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mc:AlternateContent xmlns:mc="http://schemas.openxmlformats.org/markup-compatibility/2006">
    <mc:Choice Requires="x15">
      <x15ac:absPath xmlns:x15ac="http://schemas.microsoft.com/office/spreadsheetml/2010/11/ac" url="T:\AGL-ACTUARIAL\USERS\Jonny\ARF_PRSA_Tool\v4\"/>
    </mc:Choice>
  </mc:AlternateContent>
  <xr:revisionPtr revIDLastSave="0" documentId="13_ncr:1_{893CDA26-09D5-498F-987C-2015539BBD2A}" xr6:coauthVersionLast="47" xr6:coauthVersionMax="47" xr10:uidLastSave="{00000000-0000-0000-0000-000000000000}"/>
  <bookViews>
    <workbookView xWindow="-120" yWindow="-120" windowWidth="19440" windowHeight="11520" tabRatio="831" activeTab="6" xr2:uid="{19AC740B-C8F4-4E36-B6AF-F04351A29B9F}"/>
  </bookViews>
  <sheets>
    <sheet name="Version Control" sheetId="25" r:id="rId1"/>
    <sheet name="Overview" sheetId="22" r:id="rId2"/>
    <sheet name="Parameters" sheetId="12" r:id="rId3"/>
    <sheet name="Mortality Table" sheetId="5" r:id="rId4"/>
    <sheet name="Irish Life Quote" sheetId="6" r:id="rId5"/>
    <sheet name="Investment Strategies" sheetId="16" r:id="rId6"/>
    <sheet name="SRP" sheetId="11" r:id="rId7"/>
    <sheet name="CSO Calc" sheetId="23" r:id="rId8"/>
    <sheet name="Investment Strategy Funds" sheetId="18" r:id="rId9"/>
    <sheet name="Fund Based Charges Text" sheetId="19" r:id="rId10"/>
    <sheet name="Initial SRP doc inputs" sheetId="17" r:id="rId11"/>
    <sheet name="InForce SRP doc inputs" sheetId="21" r:id="rId12"/>
    <sheet name="Reliances &amp; Limitations" sheetId="20" r:id="rId13"/>
    <sheet name="Product Name Table" sheetId="24" r:id="rId14"/>
  </sheets>
  <externalReferences>
    <externalReference r:id="rId15"/>
    <externalReference r:id="rId16"/>
  </externalReferences>
  <definedNames>
    <definedName name="_xlnm._FilterDatabase" localSheetId="6" hidden="1">SRP!$A$54:$AD$690</definedName>
    <definedName name="_Order1" hidden="1">255</definedName>
    <definedName name="anscount" hidden="1">1</definedName>
    <definedName name="avc_indicator">SRP!$C$3</definedName>
    <definedName name="Commission_Uplift_Factor" localSheetId="0">[1]SRP!$D$65</definedName>
    <definedName name="Commission_Uplift_Factor">SRP!$D$65</definedName>
    <definedName name="Contributions_per_year" localSheetId="0">[1]SRP!$G$61</definedName>
    <definedName name="Contributions_per_year">SRP!$G$61</definedName>
    <definedName name="DIY_Chrge_Table">'Investment Strategy Funds'!$T$4:$W$17</definedName>
    <definedName name="DIY_ExtManChrge_CurrentFunds" localSheetId="0">[1]SRP!$Q$6</definedName>
    <definedName name="DIY_ExtManChrge_CurrentFunds">SRP!$T$6</definedName>
    <definedName name="DIY_ExtManChrge_FuturePremiums" localSheetId="0">[1]SRP!$Q$15</definedName>
    <definedName name="DIY_ExtManChrge_FuturePremiums">SRP!$T$15</definedName>
    <definedName name="DIY_ExtManChrge_SP" localSheetId="0">[1]SRP!$Q$11</definedName>
    <definedName name="DIY_ExtManChrge_SP">SRP!$T$11</definedName>
    <definedName name="DIY_GteeChrge_CurrentFunds" localSheetId="0">[1]SRP!$Q$8</definedName>
    <definedName name="DIY_GteeChrge_CurrentFunds">SRP!$T$8</definedName>
    <definedName name="DIY_GteeChrge_FuturePremiums" localSheetId="0">[1]SRP!$Q$16</definedName>
    <definedName name="DIY_GteeChrge_FuturePremiums">SRP!$T$16</definedName>
    <definedName name="DIY_GteeChrge_SP" localSheetId="0">[1]SRP!$Q$12</definedName>
    <definedName name="DIY_GteeChrge_SP">SRP!$T$12</definedName>
    <definedName name="DIY_RateOfReturn_CurrentFunds" localSheetId="0">[1]SRP!$Q$5</definedName>
    <definedName name="DIY_RateOfReturn_CurrentFunds">SRP!$T$5</definedName>
    <definedName name="DIY_RateOfReturn_FuturePremiums" localSheetId="0">[1]SRP!$Q$14</definedName>
    <definedName name="DIY_RateOfReturn_FuturePremiums">SRP!$T$14</definedName>
    <definedName name="DIY_RateofReturn_SP" localSheetId="0">[1]SRP!$Q$10</definedName>
    <definedName name="DIY_RateofReturn_SP">SRP!$T$10</definedName>
    <definedName name="External_Man_Chrge" localSheetId="0">[1]Parameters!$C$38:$I$48</definedName>
    <definedName name="External_Man_Chrge">Parameters!$C$47:$I$60</definedName>
    <definedName name="Gtee_Chrge" localSheetId="0">[1]Parameters!$C$31:$D$34</definedName>
    <definedName name="Gtee_Chrge">Parameters!$C$40:$D$43</definedName>
    <definedName name="Investment_Strategy" localSheetId="0">[1]SRP!$C$6</definedName>
    <definedName name="Investment_Strategy">SRP!$C$6</definedName>
    <definedName name="Investment_Strategy_Sub1" localSheetId="0">[1]SRP!$C$7</definedName>
    <definedName name="Investment_Strategy_Sub1">SRP!$C$7</definedName>
    <definedName name="Investment_Strategy_Sub2" localSheetId="0">[1]SRP!$C$8</definedName>
    <definedName name="Investment_Strategy_Sub2">SRP!$C$8</definedName>
    <definedName name="Max_Contrib_Escalation" localSheetId="0">[1]SRP!$G$62</definedName>
    <definedName name="Max_Contrib_Escalation">SRP!$G$62</definedName>
    <definedName name="Max_InvReturn" localSheetId="0">[1]SRP!$D$78</definedName>
    <definedName name="Max_InvReturn">SRP!$D$78</definedName>
    <definedName name="NS_AP_Bal">'Investment Strategy Funds'!$D$21:$G$24</definedName>
    <definedName name="NS_AP_Dyn">'Investment Strategy Funds'!$D$26:$G$28</definedName>
    <definedName name="NS_AP_Opp">'Investment Strategy Funds'!$D$30:$G$32</definedName>
    <definedName name="NS_DIS">'Investment Strategy Funds'!$D$34:$G$40</definedName>
    <definedName name="NS_LC_Bal">'Investment Strategy Funds'!$D$4:$G$7</definedName>
    <definedName name="NS_LC_Dyn">'Investment Strategy Funds'!$D$9:$G$13</definedName>
    <definedName name="NS_LC_Opp">'Investment Strategy Funds'!$D$15:$G$19</definedName>
    <definedName name="Opening_Fund_Value" localSheetId="0">[1]SRP!$D$58</definedName>
    <definedName name="Opening_Fund_Value">SRP!$D$58</definedName>
    <definedName name="Premium_Month1_Flag" localSheetId="0">[1]SRP!$I$60</definedName>
    <definedName name="Premium_Month1_Flag">SRP!$I$60</definedName>
    <definedName name="Product_Type" localSheetId="0">[1]SRP!$C$5</definedName>
    <definedName name="Product_Type">SRP!$C$5</definedName>
    <definedName name="Product_Version" localSheetId="0">[1]SRP!$C$4</definedName>
    <definedName name="Product_Version">SRP!$C$4</definedName>
    <definedName name="Rates_of_Return" localSheetId="0">[1]Parameters!$K$38:$L$48</definedName>
    <definedName name="Rates_of_Return">Parameters!$K$47:$L$60</definedName>
    <definedName name="S_DIS">'Investment Strategy Funds'!$L$21:$O$23</definedName>
    <definedName name="S_LC_Bal">'Investment Strategy Funds'!$L$4:$O$7</definedName>
    <definedName name="S_LC_Dyn">'Investment Strategy Funds'!$L$9:$O$11</definedName>
    <definedName name="S_LC_Opp">'Investment Strategy Funds'!$L$15:$O$17</definedName>
    <definedName name="Single_Equivalence_Charge" localSheetId="0">[1]SRP!$BE$86</definedName>
    <definedName name="Single_Equivalence_Charge">SRP!$BE$86</definedName>
    <definedName name="special_deal_increase_sp_upfront">SRP!$D$88</definedName>
    <definedName name="special_deal_indicator">SRP!$D$87</definedName>
    <definedName name="SRP_Admin_Charge" localSheetId="0">[1]SRP!$D$64</definedName>
    <definedName name="SRP_Admin_Charge">SRP!$D$64</definedName>
    <definedName name="SRP_Age_at_Entry" localSheetId="0">[1]SRP!$D$72</definedName>
    <definedName name="SRP_Age_at_Entry">SRP!$D$72</definedName>
    <definedName name="SRP_Annuity_Esc_Rate" localSheetId="0">[1]SRP!$D$81</definedName>
    <definedName name="SRP_Annuity_Esc_Rate">SRP!$D$81</definedName>
    <definedName name="SRP_Annuity_Factor" localSheetId="0">[1]SRP!$C$52</definedName>
    <definedName name="SRP_Annuity_Factor">SRP!$C$52</definedName>
    <definedName name="SRP_Annuity_Gtee_Period" localSheetId="0">[1]SRP!$D$84</definedName>
    <definedName name="SRP_Annuity_Gtee_Period">SRP!$D$84</definedName>
    <definedName name="SRP_AP" localSheetId="0">[1]SRP!$D$60</definedName>
    <definedName name="SRP_AP">SRP!$D$60</definedName>
    <definedName name="SRP_Base_Year" localSheetId="0">[1]SRP!$D$76</definedName>
    <definedName name="SRP_Base_Year">SRP!$D$76</definedName>
    <definedName name="SRP_Contrib_Chge_RP" localSheetId="0">[1]SRP!$D$63</definedName>
    <definedName name="SRP_Contrib_Chge_RP">SRP!$D$63</definedName>
    <definedName name="SRP_Contrib_Chge_SP" localSheetId="0">[1]SRP!$D$62</definedName>
    <definedName name="SRP_Contrib_Chge_SP">SRP!$D$62</definedName>
    <definedName name="SRP_Contrib_Escalation" localSheetId="0">[1]SRP!$D$61</definedName>
    <definedName name="SRP_Contrib_Escalation">SRP!$D$61</definedName>
    <definedName name="SRP_Current_Age" localSheetId="0">[1]SRP!$D$73</definedName>
    <definedName name="SRP_Current_Age">SRP!$D$73</definedName>
    <definedName name="SRP_Current_Year" localSheetId="0">[1]SRP!$D$77</definedName>
    <definedName name="SRP_Current_Year">SRP!$D$77</definedName>
    <definedName name="SRP_Discount_factor" localSheetId="0">[1]SRP!$C$42</definedName>
    <definedName name="SRP_Discount_factor">SRP!$C$42</definedName>
    <definedName name="SRP_DoB" localSheetId="0">[1]SRP!$D$56</definedName>
    <definedName name="SRP_DoB">SRP!$D$56</definedName>
    <definedName name="SRP_Female_qx_adj" localSheetId="0">[1]SRP!$D$71</definedName>
    <definedName name="SRP_Female_qx_adj">SRP!$D$71</definedName>
    <definedName name="SRP_finalmonthfactor" localSheetId="0">[1]SRP!$D$85</definedName>
    <definedName name="SRP_finalmonthfactor">SRP!$D$85</definedName>
    <definedName name="SRP_Gender" localSheetId="0">[1]SRP!$D$69</definedName>
    <definedName name="SRP_Gender">SRP!$D$69</definedName>
    <definedName name="SRP_Improve_Fact_F" localSheetId="0">[1]SRP!$D$83</definedName>
    <definedName name="SRP_Improve_Fact_F">SRP!$D$83</definedName>
    <definedName name="SRP_Improve_Fact_M" localSheetId="0">[1]SRP!$D$82</definedName>
    <definedName name="SRP_Improve_Fact_M">SRP!$D$82</definedName>
    <definedName name="SRP_Inf_Rate" localSheetId="0">[1]SRP!$D$80</definedName>
    <definedName name="SRP_Inf_Rate">SRP!$D$80</definedName>
    <definedName name="SRP_Init_Com_RP" localSheetId="0">[1]SRP!$D$67</definedName>
    <definedName name="SRP_Init_Com_RP">SRP!$D$67</definedName>
    <definedName name="SRP_Init_Com_SP" localSheetId="0">[1]SRP!$D$66</definedName>
    <definedName name="SRP_Init_Com_SP">SRP!$D$66</definedName>
    <definedName name="SRP_Int_Rate">SRP!$D$79</definedName>
    <definedName name="SRP_Male_qx_adj" localSheetId="0">[1]SRP!$D$70</definedName>
    <definedName name="SRP_Male_qx_adj">SRP!$D$70</definedName>
    <definedName name="SRP_Monthly_Admin_Chge" localSheetId="0">[1]SRP!$E$64</definedName>
    <definedName name="SRP_Monthly_Admin_Chge">SRP!$E$64</definedName>
    <definedName name="SRP_Monthly_Gtee_Chge" localSheetId="0">[1]SRP!$E$65</definedName>
    <definedName name="SRP_Monthly_Gtee_Chge">SRP!$E$65</definedName>
    <definedName name="SRP_Mort_Improve_Fact" localSheetId="0">[1]SRP!$C$47</definedName>
    <definedName name="SRP_Mort_Improve_Fact">SRP!$C$47</definedName>
    <definedName name="SRP_NRA" localSheetId="0">[1]SRP!$D$74</definedName>
    <definedName name="SRP_NRA">SRP!$D$74</definedName>
    <definedName name="SRP_Policy_Term" localSheetId="0">[1]SRP!$D$75</definedName>
    <definedName name="SRP_Policy_Term">SRP!$D$75</definedName>
    <definedName name="SRP_PolicyStartDate" localSheetId="0">[1]SRP!$D$54</definedName>
    <definedName name="SRP_PolicyStartDate">SRP!$D$54</definedName>
    <definedName name="SRP_PremFreq" localSheetId="0">[1]SRP!$G$60</definedName>
    <definedName name="SRP_PremFreq">SRP!$G$60</definedName>
    <definedName name="SRP_PremiumThreshold_Monthly" localSheetId="0">[1]SRP!#REF!</definedName>
    <definedName name="SRP_PremiumThreshold_Monthly">SRP!#REF!</definedName>
    <definedName name="SRP_Ren_Com">SRP!$D$68</definedName>
    <definedName name="SRP_Ren_Com_Mthly" localSheetId="0">[1]SRP!$E$68</definedName>
    <definedName name="SRP_Ren_Com_Mthly">SRP!$E$68</definedName>
    <definedName name="SRP_RetirementDate" localSheetId="0">[1]SRP!$D$57</definedName>
    <definedName name="SRP_RetirementDate">SRP!$D$57</definedName>
    <definedName name="SRP_SP" localSheetId="0">[1]SRP!$D$59</definedName>
    <definedName name="SRP_SP">SRP!$D$59</definedName>
    <definedName name="SRP_ValDate" localSheetId="0">[1]SRP!$D$55</definedName>
    <definedName name="SRP_ValDate">SRP!$D$55</definedName>
    <definedName name="Transfer_Indicator" localSheetId="0">[1]SRP!$D$86</definedName>
    <definedName name="Transfer_Indicator">SRP!$D$86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12" l="1"/>
  <c r="D15" i="11"/>
  <c r="D55" i="11"/>
  <c r="C7" i="23"/>
  <c r="C11" i="23" s="1"/>
  <c r="D9" i="23"/>
  <c r="C10" i="23" s="1"/>
  <c r="D63" i="11"/>
  <c r="K13" i="24" a="1"/>
  <c r="K13" i="24" s="1"/>
  <c r="K14" i="24" a="1"/>
  <c r="K14" i="24" s="1"/>
  <c r="K15" i="24" a="1"/>
  <c r="K15" i="24" s="1"/>
  <c r="K16" i="24" a="1"/>
  <c r="K16" i="24" s="1"/>
  <c r="K17" i="24" a="1"/>
  <c r="K17" i="24" s="1"/>
  <c r="K18" i="24" a="1"/>
  <c r="K18" i="24" s="1"/>
  <c r="K19" i="24" a="1"/>
  <c r="K19" i="24" s="1"/>
  <c r="K20" i="24" a="1"/>
  <c r="K20" i="24" s="1"/>
  <c r="K21" i="24" a="1"/>
  <c r="K21" i="24" s="1"/>
  <c r="K12" i="24" a="1"/>
  <c r="K12" i="24" s="1"/>
  <c r="J12" i="24" a="1"/>
  <c r="J12" i="24" s="1"/>
  <c r="J13" i="24" a="1"/>
  <c r="J13" i="24" s="1"/>
  <c r="J14" i="24" a="1"/>
  <c r="J14" i="24" s="1"/>
  <c r="J15" i="24" a="1"/>
  <c r="J15" i="24" s="1"/>
  <c r="J16" i="24" a="1"/>
  <c r="J16" i="24" s="1"/>
  <c r="J17" i="24" a="1"/>
  <c r="J17" i="24" s="1"/>
  <c r="J18" i="24" a="1"/>
  <c r="J18" i="24" s="1"/>
  <c r="J19" i="24" a="1"/>
  <c r="J19" i="24" s="1"/>
  <c r="J20" i="24" a="1"/>
  <c r="J20" i="24" s="1"/>
  <c r="J21" i="24" a="1"/>
  <c r="J21" i="24" s="1"/>
  <c r="D62" i="11" l="1"/>
  <c r="O3" i="11"/>
  <c r="P3" i="11"/>
  <c r="Q3" i="11"/>
  <c r="K27" i="17"/>
  <c r="I42" i="21" l="1"/>
  <c r="I45" i="17"/>
  <c r="L59" i="12"/>
  <c r="L58" i="12"/>
  <c r="L57" i="12"/>
  <c r="D3" i="21"/>
  <c r="D3" i="17"/>
  <c r="J6" i="17"/>
  <c r="E51" i="12" l="1"/>
  <c r="E52" i="12"/>
  <c r="E53" i="12"/>
  <c r="E54" i="12"/>
  <c r="E55" i="12"/>
  <c r="E56" i="12"/>
  <c r="E28" i="12" l="1"/>
  <c r="E27" i="12"/>
  <c r="E26" i="12"/>
  <c r="E25" i="12"/>
  <c r="E24" i="12"/>
  <c r="E16" i="12"/>
  <c r="E15" i="12"/>
  <c r="E11" i="12"/>
  <c r="E10" i="12"/>
  <c r="E21" i="24"/>
  <c r="E20" i="24"/>
  <c r="E19" i="24"/>
  <c r="E18" i="24"/>
  <c r="E17" i="24"/>
  <c r="E16" i="24"/>
  <c r="E15" i="24"/>
  <c r="E14" i="24"/>
  <c r="E13" i="24"/>
  <c r="E12" i="24"/>
  <c r="BF448" i="16" l="1"/>
  <c r="BE448" i="16"/>
  <c r="BF447" i="16"/>
  <c r="BE447" i="16"/>
  <c r="BF446" i="16"/>
  <c r="BE446" i="16"/>
  <c r="BF445" i="16"/>
  <c r="BE445" i="16"/>
  <c r="BF444" i="16"/>
  <c r="BE444" i="16"/>
  <c r="BF443" i="16"/>
  <c r="BE443" i="16"/>
  <c r="BF442" i="16"/>
  <c r="BE442" i="16"/>
  <c r="BF441" i="16"/>
  <c r="BE441" i="16"/>
  <c r="BF440" i="16"/>
  <c r="BE440" i="16"/>
  <c r="BF439" i="16"/>
  <c r="BE439" i="16"/>
  <c r="BF438" i="16"/>
  <c r="BE438" i="16"/>
  <c r="BF437" i="16"/>
  <c r="BE437" i="16"/>
  <c r="D49" i="21" l="1"/>
  <c r="D47" i="21" l="1"/>
  <c r="AW91" i="11" l="1"/>
  <c r="G61" i="11" a="1"/>
  <c r="G61" i="11" s="1"/>
  <c r="D57" i="11"/>
  <c r="N23" i="18" l="1"/>
  <c r="N22" i="18"/>
  <c r="N17" i="18"/>
  <c r="N16" i="18"/>
  <c r="N11" i="18"/>
  <c r="N10" i="18"/>
  <c r="N6" i="18"/>
  <c r="N7" i="18"/>
  <c r="N5" i="18"/>
  <c r="Q32" i="17" l="1"/>
  <c r="F19" i="23" l="1"/>
  <c r="C19" i="23" l="1"/>
  <c r="C17" i="23"/>
  <c r="D28" i="22"/>
  <c r="D27" i="22"/>
  <c r="D26" i="22"/>
  <c r="D25" i="22"/>
  <c r="D24" i="22"/>
  <c r="D23" i="22"/>
  <c r="D22" i="22"/>
  <c r="D21" i="22"/>
  <c r="D20" i="22"/>
  <c r="D19" i="22"/>
  <c r="C21" i="23" l="1"/>
  <c r="D19" i="23"/>
  <c r="C20" i="23"/>
  <c r="S4" i="11" l="1"/>
  <c r="D8" i="21" l="1"/>
  <c r="O32" i="21"/>
  <c r="O30" i="21"/>
  <c r="K27" i="21"/>
  <c r="K26" i="21"/>
  <c r="K23" i="21"/>
  <c r="K22" i="21"/>
  <c r="D22" i="21"/>
  <c r="D21" i="21"/>
  <c r="J18" i="21"/>
  <c r="D19" i="21"/>
  <c r="D18" i="21"/>
  <c r="D17" i="21"/>
  <c r="D14" i="21"/>
  <c r="D7" i="21"/>
  <c r="J6" i="21"/>
  <c r="D5" i="21"/>
  <c r="D4" i="21"/>
  <c r="A4" i="20"/>
  <c r="A19" i="20" s="1"/>
  <c r="D20" i="17" l="1"/>
  <c r="D21" i="17"/>
  <c r="C7" i="11" l="1"/>
  <c r="B10" i="11" l="1"/>
  <c r="D34" i="21"/>
  <c r="O31" i="21"/>
  <c r="O33" i="21" s="1"/>
  <c r="N3" i="11"/>
  <c r="I3" i="11"/>
  <c r="I11" i="11" s="1"/>
  <c r="K3" i="11"/>
  <c r="K11" i="11" s="1"/>
  <c r="M3" i="11"/>
  <c r="M11" i="11" s="1"/>
  <c r="L3" i="11"/>
  <c r="AG4" i="18" s="1"/>
  <c r="S9" i="11"/>
  <c r="H91" i="11"/>
  <c r="P91" i="11"/>
  <c r="R3" i="11"/>
  <c r="R11" i="11" s="1"/>
  <c r="J3" i="11"/>
  <c r="H3" i="11"/>
  <c r="H12" i="11" s="1"/>
  <c r="G3" i="11"/>
  <c r="AB4" i="18" s="1"/>
  <c r="F3" i="11"/>
  <c r="D33" i="17"/>
  <c r="D7" i="17"/>
  <c r="M29" i="21" a="1"/>
  <c r="K29" i="21" a="1"/>
  <c r="J29" i="21" a="1"/>
  <c r="L29" i="21" a="1"/>
  <c r="AF4" i="18" l="1"/>
  <c r="O10" i="11"/>
  <c r="AJ4" i="18"/>
  <c r="O14" i="11"/>
  <c r="O15" i="11"/>
  <c r="O6" i="11"/>
  <c r="O5" i="11"/>
  <c r="O11" i="11"/>
  <c r="AI4" i="18"/>
  <c r="P11" i="11"/>
  <c r="P10" i="11"/>
  <c r="AK4" i="18"/>
  <c r="P14" i="11"/>
  <c r="P6" i="11"/>
  <c r="P15" i="11"/>
  <c r="P5" i="11"/>
  <c r="AL4" i="18"/>
  <c r="Q11" i="11"/>
  <c r="Q10" i="11"/>
  <c r="Q14" i="11"/>
  <c r="Q15" i="11"/>
  <c r="Q6" i="11"/>
  <c r="Q5" i="11"/>
  <c r="L29" i="21"/>
  <c r="K29" i="21"/>
  <c r="J29" i="21"/>
  <c r="M29" i="21"/>
  <c r="AA4" i="18"/>
  <c r="F15" i="11"/>
  <c r="AM4" i="18"/>
  <c r="AF91" i="11"/>
  <c r="AC4" i="18"/>
  <c r="AE4" i="18"/>
  <c r="AH4" i="18"/>
  <c r="F11" i="11"/>
  <c r="N11" i="11"/>
  <c r="J11" i="11"/>
  <c r="F12" i="11"/>
  <c r="AD4" i="18"/>
  <c r="G12" i="11"/>
  <c r="H11" i="11"/>
  <c r="L11" i="11"/>
  <c r="G11" i="11"/>
  <c r="Z35" i="17"/>
  <c r="Z34" i="17"/>
  <c r="Z33" i="17"/>
  <c r="F40" i="18"/>
  <c r="F39" i="18"/>
  <c r="F38" i="18"/>
  <c r="F37" i="18"/>
  <c r="F36" i="18"/>
  <c r="F35" i="18"/>
  <c r="F32" i="18"/>
  <c r="F31" i="18"/>
  <c r="F28" i="18"/>
  <c r="F27" i="18"/>
  <c r="F24" i="18"/>
  <c r="F23" i="18"/>
  <c r="F22" i="18"/>
  <c r="F19" i="18"/>
  <c r="F18" i="18"/>
  <c r="F17" i="18"/>
  <c r="F16" i="18"/>
  <c r="F13" i="18"/>
  <c r="F12" i="18"/>
  <c r="F11" i="18"/>
  <c r="F10" i="18"/>
  <c r="F7" i="18"/>
  <c r="F6" i="18"/>
  <c r="F5" i="18"/>
  <c r="T16" i="18" l="1" a="1"/>
  <c r="T16" i="18" s="1"/>
  <c r="T15" i="18" a="1"/>
  <c r="T15" i="18" s="1"/>
  <c r="T14" i="18" a="1"/>
  <c r="T14" i="18" s="1"/>
  <c r="T17" i="18" a="1"/>
  <c r="T17" i="18" s="1"/>
  <c r="T8" i="18" a="1"/>
  <c r="T8" i="18" s="1"/>
  <c r="T5" i="18" a="1"/>
  <c r="T5" i="18" s="1"/>
  <c r="T13" i="18" a="1"/>
  <c r="T13" i="18" s="1"/>
  <c r="S11" i="11"/>
  <c r="T11" i="11" s="1"/>
  <c r="T9" i="18" a="1"/>
  <c r="T9" i="18" s="1"/>
  <c r="T11" i="18" a="1"/>
  <c r="T11" i="18" s="1"/>
  <c r="T6" i="18" a="1"/>
  <c r="T6" i="18" s="1"/>
  <c r="T7" i="18" a="1"/>
  <c r="T7" i="18" s="1"/>
  <c r="T12" i="18" a="1"/>
  <c r="T12" i="18" s="1"/>
  <c r="S12" i="11"/>
  <c r="T12" i="11" s="1"/>
  <c r="T10" i="18" a="1"/>
  <c r="T10" i="18" s="1"/>
  <c r="Z36" i="17"/>
  <c r="BE528" i="16"/>
  <c r="K28" i="17"/>
  <c r="K23" i="17"/>
  <c r="K22" i="17"/>
  <c r="J18" i="17"/>
  <c r="D18" i="17"/>
  <c r="D17" i="17"/>
  <c r="D13" i="17"/>
  <c r="D16" i="17"/>
  <c r="D5" i="17"/>
  <c r="D4" i="17"/>
  <c r="J33" i="21" a="1"/>
  <c r="J40" i="21" a="1"/>
  <c r="J34" i="21" a="1"/>
  <c r="J38" i="21" a="1"/>
  <c r="J41" i="21" a="1"/>
  <c r="J35" i="21" a="1"/>
  <c r="J42" i="21" a="1"/>
  <c r="J30" i="21" a="1"/>
  <c r="J32" i="21" a="1"/>
  <c r="J39" i="21" a="1"/>
  <c r="J31" i="21" a="1"/>
  <c r="J36" i="21" a="1"/>
  <c r="J37" i="21" a="1"/>
  <c r="K32" i="17" a="1"/>
  <c r="J36" i="21" l="1"/>
  <c r="J38" i="21"/>
  <c r="J42" i="21"/>
  <c r="J39" i="21"/>
  <c r="I38" i="21" s="1"/>
  <c r="J40" i="21"/>
  <c r="J41" i="21"/>
  <c r="J37" i="21"/>
  <c r="V14" i="18"/>
  <c r="V15" i="18"/>
  <c r="V16" i="18"/>
  <c r="J32" i="21"/>
  <c r="I31" i="21" s="1"/>
  <c r="J34" i="21"/>
  <c r="I33" i="21" s="1"/>
  <c r="J30" i="21"/>
  <c r="J35" i="21"/>
  <c r="I34" i="21" s="1"/>
  <c r="J31" i="21"/>
  <c r="I30" i="21" s="1"/>
  <c r="J33" i="21"/>
  <c r="I32" i="21" s="1"/>
  <c r="K32" i="17"/>
  <c r="V10" i="18"/>
  <c r="V6" i="18"/>
  <c r="V17" i="18"/>
  <c r="V5" i="18"/>
  <c r="V7" i="18"/>
  <c r="V9" i="18"/>
  <c r="V8" i="18"/>
  <c r="D6" i="17"/>
  <c r="D6" i="21"/>
  <c r="V11" i="18"/>
  <c r="V13" i="18"/>
  <c r="V12" i="18"/>
  <c r="S13" i="11"/>
  <c r="F1" i="11" s="1"/>
  <c r="J35" i="17" a="1"/>
  <c r="J42" i="17" a="1"/>
  <c r="J40" i="17" a="1"/>
  <c r="J45" i="17" a="1"/>
  <c r="L36" i="21" a="1"/>
  <c r="L44" i="17" a="1"/>
  <c r="L31" i="21" a="1"/>
  <c r="L34" i="21" a="1"/>
  <c r="L41" i="21" a="1"/>
  <c r="L34" i="17" a="1"/>
  <c r="J34" i="17" a="1"/>
  <c r="L36" i="17" a="1"/>
  <c r="L39" i="21" a="1"/>
  <c r="M32" i="17" a="1"/>
  <c r="J38" i="17" a="1"/>
  <c r="L35" i="17" a="1"/>
  <c r="L35" i="21" a="1"/>
  <c r="L40" i="17" a="1"/>
  <c r="J36" i="17" a="1"/>
  <c r="L32" i="17" a="1"/>
  <c r="L42" i="21" a="1"/>
  <c r="L33" i="17" a="1"/>
  <c r="L38" i="21" a="1"/>
  <c r="L37" i="21" a="1"/>
  <c r="L38" i="17" a="1"/>
  <c r="J43" i="17" a="1"/>
  <c r="L42" i="17" a="1"/>
  <c r="L43" i="17" a="1"/>
  <c r="J39" i="17" a="1"/>
  <c r="L30" i="21" a="1"/>
  <c r="L32" i="21" a="1"/>
  <c r="J33" i="17" a="1"/>
  <c r="L33" i="21" a="1"/>
  <c r="L40" i="21" a="1"/>
  <c r="J44" i="17" a="1"/>
  <c r="J32" i="17" a="1"/>
  <c r="L39" i="17" a="1"/>
  <c r="L41" i="17" a="1"/>
  <c r="J41" i="17" a="1"/>
  <c r="L45" i="17" a="1"/>
  <c r="L37" i="17" a="1"/>
  <c r="J37" i="17" a="1"/>
  <c r="J37" i="17" l="1"/>
  <c r="U37" i="17" s="1"/>
  <c r="J41" i="17"/>
  <c r="I40" i="17" s="1"/>
  <c r="J32" i="17"/>
  <c r="J44" i="17"/>
  <c r="U44" i="17" s="1"/>
  <c r="J33" i="17"/>
  <c r="N33" i="17" s="1"/>
  <c r="J39" i="17"/>
  <c r="N39" i="17" s="1"/>
  <c r="J43" i="17"/>
  <c r="U43" i="17" s="1"/>
  <c r="L32" i="17"/>
  <c r="J36" i="17"/>
  <c r="U36" i="17" s="1"/>
  <c r="J38" i="17"/>
  <c r="I37" i="17" s="1"/>
  <c r="M32" i="17"/>
  <c r="J34" i="17"/>
  <c r="U34" i="17" s="1"/>
  <c r="J45" i="17"/>
  <c r="N45" i="17" s="1"/>
  <c r="J40" i="17"/>
  <c r="N40" i="17" s="1"/>
  <c r="J42" i="17"/>
  <c r="U42" i="17" s="1"/>
  <c r="J35" i="17"/>
  <c r="U35" i="17" s="1"/>
  <c r="I40" i="21"/>
  <c r="Q41" i="21"/>
  <c r="Q40" i="21"/>
  <c r="I39" i="21"/>
  <c r="I41" i="21"/>
  <c r="Q42" i="21"/>
  <c r="L38" i="21"/>
  <c r="L41" i="21"/>
  <c r="L44" i="17"/>
  <c r="L39" i="21"/>
  <c r="L36" i="21"/>
  <c r="L40" i="21"/>
  <c r="L43" i="17"/>
  <c r="L42" i="21"/>
  <c r="L45" i="17"/>
  <c r="L37" i="21"/>
  <c r="Q39" i="21"/>
  <c r="L34" i="21"/>
  <c r="L33" i="21"/>
  <c r="L30" i="21"/>
  <c r="L31" i="21"/>
  <c r="L32" i="21"/>
  <c r="L35" i="21"/>
  <c r="Q38" i="21"/>
  <c r="I37" i="21"/>
  <c r="Q36" i="21"/>
  <c r="I35" i="21"/>
  <c r="Q37" i="21"/>
  <c r="I36" i="21"/>
  <c r="Q33" i="21"/>
  <c r="Q34" i="21"/>
  <c r="Q32" i="21"/>
  <c r="Q30" i="21"/>
  <c r="Q31" i="21"/>
  <c r="Q35" i="21"/>
  <c r="N42" i="17"/>
  <c r="N41" i="17"/>
  <c r="U13" i="11"/>
  <c r="U4" i="11"/>
  <c r="L36" i="17"/>
  <c r="L42" i="17"/>
  <c r="L38" i="17"/>
  <c r="L37" i="17"/>
  <c r="L35" i="17"/>
  <c r="L33" i="17"/>
  <c r="L34" i="17"/>
  <c r="L39" i="17"/>
  <c r="L41" i="17"/>
  <c r="L40" i="17"/>
  <c r="H6" i="11"/>
  <c r="H16" i="11"/>
  <c r="H15" i="11"/>
  <c r="H8" i="11"/>
  <c r="L6" i="11"/>
  <c r="L15" i="11"/>
  <c r="I15" i="11"/>
  <c r="I6" i="11"/>
  <c r="M15" i="11"/>
  <c r="M6" i="11"/>
  <c r="F8" i="11"/>
  <c r="F6" i="11"/>
  <c r="F16" i="11"/>
  <c r="J15" i="11"/>
  <c r="J6" i="11"/>
  <c r="N6" i="11"/>
  <c r="N15" i="11"/>
  <c r="G16" i="11"/>
  <c r="G15" i="11"/>
  <c r="G8" i="11"/>
  <c r="G6" i="11"/>
  <c r="K6" i="11"/>
  <c r="K15" i="11"/>
  <c r="R15" i="11"/>
  <c r="R6" i="11"/>
  <c r="L56" i="12"/>
  <c r="N5" i="11" s="1"/>
  <c r="L55" i="12"/>
  <c r="M10" i="11" s="1"/>
  <c r="L54" i="12"/>
  <c r="L14" i="11" s="1"/>
  <c r="L60" i="12"/>
  <c r="R10" i="11" s="1"/>
  <c r="L53" i="12"/>
  <c r="K10" i="11" s="1"/>
  <c r="L52" i="12"/>
  <c r="J14" i="11" s="1"/>
  <c r="L51" i="12"/>
  <c r="I14" i="11" s="1"/>
  <c r="L50" i="12"/>
  <c r="H10" i="11" s="1"/>
  <c r="L49" i="12"/>
  <c r="G10" i="11" s="1"/>
  <c r="L48" i="12"/>
  <c r="F10" i="11" s="1"/>
  <c r="I41" i="17" l="1"/>
  <c r="U33" i="17"/>
  <c r="N37" i="17"/>
  <c r="I39" i="17"/>
  <c r="U45" i="17"/>
  <c r="I36" i="17"/>
  <c r="I44" i="17"/>
  <c r="U40" i="17"/>
  <c r="U41" i="17"/>
  <c r="U39" i="17"/>
  <c r="I35" i="17"/>
  <c r="N36" i="17"/>
  <c r="I34" i="17"/>
  <c r="N35" i="17"/>
  <c r="I38" i="17"/>
  <c r="N44" i="17"/>
  <c r="I43" i="17"/>
  <c r="N38" i="17"/>
  <c r="I33" i="17"/>
  <c r="N34" i="17"/>
  <c r="I42" i="17"/>
  <c r="U38" i="17"/>
  <c r="N43" i="17"/>
  <c r="L5" i="11"/>
  <c r="K5" i="11"/>
  <c r="K14" i="11"/>
  <c r="H1" i="16"/>
  <c r="I10" i="11"/>
  <c r="M14" i="11"/>
  <c r="G1" i="16"/>
  <c r="L10" i="11"/>
  <c r="M5" i="11"/>
  <c r="F1" i="16"/>
  <c r="N10" i="11"/>
  <c r="N14" i="11"/>
  <c r="I5" i="11"/>
  <c r="D23" i="21"/>
  <c r="D24" i="21" s="1"/>
  <c r="F14" i="11"/>
  <c r="R14" i="11"/>
  <c r="H14" i="11"/>
  <c r="H5" i="11"/>
  <c r="R5" i="11"/>
  <c r="G5" i="11"/>
  <c r="G14" i="11"/>
  <c r="E1" i="16"/>
  <c r="J10" i="11"/>
  <c r="J5" i="11"/>
  <c r="F5" i="11"/>
  <c r="E78" i="11" s="1"/>
  <c r="D78" i="11" s="1"/>
  <c r="S16" i="11"/>
  <c r="T16" i="11" s="1"/>
  <c r="S15" i="11"/>
  <c r="T15" i="11" s="1"/>
  <c r="S8" i="11"/>
  <c r="T8" i="11" s="1"/>
  <c r="S6" i="11"/>
  <c r="T6" i="11" s="1"/>
  <c r="AN4" i="16"/>
  <c r="AN1" i="16" s="1"/>
  <c r="AM4" i="16"/>
  <c r="AM1" i="16" s="1"/>
  <c r="AL4" i="16"/>
  <c r="AL1" i="16" s="1"/>
  <c r="D22" i="17" l="1"/>
  <c r="D23" i="17" s="1"/>
  <c r="S10" i="11"/>
  <c r="T10" i="11" s="1"/>
  <c r="S5" i="11"/>
  <c r="T5" i="11" s="1"/>
  <c r="D29" i="21"/>
  <c r="S14" i="11"/>
  <c r="T14" i="11" s="1"/>
  <c r="BM1087" i="16"/>
  <c r="BN1087" i="16" s="1"/>
  <c r="BM1086" i="16"/>
  <c r="BN1086" i="16" s="1"/>
  <c r="BM1085" i="16"/>
  <c r="BN1085" i="16" s="1"/>
  <c r="BM1084" i="16"/>
  <c r="BN1084" i="16" s="1"/>
  <c r="BM1083" i="16"/>
  <c r="BN1083" i="16" s="1"/>
  <c r="BM1082" i="16"/>
  <c r="BN1082" i="16" s="1"/>
  <c r="BM1081" i="16"/>
  <c r="BN1081" i="16" s="1"/>
  <c r="BM1080" i="16"/>
  <c r="BN1080" i="16" s="1"/>
  <c r="BM1079" i="16"/>
  <c r="BN1079" i="16" s="1"/>
  <c r="BM1078" i="16"/>
  <c r="BN1078" i="16" s="1"/>
  <c r="BM1077" i="16"/>
  <c r="BN1077" i="16" s="1"/>
  <c r="BM1076" i="16"/>
  <c r="BN1076" i="16" s="1"/>
  <c r="BM1075" i="16"/>
  <c r="BN1075" i="16" s="1"/>
  <c r="BM1074" i="16"/>
  <c r="BN1074" i="16" s="1"/>
  <c r="BM1073" i="16"/>
  <c r="BN1073" i="16" s="1"/>
  <c r="BM1072" i="16"/>
  <c r="BN1072" i="16" s="1"/>
  <c r="BM1071" i="16"/>
  <c r="BN1071" i="16" s="1"/>
  <c r="BM1070" i="16"/>
  <c r="BN1070" i="16" s="1"/>
  <c r="BM1069" i="16"/>
  <c r="BN1069" i="16" s="1"/>
  <c r="BM1068" i="16"/>
  <c r="BN1068" i="16" s="1"/>
  <c r="BM1067" i="16"/>
  <c r="BN1067" i="16" s="1"/>
  <c r="BM1066" i="16"/>
  <c r="BN1066" i="16" s="1"/>
  <c r="BM1065" i="16"/>
  <c r="BN1065" i="16" s="1"/>
  <c r="BM1064" i="16"/>
  <c r="BN1064" i="16" s="1"/>
  <c r="BM1063" i="16"/>
  <c r="BN1063" i="16" s="1"/>
  <c r="BM1062" i="16"/>
  <c r="BN1062" i="16" s="1"/>
  <c r="BM1061" i="16"/>
  <c r="BN1061" i="16" s="1"/>
  <c r="BM1060" i="16"/>
  <c r="BN1060" i="16" s="1"/>
  <c r="BM1059" i="16"/>
  <c r="BN1059" i="16" s="1"/>
  <c r="BM1058" i="16"/>
  <c r="BN1058" i="16" s="1"/>
  <c r="BM1057" i="16"/>
  <c r="BN1057" i="16" s="1"/>
  <c r="BM1056" i="16"/>
  <c r="BN1056" i="16" s="1"/>
  <c r="BM1055" i="16"/>
  <c r="BN1055" i="16" s="1"/>
  <c r="BM1054" i="16"/>
  <c r="BN1054" i="16" s="1"/>
  <c r="BM1053" i="16"/>
  <c r="BN1053" i="16" s="1"/>
  <c r="BM1052" i="16"/>
  <c r="BN1052" i="16" s="1"/>
  <c r="BM1051" i="16"/>
  <c r="BN1051" i="16" s="1"/>
  <c r="BM1050" i="16"/>
  <c r="BN1050" i="16" s="1"/>
  <c r="BM1049" i="16"/>
  <c r="BN1049" i="16" s="1"/>
  <c r="BM1048" i="16"/>
  <c r="BN1048" i="16" s="1"/>
  <c r="BM1047" i="16"/>
  <c r="BN1047" i="16" s="1"/>
  <c r="BM1046" i="16"/>
  <c r="BN1046" i="16" s="1"/>
  <c r="BM1045" i="16"/>
  <c r="BN1045" i="16" s="1"/>
  <c r="BM1044" i="16"/>
  <c r="BN1044" i="16" s="1"/>
  <c r="BM1043" i="16"/>
  <c r="BN1043" i="16" s="1"/>
  <c r="BM1042" i="16"/>
  <c r="BN1042" i="16" s="1"/>
  <c r="BM1041" i="16"/>
  <c r="BN1041" i="16" s="1"/>
  <c r="BM1040" i="16"/>
  <c r="BN1040" i="16" s="1"/>
  <c r="BM1039" i="16"/>
  <c r="BN1039" i="16" s="1"/>
  <c r="BM1038" i="16"/>
  <c r="BN1038" i="16" s="1"/>
  <c r="BM1037" i="16"/>
  <c r="BN1037" i="16" s="1"/>
  <c r="BM1036" i="16"/>
  <c r="BN1036" i="16" s="1"/>
  <c r="BM1035" i="16"/>
  <c r="BN1035" i="16" s="1"/>
  <c r="BM1034" i="16"/>
  <c r="BN1034" i="16" s="1"/>
  <c r="BM1033" i="16"/>
  <c r="BN1033" i="16" s="1"/>
  <c r="BM1032" i="16"/>
  <c r="BN1032" i="16" s="1"/>
  <c r="BM1031" i="16"/>
  <c r="BN1031" i="16" s="1"/>
  <c r="BM1030" i="16"/>
  <c r="BN1030" i="16" s="1"/>
  <c r="BM1029" i="16"/>
  <c r="BN1029" i="16" s="1"/>
  <c r="BM1028" i="16"/>
  <c r="BN1028" i="16" s="1"/>
  <c r="BM1027" i="16"/>
  <c r="BN1027" i="16" s="1"/>
  <c r="BM1026" i="16"/>
  <c r="BN1026" i="16" s="1"/>
  <c r="BM1025" i="16"/>
  <c r="BN1025" i="16" s="1"/>
  <c r="BM1024" i="16"/>
  <c r="BN1024" i="16" s="1"/>
  <c r="BM1023" i="16"/>
  <c r="BN1023" i="16" s="1"/>
  <c r="BM1022" i="16"/>
  <c r="BN1022" i="16" s="1"/>
  <c r="BM1021" i="16"/>
  <c r="BN1021" i="16" s="1"/>
  <c r="BM1020" i="16"/>
  <c r="BN1020" i="16" s="1"/>
  <c r="BM1019" i="16"/>
  <c r="BN1019" i="16" s="1"/>
  <c r="BM1018" i="16"/>
  <c r="BN1018" i="16" s="1"/>
  <c r="BM1017" i="16"/>
  <c r="BN1017" i="16" s="1"/>
  <c r="BM1016" i="16"/>
  <c r="BN1016" i="16" s="1"/>
  <c r="BM1015" i="16"/>
  <c r="BN1015" i="16" s="1"/>
  <c r="BM1014" i="16"/>
  <c r="BN1014" i="16" s="1"/>
  <c r="BM1013" i="16"/>
  <c r="BN1013" i="16" s="1"/>
  <c r="BM1012" i="16"/>
  <c r="BN1012" i="16" s="1"/>
  <c r="BM1011" i="16"/>
  <c r="BN1011" i="16" s="1"/>
  <c r="BM1010" i="16"/>
  <c r="BN1010" i="16" s="1"/>
  <c r="BM1009" i="16"/>
  <c r="BN1009" i="16" s="1"/>
  <c r="BM1008" i="16"/>
  <c r="BN1008" i="16" s="1"/>
  <c r="BM1007" i="16"/>
  <c r="BN1007" i="16" s="1"/>
  <c r="BM1006" i="16"/>
  <c r="BN1006" i="16" s="1"/>
  <c r="BM1005" i="16"/>
  <c r="BN1005" i="16" s="1"/>
  <c r="BM1004" i="16"/>
  <c r="BN1004" i="16" s="1"/>
  <c r="BM1003" i="16"/>
  <c r="BN1003" i="16" s="1"/>
  <c r="BM1002" i="16"/>
  <c r="BN1002" i="16" s="1"/>
  <c r="BM1001" i="16"/>
  <c r="BN1001" i="16" s="1"/>
  <c r="BM1000" i="16"/>
  <c r="BN1000" i="16" s="1"/>
  <c r="BM999" i="16"/>
  <c r="BN999" i="16" s="1"/>
  <c r="BM998" i="16"/>
  <c r="BN998" i="16" s="1"/>
  <c r="BM997" i="16"/>
  <c r="BN997" i="16" s="1"/>
  <c r="BM996" i="16"/>
  <c r="BN996" i="16" s="1"/>
  <c r="BM995" i="16"/>
  <c r="BN995" i="16" s="1"/>
  <c r="BM994" i="16"/>
  <c r="BN994" i="16" s="1"/>
  <c r="BM993" i="16"/>
  <c r="BN993" i="16" s="1"/>
  <c r="BM992" i="16"/>
  <c r="BN992" i="16" s="1"/>
  <c r="BM991" i="16"/>
  <c r="BN991" i="16" s="1"/>
  <c r="BM990" i="16"/>
  <c r="BN990" i="16" s="1"/>
  <c r="BM989" i="16"/>
  <c r="BN989" i="16" s="1"/>
  <c r="BM988" i="16"/>
  <c r="BN988" i="16" s="1"/>
  <c r="BM987" i="16"/>
  <c r="BN987" i="16" s="1"/>
  <c r="BM986" i="16"/>
  <c r="BN986" i="16" s="1"/>
  <c r="BM985" i="16"/>
  <c r="BN985" i="16" s="1"/>
  <c r="BM984" i="16"/>
  <c r="BN984" i="16" s="1"/>
  <c r="BM983" i="16"/>
  <c r="BN983" i="16" s="1"/>
  <c r="BM982" i="16"/>
  <c r="BN982" i="16" s="1"/>
  <c r="BM981" i="16"/>
  <c r="BN981" i="16" s="1"/>
  <c r="BM980" i="16"/>
  <c r="BN980" i="16" s="1"/>
  <c r="BM979" i="16"/>
  <c r="BN979" i="16" s="1"/>
  <c r="BM978" i="16"/>
  <c r="BN978" i="16" s="1"/>
  <c r="BM977" i="16"/>
  <c r="BN977" i="16" s="1"/>
  <c r="BM976" i="16"/>
  <c r="BN976" i="16" s="1"/>
  <c r="BM975" i="16"/>
  <c r="BN975" i="16" s="1"/>
  <c r="BM974" i="16"/>
  <c r="BN974" i="16" s="1"/>
  <c r="BM973" i="16"/>
  <c r="BN973" i="16" s="1"/>
  <c r="BM972" i="16"/>
  <c r="BN972" i="16" s="1"/>
  <c r="BM971" i="16"/>
  <c r="BN971" i="16" s="1"/>
  <c r="BM970" i="16"/>
  <c r="BN970" i="16" s="1"/>
  <c r="BM969" i="16"/>
  <c r="BN969" i="16" s="1"/>
  <c r="BM968" i="16"/>
  <c r="BN968" i="16" s="1"/>
  <c r="BM967" i="16"/>
  <c r="BN967" i="16" s="1"/>
  <c r="BM966" i="16"/>
  <c r="BN966" i="16" s="1"/>
  <c r="BM965" i="16"/>
  <c r="BN965" i="16" s="1"/>
  <c r="BM964" i="16"/>
  <c r="BN964" i="16" s="1"/>
  <c r="BM963" i="16"/>
  <c r="BN963" i="16" s="1"/>
  <c r="BM962" i="16"/>
  <c r="BN962" i="16" s="1"/>
  <c r="BM961" i="16"/>
  <c r="BN961" i="16" s="1"/>
  <c r="BM960" i="16"/>
  <c r="BN960" i="16" s="1"/>
  <c r="BM959" i="16"/>
  <c r="BN959" i="16" s="1"/>
  <c r="BM958" i="16"/>
  <c r="BN958" i="16" s="1"/>
  <c r="BM957" i="16"/>
  <c r="BN957" i="16" s="1"/>
  <c r="BM956" i="16"/>
  <c r="BN956" i="16" s="1"/>
  <c r="BM955" i="16"/>
  <c r="BN955" i="16" s="1"/>
  <c r="BM954" i="16"/>
  <c r="BN954" i="16" s="1"/>
  <c r="BM953" i="16"/>
  <c r="BN953" i="16" s="1"/>
  <c r="BM952" i="16"/>
  <c r="BN952" i="16" s="1"/>
  <c r="BM951" i="16"/>
  <c r="BN951" i="16" s="1"/>
  <c r="BM950" i="16"/>
  <c r="BN950" i="16" s="1"/>
  <c r="BM949" i="16"/>
  <c r="BN949" i="16" s="1"/>
  <c r="BM948" i="16"/>
  <c r="BN948" i="16" s="1"/>
  <c r="BM947" i="16"/>
  <c r="BN947" i="16" s="1"/>
  <c r="BM946" i="16"/>
  <c r="BN946" i="16" s="1"/>
  <c r="BM945" i="16"/>
  <c r="BN945" i="16" s="1"/>
  <c r="BM944" i="16"/>
  <c r="BN944" i="16" s="1"/>
  <c r="BM943" i="16"/>
  <c r="BN943" i="16" s="1"/>
  <c r="BM942" i="16"/>
  <c r="BN942" i="16" s="1"/>
  <c r="BM941" i="16"/>
  <c r="BN941" i="16" s="1"/>
  <c r="BM940" i="16"/>
  <c r="BN940" i="16" s="1"/>
  <c r="BM939" i="16"/>
  <c r="BN939" i="16" s="1"/>
  <c r="BM938" i="16"/>
  <c r="BN938" i="16" s="1"/>
  <c r="BM937" i="16"/>
  <c r="BN937" i="16" s="1"/>
  <c r="BM936" i="16"/>
  <c r="BN936" i="16" s="1"/>
  <c r="BM935" i="16"/>
  <c r="BN935" i="16" s="1"/>
  <c r="BM934" i="16"/>
  <c r="BN934" i="16" s="1"/>
  <c r="BM933" i="16"/>
  <c r="BN933" i="16" s="1"/>
  <c r="BM932" i="16"/>
  <c r="BN932" i="16" s="1"/>
  <c r="BM931" i="16"/>
  <c r="BN931" i="16" s="1"/>
  <c r="BM930" i="16"/>
  <c r="BN930" i="16" s="1"/>
  <c r="BM929" i="16"/>
  <c r="BN929" i="16" s="1"/>
  <c r="BM928" i="16"/>
  <c r="BN928" i="16" s="1"/>
  <c r="BM927" i="16"/>
  <c r="BN927" i="16" s="1"/>
  <c r="BM926" i="16"/>
  <c r="BN926" i="16" s="1"/>
  <c r="BM925" i="16"/>
  <c r="BN925" i="16" s="1"/>
  <c r="BM924" i="16"/>
  <c r="BN924" i="16" s="1"/>
  <c r="BM923" i="16"/>
  <c r="BN923" i="16" s="1"/>
  <c r="BM922" i="16"/>
  <c r="BN922" i="16" s="1"/>
  <c r="BM921" i="16"/>
  <c r="BN921" i="16" s="1"/>
  <c r="BM920" i="16"/>
  <c r="BN920" i="16" s="1"/>
  <c r="BM919" i="16"/>
  <c r="BN919" i="16" s="1"/>
  <c r="BM918" i="16"/>
  <c r="BN918" i="16" s="1"/>
  <c r="BM917" i="16"/>
  <c r="BN917" i="16" s="1"/>
  <c r="BM916" i="16"/>
  <c r="BN916" i="16" s="1"/>
  <c r="BM915" i="16"/>
  <c r="BN915" i="16" s="1"/>
  <c r="BM914" i="16"/>
  <c r="BN914" i="16" s="1"/>
  <c r="BM913" i="16"/>
  <c r="BN913" i="16" s="1"/>
  <c r="BM912" i="16"/>
  <c r="BN912" i="16" s="1"/>
  <c r="BM911" i="16"/>
  <c r="BN911" i="16" s="1"/>
  <c r="BM910" i="16"/>
  <c r="BN910" i="16" s="1"/>
  <c r="BM909" i="16"/>
  <c r="BN909" i="16" s="1"/>
  <c r="BM908" i="16"/>
  <c r="BN908" i="16" s="1"/>
  <c r="BM907" i="16"/>
  <c r="BN907" i="16" s="1"/>
  <c r="BM906" i="16"/>
  <c r="BN906" i="16" s="1"/>
  <c r="BM905" i="16"/>
  <c r="BN905" i="16" s="1"/>
  <c r="BM904" i="16"/>
  <c r="BN904" i="16" s="1"/>
  <c r="BM903" i="16"/>
  <c r="BN903" i="16" s="1"/>
  <c r="BM902" i="16"/>
  <c r="BN902" i="16" s="1"/>
  <c r="BM901" i="16"/>
  <c r="BN901" i="16" s="1"/>
  <c r="BM900" i="16"/>
  <c r="BN900" i="16" s="1"/>
  <c r="BM899" i="16"/>
  <c r="BN899" i="16" s="1"/>
  <c r="BM898" i="16"/>
  <c r="BN898" i="16" s="1"/>
  <c r="BM897" i="16"/>
  <c r="BN897" i="16" s="1"/>
  <c r="BM896" i="16"/>
  <c r="BN896" i="16" s="1"/>
  <c r="BM895" i="16"/>
  <c r="BN895" i="16" s="1"/>
  <c r="BM894" i="16"/>
  <c r="BN894" i="16" s="1"/>
  <c r="BM893" i="16"/>
  <c r="BN893" i="16" s="1"/>
  <c r="BM892" i="16"/>
  <c r="BN892" i="16" s="1"/>
  <c r="BM891" i="16"/>
  <c r="BN891" i="16" s="1"/>
  <c r="BM890" i="16"/>
  <c r="BN890" i="16" s="1"/>
  <c r="BM889" i="16"/>
  <c r="BN889" i="16" s="1"/>
  <c r="BM888" i="16"/>
  <c r="BN888" i="16" s="1"/>
  <c r="BM887" i="16"/>
  <c r="BN887" i="16" s="1"/>
  <c r="BM886" i="16"/>
  <c r="BN886" i="16" s="1"/>
  <c r="BM885" i="16"/>
  <c r="BN885" i="16" s="1"/>
  <c r="BM884" i="16"/>
  <c r="BN884" i="16" s="1"/>
  <c r="BM883" i="16"/>
  <c r="BN883" i="16" s="1"/>
  <c r="BM882" i="16"/>
  <c r="BN882" i="16" s="1"/>
  <c r="BM881" i="16"/>
  <c r="BN881" i="16" s="1"/>
  <c r="BM880" i="16"/>
  <c r="BN880" i="16" s="1"/>
  <c r="BM879" i="16"/>
  <c r="BN879" i="16" s="1"/>
  <c r="BM878" i="16"/>
  <c r="BN878" i="16" s="1"/>
  <c r="BM877" i="16"/>
  <c r="BN877" i="16" s="1"/>
  <c r="BM876" i="16"/>
  <c r="BN876" i="16" s="1"/>
  <c r="BM875" i="16"/>
  <c r="BN875" i="16" s="1"/>
  <c r="BM874" i="16"/>
  <c r="BN874" i="16" s="1"/>
  <c r="BM873" i="16"/>
  <c r="BN873" i="16" s="1"/>
  <c r="BM872" i="16"/>
  <c r="BN872" i="16" s="1"/>
  <c r="BM871" i="16"/>
  <c r="BN871" i="16" s="1"/>
  <c r="BM870" i="16"/>
  <c r="BN870" i="16" s="1"/>
  <c r="BM869" i="16"/>
  <c r="BN869" i="16" s="1"/>
  <c r="BM868" i="16"/>
  <c r="BN868" i="16" s="1"/>
  <c r="BM867" i="16"/>
  <c r="BN867" i="16" s="1"/>
  <c r="BM866" i="16"/>
  <c r="BN866" i="16" s="1"/>
  <c r="BM865" i="16"/>
  <c r="BN865" i="16" s="1"/>
  <c r="BM864" i="16"/>
  <c r="BN864" i="16" s="1"/>
  <c r="BM863" i="16"/>
  <c r="BN863" i="16" s="1"/>
  <c r="BM862" i="16"/>
  <c r="BN862" i="16" s="1"/>
  <c r="BM861" i="16"/>
  <c r="BN861" i="16" s="1"/>
  <c r="BM860" i="16"/>
  <c r="BN860" i="16" s="1"/>
  <c r="BM859" i="16"/>
  <c r="BN859" i="16" s="1"/>
  <c r="BM858" i="16"/>
  <c r="BN858" i="16" s="1"/>
  <c r="BM857" i="16"/>
  <c r="BN857" i="16" s="1"/>
  <c r="BM856" i="16"/>
  <c r="BN856" i="16" s="1"/>
  <c r="BM855" i="16"/>
  <c r="BN855" i="16" s="1"/>
  <c r="BM854" i="16"/>
  <c r="BN854" i="16" s="1"/>
  <c r="BM853" i="16"/>
  <c r="BN853" i="16" s="1"/>
  <c r="BM852" i="16"/>
  <c r="BN852" i="16" s="1"/>
  <c r="BM851" i="16"/>
  <c r="BN851" i="16" s="1"/>
  <c r="BM850" i="16"/>
  <c r="BN850" i="16" s="1"/>
  <c r="BM849" i="16"/>
  <c r="BN849" i="16" s="1"/>
  <c r="BM848" i="16"/>
  <c r="BN848" i="16" s="1"/>
  <c r="BM847" i="16"/>
  <c r="BN847" i="16" s="1"/>
  <c r="BM846" i="16"/>
  <c r="BN846" i="16" s="1"/>
  <c r="BM845" i="16"/>
  <c r="BN845" i="16" s="1"/>
  <c r="BM844" i="16"/>
  <c r="BN844" i="16" s="1"/>
  <c r="BM843" i="16"/>
  <c r="BN843" i="16" s="1"/>
  <c r="BM842" i="16"/>
  <c r="BN842" i="16" s="1"/>
  <c r="BM841" i="16"/>
  <c r="BN841" i="16" s="1"/>
  <c r="BM840" i="16"/>
  <c r="BN840" i="16" s="1"/>
  <c r="BM839" i="16"/>
  <c r="BN839" i="16" s="1"/>
  <c r="BM838" i="16"/>
  <c r="BN838" i="16" s="1"/>
  <c r="BM837" i="16"/>
  <c r="BN837" i="16" s="1"/>
  <c r="BM836" i="16"/>
  <c r="BN836" i="16" s="1"/>
  <c r="BM835" i="16"/>
  <c r="BN835" i="16" s="1"/>
  <c r="BM834" i="16"/>
  <c r="BN834" i="16" s="1"/>
  <c r="BM833" i="16"/>
  <c r="BN833" i="16" s="1"/>
  <c r="BM832" i="16"/>
  <c r="BN832" i="16" s="1"/>
  <c r="BM831" i="16"/>
  <c r="BN831" i="16" s="1"/>
  <c r="BM830" i="16"/>
  <c r="BN830" i="16" s="1"/>
  <c r="BM829" i="16"/>
  <c r="BN829" i="16" s="1"/>
  <c r="BM828" i="16"/>
  <c r="BN828" i="16" s="1"/>
  <c r="BM827" i="16"/>
  <c r="BN827" i="16" s="1"/>
  <c r="BM826" i="16"/>
  <c r="BN826" i="16" s="1"/>
  <c r="BM825" i="16"/>
  <c r="BN825" i="16" s="1"/>
  <c r="BM824" i="16"/>
  <c r="BN824" i="16" s="1"/>
  <c r="BM823" i="16"/>
  <c r="BN823" i="16" s="1"/>
  <c r="BM822" i="16"/>
  <c r="BN822" i="16" s="1"/>
  <c r="BM821" i="16"/>
  <c r="BN821" i="16" s="1"/>
  <c r="BM820" i="16"/>
  <c r="BN820" i="16" s="1"/>
  <c r="BM819" i="16"/>
  <c r="BN819" i="16" s="1"/>
  <c r="BM818" i="16"/>
  <c r="BN818" i="16" s="1"/>
  <c r="BM817" i="16"/>
  <c r="BN817" i="16" s="1"/>
  <c r="BM816" i="16"/>
  <c r="BN816" i="16" s="1"/>
  <c r="BM815" i="16"/>
  <c r="BN815" i="16" s="1"/>
  <c r="BM814" i="16"/>
  <c r="BN814" i="16" s="1"/>
  <c r="BM813" i="16"/>
  <c r="BN813" i="16" s="1"/>
  <c r="BM812" i="16"/>
  <c r="BN812" i="16" s="1"/>
  <c r="BM811" i="16"/>
  <c r="BN811" i="16" s="1"/>
  <c r="BM810" i="16"/>
  <c r="BN810" i="16" s="1"/>
  <c r="BM809" i="16"/>
  <c r="BN809" i="16" s="1"/>
  <c r="BM808" i="16"/>
  <c r="BN808" i="16" s="1"/>
  <c r="BM807" i="16"/>
  <c r="BN807" i="16" s="1"/>
  <c r="BM806" i="16"/>
  <c r="BN806" i="16" s="1"/>
  <c r="BM805" i="16"/>
  <c r="BN805" i="16" s="1"/>
  <c r="BM804" i="16"/>
  <c r="BN804" i="16" s="1"/>
  <c r="BM803" i="16"/>
  <c r="BN803" i="16" s="1"/>
  <c r="BM802" i="16"/>
  <c r="BN802" i="16" s="1"/>
  <c r="BM801" i="16"/>
  <c r="BN801" i="16" s="1"/>
  <c r="BM800" i="16"/>
  <c r="BN800" i="16" s="1"/>
  <c r="BM799" i="16"/>
  <c r="BN799" i="16" s="1"/>
  <c r="BM798" i="16"/>
  <c r="BN798" i="16" s="1"/>
  <c r="BM797" i="16"/>
  <c r="BN797" i="16" s="1"/>
  <c r="BM796" i="16"/>
  <c r="BN796" i="16" s="1"/>
  <c r="BM795" i="16"/>
  <c r="BN795" i="16" s="1"/>
  <c r="BM794" i="16"/>
  <c r="BN794" i="16" s="1"/>
  <c r="BM793" i="16"/>
  <c r="BN793" i="16" s="1"/>
  <c r="BM792" i="16"/>
  <c r="BN792" i="16" s="1"/>
  <c r="BM791" i="16"/>
  <c r="BN791" i="16" s="1"/>
  <c r="BM790" i="16"/>
  <c r="BN790" i="16" s="1"/>
  <c r="BM789" i="16"/>
  <c r="BN789" i="16" s="1"/>
  <c r="BM788" i="16"/>
  <c r="BN788" i="16" s="1"/>
  <c r="BM787" i="16"/>
  <c r="BN787" i="16" s="1"/>
  <c r="BM786" i="16"/>
  <c r="BN786" i="16" s="1"/>
  <c r="BM785" i="16"/>
  <c r="BN785" i="16" s="1"/>
  <c r="BM784" i="16"/>
  <c r="BN784" i="16" s="1"/>
  <c r="BM783" i="16"/>
  <c r="BN783" i="16" s="1"/>
  <c r="BM782" i="16"/>
  <c r="BN782" i="16" s="1"/>
  <c r="BM781" i="16"/>
  <c r="BN781" i="16" s="1"/>
  <c r="BM780" i="16"/>
  <c r="BN780" i="16" s="1"/>
  <c r="BM779" i="16"/>
  <c r="BN779" i="16" s="1"/>
  <c r="BM778" i="16"/>
  <c r="BN778" i="16" s="1"/>
  <c r="BM777" i="16"/>
  <c r="BN777" i="16" s="1"/>
  <c r="BM776" i="16"/>
  <c r="BN776" i="16" s="1"/>
  <c r="BM775" i="16"/>
  <c r="BN775" i="16" s="1"/>
  <c r="BM774" i="16"/>
  <c r="BN774" i="16" s="1"/>
  <c r="BM773" i="16"/>
  <c r="BN773" i="16" s="1"/>
  <c r="BM772" i="16"/>
  <c r="BN772" i="16" s="1"/>
  <c r="BM771" i="16"/>
  <c r="BN771" i="16" s="1"/>
  <c r="BM770" i="16"/>
  <c r="BN770" i="16" s="1"/>
  <c r="BM769" i="16"/>
  <c r="BN769" i="16" s="1"/>
  <c r="BM768" i="16"/>
  <c r="BN768" i="16" s="1"/>
  <c r="BM767" i="16"/>
  <c r="BN767" i="16" s="1"/>
  <c r="BM766" i="16"/>
  <c r="BN766" i="16" s="1"/>
  <c r="BM765" i="16"/>
  <c r="BN765" i="16" s="1"/>
  <c r="BM764" i="16"/>
  <c r="BN764" i="16" s="1"/>
  <c r="BM763" i="16"/>
  <c r="BN763" i="16" s="1"/>
  <c r="BM762" i="16"/>
  <c r="BN762" i="16" s="1"/>
  <c r="BM761" i="16"/>
  <c r="BN761" i="16" s="1"/>
  <c r="BM760" i="16"/>
  <c r="BN760" i="16" s="1"/>
  <c r="BM759" i="16"/>
  <c r="BN759" i="16" s="1"/>
  <c r="BM758" i="16"/>
  <c r="BN758" i="16" s="1"/>
  <c r="BM757" i="16"/>
  <c r="BN757" i="16" s="1"/>
  <c r="BM756" i="16"/>
  <c r="BN756" i="16" s="1"/>
  <c r="BM755" i="16"/>
  <c r="BN755" i="16" s="1"/>
  <c r="BM754" i="16"/>
  <c r="BN754" i="16" s="1"/>
  <c r="BM753" i="16"/>
  <c r="BN753" i="16" s="1"/>
  <c r="BM752" i="16"/>
  <c r="BN752" i="16" s="1"/>
  <c r="BM751" i="16"/>
  <c r="BN751" i="16" s="1"/>
  <c r="BM750" i="16"/>
  <c r="BN750" i="16" s="1"/>
  <c r="BM749" i="16"/>
  <c r="BN749" i="16" s="1"/>
  <c r="BM748" i="16"/>
  <c r="BN748" i="16" s="1"/>
  <c r="BM747" i="16"/>
  <c r="BN747" i="16" s="1"/>
  <c r="BM746" i="16"/>
  <c r="BN746" i="16" s="1"/>
  <c r="BM745" i="16"/>
  <c r="BN745" i="16" s="1"/>
  <c r="BM744" i="16"/>
  <c r="BN744" i="16" s="1"/>
  <c r="BM743" i="16"/>
  <c r="BN743" i="16" s="1"/>
  <c r="BM742" i="16"/>
  <c r="BN742" i="16" s="1"/>
  <c r="BM741" i="16"/>
  <c r="BN741" i="16" s="1"/>
  <c r="BM740" i="16"/>
  <c r="BN740" i="16" s="1"/>
  <c r="BM739" i="16"/>
  <c r="BN739" i="16" s="1"/>
  <c r="BM738" i="16"/>
  <c r="BN738" i="16" s="1"/>
  <c r="BM737" i="16"/>
  <c r="BN737" i="16" s="1"/>
  <c r="BM736" i="16"/>
  <c r="BN736" i="16" s="1"/>
  <c r="BM735" i="16"/>
  <c r="BN735" i="16" s="1"/>
  <c r="BM734" i="16"/>
  <c r="BN734" i="16" s="1"/>
  <c r="BM733" i="16"/>
  <c r="BN733" i="16" s="1"/>
  <c r="BM732" i="16"/>
  <c r="BN732" i="16" s="1"/>
  <c r="BM731" i="16"/>
  <c r="BN731" i="16" s="1"/>
  <c r="BM730" i="16"/>
  <c r="BN730" i="16" s="1"/>
  <c r="BM729" i="16"/>
  <c r="BN729" i="16" s="1"/>
  <c r="BM728" i="16"/>
  <c r="BN728" i="16" s="1"/>
  <c r="BM727" i="16"/>
  <c r="BN727" i="16" s="1"/>
  <c r="BM726" i="16"/>
  <c r="BN726" i="16" s="1"/>
  <c r="BM725" i="16"/>
  <c r="BN725" i="16" s="1"/>
  <c r="BM724" i="16"/>
  <c r="BN724" i="16" s="1"/>
  <c r="BM723" i="16"/>
  <c r="BN723" i="16" s="1"/>
  <c r="BM722" i="16"/>
  <c r="BN722" i="16" s="1"/>
  <c r="BM721" i="16"/>
  <c r="BN721" i="16" s="1"/>
  <c r="BM720" i="16"/>
  <c r="BN720" i="16" s="1"/>
  <c r="BM719" i="16"/>
  <c r="BN719" i="16" s="1"/>
  <c r="BM718" i="16"/>
  <c r="BN718" i="16" s="1"/>
  <c r="BM717" i="16"/>
  <c r="BN717" i="16" s="1"/>
  <c r="BM716" i="16"/>
  <c r="BN716" i="16" s="1"/>
  <c r="BM715" i="16"/>
  <c r="BN715" i="16" s="1"/>
  <c r="BM714" i="16"/>
  <c r="BN714" i="16" s="1"/>
  <c r="BM713" i="16"/>
  <c r="BN713" i="16" s="1"/>
  <c r="BM712" i="16"/>
  <c r="BN712" i="16" s="1"/>
  <c r="BM711" i="16"/>
  <c r="BN711" i="16" s="1"/>
  <c r="BM710" i="16"/>
  <c r="BN710" i="16" s="1"/>
  <c r="BM709" i="16"/>
  <c r="BN709" i="16" s="1"/>
  <c r="BM708" i="16"/>
  <c r="BN708" i="16" s="1"/>
  <c r="BM707" i="16"/>
  <c r="BN707" i="16" s="1"/>
  <c r="BM706" i="16"/>
  <c r="BN706" i="16" s="1"/>
  <c r="BM705" i="16"/>
  <c r="BN705" i="16" s="1"/>
  <c r="BM704" i="16"/>
  <c r="BN704" i="16" s="1"/>
  <c r="BM703" i="16"/>
  <c r="BN703" i="16" s="1"/>
  <c r="BM702" i="16"/>
  <c r="BN702" i="16" s="1"/>
  <c r="BM701" i="16"/>
  <c r="BN701" i="16" s="1"/>
  <c r="BM700" i="16"/>
  <c r="BN700" i="16" s="1"/>
  <c r="BM699" i="16"/>
  <c r="BN699" i="16" s="1"/>
  <c r="BM698" i="16"/>
  <c r="BN698" i="16" s="1"/>
  <c r="BM697" i="16"/>
  <c r="BN697" i="16" s="1"/>
  <c r="BM696" i="16"/>
  <c r="BN696" i="16" s="1"/>
  <c r="BM695" i="16"/>
  <c r="BN695" i="16" s="1"/>
  <c r="BM694" i="16"/>
  <c r="BN694" i="16" s="1"/>
  <c r="BM693" i="16"/>
  <c r="BN693" i="16" s="1"/>
  <c r="BM692" i="16"/>
  <c r="BN692" i="16" s="1"/>
  <c r="BM691" i="16"/>
  <c r="BN691" i="16" s="1"/>
  <c r="BM690" i="16"/>
  <c r="BN690" i="16" s="1"/>
  <c r="BM689" i="16"/>
  <c r="BN689" i="16" s="1"/>
  <c r="BM688" i="16"/>
  <c r="BN688" i="16" s="1"/>
  <c r="BM687" i="16"/>
  <c r="BN687" i="16" s="1"/>
  <c r="BM686" i="16"/>
  <c r="BN686" i="16" s="1"/>
  <c r="BM685" i="16"/>
  <c r="BN685" i="16" s="1"/>
  <c r="BM684" i="16"/>
  <c r="BN684" i="16" s="1"/>
  <c r="BM683" i="16"/>
  <c r="BN683" i="16" s="1"/>
  <c r="BM682" i="16"/>
  <c r="BN682" i="16" s="1"/>
  <c r="BM681" i="16"/>
  <c r="BN681" i="16" s="1"/>
  <c r="BM680" i="16"/>
  <c r="BN680" i="16" s="1"/>
  <c r="BM679" i="16"/>
  <c r="BN679" i="16" s="1"/>
  <c r="BM678" i="16"/>
  <c r="BN678" i="16" s="1"/>
  <c r="BM677" i="16"/>
  <c r="BN677" i="16" s="1"/>
  <c r="BM676" i="16"/>
  <c r="BN676" i="16" s="1"/>
  <c r="BM675" i="16"/>
  <c r="BN675" i="16" s="1"/>
  <c r="BM674" i="16"/>
  <c r="BN674" i="16" s="1"/>
  <c r="BM673" i="16"/>
  <c r="BN673" i="16" s="1"/>
  <c r="BM672" i="16"/>
  <c r="BN672" i="16" s="1"/>
  <c r="BM671" i="16"/>
  <c r="BN671" i="16" s="1"/>
  <c r="BM670" i="16"/>
  <c r="BN670" i="16" s="1"/>
  <c r="BM669" i="16"/>
  <c r="BN669" i="16" s="1"/>
  <c r="BM668" i="16"/>
  <c r="BN668" i="16" s="1"/>
  <c r="BM667" i="16"/>
  <c r="BN667" i="16" s="1"/>
  <c r="BM666" i="16"/>
  <c r="BN666" i="16" s="1"/>
  <c r="BM665" i="16"/>
  <c r="BN665" i="16" s="1"/>
  <c r="BM664" i="16"/>
  <c r="BN664" i="16" s="1"/>
  <c r="BM663" i="16"/>
  <c r="BN663" i="16" s="1"/>
  <c r="BM662" i="16"/>
  <c r="BN662" i="16" s="1"/>
  <c r="BM661" i="16"/>
  <c r="BN661" i="16" s="1"/>
  <c r="BM660" i="16"/>
  <c r="BN660" i="16" s="1"/>
  <c r="BM659" i="16"/>
  <c r="BN659" i="16" s="1"/>
  <c r="BM658" i="16"/>
  <c r="BN658" i="16" s="1"/>
  <c r="BM657" i="16"/>
  <c r="BN657" i="16" s="1"/>
  <c r="BM656" i="16"/>
  <c r="BN656" i="16" s="1"/>
  <c r="BM655" i="16"/>
  <c r="BN655" i="16" s="1"/>
  <c r="BM654" i="16"/>
  <c r="BN654" i="16" s="1"/>
  <c r="BM653" i="16"/>
  <c r="BN653" i="16" s="1"/>
  <c r="BM652" i="16"/>
  <c r="BN652" i="16" s="1"/>
  <c r="BM651" i="16"/>
  <c r="BN651" i="16" s="1"/>
  <c r="BM650" i="16"/>
  <c r="BN650" i="16" s="1"/>
  <c r="BM649" i="16"/>
  <c r="BN649" i="16" s="1"/>
  <c r="BM648" i="16"/>
  <c r="BN648" i="16" s="1"/>
  <c r="BM647" i="16"/>
  <c r="BN647" i="16" s="1"/>
  <c r="BM646" i="16"/>
  <c r="BN646" i="16" s="1"/>
  <c r="BM645" i="16"/>
  <c r="BN645" i="16" s="1"/>
  <c r="BM644" i="16"/>
  <c r="BN644" i="16" s="1"/>
  <c r="BM643" i="16"/>
  <c r="BN643" i="16" s="1"/>
  <c r="BM642" i="16"/>
  <c r="BN642" i="16" s="1"/>
  <c r="BM641" i="16"/>
  <c r="BN641" i="16" s="1"/>
  <c r="BM640" i="16"/>
  <c r="BN640" i="16" s="1"/>
  <c r="BM639" i="16"/>
  <c r="BN639" i="16" s="1"/>
  <c r="BM638" i="16"/>
  <c r="BN638" i="16" s="1"/>
  <c r="BM637" i="16"/>
  <c r="BN637" i="16" s="1"/>
  <c r="BM636" i="16"/>
  <c r="BN636" i="16" s="1"/>
  <c r="BM635" i="16"/>
  <c r="BN635" i="16" s="1"/>
  <c r="BM634" i="16"/>
  <c r="BN634" i="16" s="1"/>
  <c r="BM633" i="16"/>
  <c r="BN633" i="16" s="1"/>
  <c r="BM632" i="16"/>
  <c r="BN632" i="16" s="1"/>
  <c r="BM631" i="16"/>
  <c r="BN631" i="16" s="1"/>
  <c r="BM630" i="16"/>
  <c r="BN630" i="16" s="1"/>
  <c r="BM629" i="16"/>
  <c r="BN629" i="16" s="1"/>
  <c r="BM628" i="16"/>
  <c r="BN628" i="16" s="1"/>
  <c r="BM627" i="16"/>
  <c r="BN627" i="16" s="1"/>
  <c r="BM626" i="16"/>
  <c r="BN626" i="16" s="1"/>
  <c r="BM625" i="16"/>
  <c r="BN625" i="16" s="1"/>
  <c r="BM624" i="16"/>
  <c r="BN624" i="16" s="1"/>
  <c r="BM623" i="16"/>
  <c r="BN623" i="16" s="1"/>
  <c r="BM622" i="16"/>
  <c r="BN622" i="16" s="1"/>
  <c r="BM621" i="16"/>
  <c r="BN621" i="16" s="1"/>
  <c r="BM620" i="16"/>
  <c r="BN620" i="16" s="1"/>
  <c r="BM619" i="16"/>
  <c r="BN619" i="16" s="1"/>
  <c r="BM618" i="16"/>
  <c r="BN618" i="16" s="1"/>
  <c r="BM617" i="16"/>
  <c r="BN617" i="16" s="1"/>
  <c r="BM616" i="16"/>
  <c r="BN616" i="16" s="1"/>
  <c r="BM615" i="16"/>
  <c r="BN615" i="16" s="1"/>
  <c r="BM614" i="16"/>
  <c r="BN614" i="16" s="1"/>
  <c r="BM613" i="16"/>
  <c r="BN613" i="16" s="1"/>
  <c r="BM612" i="16"/>
  <c r="BN612" i="16" s="1"/>
  <c r="BM611" i="16"/>
  <c r="BN611" i="16" s="1"/>
  <c r="BM610" i="16"/>
  <c r="BN610" i="16" s="1"/>
  <c r="BM609" i="16"/>
  <c r="BN609" i="16" s="1"/>
  <c r="BM608" i="16"/>
  <c r="BN608" i="16" s="1"/>
  <c r="BM607" i="16"/>
  <c r="BN607" i="16" s="1"/>
  <c r="BM606" i="16"/>
  <c r="BN606" i="16" s="1"/>
  <c r="BM605" i="16"/>
  <c r="BN605" i="16" s="1"/>
  <c r="BM604" i="16"/>
  <c r="BN604" i="16" s="1"/>
  <c r="BM603" i="16"/>
  <c r="BN603" i="16" s="1"/>
  <c r="BM602" i="16"/>
  <c r="BN602" i="16" s="1"/>
  <c r="BM601" i="16"/>
  <c r="BN601" i="16" s="1"/>
  <c r="BM600" i="16"/>
  <c r="BN600" i="16" s="1"/>
  <c r="BM599" i="16"/>
  <c r="BN599" i="16" s="1"/>
  <c r="BM598" i="16"/>
  <c r="BN598" i="16" s="1"/>
  <c r="BM597" i="16"/>
  <c r="BN597" i="16" s="1"/>
  <c r="BM596" i="16"/>
  <c r="BN596" i="16" s="1"/>
  <c r="BM595" i="16"/>
  <c r="BN595" i="16" s="1"/>
  <c r="BM594" i="16"/>
  <c r="BN594" i="16" s="1"/>
  <c r="BM593" i="16"/>
  <c r="BN593" i="16" s="1"/>
  <c r="BM592" i="16"/>
  <c r="BN592" i="16" s="1"/>
  <c r="BM591" i="16"/>
  <c r="BN591" i="16" s="1"/>
  <c r="BM590" i="16"/>
  <c r="BN590" i="16" s="1"/>
  <c r="BM589" i="16"/>
  <c r="BN589" i="16" s="1"/>
  <c r="BM588" i="16"/>
  <c r="BN588" i="16" s="1"/>
  <c r="BM587" i="16"/>
  <c r="BN587" i="16" s="1"/>
  <c r="BM586" i="16"/>
  <c r="BN586" i="16" s="1"/>
  <c r="BM585" i="16"/>
  <c r="BN585" i="16" s="1"/>
  <c r="BM584" i="16"/>
  <c r="BN584" i="16" s="1"/>
  <c r="BM583" i="16"/>
  <c r="BN583" i="16" s="1"/>
  <c r="BM582" i="16"/>
  <c r="BN582" i="16" s="1"/>
  <c r="BM581" i="16"/>
  <c r="BN581" i="16" s="1"/>
  <c r="BM580" i="16"/>
  <c r="BN580" i="16" s="1"/>
  <c r="BM579" i="16"/>
  <c r="BN579" i="16" s="1"/>
  <c r="BM578" i="16"/>
  <c r="BN578" i="16" s="1"/>
  <c r="BM577" i="16"/>
  <c r="BN577" i="16" s="1"/>
  <c r="BM576" i="16"/>
  <c r="BN576" i="16" s="1"/>
  <c r="BM575" i="16"/>
  <c r="BN575" i="16" s="1"/>
  <c r="BM574" i="16"/>
  <c r="BN574" i="16" s="1"/>
  <c r="BM573" i="16"/>
  <c r="BN573" i="16" s="1"/>
  <c r="BM572" i="16"/>
  <c r="BN572" i="16" s="1"/>
  <c r="BM571" i="16"/>
  <c r="BN571" i="16" s="1"/>
  <c r="BM570" i="16"/>
  <c r="BN570" i="16" s="1"/>
  <c r="BM569" i="16"/>
  <c r="BN569" i="16" s="1"/>
  <c r="BM568" i="16"/>
  <c r="BN568" i="16" s="1"/>
  <c r="BM567" i="16"/>
  <c r="BN567" i="16" s="1"/>
  <c r="BM566" i="16"/>
  <c r="BN566" i="16" s="1"/>
  <c r="BM565" i="16"/>
  <c r="BN565" i="16" s="1"/>
  <c r="BM564" i="16"/>
  <c r="BN564" i="16" s="1"/>
  <c r="BM563" i="16"/>
  <c r="BN563" i="16" s="1"/>
  <c r="BM562" i="16"/>
  <c r="BN562" i="16" s="1"/>
  <c r="BM561" i="16"/>
  <c r="BN561" i="16" s="1"/>
  <c r="BM560" i="16"/>
  <c r="BN560" i="16" s="1"/>
  <c r="BM559" i="16"/>
  <c r="BN559" i="16" s="1"/>
  <c r="BM558" i="16"/>
  <c r="BN558" i="16" s="1"/>
  <c r="BM557" i="16"/>
  <c r="BN557" i="16" s="1"/>
  <c r="BM556" i="16"/>
  <c r="BN556" i="16" s="1"/>
  <c r="BM555" i="16"/>
  <c r="BN555" i="16" s="1"/>
  <c r="BM554" i="16"/>
  <c r="BN554" i="16" s="1"/>
  <c r="BM553" i="16"/>
  <c r="BN553" i="16" s="1"/>
  <c r="BM552" i="16"/>
  <c r="BN552" i="16" s="1"/>
  <c r="BM551" i="16"/>
  <c r="BN551" i="16" s="1"/>
  <c r="BM550" i="16"/>
  <c r="BN550" i="16" s="1"/>
  <c r="BM549" i="16"/>
  <c r="BN549" i="16" s="1"/>
  <c r="BM548" i="16"/>
  <c r="BN548" i="16" s="1"/>
  <c r="BM547" i="16"/>
  <c r="BN547" i="16" s="1"/>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M177" i="16"/>
  <c r="BM178" i="16"/>
  <c r="BM179" i="16"/>
  <c r="BM180" i="16"/>
  <c r="BM181" i="16"/>
  <c r="BM182" i="16"/>
  <c r="BM183" i="16"/>
  <c r="BM184" i="16"/>
  <c r="BM185" i="16"/>
  <c r="BM186" i="16"/>
  <c r="BM187" i="16"/>
  <c r="BM188" i="16"/>
  <c r="BM189" i="16"/>
  <c r="BM190" i="16"/>
  <c r="BM191" i="16"/>
  <c r="BM192" i="16"/>
  <c r="BM193" i="16"/>
  <c r="BM194" i="16"/>
  <c r="BM195" i="16"/>
  <c r="BM196" i="16"/>
  <c r="BM197" i="16"/>
  <c r="BM198" i="16"/>
  <c r="BM199" i="16"/>
  <c r="BM200" i="16"/>
  <c r="BM201" i="16"/>
  <c r="BM202" i="16"/>
  <c r="BM203" i="16"/>
  <c r="BM204" i="16"/>
  <c r="BM205" i="16"/>
  <c r="BM206" i="16"/>
  <c r="BM207" i="16"/>
  <c r="BM208" i="16"/>
  <c r="BM209" i="16"/>
  <c r="BM210" i="16"/>
  <c r="BM211" i="16"/>
  <c r="BM212" i="16"/>
  <c r="BM213" i="16"/>
  <c r="BM214" i="16"/>
  <c r="BM215" i="16"/>
  <c r="BM216" i="16"/>
  <c r="BM217" i="16"/>
  <c r="BM218" i="16"/>
  <c r="BM219" i="16"/>
  <c r="BM220" i="16"/>
  <c r="BM221" i="16"/>
  <c r="BM222" i="16"/>
  <c r="BM223" i="16"/>
  <c r="BM224" i="16"/>
  <c r="BM225" i="16"/>
  <c r="BM226" i="16"/>
  <c r="BM227" i="16"/>
  <c r="BM228" i="16"/>
  <c r="BM229" i="16"/>
  <c r="BM230" i="16"/>
  <c r="BM231" i="16"/>
  <c r="BM232" i="16"/>
  <c r="BM233" i="16"/>
  <c r="BM234" i="16"/>
  <c r="BM235" i="16"/>
  <c r="BM236" i="16"/>
  <c r="BM237" i="16"/>
  <c r="BM238" i="16"/>
  <c r="BM239" i="16"/>
  <c r="BM240" i="16"/>
  <c r="BM241" i="16"/>
  <c r="BM242" i="16"/>
  <c r="BM243" i="16"/>
  <c r="BM244" i="16"/>
  <c r="BM245" i="16"/>
  <c r="BM246" i="16"/>
  <c r="BM247" i="16"/>
  <c r="BM248" i="16"/>
  <c r="BM249" i="16"/>
  <c r="BM250" i="16"/>
  <c r="BM251" i="16"/>
  <c r="BM252" i="16"/>
  <c r="BM253" i="16"/>
  <c r="BM254" i="16"/>
  <c r="BM255" i="16"/>
  <c r="BM256" i="16"/>
  <c r="BM257" i="16"/>
  <c r="BM258" i="16"/>
  <c r="BM259" i="16"/>
  <c r="BM260" i="16"/>
  <c r="BM261" i="16"/>
  <c r="BM262" i="16"/>
  <c r="BM263" i="16"/>
  <c r="BM264" i="16"/>
  <c r="BM265" i="16"/>
  <c r="BM266" i="16"/>
  <c r="BM267" i="16"/>
  <c r="BM268" i="16"/>
  <c r="BM269" i="16"/>
  <c r="BM270" i="16"/>
  <c r="BM271" i="16"/>
  <c r="BM272" i="16"/>
  <c r="BM273" i="16"/>
  <c r="BM274" i="16"/>
  <c r="BM275" i="16"/>
  <c r="BM276" i="16"/>
  <c r="BM277" i="16"/>
  <c r="BM278" i="16"/>
  <c r="BM279" i="16"/>
  <c r="BM280" i="16"/>
  <c r="BM281" i="16"/>
  <c r="BM282" i="16"/>
  <c r="BM283" i="16"/>
  <c r="BM284" i="16"/>
  <c r="BM285" i="16"/>
  <c r="BM286" i="16"/>
  <c r="BM287" i="16"/>
  <c r="BM288" i="16"/>
  <c r="BM289" i="16"/>
  <c r="BM290" i="16"/>
  <c r="BM291" i="16"/>
  <c r="BM292" i="16"/>
  <c r="BM293" i="16"/>
  <c r="BM294" i="16"/>
  <c r="BM295" i="16"/>
  <c r="BM296" i="16"/>
  <c r="BM297" i="16"/>
  <c r="BM298" i="16"/>
  <c r="BM299" i="16"/>
  <c r="BM300" i="16"/>
  <c r="BM301" i="16"/>
  <c r="BM302" i="16"/>
  <c r="BM303" i="16"/>
  <c r="BM304" i="16"/>
  <c r="BM305" i="16"/>
  <c r="BM306" i="16"/>
  <c r="BM307" i="16"/>
  <c r="BM308" i="16"/>
  <c r="BM309" i="16"/>
  <c r="BM310" i="16"/>
  <c r="BM311" i="16"/>
  <c r="BM312" i="16"/>
  <c r="BM313" i="16"/>
  <c r="BM314" i="16"/>
  <c r="BM315" i="16"/>
  <c r="BM316" i="16"/>
  <c r="BM317" i="16"/>
  <c r="BM318" i="16"/>
  <c r="BM319" i="16"/>
  <c r="BM320" i="16"/>
  <c r="BM321" i="16"/>
  <c r="BM322" i="16"/>
  <c r="BM323" i="16"/>
  <c r="BM324" i="16"/>
  <c r="BM325" i="16"/>
  <c r="BM326" i="16"/>
  <c r="BM327" i="16"/>
  <c r="BM328" i="16"/>
  <c r="BM329" i="16"/>
  <c r="BM330" i="16"/>
  <c r="BM331" i="16"/>
  <c r="BM332" i="16"/>
  <c r="BM333" i="16"/>
  <c r="BM334" i="16"/>
  <c r="BM335" i="16"/>
  <c r="BM336" i="16"/>
  <c r="BM337" i="16"/>
  <c r="BM338" i="16"/>
  <c r="BM339" i="16"/>
  <c r="BM340" i="16"/>
  <c r="BM341" i="16"/>
  <c r="BM342" i="16"/>
  <c r="BM343" i="16"/>
  <c r="BM344" i="16"/>
  <c r="BM345" i="16"/>
  <c r="BM346" i="16"/>
  <c r="BM347" i="16"/>
  <c r="BM348" i="16"/>
  <c r="BM349" i="16"/>
  <c r="BM350" i="16"/>
  <c r="BM351" i="16"/>
  <c r="BM352" i="16"/>
  <c r="BM353" i="16"/>
  <c r="BM354" i="16"/>
  <c r="BM355" i="16"/>
  <c r="BM356" i="16"/>
  <c r="BM357" i="16"/>
  <c r="BM358" i="16"/>
  <c r="BM359" i="16"/>
  <c r="BM360" i="16"/>
  <c r="BM361" i="16"/>
  <c r="BM362" i="16"/>
  <c r="BM363" i="16"/>
  <c r="BM364" i="16"/>
  <c r="BM365" i="16"/>
  <c r="BM366" i="16"/>
  <c r="BM367" i="16"/>
  <c r="BM368" i="16"/>
  <c r="BM369" i="16"/>
  <c r="BM370" i="16"/>
  <c r="BM371" i="16"/>
  <c r="BM372" i="16"/>
  <c r="BM373" i="16"/>
  <c r="BM374" i="16"/>
  <c r="BM375" i="16"/>
  <c r="BM376" i="16"/>
  <c r="BM377" i="16"/>
  <c r="BM378" i="16"/>
  <c r="BM379" i="16"/>
  <c r="BM380" i="16"/>
  <c r="BM381" i="16"/>
  <c r="BM382" i="16"/>
  <c r="BM383" i="16"/>
  <c r="BM384" i="16"/>
  <c r="BM385" i="16"/>
  <c r="BM386" i="16"/>
  <c r="BM387" i="16"/>
  <c r="BM388" i="16"/>
  <c r="BM389" i="16"/>
  <c r="BM390" i="16"/>
  <c r="BM391" i="16"/>
  <c r="BM392" i="16"/>
  <c r="BM393" i="16"/>
  <c r="BM394" i="16"/>
  <c r="BM395" i="16"/>
  <c r="BM396" i="16"/>
  <c r="BM397" i="16"/>
  <c r="BM398" i="16"/>
  <c r="BM399" i="16"/>
  <c r="BM400" i="16"/>
  <c r="BM401" i="16"/>
  <c r="BM402" i="16"/>
  <c r="BM403" i="16"/>
  <c r="BM404" i="16"/>
  <c r="BM405" i="16"/>
  <c r="BM406" i="16"/>
  <c r="BM407" i="16"/>
  <c r="BM408" i="16"/>
  <c r="BM409" i="16"/>
  <c r="BM410" i="16"/>
  <c r="BM411" i="16"/>
  <c r="BM412" i="16"/>
  <c r="BM413" i="16"/>
  <c r="BM414" i="16"/>
  <c r="BM415" i="16"/>
  <c r="BM416" i="16"/>
  <c r="BM417" i="16"/>
  <c r="BM418" i="16"/>
  <c r="BM419" i="16"/>
  <c r="BM420" i="16"/>
  <c r="BM421" i="16"/>
  <c r="BM422" i="16"/>
  <c r="BM423" i="16"/>
  <c r="BM424" i="16"/>
  <c r="BM425" i="16"/>
  <c r="BM426" i="16"/>
  <c r="BM427" i="16"/>
  <c r="BM428" i="16"/>
  <c r="BM429" i="16"/>
  <c r="BM430" i="16"/>
  <c r="BM431" i="16"/>
  <c r="BM432" i="16"/>
  <c r="BM433" i="16"/>
  <c r="BM434" i="16"/>
  <c r="BM435" i="16"/>
  <c r="BM436" i="16"/>
  <c r="BM437" i="16"/>
  <c r="BM438" i="16"/>
  <c r="BM439" i="16"/>
  <c r="BM440" i="16"/>
  <c r="BM441" i="16"/>
  <c r="BM442" i="16"/>
  <c r="BM443" i="16"/>
  <c r="BM444" i="16"/>
  <c r="BM445" i="16"/>
  <c r="BM446" i="16"/>
  <c r="BM447" i="16"/>
  <c r="BM448" i="16"/>
  <c r="BM5" i="16"/>
  <c r="AS1629" i="16"/>
  <c r="AT1629" i="16" s="1"/>
  <c r="AS1628" i="16"/>
  <c r="AT1628" i="16" s="1"/>
  <c r="AS1627" i="16"/>
  <c r="AT1627" i="16" s="1"/>
  <c r="AS1626" i="16"/>
  <c r="AT1626" i="16" s="1"/>
  <c r="AS1625" i="16"/>
  <c r="AT1625" i="16" s="1"/>
  <c r="AS1624" i="16"/>
  <c r="AT1624" i="16" s="1"/>
  <c r="AS1623" i="16"/>
  <c r="AT1623" i="16" s="1"/>
  <c r="AS1622" i="16"/>
  <c r="AT1622" i="16" s="1"/>
  <c r="AS1621" i="16"/>
  <c r="AT1621" i="16" s="1"/>
  <c r="AS1620" i="16"/>
  <c r="AT1620" i="16" s="1"/>
  <c r="AS1619" i="16"/>
  <c r="AT1619" i="16" s="1"/>
  <c r="AS1618" i="16"/>
  <c r="AT1618" i="16" s="1"/>
  <c r="AS1617" i="16"/>
  <c r="AT1617" i="16" s="1"/>
  <c r="AS1616" i="16"/>
  <c r="AT1616" i="16" s="1"/>
  <c r="AS1615" i="16"/>
  <c r="AT1615" i="16" s="1"/>
  <c r="AS1614" i="16"/>
  <c r="AT1614" i="16" s="1"/>
  <c r="AS1613" i="16"/>
  <c r="AT1613" i="16" s="1"/>
  <c r="AS1612" i="16"/>
  <c r="AT1612" i="16" s="1"/>
  <c r="AS1611" i="16"/>
  <c r="AT1611" i="16" s="1"/>
  <c r="AS1610" i="16"/>
  <c r="AT1610" i="16" s="1"/>
  <c r="AS1609" i="16"/>
  <c r="AT1609" i="16" s="1"/>
  <c r="AS1608" i="16"/>
  <c r="AT1608" i="16" s="1"/>
  <c r="AS1607" i="16"/>
  <c r="AT1607" i="16" s="1"/>
  <c r="AS1606" i="16"/>
  <c r="AT1606" i="16" s="1"/>
  <c r="AS1605" i="16"/>
  <c r="AT1605" i="16" s="1"/>
  <c r="AS1604" i="16"/>
  <c r="AT1604" i="16" s="1"/>
  <c r="AS1603" i="16"/>
  <c r="AT1603" i="16" s="1"/>
  <c r="AS1602" i="16"/>
  <c r="AT1602" i="16" s="1"/>
  <c r="AS1601" i="16"/>
  <c r="AT1601" i="16" s="1"/>
  <c r="AS1600" i="16"/>
  <c r="AT1600" i="16" s="1"/>
  <c r="AS1599" i="16"/>
  <c r="AT1599" i="16" s="1"/>
  <c r="AS1598" i="16"/>
  <c r="AT1598" i="16" s="1"/>
  <c r="AS1597" i="16"/>
  <c r="AT1597" i="16" s="1"/>
  <c r="AS1596" i="16"/>
  <c r="AT1596" i="16" s="1"/>
  <c r="AS1595" i="16"/>
  <c r="AT1595" i="16" s="1"/>
  <c r="AS1594" i="16"/>
  <c r="AT1594" i="16" s="1"/>
  <c r="AS1593" i="16"/>
  <c r="AT1593" i="16" s="1"/>
  <c r="AS1592" i="16"/>
  <c r="AT1592" i="16" s="1"/>
  <c r="AS1591" i="16"/>
  <c r="AT1591" i="16" s="1"/>
  <c r="AS1590" i="16"/>
  <c r="AT1590" i="16" s="1"/>
  <c r="AS1589" i="16"/>
  <c r="AT1589" i="16" s="1"/>
  <c r="AS1588" i="16"/>
  <c r="AT1588" i="16" s="1"/>
  <c r="AS1587" i="16"/>
  <c r="AT1587" i="16" s="1"/>
  <c r="AS1586" i="16"/>
  <c r="AT1586" i="16" s="1"/>
  <c r="AS1585" i="16"/>
  <c r="AT1585" i="16" s="1"/>
  <c r="AS1584" i="16"/>
  <c r="AT1584" i="16" s="1"/>
  <c r="AS1583" i="16"/>
  <c r="AT1583" i="16" s="1"/>
  <c r="AS1582" i="16"/>
  <c r="AT1582" i="16" s="1"/>
  <c r="AS1581" i="16"/>
  <c r="AT1581" i="16" s="1"/>
  <c r="AS1580" i="16"/>
  <c r="AT1580" i="16" s="1"/>
  <c r="AS1579" i="16"/>
  <c r="AT1579" i="16" s="1"/>
  <c r="AS1578" i="16"/>
  <c r="AT1578" i="16" s="1"/>
  <c r="AS1577" i="16"/>
  <c r="AT1577" i="16" s="1"/>
  <c r="AS1576" i="16"/>
  <c r="AT1576" i="16" s="1"/>
  <c r="AS1575" i="16"/>
  <c r="AT1575" i="16" s="1"/>
  <c r="AS1574" i="16"/>
  <c r="AT1574" i="16" s="1"/>
  <c r="AS1573" i="16"/>
  <c r="AT1573" i="16" s="1"/>
  <c r="AS1572" i="16"/>
  <c r="AT1572" i="16" s="1"/>
  <c r="AS1571" i="16"/>
  <c r="AT1571" i="16" s="1"/>
  <c r="AS1570" i="16"/>
  <c r="AT1570" i="16" s="1"/>
  <c r="AS1569" i="16"/>
  <c r="AT1569" i="16" s="1"/>
  <c r="AS1568" i="16"/>
  <c r="AT1568" i="16" s="1"/>
  <c r="AS1567" i="16"/>
  <c r="AT1567" i="16" s="1"/>
  <c r="AS1566" i="16"/>
  <c r="AT1566" i="16" s="1"/>
  <c r="AS1565" i="16"/>
  <c r="AT1565" i="16" s="1"/>
  <c r="AS1564" i="16"/>
  <c r="AT1564" i="16" s="1"/>
  <c r="AS1563" i="16"/>
  <c r="AT1563" i="16" s="1"/>
  <c r="AS1562" i="16"/>
  <c r="AT1562" i="16" s="1"/>
  <c r="AS1561" i="16"/>
  <c r="AT1561" i="16" s="1"/>
  <c r="AS1560" i="16"/>
  <c r="AT1560" i="16" s="1"/>
  <c r="AS1559" i="16"/>
  <c r="AT1559" i="16" s="1"/>
  <c r="AS1558" i="16"/>
  <c r="AT1558" i="16" s="1"/>
  <c r="AS1557" i="16"/>
  <c r="AT1557" i="16" s="1"/>
  <c r="AS1556" i="16"/>
  <c r="AT1556" i="16" s="1"/>
  <c r="AS1555" i="16"/>
  <c r="AT1555" i="16" s="1"/>
  <c r="AS1554" i="16"/>
  <c r="AT1554" i="16" s="1"/>
  <c r="AS1553" i="16"/>
  <c r="AT1553" i="16" s="1"/>
  <c r="AS1552" i="16"/>
  <c r="AT1552" i="16" s="1"/>
  <c r="AS1551" i="16"/>
  <c r="AT1551" i="16" s="1"/>
  <c r="AS1550" i="16"/>
  <c r="AT1550" i="16" s="1"/>
  <c r="AS1549" i="16"/>
  <c r="AT1549" i="16" s="1"/>
  <c r="AS1548" i="16"/>
  <c r="AT1548" i="16" s="1"/>
  <c r="AS1547" i="16"/>
  <c r="AT1547" i="16" s="1"/>
  <c r="AS1546" i="16"/>
  <c r="AT1546" i="16" s="1"/>
  <c r="AS1545" i="16"/>
  <c r="AT1545" i="16" s="1"/>
  <c r="AS1544" i="16"/>
  <c r="AT1544" i="16" s="1"/>
  <c r="AS1543" i="16"/>
  <c r="AT1543" i="16" s="1"/>
  <c r="AS1542" i="16"/>
  <c r="AT1542" i="16" s="1"/>
  <c r="AS1541" i="16"/>
  <c r="AT1541" i="16" s="1"/>
  <c r="AS1540" i="16"/>
  <c r="AT1540" i="16" s="1"/>
  <c r="AS1539" i="16"/>
  <c r="AT1539" i="16" s="1"/>
  <c r="AS1538" i="16"/>
  <c r="AT1538" i="16" s="1"/>
  <c r="AS1537" i="16"/>
  <c r="AT1537" i="16" s="1"/>
  <c r="AS1536" i="16"/>
  <c r="AT1536" i="16" s="1"/>
  <c r="AS1535" i="16"/>
  <c r="AT1535" i="16" s="1"/>
  <c r="AS1534" i="16"/>
  <c r="AT1534" i="16" s="1"/>
  <c r="AS1533" i="16"/>
  <c r="AT1533" i="16" s="1"/>
  <c r="AS1532" i="16"/>
  <c r="AT1532" i="16" s="1"/>
  <c r="AS1531" i="16"/>
  <c r="AT1531" i="16" s="1"/>
  <c r="AS1530" i="16"/>
  <c r="AT1530" i="16" s="1"/>
  <c r="AS1529" i="16"/>
  <c r="AT1529" i="16" s="1"/>
  <c r="AS1528" i="16"/>
  <c r="AT1528" i="16" s="1"/>
  <c r="AS1527" i="16"/>
  <c r="AT1527" i="16" s="1"/>
  <c r="AS1526" i="16"/>
  <c r="AT1526" i="16" s="1"/>
  <c r="AS1525" i="16"/>
  <c r="AT1525" i="16" s="1"/>
  <c r="AS1524" i="16"/>
  <c r="AT1524" i="16" s="1"/>
  <c r="AS1523" i="16"/>
  <c r="AT1523" i="16" s="1"/>
  <c r="AS1522" i="16"/>
  <c r="AT1522" i="16" s="1"/>
  <c r="AS1521" i="16"/>
  <c r="AT1521" i="16" s="1"/>
  <c r="AS1520" i="16"/>
  <c r="AT1520" i="16" s="1"/>
  <c r="AS1519" i="16"/>
  <c r="AT1519" i="16" s="1"/>
  <c r="AS1518" i="16"/>
  <c r="AT1518" i="16" s="1"/>
  <c r="AS1517" i="16"/>
  <c r="AT1517" i="16" s="1"/>
  <c r="AS1516" i="16"/>
  <c r="AT1516" i="16" s="1"/>
  <c r="AS1515" i="16"/>
  <c r="AT1515" i="16" s="1"/>
  <c r="AS1514" i="16"/>
  <c r="AT1514" i="16" s="1"/>
  <c r="AS1513" i="16"/>
  <c r="AT1513" i="16" s="1"/>
  <c r="AS1512" i="16"/>
  <c r="AT1512" i="16" s="1"/>
  <c r="AS1511" i="16"/>
  <c r="AT1511" i="16" s="1"/>
  <c r="AS1510" i="16"/>
  <c r="AT1510" i="16" s="1"/>
  <c r="AS1509" i="16"/>
  <c r="AT1509" i="16" s="1"/>
  <c r="AS1508" i="16"/>
  <c r="AT1508" i="16" s="1"/>
  <c r="AS1507" i="16"/>
  <c r="AT1507" i="16" s="1"/>
  <c r="AS1506" i="16"/>
  <c r="AT1506" i="16" s="1"/>
  <c r="AS1505" i="16"/>
  <c r="AT1505" i="16" s="1"/>
  <c r="AS1504" i="16"/>
  <c r="AT1504" i="16" s="1"/>
  <c r="AS1503" i="16"/>
  <c r="AT1503" i="16" s="1"/>
  <c r="AS1502" i="16"/>
  <c r="AT1502" i="16" s="1"/>
  <c r="AS1501" i="16"/>
  <c r="AT1501" i="16" s="1"/>
  <c r="AS1500" i="16"/>
  <c r="AT1500" i="16" s="1"/>
  <c r="AS1499" i="16"/>
  <c r="AT1499" i="16" s="1"/>
  <c r="AS1498" i="16"/>
  <c r="AT1498" i="16" s="1"/>
  <c r="AS1497" i="16"/>
  <c r="AT1497" i="16" s="1"/>
  <c r="AS1496" i="16"/>
  <c r="AT1496" i="16" s="1"/>
  <c r="AS1495" i="16"/>
  <c r="AT1495" i="16" s="1"/>
  <c r="AS1494" i="16"/>
  <c r="AT1494" i="16" s="1"/>
  <c r="AS1493" i="16"/>
  <c r="AT1493" i="16" s="1"/>
  <c r="AS1492" i="16"/>
  <c r="AT1492" i="16" s="1"/>
  <c r="AS1491" i="16"/>
  <c r="AT1491" i="16" s="1"/>
  <c r="AS1490" i="16"/>
  <c r="AT1490" i="16" s="1"/>
  <c r="AS1489" i="16"/>
  <c r="AT1489" i="16" s="1"/>
  <c r="AS1488" i="16"/>
  <c r="AT1488" i="16" s="1"/>
  <c r="AS1487" i="16"/>
  <c r="AT1487" i="16" s="1"/>
  <c r="AS1486" i="16"/>
  <c r="AT1486" i="16" s="1"/>
  <c r="AS1485" i="16"/>
  <c r="AT1485" i="16" s="1"/>
  <c r="AS1484" i="16"/>
  <c r="AT1484" i="16" s="1"/>
  <c r="AS1483" i="16"/>
  <c r="AT1483" i="16" s="1"/>
  <c r="AS1482" i="16"/>
  <c r="AT1482" i="16" s="1"/>
  <c r="AS1481" i="16"/>
  <c r="AT1481" i="16" s="1"/>
  <c r="AS1480" i="16"/>
  <c r="AT1480" i="16" s="1"/>
  <c r="AS1479" i="16"/>
  <c r="AT1479" i="16" s="1"/>
  <c r="AS1478" i="16"/>
  <c r="AT1478" i="16" s="1"/>
  <c r="AS1477" i="16"/>
  <c r="AT1477" i="16" s="1"/>
  <c r="AS1476" i="16"/>
  <c r="AT1476" i="16" s="1"/>
  <c r="AS1475" i="16"/>
  <c r="AT1475" i="16" s="1"/>
  <c r="AS1474" i="16"/>
  <c r="AT1474" i="16" s="1"/>
  <c r="AS1473" i="16"/>
  <c r="AT1473" i="16" s="1"/>
  <c r="AS1472" i="16"/>
  <c r="AT1472" i="16" s="1"/>
  <c r="AS1471" i="16"/>
  <c r="AT1471" i="16" s="1"/>
  <c r="AS1470" i="16"/>
  <c r="AT1470" i="16" s="1"/>
  <c r="AS1469" i="16"/>
  <c r="AT1469" i="16" s="1"/>
  <c r="AS1468" i="16"/>
  <c r="AT1468" i="16" s="1"/>
  <c r="AS1467" i="16"/>
  <c r="AT1467" i="16" s="1"/>
  <c r="AS1466" i="16"/>
  <c r="AT1466" i="16" s="1"/>
  <c r="AS1465" i="16"/>
  <c r="AT1465" i="16" s="1"/>
  <c r="AS1464" i="16"/>
  <c r="AT1464" i="16" s="1"/>
  <c r="AS1463" i="16"/>
  <c r="AT1463" i="16" s="1"/>
  <c r="AS1462" i="16"/>
  <c r="AT1462" i="16" s="1"/>
  <c r="AS1461" i="16"/>
  <c r="AT1461" i="16" s="1"/>
  <c r="AS1460" i="16"/>
  <c r="AT1460" i="16" s="1"/>
  <c r="AS1459" i="16"/>
  <c r="AT1459" i="16" s="1"/>
  <c r="AS1458" i="16"/>
  <c r="AT1458" i="16" s="1"/>
  <c r="AS1457" i="16"/>
  <c r="AT1457" i="16" s="1"/>
  <c r="AS1456" i="16"/>
  <c r="AT1456" i="16" s="1"/>
  <c r="AS1455" i="16"/>
  <c r="AT1455" i="16" s="1"/>
  <c r="AS1454" i="16"/>
  <c r="AT1454" i="16" s="1"/>
  <c r="AS1453" i="16"/>
  <c r="AT1453" i="16" s="1"/>
  <c r="AS1452" i="16"/>
  <c r="AT1452" i="16" s="1"/>
  <c r="AS1451" i="16"/>
  <c r="AT1451" i="16" s="1"/>
  <c r="AS1450" i="16"/>
  <c r="AT1450" i="16" s="1"/>
  <c r="AS1449" i="16"/>
  <c r="AT1449" i="16" s="1"/>
  <c r="AS1448" i="16"/>
  <c r="AT1448" i="16" s="1"/>
  <c r="AS1447" i="16"/>
  <c r="AT1447" i="16" s="1"/>
  <c r="AS1446" i="16"/>
  <c r="AT1446" i="16" s="1"/>
  <c r="AS1445" i="16"/>
  <c r="AT1445" i="16" s="1"/>
  <c r="AS1444" i="16"/>
  <c r="AT1444" i="16" s="1"/>
  <c r="AS1443" i="16"/>
  <c r="AT1443" i="16" s="1"/>
  <c r="AS1442" i="16"/>
  <c r="AT1442" i="16" s="1"/>
  <c r="AS1441" i="16"/>
  <c r="AT1441" i="16" s="1"/>
  <c r="AS1440" i="16"/>
  <c r="AT1440" i="16" s="1"/>
  <c r="AS1439" i="16"/>
  <c r="AT1439" i="16" s="1"/>
  <c r="AS1438" i="16"/>
  <c r="AT1438" i="16" s="1"/>
  <c r="AS1437" i="16"/>
  <c r="AT1437" i="16" s="1"/>
  <c r="AS1436" i="16"/>
  <c r="AT1436" i="16" s="1"/>
  <c r="AS1435" i="16"/>
  <c r="AT1435" i="16" s="1"/>
  <c r="AS1434" i="16"/>
  <c r="AT1434" i="16" s="1"/>
  <c r="AS1433" i="16"/>
  <c r="AT1433" i="16" s="1"/>
  <c r="AS1432" i="16"/>
  <c r="AT1432" i="16" s="1"/>
  <c r="AS1431" i="16"/>
  <c r="AT1431" i="16" s="1"/>
  <c r="AS1430" i="16"/>
  <c r="AT1430" i="16" s="1"/>
  <c r="AS1429" i="16"/>
  <c r="AT1429" i="16" s="1"/>
  <c r="AS1428" i="16"/>
  <c r="AT1428" i="16" s="1"/>
  <c r="AS1427" i="16"/>
  <c r="AT1427" i="16" s="1"/>
  <c r="AS1426" i="16"/>
  <c r="AT1426" i="16" s="1"/>
  <c r="AS1425" i="16"/>
  <c r="AT1425" i="16" s="1"/>
  <c r="AS1424" i="16"/>
  <c r="AT1424" i="16" s="1"/>
  <c r="AS1423" i="16"/>
  <c r="AT1423" i="16" s="1"/>
  <c r="AS1422" i="16"/>
  <c r="AT1422" i="16" s="1"/>
  <c r="AS1421" i="16"/>
  <c r="AT1421" i="16" s="1"/>
  <c r="AS1420" i="16"/>
  <c r="AT1420" i="16" s="1"/>
  <c r="AS1419" i="16"/>
  <c r="AT1419" i="16" s="1"/>
  <c r="AS1418" i="16"/>
  <c r="AT1418" i="16" s="1"/>
  <c r="AS1417" i="16"/>
  <c r="AT1417" i="16" s="1"/>
  <c r="AS1416" i="16"/>
  <c r="AT1416" i="16" s="1"/>
  <c r="AS1415" i="16"/>
  <c r="AT1415" i="16" s="1"/>
  <c r="AS1414" i="16"/>
  <c r="AT1414" i="16" s="1"/>
  <c r="AS1413" i="16"/>
  <c r="AT1413" i="16" s="1"/>
  <c r="AS1412" i="16"/>
  <c r="AT1412" i="16" s="1"/>
  <c r="AS1411" i="16"/>
  <c r="AT1411" i="16" s="1"/>
  <c r="AS1410" i="16"/>
  <c r="AT1410" i="16" s="1"/>
  <c r="AS1409" i="16"/>
  <c r="AT1409" i="16" s="1"/>
  <c r="AS1408" i="16"/>
  <c r="AT1408" i="16" s="1"/>
  <c r="AS1407" i="16"/>
  <c r="AT1407" i="16" s="1"/>
  <c r="AS1406" i="16"/>
  <c r="AT1406" i="16" s="1"/>
  <c r="AS1405" i="16"/>
  <c r="AT1405" i="16" s="1"/>
  <c r="AS1404" i="16"/>
  <c r="AT1404" i="16" s="1"/>
  <c r="AS1403" i="16"/>
  <c r="AT1403" i="16" s="1"/>
  <c r="AS1402" i="16"/>
  <c r="AT1402" i="16" s="1"/>
  <c r="AS1401" i="16"/>
  <c r="AT1401" i="16" s="1"/>
  <c r="AS1400" i="16"/>
  <c r="AT1400" i="16" s="1"/>
  <c r="AS1399" i="16"/>
  <c r="AT1399" i="16" s="1"/>
  <c r="AS1398" i="16"/>
  <c r="AT1398" i="16" s="1"/>
  <c r="AS1397" i="16"/>
  <c r="AT1397" i="16" s="1"/>
  <c r="AS1396" i="16"/>
  <c r="AT1396" i="16" s="1"/>
  <c r="AS1395" i="16"/>
  <c r="AT1395" i="16" s="1"/>
  <c r="AS1394" i="16"/>
  <c r="AT1394" i="16" s="1"/>
  <c r="AS1393" i="16"/>
  <c r="AT1393" i="16" s="1"/>
  <c r="AS1392" i="16"/>
  <c r="AT1392" i="16" s="1"/>
  <c r="AS1391" i="16"/>
  <c r="AT1391" i="16" s="1"/>
  <c r="AS1390" i="16"/>
  <c r="AT1390" i="16" s="1"/>
  <c r="AS1389" i="16"/>
  <c r="AT1389" i="16" s="1"/>
  <c r="AS1388" i="16"/>
  <c r="AT1388" i="16" s="1"/>
  <c r="AS1387" i="16"/>
  <c r="AT1387" i="16" s="1"/>
  <c r="AS1386" i="16"/>
  <c r="AT1386" i="16" s="1"/>
  <c r="AS1385" i="16"/>
  <c r="AT1385" i="16" s="1"/>
  <c r="AS1384" i="16"/>
  <c r="AT1384" i="16" s="1"/>
  <c r="AS1383" i="16"/>
  <c r="AT1383" i="16" s="1"/>
  <c r="AS1382" i="16"/>
  <c r="AT1382" i="16" s="1"/>
  <c r="AS1381" i="16"/>
  <c r="AT1381" i="16" s="1"/>
  <c r="AS1380" i="16"/>
  <c r="AT1380" i="16" s="1"/>
  <c r="AS1379" i="16"/>
  <c r="AT1379" i="16" s="1"/>
  <c r="AS1378" i="16"/>
  <c r="AT1378" i="16" s="1"/>
  <c r="AS1377" i="16"/>
  <c r="AT1377" i="16" s="1"/>
  <c r="AS1376" i="16"/>
  <c r="AT1376" i="16" s="1"/>
  <c r="AS1375" i="16"/>
  <c r="AT1375" i="16" s="1"/>
  <c r="AS1374" i="16"/>
  <c r="AT1374" i="16" s="1"/>
  <c r="AS1373" i="16"/>
  <c r="AT1373" i="16" s="1"/>
  <c r="AS1372" i="16"/>
  <c r="AT1372" i="16" s="1"/>
  <c r="AS1371" i="16"/>
  <c r="AT1371" i="16" s="1"/>
  <c r="AS1370" i="16"/>
  <c r="AT1370" i="16" s="1"/>
  <c r="AS1369" i="16"/>
  <c r="AT1369" i="16" s="1"/>
  <c r="AS1368" i="16"/>
  <c r="AT1368" i="16" s="1"/>
  <c r="AS1367" i="16"/>
  <c r="AT1367" i="16" s="1"/>
  <c r="AS1366" i="16"/>
  <c r="AT1366" i="16" s="1"/>
  <c r="AS1365" i="16"/>
  <c r="AT1365" i="16" s="1"/>
  <c r="AS1364" i="16"/>
  <c r="AT1364" i="16" s="1"/>
  <c r="AS1363" i="16"/>
  <c r="AT1363" i="16" s="1"/>
  <c r="AS1362" i="16"/>
  <c r="AT1362" i="16" s="1"/>
  <c r="AS1361" i="16"/>
  <c r="AT1361" i="16" s="1"/>
  <c r="AS1360" i="16"/>
  <c r="AT1360" i="16" s="1"/>
  <c r="AS1359" i="16"/>
  <c r="AT1359" i="16" s="1"/>
  <c r="AS1358" i="16"/>
  <c r="AT1358" i="16" s="1"/>
  <c r="AS1357" i="16"/>
  <c r="AT1357" i="16" s="1"/>
  <c r="AS1356" i="16"/>
  <c r="AT1356" i="16" s="1"/>
  <c r="AS1355" i="16"/>
  <c r="AT1355" i="16" s="1"/>
  <c r="AS1354" i="16"/>
  <c r="AT1354" i="16" s="1"/>
  <c r="AS1353" i="16"/>
  <c r="AT1353" i="16" s="1"/>
  <c r="AS1352" i="16"/>
  <c r="AT1352" i="16" s="1"/>
  <c r="AS1351" i="16"/>
  <c r="AT1351" i="16" s="1"/>
  <c r="AS1350" i="16"/>
  <c r="AT1350" i="16" s="1"/>
  <c r="AS1349" i="16"/>
  <c r="AT1349" i="16" s="1"/>
  <c r="AS1348" i="16"/>
  <c r="AT1348" i="16" s="1"/>
  <c r="AS1347" i="16"/>
  <c r="AT1347" i="16" s="1"/>
  <c r="AS1346" i="16"/>
  <c r="AT1346" i="16" s="1"/>
  <c r="AS1345" i="16"/>
  <c r="AT1345" i="16" s="1"/>
  <c r="AS1344" i="16"/>
  <c r="AT1344" i="16" s="1"/>
  <c r="AS1343" i="16"/>
  <c r="AT1343" i="16" s="1"/>
  <c r="AS1342" i="16"/>
  <c r="AT1342" i="16" s="1"/>
  <c r="AS1341" i="16"/>
  <c r="AT1341" i="16" s="1"/>
  <c r="AS1340" i="16"/>
  <c r="AT1340" i="16" s="1"/>
  <c r="AS1339" i="16"/>
  <c r="AT1339" i="16" s="1"/>
  <c r="AS1338" i="16"/>
  <c r="AT1338" i="16" s="1"/>
  <c r="AS1337" i="16"/>
  <c r="AT1337" i="16" s="1"/>
  <c r="AS1336" i="16"/>
  <c r="AT1336" i="16" s="1"/>
  <c r="AS1335" i="16"/>
  <c r="AT1335" i="16" s="1"/>
  <c r="AS1334" i="16"/>
  <c r="AT1334" i="16" s="1"/>
  <c r="AS1333" i="16"/>
  <c r="AT1333" i="16" s="1"/>
  <c r="AS1332" i="16"/>
  <c r="AT1332" i="16" s="1"/>
  <c r="AS1331" i="16"/>
  <c r="AT1331" i="16" s="1"/>
  <c r="AS1330" i="16"/>
  <c r="AT1330" i="16" s="1"/>
  <c r="AS1329" i="16"/>
  <c r="AT1329" i="16" s="1"/>
  <c r="AS1328" i="16"/>
  <c r="AT1328" i="16" s="1"/>
  <c r="AS1327" i="16"/>
  <c r="AT1327" i="16" s="1"/>
  <c r="AS1326" i="16"/>
  <c r="AT1326" i="16" s="1"/>
  <c r="AS1325" i="16"/>
  <c r="AT1325" i="16" s="1"/>
  <c r="AS1324" i="16"/>
  <c r="AT1324" i="16" s="1"/>
  <c r="AS1323" i="16"/>
  <c r="AT1323" i="16" s="1"/>
  <c r="AS1322" i="16"/>
  <c r="AT1322" i="16" s="1"/>
  <c r="AS1321" i="16"/>
  <c r="AT1321" i="16" s="1"/>
  <c r="AS1320" i="16"/>
  <c r="AT1320" i="16" s="1"/>
  <c r="AS1319" i="16"/>
  <c r="AT1319" i="16" s="1"/>
  <c r="AS1318" i="16"/>
  <c r="AT1318" i="16" s="1"/>
  <c r="AS1317" i="16"/>
  <c r="AT1317" i="16" s="1"/>
  <c r="AS1316" i="16"/>
  <c r="AT1316" i="16" s="1"/>
  <c r="AS1315" i="16"/>
  <c r="AT1315" i="16" s="1"/>
  <c r="AS1314" i="16"/>
  <c r="AT1314" i="16" s="1"/>
  <c r="AS1313" i="16"/>
  <c r="AT1313" i="16" s="1"/>
  <c r="AS1312" i="16"/>
  <c r="AT1312" i="16" s="1"/>
  <c r="AS1311" i="16"/>
  <c r="AT1311" i="16" s="1"/>
  <c r="AS1310" i="16"/>
  <c r="AT1310" i="16" s="1"/>
  <c r="AS1309" i="16"/>
  <c r="AT1309" i="16" s="1"/>
  <c r="AS1308" i="16"/>
  <c r="AT1308" i="16" s="1"/>
  <c r="AS1307" i="16"/>
  <c r="AT1307" i="16" s="1"/>
  <c r="AS1306" i="16"/>
  <c r="AT1306" i="16" s="1"/>
  <c r="AS1305" i="16"/>
  <c r="AT1305" i="16" s="1"/>
  <c r="AS1304" i="16"/>
  <c r="AT1304" i="16" s="1"/>
  <c r="AS1303" i="16"/>
  <c r="AT1303" i="16" s="1"/>
  <c r="AS1302" i="16"/>
  <c r="AT1302" i="16" s="1"/>
  <c r="AS1301" i="16"/>
  <c r="AT1301" i="16" s="1"/>
  <c r="AS1300" i="16"/>
  <c r="AT1300" i="16" s="1"/>
  <c r="AS1299" i="16"/>
  <c r="AT1299" i="16" s="1"/>
  <c r="AS1298" i="16"/>
  <c r="AT1298" i="16" s="1"/>
  <c r="AS1297" i="16"/>
  <c r="AT1297" i="16" s="1"/>
  <c r="AS1296" i="16"/>
  <c r="AT1296" i="16" s="1"/>
  <c r="AS1295" i="16"/>
  <c r="AT1295" i="16" s="1"/>
  <c r="AS1294" i="16"/>
  <c r="AT1294" i="16" s="1"/>
  <c r="AS1293" i="16"/>
  <c r="AT1293" i="16" s="1"/>
  <c r="AS1292" i="16"/>
  <c r="AT1292" i="16" s="1"/>
  <c r="AS1291" i="16"/>
  <c r="AT1291" i="16" s="1"/>
  <c r="AS1290" i="16"/>
  <c r="AT1290" i="16" s="1"/>
  <c r="AS1289" i="16"/>
  <c r="AT1289" i="16" s="1"/>
  <c r="AS1288" i="16"/>
  <c r="AT1288" i="16" s="1"/>
  <c r="AS1287" i="16"/>
  <c r="AT1287" i="16" s="1"/>
  <c r="AS1286" i="16"/>
  <c r="AT1286" i="16" s="1"/>
  <c r="AS1285" i="16"/>
  <c r="AT1285" i="16" s="1"/>
  <c r="AS1284" i="16"/>
  <c r="AT1284" i="16" s="1"/>
  <c r="AS1283" i="16"/>
  <c r="AT1283" i="16" s="1"/>
  <c r="AS1282" i="16"/>
  <c r="AT1282" i="16" s="1"/>
  <c r="AS1281" i="16"/>
  <c r="AT1281" i="16" s="1"/>
  <c r="AS1280" i="16"/>
  <c r="AT1280" i="16" s="1"/>
  <c r="AS1279" i="16"/>
  <c r="AT1279" i="16" s="1"/>
  <c r="AS1278" i="16"/>
  <c r="AT1278" i="16" s="1"/>
  <c r="AS1277" i="16"/>
  <c r="AT1277" i="16" s="1"/>
  <c r="AS1276" i="16"/>
  <c r="AT1276" i="16" s="1"/>
  <c r="AS1275" i="16"/>
  <c r="AT1275" i="16" s="1"/>
  <c r="AS1274" i="16"/>
  <c r="AT1274" i="16" s="1"/>
  <c r="AS1273" i="16"/>
  <c r="AT1273" i="16" s="1"/>
  <c r="AS1272" i="16"/>
  <c r="AT1272" i="16" s="1"/>
  <c r="AS1271" i="16"/>
  <c r="AT1271" i="16" s="1"/>
  <c r="AS1270" i="16"/>
  <c r="AT1270" i="16" s="1"/>
  <c r="AS1269" i="16"/>
  <c r="AT1269" i="16" s="1"/>
  <c r="AS1268" i="16"/>
  <c r="AT1268" i="16" s="1"/>
  <c r="AS1267" i="16"/>
  <c r="AT1267" i="16" s="1"/>
  <c r="AS1266" i="16"/>
  <c r="AT1266" i="16" s="1"/>
  <c r="AS1265" i="16"/>
  <c r="AT1265" i="16" s="1"/>
  <c r="AS1264" i="16"/>
  <c r="AT1264" i="16" s="1"/>
  <c r="AS1263" i="16"/>
  <c r="AT1263" i="16" s="1"/>
  <c r="AS1262" i="16"/>
  <c r="AT1262" i="16" s="1"/>
  <c r="AS1261" i="16"/>
  <c r="AT1261" i="16" s="1"/>
  <c r="AS1260" i="16"/>
  <c r="AT1260" i="16" s="1"/>
  <c r="AS1259" i="16"/>
  <c r="AT1259" i="16" s="1"/>
  <c r="AS1258" i="16"/>
  <c r="AT1258" i="16" s="1"/>
  <c r="AS1257" i="16"/>
  <c r="AT1257" i="16" s="1"/>
  <c r="AS1256" i="16"/>
  <c r="AT1256" i="16" s="1"/>
  <c r="AS1255" i="16"/>
  <c r="AT1255" i="16" s="1"/>
  <c r="AS1254" i="16"/>
  <c r="AT1254" i="16" s="1"/>
  <c r="AS1253" i="16"/>
  <c r="AT1253" i="16" s="1"/>
  <c r="AS1252" i="16"/>
  <c r="AT1252" i="16" s="1"/>
  <c r="AS1251" i="16"/>
  <c r="AT1251" i="16" s="1"/>
  <c r="AS1250" i="16"/>
  <c r="AT1250" i="16" s="1"/>
  <c r="AS1249" i="16"/>
  <c r="AT1249" i="16" s="1"/>
  <c r="AS1248" i="16"/>
  <c r="AT1248" i="16" s="1"/>
  <c r="AS1247" i="16"/>
  <c r="AT1247" i="16" s="1"/>
  <c r="AS1246" i="16"/>
  <c r="AT1246" i="16" s="1"/>
  <c r="AS1245" i="16"/>
  <c r="AT1245" i="16" s="1"/>
  <c r="AS1244" i="16"/>
  <c r="AT1244" i="16" s="1"/>
  <c r="AS1243" i="16"/>
  <c r="AT1243" i="16" s="1"/>
  <c r="AS1242" i="16"/>
  <c r="AT1242" i="16" s="1"/>
  <c r="AS1241" i="16"/>
  <c r="AT1241" i="16" s="1"/>
  <c r="AS1240" i="16"/>
  <c r="AT1240" i="16" s="1"/>
  <c r="AS1239" i="16"/>
  <c r="AT1239" i="16" s="1"/>
  <c r="AS1238" i="16"/>
  <c r="AT1238" i="16" s="1"/>
  <c r="AS1237" i="16"/>
  <c r="AT1237" i="16" s="1"/>
  <c r="AS1236" i="16"/>
  <c r="AT1236" i="16" s="1"/>
  <c r="AS1235" i="16"/>
  <c r="AT1235" i="16" s="1"/>
  <c r="AS1234" i="16"/>
  <c r="AT1234" i="16" s="1"/>
  <c r="AS1233" i="16"/>
  <c r="AT1233" i="16" s="1"/>
  <c r="AS1232" i="16"/>
  <c r="AT1232" i="16" s="1"/>
  <c r="AS1231" i="16"/>
  <c r="AT1231" i="16" s="1"/>
  <c r="AS1230" i="16"/>
  <c r="AT1230" i="16" s="1"/>
  <c r="AS1229" i="16"/>
  <c r="AT1229" i="16" s="1"/>
  <c r="AS1228" i="16"/>
  <c r="AT1228" i="16" s="1"/>
  <c r="AS1227" i="16"/>
  <c r="AT1227" i="16" s="1"/>
  <c r="AS1226" i="16"/>
  <c r="AT1226" i="16" s="1"/>
  <c r="AS1225" i="16"/>
  <c r="AT1225" i="16" s="1"/>
  <c r="AS1224" i="16"/>
  <c r="AT1224" i="16" s="1"/>
  <c r="AS1223" i="16"/>
  <c r="AT1223" i="16" s="1"/>
  <c r="AS1222" i="16"/>
  <c r="AT1222" i="16" s="1"/>
  <c r="AS1221" i="16"/>
  <c r="AT1221" i="16" s="1"/>
  <c r="AS1220" i="16"/>
  <c r="AT1220" i="16" s="1"/>
  <c r="AS1219" i="16"/>
  <c r="AT1219" i="16" s="1"/>
  <c r="AS1218" i="16"/>
  <c r="AT1218" i="16" s="1"/>
  <c r="AS1217" i="16"/>
  <c r="AT1217" i="16" s="1"/>
  <c r="AS1216" i="16"/>
  <c r="AT1216" i="16" s="1"/>
  <c r="AS1215" i="16"/>
  <c r="AT1215" i="16" s="1"/>
  <c r="AS1214" i="16"/>
  <c r="AT1214" i="16" s="1"/>
  <c r="AS1213" i="16"/>
  <c r="AT1213" i="16" s="1"/>
  <c r="AS1212" i="16"/>
  <c r="AT1212" i="16" s="1"/>
  <c r="AS1211" i="16"/>
  <c r="AT1211" i="16" s="1"/>
  <c r="AS1210" i="16"/>
  <c r="AT1210" i="16" s="1"/>
  <c r="AS1209" i="16"/>
  <c r="AT1209" i="16" s="1"/>
  <c r="AS1208" i="16"/>
  <c r="AT1208" i="16" s="1"/>
  <c r="AS1207" i="16"/>
  <c r="AT1207" i="16" s="1"/>
  <c r="AS1206" i="16"/>
  <c r="AT1206" i="16" s="1"/>
  <c r="AS1205" i="16"/>
  <c r="AT1205" i="16" s="1"/>
  <c r="AS1204" i="16"/>
  <c r="AT1204" i="16" s="1"/>
  <c r="AS1203" i="16"/>
  <c r="AT1203" i="16" s="1"/>
  <c r="AS1202" i="16"/>
  <c r="AT1202" i="16" s="1"/>
  <c r="AS1201" i="16"/>
  <c r="AT1201" i="16" s="1"/>
  <c r="AS1200" i="16"/>
  <c r="AT1200" i="16" s="1"/>
  <c r="AS1199" i="16"/>
  <c r="AT1199" i="16" s="1"/>
  <c r="AS1198" i="16"/>
  <c r="AT1198" i="16" s="1"/>
  <c r="AS1197" i="16"/>
  <c r="AT1197" i="16" s="1"/>
  <c r="AS1196" i="16"/>
  <c r="AT1196" i="16" s="1"/>
  <c r="AS1195" i="16"/>
  <c r="AT1195" i="16" s="1"/>
  <c r="AS1194" i="16"/>
  <c r="AT1194" i="16" s="1"/>
  <c r="AS1193" i="16"/>
  <c r="AT1193" i="16" s="1"/>
  <c r="AS1192" i="16"/>
  <c r="AT1192" i="16" s="1"/>
  <c r="AS1191" i="16"/>
  <c r="AT1191" i="16" s="1"/>
  <c r="AS1190" i="16"/>
  <c r="AT1190" i="16" s="1"/>
  <c r="AS1189" i="16"/>
  <c r="AT1189" i="16" s="1"/>
  <c r="AS1188" i="16"/>
  <c r="AT1188" i="16" s="1"/>
  <c r="AS1187" i="16"/>
  <c r="AT1187" i="16" s="1"/>
  <c r="AS1186" i="16"/>
  <c r="AT1186" i="16" s="1"/>
  <c r="AS1185" i="16"/>
  <c r="AT1185" i="16" s="1"/>
  <c r="AS1184" i="16"/>
  <c r="AT1184" i="16" s="1"/>
  <c r="AS1183" i="16"/>
  <c r="AT1183" i="16" s="1"/>
  <c r="AS1182" i="16"/>
  <c r="AT1182" i="16" s="1"/>
  <c r="AS1181" i="16"/>
  <c r="AT1181" i="16" s="1"/>
  <c r="AS1180" i="16"/>
  <c r="AT1180" i="16" s="1"/>
  <c r="AS1179" i="16"/>
  <c r="AT1179" i="16" s="1"/>
  <c r="AS1178" i="16"/>
  <c r="AT1178" i="16" s="1"/>
  <c r="AS1177" i="16"/>
  <c r="AT1177" i="16" s="1"/>
  <c r="AS1176" i="16"/>
  <c r="AT1176" i="16" s="1"/>
  <c r="AS1175" i="16"/>
  <c r="AT1175" i="16" s="1"/>
  <c r="AS1174" i="16"/>
  <c r="AT1174" i="16" s="1"/>
  <c r="AS1173" i="16"/>
  <c r="AT1173" i="16" s="1"/>
  <c r="AS1172" i="16"/>
  <c r="AT1172" i="16" s="1"/>
  <c r="AS1171" i="16"/>
  <c r="AT1171" i="16" s="1"/>
  <c r="AS1170" i="16"/>
  <c r="AT1170" i="16" s="1"/>
  <c r="AS1169" i="16"/>
  <c r="AT1169" i="16" s="1"/>
  <c r="AS1168" i="16"/>
  <c r="AT1168" i="16" s="1"/>
  <c r="AS1167" i="16"/>
  <c r="AT1167" i="16" s="1"/>
  <c r="AS1166" i="16"/>
  <c r="AT1166" i="16" s="1"/>
  <c r="AS1165" i="16"/>
  <c r="AT1165" i="16" s="1"/>
  <c r="AS1164" i="16"/>
  <c r="AT1164" i="16" s="1"/>
  <c r="AS1163" i="16"/>
  <c r="AT1163" i="16" s="1"/>
  <c r="AS1162" i="16"/>
  <c r="AT1162" i="16" s="1"/>
  <c r="AS1161" i="16"/>
  <c r="AT1161" i="16" s="1"/>
  <c r="AS1160" i="16"/>
  <c r="AT1160" i="16" s="1"/>
  <c r="AS1159" i="16"/>
  <c r="AT1159" i="16" s="1"/>
  <c r="AS1158" i="16"/>
  <c r="AT1158" i="16" s="1"/>
  <c r="AS1157" i="16"/>
  <c r="AT1157" i="16" s="1"/>
  <c r="AS1156" i="16"/>
  <c r="AT1156" i="16" s="1"/>
  <c r="AS1155" i="16"/>
  <c r="AT1155" i="16" s="1"/>
  <c r="AS1154" i="16"/>
  <c r="AT1154" i="16" s="1"/>
  <c r="AS1153" i="16"/>
  <c r="AT1153" i="16" s="1"/>
  <c r="AS1152" i="16"/>
  <c r="AT1152" i="16" s="1"/>
  <c r="AS1151" i="16"/>
  <c r="AT1151" i="16" s="1"/>
  <c r="AS1150" i="16"/>
  <c r="AT1150" i="16" s="1"/>
  <c r="AS1149" i="16"/>
  <c r="AT1149" i="16" s="1"/>
  <c r="AS1148" i="16"/>
  <c r="AT1148" i="16" s="1"/>
  <c r="AS1147" i="16"/>
  <c r="AT1147" i="16" s="1"/>
  <c r="AS1146" i="16"/>
  <c r="AT1146" i="16" s="1"/>
  <c r="AS1145" i="16"/>
  <c r="AT1145" i="16" s="1"/>
  <c r="AS1144" i="16"/>
  <c r="AT1144" i="16" s="1"/>
  <c r="AS1143" i="16"/>
  <c r="AT1143" i="16" s="1"/>
  <c r="AS1142" i="16"/>
  <c r="AT1142" i="16" s="1"/>
  <c r="AS1141" i="16"/>
  <c r="AT1141" i="16" s="1"/>
  <c r="AS1140" i="16"/>
  <c r="AT1140" i="16" s="1"/>
  <c r="AS1139" i="16"/>
  <c r="AT1139" i="16" s="1"/>
  <c r="AS1138" i="16"/>
  <c r="AT1138" i="16" s="1"/>
  <c r="AS1137" i="16"/>
  <c r="AT1137" i="16" s="1"/>
  <c r="AS1136" i="16"/>
  <c r="AT1136" i="16" s="1"/>
  <c r="AS1135" i="16"/>
  <c r="AT1135" i="16" s="1"/>
  <c r="AS1134" i="16"/>
  <c r="AT1134" i="16" s="1"/>
  <c r="AS1133" i="16"/>
  <c r="AT1133" i="16" s="1"/>
  <c r="AS1132" i="16"/>
  <c r="AT1132" i="16" s="1"/>
  <c r="AS1131" i="16"/>
  <c r="AT1131" i="16" s="1"/>
  <c r="AS1130" i="16"/>
  <c r="AT1130" i="16" s="1"/>
  <c r="AS1129" i="16"/>
  <c r="AT1129" i="16" s="1"/>
  <c r="AS1128" i="16"/>
  <c r="AT1128" i="16" s="1"/>
  <c r="AS1127" i="16"/>
  <c r="AT1127" i="16" s="1"/>
  <c r="AS1126" i="16"/>
  <c r="AT1126" i="16" s="1"/>
  <c r="AS1125" i="16"/>
  <c r="AT1125" i="16" s="1"/>
  <c r="AS1124" i="16"/>
  <c r="AT1124" i="16" s="1"/>
  <c r="AS1123" i="16"/>
  <c r="AT1123" i="16" s="1"/>
  <c r="AS1122" i="16"/>
  <c r="AT1122" i="16" s="1"/>
  <c r="AS1121" i="16"/>
  <c r="AT1121" i="16" s="1"/>
  <c r="AS1120" i="16"/>
  <c r="AT1120" i="16" s="1"/>
  <c r="AS1119" i="16"/>
  <c r="AT1119" i="16" s="1"/>
  <c r="AS1118" i="16"/>
  <c r="AT1118" i="16" s="1"/>
  <c r="AS1117" i="16"/>
  <c r="AT1117" i="16" s="1"/>
  <c r="AS1116" i="16"/>
  <c r="AT1116" i="16" s="1"/>
  <c r="AS1115" i="16"/>
  <c r="AT1115" i="16" s="1"/>
  <c r="AS1114" i="16"/>
  <c r="AT1114" i="16" s="1"/>
  <c r="AS1113" i="16"/>
  <c r="AT1113" i="16" s="1"/>
  <c r="AS1112" i="16"/>
  <c r="AT1112" i="16" s="1"/>
  <c r="AS1111" i="16"/>
  <c r="AT1111" i="16" s="1"/>
  <c r="AS1110" i="16"/>
  <c r="AT1110" i="16" s="1"/>
  <c r="AS1109" i="16"/>
  <c r="AT1109" i="16" s="1"/>
  <c r="AS1108" i="16"/>
  <c r="AT1108" i="16" s="1"/>
  <c r="AS1107" i="16"/>
  <c r="AT1107" i="16" s="1"/>
  <c r="AS1106" i="16"/>
  <c r="AT1106" i="16" s="1"/>
  <c r="AS1105" i="16"/>
  <c r="AT1105" i="16" s="1"/>
  <c r="AS1104" i="16"/>
  <c r="AT1104" i="16" s="1"/>
  <c r="AS1103" i="16"/>
  <c r="AT1103" i="16" s="1"/>
  <c r="AS1102" i="16"/>
  <c r="AT1102" i="16" s="1"/>
  <c r="AS1101" i="16"/>
  <c r="AT1101" i="16" s="1"/>
  <c r="AS1100" i="16"/>
  <c r="AT1100" i="16" s="1"/>
  <c r="AS1099" i="16"/>
  <c r="AT1099" i="16" s="1"/>
  <c r="AS1098" i="16"/>
  <c r="AT1098" i="16" s="1"/>
  <c r="AS1097" i="16"/>
  <c r="AT1097" i="16" s="1"/>
  <c r="AS1096" i="16"/>
  <c r="AT1096" i="16" s="1"/>
  <c r="AS1095" i="16"/>
  <c r="AT1095" i="16" s="1"/>
  <c r="AS1094" i="16"/>
  <c r="AT1094" i="16" s="1"/>
  <c r="AS1093" i="16"/>
  <c r="AT1093" i="16" s="1"/>
  <c r="AS1092" i="16"/>
  <c r="AT1092" i="16" s="1"/>
  <c r="AS1091" i="16"/>
  <c r="AT1091" i="16" s="1"/>
  <c r="AS1090" i="16"/>
  <c r="AT1090" i="16" s="1"/>
  <c r="AS1089" i="16"/>
  <c r="AT1089" i="16" s="1"/>
  <c r="AS1087" i="16"/>
  <c r="AT1087" i="16" s="1"/>
  <c r="AS1086" i="16"/>
  <c r="AT1086" i="16" s="1"/>
  <c r="AS1085" i="16"/>
  <c r="AT1085" i="16" s="1"/>
  <c r="AS1084" i="16"/>
  <c r="AT1084" i="16" s="1"/>
  <c r="AS1083" i="16"/>
  <c r="AT1083" i="16" s="1"/>
  <c r="AS1082" i="16"/>
  <c r="AT1082" i="16" s="1"/>
  <c r="AS1081" i="16"/>
  <c r="AT1081" i="16" s="1"/>
  <c r="AS1080" i="16"/>
  <c r="AT1080" i="16" s="1"/>
  <c r="AS1079" i="16"/>
  <c r="AT1079" i="16" s="1"/>
  <c r="AS1078" i="16"/>
  <c r="AT1078" i="16" s="1"/>
  <c r="AS1077" i="16"/>
  <c r="AT1077" i="16" s="1"/>
  <c r="AS1076" i="16"/>
  <c r="AT1076" i="16" s="1"/>
  <c r="AS1075" i="16"/>
  <c r="AT1075" i="16" s="1"/>
  <c r="AS1074" i="16"/>
  <c r="AT1074" i="16" s="1"/>
  <c r="AS1073" i="16"/>
  <c r="AT1073" i="16" s="1"/>
  <c r="AS1072" i="16"/>
  <c r="AT1072" i="16" s="1"/>
  <c r="AS1071" i="16"/>
  <c r="AT1071" i="16" s="1"/>
  <c r="AS1070" i="16"/>
  <c r="AT1070" i="16" s="1"/>
  <c r="AS1069" i="16"/>
  <c r="AT1069" i="16" s="1"/>
  <c r="AS1068" i="16"/>
  <c r="AT1068" i="16" s="1"/>
  <c r="AS1067" i="16"/>
  <c r="AT1067" i="16" s="1"/>
  <c r="AS1066" i="16"/>
  <c r="AT1066" i="16" s="1"/>
  <c r="AS1065" i="16"/>
  <c r="AT1065" i="16" s="1"/>
  <c r="AS1064" i="16"/>
  <c r="AT1064" i="16" s="1"/>
  <c r="AS1063" i="16"/>
  <c r="AT1063" i="16" s="1"/>
  <c r="AS1062" i="16"/>
  <c r="AT1062" i="16" s="1"/>
  <c r="AS1061" i="16"/>
  <c r="AT1061" i="16" s="1"/>
  <c r="AS1060" i="16"/>
  <c r="AT1060" i="16" s="1"/>
  <c r="AS1059" i="16"/>
  <c r="AT1059" i="16" s="1"/>
  <c r="AS1058" i="16"/>
  <c r="AT1058" i="16" s="1"/>
  <c r="AS1057" i="16"/>
  <c r="AT1057" i="16" s="1"/>
  <c r="AS1056" i="16"/>
  <c r="AT1056" i="16" s="1"/>
  <c r="AS1055" i="16"/>
  <c r="AT1055" i="16" s="1"/>
  <c r="AS1054" i="16"/>
  <c r="AT1054" i="16" s="1"/>
  <c r="AS1053" i="16"/>
  <c r="AT1053" i="16" s="1"/>
  <c r="AS1052" i="16"/>
  <c r="AT1052" i="16" s="1"/>
  <c r="AS1051" i="16"/>
  <c r="AT1051" i="16" s="1"/>
  <c r="AS1050" i="16"/>
  <c r="AT1050" i="16" s="1"/>
  <c r="AS1049" i="16"/>
  <c r="AT1049" i="16" s="1"/>
  <c r="AS1048" i="16"/>
  <c r="AT1048" i="16" s="1"/>
  <c r="AS1047" i="16"/>
  <c r="AT1047" i="16" s="1"/>
  <c r="AS1046" i="16"/>
  <c r="AT1046" i="16" s="1"/>
  <c r="AS1045" i="16"/>
  <c r="AT1045" i="16" s="1"/>
  <c r="AS1044" i="16"/>
  <c r="AT1044" i="16" s="1"/>
  <c r="AS1043" i="16"/>
  <c r="AT1043" i="16" s="1"/>
  <c r="AS1042" i="16"/>
  <c r="AT1042" i="16" s="1"/>
  <c r="AS1041" i="16"/>
  <c r="AT1041" i="16" s="1"/>
  <c r="AS1040" i="16"/>
  <c r="AT1040" i="16" s="1"/>
  <c r="AS1039" i="16"/>
  <c r="AT1039" i="16" s="1"/>
  <c r="AS1038" i="16"/>
  <c r="AT1038" i="16" s="1"/>
  <c r="AS1037" i="16"/>
  <c r="AT1037" i="16" s="1"/>
  <c r="AS1036" i="16"/>
  <c r="AT1036" i="16" s="1"/>
  <c r="AS1035" i="16"/>
  <c r="AT1035" i="16" s="1"/>
  <c r="AS1034" i="16"/>
  <c r="AT1034" i="16" s="1"/>
  <c r="AS1033" i="16"/>
  <c r="AT1033" i="16" s="1"/>
  <c r="AS1032" i="16"/>
  <c r="AT1032" i="16" s="1"/>
  <c r="AS1031" i="16"/>
  <c r="AT1031" i="16" s="1"/>
  <c r="AS1030" i="16"/>
  <c r="AT1030" i="16" s="1"/>
  <c r="AS1029" i="16"/>
  <c r="AT1029" i="16" s="1"/>
  <c r="AS1028" i="16"/>
  <c r="AT1028" i="16" s="1"/>
  <c r="AS1027" i="16"/>
  <c r="AT1027" i="16" s="1"/>
  <c r="AS1026" i="16"/>
  <c r="AT1026" i="16" s="1"/>
  <c r="AS1025" i="16"/>
  <c r="AT1025" i="16" s="1"/>
  <c r="AS1024" i="16"/>
  <c r="AT1024" i="16" s="1"/>
  <c r="AS1023" i="16"/>
  <c r="AT1023" i="16" s="1"/>
  <c r="AS1022" i="16"/>
  <c r="AT1022" i="16" s="1"/>
  <c r="AS1021" i="16"/>
  <c r="AT1021" i="16" s="1"/>
  <c r="AS1020" i="16"/>
  <c r="AT1020" i="16" s="1"/>
  <c r="AS1019" i="16"/>
  <c r="AT1019" i="16" s="1"/>
  <c r="AS1018" i="16"/>
  <c r="AT1018" i="16" s="1"/>
  <c r="AS1017" i="16"/>
  <c r="AT1017" i="16" s="1"/>
  <c r="AS1016" i="16"/>
  <c r="AT1016" i="16" s="1"/>
  <c r="AS1015" i="16"/>
  <c r="AT1015" i="16" s="1"/>
  <c r="AS1014" i="16"/>
  <c r="AT1014" i="16" s="1"/>
  <c r="AS1013" i="16"/>
  <c r="AT1013" i="16" s="1"/>
  <c r="AS1012" i="16"/>
  <c r="AT1012" i="16" s="1"/>
  <c r="AS1011" i="16"/>
  <c r="AT1011" i="16" s="1"/>
  <c r="AS1010" i="16"/>
  <c r="AT1010" i="16" s="1"/>
  <c r="AS1009" i="16"/>
  <c r="AT1009" i="16" s="1"/>
  <c r="AS1008" i="16"/>
  <c r="AT1008" i="16" s="1"/>
  <c r="AS1007" i="16"/>
  <c r="AT1007" i="16" s="1"/>
  <c r="AS1006" i="16"/>
  <c r="AT1006" i="16" s="1"/>
  <c r="AS1005" i="16"/>
  <c r="AT1005" i="16" s="1"/>
  <c r="AS1004" i="16"/>
  <c r="AT1004" i="16" s="1"/>
  <c r="AS1003" i="16"/>
  <c r="AT1003" i="16" s="1"/>
  <c r="AS1002" i="16"/>
  <c r="AT1002" i="16" s="1"/>
  <c r="AS1001" i="16"/>
  <c r="AT1001" i="16" s="1"/>
  <c r="AS1000" i="16"/>
  <c r="AT1000" i="16" s="1"/>
  <c r="AS999" i="16"/>
  <c r="AT999" i="16" s="1"/>
  <c r="AS998" i="16"/>
  <c r="AT998" i="16" s="1"/>
  <c r="AS997" i="16"/>
  <c r="AT997" i="16" s="1"/>
  <c r="AS996" i="16"/>
  <c r="AT996" i="16" s="1"/>
  <c r="AS995" i="16"/>
  <c r="AT995" i="16" s="1"/>
  <c r="AS994" i="16"/>
  <c r="AT994" i="16" s="1"/>
  <c r="AS993" i="16"/>
  <c r="AT993" i="16" s="1"/>
  <c r="AS992" i="16"/>
  <c r="AT992" i="16" s="1"/>
  <c r="AS991" i="16"/>
  <c r="AT991" i="16" s="1"/>
  <c r="AS990" i="16"/>
  <c r="AT990" i="16" s="1"/>
  <c r="AS989" i="16"/>
  <c r="AT989" i="16" s="1"/>
  <c r="AS988" i="16"/>
  <c r="AT988" i="16" s="1"/>
  <c r="AS987" i="16"/>
  <c r="AT987" i="16" s="1"/>
  <c r="AS986" i="16"/>
  <c r="AT986" i="16" s="1"/>
  <c r="AS985" i="16"/>
  <c r="AT985" i="16" s="1"/>
  <c r="AS984" i="16"/>
  <c r="AT984" i="16" s="1"/>
  <c r="AS983" i="16"/>
  <c r="AT983" i="16" s="1"/>
  <c r="AS982" i="16"/>
  <c r="AT982" i="16" s="1"/>
  <c r="AS981" i="16"/>
  <c r="AT981" i="16" s="1"/>
  <c r="AS980" i="16"/>
  <c r="AT980" i="16" s="1"/>
  <c r="AS979" i="16"/>
  <c r="AT979" i="16" s="1"/>
  <c r="AS978" i="16"/>
  <c r="AT978" i="16" s="1"/>
  <c r="AS977" i="16"/>
  <c r="AT977" i="16" s="1"/>
  <c r="AS976" i="16"/>
  <c r="AT976" i="16" s="1"/>
  <c r="AS975" i="16"/>
  <c r="AT975" i="16" s="1"/>
  <c r="AS974" i="16"/>
  <c r="AT974" i="16" s="1"/>
  <c r="AS973" i="16"/>
  <c r="AT973" i="16" s="1"/>
  <c r="AS972" i="16"/>
  <c r="AT972" i="16" s="1"/>
  <c r="AS971" i="16"/>
  <c r="AT971" i="16" s="1"/>
  <c r="AS970" i="16"/>
  <c r="AT970" i="16" s="1"/>
  <c r="AS969" i="16"/>
  <c r="AT969" i="16" s="1"/>
  <c r="AS968" i="16"/>
  <c r="AT968" i="16" s="1"/>
  <c r="AS967" i="16"/>
  <c r="AT967" i="16" s="1"/>
  <c r="AS966" i="16"/>
  <c r="AT966" i="16" s="1"/>
  <c r="AS965" i="16"/>
  <c r="AT965" i="16" s="1"/>
  <c r="AS964" i="16"/>
  <c r="AT964" i="16" s="1"/>
  <c r="AS963" i="16"/>
  <c r="AT963" i="16" s="1"/>
  <c r="AS962" i="16"/>
  <c r="AT962" i="16" s="1"/>
  <c r="AS961" i="16"/>
  <c r="AT961" i="16" s="1"/>
  <c r="AS960" i="16"/>
  <c r="AT960" i="16" s="1"/>
  <c r="AS959" i="16"/>
  <c r="AT959" i="16" s="1"/>
  <c r="AS958" i="16"/>
  <c r="AT958" i="16" s="1"/>
  <c r="AS957" i="16"/>
  <c r="AT957" i="16" s="1"/>
  <c r="AS956" i="16"/>
  <c r="AT956" i="16" s="1"/>
  <c r="AS955" i="16"/>
  <c r="AT955" i="16" s="1"/>
  <c r="AS954" i="16"/>
  <c r="AT954" i="16" s="1"/>
  <c r="AS953" i="16"/>
  <c r="AT953" i="16" s="1"/>
  <c r="AS952" i="16"/>
  <c r="AT952" i="16" s="1"/>
  <c r="AS951" i="16"/>
  <c r="AT951" i="16" s="1"/>
  <c r="AS950" i="16"/>
  <c r="AT950" i="16" s="1"/>
  <c r="AS949" i="16"/>
  <c r="AT949" i="16" s="1"/>
  <c r="AS948" i="16"/>
  <c r="AT948" i="16" s="1"/>
  <c r="AS947" i="16"/>
  <c r="AT947" i="16" s="1"/>
  <c r="AS946" i="16"/>
  <c r="AT946" i="16" s="1"/>
  <c r="AS945" i="16"/>
  <c r="AT945" i="16" s="1"/>
  <c r="AS944" i="16"/>
  <c r="AT944" i="16" s="1"/>
  <c r="AS943" i="16"/>
  <c r="AT943" i="16" s="1"/>
  <c r="AS942" i="16"/>
  <c r="AT942" i="16" s="1"/>
  <c r="AS941" i="16"/>
  <c r="AT941" i="16" s="1"/>
  <c r="AS940" i="16"/>
  <c r="AT940" i="16" s="1"/>
  <c r="AS939" i="16"/>
  <c r="AT939" i="16" s="1"/>
  <c r="AS938" i="16"/>
  <c r="AT938" i="16" s="1"/>
  <c r="AS937" i="16"/>
  <c r="AT937" i="16" s="1"/>
  <c r="AS936" i="16"/>
  <c r="AT936" i="16" s="1"/>
  <c r="AS935" i="16"/>
  <c r="AT935" i="16" s="1"/>
  <c r="AS934" i="16"/>
  <c r="AT934" i="16" s="1"/>
  <c r="AS933" i="16"/>
  <c r="AT933" i="16" s="1"/>
  <c r="AS932" i="16"/>
  <c r="AT932" i="16" s="1"/>
  <c r="AS931" i="16"/>
  <c r="AT931" i="16" s="1"/>
  <c r="AS930" i="16"/>
  <c r="AT930" i="16" s="1"/>
  <c r="AS929" i="16"/>
  <c r="AT929" i="16" s="1"/>
  <c r="AS928" i="16"/>
  <c r="AT928" i="16" s="1"/>
  <c r="AS927" i="16"/>
  <c r="AT927" i="16" s="1"/>
  <c r="AS926" i="16"/>
  <c r="AT926" i="16" s="1"/>
  <c r="AS925" i="16"/>
  <c r="AT925" i="16" s="1"/>
  <c r="AS924" i="16"/>
  <c r="AT924" i="16" s="1"/>
  <c r="AS923" i="16"/>
  <c r="AT923" i="16" s="1"/>
  <c r="AS922" i="16"/>
  <c r="AT922" i="16" s="1"/>
  <c r="AS921" i="16"/>
  <c r="AT921" i="16" s="1"/>
  <c r="AS920" i="16"/>
  <c r="AT920" i="16" s="1"/>
  <c r="AS919" i="16"/>
  <c r="AT919" i="16" s="1"/>
  <c r="AS918" i="16"/>
  <c r="AT918" i="16" s="1"/>
  <c r="AS917" i="16"/>
  <c r="AT917" i="16" s="1"/>
  <c r="AS916" i="16"/>
  <c r="AT916" i="16" s="1"/>
  <c r="AS915" i="16"/>
  <c r="AT915" i="16" s="1"/>
  <c r="AS914" i="16"/>
  <c r="AT914" i="16" s="1"/>
  <c r="AS913" i="16"/>
  <c r="AT913" i="16" s="1"/>
  <c r="AS912" i="16"/>
  <c r="AT912" i="16" s="1"/>
  <c r="AS911" i="16"/>
  <c r="AT911" i="16" s="1"/>
  <c r="AS910" i="16"/>
  <c r="AT910" i="16" s="1"/>
  <c r="AS909" i="16"/>
  <c r="AT909" i="16" s="1"/>
  <c r="AS908" i="16"/>
  <c r="AT908" i="16" s="1"/>
  <c r="AS907" i="16"/>
  <c r="AT907" i="16" s="1"/>
  <c r="AS906" i="16"/>
  <c r="AT906" i="16" s="1"/>
  <c r="AS905" i="16"/>
  <c r="AT905" i="16" s="1"/>
  <c r="AS904" i="16"/>
  <c r="AT904" i="16" s="1"/>
  <c r="AS903" i="16"/>
  <c r="AT903" i="16" s="1"/>
  <c r="AS902" i="16"/>
  <c r="AT902" i="16" s="1"/>
  <c r="AS901" i="16"/>
  <c r="AT901" i="16" s="1"/>
  <c r="AS900" i="16"/>
  <c r="AT900" i="16" s="1"/>
  <c r="AS899" i="16"/>
  <c r="AT899" i="16" s="1"/>
  <c r="AS898" i="16"/>
  <c r="AT898" i="16" s="1"/>
  <c r="AS897" i="16"/>
  <c r="AT897" i="16" s="1"/>
  <c r="AS896" i="16"/>
  <c r="AT896" i="16" s="1"/>
  <c r="AS895" i="16"/>
  <c r="AT895" i="16" s="1"/>
  <c r="AS894" i="16"/>
  <c r="AT894" i="16" s="1"/>
  <c r="AS893" i="16"/>
  <c r="AT893" i="16" s="1"/>
  <c r="AS892" i="16"/>
  <c r="AT892" i="16" s="1"/>
  <c r="AS891" i="16"/>
  <c r="AT891" i="16" s="1"/>
  <c r="AS890" i="16"/>
  <c r="AT890" i="16" s="1"/>
  <c r="AS889" i="16"/>
  <c r="AT889" i="16" s="1"/>
  <c r="AS888" i="16"/>
  <c r="AT888" i="16" s="1"/>
  <c r="AS887" i="16"/>
  <c r="AT887" i="16" s="1"/>
  <c r="AS886" i="16"/>
  <c r="AT886" i="16" s="1"/>
  <c r="AS885" i="16"/>
  <c r="AT885" i="16" s="1"/>
  <c r="AS884" i="16"/>
  <c r="AT884" i="16" s="1"/>
  <c r="AS883" i="16"/>
  <c r="AT883" i="16" s="1"/>
  <c r="AS882" i="16"/>
  <c r="AT882" i="16" s="1"/>
  <c r="AS881" i="16"/>
  <c r="AT881" i="16" s="1"/>
  <c r="AS880" i="16"/>
  <c r="AT880" i="16" s="1"/>
  <c r="AS879" i="16"/>
  <c r="AT879" i="16" s="1"/>
  <c r="AS878" i="16"/>
  <c r="AT878" i="16" s="1"/>
  <c r="AS877" i="16"/>
  <c r="AT877" i="16" s="1"/>
  <c r="AS876" i="16"/>
  <c r="AT876" i="16" s="1"/>
  <c r="AS875" i="16"/>
  <c r="AT875" i="16" s="1"/>
  <c r="AS874" i="16"/>
  <c r="AT874" i="16" s="1"/>
  <c r="AS873" i="16"/>
  <c r="AT873" i="16" s="1"/>
  <c r="AS872" i="16"/>
  <c r="AT872" i="16" s="1"/>
  <c r="AS871" i="16"/>
  <c r="AT871" i="16" s="1"/>
  <c r="AS870" i="16"/>
  <c r="AT870" i="16" s="1"/>
  <c r="AS869" i="16"/>
  <c r="AT869" i="16" s="1"/>
  <c r="AS868" i="16"/>
  <c r="AT868" i="16" s="1"/>
  <c r="AS867" i="16"/>
  <c r="AT867" i="16" s="1"/>
  <c r="AS866" i="16"/>
  <c r="AT866" i="16" s="1"/>
  <c r="AS865" i="16"/>
  <c r="AT865" i="16" s="1"/>
  <c r="AS864" i="16"/>
  <c r="AT864" i="16" s="1"/>
  <c r="AS863" i="16"/>
  <c r="AT863" i="16" s="1"/>
  <c r="AS862" i="16"/>
  <c r="AT862" i="16" s="1"/>
  <c r="AS861" i="16"/>
  <c r="AT861" i="16" s="1"/>
  <c r="AS860" i="16"/>
  <c r="AT860" i="16" s="1"/>
  <c r="AS859" i="16"/>
  <c r="AT859" i="16" s="1"/>
  <c r="AS858" i="16"/>
  <c r="AT858" i="16" s="1"/>
  <c r="AS857" i="16"/>
  <c r="AT857" i="16" s="1"/>
  <c r="AS856" i="16"/>
  <c r="AT856" i="16" s="1"/>
  <c r="AS855" i="16"/>
  <c r="AT855" i="16" s="1"/>
  <c r="AS854" i="16"/>
  <c r="AT854" i="16" s="1"/>
  <c r="AS853" i="16"/>
  <c r="AT853" i="16" s="1"/>
  <c r="AS852" i="16"/>
  <c r="AT852" i="16" s="1"/>
  <c r="AS851" i="16"/>
  <c r="AT851" i="16" s="1"/>
  <c r="AS850" i="16"/>
  <c r="AT850" i="16" s="1"/>
  <c r="AS849" i="16"/>
  <c r="AT849" i="16" s="1"/>
  <c r="AS848" i="16"/>
  <c r="AT848" i="16" s="1"/>
  <c r="AS847" i="16"/>
  <c r="AT847" i="16" s="1"/>
  <c r="AS846" i="16"/>
  <c r="AT846" i="16" s="1"/>
  <c r="AS845" i="16"/>
  <c r="AT845" i="16" s="1"/>
  <c r="AS844" i="16"/>
  <c r="AT844" i="16" s="1"/>
  <c r="AS843" i="16"/>
  <c r="AT843" i="16" s="1"/>
  <c r="AS842" i="16"/>
  <c r="AT842" i="16" s="1"/>
  <c r="AS841" i="16"/>
  <c r="AT841" i="16" s="1"/>
  <c r="AS840" i="16"/>
  <c r="AT840" i="16" s="1"/>
  <c r="AS839" i="16"/>
  <c r="AT839" i="16" s="1"/>
  <c r="AS838" i="16"/>
  <c r="AT838" i="16" s="1"/>
  <c r="AS837" i="16"/>
  <c r="AT837" i="16" s="1"/>
  <c r="AS836" i="16"/>
  <c r="AT836" i="16" s="1"/>
  <c r="AS835" i="16"/>
  <c r="AT835" i="16" s="1"/>
  <c r="AS834" i="16"/>
  <c r="AT834" i="16" s="1"/>
  <c r="AS833" i="16"/>
  <c r="AT833" i="16" s="1"/>
  <c r="AS832" i="16"/>
  <c r="AT832" i="16" s="1"/>
  <c r="AS831" i="16"/>
  <c r="AT831" i="16" s="1"/>
  <c r="AS830" i="16"/>
  <c r="AT830" i="16" s="1"/>
  <c r="AS829" i="16"/>
  <c r="AT829" i="16" s="1"/>
  <c r="AS828" i="16"/>
  <c r="AT828" i="16" s="1"/>
  <c r="AS827" i="16"/>
  <c r="AT827" i="16" s="1"/>
  <c r="AS826" i="16"/>
  <c r="AT826" i="16" s="1"/>
  <c r="AS825" i="16"/>
  <c r="AT825" i="16" s="1"/>
  <c r="AS824" i="16"/>
  <c r="AT824" i="16" s="1"/>
  <c r="AS823" i="16"/>
  <c r="AT823" i="16" s="1"/>
  <c r="AS822" i="16"/>
  <c r="AT822" i="16" s="1"/>
  <c r="AS821" i="16"/>
  <c r="AT821" i="16" s="1"/>
  <c r="AS820" i="16"/>
  <c r="AT820" i="16" s="1"/>
  <c r="AS819" i="16"/>
  <c r="AT819" i="16" s="1"/>
  <c r="AS818" i="16"/>
  <c r="AT818" i="16" s="1"/>
  <c r="AS817" i="16"/>
  <c r="AT817" i="16" s="1"/>
  <c r="AS816" i="16"/>
  <c r="AT816" i="16" s="1"/>
  <c r="AS815" i="16"/>
  <c r="AT815" i="16" s="1"/>
  <c r="AS814" i="16"/>
  <c r="AT814" i="16" s="1"/>
  <c r="AS813" i="16"/>
  <c r="AT813" i="16" s="1"/>
  <c r="AS812" i="16"/>
  <c r="AT812" i="16" s="1"/>
  <c r="AS811" i="16"/>
  <c r="AT811" i="16" s="1"/>
  <c r="AS810" i="16"/>
  <c r="AT810" i="16" s="1"/>
  <c r="AS809" i="16"/>
  <c r="AT809" i="16" s="1"/>
  <c r="AS808" i="16"/>
  <c r="AT808" i="16" s="1"/>
  <c r="AS807" i="16"/>
  <c r="AT807" i="16" s="1"/>
  <c r="AS806" i="16"/>
  <c r="AT806" i="16" s="1"/>
  <c r="AS805" i="16"/>
  <c r="AT805" i="16" s="1"/>
  <c r="AS804" i="16"/>
  <c r="AT804" i="16" s="1"/>
  <c r="AS803" i="16"/>
  <c r="AT803" i="16" s="1"/>
  <c r="AS802" i="16"/>
  <c r="AT802" i="16" s="1"/>
  <c r="AS801" i="16"/>
  <c r="AT801" i="16" s="1"/>
  <c r="AS800" i="16"/>
  <c r="AT800" i="16" s="1"/>
  <c r="AS799" i="16"/>
  <c r="AT799" i="16" s="1"/>
  <c r="AS798" i="16"/>
  <c r="AT798" i="16" s="1"/>
  <c r="AS797" i="16"/>
  <c r="AT797" i="16" s="1"/>
  <c r="AS796" i="16"/>
  <c r="AT796" i="16" s="1"/>
  <c r="AS795" i="16"/>
  <c r="AT795" i="16" s="1"/>
  <c r="AS794" i="16"/>
  <c r="AT794" i="16" s="1"/>
  <c r="AS793" i="16"/>
  <c r="AT793" i="16" s="1"/>
  <c r="AS792" i="16"/>
  <c r="AT792" i="16" s="1"/>
  <c r="AS791" i="16"/>
  <c r="AT791" i="16" s="1"/>
  <c r="AS790" i="16"/>
  <c r="AT790" i="16" s="1"/>
  <c r="AS789" i="16"/>
  <c r="AT789" i="16" s="1"/>
  <c r="AS788" i="16"/>
  <c r="AT788" i="16" s="1"/>
  <c r="AS787" i="16"/>
  <c r="AT787" i="16" s="1"/>
  <c r="AS786" i="16"/>
  <c r="AT786" i="16" s="1"/>
  <c r="AS785" i="16"/>
  <c r="AT785" i="16" s="1"/>
  <c r="AS784" i="16"/>
  <c r="AT784" i="16" s="1"/>
  <c r="AS783" i="16"/>
  <c r="AT783" i="16" s="1"/>
  <c r="AS782" i="16"/>
  <c r="AT782" i="16" s="1"/>
  <c r="AS781" i="16"/>
  <c r="AT781" i="16" s="1"/>
  <c r="AS780" i="16"/>
  <c r="AT780" i="16" s="1"/>
  <c r="AS779" i="16"/>
  <c r="AT779" i="16" s="1"/>
  <c r="AS778" i="16"/>
  <c r="AT778" i="16" s="1"/>
  <c r="AS777" i="16"/>
  <c r="AT777" i="16" s="1"/>
  <c r="AS776" i="16"/>
  <c r="AT776" i="16" s="1"/>
  <c r="AS775" i="16"/>
  <c r="AT775" i="16" s="1"/>
  <c r="AS774" i="16"/>
  <c r="AT774" i="16" s="1"/>
  <c r="AS773" i="16"/>
  <c r="AT773" i="16" s="1"/>
  <c r="AS772" i="16"/>
  <c r="AT772" i="16" s="1"/>
  <c r="AS771" i="16"/>
  <c r="AT771" i="16" s="1"/>
  <c r="AS770" i="16"/>
  <c r="AT770" i="16" s="1"/>
  <c r="AS769" i="16"/>
  <c r="AT769" i="16" s="1"/>
  <c r="AS768" i="16"/>
  <c r="AT768" i="16" s="1"/>
  <c r="AS767" i="16"/>
  <c r="AT767" i="16" s="1"/>
  <c r="AS766" i="16"/>
  <c r="AT766" i="16" s="1"/>
  <c r="AS765" i="16"/>
  <c r="AT765" i="16" s="1"/>
  <c r="AS764" i="16"/>
  <c r="AT764" i="16" s="1"/>
  <c r="AS763" i="16"/>
  <c r="AT763" i="16" s="1"/>
  <c r="AS762" i="16"/>
  <c r="AT762" i="16" s="1"/>
  <c r="AS761" i="16"/>
  <c r="AT761" i="16" s="1"/>
  <c r="AS760" i="16"/>
  <c r="AT760" i="16" s="1"/>
  <c r="AS759" i="16"/>
  <c r="AT759" i="16" s="1"/>
  <c r="AS758" i="16"/>
  <c r="AT758" i="16" s="1"/>
  <c r="AS757" i="16"/>
  <c r="AT757" i="16" s="1"/>
  <c r="AS756" i="16"/>
  <c r="AT756" i="16" s="1"/>
  <c r="AS755" i="16"/>
  <c r="AT755" i="16" s="1"/>
  <c r="AS754" i="16"/>
  <c r="AT754" i="16" s="1"/>
  <c r="AS753" i="16"/>
  <c r="AT753" i="16" s="1"/>
  <c r="AS752" i="16"/>
  <c r="AT752" i="16" s="1"/>
  <c r="AS751" i="16"/>
  <c r="AT751" i="16" s="1"/>
  <c r="AS750" i="16"/>
  <c r="AT750" i="16" s="1"/>
  <c r="AS749" i="16"/>
  <c r="AT749" i="16" s="1"/>
  <c r="AS748" i="16"/>
  <c r="AT748" i="16" s="1"/>
  <c r="AS747" i="16"/>
  <c r="AT747" i="16" s="1"/>
  <c r="AS746" i="16"/>
  <c r="AT746" i="16" s="1"/>
  <c r="AS745" i="16"/>
  <c r="AT745" i="16" s="1"/>
  <c r="AS744" i="16"/>
  <c r="AT744" i="16" s="1"/>
  <c r="AS743" i="16"/>
  <c r="AT743" i="16" s="1"/>
  <c r="AS742" i="16"/>
  <c r="AT742" i="16" s="1"/>
  <c r="AS741" i="16"/>
  <c r="AT741" i="16" s="1"/>
  <c r="AS740" i="16"/>
  <c r="AT740" i="16" s="1"/>
  <c r="AS739" i="16"/>
  <c r="AT739" i="16" s="1"/>
  <c r="AS738" i="16"/>
  <c r="AT738" i="16" s="1"/>
  <c r="AS737" i="16"/>
  <c r="AT737" i="16" s="1"/>
  <c r="AS736" i="16"/>
  <c r="AT736" i="16" s="1"/>
  <c r="AS735" i="16"/>
  <c r="AT735" i="16" s="1"/>
  <c r="AS734" i="16"/>
  <c r="AT734" i="16" s="1"/>
  <c r="AS733" i="16"/>
  <c r="AT733" i="16" s="1"/>
  <c r="AS732" i="16"/>
  <c r="AT732" i="16" s="1"/>
  <c r="AS731" i="16"/>
  <c r="AT731" i="16" s="1"/>
  <c r="AS730" i="16"/>
  <c r="AT730" i="16" s="1"/>
  <c r="AS729" i="16"/>
  <c r="AT729" i="16" s="1"/>
  <c r="AS728" i="16"/>
  <c r="AT728" i="16" s="1"/>
  <c r="AS727" i="16"/>
  <c r="AT727" i="16" s="1"/>
  <c r="AS726" i="16"/>
  <c r="AT726" i="16" s="1"/>
  <c r="AS725" i="16"/>
  <c r="AT725" i="16" s="1"/>
  <c r="AS724" i="16"/>
  <c r="AT724" i="16" s="1"/>
  <c r="AS723" i="16"/>
  <c r="AT723" i="16" s="1"/>
  <c r="AS722" i="16"/>
  <c r="AT722" i="16" s="1"/>
  <c r="AS721" i="16"/>
  <c r="AT721" i="16" s="1"/>
  <c r="AS720" i="16"/>
  <c r="AT720" i="16" s="1"/>
  <c r="AS719" i="16"/>
  <c r="AT719" i="16" s="1"/>
  <c r="AS718" i="16"/>
  <c r="AT718" i="16" s="1"/>
  <c r="AS717" i="16"/>
  <c r="AT717" i="16" s="1"/>
  <c r="AS716" i="16"/>
  <c r="AT716" i="16" s="1"/>
  <c r="AS715" i="16"/>
  <c r="AT715" i="16" s="1"/>
  <c r="AS714" i="16"/>
  <c r="AT714" i="16" s="1"/>
  <c r="AS713" i="16"/>
  <c r="AT713" i="16" s="1"/>
  <c r="AS712" i="16"/>
  <c r="AT712" i="16" s="1"/>
  <c r="AS711" i="16"/>
  <c r="AT711" i="16" s="1"/>
  <c r="AS710" i="16"/>
  <c r="AT710" i="16" s="1"/>
  <c r="AS709" i="16"/>
  <c r="AT709" i="16" s="1"/>
  <c r="AS708" i="16"/>
  <c r="AT708" i="16" s="1"/>
  <c r="AS707" i="16"/>
  <c r="AT707" i="16" s="1"/>
  <c r="AS706" i="16"/>
  <c r="AT706" i="16" s="1"/>
  <c r="AS705" i="16"/>
  <c r="AT705" i="16" s="1"/>
  <c r="AS704" i="16"/>
  <c r="AT704" i="16" s="1"/>
  <c r="AS703" i="16"/>
  <c r="AT703" i="16" s="1"/>
  <c r="AS702" i="16"/>
  <c r="AT702" i="16" s="1"/>
  <c r="AS701" i="16"/>
  <c r="AT701" i="16" s="1"/>
  <c r="AS700" i="16"/>
  <c r="AT700" i="16" s="1"/>
  <c r="AS699" i="16"/>
  <c r="AT699" i="16" s="1"/>
  <c r="AS698" i="16"/>
  <c r="AT698" i="16" s="1"/>
  <c r="AS697" i="16"/>
  <c r="AT697" i="16" s="1"/>
  <c r="AS696" i="16"/>
  <c r="AT696" i="16" s="1"/>
  <c r="AS695" i="16"/>
  <c r="AT695" i="16" s="1"/>
  <c r="AS694" i="16"/>
  <c r="AT694" i="16" s="1"/>
  <c r="AS693" i="16"/>
  <c r="AT693" i="16" s="1"/>
  <c r="AS692" i="16"/>
  <c r="AT692" i="16" s="1"/>
  <c r="AS691" i="16"/>
  <c r="AT691" i="16" s="1"/>
  <c r="AS690" i="16"/>
  <c r="AT690" i="16" s="1"/>
  <c r="AS689" i="16"/>
  <c r="AT689" i="16" s="1"/>
  <c r="AS688" i="16"/>
  <c r="AT688" i="16" s="1"/>
  <c r="AS687" i="16"/>
  <c r="AT687" i="16" s="1"/>
  <c r="AS686" i="16"/>
  <c r="AT686" i="16" s="1"/>
  <c r="AS685" i="16"/>
  <c r="AT685" i="16" s="1"/>
  <c r="AS684" i="16"/>
  <c r="AT684" i="16" s="1"/>
  <c r="AS683" i="16"/>
  <c r="AT683" i="16" s="1"/>
  <c r="AS682" i="16"/>
  <c r="AT682" i="16" s="1"/>
  <c r="AS681" i="16"/>
  <c r="AT681" i="16" s="1"/>
  <c r="AS680" i="16"/>
  <c r="AT680" i="16" s="1"/>
  <c r="AS679" i="16"/>
  <c r="AT679" i="16" s="1"/>
  <c r="AS678" i="16"/>
  <c r="AT678" i="16" s="1"/>
  <c r="AS677" i="16"/>
  <c r="AT677" i="16" s="1"/>
  <c r="AS676" i="16"/>
  <c r="AT676" i="16" s="1"/>
  <c r="AS675" i="16"/>
  <c r="AT675" i="16" s="1"/>
  <c r="AS674" i="16"/>
  <c r="AT674" i="16" s="1"/>
  <c r="AS673" i="16"/>
  <c r="AT673" i="16" s="1"/>
  <c r="AS672" i="16"/>
  <c r="AT672" i="16" s="1"/>
  <c r="AS671" i="16"/>
  <c r="AT671" i="16" s="1"/>
  <c r="AS670" i="16"/>
  <c r="AT670" i="16" s="1"/>
  <c r="AS669" i="16"/>
  <c r="AT669" i="16" s="1"/>
  <c r="AS668" i="16"/>
  <c r="AT668" i="16" s="1"/>
  <c r="AS667" i="16"/>
  <c r="AT667" i="16" s="1"/>
  <c r="AS666" i="16"/>
  <c r="AT666" i="16" s="1"/>
  <c r="AS665" i="16"/>
  <c r="AT665" i="16" s="1"/>
  <c r="AS664" i="16"/>
  <c r="AT664" i="16" s="1"/>
  <c r="AS663" i="16"/>
  <c r="AT663" i="16" s="1"/>
  <c r="AS662" i="16"/>
  <c r="AT662" i="16" s="1"/>
  <c r="AS661" i="16"/>
  <c r="AT661" i="16" s="1"/>
  <c r="AS660" i="16"/>
  <c r="AT660" i="16" s="1"/>
  <c r="AS659" i="16"/>
  <c r="AT659" i="16" s="1"/>
  <c r="AS658" i="16"/>
  <c r="AT658" i="16" s="1"/>
  <c r="AS657" i="16"/>
  <c r="AT657" i="16" s="1"/>
  <c r="AS656" i="16"/>
  <c r="AT656" i="16" s="1"/>
  <c r="AS655" i="16"/>
  <c r="AT655" i="16" s="1"/>
  <c r="AS654" i="16"/>
  <c r="AT654" i="16" s="1"/>
  <c r="AS653" i="16"/>
  <c r="AT653" i="16" s="1"/>
  <c r="AS652" i="16"/>
  <c r="AT652" i="16" s="1"/>
  <c r="AS651" i="16"/>
  <c r="AT651" i="16" s="1"/>
  <c r="AS650" i="16"/>
  <c r="AT650" i="16" s="1"/>
  <c r="AS649" i="16"/>
  <c r="AT649" i="16" s="1"/>
  <c r="AS648" i="16"/>
  <c r="AT648" i="16" s="1"/>
  <c r="AS647" i="16"/>
  <c r="AT647" i="16" s="1"/>
  <c r="AS646" i="16"/>
  <c r="AT646" i="16" s="1"/>
  <c r="AS645" i="16"/>
  <c r="AT645" i="16" s="1"/>
  <c r="AS644" i="16"/>
  <c r="AT644" i="16" s="1"/>
  <c r="AS643" i="16"/>
  <c r="AT643" i="16" s="1"/>
  <c r="AS642" i="16"/>
  <c r="AT642" i="16" s="1"/>
  <c r="AS641" i="16"/>
  <c r="AT641" i="16" s="1"/>
  <c r="AS640" i="16"/>
  <c r="AT640" i="16" s="1"/>
  <c r="AS639" i="16"/>
  <c r="AT639" i="16" s="1"/>
  <c r="AS638" i="16"/>
  <c r="AT638" i="16" s="1"/>
  <c r="AS637" i="16"/>
  <c r="AT637" i="16" s="1"/>
  <c r="AS636" i="16"/>
  <c r="AT636" i="16" s="1"/>
  <c r="AS635" i="16"/>
  <c r="AT635" i="16" s="1"/>
  <c r="AS634" i="16"/>
  <c r="AT634" i="16" s="1"/>
  <c r="AS633" i="16"/>
  <c r="AT633" i="16" s="1"/>
  <c r="AS632" i="16"/>
  <c r="AT632" i="16" s="1"/>
  <c r="AS631" i="16"/>
  <c r="AT631" i="16" s="1"/>
  <c r="AS630" i="16"/>
  <c r="AT630" i="16" s="1"/>
  <c r="AS629" i="16"/>
  <c r="AT629" i="16" s="1"/>
  <c r="AS628" i="16"/>
  <c r="AT628" i="16" s="1"/>
  <c r="AS627" i="16"/>
  <c r="AT627" i="16" s="1"/>
  <c r="AS626" i="16"/>
  <c r="AT626" i="16" s="1"/>
  <c r="AS625" i="16"/>
  <c r="AT625" i="16" s="1"/>
  <c r="AS624" i="16"/>
  <c r="AT624" i="16" s="1"/>
  <c r="AS623" i="16"/>
  <c r="AT623" i="16" s="1"/>
  <c r="AS622" i="16"/>
  <c r="AT622" i="16" s="1"/>
  <c r="AS621" i="16"/>
  <c r="AT621" i="16" s="1"/>
  <c r="AS620" i="16"/>
  <c r="AT620" i="16" s="1"/>
  <c r="AS619" i="16"/>
  <c r="AT619" i="16" s="1"/>
  <c r="AS618" i="16"/>
  <c r="AT618" i="16" s="1"/>
  <c r="AS617" i="16"/>
  <c r="AT617" i="16" s="1"/>
  <c r="AS616" i="16"/>
  <c r="AT616" i="16" s="1"/>
  <c r="AS615" i="16"/>
  <c r="AT615" i="16" s="1"/>
  <c r="AS614" i="16"/>
  <c r="AT614" i="16" s="1"/>
  <c r="AS613" i="16"/>
  <c r="AT613" i="16" s="1"/>
  <c r="AS612" i="16"/>
  <c r="AT612" i="16" s="1"/>
  <c r="AS611" i="16"/>
  <c r="AT611" i="16" s="1"/>
  <c r="AS610" i="16"/>
  <c r="AT610" i="16" s="1"/>
  <c r="AS609" i="16"/>
  <c r="AT609" i="16" s="1"/>
  <c r="AS608" i="16"/>
  <c r="AT608" i="16" s="1"/>
  <c r="AS607" i="16"/>
  <c r="AT607" i="16" s="1"/>
  <c r="AS606" i="16"/>
  <c r="AT606" i="16" s="1"/>
  <c r="AS605" i="16"/>
  <c r="AT605" i="16" s="1"/>
  <c r="AS604" i="16"/>
  <c r="AT604" i="16" s="1"/>
  <c r="AS603" i="16"/>
  <c r="AT603" i="16" s="1"/>
  <c r="AS602" i="16"/>
  <c r="AT602" i="16" s="1"/>
  <c r="AS601" i="16"/>
  <c r="AT601" i="16" s="1"/>
  <c r="AS600" i="16"/>
  <c r="AT600" i="16" s="1"/>
  <c r="AS599" i="16"/>
  <c r="AT599" i="16" s="1"/>
  <c r="AS598" i="16"/>
  <c r="AT598" i="16" s="1"/>
  <c r="AS597" i="16"/>
  <c r="AT597" i="16" s="1"/>
  <c r="AS596" i="16"/>
  <c r="AT596" i="16" s="1"/>
  <c r="AS595" i="16"/>
  <c r="AT595" i="16" s="1"/>
  <c r="AS594" i="16"/>
  <c r="AT594" i="16" s="1"/>
  <c r="AS593" i="16"/>
  <c r="AT593" i="16" s="1"/>
  <c r="AS592" i="16"/>
  <c r="AT592" i="16" s="1"/>
  <c r="AS591" i="16"/>
  <c r="AT591" i="16" s="1"/>
  <c r="AS590" i="16"/>
  <c r="AT590" i="16" s="1"/>
  <c r="AS589" i="16"/>
  <c r="AT589" i="16" s="1"/>
  <c r="AS588" i="16"/>
  <c r="AT588" i="16" s="1"/>
  <c r="AS587" i="16"/>
  <c r="AT587" i="16" s="1"/>
  <c r="AS586" i="16"/>
  <c r="AT586" i="16" s="1"/>
  <c r="AS585" i="16"/>
  <c r="AT585" i="16" s="1"/>
  <c r="AS584" i="16"/>
  <c r="AT584" i="16" s="1"/>
  <c r="AS583" i="16"/>
  <c r="AT583" i="16" s="1"/>
  <c r="AS582" i="16"/>
  <c r="AT582" i="16" s="1"/>
  <c r="AS581" i="16"/>
  <c r="AT581" i="16" s="1"/>
  <c r="AS580" i="16"/>
  <c r="AT580" i="16" s="1"/>
  <c r="AS579" i="16"/>
  <c r="AT579" i="16" s="1"/>
  <c r="AS578" i="16"/>
  <c r="AT578" i="16" s="1"/>
  <c r="AS577" i="16"/>
  <c r="AT577" i="16" s="1"/>
  <c r="AS576" i="16"/>
  <c r="AT576" i="16" s="1"/>
  <c r="AS575" i="16"/>
  <c r="AT575" i="16" s="1"/>
  <c r="AS574" i="16"/>
  <c r="AT574" i="16" s="1"/>
  <c r="AS573" i="16"/>
  <c r="AT573" i="16" s="1"/>
  <c r="AS572" i="16"/>
  <c r="AT572" i="16" s="1"/>
  <c r="AS571" i="16"/>
  <c r="AT571" i="16" s="1"/>
  <c r="AS570" i="16"/>
  <c r="AT570" i="16" s="1"/>
  <c r="AS569" i="16"/>
  <c r="AT569" i="16" s="1"/>
  <c r="AS568" i="16"/>
  <c r="AT568" i="16" s="1"/>
  <c r="AS567" i="16"/>
  <c r="AT567" i="16" s="1"/>
  <c r="AS566" i="16"/>
  <c r="AT566" i="16" s="1"/>
  <c r="AS565" i="16"/>
  <c r="AT565" i="16" s="1"/>
  <c r="AS564" i="16"/>
  <c r="AT564" i="16" s="1"/>
  <c r="AS563" i="16"/>
  <c r="AT563" i="16" s="1"/>
  <c r="AS562" i="16"/>
  <c r="AT562" i="16" s="1"/>
  <c r="AS561" i="16"/>
  <c r="AT561" i="16" s="1"/>
  <c r="AS560" i="16"/>
  <c r="AT560" i="16" s="1"/>
  <c r="AS559" i="16"/>
  <c r="AT559" i="16" s="1"/>
  <c r="AS558" i="16"/>
  <c r="AT558" i="16" s="1"/>
  <c r="AS557" i="16"/>
  <c r="AT557" i="16" s="1"/>
  <c r="AS556" i="16"/>
  <c r="AT556" i="16" s="1"/>
  <c r="AS555" i="16"/>
  <c r="AT555" i="16" s="1"/>
  <c r="AS554" i="16"/>
  <c r="AT554" i="16" s="1"/>
  <c r="AS553" i="16"/>
  <c r="AT553" i="16" s="1"/>
  <c r="AS552" i="16"/>
  <c r="AT552" i="16" s="1"/>
  <c r="AS551" i="16"/>
  <c r="AT551" i="16" s="1"/>
  <c r="AS550" i="16"/>
  <c r="AT550" i="16" s="1"/>
  <c r="AS549" i="16"/>
  <c r="AT549" i="16" s="1"/>
  <c r="AS548" i="16"/>
  <c r="AT548" i="16" s="1"/>
  <c r="AS547" i="16"/>
  <c r="AT547" i="16" s="1"/>
  <c r="AS545" i="16"/>
  <c r="AT545" i="16" s="1"/>
  <c r="AS544" i="16"/>
  <c r="AT544" i="16" s="1"/>
  <c r="AS543" i="16"/>
  <c r="AT543" i="16" s="1"/>
  <c r="AS542" i="16"/>
  <c r="AT542" i="16" s="1"/>
  <c r="AS541" i="16"/>
  <c r="AT541" i="16" s="1"/>
  <c r="AS540" i="16"/>
  <c r="AT540" i="16" s="1"/>
  <c r="AS539" i="16"/>
  <c r="AT539" i="16" s="1"/>
  <c r="AS538" i="16"/>
  <c r="AT538" i="16" s="1"/>
  <c r="AS537" i="16"/>
  <c r="AT537" i="16" s="1"/>
  <c r="AS536" i="16"/>
  <c r="AT536" i="16" s="1"/>
  <c r="AS535" i="16"/>
  <c r="AT535" i="16" s="1"/>
  <c r="AS534" i="16"/>
  <c r="AT534" i="16" s="1"/>
  <c r="AS533" i="16"/>
  <c r="AT533" i="16" s="1"/>
  <c r="AS532" i="16"/>
  <c r="AT532" i="16" s="1"/>
  <c r="AS531" i="16"/>
  <c r="AT531" i="16" s="1"/>
  <c r="AS530" i="16"/>
  <c r="AT530" i="16" s="1"/>
  <c r="AS529" i="16"/>
  <c r="AT529" i="16" s="1"/>
  <c r="AS528" i="16"/>
  <c r="AT528" i="16" s="1"/>
  <c r="AS527" i="16"/>
  <c r="AT527" i="16" s="1"/>
  <c r="AS526" i="16"/>
  <c r="AT526" i="16" s="1"/>
  <c r="AS525" i="16"/>
  <c r="AT525" i="16" s="1"/>
  <c r="AS524" i="16"/>
  <c r="AT524" i="16" s="1"/>
  <c r="AS523" i="16"/>
  <c r="AT523" i="16" s="1"/>
  <c r="AS522" i="16"/>
  <c r="AT522" i="16" s="1"/>
  <c r="AS521" i="16"/>
  <c r="AT521" i="16" s="1"/>
  <c r="AS520" i="16"/>
  <c r="AT520" i="16" s="1"/>
  <c r="AS519" i="16"/>
  <c r="AT519" i="16" s="1"/>
  <c r="AS518" i="16"/>
  <c r="AT518" i="16" s="1"/>
  <c r="AS517" i="16"/>
  <c r="AT517" i="16" s="1"/>
  <c r="AS516" i="16"/>
  <c r="AT516" i="16" s="1"/>
  <c r="AS515" i="16"/>
  <c r="AT515" i="16" s="1"/>
  <c r="AS514" i="16"/>
  <c r="AT514" i="16" s="1"/>
  <c r="AS513" i="16"/>
  <c r="AT513" i="16" s="1"/>
  <c r="AS512" i="16"/>
  <c r="AT512" i="16" s="1"/>
  <c r="AS511" i="16"/>
  <c r="AT511" i="16" s="1"/>
  <c r="AS510" i="16"/>
  <c r="AT510" i="16" s="1"/>
  <c r="AS509" i="16"/>
  <c r="AT509" i="16" s="1"/>
  <c r="AS508" i="16"/>
  <c r="AT508" i="16" s="1"/>
  <c r="AS507" i="16"/>
  <c r="AT507" i="16" s="1"/>
  <c r="AS506" i="16"/>
  <c r="AT506" i="16" s="1"/>
  <c r="AS505" i="16"/>
  <c r="AT505" i="16" s="1"/>
  <c r="AS504" i="16"/>
  <c r="AT504" i="16" s="1"/>
  <c r="AS503" i="16"/>
  <c r="AT503" i="16" s="1"/>
  <c r="AS502" i="16"/>
  <c r="AT502" i="16" s="1"/>
  <c r="AS501" i="16"/>
  <c r="AT501" i="16" s="1"/>
  <c r="AS500" i="16"/>
  <c r="AT500" i="16" s="1"/>
  <c r="AS499" i="16"/>
  <c r="AT499" i="16" s="1"/>
  <c r="AS498" i="16"/>
  <c r="AT498" i="16" s="1"/>
  <c r="AS497" i="16"/>
  <c r="AT497" i="16" s="1"/>
  <c r="AS496" i="16"/>
  <c r="AT496" i="16" s="1"/>
  <c r="AS495" i="16"/>
  <c r="AT495" i="16" s="1"/>
  <c r="AS494" i="16"/>
  <c r="AT494" i="16" s="1"/>
  <c r="AS493" i="16"/>
  <c r="AT493" i="16" s="1"/>
  <c r="AS492" i="16"/>
  <c r="AT492" i="16" s="1"/>
  <c r="AS491" i="16"/>
  <c r="AT491" i="16" s="1"/>
  <c r="AS490" i="16"/>
  <c r="AT490" i="16" s="1"/>
  <c r="AS489" i="16"/>
  <c r="AT489" i="16" s="1"/>
  <c r="AS488" i="16"/>
  <c r="AT488" i="16" s="1"/>
  <c r="AS487" i="16"/>
  <c r="AT487" i="16" s="1"/>
  <c r="AS486" i="16"/>
  <c r="AT486" i="16" s="1"/>
  <c r="AS485" i="16"/>
  <c r="AT485" i="16" s="1"/>
  <c r="AS484" i="16"/>
  <c r="AT484" i="16" s="1"/>
  <c r="AS483" i="16"/>
  <c r="AT483" i="16" s="1"/>
  <c r="AS482" i="16"/>
  <c r="AT482" i="16" s="1"/>
  <c r="AS481" i="16"/>
  <c r="AT481" i="16" s="1"/>
  <c r="AS480" i="16"/>
  <c r="AT480" i="16" s="1"/>
  <c r="AS479" i="16"/>
  <c r="AT479" i="16" s="1"/>
  <c r="AS478" i="16"/>
  <c r="AT478" i="16" s="1"/>
  <c r="AS477" i="16"/>
  <c r="AT477" i="16" s="1"/>
  <c r="AS476" i="16"/>
  <c r="AT476" i="16" s="1"/>
  <c r="AS475" i="16"/>
  <c r="AT475" i="16" s="1"/>
  <c r="AS474" i="16"/>
  <c r="AT474" i="16" s="1"/>
  <c r="AS473" i="16"/>
  <c r="AT473" i="16" s="1"/>
  <c r="AS472" i="16"/>
  <c r="AT472" i="16" s="1"/>
  <c r="AS471" i="16"/>
  <c r="AT471" i="16" s="1"/>
  <c r="AS470" i="16"/>
  <c r="AT470" i="16" s="1"/>
  <c r="AS469" i="16"/>
  <c r="AT469" i="16" s="1"/>
  <c r="AS468" i="16"/>
  <c r="AT468" i="16" s="1"/>
  <c r="AS467" i="16"/>
  <c r="AT467" i="16" s="1"/>
  <c r="AS466" i="16"/>
  <c r="AT466" i="16" s="1"/>
  <c r="AS465" i="16"/>
  <c r="AT465" i="16" s="1"/>
  <c r="AS464" i="16"/>
  <c r="AT464" i="16" s="1"/>
  <c r="AS463" i="16"/>
  <c r="AT463" i="16" s="1"/>
  <c r="AS462" i="16"/>
  <c r="AT462" i="16" s="1"/>
  <c r="AS461" i="16"/>
  <c r="AT461" i="16" s="1"/>
  <c r="AS460" i="16"/>
  <c r="AT460" i="16" s="1"/>
  <c r="AS459" i="16"/>
  <c r="AT459" i="16" s="1"/>
  <c r="AS458" i="16"/>
  <c r="AT458" i="16" s="1"/>
  <c r="AS457" i="16"/>
  <c r="AT457" i="16" s="1"/>
  <c r="AS456" i="16"/>
  <c r="AT456" i="16" s="1"/>
  <c r="AS455" i="16"/>
  <c r="AT455" i="16" s="1"/>
  <c r="AS454" i="16"/>
  <c r="AT454" i="16" s="1"/>
  <c r="AS453" i="16"/>
  <c r="AT453" i="16" s="1"/>
  <c r="AS452" i="16"/>
  <c r="AT452" i="16" s="1"/>
  <c r="AS451" i="16"/>
  <c r="AT451" i="16" s="1"/>
  <c r="AS450" i="16"/>
  <c r="AT450" i="16" s="1"/>
  <c r="AS449" i="16"/>
  <c r="AT449" i="16" s="1"/>
  <c r="AS448" i="16"/>
  <c r="AT448" i="16" s="1"/>
  <c r="AS447" i="16"/>
  <c r="AT447" i="16" s="1"/>
  <c r="AS446" i="16"/>
  <c r="AT446" i="16" s="1"/>
  <c r="AS445" i="16"/>
  <c r="AT445" i="16" s="1"/>
  <c r="AS444" i="16"/>
  <c r="AT444" i="16" s="1"/>
  <c r="AS443" i="16"/>
  <c r="AT443" i="16" s="1"/>
  <c r="AS442" i="16"/>
  <c r="AT442" i="16" s="1"/>
  <c r="AS441" i="16"/>
  <c r="AT441" i="16" s="1"/>
  <c r="AS440" i="16"/>
  <c r="AT440" i="16" s="1"/>
  <c r="AS439" i="16"/>
  <c r="AT439" i="16" s="1"/>
  <c r="AS438" i="16"/>
  <c r="AT438" i="16" s="1"/>
  <c r="AS437" i="16"/>
  <c r="AT437" i="16" s="1"/>
  <c r="AS436" i="16"/>
  <c r="AT436" i="16" s="1"/>
  <c r="AS435" i="16"/>
  <c r="AT435" i="16" s="1"/>
  <c r="AS434" i="16"/>
  <c r="AT434" i="16" s="1"/>
  <c r="AS433" i="16"/>
  <c r="AT433" i="16" s="1"/>
  <c r="AS432" i="16"/>
  <c r="AT432" i="16" s="1"/>
  <c r="AS431" i="16"/>
  <c r="AT431" i="16" s="1"/>
  <c r="AS430" i="16"/>
  <c r="AT430" i="16" s="1"/>
  <c r="AS429" i="16"/>
  <c r="AT429" i="16" s="1"/>
  <c r="AS428" i="16"/>
  <c r="AT428" i="16" s="1"/>
  <c r="AS427" i="16"/>
  <c r="AT427" i="16" s="1"/>
  <c r="AS426" i="16"/>
  <c r="AT426" i="16" s="1"/>
  <c r="AS425" i="16"/>
  <c r="AT425" i="16" s="1"/>
  <c r="AS424" i="16"/>
  <c r="AT424" i="16" s="1"/>
  <c r="AS423" i="16"/>
  <c r="AT423" i="16" s="1"/>
  <c r="AS422" i="16"/>
  <c r="AT422" i="16" s="1"/>
  <c r="AS421" i="16"/>
  <c r="AT421" i="16" s="1"/>
  <c r="AS420" i="16"/>
  <c r="AT420" i="16" s="1"/>
  <c r="AS419" i="16"/>
  <c r="AT419" i="16" s="1"/>
  <c r="AS418" i="16"/>
  <c r="AT418" i="16" s="1"/>
  <c r="AS417" i="16"/>
  <c r="AT417" i="16" s="1"/>
  <c r="AS416" i="16"/>
  <c r="AT416" i="16" s="1"/>
  <c r="AS415" i="16"/>
  <c r="AT415" i="16" s="1"/>
  <c r="AS414" i="16"/>
  <c r="AT414" i="16" s="1"/>
  <c r="AS413" i="16"/>
  <c r="AT413" i="16" s="1"/>
  <c r="AS412" i="16"/>
  <c r="AT412" i="16" s="1"/>
  <c r="AS411" i="16"/>
  <c r="AT411" i="16" s="1"/>
  <c r="AS410" i="16"/>
  <c r="AT410" i="16" s="1"/>
  <c r="AS409" i="16"/>
  <c r="AT409" i="16" s="1"/>
  <c r="AS408" i="16"/>
  <c r="AT408" i="16" s="1"/>
  <c r="AS407" i="16"/>
  <c r="AT407" i="16" s="1"/>
  <c r="AS406" i="16"/>
  <c r="AT406" i="16" s="1"/>
  <c r="AS405" i="16"/>
  <c r="AT405" i="16" s="1"/>
  <c r="AS404" i="16"/>
  <c r="AT404" i="16" s="1"/>
  <c r="AS403" i="16"/>
  <c r="AT403" i="16" s="1"/>
  <c r="AS402" i="16"/>
  <c r="AT402" i="16" s="1"/>
  <c r="AS401" i="16"/>
  <c r="AT401" i="16" s="1"/>
  <c r="AS400" i="16"/>
  <c r="AT400" i="16" s="1"/>
  <c r="AS399" i="16"/>
  <c r="AT399" i="16" s="1"/>
  <c r="AS398" i="16"/>
  <c r="AT398" i="16" s="1"/>
  <c r="AS397" i="16"/>
  <c r="AT397" i="16" s="1"/>
  <c r="AS396" i="16"/>
  <c r="AT396" i="16" s="1"/>
  <c r="AS395" i="16"/>
  <c r="AT395" i="16" s="1"/>
  <c r="AS394" i="16"/>
  <c r="AT394" i="16" s="1"/>
  <c r="AS393" i="16"/>
  <c r="AT393" i="16" s="1"/>
  <c r="AS392" i="16"/>
  <c r="AT392" i="16" s="1"/>
  <c r="AS391" i="16"/>
  <c r="AT391" i="16" s="1"/>
  <c r="AS390" i="16"/>
  <c r="AT390" i="16" s="1"/>
  <c r="AS389" i="16"/>
  <c r="AT389" i="16" s="1"/>
  <c r="AS388" i="16"/>
  <c r="AT388" i="16" s="1"/>
  <c r="AS387" i="16"/>
  <c r="AT387" i="16" s="1"/>
  <c r="AS386" i="16"/>
  <c r="AT386" i="16" s="1"/>
  <c r="AS385" i="16"/>
  <c r="AT385" i="16" s="1"/>
  <c r="AS384" i="16"/>
  <c r="AT384" i="16" s="1"/>
  <c r="AS383" i="16"/>
  <c r="AT383" i="16" s="1"/>
  <c r="AS382" i="16"/>
  <c r="AT382" i="16" s="1"/>
  <c r="AS381" i="16"/>
  <c r="AT381" i="16" s="1"/>
  <c r="AS380" i="16"/>
  <c r="AT380" i="16" s="1"/>
  <c r="AS379" i="16"/>
  <c r="AT379" i="16" s="1"/>
  <c r="AS378" i="16"/>
  <c r="AT378" i="16" s="1"/>
  <c r="AS377" i="16"/>
  <c r="AT377" i="16" s="1"/>
  <c r="AS376" i="16"/>
  <c r="AT376" i="16" s="1"/>
  <c r="AS375" i="16"/>
  <c r="AT375" i="16" s="1"/>
  <c r="AS374" i="16"/>
  <c r="AT374" i="16" s="1"/>
  <c r="AS373" i="16"/>
  <c r="AT373" i="16" s="1"/>
  <c r="AS372" i="16"/>
  <c r="AT372" i="16" s="1"/>
  <c r="AS371" i="16"/>
  <c r="AT371" i="16" s="1"/>
  <c r="AS370" i="16"/>
  <c r="AT370" i="16" s="1"/>
  <c r="AS369" i="16"/>
  <c r="AT369" i="16" s="1"/>
  <c r="AS368" i="16"/>
  <c r="AT368" i="16" s="1"/>
  <c r="AS367" i="16"/>
  <c r="AT367" i="16" s="1"/>
  <c r="AS366" i="16"/>
  <c r="AT366" i="16" s="1"/>
  <c r="AS365" i="16"/>
  <c r="AT365" i="16" s="1"/>
  <c r="AS364" i="16"/>
  <c r="AT364" i="16" s="1"/>
  <c r="AS363" i="16"/>
  <c r="AT363" i="16" s="1"/>
  <c r="AS362" i="16"/>
  <c r="AT362" i="16" s="1"/>
  <c r="AS361" i="16"/>
  <c r="AT361" i="16" s="1"/>
  <c r="AS360" i="16"/>
  <c r="AT360" i="16" s="1"/>
  <c r="AS359" i="16"/>
  <c r="AT359" i="16" s="1"/>
  <c r="AS358" i="16"/>
  <c r="AT358" i="16" s="1"/>
  <c r="AS357" i="16"/>
  <c r="AT357" i="16" s="1"/>
  <c r="AS356" i="16"/>
  <c r="AT356" i="16" s="1"/>
  <c r="AS355" i="16"/>
  <c r="AT355" i="16" s="1"/>
  <c r="AS354" i="16"/>
  <c r="AT354" i="16" s="1"/>
  <c r="AS353" i="16"/>
  <c r="AT353" i="16" s="1"/>
  <c r="AS352" i="16"/>
  <c r="AT352" i="16" s="1"/>
  <c r="AS351" i="16"/>
  <c r="AT351" i="16" s="1"/>
  <c r="AS350" i="16"/>
  <c r="AT350" i="16" s="1"/>
  <c r="AS349" i="16"/>
  <c r="AT349" i="16" s="1"/>
  <c r="AS348" i="16"/>
  <c r="AT348" i="16" s="1"/>
  <c r="AS347" i="16"/>
  <c r="AT347" i="16" s="1"/>
  <c r="AS346" i="16"/>
  <c r="AT346" i="16" s="1"/>
  <c r="AS345" i="16"/>
  <c r="AT345" i="16" s="1"/>
  <c r="AS344" i="16"/>
  <c r="AT344" i="16" s="1"/>
  <c r="AS343" i="16"/>
  <c r="AT343" i="16" s="1"/>
  <c r="AS342" i="16"/>
  <c r="AT342" i="16" s="1"/>
  <c r="AS341" i="16"/>
  <c r="AT341" i="16" s="1"/>
  <c r="AS340" i="16"/>
  <c r="AT340" i="16" s="1"/>
  <c r="AS339" i="16"/>
  <c r="AT339" i="16" s="1"/>
  <c r="AS338" i="16"/>
  <c r="AT338" i="16" s="1"/>
  <c r="AS337" i="16"/>
  <c r="AT337" i="16" s="1"/>
  <c r="AS336" i="16"/>
  <c r="AT336" i="16" s="1"/>
  <c r="AS335" i="16"/>
  <c r="AT335" i="16" s="1"/>
  <c r="AS334" i="16"/>
  <c r="AT334" i="16" s="1"/>
  <c r="AS333" i="16"/>
  <c r="AT333" i="16" s="1"/>
  <c r="AS332" i="16"/>
  <c r="AT332" i="16" s="1"/>
  <c r="AS331" i="16"/>
  <c r="AT331" i="16" s="1"/>
  <c r="AS330" i="16"/>
  <c r="AT330" i="16" s="1"/>
  <c r="AS329" i="16"/>
  <c r="AT329" i="16" s="1"/>
  <c r="AS328" i="16"/>
  <c r="AT328" i="16" s="1"/>
  <c r="AS327" i="16"/>
  <c r="AT327" i="16" s="1"/>
  <c r="AS326" i="16"/>
  <c r="AT326" i="16" s="1"/>
  <c r="AS325" i="16"/>
  <c r="AT325" i="16" s="1"/>
  <c r="AS324" i="16"/>
  <c r="AT324" i="16" s="1"/>
  <c r="AS323" i="16"/>
  <c r="AT323" i="16" s="1"/>
  <c r="AS322" i="16"/>
  <c r="AT322" i="16" s="1"/>
  <c r="AS321" i="16"/>
  <c r="AT321" i="16" s="1"/>
  <c r="AS320" i="16"/>
  <c r="AT320" i="16" s="1"/>
  <c r="AS319" i="16"/>
  <c r="AT319" i="16" s="1"/>
  <c r="AS318" i="16"/>
  <c r="AT318" i="16" s="1"/>
  <c r="AS317" i="16"/>
  <c r="AT317" i="16" s="1"/>
  <c r="AS316" i="16"/>
  <c r="AT316" i="16" s="1"/>
  <c r="AS315" i="16"/>
  <c r="AT315" i="16" s="1"/>
  <c r="AS314" i="16"/>
  <c r="AT314" i="16" s="1"/>
  <c r="AS313" i="16"/>
  <c r="AT313" i="16" s="1"/>
  <c r="AS312" i="16"/>
  <c r="AT312" i="16" s="1"/>
  <c r="AS311" i="16"/>
  <c r="AT311" i="16" s="1"/>
  <c r="AS310" i="16"/>
  <c r="AT310" i="16" s="1"/>
  <c r="AS309" i="16"/>
  <c r="AT309" i="16" s="1"/>
  <c r="AS308" i="16"/>
  <c r="AT308" i="16" s="1"/>
  <c r="AS307" i="16"/>
  <c r="AT307" i="16" s="1"/>
  <c r="AS306" i="16"/>
  <c r="AT306" i="16" s="1"/>
  <c r="AS305" i="16"/>
  <c r="AT305" i="16" s="1"/>
  <c r="AS304" i="16"/>
  <c r="AT304" i="16" s="1"/>
  <c r="AS303" i="16"/>
  <c r="AT303" i="16" s="1"/>
  <c r="AS302" i="16"/>
  <c r="AT302" i="16" s="1"/>
  <c r="AS301" i="16"/>
  <c r="AT301" i="16" s="1"/>
  <c r="AS300" i="16"/>
  <c r="AT300" i="16" s="1"/>
  <c r="AS299" i="16"/>
  <c r="AT299" i="16" s="1"/>
  <c r="AS298" i="16"/>
  <c r="AT298" i="16" s="1"/>
  <c r="AS297" i="16"/>
  <c r="AT297" i="16" s="1"/>
  <c r="AS296" i="16"/>
  <c r="AT296" i="16" s="1"/>
  <c r="AS295" i="16"/>
  <c r="AT295" i="16" s="1"/>
  <c r="AS294" i="16"/>
  <c r="AT294" i="16" s="1"/>
  <c r="AS293" i="16"/>
  <c r="AT293" i="16" s="1"/>
  <c r="AS292" i="16"/>
  <c r="AT292" i="16" s="1"/>
  <c r="AS291" i="16"/>
  <c r="AT291" i="16" s="1"/>
  <c r="AS290" i="16"/>
  <c r="AT290" i="16" s="1"/>
  <c r="AS289" i="16"/>
  <c r="AT289" i="16" s="1"/>
  <c r="AS288" i="16"/>
  <c r="AT288" i="16" s="1"/>
  <c r="AS287" i="16"/>
  <c r="AT287" i="16" s="1"/>
  <c r="AS286" i="16"/>
  <c r="AT286" i="16" s="1"/>
  <c r="AS285" i="16"/>
  <c r="AT285" i="16" s="1"/>
  <c r="AS284" i="16"/>
  <c r="AT284" i="16" s="1"/>
  <c r="AS283" i="16"/>
  <c r="AT283" i="16" s="1"/>
  <c r="AS282" i="16"/>
  <c r="AT282" i="16" s="1"/>
  <c r="AS281" i="16"/>
  <c r="AT281" i="16" s="1"/>
  <c r="AS280" i="16"/>
  <c r="AT280" i="16" s="1"/>
  <c r="AS279" i="16"/>
  <c r="AT279" i="16" s="1"/>
  <c r="AS278" i="16"/>
  <c r="AT278" i="16" s="1"/>
  <c r="AS277" i="16"/>
  <c r="AT277" i="16" s="1"/>
  <c r="AS276" i="16"/>
  <c r="AT276" i="16" s="1"/>
  <c r="AS275" i="16"/>
  <c r="AT275" i="16" s="1"/>
  <c r="AS274" i="16"/>
  <c r="AT274" i="16" s="1"/>
  <c r="AS273" i="16"/>
  <c r="AT273" i="16" s="1"/>
  <c r="AS272" i="16"/>
  <c r="AT272" i="16" s="1"/>
  <c r="AS271" i="16"/>
  <c r="AT271" i="16" s="1"/>
  <c r="AS270" i="16"/>
  <c r="AT270" i="16" s="1"/>
  <c r="AS269" i="16"/>
  <c r="AT269" i="16" s="1"/>
  <c r="AS268" i="16"/>
  <c r="AT268" i="16" s="1"/>
  <c r="AS267" i="16"/>
  <c r="AT267" i="16" s="1"/>
  <c r="AS266" i="16"/>
  <c r="AT266" i="16" s="1"/>
  <c r="AS265" i="16"/>
  <c r="AT265" i="16" s="1"/>
  <c r="AS264" i="16"/>
  <c r="AT264" i="16" s="1"/>
  <c r="AS263" i="16"/>
  <c r="AT263" i="16" s="1"/>
  <c r="AS262" i="16"/>
  <c r="AT262" i="16" s="1"/>
  <c r="AS261" i="16"/>
  <c r="AT261" i="16" s="1"/>
  <c r="AS260" i="16"/>
  <c r="AT260" i="16" s="1"/>
  <c r="AS259" i="16"/>
  <c r="AT259" i="16" s="1"/>
  <c r="AS258" i="16"/>
  <c r="AT258" i="16" s="1"/>
  <c r="AS257" i="16"/>
  <c r="AT257" i="16" s="1"/>
  <c r="AS256" i="16"/>
  <c r="AT256" i="16" s="1"/>
  <c r="AS255" i="16"/>
  <c r="AT255" i="16" s="1"/>
  <c r="AS254" i="16"/>
  <c r="AT254" i="16" s="1"/>
  <c r="AS253" i="16"/>
  <c r="AT253" i="16" s="1"/>
  <c r="AS252" i="16"/>
  <c r="AT252" i="16" s="1"/>
  <c r="AS251" i="16"/>
  <c r="AT251" i="16" s="1"/>
  <c r="AS250" i="16"/>
  <c r="AT250" i="16" s="1"/>
  <c r="AS249" i="16"/>
  <c r="AT249" i="16" s="1"/>
  <c r="AS248" i="16"/>
  <c r="AT248" i="16" s="1"/>
  <c r="AS247" i="16"/>
  <c r="AT247" i="16" s="1"/>
  <c r="AS246" i="16"/>
  <c r="AT246" i="16" s="1"/>
  <c r="AS245" i="16"/>
  <c r="AT245" i="16" s="1"/>
  <c r="AS244" i="16"/>
  <c r="AT244" i="16" s="1"/>
  <c r="AS243" i="16"/>
  <c r="AT243" i="16" s="1"/>
  <c r="AS242" i="16"/>
  <c r="AT242" i="16" s="1"/>
  <c r="AS241" i="16"/>
  <c r="AT241" i="16" s="1"/>
  <c r="AS240" i="16"/>
  <c r="AT240" i="16" s="1"/>
  <c r="AS239" i="16"/>
  <c r="AT239" i="16" s="1"/>
  <c r="AS238" i="16"/>
  <c r="AT238" i="16" s="1"/>
  <c r="AS237" i="16"/>
  <c r="AT237" i="16" s="1"/>
  <c r="AS236" i="16"/>
  <c r="AT236" i="16" s="1"/>
  <c r="AS235" i="16"/>
  <c r="AT235" i="16" s="1"/>
  <c r="AS234" i="16"/>
  <c r="AT234" i="16" s="1"/>
  <c r="AS233" i="16"/>
  <c r="AT233" i="16" s="1"/>
  <c r="AS232" i="16"/>
  <c r="AT232" i="16" s="1"/>
  <c r="AS231" i="16"/>
  <c r="AT231" i="16" s="1"/>
  <c r="AS230" i="16"/>
  <c r="AT230" i="16" s="1"/>
  <c r="AS229" i="16"/>
  <c r="AT229" i="16" s="1"/>
  <c r="AS228" i="16"/>
  <c r="AT228" i="16" s="1"/>
  <c r="AS227" i="16"/>
  <c r="AT227" i="16" s="1"/>
  <c r="AS226" i="16"/>
  <c r="AT226" i="16" s="1"/>
  <c r="AS225" i="16"/>
  <c r="AT225" i="16" s="1"/>
  <c r="AS224" i="16"/>
  <c r="AT224" i="16" s="1"/>
  <c r="AS223" i="16"/>
  <c r="AT223" i="16" s="1"/>
  <c r="AS222" i="16"/>
  <c r="AT222" i="16" s="1"/>
  <c r="AS221" i="16"/>
  <c r="AT221" i="16" s="1"/>
  <c r="AS220" i="16"/>
  <c r="AT220" i="16" s="1"/>
  <c r="AS219" i="16"/>
  <c r="AT219" i="16" s="1"/>
  <c r="AS218" i="16"/>
  <c r="AT218" i="16" s="1"/>
  <c r="AS217" i="16"/>
  <c r="AT217" i="16" s="1"/>
  <c r="AS216" i="16"/>
  <c r="AT216" i="16" s="1"/>
  <c r="AS215" i="16"/>
  <c r="AT215" i="16" s="1"/>
  <c r="AS214" i="16"/>
  <c r="AT214" i="16" s="1"/>
  <c r="AS213" i="16"/>
  <c r="AT213" i="16" s="1"/>
  <c r="AS212" i="16"/>
  <c r="AT212" i="16" s="1"/>
  <c r="AS211" i="16"/>
  <c r="AT211" i="16" s="1"/>
  <c r="AS210" i="16"/>
  <c r="AT210" i="16" s="1"/>
  <c r="AS209" i="16"/>
  <c r="AT209" i="16" s="1"/>
  <c r="AS208" i="16"/>
  <c r="AT208" i="16" s="1"/>
  <c r="AS207" i="16"/>
  <c r="AT207" i="16" s="1"/>
  <c r="AS206" i="16"/>
  <c r="AT206" i="16" s="1"/>
  <c r="AS205" i="16"/>
  <c r="AT205" i="16" s="1"/>
  <c r="AS204" i="16"/>
  <c r="AT204" i="16" s="1"/>
  <c r="AS203" i="16"/>
  <c r="AT203" i="16" s="1"/>
  <c r="AS202" i="16"/>
  <c r="AT202" i="16" s="1"/>
  <c r="AS201" i="16"/>
  <c r="AT201" i="16" s="1"/>
  <c r="AS200" i="16"/>
  <c r="AT200" i="16" s="1"/>
  <c r="AS199" i="16"/>
  <c r="AT199" i="16" s="1"/>
  <c r="AS198" i="16"/>
  <c r="AT198" i="16" s="1"/>
  <c r="AS197" i="16"/>
  <c r="AT197" i="16" s="1"/>
  <c r="AS196" i="16"/>
  <c r="AT196" i="16" s="1"/>
  <c r="AS195" i="16"/>
  <c r="AT195" i="16" s="1"/>
  <c r="AS194" i="16"/>
  <c r="AT194" i="16" s="1"/>
  <c r="AS193" i="16"/>
  <c r="AT193" i="16" s="1"/>
  <c r="AS192" i="16"/>
  <c r="AT192" i="16" s="1"/>
  <c r="AS191" i="16"/>
  <c r="AT191" i="16" s="1"/>
  <c r="AS190" i="16"/>
  <c r="AT190" i="16" s="1"/>
  <c r="AS189" i="16"/>
  <c r="AT189" i="16" s="1"/>
  <c r="AS188" i="16"/>
  <c r="AT188" i="16" s="1"/>
  <c r="AS187" i="16"/>
  <c r="AT187" i="16" s="1"/>
  <c r="AS186" i="16"/>
  <c r="AT186" i="16" s="1"/>
  <c r="AS185" i="16"/>
  <c r="AT185" i="16" s="1"/>
  <c r="AS184" i="16"/>
  <c r="AT184" i="16" s="1"/>
  <c r="AS183" i="16"/>
  <c r="AT183" i="16" s="1"/>
  <c r="AS182" i="16"/>
  <c r="AT182" i="16" s="1"/>
  <c r="AS181" i="16"/>
  <c r="AT181" i="16" s="1"/>
  <c r="AS180" i="16"/>
  <c r="AT180" i="16" s="1"/>
  <c r="AS179" i="16"/>
  <c r="AT179" i="16" s="1"/>
  <c r="AS178" i="16"/>
  <c r="AT178" i="16" s="1"/>
  <c r="AS177" i="16"/>
  <c r="AT177" i="16" s="1"/>
  <c r="AS176" i="16"/>
  <c r="AT176" i="16" s="1"/>
  <c r="AS175" i="16"/>
  <c r="AT175" i="16" s="1"/>
  <c r="AS174" i="16"/>
  <c r="AT174" i="16" s="1"/>
  <c r="AS173" i="16"/>
  <c r="AT173" i="16" s="1"/>
  <c r="AS172" i="16"/>
  <c r="AT172" i="16" s="1"/>
  <c r="AS171" i="16"/>
  <c r="AT171" i="16" s="1"/>
  <c r="AS170" i="16"/>
  <c r="AT170" i="16" s="1"/>
  <c r="AS169" i="16"/>
  <c r="AT169" i="16" s="1"/>
  <c r="AS168" i="16"/>
  <c r="AT168" i="16" s="1"/>
  <c r="AS167" i="16"/>
  <c r="AT167" i="16" s="1"/>
  <c r="AS166" i="16"/>
  <c r="AT166" i="16" s="1"/>
  <c r="AS165" i="16"/>
  <c r="AT165" i="16" s="1"/>
  <c r="AS164" i="16"/>
  <c r="AT164" i="16" s="1"/>
  <c r="AS163" i="16"/>
  <c r="AT163" i="16" s="1"/>
  <c r="AS162" i="16"/>
  <c r="AT162" i="16" s="1"/>
  <c r="AS161" i="16"/>
  <c r="AT161" i="16" s="1"/>
  <c r="AS160" i="16"/>
  <c r="AT160" i="16" s="1"/>
  <c r="AS159" i="16"/>
  <c r="AT159" i="16" s="1"/>
  <c r="AS158" i="16"/>
  <c r="AT158" i="16" s="1"/>
  <c r="AS157" i="16"/>
  <c r="AT157" i="16" s="1"/>
  <c r="AS156" i="16"/>
  <c r="AT156" i="16" s="1"/>
  <c r="AS155" i="16"/>
  <c r="AT155" i="16" s="1"/>
  <c r="AS154" i="16"/>
  <c r="AT154" i="16" s="1"/>
  <c r="AS153" i="16"/>
  <c r="AT153" i="16" s="1"/>
  <c r="AS152" i="16"/>
  <c r="AT152" i="16" s="1"/>
  <c r="AS151" i="16"/>
  <c r="AT151" i="16" s="1"/>
  <c r="AS150" i="16"/>
  <c r="AT150" i="16" s="1"/>
  <c r="AS149" i="16"/>
  <c r="AT149" i="16" s="1"/>
  <c r="AS148" i="16"/>
  <c r="AT148" i="16" s="1"/>
  <c r="AS147" i="16"/>
  <c r="AT147" i="16" s="1"/>
  <c r="AS146" i="16"/>
  <c r="AT146" i="16" s="1"/>
  <c r="AS145" i="16"/>
  <c r="AT145" i="16" s="1"/>
  <c r="AS144" i="16"/>
  <c r="AT144" i="16" s="1"/>
  <c r="AS143" i="16"/>
  <c r="AT143" i="16" s="1"/>
  <c r="AS142" i="16"/>
  <c r="AT142" i="16" s="1"/>
  <c r="AS141" i="16"/>
  <c r="AT141" i="16" s="1"/>
  <c r="AS140" i="16"/>
  <c r="AT140" i="16" s="1"/>
  <c r="AS139" i="16"/>
  <c r="AT139" i="16" s="1"/>
  <c r="AS138" i="16"/>
  <c r="AT138" i="16" s="1"/>
  <c r="AS137" i="16"/>
  <c r="AT137" i="16" s="1"/>
  <c r="AS136" i="16"/>
  <c r="AT136" i="16" s="1"/>
  <c r="AS135" i="16"/>
  <c r="AT135" i="16" s="1"/>
  <c r="AS134" i="16"/>
  <c r="AT134" i="16" s="1"/>
  <c r="AS133" i="16"/>
  <c r="AT133" i="16" s="1"/>
  <c r="AS132" i="16"/>
  <c r="AT132" i="16" s="1"/>
  <c r="AS131" i="16"/>
  <c r="AT131" i="16" s="1"/>
  <c r="AS130" i="16"/>
  <c r="AT130" i="16" s="1"/>
  <c r="AS129" i="16"/>
  <c r="AT129" i="16" s="1"/>
  <c r="AS128" i="16"/>
  <c r="AT128" i="16" s="1"/>
  <c r="AS127" i="16"/>
  <c r="AT127" i="16" s="1"/>
  <c r="AS126" i="16"/>
  <c r="AT126" i="16" s="1"/>
  <c r="AS125" i="16"/>
  <c r="AT125" i="16" s="1"/>
  <c r="AS124" i="16"/>
  <c r="AT124" i="16" s="1"/>
  <c r="AS123" i="16"/>
  <c r="AT123" i="16" s="1"/>
  <c r="AS122" i="16"/>
  <c r="AT122" i="16" s="1"/>
  <c r="AS121" i="16"/>
  <c r="AT121" i="16" s="1"/>
  <c r="AS120" i="16"/>
  <c r="AT120" i="16" s="1"/>
  <c r="AS119" i="16"/>
  <c r="AT119" i="16" s="1"/>
  <c r="AS118" i="16"/>
  <c r="AT118" i="16" s="1"/>
  <c r="AS117" i="16"/>
  <c r="AT117" i="16" s="1"/>
  <c r="AS116" i="16"/>
  <c r="AT116" i="16" s="1"/>
  <c r="AS115" i="16"/>
  <c r="AT115" i="16" s="1"/>
  <c r="AS114" i="16"/>
  <c r="AT114" i="16" s="1"/>
  <c r="AS113" i="16"/>
  <c r="AT113" i="16" s="1"/>
  <c r="AS112" i="16"/>
  <c r="AT112" i="16" s="1"/>
  <c r="AS111" i="16"/>
  <c r="AT111" i="16" s="1"/>
  <c r="AS110" i="16"/>
  <c r="AT110" i="16" s="1"/>
  <c r="AS109" i="16"/>
  <c r="AT109" i="16" s="1"/>
  <c r="AS108" i="16"/>
  <c r="AT108" i="16" s="1"/>
  <c r="AS107" i="16"/>
  <c r="AT107" i="16" s="1"/>
  <c r="AS106" i="16"/>
  <c r="AT106" i="16" s="1"/>
  <c r="AS105" i="16"/>
  <c r="AT105" i="16" s="1"/>
  <c r="AS104" i="16"/>
  <c r="AT104" i="16" s="1"/>
  <c r="AS103" i="16"/>
  <c r="AT103" i="16" s="1"/>
  <c r="AS102" i="16"/>
  <c r="AT102" i="16" s="1"/>
  <c r="AS101" i="16"/>
  <c r="AT101" i="16" s="1"/>
  <c r="AS100" i="16"/>
  <c r="AT100" i="16" s="1"/>
  <c r="AS99" i="16"/>
  <c r="AT99" i="16" s="1"/>
  <c r="AS98" i="16"/>
  <c r="AT98" i="16" s="1"/>
  <c r="AS97" i="16"/>
  <c r="AT97" i="16" s="1"/>
  <c r="AS96" i="16"/>
  <c r="AT96" i="16" s="1"/>
  <c r="AS95" i="16"/>
  <c r="AT95" i="16" s="1"/>
  <c r="AS94" i="16"/>
  <c r="AT94" i="16" s="1"/>
  <c r="AS93" i="16"/>
  <c r="AT93" i="16" s="1"/>
  <c r="AS92" i="16"/>
  <c r="AT92" i="16" s="1"/>
  <c r="AS91" i="16"/>
  <c r="AT91" i="16" s="1"/>
  <c r="AS90" i="16"/>
  <c r="AT90" i="16" s="1"/>
  <c r="AS89" i="16"/>
  <c r="AT89" i="16" s="1"/>
  <c r="AS88" i="16"/>
  <c r="AT88" i="16" s="1"/>
  <c r="AS87" i="16"/>
  <c r="AT87" i="16" s="1"/>
  <c r="AS86" i="16"/>
  <c r="AT86" i="16" s="1"/>
  <c r="AS85" i="16"/>
  <c r="AT85" i="16" s="1"/>
  <c r="AS84" i="16"/>
  <c r="AT84" i="16" s="1"/>
  <c r="AS83" i="16"/>
  <c r="AT83" i="16" s="1"/>
  <c r="AS82" i="16"/>
  <c r="AT82" i="16" s="1"/>
  <c r="AS81" i="16"/>
  <c r="AT81" i="16" s="1"/>
  <c r="AS80" i="16"/>
  <c r="AT80" i="16" s="1"/>
  <c r="AS79" i="16"/>
  <c r="AT79" i="16" s="1"/>
  <c r="AS78" i="16"/>
  <c r="AT78" i="16" s="1"/>
  <c r="AS77" i="16"/>
  <c r="AT77" i="16" s="1"/>
  <c r="AS76" i="16"/>
  <c r="AT76" i="16" s="1"/>
  <c r="AS75" i="16"/>
  <c r="AT75" i="16" s="1"/>
  <c r="AS74" i="16"/>
  <c r="AT74" i="16" s="1"/>
  <c r="AS73" i="16"/>
  <c r="AT73" i="16" s="1"/>
  <c r="AS72" i="16"/>
  <c r="AT72" i="16" s="1"/>
  <c r="AS71" i="16"/>
  <c r="AT71" i="16" s="1"/>
  <c r="AS70" i="16"/>
  <c r="AT70" i="16" s="1"/>
  <c r="AS69" i="16"/>
  <c r="AT69" i="16" s="1"/>
  <c r="AS68" i="16"/>
  <c r="AT68" i="16" s="1"/>
  <c r="AS67" i="16"/>
  <c r="AT67" i="16" s="1"/>
  <c r="AS66" i="16"/>
  <c r="AT66" i="16" s="1"/>
  <c r="AS65" i="16"/>
  <c r="AT65" i="16" s="1"/>
  <c r="AS64" i="16"/>
  <c r="AT64" i="16" s="1"/>
  <c r="AS63" i="16"/>
  <c r="AT63" i="16" s="1"/>
  <c r="AS62" i="16"/>
  <c r="AT62" i="16" s="1"/>
  <c r="AS61" i="16"/>
  <c r="AT61" i="16" s="1"/>
  <c r="AS60" i="16"/>
  <c r="AT60" i="16" s="1"/>
  <c r="AS59" i="16"/>
  <c r="AT59" i="16" s="1"/>
  <c r="AS58" i="16"/>
  <c r="AT58" i="16" s="1"/>
  <c r="AS57" i="16"/>
  <c r="AT57" i="16" s="1"/>
  <c r="AS56" i="16"/>
  <c r="AT56" i="16" s="1"/>
  <c r="AS55" i="16"/>
  <c r="AT55" i="16" s="1"/>
  <c r="AS54" i="16"/>
  <c r="AT54" i="16" s="1"/>
  <c r="AS53" i="16"/>
  <c r="AT53" i="16" s="1"/>
  <c r="AS52" i="16"/>
  <c r="AT52" i="16" s="1"/>
  <c r="AS51" i="16"/>
  <c r="AT51" i="16" s="1"/>
  <c r="AS50" i="16"/>
  <c r="AT50" i="16" s="1"/>
  <c r="AS49" i="16"/>
  <c r="AT49" i="16" s="1"/>
  <c r="AS48" i="16"/>
  <c r="AT48" i="16" s="1"/>
  <c r="AS47" i="16"/>
  <c r="AT47" i="16" s="1"/>
  <c r="AS46" i="16"/>
  <c r="AT46" i="16" s="1"/>
  <c r="AS45" i="16"/>
  <c r="AT45" i="16" s="1"/>
  <c r="AS44" i="16"/>
  <c r="AT44" i="16" s="1"/>
  <c r="AS43" i="16"/>
  <c r="AT43" i="16" s="1"/>
  <c r="AS42" i="16"/>
  <c r="AT42" i="16" s="1"/>
  <c r="AS41" i="16"/>
  <c r="AT41" i="16" s="1"/>
  <c r="AS40" i="16"/>
  <c r="AT40" i="16" s="1"/>
  <c r="AS39" i="16"/>
  <c r="AT39" i="16" s="1"/>
  <c r="AS38" i="16"/>
  <c r="AT38" i="16" s="1"/>
  <c r="AS37" i="16"/>
  <c r="AT37" i="16" s="1"/>
  <c r="AS36" i="16"/>
  <c r="AT36" i="16" s="1"/>
  <c r="AS35" i="16"/>
  <c r="AT35" i="16" s="1"/>
  <c r="AS34" i="16"/>
  <c r="AT34" i="16" s="1"/>
  <c r="AS33" i="16"/>
  <c r="AT33" i="16" s="1"/>
  <c r="AS32" i="16"/>
  <c r="AT32" i="16" s="1"/>
  <c r="AS31" i="16"/>
  <c r="AT31" i="16" s="1"/>
  <c r="AS30" i="16"/>
  <c r="AT30" i="16" s="1"/>
  <c r="AS29" i="16"/>
  <c r="AT29" i="16" s="1"/>
  <c r="AS28" i="16"/>
  <c r="AT28" i="16" s="1"/>
  <c r="AS27" i="16"/>
  <c r="AT27" i="16" s="1"/>
  <c r="AS26" i="16"/>
  <c r="AT26" i="16" s="1"/>
  <c r="AS25" i="16"/>
  <c r="AT25" i="16" s="1"/>
  <c r="AS24" i="16"/>
  <c r="AT24" i="16" s="1"/>
  <c r="AS23" i="16"/>
  <c r="AT23" i="16" s="1"/>
  <c r="AS22" i="16"/>
  <c r="AT22" i="16" s="1"/>
  <c r="AS21" i="16"/>
  <c r="AT21" i="16" s="1"/>
  <c r="AS20" i="16"/>
  <c r="AT20" i="16" s="1"/>
  <c r="AS19" i="16"/>
  <c r="AT19" i="16" s="1"/>
  <c r="AS18" i="16"/>
  <c r="AT18" i="16" s="1"/>
  <c r="AS17" i="16"/>
  <c r="AT17" i="16" s="1"/>
  <c r="AS16" i="16"/>
  <c r="AT16" i="16" s="1"/>
  <c r="AS15" i="16"/>
  <c r="AT15" i="16" s="1"/>
  <c r="AS14" i="16"/>
  <c r="AT14" i="16" s="1"/>
  <c r="AS13" i="16"/>
  <c r="AT13" i="16" s="1"/>
  <c r="AS12" i="16"/>
  <c r="AT12" i="16" s="1"/>
  <c r="AS11" i="16"/>
  <c r="AT11" i="16" s="1"/>
  <c r="AS10" i="16"/>
  <c r="AT10" i="16" s="1"/>
  <c r="AS9" i="16"/>
  <c r="AT9" i="16" s="1"/>
  <c r="AS8" i="16"/>
  <c r="AT8" i="16" s="1"/>
  <c r="AS7" i="16"/>
  <c r="AT7" i="16" s="1"/>
  <c r="AS6" i="16"/>
  <c r="AT6" i="16" s="1"/>
  <c r="AS5" i="16"/>
  <c r="AT5" i="16" s="1"/>
  <c r="M1629" i="16"/>
  <c r="N1629" i="16" s="1"/>
  <c r="M1628" i="16"/>
  <c r="N1628" i="16" s="1"/>
  <c r="M1627" i="16"/>
  <c r="N1627" i="16" s="1"/>
  <c r="M1626" i="16"/>
  <c r="N1626" i="16" s="1"/>
  <c r="M1625" i="16"/>
  <c r="N1625" i="16" s="1"/>
  <c r="M1624" i="16"/>
  <c r="N1624" i="16" s="1"/>
  <c r="M1623" i="16"/>
  <c r="N1623" i="16" s="1"/>
  <c r="M1622" i="16"/>
  <c r="N1622" i="16" s="1"/>
  <c r="M1621" i="16"/>
  <c r="N1621" i="16" s="1"/>
  <c r="M1620" i="16"/>
  <c r="N1620" i="16" s="1"/>
  <c r="M1619" i="16"/>
  <c r="N1619" i="16" s="1"/>
  <c r="M1618" i="16"/>
  <c r="N1618" i="16" s="1"/>
  <c r="M1617" i="16"/>
  <c r="N1617" i="16" s="1"/>
  <c r="M1616" i="16"/>
  <c r="N1616" i="16" s="1"/>
  <c r="M1615" i="16"/>
  <c r="N1615" i="16" s="1"/>
  <c r="M1614" i="16"/>
  <c r="N1614" i="16" s="1"/>
  <c r="M1613" i="16"/>
  <c r="N1613" i="16" s="1"/>
  <c r="M1612" i="16"/>
  <c r="N1612" i="16" s="1"/>
  <c r="M1611" i="16"/>
  <c r="N1611" i="16" s="1"/>
  <c r="M1610" i="16"/>
  <c r="N1610" i="16" s="1"/>
  <c r="M1609" i="16"/>
  <c r="N1609" i="16" s="1"/>
  <c r="M1608" i="16"/>
  <c r="N1608" i="16" s="1"/>
  <c r="M1607" i="16"/>
  <c r="N1607" i="16" s="1"/>
  <c r="M1606" i="16"/>
  <c r="N1606" i="16" s="1"/>
  <c r="M1605" i="16"/>
  <c r="N1605" i="16" s="1"/>
  <c r="M1604" i="16"/>
  <c r="N1604" i="16" s="1"/>
  <c r="M1603" i="16"/>
  <c r="N1603" i="16" s="1"/>
  <c r="M1602" i="16"/>
  <c r="N1602" i="16" s="1"/>
  <c r="M1601" i="16"/>
  <c r="N1601" i="16" s="1"/>
  <c r="M1600" i="16"/>
  <c r="N1600" i="16" s="1"/>
  <c r="M1599" i="16"/>
  <c r="N1599" i="16" s="1"/>
  <c r="M1598" i="16"/>
  <c r="N1598" i="16" s="1"/>
  <c r="M1597" i="16"/>
  <c r="N1597" i="16" s="1"/>
  <c r="M1596" i="16"/>
  <c r="N1596" i="16" s="1"/>
  <c r="M1595" i="16"/>
  <c r="N1595" i="16" s="1"/>
  <c r="M1594" i="16"/>
  <c r="N1594" i="16" s="1"/>
  <c r="M1593" i="16"/>
  <c r="N1593" i="16" s="1"/>
  <c r="M1592" i="16"/>
  <c r="N1592" i="16" s="1"/>
  <c r="M1591" i="16"/>
  <c r="N1591" i="16" s="1"/>
  <c r="M1590" i="16"/>
  <c r="N1590" i="16" s="1"/>
  <c r="M1589" i="16"/>
  <c r="N1589" i="16" s="1"/>
  <c r="M1588" i="16"/>
  <c r="N1588" i="16" s="1"/>
  <c r="M1587" i="16"/>
  <c r="N1587" i="16" s="1"/>
  <c r="M1586" i="16"/>
  <c r="N1586" i="16" s="1"/>
  <c r="M1585" i="16"/>
  <c r="N1585" i="16" s="1"/>
  <c r="M1584" i="16"/>
  <c r="N1584" i="16" s="1"/>
  <c r="M1583" i="16"/>
  <c r="N1583" i="16" s="1"/>
  <c r="M1582" i="16"/>
  <c r="N1582" i="16" s="1"/>
  <c r="M1581" i="16"/>
  <c r="N1581" i="16" s="1"/>
  <c r="M1580" i="16"/>
  <c r="N1580" i="16" s="1"/>
  <c r="M1579" i="16"/>
  <c r="N1579" i="16" s="1"/>
  <c r="M1578" i="16"/>
  <c r="N1578" i="16" s="1"/>
  <c r="M1577" i="16"/>
  <c r="N1577" i="16" s="1"/>
  <c r="M1576" i="16"/>
  <c r="N1576" i="16" s="1"/>
  <c r="M1575" i="16"/>
  <c r="N1575" i="16" s="1"/>
  <c r="M1574" i="16"/>
  <c r="N1574" i="16" s="1"/>
  <c r="M1573" i="16"/>
  <c r="N1573" i="16" s="1"/>
  <c r="M1572" i="16"/>
  <c r="N1572" i="16" s="1"/>
  <c r="M1571" i="16"/>
  <c r="N1571" i="16" s="1"/>
  <c r="M1570" i="16"/>
  <c r="N1570" i="16" s="1"/>
  <c r="M1569" i="16"/>
  <c r="N1569" i="16" s="1"/>
  <c r="M1568" i="16"/>
  <c r="N1568" i="16" s="1"/>
  <c r="M1567" i="16"/>
  <c r="N1567" i="16" s="1"/>
  <c r="M1566" i="16"/>
  <c r="N1566" i="16" s="1"/>
  <c r="M1565" i="16"/>
  <c r="N1565" i="16" s="1"/>
  <c r="M1564" i="16"/>
  <c r="N1564" i="16" s="1"/>
  <c r="M1563" i="16"/>
  <c r="N1563" i="16" s="1"/>
  <c r="M1562" i="16"/>
  <c r="N1562" i="16" s="1"/>
  <c r="M1561" i="16"/>
  <c r="N1561" i="16" s="1"/>
  <c r="M1560" i="16"/>
  <c r="N1560" i="16" s="1"/>
  <c r="M1559" i="16"/>
  <c r="N1559" i="16" s="1"/>
  <c r="M1558" i="16"/>
  <c r="N1558" i="16" s="1"/>
  <c r="M1557" i="16"/>
  <c r="N1557" i="16" s="1"/>
  <c r="M1556" i="16"/>
  <c r="N1556" i="16" s="1"/>
  <c r="M1555" i="16"/>
  <c r="N1555" i="16" s="1"/>
  <c r="M1554" i="16"/>
  <c r="N1554" i="16" s="1"/>
  <c r="M1553" i="16"/>
  <c r="N1553" i="16" s="1"/>
  <c r="M1552" i="16"/>
  <c r="N1552" i="16" s="1"/>
  <c r="M1551" i="16"/>
  <c r="N1551" i="16" s="1"/>
  <c r="M1550" i="16"/>
  <c r="N1550" i="16" s="1"/>
  <c r="M1549" i="16"/>
  <c r="N1549" i="16" s="1"/>
  <c r="M1548" i="16"/>
  <c r="N1548" i="16" s="1"/>
  <c r="M1547" i="16"/>
  <c r="N1547" i="16" s="1"/>
  <c r="M1546" i="16"/>
  <c r="N1546" i="16" s="1"/>
  <c r="M1545" i="16"/>
  <c r="N1545" i="16" s="1"/>
  <c r="M1544" i="16"/>
  <c r="N1544" i="16" s="1"/>
  <c r="M1543" i="16"/>
  <c r="N1543" i="16" s="1"/>
  <c r="M1542" i="16"/>
  <c r="N1542" i="16" s="1"/>
  <c r="M1541" i="16"/>
  <c r="N1541" i="16" s="1"/>
  <c r="M1540" i="16"/>
  <c r="N1540" i="16" s="1"/>
  <c r="M1539" i="16"/>
  <c r="N1539" i="16" s="1"/>
  <c r="M1538" i="16"/>
  <c r="N1538" i="16" s="1"/>
  <c r="M1537" i="16"/>
  <c r="N1537" i="16" s="1"/>
  <c r="M1536" i="16"/>
  <c r="N1536" i="16" s="1"/>
  <c r="M1535" i="16"/>
  <c r="N1535" i="16" s="1"/>
  <c r="M1534" i="16"/>
  <c r="N1534" i="16" s="1"/>
  <c r="M1533" i="16"/>
  <c r="N1533" i="16" s="1"/>
  <c r="M1532" i="16"/>
  <c r="N1532" i="16" s="1"/>
  <c r="M1531" i="16"/>
  <c r="N1531" i="16" s="1"/>
  <c r="M1530" i="16"/>
  <c r="N1530" i="16" s="1"/>
  <c r="M1529" i="16"/>
  <c r="N1529" i="16" s="1"/>
  <c r="M1528" i="16"/>
  <c r="N1528" i="16" s="1"/>
  <c r="M1527" i="16"/>
  <c r="N1527" i="16" s="1"/>
  <c r="M1526" i="16"/>
  <c r="N1526" i="16" s="1"/>
  <c r="M1525" i="16"/>
  <c r="N1525" i="16" s="1"/>
  <c r="M1524" i="16"/>
  <c r="N1524" i="16" s="1"/>
  <c r="M1523" i="16"/>
  <c r="N1523" i="16" s="1"/>
  <c r="M1522" i="16"/>
  <c r="N1522" i="16" s="1"/>
  <c r="M1521" i="16"/>
  <c r="N1521" i="16" s="1"/>
  <c r="M1520" i="16"/>
  <c r="N1520" i="16" s="1"/>
  <c r="M1519" i="16"/>
  <c r="N1519" i="16" s="1"/>
  <c r="M1518" i="16"/>
  <c r="N1518" i="16" s="1"/>
  <c r="M1517" i="16"/>
  <c r="N1517" i="16" s="1"/>
  <c r="M1516" i="16"/>
  <c r="N1516" i="16" s="1"/>
  <c r="M1515" i="16"/>
  <c r="N1515" i="16" s="1"/>
  <c r="M1514" i="16"/>
  <c r="N1514" i="16" s="1"/>
  <c r="M1513" i="16"/>
  <c r="N1513" i="16" s="1"/>
  <c r="M1512" i="16"/>
  <c r="N1512" i="16" s="1"/>
  <c r="M1511" i="16"/>
  <c r="N1511" i="16" s="1"/>
  <c r="M1510" i="16"/>
  <c r="N1510" i="16" s="1"/>
  <c r="M1509" i="16"/>
  <c r="N1509" i="16" s="1"/>
  <c r="M1508" i="16"/>
  <c r="N1508" i="16" s="1"/>
  <c r="M1507" i="16"/>
  <c r="N1507" i="16" s="1"/>
  <c r="M1506" i="16"/>
  <c r="N1506" i="16" s="1"/>
  <c r="M1505" i="16"/>
  <c r="N1505" i="16" s="1"/>
  <c r="M1504" i="16"/>
  <c r="N1504" i="16" s="1"/>
  <c r="M1503" i="16"/>
  <c r="N1503" i="16" s="1"/>
  <c r="M1502" i="16"/>
  <c r="N1502" i="16" s="1"/>
  <c r="M1501" i="16"/>
  <c r="N1501" i="16" s="1"/>
  <c r="M1500" i="16"/>
  <c r="N1500" i="16" s="1"/>
  <c r="M1499" i="16"/>
  <c r="N1499" i="16" s="1"/>
  <c r="M1498" i="16"/>
  <c r="N1498" i="16" s="1"/>
  <c r="M1497" i="16"/>
  <c r="N1497" i="16" s="1"/>
  <c r="M1496" i="16"/>
  <c r="N1496" i="16" s="1"/>
  <c r="M1495" i="16"/>
  <c r="N1495" i="16" s="1"/>
  <c r="M1494" i="16"/>
  <c r="N1494" i="16" s="1"/>
  <c r="M1493" i="16"/>
  <c r="N1493" i="16" s="1"/>
  <c r="M1492" i="16"/>
  <c r="N1492" i="16" s="1"/>
  <c r="M1491" i="16"/>
  <c r="N1491" i="16" s="1"/>
  <c r="M1490" i="16"/>
  <c r="N1490" i="16" s="1"/>
  <c r="M1489" i="16"/>
  <c r="N1489" i="16" s="1"/>
  <c r="M1488" i="16"/>
  <c r="N1488" i="16" s="1"/>
  <c r="M1487" i="16"/>
  <c r="N1487" i="16" s="1"/>
  <c r="M1486" i="16"/>
  <c r="N1486" i="16" s="1"/>
  <c r="M1485" i="16"/>
  <c r="N1485" i="16" s="1"/>
  <c r="M1484" i="16"/>
  <c r="N1484" i="16" s="1"/>
  <c r="M1483" i="16"/>
  <c r="N1483" i="16" s="1"/>
  <c r="M1482" i="16"/>
  <c r="N1482" i="16" s="1"/>
  <c r="M1481" i="16"/>
  <c r="N1481" i="16" s="1"/>
  <c r="M1480" i="16"/>
  <c r="N1480" i="16" s="1"/>
  <c r="M1479" i="16"/>
  <c r="N1479" i="16" s="1"/>
  <c r="M1478" i="16"/>
  <c r="N1478" i="16" s="1"/>
  <c r="M1477" i="16"/>
  <c r="N1477" i="16" s="1"/>
  <c r="M1476" i="16"/>
  <c r="N1476" i="16" s="1"/>
  <c r="M1475" i="16"/>
  <c r="N1475" i="16" s="1"/>
  <c r="M1474" i="16"/>
  <c r="N1474" i="16" s="1"/>
  <c r="M1473" i="16"/>
  <c r="N1473" i="16" s="1"/>
  <c r="M1472" i="16"/>
  <c r="N1472" i="16" s="1"/>
  <c r="M1471" i="16"/>
  <c r="N1471" i="16" s="1"/>
  <c r="M1470" i="16"/>
  <c r="N1470" i="16" s="1"/>
  <c r="M1469" i="16"/>
  <c r="N1469" i="16" s="1"/>
  <c r="M1468" i="16"/>
  <c r="N1468" i="16" s="1"/>
  <c r="M1467" i="16"/>
  <c r="N1467" i="16" s="1"/>
  <c r="M1466" i="16"/>
  <c r="N1466" i="16" s="1"/>
  <c r="M1465" i="16"/>
  <c r="N1465" i="16" s="1"/>
  <c r="M1464" i="16"/>
  <c r="N1464" i="16" s="1"/>
  <c r="M1463" i="16"/>
  <c r="N1463" i="16" s="1"/>
  <c r="M1462" i="16"/>
  <c r="N1462" i="16" s="1"/>
  <c r="M1461" i="16"/>
  <c r="N1461" i="16" s="1"/>
  <c r="M1460" i="16"/>
  <c r="N1460" i="16" s="1"/>
  <c r="M1459" i="16"/>
  <c r="N1459" i="16" s="1"/>
  <c r="M1458" i="16"/>
  <c r="N1458" i="16" s="1"/>
  <c r="M1457" i="16"/>
  <c r="N1457" i="16" s="1"/>
  <c r="M1456" i="16"/>
  <c r="N1456" i="16" s="1"/>
  <c r="M1455" i="16"/>
  <c r="N1455" i="16" s="1"/>
  <c r="M1454" i="16"/>
  <c r="N1454" i="16" s="1"/>
  <c r="M1453" i="16"/>
  <c r="N1453" i="16" s="1"/>
  <c r="M1452" i="16"/>
  <c r="N1452" i="16" s="1"/>
  <c r="M1451" i="16"/>
  <c r="N1451" i="16" s="1"/>
  <c r="M1450" i="16"/>
  <c r="N1450" i="16" s="1"/>
  <c r="M1449" i="16"/>
  <c r="N1449" i="16" s="1"/>
  <c r="M1448" i="16"/>
  <c r="N1448" i="16" s="1"/>
  <c r="M1447" i="16"/>
  <c r="N1447" i="16" s="1"/>
  <c r="M1446" i="16"/>
  <c r="N1446" i="16" s="1"/>
  <c r="M1445" i="16"/>
  <c r="N1445" i="16" s="1"/>
  <c r="M1444" i="16"/>
  <c r="N1444" i="16" s="1"/>
  <c r="M1443" i="16"/>
  <c r="N1443" i="16" s="1"/>
  <c r="M1442" i="16"/>
  <c r="N1442" i="16" s="1"/>
  <c r="M1441" i="16"/>
  <c r="N1441" i="16" s="1"/>
  <c r="M1440" i="16"/>
  <c r="N1440" i="16" s="1"/>
  <c r="M1439" i="16"/>
  <c r="N1439" i="16" s="1"/>
  <c r="M1438" i="16"/>
  <c r="N1438" i="16" s="1"/>
  <c r="M1437" i="16"/>
  <c r="N1437" i="16" s="1"/>
  <c r="M1436" i="16"/>
  <c r="N1436" i="16" s="1"/>
  <c r="M1435" i="16"/>
  <c r="N1435" i="16" s="1"/>
  <c r="M1434" i="16"/>
  <c r="N1434" i="16" s="1"/>
  <c r="M1433" i="16"/>
  <c r="N1433" i="16" s="1"/>
  <c r="M1432" i="16"/>
  <c r="N1432" i="16" s="1"/>
  <c r="M1431" i="16"/>
  <c r="N1431" i="16" s="1"/>
  <c r="M1430" i="16"/>
  <c r="N1430" i="16" s="1"/>
  <c r="M1429" i="16"/>
  <c r="N1429" i="16" s="1"/>
  <c r="M1428" i="16"/>
  <c r="N1428" i="16" s="1"/>
  <c r="M1427" i="16"/>
  <c r="N1427" i="16" s="1"/>
  <c r="M1426" i="16"/>
  <c r="N1426" i="16" s="1"/>
  <c r="M1425" i="16"/>
  <c r="N1425" i="16" s="1"/>
  <c r="M1424" i="16"/>
  <c r="N1424" i="16" s="1"/>
  <c r="M1423" i="16"/>
  <c r="N1423" i="16" s="1"/>
  <c r="M1422" i="16"/>
  <c r="N1422" i="16" s="1"/>
  <c r="M1421" i="16"/>
  <c r="N1421" i="16" s="1"/>
  <c r="M1420" i="16"/>
  <c r="N1420" i="16" s="1"/>
  <c r="M1419" i="16"/>
  <c r="N1419" i="16" s="1"/>
  <c r="M1418" i="16"/>
  <c r="N1418" i="16" s="1"/>
  <c r="M1417" i="16"/>
  <c r="N1417" i="16" s="1"/>
  <c r="M1416" i="16"/>
  <c r="N1416" i="16" s="1"/>
  <c r="M1415" i="16"/>
  <c r="N1415" i="16" s="1"/>
  <c r="M1414" i="16"/>
  <c r="N1414" i="16" s="1"/>
  <c r="M1413" i="16"/>
  <c r="N1413" i="16" s="1"/>
  <c r="M1412" i="16"/>
  <c r="N1412" i="16" s="1"/>
  <c r="M1411" i="16"/>
  <c r="N1411" i="16" s="1"/>
  <c r="M1410" i="16"/>
  <c r="N1410" i="16" s="1"/>
  <c r="M1409" i="16"/>
  <c r="N1409" i="16" s="1"/>
  <c r="M1408" i="16"/>
  <c r="N1408" i="16" s="1"/>
  <c r="M1407" i="16"/>
  <c r="N1407" i="16" s="1"/>
  <c r="M1406" i="16"/>
  <c r="N1406" i="16" s="1"/>
  <c r="M1405" i="16"/>
  <c r="N1405" i="16" s="1"/>
  <c r="M1404" i="16"/>
  <c r="N1404" i="16" s="1"/>
  <c r="M1403" i="16"/>
  <c r="N1403" i="16" s="1"/>
  <c r="M1402" i="16"/>
  <c r="N1402" i="16" s="1"/>
  <c r="M1401" i="16"/>
  <c r="N1401" i="16" s="1"/>
  <c r="M1400" i="16"/>
  <c r="N1400" i="16" s="1"/>
  <c r="M1399" i="16"/>
  <c r="N1399" i="16" s="1"/>
  <c r="M1398" i="16"/>
  <c r="N1398" i="16" s="1"/>
  <c r="M1397" i="16"/>
  <c r="N1397" i="16" s="1"/>
  <c r="M1396" i="16"/>
  <c r="N1396" i="16" s="1"/>
  <c r="M1395" i="16"/>
  <c r="N1395" i="16" s="1"/>
  <c r="M1394" i="16"/>
  <c r="N1394" i="16" s="1"/>
  <c r="M1393" i="16"/>
  <c r="N1393" i="16" s="1"/>
  <c r="M1392" i="16"/>
  <c r="N1392" i="16" s="1"/>
  <c r="M1391" i="16"/>
  <c r="N1391" i="16" s="1"/>
  <c r="M1390" i="16"/>
  <c r="N1390" i="16" s="1"/>
  <c r="M1389" i="16"/>
  <c r="N1389" i="16" s="1"/>
  <c r="M1388" i="16"/>
  <c r="N1388" i="16" s="1"/>
  <c r="M1387" i="16"/>
  <c r="N1387" i="16" s="1"/>
  <c r="M1386" i="16"/>
  <c r="N1386" i="16" s="1"/>
  <c r="M1385" i="16"/>
  <c r="N1385" i="16" s="1"/>
  <c r="M1384" i="16"/>
  <c r="N1384" i="16" s="1"/>
  <c r="M1383" i="16"/>
  <c r="N1383" i="16" s="1"/>
  <c r="M1382" i="16"/>
  <c r="N1382" i="16" s="1"/>
  <c r="M1381" i="16"/>
  <c r="N1381" i="16" s="1"/>
  <c r="M1380" i="16"/>
  <c r="N1380" i="16" s="1"/>
  <c r="M1379" i="16"/>
  <c r="N1379" i="16" s="1"/>
  <c r="M1378" i="16"/>
  <c r="N1378" i="16" s="1"/>
  <c r="M1377" i="16"/>
  <c r="N1377" i="16" s="1"/>
  <c r="M1376" i="16"/>
  <c r="N1376" i="16" s="1"/>
  <c r="M1375" i="16"/>
  <c r="N1375" i="16" s="1"/>
  <c r="M1374" i="16"/>
  <c r="N1374" i="16" s="1"/>
  <c r="M1373" i="16"/>
  <c r="N1373" i="16" s="1"/>
  <c r="M1372" i="16"/>
  <c r="N1372" i="16" s="1"/>
  <c r="M1371" i="16"/>
  <c r="N1371" i="16" s="1"/>
  <c r="M1370" i="16"/>
  <c r="N1370" i="16" s="1"/>
  <c r="M1369" i="16"/>
  <c r="N1369" i="16" s="1"/>
  <c r="M1368" i="16"/>
  <c r="N1368" i="16" s="1"/>
  <c r="M1367" i="16"/>
  <c r="N1367" i="16" s="1"/>
  <c r="M1366" i="16"/>
  <c r="N1366" i="16" s="1"/>
  <c r="M1365" i="16"/>
  <c r="N1365" i="16" s="1"/>
  <c r="M1364" i="16"/>
  <c r="N1364" i="16" s="1"/>
  <c r="M1363" i="16"/>
  <c r="N1363" i="16" s="1"/>
  <c r="M1362" i="16"/>
  <c r="N1362" i="16" s="1"/>
  <c r="M1361" i="16"/>
  <c r="N1361" i="16" s="1"/>
  <c r="M1360" i="16"/>
  <c r="N1360" i="16" s="1"/>
  <c r="M1359" i="16"/>
  <c r="N1359" i="16" s="1"/>
  <c r="M1358" i="16"/>
  <c r="N1358" i="16" s="1"/>
  <c r="M1357" i="16"/>
  <c r="N1357" i="16" s="1"/>
  <c r="M1356" i="16"/>
  <c r="N1356" i="16" s="1"/>
  <c r="M1355" i="16"/>
  <c r="N1355" i="16" s="1"/>
  <c r="M1354" i="16"/>
  <c r="N1354" i="16" s="1"/>
  <c r="M1353" i="16"/>
  <c r="N1353" i="16" s="1"/>
  <c r="M1352" i="16"/>
  <c r="N1352" i="16" s="1"/>
  <c r="M1351" i="16"/>
  <c r="N1351" i="16" s="1"/>
  <c r="M1350" i="16"/>
  <c r="N1350" i="16" s="1"/>
  <c r="M1349" i="16"/>
  <c r="N1349" i="16" s="1"/>
  <c r="M1348" i="16"/>
  <c r="N1348" i="16" s="1"/>
  <c r="M1347" i="16"/>
  <c r="N1347" i="16" s="1"/>
  <c r="M1346" i="16"/>
  <c r="N1346" i="16" s="1"/>
  <c r="M1345" i="16"/>
  <c r="N1345" i="16" s="1"/>
  <c r="M1344" i="16"/>
  <c r="N1344" i="16" s="1"/>
  <c r="M1343" i="16"/>
  <c r="N1343" i="16" s="1"/>
  <c r="M1342" i="16"/>
  <c r="N1342" i="16" s="1"/>
  <c r="M1341" i="16"/>
  <c r="N1341" i="16" s="1"/>
  <c r="M1340" i="16"/>
  <c r="N1340" i="16" s="1"/>
  <c r="M1339" i="16"/>
  <c r="N1339" i="16" s="1"/>
  <c r="M1338" i="16"/>
  <c r="N1338" i="16" s="1"/>
  <c r="M1337" i="16"/>
  <c r="N1337" i="16" s="1"/>
  <c r="M1336" i="16"/>
  <c r="N1336" i="16" s="1"/>
  <c r="M1335" i="16"/>
  <c r="N1335" i="16" s="1"/>
  <c r="M1334" i="16"/>
  <c r="N1334" i="16" s="1"/>
  <c r="M1333" i="16"/>
  <c r="N1333" i="16" s="1"/>
  <c r="M1332" i="16"/>
  <c r="N1332" i="16" s="1"/>
  <c r="M1331" i="16"/>
  <c r="N1331" i="16" s="1"/>
  <c r="M1330" i="16"/>
  <c r="N1330" i="16" s="1"/>
  <c r="M1329" i="16"/>
  <c r="N1329" i="16" s="1"/>
  <c r="M1328" i="16"/>
  <c r="N1328" i="16" s="1"/>
  <c r="M1327" i="16"/>
  <c r="N1327" i="16" s="1"/>
  <c r="M1326" i="16"/>
  <c r="N1326" i="16" s="1"/>
  <c r="M1325" i="16"/>
  <c r="N1325" i="16" s="1"/>
  <c r="M1324" i="16"/>
  <c r="N1324" i="16" s="1"/>
  <c r="M1323" i="16"/>
  <c r="N1323" i="16" s="1"/>
  <c r="M1322" i="16"/>
  <c r="N1322" i="16" s="1"/>
  <c r="M1321" i="16"/>
  <c r="N1321" i="16" s="1"/>
  <c r="M1320" i="16"/>
  <c r="N1320" i="16" s="1"/>
  <c r="M1319" i="16"/>
  <c r="N1319" i="16" s="1"/>
  <c r="M1318" i="16"/>
  <c r="N1318" i="16" s="1"/>
  <c r="M1317" i="16"/>
  <c r="N1317" i="16" s="1"/>
  <c r="M1316" i="16"/>
  <c r="N1316" i="16" s="1"/>
  <c r="M1315" i="16"/>
  <c r="N1315" i="16" s="1"/>
  <c r="M1314" i="16"/>
  <c r="N1314" i="16" s="1"/>
  <c r="M1313" i="16"/>
  <c r="N1313" i="16" s="1"/>
  <c r="M1312" i="16"/>
  <c r="N1312" i="16" s="1"/>
  <c r="M1311" i="16"/>
  <c r="N1311" i="16" s="1"/>
  <c r="M1310" i="16"/>
  <c r="N1310" i="16" s="1"/>
  <c r="M1309" i="16"/>
  <c r="N1309" i="16" s="1"/>
  <c r="M1308" i="16"/>
  <c r="N1308" i="16" s="1"/>
  <c r="M1307" i="16"/>
  <c r="N1307" i="16" s="1"/>
  <c r="M1306" i="16"/>
  <c r="N1306" i="16" s="1"/>
  <c r="M1305" i="16"/>
  <c r="N1305" i="16" s="1"/>
  <c r="M1304" i="16"/>
  <c r="N1304" i="16" s="1"/>
  <c r="M1303" i="16"/>
  <c r="N1303" i="16" s="1"/>
  <c r="M1302" i="16"/>
  <c r="N1302" i="16" s="1"/>
  <c r="M1301" i="16"/>
  <c r="N1301" i="16" s="1"/>
  <c r="M1300" i="16"/>
  <c r="N1300" i="16" s="1"/>
  <c r="M1299" i="16"/>
  <c r="N1299" i="16" s="1"/>
  <c r="M1298" i="16"/>
  <c r="N1298" i="16" s="1"/>
  <c r="M1297" i="16"/>
  <c r="N1297" i="16" s="1"/>
  <c r="M1296" i="16"/>
  <c r="N1296" i="16" s="1"/>
  <c r="M1295" i="16"/>
  <c r="N1295" i="16" s="1"/>
  <c r="M1294" i="16"/>
  <c r="N1294" i="16" s="1"/>
  <c r="M1293" i="16"/>
  <c r="N1293" i="16" s="1"/>
  <c r="M1292" i="16"/>
  <c r="N1292" i="16" s="1"/>
  <c r="M1291" i="16"/>
  <c r="N1291" i="16" s="1"/>
  <c r="M1290" i="16"/>
  <c r="N1290" i="16" s="1"/>
  <c r="M1289" i="16"/>
  <c r="N1289" i="16" s="1"/>
  <c r="M1288" i="16"/>
  <c r="N1288" i="16" s="1"/>
  <c r="M1287" i="16"/>
  <c r="N1287" i="16" s="1"/>
  <c r="M1286" i="16"/>
  <c r="N1286" i="16" s="1"/>
  <c r="M1285" i="16"/>
  <c r="N1285" i="16" s="1"/>
  <c r="M1284" i="16"/>
  <c r="N1284" i="16" s="1"/>
  <c r="M1283" i="16"/>
  <c r="N1283" i="16" s="1"/>
  <c r="M1282" i="16"/>
  <c r="N1282" i="16" s="1"/>
  <c r="M1281" i="16"/>
  <c r="N1281" i="16" s="1"/>
  <c r="M1280" i="16"/>
  <c r="N1280" i="16" s="1"/>
  <c r="M1279" i="16"/>
  <c r="N1279" i="16" s="1"/>
  <c r="M1278" i="16"/>
  <c r="N1278" i="16" s="1"/>
  <c r="M1277" i="16"/>
  <c r="N1277" i="16" s="1"/>
  <c r="M1276" i="16"/>
  <c r="N1276" i="16" s="1"/>
  <c r="M1275" i="16"/>
  <c r="N1275" i="16" s="1"/>
  <c r="M1274" i="16"/>
  <c r="N1274" i="16" s="1"/>
  <c r="M1273" i="16"/>
  <c r="N1273" i="16" s="1"/>
  <c r="M1272" i="16"/>
  <c r="N1272" i="16" s="1"/>
  <c r="M1271" i="16"/>
  <c r="N1271" i="16" s="1"/>
  <c r="M1270" i="16"/>
  <c r="N1270" i="16" s="1"/>
  <c r="M1269" i="16"/>
  <c r="N1269" i="16" s="1"/>
  <c r="M1268" i="16"/>
  <c r="N1268" i="16" s="1"/>
  <c r="M1267" i="16"/>
  <c r="N1267" i="16" s="1"/>
  <c r="M1266" i="16"/>
  <c r="N1266" i="16" s="1"/>
  <c r="M1265" i="16"/>
  <c r="N1265" i="16" s="1"/>
  <c r="M1264" i="16"/>
  <c r="N1264" i="16" s="1"/>
  <c r="M1263" i="16"/>
  <c r="N1263" i="16" s="1"/>
  <c r="M1262" i="16"/>
  <c r="N1262" i="16" s="1"/>
  <c r="M1261" i="16"/>
  <c r="N1261" i="16" s="1"/>
  <c r="M1260" i="16"/>
  <c r="N1260" i="16" s="1"/>
  <c r="M1259" i="16"/>
  <c r="N1259" i="16" s="1"/>
  <c r="M1258" i="16"/>
  <c r="N1258" i="16" s="1"/>
  <c r="M1257" i="16"/>
  <c r="N1257" i="16" s="1"/>
  <c r="M1256" i="16"/>
  <c r="N1256" i="16" s="1"/>
  <c r="M1255" i="16"/>
  <c r="N1255" i="16" s="1"/>
  <c r="M1254" i="16"/>
  <c r="N1254" i="16" s="1"/>
  <c r="M1253" i="16"/>
  <c r="N1253" i="16" s="1"/>
  <c r="M1252" i="16"/>
  <c r="N1252" i="16" s="1"/>
  <c r="M1251" i="16"/>
  <c r="N1251" i="16" s="1"/>
  <c r="M1250" i="16"/>
  <c r="N1250" i="16" s="1"/>
  <c r="M1249" i="16"/>
  <c r="N1249" i="16" s="1"/>
  <c r="M1248" i="16"/>
  <c r="N1248" i="16" s="1"/>
  <c r="M1247" i="16"/>
  <c r="N1247" i="16" s="1"/>
  <c r="M1246" i="16"/>
  <c r="N1246" i="16" s="1"/>
  <c r="M1245" i="16"/>
  <c r="N1245" i="16" s="1"/>
  <c r="M1244" i="16"/>
  <c r="N1244" i="16" s="1"/>
  <c r="M1243" i="16"/>
  <c r="N1243" i="16" s="1"/>
  <c r="M1242" i="16"/>
  <c r="N1242" i="16" s="1"/>
  <c r="M1241" i="16"/>
  <c r="N1241" i="16" s="1"/>
  <c r="M1240" i="16"/>
  <c r="N1240" i="16" s="1"/>
  <c r="M1239" i="16"/>
  <c r="N1239" i="16" s="1"/>
  <c r="M1238" i="16"/>
  <c r="N1238" i="16" s="1"/>
  <c r="M1237" i="16"/>
  <c r="N1237" i="16" s="1"/>
  <c r="M1236" i="16"/>
  <c r="N1236" i="16" s="1"/>
  <c r="M1235" i="16"/>
  <c r="N1235" i="16" s="1"/>
  <c r="M1234" i="16"/>
  <c r="N1234" i="16" s="1"/>
  <c r="M1233" i="16"/>
  <c r="N1233" i="16" s="1"/>
  <c r="M1232" i="16"/>
  <c r="N1232" i="16" s="1"/>
  <c r="M1231" i="16"/>
  <c r="N1231" i="16" s="1"/>
  <c r="M1230" i="16"/>
  <c r="N1230" i="16" s="1"/>
  <c r="M1229" i="16"/>
  <c r="N1229" i="16" s="1"/>
  <c r="M1228" i="16"/>
  <c r="N1228" i="16" s="1"/>
  <c r="M1227" i="16"/>
  <c r="N1227" i="16" s="1"/>
  <c r="M1226" i="16"/>
  <c r="N1226" i="16" s="1"/>
  <c r="M1225" i="16"/>
  <c r="N1225" i="16" s="1"/>
  <c r="M1224" i="16"/>
  <c r="N1224" i="16" s="1"/>
  <c r="M1223" i="16"/>
  <c r="N1223" i="16" s="1"/>
  <c r="M1222" i="16"/>
  <c r="N1222" i="16" s="1"/>
  <c r="M1221" i="16"/>
  <c r="N1221" i="16" s="1"/>
  <c r="M1220" i="16"/>
  <c r="N1220" i="16" s="1"/>
  <c r="M1219" i="16"/>
  <c r="N1219" i="16" s="1"/>
  <c r="M1218" i="16"/>
  <c r="N1218" i="16" s="1"/>
  <c r="M1217" i="16"/>
  <c r="N1217" i="16" s="1"/>
  <c r="M1216" i="16"/>
  <c r="N1216" i="16" s="1"/>
  <c r="M1215" i="16"/>
  <c r="N1215" i="16" s="1"/>
  <c r="M1214" i="16"/>
  <c r="N1214" i="16" s="1"/>
  <c r="M1213" i="16"/>
  <c r="N1213" i="16" s="1"/>
  <c r="M1212" i="16"/>
  <c r="N1212" i="16" s="1"/>
  <c r="M1211" i="16"/>
  <c r="N1211" i="16" s="1"/>
  <c r="M1210" i="16"/>
  <c r="N1210" i="16" s="1"/>
  <c r="M1209" i="16"/>
  <c r="N1209" i="16" s="1"/>
  <c r="M1208" i="16"/>
  <c r="N1208" i="16" s="1"/>
  <c r="M1207" i="16"/>
  <c r="N1207" i="16" s="1"/>
  <c r="M1206" i="16"/>
  <c r="N1206" i="16" s="1"/>
  <c r="M1205" i="16"/>
  <c r="N1205" i="16" s="1"/>
  <c r="M1204" i="16"/>
  <c r="N1204" i="16" s="1"/>
  <c r="M1203" i="16"/>
  <c r="N1203" i="16" s="1"/>
  <c r="M1202" i="16"/>
  <c r="N1202" i="16" s="1"/>
  <c r="M1201" i="16"/>
  <c r="N1201" i="16" s="1"/>
  <c r="M1200" i="16"/>
  <c r="N1200" i="16" s="1"/>
  <c r="M1199" i="16"/>
  <c r="N1199" i="16" s="1"/>
  <c r="M1198" i="16"/>
  <c r="N1198" i="16" s="1"/>
  <c r="M1197" i="16"/>
  <c r="N1197" i="16" s="1"/>
  <c r="M1196" i="16"/>
  <c r="N1196" i="16" s="1"/>
  <c r="M1195" i="16"/>
  <c r="N1195" i="16" s="1"/>
  <c r="M1194" i="16"/>
  <c r="N1194" i="16" s="1"/>
  <c r="M1193" i="16"/>
  <c r="N1193" i="16" s="1"/>
  <c r="M1192" i="16"/>
  <c r="N1192" i="16" s="1"/>
  <c r="M1191" i="16"/>
  <c r="N1191" i="16" s="1"/>
  <c r="M1190" i="16"/>
  <c r="N1190" i="16" s="1"/>
  <c r="M1189" i="16"/>
  <c r="N1189" i="16" s="1"/>
  <c r="M1188" i="16"/>
  <c r="N1188" i="16" s="1"/>
  <c r="M1187" i="16"/>
  <c r="N1187" i="16" s="1"/>
  <c r="M1186" i="16"/>
  <c r="N1186" i="16" s="1"/>
  <c r="M1185" i="16"/>
  <c r="N1185" i="16" s="1"/>
  <c r="M1184" i="16"/>
  <c r="N1184" i="16" s="1"/>
  <c r="M1183" i="16"/>
  <c r="N1183" i="16" s="1"/>
  <c r="M1182" i="16"/>
  <c r="N1182" i="16" s="1"/>
  <c r="M1181" i="16"/>
  <c r="N1181" i="16" s="1"/>
  <c r="M1180" i="16"/>
  <c r="N1180" i="16" s="1"/>
  <c r="M1179" i="16"/>
  <c r="N1179" i="16" s="1"/>
  <c r="M1178" i="16"/>
  <c r="N1178" i="16" s="1"/>
  <c r="M1177" i="16"/>
  <c r="N1177" i="16" s="1"/>
  <c r="M1176" i="16"/>
  <c r="N1176" i="16" s="1"/>
  <c r="M1175" i="16"/>
  <c r="N1175" i="16" s="1"/>
  <c r="M1174" i="16"/>
  <c r="N1174" i="16" s="1"/>
  <c r="M1173" i="16"/>
  <c r="N1173" i="16" s="1"/>
  <c r="M1172" i="16"/>
  <c r="N1172" i="16" s="1"/>
  <c r="M1171" i="16"/>
  <c r="N1171" i="16" s="1"/>
  <c r="M1170" i="16"/>
  <c r="N1170" i="16" s="1"/>
  <c r="M1169" i="16"/>
  <c r="N1169" i="16" s="1"/>
  <c r="M1168" i="16"/>
  <c r="N1168" i="16" s="1"/>
  <c r="M1167" i="16"/>
  <c r="N1167" i="16" s="1"/>
  <c r="M1166" i="16"/>
  <c r="N1166" i="16" s="1"/>
  <c r="M1165" i="16"/>
  <c r="N1165" i="16" s="1"/>
  <c r="M1164" i="16"/>
  <c r="N1164" i="16" s="1"/>
  <c r="M1163" i="16"/>
  <c r="N1163" i="16" s="1"/>
  <c r="M1162" i="16"/>
  <c r="N1162" i="16" s="1"/>
  <c r="M1161" i="16"/>
  <c r="N1161" i="16" s="1"/>
  <c r="M1160" i="16"/>
  <c r="N1160" i="16" s="1"/>
  <c r="M1159" i="16"/>
  <c r="N1159" i="16" s="1"/>
  <c r="M1158" i="16"/>
  <c r="N1158" i="16" s="1"/>
  <c r="M1157" i="16"/>
  <c r="N1157" i="16" s="1"/>
  <c r="M1156" i="16"/>
  <c r="N1156" i="16" s="1"/>
  <c r="M1155" i="16"/>
  <c r="N1155" i="16" s="1"/>
  <c r="M1154" i="16"/>
  <c r="N1154" i="16" s="1"/>
  <c r="M1153" i="16"/>
  <c r="N1153" i="16" s="1"/>
  <c r="M1152" i="16"/>
  <c r="N1152" i="16" s="1"/>
  <c r="M1151" i="16"/>
  <c r="N1151" i="16" s="1"/>
  <c r="M1150" i="16"/>
  <c r="N1150" i="16" s="1"/>
  <c r="M1149" i="16"/>
  <c r="N1149" i="16" s="1"/>
  <c r="M1148" i="16"/>
  <c r="N1148" i="16" s="1"/>
  <c r="M1147" i="16"/>
  <c r="N1147" i="16" s="1"/>
  <c r="M1146" i="16"/>
  <c r="N1146" i="16" s="1"/>
  <c r="M1145" i="16"/>
  <c r="N1145" i="16" s="1"/>
  <c r="M1144" i="16"/>
  <c r="N1144" i="16" s="1"/>
  <c r="M1143" i="16"/>
  <c r="N1143" i="16" s="1"/>
  <c r="M1142" i="16"/>
  <c r="N1142" i="16" s="1"/>
  <c r="M1141" i="16"/>
  <c r="N1141" i="16" s="1"/>
  <c r="M1140" i="16"/>
  <c r="N1140" i="16" s="1"/>
  <c r="M1139" i="16"/>
  <c r="N1139" i="16" s="1"/>
  <c r="M1138" i="16"/>
  <c r="N1138" i="16" s="1"/>
  <c r="M1137" i="16"/>
  <c r="N1137" i="16" s="1"/>
  <c r="M1136" i="16"/>
  <c r="N1136" i="16" s="1"/>
  <c r="M1135" i="16"/>
  <c r="N1135" i="16" s="1"/>
  <c r="M1134" i="16"/>
  <c r="N1134" i="16" s="1"/>
  <c r="M1133" i="16"/>
  <c r="N1133" i="16" s="1"/>
  <c r="M1132" i="16"/>
  <c r="N1132" i="16" s="1"/>
  <c r="M1131" i="16"/>
  <c r="N1131" i="16" s="1"/>
  <c r="M1130" i="16"/>
  <c r="N1130" i="16" s="1"/>
  <c r="M1129" i="16"/>
  <c r="N1129" i="16" s="1"/>
  <c r="M1128" i="16"/>
  <c r="N1128" i="16" s="1"/>
  <c r="M1127" i="16"/>
  <c r="N1127" i="16" s="1"/>
  <c r="M1126" i="16"/>
  <c r="N1126" i="16" s="1"/>
  <c r="M1125" i="16"/>
  <c r="N1125" i="16" s="1"/>
  <c r="M1124" i="16"/>
  <c r="N1124" i="16" s="1"/>
  <c r="M1123" i="16"/>
  <c r="N1123" i="16" s="1"/>
  <c r="M1122" i="16"/>
  <c r="N1122" i="16" s="1"/>
  <c r="M1121" i="16"/>
  <c r="N1121" i="16" s="1"/>
  <c r="M1120" i="16"/>
  <c r="N1120" i="16" s="1"/>
  <c r="M1119" i="16"/>
  <c r="N1119" i="16" s="1"/>
  <c r="M1118" i="16"/>
  <c r="N1118" i="16" s="1"/>
  <c r="M1117" i="16"/>
  <c r="N1117" i="16" s="1"/>
  <c r="M1116" i="16"/>
  <c r="N1116" i="16" s="1"/>
  <c r="M1115" i="16"/>
  <c r="N1115" i="16" s="1"/>
  <c r="M1114" i="16"/>
  <c r="N1114" i="16" s="1"/>
  <c r="M1113" i="16"/>
  <c r="N1113" i="16" s="1"/>
  <c r="M1112" i="16"/>
  <c r="N1112" i="16" s="1"/>
  <c r="M1111" i="16"/>
  <c r="N1111" i="16" s="1"/>
  <c r="M1110" i="16"/>
  <c r="N1110" i="16" s="1"/>
  <c r="M1109" i="16"/>
  <c r="N1109" i="16" s="1"/>
  <c r="M1108" i="16"/>
  <c r="N1108" i="16" s="1"/>
  <c r="M1107" i="16"/>
  <c r="N1107" i="16" s="1"/>
  <c r="M1106" i="16"/>
  <c r="N1106" i="16" s="1"/>
  <c r="M1105" i="16"/>
  <c r="N1105" i="16" s="1"/>
  <c r="M1104" i="16"/>
  <c r="N1104" i="16" s="1"/>
  <c r="M1103" i="16"/>
  <c r="N1103" i="16" s="1"/>
  <c r="M1102" i="16"/>
  <c r="N1102" i="16" s="1"/>
  <c r="M1101" i="16"/>
  <c r="N1101" i="16" s="1"/>
  <c r="M1100" i="16"/>
  <c r="N1100" i="16" s="1"/>
  <c r="M1099" i="16"/>
  <c r="N1099" i="16" s="1"/>
  <c r="M1098" i="16"/>
  <c r="N1098" i="16" s="1"/>
  <c r="M1097" i="16"/>
  <c r="N1097" i="16" s="1"/>
  <c r="M1096" i="16"/>
  <c r="N1096" i="16" s="1"/>
  <c r="M1095" i="16"/>
  <c r="N1095" i="16" s="1"/>
  <c r="M1094" i="16"/>
  <c r="N1094" i="16" s="1"/>
  <c r="M1093" i="16"/>
  <c r="N1093" i="16" s="1"/>
  <c r="M1092" i="16"/>
  <c r="N1092" i="16" s="1"/>
  <c r="M1091" i="16"/>
  <c r="N1091" i="16" s="1"/>
  <c r="M1090" i="16"/>
  <c r="N1090" i="16" s="1"/>
  <c r="M1089" i="16"/>
  <c r="N1089" i="16" s="1"/>
  <c r="M1087" i="16"/>
  <c r="N1087" i="16" s="1"/>
  <c r="M1086" i="16"/>
  <c r="N1086" i="16" s="1"/>
  <c r="M1085" i="16"/>
  <c r="N1085" i="16" s="1"/>
  <c r="M1084" i="16"/>
  <c r="N1084" i="16" s="1"/>
  <c r="M1083" i="16"/>
  <c r="N1083" i="16" s="1"/>
  <c r="M1082" i="16"/>
  <c r="N1082" i="16" s="1"/>
  <c r="M1081" i="16"/>
  <c r="N1081" i="16" s="1"/>
  <c r="M1080" i="16"/>
  <c r="N1080" i="16" s="1"/>
  <c r="M1079" i="16"/>
  <c r="N1079" i="16" s="1"/>
  <c r="M1078" i="16"/>
  <c r="N1078" i="16" s="1"/>
  <c r="M1077" i="16"/>
  <c r="N1077" i="16" s="1"/>
  <c r="M1076" i="16"/>
  <c r="N1076" i="16" s="1"/>
  <c r="M1075" i="16"/>
  <c r="N1075" i="16" s="1"/>
  <c r="M1074" i="16"/>
  <c r="N1074" i="16" s="1"/>
  <c r="M1073" i="16"/>
  <c r="N1073" i="16" s="1"/>
  <c r="M1072" i="16"/>
  <c r="N1072" i="16" s="1"/>
  <c r="M1071" i="16"/>
  <c r="N1071" i="16" s="1"/>
  <c r="M1070" i="16"/>
  <c r="N1070" i="16" s="1"/>
  <c r="M1069" i="16"/>
  <c r="N1069" i="16" s="1"/>
  <c r="M1068" i="16"/>
  <c r="N1068" i="16" s="1"/>
  <c r="M1067" i="16"/>
  <c r="N1067" i="16" s="1"/>
  <c r="M1066" i="16"/>
  <c r="N1066" i="16" s="1"/>
  <c r="M1065" i="16"/>
  <c r="N1065" i="16" s="1"/>
  <c r="M1064" i="16"/>
  <c r="N1064" i="16" s="1"/>
  <c r="M1063" i="16"/>
  <c r="N1063" i="16" s="1"/>
  <c r="M1062" i="16"/>
  <c r="N1062" i="16" s="1"/>
  <c r="M1061" i="16"/>
  <c r="N1061" i="16" s="1"/>
  <c r="M1060" i="16"/>
  <c r="N1060" i="16" s="1"/>
  <c r="M1059" i="16"/>
  <c r="N1059" i="16" s="1"/>
  <c r="M1058" i="16"/>
  <c r="N1058" i="16" s="1"/>
  <c r="M1057" i="16"/>
  <c r="N1057" i="16" s="1"/>
  <c r="M1056" i="16"/>
  <c r="N1056" i="16" s="1"/>
  <c r="M1055" i="16"/>
  <c r="N1055" i="16" s="1"/>
  <c r="M1054" i="16"/>
  <c r="N1054" i="16" s="1"/>
  <c r="M1053" i="16"/>
  <c r="N1053" i="16" s="1"/>
  <c r="M1052" i="16"/>
  <c r="N1052" i="16" s="1"/>
  <c r="M1051" i="16"/>
  <c r="N1051" i="16" s="1"/>
  <c r="M1050" i="16"/>
  <c r="N1050" i="16" s="1"/>
  <c r="M1049" i="16"/>
  <c r="N1049" i="16" s="1"/>
  <c r="M1048" i="16"/>
  <c r="N1048" i="16" s="1"/>
  <c r="M1047" i="16"/>
  <c r="N1047" i="16" s="1"/>
  <c r="M1046" i="16"/>
  <c r="N1046" i="16" s="1"/>
  <c r="M1045" i="16"/>
  <c r="N1045" i="16" s="1"/>
  <c r="M1044" i="16"/>
  <c r="N1044" i="16" s="1"/>
  <c r="M1043" i="16"/>
  <c r="N1043" i="16" s="1"/>
  <c r="M1042" i="16"/>
  <c r="N1042" i="16" s="1"/>
  <c r="M1041" i="16"/>
  <c r="N1041" i="16" s="1"/>
  <c r="M1040" i="16"/>
  <c r="N1040" i="16" s="1"/>
  <c r="M1039" i="16"/>
  <c r="N1039" i="16" s="1"/>
  <c r="M1038" i="16"/>
  <c r="N1038" i="16" s="1"/>
  <c r="M1037" i="16"/>
  <c r="N1037" i="16" s="1"/>
  <c r="M1036" i="16"/>
  <c r="N1036" i="16" s="1"/>
  <c r="M1035" i="16"/>
  <c r="N1035" i="16" s="1"/>
  <c r="M1034" i="16"/>
  <c r="N1034" i="16" s="1"/>
  <c r="M1033" i="16"/>
  <c r="N1033" i="16" s="1"/>
  <c r="M1032" i="16"/>
  <c r="N1032" i="16" s="1"/>
  <c r="M1031" i="16"/>
  <c r="N1031" i="16" s="1"/>
  <c r="M1030" i="16"/>
  <c r="N1030" i="16" s="1"/>
  <c r="M1029" i="16"/>
  <c r="N1029" i="16" s="1"/>
  <c r="M1028" i="16"/>
  <c r="N1028" i="16" s="1"/>
  <c r="M1027" i="16"/>
  <c r="N1027" i="16" s="1"/>
  <c r="M1026" i="16"/>
  <c r="N1026" i="16" s="1"/>
  <c r="M1025" i="16"/>
  <c r="N1025" i="16" s="1"/>
  <c r="M1024" i="16"/>
  <c r="N1024" i="16" s="1"/>
  <c r="M1023" i="16"/>
  <c r="N1023" i="16" s="1"/>
  <c r="M1022" i="16"/>
  <c r="N1022" i="16" s="1"/>
  <c r="M1021" i="16"/>
  <c r="N1021" i="16" s="1"/>
  <c r="M1020" i="16"/>
  <c r="N1020" i="16" s="1"/>
  <c r="M1019" i="16"/>
  <c r="N1019" i="16" s="1"/>
  <c r="M1018" i="16"/>
  <c r="N1018" i="16" s="1"/>
  <c r="M1017" i="16"/>
  <c r="N1017" i="16" s="1"/>
  <c r="M1016" i="16"/>
  <c r="N1016" i="16" s="1"/>
  <c r="M1015" i="16"/>
  <c r="N1015" i="16" s="1"/>
  <c r="M1014" i="16"/>
  <c r="N1014" i="16" s="1"/>
  <c r="M1013" i="16"/>
  <c r="N1013" i="16" s="1"/>
  <c r="M1012" i="16"/>
  <c r="N1012" i="16" s="1"/>
  <c r="M1011" i="16"/>
  <c r="N1011" i="16" s="1"/>
  <c r="M1010" i="16"/>
  <c r="N1010" i="16" s="1"/>
  <c r="M1009" i="16"/>
  <c r="N1009" i="16" s="1"/>
  <c r="M1008" i="16"/>
  <c r="N1008" i="16" s="1"/>
  <c r="M1007" i="16"/>
  <c r="N1007" i="16" s="1"/>
  <c r="M1006" i="16"/>
  <c r="N1006" i="16" s="1"/>
  <c r="M1005" i="16"/>
  <c r="N1005" i="16" s="1"/>
  <c r="M1004" i="16"/>
  <c r="N1004" i="16" s="1"/>
  <c r="M1003" i="16"/>
  <c r="N1003" i="16" s="1"/>
  <c r="M1002" i="16"/>
  <c r="N1002" i="16" s="1"/>
  <c r="M1001" i="16"/>
  <c r="N1001" i="16" s="1"/>
  <c r="M1000" i="16"/>
  <c r="N1000" i="16" s="1"/>
  <c r="M999" i="16"/>
  <c r="N999" i="16" s="1"/>
  <c r="M998" i="16"/>
  <c r="N998" i="16" s="1"/>
  <c r="M997" i="16"/>
  <c r="N997" i="16" s="1"/>
  <c r="M996" i="16"/>
  <c r="N996" i="16" s="1"/>
  <c r="M995" i="16"/>
  <c r="N995" i="16" s="1"/>
  <c r="M994" i="16"/>
  <c r="N994" i="16" s="1"/>
  <c r="M993" i="16"/>
  <c r="N993" i="16" s="1"/>
  <c r="M992" i="16"/>
  <c r="N992" i="16" s="1"/>
  <c r="M991" i="16"/>
  <c r="N991" i="16" s="1"/>
  <c r="M990" i="16"/>
  <c r="N990" i="16" s="1"/>
  <c r="M989" i="16"/>
  <c r="N989" i="16" s="1"/>
  <c r="M988" i="16"/>
  <c r="N988" i="16" s="1"/>
  <c r="M987" i="16"/>
  <c r="N987" i="16" s="1"/>
  <c r="M986" i="16"/>
  <c r="N986" i="16" s="1"/>
  <c r="M985" i="16"/>
  <c r="N985" i="16" s="1"/>
  <c r="M984" i="16"/>
  <c r="N984" i="16" s="1"/>
  <c r="M983" i="16"/>
  <c r="N983" i="16" s="1"/>
  <c r="M982" i="16"/>
  <c r="N982" i="16" s="1"/>
  <c r="M981" i="16"/>
  <c r="N981" i="16" s="1"/>
  <c r="M980" i="16"/>
  <c r="N980" i="16" s="1"/>
  <c r="M979" i="16"/>
  <c r="N979" i="16" s="1"/>
  <c r="M978" i="16"/>
  <c r="N978" i="16" s="1"/>
  <c r="M977" i="16"/>
  <c r="N977" i="16" s="1"/>
  <c r="M976" i="16"/>
  <c r="N976" i="16" s="1"/>
  <c r="M975" i="16"/>
  <c r="N975" i="16" s="1"/>
  <c r="M974" i="16"/>
  <c r="N974" i="16" s="1"/>
  <c r="M973" i="16"/>
  <c r="N973" i="16" s="1"/>
  <c r="M972" i="16"/>
  <c r="N972" i="16" s="1"/>
  <c r="M971" i="16"/>
  <c r="N971" i="16" s="1"/>
  <c r="M970" i="16"/>
  <c r="N970" i="16" s="1"/>
  <c r="M969" i="16"/>
  <c r="N969" i="16" s="1"/>
  <c r="M968" i="16"/>
  <c r="N968" i="16" s="1"/>
  <c r="M967" i="16"/>
  <c r="N967" i="16" s="1"/>
  <c r="M966" i="16"/>
  <c r="N966" i="16" s="1"/>
  <c r="M965" i="16"/>
  <c r="N965" i="16" s="1"/>
  <c r="M964" i="16"/>
  <c r="N964" i="16" s="1"/>
  <c r="M963" i="16"/>
  <c r="N963" i="16" s="1"/>
  <c r="M962" i="16"/>
  <c r="N962" i="16" s="1"/>
  <c r="M961" i="16"/>
  <c r="N961" i="16" s="1"/>
  <c r="M960" i="16"/>
  <c r="N960" i="16" s="1"/>
  <c r="M959" i="16"/>
  <c r="N959" i="16" s="1"/>
  <c r="M958" i="16"/>
  <c r="N958" i="16" s="1"/>
  <c r="M957" i="16"/>
  <c r="N957" i="16" s="1"/>
  <c r="M956" i="16"/>
  <c r="N956" i="16" s="1"/>
  <c r="M955" i="16"/>
  <c r="N955" i="16" s="1"/>
  <c r="M954" i="16"/>
  <c r="N954" i="16" s="1"/>
  <c r="M953" i="16"/>
  <c r="N953" i="16" s="1"/>
  <c r="M952" i="16"/>
  <c r="N952" i="16" s="1"/>
  <c r="M951" i="16"/>
  <c r="N951" i="16" s="1"/>
  <c r="M950" i="16"/>
  <c r="N950" i="16" s="1"/>
  <c r="M949" i="16"/>
  <c r="N949" i="16" s="1"/>
  <c r="M948" i="16"/>
  <c r="N948" i="16" s="1"/>
  <c r="M947" i="16"/>
  <c r="N947" i="16" s="1"/>
  <c r="M946" i="16"/>
  <c r="N946" i="16" s="1"/>
  <c r="M945" i="16"/>
  <c r="N945" i="16" s="1"/>
  <c r="M944" i="16"/>
  <c r="N944" i="16" s="1"/>
  <c r="M943" i="16"/>
  <c r="N943" i="16" s="1"/>
  <c r="M942" i="16"/>
  <c r="N942" i="16" s="1"/>
  <c r="M941" i="16"/>
  <c r="N941" i="16" s="1"/>
  <c r="M940" i="16"/>
  <c r="N940" i="16" s="1"/>
  <c r="M939" i="16"/>
  <c r="N939" i="16" s="1"/>
  <c r="M938" i="16"/>
  <c r="N938" i="16" s="1"/>
  <c r="M937" i="16"/>
  <c r="N937" i="16" s="1"/>
  <c r="M936" i="16"/>
  <c r="N936" i="16" s="1"/>
  <c r="M935" i="16"/>
  <c r="N935" i="16" s="1"/>
  <c r="M934" i="16"/>
  <c r="N934" i="16" s="1"/>
  <c r="M933" i="16"/>
  <c r="N933" i="16" s="1"/>
  <c r="M932" i="16"/>
  <c r="N932" i="16" s="1"/>
  <c r="M931" i="16"/>
  <c r="N931" i="16" s="1"/>
  <c r="M930" i="16"/>
  <c r="N930" i="16" s="1"/>
  <c r="M929" i="16"/>
  <c r="N929" i="16" s="1"/>
  <c r="M928" i="16"/>
  <c r="N928" i="16" s="1"/>
  <c r="M927" i="16"/>
  <c r="N927" i="16" s="1"/>
  <c r="M926" i="16"/>
  <c r="N926" i="16" s="1"/>
  <c r="M925" i="16"/>
  <c r="N925" i="16" s="1"/>
  <c r="M924" i="16"/>
  <c r="N924" i="16" s="1"/>
  <c r="M923" i="16"/>
  <c r="N923" i="16" s="1"/>
  <c r="M922" i="16"/>
  <c r="N922" i="16" s="1"/>
  <c r="M921" i="16"/>
  <c r="N921" i="16" s="1"/>
  <c r="M920" i="16"/>
  <c r="N920" i="16" s="1"/>
  <c r="M919" i="16"/>
  <c r="N919" i="16" s="1"/>
  <c r="M918" i="16"/>
  <c r="N918" i="16" s="1"/>
  <c r="M917" i="16"/>
  <c r="N917" i="16" s="1"/>
  <c r="M916" i="16"/>
  <c r="N916" i="16" s="1"/>
  <c r="M915" i="16"/>
  <c r="N915" i="16" s="1"/>
  <c r="M914" i="16"/>
  <c r="N914" i="16" s="1"/>
  <c r="M913" i="16"/>
  <c r="N913" i="16" s="1"/>
  <c r="M912" i="16"/>
  <c r="N912" i="16" s="1"/>
  <c r="M911" i="16"/>
  <c r="N911" i="16" s="1"/>
  <c r="M910" i="16"/>
  <c r="N910" i="16" s="1"/>
  <c r="M909" i="16"/>
  <c r="N909" i="16" s="1"/>
  <c r="M908" i="16"/>
  <c r="N908" i="16" s="1"/>
  <c r="M907" i="16"/>
  <c r="N907" i="16" s="1"/>
  <c r="M906" i="16"/>
  <c r="N906" i="16" s="1"/>
  <c r="M905" i="16"/>
  <c r="N905" i="16" s="1"/>
  <c r="M904" i="16"/>
  <c r="N904" i="16" s="1"/>
  <c r="M903" i="16"/>
  <c r="N903" i="16" s="1"/>
  <c r="M902" i="16"/>
  <c r="N902" i="16" s="1"/>
  <c r="M901" i="16"/>
  <c r="N901" i="16" s="1"/>
  <c r="M900" i="16"/>
  <c r="N900" i="16" s="1"/>
  <c r="M899" i="16"/>
  <c r="N899" i="16" s="1"/>
  <c r="M898" i="16"/>
  <c r="N898" i="16" s="1"/>
  <c r="M897" i="16"/>
  <c r="N897" i="16" s="1"/>
  <c r="M896" i="16"/>
  <c r="N896" i="16" s="1"/>
  <c r="M895" i="16"/>
  <c r="N895" i="16" s="1"/>
  <c r="M894" i="16"/>
  <c r="N894" i="16" s="1"/>
  <c r="M893" i="16"/>
  <c r="N893" i="16" s="1"/>
  <c r="M892" i="16"/>
  <c r="N892" i="16" s="1"/>
  <c r="M891" i="16"/>
  <c r="N891" i="16" s="1"/>
  <c r="M890" i="16"/>
  <c r="N890" i="16" s="1"/>
  <c r="M889" i="16"/>
  <c r="N889" i="16" s="1"/>
  <c r="M888" i="16"/>
  <c r="N888" i="16" s="1"/>
  <c r="M887" i="16"/>
  <c r="N887" i="16" s="1"/>
  <c r="M886" i="16"/>
  <c r="N886" i="16" s="1"/>
  <c r="M885" i="16"/>
  <c r="N885" i="16" s="1"/>
  <c r="M884" i="16"/>
  <c r="N884" i="16" s="1"/>
  <c r="M883" i="16"/>
  <c r="N883" i="16" s="1"/>
  <c r="M882" i="16"/>
  <c r="N882" i="16" s="1"/>
  <c r="M881" i="16"/>
  <c r="N881" i="16" s="1"/>
  <c r="M880" i="16"/>
  <c r="N880" i="16" s="1"/>
  <c r="M879" i="16"/>
  <c r="N879" i="16" s="1"/>
  <c r="M878" i="16"/>
  <c r="N878" i="16" s="1"/>
  <c r="M877" i="16"/>
  <c r="N877" i="16" s="1"/>
  <c r="M876" i="16"/>
  <c r="N876" i="16" s="1"/>
  <c r="M875" i="16"/>
  <c r="N875" i="16" s="1"/>
  <c r="M874" i="16"/>
  <c r="N874" i="16" s="1"/>
  <c r="M873" i="16"/>
  <c r="N873" i="16" s="1"/>
  <c r="M872" i="16"/>
  <c r="N872" i="16" s="1"/>
  <c r="M871" i="16"/>
  <c r="N871" i="16" s="1"/>
  <c r="M870" i="16"/>
  <c r="N870" i="16" s="1"/>
  <c r="M869" i="16"/>
  <c r="N869" i="16" s="1"/>
  <c r="M868" i="16"/>
  <c r="N868" i="16" s="1"/>
  <c r="M867" i="16"/>
  <c r="N867" i="16" s="1"/>
  <c r="M866" i="16"/>
  <c r="N866" i="16" s="1"/>
  <c r="M865" i="16"/>
  <c r="N865" i="16" s="1"/>
  <c r="M864" i="16"/>
  <c r="N864" i="16" s="1"/>
  <c r="M863" i="16"/>
  <c r="N863" i="16" s="1"/>
  <c r="M862" i="16"/>
  <c r="N862" i="16" s="1"/>
  <c r="M861" i="16"/>
  <c r="N861" i="16" s="1"/>
  <c r="M860" i="16"/>
  <c r="N860" i="16" s="1"/>
  <c r="M859" i="16"/>
  <c r="N859" i="16" s="1"/>
  <c r="M858" i="16"/>
  <c r="N858" i="16" s="1"/>
  <c r="M857" i="16"/>
  <c r="N857" i="16" s="1"/>
  <c r="M856" i="16"/>
  <c r="N856" i="16" s="1"/>
  <c r="M855" i="16"/>
  <c r="N855" i="16" s="1"/>
  <c r="M854" i="16"/>
  <c r="N854" i="16" s="1"/>
  <c r="M853" i="16"/>
  <c r="N853" i="16" s="1"/>
  <c r="M852" i="16"/>
  <c r="N852" i="16" s="1"/>
  <c r="M851" i="16"/>
  <c r="N851" i="16" s="1"/>
  <c r="M850" i="16"/>
  <c r="N850" i="16" s="1"/>
  <c r="M849" i="16"/>
  <c r="N849" i="16" s="1"/>
  <c r="M848" i="16"/>
  <c r="N848" i="16" s="1"/>
  <c r="M847" i="16"/>
  <c r="N847" i="16" s="1"/>
  <c r="M846" i="16"/>
  <c r="N846" i="16" s="1"/>
  <c r="M845" i="16"/>
  <c r="N845" i="16" s="1"/>
  <c r="M844" i="16"/>
  <c r="N844" i="16" s="1"/>
  <c r="M843" i="16"/>
  <c r="N843" i="16" s="1"/>
  <c r="M842" i="16"/>
  <c r="N842" i="16" s="1"/>
  <c r="M841" i="16"/>
  <c r="N841" i="16" s="1"/>
  <c r="M840" i="16"/>
  <c r="N840" i="16" s="1"/>
  <c r="M839" i="16"/>
  <c r="N839" i="16" s="1"/>
  <c r="M838" i="16"/>
  <c r="N838" i="16" s="1"/>
  <c r="M837" i="16"/>
  <c r="N837" i="16" s="1"/>
  <c r="M836" i="16"/>
  <c r="N836" i="16" s="1"/>
  <c r="M835" i="16"/>
  <c r="N835" i="16" s="1"/>
  <c r="M834" i="16"/>
  <c r="N834" i="16" s="1"/>
  <c r="M833" i="16"/>
  <c r="N833" i="16" s="1"/>
  <c r="M832" i="16"/>
  <c r="N832" i="16" s="1"/>
  <c r="M831" i="16"/>
  <c r="N831" i="16" s="1"/>
  <c r="M830" i="16"/>
  <c r="N830" i="16" s="1"/>
  <c r="M829" i="16"/>
  <c r="N829" i="16" s="1"/>
  <c r="M828" i="16"/>
  <c r="N828" i="16" s="1"/>
  <c r="M827" i="16"/>
  <c r="N827" i="16" s="1"/>
  <c r="M826" i="16"/>
  <c r="N826" i="16" s="1"/>
  <c r="M825" i="16"/>
  <c r="N825" i="16" s="1"/>
  <c r="M824" i="16"/>
  <c r="N824" i="16" s="1"/>
  <c r="M823" i="16"/>
  <c r="N823" i="16" s="1"/>
  <c r="M822" i="16"/>
  <c r="N822" i="16" s="1"/>
  <c r="M821" i="16"/>
  <c r="N821" i="16" s="1"/>
  <c r="M820" i="16"/>
  <c r="N820" i="16" s="1"/>
  <c r="M819" i="16"/>
  <c r="N819" i="16" s="1"/>
  <c r="M818" i="16"/>
  <c r="N818" i="16" s="1"/>
  <c r="M817" i="16"/>
  <c r="N817" i="16" s="1"/>
  <c r="M816" i="16"/>
  <c r="N816" i="16" s="1"/>
  <c r="M815" i="16"/>
  <c r="N815" i="16" s="1"/>
  <c r="M814" i="16"/>
  <c r="N814" i="16" s="1"/>
  <c r="M813" i="16"/>
  <c r="N813" i="16" s="1"/>
  <c r="M812" i="16"/>
  <c r="N812" i="16" s="1"/>
  <c r="M811" i="16"/>
  <c r="N811" i="16" s="1"/>
  <c r="M810" i="16"/>
  <c r="N810" i="16" s="1"/>
  <c r="M809" i="16"/>
  <c r="N809" i="16" s="1"/>
  <c r="M808" i="16"/>
  <c r="N808" i="16" s="1"/>
  <c r="M807" i="16"/>
  <c r="N807" i="16" s="1"/>
  <c r="M806" i="16"/>
  <c r="N806" i="16" s="1"/>
  <c r="M805" i="16"/>
  <c r="N805" i="16" s="1"/>
  <c r="M804" i="16"/>
  <c r="N804" i="16" s="1"/>
  <c r="M803" i="16"/>
  <c r="N803" i="16" s="1"/>
  <c r="M802" i="16"/>
  <c r="N802" i="16" s="1"/>
  <c r="M801" i="16"/>
  <c r="N801" i="16" s="1"/>
  <c r="M800" i="16"/>
  <c r="N800" i="16" s="1"/>
  <c r="M799" i="16"/>
  <c r="N799" i="16" s="1"/>
  <c r="M798" i="16"/>
  <c r="N798" i="16" s="1"/>
  <c r="M797" i="16"/>
  <c r="N797" i="16" s="1"/>
  <c r="M796" i="16"/>
  <c r="N796" i="16" s="1"/>
  <c r="M795" i="16"/>
  <c r="N795" i="16" s="1"/>
  <c r="M794" i="16"/>
  <c r="N794" i="16" s="1"/>
  <c r="M793" i="16"/>
  <c r="N793" i="16" s="1"/>
  <c r="M792" i="16"/>
  <c r="N792" i="16" s="1"/>
  <c r="M791" i="16"/>
  <c r="N791" i="16" s="1"/>
  <c r="M790" i="16"/>
  <c r="N790" i="16" s="1"/>
  <c r="M789" i="16"/>
  <c r="N789" i="16" s="1"/>
  <c r="M788" i="16"/>
  <c r="N788" i="16" s="1"/>
  <c r="M787" i="16"/>
  <c r="N787" i="16" s="1"/>
  <c r="M786" i="16"/>
  <c r="N786" i="16" s="1"/>
  <c r="M785" i="16"/>
  <c r="N785" i="16" s="1"/>
  <c r="M784" i="16"/>
  <c r="N784" i="16" s="1"/>
  <c r="M783" i="16"/>
  <c r="N783" i="16" s="1"/>
  <c r="M782" i="16"/>
  <c r="N782" i="16" s="1"/>
  <c r="M781" i="16"/>
  <c r="N781" i="16" s="1"/>
  <c r="M780" i="16"/>
  <c r="N780" i="16" s="1"/>
  <c r="M779" i="16"/>
  <c r="N779" i="16" s="1"/>
  <c r="M778" i="16"/>
  <c r="N778" i="16" s="1"/>
  <c r="M777" i="16"/>
  <c r="N777" i="16" s="1"/>
  <c r="M776" i="16"/>
  <c r="N776" i="16" s="1"/>
  <c r="M775" i="16"/>
  <c r="N775" i="16" s="1"/>
  <c r="M774" i="16"/>
  <c r="N774" i="16" s="1"/>
  <c r="M773" i="16"/>
  <c r="N773" i="16" s="1"/>
  <c r="M772" i="16"/>
  <c r="N772" i="16" s="1"/>
  <c r="M771" i="16"/>
  <c r="N771" i="16" s="1"/>
  <c r="M770" i="16"/>
  <c r="N770" i="16" s="1"/>
  <c r="M769" i="16"/>
  <c r="N769" i="16" s="1"/>
  <c r="M768" i="16"/>
  <c r="N768" i="16" s="1"/>
  <c r="M767" i="16"/>
  <c r="N767" i="16" s="1"/>
  <c r="M766" i="16"/>
  <c r="N766" i="16" s="1"/>
  <c r="M765" i="16"/>
  <c r="N765" i="16" s="1"/>
  <c r="M764" i="16"/>
  <c r="N764" i="16" s="1"/>
  <c r="M763" i="16"/>
  <c r="N763" i="16" s="1"/>
  <c r="M762" i="16"/>
  <c r="N762" i="16" s="1"/>
  <c r="M761" i="16"/>
  <c r="N761" i="16" s="1"/>
  <c r="M760" i="16"/>
  <c r="N760" i="16" s="1"/>
  <c r="M759" i="16"/>
  <c r="N759" i="16" s="1"/>
  <c r="M758" i="16"/>
  <c r="N758" i="16" s="1"/>
  <c r="M757" i="16"/>
  <c r="N757" i="16" s="1"/>
  <c r="M756" i="16"/>
  <c r="N756" i="16" s="1"/>
  <c r="M755" i="16"/>
  <c r="N755" i="16" s="1"/>
  <c r="M754" i="16"/>
  <c r="N754" i="16" s="1"/>
  <c r="M753" i="16"/>
  <c r="N753" i="16" s="1"/>
  <c r="M752" i="16"/>
  <c r="N752" i="16" s="1"/>
  <c r="M751" i="16"/>
  <c r="N751" i="16" s="1"/>
  <c r="M750" i="16"/>
  <c r="N750" i="16" s="1"/>
  <c r="M749" i="16"/>
  <c r="N749" i="16" s="1"/>
  <c r="M748" i="16"/>
  <c r="N748" i="16" s="1"/>
  <c r="M747" i="16"/>
  <c r="N747" i="16" s="1"/>
  <c r="M746" i="16"/>
  <c r="N746" i="16" s="1"/>
  <c r="M745" i="16"/>
  <c r="N745" i="16" s="1"/>
  <c r="M744" i="16"/>
  <c r="N744" i="16" s="1"/>
  <c r="M743" i="16"/>
  <c r="N743" i="16" s="1"/>
  <c r="M742" i="16"/>
  <c r="N742" i="16" s="1"/>
  <c r="M741" i="16"/>
  <c r="N741" i="16" s="1"/>
  <c r="M740" i="16"/>
  <c r="N740" i="16" s="1"/>
  <c r="M739" i="16"/>
  <c r="N739" i="16" s="1"/>
  <c r="M738" i="16"/>
  <c r="N738" i="16" s="1"/>
  <c r="M737" i="16"/>
  <c r="N737" i="16" s="1"/>
  <c r="M736" i="16"/>
  <c r="N736" i="16" s="1"/>
  <c r="M735" i="16"/>
  <c r="N735" i="16" s="1"/>
  <c r="M734" i="16"/>
  <c r="N734" i="16" s="1"/>
  <c r="M733" i="16"/>
  <c r="N733" i="16" s="1"/>
  <c r="M732" i="16"/>
  <c r="N732" i="16" s="1"/>
  <c r="M731" i="16"/>
  <c r="N731" i="16" s="1"/>
  <c r="M730" i="16"/>
  <c r="N730" i="16" s="1"/>
  <c r="M729" i="16"/>
  <c r="N729" i="16" s="1"/>
  <c r="M728" i="16"/>
  <c r="N728" i="16" s="1"/>
  <c r="M727" i="16"/>
  <c r="N727" i="16" s="1"/>
  <c r="M726" i="16"/>
  <c r="N726" i="16" s="1"/>
  <c r="M725" i="16"/>
  <c r="N725" i="16" s="1"/>
  <c r="M724" i="16"/>
  <c r="N724" i="16" s="1"/>
  <c r="M723" i="16"/>
  <c r="N723" i="16" s="1"/>
  <c r="M722" i="16"/>
  <c r="N722" i="16" s="1"/>
  <c r="M721" i="16"/>
  <c r="N721" i="16" s="1"/>
  <c r="M720" i="16"/>
  <c r="N720" i="16" s="1"/>
  <c r="M719" i="16"/>
  <c r="N719" i="16" s="1"/>
  <c r="M718" i="16"/>
  <c r="N718" i="16" s="1"/>
  <c r="M717" i="16"/>
  <c r="N717" i="16" s="1"/>
  <c r="M716" i="16"/>
  <c r="N716" i="16" s="1"/>
  <c r="M715" i="16"/>
  <c r="N715" i="16" s="1"/>
  <c r="M714" i="16"/>
  <c r="N714" i="16" s="1"/>
  <c r="M713" i="16"/>
  <c r="N713" i="16" s="1"/>
  <c r="M712" i="16"/>
  <c r="N712" i="16" s="1"/>
  <c r="M711" i="16"/>
  <c r="N711" i="16" s="1"/>
  <c r="M710" i="16"/>
  <c r="N710" i="16" s="1"/>
  <c r="M709" i="16"/>
  <c r="N709" i="16" s="1"/>
  <c r="M708" i="16"/>
  <c r="N708" i="16" s="1"/>
  <c r="M707" i="16"/>
  <c r="N707" i="16" s="1"/>
  <c r="M706" i="16"/>
  <c r="N706" i="16" s="1"/>
  <c r="M705" i="16"/>
  <c r="N705" i="16" s="1"/>
  <c r="M704" i="16"/>
  <c r="N704" i="16" s="1"/>
  <c r="M703" i="16"/>
  <c r="N703" i="16" s="1"/>
  <c r="M702" i="16"/>
  <c r="N702" i="16" s="1"/>
  <c r="M701" i="16"/>
  <c r="N701" i="16" s="1"/>
  <c r="M700" i="16"/>
  <c r="N700" i="16" s="1"/>
  <c r="M699" i="16"/>
  <c r="N699" i="16" s="1"/>
  <c r="M698" i="16"/>
  <c r="N698" i="16" s="1"/>
  <c r="M697" i="16"/>
  <c r="N697" i="16" s="1"/>
  <c r="M696" i="16"/>
  <c r="N696" i="16" s="1"/>
  <c r="M695" i="16"/>
  <c r="N695" i="16" s="1"/>
  <c r="M694" i="16"/>
  <c r="N694" i="16" s="1"/>
  <c r="M693" i="16"/>
  <c r="N693" i="16" s="1"/>
  <c r="M692" i="16"/>
  <c r="N692" i="16" s="1"/>
  <c r="M691" i="16"/>
  <c r="N691" i="16" s="1"/>
  <c r="M690" i="16"/>
  <c r="N690" i="16" s="1"/>
  <c r="M689" i="16"/>
  <c r="N689" i="16" s="1"/>
  <c r="M688" i="16"/>
  <c r="N688" i="16" s="1"/>
  <c r="M687" i="16"/>
  <c r="N687" i="16" s="1"/>
  <c r="M686" i="16"/>
  <c r="N686" i="16" s="1"/>
  <c r="M685" i="16"/>
  <c r="N685" i="16" s="1"/>
  <c r="M684" i="16"/>
  <c r="N684" i="16" s="1"/>
  <c r="M683" i="16"/>
  <c r="N683" i="16" s="1"/>
  <c r="M682" i="16"/>
  <c r="N682" i="16" s="1"/>
  <c r="M681" i="16"/>
  <c r="N681" i="16" s="1"/>
  <c r="M680" i="16"/>
  <c r="N680" i="16" s="1"/>
  <c r="M679" i="16"/>
  <c r="N679" i="16" s="1"/>
  <c r="M678" i="16"/>
  <c r="N678" i="16" s="1"/>
  <c r="M677" i="16"/>
  <c r="N677" i="16" s="1"/>
  <c r="M676" i="16"/>
  <c r="N676" i="16" s="1"/>
  <c r="M675" i="16"/>
  <c r="N675" i="16" s="1"/>
  <c r="M674" i="16"/>
  <c r="N674" i="16" s="1"/>
  <c r="M673" i="16"/>
  <c r="N673" i="16" s="1"/>
  <c r="M672" i="16"/>
  <c r="N672" i="16" s="1"/>
  <c r="M671" i="16"/>
  <c r="N671" i="16" s="1"/>
  <c r="M670" i="16"/>
  <c r="N670" i="16" s="1"/>
  <c r="M669" i="16"/>
  <c r="N669" i="16" s="1"/>
  <c r="M668" i="16"/>
  <c r="N668" i="16" s="1"/>
  <c r="M667" i="16"/>
  <c r="N667" i="16" s="1"/>
  <c r="M666" i="16"/>
  <c r="N666" i="16" s="1"/>
  <c r="M665" i="16"/>
  <c r="N665" i="16" s="1"/>
  <c r="M664" i="16"/>
  <c r="N664" i="16" s="1"/>
  <c r="M663" i="16"/>
  <c r="N663" i="16" s="1"/>
  <c r="M662" i="16"/>
  <c r="N662" i="16" s="1"/>
  <c r="M661" i="16"/>
  <c r="N661" i="16" s="1"/>
  <c r="M660" i="16"/>
  <c r="N660" i="16" s="1"/>
  <c r="M659" i="16"/>
  <c r="N659" i="16" s="1"/>
  <c r="M658" i="16"/>
  <c r="N658" i="16" s="1"/>
  <c r="M657" i="16"/>
  <c r="N657" i="16" s="1"/>
  <c r="M656" i="16"/>
  <c r="N656" i="16" s="1"/>
  <c r="M655" i="16"/>
  <c r="N655" i="16" s="1"/>
  <c r="M654" i="16"/>
  <c r="N654" i="16" s="1"/>
  <c r="M653" i="16"/>
  <c r="N653" i="16" s="1"/>
  <c r="M652" i="16"/>
  <c r="N652" i="16" s="1"/>
  <c r="M651" i="16"/>
  <c r="N651" i="16" s="1"/>
  <c r="M650" i="16"/>
  <c r="N650" i="16" s="1"/>
  <c r="M649" i="16"/>
  <c r="N649" i="16" s="1"/>
  <c r="M648" i="16"/>
  <c r="N648" i="16" s="1"/>
  <c r="M647" i="16"/>
  <c r="N647" i="16" s="1"/>
  <c r="M646" i="16"/>
  <c r="N646" i="16" s="1"/>
  <c r="M645" i="16"/>
  <c r="N645" i="16" s="1"/>
  <c r="M644" i="16"/>
  <c r="N644" i="16" s="1"/>
  <c r="M643" i="16"/>
  <c r="N643" i="16" s="1"/>
  <c r="M642" i="16"/>
  <c r="N642" i="16" s="1"/>
  <c r="M641" i="16"/>
  <c r="N641" i="16" s="1"/>
  <c r="M640" i="16"/>
  <c r="N640" i="16" s="1"/>
  <c r="M639" i="16"/>
  <c r="N639" i="16" s="1"/>
  <c r="M638" i="16"/>
  <c r="N638" i="16" s="1"/>
  <c r="M637" i="16"/>
  <c r="N637" i="16" s="1"/>
  <c r="M636" i="16"/>
  <c r="N636" i="16" s="1"/>
  <c r="M635" i="16"/>
  <c r="N635" i="16" s="1"/>
  <c r="M634" i="16"/>
  <c r="N634" i="16" s="1"/>
  <c r="M633" i="16"/>
  <c r="N633" i="16" s="1"/>
  <c r="M632" i="16"/>
  <c r="N632" i="16" s="1"/>
  <c r="M631" i="16"/>
  <c r="N631" i="16" s="1"/>
  <c r="M630" i="16"/>
  <c r="N630" i="16" s="1"/>
  <c r="M629" i="16"/>
  <c r="N629" i="16" s="1"/>
  <c r="M628" i="16"/>
  <c r="N628" i="16" s="1"/>
  <c r="M627" i="16"/>
  <c r="N627" i="16" s="1"/>
  <c r="M626" i="16"/>
  <c r="N626" i="16" s="1"/>
  <c r="M625" i="16"/>
  <c r="N625" i="16" s="1"/>
  <c r="M624" i="16"/>
  <c r="N624" i="16" s="1"/>
  <c r="M623" i="16"/>
  <c r="N623" i="16" s="1"/>
  <c r="M622" i="16"/>
  <c r="N622" i="16" s="1"/>
  <c r="M621" i="16"/>
  <c r="N621" i="16" s="1"/>
  <c r="M620" i="16"/>
  <c r="N620" i="16" s="1"/>
  <c r="M619" i="16"/>
  <c r="N619" i="16" s="1"/>
  <c r="M618" i="16"/>
  <c r="N618" i="16" s="1"/>
  <c r="M617" i="16"/>
  <c r="N617" i="16" s="1"/>
  <c r="M616" i="16"/>
  <c r="N616" i="16" s="1"/>
  <c r="M615" i="16"/>
  <c r="N615" i="16" s="1"/>
  <c r="M614" i="16"/>
  <c r="N614" i="16" s="1"/>
  <c r="M613" i="16"/>
  <c r="N613" i="16" s="1"/>
  <c r="M612" i="16"/>
  <c r="N612" i="16" s="1"/>
  <c r="M611" i="16"/>
  <c r="N611" i="16" s="1"/>
  <c r="M610" i="16"/>
  <c r="N610" i="16" s="1"/>
  <c r="M609" i="16"/>
  <c r="N609" i="16" s="1"/>
  <c r="M608" i="16"/>
  <c r="N608" i="16" s="1"/>
  <c r="M607" i="16"/>
  <c r="N607" i="16" s="1"/>
  <c r="M606" i="16"/>
  <c r="N606" i="16" s="1"/>
  <c r="M605" i="16"/>
  <c r="N605" i="16" s="1"/>
  <c r="M604" i="16"/>
  <c r="N604" i="16" s="1"/>
  <c r="M603" i="16"/>
  <c r="N603" i="16" s="1"/>
  <c r="M602" i="16"/>
  <c r="N602" i="16" s="1"/>
  <c r="M601" i="16"/>
  <c r="N601" i="16" s="1"/>
  <c r="M600" i="16"/>
  <c r="N600" i="16" s="1"/>
  <c r="M599" i="16"/>
  <c r="N599" i="16" s="1"/>
  <c r="M598" i="16"/>
  <c r="N598" i="16" s="1"/>
  <c r="M597" i="16"/>
  <c r="N597" i="16" s="1"/>
  <c r="M596" i="16"/>
  <c r="N596" i="16" s="1"/>
  <c r="M595" i="16"/>
  <c r="N595" i="16" s="1"/>
  <c r="M594" i="16"/>
  <c r="N594" i="16" s="1"/>
  <c r="M593" i="16"/>
  <c r="N593" i="16" s="1"/>
  <c r="M592" i="16"/>
  <c r="N592" i="16" s="1"/>
  <c r="M591" i="16"/>
  <c r="N591" i="16" s="1"/>
  <c r="M590" i="16"/>
  <c r="N590" i="16" s="1"/>
  <c r="M589" i="16"/>
  <c r="N589" i="16" s="1"/>
  <c r="M588" i="16"/>
  <c r="N588" i="16" s="1"/>
  <c r="M587" i="16"/>
  <c r="N587" i="16" s="1"/>
  <c r="M586" i="16"/>
  <c r="N586" i="16" s="1"/>
  <c r="M585" i="16"/>
  <c r="N585" i="16" s="1"/>
  <c r="M584" i="16"/>
  <c r="N584" i="16" s="1"/>
  <c r="M583" i="16"/>
  <c r="N583" i="16" s="1"/>
  <c r="M582" i="16"/>
  <c r="N582" i="16" s="1"/>
  <c r="M581" i="16"/>
  <c r="N581" i="16" s="1"/>
  <c r="M580" i="16"/>
  <c r="N580" i="16" s="1"/>
  <c r="M579" i="16"/>
  <c r="N579" i="16" s="1"/>
  <c r="M578" i="16"/>
  <c r="N578" i="16" s="1"/>
  <c r="M577" i="16"/>
  <c r="N577" i="16" s="1"/>
  <c r="M576" i="16"/>
  <c r="N576" i="16" s="1"/>
  <c r="M575" i="16"/>
  <c r="N575" i="16" s="1"/>
  <c r="M574" i="16"/>
  <c r="N574" i="16" s="1"/>
  <c r="M573" i="16"/>
  <c r="N573" i="16" s="1"/>
  <c r="M572" i="16"/>
  <c r="N572" i="16" s="1"/>
  <c r="M571" i="16"/>
  <c r="N571" i="16" s="1"/>
  <c r="M570" i="16"/>
  <c r="N570" i="16" s="1"/>
  <c r="M569" i="16"/>
  <c r="N569" i="16" s="1"/>
  <c r="M568" i="16"/>
  <c r="N568" i="16" s="1"/>
  <c r="M567" i="16"/>
  <c r="N567" i="16" s="1"/>
  <c r="M566" i="16"/>
  <c r="N566" i="16" s="1"/>
  <c r="M565" i="16"/>
  <c r="N565" i="16" s="1"/>
  <c r="M564" i="16"/>
  <c r="N564" i="16" s="1"/>
  <c r="M563" i="16"/>
  <c r="N563" i="16" s="1"/>
  <c r="M562" i="16"/>
  <c r="N562" i="16" s="1"/>
  <c r="M561" i="16"/>
  <c r="N561" i="16" s="1"/>
  <c r="M560" i="16"/>
  <c r="N560" i="16" s="1"/>
  <c r="M559" i="16"/>
  <c r="N559" i="16" s="1"/>
  <c r="M558" i="16"/>
  <c r="N558" i="16" s="1"/>
  <c r="M557" i="16"/>
  <c r="N557" i="16" s="1"/>
  <c r="M556" i="16"/>
  <c r="N556" i="16" s="1"/>
  <c r="M555" i="16"/>
  <c r="N555" i="16" s="1"/>
  <c r="M554" i="16"/>
  <c r="N554" i="16" s="1"/>
  <c r="M553" i="16"/>
  <c r="N553" i="16" s="1"/>
  <c r="M552" i="16"/>
  <c r="N552" i="16" s="1"/>
  <c r="M551" i="16"/>
  <c r="N551" i="16" s="1"/>
  <c r="M550" i="16"/>
  <c r="N550" i="16" s="1"/>
  <c r="M549" i="16"/>
  <c r="N549" i="16" s="1"/>
  <c r="M548" i="16"/>
  <c r="N548" i="16" s="1"/>
  <c r="M547" i="16"/>
  <c r="N547" i="16" s="1"/>
  <c r="M6" i="16"/>
  <c r="N6" i="16" s="1"/>
  <c r="M7" i="16"/>
  <c r="N7" i="16" s="1"/>
  <c r="M8" i="16"/>
  <c r="N8" i="16" s="1"/>
  <c r="M9" i="16"/>
  <c r="N9" i="16" s="1"/>
  <c r="M10" i="16"/>
  <c r="N10" i="16" s="1"/>
  <c r="M11" i="16"/>
  <c r="N11" i="16" s="1"/>
  <c r="M12" i="16"/>
  <c r="N12" i="16" s="1"/>
  <c r="M13" i="16"/>
  <c r="N13" i="16" s="1"/>
  <c r="M14" i="16"/>
  <c r="N14" i="16" s="1"/>
  <c r="M15" i="16"/>
  <c r="N15" i="16" s="1"/>
  <c r="M16" i="16"/>
  <c r="N16" i="16" s="1"/>
  <c r="M17" i="16"/>
  <c r="N17" i="16" s="1"/>
  <c r="M18" i="16"/>
  <c r="N18" i="16" s="1"/>
  <c r="M19" i="16"/>
  <c r="N19" i="16" s="1"/>
  <c r="M20" i="16"/>
  <c r="N20" i="16" s="1"/>
  <c r="M21" i="16"/>
  <c r="N21" i="16" s="1"/>
  <c r="M22" i="16"/>
  <c r="N22" i="16" s="1"/>
  <c r="M23" i="16"/>
  <c r="N23" i="16" s="1"/>
  <c r="M24" i="16"/>
  <c r="N24" i="16" s="1"/>
  <c r="M25" i="16"/>
  <c r="N25" i="16" s="1"/>
  <c r="M26" i="16"/>
  <c r="N26" i="16" s="1"/>
  <c r="M27" i="16"/>
  <c r="N27" i="16" s="1"/>
  <c r="M28" i="16"/>
  <c r="N28" i="16" s="1"/>
  <c r="M29" i="16"/>
  <c r="N29" i="16" s="1"/>
  <c r="M30" i="16"/>
  <c r="N30" i="16" s="1"/>
  <c r="M31" i="16"/>
  <c r="N31" i="16" s="1"/>
  <c r="M32" i="16"/>
  <c r="N32" i="16" s="1"/>
  <c r="M33" i="16"/>
  <c r="N33" i="16" s="1"/>
  <c r="M34" i="16"/>
  <c r="N34" i="16" s="1"/>
  <c r="M35" i="16"/>
  <c r="N35" i="16" s="1"/>
  <c r="M36" i="16"/>
  <c r="N36" i="16" s="1"/>
  <c r="M37" i="16"/>
  <c r="N37" i="16" s="1"/>
  <c r="M38" i="16"/>
  <c r="N38" i="16" s="1"/>
  <c r="M39" i="16"/>
  <c r="N39" i="16" s="1"/>
  <c r="M40" i="16"/>
  <c r="N40" i="16" s="1"/>
  <c r="M41" i="16"/>
  <c r="N41" i="16" s="1"/>
  <c r="M42" i="16"/>
  <c r="N42" i="16" s="1"/>
  <c r="M43" i="16"/>
  <c r="N43" i="16" s="1"/>
  <c r="M44" i="16"/>
  <c r="N44" i="16" s="1"/>
  <c r="M45" i="16"/>
  <c r="N45" i="16" s="1"/>
  <c r="M46" i="16"/>
  <c r="N46" i="16" s="1"/>
  <c r="M47" i="16"/>
  <c r="N47" i="16" s="1"/>
  <c r="M48" i="16"/>
  <c r="N48" i="16" s="1"/>
  <c r="M49" i="16"/>
  <c r="N49" i="16" s="1"/>
  <c r="M50" i="16"/>
  <c r="N50" i="16" s="1"/>
  <c r="M51" i="16"/>
  <c r="N51" i="16" s="1"/>
  <c r="M52" i="16"/>
  <c r="N52" i="16" s="1"/>
  <c r="M53" i="16"/>
  <c r="N53" i="16" s="1"/>
  <c r="M54" i="16"/>
  <c r="N54" i="16" s="1"/>
  <c r="M55" i="16"/>
  <c r="N55" i="16" s="1"/>
  <c r="M56" i="16"/>
  <c r="N56" i="16" s="1"/>
  <c r="M57" i="16"/>
  <c r="N57" i="16" s="1"/>
  <c r="M58" i="16"/>
  <c r="N58" i="16" s="1"/>
  <c r="M59" i="16"/>
  <c r="N59" i="16" s="1"/>
  <c r="M60" i="16"/>
  <c r="N60" i="16" s="1"/>
  <c r="M61" i="16"/>
  <c r="N61" i="16" s="1"/>
  <c r="M62" i="16"/>
  <c r="N62" i="16" s="1"/>
  <c r="M63" i="16"/>
  <c r="N63" i="16" s="1"/>
  <c r="M64" i="16"/>
  <c r="N64" i="16" s="1"/>
  <c r="M65" i="16"/>
  <c r="N65" i="16" s="1"/>
  <c r="M66" i="16"/>
  <c r="N66" i="16" s="1"/>
  <c r="M67" i="16"/>
  <c r="N67" i="16" s="1"/>
  <c r="M68" i="16"/>
  <c r="N68" i="16" s="1"/>
  <c r="M69" i="16"/>
  <c r="N69" i="16" s="1"/>
  <c r="M70" i="16"/>
  <c r="N70" i="16" s="1"/>
  <c r="M71" i="16"/>
  <c r="N71" i="16" s="1"/>
  <c r="M72" i="16"/>
  <c r="N72" i="16" s="1"/>
  <c r="M73" i="16"/>
  <c r="N73" i="16" s="1"/>
  <c r="M74" i="16"/>
  <c r="N74" i="16" s="1"/>
  <c r="M75" i="16"/>
  <c r="N75" i="16" s="1"/>
  <c r="M76" i="16"/>
  <c r="N76" i="16" s="1"/>
  <c r="M77" i="16"/>
  <c r="N77" i="16" s="1"/>
  <c r="M78" i="16"/>
  <c r="N78" i="16" s="1"/>
  <c r="M79" i="16"/>
  <c r="N79" i="16" s="1"/>
  <c r="M80" i="16"/>
  <c r="N80" i="16" s="1"/>
  <c r="M81" i="16"/>
  <c r="N81" i="16" s="1"/>
  <c r="M82" i="16"/>
  <c r="N82" i="16" s="1"/>
  <c r="M83" i="16"/>
  <c r="N83" i="16" s="1"/>
  <c r="M84" i="16"/>
  <c r="N84" i="16" s="1"/>
  <c r="M85" i="16"/>
  <c r="N85" i="16" s="1"/>
  <c r="M86" i="16"/>
  <c r="N86" i="16" s="1"/>
  <c r="M87" i="16"/>
  <c r="N87" i="16" s="1"/>
  <c r="M88" i="16"/>
  <c r="N88" i="16" s="1"/>
  <c r="M89" i="16"/>
  <c r="N89" i="16" s="1"/>
  <c r="M90" i="16"/>
  <c r="N90" i="16" s="1"/>
  <c r="M91" i="16"/>
  <c r="N91" i="16" s="1"/>
  <c r="M92" i="16"/>
  <c r="N92" i="16" s="1"/>
  <c r="M93" i="16"/>
  <c r="N93" i="16" s="1"/>
  <c r="M94" i="16"/>
  <c r="N94" i="16" s="1"/>
  <c r="M95" i="16"/>
  <c r="N95" i="16" s="1"/>
  <c r="M96" i="16"/>
  <c r="N96" i="16" s="1"/>
  <c r="M97" i="16"/>
  <c r="N97" i="16" s="1"/>
  <c r="M98" i="16"/>
  <c r="N98" i="16" s="1"/>
  <c r="M99" i="16"/>
  <c r="N99" i="16" s="1"/>
  <c r="M100" i="16"/>
  <c r="N100" i="16" s="1"/>
  <c r="M101" i="16"/>
  <c r="N101" i="16" s="1"/>
  <c r="M102" i="16"/>
  <c r="N102" i="16" s="1"/>
  <c r="M103" i="16"/>
  <c r="N103" i="16" s="1"/>
  <c r="M104" i="16"/>
  <c r="N104" i="16" s="1"/>
  <c r="M105" i="16"/>
  <c r="N105" i="16" s="1"/>
  <c r="M106" i="16"/>
  <c r="N106" i="16" s="1"/>
  <c r="M107" i="16"/>
  <c r="N107" i="16" s="1"/>
  <c r="M108" i="16"/>
  <c r="N108" i="16" s="1"/>
  <c r="M109" i="16"/>
  <c r="N109" i="16" s="1"/>
  <c r="M110" i="16"/>
  <c r="N110" i="16" s="1"/>
  <c r="M111" i="16"/>
  <c r="N111" i="16" s="1"/>
  <c r="M112" i="16"/>
  <c r="N112" i="16" s="1"/>
  <c r="M113" i="16"/>
  <c r="N113" i="16" s="1"/>
  <c r="M114" i="16"/>
  <c r="N114" i="16" s="1"/>
  <c r="M115" i="16"/>
  <c r="N115" i="16" s="1"/>
  <c r="M116" i="16"/>
  <c r="N116" i="16" s="1"/>
  <c r="M117" i="16"/>
  <c r="N117" i="16" s="1"/>
  <c r="M118" i="16"/>
  <c r="N118" i="16" s="1"/>
  <c r="M119" i="16"/>
  <c r="N119" i="16" s="1"/>
  <c r="M120" i="16"/>
  <c r="N120" i="16" s="1"/>
  <c r="M121" i="16"/>
  <c r="N121" i="16" s="1"/>
  <c r="M122" i="16"/>
  <c r="N122" i="16" s="1"/>
  <c r="M123" i="16"/>
  <c r="N123" i="16" s="1"/>
  <c r="M124" i="16"/>
  <c r="N124" i="16" s="1"/>
  <c r="M125" i="16"/>
  <c r="N125" i="16" s="1"/>
  <c r="M126" i="16"/>
  <c r="N126" i="16" s="1"/>
  <c r="M127" i="16"/>
  <c r="N127" i="16" s="1"/>
  <c r="M128" i="16"/>
  <c r="N128" i="16" s="1"/>
  <c r="M129" i="16"/>
  <c r="N129" i="16" s="1"/>
  <c r="M130" i="16"/>
  <c r="N130" i="16" s="1"/>
  <c r="M131" i="16"/>
  <c r="N131" i="16" s="1"/>
  <c r="M132" i="16"/>
  <c r="N132" i="16" s="1"/>
  <c r="M133" i="16"/>
  <c r="N133" i="16" s="1"/>
  <c r="M134" i="16"/>
  <c r="N134" i="16" s="1"/>
  <c r="M135" i="16"/>
  <c r="N135" i="16" s="1"/>
  <c r="M136" i="16"/>
  <c r="N136" i="16" s="1"/>
  <c r="M137" i="16"/>
  <c r="N137" i="16" s="1"/>
  <c r="M138" i="16"/>
  <c r="N138" i="16" s="1"/>
  <c r="M139" i="16"/>
  <c r="N139" i="16" s="1"/>
  <c r="M140" i="16"/>
  <c r="N140" i="16" s="1"/>
  <c r="M141" i="16"/>
  <c r="N141" i="16" s="1"/>
  <c r="M142" i="16"/>
  <c r="N142" i="16" s="1"/>
  <c r="M143" i="16"/>
  <c r="N143" i="16" s="1"/>
  <c r="M144" i="16"/>
  <c r="N144" i="16" s="1"/>
  <c r="M145" i="16"/>
  <c r="N145" i="16" s="1"/>
  <c r="M146" i="16"/>
  <c r="N146" i="16" s="1"/>
  <c r="M147" i="16"/>
  <c r="N147" i="16" s="1"/>
  <c r="M148" i="16"/>
  <c r="N148" i="16" s="1"/>
  <c r="M149" i="16"/>
  <c r="N149" i="16" s="1"/>
  <c r="M150" i="16"/>
  <c r="N150" i="16" s="1"/>
  <c r="M151" i="16"/>
  <c r="N151" i="16" s="1"/>
  <c r="M152" i="16"/>
  <c r="N152" i="16" s="1"/>
  <c r="M153" i="16"/>
  <c r="N153" i="16" s="1"/>
  <c r="M154" i="16"/>
  <c r="N154" i="16" s="1"/>
  <c r="M155" i="16"/>
  <c r="N155" i="16" s="1"/>
  <c r="M156" i="16"/>
  <c r="N156" i="16" s="1"/>
  <c r="M157" i="16"/>
  <c r="N157" i="16" s="1"/>
  <c r="M158" i="16"/>
  <c r="N158" i="16" s="1"/>
  <c r="M159" i="16"/>
  <c r="N159" i="16" s="1"/>
  <c r="M160" i="16"/>
  <c r="N160" i="16" s="1"/>
  <c r="M161" i="16"/>
  <c r="N161" i="16" s="1"/>
  <c r="M162" i="16"/>
  <c r="N162" i="16" s="1"/>
  <c r="M163" i="16"/>
  <c r="N163" i="16" s="1"/>
  <c r="M164" i="16"/>
  <c r="N164" i="16" s="1"/>
  <c r="M165" i="16"/>
  <c r="N165" i="16" s="1"/>
  <c r="M166" i="16"/>
  <c r="N166" i="16" s="1"/>
  <c r="M167" i="16"/>
  <c r="N167" i="16" s="1"/>
  <c r="M168" i="16"/>
  <c r="N168" i="16" s="1"/>
  <c r="M169" i="16"/>
  <c r="N169" i="16" s="1"/>
  <c r="M170" i="16"/>
  <c r="N170" i="16" s="1"/>
  <c r="M171" i="16"/>
  <c r="N171" i="16" s="1"/>
  <c r="M172" i="16"/>
  <c r="N172" i="16" s="1"/>
  <c r="M173" i="16"/>
  <c r="N173" i="16" s="1"/>
  <c r="M174" i="16"/>
  <c r="N174" i="16" s="1"/>
  <c r="M175" i="16"/>
  <c r="N175" i="16" s="1"/>
  <c r="M176" i="16"/>
  <c r="N176" i="16" s="1"/>
  <c r="M177" i="16"/>
  <c r="N177" i="16" s="1"/>
  <c r="M178" i="16"/>
  <c r="N178" i="16" s="1"/>
  <c r="M179" i="16"/>
  <c r="N179" i="16" s="1"/>
  <c r="M180" i="16"/>
  <c r="N180" i="16" s="1"/>
  <c r="M181" i="16"/>
  <c r="N181" i="16" s="1"/>
  <c r="M182" i="16"/>
  <c r="N182" i="16" s="1"/>
  <c r="M183" i="16"/>
  <c r="N183" i="16" s="1"/>
  <c r="M184" i="16"/>
  <c r="N184" i="16" s="1"/>
  <c r="M185" i="16"/>
  <c r="N185" i="16" s="1"/>
  <c r="M186" i="16"/>
  <c r="N186" i="16" s="1"/>
  <c r="M187" i="16"/>
  <c r="N187" i="16" s="1"/>
  <c r="M188" i="16"/>
  <c r="N188" i="16" s="1"/>
  <c r="M189" i="16"/>
  <c r="N189" i="16" s="1"/>
  <c r="M190" i="16"/>
  <c r="N190" i="16" s="1"/>
  <c r="M191" i="16"/>
  <c r="N191" i="16" s="1"/>
  <c r="M192" i="16"/>
  <c r="N192" i="16" s="1"/>
  <c r="M193" i="16"/>
  <c r="N193" i="16" s="1"/>
  <c r="M194" i="16"/>
  <c r="N194" i="16" s="1"/>
  <c r="M195" i="16"/>
  <c r="N195" i="16" s="1"/>
  <c r="M196" i="16"/>
  <c r="N196" i="16" s="1"/>
  <c r="M197" i="16"/>
  <c r="N197" i="16" s="1"/>
  <c r="M198" i="16"/>
  <c r="N198" i="16" s="1"/>
  <c r="M199" i="16"/>
  <c r="N199" i="16" s="1"/>
  <c r="M200" i="16"/>
  <c r="N200" i="16" s="1"/>
  <c r="M201" i="16"/>
  <c r="N201" i="16" s="1"/>
  <c r="M202" i="16"/>
  <c r="N202" i="16" s="1"/>
  <c r="M203" i="16"/>
  <c r="N203" i="16" s="1"/>
  <c r="M204" i="16"/>
  <c r="N204" i="16" s="1"/>
  <c r="M205" i="16"/>
  <c r="N205" i="16" s="1"/>
  <c r="M206" i="16"/>
  <c r="N206" i="16" s="1"/>
  <c r="M207" i="16"/>
  <c r="N207" i="16" s="1"/>
  <c r="M208" i="16"/>
  <c r="N208" i="16" s="1"/>
  <c r="M209" i="16"/>
  <c r="N209" i="16" s="1"/>
  <c r="M210" i="16"/>
  <c r="N210" i="16" s="1"/>
  <c r="M211" i="16"/>
  <c r="N211" i="16" s="1"/>
  <c r="M212" i="16"/>
  <c r="N212" i="16" s="1"/>
  <c r="M213" i="16"/>
  <c r="N213" i="16" s="1"/>
  <c r="M214" i="16"/>
  <c r="N214" i="16" s="1"/>
  <c r="M215" i="16"/>
  <c r="N215" i="16" s="1"/>
  <c r="M216" i="16"/>
  <c r="N216" i="16" s="1"/>
  <c r="M217" i="16"/>
  <c r="N217" i="16" s="1"/>
  <c r="M218" i="16"/>
  <c r="N218" i="16" s="1"/>
  <c r="M219" i="16"/>
  <c r="N219" i="16" s="1"/>
  <c r="M220" i="16"/>
  <c r="N220" i="16" s="1"/>
  <c r="M221" i="16"/>
  <c r="N221" i="16" s="1"/>
  <c r="M222" i="16"/>
  <c r="N222" i="16" s="1"/>
  <c r="M223" i="16"/>
  <c r="N223" i="16" s="1"/>
  <c r="M224" i="16"/>
  <c r="N224" i="16" s="1"/>
  <c r="M225" i="16"/>
  <c r="N225" i="16" s="1"/>
  <c r="M226" i="16"/>
  <c r="N226" i="16" s="1"/>
  <c r="M227" i="16"/>
  <c r="N227" i="16" s="1"/>
  <c r="M228" i="16"/>
  <c r="N228" i="16" s="1"/>
  <c r="M229" i="16"/>
  <c r="N229" i="16" s="1"/>
  <c r="M230" i="16"/>
  <c r="N230" i="16" s="1"/>
  <c r="M231" i="16"/>
  <c r="N231" i="16" s="1"/>
  <c r="M232" i="16"/>
  <c r="N232" i="16" s="1"/>
  <c r="M233" i="16"/>
  <c r="N233" i="16" s="1"/>
  <c r="M234" i="16"/>
  <c r="N234" i="16" s="1"/>
  <c r="M235" i="16"/>
  <c r="N235" i="16" s="1"/>
  <c r="M236" i="16"/>
  <c r="N236" i="16" s="1"/>
  <c r="M237" i="16"/>
  <c r="N237" i="16" s="1"/>
  <c r="M238" i="16"/>
  <c r="N238" i="16" s="1"/>
  <c r="M239" i="16"/>
  <c r="N239" i="16" s="1"/>
  <c r="M240" i="16"/>
  <c r="N240" i="16" s="1"/>
  <c r="M241" i="16"/>
  <c r="N241" i="16" s="1"/>
  <c r="M242" i="16"/>
  <c r="N242" i="16" s="1"/>
  <c r="M243" i="16"/>
  <c r="N243" i="16" s="1"/>
  <c r="M244" i="16"/>
  <c r="N244" i="16" s="1"/>
  <c r="M245" i="16"/>
  <c r="N245" i="16" s="1"/>
  <c r="M246" i="16"/>
  <c r="N246" i="16" s="1"/>
  <c r="M247" i="16"/>
  <c r="N247" i="16" s="1"/>
  <c r="M248" i="16"/>
  <c r="N248" i="16" s="1"/>
  <c r="M249" i="16"/>
  <c r="N249" i="16" s="1"/>
  <c r="M250" i="16"/>
  <c r="N250" i="16" s="1"/>
  <c r="M251" i="16"/>
  <c r="N251" i="16" s="1"/>
  <c r="M252" i="16"/>
  <c r="N252" i="16" s="1"/>
  <c r="M253" i="16"/>
  <c r="N253" i="16" s="1"/>
  <c r="M254" i="16"/>
  <c r="N254" i="16" s="1"/>
  <c r="M255" i="16"/>
  <c r="N255" i="16" s="1"/>
  <c r="M256" i="16"/>
  <c r="N256" i="16" s="1"/>
  <c r="M257" i="16"/>
  <c r="N257" i="16" s="1"/>
  <c r="M258" i="16"/>
  <c r="N258" i="16" s="1"/>
  <c r="M259" i="16"/>
  <c r="N259" i="16" s="1"/>
  <c r="M260" i="16"/>
  <c r="N260" i="16" s="1"/>
  <c r="M261" i="16"/>
  <c r="N261" i="16" s="1"/>
  <c r="M262" i="16"/>
  <c r="N262" i="16" s="1"/>
  <c r="M263" i="16"/>
  <c r="N263" i="16" s="1"/>
  <c r="M264" i="16"/>
  <c r="N264" i="16" s="1"/>
  <c r="M265" i="16"/>
  <c r="N265" i="16" s="1"/>
  <c r="M266" i="16"/>
  <c r="N266" i="16" s="1"/>
  <c r="M267" i="16"/>
  <c r="N267" i="16" s="1"/>
  <c r="M268" i="16"/>
  <c r="N268" i="16" s="1"/>
  <c r="M269" i="16"/>
  <c r="N269" i="16" s="1"/>
  <c r="M270" i="16"/>
  <c r="N270" i="16" s="1"/>
  <c r="M271" i="16"/>
  <c r="N271" i="16" s="1"/>
  <c r="M272" i="16"/>
  <c r="N272" i="16" s="1"/>
  <c r="M273" i="16"/>
  <c r="N273" i="16" s="1"/>
  <c r="M274" i="16"/>
  <c r="N274" i="16" s="1"/>
  <c r="M275" i="16"/>
  <c r="N275" i="16" s="1"/>
  <c r="M276" i="16"/>
  <c r="N276" i="16" s="1"/>
  <c r="M277" i="16"/>
  <c r="N277" i="16" s="1"/>
  <c r="M278" i="16"/>
  <c r="N278" i="16" s="1"/>
  <c r="M279" i="16"/>
  <c r="N279" i="16" s="1"/>
  <c r="M280" i="16"/>
  <c r="N280" i="16" s="1"/>
  <c r="M281" i="16"/>
  <c r="N281" i="16" s="1"/>
  <c r="M282" i="16"/>
  <c r="N282" i="16" s="1"/>
  <c r="M283" i="16"/>
  <c r="N283" i="16" s="1"/>
  <c r="M284" i="16"/>
  <c r="N284" i="16" s="1"/>
  <c r="M285" i="16"/>
  <c r="N285" i="16" s="1"/>
  <c r="M286" i="16"/>
  <c r="N286" i="16" s="1"/>
  <c r="M287" i="16"/>
  <c r="N287" i="16" s="1"/>
  <c r="M288" i="16"/>
  <c r="N288" i="16" s="1"/>
  <c r="M289" i="16"/>
  <c r="N289" i="16" s="1"/>
  <c r="M290" i="16"/>
  <c r="N290" i="16" s="1"/>
  <c r="M291" i="16"/>
  <c r="N291" i="16" s="1"/>
  <c r="M292" i="16"/>
  <c r="N292" i="16" s="1"/>
  <c r="M293" i="16"/>
  <c r="N293" i="16" s="1"/>
  <c r="M294" i="16"/>
  <c r="N294" i="16" s="1"/>
  <c r="M295" i="16"/>
  <c r="N295" i="16" s="1"/>
  <c r="M296" i="16"/>
  <c r="N296" i="16" s="1"/>
  <c r="M297" i="16"/>
  <c r="N297" i="16" s="1"/>
  <c r="M298" i="16"/>
  <c r="N298" i="16" s="1"/>
  <c r="M299" i="16"/>
  <c r="N299" i="16" s="1"/>
  <c r="M300" i="16"/>
  <c r="N300" i="16" s="1"/>
  <c r="M301" i="16"/>
  <c r="N301" i="16" s="1"/>
  <c r="M302" i="16"/>
  <c r="N302" i="16" s="1"/>
  <c r="M303" i="16"/>
  <c r="N303" i="16" s="1"/>
  <c r="M304" i="16"/>
  <c r="N304" i="16" s="1"/>
  <c r="M305" i="16"/>
  <c r="N305" i="16" s="1"/>
  <c r="M306" i="16"/>
  <c r="N306" i="16" s="1"/>
  <c r="M307" i="16"/>
  <c r="N307" i="16" s="1"/>
  <c r="M308" i="16"/>
  <c r="N308" i="16" s="1"/>
  <c r="M309" i="16"/>
  <c r="N309" i="16" s="1"/>
  <c r="M310" i="16"/>
  <c r="N310" i="16" s="1"/>
  <c r="M311" i="16"/>
  <c r="N311" i="16" s="1"/>
  <c r="M312" i="16"/>
  <c r="N312" i="16" s="1"/>
  <c r="M313" i="16"/>
  <c r="N313" i="16" s="1"/>
  <c r="M314" i="16"/>
  <c r="N314" i="16" s="1"/>
  <c r="M315" i="16"/>
  <c r="N315" i="16" s="1"/>
  <c r="M316" i="16"/>
  <c r="N316" i="16" s="1"/>
  <c r="M317" i="16"/>
  <c r="N317" i="16" s="1"/>
  <c r="M318" i="16"/>
  <c r="N318" i="16" s="1"/>
  <c r="M319" i="16"/>
  <c r="N319" i="16" s="1"/>
  <c r="M320" i="16"/>
  <c r="N320" i="16" s="1"/>
  <c r="M321" i="16"/>
  <c r="N321" i="16" s="1"/>
  <c r="M322" i="16"/>
  <c r="N322" i="16" s="1"/>
  <c r="M323" i="16"/>
  <c r="N323" i="16" s="1"/>
  <c r="M324" i="16"/>
  <c r="N324" i="16" s="1"/>
  <c r="M325" i="16"/>
  <c r="N325" i="16" s="1"/>
  <c r="M326" i="16"/>
  <c r="N326" i="16" s="1"/>
  <c r="M327" i="16"/>
  <c r="N327" i="16" s="1"/>
  <c r="M328" i="16"/>
  <c r="N328" i="16" s="1"/>
  <c r="M329" i="16"/>
  <c r="N329" i="16" s="1"/>
  <c r="M330" i="16"/>
  <c r="N330" i="16" s="1"/>
  <c r="M331" i="16"/>
  <c r="N331" i="16" s="1"/>
  <c r="M332" i="16"/>
  <c r="N332" i="16" s="1"/>
  <c r="M333" i="16"/>
  <c r="N333" i="16" s="1"/>
  <c r="M334" i="16"/>
  <c r="N334" i="16" s="1"/>
  <c r="M335" i="16"/>
  <c r="N335" i="16" s="1"/>
  <c r="M336" i="16"/>
  <c r="N336" i="16" s="1"/>
  <c r="M337" i="16"/>
  <c r="N337" i="16" s="1"/>
  <c r="M338" i="16"/>
  <c r="N338" i="16" s="1"/>
  <c r="M339" i="16"/>
  <c r="N339" i="16" s="1"/>
  <c r="M340" i="16"/>
  <c r="N340" i="16" s="1"/>
  <c r="M341" i="16"/>
  <c r="N341" i="16" s="1"/>
  <c r="M342" i="16"/>
  <c r="N342" i="16" s="1"/>
  <c r="M343" i="16"/>
  <c r="N343" i="16" s="1"/>
  <c r="M344" i="16"/>
  <c r="N344" i="16" s="1"/>
  <c r="M345" i="16"/>
  <c r="N345" i="16" s="1"/>
  <c r="M346" i="16"/>
  <c r="N346" i="16" s="1"/>
  <c r="M347" i="16"/>
  <c r="N347" i="16" s="1"/>
  <c r="M348" i="16"/>
  <c r="N348" i="16" s="1"/>
  <c r="M349" i="16"/>
  <c r="N349" i="16" s="1"/>
  <c r="M350" i="16"/>
  <c r="N350" i="16" s="1"/>
  <c r="M351" i="16"/>
  <c r="N351" i="16" s="1"/>
  <c r="M352" i="16"/>
  <c r="N352" i="16" s="1"/>
  <c r="M353" i="16"/>
  <c r="N353" i="16" s="1"/>
  <c r="M354" i="16"/>
  <c r="N354" i="16" s="1"/>
  <c r="M355" i="16"/>
  <c r="N355" i="16" s="1"/>
  <c r="M356" i="16"/>
  <c r="N356" i="16" s="1"/>
  <c r="M357" i="16"/>
  <c r="N357" i="16" s="1"/>
  <c r="M358" i="16"/>
  <c r="N358" i="16" s="1"/>
  <c r="M359" i="16"/>
  <c r="N359" i="16" s="1"/>
  <c r="M360" i="16"/>
  <c r="N360" i="16" s="1"/>
  <c r="M361" i="16"/>
  <c r="N361" i="16" s="1"/>
  <c r="M362" i="16"/>
  <c r="N362" i="16" s="1"/>
  <c r="M363" i="16"/>
  <c r="N363" i="16" s="1"/>
  <c r="M364" i="16"/>
  <c r="N364" i="16" s="1"/>
  <c r="M365" i="16"/>
  <c r="N365" i="16" s="1"/>
  <c r="M366" i="16"/>
  <c r="N366" i="16" s="1"/>
  <c r="M367" i="16"/>
  <c r="N367" i="16" s="1"/>
  <c r="M368" i="16"/>
  <c r="N368" i="16" s="1"/>
  <c r="M369" i="16"/>
  <c r="N369" i="16" s="1"/>
  <c r="M370" i="16"/>
  <c r="N370" i="16" s="1"/>
  <c r="M371" i="16"/>
  <c r="N371" i="16" s="1"/>
  <c r="M372" i="16"/>
  <c r="N372" i="16" s="1"/>
  <c r="M373" i="16"/>
  <c r="N373" i="16" s="1"/>
  <c r="M374" i="16"/>
  <c r="N374" i="16" s="1"/>
  <c r="M375" i="16"/>
  <c r="N375" i="16" s="1"/>
  <c r="M376" i="16"/>
  <c r="N376" i="16" s="1"/>
  <c r="M377" i="16"/>
  <c r="N377" i="16" s="1"/>
  <c r="M378" i="16"/>
  <c r="N378" i="16" s="1"/>
  <c r="M379" i="16"/>
  <c r="N379" i="16" s="1"/>
  <c r="M380" i="16"/>
  <c r="N380" i="16" s="1"/>
  <c r="M381" i="16"/>
  <c r="N381" i="16" s="1"/>
  <c r="M382" i="16"/>
  <c r="N382" i="16" s="1"/>
  <c r="M383" i="16"/>
  <c r="N383" i="16" s="1"/>
  <c r="M384" i="16"/>
  <c r="N384" i="16" s="1"/>
  <c r="M385" i="16"/>
  <c r="N385" i="16" s="1"/>
  <c r="M386" i="16"/>
  <c r="N386" i="16" s="1"/>
  <c r="M387" i="16"/>
  <c r="N387" i="16" s="1"/>
  <c r="M388" i="16"/>
  <c r="N388" i="16" s="1"/>
  <c r="M389" i="16"/>
  <c r="N389" i="16" s="1"/>
  <c r="M390" i="16"/>
  <c r="N390" i="16" s="1"/>
  <c r="M391" i="16"/>
  <c r="N391" i="16" s="1"/>
  <c r="M392" i="16"/>
  <c r="N392" i="16" s="1"/>
  <c r="M393" i="16"/>
  <c r="N393" i="16" s="1"/>
  <c r="M394" i="16"/>
  <c r="N394" i="16" s="1"/>
  <c r="M395" i="16"/>
  <c r="N395" i="16" s="1"/>
  <c r="M396" i="16"/>
  <c r="N396" i="16" s="1"/>
  <c r="M397" i="16"/>
  <c r="N397" i="16" s="1"/>
  <c r="M398" i="16"/>
  <c r="N398" i="16" s="1"/>
  <c r="M399" i="16"/>
  <c r="N399" i="16" s="1"/>
  <c r="M400" i="16"/>
  <c r="N400" i="16" s="1"/>
  <c r="M401" i="16"/>
  <c r="N401" i="16" s="1"/>
  <c r="M402" i="16"/>
  <c r="N402" i="16" s="1"/>
  <c r="M403" i="16"/>
  <c r="N403" i="16" s="1"/>
  <c r="M404" i="16"/>
  <c r="N404" i="16" s="1"/>
  <c r="M405" i="16"/>
  <c r="N405" i="16" s="1"/>
  <c r="M406" i="16"/>
  <c r="N406" i="16" s="1"/>
  <c r="M407" i="16"/>
  <c r="N407" i="16" s="1"/>
  <c r="M408" i="16"/>
  <c r="N408" i="16" s="1"/>
  <c r="M409" i="16"/>
  <c r="N409" i="16" s="1"/>
  <c r="M410" i="16"/>
  <c r="N410" i="16" s="1"/>
  <c r="M411" i="16"/>
  <c r="N411" i="16" s="1"/>
  <c r="M412" i="16"/>
  <c r="N412" i="16" s="1"/>
  <c r="M413" i="16"/>
  <c r="N413" i="16" s="1"/>
  <c r="M414" i="16"/>
  <c r="N414" i="16" s="1"/>
  <c r="M415" i="16"/>
  <c r="N415" i="16" s="1"/>
  <c r="M416" i="16"/>
  <c r="N416" i="16" s="1"/>
  <c r="M417" i="16"/>
  <c r="N417" i="16" s="1"/>
  <c r="M418" i="16"/>
  <c r="N418" i="16" s="1"/>
  <c r="M419" i="16"/>
  <c r="N419" i="16" s="1"/>
  <c r="M420" i="16"/>
  <c r="N420" i="16" s="1"/>
  <c r="M421" i="16"/>
  <c r="N421" i="16" s="1"/>
  <c r="M422" i="16"/>
  <c r="N422" i="16" s="1"/>
  <c r="M423" i="16"/>
  <c r="N423" i="16" s="1"/>
  <c r="M424" i="16"/>
  <c r="N424" i="16" s="1"/>
  <c r="M425" i="16"/>
  <c r="N425" i="16" s="1"/>
  <c r="M426" i="16"/>
  <c r="N426" i="16" s="1"/>
  <c r="M427" i="16"/>
  <c r="N427" i="16" s="1"/>
  <c r="M428" i="16"/>
  <c r="N428" i="16" s="1"/>
  <c r="M429" i="16"/>
  <c r="N429" i="16" s="1"/>
  <c r="M430" i="16"/>
  <c r="N430" i="16" s="1"/>
  <c r="M431" i="16"/>
  <c r="N431" i="16" s="1"/>
  <c r="M432" i="16"/>
  <c r="N432" i="16" s="1"/>
  <c r="M433" i="16"/>
  <c r="N433" i="16" s="1"/>
  <c r="M434" i="16"/>
  <c r="N434" i="16" s="1"/>
  <c r="M435" i="16"/>
  <c r="N435" i="16" s="1"/>
  <c r="M436" i="16"/>
  <c r="N436" i="16" s="1"/>
  <c r="M437" i="16"/>
  <c r="N437" i="16" s="1"/>
  <c r="M438" i="16"/>
  <c r="N438" i="16" s="1"/>
  <c r="M439" i="16"/>
  <c r="N439" i="16" s="1"/>
  <c r="M440" i="16"/>
  <c r="N440" i="16" s="1"/>
  <c r="M441" i="16"/>
  <c r="N441" i="16" s="1"/>
  <c r="M442" i="16"/>
  <c r="N442" i="16" s="1"/>
  <c r="M443" i="16"/>
  <c r="N443" i="16" s="1"/>
  <c r="M444" i="16"/>
  <c r="N444" i="16" s="1"/>
  <c r="M445" i="16"/>
  <c r="N445" i="16" s="1"/>
  <c r="M446" i="16"/>
  <c r="N446" i="16" s="1"/>
  <c r="M447" i="16"/>
  <c r="N447" i="16" s="1"/>
  <c r="M448" i="16"/>
  <c r="N448" i="16" s="1"/>
  <c r="M449" i="16"/>
  <c r="N449" i="16" s="1"/>
  <c r="M450" i="16"/>
  <c r="N450" i="16" s="1"/>
  <c r="M451" i="16"/>
  <c r="N451" i="16" s="1"/>
  <c r="M452" i="16"/>
  <c r="N452" i="16" s="1"/>
  <c r="M453" i="16"/>
  <c r="N453" i="16" s="1"/>
  <c r="M454" i="16"/>
  <c r="N454" i="16" s="1"/>
  <c r="M455" i="16"/>
  <c r="N455" i="16" s="1"/>
  <c r="M456" i="16"/>
  <c r="N456" i="16" s="1"/>
  <c r="M457" i="16"/>
  <c r="N457" i="16" s="1"/>
  <c r="M458" i="16"/>
  <c r="N458" i="16" s="1"/>
  <c r="M459" i="16"/>
  <c r="N459" i="16" s="1"/>
  <c r="M460" i="16"/>
  <c r="N460" i="16" s="1"/>
  <c r="M461" i="16"/>
  <c r="N461" i="16" s="1"/>
  <c r="M462" i="16"/>
  <c r="N462" i="16" s="1"/>
  <c r="M463" i="16"/>
  <c r="N463" i="16" s="1"/>
  <c r="M464" i="16"/>
  <c r="N464" i="16" s="1"/>
  <c r="M465" i="16"/>
  <c r="N465" i="16" s="1"/>
  <c r="M466" i="16"/>
  <c r="N466" i="16" s="1"/>
  <c r="M467" i="16"/>
  <c r="N467" i="16" s="1"/>
  <c r="M468" i="16"/>
  <c r="N468" i="16" s="1"/>
  <c r="M469" i="16"/>
  <c r="N469" i="16" s="1"/>
  <c r="M470" i="16"/>
  <c r="N470" i="16" s="1"/>
  <c r="M471" i="16"/>
  <c r="N471" i="16" s="1"/>
  <c r="M472" i="16"/>
  <c r="N472" i="16" s="1"/>
  <c r="M473" i="16"/>
  <c r="N473" i="16" s="1"/>
  <c r="M474" i="16"/>
  <c r="N474" i="16" s="1"/>
  <c r="M475" i="16"/>
  <c r="N475" i="16" s="1"/>
  <c r="M476" i="16"/>
  <c r="N476" i="16" s="1"/>
  <c r="M477" i="16"/>
  <c r="N477" i="16" s="1"/>
  <c r="M478" i="16"/>
  <c r="N478" i="16" s="1"/>
  <c r="M479" i="16"/>
  <c r="N479" i="16" s="1"/>
  <c r="M480" i="16"/>
  <c r="N480" i="16" s="1"/>
  <c r="M481" i="16"/>
  <c r="N481" i="16" s="1"/>
  <c r="M482" i="16"/>
  <c r="N482" i="16" s="1"/>
  <c r="M483" i="16"/>
  <c r="N483" i="16" s="1"/>
  <c r="M484" i="16"/>
  <c r="N484" i="16" s="1"/>
  <c r="M485" i="16"/>
  <c r="N485" i="16" s="1"/>
  <c r="M486" i="16"/>
  <c r="N486" i="16" s="1"/>
  <c r="M487" i="16"/>
  <c r="N487" i="16" s="1"/>
  <c r="M488" i="16"/>
  <c r="N488" i="16" s="1"/>
  <c r="M489" i="16"/>
  <c r="N489" i="16" s="1"/>
  <c r="M490" i="16"/>
  <c r="N490" i="16" s="1"/>
  <c r="M491" i="16"/>
  <c r="N491" i="16" s="1"/>
  <c r="M492" i="16"/>
  <c r="N492" i="16" s="1"/>
  <c r="M493" i="16"/>
  <c r="N493" i="16" s="1"/>
  <c r="M494" i="16"/>
  <c r="N494" i="16" s="1"/>
  <c r="M495" i="16"/>
  <c r="N495" i="16" s="1"/>
  <c r="M496" i="16"/>
  <c r="N496" i="16" s="1"/>
  <c r="M497" i="16"/>
  <c r="N497" i="16" s="1"/>
  <c r="M498" i="16"/>
  <c r="N498" i="16" s="1"/>
  <c r="M499" i="16"/>
  <c r="N499" i="16" s="1"/>
  <c r="M500" i="16"/>
  <c r="N500" i="16" s="1"/>
  <c r="M501" i="16"/>
  <c r="N501" i="16" s="1"/>
  <c r="M502" i="16"/>
  <c r="N502" i="16" s="1"/>
  <c r="M503" i="16"/>
  <c r="N503" i="16" s="1"/>
  <c r="M504" i="16"/>
  <c r="N504" i="16" s="1"/>
  <c r="M505" i="16"/>
  <c r="N505" i="16" s="1"/>
  <c r="M506" i="16"/>
  <c r="N506" i="16" s="1"/>
  <c r="M507" i="16"/>
  <c r="N507" i="16" s="1"/>
  <c r="M508" i="16"/>
  <c r="N508" i="16" s="1"/>
  <c r="M509" i="16"/>
  <c r="N509" i="16" s="1"/>
  <c r="M510" i="16"/>
  <c r="N510" i="16" s="1"/>
  <c r="M511" i="16"/>
  <c r="N511" i="16" s="1"/>
  <c r="M512" i="16"/>
  <c r="N512" i="16" s="1"/>
  <c r="M513" i="16"/>
  <c r="N513" i="16" s="1"/>
  <c r="M514" i="16"/>
  <c r="N514" i="16" s="1"/>
  <c r="M515" i="16"/>
  <c r="N515" i="16" s="1"/>
  <c r="M516" i="16"/>
  <c r="N516" i="16" s="1"/>
  <c r="M517" i="16"/>
  <c r="N517" i="16" s="1"/>
  <c r="M518" i="16"/>
  <c r="N518" i="16" s="1"/>
  <c r="M519" i="16"/>
  <c r="N519" i="16" s="1"/>
  <c r="M520" i="16"/>
  <c r="N520" i="16" s="1"/>
  <c r="M521" i="16"/>
  <c r="N521" i="16" s="1"/>
  <c r="M522" i="16"/>
  <c r="N522" i="16" s="1"/>
  <c r="M523" i="16"/>
  <c r="N523" i="16" s="1"/>
  <c r="M524" i="16"/>
  <c r="N524" i="16" s="1"/>
  <c r="M525" i="16"/>
  <c r="N525" i="16" s="1"/>
  <c r="M526" i="16"/>
  <c r="N526" i="16" s="1"/>
  <c r="M527" i="16"/>
  <c r="N527" i="16" s="1"/>
  <c r="M528" i="16"/>
  <c r="N528" i="16" s="1"/>
  <c r="M529" i="16"/>
  <c r="N529" i="16" s="1"/>
  <c r="M530" i="16"/>
  <c r="N530" i="16" s="1"/>
  <c r="M531" i="16"/>
  <c r="N531" i="16" s="1"/>
  <c r="M532" i="16"/>
  <c r="N532" i="16" s="1"/>
  <c r="M533" i="16"/>
  <c r="N533" i="16" s="1"/>
  <c r="M534" i="16"/>
  <c r="N534" i="16" s="1"/>
  <c r="M535" i="16"/>
  <c r="N535" i="16" s="1"/>
  <c r="M536" i="16"/>
  <c r="N536" i="16" s="1"/>
  <c r="M537" i="16"/>
  <c r="N537" i="16" s="1"/>
  <c r="M538" i="16"/>
  <c r="N538" i="16" s="1"/>
  <c r="M539" i="16"/>
  <c r="N539" i="16" s="1"/>
  <c r="M540" i="16"/>
  <c r="N540" i="16" s="1"/>
  <c r="M541" i="16"/>
  <c r="N541" i="16" s="1"/>
  <c r="M542" i="16"/>
  <c r="N542" i="16" s="1"/>
  <c r="M543" i="16"/>
  <c r="N543" i="16" s="1"/>
  <c r="M544" i="16"/>
  <c r="N544" i="16" s="1"/>
  <c r="M545" i="16"/>
  <c r="N545" i="16" s="1"/>
  <c r="M5" i="16"/>
  <c r="N5" i="16" s="1"/>
  <c r="AN3" i="16"/>
  <c r="AL2" i="16"/>
  <c r="H3" i="16"/>
  <c r="H2" i="16"/>
  <c r="G3" i="16"/>
  <c r="F3" i="16"/>
  <c r="E3" i="16"/>
  <c r="G2" i="16"/>
  <c r="F2" i="16"/>
  <c r="E2" i="16"/>
  <c r="AL1090" i="16"/>
  <c r="AM1090" i="16"/>
  <c r="AN1090" i="16"/>
  <c r="AL1091" i="16"/>
  <c r="AM1091" i="16"/>
  <c r="AN1091" i="16"/>
  <c r="AL1092" i="16"/>
  <c r="AM1092" i="16"/>
  <c r="AN1092" i="16"/>
  <c r="AL1093" i="16"/>
  <c r="AM1093" i="16"/>
  <c r="AN1093" i="16"/>
  <c r="AL1094" i="16"/>
  <c r="AM1094" i="16"/>
  <c r="AN1094" i="16"/>
  <c r="AL1095" i="16"/>
  <c r="AM1095" i="16"/>
  <c r="AN1095" i="16"/>
  <c r="AL1096" i="16"/>
  <c r="AM1096" i="16"/>
  <c r="AN1096" i="16"/>
  <c r="AL1097" i="16"/>
  <c r="AM1097" i="16"/>
  <c r="AN1097" i="16"/>
  <c r="AL1098" i="16"/>
  <c r="AM1098" i="16"/>
  <c r="AN1098" i="16"/>
  <c r="AL1099" i="16"/>
  <c r="AM1099" i="16"/>
  <c r="AN1099" i="16"/>
  <c r="AL1100" i="16"/>
  <c r="AM1100" i="16"/>
  <c r="AN1100" i="16"/>
  <c r="AL1101" i="16"/>
  <c r="AM1101" i="16"/>
  <c r="AN1101" i="16"/>
  <c r="AL1102" i="16"/>
  <c r="AM1102" i="16"/>
  <c r="AN1102" i="16"/>
  <c r="AL1103" i="16"/>
  <c r="AM1103" i="16"/>
  <c r="AN1103" i="16"/>
  <c r="AL1104" i="16"/>
  <c r="AM1104" i="16"/>
  <c r="AN1104" i="16"/>
  <c r="AL1105" i="16"/>
  <c r="AM1105" i="16"/>
  <c r="AN1105" i="16"/>
  <c r="AL1106" i="16"/>
  <c r="AM1106" i="16"/>
  <c r="AN1106" i="16"/>
  <c r="AL1107" i="16"/>
  <c r="AM1107" i="16"/>
  <c r="AN1107" i="16"/>
  <c r="AL1108" i="16"/>
  <c r="AM1108" i="16"/>
  <c r="AN1108" i="16"/>
  <c r="AL1109" i="16"/>
  <c r="AM1109" i="16"/>
  <c r="AN1109" i="16"/>
  <c r="AL1110" i="16"/>
  <c r="AM1110" i="16"/>
  <c r="AN1110" i="16"/>
  <c r="AL1111" i="16"/>
  <c r="AM1111" i="16"/>
  <c r="AN1111" i="16"/>
  <c r="AL1112" i="16"/>
  <c r="AM1112" i="16"/>
  <c r="AN1112" i="16"/>
  <c r="AL1113" i="16"/>
  <c r="AM1113" i="16"/>
  <c r="AN1113" i="16"/>
  <c r="AL1114" i="16"/>
  <c r="AM1114" i="16"/>
  <c r="AN1114" i="16"/>
  <c r="AL1115" i="16"/>
  <c r="AM1115" i="16"/>
  <c r="AN1115" i="16"/>
  <c r="AL1116" i="16"/>
  <c r="AM1116" i="16"/>
  <c r="AN1116" i="16"/>
  <c r="AL1117" i="16"/>
  <c r="AM1117" i="16"/>
  <c r="AN1117" i="16"/>
  <c r="AL1118" i="16"/>
  <c r="AM1118" i="16"/>
  <c r="AN1118" i="16"/>
  <c r="AL1119" i="16"/>
  <c r="AM1119" i="16"/>
  <c r="AN1119" i="16"/>
  <c r="AL1120" i="16"/>
  <c r="AM1120" i="16"/>
  <c r="AN1120" i="16"/>
  <c r="AL1121" i="16"/>
  <c r="AM1121" i="16"/>
  <c r="AN1121" i="16"/>
  <c r="AL1122" i="16"/>
  <c r="AM1122" i="16"/>
  <c r="AN1122" i="16"/>
  <c r="AL1123" i="16"/>
  <c r="AM1123" i="16"/>
  <c r="AN1123" i="16"/>
  <c r="AL1124" i="16"/>
  <c r="AM1124" i="16"/>
  <c r="AN1124" i="16"/>
  <c r="AL1125" i="16"/>
  <c r="AM1125" i="16"/>
  <c r="AN1125" i="16"/>
  <c r="AL1126" i="16"/>
  <c r="AM1126" i="16"/>
  <c r="AN1126" i="16"/>
  <c r="AL1127" i="16"/>
  <c r="AM1127" i="16"/>
  <c r="AN1127" i="16"/>
  <c r="AL1128" i="16"/>
  <c r="AM1128" i="16"/>
  <c r="AN1128" i="16"/>
  <c r="AL1129" i="16"/>
  <c r="AM1129" i="16"/>
  <c r="AN1129" i="16"/>
  <c r="AL1130" i="16"/>
  <c r="AM1130" i="16"/>
  <c r="AN1130" i="16"/>
  <c r="AL1131" i="16"/>
  <c r="AM1131" i="16"/>
  <c r="AN1131" i="16"/>
  <c r="AL1132" i="16"/>
  <c r="AM1132" i="16"/>
  <c r="AN1132" i="16"/>
  <c r="AL1133" i="16"/>
  <c r="AM1133" i="16"/>
  <c r="AN1133" i="16"/>
  <c r="AL1134" i="16"/>
  <c r="AM1134" i="16"/>
  <c r="AN1134" i="16"/>
  <c r="AL1135" i="16"/>
  <c r="AM1135" i="16"/>
  <c r="AN1135" i="16"/>
  <c r="AL1136" i="16"/>
  <c r="AM1136" i="16"/>
  <c r="AN1136" i="16"/>
  <c r="AL1137" i="16"/>
  <c r="AM1137" i="16"/>
  <c r="AN1137" i="16"/>
  <c r="AL1138" i="16"/>
  <c r="AM1138" i="16"/>
  <c r="AN1138" i="16"/>
  <c r="AL1139" i="16"/>
  <c r="AM1139" i="16"/>
  <c r="AN1139" i="16"/>
  <c r="AL1140" i="16"/>
  <c r="AM1140" i="16"/>
  <c r="AN1140" i="16"/>
  <c r="AL1141" i="16"/>
  <c r="AM1141" i="16"/>
  <c r="AN1141" i="16"/>
  <c r="AL1142" i="16"/>
  <c r="AM1142" i="16"/>
  <c r="AN1142" i="16"/>
  <c r="AL1143" i="16"/>
  <c r="AM1143" i="16"/>
  <c r="AN1143" i="16"/>
  <c r="AL1144" i="16"/>
  <c r="AM1144" i="16"/>
  <c r="AN1144" i="16"/>
  <c r="AL1145" i="16"/>
  <c r="AM1145" i="16"/>
  <c r="AN1145" i="16"/>
  <c r="AL1146" i="16"/>
  <c r="AM1146" i="16"/>
  <c r="AN1146" i="16"/>
  <c r="AL1147" i="16"/>
  <c r="AM1147" i="16"/>
  <c r="AN1147" i="16"/>
  <c r="AL1148" i="16"/>
  <c r="AM1148" i="16"/>
  <c r="AN1148" i="16"/>
  <c r="AL1149" i="16"/>
  <c r="AM1149" i="16"/>
  <c r="AN1149" i="16"/>
  <c r="AL1150" i="16"/>
  <c r="AM1150" i="16"/>
  <c r="AN1150" i="16"/>
  <c r="AL1151" i="16"/>
  <c r="AM1151" i="16"/>
  <c r="AN1151" i="16"/>
  <c r="AL1152" i="16"/>
  <c r="AM1152" i="16"/>
  <c r="AN1152" i="16"/>
  <c r="AL1153" i="16"/>
  <c r="AM1153" i="16"/>
  <c r="AN1153" i="16"/>
  <c r="AL1154" i="16"/>
  <c r="AM1154" i="16"/>
  <c r="AN1154" i="16"/>
  <c r="AL1155" i="16"/>
  <c r="AM1155" i="16"/>
  <c r="AN1155" i="16"/>
  <c r="AL1156" i="16"/>
  <c r="AM1156" i="16"/>
  <c r="AN1156" i="16"/>
  <c r="AL1157" i="16"/>
  <c r="AM1157" i="16"/>
  <c r="AN1157" i="16"/>
  <c r="AL1158" i="16"/>
  <c r="AM1158" i="16"/>
  <c r="AN1158" i="16"/>
  <c r="AL1159" i="16"/>
  <c r="AM1159" i="16"/>
  <c r="AN1159" i="16"/>
  <c r="AL1160" i="16"/>
  <c r="AM1160" i="16"/>
  <c r="AN1160" i="16"/>
  <c r="AL1161" i="16"/>
  <c r="AM1161" i="16"/>
  <c r="AN1161" i="16"/>
  <c r="AL1162" i="16"/>
  <c r="AM1162" i="16"/>
  <c r="AN1162" i="16"/>
  <c r="AL1163" i="16"/>
  <c r="AM1163" i="16"/>
  <c r="AN1163" i="16"/>
  <c r="AL1164" i="16"/>
  <c r="AM1164" i="16"/>
  <c r="AN1164" i="16"/>
  <c r="AL1165" i="16"/>
  <c r="AM1165" i="16"/>
  <c r="AN1165" i="16"/>
  <c r="AL1166" i="16"/>
  <c r="AM1166" i="16"/>
  <c r="AN1166" i="16"/>
  <c r="AL1167" i="16"/>
  <c r="AM1167" i="16"/>
  <c r="AN1167" i="16"/>
  <c r="AL1168" i="16"/>
  <c r="AM1168" i="16"/>
  <c r="AN1168" i="16"/>
  <c r="AL1169" i="16"/>
  <c r="AM1169" i="16"/>
  <c r="AN1169" i="16"/>
  <c r="AL1170" i="16"/>
  <c r="AM1170" i="16"/>
  <c r="AN1170" i="16"/>
  <c r="AL1171" i="16"/>
  <c r="AM1171" i="16"/>
  <c r="AN1171" i="16"/>
  <c r="AL1172" i="16"/>
  <c r="AM1172" i="16"/>
  <c r="AN1172" i="16"/>
  <c r="AL1173" i="16"/>
  <c r="AM1173" i="16"/>
  <c r="AN1173" i="16"/>
  <c r="AL1174" i="16"/>
  <c r="AM1174" i="16"/>
  <c r="AN1174" i="16"/>
  <c r="AL1175" i="16"/>
  <c r="AM1175" i="16"/>
  <c r="AN1175" i="16"/>
  <c r="AL1176" i="16"/>
  <c r="AM1176" i="16"/>
  <c r="AN1176" i="16"/>
  <c r="AL1177" i="16"/>
  <c r="AM1177" i="16"/>
  <c r="AN1177" i="16"/>
  <c r="AL1178" i="16"/>
  <c r="AM1178" i="16"/>
  <c r="AN1178" i="16"/>
  <c r="AL1179" i="16"/>
  <c r="AM1179" i="16"/>
  <c r="AN1179" i="16"/>
  <c r="AL1180" i="16"/>
  <c r="AM1180" i="16"/>
  <c r="AN1180" i="16"/>
  <c r="AL1181" i="16"/>
  <c r="AM1181" i="16"/>
  <c r="AN1181" i="16"/>
  <c r="AL1182" i="16"/>
  <c r="AM1182" i="16"/>
  <c r="AN1182" i="16"/>
  <c r="AL1183" i="16"/>
  <c r="AM1183" i="16"/>
  <c r="AN1183" i="16"/>
  <c r="AL1184" i="16"/>
  <c r="AM1184" i="16"/>
  <c r="AN1184" i="16"/>
  <c r="AL1185" i="16"/>
  <c r="AM1185" i="16"/>
  <c r="AN1185" i="16"/>
  <c r="AL1186" i="16"/>
  <c r="AM1186" i="16"/>
  <c r="AN1186" i="16"/>
  <c r="AL1187" i="16"/>
  <c r="AM1187" i="16"/>
  <c r="AN1187" i="16"/>
  <c r="AL1188" i="16"/>
  <c r="AM1188" i="16"/>
  <c r="AN1188" i="16"/>
  <c r="AL1189" i="16"/>
  <c r="AM1189" i="16"/>
  <c r="AN1189" i="16"/>
  <c r="AL1190" i="16"/>
  <c r="AM1190" i="16"/>
  <c r="AN1190" i="16"/>
  <c r="AL1191" i="16"/>
  <c r="AM1191" i="16"/>
  <c r="AN1191" i="16"/>
  <c r="AL1192" i="16"/>
  <c r="AM1192" i="16"/>
  <c r="AN1192" i="16"/>
  <c r="AL1193" i="16"/>
  <c r="AM1193" i="16"/>
  <c r="AN1193" i="16"/>
  <c r="AL1194" i="16"/>
  <c r="AM1194" i="16"/>
  <c r="AN1194" i="16"/>
  <c r="AL1195" i="16"/>
  <c r="AM1195" i="16"/>
  <c r="AN1195" i="16"/>
  <c r="AL1196" i="16"/>
  <c r="AM1196" i="16"/>
  <c r="AN1196" i="16"/>
  <c r="AL1197" i="16"/>
  <c r="AM1197" i="16"/>
  <c r="AN1197" i="16"/>
  <c r="AL1198" i="16"/>
  <c r="AM1198" i="16"/>
  <c r="AN1198" i="16"/>
  <c r="AL1199" i="16"/>
  <c r="AM1199" i="16"/>
  <c r="AN1199" i="16"/>
  <c r="AL1200" i="16"/>
  <c r="AM1200" i="16"/>
  <c r="AN1200" i="16"/>
  <c r="AL1201" i="16"/>
  <c r="AM1201" i="16"/>
  <c r="AN1201" i="16"/>
  <c r="AL1202" i="16"/>
  <c r="AM1202" i="16"/>
  <c r="AN1202" i="16"/>
  <c r="AL1203" i="16"/>
  <c r="AM1203" i="16"/>
  <c r="AN1203" i="16"/>
  <c r="AL1204" i="16"/>
  <c r="AM1204" i="16"/>
  <c r="AN1204" i="16"/>
  <c r="AL1205" i="16"/>
  <c r="AM1205" i="16"/>
  <c r="AN1205" i="16"/>
  <c r="AL1206" i="16"/>
  <c r="AM1206" i="16"/>
  <c r="AN1206" i="16"/>
  <c r="AL1207" i="16"/>
  <c r="AM1207" i="16"/>
  <c r="AN1207" i="16"/>
  <c r="AL1208" i="16"/>
  <c r="AM1208" i="16"/>
  <c r="AN1208" i="16"/>
  <c r="AL1209" i="16"/>
  <c r="AM1209" i="16"/>
  <c r="AN1209" i="16"/>
  <c r="AL1210" i="16"/>
  <c r="AM1210" i="16"/>
  <c r="AN1210" i="16"/>
  <c r="AL1211" i="16"/>
  <c r="AM1211" i="16"/>
  <c r="AN1211" i="16"/>
  <c r="AL1212" i="16"/>
  <c r="AM1212" i="16"/>
  <c r="AN1212" i="16"/>
  <c r="AL1213" i="16"/>
  <c r="AM1213" i="16"/>
  <c r="AN1213" i="16"/>
  <c r="AL1214" i="16"/>
  <c r="AM1214" i="16"/>
  <c r="AN1214" i="16"/>
  <c r="AL1215" i="16"/>
  <c r="AM1215" i="16"/>
  <c r="AN1215" i="16"/>
  <c r="AL1216" i="16"/>
  <c r="AM1216" i="16"/>
  <c r="AN1216" i="16"/>
  <c r="AL1217" i="16"/>
  <c r="AM1217" i="16"/>
  <c r="AN1217" i="16"/>
  <c r="AL1218" i="16"/>
  <c r="AM1218" i="16"/>
  <c r="AN1218" i="16"/>
  <c r="AL1219" i="16"/>
  <c r="AM1219" i="16"/>
  <c r="AN1219" i="16"/>
  <c r="AL1220" i="16"/>
  <c r="AM1220" i="16"/>
  <c r="AN1220" i="16"/>
  <c r="AL1221" i="16"/>
  <c r="AM1221" i="16"/>
  <c r="AN1221" i="16"/>
  <c r="AL1222" i="16"/>
  <c r="AM1222" i="16"/>
  <c r="AN1222" i="16"/>
  <c r="AL1223" i="16"/>
  <c r="AM1223" i="16"/>
  <c r="AN1223" i="16"/>
  <c r="AL1224" i="16"/>
  <c r="AM1224" i="16"/>
  <c r="AN1224" i="16"/>
  <c r="AL1225" i="16"/>
  <c r="AM1225" i="16"/>
  <c r="AN1225" i="16"/>
  <c r="AL1226" i="16"/>
  <c r="AM1226" i="16"/>
  <c r="AN1226" i="16"/>
  <c r="AL1227" i="16"/>
  <c r="AM1227" i="16"/>
  <c r="AN1227" i="16"/>
  <c r="AL1228" i="16"/>
  <c r="AM1228" i="16"/>
  <c r="AN1228" i="16"/>
  <c r="AL1229" i="16"/>
  <c r="AM1229" i="16"/>
  <c r="AN1229" i="16"/>
  <c r="AL1230" i="16"/>
  <c r="AM1230" i="16"/>
  <c r="AN1230" i="16"/>
  <c r="AL1231" i="16"/>
  <c r="AM1231" i="16"/>
  <c r="AN1231" i="16"/>
  <c r="AL1232" i="16"/>
  <c r="AM1232" i="16"/>
  <c r="AN1232" i="16"/>
  <c r="AL1233" i="16"/>
  <c r="AM1233" i="16"/>
  <c r="AN1233" i="16"/>
  <c r="AL1234" i="16"/>
  <c r="AM1234" i="16"/>
  <c r="AN1234" i="16"/>
  <c r="AL1235" i="16"/>
  <c r="AM1235" i="16"/>
  <c r="AN1235" i="16"/>
  <c r="AL1236" i="16"/>
  <c r="AM1236" i="16"/>
  <c r="AN1236" i="16"/>
  <c r="AL1237" i="16"/>
  <c r="AM1237" i="16"/>
  <c r="AN1237" i="16"/>
  <c r="AL1238" i="16"/>
  <c r="AM1238" i="16"/>
  <c r="AN1238" i="16"/>
  <c r="AL1239" i="16"/>
  <c r="AM1239" i="16"/>
  <c r="AN1239" i="16"/>
  <c r="AL1240" i="16"/>
  <c r="AM1240" i="16"/>
  <c r="AN1240" i="16"/>
  <c r="AL1241" i="16"/>
  <c r="AM1241" i="16"/>
  <c r="AN1241" i="16"/>
  <c r="AL1242" i="16"/>
  <c r="AM1242" i="16"/>
  <c r="AN1242" i="16"/>
  <c r="AL1243" i="16"/>
  <c r="AM1243" i="16"/>
  <c r="AN1243" i="16"/>
  <c r="AL1244" i="16"/>
  <c r="AM1244" i="16"/>
  <c r="AN1244" i="16"/>
  <c r="AL1245" i="16"/>
  <c r="AM1245" i="16"/>
  <c r="AN1245" i="16"/>
  <c r="AL1246" i="16"/>
  <c r="AM1246" i="16"/>
  <c r="AN1246" i="16"/>
  <c r="AL1247" i="16"/>
  <c r="AM1247" i="16"/>
  <c r="AN1247" i="16"/>
  <c r="AL1248" i="16"/>
  <c r="AM1248" i="16"/>
  <c r="AN1248" i="16"/>
  <c r="AL1249" i="16"/>
  <c r="AM1249" i="16"/>
  <c r="AN1249" i="16"/>
  <c r="AL1250" i="16"/>
  <c r="AM1250" i="16"/>
  <c r="AN1250" i="16"/>
  <c r="AL1251" i="16"/>
  <c r="AM1251" i="16"/>
  <c r="AN1251" i="16"/>
  <c r="AL1252" i="16"/>
  <c r="AM1252" i="16"/>
  <c r="AN1252" i="16"/>
  <c r="AL1253" i="16"/>
  <c r="AM1253" i="16"/>
  <c r="AN1253" i="16"/>
  <c r="AL1254" i="16"/>
  <c r="AM1254" i="16"/>
  <c r="AN1254" i="16"/>
  <c r="AL1255" i="16"/>
  <c r="AM1255" i="16"/>
  <c r="AN1255" i="16"/>
  <c r="AL1256" i="16"/>
  <c r="AM1256" i="16"/>
  <c r="AN1256" i="16"/>
  <c r="AL1257" i="16"/>
  <c r="AM1257" i="16"/>
  <c r="AN1257" i="16"/>
  <c r="AL1258" i="16"/>
  <c r="AM1258" i="16"/>
  <c r="AN1258" i="16"/>
  <c r="AL1259" i="16"/>
  <c r="AM1259" i="16"/>
  <c r="AN1259" i="16"/>
  <c r="AL1260" i="16"/>
  <c r="AM1260" i="16"/>
  <c r="AN1260" i="16"/>
  <c r="AL1261" i="16"/>
  <c r="AM1261" i="16"/>
  <c r="AN1261" i="16"/>
  <c r="AL1262" i="16"/>
  <c r="AM1262" i="16"/>
  <c r="AN1262" i="16"/>
  <c r="AL1263" i="16"/>
  <c r="AM1263" i="16"/>
  <c r="AN1263" i="16"/>
  <c r="AL1264" i="16"/>
  <c r="AM1264" i="16"/>
  <c r="AN1264" i="16"/>
  <c r="AL1265" i="16"/>
  <c r="AM1265" i="16"/>
  <c r="AN1265" i="16"/>
  <c r="AL1266" i="16"/>
  <c r="AM1266" i="16"/>
  <c r="AN1266" i="16"/>
  <c r="AL1267" i="16"/>
  <c r="AM1267" i="16"/>
  <c r="AN1267" i="16"/>
  <c r="AL1268" i="16"/>
  <c r="AM1268" i="16"/>
  <c r="AN1268" i="16"/>
  <c r="AL1269" i="16"/>
  <c r="AM1269" i="16"/>
  <c r="AN1269" i="16"/>
  <c r="AL1270" i="16"/>
  <c r="AM1270" i="16"/>
  <c r="AN1270" i="16"/>
  <c r="AL1271" i="16"/>
  <c r="AM1271" i="16"/>
  <c r="AN1271" i="16"/>
  <c r="AL1272" i="16"/>
  <c r="AM1272" i="16"/>
  <c r="AN1272" i="16"/>
  <c r="AL1273" i="16"/>
  <c r="AM1273" i="16"/>
  <c r="AN1273" i="16"/>
  <c r="AL1274" i="16"/>
  <c r="AM1274" i="16"/>
  <c r="AN1274" i="16"/>
  <c r="AL1275" i="16"/>
  <c r="AM1275" i="16"/>
  <c r="AN1275" i="16"/>
  <c r="AL1276" i="16"/>
  <c r="AM1276" i="16"/>
  <c r="AN1276" i="16"/>
  <c r="AL1277" i="16"/>
  <c r="AM1277" i="16"/>
  <c r="AN1277" i="16"/>
  <c r="AL1278" i="16"/>
  <c r="AM1278" i="16"/>
  <c r="AN1278" i="16"/>
  <c r="AL1279" i="16"/>
  <c r="AM1279" i="16"/>
  <c r="AN1279" i="16"/>
  <c r="AL1280" i="16"/>
  <c r="AM1280" i="16"/>
  <c r="AN1280" i="16"/>
  <c r="AL1281" i="16"/>
  <c r="AM1281" i="16"/>
  <c r="AN1281" i="16"/>
  <c r="AL1282" i="16"/>
  <c r="AM1282" i="16"/>
  <c r="AN1282" i="16"/>
  <c r="AL1283" i="16"/>
  <c r="AM1283" i="16"/>
  <c r="AN1283" i="16"/>
  <c r="AL1284" i="16"/>
  <c r="AM1284" i="16"/>
  <c r="AN1284" i="16"/>
  <c r="AL1285" i="16"/>
  <c r="AM1285" i="16"/>
  <c r="AN1285" i="16"/>
  <c r="AL1286" i="16"/>
  <c r="AM1286" i="16"/>
  <c r="AN1286" i="16"/>
  <c r="AL1287" i="16"/>
  <c r="AM1287" i="16"/>
  <c r="AN1287" i="16"/>
  <c r="AL1288" i="16"/>
  <c r="AM1288" i="16"/>
  <c r="AN1288" i="16"/>
  <c r="AL1289" i="16"/>
  <c r="AM1289" i="16"/>
  <c r="AN1289" i="16"/>
  <c r="AL1290" i="16"/>
  <c r="AM1290" i="16"/>
  <c r="AN1290" i="16"/>
  <c r="AL1291" i="16"/>
  <c r="AM1291" i="16"/>
  <c r="AN1291" i="16"/>
  <c r="AL1292" i="16"/>
  <c r="AM1292" i="16"/>
  <c r="AN1292" i="16"/>
  <c r="AL1293" i="16"/>
  <c r="AM1293" i="16"/>
  <c r="AN1293" i="16"/>
  <c r="AL1294" i="16"/>
  <c r="AM1294" i="16"/>
  <c r="AN1294" i="16"/>
  <c r="AL1295" i="16"/>
  <c r="AM1295" i="16"/>
  <c r="AN1295" i="16"/>
  <c r="AL1296" i="16"/>
  <c r="AM1296" i="16"/>
  <c r="AN1296" i="16"/>
  <c r="AL1297" i="16"/>
  <c r="AM1297" i="16"/>
  <c r="AN1297" i="16"/>
  <c r="AL1298" i="16"/>
  <c r="AM1298" i="16"/>
  <c r="AN1298" i="16"/>
  <c r="AL1299" i="16"/>
  <c r="AM1299" i="16"/>
  <c r="AN1299" i="16"/>
  <c r="AL1300" i="16"/>
  <c r="AM1300" i="16"/>
  <c r="AN1300" i="16"/>
  <c r="AL1301" i="16"/>
  <c r="AM1301" i="16"/>
  <c r="AN1301" i="16"/>
  <c r="AL1302" i="16"/>
  <c r="AM1302" i="16"/>
  <c r="AN1302" i="16"/>
  <c r="AL1303" i="16"/>
  <c r="AM1303" i="16"/>
  <c r="AN1303" i="16"/>
  <c r="AL1304" i="16"/>
  <c r="AM1304" i="16"/>
  <c r="AN1304" i="16"/>
  <c r="AL1305" i="16"/>
  <c r="AM1305" i="16"/>
  <c r="AN1305" i="16"/>
  <c r="AL1306" i="16"/>
  <c r="AM1306" i="16"/>
  <c r="AN1306" i="16"/>
  <c r="AL1307" i="16"/>
  <c r="AM1307" i="16"/>
  <c r="AN1307" i="16"/>
  <c r="AL1308" i="16"/>
  <c r="AM1308" i="16"/>
  <c r="AN1308" i="16"/>
  <c r="AL1309" i="16"/>
  <c r="AM1309" i="16"/>
  <c r="AN1309" i="16"/>
  <c r="AL1310" i="16"/>
  <c r="AM1310" i="16"/>
  <c r="AN1310" i="16"/>
  <c r="AL1311" i="16"/>
  <c r="AM1311" i="16"/>
  <c r="AN1311" i="16"/>
  <c r="AL1312" i="16"/>
  <c r="AM1312" i="16"/>
  <c r="AN1312" i="16"/>
  <c r="AL1313" i="16"/>
  <c r="AM1313" i="16"/>
  <c r="AN1313" i="16"/>
  <c r="AL1314" i="16"/>
  <c r="AM1314" i="16"/>
  <c r="AN1314" i="16"/>
  <c r="AL1315" i="16"/>
  <c r="AM1315" i="16"/>
  <c r="AN1315" i="16"/>
  <c r="AL1316" i="16"/>
  <c r="AM1316" i="16"/>
  <c r="AN1316" i="16"/>
  <c r="AL1317" i="16"/>
  <c r="AM1317" i="16"/>
  <c r="AN1317" i="16"/>
  <c r="AL1318" i="16"/>
  <c r="AM1318" i="16"/>
  <c r="AN1318" i="16"/>
  <c r="AL1319" i="16"/>
  <c r="AM1319" i="16"/>
  <c r="AN1319" i="16"/>
  <c r="AL1320" i="16"/>
  <c r="AM1320" i="16"/>
  <c r="AN1320" i="16"/>
  <c r="AL1321" i="16"/>
  <c r="AM1321" i="16"/>
  <c r="AN1321" i="16"/>
  <c r="AL1322" i="16"/>
  <c r="AM1322" i="16"/>
  <c r="AN1322" i="16"/>
  <c r="AL1323" i="16"/>
  <c r="AM1323" i="16"/>
  <c r="AN1323" i="16"/>
  <c r="AL1324" i="16"/>
  <c r="AM1324" i="16"/>
  <c r="AN1324" i="16"/>
  <c r="AL1325" i="16"/>
  <c r="AM1325" i="16"/>
  <c r="AN1325" i="16"/>
  <c r="AL1326" i="16"/>
  <c r="AM1326" i="16"/>
  <c r="AN1326" i="16"/>
  <c r="AL1327" i="16"/>
  <c r="AM1327" i="16"/>
  <c r="AN1327" i="16"/>
  <c r="AL1328" i="16"/>
  <c r="AM1328" i="16"/>
  <c r="AN1328" i="16"/>
  <c r="AL1329" i="16"/>
  <c r="AM1329" i="16"/>
  <c r="AN1329" i="16"/>
  <c r="AL1330" i="16"/>
  <c r="AM1330" i="16"/>
  <c r="AN1330" i="16"/>
  <c r="AL1331" i="16"/>
  <c r="AM1331" i="16"/>
  <c r="AN1331" i="16"/>
  <c r="AL1332" i="16"/>
  <c r="AM1332" i="16"/>
  <c r="AN1332" i="16"/>
  <c r="AL1333" i="16"/>
  <c r="AM1333" i="16"/>
  <c r="AN1333" i="16"/>
  <c r="AL1334" i="16"/>
  <c r="AM1334" i="16"/>
  <c r="AN1334" i="16"/>
  <c r="AL1335" i="16"/>
  <c r="AM1335" i="16"/>
  <c r="AN1335" i="16"/>
  <c r="AL1336" i="16"/>
  <c r="AM1336" i="16"/>
  <c r="AN1336" i="16"/>
  <c r="AL1337" i="16"/>
  <c r="AM1337" i="16"/>
  <c r="AN1337" i="16"/>
  <c r="AL1338" i="16"/>
  <c r="AM1338" i="16"/>
  <c r="AN1338" i="16"/>
  <c r="AL1339" i="16"/>
  <c r="AM1339" i="16"/>
  <c r="AN1339" i="16"/>
  <c r="AL1340" i="16"/>
  <c r="AM1340" i="16"/>
  <c r="AN1340" i="16"/>
  <c r="AL1341" i="16"/>
  <c r="AM1341" i="16"/>
  <c r="AN1341" i="16"/>
  <c r="AL1342" i="16"/>
  <c r="AM1342" i="16"/>
  <c r="AN1342" i="16"/>
  <c r="AL1343" i="16"/>
  <c r="AM1343" i="16"/>
  <c r="AN1343" i="16"/>
  <c r="AL1344" i="16"/>
  <c r="AM1344" i="16"/>
  <c r="AN1344" i="16"/>
  <c r="AL1345" i="16"/>
  <c r="AM1345" i="16"/>
  <c r="AN1345" i="16"/>
  <c r="AL1346" i="16"/>
  <c r="AM1346" i="16"/>
  <c r="AN1346" i="16"/>
  <c r="AL1347" i="16"/>
  <c r="AM1347" i="16"/>
  <c r="AN1347" i="16"/>
  <c r="AL1348" i="16"/>
  <c r="AM1348" i="16"/>
  <c r="AN1348" i="16"/>
  <c r="AL1349" i="16"/>
  <c r="AM1349" i="16"/>
  <c r="AN1349" i="16"/>
  <c r="AL1350" i="16"/>
  <c r="AM1350" i="16"/>
  <c r="AN1350" i="16"/>
  <c r="AL1351" i="16"/>
  <c r="AM1351" i="16"/>
  <c r="AN1351" i="16"/>
  <c r="AL1352" i="16"/>
  <c r="AM1352" i="16"/>
  <c r="AN1352" i="16"/>
  <c r="AL1353" i="16"/>
  <c r="AM1353" i="16"/>
  <c r="AN1353" i="16"/>
  <c r="AL1354" i="16"/>
  <c r="AM1354" i="16"/>
  <c r="AN1354" i="16"/>
  <c r="AL1355" i="16"/>
  <c r="AM1355" i="16"/>
  <c r="AN1355" i="16"/>
  <c r="AL1356" i="16"/>
  <c r="AM1356" i="16"/>
  <c r="AN1356" i="16"/>
  <c r="AL1357" i="16"/>
  <c r="AM1357" i="16"/>
  <c r="AN1357" i="16"/>
  <c r="AL1358" i="16"/>
  <c r="AM1358" i="16"/>
  <c r="AN1358" i="16"/>
  <c r="AL1359" i="16"/>
  <c r="AM1359" i="16"/>
  <c r="AN1359" i="16"/>
  <c r="AL1360" i="16"/>
  <c r="AM1360" i="16"/>
  <c r="AN1360" i="16"/>
  <c r="AL1361" i="16"/>
  <c r="AM1361" i="16"/>
  <c r="AN1361" i="16"/>
  <c r="AL1362" i="16"/>
  <c r="AM1362" i="16"/>
  <c r="AN1362" i="16"/>
  <c r="AL1363" i="16"/>
  <c r="AM1363" i="16"/>
  <c r="AN1363" i="16"/>
  <c r="AL1364" i="16"/>
  <c r="AM1364" i="16"/>
  <c r="AN1364" i="16"/>
  <c r="AL1365" i="16"/>
  <c r="AM1365" i="16"/>
  <c r="AN1365" i="16"/>
  <c r="AL1366" i="16"/>
  <c r="AM1366" i="16"/>
  <c r="AN1366" i="16"/>
  <c r="AL1367" i="16"/>
  <c r="AM1367" i="16"/>
  <c r="AN1367" i="16"/>
  <c r="AL1368" i="16"/>
  <c r="AM1368" i="16"/>
  <c r="AN1368" i="16"/>
  <c r="AL1369" i="16"/>
  <c r="AM1369" i="16"/>
  <c r="AN1369" i="16"/>
  <c r="AL1370" i="16"/>
  <c r="AM1370" i="16"/>
  <c r="AN1370" i="16"/>
  <c r="AL1371" i="16"/>
  <c r="AM1371" i="16"/>
  <c r="AN1371" i="16"/>
  <c r="AL1372" i="16"/>
  <c r="AM1372" i="16"/>
  <c r="AN1372" i="16"/>
  <c r="AL1373" i="16"/>
  <c r="AM1373" i="16"/>
  <c r="AN1373" i="16"/>
  <c r="AL1374" i="16"/>
  <c r="AM1374" i="16"/>
  <c r="AN1374" i="16"/>
  <c r="AL1375" i="16"/>
  <c r="AM1375" i="16"/>
  <c r="AN1375" i="16"/>
  <c r="AL1376" i="16"/>
  <c r="AM1376" i="16"/>
  <c r="AN1376" i="16"/>
  <c r="AL1377" i="16"/>
  <c r="AM1377" i="16"/>
  <c r="AN1377" i="16"/>
  <c r="AL1378" i="16"/>
  <c r="AM1378" i="16"/>
  <c r="AN1378" i="16"/>
  <c r="AL1379" i="16"/>
  <c r="AM1379" i="16"/>
  <c r="AN1379" i="16"/>
  <c r="AL1380" i="16"/>
  <c r="AM1380" i="16"/>
  <c r="AN1380" i="16"/>
  <c r="AL1381" i="16"/>
  <c r="AM1381" i="16"/>
  <c r="AN1381" i="16"/>
  <c r="AL1382" i="16"/>
  <c r="AM1382" i="16"/>
  <c r="AN1382" i="16"/>
  <c r="AL1383" i="16"/>
  <c r="AM1383" i="16"/>
  <c r="AN1383" i="16"/>
  <c r="AL1384" i="16"/>
  <c r="AM1384" i="16"/>
  <c r="AN1384" i="16"/>
  <c r="AL1385" i="16"/>
  <c r="AM1385" i="16"/>
  <c r="AN1385" i="16"/>
  <c r="AL1386" i="16"/>
  <c r="AM1386" i="16"/>
  <c r="AN1386" i="16"/>
  <c r="AL1387" i="16"/>
  <c r="AM1387" i="16"/>
  <c r="AN1387" i="16"/>
  <c r="AL1388" i="16"/>
  <c r="AM1388" i="16"/>
  <c r="AN1388" i="16"/>
  <c r="AL1389" i="16"/>
  <c r="AM1389" i="16"/>
  <c r="AN1389" i="16"/>
  <c r="AL1390" i="16"/>
  <c r="AM1390" i="16"/>
  <c r="AN1390" i="16"/>
  <c r="AL1391" i="16"/>
  <c r="AM1391" i="16"/>
  <c r="AN1391" i="16"/>
  <c r="AL1392" i="16"/>
  <c r="AM1392" i="16"/>
  <c r="AN1392" i="16"/>
  <c r="AL1393" i="16"/>
  <c r="AM1393" i="16"/>
  <c r="AN1393" i="16"/>
  <c r="AL1394" i="16"/>
  <c r="AM1394" i="16"/>
  <c r="AN1394" i="16"/>
  <c r="AL1395" i="16"/>
  <c r="AM1395" i="16"/>
  <c r="AN1395" i="16"/>
  <c r="AL1396" i="16"/>
  <c r="AM1396" i="16"/>
  <c r="AN1396" i="16"/>
  <c r="AL1397" i="16"/>
  <c r="AM1397" i="16"/>
  <c r="AN1397" i="16"/>
  <c r="AL1398" i="16"/>
  <c r="AM1398" i="16"/>
  <c r="AN1398" i="16"/>
  <c r="AL1399" i="16"/>
  <c r="AM1399" i="16"/>
  <c r="AN1399" i="16"/>
  <c r="AL1400" i="16"/>
  <c r="AM1400" i="16"/>
  <c r="AN1400" i="16"/>
  <c r="AL1401" i="16"/>
  <c r="AM1401" i="16"/>
  <c r="AN1401" i="16"/>
  <c r="AL1402" i="16"/>
  <c r="AM1402" i="16"/>
  <c r="AN1402" i="16"/>
  <c r="AL1403" i="16"/>
  <c r="AM1403" i="16"/>
  <c r="AN1403" i="16"/>
  <c r="AL1404" i="16"/>
  <c r="AM1404" i="16"/>
  <c r="AN1404" i="16"/>
  <c r="AL1405" i="16"/>
  <c r="AM1405" i="16"/>
  <c r="AN1405" i="16"/>
  <c r="AL1406" i="16"/>
  <c r="AM1406" i="16"/>
  <c r="AN1406" i="16"/>
  <c r="AL1407" i="16"/>
  <c r="AM1407" i="16"/>
  <c r="AN1407" i="16"/>
  <c r="AL1408" i="16"/>
  <c r="AM1408" i="16"/>
  <c r="AN1408" i="16"/>
  <c r="AL1409" i="16"/>
  <c r="AM1409" i="16"/>
  <c r="AN1409" i="16"/>
  <c r="AL1410" i="16"/>
  <c r="AM1410" i="16"/>
  <c r="AN1410" i="16"/>
  <c r="AL1411" i="16"/>
  <c r="AM1411" i="16"/>
  <c r="AN1411" i="16"/>
  <c r="AL1412" i="16"/>
  <c r="AM1412" i="16"/>
  <c r="AN1412" i="16"/>
  <c r="AL1413" i="16"/>
  <c r="AM1413" i="16"/>
  <c r="AN1413" i="16"/>
  <c r="AL1414" i="16"/>
  <c r="AM1414" i="16"/>
  <c r="AN1414" i="16"/>
  <c r="AL1415" i="16"/>
  <c r="AM1415" i="16"/>
  <c r="AN1415" i="16"/>
  <c r="AL1416" i="16"/>
  <c r="AM1416" i="16"/>
  <c r="AN1416" i="16"/>
  <c r="AL1417" i="16"/>
  <c r="AM1417" i="16"/>
  <c r="AN1417" i="16"/>
  <c r="AL1418" i="16"/>
  <c r="AM1418" i="16"/>
  <c r="AN1418" i="16"/>
  <c r="AL1419" i="16"/>
  <c r="AM1419" i="16"/>
  <c r="AN1419" i="16"/>
  <c r="AL1420" i="16"/>
  <c r="AM1420" i="16"/>
  <c r="AN1420" i="16"/>
  <c r="AL1421" i="16"/>
  <c r="AM1421" i="16"/>
  <c r="AN1421" i="16"/>
  <c r="AL1422" i="16"/>
  <c r="AM1422" i="16"/>
  <c r="AN1422" i="16"/>
  <c r="AL1423" i="16"/>
  <c r="AM1423" i="16"/>
  <c r="AN1423" i="16"/>
  <c r="AL1424" i="16"/>
  <c r="AM1424" i="16"/>
  <c r="AN1424" i="16"/>
  <c r="AL1425" i="16"/>
  <c r="AM1425" i="16"/>
  <c r="AN1425" i="16"/>
  <c r="AL1426" i="16"/>
  <c r="AM1426" i="16"/>
  <c r="AN1426" i="16"/>
  <c r="AL1427" i="16"/>
  <c r="AM1427" i="16"/>
  <c r="AN1427" i="16"/>
  <c r="AL1428" i="16"/>
  <c r="AM1428" i="16"/>
  <c r="AN1428" i="16"/>
  <c r="AL1429" i="16"/>
  <c r="AM1429" i="16"/>
  <c r="AN1429" i="16"/>
  <c r="AL1430" i="16"/>
  <c r="AM1430" i="16"/>
  <c r="AN1430" i="16"/>
  <c r="AL1431" i="16"/>
  <c r="AM1431" i="16"/>
  <c r="AN1431" i="16"/>
  <c r="AL1432" i="16"/>
  <c r="AM1432" i="16"/>
  <c r="AN1432" i="16"/>
  <c r="AL1433" i="16"/>
  <c r="AM1433" i="16"/>
  <c r="AN1433" i="16"/>
  <c r="AL1434" i="16"/>
  <c r="AM1434" i="16"/>
  <c r="AN1434" i="16"/>
  <c r="AL1435" i="16"/>
  <c r="AM1435" i="16"/>
  <c r="AN1435" i="16"/>
  <c r="AL1436" i="16"/>
  <c r="AM1436" i="16"/>
  <c r="AN1436" i="16"/>
  <c r="AL1437" i="16"/>
  <c r="AM1437" i="16"/>
  <c r="AN1437" i="16"/>
  <c r="AL1438" i="16"/>
  <c r="AM1438" i="16"/>
  <c r="AN1438" i="16"/>
  <c r="AL1439" i="16"/>
  <c r="AM1439" i="16"/>
  <c r="AN1439" i="16"/>
  <c r="AL1440" i="16"/>
  <c r="AM1440" i="16"/>
  <c r="AN1440" i="16"/>
  <c r="AL1441" i="16"/>
  <c r="AM1441" i="16"/>
  <c r="AN1441" i="16"/>
  <c r="AL1442" i="16"/>
  <c r="AM1442" i="16"/>
  <c r="AN1442" i="16"/>
  <c r="AL1443" i="16"/>
  <c r="AM1443" i="16"/>
  <c r="AN1443" i="16"/>
  <c r="AL1444" i="16"/>
  <c r="AM1444" i="16"/>
  <c r="AN1444" i="16"/>
  <c r="AL1445" i="16"/>
  <c r="AM1445" i="16"/>
  <c r="AN1445" i="16"/>
  <c r="AL1446" i="16"/>
  <c r="AM1446" i="16"/>
  <c r="AN1446" i="16"/>
  <c r="AL1447" i="16"/>
  <c r="AM1447" i="16"/>
  <c r="AN1447" i="16"/>
  <c r="AL1448" i="16"/>
  <c r="AM1448" i="16"/>
  <c r="AN1448" i="16"/>
  <c r="AL1449" i="16"/>
  <c r="AM1449" i="16"/>
  <c r="AN1449" i="16"/>
  <c r="AL1450" i="16"/>
  <c r="AM1450" i="16"/>
  <c r="AN1450" i="16"/>
  <c r="AL1451" i="16"/>
  <c r="AM1451" i="16"/>
  <c r="AN1451" i="16"/>
  <c r="AL1452" i="16"/>
  <c r="AM1452" i="16"/>
  <c r="AN1452" i="16"/>
  <c r="AL1453" i="16"/>
  <c r="AM1453" i="16"/>
  <c r="AN1453" i="16"/>
  <c r="AL1454" i="16"/>
  <c r="AM1454" i="16"/>
  <c r="AN1454" i="16"/>
  <c r="AL1455" i="16"/>
  <c r="AM1455" i="16"/>
  <c r="AN1455" i="16"/>
  <c r="AL1456" i="16"/>
  <c r="AM1456" i="16"/>
  <c r="AN1456" i="16"/>
  <c r="AL1457" i="16"/>
  <c r="AM1457" i="16"/>
  <c r="AN1457" i="16"/>
  <c r="AL1458" i="16"/>
  <c r="AM1458" i="16"/>
  <c r="AN1458" i="16"/>
  <c r="AL1459" i="16"/>
  <c r="AM1459" i="16"/>
  <c r="AN1459" i="16"/>
  <c r="AL1460" i="16"/>
  <c r="AM1460" i="16"/>
  <c r="AN1460" i="16"/>
  <c r="AL1461" i="16"/>
  <c r="AM1461" i="16"/>
  <c r="AN1461" i="16"/>
  <c r="AL1462" i="16"/>
  <c r="AM1462" i="16"/>
  <c r="AN1462" i="16"/>
  <c r="AL1463" i="16"/>
  <c r="AM1463" i="16"/>
  <c r="AN1463" i="16"/>
  <c r="AL1464" i="16"/>
  <c r="AM1464" i="16"/>
  <c r="AN1464" i="16"/>
  <c r="AL1465" i="16"/>
  <c r="AM1465" i="16"/>
  <c r="AN1465" i="16"/>
  <c r="AL1466" i="16"/>
  <c r="AM1466" i="16"/>
  <c r="AN1466" i="16"/>
  <c r="AL1467" i="16"/>
  <c r="AM1467" i="16"/>
  <c r="AN1467" i="16"/>
  <c r="AL1468" i="16"/>
  <c r="AM1468" i="16"/>
  <c r="AN1468" i="16"/>
  <c r="AL1469" i="16"/>
  <c r="AM1469" i="16"/>
  <c r="AN1469" i="16"/>
  <c r="AL1470" i="16"/>
  <c r="AM1470" i="16"/>
  <c r="AN1470" i="16"/>
  <c r="AL1471" i="16"/>
  <c r="AM1471" i="16"/>
  <c r="AN1471" i="16"/>
  <c r="AL1472" i="16"/>
  <c r="AM1472" i="16"/>
  <c r="AN1472" i="16"/>
  <c r="AL1473" i="16"/>
  <c r="AM1473" i="16"/>
  <c r="AN1473" i="16"/>
  <c r="AL1474" i="16"/>
  <c r="AM1474" i="16"/>
  <c r="AN1474" i="16"/>
  <c r="AL1475" i="16"/>
  <c r="AM1475" i="16"/>
  <c r="AN1475" i="16"/>
  <c r="AL1476" i="16"/>
  <c r="AM1476" i="16"/>
  <c r="AN1476" i="16"/>
  <c r="AL1477" i="16"/>
  <c r="AM1477" i="16"/>
  <c r="AN1477" i="16"/>
  <c r="AL1478" i="16"/>
  <c r="AM1478" i="16"/>
  <c r="AN1478" i="16"/>
  <c r="AL1479" i="16"/>
  <c r="AM1479" i="16"/>
  <c r="AN1479" i="16"/>
  <c r="AL1480" i="16"/>
  <c r="AM1480" i="16"/>
  <c r="AN1480" i="16"/>
  <c r="AL1481" i="16"/>
  <c r="AM1481" i="16"/>
  <c r="AN1481" i="16"/>
  <c r="AL1482" i="16"/>
  <c r="AM1482" i="16"/>
  <c r="AN1482" i="16"/>
  <c r="AL1483" i="16"/>
  <c r="AM1483" i="16"/>
  <c r="AN1483" i="16"/>
  <c r="AL1484" i="16"/>
  <c r="AM1484" i="16"/>
  <c r="AN1484" i="16"/>
  <c r="AL1485" i="16"/>
  <c r="AM1485" i="16"/>
  <c r="AN1485" i="16"/>
  <c r="AL1486" i="16"/>
  <c r="AM1486" i="16"/>
  <c r="AN1486" i="16"/>
  <c r="AL1487" i="16"/>
  <c r="AM1487" i="16"/>
  <c r="AN1487" i="16"/>
  <c r="AL1488" i="16"/>
  <c r="AM1488" i="16"/>
  <c r="AN1488" i="16"/>
  <c r="AL1489" i="16"/>
  <c r="AM1489" i="16"/>
  <c r="AN1489" i="16"/>
  <c r="AL1490" i="16"/>
  <c r="AM1490" i="16"/>
  <c r="AN1490" i="16"/>
  <c r="AL1491" i="16"/>
  <c r="AM1491" i="16"/>
  <c r="AN1491" i="16"/>
  <c r="AL1492" i="16"/>
  <c r="AM1492" i="16"/>
  <c r="AN1492" i="16"/>
  <c r="AL1493" i="16"/>
  <c r="AM1493" i="16"/>
  <c r="AN1493" i="16"/>
  <c r="AL1494" i="16"/>
  <c r="AM1494" i="16"/>
  <c r="AN1494" i="16"/>
  <c r="AL1495" i="16"/>
  <c r="AM1495" i="16"/>
  <c r="AN1495" i="16"/>
  <c r="AL1496" i="16"/>
  <c r="AM1496" i="16"/>
  <c r="AN1496" i="16"/>
  <c r="AL1497" i="16"/>
  <c r="AM1497" i="16"/>
  <c r="AN1497" i="16"/>
  <c r="AL1498" i="16"/>
  <c r="AM1498" i="16"/>
  <c r="AN1498" i="16"/>
  <c r="AL1499" i="16"/>
  <c r="AM1499" i="16"/>
  <c r="AN1499" i="16"/>
  <c r="AL1500" i="16"/>
  <c r="AM1500" i="16"/>
  <c r="AN1500" i="16"/>
  <c r="AL1501" i="16"/>
  <c r="AM1501" i="16"/>
  <c r="AN1501" i="16"/>
  <c r="AL1502" i="16"/>
  <c r="AM1502" i="16"/>
  <c r="AN1502" i="16"/>
  <c r="AL1503" i="16"/>
  <c r="AM1503" i="16"/>
  <c r="AN1503" i="16"/>
  <c r="AL1504" i="16"/>
  <c r="AM1504" i="16"/>
  <c r="AN1504" i="16"/>
  <c r="AL1505" i="16"/>
  <c r="AM1505" i="16"/>
  <c r="AN1505" i="16"/>
  <c r="AL1506" i="16"/>
  <c r="AM1506" i="16"/>
  <c r="AN1506" i="16"/>
  <c r="AL1507" i="16"/>
  <c r="AM1507" i="16"/>
  <c r="AN1507" i="16"/>
  <c r="AL1508" i="16"/>
  <c r="AM1508" i="16"/>
  <c r="AN1508" i="16"/>
  <c r="AL1509" i="16"/>
  <c r="AM1509" i="16"/>
  <c r="AN1509" i="16"/>
  <c r="AL1510" i="16"/>
  <c r="AM1510" i="16"/>
  <c r="AN1510" i="16"/>
  <c r="AL1511" i="16"/>
  <c r="AM1511" i="16"/>
  <c r="AN1511" i="16"/>
  <c r="AL1512" i="16"/>
  <c r="AM1512" i="16"/>
  <c r="AN1512" i="16"/>
  <c r="AL1513" i="16"/>
  <c r="AM1513" i="16"/>
  <c r="AN1513" i="16"/>
  <c r="AL1514" i="16"/>
  <c r="AM1514" i="16"/>
  <c r="AN1514" i="16"/>
  <c r="AL1515" i="16"/>
  <c r="AM1515" i="16"/>
  <c r="AN1515" i="16"/>
  <c r="AL1516" i="16"/>
  <c r="AM1516" i="16"/>
  <c r="AN1516" i="16"/>
  <c r="AL1517" i="16"/>
  <c r="AM1517" i="16"/>
  <c r="AN1517" i="16"/>
  <c r="AL1518" i="16"/>
  <c r="AM1518" i="16"/>
  <c r="AN1518" i="16"/>
  <c r="AL1519" i="16"/>
  <c r="AM1519" i="16"/>
  <c r="AN1519" i="16"/>
  <c r="AL1520" i="16"/>
  <c r="AM1520" i="16"/>
  <c r="AN1520" i="16"/>
  <c r="AL1521" i="16"/>
  <c r="AM1521" i="16"/>
  <c r="AN1521" i="16"/>
  <c r="AL1522" i="16"/>
  <c r="AM1522" i="16"/>
  <c r="AN1522" i="16"/>
  <c r="AL1523" i="16"/>
  <c r="AM1523" i="16"/>
  <c r="AN1523" i="16"/>
  <c r="AL1524" i="16"/>
  <c r="AM1524" i="16"/>
  <c r="AN1524" i="16"/>
  <c r="AL1525" i="16"/>
  <c r="AM1525" i="16"/>
  <c r="AN1525" i="16"/>
  <c r="AL1526" i="16"/>
  <c r="AM1526" i="16"/>
  <c r="AN1526" i="16"/>
  <c r="AL1527" i="16"/>
  <c r="AM1527" i="16"/>
  <c r="AN1527" i="16"/>
  <c r="AL1528" i="16"/>
  <c r="AM1528" i="16"/>
  <c r="AN1528" i="16"/>
  <c r="AL1529" i="16"/>
  <c r="AM1529" i="16"/>
  <c r="AN1529" i="16"/>
  <c r="AL1530" i="16"/>
  <c r="AM1530" i="16"/>
  <c r="AN1530" i="16"/>
  <c r="AL1531" i="16"/>
  <c r="AM1531" i="16"/>
  <c r="AN1531" i="16"/>
  <c r="AL1532" i="16"/>
  <c r="AM1532" i="16"/>
  <c r="AN1532" i="16"/>
  <c r="AL1533" i="16"/>
  <c r="AM1533" i="16"/>
  <c r="AN1533" i="16"/>
  <c r="AL1534" i="16"/>
  <c r="AM1534" i="16"/>
  <c r="AN1534" i="16"/>
  <c r="AL1535" i="16"/>
  <c r="AM1535" i="16"/>
  <c r="AN1535" i="16"/>
  <c r="AL1536" i="16"/>
  <c r="AM1536" i="16"/>
  <c r="AN1536" i="16"/>
  <c r="AL1537" i="16"/>
  <c r="AM1537" i="16"/>
  <c r="AN1537" i="16"/>
  <c r="AL1538" i="16"/>
  <c r="AM1538" i="16"/>
  <c r="AN1538" i="16"/>
  <c r="AL1539" i="16"/>
  <c r="AM1539" i="16"/>
  <c r="AN1539" i="16"/>
  <c r="AL1540" i="16"/>
  <c r="AM1540" i="16"/>
  <c r="AN1540" i="16"/>
  <c r="AL1541" i="16"/>
  <c r="AM1541" i="16"/>
  <c r="AN1541" i="16"/>
  <c r="AL1542" i="16"/>
  <c r="AM1542" i="16"/>
  <c r="AN1542" i="16"/>
  <c r="AL1543" i="16"/>
  <c r="AM1543" i="16"/>
  <c r="AN1543" i="16"/>
  <c r="AL1544" i="16"/>
  <c r="AM1544" i="16"/>
  <c r="AN1544" i="16"/>
  <c r="AL1545" i="16"/>
  <c r="AM1545" i="16"/>
  <c r="AN1545" i="16"/>
  <c r="AL1546" i="16"/>
  <c r="AM1546" i="16"/>
  <c r="AN1546" i="16"/>
  <c r="AL1547" i="16"/>
  <c r="AM1547" i="16"/>
  <c r="AN1547" i="16"/>
  <c r="AL1548" i="16"/>
  <c r="AM1548" i="16"/>
  <c r="AN1548" i="16"/>
  <c r="AL1549" i="16"/>
  <c r="AM1549" i="16"/>
  <c r="AN1549" i="16"/>
  <c r="AL1550" i="16"/>
  <c r="AM1550" i="16"/>
  <c r="AN1550" i="16"/>
  <c r="AL1551" i="16"/>
  <c r="AM1551" i="16"/>
  <c r="AN1551" i="16"/>
  <c r="AL1552" i="16"/>
  <c r="AM1552" i="16"/>
  <c r="AN1552" i="16"/>
  <c r="AL1553" i="16"/>
  <c r="AM1553" i="16"/>
  <c r="AN1553" i="16"/>
  <c r="AL1554" i="16"/>
  <c r="AM1554" i="16"/>
  <c r="AN1554" i="16"/>
  <c r="AL1555" i="16"/>
  <c r="AM1555" i="16"/>
  <c r="AN1555" i="16"/>
  <c r="AL1556" i="16"/>
  <c r="AM1556" i="16"/>
  <c r="AN1556" i="16"/>
  <c r="AL1557" i="16"/>
  <c r="AM1557" i="16"/>
  <c r="AN1557" i="16"/>
  <c r="AL1558" i="16"/>
  <c r="AM1558" i="16"/>
  <c r="AN1558" i="16"/>
  <c r="AL1559" i="16"/>
  <c r="AM1559" i="16"/>
  <c r="AN1559" i="16"/>
  <c r="AL1560" i="16"/>
  <c r="AM1560" i="16"/>
  <c r="AN1560" i="16"/>
  <c r="AL1561" i="16"/>
  <c r="AM1561" i="16"/>
  <c r="AN1561" i="16"/>
  <c r="AL1562" i="16"/>
  <c r="AM1562" i="16"/>
  <c r="AN1562" i="16"/>
  <c r="AL1563" i="16"/>
  <c r="AM1563" i="16"/>
  <c r="AN1563" i="16"/>
  <c r="AL1564" i="16"/>
  <c r="AM1564" i="16"/>
  <c r="AN1564" i="16"/>
  <c r="AL1565" i="16"/>
  <c r="AM1565" i="16"/>
  <c r="AN1565" i="16"/>
  <c r="AL1566" i="16"/>
  <c r="AM1566" i="16"/>
  <c r="AN1566" i="16"/>
  <c r="AL1567" i="16"/>
  <c r="AM1567" i="16"/>
  <c r="AN1567" i="16"/>
  <c r="AL1568" i="16"/>
  <c r="AM1568" i="16"/>
  <c r="AN1568" i="16"/>
  <c r="AL1569" i="16"/>
  <c r="AM1569" i="16"/>
  <c r="AN1569" i="16"/>
  <c r="AL1570" i="16"/>
  <c r="AM1570" i="16"/>
  <c r="AN1570" i="16"/>
  <c r="AL1571" i="16"/>
  <c r="AM1571" i="16"/>
  <c r="AN1571" i="16"/>
  <c r="AL1572" i="16"/>
  <c r="AM1572" i="16"/>
  <c r="AN1572" i="16"/>
  <c r="AL1573" i="16"/>
  <c r="AM1573" i="16"/>
  <c r="AN1573" i="16"/>
  <c r="AL1574" i="16"/>
  <c r="AM1574" i="16"/>
  <c r="AN1574" i="16"/>
  <c r="AL1575" i="16"/>
  <c r="AM1575" i="16"/>
  <c r="AN1575" i="16"/>
  <c r="AL1576" i="16"/>
  <c r="AM1576" i="16"/>
  <c r="AN1576" i="16"/>
  <c r="AL1577" i="16"/>
  <c r="AM1577" i="16"/>
  <c r="AN1577" i="16"/>
  <c r="AL1578" i="16"/>
  <c r="AM1578" i="16"/>
  <c r="AN1578" i="16"/>
  <c r="AL1579" i="16"/>
  <c r="AM1579" i="16"/>
  <c r="AN1579" i="16"/>
  <c r="AL1580" i="16"/>
  <c r="AM1580" i="16"/>
  <c r="AN1580" i="16"/>
  <c r="AL1581" i="16"/>
  <c r="AM1581" i="16"/>
  <c r="AN1581" i="16"/>
  <c r="AL1582" i="16"/>
  <c r="AM1582" i="16"/>
  <c r="AN1582" i="16"/>
  <c r="AL1583" i="16"/>
  <c r="AM1583" i="16"/>
  <c r="AN1583" i="16"/>
  <c r="AL1584" i="16"/>
  <c r="AM1584" i="16"/>
  <c r="AN1584" i="16"/>
  <c r="AL1585" i="16"/>
  <c r="AM1585" i="16"/>
  <c r="AN1585" i="16"/>
  <c r="AL1586" i="16"/>
  <c r="AM1586" i="16"/>
  <c r="AN1586" i="16"/>
  <c r="AL1587" i="16"/>
  <c r="AM1587" i="16"/>
  <c r="AN1587" i="16"/>
  <c r="AL1588" i="16"/>
  <c r="AM1588" i="16"/>
  <c r="AN1588" i="16"/>
  <c r="AL1589" i="16"/>
  <c r="AM1589" i="16"/>
  <c r="AN1589" i="16"/>
  <c r="AL1590" i="16"/>
  <c r="AM1590" i="16"/>
  <c r="AN1590" i="16"/>
  <c r="AL1591" i="16"/>
  <c r="AM1591" i="16"/>
  <c r="AN1591" i="16"/>
  <c r="AL1592" i="16"/>
  <c r="AM1592" i="16"/>
  <c r="AN1592" i="16"/>
  <c r="AL1593" i="16"/>
  <c r="AM1593" i="16"/>
  <c r="AN1593" i="16"/>
  <c r="AL1594" i="16"/>
  <c r="AM1594" i="16"/>
  <c r="AN1594" i="16"/>
  <c r="AL1595" i="16"/>
  <c r="AM1595" i="16"/>
  <c r="AN1595" i="16"/>
  <c r="AL1596" i="16"/>
  <c r="AM1596" i="16"/>
  <c r="AN1596" i="16"/>
  <c r="AL1597" i="16"/>
  <c r="AM1597" i="16"/>
  <c r="AN1597" i="16"/>
  <c r="AL1598" i="16"/>
  <c r="AM1598" i="16"/>
  <c r="AN1598" i="16"/>
  <c r="AL1599" i="16"/>
  <c r="AM1599" i="16"/>
  <c r="AN1599" i="16"/>
  <c r="AL1600" i="16"/>
  <c r="AM1600" i="16"/>
  <c r="AN1600" i="16"/>
  <c r="AL1601" i="16"/>
  <c r="AM1601" i="16"/>
  <c r="AN1601" i="16"/>
  <c r="AL1602" i="16"/>
  <c r="AM1602" i="16"/>
  <c r="AN1602" i="16"/>
  <c r="AL1603" i="16"/>
  <c r="AM1603" i="16"/>
  <c r="AN1603" i="16"/>
  <c r="AL1604" i="16"/>
  <c r="AM1604" i="16"/>
  <c r="AN1604" i="16"/>
  <c r="AL1605" i="16"/>
  <c r="AM1605" i="16"/>
  <c r="AN1605" i="16"/>
  <c r="AL1606" i="16"/>
  <c r="AM1606" i="16"/>
  <c r="AN1606" i="16"/>
  <c r="AL1607" i="16"/>
  <c r="AM1607" i="16"/>
  <c r="AN1607" i="16"/>
  <c r="AL1608" i="16"/>
  <c r="AM1608" i="16"/>
  <c r="AN1608" i="16"/>
  <c r="AL1609" i="16"/>
  <c r="AM1609" i="16"/>
  <c r="AN1609" i="16"/>
  <c r="AL1610" i="16"/>
  <c r="AM1610" i="16"/>
  <c r="AN1610" i="16"/>
  <c r="AL1611" i="16"/>
  <c r="AM1611" i="16"/>
  <c r="AN1611" i="16"/>
  <c r="AL1612" i="16"/>
  <c r="AM1612" i="16"/>
  <c r="AN1612" i="16"/>
  <c r="AL1613" i="16"/>
  <c r="AM1613" i="16"/>
  <c r="AN1613" i="16"/>
  <c r="AL1614" i="16"/>
  <c r="AM1614" i="16"/>
  <c r="AN1614" i="16"/>
  <c r="AL1615" i="16"/>
  <c r="AM1615" i="16"/>
  <c r="AN1615" i="16"/>
  <c r="AL1616" i="16"/>
  <c r="AM1616" i="16"/>
  <c r="AN1616" i="16"/>
  <c r="AL1617" i="16"/>
  <c r="AM1617" i="16"/>
  <c r="AN1617" i="16"/>
  <c r="AL1618" i="16"/>
  <c r="AM1618" i="16"/>
  <c r="AN1618" i="16"/>
  <c r="AL1619" i="16"/>
  <c r="AM1619" i="16"/>
  <c r="AN1619" i="16"/>
  <c r="AL1620" i="16"/>
  <c r="AM1620" i="16"/>
  <c r="AN1620" i="16"/>
  <c r="AL1621" i="16"/>
  <c r="AM1621" i="16"/>
  <c r="AN1621" i="16"/>
  <c r="AL1622" i="16"/>
  <c r="AM1622" i="16"/>
  <c r="AN1622" i="16"/>
  <c r="AL1623" i="16"/>
  <c r="AM1623" i="16"/>
  <c r="AN1623" i="16"/>
  <c r="AL1624" i="16"/>
  <c r="AM1624" i="16"/>
  <c r="AN1624" i="16"/>
  <c r="AL1625" i="16"/>
  <c r="AM1625" i="16"/>
  <c r="AN1625" i="16"/>
  <c r="AL1626" i="16"/>
  <c r="AM1626" i="16"/>
  <c r="AN1626" i="16"/>
  <c r="AL1627" i="16"/>
  <c r="AM1627" i="16"/>
  <c r="AN1627" i="16"/>
  <c r="AL1628" i="16"/>
  <c r="AM1628" i="16"/>
  <c r="AN1628" i="16"/>
  <c r="AL1629" i="16"/>
  <c r="AM1629" i="16"/>
  <c r="AN1629" i="16"/>
  <c r="AN1089" i="16"/>
  <c r="AM1089" i="16"/>
  <c r="AL1089" i="16"/>
  <c r="AL548" i="16"/>
  <c r="AM548" i="16"/>
  <c r="AN548" i="16"/>
  <c r="AL549" i="16"/>
  <c r="AM549" i="16"/>
  <c r="AN549" i="16"/>
  <c r="AL550" i="16"/>
  <c r="AM550" i="16"/>
  <c r="AN550" i="16"/>
  <c r="AL551" i="16"/>
  <c r="AM551" i="16"/>
  <c r="AN551" i="16"/>
  <c r="AL552" i="16"/>
  <c r="AM552" i="16"/>
  <c r="AN552" i="16"/>
  <c r="AL553" i="16"/>
  <c r="AM553" i="16"/>
  <c r="AN553" i="16"/>
  <c r="AL554" i="16"/>
  <c r="AM554" i="16"/>
  <c r="AN554" i="16"/>
  <c r="AL555" i="16"/>
  <c r="AM555" i="16"/>
  <c r="AN555" i="16"/>
  <c r="AL556" i="16"/>
  <c r="AM556" i="16"/>
  <c r="AN556" i="16"/>
  <c r="AL557" i="16"/>
  <c r="AM557" i="16"/>
  <c r="AN557" i="16"/>
  <c r="AL558" i="16"/>
  <c r="AM558" i="16"/>
  <c r="AN558" i="16"/>
  <c r="AL559" i="16"/>
  <c r="AM559" i="16"/>
  <c r="AN559" i="16"/>
  <c r="AL560" i="16"/>
  <c r="AM560" i="16"/>
  <c r="AN560" i="16"/>
  <c r="AL561" i="16"/>
  <c r="AM561" i="16"/>
  <c r="AN561" i="16"/>
  <c r="AL562" i="16"/>
  <c r="AM562" i="16"/>
  <c r="AN562" i="16"/>
  <c r="AL563" i="16"/>
  <c r="AM563" i="16"/>
  <c r="AN563" i="16"/>
  <c r="AL564" i="16"/>
  <c r="AM564" i="16"/>
  <c r="AN564" i="16"/>
  <c r="AL565" i="16"/>
  <c r="AM565" i="16"/>
  <c r="AN565" i="16"/>
  <c r="AL566" i="16"/>
  <c r="AM566" i="16"/>
  <c r="AN566" i="16"/>
  <c r="AL567" i="16"/>
  <c r="AM567" i="16"/>
  <c r="AN567" i="16"/>
  <c r="AL568" i="16"/>
  <c r="AM568" i="16"/>
  <c r="AN568" i="16"/>
  <c r="AL569" i="16"/>
  <c r="AM569" i="16"/>
  <c r="AN569" i="16"/>
  <c r="AL570" i="16"/>
  <c r="AM570" i="16"/>
  <c r="AN570" i="16"/>
  <c r="AL571" i="16"/>
  <c r="AM571" i="16"/>
  <c r="AN571" i="16"/>
  <c r="AL572" i="16"/>
  <c r="AM572" i="16"/>
  <c r="AN572" i="16"/>
  <c r="AL573" i="16"/>
  <c r="AM573" i="16"/>
  <c r="AN573" i="16"/>
  <c r="AL574" i="16"/>
  <c r="AM574" i="16"/>
  <c r="AN574" i="16"/>
  <c r="AL575" i="16"/>
  <c r="AM575" i="16"/>
  <c r="AN575" i="16"/>
  <c r="AL576" i="16"/>
  <c r="AM576" i="16"/>
  <c r="AN576" i="16"/>
  <c r="AL577" i="16"/>
  <c r="AM577" i="16"/>
  <c r="AN577" i="16"/>
  <c r="AL578" i="16"/>
  <c r="AM578" i="16"/>
  <c r="AN578" i="16"/>
  <c r="AL579" i="16"/>
  <c r="AM579" i="16"/>
  <c r="AN579" i="16"/>
  <c r="AL580" i="16"/>
  <c r="AM580" i="16"/>
  <c r="AN580" i="16"/>
  <c r="AL581" i="16"/>
  <c r="AM581" i="16"/>
  <c r="AN581" i="16"/>
  <c r="AL582" i="16"/>
  <c r="AM582" i="16"/>
  <c r="AN582" i="16"/>
  <c r="AL583" i="16"/>
  <c r="AM583" i="16"/>
  <c r="AN583" i="16"/>
  <c r="AL584" i="16"/>
  <c r="AM584" i="16"/>
  <c r="AN584" i="16"/>
  <c r="AL585" i="16"/>
  <c r="AM585" i="16"/>
  <c r="AN585" i="16"/>
  <c r="AL586" i="16"/>
  <c r="AM586" i="16"/>
  <c r="AN586" i="16"/>
  <c r="AL587" i="16"/>
  <c r="AM587" i="16"/>
  <c r="AN587" i="16"/>
  <c r="AL588" i="16"/>
  <c r="AM588" i="16"/>
  <c r="AN588" i="16"/>
  <c r="AL589" i="16"/>
  <c r="AM589" i="16"/>
  <c r="AN589" i="16"/>
  <c r="AL590" i="16"/>
  <c r="AM590" i="16"/>
  <c r="AN590" i="16"/>
  <c r="AL591" i="16"/>
  <c r="AM591" i="16"/>
  <c r="AN591" i="16"/>
  <c r="AL592" i="16"/>
  <c r="AM592" i="16"/>
  <c r="AN592" i="16"/>
  <c r="AL593" i="16"/>
  <c r="AM593" i="16"/>
  <c r="AN593" i="16"/>
  <c r="AL594" i="16"/>
  <c r="AM594" i="16"/>
  <c r="AN594" i="16"/>
  <c r="AL595" i="16"/>
  <c r="AM595" i="16"/>
  <c r="AN595" i="16"/>
  <c r="AL596" i="16"/>
  <c r="AM596" i="16"/>
  <c r="AN596" i="16"/>
  <c r="AL597" i="16"/>
  <c r="AM597" i="16"/>
  <c r="AN597" i="16"/>
  <c r="AL598" i="16"/>
  <c r="AM598" i="16"/>
  <c r="AN598" i="16"/>
  <c r="AL599" i="16"/>
  <c r="AM599" i="16"/>
  <c r="AN599" i="16"/>
  <c r="AL600" i="16"/>
  <c r="AM600" i="16"/>
  <c r="AN600" i="16"/>
  <c r="AL601" i="16"/>
  <c r="AM601" i="16"/>
  <c r="AN601" i="16"/>
  <c r="AL602" i="16"/>
  <c r="AM602" i="16"/>
  <c r="AN602" i="16"/>
  <c r="AL603" i="16"/>
  <c r="AM603" i="16"/>
  <c r="AN603" i="16"/>
  <c r="AL604" i="16"/>
  <c r="AM604" i="16"/>
  <c r="AN604" i="16"/>
  <c r="AL605" i="16"/>
  <c r="AM605" i="16"/>
  <c r="AN605" i="16"/>
  <c r="AL606" i="16"/>
  <c r="AM606" i="16"/>
  <c r="AN606" i="16"/>
  <c r="AL607" i="16"/>
  <c r="AM607" i="16"/>
  <c r="AN607" i="16"/>
  <c r="AL608" i="16"/>
  <c r="AM608" i="16"/>
  <c r="AN608" i="16"/>
  <c r="AL609" i="16"/>
  <c r="AM609" i="16"/>
  <c r="AN609" i="16"/>
  <c r="AL610" i="16"/>
  <c r="AM610" i="16"/>
  <c r="AN610" i="16"/>
  <c r="AL611" i="16"/>
  <c r="AM611" i="16"/>
  <c r="AN611" i="16"/>
  <c r="AL612" i="16"/>
  <c r="AM612" i="16"/>
  <c r="AN612" i="16"/>
  <c r="AL613" i="16"/>
  <c r="AM613" i="16"/>
  <c r="AN613" i="16"/>
  <c r="AL614" i="16"/>
  <c r="AM614" i="16"/>
  <c r="AN614" i="16"/>
  <c r="AL615" i="16"/>
  <c r="AM615" i="16"/>
  <c r="AN615" i="16"/>
  <c r="AL616" i="16"/>
  <c r="AM616" i="16"/>
  <c r="AN616" i="16"/>
  <c r="AL617" i="16"/>
  <c r="AM617" i="16"/>
  <c r="AN617" i="16"/>
  <c r="AL618" i="16"/>
  <c r="AM618" i="16"/>
  <c r="AN618" i="16"/>
  <c r="AL619" i="16"/>
  <c r="AM619" i="16"/>
  <c r="AN619" i="16"/>
  <c r="AL620" i="16"/>
  <c r="AM620" i="16"/>
  <c r="AN620" i="16"/>
  <c r="AL621" i="16"/>
  <c r="AM621" i="16"/>
  <c r="AN621" i="16"/>
  <c r="AL622" i="16"/>
  <c r="AM622" i="16"/>
  <c r="AN622" i="16"/>
  <c r="AL623" i="16"/>
  <c r="AM623" i="16"/>
  <c r="AN623" i="16"/>
  <c r="AL624" i="16"/>
  <c r="AM624" i="16"/>
  <c r="AN624" i="16"/>
  <c r="AL625" i="16"/>
  <c r="AM625" i="16"/>
  <c r="AN625" i="16"/>
  <c r="AL626" i="16"/>
  <c r="AM626" i="16"/>
  <c r="AN626" i="16"/>
  <c r="AL627" i="16"/>
  <c r="AM627" i="16"/>
  <c r="AN627" i="16"/>
  <c r="AL628" i="16"/>
  <c r="AM628" i="16"/>
  <c r="AN628" i="16"/>
  <c r="AL629" i="16"/>
  <c r="AM629" i="16"/>
  <c r="AN629" i="16"/>
  <c r="AL630" i="16"/>
  <c r="AM630" i="16"/>
  <c r="AN630" i="16"/>
  <c r="AL631" i="16"/>
  <c r="AM631" i="16"/>
  <c r="AN631" i="16"/>
  <c r="AL632" i="16"/>
  <c r="AM632" i="16"/>
  <c r="AN632" i="16"/>
  <c r="AL633" i="16"/>
  <c r="AM633" i="16"/>
  <c r="AN633" i="16"/>
  <c r="AL634" i="16"/>
  <c r="AM634" i="16"/>
  <c r="AN634" i="16"/>
  <c r="AL635" i="16"/>
  <c r="AM635" i="16"/>
  <c r="AN635" i="16"/>
  <c r="AL636" i="16"/>
  <c r="AM636" i="16"/>
  <c r="AN636" i="16"/>
  <c r="AL637" i="16"/>
  <c r="AM637" i="16"/>
  <c r="AN637" i="16"/>
  <c r="AL638" i="16"/>
  <c r="AM638" i="16"/>
  <c r="AN638" i="16"/>
  <c r="AL639" i="16"/>
  <c r="AM639" i="16"/>
  <c r="AN639" i="16"/>
  <c r="AL640" i="16"/>
  <c r="AM640" i="16"/>
  <c r="AN640" i="16"/>
  <c r="AL641" i="16"/>
  <c r="AM641" i="16"/>
  <c r="AN641" i="16"/>
  <c r="AL642" i="16"/>
  <c r="AM642" i="16"/>
  <c r="AN642" i="16"/>
  <c r="AL643" i="16"/>
  <c r="AM643" i="16"/>
  <c r="AN643" i="16"/>
  <c r="AL644" i="16"/>
  <c r="AM644" i="16"/>
  <c r="AN644" i="16"/>
  <c r="AL645" i="16"/>
  <c r="AM645" i="16"/>
  <c r="AN645" i="16"/>
  <c r="AL646" i="16"/>
  <c r="AM646" i="16"/>
  <c r="AN646" i="16"/>
  <c r="AL647" i="16"/>
  <c r="AM647" i="16"/>
  <c r="AN647" i="16"/>
  <c r="AL648" i="16"/>
  <c r="AM648" i="16"/>
  <c r="AN648" i="16"/>
  <c r="AL649" i="16"/>
  <c r="AM649" i="16"/>
  <c r="AN649" i="16"/>
  <c r="AL650" i="16"/>
  <c r="AM650" i="16"/>
  <c r="AN650" i="16"/>
  <c r="AL651" i="16"/>
  <c r="AM651" i="16"/>
  <c r="AN651" i="16"/>
  <c r="AL652" i="16"/>
  <c r="AM652" i="16"/>
  <c r="AN652" i="16"/>
  <c r="AL653" i="16"/>
  <c r="AM653" i="16"/>
  <c r="AN653" i="16"/>
  <c r="AL654" i="16"/>
  <c r="AM654" i="16"/>
  <c r="AN654" i="16"/>
  <c r="AL655" i="16"/>
  <c r="AM655" i="16"/>
  <c r="AN655" i="16"/>
  <c r="AL656" i="16"/>
  <c r="AM656" i="16"/>
  <c r="AN656" i="16"/>
  <c r="AL657" i="16"/>
  <c r="AM657" i="16"/>
  <c r="AN657" i="16"/>
  <c r="AL658" i="16"/>
  <c r="AM658" i="16"/>
  <c r="AN658" i="16"/>
  <c r="AL659" i="16"/>
  <c r="AM659" i="16"/>
  <c r="AN659" i="16"/>
  <c r="AL660" i="16"/>
  <c r="AM660" i="16"/>
  <c r="AN660" i="16"/>
  <c r="AL661" i="16"/>
  <c r="AM661" i="16"/>
  <c r="AN661" i="16"/>
  <c r="AL662" i="16"/>
  <c r="AM662" i="16"/>
  <c r="AN662" i="16"/>
  <c r="AL663" i="16"/>
  <c r="AM663" i="16"/>
  <c r="AN663" i="16"/>
  <c r="AL664" i="16"/>
  <c r="AM664" i="16"/>
  <c r="AN664" i="16"/>
  <c r="AL665" i="16"/>
  <c r="AM665" i="16"/>
  <c r="AN665" i="16"/>
  <c r="AL666" i="16"/>
  <c r="AM666" i="16"/>
  <c r="AN666" i="16"/>
  <c r="AL667" i="16"/>
  <c r="AM667" i="16"/>
  <c r="AN667" i="16"/>
  <c r="AL668" i="16"/>
  <c r="AM668" i="16"/>
  <c r="AN668" i="16"/>
  <c r="AL669" i="16"/>
  <c r="AM669" i="16"/>
  <c r="AN669" i="16"/>
  <c r="AL670" i="16"/>
  <c r="AM670" i="16"/>
  <c r="AN670" i="16"/>
  <c r="AL671" i="16"/>
  <c r="AM671" i="16"/>
  <c r="AN671" i="16"/>
  <c r="AL672" i="16"/>
  <c r="AM672" i="16"/>
  <c r="AN672" i="16"/>
  <c r="AL673" i="16"/>
  <c r="AM673" i="16"/>
  <c r="AN673" i="16"/>
  <c r="AL674" i="16"/>
  <c r="AM674" i="16"/>
  <c r="AN674" i="16"/>
  <c r="AL675" i="16"/>
  <c r="AM675" i="16"/>
  <c r="AN675" i="16"/>
  <c r="AL676" i="16"/>
  <c r="AM676" i="16"/>
  <c r="AN676" i="16"/>
  <c r="AL677" i="16"/>
  <c r="AM677" i="16"/>
  <c r="AN677" i="16"/>
  <c r="AL678" i="16"/>
  <c r="AM678" i="16"/>
  <c r="AN678" i="16"/>
  <c r="AL679" i="16"/>
  <c r="AM679" i="16"/>
  <c r="AN679" i="16"/>
  <c r="AL680" i="16"/>
  <c r="AM680" i="16"/>
  <c r="AN680" i="16"/>
  <c r="AL681" i="16"/>
  <c r="AM681" i="16"/>
  <c r="AN681" i="16"/>
  <c r="AL682" i="16"/>
  <c r="AM682" i="16"/>
  <c r="AN682" i="16"/>
  <c r="AL683" i="16"/>
  <c r="AM683" i="16"/>
  <c r="AN683" i="16"/>
  <c r="AL684" i="16"/>
  <c r="AM684" i="16"/>
  <c r="AN684" i="16"/>
  <c r="AL685" i="16"/>
  <c r="AM685" i="16"/>
  <c r="AN685" i="16"/>
  <c r="AL686" i="16"/>
  <c r="AM686" i="16"/>
  <c r="AN686" i="16"/>
  <c r="AL687" i="16"/>
  <c r="AM687" i="16"/>
  <c r="AN687" i="16"/>
  <c r="AL688" i="16"/>
  <c r="AM688" i="16"/>
  <c r="AN688" i="16"/>
  <c r="AL689" i="16"/>
  <c r="AM689" i="16"/>
  <c r="AN689" i="16"/>
  <c r="AL690" i="16"/>
  <c r="AM690" i="16"/>
  <c r="AN690" i="16"/>
  <c r="AL691" i="16"/>
  <c r="AM691" i="16"/>
  <c r="AN691" i="16"/>
  <c r="AL692" i="16"/>
  <c r="AM692" i="16"/>
  <c r="AN692" i="16"/>
  <c r="AL693" i="16"/>
  <c r="AM693" i="16"/>
  <c r="AN693" i="16"/>
  <c r="AL694" i="16"/>
  <c r="AM694" i="16"/>
  <c r="AN694" i="16"/>
  <c r="AL695" i="16"/>
  <c r="AM695" i="16"/>
  <c r="AN695" i="16"/>
  <c r="AL696" i="16"/>
  <c r="AM696" i="16"/>
  <c r="AN696" i="16"/>
  <c r="AL697" i="16"/>
  <c r="AM697" i="16"/>
  <c r="AN697" i="16"/>
  <c r="AL698" i="16"/>
  <c r="AM698" i="16"/>
  <c r="AN698" i="16"/>
  <c r="AL699" i="16"/>
  <c r="AM699" i="16"/>
  <c r="AN699" i="16"/>
  <c r="AL700" i="16"/>
  <c r="AM700" i="16"/>
  <c r="AN700" i="16"/>
  <c r="AL701" i="16"/>
  <c r="AM701" i="16"/>
  <c r="AN701" i="16"/>
  <c r="AL702" i="16"/>
  <c r="AM702" i="16"/>
  <c r="AN702" i="16"/>
  <c r="AL703" i="16"/>
  <c r="AM703" i="16"/>
  <c r="AN703" i="16"/>
  <c r="AL704" i="16"/>
  <c r="AM704" i="16"/>
  <c r="AN704" i="16"/>
  <c r="AL705" i="16"/>
  <c r="AM705" i="16"/>
  <c r="AN705" i="16"/>
  <c r="AL706" i="16"/>
  <c r="AM706" i="16"/>
  <c r="AN706" i="16"/>
  <c r="AL707" i="16"/>
  <c r="AM707" i="16"/>
  <c r="AN707" i="16"/>
  <c r="AL708" i="16"/>
  <c r="AM708" i="16"/>
  <c r="AN708" i="16"/>
  <c r="AL709" i="16"/>
  <c r="AM709" i="16"/>
  <c r="AN709" i="16"/>
  <c r="AL710" i="16"/>
  <c r="AM710" i="16"/>
  <c r="AN710" i="16"/>
  <c r="AL711" i="16"/>
  <c r="AM711" i="16"/>
  <c r="AN711" i="16"/>
  <c r="AL712" i="16"/>
  <c r="AM712" i="16"/>
  <c r="AN712" i="16"/>
  <c r="AL713" i="16"/>
  <c r="AM713" i="16"/>
  <c r="AN713" i="16"/>
  <c r="AL714" i="16"/>
  <c r="AM714" i="16"/>
  <c r="AN714" i="16"/>
  <c r="AL715" i="16"/>
  <c r="AM715" i="16"/>
  <c r="AN715" i="16"/>
  <c r="AL716" i="16"/>
  <c r="AM716" i="16"/>
  <c r="AN716" i="16"/>
  <c r="AL717" i="16"/>
  <c r="AM717" i="16"/>
  <c r="AN717" i="16"/>
  <c r="AL718" i="16"/>
  <c r="AM718" i="16"/>
  <c r="AN718" i="16"/>
  <c r="AL719" i="16"/>
  <c r="AM719" i="16"/>
  <c r="AN719" i="16"/>
  <c r="AL720" i="16"/>
  <c r="AM720" i="16"/>
  <c r="AN720" i="16"/>
  <c r="AL721" i="16"/>
  <c r="AM721" i="16"/>
  <c r="AN721" i="16"/>
  <c r="AL722" i="16"/>
  <c r="AM722" i="16"/>
  <c r="AN722" i="16"/>
  <c r="AL723" i="16"/>
  <c r="AM723" i="16"/>
  <c r="AN723" i="16"/>
  <c r="AL724" i="16"/>
  <c r="AM724" i="16"/>
  <c r="AN724" i="16"/>
  <c r="AL725" i="16"/>
  <c r="AM725" i="16"/>
  <c r="AN725" i="16"/>
  <c r="AL726" i="16"/>
  <c r="AM726" i="16"/>
  <c r="AN726" i="16"/>
  <c r="AL727" i="16"/>
  <c r="AM727" i="16"/>
  <c r="AN727" i="16"/>
  <c r="AL728" i="16"/>
  <c r="AM728" i="16"/>
  <c r="AN728" i="16"/>
  <c r="AL729" i="16"/>
  <c r="AM729" i="16"/>
  <c r="AN729" i="16"/>
  <c r="AL730" i="16"/>
  <c r="AM730" i="16"/>
  <c r="AN730" i="16"/>
  <c r="AL731" i="16"/>
  <c r="AM731" i="16"/>
  <c r="AN731" i="16"/>
  <c r="AL732" i="16"/>
  <c r="AM732" i="16"/>
  <c r="AN732" i="16"/>
  <c r="AL733" i="16"/>
  <c r="AM733" i="16"/>
  <c r="AN733" i="16"/>
  <c r="AL734" i="16"/>
  <c r="AM734" i="16"/>
  <c r="AN734" i="16"/>
  <c r="AL735" i="16"/>
  <c r="AM735" i="16"/>
  <c r="AN735" i="16"/>
  <c r="AL736" i="16"/>
  <c r="AM736" i="16"/>
  <c r="AN736" i="16"/>
  <c r="AL737" i="16"/>
  <c r="AM737" i="16"/>
  <c r="AN737" i="16"/>
  <c r="AL738" i="16"/>
  <c r="AM738" i="16"/>
  <c r="AN738" i="16"/>
  <c r="AL739" i="16"/>
  <c r="AM739" i="16"/>
  <c r="AN739" i="16"/>
  <c r="AL740" i="16"/>
  <c r="AM740" i="16"/>
  <c r="AN740" i="16"/>
  <c r="AL741" i="16"/>
  <c r="AM741" i="16"/>
  <c r="AN741" i="16"/>
  <c r="AL742" i="16"/>
  <c r="AM742" i="16"/>
  <c r="AN742" i="16"/>
  <c r="AL743" i="16"/>
  <c r="AM743" i="16"/>
  <c r="AN743" i="16"/>
  <c r="AL744" i="16"/>
  <c r="AM744" i="16"/>
  <c r="AN744" i="16"/>
  <c r="AL745" i="16"/>
  <c r="AM745" i="16"/>
  <c r="AN745" i="16"/>
  <c r="AL746" i="16"/>
  <c r="AM746" i="16"/>
  <c r="AN746" i="16"/>
  <c r="AL747" i="16"/>
  <c r="AM747" i="16"/>
  <c r="AN747" i="16"/>
  <c r="AL748" i="16"/>
  <c r="AM748" i="16"/>
  <c r="AN748" i="16"/>
  <c r="AL749" i="16"/>
  <c r="AM749" i="16"/>
  <c r="AN749" i="16"/>
  <c r="AL750" i="16"/>
  <c r="AM750" i="16"/>
  <c r="AN750" i="16"/>
  <c r="AL751" i="16"/>
  <c r="AM751" i="16"/>
  <c r="AN751" i="16"/>
  <c r="AL752" i="16"/>
  <c r="AM752" i="16"/>
  <c r="AN752" i="16"/>
  <c r="AL753" i="16"/>
  <c r="AM753" i="16"/>
  <c r="AN753" i="16"/>
  <c r="AL754" i="16"/>
  <c r="AM754" i="16"/>
  <c r="AN754" i="16"/>
  <c r="AL755" i="16"/>
  <c r="AM755" i="16"/>
  <c r="AN755" i="16"/>
  <c r="AL756" i="16"/>
  <c r="AM756" i="16"/>
  <c r="AN756" i="16"/>
  <c r="AL757" i="16"/>
  <c r="AM757" i="16"/>
  <c r="AN757" i="16"/>
  <c r="AL758" i="16"/>
  <c r="AM758" i="16"/>
  <c r="AN758" i="16"/>
  <c r="AL759" i="16"/>
  <c r="AM759" i="16"/>
  <c r="AN759" i="16"/>
  <c r="AL760" i="16"/>
  <c r="AM760" i="16"/>
  <c r="AN760" i="16"/>
  <c r="AL761" i="16"/>
  <c r="AM761" i="16"/>
  <c r="AN761" i="16"/>
  <c r="AL762" i="16"/>
  <c r="AM762" i="16"/>
  <c r="AN762" i="16"/>
  <c r="AL763" i="16"/>
  <c r="AM763" i="16"/>
  <c r="AN763" i="16"/>
  <c r="AL764" i="16"/>
  <c r="AM764" i="16"/>
  <c r="AN764" i="16"/>
  <c r="AL765" i="16"/>
  <c r="AM765" i="16"/>
  <c r="AN765" i="16"/>
  <c r="AL766" i="16"/>
  <c r="AM766" i="16"/>
  <c r="AN766" i="16"/>
  <c r="AL767" i="16"/>
  <c r="AM767" i="16"/>
  <c r="AN767" i="16"/>
  <c r="AL768" i="16"/>
  <c r="AM768" i="16"/>
  <c r="AN768" i="16"/>
  <c r="AL769" i="16"/>
  <c r="AM769" i="16"/>
  <c r="AN769" i="16"/>
  <c r="AL770" i="16"/>
  <c r="AM770" i="16"/>
  <c r="AN770" i="16"/>
  <c r="AL771" i="16"/>
  <c r="AM771" i="16"/>
  <c r="AN771" i="16"/>
  <c r="AL772" i="16"/>
  <c r="AM772" i="16"/>
  <c r="AN772" i="16"/>
  <c r="AL773" i="16"/>
  <c r="AM773" i="16"/>
  <c r="AN773" i="16"/>
  <c r="AL774" i="16"/>
  <c r="AM774" i="16"/>
  <c r="AN774" i="16"/>
  <c r="AL775" i="16"/>
  <c r="AM775" i="16"/>
  <c r="AN775" i="16"/>
  <c r="AL776" i="16"/>
  <c r="AM776" i="16"/>
  <c r="AN776" i="16"/>
  <c r="AL777" i="16"/>
  <c r="AM777" i="16"/>
  <c r="AN777" i="16"/>
  <c r="AL778" i="16"/>
  <c r="AM778" i="16"/>
  <c r="AN778" i="16"/>
  <c r="AL779" i="16"/>
  <c r="AM779" i="16"/>
  <c r="AN779" i="16"/>
  <c r="AL780" i="16"/>
  <c r="AM780" i="16"/>
  <c r="AN780" i="16"/>
  <c r="AL781" i="16"/>
  <c r="AM781" i="16"/>
  <c r="AN781" i="16"/>
  <c r="AL782" i="16"/>
  <c r="AM782" i="16"/>
  <c r="AN782" i="16"/>
  <c r="AL783" i="16"/>
  <c r="AM783" i="16"/>
  <c r="AN783" i="16"/>
  <c r="AL784" i="16"/>
  <c r="AM784" i="16"/>
  <c r="AN784" i="16"/>
  <c r="AL785" i="16"/>
  <c r="AM785" i="16"/>
  <c r="AN785" i="16"/>
  <c r="AL786" i="16"/>
  <c r="AM786" i="16"/>
  <c r="AN786" i="16"/>
  <c r="AL787" i="16"/>
  <c r="AM787" i="16"/>
  <c r="AN787" i="16"/>
  <c r="AL788" i="16"/>
  <c r="AM788" i="16"/>
  <c r="AN788" i="16"/>
  <c r="AL789" i="16"/>
  <c r="AM789" i="16"/>
  <c r="AN789" i="16"/>
  <c r="AL790" i="16"/>
  <c r="AM790" i="16"/>
  <c r="AN790" i="16"/>
  <c r="AL791" i="16"/>
  <c r="AM791" i="16"/>
  <c r="AN791" i="16"/>
  <c r="AL792" i="16"/>
  <c r="AM792" i="16"/>
  <c r="AN792" i="16"/>
  <c r="AL793" i="16"/>
  <c r="AM793" i="16"/>
  <c r="AN793" i="16"/>
  <c r="AL794" i="16"/>
  <c r="AM794" i="16"/>
  <c r="AN794" i="16"/>
  <c r="AL795" i="16"/>
  <c r="AM795" i="16"/>
  <c r="AN795" i="16"/>
  <c r="AL796" i="16"/>
  <c r="AM796" i="16"/>
  <c r="AN796" i="16"/>
  <c r="AL797" i="16"/>
  <c r="AM797" i="16"/>
  <c r="AN797" i="16"/>
  <c r="AL798" i="16"/>
  <c r="AM798" i="16"/>
  <c r="AN798" i="16"/>
  <c r="AL799" i="16"/>
  <c r="AM799" i="16"/>
  <c r="AN799" i="16"/>
  <c r="AL800" i="16"/>
  <c r="AM800" i="16"/>
  <c r="AN800" i="16"/>
  <c r="AL801" i="16"/>
  <c r="AM801" i="16"/>
  <c r="AN801" i="16"/>
  <c r="AL802" i="16"/>
  <c r="AM802" i="16"/>
  <c r="AN802" i="16"/>
  <c r="AL803" i="16"/>
  <c r="AM803" i="16"/>
  <c r="AN803" i="16"/>
  <c r="AL804" i="16"/>
  <c r="AM804" i="16"/>
  <c r="AN804" i="16"/>
  <c r="AL805" i="16"/>
  <c r="AM805" i="16"/>
  <c r="AN805" i="16"/>
  <c r="AL806" i="16"/>
  <c r="AM806" i="16"/>
  <c r="AN806" i="16"/>
  <c r="AL807" i="16"/>
  <c r="AM807" i="16"/>
  <c r="AN807" i="16"/>
  <c r="AL808" i="16"/>
  <c r="AM808" i="16"/>
  <c r="AN808" i="16"/>
  <c r="AL809" i="16"/>
  <c r="AM809" i="16"/>
  <c r="AN809" i="16"/>
  <c r="AL810" i="16"/>
  <c r="AM810" i="16"/>
  <c r="AN810" i="16"/>
  <c r="AL811" i="16"/>
  <c r="AM811" i="16"/>
  <c r="AN811" i="16"/>
  <c r="AL812" i="16"/>
  <c r="AM812" i="16"/>
  <c r="AN812" i="16"/>
  <c r="AL813" i="16"/>
  <c r="AM813" i="16"/>
  <c r="AN813" i="16"/>
  <c r="AL814" i="16"/>
  <c r="AM814" i="16"/>
  <c r="AN814" i="16"/>
  <c r="AL815" i="16"/>
  <c r="AM815" i="16"/>
  <c r="AN815" i="16"/>
  <c r="AL816" i="16"/>
  <c r="AM816" i="16"/>
  <c r="AN816" i="16"/>
  <c r="AL817" i="16"/>
  <c r="AM817" i="16"/>
  <c r="AN817" i="16"/>
  <c r="AL818" i="16"/>
  <c r="AM818" i="16"/>
  <c r="AN818" i="16"/>
  <c r="AL819" i="16"/>
  <c r="AM819" i="16"/>
  <c r="AN819" i="16"/>
  <c r="AL820" i="16"/>
  <c r="AM820" i="16"/>
  <c r="AN820" i="16"/>
  <c r="AL821" i="16"/>
  <c r="AM821" i="16"/>
  <c r="AN821" i="16"/>
  <c r="AL822" i="16"/>
  <c r="AM822" i="16"/>
  <c r="AN822" i="16"/>
  <c r="AL823" i="16"/>
  <c r="AM823" i="16"/>
  <c r="AN823" i="16"/>
  <c r="AL824" i="16"/>
  <c r="AM824" i="16"/>
  <c r="AN824" i="16"/>
  <c r="AL825" i="16"/>
  <c r="AM825" i="16"/>
  <c r="AN825" i="16"/>
  <c r="AL826" i="16"/>
  <c r="AM826" i="16"/>
  <c r="AN826" i="16"/>
  <c r="AL827" i="16"/>
  <c r="AM827" i="16"/>
  <c r="AN827" i="16"/>
  <c r="AL828" i="16"/>
  <c r="AM828" i="16"/>
  <c r="AN828" i="16"/>
  <c r="AL829" i="16"/>
  <c r="AM829" i="16"/>
  <c r="AN829" i="16"/>
  <c r="AL830" i="16"/>
  <c r="AM830" i="16"/>
  <c r="AN830" i="16"/>
  <c r="AL831" i="16"/>
  <c r="AM831" i="16"/>
  <c r="AN831" i="16"/>
  <c r="AL832" i="16"/>
  <c r="AM832" i="16"/>
  <c r="AN832" i="16"/>
  <c r="AL833" i="16"/>
  <c r="AM833" i="16"/>
  <c r="AN833" i="16"/>
  <c r="AL834" i="16"/>
  <c r="AM834" i="16"/>
  <c r="AN834" i="16"/>
  <c r="AL835" i="16"/>
  <c r="AM835" i="16"/>
  <c r="AN835" i="16"/>
  <c r="AL836" i="16"/>
  <c r="AM836" i="16"/>
  <c r="AN836" i="16"/>
  <c r="AL837" i="16"/>
  <c r="AM837" i="16"/>
  <c r="AN837" i="16"/>
  <c r="AL838" i="16"/>
  <c r="AM838" i="16"/>
  <c r="AN838" i="16"/>
  <c r="AL839" i="16"/>
  <c r="AM839" i="16"/>
  <c r="AN839" i="16"/>
  <c r="AL840" i="16"/>
  <c r="AM840" i="16"/>
  <c r="AN840" i="16"/>
  <c r="AL841" i="16"/>
  <c r="AM841" i="16"/>
  <c r="AN841" i="16"/>
  <c r="AL842" i="16"/>
  <c r="AM842" i="16"/>
  <c r="AN842" i="16"/>
  <c r="AL843" i="16"/>
  <c r="AM843" i="16"/>
  <c r="AN843" i="16"/>
  <c r="AL844" i="16"/>
  <c r="AM844" i="16"/>
  <c r="AN844" i="16"/>
  <c r="AL845" i="16"/>
  <c r="AM845" i="16"/>
  <c r="AN845" i="16"/>
  <c r="AL846" i="16"/>
  <c r="AM846" i="16"/>
  <c r="AN846" i="16"/>
  <c r="AL847" i="16"/>
  <c r="AM847" i="16"/>
  <c r="AN847" i="16"/>
  <c r="AL848" i="16"/>
  <c r="AM848" i="16"/>
  <c r="AN848" i="16"/>
  <c r="AL849" i="16"/>
  <c r="AM849" i="16"/>
  <c r="AN849" i="16"/>
  <c r="AL850" i="16"/>
  <c r="AM850" i="16"/>
  <c r="AN850" i="16"/>
  <c r="AL851" i="16"/>
  <c r="AM851" i="16"/>
  <c r="AN851" i="16"/>
  <c r="AL852" i="16"/>
  <c r="AM852" i="16"/>
  <c r="AN852" i="16"/>
  <c r="AL853" i="16"/>
  <c r="AM853" i="16"/>
  <c r="AN853" i="16"/>
  <c r="AL854" i="16"/>
  <c r="AM854" i="16"/>
  <c r="AN854" i="16"/>
  <c r="AL855" i="16"/>
  <c r="AM855" i="16"/>
  <c r="AN855" i="16"/>
  <c r="AL856" i="16"/>
  <c r="AM856" i="16"/>
  <c r="AN856" i="16"/>
  <c r="AL857" i="16"/>
  <c r="AM857" i="16"/>
  <c r="AN857" i="16"/>
  <c r="AL858" i="16"/>
  <c r="AM858" i="16"/>
  <c r="AN858" i="16"/>
  <c r="AL859" i="16"/>
  <c r="AM859" i="16"/>
  <c r="AN859" i="16"/>
  <c r="AL860" i="16"/>
  <c r="AM860" i="16"/>
  <c r="AN860" i="16"/>
  <c r="AL861" i="16"/>
  <c r="AM861" i="16"/>
  <c r="AN861" i="16"/>
  <c r="AL862" i="16"/>
  <c r="AM862" i="16"/>
  <c r="AN862" i="16"/>
  <c r="AL863" i="16"/>
  <c r="AM863" i="16"/>
  <c r="AN863" i="16"/>
  <c r="AL864" i="16"/>
  <c r="AM864" i="16"/>
  <c r="AN864" i="16"/>
  <c r="AL865" i="16"/>
  <c r="AM865" i="16"/>
  <c r="AN865" i="16"/>
  <c r="AL866" i="16"/>
  <c r="AM866" i="16"/>
  <c r="AN866" i="16"/>
  <c r="AL867" i="16"/>
  <c r="AM867" i="16"/>
  <c r="AN867" i="16"/>
  <c r="AL868" i="16"/>
  <c r="AM868" i="16"/>
  <c r="AN868" i="16"/>
  <c r="AL869" i="16"/>
  <c r="AM869" i="16"/>
  <c r="AN869" i="16"/>
  <c r="AL870" i="16"/>
  <c r="AM870" i="16"/>
  <c r="AN870" i="16"/>
  <c r="AL871" i="16"/>
  <c r="AM871" i="16"/>
  <c r="AN871" i="16"/>
  <c r="AL872" i="16"/>
  <c r="AM872" i="16"/>
  <c r="AN872" i="16"/>
  <c r="AL873" i="16"/>
  <c r="AM873" i="16"/>
  <c r="AN873" i="16"/>
  <c r="AL874" i="16"/>
  <c r="AM874" i="16"/>
  <c r="AN874" i="16"/>
  <c r="AL875" i="16"/>
  <c r="AM875" i="16"/>
  <c r="AN875" i="16"/>
  <c r="AL876" i="16"/>
  <c r="AM876" i="16"/>
  <c r="AN876" i="16"/>
  <c r="AL877" i="16"/>
  <c r="AM877" i="16"/>
  <c r="AN877" i="16"/>
  <c r="AL878" i="16"/>
  <c r="AM878" i="16"/>
  <c r="AN878" i="16"/>
  <c r="AL879" i="16"/>
  <c r="AM879" i="16"/>
  <c r="AN879" i="16"/>
  <c r="AL880" i="16"/>
  <c r="AM880" i="16"/>
  <c r="AN880" i="16"/>
  <c r="AL881" i="16"/>
  <c r="AM881" i="16"/>
  <c r="AN881" i="16"/>
  <c r="AL882" i="16"/>
  <c r="AM882" i="16"/>
  <c r="AN882" i="16"/>
  <c r="AL883" i="16"/>
  <c r="AM883" i="16"/>
  <c r="AN883" i="16"/>
  <c r="AL884" i="16"/>
  <c r="AM884" i="16"/>
  <c r="AN884" i="16"/>
  <c r="AL885" i="16"/>
  <c r="AM885" i="16"/>
  <c r="AN885" i="16"/>
  <c r="AL886" i="16"/>
  <c r="AM886" i="16"/>
  <c r="AN886" i="16"/>
  <c r="AL887" i="16"/>
  <c r="AM887" i="16"/>
  <c r="AN887" i="16"/>
  <c r="AL888" i="16"/>
  <c r="AM888" i="16"/>
  <c r="AN888" i="16"/>
  <c r="AL889" i="16"/>
  <c r="AM889" i="16"/>
  <c r="AN889" i="16"/>
  <c r="AL890" i="16"/>
  <c r="AM890" i="16"/>
  <c r="AN890" i="16"/>
  <c r="AL891" i="16"/>
  <c r="AM891" i="16"/>
  <c r="AN891" i="16"/>
  <c r="AL892" i="16"/>
  <c r="AM892" i="16"/>
  <c r="AN892" i="16"/>
  <c r="AL893" i="16"/>
  <c r="AM893" i="16"/>
  <c r="AN893" i="16"/>
  <c r="AL894" i="16"/>
  <c r="AM894" i="16"/>
  <c r="AN894" i="16"/>
  <c r="AL895" i="16"/>
  <c r="AM895" i="16"/>
  <c r="AN895" i="16"/>
  <c r="AL896" i="16"/>
  <c r="AM896" i="16"/>
  <c r="AN896" i="16"/>
  <c r="AL897" i="16"/>
  <c r="AM897" i="16"/>
  <c r="AN897" i="16"/>
  <c r="AL898" i="16"/>
  <c r="AM898" i="16"/>
  <c r="AN898" i="16"/>
  <c r="AL899" i="16"/>
  <c r="AM899" i="16"/>
  <c r="AN899" i="16"/>
  <c r="AL900" i="16"/>
  <c r="AM900" i="16"/>
  <c r="AN900" i="16"/>
  <c r="AL901" i="16"/>
  <c r="AM901" i="16"/>
  <c r="AN901" i="16"/>
  <c r="AL902" i="16"/>
  <c r="AM902" i="16"/>
  <c r="AN902" i="16"/>
  <c r="AL903" i="16"/>
  <c r="AM903" i="16"/>
  <c r="AN903" i="16"/>
  <c r="AL904" i="16"/>
  <c r="AM904" i="16"/>
  <c r="AN904" i="16"/>
  <c r="AL905" i="16"/>
  <c r="AM905" i="16"/>
  <c r="AN905" i="16"/>
  <c r="AL906" i="16"/>
  <c r="AM906" i="16"/>
  <c r="AN906" i="16"/>
  <c r="AL907" i="16"/>
  <c r="AM907" i="16"/>
  <c r="AN907" i="16"/>
  <c r="AL908" i="16"/>
  <c r="AM908" i="16"/>
  <c r="AN908" i="16"/>
  <c r="AL909" i="16"/>
  <c r="AM909" i="16"/>
  <c r="AN909" i="16"/>
  <c r="AL910" i="16"/>
  <c r="AM910" i="16"/>
  <c r="AN910" i="16"/>
  <c r="AL911" i="16"/>
  <c r="AM911" i="16"/>
  <c r="AN911" i="16"/>
  <c r="AL912" i="16"/>
  <c r="AM912" i="16"/>
  <c r="AN912" i="16"/>
  <c r="AL913" i="16"/>
  <c r="AM913" i="16"/>
  <c r="AN913" i="16"/>
  <c r="AL914" i="16"/>
  <c r="AM914" i="16"/>
  <c r="AN914" i="16"/>
  <c r="AL915" i="16"/>
  <c r="AM915" i="16"/>
  <c r="AN915" i="16"/>
  <c r="AL916" i="16"/>
  <c r="AM916" i="16"/>
  <c r="AN916" i="16"/>
  <c r="AL917" i="16"/>
  <c r="AM917" i="16"/>
  <c r="AN917" i="16"/>
  <c r="AL918" i="16"/>
  <c r="AM918" i="16"/>
  <c r="AN918" i="16"/>
  <c r="AL919" i="16"/>
  <c r="AM919" i="16"/>
  <c r="AN919" i="16"/>
  <c r="AL920" i="16"/>
  <c r="AM920" i="16"/>
  <c r="AN920" i="16"/>
  <c r="AL921" i="16"/>
  <c r="AM921" i="16"/>
  <c r="AN921" i="16"/>
  <c r="AL922" i="16"/>
  <c r="AM922" i="16"/>
  <c r="AN922" i="16"/>
  <c r="AL923" i="16"/>
  <c r="AM923" i="16"/>
  <c r="AN923" i="16"/>
  <c r="AL924" i="16"/>
  <c r="AM924" i="16"/>
  <c r="AN924" i="16"/>
  <c r="AL925" i="16"/>
  <c r="AM925" i="16"/>
  <c r="AN925" i="16"/>
  <c r="AL926" i="16"/>
  <c r="AM926" i="16"/>
  <c r="AN926" i="16"/>
  <c r="AL927" i="16"/>
  <c r="AM927" i="16"/>
  <c r="AN927" i="16"/>
  <c r="AL928" i="16"/>
  <c r="AM928" i="16"/>
  <c r="AN928" i="16"/>
  <c r="AL929" i="16"/>
  <c r="AM929" i="16"/>
  <c r="AN929" i="16"/>
  <c r="AL930" i="16"/>
  <c r="AM930" i="16"/>
  <c r="AN930" i="16"/>
  <c r="AL931" i="16"/>
  <c r="AM931" i="16"/>
  <c r="AN931" i="16"/>
  <c r="AL932" i="16"/>
  <c r="AM932" i="16"/>
  <c r="AN932" i="16"/>
  <c r="AL933" i="16"/>
  <c r="AM933" i="16"/>
  <c r="AN933" i="16"/>
  <c r="AL934" i="16"/>
  <c r="AM934" i="16"/>
  <c r="AN934" i="16"/>
  <c r="AL935" i="16"/>
  <c r="AM935" i="16"/>
  <c r="AN935" i="16"/>
  <c r="AL936" i="16"/>
  <c r="AM936" i="16"/>
  <c r="AN936" i="16"/>
  <c r="AL937" i="16"/>
  <c r="AM937" i="16"/>
  <c r="AN937" i="16"/>
  <c r="AL938" i="16"/>
  <c r="AM938" i="16"/>
  <c r="AN938" i="16"/>
  <c r="AL939" i="16"/>
  <c r="AM939" i="16"/>
  <c r="AN939" i="16"/>
  <c r="AL940" i="16"/>
  <c r="AM940" i="16"/>
  <c r="AN940" i="16"/>
  <c r="AL941" i="16"/>
  <c r="AM941" i="16"/>
  <c r="AN941" i="16"/>
  <c r="AL942" i="16"/>
  <c r="AM942" i="16"/>
  <c r="AN942" i="16"/>
  <c r="AL943" i="16"/>
  <c r="AM943" i="16"/>
  <c r="AN943" i="16"/>
  <c r="AL944" i="16"/>
  <c r="AM944" i="16"/>
  <c r="AN944" i="16"/>
  <c r="AL945" i="16"/>
  <c r="AM945" i="16"/>
  <c r="AN945" i="16"/>
  <c r="AL946" i="16"/>
  <c r="AM946" i="16"/>
  <c r="AN946" i="16"/>
  <c r="AL947" i="16"/>
  <c r="AM947" i="16"/>
  <c r="AN947" i="16"/>
  <c r="AL948" i="16"/>
  <c r="AM948" i="16"/>
  <c r="AN948" i="16"/>
  <c r="AL949" i="16"/>
  <c r="AM949" i="16"/>
  <c r="AN949" i="16"/>
  <c r="AL950" i="16"/>
  <c r="AM950" i="16"/>
  <c r="AN950" i="16"/>
  <c r="AL951" i="16"/>
  <c r="AM951" i="16"/>
  <c r="AN951" i="16"/>
  <c r="AL952" i="16"/>
  <c r="AM952" i="16"/>
  <c r="AN952" i="16"/>
  <c r="AL953" i="16"/>
  <c r="AM953" i="16"/>
  <c r="AN953" i="16"/>
  <c r="AL954" i="16"/>
  <c r="AM954" i="16"/>
  <c r="AN954" i="16"/>
  <c r="AL955" i="16"/>
  <c r="AM955" i="16"/>
  <c r="AN955" i="16"/>
  <c r="AL956" i="16"/>
  <c r="AM956" i="16"/>
  <c r="AN956" i="16"/>
  <c r="AL957" i="16"/>
  <c r="AM957" i="16"/>
  <c r="AN957" i="16"/>
  <c r="AL958" i="16"/>
  <c r="AM958" i="16"/>
  <c r="AN958" i="16"/>
  <c r="AL959" i="16"/>
  <c r="AM959" i="16"/>
  <c r="AN959" i="16"/>
  <c r="AL960" i="16"/>
  <c r="AM960" i="16"/>
  <c r="AN960" i="16"/>
  <c r="AL961" i="16"/>
  <c r="AM961" i="16"/>
  <c r="AN961" i="16"/>
  <c r="AL962" i="16"/>
  <c r="AM962" i="16"/>
  <c r="AN962" i="16"/>
  <c r="AL963" i="16"/>
  <c r="AM963" i="16"/>
  <c r="AN963" i="16"/>
  <c r="AL964" i="16"/>
  <c r="AM964" i="16"/>
  <c r="AN964" i="16"/>
  <c r="AL965" i="16"/>
  <c r="AM965" i="16"/>
  <c r="AN965" i="16"/>
  <c r="AL966" i="16"/>
  <c r="AM966" i="16"/>
  <c r="AN966" i="16"/>
  <c r="AL967" i="16"/>
  <c r="AM967" i="16"/>
  <c r="AN967" i="16"/>
  <c r="AL968" i="16"/>
  <c r="AM968" i="16"/>
  <c r="AN968" i="16"/>
  <c r="AL969" i="16"/>
  <c r="AM969" i="16"/>
  <c r="AN969" i="16"/>
  <c r="AL970" i="16"/>
  <c r="AM970" i="16"/>
  <c r="AN970" i="16"/>
  <c r="AL971" i="16"/>
  <c r="AM971" i="16"/>
  <c r="AN971" i="16"/>
  <c r="AL972" i="16"/>
  <c r="AM972" i="16"/>
  <c r="AN972" i="16"/>
  <c r="AL973" i="16"/>
  <c r="AM973" i="16"/>
  <c r="AN973" i="16"/>
  <c r="AL974" i="16"/>
  <c r="AM974" i="16"/>
  <c r="AN974" i="16"/>
  <c r="AL975" i="16"/>
  <c r="AM975" i="16"/>
  <c r="AN975" i="16"/>
  <c r="AL976" i="16"/>
  <c r="AM976" i="16"/>
  <c r="AN976" i="16"/>
  <c r="AL977" i="16"/>
  <c r="AM977" i="16"/>
  <c r="AN977" i="16"/>
  <c r="AL978" i="16"/>
  <c r="AM978" i="16"/>
  <c r="AN978" i="16"/>
  <c r="AL979" i="16"/>
  <c r="AM979" i="16"/>
  <c r="AN979" i="16"/>
  <c r="AL980" i="16"/>
  <c r="AM980" i="16"/>
  <c r="AN980" i="16"/>
  <c r="AL981" i="16"/>
  <c r="AM981" i="16"/>
  <c r="AN981" i="16"/>
  <c r="AL982" i="16"/>
  <c r="AM982" i="16"/>
  <c r="AN982" i="16"/>
  <c r="AL983" i="16"/>
  <c r="AM983" i="16"/>
  <c r="AN983" i="16"/>
  <c r="AL984" i="16"/>
  <c r="AM984" i="16"/>
  <c r="AN984" i="16"/>
  <c r="AL985" i="16"/>
  <c r="AM985" i="16"/>
  <c r="AN985" i="16"/>
  <c r="AL986" i="16"/>
  <c r="AM986" i="16"/>
  <c r="AN986" i="16"/>
  <c r="AL987" i="16"/>
  <c r="AM987" i="16"/>
  <c r="AN987" i="16"/>
  <c r="AL988" i="16"/>
  <c r="AM988" i="16"/>
  <c r="AN988" i="16"/>
  <c r="AL989" i="16"/>
  <c r="AM989" i="16"/>
  <c r="AN989" i="16"/>
  <c r="AL990" i="16"/>
  <c r="AM990" i="16"/>
  <c r="AN990" i="16"/>
  <c r="AL991" i="16"/>
  <c r="AM991" i="16"/>
  <c r="AN991" i="16"/>
  <c r="AL992" i="16"/>
  <c r="AM992" i="16"/>
  <c r="AN992" i="16"/>
  <c r="AL993" i="16"/>
  <c r="AM993" i="16"/>
  <c r="AN993" i="16"/>
  <c r="AL994" i="16"/>
  <c r="AM994" i="16"/>
  <c r="AN994" i="16"/>
  <c r="AL995" i="16"/>
  <c r="AM995" i="16"/>
  <c r="AN995" i="16"/>
  <c r="AL996" i="16"/>
  <c r="AM996" i="16"/>
  <c r="AN996" i="16"/>
  <c r="AL997" i="16"/>
  <c r="AM997" i="16"/>
  <c r="AN997" i="16"/>
  <c r="AL998" i="16"/>
  <c r="AM998" i="16"/>
  <c r="AN998" i="16"/>
  <c r="AL999" i="16"/>
  <c r="AM999" i="16"/>
  <c r="AN999" i="16"/>
  <c r="AL1000" i="16"/>
  <c r="AM1000" i="16"/>
  <c r="AN1000" i="16"/>
  <c r="AL1001" i="16"/>
  <c r="AM1001" i="16"/>
  <c r="AN1001" i="16"/>
  <c r="AL1002" i="16"/>
  <c r="AM1002" i="16"/>
  <c r="AN1002" i="16"/>
  <c r="AL1003" i="16"/>
  <c r="AM1003" i="16"/>
  <c r="AN1003" i="16"/>
  <c r="AL1004" i="16"/>
  <c r="AM1004" i="16"/>
  <c r="AN1004" i="16"/>
  <c r="AL1005" i="16"/>
  <c r="AM1005" i="16"/>
  <c r="AN1005" i="16"/>
  <c r="AL1006" i="16"/>
  <c r="AM1006" i="16"/>
  <c r="AN1006" i="16"/>
  <c r="AL1007" i="16"/>
  <c r="AM1007" i="16"/>
  <c r="AN1007" i="16"/>
  <c r="AL1008" i="16"/>
  <c r="AM1008" i="16"/>
  <c r="AN1008" i="16"/>
  <c r="AL1009" i="16"/>
  <c r="AM1009" i="16"/>
  <c r="AN1009" i="16"/>
  <c r="AL1010" i="16"/>
  <c r="AM1010" i="16"/>
  <c r="AN1010" i="16"/>
  <c r="AL1011" i="16"/>
  <c r="AM1011" i="16"/>
  <c r="AN1011" i="16"/>
  <c r="AL1012" i="16"/>
  <c r="AM1012" i="16"/>
  <c r="AN1012" i="16"/>
  <c r="AL1013" i="16"/>
  <c r="AM1013" i="16"/>
  <c r="AN1013" i="16"/>
  <c r="AL1014" i="16"/>
  <c r="AM1014" i="16"/>
  <c r="AN1014" i="16"/>
  <c r="AL1015" i="16"/>
  <c r="AM1015" i="16"/>
  <c r="AN1015" i="16"/>
  <c r="AL1016" i="16"/>
  <c r="AM1016" i="16"/>
  <c r="AN1016" i="16"/>
  <c r="AL1017" i="16"/>
  <c r="AM1017" i="16"/>
  <c r="AN1017" i="16"/>
  <c r="AL1018" i="16"/>
  <c r="AM1018" i="16"/>
  <c r="AN1018" i="16"/>
  <c r="AL1019" i="16"/>
  <c r="AM1019" i="16"/>
  <c r="AN1019" i="16"/>
  <c r="AL1020" i="16"/>
  <c r="AM1020" i="16"/>
  <c r="AN1020" i="16"/>
  <c r="AL1021" i="16"/>
  <c r="AM1021" i="16"/>
  <c r="AN1021" i="16"/>
  <c r="AL1022" i="16"/>
  <c r="AM1022" i="16"/>
  <c r="AN1022" i="16"/>
  <c r="AL1023" i="16"/>
  <c r="AM1023" i="16"/>
  <c r="AN1023" i="16"/>
  <c r="AL1024" i="16"/>
  <c r="AM1024" i="16"/>
  <c r="AN1024" i="16"/>
  <c r="AL1025" i="16"/>
  <c r="AM1025" i="16"/>
  <c r="AN1025" i="16"/>
  <c r="AL1026" i="16"/>
  <c r="AM1026" i="16"/>
  <c r="AN1026" i="16"/>
  <c r="AL1027" i="16"/>
  <c r="AM1027" i="16"/>
  <c r="AN1027" i="16"/>
  <c r="AL1028" i="16"/>
  <c r="AM1028" i="16"/>
  <c r="AN1028" i="16"/>
  <c r="AL1029" i="16"/>
  <c r="AM1029" i="16"/>
  <c r="AN1029" i="16"/>
  <c r="AL1030" i="16"/>
  <c r="AM1030" i="16"/>
  <c r="AN1030" i="16"/>
  <c r="AL1031" i="16"/>
  <c r="AM1031" i="16"/>
  <c r="AN1031" i="16"/>
  <c r="AL1032" i="16"/>
  <c r="AM1032" i="16"/>
  <c r="AN1032" i="16"/>
  <c r="AL1033" i="16"/>
  <c r="AM1033" i="16"/>
  <c r="AN1033" i="16"/>
  <c r="AL1034" i="16"/>
  <c r="AM1034" i="16"/>
  <c r="AN1034" i="16"/>
  <c r="AL1035" i="16"/>
  <c r="AM1035" i="16"/>
  <c r="AN1035" i="16"/>
  <c r="AL1036" i="16"/>
  <c r="AM1036" i="16"/>
  <c r="AN1036" i="16"/>
  <c r="AL1037" i="16"/>
  <c r="AM1037" i="16"/>
  <c r="AN1037" i="16"/>
  <c r="AL1038" i="16"/>
  <c r="AM1038" i="16"/>
  <c r="AN1038" i="16"/>
  <c r="AL1039" i="16"/>
  <c r="AM1039" i="16"/>
  <c r="AN1039" i="16"/>
  <c r="AL1040" i="16"/>
  <c r="AM1040" i="16"/>
  <c r="AN1040" i="16"/>
  <c r="AL1041" i="16"/>
  <c r="AM1041" i="16"/>
  <c r="AN1041" i="16"/>
  <c r="AL1042" i="16"/>
  <c r="AM1042" i="16"/>
  <c r="AN1042" i="16"/>
  <c r="AL1043" i="16"/>
  <c r="AM1043" i="16"/>
  <c r="AN1043" i="16"/>
  <c r="AL1044" i="16"/>
  <c r="AM1044" i="16"/>
  <c r="AN1044" i="16"/>
  <c r="AL1045" i="16"/>
  <c r="AM1045" i="16"/>
  <c r="AN1045" i="16"/>
  <c r="AL1046" i="16"/>
  <c r="AM1046" i="16"/>
  <c r="AN1046" i="16"/>
  <c r="AL1047" i="16"/>
  <c r="AM1047" i="16"/>
  <c r="AN1047" i="16"/>
  <c r="AL1048" i="16"/>
  <c r="AM1048" i="16"/>
  <c r="AN1048" i="16"/>
  <c r="AL1049" i="16"/>
  <c r="AM1049" i="16"/>
  <c r="AN1049" i="16"/>
  <c r="AL1050" i="16"/>
  <c r="AM1050" i="16"/>
  <c r="AN1050" i="16"/>
  <c r="AL1051" i="16"/>
  <c r="AM1051" i="16"/>
  <c r="AN1051" i="16"/>
  <c r="AL1052" i="16"/>
  <c r="AM1052" i="16"/>
  <c r="AN1052" i="16"/>
  <c r="AL1053" i="16"/>
  <c r="AM1053" i="16"/>
  <c r="AN1053" i="16"/>
  <c r="AL1054" i="16"/>
  <c r="AM1054" i="16"/>
  <c r="AN1054" i="16"/>
  <c r="AL1055" i="16"/>
  <c r="AM1055" i="16"/>
  <c r="AN1055" i="16"/>
  <c r="AL1056" i="16"/>
  <c r="AM1056" i="16"/>
  <c r="AN1056" i="16"/>
  <c r="AL1057" i="16"/>
  <c r="AM1057" i="16"/>
  <c r="AN1057" i="16"/>
  <c r="AL1058" i="16"/>
  <c r="AM1058" i="16"/>
  <c r="AN1058" i="16"/>
  <c r="AL1059" i="16"/>
  <c r="AM1059" i="16"/>
  <c r="AN1059" i="16"/>
  <c r="AL1060" i="16"/>
  <c r="AM1060" i="16"/>
  <c r="AN1060" i="16"/>
  <c r="AL1061" i="16"/>
  <c r="AM1061" i="16"/>
  <c r="AN1061" i="16"/>
  <c r="AL1062" i="16"/>
  <c r="AM1062" i="16"/>
  <c r="AN1062" i="16"/>
  <c r="AL1063" i="16"/>
  <c r="AM1063" i="16"/>
  <c r="AN1063" i="16"/>
  <c r="AL1064" i="16"/>
  <c r="AM1064" i="16"/>
  <c r="AN1064" i="16"/>
  <c r="AL1065" i="16"/>
  <c r="AM1065" i="16"/>
  <c r="AN1065" i="16"/>
  <c r="AL1066" i="16"/>
  <c r="AM1066" i="16"/>
  <c r="AN1066" i="16"/>
  <c r="AL1067" i="16"/>
  <c r="AM1067" i="16"/>
  <c r="AN1067" i="16"/>
  <c r="AL1068" i="16"/>
  <c r="AM1068" i="16"/>
  <c r="AN1068" i="16"/>
  <c r="AL1069" i="16"/>
  <c r="AM1069" i="16"/>
  <c r="AN1069" i="16"/>
  <c r="AL1070" i="16"/>
  <c r="AM1070" i="16"/>
  <c r="AN1070" i="16"/>
  <c r="AL1071" i="16"/>
  <c r="AM1071" i="16"/>
  <c r="AN1071" i="16"/>
  <c r="AL1072" i="16"/>
  <c r="AM1072" i="16"/>
  <c r="AN1072" i="16"/>
  <c r="AL1073" i="16"/>
  <c r="AM1073" i="16"/>
  <c r="AN1073" i="16"/>
  <c r="AL1074" i="16"/>
  <c r="AM1074" i="16"/>
  <c r="AN1074" i="16"/>
  <c r="AL1075" i="16"/>
  <c r="AM1075" i="16"/>
  <c r="AN1075" i="16"/>
  <c r="AL1076" i="16"/>
  <c r="AM1076" i="16"/>
  <c r="AN1076" i="16"/>
  <c r="AL1077" i="16"/>
  <c r="AM1077" i="16"/>
  <c r="AN1077" i="16"/>
  <c r="AL1078" i="16"/>
  <c r="AM1078" i="16"/>
  <c r="AN1078" i="16"/>
  <c r="AL1079" i="16"/>
  <c r="AM1079" i="16"/>
  <c r="AN1079" i="16"/>
  <c r="AL1080" i="16"/>
  <c r="AM1080" i="16"/>
  <c r="AN1080" i="16"/>
  <c r="AL1081" i="16"/>
  <c r="AM1081" i="16"/>
  <c r="AN1081" i="16"/>
  <c r="AL1082" i="16"/>
  <c r="AM1082" i="16"/>
  <c r="AN1082" i="16"/>
  <c r="AL1083" i="16"/>
  <c r="AM1083" i="16"/>
  <c r="AN1083" i="16"/>
  <c r="AL1084" i="16"/>
  <c r="AM1084" i="16"/>
  <c r="AN1084" i="16"/>
  <c r="AL1085" i="16"/>
  <c r="AM1085" i="16"/>
  <c r="AN1085" i="16"/>
  <c r="AL1086" i="16"/>
  <c r="AM1086" i="16"/>
  <c r="AN1086" i="16"/>
  <c r="AL1087" i="16"/>
  <c r="AM1087" i="16"/>
  <c r="AN1087" i="16"/>
  <c r="AN547" i="16"/>
  <c r="AM547" i="16"/>
  <c r="AL547" i="16"/>
  <c r="AL6" i="16"/>
  <c r="AM6" i="16"/>
  <c r="AN6" i="16"/>
  <c r="AL7" i="16"/>
  <c r="AM7" i="16"/>
  <c r="AN7" i="16"/>
  <c r="AL8" i="16"/>
  <c r="AM8" i="16"/>
  <c r="AN8" i="16"/>
  <c r="AL9" i="16"/>
  <c r="AM9" i="16"/>
  <c r="AN9" i="16"/>
  <c r="AL10" i="16"/>
  <c r="AM10" i="16"/>
  <c r="AN10" i="16"/>
  <c r="AL11" i="16"/>
  <c r="AM11" i="16"/>
  <c r="AN11" i="16"/>
  <c r="AL12" i="16"/>
  <c r="AM12" i="16"/>
  <c r="AN12" i="16"/>
  <c r="AL13" i="16"/>
  <c r="AM13" i="16"/>
  <c r="AN13" i="16"/>
  <c r="AL14" i="16"/>
  <c r="AM14" i="16"/>
  <c r="AN14" i="16"/>
  <c r="AL15" i="16"/>
  <c r="AM15" i="16"/>
  <c r="AN15" i="16"/>
  <c r="AL16" i="16"/>
  <c r="AM16" i="16"/>
  <c r="AN16" i="16"/>
  <c r="AL17" i="16"/>
  <c r="AM17" i="16"/>
  <c r="AN17" i="16"/>
  <c r="AL18" i="16"/>
  <c r="AM18" i="16"/>
  <c r="AN18" i="16"/>
  <c r="AL19" i="16"/>
  <c r="AM19" i="16"/>
  <c r="AN19" i="16"/>
  <c r="AL20" i="16"/>
  <c r="AM20" i="16"/>
  <c r="AN20" i="16"/>
  <c r="AL21" i="16"/>
  <c r="AM21" i="16"/>
  <c r="AN21" i="16"/>
  <c r="AL22" i="16"/>
  <c r="AM22" i="16"/>
  <c r="AN22" i="16"/>
  <c r="AL23" i="16"/>
  <c r="AM23" i="16"/>
  <c r="AN23" i="16"/>
  <c r="AL24" i="16"/>
  <c r="AM24" i="16"/>
  <c r="AN24" i="16"/>
  <c r="AL25" i="16"/>
  <c r="AM25" i="16"/>
  <c r="AN25" i="16"/>
  <c r="AL26" i="16"/>
  <c r="AM26" i="16"/>
  <c r="AN26" i="16"/>
  <c r="AL27" i="16"/>
  <c r="AM27" i="16"/>
  <c r="AN27" i="16"/>
  <c r="AL28" i="16"/>
  <c r="AM28" i="16"/>
  <c r="AN28" i="16"/>
  <c r="AL29" i="16"/>
  <c r="AM29" i="16"/>
  <c r="AN29" i="16"/>
  <c r="AL30" i="16"/>
  <c r="AM30" i="16"/>
  <c r="AN30" i="16"/>
  <c r="AL31" i="16"/>
  <c r="AM31" i="16"/>
  <c r="AN31" i="16"/>
  <c r="AL32" i="16"/>
  <c r="AM32" i="16"/>
  <c r="AN32" i="16"/>
  <c r="AL33" i="16"/>
  <c r="AM33" i="16"/>
  <c r="AN33" i="16"/>
  <c r="AL34" i="16"/>
  <c r="AM34" i="16"/>
  <c r="AN34" i="16"/>
  <c r="AL35" i="16"/>
  <c r="AM35" i="16"/>
  <c r="AN35" i="16"/>
  <c r="AL36" i="16"/>
  <c r="AM36" i="16"/>
  <c r="AN36" i="16"/>
  <c r="AL37" i="16"/>
  <c r="AM37" i="16"/>
  <c r="AN37" i="16"/>
  <c r="AL38" i="16"/>
  <c r="AM38" i="16"/>
  <c r="AN38" i="16"/>
  <c r="AL39" i="16"/>
  <c r="AM39" i="16"/>
  <c r="AN39" i="16"/>
  <c r="AL40" i="16"/>
  <c r="AM40" i="16"/>
  <c r="AN40" i="16"/>
  <c r="AL41" i="16"/>
  <c r="AM41" i="16"/>
  <c r="AN41" i="16"/>
  <c r="AL42" i="16"/>
  <c r="AM42" i="16"/>
  <c r="AN42" i="16"/>
  <c r="AL43" i="16"/>
  <c r="AM43" i="16"/>
  <c r="AN43" i="16"/>
  <c r="AL44" i="16"/>
  <c r="AM44" i="16"/>
  <c r="AN44" i="16"/>
  <c r="AL45" i="16"/>
  <c r="AM45" i="16"/>
  <c r="AN45" i="16"/>
  <c r="AL46" i="16"/>
  <c r="AM46" i="16"/>
  <c r="AN46" i="16"/>
  <c r="AL47" i="16"/>
  <c r="AM47" i="16"/>
  <c r="AN47" i="16"/>
  <c r="AL48" i="16"/>
  <c r="AM48" i="16"/>
  <c r="AN48" i="16"/>
  <c r="AL49" i="16"/>
  <c r="AM49" i="16"/>
  <c r="AN49" i="16"/>
  <c r="AL50" i="16"/>
  <c r="AM50" i="16"/>
  <c r="AN50" i="16"/>
  <c r="AL51" i="16"/>
  <c r="AM51" i="16"/>
  <c r="AN51" i="16"/>
  <c r="AL52" i="16"/>
  <c r="AM52" i="16"/>
  <c r="AN52" i="16"/>
  <c r="AL53" i="16"/>
  <c r="AM53" i="16"/>
  <c r="AN53" i="16"/>
  <c r="AL54" i="16"/>
  <c r="AM54" i="16"/>
  <c r="AN54" i="16"/>
  <c r="AL55" i="16"/>
  <c r="AM55" i="16"/>
  <c r="AN55" i="16"/>
  <c r="AL56" i="16"/>
  <c r="AM56" i="16"/>
  <c r="AN56" i="16"/>
  <c r="AL57" i="16"/>
  <c r="AM57" i="16"/>
  <c r="AN57" i="16"/>
  <c r="AL58" i="16"/>
  <c r="AM58" i="16"/>
  <c r="AN58" i="16"/>
  <c r="AL59" i="16"/>
  <c r="AM59" i="16"/>
  <c r="AN59" i="16"/>
  <c r="AL60" i="16"/>
  <c r="AM60" i="16"/>
  <c r="AN60" i="16"/>
  <c r="AL61" i="16"/>
  <c r="AM61" i="16"/>
  <c r="AN61" i="16"/>
  <c r="AL62" i="16"/>
  <c r="AM62" i="16"/>
  <c r="AN62" i="16"/>
  <c r="AL63" i="16"/>
  <c r="AM63" i="16"/>
  <c r="AN63" i="16"/>
  <c r="AL64" i="16"/>
  <c r="AM64" i="16"/>
  <c r="AN64" i="16"/>
  <c r="AL65" i="16"/>
  <c r="AM65" i="16"/>
  <c r="AN65" i="16"/>
  <c r="AL66" i="16"/>
  <c r="AM66" i="16"/>
  <c r="AN66" i="16"/>
  <c r="AL67" i="16"/>
  <c r="AM67" i="16"/>
  <c r="AN67" i="16"/>
  <c r="AL68" i="16"/>
  <c r="AM68" i="16"/>
  <c r="AN68" i="16"/>
  <c r="AL69" i="16"/>
  <c r="AM69" i="16"/>
  <c r="AN69" i="16"/>
  <c r="AL70" i="16"/>
  <c r="AM70" i="16"/>
  <c r="AN70" i="16"/>
  <c r="AL71" i="16"/>
  <c r="AM71" i="16"/>
  <c r="AN71" i="16"/>
  <c r="AL72" i="16"/>
  <c r="AM72" i="16"/>
  <c r="AN72" i="16"/>
  <c r="AL73" i="16"/>
  <c r="AM73" i="16"/>
  <c r="AN73" i="16"/>
  <c r="AL74" i="16"/>
  <c r="AM74" i="16"/>
  <c r="AN74" i="16"/>
  <c r="AL75" i="16"/>
  <c r="AM75" i="16"/>
  <c r="AN75" i="16"/>
  <c r="AL76" i="16"/>
  <c r="AM76" i="16"/>
  <c r="AN76" i="16"/>
  <c r="AL77" i="16"/>
  <c r="AM77" i="16"/>
  <c r="AN77" i="16"/>
  <c r="AL78" i="16"/>
  <c r="AM78" i="16"/>
  <c r="AN78" i="16"/>
  <c r="AL79" i="16"/>
  <c r="AM79" i="16"/>
  <c r="AN79" i="16"/>
  <c r="AL80" i="16"/>
  <c r="AM80" i="16"/>
  <c r="AN80" i="16"/>
  <c r="AL81" i="16"/>
  <c r="AM81" i="16"/>
  <c r="AN81" i="16"/>
  <c r="AL82" i="16"/>
  <c r="AM82" i="16"/>
  <c r="AN82" i="16"/>
  <c r="AL83" i="16"/>
  <c r="AM83" i="16"/>
  <c r="AN83" i="16"/>
  <c r="AL84" i="16"/>
  <c r="AM84" i="16"/>
  <c r="AN84" i="16"/>
  <c r="AL85" i="16"/>
  <c r="AM85" i="16"/>
  <c r="AN85" i="16"/>
  <c r="AL86" i="16"/>
  <c r="AM86" i="16"/>
  <c r="AN86" i="16"/>
  <c r="AL87" i="16"/>
  <c r="AM87" i="16"/>
  <c r="AN87" i="16"/>
  <c r="AL88" i="16"/>
  <c r="AM88" i="16"/>
  <c r="AN88" i="16"/>
  <c r="AL89" i="16"/>
  <c r="AM89" i="16"/>
  <c r="AN89" i="16"/>
  <c r="AL90" i="16"/>
  <c r="AM90" i="16"/>
  <c r="AN90" i="16"/>
  <c r="AL91" i="16"/>
  <c r="AM91" i="16"/>
  <c r="AN91" i="16"/>
  <c r="AL92" i="16"/>
  <c r="AM92" i="16"/>
  <c r="AN92" i="16"/>
  <c r="AL93" i="16"/>
  <c r="AM93" i="16"/>
  <c r="AN93" i="16"/>
  <c r="AL94" i="16"/>
  <c r="AM94" i="16"/>
  <c r="AN94" i="16"/>
  <c r="AL95" i="16"/>
  <c r="AM95" i="16"/>
  <c r="AN95" i="16"/>
  <c r="AL96" i="16"/>
  <c r="AM96" i="16"/>
  <c r="AN96" i="16"/>
  <c r="AL97" i="16"/>
  <c r="AM97" i="16"/>
  <c r="AN97" i="16"/>
  <c r="AL98" i="16"/>
  <c r="AM98" i="16"/>
  <c r="AN98" i="16"/>
  <c r="AL99" i="16"/>
  <c r="AM99" i="16"/>
  <c r="AN99" i="16"/>
  <c r="AL100" i="16"/>
  <c r="AM100" i="16"/>
  <c r="AN100" i="16"/>
  <c r="AL101" i="16"/>
  <c r="AM101" i="16"/>
  <c r="AN101" i="16"/>
  <c r="AL102" i="16"/>
  <c r="AM102" i="16"/>
  <c r="AN102" i="16"/>
  <c r="AL103" i="16"/>
  <c r="AM103" i="16"/>
  <c r="AN103" i="16"/>
  <c r="AL104" i="16"/>
  <c r="AM104" i="16"/>
  <c r="AN104" i="16"/>
  <c r="AL105" i="16"/>
  <c r="AM105" i="16"/>
  <c r="AN105" i="16"/>
  <c r="AL106" i="16"/>
  <c r="AM106" i="16"/>
  <c r="AN106" i="16"/>
  <c r="AL107" i="16"/>
  <c r="AM107" i="16"/>
  <c r="AN107" i="16"/>
  <c r="AL108" i="16"/>
  <c r="AM108" i="16"/>
  <c r="AN108" i="16"/>
  <c r="AL109" i="16"/>
  <c r="AM109" i="16"/>
  <c r="AN109" i="16"/>
  <c r="AL110" i="16"/>
  <c r="AM110" i="16"/>
  <c r="AN110" i="16"/>
  <c r="AL111" i="16"/>
  <c r="AM111" i="16"/>
  <c r="AN111" i="16"/>
  <c r="AL112" i="16"/>
  <c r="AM112" i="16"/>
  <c r="AN112" i="16"/>
  <c r="AL113" i="16"/>
  <c r="AM113" i="16"/>
  <c r="AN113" i="16"/>
  <c r="AL114" i="16"/>
  <c r="AM114" i="16"/>
  <c r="AN114" i="16"/>
  <c r="AL115" i="16"/>
  <c r="AM115" i="16"/>
  <c r="AN115" i="16"/>
  <c r="AL116" i="16"/>
  <c r="AM116" i="16"/>
  <c r="AN116" i="16"/>
  <c r="AL117" i="16"/>
  <c r="AM117" i="16"/>
  <c r="AN117" i="16"/>
  <c r="AL118" i="16"/>
  <c r="AM118" i="16"/>
  <c r="AN118" i="16"/>
  <c r="AL119" i="16"/>
  <c r="AM119" i="16"/>
  <c r="AN119" i="16"/>
  <c r="AL120" i="16"/>
  <c r="AM120" i="16"/>
  <c r="AN120" i="16"/>
  <c r="AL121" i="16"/>
  <c r="AM121" i="16"/>
  <c r="AN121" i="16"/>
  <c r="AL122" i="16"/>
  <c r="AM122" i="16"/>
  <c r="AN122" i="16"/>
  <c r="AL123" i="16"/>
  <c r="AM123" i="16"/>
  <c r="AN123" i="16"/>
  <c r="AL124" i="16"/>
  <c r="AM124" i="16"/>
  <c r="AN124" i="16"/>
  <c r="AL125" i="16"/>
  <c r="AM125" i="16"/>
  <c r="AN125" i="16"/>
  <c r="AL126" i="16"/>
  <c r="AM126" i="16"/>
  <c r="AN126" i="16"/>
  <c r="AL127" i="16"/>
  <c r="AM127" i="16"/>
  <c r="AN127" i="16"/>
  <c r="AL128" i="16"/>
  <c r="AM128" i="16"/>
  <c r="AN128" i="16"/>
  <c r="AL129" i="16"/>
  <c r="AM129" i="16"/>
  <c r="AN129" i="16"/>
  <c r="AL130" i="16"/>
  <c r="AM130" i="16"/>
  <c r="AN130" i="16"/>
  <c r="AL131" i="16"/>
  <c r="AM131" i="16"/>
  <c r="AN131" i="16"/>
  <c r="AL132" i="16"/>
  <c r="AM132" i="16"/>
  <c r="AN132" i="16"/>
  <c r="AL133" i="16"/>
  <c r="AM133" i="16"/>
  <c r="AN133" i="16"/>
  <c r="AL134" i="16"/>
  <c r="AM134" i="16"/>
  <c r="AN134" i="16"/>
  <c r="AL135" i="16"/>
  <c r="AM135" i="16"/>
  <c r="AN135" i="16"/>
  <c r="AL136" i="16"/>
  <c r="AM136" i="16"/>
  <c r="AN136" i="16"/>
  <c r="AL137" i="16"/>
  <c r="AM137" i="16"/>
  <c r="AN137" i="16"/>
  <c r="AL138" i="16"/>
  <c r="AM138" i="16"/>
  <c r="AN138" i="16"/>
  <c r="AL139" i="16"/>
  <c r="AM139" i="16"/>
  <c r="AN139" i="16"/>
  <c r="AL140" i="16"/>
  <c r="AM140" i="16"/>
  <c r="AN140" i="16"/>
  <c r="AL141" i="16"/>
  <c r="AM141" i="16"/>
  <c r="AN141" i="16"/>
  <c r="AL142" i="16"/>
  <c r="AM142" i="16"/>
  <c r="AN142" i="16"/>
  <c r="AL143" i="16"/>
  <c r="AM143" i="16"/>
  <c r="AN143" i="16"/>
  <c r="AL144" i="16"/>
  <c r="AM144" i="16"/>
  <c r="AN144" i="16"/>
  <c r="AL145" i="16"/>
  <c r="AM145" i="16"/>
  <c r="AN145" i="16"/>
  <c r="AL146" i="16"/>
  <c r="AM146" i="16"/>
  <c r="AN146" i="16"/>
  <c r="AL147" i="16"/>
  <c r="AM147" i="16"/>
  <c r="AN147" i="16"/>
  <c r="AL148" i="16"/>
  <c r="AM148" i="16"/>
  <c r="AN148" i="16"/>
  <c r="AL149" i="16"/>
  <c r="AM149" i="16"/>
  <c r="AN149" i="16"/>
  <c r="AL150" i="16"/>
  <c r="AM150" i="16"/>
  <c r="AN150" i="16"/>
  <c r="AL151" i="16"/>
  <c r="AM151" i="16"/>
  <c r="AN151" i="16"/>
  <c r="AL152" i="16"/>
  <c r="AM152" i="16"/>
  <c r="AN152" i="16"/>
  <c r="AL153" i="16"/>
  <c r="AM153" i="16"/>
  <c r="AN153" i="16"/>
  <c r="AL154" i="16"/>
  <c r="AM154" i="16"/>
  <c r="AN154" i="16"/>
  <c r="AL155" i="16"/>
  <c r="AM155" i="16"/>
  <c r="AN155" i="16"/>
  <c r="AL156" i="16"/>
  <c r="AM156" i="16"/>
  <c r="AN156" i="16"/>
  <c r="AL157" i="16"/>
  <c r="AM157" i="16"/>
  <c r="AN157" i="16"/>
  <c r="AL158" i="16"/>
  <c r="AM158" i="16"/>
  <c r="AN158" i="16"/>
  <c r="AL159" i="16"/>
  <c r="AM159" i="16"/>
  <c r="AN159" i="16"/>
  <c r="AL160" i="16"/>
  <c r="AM160" i="16"/>
  <c r="AN160" i="16"/>
  <c r="AL161" i="16"/>
  <c r="AM161" i="16"/>
  <c r="AN161" i="16"/>
  <c r="AL162" i="16"/>
  <c r="AM162" i="16"/>
  <c r="AN162" i="16"/>
  <c r="AL163" i="16"/>
  <c r="AM163" i="16"/>
  <c r="AN163" i="16"/>
  <c r="AL164" i="16"/>
  <c r="AM164" i="16"/>
  <c r="AN164" i="16"/>
  <c r="AL165" i="16"/>
  <c r="AM165" i="16"/>
  <c r="AN165" i="16"/>
  <c r="AL166" i="16"/>
  <c r="AM166" i="16"/>
  <c r="AN166" i="16"/>
  <c r="AL167" i="16"/>
  <c r="AM167" i="16"/>
  <c r="AN167" i="16"/>
  <c r="AL168" i="16"/>
  <c r="AM168" i="16"/>
  <c r="AN168" i="16"/>
  <c r="AL169" i="16"/>
  <c r="AM169" i="16"/>
  <c r="AN169" i="16"/>
  <c r="AL170" i="16"/>
  <c r="AM170" i="16"/>
  <c r="AN170" i="16"/>
  <c r="AL171" i="16"/>
  <c r="AM171" i="16"/>
  <c r="AN171" i="16"/>
  <c r="AL172" i="16"/>
  <c r="AM172" i="16"/>
  <c r="AN172" i="16"/>
  <c r="AL173" i="16"/>
  <c r="AM173" i="16"/>
  <c r="AN173" i="16"/>
  <c r="AL174" i="16"/>
  <c r="AM174" i="16"/>
  <c r="AN174" i="16"/>
  <c r="AL175" i="16"/>
  <c r="AM175" i="16"/>
  <c r="AN175" i="16"/>
  <c r="AL176" i="16"/>
  <c r="AM176" i="16"/>
  <c r="AN176" i="16"/>
  <c r="AL177" i="16"/>
  <c r="AM177" i="16"/>
  <c r="AN177" i="16"/>
  <c r="AL178" i="16"/>
  <c r="AM178" i="16"/>
  <c r="AN178" i="16"/>
  <c r="AL179" i="16"/>
  <c r="AM179" i="16"/>
  <c r="AN179" i="16"/>
  <c r="AL180" i="16"/>
  <c r="AM180" i="16"/>
  <c r="AN180" i="16"/>
  <c r="AL181" i="16"/>
  <c r="AM181" i="16"/>
  <c r="AN181" i="16"/>
  <c r="AL182" i="16"/>
  <c r="AM182" i="16"/>
  <c r="AN182" i="16"/>
  <c r="AL183" i="16"/>
  <c r="AM183" i="16"/>
  <c r="AN183" i="16"/>
  <c r="AL184" i="16"/>
  <c r="AM184" i="16"/>
  <c r="AN184" i="16"/>
  <c r="AL185" i="16"/>
  <c r="AM185" i="16"/>
  <c r="AN185" i="16"/>
  <c r="AL186" i="16"/>
  <c r="AM186" i="16"/>
  <c r="AN186" i="16"/>
  <c r="AL187" i="16"/>
  <c r="AM187" i="16"/>
  <c r="AN187" i="16"/>
  <c r="AL188" i="16"/>
  <c r="AM188" i="16"/>
  <c r="AN188" i="16"/>
  <c r="AL189" i="16"/>
  <c r="AM189" i="16"/>
  <c r="AN189" i="16"/>
  <c r="AL190" i="16"/>
  <c r="AM190" i="16"/>
  <c r="AN190" i="16"/>
  <c r="AL191" i="16"/>
  <c r="AM191" i="16"/>
  <c r="AN191" i="16"/>
  <c r="AL192" i="16"/>
  <c r="AM192" i="16"/>
  <c r="AN192" i="16"/>
  <c r="AL193" i="16"/>
  <c r="AM193" i="16"/>
  <c r="AN193" i="16"/>
  <c r="AL194" i="16"/>
  <c r="AM194" i="16"/>
  <c r="AN194" i="16"/>
  <c r="AL195" i="16"/>
  <c r="AM195" i="16"/>
  <c r="AN195" i="16"/>
  <c r="AL196" i="16"/>
  <c r="AM196" i="16"/>
  <c r="AN196" i="16"/>
  <c r="AL197" i="16"/>
  <c r="AM197" i="16"/>
  <c r="AN197" i="16"/>
  <c r="AL198" i="16"/>
  <c r="AM198" i="16"/>
  <c r="AN198" i="16"/>
  <c r="AL199" i="16"/>
  <c r="AM199" i="16"/>
  <c r="AN199" i="16"/>
  <c r="AL200" i="16"/>
  <c r="AM200" i="16"/>
  <c r="AN200" i="16"/>
  <c r="AL201" i="16"/>
  <c r="AM201" i="16"/>
  <c r="AN201" i="16"/>
  <c r="AL202" i="16"/>
  <c r="AM202" i="16"/>
  <c r="AN202" i="16"/>
  <c r="AL203" i="16"/>
  <c r="AM203" i="16"/>
  <c r="AN203" i="16"/>
  <c r="AL204" i="16"/>
  <c r="AM204" i="16"/>
  <c r="AN204" i="16"/>
  <c r="AL205" i="16"/>
  <c r="AM205" i="16"/>
  <c r="AN205" i="16"/>
  <c r="AL206" i="16"/>
  <c r="AM206" i="16"/>
  <c r="AN206" i="16"/>
  <c r="AL207" i="16"/>
  <c r="AM207" i="16"/>
  <c r="AN207" i="16"/>
  <c r="AL208" i="16"/>
  <c r="AM208" i="16"/>
  <c r="AN208" i="16"/>
  <c r="AL209" i="16"/>
  <c r="AM209" i="16"/>
  <c r="AN209" i="16"/>
  <c r="AL210" i="16"/>
  <c r="AM210" i="16"/>
  <c r="AN210" i="16"/>
  <c r="AL211" i="16"/>
  <c r="AM211" i="16"/>
  <c r="AN211" i="16"/>
  <c r="AL212" i="16"/>
  <c r="AM212" i="16"/>
  <c r="AN212" i="16"/>
  <c r="AL213" i="16"/>
  <c r="AM213" i="16"/>
  <c r="AN213" i="16"/>
  <c r="AL214" i="16"/>
  <c r="AM214" i="16"/>
  <c r="AN214" i="16"/>
  <c r="AL215" i="16"/>
  <c r="AM215" i="16"/>
  <c r="AN215" i="16"/>
  <c r="AL216" i="16"/>
  <c r="AM216" i="16"/>
  <c r="AN216" i="16"/>
  <c r="AL217" i="16"/>
  <c r="AM217" i="16"/>
  <c r="AN217" i="16"/>
  <c r="AL218" i="16"/>
  <c r="AM218" i="16"/>
  <c r="AN218" i="16"/>
  <c r="AL219" i="16"/>
  <c r="AM219" i="16"/>
  <c r="AN219" i="16"/>
  <c r="AL220" i="16"/>
  <c r="AM220" i="16"/>
  <c r="AN220" i="16"/>
  <c r="AL221" i="16"/>
  <c r="AM221" i="16"/>
  <c r="AN221" i="16"/>
  <c r="AL222" i="16"/>
  <c r="AM222" i="16"/>
  <c r="AN222" i="16"/>
  <c r="AL223" i="16"/>
  <c r="AM223" i="16"/>
  <c r="AN223" i="16"/>
  <c r="AL224" i="16"/>
  <c r="AM224" i="16"/>
  <c r="AN224" i="16"/>
  <c r="AL225" i="16"/>
  <c r="AM225" i="16"/>
  <c r="AN225" i="16"/>
  <c r="AL226" i="16"/>
  <c r="AM226" i="16"/>
  <c r="AN226" i="16"/>
  <c r="AL227" i="16"/>
  <c r="AM227" i="16"/>
  <c r="AN227" i="16"/>
  <c r="AL228" i="16"/>
  <c r="AM228" i="16"/>
  <c r="AN228" i="16"/>
  <c r="AL229" i="16"/>
  <c r="AM229" i="16"/>
  <c r="AN229" i="16"/>
  <c r="AL230" i="16"/>
  <c r="AM230" i="16"/>
  <c r="AN230" i="16"/>
  <c r="AL231" i="16"/>
  <c r="AM231" i="16"/>
  <c r="AN231" i="16"/>
  <c r="AL232" i="16"/>
  <c r="AM232" i="16"/>
  <c r="AN232" i="16"/>
  <c r="AL233" i="16"/>
  <c r="AM233" i="16"/>
  <c r="AN233" i="16"/>
  <c r="AL234" i="16"/>
  <c r="AM234" i="16"/>
  <c r="AN234" i="16"/>
  <c r="AL235" i="16"/>
  <c r="AM235" i="16"/>
  <c r="AN235" i="16"/>
  <c r="AL236" i="16"/>
  <c r="AM236" i="16"/>
  <c r="AN236" i="16"/>
  <c r="AL237" i="16"/>
  <c r="AM237" i="16"/>
  <c r="AN237" i="16"/>
  <c r="AL238" i="16"/>
  <c r="AM238" i="16"/>
  <c r="AN238" i="16"/>
  <c r="AL239" i="16"/>
  <c r="AM239" i="16"/>
  <c r="AN239" i="16"/>
  <c r="AL240" i="16"/>
  <c r="AM240" i="16"/>
  <c r="AN240" i="16"/>
  <c r="AL241" i="16"/>
  <c r="AM241" i="16"/>
  <c r="AN241" i="16"/>
  <c r="AL242" i="16"/>
  <c r="AM242" i="16"/>
  <c r="AN242" i="16"/>
  <c r="AL243" i="16"/>
  <c r="AM243" i="16"/>
  <c r="AN243" i="16"/>
  <c r="AL244" i="16"/>
  <c r="AM244" i="16"/>
  <c r="AN244" i="16"/>
  <c r="AL245" i="16"/>
  <c r="AM245" i="16"/>
  <c r="AN245" i="16"/>
  <c r="AL246" i="16"/>
  <c r="AM246" i="16"/>
  <c r="AN246" i="16"/>
  <c r="AL247" i="16"/>
  <c r="AM247" i="16"/>
  <c r="AN247" i="16"/>
  <c r="AL248" i="16"/>
  <c r="AM248" i="16"/>
  <c r="AN248" i="16"/>
  <c r="AL249" i="16"/>
  <c r="AM249" i="16"/>
  <c r="AN249" i="16"/>
  <c r="AL250" i="16"/>
  <c r="AM250" i="16"/>
  <c r="AN250" i="16"/>
  <c r="AL251" i="16"/>
  <c r="AM251" i="16"/>
  <c r="AN251" i="16"/>
  <c r="AL252" i="16"/>
  <c r="AM252" i="16"/>
  <c r="AN252" i="16"/>
  <c r="AL253" i="16"/>
  <c r="AM253" i="16"/>
  <c r="AN253" i="16"/>
  <c r="AL254" i="16"/>
  <c r="AM254" i="16"/>
  <c r="AN254" i="16"/>
  <c r="AL255" i="16"/>
  <c r="AM255" i="16"/>
  <c r="AN255" i="16"/>
  <c r="AL256" i="16"/>
  <c r="AM256" i="16"/>
  <c r="AN256" i="16"/>
  <c r="AL257" i="16"/>
  <c r="AM257" i="16"/>
  <c r="AN257" i="16"/>
  <c r="AL258" i="16"/>
  <c r="AM258" i="16"/>
  <c r="AN258" i="16"/>
  <c r="AL259" i="16"/>
  <c r="AM259" i="16"/>
  <c r="AN259" i="16"/>
  <c r="AL260" i="16"/>
  <c r="AM260" i="16"/>
  <c r="AN260" i="16"/>
  <c r="AL261" i="16"/>
  <c r="AM261" i="16"/>
  <c r="AN261" i="16"/>
  <c r="AL262" i="16"/>
  <c r="AM262" i="16"/>
  <c r="AN262" i="16"/>
  <c r="AL263" i="16"/>
  <c r="AM263" i="16"/>
  <c r="AN263" i="16"/>
  <c r="AL264" i="16"/>
  <c r="AM264" i="16"/>
  <c r="AN264" i="16"/>
  <c r="AL265" i="16"/>
  <c r="AM265" i="16"/>
  <c r="AN265" i="16"/>
  <c r="AL266" i="16"/>
  <c r="AM266" i="16"/>
  <c r="AN266" i="16"/>
  <c r="AL267" i="16"/>
  <c r="AM267" i="16"/>
  <c r="AN267" i="16"/>
  <c r="AL268" i="16"/>
  <c r="AM268" i="16"/>
  <c r="AN268" i="16"/>
  <c r="AL269" i="16"/>
  <c r="AM269" i="16"/>
  <c r="AN269" i="16"/>
  <c r="AL270" i="16"/>
  <c r="AM270" i="16"/>
  <c r="AN270" i="16"/>
  <c r="AL271" i="16"/>
  <c r="AM271" i="16"/>
  <c r="AN271" i="16"/>
  <c r="AL272" i="16"/>
  <c r="AM272" i="16"/>
  <c r="AN272" i="16"/>
  <c r="AL273" i="16"/>
  <c r="AM273" i="16"/>
  <c r="AN273" i="16"/>
  <c r="AL274" i="16"/>
  <c r="AM274" i="16"/>
  <c r="AN274" i="16"/>
  <c r="AL275" i="16"/>
  <c r="AM275" i="16"/>
  <c r="AN275" i="16"/>
  <c r="AL276" i="16"/>
  <c r="AM276" i="16"/>
  <c r="AN276" i="16"/>
  <c r="AL277" i="16"/>
  <c r="AM277" i="16"/>
  <c r="AN277" i="16"/>
  <c r="AL278" i="16"/>
  <c r="AM278" i="16"/>
  <c r="AN278" i="16"/>
  <c r="AL279" i="16"/>
  <c r="AM279" i="16"/>
  <c r="AN279" i="16"/>
  <c r="AL280" i="16"/>
  <c r="AM280" i="16"/>
  <c r="AN280" i="16"/>
  <c r="AL281" i="16"/>
  <c r="AM281" i="16"/>
  <c r="AN281" i="16"/>
  <c r="AL282" i="16"/>
  <c r="AM282" i="16"/>
  <c r="AN282" i="16"/>
  <c r="AL283" i="16"/>
  <c r="AM283" i="16"/>
  <c r="AN283" i="16"/>
  <c r="AL284" i="16"/>
  <c r="AM284" i="16"/>
  <c r="AN284" i="16"/>
  <c r="AL285" i="16"/>
  <c r="AM285" i="16"/>
  <c r="AN285" i="16"/>
  <c r="AL286" i="16"/>
  <c r="AM286" i="16"/>
  <c r="AN286" i="16"/>
  <c r="AL287" i="16"/>
  <c r="AM287" i="16"/>
  <c r="AN287" i="16"/>
  <c r="AL288" i="16"/>
  <c r="AM288" i="16"/>
  <c r="AN288" i="16"/>
  <c r="AL289" i="16"/>
  <c r="AM289" i="16"/>
  <c r="AN289" i="16"/>
  <c r="AL290" i="16"/>
  <c r="AM290" i="16"/>
  <c r="AN290" i="16"/>
  <c r="AL291" i="16"/>
  <c r="AM291" i="16"/>
  <c r="AN291" i="16"/>
  <c r="AL292" i="16"/>
  <c r="AM292" i="16"/>
  <c r="AN292" i="16"/>
  <c r="AL293" i="16"/>
  <c r="AM293" i="16"/>
  <c r="AN293" i="16"/>
  <c r="AL294" i="16"/>
  <c r="AM294" i="16"/>
  <c r="AN294" i="16"/>
  <c r="AL295" i="16"/>
  <c r="AM295" i="16"/>
  <c r="AN295" i="16"/>
  <c r="AL296" i="16"/>
  <c r="AM296" i="16"/>
  <c r="AN296" i="16"/>
  <c r="AL297" i="16"/>
  <c r="AM297" i="16"/>
  <c r="AN297" i="16"/>
  <c r="AL298" i="16"/>
  <c r="AM298" i="16"/>
  <c r="AN298" i="16"/>
  <c r="AL299" i="16"/>
  <c r="AM299" i="16"/>
  <c r="AN299" i="16"/>
  <c r="AL300" i="16"/>
  <c r="AM300" i="16"/>
  <c r="AN300" i="16"/>
  <c r="AL301" i="16"/>
  <c r="AM301" i="16"/>
  <c r="AN301" i="16"/>
  <c r="AL302" i="16"/>
  <c r="AM302" i="16"/>
  <c r="AN302" i="16"/>
  <c r="AL303" i="16"/>
  <c r="AM303" i="16"/>
  <c r="AN303" i="16"/>
  <c r="AL304" i="16"/>
  <c r="AM304" i="16"/>
  <c r="AN304" i="16"/>
  <c r="AL305" i="16"/>
  <c r="AM305" i="16"/>
  <c r="AN305" i="16"/>
  <c r="AL306" i="16"/>
  <c r="AM306" i="16"/>
  <c r="AN306" i="16"/>
  <c r="AL307" i="16"/>
  <c r="AM307" i="16"/>
  <c r="AN307" i="16"/>
  <c r="AL308" i="16"/>
  <c r="AM308" i="16"/>
  <c r="AN308" i="16"/>
  <c r="AL309" i="16"/>
  <c r="AM309" i="16"/>
  <c r="AN309" i="16"/>
  <c r="AL310" i="16"/>
  <c r="AM310" i="16"/>
  <c r="AN310" i="16"/>
  <c r="AL311" i="16"/>
  <c r="AM311" i="16"/>
  <c r="AN311" i="16"/>
  <c r="AL312" i="16"/>
  <c r="AM312" i="16"/>
  <c r="AN312" i="16"/>
  <c r="AL313" i="16"/>
  <c r="AM313" i="16"/>
  <c r="AN313" i="16"/>
  <c r="AL314" i="16"/>
  <c r="AM314" i="16"/>
  <c r="AN314" i="16"/>
  <c r="AL315" i="16"/>
  <c r="AM315" i="16"/>
  <c r="AN315" i="16"/>
  <c r="AL316" i="16"/>
  <c r="AM316" i="16"/>
  <c r="AN316" i="16"/>
  <c r="AL317" i="16"/>
  <c r="AM317" i="16"/>
  <c r="AN317" i="16"/>
  <c r="AL318" i="16"/>
  <c r="AM318" i="16"/>
  <c r="AN318" i="16"/>
  <c r="AL319" i="16"/>
  <c r="AM319" i="16"/>
  <c r="AN319" i="16"/>
  <c r="AL320" i="16"/>
  <c r="AM320" i="16"/>
  <c r="AN320" i="16"/>
  <c r="AL321" i="16"/>
  <c r="AM321" i="16"/>
  <c r="AN321" i="16"/>
  <c r="AL322" i="16"/>
  <c r="AM322" i="16"/>
  <c r="AN322" i="16"/>
  <c r="AL323" i="16"/>
  <c r="AM323" i="16"/>
  <c r="AN323" i="16"/>
  <c r="AL324" i="16"/>
  <c r="AM324" i="16"/>
  <c r="AN324" i="16"/>
  <c r="AL325" i="16"/>
  <c r="AM325" i="16"/>
  <c r="AN325" i="16"/>
  <c r="AL326" i="16"/>
  <c r="AM326" i="16"/>
  <c r="AN326" i="16"/>
  <c r="AL327" i="16"/>
  <c r="AM327" i="16"/>
  <c r="AN327" i="16"/>
  <c r="AL328" i="16"/>
  <c r="AM328" i="16"/>
  <c r="AN328" i="16"/>
  <c r="AL329" i="16"/>
  <c r="AM329" i="16"/>
  <c r="AN329" i="16"/>
  <c r="AL330" i="16"/>
  <c r="AM330" i="16"/>
  <c r="AN330" i="16"/>
  <c r="AL331" i="16"/>
  <c r="AM331" i="16"/>
  <c r="AN331" i="16"/>
  <c r="AL332" i="16"/>
  <c r="AM332" i="16"/>
  <c r="AN332" i="16"/>
  <c r="AL333" i="16"/>
  <c r="AM333" i="16"/>
  <c r="AN333" i="16"/>
  <c r="AL334" i="16"/>
  <c r="AM334" i="16"/>
  <c r="AN334" i="16"/>
  <c r="AL335" i="16"/>
  <c r="AM335" i="16"/>
  <c r="AN335" i="16"/>
  <c r="AL336" i="16"/>
  <c r="AM336" i="16"/>
  <c r="AN336" i="16"/>
  <c r="AL337" i="16"/>
  <c r="AM337" i="16"/>
  <c r="AN337" i="16"/>
  <c r="AL338" i="16"/>
  <c r="AM338" i="16"/>
  <c r="AN338" i="16"/>
  <c r="AL339" i="16"/>
  <c r="AM339" i="16"/>
  <c r="AN339" i="16"/>
  <c r="AL340" i="16"/>
  <c r="AM340" i="16"/>
  <c r="AN340" i="16"/>
  <c r="AL341" i="16"/>
  <c r="AM341" i="16"/>
  <c r="AN341" i="16"/>
  <c r="AL342" i="16"/>
  <c r="AM342" i="16"/>
  <c r="AN342" i="16"/>
  <c r="AL343" i="16"/>
  <c r="AM343" i="16"/>
  <c r="AN343" i="16"/>
  <c r="AL344" i="16"/>
  <c r="AM344" i="16"/>
  <c r="AN344" i="16"/>
  <c r="AL345" i="16"/>
  <c r="AM345" i="16"/>
  <c r="AN345" i="16"/>
  <c r="AL346" i="16"/>
  <c r="AM346" i="16"/>
  <c r="AN346" i="16"/>
  <c r="AL347" i="16"/>
  <c r="AM347" i="16"/>
  <c r="AN347" i="16"/>
  <c r="AL348" i="16"/>
  <c r="AM348" i="16"/>
  <c r="AN348" i="16"/>
  <c r="AL349" i="16"/>
  <c r="AM349" i="16"/>
  <c r="AN349" i="16"/>
  <c r="AL350" i="16"/>
  <c r="AM350" i="16"/>
  <c r="AN350" i="16"/>
  <c r="AL351" i="16"/>
  <c r="AM351" i="16"/>
  <c r="AN351" i="16"/>
  <c r="AL352" i="16"/>
  <c r="AM352" i="16"/>
  <c r="AN352" i="16"/>
  <c r="AL353" i="16"/>
  <c r="AM353" i="16"/>
  <c r="AN353" i="16"/>
  <c r="AL354" i="16"/>
  <c r="AM354" i="16"/>
  <c r="AN354" i="16"/>
  <c r="AL355" i="16"/>
  <c r="AM355" i="16"/>
  <c r="AN355" i="16"/>
  <c r="AL356" i="16"/>
  <c r="AM356" i="16"/>
  <c r="AN356" i="16"/>
  <c r="AL357" i="16"/>
  <c r="AM357" i="16"/>
  <c r="AN357" i="16"/>
  <c r="AL358" i="16"/>
  <c r="AM358" i="16"/>
  <c r="AN358" i="16"/>
  <c r="AL359" i="16"/>
  <c r="AM359" i="16"/>
  <c r="AN359" i="16"/>
  <c r="AL360" i="16"/>
  <c r="AM360" i="16"/>
  <c r="AN360" i="16"/>
  <c r="AL361" i="16"/>
  <c r="AM361" i="16"/>
  <c r="AN361" i="16"/>
  <c r="AL362" i="16"/>
  <c r="AM362" i="16"/>
  <c r="AN362" i="16"/>
  <c r="AL363" i="16"/>
  <c r="AM363" i="16"/>
  <c r="AN363" i="16"/>
  <c r="AL364" i="16"/>
  <c r="AM364" i="16"/>
  <c r="AN364" i="16"/>
  <c r="AL365" i="16"/>
  <c r="AM365" i="16"/>
  <c r="AN365" i="16"/>
  <c r="AL366" i="16"/>
  <c r="AM366" i="16"/>
  <c r="AN366" i="16"/>
  <c r="AL367" i="16"/>
  <c r="AM367" i="16"/>
  <c r="AN367" i="16"/>
  <c r="AL368" i="16"/>
  <c r="AM368" i="16"/>
  <c r="AN368" i="16"/>
  <c r="AL369" i="16"/>
  <c r="AM369" i="16"/>
  <c r="AN369" i="16"/>
  <c r="AL370" i="16"/>
  <c r="AM370" i="16"/>
  <c r="AN370" i="16"/>
  <c r="AL371" i="16"/>
  <c r="AM371" i="16"/>
  <c r="AN371" i="16"/>
  <c r="AL372" i="16"/>
  <c r="AM372" i="16"/>
  <c r="AN372" i="16"/>
  <c r="AL373" i="16"/>
  <c r="AM373" i="16"/>
  <c r="AN373" i="16"/>
  <c r="AL374" i="16"/>
  <c r="AM374" i="16"/>
  <c r="AN374" i="16"/>
  <c r="AL375" i="16"/>
  <c r="AM375" i="16"/>
  <c r="AN375" i="16"/>
  <c r="AL376" i="16"/>
  <c r="AM376" i="16"/>
  <c r="AN376" i="16"/>
  <c r="AL377" i="16"/>
  <c r="AM377" i="16"/>
  <c r="AN377" i="16"/>
  <c r="AL378" i="16"/>
  <c r="AM378" i="16"/>
  <c r="AN378" i="16"/>
  <c r="AL379" i="16"/>
  <c r="AM379" i="16"/>
  <c r="AN379" i="16"/>
  <c r="AL380" i="16"/>
  <c r="AM380" i="16"/>
  <c r="AN380" i="16"/>
  <c r="AL381" i="16"/>
  <c r="AM381" i="16"/>
  <c r="AN381" i="16"/>
  <c r="AL382" i="16"/>
  <c r="AM382" i="16"/>
  <c r="AN382" i="16"/>
  <c r="AL383" i="16"/>
  <c r="AM383" i="16"/>
  <c r="AN383" i="16"/>
  <c r="AL384" i="16"/>
  <c r="AM384" i="16"/>
  <c r="AN384" i="16"/>
  <c r="AL385" i="16"/>
  <c r="AM385" i="16"/>
  <c r="AN385" i="16"/>
  <c r="AL386" i="16"/>
  <c r="AM386" i="16"/>
  <c r="AN386" i="16"/>
  <c r="AL387" i="16"/>
  <c r="AM387" i="16"/>
  <c r="AN387" i="16"/>
  <c r="AL388" i="16"/>
  <c r="AM388" i="16"/>
  <c r="AN388" i="16"/>
  <c r="AL389" i="16"/>
  <c r="AM389" i="16"/>
  <c r="AN389" i="16"/>
  <c r="AL390" i="16"/>
  <c r="AM390" i="16"/>
  <c r="AN390" i="16"/>
  <c r="AL391" i="16"/>
  <c r="AM391" i="16"/>
  <c r="AN391" i="16"/>
  <c r="AL392" i="16"/>
  <c r="AM392" i="16"/>
  <c r="AN392" i="16"/>
  <c r="AL393" i="16"/>
  <c r="AM393" i="16"/>
  <c r="AN393" i="16"/>
  <c r="AL394" i="16"/>
  <c r="AM394" i="16"/>
  <c r="AN394" i="16"/>
  <c r="AL395" i="16"/>
  <c r="AM395" i="16"/>
  <c r="AN395" i="16"/>
  <c r="AL396" i="16"/>
  <c r="AM396" i="16"/>
  <c r="AN396" i="16"/>
  <c r="AL397" i="16"/>
  <c r="AM397" i="16"/>
  <c r="AN397" i="16"/>
  <c r="AL398" i="16"/>
  <c r="AM398" i="16"/>
  <c r="AN398" i="16"/>
  <c r="AL399" i="16"/>
  <c r="AM399" i="16"/>
  <c r="AN399" i="16"/>
  <c r="AL400" i="16"/>
  <c r="AM400" i="16"/>
  <c r="AN400" i="16"/>
  <c r="AL401" i="16"/>
  <c r="AM401" i="16"/>
  <c r="AN401" i="16"/>
  <c r="AL402" i="16"/>
  <c r="AM402" i="16"/>
  <c r="AN402" i="16"/>
  <c r="AL403" i="16"/>
  <c r="AM403" i="16"/>
  <c r="AN403" i="16"/>
  <c r="AL404" i="16"/>
  <c r="AM404" i="16"/>
  <c r="AN404" i="16"/>
  <c r="AL405" i="16"/>
  <c r="AM405" i="16"/>
  <c r="AN405" i="16"/>
  <c r="AL406" i="16"/>
  <c r="AM406" i="16"/>
  <c r="AN406" i="16"/>
  <c r="AL407" i="16"/>
  <c r="AM407" i="16"/>
  <c r="AN407" i="16"/>
  <c r="AL408" i="16"/>
  <c r="AM408" i="16"/>
  <c r="AN408" i="16"/>
  <c r="AL409" i="16"/>
  <c r="AM409" i="16"/>
  <c r="AN409" i="16"/>
  <c r="AL410" i="16"/>
  <c r="AM410" i="16"/>
  <c r="AN410" i="16"/>
  <c r="AL411" i="16"/>
  <c r="AM411" i="16"/>
  <c r="AN411" i="16"/>
  <c r="AL412" i="16"/>
  <c r="AM412" i="16"/>
  <c r="AN412" i="16"/>
  <c r="AL413" i="16"/>
  <c r="AM413" i="16"/>
  <c r="AN413" i="16"/>
  <c r="AL414" i="16"/>
  <c r="AM414" i="16"/>
  <c r="AN414" i="16"/>
  <c r="AL415" i="16"/>
  <c r="AM415" i="16"/>
  <c r="AN415" i="16"/>
  <c r="AL416" i="16"/>
  <c r="AM416" i="16"/>
  <c r="AN416" i="16"/>
  <c r="AL417" i="16"/>
  <c r="AM417" i="16"/>
  <c r="AN417" i="16"/>
  <c r="AL418" i="16"/>
  <c r="AM418" i="16"/>
  <c r="AN418" i="16"/>
  <c r="AL419" i="16"/>
  <c r="AM419" i="16"/>
  <c r="AN419" i="16"/>
  <c r="AL420" i="16"/>
  <c r="AM420" i="16"/>
  <c r="AN420" i="16"/>
  <c r="AL421" i="16"/>
  <c r="AM421" i="16"/>
  <c r="AN421" i="16"/>
  <c r="AL422" i="16"/>
  <c r="AM422" i="16"/>
  <c r="AN422" i="16"/>
  <c r="AL423" i="16"/>
  <c r="AM423" i="16"/>
  <c r="AN423" i="16"/>
  <c r="AL424" i="16"/>
  <c r="AM424" i="16"/>
  <c r="AN424" i="16"/>
  <c r="AL425" i="16"/>
  <c r="AM425" i="16"/>
  <c r="AN425" i="16"/>
  <c r="AL426" i="16"/>
  <c r="AM426" i="16"/>
  <c r="AN426" i="16"/>
  <c r="AL427" i="16"/>
  <c r="AM427" i="16"/>
  <c r="AN427" i="16"/>
  <c r="AL428" i="16"/>
  <c r="AM428" i="16"/>
  <c r="AN428" i="16"/>
  <c r="AL429" i="16"/>
  <c r="AM429" i="16"/>
  <c r="AN429" i="16"/>
  <c r="AL430" i="16"/>
  <c r="AM430" i="16"/>
  <c r="AN430" i="16"/>
  <c r="AL431" i="16"/>
  <c r="AM431" i="16"/>
  <c r="AN431" i="16"/>
  <c r="AL432" i="16"/>
  <c r="AM432" i="16"/>
  <c r="AN432" i="16"/>
  <c r="AL433" i="16"/>
  <c r="AM433" i="16"/>
  <c r="AN433" i="16"/>
  <c r="AL434" i="16"/>
  <c r="AM434" i="16"/>
  <c r="AN434" i="16"/>
  <c r="AL435" i="16"/>
  <c r="AM435" i="16"/>
  <c r="AN435" i="16"/>
  <c r="AL436" i="16"/>
  <c r="AM436" i="16"/>
  <c r="AN436" i="16"/>
  <c r="AL437" i="16"/>
  <c r="AM437" i="16"/>
  <c r="AN437" i="16"/>
  <c r="AL438" i="16"/>
  <c r="AM438" i="16"/>
  <c r="AN438" i="16"/>
  <c r="AL439" i="16"/>
  <c r="AM439" i="16"/>
  <c r="AN439" i="16"/>
  <c r="AL440" i="16"/>
  <c r="AM440" i="16"/>
  <c r="AN440" i="16"/>
  <c r="AL441" i="16"/>
  <c r="AM441" i="16"/>
  <c r="AN441" i="16"/>
  <c r="AL442" i="16"/>
  <c r="AM442" i="16"/>
  <c r="AN442" i="16"/>
  <c r="AL443" i="16"/>
  <c r="AM443" i="16"/>
  <c r="AN443" i="16"/>
  <c r="AL444" i="16"/>
  <c r="AM444" i="16"/>
  <c r="AN444" i="16"/>
  <c r="AL445" i="16"/>
  <c r="AM445" i="16"/>
  <c r="AN445" i="16"/>
  <c r="AL446" i="16"/>
  <c r="AM446" i="16"/>
  <c r="AN446" i="16"/>
  <c r="AL447" i="16"/>
  <c r="AM447" i="16"/>
  <c r="AN447" i="16"/>
  <c r="AL448" i="16"/>
  <c r="AM448" i="16"/>
  <c r="AN448" i="16"/>
  <c r="AL449" i="16"/>
  <c r="AM449" i="16"/>
  <c r="AN449" i="16"/>
  <c r="AL450" i="16"/>
  <c r="AM450" i="16"/>
  <c r="AN450" i="16"/>
  <c r="AL451" i="16"/>
  <c r="AM451" i="16"/>
  <c r="AN451" i="16"/>
  <c r="AL452" i="16"/>
  <c r="AM452" i="16"/>
  <c r="AN452" i="16"/>
  <c r="AL453" i="16"/>
  <c r="AM453" i="16"/>
  <c r="AN453" i="16"/>
  <c r="AL454" i="16"/>
  <c r="AM454" i="16"/>
  <c r="AN454" i="16"/>
  <c r="AL455" i="16"/>
  <c r="AM455" i="16"/>
  <c r="AN455" i="16"/>
  <c r="AL456" i="16"/>
  <c r="AM456" i="16"/>
  <c r="AN456" i="16"/>
  <c r="AL457" i="16"/>
  <c r="AM457" i="16"/>
  <c r="AN457" i="16"/>
  <c r="AL458" i="16"/>
  <c r="AM458" i="16"/>
  <c r="AN458" i="16"/>
  <c r="AL459" i="16"/>
  <c r="AM459" i="16"/>
  <c r="AN459" i="16"/>
  <c r="AL460" i="16"/>
  <c r="AM460" i="16"/>
  <c r="AN460" i="16"/>
  <c r="AL461" i="16"/>
  <c r="AM461" i="16"/>
  <c r="AN461" i="16"/>
  <c r="AL462" i="16"/>
  <c r="AM462" i="16"/>
  <c r="AN462" i="16"/>
  <c r="AL463" i="16"/>
  <c r="AM463" i="16"/>
  <c r="AN463" i="16"/>
  <c r="AL464" i="16"/>
  <c r="AM464" i="16"/>
  <c r="AN464" i="16"/>
  <c r="AL465" i="16"/>
  <c r="AM465" i="16"/>
  <c r="AN465" i="16"/>
  <c r="AL466" i="16"/>
  <c r="AM466" i="16"/>
  <c r="AN466" i="16"/>
  <c r="AL467" i="16"/>
  <c r="AM467" i="16"/>
  <c r="AN467" i="16"/>
  <c r="AL468" i="16"/>
  <c r="AM468" i="16"/>
  <c r="AN468" i="16"/>
  <c r="AL469" i="16"/>
  <c r="AM469" i="16"/>
  <c r="AN469" i="16"/>
  <c r="AL470" i="16"/>
  <c r="AM470" i="16"/>
  <c r="AN470" i="16"/>
  <c r="AL471" i="16"/>
  <c r="AM471" i="16"/>
  <c r="AN471" i="16"/>
  <c r="AL472" i="16"/>
  <c r="AM472" i="16"/>
  <c r="AN472" i="16"/>
  <c r="AL473" i="16"/>
  <c r="AM473" i="16"/>
  <c r="AN473" i="16"/>
  <c r="AL474" i="16"/>
  <c r="AM474" i="16"/>
  <c r="AN474" i="16"/>
  <c r="AL475" i="16"/>
  <c r="AM475" i="16"/>
  <c r="AN475" i="16"/>
  <c r="AL476" i="16"/>
  <c r="AM476" i="16"/>
  <c r="AN476" i="16"/>
  <c r="AL477" i="16"/>
  <c r="AM477" i="16"/>
  <c r="AN477" i="16"/>
  <c r="AL478" i="16"/>
  <c r="AM478" i="16"/>
  <c r="AN478" i="16"/>
  <c r="AL479" i="16"/>
  <c r="AM479" i="16"/>
  <c r="AN479" i="16"/>
  <c r="AL480" i="16"/>
  <c r="AM480" i="16"/>
  <c r="AN480" i="16"/>
  <c r="AL481" i="16"/>
  <c r="AM481" i="16"/>
  <c r="AN481" i="16"/>
  <c r="AL482" i="16"/>
  <c r="AM482" i="16"/>
  <c r="AN482" i="16"/>
  <c r="AL483" i="16"/>
  <c r="AM483" i="16"/>
  <c r="AN483" i="16"/>
  <c r="AL484" i="16"/>
  <c r="AM484" i="16"/>
  <c r="AN484" i="16"/>
  <c r="AL485" i="16"/>
  <c r="AM485" i="16"/>
  <c r="AN485" i="16"/>
  <c r="AL486" i="16"/>
  <c r="AM486" i="16"/>
  <c r="AN486" i="16"/>
  <c r="AL487" i="16"/>
  <c r="AM487" i="16"/>
  <c r="AN487" i="16"/>
  <c r="AL488" i="16"/>
  <c r="AM488" i="16"/>
  <c r="AN488" i="16"/>
  <c r="AL489" i="16"/>
  <c r="AM489" i="16"/>
  <c r="AN489" i="16"/>
  <c r="AL490" i="16"/>
  <c r="AM490" i="16"/>
  <c r="AN490" i="16"/>
  <c r="AL491" i="16"/>
  <c r="AM491" i="16"/>
  <c r="AN491" i="16"/>
  <c r="AL492" i="16"/>
  <c r="AM492" i="16"/>
  <c r="AN492" i="16"/>
  <c r="AL493" i="16"/>
  <c r="AM493" i="16"/>
  <c r="AN493" i="16"/>
  <c r="AL494" i="16"/>
  <c r="AM494" i="16"/>
  <c r="AN494" i="16"/>
  <c r="AL495" i="16"/>
  <c r="AM495" i="16"/>
  <c r="AN495" i="16"/>
  <c r="AL496" i="16"/>
  <c r="AM496" i="16"/>
  <c r="AN496" i="16"/>
  <c r="AL497" i="16"/>
  <c r="AM497" i="16"/>
  <c r="AN497" i="16"/>
  <c r="AL498" i="16"/>
  <c r="AM498" i="16"/>
  <c r="AN498" i="16"/>
  <c r="AL499" i="16"/>
  <c r="AM499" i="16"/>
  <c r="AN499" i="16"/>
  <c r="AL500" i="16"/>
  <c r="AM500" i="16"/>
  <c r="AN500" i="16"/>
  <c r="AL501" i="16"/>
  <c r="AM501" i="16"/>
  <c r="AN501" i="16"/>
  <c r="AL502" i="16"/>
  <c r="AM502" i="16"/>
  <c r="AN502" i="16"/>
  <c r="AL503" i="16"/>
  <c r="AM503" i="16"/>
  <c r="AN503" i="16"/>
  <c r="AL504" i="16"/>
  <c r="AM504" i="16"/>
  <c r="AN504" i="16"/>
  <c r="AL505" i="16"/>
  <c r="AM505" i="16"/>
  <c r="AN505" i="16"/>
  <c r="AL506" i="16"/>
  <c r="AM506" i="16"/>
  <c r="AN506" i="16"/>
  <c r="AL507" i="16"/>
  <c r="AM507" i="16"/>
  <c r="AN507" i="16"/>
  <c r="AL508" i="16"/>
  <c r="AM508" i="16"/>
  <c r="AN508" i="16"/>
  <c r="AL509" i="16"/>
  <c r="AM509" i="16"/>
  <c r="AN509" i="16"/>
  <c r="AL510" i="16"/>
  <c r="AM510" i="16"/>
  <c r="AN510" i="16"/>
  <c r="AL511" i="16"/>
  <c r="AM511" i="16"/>
  <c r="AN511" i="16"/>
  <c r="AL512" i="16"/>
  <c r="AM512" i="16"/>
  <c r="AN512" i="16"/>
  <c r="AL513" i="16"/>
  <c r="AM513" i="16"/>
  <c r="AN513" i="16"/>
  <c r="AL514" i="16"/>
  <c r="AM514" i="16"/>
  <c r="AN514" i="16"/>
  <c r="AL515" i="16"/>
  <c r="AM515" i="16"/>
  <c r="AN515" i="16"/>
  <c r="AL516" i="16"/>
  <c r="AM516" i="16"/>
  <c r="AN516" i="16"/>
  <c r="AL517" i="16"/>
  <c r="AM517" i="16"/>
  <c r="AN517" i="16"/>
  <c r="AL518" i="16"/>
  <c r="AM518" i="16"/>
  <c r="AN518" i="16"/>
  <c r="AL519" i="16"/>
  <c r="AM519" i="16"/>
  <c r="AN519" i="16"/>
  <c r="AL520" i="16"/>
  <c r="AM520" i="16"/>
  <c r="AN520" i="16"/>
  <c r="AL521" i="16"/>
  <c r="AM521" i="16"/>
  <c r="AN521" i="16"/>
  <c r="AL522" i="16"/>
  <c r="AM522" i="16"/>
  <c r="AN522" i="16"/>
  <c r="AL523" i="16"/>
  <c r="AM523" i="16"/>
  <c r="AN523" i="16"/>
  <c r="AL524" i="16"/>
  <c r="AM524" i="16"/>
  <c r="AN524" i="16"/>
  <c r="AL525" i="16"/>
  <c r="AM525" i="16"/>
  <c r="AN525" i="16"/>
  <c r="AL526" i="16"/>
  <c r="AM526" i="16"/>
  <c r="AN526" i="16"/>
  <c r="AL527" i="16"/>
  <c r="AM527" i="16"/>
  <c r="AN527" i="16"/>
  <c r="AL528" i="16"/>
  <c r="AM528" i="16"/>
  <c r="AN528" i="16"/>
  <c r="AL529" i="16"/>
  <c r="AM529" i="16"/>
  <c r="AN529" i="16"/>
  <c r="AL530" i="16"/>
  <c r="AM530" i="16"/>
  <c r="AN530" i="16"/>
  <c r="AL531" i="16"/>
  <c r="AM531" i="16"/>
  <c r="AN531" i="16"/>
  <c r="AL532" i="16"/>
  <c r="AM532" i="16"/>
  <c r="AN532" i="16"/>
  <c r="AL533" i="16"/>
  <c r="AM533" i="16"/>
  <c r="AN533" i="16"/>
  <c r="AL534" i="16"/>
  <c r="AM534" i="16"/>
  <c r="AN534" i="16"/>
  <c r="AL535" i="16"/>
  <c r="AM535" i="16"/>
  <c r="AN535" i="16"/>
  <c r="AL536" i="16"/>
  <c r="AM536" i="16"/>
  <c r="AN536" i="16"/>
  <c r="AL537" i="16"/>
  <c r="AM537" i="16"/>
  <c r="AN537" i="16"/>
  <c r="AL538" i="16"/>
  <c r="AM538" i="16"/>
  <c r="AN538" i="16"/>
  <c r="AL539" i="16"/>
  <c r="AM539" i="16"/>
  <c r="AN539" i="16"/>
  <c r="AL540" i="16"/>
  <c r="AM540" i="16"/>
  <c r="AN540" i="16"/>
  <c r="AL541" i="16"/>
  <c r="AM541" i="16"/>
  <c r="AN541" i="16"/>
  <c r="AL542" i="16"/>
  <c r="AM542" i="16"/>
  <c r="AN542" i="16"/>
  <c r="AL543" i="16"/>
  <c r="AM543" i="16"/>
  <c r="AN543" i="16"/>
  <c r="AL544" i="16"/>
  <c r="AM544" i="16"/>
  <c r="AN544" i="16"/>
  <c r="AL545" i="16"/>
  <c r="AM545" i="16"/>
  <c r="AN545" i="16"/>
  <c r="AN5" i="16"/>
  <c r="AM5" i="16"/>
  <c r="AL5" i="16"/>
  <c r="AJ1629" i="16"/>
  <c r="AJ1628" i="16"/>
  <c r="AJ1627" i="16"/>
  <c r="AJ1626" i="16"/>
  <c r="AJ1625" i="16"/>
  <c r="AJ1624" i="16"/>
  <c r="AJ1623" i="16"/>
  <c r="AJ1622" i="16"/>
  <c r="AJ1621" i="16"/>
  <c r="AJ1620" i="16"/>
  <c r="AJ1619" i="16"/>
  <c r="AJ1618" i="16"/>
  <c r="AJ1617" i="16"/>
  <c r="AJ1616" i="16"/>
  <c r="AJ1615" i="16"/>
  <c r="AJ1614" i="16"/>
  <c r="AJ1613" i="16"/>
  <c r="AJ1612" i="16"/>
  <c r="AJ1611" i="16"/>
  <c r="AJ1610" i="16"/>
  <c r="AJ1609" i="16"/>
  <c r="AJ1608" i="16"/>
  <c r="AJ1607" i="16"/>
  <c r="AJ1606" i="16"/>
  <c r="AJ1605" i="16"/>
  <c r="AJ1604" i="16"/>
  <c r="AJ1603" i="16"/>
  <c r="AJ1602" i="16"/>
  <c r="AJ1601" i="16"/>
  <c r="AJ1600" i="16"/>
  <c r="AJ1599" i="16"/>
  <c r="AJ1598" i="16"/>
  <c r="AJ1597" i="16"/>
  <c r="AJ1596" i="16"/>
  <c r="AJ1595" i="16"/>
  <c r="AJ1594" i="16"/>
  <c r="AJ1593" i="16"/>
  <c r="AJ1592" i="16"/>
  <c r="AJ1591" i="16"/>
  <c r="AJ1590" i="16"/>
  <c r="AJ1589" i="16"/>
  <c r="AJ1588" i="16"/>
  <c r="AJ1587" i="16"/>
  <c r="AJ1586" i="16"/>
  <c r="AJ1585" i="16"/>
  <c r="AJ1584" i="16"/>
  <c r="AJ1583" i="16"/>
  <c r="AJ1582" i="16"/>
  <c r="AJ1581" i="16"/>
  <c r="AJ1580" i="16"/>
  <c r="AJ1579" i="16"/>
  <c r="AJ1578" i="16"/>
  <c r="AJ1577" i="16"/>
  <c r="AJ1576" i="16"/>
  <c r="AJ1575" i="16"/>
  <c r="AJ1574" i="16"/>
  <c r="AJ1573" i="16"/>
  <c r="AJ1572" i="16"/>
  <c r="AJ1571" i="16"/>
  <c r="AJ1570" i="16"/>
  <c r="AJ1569" i="16"/>
  <c r="AJ1568" i="16"/>
  <c r="AJ1567" i="16"/>
  <c r="AJ1566" i="16"/>
  <c r="AJ1565" i="16"/>
  <c r="AJ1564" i="16"/>
  <c r="AJ1563" i="16"/>
  <c r="AJ1562" i="16"/>
  <c r="AJ1561" i="16"/>
  <c r="AJ1560" i="16"/>
  <c r="AJ1559" i="16"/>
  <c r="AJ1558" i="16"/>
  <c r="AJ1557" i="16"/>
  <c r="AJ1556" i="16"/>
  <c r="AJ1555" i="16"/>
  <c r="AJ1554" i="16"/>
  <c r="AJ1553" i="16"/>
  <c r="AJ1552" i="16"/>
  <c r="AJ1551" i="16"/>
  <c r="AJ1550" i="16"/>
  <c r="AJ1549" i="16"/>
  <c r="AJ1548" i="16"/>
  <c r="AJ1547" i="16"/>
  <c r="AJ1546" i="16"/>
  <c r="AJ1545" i="16"/>
  <c r="AJ1544" i="16"/>
  <c r="AJ1543" i="16"/>
  <c r="AJ1542" i="16"/>
  <c r="AJ1541" i="16"/>
  <c r="AJ1540" i="16"/>
  <c r="AJ1539" i="16"/>
  <c r="AJ1538" i="16"/>
  <c r="AJ1537" i="16"/>
  <c r="AJ1536" i="16"/>
  <c r="AJ1535" i="16"/>
  <c r="AJ1534" i="16"/>
  <c r="AJ1533" i="16"/>
  <c r="AJ1532" i="16"/>
  <c r="AJ1531" i="16"/>
  <c r="AJ1530" i="16"/>
  <c r="AJ1529" i="16"/>
  <c r="AJ1528" i="16"/>
  <c r="AJ1527" i="16"/>
  <c r="AJ1526" i="16"/>
  <c r="AJ1525" i="16"/>
  <c r="AJ1524" i="16"/>
  <c r="AJ1523" i="16"/>
  <c r="AJ1522" i="16"/>
  <c r="AJ1521" i="16"/>
  <c r="AJ1520" i="16"/>
  <c r="AJ1519" i="16"/>
  <c r="AJ1518" i="16"/>
  <c r="AJ1517" i="16"/>
  <c r="AJ1516" i="16"/>
  <c r="AJ1515" i="16"/>
  <c r="AJ1514" i="16"/>
  <c r="AJ1513" i="16"/>
  <c r="AJ1512" i="16"/>
  <c r="AJ1511" i="16"/>
  <c r="AJ1510" i="16"/>
  <c r="AJ1509" i="16"/>
  <c r="AJ1508" i="16"/>
  <c r="AJ1507" i="16"/>
  <c r="AJ1506" i="16"/>
  <c r="AJ1505" i="16"/>
  <c r="AJ1504" i="16"/>
  <c r="AJ1503" i="16"/>
  <c r="AJ1502" i="16"/>
  <c r="AJ1501" i="16"/>
  <c r="AJ1500" i="16"/>
  <c r="AJ1499" i="16"/>
  <c r="AJ1498" i="16"/>
  <c r="AJ1497" i="16"/>
  <c r="AJ1496" i="16"/>
  <c r="AJ1495" i="16"/>
  <c r="AJ1494" i="16"/>
  <c r="AJ1493" i="16"/>
  <c r="AJ1492" i="16"/>
  <c r="AJ1491" i="16"/>
  <c r="AJ1490" i="16"/>
  <c r="AJ1489" i="16"/>
  <c r="AJ1488" i="16"/>
  <c r="AJ1487" i="16"/>
  <c r="AJ1486" i="16"/>
  <c r="AJ1485" i="16"/>
  <c r="AJ1484" i="16"/>
  <c r="AJ1483" i="16"/>
  <c r="AJ1482" i="16"/>
  <c r="AJ1481" i="16"/>
  <c r="AJ1480" i="16"/>
  <c r="AJ1479" i="16"/>
  <c r="AJ1478" i="16"/>
  <c r="AJ1477" i="16"/>
  <c r="AJ1476" i="16"/>
  <c r="AJ1475" i="16"/>
  <c r="AJ1474" i="16"/>
  <c r="AJ1473" i="16"/>
  <c r="AJ1472" i="16"/>
  <c r="AJ1471" i="16"/>
  <c r="AJ1470" i="16"/>
  <c r="AJ1469" i="16"/>
  <c r="AJ1468" i="16"/>
  <c r="AJ1467" i="16"/>
  <c r="AJ1466" i="16"/>
  <c r="AJ1465" i="16"/>
  <c r="AJ1464" i="16"/>
  <c r="AJ1463" i="16"/>
  <c r="AJ1462" i="16"/>
  <c r="AJ1461" i="16"/>
  <c r="AJ1460" i="16"/>
  <c r="AJ1459" i="16"/>
  <c r="AJ1458" i="16"/>
  <c r="AJ1457" i="16"/>
  <c r="AJ1456" i="16"/>
  <c r="AJ1455" i="16"/>
  <c r="AJ1454" i="16"/>
  <c r="AJ1453" i="16"/>
  <c r="AJ1452" i="16"/>
  <c r="AJ1451" i="16"/>
  <c r="AJ1450" i="16"/>
  <c r="AJ1449" i="16"/>
  <c r="AJ1448" i="16"/>
  <c r="AJ1447" i="16"/>
  <c r="AJ1446" i="16"/>
  <c r="AJ1445" i="16"/>
  <c r="AJ1444" i="16"/>
  <c r="AJ1443" i="16"/>
  <c r="AJ1442" i="16"/>
  <c r="AJ1441" i="16"/>
  <c r="AJ1440" i="16"/>
  <c r="AJ1439" i="16"/>
  <c r="AJ1438" i="16"/>
  <c r="AJ1437" i="16"/>
  <c r="AJ1436" i="16"/>
  <c r="AJ1435" i="16"/>
  <c r="AJ1434" i="16"/>
  <c r="AJ1433" i="16"/>
  <c r="AJ1432" i="16"/>
  <c r="AJ1431" i="16"/>
  <c r="AJ1430" i="16"/>
  <c r="AJ1429" i="16"/>
  <c r="AJ1428" i="16"/>
  <c r="AJ1427" i="16"/>
  <c r="AJ1426" i="16"/>
  <c r="AJ1425" i="16"/>
  <c r="AJ1424" i="16"/>
  <c r="AJ1423" i="16"/>
  <c r="AJ1422" i="16"/>
  <c r="AJ1421" i="16"/>
  <c r="AJ1420" i="16"/>
  <c r="AJ1419" i="16"/>
  <c r="AJ1418" i="16"/>
  <c r="AJ1417" i="16"/>
  <c r="AJ1416" i="16"/>
  <c r="AJ1415" i="16"/>
  <c r="AJ1414" i="16"/>
  <c r="AJ1413" i="16"/>
  <c r="AJ1412" i="16"/>
  <c r="AJ1411" i="16"/>
  <c r="AJ1410" i="16"/>
  <c r="AJ1409" i="16"/>
  <c r="AJ1408" i="16"/>
  <c r="AJ1407" i="16"/>
  <c r="AJ1406" i="16"/>
  <c r="AJ1405" i="16"/>
  <c r="AJ1404" i="16"/>
  <c r="AJ1403" i="16"/>
  <c r="AJ1402" i="16"/>
  <c r="AJ1401" i="16"/>
  <c r="AJ1400" i="16"/>
  <c r="AJ1399" i="16"/>
  <c r="AJ1398" i="16"/>
  <c r="AJ1397" i="16"/>
  <c r="AJ1396" i="16"/>
  <c r="AJ1395" i="16"/>
  <c r="AJ1394" i="16"/>
  <c r="AJ1393" i="16"/>
  <c r="AJ1392" i="16"/>
  <c r="AJ1391" i="16"/>
  <c r="AJ1390" i="16"/>
  <c r="AJ1389" i="16"/>
  <c r="AJ1388" i="16"/>
  <c r="AJ1387" i="16"/>
  <c r="AJ1386" i="16"/>
  <c r="AJ1385" i="16"/>
  <c r="AJ1384" i="16"/>
  <c r="AJ1383" i="16"/>
  <c r="AJ1382" i="16"/>
  <c r="AJ1381" i="16"/>
  <c r="AJ1380" i="16"/>
  <c r="AJ1379" i="16"/>
  <c r="AJ1378" i="16"/>
  <c r="AJ1377" i="16"/>
  <c r="AJ1376" i="16"/>
  <c r="AJ1375" i="16"/>
  <c r="AJ1374" i="16"/>
  <c r="AJ1373" i="16"/>
  <c r="AJ1372" i="16"/>
  <c r="AJ1371" i="16"/>
  <c r="AJ1370" i="16"/>
  <c r="AJ1369" i="16"/>
  <c r="AJ1368" i="16"/>
  <c r="AJ1367" i="16"/>
  <c r="AJ1366" i="16"/>
  <c r="AJ1365" i="16"/>
  <c r="AJ1364" i="16"/>
  <c r="AJ1363" i="16"/>
  <c r="AJ1362" i="16"/>
  <c r="AJ1361" i="16"/>
  <c r="AJ1360" i="16"/>
  <c r="AJ1359" i="16"/>
  <c r="AJ1358" i="16"/>
  <c r="AJ1357" i="16"/>
  <c r="AJ1356" i="16"/>
  <c r="AJ1355" i="16"/>
  <c r="AJ1354" i="16"/>
  <c r="AJ1353" i="16"/>
  <c r="AJ1352" i="16"/>
  <c r="AJ1351" i="16"/>
  <c r="AJ1350" i="16"/>
  <c r="AJ1349" i="16"/>
  <c r="AJ1348" i="16"/>
  <c r="AJ1347" i="16"/>
  <c r="AJ1346" i="16"/>
  <c r="AJ1345" i="16"/>
  <c r="AJ1344" i="16"/>
  <c r="AJ1343" i="16"/>
  <c r="AJ1342" i="16"/>
  <c r="AJ1341" i="16"/>
  <c r="AJ1340" i="16"/>
  <c r="AJ1339" i="16"/>
  <c r="AJ1338" i="16"/>
  <c r="AJ1337" i="16"/>
  <c r="AJ1336" i="16"/>
  <c r="AJ1335" i="16"/>
  <c r="AJ1334" i="16"/>
  <c r="AJ1333" i="16"/>
  <c r="AJ1332" i="16"/>
  <c r="AJ1331" i="16"/>
  <c r="AJ1330" i="16"/>
  <c r="AJ1329" i="16"/>
  <c r="AJ1328" i="16"/>
  <c r="AJ1327" i="16"/>
  <c r="AJ1326" i="16"/>
  <c r="AJ1325" i="16"/>
  <c r="AJ1324" i="16"/>
  <c r="AJ1323" i="16"/>
  <c r="AJ1322" i="16"/>
  <c r="AJ1321" i="16"/>
  <c r="AJ1320" i="16"/>
  <c r="AJ1319" i="16"/>
  <c r="AJ1318" i="16"/>
  <c r="AJ1317" i="16"/>
  <c r="AJ1316" i="16"/>
  <c r="AJ1315" i="16"/>
  <c r="AJ1314" i="16"/>
  <c r="AJ1313" i="16"/>
  <c r="AJ1312" i="16"/>
  <c r="AJ1311" i="16"/>
  <c r="AJ1310" i="16"/>
  <c r="AJ1309" i="16"/>
  <c r="AJ1308" i="16"/>
  <c r="AJ1307" i="16"/>
  <c r="AJ1306" i="16"/>
  <c r="AJ1305" i="16"/>
  <c r="AJ1304" i="16"/>
  <c r="AJ1303" i="16"/>
  <c r="AJ1302" i="16"/>
  <c r="AJ1301" i="16"/>
  <c r="AJ1300" i="16"/>
  <c r="AJ1299" i="16"/>
  <c r="AJ1298" i="16"/>
  <c r="AJ1297" i="16"/>
  <c r="AJ1296" i="16"/>
  <c r="AJ1295" i="16"/>
  <c r="AJ1294" i="16"/>
  <c r="AJ1293" i="16"/>
  <c r="AJ1292" i="16"/>
  <c r="AJ1291" i="16"/>
  <c r="AJ1290" i="16"/>
  <c r="AJ1289" i="16"/>
  <c r="AJ1288" i="16"/>
  <c r="AJ1287" i="16"/>
  <c r="AJ1286" i="16"/>
  <c r="AJ1285" i="16"/>
  <c r="AJ1284" i="16"/>
  <c r="AJ1283" i="16"/>
  <c r="AJ1282" i="16"/>
  <c r="AJ1281" i="16"/>
  <c r="AJ1280" i="16"/>
  <c r="AJ1279" i="16"/>
  <c r="AJ1278" i="16"/>
  <c r="AJ1277" i="16"/>
  <c r="AJ1276" i="16"/>
  <c r="AJ1275" i="16"/>
  <c r="AJ1274" i="16"/>
  <c r="AJ1273" i="16"/>
  <c r="AJ1272" i="16"/>
  <c r="AJ1271" i="16"/>
  <c r="AJ1270" i="16"/>
  <c r="AJ1269" i="16"/>
  <c r="AJ1268" i="16"/>
  <c r="AJ1267" i="16"/>
  <c r="AJ1266" i="16"/>
  <c r="AJ1265" i="16"/>
  <c r="AJ1264" i="16"/>
  <c r="AJ1263" i="16"/>
  <c r="AJ1262" i="16"/>
  <c r="AJ1261" i="16"/>
  <c r="AJ1260" i="16"/>
  <c r="AJ1259" i="16"/>
  <c r="AJ1258" i="16"/>
  <c r="AJ1257" i="16"/>
  <c r="AJ1256" i="16"/>
  <c r="AJ1255" i="16"/>
  <c r="AJ1254" i="16"/>
  <c r="AJ1253" i="16"/>
  <c r="AJ1252" i="16"/>
  <c r="AJ1251" i="16"/>
  <c r="AJ1250" i="16"/>
  <c r="AJ1249" i="16"/>
  <c r="AJ1248" i="16"/>
  <c r="AJ1247" i="16"/>
  <c r="AJ1246" i="16"/>
  <c r="AJ1245" i="16"/>
  <c r="AJ1244" i="16"/>
  <c r="AJ1243" i="16"/>
  <c r="AJ1242" i="16"/>
  <c r="AJ1241" i="16"/>
  <c r="AJ1240" i="16"/>
  <c r="AJ1239" i="16"/>
  <c r="AJ1238" i="16"/>
  <c r="AJ1237" i="16"/>
  <c r="AJ1236" i="16"/>
  <c r="AJ1235" i="16"/>
  <c r="AJ1234" i="16"/>
  <c r="AJ1233" i="16"/>
  <c r="AJ1232" i="16"/>
  <c r="AJ1231" i="16"/>
  <c r="AJ1230" i="16"/>
  <c r="AJ1229" i="16"/>
  <c r="AJ1228" i="16"/>
  <c r="AJ1227" i="16"/>
  <c r="AJ1226" i="16"/>
  <c r="AJ1225" i="16"/>
  <c r="AJ1224" i="16"/>
  <c r="AJ1223" i="16"/>
  <c r="AJ1222" i="16"/>
  <c r="AJ1221" i="16"/>
  <c r="AJ1220" i="16"/>
  <c r="AJ1219" i="16"/>
  <c r="AJ1218" i="16"/>
  <c r="AJ1217" i="16"/>
  <c r="AJ1216" i="16"/>
  <c r="AJ1215" i="16"/>
  <c r="AJ1214" i="16"/>
  <c r="AJ1213" i="16"/>
  <c r="AJ1212" i="16"/>
  <c r="AJ1211" i="16"/>
  <c r="AJ1210" i="16"/>
  <c r="AJ1209" i="16"/>
  <c r="AJ1208" i="16"/>
  <c r="AJ1207" i="16"/>
  <c r="AJ1206" i="16"/>
  <c r="AJ1205" i="16"/>
  <c r="AJ1204" i="16"/>
  <c r="AJ1203" i="16"/>
  <c r="AJ1202" i="16"/>
  <c r="AJ1201" i="16"/>
  <c r="AJ1200" i="16"/>
  <c r="AJ1199" i="16"/>
  <c r="AJ1198" i="16"/>
  <c r="AJ1197" i="16"/>
  <c r="AJ1196" i="16"/>
  <c r="AJ1195" i="16"/>
  <c r="AJ1194" i="16"/>
  <c r="AJ1193" i="16"/>
  <c r="AJ1192" i="16"/>
  <c r="AJ1191" i="16"/>
  <c r="AJ1190" i="16"/>
  <c r="AJ1189" i="16"/>
  <c r="AJ1188" i="16"/>
  <c r="AJ1187" i="16"/>
  <c r="AJ1186" i="16"/>
  <c r="AJ1185" i="16"/>
  <c r="AJ1184" i="16"/>
  <c r="AJ1183" i="16"/>
  <c r="AJ1182" i="16"/>
  <c r="AJ1181" i="16"/>
  <c r="AJ1180" i="16"/>
  <c r="AJ1179" i="16"/>
  <c r="AJ1178" i="16"/>
  <c r="AJ1177" i="16"/>
  <c r="AJ1176" i="16"/>
  <c r="AJ1175" i="16"/>
  <c r="AJ1174" i="16"/>
  <c r="AJ1173" i="16"/>
  <c r="AJ1172" i="16"/>
  <c r="AJ1171" i="16"/>
  <c r="AJ1170" i="16"/>
  <c r="AJ1169" i="16"/>
  <c r="AJ1168" i="16"/>
  <c r="AJ1167" i="16"/>
  <c r="AJ1166" i="16"/>
  <c r="AJ1165" i="16"/>
  <c r="AJ1164" i="16"/>
  <c r="AJ1163" i="16"/>
  <c r="AJ1162" i="16"/>
  <c r="AJ1161" i="16"/>
  <c r="AJ1160" i="16"/>
  <c r="AJ1159" i="16"/>
  <c r="AJ1158" i="16"/>
  <c r="AJ1157" i="16"/>
  <c r="AJ1156" i="16"/>
  <c r="AJ1155" i="16"/>
  <c r="AJ1154" i="16"/>
  <c r="AJ1153" i="16"/>
  <c r="AJ1152" i="16"/>
  <c r="AJ1151" i="16"/>
  <c r="AJ1150" i="16"/>
  <c r="AJ1149" i="16"/>
  <c r="AJ1148" i="16"/>
  <c r="AJ1147" i="16"/>
  <c r="AJ1146" i="16"/>
  <c r="AJ1145" i="16"/>
  <c r="AJ1144" i="16"/>
  <c r="AJ1143" i="16"/>
  <c r="AJ1142" i="16"/>
  <c r="AJ1141" i="16"/>
  <c r="AJ1140" i="16"/>
  <c r="AJ1139" i="16"/>
  <c r="AJ1138" i="16"/>
  <c r="AJ1137" i="16"/>
  <c r="AJ1136" i="16"/>
  <c r="AJ1135" i="16"/>
  <c r="AJ1134" i="16"/>
  <c r="AJ1133" i="16"/>
  <c r="AJ1132" i="16"/>
  <c r="AJ1131" i="16"/>
  <c r="AJ1130" i="16"/>
  <c r="AJ1129" i="16"/>
  <c r="AJ1128" i="16"/>
  <c r="AJ1127" i="16"/>
  <c r="AJ1126" i="16"/>
  <c r="AJ1125" i="16"/>
  <c r="AJ1124" i="16"/>
  <c r="AJ1123" i="16"/>
  <c r="AJ1122" i="16"/>
  <c r="AJ1121" i="16"/>
  <c r="AJ1120" i="16"/>
  <c r="AJ1119" i="16"/>
  <c r="AJ1118" i="16"/>
  <c r="AJ1117" i="16"/>
  <c r="AJ1116" i="16"/>
  <c r="AJ1115" i="16"/>
  <c r="AJ1114" i="16"/>
  <c r="AJ1113" i="16"/>
  <c r="AJ1112" i="16"/>
  <c r="AJ1111" i="16"/>
  <c r="AJ1110" i="16"/>
  <c r="AJ1109" i="16"/>
  <c r="AJ1108" i="16"/>
  <c r="AJ1107" i="16"/>
  <c r="AJ1106" i="16"/>
  <c r="AJ1105" i="16"/>
  <c r="AJ1104" i="16"/>
  <c r="AJ1103" i="16"/>
  <c r="AJ1102" i="16"/>
  <c r="AJ1101" i="16"/>
  <c r="AJ1100" i="16"/>
  <c r="AJ1099" i="16"/>
  <c r="AJ1098" i="16"/>
  <c r="AJ1097" i="16"/>
  <c r="AJ1096" i="16"/>
  <c r="AJ1095" i="16"/>
  <c r="AJ1094" i="16"/>
  <c r="AJ1093" i="16"/>
  <c r="AJ1092" i="16"/>
  <c r="AJ1091" i="16"/>
  <c r="AJ1090" i="16"/>
  <c r="AJ1089" i="16"/>
  <c r="AJ1087" i="16"/>
  <c r="AJ1086" i="16"/>
  <c r="AJ1085" i="16"/>
  <c r="AJ1084" i="16"/>
  <c r="AJ1083" i="16"/>
  <c r="AJ1082" i="16"/>
  <c r="AJ1081" i="16"/>
  <c r="AJ1080" i="16"/>
  <c r="AJ1079" i="16"/>
  <c r="AJ1078" i="16"/>
  <c r="AJ1077" i="16"/>
  <c r="AJ1076" i="16"/>
  <c r="AJ1075" i="16"/>
  <c r="AJ1074" i="16"/>
  <c r="AJ1073" i="16"/>
  <c r="AJ1072" i="16"/>
  <c r="AJ1071" i="16"/>
  <c r="AJ1070" i="16"/>
  <c r="AJ1069" i="16"/>
  <c r="AJ1068" i="16"/>
  <c r="AJ1067" i="16"/>
  <c r="AJ1066" i="16"/>
  <c r="AJ1065" i="16"/>
  <c r="AJ1064" i="16"/>
  <c r="AJ1063" i="16"/>
  <c r="AJ1062" i="16"/>
  <c r="AJ1061" i="16"/>
  <c r="AJ1060" i="16"/>
  <c r="AJ1059" i="16"/>
  <c r="AJ1058" i="16"/>
  <c r="AJ1057" i="16"/>
  <c r="AJ1056" i="16"/>
  <c r="AJ1055" i="16"/>
  <c r="AJ1054" i="16"/>
  <c r="AJ1053" i="16"/>
  <c r="AJ1052" i="16"/>
  <c r="AJ1051" i="16"/>
  <c r="AJ1050" i="16"/>
  <c r="AJ1049" i="16"/>
  <c r="AJ1048" i="16"/>
  <c r="AJ1047" i="16"/>
  <c r="AJ1046" i="16"/>
  <c r="AJ1045" i="16"/>
  <c r="AJ1044" i="16"/>
  <c r="AJ1043" i="16"/>
  <c r="AJ1042" i="16"/>
  <c r="AJ1041" i="16"/>
  <c r="AJ1040" i="16"/>
  <c r="AJ1039" i="16"/>
  <c r="AJ1038" i="16"/>
  <c r="AJ1037" i="16"/>
  <c r="AJ1036" i="16"/>
  <c r="AJ1035" i="16"/>
  <c r="AJ1034" i="16"/>
  <c r="AJ1033" i="16"/>
  <c r="AJ1032" i="16"/>
  <c r="AJ1031" i="16"/>
  <c r="AJ1030" i="16"/>
  <c r="AJ1029" i="16"/>
  <c r="AJ1028" i="16"/>
  <c r="AJ1027" i="16"/>
  <c r="AJ1026" i="16"/>
  <c r="AJ1025" i="16"/>
  <c r="AJ1024" i="16"/>
  <c r="AJ1023" i="16"/>
  <c r="AJ1022" i="16"/>
  <c r="AJ1021" i="16"/>
  <c r="AJ1020" i="16"/>
  <c r="AJ1019" i="16"/>
  <c r="AJ1018" i="16"/>
  <c r="AJ1017" i="16"/>
  <c r="AJ1016" i="16"/>
  <c r="AJ1015" i="16"/>
  <c r="AJ1014" i="16"/>
  <c r="AJ1013" i="16"/>
  <c r="AJ1012" i="16"/>
  <c r="AJ1011" i="16"/>
  <c r="AJ1010" i="16"/>
  <c r="AJ1009" i="16"/>
  <c r="AJ1008" i="16"/>
  <c r="AJ1007" i="16"/>
  <c r="AJ1006" i="16"/>
  <c r="AJ1005" i="16"/>
  <c r="AJ1004" i="16"/>
  <c r="AJ1003" i="16"/>
  <c r="AJ1002" i="16"/>
  <c r="AJ1001" i="16"/>
  <c r="AJ1000" i="16"/>
  <c r="AJ999" i="16"/>
  <c r="AJ998" i="16"/>
  <c r="AJ997" i="16"/>
  <c r="AJ996" i="16"/>
  <c r="AJ995" i="16"/>
  <c r="AJ994" i="16"/>
  <c r="AJ993" i="16"/>
  <c r="AJ992" i="16"/>
  <c r="AJ991" i="16"/>
  <c r="AJ990" i="16"/>
  <c r="AJ989" i="16"/>
  <c r="AJ988" i="16"/>
  <c r="AJ987" i="16"/>
  <c r="AJ986" i="16"/>
  <c r="AJ985" i="16"/>
  <c r="AJ984" i="16"/>
  <c r="AJ983" i="16"/>
  <c r="AJ982" i="16"/>
  <c r="AJ981" i="16"/>
  <c r="AJ980" i="16"/>
  <c r="AJ979" i="16"/>
  <c r="AJ978" i="16"/>
  <c r="AJ977" i="16"/>
  <c r="AJ976" i="16"/>
  <c r="AJ975" i="16"/>
  <c r="AJ974" i="16"/>
  <c r="AJ973" i="16"/>
  <c r="AJ972" i="16"/>
  <c r="AJ971" i="16"/>
  <c r="AJ970" i="16"/>
  <c r="AJ969" i="16"/>
  <c r="AJ968" i="16"/>
  <c r="AJ967" i="16"/>
  <c r="AJ966" i="16"/>
  <c r="AJ965" i="16"/>
  <c r="AJ964" i="16"/>
  <c r="AJ963" i="16"/>
  <c r="AJ962" i="16"/>
  <c r="AJ961" i="16"/>
  <c r="AJ960" i="16"/>
  <c r="AJ959" i="16"/>
  <c r="AJ958" i="16"/>
  <c r="AJ957" i="16"/>
  <c r="AJ956" i="16"/>
  <c r="AJ955" i="16"/>
  <c r="AJ954" i="16"/>
  <c r="AJ953" i="16"/>
  <c r="AJ952" i="16"/>
  <c r="AJ951" i="16"/>
  <c r="AJ950" i="16"/>
  <c r="AJ949" i="16"/>
  <c r="AJ948" i="16"/>
  <c r="AJ947" i="16"/>
  <c r="AJ946" i="16"/>
  <c r="AJ945" i="16"/>
  <c r="AJ944" i="16"/>
  <c r="AJ943" i="16"/>
  <c r="AJ942" i="16"/>
  <c r="AJ941" i="16"/>
  <c r="AJ940" i="16"/>
  <c r="AJ939" i="16"/>
  <c r="AJ938" i="16"/>
  <c r="AJ937" i="16"/>
  <c r="AJ936" i="16"/>
  <c r="AJ935" i="16"/>
  <c r="AJ934" i="16"/>
  <c r="AJ933" i="16"/>
  <c r="AJ932" i="16"/>
  <c r="AJ931" i="16"/>
  <c r="AJ930" i="16"/>
  <c r="AJ929" i="16"/>
  <c r="AJ928" i="16"/>
  <c r="AJ927" i="16"/>
  <c r="AJ926" i="16"/>
  <c r="AJ925" i="16"/>
  <c r="AJ924" i="16"/>
  <c r="AJ923" i="16"/>
  <c r="AJ922" i="16"/>
  <c r="AJ921" i="16"/>
  <c r="AJ920" i="16"/>
  <c r="AJ919" i="16"/>
  <c r="AJ918" i="16"/>
  <c r="AJ917" i="16"/>
  <c r="AJ916" i="16"/>
  <c r="AJ915" i="16"/>
  <c r="AJ914" i="16"/>
  <c r="AJ913" i="16"/>
  <c r="AJ912" i="16"/>
  <c r="AJ911" i="16"/>
  <c r="AJ910" i="16"/>
  <c r="AJ909" i="16"/>
  <c r="AJ908" i="16"/>
  <c r="AJ907" i="16"/>
  <c r="AJ906" i="16"/>
  <c r="AJ905" i="16"/>
  <c r="AJ904" i="16"/>
  <c r="AJ903" i="16"/>
  <c r="AJ902" i="16"/>
  <c r="AJ901" i="16"/>
  <c r="AJ900" i="16"/>
  <c r="AJ899" i="16"/>
  <c r="AJ898" i="16"/>
  <c r="AJ897" i="16"/>
  <c r="AJ896" i="16"/>
  <c r="AJ895" i="16"/>
  <c r="AJ894" i="16"/>
  <c r="AJ893" i="16"/>
  <c r="AJ892" i="16"/>
  <c r="AJ891" i="16"/>
  <c r="AJ890" i="16"/>
  <c r="AJ889" i="16"/>
  <c r="AJ888" i="16"/>
  <c r="AJ887" i="16"/>
  <c r="AJ886" i="16"/>
  <c r="AJ885" i="16"/>
  <c r="AJ884" i="16"/>
  <c r="AJ883" i="16"/>
  <c r="AJ882" i="16"/>
  <c r="AJ881" i="16"/>
  <c r="AJ880" i="16"/>
  <c r="AJ879" i="16"/>
  <c r="AJ878" i="16"/>
  <c r="AJ877" i="16"/>
  <c r="AJ876" i="16"/>
  <c r="AJ875" i="16"/>
  <c r="AJ874" i="16"/>
  <c r="AJ873" i="16"/>
  <c r="AJ872" i="16"/>
  <c r="AJ871" i="16"/>
  <c r="AJ870" i="16"/>
  <c r="AJ869" i="16"/>
  <c r="AJ868" i="16"/>
  <c r="AJ867" i="16"/>
  <c r="AJ866" i="16"/>
  <c r="AJ865" i="16"/>
  <c r="AJ864" i="16"/>
  <c r="AJ863" i="16"/>
  <c r="AJ862" i="16"/>
  <c r="AJ861" i="16"/>
  <c r="AJ860" i="16"/>
  <c r="AJ859" i="16"/>
  <c r="AJ858" i="16"/>
  <c r="AJ857" i="16"/>
  <c r="AJ856" i="16"/>
  <c r="AJ855" i="16"/>
  <c r="AJ854" i="16"/>
  <c r="AJ853" i="16"/>
  <c r="AJ852" i="16"/>
  <c r="AJ851" i="16"/>
  <c r="AJ850" i="16"/>
  <c r="AJ849" i="16"/>
  <c r="AJ848" i="16"/>
  <c r="AJ847" i="16"/>
  <c r="AJ846" i="16"/>
  <c r="AJ845" i="16"/>
  <c r="AJ844" i="16"/>
  <c r="AJ843" i="16"/>
  <c r="AJ842" i="16"/>
  <c r="AJ841" i="16"/>
  <c r="AJ840" i="16"/>
  <c r="AJ839" i="16"/>
  <c r="AJ838" i="16"/>
  <c r="AJ837" i="16"/>
  <c r="AJ836" i="16"/>
  <c r="AJ835" i="16"/>
  <c r="AJ834" i="16"/>
  <c r="AJ833" i="16"/>
  <c r="AJ832" i="16"/>
  <c r="AJ831" i="16"/>
  <c r="AJ830" i="16"/>
  <c r="AJ829" i="16"/>
  <c r="AJ828" i="16"/>
  <c r="AJ827" i="16"/>
  <c r="AJ826" i="16"/>
  <c r="AJ825" i="16"/>
  <c r="AJ824" i="16"/>
  <c r="AJ823" i="16"/>
  <c r="AJ822" i="16"/>
  <c r="AJ821" i="16"/>
  <c r="AJ820" i="16"/>
  <c r="AJ819" i="16"/>
  <c r="AJ818" i="16"/>
  <c r="AJ817" i="16"/>
  <c r="AJ816" i="16"/>
  <c r="AJ815" i="16"/>
  <c r="AJ814" i="16"/>
  <c r="AJ813" i="16"/>
  <c r="AJ812" i="16"/>
  <c r="AJ811" i="16"/>
  <c r="AJ810" i="16"/>
  <c r="AJ809" i="16"/>
  <c r="AJ808" i="16"/>
  <c r="AJ807" i="16"/>
  <c r="AJ806" i="16"/>
  <c r="AJ805" i="16"/>
  <c r="AJ804" i="16"/>
  <c r="AJ803" i="16"/>
  <c r="AJ802" i="16"/>
  <c r="AJ801" i="16"/>
  <c r="AJ800" i="16"/>
  <c r="AJ799" i="16"/>
  <c r="AJ798" i="16"/>
  <c r="AJ797" i="16"/>
  <c r="AJ796" i="16"/>
  <c r="AJ795" i="16"/>
  <c r="AJ794" i="16"/>
  <c r="AJ793" i="16"/>
  <c r="AJ792" i="16"/>
  <c r="AJ791" i="16"/>
  <c r="AJ790" i="16"/>
  <c r="AJ789" i="16"/>
  <c r="AJ788" i="16"/>
  <c r="AJ787" i="16"/>
  <c r="AJ786" i="16"/>
  <c r="AJ785" i="16"/>
  <c r="AJ784" i="16"/>
  <c r="AJ783" i="16"/>
  <c r="AJ782" i="16"/>
  <c r="AJ781" i="16"/>
  <c r="AJ780" i="16"/>
  <c r="AJ779" i="16"/>
  <c r="AJ778" i="16"/>
  <c r="AJ777" i="16"/>
  <c r="AJ776" i="16"/>
  <c r="AJ775" i="16"/>
  <c r="AJ774" i="16"/>
  <c r="AJ773" i="16"/>
  <c r="AJ772" i="16"/>
  <c r="AJ771" i="16"/>
  <c r="AJ770" i="16"/>
  <c r="AJ769" i="16"/>
  <c r="AJ768" i="16"/>
  <c r="AJ767" i="16"/>
  <c r="AJ766" i="16"/>
  <c r="AJ765" i="16"/>
  <c r="AJ764" i="16"/>
  <c r="AJ763" i="16"/>
  <c r="AJ762" i="16"/>
  <c r="AJ761" i="16"/>
  <c r="AJ760" i="16"/>
  <c r="AJ759" i="16"/>
  <c r="AJ758" i="16"/>
  <c r="AJ757" i="16"/>
  <c r="AJ756" i="16"/>
  <c r="AJ755" i="16"/>
  <c r="AJ754" i="16"/>
  <c r="AJ753" i="16"/>
  <c r="AJ752" i="16"/>
  <c r="AJ751" i="16"/>
  <c r="AJ750" i="16"/>
  <c r="AJ749" i="16"/>
  <c r="AJ748" i="16"/>
  <c r="AJ747" i="16"/>
  <c r="AJ746" i="16"/>
  <c r="AJ745" i="16"/>
  <c r="AJ744" i="16"/>
  <c r="AJ743" i="16"/>
  <c r="AJ742" i="16"/>
  <c r="AJ741" i="16"/>
  <c r="AJ740" i="16"/>
  <c r="AJ739" i="16"/>
  <c r="AJ738" i="16"/>
  <c r="AJ737" i="16"/>
  <c r="AJ736" i="16"/>
  <c r="AJ735" i="16"/>
  <c r="AJ734" i="16"/>
  <c r="AJ733" i="16"/>
  <c r="AJ732" i="16"/>
  <c r="AJ731" i="16"/>
  <c r="AJ730" i="16"/>
  <c r="AJ729" i="16"/>
  <c r="AJ728" i="16"/>
  <c r="AJ727" i="16"/>
  <c r="AJ726" i="16"/>
  <c r="AJ725" i="16"/>
  <c r="AJ724" i="16"/>
  <c r="AJ723" i="16"/>
  <c r="AJ722" i="16"/>
  <c r="AJ721" i="16"/>
  <c r="AJ720" i="16"/>
  <c r="AJ719" i="16"/>
  <c r="AJ718" i="16"/>
  <c r="AJ717" i="16"/>
  <c r="AJ716" i="16"/>
  <c r="AJ715" i="16"/>
  <c r="AJ714" i="16"/>
  <c r="AJ713" i="16"/>
  <c r="AJ712" i="16"/>
  <c r="AJ711" i="16"/>
  <c r="AJ710" i="16"/>
  <c r="AJ709" i="16"/>
  <c r="AJ708" i="16"/>
  <c r="AJ707" i="16"/>
  <c r="AJ706" i="16"/>
  <c r="AJ705" i="16"/>
  <c r="AJ704" i="16"/>
  <c r="AJ703" i="16"/>
  <c r="AJ702" i="16"/>
  <c r="AJ701" i="16"/>
  <c r="AJ700" i="16"/>
  <c r="AJ699" i="16"/>
  <c r="AJ698" i="16"/>
  <c r="AJ697" i="16"/>
  <c r="AJ696" i="16"/>
  <c r="AJ695" i="16"/>
  <c r="AJ694" i="16"/>
  <c r="AJ693" i="16"/>
  <c r="AJ692" i="16"/>
  <c r="AJ691" i="16"/>
  <c r="AJ690" i="16"/>
  <c r="AJ689" i="16"/>
  <c r="AJ688" i="16"/>
  <c r="AJ687" i="16"/>
  <c r="AJ686" i="16"/>
  <c r="AJ685" i="16"/>
  <c r="AJ684" i="16"/>
  <c r="AJ683" i="16"/>
  <c r="AJ682" i="16"/>
  <c r="AJ681" i="16"/>
  <c r="AJ680" i="16"/>
  <c r="AJ679" i="16"/>
  <c r="AJ678" i="16"/>
  <c r="AJ677" i="16"/>
  <c r="AJ676" i="16"/>
  <c r="AJ675" i="16"/>
  <c r="AJ674" i="16"/>
  <c r="AJ673" i="16"/>
  <c r="AJ672" i="16"/>
  <c r="AJ671" i="16"/>
  <c r="AJ670" i="16"/>
  <c r="AJ669" i="16"/>
  <c r="AJ668" i="16"/>
  <c r="AJ667" i="16"/>
  <c r="AJ666" i="16"/>
  <c r="AJ665" i="16"/>
  <c r="AJ664" i="16"/>
  <c r="AJ663" i="16"/>
  <c r="AJ662" i="16"/>
  <c r="AJ661" i="16"/>
  <c r="AJ660" i="16"/>
  <c r="AJ659" i="16"/>
  <c r="AJ658" i="16"/>
  <c r="AJ657" i="16"/>
  <c r="AJ656" i="16"/>
  <c r="AJ655" i="16"/>
  <c r="AJ654" i="16"/>
  <c r="AJ653" i="16"/>
  <c r="AJ652" i="16"/>
  <c r="AJ651" i="16"/>
  <c r="AJ650" i="16"/>
  <c r="AJ649" i="16"/>
  <c r="AJ648" i="16"/>
  <c r="AJ647" i="16"/>
  <c r="AJ646" i="16"/>
  <c r="AJ645" i="16"/>
  <c r="AJ644" i="16"/>
  <c r="AJ643" i="16"/>
  <c r="AJ642" i="16"/>
  <c r="AJ641" i="16"/>
  <c r="AJ640" i="16"/>
  <c r="AJ639" i="16"/>
  <c r="AJ638" i="16"/>
  <c r="AJ637" i="16"/>
  <c r="AJ636" i="16"/>
  <c r="AJ635" i="16"/>
  <c r="AJ634" i="16"/>
  <c r="AJ633" i="16"/>
  <c r="AJ632" i="16"/>
  <c r="AJ631" i="16"/>
  <c r="AJ630" i="16"/>
  <c r="AJ629" i="16"/>
  <c r="AJ628" i="16"/>
  <c r="AJ627" i="16"/>
  <c r="AJ626" i="16"/>
  <c r="AJ625" i="16"/>
  <c r="AJ624" i="16"/>
  <c r="AJ623" i="16"/>
  <c r="AJ622" i="16"/>
  <c r="AJ621" i="16"/>
  <c r="AJ620" i="16"/>
  <c r="AJ619" i="16"/>
  <c r="AJ618" i="16"/>
  <c r="AJ617" i="16"/>
  <c r="AJ616" i="16"/>
  <c r="AJ615" i="16"/>
  <c r="AJ614" i="16"/>
  <c r="AJ613" i="16"/>
  <c r="AJ612" i="16"/>
  <c r="AJ611" i="16"/>
  <c r="AJ610" i="16"/>
  <c r="AJ609" i="16"/>
  <c r="AJ608" i="16"/>
  <c r="AJ607" i="16"/>
  <c r="AJ606" i="16"/>
  <c r="AJ605" i="16"/>
  <c r="AJ604" i="16"/>
  <c r="AJ603" i="16"/>
  <c r="AJ602" i="16"/>
  <c r="AJ601" i="16"/>
  <c r="AJ600" i="16"/>
  <c r="AJ599" i="16"/>
  <c r="AJ598" i="16"/>
  <c r="AJ597" i="16"/>
  <c r="AJ596" i="16"/>
  <c r="AJ595" i="16"/>
  <c r="AJ594" i="16"/>
  <c r="AJ593" i="16"/>
  <c r="AJ592" i="16"/>
  <c r="AJ591" i="16"/>
  <c r="AJ590" i="16"/>
  <c r="AJ589" i="16"/>
  <c r="AJ588" i="16"/>
  <c r="AJ587" i="16"/>
  <c r="AJ586" i="16"/>
  <c r="AJ585" i="16"/>
  <c r="AJ584" i="16"/>
  <c r="AJ583" i="16"/>
  <c r="AJ582" i="16"/>
  <c r="AJ581" i="16"/>
  <c r="AJ580" i="16"/>
  <c r="AJ579" i="16"/>
  <c r="AJ578" i="16"/>
  <c r="AJ577" i="16"/>
  <c r="AJ576" i="16"/>
  <c r="AJ575" i="16"/>
  <c r="AJ574" i="16"/>
  <c r="AJ573" i="16"/>
  <c r="AJ572" i="16"/>
  <c r="AJ571" i="16"/>
  <c r="AJ570" i="16"/>
  <c r="AJ569" i="16"/>
  <c r="AJ568" i="16"/>
  <c r="AJ567" i="16"/>
  <c r="AJ566" i="16"/>
  <c r="AJ565" i="16"/>
  <c r="AJ564" i="16"/>
  <c r="AJ563" i="16"/>
  <c r="AJ562" i="16"/>
  <c r="AJ561" i="16"/>
  <c r="AJ560" i="16"/>
  <c r="AJ559" i="16"/>
  <c r="AJ558" i="16"/>
  <c r="AJ557" i="16"/>
  <c r="AJ556" i="16"/>
  <c r="AJ555" i="16"/>
  <c r="AJ554" i="16"/>
  <c r="AJ553" i="16"/>
  <c r="AJ552" i="16"/>
  <c r="AJ551" i="16"/>
  <c r="AJ550" i="16"/>
  <c r="AJ549" i="16"/>
  <c r="AJ548" i="16"/>
  <c r="AJ547" i="16"/>
  <c r="AJ545" i="16"/>
  <c r="AJ544" i="16"/>
  <c r="AJ543" i="16"/>
  <c r="AJ542" i="16"/>
  <c r="AJ541" i="16"/>
  <c r="AJ540" i="16"/>
  <c r="AJ539" i="16"/>
  <c r="AJ538" i="16"/>
  <c r="AJ537" i="16"/>
  <c r="AJ536" i="16"/>
  <c r="AJ535" i="16"/>
  <c r="AJ534" i="16"/>
  <c r="AJ533" i="16"/>
  <c r="AJ532" i="16"/>
  <c r="AJ531" i="16"/>
  <c r="AJ530" i="16"/>
  <c r="AJ529" i="16"/>
  <c r="AJ528" i="16"/>
  <c r="AJ527" i="16"/>
  <c r="AJ526" i="16"/>
  <c r="AJ525" i="16"/>
  <c r="AJ524" i="16"/>
  <c r="AJ523" i="16"/>
  <c r="AJ522" i="16"/>
  <c r="AJ521" i="16"/>
  <c r="AJ520" i="16"/>
  <c r="AJ519" i="16"/>
  <c r="AJ518" i="16"/>
  <c r="AJ517" i="16"/>
  <c r="AJ516" i="16"/>
  <c r="AJ515" i="16"/>
  <c r="AJ514" i="16"/>
  <c r="AJ513" i="16"/>
  <c r="AJ512" i="16"/>
  <c r="AJ511" i="16"/>
  <c r="AJ510" i="16"/>
  <c r="AJ509" i="16"/>
  <c r="AJ508" i="16"/>
  <c r="AJ507" i="16"/>
  <c r="AJ506" i="16"/>
  <c r="AJ505" i="16"/>
  <c r="AJ504" i="16"/>
  <c r="AJ503" i="16"/>
  <c r="AJ502" i="16"/>
  <c r="AJ501" i="16"/>
  <c r="AJ500" i="16"/>
  <c r="AJ499" i="16"/>
  <c r="AJ498" i="16"/>
  <c r="AJ497" i="16"/>
  <c r="AJ496" i="16"/>
  <c r="AJ495" i="16"/>
  <c r="AJ494" i="16"/>
  <c r="AJ493" i="16"/>
  <c r="AJ492" i="16"/>
  <c r="AJ491" i="16"/>
  <c r="AJ490" i="16"/>
  <c r="AJ489" i="16"/>
  <c r="AJ488" i="16"/>
  <c r="AJ487" i="16"/>
  <c r="AJ486" i="16"/>
  <c r="AJ485" i="16"/>
  <c r="AJ484" i="16"/>
  <c r="AJ483" i="16"/>
  <c r="AJ482" i="16"/>
  <c r="AJ481" i="16"/>
  <c r="AJ480" i="16"/>
  <c r="AJ479" i="16"/>
  <c r="AJ478" i="16"/>
  <c r="AJ477" i="16"/>
  <c r="AJ476" i="16"/>
  <c r="AJ475" i="16"/>
  <c r="AJ474" i="16"/>
  <c r="AJ473" i="16"/>
  <c r="AJ472" i="16"/>
  <c r="AJ471" i="16"/>
  <c r="AJ470" i="16"/>
  <c r="AJ469" i="16"/>
  <c r="AJ468" i="16"/>
  <c r="AJ467" i="16"/>
  <c r="AJ466" i="16"/>
  <c r="AJ465" i="16"/>
  <c r="AJ464" i="16"/>
  <c r="AJ463" i="16"/>
  <c r="AJ462" i="16"/>
  <c r="AJ461" i="16"/>
  <c r="AJ460" i="16"/>
  <c r="AJ459" i="16"/>
  <c r="AJ458" i="16"/>
  <c r="AJ457" i="16"/>
  <c r="AJ456" i="16"/>
  <c r="AJ455" i="16"/>
  <c r="AJ454" i="16"/>
  <c r="AJ453" i="16"/>
  <c r="AJ452" i="16"/>
  <c r="AJ451" i="16"/>
  <c r="AJ450" i="16"/>
  <c r="AJ449" i="16"/>
  <c r="AJ448" i="16"/>
  <c r="AJ447" i="16"/>
  <c r="AJ446" i="16"/>
  <c r="AJ445" i="16"/>
  <c r="AJ444" i="16"/>
  <c r="AJ443" i="16"/>
  <c r="AJ442" i="16"/>
  <c r="AJ441" i="16"/>
  <c r="AJ440" i="16"/>
  <c r="AJ439" i="16"/>
  <c r="AJ438" i="16"/>
  <c r="AJ437" i="16"/>
  <c r="AJ436" i="16"/>
  <c r="AJ435" i="16"/>
  <c r="AJ434" i="16"/>
  <c r="AJ433" i="16"/>
  <c r="AJ432" i="16"/>
  <c r="AJ431" i="16"/>
  <c r="AJ430" i="16"/>
  <c r="AJ429" i="16"/>
  <c r="AJ428" i="16"/>
  <c r="AJ427" i="16"/>
  <c r="AJ426" i="16"/>
  <c r="AJ425" i="16"/>
  <c r="AJ424" i="16"/>
  <c r="AJ423" i="16"/>
  <c r="AJ422" i="16"/>
  <c r="AJ421" i="16"/>
  <c r="AJ420" i="16"/>
  <c r="AJ419" i="16"/>
  <c r="AJ418" i="16"/>
  <c r="AJ417" i="16"/>
  <c r="AJ416" i="16"/>
  <c r="AJ415" i="16"/>
  <c r="AJ414" i="16"/>
  <c r="AJ413" i="16"/>
  <c r="AJ412" i="16"/>
  <c r="AJ411" i="16"/>
  <c r="AJ410" i="16"/>
  <c r="AJ409" i="16"/>
  <c r="AJ408" i="16"/>
  <c r="AJ407" i="16"/>
  <c r="AJ406" i="16"/>
  <c r="AJ405" i="16"/>
  <c r="AJ404" i="16"/>
  <c r="AJ403" i="16"/>
  <c r="AJ402" i="16"/>
  <c r="AJ401" i="16"/>
  <c r="AJ400" i="16"/>
  <c r="AJ399" i="16"/>
  <c r="AJ398" i="16"/>
  <c r="AJ397" i="16"/>
  <c r="AJ396" i="16"/>
  <c r="AJ395" i="16"/>
  <c r="AJ394" i="16"/>
  <c r="AJ393" i="16"/>
  <c r="AJ392" i="16"/>
  <c r="AJ391" i="16"/>
  <c r="AJ390" i="16"/>
  <c r="AJ389" i="16"/>
  <c r="AJ388" i="16"/>
  <c r="AJ387" i="16"/>
  <c r="AJ386" i="16"/>
  <c r="AJ385" i="16"/>
  <c r="AJ384" i="16"/>
  <c r="AJ383" i="16"/>
  <c r="AJ382" i="16"/>
  <c r="AJ381" i="16"/>
  <c r="AJ380" i="16"/>
  <c r="AJ379" i="16"/>
  <c r="AJ378" i="16"/>
  <c r="AJ377" i="16"/>
  <c r="AJ376" i="16"/>
  <c r="AJ375" i="16"/>
  <c r="AJ374" i="16"/>
  <c r="AJ373" i="16"/>
  <c r="AJ372" i="16"/>
  <c r="AJ371" i="16"/>
  <c r="AJ370" i="16"/>
  <c r="AJ369" i="16"/>
  <c r="AJ368" i="16"/>
  <c r="AJ367" i="16"/>
  <c r="AJ366" i="16"/>
  <c r="AJ365" i="16"/>
  <c r="AJ364" i="16"/>
  <c r="AJ363" i="16"/>
  <c r="AJ362" i="16"/>
  <c r="AJ361" i="16"/>
  <c r="AJ360" i="16"/>
  <c r="AJ359" i="16"/>
  <c r="AJ358" i="16"/>
  <c r="AJ357" i="16"/>
  <c r="AJ356" i="16"/>
  <c r="AJ355" i="16"/>
  <c r="AJ354" i="16"/>
  <c r="AJ353" i="16"/>
  <c r="AJ352" i="16"/>
  <c r="AJ351" i="16"/>
  <c r="AJ350" i="16"/>
  <c r="AJ349" i="16"/>
  <c r="AJ348" i="16"/>
  <c r="AJ347" i="16"/>
  <c r="AJ346" i="16"/>
  <c r="AJ345" i="16"/>
  <c r="AJ344" i="16"/>
  <c r="AJ343" i="16"/>
  <c r="AJ342" i="16"/>
  <c r="AJ341" i="16"/>
  <c r="AJ340" i="16"/>
  <c r="AJ339" i="16"/>
  <c r="AJ338" i="16"/>
  <c r="AJ337" i="16"/>
  <c r="AJ336" i="16"/>
  <c r="AJ335" i="16"/>
  <c r="AJ334" i="16"/>
  <c r="AJ333" i="16"/>
  <c r="AJ332" i="16"/>
  <c r="AJ331" i="16"/>
  <c r="AJ330" i="16"/>
  <c r="AJ329" i="16"/>
  <c r="AJ328" i="16"/>
  <c r="AJ327" i="16"/>
  <c r="AJ326" i="16"/>
  <c r="AJ325" i="16"/>
  <c r="AJ324" i="16"/>
  <c r="AJ323" i="16"/>
  <c r="AJ322" i="16"/>
  <c r="AJ321" i="16"/>
  <c r="AJ320" i="16"/>
  <c r="AJ319" i="16"/>
  <c r="AJ318" i="16"/>
  <c r="AJ317" i="16"/>
  <c r="AJ316" i="16"/>
  <c r="AJ315" i="16"/>
  <c r="AJ314" i="16"/>
  <c r="AJ313" i="16"/>
  <c r="AJ312" i="16"/>
  <c r="AJ311" i="16"/>
  <c r="AJ310" i="16"/>
  <c r="AJ309" i="16"/>
  <c r="AJ308" i="16"/>
  <c r="AJ307" i="16"/>
  <c r="AJ306" i="16"/>
  <c r="AJ305" i="16"/>
  <c r="AJ304" i="16"/>
  <c r="AJ303" i="16"/>
  <c r="AJ302" i="16"/>
  <c r="AJ301" i="16"/>
  <c r="AJ300" i="16"/>
  <c r="AJ299" i="16"/>
  <c r="AJ298" i="16"/>
  <c r="AJ297" i="16"/>
  <c r="AJ296" i="16"/>
  <c r="AJ295" i="16"/>
  <c r="AJ294" i="16"/>
  <c r="AJ293" i="16"/>
  <c r="AJ292" i="16"/>
  <c r="AJ291" i="16"/>
  <c r="AJ290" i="16"/>
  <c r="AJ289" i="16"/>
  <c r="AJ288" i="16"/>
  <c r="AJ287" i="16"/>
  <c r="AJ286" i="16"/>
  <c r="AJ285" i="16"/>
  <c r="AJ284" i="16"/>
  <c r="AJ283" i="16"/>
  <c r="AJ282" i="16"/>
  <c r="AJ281" i="16"/>
  <c r="AJ280" i="16"/>
  <c r="AJ279" i="16"/>
  <c r="AJ278" i="16"/>
  <c r="AJ277" i="16"/>
  <c r="AJ276" i="16"/>
  <c r="AJ275" i="16"/>
  <c r="AJ274" i="16"/>
  <c r="AJ273" i="16"/>
  <c r="AJ272" i="16"/>
  <c r="AJ271" i="16"/>
  <c r="AJ270" i="16"/>
  <c r="AJ269" i="16"/>
  <c r="AJ268" i="16"/>
  <c r="AJ267" i="16"/>
  <c r="AJ266" i="16"/>
  <c r="AJ265" i="16"/>
  <c r="AJ264" i="16"/>
  <c r="AJ263" i="16"/>
  <c r="AJ262" i="16"/>
  <c r="AJ261" i="16"/>
  <c r="AJ260" i="16"/>
  <c r="AJ259" i="16"/>
  <c r="AJ258" i="16"/>
  <c r="AJ257" i="16"/>
  <c r="AJ256" i="16"/>
  <c r="AJ255" i="16"/>
  <c r="AJ254" i="16"/>
  <c r="AJ253" i="16"/>
  <c r="AJ252" i="16"/>
  <c r="AJ251" i="16"/>
  <c r="AJ250" i="16"/>
  <c r="AJ249" i="16"/>
  <c r="AJ248" i="16"/>
  <c r="AJ247" i="16"/>
  <c r="AJ246" i="16"/>
  <c r="AJ245" i="16"/>
  <c r="AJ244" i="16"/>
  <c r="AJ243" i="16"/>
  <c r="AJ242" i="16"/>
  <c r="AJ241" i="16"/>
  <c r="AJ240" i="16"/>
  <c r="AJ239" i="16"/>
  <c r="AJ238" i="16"/>
  <c r="AJ237" i="16"/>
  <c r="AJ236" i="16"/>
  <c r="AJ235" i="16"/>
  <c r="AJ234" i="16"/>
  <c r="AJ233" i="16"/>
  <c r="AJ232" i="16"/>
  <c r="AJ231" i="16"/>
  <c r="AJ230" i="16"/>
  <c r="AJ229" i="16"/>
  <c r="AJ228" i="16"/>
  <c r="AJ227" i="16"/>
  <c r="AJ226" i="16"/>
  <c r="AJ225" i="16"/>
  <c r="AJ224" i="16"/>
  <c r="AJ223" i="16"/>
  <c r="AJ222" i="16"/>
  <c r="AJ221" i="16"/>
  <c r="AJ220" i="16"/>
  <c r="AJ219" i="16"/>
  <c r="AJ218" i="16"/>
  <c r="AJ217" i="16"/>
  <c r="AJ216" i="16"/>
  <c r="AJ215" i="16"/>
  <c r="AJ214" i="16"/>
  <c r="AJ213" i="16"/>
  <c r="AJ212" i="16"/>
  <c r="AJ211" i="16"/>
  <c r="AJ210" i="16"/>
  <c r="AJ209" i="16"/>
  <c r="AJ208" i="16"/>
  <c r="AJ207" i="16"/>
  <c r="AJ206" i="16"/>
  <c r="AJ205" i="16"/>
  <c r="AJ204" i="16"/>
  <c r="AJ203" i="16"/>
  <c r="AJ202" i="16"/>
  <c r="AJ201" i="16"/>
  <c r="AJ200" i="16"/>
  <c r="AJ199" i="16"/>
  <c r="AJ198" i="16"/>
  <c r="AJ197" i="16"/>
  <c r="AJ196" i="16"/>
  <c r="AJ195" i="16"/>
  <c r="AJ194" i="16"/>
  <c r="AJ193" i="16"/>
  <c r="AJ192" i="16"/>
  <c r="AJ191" i="16"/>
  <c r="AJ190" i="16"/>
  <c r="AJ189" i="16"/>
  <c r="AJ188" i="16"/>
  <c r="AJ187" i="16"/>
  <c r="AJ186" i="16"/>
  <c r="AJ185" i="16"/>
  <c r="AJ184" i="16"/>
  <c r="AJ183" i="16"/>
  <c r="AJ182" i="16"/>
  <c r="AJ181" i="16"/>
  <c r="AJ180" i="16"/>
  <c r="AJ179" i="16"/>
  <c r="AJ178" i="16"/>
  <c r="AJ177" i="16"/>
  <c r="AJ176" i="16"/>
  <c r="AJ175" i="16"/>
  <c r="AJ174" i="16"/>
  <c r="AJ173" i="16"/>
  <c r="AJ172" i="16"/>
  <c r="AJ171" i="16"/>
  <c r="AJ170" i="16"/>
  <c r="AJ169" i="16"/>
  <c r="AJ168" i="16"/>
  <c r="AJ167" i="16"/>
  <c r="AJ166" i="16"/>
  <c r="AJ165" i="16"/>
  <c r="AJ164" i="16"/>
  <c r="AJ163" i="16"/>
  <c r="AJ162" i="16"/>
  <c r="AJ161" i="16"/>
  <c r="AJ160" i="16"/>
  <c r="AJ159" i="16"/>
  <c r="AJ158" i="16"/>
  <c r="AJ157" i="16"/>
  <c r="AJ156" i="16"/>
  <c r="AJ155" i="16"/>
  <c r="AJ154" i="16"/>
  <c r="AJ153" i="16"/>
  <c r="AJ152" i="16"/>
  <c r="AJ151" i="16"/>
  <c r="AJ150" i="16"/>
  <c r="AJ149" i="16"/>
  <c r="AJ148" i="16"/>
  <c r="AJ147" i="16"/>
  <c r="AJ146" i="16"/>
  <c r="AJ145" i="16"/>
  <c r="AJ144" i="16"/>
  <c r="AJ143" i="16"/>
  <c r="AJ142" i="16"/>
  <c r="AJ141" i="16"/>
  <c r="AJ140" i="16"/>
  <c r="AJ139" i="16"/>
  <c r="AJ138" i="16"/>
  <c r="AJ137" i="16"/>
  <c r="AJ136" i="16"/>
  <c r="AJ135" i="16"/>
  <c r="AJ134" i="16"/>
  <c r="AJ133" i="16"/>
  <c r="AJ132" i="16"/>
  <c r="AJ131" i="16"/>
  <c r="AJ130" i="16"/>
  <c r="AJ129" i="16"/>
  <c r="AJ128" i="16"/>
  <c r="AJ127" i="16"/>
  <c r="AJ126" i="16"/>
  <c r="AJ125" i="16"/>
  <c r="AJ124" i="16"/>
  <c r="AJ123" i="16"/>
  <c r="AJ122" i="16"/>
  <c r="AJ121" i="16"/>
  <c r="AJ120" i="16"/>
  <c r="AJ119" i="16"/>
  <c r="AJ118" i="16"/>
  <c r="AJ117" i="16"/>
  <c r="AJ116" i="16"/>
  <c r="AJ115" i="16"/>
  <c r="AJ114" i="16"/>
  <c r="AJ113" i="16"/>
  <c r="AJ112" i="16"/>
  <c r="AJ111" i="16"/>
  <c r="AJ110" i="16"/>
  <c r="AJ109" i="16"/>
  <c r="AJ108" i="16"/>
  <c r="AJ107" i="16"/>
  <c r="AJ106" i="16"/>
  <c r="AJ105" i="16"/>
  <c r="AJ104" i="16"/>
  <c r="AJ103" i="16"/>
  <c r="AJ102" i="16"/>
  <c r="AJ101" i="16"/>
  <c r="AJ100" i="16"/>
  <c r="AJ99" i="16"/>
  <c r="AJ98" i="16"/>
  <c r="AJ97" i="16"/>
  <c r="AJ96" i="16"/>
  <c r="AJ95" i="16"/>
  <c r="AJ94" i="16"/>
  <c r="AJ93" i="16"/>
  <c r="AJ92" i="16"/>
  <c r="AJ91" i="16"/>
  <c r="AJ90" i="16"/>
  <c r="AJ89" i="16"/>
  <c r="AJ88" i="16"/>
  <c r="AJ87" i="16"/>
  <c r="AJ86" i="16"/>
  <c r="AJ85" i="16"/>
  <c r="AJ84" i="16"/>
  <c r="AJ83" i="16"/>
  <c r="AJ82" i="16"/>
  <c r="AJ81" i="16"/>
  <c r="AJ80" i="16"/>
  <c r="AJ79" i="16"/>
  <c r="AJ78" i="16"/>
  <c r="AJ77" i="16"/>
  <c r="AJ76" i="16"/>
  <c r="AJ75" i="16"/>
  <c r="AJ74" i="16"/>
  <c r="AJ73" i="16"/>
  <c r="AJ72" i="16"/>
  <c r="AJ71" i="16"/>
  <c r="AJ70" i="16"/>
  <c r="AJ69" i="16"/>
  <c r="AJ68" i="16"/>
  <c r="AJ67" i="16"/>
  <c r="AJ66" i="16"/>
  <c r="AJ65" i="16"/>
  <c r="AJ64" i="16"/>
  <c r="AJ63" i="16"/>
  <c r="AJ62" i="16"/>
  <c r="AJ61" i="16"/>
  <c r="AJ60" i="16"/>
  <c r="AJ59" i="16"/>
  <c r="AJ58" i="16"/>
  <c r="AJ57" i="16"/>
  <c r="AJ56" i="16"/>
  <c r="AJ55" i="16"/>
  <c r="AJ54" i="16"/>
  <c r="AJ53" i="16"/>
  <c r="AJ52" i="16"/>
  <c r="AJ51" i="16"/>
  <c r="AJ50" i="16"/>
  <c r="AJ49" i="16"/>
  <c r="AJ48" i="16"/>
  <c r="AJ47" i="16"/>
  <c r="AJ46" i="16"/>
  <c r="AJ45" i="16"/>
  <c r="AJ44" i="16"/>
  <c r="AJ43" i="16"/>
  <c r="AJ42" i="16"/>
  <c r="AJ41" i="16"/>
  <c r="AJ40" i="16"/>
  <c r="AJ39" i="16"/>
  <c r="AJ38" i="16"/>
  <c r="AJ37" i="16"/>
  <c r="AJ36" i="16"/>
  <c r="AJ35" i="16"/>
  <c r="AJ34" i="16"/>
  <c r="AJ33" i="16"/>
  <c r="AJ32" i="16"/>
  <c r="AJ31" i="16"/>
  <c r="AJ30" i="16"/>
  <c r="AJ29" i="16"/>
  <c r="AJ28" i="16"/>
  <c r="AJ27" i="16"/>
  <c r="AJ26" i="16"/>
  <c r="AJ25" i="16"/>
  <c r="AJ24" i="16"/>
  <c r="AJ23" i="16"/>
  <c r="AJ22" i="16"/>
  <c r="AJ21" i="16"/>
  <c r="AJ20" i="16"/>
  <c r="AJ19" i="16"/>
  <c r="AJ18" i="16"/>
  <c r="AJ17" i="16"/>
  <c r="AJ16" i="16"/>
  <c r="AJ15" i="16"/>
  <c r="AJ14" i="16"/>
  <c r="AJ13" i="16"/>
  <c r="AJ12" i="16"/>
  <c r="AJ11" i="16"/>
  <c r="AJ10" i="16"/>
  <c r="AJ9" i="16"/>
  <c r="AJ8" i="16"/>
  <c r="AJ7" i="16"/>
  <c r="AJ6" i="16"/>
  <c r="AJ5" i="16"/>
  <c r="BF4" i="16"/>
  <c r="BF1" i="16" s="1"/>
  <c r="BB4" i="16"/>
  <c r="BB1" i="16" s="1"/>
  <c r="BC4" i="16"/>
  <c r="BH4" i="16"/>
  <c r="BH1" i="16" s="1"/>
  <c r="BD4" i="16"/>
  <c r="BD1" i="16" s="1"/>
  <c r="BE4" i="16"/>
  <c r="BE1" i="16" s="1"/>
  <c r="BG4" i="16"/>
  <c r="BG1" i="16" s="1"/>
  <c r="BH548" i="16"/>
  <c r="BH549" i="16"/>
  <c r="BH550" i="16"/>
  <c r="BH551" i="16"/>
  <c r="BH552" i="16"/>
  <c r="BH553" i="16"/>
  <c r="BH554" i="16"/>
  <c r="BH555" i="16"/>
  <c r="BH556" i="16"/>
  <c r="BH557" i="16"/>
  <c r="BH558" i="16"/>
  <c r="BH559" i="16"/>
  <c r="BH560" i="16"/>
  <c r="BH561" i="16"/>
  <c r="BH562" i="16"/>
  <c r="BH563" i="16"/>
  <c r="BH564" i="16"/>
  <c r="BH565" i="16"/>
  <c r="BH566" i="16"/>
  <c r="BH567" i="16"/>
  <c r="BH568" i="16"/>
  <c r="BH569" i="16"/>
  <c r="BH570" i="16"/>
  <c r="BH571" i="16"/>
  <c r="BH572" i="16"/>
  <c r="BH573" i="16"/>
  <c r="BH574" i="16"/>
  <c r="BH575" i="16"/>
  <c r="BH576" i="16"/>
  <c r="BH577" i="16"/>
  <c r="BH578" i="16"/>
  <c r="BH579" i="16"/>
  <c r="BH580" i="16"/>
  <c r="BH581" i="16"/>
  <c r="BH582" i="16"/>
  <c r="BH583" i="16"/>
  <c r="BH584" i="16"/>
  <c r="BH585" i="16"/>
  <c r="BH586" i="16"/>
  <c r="BH587" i="16"/>
  <c r="BH588" i="16"/>
  <c r="BH589" i="16"/>
  <c r="BH590" i="16"/>
  <c r="BH591" i="16"/>
  <c r="BH592" i="16"/>
  <c r="BH593" i="16"/>
  <c r="BH594" i="16"/>
  <c r="BH595" i="16"/>
  <c r="BH596" i="16"/>
  <c r="BH597" i="16"/>
  <c r="BH598" i="16"/>
  <c r="BH599" i="16"/>
  <c r="BH600" i="16"/>
  <c r="BH601" i="16"/>
  <c r="BH602" i="16"/>
  <c r="BH603" i="16"/>
  <c r="BH604" i="16"/>
  <c r="BH605" i="16"/>
  <c r="BH606" i="16"/>
  <c r="BH607" i="16"/>
  <c r="BH608" i="16"/>
  <c r="BH609" i="16"/>
  <c r="BH610" i="16"/>
  <c r="BH611" i="16"/>
  <c r="BH612" i="16"/>
  <c r="BH613" i="16"/>
  <c r="BH614" i="16"/>
  <c r="BH615" i="16"/>
  <c r="BH616" i="16"/>
  <c r="BH617" i="16"/>
  <c r="BH618" i="16"/>
  <c r="BH619" i="16"/>
  <c r="BH620" i="16"/>
  <c r="BH621" i="16"/>
  <c r="BH622" i="16"/>
  <c r="BH623" i="16"/>
  <c r="BH624" i="16"/>
  <c r="BH625" i="16"/>
  <c r="BH626" i="16"/>
  <c r="BH627" i="16"/>
  <c r="BH628" i="16"/>
  <c r="BH629" i="16"/>
  <c r="BH630" i="16"/>
  <c r="BH631" i="16"/>
  <c r="BH632" i="16"/>
  <c r="BH633" i="16"/>
  <c r="BH634" i="16"/>
  <c r="BH635" i="16"/>
  <c r="BH636" i="16"/>
  <c r="BH637" i="16"/>
  <c r="BH638" i="16"/>
  <c r="BH639" i="16"/>
  <c r="BH640" i="16"/>
  <c r="BH641" i="16"/>
  <c r="BH642" i="16"/>
  <c r="BH643" i="16"/>
  <c r="BH644" i="16"/>
  <c r="BH645" i="16"/>
  <c r="BH646" i="16"/>
  <c r="BH647" i="16"/>
  <c r="BH648" i="16"/>
  <c r="BH649" i="16"/>
  <c r="BH650" i="16"/>
  <c r="BH651" i="16"/>
  <c r="BH652" i="16"/>
  <c r="BH653" i="16"/>
  <c r="BH654" i="16"/>
  <c r="BH655" i="16"/>
  <c r="BH656" i="16"/>
  <c r="BH657" i="16"/>
  <c r="BH658" i="16"/>
  <c r="BH659" i="16"/>
  <c r="BH660" i="16"/>
  <c r="BH661" i="16"/>
  <c r="BH662" i="16"/>
  <c r="BH663" i="16"/>
  <c r="BH664" i="16"/>
  <c r="BH665" i="16"/>
  <c r="BH666" i="16"/>
  <c r="BH667" i="16"/>
  <c r="BH668" i="16"/>
  <c r="BH669" i="16"/>
  <c r="BH670" i="16"/>
  <c r="BH671" i="16"/>
  <c r="BH672" i="16"/>
  <c r="BH673" i="16"/>
  <c r="BH674" i="16"/>
  <c r="BH675" i="16"/>
  <c r="BH676" i="16"/>
  <c r="BH677" i="16"/>
  <c r="BH678" i="16"/>
  <c r="BH679" i="16"/>
  <c r="BH680" i="16"/>
  <c r="BH681" i="16"/>
  <c r="BH682" i="16"/>
  <c r="BH683" i="16"/>
  <c r="BH684" i="16"/>
  <c r="BH685" i="16"/>
  <c r="BH686" i="16"/>
  <c r="BH687" i="16"/>
  <c r="BH688" i="16"/>
  <c r="BH689" i="16"/>
  <c r="BH690" i="16"/>
  <c r="BH691" i="16"/>
  <c r="BH692" i="16"/>
  <c r="BH693" i="16"/>
  <c r="BH694" i="16"/>
  <c r="BH695" i="16"/>
  <c r="BH696" i="16"/>
  <c r="BH697" i="16"/>
  <c r="BH698" i="16"/>
  <c r="BH699" i="16"/>
  <c r="BH700" i="16"/>
  <c r="BH701" i="16"/>
  <c r="BH702" i="16"/>
  <c r="BH703" i="16"/>
  <c r="BH704" i="16"/>
  <c r="BH705" i="16"/>
  <c r="BH706" i="16"/>
  <c r="BH707" i="16"/>
  <c r="BH708" i="16"/>
  <c r="BH709" i="16"/>
  <c r="BH710" i="16"/>
  <c r="BH711" i="16"/>
  <c r="BH712" i="16"/>
  <c r="BH713" i="16"/>
  <c r="BH714" i="16"/>
  <c r="BH715" i="16"/>
  <c r="BH716" i="16"/>
  <c r="BH717" i="16"/>
  <c r="BH718" i="16"/>
  <c r="BH719" i="16"/>
  <c r="BH720" i="16"/>
  <c r="BH721" i="16"/>
  <c r="BH722" i="16"/>
  <c r="BH723" i="16"/>
  <c r="BH724" i="16"/>
  <c r="BH725" i="16"/>
  <c r="BH726" i="16"/>
  <c r="BH727" i="16"/>
  <c r="BH728" i="16"/>
  <c r="BH729" i="16"/>
  <c r="BH730" i="16"/>
  <c r="BH731" i="16"/>
  <c r="BH732" i="16"/>
  <c r="BH733" i="16"/>
  <c r="BH734" i="16"/>
  <c r="BH735" i="16"/>
  <c r="BH736" i="16"/>
  <c r="BH737" i="16"/>
  <c r="BH738" i="16"/>
  <c r="BH739" i="16"/>
  <c r="BH740" i="16"/>
  <c r="BH741" i="16"/>
  <c r="BH742" i="16"/>
  <c r="BH743" i="16"/>
  <c r="BH744" i="16"/>
  <c r="BH745" i="16"/>
  <c r="BH746" i="16"/>
  <c r="BH747" i="16"/>
  <c r="BH748" i="16"/>
  <c r="BH749" i="16"/>
  <c r="BH750" i="16"/>
  <c r="BH751" i="16"/>
  <c r="BH752" i="16"/>
  <c r="BH753" i="16"/>
  <c r="BH754" i="16"/>
  <c r="BH755" i="16"/>
  <c r="BH756" i="16"/>
  <c r="BH757" i="16"/>
  <c r="BH758" i="16"/>
  <c r="BH759" i="16"/>
  <c r="BH760" i="16"/>
  <c r="BH761" i="16"/>
  <c r="BH762" i="16"/>
  <c r="BH763" i="16"/>
  <c r="BH764" i="16"/>
  <c r="BH765" i="16"/>
  <c r="BH766" i="16"/>
  <c r="BH767" i="16"/>
  <c r="BH768" i="16"/>
  <c r="BH769" i="16"/>
  <c r="BH770" i="16"/>
  <c r="BH771" i="16"/>
  <c r="BH772" i="16"/>
  <c r="BH773" i="16"/>
  <c r="BH774" i="16"/>
  <c r="BH775" i="16"/>
  <c r="BH776" i="16"/>
  <c r="BH777" i="16"/>
  <c r="BH778" i="16"/>
  <c r="BH779" i="16"/>
  <c r="BH780" i="16"/>
  <c r="BH781" i="16"/>
  <c r="BH782" i="16"/>
  <c r="BH783" i="16"/>
  <c r="BH784" i="16"/>
  <c r="BH785" i="16"/>
  <c r="BH786" i="16"/>
  <c r="BH787" i="16"/>
  <c r="BH788" i="16"/>
  <c r="BH789" i="16"/>
  <c r="BH790" i="16"/>
  <c r="BH791" i="16"/>
  <c r="BH792" i="16"/>
  <c r="BH793" i="16"/>
  <c r="BH794" i="16"/>
  <c r="BH795" i="16"/>
  <c r="BH796" i="16"/>
  <c r="BH797" i="16"/>
  <c r="BH798" i="16"/>
  <c r="BH799" i="16"/>
  <c r="BH800" i="16"/>
  <c r="BH801" i="16"/>
  <c r="BH802" i="16"/>
  <c r="BH803" i="16"/>
  <c r="BH804" i="16"/>
  <c r="BH805" i="16"/>
  <c r="BH806" i="16"/>
  <c r="BH807" i="16"/>
  <c r="BH808" i="16"/>
  <c r="BH809" i="16"/>
  <c r="BH810" i="16"/>
  <c r="BH811" i="16"/>
  <c r="BH812" i="16"/>
  <c r="BH813" i="16"/>
  <c r="BH814" i="16"/>
  <c r="BH815" i="16"/>
  <c r="BH816" i="16"/>
  <c r="BH817" i="16"/>
  <c r="BH818" i="16"/>
  <c r="BH819" i="16"/>
  <c r="BH820" i="16"/>
  <c r="BH821" i="16"/>
  <c r="BH822" i="16"/>
  <c r="BH823" i="16"/>
  <c r="BH824" i="16"/>
  <c r="BH825" i="16"/>
  <c r="BH826" i="16"/>
  <c r="BH827" i="16"/>
  <c r="BH828" i="16"/>
  <c r="BH829" i="16"/>
  <c r="BH830" i="16"/>
  <c r="BH831" i="16"/>
  <c r="BH832" i="16"/>
  <c r="BH833" i="16"/>
  <c r="BH834" i="16"/>
  <c r="BH835" i="16"/>
  <c r="BH836" i="16"/>
  <c r="BH837" i="16"/>
  <c r="BH838" i="16"/>
  <c r="BH839" i="16"/>
  <c r="BH840" i="16"/>
  <c r="BH841" i="16"/>
  <c r="BH842" i="16"/>
  <c r="BH843" i="16"/>
  <c r="BH844" i="16"/>
  <c r="BH845" i="16"/>
  <c r="BH846" i="16"/>
  <c r="BH847" i="16"/>
  <c r="BH848" i="16"/>
  <c r="BH849" i="16"/>
  <c r="BH850" i="16"/>
  <c r="BH851" i="16"/>
  <c r="BH852" i="16"/>
  <c r="BH853" i="16"/>
  <c r="BH854" i="16"/>
  <c r="BH855" i="16"/>
  <c r="BH856" i="16"/>
  <c r="BH857" i="16"/>
  <c r="BH858" i="16"/>
  <c r="BH859" i="16"/>
  <c r="BH860" i="16"/>
  <c r="BH861" i="16"/>
  <c r="BH862" i="16"/>
  <c r="BH863" i="16"/>
  <c r="BH864" i="16"/>
  <c r="BH865" i="16"/>
  <c r="BH866" i="16"/>
  <c r="BH867" i="16"/>
  <c r="BH868" i="16"/>
  <c r="BH869" i="16"/>
  <c r="BH870" i="16"/>
  <c r="BH871" i="16"/>
  <c r="BH872" i="16"/>
  <c r="BH873" i="16"/>
  <c r="BH874" i="16"/>
  <c r="BH875" i="16"/>
  <c r="BH876" i="16"/>
  <c r="BH877" i="16"/>
  <c r="BH878" i="16"/>
  <c r="BH879" i="16"/>
  <c r="BH880" i="16"/>
  <c r="BH881" i="16"/>
  <c r="BH882" i="16"/>
  <c r="BH883" i="16"/>
  <c r="BH884" i="16"/>
  <c r="BH885" i="16"/>
  <c r="BH886" i="16"/>
  <c r="BH887" i="16"/>
  <c r="BH888" i="16"/>
  <c r="BH889" i="16"/>
  <c r="BH890" i="16"/>
  <c r="BH891" i="16"/>
  <c r="BH892" i="16"/>
  <c r="BH893" i="16"/>
  <c r="BH894" i="16"/>
  <c r="BH895" i="16"/>
  <c r="BH896" i="16"/>
  <c r="BH897" i="16"/>
  <c r="BH898" i="16"/>
  <c r="BH899" i="16"/>
  <c r="BH900" i="16"/>
  <c r="BH901" i="16"/>
  <c r="BH902" i="16"/>
  <c r="BH903" i="16"/>
  <c r="BH904" i="16"/>
  <c r="BH905" i="16"/>
  <c r="BH906" i="16"/>
  <c r="BH907" i="16"/>
  <c r="BH908" i="16"/>
  <c r="BH909" i="16"/>
  <c r="BH910" i="16"/>
  <c r="BH911" i="16"/>
  <c r="BH912" i="16"/>
  <c r="BH913" i="16"/>
  <c r="BH914" i="16"/>
  <c r="BH915" i="16"/>
  <c r="BH916" i="16"/>
  <c r="BH917" i="16"/>
  <c r="BH918" i="16"/>
  <c r="BH919" i="16"/>
  <c r="BH920" i="16"/>
  <c r="BH921" i="16"/>
  <c r="BH922" i="16"/>
  <c r="BH923" i="16"/>
  <c r="BH924" i="16"/>
  <c r="BH925" i="16"/>
  <c r="BH926" i="16"/>
  <c r="BH927" i="16"/>
  <c r="BH928" i="16"/>
  <c r="BH929" i="16"/>
  <c r="BH930" i="16"/>
  <c r="BH931" i="16"/>
  <c r="BH932" i="16"/>
  <c r="BH933" i="16"/>
  <c r="BH934" i="16"/>
  <c r="BH935" i="16"/>
  <c r="BH936" i="16"/>
  <c r="BH937" i="16"/>
  <c r="BH938" i="16"/>
  <c r="BH939" i="16"/>
  <c r="BH940" i="16"/>
  <c r="BH941" i="16"/>
  <c r="BH942" i="16"/>
  <c r="BH943" i="16"/>
  <c r="BH944" i="16"/>
  <c r="BH945" i="16"/>
  <c r="BH946" i="16"/>
  <c r="BH947" i="16"/>
  <c r="BH948" i="16"/>
  <c r="BH949" i="16"/>
  <c r="BH950" i="16"/>
  <c r="BH951" i="16"/>
  <c r="BH952" i="16"/>
  <c r="BH953" i="16"/>
  <c r="BH954" i="16"/>
  <c r="BH955" i="16"/>
  <c r="BH956" i="16"/>
  <c r="BH957" i="16"/>
  <c r="BH958" i="16"/>
  <c r="BH959" i="16"/>
  <c r="BH960" i="16"/>
  <c r="BH961" i="16"/>
  <c r="BH962" i="16"/>
  <c r="BH963" i="16"/>
  <c r="BH964" i="16"/>
  <c r="BH965" i="16"/>
  <c r="BH966" i="16"/>
  <c r="BH967" i="16"/>
  <c r="BH968" i="16"/>
  <c r="BH969" i="16"/>
  <c r="BH970" i="16"/>
  <c r="BH971" i="16"/>
  <c r="BH972" i="16"/>
  <c r="BH973" i="16"/>
  <c r="BH974" i="16"/>
  <c r="BH975" i="16"/>
  <c r="BH976" i="16"/>
  <c r="BH977" i="16"/>
  <c r="BH978" i="16"/>
  <c r="BH979" i="16"/>
  <c r="BH980" i="16"/>
  <c r="BH981" i="16"/>
  <c r="BH982" i="16"/>
  <c r="BH983" i="16"/>
  <c r="BH984" i="16"/>
  <c r="BH985" i="16"/>
  <c r="BH986" i="16"/>
  <c r="BH987" i="16"/>
  <c r="BH988" i="16"/>
  <c r="BH989" i="16"/>
  <c r="BH990" i="16"/>
  <c r="BH991" i="16"/>
  <c r="BH992" i="16"/>
  <c r="BH993" i="16"/>
  <c r="BH994" i="16"/>
  <c r="BH995" i="16"/>
  <c r="BH996" i="16"/>
  <c r="BH997" i="16"/>
  <c r="BH998" i="16"/>
  <c r="BH999" i="16"/>
  <c r="BH1000" i="16"/>
  <c r="BH1001" i="16"/>
  <c r="BH1002" i="16"/>
  <c r="BH1003" i="16"/>
  <c r="BH1004" i="16"/>
  <c r="BH1005" i="16"/>
  <c r="BH1006" i="16"/>
  <c r="BH1007" i="16"/>
  <c r="BH1008" i="16"/>
  <c r="BH1009" i="16"/>
  <c r="BH1010" i="16"/>
  <c r="BH1011" i="16"/>
  <c r="BH1012" i="16"/>
  <c r="BH1013" i="16"/>
  <c r="BH1014" i="16"/>
  <c r="BH1015" i="16"/>
  <c r="BH1016" i="16"/>
  <c r="BH1017" i="16"/>
  <c r="BH1018" i="16"/>
  <c r="BH1019" i="16"/>
  <c r="BH1020" i="16"/>
  <c r="BH1021" i="16"/>
  <c r="BH1022" i="16"/>
  <c r="BH1023" i="16"/>
  <c r="BH1024" i="16"/>
  <c r="BH1025" i="16"/>
  <c r="BH1026" i="16"/>
  <c r="BH1027" i="16"/>
  <c r="BH1028" i="16"/>
  <c r="BH1029" i="16"/>
  <c r="BH1030" i="16"/>
  <c r="BH1031" i="16"/>
  <c r="BH1032" i="16"/>
  <c r="BH1033" i="16"/>
  <c r="BH1034" i="16"/>
  <c r="BH1035" i="16"/>
  <c r="BH1036" i="16"/>
  <c r="BH1037" i="16"/>
  <c r="BH1038" i="16"/>
  <c r="BH1039" i="16"/>
  <c r="BH1040" i="16"/>
  <c r="BH1041" i="16"/>
  <c r="BH1042" i="16"/>
  <c r="BH1043" i="16"/>
  <c r="BH1044" i="16"/>
  <c r="BH1045" i="16"/>
  <c r="BH1046" i="16"/>
  <c r="BH1047" i="16"/>
  <c r="BH1048" i="16"/>
  <c r="BH1049" i="16"/>
  <c r="BH1050" i="16"/>
  <c r="BH1051" i="16"/>
  <c r="BH1052" i="16"/>
  <c r="BH1053" i="16"/>
  <c r="BH1054" i="16"/>
  <c r="BH1055" i="16"/>
  <c r="BH1056" i="16"/>
  <c r="BH1057" i="16"/>
  <c r="BH1058" i="16"/>
  <c r="BH1059" i="16"/>
  <c r="BH1060" i="16"/>
  <c r="BH1061" i="16"/>
  <c r="BH1062" i="16"/>
  <c r="BH1063" i="16"/>
  <c r="BH1064" i="16"/>
  <c r="BH1065" i="16"/>
  <c r="BH1066" i="16"/>
  <c r="BH1067" i="16"/>
  <c r="BH1068" i="16"/>
  <c r="BH1069" i="16"/>
  <c r="BH1070" i="16"/>
  <c r="BH1071" i="16"/>
  <c r="BH1072" i="16"/>
  <c r="BH1073" i="16"/>
  <c r="BH1074" i="16"/>
  <c r="BH1075" i="16"/>
  <c r="BH1076" i="16"/>
  <c r="BH1077" i="16"/>
  <c r="BH1078" i="16"/>
  <c r="BH1079" i="16"/>
  <c r="BH1080" i="16"/>
  <c r="BH1081" i="16"/>
  <c r="BH1082" i="16"/>
  <c r="BH1083" i="16"/>
  <c r="BH1084" i="16"/>
  <c r="BH1085" i="16"/>
  <c r="BH1086" i="16"/>
  <c r="BH1087" i="16"/>
  <c r="BF548" i="16"/>
  <c r="BF549" i="16"/>
  <c r="BF550" i="16"/>
  <c r="BF551" i="16"/>
  <c r="BF552" i="16"/>
  <c r="BF553" i="16"/>
  <c r="BF554" i="16"/>
  <c r="BF555" i="16"/>
  <c r="BF556" i="16"/>
  <c r="BF557" i="16"/>
  <c r="BF558" i="16"/>
  <c r="BF559" i="16"/>
  <c r="BF560" i="16"/>
  <c r="BF561" i="16"/>
  <c r="BF562" i="16"/>
  <c r="BF563" i="16"/>
  <c r="BF564" i="16"/>
  <c r="BF565" i="16"/>
  <c r="BF566" i="16"/>
  <c r="BF567" i="16"/>
  <c r="BF568" i="16"/>
  <c r="BF569" i="16"/>
  <c r="BF570" i="16"/>
  <c r="BF571" i="16"/>
  <c r="BF572" i="16"/>
  <c r="BF573" i="16"/>
  <c r="BF574" i="16"/>
  <c r="BF575" i="16"/>
  <c r="BF576" i="16"/>
  <c r="BF577" i="16"/>
  <c r="BF578" i="16"/>
  <c r="BF579" i="16"/>
  <c r="BF580" i="16"/>
  <c r="BF581" i="16"/>
  <c r="BF582" i="16"/>
  <c r="BF583" i="16"/>
  <c r="BF584" i="16"/>
  <c r="BF585" i="16"/>
  <c r="BF586" i="16"/>
  <c r="BF587" i="16"/>
  <c r="BF588" i="16"/>
  <c r="BF589" i="16"/>
  <c r="BF590" i="16"/>
  <c r="BF591" i="16"/>
  <c r="BF592" i="16"/>
  <c r="BF593" i="16"/>
  <c r="BF594" i="16"/>
  <c r="BF595" i="16"/>
  <c r="BF596" i="16"/>
  <c r="BF597" i="16"/>
  <c r="BF598" i="16"/>
  <c r="BF599" i="16"/>
  <c r="BF600" i="16"/>
  <c r="BF601" i="16"/>
  <c r="BF602" i="16"/>
  <c r="BF603" i="16"/>
  <c r="BF604" i="16"/>
  <c r="BF605" i="16"/>
  <c r="BF606" i="16"/>
  <c r="BF607" i="16"/>
  <c r="BF608" i="16"/>
  <c r="BF609" i="16"/>
  <c r="BF610" i="16"/>
  <c r="BF611" i="16"/>
  <c r="BF612" i="16"/>
  <c r="BF613" i="16"/>
  <c r="BF614" i="16"/>
  <c r="BF615" i="16"/>
  <c r="BF616" i="16"/>
  <c r="BF617" i="16"/>
  <c r="BF618" i="16"/>
  <c r="BF619" i="16"/>
  <c r="BF620" i="16"/>
  <c r="BF621" i="16"/>
  <c r="BF622" i="16"/>
  <c r="BF623" i="16"/>
  <c r="BF624" i="16"/>
  <c r="BF625" i="16"/>
  <c r="BF626" i="16"/>
  <c r="BF627" i="16"/>
  <c r="BF628" i="16"/>
  <c r="BF629" i="16"/>
  <c r="BF630" i="16"/>
  <c r="BF631" i="16"/>
  <c r="BF632" i="16"/>
  <c r="BF633" i="16"/>
  <c r="BF634" i="16"/>
  <c r="BF635" i="16"/>
  <c r="BF636" i="16"/>
  <c r="BF637" i="16"/>
  <c r="BF638" i="16"/>
  <c r="BF639" i="16"/>
  <c r="BF640" i="16"/>
  <c r="BF641" i="16"/>
  <c r="BF642" i="16"/>
  <c r="BF643" i="16"/>
  <c r="BF644" i="16"/>
  <c r="BF645" i="16"/>
  <c r="BF646" i="16"/>
  <c r="BF647" i="16"/>
  <c r="BF648" i="16"/>
  <c r="BF649" i="16"/>
  <c r="BF650" i="16"/>
  <c r="BF651" i="16"/>
  <c r="BF652" i="16"/>
  <c r="BF653" i="16"/>
  <c r="BF654" i="16"/>
  <c r="BF655" i="16"/>
  <c r="BF656" i="16"/>
  <c r="BF657" i="16"/>
  <c r="BF658" i="16"/>
  <c r="BF659" i="16"/>
  <c r="BF660" i="16"/>
  <c r="BF661" i="16"/>
  <c r="BF662" i="16"/>
  <c r="BF663" i="16"/>
  <c r="BF664" i="16"/>
  <c r="BF665" i="16"/>
  <c r="BF666" i="16"/>
  <c r="BF667" i="16"/>
  <c r="BF668" i="16"/>
  <c r="BF669" i="16"/>
  <c r="BF670" i="16"/>
  <c r="BF671" i="16"/>
  <c r="BF672" i="16"/>
  <c r="BF673" i="16"/>
  <c r="BF674" i="16"/>
  <c r="BF675" i="16"/>
  <c r="BF676" i="16"/>
  <c r="BF677" i="16"/>
  <c r="BF678" i="16"/>
  <c r="BF679" i="16"/>
  <c r="BF680" i="16"/>
  <c r="BF681" i="16"/>
  <c r="BF682" i="16"/>
  <c r="BF683" i="16"/>
  <c r="BF684" i="16"/>
  <c r="BF685" i="16"/>
  <c r="BF686" i="16"/>
  <c r="BF687" i="16"/>
  <c r="BF688" i="16"/>
  <c r="BF689" i="16"/>
  <c r="BF690" i="16"/>
  <c r="BF691" i="16"/>
  <c r="BF692" i="16"/>
  <c r="BF693" i="16"/>
  <c r="BF694" i="16"/>
  <c r="BF695" i="16"/>
  <c r="BF696" i="16"/>
  <c r="BF697" i="16"/>
  <c r="BF698" i="16"/>
  <c r="BF699" i="16"/>
  <c r="BF700" i="16"/>
  <c r="BF701" i="16"/>
  <c r="BF702" i="16"/>
  <c r="BF703" i="16"/>
  <c r="BF704" i="16"/>
  <c r="BF705" i="16"/>
  <c r="BF706" i="16"/>
  <c r="BF707" i="16"/>
  <c r="BF708" i="16"/>
  <c r="BF709" i="16"/>
  <c r="BF710" i="16"/>
  <c r="BF711" i="16"/>
  <c r="BF712" i="16"/>
  <c r="BF713" i="16"/>
  <c r="BF714" i="16"/>
  <c r="BF715" i="16"/>
  <c r="BF716" i="16"/>
  <c r="BF717" i="16"/>
  <c r="BF718" i="16"/>
  <c r="BF719" i="16"/>
  <c r="BF720" i="16"/>
  <c r="BF721" i="16"/>
  <c r="BF722" i="16"/>
  <c r="BF723" i="16"/>
  <c r="BF724" i="16"/>
  <c r="BF725" i="16"/>
  <c r="BF726" i="16"/>
  <c r="BF727" i="16"/>
  <c r="BF728" i="16"/>
  <c r="BF729" i="16"/>
  <c r="BF730" i="16"/>
  <c r="BF731" i="16"/>
  <c r="BF732" i="16"/>
  <c r="BF733" i="16"/>
  <c r="BF734" i="16"/>
  <c r="BF735" i="16"/>
  <c r="BF736" i="16"/>
  <c r="BF737" i="16"/>
  <c r="BF738" i="16"/>
  <c r="BF739" i="16"/>
  <c r="BF740" i="16"/>
  <c r="BF741" i="16"/>
  <c r="BF742" i="16"/>
  <c r="BF743" i="16"/>
  <c r="BF744" i="16"/>
  <c r="BF745" i="16"/>
  <c r="BF746" i="16"/>
  <c r="BF747" i="16"/>
  <c r="BF748" i="16"/>
  <c r="BF749" i="16"/>
  <c r="BF750" i="16"/>
  <c r="BF751" i="16"/>
  <c r="BF752" i="16"/>
  <c r="BF753" i="16"/>
  <c r="BF754" i="16"/>
  <c r="BF755" i="16"/>
  <c r="BF756" i="16"/>
  <c r="BF757" i="16"/>
  <c r="BF758" i="16"/>
  <c r="BF759" i="16"/>
  <c r="BF760" i="16"/>
  <c r="BF761" i="16"/>
  <c r="BF762" i="16"/>
  <c r="BF763" i="16"/>
  <c r="BF764" i="16"/>
  <c r="BF765" i="16"/>
  <c r="BF766" i="16"/>
  <c r="BF767" i="16"/>
  <c r="BF768" i="16"/>
  <c r="BF769" i="16"/>
  <c r="BF770" i="16"/>
  <c r="BF771" i="16"/>
  <c r="BF772" i="16"/>
  <c r="BF773" i="16"/>
  <c r="BF774" i="16"/>
  <c r="BF775" i="16"/>
  <c r="BF776" i="16"/>
  <c r="BF777" i="16"/>
  <c r="BF778" i="16"/>
  <c r="BF779" i="16"/>
  <c r="BF780" i="16"/>
  <c r="BF781" i="16"/>
  <c r="BF782" i="16"/>
  <c r="BF783" i="16"/>
  <c r="BF784" i="16"/>
  <c r="BF785" i="16"/>
  <c r="BF786" i="16"/>
  <c r="BF787" i="16"/>
  <c r="BF788" i="16"/>
  <c r="BF789" i="16"/>
  <c r="BF790" i="16"/>
  <c r="BF791" i="16"/>
  <c r="BF792" i="16"/>
  <c r="BF793" i="16"/>
  <c r="BF794" i="16"/>
  <c r="BF795" i="16"/>
  <c r="BF796" i="16"/>
  <c r="BF797" i="16"/>
  <c r="BF798" i="16"/>
  <c r="BF799" i="16"/>
  <c r="BF800" i="16"/>
  <c r="BF801" i="16"/>
  <c r="BF802" i="16"/>
  <c r="BF803" i="16"/>
  <c r="BF804" i="16"/>
  <c r="BF805" i="16"/>
  <c r="BF806" i="16"/>
  <c r="BF807" i="16"/>
  <c r="BF808" i="16"/>
  <c r="BF809" i="16"/>
  <c r="BF810" i="16"/>
  <c r="BF811" i="16"/>
  <c r="BF812" i="16"/>
  <c r="BF813" i="16"/>
  <c r="BF814" i="16"/>
  <c r="BF815" i="16"/>
  <c r="BF816" i="16"/>
  <c r="BF817" i="16"/>
  <c r="BF818" i="16"/>
  <c r="BF819" i="16"/>
  <c r="BF820" i="16"/>
  <c r="BF821" i="16"/>
  <c r="BF822" i="16"/>
  <c r="BF823" i="16"/>
  <c r="BF824" i="16"/>
  <c r="BF825" i="16"/>
  <c r="BF826" i="16"/>
  <c r="BF827" i="16"/>
  <c r="BF828" i="16"/>
  <c r="BF829" i="16"/>
  <c r="BF830" i="16"/>
  <c r="BF831" i="16"/>
  <c r="BF832" i="16"/>
  <c r="BF833" i="16"/>
  <c r="BF834" i="16"/>
  <c r="BF835" i="16"/>
  <c r="BF836" i="16"/>
  <c r="BF837" i="16"/>
  <c r="BF838" i="16"/>
  <c r="BF839" i="16"/>
  <c r="BF840" i="16"/>
  <c r="BF841" i="16"/>
  <c r="BF842" i="16"/>
  <c r="BF843" i="16"/>
  <c r="BF844" i="16"/>
  <c r="BF845" i="16"/>
  <c r="BF846" i="16"/>
  <c r="BF847" i="16"/>
  <c r="BF848" i="16"/>
  <c r="BF849" i="16"/>
  <c r="BF850" i="16"/>
  <c r="BF851" i="16"/>
  <c r="BF852" i="16"/>
  <c r="BF853" i="16"/>
  <c r="BF854" i="16"/>
  <c r="BF855" i="16"/>
  <c r="BF856" i="16"/>
  <c r="BF857" i="16"/>
  <c r="BF858" i="16"/>
  <c r="BF859" i="16"/>
  <c r="BF860" i="16"/>
  <c r="BF861" i="16"/>
  <c r="BF862" i="16"/>
  <c r="BF863" i="16"/>
  <c r="BF864" i="16"/>
  <c r="BF865" i="16"/>
  <c r="BF866" i="16"/>
  <c r="BF867" i="16"/>
  <c r="BF868" i="16"/>
  <c r="BF869" i="16"/>
  <c r="BF870" i="16"/>
  <c r="BF871" i="16"/>
  <c r="BF872" i="16"/>
  <c r="BF873" i="16"/>
  <c r="BF874" i="16"/>
  <c r="BF875" i="16"/>
  <c r="BF876" i="16"/>
  <c r="BF877" i="16"/>
  <c r="BF878" i="16"/>
  <c r="BF879" i="16"/>
  <c r="BF880" i="16"/>
  <c r="BF881" i="16"/>
  <c r="BF882" i="16"/>
  <c r="BF883" i="16"/>
  <c r="BF884" i="16"/>
  <c r="BF885" i="16"/>
  <c r="BF886" i="16"/>
  <c r="BF887" i="16"/>
  <c r="BF888" i="16"/>
  <c r="BF889" i="16"/>
  <c r="BF890" i="16"/>
  <c r="BF891" i="16"/>
  <c r="BF892" i="16"/>
  <c r="BF893" i="16"/>
  <c r="BF894" i="16"/>
  <c r="BF895" i="16"/>
  <c r="BF896" i="16"/>
  <c r="BF897" i="16"/>
  <c r="BF898" i="16"/>
  <c r="BF899" i="16"/>
  <c r="BF900" i="16"/>
  <c r="BF901" i="16"/>
  <c r="BF902" i="16"/>
  <c r="BF903" i="16"/>
  <c r="BF904" i="16"/>
  <c r="BF905" i="16"/>
  <c r="BF906" i="16"/>
  <c r="BF907" i="16"/>
  <c r="BF908" i="16"/>
  <c r="BF909" i="16"/>
  <c r="BF910" i="16"/>
  <c r="BF911" i="16"/>
  <c r="BF912" i="16"/>
  <c r="BF913" i="16"/>
  <c r="BF914" i="16"/>
  <c r="BF915" i="16"/>
  <c r="BF916" i="16"/>
  <c r="BF917" i="16"/>
  <c r="BF918" i="16"/>
  <c r="BF919" i="16"/>
  <c r="BF920" i="16"/>
  <c r="BF921" i="16"/>
  <c r="BF922" i="16"/>
  <c r="BF923" i="16"/>
  <c r="BF924" i="16"/>
  <c r="BF925" i="16"/>
  <c r="BF926" i="16"/>
  <c r="BF927" i="16"/>
  <c r="BF928" i="16"/>
  <c r="BF929" i="16"/>
  <c r="BF930" i="16"/>
  <c r="BF931" i="16"/>
  <c r="BF932" i="16"/>
  <c r="BF933" i="16"/>
  <c r="BF934" i="16"/>
  <c r="BF935" i="16"/>
  <c r="BF936" i="16"/>
  <c r="BF937" i="16"/>
  <c r="BF938" i="16"/>
  <c r="BF939" i="16"/>
  <c r="BF940" i="16"/>
  <c r="BF941" i="16"/>
  <c r="BF942" i="16"/>
  <c r="BF943" i="16"/>
  <c r="BF944" i="16"/>
  <c r="BF945" i="16"/>
  <c r="BF946" i="16"/>
  <c r="BF947" i="16"/>
  <c r="BF948" i="16"/>
  <c r="BF949" i="16"/>
  <c r="BF950" i="16"/>
  <c r="BF951" i="16"/>
  <c r="BF952" i="16"/>
  <c r="BF953" i="16"/>
  <c r="BF954" i="16"/>
  <c r="BF955" i="16"/>
  <c r="BF956" i="16"/>
  <c r="BF957" i="16"/>
  <c r="BF958" i="16"/>
  <c r="BF959" i="16"/>
  <c r="BF960" i="16"/>
  <c r="BF961" i="16"/>
  <c r="BF962" i="16"/>
  <c r="BF963" i="16"/>
  <c r="BF964" i="16"/>
  <c r="BF965" i="16"/>
  <c r="BF966" i="16"/>
  <c r="BF967" i="16"/>
  <c r="BF968" i="16"/>
  <c r="BF969" i="16"/>
  <c r="BF970" i="16"/>
  <c r="BF971" i="16"/>
  <c r="BF972" i="16"/>
  <c r="BF973" i="16"/>
  <c r="BF974" i="16"/>
  <c r="BF975" i="16"/>
  <c r="BF976" i="16"/>
  <c r="BF977" i="16"/>
  <c r="BF978" i="16"/>
  <c r="BF979" i="16"/>
  <c r="BF980" i="16"/>
  <c r="BF981" i="16"/>
  <c r="BF982" i="16"/>
  <c r="BF983" i="16"/>
  <c r="BF984" i="16"/>
  <c r="BF985" i="16"/>
  <c r="BF986" i="16"/>
  <c r="BF987" i="16"/>
  <c r="BF988" i="16"/>
  <c r="BF989" i="16"/>
  <c r="BF990" i="16"/>
  <c r="BF991" i="16"/>
  <c r="BF992" i="16"/>
  <c r="BF993" i="16"/>
  <c r="BF994" i="16"/>
  <c r="BF995" i="16"/>
  <c r="BF996" i="16"/>
  <c r="BF997" i="16"/>
  <c r="BF998" i="16"/>
  <c r="BF999" i="16"/>
  <c r="BF1000" i="16"/>
  <c r="BF1001" i="16"/>
  <c r="BF1002" i="16"/>
  <c r="BF1003" i="16"/>
  <c r="BF1004" i="16"/>
  <c r="BF1005" i="16"/>
  <c r="BF1006" i="16"/>
  <c r="BF1007" i="16"/>
  <c r="BF1008" i="16"/>
  <c r="BF1009" i="16"/>
  <c r="BF1010" i="16"/>
  <c r="BF1011" i="16"/>
  <c r="BF1012" i="16"/>
  <c r="BF1013" i="16"/>
  <c r="BF1014" i="16"/>
  <c r="BF1015" i="16"/>
  <c r="BF1016" i="16"/>
  <c r="BF1017" i="16"/>
  <c r="BF1018" i="16"/>
  <c r="BF1019" i="16"/>
  <c r="BF1020" i="16"/>
  <c r="BF1021" i="16"/>
  <c r="BF1022" i="16"/>
  <c r="BF1023" i="16"/>
  <c r="BF1024" i="16"/>
  <c r="BF1025" i="16"/>
  <c r="BF1026" i="16"/>
  <c r="BF1027" i="16"/>
  <c r="BF1028" i="16"/>
  <c r="BF1029" i="16"/>
  <c r="BF1030" i="16"/>
  <c r="BF1031" i="16"/>
  <c r="BF1032" i="16"/>
  <c r="BF1033" i="16"/>
  <c r="BF1034" i="16"/>
  <c r="BF1035" i="16"/>
  <c r="BF1036" i="16"/>
  <c r="BF1037" i="16"/>
  <c r="BF1038" i="16"/>
  <c r="BF1039" i="16"/>
  <c r="BF1040" i="16"/>
  <c r="BF1041" i="16"/>
  <c r="BF1042" i="16"/>
  <c r="BF1043" i="16"/>
  <c r="BF1044" i="16"/>
  <c r="BF1045" i="16"/>
  <c r="BF1046" i="16"/>
  <c r="BF1047" i="16"/>
  <c r="BF1048" i="16"/>
  <c r="BF1049" i="16"/>
  <c r="BF1050" i="16"/>
  <c r="BF1051" i="16"/>
  <c r="BF1052" i="16"/>
  <c r="BF1053" i="16"/>
  <c r="BF1054" i="16"/>
  <c r="BF1055" i="16"/>
  <c r="BF1056" i="16"/>
  <c r="BF1057" i="16"/>
  <c r="BF1058" i="16"/>
  <c r="BF1059" i="16"/>
  <c r="BF1060" i="16"/>
  <c r="BF1061" i="16"/>
  <c r="BF1062" i="16"/>
  <c r="BF1063" i="16"/>
  <c r="BF1064" i="16"/>
  <c r="BF1065" i="16"/>
  <c r="BF1066" i="16"/>
  <c r="BF1067" i="16"/>
  <c r="BF1068" i="16"/>
  <c r="BF1069" i="16"/>
  <c r="BF1070" i="16"/>
  <c r="BF1071" i="16"/>
  <c r="BF1072" i="16"/>
  <c r="BF1073" i="16"/>
  <c r="BF1074" i="16"/>
  <c r="BF1075" i="16"/>
  <c r="BF1076" i="16"/>
  <c r="BF1077" i="16"/>
  <c r="BF1078" i="16"/>
  <c r="BF1079" i="16"/>
  <c r="BF1080" i="16"/>
  <c r="BF1081" i="16"/>
  <c r="BF1082" i="16"/>
  <c r="BF1083" i="16"/>
  <c r="BF1084" i="16"/>
  <c r="BF1085" i="16"/>
  <c r="BF1086" i="16"/>
  <c r="BF1087" i="16"/>
  <c r="BB548" i="16"/>
  <c r="BB549" i="16"/>
  <c r="BB550" i="16"/>
  <c r="BB551" i="16"/>
  <c r="BB552" i="16"/>
  <c r="BB553" i="16"/>
  <c r="BB554" i="16"/>
  <c r="BB555" i="16"/>
  <c r="BB556" i="16"/>
  <c r="BB557" i="16"/>
  <c r="BB558" i="16"/>
  <c r="BB559" i="16"/>
  <c r="BB560" i="16"/>
  <c r="BB561" i="16"/>
  <c r="BB562" i="16"/>
  <c r="BB563" i="16"/>
  <c r="BB564" i="16"/>
  <c r="BB565" i="16"/>
  <c r="BB566" i="16"/>
  <c r="BB567" i="16"/>
  <c r="BB568" i="16"/>
  <c r="BB569" i="16"/>
  <c r="BB570" i="16"/>
  <c r="BB571" i="16"/>
  <c r="BB572" i="16"/>
  <c r="BB573" i="16"/>
  <c r="BB574" i="16"/>
  <c r="BB575" i="16"/>
  <c r="BB576" i="16"/>
  <c r="BB577" i="16"/>
  <c r="BB578" i="16"/>
  <c r="BB579" i="16"/>
  <c r="BB580" i="16"/>
  <c r="BB581" i="16"/>
  <c r="BB582" i="16"/>
  <c r="BB583" i="16"/>
  <c r="BB584" i="16"/>
  <c r="BB585" i="16"/>
  <c r="BB586" i="16"/>
  <c r="BB587" i="16"/>
  <c r="BB588" i="16"/>
  <c r="BB589" i="16"/>
  <c r="BB590" i="16"/>
  <c r="BB591" i="16"/>
  <c r="BB592" i="16"/>
  <c r="BB593" i="16"/>
  <c r="BB594" i="16"/>
  <c r="BB595" i="16"/>
  <c r="BB596" i="16"/>
  <c r="BB597" i="16"/>
  <c r="BB598" i="16"/>
  <c r="BB599" i="16"/>
  <c r="BB600" i="16"/>
  <c r="BB601" i="16"/>
  <c r="BB602" i="16"/>
  <c r="BB603" i="16"/>
  <c r="BB604" i="16"/>
  <c r="BB605" i="16"/>
  <c r="BB606" i="16"/>
  <c r="BB607" i="16"/>
  <c r="BB608" i="16"/>
  <c r="BB609" i="16"/>
  <c r="BB610" i="16"/>
  <c r="BB611" i="16"/>
  <c r="BB612" i="16"/>
  <c r="BB613" i="16"/>
  <c r="BB614" i="16"/>
  <c r="BB615" i="16"/>
  <c r="BB616" i="16"/>
  <c r="BB617" i="16"/>
  <c r="BB618" i="16"/>
  <c r="BB619" i="16"/>
  <c r="BB620" i="16"/>
  <c r="BB621" i="16"/>
  <c r="BB622" i="16"/>
  <c r="BB623" i="16"/>
  <c r="BB624" i="16"/>
  <c r="BB625" i="16"/>
  <c r="BB626" i="16"/>
  <c r="BB627" i="16"/>
  <c r="BB628" i="16"/>
  <c r="BB629" i="16"/>
  <c r="BB630" i="16"/>
  <c r="BB631" i="16"/>
  <c r="BB632" i="16"/>
  <c r="BB633" i="16"/>
  <c r="BB634" i="16"/>
  <c r="BB635" i="16"/>
  <c r="BB636" i="16"/>
  <c r="BB637" i="16"/>
  <c r="BB638" i="16"/>
  <c r="BB639" i="16"/>
  <c r="BB640" i="16"/>
  <c r="BB641" i="16"/>
  <c r="BB642" i="16"/>
  <c r="BB643" i="16"/>
  <c r="BB644" i="16"/>
  <c r="BB645" i="16"/>
  <c r="BB646" i="16"/>
  <c r="BB647" i="16"/>
  <c r="BB648" i="16"/>
  <c r="BB649" i="16"/>
  <c r="BB650" i="16"/>
  <c r="BB651" i="16"/>
  <c r="BB652" i="16"/>
  <c r="BB653" i="16"/>
  <c r="BB654" i="16"/>
  <c r="BB655" i="16"/>
  <c r="BB656" i="16"/>
  <c r="BB657" i="16"/>
  <c r="BB658" i="16"/>
  <c r="BB659" i="16"/>
  <c r="BB660" i="16"/>
  <c r="BB661" i="16"/>
  <c r="BB662" i="16"/>
  <c r="BB663" i="16"/>
  <c r="BB664" i="16"/>
  <c r="BB665" i="16"/>
  <c r="BB666" i="16"/>
  <c r="BB667" i="16"/>
  <c r="BB668" i="16"/>
  <c r="BB669" i="16"/>
  <c r="BB670" i="16"/>
  <c r="BB671" i="16"/>
  <c r="BB672" i="16"/>
  <c r="BB673" i="16"/>
  <c r="BB674" i="16"/>
  <c r="BB675" i="16"/>
  <c r="BB676" i="16"/>
  <c r="BB677" i="16"/>
  <c r="BB678" i="16"/>
  <c r="BB679" i="16"/>
  <c r="BB680" i="16"/>
  <c r="BB681" i="16"/>
  <c r="BB682" i="16"/>
  <c r="BB683" i="16"/>
  <c r="BB684" i="16"/>
  <c r="BB685" i="16"/>
  <c r="BB686" i="16"/>
  <c r="BB687" i="16"/>
  <c r="BB688" i="16"/>
  <c r="BB689" i="16"/>
  <c r="BB690" i="16"/>
  <c r="BB691" i="16"/>
  <c r="BB692" i="16"/>
  <c r="BB693" i="16"/>
  <c r="BB694" i="16"/>
  <c r="BB695" i="16"/>
  <c r="BB696" i="16"/>
  <c r="BB697" i="16"/>
  <c r="BB698" i="16"/>
  <c r="BB699" i="16"/>
  <c r="BB700" i="16"/>
  <c r="BB701" i="16"/>
  <c r="BB702" i="16"/>
  <c r="BB703" i="16"/>
  <c r="BB704" i="16"/>
  <c r="BB705" i="16"/>
  <c r="BB706" i="16"/>
  <c r="BB707" i="16"/>
  <c r="BB708" i="16"/>
  <c r="BB709" i="16"/>
  <c r="BB710" i="16"/>
  <c r="BB711" i="16"/>
  <c r="BB712" i="16"/>
  <c r="BB713" i="16"/>
  <c r="BB714" i="16"/>
  <c r="BB715" i="16"/>
  <c r="BB716" i="16"/>
  <c r="BB717" i="16"/>
  <c r="BB718" i="16"/>
  <c r="BB719" i="16"/>
  <c r="BB720" i="16"/>
  <c r="BB721" i="16"/>
  <c r="BB722" i="16"/>
  <c r="BB723" i="16"/>
  <c r="BB724" i="16"/>
  <c r="BB725" i="16"/>
  <c r="BB726" i="16"/>
  <c r="BB727" i="16"/>
  <c r="BB728" i="16"/>
  <c r="BB729" i="16"/>
  <c r="BB730" i="16"/>
  <c r="BB731" i="16"/>
  <c r="BB732" i="16"/>
  <c r="BB733" i="16"/>
  <c r="BB734" i="16"/>
  <c r="BB735" i="16"/>
  <c r="BB736" i="16"/>
  <c r="BB737" i="16"/>
  <c r="BB738" i="16"/>
  <c r="BB739" i="16"/>
  <c r="BB740" i="16"/>
  <c r="BB741" i="16"/>
  <c r="BB742" i="16"/>
  <c r="BB743" i="16"/>
  <c r="BB744" i="16"/>
  <c r="BB745" i="16"/>
  <c r="BB746" i="16"/>
  <c r="BB747" i="16"/>
  <c r="BB748" i="16"/>
  <c r="BB749" i="16"/>
  <c r="BB750" i="16"/>
  <c r="BB751" i="16"/>
  <c r="BB752" i="16"/>
  <c r="BB753" i="16"/>
  <c r="BB754" i="16"/>
  <c r="BB755" i="16"/>
  <c r="BB756" i="16"/>
  <c r="BB757" i="16"/>
  <c r="BB758" i="16"/>
  <c r="BB759" i="16"/>
  <c r="BB760" i="16"/>
  <c r="BB761" i="16"/>
  <c r="BB762" i="16"/>
  <c r="BB763" i="16"/>
  <c r="BB764" i="16"/>
  <c r="BB765" i="16"/>
  <c r="BB766" i="16"/>
  <c r="BB767" i="16"/>
  <c r="BB768" i="16"/>
  <c r="BB769" i="16"/>
  <c r="BB770" i="16"/>
  <c r="BB771" i="16"/>
  <c r="BB772" i="16"/>
  <c r="BB773" i="16"/>
  <c r="BB774" i="16"/>
  <c r="BB775" i="16"/>
  <c r="BB776" i="16"/>
  <c r="BB777" i="16"/>
  <c r="BB778" i="16"/>
  <c r="BB779" i="16"/>
  <c r="BB780" i="16"/>
  <c r="BB781" i="16"/>
  <c r="BB782" i="16"/>
  <c r="BB783" i="16"/>
  <c r="BB784" i="16"/>
  <c r="BB785" i="16"/>
  <c r="BB786" i="16"/>
  <c r="BB787" i="16"/>
  <c r="BB788" i="16"/>
  <c r="BB789" i="16"/>
  <c r="BB790" i="16"/>
  <c r="BB791" i="16"/>
  <c r="BB792" i="16"/>
  <c r="BB793" i="16"/>
  <c r="BB794" i="16"/>
  <c r="BB795" i="16"/>
  <c r="BB796" i="16"/>
  <c r="BB797" i="16"/>
  <c r="BB798" i="16"/>
  <c r="BB799" i="16"/>
  <c r="BB800" i="16"/>
  <c r="BB801" i="16"/>
  <c r="BB802" i="16"/>
  <c r="BB803" i="16"/>
  <c r="BB804" i="16"/>
  <c r="BB805" i="16"/>
  <c r="BB806" i="16"/>
  <c r="BB807" i="16"/>
  <c r="BB808" i="16"/>
  <c r="BB809" i="16"/>
  <c r="BB810" i="16"/>
  <c r="BB811" i="16"/>
  <c r="BB812" i="16"/>
  <c r="BB813" i="16"/>
  <c r="BB814" i="16"/>
  <c r="BB815" i="16"/>
  <c r="BB816" i="16"/>
  <c r="BB817" i="16"/>
  <c r="BB818" i="16"/>
  <c r="BB819" i="16"/>
  <c r="BB820" i="16"/>
  <c r="BB821" i="16"/>
  <c r="BB822" i="16"/>
  <c r="BB823" i="16"/>
  <c r="BB824" i="16"/>
  <c r="BB825" i="16"/>
  <c r="BB826" i="16"/>
  <c r="BB827" i="16"/>
  <c r="BB828" i="16"/>
  <c r="BB829" i="16"/>
  <c r="BB830" i="16"/>
  <c r="BB831" i="16"/>
  <c r="BB832" i="16"/>
  <c r="BB833" i="16"/>
  <c r="BB834" i="16"/>
  <c r="BB835" i="16"/>
  <c r="BB836" i="16"/>
  <c r="BB837" i="16"/>
  <c r="BB838" i="16"/>
  <c r="BB839" i="16"/>
  <c r="BB840" i="16"/>
  <c r="BB841" i="16"/>
  <c r="BB842" i="16"/>
  <c r="BB843" i="16"/>
  <c r="BB844" i="16"/>
  <c r="BB845" i="16"/>
  <c r="BB846" i="16"/>
  <c r="BB847" i="16"/>
  <c r="BB848" i="16"/>
  <c r="BB849" i="16"/>
  <c r="BB850" i="16"/>
  <c r="BB851" i="16"/>
  <c r="BB852" i="16"/>
  <c r="BB853" i="16"/>
  <c r="BB854" i="16"/>
  <c r="BB855" i="16"/>
  <c r="BB856" i="16"/>
  <c r="BB857" i="16"/>
  <c r="BB858" i="16"/>
  <c r="BB859" i="16"/>
  <c r="BB860" i="16"/>
  <c r="BB861" i="16"/>
  <c r="BB862" i="16"/>
  <c r="BB863" i="16"/>
  <c r="BB864" i="16"/>
  <c r="BB865" i="16"/>
  <c r="BB866" i="16"/>
  <c r="BB867" i="16"/>
  <c r="BB868" i="16"/>
  <c r="BB869" i="16"/>
  <c r="BB870" i="16"/>
  <c r="BB871" i="16"/>
  <c r="BB872" i="16"/>
  <c r="BB873" i="16"/>
  <c r="BB874" i="16"/>
  <c r="BB875" i="16"/>
  <c r="BB876" i="16"/>
  <c r="BB877" i="16"/>
  <c r="BB878" i="16"/>
  <c r="BB879" i="16"/>
  <c r="BB880" i="16"/>
  <c r="BB881" i="16"/>
  <c r="BB882" i="16"/>
  <c r="BB883" i="16"/>
  <c r="BB884" i="16"/>
  <c r="BB885" i="16"/>
  <c r="BB886" i="16"/>
  <c r="BB887" i="16"/>
  <c r="BB888" i="16"/>
  <c r="BB889" i="16"/>
  <c r="BB890" i="16"/>
  <c r="BB891" i="16"/>
  <c r="BB892" i="16"/>
  <c r="BB893" i="16"/>
  <c r="BB894" i="16"/>
  <c r="BB895" i="16"/>
  <c r="BB896" i="16"/>
  <c r="BB897" i="16"/>
  <c r="BB898" i="16"/>
  <c r="BB899" i="16"/>
  <c r="BB900" i="16"/>
  <c r="BB901" i="16"/>
  <c r="BB902" i="16"/>
  <c r="BB903" i="16"/>
  <c r="BB904" i="16"/>
  <c r="BB905" i="16"/>
  <c r="BB906" i="16"/>
  <c r="BB907" i="16"/>
  <c r="BB908" i="16"/>
  <c r="BB909" i="16"/>
  <c r="BB910" i="16"/>
  <c r="BB911" i="16"/>
  <c r="BB912" i="16"/>
  <c r="BB913" i="16"/>
  <c r="BB914" i="16"/>
  <c r="BB915" i="16"/>
  <c r="BB916" i="16"/>
  <c r="BB917" i="16"/>
  <c r="BB918" i="16"/>
  <c r="BB919" i="16"/>
  <c r="BB920" i="16"/>
  <c r="BB921" i="16"/>
  <c r="BB922" i="16"/>
  <c r="BB923" i="16"/>
  <c r="BB924" i="16"/>
  <c r="BB925" i="16"/>
  <c r="BB926" i="16"/>
  <c r="BB927" i="16"/>
  <c r="BB928" i="16"/>
  <c r="BB929" i="16"/>
  <c r="BB930" i="16"/>
  <c r="BB931" i="16"/>
  <c r="BB932" i="16"/>
  <c r="BB933" i="16"/>
  <c r="BB934" i="16"/>
  <c r="BB935" i="16"/>
  <c r="BB936" i="16"/>
  <c r="BB937" i="16"/>
  <c r="BB938" i="16"/>
  <c r="BB939" i="16"/>
  <c r="BB940" i="16"/>
  <c r="BB941" i="16"/>
  <c r="BB942" i="16"/>
  <c r="BB943" i="16"/>
  <c r="BB944" i="16"/>
  <c r="BB945" i="16"/>
  <c r="BB946" i="16"/>
  <c r="BB947" i="16"/>
  <c r="BB948" i="16"/>
  <c r="BB949" i="16"/>
  <c r="BB950" i="16"/>
  <c r="BB951" i="16"/>
  <c r="BB952" i="16"/>
  <c r="BB953" i="16"/>
  <c r="BB954" i="16"/>
  <c r="BB955" i="16"/>
  <c r="BB956" i="16"/>
  <c r="BB957" i="16"/>
  <c r="BB958" i="16"/>
  <c r="BB959" i="16"/>
  <c r="BB960" i="16"/>
  <c r="BB961" i="16"/>
  <c r="BB962" i="16"/>
  <c r="BB963" i="16"/>
  <c r="BB964" i="16"/>
  <c r="BB965" i="16"/>
  <c r="BB966" i="16"/>
  <c r="BB967" i="16"/>
  <c r="BB968" i="16"/>
  <c r="BB969" i="16"/>
  <c r="BB970" i="16"/>
  <c r="BB971" i="16"/>
  <c r="BB972" i="16"/>
  <c r="BB973" i="16"/>
  <c r="BB974" i="16"/>
  <c r="BB975" i="16"/>
  <c r="BB976" i="16"/>
  <c r="BB977" i="16"/>
  <c r="BB978" i="16"/>
  <c r="BB979" i="16"/>
  <c r="BB980" i="16"/>
  <c r="BB981" i="16"/>
  <c r="BB982" i="16"/>
  <c r="BB983" i="16"/>
  <c r="BB984" i="16"/>
  <c r="BB985" i="16"/>
  <c r="BB986" i="16"/>
  <c r="BB987" i="16"/>
  <c r="BB988" i="16"/>
  <c r="BB989" i="16"/>
  <c r="BB990" i="16"/>
  <c r="BB991" i="16"/>
  <c r="BB992" i="16"/>
  <c r="BB993" i="16"/>
  <c r="BB994" i="16"/>
  <c r="BB995" i="16"/>
  <c r="BB996" i="16"/>
  <c r="BB997" i="16"/>
  <c r="BB998" i="16"/>
  <c r="BB999" i="16"/>
  <c r="BB1000" i="16"/>
  <c r="BB1001" i="16"/>
  <c r="BB1002" i="16"/>
  <c r="BB1003" i="16"/>
  <c r="BB1004" i="16"/>
  <c r="BB1005" i="16"/>
  <c r="BB1006" i="16"/>
  <c r="BB1007" i="16"/>
  <c r="BB1008" i="16"/>
  <c r="BB1009" i="16"/>
  <c r="BB1010" i="16"/>
  <c r="BB1011" i="16"/>
  <c r="BB1012" i="16"/>
  <c r="BB1013" i="16"/>
  <c r="BB1014" i="16"/>
  <c r="BB1015" i="16"/>
  <c r="BB1016" i="16"/>
  <c r="BB1017" i="16"/>
  <c r="BB1018" i="16"/>
  <c r="BB1019" i="16"/>
  <c r="BB1020" i="16"/>
  <c r="BB1021" i="16"/>
  <c r="BB1022" i="16"/>
  <c r="BB1023" i="16"/>
  <c r="BB1024" i="16"/>
  <c r="BB1025" i="16"/>
  <c r="BB1026" i="16"/>
  <c r="BB1027" i="16"/>
  <c r="BB1028" i="16"/>
  <c r="BB1029" i="16"/>
  <c r="BB1030" i="16"/>
  <c r="BB1031" i="16"/>
  <c r="BB1032" i="16"/>
  <c r="BB1033" i="16"/>
  <c r="BB1034" i="16"/>
  <c r="BB1035" i="16"/>
  <c r="BB1036" i="16"/>
  <c r="BB1037" i="16"/>
  <c r="BB1038" i="16"/>
  <c r="BB1039" i="16"/>
  <c r="BB1040" i="16"/>
  <c r="BB1041" i="16"/>
  <c r="BB1042" i="16"/>
  <c r="BB1043" i="16"/>
  <c r="BB1044" i="16"/>
  <c r="BB1045" i="16"/>
  <c r="BB1046" i="16"/>
  <c r="BB1047" i="16"/>
  <c r="BB1048" i="16"/>
  <c r="BB1049" i="16"/>
  <c r="BB1050" i="16"/>
  <c r="BB1051" i="16"/>
  <c r="BB1052" i="16"/>
  <c r="BB1053" i="16"/>
  <c r="BB1054" i="16"/>
  <c r="BB1055" i="16"/>
  <c r="BB1056" i="16"/>
  <c r="BB1057" i="16"/>
  <c r="BB1058" i="16"/>
  <c r="BB1059" i="16"/>
  <c r="BB1060" i="16"/>
  <c r="BB1061" i="16"/>
  <c r="BB1062" i="16"/>
  <c r="BB1063" i="16"/>
  <c r="BB1064" i="16"/>
  <c r="BB1065" i="16"/>
  <c r="BB1066" i="16"/>
  <c r="BB1067" i="16"/>
  <c r="BB1068" i="16"/>
  <c r="BB1069" i="16"/>
  <c r="BB1070" i="16"/>
  <c r="BB1071" i="16"/>
  <c r="BB1072" i="16"/>
  <c r="BB1073" i="16"/>
  <c r="BB1074" i="16"/>
  <c r="BB1075" i="16"/>
  <c r="BB1076" i="16"/>
  <c r="BB1077" i="16"/>
  <c r="BB1078" i="16"/>
  <c r="BB1079" i="16"/>
  <c r="BB1080" i="16"/>
  <c r="BB1081" i="16"/>
  <c r="BB1082" i="16"/>
  <c r="BB1083" i="16"/>
  <c r="BB1084" i="16"/>
  <c r="BB1085" i="16"/>
  <c r="BB1086" i="16"/>
  <c r="BB1087" i="16"/>
  <c r="BB547" i="16"/>
  <c r="BH547" i="16"/>
  <c r="BF547" i="16"/>
  <c r="BB6" i="16"/>
  <c r="BC6" i="16"/>
  <c r="BD6" i="16"/>
  <c r="BE6" i="16"/>
  <c r="BF6" i="16"/>
  <c r="BG6" i="16"/>
  <c r="BH6" i="16"/>
  <c r="BB7" i="16"/>
  <c r="BC7" i="16"/>
  <c r="BD7" i="16"/>
  <c r="BE7" i="16"/>
  <c r="BF7" i="16"/>
  <c r="BG7" i="16"/>
  <c r="BH7" i="16"/>
  <c r="BB8" i="16"/>
  <c r="BC8" i="16"/>
  <c r="BD8" i="16"/>
  <c r="BE8" i="16"/>
  <c r="BF8" i="16"/>
  <c r="BG8" i="16"/>
  <c r="BH8" i="16"/>
  <c r="BB9" i="16"/>
  <c r="BC9" i="16"/>
  <c r="BD9" i="16"/>
  <c r="BE9" i="16"/>
  <c r="BF9" i="16"/>
  <c r="BG9" i="16"/>
  <c r="BH9" i="16"/>
  <c r="BB10" i="16"/>
  <c r="BC10" i="16"/>
  <c r="BD10" i="16"/>
  <c r="BE10" i="16"/>
  <c r="BF10" i="16"/>
  <c r="BG10" i="16"/>
  <c r="BH10" i="16"/>
  <c r="BB11" i="16"/>
  <c r="BC11" i="16"/>
  <c r="BD11" i="16"/>
  <c r="BE11" i="16"/>
  <c r="BF11" i="16"/>
  <c r="BG11" i="16"/>
  <c r="BH11" i="16"/>
  <c r="BB12" i="16"/>
  <c r="BC12" i="16"/>
  <c r="BD12" i="16"/>
  <c r="BE12" i="16"/>
  <c r="BF12" i="16"/>
  <c r="BG12" i="16"/>
  <c r="BH12" i="16"/>
  <c r="BB13" i="16"/>
  <c r="BC13" i="16"/>
  <c r="BD13" i="16"/>
  <c r="BE13" i="16"/>
  <c r="BF13" i="16"/>
  <c r="BG13" i="16"/>
  <c r="BH13" i="16"/>
  <c r="BB14" i="16"/>
  <c r="BC14" i="16"/>
  <c r="BD14" i="16"/>
  <c r="BE14" i="16"/>
  <c r="BF14" i="16"/>
  <c r="BG14" i="16"/>
  <c r="BH14" i="16"/>
  <c r="BB15" i="16"/>
  <c r="BC15" i="16"/>
  <c r="BD15" i="16"/>
  <c r="BE15" i="16"/>
  <c r="BF15" i="16"/>
  <c r="BG15" i="16"/>
  <c r="BH15" i="16"/>
  <c r="BB16" i="16"/>
  <c r="BC16" i="16"/>
  <c r="BD16" i="16"/>
  <c r="BE16" i="16"/>
  <c r="BF16" i="16"/>
  <c r="BG16" i="16"/>
  <c r="BH16" i="16"/>
  <c r="BB17" i="16"/>
  <c r="BC17" i="16"/>
  <c r="BD17" i="16"/>
  <c r="BE17" i="16"/>
  <c r="BF17" i="16"/>
  <c r="BG17" i="16"/>
  <c r="BH17" i="16"/>
  <c r="BB18" i="16"/>
  <c r="BC18" i="16"/>
  <c r="BD18" i="16"/>
  <c r="BE18" i="16"/>
  <c r="BF18" i="16"/>
  <c r="BG18" i="16"/>
  <c r="BH18" i="16"/>
  <c r="BB19" i="16"/>
  <c r="BC19" i="16"/>
  <c r="BD19" i="16"/>
  <c r="BE19" i="16"/>
  <c r="BF19" i="16"/>
  <c r="BG19" i="16"/>
  <c r="BH19" i="16"/>
  <c r="BB20" i="16"/>
  <c r="BC20" i="16"/>
  <c r="BD20" i="16"/>
  <c r="BE20" i="16"/>
  <c r="BF20" i="16"/>
  <c r="BG20" i="16"/>
  <c r="BH20" i="16"/>
  <c r="BB21" i="16"/>
  <c r="BC21" i="16"/>
  <c r="BD21" i="16"/>
  <c r="BE21" i="16"/>
  <c r="BF21" i="16"/>
  <c r="BG21" i="16"/>
  <c r="BH21" i="16"/>
  <c r="BB22" i="16"/>
  <c r="BC22" i="16"/>
  <c r="BD22" i="16"/>
  <c r="BE22" i="16"/>
  <c r="BF22" i="16"/>
  <c r="BG22" i="16"/>
  <c r="BH22" i="16"/>
  <c r="BB23" i="16"/>
  <c r="BC23" i="16"/>
  <c r="BD23" i="16"/>
  <c r="BE23" i="16"/>
  <c r="BF23" i="16"/>
  <c r="BG23" i="16"/>
  <c r="BH23" i="16"/>
  <c r="BB24" i="16"/>
  <c r="BC24" i="16"/>
  <c r="BD24" i="16"/>
  <c r="BE24" i="16"/>
  <c r="BF24" i="16"/>
  <c r="BG24" i="16"/>
  <c r="BH24" i="16"/>
  <c r="BB25" i="16"/>
  <c r="BC25" i="16"/>
  <c r="BD25" i="16"/>
  <c r="BE25" i="16"/>
  <c r="BF25" i="16"/>
  <c r="BG25" i="16"/>
  <c r="BH25" i="16"/>
  <c r="BB26" i="16"/>
  <c r="BC26" i="16"/>
  <c r="BD26" i="16"/>
  <c r="BE26" i="16"/>
  <c r="BF26" i="16"/>
  <c r="BG26" i="16"/>
  <c r="BH26" i="16"/>
  <c r="BB27" i="16"/>
  <c r="BC27" i="16"/>
  <c r="BD27" i="16"/>
  <c r="BE27" i="16"/>
  <c r="BF27" i="16"/>
  <c r="BG27" i="16"/>
  <c r="BH27" i="16"/>
  <c r="BB28" i="16"/>
  <c r="BC28" i="16"/>
  <c r="BD28" i="16"/>
  <c r="BE28" i="16"/>
  <c r="BF28" i="16"/>
  <c r="BG28" i="16"/>
  <c r="BH28" i="16"/>
  <c r="BB29" i="16"/>
  <c r="BC29" i="16"/>
  <c r="BD29" i="16"/>
  <c r="BE29" i="16"/>
  <c r="BF29" i="16"/>
  <c r="BG29" i="16"/>
  <c r="BH29" i="16"/>
  <c r="BB30" i="16"/>
  <c r="BC30" i="16"/>
  <c r="BD30" i="16"/>
  <c r="BE30" i="16"/>
  <c r="BF30" i="16"/>
  <c r="BG30" i="16"/>
  <c r="BH30" i="16"/>
  <c r="BB31" i="16"/>
  <c r="BC31" i="16"/>
  <c r="BD31" i="16"/>
  <c r="BE31" i="16"/>
  <c r="BF31" i="16"/>
  <c r="BG31" i="16"/>
  <c r="BH31" i="16"/>
  <c r="BB32" i="16"/>
  <c r="BC32" i="16"/>
  <c r="BD32" i="16"/>
  <c r="BE32" i="16"/>
  <c r="BF32" i="16"/>
  <c r="BG32" i="16"/>
  <c r="BH32" i="16"/>
  <c r="BB33" i="16"/>
  <c r="BC33" i="16"/>
  <c r="BD33" i="16"/>
  <c r="BE33" i="16"/>
  <c r="BF33" i="16"/>
  <c r="BG33" i="16"/>
  <c r="BH33" i="16"/>
  <c r="BB34" i="16"/>
  <c r="BC34" i="16"/>
  <c r="BD34" i="16"/>
  <c r="BE34" i="16"/>
  <c r="BF34" i="16"/>
  <c r="BG34" i="16"/>
  <c r="BH34" i="16"/>
  <c r="BB35" i="16"/>
  <c r="BC35" i="16"/>
  <c r="BD35" i="16"/>
  <c r="BE35" i="16"/>
  <c r="BF35" i="16"/>
  <c r="BG35" i="16"/>
  <c r="BH35" i="16"/>
  <c r="BB36" i="16"/>
  <c r="BC36" i="16"/>
  <c r="BD36" i="16"/>
  <c r="BE36" i="16"/>
  <c r="BF36" i="16"/>
  <c r="BG36" i="16"/>
  <c r="BH36" i="16"/>
  <c r="BB37" i="16"/>
  <c r="BC37" i="16"/>
  <c r="BD37" i="16"/>
  <c r="BE37" i="16"/>
  <c r="BF37" i="16"/>
  <c r="BG37" i="16"/>
  <c r="BH37" i="16"/>
  <c r="BB38" i="16"/>
  <c r="BC38" i="16"/>
  <c r="BD38" i="16"/>
  <c r="BE38" i="16"/>
  <c r="BF38" i="16"/>
  <c r="BG38" i="16"/>
  <c r="BH38" i="16"/>
  <c r="BB39" i="16"/>
  <c r="BC39" i="16"/>
  <c r="BD39" i="16"/>
  <c r="BE39" i="16"/>
  <c r="BF39" i="16"/>
  <c r="BG39" i="16"/>
  <c r="BH39" i="16"/>
  <c r="BB40" i="16"/>
  <c r="BC40" i="16"/>
  <c r="BD40" i="16"/>
  <c r="BE40" i="16"/>
  <c r="BF40" i="16"/>
  <c r="BG40" i="16"/>
  <c r="BH40" i="16"/>
  <c r="BB41" i="16"/>
  <c r="BC41" i="16"/>
  <c r="BD41" i="16"/>
  <c r="BE41" i="16"/>
  <c r="BF41" i="16"/>
  <c r="BG41" i="16"/>
  <c r="BH41" i="16"/>
  <c r="BB42" i="16"/>
  <c r="BC42" i="16"/>
  <c r="BD42" i="16"/>
  <c r="BE42" i="16"/>
  <c r="BF42" i="16"/>
  <c r="BG42" i="16"/>
  <c r="BH42" i="16"/>
  <c r="BB43" i="16"/>
  <c r="BC43" i="16"/>
  <c r="BD43" i="16"/>
  <c r="BE43" i="16"/>
  <c r="BF43" i="16"/>
  <c r="BG43" i="16"/>
  <c r="BH43" i="16"/>
  <c r="BB44" i="16"/>
  <c r="BC44" i="16"/>
  <c r="BD44" i="16"/>
  <c r="BE44" i="16"/>
  <c r="BF44" i="16"/>
  <c r="BG44" i="16"/>
  <c r="BH44" i="16"/>
  <c r="BB45" i="16"/>
  <c r="BC45" i="16"/>
  <c r="BD45" i="16"/>
  <c r="BE45" i="16"/>
  <c r="BF45" i="16"/>
  <c r="BG45" i="16"/>
  <c r="BH45" i="16"/>
  <c r="BB46" i="16"/>
  <c r="BC46" i="16"/>
  <c r="BD46" i="16"/>
  <c r="BE46" i="16"/>
  <c r="BF46" i="16"/>
  <c r="BG46" i="16"/>
  <c r="BH46" i="16"/>
  <c r="BB47" i="16"/>
  <c r="BC47" i="16"/>
  <c r="BD47" i="16"/>
  <c r="BE47" i="16"/>
  <c r="BF47" i="16"/>
  <c r="BG47" i="16"/>
  <c r="BH47" i="16"/>
  <c r="BB48" i="16"/>
  <c r="BC48" i="16"/>
  <c r="BD48" i="16"/>
  <c r="BE48" i="16"/>
  <c r="BF48" i="16"/>
  <c r="BG48" i="16"/>
  <c r="BH48" i="16"/>
  <c r="BB49" i="16"/>
  <c r="BC49" i="16"/>
  <c r="BD49" i="16"/>
  <c r="BE49" i="16"/>
  <c r="BF49" i="16"/>
  <c r="BG49" i="16"/>
  <c r="BH49" i="16"/>
  <c r="BB50" i="16"/>
  <c r="BC50" i="16"/>
  <c r="BD50" i="16"/>
  <c r="BE50" i="16"/>
  <c r="BF50" i="16"/>
  <c r="BG50" i="16"/>
  <c r="BH50" i="16"/>
  <c r="BB51" i="16"/>
  <c r="BC51" i="16"/>
  <c r="BD51" i="16"/>
  <c r="BE51" i="16"/>
  <c r="BF51" i="16"/>
  <c r="BG51" i="16"/>
  <c r="BH51" i="16"/>
  <c r="BB52" i="16"/>
  <c r="BC52" i="16"/>
  <c r="BD52" i="16"/>
  <c r="BE52" i="16"/>
  <c r="BF52" i="16"/>
  <c r="BG52" i="16"/>
  <c r="BH52" i="16"/>
  <c r="BB53" i="16"/>
  <c r="BC53" i="16"/>
  <c r="BD53" i="16"/>
  <c r="BE53" i="16"/>
  <c r="BF53" i="16"/>
  <c r="BG53" i="16"/>
  <c r="BH53" i="16"/>
  <c r="BB54" i="16"/>
  <c r="BC54" i="16"/>
  <c r="BD54" i="16"/>
  <c r="BE54" i="16"/>
  <c r="BF54" i="16"/>
  <c r="BG54" i="16"/>
  <c r="BH54" i="16"/>
  <c r="BB55" i="16"/>
  <c r="BC55" i="16"/>
  <c r="BD55" i="16"/>
  <c r="BE55" i="16"/>
  <c r="BF55" i="16"/>
  <c r="BG55" i="16"/>
  <c r="BH55" i="16"/>
  <c r="BB56" i="16"/>
  <c r="BC56" i="16"/>
  <c r="BD56" i="16"/>
  <c r="BE56" i="16"/>
  <c r="BF56" i="16"/>
  <c r="BG56" i="16"/>
  <c r="BH56" i="16"/>
  <c r="BB57" i="16"/>
  <c r="BC57" i="16"/>
  <c r="BD57" i="16"/>
  <c r="BE57" i="16"/>
  <c r="BF57" i="16"/>
  <c r="BG57" i="16"/>
  <c r="BH57" i="16"/>
  <c r="BB58" i="16"/>
  <c r="BC58" i="16"/>
  <c r="BD58" i="16"/>
  <c r="BE58" i="16"/>
  <c r="BF58" i="16"/>
  <c r="BG58" i="16"/>
  <c r="BH58" i="16"/>
  <c r="BB59" i="16"/>
  <c r="BC59" i="16"/>
  <c r="BD59" i="16"/>
  <c r="BE59" i="16"/>
  <c r="BF59" i="16"/>
  <c r="BG59" i="16"/>
  <c r="BH59" i="16"/>
  <c r="BB60" i="16"/>
  <c r="BC60" i="16"/>
  <c r="BD60" i="16"/>
  <c r="BE60" i="16"/>
  <c r="BF60" i="16"/>
  <c r="BG60" i="16"/>
  <c r="BH60" i="16"/>
  <c r="BB61" i="16"/>
  <c r="BC61" i="16"/>
  <c r="BD61" i="16"/>
  <c r="BE61" i="16"/>
  <c r="BF61" i="16"/>
  <c r="BG61" i="16"/>
  <c r="BH61" i="16"/>
  <c r="BB62" i="16"/>
  <c r="BC62" i="16"/>
  <c r="BD62" i="16"/>
  <c r="BE62" i="16"/>
  <c r="BF62" i="16"/>
  <c r="BG62" i="16"/>
  <c r="BH62" i="16"/>
  <c r="BB63" i="16"/>
  <c r="BC63" i="16"/>
  <c r="BD63" i="16"/>
  <c r="BE63" i="16"/>
  <c r="BF63" i="16"/>
  <c r="BG63" i="16"/>
  <c r="BH63" i="16"/>
  <c r="BB64" i="16"/>
  <c r="BC64" i="16"/>
  <c r="BD64" i="16"/>
  <c r="BE64" i="16"/>
  <c r="BF64" i="16"/>
  <c r="BG64" i="16"/>
  <c r="BH64" i="16"/>
  <c r="BB65" i="16"/>
  <c r="BC65" i="16"/>
  <c r="BD65" i="16"/>
  <c r="BE65" i="16"/>
  <c r="BF65" i="16"/>
  <c r="BG65" i="16"/>
  <c r="BH65" i="16"/>
  <c r="BB66" i="16"/>
  <c r="BC66" i="16"/>
  <c r="BD66" i="16"/>
  <c r="BE66" i="16"/>
  <c r="BF66" i="16"/>
  <c r="BG66" i="16"/>
  <c r="BH66" i="16"/>
  <c r="BB67" i="16"/>
  <c r="BC67" i="16"/>
  <c r="BD67" i="16"/>
  <c r="BE67" i="16"/>
  <c r="BF67" i="16"/>
  <c r="BG67" i="16"/>
  <c r="BH67" i="16"/>
  <c r="BB68" i="16"/>
  <c r="BC68" i="16"/>
  <c r="BD68" i="16"/>
  <c r="BE68" i="16"/>
  <c r="BF68" i="16"/>
  <c r="BG68" i="16"/>
  <c r="BH68" i="16"/>
  <c r="BB69" i="16"/>
  <c r="BC69" i="16"/>
  <c r="BD69" i="16"/>
  <c r="BE69" i="16"/>
  <c r="BF69" i="16"/>
  <c r="BG69" i="16"/>
  <c r="BH69" i="16"/>
  <c r="BB70" i="16"/>
  <c r="BC70" i="16"/>
  <c r="BD70" i="16"/>
  <c r="BE70" i="16"/>
  <c r="BF70" i="16"/>
  <c r="BG70" i="16"/>
  <c r="BH70" i="16"/>
  <c r="BB71" i="16"/>
  <c r="BC71" i="16"/>
  <c r="BD71" i="16"/>
  <c r="BE71" i="16"/>
  <c r="BF71" i="16"/>
  <c r="BG71" i="16"/>
  <c r="BH71" i="16"/>
  <c r="BB72" i="16"/>
  <c r="BC72" i="16"/>
  <c r="BD72" i="16"/>
  <c r="BE72" i="16"/>
  <c r="BF72" i="16"/>
  <c r="BG72" i="16"/>
  <c r="BH72" i="16"/>
  <c r="BB73" i="16"/>
  <c r="BC73" i="16"/>
  <c r="BD73" i="16"/>
  <c r="BE73" i="16"/>
  <c r="BF73" i="16"/>
  <c r="BG73" i="16"/>
  <c r="BH73" i="16"/>
  <c r="BB74" i="16"/>
  <c r="BC74" i="16"/>
  <c r="BD74" i="16"/>
  <c r="BE74" i="16"/>
  <c r="BF74" i="16"/>
  <c r="BG74" i="16"/>
  <c r="BH74" i="16"/>
  <c r="BB75" i="16"/>
  <c r="BC75" i="16"/>
  <c r="BD75" i="16"/>
  <c r="BE75" i="16"/>
  <c r="BF75" i="16"/>
  <c r="BG75" i="16"/>
  <c r="BH75" i="16"/>
  <c r="BB76" i="16"/>
  <c r="BC76" i="16"/>
  <c r="BD76" i="16"/>
  <c r="BE76" i="16"/>
  <c r="BF76" i="16"/>
  <c r="BG76" i="16"/>
  <c r="BH76" i="16"/>
  <c r="BB77" i="16"/>
  <c r="BC77" i="16"/>
  <c r="BD77" i="16"/>
  <c r="BE77" i="16"/>
  <c r="BF77" i="16"/>
  <c r="BG77" i="16"/>
  <c r="BH77" i="16"/>
  <c r="BB78" i="16"/>
  <c r="BC78" i="16"/>
  <c r="BD78" i="16"/>
  <c r="BE78" i="16"/>
  <c r="BF78" i="16"/>
  <c r="BG78" i="16"/>
  <c r="BH78" i="16"/>
  <c r="BB79" i="16"/>
  <c r="BC79" i="16"/>
  <c r="BD79" i="16"/>
  <c r="BE79" i="16"/>
  <c r="BF79" i="16"/>
  <c r="BG79" i="16"/>
  <c r="BH79" i="16"/>
  <c r="BB80" i="16"/>
  <c r="BC80" i="16"/>
  <c r="BD80" i="16"/>
  <c r="BE80" i="16"/>
  <c r="BF80" i="16"/>
  <c r="BG80" i="16"/>
  <c r="BH80" i="16"/>
  <c r="BB81" i="16"/>
  <c r="BC81" i="16"/>
  <c r="BD81" i="16"/>
  <c r="BE81" i="16"/>
  <c r="BF81" i="16"/>
  <c r="BG81" i="16"/>
  <c r="BH81" i="16"/>
  <c r="BB82" i="16"/>
  <c r="BC82" i="16"/>
  <c r="BD82" i="16"/>
  <c r="BE82" i="16"/>
  <c r="BF82" i="16"/>
  <c r="BG82" i="16"/>
  <c r="BH82" i="16"/>
  <c r="BB83" i="16"/>
  <c r="BC83" i="16"/>
  <c r="BD83" i="16"/>
  <c r="BE83" i="16"/>
  <c r="BF83" i="16"/>
  <c r="BG83" i="16"/>
  <c r="BH83" i="16"/>
  <c r="BB84" i="16"/>
  <c r="BC84" i="16"/>
  <c r="BD84" i="16"/>
  <c r="BE84" i="16"/>
  <c r="BF84" i="16"/>
  <c r="BG84" i="16"/>
  <c r="BH84" i="16"/>
  <c r="BB85" i="16"/>
  <c r="BC85" i="16"/>
  <c r="BD85" i="16"/>
  <c r="BE85" i="16"/>
  <c r="BF85" i="16"/>
  <c r="BG85" i="16"/>
  <c r="BH85" i="16"/>
  <c r="BB86" i="16"/>
  <c r="BC86" i="16"/>
  <c r="BD86" i="16"/>
  <c r="BE86" i="16"/>
  <c r="BF86" i="16"/>
  <c r="BG86" i="16"/>
  <c r="BH86" i="16"/>
  <c r="BB87" i="16"/>
  <c r="BC87" i="16"/>
  <c r="BD87" i="16"/>
  <c r="BE87" i="16"/>
  <c r="BF87" i="16"/>
  <c r="BG87" i="16"/>
  <c r="BH87" i="16"/>
  <c r="BB88" i="16"/>
  <c r="BC88" i="16"/>
  <c r="BD88" i="16"/>
  <c r="BE88" i="16"/>
  <c r="BF88" i="16"/>
  <c r="BG88" i="16"/>
  <c r="BH88" i="16"/>
  <c r="BB89" i="16"/>
  <c r="BC89" i="16"/>
  <c r="BD89" i="16"/>
  <c r="BE89" i="16"/>
  <c r="BF89" i="16"/>
  <c r="BG89" i="16"/>
  <c r="BH89" i="16"/>
  <c r="BB90" i="16"/>
  <c r="BC90" i="16"/>
  <c r="BD90" i="16"/>
  <c r="BE90" i="16"/>
  <c r="BF90" i="16"/>
  <c r="BG90" i="16"/>
  <c r="BH90" i="16"/>
  <c r="BB91" i="16"/>
  <c r="BC91" i="16"/>
  <c r="BD91" i="16"/>
  <c r="BE91" i="16"/>
  <c r="BF91" i="16"/>
  <c r="BG91" i="16"/>
  <c r="BH91" i="16"/>
  <c r="BB92" i="16"/>
  <c r="BC92" i="16"/>
  <c r="BD92" i="16"/>
  <c r="BE92" i="16"/>
  <c r="BF92" i="16"/>
  <c r="BG92" i="16"/>
  <c r="BH92" i="16"/>
  <c r="BB93" i="16"/>
  <c r="BC93" i="16"/>
  <c r="BD93" i="16"/>
  <c r="BE93" i="16"/>
  <c r="BF93" i="16"/>
  <c r="BG93" i="16"/>
  <c r="BH93" i="16"/>
  <c r="BB94" i="16"/>
  <c r="BC94" i="16"/>
  <c r="BD94" i="16"/>
  <c r="BE94" i="16"/>
  <c r="BF94" i="16"/>
  <c r="BG94" i="16"/>
  <c r="BH94" i="16"/>
  <c r="BB95" i="16"/>
  <c r="BC95" i="16"/>
  <c r="BD95" i="16"/>
  <c r="BE95" i="16"/>
  <c r="BF95" i="16"/>
  <c r="BG95" i="16"/>
  <c r="BH95" i="16"/>
  <c r="BB96" i="16"/>
  <c r="BC96" i="16"/>
  <c r="BD96" i="16"/>
  <c r="BE96" i="16"/>
  <c r="BF96" i="16"/>
  <c r="BG96" i="16"/>
  <c r="BH96" i="16"/>
  <c r="BB97" i="16"/>
  <c r="BC97" i="16"/>
  <c r="BD97" i="16"/>
  <c r="BE97" i="16"/>
  <c r="BF97" i="16"/>
  <c r="BG97" i="16"/>
  <c r="BH97" i="16"/>
  <c r="BB98" i="16"/>
  <c r="BC98" i="16"/>
  <c r="BD98" i="16"/>
  <c r="BE98" i="16"/>
  <c r="BF98" i="16"/>
  <c r="BG98" i="16"/>
  <c r="BH98" i="16"/>
  <c r="BB99" i="16"/>
  <c r="BC99" i="16"/>
  <c r="BD99" i="16"/>
  <c r="BE99" i="16"/>
  <c r="BF99" i="16"/>
  <c r="BG99" i="16"/>
  <c r="BH99" i="16"/>
  <c r="BB100" i="16"/>
  <c r="BC100" i="16"/>
  <c r="BD100" i="16"/>
  <c r="BE100" i="16"/>
  <c r="BF100" i="16"/>
  <c r="BG100" i="16"/>
  <c r="BH100" i="16"/>
  <c r="BB101" i="16"/>
  <c r="BC101" i="16"/>
  <c r="BD101" i="16"/>
  <c r="BE101" i="16"/>
  <c r="BF101" i="16"/>
  <c r="BG101" i="16"/>
  <c r="BH101" i="16"/>
  <c r="BB102" i="16"/>
  <c r="BC102" i="16"/>
  <c r="BD102" i="16"/>
  <c r="BE102" i="16"/>
  <c r="BF102" i="16"/>
  <c r="BG102" i="16"/>
  <c r="BH102" i="16"/>
  <c r="BB103" i="16"/>
  <c r="BC103" i="16"/>
  <c r="BD103" i="16"/>
  <c r="BE103" i="16"/>
  <c r="BF103" i="16"/>
  <c r="BG103" i="16"/>
  <c r="BH103" i="16"/>
  <c r="BB104" i="16"/>
  <c r="BC104" i="16"/>
  <c r="BD104" i="16"/>
  <c r="BE104" i="16"/>
  <c r="BF104" i="16"/>
  <c r="BG104" i="16"/>
  <c r="BH104" i="16"/>
  <c r="BB105" i="16"/>
  <c r="BC105" i="16"/>
  <c r="BD105" i="16"/>
  <c r="BE105" i="16"/>
  <c r="BF105" i="16"/>
  <c r="BG105" i="16"/>
  <c r="BH105" i="16"/>
  <c r="BB106" i="16"/>
  <c r="BC106" i="16"/>
  <c r="BD106" i="16"/>
  <c r="BE106" i="16"/>
  <c r="BF106" i="16"/>
  <c r="BG106" i="16"/>
  <c r="BH106" i="16"/>
  <c r="BB107" i="16"/>
  <c r="BC107" i="16"/>
  <c r="BD107" i="16"/>
  <c r="BE107" i="16"/>
  <c r="BF107" i="16"/>
  <c r="BG107" i="16"/>
  <c r="BH107" i="16"/>
  <c r="BB108" i="16"/>
  <c r="BC108" i="16"/>
  <c r="BD108" i="16"/>
  <c r="BE108" i="16"/>
  <c r="BF108" i="16"/>
  <c r="BG108" i="16"/>
  <c r="BH108" i="16"/>
  <c r="BB109" i="16"/>
  <c r="BC109" i="16"/>
  <c r="BD109" i="16"/>
  <c r="BE109" i="16"/>
  <c r="BF109" i="16"/>
  <c r="BG109" i="16"/>
  <c r="BH109" i="16"/>
  <c r="BB110" i="16"/>
  <c r="BC110" i="16"/>
  <c r="BD110" i="16"/>
  <c r="BE110" i="16"/>
  <c r="BF110" i="16"/>
  <c r="BG110" i="16"/>
  <c r="BH110" i="16"/>
  <c r="BB111" i="16"/>
  <c r="BC111" i="16"/>
  <c r="BD111" i="16"/>
  <c r="BE111" i="16"/>
  <c r="BF111" i="16"/>
  <c r="BG111" i="16"/>
  <c r="BH111" i="16"/>
  <c r="BB112" i="16"/>
  <c r="BC112" i="16"/>
  <c r="BD112" i="16"/>
  <c r="BE112" i="16"/>
  <c r="BF112" i="16"/>
  <c r="BG112" i="16"/>
  <c r="BH112" i="16"/>
  <c r="BB113" i="16"/>
  <c r="BC113" i="16"/>
  <c r="BD113" i="16"/>
  <c r="BE113" i="16"/>
  <c r="BF113" i="16"/>
  <c r="BG113" i="16"/>
  <c r="BH113" i="16"/>
  <c r="BB114" i="16"/>
  <c r="BC114" i="16"/>
  <c r="BD114" i="16"/>
  <c r="BE114" i="16"/>
  <c r="BF114" i="16"/>
  <c r="BG114" i="16"/>
  <c r="BH114" i="16"/>
  <c r="BB115" i="16"/>
  <c r="BC115" i="16"/>
  <c r="BD115" i="16"/>
  <c r="BE115" i="16"/>
  <c r="BF115" i="16"/>
  <c r="BG115" i="16"/>
  <c r="BH115" i="16"/>
  <c r="BB116" i="16"/>
  <c r="BC116" i="16"/>
  <c r="BD116" i="16"/>
  <c r="BE116" i="16"/>
  <c r="BF116" i="16"/>
  <c r="BG116" i="16"/>
  <c r="BH116" i="16"/>
  <c r="BB117" i="16"/>
  <c r="BC117" i="16"/>
  <c r="BD117" i="16"/>
  <c r="BE117" i="16"/>
  <c r="BF117" i="16"/>
  <c r="BG117" i="16"/>
  <c r="BH117" i="16"/>
  <c r="BB118" i="16"/>
  <c r="BC118" i="16"/>
  <c r="BD118" i="16"/>
  <c r="BE118" i="16"/>
  <c r="BF118" i="16"/>
  <c r="BG118" i="16"/>
  <c r="BH118" i="16"/>
  <c r="BB119" i="16"/>
  <c r="BC119" i="16"/>
  <c r="BD119" i="16"/>
  <c r="BE119" i="16"/>
  <c r="BF119" i="16"/>
  <c r="BG119" i="16"/>
  <c r="BH119" i="16"/>
  <c r="BB120" i="16"/>
  <c r="BC120" i="16"/>
  <c r="BD120" i="16"/>
  <c r="BE120" i="16"/>
  <c r="BF120" i="16"/>
  <c r="BG120" i="16"/>
  <c r="BH120" i="16"/>
  <c r="BB121" i="16"/>
  <c r="BC121" i="16"/>
  <c r="BD121" i="16"/>
  <c r="BE121" i="16"/>
  <c r="BF121" i="16"/>
  <c r="BG121" i="16"/>
  <c r="BH121" i="16"/>
  <c r="BB122" i="16"/>
  <c r="BC122" i="16"/>
  <c r="BD122" i="16"/>
  <c r="BE122" i="16"/>
  <c r="BF122" i="16"/>
  <c r="BG122" i="16"/>
  <c r="BH122" i="16"/>
  <c r="BB123" i="16"/>
  <c r="BC123" i="16"/>
  <c r="BD123" i="16"/>
  <c r="BE123" i="16"/>
  <c r="BF123" i="16"/>
  <c r="BG123" i="16"/>
  <c r="BH123" i="16"/>
  <c r="BB124" i="16"/>
  <c r="BC124" i="16"/>
  <c r="BD124" i="16"/>
  <c r="BE124" i="16"/>
  <c r="BF124" i="16"/>
  <c r="BG124" i="16"/>
  <c r="BH124" i="16"/>
  <c r="BB125" i="16"/>
  <c r="BC125" i="16"/>
  <c r="BD125" i="16"/>
  <c r="BE125" i="16"/>
  <c r="BF125" i="16"/>
  <c r="BG125" i="16"/>
  <c r="BH125" i="16"/>
  <c r="BB126" i="16"/>
  <c r="BC126" i="16"/>
  <c r="BD126" i="16"/>
  <c r="BE126" i="16"/>
  <c r="BF126" i="16"/>
  <c r="BG126" i="16"/>
  <c r="BH126" i="16"/>
  <c r="BB127" i="16"/>
  <c r="BC127" i="16"/>
  <c r="BD127" i="16"/>
  <c r="BE127" i="16"/>
  <c r="BF127" i="16"/>
  <c r="BG127" i="16"/>
  <c r="BH127" i="16"/>
  <c r="BB128" i="16"/>
  <c r="BC128" i="16"/>
  <c r="BD128" i="16"/>
  <c r="BE128" i="16"/>
  <c r="BF128" i="16"/>
  <c r="BG128" i="16"/>
  <c r="BH128" i="16"/>
  <c r="BB129" i="16"/>
  <c r="BC129" i="16"/>
  <c r="BD129" i="16"/>
  <c r="BE129" i="16"/>
  <c r="BF129" i="16"/>
  <c r="BG129" i="16"/>
  <c r="BH129" i="16"/>
  <c r="BB130" i="16"/>
  <c r="BC130" i="16"/>
  <c r="BD130" i="16"/>
  <c r="BE130" i="16"/>
  <c r="BF130" i="16"/>
  <c r="BG130" i="16"/>
  <c r="BH130" i="16"/>
  <c r="BB131" i="16"/>
  <c r="BC131" i="16"/>
  <c r="BD131" i="16"/>
  <c r="BE131" i="16"/>
  <c r="BF131" i="16"/>
  <c r="BG131" i="16"/>
  <c r="BH131" i="16"/>
  <c r="BB132" i="16"/>
  <c r="BC132" i="16"/>
  <c r="BD132" i="16"/>
  <c r="BE132" i="16"/>
  <c r="BF132" i="16"/>
  <c r="BG132" i="16"/>
  <c r="BH132" i="16"/>
  <c r="BB133" i="16"/>
  <c r="BC133" i="16"/>
  <c r="BD133" i="16"/>
  <c r="BE133" i="16"/>
  <c r="BF133" i="16"/>
  <c r="BG133" i="16"/>
  <c r="BH133" i="16"/>
  <c r="BB134" i="16"/>
  <c r="BC134" i="16"/>
  <c r="BD134" i="16"/>
  <c r="BE134" i="16"/>
  <c r="BF134" i="16"/>
  <c r="BG134" i="16"/>
  <c r="BH134" i="16"/>
  <c r="BB135" i="16"/>
  <c r="BC135" i="16"/>
  <c r="BD135" i="16"/>
  <c r="BE135" i="16"/>
  <c r="BF135" i="16"/>
  <c r="BG135" i="16"/>
  <c r="BH135" i="16"/>
  <c r="BB136" i="16"/>
  <c r="BC136" i="16"/>
  <c r="BD136" i="16"/>
  <c r="BE136" i="16"/>
  <c r="BF136" i="16"/>
  <c r="BG136" i="16"/>
  <c r="BH136" i="16"/>
  <c r="BB137" i="16"/>
  <c r="BC137" i="16"/>
  <c r="BD137" i="16"/>
  <c r="BE137" i="16"/>
  <c r="BF137" i="16"/>
  <c r="BG137" i="16"/>
  <c r="BH137" i="16"/>
  <c r="BB138" i="16"/>
  <c r="BC138" i="16"/>
  <c r="BD138" i="16"/>
  <c r="BE138" i="16"/>
  <c r="BF138" i="16"/>
  <c r="BG138" i="16"/>
  <c r="BH138" i="16"/>
  <c r="BB139" i="16"/>
  <c r="BC139" i="16"/>
  <c r="BD139" i="16"/>
  <c r="BE139" i="16"/>
  <c r="BF139" i="16"/>
  <c r="BG139" i="16"/>
  <c r="BH139" i="16"/>
  <c r="BB140" i="16"/>
  <c r="BC140" i="16"/>
  <c r="BD140" i="16"/>
  <c r="BE140" i="16"/>
  <c r="BF140" i="16"/>
  <c r="BG140" i="16"/>
  <c r="BH140" i="16"/>
  <c r="BB141" i="16"/>
  <c r="BC141" i="16"/>
  <c r="BD141" i="16"/>
  <c r="BE141" i="16"/>
  <c r="BF141" i="16"/>
  <c r="BG141" i="16"/>
  <c r="BH141" i="16"/>
  <c r="BB142" i="16"/>
  <c r="BC142" i="16"/>
  <c r="BD142" i="16"/>
  <c r="BE142" i="16"/>
  <c r="BF142" i="16"/>
  <c r="BG142" i="16"/>
  <c r="BH142" i="16"/>
  <c r="BB143" i="16"/>
  <c r="BC143" i="16"/>
  <c r="BD143" i="16"/>
  <c r="BE143" i="16"/>
  <c r="BF143" i="16"/>
  <c r="BG143" i="16"/>
  <c r="BH143" i="16"/>
  <c r="BB144" i="16"/>
  <c r="BC144" i="16"/>
  <c r="BD144" i="16"/>
  <c r="BE144" i="16"/>
  <c r="BF144" i="16"/>
  <c r="BG144" i="16"/>
  <c r="BH144" i="16"/>
  <c r="BB145" i="16"/>
  <c r="BC145" i="16"/>
  <c r="BD145" i="16"/>
  <c r="BE145" i="16"/>
  <c r="BF145" i="16"/>
  <c r="BG145" i="16"/>
  <c r="BH145" i="16"/>
  <c r="BB146" i="16"/>
  <c r="BC146" i="16"/>
  <c r="BD146" i="16"/>
  <c r="BE146" i="16"/>
  <c r="BF146" i="16"/>
  <c r="BG146" i="16"/>
  <c r="BH146" i="16"/>
  <c r="BB147" i="16"/>
  <c r="BC147" i="16"/>
  <c r="BD147" i="16"/>
  <c r="BE147" i="16"/>
  <c r="BF147" i="16"/>
  <c r="BG147" i="16"/>
  <c r="BH147" i="16"/>
  <c r="BB148" i="16"/>
  <c r="BC148" i="16"/>
  <c r="BD148" i="16"/>
  <c r="BE148" i="16"/>
  <c r="BF148" i="16"/>
  <c r="BG148" i="16"/>
  <c r="BH148" i="16"/>
  <c r="BB149" i="16"/>
  <c r="BC149" i="16"/>
  <c r="BD149" i="16"/>
  <c r="BE149" i="16"/>
  <c r="BF149" i="16"/>
  <c r="BG149" i="16"/>
  <c r="BH149" i="16"/>
  <c r="BB150" i="16"/>
  <c r="BC150" i="16"/>
  <c r="BD150" i="16"/>
  <c r="BE150" i="16"/>
  <c r="BF150" i="16"/>
  <c r="BG150" i="16"/>
  <c r="BH150" i="16"/>
  <c r="BB151" i="16"/>
  <c r="BC151" i="16"/>
  <c r="BD151" i="16"/>
  <c r="BE151" i="16"/>
  <c r="BF151" i="16"/>
  <c r="BG151" i="16"/>
  <c r="BH151" i="16"/>
  <c r="BB152" i="16"/>
  <c r="BC152" i="16"/>
  <c r="BD152" i="16"/>
  <c r="BE152" i="16"/>
  <c r="BF152" i="16"/>
  <c r="BG152" i="16"/>
  <c r="BH152" i="16"/>
  <c r="BB153" i="16"/>
  <c r="BC153" i="16"/>
  <c r="BD153" i="16"/>
  <c r="BE153" i="16"/>
  <c r="BF153" i="16"/>
  <c r="BG153" i="16"/>
  <c r="BH153" i="16"/>
  <c r="BB154" i="16"/>
  <c r="BC154" i="16"/>
  <c r="BD154" i="16"/>
  <c r="BE154" i="16"/>
  <c r="BF154" i="16"/>
  <c r="BG154" i="16"/>
  <c r="BH154" i="16"/>
  <c r="BB155" i="16"/>
  <c r="BC155" i="16"/>
  <c r="BD155" i="16"/>
  <c r="BE155" i="16"/>
  <c r="BF155" i="16"/>
  <c r="BG155" i="16"/>
  <c r="BH155" i="16"/>
  <c r="BB156" i="16"/>
  <c r="BC156" i="16"/>
  <c r="BD156" i="16"/>
  <c r="BE156" i="16"/>
  <c r="BF156" i="16"/>
  <c r="BG156" i="16"/>
  <c r="BH156" i="16"/>
  <c r="BB157" i="16"/>
  <c r="BC157" i="16"/>
  <c r="BD157" i="16"/>
  <c r="BE157" i="16"/>
  <c r="BF157" i="16"/>
  <c r="BG157" i="16"/>
  <c r="BH157" i="16"/>
  <c r="BB158" i="16"/>
  <c r="BC158" i="16"/>
  <c r="BD158" i="16"/>
  <c r="BE158" i="16"/>
  <c r="BF158" i="16"/>
  <c r="BG158" i="16"/>
  <c r="BH158" i="16"/>
  <c r="BB159" i="16"/>
  <c r="BC159" i="16"/>
  <c r="BD159" i="16"/>
  <c r="BE159" i="16"/>
  <c r="BF159" i="16"/>
  <c r="BG159" i="16"/>
  <c r="BH159" i="16"/>
  <c r="BB160" i="16"/>
  <c r="BC160" i="16"/>
  <c r="BD160" i="16"/>
  <c r="BE160" i="16"/>
  <c r="BF160" i="16"/>
  <c r="BG160" i="16"/>
  <c r="BH160" i="16"/>
  <c r="BB161" i="16"/>
  <c r="BC161" i="16"/>
  <c r="BD161" i="16"/>
  <c r="BE161" i="16"/>
  <c r="BF161" i="16"/>
  <c r="BG161" i="16"/>
  <c r="BH161" i="16"/>
  <c r="BB162" i="16"/>
  <c r="BC162" i="16"/>
  <c r="BD162" i="16"/>
  <c r="BE162" i="16"/>
  <c r="BF162" i="16"/>
  <c r="BG162" i="16"/>
  <c r="BH162" i="16"/>
  <c r="BB163" i="16"/>
  <c r="BC163" i="16"/>
  <c r="BD163" i="16"/>
  <c r="BE163" i="16"/>
  <c r="BF163" i="16"/>
  <c r="BG163" i="16"/>
  <c r="BH163" i="16"/>
  <c r="BB164" i="16"/>
  <c r="BC164" i="16"/>
  <c r="BD164" i="16"/>
  <c r="BE164" i="16"/>
  <c r="BF164" i="16"/>
  <c r="BG164" i="16"/>
  <c r="BH164" i="16"/>
  <c r="BB165" i="16"/>
  <c r="BC165" i="16"/>
  <c r="BD165" i="16"/>
  <c r="BE165" i="16"/>
  <c r="BF165" i="16"/>
  <c r="BG165" i="16"/>
  <c r="BH165" i="16"/>
  <c r="BB166" i="16"/>
  <c r="BC166" i="16"/>
  <c r="BD166" i="16"/>
  <c r="BE166" i="16"/>
  <c r="BF166" i="16"/>
  <c r="BG166" i="16"/>
  <c r="BH166" i="16"/>
  <c r="BB167" i="16"/>
  <c r="BC167" i="16"/>
  <c r="BD167" i="16"/>
  <c r="BE167" i="16"/>
  <c r="BF167" i="16"/>
  <c r="BG167" i="16"/>
  <c r="BH167" i="16"/>
  <c r="BB168" i="16"/>
  <c r="BC168" i="16"/>
  <c r="BD168" i="16"/>
  <c r="BE168" i="16"/>
  <c r="BF168" i="16"/>
  <c r="BG168" i="16"/>
  <c r="BH168" i="16"/>
  <c r="BB169" i="16"/>
  <c r="BC169" i="16"/>
  <c r="BD169" i="16"/>
  <c r="BE169" i="16"/>
  <c r="BF169" i="16"/>
  <c r="BG169" i="16"/>
  <c r="BH169" i="16"/>
  <c r="BB170" i="16"/>
  <c r="BC170" i="16"/>
  <c r="BD170" i="16"/>
  <c r="BE170" i="16"/>
  <c r="BF170" i="16"/>
  <c r="BG170" i="16"/>
  <c r="BH170" i="16"/>
  <c r="BB171" i="16"/>
  <c r="BC171" i="16"/>
  <c r="BD171" i="16"/>
  <c r="BE171" i="16"/>
  <c r="BF171" i="16"/>
  <c r="BG171" i="16"/>
  <c r="BH171" i="16"/>
  <c r="BB172" i="16"/>
  <c r="BC172" i="16"/>
  <c r="BD172" i="16"/>
  <c r="BE172" i="16"/>
  <c r="BF172" i="16"/>
  <c r="BG172" i="16"/>
  <c r="BH172" i="16"/>
  <c r="BB173" i="16"/>
  <c r="BC173" i="16"/>
  <c r="BD173" i="16"/>
  <c r="BE173" i="16"/>
  <c r="BF173" i="16"/>
  <c r="BG173" i="16"/>
  <c r="BH173" i="16"/>
  <c r="BB174" i="16"/>
  <c r="BC174" i="16"/>
  <c r="BD174" i="16"/>
  <c r="BE174" i="16"/>
  <c r="BF174" i="16"/>
  <c r="BG174" i="16"/>
  <c r="BH174" i="16"/>
  <c r="BB175" i="16"/>
  <c r="BC175" i="16"/>
  <c r="BD175" i="16"/>
  <c r="BE175" i="16"/>
  <c r="BF175" i="16"/>
  <c r="BG175" i="16"/>
  <c r="BH175" i="16"/>
  <c r="BB176" i="16"/>
  <c r="BC176" i="16"/>
  <c r="BD176" i="16"/>
  <c r="BE176" i="16"/>
  <c r="BF176" i="16"/>
  <c r="BG176" i="16"/>
  <c r="BH176" i="16"/>
  <c r="BB177" i="16"/>
  <c r="BC177" i="16"/>
  <c r="BD177" i="16"/>
  <c r="BE177" i="16"/>
  <c r="BF177" i="16"/>
  <c r="BG177" i="16"/>
  <c r="BH177" i="16"/>
  <c r="BB178" i="16"/>
  <c r="BC178" i="16"/>
  <c r="BD178" i="16"/>
  <c r="BE178" i="16"/>
  <c r="BF178" i="16"/>
  <c r="BG178" i="16"/>
  <c r="BH178" i="16"/>
  <c r="BB179" i="16"/>
  <c r="BC179" i="16"/>
  <c r="BD179" i="16"/>
  <c r="BE179" i="16"/>
  <c r="BF179" i="16"/>
  <c r="BG179" i="16"/>
  <c r="BH179" i="16"/>
  <c r="BB180" i="16"/>
  <c r="BC180" i="16"/>
  <c r="BD180" i="16"/>
  <c r="BE180" i="16"/>
  <c r="BF180" i="16"/>
  <c r="BG180" i="16"/>
  <c r="BH180" i="16"/>
  <c r="BB181" i="16"/>
  <c r="BC181" i="16"/>
  <c r="BD181" i="16"/>
  <c r="BE181" i="16"/>
  <c r="BF181" i="16"/>
  <c r="BG181" i="16"/>
  <c r="BH181" i="16"/>
  <c r="BB182" i="16"/>
  <c r="BC182" i="16"/>
  <c r="BD182" i="16"/>
  <c r="BE182" i="16"/>
  <c r="BF182" i="16"/>
  <c r="BG182" i="16"/>
  <c r="BH182" i="16"/>
  <c r="BB183" i="16"/>
  <c r="BC183" i="16"/>
  <c r="BD183" i="16"/>
  <c r="BE183" i="16"/>
  <c r="BF183" i="16"/>
  <c r="BG183" i="16"/>
  <c r="BH183" i="16"/>
  <c r="BB184" i="16"/>
  <c r="BC184" i="16"/>
  <c r="BD184" i="16"/>
  <c r="BE184" i="16"/>
  <c r="BF184" i="16"/>
  <c r="BG184" i="16"/>
  <c r="BH184" i="16"/>
  <c r="BB185" i="16"/>
  <c r="BC185" i="16"/>
  <c r="BD185" i="16"/>
  <c r="BE185" i="16"/>
  <c r="BF185" i="16"/>
  <c r="BG185" i="16"/>
  <c r="BH185" i="16"/>
  <c r="BB186" i="16"/>
  <c r="BC186" i="16"/>
  <c r="BD186" i="16"/>
  <c r="BE186" i="16"/>
  <c r="BF186" i="16"/>
  <c r="BG186" i="16"/>
  <c r="BH186" i="16"/>
  <c r="BB187" i="16"/>
  <c r="BC187" i="16"/>
  <c r="BD187" i="16"/>
  <c r="BE187" i="16"/>
  <c r="BF187" i="16"/>
  <c r="BG187" i="16"/>
  <c r="BH187" i="16"/>
  <c r="BB188" i="16"/>
  <c r="BC188" i="16"/>
  <c r="BD188" i="16"/>
  <c r="BE188" i="16"/>
  <c r="BF188" i="16"/>
  <c r="BG188" i="16"/>
  <c r="BH188" i="16"/>
  <c r="BB189" i="16"/>
  <c r="BC189" i="16"/>
  <c r="BD189" i="16"/>
  <c r="BE189" i="16"/>
  <c r="BF189" i="16"/>
  <c r="BG189" i="16"/>
  <c r="BH189" i="16"/>
  <c r="BB190" i="16"/>
  <c r="BC190" i="16"/>
  <c r="BD190" i="16"/>
  <c r="BE190" i="16"/>
  <c r="BF190" i="16"/>
  <c r="BG190" i="16"/>
  <c r="BH190" i="16"/>
  <c r="BB191" i="16"/>
  <c r="BC191" i="16"/>
  <c r="BD191" i="16"/>
  <c r="BE191" i="16"/>
  <c r="BF191" i="16"/>
  <c r="BG191" i="16"/>
  <c r="BH191" i="16"/>
  <c r="BB192" i="16"/>
  <c r="BC192" i="16"/>
  <c r="BD192" i="16"/>
  <c r="BE192" i="16"/>
  <c r="BF192" i="16"/>
  <c r="BG192" i="16"/>
  <c r="BH192" i="16"/>
  <c r="BB193" i="16"/>
  <c r="BC193" i="16"/>
  <c r="BD193" i="16"/>
  <c r="BE193" i="16"/>
  <c r="BF193" i="16"/>
  <c r="BG193" i="16"/>
  <c r="BH193" i="16"/>
  <c r="BB194" i="16"/>
  <c r="BC194" i="16"/>
  <c r="BD194" i="16"/>
  <c r="BE194" i="16"/>
  <c r="BF194" i="16"/>
  <c r="BG194" i="16"/>
  <c r="BH194" i="16"/>
  <c r="BB195" i="16"/>
  <c r="BC195" i="16"/>
  <c r="BD195" i="16"/>
  <c r="BE195" i="16"/>
  <c r="BF195" i="16"/>
  <c r="BG195" i="16"/>
  <c r="BH195" i="16"/>
  <c r="BB196" i="16"/>
  <c r="BC196" i="16"/>
  <c r="BD196" i="16"/>
  <c r="BE196" i="16"/>
  <c r="BF196" i="16"/>
  <c r="BG196" i="16"/>
  <c r="BH196" i="16"/>
  <c r="BB197" i="16"/>
  <c r="BC197" i="16"/>
  <c r="BD197" i="16"/>
  <c r="BE197" i="16"/>
  <c r="BF197" i="16"/>
  <c r="BG197" i="16"/>
  <c r="BH197" i="16"/>
  <c r="BB198" i="16"/>
  <c r="BC198" i="16"/>
  <c r="BD198" i="16"/>
  <c r="BE198" i="16"/>
  <c r="BF198" i="16"/>
  <c r="BG198" i="16"/>
  <c r="BH198" i="16"/>
  <c r="BB199" i="16"/>
  <c r="BC199" i="16"/>
  <c r="BD199" i="16"/>
  <c r="BE199" i="16"/>
  <c r="BF199" i="16"/>
  <c r="BG199" i="16"/>
  <c r="BH199" i="16"/>
  <c r="BB200" i="16"/>
  <c r="BC200" i="16"/>
  <c r="BD200" i="16"/>
  <c r="BE200" i="16"/>
  <c r="BF200" i="16"/>
  <c r="BG200" i="16"/>
  <c r="BH200" i="16"/>
  <c r="BB201" i="16"/>
  <c r="BC201" i="16"/>
  <c r="BD201" i="16"/>
  <c r="BE201" i="16"/>
  <c r="BF201" i="16"/>
  <c r="BG201" i="16"/>
  <c r="BH201" i="16"/>
  <c r="BB202" i="16"/>
  <c r="BC202" i="16"/>
  <c r="BD202" i="16"/>
  <c r="BE202" i="16"/>
  <c r="BF202" i="16"/>
  <c r="BG202" i="16"/>
  <c r="BH202" i="16"/>
  <c r="BB203" i="16"/>
  <c r="BC203" i="16"/>
  <c r="BD203" i="16"/>
  <c r="BE203" i="16"/>
  <c r="BF203" i="16"/>
  <c r="BG203" i="16"/>
  <c r="BH203" i="16"/>
  <c r="BB204" i="16"/>
  <c r="BC204" i="16"/>
  <c r="BD204" i="16"/>
  <c r="BE204" i="16"/>
  <c r="BF204" i="16"/>
  <c r="BG204" i="16"/>
  <c r="BH204" i="16"/>
  <c r="BB205" i="16"/>
  <c r="BC205" i="16"/>
  <c r="BD205" i="16"/>
  <c r="BE205" i="16"/>
  <c r="BF205" i="16"/>
  <c r="BG205" i="16"/>
  <c r="BH205" i="16"/>
  <c r="BB206" i="16"/>
  <c r="BC206" i="16"/>
  <c r="BD206" i="16"/>
  <c r="BE206" i="16"/>
  <c r="BF206" i="16"/>
  <c r="BG206" i="16"/>
  <c r="BH206" i="16"/>
  <c r="BB207" i="16"/>
  <c r="BC207" i="16"/>
  <c r="BD207" i="16"/>
  <c r="BE207" i="16"/>
  <c r="BF207" i="16"/>
  <c r="BG207" i="16"/>
  <c r="BH207" i="16"/>
  <c r="BB208" i="16"/>
  <c r="BC208" i="16"/>
  <c r="BD208" i="16"/>
  <c r="BE208" i="16"/>
  <c r="BF208" i="16"/>
  <c r="BG208" i="16"/>
  <c r="BH208" i="16"/>
  <c r="BB209" i="16"/>
  <c r="BC209" i="16"/>
  <c r="BD209" i="16"/>
  <c r="BE209" i="16"/>
  <c r="BF209" i="16"/>
  <c r="BG209" i="16"/>
  <c r="BH209" i="16"/>
  <c r="BB210" i="16"/>
  <c r="BC210" i="16"/>
  <c r="BD210" i="16"/>
  <c r="BE210" i="16"/>
  <c r="BF210" i="16"/>
  <c r="BG210" i="16"/>
  <c r="BH210" i="16"/>
  <c r="BB211" i="16"/>
  <c r="BC211" i="16"/>
  <c r="BD211" i="16"/>
  <c r="BE211" i="16"/>
  <c r="BF211" i="16"/>
  <c r="BG211" i="16"/>
  <c r="BH211" i="16"/>
  <c r="BB212" i="16"/>
  <c r="BC212" i="16"/>
  <c r="BD212" i="16"/>
  <c r="BE212" i="16"/>
  <c r="BF212" i="16"/>
  <c r="BG212" i="16"/>
  <c r="BH212" i="16"/>
  <c r="BB213" i="16"/>
  <c r="BC213" i="16"/>
  <c r="BD213" i="16"/>
  <c r="BE213" i="16"/>
  <c r="BF213" i="16"/>
  <c r="BG213" i="16"/>
  <c r="BH213" i="16"/>
  <c r="BB214" i="16"/>
  <c r="BC214" i="16"/>
  <c r="BD214" i="16"/>
  <c r="BE214" i="16"/>
  <c r="BF214" i="16"/>
  <c r="BG214" i="16"/>
  <c r="BH214" i="16"/>
  <c r="BB215" i="16"/>
  <c r="BC215" i="16"/>
  <c r="BD215" i="16"/>
  <c r="BE215" i="16"/>
  <c r="BF215" i="16"/>
  <c r="BG215" i="16"/>
  <c r="BH215" i="16"/>
  <c r="BB216" i="16"/>
  <c r="BC216" i="16"/>
  <c r="BD216" i="16"/>
  <c r="BE216" i="16"/>
  <c r="BF216" i="16"/>
  <c r="BG216" i="16"/>
  <c r="BH216" i="16"/>
  <c r="BB217" i="16"/>
  <c r="BC217" i="16"/>
  <c r="BD217" i="16"/>
  <c r="BE217" i="16"/>
  <c r="BF217" i="16"/>
  <c r="BG217" i="16"/>
  <c r="BH217" i="16"/>
  <c r="BB218" i="16"/>
  <c r="BC218" i="16"/>
  <c r="BD218" i="16"/>
  <c r="BE218" i="16"/>
  <c r="BF218" i="16"/>
  <c r="BG218" i="16"/>
  <c r="BH218" i="16"/>
  <c r="BB219" i="16"/>
  <c r="BC219" i="16"/>
  <c r="BD219" i="16"/>
  <c r="BE219" i="16"/>
  <c r="BF219" i="16"/>
  <c r="BG219" i="16"/>
  <c r="BH219" i="16"/>
  <c r="BB220" i="16"/>
  <c r="BC220" i="16"/>
  <c r="BD220" i="16"/>
  <c r="BE220" i="16"/>
  <c r="BF220" i="16"/>
  <c r="BG220" i="16"/>
  <c r="BH220" i="16"/>
  <c r="BB221" i="16"/>
  <c r="BC221" i="16"/>
  <c r="BD221" i="16"/>
  <c r="BE221" i="16"/>
  <c r="BF221" i="16"/>
  <c r="BG221" i="16"/>
  <c r="BH221" i="16"/>
  <c r="BB222" i="16"/>
  <c r="BC222" i="16"/>
  <c r="BD222" i="16"/>
  <c r="BE222" i="16"/>
  <c r="BF222" i="16"/>
  <c r="BG222" i="16"/>
  <c r="BH222" i="16"/>
  <c r="BB223" i="16"/>
  <c r="BC223" i="16"/>
  <c r="BD223" i="16"/>
  <c r="BE223" i="16"/>
  <c r="BF223" i="16"/>
  <c r="BG223" i="16"/>
  <c r="BH223" i="16"/>
  <c r="BB224" i="16"/>
  <c r="BC224" i="16"/>
  <c r="BD224" i="16"/>
  <c r="BE224" i="16"/>
  <c r="BF224" i="16"/>
  <c r="BG224" i="16"/>
  <c r="BH224" i="16"/>
  <c r="BB225" i="16"/>
  <c r="BC225" i="16"/>
  <c r="BD225" i="16"/>
  <c r="BE225" i="16"/>
  <c r="BF225" i="16"/>
  <c r="BG225" i="16"/>
  <c r="BH225" i="16"/>
  <c r="BB226" i="16"/>
  <c r="BC226" i="16"/>
  <c r="BD226" i="16"/>
  <c r="BE226" i="16"/>
  <c r="BF226" i="16"/>
  <c r="BG226" i="16"/>
  <c r="BH226" i="16"/>
  <c r="BB227" i="16"/>
  <c r="BC227" i="16"/>
  <c r="BD227" i="16"/>
  <c r="BE227" i="16"/>
  <c r="BF227" i="16"/>
  <c r="BG227" i="16"/>
  <c r="BH227" i="16"/>
  <c r="BB228" i="16"/>
  <c r="BC228" i="16"/>
  <c r="BD228" i="16"/>
  <c r="BE228" i="16"/>
  <c r="BF228" i="16"/>
  <c r="BG228" i="16"/>
  <c r="BH228" i="16"/>
  <c r="BB229" i="16"/>
  <c r="BC229" i="16"/>
  <c r="BD229" i="16"/>
  <c r="BE229" i="16"/>
  <c r="BF229" i="16"/>
  <c r="BG229" i="16"/>
  <c r="BH229" i="16"/>
  <c r="BB230" i="16"/>
  <c r="BC230" i="16"/>
  <c r="BD230" i="16"/>
  <c r="BE230" i="16"/>
  <c r="BF230" i="16"/>
  <c r="BG230" i="16"/>
  <c r="BH230" i="16"/>
  <c r="BB231" i="16"/>
  <c r="BC231" i="16"/>
  <c r="BD231" i="16"/>
  <c r="BE231" i="16"/>
  <c r="BF231" i="16"/>
  <c r="BG231" i="16"/>
  <c r="BH231" i="16"/>
  <c r="BB232" i="16"/>
  <c r="BC232" i="16"/>
  <c r="BD232" i="16"/>
  <c r="BE232" i="16"/>
  <c r="BF232" i="16"/>
  <c r="BG232" i="16"/>
  <c r="BH232" i="16"/>
  <c r="BB233" i="16"/>
  <c r="BC233" i="16"/>
  <c r="BD233" i="16"/>
  <c r="BE233" i="16"/>
  <c r="BF233" i="16"/>
  <c r="BG233" i="16"/>
  <c r="BH233" i="16"/>
  <c r="BB234" i="16"/>
  <c r="BC234" i="16"/>
  <c r="BD234" i="16"/>
  <c r="BE234" i="16"/>
  <c r="BF234" i="16"/>
  <c r="BG234" i="16"/>
  <c r="BH234" i="16"/>
  <c r="BB235" i="16"/>
  <c r="BC235" i="16"/>
  <c r="BD235" i="16"/>
  <c r="BE235" i="16"/>
  <c r="BF235" i="16"/>
  <c r="BG235" i="16"/>
  <c r="BH235" i="16"/>
  <c r="BB236" i="16"/>
  <c r="BC236" i="16"/>
  <c r="BD236" i="16"/>
  <c r="BE236" i="16"/>
  <c r="BF236" i="16"/>
  <c r="BG236" i="16"/>
  <c r="BH236" i="16"/>
  <c r="BB237" i="16"/>
  <c r="BC237" i="16"/>
  <c r="BD237" i="16"/>
  <c r="BE237" i="16"/>
  <c r="BF237" i="16"/>
  <c r="BG237" i="16"/>
  <c r="BH237" i="16"/>
  <c r="BB238" i="16"/>
  <c r="BC238" i="16"/>
  <c r="BD238" i="16"/>
  <c r="BE238" i="16"/>
  <c r="BF238" i="16"/>
  <c r="BG238" i="16"/>
  <c r="BH238" i="16"/>
  <c r="BB239" i="16"/>
  <c r="BC239" i="16"/>
  <c r="BD239" i="16"/>
  <c r="BE239" i="16"/>
  <c r="BF239" i="16"/>
  <c r="BG239" i="16"/>
  <c r="BH239" i="16"/>
  <c r="BB240" i="16"/>
  <c r="BC240" i="16"/>
  <c r="BD240" i="16"/>
  <c r="BE240" i="16"/>
  <c r="BF240" i="16"/>
  <c r="BG240" i="16"/>
  <c r="BH240" i="16"/>
  <c r="BB241" i="16"/>
  <c r="BC241" i="16"/>
  <c r="BD241" i="16"/>
  <c r="BE241" i="16"/>
  <c r="BF241" i="16"/>
  <c r="BG241" i="16"/>
  <c r="BH241" i="16"/>
  <c r="BB242" i="16"/>
  <c r="BC242" i="16"/>
  <c r="BD242" i="16"/>
  <c r="BE242" i="16"/>
  <c r="BF242" i="16"/>
  <c r="BG242" i="16"/>
  <c r="BH242" i="16"/>
  <c r="BB243" i="16"/>
  <c r="BC243" i="16"/>
  <c r="BD243" i="16"/>
  <c r="BE243" i="16"/>
  <c r="BF243" i="16"/>
  <c r="BG243" i="16"/>
  <c r="BH243" i="16"/>
  <c r="BB244" i="16"/>
  <c r="BC244" i="16"/>
  <c r="BD244" i="16"/>
  <c r="BE244" i="16"/>
  <c r="BF244" i="16"/>
  <c r="BG244" i="16"/>
  <c r="BH244" i="16"/>
  <c r="BB245" i="16"/>
  <c r="BC245" i="16"/>
  <c r="BD245" i="16"/>
  <c r="BE245" i="16"/>
  <c r="BF245" i="16"/>
  <c r="BG245" i="16"/>
  <c r="BH245" i="16"/>
  <c r="BB246" i="16"/>
  <c r="BC246" i="16"/>
  <c r="BD246" i="16"/>
  <c r="BE246" i="16"/>
  <c r="BF246" i="16"/>
  <c r="BG246" i="16"/>
  <c r="BH246" i="16"/>
  <c r="BB247" i="16"/>
  <c r="BC247" i="16"/>
  <c r="BD247" i="16"/>
  <c r="BE247" i="16"/>
  <c r="BF247" i="16"/>
  <c r="BG247" i="16"/>
  <c r="BH247" i="16"/>
  <c r="BB248" i="16"/>
  <c r="BC248" i="16"/>
  <c r="BD248" i="16"/>
  <c r="BE248" i="16"/>
  <c r="BF248" i="16"/>
  <c r="BG248" i="16"/>
  <c r="BH248" i="16"/>
  <c r="BB249" i="16"/>
  <c r="BC249" i="16"/>
  <c r="BD249" i="16"/>
  <c r="BE249" i="16"/>
  <c r="BF249" i="16"/>
  <c r="BG249" i="16"/>
  <c r="BH249" i="16"/>
  <c r="BB250" i="16"/>
  <c r="BC250" i="16"/>
  <c r="BD250" i="16"/>
  <c r="BE250" i="16"/>
  <c r="BF250" i="16"/>
  <c r="BG250" i="16"/>
  <c r="BH250" i="16"/>
  <c r="BB251" i="16"/>
  <c r="BC251" i="16"/>
  <c r="BD251" i="16"/>
  <c r="BE251" i="16"/>
  <c r="BF251" i="16"/>
  <c r="BG251" i="16"/>
  <c r="BH251" i="16"/>
  <c r="BB252" i="16"/>
  <c r="BC252" i="16"/>
  <c r="BD252" i="16"/>
  <c r="BE252" i="16"/>
  <c r="BF252" i="16"/>
  <c r="BG252" i="16"/>
  <c r="BH252" i="16"/>
  <c r="BB253" i="16"/>
  <c r="BC253" i="16"/>
  <c r="BD253" i="16"/>
  <c r="BE253" i="16"/>
  <c r="BF253" i="16"/>
  <c r="BG253" i="16"/>
  <c r="BH253" i="16"/>
  <c r="BB254" i="16"/>
  <c r="BC254" i="16"/>
  <c r="BD254" i="16"/>
  <c r="BE254" i="16"/>
  <c r="BF254" i="16"/>
  <c r="BG254" i="16"/>
  <c r="BH254" i="16"/>
  <c r="BB255" i="16"/>
  <c r="BC255" i="16"/>
  <c r="BD255" i="16"/>
  <c r="BE255" i="16"/>
  <c r="BF255" i="16"/>
  <c r="BG255" i="16"/>
  <c r="BH255" i="16"/>
  <c r="BB256" i="16"/>
  <c r="BC256" i="16"/>
  <c r="BD256" i="16"/>
  <c r="BE256" i="16"/>
  <c r="BF256" i="16"/>
  <c r="BG256" i="16"/>
  <c r="BH256" i="16"/>
  <c r="BB257" i="16"/>
  <c r="BC257" i="16"/>
  <c r="BD257" i="16"/>
  <c r="BE257" i="16"/>
  <c r="BF257" i="16"/>
  <c r="BG257" i="16"/>
  <c r="BH257" i="16"/>
  <c r="BB258" i="16"/>
  <c r="BC258" i="16"/>
  <c r="BD258" i="16"/>
  <c r="BE258" i="16"/>
  <c r="BF258" i="16"/>
  <c r="BG258" i="16"/>
  <c r="BH258" i="16"/>
  <c r="BB259" i="16"/>
  <c r="BC259" i="16"/>
  <c r="BD259" i="16"/>
  <c r="BE259" i="16"/>
  <c r="BF259" i="16"/>
  <c r="BG259" i="16"/>
  <c r="BH259" i="16"/>
  <c r="BB260" i="16"/>
  <c r="BC260" i="16"/>
  <c r="BD260" i="16"/>
  <c r="BE260" i="16"/>
  <c r="BF260" i="16"/>
  <c r="BG260" i="16"/>
  <c r="BH260" i="16"/>
  <c r="BB261" i="16"/>
  <c r="BC261" i="16"/>
  <c r="BD261" i="16"/>
  <c r="BE261" i="16"/>
  <c r="BF261" i="16"/>
  <c r="BG261" i="16"/>
  <c r="BH261" i="16"/>
  <c r="BB262" i="16"/>
  <c r="BC262" i="16"/>
  <c r="BD262" i="16"/>
  <c r="BE262" i="16"/>
  <c r="BF262" i="16"/>
  <c r="BG262" i="16"/>
  <c r="BH262" i="16"/>
  <c r="BB263" i="16"/>
  <c r="BC263" i="16"/>
  <c r="BD263" i="16"/>
  <c r="BE263" i="16"/>
  <c r="BF263" i="16"/>
  <c r="BG263" i="16"/>
  <c r="BH263" i="16"/>
  <c r="BB264" i="16"/>
  <c r="BC264" i="16"/>
  <c r="BD264" i="16"/>
  <c r="BE264" i="16"/>
  <c r="BF264" i="16"/>
  <c r="BG264" i="16"/>
  <c r="BH264" i="16"/>
  <c r="BB265" i="16"/>
  <c r="BC265" i="16"/>
  <c r="BD265" i="16"/>
  <c r="BE265" i="16"/>
  <c r="BF265" i="16"/>
  <c r="BG265" i="16"/>
  <c r="BH265" i="16"/>
  <c r="BB266" i="16"/>
  <c r="BC266" i="16"/>
  <c r="BD266" i="16"/>
  <c r="BE266" i="16"/>
  <c r="BF266" i="16"/>
  <c r="BG266" i="16"/>
  <c r="BH266" i="16"/>
  <c r="BB267" i="16"/>
  <c r="BC267" i="16"/>
  <c r="BD267" i="16"/>
  <c r="BE267" i="16"/>
  <c r="BF267" i="16"/>
  <c r="BG267" i="16"/>
  <c r="BH267" i="16"/>
  <c r="BB268" i="16"/>
  <c r="BC268" i="16"/>
  <c r="BD268" i="16"/>
  <c r="BE268" i="16"/>
  <c r="BF268" i="16"/>
  <c r="BG268" i="16"/>
  <c r="BH268" i="16"/>
  <c r="BB269" i="16"/>
  <c r="BC269" i="16"/>
  <c r="BD269" i="16"/>
  <c r="BE269" i="16"/>
  <c r="BF269" i="16"/>
  <c r="BG269" i="16"/>
  <c r="BH269" i="16"/>
  <c r="BB270" i="16"/>
  <c r="BC270" i="16"/>
  <c r="BD270" i="16"/>
  <c r="BE270" i="16"/>
  <c r="BF270" i="16"/>
  <c r="BG270" i="16"/>
  <c r="BH270" i="16"/>
  <c r="BB271" i="16"/>
  <c r="BC271" i="16"/>
  <c r="BD271" i="16"/>
  <c r="BE271" i="16"/>
  <c r="BF271" i="16"/>
  <c r="BG271" i="16"/>
  <c r="BH271" i="16"/>
  <c r="BB272" i="16"/>
  <c r="BC272" i="16"/>
  <c r="BD272" i="16"/>
  <c r="BE272" i="16"/>
  <c r="BF272" i="16"/>
  <c r="BG272" i="16"/>
  <c r="BH272" i="16"/>
  <c r="BB273" i="16"/>
  <c r="BC273" i="16"/>
  <c r="BD273" i="16"/>
  <c r="BE273" i="16"/>
  <c r="BF273" i="16"/>
  <c r="BG273" i="16"/>
  <c r="BH273" i="16"/>
  <c r="BB274" i="16"/>
  <c r="BC274" i="16"/>
  <c r="BD274" i="16"/>
  <c r="BE274" i="16"/>
  <c r="BF274" i="16"/>
  <c r="BG274" i="16"/>
  <c r="BH274" i="16"/>
  <c r="BB275" i="16"/>
  <c r="BC275" i="16"/>
  <c r="BD275" i="16"/>
  <c r="BE275" i="16"/>
  <c r="BF275" i="16"/>
  <c r="BG275" i="16"/>
  <c r="BH275" i="16"/>
  <c r="BB276" i="16"/>
  <c r="BC276" i="16"/>
  <c r="BD276" i="16"/>
  <c r="BE276" i="16"/>
  <c r="BF276" i="16"/>
  <c r="BG276" i="16"/>
  <c r="BH276" i="16"/>
  <c r="BB277" i="16"/>
  <c r="BC277" i="16"/>
  <c r="BD277" i="16"/>
  <c r="BE277" i="16"/>
  <c r="BF277" i="16"/>
  <c r="BG277" i="16"/>
  <c r="BH277" i="16"/>
  <c r="BB278" i="16"/>
  <c r="BC278" i="16"/>
  <c r="BD278" i="16"/>
  <c r="BE278" i="16"/>
  <c r="BF278" i="16"/>
  <c r="BG278" i="16"/>
  <c r="BH278" i="16"/>
  <c r="BB279" i="16"/>
  <c r="BC279" i="16"/>
  <c r="BD279" i="16"/>
  <c r="BE279" i="16"/>
  <c r="BF279" i="16"/>
  <c r="BG279" i="16"/>
  <c r="BH279" i="16"/>
  <c r="BB280" i="16"/>
  <c r="BC280" i="16"/>
  <c r="BD280" i="16"/>
  <c r="BE280" i="16"/>
  <c r="BF280" i="16"/>
  <c r="BG280" i="16"/>
  <c r="BH280" i="16"/>
  <c r="BB281" i="16"/>
  <c r="BC281" i="16"/>
  <c r="BD281" i="16"/>
  <c r="BE281" i="16"/>
  <c r="BF281" i="16"/>
  <c r="BG281" i="16"/>
  <c r="BH281" i="16"/>
  <c r="BB282" i="16"/>
  <c r="BC282" i="16"/>
  <c r="BD282" i="16"/>
  <c r="BE282" i="16"/>
  <c r="BF282" i="16"/>
  <c r="BG282" i="16"/>
  <c r="BH282" i="16"/>
  <c r="BB283" i="16"/>
  <c r="BC283" i="16"/>
  <c r="BD283" i="16"/>
  <c r="BE283" i="16"/>
  <c r="BF283" i="16"/>
  <c r="BG283" i="16"/>
  <c r="BH283" i="16"/>
  <c r="BB284" i="16"/>
  <c r="BC284" i="16"/>
  <c r="BD284" i="16"/>
  <c r="BE284" i="16"/>
  <c r="BF284" i="16"/>
  <c r="BG284" i="16"/>
  <c r="BH284" i="16"/>
  <c r="BB285" i="16"/>
  <c r="BC285" i="16"/>
  <c r="BD285" i="16"/>
  <c r="BE285" i="16"/>
  <c r="BF285" i="16"/>
  <c r="BG285" i="16"/>
  <c r="BH285" i="16"/>
  <c r="BB286" i="16"/>
  <c r="BC286" i="16"/>
  <c r="BD286" i="16"/>
  <c r="BE286" i="16"/>
  <c r="BF286" i="16"/>
  <c r="BG286" i="16"/>
  <c r="BH286" i="16"/>
  <c r="BB287" i="16"/>
  <c r="BC287" i="16"/>
  <c r="BD287" i="16"/>
  <c r="BE287" i="16"/>
  <c r="BF287" i="16"/>
  <c r="BG287" i="16"/>
  <c r="BH287" i="16"/>
  <c r="BB288" i="16"/>
  <c r="BC288" i="16"/>
  <c r="BD288" i="16"/>
  <c r="BE288" i="16"/>
  <c r="BF288" i="16"/>
  <c r="BG288" i="16"/>
  <c r="BH288" i="16"/>
  <c r="BB289" i="16"/>
  <c r="BC289" i="16"/>
  <c r="BD289" i="16"/>
  <c r="BE289" i="16"/>
  <c r="BF289" i="16"/>
  <c r="BG289" i="16"/>
  <c r="BH289" i="16"/>
  <c r="BB290" i="16"/>
  <c r="BC290" i="16"/>
  <c r="BD290" i="16"/>
  <c r="BE290" i="16"/>
  <c r="BF290" i="16"/>
  <c r="BG290" i="16"/>
  <c r="BH290" i="16"/>
  <c r="BB291" i="16"/>
  <c r="BC291" i="16"/>
  <c r="BD291" i="16"/>
  <c r="BE291" i="16"/>
  <c r="BF291" i="16"/>
  <c r="BG291" i="16"/>
  <c r="BH291" i="16"/>
  <c r="BB292" i="16"/>
  <c r="BC292" i="16"/>
  <c r="BD292" i="16"/>
  <c r="BE292" i="16"/>
  <c r="BF292" i="16"/>
  <c r="BG292" i="16"/>
  <c r="BH292" i="16"/>
  <c r="BB293" i="16"/>
  <c r="BC293" i="16"/>
  <c r="BD293" i="16"/>
  <c r="BE293" i="16"/>
  <c r="BF293" i="16"/>
  <c r="BG293" i="16"/>
  <c r="BH293" i="16"/>
  <c r="BB294" i="16"/>
  <c r="BC294" i="16"/>
  <c r="BD294" i="16"/>
  <c r="BE294" i="16"/>
  <c r="BF294" i="16"/>
  <c r="BG294" i="16"/>
  <c r="BH294" i="16"/>
  <c r="BB295" i="16"/>
  <c r="BC295" i="16"/>
  <c r="BD295" i="16"/>
  <c r="BE295" i="16"/>
  <c r="BF295" i="16"/>
  <c r="BG295" i="16"/>
  <c r="BH295" i="16"/>
  <c r="BB296" i="16"/>
  <c r="BC296" i="16"/>
  <c r="BD296" i="16"/>
  <c r="BE296" i="16"/>
  <c r="BF296" i="16"/>
  <c r="BG296" i="16"/>
  <c r="BH296" i="16"/>
  <c r="BB297" i="16"/>
  <c r="BC297" i="16"/>
  <c r="BD297" i="16"/>
  <c r="BE297" i="16"/>
  <c r="BF297" i="16"/>
  <c r="BG297" i="16"/>
  <c r="BH297" i="16"/>
  <c r="BB298" i="16"/>
  <c r="BC298" i="16"/>
  <c r="BD298" i="16"/>
  <c r="BE298" i="16"/>
  <c r="BF298" i="16"/>
  <c r="BG298" i="16"/>
  <c r="BH298" i="16"/>
  <c r="BB299" i="16"/>
  <c r="BC299" i="16"/>
  <c r="BD299" i="16"/>
  <c r="BE299" i="16"/>
  <c r="BF299" i="16"/>
  <c r="BG299" i="16"/>
  <c r="BH299" i="16"/>
  <c r="BB300" i="16"/>
  <c r="BC300" i="16"/>
  <c r="BD300" i="16"/>
  <c r="BE300" i="16"/>
  <c r="BF300" i="16"/>
  <c r="BG300" i="16"/>
  <c r="BH300" i="16"/>
  <c r="BB301" i="16"/>
  <c r="BC301" i="16"/>
  <c r="BD301" i="16"/>
  <c r="BE301" i="16"/>
  <c r="BF301" i="16"/>
  <c r="BG301" i="16"/>
  <c r="BH301" i="16"/>
  <c r="BB302" i="16"/>
  <c r="BC302" i="16"/>
  <c r="BD302" i="16"/>
  <c r="BE302" i="16"/>
  <c r="BF302" i="16"/>
  <c r="BG302" i="16"/>
  <c r="BH302" i="16"/>
  <c r="BB303" i="16"/>
  <c r="BC303" i="16"/>
  <c r="BD303" i="16"/>
  <c r="BE303" i="16"/>
  <c r="BF303" i="16"/>
  <c r="BG303" i="16"/>
  <c r="BH303" i="16"/>
  <c r="BB304" i="16"/>
  <c r="BC304" i="16"/>
  <c r="BD304" i="16"/>
  <c r="BE304" i="16"/>
  <c r="BF304" i="16"/>
  <c r="BG304" i="16"/>
  <c r="BH304" i="16"/>
  <c r="BB305" i="16"/>
  <c r="BC305" i="16"/>
  <c r="BD305" i="16"/>
  <c r="BE305" i="16"/>
  <c r="BF305" i="16"/>
  <c r="BG305" i="16"/>
  <c r="BH305" i="16"/>
  <c r="BB306" i="16"/>
  <c r="BC306" i="16"/>
  <c r="BD306" i="16"/>
  <c r="BE306" i="16"/>
  <c r="BF306" i="16"/>
  <c r="BG306" i="16"/>
  <c r="BH306" i="16"/>
  <c r="BB307" i="16"/>
  <c r="BC307" i="16"/>
  <c r="BD307" i="16"/>
  <c r="BE307" i="16"/>
  <c r="BF307" i="16"/>
  <c r="BG307" i="16"/>
  <c r="BH307" i="16"/>
  <c r="BB308" i="16"/>
  <c r="BC308" i="16"/>
  <c r="BD308" i="16"/>
  <c r="BE308" i="16"/>
  <c r="BF308" i="16"/>
  <c r="BG308" i="16"/>
  <c r="BH308" i="16"/>
  <c r="BB309" i="16"/>
  <c r="BC309" i="16"/>
  <c r="BD309" i="16"/>
  <c r="BE309" i="16"/>
  <c r="BF309" i="16"/>
  <c r="BG309" i="16"/>
  <c r="BH309" i="16"/>
  <c r="BB310" i="16"/>
  <c r="BC310" i="16"/>
  <c r="BD310" i="16"/>
  <c r="BE310" i="16"/>
  <c r="BF310" i="16"/>
  <c r="BG310" i="16"/>
  <c r="BH310" i="16"/>
  <c r="BB311" i="16"/>
  <c r="BC311" i="16"/>
  <c r="BD311" i="16"/>
  <c r="BE311" i="16"/>
  <c r="BF311" i="16"/>
  <c r="BG311" i="16"/>
  <c r="BH311" i="16"/>
  <c r="BB312" i="16"/>
  <c r="BC312" i="16"/>
  <c r="BD312" i="16"/>
  <c r="BE312" i="16"/>
  <c r="BF312" i="16"/>
  <c r="BG312" i="16"/>
  <c r="BH312" i="16"/>
  <c r="BB313" i="16"/>
  <c r="BC313" i="16"/>
  <c r="BD313" i="16"/>
  <c r="BE313" i="16"/>
  <c r="BF313" i="16"/>
  <c r="BG313" i="16"/>
  <c r="BH313" i="16"/>
  <c r="BB314" i="16"/>
  <c r="BC314" i="16"/>
  <c r="BD314" i="16"/>
  <c r="BE314" i="16"/>
  <c r="BF314" i="16"/>
  <c r="BG314" i="16"/>
  <c r="BH314" i="16"/>
  <c r="BB315" i="16"/>
  <c r="BC315" i="16"/>
  <c r="BD315" i="16"/>
  <c r="BE315" i="16"/>
  <c r="BF315" i="16"/>
  <c r="BG315" i="16"/>
  <c r="BH315" i="16"/>
  <c r="BB316" i="16"/>
  <c r="BC316" i="16"/>
  <c r="BD316" i="16"/>
  <c r="BE316" i="16"/>
  <c r="BF316" i="16"/>
  <c r="BG316" i="16"/>
  <c r="BH316" i="16"/>
  <c r="BB317" i="16"/>
  <c r="BC317" i="16"/>
  <c r="BD317" i="16"/>
  <c r="BE317" i="16"/>
  <c r="BF317" i="16"/>
  <c r="BG317" i="16"/>
  <c r="BH317" i="16"/>
  <c r="BB318" i="16"/>
  <c r="BC318" i="16"/>
  <c r="BD318" i="16"/>
  <c r="BE318" i="16"/>
  <c r="BF318" i="16"/>
  <c r="BG318" i="16"/>
  <c r="BH318" i="16"/>
  <c r="BB319" i="16"/>
  <c r="BC319" i="16"/>
  <c r="BD319" i="16"/>
  <c r="BE319" i="16"/>
  <c r="BF319" i="16"/>
  <c r="BG319" i="16"/>
  <c r="BH319" i="16"/>
  <c r="BB320" i="16"/>
  <c r="BC320" i="16"/>
  <c r="BD320" i="16"/>
  <c r="BE320" i="16"/>
  <c r="BF320" i="16"/>
  <c r="BG320" i="16"/>
  <c r="BH320" i="16"/>
  <c r="BB321" i="16"/>
  <c r="BC321" i="16"/>
  <c r="BD321" i="16"/>
  <c r="BE321" i="16"/>
  <c r="BF321" i="16"/>
  <c r="BG321" i="16"/>
  <c r="BH321" i="16"/>
  <c r="BB322" i="16"/>
  <c r="BC322" i="16"/>
  <c r="BD322" i="16"/>
  <c r="BE322" i="16"/>
  <c r="BF322" i="16"/>
  <c r="BG322" i="16"/>
  <c r="BH322" i="16"/>
  <c r="BB323" i="16"/>
  <c r="BC323" i="16"/>
  <c r="BD323" i="16"/>
  <c r="BE323" i="16"/>
  <c r="BF323" i="16"/>
  <c r="BG323" i="16"/>
  <c r="BH323" i="16"/>
  <c r="BB324" i="16"/>
  <c r="BC324" i="16"/>
  <c r="BD324" i="16"/>
  <c r="BE324" i="16"/>
  <c r="BF324" i="16"/>
  <c r="BG324" i="16"/>
  <c r="BH324" i="16"/>
  <c r="BB325" i="16"/>
  <c r="BC325" i="16"/>
  <c r="BD325" i="16"/>
  <c r="BE325" i="16"/>
  <c r="BF325" i="16"/>
  <c r="BG325" i="16"/>
  <c r="BH325" i="16"/>
  <c r="BB326" i="16"/>
  <c r="BC326" i="16"/>
  <c r="BD326" i="16"/>
  <c r="BE326" i="16"/>
  <c r="BF326" i="16"/>
  <c r="BG326" i="16"/>
  <c r="BH326" i="16"/>
  <c r="BB327" i="16"/>
  <c r="BC327" i="16"/>
  <c r="BD327" i="16"/>
  <c r="BE327" i="16"/>
  <c r="BF327" i="16"/>
  <c r="BG327" i="16"/>
  <c r="BH327" i="16"/>
  <c r="BB328" i="16"/>
  <c r="BC328" i="16"/>
  <c r="BD328" i="16"/>
  <c r="BE328" i="16"/>
  <c r="BF328" i="16"/>
  <c r="BG328" i="16"/>
  <c r="BH328" i="16"/>
  <c r="BB329" i="16"/>
  <c r="BC329" i="16"/>
  <c r="BD329" i="16"/>
  <c r="BE329" i="16"/>
  <c r="BF329" i="16"/>
  <c r="BG329" i="16"/>
  <c r="BH329" i="16"/>
  <c r="BB330" i="16"/>
  <c r="BC330" i="16"/>
  <c r="BD330" i="16"/>
  <c r="BE330" i="16"/>
  <c r="BF330" i="16"/>
  <c r="BG330" i="16"/>
  <c r="BH330" i="16"/>
  <c r="BB331" i="16"/>
  <c r="BC331" i="16"/>
  <c r="BD331" i="16"/>
  <c r="BE331" i="16"/>
  <c r="BF331" i="16"/>
  <c r="BG331" i="16"/>
  <c r="BH331" i="16"/>
  <c r="BB332" i="16"/>
  <c r="BC332" i="16"/>
  <c r="BD332" i="16"/>
  <c r="BE332" i="16"/>
  <c r="BF332" i="16"/>
  <c r="BG332" i="16"/>
  <c r="BH332" i="16"/>
  <c r="BB333" i="16"/>
  <c r="BC333" i="16"/>
  <c r="BD333" i="16"/>
  <c r="BE333" i="16"/>
  <c r="BF333" i="16"/>
  <c r="BG333" i="16"/>
  <c r="BH333" i="16"/>
  <c r="BB334" i="16"/>
  <c r="BC334" i="16"/>
  <c r="BD334" i="16"/>
  <c r="BE334" i="16"/>
  <c r="BF334" i="16"/>
  <c r="BG334" i="16"/>
  <c r="BH334" i="16"/>
  <c r="BB335" i="16"/>
  <c r="BC335" i="16"/>
  <c r="BD335" i="16"/>
  <c r="BE335" i="16"/>
  <c r="BF335" i="16"/>
  <c r="BG335" i="16"/>
  <c r="BH335" i="16"/>
  <c r="BB336" i="16"/>
  <c r="BC336" i="16"/>
  <c r="BD336" i="16"/>
  <c r="BE336" i="16"/>
  <c r="BF336" i="16"/>
  <c r="BG336" i="16"/>
  <c r="BH336" i="16"/>
  <c r="BB337" i="16"/>
  <c r="BC337" i="16"/>
  <c r="BD337" i="16"/>
  <c r="BE337" i="16"/>
  <c r="BF337" i="16"/>
  <c r="BG337" i="16"/>
  <c r="BH337" i="16"/>
  <c r="BB338" i="16"/>
  <c r="BC338" i="16"/>
  <c r="BD338" i="16"/>
  <c r="BE338" i="16"/>
  <c r="BF338" i="16"/>
  <c r="BG338" i="16"/>
  <c r="BH338" i="16"/>
  <c r="BB339" i="16"/>
  <c r="BC339" i="16"/>
  <c r="BD339" i="16"/>
  <c r="BE339" i="16"/>
  <c r="BF339" i="16"/>
  <c r="BG339" i="16"/>
  <c r="BH339" i="16"/>
  <c r="BB340" i="16"/>
  <c r="BC340" i="16"/>
  <c r="BD340" i="16"/>
  <c r="BE340" i="16"/>
  <c r="BF340" i="16"/>
  <c r="BG340" i="16"/>
  <c r="BH340" i="16"/>
  <c r="BB341" i="16"/>
  <c r="BC341" i="16"/>
  <c r="BD341" i="16"/>
  <c r="BE341" i="16"/>
  <c r="BF341" i="16"/>
  <c r="BG341" i="16"/>
  <c r="BH341" i="16"/>
  <c r="BB342" i="16"/>
  <c r="BC342" i="16"/>
  <c r="BD342" i="16"/>
  <c r="BE342" i="16"/>
  <c r="BF342" i="16"/>
  <c r="BG342" i="16"/>
  <c r="BH342" i="16"/>
  <c r="BB343" i="16"/>
  <c r="BC343" i="16"/>
  <c r="BD343" i="16"/>
  <c r="BE343" i="16"/>
  <c r="BF343" i="16"/>
  <c r="BG343" i="16"/>
  <c r="BH343" i="16"/>
  <c r="BB344" i="16"/>
  <c r="BC344" i="16"/>
  <c r="BD344" i="16"/>
  <c r="BE344" i="16"/>
  <c r="BF344" i="16"/>
  <c r="BG344" i="16"/>
  <c r="BH344" i="16"/>
  <c r="BB345" i="16"/>
  <c r="BC345" i="16"/>
  <c r="BD345" i="16"/>
  <c r="BE345" i="16"/>
  <c r="BF345" i="16"/>
  <c r="BG345" i="16"/>
  <c r="BH345" i="16"/>
  <c r="BB346" i="16"/>
  <c r="BC346" i="16"/>
  <c r="BD346" i="16"/>
  <c r="BE346" i="16"/>
  <c r="BF346" i="16"/>
  <c r="BG346" i="16"/>
  <c r="BH346" i="16"/>
  <c r="BB347" i="16"/>
  <c r="BC347" i="16"/>
  <c r="BD347" i="16"/>
  <c r="BE347" i="16"/>
  <c r="BF347" i="16"/>
  <c r="BG347" i="16"/>
  <c r="BH347" i="16"/>
  <c r="BB348" i="16"/>
  <c r="BC348" i="16"/>
  <c r="BD348" i="16"/>
  <c r="BE348" i="16"/>
  <c r="BF348" i="16"/>
  <c r="BG348" i="16"/>
  <c r="BH348" i="16"/>
  <c r="BB349" i="16"/>
  <c r="BC349" i="16"/>
  <c r="BD349" i="16"/>
  <c r="BE349" i="16"/>
  <c r="BF349" i="16"/>
  <c r="BG349" i="16"/>
  <c r="BH349" i="16"/>
  <c r="BB350" i="16"/>
  <c r="BC350" i="16"/>
  <c r="BD350" i="16"/>
  <c r="BE350" i="16"/>
  <c r="BF350" i="16"/>
  <c r="BG350" i="16"/>
  <c r="BH350" i="16"/>
  <c r="BB351" i="16"/>
  <c r="BC351" i="16"/>
  <c r="BD351" i="16"/>
  <c r="BE351" i="16"/>
  <c r="BF351" i="16"/>
  <c r="BG351" i="16"/>
  <c r="BH351" i="16"/>
  <c r="BB352" i="16"/>
  <c r="BC352" i="16"/>
  <c r="BD352" i="16"/>
  <c r="BE352" i="16"/>
  <c r="BF352" i="16"/>
  <c r="BG352" i="16"/>
  <c r="BH352" i="16"/>
  <c r="BB353" i="16"/>
  <c r="BC353" i="16"/>
  <c r="BD353" i="16"/>
  <c r="BE353" i="16"/>
  <c r="BF353" i="16"/>
  <c r="BG353" i="16"/>
  <c r="BH353" i="16"/>
  <c r="BB354" i="16"/>
  <c r="BC354" i="16"/>
  <c r="BD354" i="16"/>
  <c r="BE354" i="16"/>
  <c r="BF354" i="16"/>
  <c r="BG354" i="16"/>
  <c r="BH354" i="16"/>
  <c r="BB355" i="16"/>
  <c r="BC355" i="16"/>
  <c r="BD355" i="16"/>
  <c r="BE355" i="16"/>
  <c r="BF355" i="16"/>
  <c r="BG355" i="16"/>
  <c r="BH355" i="16"/>
  <c r="BB356" i="16"/>
  <c r="BC356" i="16"/>
  <c r="BD356" i="16"/>
  <c r="BE356" i="16"/>
  <c r="BF356" i="16"/>
  <c r="BG356" i="16"/>
  <c r="BH356" i="16"/>
  <c r="BB357" i="16"/>
  <c r="BC357" i="16"/>
  <c r="BD357" i="16"/>
  <c r="BE357" i="16"/>
  <c r="BF357" i="16"/>
  <c r="BG357" i="16"/>
  <c r="BH357" i="16"/>
  <c r="BB358" i="16"/>
  <c r="BC358" i="16"/>
  <c r="BD358" i="16"/>
  <c r="BE358" i="16"/>
  <c r="BF358" i="16"/>
  <c r="BG358" i="16"/>
  <c r="BH358" i="16"/>
  <c r="BB359" i="16"/>
  <c r="BC359" i="16"/>
  <c r="BD359" i="16"/>
  <c r="BE359" i="16"/>
  <c r="BF359" i="16"/>
  <c r="BG359" i="16"/>
  <c r="BH359" i="16"/>
  <c r="BB360" i="16"/>
  <c r="BC360" i="16"/>
  <c r="BD360" i="16"/>
  <c r="BE360" i="16"/>
  <c r="BF360" i="16"/>
  <c r="BG360" i="16"/>
  <c r="BH360" i="16"/>
  <c r="BB361" i="16"/>
  <c r="BC361" i="16"/>
  <c r="BD361" i="16"/>
  <c r="BE361" i="16"/>
  <c r="BF361" i="16"/>
  <c r="BG361" i="16"/>
  <c r="BH361" i="16"/>
  <c r="BB362" i="16"/>
  <c r="BC362" i="16"/>
  <c r="BD362" i="16"/>
  <c r="BE362" i="16"/>
  <c r="BF362" i="16"/>
  <c r="BG362" i="16"/>
  <c r="BH362" i="16"/>
  <c r="BB363" i="16"/>
  <c r="BC363" i="16"/>
  <c r="BD363" i="16"/>
  <c r="BE363" i="16"/>
  <c r="BF363" i="16"/>
  <c r="BG363" i="16"/>
  <c r="BH363" i="16"/>
  <c r="BB364" i="16"/>
  <c r="BC364" i="16"/>
  <c r="BD364" i="16"/>
  <c r="BE364" i="16"/>
  <c r="BF364" i="16"/>
  <c r="BG364" i="16"/>
  <c r="BH364" i="16"/>
  <c r="BB365" i="16"/>
  <c r="BC365" i="16"/>
  <c r="BD365" i="16"/>
  <c r="BE365" i="16"/>
  <c r="BF365" i="16"/>
  <c r="BG365" i="16"/>
  <c r="BH365" i="16"/>
  <c r="BB366" i="16"/>
  <c r="BC366" i="16"/>
  <c r="BD366" i="16"/>
  <c r="BE366" i="16"/>
  <c r="BF366" i="16"/>
  <c r="BG366" i="16"/>
  <c r="BH366" i="16"/>
  <c r="BB367" i="16"/>
  <c r="BC367" i="16"/>
  <c r="BD367" i="16"/>
  <c r="BE367" i="16"/>
  <c r="BF367" i="16"/>
  <c r="BG367" i="16"/>
  <c r="BH367" i="16"/>
  <c r="BB368" i="16"/>
  <c r="BC368" i="16"/>
  <c r="BD368" i="16"/>
  <c r="BE368" i="16"/>
  <c r="BF368" i="16"/>
  <c r="BG368" i="16"/>
  <c r="BH368" i="16"/>
  <c r="BB369" i="16"/>
  <c r="BC369" i="16"/>
  <c r="BD369" i="16"/>
  <c r="BE369" i="16"/>
  <c r="BF369" i="16"/>
  <c r="BG369" i="16"/>
  <c r="BH369" i="16"/>
  <c r="BB370" i="16"/>
  <c r="BC370" i="16"/>
  <c r="BD370" i="16"/>
  <c r="BE370" i="16"/>
  <c r="BF370" i="16"/>
  <c r="BG370" i="16"/>
  <c r="BH370" i="16"/>
  <c r="BB371" i="16"/>
  <c r="BC371" i="16"/>
  <c r="BD371" i="16"/>
  <c r="BE371" i="16"/>
  <c r="BF371" i="16"/>
  <c r="BG371" i="16"/>
  <c r="BH371" i="16"/>
  <c r="BB372" i="16"/>
  <c r="BC372" i="16"/>
  <c r="BD372" i="16"/>
  <c r="BE372" i="16"/>
  <c r="BF372" i="16"/>
  <c r="BG372" i="16"/>
  <c r="BH372" i="16"/>
  <c r="BB373" i="16"/>
  <c r="BC373" i="16"/>
  <c r="BD373" i="16"/>
  <c r="BE373" i="16"/>
  <c r="BF373" i="16"/>
  <c r="BG373" i="16"/>
  <c r="BH373" i="16"/>
  <c r="BB374" i="16"/>
  <c r="BC374" i="16"/>
  <c r="BD374" i="16"/>
  <c r="BE374" i="16"/>
  <c r="BF374" i="16"/>
  <c r="BG374" i="16"/>
  <c r="BH374" i="16"/>
  <c r="BB375" i="16"/>
  <c r="BC375" i="16"/>
  <c r="BD375" i="16"/>
  <c r="BE375" i="16"/>
  <c r="BF375" i="16"/>
  <c r="BG375" i="16"/>
  <c r="BH375" i="16"/>
  <c r="BB376" i="16"/>
  <c r="BC376" i="16"/>
  <c r="BD376" i="16"/>
  <c r="BE376" i="16"/>
  <c r="BF376" i="16"/>
  <c r="BG376" i="16"/>
  <c r="BH376" i="16"/>
  <c r="BB377" i="16"/>
  <c r="BC377" i="16"/>
  <c r="BD377" i="16"/>
  <c r="BE377" i="16"/>
  <c r="BF377" i="16"/>
  <c r="BG377" i="16"/>
  <c r="BH377" i="16"/>
  <c r="BB378" i="16"/>
  <c r="BC378" i="16"/>
  <c r="BD378" i="16"/>
  <c r="BE378" i="16"/>
  <c r="BF378" i="16"/>
  <c r="BG378" i="16"/>
  <c r="BH378" i="16"/>
  <c r="BB379" i="16"/>
  <c r="BC379" i="16"/>
  <c r="BD379" i="16"/>
  <c r="BE379" i="16"/>
  <c r="BF379" i="16"/>
  <c r="BG379" i="16"/>
  <c r="BH379" i="16"/>
  <c r="BB380" i="16"/>
  <c r="BC380" i="16"/>
  <c r="BD380" i="16"/>
  <c r="BE380" i="16"/>
  <c r="BF380" i="16"/>
  <c r="BG380" i="16"/>
  <c r="BH380" i="16"/>
  <c r="BB381" i="16"/>
  <c r="BC381" i="16"/>
  <c r="BD381" i="16"/>
  <c r="BE381" i="16"/>
  <c r="BF381" i="16"/>
  <c r="BG381" i="16"/>
  <c r="BH381" i="16"/>
  <c r="BB382" i="16"/>
  <c r="BC382" i="16"/>
  <c r="BD382" i="16"/>
  <c r="BE382" i="16"/>
  <c r="BF382" i="16"/>
  <c r="BG382" i="16"/>
  <c r="BH382" i="16"/>
  <c r="BB383" i="16"/>
  <c r="BC383" i="16"/>
  <c r="BD383" i="16"/>
  <c r="BE383" i="16"/>
  <c r="BF383" i="16"/>
  <c r="BG383" i="16"/>
  <c r="BH383" i="16"/>
  <c r="BB384" i="16"/>
  <c r="BC384" i="16"/>
  <c r="BD384" i="16"/>
  <c r="BE384" i="16"/>
  <c r="BF384" i="16"/>
  <c r="BG384" i="16"/>
  <c r="BH384" i="16"/>
  <c r="BB385" i="16"/>
  <c r="BC385" i="16"/>
  <c r="BD385" i="16"/>
  <c r="BE385" i="16"/>
  <c r="BF385" i="16"/>
  <c r="BG385" i="16"/>
  <c r="BH385" i="16"/>
  <c r="BB386" i="16"/>
  <c r="BC386" i="16"/>
  <c r="BD386" i="16"/>
  <c r="BE386" i="16"/>
  <c r="BF386" i="16"/>
  <c r="BG386" i="16"/>
  <c r="BH386" i="16"/>
  <c r="BB387" i="16"/>
  <c r="BC387" i="16"/>
  <c r="BD387" i="16"/>
  <c r="BE387" i="16"/>
  <c r="BF387" i="16"/>
  <c r="BG387" i="16"/>
  <c r="BH387" i="16"/>
  <c r="BB388" i="16"/>
  <c r="BC388" i="16"/>
  <c r="BD388" i="16"/>
  <c r="BE388" i="16"/>
  <c r="BF388" i="16"/>
  <c r="BG388" i="16"/>
  <c r="BH388" i="16"/>
  <c r="BB389" i="16"/>
  <c r="BC389" i="16"/>
  <c r="BD389" i="16"/>
  <c r="BE389" i="16"/>
  <c r="BF389" i="16"/>
  <c r="BG389" i="16"/>
  <c r="BH389" i="16"/>
  <c r="BB390" i="16"/>
  <c r="BC390" i="16"/>
  <c r="BD390" i="16"/>
  <c r="BE390" i="16"/>
  <c r="BF390" i="16"/>
  <c r="BG390" i="16"/>
  <c r="BH390" i="16"/>
  <c r="BB391" i="16"/>
  <c r="BC391" i="16"/>
  <c r="BD391" i="16"/>
  <c r="BE391" i="16"/>
  <c r="BF391" i="16"/>
  <c r="BG391" i="16"/>
  <c r="BH391" i="16"/>
  <c r="BB392" i="16"/>
  <c r="BC392" i="16"/>
  <c r="BD392" i="16"/>
  <c r="BE392" i="16"/>
  <c r="BF392" i="16"/>
  <c r="BG392" i="16"/>
  <c r="BH392" i="16"/>
  <c r="BB393" i="16"/>
  <c r="BC393" i="16"/>
  <c r="BD393" i="16"/>
  <c r="BE393" i="16"/>
  <c r="BF393" i="16"/>
  <c r="BG393" i="16"/>
  <c r="BH393" i="16"/>
  <c r="BB394" i="16"/>
  <c r="BC394" i="16"/>
  <c r="BD394" i="16"/>
  <c r="BE394" i="16"/>
  <c r="BF394" i="16"/>
  <c r="BG394" i="16"/>
  <c r="BH394" i="16"/>
  <c r="BB395" i="16"/>
  <c r="BC395" i="16"/>
  <c r="BD395" i="16"/>
  <c r="BE395" i="16"/>
  <c r="BF395" i="16"/>
  <c r="BG395" i="16"/>
  <c r="BH395" i="16"/>
  <c r="BB396" i="16"/>
  <c r="BC396" i="16"/>
  <c r="BD396" i="16"/>
  <c r="BE396" i="16"/>
  <c r="BF396" i="16"/>
  <c r="BG396" i="16"/>
  <c r="BH396" i="16"/>
  <c r="BB397" i="16"/>
  <c r="BC397" i="16"/>
  <c r="BD397" i="16"/>
  <c r="BE397" i="16"/>
  <c r="BF397" i="16"/>
  <c r="BG397" i="16"/>
  <c r="BH397" i="16"/>
  <c r="BB398" i="16"/>
  <c r="BC398" i="16"/>
  <c r="BD398" i="16"/>
  <c r="BE398" i="16"/>
  <c r="BF398" i="16"/>
  <c r="BG398" i="16"/>
  <c r="BH398" i="16"/>
  <c r="BB399" i="16"/>
  <c r="BC399" i="16"/>
  <c r="BD399" i="16"/>
  <c r="BE399" i="16"/>
  <c r="BF399" i="16"/>
  <c r="BG399" i="16"/>
  <c r="BH399" i="16"/>
  <c r="BB400" i="16"/>
  <c r="BC400" i="16"/>
  <c r="BD400" i="16"/>
  <c r="BE400" i="16"/>
  <c r="BF400" i="16"/>
  <c r="BG400" i="16"/>
  <c r="BH400" i="16"/>
  <c r="BB401" i="16"/>
  <c r="BC401" i="16"/>
  <c r="BD401" i="16"/>
  <c r="BE401" i="16"/>
  <c r="BF401" i="16"/>
  <c r="BG401" i="16"/>
  <c r="BH401" i="16"/>
  <c r="BB402" i="16"/>
  <c r="BC402" i="16"/>
  <c r="BD402" i="16"/>
  <c r="BE402" i="16"/>
  <c r="BF402" i="16"/>
  <c r="BG402" i="16"/>
  <c r="BH402" i="16"/>
  <c r="BB403" i="16"/>
  <c r="BC403" i="16"/>
  <c r="BD403" i="16"/>
  <c r="BE403" i="16"/>
  <c r="BF403" i="16"/>
  <c r="BG403" i="16"/>
  <c r="BH403" i="16"/>
  <c r="BB404" i="16"/>
  <c r="BC404" i="16"/>
  <c r="BD404" i="16"/>
  <c r="BE404" i="16"/>
  <c r="BF404" i="16"/>
  <c r="BG404" i="16"/>
  <c r="BH404" i="16"/>
  <c r="BB405" i="16"/>
  <c r="BC405" i="16"/>
  <c r="BD405" i="16"/>
  <c r="BE405" i="16"/>
  <c r="BF405" i="16"/>
  <c r="BG405" i="16"/>
  <c r="BH405" i="16"/>
  <c r="BB406" i="16"/>
  <c r="BC406" i="16"/>
  <c r="BD406" i="16"/>
  <c r="BE406" i="16"/>
  <c r="BF406" i="16"/>
  <c r="BG406" i="16"/>
  <c r="BH406" i="16"/>
  <c r="BB407" i="16"/>
  <c r="BC407" i="16"/>
  <c r="BD407" i="16"/>
  <c r="BE407" i="16"/>
  <c r="BF407" i="16"/>
  <c r="BG407" i="16"/>
  <c r="BH407" i="16"/>
  <c r="BB408" i="16"/>
  <c r="BC408" i="16"/>
  <c r="BD408" i="16"/>
  <c r="BE408" i="16"/>
  <c r="BF408" i="16"/>
  <c r="BG408" i="16"/>
  <c r="BH408" i="16"/>
  <c r="BB409" i="16"/>
  <c r="BC409" i="16"/>
  <c r="BD409" i="16"/>
  <c r="BE409" i="16"/>
  <c r="BF409" i="16"/>
  <c r="BG409" i="16"/>
  <c r="BH409" i="16"/>
  <c r="BB410" i="16"/>
  <c r="BC410" i="16"/>
  <c r="BD410" i="16"/>
  <c r="BE410" i="16"/>
  <c r="BF410" i="16"/>
  <c r="BG410" i="16"/>
  <c r="BH410" i="16"/>
  <c r="BB411" i="16"/>
  <c r="BC411" i="16"/>
  <c r="BD411" i="16"/>
  <c r="BE411" i="16"/>
  <c r="BF411" i="16"/>
  <c r="BG411" i="16"/>
  <c r="BH411" i="16"/>
  <c r="BB412" i="16"/>
  <c r="BC412" i="16"/>
  <c r="BD412" i="16"/>
  <c r="BE412" i="16"/>
  <c r="BF412" i="16"/>
  <c r="BG412" i="16"/>
  <c r="BH412" i="16"/>
  <c r="BB413" i="16"/>
  <c r="BC413" i="16"/>
  <c r="BD413" i="16"/>
  <c r="BE413" i="16"/>
  <c r="BF413" i="16"/>
  <c r="BG413" i="16"/>
  <c r="BH413" i="16"/>
  <c r="BB414" i="16"/>
  <c r="BC414" i="16"/>
  <c r="BD414" i="16"/>
  <c r="BE414" i="16"/>
  <c r="BF414" i="16"/>
  <c r="BG414" i="16"/>
  <c r="BH414" i="16"/>
  <c r="BB415" i="16"/>
  <c r="BC415" i="16"/>
  <c r="BD415" i="16"/>
  <c r="BE415" i="16"/>
  <c r="BF415" i="16"/>
  <c r="BG415" i="16"/>
  <c r="BH415" i="16"/>
  <c r="BB416" i="16"/>
  <c r="BC416" i="16"/>
  <c r="BD416" i="16"/>
  <c r="BE416" i="16"/>
  <c r="BF416" i="16"/>
  <c r="BG416" i="16"/>
  <c r="BH416" i="16"/>
  <c r="BB417" i="16"/>
  <c r="BC417" i="16"/>
  <c r="BD417" i="16"/>
  <c r="BE417" i="16"/>
  <c r="BF417" i="16"/>
  <c r="BG417" i="16"/>
  <c r="BH417" i="16"/>
  <c r="BB418" i="16"/>
  <c r="BC418" i="16"/>
  <c r="BD418" i="16"/>
  <c r="BE418" i="16"/>
  <c r="BF418" i="16"/>
  <c r="BG418" i="16"/>
  <c r="BH418" i="16"/>
  <c r="BB419" i="16"/>
  <c r="BC419" i="16"/>
  <c r="BD419" i="16"/>
  <c r="BE419" i="16"/>
  <c r="BF419" i="16"/>
  <c r="BG419" i="16"/>
  <c r="BH419" i="16"/>
  <c r="BB420" i="16"/>
  <c r="BC420" i="16"/>
  <c r="BD420" i="16"/>
  <c r="BE420" i="16"/>
  <c r="BF420" i="16"/>
  <c r="BG420" i="16"/>
  <c r="BH420" i="16"/>
  <c r="BB421" i="16"/>
  <c r="BC421" i="16"/>
  <c r="BD421" i="16"/>
  <c r="BE421" i="16"/>
  <c r="BF421" i="16"/>
  <c r="BG421" i="16"/>
  <c r="BH421" i="16"/>
  <c r="BB422" i="16"/>
  <c r="BC422" i="16"/>
  <c r="BD422" i="16"/>
  <c r="BE422" i="16"/>
  <c r="BF422" i="16"/>
  <c r="BG422" i="16"/>
  <c r="BH422" i="16"/>
  <c r="BB423" i="16"/>
  <c r="BC423" i="16"/>
  <c r="BD423" i="16"/>
  <c r="BE423" i="16"/>
  <c r="BF423" i="16"/>
  <c r="BG423" i="16"/>
  <c r="BH423" i="16"/>
  <c r="BB424" i="16"/>
  <c r="BC424" i="16"/>
  <c r="BD424" i="16"/>
  <c r="BE424" i="16"/>
  <c r="BF424" i="16"/>
  <c r="BG424" i="16"/>
  <c r="BH424" i="16"/>
  <c r="BB425" i="16"/>
  <c r="BC425" i="16"/>
  <c r="BD425" i="16"/>
  <c r="BE425" i="16"/>
  <c r="BF425" i="16"/>
  <c r="BG425" i="16"/>
  <c r="BH425" i="16"/>
  <c r="BB426" i="16"/>
  <c r="BC426" i="16"/>
  <c r="BD426" i="16"/>
  <c r="BE426" i="16"/>
  <c r="BF426" i="16"/>
  <c r="BG426" i="16"/>
  <c r="BH426" i="16"/>
  <c r="BB427" i="16"/>
  <c r="BC427" i="16"/>
  <c r="BD427" i="16"/>
  <c r="BE427" i="16"/>
  <c r="BF427" i="16"/>
  <c r="BG427" i="16"/>
  <c r="BH427" i="16"/>
  <c r="BB428" i="16"/>
  <c r="BC428" i="16"/>
  <c r="BD428" i="16"/>
  <c r="BE428" i="16"/>
  <c r="BF428" i="16"/>
  <c r="BG428" i="16"/>
  <c r="BH428" i="16"/>
  <c r="BB429" i="16"/>
  <c r="BC429" i="16"/>
  <c r="BD429" i="16"/>
  <c r="BE429" i="16"/>
  <c r="BF429" i="16"/>
  <c r="BG429" i="16"/>
  <c r="BH429" i="16"/>
  <c r="BB430" i="16"/>
  <c r="BC430" i="16"/>
  <c r="BD430" i="16"/>
  <c r="BE430" i="16"/>
  <c r="BF430" i="16"/>
  <c r="BG430" i="16"/>
  <c r="BH430" i="16"/>
  <c r="BB431" i="16"/>
  <c r="BC431" i="16"/>
  <c r="BD431" i="16"/>
  <c r="BE431" i="16"/>
  <c r="BF431" i="16"/>
  <c r="BG431" i="16"/>
  <c r="BH431" i="16"/>
  <c r="BB432" i="16"/>
  <c r="BC432" i="16"/>
  <c r="BD432" i="16"/>
  <c r="BE432" i="16"/>
  <c r="BF432" i="16"/>
  <c r="BG432" i="16"/>
  <c r="BH432" i="16"/>
  <c r="BB433" i="16"/>
  <c r="BC433" i="16"/>
  <c r="BD433" i="16"/>
  <c r="BE433" i="16"/>
  <c r="BF433" i="16"/>
  <c r="BG433" i="16"/>
  <c r="BH433" i="16"/>
  <c r="BB434" i="16"/>
  <c r="BC434" i="16"/>
  <c r="BD434" i="16"/>
  <c r="BE434" i="16"/>
  <c r="BF434" i="16"/>
  <c r="BG434" i="16"/>
  <c r="BH434" i="16"/>
  <c r="BB435" i="16"/>
  <c r="BC435" i="16"/>
  <c r="BD435" i="16"/>
  <c r="BE435" i="16"/>
  <c r="BF435" i="16"/>
  <c r="BG435" i="16"/>
  <c r="BH435" i="16"/>
  <c r="BB436" i="16"/>
  <c r="BC436" i="16"/>
  <c r="BD436" i="16"/>
  <c r="BE436" i="16"/>
  <c r="BF436" i="16"/>
  <c r="BG436" i="16"/>
  <c r="BH436" i="16"/>
  <c r="BH437" i="16"/>
  <c r="BH438" i="16"/>
  <c r="BH439" i="16"/>
  <c r="BH440" i="16"/>
  <c r="BH441" i="16"/>
  <c r="BH442" i="16"/>
  <c r="BH443" i="16"/>
  <c r="BH444" i="16"/>
  <c r="BH445" i="16"/>
  <c r="BH446" i="16"/>
  <c r="BH447" i="16"/>
  <c r="BH448" i="16"/>
  <c r="BB449" i="16"/>
  <c r="BC449" i="16"/>
  <c r="BD449" i="16"/>
  <c r="BE449" i="16"/>
  <c r="BF449" i="16"/>
  <c r="BG449" i="16"/>
  <c r="BH449" i="16"/>
  <c r="BB450" i="16"/>
  <c r="BC450" i="16"/>
  <c r="BD450" i="16"/>
  <c r="BE450" i="16"/>
  <c r="BF450" i="16"/>
  <c r="BG450" i="16"/>
  <c r="BH450" i="16"/>
  <c r="BB451" i="16"/>
  <c r="BC451" i="16"/>
  <c r="BD451" i="16"/>
  <c r="BE451" i="16"/>
  <c r="BF451" i="16"/>
  <c r="BG451" i="16"/>
  <c r="BH451" i="16"/>
  <c r="BB452" i="16"/>
  <c r="BC452" i="16"/>
  <c r="BD452" i="16"/>
  <c r="BE452" i="16"/>
  <c r="BF452" i="16"/>
  <c r="BG452" i="16"/>
  <c r="BH452" i="16"/>
  <c r="BB453" i="16"/>
  <c r="BC453" i="16"/>
  <c r="BD453" i="16"/>
  <c r="BE453" i="16"/>
  <c r="BF453" i="16"/>
  <c r="BG453" i="16"/>
  <c r="BH453" i="16"/>
  <c r="BB454" i="16"/>
  <c r="BC454" i="16"/>
  <c r="BD454" i="16"/>
  <c r="BE454" i="16"/>
  <c r="BF454" i="16"/>
  <c r="BG454" i="16"/>
  <c r="BH454" i="16"/>
  <c r="BB455" i="16"/>
  <c r="BC455" i="16"/>
  <c r="BD455" i="16"/>
  <c r="BE455" i="16"/>
  <c r="BF455" i="16"/>
  <c r="BG455" i="16"/>
  <c r="BH455" i="16"/>
  <c r="BB456" i="16"/>
  <c r="BC456" i="16"/>
  <c r="BD456" i="16"/>
  <c r="BE456" i="16"/>
  <c r="BF456" i="16"/>
  <c r="BG456" i="16"/>
  <c r="BH456" i="16"/>
  <c r="BB457" i="16"/>
  <c r="BC457" i="16"/>
  <c r="BD457" i="16"/>
  <c r="BE457" i="16"/>
  <c r="BF457" i="16"/>
  <c r="BG457" i="16"/>
  <c r="BH457" i="16"/>
  <c r="BB458" i="16"/>
  <c r="BC458" i="16"/>
  <c r="BD458" i="16"/>
  <c r="BE458" i="16"/>
  <c r="BF458" i="16"/>
  <c r="BG458" i="16"/>
  <c r="BH458" i="16"/>
  <c r="BB459" i="16"/>
  <c r="BC459" i="16"/>
  <c r="BD459" i="16"/>
  <c r="BE459" i="16"/>
  <c r="BF459" i="16"/>
  <c r="BG459" i="16"/>
  <c r="BH459" i="16"/>
  <c r="BB460" i="16"/>
  <c r="BC460" i="16"/>
  <c r="BD460" i="16"/>
  <c r="BE460" i="16"/>
  <c r="BF460" i="16"/>
  <c r="BG460" i="16"/>
  <c r="BH460" i="16"/>
  <c r="BB461" i="16"/>
  <c r="BC461" i="16"/>
  <c r="BD461" i="16"/>
  <c r="BE461" i="16"/>
  <c r="BF461" i="16"/>
  <c r="BG461" i="16"/>
  <c r="BH461" i="16"/>
  <c r="BB462" i="16"/>
  <c r="BC462" i="16"/>
  <c r="BD462" i="16"/>
  <c r="BE462" i="16"/>
  <c r="BF462" i="16"/>
  <c r="BG462" i="16"/>
  <c r="BH462" i="16"/>
  <c r="BB463" i="16"/>
  <c r="BC463" i="16"/>
  <c r="BD463" i="16"/>
  <c r="BE463" i="16"/>
  <c r="BF463" i="16"/>
  <c r="BG463" i="16"/>
  <c r="BH463" i="16"/>
  <c r="BB464" i="16"/>
  <c r="BC464" i="16"/>
  <c r="BD464" i="16"/>
  <c r="BE464" i="16"/>
  <c r="BF464" i="16"/>
  <c r="BG464" i="16"/>
  <c r="BH464" i="16"/>
  <c r="BB465" i="16"/>
  <c r="BC465" i="16"/>
  <c r="BD465" i="16"/>
  <c r="BE465" i="16"/>
  <c r="BF465" i="16"/>
  <c r="BG465" i="16"/>
  <c r="BH465" i="16"/>
  <c r="BB466" i="16"/>
  <c r="BC466" i="16"/>
  <c r="BD466" i="16"/>
  <c r="BE466" i="16"/>
  <c r="BF466" i="16"/>
  <c r="BG466" i="16"/>
  <c r="BH466" i="16"/>
  <c r="BB467" i="16"/>
  <c r="BC467" i="16"/>
  <c r="BD467" i="16"/>
  <c r="BE467" i="16"/>
  <c r="BF467" i="16"/>
  <c r="BG467" i="16"/>
  <c r="BH467" i="16"/>
  <c r="BB468" i="16"/>
  <c r="BC468" i="16"/>
  <c r="BD468" i="16"/>
  <c r="BE468" i="16"/>
  <c r="BF468" i="16"/>
  <c r="BG468" i="16"/>
  <c r="BH468" i="16"/>
  <c r="BB469" i="16"/>
  <c r="BC469" i="16"/>
  <c r="BD469" i="16"/>
  <c r="BE469" i="16"/>
  <c r="BF469" i="16"/>
  <c r="BG469" i="16"/>
  <c r="BH469" i="16"/>
  <c r="BB470" i="16"/>
  <c r="BC470" i="16"/>
  <c r="BD470" i="16"/>
  <c r="BE470" i="16"/>
  <c r="BF470" i="16"/>
  <c r="BG470" i="16"/>
  <c r="BH470" i="16"/>
  <c r="BB471" i="16"/>
  <c r="BC471" i="16"/>
  <c r="BD471" i="16"/>
  <c r="BE471" i="16"/>
  <c r="BF471" i="16"/>
  <c r="BG471" i="16"/>
  <c r="BH471" i="16"/>
  <c r="BB472" i="16"/>
  <c r="BC472" i="16"/>
  <c r="BD472" i="16"/>
  <c r="BE472" i="16"/>
  <c r="BF472" i="16"/>
  <c r="BG472" i="16"/>
  <c r="BH472" i="16"/>
  <c r="BB473" i="16"/>
  <c r="BC473" i="16"/>
  <c r="BD473" i="16"/>
  <c r="BE473" i="16"/>
  <c r="BF473" i="16"/>
  <c r="BG473" i="16"/>
  <c r="BH473" i="16"/>
  <c r="BB474" i="16"/>
  <c r="BC474" i="16"/>
  <c r="BD474" i="16"/>
  <c r="BE474" i="16"/>
  <c r="BF474" i="16"/>
  <c r="BG474" i="16"/>
  <c r="BH474" i="16"/>
  <c r="BB475" i="16"/>
  <c r="BC475" i="16"/>
  <c r="BD475" i="16"/>
  <c r="BE475" i="16"/>
  <c r="BF475" i="16"/>
  <c r="BG475" i="16"/>
  <c r="BH475" i="16"/>
  <c r="BB476" i="16"/>
  <c r="BC476" i="16"/>
  <c r="BD476" i="16"/>
  <c r="BE476" i="16"/>
  <c r="BF476" i="16"/>
  <c r="BG476" i="16"/>
  <c r="BH476" i="16"/>
  <c r="BB477" i="16"/>
  <c r="BC477" i="16"/>
  <c r="BD477" i="16"/>
  <c r="BE477" i="16"/>
  <c r="BF477" i="16"/>
  <c r="BG477" i="16"/>
  <c r="BH477" i="16"/>
  <c r="BB478" i="16"/>
  <c r="BC478" i="16"/>
  <c r="BD478" i="16"/>
  <c r="BE478" i="16"/>
  <c r="BF478" i="16"/>
  <c r="BG478" i="16"/>
  <c r="BH478" i="16"/>
  <c r="BB479" i="16"/>
  <c r="BC479" i="16"/>
  <c r="BD479" i="16"/>
  <c r="BE479" i="16"/>
  <c r="BF479" i="16"/>
  <c r="BG479" i="16"/>
  <c r="BH479" i="16"/>
  <c r="BB480" i="16"/>
  <c r="BC480" i="16"/>
  <c r="BD480" i="16"/>
  <c r="BE480" i="16"/>
  <c r="BF480" i="16"/>
  <c r="BG480" i="16"/>
  <c r="BH480" i="16"/>
  <c r="BB481" i="16"/>
  <c r="BC481" i="16"/>
  <c r="BD481" i="16"/>
  <c r="BE481" i="16"/>
  <c r="BF481" i="16"/>
  <c r="BG481" i="16"/>
  <c r="BH481" i="16"/>
  <c r="BB482" i="16"/>
  <c r="BC482" i="16"/>
  <c r="BD482" i="16"/>
  <c r="BE482" i="16"/>
  <c r="BF482" i="16"/>
  <c r="BG482" i="16"/>
  <c r="BH482" i="16"/>
  <c r="BB483" i="16"/>
  <c r="BC483" i="16"/>
  <c r="BD483" i="16"/>
  <c r="BE483" i="16"/>
  <c r="BF483" i="16"/>
  <c r="BG483" i="16"/>
  <c r="BH483" i="16"/>
  <c r="BB484" i="16"/>
  <c r="BC484" i="16"/>
  <c r="BD484" i="16"/>
  <c r="BE484" i="16"/>
  <c r="BF484" i="16"/>
  <c r="BG484" i="16"/>
  <c r="BH484" i="16"/>
  <c r="BB485" i="16"/>
  <c r="BC485" i="16"/>
  <c r="BD485" i="16"/>
  <c r="BE485" i="16"/>
  <c r="BF485" i="16"/>
  <c r="BG485" i="16"/>
  <c r="BH485" i="16"/>
  <c r="BB486" i="16"/>
  <c r="BC486" i="16"/>
  <c r="BD486" i="16"/>
  <c r="BE486" i="16"/>
  <c r="BF486" i="16"/>
  <c r="BG486" i="16"/>
  <c r="BH486" i="16"/>
  <c r="BB487" i="16"/>
  <c r="BC487" i="16"/>
  <c r="BD487" i="16"/>
  <c r="BE487" i="16"/>
  <c r="BF487" i="16"/>
  <c r="BG487" i="16"/>
  <c r="BH487" i="16"/>
  <c r="BB488" i="16"/>
  <c r="BC488" i="16"/>
  <c r="BD488" i="16"/>
  <c r="BE488" i="16"/>
  <c r="BF488" i="16"/>
  <c r="BG488" i="16"/>
  <c r="BH488" i="16"/>
  <c r="BB489" i="16"/>
  <c r="BC489" i="16"/>
  <c r="BD489" i="16"/>
  <c r="BE489" i="16"/>
  <c r="BF489" i="16"/>
  <c r="BG489" i="16"/>
  <c r="BH489" i="16"/>
  <c r="BB490" i="16"/>
  <c r="BC490" i="16"/>
  <c r="BD490" i="16"/>
  <c r="BE490" i="16"/>
  <c r="BF490" i="16"/>
  <c r="BG490" i="16"/>
  <c r="BH490" i="16"/>
  <c r="BB491" i="16"/>
  <c r="BC491" i="16"/>
  <c r="BD491" i="16"/>
  <c r="BE491" i="16"/>
  <c r="BF491" i="16"/>
  <c r="BG491" i="16"/>
  <c r="BH491" i="16"/>
  <c r="BB492" i="16"/>
  <c r="BC492" i="16"/>
  <c r="BD492" i="16"/>
  <c r="BE492" i="16"/>
  <c r="BF492" i="16"/>
  <c r="BG492" i="16"/>
  <c r="BH492" i="16"/>
  <c r="BB493" i="16"/>
  <c r="BC493" i="16"/>
  <c r="BD493" i="16"/>
  <c r="BE493" i="16"/>
  <c r="BF493" i="16"/>
  <c r="BG493" i="16"/>
  <c r="BH493" i="16"/>
  <c r="BB494" i="16"/>
  <c r="BC494" i="16"/>
  <c r="BD494" i="16"/>
  <c r="BE494" i="16"/>
  <c r="BF494" i="16"/>
  <c r="BG494" i="16"/>
  <c r="BH494" i="16"/>
  <c r="BB495" i="16"/>
  <c r="BC495" i="16"/>
  <c r="BD495" i="16"/>
  <c r="BE495" i="16"/>
  <c r="BF495" i="16"/>
  <c r="BG495" i="16"/>
  <c r="BH495" i="16"/>
  <c r="BB496" i="16"/>
  <c r="BC496" i="16"/>
  <c r="BD496" i="16"/>
  <c r="BE496" i="16"/>
  <c r="BF496" i="16"/>
  <c r="BG496" i="16"/>
  <c r="BH496" i="16"/>
  <c r="BB497" i="16"/>
  <c r="BC497" i="16"/>
  <c r="BD497" i="16"/>
  <c r="BE497" i="16"/>
  <c r="BF497" i="16"/>
  <c r="BG497" i="16"/>
  <c r="BH497" i="16"/>
  <c r="BB498" i="16"/>
  <c r="BC498" i="16"/>
  <c r="BD498" i="16"/>
  <c r="BE498" i="16"/>
  <c r="BF498" i="16"/>
  <c r="BG498" i="16"/>
  <c r="BH498" i="16"/>
  <c r="BB499" i="16"/>
  <c r="BC499" i="16"/>
  <c r="BD499" i="16"/>
  <c r="BE499" i="16"/>
  <c r="BF499" i="16"/>
  <c r="BG499" i="16"/>
  <c r="BH499" i="16"/>
  <c r="BB500" i="16"/>
  <c r="BC500" i="16"/>
  <c r="BD500" i="16"/>
  <c r="BE500" i="16"/>
  <c r="BF500" i="16"/>
  <c r="BG500" i="16"/>
  <c r="BH500" i="16"/>
  <c r="BB501" i="16"/>
  <c r="BC501" i="16"/>
  <c r="BD501" i="16"/>
  <c r="BE501" i="16"/>
  <c r="BF501" i="16"/>
  <c r="BG501" i="16"/>
  <c r="BH501" i="16"/>
  <c r="BB502" i="16"/>
  <c r="BC502" i="16"/>
  <c r="BD502" i="16"/>
  <c r="BE502" i="16"/>
  <c r="BF502" i="16"/>
  <c r="BG502" i="16"/>
  <c r="BH502" i="16"/>
  <c r="BB503" i="16"/>
  <c r="BC503" i="16"/>
  <c r="BD503" i="16"/>
  <c r="BE503" i="16"/>
  <c r="BF503" i="16"/>
  <c r="BG503" i="16"/>
  <c r="BH503" i="16"/>
  <c r="BB504" i="16"/>
  <c r="BC504" i="16"/>
  <c r="BD504" i="16"/>
  <c r="BE504" i="16"/>
  <c r="BF504" i="16"/>
  <c r="BG504" i="16"/>
  <c r="BH504" i="16"/>
  <c r="BB505" i="16"/>
  <c r="BC505" i="16"/>
  <c r="BD505" i="16"/>
  <c r="BE505" i="16"/>
  <c r="BF505" i="16"/>
  <c r="BG505" i="16"/>
  <c r="BH505" i="16"/>
  <c r="BB506" i="16"/>
  <c r="BC506" i="16"/>
  <c r="BD506" i="16"/>
  <c r="BE506" i="16"/>
  <c r="BF506" i="16"/>
  <c r="BG506" i="16"/>
  <c r="BH506" i="16"/>
  <c r="BB507" i="16"/>
  <c r="BC507" i="16"/>
  <c r="BD507" i="16"/>
  <c r="BE507" i="16"/>
  <c r="BF507" i="16"/>
  <c r="BG507" i="16"/>
  <c r="BH507" i="16"/>
  <c r="BB508" i="16"/>
  <c r="BC508" i="16"/>
  <c r="BD508" i="16"/>
  <c r="BE508" i="16"/>
  <c r="BF508" i="16"/>
  <c r="BG508" i="16"/>
  <c r="BH508" i="16"/>
  <c r="BB509" i="16"/>
  <c r="BC509" i="16"/>
  <c r="BD509" i="16"/>
  <c r="BE509" i="16"/>
  <c r="BF509" i="16"/>
  <c r="BG509" i="16"/>
  <c r="BH509" i="16"/>
  <c r="BB510" i="16"/>
  <c r="BC510" i="16"/>
  <c r="BD510" i="16"/>
  <c r="BE510" i="16"/>
  <c r="BF510" i="16"/>
  <c r="BG510" i="16"/>
  <c r="BH510" i="16"/>
  <c r="BB511" i="16"/>
  <c r="BC511" i="16"/>
  <c r="BD511" i="16"/>
  <c r="BE511" i="16"/>
  <c r="BF511" i="16"/>
  <c r="BG511" i="16"/>
  <c r="BH511" i="16"/>
  <c r="BB512" i="16"/>
  <c r="BC512" i="16"/>
  <c r="BD512" i="16"/>
  <c r="BE512" i="16"/>
  <c r="BF512" i="16"/>
  <c r="BG512" i="16"/>
  <c r="BH512" i="16"/>
  <c r="BB513" i="16"/>
  <c r="BC513" i="16"/>
  <c r="BD513" i="16"/>
  <c r="BE513" i="16"/>
  <c r="BF513" i="16"/>
  <c r="BG513" i="16"/>
  <c r="BH513" i="16"/>
  <c r="BB514" i="16"/>
  <c r="BC514" i="16"/>
  <c r="BD514" i="16"/>
  <c r="BE514" i="16"/>
  <c r="BF514" i="16"/>
  <c r="BG514" i="16"/>
  <c r="BH514" i="16"/>
  <c r="BB515" i="16"/>
  <c r="BC515" i="16"/>
  <c r="BD515" i="16"/>
  <c r="BE515" i="16"/>
  <c r="BF515" i="16"/>
  <c r="BG515" i="16"/>
  <c r="BH515" i="16"/>
  <c r="BB516" i="16"/>
  <c r="BC516" i="16"/>
  <c r="BD516" i="16"/>
  <c r="BE516" i="16"/>
  <c r="BF516" i="16"/>
  <c r="BG516" i="16"/>
  <c r="BH516" i="16"/>
  <c r="BB517" i="16"/>
  <c r="BC517" i="16"/>
  <c r="BD517" i="16"/>
  <c r="BE517" i="16"/>
  <c r="BF517" i="16"/>
  <c r="BG517" i="16"/>
  <c r="BH517" i="16"/>
  <c r="BB518" i="16"/>
  <c r="BC518" i="16"/>
  <c r="BD518" i="16"/>
  <c r="BE518" i="16"/>
  <c r="BF518" i="16"/>
  <c r="BG518" i="16"/>
  <c r="BH518" i="16"/>
  <c r="BB519" i="16"/>
  <c r="BC519" i="16"/>
  <c r="BD519" i="16"/>
  <c r="BE519" i="16"/>
  <c r="BF519" i="16"/>
  <c r="BG519" i="16"/>
  <c r="BH519" i="16"/>
  <c r="BB520" i="16"/>
  <c r="BC520" i="16"/>
  <c r="BD520" i="16"/>
  <c r="BE520" i="16"/>
  <c r="BF520" i="16"/>
  <c r="BG520" i="16"/>
  <c r="BH520" i="16"/>
  <c r="BB521" i="16"/>
  <c r="BC521" i="16"/>
  <c r="BD521" i="16"/>
  <c r="BE521" i="16"/>
  <c r="BF521" i="16"/>
  <c r="BG521" i="16"/>
  <c r="BH521" i="16"/>
  <c r="BB522" i="16"/>
  <c r="BC522" i="16"/>
  <c r="BD522" i="16"/>
  <c r="BE522" i="16"/>
  <c r="BF522" i="16"/>
  <c r="BG522" i="16"/>
  <c r="BH522" i="16"/>
  <c r="BB523" i="16"/>
  <c r="BC523" i="16"/>
  <c r="BD523" i="16"/>
  <c r="BE523" i="16"/>
  <c r="BF523" i="16"/>
  <c r="BG523" i="16"/>
  <c r="BH523" i="16"/>
  <c r="BB524" i="16"/>
  <c r="BC524" i="16"/>
  <c r="BD524" i="16"/>
  <c r="BE524" i="16"/>
  <c r="BF524" i="16"/>
  <c r="BG524" i="16"/>
  <c r="BH524" i="16"/>
  <c r="BB525" i="16"/>
  <c r="BC525" i="16"/>
  <c r="BD525" i="16"/>
  <c r="BE525" i="16"/>
  <c r="BF525" i="16"/>
  <c r="BG525" i="16"/>
  <c r="BH525" i="16"/>
  <c r="BB526" i="16"/>
  <c r="BC526" i="16"/>
  <c r="BD526" i="16"/>
  <c r="BE526" i="16"/>
  <c r="BF526" i="16"/>
  <c r="BG526" i="16"/>
  <c r="BH526" i="16"/>
  <c r="BB527" i="16"/>
  <c r="BC527" i="16"/>
  <c r="BD527" i="16"/>
  <c r="BE527" i="16"/>
  <c r="BF527" i="16"/>
  <c r="BG527" i="16"/>
  <c r="BH527" i="16"/>
  <c r="BB528" i="16"/>
  <c r="BC528" i="16"/>
  <c r="BD528" i="16"/>
  <c r="BF528" i="16"/>
  <c r="BG528" i="16"/>
  <c r="BH528" i="16"/>
  <c r="BB529" i="16"/>
  <c r="BC529" i="16"/>
  <c r="BD529" i="16"/>
  <c r="BE529" i="16"/>
  <c r="BF529" i="16"/>
  <c r="BG529" i="16"/>
  <c r="BH529" i="16"/>
  <c r="BB530" i="16"/>
  <c r="BC530" i="16"/>
  <c r="BD530" i="16"/>
  <c r="BE530" i="16"/>
  <c r="BF530" i="16"/>
  <c r="BG530" i="16"/>
  <c r="BH530" i="16"/>
  <c r="BB531" i="16"/>
  <c r="BC531" i="16"/>
  <c r="BD531" i="16"/>
  <c r="BE531" i="16"/>
  <c r="BF531" i="16"/>
  <c r="BG531" i="16"/>
  <c r="BH531" i="16"/>
  <c r="BB532" i="16"/>
  <c r="BC532" i="16"/>
  <c r="BD532" i="16"/>
  <c r="BE532" i="16"/>
  <c r="BF532" i="16"/>
  <c r="BG532" i="16"/>
  <c r="BH532" i="16"/>
  <c r="BB533" i="16"/>
  <c r="BC533" i="16"/>
  <c r="BD533" i="16"/>
  <c r="BE533" i="16"/>
  <c r="BF533" i="16"/>
  <c r="BG533" i="16"/>
  <c r="BH533" i="16"/>
  <c r="BB534" i="16"/>
  <c r="BC534" i="16"/>
  <c r="BD534" i="16"/>
  <c r="BE534" i="16"/>
  <c r="BF534" i="16"/>
  <c r="BG534" i="16"/>
  <c r="BH534" i="16"/>
  <c r="BB535" i="16"/>
  <c r="BC535" i="16"/>
  <c r="BD535" i="16"/>
  <c r="BE535" i="16"/>
  <c r="BF535" i="16"/>
  <c r="BG535" i="16"/>
  <c r="BH535" i="16"/>
  <c r="BB536" i="16"/>
  <c r="BC536" i="16"/>
  <c r="BD536" i="16"/>
  <c r="BE536" i="16"/>
  <c r="BF536" i="16"/>
  <c r="BG536" i="16"/>
  <c r="BH536" i="16"/>
  <c r="BB537" i="16"/>
  <c r="BC537" i="16"/>
  <c r="BD537" i="16"/>
  <c r="BE537" i="16"/>
  <c r="BF537" i="16"/>
  <c r="BG537" i="16"/>
  <c r="BH537" i="16"/>
  <c r="BB538" i="16"/>
  <c r="BC538" i="16"/>
  <c r="BD538" i="16"/>
  <c r="BE538" i="16"/>
  <c r="BF538" i="16"/>
  <c r="BG538" i="16"/>
  <c r="BH538" i="16"/>
  <c r="BB539" i="16"/>
  <c r="BC539" i="16"/>
  <c r="BD539" i="16"/>
  <c r="BE539" i="16"/>
  <c r="BF539" i="16"/>
  <c r="BG539" i="16"/>
  <c r="BH539" i="16"/>
  <c r="BB540" i="16"/>
  <c r="BC540" i="16"/>
  <c r="BD540" i="16"/>
  <c r="BE540" i="16"/>
  <c r="BF540" i="16"/>
  <c r="BG540" i="16"/>
  <c r="BH540" i="16"/>
  <c r="BB541" i="16"/>
  <c r="BC541" i="16"/>
  <c r="BD541" i="16"/>
  <c r="BE541" i="16"/>
  <c r="BF541" i="16"/>
  <c r="BG541" i="16"/>
  <c r="BH541" i="16"/>
  <c r="BB542" i="16"/>
  <c r="BC542" i="16"/>
  <c r="BD542" i="16"/>
  <c r="BE542" i="16"/>
  <c r="BF542" i="16"/>
  <c r="BG542" i="16"/>
  <c r="BH542" i="16"/>
  <c r="BB543" i="16"/>
  <c r="BC543" i="16"/>
  <c r="BD543" i="16"/>
  <c r="BE543" i="16"/>
  <c r="BF543" i="16"/>
  <c r="BG543" i="16"/>
  <c r="BH543" i="16"/>
  <c r="BB544" i="16"/>
  <c r="BC544" i="16"/>
  <c r="BD544" i="16"/>
  <c r="BE544" i="16"/>
  <c r="BF544" i="16"/>
  <c r="BG544" i="16"/>
  <c r="BH544" i="16"/>
  <c r="BB545" i="16"/>
  <c r="BC545" i="16"/>
  <c r="BD545" i="16"/>
  <c r="BE545" i="16"/>
  <c r="BF545" i="16"/>
  <c r="BG545" i="16"/>
  <c r="BH545" i="16"/>
  <c r="BH5" i="16"/>
  <c r="BG5" i="16"/>
  <c r="BF5" i="16"/>
  <c r="BE5" i="16"/>
  <c r="BD5" i="16"/>
  <c r="BC5" i="16"/>
  <c r="BB5" i="16"/>
  <c r="X1090" i="16"/>
  <c r="X1091" i="16"/>
  <c r="X1092" i="16"/>
  <c r="X1093" i="16"/>
  <c r="X1094" i="16"/>
  <c r="X1095" i="16"/>
  <c r="X1096" i="16"/>
  <c r="X1097" i="16"/>
  <c r="X1098" i="16"/>
  <c r="X1099" i="16"/>
  <c r="X1100" i="16"/>
  <c r="X1101" i="16"/>
  <c r="X1102" i="16"/>
  <c r="X1103" i="16"/>
  <c r="X1104" i="16"/>
  <c r="X1105" i="16"/>
  <c r="X1106" i="16"/>
  <c r="X1107" i="16"/>
  <c r="X1108" i="16"/>
  <c r="X1109" i="16"/>
  <c r="X1110" i="16"/>
  <c r="X1111" i="16"/>
  <c r="X1112" i="16"/>
  <c r="X1113" i="16"/>
  <c r="X1114" i="16"/>
  <c r="X1115" i="16"/>
  <c r="X1116" i="16"/>
  <c r="X1117" i="16"/>
  <c r="X1118" i="16"/>
  <c r="X1119" i="16"/>
  <c r="X1120" i="16"/>
  <c r="X1121" i="16"/>
  <c r="X1122" i="16"/>
  <c r="X1123" i="16"/>
  <c r="X1124" i="16"/>
  <c r="X1125" i="16"/>
  <c r="X1126" i="16"/>
  <c r="X1127" i="16"/>
  <c r="X1128" i="16"/>
  <c r="X1129" i="16"/>
  <c r="X1130" i="16"/>
  <c r="X1131" i="16"/>
  <c r="X1132" i="16"/>
  <c r="X1133" i="16"/>
  <c r="X1134" i="16"/>
  <c r="X1135" i="16"/>
  <c r="X1136" i="16"/>
  <c r="X1137" i="16"/>
  <c r="X1138" i="16"/>
  <c r="X1139" i="16"/>
  <c r="X1140" i="16"/>
  <c r="X1141" i="16"/>
  <c r="X1142" i="16"/>
  <c r="X1143" i="16"/>
  <c r="X1144" i="16"/>
  <c r="X1145" i="16"/>
  <c r="X1146" i="16"/>
  <c r="X1147" i="16"/>
  <c r="X1148" i="16"/>
  <c r="X1149" i="16"/>
  <c r="X1150" i="16"/>
  <c r="X1151" i="16"/>
  <c r="X1152" i="16"/>
  <c r="X1153" i="16"/>
  <c r="X1154" i="16"/>
  <c r="X1155" i="16"/>
  <c r="X1156" i="16"/>
  <c r="X1157" i="16"/>
  <c r="X1158" i="16"/>
  <c r="X1159" i="16"/>
  <c r="X1160" i="16"/>
  <c r="X1161" i="16"/>
  <c r="X1162" i="16"/>
  <c r="X1163" i="16"/>
  <c r="X1164" i="16"/>
  <c r="X1165" i="16"/>
  <c r="X1166" i="16"/>
  <c r="X1167" i="16"/>
  <c r="X1168" i="16"/>
  <c r="X1169" i="16"/>
  <c r="X1170" i="16"/>
  <c r="X1171" i="16"/>
  <c r="X1172" i="16"/>
  <c r="X1173" i="16"/>
  <c r="X1174" i="16"/>
  <c r="X1175" i="16"/>
  <c r="X1176" i="16"/>
  <c r="X1177" i="16"/>
  <c r="X1178" i="16"/>
  <c r="X1179" i="16"/>
  <c r="X1180" i="16"/>
  <c r="X1181" i="16"/>
  <c r="X1182" i="16"/>
  <c r="X1183" i="16"/>
  <c r="X1184" i="16"/>
  <c r="X1185" i="16"/>
  <c r="X1186" i="16"/>
  <c r="X1187" i="16"/>
  <c r="X1188" i="16"/>
  <c r="X1189" i="16"/>
  <c r="X1190" i="16"/>
  <c r="X1191" i="16"/>
  <c r="X1192" i="16"/>
  <c r="X1193" i="16"/>
  <c r="X1194" i="16"/>
  <c r="X1195" i="16"/>
  <c r="X1196" i="16"/>
  <c r="X1197" i="16"/>
  <c r="X1198" i="16"/>
  <c r="X1199" i="16"/>
  <c r="X1200" i="16"/>
  <c r="X1201" i="16"/>
  <c r="X1202" i="16"/>
  <c r="X1203" i="16"/>
  <c r="X1204" i="16"/>
  <c r="X1205" i="16"/>
  <c r="X1206" i="16"/>
  <c r="X1207" i="16"/>
  <c r="X1208" i="16"/>
  <c r="X1209" i="16"/>
  <c r="X1210" i="16"/>
  <c r="X1211" i="16"/>
  <c r="X1212" i="16"/>
  <c r="X1213" i="16"/>
  <c r="X1214" i="16"/>
  <c r="X1215" i="16"/>
  <c r="X1216" i="16"/>
  <c r="X1217" i="16"/>
  <c r="X1218" i="16"/>
  <c r="X1219" i="16"/>
  <c r="X1220" i="16"/>
  <c r="X1221" i="16"/>
  <c r="X1222" i="16"/>
  <c r="X1223" i="16"/>
  <c r="X1224" i="16"/>
  <c r="X1225" i="16"/>
  <c r="X1226" i="16"/>
  <c r="X1227" i="16"/>
  <c r="X1228" i="16"/>
  <c r="X1229" i="16"/>
  <c r="X1230" i="16"/>
  <c r="X1231" i="16"/>
  <c r="X1232" i="16"/>
  <c r="X1233" i="16"/>
  <c r="X1234" i="16"/>
  <c r="X1235" i="16"/>
  <c r="X1236" i="16"/>
  <c r="X1237" i="16"/>
  <c r="X1238" i="16"/>
  <c r="X1239" i="16"/>
  <c r="X1240" i="16"/>
  <c r="X1241" i="16"/>
  <c r="X1242" i="16"/>
  <c r="X1243" i="16"/>
  <c r="X1244" i="16"/>
  <c r="X1245" i="16"/>
  <c r="X1246" i="16"/>
  <c r="X1247" i="16"/>
  <c r="X1248" i="16"/>
  <c r="X1249" i="16"/>
  <c r="X1250" i="16"/>
  <c r="X1251" i="16"/>
  <c r="X1252" i="16"/>
  <c r="X1253" i="16"/>
  <c r="X1254" i="16"/>
  <c r="X1255" i="16"/>
  <c r="X1256" i="16"/>
  <c r="X1257" i="16"/>
  <c r="X1258" i="16"/>
  <c r="X1259" i="16"/>
  <c r="X1260" i="16"/>
  <c r="X1261" i="16"/>
  <c r="X1262" i="16"/>
  <c r="X1263" i="16"/>
  <c r="X1264" i="16"/>
  <c r="X1265" i="16"/>
  <c r="X1266" i="16"/>
  <c r="X1267" i="16"/>
  <c r="X1268" i="16"/>
  <c r="X1269" i="16"/>
  <c r="X1270" i="16"/>
  <c r="X1271" i="16"/>
  <c r="X1272" i="16"/>
  <c r="X1273" i="16"/>
  <c r="X1274" i="16"/>
  <c r="X1275" i="16"/>
  <c r="X1276" i="16"/>
  <c r="X1277" i="16"/>
  <c r="X1278" i="16"/>
  <c r="X1279" i="16"/>
  <c r="X1280" i="16"/>
  <c r="X1281" i="16"/>
  <c r="X1282" i="16"/>
  <c r="X1283" i="16"/>
  <c r="X1284" i="16"/>
  <c r="X1285" i="16"/>
  <c r="X1286" i="16"/>
  <c r="X1287" i="16"/>
  <c r="X1288" i="16"/>
  <c r="X1289" i="16"/>
  <c r="X1290" i="16"/>
  <c r="X1291" i="16"/>
  <c r="X1292" i="16"/>
  <c r="X1293" i="16"/>
  <c r="X1294" i="16"/>
  <c r="X1295" i="16"/>
  <c r="X1296" i="16"/>
  <c r="X1297" i="16"/>
  <c r="X1298" i="16"/>
  <c r="X1299" i="16"/>
  <c r="X1300" i="16"/>
  <c r="X1301" i="16"/>
  <c r="X1302" i="16"/>
  <c r="X1303" i="16"/>
  <c r="X1304" i="16"/>
  <c r="X1305" i="16"/>
  <c r="X1306" i="16"/>
  <c r="X1307" i="16"/>
  <c r="X1308" i="16"/>
  <c r="X1309" i="16"/>
  <c r="X1310" i="16"/>
  <c r="X1311" i="16"/>
  <c r="X1312" i="16"/>
  <c r="X1313" i="16"/>
  <c r="X1314" i="16"/>
  <c r="X1315" i="16"/>
  <c r="X1316" i="16"/>
  <c r="X1317" i="16"/>
  <c r="X1318" i="16"/>
  <c r="X1319" i="16"/>
  <c r="X1320" i="16"/>
  <c r="X1321" i="16"/>
  <c r="X1322" i="16"/>
  <c r="X1323" i="16"/>
  <c r="X1324" i="16"/>
  <c r="X1325" i="16"/>
  <c r="X1326" i="16"/>
  <c r="X1327" i="16"/>
  <c r="X1328" i="16"/>
  <c r="X1329" i="16"/>
  <c r="X1330" i="16"/>
  <c r="X1331" i="16"/>
  <c r="X1332" i="16"/>
  <c r="X1333" i="16"/>
  <c r="X1334" i="16"/>
  <c r="X1335" i="16"/>
  <c r="X1336" i="16"/>
  <c r="X1337" i="16"/>
  <c r="X1338" i="16"/>
  <c r="X1339" i="16"/>
  <c r="X1340" i="16"/>
  <c r="X1341" i="16"/>
  <c r="X1342" i="16"/>
  <c r="X1343" i="16"/>
  <c r="X1344" i="16"/>
  <c r="X1345" i="16"/>
  <c r="X1346" i="16"/>
  <c r="X1347" i="16"/>
  <c r="X1348" i="16"/>
  <c r="X1349" i="16"/>
  <c r="X1350" i="16"/>
  <c r="X1351" i="16"/>
  <c r="X1352" i="16"/>
  <c r="X1353" i="16"/>
  <c r="X1354" i="16"/>
  <c r="X1355" i="16"/>
  <c r="X1356" i="16"/>
  <c r="X1357" i="16"/>
  <c r="X1358" i="16"/>
  <c r="X1359" i="16"/>
  <c r="X1360" i="16"/>
  <c r="X1361" i="16"/>
  <c r="X1362" i="16"/>
  <c r="X1363" i="16"/>
  <c r="X1364" i="16"/>
  <c r="X1365" i="16"/>
  <c r="X1366" i="16"/>
  <c r="X1367" i="16"/>
  <c r="X1368" i="16"/>
  <c r="X1369" i="16"/>
  <c r="X1370" i="16"/>
  <c r="X1371" i="16"/>
  <c r="X1372" i="16"/>
  <c r="X1373" i="16"/>
  <c r="X1374" i="16"/>
  <c r="X1375" i="16"/>
  <c r="X1376" i="16"/>
  <c r="X1377" i="16"/>
  <c r="X1378" i="16"/>
  <c r="X1379" i="16"/>
  <c r="X1380" i="16"/>
  <c r="X1381" i="16"/>
  <c r="X1382" i="16"/>
  <c r="X1383" i="16"/>
  <c r="X1384" i="16"/>
  <c r="X1385" i="16"/>
  <c r="X1386" i="16"/>
  <c r="X1387" i="16"/>
  <c r="X1388" i="16"/>
  <c r="X1389" i="16"/>
  <c r="X1390" i="16"/>
  <c r="X1391" i="16"/>
  <c r="X1392" i="16"/>
  <c r="X1393" i="16"/>
  <c r="X1394" i="16"/>
  <c r="X1395" i="16"/>
  <c r="X1396" i="16"/>
  <c r="X1397" i="16"/>
  <c r="X1398" i="16"/>
  <c r="X1399" i="16"/>
  <c r="X1400" i="16"/>
  <c r="X1401" i="16"/>
  <c r="X1402" i="16"/>
  <c r="X1403" i="16"/>
  <c r="X1404" i="16"/>
  <c r="X1405" i="16"/>
  <c r="X1406" i="16"/>
  <c r="X1407" i="16"/>
  <c r="X1408" i="16"/>
  <c r="X1409" i="16"/>
  <c r="X1410" i="16"/>
  <c r="X1411" i="16"/>
  <c r="X1412" i="16"/>
  <c r="X1413" i="16"/>
  <c r="X1414" i="16"/>
  <c r="X1415" i="16"/>
  <c r="X1416" i="16"/>
  <c r="X1417" i="16"/>
  <c r="X1418" i="16"/>
  <c r="X1419" i="16"/>
  <c r="X1420" i="16"/>
  <c r="X1421" i="16"/>
  <c r="X1422" i="16"/>
  <c r="X1423" i="16"/>
  <c r="X1424" i="16"/>
  <c r="X1425" i="16"/>
  <c r="X1426" i="16"/>
  <c r="X1427" i="16"/>
  <c r="X1428" i="16"/>
  <c r="X1429" i="16"/>
  <c r="X1430" i="16"/>
  <c r="X1431" i="16"/>
  <c r="X1432" i="16"/>
  <c r="X1433" i="16"/>
  <c r="X1434" i="16"/>
  <c r="X1435" i="16"/>
  <c r="X1436" i="16"/>
  <c r="X1437" i="16"/>
  <c r="X1438" i="16"/>
  <c r="X1439" i="16"/>
  <c r="X1440" i="16"/>
  <c r="X1441" i="16"/>
  <c r="X1442" i="16"/>
  <c r="X1443" i="16"/>
  <c r="X1444" i="16"/>
  <c r="X1445" i="16"/>
  <c r="X1446" i="16"/>
  <c r="X1447" i="16"/>
  <c r="X1448" i="16"/>
  <c r="X1449" i="16"/>
  <c r="X1450" i="16"/>
  <c r="X1451" i="16"/>
  <c r="X1452" i="16"/>
  <c r="X1453" i="16"/>
  <c r="X1454" i="16"/>
  <c r="X1455" i="16"/>
  <c r="X1456" i="16"/>
  <c r="X1457" i="16"/>
  <c r="X1458" i="16"/>
  <c r="X1459" i="16"/>
  <c r="X1460" i="16"/>
  <c r="X1461" i="16"/>
  <c r="X1462" i="16"/>
  <c r="X1463" i="16"/>
  <c r="X1464" i="16"/>
  <c r="X1465" i="16"/>
  <c r="X1466" i="16"/>
  <c r="X1467" i="16"/>
  <c r="X1468" i="16"/>
  <c r="X1469" i="16"/>
  <c r="X1470" i="16"/>
  <c r="X1471" i="16"/>
  <c r="X1472" i="16"/>
  <c r="X1473" i="16"/>
  <c r="X1474" i="16"/>
  <c r="X1475" i="16"/>
  <c r="X1476" i="16"/>
  <c r="X1477" i="16"/>
  <c r="X1478" i="16"/>
  <c r="X1479" i="16"/>
  <c r="X1480" i="16"/>
  <c r="X1481" i="16"/>
  <c r="X1482" i="16"/>
  <c r="X1483" i="16"/>
  <c r="X1484" i="16"/>
  <c r="X1485" i="16"/>
  <c r="X1486" i="16"/>
  <c r="X1487" i="16"/>
  <c r="X1488" i="16"/>
  <c r="X1489" i="16"/>
  <c r="X1490" i="16"/>
  <c r="X1491" i="16"/>
  <c r="X1492" i="16"/>
  <c r="X1493" i="16"/>
  <c r="X1494" i="16"/>
  <c r="X1495" i="16"/>
  <c r="X1496" i="16"/>
  <c r="X1497" i="16"/>
  <c r="X1498" i="16"/>
  <c r="X1499" i="16"/>
  <c r="X1500" i="16"/>
  <c r="X1501" i="16"/>
  <c r="X1502" i="16"/>
  <c r="X1503" i="16"/>
  <c r="X1504" i="16"/>
  <c r="X1505" i="16"/>
  <c r="X1506" i="16"/>
  <c r="X1507" i="16"/>
  <c r="X1508" i="16"/>
  <c r="X1509" i="16"/>
  <c r="X1510" i="16"/>
  <c r="X1511" i="16"/>
  <c r="X1512" i="16"/>
  <c r="X1513" i="16"/>
  <c r="X1514" i="16"/>
  <c r="X1515" i="16"/>
  <c r="X1516" i="16"/>
  <c r="X1517" i="16"/>
  <c r="X1518" i="16"/>
  <c r="X1519" i="16"/>
  <c r="X1520" i="16"/>
  <c r="X1521" i="16"/>
  <c r="X1522" i="16"/>
  <c r="X1523" i="16"/>
  <c r="X1524" i="16"/>
  <c r="X1525" i="16"/>
  <c r="X1526" i="16"/>
  <c r="X1527" i="16"/>
  <c r="X1528" i="16"/>
  <c r="X1529" i="16"/>
  <c r="X1530" i="16"/>
  <c r="X1531" i="16"/>
  <c r="X1532" i="16"/>
  <c r="X1533" i="16"/>
  <c r="X1534" i="16"/>
  <c r="X1535" i="16"/>
  <c r="X1536" i="16"/>
  <c r="X1537" i="16"/>
  <c r="X1538" i="16"/>
  <c r="X1539" i="16"/>
  <c r="X1540" i="16"/>
  <c r="X1541" i="16"/>
  <c r="X1542" i="16"/>
  <c r="X1543" i="16"/>
  <c r="X1544" i="16"/>
  <c r="X1545" i="16"/>
  <c r="X1546" i="16"/>
  <c r="X1547" i="16"/>
  <c r="X1548" i="16"/>
  <c r="X1549" i="16"/>
  <c r="X1550" i="16"/>
  <c r="X1551" i="16"/>
  <c r="X1552" i="16"/>
  <c r="X1553" i="16"/>
  <c r="X1554" i="16"/>
  <c r="X1555" i="16"/>
  <c r="X1556" i="16"/>
  <c r="X1557" i="16"/>
  <c r="X1558" i="16"/>
  <c r="X1559" i="16"/>
  <c r="X1560" i="16"/>
  <c r="X1561" i="16"/>
  <c r="X1562" i="16"/>
  <c r="X1563" i="16"/>
  <c r="X1564" i="16"/>
  <c r="X1565" i="16"/>
  <c r="X1566" i="16"/>
  <c r="X1567" i="16"/>
  <c r="X1568" i="16"/>
  <c r="X1569" i="16"/>
  <c r="X1570" i="16"/>
  <c r="X1571" i="16"/>
  <c r="X1572" i="16"/>
  <c r="X1573" i="16"/>
  <c r="X1574" i="16"/>
  <c r="X1575" i="16"/>
  <c r="X1576" i="16"/>
  <c r="X1577" i="16"/>
  <c r="X1578" i="16"/>
  <c r="X1579" i="16"/>
  <c r="X1580" i="16"/>
  <c r="X1581" i="16"/>
  <c r="X1582" i="16"/>
  <c r="X1583" i="16"/>
  <c r="X1584" i="16"/>
  <c r="X1585" i="16"/>
  <c r="X1586" i="16"/>
  <c r="X1587" i="16"/>
  <c r="X1588" i="16"/>
  <c r="X1589" i="16"/>
  <c r="X1590" i="16"/>
  <c r="X1591" i="16"/>
  <c r="X1592" i="16"/>
  <c r="X1593" i="16"/>
  <c r="X1594" i="16"/>
  <c r="X1595" i="16"/>
  <c r="X1596" i="16"/>
  <c r="X1597" i="16"/>
  <c r="X1598" i="16"/>
  <c r="X1599" i="16"/>
  <c r="X1600" i="16"/>
  <c r="X1601" i="16"/>
  <c r="X1602" i="16"/>
  <c r="X1603" i="16"/>
  <c r="X1604" i="16"/>
  <c r="X1605" i="16"/>
  <c r="X1606" i="16"/>
  <c r="X1607" i="16"/>
  <c r="X1608" i="16"/>
  <c r="X1609" i="16"/>
  <c r="X1610" i="16"/>
  <c r="X1611" i="16"/>
  <c r="X1612" i="16"/>
  <c r="X1613" i="16"/>
  <c r="X1614" i="16"/>
  <c r="X1615" i="16"/>
  <c r="X1616" i="16"/>
  <c r="X1617" i="16"/>
  <c r="X1618" i="16"/>
  <c r="X1619" i="16"/>
  <c r="X1620" i="16"/>
  <c r="X1621" i="16"/>
  <c r="X1622" i="16"/>
  <c r="X1623" i="16"/>
  <c r="X1624" i="16"/>
  <c r="X1625" i="16"/>
  <c r="X1626" i="16"/>
  <c r="X1627" i="16"/>
  <c r="X1628" i="16"/>
  <c r="X1629" i="16"/>
  <c r="V1090" i="16"/>
  <c r="V1091" i="16"/>
  <c r="V1092" i="16"/>
  <c r="V1093" i="16"/>
  <c r="V1094" i="16"/>
  <c r="V1095" i="16"/>
  <c r="V1096" i="16"/>
  <c r="V1097" i="16"/>
  <c r="V1098" i="16"/>
  <c r="V1099" i="16"/>
  <c r="V1100" i="16"/>
  <c r="V1101" i="16"/>
  <c r="V1102" i="16"/>
  <c r="V1103" i="16"/>
  <c r="V1104" i="16"/>
  <c r="V1105" i="16"/>
  <c r="V1106" i="16"/>
  <c r="V1107" i="16"/>
  <c r="V1108" i="16"/>
  <c r="V1109" i="16"/>
  <c r="V1110" i="16"/>
  <c r="V1111" i="16"/>
  <c r="V1112" i="16"/>
  <c r="V1113" i="16"/>
  <c r="V1114" i="16"/>
  <c r="V1115" i="16"/>
  <c r="V1116" i="16"/>
  <c r="V1117" i="16"/>
  <c r="V1118" i="16"/>
  <c r="V1119" i="16"/>
  <c r="V1120" i="16"/>
  <c r="V1121" i="16"/>
  <c r="V1122" i="16"/>
  <c r="V1123" i="16"/>
  <c r="V1124" i="16"/>
  <c r="V1125" i="16"/>
  <c r="V1126" i="16"/>
  <c r="V1127" i="16"/>
  <c r="V1128" i="16"/>
  <c r="V1129" i="16"/>
  <c r="V1130" i="16"/>
  <c r="V1131" i="16"/>
  <c r="V1132" i="16"/>
  <c r="V1133" i="16"/>
  <c r="V1134" i="16"/>
  <c r="V1135" i="16"/>
  <c r="V1136" i="16"/>
  <c r="V1137" i="16"/>
  <c r="V1138" i="16"/>
  <c r="V1139" i="16"/>
  <c r="V1140" i="16"/>
  <c r="V1141" i="16"/>
  <c r="V1142" i="16"/>
  <c r="V1143" i="16"/>
  <c r="V1144" i="16"/>
  <c r="V1145" i="16"/>
  <c r="V1146" i="16"/>
  <c r="V1147" i="16"/>
  <c r="V1148" i="16"/>
  <c r="V1149" i="16"/>
  <c r="V1150" i="16"/>
  <c r="V1151" i="16"/>
  <c r="V1152" i="16"/>
  <c r="V1153" i="16"/>
  <c r="V1154" i="16"/>
  <c r="V1155" i="16"/>
  <c r="V1156" i="16"/>
  <c r="V1157" i="16"/>
  <c r="V1158" i="16"/>
  <c r="V1159" i="16"/>
  <c r="V1160" i="16"/>
  <c r="V1161" i="16"/>
  <c r="V1162" i="16"/>
  <c r="V1163" i="16"/>
  <c r="V1164" i="16"/>
  <c r="V1165" i="16"/>
  <c r="V1166" i="16"/>
  <c r="V1167" i="16"/>
  <c r="V1168" i="16"/>
  <c r="V1169" i="16"/>
  <c r="V1170" i="16"/>
  <c r="V1171" i="16"/>
  <c r="V1172" i="16"/>
  <c r="V1173" i="16"/>
  <c r="V1174" i="16"/>
  <c r="V1175" i="16"/>
  <c r="V1176" i="16"/>
  <c r="V1177" i="16"/>
  <c r="V1178" i="16"/>
  <c r="V1179" i="16"/>
  <c r="V1180" i="16"/>
  <c r="V1181" i="16"/>
  <c r="V1182" i="16"/>
  <c r="V1183" i="16"/>
  <c r="V1184" i="16"/>
  <c r="V1185" i="16"/>
  <c r="V1186" i="16"/>
  <c r="V1187" i="16"/>
  <c r="V1188" i="16"/>
  <c r="V1189" i="16"/>
  <c r="V1190" i="16"/>
  <c r="V1191" i="16"/>
  <c r="V1192" i="16"/>
  <c r="V1193" i="16"/>
  <c r="V1194" i="16"/>
  <c r="V1195" i="16"/>
  <c r="V1196" i="16"/>
  <c r="V1197" i="16"/>
  <c r="V1198" i="16"/>
  <c r="V1199" i="16"/>
  <c r="V1200" i="16"/>
  <c r="V1201" i="16"/>
  <c r="V1202" i="16"/>
  <c r="V1203" i="16"/>
  <c r="V1204" i="16"/>
  <c r="V1205" i="16"/>
  <c r="V1206" i="16"/>
  <c r="V1207" i="16"/>
  <c r="V1208" i="16"/>
  <c r="V1209" i="16"/>
  <c r="V1210" i="16"/>
  <c r="V1211" i="16"/>
  <c r="V1212" i="16"/>
  <c r="V1213" i="16"/>
  <c r="V1214" i="16"/>
  <c r="V1215" i="16"/>
  <c r="V1216" i="16"/>
  <c r="V1217" i="16"/>
  <c r="V1218" i="16"/>
  <c r="V1219" i="16"/>
  <c r="V1220" i="16"/>
  <c r="V1221" i="16"/>
  <c r="V1222" i="16"/>
  <c r="V1223" i="16"/>
  <c r="V1224" i="16"/>
  <c r="V1225" i="16"/>
  <c r="V1226" i="16"/>
  <c r="V1227" i="16"/>
  <c r="V1228" i="16"/>
  <c r="V1229" i="16"/>
  <c r="V1230" i="16"/>
  <c r="V1231" i="16"/>
  <c r="V1232" i="16"/>
  <c r="V1233" i="16"/>
  <c r="V1234" i="16"/>
  <c r="V1235" i="16"/>
  <c r="V1236" i="16"/>
  <c r="V1237" i="16"/>
  <c r="V1238" i="16"/>
  <c r="V1239" i="16"/>
  <c r="V1240" i="16"/>
  <c r="V1241" i="16"/>
  <c r="V1242" i="16"/>
  <c r="V1243" i="16"/>
  <c r="V1244" i="16"/>
  <c r="V1245" i="16"/>
  <c r="V1246" i="16"/>
  <c r="V1247" i="16"/>
  <c r="V1248" i="16"/>
  <c r="V1249" i="16"/>
  <c r="V1250" i="16"/>
  <c r="V1251" i="16"/>
  <c r="V1252" i="16"/>
  <c r="V1253" i="16"/>
  <c r="V1254" i="16"/>
  <c r="V1255" i="16"/>
  <c r="V1256" i="16"/>
  <c r="V1257" i="16"/>
  <c r="V1258" i="16"/>
  <c r="V1259" i="16"/>
  <c r="V1260" i="16"/>
  <c r="V1261" i="16"/>
  <c r="V1262" i="16"/>
  <c r="V1263" i="16"/>
  <c r="V1264" i="16"/>
  <c r="V1265" i="16"/>
  <c r="V1266" i="16"/>
  <c r="V1267" i="16"/>
  <c r="V1268" i="16"/>
  <c r="V1269" i="16"/>
  <c r="V1270" i="16"/>
  <c r="V1271" i="16"/>
  <c r="V1272" i="16"/>
  <c r="V1273" i="16"/>
  <c r="V1274" i="16"/>
  <c r="V1275" i="16"/>
  <c r="V1276" i="16"/>
  <c r="V1277" i="16"/>
  <c r="V1278" i="16"/>
  <c r="V1279" i="16"/>
  <c r="V1280" i="16"/>
  <c r="V1281" i="16"/>
  <c r="V1282" i="16"/>
  <c r="V1283" i="16"/>
  <c r="V1284" i="16"/>
  <c r="V1285" i="16"/>
  <c r="V1286" i="16"/>
  <c r="V1287" i="16"/>
  <c r="V1288" i="16"/>
  <c r="V1289" i="16"/>
  <c r="V1290" i="16"/>
  <c r="V1291" i="16"/>
  <c r="V1292" i="16"/>
  <c r="V1293" i="16"/>
  <c r="V1294" i="16"/>
  <c r="V1295" i="16"/>
  <c r="V1296" i="16"/>
  <c r="V1297" i="16"/>
  <c r="V1298" i="16"/>
  <c r="V1299" i="16"/>
  <c r="V1300" i="16"/>
  <c r="V1301" i="16"/>
  <c r="V1302" i="16"/>
  <c r="V1303" i="16"/>
  <c r="V1304" i="16"/>
  <c r="V1305" i="16"/>
  <c r="V1306" i="16"/>
  <c r="V1307" i="16"/>
  <c r="V1308" i="16"/>
  <c r="V1309" i="16"/>
  <c r="V1310" i="16"/>
  <c r="V1311" i="16"/>
  <c r="V1312" i="16"/>
  <c r="V1313" i="16"/>
  <c r="V1314" i="16"/>
  <c r="V1315" i="16"/>
  <c r="V1316" i="16"/>
  <c r="V1317" i="16"/>
  <c r="V1318" i="16"/>
  <c r="V1319" i="16"/>
  <c r="V1320" i="16"/>
  <c r="V1321" i="16"/>
  <c r="V1322" i="16"/>
  <c r="V1323" i="16"/>
  <c r="V1324" i="16"/>
  <c r="V1325" i="16"/>
  <c r="V1326" i="16"/>
  <c r="V1327" i="16"/>
  <c r="V1328" i="16"/>
  <c r="V1329" i="16"/>
  <c r="V1330" i="16"/>
  <c r="V1331" i="16"/>
  <c r="V1332" i="16"/>
  <c r="V1333" i="16"/>
  <c r="V1334" i="16"/>
  <c r="V1335" i="16"/>
  <c r="V1336" i="16"/>
  <c r="V1337" i="16"/>
  <c r="V1338" i="16"/>
  <c r="V1339" i="16"/>
  <c r="V1340" i="16"/>
  <c r="V1341" i="16"/>
  <c r="V1342" i="16"/>
  <c r="V1343" i="16"/>
  <c r="V1344" i="16"/>
  <c r="V1345" i="16"/>
  <c r="V1346" i="16"/>
  <c r="V1347" i="16"/>
  <c r="V1348" i="16"/>
  <c r="V1349" i="16"/>
  <c r="V1350" i="16"/>
  <c r="V1351" i="16"/>
  <c r="V1352" i="16"/>
  <c r="V1353" i="16"/>
  <c r="V1354" i="16"/>
  <c r="V1355" i="16"/>
  <c r="V1356" i="16"/>
  <c r="V1357" i="16"/>
  <c r="V1358" i="16"/>
  <c r="V1359" i="16"/>
  <c r="V1360" i="16"/>
  <c r="V1361" i="16"/>
  <c r="V1362" i="16"/>
  <c r="V1363" i="16"/>
  <c r="V1364" i="16"/>
  <c r="V1365" i="16"/>
  <c r="V1366" i="16"/>
  <c r="V1367" i="16"/>
  <c r="V1368" i="16"/>
  <c r="V1369" i="16"/>
  <c r="V1370" i="16"/>
  <c r="V1371" i="16"/>
  <c r="V1372" i="16"/>
  <c r="V1373" i="16"/>
  <c r="V1374" i="16"/>
  <c r="V1375" i="16"/>
  <c r="V1376" i="16"/>
  <c r="V1377" i="16"/>
  <c r="V1378" i="16"/>
  <c r="V1379" i="16"/>
  <c r="V1380" i="16"/>
  <c r="V1381" i="16"/>
  <c r="V1382" i="16"/>
  <c r="V1383" i="16"/>
  <c r="V1384" i="16"/>
  <c r="V1385" i="16"/>
  <c r="V1386" i="16"/>
  <c r="V1387" i="16"/>
  <c r="V1388" i="16"/>
  <c r="V1389" i="16"/>
  <c r="V1390" i="16"/>
  <c r="V1391" i="16"/>
  <c r="V1392" i="16"/>
  <c r="V1393" i="16"/>
  <c r="V1394" i="16"/>
  <c r="V1395" i="16"/>
  <c r="V1396" i="16"/>
  <c r="V1397" i="16"/>
  <c r="V1398" i="16"/>
  <c r="V1399" i="16"/>
  <c r="V1400" i="16"/>
  <c r="V1401" i="16"/>
  <c r="V1402" i="16"/>
  <c r="V1403" i="16"/>
  <c r="V1404" i="16"/>
  <c r="V1405" i="16"/>
  <c r="V1406" i="16"/>
  <c r="V1407" i="16"/>
  <c r="V1408" i="16"/>
  <c r="V1409" i="16"/>
  <c r="V1410" i="16"/>
  <c r="V1411" i="16"/>
  <c r="V1412" i="16"/>
  <c r="V1413" i="16"/>
  <c r="V1414" i="16"/>
  <c r="V1415" i="16"/>
  <c r="V1416" i="16"/>
  <c r="V1417" i="16"/>
  <c r="V1418" i="16"/>
  <c r="V1419" i="16"/>
  <c r="V1420" i="16"/>
  <c r="V1421" i="16"/>
  <c r="V1422" i="16"/>
  <c r="V1423" i="16"/>
  <c r="V1424" i="16"/>
  <c r="V1425" i="16"/>
  <c r="V1426" i="16"/>
  <c r="V1427" i="16"/>
  <c r="V1428" i="16"/>
  <c r="V1429" i="16"/>
  <c r="V1430" i="16"/>
  <c r="V1431" i="16"/>
  <c r="V1432" i="16"/>
  <c r="V1433" i="16"/>
  <c r="V1434" i="16"/>
  <c r="V1435" i="16"/>
  <c r="V1436" i="16"/>
  <c r="V1437" i="16"/>
  <c r="V1438" i="16"/>
  <c r="V1439" i="16"/>
  <c r="V1440" i="16"/>
  <c r="V1441" i="16"/>
  <c r="V1442" i="16"/>
  <c r="V1443" i="16"/>
  <c r="V1444" i="16"/>
  <c r="V1445" i="16"/>
  <c r="V1446" i="16"/>
  <c r="V1447" i="16"/>
  <c r="V1448" i="16"/>
  <c r="V1449" i="16"/>
  <c r="V1450" i="16"/>
  <c r="V1451" i="16"/>
  <c r="V1452" i="16"/>
  <c r="V1453" i="16"/>
  <c r="V1454" i="16"/>
  <c r="V1455" i="16"/>
  <c r="V1456" i="16"/>
  <c r="V1457" i="16"/>
  <c r="V1458" i="16"/>
  <c r="V1459" i="16"/>
  <c r="V1460" i="16"/>
  <c r="V1461" i="16"/>
  <c r="V1462" i="16"/>
  <c r="V1463" i="16"/>
  <c r="V1464" i="16"/>
  <c r="V1465" i="16"/>
  <c r="V1466" i="16"/>
  <c r="V1467" i="16"/>
  <c r="V1468" i="16"/>
  <c r="V1469" i="16"/>
  <c r="V1470" i="16"/>
  <c r="V1471" i="16"/>
  <c r="V1472" i="16"/>
  <c r="V1473" i="16"/>
  <c r="V1474" i="16"/>
  <c r="V1475" i="16"/>
  <c r="V1476" i="16"/>
  <c r="V1477" i="16"/>
  <c r="V1478" i="16"/>
  <c r="V1479" i="16"/>
  <c r="V1480" i="16"/>
  <c r="V1481" i="16"/>
  <c r="V1482" i="16"/>
  <c r="V1483" i="16"/>
  <c r="V1484" i="16"/>
  <c r="V1485" i="16"/>
  <c r="V1486" i="16"/>
  <c r="V1487" i="16"/>
  <c r="V1488" i="16"/>
  <c r="V1489" i="16"/>
  <c r="V1490" i="16"/>
  <c r="V1491" i="16"/>
  <c r="V1492" i="16"/>
  <c r="V1493" i="16"/>
  <c r="V1494" i="16"/>
  <c r="V1495" i="16"/>
  <c r="V1496" i="16"/>
  <c r="V1497" i="16"/>
  <c r="V1498" i="16"/>
  <c r="V1499" i="16"/>
  <c r="V1500" i="16"/>
  <c r="V1501" i="16"/>
  <c r="V1502" i="16"/>
  <c r="V1503" i="16"/>
  <c r="V1504" i="16"/>
  <c r="V1505" i="16"/>
  <c r="V1506" i="16"/>
  <c r="V1507" i="16"/>
  <c r="V1508" i="16"/>
  <c r="V1509" i="16"/>
  <c r="V1510" i="16"/>
  <c r="V1511" i="16"/>
  <c r="V1512" i="16"/>
  <c r="V1513" i="16"/>
  <c r="V1514" i="16"/>
  <c r="V1515" i="16"/>
  <c r="V1516" i="16"/>
  <c r="V1517" i="16"/>
  <c r="V1518" i="16"/>
  <c r="V1519" i="16"/>
  <c r="V1520" i="16"/>
  <c r="V1521" i="16"/>
  <c r="V1522" i="16"/>
  <c r="V1523" i="16"/>
  <c r="V1524" i="16"/>
  <c r="V1525" i="16"/>
  <c r="V1526" i="16"/>
  <c r="V1527" i="16"/>
  <c r="V1528" i="16"/>
  <c r="V1529" i="16"/>
  <c r="V1530" i="16"/>
  <c r="V1531" i="16"/>
  <c r="V1532" i="16"/>
  <c r="V1533" i="16"/>
  <c r="V1534" i="16"/>
  <c r="V1535" i="16"/>
  <c r="V1536" i="16"/>
  <c r="V1537" i="16"/>
  <c r="V1538" i="16"/>
  <c r="V1539" i="16"/>
  <c r="V1540" i="16"/>
  <c r="V1541" i="16"/>
  <c r="V1542" i="16"/>
  <c r="V1543" i="16"/>
  <c r="V1544" i="16"/>
  <c r="V1545" i="16"/>
  <c r="V1546" i="16"/>
  <c r="V1547" i="16"/>
  <c r="V1548" i="16"/>
  <c r="V1549" i="16"/>
  <c r="V1550" i="16"/>
  <c r="V1551" i="16"/>
  <c r="V1552" i="16"/>
  <c r="V1553" i="16"/>
  <c r="V1554" i="16"/>
  <c r="V1555" i="16"/>
  <c r="V1556" i="16"/>
  <c r="V1557" i="16"/>
  <c r="V1558" i="16"/>
  <c r="V1559" i="16"/>
  <c r="V1560" i="16"/>
  <c r="V1561" i="16"/>
  <c r="V1562" i="16"/>
  <c r="V1563" i="16"/>
  <c r="V1564" i="16"/>
  <c r="V1565" i="16"/>
  <c r="V1566" i="16"/>
  <c r="V1567" i="16"/>
  <c r="V1568" i="16"/>
  <c r="V1569" i="16"/>
  <c r="V1570" i="16"/>
  <c r="V1571" i="16"/>
  <c r="V1572" i="16"/>
  <c r="V1573" i="16"/>
  <c r="V1574" i="16"/>
  <c r="V1575" i="16"/>
  <c r="V1576" i="16"/>
  <c r="V1577" i="16"/>
  <c r="V1578" i="16"/>
  <c r="V1579" i="16"/>
  <c r="V1580" i="16"/>
  <c r="V1581" i="16"/>
  <c r="V1582" i="16"/>
  <c r="V1583" i="16"/>
  <c r="V1584" i="16"/>
  <c r="V1585" i="16"/>
  <c r="V1586" i="16"/>
  <c r="V1587" i="16"/>
  <c r="V1588" i="16"/>
  <c r="V1589" i="16"/>
  <c r="V1590" i="16"/>
  <c r="V1591" i="16"/>
  <c r="V1592" i="16"/>
  <c r="V1593" i="16"/>
  <c r="V1594" i="16"/>
  <c r="V1595" i="16"/>
  <c r="V1596" i="16"/>
  <c r="V1597" i="16"/>
  <c r="V1598" i="16"/>
  <c r="V1599" i="16"/>
  <c r="V1600" i="16"/>
  <c r="V1601" i="16"/>
  <c r="V1602" i="16"/>
  <c r="V1603" i="16"/>
  <c r="V1604" i="16"/>
  <c r="V1605" i="16"/>
  <c r="V1606" i="16"/>
  <c r="V1607" i="16"/>
  <c r="V1608" i="16"/>
  <c r="V1609" i="16"/>
  <c r="V1610" i="16"/>
  <c r="V1611" i="16"/>
  <c r="V1612" i="16"/>
  <c r="V1613" i="16"/>
  <c r="V1614" i="16"/>
  <c r="V1615" i="16"/>
  <c r="V1616" i="16"/>
  <c r="V1617" i="16"/>
  <c r="V1618" i="16"/>
  <c r="V1619" i="16"/>
  <c r="V1620" i="16"/>
  <c r="V1621" i="16"/>
  <c r="V1622" i="16"/>
  <c r="V1623" i="16"/>
  <c r="V1624" i="16"/>
  <c r="V1625" i="16"/>
  <c r="V1626" i="16"/>
  <c r="V1627" i="16"/>
  <c r="V1628" i="16"/>
  <c r="V1629" i="16"/>
  <c r="W1090" i="16"/>
  <c r="W1091" i="16"/>
  <c r="W1092" i="16"/>
  <c r="W1093" i="16"/>
  <c r="W1094" i="16"/>
  <c r="W1095" i="16"/>
  <c r="W1096" i="16"/>
  <c r="W1097" i="16"/>
  <c r="W1098" i="16"/>
  <c r="W1099" i="16"/>
  <c r="W1100" i="16"/>
  <c r="W1101" i="16"/>
  <c r="W1102" i="16"/>
  <c r="W1103" i="16"/>
  <c r="W1104" i="16"/>
  <c r="W1105" i="16"/>
  <c r="W1106" i="16"/>
  <c r="W1107" i="16"/>
  <c r="W1108" i="16"/>
  <c r="W1109" i="16"/>
  <c r="W1110" i="16"/>
  <c r="W1111" i="16"/>
  <c r="W1112" i="16"/>
  <c r="W1113" i="16"/>
  <c r="W1114" i="16"/>
  <c r="W1115" i="16"/>
  <c r="W1116" i="16"/>
  <c r="W1117" i="16"/>
  <c r="W1118" i="16"/>
  <c r="W1119" i="16"/>
  <c r="W1120" i="16"/>
  <c r="W1121" i="16"/>
  <c r="W1122" i="16"/>
  <c r="W1123" i="16"/>
  <c r="W1124" i="16"/>
  <c r="W1125" i="16"/>
  <c r="W1126" i="16"/>
  <c r="W1127" i="16"/>
  <c r="W1128" i="16"/>
  <c r="W1129" i="16"/>
  <c r="W1130" i="16"/>
  <c r="W1131" i="16"/>
  <c r="W1132" i="16"/>
  <c r="W1133" i="16"/>
  <c r="W1134" i="16"/>
  <c r="W1135" i="16"/>
  <c r="W1136" i="16"/>
  <c r="W1137" i="16"/>
  <c r="W1138" i="16"/>
  <c r="W1139" i="16"/>
  <c r="W1140" i="16"/>
  <c r="W1141" i="16"/>
  <c r="W1142" i="16"/>
  <c r="W1143" i="16"/>
  <c r="W1144" i="16"/>
  <c r="W1145" i="16"/>
  <c r="W1146" i="16"/>
  <c r="W1147" i="16"/>
  <c r="W1148" i="16"/>
  <c r="W1149" i="16"/>
  <c r="W1150" i="16"/>
  <c r="W1151" i="16"/>
  <c r="W1152" i="16"/>
  <c r="W1153" i="16"/>
  <c r="W1154" i="16"/>
  <c r="W1155" i="16"/>
  <c r="W1156" i="16"/>
  <c r="W1157" i="16"/>
  <c r="W1158" i="16"/>
  <c r="W1159" i="16"/>
  <c r="W1160" i="16"/>
  <c r="W1161" i="16"/>
  <c r="W1162" i="16"/>
  <c r="W1163" i="16"/>
  <c r="W1164" i="16"/>
  <c r="W1165" i="16"/>
  <c r="W1166" i="16"/>
  <c r="W1167" i="16"/>
  <c r="W1168" i="16"/>
  <c r="W1169" i="16"/>
  <c r="W1170" i="16"/>
  <c r="W1171" i="16"/>
  <c r="W1172" i="16"/>
  <c r="W1173" i="16"/>
  <c r="W1174" i="16"/>
  <c r="W1175" i="16"/>
  <c r="W1176" i="16"/>
  <c r="W1177" i="16"/>
  <c r="W1178" i="16"/>
  <c r="W1179" i="16"/>
  <c r="W1180" i="16"/>
  <c r="W1181" i="16"/>
  <c r="W1182" i="16"/>
  <c r="W1183" i="16"/>
  <c r="W1184" i="16"/>
  <c r="W1185" i="16"/>
  <c r="W1186" i="16"/>
  <c r="W1187" i="16"/>
  <c r="W1188" i="16"/>
  <c r="W1189" i="16"/>
  <c r="W1190" i="16"/>
  <c r="W1191" i="16"/>
  <c r="W1192" i="16"/>
  <c r="W1193" i="16"/>
  <c r="W1194" i="16"/>
  <c r="W1195" i="16"/>
  <c r="W1196" i="16"/>
  <c r="W1197" i="16"/>
  <c r="W1198" i="16"/>
  <c r="W1199" i="16"/>
  <c r="W1200" i="16"/>
  <c r="W1201" i="16"/>
  <c r="W1202" i="16"/>
  <c r="W1203" i="16"/>
  <c r="W1204" i="16"/>
  <c r="W1205" i="16"/>
  <c r="W1206" i="16"/>
  <c r="W1207" i="16"/>
  <c r="W1208" i="16"/>
  <c r="W1209" i="16"/>
  <c r="W1210" i="16"/>
  <c r="W1211" i="16"/>
  <c r="W1212" i="16"/>
  <c r="W1213" i="16"/>
  <c r="W1214" i="16"/>
  <c r="W1215" i="16"/>
  <c r="W1216" i="16"/>
  <c r="W1217" i="16"/>
  <c r="W1218" i="16"/>
  <c r="W1219" i="16"/>
  <c r="W1220" i="16"/>
  <c r="W1221" i="16"/>
  <c r="W1222" i="16"/>
  <c r="W1223" i="16"/>
  <c r="W1224" i="16"/>
  <c r="W1225" i="16"/>
  <c r="W1226" i="16"/>
  <c r="W1227" i="16"/>
  <c r="W1228" i="16"/>
  <c r="W1229" i="16"/>
  <c r="W1230" i="16"/>
  <c r="W1231" i="16"/>
  <c r="W1232" i="16"/>
  <c r="W1233" i="16"/>
  <c r="W1234" i="16"/>
  <c r="W1235" i="16"/>
  <c r="W1236" i="16"/>
  <c r="W1237" i="16"/>
  <c r="W1238" i="16"/>
  <c r="W1239" i="16"/>
  <c r="W1240" i="16"/>
  <c r="W1241" i="16"/>
  <c r="W1242" i="16"/>
  <c r="W1243" i="16"/>
  <c r="W1244" i="16"/>
  <c r="W1245" i="16"/>
  <c r="W1246" i="16"/>
  <c r="W1247" i="16"/>
  <c r="W1248" i="16"/>
  <c r="W1249" i="16"/>
  <c r="W1250" i="16"/>
  <c r="W1251" i="16"/>
  <c r="W1252" i="16"/>
  <c r="W1253" i="16"/>
  <c r="W1254" i="16"/>
  <c r="W1255" i="16"/>
  <c r="W1256" i="16"/>
  <c r="W1257" i="16"/>
  <c r="W1258" i="16"/>
  <c r="W1259" i="16"/>
  <c r="W1260" i="16"/>
  <c r="W1261" i="16"/>
  <c r="W1262" i="16"/>
  <c r="W1263" i="16"/>
  <c r="W1264" i="16"/>
  <c r="W1265" i="16"/>
  <c r="W1266" i="16"/>
  <c r="W1267" i="16"/>
  <c r="W1268" i="16"/>
  <c r="W1269" i="16"/>
  <c r="W1270" i="16"/>
  <c r="W1271" i="16"/>
  <c r="W1272" i="16"/>
  <c r="W1273" i="16"/>
  <c r="W1274" i="16"/>
  <c r="W1275" i="16"/>
  <c r="W1276" i="16"/>
  <c r="W1277" i="16"/>
  <c r="W1278" i="16"/>
  <c r="W1279" i="16"/>
  <c r="W1280" i="16"/>
  <c r="W1281" i="16"/>
  <c r="W1282" i="16"/>
  <c r="W1283" i="16"/>
  <c r="W1284" i="16"/>
  <c r="W1285" i="16"/>
  <c r="W1286" i="16"/>
  <c r="W1287" i="16"/>
  <c r="W1288" i="16"/>
  <c r="W1289" i="16"/>
  <c r="W1290" i="16"/>
  <c r="W1291" i="16"/>
  <c r="W1292" i="16"/>
  <c r="W1293" i="16"/>
  <c r="W1294" i="16"/>
  <c r="W1295" i="16"/>
  <c r="W1296" i="16"/>
  <c r="W1297" i="16"/>
  <c r="W1298" i="16"/>
  <c r="W1299" i="16"/>
  <c r="W1300" i="16"/>
  <c r="W1301" i="16"/>
  <c r="W1302" i="16"/>
  <c r="W1303" i="16"/>
  <c r="W1304" i="16"/>
  <c r="W1305" i="16"/>
  <c r="W1306" i="16"/>
  <c r="W1307" i="16"/>
  <c r="W1308" i="16"/>
  <c r="W1309" i="16"/>
  <c r="W1310" i="16"/>
  <c r="W1311" i="16"/>
  <c r="W1312" i="16"/>
  <c r="W1313" i="16"/>
  <c r="W1314" i="16"/>
  <c r="W1315" i="16"/>
  <c r="W1316" i="16"/>
  <c r="W1317" i="16"/>
  <c r="W1318" i="16"/>
  <c r="W1319" i="16"/>
  <c r="W1320" i="16"/>
  <c r="W1321" i="16"/>
  <c r="W1322" i="16"/>
  <c r="W1323" i="16"/>
  <c r="W1324" i="16"/>
  <c r="W1325" i="16"/>
  <c r="W1326" i="16"/>
  <c r="W1327" i="16"/>
  <c r="W1328" i="16"/>
  <c r="W1329" i="16"/>
  <c r="W1330" i="16"/>
  <c r="W1331" i="16"/>
  <c r="W1332" i="16"/>
  <c r="W1333" i="16"/>
  <c r="W1334" i="16"/>
  <c r="W1335" i="16"/>
  <c r="W1336" i="16"/>
  <c r="W1337" i="16"/>
  <c r="W1338" i="16"/>
  <c r="W1339" i="16"/>
  <c r="W1340" i="16"/>
  <c r="W1341" i="16"/>
  <c r="W1342" i="16"/>
  <c r="W1343" i="16"/>
  <c r="W1344" i="16"/>
  <c r="W1345" i="16"/>
  <c r="W1346" i="16"/>
  <c r="W1347" i="16"/>
  <c r="W1348" i="16"/>
  <c r="W1349" i="16"/>
  <c r="W1350" i="16"/>
  <c r="W1351" i="16"/>
  <c r="W1352" i="16"/>
  <c r="W1353" i="16"/>
  <c r="W1354" i="16"/>
  <c r="W1355" i="16"/>
  <c r="W1356" i="16"/>
  <c r="W1357" i="16"/>
  <c r="W1358" i="16"/>
  <c r="W1359" i="16"/>
  <c r="W1360" i="16"/>
  <c r="W1361" i="16"/>
  <c r="W1362" i="16"/>
  <c r="W1363" i="16"/>
  <c r="W1364" i="16"/>
  <c r="W1365" i="16"/>
  <c r="W1366" i="16"/>
  <c r="W1367" i="16"/>
  <c r="W1368" i="16"/>
  <c r="W1369" i="16"/>
  <c r="W1370" i="16"/>
  <c r="W1371" i="16"/>
  <c r="W1372" i="16"/>
  <c r="W1373" i="16"/>
  <c r="W1374" i="16"/>
  <c r="W1375" i="16"/>
  <c r="W1376" i="16"/>
  <c r="W1377" i="16"/>
  <c r="W1378" i="16"/>
  <c r="W1379" i="16"/>
  <c r="W1380" i="16"/>
  <c r="W1381" i="16"/>
  <c r="W1382" i="16"/>
  <c r="W1383" i="16"/>
  <c r="W1384" i="16"/>
  <c r="W1385" i="16"/>
  <c r="W1386" i="16"/>
  <c r="W1387" i="16"/>
  <c r="W1388" i="16"/>
  <c r="W1389" i="16"/>
  <c r="W1390" i="16"/>
  <c r="W1391" i="16"/>
  <c r="W1392" i="16"/>
  <c r="W1393" i="16"/>
  <c r="W1394" i="16"/>
  <c r="W1395" i="16"/>
  <c r="W1396" i="16"/>
  <c r="W1397" i="16"/>
  <c r="W1398" i="16"/>
  <c r="W1399" i="16"/>
  <c r="W1400" i="16"/>
  <c r="W1401" i="16"/>
  <c r="W1402" i="16"/>
  <c r="W1403" i="16"/>
  <c r="W1404" i="16"/>
  <c r="W1405" i="16"/>
  <c r="W1406" i="16"/>
  <c r="W1407" i="16"/>
  <c r="W1408" i="16"/>
  <c r="W1409" i="16"/>
  <c r="W1410" i="16"/>
  <c r="W1411" i="16"/>
  <c r="W1412" i="16"/>
  <c r="W1413" i="16"/>
  <c r="W1414" i="16"/>
  <c r="W1415" i="16"/>
  <c r="W1416" i="16"/>
  <c r="W1417" i="16"/>
  <c r="W1418" i="16"/>
  <c r="W1419" i="16"/>
  <c r="W1420" i="16"/>
  <c r="W1421" i="16"/>
  <c r="W1422" i="16"/>
  <c r="W1423" i="16"/>
  <c r="W1424" i="16"/>
  <c r="W1425" i="16"/>
  <c r="W1426" i="16"/>
  <c r="W1427" i="16"/>
  <c r="W1428" i="16"/>
  <c r="W1429" i="16"/>
  <c r="W1430" i="16"/>
  <c r="W1431" i="16"/>
  <c r="W1432" i="16"/>
  <c r="W1433" i="16"/>
  <c r="W1434" i="16"/>
  <c r="W1435" i="16"/>
  <c r="W1436" i="16"/>
  <c r="W1437" i="16"/>
  <c r="W1438" i="16"/>
  <c r="W1439" i="16"/>
  <c r="W1440" i="16"/>
  <c r="W1441" i="16"/>
  <c r="W1442" i="16"/>
  <c r="W1443" i="16"/>
  <c r="W1444" i="16"/>
  <c r="W1445" i="16"/>
  <c r="W1446" i="16"/>
  <c r="W1447" i="16"/>
  <c r="W1448" i="16"/>
  <c r="W1449" i="16"/>
  <c r="W1450" i="16"/>
  <c r="W1451" i="16"/>
  <c r="W1452" i="16"/>
  <c r="W1453" i="16"/>
  <c r="W1454" i="16"/>
  <c r="W1455" i="16"/>
  <c r="W1456" i="16"/>
  <c r="W1457" i="16"/>
  <c r="W1458" i="16"/>
  <c r="W1459" i="16"/>
  <c r="W1460" i="16"/>
  <c r="W1461" i="16"/>
  <c r="W1462" i="16"/>
  <c r="W1463" i="16"/>
  <c r="W1464" i="16"/>
  <c r="W1465" i="16"/>
  <c r="W1466" i="16"/>
  <c r="W1467" i="16"/>
  <c r="W1468" i="16"/>
  <c r="W1469" i="16"/>
  <c r="W1470" i="16"/>
  <c r="W1471" i="16"/>
  <c r="W1472" i="16"/>
  <c r="W1473" i="16"/>
  <c r="W1474" i="16"/>
  <c r="W1475" i="16"/>
  <c r="W1476" i="16"/>
  <c r="W1477" i="16"/>
  <c r="W1478" i="16"/>
  <c r="W1479" i="16"/>
  <c r="W1480" i="16"/>
  <c r="W1481" i="16"/>
  <c r="W1482" i="16"/>
  <c r="W1483" i="16"/>
  <c r="W1484" i="16"/>
  <c r="W1485" i="16"/>
  <c r="W1486" i="16"/>
  <c r="W1487" i="16"/>
  <c r="W1488" i="16"/>
  <c r="W1489" i="16"/>
  <c r="W1490" i="16"/>
  <c r="W1491" i="16"/>
  <c r="W1492" i="16"/>
  <c r="W1493" i="16"/>
  <c r="W1494" i="16"/>
  <c r="W1495" i="16"/>
  <c r="W1496" i="16"/>
  <c r="W1497" i="16"/>
  <c r="W1498" i="16"/>
  <c r="W1499" i="16"/>
  <c r="W1500" i="16"/>
  <c r="W1501" i="16"/>
  <c r="W1502" i="16"/>
  <c r="W1503" i="16"/>
  <c r="W1504" i="16"/>
  <c r="W1505" i="16"/>
  <c r="W1506" i="16"/>
  <c r="W1507" i="16"/>
  <c r="W1508" i="16"/>
  <c r="W1509" i="16"/>
  <c r="W1510" i="16"/>
  <c r="W1511" i="16"/>
  <c r="W1512" i="16"/>
  <c r="W1513" i="16"/>
  <c r="W1514" i="16"/>
  <c r="W1515" i="16"/>
  <c r="W1516" i="16"/>
  <c r="W1517" i="16"/>
  <c r="W1518" i="16"/>
  <c r="W1519" i="16"/>
  <c r="W1520" i="16"/>
  <c r="W1521" i="16"/>
  <c r="W1522" i="16"/>
  <c r="W1523" i="16"/>
  <c r="W1524" i="16"/>
  <c r="W1525" i="16"/>
  <c r="W1526" i="16"/>
  <c r="W1527" i="16"/>
  <c r="W1528" i="16"/>
  <c r="W1529" i="16"/>
  <c r="W1530" i="16"/>
  <c r="W1531" i="16"/>
  <c r="W1532" i="16"/>
  <c r="W1533" i="16"/>
  <c r="W1534" i="16"/>
  <c r="W1535" i="16"/>
  <c r="W1536" i="16"/>
  <c r="W1537" i="16"/>
  <c r="W1538" i="16"/>
  <c r="W1539" i="16"/>
  <c r="W1540" i="16"/>
  <c r="W1541" i="16"/>
  <c r="W1542" i="16"/>
  <c r="W1543" i="16"/>
  <c r="W1544" i="16"/>
  <c r="W1545" i="16"/>
  <c r="W1546" i="16"/>
  <c r="W1547" i="16"/>
  <c r="W1548" i="16"/>
  <c r="W1549" i="16"/>
  <c r="W1550" i="16"/>
  <c r="W1551" i="16"/>
  <c r="W1552" i="16"/>
  <c r="W1553" i="16"/>
  <c r="W1554" i="16"/>
  <c r="W1555" i="16"/>
  <c r="W1556" i="16"/>
  <c r="W1557" i="16"/>
  <c r="W1558" i="16"/>
  <c r="W1559" i="16"/>
  <c r="W1560" i="16"/>
  <c r="W1561" i="16"/>
  <c r="W1562" i="16"/>
  <c r="W1563" i="16"/>
  <c r="W1564" i="16"/>
  <c r="W1565" i="16"/>
  <c r="W1566" i="16"/>
  <c r="W1567" i="16"/>
  <c r="W1568" i="16"/>
  <c r="W1569" i="16"/>
  <c r="W1570" i="16"/>
  <c r="W1571" i="16"/>
  <c r="W1572" i="16"/>
  <c r="W1573" i="16"/>
  <c r="W1574" i="16"/>
  <c r="W1575" i="16"/>
  <c r="W1576" i="16"/>
  <c r="W1577" i="16"/>
  <c r="W1578" i="16"/>
  <c r="W1579" i="16"/>
  <c r="W1580" i="16"/>
  <c r="W1581" i="16"/>
  <c r="W1582" i="16"/>
  <c r="W1583" i="16"/>
  <c r="W1584" i="16"/>
  <c r="W1585" i="16"/>
  <c r="W1586" i="16"/>
  <c r="W1587" i="16"/>
  <c r="W1588" i="16"/>
  <c r="W1589" i="16"/>
  <c r="W1590" i="16"/>
  <c r="W1591" i="16"/>
  <c r="W1592" i="16"/>
  <c r="W1593" i="16"/>
  <c r="W1594" i="16"/>
  <c r="W1595" i="16"/>
  <c r="W1596" i="16"/>
  <c r="W1597" i="16"/>
  <c r="W1598" i="16"/>
  <c r="W1599" i="16"/>
  <c r="W1600" i="16"/>
  <c r="W1601" i="16"/>
  <c r="W1602" i="16"/>
  <c r="W1603" i="16"/>
  <c r="W1604" i="16"/>
  <c r="W1605" i="16"/>
  <c r="W1606" i="16"/>
  <c r="W1607" i="16"/>
  <c r="W1608" i="16"/>
  <c r="W1609" i="16"/>
  <c r="W1610" i="16"/>
  <c r="W1611" i="16"/>
  <c r="W1612" i="16"/>
  <c r="W1613" i="16"/>
  <c r="W1614" i="16"/>
  <c r="W1615" i="16"/>
  <c r="W1616" i="16"/>
  <c r="W1617" i="16"/>
  <c r="W1618" i="16"/>
  <c r="W1619" i="16"/>
  <c r="W1620" i="16"/>
  <c r="W1621" i="16"/>
  <c r="W1622" i="16"/>
  <c r="W1623" i="16"/>
  <c r="W1624" i="16"/>
  <c r="W1625" i="16"/>
  <c r="W1626" i="16"/>
  <c r="W1627" i="16"/>
  <c r="W1628" i="16"/>
  <c r="W1629" i="16"/>
  <c r="W1089" i="16"/>
  <c r="X1089" i="16"/>
  <c r="V1089" i="16"/>
  <c r="V548" i="16"/>
  <c r="W548" i="16"/>
  <c r="X548" i="16"/>
  <c r="V549" i="16"/>
  <c r="W549" i="16"/>
  <c r="X549" i="16"/>
  <c r="V550" i="16"/>
  <c r="W550" i="16"/>
  <c r="X550" i="16"/>
  <c r="V551" i="16"/>
  <c r="W551" i="16"/>
  <c r="X551" i="16"/>
  <c r="V552" i="16"/>
  <c r="W552" i="16"/>
  <c r="X552" i="16"/>
  <c r="V553" i="16"/>
  <c r="W553" i="16"/>
  <c r="X553" i="16"/>
  <c r="V554" i="16"/>
  <c r="W554" i="16"/>
  <c r="X554" i="16"/>
  <c r="V555" i="16"/>
  <c r="W555" i="16"/>
  <c r="X555" i="16"/>
  <c r="V556" i="16"/>
  <c r="W556" i="16"/>
  <c r="X556" i="16"/>
  <c r="V557" i="16"/>
  <c r="W557" i="16"/>
  <c r="X557" i="16"/>
  <c r="V558" i="16"/>
  <c r="W558" i="16"/>
  <c r="X558" i="16"/>
  <c r="V559" i="16"/>
  <c r="W559" i="16"/>
  <c r="X559" i="16"/>
  <c r="V560" i="16"/>
  <c r="W560" i="16"/>
  <c r="X560" i="16"/>
  <c r="V561" i="16"/>
  <c r="W561" i="16"/>
  <c r="X561" i="16"/>
  <c r="V562" i="16"/>
  <c r="W562" i="16"/>
  <c r="X562" i="16"/>
  <c r="V563" i="16"/>
  <c r="W563" i="16"/>
  <c r="X563" i="16"/>
  <c r="V564" i="16"/>
  <c r="W564" i="16"/>
  <c r="X564" i="16"/>
  <c r="V565" i="16"/>
  <c r="W565" i="16"/>
  <c r="X565" i="16"/>
  <c r="V566" i="16"/>
  <c r="W566" i="16"/>
  <c r="X566" i="16"/>
  <c r="V567" i="16"/>
  <c r="W567" i="16"/>
  <c r="X567" i="16"/>
  <c r="V568" i="16"/>
  <c r="W568" i="16"/>
  <c r="X568" i="16"/>
  <c r="V569" i="16"/>
  <c r="W569" i="16"/>
  <c r="X569" i="16"/>
  <c r="V570" i="16"/>
  <c r="W570" i="16"/>
  <c r="X570" i="16"/>
  <c r="V571" i="16"/>
  <c r="W571" i="16"/>
  <c r="X571" i="16"/>
  <c r="V572" i="16"/>
  <c r="W572" i="16"/>
  <c r="X572" i="16"/>
  <c r="V573" i="16"/>
  <c r="W573" i="16"/>
  <c r="X573" i="16"/>
  <c r="V574" i="16"/>
  <c r="W574" i="16"/>
  <c r="X574" i="16"/>
  <c r="V575" i="16"/>
  <c r="W575" i="16"/>
  <c r="X575" i="16"/>
  <c r="V576" i="16"/>
  <c r="W576" i="16"/>
  <c r="X576" i="16"/>
  <c r="V577" i="16"/>
  <c r="W577" i="16"/>
  <c r="X577" i="16"/>
  <c r="V578" i="16"/>
  <c r="W578" i="16"/>
  <c r="X578" i="16"/>
  <c r="V579" i="16"/>
  <c r="W579" i="16"/>
  <c r="X579" i="16"/>
  <c r="V580" i="16"/>
  <c r="W580" i="16"/>
  <c r="X580" i="16"/>
  <c r="V581" i="16"/>
  <c r="W581" i="16"/>
  <c r="X581" i="16"/>
  <c r="V582" i="16"/>
  <c r="W582" i="16"/>
  <c r="X582" i="16"/>
  <c r="V583" i="16"/>
  <c r="W583" i="16"/>
  <c r="X583" i="16"/>
  <c r="V584" i="16"/>
  <c r="W584" i="16"/>
  <c r="X584" i="16"/>
  <c r="V585" i="16"/>
  <c r="W585" i="16"/>
  <c r="X585" i="16"/>
  <c r="V586" i="16"/>
  <c r="W586" i="16"/>
  <c r="X586" i="16"/>
  <c r="V587" i="16"/>
  <c r="W587" i="16"/>
  <c r="X587" i="16"/>
  <c r="V588" i="16"/>
  <c r="W588" i="16"/>
  <c r="X588" i="16"/>
  <c r="V589" i="16"/>
  <c r="W589" i="16"/>
  <c r="X589" i="16"/>
  <c r="V590" i="16"/>
  <c r="W590" i="16"/>
  <c r="X590" i="16"/>
  <c r="V591" i="16"/>
  <c r="W591" i="16"/>
  <c r="X591" i="16"/>
  <c r="V592" i="16"/>
  <c r="W592" i="16"/>
  <c r="X592" i="16"/>
  <c r="V593" i="16"/>
  <c r="W593" i="16"/>
  <c r="X593" i="16"/>
  <c r="V594" i="16"/>
  <c r="W594" i="16"/>
  <c r="X594" i="16"/>
  <c r="V595" i="16"/>
  <c r="W595" i="16"/>
  <c r="X595" i="16"/>
  <c r="V596" i="16"/>
  <c r="W596" i="16"/>
  <c r="X596" i="16"/>
  <c r="V597" i="16"/>
  <c r="W597" i="16"/>
  <c r="X597" i="16"/>
  <c r="V598" i="16"/>
  <c r="W598" i="16"/>
  <c r="X598" i="16"/>
  <c r="V599" i="16"/>
  <c r="W599" i="16"/>
  <c r="X599" i="16"/>
  <c r="V600" i="16"/>
  <c r="W600" i="16"/>
  <c r="X600" i="16"/>
  <c r="V601" i="16"/>
  <c r="W601" i="16"/>
  <c r="X601" i="16"/>
  <c r="V602" i="16"/>
  <c r="W602" i="16"/>
  <c r="X602" i="16"/>
  <c r="V603" i="16"/>
  <c r="W603" i="16"/>
  <c r="X603" i="16"/>
  <c r="V604" i="16"/>
  <c r="W604" i="16"/>
  <c r="X604" i="16"/>
  <c r="V605" i="16"/>
  <c r="W605" i="16"/>
  <c r="X605" i="16"/>
  <c r="V606" i="16"/>
  <c r="W606" i="16"/>
  <c r="X606" i="16"/>
  <c r="V607" i="16"/>
  <c r="W607" i="16"/>
  <c r="X607" i="16"/>
  <c r="V608" i="16"/>
  <c r="W608" i="16"/>
  <c r="X608" i="16"/>
  <c r="V609" i="16"/>
  <c r="W609" i="16"/>
  <c r="X609" i="16"/>
  <c r="V610" i="16"/>
  <c r="W610" i="16"/>
  <c r="X610" i="16"/>
  <c r="V611" i="16"/>
  <c r="W611" i="16"/>
  <c r="X611" i="16"/>
  <c r="V612" i="16"/>
  <c r="W612" i="16"/>
  <c r="X612" i="16"/>
  <c r="V613" i="16"/>
  <c r="W613" i="16"/>
  <c r="X613" i="16"/>
  <c r="V614" i="16"/>
  <c r="W614" i="16"/>
  <c r="X614" i="16"/>
  <c r="V615" i="16"/>
  <c r="W615" i="16"/>
  <c r="X615" i="16"/>
  <c r="V616" i="16"/>
  <c r="W616" i="16"/>
  <c r="X616" i="16"/>
  <c r="V617" i="16"/>
  <c r="W617" i="16"/>
  <c r="X617" i="16"/>
  <c r="V618" i="16"/>
  <c r="W618" i="16"/>
  <c r="X618" i="16"/>
  <c r="V619" i="16"/>
  <c r="W619" i="16"/>
  <c r="X619" i="16"/>
  <c r="V620" i="16"/>
  <c r="W620" i="16"/>
  <c r="X620" i="16"/>
  <c r="V621" i="16"/>
  <c r="W621" i="16"/>
  <c r="X621" i="16"/>
  <c r="V622" i="16"/>
  <c r="W622" i="16"/>
  <c r="X622" i="16"/>
  <c r="V623" i="16"/>
  <c r="W623" i="16"/>
  <c r="X623" i="16"/>
  <c r="V624" i="16"/>
  <c r="W624" i="16"/>
  <c r="X624" i="16"/>
  <c r="V625" i="16"/>
  <c r="W625" i="16"/>
  <c r="X625" i="16"/>
  <c r="V626" i="16"/>
  <c r="W626" i="16"/>
  <c r="X626" i="16"/>
  <c r="V627" i="16"/>
  <c r="W627" i="16"/>
  <c r="X627" i="16"/>
  <c r="V628" i="16"/>
  <c r="W628" i="16"/>
  <c r="X628" i="16"/>
  <c r="V629" i="16"/>
  <c r="W629" i="16"/>
  <c r="X629" i="16"/>
  <c r="V630" i="16"/>
  <c r="W630" i="16"/>
  <c r="X630" i="16"/>
  <c r="V631" i="16"/>
  <c r="W631" i="16"/>
  <c r="X631" i="16"/>
  <c r="V632" i="16"/>
  <c r="W632" i="16"/>
  <c r="X632" i="16"/>
  <c r="V633" i="16"/>
  <c r="W633" i="16"/>
  <c r="X633" i="16"/>
  <c r="V634" i="16"/>
  <c r="W634" i="16"/>
  <c r="X634" i="16"/>
  <c r="V635" i="16"/>
  <c r="W635" i="16"/>
  <c r="X635" i="16"/>
  <c r="V636" i="16"/>
  <c r="W636" i="16"/>
  <c r="X636" i="16"/>
  <c r="V637" i="16"/>
  <c r="W637" i="16"/>
  <c r="X637" i="16"/>
  <c r="V638" i="16"/>
  <c r="W638" i="16"/>
  <c r="X638" i="16"/>
  <c r="V639" i="16"/>
  <c r="W639" i="16"/>
  <c r="X639" i="16"/>
  <c r="V640" i="16"/>
  <c r="W640" i="16"/>
  <c r="X640" i="16"/>
  <c r="V641" i="16"/>
  <c r="W641" i="16"/>
  <c r="X641" i="16"/>
  <c r="V642" i="16"/>
  <c r="W642" i="16"/>
  <c r="X642" i="16"/>
  <c r="V643" i="16"/>
  <c r="W643" i="16"/>
  <c r="X643" i="16"/>
  <c r="V644" i="16"/>
  <c r="W644" i="16"/>
  <c r="X644" i="16"/>
  <c r="V645" i="16"/>
  <c r="W645" i="16"/>
  <c r="X645" i="16"/>
  <c r="V646" i="16"/>
  <c r="W646" i="16"/>
  <c r="X646" i="16"/>
  <c r="V647" i="16"/>
  <c r="W647" i="16"/>
  <c r="X647" i="16"/>
  <c r="V648" i="16"/>
  <c r="W648" i="16"/>
  <c r="X648" i="16"/>
  <c r="V649" i="16"/>
  <c r="W649" i="16"/>
  <c r="X649" i="16"/>
  <c r="V650" i="16"/>
  <c r="W650" i="16"/>
  <c r="X650" i="16"/>
  <c r="V651" i="16"/>
  <c r="W651" i="16"/>
  <c r="X651" i="16"/>
  <c r="V652" i="16"/>
  <c r="W652" i="16"/>
  <c r="X652" i="16"/>
  <c r="V653" i="16"/>
  <c r="W653" i="16"/>
  <c r="X653" i="16"/>
  <c r="V654" i="16"/>
  <c r="W654" i="16"/>
  <c r="X654" i="16"/>
  <c r="V655" i="16"/>
  <c r="W655" i="16"/>
  <c r="X655" i="16"/>
  <c r="V656" i="16"/>
  <c r="W656" i="16"/>
  <c r="X656" i="16"/>
  <c r="V657" i="16"/>
  <c r="W657" i="16"/>
  <c r="X657" i="16"/>
  <c r="V658" i="16"/>
  <c r="W658" i="16"/>
  <c r="X658" i="16"/>
  <c r="V659" i="16"/>
  <c r="W659" i="16"/>
  <c r="X659" i="16"/>
  <c r="V660" i="16"/>
  <c r="W660" i="16"/>
  <c r="X660" i="16"/>
  <c r="V661" i="16"/>
  <c r="W661" i="16"/>
  <c r="X661" i="16"/>
  <c r="V662" i="16"/>
  <c r="W662" i="16"/>
  <c r="X662" i="16"/>
  <c r="V663" i="16"/>
  <c r="W663" i="16"/>
  <c r="X663" i="16"/>
  <c r="V664" i="16"/>
  <c r="W664" i="16"/>
  <c r="X664" i="16"/>
  <c r="V665" i="16"/>
  <c r="W665" i="16"/>
  <c r="X665" i="16"/>
  <c r="V666" i="16"/>
  <c r="W666" i="16"/>
  <c r="X666" i="16"/>
  <c r="V667" i="16"/>
  <c r="W667" i="16"/>
  <c r="X667" i="16"/>
  <c r="V668" i="16"/>
  <c r="W668" i="16"/>
  <c r="X668" i="16"/>
  <c r="V669" i="16"/>
  <c r="W669" i="16"/>
  <c r="X669" i="16"/>
  <c r="V670" i="16"/>
  <c r="W670" i="16"/>
  <c r="X670" i="16"/>
  <c r="V671" i="16"/>
  <c r="W671" i="16"/>
  <c r="X671" i="16"/>
  <c r="V672" i="16"/>
  <c r="W672" i="16"/>
  <c r="X672" i="16"/>
  <c r="V673" i="16"/>
  <c r="W673" i="16"/>
  <c r="X673" i="16"/>
  <c r="V674" i="16"/>
  <c r="W674" i="16"/>
  <c r="X674" i="16"/>
  <c r="V675" i="16"/>
  <c r="W675" i="16"/>
  <c r="X675" i="16"/>
  <c r="V676" i="16"/>
  <c r="W676" i="16"/>
  <c r="X676" i="16"/>
  <c r="V677" i="16"/>
  <c r="W677" i="16"/>
  <c r="X677" i="16"/>
  <c r="V678" i="16"/>
  <c r="W678" i="16"/>
  <c r="X678" i="16"/>
  <c r="V679" i="16"/>
  <c r="W679" i="16"/>
  <c r="X679" i="16"/>
  <c r="V680" i="16"/>
  <c r="W680" i="16"/>
  <c r="X680" i="16"/>
  <c r="V681" i="16"/>
  <c r="W681" i="16"/>
  <c r="X681" i="16"/>
  <c r="V682" i="16"/>
  <c r="W682" i="16"/>
  <c r="X682" i="16"/>
  <c r="V683" i="16"/>
  <c r="W683" i="16"/>
  <c r="X683" i="16"/>
  <c r="V684" i="16"/>
  <c r="W684" i="16"/>
  <c r="X684" i="16"/>
  <c r="V685" i="16"/>
  <c r="W685" i="16"/>
  <c r="X685" i="16"/>
  <c r="V686" i="16"/>
  <c r="W686" i="16"/>
  <c r="X686" i="16"/>
  <c r="V687" i="16"/>
  <c r="W687" i="16"/>
  <c r="X687" i="16"/>
  <c r="V688" i="16"/>
  <c r="W688" i="16"/>
  <c r="X688" i="16"/>
  <c r="V689" i="16"/>
  <c r="W689" i="16"/>
  <c r="X689" i="16"/>
  <c r="V690" i="16"/>
  <c r="W690" i="16"/>
  <c r="X690" i="16"/>
  <c r="V691" i="16"/>
  <c r="W691" i="16"/>
  <c r="X691" i="16"/>
  <c r="V692" i="16"/>
  <c r="W692" i="16"/>
  <c r="X692" i="16"/>
  <c r="V693" i="16"/>
  <c r="W693" i="16"/>
  <c r="X693" i="16"/>
  <c r="V694" i="16"/>
  <c r="W694" i="16"/>
  <c r="X694" i="16"/>
  <c r="V695" i="16"/>
  <c r="W695" i="16"/>
  <c r="X695" i="16"/>
  <c r="V696" i="16"/>
  <c r="W696" i="16"/>
  <c r="X696" i="16"/>
  <c r="V697" i="16"/>
  <c r="W697" i="16"/>
  <c r="X697" i="16"/>
  <c r="V698" i="16"/>
  <c r="W698" i="16"/>
  <c r="X698" i="16"/>
  <c r="V699" i="16"/>
  <c r="W699" i="16"/>
  <c r="X699" i="16"/>
  <c r="V700" i="16"/>
  <c r="W700" i="16"/>
  <c r="X700" i="16"/>
  <c r="V701" i="16"/>
  <c r="W701" i="16"/>
  <c r="X701" i="16"/>
  <c r="V702" i="16"/>
  <c r="W702" i="16"/>
  <c r="X702" i="16"/>
  <c r="V703" i="16"/>
  <c r="W703" i="16"/>
  <c r="X703" i="16"/>
  <c r="V704" i="16"/>
  <c r="W704" i="16"/>
  <c r="X704" i="16"/>
  <c r="V705" i="16"/>
  <c r="W705" i="16"/>
  <c r="X705" i="16"/>
  <c r="V706" i="16"/>
  <c r="W706" i="16"/>
  <c r="X706" i="16"/>
  <c r="V707" i="16"/>
  <c r="W707" i="16"/>
  <c r="X707" i="16"/>
  <c r="V708" i="16"/>
  <c r="W708" i="16"/>
  <c r="X708" i="16"/>
  <c r="V709" i="16"/>
  <c r="W709" i="16"/>
  <c r="X709" i="16"/>
  <c r="V710" i="16"/>
  <c r="W710" i="16"/>
  <c r="X710" i="16"/>
  <c r="V711" i="16"/>
  <c r="W711" i="16"/>
  <c r="X711" i="16"/>
  <c r="V712" i="16"/>
  <c r="W712" i="16"/>
  <c r="X712" i="16"/>
  <c r="V713" i="16"/>
  <c r="W713" i="16"/>
  <c r="X713" i="16"/>
  <c r="V714" i="16"/>
  <c r="W714" i="16"/>
  <c r="X714" i="16"/>
  <c r="V715" i="16"/>
  <c r="W715" i="16"/>
  <c r="X715" i="16"/>
  <c r="V716" i="16"/>
  <c r="W716" i="16"/>
  <c r="X716" i="16"/>
  <c r="V717" i="16"/>
  <c r="W717" i="16"/>
  <c r="X717" i="16"/>
  <c r="V718" i="16"/>
  <c r="W718" i="16"/>
  <c r="X718" i="16"/>
  <c r="V719" i="16"/>
  <c r="W719" i="16"/>
  <c r="X719" i="16"/>
  <c r="V720" i="16"/>
  <c r="W720" i="16"/>
  <c r="X720" i="16"/>
  <c r="V721" i="16"/>
  <c r="W721" i="16"/>
  <c r="X721" i="16"/>
  <c r="V722" i="16"/>
  <c r="W722" i="16"/>
  <c r="X722" i="16"/>
  <c r="V723" i="16"/>
  <c r="W723" i="16"/>
  <c r="X723" i="16"/>
  <c r="V724" i="16"/>
  <c r="W724" i="16"/>
  <c r="X724" i="16"/>
  <c r="V725" i="16"/>
  <c r="W725" i="16"/>
  <c r="X725" i="16"/>
  <c r="V726" i="16"/>
  <c r="W726" i="16"/>
  <c r="X726" i="16"/>
  <c r="V727" i="16"/>
  <c r="W727" i="16"/>
  <c r="X727" i="16"/>
  <c r="V728" i="16"/>
  <c r="W728" i="16"/>
  <c r="X728" i="16"/>
  <c r="V729" i="16"/>
  <c r="W729" i="16"/>
  <c r="X729" i="16"/>
  <c r="V730" i="16"/>
  <c r="W730" i="16"/>
  <c r="X730" i="16"/>
  <c r="V731" i="16"/>
  <c r="W731" i="16"/>
  <c r="X731" i="16"/>
  <c r="V732" i="16"/>
  <c r="W732" i="16"/>
  <c r="X732" i="16"/>
  <c r="V733" i="16"/>
  <c r="W733" i="16"/>
  <c r="X733" i="16"/>
  <c r="V734" i="16"/>
  <c r="W734" i="16"/>
  <c r="X734" i="16"/>
  <c r="V735" i="16"/>
  <c r="W735" i="16"/>
  <c r="X735" i="16"/>
  <c r="V736" i="16"/>
  <c r="W736" i="16"/>
  <c r="X736" i="16"/>
  <c r="V737" i="16"/>
  <c r="W737" i="16"/>
  <c r="X737" i="16"/>
  <c r="V738" i="16"/>
  <c r="W738" i="16"/>
  <c r="X738" i="16"/>
  <c r="V739" i="16"/>
  <c r="W739" i="16"/>
  <c r="X739" i="16"/>
  <c r="V740" i="16"/>
  <c r="W740" i="16"/>
  <c r="X740" i="16"/>
  <c r="V741" i="16"/>
  <c r="W741" i="16"/>
  <c r="X741" i="16"/>
  <c r="V742" i="16"/>
  <c r="W742" i="16"/>
  <c r="X742" i="16"/>
  <c r="V743" i="16"/>
  <c r="W743" i="16"/>
  <c r="X743" i="16"/>
  <c r="V744" i="16"/>
  <c r="W744" i="16"/>
  <c r="X744" i="16"/>
  <c r="V745" i="16"/>
  <c r="W745" i="16"/>
  <c r="X745" i="16"/>
  <c r="V746" i="16"/>
  <c r="W746" i="16"/>
  <c r="X746" i="16"/>
  <c r="V747" i="16"/>
  <c r="W747" i="16"/>
  <c r="X747" i="16"/>
  <c r="V748" i="16"/>
  <c r="W748" i="16"/>
  <c r="X748" i="16"/>
  <c r="V749" i="16"/>
  <c r="W749" i="16"/>
  <c r="X749" i="16"/>
  <c r="V750" i="16"/>
  <c r="W750" i="16"/>
  <c r="X750" i="16"/>
  <c r="V751" i="16"/>
  <c r="W751" i="16"/>
  <c r="X751" i="16"/>
  <c r="V752" i="16"/>
  <c r="W752" i="16"/>
  <c r="X752" i="16"/>
  <c r="V753" i="16"/>
  <c r="W753" i="16"/>
  <c r="X753" i="16"/>
  <c r="V754" i="16"/>
  <c r="W754" i="16"/>
  <c r="X754" i="16"/>
  <c r="V755" i="16"/>
  <c r="W755" i="16"/>
  <c r="X755" i="16"/>
  <c r="V756" i="16"/>
  <c r="W756" i="16"/>
  <c r="X756" i="16"/>
  <c r="V757" i="16"/>
  <c r="W757" i="16"/>
  <c r="X757" i="16"/>
  <c r="V758" i="16"/>
  <c r="W758" i="16"/>
  <c r="X758" i="16"/>
  <c r="V759" i="16"/>
  <c r="W759" i="16"/>
  <c r="X759" i="16"/>
  <c r="V760" i="16"/>
  <c r="W760" i="16"/>
  <c r="X760" i="16"/>
  <c r="V761" i="16"/>
  <c r="W761" i="16"/>
  <c r="X761" i="16"/>
  <c r="V762" i="16"/>
  <c r="W762" i="16"/>
  <c r="X762" i="16"/>
  <c r="V763" i="16"/>
  <c r="W763" i="16"/>
  <c r="X763" i="16"/>
  <c r="V764" i="16"/>
  <c r="W764" i="16"/>
  <c r="X764" i="16"/>
  <c r="V765" i="16"/>
  <c r="W765" i="16"/>
  <c r="X765" i="16"/>
  <c r="V766" i="16"/>
  <c r="W766" i="16"/>
  <c r="X766" i="16"/>
  <c r="V767" i="16"/>
  <c r="W767" i="16"/>
  <c r="X767" i="16"/>
  <c r="V768" i="16"/>
  <c r="W768" i="16"/>
  <c r="X768" i="16"/>
  <c r="V769" i="16"/>
  <c r="W769" i="16"/>
  <c r="X769" i="16"/>
  <c r="V770" i="16"/>
  <c r="W770" i="16"/>
  <c r="X770" i="16"/>
  <c r="V771" i="16"/>
  <c r="W771" i="16"/>
  <c r="X771" i="16"/>
  <c r="V772" i="16"/>
  <c r="W772" i="16"/>
  <c r="X772" i="16"/>
  <c r="V773" i="16"/>
  <c r="W773" i="16"/>
  <c r="X773" i="16"/>
  <c r="V774" i="16"/>
  <c r="W774" i="16"/>
  <c r="X774" i="16"/>
  <c r="V775" i="16"/>
  <c r="W775" i="16"/>
  <c r="X775" i="16"/>
  <c r="V776" i="16"/>
  <c r="W776" i="16"/>
  <c r="X776" i="16"/>
  <c r="V777" i="16"/>
  <c r="W777" i="16"/>
  <c r="X777" i="16"/>
  <c r="V778" i="16"/>
  <c r="W778" i="16"/>
  <c r="X778" i="16"/>
  <c r="V779" i="16"/>
  <c r="W779" i="16"/>
  <c r="X779" i="16"/>
  <c r="V780" i="16"/>
  <c r="W780" i="16"/>
  <c r="X780" i="16"/>
  <c r="V781" i="16"/>
  <c r="W781" i="16"/>
  <c r="X781" i="16"/>
  <c r="V782" i="16"/>
  <c r="W782" i="16"/>
  <c r="X782" i="16"/>
  <c r="V783" i="16"/>
  <c r="W783" i="16"/>
  <c r="X783" i="16"/>
  <c r="V784" i="16"/>
  <c r="W784" i="16"/>
  <c r="X784" i="16"/>
  <c r="V785" i="16"/>
  <c r="W785" i="16"/>
  <c r="X785" i="16"/>
  <c r="V786" i="16"/>
  <c r="W786" i="16"/>
  <c r="X786" i="16"/>
  <c r="V787" i="16"/>
  <c r="W787" i="16"/>
  <c r="X787" i="16"/>
  <c r="V788" i="16"/>
  <c r="W788" i="16"/>
  <c r="X788" i="16"/>
  <c r="V789" i="16"/>
  <c r="W789" i="16"/>
  <c r="X789" i="16"/>
  <c r="V790" i="16"/>
  <c r="W790" i="16"/>
  <c r="X790" i="16"/>
  <c r="V791" i="16"/>
  <c r="W791" i="16"/>
  <c r="X791" i="16"/>
  <c r="V792" i="16"/>
  <c r="W792" i="16"/>
  <c r="X792" i="16"/>
  <c r="V793" i="16"/>
  <c r="W793" i="16"/>
  <c r="X793" i="16"/>
  <c r="V794" i="16"/>
  <c r="W794" i="16"/>
  <c r="X794" i="16"/>
  <c r="V795" i="16"/>
  <c r="W795" i="16"/>
  <c r="X795" i="16"/>
  <c r="V796" i="16"/>
  <c r="W796" i="16"/>
  <c r="X796" i="16"/>
  <c r="V797" i="16"/>
  <c r="W797" i="16"/>
  <c r="X797" i="16"/>
  <c r="V798" i="16"/>
  <c r="W798" i="16"/>
  <c r="X798" i="16"/>
  <c r="V799" i="16"/>
  <c r="W799" i="16"/>
  <c r="X799" i="16"/>
  <c r="V800" i="16"/>
  <c r="W800" i="16"/>
  <c r="X800" i="16"/>
  <c r="V801" i="16"/>
  <c r="W801" i="16"/>
  <c r="X801" i="16"/>
  <c r="V802" i="16"/>
  <c r="W802" i="16"/>
  <c r="X802" i="16"/>
  <c r="V803" i="16"/>
  <c r="W803" i="16"/>
  <c r="X803" i="16"/>
  <c r="V804" i="16"/>
  <c r="W804" i="16"/>
  <c r="X804" i="16"/>
  <c r="V805" i="16"/>
  <c r="W805" i="16"/>
  <c r="X805" i="16"/>
  <c r="V806" i="16"/>
  <c r="W806" i="16"/>
  <c r="X806" i="16"/>
  <c r="V807" i="16"/>
  <c r="W807" i="16"/>
  <c r="X807" i="16"/>
  <c r="V808" i="16"/>
  <c r="W808" i="16"/>
  <c r="X808" i="16"/>
  <c r="V809" i="16"/>
  <c r="W809" i="16"/>
  <c r="X809" i="16"/>
  <c r="V810" i="16"/>
  <c r="W810" i="16"/>
  <c r="X810" i="16"/>
  <c r="V811" i="16"/>
  <c r="W811" i="16"/>
  <c r="X811" i="16"/>
  <c r="V812" i="16"/>
  <c r="W812" i="16"/>
  <c r="X812" i="16"/>
  <c r="V813" i="16"/>
  <c r="W813" i="16"/>
  <c r="X813" i="16"/>
  <c r="V814" i="16"/>
  <c r="W814" i="16"/>
  <c r="X814" i="16"/>
  <c r="V815" i="16"/>
  <c r="W815" i="16"/>
  <c r="X815" i="16"/>
  <c r="V816" i="16"/>
  <c r="W816" i="16"/>
  <c r="X816" i="16"/>
  <c r="V817" i="16"/>
  <c r="W817" i="16"/>
  <c r="X817" i="16"/>
  <c r="V818" i="16"/>
  <c r="W818" i="16"/>
  <c r="X818" i="16"/>
  <c r="V819" i="16"/>
  <c r="W819" i="16"/>
  <c r="X819" i="16"/>
  <c r="V820" i="16"/>
  <c r="W820" i="16"/>
  <c r="X820" i="16"/>
  <c r="V821" i="16"/>
  <c r="W821" i="16"/>
  <c r="X821" i="16"/>
  <c r="V822" i="16"/>
  <c r="W822" i="16"/>
  <c r="X822" i="16"/>
  <c r="V823" i="16"/>
  <c r="W823" i="16"/>
  <c r="X823" i="16"/>
  <c r="V824" i="16"/>
  <c r="W824" i="16"/>
  <c r="X824" i="16"/>
  <c r="V825" i="16"/>
  <c r="W825" i="16"/>
  <c r="X825" i="16"/>
  <c r="V826" i="16"/>
  <c r="W826" i="16"/>
  <c r="X826" i="16"/>
  <c r="V827" i="16"/>
  <c r="W827" i="16"/>
  <c r="X827" i="16"/>
  <c r="V828" i="16"/>
  <c r="W828" i="16"/>
  <c r="X828" i="16"/>
  <c r="V829" i="16"/>
  <c r="W829" i="16"/>
  <c r="X829" i="16"/>
  <c r="V830" i="16"/>
  <c r="W830" i="16"/>
  <c r="X830" i="16"/>
  <c r="V831" i="16"/>
  <c r="W831" i="16"/>
  <c r="X831" i="16"/>
  <c r="V832" i="16"/>
  <c r="W832" i="16"/>
  <c r="X832" i="16"/>
  <c r="V833" i="16"/>
  <c r="W833" i="16"/>
  <c r="X833" i="16"/>
  <c r="V834" i="16"/>
  <c r="W834" i="16"/>
  <c r="X834" i="16"/>
  <c r="V835" i="16"/>
  <c r="W835" i="16"/>
  <c r="X835" i="16"/>
  <c r="V836" i="16"/>
  <c r="W836" i="16"/>
  <c r="X836" i="16"/>
  <c r="V837" i="16"/>
  <c r="W837" i="16"/>
  <c r="X837" i="16"/>
  <c r="V838" i="16"/>
  <c r="W838" i="16"/>
  <c r="X838" i="16"/>
  <c r="V839" i="16"/>
  <c r="W839" i="16"/>
  <c r="X839" i="16"/>
  <c r="V840" i="16"/>
  <c r="W840" i="16"/>
  <c r="X840" i="16"/>
  <c r="V841" i="16"/>
  <c r="W841" i="16"/>
  <c r="X841" i="16"/>
  <c r="V842" i="16"/>
  <c r="W842" i="16"/>
  <c r="X842" i="16"/>
  <c r="V843" i="16"/>
  <c r="W843" i="16"/>
  <c r="X843" i="16"/>
  <c r="V844" i="16"/>
  <c r="W844" i="16"/>
  <c r="X844" i="16"/>
  <c r="V845" i="16"/>
  <c r="W845" i="16"/>
  <c r="X845" i="16"/>
  <c r="V846" i="16"/>
  <c r="W846" i="16"/>
  <c r="X846" i="16"/>
  <c r="V847" i="16"/>
  <c r="W847" i="16"/>
  <c r="X847" i="16"/>
  <c r="V848" i="16"/>
  <c r="W848" i="16"/>
  <c r="X848" i="16"/>
  <c r="V849" i="16"/>
  <c r="W849" i="16"/>
  <c r="X849" i="16"/>
  <c r="V850" i="16"/>
  <c r="W850" i="16"/>
  <c r="X850" i="16"/>
  <c r="V851" i="16"/>
  <c r="W851" i="16"/>
  <c r="X851" i="16"/>
  <c r="V852" i="16"/>
  <c r="W852" i="16"/>
  <c r="X852" i="16"/>
  <c r="V853" i="16"/>
  <c r="W853" i="16"/>
  <c r="X853" i="16"/>
  <c r="V854" i="16"/>
  <c r="W854" i="16"/>
  <c r="X854" i="16"/>
  <c r="V855" i="16"/>
  <c r="W855" i="16"/>
  <c r="X855" i="16"/>
  <c r="V856" i="16"/>
  <c r="W856" i="16"/>
  <c r="X856" i="16"/>
  <c r="V857" i="16"/>
  <c r="W857" i="16"/>
  <c r="X857" i="16"/>
  <c r="V858" i="16"/>
  <c r="W858" i="16"/>
  <c r="X858" i="16"/>
  <c r="V859" i="16"/>
  <c r="W859" i="16"/>
  <c r="X859" i="16"/>
  <c r="V860" i="16"/>
  <c r="W860" i="16"/>
  <c r="X860" i="16"/>
  <c r="V861" i="16"/>
  <c r="W861" i="16"/>
  <c r="X861" i="16"/>
  <c r="V862" i="16"/>
  <c r="W862" i="16"/>
  <c r="X862" i="16"/>
  <c r="V863" i="16"/>
  <c r="W863" i="16"/>
  <c r="X863" i="16"/>
  <c r="V864" i="16"/>
  <c r="W864" i="16"/>
  <c r="X864" i="16"/>
  <c r="V865" i="16"/>
  <c r="W865" i="16"/>
  <c r="X865" i="16"/>
  <c r="V866" i="16"/>
  <c r="W866" i="16"/>
  <c r="X866" i="16"/>
  <c r="V867" i="16"/>
  <c r="W867" i="16"/>
  <c r="X867" i="16"/>
  <c r="V868" i="16"/>
  <c r="W868" i="16"/>
  <c r="X868" i="16"/>
  <c r="V869" i="16"/>
  <c r="W869" i="16"/>
  <c r="X869" i="16"/>
  <c r="V870" i="16"/>
  <c r="W870" i="16"/>
  <c r="X870" i="16"/>
  <c r="V871" i="16"/>
  <c r="W871" i="16"/>
  <c r="X871" i="16"/>
  <c r="V872" i="16"/>
  <c r="W872" i="16"/>
  <c r="X872" i="16"/>
  <c r="V873" i="16"/>
  <c r="W873" i="16"/>
  <c r="X873" i="16"/>
  <c r="V874" i="16"/>
  <c r="W874" i="16"/>
  <c r="X874" i="16"/>
  <c r="V875" i="16"/>
  <c r="W875" i="16"/>
  <c r="X875" i="16"/>
  <c r="V876" i="16"/>
  <c r="W876" i="16"/>
  <c r="X876" i="16"/>
  <c r="V877" i="16"/>
  <c r="W877" i="16"/>
  <c r="X877" i="16"/>
  <c r="V878" i="16"/>
  <c r="W878" i="16"/>
  <c r="X878" i="16"/>
  <c r="V879" i="16"/>
  <c r="W879" i="16"/>
  <c r="X879" i="16"/>
  <c r="V880" i="16"/>
  <c r="W880" i="16"/>
  <c r="X880" i="16"/>
  <c r="V881" i="16"/>
  <c r="W881" i="16"/>
  <c r="X881" i="16"/>
  <c r="V882" i="16"/>
  <c r="W882" i="16"/>
  <c r="X882" i="16"/>
  <c r="V883" i="16"/>
  <c r="W883" i="16"/>
  <c r="X883" i="16"/>
  <c r="V884" i="16"/>
  <c r="W884" i="16"/>
  <c r="X884" i="16"/>
  <c r="V885" i="16"/>
  <c r="W885" i="16"/>
  <c r="X885" i="16"/>
  <c r="V886" i="16"/>
  <c r="W886" i="16"/>
  <c r="X886" i="16"/>
  <c r="V887" i="16"/>
  <c r="W887" i="16"/>
  <c r="X887" i="16"/>
  <c r="V888" i="16"/>
  <c r="W888" i="16"/>
  <c r="X888" i="16"/>
  <c r="V889" i="16"/>
  <c r="W889" i="16"/>
  <c r="X889" i="16"/>
  <c r="V890" i="16"/>
  <c r="W890" i="16"/>
  <c r="X890" i="16"/>
  <c r="V891" i="16"/>
  <c r="W891" i="16"/>
  <c r="X891" i="16"/>
  <c r="V892" i="16"/>
  <c r="W892" i="16"/>
  <c r="X892" i="16"/>
  <c r="V893" i="16"/>
  <c r="W893" i="16"/>
  <c r="X893" i="16"/>
  <c r="V894" i="16"/>
  <c r="W894" i="16"/>
  <c r="X894" i="16"/>
  <c r="V895" i="16"/>
  <c r="W895" i="16"/>
  <c r="X895" i="16"/>
  <c r="V896" i="16"/>
  <c r="W896" i="16"/>
  <c r="X896" i="16"/>
  <c r="V897" i="16"/>
  <c r="W897" i="16"/>
  <c r="X897" i="16"/>
  <c r="V898" i="16"/>
  <c r="W898" i="16"/>
  <c r="X898" i="16"/>
  <c r="V899" i="16"/>
  <c r="W899" i="16"/>
  <c r="X899" i="16"/>
  <c r="V900" i="16"/>
  <c r="W900" i="16"/>
  <c r="X900" i="16"/>
  <c r="V901" i="16"/>
  <c r="W901" i="16"/>
  <c r="X901" i="16"/>
  <c r="V902" i="16"/>
  <c r="W902" i="16"/>
  <c r="X902" i="16"/>
  <c r="V903" i="16"/>
  <c r="W903" i="16"/>
  <c r="X903" i="16"/>
  <c r="V904" i="16"/>
  <c r="W904" i="16"/>
  <c r="X904" i="16"/>
  <c r="V905" i="16"/>
  <c r="W905" i="16"/>
  <c r="X905" i="16"/>
  <c r="V906" i="16"/>
  <c r="W906" i="16"/>
  <c r="X906" i="16"/>
  <c r="V907" i="16"/>
  <c r="W907" i="16"/>
  <c r="X907" i="16"/>
  <c r="V908" i="16"/>
  <c r="W908" i="16"/>
  <c r="X908" i="16"/>
  <c r="V909" i="16"/>
  <c r="W909" i="16"/>
  <c r="X909" i="16"/>
  <c r="V910" i="16"/>
  <c r="W910" i="16"/>
  <c r="X910" i="16"/>
  <c r="V911" i="16"/>
  <c r="W911" i="16"/>
  <c r="X911" i="16"/>
  <c r="V912" i="16"/>
  <c r="W912" i="16"/>
  <c r="X912" i="16"/>
  <c r="V913" i="16"/>
  <c r="W913" i="16"/>
  <c r="X913" i="16"/>
  <c r="V914" i="16"/>
  <c r="W914" i="16"/>
  <c r="X914" i="16"/>
  <c r="V915" i="16"/>
  <c r="W915" i="16"/>
  <c r="X915" i="16"/>
  <c r="V916" i="16"/>
  <c r="W916" i="16"/>
  <c r="X916" i="16"/>
  <c r="V917" i="16"/>
  <c r="W917" i="16"/>
  <c r="X917" i="16"/>
  <c r="V918" i="16"/>
  <c r="W918" i="16"/>
  <c r="X918" i="16"/>
  <c r="V919" i="16"/>
  <c r="W919" i="16"/>
  <c r="X919" i="16"/>
  <c r="V920" i="16"/>
  <c r="W920" i="16"/>
  <c r="X920" i="16"/>
  <c r="V921" i="16"/>
  <c r="W921" i="16"/>
  <c r="X921" i="16"/>
  <c r="V922" i="16"/>
  <c r="W922" i="16"/>
  <c r="X922" i="16"/>
  <c r="V923" i="16"/>
  <c r="W923" i="16"/>
  <c r="X923" i="16"/>
  <c r="V924" i="16"/>
  <c r="W924" i="16"/>
  <c r="X924" i="16"/>
  <c r="V925" i="16"/>
  <c r="W925" i="16"/>
  <c r="X925" i="16"/>
  <c r="V926" i="16"/>
  <c r="W926" i="16"/>
  <c r="X926" i="16"/>
  <c r="V927" i="16"/>
  <c r="W927" i="16"/>
  <c r="X927" i="16"/>
  <c r="V928" i="16"/>
  <c r="W928" i="16"/>
  <c r="X928" i="16"/>
  <c r="V929" i="16"/>
  <c r="W929" i="16"/>
  <c r="X929" i="16"/>
  <c r="V930" i="16"/>
  <c r="W930" i="16"/>
  <c r="X930" i="16"/>
  <c r="V931" i="16"/>
  <c r="W931" i="16"/>
  <c r="X931" i="16"/>
  <c r="V932" i="16"/>
  <c r="W932" i="16"/>
  <c r="X932" i="16"/>
  <c r="V933" i="16"/>
  <c r="W933" i="16"/>
  <c r="X933" i="16"/>
  <c r="V934" i="16"/>
  <c r="W934" i="16"/>
  <c r="X934" i="16"/>
  <c r="V935" i="16"/>
  <c r="W935" i="16"/>
  <c r="X935" i="16"/>
  <c r="V936" i="16"/>
  <c r="W936" i="16"/>
  <c r="X936" i="16"/>
  <c r="V937" i="16"/>
  <c r="W937" i="16"/>
  <c r="X937" i="16"/>
  <c r="V938" i="16"/>
  <c r="W938" i="16"/>
  <c r="X938" i="16"/>
  <c r="V939" i="16"/>
  <c r="W939" i="16"/>
  <c r="X939" i="16"/>
  <c r="V940" i="16"/>
  <c r="W940" i="16"/>
  <c r="X940" i="16"/>
  <c r="V941" i="16"/>
  <c r="W941" i="16"/>
  <c r="X941" i="16"/>
  <c r="V942" i="16"/>
  <c r="W942" i="16"/>
  <c r="X942" i="16"/>
  <c r="V943" i="16"/>
  <c r="W943" i="16"/>
  <c r="X943" i="16"/>
  <c r="V944" i="16"/>
  <c r="W944" i="16"/>
  <c r="X944" i="16"/>
  <c r="V945" i="16"/>
  <c r="W945" i="16"/>
  <c r="X945" i="16"/>
  <c r="V946" i="16"/>
  <c r="W946" i="16"/>
  <c r="X946" i="16"/>
  <c r="V947" i="16"/>
  <c r="W947" i="16"/>
  <c r="X947" i="16"/>
  <c r="V948" i="16"/>
  <c r="W948" i="16"/>
  <c r="X948" i="16"/>
  <c r="V949" i="16"/>
  <c r="W949" i="16"/>
  <c r="X949" i="16"/>
  <c r="V950" i="16"/>
  <c r="W950" i="16"/>
  <c r="X950" i="16"/>
  <c r="V951" i="16"/>
  <c r="W951" i="16"/>
  <c r="X951" i="16"/>
  <c r="V952" i="16"/>
  <c r="W952" i="16"/>
  <c r="X952" i="16"/>
  <c r="V953" i="16"/>
  <c r="W953" i="16"/>
  <c r="X953" i="16"/>
  <c r="V954" i="16"/>
  <c r="W954" i="16"/>
  <c r="X954" i="16"/>
  <c r="V955" i="16"/>
  <c r="W955" i="16"/>
  <c r="X955" i="16"/>
  <c r="V956" i="16"/>
  <c r="W956" i="16"/>
  <c r="X956" i="16"/>
  <c r="V957" i="16"/>
  <c r="W957" i="16"/>
  <c r="X957" i="16"/>
  <c r="V958" i="16"/>
  <c r="W958" i="16"/>
  <c r="X958" i="16"/>
  <c r="V959" i="16"/>
  <c r="W959" i="16"/>
  <c r="X959" i="16"/>
  <c r="V960" i="16"/>
  <c r="W960" i="16"/>
  <c r="X960" i="16"/>
  <c r="V961" i="16"/>
  <c r="W961" i="16"/>
  <c r="X961" i="16"/>
  <c r="V962" i="16"/>
  <c r="W962" i="16"/>
  <c r="X962" i="16"/>
  <c r="V963" i="16"/>
  <c r="W963" i="16"/>
  <c r="X963" i="16"/>
  <c r="V964" i="16"/>
  <c r="W964" i="16"/>
  <c r="X964" i="16"/>
  <c r="V965" i="16"/>
  <c r="W965" i="16"/>
  <c r="X965" i="16"/>
  <c r="V966" i="16"/>
  <c r="W966" i="16"/>
  <c r="X966" i="16"/>
  <c r="V967" i="16"/>
  <c r="W967" i="16"/>
  <c r="X967" i="16"/>
  <c r="V968" i="16"/>
  <c r="W968" i="16"/>
  <c r="X968" i="16"/>
  <c r="V969" i="16"/>
  <c r="W969" i="16"/>
  <c r="X969" i="16"/>
  <c r="V970" i="16"/>
  <c r="W970" i="16"/>
  <c r="X970" i="16"/>
  <c r="V971" i="16"/>
  <c r="W971" i="16"/>
  <c r="X971" i="16"/>
  <c r="V972" i="16"/>
  <c r="W972" i="16"/>
  <c r="X972" i="16"/>
  <c r="V973" i="16"/>
  <c r="W973" i="16"/>
  <c r="X973" i="16"/>
  <c r="V974" i="16"/>
  <c r="W974" i="16"/>
  <c r="X974" i="16"/>
  <c r="V975" i="16"/>
  <c r="W975" i="16"/>
  <c r="X975" i="16"/>
  <c r="V976" i="16"/>
  <c r="W976" i="16"/>
  <c r="X976" i="16"/>
  <c r="V977" i="16"/>
  <c r="W977" i="16"/>
  <c r="X977" i="16"/>
  <c r="V978" i="16"/>
  <c r="W978" i="16"/>
  <c r="X978" i="16"/>
  <c r="V979" i="16"/>
  <c r="W979" i="16"/>
  <c r="X979" i="16"/>
  <c r="V980" i="16"/>
  <c r="W980" i="16"/>
  <c r="X980" i="16"/>
  <c r="V981" i="16"/>
  <c r="W981" i="16"/>
  <c r="X981" i="16"/>
  <c r="V982" i="16"/>
  <c r="W982" i="16"/>
  <c r="X982" i="16"/>
  <c r="V983" i="16"/>
  <c r="W983" i="16"/>
  <c r="X983" i="16"/>
  <c r="V984" i="16"/>
  <c r="W984" i="16"/>
  <c r="X984" i="16"/>
  <c r="V985" i="16"/>
  <c r="W985" i="16"/>
  <c r="X985" i="16"/>
  <c r="V986" i="16"/>
  <c r="W986" i="16"/>
  <c r="X986" i="16"/>
  <c r="V987" i="16"/>
  <c r="W987" i="16"/>
  <c r="X987" i="16"/>
  <c r="V988" i="16"/>
  <c r="W988" i="16"/>
  <c r="X988" i="16"/>
  <c r="V989" i="16"/>
  <c r="W989" i="16"/>
  <c r="X989" i="16"/>
  <c r="V990" i="16"/>
  <c r="W990" i="16"/>
  <c r="X990" i="16"/>
  <c r="V991" i="16"/>
  <c r="W991" i="16"/>
  <c r="X991" i="16"/>
  <c r="V992" i="16"/>
  <c r="W992" i="16"/>
  <c r="X992" i="16"/>
  <c r="V993" i="16"/>
  <c r="W993" i="16"/>
  <c r="X993" i="16"/>
  <c r="V994" i="16"/>
  <c r="W994" i="16"/>
  <c r="X994" i="16"/>
  <c r="V995" i="16"/>
  <c r="W995" i="16"/>
  <c r="X995" i="16"/>
  <c r="V996" i="16"/>
  <c r="W996" i="16"/>
  <c r="X996" i="16"/>
  <c r="V997" i="16"/>
  <c r="W997" i="16"/>
  <c r="X997" i="16"/>
  <c r="V998" i="16"/>
  <c r="W998" i="16"/>
  <c r="X998" i="16"/>
  <c r="V999" i="16"/>
  <c r="W999" i="16"/>
  <c r="X999" i="16"/>
  <c r="V1000" i="16"/>
  <c r="W1000" i="16"/>
  <c r="X1000" i="16"/>
  <c r="V1001" i="16"/>
  <c r="W1001" i="16"/>
  <c r="X1001" i="16"/>
  <c r="V1002" i="16"/>
  <c r="W1002" i="16"/>
  <c r="X1002" i="16"/>
  <c r="V1003" i="16"/>
  <c r="W1003" i="16"/>
  <c r="X1003" i="16"/>
  <c r="V1004" i="16"/>
  <c r="W1004" i="16"/>
  <c r="X1004" i="16"/>
  <c r="V1005" i="16"/>
  <c r="W1005" i="16"/>
  <c r="X1005" i="16"/>
  <c r="V1006" i="16"/>
  <c r="W1006" i="16"/>
  <c r="X1006" i="16"/>
  <c r="V1007" i="16"/>
  <c r="W1007" i="16"/>
  <c r="X1007" i="16"/>
  <c r="V1008" i="16"/>
  <c r="W1008" i="16"/>
  <c r="X1008" i="16"/>
  <c r="V1009" i="16"/>
  <c r="W1009" i="16"/>
  <c r="X1009" i="16"/>
  <c r="V1010" i="16"/>
  <c r="W1010" i="16"/>
  <c r="X1010" i="16"/>
  <c r="V1011" i="16"/>
  <c r="W1011" i="16"/>
  <c r="X1011" i="16"/>
  <c r="V1012" i="16"/>
  <c r="W1012" i="16"/>
  <c r="X1012" i="16"/>
  <c r="V1013" i="16"/>
  <c r="W1013" i="16"/>
  <c r="X1013" i="16"/>
  <c r="V1014" i="16"/>
  <c r="W1014" i="16"/>
  <c r="X1014" i="16"/>
  <c r="V1015" i="16"/>
  <c r="W1015" i="16"/>
  <c r="X1015" i="16"/>
  <c r="V1016" i="16"/>
  <c r="W1016" i="16"/>
  <c r="X1016" i="16"/>
  <c r="V1017" i="16"/>
  <c r="W1017" i="16"/>
  <c r="X1017" i="16"/>
  <c r="V1018" i="16"/>
  <c r="W1018" i="16"/>
  <c r="X1018" i="16"/>
  <c r="V1019" i="16"/>
  <c r="W1019" i="16"/>
  <c r="X1019" i="16"/>
  <c r="V1020" i="16"/>
  <c r="W1020" i="16"/>
  <c r="X1020" i="16"/>
  <c r="V1021" i="16"/>
  <c r="W1021" i="16"/>
  <c r="X1021" i="16"/>
  <c r="V1022" i="16"/>
  <c r="W1022" i="16"/>
  <c r="X1022" i="16"/>
  <c r="V1023" i="16"/>
  <c r="W1023" i="16"/>
  <c r="X1023" i="16"/>
  <c r="V1024" i="16"/>
  <c r="W1024" i="16"/>
  <c r="X1024" i="16"/>
  <c r="V1025" i="16"/>
  <c r="W1025" i="16"/>
  <c r="X1025" i="16"/>
  <c r="V1026" i="16"/>
  <c r="W1026" i="16"/>
  <c r="X1026" i="16"/>
  <c r="V1027" i="16"/>
  <c r="W1027" i="16"/>
  <c r="X1027" i="16"/>
  <c r="V1028" i="16"/>
  <c r="W1028" i="16"/>
  <c r="X1028" i="16"/>
  <c r="V1029" i="16"/>
  <c r="W1029" i="16"/>
  <c r="X1029" i="16"/>
  <c r="V1030" i="16"/>
  <c r="W1030" i="16"/>
  <c r="X1030" i="16"/>
  <c r="V1031" i="16"/>
  <c r="W1031" i="16"/>
  <c r="X1031" i="16"/>
  <c r="V1032" i="16"/>
  <c r="W1032" i="16"/>
  <c r="X1032" i="16"/>
  <c r="V1033" i="16"/>
  <c r="W1033" i="16"/>
  <c r="X1033" i="16"/>
  <c r="V1034" i="16"/>
  <c r="W1034" i="16"/>
  <c r="X1034" i="16"/>
  <c r="V1035" i="16"/>
  <c r="W1035" i="16"/>
  <c r="X1035" i="16"/>
  <c r="V1036" i="16"/>
  <c r="W1036" i="16"/>
  <c r="X1036" i="16"/>
  <c r="V1037" i="16"/>
  <c r="W1037" i="16"/>
  <c r="X1037" i="16"/>
  <c r="V1038" i="16"/>
  <c r="W1038" i="16"/>
  <c r="X1038" i="16"/>
  <c r="V1039" i="16"/>
  <c r="W1039" i="16"/>
  <c r="X1039" i="16"/>
  <c r="V1040" i="16"/>
  <c r="W1040" i="16"/>
  <c r="X1040" i="16"/>
  <c r="V1041" i="16"/>
  <c r="W1041" i="16"/>
  <c r="X1041" i="16"/>
  <c r="V1042" i="16"/>
  <c r="W1042" i="16"/>
  <c r="X1042" i="16"/>
  <c r="V1043" i="16"/>
  <c r="W1043" i="16"/>
  <c r="X1043" i="16"/>
  <c r="V1044" i="16"/>
  <c r="W1044" i="16"/>
  <c r="X1044" i="16"/>
  <c r="V1045" i="16"/>
  <c r="W1045" i="16"/>
  <c r="X1045" i="16"/>
  <c r="V1046" i="16"/>
  <c r="W1046" i="16"/>
  <c r="X1046" i="16"/>
  <c r="V1047" i="16"/>
  <c r="W1047" i="16"/>
  <c r="X1047" i="16"/>
  <c r="V1048" i="16"/>
  <c r="W1048" i="16"/>
  <c r="X1048" i="16"/>
  <c r="V1049" i="16"/>
  <c r="W1049" i="16"/>
  <c r="X1049" i="16"/>
  <c r="V1050" i="16"/>
  <c r="W1050" i="16"/>
  <c r="X1050" i="16"/>
  <c r="V1051" i="16"/>
  <c r="W1051" i="16"/>
  <c r="X1051" i="16"/>
  <c r="V1052" i="16"/>
  <c r="W1052" i="16"/>
  <c r="X1052" i="16"/>
  <c r="V1053" i="16"/>
  <c r="W1053" i="16"/>
  <c r="X1053" i="16"/>
  <c r="V1054" i="16"/>
  <c r="W1054" i="16"/>
  <c r="X1054" i="16"/>
  <c r="V1055" i="16"/>
  <c r="W1055" i="16"/>
  <c r="X1055" i="16"/>
  <c r="V1056" i="16"/>
  <c r="W1056" i="16"/>
  <c r="X1056" i="16"/>
  <c r="V1057" i="16"/>
  <c r="W1057" i="16"/>
  <c r="X1057" i="16"/>
  <c r="V1058" i="16"/>
  <c r="W1058" i="16"/>
  <c r="X1058" i="16"/>
  <c r="V1059" i="16"/>
  <c r="W1059" i="16"/>
  <c r="X1059" i="16"/>
  <c r="V1060" i="16"/>
  <c r="W1060" i="16"/>
  <c r="X1060" i="16"/>
  <c r="V1061" i="16"/>
  <c r="W1061" i="16"/>
  <c r="X1061" i="16"/>
  <c r="V1062" i="16"/>
  <c r="W1062" i="16"/>
  <c r="X1062" i="16"/>
  <c r="V1063" i="16"/>
  <c r="W1063" i="16"/>
  <c r="X1063" i="16"/>
  <c r="V1064" i="16"/>
  <c r="W1064" i="16"/>
  <c r="X1064" i="16"/>
  <c r="V1065" i="16"/>
  <c r="W1065" i="16"/>
  <c r="X1065" i="16"/>
  <c r="V1066" i="16"/>
  <c r="W1066" i="16"/>
  <c r="X1066" i="16"/>
  <c r="V1067" i="16"/>
  <c r="W1067" i="16"/>
  <c r="X1067" i="16"/>
  <c r="V1068" i="16"/>
  <c r="W1068" i="16"/>
  <c r="X1068" i="16"/>
  <c r="V1069" i="16"/>
  <c r="W1069" i="16"/>
  <c r="X1069" i="16"/>
  <c r="V1070" i="16"/>
  <c r="W1070" i="16"/>
  <c r="X1070" i="16"/>
  <c r="V1071" i="16"/>
  <c r="W1071" i="16"/>
  <c r="X1071" i="16"/>
  <c r="V1072" i="16"/>
  <c r="W1072" i="16"/>
  <c r="X1072" i="16"/>
  <c r="V1073" i="16"/>
  <c r="W1073" i="16"/>
  <c r="X1073" i="16"/>
  <c r="V1074" i="16"/>
  <c r="W1074" i="16"/>
  <c r="X1074" i="16"/>
  <c r="V1075" i="16"/>
  <c r="W1075" i="16"/>
  <c r="X1075" i="16"/>
  <c r="V1076" i="16"/>
  <c r="W1076" i="16"/>
  <c r="X1076" i="16"/>
  <c r="V1077" i="16"/>
  <c r="W1077" i="16"/>
  <c r="X1077" i="16"/>
  <c r="V1078" i="16"/>
  <c r="W1078" i="16"/>
  <c r="X1078" i="16"/>
  <c r="V1079" i="16"/>
  <c r="W1079" i="16"/>
  <c r="X1079" i="16"/>
  <c r="V1080" i="16"/>
  <c r="W1080" i="16"/>
  <c r="X1080" i="16"/>
  <c r="V1081" i="16"/>
  <c r="W1081" i="16"/>
  <c r="X1081" i="16"/>
  <c r="V1082" i="16"/>
  <c r="W1082" i="16"/>
  <c r="X1082" i="16"/>
  <c r="V1083" i="16"/>
  <c r="W1083" i="16"/>
  <c r="X1083" i="16"/>
  <c r="V1084" i="16"/>
  <c r="W1084" i="16"/>
  <c r="X1084" i="16"/>
  <c r="V1085" i="16"/>
  <c r="W1085" i="16"/>
  <c r="X1085" i="16"/>
  <c r="V1086" i="16"/>
  <c r="W1086" i="16"/>
  <c r="X1086" i="16"/>
  <c r="V1087" i="16"/>
  <c r="W1087" i="16"/>
  <c r="X1087" i="16"/>
  <c r="X547" i="16"/>
  <c r="W547" i="16"/>
  <c r="V547" i="16"/>
  <c r="V6" i="16"/>
  <c r="W6" i="16"/>
  <c r="X6" i="16"/>
  <c r="V7" i="16"/>
  <c r="W7" i="16"/>
  <c r="X7" i="16"/>
  <c r="V8" i="16"/>
  <c r="W8" i="16"/>
  <c r="X8" i="16"/>
  <c r="V9" i="16"/>
  <c r="W9" i="16"/>
  <c r="X9" i="16"/>
  <c r="V10" i="16"/>
  <c r="W10" i="16"/>
  <c r="X10" i="16"/>
  <c r="V11" i="16"/>
  <c r="W11" i="16"/>
  <c r="X11" i="16"/>
  <c r="V12" i="16"/>
  <c r="W12" i="16"/>
  <c r="X12" i="16"/>
  <c r="V13" i="16"/>
  <c r="W13" i="16"/>
  <c r="X13" i="16"/>
  <c r="V14" i="16"/>
  <c r="W14" i="16"/>
  <c r="X14" i="16"/>
  <c r="V15" i="16"/>
  <c r="W15" i="16"/>
  <c r="X15" i="16"/>
  <c r="V16" i="16"/>
  <c r="W16" i="16"/>
  <c r="X16" i="16"/>
  <c r="V17" i="16"/>
  <c r="W17" i="16"/>
  <c r="X17" i="16"/>
  <c r="V18" i="16"/>
  <c r="W18" i="16"/>
  <c r="X18" i="16"/>
  <c r="V19" i="16"/>
  <c r="W19" i="16"/>
  <c r="X19" i="16"/>
  <c r="V20" i="16"/>
  <c r="W20" i="16"/>
  <c r="X20" i="16"/>
  <c r="V21" i="16"/>
  <c r="W21" i="16"/>
  <c r="X21" i="16"/>
  <c r="V22" i="16"/>
  <c r="W22" i="16"/>
  <c r="X22" i="16"/>
  <c r="V23" i="16"/>
  <c r="W23" i="16"/>
  <c r="X23" i="16"/>
  <c r="V24" i="16"/>
  <c r="W24" i="16"/>
  <c r="X24" i="16"/>
  <c r="V25" i="16"/>
  <c r="W25" i="16"/>
  <c r="X25" i="16"/>
  <c r="V26" i="16"/>
  <c r="W26" i="16"/>
  <c r="X26" i="16"/>
  <c r="V27" i="16"/>
  <c r="W27" i="16"/>
  <c r="X27" i="16"/>
  <c r="V28" i="16"/>
  <c r="W28" i="16"/>
  <c r="X28" i="16"/>
  <c r="V29" i="16"/>
  <c r="W29" i="16"/>
  <c r="X29" i="16"/>
  <c r="V30" i="16"/>
  <c r="W30" i="16"/>
  <c r="X30" i="16"/>
  <c r="V31" i="16"/>
  <c r="W31" i="16"/>
  <c r="X31" i="16"/>
  <c r="V32" i="16"/>
  <c r="W32" i="16"/>
  <c r="X32" i="16"/>
  <c r="V33" i="16"/>
  <c r="W33" i="16"/>
  <c r="X33" i="16"/>
  <c r="V34" i="16"/>
  <c r="W34" i="16"/>
  <c r="X34" i="16"/>
  <c r="V35" i="16"/>
  <c r="W35" i="16"/>
  <c r="X35" i="16"/>
  <c r="V36" i="16"/>
  <c r="W36" i="16"/>
  <c r="X36" i="16"/>
  <c r="V37" i="16"/>
  <c r="W37" i="16"/>
  <c r="X37" i="16"/>
  <c r="V38" i="16"/>
  <c r="W38" i="16"/>
  <c r="X38" i="16"/>
  <c r="V39" i="16"/>
  <c r="W39" i="16"/>
  <c r="X39" i="16"/>
  <c r="V40" i="16"/>
  <c r="W40" i="16"/>
  <c r="X40" i="16"/>
  <c r="V41" i="16"/>
  <c r="W41" i="16"/>
  <c r="X41" i="16"/>
  <c r="V42" i="16"/>
  <c r="W42" i="16"/>
  <c r="X42" i="16"/>
  <c r="V43" i="16"/>
  <c r="W43" i="16"/>
  <c r="X43" i="16"/>
  <c r="V44" i="16"/>
  <c r="W44" i="16"/>
  <c r="X44" i="16"/>
  <c r="V45" i="16"/>
  <c r="W45" i="16"/>
  <c r="X45" i="16"/>
  <c r="V46" i="16"/>
  <c r="W46" i="16"/>
  <c r="X46" i="16"/>
  <c r="V47" i="16"/>
  <c r="W47" i="16"/>
  <c r="X47" i="16"/>
  <c r="V48" i="16"/>
  <c r="W48" i="16"/>
  <c r="X48" i="16"/>
  <c r="V49" i="16"/>
  <c r="W49" i="16"/>
  <c r="X49" i="16"/>
  <c r="V50" i="16"/>
  <c r="W50" i="16"/>
  <c r="X50" i="16"/>
  <c r="V51" i="16"/>
  <c r="W51" i="16"/>
  <c r="X51" i="16"/>
  <c r="V52" i="16"/>
  <c r="W52" i="16"/>
  <c r="X52" i="16"/>
  <c r="V53" i="16"/>
  <c r="W53" i="16"/>
  <c r="X53" i="16"/>
  <c r="V54" i="16"/>
  <c r="W54" i="16"/>
  <c r="X54" i="16"/>
  <c r="V55" i="16"/>
  <c r="W55" i="16"/>
  <c r="X55" i="16"/>
  <c r="V56" i="16"/>
  <c r="W56" i="16"/>
  <c r="X56" i="16"/>
  <c r="V57" i="16"/>
  <c r="W57" i="16"/>
  <c r="X57" i="16"/>
  <c r="V58" i="16"/>
  <c r="W58" i="16"/>
  <c r="X58" i="16"/>
  <c r="V59" i="16"/>
  <c r="W59" i="16"/>
  <c r="X59" i="16"/>
  <c r="V60" i="16"/>
  <c r="W60" i="16"/>
  <c r="X60" i="16"/>
  <c r="V61" i="16"/>
  <c r="W61" i="16"/>
  <c r="X61" i="16"/>
  <c r="V62" i="16"/>
  <c r="W62" i="16"/>
  <c r="X62" i="16"/>
  <c r="V63" i="16"/>
  <c r="W63" i="16"/>
  <c r="X63" i="16"/>
  <c r="V64" i="16"/>
  <c r="W64" i="16"/>
  <c r="X64" i="16"/>
  <c r="V65" i="16"/>
  <c r="W65" i="16"/>
  <c r="X65" i="16"/>
  <c r="V66" i="16"/>
  <c r="W66" i="16"/>
  <c r="X66" i="16"/>
  <c r="V67" i="16"/>
  <c r="W67" i="16"/>
  <c r="X67" i="16"/>
  <c r="V68" i="16"/>
  <c r="W68" i="16"/>
  <c r="X68" i="16"/>
  <c r="V69" i="16"/>
  <c r="W69" i="16"/>
  <c r="X69" i="16"/>
  <c r="V70" i="16"/>
  <c r="W70" i="16"/>
  <c r="X70" i="16"/>
  <c r="V71" i="16"/>
  <c r="W71" i="16"/>
  <c r="X71" i="16"/>
  <c r="V72" i="16"/>
  <c r="W72" i="16"/>
  <c r="X72" i="16"/>
  <c r="V73" i="16"/>
  <c r="W73" i="16"/>
  <c r="X73" i="16"/>
  <c r="V74" i="16"/>
  <c r="W74" i="16"/>
  <c r="X74" i="16"/>
  <c r="V75" i="16"/>
  <c r="W75" i="16"/>
  <c r="X75" i="16"/>
  <c r="V76" i="16"/>
  <c r="W76" i="16"/>
  <c r="X76" i="16"/>
  <c r="V77" i="16"/>
  <c r="W77" i="16"/>
  <c r="X77" i="16"/>
  <c r="V78" i="16"/>
  <c r="W78" i="16"/>
  <c r="X78" i="16"/>
  <c r="V79" i="16"/>
  <c r="W79" i="16"/>
  <c r="X79" i="16"/>
  <c r="V80" i="16"/>
  <c r="W80" i="16"/>
  <c r="X80" i="16"/>
  <c r="V81" i="16"/>
  <c r="W81" i="16"/>
  <c r="X81" i="16"/>
  <c r="V82" i="16"/>
  <c r="W82" i="16"/>
  <c r="X82" i="16"/>
  <c r="V83" i="16"/>
  <c r="W83" i="16"/>
  <c r="X83" i="16"/>
  <c r="V84" i="16"/>
  <c r="W84" i="16"/>
  <c r="X84" i="16"/>
  <c r="V85" i="16"/>
  <c r="W85" i="16"/>
  <c r="X85" i="16"/>
  <c r="V86" i="16"/>
  <c r="W86" i="16"/>
  <c r="X86" i="16"/>
  <c r="V87" i="16"/>
  <c r="W87" i="16"/>
  <c r="X87" i="16"/>
  <c r="V88" i="16"/>
  <c r="W88" i="16"/>
  <c r="X88" i="16"/>
  <c r="V89" i="16"/>
  <c r="W89" i="16"/>
  <c r="X89" i="16"/>
  <c r="V90" i="16"/>
  <c r="W90" i="16"/>
  <c r="X90" i="16"/>
  <c r="V91" i="16"/>
  <c r="W91" i="16"/>
  <c r="X91" i="16"/>
  <c r="V92" i="16"/>
  <c r="W92" i="16"/>
  <c r="X92" i="16"/>
  <c r="V93" i="16"/>
  <c r="W93" i="16"/>
  <c r="X93" i="16"/>
  <c r="V94" i="16"/>
  <c r="W94" i="16"/>
  <c r="X94" i="16"/>
  <c r="V95" i="16"/>
  <c r="W95" i="16"/>
  <c r="X95" i="16"/>
  <c r="V96" i="16"/>
  <c r="W96" i="16"/>
  <c r="X96" i="16"/>
  <c r="V97" i="16"/>
  <c r="W97" i="16"/>
  <c r="X97" i="16"/>
  <c r="V98" i="16"/>
  <c r="W98" i="16"/>
  <c r="X98" i="16"/>
  <c r="V99" i="16"/>
  <c r="W99" i="16"/>
  <c r="X99" i="16"/>
  <c r="V100" i="16"/>
  <c r="W100" i="16"/>
  <c r="X100" i="16"/>
  <c r="V101" i="16"/>
  <c r="W101" i="16"/>
  <c r="X101" i="16"/>
  <c r="V102" i="16"/>
  <c r="W102" i="16"/>
  <c r="X102" i="16"/>
  <c r="V103" i="16"/>
  <c r="W103" i="16"/>
  <c r="X103" i="16"/>
  <c r="V104" i="16"/>
  <c r="W104" i="16"/>
  <c r="X104" i="16"/>
  <c r="V105" i="16"/>
  <c r="W105" i="16"/>
  <c r="X105" i="16"/>
  <c r="V106" i="16"/>
  <c r="W106" i="16"/>
  <c r="X106" i="16"/>
  <c r="V107" i="16"/>
  <c r="W107" i="16"/>
  <c r="X107" i="16"/>
  <c r="V108" i="16"/>
  <c r="W108" i="16"/>
  <c r="X108" i="16"/>
  <c r="V109" i="16"/>
  <c r="W109" i="16"/>
  <c r="X109" i="16"/>
  <c r="V110" i="16"/>
  <c r="W110" i="16"/>
  <c r="X110" i="16"/>
  <c r="V111" i="16"/>
  <c r="W111" i="16"/>
  <c r="X111" i="16"/>
  <c r="V112" i="16"/>
  <c r="W112" i="16"/>
  <c r="X112" i="16"/>
  <c r="V113" i="16"/>
  <c r="W113" i="16"/>
  <c r="X113" i="16"/>
  <c r="V114" i="16"/>
  <c r="W114" i="16"/>
  <c r="X114" i="16"/>
  <c r="V115" i="16"/>
  <c r="W115" i="16"/>
  <c r="X115" i="16"/>
  <c r="V116" i="16"/>
  <c r="W116" i="16"/>
  <c r="X116" i="16"/>
  <c r="V117" i="16"/>
  <c r="W117" i="16"/>
  <c r="X117" i="16"/>
  <c r="V118" i="16"/>
  <c r="W118" i="16"/>
  <c r="X118" i="16"/>
  <c r="V119" i="16"/>
  <c r="W119" i="16"/>
  <c r="X119" i="16"/>
  <c r="V120" i="16"/>
  <c r="W120" i="16"/>
  <c r="X120" i="16"/>
  <c r="V121" i="16"/>
  <c r="W121" i="16"/>
  <c r="X121" i="16"/>
  <c r="V122" i="16"/>
  <c r="W122" i="16"/>
  <c r="X122" i="16"/>
  <c r="V123" i="16"/>
  <c r="W123" i="16"/>
  <c r="X123" i="16"/>
  <c r="V124" i="16"/>
  <c r="W124" i="16"/>
  <c r="X124" i="16"/>
  <c r="V125" i="16"/>
  <c r="W125" i="16"/>
  <c r="X125" i="16"/>
  <c r="V126" i="16"/>
  <c r="W126" i="16"/>
  <c r="X126" i="16"/>
  <c r="V127" i="16"/>
  <c r="W127" i="16"/>
  <c r="X127" i="16"/>
  <c r="V128" i="16"/>
  <c r="W128" i="16"/>
  <c r="X128" i="16"/>
  <c r="V129" i="16"/>
  <c r="W129" i="16"/>
  <c r="X129" i="16"/>
  <c r="V130" i="16"/>
  <c r="W130" i="16"/>
  <c r="X130" i="16"/>
  <c r="V131" i="16"/>
  <c r="W131" i="16"/>
  <c r="X131" i="16"/>
  <c r="V132" i="16"/>
  <c r="W132" i="16"/>
  <c r="X132" i="16"/>
  <c r="V133" i="16"/>
  <c r="W133" i="16"/>
  <c r="X133" i="16"/>
  <c r="V134" i="16"/>
  <c r="W134" i="16"/>
  <c r="X134" i="16"/>
  <c r="V135" i="16"/>
  <c r="W135" i="16"/>
  <c r="X135" i="16"/>
  <c r="V136" i="16"/>
  <c r="W136" i="16"/>
  <c r="X136" i="16"/>
  <c r="V137" i="16"/>
  <c r="W137" i="16"/>
  <c r="X137" i="16"/>
  <c r="V138" i="16"/>
  <c r="W138" i="16"/>
  <c r="X138" i="16"/>
  <c r="V139" i="16"/>
  <c r="W139" i="16"/>
  <c r="X139" i="16"/>
  <c r="V140" i="16"/>
  <c r="W140" i="16"/>
  <c r="X140" i="16"/>
  <c r="V141" i="16"/>
  <c r="W141" i="16"/>
  <c r="X141" i="16"/>
  <c r="V142" i="16"/>
  <c r="W142" i="16"/>
  <c r="X142" i="16"/>
  <c r="V143" i="16"/>
  <c r="W143" i="16"/>
  <c r="X143" i="16"/>
  <c r="V144" i="16"/>
  <c r="W144" i="16"/>
  <c r="X144" i="16"/>
  <c r="V145" i="16"/>
  <c r="W145" i="16"/>
  <c r="X145" i="16"/>
  <c r="V146" i="16"/>
  <c r="W146" i="16"/>
  <c r="X146" i="16"/>
  <c r="V147" i="16"/>
  <c r="W147" i="16"/>
  <c r="X147" i="16"/>
  <c r="V148" i="16"/>
  <c r="W148" i="16"/>
  <c r="X148" i="16"/>
  <c r="V149" i="16"/>
  <c r="W149" i="16"/>
  <c r="X149" i="16"/>
  <c r="V150" i="16"/>
  <c r="W150" i="16"/>
  <c r="X150" i="16"/>
  <c r="V151" i="16"/>
  <c r="W151" i="16"/>
  <c r="X151" i="16"/>
  <c r="V152" i="16"/>
  <c r="W152" i="16"/>
  <c r="X152" i="16"/>
  <c r="V153" i="16"/>
  <c r="W153" i="16"/>
  <c r="X153" i="16"/>
  <c r="V154" i="16"/>
  <c r="W154" i="16"/>
  <c r="X154" i="16"/>
  <c r="V155" i="16"/>
  <c r="W155" i="16"/>
  <c r="X155" i="16"/>
  <c r="V156" i="16"/>
  <c r="W156" i="16"/>
  <c r="X156" i="16"/>
  <c r="V157" i="16"/>
  <c r="W157" i="16"/>
  <c r="X157" i="16"/>
  <c r="V158" i="16"/>
  <c r="W158" i="16"/>
  <c r="X158" i="16"/>
  <c r="V159" i="16"/>
  <c r="W159" i="16"/>
  <c r="X159" i="16"/>
  <c r="V160" i="16"/>
  <c r="W160" i="16"/>
  <c r="X160" i="16"/>
  <c r="V161" i="16"/>
  <c r="W161" i="16"/>
  <c r="X161" i="16"/>
  <c r="V162" i="16"/>
  <c r="W162" i="16"/>
  <c r="X162" i="16"/>
  <c r="V163" i="16"/>
  <c r="W163" i="16"/>
  <c r="X163" i="16"/>
  <c r="V164" i="16"/>
  <c r="W164" i="16"/>
  <c r="X164" i="16"/>
  <c r="V165" i="16"/>
  <c r="W165" i="16"/>
  <c r="X165" i="16"/>
  <c r="V166" i="16"/>
  <c r="W166" i="16"/>
  <c r="X166" i="16"/>
  <c r="V167" i="16"/>
  <c r="W167" i="16"/>
  <c r="X167" i="16"/>
  <c r="V168" i="16"/>
  <c r="W168" i="16"/>
  <c r="X168" i="16"/>
  <c r="V169" i="16"/>
  <c r="W169" i="16"/>
  <c r="X169" i="16"/>
  <c r="V170" i="16"/>
  <c r="W170" i="16"/>
  <c r="X170" i="16"/>
  <c r="V171" i="16"/>
  <c r="W171" i="16"/>
  <c r="X171" i="16"/>
  <c r="V172" i="16"/>
  <c r="W172" i="16"/>
  <c r="X172" i="16"/>
  <c r="V173" i="16"/>
  <c r="W173" i="16"/>
  <c r="X173" i="16"/>
  <c r="V174" i="16"/>
  <c r="W174" i="16"/>
  <c r="X174" i="16"/>
  <c r="V175" i="16"/>
  <c r="W175" i="16"/>
  <c r="X175" i="16"/>
  <c r="V176" i="16"/>
  <c r="W176" i="16"/>
  <c r="X176" i="16"/>
  <c r="V177" i="16"/>
  <c r="W177" i="16"/>
  <c r="X177" i="16"/>
  <c r="V178" i="16"/>
  <c r="W178" i="16"/>
  <c r="X178" i="16"/>
  <c r="V179" i="16"/>
  <c r="W179" i="16"/>
  <c r="X179" i="16"/>
  <c r="V180" i="16"/>
  <c r="W180" i="16"/>
  <c r="X180" i="16"/>
  <c r="V181" i="16"/>
  <c r="W181" i="16"/>
  <c r="X181" i="16"/>
  <c r="V182" i="16"/>
  <c r="W182" i="16"/>
  <c r="X182" i="16"/>
  <c r="V183" i="16"/>
  <c r="W183" i="16"/>
  <c r="X183" i="16"/>
  <c r="V184" i="16"/>
  <c r="W184" i="16"/>
  <c r="X184" i="16"/>
  <c r="V185" i="16"/>
  <c r="W185" i="16"/>
  <c r="X185" i="16"/>
  <c r="V186" i="16"/>
  <c r="W186" i="16"/>
  <c r="X186" i="16"/>
  <c r="V187" i="16"/>
  <c r="W187" i="16"/>
  <c r="X187" i="16"/>
  <c r="V188" i="16"/>
  <c r="W188" i="16"/>
  <c r="X188" i="16"/>
  <c r="V189" i="16"/>
  <c r="W189" i="16"/>
  <c r="X189" i="16"/>
  <c r="V190" i="16"/>
  <c r="W190" i="16"/>
  <c r="X190" i="16"/>
  <c r="V191" i="16"/>
  <c r="W191" i="16"/>
  <c r="X191" i="16"/>
  <c r="V192" i="16"/>
  <c r="W192" i="16"/>
  <c r="X192" i="16"/>
  <c r="V193" i="16"/>
  <c r="W193" i="16"/>
  <c r="X193" i="16"/>
  <c r="V194" i="16"/>
  <c r="W194" i="16"/>
  <c r="X194" i="16"/>
  <c r="V195" i="16"/>
  <c r="W195" i="16"/>
  <c r="X195" i="16"/>
  <c r="V196" i="16"/>
  <c r="W196" i="16"/>
  <c r="X196" i="16"/>
  <c r="V197" i="16"/>
  <c r="W197" i="16"/>
  <c r="X197" i="16"/>
  <c r="V198" i="16"/>
  <c r="W198" i="16"/>
  <c r="X198" i="16"/>
  <c r="V199" i="16"/>
  <c r="W199" i="16"/>
  <c r="X199" i="16"/>
  <c r="V200" i="16"/>
  <c r="W200" i="16"/>
  <c r="X200" i="16"/>
  <c r="V201" i="16"/>
  <c r="W201" i="16"/>
  <c r="X201" i="16"/>
  <c r="V202" i="16"/>
  <c r="W202" i="16"/>
  <c r="X202" i="16"/>
  <c r="V203" i="16"/>
  <c r="W203" i="16"/>
  <c r="X203" i="16"/>
  <c r="V204" i="16"/>
  <c r="W204" i="16"/>
  <c r="X204" i="16"/>
  <c r="V205" i="16"/>
  <c r="W205" i="16"/>
  <c r="X205" i="16"/>
  <c r="V206" i="16"/>
  <c r="W206" i="16"/>
  <c r="X206" i="16"/>
  <c r="V207" i="16"/>
  <c r="W207" i="16"/>
  <c r="X207" i="16"/>
  <c r="V208" i="16"/>
  <c r="W208" i="16"/>
  <c r="X208" i="16"/>
  <c r="V209" i="16"/>
  <c r="W209" i="16"/>
  <c r="X209" i="16"/>
  <c r="V210" i="16"/>
  <c r="W210" i="16"/>
  <c r="X210" i="16"/>
  <c r="V211" i="16"/>
  <c r="W211" i="16"/>
  <c r="X211" i="16"/>
  <c r="V212" i="16"/>
  <c r="W212" i="16"/>
  <c r="X212" i="16"/>
  <c r="V213" i="16"/>
  <c r="W213" i="16"/>
  <c r="X213" i="16"/>
  <c r="V214" i="16"/>
  <c r="W214" i="16"/>
  <c r="X214" i="16"/>
  <c r="V215" i="16"/>
  <c r="W215" i="16"/>
  <c r="X215" i="16"/>
  <c r="V216" i="16"/>
  <c r="W216" i="16"/>
  <c r="X216" i="16"/>
  <c r="V217" i="16"/>
  <c r="W217" i="16"/>
  <c r="X217" i="16"/>
  <c r="V218" i="16"/>
  <c r="W218" i="16"/>
  <c r="X218" i="16"/>
  <c r="V219" i="16"/>
  <c r="W219" i="16"/>
  <c r="X219" i="16"/>
  <c r="V220" i="16"/>
  <c r="W220" i="16"/>
  <c r="X220" i="16"/>
  <c r="V221" i="16"/>
  <c r="W221" i="16"/>
  <c r="X221" i="16"/>
  <c r="V222" i="16"/>
  <c r="W222" i="16"/>
  <c r="X222" i="16"/>
  <c r="V223" i="16"/>
  <c r="W223" i="16"/>
  <c r="X223" i="16"/>
  <c r="V224" i="16"/>
  <c r="W224" i="16"/>
  <c r="X224" i="16"/>
  <c r="V225" i="16"/>
  <c r="W225" i="16"/>
  <c r="X225" i="16"/>
  <c r="V226" i="16"/>
  <c r="W226" i="16"/>
  <c r="X226" i="16"/>
  <c r="V227" i="16"/>
  <c r="W227" i="16"/>
  <c r="X227" i="16"/>
  <c r="V228" i="16"/>
  <c r="W228" i="16"/>
  <c r="X228" i="16"/>
  <c r="V229" i="16"/>
  <c r="W229" i="16"/>
  <c r="X229" i="16"/>
  <c r="V230" i="16"/>
  <c r="W230" i="16"/>
  <c r="X230" i="16"/>
  <c r="V231" i="16"/>
  <c r="W231" i="16"/>
  <c r="X231" i="16"/>
  <c r="V232" i="16"/>
  <c r="W232" i="16"/>
  <c r="X232" i="16"/>
  <c r="V233" i="16"/>
  <c r="W233" i="16"/>
  <c r="X233" i="16"/>
  <c r="V234" i="16"/>
  <c r="W234" i="16"/>
  <c r="X234" i="16"/>
  <c r="V235" i="16"/>
  <c r="W235" i="16"/>
  <c r="X235" i="16"/>
  <c r="V236" i="16"/>
  <c r="W236" i="16"/>
  <c r="X236" i="16"/>
  <c r="V237" i="16"/>
  <c r="W237" i="16"/>
  <c r="X237" i="16"/>
  <c r="V238" i="16"/>
  <c r="W238" i="16"/>
  <c r="X238" i="16"/>
  <c r="V239" i="16"/>
  <c r="W239" i="16"/>
  <c r="X239" i="16"/>
  <c r="V240" i="16"/>
  <c r="W240" i="16"/>
  <c r="X240" i="16"/>
  <c r="V241" i="16"/>
  <c r="W241" i="16"/>
  <c r="X241" i="16"/>
  <c r="V242" i="16"/>
  <c r="W242" i="16"/>
  <c r="X242" i="16"/>
  <c r="V243" i="16"/>
  <c r="W243" i="16"/>
  <c r="X243" i="16"/>
  <c r="V244" i="16"/>
  <c r="W244" i="16"/>
  <c r="X244" i="16"/>
  <c r="V245" i="16"/>
  <c r="W245" i="16"/>
  <c r="X245" i="16"/>
  <c r="V246" i="16"/>
  <c r="W246" i="16"/>
  <c r="X246" i="16"/>
  <c r="V247" i="16"/>
  <c r="W247" i="16"/>
  <c r="X247" i="16"/>
  <c r="V248" i="16"/>
  <c r="W248" i="16"/>
  <c r="X248" i="16"/>
  <c r="V249" i="16"/>
  <c r="W249" i="16"/>
  <c r="X249" i="16"/>
  <c r="V250" i="16"/>
  <c r="W250" i="16"/>
  <c r="X250" i="16"/>
  <c r="V251" i="16"/>
  <c r="W251" i="16"/>
  <c r="X251" i="16"/>
  <c r="V252" i="16"/>
  <c r="W252" i="16"/>
  <c r="X252" i="16"/>
  <c r="V253" i="16"/>
  <c r="W253" i="16"/>
  <c r="X253" i="16"/>
  <c r="V254" i="16"/>
  <c r="W254" i="16"/>
  <c r="X254" i="16"/>
  <c r="V255" i="16"/>
  <c r="W255" i="16"/>
  <c r="X255" i="16"/>
  <c r="V256" i="16"/>
  <c r="W256" i="16"/>
  <c r="X256" i="16"/>
  <c r="V257" i="16"/>
  <c r="W257" i="16"/>
  <c r="X257" i="16"/>
  <c r="V258" i="16"/>
  <c r="W258" i="16"/>
  <c r="X258" i="16"/>
  <c r="V259" i="16"/>
  <c r="W259" i="16"/>
  <c r="X259" i="16"/>
  <c r="V260" i="16"/>
  <c r="W260" i="16"/>
  <c r="X260" i="16"/>
  <c r="V261" i="16"/>
  <c r="W261" i="16"/>
  <c r="X261" i="16"/>
  <c r="V262" i="16"/>
  <c r="W262" i="16"/>
  <c r="X262" i="16"/>
  <c r="V263" i="16"/>
  <c r="W263" i="16"/>
  <c r="X263" i="16"/>
  <c r="V264" i="16"/>
  <c r="W264" i="16"/>
  <c r="X264" i="16"/>
  <c r="V265" i="16"/>
  <c r="W265" i="16"/>
  <c r="X265" i="16"/>
  <c r="V266" i="16"/>
  <c r="W266" i="16"/>
  <c r="X266" i="16"/>
  <c r="V267" i="16"/>
  <c r="W267" i="16"/>
  <c r="X267" i="16"/>
  <c r="V268" i="16"/>
  <c r="W268" i="16"/>
  <c r="X268" i="16"/>
  <c r="V269" i="16"/>
  <c r="W269" i="16"/>
  <c r="X269" i="16"/>
  <c r="V270" i="16"/>
  <c r="W270" i="16"/>
  <c r="X270" i="16"/>
  <c r="V271" i="16"/>
  <c r="W271" i="16"/>
  <c r="X271" i="16"/>
  <c r="V272" i="16"/>
  <c r="W272" i="16"/>
  <c r="X272" i="16"/>
  <c r="V273" i="16"/>
  <c r="W273" i="16"/>
  <c r="X273" i="16"/>
  <c r="V274" i="16"/>
  <c r="W274" i="16"/>
  <c r="X274" i="16"/>
  <c r="V275" i="16"/>
  <c r="W275" i="16"/>
  <c r="X275" i="16"/>
  <c r="V276" i="16"/>
  <c r="W276" i="16"/>
  <c r="X276" i="16"/>
  <c r="V277" i="16"/>
  <c r="W277" i="16"/>
  <c r="X277" i="16"/>
  <c r="V278" i="16"/>
  <c r="W278" i="16"/>
  <c r="X278" i="16"/>
  <c r="V279" i="16"/>
  <c r="W279" i="16"/>
  <c r="X279" i="16"/>
  <c r="V280" i="16"/>
  <c r="W280" i="16"/>
  <c r="X280" i="16"/>
  <c r="V281" i="16"/>
  <c r="W281" i="16"/>
  <c r="X281" i="16"/>
  <c r="V282" i="16"/>
  <c r="W282" i="16"/>
  <c r="X282" i="16"/>
  <c r="V283" i="16"/>
  <c r="W283" i="16"/>
  <c r="X283" i="16"/>
  <c r="V284" i="16"/>
  <c r="W284" i="16"/>
  <c r="X284" i="16"/>
  <c r="V285" i="16"/>
  <c r="W285" i="16"/>
  <c r="X285" i="16"/>
  <c r="V286" i="16"/>
  <c r="W286" i="16"/>
  <c r="X286" i="16"/>
  <c r="V287" i="16"/>
  <c r="W287" i="16"/>
  <c r="X287" i="16"/>
  <c r="V288" i="16"/>
  <c r="W288" i="16"/>
  <c r="X288" i="16"/>
  <c r="V289" i="16"/>
  <c r="W289" i="16"/>
  <c r="X289" i="16"/>
  <c r="V290" i="16"/>
  <c r="W290" i="16"/>
  <c r="X290" i="16"/>
  <c r="V291" i="16"/>
  <c r="W291" i="16"/>
  <c r="X291" i="16"/>
  <c r="V292" i="16"/>
  <c r="W292" i="16"/>
  <c r="X292" i="16"/>
  <c r="V293" i="16"/>
  <c r="W293" i="16"/>
  <c r="X293" i="16"/>
  <c r="V294" i="16"/>
  <c r="W294" i="16"/>
  <c r="X294" i="16"/>
  <c r="V295" i="16"/>
  <c r="W295" i="16"/>
  <c r="X295" i="16"/>
  <c r="V296" i="16"/>
  <c r="W296" i="16"/>
  <c r="X296" i="16"/>
  <c r="V297" i="16"/>
  <c r="W297" i="16"/>
  <c r="X297" i="16"/>
  <c r="V298" i="16"/>
  <c r="W298" i="16"/>
  <c r="X298" i="16"/>
  <c r="V299" i="16"/>
  <c r="W299" i="16"/>
  <c r="X299" i="16"/>
  <c r="V300" i="16"/>
  <c r="W300" i="16"/>
  <c r="X300" i="16"/>
  <c r="V301" i="16"/>
  <c r="W301" i="16"/>
  <c r="X301" i="16"/>
  <c r="V302" i="16"/>
  <c r="W302" i="16"/>
  <c r="X302" i="16"/>
  <c r="V303" i="16"/>
  <c r="W303" i="16"/>
  <c r="X303" i="16"/>
  <c r="V304" i="16"/>
  <c r="W304" i="16"/>
  <c r="X304" i="16"/>
  <c r="V305" i="16"/>
  <c r="W305" i="16"/>
  <c r="X305" i="16"/>
  <c r="V306" i="16"/>
  <c r="W306" i="16"/>
  <c r="X306" i="16"/>
  <c r="V307" i="16"/>
  <c r="W307" i="16"/>
  <c r="X307" i="16"/>
  <c r="V308" i="16"/>
  <c r="W308" i="16"/>
  <c r="X308" i="16"/>
  <c r="V309" i="16"/>
  <c r="W309" i="16"/>
  <c r="X309" i="16"/>
  <c r="V310" i="16"/>
  <c r="W310" i="16"/>
  <c r="X310" i="16"/>
  <c r="V311" i="16"/>
  <c r="W311" i="16"/>
  <c r="X311" i="16"/>
  <c r="V312" i="16"/>
  <c r="W312" i="16"/>
  <c r="X312" i="16"/>
  <c r="V313" i="16"/>
  <c r="W313" i="16"/>
  <c r="X313" i="16"/>
  <c r="V314" i="16"/>
  <c r="W314" i="16"/>
  <c r="X314" i="16"/>
  <c r="V315" i="16"/>
  <c r="W315" i="16"/>
  <c r="X315" i="16"/>
  <c r="V316" i="16"/>
  <c r="W316" i="16"/>
  <c r="X316" i="16"/>
  <c r="V317" i="16"/>
  <c r="W317" i="16"/>
  <c r="X317" i="16"/>
  <c r="V318" i="16"/>
  <c r="W318" i="16"/>
  <c r="X318" i="16"/>
  <c r="V319" i="16"/>
  <c r="W319" i="16"/>
  <c r="X319" i="16"/>
  <c r="V320" i="16"/>
  <c r="W320" i="16"/>
  <c r="X320" i="16"/>
  <c r="V321" i="16"/>
  <c r="W321" i="16"/>
  <c r="X321" i="16"/>
  <c r="V322" i="16"/>
  <c r="W322" i="16"/>
  <c r="X322" i="16"/>
  <c r="V323" i="16"/>
  <c r="W323" i="16"/>
  <c r="X323" i="16"/>
  <c r="V324" i="16"/>
  <c r="W324" i="16"/>
  <c r="X324" i="16"/>
  <c r="V325" i="16"/>
  <c r="W325" i="16"/>
  <c r="X325" i="16"/>
  <c r="V326" i="16"/>
  <c r="W326" i="16"/>
  <c r="X326" i="16"/>
  <c r="V327" i="16"/>
  <c r="W327" i="16"/>
  <c r="X327" i="16"/>
  <c r="V328" i="16"/>
  <c r="W328" i="16"/>
  <c r="X328" i="16"/>
  <c r="V329" i="16"/>
  <c r="W329" i="16"/>
  <c r="X329" i="16"/>
  <c r="V330" i="16"/>
  <c r="W330" i="16"/>
  <c r="X330" i="16"/>
  <c r="V331" i="16"/>
  <c r="W331" i="16"/>
  <c r="X331" i="16"/>
  <c r="V332" i="16"/>
  <c r="W332" i="16"/>
  <c r="X332" i="16"/>
  <c r="V333" i="16"/>
  <c r="W333" i="16"/>
  <c r="X333" i="16"/>
  <c r="V334" i="16"/>
  <c r="W334" i="16"/>
  <c r="X334" i="16"/>
  <c r="V335" i="16"/>
  <c r="W335" i="16"/>
  <c r="X335" i="16"/>
  <c r="V336" i="16"/>
  <c r="W336" i="16"/>
  <c r="X336" i="16"/>
  <c r="V337" i="16"/>
  <c r="W337" i="16"/>
  <c r="X337" i="16"/>
  <c r="V338" i="16"/>
  <c r="W338" i="16"/>
  <c r="X338" i="16"/>
  <c r="V339" i="16"/>
  <c r="W339" i="16"/>
  <c r="X339" i="16"/>
  <c r="V340" i="16"/>
  <c r="W340" i="16"/>
  <c r="X340" i="16"/>
  <c r="V341" i="16"/>
  <c r="W341" i="16"/>
  <c r="X341" i="16"/>
  <c r="V342" i="16"/>
  <c r="W342" i="16"/>
  <c r="X342" i="16"/>
  <c r="V343" i="16"/>
  <c r="W343" i="16"/>
  <c r="X343" i="16"/>
  <c r="V344" i="16"/>
  <c r="W344" i="16"/>
  <c r="X344" i="16"/>
  <c r="V345" i="16"/>
  <c r="W345" i="16"/>
  <c r="X345" i="16"/>
  <c r="V346" i="16"/>
  <c r="W346" i="16"/>
  <c r="X346" i="16"/>
  <c r="V347" i="16"/>
  <c r="W347" i="16"/>
  <c r="X347" i="16"/>
  <c r="V348" i="16"/>
  <c r="W348" i="16"/>
  <c r="X348" i="16"/>
  <c r="V349" i="16"/>
  <c r="W349" i="16"/>
  <c r="X349" i="16"/>
  <c r="V350" i="16"/>
  <c r="W350" i="16"/>
  <c r="X350" i="16"/>
  <c r="V351" i="16"/>
  <c r="W351" i="16"/>
  <c r="X351" i="16"/>
  <c r="V352" i="16"/>
  <c r="W352" i="16"/>
  <c r="X352" i="16"/>
  <c r="V353" i="16"/>
  <c r="W353" i="16"/>
  <c r="X353" i="16"/>
  <c r="V354" i="16"/>
  <c r="W354" i="16"/>
  <c r="X354" i="16"/>
  <c r="V355" i="16"/>
  <c r="W355" i="16"/>
  <c r="X355" i="16"/>
  <c r="V356" i="16"/>
  <c r="W356" i="16"/>
  <c r="X356" i="16"/>
  <c r="V357" i="16"/>
  <c r="W357" i="16"/>
  <c r="X357" i="16"/>
  <c r="V358" i="16"/>
  <c r="W358" i="16"/>
  <c r="X358" i="16"/>
  <c r="V359" i="16"/>
  <c r="W359" i="16"/>
  <c r="X359" i="16"/>
  <c r="V360" i="16"/>
  <c r="W360" i="16"/>
  <c r="X360" i="16"/>
  <c r="V361" i="16"/>
  <c r="W361" i="16"/>
  <c r="X361" i="16"/>
  <c r="V362" i="16"/>
  <c r="W362" i="16"/>
  <c r="X362" i="16"/>
  <c r="V363" i="16"/>
  <c r="W363" i="16"/>
  <c r="X363" i="16"/>
  <c r="V364" i="16"/>
  <c r="W364" i="16"/>
  <c r="X364" i="16"/>
  <c r="V365" i="16"/>
  <c r="W365" i="16"/>
  <c r="X365" i="16"/>
  <c r="V366" i="16"/>
  <c r="W366" i="16"/>
  <c r="X366" i="16"/>
  <c r="V367" i="16"/>
  <c r="W367" i="16"/>
  <c r="X367" i="16"/>
  <c r="V368" i="16"/>
  <c r="W368" i="16"/>
  <c r="X368" i="16"/>
  <c r="V369" i="16"/>
  <c r="W369" i="16"/>
  <c r="X369" i="16"/>
  <c r="V370" i="16"/>
  <c r="W370" i="16"/>
  <c r="X370" i="16"/>
  <c r="V371" i="16"/>
  <c r="W371" i="16"/>
  <c r="X371" i="16"/>
  <c r="V372" i="16"/>
  <c r="W372" i="16"/>
  <c r="X372" i="16"/>
  <c r="V373" i="16"/>
  <c r="W373" i="16"/>
  <c r="X373" i="16"/>
  <c r="V374" i="16"/>
  <c r="W374" i="16"/>
  <c r="X374" i="16"/>
  <c r="V375" i="16"/>
  <c r="W375" i="16"/>
  <c r="X375" i="16"/>
  <c r="V376" i="16"/>
  <c r="W376" i="16"/>
  <c r="X376" i="16"/>
  <c r="V377" i="16"/>
  <c r="W377" i="16"/>
  <c r="X377" i="16"/>
  <c r="V378" i="16"/>
  <c r="W378" i="16"/>
  <c r="X378" i="16"/>
  <c r="V379" i="16"/>
  <c r="W379" i="16"/>
  <c r="X379" i="16"/>
  <c r="V380" i="16"/>
  <c r="W380" i="16"/>
  <c r="X380" i="16"/>
  <c r="V381" i="16"/>
  <c r="W381" i="16"/>
  <c r="X381" i="16"/>
  <c r="V382" i="16"/>
  <c r="W382" i="16"/>
  <c r="X382" i="16"/>
  <c r="V383" i="16"/>
  <c r="W383" i="16"/>
  <c r="X383" i="16"/>
  <c r="V384" i="16"/>
  <c r="W384" i="16"/>
  <c r="X384" i="16"/>
  <c r="V385" i="16"/>
  <c r="W385" i="16"/>
  <c r="X385" i="16"/>
  <c r="V386" i="16"/>
  <c r="W386" i="16"/>
  <c r="X386" i="16"/>
  <c r="V387" i="16"/>
  <c r="W387" i="16"/>
  <c r="X387" i="16"/>
  <c r="V388" i="16"/>
  <c r="W388" i="16"/>
  <c r="X388" i="16"/>
  <c r="V389" i="16"/>
  <c r="W389" i="16"/>
  <c r="X389" i="16"/>
  <c r="V390" i="16"/>
  <c r="W390" i="16"/>
  <c r="X390" i="16"/>
  <c r="V391" i="16"/>
  <c r="W391" i="16"/>
  <c r="X391" i="16"/>
  <c r="V392" i="16"/>
  <c r="W392" i="16"/>
  <c r="X392" i="16"/>
  <c r="V393" i="16"/>
  <c r="W393" i="16"/>
  <c r="X393" i="16"/>
  <c r="V394" i="16"/>
  <c r="W394" i="16"/>
  <c r="X394" i="16"/>
  <c r="V395" i="16"/>
  <c r="W395" i="16"/>
  <c r="X395" i="16"/>
  <c r="V396" i="16"/>
  <c r="W396" i="16"/>
  <c r="X396" i="16"/>
  <c r="V397" i="16"/>
  <c r="W397" i="16"/>
  <c r="X397" i="16"/>
  <c r="V398" i="16"/>
  <c r="W398" i="16"/>
  <c r="X398" i="16"/>
  <c r="V399" i="16"/>
  <c r="W399" i="16"/>
  <c r="X399" i="16"/>
  <c r="V400" i="16"/>
  <c r="W400" i="16"/>
  <c r="X400" i="16"/>
  <c r="V401" i="16"/>
  <c r="W401" i="16"/>
  <c r="X401" i="16"/>
  <c r="V402" i="16"/>
  <c r="W402" i="16"/>
  <c r="X402" i="16"/>
  <c r="V403" i="16"/>
  <c r="W403" i="16"/>
  <c r="X403" i="16"/>
  <c r="V404" i="16"/>
  <c r="W404" i="16"/>
  <c r="X404" i="16"/>
  <c r="V405" i="16"/>
  <c r="W405" i="16"/>
  <c r="X405" i="16"/>
  <c r="V406" i="16"/>
  <c r="W406" i="16"/>
  <c r="X406" i="16"/>
  <c r="V407" i="16"/>
  <c r="W407" i="16"/>
  <c r="X407" i="16"/>
  <c r="V408" i="16"/>
  <c r="W408" i="16"/>
  <c r="X408" i="16"/>
  <c r="V409" i="16"/>
  <c r="W409" i="16"/>
  <c r="X409" i="16"/>
  <c r="V410" i="16"/>
  <c r="W410" i="16"/>
  <c r="X410" i="16"/>
  <c r="V411" i="16"/>
  <c r="W411" i="16"/>
  <c r="X411" i="16"/>
  <c r="V412" i="16"/>
  <c r="W412" i="16"/>
  <c r="X412" i="16"/>
  <c r="V413" i="16"/>
  <c r="W413" i="16"/>
  <c r="X413" i="16"/>
  <c r="V414" i="16"/>
  <c r="W414" i="16"/>
  <c r="X414" i="16"/>
  <c r="V415" i="16"/>
  <c r="W415" i="16"/>
  <c r="X415" i="16"/>
  <c r="V416" i="16"/>
  <c r="W416" i="16"/>
  <c r="X416" i="16"/>
  <c r="V417" i="16"/>
  <c r="W417" i="16"/>
  <c r="X417" i="16"/>
  <c r="V418" i="16"/>
  <c r="W418" i="16"/>
  <c r="X418" i="16"/>
  <c r="V419" i="16"/>
  <c r="W419" i="16"/>
  <c r="X419" i="16"/>
  <c r="V420" i="16"/>
  <c r="W420" i="16"/>
  <c r="X420" i="16"/>
  <c r="V421" i="16"/>
  <c r="W421" i="16"/>
  <c r="X421" i="16"/>
  <c r="V422" i="16"/>
  <c r="W422" i="16"/>
  <c r="X422" i="16"/>
  <c r="V423" i="16"/>
  <c r="W423" i="16"/>
  <c r="X423" i="16"/>
  <c r="V424" i="16"/>
  <c r="W424" i="16"/>
  <c r="X424" i="16"/>
  <c r="V425" i="16"/>
  <c r="W425" i="16"/>
  <c r="X425" i="16"/>
  <c r="V426" i="16"/>
  <c r="W426" i="16"/>
  <c r="X426" i="16"/>
  <c r="V427" i="16"/>
  <c r="W427" i="16"/>
  <c r="X427" i="16"/>
  <c r="V428" i="16"/>
  <c r="W428" i="16"/>
  <c r="X428" i="16"/>
  <c r="V429" i="16"/>
  <c r="W429" i="16"/>
  <c r="X429" i="16"/>
  <c r="V430" i="16"/>
  <c r="W430" i="16"/>
  <c r="X430" i="16"/>
  <c r="V431" i="16"/>
  <c r="W431" i="16"/>
  <c r="X431" i="16"/>
  <c r="V432" i="16"/>
  <c r="W432" i="16"/>
  <c r="X432" i="16"/>
  <c r="V433" i="16"/>
  <c r="W433" i="16"/>
  <c r="X433" i="16"/>
  <c r="V434" i="16"/>
  <c r="W434" i="16"/>
  <c r="X434" i="16"/>
  <c r="V435" i="16"/>
  <c r="W435" i="16"/>
  <c r="X435" i="16"/>
  <c r="V436" i="16"/>
  <c r="W436" i="16"/>
  <c r="X436" i="16"/>
  <c r="V437" i="16"/>
  <c r="W437" i="16"/>
  <c r="X437" i="16"/>
  <c r="V438" i="16"/>
  <c r="W438" i="16"/>
  <c r="X438" i="16"/>
  <c r="V439" i="16"/>
  <c r="W439" i="16"/>
  <c r="X439" i="16"/>
  <c r="V440" i="16"/>
  <c r="W440" i="16"/>
  <c r="X440" i="16"/>
  <c r="V441" i="16"/>
  <c r="W441" i="16"/>
  <c r="X441" i="16"/>
  <c r="V442" i="16"/>
  <c r="W442" i="16"/>
  <c r="X442" i="16"/>
  <c r="V443" i="16"/>
  <c r="W443" i="16"/>
  <c r="X443" i="16"/>
  <c r="V444" i="16"/>
  <c r="W444" i="16"/>
  <c r="X444" i="16"/>
  <c r="V445" i="16"/>
  <c r="W445" i="16"/>
  <c r="X445" i="16"/>
  <c r="V446" i="16"/>
  <c r="W446" i="16"/>
  <c r="X446" i="16"/>
  <c r="V447" i="16"/>
  <c r="W447" i="16"/>
  <c r="X447" i="16"/>
  <c r="V448" i="16"/>
  <c r="W448" i="16"/>
  <c r="X448" i="16"/>
  <c r="V449" i="16"/>
  <c r="W449" i="16"/>
  <c r="X449" i="16"/>
  <c r="V450" i="16"/>
  <c r="W450" i="16"/>
  <c r="X450" i="16"/>
  <c r="V451" i="16"/>
  <c r="W451" i="16"/>
  <c r="X451" i="16"/>
  <c r="V452" i="16"/>
  <c r="W452" i="16"/>
  <c r="X452" i="16"/>
  <c r="V453" i="16"/>
  <c r="W453" i="16"/>
  <c r="X453" i="16"/>
  <c r="V454" i="16"/>
  <c r="W454" i="16"/>
  <c r="X454" i="16"/>
  <c r="V455" i="16"/>
  <c r="W455" i="16"/>
  <c r="X455" i="16"/>
  <c r="V456" i="16"/>
  <c r="W456" i="16"/>
  <c r="X456" i="16"/>
  <c r="V457" i="16"/>
  <c r="W457" i="16"/>
  <c r="X457" i="16"/>
  <c r="V458" i="16"/>
  <c r="W458" i="16"/>
  <c r="X458" i="16"/>
  <c r="V459" i="16"/>
  <c r="W459" i="16"/>
  <c r="X459" i="16"/>
  <c r="V460" i="16"/>
  <c r="W460" i="16"/>
  <c r="X460" i="16"/>
  <c r="V461" i="16"/>
  <c r="W461" i="16"/>
  <c r="X461" i="16"/>
  <c r="V462" i="16"/>
  <c r="W462" i="16"/>
  <c r="X462" i="16"/>
  <c r="V463" i="16"/>
  <c r="W463" i="16"/>
  <c r="X463" i="16"/>
  <c r="V464" i="16"/>
  <c r="W464" i="16"/>
  <c r="X464" i="16"/>
  <c r="V465" i="16"/>
  <c r="W465" i="16"/>
  <c r="X465" i="16"/>
  <c r="V466" i="16"/>
  <c r="W466" i="16"/>
  <c r="X466" i="16"/>
  <c r="V467" i="16"/>
  <c r="W467" i="16"/>
  <c r="X467" i="16"/>
  <c r="V468" i="16"/>
  <c r="W468" i="16"/>
  <c r="X468" i="16"/>
  <c r="V469" i="16"/>
  <c r="W469" i="16"/>
  <c r="X469" i="16"/>
  <c r="V470" i="16"/>
  <c r="W470" i="16"/>
  <c r="X470" i="16"/>
  <c r="V471" i="16"/>
  <c r="W471" i="16"/>
  <c r="X471" i="16"/>
  <c r="V472" i="16"/>
  <c r="W472" i="16"/>
  <c r="X472" i="16"/>
  <c r="V473" i="16"/>
  <c r="W473" i="16"/>
  <c r="X473" i="16"/>
  <c r="V474" i="16"/>
  <c r="W474" i="16"/>
  <c r="X474" i="16"/>
  <c r="V475" i="16"/>
  <c r="W475" i="16"/>
  <c r="X475" i="16"/>
  <c r="V476" i="16"/>
  <c r="W476" i="16"/>
  <c r="X476" i="16"/>
  <c r="V477" i="16"/>
  <c r="W477" i="16"/>
  <c r="X477" i="16"/>
  <c r="V478" i="16"/>
  <c r="W478" i="16"/>
  <c r="X478" i="16"/>
  <c r="V479" i="16"/>
  <c r="W479" i="16"/>
  <c r="X479" i="16"/>
  <c r="V480" i="16"/>
  <c r="W480" i="16"/>
  <c r="X480" i="16"/>
  <c r="V481" i="16"/>
  <c r="W481" i="16"/>
  <c r="X481" i="16"/>
  <c r="V482" i="16"/>
  <c r="W482" i="16"/>
  <c r="X482" i="16"/>
  <c r="V483" i="16"/>
  <c r="W483" i="16"/>
  <c r="X483" i="16"/>
  <c r="V484" i="16"/>
  <c r="W484" i="16"/>
  <c r="X484" i="16"/>
  <c r="V485" i="16"/>
  <c r="W485" i="16"/>
  <c r="X485" i="16"/>
  <c r="V486" i="16"/>
  <c r="W486" i="16"/>
  <c r="X486" i="16"/>
  <c r="V487" i="16"/>
  <c r="W487" i="16"/>
  <c r="X487" i="16"/>
  <c r="V488" i="16"/>
  <c r="W488" i="16"/>
  <c r="X488" i="16"/>
  <c r="V489" i="16"/>
  <c r="W489" i="16"/>
  <c r="X489" i="16"/>
  <c r="V490" i="16"/>
  <c r="W490" i="16"/>
  <c r="X490" i="16"/>
  <c r="V491" i="16"/>
  <c r="W491" i="16"/>
  <c r="X491" i="16"/>
  <c r="V492" i="16"/>
  <c r="W492" i="16"/>
  <c r="X492" i="16"/>
  <c r="V493" i="16"/>
  <c r="W493" i="16"/>
  <c r="X493" i="16"/>
  <c r="V494" i="16"/>
  <c r="W494" i="16"/>
  <c r="X494" i="16"/>
  <c r="V495" i="16"/>
  <c r="W495" i="16"/>
  <c r="X495" i="16"/>
  <c r="V496" i="16"/>
  <c r="W496" i="16"/>
  <c r="X496" i="16"/>
  <c r="V497" i="16"/>
  <c r="W497" i="16"/>
  <c r="X497" i="16"/>
  <c r="V498" i="16"/>
  <c r="W498" i="16"/>
  <c r="X498" i="16"/>
  <c r="V499" i="16"/>
  <c r="W499" i="16"/>
  <c r="X499" i="16"/>
  <c r="V500" i="16"/>
  <c r="W500" i="16"/>
  <c r="X500" i="16"/>
  <c r="V501" i="16"/>
  <c r="W501" i="16"/>
  <c r="X501" i="16"/>
  <c r="V502" i="16"/>
  <c r="W502" i="16"/>
  <c r="X502" i="16"/>
  <c r="V503" i="16"/>
  <c r="W503" i="16"/>
  <c r="X503" i="16"/>
  <c r="V504" i="16"/>
  <c r="W504" i="16"/>
  <c r="X504" i="16"/>
  <c r="V505" i="16"/>
  <c r="W505" i="16"/>
  <c r="X505" i="16"/>
  <c r="V506" i="16"/>
  <c r="W506" i="16"/>
  <c r="X506" i="16"/>
  <c r="V507" i="16"/>
  <c r="W507" i="16"/>
  <c r="X507" i="16"/>
  <c r="V508" i="16"/>
  <c r="W508" i="16"/>
  <c r="X508" i="16"/>
  <c r="V509" i="16"/>
  <c r="W509" i="16"/>
  <c r="X509" i="16"/>
  <c r="V510" i="16"/>
  <c r="W510" i="16"/>
  <c r="X510" i="16"/>
  <c r="V511" i="16"/>
  <c r="W511" i="16"/>
  <c r="X511" i="16"/>
  <c r="V512" i="16"/>
  <c r="W512" i="16"/>
  <c r="X512" i="16"/>
  <c r="V513" i="16"/>
  <c r="W513" i="16"/>
  <c r="X513" i="16"/>
  <c r="V514" i="16"/>
  <c r="W514" i="16"/>
  <c r="X514" i="16"/>
  <c r="V515" i="16"/>
  <c r="W515" i="16"/>
  <c r="X515" i="16"/>
  <c r="V516" i="16"/>
  <c r="W516" i="16"/>
  <c r="X516" i="16"/>
  <c r="V517" i="16"/>
  <c r="W517" i="16"/>
  <c r="X517" i="16"/>
  <c r="V518" i="16"/>
  <c r="W518" i="16"/>
  <c r="X518" i="16"/>
  <c r="V519" i="16"/>
  <c r="W519" i="16"/>
  <c r="X519" i="16"/>
  <c r="V520" i="16"/>
  <c r="W520" i="16"/>
  <c r="X520" i="16"/>
  <c r="V521" i="16"/>
  <c r="W521" i="16"/>
  <c r="X521" i="16"/>
  <c r="V522" i="16"/>
  <c r="W522" i="16"/>
  <c r="X522" i="16"/>
  <c r="V523" i="16"/>
  <c r="W523" i="16"/>
  <c r="X523" i="16"/>
  <c r="V524" i="16"/>
  <c r="W524" i="16"/>
  <c r="X524" i="16"/>
  <c r="V525" i="16"/>
  <c r="W525" i="16"/>
  <c r="X525" i="16"/>
  <c r="V526" i="16"/>
  <c r="W526" i="16"/>
  <c r="X526" i="16"/>
  <c r="V527" i="16"/>
  <c r="W527" i="16"/>
  <c r="X527" i="16"/>
  <c r="V528" i="16"/>
  <c r="W528" i="16"/>
  <c r="X528" i="16"/>
  <c r="V529" i="16"/>
  <c r="W529" i="16"/>
  <c r="X529" i="16"/>
  <c r="V530" i="16"/>
  <c r="W530" i="16"/>
  <c r="X530" i="16"/>
  <c r="V531" i="16"/>
  <c r="W531" i="16"/>
  <c r="X531" i="16"/>
  <c r="V532" i="16"/>
  <c r="W532" i="16"/>
  <c r="X532" i="16"/>
  <c r="V533" i="16"/>
  <c r="W533" i="16"/>
  <c r="X533" i="16"/>
  <c r="V534" i="16"/>
  <c r="W534" i="16"/>
  <c r="X534" i="16"/>
  <c r="V535" i="16"/>
  <c r="W535" i="16"/>
  <c r="X535" i="16"/>
  <c r="V536" i="16"/>
  <c r="W536" i="16"/>
  <c r="X536" i="16"/>
  <c r="V537" i="16"/>
  <c r="W537" i="16"/>
  <c r="X537" i="16"/>
  <c r="V538" i="16"/>
  <c r="W538" i="16"/>
  <c r="X538" i="16"/>
  <c r="V539" i="16"/>
  <c r="W539" i="16"/>
  <c r="X539" i="16"/>
  <c r="V540" i="16"/>
  <c r="W540" i="16"/>
  <c r="X540" i="16"/>
  <c r="V541" i="16"/>
  <c r="W541" i="16"/>
  <c r="X541" i="16"/>
  <c r="V542" i="16"/>
  <c r="W542" i="16"/>
  <c r="X542" i="16"/>
  <c r="V543" i="16"/>
  <c r="W543" i="16"/>
  <c r="X543" i="16"/>
  <c r="V544" i="16"/>
  <c r="W544" i="16"/>
  <c r="X544" i="16"/>
  <c r="V545" i="16"/>
  <c r="W545" i="16"/>
  <c r="X545" i="16"/>
  <c r="X5" i="16"/>
  <c r="W5" i="16"/>
  <c r="V5" i="16"/>
  <c r="X4" i="16"/>
  <c r="W4" i="16"/>
  <c r="V4" i="16"/>
  <c r="D28" i="17" l="1"/>
  <c r="AO1460" i="16"/>
  <c r="AO1282" i="16"/>
  <c r="AO1114" i="16"/>
  <c r="X3" i="16"/>
  <c r="X1" i="16"/>
  <c r="V2" i="16"/>
  <c r="V1" i="16"/>
  <c r="W2" i="16"/>
  <c r="W1" i="16"/>
  <c r="BC2" i="16"/>
  <c r="BC1" i="16"/>
  <c r="AO1266" i="16"/>
  <c r="AO1226" i="16"/>
  <c r="AO1219" i="16"/>
  <c r="AO1185" i="16"/>
  <c r="AO1162" i="16"/>
  <c r="AO1158" i="16"/>
  <c r="AO1142" i="16"/>
  <c r="AO1102" i="16"/>
  <c r="AO880" i="16"/>
  <c r="AO732" i="16"/>
  <c r="AO705" i="16"/>
  <c r="AO1545" i="16"/>
  <c r="AO1167" i="16"/>
  <c r="AO1165" i="16"/>
  <c r="AO1155" i="16"/>
  <c r="AO1153" i="16"/>
  <c r="AO1229" i="16"/>
  <c r="AO1225" i="16"/>
  <c r="AO1221" i="16"/>
  <c r="AO1217" i="16"/>
  <c r="AO1213" i="16"/>
  <c r="AO1209" i="16"/>
  <c r="AO1205" i="16"/>
  <c r="AO1201" i="16"/>
  <c r="AO1197" i="16"/>
  <c r="AO1193" i="16"/>
  <c r="AO1189" i="16"/>
  <c r="AO1181" i="16"/>
  <c r="AO1177" i="16"/>
  <c r="AO1173" i="16"/>
  <c r="AO1169" i="16"/>
  <c r="AO1161" i="16"/>
  <c r="AO1157" i="16"/>
  <c r="AO1151" i="16"/>
  <c r="AO1150" i="16"/>
  <c r="AO1146" i="16"/>
  <c r="AO1143" i="16"/>
  <c r="AO1073" i="16"/>
  <c r="AO853" i="16"/>
  <c r="AO797" i="16"/>
  <c r="AO753" i="16"/>
  <c r="AO689" i="16"/>
  <c r="AO669" i="16"/>
  <c r="AO629" i="16"/>
  <c r="AO613" i="16"/>
  <c r="AO597" i="16"/>
  <c r="AO565" i="16"/>
  <c r="AN2" i="16"/>
  <c r="AO75" i="16"/>
  <c r="AO11" i="16"/>
  <c r="AO820" i="16"/>
  <c r="AO788" i="16"/>
  <c r="AO730" i="16"/>
  <c r="AO712" i="16"/>
  <c r="AO666" i="16"/>
  <c r="AO664" i="16"/>
  <c r="AO626" i="16"/>
  <c r="AO610" i="16"/>
  <c r="AO594" i="16"/>
  <c r="AO562" i="16"/>
  <c r="AO1458" i="16"/>
  <c r="AO1389" i="16"/>
  <c r="AO1373" i="16"/>
  <c r="AO1357" i="16"/>
  <c r="AO1334" i="16"/>
  <c r="AO1330" i="16"/>
  <c r="AO1326" i="16"/>
  <c r="AO1318" i="16"/>
  <c r="AO1314" i="16"/>
  <c r="AO1310" i="16"/>
  <c r="AO1302" i="16"/>
  <c r="AO1298" i="16"/>
  <c r="AO1294" i="16"/>
  <c r="AO1290" i="16"/>
  <c r="AO1286" i="16"/>
  <c r="AO1278" i="16"/>
  <c r="AO1274" i="16"/>
  <c r="AO1270" i="16"/>
  <c r="AO1262" i="16"/>
  <c r="AO1258" i="16"/>
  <c r="AO1254" i="16"/>
  <c r="AO1250" i="16"/>
  <c r="AO1246" i="16"/>
  <c r="AO1242" i="16"/>
  <c r="AO1238" i="16"/>
  <c r="AO1234" i="16"/>
  <c r="AO1230" i="16"/>
  <c r="AO1227" i="16"/>
  <c r="AO1223" i="16"/>
  <c r="AO1222" i="16"/>
  <c r="AO1218" i="16"/>
  <c r="AO1215" i="16"/>
  <c r="AO1214" i="16"/>
  <c r="AO1211" i="16"/>
  <c r="AO1210" i="16"/>
  <c r="AO1207" i="16"/>
  <c r="AO1206" i="16"/>
  <c r="AO1203" i="16"/>
  <c r="AO1202" i="16"/>
  <c r="AO1199" i="16"/>
  <c r="AO1198" i="16"/>
  <c r="AO1195" i="16"/>
  <c r="AO1194" i="16"/>
  <c r="AO1191" i="16"/>
  <c r="AO1190" i="16"/>
  <c r="AO1187" i="16"/>
  <c r="AO1186" i="16"/>
  <c r="AO1183" i="16"/>
  <c r="AO1182" i="16"/>
  <c r="AO1179" i="16"/>
  <c r="AO1178" i="16"/>
  <c r="AO1175" i="16"/>
  <c r="AO1174" i="16"/>
  <c r="AO1171" i="16"/>
  <c r="AO1170" i="16"/>
  <c r="AO1166" i="16"/>
  <c r="AO1163" i="16"/>
  <c r="AO1159" i="16"/>
  <c r="AO1154" i="16"/>
  <c r="AO1138" i="16"/>
  <c r="AO1134" i="16"/>
  <c r="AO1130" i="16"/>
  <c r="AO1126" i="16"/>
  <c r="AO1122" i="16"/>
  <c r="AO1118" i="16"/>
  <c r="AO1115" i="16"/>
  <c r="AO1110" i="16"/>
  <c r="AO1106" i="16"/>
  <c r="AO1098" i="16"/>
  <c r="AO1094" i="16"/>
  <c r="AO1090" i="16"/>
  <c r="AM3" i="16"/>
  <c r="AM2" i="16"/>
  <c r="AO201" i="16"/>
  <c r="AO912" i="16"/>
  <c r="AO904" i="16"/>
  <c r="AO884" i="16"/>
  <c r="AO856" i="16"/>
  <c r="AO840" i="16"/>
  <c r="AO812" i="16"/>
  <c r="AO803" i="16"/>
  <c r="AO756" i="16"/>
  <c r="AO752" i="16"/>
  <c r="AO728" i="16"/>
  <c r="AO716" i="16"/>
  <c r="AO699" i="16"/>
  <c r="AO692" i="16"/>
  <c r="AO688" i="16"/>
  <c r="AO648" i="16"/>
  <c r="AO643" i="16"/>
  <c r="AO624" i="16"/>
  <c r="AO620" i="16"/>
  <c r="AO608" i="16"/>
  <c r="AO604" i="16"/>
  <c r="AO592" i="16"/>
  <c r="AO1089" i="16"/>
  <c r="AO1470" i="16"/>
  <c r="AO1463" i="16"/>
  <c r="AO5" i="16"/>
  <c r="AO293" i="16"/>
  <c r="AO364" i="16"/>
  <c r="AO362" i="16"/>
  <c r="AO327" i="16"/>
  <c r="AO282" i="16"/>
  <c r="AO218" i="16"/>
  <c r="AO210" i="16"/>
  <c r="AO194" i="16"/>
  <c r="AO175" i="16"/>
  <c r="AO170" i="16"/>
  <c r="AO155" i="16"/>
  <c r="AO139" i="16"/>
  <c r="AO123" i="16"/>
  <c r="AO107" i="16"/>
  <c r="AO91" i="16"/>
  <c r="AO59" i="16"/>
  <c r="AO43" i="16"/>
  <c r="AO27" i="16"/>
  <c r="AO1085" i="16"/>
  <c r="AO1081" i="16"/>
  <c r="AO1077" i="16"/>
  <c r="AO1069" i="16"/>
  <c r="AO1065" i="16"/>
  <c r="AO1061" i="16"/>
  <c r="AO1057" i="16"/>
  <c r="AO1053" i="16"/>
  <c r="AO1049" i="16"/>
  <c r="AO1045" i="16"/>
  <c r="AO1041" i="16"/>
  <c r="AO1037" i="16"/>
  <c r="AO1033" i="16"/>
  <c r="AO1029" i="16"/>
  <c r="AO1025" i="16"/>
  <c r="AO1021" i="16"/>
  <c r="AO1017" i="16"/>
  <c r="AO1013" i="16"/>
  <c r="AO1009" i="16"/>
  <c r="AO1005" i="16"/>
  <c r="AO1001" i="16"/>
  <c r="AO997" i="16"/>
  <c r="AO993" i="16"/>
  <c r="AO989" i="16"/>
  <c r="AO985" i="16"/>
  <c r="AO981" i="16"/>
  <c r="AO977" i="16"/>
  <c r="AO973" i="16"/>
  <c r="AO969" i="16"/>
  <c r="AO965" i="16"/>
  <c r="AO961" i="16"/>
  <c r="AO957" i="16"/>
  <c r="AO953" i="16"/>
  <c r="AO949" i="16"/>
  <c r="AO945" i="16"/>
  <c r="AO941" i="16"/>
  <c r="AO937" i="16"/>
  <c r="AO933" i="16"/>
  <c r="AO929" i="16"/>
  <c r="AO925" i="16"/>
  <c r="AO921" i="16"/>
  <c r="AO914" i="16"/>
  <c r="AO906" i="16"/>
  <c r="AO898" i="16"/>
  <c r="AO895" i="16"/>
  <c r="AO889" i="16"/>
  <c r="AO886" i="16"/>
  <c r="AO869" i="16"/>
  <c r="AO861" i="16"/>
  <c r="AO858" i="16"/>
  <c r="AO849" i="16"/>
  <c r="AO847" i="16"/>
  <c r="AO845" i="16"/>
  <c r="AO842" i="16"/>
  <c r="AO841" i="16"/>
  <c r="AO833" i="16"/>
  <c r="AO831" i="16"/>
  <c r="AO829" i="16"/>
  <c r="AO825" i="16"/>
  <c r="AO822" i="16"/>
  <c r="AO821" i="16"/>
  <c r="AO814" i="16"/>
  <c r="AO809" i="16"/>
  <c r="AO805" i="16"/>
  <c r="AO801" i="16"/>
  <c r="AO793" i="16"/>
  <c r="AO790" i="16"/>
  <c r="AO781" i="16"/>
  <c r="AO779" i="16"/>
  <c r="AO777" i="16"/>
  <c r="AO773" i="16"/>
  <c r="AO771" i="16"/>
  <c r="AO769" i="16"/>
  <c r="AO765" i="16"/>
  <c r="AO761" i="16"/>
  <c r="AO758" i="16"/>
  <c r="AO757" i="16"/>
  <c r="AO754" i="16"/>
  <c r="AO749" i="16"/>
  <c r="AO745" i="16"/>
  <c r="AO741" i="16"/>
  <c r="AO737" i="16"/>
  <c r="AO734" i="16"/>
  <c r="AO733" i="16"/>
  <c r="AO729" i="16"/>
  <c r="AO725" i="16"/>
  <c r="AO721" i="16"/>
  <c r="AO717" i="16"/>
  <c r="AO714" i="16"/>
  <c r="AO713" i="16"/>
  <c r="AO709" i="16"/>
  <c r="AO701" i="16"/>
  <c r="AO697" i="16"/>
  <c r="AO694" i="16"/>
  <c r="AO693" i="16"/>
  <c r="AO690" i="16"/>
  <c r="AO685" i="16"/>
  <c r="AO683" i="16"/>
  <c r="AO681" i="16"/>
  <c r="AO677" i="16"/>
  <c r="AO673" i="16"/>
  <c r="AO671" i="16"/>
  <c r="AO665" i="16"/>
  <c r="AO662" i="16"/>
  <c r="AO661" i="16"/>
  <c r="AO657" i="16"/>
  <c r="AO654" i="16"/>
  <c r="AO653" i="16"/>
  <c r="AO650" i="16"/>
  <c r="AO649" i="16"/>
  <c r="AO646" i="16"/>
  <c r="AO645" i="16"/>
  <c r="AO641" i="16"/>
  <c r="AO637" i="16"/>
  <c r="AO635" i="16"/>
  <c r="AO633" i="16"/>
  <c r="AO631" i="16"/>
  <c r="AO625" i="16"/>
  <c r="AO622" i="16"/>
  <c r="AO621" i="16"/>
  <c r="AO617" i="16"/>
  <c r="AO609" i="16"/>
  <c r="AO606" i="16"/>
  <c r="AO605" i="16"/>
  <c r="AO601" i="16"/>
  <c r="AO593" i="16"/>
  <c r="AO590" i="16"/>
  <c r="AO589" i="16"/>
  <c r="AO585" i="16"/>
  <c r="AO583" i="16"/>
  <c r="AO581" i="16"/>
  <c r="AO577" i="16"/>
  <c r="AO573" i="16"/>
  <c r="AO569" i="16"/>
  <c r="AO561" i="16"/>
  <c r="AO557" i="16"/>
  <c r="AO554" i="16"/>
  <c r="AO553" i="16"/>
  <c r="AO549" i="16"/>
  <c r="AO1610" i="16"/>
  <c r="AO1590" i="16"/>
  <c r="AO1576" i="16"/>
  <c r="AO1569" i="16"/>
  <c r="AO1566" i="16"/>
  <c r="AO1472" i="16"/>
  <c r="AO1405" i="16"/>
  <c r="AO1341" i="16"/>
  <c r="AO1338" i="16"/>
  <c r="AO1322" i="16"/>
  <c r="AO1306" i="16"/>
  <c r="AO920" i="16"/>
  <c r="AO916" i="16"/>
  <c r="AO908" i="16"/>
  <c r="AO900" i="16"/>
  <c r="AO892" i="16"/>
  <c r="AO888" i="16"/>
  <c r="AO876" i="16"/>
  <c r="AO872" i="16"/>
  <c r="AO868" i="16"/>
  <c r="AO864" i="16"/>
  <c r="AO860" i="16"/>
  <c r="AO852" i="16"/>
  <c r="AO848" i="16"/>
  <c r="AO844" i="16"/>
  <c r="AO836" i="16"/>
  <c r="AO832" i="16"/>
  <c r="AO828" i="16"/>
  <c r="AO824" i="16"/>
  <c r="AO816" i="16"/>
  <c r="AO808" i="16"/>
  <c r="AO804" i="16"/>
  <c r="AO800" i="16"/>
  <c r="AO616" i="16"/>
  <c r="AO612" i="16"/>
  <c r="AO600" i="16"/>
  <c r="AO584" i="16"/>
  <c r="AO510" i="16"/>
  <c r="AO482" i="16"/>
  <c r="AO462" i="16"/>
  <c r="AO451" i="16"/>
  <c r="AO414" i="16"/>
  <c r="AO366" i="16"/>
  <c r="AO286" i="16"/>
  <c r="AO274" i="16"/>
  <c r="AO263" i="16"/>
  <c r="AO258" i="16"/>
  <c r="AO243" i="16"/>
  <c r="AO234" i="16"/>
  <c r="AO545" i="16"/>
  <c r="AO543" i="16"/>
  <c r="AO539" i="16"/>
  <c r="AO537" i="16"/>
  <c r="AO535" i="16"/>
  <c r="AO531" i="16"/>
  <c r="AO529" i="16"/>
  <c r="AO527" i="16"/>
  <c r="AO523" i="16"/>
  <c r="AO519" i="16"/>
  <c r="AO515" i="16"/>
  <c r="AO512" i="16"/>
  <c r="AO511" i="16"/>
  <c r="AO507" i="16"/>
  <c r="AO503" i="16"/>
  <c r="AO501" i="16"/>
  <c r="AO499" i="16"/>
  <c r="AO495" i="16"/>
  <c r="AO493" i="16"/>
  <c r="AO491" i="16"/>
  <c r="AO488" i="16"/>
  <c r="AO487" i="16"/>
  <c r="AO484" i="16"/>
  <c r="AO483" i="16"/>
  <c r="AO479" i="16"/>
  <c r="AO476" i="16"/>
  <c r="AO475" i="16"/>
  <c r="AO473" i="16"/>
  <c r="AO471" i="16"/>
  <c r="AO467" i="16"/>
  <c r="AO463" i="16"/>
  <c r="AO460" i="16"/>
  <c r="AO459" i="16"/>
  <c r="AO456" i="16"/>
  <c r="AO455" i="16"/>
  <c r="AO453" i="16"/>
  <c r="AO447" i="16"/>
  <c r="AO445" i="16"/>
  <c r="AO443" i="16"/>
  <c r="AO440" i="16"/>
  <c r="AO439" i="16"/>
  <c r="AO436" i="16"/>
  <c r="AO435" i="16"/>
  <c r="AO433" i="16"/>
  <c r="AO431" i="16"/>
  <c r="AO427" i="16"/>
  <c r="AO425" i="16"/>
  <c r="AO423" i="16"/>
  <c r="AO420" i="16"/>
  <c r="AO419" i="16"/>
  <c r="AO416" i="16"/>
  <c r="AO415" i="16"/>
  <c r="AO411" i="16"/>
  <c r="AO407" i="16"/>
  <c r="AO405" i="16"/>
  <c r="AO403" i="16"/>
  <c r="AO400" i="16"/>
  <c r="AO399" i="16"/>
  <c r="AO395" i="16"/>
  <c r="AO392" i="16"/>
  <c r="AO391" i="16"/>
  <c r="AO389" i="16"/>
  <c r="AO387" i="16"/>
  <c r="AO383" i="16"/>
  <c r="AO381" i="16"/>
  <c r="AO379" i="16"/>
  <c r="AO376" i="16"/>
  <c r="AO375" i="16"/>
  <c r="AO371" i="16"/>
  <c r="AO368" i="16"/>
  <c r="AO367" i="16"/>
  <c r="AO363" i="16"/>
  <c r="AO360" i="16"/>
  <c r="AO359" i="16"/>
  <c r="AO355" i="16"/>
  <c r="AO353" i="16"/>
  <c r="AO351" i="16"/>
  <c r="AO349" i="16"/>
  <c r="AO347" i="16"/>
  <c r="AO345" i="16"/>
  <c r="AO343" i="16"/>
  <c r="AO340" i="16"/>
  <c r="AO339" i="16"/>
  <c r="AO337" i="16"/>
  <c r="AO335" i="16"/>
  <c r="AO333" i="16"/>
  <c r="AO331" i="16"/>
  <c r="AO329" i="16"/>
  <c r="AO323" i="16"/>
  <c r="AO321" i="16"/>
  <c r="AO319" i="16"/>
  <c r="AO317" i="16"/>
  <c r="AO315" i="16"/>
  <c r="AO313" i="16"/>
  <c r="AO311" i="16"/>
  <c r="AO308" i="16"/>
  <c r="AO307" i="16"/>
  <c r="AO305" i="16"/>
  <c r="AO303" i="16"/>
  <c r="AO301" i="16"/>
  <c r="AO299" i="16"/>
  <c r="AO297" i="16"/>
  <c r="AO295" i="16"/>
  <c r="AO291" i="16"/>
  <c r="AO288" i="16"/>
  <c r="AO287" i="16"/>
  <c r="AO284" i="16"/>
  <c r="AO283" i="16"/>
  <c r="AO280" i="16"/>
  <c r="AO279" i="16"/>
  <c r="AO275" i="16"/>
  <c r="AO272" i="16"/>
  <c r="AO271" i="16"/>
  <c r="AO267" i="16"/>
  <c r="AO265" i="16"/>
  <c r="AO259" i="16"/>
  <c r="AO256" i="16"/>
  <c r="AO255" i="16"/>
  <c r="AO253" i="16"/>
  <c r="AO251" i="16"/>
  <c r="AO249" i="16"/>
  <c r="AO247" i="16"/>
  <c r="AO241" i="16"/>
  <c r="AO239" i="16"/>
  <c r="AO237" i="16"/>
  <c r="AO235" i="16"/>
  <c r="AO232" i="16"/>
  <c r="AO231" i="16"/>
  <c r="AO227" i="16"/>
  <c r="AO225" i="16"/>
  <c r="AO223" i="16"/>
  <c r="AO219" i="16"/>
  <c r="AO216" i="16"/>
  <c r="AO215" i="16"/>
  <c r="AO211" i="16"/>
  <c r="AO208" i="16"/>
  <c r="AO207" i="16"/>
  <c r="AO203" i="16"/>
  <c r="AO199" i="16"/>
  <c r="AO195" i="16"/>
  <c r="AO192" i="16"/>
  <c r="AO191" i="16"/>
  <c r="AO189" i="16"/>
  <c r="AO187" i="16"/>
  <c r="AO185" i="16"/>
  <c r="AO183" i="16"/>
  <c r="AO179" i="16"/>
  <c r="AO177" i="16"/>
  <c r="AO173" i="16"/>
  <c r="AO171" i="16"/>
  <c r="AO168" i="16"/>
  <c r="AO167" i="16"/>
  <c r="AO163" i="16"/>
  <c r="AO161" i="16"/>
  <c r="AO159" i="16"/>
  <c r="AO157" i="16"/>
  <c r="AO153" i="16"/>
  <c r="AO151" i="16"/>
  <c r="AO149" i="16"/>
  <c r="AO147" i="16"/>
  <c r="AO145" i="16"/>
  <c r="AO143" i="16"/>
  <c r="AO141" i="16"/>
  <c r="AO137" i="16"/>
  <c r="AO135" i="16"/>
  <c r="AO133" i="16"/>
  <c r="AO131" i="16"/>
  <c r="AO129" i="16"/>
  <c r="AO127" i="16"/>
  <c r="AO125" i="16"/>
  <c r="AO121" i="16"/>
  <c r="AO119" i="16"/>
  <c r="AO117" i="16"/>
  <c r="AO115" i="16"/>
  <c r="AO113" i="16"/>
  <c r="AO111" i="16"/>
  <c r="AO109" i="16"/>
  <c r="AO105" i="16"/>
  <c r="AO103" i="16"/>
  <c r="AO101" i="16"/>
  <c r="AO99" i="16"/>
  <c r="AO97" i="16"/>
  <c r="AO95" i="16"/>
  <c r="AO93" i="16"/>
  <c r="AO89" i="16"/>
  <c r="AO87" i="16"/>
  <c r="AO85" i="16"/>
  <c r="AO83" i="16"/>
  <c r="AO81" i="16"/>
  <c r="AO79" i="16"/>
  <c r="AO77" i="16"/>
  <c r="AO73" i="16"/>
  <c r="AO71" i="16"/>
  <c r="AO69" i="16"/>
  <c r="AO67" i="16"/>
  <c r="AO65" i="16"/>
  <c r="AO63" i="16"/>
  <c r="AO61" i="16"/>
  <c r="AO57" i="16"/>
  <c r="AO55" i="16"/>
  <c r="AO53" i="16"/>
  <c r="AO51" i="16"/>
  <c r="AO49" i="16"/>
  <c r="AO47" i="16"/>
  <c r="AO45" i="16"/>
  <c r="AO41" i="16"/>
  <c r="AO39" i="16"/>
  <c r="AO37" i="16"/>
  <c r="AO35" i="16"/>
  <c r="AO33" i="16"/>
  <c r="AO31" i="16"/>
  <c r="AO29" i="16"/>
  <c r="AO25" i="16"/>
  <c r="AO23" i="16"/>
  <c r="AO21" i="16"/>
  <c r="AO19" i="16"/>
  <c r="AO17" i="16"/>
  <c r="AO15" i="16"/>
  <c r="AO13" i="16"/>
  <c r="AO9" i="16"/>
  <c r="AO7" i="16"/>
  <c r="AO1079" i="16"/>
  <c r="AO1063" i="16"/>
  <c r="AO1047" i="16"/>
  <c r="AO1031" i="16"/>
  <c r="AO1015" i="16"/>
  <c r="AO999" i="16"/>
  <c r="AO984" i="16"/>
  <c r="AO983" i="16"/>
  <c r="AO980" i="16"/>
  <c r="AO976" i="16"/>
  <c r="AO972" i="16"/>
  <c r="AO968" i="16"/>
  <c r="AO967" i="16"/>
  <c r="AO964" i="16"/>
  <c r="AO960" i="16"/>
  <c r="AO956" i="16"/>
  <c r="AO952" i="16"/>
  <c r="AO951" i="16"/>
  <c r="AO948" i="16"/>
  <c r="AO944" i="16"/>
  <c r="AO940" i="16"/>
  <c r="AO936" i="16"/>
  <c r="AO935" i="16"/>
  <c r="AO932" i="16"/>
  <c r="AO928" i="16"/>
  <c r="AO924" i="16"/>
  <c r="AO919" i="16"/>
  <c r="AO910" i="16"/>
  <c r="AO902" i="16"/>
  <c r="AO867" i="16"/>
  <c r="AO863" i="16"/>
  <c r="AO862" i="16"/>
  <c r="AO854" i="16"/>
  <c r="AO851" i="16"/>
  <c r="AO846" i="16"/>
  <c r="AO838" i="16"/>
  <c r="AO835" i="16"/>
  <c r="AO830" i="16"/>
  <c r="AO826" i="16"/>
  <c r="AO819" i="16"/>
  <c r="AO815" i="16"/>
  <c r="AO810" i="16"/>
  <c r="AO806" i="16"/>
  <c r="AO802" i="16"/>
  <c r="AO798" i="16"/>
  <c r="AO796" i="16"/>
  <c r="AO795" i="16"/>
  <c r="AO794" i="16"/>
  <c r="AO792" i="16"/>
  <c r="AO787" i="16"/>
  <c r="AO786" i="16"/>
  <c r="AO784" i="16"/>
  <c r="AO782" i="16"/>
  <c r="AO780" i="16"/>
  <c r="AO778" i="16"/>
  <c r="AO776" i="16"/>
  <c r="AO774" i="16"/>
  <c r="AO772" i="16"/>
  <c r="AO770" i="16"/>
  <c r="AO768" i="16"/>
  <c r="AO766" i="16"/>
  <c r="AO764" i="16"/>
  <c r="AO763" i="16"/>
  <c r="AO762" i="16"/>
  <c r="AO760" i="16"/>
  <c r="AO755" i="16"/>
  <c r="AO750" i="16"/>
  <c r="AO748" i="16"/>
  <c r="AO747" i="16"/>
  <c r="AO746" i="16"/>
  <c r="AO744" i="16"/>
  <c r="AO742" i="16"/>
  <c r="AO740" i="16"/>
  <c r="AO739" i="16"/>
  <c r="AO738" i="16"/>
  <c r="AO736" i="16"/>
  <c r="AO731" i="16"/>
  <c r="AO726" i="16"/>
  <c r="AO724" i="16"/>
  <c r="AO723" i="16"/>
  <c r="AO722" i="16"/>
  <c r="AO720" i="16"/>
  <c r="AO718" i="16"/>
  <c r="AO715" i="16"/>
  <c r="AO710" i="16"/>
  <c r="AO708" i="16"/>
  <c r="AO707" i="16"/>
  <c r="AO706" i="16"/>
  <c r="AO704" i="16"/>
  <c r="AO702" i="16"/>
  <c r="AO700" i="16"/>
  <c r="AO698" i="16"/>
  <c r="AO696" i="16"/>
  <c r="AO691" i="16"/>
  <c r="AO686" i="16"/>
  <c r="AO684" i="16"/>
  <c r="AO682" i="16"/>
  <c r="AO680" i="16"/>
  <c r="AO678" i="16"/>
  <c r="AO676" i="16"/>
  <c r="AO675" i="16"/>
  <c r="AO674" i="16"/>
  <c r="AO672" i="16"/>
  <c r="AO670" i="16"/>
  <c r="AO667" i="16"/>
  <c r="AO663" i="16"/>
  <c r="AO659" i="16"/>
  <c r="AO658" i="16"/>
  <c r="AO656" i="16"/>
  <c r="AO655" i="16"/>
  <c r="AO651" i="16"/>
  <c r="AO647" i="16"/>
  <c r="AO642" i="16"/>
  <c r="AO640" i="16"/>
  <c r="AO639" i="16"/>
  <c r="AO638" i="16"/>
  <c r="AO634" i="16"/>
  <c r="AO632" i="16"/>
  <c r="AO630" i="16"/>
  <c r="AO627" i="16"/>
  <c r="AO623" i="16"/>
  <c r="AO619" i="16"/>
  <c r="AO618" i="16"/>
  <c r="AO615" i="16"/>
  <c r="AO614" i="16"/>
  <c r="AO611" i="16"/>
  <c r="AO607" i="16"/>
  <c r="AO603" i="16"/>
  <c r="AO602" i="16"/>
  <c r="AO599" i="16"/>
  <c r="AO598" i="16"/>
  <c r="AO595" i="16"/>
  <c r="AO591" i="16"/>
  <c r="AO587" i="16"/>
  <c r="AO586" i="16"/>
  <c r="AO582" i="16"/>
  <c r="AO578" i="16"/>
  <c r="AO574" i="16"/>
  <c r="AO570" i="16"/>
  <c r="AO566" i="16"/>
  <c r="AO558" i="16"/>
  <c r="AO550" i="16"/>
  <c r="AO1308" i="16"/>
  <c r="AO1304" i="16"/>
  <c r="AO1300" i="16"/>
  <c r="AO1296" i="16"/>
  <c r="AO1100" i="16"/>
  <c r="AO1096" i="16"/>
  <c r="AO1092" i="16"/>
  <c r="X2" i="16"/>
  <c r="AO542" i="16"/>
  <c r="AO538" i="16"/>
  <c r="AO534" i="16"/>
  <c r="AO530" i="16"/>
  <c r="AO514" i="16"/>
  <c r="AO478" i="16"/>
  <c r="AO446" i="16"/>
  <c r="AO430" i="16"/>
  <c r="AO398" i="16"/>
  <c r="AO382" i="16"/>
  <c r="AO350" i="16"/>
  <c r="AO346" i="16"/>
  <c r="AO334" i="16"/>
  <c r="AO330" i="16"/>
  <c r="AO318" i="16"/>
  <c r="AO314" i="16"/>
  <c r="AO302" i="16"/>
  <c r="AO298" i="16"/>
  <c r="AO266" i="16"/>
  <c r="AO250" i="16"/>
  <c r="AO242" i="16"/>
  <c r="AO226" i="16"/>
  <c r="AO202" i="16"/>
  <c r="AO186" i="16"/>
  <c r="AO178" i="16"/>
  <c r="AO162" i="16"/>
  <c r="AO158" i="16"/>
  <c r="AO154" i="16"/>
  <c r="AO150" i="16"/>
  <c r="AO146" i="16"/>
  <c r="AO142" i="16"/>
  <c r="AO138" i="16"/>
  <c r="AO134" i="16"/>
  <c r="AO130" i="16"/>
  <c r="AO126" i="16"/>
  <c r="AO122" i="16"/>
  <c r="AO118" i="16"/>
  <c r="AO114" i="16"/>
  <c r="AO110" i="16"/>
  <c r="AO106" i="16"/>
  <c r="AO102" i="16"/>
  <c r="AO98" i="16"/>
  <c r="AO94" i="16"/>
  <c r="AO90" i="16"/>
  <c r="AO86" i="16"/>
  <c r="AO82" i="16"/>
  <c r="AO78" i="16"/>
  <c r="AO74" i="16"/>
  <c r="AO70" i="16"/>
  <c r="AO66" i="16"/>
  <c r="AO62" i="16"/>
  <c r="AO58" i="16"/>
  <c r="AO54" i="16"/>
  <c r="AO50" i="16"/>
  <c r="AO46" i="16"/>
  <c r="AO42" i="16"/>
  <c r="AO38" i="16"/>
  <c r="AO34" i="16"/>
  <c r="AO30" i="16"/>
  <c r="AO26" i="16"/>
  <c r="AO22" i="16"/>
  <c r="AO18" i="16"/>
  <c r="AO14" i="16"/>
  <c r="AO10" i="16"/>
  <c r="AO6" i="16"/>
  <c r="AL3" i="16"/>
  <c r="V3" i="16"/>
  <c r="AO1627" i="16"/>
  <c r="AO1623" i="16"/>
  <c r="AO1615" i="16"/>
  <c r="AO1613" i="16"/>
  <c r="AO1607" i="16"/>
  <c r="AO1599" i="16"/>
  <c r="AO1591" i="16"/>
  <c r="AO1583" i="16"/>
  <c r="AO1575" i="16"/>
  <c r="AO1567" i="16"/>
  <c r="AO1559" i="16"/>
  <c r="AO1551" i="16"/>
  <c r="AO1543" i="16"/>
  <c r="AO1535" i="16"/>
  <c r="AO1523" i="16"/>
  <c r="AO1519" i="16"/>
  <c r="AO1515" i="16"/>
  <c r="AO1511" i="16"/>
  <c r="AO1507" i="16"/>
  <c r="AO1503" i="16"/>
  <c r="AO1499" i="16"/>
  <c r="AO1495" i="16"/>
  <c r="AO1491" i="16"/>
  <c r="AO1487" i="16"/>
  <c r="AO1479" i="16"/>
  <c r="AO1475" i="16"/>
  <c r="AO1471" i="16"/>
  <c r="AO1467" i="16"/>
  <c r="AO1459" i="16"/>
  <c r="AO1455" i="16"/>
  <c r="AO1451" i="16"/>
  <c r="AO1447" i="16"/>
  <c r="AO1443" i="16"/>
  <c r="AO1439" i="16"/>
  <c r="AO1435" i="16"/>
  <c r="AO1432" i="16"/>
  <c r="AO1431" i="16"/>
  <c r="AO1427" i="16"/>
  <c r="AO1423" i="16"/>
  <c r="AO1419" i="16"/>
  <c r="AO1415" i="16"/>
  <c r="AO1411" i="16"/>
  <c r="AO1407" i="16"/>
  <c r="AO1403" i="16"/>
  <c r="AO1399" i="16"/>
  <c r="AO1395" i="16"/>
  <c r="AO1391" i="16"/>
  <c r="AO1387" i="16"/>
  <c r="AO1383" i="16"/>
  <c r="AO1379" i="16"/>
  <c r="AO1375" i="16"/>
  <c r="AO1371" i="16"/>
  <c r="AO1367" i="16"/>
  <c r="AO1363" i="16"/>
  <c r="AO1359" i="16"/>
  <c r="AO1355" i="16"/>
  <c r="AO1351" i="16"/>
  <c r="AO1347" i="16"/>
  <c r="AO1343" i="16"/>
  <c r="AO1339" i="16"/>
  <c r="AO1337" i="16"/>
  <c r="AO1336" i="16"/>
  <c r="AO1335" i="16"/>
  <c r="AO1333" i="16"/>
  <c r="AO1332" i="16"/>
  <c r="AO1331" i="16"/>
  <c r="AO1329" i="16"/>
  <c r="AO1328" i="16"/>
  <c r="AO1327" i="16"/>
  <c r="AO1325" i="16"/>
  <c r="AO1324" i="16"/>
  <c r="AO1323" i="16"/>
  <c r="AO1321" i="16"/>
  <c r="AO1320" i="16"/>
  <c r="AO1319" i="16"/>
  <c r="AO1317" i="16"/>
  <c r="AO1316" i="16"/>
  <c r="AO1315" i="16"/>
  <c r="AO1313" i="16"/>
  <c r="AO1312" i="16"/>
  <c r="AO1311" i="16"/>
  <c r="AO1309" i="16"/>
  <c r="AO1307" i="16"/>
  <c r="AO1305" i="16"/>
  <c r="AO1303" i="16"/>
  <c r="AO1301" i="16"/>
  <c r="AO1299" i="16"/>
  <c r="AO1297" i="16"/>
  <c r="AO1295" i="16"/>
  <c r="AO1293" i="16"/>
  <c r="AO1292" i="16"/>
  <c r="AO1291" i="16"/>
  <c r="AO1289" i="16"/>
  <c r="AO1288" i="16"/>
  <c r="AO1287" i="16"/>
  <c r="AO1285" i="16"/>
  <c r="AO1284" i="16"/>
  <c r="AO1283" i="16"/>
  <c r="AO1281" i="16"/>
  <c r="AO1280" i="16"/>
  <c r="AO1279" i="16"/>
  <c r="AO1277" i="16"/>
  <c r="AO1276" i="16"/>
  <c r="AO1275" i="16"/>
  <c r="AO1273" i="16"/>
  <c r="AO1272" i="16"/>
  <c r="AO1271" i="16"/>
  <c r="AO1269" i="16"/>
  <c r="AO1268" i="16"/>
  <c r="AO1267" i="16"/>
  <c r="AO1265" i="16"/>
  <c r="AO1264" i="16"/>
  <c r="AO1263" i="16"/>
  <c r="AO1261" i="16"/>
  <c r="AO1260" i="16"/>
  <c r="AO1259" i="16"/>
  <c r="AO1257" i="16"/>
  <c r="AO1256" i="16"/>
  <c r="AO1255" i="16"/>
  <c r="AO1253" i="16"/>
  <c r="AO1252" i="16"/>
  <c r="AO1251" i="16"/>
  <c r="AO1249" i="16"/>
  <c r="AO1248" i="16"/>
  <c r="AO1247" i="16"/>
  <c r="AO1245" i="16"/>
  <c r="AO1244" i="16"/>
  <c r="AO1243" i="16"/>
  <c r="AO1241" i="16"/>
  <c r="AO1240" i="16"/>
  <c r="AO1239" i="16"/>
  <c r="AO1237" i="16"/>
  <c r="AO1236" i="16"/>
  <c r="AO1235" i="16"/>
  <c r="AO1233" i="16"/>
  <c r="AO1232" i="16"/>
  <c r="AO1231" i="16"/>
  <c r="AO1228" i="16"/>
  <c r="AO1224" i="16"/>
  <c r="AO1220" i="16"/>
  <c r="AO1216" i="16"/>
  <c r="AO1212" i="16"/>
  <c r="AO1208" i="16"/>
  <c r="AO1204" i="16"/>
  <c r="AO1200" i="16"/>
  <c r="AO1196" i="16"/>
  <c r="AO1192" i="16"/>
  <c r="AO1188" i="16"/>
  <c r="AO1184" i="16"/>
  <c r="AO1180" i="16"/>
  <c r="AO1176" i="16"/>
  <c r="AO1172" i="16"/>
  <c r="AO1168" i="16"/>
  <c r="AO1164" i="16"/>
  <c r="AO1160" i="16"/>
  <c r="AO1156" i="16"/>
  <c r="AO1152" i="16"/>
  <c r="AO1148" i="16"/>
  <c r="AO1147" i="16"/>
  <c r="AO1144" i="16"/>
  <c r="AO1140" i="16"/>
  <c r="AO1139" i="16"/>
  <c r="AO1137" i="16"/>
  <c r="AO1136" i="16"/>
  <c r="AO1135" i="16"/>
  <c r="AO1133" i="16"/>
  <c r="AO1132" i="16"/>
  <c r="AO1131" i="16"/>
  <c r="AO1128" i="16"/>
  <c r="AO1127" i="16"/>
  <c r="AO1124" i="16"/>
  <c r="AO1123" i="16"/>
  <c r="AO1120" i="16"/>
  <c r="AO1119" i="16"/>
  <c r="AO1117" i="16"/>
  <c r="AO1116" i="16"/>
  <c r="AO1112" i="16"/>
  <c r="AO1111" i="16"/>
  <c r="AO1109" i="16"/>
  <c r="AO1108" i="16"/>
  <c r="AO1107" i="16"/>
  <c r="AO1105" i="16"/>
  <c r="AO1104" i="16"/>
  <c r="AO1103" i="16"/>
  <c r="AO1101" i="16"/>
  <c r="AO1099" i="16"/>
  <c r="AO1097" i="16"/>
  <c r="AO1095" i="16"/>
  <c r="AO1093" i="16"/>
  <c r="AO1091" i="16"/>
  <c r="W3" i="16"/>
  <c r="AO1087" i="16"/>
  <c r="AO1071" i="16"/>
  <c r="AO1055" i="16"/>
  <c r="AO1039" i="16"/>
  <c r="AO1023" i="16"/>
  <c r="AO1007" i="16"/>
  <c r="AO991" i="16"/>
  <c r="AO975" i="16"/>
  <c r="AO959" i="16"/>
  <c r="AO943" i="16"/>
  <c r="AO927" i="16"/>
  <c r="AO917" i="16"/>
  <c r="AO913" i="16"/>
  <c r="AO909" i="16"/>
  <c r="AO905" i="16"/>
  <c r="AO897" i="16"/>
  <c r="AO893" i="16"/>
  <c r="AO885" i="16"/>
  <c r="AO881" i="16"/>
  <c r="AO878" i="16"/>
  <c r="AO877" i="16"/>
  <c r="AO873" i="16"/>
  <c r="AO865" i="16"/>
  <c r="AO857" i="16"/>
  <c r="AO837" i="16"/>
  <c r="AO817" i="16"/>
  <c r="AO813" i="16"/>
  <c r="AO789" i="16"/>
  <c r="AO785" i="16"/>
  <c r="AO1626" i="16"/>
  <c r="AO1624" i="16"/>
  <c r="AO1622" i="16"/>
  <c r="AO1614" i="16"/>
  <c r="AO1608" i="16"/>
  <c r="AO1606" i="16"/>
  <c r="AO1601" i="16"/>
  <c r="AO1598" i="16"/>
  <c r="AO1594" i="16"/>
  <c r="AO1586" i="16"/>
  <c r="AO1582" i="16"/>
  <c r="AO1581" i="16"/>
  <c r="AO1578" i="16"/>
  <c r="AO1574" i="16"/>
  <c r="AO1570" i="16"/>
  <c r="AO1562" i="16"/>
  <c r="AO1558" i="16"/>
  <c r="AO1557" i="16"/>
  <c r="AO1554" i="16"/>
  <c r="AO1550" i="16"/>
  <c r="AO1546" i="16"/>
  <c r="AO1542" i="16"/>
  <c r="AO1538" i="16"/>
  <c r="AO1536" i="16"/>
  <c r="AO1534" i="16"/>
  <c r="AO1530" i="16"/>
  <c r="AO1526" i="16"/>
  <c r="AO1522" i="16"/>
  <c r="AO1518" i="16"/>
  <c r="AO1516" i="16"/>
  <c r="AO1514" i="16"/>
  <c r="AO1510" i="16"/>
  <c r="AO1506" i="16"/>
  <c r="AO1502" i="16"/>
  <c r="AO1501" i="16"/>
  <c r="AO1498" i="16"/>
  <c r="AO1496" i="16"/>
  <c r="AO1494" i="16"/>
  <c r="AO1486" i="16"/>
  <c r="AO1482" i="16"/>
  <c r="AO1480" i="16"/>
  <c r="AO1478" i="16"/>
  <c r="AO1474" i="16"/>
  <c r="AO1466" i="16"/>
  <c r="AO1462" i="16"/>
  <c r="AO1454" i="16"/>
  <c r="AO1452" i="16"/>
  <c r="AO1450" i="16"/>
  <c r="AO1446" i="16"/>
  <c r="AO1442" i="16"/>
  <c r="AO1441" i="16"/>
  <c r="AO1438" i="16"/>
  <c r="AO1434" i="16"/>
  <c r="AO1430" i="16"/>
  <c r="AO1426" i="16"/>
  <c r="AO1422" i="16"/>
  <c r="AO1418" i="16"/>
  <c r="AO1414" i="16"/>
  <c r="AO1413" i="16"/>
  <c r="AO1410" i="16"/>
  <c r="AO1406" i="16"/>
  <c r="AO1402" i="16"/>
  <c r="AO1398" i="16"/>
  <c r="AO1397" i="16"/>
  <c r="AO1394" i="16"/>
  <c r="AO1390" i="16"/>
  <c r="AO1386" i="16"/>
  <c r="AO1382" i="16"/>
  <c r="AO1381" i="16"/>
  <c r="AO1378" i="16"/>
  <c r="AO1374" i="16"/>
  <c r="AO1370" i="16"/>
  <c r="AO1366" i="16"/>
  <c r="AO1365" i="16"/>
  <c r="AO1362" i="16"/>
  <c r="AO1358" i="16"/>
  <c r="AO1354" i="16"/>
  <c r="AO1350" i="16"/>
  <c r="AO1349" i="16"/>
  <c r="AO1346" i="16"/>
  <c r="AO1342" i="16"/>
  <c r="AO1628" i="16"/>
  <c r="AO1621" i="16"/>
  <c r="AO1617" i="16"/>
  <c r="AO1605" i="16"/>
  <c r="AO1600" i="16"/>
  <c r="AO1593" i="16"/>
  <c r="AO1520" i="16"/>
  <c r="AO1517" i="16"/>
  <c r="AO1512" i="16"/>
  <c r="AO1508" i="16"/>
  <c r="AO1500" i="16"/>
  <c r="AO1492" i="16"/>
  <c r="AO1489" i="16"/>
  <c r="AO1484" i="16"/>
  <c r="AO1457" i="16"/>
  <c r="AO1448" i="16"/>
  <c r="AO1436" i="16"/>
  <c r="AO1428" i="16"/>
  <c r="AO1425" i="16"/>
  <c r="AO1416" i="16"/>
  <c r="AO1408" i="16"/>
  <c r="AO1404" i="16"/>
  <c r="AO1401" i="16"/>
  <c r="AO1396" i="16"/>
  <c r="AO1393" i="16"/>
  <c r="AO1388" i="16"/>
  <c r="AO1385" i="16"/>
  <c r="AO1380" i="16"/>
  <c r="AO1377" i="16"/>
  <c r="AO1372" i="16"/>
  <c r="AO1369" i="16"/>
  <c r="AO1364" i="16"/>
  <c r="AO1361" i="16"/>
  <c r="AO1356" i="16"/>
  <c r="AO1353" i="16"/>
  <c r="AO1348" i="16"/>
  <c r="AO1344" i="16"/>
  <c r="AO1340" i="16"/>
  <c r="AO1629" i="16"/>
  <c r="AO1625" i="16"/>
  <c r="AO1620" i="16"/>
  <c r="AO1612" i="16"/>
  <c r="AO1609" i="16"/>
  <c r="AO1597" i="16"/>
  <c r="AO1592" i="16"/>
  <c r="AO1589" i="16"/>
  <c r="AO1585" i="16"/>
  <c r="AO1577" i="16"/>
  <c r="AO1573" i="16"/>
  <c r="AO1565" i="16"/>
  <c r="AO1561" i="16"/>
  <c r="AO1560" i="16"/>
  <c r="AO1553" i="16"/>
  <c r="AO1549" i="16"/>
  <c r="AO1544" i="16"/>
  <c r="AO1541" i="16"/>
  <c r="AO1537" i="16"/>
  <c r="AO1532" i="16"/>
  <c r="AO1529" i="16"/>
  <c r="AO1528" i="16"/>
  <c r="AO1525" i="16"/>
  <c r="AO1521" i="16"/>
  <c r="AO1509" i="16"/>
  <c r="AO1504" i="16"/>
  <c r="AO1493" i="16"/>
  <c r="AO1488" i="16"/>
  <c r="AO1476" i="16"/>
  <c r="AO1473" i="16"/>
  <c r="AO1468" i="16"/>
  <c r="AO1464" i="16"/>
  <c r="AO1456" i="16"/>
  <c r="AO1444" i="16"/>
  <c r="AO1440" i="16"/>
  <c r="AO1424" i="16"/>
  <c r="AO1420" i="16"/>
  <c r="AO1417" i="16"/>
  <c r="AO1412" i="16"/>
  <c r="AO1409" i="16"/>
  <c r="AO1400" i="16"/>
  <c r="AO1392" i="16"/>
  <c r="AO1384" i="16"/>
  <c r="AO1376" i="16"/>
  <c r="AO1368" i="16"/>
  <c r="AO1360" i="16"/>
  <c r="AO1352" i="16"/>
  <c r="AO1345" i="16"/>
  <c r="AO1618" i="16"/>
  <c r="AO1602" i="16"/>
  <c r="AO1083" i="16"/>
  <c r="AO1075" i="16"/>
  <c r="AO1067" i="16"/>
  <c r="AO1059" i="16"/>
  <c r="AO1051" i="16"/>
  <c r="AO1043" i="16"/>
  <c r="AO1035" i="16"/>
  <c r="AO1027" i="16"/>
  <c r="AO1019" i="16"/>
  <c r="AO1011" i="16"/>
  <c r="AO1003" i="16"/>
  <c r="AO995" i="16"/>
  <c r="AO1086" i="16"/>
  <c r="AO1082" i="16"/>
  <c r="AO1078" i="16"/>
  <c r="AO1074" i="16"/>
  <c r="AO1070" i="16"/>
  <c r="AO1066" i="16"/>
  <c r="AO1062" i="16"/>
  <c r="AO1058" i="16"/>
  <c r="AO1054" i="16"/>
  <c r="AO1050" i="16"/>
  <c r="AO1046" i="16"/>
  <c r="AO1042" i="16"/>
  <c r="AO1038" i="16"/>
  <c r="AO1034" i="16"/>
  <c r="AO1030" i="16"/>
  <c r="AO1026" i="16"/>
  <c r="AO1022" i="16"/>
  <c r="AO1018" i="16"/>
  <c r="AO1014" i="16"/>
  <c r="AO1010" i="16"/>
  <c r="AO1006" i="16"/>
  <c r="AO1002" i="16"/>
  <c r="AO998" i="16"/>
  <c r="AO994" i="16"/>
  <c r="AO990" i="16"/>
  <c r="AO987" i="16"/>
  <c r="AO986" i="16"/>
  <c r="AO982" i="16"/>
  <c r="AO979" i="16"/>
  <c r="AO978" i="16"/>
  <c r="AO974" i="16"/>
  <c r="AO971" i="16"/>
  <c r="AO970" i="16"/>
  <c r="AO966" i="16"/>
  <c r="AO963" i="16"/>
  <c r="AO962" i="16"/>
  <c r="AO958" i="16"/>
  <c r="AO955" i="16"/>
  <c r="AO954" i="16"/>
  <c r="AO950" i="16"/>
  <c r="AO947" i="16"/>
  <c r="AO946" i="16"/>
  <c r="AO942" i="16"/>
  <c r="AO939" i="16"/>
  <c r="AO938" i="16"/>
  <c r="AO934" i="16"/>
  <c r="AO931" i="16"/>
  <c r="AO930" i="16"/>
  <c r="AO926" i="16"/>
  <c r="AO923" i="16"/>
  <c r="AO922" i="16"/>
  <c r="AO918" i="16"/>
  <c r="AO915" i="16"/>
  <c r="AO911" i="16"/>
  <c r="AO907" i="16"/>
  <c r="AO903" i="16"/>
  <c r="AO899" i="16"/>
  <c r="AO894" i="16"/>
  <c r="AO890" i="16"/>
  <c r="AO883" i="16"/>
  <c r="AO879" i="16"/>
  <c r="AO874" i="16"/>
  <c r="AO870" i="16"/>
  <c r="AO1084" i="16"/>
  <c r="AO1080" i="16"/>
  <c r="AO1076" i="16"/>
  <c r="AO1072" i="16"/>
  <c r="AO1068" i="16"/>
  <c r="AO1064" i="16"/>
  <c r="AO1060" i="16"/>
  <c r="AO1056" i="16"/>
  <c r="AO1052" i="16"/>
  <c r="AO1048" i="16"/>
  <c r="AO1044" i="16"/>
  <c r="AO1040" i="16"/>
  <c r="AO1036" i="16"/>
  <c r="AO1032" i="16"/>
  <c r="AO1028" i="16"/>
  <c r="AO1024" i="16"/>
  <c r="AO1020" i="16"/>
  <c r="AO1016" i="16"/>
  <c r="AO1012" i="16"/>
  <c r="AO1008" i="16"/>
  <c r="AO1004" i="16"/>
  <c r="AO1000" i="16"/>
  <c r="AO996" i="16"/>
  <c r="AO992" i="16"/>
  <c r="AO988" i="16"/>
  <c r="AO541" i="16"/>
  <c r="AO533" i="16"/>
  <c r="AO525" i="16"/>
  <c r="AO521" i="16"/>
  <c r="AO520" i="16"/>
  <c r="AO516" i="16"/>
  <c r="AO508" i="16"/>
  <c r="AO505" i="16"/>
  <c r="AO497" i="16"/>
  <c r="AO480" i="16"/>
  <c r="AO469" i="16"/>
  <c r="AO464" i="16"/>
  <c r="AO449" i="16"/>
  <c r="AO429" i="16"/>
  <c r="AO412" i="16"/>
  <c r="AO409" i="16"/>
  <c r="AO396" i="16"/>
  <c r="AO388" i="16"/>
  <c r="AO385" i="16"/>
  <c r="AO377" i="16"/>
  <c r="AO372" i="16"/>
  <c r="AO369" i="16"/>
  <c r="AO365" i="16"/>
  <c r="AO361" i="16"/>
  <c r="AO357" i="16"/>
  <c r="AO352" i="16"/>
  <c r="AO348" i="16"/>
  <c r="AO344" i="16"/>
  <c r="AO336" i="16"/>
  <c r="AO332" i="16"/>
  <c r="AO328" i="16"/>
  <c r="AO320" i="16"/>
  <c r="AO316" i="16"/>
  <c r="AO312" i="16"/>
  <c r="AO304" i="16"/>
  <c r="AO300" i="16"/>
  <c r="AO296" i="16"/>
  <c r="AO285" i="16"/>
  <c r="AO273" i="16"/>
  <c r="AO257" i="16"/>
  <c r="AO248" i="16"/>
  <c r="AO240" i="16"/>
  <c r="AO217" i="16"/>
  <c r="AO205" i="16"/>
  <c r="AO200" i="16"/>
  <c r="AO169" i="16"/>
  <c r="AO160" i="16"/>
  <c r="AO156" i="16"/>
  <c r="AO152" i="16"/>
  <c r="AO116" i="16"/>
  <c r="AO112" i="16"/>
  <c r="AO108" i="16"/>
  <c r="AO104" i="16"/>
  <c r="AO100" i="16"/>
  <c r="AO76" i="16"/>
  <c r="AO72" i="16"/>
  <c r="AO68" i="16"/>
  <c r="AO64" i="16"/>
  <c r="AO52" i="16"/>
  <c r="AO48" i="16"/>
  <c r="AO44" i="16"/>
  <c r="AO40" i="16"/>
  <c r="AO28" i="16"/>
  <c r="AO24" i="16"/>
  <c r="AO20" i="16"/>
  <c r="AO16" i="16"/>
  <c r="AO12" i="16"/>
  <c r="AO325" i="16"/>
  <c r="AO289" i="16"/>
  <c r="AO281" i="16"/>
  <c r="AO269" i="16"/>
  <c r="AO264" i="16"/>
  <c r="AO233" i="16"/>
  <c r="AO224" i="16"/>
  <c r="AO221" i="16"/>
  <c r="AO209" i="16"/>
  <c r="AO193" i="16"/>
  <c r="AO184" i="16"/>
  <c r="AO176" i="16"/>
  <c r="AO148" i="16"/>
  <c r="AO144" i="16"/>
  <c r="AO140" i="16"/>
  <c r="AO136" i="16"/>
  <c r="AO132" i="16"/>
  <c r="AO128" i="16"/>
  <c r="AO124" i="16"/>
  <c r="AO120" i="16"/>
  <c r="AO96" i="16"/>
  <c r="AO92" i="16"/>
  <c r="AO88" i="16"/>
  <c r="AO84" i="16"/>
  <c r="AO80" i="16"/>
  <c r="AO60" i="16"/>
  <c r="AO56" i="16"/>
  <c r="AO36" i="16"/>
  <c r="AO32" i="16"/>
  <c r="AO8" i="16"/>
  <c r="AO496" i="16"/>
  <c r="AO448" i="16"/>
  <c r="AO437" i="16"/>
  <c r="AO397" i="16"/>
  <c r="AO341" i="16"/>
  <c r="AO229" i="16"/>
  <c r="AO165" i="16"/>
  <c r="AO517" i="16"/>
  <c r="AO513" i="16"/>
  <c r="AO509" i="16"/>
  <c r="AO498" i="16"/>
  <c r="AO494" i="16"/>
  <c r="AO485" i="16"/>
  <c r="AO481" i="16"/>
  <c r="AO477" i="16"/>
  <c r="AO457" i="16"/>
  <c r="AO544" i="16"/>
  <c r="AO540" i="16"/>
  <c r="AO536" i="16"/>
  <c r="AO532" i="16"/>
  <c r="AO528" i="16"/>
  <c r="AO524" i="16"/>
  <c r="AO504" i="16"/>
  <c r="AO500" i="16"/>
  <c r="AO492" i="16"/>
  <c r="AO489" i="16"/>
  <c r="AO472" i="16"/>
  <c r="AO468" i="16"/>
  <c r="AO465" i="16"/>
  <c r="AO461" i="16"/>
  <c r="AO452" i="16"/>
  <c r="AO444" i="16"/>
  <c r="AO441" i="16"/>
  <c r="AO432" i="16"/>
  <c r="AO428" i="16"/>
  <c r="AO424" i="16"/>
  <c r="AO421" i="16"/>
  <c r="AO417" i="16"/>
  <c r="AO413" i="16"/>
  <c r="AO408" i="16"/>
  <c r="AO404" i="16"/>
  <c r="AO401" i="16"/>
  <c r="AO393" i="16"/>
  <c r="AO384" i="16"/>
  <c r="AO380" i="16"/>
  <c r="AO373" i="16"/>
  <c r="AO356" i="16"/>
  <c r="AO324" i="16"/>
  <c r="AO309" i="16"/>
  <c r="AO292" i="16"/>
  <c r="AO277" i="16"/>
  <c r="AO261" i="16"/>
  <c r="AO245" i="16"/>
  <c r="AO213" i="16"/>
  <c r="AO197" i="16"/>
  <c r="AO181" i="16"/>
  <c r="AO526" i="16"/>
  <c r="AO378" i="16"/>
  <c r="AO394" i="16"/>
  <c r="AO410" i="16"/>
  <c r="AO426" i="16"/>
  <c r="AO442" i="16"/>
  <c r="AO458" i="16"/>
  <c r="AO474" i="16"/>
  <c r="AO490" i="16"/>
  <c r="AO506" i="16"/>
  <c r="AO522" i="16"/>
  <c r="AO166" i="16"/>
  <c r="AO174" i="16"/>
  <c r="AO182" i="16"/>
  <c r="AO190" i="16"/>
  <c r="AO198" i="16"/>
  <c r="AO206" i="16"/>
  <c r="AO214" i="16"/>
  <c r="AO222" i="16"/>
  <c r="AO230" i="16"/>
  <c r="AO238" i="16"/>
  <c r="AO246" i="16"/>
  <c r="AO254" i="16"/>
  <c r="AO262" i="16"/>
  <c r="AO270" i="16"/>
  <c r="AO278" i="16"/>
  <c r="AO294" i="16"/>
  <c r="AO310" i="16"/>
  <c r="AO326" i="16"/>
  <c r="AO342" i="16"/>
  <c r="AO358" i="16"/>
  <c r="AO374" i="16"/>
  <c r="AO390" i="16"/>
  <c r="AO406" i="16"/>
  <c r="AO422" i="16"/>
  <c r="AO438" i="16"/>
  <c r="AO454" i="16"/>
  <c r="AO470" i="16"/>
  <c r="AO486" i="16"/>
  <c r="AO502" i="16"/>
  <c r="AO518" i="16"/>
  <c r="AO164" i="16"/>
  <c r="AO172" i="16"/>
  <c r="AO180" i="16"/>
  <c r="AO188" i="16"/>
  <c r="AO196" i="16"/>
  <c r="AO204" i="16"/>
  <c r="AO212" i="16"/>
  <c r="AO220" i="16"/>
  <c r="AO228" i="16"/>
  <c r="AO236" i="16"/>
  <c r="AO244" i="16"/>
  <c r="AO252" i="16"/>
  <c r="AO260" i="16"/>
  <c r="AO268" i="16"/>
  <c r="AO276" i="16"/>
  <c r="AO290" i="16"/>
  <c r="AO306" i="16"/>
  <c r="AO322" i="16"/>
  <c r="AO338" i="16"/>
  <c r="AO354" i="16"/>
  <c r="AO370" i="16"/>
  <c r="AO386" i="16"/>
  <c r="AO402" i="16"/>
  <c r="AO418" i="16"/>
  <c r="AO434" i="16"/>
  <c r="AO450" i="16"/>
  <c r="AO466" i="16"/>
  <c r="AO548" i="16"/>
  <c r="AO551" i="16"/>
  <c r="AO556" i="16"/>
  <c r="AO559" i="16"/>
  <c r="AO564" i="16"/>
  <c r="AO567" i="16"/>
  <c r="AO572" i="16"/>
  <c r="AO575" i="16"/>
  <c r="AO580" i="16"/>
  <c r="AO596" i="16"/>
  <c r="AO628" i="16"/>
  <c r="AO644" i="16"/>
  <c r="AO660" i="16"/>
  <c r="AO547" i="16"/>
  <c r="AO552" i="16"/>
  <c r="AO555" i="16"/>
  <c r="AO560" i="16"/>
  <c r="AO563" i="16"/>
  <c r="AO568" i="16"/>
  <c r="AO571" i="16"/>
  <c r="AO576" i="16"/>
  <c r="AO579" i="16"/>
  <c r="AO588" i="16"/>
  <c r="AO636" i="16"/>
  <c r="AO652" i="16"/>
  <c r="AO668" i="16"/>
  <c r="AO679" i="16"/>
  <c r="AO687" i="16"/>
  <c r="AO695" i="16"/>
  <c r="AO703" i="16"/>
  <c r="AO711" i="16"/>
  <c r="AO719" i="16"/>
  <c r="AO727" i="16"/>
  <c r="AO735" i="16"/>
  <c r="AO743" i="16"/>
  <c r="AO751" i="16"/>
  <c r="AO759" i="16"/>
  <c r="AO767" i="16"/>
  <c r="AO775" i="16"/>
  <c r="AO783" i="16"/>
  <c r="AO791" i="16"/>
  <c r="AO799" i="16"/>
  <c r="AO807" i="16"/>
  <c r="AO811" i="16"/>
  <c r="AO827" i="16"/>
  <c r="AO843" i="16"/>
  <c r="AO859" i="16"/>
  <c r="AO875" i="16"/>
  <c r="AO891" i="16"/>
  <c r="AO818" i="16"/>
  <c r="AO823" i="16"/>
  <c r="AO834" i="16"/>
  <c r="AO839" i="16"/>
  <c r="AO850" i="16"/>
  <c r="AO855" i="16"/>
  <c r="AO866" i="16"/>
  <c r="AO871" i="16"/>
  <c r="AO882" i="16"/>
  <c r="AO887" i="16"/>
  <c r="AO896" i="16"/>
  <c r="AO901" i="16"/>
  <c r="AO1125" i="16"/>
  <c r="AO1141" i="16"/>
  <c r="AO1113" i="16"/>
  <c r="AO1121" i="16"/>
  <c r="AO1149" i="16"/>
  <c r="AO1129" i="16"/>
  <c r="AO1145" i="16"/>
  <c r="AO1421" i="16"/>
  <c r="AO1429" i="16"/>
  <c r="AO1433" i="16"/>
  <c r="AO1449" i="16"/>
  <c r="AO1465" i="16"/>
  <c r="AO1483" i="16"/>
  <c r="AO1445" i="16"/>
  <c r="AO1461" i="16"/>
  <c r="AO1490" i="16"/>
  <c r="AO1437" i="16"/>
  <c r="AO1453" i="16"/>
  <c r="AO1469" i="16"/>
  <c r="AO1477" i="16"/>
  <c r="AO1524" i="16"/>
  <c r="AO1552" i="16"/>
  <c r="AO1584" i="16"/>
  <c r="AO1481" i="16"/>
  <c r="AO1497" i="16"/>
  <c r="AO1505" i="16"/>
  <c r="AO1513" i="16"/>
  <c r="AO1533" i="16"/>
  <c r="AO1485" i="16"/>
  <c r="AO1568" i="16"/>
  <c r="AO1527" i="16"/>
  <c r="AO1540" i="16"/>
  <c r="AO1548" i="16"/>
  <c r="AO1556" i="16"/>
  <c r="AO1564" i="16"/>
  <c r="AO1572" i="16"/>
  <c r="AO1580" i="16"/>
  <c r="AO1588" i="16"/>
  <c r="AO1596" i="16"/>
  <c r="AO1604" i="16"/>
  <c r="AO1531" i="16"/>
  <c r="AO1539" i="16"/>
  <c r="AO1547" i="16"/>
  <c r="AO1555" i="16"/>
  <c r="AO1563" i="16"/>
  <c r="AO1571" i="16"/>
  <c r="AO1579" i="16"/>
  <c r="AO1587" i="16"/>
  <c r="AO1595" i="16"/>
  <c r="AO1603" i="16"/>
  <c r="AO1611" i="16"/>
  <c r="AO1616" i="16"/>
  <c r="AO1619" i="16"/>
  <c r="AU407" i="16" l="1"/>
  <c r="AV407" i="16" s="1"/>
  <c r="AE1613" i="16"/>
  <c r="AF1613" i="16" s="1"/>
  <c r="AE1602" i="16"/>
  <c r="AF1602" i="16" s="1"/>
  <c r="AE1580" i="16"/>
  <c r="AF1580" i="16" s="1"/>
  <c r="AE1569" i="16"/>
  <c r="AF1569" i="16" s="1"/>
  <c r="AE1557" i="16"/>
  <c r="AF1557" i="16" s="1"/>
  <c r="AE1538" i="16"/>
  <c r="AF1538" i="16" s="1"/>
  <c r="AE1618" i="16"/>
  <c r="AF1618" i="16" s="1"/>
  <c r="AE1597" i="16"/>
  <c r="AF1597" i="16" s="1"/>
  <c r="AE1576" i="16"/>
  <c r="AF1576" i="16" s="1"/>
  <c r="AE1540" i="16"/>
  <c r="AF1540" i="16" s="1"/>
  <c r="AE1520" i="16"/>
  <c r="AF1520" i="16" s="1"/>
  <c r="AE1506" i="16"/>
  <c r="AF1506" i="16" s="1"/>
  <c r="AE1488" i="16"/>
  <c r="AF1488" i="16" s="1"/>
  <c r="AE1473" i="16"/>
  <c r="AF1473" i="16" s="1"/>
  <c r="AE1457" i="16"/>
  <c r="AF1457" i="16" s="1"/>
  <c r="AE1436" i="16"/>
  <c r="AF1436" i="16" s="1"/>
  <c r="AE1420" i="16"/>
  <c r="AF1420" i="16" s="1"/>
  <c r="AE1404" i="16"/>
  <c r="AF1404" i="16" s="1"/>
  <c r="AE1388" i="16"/>
  <c r="AF1388" i="16" s="1"/>
  <c r="AE1372" i="16"/>
  <c r="AF1372" i="16" s="1"/>
  <c r="AE1356" i="16"/>
  <c r="AF1356" i="16" s="1"/>
  <c r="AE1340" i="16"/>
  <c r="AF1340" i="16" s="1"/>
  <c r="AE1326" i="16"/>
  <c r="AF1326" i="16" s="1"/>
  <c r="AE1310" i="16"/>
  <c r="AF1310" i="16" s="1"/>
  <c r="AE1294" i="16"/>
  <c r="AF1294" i="16" s="1"/>
  <c r="AE1278" i="16"/>
  <c r="AF1278" i="16" s="1"/>
  <c r="AE1629" i="16"/>
  <c r="AF1629" i="16" s="1"/>
  <c r="AE1615" i="16"/>
  <c r="AF1615" i="16" s="1"/>
  <c r="AE1592" i="16"/>
  <c r="AF1592" i="16" s="1"/>
  <c r="AE1578" i="16"/>
  <c r="AF1578" i="16" s="1"/>
  <c r="AE1551" i="16"/>
  <c r="AF1551" i="16" s="1"/>
  <c r="AE1543" i="16"/>
  <c r="AF1543" i="16" s="1"/>
  <c r="AE1526" i="16"/>
  <c r="AF1526" i="16" s="1"/>
  <c r="AE1511" i="16"/>
  <c r="AF1511" i="16" s="1"/>
  <c r="AE1494" i="16"/>
  <c r="AF1494" i="16" s="1"/>
  <c r="AE1478" i="16"/>
  <c r="AF1478" i="16" s="1"/>
  <c r="AE1462" i="16"/>
  <c r="AF1462" i="16" s="1"/>
  <c r="AE1444" i="16"/>
  <c r="AF1444" i="16" s="1"/>
  <c r="AE1432" i="16"/>
  <c r="AF1432" i="16" s="1"/>
  <c r="AE1416" i="16"/>
  <c r="AF1416" i="16" s="1"/>
  <c r="AE1400" i="16"/>
  <c r="AF1400" i="16" s="1"/>
  <c r="AE1384" i="16"/>
  <c r="AF1384" i="16" s="1"/>
  <c r="AE1368" i="16"/>
  <c r="AF1368" i="16" s="1"/>
  <c r="AE1352" i="16"/>
  <c r="AF1352" i="16" s="1"/>
  <c r="AE1336" i="16"/>
  <c r="AF1336" i="16" s="1"/>
  <c r="AE1320" i="16"/>
  <c r="AF1320" i="16" s="1"/>
  <c r="AE1304" i="16"/>
  <c r="AF1304" i="16" s="1"/>
  <c r="AE1288" i="16"/>
  <c r="AF1288" i="16" s="1"/>
  <c r="AE1272" i="16"/>
  <c r="AF1272" i="16" s="1"/>
  <c r="AE1256" i="16"/>
  <c r="AF1256" i="16" s="1"/>
  <c r="AE1240" i="16"/>
  <c r="AF1240" i="16" s="1"/>
  <c r="AE1224" i="16"/>
  <c r="AF1224" i="16" s="1"/>
  <c r="AE1208" i="16"/>
  <c r="AF1208" i="16" s="1"/>
  <c r="AE1192" i="16"/>
  <c r="AF1192" i="16" s="1"/>
  <c r="AE1177" i="16"/>
  <c r="AF1177" i="16" s="1"/>
  <c r="AE1161" i="16"/>
  <c r="AF1161" i="16" s="1"/>
  <c r="AE1626" i="16"/>
  <c r="AF1626" i="16" s="1"/>
  <c r="AE1594" i="16"/>
  <c r="AF1594" i="16" s="1"/>
  <c r="AE1571" i="16"/>
  <c r="AF1571" i="16" s="1"/>
  <c r="AE1541" i="16"/>
  <c r="AF1541" i="16" s="1"/>
  <c r="AE1529" i="16"/>
  <c r="AF1529" i="16" s="1"/>
  <c r="AE1509" i="16"/>
  <c r="AF1509" i="16" s="1"/>
  <c r="AE1497" i="16"/>
  <c r="AF1497" i="16" s="1"/>
  <c r="AE1479" i="16"/>
  <c r="AF1479" i="16" s="1"/>
  <c r="AE1463" i="16"/>
  <c r="AF1463" i="16" s="1"/>
  <c r="AE1447" i="16"/>
  <c r="AF1447" i="16" s="1"/>
  <c r="AE1433" i="16"/>
  <c r="AF1433" i="16" s="1"/>
  <c r="AE1417" i="16"/>
  <c r="AF1417" i="16" s="1"/>
  <c r="AE1401" i="16"/>
  <c r="AF1401" i="16" s="1"/>
  <c r="AE1385" i="16"/>
  <c r="AF1385" i="16" s="1"/>
  <c r="AE1369" i="16"/>
  <c r="AF1369" i="16" s="1"/>
  <c r="AE1353" i="16"/>
  <c r="AF1353" i="16" s="1"/>
  <c r="AE1337" i="16"/>
  <c r="AF1337" i="16" s="1"/>
  <c r="AE1323" i="16"/>
  <c r="AF1323" i="16" s="1"/>
  <c r="AE1307" i="16"/>
  <c r="AF1307" i="16" s="1"/>
  <c r="AE1291" i="16"/>
  <c r="AF1291" i="16" s="1"/>
  <c r="AE1275" i="16"/>
  <c r="AF1275" i="16" s="1"/>
  <c r="AE1259" i="16"/>
  <c r="AF1259" i="16" s="1"/>
  <c r="AE1243" i="16"/>
  <c r="AF1243" i="16" s="1"/>
  <c r="AE1227" i="16"/>
  <c r="AF1227" i="16" s="1"/>
  <c r="AE1211" i="16"/>
  <c r="AF1211" i="16" s="1"/>
  <c r="AE1195" i="16"/>
  <c r="AF1195" i="16" s="1"/>
  <c r="AE1178" i="16"/>
  <c r="AF1178" i="16" s="1"/>
  <c r="AE1162" i="16"/>
  <c r="AF1162" i="16" s="1"/>
  <c r="AE1623" i="16"/>
  <c r="AF1623" i="16" s="1"/>
  <c r="AE1581" i="16"/>
  <c r="AF1581" i="16" s="1"/>
  <c r="AE1515" i="16"/>
  <c r="AF1515" i="16" s="1"/>
  <c r="AE1443" i="16"/>
  <c r="AF1443" i="16" s="1"/>
  <c r="AE1408" i="16"/>
  <c r="AF1408" i="16" s="1"/>
  <c r="AE1344" i="16"/>
  <c r="AF1344" i="16" s="1"/>
  <c r="AE1266" i="16"/>
  <c r="AF1266" i="16" s="1"/>
  <c r="AE1237" i="16"/>
  <c r="AF1237" i="16" s="1"/>
  <c r="AE1205" i="16"/>
  <c r="AF1205" i="16" s="1"/>
  <c r="AE1172" i="16"/>
  <c r="AF1172" i="16" s="1"/>
  <c r="AE1145" i="16"/>
  <c r="AF1145" i="16" s="1"/>
  <c r="AE1129" i="16"/>
  <c r="AF1129" i="16" s="1"/>
  <c r="AE1113" i="16"/>
  <c r="AF1113" i="16" s="1"/>
  <c r="AE1097" i="16"/>
  <c r="AF1097" i="16" s="1"/>
  <c r="AE1084" i="16"/>
  <c r="AF1084" i="16" s="1"/>
  <c r="AE1076" i="16"/>
  <c r="AF1076" i="16" s="1"/>
  <c r="AE1068" i="16"/>
  <c r="AF1068" i="16" s="1"/>
  <c r="AE1060" i="16"/>
  <c r="AF1060" i="16" s="1"/>
  <c r="AE1052" i="16"/>
  <c r="AF1052" i="16" s="1"/>
  <c r="AE1044" i="16"/>
  <c r="AF1044" i="16" s="1"/>
  <c r="AE1036" i="16"/>
  <c r="AF1036" i="16" s="1"/>
  <c r="AE1028" i="16"/>
  <c r="AF1028" i="16" s="1"/>
  <c r="AE1020" i="16"/>
  <c r="AF1020" i="16" s="1"/>
  <c r="AE1012" i="16"/>
  <c r="AF1012" i="16" s="1"/>
  <c r="AE1004" i="16"/>
  <c r="AF1004" i="16" s="1"/>
  <c r="AE990" i="16"/>
  <c r="AF990" i="16" s="1"/>
  <c r="AE974" i="16"/>
  <c r="AF974" i="16" s="1"/>
  <c r="AE958" i="16"/>
  <c r="AF958" i="16" s="1"/>
  <c r="AE1546" i="16"/>
  <c r="AF1546" i="16" s="1"/>
  <c r="AE1480" i="16"/>
  <c r="AF1480" i="16" s="1"/>
  <c r="AE1413" i="16"/>
  <c r="AF1413" i="16" s="1"/>
  <c r="AE1349" i="16"/>
  <c r="AF1349" i="16" s="1"/>
  <c r="AE1321" i="16"/>
  <c r="AF1321" i="16" s="1"/>
  <c r="AE1257" i="16"/>
  <c r="AF1257" i="16" s="1"/>
  <c r="AE1225" i="16"/>
  <c r="AF1225" i="16" s="1"/>
  <c r="AE1193" i="16"/>
  <c r="AF1193" i="16" s="1"/>
  <c r="AE1163" i="16"/>
  <c r="AF1163" i="16" s="1"/>
  <c r="AE1138" i="16"/>
  <c r="AF1138" i="16" s="1"/>
  <c r="AE1122" i="16"/>
  <c r="AF1122" i="16" s="1"/>
  <c r="AE1106" i="16"/>
  <c r="AF1106" i="16" s="1"/>
  <c r="AE1090" i="16"/>
  <c r="AF1090" i="16" s="1"/>
  <c r="AE987" i="16"/>
  <c r="AF987" i="16" s="1"/>
  <c r="AE971" i="16"/>
  <c r="AF971" i="16" s="1"/>
  <c r="AE955" i="16"/>
  <c r="AF955" i="16" s="1"/>
  <c r="AE947" i="16"/>
  <c r="AF947" i="16" s="1"/>
  <c r="AE939" i="16"/>
  <c r="AF939" i="16" s="1"/>
  <c r="AE931" i="16"/>
  <c r="AF931" i="16" s="1"/>
  <c r="AE923" i="16"/>
  <c r="AF923" i="16" s="1"/>
  <c r="AE915" i="16"/>
  <c r="AF915" i="16" s="1"/>
  <c r="AE907" i="16"/>
  <c r="AF907" i="16" s="1"/>
  <c r="AE899" i="16"/>
  <c r="AF899" i="16" s="1"/>
  <c r="AE891" i="16"/>
  <c r="AF891" i="16" s="1"/>
  <c r="AE883" i="16"/>
  <c r="AF883" i="16" s="1"/>
  <c r="AE875" i="16"/>
  <c r="AF875" i="16" s="1"/>
  <c r="AE867" i="16"/>
  <c r="AF867" i="16" s="1"/>
  <c r="AE859" i="16"/>
  <c r="AF859" i="16" s="1"/>
  <c r="AE851" i="16"/>
  <c r="AF851" i="16" s="1"/>
  <c r="AE840" i="16"/>
  <c r="AF840" i="16" s="1"/>
  <c r="AE828" i="16"/>
  <c r="AF828" i="16" s="1"/>
  <c r="AE820" i="16"/>
  <c r="AF820" i="16" s="1"/>
  <c r="AE812" i="16"/>
  <c r="AF812" i="16" s="1"/>
  <c r="AE804" i="16"/>
  <c r="AF804" i="16" s="1"/>
  <c r="AE796" i="16"/>
  <c r="AF796" i="16" s="1"/>
  <c r="AE788" i="16"/>
  <c r="AF788" i="16" s="1"/>
  <c r="AE780" i="16"/>
  <c r="AF780" i="16" s="1"/>
  <c r="AE772" i="16"/>
  <c r="AF772" i="16" s="1"/>
  <c r="AE764" i="16"/>
  <c r="AF764" i="16" s="1"/>
  <c r="AE756" i="16"/>
  <c r="AF756" i="16" s="1"/>
  <c r="AE748" i="16"/>
  <c r="AF748" i="16" s="1"/>
  <c r="AE1585" i="16"/>
  <c r="AF1585" i="16" s="1"/>
  <c r="AE1512" i="16"/>
  <c r="AF1512" i="16" s="1"/>
  <c r="AE1468" i="16"/>
  <c r="AF1468" i="16" s="1"/>
  <c r="AE1383" i="16"/>
  <c r="AF1383" i="16" s="1"/>
  <c r="AE1312" i="16"/>
  <c r="AF1312" i="16" s="1"/>
  <c r="AE1253" i="16"/>
  <c r="AF1253" i="16" s="1"/>
  <c r="AE1221" i="16"/>
  <c r="AF1221" i="16" s="1"/>
  <c r="AE1184" i="16"/>
  <c r="AF1184" i="16" s="1"/>
  <c r="AE1152" i="16"/>
  <c r="AF1152" i="16" s="1"/>
  <c r="AE1135" i="16"/>
  <c r="AF1135" i="16" s="1"/>
  <c r="AE1119" i="16"/>
  <c r="AF1119" i="16" s="1"/>
  <c r="AE1103" i="16"/>
  <c r="AF1103" i="16" s="1"/>
  <c r="AE1087" i="16"/>
  <c r="AF1087" i="16" s="1"/>
  <c r="AE1079" i="16"/>
  <c r="AF1079" i="16" s="1"/>
  <c r="AE1071" i="16"/>
  <c r="AF1071" i="16" s="1"/>
  <c r="AE1063" i="16"/>
  <c r="AF1063" i="16" s="1"/>
  <c r="AE1055" i="16"/>
  <c r="AF1055" i="16" s="1"/>
  <c r="AE1047" i="16"/>
  <c r="AF1047" i="16" s="1"/>
  <c r="AE1039" i="16"/>
  <c r="AF1039" i="16" s="1"/>
  <c r="AE1031" i="16"/>
  <c r="AF1031" i="16" s="1"/>
  <c r="AE1023" i="16"/>
  <c r="AF1023" i="16" s="1"/>
  <c r="AE1015" i="16"/>
  <c r="AF1015" i="16" s="1"/>
  <c r="AE1007" i="16"/>
  <c r="AF1007" i="16" s="1"/>
  <c r="AE996" i="16"/>
  <c r="AF996" i="16" s="1"/>
  <c r="AE980" i="16"/>
  <c r="AF980" i="16" s="1"/>
  <c r="AE964" i="16"/>
  <c r="AF964" i="16" s="1"/>
  <c r="AE838" i="16"/>
  <c r="AF838" i="16" s="1"/>
  <c r="AE1530" i="16"/>
  <c r="AF1530" i="16" s="1"/>
  <c r="AE1472" i="16"/>
  <c r="AF1472" i="16" s="1"/>
  <c r="AE1424" i="16"/>
  <c r="AF1424" i="16" s="1"/>
  <c r="AE1360" i="16"/>
  <c r="AF1360" i="16" s="1"/>
  <c r="AE1282" i="16"/>
  <c r="AF1282" i="16" s="1"/>
  <c r="AE1234" i="16"/>
  <c r="AF1234" i="16" s="1"/>
  <c r="AE1202" i="16"/>
  <c r="AF1202" i="16" s="1"/>
  <c r="AE1104" i="16"/>
  <c r="AF1104" i="16" s="1"/>
  <c r="AE950" i="16"/>
  <c r="AF950" i="16" s="1"/>
  <c r="AE918" i="16"/>
  <c r="AF918" i="16" s="1"/>
  <c r="AE886" i="16"/>
  <c r="AF886" i="16" s="1"/>
  <c r="AE854" i="16"/>
  <c r="AF854" i="16" s="1"/>
  <c r="AE827" i="16"/>
  <c r="AF827" i="16" s="1"/>
  <c r="AE811" i="16"/>
  <c r="AF811" i="16" s="1"/>
  <c r="AE795" i="16"/>
  <c r="AF795" i="16" s="1"/>
  <c r="AE779" i="16"/>
  <c r="AF779" i="16" s="1"/>
  <c r="AE749" i="16"/>
  <c r="AF749" i="16" s="1"/>
  <c r="AE735" i="16"/>
  <c r="AF735" i="16" s="1"/>
  <c r="AE727" i="16"/>
  <c r="AF727" i="16" s="1"/>
  <c r="AE719" i="16"/>
  <c r="AF719" i="16" s="1"/>
  <c r="AE711" i="16"/>
  <c r="AF711" i="16" s="1"/>
  <c r="AE703" i="16"/>
  <c r="AF703" i="16" s="1"/>
  <c r="AE695" i="16"/>
  <c r="AF695" i="16" s="1"/>
  <c r="AE687" i="16"/>
  <c r="AF687" i="16" s="1"/>
  <c r="AE679" i="16"/>
  <c r="AF679" i="16" s="1"/>
  <c r="AE671" i="16"/>
  <c r="AF671" i="16" s="1"/>
  <c r="AE663" i="16"/>
  <c r="AF663" i="16" s="1"/>
  <c r="AE655" i="16"/>
  <c r="AF655" i="16" s="1"/>
  <c r="AE647" i="16"/>
  <c r="AF647" i="16" s="1"/>
  <c r="AE639" i="16"/>
  <c r="AF639" i="16" s="1"/>
  <c r="AE631" i="16"/>
  <c r="AF631" i="16" s="1"/>
  <c r="AE623" i="16"/>
  <c r="AF623" i="16" s="1"/>
  <c r="AE615" i="16"/>
  <c r="AF615" i="16" s="1"/>
  <c r="AE607" i="16"/>
  <c r="AF607" i="16" s="1"/>
  <c r="AE599" i="16"/>
  <c r="AF599" i="16" s="1"/>
  <c r="AE591" i="16"/>
  <c r="AF591" i="16" s="1"/>
  <c r="AE583" i="16"/>
  <c r="AF583" i="16" s="1"/>
  <c r="AE575" i="16"/>
  <c r="AF575" i="16" s="1"/>
  <c r="AE567" i="16"/>
  <c r="AF567" i="16" s="1"/>
  <c r="AE559" i="16"/>
  <c r="AF559" i="16" s="1"/>
  <c r="AE551" i="16"/>
  <c r="AF551" i="16" s="1"/>
  <c r="AE542" i="16"/>
  <c r="AF542" i="16" s="1"/>
  <c r="AE534" i="16"/>
  <c r="AF534" i="16" s="1"/>
  <c r="AE526" i="16"/>
  <c r="AF526" i="16" s="1"/>
  <c r="AE518" i="16"/>
  <c r="AF518" i="16" s="1"/>
  <c r="AE510" i="16"/>
  <c r="AF510" i="16" s="1"/>
  <c r="AE502" i="16"/>
  <c r="AF502" i="16" s="1"/>
  <c r="AE494" i="16"/>
  <c r="AF494" i="16" s="1"/>
  <c r="AE486" i="16"/>
  <c r="AF486" i="16" s="1"/>
  <c r="AE478" i="16"/>
  <c r="AF478" i="16" s="1"/>
  <c r="AE470" i="16"/>
  <c r="AF470" i="16" s="1"/>
  <c r="AE462" i="16"/>
  <c r="AF462" i="16" s="1"/>
  <c r="AE448" i="16"/>
  <c r="AF448" i="16" s="1"/>
  <c r="AE289" i="16"/>
  <c r="AF289" i="16" s="1"/>
  <c r="AE281" i="16"/>
  <c r="AF281" i="16" s="1"/>
  <c r="AE273" i="16"/>
  <c r="AF273" i="16" s="1"/>
  <c r="AE265" i="16"/>
  <c r="AF265" i="16" s="1"/>
  <c r="AE257" i="16"/>
  <c r="AF257" i="16" s="1"/>
  <c r="AE249" i="16"/>
  <c r="AF249" i="16" s="1"/>
  <c r="AE241" i="16"/>
  <c r="AF241" i="16" s="1"/>
  <c r="AE233" i="16"/>
  <c r="AF233" i="16" s="1"/>
  <c r="AE1108" i="16"/>
  <c r="AF1108" i="16" s="1"/>
  <c r="AE961" i="16"/>
  <c r="AF961" i="16" s="1"/>
  <c r="AE924" i="16"/>
  <c r="AF924" i="16" s="1"/>
  <c r="AE892" i="16"/>
  <c r="AF892" i="16" s="1"/>
  <c r="AE860" i="16"/>
  <c r="AF860" i="16" s="1"/>
  <c r="AE775" i="16"/>
  <c r="AF775" i="16" s="1"/>
  <c r="AE743" i="16"/>
  <c r="AF743" i="16" s="1"/>
  <c r="AE445" i="16"/>
  <c r="AF445" i="16" s="1"/>
  <c r="AE432" i="16"/>
  <c r="AF432" i="16" s="1"/>
  <c r="AE424" i="16"/>
  <c r="AF424" i="16" s="1"/>
  <c r="AE416" i="16"/>
  <c r="AF416" i="16" s="1"/>
  <c r="AE408" i="16"/>
  <c r="AF408" i="16" s="1"/>
  <c r="AE400" i="16"/>
  <c r="AF400" i="16" s="1"/>
  <c r="AE392" i="16"/>
  <c r="AF392" i="16" s="1"/>
  <c r="AE384" i="16"/>
  <c r="AF384" i="16" s="1"/>
  <c r="AE376" i="16"/>
  <c r="AF376" i="16" s="1"/>
  <c r="AE368" i="16"/>
  <c r="AF368" i="16" s="1"/>
  <c r="AE360" i="16"/>
  <c r="AF360" i="16" s="1"/>
  <c r="AE352" i="16"/>
  <c r="AF352" i="16" s="1"/>
  <c r="AE344" i="16"/>
  <c r="AF344" i="16" s="1"/>
  <c r="AE336" i="16"/>
  <c r="AF336" i="16" s="1"/>
  <c r="AE328" i="16"/>
  <c r="AF328" i="16" s="1"/>
  <c r="AE320" i="16"/>
  <c r="AF320" i="16" s="1"/>
  <c r="AE312" i="16"/>
  <c r="AF312" i="16" s="1"/>
  <c r="AE304" i="16"/>
  <c r="AF304" i="16" s="1"/>
  <c r="AE296" i="16"/>
  <c r="AF296" i="16" s="1"/>
  <c r="AE1151" i="16"/>
  <c r="AF1151" i="16" s="1"/>
  <c r="AE1096" i="16"/>
  <c r="AF1096" i="16" s="1"/>
  <c r="AE954" i="16"/>
  <c r="AF954" i="16" s="1"/>
  <c r="AE922" i="16"/>
  <c r="AF922" i="16" s="1"/>
  <c r="AE890" i="16"/>
  <c r="AF890" i="16" s="1"/>
  <c r="AE858" i="16"/>
  <c r="AF858" i="16" s="1"/>
  <c r="AE829" i="16"/>
  <c r="AF829" i="16" s="1"/>
  <c r="AE813" i="16"/>
  <c r="AF813" i="16" s="1"/>
  <c r="AE797" i="16"/>
  <c r="AF797" i="16" s="1"/>
  <c r="AE781" i="16"/>
  <c r="AF781" i="16" s="1"/>
  <c r="AE753" i="16"/>
  <c r="AF753" i="16" s="1"/>
  <c r="AE736" i="16"/>
  <c r="AF736" i="16" s="1"/>
  <c r="AE728" i="16"/>
  <c r="AF728" i="16" s="1"/>
  <c r="AE720" i="16"/>
  <c r="AF720" i="16" s="1"/>
  <c r="AE712" i="16"/>
  <c r="AF712" i="16" s="1"/>
  <c r="AE704" i="16"/>
  <c r="AF704" i="16" s="1"/>
  <c r="AE696" i="16"/>
  <c r="AF696" i="16" s="1"/>
  <c r="AE688" i="16"/>
  <c r="AF688" i="16" s="1"/>
  <c r="AE680" i="16"/>
  <c r="AF680" i="16" s="1"/>
  <c r="AE672" i="16"/>
  <c r="AF672" i="16" s="1"/>
  <c r="AE664" i="16"/>
  <c r="AF664" i="16" s="1"/>
  <c r="AE656" i="16"/>
  <c r="AF656" i="16" s="1"/>
  <c r="AE648" i="16"/>
  <c r="AF648" i="16" s="1"/>
  <c r="AE640" i="16"/>
  <c r="AF640" i="16" s="1"/>
  <c r="AE632" i="16"/>
  <c r="AF632" i="16" s="1"/>
  <c r="AE624" i="16"/>
  <c r="AF624" i="16" s="1"/>
  <c r="AE616" i="16"/>
  <c r="AF616" i="16" s="1"/>
  <c r="AE608" i="16"/>
  <c r="AF608" i="16" s="1"/>
  <c r="AE600" i="16"/>
  <c r="AF600" i="16" s="1"/>
  <c r="AE592" i="16"/>
  <c r="AF592" i="16" s="1"/>
  <c r="AE584" i="16"/>
  <c r="AF584" i="16" s="1"/>
  <c r="AE576" i="16"/>
  <c r="AF576" i="16" s="1"/>
  <c r="AE568" i="16"/>
  <c r="AF568" i="16" s="1"/>
  <c r="AE560" i="16"/>
  <c r="AF560" i="16" s="1"/>
  <c r="AE552" i="16"/>
  <c r="AF552" i="16" s="1"/>
  <c r="AE543" i="16"/>
  <c r="AF543" i="16" s="1"/>
  <c r="AE535" i="16"/>
  <c r="AF535" i="16" s="1"/>
  <c r="AE527" i="16"/>
  <c r="AF527" i="16" s="1"/>
  <c r="AE519" i="16"/>
  <c r="AF519" i="16" s="1"/>
  <c r="AE511" i="16"/>
  <c r="AF511" i="16" s="1"/>
  <c r="AE503" i="16"/>
  <c r="AF503" i="16" s="1"/>
  <c r="AE495" i="16"/>
  <c r="AF495" i="16" s="1"/>
  <c r="AE487" i="16"/>
  <c r="AF487" i="16" s="1"/>
  <c r="AE479" i="16"/>
  <c r="AF479" i="16" s="1"/>
  <c r="AE471" i="16"/>
  <c r="AF471" i="16" s="1"/>
  <c r="AE463" i="16"/>
  <c r="AF463" i="16" s="1"/>
  <c r="AE450" i="16"/>
  <c r="AF450" i="16" s="1"/>
  <c r="AE290" i="16"/>
  <c r="AF290" i="16" s="1"/>
  <c r="AE282" i="16"/>
  <c r="AF282" i="16" s="1"/>
  <c r="AE274" i="16"/>
  <c r="AF274" i="16" s="1"/>
  <c r="AE266" i="16"/>
  <c r="AF266" i="16" s="1"/>
  <c r="AE258" i="16"/>
  <c r="AF258" i="16" s="1"/>
  <c r="AE250" i="16"/>
  <c r="AF250" i="16" s="1"/>
  <c r="AE242" i="16"/>
  <c r="AF242" i="16" s="1"/>
  <c r="AE234" i="16"/>
  <c r="AF234" i="16" s="1"/>
  <c r="AE226" i="16"/>
  <c r="AF226" i="16" s="1"/>
  <c r="AE218" i="16"/>
  <c r="AF218" i="16" s="1"/>
  <c r="AE210" i="16"/>
  <c r="AF210" i="16" s="1"/>
  <c r="AE202" i="16"/>
  <c r="AF202" i="16" s="1"/>
  <c r="AE194" i="16"/>
  <c r="AF194" i="16" s="1"/>
  <c r="AE186" i="16"/>
  <c r="AF186" i="16" s="1"/>
  <c r="AE178" i="16"/>
  <c r="AF178" i="16" s="1"/>
  <c r="AE170" i="16"/>
  <c r="AF170" i="16" s="1"/>
  <c r="AE162" i="16"/>
  <c r="AF162" i="16" s="1"/>
  <c r="AE154" i="16"/>
  <c r="AF154" i="16" s="1"/>
  <c r="AE146" i="16"/>
  <c r="AF146" i="16" s="1"/>
  <c r="AE138" i="16"/>
  <c r="AF138" i="16" s="1"/>
  <c r="AE130" i="16"/>
  <c r="AF130" i="16" s="1"/>
  <c r="AE122" i="16"/>
  <c r="AF122" i="16" s="1"/>
  <c r="AE99" i="16"/>
  <c r="AF99" i="16" s="1"/>
  <c r="AE67" i="16"/>
  <c r="AF67" i="16" s="1"/>
  <c r="AE1191" i="16"/>
  <c r="AF1191" i="16" s="1"/>
  <c r="AE1100" i="16"/>
  <c r="AF1100" i="16" s="1"/>
  <c r="AE952" i="16"/>
  <c r="AF952" i="16" s="1"/>
  <c r="AE920" i="16"/>
  <c r="AF920" i="16" s="1"/>
  <c r="AE888" i="16"/>
  <c r="AF888" i="16" s="1"/>
  <c r="AE856" i="16"/>
  <c r="AF856" i="16" s="1"/>
  <c r="AE771" i="16"/>
  <c r="AF771" i="16" s="1"/>
  <c r="AE459" i="16"/>
  <c r="AF459" i="16" s="1"/>
  <c r="AE415" i="16"/>
  <c r="AF415" i="16" s="1"/>
  <c r="AE383" i="16"/>
  <c r="AF383" i="16" s="1"/>
  <c r="AE351" i="16"/>
  <c r="AF351" i="16" s="1"/>
  <c r="AE319" i="16"/>
  <c r="AF319" i="16" s="1"/>
  <c r="AE125" i="16"/>
  <c r="AF125" i="16" s="1"/>
  <c r="AE100" i="16"/>
  <c r="AF100" i="16" s="1"/>
  <c r="AE81" i="16"/>
  <c r="AF81" i="16" s="1"/>
  <c r="AE64" i="16"/>
  <c r="AF64" i="16" s="1"/>
  <c r="AE47" i="16"/>
  <c r="AF47" i="16" s="1"/>
  <c r="AE32" i="16"/>
  <c r="AF32" i="16" s="1"/>
  <c r="AE24" i="16"/>
  <c r="AF24" i="16" s="1"/>
  <c r="AE16" i="16"/>
  <c r="AF16" i="16" s="1"/>
  <c r="AE8" i="16"/>
  <c r="AF8" i="16" s="1"/>
  <c r="AE421" i="16"/>
  <c r="AF421" i="16" s="1"/>
  <c r="AE389" i="16"/>
  <c r="AF389" i="16" s="1"/>
  <c r="AE357" i="16"/>
  <c r="AF357" i="16" s="1"/>
  <c r="AE325" i="16"/>
  <c r="AF325" i="16" s="1"/>
  <c r="AE293" i="16"/>
  <c r="AF293" i="16" s="1"/>
  <c r="AE219" i="16"/>
  <c r="AF219" i="16" s="1"/>
  <c r="AE203" i="16"/>
  <c r="AF203" i="16" s="1"/>
  <c r="AE187" i="16"/>
  <c r="AF187" i="16" s="1"/>
  <c r="AE171" i="16"/>
  <c r="AF171" i="16" s="1"/>
  <c r="AE155" i="16"/>
  <c r="AF155" i="16" s="1"/>
  <c r="AE139" i="16"/>
  <c r="AF139" i="16" s="1"/>
  <c r="AE119" i="16"/>
  <c r="AF119" i="16" s="1"/>
  <c r="AE102" i="16"/>
  <c r="AF102" i="16" s="1"/>
  <c r="AE85" i="16"/>
  <c r="AF85" i="16" s="1"/>
  <c r="AE66" i="16"/>
  <c r="AF66" i="16" s="1"/>
  <c r="AE44" i="16"/>
  <c r="AF44" i="16" s="1"/>
  <c r="AE451" i="16"/>
  <c r="AF451" i="16" s="1"/>
  <c r="AE411" i="16"/>
  <c r="AF411" i="16" s="1"/>
  <c r="AE379" i="16"/>
  <c r="AF379" i="16" s="1"/>
  <c r="AE347" i="16"/>
  <c r="AF347" i="16" s="1"/>
  <c r="AE315" i="16"/>
  <c r="AF315" i="16" s="1"/>
  <c r="AE121" i="16"/>
  <c r="AF121" i="16" s="1"/>
  <c r="AE106" i="16"/>
  <c r="AF106" i="16" s="1"/>
  <c r="AE84" i="16"/>
  <c r="AF84" i="16" s="1"/>
  <c r="AE65" i="16"/>
  <c r="AF65" i="16" s="1"/>
  <c r="AE48" i="16"/>
  <c r="AF48" i="16" s="1"/>
  <c r="AE31" i="16"/>
  <c r="AF31" i="16" s="1"/>
  <c r="AE23" i="16"/>
  <c r="AF23" i="16" s="1"/>
  <c r="AE15" i="16"/>
  <c r="AF15" i="16" s="1"/>
  <c r="AE7" i="16"/>
  <c r="AF7" i="16" s="1"/>
  <c r="AE425" i="16"/>
  <c r="AF425" i="16" s="1"/>
  <c r="AE393" i="16"/>
  <c r="AF393" i="16" s="1"/>
  <c r="AE361" i="16"/>
  <c r="AF361" i="16" s="1"/>
  <c r="AE329" i="16"/>
  <c r="AF329" i="16" s="1"/>
  <c r="AE297" i="16"/>
  <c r="AF297" i="16" s="1"/>
  <c r="AE217" i="16"/>
  <c r="AF217" i="16" s="1"/>
  <c r="AE201" i="16"/>
  <c r="AF201" i="16" s="1"/>
  <c r="AE185" i="16"/>
  <c r="AF185" i="16" s="1"/>
  <c r="AE169" i="16"/>
  <c r="AF169" i="16" s="1"/>
  <c r="AE153" i="16"/>
  <c r="AF153" i="16" s="1"/>
  <c r="AE137" i="16"/>
  <c r="AF137" i="16" s="1"/>
  <c r="AE118" i="16"/>
  <c r="AF118" i="16" s="1"/>
  <c r="AE101" i="16"/>
  <c r="AF101" i="16" s="1"/>
  <c r="AE82" i="16"/>
  <c r="AF82" i="16" s="1"/>
  <c r="AE60" i="16"/>
  <c r="AF60" i="16" s="1"/>
  <c r="AE41" i="16"/>
  <c r="AF41" i="16" s="1"/>
  <c r="AE1628" i="16"/>
  <c r="AF1628" i="16" s="1"/>
  <c r="AE1610" i="16"/>
  <c r="AF1610" i="16" s="1"/>
  <c r="AE1600" i="16"/>
  <c r="AF1600" i="16" s="1"/>
  <c r="AE1577" i="16"/>
  <c r="AF1577" i="16" s="1"/>
  <c r="AE1566" i="16"/>
  <c r="AF1566" i="16" s="1"/>
  <c r="AE1554" i="16"/>
  <c r="AF1554" i="16" s="1"/>
  <c r="AE1627" i="16"/>
  <c r="AF1627" i="16" s="1"/>
  <c r="AE1603" i="16"/>
  <c r="AF1603" i="16" s="1"/>
  <c r="AE1595" i="16"/>
  <c r="AF1595" i="16" s="1"/>
  <c r="AE1570" i="16"/>
  <c r="AF1570" i="16" s="1"/>
  <c r="AE1534" i="16"/>
  <c r="AF1534" i="16" s="1"/>
  <c r="AE1518" i="16"/>
  <c r="AF1518" i="16" s="1"/>
  <c r="AE1503" i="16"/>
  <c r="AF1503" i="16" s="1"/>
  <c r="AE1486" i="16"/>
  <c r="AF1486" i="16" s="1"/>
  <c r="AE1469" i="16"/>
  <c r="AF1469" i="16" s="1"/>
  <c r="AE1453" i="16"/>
  <c r="AF1453" i="16" s="1"/>
  <c r="AE1434" i="16"/>
  <c r="AF1434" i="16" s="1"/>
  <c r="AE1418" i="16"/>
  <c r="AF1418" i="16" s="1"/>
  <c r="AE1402" i="16"/>
  <c r="AF1402" i="16" s="1"/>
  <c r="AE1386" i="16"/>
  <c r="AF1386" i="16" s="1"/>
  <c r="AE1370" i="16"/>
  <c r="AF1370" i="16" s="1"/>
  <c r="AE1354" i="16"/>
  <c r="AF1354" i="16" s="1"/>
  <c r="AE1338" i="16"/>
  <c r="AF1338" i="16" s="1"/>
  <c r="AE1324" i="16"/>
  <c r="AF1324" i="16" s="1"/>
  <c r="AE1308" i="16"/>
  <c r="AF1308" i="16" s="1"/>
  <c r="AE1292" i="16"/>
  <c r="AF1292" i="16" s="1"/>
  <c r="AE1276" i="16"/>
  <c r="AF1276" i="16" s="1"/>
  <c r="AE1624" i="16"/>
  <c r="AF1624" i="16" s="1"/>
  <c r="AE1611" i="16"/>
  <c r="AF1611" i="16" s="1"/>
  <c r="AE1588" i="16"/>
  <c r="AF1588" i="16" s="1"/>
  <c r="AE1567" i="16"/>
  <c r="AF1567" i="16" s="1"/>
  <c r="AE1549" i="16"/>
  <c r="AF1549" i="16" s="1"/>
  <c r="AE1535" i="16"/>
  <c r="AF1535" i="16" s="1"/>
  <c r="AE1521" i="16"/>
  <c r="AF1521" i="16" s="1"/>
  <c r="AE1501" i="16"/>
  <c r="AF1501" i="16" s="1"/>
  <c r="AE1489" i="16"/>
  <c r="AF1489" i="16" s="1"/>
  <c r="AE1474" i="16"/>
  <c r="AF1474" i="16" s="1"/>
  <c r="AE1458" i="16"/>
  <c r="AF1458" i="16" s="1"/>
  <c r="AE1442" i="16"/>
  <c r="AF1442" i="16" s="1"/>
  <c r="AE1430" i="16"/>
  <c r="AF1430" i="16" s="1"/>
  <c r="AE1414" i="16"/>
  <c r="AF1414" i="16" s="1"/>
  <c r="AE1398" i="16"/>
  <c r="AF1398" i="16" s="1"/>
  <c r="AE1382" i="16"/>
  <c r="AF1382" i="16" s="1"/>
  <c r="AE1366" i="16"/>
  <c r="AF1366" i="16" s="1"/>
  <c r="AE1350" i="16"/>
  <c r="AF1350" i="16" s="1"/>
  <c r="AE1334" i="16"/>
  <c r="AF1334" i="16" s="1"/>
  <c r="AE1313" i="16"/>
  <c r="AF1313" i="16" s="1"/>
  <c r="AE1297" i="16"/>
  <c r="AF1297" i="16" s="1"/>
  <c r="AE1281" i="16"/>
  <c r="AF1281" i="16" s="1"/>
  <c r="AE1265" i="16"/>
  <c r="AF1265" i="16" s="1"/>
  <c r="AE1249" i="16"/>
  <c r="AF1249" i="16" s="1"/>
  <c r="AE1233" i="16"/>
  <c r="AF1233" i="16" s="1"/>
  <c r="AE1217" i="16"/>
  <c r="AF1217" i="16" s="1"/>
  <c r="AE1201" i="16"/>
  <c r="AF1201" i="16" s="1"/>
  <c r="AE1189" i="16"/>
  <c r="AF1189" i="16" s="1"/>
  <c r="AE1173" i="16"/>
  <c r="AF1173" i="16" s="1"/>
  <c r="AE1157" i="16"/>
  <c r="AF1157" i="16" s="1"/>
  <c r="AE1604" i="16"/>
  <c r="AF1604" i="16" s="1"/>
  <c r="AE1590" i="16"/>
  <c r="AF1590" i="16" s="1"/>
  <c r="AE1565" i="16"/>
  <c r="AF1565" i="16" s="1"/>
  <c r="AE1539" i="16"/>
  <c r="AF1539" i="16" s="1"/>
  <c r="AE1524" i="16"/>
  <c r="AF1524" i="16" s="1"/>
  <c r="AE1507" i="16"/>
  <c r="AF1507" i="16" s="1"/>
  <c r="AE1492" i="16"/>
  <c r="AF1492" i="16" s="1"/>
  <c r="AE1475" i="16"/>
  <c r="AF1475" i="16" s="1"/>
  <c r="AE1459" i="16"/>
  <c r="AF1459" i="16" s="1"/>
  <c r="AE1445" i="16"/>
  <c r="AF1445" i="16" s="1"/>
  <c r="AE1428" i="16"/>
  <c r="AF1428" i="16" s="1"/>
  <c r="AE1412" i="16"/>
  <c r="AF1412" i="16" s="1"/>
  <c r="AE1396" i="16"/>
  <c r="AF1396" i="16" s="1"/>
  <c r="AE1380" i="16"/>
  <c r="AF1380" i="16" s="1"/>
  <c r="AE1364" i="16"/>
  <c r="AF1364" i="16" s="1"/>
  <c r="AE1348" i="16"/>
  <c r="AF1348" i="16" s="1"/>
  <c r="AE1332" i="16"/>
  <c r="AF1332" i="16" s="1"/>
  <c r="AE1318" i="16"/>
  <c r="AF1318" i="16" s="1"/>
  <c r="AE1302" i="16"/>
  <c r="AF1302" i="16" s="1"/>
  <c r="AE1286" i="16"/>
  <c r="AF1286" i="16" s="1"/>
  <c r="AE1270" i="16"/>
  <c r="AF1270" i="16" s="1"/>
  <c r="AE1254" i="16"/>
  <c r="AF1254" i="16" s="1"/>
  <c r="AE1238" i="16"/>
  <c r="AF1238" i="16" s="1"/>
  <c r="AE1222" i="16"/>
  <c r="AF1222" i="16" s="1"/>
  <c r="AE1206" i="16"/>
  <c r="AF1206" i="16" s="1"/>
  <c r="AE1190" i="16"/>
  <c r="AF1190" i="16" s="1"/>
  <c r="AE1174" i="16"/>
  <c r="AF1174" i="16" s="1"/>
  <c r="AE1158" i="16"/>
  <c r="AF1158" i="16" s="1"/>
  <c r="AE1614" i="16"/>
  <c r="AF1614" i="16" s="1"/>
  <c r="AE1564" i="16"/>
  <c r="AF1564" i="16" s="1"/>
  <c r="AE1495" i="16"/>
  <c r="AF1495" i="16" s="1"/>
  <c r="AE1429" i="16"/>
  <c r="AF1429" i="16" s="1"/>
  <c r="AE1365" i="16"/>
  <c r="AF1365" i="16" s="1"/>
  <c r="AE1287" i="16"/>
  <c r="AF1287" i="16" s="1"/>
  <c r="AE1262" i="16"/>
  <c r="AF1262" i="16" s="1"/>
  <c r="AE1230" i="16"/>
  <c r="AF1230" i="16" s="1"/>
  <c r="AE1198" i="16"/>
  <c r="AF1198" i="16" s="1"/>
  <c r="AE1164" i="16"/>
  <c r="AF1164" i="16" s="1"/>
  <c r="AE1141" i="16"/>
  <c r="AF1141" i="16" s="1"/>
  <c r="AE1125" i="16"/>
  <c r="AF1125" i="16" s="1"/>
  <c r="AE1109" i="16"/>
  <c r="AF1109" i="16" s="1"/>
  <c r="AE1093" i="16"/>
  <c r="AF1093" i="16" s="1"/>
  <c r="AE1082" i="16"/>
  <c r="AF1082" i="16" s="1"/>
  <c r="AE1074" i="16"/>
  <c r="AF1074" i="16" s="1"/>
  <c r="AE1066" i="16"/>
  <c r="AF1066" i="16" s="1"/>
  <c r="AE1058" i="16"/>
  <c r="AF1058" i="16" s="1"/>
  <c r="AE1050" i="16"/>
  <c r="AF1050" i="16" s="1"/>
  <c r="AE1042" i="16"/>
  <c r="AF1042" i="16" s="1"/>
  <c r="AE1034" i="16"/>
  <c r="AF1034" i="16" s="1"/>
  <c r="AE1026" i="16"/>
  <c r="AF1026" i="16" s="1"/>
  <c r="AE1018" i="16"/>
  <c r="AF1018" i="16" s="1"/>
  <c r="AE1010" i="16"/>
  <c r="AF1010" i="16" s="1"/>
  <c r="AE1002" i="16"/>
  <c r="AF1002" i="16" s="1"/>
  <c r="AE986" i="16"/>
  <c r="AF986" i="16" s="1"/>
  <c r="AE970" i="16"/>
  <c r="AF970" i="16" s="1"/>
  <c r="AE1612" i="16"/>
  <c r="AF1612" i="16" s="1"/>
  <c r="AE1533" i="16"/>
  <c r="AF1533" i="16" s="1"/>
  <c r="AE1464" i="16"/>
  <c r="AF1464" i="16" s="1"/>
  <c r="AE1406" i="16"/>
  <c r="AF1406" i="16" s="1"/>
  <c r="AE1342" i="16"/>
  <c r="AF1342" i="16" s="1"/>
  <c r="AE1314" i="16"/>
  <c r="AF1314" i="16" s="1"/>
  <c r="AE1250" i="16"/>
  <c r="AF1250" i="16" s="1"/>
  <c r="AE1218" i="16"/>
  <c r="AF1218" i="16" s="1"/>
  <c r="AE1187" i="16"/>
  <c r="AF1187" i="16" s="1"/>
  <c r="AE1155" i="16"/>
  <c r="AF1155" i="16" s="1"/>
  <c r="AE1134" i="16"/>
  <c r="AF1134" i="16" s="1"/>
  <c r="AE1118" i="16"/>
  <c r="AF1118" i="16" s="1"/>
  <c r="AE1102" i="16"/>
  <c r="AF1102" i="16" s="1"/>
  <c r="AE999" i="16"/>
  <c r="AF999" i="16" s="1"/>
  <c r="AE983" i="16"/>
  <c r="AF983" i="16" s="1"/>
  <c r="AE967" i="16"/>
  <c r="AF967" i="16" s="1"/>
  <c r="AE953" i="16"/>
  <c r="AF953" i="16" s="1"/>
  <c r="AE945" i="16"/>
  <c r="AF945" i="16" s="1"/>
  <c r="AE937" i="16"/>
  <c r="AF937" i="16" s="1"/>
  <c r="AE929" i="16"/>
  <c r="AF929" i="16" s="1"/>
  <c r="AE921" i="16"/>
  <c r="AF921" i="16" s="1"/>
  <c r="AE913" i="16"/>
  <c r="AF913" i="16" s="1"/>
  <c r="AE905" i="16"/>
  <c r="AF905" i="16" s="1"/>
  <c r="AE897" i="16"/>
  <c r="AF897" i="16" s="1"/>
  <c r="AE889" i="16"/>
  <c r="AF889" i="16" s="1"/>
  <c r="AE881" i="16"/>
  <c r="AF881" i="16" s="1"/>
  <c r="AE873" i="16"/>
  <c r="AF873" i="16" s="1"/>
  <c r="AE865" i="16"/>
  <c r="AF865" i="16" s="1"/>
  <c r="AE857" i="16"/>
  <c r="AF857" i="16" s="1"/>
  <c r="AE849" i="16"/>
  <c r="AF849" i="16" s="1"/>
  <c r="AE837" i="16"/>
  <c r="AF837" i="16" s="1"/>
  <c r="AE826" i="16"/>
  <c r="AF826" i="16" s="1"/>
  <c r="AE818" i="16"/>
  <c r="AF818" i="16" s="1"/>
  <c r="AE810" i="16"/>
  <c r="AF810" i="16" s="1"/>
  <c r="AE802" i="16"/>
  <c r="AF802" i="16" s="1"/>
  <c r="AE794" i="16"/>
  <c r="AF794" i="16" s="1"/>
  <c r="AE786" i="16"/>
  <c r="AF786" i="16" s="1"/>
  <c r="AE778" i="16"/>
  <c r="AF778" i="16" s="1"/>
  <c r="AE770" i="16"/>
  <c r="AF770" i="16" s="1"/>
  <c r="AE762" i="16"/>
  <c r="AF762" i="16" s="1"/>
  <c r="AE754" i="16"/>
  <c r="AF754" i="16" s="1"/>
  <c r="AE746" i="16"/>
  <c r="AF746" i="16" s="1"/>
  <c r="AE1568" i="16"/>
  <c r="AF1568" i="16" s="1"/>
  <c r="AE1505" i="16"/>
  <c r="AF1505" i="16" s="1"/>
  <c r="AE1452" i="16"/>
  <c r="AF1452" i="16" s="1"/>
  <c r="AE1376" i="16"/>
  <c r="AF1376" i="16" s="1"/>
  <c r="AE1305" i="16"/>
  <c r="AF1305" i="16" s="1"/>
  <c r="AE1246" i="16"/>
  <c r="AF1246" i="16" s="1"/>
  <c r="AE1214" i="16"/>
  <c r="AF1214" i="16" s="1"/>
  <c r="AE1176" i="16"/>
  <c r="AF1176" i="16" s="1"/>
  <c r="AE1147" i="16"/>
  <c r="AF1147" i="16" s="1"/>
  <c r="AE1131" i="16"/>
  <c r="AF1131" i="16" s="1"/>
  <c r="AE1115" i="16"/>
  <c r="AF1115" i="16" s="1"/>
  <c r="AE1099" i="16"/>
  <c r="AF1099" i="16" s="1"/>
  <c r="AE1085" i="16"/>
  <c r="AF1085" i="16" s="1"/>
  <c r="AE1077" i="16"/>
  <c r="AF1077" i="16" s="1"/>
  <c r="AE1069" i="16"/>
  <c r="AF1069" i="16" s="1"/>
  <c r="AE1061" i="16"/>
  <c r="AF1061" i="16" s="1"/>
  <c r="AE1053" i="16"/>
  <c r="AF1053" i="16" s="1"/>
  <c r="AE1045" i="16"/>
  <c r="AF1045" i="16" s="1"/>
  <c r="AE1037" i="16"/>
  <c r="AF1037" i="16" s="1"/>
  <c r="AE1029" i="16"/>
  <c r="AF1029" i="16" s="1"/>
  <c r="AE1021" i="16"/>
  <c r="AF1021" i="16" s="1"/>
  <c r="AE1013" i="16"/>
  <c r="AF1013" i="16" s="1"/>
  <c r="AE1005" i="16"/>
  <c r="AF1005" i="16" s="1"/>
  <c r="AE992" i="16"/>
  <c r="AF992" i="16" s="1"/>
  <c r="AE976" i="16"/>
  <c r="AF976" i="16" s="1"/>
  <c r="AE960" i="16"/>
  <c r="AF960" i="16" s="1"/>
  <c r="AE835" i="16"/>
  <c r="AF835" i="16" s="1"/>
  <c r="AE1517" i="16"/>
  <c r="AF1517" i="16" s="1"/>
  <c r="AE1456" i="16"/>
  <c r="AF1456" i="16" s="1"/>
  <c r="AE1381" i="16"/>
  <c r="AF1381" i="16" s="1"/>
  <c r="AE1303" i="16"/>
  <c r="AF1303" i="16" s="1"/>
  <c r="AE1255" i="16"/>
  <c r="AF1255" i="16" s="1"/>
  <c r="AE1223" i="16"/>
  <c r="AF1223" i="16" s="1"/>
  <c r="AE1167" i="16"/>
  <c r="AF1167" i="16" s="1"/>
  <c r="AE989" i="16"/>
  <c r="AF989" i="16" s="1"/>
  <c r="AE942" i="16"/>
  <c r="AF942" i="16" s="1"/>
  <c r="AE910" i="16"/>
  <c r="AF910" i="16" s="1"/>
  <c r="AE878" i="16"/>
  <c r="AF878" i="16" s="1"/>
  <c r="AE846" i="16"/>
  <c r="AF846" i="16" s="1"/>
  <c r="AE823" i="16"/>
  <c r="AF823" i="16" s="1"/>
  <c r="AE807" i="16"/>
  <c r="AF807" i="16" s="1"/>
  <c r="AE791" i="16"/>
  <c r="AF791" i="16" s="1"/>
  <c r="AE773" i="16"/>
  <c r="AF773" i="16" s="1"/>
  <c r="AE741" i="16"/>
  <c r="AF741" i="16" s="1"/>
  <c r="AE733" i="16"/>
  <c r="AF733" i="16" s="1"/>
  <c r="AE725" i="16"/>
  <c r="AF725" i="16" s="1"/>
  <c r="AE717" i="16"/>
  <c r="AF717" i="16" s="1"/>
  <c r="AE709" i="16"/>
  <c r="AF709" i="16" s="1"/>
  <c r="AE701" i="16"/>
  <c r="AF701" i="16" s="1"/>
  <c r="AE693" i="16"/>
  <c r="AF693" i="16" s="1"/>
  <c r="AE685" i="16"/>
  <c r="AF685" i="16" s="1"/>
  <c r="AE677" i="16"/>
  <c r="AF677" i="16" s="1"/>
  <c r="AE669" i="16"/>
  <c r="AF669" i="16" s="1"/>
  <c r="AE661" i="16"/>
  <c r="AF661" i="16" s="1"/>
  <c r="AE653" i="16"/>
  <c r="AF653" i="16" s="1"/>
  <c r="AE645" i="16"/>
  <c r="AF645" i="16" s="1"/>
  <c r="AE637" i="16"/>
  <c r="AF637" i="16" s="1"/>
  <c r="AE629" i="16"/>
  <c r="AF629" i="16" s="1"/>
  <c r="AE621" i="16"/>
  <c r="AF621" i="16" s="1"/>
  <c r="AE613" i="16"/>
  <c r="AF613" i="16" s="1"/>
  <c r="AE605" i="16"/>
  <c r="AF605" i="16" s="1"/>
  <c r="AE597" i="16"/>
  <c r="AF597" i="16" s="1"/>
  <c r="AE589" i="16"/>
  <c r="AF589" i="16" s="1"/>
  <c r="AE581" i="16"/>
  <c r="AF581" i="16" s="1"/>
  <c r="AE573" i="16"/>
  <c r="AF573" i="16" s="1"/>
  <c r="AE565" i="16"/>
  <c r="AF565" i="16" s="1"/>
  <c r="AE557" i="16"/>
  <c r="AF557" i="16" s="1"/>
  <c r="AE549" i="16"/>
  <c r="AF549" i="16" s="1"/>
  <c r="AE540" i="16"/>
  <c r="AF540" i="16" s="1"/>
  <c r="AE532" i="16"/>
  <c r="AF532" i="16" s="1"/>
  <c r="AE524" i="16"/>
  <c r="AF524" i="16" s="1"/>
  <c r="AE516" i="16"/>
  <c r="AF516" i="16" s="1"/>
  <c r="AE508" i="16"/>
  <c r="AF508" i="16" s="1"/>
  <c r="AE500" i="16"/>
  <c r="AF500" i="16" s="1"/>
  <c r="AE492" i="16"/>
  <c r="AF492" i="16" s="1"/>
  <c r="AE484" i="16"/>
  <c r="AF484" i="16" s="1"/>
  <c r="AE476" i="16"/>
  <c r="AF476" i="16" s="1"/>
  <c r="AE468" i="16"/>
  <c r="AF468" i="16" s="1"/>
  <c r="AE460" i="16"/>
  <c r="AF460" i="16" s="1"/>
  <c r="AE444" i="16"/>
  <c r="AF444" i="16" s="1"/>
  <c r="AE287" i="16"/>
  <c r="AF287" i="16" s="1"/>
  <c r="AE279" i="16"/>
  <c r="AF279" i="16" s="1"/>
  <c r="AE271" i="16"/>
  <c r="AF271" i="16" s="1"/>
  <c r="AE263" i="16"/>
  <c r="AF263" i="16" s="1"/>
  <c r="AE255" i="16"/>
  <c r="AF255" i="16" s="1"/>
  <c r="AE247" i="16"/>
  <c r="AF247" i="16" s="1"/>
  <c r="AE239" i="16"/>
  <c r="AF239" i="16" s="1"/>
  <c r="AE1175" i="16"/>
  <c r="AF1175" i="16" s="1"/>
  <c r="AE1092" i="16"/>
  <c r="AF1092" i="16" s="1"/>
  <c r="AE948" i="16"/>
  <c r="AF948" i="16" s="1"/>
  <c r="AE916" i="16"/>
  <c r="AF916" i="16" s="1"/>
  <c r="AE884" i="16"/>
  <c r="AF884" i="16" s="1"/>
  <c r="AE852" i="16"/>
  <c r="AF852" i="16" s="1"/>
  <c r="AE767" i="16"/>
  <c r="AF767" i="16" s="1"/>
  <c r="AE457" i="16"/>
  <c r="AF457" i="16" s="1"/>
  <c r="AE441" i="16"/>
  <c r="AF441" i="16" s="1"/>
  <c r="AE430" i="16"/>
  <c r="AF430" i="16" s="1"/>
  <c r="AE422" i="16"/>
  <c r="AF422" i="16" s="1"/>
  <c r="AE414" i="16"/>
  <c r="AF414" i="16" s="1"/>
  <c r="AE406" i="16"/>
  <c r="AF406" i="16" s="1"/>
  <c r="AE398" i="16"/>
  <c r="AF398" i="16" s="1"/>
  <c r="AE390" i="16"/>
  <c r="AF390" i="16" s="1"/>
  <c r="AE382" i="16"/>
  <c r="AF382" i="16" s="1"/>
  <c r="AE374" i="16"/>
  <c r="AF374" i="16" s="1"/>
  <c r="AE366" i="16"/>
  <c r="AF366" i="16" s="1"/>
  <c r="AE358" i="16"/>
  <c r="AF358" i="16" s="1"/>
  <c r="AE350" i="16"/>
  <c r="AF350" i="16" s="1"/>
  <c r="AE342" i="16"/>
  <c r="AF342" i="16" s="1"/>
  <c r="AE334" i="16"/>
  <c r="AF334" i="16" s="1"/>
  <c r="AE326" i="16"/>
  <c r="AF326" i="16" s="1"/>
  <c r="AE318" i="16"/>
  <c r="AF318" i="16" s="1"/>
  <c r="AE310" i="16"/>
  <c r="AF310" i="16" s="1"/>
  <c r="AE302" i="16"/>
  <c r="AF302" i="16" s="1"/>
  <c r="AE294" i="16"/>
  <c r="AF294" i="16" s="1"/>
  <c r="AE1144" i="16"/>
  <c r="AF1144" i="16" s="1"/>
  <c r="AE997" i="16"/>
  <c r="AF997" i="16" s="1"/>
  <c r="AE946" i="16"/>
  <c r="AF946" i="16" s="1"/>
  <c r="AE914" i="16"/>
  <c r="AF914" i="16" s="1"/>
  <c r="AE882" i="16"/>
  <c r="AF882" i="16" s="1"/>
  <c r="AE850" i="16"/>
  <c r="AF850" i="16" s="1"/>
  <c r="AE825" i="16"/>
  <c r="AF825" i="16" s="1"/>
  <c r="AE809" i="16"/>
  <c r="AF809" i="16" s="1"/>
  <c r="AE793" i="16"/>
  <c r="AF793" i="16" s="1"/>
  <c r="AE777" i="16"/>
  <c r="AF777" i="16" s="1"/>
  <c r="AE745" i="16"/>
  <c r="AF745" i="16" s="1"/>
  <c r="AE734" i="16"/>
  <c r="AF734" i="16" s="1"/>
  <c r="AE726" i="16"/>
  <c r="AF726" i="16" s="1"/>
  <c r="AE718" i="16"/>
  <c r="AF718" i="16" s="1"/>
  <c r="AE710" i="16"/>
  <c r="AF710" i="16" s="1"/>
  <c r="AE702" i="16"/>
  <c r="AF702" i="16" s="1"/>
  <c r="AE694" i="16"/>
  <c r="AF694" i="16" s="1"/>
  <c r="AE686" i="16"/>
  <c r="AF686" i="16" s="1"/>
  <c r="AE678" i="16"/>
  <c r="AF678" i="16" s="1"/>
  <c r="AE670" i="16"/>
  <c r="AF670" i="16" s="1"/>
  <c r="AE662" i="16"/>
  <c r="AF662" i="16" s="1"/>
  <c r="AE654" i="16"/>
  <c r="AF654" i="16" s="1"/>
  <c r="AE646" i="16"/>
  <c r="AF646" i="16" s="1"/>
  <c r="AE638" i="16"/>
  <c r="AF638" i="16" s="1"/>
  <c r="AE630" i="16"/>
  <c r="AF630" i="16" s="1"/>
  <c r="AE622" i="16"/>
  <c r="AF622" i="16" s="1"/>
  <c r="AE614" i="16"/>
  <c r="AF614" i="16" s="1"/>
  <c r="AE606" i="16"/>
  <c r="AF606" i="16" s="1"/>
  <c r="AE598" i="16"/>
  <c r="AF598" i="16" s="1"/>
  <c r="AE590" i="16"/>
  <c r="AF590" i="16" s="1"/>
  <c r="AE582" i="16"/>
  <c r="AF582" i="16" s="1"/>
  <c r="AE574" i="16"/>
  <c r="AF574" i="16" s="1"/>
  <c r="AE566" i="16"/>
  <c r="AF566" i="16" s="1"/>
  <c r="AE558" i="16"/>
  <c r="AF558" i="16" s="1"/>
  <c r="AE550" i="16"/>
  <c r="AF550" i="16" s="1"/>
  <c r="AE541" i="16"/>
  <c r="AF541" i="16" s="1"/>
  <c r="AE533" i="16"/>
  <c r="AF533" i="16" s="1"/>
  <c r="AE525" i="16"/>
  <c r="AF525" i="16" s="1"/>
  <c r="AE517" i="16"/>
  <c r="AF517" i="16" s="1"/>
  <c r="AE509" i="16"/>
  <c r="AF509" i="16" s="1"/>
  <c r="AE501" i="16"/>
  <c r="AF501" i="16" s="1"/>
  <c r="AE493" i="16"/>
  <c r="AF493" i="16" s="1"/>
  <c r="AE485" i="16"/>
  <c r="AF485" i="16" s="1"/>
  <c r="AE477" i="16"/>
  <c r="AF477" i="16" s="1"/>
  <c r="AE469" i="16"/>
  <c r="AF469" i="16" s="1"/>
  <c r="AE461" i="16"/>
  <c r="AF461" i="16" s="1"/>
  <c r="AE446" i="16"/>
  <c r="AF446" i="16" s="1"/>
  <c r="AE288" i="16"/>
  <c r="AF288" i="16" s="1"/>
  <c r="AE280" i="16"/>
  <c r="AF280" i="16" s="1"/>
  <c r="AE272" i="16"/>
  <c r="AF272" i="16" s="1"/>
  <c r="AE264" i="16"/>
  <c r="AF264" i="16" s="1"/>
  <c r="AE256" i="16"/>
  <c r="AF256" i="16" s="1"/>
  <c r="AE248" i="16"/>
  <c r="AF248" i="16" s="1"/>
  <c r="AE240" i="16"/>
  <c r="AF240" i="16" s="1"/>
  <c r="AE232" i="16"/>
  <c r="AF232" i="16" s="1"/>
  <c r="AE224" i="16"/>
  <c r="AF224" i="16" s="1"/>
  <c r="AE216" i="16"/>
  <c r="AF216" i="16" s="1"/>
  <c r="AE208" i="16"/>
  <c r="AF208" i="16" s="1"/>
  <c r="AE200" i="16"/>
  <c r="AF200" i="16" s="1"/>
  <c r="AE192" i="16"/>
  <c r="AF192" i="16" s="1"/>
  <c r="AE184" i="16"/>
  <c r="AF184" i="16" s="1"/>
  <c r="AE176" i="16"/>
  <c r="AF176" i="16" s="1"/>
  <c r="AE168" i="16"/>
  <c r="AF168" i="16" s="1"/>
  <c r="AE160" i="16"/>
  <c r="AF160" i="16" s="1"/>
  <c r="AE152" i="16"/>
  <c r="AF152" i="16" s="1"/>
  <c r="AE144" i="16"/>
  <c r="AF144" i="16" s="1"/>
  <c r="AE136" i="16"/>
  <c r="AF136" i="16" s="1"/>
  <c r="AE128" i="16"/>
  <c r="AF128" i="16" s="1"/>
  <c r="AE120" i="16"/>
  <c r="AF120" i="16" s="1"/>
  <c r="AE91" i="16"/>
  <c r="AF91" i="16" s="1"/>
  <c r="AE59" i="16"/>
  <c r="AF59" i="16" s="1"/>
  <c r="AE1159" i="16"/>
  <c r="AF1159" i="16" s="1"/>
  <c r="AE1001" i="16"/>
  <c r="AF1001" i="16" s="1"/>
  <c r="AE944" i="16"/>
  <c r="AF944" i="16" s="1"/>
  <c r="AE912" i="16"/>
  <c r="AF912" i="16" s="1"/>
  <c r="AE880" i="16"/>
  <c r="AF880" i="16" s="1"/>
  <c r="AE848" i="16"/>
  <c r="AF848" i="16" s="1"/>
  <c r="AE763" i="16"/>
  <c r="AF763" i="16" s="1"/>
  <c r="AE443" i="16"/>
  <c r="AF443" i="16" s="1"/>
  <c r="AE407" i="16"/>
  <c r="AF407" i="16" s="1"/>
  <c r="AE375" i="16"/>
  <c r="AF375" i="16" s="1"/>
  <c r="AE343" i="16"/>
  <c r="AF343" i="16" s="1"/>
  <c r="AE311" i="16"/>
  <c r="AF311" i="16" s="1"/>
  <c r="AE113" i="16"/>
  <c r="AF113" i="16" s="1"/>
  <c r="AE96" i="16"/>
  <c r="AF96" i="16" s="1"/>
  <c r="AE79" i="16"/>
  <c r="AF79" i="16" s="1"/>
  <c r="AE62" i="16"/>
  <c r="AF62" i="16" s="1"/>
  <c r="AE45" i="16"/>
  <c r="AF45" i="16" s="1"/>
  <c r="AE30" i="16"/>
  <c r="AF30" i="16" s="1"/>
  <c r="AE22" i="16"/>
  <c r="AF22" i="16" s="1"/>
  <c r="AE14" i="16"/>
  <c r="AF14" i="16" s="1"/>
  <c r="AE6" i="16"/>
  <c r="AF6" i="16" s="1"/>
  <c r="AE413" i="16"/>
  <c r="AF413" i="16" s="1"/>
  <c r="AE381" i="16"/>
  <c r="AF381" i="16" s="1"/>
  <c r="AE349" i="16"/>
  <c r="AF349" i="16" s="1"/>
  <c r="AE317" i="16"/>
  <c r="AF317" i="16" s="1"/>
  <c r="AE231" i="16"/>
  <c r="AF231" i="16" s="1"/>
  <c r="AE215" i="16"/>
  <c r="AF215" i="16" s="1"/>
  <c r="AE199" i="16"/>
  <c r="AF199" i="16" s="1"/>
  <c r="AE183" i="16"/>
  <c r="AF183" i="16" s="1"/>
  <c r="AE167" i="16"/>
  <c r="AF167" i="16" s="1"/>
  <c r="AE151" i="16"/>
  <c r="AF151" i="16" s="1"/>
  <c r="AE135" i="16"/>
  <c r="AF135" i="16" s="1"/>
  <c r="AE117" i="16"/>
  <c r="AF117" i="16" s="1"/>
  <c r="AE98" i="16"/>
  <c r="AF98" i="16" s="1"/>
  <c r="AE76" i="16"/>
  <c r="AF76" i="16" s="1"/>
  <c r="AE57" i="16"/>
  <c r="AF57" i="16" s="1"/>
  <c r="AE40" i="16"/>
  <c r="AF40" i="16" s="1"/>
  <c r="AE435" i="16"/>
  <c r="AF435" i="16" s="1"/>
  <c r="AE403" i="16"/>
  <c r="AF403" i="16" s="1"/>
  <c r="AE371" i="16"/>
  <c r="AF371" i="16" s="1"/>
  <c r="AE339" i="16"/>
  <c r="AF339" i="16" s="1"/>
  <c r="AE307" i="16"/>
  <c r="AF307" i="16" s="1"/>
  <c r="AE116" i="16"/>
  <c r="AF116" i="16" s="1"/>
  <c r="AE97" i="16"/>
  <c r="AF97" i="16" s="1"/>
  <c r="AE80" i="16"/>
  <c r="AF80" i="16" s="1"/>
  <c r="AE63" i="16"/>
  <c r="AF63" i="16" s="1"/>
  <c r="AE46" i="16"/>
  <c r="AF46" i="16" s="1"/>
  <c r="AE29" i="16"/>
  <c r="AF29" i="16" s="1"/>
  <c r="AE21" i="16"/>
  <c r="AF21" i="16" s="1"/>
  <c r="AE13" i="16"/>
  <c r="AF13" i="16" s="1"/>
  <c r="AE455" i="16"/>
  <c r="AF455" i="16" s="1"/>
  <c r="AE417" i="16"/>
  <c r="AF417" i="16" s="1"/>
  <c r="AE385" i="16"/>
  <c r="AF385" i="16" s="1"/>
  <c r="AE353" i="16"/>
  <c r="AF353" i="16" s="1"/>
  <c r="AE321" i="16"/>
  <c r="AF321" i="16" s="1"/>
  <c r="AE229" i="16"/>
  <c r="AF229" i="16" s="1"/>
  <c r="AE213" i="16"/>
  <c r="AF213" i="16" s="1"/>
  <c r="AE197" i="16"/>
  <c r="AF197" i="16" s="1"/>
  <c r="AE181" i="16"/>
  <c r="AF181" i="16" s="1"/>
  <c r="AE165" i="16"/>
  <c r="AF165" i="16" s="1"/>
  <c r="AE149" i="16"/>
  <c r="AF149" i="16" s="1"/>
  <c r="AE133" i="16"/>
  <c r="AF133" i="16" s="1"/>
  <c r="AE114" i="16"/>
  <c r="AF114" i="16" s="1"/>
  <c r="AE92" i="16"/>
  <c r="AF92" i="16" s="1"/>
  <c r="AE73" i="16"/>
  <c r="AF73" i="16" s="1"/>
  <c r="AE56" i="16"/>
  <c r="AF56" i="16" s="1"/>
  <c r="AE38" i="16"/>
  <c r="AF38" i="16" s="1"/>
  <c r="AE1621" i="16"/>
  <c r="AF1621" i="16" s="1"/>
  <c r="AE1608" i="16"/>
  <c r="AF1608" i="16" s="1"/>
  <c r="AE1591" i="16"/>
  <c r="AF1591" i="16" s="1"/>
  <c r="AE1574" i="16"/>
  <c r="AF1574" i="16" s="1"/>
  <c r="AE1563" i="16"/>
  <c r="AF1563" i="16" s="1"/>
  <c r="AE1552" i="16"/>
  <c r="AF1552" i="16" s="1"/>
  <c r="AE1625" i="16"/>
  <c r="AF1625" i="16" s="1"/>
  <c r="AE1601" i="16"/>
  <c r="AF1601" i="16" s="1"/>
  <c r="AE1593" i="16"/>
  <c r="AF1593" i="16" s="1"/>
  <c r="AE1562" i="16"/>
  <c r="AF1562" i="16" s="1"/>
  <c r="AE1525" i="16"/>
  <c r="AF1525" i="16" s="1"/>
  <c r="AE1513" i="16"/>
  <c r="AF1513" i="16" s="1"/>
  <c r="AE1493" i="16"/>
  <c r="AF1493" i="16" s="1"/>
  <c r="AE1481" i="16"/>
  <c r="AF1481" i="16" s="1"/>
  <c r="AE1465" i="16"/>
  <c r="AF1465" i="16" s="1"/>
  <c r="AE1449" i="16"/>
  <c r="AF1449" i="16" s="1"/>
  <c r="AE1427" i="16"/>
  <c r="AF1427" i="16" s="1"/>
  <c r="AE1411" i="16"/>
  <c r="AF1411" i="16" s="1"/>
  <c r="AE1395" i="16"/>
  <c r="AF1395" i="16" s="1"/>
  <c r="AE1379" i="16"/>
  <c r="AF1379" i="16" s="1"/>
  <c r="AE1363" i="16"/>
  <c r="AF1363" i="16" s="1"/>
  <c r="AE1347" i="16"/>
  <c r="AF1347" i="16" s="1"/>
  <c r="AE1331" i="16"/>
  <c r="AF1331" i="16" s="1"/>
  <c r="AE1317" i="16"/>
  <c r="AF1317" i="16" s="1"/>
  <c r="AE1301" i="16"/>
  <c r="AF1301" i="16" s="1"/>
  <c r="AE1285" i="16"/>
  <c r="AF1285" i="16" s="1"/>
  <c r="AE1269" i="16"/>
  <c r="AF1269" i="16" s="1"/>
  <c r="AE1622" i="16"/>
  <c r="AF1622" i="16" s="1"/>
  <c r="AE1609" i="16"/>
  <c r="AF1609" i="16" s="1"/>
  <c r="AE1586" i="16"/>
  <c r="AF1586" i="16" s="1"/>
  <c r="AE1555" i="16"/>
  <c r="AF1555" i="16" s="1"/>
  <c r="AE1547" i="16"/>
  <c r="AF1547" i="16" s="1"/>
  <c r="AE1531" i="16"/>
  <c r="AF1531" i="16" s="1"/>
  <c r="AE1516" i="16"/>
  <c r="AF1516" i="16" s="1"/>
  <c r="AE1499" i="16"/>
  <c r="AF1499" i="16" s="1"/>
  <c r="AE1484" i="16"/>
  <c r="AF1484" i="16" s="1"/>
  <c r="AE1470" i="16"/>
  <c r="AF1470" i="16" s="1"/>
  <c r="AE1454" i="16"/>
  <c r="AF1454" i="16" s="1"/>
  <c r="AE1439" i="16"/>
  <c r="AF1439" i="16" s="1"/>
  <c r="AE1423" i="16"/>
  <c r="AF1423" i="16" s="1"/>
  <c r="AE1407" i="16"/>
  <c r="AF1407" i="16" s="1"/>
  <c r="AE1391" i="16"/>
  <c r="AF1391" i="16" s="1"/>
  <c r="AE1375" i="16"/>
  <c r="AF1375" i="16" s="1"/>
  <c r="AE1359" i="16"/>
  <c r="AF1359" i="16" s="1"/>
  <c r="AE1343" i="16"/>
  <c r="AF1343" i="16" s="1"/>
  <c r="AE1327" i="16"/>
  <c r="AF1327" i="16" s="1"/>
  <c r="AE1311" i="16"/>
  <c r="AF1311" i="16" s="1"/>
  <c r="AE1295" i="16"/>
  <c r="AF1295" i="16" s="1"/>
  <c r="AE1279" i="16"/>
  <c r="AF1279" i="16" s="1"/>
  <c r="AE1263" i="16"/>
  <c r="AF1263" i="16" s="1"/>
  <c r="AE1247" i="16"/>
  <c r="AF1247" i="16" s="1"/>
  <c r="AE1231" i="16"/>
  <c r="AF1231" i="16" s="1"/>
  <c r="AE1215" i="16"/>
  <c r="AF1215" i="16" s="1"/>
  <c r="AE1199" i="16"/>
  <c r="AF1199" i="16" s="1"/>
  <c r="AE1185" i="16"/>
  <c r="AF1185" i="16" s="1"/>
  <c r="AE1169" i="16"/>
  <c r="AF1169" i="16" s="1"/>
  <c r="AE1153" i="16"/>
  <c r="AF1153" i="16" s="1"/>
  <c r="AE1598" i="16"/>
  <c r="AF1598" i="16" s="1"/>
  <c r="AE1575" i="16"/>
  <c r="AF1575" i="16" s="1"/>
  <c r="AE1561" i="16"/>
  <c r="AF1561" i="16" s="1"/>
  <c r="AE1536" i="16"/>
  <c r="AF1536" i="16" s="1"/>
  <c r="AE1522" i="16"/>
  <c r="AF1522" i="16" s="1"/>
  <c r="AE1504" i="16"/>
  <c r="AF1504" i="16" s="1"/>
  <c r="AE1490" i="16"/>
  <c r="AF1490" i="16" s="1"/>
  <c r="AE1471" i="16"/>
  <c r="AF1471" i="16" s="1"/>
  <c r="AE1455" i="16"/>
  <c r="AF1455" i="16" s="1"/>
  <c r="AE1440" i="16"/>
  <c r="AF1440" i="16" s="1"/>
  <c r="AE1426" i="16"/>
  <c r="AF1426" i="16" s="1"/>
  <c r="AE1410" i="16"/>
  <c r="AF1410" i="16" s="1"/>
  <c r="AE1394" i="16"/>
  <c r="AF1394" i="16" s="1"/>
  <c r="AE1378" i="16"/>
  <c r="AF1378" i="16" s="1"/>
  <c r="AE1362" i="16"/>
  <c r="AF1362" i="16" s="1"/>
  <c r="AE1346" i="16"/>
  <c r="AF1346" i="16" s="1"/>
  <c r="AE1330" i="16"/>
  <c r="AF1330" i="16" s="1"/>
  <c r="AE1316" i="16"/>
  <c r="AF1316" i="16" s="1"/>
  <c r="AE1300" i="16"/>
  <c r="AF1300" i="16" s="1"/>
  <c r="AE1284" i="16"/>
  <c r="AF1284" i="16" s="1"/>
  <c r="AE1268" i="16"/>
  <c r="AF1268" i="16" s="1"/>
  <c r="AE1252" i="16"/>
  <c r="AF1252" i="16" s="1"/>
  <c r="AE1236" i="16"/>
  <c r="AF1236" i="16" s="1"/>
  <c r="AE1220" i="16"/>
  <c r="AF1220" i="16" s="1"/>
  <c r="AE1204" i="16"/>
  <c r="AF1204" i="16" s="1"/>
  <c r="AE1186" i="16"/>
  <c r="AF1186" i="16" s="1"/>
  <c r="AE1170" i="16"/>
  <c r="AF1170" i="16" s="1"/>
  <c r="AE1154" i="16"/>
  <c r="AF1154" i="16" s="1"/>
  <c r="AE1606" i="16"/>
  <c r="AF1606" i="16" s="1"/>
  <c r="AE1556" i="16"/>
  <c r="AF1556" i="16" s="1"/>
  <c r="AE1476" i="16"/>
  <c r="AF1476" i="16" s="1"/>
  <c r="AE1422" i="16"/>
  <c r="AF1422" i="16" s="1"/>
  <c r="AE1358" i="16"/>
  <c r="AF1358" i="16" s="1"/>
  <c r="AE1280" i="16"/>
  <c r="AF1280" i="16" s="1"/>
  <c r="AE1251" i="16"/>
  <c r="AF1251" i="16" s="1"/>
  <c r="AE1219" i="16"/>
  <c r="AF1219" i="16" s="1"/>
  <c r="AE1188" i="16"/>
  <c r="AF1188" i="16" s="1"/>
  <c r="AE1156" i="16"/>
  <c r="AF1156" i="16" s="1"/>
  <c r="AE1137" i="16"/>
  <c r="AF1137" i="16" s="1"/>
  <c r="AE1121" i="16"/>
  <c r="AF1121" i="16" s="1"/>
  <c r="AE1105" i="16"/>
  <c r="AF1105" i="16" s="1"/>
  <c r="AE1089" i="16"/>
  <c r="AF1089" i="16" s="1"/>
  <c r="AE1080" i="16"/>
  <c r="AF1080" i="16" s="1"/>
  <c r="AE1072" i="16"/>
  <c r="AF1072" i="16" s="1"/>
  <c r="AE1064" i="16"/>
  <c r="AF1064" i="16" s="1"/>
  <c r="AE1056" i="16"/>
  <c r="AF1056" i="16" s="1"/>
  <c r="AE1048" i="16"/>
  <c r="AF1048" i="16" s="1"/>
  <c r="AE1040" i="16"/>
  <c r="AF1040" i="16" s="1"/>
  <c r="AE1032" i="16"/>
  <c r="AF1032" i="16" s="1"/>
  <c r="AE1024" i="16"/>
  <c r="AF1024" i="16" s="1"/>
  <c r="AE1016" i="16"/>
  <c r="AF1016" i="16" s="1"/>
  <c r="AE1008" i="16"/>
  <c r="AF1008" i="16" s="1"/>
  <c r="AE998" i="16"/>
  <c r="AF998" i="16" s="1"/>
  <c r="AE982" i="16"/>
  <c r="AF982" i="16" s="1"/>
  <c r="AE966" i="16"/>
  <c r="AF966" i="16" s="1"/>
  <c r="AE1587" i="16"/>
  <c r="AF1587" i="16" s="1"/>
  <c r="AE1527" i="16"/>
  <c r="AF1527" i="16" s="1"/>
  <c r="AE1448" i="16"/>
  <c r="AF1448" i="16" s="1"/>
  <c r="AE1399" i="16"/>
  <c r="AF1399" i="16" s="1"/>
  <c r="AE1335" i="16"/>
  <c r="AF1335" i="16" s="1"/>
  <c r="AE1271" i="16"/>
  <c r="AF1271" i="16" s="1"/>
  <c r="AE1239" i="16"/>
  <c r="AF1239" i="16" s="1"/>
  <c r="AE1207" i="16"/>
  <c r="AF1207" i="16" s="1"/>
  <c r="AE1179" i="16"/>
  <c r="AF1179" i="16" s="1"/>
  <c r="AE1146" i="16"/>
  <c r="AF1146" i="16" s="1"/>
  <c r="AE1130" i="16"/>
  <c r="AF1130" i="16" s="1"/>
  <c r="AE1114" i="16"/>
  <c r="AF1114" i="16" s="1"/>
  <c r="AE1098" i="16"/>
  <c r="AF1098" i="16" s="1"/>
  <c r="AE995" i="16"/>
  <c r="AF995" i="16" s="1"/>
  <c r="AE979" i="16"/>
  <c r="AF979" i="16" s="1"/>
  <c r="AE963" i="16"/>
  <c r="AF963" i="16" s="1"/>
  <c r="AE951" i="16"/>
  <c r="AF951" i="16" s="1"/>
  <c r="AE943" i="16"/>
  <c r="AF943" i="16" s="1"/>
  <c r="AE935" i="16"/>
  <c r="AF935" i="16" s="1"/>
  <c r="AE927" i="16"/>
  <c r="AF927" i="16" s="1"/>
  <c r="AE919" i="16"/>
  <c r="AF919" i="16" s="1"/>
  <c r="AE911" i="16"/>
  <c r="AF911" i="16" s="1"/>
  <c r="AE903" i="16"/>
  <c r="AF903" i="16" s="1"/>
  <c r="AE895" i="16"/>
  <c r="AF895" i="16" s="1"/>
  <c r="AE887" i="16"/>
  <c r="AF887" i="16" s="1"/>
  <c r="AE879" i="16"/>
  <c r="AF879" i="16" s="1"/>
  <c r="AE871" i="16"/>
  <c r="AF871" i="16" s="1"/>
  <c r="AE863" i="16"/>
  <c r="AF863" i="16" s="1"/>
  <c r="AE855" i="16"/>
  <c r="AF855" i="16" s="1"/>
  <c r="AE847" i="16"/>
  <c r="AF847" i="16" s="1"/>
  <c r="AE832" i="16"/>
  <c r="AF832" i="16" s="1"/>
  <c r="AE824" i="16"/>
  <c r="AF824" i="16" s="1"/>
  <c r="AE816" i="16"/>
  <c r="AF816" i="16" s="1"/>
  <c r="AE808" i="16"/>
  <c r="AF808" i="16" s="1"/>
  <c r="AE800" i="16"/>
  <c r="AF800" i="16" s="1"/>
  <c r="AE792" i="16"/>
  <c r="AF792" i="16" s="1"/>
  <c r="AE784" i="16"/>
  <c r="AF784" i="16" s="1"/>
  <c r="AE776" i="16"/>
  <c r="AF776" i="16" s="1"/>
  <c r="AE768" i="16"/>
  <c r="AF768" i="16" s="1"/>
  <c r="AE760" i="16"/>
  <c r="AF760" i="16" s="1"/>
  <c r="AE752" i="16"/>
  <c r="AF752" i="16" s="1"/>
  <c r="AE744" i="16"/>
  <c r="AF744" i="16" s="1"/>
  <c r="AE1544" i="16"/>
  <c r="AF1544" i="16" s="1"/>
  <c r="AE1498" i="16"/>
  <c r="AF1498" i="16" s="1"/>
  <c r="AE1397" i="16"/>
  <c r="AF1397" i="16" s="1"/>
  <c r="AE1333" i="16"/>
  <c r="AF1333" i="16" s="1"/>
  <c r="AE1298" i="16"/>
  <c r="AF1298" i="16" s="1"/>
  <c r="AE1235" i="16"/>
  <c r="AF1235" i="16" s="1"/>
  <c r="AE1203" i="16"/>
  <c r="AF1203" i="16" s="1"/>
  <c r="AE1168" i="16"/>
  <c r="AF1168" i="16" s="1"/>
  <c r="AE1143" i="16"/>
  <c r="AF1143" i="16" s="1"/>
  <c r="AE1127" i="16"/>
  <c r="AF1127" i="16" s="1"/>
  <c r="AE1111" i="16"/>
  <c r="AF1111" i="16" s="1"/>
  <c r="AE1095" i="16"/>
  <c r="AF1095" i="16" s="1"/>
  <c r="AE1083" i="16"/>
  <c r="AF1083" i="16" s="1"/>
  <c r="AE1075" i="16"/>
  <c r="AF1075" i="16" s="1"/>
  <c r="AE1067" i="16"/>
  <c r="AF1067" i="16" s="1"/>
  <c r="AE1059" i="16"/>
  <c r="AF1059" i="16" s="1"/>
  <c r="AE1051" i="16"/>
  <c r="AF1051" i="16" s="1"/>
  <c r="AE1043" i="16"/>
  <c r="AF1043" i="16" s="1"/>
  <c r="AE1035" i="16"/>
  <c r="AF1035" i="16" s="1"/>
  <c r="AE1027" i="16"/>
  <c r="AF1027" i="16" s="1"/>
  <c r="AE1019" i="16"/>
  <c r="AF1019" i="16" s="1"/>
  <c r="AE1011" i="16"/>
  <c r="AF1011" i="16" s="1"/>
  <c r="AE1003" i="16"/>
  <c r="AF1003" i="16" s="1"/>
  <c r="AE988" i="16"/>
  <c r="AF988" i="16" s="1"/>
  <c r="AE972" i="16"/>
  <c r="AF972" i="16" s="1"/>
  <c r="AE956" i="16"/>
  <c r="AF956" i="16" s="1"/>
  <c r="AE1616" i="16"/>
  <c r="AF1616" i="16" s="1"/>
  <c r="AE1510" i="16"/>
  <c r="AF1510" i="16" s="1"/>
  <c r="AE1438" i="16"/>
  <c r="AF1438" i="16" s="1"/>
  <c r="AE1374" i="16"/>
  <c r="AF1374" i="16" s="1"/>
  <c r="AE1296" i="16"/>
  <c r="AF1296" i="16" s="1"/>
  <c r="AE1248" i="16"/>
  <c r="AF1248" i="16" s="1"/>
  <c r="AE1216" i="16"/>
  <c r="AF1216" i="16" s="1"/>
  <c r="AE1136" i="16"/>
  <c r="AF1136" i="16" s="1"/>
  <c r="AE973" i="16"/>
  <c r="AF973" i="16" s="1"/>
  <c r="AE934" i="16"/>
  <c r="AF934" i="16" s="1"/>
  <c r="AE902" i="16"/>
  <c r="AF902" i="16" s="1"/>
  <c r="AE870" i="16"/>
  <c r="AF870" i="16" s="1"/>
  <c r="AE841" i="16"/>
  <c r="AF841" i="16" s="1"/>
  <c r="AE819" i="16"/>
  <c r="AF819" i="16" s="1"/>
  <c r="AE803" i="16"/>
  <c r="AF803" i="16" s="1"/>
  <c r="AE787" i="16"/>
  <c r="AF787" i="16" s="1"/>
  <c r="AE765" i="16"/>
  <c r="AF765" i="16" s="1"/>
  <c r="AE739" i="16"/>
  <c r="AF739" i="16" s="1"/>
  <c r="AE731" i="16"/>
  <c r="AF731" i="16" s="1"/>
  <c r="AE723" i="16"/>
  <c r="AF723" i="16" s="1"/>
  <c r="AE715" i="16"/>
  <c r="AF715" i="16" s="1"/>
  <c r="AE707" i="16"/>
  <c r="AF707" i="16" s="1"/>
  <c r="AE699" i="16"/>
  <c r="AF699" i="16" s="1"/>
  <c r="AE691" i="16"/>
  <c r="AF691" i="16" s="1"/>
  <c r="AE683" i="16"/>
  <c r="AF683" i="16" s="1"/>
  <c r="AE675" i="16"/>
  <c r="AF675" i="16" s="1"/>
  <c r="AE667" i="16"/>
  <c r="AF667" i="16" s="1"/>
  <c r="AE659" i="16"/>
  <c r="AF659" i="16" s="1"/>
  <c r="AE651" i="16"/>
  <c r="AF651" i="16" s="1"/>
  <c r="AE643" i="16"/>
  <c r="AF643" i="16" s="1"/>
  <c r="AE635" i="16"/>
  <c r="AF635" i="16" s="1"/>
  <c r="AE627" i="16"/>
  <c r="AF627" i="16" s="1"/>
  <c r="AE619" i="16"/>
  <c r="AF619" i="16" s="1"/>
  <c r="AE611" i="16"/>
  <c r="AF611" i="16" s="1"/>
  <c r="AE603" i="16"/>
  <c r="AF603" i="16" s="1"/>
  <c r="AE595" i="16"/>
  <c r="AF595" i="16" s="1"/>
  <c r="AE587" i="16"/>
  <c r="AF587" i="16" s="1"/>
  <c r="AE579" i="16"/>
  <c r="AF579" i="16" s="1"/>
  <c r="AE571" i="16"/>
  <c r="AF571" i="16" s="1"/>
  <c r="AE563" i="16"/>
  <c r="AF563" i="16" s="1"/>
  <c r="AE555" i="16"/>
  <c r="AF555" i="16" s="1"/>
  <c r="AE547" i="16"/>
  <c r="AF547" i="16" s="1"/>
  <c r="AE538" i="16"/>
  <c r="AF538" i="16" s="1"/>
  <c r="AE530" i="16"/>
  <c r="AF530" i="16" s="1"/>
  <c r="AE522" i="16"/>
  <c r="AF522" i="16" s="1"/>
  <c r="AE514" i="16"/>
  <c r="AF514" i="16" s="1"/>
  <c r="AE506" i="16"/>
  <c r="AF506" i="16" s="1"/>
  <c r="AE498" i="16"/>
  <c r="AF498" i="16" s="1"/>
  <c r="AE490" i="16"/>
  <c r="AF490" i="16" s="1"/>
  <c r="AE482" i="16"/>
  <c r="AF482" i="16" s="1"/>
  <c r="AE474" i="16"/>
  <c r="AF474" i="16" s="1"/>
  <c r="AE466" i="16"/>
  <c r="AF466" i="16" s="1"/>
  <c r="AE456" i="16"/>
  <c r="AF456" i="16" s="1"/>
  <c r="AE440" i="16"/>
  <c r="AF440" i="16" s="1"/>
  <c r="AE285" i="16"/>
  <c r="AF285" i="16" s="1"/>
  <c r="AE277" i="16"/>
  <c r="AF277" i="16" s="1"/>
  <c r="AE269" i="16"/>
  <c r="AF269" i="16" s="1"/>
  <c r="AE261" i="16"/>
  <c r="AF261" i="16" s="1"/>
  <c r="AE253" i="16"/>
  <c r="AF253" i="16" s="1"/>
  <c r="AE245" i="16"/>
  <c r="AF245" i="16" s="1"/>
  <c r="AE237" i="16"/>
  <c r="AF237" i="16" s="1"/>
  <c r="AE1140" i="16"/>
  <c r="AF1140" i="16" s="1"/>
  <c r="AE993" i="16"/>
  <c r="AF993" i="16" s="1"/>
  <c r="AE940" i="16"/>
  <c r="AF940" i="16" s="1"/>
  <c r="AE908" i="16"/>
  <c r="AF908" i="16" s="1"/>
  <c r="AE876" i="16"/>
  <c r="AF876" i="16" s="1"/>
  <c r="AE844" i="16"/>
  <c r="AF844" i="16" s="1"/>
  <c r="AE759" i="16"/>
  <c r="AF759" i="16" s="1"/>
  <c r="AE453" i="16"/>
  <c r="AF453" i="16" s="1"/>
  <c r="AE437" i="16"/>
  <c r="AF437" i="16" s="1"/>
  <c r="AE428" i="16"/>
  <c r="AF428" i="16" s="1"/>
  <c r="AE420" i="16"/>
  <c r="AF420" i="16" s="1"/>
  <c r="AE412" i="16"/>
  <c r="AF412" i="16" s="1"/>
  <c r="AE404" i="16"/>
  <c r="AF404" i="16" s="1"/>
  <c r="AE396" i="16"/>
  <c r="AF396" i="16" s="1"/>
  <c r="AE388" i="16"/>
  <c r="AF388" i="16" s="1"/>
  <c r="AE380" i="16"/>
  <c r="AF380" i="16" s="1"/>
  <c r="AE372" i="16"/>
  <c r="AF372" i="16" s="1"/>
  <c r="AE364" i="16"/>
  <c r="AF364" i="16" s="1"/>
  <c r="AE356" i="16"/>
  <c r="AF356" i="16" s="1"/>
  <c r="AE348" i="16"/>
  <c r="AF348" i="16" s="1"/>
  <c r="AE340" i="16"/>
  <c r="AF340" i="16" s="1"/>
  <c r="AE332" i="16"/>
  <c r="AF332" i="16" s="1"/>
  <c r="AE324" i="16"/>
  <c r="AF324" i="16" s="1"/>
  <c r="AE316" i="16"/>
  <c r="AF316" i="16" s="1"/>
  <c r="AE308" i="16"/>
  <c r="AF308" i="16" s="1"/>
  <c r="AE300" i="16"/>
  <c r="AF300" i="16" s="1"/>
  <c r="AE292" i="16"/>
  <c r="AF292" i="16" s="1"/>
  <c r="AE1128" i="16"/>
  <c r="AF1128" i="16" s="1"/>
  <c r="AE981" i="16"/>
  <c r="AF981" i="16" s="1"/>
  <c r="AE938" i="16"/>
  <c r="AF938" i="16" s="1"/>
  <c r="AE906" i="16"/>
  <c r="AF906" i="16" s="1"/>
  <c r="AE874" i="16"/>
  <c r="AF874" i="16" s="1"/>
  <c r="AE836" i="16"/>
  <c r="AF836" i="16" s="1"/>
  <c r="AE821" i="16"/>
  <c r="AF821" i="16" s="1"/>
  <c r="AE805" i="16"/>
  <c r="AF805" i="16" s="1"/>
  <c r="AE789" i="16"/>
  <c r="AF789" i="16" s="1"/>
  <c r="AE769" i="16"/>
  <c r="AF769" i="16" s="1"/>
  <c r="AE740" i="16"/>
  <c r="AF740" i="16" s="1"/>
  <c r="AE732" i="16"/>
  <c r="AF732" i="16" s="1"/>
  <c r="AE724" i="16"/>
  <c r="AF724" i="16" s="1"/>
  <c r="AE716" i="16"/>
  <c r="AF716" i="16" s="1"/>
  <c r="AE708" i="16"/>
  <c r="AF708" i="16" s="1"/>
  <c r="AE700" i="16"/>
  <c r="AF700" i="16" s="1"/>
  <c r="AE692" i="16"/>
  <c r="AF692" i="16" s="1"/>
  <c r="AE684" i="16"/>
  <c r="AF684" i="16" s="1"/>
  <c r="AE676" i="16"/>
  <c r="AF676" i="16" s="1"/>
  <c r="AE668" i="16"/>
  <c r="AF668" i="16" s="1"/>
  <c r="AE660" i="16"/>
  <c r="AF660" i="16" s="1"/>
  <c r="AE652" i="16"/>
  <c r="AF652" i="16" s="1"/>
  <c r="AE644" i="16"/>
  <c r="AF644" i="16" s="1"/>
  <c r="AE636" i="16"/>
  <c r="AF636" i="16" s="1"/>
  <c r="AE628" i="16"/>
  <c r="AF628" i="16" s="1"/>
  <c r="AE620" i="16"/>
  <c r="AF620" i="16" s="1"/>
  <c r="AE612" i="16"/>
  <c r="AF612" i="16" s="1"/>
  <c r="AE604" i="16"/>
  <c r="AF604" i="16" s="1"/>
  <c r="AE596" i="16"/>
  <c r="AF596" i="16" s="1"/>
  <c r="AE588" i="16"/>
  <c r="AF588" i="16" s="1"/>
  <c r="AE580" i="16"/>
  <c r="AF580" i="16" s="1"/>
  <c r="AE572" i="16"/>
  <c r="AF572" i="16" s="1"/>
  <c r="AE564" i="16"/>
  <c r="AF564" i="16" s="1"/>
  <c r="AE556" i="16"/>
  <c r="AF556" i="16" s="1"/>
  <c r="AE548" i="16"/>
  <c r="AF548" i="16" s="1"/>
  <c r="AE539" i="16"/>
  <c r="AF539" i="16" s="1"/>
  <c r="AE531" i="16"/>
  <c r="AF531" i="16" s="1"/>
  <c r="AE523" i="16"/>
  <c r="AF523" i="16" s="1"/>
  <c r="AE515" i="16"/>
  <c r="AF515" i="16" s="1"/>
  <c r="AE507" i="16"/>
  <c r="AF507" i="16" s="1"/>
  <c r="AE499" i="16"/>
  <c r="AF499" i="16" s="1"/>
  <c r="AE491" i="16"/>
  <c r="AF491" i="16" s="1"/>
  <c r="AE483" i="16"/>
  <c r="AF483" i="16" s="1"/>
  <c r="AE475" i="16"/>
  <c r="AF475" i="16" s="1"/>
  <c r="AE467" i="16"/>
  <c r="AF467" i="16" s="1"/>
  <c r="AE458" i="16"/>
  <c r="AF458" i="16" s="1"/>
  <c r="AE442" i="16"/>
  <c r="AF442" i="16" s="1"/>
  <c r="AE286" i="16"/>
  <c r="AF286" i="16" s="1"/>
  <c r="AE278" i="16"/>
  <c r="AF278" i="16" s="1"/>
  <c r="AE270" i="16"/>
  <c r="AF270" i="16" s="1"/>
  <c r="AE262" i="16"/>
  <c r="AF262" i="16" s="1"/>
  <c r="AE254" i="16"/>
  <c r="AF254" i="16" s="1"/>
  <c r="AE246" i="16"/>
  <c r="AF246" i="16" s="1"/>
  <c r="AE238" i="16"/>
  <c r="AF238" i="16" s="1"/>
  <c r="AE230" i="16"/>
  <c r="AF230" i="16" s="1"/>
  <c r="AE222" i="16"/>
  <c r="AF222" i="16" s="1"/>
  <c r="AE214" i="16"/>
  <c r="AF214" i="16" s="1"/>
  <c r="AE206" i="16"/>
  <c r="AF206" i="16" s="1"/>
  <c r="AE198" i="16"/>
  <c r="AF198" i="16" s="1"/>
  <c r="AE190" i="16"/>
  <c r="AF190" i="16" s="1"/>
  <c r="AE182" i="16"/>
  <c r="AF182" i="16" s="1"/>
  <c r="AE174" i="16"/>
  <c r="AF174" i="16" s="1"/>
  <c r="AE166" i="16"/>
  <c r="AF166" i="16" s="1"/>
  <c r="AE158" i="16"/>
  <c r="AF158" i="16" s="1"/>
  <c r="AE150" i="16"/>
  <c r="AF150" i="16" s="1"/>
  <c r="AE142" i="16"/>
  <c r="AF142" i="16" s="1"/>
  <c r="AE134" i="16"/>
  <c r="AF134" i="16" s="1"/>
  <c r="AE126" i="16"/>
  <c r="AF126" i="16" s="1"/>
  <c r="AE115" i="16"/>
  <c r="AF115" i="16" s="1"/>
  <c r="AE83" i="16"/>
  <c r="AF83" i="16" s="1"/>
  <c r="AE51" i="16"/>
  <c r="AF51" i="16" s="1"/>
  <c r="AE1132" i="16"/>
  <c r="AF1132" i="16" s="1"/>
  <c r="AE985" i="16"/>
  <c r="AF985" i="16" s="1"/>
  <c r="AE936" i="16"/>
  <c r="AF936" i="16" s="1"/>
  <c r="AE904" i="16"/>
  <c r="AF904" i="16" s="1"/>
  <c r="AE872" i="16"/>
  <c r="AF872" i="16" s="1"/>
  <c r="AE842" i="16"/>
  <c r="AF842" i="16" s="1"/>
  <c r="AE755" i="16"/>
  <c r="AF755" i="16" s="1"/>
  <c r="AE431" i="16"/>
  <c r="AF431" i="16" s="1"/>
  <c r="AE399" i="16"/>
  <c r="AF399" i="16" s="1"/>
  <c r="AE367" i="16"/>
  <c r="AF367" i="16" s="1"/>
  <c r="AE335" i="16"/>
  <c r="AF335" i="16" s="1"/>
  <c r="AE303" i="16"/>
  <c r="AF303" i="16" s="1"/>
  <c r="AE111" i="16"/>
  <c r="AF111" i="16" s="1"/>
  <c r="AE94" i="16"/>
  <c r="AF94" i="16" s="1"/>
  <c r="AE77" i="16"/>
  <c r="AF77" i="16" s="1"/>
  <c r="AE58" i="16"/>
  <c r="AF58" i="16" s="1"/>
  <c r="AE39" i="16"/>
  <c r="AF39" i="16" s="1"/>
  <c r="AE28" i="16"/>
  <c r="AF28" i="16" s="1"/>
  <c r="AE20" i="16"/>
  <c r="AF20" i="16" s="1"/>
  <c r="AE12" i="16"/>
  <c r="AF12" i="16" s="1"/>
  <c r="AE447" i="16"/>
  <c r="AF447" i="16" s="1"/>
  <c r="AE405" i="16"/>
  <c r="AF405" i="16" s="1"/>
  <c r="AE373" i="16"/>
  <c r="AF373" i="16" s="1"/>
  <c r="AE341" i="16"/>
  <c r="AF341" i="16" s="1"/>
  <c r="AE309" i="16"/>
  <c r="AF309" i="16" s="1"/>
  <c r="AE227" i="16"/>
  <c r="AF227" i="16" s="1"/>
  <c r="AE211" i="16"/>
  <c r="AF211" i="16" s="1"/>
  <c r="AE195" i="16"/>
  <c r="AF195" i="16" s="1"/>
  <c r="AE179" i="16"/>
  <c r="AF179" i="16" s="1"/>
  <c r="AE163" i="16"/>
  <c r="AF163" i="16" s="1"/>
  <c r="AE147" i="16"/>
  <c r="AF147" i="16" s="1"/>
  <c r="AE131" i="16"/>
  <c r="AF131" i="16" s="1"/>
  <c r="AE108" i="16"/>
  <c r="AF108" i="16" s="1"/>
  <c r="AE89" i="16"/>
  <c r="AF89" i="16" s="1"/>
  <c r="AE72" i="16"/>
  <c r="AF72" i="16" s="1"/>
  <c r="AE55" i="16"/>
  <c r="AF55" i="16" s="1"/>
  <c r="AE37" i="16"/>
  <c r="AF37" i="16" s="1"/>
  <c r="AE427" i="16"/>
  <c r="AF427" i="16" s="1"/>
  <c r="AE395" i="16"/>
  <c r="AF395" i="16" s="1"/>
  <c r="AE363" i="16"/>
  <c r="AF363" i="16" s="1"/>
  <c r="AE331" i="16"/>
  <c r="AF331" i="16" s="1"/>
  <c r="AE299" i="16"/>
  <c r="AF299" i="16" s="1"/>
  <c r="AE112" i="16"/>
  <c r="AF112" i="16" s="1"/>
  <c r="AE95" i="16"/>
  <c r="AF95" i="16" s="1"/>
  <c r="AE78" i="16"/>
  <c r="AF78" i="16" s="1"/>
  <c r="AE61" i="16"/>
  <c r="AF61" i="16" s="1"/>
  <c r="AE42" i="16"/>
  <c r="AF42" i="16" s="1"/>
  <c r="AE27" i="16"/>
  <c r="AF27" i="16" s="1"/>
  <c r="AE19" i="16"/>
  <c r="AF19" i="16" s="1"/>
  <c r="AE11" i="16"/>
  <c r="AF11" i="16" s="1"/>
  <c r="AE439" i="16"/>
  <c r="AF439" i="16" s="1"/>
  <c r="AE409" i="16"/>
  <c r="AF409" i="16" s="1"/>
  <c r="AE377" i="16"/>
  <c r="AF377" i="16" s="1"/>
  <c r="AE345" i="16"/>
  <c r="AF345" i="16" s="1"/>
  <c r="AE313" i="16"/>
  <c r="AF313" i="16" s="1"/>
  <c r="AE225" i="16"/>
  <c r="AF225" i="16" s="1"/>
  <c r="AE209" i="16"/>
  <c r="AF209" i="16" s="1"/>
  <c r="AE193" i="16"/>
  <c r="AF193" i="16" s="1"/>
  <c r="AE177" i="16"/>
  <c r="AF177" i="16" s="1"/>
  <c r="AE161" i="16"/>
  <c r="AF161" i="16" s="1"/>
  <c r="AE145" i="16"/>
  <c r="AF145" i="16" s="1"/>
  <c r="AE129" i="16"/>
  <c r="AF129" i="16" s="1"/>
  <c r="AE105" i="16"/>
  <c r="AF105" i="16" s="1"/>
  <c r="AE88" i="16"/>
  <c r="AF88" i="16" s="1"/>
  <c r="AE71" i="16"/>
  <c r="AF71" i="16" s="1"/>
  <c r="AE54" i="16"/>
  <c r="AF54" i="16" s="1"/>
  <c r="AE36" i="16"/>
  <c r="AF36" i="16" s="1"/>
  <c r="AE1619" i="16"/>
  <c r="AF1619" i="16" s="1"/>
  <c r="AE1605" i="16"/>
  <c r="AF1605" i="16" s="1"/>
  <c r="AE1583" i="16"/>
  <c r="AF1583" i="16" s="1"/>
  <c r="AE1572" i="16"/>
  <c r="AF1572" i="16" s="1"/>
  <c r="AE1560" i="16"/>
  <c r="AF1560" i="16" s="1"/>
  <c r="AE1542" i="16"/>
  <c r="AF1542" i="16" s="1"/>
  <c r="AE1620" i="16"/>
  <c r="AF1620" i="16" s="1"/>
  <c r="AE1599" i="16"/>
  <c r="AF1599" i="16" s="1"/>
  <c r="AE1584" i="16"/>
  <c r="AF1584" i="16" s="1"/>
  <c r="AE1558" i="16"/>
  <c r="AF1558" i="16" s="1"/>
  <c r="AE1523" i="16"/>
  <c r="AF1523" i="16" s="1"/>
  <c r="AE1508" i="16"/>
  <c r="AF1508" i="16" s="1"/>
  <c r="AE1491" i="16"/>
  <c r="AF1491" i="16" s="1"/>
  <c r="AE1477" i="16"/>
  <c r="AF1477" i="16" s="1"/>
  <c r="AE1461" i="16"/>
  <c r="AF1461" i="16" s="1"/>
  <c r="AE1446" i="16"/>
  <c r="AF1446" i="16" s="1"/>
  <c r="AE1425" i="16"/>
  <c r="AF1425" i="16" s="1"/>
  <c r="AE1409" i="16"/>
  <c r="AF1409" i="16" s="1"/>
  <c r="AE1393" i="16"/>
  <c r="AF1393" i="16" s="1"/>
  <c r="AE1377" i="16"/>
  <c r="AF1377" i="16" s="1"/>
  <c r="AE1361" i="16"/>
  <c r="AF1361" i="16" s="1"/>
  <c r="AE1345" i="16"/>
  <c r="AF1345" i="16" s="1"/>
  <c r="AE1329" i="16"/>
  <c r="AF1329" i="16" s="1"/>
  <c r="AE1315" i="16"/>
  <c r="AF1315" i="16" s="1"/>
  <c r="AE1299" i="16"/>
  <c r="AF1299" i="16" s="1"/>
  <c r="AE1283" i="16"/>
  <c r="AF1283" i="16" s="1"/>
  <c r="AE1267" i="16"/>
  <c r="AF1267" i="16" s="1"/>
  <c r="AE1617" i="16"/>
  <c r="AF1617" i="16" s="1"/>
  <c r="AE1607" i="16"/>
  <c r="AF1607" i="16" s="1"/>
  <c r="AE1582" i="16"/>
  <c r="AF1582" i="16" s="1"/>
  <c r="AE1553" i="16"/>
  <c r="AF1553" i="16" s="1"/>
  <c r="AE1545" i="16"/>
  <c r="AF1545" i="16" s="1"/>
  <c r="AE1528" i="16"/>
  <c r="AF1528" i="16" s="1"/>
  <c r="AE1514" i="16"/>
  <c r="AF1514" i="16" s="1"/>
  <c r="AE1496" i="16"/>
  <c r="AF1496" i="16" s="1"/>
  <c r="AE1482" i="16"/>
  <c r="AF1482" i="16" s="1"/>
  <c r="AE1466" i="16"/>
  <c r="AF1466" i="16" s="1"/>
  <c r="AE1450" i="16"/>
  <c r="AF1450" i="16" s="1"/>
  <c r="AE1437" i="16"/>
  <c r="AF1437" i="16" s="1"/>
  <c r="AE1421" i="16"/>
  <c r="AF1421" i="16" s="1"/>
  <c r="AE1405" i="16"/>
  <c r="AF1405" i="16" s="1"/>
  <c r="AE1389" i="16"/>
  <c r="AF1389" i="16" s="1"/>
  <c r="AE1373" i="16"/>
  <c r="AF1373" i="16" s="1"/>
  <c r="AE1357" i="16"/>
  <c r="AF1357" i="16" s="1"/>
  <c r="AE1341" i="16"/>
  <c r="AF1341" i="16" s="1"/>
  <c r="AE1322" i="16"/>
  <c r="AF1322" i="16" s="1"/>
  <c r="AE1306" i="16"/>
  <c r="AF1306" i="16" s="1"/>
  <c r="AE1290" i="16"/>
  <c r="AF1290" i="16" s="1"/>
  <c r="AE1274" i="16"/>
  <c r="AF1274" i="16" s="1"/>
  <c r="AE1258" i="16"/>
  <c r="AF1258" i="16" s="1"/>
  <c r="AE1242" i="16"/>
  <c r="AF1242" i="16" s="1"/>
  <c r="AE1226" i="16"/>
  <c r="AF1226" i="16" s="1"/>
  <c r="AE1210" i="16"/>
  <c r="AF1210" i="16" s="1"/>
  <c r="AE1194" i="16"/>
  <c r="AF1194" i="16" s="1"/>
  <c r="AE1181" i="16"/>
  <c r="AF1181" i="16" s="1"/>
  <c r="AE1165" i="16"/>
  <c r="AF1165" i="16" s="1"/>
  <c r="AE1149" i="16"/>
  <c r="AF1149" i="16" s="1"/>
  <c r="AE1596" i="16"/>
  <c r="AF1596" i="16" s="1"/>
  <c r="AE1573" i="16"/>
  <c r="AF1573" i="16" s="1"/>
  <c r="AE1559" i="16"/>
  <c r="AF1559" i="16" s="1"/>
  <c r="AE1532" i="16"/>
  <c r="AF1532" i="16" s="1"/>
  <c r="AE1519" i="16"/>
  <c r="AF1519" i="16" s="1"/>
  <c r="AE1502" i="16"/>
  <c r="AF1502" i="16" s="1"/>
  <c r="AE1487" i="16"/>
  <c r="AF1487" i="16" s="1"/>
  <c r="AE1467" i="16"/>
  <c r="AF1467" i="16" s="1"/>
  <c r="AE1451" i="16"/>
  <c r="AF1451" i="16" s="1"/>
  <c r="AE1435" i="16"/>
  <c r="AF1435" i="16" s="1"/>
  <c r="AE1419" i="16"/>
  <c r="AF1419" i="16" s="1"/>
  <c r="AE1403" i="16"/>
  <c r="AF1403" i="16" s="1"/>
  <c r="AE1387" i="16"/>
  <c r="AF1387" i="16" s="1"/>
  <c r="AE1371" i="16"/>
  <c r="AF1371" i="16" s="1"/>
  <c r="AE1355" i="16"/>
  <c r="AF1355" i="16" s="1"/>
  <c r="AE1339" i="16"/>
  <c r="AF1339" i="16" s="1"/>
  <c r="AE1325" i="16"/>
  <c r="AF1325" i="16" s="1"/>
  <c r="AE1309" i="16"/>
  <c r="AF1309" i="16" s="1"/>
  <c r="AE1293" i="16"/>
  <c r="AF1293" i="16" s="1"/>
  <c r="AE1277" i="16"/>
  <c r="AF1277" i="16" s="1"/>
  <c r="AE1261" i="16"/>
  <c r="AF1261" i="16" s="1"/>
  <c r="AE1245" i="16"/>
  <c r="AF1245" i="16" s="1"/>
  <c r="AE1229" i="16"/>
  <c r="AF1229" i="16" s="1"/>
  <c r="AE1213" i="16"/>
  <c r="AF1213" i="16" s="1"/>
  <c r="AE1197" i="16"/>
  <c r="AF1197" i="16" s="1"/>
  <c r="AE1182" i="16"/>
  <c r="AF1182" i="16" s="1"/>
  <c r="AE1166" i="16"/>
  <c r="AF1166" i="16" s="1"/>
  <c r="AE1150" i="16"/>
  <c r="AF1150" i="16" s="1"/>
  <c r="AE1589" i="16"/>
  <c r="AF1589" i="16" s="1"/>
  <c r="AE1548" i="16"/>
  <c r="AF1548" i="16" s="1"/>
  <c r="AE1460" i="16"/>
  <c r="AF1460" i="16" s="1"/>
  <c r="AE1415" i="16"/>
  <c r="AF1415" i="16" s="1"/>
  <c r="AE1351" i="16"/>
  <c r="AF1351" i="16" s="1"/>
  <c r="AE1273" i="16"/>
  <c r="AF1273" i="16" s="1"/>
  <c r="AE1244" i="16"/>
  <c r="AF1244" i="16" s="1"/>
  <c r="AE1212" i="16"/>
  <c r="AF1212" i="16" s="1"/>
  <c r="AE1180" i="16"/>
  <c r="AF1180" i="16" s="1"/>
  <c r="AE1148" i="16"/>
  <c r="AF1148" i="16" s="1"/>
  <c r="AE1133" i="16"/>
  <c r="AF1133" i="16" s="1"/>
  <c r="AE1117" i="16"/>
  <c r="AF1117" i="16" s="1"/>
  <c r="AE1101" i="16"/>
  <c r="AF1101" i="16" s="1"/>
  <c r="AE1086" i="16"/>
  <c r="AF1086" i="16" s="1"/>
  <c r="AE1078" i="16"/>
  <c r="AF1078" i="16" s="1"/>
  <c r="AE1070" i="16"/>
  <c r="AF1070" i="16" s="1"/>
  <c r="AE1062" i="16"/>
  <c r="AF1062" i="16" s="1"/>
  <c r="AE1054" i="16"/>
  <c r="AF1054" i="16" s="1"/>
  <c r="AE1046" i="16"/>
  <c r="AF1046" i="16" s="1"/>
  <c r="AE1038" i="16"/>
  <c r="AF1038" i="16" s="1"/>
  <c r="AE1030" i="16"/>
  <c r="AF1030" i="16" s="1"/>
  <c r="AE1022" i="16"/>
  <c r="AF1022" i="16" s="1"/>
  <c r="AE1014" i="16"/>
  <c r="AF1014" i="16" s="1"/>
  <c r="AE1006" i="16"/>
  <c r="AF1006" i="16" s="1"/>
  <c r="AE994" i="16"/>
  <c r="AF994" i="16" s="1"/>
  <c r="AE978" i="16"/>
  <c r="AF978" i="16" s="1"/>
  <c r="AE962" i="16"/>
  <c r="AF962" i="16" s="1"/>
  <c r="AE1579" i="16"/>
  <c r="AF1579" i="16" s="1"/>
  <c r="AE1500" i="16"/>
  <c r="AF1500" i="16" s="1"/>
  <c r="AE1441" i="16"/>
  <c r="AF1441" i="16" s="1"/>
  <c r="AE1392" i="16"/>
  <c r="AF1392" i="16" s="1"/>
  <c r="AE1328" i="16"/>
  <c r="AF1328" i="16" s="1"/>
  <c r="AE1264" i="16"/>
  <c r="AF1264" i="16" s="1"/>
  <c r="AE1232" i="16"/>
  <c r="AF1232" i="16" s="1"/>
  <c r="AE1200" i="16"/>
  <c r="AF1200" i="16" s="1"/>
  <c r="AE1171" i="16"/>
  <c r="AF1171" i="16" s="1"/>
  <c r="AE1142" i="16"/>
  <c r="AF1142" i="16" s="1"/>
  <c r="AE1126" i="16"/>
  <c r="AF1126" i="16" s="1"/>
  <c r="AE1110" i="16"/>
  <c r="AF1110" i="16" s="1"/>
  <c r="AE1094" i="16"/>
  <c r="AF1094" i="16" s="1"/>
  <c r="AE991" i="16"/>
  <c r="AF991" i="16" s="1"/>
  <c r="AE975" i="16"/>
  <c r="AF975" i="16" s="1"/>
  <c r="AE959" i="16"/>
  <c r="AF959" i="16" s="1"/>
  <c r="AE949" i="16"/>
  <c r="AF949" i="16" s="1"/>
  <c r="AE941" i="16"/>
  <c r="AF941" i="16" s="1"/>
  <c r="AE933" i="16"/>
  <c r="AF933" i="16" s="1"/>
  <c r="AE925" i="16"/>
  <c r="AF925" i="16" s="1"/>
  <c r="AE917" i="16"/>
  <c r="AF917" i="16" s="1"/>
  <c r="AE909" i="16"/>
  <c r="AF909" i="16" s="1"/>
  <c r="AE901" i="16"/>
  <c r="AF901" i="16" s="1"/>
  <c r="AE893" i="16"/>
  <c r="AF893" i="16" s="1"/>
  <c r="AE885" i="16"/>
  <c r="AF885" i="16" s="1"/>
  <c r="AE877" i="16"/>
  <c r="AF877" i="16" s="1"/>
  <c r="AE869" i="16"/>
  <c r="AF869" i="16" s="1"/>
  <c r="AE861" i="16"/>
  <c r="AF861" i="16" s="1"/>
  <c r="AE853" i="16"/>
  <c r="AF853" i="16" s="1"/>
  <c r="AE845" i="16"/>
  <c r="AF845" i="16" s="1"/>
  <c r="AE830" i="16"/>
  <c r="AF830" i="16" s="1"/>
  <c r="AE822" i="16"/>
  <c r="AF822" i="16" s="1"/>
  <c r="AE814" i="16"/>
  <c r="AF814" i="16" s="1"/>
  <c r="AE806" i="16"/>
  <c r="AF806" i="16" s="1"/>
  <c r="AE798" i="16"/>
  <c r="AF798" i="16" s="1"/>
  <c r="AE790" i="16"/>
  <c r="AF790" i="16" s="1"/>
  <c r="AE782" i="16"/>
  <c r="AF782" i="16" s="1"/>
  <c r="AE774" i="16"/>
  <c r="AF774" i="16" s="1"/>
  <c r="AE766" i="16"/>
  <c r="AF766" i="16" s="1"/>
  <c r="AE758" i="16"/>
  <c r="AF758" i="16" s="1"/>
  <c r="AE750" i="16"/>
  <c r="AF750" i="16" s="1"/>
  <c r="AE742" i="16"/>
  <c r="AF742" i="16" s="1"/>
  <c r="AE1537" i="16"/>
  <c r="AF1537" i="16" s="1"/>
  <c r="AE1485" i="16"/>
  <c r="AF1485" i="16" s="1"/>
  <c r="AE1390" i="16"/>
  <c r="AF1390" i="16" s="1"/>
  <c r="AE1319" i="16"/>
  <c r="AF1319" i="16" s="1"/>
  <c r="AE1260" i="16"/>
  <c r="AF1260" i="16" s="1"/>
  <c r="AE1228" i="16"/>
  <c r="AF1228" i="16" s="1"/>
  <c r="AE1196" i="16"/>
  <c r="AF1196" i="16" s="1"/>
  <c r="AE1160" i="16"/>
  <c r="AF1160" i="16" s="1"/>
  <c r="AE1139" i="16"/>
  <c r="AF1139" i="16" s="1"/>
  <c r="AE1123" i="16"/>
  <c r="AF1123" i="16" s="1"/>
  <c r="AE1107" i="16"/>
  <c r="AF1107" i="16" s="1"/>
  <c r="AE1091" i="16"/>
  <c r="AF1091" i="16" s="1"/>
  <c r="AE1081" i="16"/>
  <c r="AF1081" i="16" s="1"/>
  <c r="AE1073" i="16"/>
  <c r="AF1073" i="16" s="1"/>
  <c r="AE1065" i="16"/>
  <c r="AF1065" i="16" s="1"/>
  <c r="AE1057" i="16"/>
  <c r="AF1057" i="16" s="1"/>
  <c r="AE1049" i="16"/>
  <c r="AF1049" i="16" s="1"/>
  <c r="AE1041" i="16"/>
  <c r="AF1041" i="16" s="1"/>
  <c r="AE1033" i="16"/>
  <c r="AF1033" i="16" s="1"/>
  <c r="AE1025" i="16"/>
  <c r="AF1025" i="16" s="1"/>
  <c r="AE1017" i="16"/>
  <c r="AF1017" i="16" s="1"/>
  <c r="AE1009" i="16"/>
  <c r="AF1009" i="16" s="1"/>
  <c r="AE1000" i="16"/>
  <c r="AF1000" i="16" s="1"/>
  <c r="AE984" i="16"/>
  <c r="AF984" i="16" s="1"/>
  <c r="AE968" i="16"/>
  <c r="AF968" i="16" s="1"/>
  <c r="AE843" i="16"/>
  <c r="AF843" i="16" s="1"/>
  <c r="AE1550" i="16"/>
  <c r="AF1550" i="16" s="1"/>
  <c r="AE1483" i="16"/>
  <c r="AF1483" i="16" s="1"/>
  <c r="AE1431" i="16"/>
  <c r="AF1431" i="16" s="1"/>
  <c r="AE1367" i="16"/>
  <c r="AF1367" i="16" s="1"/>
  <c r="AE1289" i="16"/>
  <c r="AF1289" i="16" s="1"/>
  <c r="AE1241" i="16"/>
  <c r="AF1241" i="16" s="1"/>
  <c r="AE1209" i="16"/>
  <c r="AF1209" i="16" s="1"/>
  <c r="AE1120" i="16"/>
  <c r="AF1120" i="16" s="1"/>
  <c r="AE957" i="16"/>
  <c r="AF957" i="16" s="1"/>
  <c r="AE926" i="16"/>
  <c r="AF926" i="16" s="1"/>
  <c r="AE894" i="16"/>
  <c r="AF894" i="16" s="1"/>
  <c r="AE862" i="16"/>
  <c r="AF862" i="16" s="1"/>
  <c r="AE831" i="16"/>
  <c r="AF831" i="16" s="1"/>
  <c r="AE815" i="16"/>
  <c r="AF815" i="16" s="1"/>
  <c r="AE799" i="16"/>
  <c r="AF799" i="16" s="1"/>
  <c r="AE783" i="16"/>
  <c r="AF783" i="16" s="1"/>
  <c r="AE757" i="16"/>
  <c r="AF757" i="16" s="1"/>
  <c r="AE737" i="16"/>
  <c r="AF737" i="16" s="1"/>
  <c r="AE729" i="16"/>
  <c r="AF729" i="16" s="1"/>
  <c r="AE721" i="16"/>
  <c r="AF721" i="16" s="1"/>
  <c r="AE713" i="16"/>
  <c r="AF713" i="16" s="1"/>
  <c r="AE705" i="16"/>
  <c r="AF705" i="16" s="1"/>
  <c r="AE697" i="16"/>
  <c r="AF697" i="16" s="1"/>
  <c r="AE689" i="16"/>
  <c r="AF689" i="16" s="1"/>
  <c r="AE681" i="16"/>
  <c r="AF681" i="16" s="1"/>
  <c r="AE673" i="16"/>
  <c r="AF673" i="16" s="1"/>
  <c r="AE665" i="16"/>
  <c r="AF665" i="16" s="1"/>
  <c r="AE657" i="16"/>
  <c r="AF657" i="16" s="1"/>
  <c r="AE649" i="16"/>
  <c r="AF649" i="16" s="1"/>
  <c r="AE641" i="16"/>
  <c r="AF641" i="16" s="1"/>
  <c r="AE633" i="16"/>
  <c r="AF633" i="16" s="1"/>
  <c r="AE625" i="16"/>
  <c r="AF625" i="16" s="1"/>
  <c r="AE617" i="16"/>
  <c r="AF617" i="16" s="1"/>
  <c r="AE609" i="16"/>
  <c r="AF609" i="16" s="1"/>
  <c r="AE601" i="16"/>
  <c r="AF601" i="16" s="1"/>
  <c r="AE593" i="16"/>
  <c r="AF593" i="16" s="1"/>
  <c r="AE585" i="16"/>
  <c r="AF585" i="16" s="1"/>
  <c r="AE577" i="16"/>
  <c r="AF577" i="16" s="1"/>
  <c r="AE569" i="16"/>
  <c r="AF569" i="16" s="1"/>
  <c r="AE561" i="16"/>
  <c r="AF561" i="16" s="1"/>
  <c r="AE553" i="16"/>
  <c r="AF553" i="16" s="1"/>
  <c r="AE544" i="16"/>
  <c r="AF544" i="16" s="1"/>
  <c r="AE536" i="16"/>
  <c r="AF536" i="16" s="1"/>
  <c r="AE528" i="16"/>
  <c r="AF528" i="16" s="1"/>
  <c r="AE520" i="16"/>
  <c r="AF520" i="16" s="1"/>
  <c r="AE512" i="16"/>
  <c r="AF512" i="16" s="1"/>
  <c r="AE504" i="16"/>
  <c r="AF504" i="16" s="1"/>
  <c r="AE496" i="16"/>
  <c r="AF496" i="16" s="1"/>
  <c r="AE488" i="16"/>
  <c r="AF488" i="16" s="1"/>
  <c r="AE480" i="16"/>
  <c r="AF480" i="16" s="1"/>
  <c r="AE472" i="16"/>
  <c r="AF472" i="16" s="1"/>
  <c r="AE464" i="16"/>
  <c r="AF464" i="16" s="1"/>
  <c r="AE452" i="16"/>
  <c r="AF452" i="16" s="1"/>
  <c r="AE436" i="16"/>
  <c r="AF436" i="16" s="1"/>
  <c r="AE283" i="16"/>
  <c r="AF283" i="16" s="1"/>
  <c r="AE275" i="16"/>
  <c r="AF275" i="16" s="1"/>
  <c r="AE267" i="16"/>
  <c r="AF267" i="16" s="1"/>
  <c r="AE259" i="16"/>
  <c r="AF259" i="16" s="1"/>
  <c r="AE251" i="16"/>
  <c r="AF251" i="16" s="1"/>
  <c r="AE243" i="16"/>
  <c r="AF243" i="16" s="1"/>
  <c r="AE235" i="16"/>
  <c r="AF235" i="16" s="1"/>
  <c r="AE1124" i="16"/>
  <c r="AF1124" i="16" s="1"/>
  <c r="AE977" i="16"/>
  <c r="AF977" i="16" s="1"/>
  <c r="AE932" i="16"/>
  <c r="AF932" i="16" s="1"/>
  <c r="AE900" i="16"/>
  <c r="AF900" i="16" s="1"/>
  <c r="AE868" i="16"/>
  <c r="AF868" i="16" s="1"/>
  <c r="AE834" i="16"/>
  <c r="AF834" i="16" s="1"/>
  <c r="AE751" i="16"/>
  <c r="AF751" i="16" s="1"/>
  <c r="AE449" i="16"/>
  <c r="AF449" i="16" s="1"/>
  <c r="AE434" i="16"/>
  <c r="AF434" i="16" s="1"/>
  <c r="AE426" i="16"/>
  <c r="AF426" i="16" s="1"/>
  <c r="AE418" i="16"/>
  <c r="AF418" i="16" s="1"/>
  <c r="AE410" i="16"/>
  <c r="AF410" i="16" s="1"/>
  <c r="AE402" i="16"/>
  <c r="AF402" i="16" s="1"/>
  <c r="AE394" i="16"/>
  <c r="AF394" i="16" s="1"/>
  <c r="AE386" i="16"/>
  <c r="AF386" i="16" s="1"/>
  <c r="AE378" i="16"/>
  <c r="AF378" i="16" s="1"/>
  <c r="AE370" i="16"/>
  <c r="AF370" i="16" s="1"/>
  <c r="AE362" i="16"/>
  <c r="AF362" i="16" s="1"/>
  <c r="AE354" i="16"/>
  <c r="AF354" i="16" s="1"/>
  <c r="AE346" i="16"/>
  <c r="AF346" i="16" s="1"/>
  <c r="AE338" i="16"/>
  <c r="AF338" i="16" s="1"/>
  <c r="AE330" i="16"/>
  <c r="AF330" i="16" s="1"/>
  <c r="AE322" i="16"/>
  <c r="AF322" i="16" s="1"/>
  <c r="AE314" i="16"/>
  <c r="AF314" i="16" s="1"/>
  <c r="AE306" i="16"/>
  <c r="AF306" i="16" s="1"/>
  <c r="AE298" i="16"/>
  <c r="AF298" i="16" s="1"/>
  <c r="AE1183" i="16"/>
  <c r="AF1183" i="16" s="1"/>
  <c r="AE1112" i="16"/>
  <c r="AF1112" i="16" s="1"/>
  <c r="AE965" i="16"/>
  <c r="AF965" i="16" s="1"/>
  <c r="AE930" i="16"/>
  <c r="AF930" i="16" s="1"/>
  <c r="AE898" i="16"/>
  <c r="AF898" i="16" s="1"/>
  <c r="AE866" i="16"/>
  <c r="AF866" i="16" s="1"/>
  <c r="AE833" i="16"/>
  <c r="AF833" i="16" s="1"/>
  <c r="AE817" i="16"/>
  <c r="AF817" i="16" s="1"/>
  <c r="AE801" i="16"/>
  <c r="AF801" i="16" s="1"/>
  <c r="AE785" i="16"/>
  <c r="AF785" i="16" s="1"/>
  <c r="AE761" i="16"/>
  <c r="AF761" i="16" s="1"/>
  <c r="AE738" i="16"/>
  <c r="AF738" i="16" s="1"/>
  <c r="AE730" i="16"/>
  <c r="AF730" i="16" s="1"/>
  <c r="AE722" i="16"/>
  <c r="AF722" i="16" s="1"/>
  <c r="AE714" i="16"/>
  <c r="AF714" i="16" s="1"/>
  <c r="AE706" i="16"/>
  <c r="AF706" i="16" s="1"/>
  <c r="AE698" i="16"/>
  <c r="AF698" i="16" s="1"/>
  <c r="AE690" i="16"/>
  <c r="AF690" i="16" s="1"/>
  <c r="AE682" i="16"/>
  <c r="AF682" i="16" s="1"/>
  <c r="AE674" i="16"/>
  <c r="AF674" i="16" s="1"/>
  <c r="AE666" i="16"/>
  <c r="AF666" i="16" s="1"/>
  <c r="AE658" i="16"/>
  <c r="AF658" i="16" s="1"/>
  <c r="AE650" i="16"/>
  <c r="AF650" i="16" s="1"/>
  <c r="AE642" i="16"/>
  <c r="AF642" i="16" s="1"/>
  <c r="AE634" i="16"/>
  <c r="AF634" i="16" s="1"/>
  <c r="AE626" i="16"/>
  <c r="AF626" i="16" s="1"/>
  <c r="AE618" i="16"/>
  <c r="AF618" i="16" s="1"/>
  <c r="AE610" i="16"/>
  <c r="AF610" i="16" s="1"/>
  <c r="AE602" i="16"/>
  <c r="AF602" i="16" s="1"/>
  <c r="AE594" i="16"/>
  <c r="AF594" i="16" s="1"/>
  <c r="AE586" i="16"/>
  <c r="AF586" i="16" s="1"/>
  <c r="AE578" i="16"/>
  <c r="AF578" i="16" s="1"/>
  <c r="AE570" i="16"/>
  <c r="AF570" i="16" s="1"/>
  <c r="AE562" i="16"/>
  <c r="AF562" i="16" s="1"/>
  <c r="AE554" i="16"/>
  <c r="AF554" i="16" s="1"/>
  <c r="AE545" i="16"/>
  <c r="AF545" i="16" s="1"/>
  <c r="AE537" i="16"/>
  <c r="AF537" i="16" s="1"/>
  <c r="AE529" i="16"/>
  <c r="AF529" i="16" s="1"/>
  <c r="AE521" i="16"/>
  <c r="AF521" i="16" s="1"/>
  <c r="AE513" i="16"/>
  <c r="AF513" i="16" s="1"/>
  <c r="AE505" i="16"/>
  <c r="AF505" i="16" s="1"/>
  <c r="AE497" i="16"/>
  <c r="AF497" i="16" s="1"/>
  <c r="AE489" i="16"/>
  <c r="AF489" i="16" s="1"/>
  <c r="AE481" i="16"/>
  <c r="AF481" i="16" s="1"/>
  <c r="AE473" i="16"/>
  <c r="AF473" i="16" s="1"/>
  <c r="AE465" i="16"/>
  <c r="AF465" i="16" s="1"/>
  <c r="AE454" i="16"/>
  <c r="AF454" i="16" s="1"/>
  <c r="AE438" i="16"/>
  <c r="AF438" i="16" s="1"/>
  <c r="AE284" i="16"/>
  <c r="AF284" i="16" s="1"/>
  <c r="AE276" i="16"/>
  <c r="AF276" i="16" s="1"/>
  <c r="AE268" i="16"/>
  <c r="AF268" i="16" s="1"/>
  <c r="AE260" i="16"/>
  <c r="AF260" i="16" s="1"/>
  <c r="AE252" i="16"/>
  <c r="AF252" i="16" s="1"/>
  <c r="AE244" i="16"/>
  <c r="AF244" i="16" s="1"/>
  <c r="AE236" i="16"/>
  <c r="AF236" i="16" s="1"/>
  <c r="AE228" i="16"/>
  <c r="AF228" i="16" s="1"/>
  <c r="AE220" i="16"/>
  <c r="AF220" i="16" s="1"/>
  <c r="AE212" i="16"/>
  <c r="AF212" i="16" s="1"/>
  <c r="AE204" i="16"/>
  <c r="AF204" i="16" s="1"/>
  <c r="AE196" i="16"/>
  <c r="AF196" i="16" s="1"/>
  <c r="AE188" i="16"/>
  <c r="AF188" i="16" s="1"/>
  <c r="AE180" i="16"/>
  <c r="AF180" i="16" s="1"/>
  <c r="AE172" i="16"/>
  <c r="AF172" i="16" s="1"/>
  <c r="AE164" i="16"/>
  <c r="AF164" i="16" s="1"/>
  <c r="AE156" i="16"/>
  <c r="AF156" i="16" s="1"/>
  <c r="AE148" i="16"/>
  <c r="AF148" i="16" s="1"/>
  <c r="AE140" i="16"/>
  <c r="AF140" i="16" s="1"/>
  <c r="AE132" i="16"/>
  <c r="AF132" i="16" s="1"/>
  <c r="AE124" i="16"/>
  <c r="AF124" i="16" s="1"/>
  <c r="AE107" i="16"/>
  <c r="AF107" i="16" s="1"/>
  <c r="AE75" i="16"/>
  <c r="AF75" i="16" s="1"/>
  <c r="AE43" i="16"/>
  <c r="AF43" i="16" s="1"/>
  <c r="AE1116" i="16"/>
  <c r="AF1116" i="16" s="1"/>
  <c r="AE969" i="16"/>
  <c r="AF969" i="16" s="1"/>
  <c r="AE928" i="16"/>
  <c r="AF928" i="16" s="1"/>
  <c r="AE896" i="16"/>
  <c r="AF896" i="16" s="1"/>
  <c r="AE864" i="16"/>
  <c r="AF864" i="16" s="1"/>
  <c r="AE839" i="16"/>
  <c r="AF839" i="16" s="1"/>
  <c r="AE747" i="16"/>
  <c r="AF747" i="16" s="1"/>
  <c r="AE423" i="16"/>
  <c r="AF423" i="16" s="1"/>
  <c r="AE391" i="16"/>
  <c r="AF391" i="16" s="1"/>
  <c r="AE359" i="16"/>
  <c r="AF359" i="16" s="1"/>
  <c r="AE327" i="16"/>
  <c r="AF327" i="16" s="1"/>
  <c r="AE295" i="16"/>
  <c r="AF295" i="16" s="1"/>
  <c r="AE109" i="16"/>
  <c r="AF109" i="16" s="1"/>
  <c r="AE90" i="16"/>
  <c r="AF90" i="16" s="1"/>
  <c r="AE68" i="16"/>
  <c r="AF68" i="16" s="1"/>
  <c r="AE49" i="16"/>
  <c r="AF49" i="16" s="1"/>
  <c r="AE34" i="16"/>
  <c r="AF34" i="16" s="1"/>
  <c r="AE26" i="16"/>
  <c r="AF26" i="16" s="1"/>
  <c r="AE18" i="16"/>
  <c r="AF18" i="16" s="1"/>
  <c r="AE10" i="16"/>
  <c r="AF10" i="16" s="1"/>
  <c r="AE429" i="16"/>
  <c r="AF429" i="16" s="1"/>
  <c r="AE397" i="16"/>
  <c r="AF397" i="16" s="1"/>
  <c r="AE365" i="16"/>
  <c r="AF365" i="16" s="1"/>
  <c r="AE333" i="16"/>
  <c r="AF333" i="16" s="1"/>
  <c r="AE301" i="16"/>
  <c r="AF301" i="16" s="1"/>
  <c r="AE223" i="16"/>
  <c r="AF223" i="16" s="1"/>
  <c r="AE207" i="16"/>
  <c r="AF207" i="16" s="1"/>
  <c r="AE191" i="16"/>
  <c r="AF191" i="16" s="1"/>
  <c r="AE175" i="16"/>
  <c r="AF175" i="16" s="1"/>
  <c r="AE159" i="16"/>
  <c r="AF159" i="16" s="1"/>
  <c r="AE143" i="16"/>
  <c r="AF143" i="16" s="1"/>
  <c r="AE127" i="16"/>
  <c r="AF127" i="16" s="1"/>
  <c r="AE104" i="16"/>
  <c r="AF104" i="16" s="1"/>
  <c r="AE87" i="16"/>
  <c r="AF87" i="16" s="1"/>
  <c r="AE70" i="16"/>
  <c r="AF70" i="16" s="1"/>
  <c r="AE53" i="16"/>
  <c r="AF53" i="16" s="1"/>
  <c r="AE35" i="16"/>
  <c r="AF35" i="16" s="1"/>
  <c r="AE419" i="16"/>
  <c r="AF419" i="16" s="1"/>
  <c r="AE387" i="16"/>
  <c r="AF387" i="16" s="1"/>
  <c r="AE355" i="16"/>
  <c r="AF355" i="16" s="1"/>
  <c r="AE323" i="16"/>
  <c r="AF323" i="16" s="1"/>
  <c r="AE291" i="16"/>
  <c r="AF291" i="16" s="1"/>
  <c r="AE110" i="16"/>
  <c r="AF110" i="16" s="1"/>
  <c r="AE93" i="16"/>
  <c r="AF93" i="16" s="1"/>
  <c r="AE74" i="16"/>
  <c r="AF74" i="16" s="1"/>
  <c r="AE52" i="16"/>
  <c r="AF52" i="16" s="1"/>
  <c r="AE33" i="16"/>
  <c r="AF33" i="16" s="1"/>
  <c r="AE25" i="16"/>
  <c r="AF25" i="16" s="1"/>
  <c r="AE17" i="16"/>
  <c r="AF17" i="16" s="1"/>
  <c r="AE9" i="16"/>
  <c r="AF9" i="16" s="1"/>
  <c r="AE433" i="16"/>
  <c r="AF433" i="16" s="1"/>
  <c r="AE401" i="16"/>
  <c r="AF401" i="16" s="1"/>
  <c r="AE369" i="16"/>
  <c r="AF369" i="16" s="1"/>
  <c r="AE337" i="16"/>
  <c r="AF337" i="16" s="1"/>
  <c r="AE305" i="16"/>
  <c r="AF305" i="16" s="1"/>
  <c r="AE221" i="16"/>
  <c r="AF221" i="16" s="1"/>
  <c r="AE205" i="16"/>
  <c r="AF205" i="16" s="1"/>
  <c r="AE189" i="16"/>
  <c r="AF189" i="16" s="1"/>
  <c r="AE173" i="16"/>
  <c r="AF173" i="16" s="1"/>
  <c r="AE157" i="16"/>
  <c r="AF157" i="16" s="1"/>
  <c r="AE141" i="16"/>
  <c r="AF141" i="16" s="1"/>
  <c r="AE123" i="16"/>
  <c r="AF123" i="16" s="1"/>
  <c r="AE103" i="16"/>
  <c r="AF103" i="16" s="1"/>
  <c r="AE86" i="16"/>
  <c r="AF86" i="16" s="1"/>
  <c r="AE69" i="16"/>
  <c r="AF69" i="16" s="1"/>
  <c r="AE50" i="16"/>
  <c r="AF50" i="16" s="1"/>
  <c r="AE5" i="16"/>
  <c r="AF5" i="16" s="1"/>
  <c r="AU10" i="16"/>
  <c r="AV10" i="16" s="1"/>
  <c r="AU157" i="16"/>
  <c r="AV157" i="16" s="1"/>
  <c r="AU285" i="16"/>
  <c r="AV285" i="16" s="1"/>
  <c r="AU450" i="16"/>
  <c r="AV450" i="16" s="1"/>
  <c r="AU18" i="16"/>
  <c r="AV18" i="16" s="1"/>
  <c r="AU165" i="16"/>
  <c r="AV165" i="16" s="1"/>
  <c r="AU305" i="16"/>
  <c r="AV305" i="16" s="1"/>
  <c r="AU518" i="16"/>
  <c r="AV518" i="16" s="1"/>
  <c r="AU1502" i="16"/>
  <c r="AV1502" i="16" s="1"/>
  <c r="AU141" i="16"/>
  <c r="AV141" i="16" s="1"/>
  <c r="AU269" i="16"/>
  <c r="AV269" i="16" s="1"/>
  <c r="AU713" i="16"/>
  <c r="AV713" i="16" s="1"/>
  <c r="AU98" i="16"/>
  <c r="AV98" i="16" s="1"/>
  <c r="AU245" i="16"/>
  <c r="AV245" i="16" s="1"/>
  <c r="AU369" i="16"/>
  <c r="AV369" i="16" s="1"/>
  <c r="AU1369" i="16"/>
  <c r="AV1369" i="16" s="1"/>
  <c r="AU24" i="16"/>
  <c r="AV24" i="16" s="1"/>
  <c r="AU56" i="16"/>
  <c r="AV56" i="16" s="1"/>
  <c r="AU88" i="16"/>
  <c r="AV88" i="16" s="1"/>
  <c r="AU139" i="16"/>
  <c r="AV139" i="16" s="1"/>
  <c r="AU171" i="16"/>
  <c r="AV171" i="16" s="1"/>
  <c r="AU203" i="16"/>
  <c r="AV203" i="16" s="1"/>
  <c r="AU235" i="16"/>
  <c r="AV235" i="16" s="1"/>
  <c r="AU267" i="16"/>
  <c r="AV267" i="16" s="1"/>
  <c r="AU313" i="16"/>
  <c r="AV313" i="16" s="1"/>
  <c r="AU350" i="16"/>
  <c r="AV350" i="16" s="1"/>
  <c r="AU387" i="16"/>
  <c r="AV387" i="16" s="1"/>
  <c r="AU462" i="16"/>
  <c r="AV462" i="16" s="1"/>
  <c r="AU705" i="16"/>
  <c r="AV705" i="16" s="1"/>
  <c r="AU852" i="16"/>
  <c r="AV852" i="16" s="1"/>
  <c r="AU6" i="16"/>
  <c r="AV6" i="16" s="1"/>
  <c r="AU38" i="16"/>
  <c r="AV38" i="16" s="1"/>
  <c r="AU70" i="16"/>
  <c r="AV70" i="16" s="1"/>
  <c r="AU102" i="16"/>
  <c r="AV102" i="16" s="1"/>
  <c r="AU137" i="16"/>
  <c r="AV137" i="16" s="1"/>
  <c r="AU169" i="16"/>
  <c r="AV169" i="16" s="1"/>
  <c r="AU201" i="16"/>
  <c r="AV201" i="16" s="1"/>
  <c r="AU233" i="16"/>
  <c r="AV233" i="16" s="1"/>
  <c r="AU265" i="16"/>
  <c r="AV265" i="16" s="1"/>
  <c r="AU299" i="16"/>
  <c r="AV299" i="16" s="1"/>
  <c r="AU353" i="16"/>
  <c r="AV353" i="16" s="1"/>
  <c r="AU390" i="16"/>
  <c r="AV390" i="16" s="1"/>
  <c r="AU427" i="16"/>
  <c r="AV427" i="16" s="1"/>
  <c r="AU668" i="16"/>
  <c r="AV668" i="16" s="1"/>
  <c r="AU761" i="16"/>
  <c r="AV761" i="16" s="1"/>
  <c r="AU932" i="16"/>
  <c r="AV932" i="16" s="1"/>
  <c r="AU1438" i="16"/>
  <c r="AV1438" i="16" s="1"/>
  <c r="AU28" i="16"/>
  <c r="AV28" i="16" s="1"/>
  <c r="AU60" i="16"/>
  <c r="AV60" i="16" s="1"/>
  <c r="AU92" i="16"/>
  <c r="AV92" i="16" s="1"/>
  <c r="AU124" i="16"/>
  <c r="AV124" i="16" s="1"/>
  <c r="AU159" i="16"/>
  <c r="AV159" i="16" s="1"/>
  <c r="AU191" i="16"/>
  <c r="AV191" i="16" s="1"/>
  <c r="AU223" i="16"/>
  <c r="AV223" i="16" s="1"/>
  <c r="AU255" i="16"/>
  <c r="AV255" i="16" s="1"/>
  <c r="AU287" i="16"/>
  <c r="AV287" i="16" s="1"/>
  <c r="AU329" i="16"/>
  <c r="AV329" i="16" s="1"/>
  <c r="AU366" i="16"/>
  <c r="AV366" i="16" s="1"/>
  <c r="AU403" i="16"/>
  <c r="AV403" i="16" s="1"/>
  <c r="AU455" i="16"/>
  <c r="AV455" i="16" s="1"/>
  <c r="AU636" i="16"/>
  <c r="AV636" i="16" s="1"/>
  <c r="AU753" i="16"/>
  <c r="AV753" i="16" s="1"/>
  <c r="AU948" i="16"/>
  <c r="AV948" i="16" s="1"/>
  <c r="AU123" i="16"/>
  <c r="AV123" i="16" s="1"/>
  <c r="AU290" i="16"/>
  <c r="AV290" i="16" s="1"/>
  <c r="AU320" i="16"/>
  <c r="AV320" i="16" s="1"/>
  <c r="AU352" i="16"/>
  <c r="AV352" i="16" s="1"/>
  <c r="AU384" i="16"/>
  <c r="AV384" i="16" s="1"/>
  <c r="AU416" i="16"/>
  <c r="AV416" i="16" s="1"/>
  <c r="AU436" i="16"/>
  <c r="AV436" i="16" s="1"/>
  <c r="AU452" i="16"/>
  <c r="AV452" i="16" s="1"/>
  <c r="AU476" i="16"/>
  <c r="AV476" i="16" s="1"/>
  <c r="AU508" i="16"/>
  <c r="AV508" i="16" s="1"/>
  <c r="AU540" i="16"/>
  <c r="AV540" i="16" s="1"/>
  <c r="AU560" i="16"/>
  <c r="AV560" i="16" s="1"/>
  <c r="AU576" i="16"/>
  <c r="AV576" i="16" s="1"/>
  <c r="AU592" i="16"/>
  <c r="AV592" i="16" s="1"/>
  <c r="AU608" i="16"/>
  <c r="AV608" i="16" s="1"/>
  <c r="AU633" i="16"/>
  <c r="AV633" i="16" s="1"/>
  <c r="AU667" i="16"/>
  <c r="AV667" i="16" s="1"/>
  <c r="AU834" i="16"/>
  <c r="AV834" i="16" s="1"/>
  <c r="AU898" i="16"/>
  <c r="AV898" i="16" s="1"/>
  <c r="AU962" i="16"/>
  <c r="AV962" i="16" s="1"/>
  <c r="AU1026" i="16"/>
  <c r="AV1026" i="16" s="1"/>
  <c r="AU1188" i="16"/>
  <c r="AV1188" i="16" s="1"/>
  <c r="AU11" i="16"/>
  <c r="AV11" i="16" s="1"/>
  <c r="AU19" i="16"/>
  <c r="AV19" i="16" s="1"/>
  <c r="AU27" i="16"/>
  <c r="AV27" i="16" s="1"/>
  <c r="AU35" i="16"/>
  <c r="AV35" i="16" s="1"/>
  <c r="AU43" i="16"/>
  <c r="AV43" i="16" s="1"/>
  <c r="AU51" i="16"/>
  <c r="AV51" i="16" s="1"/>
  <c r="AU59" i="16"/>
  <c r="AV59" i="16" s="1"/>
  <c r="AU67" i="16"/>
  <c r="AV67" i="16" s="1"/>
  <c r="AU75" i="16"/>
  <c r="AV75" i="16" s="1"/>
  <c r="AU83" i="16"/>
  <c r="AV83" i="16" s="1"/>
  <c r="AU91" i="16"/>
  <c r="AV91" i="16" s="1"/>
  <c r="AU99" i="16"/>
  <c r="AV99" i="16" s="1"/>
  <c r="AU107" i="16"/>
  <c r="AV107" i="16" s="1"/>
  <c r="AU115" i="16"/>
  <c r="AV115" i="16" s="1"/>
  <c r="AU128" i="16"/>
  <c r="AV128" i="16" s="1"/>
  <c r="AU140" i="16"/>
  <c r="AV140" i="16" s="1"/>
  <c r="AU148" i="16"/>
  <c r="AV148" i="16" s="1"/>
  <c r="AU156" i="16"/>
  <c r="AV156" i="16" s="1"/>
  <c r="AU164" i="16"/>
  <c r="AV164" i="16" s="1"/>
  <c r="AU172" i="16"/>
  <c r="AV172" i="16" s="1"/>
  <c r="AU180" i="16"/>
  <c r="AV180" i="16" s="1"/>
  <c r="AU188" i="16"/>
  <c r="AV188" i="16" s="1"/>
  <c r="AU196" i="16"/>
  <c r="AV196" i="16" s="1"/>
  <c r="AU204" i="16"/>
  <c r="AV204" i="16" s="1"/>
  <c r="AU212" i="16"/>
  <c r="AV212" i="16" s="1"/>
  <c r="AU220" i="16"/>
  <c r="AV220" i="16" s="1"/>
  <c r="AU228" i="16"/>
  <c r="AV228" i="16" s="1"/>
  <c r="AU236" i="16"/>
  <c r="AV236" i="16" s="1"/>
  <c r="AU244" i="16"/>
  <c r="AV244" i="16" s="1"/>
  <c r="AU252" i="16"/>
  <c r="AV252" i="16" s="1"/>
  <c r="AU260" i="16"/>
  <c r="AV260" i="16" s="1"/>
  <c r="AU268" i="16"/>
  <c r="AV268" i="16" s="1"/>
  <c r="AU276" i="16"/>
  <c r="AV276" i="16" s="1"/>
  <c r="AU284" i="16"/>
  <c r="AV284" i="16" s="1"/>
  <c r="AU295" i="16"/>
  <c r="AV295" i="16" s="1"/>
  <c r="AU306" i="16"/>
  <c r="AV306" i="16" s="1"/>
  <c r="AU317" i="16"/>
  <c r="AV317" i="16" s="1"/>
  <c r="AU327" i="16"/>
  <c r="AV327" i="16" s="1"/>
  <c r="AU338" i="16"/>
  <c r="AV338" i="16" s="1"/>
  <c r="AU349" i="16"/>
  <c r="AV349" i="16" s="1"/>
  <c r="AU359" i="16"/>
  <c r="AV359" i="16" s="1"/>
  <c r="AU370" i="16"/>
  <c r="AV370" i="16" s="1"/>
  <c r="AU381" i="16"/>
  <c r="AV381" i="16" s="1"/>
  <c r="AU391" i="16"/>
  <c r="AV391" i="16" s="1"/>
  <c r="AU402" i="16"/>
  <c r="AV402" i="16" s="1"/>
  <c r="AC1627" i="16"/>
  <c r="AD1627" i="16" s="1"/>
  <c r="AC1625" i="16"/>
  <c r="AD1625" i="16" s="1"/>
  <c r="AC1618" i="16"/>
  <c r="AD1618" i="16" s="1"/>
  <c r="AC1615" i="16"/>
  <c r="AD1615" i="16" s="1"/>
  <c r="AC1612" i="16"/>
  <c r="AD1612" i="16" s="1"/>
  <c r="AC1604" i="16"/>
  <c r="AD1604" i="16" s="1"/>
  <c r="AC1598" i="16"/>
  <c r="AD1598" i="16" s="1"/>
  <c r="AC1595" i="16"/>
  <c r="AD1595" i="16" s="1"/>
  <c r="AC1593" i="16"/>
  <c r="AD1593" i="16" s="1"/>
  <c r="AC1590" i="16"/>
  <c r="AD1590" i="16" s="1"/>
  <c r="AC1587" i="16"/>
  <c r="AD1587" i="16" s="1"/>
  <c r="AC1585" i="16"/>
  <c r="AD1585" i="16" s="1"/>
  <c r="AC1576" i="16"/>
  <c r="AD1576" i="16" s="1"/>
  <c r="AC1568" i="16"/>
  <c r="AD1568" i="16" s="1"/>
  <c r="AC1565" i="16"/>
  <c r="AD1565" i="16" s="1"/>
  <c r="AC1556" i="16"/>
  <c r="AD1556" i="16" s="1"/>
  <c r="AC1550" i="16"/>
  <c r="AD1550" i="16" s="1"/>
  <c r="AC1547" i="16"/>
  <c r="AD1547" i="16" s="1"/>
  <c r="AC1545" i="16"/>
  <c r="AD1545" i="16" s="1"/>
  <c r="AC1541" i="16"/>
  <c r="AD1541" i="16" s="1"/>
  <c r="AC1623" i="16"/>
  <c r="AD1623" i="16" s="1"/>
  <c r="AC1616" i="16"/>
  <c r="AD1616" i="16" s="1"/>
  <c r="AC1610" i="16"/>
  <c r="AD1610" i="16" s="1"/>
  <c r="AC1608" i="16"/>
  <c r="AD1608" i="16" s="1"/>
  <c r="AC1606" i="16"/>
  <c r="AD1606" i="16" s="1"/>
  <c r="AC1589" i="16"/>
  <c r="AD1589" i="16" s="1"/>
  <c r="AC1583" i="16"/>
  <c r="AD1583" i="16" s="1"/>
  <c r="AC1581" i="16"/>
  <c r="AD1581" i="16" s="1"/>
  <c r="AC1579" i="16"/>
  <c r="AD1579" i="16" s="1"/>
  <c r="AC1575" i="16"/>
  <c r="AD1575" i="16" s="1"/>
  <c r="AC1554" i="16"/>
  <c r="AD1554" i="16" s="1"/>
  <c r="AC1552" i="16"/>
  <c r="AD1552" i="16" s="1"/>
  <c r="AC1548" i="16"/>
  <c r="AD1548" i="16" s="1"/>
  <c r="AC1546" i="16"/>
  <c r="AD1546" i="16" s="1"/>
  <c r="AC1544" i="16"/>
  <c r="AD1544" i="16" s="1"/>
  <c r="AC1542" i="16"/>
  <c r="AD1542" i="16" s="1"/>
  <c r="AC1537" i="16"/>
  <c r="AD1537" i="16" s="1"/>
  <c r="AC1533" i="16"/>
  <c r="AD1533" i="16" s="1"/>
  <c r="AC1530" i="16"/>
  <c r="AD1530" i="16" s="1"/>
  <c r="AC1527" i="16"/>
  <c r="AD1527" i="16" s="1"/>
  <c r="AC1517" i="16"/>
  <c r="AD1517" i="16" s="1"/>
  <c r="AC1515" i="16"/>
  <c r="AD1515" i="16" s="1"/>
  <c r="AC1512" i="16"/>
  <c r="AD1512" i="16" s="1"/>
  <c r="AC1510" i="16"/>
  <c r="AD1510" i="16" s="1"/>
  <c r="AC1505" i="16"/>
  <c r="AD1505" i="16" s="1"/>
  <c r="AC1500" i="16"/>
  <c r="AD1500" i="16" s="1"/>
  <c r="AC1498" i="16"/>
  <c r="AD1498" i="16" s="1"/>
  <c r="AC1495" i="16"/>
  <c r="AD1495" i="16" s="1"/>
  <c r="AC1485" i="16"/>
  <c r="AD1485" i="16" s="1"/>
  <c r="AC1483" i="16"/>
  <c r="AD1483" i="16" s="1"/>
  <c r="AC1480" i="16"/>
  <c r="AD1480" i="16" s="1"/>
  <c r="AC1476" i="16"/>
  <c r="AD1476" i="16" s="1"/>
  <c r="AC1472" i="16"/>
  <c r="AD1472" i="16" s="1"/>
  <c r="AC1468" i="16"/>
  <c r="AD1468" i="16" s="1"/>
  <c r="AC1464" i="16"/>
  <c r="AD1464" i="16" s="1"/>
  <c r="AC1460" i="16"/>
  <c r="AD1460" i="16" s="1"/>
  <c r="AC1456" i="16"/>
  <c r="AD1456" i="16" s="1"/>
  <c r="AC1452" i="16"/>
  <c r="AD1452" i="16" s="1"/>
  <c r="AC1448" i="16"/>
  <c r="AD1448" i="16" s="1"/>
  <c r="AC1443" i="16"/>
  <c r="AD1443" i="16" s="1"/>
  <c r="AC1441" i="16"/>
  <c r="AD1441" i="16" s="1"/>
  <c r="AC1438" i="16"/>
  <c r="AD1438" i="16" s="1"/>
  <c r="AC1431" i="16"/>
  <c r="AD1431" i="16" s="1"/>
  <c r="AC1429" i="16"/>
  <c r="AD1429" i="16" s="1"/>
  <c r="AC1424" i="16"/>
  <c r="AD1424" i="16" s="1"/>
  <c r="AC1422" i="16"/>
  <c r="AD1422" i="16" s="1"/>
  <c r="AC1415" i="16"/>
  <c r="AD1415" i="16" s="1"/>
  <c r="AC1413" i="16"/>
  <c r="AD1413" i="16" s="1"/>
  <c r="AC1408" i="16"/>
  <c r="AD1408" i="16" s="1"/>
  <c r="AC1406" i="16"/>
  <c r="AD1406" i="16" s="1"/>
  <c r="AC1399" i="16"/>
  <c r="AD1399" i="16" s="1"/>
  <c r="AC1397" i="16"/>
  <c r="AD1397" i="16" s="1"/>
  <c r="AC1392" i="16"/>
  <c r="AD1392" i="16" s="1"/>
  <c r="AC1390" i="16"/>
  <c r="AD1390" i="16" s="1"/>
  <c r="AC1383" i="16"/>
  <c r="AD1383" i="16" s="1"/>
  <c r="AC1381" i="16"/>
  <c r="AD1381" i="16" s="1"/>
  <c r="AC1376" i="16"/>
  <c r="AD1376" i="16" s="1"/>
  <c r="AC1374" i="16"/>
  <c r="AD1374" i="16" s="1"/>
  <c r="AC1367" i="16"/>
  <c r="AD1367" i="16" s="1"/>
  <c r="AC1365" i="16"/>
  <c r="AD1365" i="16" s="1"/>
  <c r="AC1360" i="16"/>
  <c r="AD1360" i="16" s="1"/>
  <c r="AC1358" i="16"/>
  <c r="AD1358" i="16" s="1"/>
  <c r="AC1351" i="16"/>
  <c r="AD1351" i="16" s="1"/>
  <c r="AC1349" i="16"/>
  <c r="AD1349" i="16" s="1"/>
  <c r="AC1344" i="16"/>
  <c r="AD1344" i="16" s="1"/>
  <c r="AC1342" i="16"/>
  <c r="AD1342" i="16" s="1"/>
  <c r="AC1335" i="16"/>
  <c r="AD1335" i="16" s="1"/>
  <c r="AC1333" i="16"/>
  <c r="AD1333" i="16" s="1"/>
  <c r="AC1328" i="16"/>
  <c r="AD1328" i="16" s="1"/>
  <c r="AC1321" i="16"/>
  <c r="AD1321" i="16" s="1"/>
  <c r="AC1319" i="16"/>
  <c r="AD1319" i="16" s="1"/>
  <c r="AC1314" i="16"/>
  <c r="AD1314" i="16" s="1"/>
  <c r="AC1312" i="16"/>
  <c r="AD1312" i="16" s="1"/>
  <c r="AC1305" i="16"/>
  <c r="AD1305" i="16" s="1"/>
  <c r="AC1303" i="16"/>
  <c r="AD1303" i="16" s="1"/>
  <c r="AC1298" i="16"/>
  <c r="AD1298" i="16" s="1"/>
  <c r="AC1296" i="16"/>
  <c r="AD1296" i="16" s="1"/>
  <c r="AC1289" i="16"/>
  <c r="AD1289" i="16" s="1"/>
  <c r="AC1287" i="16"/>
  <c r="AD1287" i="16" s="1"/>
  <c r="AC1282" i="16"/>
  <c r="AD1282" i="16" s="1"/>
  <c r="AC1280" i="16"/>
  <c r="AD1280" i="16" s="1"/>
  <c r="AC1273" i="16"/>
  <c r="AD1273" i="16" s="1"/>
  <c r="AC1271" i="16"/>
  <c r="AD1271" i="16" s="1"/>
  <c r="AC1266" i="16"/>
  <c r="AD1266" i="16" s="1"/>
  <c r="AC1620" i="16"/>
  <c r="AD1620" i="16" s="1"/>
  <c r="AC1614" i="16"/>
  <c r="AD1614" i="16" s="1"/>
  <c r="AC1605" i="16"/>
  <c r="AD1605" i="16" s="1"/>
  <c r="AC1601" i="16"/>
  <c r="AD1601" i="16" s="1"/>
  <c r="AC1599" i="16"/>
  <c r="AD1599" i="16" s="1"/>
  <c r="AC1597" i="16"/>
  <c r="AD1597" i="16" s="1"/>
  <c r="AC1591" i="16"/>
  <c r="AD1591" i="16" s="1"/>
  <c r="AC1574" i="16"/>
  <c r="AD1574" i="16" s="1"/>
  <c r="AC1572" i="16"/>
  <c r="AD1572" i="16" s="1"/>
  <c r="AC1570" i="16"/>
  <c r="AD1570" i="16" s="1"/>
  <c r="AC1566" i="16"/>
  <c r="AD1566" i="16" s="1"/>
  <c r="AC1564" i="16"/>
  <c r="AD1564" i="16" s="1"/>
  <c r="AC1562" i="16"/>
  <c r="AD1562" i="16" s="1"/>
  <c r="AC1560" i="16"/>
  <c r="AD1560" i="16" s="1"/>
  <c r="AC1558" i="16"/>
  <c r="AD1558" i="16" s="1"/>
  <c r="AC1540" i="16"/>
  <c r="AD1540" i="16" s="1"/>
  <c r="AC1538" i="16"/>
  <c r="AD1538" i="16" s="1"/>
  <c r="AC1534" i="16"/>
  <c r="AD1534" i="16" s="1"/>
  <c r="AC1525" i="16"/>
  <c r="AD1525" i="16" s="1"/>
  <c r="AC1523" i="16"/>
  <c r="AD1523" i="16" s="1"/>
  <c r="AC1520" i="16"/>
  <c r="AD1520" i="16" s="1"/>
  <c r="AC1518" i="16"/>
  <c r="AD1518" i="16" s="1"/>
  <c r="AC1513" i="16"/>
  <c r="AD1513" i="16" s="1"/>
  <c r="AC1508" i="16"/>
  <c r="AD1508" i="16" s="1"/>
  <c r="AC1506" i="16"/>
  <c r="AD1506" i="16" s="1"/>
  <c r="AC1503" i="16"/>
  <c r="AD1503" i="16" s="1"/>
  <c r="AC1493" i="16"/>
  <c r="AD1493" i="16" s="1"/>
  <c r="AC1491" i="16"/>
  <c r="AD1491" i="16" s="1"/>
  <c r="AC1488" i="16"/>
  <c r="AD1488" i="16" s="1"/>
  <c r="AC1486" i="16"/>
  <c r="AD1486" i="16" s="1"/>
  <c r="AC1481" i="16"/>
  <c r="AD1481" i="16" s="1"/>
  <c r="AC1477" i="16"/>
  <c r="AD1477" i="16" s="1"/>
  <c r="AC1473" i="16"/>
  <c r="AD1473" i="16" s="1"/>
  <c r="AC1469" i="16"/>
  <c r="AD1469" i="16" s="1"/>
  <c r="AC1465" i="16"/>
  <c r="AD1465" i="16" s="1"/>
  <c r="AC1461" i="16"/>
  <c r="AD1461" i="16" s="1"/>
  <c r="AC1457" i="16"/>
  <c r="AD1457" i="16" s="1"/>
  <c r="AC1453" i="16"/>
  <c r="AD1453" i="16" s="1"/>
  <c r="AC1449" i="16"/>
  <c r="AD1449" i="16" s="1"/>
  <c r="AC1446" i="16"/>
  <c r="AD1446" i="16" s="1"/>
  <c r="AC1436" i="16"/>
  <c r="AD1436" i="16" s="1"/>
  <c r="AC1434" i="16"/>
  <c r="AD1434" i="16" s="1"/>
  <c r="AC1427" i="16"/>
  <c r="AD1427" i="16" s="1"/>
  <c r="AC1425" i="16"/>
  <c r="AD1425" i="16" s="1"/>
  <c r="AC1420" i="16"/>
  <c r="AD1420" i="16" s="1"/>
  <c r="AC1418" i="16"/>
  <c r="AD1418" i="16" s="1"/>
  <c r="AC1411" i="16"/>
  <c r="AD1411" i="16" s="1"/>
  <c r="AC1409" i="16"/>
  <c r="AD1409" i="16" s="1"/>
  <c r="AC1404" i="16"/>
  <c r="AD1404" i="16" s="1"/>
  <c r="AC1402" i="16"/>
  <c r="AD1402" i="16" s="1"/>
  <c r="AC1395" i="16"/>
  <c r="AD1395" i="16" s="1"/>
  <c r="AC1393" i="16"/>
  <c r="AD1393" i="16" s="1"/>
  <c r="AC1388" i="16"/>
  <c r="AD1388" i="16" s="1"/>
  <c r="AC1386" i="16"/>
  <c r="AD1386" i="16" s="1"/>
  <c r="AC1379" i="16"/>
  <c r="AD1379" i="16" s="1"/>
  <c r="AC1377" i="16"/>
  <c r="AD1377" i="16" s="1"/>
  <c r="AC1372" i="16"/>
  <c r="AD1372" i="16" s="1"/>
  <c r="AC1370" i="16"/>
  <c r="AD1370" i="16" s="1"/>
  <c r="AC1363" i="16"/>
  <c r="AD1363" i="16" s="1"/>
  <c r="AC1361" i="16"/>
  <c r="AD1361" i="16" s="1"/>
  <c r="AC1356" i="16"/>
  <c r="AD1356" i="16" s="1"/>
  <c r="AC1354" i="16"/>
  <c r="AD1354" i="16" s="1"/>
  <c r="AC1347" i="16"/>
  <c r="AD1347" i="16" s="1"/>
  <c r="AC1345" i="16"/>
  <c r="AD1345" i="16" s="1"/>
  <c r="AC1340" i="16"/>
  <c r="AD1340" i="16" s="1"/>
  <c r="AC1338" i="16"/>
  <c r="AD1338" i="16" s="1"/>
  <c r="AC1331" i="16"/>
  <c r="AD1331" i="16" s="1"/>
  <c r="AC1329" i="16"/>
  <c r="AD1329" i="16" s="1"/>
  <c r="AC1326" i="16"/>
  <c r="AD1326" i="16" s="1"/>
  <c r="AC1324" i="16"/>
  <c r="AD1324" i="16" s="1"/>
  <c r="AC1317" i="16"/>
  <c r="AD1317" i="16" s="1"/>
  <c r="AC1315" i="16"/>
  <c r="AD1315" i="16" s="1"/>
  <c r="AC1310" i="16"/>
  <c r="AD1310" i="16" s="1"/>
  <c r="AC1308" i="16"/>
  <c r="AD1308" i="16" s="1"/>
  <c r="AC1301" i="16"/>
  <c r="AD1301" i="16" s="1"/>
  <c r="AC1299" i="16"/>
  <c r="AD1299" i="16" s="1"/>
  <c r="AC1294" i="16"/>
  <c r="AD1294" i="16" s="1"/>
  <c r="AC1292" i="16"/>
  <c r="AD1292" i="16" s="1"/>
  <c r="AC1285" i="16"/>
  <c r="AD1285" i="16" s="1"/>
  <c r="AC1283" i="16"/>
  <c r="AD1283" i="16" s="1"/>
  <c r="AC1278" i="16"/>
  <c r="AD1278" i="16" s="1"/>
  <c r="AC1276" i="16"/>
  <c r="AD1276" i="16" s="1"/>
  <c r="AC1269" i="16"/>
  <c r="AD1269" i="16" s="1"/>
  <c r="AC1267" i="16"/>
  <c r="AD1267" i="16" s="1"/>
  <c r="AC1262" i="16"/>
  <c r="AD1262" i="16" s="1"/>
  <c r="AC1260" i="16"/>
  <c r="AD1260" i="16" s="1"/>
  <c r="AC1253" i="16"/>
  <c r="AD1253" i="16" s="1"/>
  <c r="AC1251" i="16"/>
  <c r="AD1251" i="16" s="1"/>
  <c r="AC1246" i="16"/>
  <c r="AD1246" i="16" s="1"/>
  <c r="AC1244" i="16"/>
  <c r="AD1244" i="16" s="1"/>
  <c r="AC1237" i="16"/>
  <c r="AD1237" i="16" s="1"/>
  <c r="AC1235" i="16"/>
  <c r="AD1235" i="16" s="1"/>
  <c r="AC1230" i="16"/>
  <c r="AD1230" i="16" s="1"/>
  <c r="AC1228" i="16"/>
  <c r="AD1228" i="16" s="1"/>
  <c r="AC1221" i="16"/>
  <c r="AD1221" i="16" s="1"/>
  <c r="AC1219" i="16"/>
  <c r="AD1219" i="16" s="1"/>
  <c r="AC1214" i="16"/>
  <c r="AD1214" i="16" s="1"/>
  <c r="AC1212" i="16"/>
  <c r="AD1212" i="16" s="1"/>
  <c r="AC1205" i="16"/>
  <c r="AD1205" i="16" s="1"/>
  <c r="AC1203" i="16"/>
  <c r="AD1203" i="16" s="1"/>
  <c r="AC1198" i="16"/>
  <c r="AD1198" i="16" s="1"/>
  <c r="AC1196" i="16"/>
  <c r="AD1196" i="16" s="1"/>
  <c r="AC1188" i="16"/>
  <c r="AD1188" i="16" s="1"/>
  <c r="AC1184" i="16"/>
  <c r="AD1184" i="16" s="1"/>
  <c r="AC1180" i="16"/>
  <c r="AD1180" i="16" s="1"/>
  <c r="AC1176" i="16"/>
  <c r="AD1176" i="16" s="1"/>
  <c r="AC1172" i="16"/>
  <c r="AD1172" i="16" s="1"/>
  <c r="AC1168" i="16"/>
  <c r="AD1168" i="16" s="1"/>
  <c r="AC1164" i="16"/>
  <c r="AD1164" i="16" s="1"/>
  <c r="AC1160" i="16"/>
  <c r="AD1160" i="16" s="1"/>
  <c r="AC1156" i="16"/>
  <c r="AD1156" i="16" s="1"/>
  <c r="AC1152" i="16"/>
  <c r="AD1152" i="16" s="1"/>
  <c r="AC1148" i="16"/>
  <c r="AD1148" i="16" s="1"/>
  <c r="AC1629" i="16"/>
  <c r="AD1629" i="16" s="1"/>
  <c r="AC1624" i="16"/>
  <c r="AD1624" i="16" s="1"/>
  <c r="AC1622" i="16"/>
  <c r="AD1622" i="16" s="1"/>
  <c r="AC1617" i="16"/>
  <c r="AD1617" i="16" s="1"/>
  <c r="AC1613" i="16"/>
  <c r="AD1613" i="16" s="1"/>
  <c r="AC1609" i="16"/>
  <c r="AD1609" i="16" s="1"/>
  <c r="AC1607" i="16"/>
  <c r="AD1607" i="16" s="1"/>
  <c r="AC1603" i="16"/>
  <c r="AD1603" i="16" s="1"/>
  <c r="AC1588" i="16"/>
  <c r="AD1588" i="16" s="1"/>
  <c r="AC1586" i="16"/>
  <c r="AD1586" i="16" s="1"/>
  <c r="AC1584" i="16"/>
  <c r="AD1584" i="16" s="1"/>
  <c r="AC1582" i="16"/>
  <c r="AD1582" i="16" s="1"/>
  <c r="AC1580" i="16"/>
  <c r="AD1580" i="16" s="1"/>
  <c r="AC1578" i="16"/>
  <c r="AD1578" i="16" s="1"/>
  <c r="AC1569" i="16"/>
  <c r="AD1569" i="16" s="1"/>
  <c r="AC1557" i="16"/>
  <c r="AD1557" i="16" s="1"/>
  <c r="AC1553" i="16"/>
  <c r="AD1553" i="16" s="1"/>
  <c r="AC1551" i="16"/>
  <c r="AD1551" i="16" s="1"/>
  <c r="AC1549" i="16"/>
  <c r="AD1549" i="16" s="1"/>
  <c r="AC1543" i="16"/>
  <c r="AD1543" i="16" s="1"/>
  <c r="AC1535" i="16"/>
  <c r="AD1535" i="16" s="1"/>
  <c r="AC1531" i="16"/>
  <c r="AD1531" i="16" s="1"/>
  <c r="AC1528" i="16"/>
  <c r="AD1528" i="16" s="1"/>
  <c r="AC1526" i="16"/>
  <c r="AD1526" i="16" s="1"/>
  <c r="AC1521" i="16"/>
  <c r="AD1521" i="16" s="1"/>
  <c r="AC1516" i="16"/>
  <c r="AD1516" i="16" s="1"/>
  <c r="AC1514" i="16"/>
  <c r="AD1514" i="16" s="1"/>
  <c r="AC1511" i="16"/>
  <c r="AD1511" i="16" s="1"/>
  <c r="AC1501" i="16"/>
  <c r="AD1501" i="16" s="1"/>
  <c r="AC1499" i="16"/>
  <c r="AD1499" i="16" s="1"/>
  <c r="AC1496" i="16"/>
  <c r="AD1496" i="16" s="1"/>
  <c r="AC1494" i="16"/>
  <c r="AD1494" i="16" s="1"/>
  <c r="AC1489" i="16"/>
  <c r="AD1489" i="16" s="1"/>
  <c r="AC1484" i="16"/>
  <c r="AD1484" i="16" s="1"/>
  <c r="AC1482" i="16"/>
  <c r="AD1482" i="16" s="1"/>
  <c r="AC1478" i="16"/>
  <c r="AD1478" i="16" s="1"/>
  <c r="AC1474" i="16"/>
  <c r="AD1474" i="16" s="1"/>
  <c r="AC1470" i="16"/>
  <c r="AD1470" i="16" s="1"/>
  <c r="AC1466" i="16"/>
  <c r="AD1466" i="16" s="1"/>
  <c r="AC1462" i="16"/>
  <c r="AD1462" i="16" s="1"/>
  <c r="AC1458" i="16"/>
  <c r="AD1458" i="16" s="1"/>
  <c r="AC1454" i="16"/>
  <c r="AD1454" i="16" s="1"/>
  <c r="AC1450" i="16"/>
  <c r="AD1450" i="16" s="1"/>
  <c r="AC1444" i="16"/>
  <c r="AD1444" i="16" s="1"/>
  <c r="AC1442" i="16"/>
  <c r="AD1442" i="16" s="1"/>
  <c r="AC1439" i="16"/>
  <c r="AD1439" i="16" s="1"/>
  <c r="AC1437" i="16"/>
  <c r="AD1437" i="16" s="1"/>
  <c r="AC1432" i="16"/>
  <c r="AD1432" i="16" s="1"/>
  <c r="AC1430" i="16"/>
  <c r="AD1430" i="16" s="1"/>
  <c r="AC1423" i="16"/>
  <c r="AD1423" i="16" s="1"/>
  <c r="AC1421" i="16"/>
  <c r="AD1421" i="16" s="1"/>
  <c r="AC1416" i="16"/>
  <c r="AD1416" i="16" s="1"/>
  <c r="AC1414" i="16"/>
  <c r="AD1414" i="16" s="1"/>
  <c r="AC1407" i="16"/>
  <c r="AD1407" i="16" s="1"/>
  <c r="AC1405" i="16"/>
  <c r="AD1405" i="16" s="1"/>
  <c r="AC1400" i="16"/>
  <c r="AD1400" i="16" s="1"/>
  <c r="AC1398" i="16"/>
  <c r="AD1398" i="16" s="1"/>
  <c r="AC1391" i="16"/>
  <c r="AD1391" i="16" s="1"/>
  <c r="AC1389" i="16"/>
  <c r="AD1389" i="16" s="1"/>
  <c r="AC1384" i="16"/>
  <c r="AD1384" i="16" s="1"/>
  <c r="AC1382" i="16"/>
  <c r="AD1382" i="16" s="1"/>
  <c r="AC1375" i="16"/>
  <c r="AD1375" i="16" s="1"/>
  <c r="AC1373" i="16"/>
  <c r="AD1373" i="16" s="1"/>
  <c r="AC1368" i="16"/>
  <c r="AD1368" i="16" s="1"/>
  <c r="AC1366" i="16"/>
  <c r="AD1366" i="16" s="1"/>
  <c r="AC1359" i="16"/>
  <c r="AD1359" i="16" s="1"/>
  <c r="AC1357" i="16"/>
  <c r="AD1357" i="16" s="1"/>
  <c r="AC1352" i="16"/>
  <c r="AD1352" i="16" s="1"/>
  <c r="AC1350" i="16"/>
  <c r="AD1350" i="16" s="1"/>
  <c r="AC1343" i="16"/>
  <c r="AD1343" i="16" s="1"/>
  <c r="AC1341" i="16"/>
  <c r="AD1341" i="16" s="1"/>
  <c r="AC1336" i="16"/>
  <c r="AD1336" i="16" s="1"/>
  <c r="AC1334" i="16"/>
  <c r="AD1334" i="16" s="1"/>
  <c r="AC1327" i="16"/>
  <c r="AD1327" i="16" s="1"/>
  <c r="AC1322" i="16"/>
  <c r="AD1322" i="16" s="1"/>
  <c r="AC1320" i="16"/>
  <c r="AD1320" i="16" s="1"/>
  <c r="AC1313" i="16"/>
  <c r="AD1313" i="16" s="1"/>
  <c r="AC1311" i="16"/>
  <c r="AD1311" i="16" s="1"/>
  <c r="AC1306" i="16"/>
  <c r="AD1306" i="16" s="1"/>
  <c r="AC1304" i="16"/>
  <c r="AD1304" i="16" s="1"/>
  <c r="AC1297" i="16"/>
  <c r="AD1297" i="16" s="1"/>
  <c r="AC1295" i="16"/>
  <c r="AD1295" i="16" s="1"/>
  <c r="AC1290" i="16"/>
  <c r="AD1290" i="16" s="1"/>
  <c r="AC1288" i="16"/>
  <c r="AD1288" i="16" s="1"/>
  <c r="AC1281" i="16"/>
  <c r="AD1281" i="16" s="1"/>
  <c r="AC1279" i="16"/>
  <c r="AD1279" i="16" s="1"/>
  <c r="AC1274" i="16"/>
  <c r="AD1274" i="16" s="1"/>
  <c r="AC1272" i="16"/>
  <c r="AD1272" i="16" s="1"/>
  <c r="AC1265" i="16"/>
  <c r="AD1265" i="16" s="1"/>
  <c r="AC1263" i="16"/>
  <c r="AD1263" i="16" s="1"/>
  <c r="AC1258" i="16"/>
  <c r="AD1258" i="16" s="1"/>
  <c r="AC1256" i="16"/>
  <c r="AD1256" i="16" s="1"/>
  <c r="AC1249" i="16"/>
  <c r="AD1249" i="16" s="1"/>
  <c r="AC1247" i="16"/>
  <c r="AD1247" i="16" s="1"/>
  <c r="AC1242" i="16"/>
  <c r="AD1242" i="16" s="1"/>
  <c r="AC1240" i="16"/>
  <c r="AD1240" i="16" s="1"/>
  <c r="AC1233" i="16"/>
  <c r="AD1233" i="16" s="1"/>
  <c r="AC1231" i="16"/>
  <c r="AD1231" i="16" s="1"/>
  <c r="AC1226" i="16"/>
  <c r="AD1226" i="16" s="1"/>
  <c r="AC1224" i="16"/>
  <c r="AD1224" i="16" s="1"/>
  <c r="AC1217" i="16"/>
  <c r="AD1217" i="16" s="1"/>
  <c r="AC1215" i="16"/>
  <c r="AD1215" i="16" s="1"/>
  <c r="AC1210" i="16"/>
  <c r="AD1210" i="16" s="1"/>
  <c r="AC1208" i="16"/>
  <c r="AD1208" i="16" s="1"/>
  <c r="AC1201" i="16"/>
  <c r="AD1201" i="16" s="1"/>
  <c r="AC1199" i="16"/>
  <c r="AD1199" i="16" s="1"/>
  <c r="AC1194" i="16"/>
  <c r="AD1194" i="16" s="1"/>
  <c r="AC1192" i="16"/>
  <c r="AD1192" i="16" s="1"/>
  <c r="AC1189" i="16"/>
  <c r="AD1189" i="16" s="1"/>
  <c r="AC1185" i="16"/>
  <c r="AD1185" i="16" s="1"/>
  <c r="AC1181" i="16"/>
  <c r="AD1181" i="16" s="1"/>
  <c r="AC1177" i="16"/>
  <c r="AD1177" i="16" s="1"/>
  <c r="AC1173" i="16"/>
  <c r="AD1173" i="16" s="1"/>
  <c r="AC1169" i="16"/>
  <c r="AD1169" i="16" s="1"/>
  <c r="AC1165" i="16"/>
  <c r="AD1165" i="16" s="1"/>
  <c r="AC1161" i="16"/>
  <c r="AD1161" i="16" s="1"/>
  <c r="AC1157" i="16"/>
  <c r="AD1157" i="16" s="1"/>
  <c r="AC1153" i="16"/>
  <c r="AD1153" i="16" s="1"/>
  <c r="AC1149" i="16"/>
  <c r="AD1149" i="16" s="1"/>
  <c r="AC1573" i="16"/>
  <c r="AD1573" i="16" s="1"/>
  <c r="AC1529" i="16"/>
  <c r="AD1529" i="16" s="1"/>
  <c r="AC1522" i="16"/>
  <c r="AD1522" i="16" s="1"/>
  <c r="AC1509" i="16"/>
  <c r="AD1509" i="16" s="1"/>
  <c r="AC1502" i="16"/>
  <c r="AD1502" i="16" s="1"/>
  <c r="AC1471" i="16"/>
  <c r="AD1471" i="16" s="1"/>
  <c r="AC1455" i="16"/>
  <c r="AD1455" i="16" s="1"/>
  <c r="AC1401" i="16"/>
  <c r="AD1401" i="16" s="1"/>
  <c r="AC1394" i="16"/>
  <c r="AD1394" i="16" s="1"/>
  <c r="AC1387" i="16"/>
  <c r="AD1387" i="16" s="1"/>
  <c r="AC1380" i="16"/>
  <c r="AD1380" i="16" s="1"/>
  <c r="AC1337" i="16"/>
  <c r="AD1337" i="16" s="1"/>
  <c r="AC1330" i="16"/>
  <c r="AD1330" i="16" s="1"/>
  <c r="AC1323" i="16"/>
  <c r="AD1323" i="16" s="1"/>
  <c r="AC1316" i="16"/>
  <c r="AD1316" i="16" s="1"/>
  <c r="AC1309" i="16"/>
  <c r="AD1309" i="16" s="1"/>
  <c r="AC1302" i="16"/>
  <c r="AD1302" i="16" s="1"/>
  <c r="AC1255" i="16"/>
  <c r="AD1255" i="16" s="1"/>
  <c r="AC1248" i="16"/>
  <c r="AD1248" i="16" s="1"/>
  <c r="AC1241" i="16"/>
  <c r="AD1241" i="16" s="1"/>
  <c r="AC1234" i="16"/>
  <c r="AD1234" i="16" s="1"/>
  <c r="AC1223" i="16"/>
  <c r="AD1223" i="16" s="1"/>
  <c r="AC1216" i="16"/>
  <c r="AD1216" i="16" s="1"/>
  <c r="AC1209" i="16"/>
  <c r="AD1209" i="16" s="1"/>
  <c r="AC1202" i="16"/>
  <c r="AD1202" i="16" s="1"/>
  <c r="AC1191" i="16"/>
  <c r="AD1191" i="16" s="1"/>
  <c r="AC1183" i="16"/>
  <c r="AD1183" i="16" s="1"/>
  <c r="AC1175" i="16"/>
  <c r="AD1175" i="16" s="1"/>
  <c r="AC1167" i="16"/>
  <c r="AD1167" i="16" s="1"/>
  <c r="AC1159" i="16"/>
  <c r="AD1159" i="16" s="1"/>
  <c r="AC1151" i="16"/>
  <c r="AD1151" i="16" s="1"/>
  <c r="AC1144" i="16"/>
  <c r="AD1144" i="16" s="1"/>
  <c r="AC1140" i="16"/>
  <c r="AD1140" i="16" s="1"/>
  <c r="AC1136" i="16"/>
  <c r="AD1136" i="16" s="1"/>
  <c r="AC1132" i="16"/>
  <c r="AD1132" i="16" s="1"/>
  <c r="AC1128" i="16"/>
  <c r="AD1128" i="16" s="1"/>
  <c r="AC1124" i="16"/>
  <c r="AD1124" i="16" s="1"/>
  <c r="AC1120" i="16"/>
  <c r="AD1120" i="16" s="1"/>
  <c r="AC1116" i="16"/>
  <c r="AD1116" i="16" s="1"/>
  <c r="AC1112" i="16"/>
  <c r="AD1112" i="16" s="1"/>
  <c r="AC1108" i="16"/>
  <c r="AD1108" i="16" s="1"/>
  <c r="AC1104" i="16"/>
  <c r="AD1104" i="16" s="1"/>
  <c r="AC1100" i="16"/>
  <c r="AD1100" i="16" s="1"/>
  <c r="AC1096" i="16"/>
  <c r="AD1096" i="16" s="1"/>
  <c r="AC1092" i="16"/>
  <c r="AD1092" i="16" s="1"/>
  <c r="AC1000" i="16"/>
  <c r="AD1000" i="16" s="1"/>
  <c r="AC996" i="16"/>
  <c r="AD996" i="16" s="1"/>
  <c r="AC992" i="16"/>
  <c r="AD992" i="16" s="1"/>
  <c r="AC988" i="16"/>
  <c r="AD988" i="16" s="1"/>
  <c r="AC984" i="16"/>
  <c r="AD984" i="16" s="1"/>
  <c r="AC980" i="16"/>
  <c r="AD980" i="16" s="1"/>
  <c r="AC976" i="16"/>
  <c r="AD976" i="16" s="1"/>
  <c r="AC972" i="16"/>
  <c r="AD972" i="16" s="1"/>
  <c r="AC968" i="16"/>
  <c r="AD968" i="16" s="1"/>
  <c r="AC964" i="16"/>
  <c r="AD964" i="16" s="1"/>
  <c r="AC960" i="16"/>
  <c r="AD960" i="16" s="1"/>
  <c r="AC956" i="16"/>
  <c r="AD956" i="16" s="1"/>
  <c r="AC954" i="16"/>
  <c r="AD954" i="16" s="1"/>
  <c r="AC952" i="16"/>
  <c r="AD952" i="16" s="1"/>
  <c r="AC950" i="16"/>
  <c r="AD950" i="16" s="1"/>
  <c r="AC948" i="16"/>
  <c r="AD948" i="16" s="1"/>
  <c r="AC946" i="16"/>
  <c r="AD946" i="16" s="1"/>
  <c r="AC944" i="16"/>
  <c r="AD944" i="16" s="1"/>
  <c r="AC942" i="16"/>
  <c r="AD942" i="16" s="1"/>
  <c r="AC940" i="16"/>
  <c r="AD940" i="16" s="1"/>
  <c r="AC938" i="16"/>
  <c r="AD938" i="16" s="1"/>
  <c r="AC936" i="16"/>
  <c r="AD936" i="16" s="1"/>
  <c r="AC934" i="16"/>
  <c r="AD934" i="16" s="1"/>
  <c r="AC932" i="16"/>
  <c r="AD932" i="16" s="1"/>
  <c r="AC930" i="16"/>
  <c r="AD930" i="16" s="1"/>
  <c r="AC928" i="16"/>
  <c r="AD928" i="16" s="1"/>
  <c r="AC926" i="16"/>
  <c r="AD926" i="16" s="1"/>
  <c r="AC924" i="16"/>
  <c r="AD924" i="16" s="1"/>
  <c r="AC922" i="16"/>
  <c r="AD922" i="16" s="1"/>
  <c r="AC920" i="16"/>
  <c r="AD920" i="16" s="1"/>
  <c r="AC918" i="16"/>
  <c r="AD918" i="16" s="1"/>
  <c r="AC916" i="16"/>
  <c r="AD916" i="16" s="1"/>
  <c r="AC914" i="16"/>
  <c r="AD914" i="16" s="1"/>
  <c r="AC912" i="16"/>
  <c r="AD912" i="16" s="1"/>
  <c r="AC910" i="16"/>
  <c r="AD910" i="16" s="1"/>
  <c r="AC908" i="16"/>
  <c r="AD908" i="16" s="1"/>
  <c r="AC906" i="16"/>
  <c r="AD906" i="16" s="1"/>
  <c r="AC904" i="16"/>
  <c r="AD904" i="16" s="1"/>
  <c r="AC902" i="16"/>
  <c r="AD902" i="16" s="1"/>
  <c r="AC900" i="16"/>
  <c r="AD900" i="16" s="1"/>
  <c r="AC898" i="16"/>
  <c r="AD898" i="16" s="1"/>
  <c r="AC896" i="16"/>
  <c r="AD896" i="16" s="1"/>
  <c r="AC894" i="16"/>
  <c r="AD894" i="16" s="1"/>
  <c r="AC892" i="16"/>
  <c r="AD892" i="16" s="1"/>
  <c r="AC890" i="16"/>
  <c r="AD890" i="16" s="1"/>
  <c r="AC888" i="16"/>
  <c r="AD888" i="16" s="1"/>
  <c r="AC886" i="16"/>
  <c r="AD886" i="16" s="1"/>
  <c r="AC884" i="16"/>
  <c r="AD884" i="16" s="1"/>
  <c r="AC882" i="16"/>
  <c r="AD882" i="16" s="1"/>
  <c r="AC880" i="16"/>
  <c r="AD880" i="16" s="1"/>
  <c r="AC878" i="16"/>
  <c r="AD878" i="16" s="1"/>
  <c r="AC876" i="16"/>
  <c r="AD876" i="16" s="1"/>
  <c r="AC874" i="16"/>
  <c r="AD874" i="16" s="1"/>
  <c r="AC872" i="16"/>
  <c r="AD872" i="16" s="1"/>
  <c r="AC870" i="16"/>
  <c r="AD870" i="16" s="1"/>
  <c r="AC868" i="16"/>
  <c r="AD868" i="16" s="1"/>
  <c r="AC866" i="16"/>
  <c r="AD866" i="16" s="1"/>
  <c r="AC864" i="16"/>
  <c r="AD864" i="16" s="1"/>
  <c r="AC862" i="16"/>
  <c r="AD862" i="16" s="1"/>
  <c r="AC860" i="16"/>
  <c r="AD860" i="16" s="1"/>
  <c r="AC858" i="16"/>
  <c r="AD858" i="16" s="1"/>
  <c r="AC856" i="16"/>
  <c r="AD856" i="16" s="1"/>
  <c r="AC854" i="16"/>
  <c r="AD854" i="16" s="1"/>
  <c r="AC852" i="16"/>
  <c r="AD852" i="16" s="1"/>
  <c r="AC850" i="16"/>
  <c r="AD850" i="16" s="1"/>
  <c r="AC848" i="16"/>
  <c r="AD848" i="16" s="1"/>
  <c r="AC846" i="16"/>
  <c r="AD846" i="16" s="1"/>
  <c r="AC1621" i="16"/>
  <c r="AD1621" i="16" s="1"/>
  <c r="AC1596" i="16"/>
  <c r="AD1596" i="16" s="1"/>
  <c r="AC1571" i="16"/>
  <c r="AD1571" i="16" s="1"/>
  <c r="AC1563" i="16"/>
  <c r="AD1563" i="16" s="1"/>
  <c r="AC1555" i="16"/>
  <c r="AD1555" i="16" s="1"/>
  <c r="AC1539" i="16"/>
  <c r="AD1539" i="16" s="1"/>
  <c r="AC1507" i="16"/>
  <c r="AD1507" i="16" s="1"/>
  <c r="AC1487" i="16"/>
  <c r="AD1487" i="16" s="1"/>
  <c r="AC1475" i="16"/>
  <c r="AD1475" i="16" s="1"/>
  <c r="AC1459" i="16"/>
  <c r="AD1459" i="16" s="1"/>
  <c r="AC1435" i="16"/>
  <c r="AD1435" i="16" s="1"/>
  <c r="AC1428" i="16"/>
  <c r="AD1428" i="16" s="1"/>
  <c r="AC1385" i="16"/>
  <c r="AD1385" i="16" s="1"/>
  <c r="AC1378" i="16"/>
  <c r="AD1378" i="16" s="1"/>
  <c r="AC1371" i="16"/>
  <c r="AD1371" i="16" s="1"/>
  <c r="AC1364" i="16"/>
  <c r="AD1364" i="16" s="1"/>
  <c r="AC1307" i="16"/>
  <c r="AD1307" i="16" s="1"/>
  <c r="AC1300" i="16"/>
  <c r="AD1300" i="16" s="1"/>
  <c r="AC1293" i="16"/>
  <c r="AD1293" i="16" s="1"/>
  <c r="AC1286" i="16"/>
  <c r="AD1286" i="16" s="1"/>
  <c r="AC1261" i="16"/>
  <c r="AD1261" i="16" s="1"/>
  <c r="AC1254" i="16"/>
  <c r="AD1254" i="16" s="1"/>
  <c r="AC1243" i="16"/>
  <c r="AD1243" i="16" s="1"/>
  <c r="AC1236" i="16"/>
  <c r="AD1236" i="16" s="1"/>
  <c r="AC1229" i="16"/>
  <c r="AD1229" i="16" s="1"/>
  <c r="AC1222" i="16"/>
  <c r="AD1222" i="16" s="1"/>
  <c r="AC1211" i="16"/>
  <c r="AD1211" i="16" s="1"/>
  <c r="AC1204" i="16"/>
  <c r="AD1204" i="16" s="1"/>
  <c r="AC1197" i="16"/>
  <c r="AD1197" i="16" s="1"/>
  <c r="AC1190" i="16"/>
  <c r="AD1190" i="16" s="1"/>
  <c r="AC1182" i="16"/>
  <c r="AD1182" i="16" s="1"/>
  <c r="AC1174" i="16"/>
  <c r="AD1174" i="16" s="1"/>
  <c r="AC1166" i="16"/>
  <c r="AD1166" i="16" s="1"/>
  <c r="AC1158" i="16"/>
  <c r="AD1158" i="16" s="1"/>
  <c r="AC1150" i="16"/>
  <c r="AD1150" i="16" s="1"/>
  <c r="AC1145" i="16"/>
  <c r="AD1145" i="16" s="1"/>
  <c r="AC1141" i="16"/>
  <c r="AD1141" i="16" s="1"/>
  <c r="AC1137" i="16"/>
  <c r="AD1137" i="16" s="1"/>
  <c r="AC1133" i="16"/>
  <c r="AD1133" i="16" s="1"/>
  <c r="AC1129" i="16"/>
  <c r="AD1129" i="16" s="1"/>
  <c r="AC1125" i="16"/>
  <c r="AD1125" i="16" s="1"/>
  <c r="AC1121" i="16"/>
  <c r="AD1121" i="16" s="1"/>
  <c r="AC1117" i="16"/>
  <c r="AD1117" i="16" s="1"/>
  <c r="AC1113" i="16"/>
  <c r="AD1113" i="16" s="1"/>
  <c r="AC1109" i="16"/>
  <c r="AD1109" i="16" s="1"/>
  <c r="AC1105" i="16"/>
  <c r="AD1105" i="16" s="1"/>
  <c r="AC1101" i="16"/>
  <c r="AD1101" i="16" s="1"/>
  <c r="AC1097" i="16"/>
  <c r="AD1097" i="16" s="1"/>
  <c r="AC1093" i="16"/>
  <c r="AD1093" i="16" s="1"/>
  <c r="AC1089" i="16"/>
  <c r="AD1089" i="16" s="1"/>
  <c r="AC1086" i="16"/>
  <c r="AD1086" i="16" s="1"/>
  <c r="AC1084" i="16"/>
  <c r="AD1084" i="16" s="1"/>
  <c r="AC1082" i="16"/>
  <c r="AD1082" i="16" s="1"/>
  <c r="AC1080" i="16"/>
  <c r="AD1080" i="16" s="1"/>
  <c r="AC1078" i="16"/>
  <c r="AD1078" i="16" s="1"/>
  <c r="AC1076" i="16"/>
  <c r="AD1076" i="16" s="1"/>
  <c r="AC1074" i="16"/>
  <c r="AD1074" i="16" s="1"/>
  <c r="AC1072" i="16"/>
  <c r="AD1072" i="16" s="1"/>
  <c r="AC1070" i="16"/>
  <c r="AD1070" i="16" s="1"/>
  <c r="AC1068" i="16"/>
  <c r="AD1068" i="16" s="1"/>
  <c r="AC1066" i="16"/>
  <c r="AD1066" i="16" s="1"/>
  <c r="AC1064" i="16"/>
  <c r="AD1064" i="16" s="1"/>
  <c r="AC1062" i="16"/>
  <c r="AD1062" i="16" s="1"/>
  <c r="AC1060" i="16"/>
  <c r="AD1060" i="16" s="1"/>
  <c r="AC1058" i="16"/>
  <c r="AD1058" i="16" s="1"/>
  <c r="AC1056" i="16"/>
  <c r="AD1056" i="16" s="1"/>
  <c r="AC1054" i="16"/>
  <c r="AD1054" i="16" s="1"/>
  <c r="AC1052" i="16"/>
  <c r="AD1052" i="16" s="1"/>
  <c r="AC1050" i="16"/>
  <c r="AD1050" i="16" s="1"/>
  <c r="AC1048" i="16"/>
  <c r="AD1048" i="16" s="1"/>
  <c r="AC1046" i="16"/>
  <c r="AD1046" i="16" s="1"/>
  <c r="AC1044" i="16"/>
  <c r="AD1044" i="16" s="1"/>
  <c r="AC1042" i="16"/>
  <c r="AD1042" i="16" s="1"/>
  <c r="AC1040" i="16"/>
  <c r="AD1040" i="16" s="1"/>
  <c r="AC1038" i="16"/>
  <c r="AD1038" i="16" s="1"/>
  <c r="AC1036" i="16"/>
  <c r="AD1036" i="16" s="1"/>
  <c r="AC1034" i="16"/>
  <c r="AD1034" i="16" s="1"/>
  <c r="AC1032" i="16"/>
  <c r="AD1032" i="16" s="1"/>
  <c r="AC1030" i="16"/>
  <c r="AD1030" i="16" s="1"/>
  <c r="AC1028" i="16"/>
  <c r="AD1028" i="16" s="1"/>
  <c r="AC1026" i="16"/>
  <c r="AD1026" i="16" s="1"/>
  <c r="AC1024" i="16"/>
  <c r="AD1024" i="16" s="1"/>
  <c r="AC1022" i="16"/>
  <c r="AD1022" i="16" s="1"/>
  <c r="AC1020" i="16"/>
  <c r="AD1020" i="16" s="1"/>
  <c r="AC1018" i="16"/>
  <c r="AD1018" i="16" s="1"/>
  <c r="AC1016" i="16"/>
  <c r="AD1016" i="16" s="1"/>
  <c r="AC1014" i="16"/>
  <c r="AD1014" i="16" s="1"/>
  <c r="AC1012" i="16"/>
  <c r="AD1012" i="16" s="1"/>
  <c r="AC1010" i="16"/>
  <c r="AD1010" i="16" s="1"/>
  <c r="AC1008" i="16"/>
  <c r="AD1008" i="16" s="1"/>
  <c r="AC1006" i="16"/>
  <c r="AD1006" i="16" s="1"/>
  <c r="AC1004" i="16"/>
  <c r="AD1004" i="16" s="1"/>
  <c r="AC1001" i="16"/>
  <c r="AD1001" i="16" s="1"/>
  <c r="AC997" i="16"/>
  <c r="AD997" i="16" s="1"/>
  <c r="AC993" i="16"/>
  <c r="AD993" i="16" s="1"/>
  <c r="AC989" i="16"/>
  <c r="AD989" i="16" s="1"/>
  <c r="AC985" i="16"/>
  <c r="AD985" i="16" s="1"/>
  <c r="AC981" i="16"/>
  <c r="AD981" i="16" s="1"/>
  <c r="AC977" i="16"/>
  <c r="AD977" i="16" s="1"/>
  <c r="AC973" i="16"/>
  <c r="AD973" i="16" s="1"/>
  <c r="AC969" i="16"/>
  <c r="AD969" i="16" s="1"/>
  <c r="AC965" i="16"/>
  <c r="AD965" i="16" s="1"/>
  <c r="AC961" i="16"/>
  <c r="AD961" i="16" s="1"/>
  <c r="AC957" i="16"/>
  <c r="AD957" i="16" s="1"/>
  <c r="AC844" i="16"/>
  <c r="AD844" i="16" s="1"/>
  <c r="AC839" i="16"/>
  <c r="AD839" i="16" s="1"/>
  <c r="AC836" i="16"/>
  <c r="AD836" i="16" s="1"/>
  <c r="AC1628" i="16"/>
  <c r="AD1628" i="16" s="1"/>
  <c r="AC1619" i="16"/>
  <c r="AD1619" i="16" s="1"/>
  <c r="AC1611" i="16"/>
  <c r="AD1611" i="16" s="1"/>
  <c r="AC1602" i="16"/>
  <c r="AD1602" i="16" s="1"/>
  <c r="AC1594" i="16"/>
  <c r="AD1594" i="16" s="1"/>
  <c r="AC1577" i="16"/>
  <c r="AD1577" i="16" s="1"/>
  <c r="AC1561" i="16"/>
  <c r="AD1561" i="16" s="1"/>
  <c r="AC1532" i="16"/>
  <c r="AD1532" i="16" s="1"/>
  <c r="AC1519" i="16"/>
  <c r="AD1519" i="16" s="1"/>
  <c r="AC1492" i="16"/>
  <c r="AD1492" i="16" s="1"/>
  <c r="AC1479" i="16"/>
  <c r="AD1479" i="16" s="1"/>
  <c r="AC1463" i="16"/>
  <c r="AD1463" i="16" s="1"/>
  <c r="AC1447" i="16"/>
  <c r="AD1447" i="16" s="1"/>
  <c r="AC1440" i="16"/>
  <c r="AD1440" i="16" s="1"/>
  <c r="AC1433" i="16"/>
  <c r="AD1433" i="16" s="1"/>
  <c r="AC1426" i="16"/>
  <c r="AD1426" i="16" s="1"/>
  <c r="AC1419" i="16"/>
  <c r="AD1419" i="16" s="1"/>
  <c r="AC1412" i="16"/>
  <c r="AD1412" i="16" s="1"/>
  <c r="AC1369" i="16"/>
  <c r="AD1369" i="16" s="1"/>
  <c r="AC1362" i="16"/>
  <c r="AD1362" i="16" s="1"/>
  <c r="AC1355" i="16"/>
  <c r="AD1355" i="16" s="1"/>
  <c r="AC1348" i="16"/>
  <c r="AD1348" i="16" s="1"/>
  <c r="AC1291" i="16"/>
  <c r="AD1291" i="16" s="1"/>
  <c r="AC1284" i="16"/>
  <c r="AD1284" i="16" s="1"/>
  <c r="AC1277" i="16"/>
  <c r="AD1277" i="16" s="1"/>
  <c r="AC1270" i="16"/>
  <c r="AD1270" i="16" s="1"/>
  <c r="AC1264" i="16"/>
  <c r="AD1264" i="16" s="1"/>
  <c r="AC1257" i="16"/>
  <c r="AD1257" i="16" s="1"/>
  <c r="AC1250" i="16"/>
  <c r="AD1250" i="16" s="1"/>
  <c r="AC1239" i="16"/>
  <c r="AD1239" i="16" s="1"/>
  <c r="AC1232" i="16"/>
  <c r="AD1232" i="16" s="1"/>
  <c r="AC1225" i="16"/>
  <c r="AD1225" i="16" s="1"/>
  <c r="AC1218" i="16"/>
  <c r="AD1218" i="16" s="1"/>
  <c r="AC1207" i="16"/>
  <c r="AD1207" i="16" s="1"/>
  <c r="AC1200" i="16"/>
  <c r="AD1200" i="16" s="1"/>
  <c r="AC1193" i="16"/>
  <c r="AD1193" i="16" s="1"/>
  <c r="AC1187" i="16"/>
  <c r="AD1187" i="16" s="1"/>
  <c r="AC1179" i="16"/>
  <c r="AD1179" i="16" s="1"/>
  <c r="AC1171" i="16"/>
  <c r="AD1171" i="16" s="1"/>
  <c r="AC1163" i="16"/>
  <c r="AD1163" i="16" s="1"/>
  <c r="AC1155" i="16"/>
  <c r="AD1155" i="16" s="1"/>
  <c r="AC1146" i="16"/>
  <c r="AD1146" i="16" s="1"/>
  <c r="AC1142" i="16"/>
  <c r="AD1142" i="16" s="1"/>
  <c r="AC1138" i="16"/>
  <c r="AD1138" i="16" s="1"/>
  <c r="AC1134" i="16"/>
  <c r="AD1134" i="16" s="1"/>
  <c r="AC1130" i="16"/>
  <c r="AD1130" i="16" s="1"/>
  <c r="AC1126" i="16"/>
  <c r="AD1126" i="16" s="1"/>
  <c r="AC1122" i="16"/>
  <c r="AD1122" i="16" s="1"/>
  <c r="AC1118" i="16"/>
  <c r="AD1118" i="16" s="1"/>
  <c r="AC1114" i="16"/>
  <c r="AD1114" i="16" s="1"/>
  <c r="AC1110" i="16"/>
  <c r="AD1110" i="16" s="1"/>
  <c r="AC1106" i="16"/>
  <c r="AD1106" i="16" s="1"/>
  <c r="AC1102" i="16"/>
  <c r="AD1102" i="16" s="1"/>
  <c r="AC1098" i="16"/>
  <c r="AD1098" i="16" s="1"/>
  <c r="AC1094" i="16"/>
  <c r="AD1094" i="16" s="1"/>
  <c r="AC1090" i="16"/>
  <c r="AD1090" i="16" s="1"/>
  <c r="AC1002" i="16"/>
  <c r="AD1002" i="16" s="1"/>
  <c r="AC998" i="16"/>
  <c r="AD998" i="16" s="1"/>
  <c r="AC994" i="16"/>
  <c r="AD994" i="16" s="1"/>
  <c r="AC990" i="16"/>
  <c r="AD990" i="16" s="1"/>
  <c r="AC986" i="16"/>
  <c r="AD986" i="16" s="1"/>
  <c r="AC982" i="16"/>
  <c r="AD982" i="16" s="1"/>
  <c r="AC978" i="16"/>
  <c r="AD978" i="16" s="1"/>
  <c r="AC974" i="16"/>
  <c r="AD974" i="16" s="1"/>
  <c r="AC970" i="16"/>
  <c r="AD970" i="16" s="1"/>
  <c r="AC966" i="16"/>
  <c r="AD966" i="16" s="1"/>
  <c r="AC962" i="16"/>
  <c r="AD962" i="16" s="1"/>
  <c r="AC958" i="16"/>
  <c r="AD958" i="16" s="1"/>
  <c r="AC955" i="16"/>
  <c r="AD955" i="16" s="1"/>
  <c r="AC953" i="16"/>
  <c r="AD953" i="16" s="1"/>
  <c r="AC951" i="16"/>
  <c r="AD951" i="16" s="1"/>
  <c r="AC949" i="16"/>
  <c r="AD949" i="16" s="1"/>
  <c r="AC947" i="16"/>
  <c r="AD947" i="16" s="1"/>
  <c r="AC945" i="16"/>
  <c r="AD945" i="16" s="1"/>
  <c r="AC943" i="16"/>
  <c r="AD943" i="16" s="1"/>
  <c r="AC941" i="16"/>
  <c r="AD941" i="16" s="1"/>
  <c r="AC939" i="16"/>
  <c r="AD939" i="16" s="1"/>
  <c r="AC937" i="16"/>
  <c r="AD937" i="16" s="1"/>
  <c r="AC935" i="16"/>
  <c r="AD935" i="16" s="1"/>
  <c r="AC933" i="16"/>
  <c r="AD933" i="16" s="1"/>
  <c r="AC931" i="16"/>
  <c r="AD931" i="16" s="1"/>
  <c r="AC929" i="16"/>
  <c r="AD929" i="16" s="1"/>
  <c r="AC927" i="16"/>
  <c r="AD927" i="16" s="1"/>
  <c r="AC925" i="16"/>
  <c r="AD925" i="16" s="1"/>
  <c r="AC923" i="16"/>
  <c r="AD923" i="16" s="1"/>
  <c r="AC921" i="16"/>
  <c r="AD921" i="16" s="1"/>
  <c r="AC919" i="16"/>
  <c r="AD919" i="16" s="1"/>
  <c r="AC917" i="16"/>
  <c r="AD917" i="16" s="1"/>
  <c r="AC915" i="16"/>
  <c r="AD915" i="16" s="1"/>
  <c r="AC913" i="16"/>
  <c r="AD913" i="16" s="1"/>
  <c r="AC911" i="16"/>
  <c r="AD911" i="16" s="1"/>
  <c r="AC909" i="16"/>
  <c r="AD909" i="16" s="1"/>
  <c r="AC907" i="16"/>
  <c r="AD907" i="16" s="1"/>
  <c r="AC905" i="16"/>
  <c r="AD905" i="16" s="1"/>
  <c r="AC903" i="16"/>
  <c r="AD903" i="16" s="1"/>
  <c r="AC901" i="16"/>
  <c r="AD901" i="16" s="1"/>
  <c r="AC899" i="16"/>
  <c r="AD899" i="16" s="1"/>
  <c r="AC897" i="16"/>
  <c r="AD897" i="16" s="1"/>
  <c r="AC895" i="16"/>
  <c r="AD895" i="16" s="1"/>
  <c r="AC893" i="16"/>
  <c r="AD893" i="16" s="1"/>
  <c r="AC891" i="16"/>
  <c r="AD891" i="16" s="1"/>
  <c r="AC889" i="16"/>
  <c r="AD889" i="16" s="1"/>
  <c r="AC887" i="16"/>
  <c r="AD887" i="16" s="1"/>
  <c r="AC885" i="16"/>
  <c r="AD885" i="16" s="1"/>
  <c r="AC883" i="16"/>
  <c r="AD883" i="16" s="1"/>
  <c r="AC881" i="16"/>
  <c r="AD881" i="16" s="1"/>
  <c r="AC879" i="16"/>
  <c r="AD879" i="16" s="1"/>
  <c r="AC877" i="16"/>
  <c r="AD877" i="16" s="1"/>
  <c r="AC875" i="16"/>
  <c r="AD875" i="16" s="1"/>
  <c r="AC873" i="16"/>
  <c r="AD873" i="16" s="1"/>
  <c r="AC871" i="16"/>
  <c r="AD871" i="16" s="1"/>
  <c r="AC869" i="16"/>
  <c r="AD869" i="16" s="1"/>
  <c r="AC867" i="16"/>
  <c r="AD867" i="16" s="1"/>
  <c r="AC865" i="16"/>
  <c r="AD865" i="16" s="1"/>
  <c r="AC863" i="16"/>
  <c r="AD863" i="16" s="1"/>
  <c r="AC861" i="16"/>
  <c r="AD861" i="16" s="1"/>
  <c r="AC859" i="16"/>
  <c r="AD859" i="16" s="1"/>
  <c r="AC857" i="16"/>
  <c r="AD857" i="16" s="1"/>
  <c r="AC855" i="16"/>
  <c r="AD855" i="16" s="1"/>
  <c r="AC853" i="16"/>
  <c r="AD853" i="16" s="1"/>
  <c r="AC851" i="16"/>
  <c r="AD851" i="16" s="1"/>
  <c r="AC849" i="16"/>
  <c r="AD849" i="16" s="1"/>
  <c r="AC847" i="16"/>
  <c r="AD847" i="16" s="1"/>
  <c r="AC845" i="16"/>
  <c r="AD845" i="16" s="1"/>
  <c r="AC842" i="16"/>
  <c r="AD842" i="16" s="1"/>
  <c r="AC837" i="16"/>
  <c r="AD837" i="16" s="1"/>
  <c r="AC834" i="16"/>
  <c r="AD834" i="16" s="1"/>
  <c r="AC832" i="16"/>
  <c r="AD832" i="16" s="1"/>
  <c r="AC830" i="16"/>
  <c r="AD830" i="16" s="1"/>
  <c r="AC828" i="16"/>
  <c r="AD828" i="16" s="1"/>
  <c r="AC826" i="16"/>
  <c r="AD826" i="16" s="1"/>
  <c r="AC824" i="16"/>
  <c r="AD824" i="16" s="1"/>
  <c r="AC822" i="16"/>
  <c r="AD822" i="16" s="1"/>
  <c r="AC820" i="16"/>
  <c r="AD820" i="16" s="1"/>
  <c r="AC818" i="16"/>
  <c r="AD818" i="16" s="1"/>
  <c r="AC816" i="16"/>
  <c r="AD816" i="16" s="1"/>
  <c r="AC814" i="16"/>
  <c r="AD814" i="16" s="1"/>
  <c r="AC812" i="16"/>
  <c r="AD812" i="16" s="1"/>
  <c r="AC810" i="16"/>
  <c r="AD810" i="16" s="1"/>
  <c r="AC808" i="16"/>
  <c r="AD808" i="16" s="1"/>
  <c r="AC806" i="16"/>
  <c r="AD806" i="16" s="1"/>
  <c r="AC804" i="16"/>
  <c r="AD804" i="16" s="1"/>
  <c r="AC802" i="16"/>
  <c r="AD802" i="16" s="1"/>
  <c r="AC800" i="16"/>
  <c r="AD800" i="16" s="1"/>
  <c r="AC798" i="16"/>
  <c r="AD798" i="16" s="1"/>
  <c r="AC796" i="16"/>
  <c r="AD796" i="16" s="1"/>
  <c r="AC794" i="16"/>
  <c r="AD794" i="16" s="1"/>
  <c r="AC792" i="16"/>
  <c r="AD792" i="16" s="1"/>
  <c r="AC790" i="16"/>
  <c r="AD790" i="16" s="1"/>
  <c r="AC788" i="16"/>
  <c r="AD788" i="16" s="1"/>
  <c r="AC786" i="16"/>
  <c r="AD786" i="16" s="1"/>
  <c r="AC784" i="16"/>
  <c r="AD784" i="16" s="1"/>
  <c r="AC782" i="16"/>
  <c r="AD782" i="16" s="1"/>
  <c r="AC780" i="16"/>
  <c r="AD780" i="16" s="1"/>
  <c r="AC778" i="16"/>
  <c r="AD778" i="16" s="1"/>
  <c r="AC1626" i="16"/>
  <c r="AD1626" i="16" s="1"/>
  <c r="AC1600" i="16"/>
  <c r="AD1600" i="16" s="1"/>
  <c r="AC1592" i="16"/>
  <c r="AD1592" i="16" s="1"/>
  <c r="AC1567" i="16"/>
  <c r="AD1567" i="16" s="1"/>
  <c r="AC1559" i="16"/>
  <c r="AD1559" i="16" s="1"/>
  <c r="AC1536" i="16"/>
  <c r="AD1536" i="16" s="1"/>
  <c r="AC1524" i="16"/>
  <c r="AD1524" i="16" s="1"/>
  <c r="AC1504" i="16"/>
  <c r="AD1504" i="16" s="1"/>
  <c r="AC1497" i="16"/>
  <c r="AD1497" i="16" s="1"/>
  <c r="AC1490" i="16"/>
  <c r="AD1490" i="16" s="1"/>
  <c r="AC1467" i="16"/>
  <c r="AD1467" i="16" s="1"/>
  <c r="AC1451" i="16"/>
  <c r="AD1451" i="16" s="1"/>
  <c r="AC1445" i="16"/>
  <c r="AD1445" i="16" s="1"/>
  <c r="AC1417" i="16"/>
  <c r="AD1417" i="16" s="1"/>
  <c r="AC1410" i="16"/>
  <c r="AD1410" i="16" s="1"/>
  <c r="AC1403" i="16"/>
  <c r="AD1403" i="16" s="1"/>
  <c r="AC1396" i="16"/>
  <c r="AD1396" i="16" s="1"/>
  <c r="AC1353" i="16"/>
  <c r="AD1353" i="16" s="1"/>
  <c r="AC1346" i="16"/>
  <c r="AD1346" i="16" s="1"/>
  <c r="AC1339" i="16"/>
  <c r="AD1339" i="16" s="1"/>
  <c r="AC1332" i="16"/>
  <c r="AD1332" i="16" s="1"/>
  <c r="AC1325" i="16"/>
  <c r="AD1325" i="16" s="1"/>
  <c r="AC1318" i="16"/>
  <c r="AD1318" i="16" s="1"/>
  <c r="AC1275" i="16"/>
  <c r="AD1275" i="16" s="1"/>
  <c r="AC1268" i="16"/>
  <c r="AD1268" i="16" s="1"/>
  <c r="AC1259" i="16"/>
  <c r="AD1259" i="16" s="1"/>
  <c r="AC1252" i="16"/>
  <c r="AD1252" i="16" s="1"/>
  <c r="AC1245" i="16"/>
  <c r="AD1245" i="16" s="1"/>
  <c r="AC1238" i="16"/>
  <c r="AD1238" i="16" s="1"/>
  <c r="AC1227" i="16"/>
  <c r="AD1227" i="16" s="1"/>
  <c r="AC1220" i="16"/>
  <c r="AD1220" i="16" s="1"/>
  <c r="AC1213" i="16"/>
  <c r="AD1213" i="16" s="1"/>
  <c r="AC1206" i="16"/>
  <c r="AD1206" i="16" s="1"/>
  <c r="AC1178" i="16"/>
  <c r="AD1178" i="16" s="1"/>
  <c r="AC1147" i="16"/>
  <c r="AD1147" i="16" s="1"/>
  <c r="AC1131" i="16"/>
  <c r="AD1131" i="16" s="1"/>
  <c r="AC1115" i="16"/>
  <c r="AD1115" i="16" s="1"/>
  <c r="AC1099" i="16"/>
  <c r="AD1099" i="16" s="1"/>
  <c r="AC1087" i="16"/>
  <c r="AD1087" i="16" s="1"/>
  <c r="AC1079" i="16"/>
  <c r="AD1079" i="16" s="1"/>
  <c r="AC1071" i="16"/>
  <c r="AD1071" i="16" s="1"/>
  <c r="AC1063" i="16"/>
  <c r="AD1063" i="16" s="1"/>
  <c r="AC1055" i="16"/>
  <c r="AD1055" i="16" s="1"/>
  <c r="AC1047" i="16"/>
  <c r="AD1047" i="16" s="1"/>
  <c r="AC1039" i="16"/>
  <c r="AD1039" i="16" s="1"/>
  <c r="AC1031" i="16"/>
  <c r="AD1031" i="16" s="1"/>
  <c r="AC1023" i="16"/>
  <c r="AD1023" i="16" s="1"/>
  <c r="AC1015" i="16"/>
  <c r="AD1015" i="16" s="1"/>
  <c r="AC1007" i="16"/>
  <c r="AD1007" i="16" s="1"/>
  <c r="AC995" i="16"/>
  <c r="AD995" i="16" s="1"/>
  <c r="AC979" i="16"/>
  <c r="AD979" i="16" s="1"/>
  <c r="AC963" i="16"/>
  <c r="AD963" i="16" s="1"/>
  <c r="AC835" i="16"/>
  <c r="AD835" i="16" s="1"/>
  <c r="AC776" i="16"/>
  <c r="AD776" i="16" s="1"/>
  <c r="AC771" i="16"/>
  <c r="AD771" i="16" s="1"/>
  <c r="AC768" i="16"/>
  <c r="AD768" i="16" s="1"/>
  <c r="AC763" i="16"/>
  <c r="AD763" i="16" s="1"/>
  <c r="AC760" i="16"/>
  <c r="AD760" i="16" s="1"/>
  <c r="AC755" i="16"/>
  <c r="AD755" i="16" s="1"/>
  <c r="AC752" i="16"/>
  <c r="AD752" i="16" s="1"/>
  <c r="AC747" i="16"/>
  <c r="AD747" i="16" s="1"/>
  <c r="AC744" i="16"/>
  <c r="AD744" i="16" s="1"/>
  <c r="AC458" i="16"/>
  <c r="AD458" i="16" s="1"/>
  <c r="AC454" i="16"/>
  <c r="AD454" i="16" s="1"/>
  <c r="AC450" i="16"/>
  <c r="AD450" i="16" s="1"/>
  <c r="AC446" i="16"/>
  <c r="AD446" i="16" s="1"/>
  <c r="AC442" i="16"/>
  <c r="AD442" i="16" s="1"/>
  <c r="AC438" i="16"/>
  <c r="AD438" i="16" s="1"/>
  <c r="AC435" i="16"/>
  <c r="AD435" i="16" s="1"/>
  <c r="AC433" i="16"/>
  <c r="AD433" i="16" s="1"/>
  <c r="AC431" i="16"/>
  <c r="AD431" i="16" s="1"/>
  <c r="AC429" i="16"/>
  <c r="AD429" i="16" s="1"/>
  <c r="AC427" i="16"/>
  <c r="AD427" i="16" s="1"/>
  <c r="AC425" i="16"/>
  <c r="AD425" i="16" s="1"/>
  <c r="AC423" i="16"/>
  <c r="AD423" i="16" s="1"/>
  <c r="AC421" i="16"/>
  <c r="AD421" i="16" s="1"/>
  <c r="AC419" i="16"/>
  <c r="AD419" i="16" s="1"/>
  <c r="AC417" i="16"/>
  <c r="AD417" i="16" s="1"/>
  <c r="AC415" i="16"/>
  <c r="AD415" i="16" s="1"/>
  <c r="AC413" i="16"/>
  <c r="AD413" i="16" s="1"/>
  <c r="AC411" i="16"/>
  <c r="AD411" i="16" s="1"/>
  <c r="AC409" i="16"/>
  <c r="AD409" i="16" s="1"/>
  <c r="AC407" i="16"/>
  <c r="AD407" i="16" s="1"/>
  <c r="AC405" i="16"/>
  <c r="AD405" i="16" s="1"/>
  <c r="AC403" i="16"/>
  <c r="AD403" i="16" s="1"/>
  <c r="AC401" i="16"/>
  <c r="AD401" i="16" s="1"/>
  <c r="AC399" i="16"/>
  <c r="AD399" i="16" s="1"/>
  <c r="AC397" i="16"/>
  <c r="AD397" i="16" s="1"/>
  <c r="AC395" i="16"/>
  <c r="AD395" i="16" s="1"/>
  <c r="AC393" i="16"/>
  <c r="AD393" i="16" s="1"/>
  <c r="AC391" i="16"/>
  <c r="AD391" i="16" s="1"/>
  <c r="AC389" i="16"/>
  <c r="AD389" i="16" s="1"/>
  <c r="AC387" i="16"/>
  <c r="AD387" i="16" s="1"/>
  <c r="AC385" i="16"/>
  <c r="AD385" i="16" s="1"/>
  <c r="AC383" i="16"/>
  <c r="AD383" i="16" s="1"/>
  <c r="AC381" i="16"/>
  <c r="AD381" i="16" s="1"/>
  <c r="AC379" i="16"/>
  <c r="AD379" i="16" s="1"/>
  <c r="AC377" i="16"/>
  <c r="AD377" i="16" s="1"/>
  <c r="AC375" i="16"/>
  <c r="AD375" i="16" s="1"/>
  <c r="AC373" i="16"/>
  <c r="AD373" i="16" s="1"/>
  <c r="AC371" i="16"/>
  <c r="AD371" i="16" s="1"/>
  <c r="AC369" i="16"/>
  <c r="AD369" i="16" s="1"/>
  <c r="AC367" i="16"/>
  <c r="AD367" i="16" s="1"/>
  <c r="AC365" i="16"/>
  <c r="AD365" i="16" s="1"/>
  <c r="AC363" i="16"/>
  <c r="AD363" i="16" s="1"/>
  <c r="AC361" i="16"/>
  <c r="AD361" i="16" s="1"/>
  <c r="AC359" i="16"/>
  <c r="AD359" i="16" s="1"/>
  <c r="AC357" i="16"/>
  <c r="AD357" i="16" s="1"/>
  <c r="AC355" i="16"/>
  <c r="AD355" i="16" s="1"/>
  <c r="AC353" i="16"/>
  <c r="AD353" i="16" s="1"/>
  <c r="AC351" i="16"/>
  <c r="AD351" i="16" s="1"/>
  <c r="AC349" i="16"/>
  <c r="AD349" i="16" s="1"/>
  <c r="AC347" i="16"/>
  <c r="AD347" i="16" s="1"/>
  <c r="AC345" i="16"/>
  <c r="AD345" i="16" s="1"/>
  <c r="AC343" i="16"/>
  <c r="AD343" i="16" s="1"/>
  <c r="AC341" i="16"/>
  <c r="AD341" i="16" s="1"/>
  <c r="AC339" i="16"/>
  <c r="AD339" i="16" s="1"/>
  <c r="AC337" i="16"/>
  <c r="AD337" i="16" s="1"/>
  <c r="AC335" i="16"/>
  <c r="AD335" i="16" s="1"/>
  <c r="AC333" i="16"/>
  <c r="AD333" i="16" s="1"/>
  <c r="AC331" i="16"/>
  <c r="AD331" i="16" s="1"/>
  <c r="AC329" i="16"/>
  <c r="AD329" i="16" s="1"/>
  <c r="AC327" i="16"/>
  <c r="AD327" i="16" s="1"/>
  <c r="AC325" i="16"/>
  <c r="AD325" i="16" s="1"/>
  <c r="AC323" i="16"/>
  <c r="AD323" i="16" s="1"/>
  <c r="AC321" i="16"/>
  <c r="AD321" i="16" s="1"/>
  <c r="AC319" i="16"/>
  <c r="AD319" i="16" s="1"/>
  <c r="AC317" i="16"/>
  <c r="AD317" i="16" s="1"/>
  <c r="AC315" i="16"/>
  <c r="AD315" i="16" s="1"/>
  <c r="AC313" i="16"/>
  <c r="AD313" i="16" s="1"/>
  <c r="AC311" i="16"/>
  <c r="AD311" i="16" s="1"/>
  <c r="AC309" i="16"/>
  <c r="AD309" i="16" s="1"/>
  <c r="AC307" i="16"/>
  <c r="AD307" i="16" s="1"/>
  <c r="AC305" i="16"/>
  <c r="AD305" i="16" s="1"/>
  <c r="AC303" i="16"/>
  <c r="AD303" i="16" s="1"/>
  <c r="AC301" i="16"/>
  <c r="AD301" i="16" s="1"/>
  <c r="AC299" i="16"/>
  <c r="AD299" i="16" s="1"/>
  <c r="AC297" i="16"/>
  <c r="AD297" i="16" s="1"/>
  <c r="AC295" i="16"/>
  <c r="AD295" i="16" s="1"/>
  <c r="AC293" i="16"/>
  <c r="AD293" i="16" s="1"/>
  <c r="AC291" i="16"/>
  <c r="AD291" i="16" s="1"/>
  <c r="AC1186" i="16"/>
  <c r="AD1186" i="16" s="1"/>
  <c r="AC1154" i="16"/>
  <c r="AD1154" i="16" s="1"/>
  <c r="AC1135" i="16"/>
  <c r="AD1135" i="16" s="1"/>
  <c r="AC1119" i="16"/>
  <c r="AD1119" i="16" s="1"/>
  <c r="AC1103" i="16"/>
  <c r="AD1103" i="16" s="1"/>
  <c r="AC1085" i="16"/>
  <c r="AD1085" i="16" s="1"/>
  <c r="AC1077" i="16"/>
  <c r="AD1077" i="16" s="1"/>
  <c r="AC1069" i="16"/>
  <c r="AD1069" i="16" s="1"/>
  <c r="AC1061" i="16"/>
  <c r="AD1061" i="16" s="1"/>
  <c r="AC1053" i="16"/>
  <c r="AD1053" i="16" s="1"/>
  <c r="AC1045" i="16"/>
  <c r="AD1045" i="16" s="1"/>
  <c r="AC1037" i="16"/>
  <c r="AD1037" i="16" s="1"/>
  <c r="AC1029" i="16"/>
  <c r="AD1029" i="16" s="1"/>
  <c r="AC1021" i="16"/>
  <c r="AD1021" i="16" s="1"/>
  <c r="AC1013" i="16"/>
  <c r="AD1013" i="16" s="1"/>
  <c r="AC1005" i="16"/>
  <c r="AD1005" i="16" s="1"/>
  <c r="AC999" i="16"/>
  <c r="AD999" i="16" s="1"/>
  <c r="AC983" i="16"/>
  <c r="AD983" i="16" s="1"/>
  <c r="AC967" i="16"/>
  <c r="AD967" i="16" s="1"/>
  <c r="AC841" i="16"/>
  <c r="AD841" i="16" s="1"/>
  <c r="AC838" i="16"/>
  <c r="AD838" i="16" s="1"/>
  <c r="AC831" i="16"/>
  <c r="AD831" i="16" s="1"/>
  <c r="AC827" i="16"/>
  <c r="AD827" i="16" s="1"/>
  <c r="AC823" i="16"/>
  <c r="AD823" i="16" s="1"/>
  <c r="AC819" i="16"/>
  <c r="AD819" i="16" s="1"/>
  <c r="AC815" i="16"/>
  <c r="AD815" i="16" s="1"/>
  <c r="AC811" i="16"/>
  <c r="AD811" i="16" s="1"/>
  <c r="AC807" i="16"/>
  <c r="AD807" i="16" s="1"/>
  <c r="AC803" i="16"/>
  <c r="AD803" i="16" s="1"/>
  <c r="AC799" i="16"/>
  <c r="AD799" i="16" s="1"/>
  <c r="AC795" i="16"/>
  <c r="AD795" i="16" s="1"/>
  <c r="AC791" i="16"/>
  <c r="AD791" i="16" s="1"/>
  <c r="AC787" i="16"/>
  <c r="AD787" i="16" s="1"/>
  <c r="AC783" i="16"/>
  <c r="AD783" i="16" s="1"/>
  <c r="AC779" i="16"/>
  <c r="AD779" i="16" s="1"/>
  <c r="AC773" i="16"/>
  <c r="AD773" i="16" s="1"/>
  <c r="AC770" i="16"/>
  <c r="AD770" i="16" s="1"/>
  <c r="AC765" i="16"/>
  <c r="AD765" i="16" s="1"/>
  <c r="AC762" i="16"/>
  <c r="AD762" i="16" s="1"/>
  <c r="AC757" i="16"/>
  <c r="AD757" i="16" s="1"/>
  <c r="AC754" i="16"/>
  <c r="AD754" i="16" s="1"/>
  <c r="AC749" i="16"/>
  <c r="AD749" i="16" s="1"/>
  <c r="AC746" i="16"/>
  <c r="AD746" i="16" s="1"/>
  <c r="AC741" i="16"/>
  <c r="AD741" i="16" s="1"/>
  <c r="AC739" i="16"/>
  <c r="AD739" i="16" s="1"/>
  <c r="AC737" i="16"/>
  <c r="AD737" i="16" s="1"/>
  <c r="AC735" i="16"/>
  <c r="AD735" i="16" s="1"/>
  <c r="AC733" i="16"/>
  <c r="AD733" i="16" s="1"/>
  <c r="AC731" i="16"/>
  <c r="AD731" i="16" s="1"/>
  <c r="AC729" i="16"/>
  <c r="AD729" i="16" s="1"/>
  <c r="AC727" i="16"/>
  <c r="AD727" i="16" s="1"/>
  <c r="AC725" i="16"/>
  <c r="AD725" i="16" s="1"/>
  <c r="AC723" i="16"/>
  <c r="AD723" i="16" s="1"/>
  <c r="AC721" i="16"/>
  <c r="AD721" i="16" s="1"/>
  <c r="AC719" i="16"/>
  <c r="AD719" i="16" s="1"/>
  <c r="AC717" i="16"/>
  <c r="AD717" i="16" s="1"/>
  <c r="AC715" i="16"/>
  <c r="AD715" i="16" s="1"/>
  <c r="AC713" i="16"/>
  <c r="AD713" i="16" s="1"/>
  <c r="AC711" i="16"/>
  <c r="AD711" i="16" s="1"/>
  <c r="AC709" i="16"/>
  <c r="AD709" i="16" s="1"/>
  <c r="AC707" i="16"/>
  <c r="AD707" i="16" s="1"/>
  <c r="AC705" i="16"/>
  <c r="AD705" i="16" s="1"/>
  <c r="AC703" i="16"/>
  <c r="AD703" i="16" s="1"/>
  <c r="AC701" i="16"/>
  <c r="AD701" i="16" s="1"/>
  <c r="AC699" i="16"/>
  <c r="AD699" i="16" s="1"/>
  <c r="AC697" i="16"/>
  <c r="AD697" i="16" s="1"/>
  <c r="AC695" i="16"/>
  <c r="AD695" i="16" s="1"/>
  <c r="AC693" i="16"/>
  <c r="AD693" i="16" s="1"/>
  <c r="AC691" i="16"/>
  <c r="AD691" i="16" s="1"/>
  <c r="AC689" i="16"/>
  <c r="AD689" i="16" s="1"/>
  <c r="AC687" i="16"/>
  <c r="AD687" i="16" s="1"/>
  <c r="AC685" i="16"/>
  <c r="AD685" i="16" s="1"/>
  <c r="AC683" i="16"/>
  <c r="AD683" i="16" s="1"/>
  <c r="AC681" i="16"/>
  <c r="AD681" i="16" s="1"/>
  <c r="AC679" i="16"/>
  <c r="AD679" i="16" s="1"/>
  <c r="AC677" i="16"/>
  <c r="AD677" i="16" s="1"/>
  <c r="AC675" i="16"/>
  <c r="AD675" i="16" s="1"/>
  <c r="AC673" i="16"/>
  <c r="AD673" i="16" s="1"/>
  <c r="AC671" i="16"/>
  <c r="AD671" i="16" s="1"/>
  <c r="AC669" i="16"/>
  <c r="AD669" i="16" s="1"/>
  <c r="AC667" i="16"/>
  <c r="AD667" i="16" s="1"/>
  <c r="AC665" i="16"/>
  <c r="AD665" i="16" s="1"/>
  <c r="AC663" i="16"/>
  <c r="AD663" i="16" s="1"/>
  <c r="AC661" i="16"/>
  <c r="AD661" i="16" s="1"/>
  <c r="AC659" i="16"/>
  <c r="AD659" i="16" s="1"/>
  <c r="AC657" i="16"/>
  <c r="AD657" i="16" s="1"/>
  <c r="AC655" i="16"/>
  <c r="AD655" i="16" s="1"/>
  <c r="AC653" i="16"/>
  <c r="AD653" i="16" s="1"/>
  <c r="AC651" i="16"/>
  <c r="AD651" i="16" s="1"/>
  <c r="AC649" i="16"/>
  <c r="AD649" i="16" s="1"/>
  <c r="AC647" i="16"/>
  <c r="AD647" i="16" s="1"/>
  <c r="AC645" i="16"/>
  <c r="AD645" i="16" s="1"/>
  <c r="AC643" i="16"/>
  <c r="AD643" i="16" s="1"/>
  <c r="AC641" i="16"/>
  <c r="AD641" i="16" s="1"/>
  <c r="AC639" i="16"/>
  <c r="AD639" i="16" s="1"/>
  <c r="AC637" i="16"/>
  <c r="AD637" i="16" s="1"/>
  <c r="AC635" i="16"/>
  <c r="AD635" i="16" s="1"/>
  <c r="AC633" i="16"/>
  <c r="AD633" i="16" s="1"/>
  <c r="AC631" i="16"/>
  <c r="AD631" i="16" s="1"/>
  <c r="AC629" i="16"/>
  <c r="AD629" i="16" s="1"/>
  <c r="AC627" i="16"/>
  <c r="AD627" i="16" s="1"/>
  <c r="AC625" i="16"/>
  <c r="AD625" i="16" s="1"/>
  <c r="AC623" i="16"/>
  <c r="AD623" i="16" s="1"/>
  <c r="AC621" i="16"/>
  <c r="AD621" i="16" s="1"/>
  <c r="AC619" i="16"/>
  <c r="AD619" i="16" s="1"/>
  <c r="AC617" i="16"/>
  <c r="AD617" i="16" s="1"/>
  <c r="AC615" i="16"/>
  <c r="AD615" i="16" s="1"/>
  <c r="AC613" i="16"/>
  <c r="AD613" i="16" s="1"/>
  <c r="AC611" i="16"/>
  <c r="AD611" i="16" s="1"/>
  <c r="AC609" i="16"/>
  <c r="AD609" i="16" s="1"/>
  <c r="AC607" i="16"/>
  <c r="AD607" i="16" s="1"/>
  <c r="AC605" i="16"/>
  <c r="AD605" i="16" s="1"/>
  <c r="AC603" i="16"/>
  <c r="AD603" i="16" s="1"/>
  <c r="AC601" i="16"/>
  <c r="AD601" i="16" s="1"/>
  <c r="AC599" i="16"/>
  <c r="AD599" i="16" s="1"/>
  <c r="AC597" i="16"/>
  <c r="AD597" i="16" s="1"/>
  <c r="AC595" i="16"/>
  <c r="AD595" i="16" s="1"/>
  <c r="AC593" i="16"/>
  <c r="AD593" i="16" s="1"/>
  <c r="AC591" i="16"/>
  <c r="AD591" i="16" s="1"/>
  <c r="AC589" i="16"/>
  <c r="AD589" i="16" s="1"/>
  <c r="AC587" i="16"/>
  <c r="AD587" i="16" s="1"/>
  <c r="AC585" i="16"/>
  <c r="AD585" i="16" s="1"/>
  <c r="AC583" i="16"/>
  <c r="AD583" i="16" s="1"/>
  <c r="AC581" i="16"/>
  <c r="AD581" i="16" s="1"/>
  <c r="AC579" i="16"/>
  <c r="AD579" i="16" s="1"/>
  <c r="AC577" i="16"/>
  <c r="AD577" i="16" s="1"/>
  <c r="AC575" i="16"/>
  <c r="AD575" i="16" s="1"/>
  <c r="AC573" i="16"/>
  <c r="AD573" i="16" s="1"/>
  <c r="AC571" i="16"/>
  <c r="AD571" i="16" s="1"/>
  <c r="AC569" i="16"/>
  <c r="AD569" i="16" s="1"/>
  <c r="AC567" i="16"/>
  <c r="AD567" i="16" s="1"/>
  <c r="AC565" i="16"/>
  <c r="AD565" i="16" s="1"/>
  <c r="AC563" i="16"/>
  <c r="AD563" i="16" s="1"/>
  <c r="AC561" i="16"/>
  <c r="AD561" i="16" s="1"/>
  <c r="AC559" i="16"/>
  <c r="AD559" i="16" s="1"/>
  <c r="AC557" i="16"/>
  <c r="AD557" i="16" s="1"/>
  <c r="AC555" i="16"/>
  <c r="AD555" i="16" s="1"/>
  <c r="AC553" i="16"/>
  <c r="AD553" i="16" s="1"/>
  <c r="AC551" i="16"/>
  <c r="AD551" i="16" s="1"/>
  <c r="AC549" i="16"/>
  <c r="AD549" i="16" s="1"/>
  <c r="AC547" i="16"/>
  <c r="AD547" i="16" s="1"/>
  <c r="AC544" i="16"/>
  <c r="AD544" i="16" s="1"/>
  <c r="AC542" i="16"/>
  <c r="AD542" i="16" s="1"/>
  <c r="AC540" i="16"/>
  <c r="AD540" i="16" s="1"/>
  <c r="AC538" i="16"/>
  <c r="AD538" i="16" s="1"/>
  <c r="AC536" i="16"/>
  <c r="AD536" i="16" s="1"/>
  <c r="AC534" i="16"/>
  <c r="AD534" i="16" s="1"/>
  <c r="AC532" i="16"/>
  <c r="AD532" i="16" s="1"/>
  <c r="AC530" i="16"/>
  <c r="AD530" i="16" s="1"/>
  <c r="AC528" i="16"/>
  <c r="AD528" i="16" s="1"/>
  <c r="AC526" i="16"/>
  <c r="AD526" i="16" s="1"/>
  <c r="AC524" i="16"/>
  <c r="AD524" i="16" s="1"/>
  <c r="AC522" i="16"/>
  <c r="AD522" i="16" s="1"/>
  <c r="AC520" i="16"/>
  <c r="AD520" i="16" s="1"/>
  <c r="AC518" i="16"/>
  <c r="AD518" i="16" s="1"/>
  <c r="AC516" i="16"/>
  <c r="AD516" i="16" s="1"/>
  <c r="AC514" i="16"/>
  <c r="AD514" i="16" s="1"/>
  <c r="AC512" i="16"/>
  <c r="AD512" i="16" s="1"/>
  <c r="AC510" i="16"/>
  <c r="AD510" i="16" s="1"/>
  <c r="AC508" i="16"/>
  <c r="AD508" i="16" s="1"/>
  <c r="AC506" i="16"/>
  <c r="AD506" i="16" s="1"/>
  <c r="AC504" i="16"/>
  <c r="AD504" i="16" s="1"/>
  <c r="AC502" i="16"/>
  <c r="AD502" i="16" s="1"/>
  <c r="AC500" i="16"/>
  <c r="AD500" i="16" s="1"/>
  <c r="AC498" i="16"/>
  <c r="AD498" i="16" s="1"/>
  <c r="AC496" i="16"/>
  <c r="AD496" i="16" s="1"/>
  <c r="AC494" i="16"/>
  <c r="AD494" i="16" s="1"/>
  <c r="AC492" i="16"/>
  <c r="AD492" i="16" s="1"/>
  <c r="AC490" i="16"/>
  <c r="AD490" i="16" s="1"/>
  <c r="AC488" i="16"/>
  <c r="AD488" i="16" s="1"/>
  <c r="AC486" i="16"/>
  <c r="AD486" i="16" s="1"/>
  <c r="AC484" i="16"/>
  <c r="AD484" i="16" s="1"/>
  <c r="AC482" i="16"/>
  <c r="AD482" i="16" s="1"/>
  <c r="AC480" i="16"/>
  <c r="AD480" i="16" s="1"/>
  <c r="AC478" i="16"/>
  <c r="AD478" i="16" s="1"/>
  <c r="AC476" i="16"/>
  <c r="AD476" i="16" s="1"/>
  <c r="AC474" i="16"/>
  <c r="AD474" i="16" s="1"/>
  <c r="AC472" i="16"/>
  <c r="AD472" i="16" s="1"/>
  <c r="AC470" i="16"/>
  <c r="AD470" i="16" s="1"/>
  <c r="AC468" i="16"/>
  <c r="AD468" i="16" s="1"/>
  <c r="AC466" i="16"/>
  <c r="AD466" i="16" s="1"/>
  <c r="AC464" i="16"/>
  <c r="AD464" i="16" s="1"/>
  <c r="AC462" i="16"/>
  <c r="AD462" i="16" s="1"/>
  <c r="AC459" i="16"/>
  <c r="AD459" i="16" s="1"/>
  <c r="AC455" i="16"/>
  <c r="AD455" i="16" s="1"/>
  <c r="AC451" i="16"/>
  <c r="AD451" i="16" s="1"/>
  <c r="AC447" i="16"/>
  <c r="AD447" i="16" s="1"/>
  <c r="AC443" i="16"/>
  <c r="AD443" i="16" s="1"/>
  <c r="AC439" i="16"/>
  <c r="AD439" i="16" s="1"/>
  <c r="AC289" i="16"/>
  <c r="AD289" i="16" s="1"/>
  <c r="AC287" i="16"/>
  <c r="AD287" i="16" s="1"/>
  <c r="AC285" i="16"/>
  <c r="AD285" i="16" s="1"/>
  <c r="AC283" i="16"/>
  <c r="AD283" i="16" s="1"/>
  <c r="AC281" i="16"/>
  <c r="AD281" i="16" s="1"/>
  <c r="AC279" i="16"/>
  <c r="AD279" i="16" s="1"/>
  <c r="AC277" i="16"/>
  <c r="AD277" i="16" s="1"/>
  <c r="AC275" i="16"/>
  <c r="AD275" i="16" s="1"/>
  <c r="AC273" i="16"/>
  <c r="AD273" i="16" s="1"/>
  <c r="AC271" i="16"/>
  <c r="AD271" i="16" s="1"/>
  <c r="AC269" i="16"/>
  <c r="AD269" i="16" s="1"/>
  <c r="AC267" i="16"/>
  <c r="AD267" i="16" s="1"/>
  <c r="AC265" i="16"/>
  <c r="AD265" i="16" s="1"/>
  <c r="AC263" i="16"/>
  <c r="AD263" i="16" s="1"/>
  <c r="AC261" i="16"/>
  <c r="AD261" i="16" s="1"/>
  <c r="AC259" i="16"/>
  <c r="AD259" i="16" s="1"/>
  <c r="AC257" i="16"/>
  <c r="AD257" i="16" s="1"/>
  <c r="AC255" i="16"/>
  <c r="AD255" i="16" s="1"/>
  <c r="AC253" i="16"/>
  <c r="AD253" i="16" s="1"/>
  <c r="AC251" i="16"/>
  <c r="AD251" i="16" s="1"/>
  <c r="AC249" i="16"/>
  <c r="AD249" i="16" s="1"/>
  <c r="AC247" i="16"/>
  <c r="AD247" i="16" s="1"/>
  <c r="AC245" i="16"/>
  <c r="AD245" i="16" s="1"/>
  <c r="AC243" i="16"/>
  <c r="AD243" i="16" s="1"/>
  <c r="AC241" i="16"/>
  <c r="AD241" i="16" s="1"/>
  <c r="AC239" i="16"/>
  <c r="AD239" i="16" s="1"/>
  <c r="AC237" i="16"/>
  <c r="AD237" i="16" s="1"/>
  <c r="AC235" i="16"/>
  <c r="AD235" i="16" s="1"/>
  <c r="AC233" i="16"/>
  <c r="AD233" i="16" s="1"/>
  <c r="AC231" i="16"/>
  <c r="AD231" i="16" s="1"/>
  <c r="AC229" i="16"/>
  <c r="AD229" i="16" s="1"/>
  <c r="AC227" i="16"/>
  <c r="AD227" i="16" s="1"/>
  <c r="AC225" i="16"/>
  <c r="AD225" i="16" s="1"/>
  <c r="AC223" i="16"/>
  <c r="AD223" i="16" s="1"/>
  <c r="AC221" i="16"/>
  <c r="AD221" i="16" s="1"/>
  <c r="AC219" i="16"/>
  <c r="AD219" i="16" s="1"/>
  <c r="AC217" i="16"/>
  <c r="AD217" i="16" s="1"/>
  <c r="AC215" i="16"/>
  <c r="AD215" i="16" s="1"/>
  <c r="AC213" i="16"/>
  <c r="AD213" i="16" s="1"/>
  <c r="AC211" i="16"/>
  <c r="AD211" i="16" s="1"/>
  <c r="AC209" i="16"/>
  <c r="AD209" i="16" s="1"/>
  <c r="AC207" i="16"/>
  <c r="AD207" i="16" s="1"/>
  <c r="AC205" i="16"/>
  <c r="AD205" i="16" s="1"/>
  <c r="AC203" i="16"/>
  <c r="AD203" i="16" s="1"/>
  <c r="AC201" i="16"/>
  <c r="AD201" i="16" s="1"/>
  <c r="AC199" i="16"/>
  <c r="AD199" i="16" s="1"/>
  <c r="AC197" i="16"/>
  <c r="AD197" i="16" s="1"/>
  <c r="AC195" i="16"/>
  <c r="AD195" i="16" s="1"/>
  <c r="AC193" i="16"/>
  <c r="AD193" i="16" s="1"/>
  <c r="AC191" i="16"/>
  <c r="AD191" i="16" s="1"/>
  <c r="AC189" i="16"/>
  <c r="AD189" i="16" s="1"/>
  <c r="AC187" i="16"/>
  <c r="AD187" i="16" s="1"/>
  <c r="AC185" i="16"/>
  <c r="AD185" i="16" s="1"/>
  <c r="AC183" i="16"/>
  <c r="AD183" i="16" s="1"/>
  <c r="AC181" i="16"/>
  <c r="AD181" i="16" s="1"/>
  <c r="AC179" i="16"/>
  <c r="AD179" i="16" s="1"/>
  <c r="AC177" i="16"/>
  <c r="AD177" i="16" s="1"/>
  <c r="AC175" i="16"/>
  <c r="AD175" i="16" s="1"/>
  <c r="AC173" i="16"/>
  <c r="AD173" i="16" s="1"/>
  <c r="AC171" i="16"/>
  <c r="AD171" i="16" s="1"/>
  <c r="AC169" i="16"/>
  <c r="AD169" i="16" s="1"/>
  <c r="AC167" i="16"/>
  <c r="AD167" i="16" s="1"/>
  <c r="AC165" i="16"/>
  <c r="AD165" i="16" s="1"/>
  <c r="AC163" i="16"/>
  <c r="AD163" i="16" s="1"/>
  <c r="AC161" i="16"/>
  <c r="AD161" i="16" s="1"/>
  <c r="AC159" i="16"/>
  <c r="AD159" i="16" s="1"/>
  <c r="AC157" i="16"/>
  <c r="AD157" i="16" s="1"/>
  <c r="AC155" i="16"/>
  <c r="AD155" i="16" s="1"/>
  <c r="AC153" i="16"/>
  <c r="AD153" i="16" s="1"/>
  <c r="AC151" i="16"/>
  <c r="AD151" i="16" s="1"/>
  <c r="AC149" i="16"/>
  <c r="AD149" i="16" s="1"/>
  <c r="AC147" i="16"/>
  <c r="AD147" i="16" s="1"/>
  <c r="AC145" i="16"/>
  <c r="AD145" i="16" s="1"/>
  <c r="AC143" i="16"/>
  <c r="AD143" i="16" s="1"/>
  <c r="AC141" i="16"/>
  <c r="AD141" i="16" s="1"/>
  <c r="AC139" i="16"/>
  <c r="AD139" i="16" s="1"/>
  <c r="AC137" i="16"/>
  <c r="AD137" i="16" s="1"/>
  <c r="AC135" i="16"/>
  <c r="AD135" i="16" s="1"/>
  <c r="AC133" i="16"/>
  <c r="AD133" i="16" s="1"/>
  <c r="AC131" i="16"/>
  <c r="AD131" i="16" s="1"/>
  <c r="AC129" i="16"/>
  <c r="AD129" i="16" s="1"/>
  <c r="AC1195" i="16"/>
  <c r="AD1195" i="16" s="1"/>
  <c r="AC1162" i="16"/>
  <c r="AD1162" i="16" s="1"/>
  <c r="AC1139" i="16"/>
  <c r="AD1139" i="16" s="1"/>
  <c r="AC1123" i="16"/>
  <c r="AD1123" i="16" s="1"/>
  <c r="AC1107" i="16"/>
  <c r="AD1107" i="16" s="1"/>
  <c r="AC1091" i="16"/>
  <c r="AD1091" i="16" s="1"/>
  <c r="AC1083" i="16"/>
  <c r="AD1083" i="16" s="1"/>
  <c r="AC1075" i="16"/>
  <c r="AD1075" i="16" s="1"/>
  <c r="AC1067" i="16"/>
  <c r="AD1067" i="16" s="1"/>
  <c r="AC1059" i="16"/>
  <c r="AD1059" i="16" s="1"/>
  <c r="AC1051" i="16"/>
  <c r="AD1051" i="16" s="1"/>
  <c r="AC1043" i="16"/>
  <c r="AD1043" i="16" s="1"/>
  <c r="AC1035" i="16"/>
  <c r="AD1035" i="16" s="1"/>
  <c r="AC1027" i="16"/>
  <c r="AD1027" i="16" s="1"/>
  <c r="AC1019" i="16"/>
  <c r="AD1019" i="16" s="1"/>
  <c r="AC1011" i="16"/>
  <c r="AD1011" i="16" s="1"/>
  <c r="AC1003" i="16"/>
  <c r="AD1003" i="16" s="1"/>
  <c r="AC987" i="16"/>
  <c r="AD987" i="16" s="1"/>
  <c r="AC971" i="16"/>
  <c r="AD971" i="16" s="1"/>
  <c r="AC843" i="16"/>
  <c r="AD843" i="16" s="1"/>
  <c r="AC840" i="16"/>
  <c r="AD840" i="16" s="1"/>
  <c r="AC775" i="16"/>
  <c r="AD775" i="16" s="1"/>
  <c r="AC772" i="16"/>
  <c r="AD772" i="16" s="1"/>
  <c r="AC767" i="16"/>
  <c r="AD767" i="16" s="1"/>
  <c r="AC764" i="16"/>
  <c r="AD764" i="16" s="1"/>
  <c r="AC759" i="16"/>
  <c r="AD759" i="16" s="1"/>
  <c r="AC756" i="16"/>
  <c r="AD756" i="16" s="1"/>
  <c r="AC751" i="16"/>
  <c r="AD751" i="16" s="1"/>
  <c r="AC748" i="16"/>
  <c r="AD748" i="16" s="1"/>
  <c r="AC743" i="16"/>
  <c r="AD743" i="16" s="1"/>
  <c r="AC460" i="16"/>
  <c r="AD460" i="16" s="1"/>
  <c r="AC456" i="16"/>
  <c r="AD456" i="16" s="1"/>
  <c r="AC452" i="16"/>
  <c r="AD452" i="16" s="1"/>
  <c r="AC448" i="16"/>
  <c r="AD448" i="16" s="1"/>
  <c r="AC444" i="16"/>
  <c r="AD444" i="16" s="1"/>
  <c r="AC440" i="16"/>
  <c r="AD440" i="16" s="1"/>
  <c r="AC436" i="16"/>
  <c r="AD436" i="16" s="1"/>
  <c r="AC434" i="16"/>
  <c r="AD434" i="16" s="1"/>
  <c r="AC432" i="16"/>
  <c r="AD432" i="16" s="1"/>
  <c r="AC430" i="16"/>
  <c r="AD430" i="16" s="1"/>
  <c r="AC428" i="16"/>
  <c r="AD428" i="16" s="1"/>
  <c r="AC426" i="16"/>
  <c r="AD426" i="16" s="1"/>
  <c r="AC424" i="16"/>
  <c r="AD424" i="16" s="1"/>
  <c r="AC422" i="16"/>
  <c r="AD422" i="16" s="1"/>
  <c r="AC420" i="16"/>
  <c r="AD420" i="16" s="1"/>
  <c r="AC418" i="16"/>
  <c r="AD418" i="16" s="1"/>
  <c r="AC416" i="16"/>
  <c r="AD416" i="16" s="1"/>
  <c r="AC414" i="16"/>
  <c r="AD414" i="16" s="1"/>
  <c r="AC412" i="16"/>
  <c r="AD412" i="16" s="1"/>
  <c r="AC410" i="16"/>
  <c r="AD410" i="16" s="1"/>
  <c r="AC408" i="16"/>
  <c r="AD408" i="16" s="1"/>
  <c r="AC406" i="16"/>
  <c r="AD406" i="16" s="1"/>
  <c r="AC404" i="16"/>
  <c r="AD404" i="16" s="1"/>
  <c r="AC402" i="16"/>
  <c r="AD402" i="16" s="1"/>
  <c r="AC400" i="16"/>
  <c r="AD400" i="16" s="1"/>
  <c r="AC398" i="16"/>
  <c r="AD398" i="16" s="1"/>
  <c r="AC396" i="16"/>
  <c r="AD396" i="16" s="1"/>
  <c r="AC394" i="16"/>
  <c r="AD394" i="16" s="1"/>
  <c r="AC392" i="16"/>
  <c r="AD392" i="16" s="1"/>
  <c r="AC390" i="16"/>
  <c r="AD390" i="16" s="1"/>
  <c r="AC388" i="16"/>
  <c r="AD388" i="16" s="1"/>
  <c r="AC386" i="16"/>
  <c r="AD386" i="16" s="1"/>
  <c r="AC384" i="16"/>
  <c r="AD384" i="16" s="1"/>
  <c r="AC382" i="16"/>
  <c r="AD382" i="16" s="1"/>
  <c r="AC380" i="16"/>
  <c r="AD380" i="16" s="1"/>
  <c r="AC378" i="16"/>
  <c r="AD378" i="16" s="1"/>
  <c r="AC376" i="16"/>
  <c r="AD376" i="16" s="1"/>
  <c r="AC374" i="16"/>
  <c r="AD374" i="16" s="1"/>
  <c r="AC372" i="16"/>
  <c r="AD372" i="16" s="1"/>
  <c r="AC370" i="16"/>
  <c r="AD370" i="16" s="1"/>
  <c r="AC368" i="16"/>
  <c r="AD368" i="16" s="1"/>
  <c r="AC366" i="16"/>
  <c r="AD366" i="16" s="1"/>
  <c r="AC364" i="16"/>
  <c r="AD364" i="16" s="1"/>
  <c r="AC362" i="16"/>
  <c r="AD362" i="16" s="1"/>
  <c r="AC360" i="16"/>
  <c r="AD360" i="16" s="1"/>
  <c r="AC358" i="16"/>
  <c r="AD358" i="16" s="1"/>
  <c r="AC356" i="16"/>
  <c r="AD356" i="16" s="1"/>
  <c r="AC354" i="16"/>
  <c r="AD354" i="16" s="1"/>
  <c r="AC352" i="16"/>
  <c r="AD352" i="16" s="1"/>
  <c r="AC350" i="16"/>
  <c r="AD350" i="16" s="1"/>
  <c r="AC348" i="16"/>
  <c r="AD348" i="16" s="1"/>
  <c r="AC346" i="16"/>
  <c r="AD346" i="16" s="1"/>
  <c r="AC344" i="16"/>
  <c r="AD344" i="16" s="1"/>
  <c r="AC342" i="16"/>
  <c r="AD342" i="16" s="1"/>
  <c r="AC340" i="16"/>
  <c r="AD340" i="16" s="1"/>
  <c r="AC338" i="16"/>
  <c r="AD338" i="16" s="1"/>
  <c r="AC336" i="16"/>
  <c r="AD336" i="16" s="1"/>
  <c r="AC334" i="16"/>
  <c r="AD334" i="16" s="1"/>
  <c r="AC332" i="16"/>
  <c r="AD332" i="16" s="1"/>
  <c r="AC330" i="16"/>
  <c r="AD330" i="16" s="1"/>
  <c r="AC328" i="16"/>
  <c r="AD328" i="16" s="1"/>
  <c r="AC326" i="16"/>
  <c r="AD326" i="16" s="1"/>
  <c r="AC324" i="16"/>
  <c r="AD324" i="16" s="1"/>
  <c r="AC322" i="16"/>
  <c r="AD322" i="16" s="1"/>
  <c r="AC320" i="16"/>
  <c r="AD320" i="16" s="1"/>
  <c r="AC318" i="16"/>
  <c r="AD318" i="16" s="1"/>
  <c r="AC316" i="16"/>
  <c r="AD316" i="16" s="1"/>
  <c r="AC314" i="16"/>
  <c r="AD314" i="16" s="1"/>
  <c r="AC312" i="16"/>
  <c r="AD312" i="16" s="1"/>
  <c r="AC310" i="16"/>
  <c r="AD310" i="16" s="1"/>
  <c r="AC308" i="16"/>
  <c r="AD308" i="16" s="1"/>
  <c r="AC306" i="16"/>
  <c r="AD306" i="16" s="1"/>
  <c r="AC304" i="16"/>
  <c r="AD304" i="16" s="1"/>
  <c r="AC302" i="16"/>
  <c r="AD302" i="16" s="1"/>
  <c r="AC300" i="16"/>
  <c r="AD300" i="16" s="1"/>
  <c r="AC298" i="16"/>
  <c r="AD298" i="16" s="1"/>
  <c r="AC296" i="16"/>
  <c r="AD296" i="16" s="1"/>
  <c r="AC294" i="16"/>
  <c r="AD294" i="16" s="1"/>
  <c r="AC292" i="16"/>
  <c r="AD292" i="16" s="1"/>
  <c r="AC119" i="16"/>
  <c r="AD119" i="16" s="1"/>
  <c r="AC117" i="16"/>
  <c r="AD117" i="16" s="1"/>
  <c r="AC114" i="16"/>
  <c r="AD114" i="16" s="1"/>
  <c r="AC111" i="16"/>
  <c r="AD111" i="16" s="1"/>
  <c r="AC109" i="16"/>
  <c r="AD109" i="16" s="1"/>
  <c r="AC106" i="16"/>
  <c r="AD106" i="16" s="1"/>
  <c r="AC103" i="16"/>
  <c r="AD103" i="16" s="1"/>
  <c r="AC101" i="16"/>
  <c r="AD101" i="16" s="1"/>
  <c r="AC98" i="16"/>
  <c r="AD98" i="16" s="1"/>
  <c r="AC95" i="16"/>
  <c r="AD95" i="16" s="1"/>
  <c r="AC93" i="16"/>
  <c r="AD93" i="16" s="1"/>
  <c r="AC90" i="16"/>
  <c r="AD90" i="16" s="1"/>
  <c r="AC87" i="16"/>
  <c r="AD87" i="16" s="1"/>
  <c r="AC85" i="16"/>
  <c r="AD85" i="16" s="1"/>
  <c r="AC82" i="16"/>
  <c r="AD82" i="16" s="1"/>
  <c r="AC79" i="16"/>
  <c r="AD79" i="16" s="1"/>
  <c r="AC77" i="16"/>
  <c r="AD77" i="16" s="1"/>
  <c r="AC74" i="16"/>
  <c r="AD74" i="16" s="1"/>
  <c r="AC71" i="16"/>
  <c r="AD71" i="16" s="1"/>
  <c r="AC69" i="16"/>
  <c r="AD69" i="16" s="1"/>
  <c r="AC66" i="16"/>
  <c r="AD66" i="16" s="1"/>
  <c r="AC63" i="16"/>
  <c r="AD63" i="16" s="1"/>
  <c r="AC61" i="16"/>
  <c r="AD61" i="16" s="1"/>
  <c r="AC58" i="16"/>
  <c r="AD58" i="16" s="1"/>
  <c r="AC55" i="16"/>
  <c r="AD55" i="16" s="1"/>
  <c r="AC53" i="16"/>
  <c r="AD53" i="16" s="1"/>
  <c r="AC50" i="16"/>
  <c r="AD50" i="16" s="1"/>
  <c r="AC47" i="16"/>
  <c r="AD47" i="16" s="1"/>
  <c r="AC45" i="16"/>
  <c r="AD45" i="16" s="1"/>
  <c r="AC42" i="16"/>
  <c r="AD42" i="16" s="1"/>
  <c r="AC1170" i="16"/>
  <c r="AD1170" i="16" s="1"/>
  <c r="AC1143" i="16"/>
  <c r="AD1143" i="16" s="1"/>
  <c r="AC1127" i="16"/>
  <c r="AD1127" i="16" s="1"/>
  <c r="AC1111" i="16"/>
  <c r="AD1111" i="16" s="1"/>
  <c r="AC1095" i="16"/>
  <c r="AD1095" i="16" s="1"/>
  <c r="AC1081" i="16"/>
  <c r="AD1081" i="16" s="1"/>
  <c r="AC1073" i="16"/>
  <c r="AD1073" i="16" s="1"/>
  <c r="AC1065" i="16"/>
  <c r="AD1065" i="16" s="1"/>
  <c r="AC1057" i="16"/>
  <c r="AD1057" i="16" s="1"/>
  <c r="AC1049" i="16"/>
  <c r="AD1049" i="16" s="1"/>
  <c r="AC1041" i="16"/>
  <c r="AD1041" i="16" s="1"/>
  <c r="AC1033" i="16"/>
  <c r="AD1033" i="16" s="1"/>
  <c r="AC1025" i="16"/>
  <c r="AD1025" i="16" s="1"/>
  <c r="AC1017" i="16"/>
  <c r="AD1017" i="16" s="1"/>
  <c r="AC1009" i="16"/>
  <c r="AD1009" i="16" s="1"/>
  <c r="AC991" i="16"/>
  <c r="AD991" i="16" s="1"/>
  <c r="AC975" i="16"/>
  <c r="AD975" i="16" s="1"/>
  <c r="AC959" i="16"/>
  <c r="AD959" i="16" s="1"/>
  <c r="AC833" i="16"/>
  <c r="AD833" i="16" s="1"/>
  <c r="AC829" i="16"/>
  <c r="AD829" i="16" s="1"/>
  <c r="AC825" i="16"/>
  <c r="AD825" i="16" s="1"/>
  <c r="AC821" i="16"/>
  <c r="AD821" i="16" s="1"/>
  <c r="AC817" i="16"/>
  <c r="AD817" i="16" s="1"/>
  <c r="AC813" i="16"/>
  <c r="AD813" i="16" s="1"/>
  <c r="AC809" i="16"/>
  <c r="AD809" i="16" s="1"/>
  <c r="AC805" i="16"/>
  <c r="AD805" i="16" s="1"/>
  <c r="AC801" i="16"/>
  <c r="AD801" i="16" s="1"/>
  <c r="AC797" i="16"/>
  <c r="AD797" i="16" s="1"/>
  <c r="AC793" i="16"/>
  <c r="AD793" i="16" s="1"/>
  <c r="AC789" i="16"/>
  <c r="AD789" i="16" s="1"/>
  <c r="AC785" i="16"/>
  <c r="AD785" i="16" s="1"/>
  <c r="AC781" i="16"/>
  <c r="AD781" i="16" s="1"/>
  <c r="AC777" i="16"/>
  <c r="AD777" i="16" s="1"/>
  <c r="AC774" i="16"/>
  <c r="AD774" i="16" s="1"/>
  <c r="AC769" i="16"/>
  <c r="AD769" i="16" s="1"/>
  <c r="AC766" i="16"/>
  <c r="AD766" i="16" s="1"/>
  <c r="AC761" i="16"/>
  <c r="AD761" i="16" s="1"/>
  <c r="AC758" i="16"/>
  <c r="AD758" i="16" s="1"/>
  <c r="AC753" i="16"/>
  <c r="AD753" i="16" s="1"/>
  <c r="AC750" i="16"/>
  <c r="AD750" i="16" s="1"/>
  <c r="AC745" i="16"/>
  <c r="AD745" i="16" s="1"/>
  <c r="AC742" i="16"/>
  <c r="AD742" i="16" s="1"/>
  <c r="AC740" i="16"/>
  <c r="AD740" i="16" s="1"/>
  <c r="AC738" i="16"/>
  <c r="AD738" i="16" s="1"/>
  <c r="AC736" i="16"/>
  <c r="AD736" i="16" s="1"/>
  <c r="AC734" i="16"/>
  <c r="AD734" i="16" s="1"/>
  <c r="AC732" i="16"/>
  <c r="AD732" i="16" s="1"/>
  <c r="AC730" i="16"/>
  <c r="AD730" i="16" s="1"/>
  <c r="AC728" i="16"/>
  <c r="AD728" i="16" s="1"/>
  <c r="AC726" i="16"/>
  <c r="AD726" i="16" s="1"/>
  <c r="AC724" i="16"/>
  <c r="AD724" i="16" s="1"/>
  <c r="AC722" i="16"/>
  <c r="AD722" i="16" s="1"/>
  <c r="AC720" i="16"/>
  <c r="AD720" i="16" s="1"/>
  <c r="AC718" i="16"/>
  <c r="AD718" i="16" s="1"/>
  <c r="AC716" i="16"/>
  <c r="AD716" i="16" s="1"/>
  <c r="AC714" i="16"/>
  <c r="AD714" i="16" s="1"/>
  <c r="AC712" i="16"/>
  <c r="AD712" i="16" s="1"/>
  <c r="AC710" i="16"/>
  <c r="AD710" i="16" s="1"/>
  <c r="AC708" i="16"/>
  <c r="AD708" i="16" s="1"/>
  <c r="AC706" i="16"/>
  <c r="AD706" i="16" s="1"/>
  <c r="AC704" i="16"/>
  <c r="AD704" i="16" s="1"/>
  <c r="AC702" i="16"/>
  <c r="AD702" i="16" s="1"/>
  <c r="AC700" i="16"/>
  <c r="AD700" i="16" s="1"/>
  <c r="AC698" i="16"/>
  <c r="AD698" i="16" s="1"/>
  <c r="AC696" i="16"/>
  <c r="AD696" i="16" s="1"/>
  <c r="AC694" i="16"/>
  <c r="AD694" i="16" s="1"/>
  <c r="AC692" i="16"/>
  <c r="AD692" i="16" s="1"/>
  <c r="AC690" i="16"/>
  <c r="AD690" i="16" s="1"/>
  <c r="AC688" i="16"/>
  <c r="AD688" i="16" s="1"/>
  <c r="AC686" i="16"/>
  <c r="AD686" i="16" s="1"/>
  <c r="AC684" i="16"/>
  <c r="AD684" i="16" s="1"/>
  <c r="AC676" i="16"/>
  <c r="AD676" i="16" s="1"/>
  <c r="AC668" i="16"/>
  <c r="AD668" i="16" s="1"/>
  <c r="AC660" i="16"/>
  <c r="AD660" i="16" s="1"/>
  <c r="AC652" i="16"/>
  <c r="AD652" i="16" s="1"/>
  <c r="AC644" i="16"/>
  <c r="AD644" i="16" s="1"/>
  <c r="AC636" i="16"/>
  <c r="AD636" i="16" s="1"/>
  <c r="AC628" i="16"/>
  <c r="AD628" i="16" s="1"/>
  <c r="AC620" i="16"/>
  <c r="AD620" i="16" s="1"/>
  <c r="AC612" i="16"/>
  <c r="AD612" i="16" s="1"/>
  <c r="AC604" i="16"/>
  <c r="AD604" i="16" s="1"/>
  <c r="AC596" i="16"/>
  <c r="AD596" i="16" s="1"/>
  <c r="AC588" i="16"/>
  <c r="AD588" i="16" s="1"/>
  <c r="AC580" i="16"/>
  <c r="AD580" i="16" s="1"/>
  <c r="AC572" i="16"/>
  <c r="AD572" i="16" s="1"/>
  <c r="AC564" i="16"/>
  <c r="AD564" i="16" s="1"/>
  <c r="AC556" i="16"/>
  <c r="AD556" i="16" s="1"/>
  <c r="AC548" i="16"/>
  <c r="AD548" i="16" s="1"/>
  <c r="AC539" i="16"/>
  <c r="AD539" i="16" s="1"/>
  <c r="AC531" i="16"/>
  <c r="AD531" i="16" s="1"/>
  <c r="AC523" i="16"/>
  <c r="AD523" i="16" s="1"/>
  <c r="AC515" i="16"/>
  <c r="AD515" i="16" s="1"/>
  <c r="AC507" i="16"/>
  <c r="AD507" i="16" s="1"/>
  <c r="AC499" i="16"/>
  <c r="AD499" i="16" s="1"/>
  <c r="AC491" i="16"/>
  <c r="AD491" i="16" s="1"/>
  <c r="AC483" i="16"/>
  <c r="AD483" i="16" s="1"/>
  <c r="AC475" i="16"/>
  <c r="AD475" i="16" s="1"/>
  <c r="AC467" i="16"/>
  <c r="AD467" i="16" s="1"/>
  <c r="AC449" i="16"/>
  <c r="AD449" i="16" s="1"/>
  <c r="AC288" i="16"/>
  <c r="AD288" i="16" s="1"/>
  <c r="AC280" i="16"/>
  <c r="AD280" i="16" s="1"/>
  <c r="AC272" i="16"/>
  <c r="AD272" i="16" s="1"/>
  <c r="AC264" i="16"/>
  <c r="AD264" i="16" s="1"/>
  <c r="AC256" i="16"/>
  <c r="AD256" i="16" s="1"/>
  <c r="AC248" i="16"/>
  <c r="AD248" i="16" s="1"/>
  <c r="AC240" i="16"/>
  <c r="AD240" i="16" s="1"/>
  <c r="AC232" i="16"/>
  <c r="AD232" i="16" s="1"/>
  <c r="AC228" i="16"/>
  <c r="AD228" i="16" s="1"/>
  <c r="AC224" i="16"/>
  <c r="AD224" i="16" s="1"/>
  <c r="AC220" i="16"/>
  <c r="AD220" i="16" s="1"/>
  <c r="AC216" i="16"/>
  <c r="AD216" i="16" s="1"/>
  <c r="AC212" i="16"/>
  <c r="AD212" i="16" s="1"/>
  <c r="AC208" i="16"/>
  <c r="AD208" i="16" s="1"/>
  <c r="AC204" i="16"/>
  <c r="AD204" i="16" s="1"/>
  <c r="AC200" i="16"/>
  <c r="AD200" i="16" s="1"/>
  <c r="AC196" i="16"/>
  <c r="AD196" i="16" s="1"/>
  <c r="AC192" i="16"/>
  <c r="AD192" i="16" s="1"/>
  <c r="AC188" i="16"/>
  <c r="AD188" i="16" s="1"/>
  <c r="AC184" i="16"/>
  <c r="AD184" i="16" s="1"/>
  <c r="AC180" i="16"/>
  <c r="AD180" i="16" s="1"/>
  <c r="AC176" i="16"/>
  <c r="AD176" i="16" s="1"/>
  <c r="AC172" i="16"/>
  <c r="AD172" i="16" s="1"/>
  <c r="AC168" i="16"/>
  <c r="AD168" i="16" s="1"/>
  <c r="AC164" i="16"/>
  <c r="AD164" i="16" s="1"/>
  <c r="AC160" i="16"/>
  <c r="AD160" i="16" s="1"/>
  <c r="AC156" i="16"/>
  <c r="AD156" i="16" s="1"/>
  <c r="AC152" i="16"/>
  <c r="AD152" i="16" s="1"/>
  <c r="AC148" i="16"/>
  <c r="AD148" i="16" s="1"/>
  <c r="AC144" i="16"/>
  <c r="AD144" i="16" s="1"/>
  <c r="AC140" i="16"/>
  <c r="AD140" i="16" s="1"/>
  <c r="AC136" i="16"/>
  <c r="AD136" i="16" s="1"/>
  <c r="AC132" i="16"/>
  <c r="AD132" i="16" s="1"/>
  <c r="AC128" i="16"/>
  <c r="AD128" i="16" s="1"/>
  <c r="AC123" i="16"/>
  <c r="AD123" i="16" s="1"/>
  <c r="AC120" i="16"/>
  <c r="AD120" i="16" s="1"/>
  <c r="AC118" i="16"/>
  <c r="AD118" i="16" s="1"/>
  <c r="AC116" i="16"/>
  <c r="AD116" i="16" s="1"/>
  <c r="AC105" i="16"/>
  <c r="AD105" i="16" s="1"/>
  <c r="AC99" i="16"/>
  <c r="AD99" i="16" s="1"/>
  <c r="AC88" i="16"/>
  <c r="AD88" i="16" s="1"/>
  <c r="AC86" i="16"/>
  <c r="AD86" i="16" s="1"/>
  <c r="AC84" i="16"/>
  <c r="AD84" i="16" s="1"/>
  <c r="AC73" i="16"/>
  <c r="AD73" i="16" s="1"/>
  <c r="AC67" i="16"/>
  <c r="AD67" i="16" s="1"/>
  <c r="AC56" i="16"/>
  <c r="AD56" i="16" s="1"/>
  <c r="AC54" i="16"/>
  <c r="AD54" i="16" s="1"/>
  <c r="AC52" i="16"/>
  <c r="AD52" i="16" s="1"/>
  <c r="AC41" i="16"/>
  <c r="AD41" i="16" s="1"/>
  <c r="AC38" i="16"/>
  <c r="AD38" i="16" s="1"/>
  <c r="AC36" i="16"/>
  <c r="AD36" i="16" s="1"/>
  <c r="AC682" i="16"/>
  <c r="AD682" i="16" s="1"/>
  <c r="AC674" i="16"/>
  <c r="AD674" i="16" s="1"/>
  <c r="AC666" i="16"/>
  <c r="AD666" i="16" s="1"/>
  <c r="AC658" i="16"/>
  <c r="AD658" i="16" s="1"/>
  <c r="AC650" i="16"/>
  <c r="AD650" i="16" s="1"/>
  <c r="AC642" i="16"/>
  <c r="AD642" i="16" s="1"/>
  <c r="AC634" i="16"/>
  <c r="AD634" i="16" s="1"/>
  <c r="AC626" i="16"/>
  <c r="AD626" i="16" s="1"/>
  <c r="AC618" i="16"/>
  <c r="AD618" i="16" s="1"/>
  <c r="AC610" i="16"/>
  <c r="AD610" i="16" s="1"/>
  <c r="AC602" i="16"/>
  <c r="AD602" i="16" s="1"/>
  <c r="AC594" i="16"/>
  <c r="AD594" i="16" s="1"/>
  <c r="AC586" i="16"/>
  <c r="AD586" i="16" s="1"/>
  <c r="AC578" i="16"/>
  <c r="AD578" i="16" s="1"/>
  <c r="AC570" i="16"/>
  <c r="AD570" i="16" s="1"/>
  <c r="AC562" i="16"/>
  <c r="AD562" i="16" s="1"/>
  <c r="AC554" i="16"/>
  <c r="AD554" i="16" s="1"/>
  <c r="AC545" i="16"/>
  <c r="AD545" i="16" s="1"/>
  <c r="AC537" i="16"/>
  <c r="AD537" i="16" s="1"/>
  <c r="AC529" i="16"/>
  <c r="AD529" i="16" s="1"/>
  <c r="AC521" i="16"/>
  <c r="AD521" i="16" s="1"/>
  <c r="AC513" i="16"/>
  <c r="AD513" i="16" s="1"/>
  <c r="AC505" i="16"/>
  <c r="AD505" i="16" s="1"/>
  <c r="AC497" i="16"/>
  <c r="AD497" i="16" s="1"/>
  <c r="AC489" i="16"/>
  <c r="AD489" i="16" s="1"/>
  <c r="AC481" i="16"/>
  <c r="AD481" i="16" s="1"/>
  <c r="AC473" i="16"/>
  <c r="AD473" i="16" s="1"/>
  <c r="AC465" i="16"/>
  <c r="AD465" i="16" s="1"/>
  <c r="AC453" i="16"/>
  <c r="AD453" i="16" s="1"/>
  <c r="AC437" i="16"/>
  <c r="AD437" i="16" s="1"/>
  <c r="AC286" i="16"/>
  <c r="AD286" i="16" s="1"/>
  <c r="AC278" i="16"/>
  <c r="AD278" i="16" s="1"/>
  <c r="AC270" i="16"/>
  <c r="AD270" i="16" s="1"/>
  <c r="AC262" i="16"/>
  <c r="AD262" i="16" s="1"/>
  <c r="AC254" i="16"/>
  <c r="AD254" i="16" s="1"/>
  <c r="AC246" i="16"/>
  <c r="AD246" i="16" s="1"/>
  <c r="AC238" i="16"/>
  <c r="AD238" i="16" s="1"/>
  <c r="AC125" i="16"/>
  <c r="AD125" i="16" s="1"/>
  <c r="AC122" i="16"/>
  <c r="AD122" i="16" s="1"/>
  <c r="AC113" i="16"/>
  <c r="AD113" i="16" s="1"/>
  <c r="AC107" i="16"/>
  <c r="AD107" i="16" s="1"/>
  <c r="AC96" i="16"/>
  <c r="AD96" i="16" s="1"/>
  <c r="AC94" i="16"/>
  <c r="AD94" i="16" s="1"/>
  <c r="AC92" i="16"/>
  <c r="AD92" i="16" s="1"/>
  <c r="AC81" i="16"/>
  <c r="AD81" i="16" s="1"/>
  <c r="AC75" i="16"/>
  <c r="AD75" i="16" s="1"/>
  <c r="AC64" i="16"/>
  <c r="AD64" i="16" s="1"/>
  <c r="AC62" i="16"/>
  <c r="AD62" i="16" s="1"/>
  <c r="AC60" i="16"/>
  <c r="AD60" i="16" s="1"/>
  <c r="AC49" i="16"/>
  <c r="AD49" i="16" s="1"/>
  <c r="AC43" i="16"/>
  <c r="AD43" i="16" s="1"/>
  <c r="AC34" i="16"/>
  <c r="AD34" i="16" s="1"/>
  <c r="AC32" i="16"/>
  <c r="AD32" i="16" s="1"/>
  <c r="AC30" i="16"/>
  <c r="AD30" i="16" s="1"/>
  <c r="AC28" i="16"/>
  <c r="AD28" i="16" s="1"/>
  <c r="AC26" i="16"/>
  <c r="AD26" i="16" s="1"/>
  <c r="AC24" i="16"/>
  <c r="AD24" i="16" s="1"/>
  <c r="AC22" i="16"/>
  <c r="AD22" i="16" s="1"/>
  <c r="AC20" i="16"/>
  <c r="AD20" i="16" s="1"/>
  <c r="AC18" i="16"/>
  <c r="AD18" i="16" s="1"/>
  <c r="AC16" i="16"/>
  <c r="AD16" i="16" s="1"/>
  <c r="AC14" i="16"/>
  <c r="AD14" i="16" s="1"/>
  <c r="AC12" i="16"/>
  <c r="AD12" i="16" s="1"/>
  <c r="AC10" i="16"/>
  <c r="AD10" i="16" s="1"/>
  <c r="AC8" i="16"/>
  <c r="AD8" i="16" s="1"/>
  <c r="AC6" i="16"/>
  <c r="AD6" i="16" s="1"/>
  <c r="AC680" i="16"/>
  <c r="AD680" i="16" s="1"/>
  <c r="AC672" i="16"/>
  <c r="AD672" i="16" s="1"/>
  <c r="AC664" i="16"/>
  <c r="AD664" i="16" s="1"/>
  <c r="AC656" i="16"/>
  <c r="AD656" i="16" s="1"/>
  <c r="AC648" i="16"/>
  <c r="AD648" i="16" s="1"/>
  <c r="AC640" i="16"/>
  <c r="AD640" i="16" s="1"/>
  <c r="AC632" i="16"/>
  <c r="AD632" i="16" s="1"/>
  <c r="AC624" i="16"/>
  <c r="AD624" i="16" s="1"/>
  <c r="AC616" i="16"/>
  <c r="AD616" i="16" s="1"/>
  <c r="AC608" i="16"/>
  <c r="AD608" i="16" s="1"/>
  <c r="AC600" i="16"/>
  <c r="AD600" i="16" s="1"/>
  <c r="AC592" i="16"/>
  <c r="AD592" i="16" s="1"/>
  <c r="AC584" i="16"/>
  <c r="AD584" i="16" s="1"/>
  <c r="AC576" i="16"/>
  <c r="AD576" i="16" s="1"/>
  <c r="AC568" i="16"/>
  <c r="AD568" i="16" s="1"/>
  <c r="AC560" i="16"/>
  <c r="AD560" i="16" s="1"/>
  <c r="AC552" i="16"/>
  <c r="AD552" i="16" s="1"/>
  <c r="AC543" i="16"/>
  <c r="AD543" i="16" s="1"/>
  <c r="AC535" i="16"/>
  <c r="AD535" i="16" s="1"/>
  <c r="AC527" i="16"/>
  <c r="AD527" i="16" s="1"/>
  <c r="AC519" i="16"/>
  <c r="AD519" i="16" s="1"/>
  <c r="AC511" i="16"/>
  <c r="AD511" i="16" s="1"/>
  <c r="AC503" i="16"/>
  <c r="AD503" i="16" s="1"/>
  <c r="AC495" i="16"/>
  <c r="AD495" i="16" s="1"/>
  <c r="AC487" i="16"/>
  <c r="AD487" i="16" s="1"/>
  <c r="AC479" i="16"/>
  <c r="AD479" i="16" s="1"/>
  <c r="AC471" i="16"/>
  <c r="AD471" i="16" s="1"/>
  <c r="AC463" i="16"/>
  <c r="AD463" i="16" s="1"/>
  <c r="AC457" i="16"/>
  <c r="AD457" i="16" s="1"/>
  <c r="AC441" i="16"/>
  <c r="AD441" i="16" s="1"/>
  <c r="AC284" i="16"/>
  <c r="AD284" i="16" s="1"/>
  <c r="AC276" i="16"/>
  <c r="AD276" i="16" s="1"/>
  <c r="AC268" i="16"/>
  <c r="AD268" i="16" s="1"/>
  <c r="AC260" i="16"/>
  <c r="AD260" i="16" s="1"/>
  <c r="AC252" i="16"/>
  <c r="AD252" i="16" s="1"/>
  <c r="AC244" i="16"/>
  <c r="AD244" i="16" s="1"/>
  <c r="AC236" i="16"/>
  <c r="AD236" i="16" s="1"/>
  <c r="AC230" i="16"/>
  <c r="AD230" i="16" s="1"/>
  <c r="AC226" i="16"/>
  <c r="AD226" i="16" s="1"/>
  <c r="AC222" i="16"/>
  <c r="AD222" i="16" s="1"/>
  <c r="AC218" i="16"/>
  <c r="AD218" i="16" s="1"/>
  <c r="AC214" i="16"/>
  <c r="AD214" i="16" s="1"/>
  <c r="AC210" i="16"/>
  <c r="AD210" i="16" s="1"/>
  <c r="AC206" i="16"/>
  <c r="AD206" i="16" s="1"/>
  <c r="AC202" i="16"/>
  <c r="AD202" i="16" s="1"/>
  <c r="AC198" i="16"/>
  <c r="AD198" i="16" s="1"/>
  <c r="AC194" i="16"/>
  <c r="AD194" i="16" s="1"/>
  <c r="AC190" i="16"/>
  <c r="AD190" i="16" s="1"/>
  <c r="AC186" i="16"/>
  <c r="AD186" i="16" s="1"/>
  <c r="AC182" i="16"/>
  <c r="AD182" i="16" s="1"/>
  <c r="AC178" i="16"/>
  <c r="AD178" i="16" s="1"/>
  <c r="AC174" i="16"/>
  <c r="AD174" i="16" s="1"/>
  <c r="AC170" i="16"/>
  <c r="AD170" i="16" s="1"/>
  <c r="AC166" i="16"/>
  <c r="AD166" i="16" s="1"/>
  <c r="AC162" i="16"/>
  <c r="AD162" i="16" s="1"/>
  <c r="AC158" i="16"/>
  <c r="AD158" i="16" s="1"/>
  <c r="AC154" i="16"/>
  <c r="AD154" i="16" s="1"/>
  <c r="AC150" i="16"/>
  <c r="AD150" i="16" s="1"/>
  <c r="AC146" i="16"/>
  <c r="AD146" i="16" s="1"/>
  <c r="AC142" i="16"/>
  <c r="AD142" i="16" s="1"/>
  <c r="AC138" i="16"/>
  <c r="AD138" i="16" s="1"/>
  <c r="AC134" i="16"/>
  <c r="AD134" i="16" s="1"/>
  <c r="AC130" i="16"/>
  <c r="AD130" i="16" s="1"/>
  <c r="AC127" i="16"/>
  <c r="AD127" i="16" s="1"/>
  <c r="AC124" i="16"/>
  <c r="AD124" i="16" s="1"/>
  <c r="AC115" i="16"/>
  <c r="AD115" i="16" s="1"/>
  <c r="AC104" i="16"/>
  <c r="AD104" i="16" s="1"/>
  <c r="AC102" i="16"/>
  <c r="AD102" i="16" s="1"/>
  <c r="AC100" i="16"/>
  <c r="AD100" i="16" s="1"/>
  <c r="AC89" i="16"/>
  <c r="AD89" i="16" s="1"/>
  <c r="AC83" i="16"/>
  <c r="AD83" i="16" s="1"/>
  <c r="AC72" i="16"/>
  <c r="AD72" i="16" s="1"/>
  <c r="AC70" i="16"/>
  <c r="AD70" i="16" s="1"/>
  <c r="AC68" i="16"/>
  <c r="AD68" i="16" s="1"/>
  <c r="AC57" i="16"/>
  <c r="AD57" i="16" s="1"/>
  <c r="AC51" i="16"/>
  <c r="AD51" i="16" s="1"/>
  <c r="AC39" i="16"/>
  <c r="AD39" i="16" s="1"/>
  <c r="AC37" i="16"/>
  <c r="AD37" i="16" s="1"/>
  <c r="AC5" i="16"/>
  <c r="AD5" i="16" s="1"/>
  <c r="AC678" i="16"/>
  <c r="AD678" i="16" s="1"/>
  <c r="AC670" i="16"/>
  <c r="AD670" i="16" s="1"/>
  <c r="AC662" i="16"/>
  <c r="AD662" i="16" s="1"/>
  <c r="AC654" i="16"/>
  <c r="AD654" i="16" s="1"/>
  <c r="AC646" i="16"/>
  <c r="AD646" i="16" s="1"/>
  <c r="AC638" i="16"/>
  <c r="AD638" i="16" s="1"/>
  <c r="AC630" i="16"/>
  <c r="AD630" i="16" s="1"/>
  <c r="AC622" i="16"/>
  <c r="AD622" i="16" s="1"/>
  <c r="AC614" i="16"/>
  <c r="AD614" i="16" s="1"/>
  <c r="AC606" i="16"/>
  <c r="AD606" i="16" s="1"/>
  <c r="AC598" i="16"/>
  <c r="AD598" i="16" s="1"/>
  <c r="AC590" i="16"/>
  <c r="AD590" i="16" s="1"/>
  <c r="AC582" i="16"/>
  <c r="AD582" i="16" s="1"/>
  <c r="AC574" i="16"/>
  <c r="AD574" i="16" s="1"/>
  <c r="AC566" i="16"/>
  <c r="AD566" i="16" s="1"/>
  <c r="AC558" i="16"/>
  <c r="AD558" i="16" s="1"/>
  <c r="AC550" i="16"/>
  <c r="AD550" i="16" s="1"/>
  <c r="AC541" i="16"/>
  <c r="AD541" i="16" s="1"/>
  <c r="AC533" i="16"/>
  <c r="AD533" i="16" s="1"/>
  <c r="AC525" i="16"/>
  <c r="AD525" i="16" s="1"/>
  <c r="AC517" i="16"/>
  <c r="AD517" i="16" s="1"/>
  <c r="AC509" i="16"/>
  <c r="AD509" i="16" s="1"/>
  <c r="AC501" i="16"/>
  <c r="AD501" i="16" s="1"/>
  <c r="AC493" i="16"/>
  <c r="AD493" i="16" s="1"/>
  <c r="AC485" i="16"/>
  <c r="AD485" i="16" s="1"/>
  <c r="AC477" i="16"/>
  <c r="AD477" i="16" s="1"/>
  <c r="AC469" i="16"/>
  <c r="AD469" i="16" s="1"/>
  <c r="AC461" i="16"/>
  <c r="AD461" i="16" s="1"/>
  <c r="AC445" i="16"/>
  <c r="AD445" i="16" s="1"/>
  <c r="AC290" i="16"/>
  <c r="AD290" i="16" s="1"/>
  <c r="AC282" i="16"/>
  <c r="AD282" i="16" s="1"/>
  <c r="AC274" i="16"/>
  <c r="AD274" i="16" s="1"/>
  <c r="AC266" i="16"/>
  <c r="AD266" i="16" s="1"/>
  <c r="AC258" i="16"/>
  <c r="AD258" i="16" s="1"/>
  <c r="AC250" i="16"/>
  <c r="AD250" i="16" s="1"/>
  <c r="AC242" i="16"/>
  <c r="AD242" i="16" s="1"/>
  <c r="AC234" i="16"/>
  <c r="AD234" i="16" s="1"/>
  <c r="AC126" i="16"/>
  <c r="AD126" i="16" s="1"/>
  <c r="AC121" i="16"/>
  <c r="AD121" i="16" s="1"/>
  <c r="AC112" i="16"/>
  <c r="AD112" i="16" s="1"/>
  <c r="AC110" i="16"/>
  <c r="AD110" i="16" s="1"/>
  <c r="AC108" i="16"/>
  <c r="AD108" i="16" s="1"/>
  <c r="AC97" i="16"/>
  <c r="AD97" i="16" s="1"/>
  <c r="AC91" i="16"/>
  <c r="AD91" i="16" s="1"/>
  <c r="AC80" i="16"/>
  <c r="AD80" i="16" s="1"/>
  <c r="AC78" i="16"/>
  <c r="AD78" i="16" s="1"/>
  <c r="AC76" i="16"/>
  <c r="AD76" i="16" s="1"/>
  <c r="AC65" i="16"/>
  <c r="AD65" i="16" s="1"/>
  <c r="AC59" i="16"/>
  <c r="AD59" i="16" s="1"/>
  <c r="AC48" i="16"/>
  <c r="AD48" i="16" s="1"/>
  <c r="AC46" i="16"/>
  <c r="AD46" i="16" s="1"/>
  <c r="AC44" i="16"/>
  <c r="AD44" i="16" s="1"/>
  <c r="AC40" i="16"/>
  <c r="AD40" i="16" s="1"/>
  <c r="AC35" i="16"/>
  <c r="AD35" i="16" s="1"/>
  <c r="AC33" i="16"/>
  <c r="AD33" i="16" s="1"/>
  <c r="AC31" i="16"/>
  <c r="AD31" i="16" s="1"/>
  <c r="AC29" i="16"/>
  <c r="AD29" i="16" s="1"/>
  <c r="AC27" i="16"/>
  <c r="AD27" i="16" s="1"/>
  <c r="AC25" i="16"/>
  <c r="AD25" i="16" s="1"/>
  <c r="AC23" i="16"/>
  <c r="AD23" i="16" s="1"/>
  <c r="AC21" i="16"/>
  <c r="AD21" i="16" s="1"/>
  <c r="AC19" i="16"/>
  <c r="AD19" i="16" s="1"/>
  <c r="AC17" i="16"/>
  <c r="AD17" i="16" s="1"/>
  <c r="AC15" i="16"/>
  <c r="AD15" i="16" s="1"/>
  <c r="AC13" i="16"/>
  <c r="AD13" i="16" s="1"/>
  <c r="AC11" i="16"/>
  <c r="AD11" i="16" s="1"/>
  <c r="AC9" i="16"/>
  <c r="AD9" i="16" s="1"/>
  <c r="AC7" i="16"/>
  <c r="AD7" i="16" s="1"/>
  <c r="AU42" i="16"/>
  <c r="AV42" i="16" s="1"/>
  <c r="AU189" i="16"/>
  <c r="AV189" i="16" s="1"/>
  <c r="AU310" i="16"/>
  <c r="AV310" i="16" s="1"/>
  <c r="AU486" i="16"/>
  <c r="AV486" i="16" s="1"/>
  <c r="AU50" i="16"/>
  <c r="AV50" i="16" s="1"/>
  <c r="AU197" i="16"/>
  <c r="AV197" i="16" s="1"/>
  <c r="AU379" i="16"/>
  <c r="AV379" i="16" s="1"/>
  <c r="AU809" i="16"/>
  <c r="AV809" i="16" s="1"/>
  <c r="AU26" i="16"/>
  <c r="AV26" i="16" s="1"/>
  <c r="AU173" i="16"/>
  <c r="AV173" i="16" s="1"/>
  <c r="AU347" i="16"/>
  <c r="AV347" i="16" s="1"/>
  <c r="AU1028" i="16"/>
  <c r="AV1028" i="16" s="1"/>
  <c r="AU149" i="16"/>
  <c r="AV149" i="16" s="1"/>
  <c r="AU277" i="16"/>
  <c r="AV277" i="16" s="1"/>
  <c r="AU745" i="16"/>
  <c r="AV745" i="16" s="1"/>
  <c r="AU1374" i="16"/>
  <c r="AV1374" i="16" s="1"/>
  <c r="AU32" i="16"/>
  <c r="AV32" i="16" s="1"/>
  <c r="AU64" i="16"/>
  <c r="AV64" i="16" s="1"/>
  <c r="AU96" i="16"/>
  <c r="AV96" i="16" s="1"/>
  <c r="AU147" i="16"/>
  <c r="AV147" i="16" s="1"/>
  <c r="AU179" i="16"/>
  <c r="AV179" i="16" s="1"/>
  <c r="AU211" i="16"/>
  <c r="AV211" i="16" s="1"/>
  <c r="AU243" i="16"/>
  <c r="AV243" i="16" s="1"/>
  <c r="AU275" i="16"/>
  <c r="AV275" i="16" s="1"/>
  <c r="AU318" i="16"/>
  <c r="AV318" i="16" s="1"/>
  <c r="AU355" i="16"/>
  <c r="AV355" i="16" s="1"/>
  <c r="AU409" i="16"/>
  <c r="AV409" i="16" s="1"/>
  <c r="AU494" i="16"/>
  <c r="AV494" i="16" s="1"/>
  <c r="AU737" i="16"/>
  <c r="AV737" i="16" s="1"/>
  <c r="AU916" i="16"/>
  <c r="AV916" i="16" s="1"/>
  <c r="AU14" i="16"/>
  <c r="AV14" i="16" s="1"/>
  <c r="AU46" i="16"/>
  <c r="AV46" i="16" s="1"/>
  <c r="AU78" i="16"/>
  <c r="AV78" i="16" s="1"/>
  <c r="AU110" i="16"/>
  <c r="AV110" i="16" s="1"/>
  <c r="AU145" i="16"/>
  <c r="AV145" i="16" s="1"/>
  <c r="AU177" i="16"/>
  <c r="AV177" i="16" s="1"/>
  <c r="AU209" i="16"/>
  <c r="AV209" i="16" s="1"/>
  <c r="AU241" i="16"/>
  <c r="AV241" i="16" s="1"/>
  <c r="AU273" i="16"/>
  <c r="AV273" i="16" s="1"/>
  <c r="AU321" i="16"/>
  <c r="AV321" i="16" s="1"/>
  <c r="AU358" i="16"/>
  <c r="AV358" i="16" s="1"/>
  <c r="AU395" i="16"/>
  <c r="AV395" i="16" s="1"/>
  <c r="AU470" i="16"/>
  <c r="AV470" i="16" s="1"/>
  <c r="AU673" i="16"/>
  <c r="AV673" i="16" s="1"/>
  <c r="AU793" i="16"/>
  <c r="AV793" i="16" s="1"/>
  <c r="AU996" i="16"/>
  <c r="AV996" i="16" s="1"/>
  <c r="AU5" i="16"/>
  <c r="AV5" i="16" s="1"/>
  <c r="AU36" i="16"/>
  <c r="AV36" i="16" s="1"/>
  <c r="AU68" i="16"/>
  <c r="AV68" i="16" s="1"/>
  <c r="AU100" i="16"/>
  <c r="AV100" i="16" s="1"/>
  <c r="AU132" i="16"/>
  <c r="AV132" i="16" s="1"/>
  <c r="AU167" i="16"/>
  <c r="AV167" i="16" s="1"/>
  <c r="AU199" i="16"/>
  <c r="AV199" i="16" s="1"/>
  <c r="AU231" i="16"/>
  <c r="AV231" i="16" s="1"/>
  <c r="AU263" i="16"/>
  <c r="AV263" i="16" s="1"/>
  <c r="AU297" i="16"/>
  <c r="AV297" i="16" s="1"/>
  <c r="AU334" i="16"/>
  <c r="AV334" i="16" s="1"/>
  <c r="AU371" i="16"/>
  <c r="AV371" i="16" s="1"/>
  <c r="AU425" i="16"/>
  <c r="AV425" i="16" s="1"/>
  <c r="AU478" i="16"/>
  <c r="AV478" i="16" s="1"/>
  <c r="AU641" i="16"/>
  <c r="AV641" i="16" s="1"/>
  <c r="AU785" i="16"/>
  <c r="AV785" i="16" s="1"/>
  <c r="AU1012" i="16"/>
  <c r="AV1012" i="16" s="1"/>
  <c r="AU126" i="16"/>
  <c r="AV126" i="16" s="1"/>
  <c r="AU296" i="16"/>
  <c r="AV296" i="16" s="1"/>
  <c r="AU328" i="16"/>
  <c r="AV328" i="16" s="1"/>
  <c r="AU360" i="16"/>
  <c r="AV360" i="16" s="1"/>
  <c r="AU392" i="16"/>
  <c r="AV392" i="16" s="1"/>
  <c r="AU424" i="16"/>
  <c r="AV424" i="16" s="1"/>
  <c r="AU438" i="16"/>
  <c r="AV438" i="16" s="1"/>
  <c r="AU457" i="16"/>
  <c r="AV457" i="16" s="1"/>
  <c r="AU484" i="16"/>
  <c r="AV484" i="16" s="1"/>
  <c r="AU516" i="16"/>
  <c r="AV516" i="16" s="1"/>
  <c r="AU548" i="16"/>
  <c r="AV548" i="16" s="1"/>
  <c r="AU564" i="16"/>
  <c r="AV564" i="16" s="1"/>
  <c r="AU580" i="16"/>
  <c r="AV580" i="16" s="1"/>
  <c r="AU596" i="16"/>
  <c r="AV596" i="16" s="1"/>
  <c r="AU612" i="16"/>
  <c r="AV612" i="16" s="1"/>
  <c r="AU635" i="16"/>
  <c r="AV635" i="16" s="1"/>
  <c r="AU692" i="16"/>
  <c r="AV692" i="16" s="1"/>
  <c r="AU850" i="16"/>
  <c r="AV850" i="16" s="1"/>
  <c r="AU914" i="16"/>
  <c r="AV914" i="16" s="1"/>
  <c r="AU978" i="16"/>
  <c r="AV978" i="16" s="1"/>
  <c r="AU1042" i="16"/>
  <c r="AV1042" i="16" s="1"/>
  <c r="AU1627" i="16"/>
  <c r="AV1627" i="16" s="1"/>
  <c r="AU13" i="16"/>
  <c r="AV13" i="16" s="1"/>
  <c r="AU21" i="16"/>
  <c r="AV21" i="16" s="1"/>
  <c r="AU29" i="16"/>
  <c r="AV29" i="16" s="1"/>
  <c r="AU37" i="16"/>
  <c r="AV37" i="16" s="1"/>
  <c r="AU45" i="16"/>
  <c r="AV45" i="16" s="1"/>
  <c r="AU53" i="16"/>
  <c r="AV53" i="16" s="1"/>
  <c r="AU61" i="16"/>
  <c r="AV61" i="16" s="1"/>
  <c r="AU69" i="16"/>
  <c r="AV69" i="16" s="1"/>
  <c r="AU77" i="16"/>
  <c r="AV77" i="16" s="1"/>
  <c r="AU85" i="16"/>
  <c r="AV85" i="16" s="1"/>
  <c r="AU93" i="16"/>
  <c r="AV93" i="16" s="1"/>
  <c r="AU101" i="16"/>
  <c r="AV101" i="16" s="1"/>
  <c r="AU109" i="16"/>
  <c r="AV109" i="16" s="1"/>
  <c r="AU117" i="16"/>
  <c r="AV117" i="16" s="1"/>
  <c r="AU133" i="16"/>
  <c r="AV133" i="16" s="1"/>
  <c r="AU142" i="16"/>
  <c r="AV142" i="16" s="1"/>
  <c r="AU150" i="16"/>
  <c r="AV150" i="16" s="1"/>
  <c r="AU158" i="16"/>
  <c r="AV158" i="16" s="1"/>
  <c r="AU166" i="16"/>
  <c r="AV166" i="16" s="1"/>
  <c r="AU174" i="16"/>
  <c r="AV174" i="16" s="1"/>
  <c r="AU182" i="16"/>
  <c r="AV182" i="16" s="1"/>
  <c r="AU190" i="16"/>
  <c r="AV190" i="16" s="1"/>
  <c r="AU198" i="16"/>
  <c r="AV198" i="16" s="1"/>
  <c r="AU206" i="16"/>
  <c r="AV206" i="16" s="1"/>
  <c r="AU214" i="16"/>
  <c r="AV214" i="16" s="1"/>
  <c r="AU222" i="16"/>
  <c r="AV222" i="16" s="1"/>
  <c r="AU230" i="16"/>
  <c r="AV230" i="16" s="1"/>
  <c r="AU238" i="16"/>
  <c r="AV238" i="16" s="1"/>
  <c r="AU246" i="16"/>
  <c r="AV246" i="16" s="1"/>
  <c r="AU254" i="16"/>
  <c r="AV254" i="16" s="1"/>
  <c r="AU262" i="16"/>
  <c r="AV262" i="16" s="1"/>
  <c r="AU270" i="16"/>
  <c r="AV270" i="16" s="1"/>
  <c r="AU278" i="16"/>
  <c r="AV278" i="16" s="1"/>
  <c r="AU286" i="16"/>
  <c r="AV286" i="16" s="1"/>
  <c r="AU298" i="16"/>
  <c r="AV298" i="16" s="1"/>
  <c r="AU309" i="16"/>
  <c r="AV309" i="16" s="1"/>
  <c r="AU319" i="16"/>
  <c r="AV319" i="16" s="1"/>
  <c r="AU330" i="16"/>
  <c r="AV330" i="16" s="1"/>
  <c r="AU341" i="16"/>
  <c r="AV341" i="16" s="1"/>
  <c r="AU351" i="16"/>
  <c r="AV351" i="16" s="1"/>
  <c r="AU362" i="16"/>
  <c r="AV362" i="16" s="1"/>
  <c r="AU373" i="16"/>
  <c r="AV373" i="16" s="1"/>
  <c r="AU383" i="16"/>
  <c r="AV383" i="16" s="1"/>
  <c r="AU394" i="16"/>
  <c r="AV394" i="16" s="1"/>
  <c r="AU405" i="16"/>
  <c r="AV405" i="16" s="1"/>
  <c r="AU74" i="16"/>
  <c r="AV74" i="16" s="1"/>
  <c r="AU221" i="16"/>
  <c r="AV221" i="16" s="1"/>
  <c r="AU337" i="16"/>
  <c r="AV337" i="16" s="1"/>
  <c r="AU777" i="16"/>
  <c r="AV777" i="16" s="1"/>
  <c r="AU82" i="16"/>
  <c r="AV82" i="16" s="1"/>
  <c r="AU229" i="16"/>
  <c r="AV229" i="16" s="1"/>
  <c r="AU406" i="16"/>
  <c r="AV406" i="16" s="1"/>
  <c r="AU964" i="16"/>
  <c r="AV964" i="16" s="1"/>
  <c r="AU58" i="16"/>
  <c r="AV58" i="16" s="1"/>
  <c r="AU205" i="16"/>
  <c r="AV205" i="16" s="1"/>
  <c r="AU374" i="16"/>
  <c r="AV374" i="16" s="1"/>
  <c r="AU34" i="16"/>
  <c r="AV34" i="16" s="1"/>
  <c r="AU181" i="16"/>
  <c r="AV181" i="16" s="1"/>
  <c r="AU315" i="16"/>
  <c r="AV315" i="16" s="1"/>
  <c r="AU836" i="16"/>
  <c r="AV836" i="16" s="1"/>
  <c r="AU8" i="16"/>
  <c r="AV8" i="16" s="1"/>
  <c r="AU40" i="16"/>
  <c r="AV40" i="16" s="1"/>
  <c r="AU72" i="16"/>
  <c r="AV72" i="16" s="1"/>
  <c r="AU104" i="16"/>
  <c r="AV104" i="16" s="1"/>
  <c r="AU155" i="16"/>
  <c r="AV155" i="16" s="1"/>
  <c r="AU187" i="16"/>
  <c r="AV187" i="16" s="1"/>
  <c r="AU219" i="16"/>
  <c r="AV219" i="16" s="1"/>
  <c r="AU251" i="16"/>
  <c r="AV251" i="16" s="1"/>
  <c r="AU283" i="16"/>
  <c r="AV283" i="16" s="1"/>
  <c r="AU323" i="16"/>
  <c r="AV323" i="16" s="1"/>
  <c r="AU377" i="16"/>
  <c r="AV377" i="16" s="1"/>
  <c r="AU414" i="16"/>
  <c r="AV414" i="16" s="1"/>
  <c r="AU526" i="16"/>
  <c r="AV526" i="16" s="1"/>
  <c r="AU769" i="16"/>
  <c r="AV769" i="16" s="1"/>
  <c r="AU980" i="16"/>
  <c r="AV980" i="16" s="1"/>
  <c r="AU22" i="16"/>
  <c r="AV22" i="16" s="1"/>
  <c r="AU54" i="16"/>
  <c r="AV54" i="16" s="1"/>
  <c r="AU86" i="16"/>
  <c r="AV86" i="16" s="1"/>
  <c r="AU121" i="16"/>
  <c r="AV121" i="16" s="1"/>
  <c r="AU153" i="16"/>
  <c r="AV153" i="16" s="1"/>
  <c r="AU185" i="16"/>
  <c r="AV185" i="16" s="1"/>
  <c r="AU217" i="16"/>
  <c r="AV217" i="16" s="1"/>
  <c r="AU249" i="16"/>
  <c r="AV249" i="16" s="1"/>
  <c r="AU281" i="16"/>
  <c r="AV281" i="16" s="1"/>
  <c r="AU326" i="16"/>
  <c r="AV326" i="16" s="1"/>
  <c r="AU363" i="16"/>
  <c r="AV363" i="16" s="1"/>
  <c r="AU417" i="16"/>
  <c r="AV417" i="16" s="1"/>
  <c r="AU502" i="16"/>
  <c r="AV502" i="16" s="1"/>
  <c r="AU675" i="16"/>
  <c r="AV675" i="16" s="1"/>
  <c r="AU825" i="16"/>
  <c r="AV825" i="16" s="1"/>
  <c r="AU1060" i="16"/>
  <c r="AV1060" i="16" s="1"/>
  <c r="AU12" i="16"/>
  <c r="AV12" i="16" s="1"/>
  <c r="AU44" i="16"/>
  <c r="AV44" i="16" s="1"/>
  <c r="AU76" i="16"/>
  <c r="AV76" i="16" s="1"/>
  <c r="AU108" i="16"/>
  <c r="AV108" i="16" s="1"/>
  <c r="AU143" i="16"/>
  <c r="AV143" i="16" s="1"/>
  <c r="AU175" i="16"/>
  <c r="AV175" i="16" s="1"/>
  <c r="AU207" i="16"/>
  <c r="AV207" i="16" s="1"/>
  <c r="AU239" i="16"/>
  <c r="AV239" i="16" s="1"/>
  <c r="AU271" i="16"/>
  <c r="AV271" i="16" s="1"/>
  <c r="AU302" i="16"/>
  <c r="AV302" i="16" s="1"/>
  <c r="AU339" i="16"/>
  <c r="AV339" i="16" s="1"/>
  <c r="AU393" i="16"/>
  <c r="AV393" i="16" s="1"/>
  <c r="AU434" i="16"/>
  <c r="AV434" i="16" s="1"/>
  <c r="AU510" i="16"/>
  <c r="AV510" i="16" s="1"/>
  <c r="AU643" i="16"/>
  <c r="AV643" i="16" s="1"/>
  <c r="AU817" i="16"/>
  <c r="AV817" i="16" s="1"/>
  <c r="AU1076" i="16"/>
  <c r="AV1076" i="16" s="1"/>
  <c r="AU131" i="16"/>
  <c r="AV131" i="16" s="1"/>
  <c r="AU304" i="16"/>
  <c r="AV304" i="16" s="1"/>
  <c r="AU336" i="16"/>
  <c r="AV336" i="16" s="1"/>
  <c r="AU368" i="16"/>
  <c r="AV368" i="16" s="1"/>
  <c r="AU400" i="16"/>
  <c r="AV400" i="16" s="1"/>
  <c r="AU429" i="16"/>
  <c r="AV429" i="16" s="1"/>
  <c r="AU445" i="16"/>
  <c r="AV445" i="16" s="1"/>
  <c r="AU460" i="16"/>
  <c r="AV460" i="16" s="1"/>
  <c r="AU492" i="16"/>
  <c r="AV492" i="16" s="1"/>
  <c r="AU524" i="16"/>
  <c r="AV524" i="16" s="1"/>
  <c r="AU552" i="16"/>
  <c r="AV552" i="16" s="1"/>
  <c r="AU568" i="16"/>
  <c r="AV568" i="16" s="1"/>
  <c r="AU584" i="16"/>
  <c r="AV584" i="16" s="1"/>
  <c r="AU600" i="16"/>
  <c r="AV600" i="16" s="1"/>
  <c r="AU616" i="16"/>
  <c r="AV616" i="16" s="1"/>
  <c r="AU660" i="16"/>
  <c r="AV660" i="16" s="1"/>
  <c r="AU697" i="16"/>
  <c r="AV697" i="16" s="1"/>
  <c r="AU866" i="16"/>
  <c r="AV866" i="16" s="1"/>
  <c r="AU930" i="16"/>
  <c r="AV930" i="16" s="1"/>
  <c r="AU994" i="16"/>
  <c r="AV994" i="16" s="1"/>
  <c r="AU1058" i="16"/>
  <c r="AV1058" i="16" s="1"/>
  <c r="AU7" i="16"/>
  <c r="AV7" i="16" s="1"/>
  <c r="AU15" i="16"/>
  <c r="AV15" i="16" s="1"/>
  <c r="AU23" i="16"/>
  <c r="AV23" i="16" s="1"/>
  <c r="AU31" i="16"/>
  <c r="AV31" i="16" s="1"/>
  <c r="AU39" i="16"/>
  <c r="AV39" i="16" s="1"/>
  <c r="AU47" i="16"/>
  <c r="AV47" i="16" s="1"/>
  <c r="AU55" i="16"/>
  <c r="AV55" i="16" s="1"/>
  <c r="AU63" i="16"/>
  <c r="AV63" i="16" s="1"/>
  <c r="AU71" i="16"/>
  <c r="AV71" i="16" s="1"/>
  <c r="AU79" i="16"/>
  <c r="AV79" i="16" s="1"/>
  <c r="AU87" i="16"/>
  <c r="AV87" i="16" s="1"/>
  <c r="AU95" i="16"/>
  <c r="AV95" i="16" s="1"/>
  <c r="AU103" i="16"/>
  <c r="AV103" i="16" s="1"/>
  <c r="AU111" i="16"/>
  <c r="AV111" i="16" s="1"/>
  <c r="AU120" i="16"/>
  <c r="AV120" i="16" s="1"/>
  <c r="AU136" i="16"/>
  <c r="AV136" i="16" s="1"/>
  <c r="AU144" i="16"/>
  <c r="AV144" i="16" s="1"/>
  <c r="AU152" i="16"/>
  <c r="AV152" i="16" s="1"/>
  <c r="AU160" i="16"/>
  <c r="AV160" i="16" s="1"/>
  <c r="AU168" i="16"/>
  <c r="AV168" i="16" s="1"/>
  <c r="AU176" i="16"/>
  <c r="AV176" i="16" s="1"/>
  <c r="AU184" i="16"/>
  <c r="AV184" i="16" s="1"/>
  <c r="AU192" i="16"/>
  <c r="AV192" i="16" s="1"/>
  <c r="AU200" i="16"/>
  <c r="AV200" i="16" s="1"/>
  <c r="AU208" i="16"/>
  <c r="AV208" i="16" s="1"/>
  <c r="AU216" i="16"/>
  <c r="AV216" i="16" s="1"/>
  <c r="AU224" i="16"/>
  <c r="AV224" i="16" s="1"/>
  <c r="AU232" i="16"/>
  <c r="AV232" i="16" s="1"/>
  <c r="AU240" i="16"/>
  <c r="AV240" i="16" s="1"/>
  <c r="AU248" i="16"/>
  <c r="AV248" i="16" s="1"/>
  <c r="AU256" i="16"/>
  <c r="AV256" i="16" s="1"/>
  <c r="AU264" i="16"/>
  <c r="AV264" i="16" s="1"/>
  <c r="AU272" i="16"/>
  <c r="AV272" i="16" s="1"/>
  <c r="AU280" i="16"/>
  <c r="AV280" i="16" s="1"/>
  <c r="AU289" i="16"/>
  <c r="AV289" i="16" s="1"/>
  <c r="AU301" i="16"/>
  <c r="AV301" i="16" s="1"/>
  <c r="AU311" i="16"/>
  <c r="AV311" i="16" s="1"/>
  <c r="AU322" i="16"/>
  <c r="AV322" i="16" s="1"/>
  <c r="AU333" i="16"/>
  <c r="AV333" i="16" s="1"/>
  <c r="AU343" i="16"/>
  <c r="AV343" i="16" s="1"/>
  <c r="AU354" i="16"/>
  <c r="AV354" i="16" s="1"/>
  <c r="AU365" i="16"/>
  <c r="AV365" i="16" s="1"/>
  <c r="AU375" i="16"/>
  <c r="AV375" i="16" s="1"/>
  <c r="AU386" i="16"/>
  <c r="AV386" i="16" s="1"/>
  <c r="AU397" i="16"/>
  <c r="AV397" i="16" s="1"/>
  <c r="AU1543" i="16"/>
  <c r="AV1543" i="16" s="1"/>
  <c r="AU1527" i="16"/>
  <c r="AV1527" i="16" s="1"/>
  <c r="AU1511" i="16"/>
  <c r="AV1511" i="16" s="1"/>
  <c r="AU1495" i="16"/>
  <c r="AV1495" i="16" s="1"/>
  <c r="AU1479" i="16"/>
  <c r="AV1479" i="16" s="1"/>
  <c r="AU1463" i="16"/>
  <c r="AV1463" i="16" s="1"/>
  <c r="AU1447" i="16"/>
  <c r="AV1447" i="16" s="1"/>
  <c r="AU1431" i="16"/>
  <c r="AV1431" i="16" s="1"/>
  <c r="AU1415" i="16"/>
  <c r="AV1415" i="16" s="1"/>
  <c r="AU1399" i="16"/>
  <c r="AV1399" i="16" s="1"/>
  <c r="AU1383" i="16"/>
  <c r="AV1383" i="16" s="1"/>
  <c r="AU1628" i="16"/>
  <c r="AV1628" i="16" s="1"/>
  <c r="AU1620" i="16"/>
  <c r="AV1620" i="16" s="1"/>
  <c r="AU1612" i="16"/>
  <c r="AV1612" i="16" s="1"/>
  <c r="AU1604" i="16"/>
  <c r="AV1604" i="16" s="1"/>
  <c r="AU1596" i="16"/>
  <c r="AV1596" i="16" s="1"/>
  <c r="AU1588" i="16"/>
  <c r="AV1588" i="16" s="1"/>
  <c r="AU1580" i="16"/>
  <c r="AV1580" i="16" s="1"/>
  <c r="AU1572" i="16"/>
  <c r="AV1572" i="16" s="1"/>
  <c r="AU1629" i="16"/>
  <c r="AV1629" i="16" s="1"/>
  <c r="AU1597" i="16"/>
  <c r="AV1597" i="16" s="1"/>
  <c r="AU1565" i="16"/>
  <c r="AV1565" i="16" s="1"/>
  <c r="AU1557" i="16"/>
  <c r="AV1557" i="16" s="1"/>
  <c r="AU1549" i="16"/>
  <c r="AV1549" i="16" s="1"/>
  <c r="AU1532" i="16"/>
  <c r="AV1532" i="16" s="1"/>
  <c r="AU1500" i="16"/>
  <c r="AV1500" i="16" s="1"/>
  <c r="AU1468" i="16"/>
  <c r="AV1468" i="16" s="1"/>
  <c r="AU1436" i="16"/>
  <c r="AV1436" i="16" s="1"/>
  <c r="AU1404" i="16"/>
  <c r="AV1404" i="16" s="1"/>
  <c r="AU1372" i="16"/>
  <c r="AV1372" i="16" s="1"/>
  <c r="AU1354" i="16"/>
  <c r="AV1354" i="16" s="1"/>
  <c r="AU1340" i="16"/>
  <c r="AV1340" i="16" s="1"/>
  <c r="AU1332" i="16"/>
  <c r="AV1332" i="16" s="1"/>
  <c r="AU1324" i="16"/>
  <c r="AV1324" i="16" s="1"/>
  <c r="AU1615" i="16"/>
  <c r="AV1615" i="16" s="1"/>
  <c r="AU1583" i="16"/>
  <c r="AV1583" i="16" s="1"/>
  <c r="AU1538" i="16"/>
  <c r="AV1538" i="16" s="1"/>
  <c r="AU1522" i="16"/>
  <c r="AV1522" i="16" s="1"/>
  <c r="AU1506" i="16"/>
  <c r="AV1506" i="16" s="1"/>
  <c r="AU1490" i="16"/>
  <c r="AV1490" i="16" s="1"/>
  <c r="AU1474" i="16"/>
  <c r="AV1474" i="16" s="1"/>
  <c r="AU1458" i="16"/>
  <c r="AV1458" i="16" s="1"/>
  <c r="AU1442" i="16"/>
  <c r="AV1442" i="16" s="1"/>
  <c r="AU1426" i="16"/>
  <c r="AV1426" i="16" s="1"/>
  <c r="AU1410" i="16"/>
  <c r="AV1410" i="16" s="1"/>
  <c r="AU1394" i="16"/>
  <c r="AV1394" i="16" s="1"/>
  <c r="AU1378" i="16"/>
  <c r="AV1378" i="16" s="1"/>
  <c r="AU1363" i="16"/>
  <c r="AV1363" i="16" s="1"/>
  <c r="AU1347" i="16"/>
  <c r="AV1347" i="16" s="1"/>
  <c r="AU1240" i="16"/>
  <c r="AV1240" i="16" s="1"/>
  <c r="AU1208" i="16"/>
  <c r="AV1208" i="16" s="1"/>
  <c r="AU1190" i="16"/>
  <c r="AV1190" i="16" s="1"/>
  <c r="AU1609" i="16"/>
  <c r="AV1609" i="16" s="1"/>
  <c r="AU1577" i="16"/>
  <c r="AV1577" i="16" s="1"/>
  <c r="AU1560" i="16"/>
  <c r="AV1560" i="16" s="1"/>
  <c r="AU1552" i="16"/>
  <c r="AV1552" i="16" s="1"/>
  <c r="AU1544" i="16"/>
  <c r="AV1544" i="16" s="1"/>
  <c r="AU1512" i="16"/>
  <c r="AV1512" i="16" s="1"/>
  <c r="AU1480" i="16"/>
  <c r="AV1480" i="16" s="1"/>
  <c r="AU1448" i="16"/>
  <c r="AV1448" i="16" s="1"/>
  <c r="AU1416" i="16"/>
  <c r="AV1416" i="16" s="1"/>
  <c r="AU1384" i="16"/>
  <c r="AV1384" i="16" s="1"/>
  <c r="AU1360" i="16"/>
  <c r="AV1360" i="16" s="1"/>
  <c r="AU1619" i="16"/>
  <c r="AV1619" i="16" s="1"/>
  <c r="AU1327" i="16"/>
  <c r="AV1327" i="16" s="1"/>
  <c r="AU1313" i="16"/>
  <c r="AV1313" i="16" s="1"/>
  <c r="AU1305" i="16"/>
  <c r="AV1305" i="16" s="1"/>
  <c r="AU1297" i="16"/>
  <c r="AV1297" i="16" s="1"/>
  <c r="AU1289" i="16"/>
  <c r="AV1289" i="16" s="1"/>
  <c r="AU1281" i="16"/>
  <c r="AV1281" i="16" s="1"/>
  <c r="AU1273" i="16"/>
  <c r="AV1273" i="16" s="1"/>
  <c r="AU1265" i="16"/>
  <c r="AV1265" i="16" s="1"/>
  <c r="AU1257" i="16"/>
  <c r="AV1257" i="16" s="1"/>
  <c r="AU1234" i="16"/>
  <c r="AV1234" i="16" s="1"/>
  <c r="AU1211" i="16"/>
  <c r="AV1211" i="16" s="1"/>
  <c r="AU1183" i="16"/>
  <c r="AV1183" i="16" s="1"/>
  <c r="AU1167" i="16"/>
  <c r="AV1167" i="16" s="1"/>
  <c r="AU1151" i="16"/>
  <c r="AV1151" i="16" s="1"/>
  <c r="AU1135" i="16"/>
  <c r="AV1135" i="16" s="1"/>
  <c r="AU1119" i="16"/>
  <c r="AV1119" i="16" s="1"/>
  <c r="AU1103" i="16"/>
  <c r="AV1103" i="16" s="1"/>
  <c r="AU1611" i="16"/>
  <c r="AV1611" i="16" s="1"/>
  <c r="AU1526" i="16"/>
  <c r="AV1526" i="16" s="1"/>
  <c r="AU1494" i="16"/>
  <c r="AV1494" i="16" s="1"/>
  <c r="AU1462" i="16"/>
  <c r="AV1462" i="16" s="1"/>
  <c r="AU1430" i="16"/>
  <c r="AV1430" i="16" s="1"/>
  <c r="AU1398" i="16"/>
  <c r="AV1398" i="16" s="1"/>
  <c r="AU1361" i="16"/>
  <c r="AV1361" i="16" s="1"/>
  <c r="AU1321" i="16"/>
  <c r="AV1321" i="16" s="1"/>
  <c r="AU1244" i="16"/>
  <c r="AV1244" i="16" s="1"/>
  <c r="AU1228" i="16"/>
  <c r="AV1228" i="16" s="1"/>
  <c r="AU1212" i="16"/>
  <c r="AV1212" i="16" s="1"/>
  <c r="AU1197" i="16"/>
  <c r="AV1197" i="16" s="1"/>
  <c r="AU1180" i="16"/>
  <c r="AV1180" i="16" s="1"/>
  <c r="AU1164" i="16"/>
  <c r="AV1164" i="16" s="1"/>
  <c r="AU1148" i="16"/>
  <c r="AV1148" i="16" s="1"/>
  <c r="AU1132" i="16"/>
  <c r="AV1132" i="16" s="1"/>
  <c r="AU1116" i="16"/>
  <c r="AV1116" i="16" s="1"/>
  <c r="AU1100" i="16"/>
  <c r="AV1100" i="16" s="1"/>
  <c r="AU1085" i="16"/>
  <c r="AV1085" i="16" s="1"/>
  <c r="AU1077" i="16"/>
  <c r="AV1077" i="16" s="1"/>
  <c r="AU1069" i="16"/>
  <c r="AV1069" i="16" s="1"/>
  <c r="AU1061" i="16"/>
  <c r="AV1061" i="16" s="1"/>
  <c r="AU1053" i="16"/>
  <c r="AV1053" i="16" s="1"/>
  <c r="AU1045" i="16"/>
  <c r="AV1045" i="16" s="1"/>
  <c r="AU1037" i="16"/>
  <c r="AV1037" i="16" s="1"/>
  <c r="AU1029" i="16"/>
  <c r="AV1029" i="16" s="1"/>
  <c r="AU1021" i="16"/>
  <c r="AV1021" i="16" s="1"/>
  <c r="AU1013" i="16"/>
  <c r="AV1013" i="16" s="1"/>
  <c r="AU1005" i="16"/>
  <c r="AV1005" i="16" s="1"/>
  <c r="AU997" i="16"/>
  <c r="AV997" i="16" s="1"/>
  <c r="AU989" i="16"/>
  <c r="AV989" i="16" s="1"/>
  <c r="AU981" i="16"/>
  <c r="AV981" i="16" s="1"/>
  <c r="AU973" i="16"/>
  <c r="AV973" i="16" s="1"/>
  <c r="AU965" i="16"/>
  <c r="AV965" i="16" s="1"/>
  <c r="AU957" i="16"/>
  <c r="AV957" i="16" s="1"/>
  <c r="AU949" i="16"/>
  <c r="AV949" i="16" s="1"/>
  <c r="AU941" i="16"/>
  <c r="AV941" i="16" s="1"/>
  <c r="AU933" i="16"/>
  <c r="AV933" i="16" s="1"/>
  <c r="AU925" i="16"/>
  <c r="AV925" i="16" s="1"/>
  <c r="AU917" i="16"/>
  <c r="AV917" i="16" s="1"/>
  <c r="AU909" i="16"/>
  <c r="AV909" i="16" s="1"/>
  <c r="AU901" i="16"/>
  <c r="AV901" i="16" s="1"/>
  <c r="AU893" i="16"/>
  <c r="AV893" i="16" s="1"/>
  <c r="AU885" i="16"/>
  <c r="AV885" i="16" s="1"/>
  <c r="AU877" i="16"/>
  <c r="AV877" i="16" s="1"/>
  <c r="AU869" i="16"/>
  <c r="AV869" i="16" s="1"/>
  <c r="AU861" i="16"/>
  <c r="AV861" i="16" s="1"/>
  <c r="AU853" i="16"/>
  <c r="AV853" i="16" s="1"/>
  <c r="AU845" i="16"/>
  <c r="AV845" i="16" s="1"/>
  <c r="AU837" i="16"/>
  <c r="AV837" i="16" s="1"/>
  <c r="AU826" i="16"/>
  <c r="AV826" i="16" s="1"/>
  <c r="AU810" i="16"/>
  <c r="AV810" i="16" s="1"/>
  <c r="AU794" i="16"/>
  <c r="AV794" i="16" s="1"/>
  <c r="AU778" i="16"/>
  <c r="AV778" i="16" s="1"/>
  <c r="AU762" i="16"/>
  <c r="AV762" i="16" s="1"/>
  <c r="AU746" i="16"/>
  <c r="AV746" i="16" s="1"/>
  <c r="AU730" i="16"/>
  <c r="AV730" i="16" s="1"/>
  <c r="AU714" i="16"/>
  <c r="AV714" i="16" s="1"/>
  <c r="AU698" i="16"/>
  <c r="AV698" i="16" s="1"/>
  <c r="AU682" i="16"/>
  <c r="AV682" i="16" s="1"/>
  <c r="AU666" i="16"/>
  <c r="AV666" i="16" s="1"/>
  <c r="AU650" i="16"/>
  <c r="AV650" i="16" s="1"/>
  <c r="AU634" i="16"/>
  <c r="AV634" i="16" s="1"/>
  <c r="AU618" i="16"/>
  <c r="AV618" i="16" s="1"/>
  <c r="AU1349" i="16"/>
  <c r="AV1349" i="16" s="1"/>
  <c r="AU1323" i="16"/>
  <c r="AV1323" i="16" s="1"/>
  <c r="AU1312" i="16"/>
  <c r="AV1312" i="16" s="1"/>
  <c r="AU1304" i="16"/>
  <c r="AV1304" i="16" s="1"/>
  <c r="AU1296" i="16"/>
  <c r="AV1296" i="16" s="1"/>
  <c r="AU1288" i="16"/>
  <c r="AV1288" i="16" s="1"/>
  <c r="AU1280" i="16"/>
  <c r="AV1280" i="16" s="1"/>
  <c r="AU1272" i="16"/>
  <c r="AV1272" i="16" s="1"/>
  <c r="AU1264" i="16"/>
  <c r="AV1264" i="16" s="1"/>
  <c r="AU1251" i="16"/>
  <c r="AV1251" i="16" s="1"/>
  <c r="AU1233" i="16"/>
  <c r="AV1233" i="16" s="1"/>
  <c r="AU1210" i="16"/>
  <c r="AV1210" i="16" s="1"/>
  <c r="AU1181" i="16"/>
  <c r="AV1181" i="16" s="1"/>
  <c r="AU1165" i="16"/>
  <c r="AV1165" i="16" s="1"/>
  <c r="AU1149" i="16"/>
  <c r="AV1149" i="16" s="1"/>
  <c r="AU1133" i="16"/>
  <c r="AV1133" i="16" s="1"/>
  <c r="AU1117" i="16"/>
  <c r="AV1117" i="16" s="1"/>
  <c r="AU1101" i="16"/>
  <c r="AV1101" i="16" s="1"/>
  <c r="AU831" i="16"/>
  <c r="AV831" i="16" s="1"/>
  <c r="AU815" i="16"/>
  <c r="AV815" i="16" s="1"/>
  <c r="AU799" i="16"/>
  <c r="AV799" i="16" s="1"/>
  <c r="AU783" i="16"/>
  <c r="AV783" i="16" s="1"/>
  <c r="AU767" i="16"/>
  <c r="AV767" i="16" s="1"/>
  <c r="AU751" i="16"/>
  <c r="AV751" i="16" s="1"/>
  <c r="AU735" i="16"/>
  <c r="AV735" i="16" s="1"/>
  <c r="AU719" i="16"/>
  <c r="AV719" i="16" s="1"/>
  <c r="AU1595" i="16"/>
  <c r="AV1595" i="16" s="1"/>
  <c r="AU1220" i="16"/>
  <c r="AV1220" i="16" s="1"/>
  <c r="AU1070" i="16"/>
  <c r="AV1070" i="16" s="1"/>
  <c r="AU1038" i="16"/>
  <c r="AV1038" i="16" s="1"/>
  <c r="AU1006" i="16"/>
  <c r="AV1006" i="16" s="1"/>
  <c r="AU974" i="16"/>
  <c r="AV974" i="16" s="1"/>
  <c r="AU942" i="16"/>
  <c r="AV942" i="16" s="1"/>
  <c r="AU910" i="16"/>
  <c r="AV910" i="16" s="1"/>
  <c r="AU878" i="16"/>
  <c r="AV878" i="16" s="1"/>
  <c r="AU846" i="16"/>
  <c r="AV846" i="16" s="1"/>
  <c r="AU687" i="16"/>
  <c r="AV687" i="16" s="1"/>
  <c r="AU655" i="16"/>
  <c r="AV655" i="16" s="1"/>
  <c r="AU623" i="16"/>
  <c r="AV623" i="16" s="1"/>
  <c r="AU602" i="16"/>
  <c r="AV602" i="16" s="1"/>
  <c r="AU586" i="16"/>
  <c r="AV586" i="16" s="1"/>
  <c r="AU570" i="16"/>
  <c r="AV570" i="16" s="1"/>
  <c r="AU554" i="16"/>
  <c r="AV554" i="16" s="1"/>
  <c r="AU541" i="16"/>
  <c r="AV541" i="16" s="1"/>
  <c r="AU533" i="16"/>
  <c r="AV533" i="16" s="1"/>
  <c r="AU525" i="16"/>
  <c r="AV525" i="16" s="1"/>
  <c r="AU517" i="16"/>
  <c r="AV517" i="16" s="1"/>
  <c r="AU509" i="16"/>
  <c r="AV509" i="16" s="1"/>
  <c r="AU501" i="16"/>
  <c r="AV501" i="16" s="1"/>
  <c r="AU493" i="16"/>
  <c r="AV493" i="16" s="1"/>
  <c r="AU485" i="16"/>
  <c r="AV485" i="16" s="1"/>
  <c r="AU477" i="16"/>
  <c r="AV477" i="16" s="1"/>
  <c r="AU469" i="16"/>
  <c r="AV469" i="16" s="1"/>
  <c r="AU461" i="16"/>
  <c r="AV461" i="16" s="1"/>
  <c r="AU440" i="16"/>
  <c r="AV440" i="16" s="1"/>
  <c r="AU1486" i="16"/>
  <c r="AV1486" i="16" s="1"/>
  <c r="AU1422" i="16"/>
  <c r="AV1422" i="16" s="1"/>
  <c r="AU1341" i="16"/>
  <c r="AV1341" i="16" s="1"/>
  <c r="AU1215" i="16"/>
  <c r="AV1215" i="16" s="1"/>
  <c r="AU1080" i="16"/>
  <c r="AV1080" i="16" s="1"/>
  <c r="AU1048" i="16"/>
  <c r="AV1048" i="16" s="1"/>
  <c r="AU1016" i="16"/>
  <c r="AV1016" i="16" s="1"/>
  <c r="AU984" i="16"/>
  <c r="AV984" i="16" s="1"/>
  <c r="AU952" i="16"/>
  <c r="AV952" i="16" s="1"/>
  <c r="AU920" i="16"/>
  <c r="AV920" i="16" s="1"/>
  <c r="AU888" i="16"/>
  <c r="AV888" i="16" s="1"/>
  <c r="AU856" i="16"/>
  <c r="AV856" i="16" s="1"/>
  <c r="AU828" i="16"/>
  <c r="AV828" i="16" s="1"/>
  <c r="AU812" i="16"/>
  <c r="AV812" i="16" s="1"/>
  <c r="AU796" i="16"/>
  <c r="AV796" i="16" s="1"/>
  <c r="AU780" i="16"/>
  <c r="AV780" i="16" s="1"/>
  <c r="AU764" i="16"/>
  <c r="AV764" i="16" s="1"/>
  <c r="AU748" i="16"/>
  <c r="AV748" i="16" s="1"/>
  <c r="AU732" i="16"/>
  <c r="AV732" i="16" s="1"/>
  <c r="AU716" i="16"/>
  <c r="AV716" i="16" s="1"/>
  <c r="AU701" i="16"/>
  <c r="AV701" i="16" s="1"/>
  <c r="AU685" i="16"/>
  <c r="AV685" i="16" s="1"/>
  <c r="AU669" i="16"/>
  <c r="AV669" i="16" s="1"/>
  <c r="AU653" i="16"/>
  <c r="AV653" i="16" s="1"/>
  <c r="AU637" i="16"/>
  <c r="AV637" i="16" s="1"/>
  <c r="AU621" i="16"/>
  <c r="AV621" i="16" s="1"/>
  <c r="AU603" i="16"/>
  <c r="AV603" i="16" s="1"/>
  <c r="AU587" i="16"/>
  <c r="AV587" i="16" s="1"/>
  <c r="AU571" i="16"/>
  <c r="AV571" i="16" s="1"/>
  <c r="AU555" i="16"/>
  <c r="AV555" i="16" s="1"/>
  <c r="AU1236" i="16"/>
  <c r="AV1236" i="16" s="1"/>
  <c r="AU1066" i="16"/>
  <c r="AV1066" i="16" s="1"/>
  <c r="AU1002" i="16"/>
  <c r="AV1002" i="16" s="1"/>
  <c r="AU938" i="16"/>
  <c r="AV938" i="16" s="1"/>
  <c r="AU874" i="16"/>
  <c r="AV874" i="16" s="1"/>
  <c r="AU681" i="16"/>
  <c r="AV681" i="16" s="1"/>
  <c r="AU644" i="16"/>
  <c r="AV644" i="16" s="1"/>
  <c r="AU609" i="16"/>
  <c r="AV609" i="16" s="1"/>
  <c r="AU593" i="16"/>
  <c r="AV593" i="16" s="1"/>
  <c r="AU577" i="16"/>
  <c r="AV577" i="16" s="1"/>
  <c r="AU561" i="16"/>
  <c r="AV561" i="16" s="1"/>
  <c r="AU544" i="16"/>
  <c r="AV544" i="16" s="1"/>
  <c r="AU512" i="16"/>
  <c r="AV512" i="16" s="1"/>
  <c r="AU480" i="16"/>
  <c r="AV480" i="16" s="1"/>
  <c r="AU453" i="16"/>
  <c r="AV453" i="16" s="1"/>
  <c r="AU437" i="16"/>
  <c r="AV437" i="16" s="1"/>
  <c r="AU412" i="16"/>
  <c r="AV412" i="16" s="1"/>
  <c r="AU380" i="16"/>
  <c r="AV380" i="16" s="1"/>
  <c r="AU348" i="16"/>
  <c r="AV348" i="16" s="1"/>
  <c r="AU316" i="16"/>
  <c r="AV316" i="16" s="1"/>
  <c r="AU288" i="16"/>
  <c r="AV288" i="16" s="1"/>
  <c r="AU122" i="16"/>
  <c r="AV122" i="16" s="1"/>
  <c r="AU1470" i="16"/>
  <c r="AV1470" i="16" s="1"/>
  <c r="AU1325" i="16"/>
  <c r="AV1325" i="16" s="1"/>
  <c r="AU1182" i="16"/>
  <c r="AV1182" i="16" s="1"/>
  <c r="AU1166" i="16"/>
  <c r="AV1166" i="16" s="1"/>
  <c r="AU1150" i="16"/>
  <c r="AV1150" i="16" s="1"/>
  <c r="AU1134" i="16"/>
  <c r="AV1134" i="16" s="1"/>
  <c r="AU1118" i="16"/>
  <c r="AV1118" i="16" s="1"/>
  <c r="AU1102" i="16"/>
  <c r="AV1102" i="16" s="1"/>
  <c r="AU1084" i="16"/>
  <c r="AV1084" i="16" s="1"/>
  <c r="AU1020" i="16"/>
  <c r="AV1020" i="16" s="1"/>
  <c r="AU956" i="16"/>
  <c r="AV956" i="16" s="1"/>
  <c r="AU892" i="16"/>
  <c r="AV892" i="16" s="1"/>
  <c r="AU829" i="16"/>
  <c r="AV829" i="16" s="1"/>
  <c r="AU797" i="16"/>
  <c r="AV797" i="16" s="1"/>
  <c r="AU765" i="16"/>
  <c r="AV765" i="16" s="1"/>
  <c r="AU733" i="16"/>
  <c r="AV733" i="16" s="1"/>
  <c r="AU691" i="16"/>
  <c r="AV691" i="16" s="1"/>
  <c r="AU657" i="16"/>
  <c r="AV657" i="16" s="1"/>
  <c r="AU620" i="16"/>
  <c r="AV620" i="16" s="1"/>
  <c r="AU514" i="16"/>
  <c r="AV514" i="16" s="1"/>
  <c r="AU482" i="16"/>
  <c r="AV482" i="16" s="1"/>
  <c r="AU451" i="16"/>
  <c r="AV451" i="16" s="1"/>
  <c r="AU433" i="16"/>
  <c r="AV433" i="16" s="1"/>
  <c r="AU418" i="16"/>
  <c r="AV418" i="16" s="1"/>
  <c r="AU1539" i="16"/>
  <c r="AV1539" i="16" s="1"/>
  <c r="AU1523" i="16"/>
  <c r="AV1523" i="16" s="1"/>
  <c r="AU1507" i="16"/>
  <c r="AV1507" i="16" s="1"/>
  <c r="AU1491" i="16"/>
  <c r="AV1491" i="16" s="1"/>
  <c r="AU1475" i="16"/>
  <c r="AV1475" i="16" s="1"/>
  <c r="AU1459" i="16"/>
  <c r="AV1459" i="16" s="1"/>
  <c r="AU1443" i="16"/>
  <c r="AV1443" i="16" s="1"/>
  <c r="AU1427" i="16"/>
  <c r="AV1427" i="16" s="1"/>
  <c r="AU1411" i="16"/>
  <c r="AV1411" i="16" s="1"/>
  <c r="AU1395" i="16"/>
  <c r="AV1395" i="16" s="1"/>
  <c r="AU1379" i="16"/>
  <c r="AV1379" i="16" s="1"/>
  <c r="AU1626" i="16"/>
  <c r="AV1626" i="16" s="1"/>
  <c r="AU1618" i="16"/>
  <c r="AV1618" i="16" s="1"/>
  <c r="AU1610" i="16"/>
  <c r="AV1610" i="16" s="1"/>
  <c r="AU1602" i="16"/>
  <c r="AV1602" i="16" s="1"/>
  <c r="AU1594" i="16"/>
  <c r="AV1594" i="16" s="1"/>
  <c r="AU1586" i="16"/>
  <c r="AV1586" i="16" s="1"/>
  <c r="AU1578" i="16"/>
  <c r="AV1578" i="16" s="1"/>
  <c r="AU1570" i="16"/>
  <c r="AV1570" i="16" s="1"/>
  <c r="AU1621" i="16"/>
  <c r="AV1621" i="16" s="1"/>
  <c r="AU1589" i="16"/>
  <c r="AV1589" i="16" s="1"/>
  <c r="AU1563" i="16"/>
  <c r="AV1563" i="16" s="1"/>
  <c r="AU1555" i="16"/>
  <c r="AV1555" i="16" s="1"/>
  <c r="AU1547" i="16"/>
  <c r="AV1547" i="16" s="1"/>
  <c r="AU1524" i="16"/>
  <c r="AV1524" i="16" s="1"/>
  <c r="AU1492" i="16"/>
  <c r="AV1492" i="16" s="1"/>
  <c r="AU1460" i="16"/>
  <c r="AV1460" i="16" s="1"/>
  <c r="AU1428" i="16"/>
  <c r="AV1428" i="16" s="1"/>
  <c r="AU1396" i="16"/>
  <c r="AV1396" i="16" s="1"/>
  <c r="AU1366" i="16"/>
  <c r="AV1366" i="16" s="1"/>
  <c r="AU1350" i="16"/>
  <c r="AV1350" i="16" s="1"/>
  <c r="AU1338" i="16"/>
  <c r="AV1338" i="16" s="1"/>
  <c r="AU1330" i="16"/>
  <c r="AV1330" i="16" s="1"/>
  <c r="AU1322" i="16"/>
  <c r="AV1322" i="16" s="1"/>
  <c r="AU1607" i="16"/>
  <c r="AV1607" i="16" s="1"/>
  <c r="AU1575" i="16"/>
  <c r="AV1575" i="16" s="1"/>
  <c r="AU1533" i="16"/>
  <c r="AV1533" i="16" s="1"/>
  <c r="AU1517" i="16"/>
  <c r="AV1517" i="16" s="1"/>
  <c r="AU1501" i="16"/>
  <c r="AV1501" i="16" s="1"/>
  <c r="AU1485" i="16"/>
  <c r="AV1485" i="16" s="1"/>
  <c r="AU1469" i="16"/>
  <c r="AV1469" i="16" s="1"/>
  <c r="AU1453" i="16"/>
  <c r="AV1453" i="16" s="1"/>
  <c r="AU1437" i="16"/>
  <c r="AV1437" i="16" s="1"/>
  <c r="AU1421" i="16"/>
  <c r="AV1421" i="16" s="1"/>
  <c r="AU1405" i="16"/>
  <c r="AV1405" i="16" s="1"/>
  <c r="AU1389" i="16"/>
  <c r="AV1389" i="16" s="1"/>
  <c r="AU1373" i="16"/>
  <c r="AV1373" i="16" s="1"/>
  <c r="AU1359" i="16"/>
  <c r="AV1359" i="16" s="1"/>
  <c r="AU1343" i="16"/>
  <c r="AV1343" i="16" s="1"/>
  <c r="AU1232" i="16"/>
  <c r="AV1232" i="16" s="1"/>
  <c r="AU1202" i="16"/>
  <c r="AV1202" i="16" s="1"/>
  <c r="AU1186" i="16"/>
  <c r="AV1186" i="16" s="1"/>
  <c r="AU1601" i="16"/>
  <c r="AV1601" i="16" s="1"/>
  <c r="AU1569" i="16"/>
  <c r="AV1569" i="16" s="1"/>
  <c r="AU1558" i="16"/>
  <c r="AV1558" i="16" s="1"/>
  <c r="AU1550" i="16"/>
  <c r="AV1550" i="16" s="1"/>
  <c r="AU1536" i="16"/>
  <c r="AV1536" i="16" s="1"/>
  <c r="AU1504" i="16"/>
  <c r="AV1504" i="16" s="1"/>
  <c r="AU1472" i="16"/>
  <c r="AV1472" i="16" s="1"/>
  <c r="AU1440" i="16"/>
  <c r="AV1440" i="16" s="1"/>
  <c r="AU1408" i="16"/>
  <c r="AV1408" i="16" s="1"/>
  <c r="AU1376" i="16"/>
  <c r="AV1376" i="16" s="1"/>
  <c r="AU1356" i="16"/>
  <c r="AV1356" i="16" s="1"/>
  <c r="AU1587" i="16"/>
  <c r="AV1587" i="16" s="1"/>
  <c r="AU1319" i="16"/>
  <c r="AV1319" i="16" s="1"/>
  <c r="AU1311" i="16"/>
  <c r="AV1311" i="16" s="1"/>
  <c r="AU1303" i="16"/>
  <c r="AV1303" i="16" s="1"/>
  <c r="AU1295" i="16"/>
  <c r="AV1295" i="16" s="1"/>
  <c r="AU1287" i="16"/>
  <c r="AV1287" i="16" s="1"/>
  <c r="AU1279" i="16"/>
  <c r="AV1279" i="16" s="1"/>
  <c r="AU1271" i="16"/>
  <c r="AV1271" i="16" s="1"/>
  <c r="AU1263" i="16"/>
  <c r="AV1263" i="16" s="1"/>
  <c r="AU1250" i="16"/>
  <c r="AV1250" i="16" s="1"/>
  <c r="AU1227" i="16"/>
  <c r="AV1227" i="16" s="1"/>
  <c r="AU1209" i="16"/>
  <c r="AV1209" i="16" s="1"/>
  <c r="AU1179" i="16"/>
  <c r="AV1179" i="16" s="1"/>
  <c r="AU1163" i="16"/>
  <c r="AV1163" i="16" s="1"/>
  <c r="AU1147" i="16"/>
  <c r="AV1147" i="16" s="1"/>
  <c r="AU1131" i="16"/>
  <c r="AV1131" i="16" s="1"/>
  <c r="AU1115" i="16"/>
  <c r="AV1115" i="16" s="1"/>
  <c r="AU1099" i="16"/>
  <c r="AV1099" i="16" s="1"/>
  <c r="AU1579" i="16"/>
  <c r="AV1579" i="16" s="1"/>
  <c r="AU1521" i="16"/>
  <c r="AV1521" i="16" s="1"/>
  <c r="AU1489" i="16"/>
  <c r="AV1489" i="16" s="1"/>
  <c r="AU1457" i="16"/>
  <c r="AV1457" i="16" s="1"/>
  <c r="AU1425" i="16"/>
  <c r="AV1425" i="16" s="1"/>
  <c r="AU1393" i="16"/>
  <c r="AV1393" i="16" s="1"/>
  <c r="AU1344" i="16"/>
  <c r="AV1344" i="16" s="1"/>
  <c r="AU1255" i="16"/>
  <c r="AV1255" i="16" s="1"/>
  <c r="AU1239" i="16"/>
  <c r="AV1239" i="16" s="1"/>
  <c r="AU1223" i="16"/>
  <c r="AV1223" i="16" s="1"/>
  <c r="AU1207" i="16"/>
  <c r="AV1207" i="16" s="1"/>
  <c r="AU1192" i="16"/>
  <c r="AV1192" i="16" s="1"/>
  <c r="AU1176" i="16"/>
  <c r="AV1176" i="16" s="1"/>
  <c r="AU1160" i="16"/>
  <c r="AV1160" i="16" s="1"/>
  <c r="AU1144" i="16"/>
  <c r="AV1144" i="16" s="1"/>
  <c r="AU1128" i="16"/>
  <c r="AV1128" i="16" s="1"/>
  <c r="AU1112" i="16"/>
  <c r="AV1112" i="16" s="1"/>
  <c r="AU1096" i="16"/>
  <c r="AV1096" i="16" s="1"/>
  <c r="AU1083" i="16"/>
  <c r="AV1083" i="16" s="1"/>
  <c r="AU1075" i="16"/>
  <c r="AV1075" i="16" s="1"/>
  <c r="AU1067" i="16"/>
  <c r="AV1067" i="16" s="1"/>
  <c r="AU1059" i="16"/>
  <c r="AV1059" i="16" s="1"/>
  <c r="AU1051" i="16"/>
  <c r="AV1051" i="16" s="1"/>
  <c r="AU1043" i="16"/>
  <c r="AV1043" i="16" s="1"/>
  <c r="AU1035" i="16"/>
  <c r="AV1035" i="16" s="1"/>
  <c r="AU1027" i="16"/>
  <c r="AV1027" i="16" s="1"/>
  <c r="AU1019" i="16"/>
  <c r="AV1019" i="16" s="1"/>
  <c r="AU1011" i="16"/>
  <c r="AV1011" i="16" s="1"/>
  <c r="AU1003" i="16"/>
  <c r="AV1003" i="16" s="1"/>
  <c r="AU995" i="16"/>
  <c r="AV995" i="16" s="1"/>
  <c r="AU987" i="16"/>
  <c r="AV987" i="16" s="1"/>
  <c r="AU979" i="16"/>
  <c r="AV979" i="16" s="1"/>
  <c r="AU971" i="16"/>
  <c r="AV971" i="16" s="1"/>
  <c r="AU963" i="16"/>
  <c r="AV963" i="16" s="1"/>
  <c r="AU955" i="16"/>
  <c r="AV955" i="16" s="1"/>
  <c r="AU947" i="16"/>
  <c r="AV947" i="16" s="1"/>
  <c r="AU939" i="16"/>
  <c r="AV939" i="16" s="1"/>
  <c r="AU931" i="16"/>
  <c r="AV931" i="16" s="1"/>
  <c r="AU923" i="16"/>
  <c r="AV923" i="16" s="1"/>
  <c r="AU915" i="16"/>
  <c r="AV915" i="16" s="1"/>
  <c r="AU907" i="16"/>
  <c r="AV907" i="16" s="1"/>
  <c r="AU899" i="16"/>
  <c r="AV899" i="16" s="1"/>
  <c r="AU891" i="16"/>
  <c r="AV891" i="16" s="1"/>
  <c r="AU883" i="16"/>
  <c r="AV883" i="16" s="1"/>
  <c r="AU875" i="16"/>
  <c r="AV875" i="16" s="1"/>
  <c r="AU867" i="16"/>
  <c r="AV867" i="16" s="1"/>
  <c r="AU859" i="16"/>
  <c r="AV859" i="16" s="1"/>
  <c r="AU851" i="16"/>
  <c r="AV851" i="16" s="1"/>
  <c r="AU843" i="16"/>
  <c r="AV843" i="16" s="1"/>
  <c r="AU835" i="16"/>
  <c r="AV835" i="16" s="1"/>
  <c r="AU822" i="16"/>
  <c r="AV822" i="16" s="1"/>
  <c r="AU806" i="16"/>
  <c r="AV806" i="16" s="1"/>
  <c r="AU790" i="16"/>
  <c r="AV790" i="16" s="1"/>
  <c r="AU774" i="16"/>
  <c r="AV774" i="16" s="1"/>
  <c r="AU758" i="16"/>
  <c r="AV758" i="16" s="1"/>
  <c r="AU742" i="16"/>
  <c r="AV742" i="16" s="1"/>
  <c r="AU726" i="16"/>
  <c r="AV726" i="16" s="1"/>
  <c r="AU710" i="16"/>
  <c r="AV710" i="16" s="1"/>
  <c r="AU694" i="16"/>
  <c r="AV694" i="16" s="1"/>
  <c r="AU678" i="16"/>
  <c r="AV678" i="16" s="1"/>
  <c r="AU662" i="16"/>
  <c r="AV662" i="16" s="1"/>
  <c r="AU646" i="16"/>
  <c r="AV646" i="16" s="1"/>
  <c r="AU630" i="16"/>
  <c r="AV630" i="16" s="1"/>
  <c r="AU1603" i="16"/>
  <c r="AV1603" i="16" s="1"/>
  <c r="AU1345" i="16"/>
  <c r="AV1345" i="16" s="1"/>
  <c r="AU1318" i="16"/>
  <c r="AV1318" i="16" s="1"/>
  <c r="AU1310" i="16"/>
  <c r="AV1310" i="16" s="1"/>
  <c r="AU1302" i="16"/>
  <c r="AV1302" i="16" s="1"/>
  <c r="AU1294" i="16"/>
  <c r="AV1294" i="16" s="1"/>
  <c r="AU1286" i="16"/>
  <c r="AV1286" i="16" s="1"/>
  <c r="AU1278" i="16"/>
  <c r="AV1278" i="16" s="1"/>
  <c r="AU1270" i="16"/>
  <c r="AV1270" i="16" s="1"/>
  <c r="AU1262" i="16"/>
  <c r="AV1262" i="16" s="1"/>
  <c r="AU1249" i="16"/>
  <c r="AV1249" i="16" s="1"/>
  <c r="AU1226" i="16"/>
  <c r="AV1226" i="16" s="1"/>
  <c r="AU1203" i="16"/>
  <c r="AV1203" i="16" s="1"/>
  <c r="AU1177" i="16"/>
  <c r="AV1177" i="16" s="1"/>
  <c r="AU1161" i="16"/>
  <c r="AV1161" i="16" s="1"/>
  <c r="AU1145" i="16"/>
  <c r="AV1145" i="16" s="1"/>
  <c r="AU1129" i="16"/>
  <c r="AV1129" i="16" s="1"/>
  <c r="AU1113" i="16"/>
  <c r="AV1113" i="16" s="1"/>
  <c r="AU1097" i="16"/>
  <c r="AV1097" i="16" s="1"/>
  <c r="AU827" i="16"/>
  <c r="AV827" i="16" s="1"/>
  <c r="AU811" i="16"/>
  <c r="AV811" i="16" s="1"/>
  <c r="AU795" i="16"/>
  <c r="AV795" i="16" s="1"/>
  <c r="AU779" i="16"/>
  <c r="AV779" i="16" s="1"/>
  <c r="AU763" i="16"/>
  <c r="AV763" i="16" s="1"/>
  <c r="AU747" i="16"/>
  <c r="AV747" i="16" s="1"/>
  <c r="AU731" i="16"/>
  <c r="AV731" i="16" s="1"/>
  <c r="AU715" i="16"/>
  <c r="AV715" i="16" s="1"/>
  <c r="AU1353" i="16"/>
  <c r="AV1353" i="16" s="1"/>
  <c r="AU1213" i="16"/>
  <c r="AV1213" i="16" s="1"/>
  <c r="AU1062" i="16"/>
  <c r="AV1062" i="16" s="1"/>
  <c r="AU1030" i="16"/>
  <c r="AV1030" i="16" s="1"/>
  <c r="AU998" i="16"/>
  <c r="AV998" i="16" s="1"/>
  <c r="AU966" i="16"/>
  <c r="AV966" i="16" s="1"/>
  <c r="AU934" i="16"/>
  <c r="AV934" i="16" s="1"/>
  <c r="AU902" i="16"/>
  <c r="AV902" i="16" s="1"/>
  <c r="AU870" i="16"/>
  <c r="AV870" i="16" s="1"/>
  <c r="AU838" i="16"/>
  <c r="AV838" i="16" s="1"/>
  <c r="AU679" i="16"/>
  <c r="AV679" i="16" s="1"/>
  <c r="AU647" i="16"/>
  <c r="AV647" i="16" s="1"/>
  <c r="AU614" i="16"/>
  <c r="AV614" i="16" s="1"/>
  <c r="AU598" i="16"/>
  <c r="AV598" i="16" s="1"/>
  <c r="AU582" i="16"/>
  <c r="AV582" i="16" s="1"/>
  <c r="AU566" i="16"/>
  <c r="AV566" i="16" s="1"/>
  <c r="AU550" i="16"/>
  <c r="AV550" i="16" s="1"/>
  <c r="AU539" i="16"/>
  <c r="AV539" i="16" s="1"/>
  <c r="AU531" i="16"/>
  <c r="AV531" i="16" s="1"/>
  <c r="AU523" i="16"/>
  <c r="AV523" i="16" s="1"/>
  <c r="AU515" i="16"/>
  <c r="AV515" i="16" s="1"/>
  <c r="AU507" i="16"/>
  <c r="AV507" i="16" s="1"/>
  <c r="AU499" i="16"/>
  <c r="AV499" i="16" s="1"/>
  <c r="AU491" i="16"/>
  <c r="AV491" i="16" s="1"/>
  <c r="AU483" i="16"/>
  <c r="AV483" i="16" s="1"/>
  <c r="AU475" i="16"/>
  <c r="AV475" i="16" s="1"/>
  <c r="AU467" i="16"/>
  <c r="AV467" i="16" s="1"/>
  <c r="AU458" i="16"/>
  <c r="AV458" i="16" s="1"/>
  <c r="AU432" i="16"/>
  <c r="AV432" i="16" s="1"/>
  <c r="AU1481" i="16"/>
  <c r="AV1481" i="16" s="1"/>
  <c r="AU1417" i="16"/>
  <c r="AV1417" i="16" s="1"/>
  <c r="AU1254" i="16"/>
  <c r="AV1254" i="16" s="1"/>
  <c r="AU1201" i="16"/>
  <c r="AV1201" i="16" s="1"/>
  <c r="AU1072" i="16"/>
  <c r="AV1072" i="16" s="1"/>
  <c r="AU1040" i="16"/>
  <c r="AV1040" i="16" s="1"/>
  <c r="AU1008" i="16"/>
  <c r="AV1008" i="16" s="1"/>
  <c r="AU976" i="16"/>
  <c r="AV976" i="16" s="1"/>
  <c r="AU944" i="16"/>
  <c r="AV944" i="16" s="1"/>
  <c r="AU912" i="16"/>
  <c r="AV912" i="16" s="1"/>
  <c r="AU880" i="16"/>
  <c r="AV880" i="16" s="1"/>
  <c r="AU848" i="16"/>
  <c r="AV848" i="16" s="1"/>
  <c r="AU824" i="16"/>
  <c r="AV824" i="16" s="1"/>
  <c r="AU808" i="16"/>
  <c r="AV808" i="16" s="1"/>
  <c r="AU792" i="16"/>
  <c r="AV792" i="16" s="1"/>
  <c r="AU776" i="16"/>
  <c r="AV776" i="16" s="1"/>
  <c r="AU760" i="16"/>
  <c r="AV760" i="16" s="1"/>
  <c r="AU744" i="16"/>
  <c r="AV744" i="16" s="1"/>
  <c r="AU728" i="16"/>
  <c r="AV728" i="16" s="1"/>
  <c r="AU712" i="16"/>
  <c r="AV712" i="16" s="1"/>
  <c r="AU696" i="16"/>
  <c r="AV696" i="16" s="1"/>
  <c r="AU680" i="16"/>
  <c r="AV680" i="16" s="1"/>
  <c r="AU664" i="16"/>
  <c r="AV664" i="16" s="1"/>
  <c r="AU648" i="16"/>
  <c r="AV648" i="16" s="1"/>
  <c r="AU632" i="16"/>
  <c r="AV632" i="16" s="1"/>
  <c r="AU615" i="16"/>
  <c r="AV615" i="16" s="1"/>
  <c r="AU599" i="16"/>
  <c r="AV599" i="16" s="1"/>
  <c r="AU583" i="16"/>
  <c r="AV583" i="16" s="1"/>
  <c r="AU567" i="16"/>
  <c r="AV567" i="16" s="1"/>
  <c r="AU551" i="16"/>
  <c r="AV551" i="16" s="1"/>
  <c r="AU1229" i="16"/>
  <c r="AV1229" i="16" s="1"/>
  <c r="AU1050" i="16"/>
  <c r="AV1050" i="16" s="1"/>
  <c r="AU986" i="16"/>
  <c r="AV986" i="16" s="1"/>
  <c r="AU922" i="16"/>
  <c r="AV922" i="16" s="1"/>
  <c r="AU858" i="16"/>
  <c r="AV858" i="16" s="1"/>
  <c r="AU676" i="16"/>
  <c r="AV676" i="16" s="1"/>
  <c r="AU619" i="16"/>
  <c r="AV619" i="16" s="1"/>
  <c r="AU605" i="16"/>
  <c r="AV605" i="16" s="1"/>
  <c r="AU589" i="16"/>
  <c r="AV589" i="16" s="1"/>
  <c r="AU573" i="16"/>
  <c r="AV573" i="16" s="1"/>
  <c r="AU557" i="16"/>
  <c r="AV557" i="16" s="1"/>
  <c r="AU536" i="16"/>
  <c r="AV536" i="16" s="1"/>
  <c r="AU504" i="16"/>
  <c r="AV504" i="16" s="1"/>
  <c r="AU472" i="16"/>
  <c r="AV472" i="16" s="1"/>
  <c r="AU446" i="16"/>
  <c r="AV446" i="16" s="1"/>
  <c r="AU430" i="16"/>
  <c r="AV430" i="16" s="1"/>
  <c r="AU404" i="16"/>
  <c r="AV404" i="16" s="1"/>
  <c r="AU372" i="16"/>
  <c r="AV372" i="16" s="1"/>
  <c r="AU340" i="16"/>
  <c r="AV340" i="16" s="1"/>
  <c r="AU308" i="16"/>
  <c r="AV308" i="16" s="1"/>
  <c r="AU135" i="16"/>
  <c r="AV135" i="16" s="1"/>
  <c r="AU119" i="16"/>
  <c r="AV119" i="16" s="1"/>
  <c r="AU1465" i="16"/>
  <c r="AV1465" i="16" s="1"/>
  <c r="AU1238" i="16"/>
  <c r="AV1238" i="16" s="1"/>
  <c r="AU1178" i="16"/>
  <c r="AV1178" i="16" s="1"/>
  <c r="AU1162" i="16"/>
  <c r="AV1162" i="16" s="1"/>
  <c r="AU1146" i="16"/>
  <c r="AV1146" i="16" s="1"/>
  <c r="AU1130" i="16"/>
  <c r="AV1130" i="16" s="1"/>
  <c r="AU1114" i="16"/>
  <c r="AV1114" i="16" s="1"/>
  <c r="AU1098" i="16"/>
  <c r="AV1098" i="16" s="1"/>
  <c r="AU1068" i="16"/>
  <c r="AV1068" i="16" s="1"/>
  <c r="AU1004" i="16"/>
  <c r="AV1004" i="16" s="1"/>
  <c r="AU940" i="16"/>
  <c r="AV940" i="16" s="1"/>
  <c r="AU876" i="16"/>
  <c r="AV876" i="16" s="1"/>
  <c r="AU821" i="16"/>
  <c r="AV821" i="16" s="1"/>
  <c r="AU789" i="16"/>
  <c r="AV789" i="16" s="1"/>
  <c r="AU757" i="16"/>
  <c r="AV757" i="16" s="1"/>
  <c r="AU725" i="16"/>
  <c r="AV725" i="16" s="1"/>
  <c r="AU689" i="16"/>
  <c r="AV689" i="16" s="1"/>
  <c r="AU652" i="16"/>
  <c r="AV652" i="16" s="1"/>
  <c r="AU538" i="16"/>
  <c r="AV538" i="16" s="1"/>
  <c r="AU506" i="16"/>
  <c r="AV506" i="16" s="1"/>
  <c r="AU474" i="16"/>
  <c r="AV474" i="16" s="1"/>
  <c r="AU449" i="16"/>
  <c r="AV449" i="16" s="1"/>
  <c r="AU426" i="16"/>
  <c r="AV426" i="16" s="1"/>
  <c r="AU415" i="16"/>
  <c r="AV415" i="16" s="1"/>
  <c r="AU1535" i="16"/>
  <c r="AV1535" i="16" s="1"/>
  <c r="AU1519" i="16"/>
  <c r="AV1519" i="16" s="1"/>
  <c r="AU1503" i="16"/>
  <c r="AV1503" i="16" s="1"/>
  <c r="AU1487" i="16"/>
  <c r="AV1487" i="16" s="1"/>
  <c r="AU1471" i="16"/>
  <c r="AV1471" i="16" s="1"/>
  <c r="AU1455" i="16"/>
  <c r="AV1455" i="16" s="1"/>
  <c r="AU1439" i="16"/>
  <c r="AV1439" i="16" s="1"/>
  <c r="AU1423" i="16"/>
  <c r="AV1423" i="16" s="1"/>
  <c r="AU1407" i="16"/>
  <c r="AV1407" i="16" s="1"/>
  <c r="AU1391" i="16"/>
  <c r="AV1391" i="16" s="1"/>
  <c r="AU1375" i="16"/>
  <c r="AV1375" i="16" s="1"/>
  <c r="AU1624" i="16"/>
  <c r="AV1624" i="16" s="1"/>
  <c r="AU1616" i="16"/>
  <c r="AV1616" i="16" s="1"/>
  <c r="AU1608" i="16"/>
  <c r="AV1608" i="16" s="1"/>
  <c r="AU1600" i="16"/>
  <c r="AV1600" i="16" s="1"/>
  <c r="AU1592" i="16"/>
  <c r="AV1592" i="16" s="1"/>
  <c r="AU1584" i="16"/>
  <c r="AV1584" i="16" s="1"/>
  <c r="AU1576" i="16"/>
  <c r="AV1576" i="16" s="1"/>
  <c r="AU1568" i="16"/>
  <c r="AV1568" i="16" s="1"/>
  <c r="AU1613" i="16"/>
  <c r="AV1613" i="16" s="1"/>
  <c r="AU1581" i="16"/>
  <c r="AV1581" i="16" s="1"/>
  <c r="AU1561" i="16"/>
  <c r="AV1561" i="16" s="1"/>
  <c r="AU1553" i="16"/>
  <c r="AV1553" i="16" s="1"/>
  <c r="AU1545" i="16"/>
  <c r="AV1545" i="16" s="1"/>
  <c r="AU1516" i="16"/>
  <c r="AV1516" i="16" s="1"/>
  <c r="AU1484" i="16"/>
  <c r="AV1484" i="16" s="1"/>
  <c r="AU1452" i="16"/>
  <c r="AV1452" i="16" s="1"/>
  <c r="AU1420" i="16"/>
  <c r="AV1420" i="16" s="1"/>
  <c r="AU1388" i="16"/>
  <c r="AV1388" i="16" s="1"/>
  <c r="AU1362" i="16"/>
  <c r="AV1362" i="16" s="1"/>
  <c r="AU1346" i="16"/>
  <c r="AV1346" i="16" s="1"/>
  <c r="AU1336" i="16"/>
  <c r="AV1336" i="16" s="1"/>
  <c r="AU1328" i="16"/>
  <c r="AV1328" i="16" s="1"/>
  <c r="AU1320" i="16"/>
  <c r="AV1320" i="16" s="1"/>
  <c r="AU1599" i="16"/>
  <c r="AV1599" i="16" s="1"/>
  <c r="AU1567" i="16"/>
  <c r="AV1567" i="16" s="1"/>
  <c r="AU1530" i="16"/>
  <c r="AV1530" i="16" s="1"/>
  <c r="AU1514" i="16"/>
  <c r="AV1514" i="16" s="1"/>
  <c r="AU1498" i="16"/>
  <c r="AV1498" i="16" s="1"/>
  <c r="AU1482" i="16"/>
  <c r="AV1482" i="16" s="1"/>
  <c r="AU1466" i="16"/>
  <c r="AV1466" i="16" s="1"/>
  <c r="AU1450" i="16"/>
  <c r="AV1450" i="16" s="1"/>
  <c r="AU1434" i="16"/>
  <c r="AV1434" i="16" s="1"/>
  <c r="AU1418" i="16"/>
  <c r="AV1418" i="16" s="1"/>
  <c r="AU1402" i="16"/>
  <c r="AV1402" i="16" s="1"/>
  <c r="AU1386" i="16"/>
  <c r="AV1386" i="16" s="1"/>
  <c r="AU1370" i="16"/>
  <c r="AV1370" i="16" s="1"/>
  <c r="AU1355" i="16"/>
  <c r="AV1355" i="16" s="1"/>
  <c r="AU1256" i="16"/>
  <c r="AV1256" i="16" s="1"/>
  <c r="AU1224" i="16"/>
  <c r="AV1224" i="16" s="1"/>
  <c r="AU1198" i="16"/>
  <c r="AV1198" i="16" s="1"/>
  <c r="AU1625" i="16"/>
  <c r="AV1625" i="16" s="1"/>
  <c r="AU1593" i="16"/>
  <c r="AV1593" i="16" s="1"/>
  <c r="AU1564" i="16"/>
  <c r="AV1564" i="16" s="1"/>
  <c r="AU1556" i="16"/>
  <c r="AV1556" i="16" s="1"/>
  <c r="AU1548" i="16"/>
  <c r="AV1548" i="16" s="1"/>
  <c r="AU1528" i="16"/>
  <c r="AV1528" i="16" s="1"/>
  <c r="AU1496" i="16"/>
  <c r="AV1496" i="16" s="1"/>
  <c r="AU1464" i="16"/>
  <c r="AV1464" i="16" s="1"/>
  <c r="AU1432" i="16"/>
  <c r="AV1432" i="16" s="1"/>
  <c r="AU1400" i="16"/>
  <c r="AV1400" i="16" s="1"/>
  <c r="AU1368" i="16"/>
  <c r="AV1368" i="16" s="1"/>
  <c r="AU1352" i="16"/>
  <c r="AV1352" i="16" s="1"/>
  <c r="AU1357" i="16"/>
  <c r="AV1357" i="16" s="1"/>
  <c r="AU1317" i="16"/>
  <c r="AV1317" i="16" s="1"/>
  <c r="AU1309" i="16"/>
  <c r="AV1309" i="16" s="1"/>
  <c r="AU1301" i="16"/>
  <c r="AV1301" i="16" s="1"/>
  <c r="AU1293" i="16"/>
  <c r="AV1293" i="16" s="1"/>
  <c r="AU1285" i="16"/>
  <c r="AV1285" i="16" s="1"/>
  <c r="AU1277" i="16"/>
  <c r="AV1277" i="16" s="1"/>
  <c r="AU1269" i="16"/>
  <c r="AV1269" i="16" s="1"/>
  <c r="AU1261" i="16"/>
  <c r="AV1261" i="16" s="1"/>
  <c r="AU1243" i="16"/>
  <c r="AV1243" i="16" s="1"/>
  <c r="AU1225" i="16"/>
  <c r="AV1225" i="16" s="1"/>
  <c r="AU1199" i="16"/>
  <c r="AV1199" i="16" s="1"/>
  <c r="AU1175" i="16"/>
  <c r="AV1175" i="16" s="1"/>
  <c r="AU1159" i="16"/>
  <c r="AV1159" i="16" s="1"/>
  <c r="AU1143" i="16"/>
  <c r="AV1143" i="16" s="1"/>
  <c r="AU1127" i="16"/>
  <c r="AV1127" i="16" s="1"/>
  <c r="AU1111" i="16"/>
  <c r="AV1111" i="16" s="1"/>
  <c r="AU1095" i="16"/>
  <c r="AV1095" i="16" s="1"/>
  <c r="AU1542" i="16"/>
  <c r="AV1542" i="16" s="1"/>
  <c r="AU1510" i="16"/>
  <c r="AV1510" i="16" s="1"/>
  <c r="AU1478" i="16"/>
  <c r="AV1478" i="16" s="1"/>
  <c r="AU1446" i="16"/>
  <c r="AV1446" i="16" s="1"/>
  <c r="AU1414" i="16"/>
  <c r="AV1414" i="16" s="1"/>
  <c r="AU1382" i="16"/>
  <c r="AV1382" i="16" s="1"/>
  <c r="AU1337" i="16"/>
  <c r="AV1337" i="16" s="1"/>
  <c r="AU1253" i="16"/>
  <c r="AV1253" i="16" s="1"/>
  <c r="AU1237" i="16"/>
  <c r="AV1237" i="16" s="1"/>
  <c r="AU1221" i="16"/>
  <c r="AV1221" i="16" s="1"/>
  <c r="AU1205" i="16"/>
  <c r="AV1205" i="16" s="1"/>
  <c r="AU1189" i="16"/>
  <c r="AV1189" i="16" s="1"/>
  <c r="AU1172" i="16"/>
  <c r="AV1172" i="16" s="1"/>
  <c r="AU1156" i="16"/>
  <c r="AV1156" i="16" s="1"/>
  <c r="AU1140" i="16"/>
  <c r="AV1140" i="16" s="1"/>
  <c r="AU1124" i="16"/>
  <c r="AV1124" i="16" s="1"/>
  <c r="AU1108" i="16"/>
  <c r="AV1108" i="16" s="1"/>
  <c r="AU1092" i="16"/>
  <c r="AV1092" i="16" s="1"/>
  <c r="AU1081" i="16"/>
  <c r="AV1081" i="16" s="1"/>
  <c r="AU1073" i="16"/>
  <c r="AV1073" i="16" s="1"/>
  <c r="AU1065" i="16"/>
  <c r="AV1065" i="16" s="1"/>
  <c r="AU1057" i="16"/>
  <c r="AV1057" i="16" s="1"/>
  <c r="AU1049" i="16"/>
  <c r="AV1049" i="16" s="1"/>
  <c r="AU1041" i="16"/>
  <c r="AV1041" i="16" s="1"/>
  <c r="AU1033" i="16"/>
  <c r="AV1033" i="16" s="1"/>
  <c r="AU1025" i="16"/>
  <c r="AV1025" i="16" s="1"/>
  <c r="AU1017" i="16"/>
  <c r="AV1017" i="16" s="1"/>
  <c r="AU1009" i="16"/>
  <c r="AV1009" i="16" s="1"/>
  <c r="AU1001" i="16"/>
  <c r="AV1001" i="16" s="1"/>
  <c r="AU993" i="16"/>
  <c r="AV993" i="16" s="1"/>
  <c r="AU985" i="16"/>
  <c r="AV985" i="16" s="1"/>
  <c r="AU977" i="16"/>
  <c r="AV977" i="16" s="1"/>
  <c r="AU969" i="16"/>
  <c r="AV969" i="16" s="1"/>
  <c r="AU961" i="16"/>
  <c r="AV961" i="16" s="1"/>
  <c r="AU953" i="16"/>
  <c r="AV953" i="16" s="1"/>
  <c r="AU945" i="16"/>
  <c r="AV945" i="16" s="1"/>
  <c r="AU937" i="16"/>
  <c r="AV937" i="16" s="1"/>
  <c r="AU929" i="16"/>
  <c r="AV929" i="16" s="1"/>
  <c r="AU921" i="16"/>
  <c r="AV921" i="16" s="1"/>
  <c r="AU913" i="16"/>
  <c r="AV913" i="16" s="1"/>
  <c r="AU905" i="16"/>
  <c r="AV905" i="16" s="1"/>
  <c r="AU897" i="16"/>
  <c r="AV897" i="16" s="1"/>
  <c r="AU889" i="16"/>
  <c r="AV889" i="16" s="1"/>
  <c r="AU881" i="16"/>
  <c r="AV881" i="16" s="1"/>
  <c r="AU873" i="16"/>
  <c r="AV873" i="16" s="1"/>
  <c r="AU865" i="16"/>
  <c r="AV865" i="16" s="1"/>
  <c r="AU857" i="16"/>
  <c r="AV857" i="16" s="1"/>
  <c r="AU849" i="16"/>
  <c r="AV849" i="16" s="1"/>
  <c r="AU841" i="16"/>
  <c r="AV841" i="16" s="1"/>
  <c r="AU833" i="16"/>
  <c r="AV833" i="16" s="1"/>
  <c r="AU818" i="16"/>
  <c r="AV818" i="16" s="1"/>
  <c r="AU802" i="16"/>
  <c r="AV802" i="16" s="1"/>
  <c r="AU786" i="16"/>
  <c r="AV786" i="16" s="1"/>
  <c r="AU770" i="16"/>
  <c r="AV770" i="16" s="1"/>
  <c r="AU754" i="16"/>
  <c r="AV754" i="16" s="1"/>
  <c r="AU738" i="16"/>
  <c r="AV738" i="16" s="1"/>
  <c r="AU722" i="16"/>
  <c r="AV722" i="16" s="1"/>
  <c r="AU706" i="16"/>
  <c r="AV706" i="16" s="1"/>
  <c r="AU690" i="16"/>
  <c r="AV690" i="16" s="1"/>
  <c r="AU674" i="16"/>
  <c r="AV674" i="16" s="1"/>
  <c r="AU658" i="16"/>
  <c r="AV658" i="16" s="1"/>
  <c r="AU642" i="16"/>
  <c r="AV642" i="16" s="1"/>
  <c r="AU626" i="16"/>
  <c r="AV626" i="16" s="1"/>
  <c r="AU1571" i="16"/>
  <c r="AV1571" i="16" s="1"/>
  <c r="AU1339" i="16"/>
  <c r="AV1339" i="16" s="1"/>
  <c r="AU1316" i="16"/>
  <c r="AV1316" i="16" s="1"/>
  <c r="AU1308" i="16"/>
  <c r="AV1308" i="16" s="1"/>
  <c r="AU1300" i="16"/>
  <c r="AV1300" i="16" s="1"/>
  <c r="AU1292" i="16"/>
  <c r="AV1292" i="16" s="1"/>
  <c r="AU1284" i="16"/>
  <c r="AV1284" i="16" s="1"/>
  <c r="AU1276" i="16"/>
  <c r="AV1276" i="16" s="1"/>
  <c r="AU1268" i="16"/>
  <c r="AV1268" i="16" s="1"/>
  <c r="AU1260" i="16"/>
  <c r="AV1260" i="16" s="1"/>
  <c r="AU1242" i="16"/>
  <c r="AV1242" i="16" s="1"/>
  <c r="AU1219" i="16"/>
  <c r="AV1219" i="16" s="1"/>
  <c r="AU1195" i="16"/>
  <c r="AV1195" i="16" s="1"/>
  <c r="AU1173" i="16"/>
  <c r="AV1173" i="16" s="1"/>
  <c r="AU1157" i="16"/>
  <c r="AV1157" i="16" s="1"/>
  <c r="AU1141" i="16"/>
  <c r="AV1141" i="16" s="1"/>
  <c r="AU1125" i="16"/>
  <c r="AV1125" i="16" s="1"/>
  <c r="AU1109" i="16"/>
  <c r="AV1109" i="16" s="1"/>
  <c r="AU1093" i="16"/>
  <c r="AV1093" i="16" s="1"/>
  <c r="AU823" i="16"/>
  <c r="AV823" i="16" s="1"/>
  <c r="AU807" i="16"/>
  <c r="AV807" i="16" s="1"/>
  <c r="AU791" i="16"/>
  <c r="AV791" i="16" s="1"/>
  <c r="AU775" i="16"/>
  <c r="AV775" i="16" s="1"/>
  <c r="AU759" i="16"/>
  <c r="AV759" i="16" s="1"/>
  <c r="AU743" i="16"/>
  <c r="AV743" i="16" s="1"/>
  <c r="AU727" i="16"/>
  <c r="AV727" i="16" s="1"/>
  <c r="AU711" i="16"/>
  <c r="AV711" i="16" s="1"/>
  <c r="AU1252" i="16"/>
  <c r="AV1252" i="16" s="1"/>
  <c r="AU1086" i="16"/>
  <c r="AV1086" i="16" s="1"/>
  <c r="AU1054" i="16"/>
  <c r="AV1054" i="16" s="1"/>
  <c r="AU1022" i="16"/>
  <c r="AV1022" i="16" s="1"/>
  <c r="AU990" i="16"/>
  <c r="AV990" i="16" s="1"/>
  <c r="AU958" i="16"/>
  <c r="AV958" i="16" s="1"/>
  <c r="AU926" i="16"/>
  <c r="AV926" i="16" s="1"/>
  <c r="AU894" i="16"/>
  <c r="AV894" i="16" s="1"/>
  <c r="AU862" i="16"/>
  <c r="AV862" i="16" s="1"/>
  <c r="AU703" i="16"/>
  <c r="AV703" i="16" s="1"/>
  <c r="AU671" i="16"/>
  <c r="AV671" i="16" s="1"/>
  <c r="AU639" i="16"/>
  <c r="AV639" i="16" s="1"/>
  <c r="AU610" i="16"/>
  <c r="AV610" i="16" s="1"/>
  <c r="AU594" i="16"/>
  <c r="AV594" i="16" s="1"/>
  <c r="AU578" i="16"/>
  <c r="AV578" i="16" s="1"/>
  <c r="AU562" i="16"/>
  <c r="AV562" i="16" s="1"/>
  <c r="AU545" i="16"/>
  <c r="AV545" i="16" s="1"/>
  <c r="AU537" i="16"/>
  <c r="AV537" i="16" s="1"/>
  <c r="AU529" i="16"/>
  <c r="AV529" i="16" s="1"/>
  <c r="AU521" i="16"/>
  <c r="AV521" i="16" s="1"/>
  <c r="AU513" i="16"/>
  <c r="AV513" i="16" s="1"/>
  <c r="AU505" i="16"/>
  <c r="AV505" i="16" s="1"/>
  <c r="AU497" i="16"/>
  <c r="AV497" i="16" s="1"/>
  <c r="AU489" i="16"/>
  <c r="AV489" i="16" s="1"/>
  <c r="AU481" i="16"/>
  <c r="AV481" i="16" s="1"/>
  <c r="AU473" i="16"/>
  <c r="AV473" i="16" s="1"/>
  <c r="AU465" i="16"/>
  <c r="AV465" i="16" s="1"/>
  <c r="AU454" i="16"/>
  <c r="AV454" i="16" s="1"/>
  <c r="AU1518" i="16"/>
  <c r="AV1518" i="16" s="1"/>
  <c r="AU1454" i="16"/>
  <c r="AV1454" i="16" s="1"/>
  <c r="AU1390" i="16"/>
  <c r="AV1390" i="16" s="1"/>
  <c r="AU1247" i="16"/>
  <c r="AV1247" i="16" s="1"/>
  <c r="AU1193" i="16"/>
  <c r="AV1193" i="16" s="1"/>
  <c r="AU1064" i="16"/>
  <c r="AV1064" i="16" s="1"/>
  <c r="AU1032" i="16"/>
  <c r="AV1032" i="16" s="1"/>
  <c r="AU1000" i="16"/>
  <c r="AV1000" i="16" s="1"/>
  <c r="AU968" i="16"/>
  <c r="AV968" i="16" s="1"/>
  <c r="AU936" i="16"/>
  <c r="AV936" i="16" s="1"/>
  <c r="AU904" i="16"/>
  <c r="AV904" i="16" s="1"/>
  <c r="AU872" i="16"/>
  <c r="AV872" i="16" s="1"/>
  <c r="AU840" i="16"/>
  <c r="AV840" i="16" s="1"/>
  <c r="AU820" i="16"/>
  <c r="AV820" i="16" s="1"/>
  <c r="AU804" i="16"/>
  <c r="AV804" i="16" s="1"/>
  <c r="AU788" i="16"/>
  <c r="AV788" i="16" s="1"/>
  <c r="AU772" i="16"/>
  <c r="AV772" i="16" s="1"/>
  <c r="AU756" i="16"/>
  <c r="AV756" i="16" s="1"/>
  <c r="AU740" i="16"/>
  <c r="AV740" i="16" s="1"/>
  <c r="AU724" i="16"/>
  <c r="AV724" i="16" s="1"/>
  <c r="AU708" i="16"/>
  <c r="AV708" i="16" s="1"/>
  <c r="AU693" i="16"/>
  <c r="AV693" i="16" s="1"/>
  <c r="AU677" i="16"/>
  <c r="AV677" i="16" s="1"/>
  <c r="AU661" i="16"/>
  <c r="AV661" i="16" s="1"/>
  <c r="AU645" i="16"/>
  <c r="AV645" i="16" s="1"/>
  <c r="AU629" i="16"/>
  <c r="AV629" i="16" s="1"/>
  <c r="AU611" i="16"/>
  <c r="AV611" i="16" s="1"/>
  <c r="AU595" i="16"/>
  <c r="AV595" i="16" s="1"/>
  <c r="AU579" i="16"/>
  <c r="AV579" i="16" s="1"/>
  <c r="AU563" i="16"/>
  <c r="AV563" i="16" s="1"/>
  <c r="AU547" i="16"/>
  <c r="AV547" i="16" s="1"/>
  <c r="AU1204" i="16"/>
  <c r="AV1204" i="16" s="1"/>
  <c r="AU1034" i="16"/>
  <c r="AV1034" i="16" s="1"/>
  <c r="AU970" i="16"/>
  <c r="AV970" i="16" s="1"/>
  <c r="AU906" i="16"/>
  <c r="AV906" i="16" s="1"/>
  <c r="AU842" i="16"/>
  <c r="AV842" i="16" s="1"/>
  <c r="AU651" i="16"/>
  <c r="AV651" i="16" s="1"/>
  <c r="AU617" i="16"/>
  <c r="AV617" i="16" s="1"/>
  <c r="AU601" i="16"/>
  <c r="AV601" i="16" s="1"/>
  <c r="AU585" i="16"/>
  <c r="AV585" i="16" s="1"/>
  <c r="AU569" i="16"/>
  <c r="AV569" i="16" s="1"/>
  <c r="AU553" i="16"/>
  <c r="AV553" i="16" s="1"/>
  <c r="AU528" i="16"/>
  <c r="AV528" i="16" s="1"/>
  <c r="AU496" i="16"/>
  <c r="AV496" i="16" s="1"/>
  <c r="AU464" i="16"/>
  <c r="AV464" i="16" s="1"/>
  <c r="AU444" i="16"/>
  <c r="AV444" i="16" s="1"/>
  <c r="AU428" i="16"/>
  <c r="AV428" i="16" s="1"/>
  <c r="AU396" i="16"/>
  <c r="AV396" i="16" s="1"/>
  <c r="AU364" i="16"/>
  <c r="AV364" i="16" s="1"/>
  <c r="AU332" i="16"/>
  <c r="AV332" i="16" s="1"/>
  <c r="AU300" i="16"/>
  <c r="AV300" i="16" s="1"/>
  <c r="AU130" i="16"/>
  <c r="AV130" i="16" s="1"/>
  <c r="AU1534" i="16"/>
  <c r="AV1534" i="16" s="1"/>
  <c r="AU1406" i="16"/>
  <c r="AV1406" i="16" s="1"/>
  <c r="AU1231" i="16"/>
  <c r="AV1231" i="16" s="1"/>
  <c r="AU1174" i="16"/>
  <c r="AV1174" i="16" s="1"/>
  <c r="AU1158" i="16"/>
  <c r="AV1158" i="16" s="1"/>
  <c r="AU1142" i="16"/>
  <c r="AV1142" i="16" s="1"/>
  <c r="AU1126" i="16"/>
  <c r="AV1126" i="16" s="1"/>
  <c r="AU1110" i="16"/>
  <c r="AV1110" i="16" s="1"/>
  <c r="AU1094" i="16"/>
  <c r="AV1094" i="16" s="1"/>
  <c r="AU1052" i="16"/>
  <c r="AV1052" i="16" s="1"/>
  <c r="AU988" i="16"/>
  <c r="AV988" i="16" s="1"/>
  <c r="AU924" i="16"/>
  <c r="AV924" i="16" s="1"/>
  <c r="AU860" i="16"/>
  <c r="AV860" i="16" s="1"/>
  <c r="AU813" i="16"/>
  <c r="AV813" i="16" s="1"/>
  <c r="AU781" i="16"/>
  <c r="AV781" i="16" s="1"/>
  <c r="AU749" i="16"/>
  <c r="AV749" i="16" s="1"/>
  <c r="AU717" i="16"/>
  <c r="AV717" i="16" s="1"/>
  <c r="AU684" i="16"/>
  <c r="AV684" i="16" s="1"/>
  <c r="AU627" i="16"/>
  <c r="AV627" i="16" s="1"/>
  <c r="AU530" i="16"/>
  <c r="AV530" i="16" s="1"/>
  <c r="AU498" i="16"/>
  <c r="AV498" i="16" s="1"/>
  <c r="AU466" i="16"/>
  <c r="AV466" i="16" s="1"/>
  <c r="AU442" i="16"/>
  <c r="AV442" i="16" s="1"/>
  <c r="AU423" i="16"/>
  <c r="AV423" i="16" s="1"/>
  <c r="AU413" i="16"/>
  <c r="AV413" i="16" s="1"/>
  <c r="AU1531" i="16"/>
  <c r="AV1531" i="16" s="1"/>
  <c r="AU1515" i="16"/>
  <c r="AV1515" i="16" s="1"/>
  <c r="AU1499" i="16"/>
  <c r="AV1499" i="16" s="1"/>
  <c r="AU1483" i="16"/>
  <c r="AV1483" i="16" s="1"/>
  <c r="AU1467" i="16"/>
  <c r="AV1467" i="16" s="1"/>
  <c r="AU1451" i="16"/>
  <c r="AV1451" i="16" s="1"/>
  <c r="AU1435" i="16"/>
  <c r="AV1435" i="16" s="1"/>
  <c r="AU1419" i="16"/>
  <c r="AV1419" i="16" s="1"/>
  <c r="AU1403" i="16"/>
  <c r="AV1403" i="16" s="1"/>
  <c r="AU1387" i="16"/>
  <c r="AV1387" i="16" s="1"/>
  <c r="AU1371" i="16"/>
  <c r="AV1371" i="16" s="1"/>
  <c r="AU1622" i="16"/>
  <c r="AV1622" i="16" s="1"/>
  <c r="AU1614" i="16"/>
  <c r="AV1614" i="16" s="1"/>
  <c r="AU1606" i="16"/>
  <c r="AV1606" i="16" s="1"/>
  <c r="AU1598" i="16"/>
  <c r="AV1598" i="16" s="1"/>
  <c r="AU1590" i="16"/>
  <c r="AV1590" i="16" s="1"/>
  <c r="AU1582" i="16"/>
  <c r="AV1582" i="16" s="1"/>
  <c r="AU1574" i="16"/>
  <c r="AV1574" i="16" s="1"/>
  <c r="AU1566" i="16"/>
  <c r="AV1566" i="16" s="1"/>
  <c r="AU1605" i="16"/>
  <c r="AV1605" i="16" s="1"/>
  <c r="AU1573" i="16"/>
  <c r="AV1573" i="16" s="1"/>
  <c r="AU1559" i="16"/>
  <c r="AV1559" i="16" s="1"/>
  <c r="AU1551" i="16"/>
  <c r="AV1551" i="16" s="1"/>
  <c r="AU1540" i="16"/>
  <c r="AV1540" i="16" s="1"/>
  <c r="AU1508" i="16"/>
  <c r="AV1508" i="16" s="1"/>
  <c r="AU1476" i="16"/>
  <c r="AV1476" i="16" s="1"/>
  <c r="AU1444" i="16"/>
  <c r="AV1444" i="16" s="1"/>
  <c r="AU1412" i="16"/>
  <c r="AV1412" i="16" s="1"/>
  <c r="AU1380" i="16"/>
  <c r="AV1380" i="16" s="1"/>
  <c r="AU1358" i="16"/>
  <c r="AV1358" i="16" s="1"/>
  <c r="AU1342" i="16"/>
  <c r="AV1342" i="16" s="1"/>
  <c r="AU1334" i="16"/>
  <c r="AV1334" i="16" s="1"/>
  <c r="AU1326" i="16"/>
  <c r="AV1326" i="16" s="1"/>
  <c r="AU1623" i="16"/>
  <c r="AV1623" i="16" s="1"/>
  <c r="AU1591" i="16"/>
  <c r="AV1591" i="16" s="1"/>
  <c r="AU1541" i="16"/>
  <c r="AV1541" i="16" s="1"/>
  <c r="AU1525" i="16"/>
  <c r="AV1525" i="16" s="1"/>
  <c r="AU1509" i="16"/>
  <c r="AV1509" i="16" s="1"/>
  <c r="AU1493" i="16"/>
  <c r="AV1493" i="16" s="1"/>
  <c r="AU1477" i="16"/>
  <c r="AV1477" i="16" s="1"/>
  <c r="AU1461" i="16"/>
  <c r="AV1461" i="16" s="1"/>
  <c r="AU1445" i="16"/>
  <c r="AV1445" i="16" s="1"/>
  <c r="AU1429" i="16"/>
  <c r="AV1429" i="16" s="1"/>
  <c r="AU1413" i="16"/>
  <c r="AV1413" i="16" s="1"/>
  <c r="AU1397" i="16"/>
  <c r="AV1397" i="16" s="1"/>
  <c r="AU1381" i="16"/>
  <c r="AV1381" i="16" s="1"/>
  <c r="AU1367" i="16"/>
  <c r="AV1367" i="16" s="1"/>
  <c r="AU1351" i="16"/>
  <c r="AV1351" i="16" s="1"/>
  <c r="AU1248" i="16"/>
  <c r="AV1248" i="16" s="1"/>
  <c r="AU1216" i="16"/>
  <c r="AV1216" i="16" s="1"/>
  <c r="AU1194" i="16"/>
  <c r="AV1194" i="16" s="1"/>
  <c r="AU1617" i="16"/>
  <c r="AV1617" i="16" s="1"/>
  <c r="AU1585" i="16"/>
  <c r="AV1585" i="16" s="1"/>
  <c r="AU1562" i="16"/>
  <c r="AV1562" i="16" s="1"/>
  <c r="AU1554" i="16"/>
  <c r="AV1554" i="16" s="1"/>
  <c r="AU1546" i="16"/>
  <c r="AV1546" i="16" s="1"/>
  <c r="AU1520" i="16"/>
  <c r="AV1520" i="16" s="1"/>
  <c r="AU1488" i="16"/>
  <c r="AV1488" i="16" s="1"/>
  <c r="AU1456" i="16"/>
  <c r="AV1456" i="16" s="1"/>
  <c r="AU1424" i="16"/>
  <c r="AV1424" i="16" s="1"/>
  <c r="AU1392" i="16"/>
  <c r="AV1392" i="16" s="1"/>
  <c r="AU1364" i="16"/>
  <c r="AV1364" i="16" s="1"/>
  <c r="AU1348" i="16"/>
  <c r="AV1348" i="16" s="1"/>
  <c r="AU1335" i="16"/>
  <c r="AV1335" i="16" s="1"/>
  <c r="AU1315" i="16"/>
  <c r="AV1315" i="16" s="1"/>
  <c r="AU1307" i="16"/>
  <c r="AV1307" i="16" s="1"/>
  <c r="AU1299" i="16"/>
  <c r="AV1299" i="16" s="1"/>
  <c r="AU1291" i="16"/>
  <c r="AV1291" i="16" s="1"/>
  <c r="AU1283" i="16"/>
  <c r="AV1283" i="16" s="1"/>
  <c r="AU1275" i="16"/>
  <c r="AV1275" i="16" s="1"/>
  <c r="AU1267" i="16"/>
  <c r="AV1267" i="16" s="1"/>
  <c r="AU1259" i="16"/>
  <c r="AV1259" i="16" s="1"/>
  <c r="AU1241" i="16"/>
  <c r="AV1241" i="16" s="1"/>
  <c r="AU1218" i="16"/>
  <c r="AV1218" i="16" s="1"/>
  <c r="AU1191" i="16"/>
  <c r="AV1191" i="16" s="1"/>
  <c r="AU1171" i="16"/>
  <c r="AV1171" i="16" s="1"/>
  <c r="AU1155" i="16"/>
  <c r="AV1155" i="16" s="1"/>
  <c r="AU1139" i="16"/>
  <c r="AV1139" i="16" s="1"/>
  <c r="AU1123" i="16"/>
  <c r="AV1123" i="16" s="1"/>
  <c r="AU1107" i="16"/>
  <c r="AV1107" i="16" s="1"/>
  <c r="AU1091" i="16"/>
  <c r="AV1091" i="16" s="1"/>
  <c r="AU1537" i="16"/>
  <c r="AV1537" i="16" s="1"/>
  <c r="AU1505" i="16"/>
  <c r="AV1505" i="16" s="1"/>
  <c r="AU1473" i="16"/>
  <c r="AV1473" i="16" s="1"/>
  <c r="AU1441" i="16"/>
  <c r="AV1441" i="16" s="1"/>
  <c r="AU1409" i="16"/>
  <c r="AV1409" i="16" s="1"/>
  <c r="AU1377" i="16"/>
  <c r="AV1377" i="16" s="1"/>
  <c r="AU1329" i="16"/>
  <c r="AV1329" i="16" s="1"/>
  <c r="AU1246" i="16"/>
  <c r="AV1246" i="16" s="1"/>
  <c r="AU1230" i="16"/>
  <c r="AV1230" i="16" s="1"/>
  <c r="AU1214" i="16"/>
  <c r="AV1214" i="16" s="1"/>
  <c r="AU1200" i="16"/>
  <c r="AV1200" i="16" s="1"/>
  <c r="AU1184" i="16"/>
  <c r="AV1184" i="16" s="1"/>
  <c r="AU1168" i="16"/>
  <c r="AV1168" i="16" s="1"/>
  <c r="AU1152" i="16"/>
  <c r="AV1152" i="16" s="1"/>
  <c r="AU1136" i="16"/>
  <c r="AV1136" i="16" s="1"/>
  <c r="AU1120" i="16"/>
  <c r="AV1120" i="16" s="1"/>
  <c r="AU1104" i="16"/>
  <c r="AV1104" i="16" s="1"/>
  <c r="AU1087" i="16"/>
  <c r="AV1087" i="16" s="1"/>
  <c r="AU1079" i="16"/>
  <c r="AV1079" i="16" s="1"/>
  <c r="AU1071" i="16"/>
  <c r="AV1071" i="16" s="1"/>
  <c r="AU1063" i="16"/>
  <c r="AV1063" i="16" s="1"/>
  <c r="AU1055" i="16"/>
  <c r="AV1055" i="16" s="1"/>
  <c r="AU1047" i="16"/>
  <c r="AV1047" i="16" s="1"/>
  <c r="AU1039" i="16"/>
  <c r="AV1039" i="16" s="1"/>
  <c r="AU1031" i="16"/>
  <c r="AV1031" i="16" s="1"/>
  <c r="AU1023" i="16"/>
  <c r="AV1023" i="16" s="1"/>
  <c r="AU1015" i="16"/>
  <c r="AV1015" i="16" s="1"/>
  <c r="AU1007" i="16"/>
  <c r="AV1007" i="16" s="1"/>
  <c r="AU999" i="16"/>
  <c r="AV999" i="16" s="1"/>
  <c r="AU991" i="16"/>
  <c r="AV991" i="16" s="1"/>
  <c r="AU983" i="16"/>
  <c r="AV983" i="16" s="1"/>
  <c r="AU975" i="16"/>
  <c r="AV975" i="16" s="1"/>
  <c r="AU967" i="16"/>
  <c r="AV967" i="16" s="1"/>
  <c r="AU959" i="16"/>
  <c r="AV959" i="16" s="1"/>
  <c r="AU951" i="16"/>
  <c r="AV951" i="16" s="1"/>
  <c r="AU943" i="16"/>
  <c r="AV943" i="16" s="1"/>
  <c r="AU935" i="16"/>
  <c r="AV935" i="16" s="1"/>
  <c r="AU927" i="16"/>
  <c r="AV927" i="16" s="1"/>
  <c r="AU919" i="16"/>
  <c r="AV919" i="16" s="1"/>
  <c r="AU911" i="16"/>
  <c r="AV911" i="16" s="1"/>
  <c r="AU903" i="16"/>
  <c r="AV903" i="16" s="1"/>
  <c r="AU895" i="16"/>
  <c r="AV895" i="16" s="1"/>
  <c r="AU887" i="16"/>
  <c r="AV887" i="16" s="1"/>
  <c r="AU879" i="16"/>
  <c r="AV879" i="16" s="1"/>
  <c r="AU871" i="16"/>
  <c r="AV871" i="16" s="1"/>
  <c r="AU863" i="16"/>
  <c r="AV863" i="16" s="1"/>
  <c r="AU855" i="16"/>
  <c r="AV855" i="16" s="1"/>
  <c r="AU847" i="16"/>
  <c r="AV847" i="16" s="1"/>
  <c r="AU839" i="16"/>
  <c r="AV839" i="16" s="1"/>
  <c r="AU830" i="16"/>
  <c r="AV830" i="16" s="1"/>
  <c r="AU814" i="16"/>
  <c r="AV814" i="16" s="1"/>
  <c r="AU798" i="16"/>
  <c r="AV798" i="16" s="1"/>
  <c r="AU782" i="16"/>
  <c r="AV782" i="16" s="1"/>
  <c r="AU766" i="16"/>
  <c r="AV766" i="16" s="1"/>
  <c r="AU750" i="16"/>
  <c r="AV750" i="16" s="1"/>
  <c r="AU734" i="16"/>
  <c r="AV734" i="16" s="1"/>
  <c r="AU718" i="16"/>
  <c r="AV718" i="16" s="1"/>
  <c r="AU702" i="16"/>
  <c r="AV702" i="16" s="1"/>
  <c r="AU686" i="16"/>
  <c r="AV686" i="16" s="1"/>
  <c r="AU670" i="16"/>
  <c r="AV670" i="16" s="1"/>
  <c r="AU654" i="16"/>
  <c r="AV654" i="16" s="1"/>
  <c r="AU638" i="16"/>
  <c r="AV638" i="16" s="1"/>
  <c r="AU622" i="16"/>
  <c r="AV622" i="16" s="1"/>
  <c r="AU1365" i="16"/>
  <c r="AV1365" i="16" s="1"/>
  <c r="AU1331" i="16"/>
  <c r="AV1331" i="16" s="1"/>
  <c r="AU1314" i="16"/>
  <c r="AV1314" i="16" s="1"/>
  <c r="AU1306" i="16"/>
  <c r="AV1306" i="16" s="1"/>
  <c r="AU1298" i="16"/>
  <c r="AV1298" i="16" s="1"/>
  <c r="AU1290" i="16"/>
  <c r="AV1290" i="16" s="1"/>
  <c r="AU1282" i="16"/>
  <c r="AV1282" i="16" s="1"/>
  <c r="AU1274" i="16"/>
  <c r="AV1274" i="16" s="1"/>
  <c r="AU1266" i="16"/>
  <c r="AV1266" i="16" s="1"/>
  <c r="AU1258" i="16"/>
  <c r="AV1258" i="16" s="1"/>
  <c r="AU1235" i="16"/>
  <c r="AV1235" i="16" s="1"/>
  <c r="AU1217" i="16"/>
  <c r="AV1217" i="16" s="1"/>
  <c r="AU1187" i="16"/>
  <c r="AV1187" i="16" s="1"/>
  <c r="AU1169" i="16"/>
  <c r="AV1169" i="16" s="1"/>
  <c r="AU1153" i="16"/>
  <c r="AV1153" i="16" s="1"/>
  <c r="AU1137" i="16"/>
  <c r="AV1137" i="16" s="1"/>
  <c r="AU1121" i="16"/>
  <c r="AV1121" i="16" s="1"/>
  <c r="AU1105" i="16"/>
  <c r="AV1105" i="16" s="1"/>
  <c r="AU1089" i="16"/>
  <c r="AV1089" i="16" s="1"/>
  <c r="AU819" i="16"/>
  <c r="AV819" i="16" s="1"/>
  <c r="AU803" i="16"/>
  <c r="AV803" i="16" s="1"/>
  <c r="AU787" i="16"/>
  <c r="AV787" i="16" s="1"/>
  <c r="AU771" i="16"/>
  <c r="AV771" i="16" s="1"/>
  <c r="AU755" i="16"/>
  <c r="AV755" i="16" s="1"/>
  <c r="AU739" i="16"/>
  <c r="AV739" i="16" s="1"/>
  <c r="AU723" i="16"/>
  <c r="AV723" i="16" s="1"/>
  <c r="AU707" i="16"/>
  <c r="AV707" i="16" s="1"/>
  <c r="AU1245" i="16"/>
  <c r="AV1245" i="16" s="1"/>
  <c r="AU1078" i="16"/>
  <c r="AV1078" i="16" s="1"/>
  <c r="AU1046" i="16"/>
  <c r="AV1046" i="16" s="1"/>
  <c r="AU1014" i="16"/>
  <c r="AV1014" i="16" s="1"/>
  <c r="AU982" i="16"/>
  <c r="AV982" i="16" s="1"/>
  <c r="AU950" i="16"/>
  <c r="AV950" i="16" s="1"/>
  <c r="AU918" i="16"/>
  <c r="AV918" i="16" s="1"/>
  <c r="AU886" i="16"/>
  <c r="AV886" i="16" s="1"/>
  <c r="AU854" i="16"/>
  <c r="AV854" i="16" s="1"/>
  <c r="AU695" i="16"/>
  <c r="AV695" i="16" s="1"/>
  <c r="AU663" i="16"/>
  <c r="AV663" i="16" s="1"/>
  <c r="AU631" i="16"/>
  <c r="AV631" i="16" s="1"/>
  <c r="AU606" i="16"/>
  <c r="AV606" i="16" s="1"/>
  <c r="AU590" i="16"/>
  <c r="AV590" i="16" s="1"/>
  <c r="AU574" i="16"/>
  <c r="AV574" i="16" s="1"/>
  <c r="AU558" i="16"/>
  <c r="AV558" i="16" s="1"/>
  <c r="AU543" i="16"/>
  <c r="AV543" i="16" s="1"/>
  <c r="AU535" i="16"/>
  <c r="AV535" i="16" s="1"/>
  <c r="AU527" i="16"/>
  <c r="AV527" i="16" s="1"/>
  <c r="AU519" i="16"/>
  <c r="AV519" i="16" s="1"/>
  <c r="AU511" i="16"/>
  <c r="AV511" i="16" s="1"/>
  <c r="AU503" i="16"/>
  <c r="AV503" i="16" s="1"/>
  <c r="AU495" i="16"/>
  <c r="AV495" i="16" s="1"/>
  <c r="AU487" i="16"/>
  <c r="AV487" i="16" s="1"/>
  <c r="AU479" i="16"/>
  <c r="AV479" i="16" s="1"/>
  <c r="AU471" i="16"/>
  <c r="AV471" i="16" s="1"/>
  <c r="AU463" i="16"/>
  <c r="AV463" i="16" s="1"/>
  <c r="AU448" i="16"/>
  <c r="AV448" i="16" s="1"/>
  <c r="AU1513" i="16"/>
  <c r="AV1513" i="16" s="1"/>
  <c r="AU1449" i="16"/>
  <c r="AV1449" i="16" s="1"/>
  <c r="AU1385" i="16"/>
  <c r="AV1385" i="16" s="1"/>
  <c r="AU1222" i="16"/>
  <c r="AV1222" i="16" s="1"/>
  <c r="AU1185" i="16"/>
  <c r="AV1185" i="16" s="1"/>
  <c r="AU1056" i="16"/>
  <c r="AV1056" i="16" s="1"/>
  <c r="AU1024" i="16"/>
  <c r="AV1024" i="16" s="1"/>
  <c r="AU992" i="16"/>
  <c r="AV992" i="16" s="1"/>
  <c r="AU960" i="16"/>
  <c r="AV960" i="16" s="1"/>
  <c r="AU928" i="16"/>
  <c r="AV928" i="16" s="1"/>
  <c r="AU896" i="16"/>
  <c r="AV896" i="16" s="1"/>
  <c r="AU864" i="16"/>
  <c r="AV864" i="16" s="1"/>
  <c r="AU832" i="16"/>
  <c r="AV832" i="16" s="1"/>
  <c r="AU816" i="16"/>
  <c r="AV816" i="16" s="1"/>
  <c r="AU800" i="16"/>
  <c r="AV800" i="16" s="1"/>
  <c r="AU784" i="16"/>
  <c r="AV784" i="16" s="1"/>
  <c r="AU768" i="16"/>
  <c r="AV768" i="16" s="1"/>
  <c r="AU752" i="16"/>
  <c r="AV752" i="16" s="1"/>
  <c r="AU736" i="16"/>
  <c r="AV736" i="16" s="1"/>
  <c r="AU720" i="16"/>
  <c r="AV720" i="16" s="1"/>
  <c r="AU704" i="16"/>
  <c r="AV704" i="16" s="1"/>
  <c r="AU688" i="16"/>
  <c r="AV688" i="16" s="1"/>
  <c r="AU672" i="16"/>
  <c r="AV672" i="16" s="1"/>
  <c r="AU656" i="16"/>
  <c r="AV656" i="16" s="1"/>
  <c r="AU640" i="16"/>
  <c r="AV640" i="16" s="1"/>
  <c r="AU624" i="16"/>
  <c r="AV624" i="16" s="1"/>
  <c r="AU607" i="16"/>
  <c r="AV607" i="16" s="1"/>
  <c r="AU591" i="16"/>
  <c r="AV591" i="16" s="1"/>
  <c r="AU575" i="16"/>
  <c r="AV575" i="16" s="1"/>
  <c r="AU559" i="16"/>
  <c r="AV559" i="16" s="1"/>
  <c r="AU1333" i="16"/>
  <c r="AV1333" i="16" s="1"/>
  <c r="AU1082" i="16"/>
  <c r="AV1082" i="16" s="1"/>
  <c r="AU1018" i="16"/>
  <c r="AV1018" i="16" s="1"/>
  <c r="AU954" i="16"/>
  <c r="AV954" i="16" s="1"/>
  <c r="AU890" i="16"/>
  <c r="AV890" i="16" s="1"/>
  <c r="AU683" i="16"/>
  <c r="AV683" i="16" s="1"/>
  <c r="AU649" i="16"/>
  <c r="AV649" i="16" s="1"/>
  <c r="AU613" i="16"/>
  <c r="AV613" i="16" s="1"/>
  <c r="AU597" i="16"/>
  <c r="AV597" i="16" s="1"/>
  <c r="AU581" i="16"/>
  <c r="AV581" i="16" s="1"/>
  <c r="AU565" i="16"/>
  <c r="AV565" i="16" s="1"/>
  <c r="AU549" i="16"/>
  <c r="AV549" i="16" s="1"/>
  <c r="AU520" i="16"/>
  <c r="AV520" i="16" s="1"/>
  <c r="AU488" i="16"/>
  <c r="AV488" i="16" s="1"/>
  <c r="AU456" i="16"/>
  <c r="AV456" i="16" s="1"/>
  <c r="AU439" i="16"/>
  <c r="AV439" i="16" s="1"/>
  <c r="AU420" i="16"/>
  <c r="AV420" i="16" s="1"/>
  <c r="AU388" i="16"/>
  <c r="AV388" i="16" s="1"/>
  <c r="AU356" i="16"/>
  <c r="AV356" i="16" s="1"/>
  <c r="AU324" i="16"/>
  <c r="AV324" i="16" s="1"/>
  <c r="AU292" i="16"/>
  <c r="AV292" i="16" s="1"/>
  <c r="AU127" i="16"/>
  <c r="AV127" i="16" s="1"/>
  <c r="AU1529" i="16"/>
  <c r="AV1529" i="16" s="1"/>
  <c r="AU1401" i="16"/>
  <c r="AV1401" i="16" s="1"/>
  <c r="AU1206" i="16"/>
  <c r="AV1206" i="16" s="1"/>
  <c r="AU1170" i="16"/>
  <c r="AV1170" i="16" s="1"/>
  <c r="AU1154" i="16"/>
  <c r="AV1154" i="16" s="1"/>
  <c r="AU1138" i="16"/>
  <c r="AV1138" i="16" s="1"/>
  <c r="AU1122" i="16"/>
  <c r="AV1122" i="16" s="1"/>
  <c r="AU1106" i="16"/>
  <c r="AV1106" i="16" s="1"/>
  <c r="AU1090" i="16"/>
  <c r="AV1090" i="16" s="1"/>
  <c r="AU1036" i="16"/>
  <c r="AV1036" i="16" s="1"/>
  <c r="AU972" i="16"/>
  <c r="AV972" i="16" s="1"/>
  <c r="AU908" i="16"/>
  <c r="AV908" i="16" s="1"/>
  <c r="AU844" i="16"/>
  <c r="AV844" i="16" s="1"/>
  <c r="AU805" i="16"/>
  <c r="AV805" i="16" s="1"/>
  <c r="AU773" i="16"/>
  <c r="AV773" i="16" s="1"/>
  <c r="AU741" i="16"/>
  <c r="AV741" i="16" s="1"/>
  <c r="AU709" i="16"/>
  <c r="AV709" i="16" s="1"/>
  <c r="AU659" i="16"/>
  <c r="AV659" i="16" s="1"/>
  <c r="AU625" i="16"/>
  <c r="AV625" i="16" s="1"/>
  <c r="AU522" i="16"/>
  <c r="AV522" i="16" s="1"/>
  <c r="AU490" i="16"/>
  <c r="AV490" i="16" s="1"/>
  <c r="AU459" i="16"/>
  <c r="AV459" i="16" s="1"/>
  <c r="AU435" i="16"/>
  <c r="AV435" i="16" s="1"/>
  <c r="AU421" i="16"/>
  <c r="AV421" i="16" s="1"/>
  <c r="AU410" i="16"/>
  <c r="AV410" i="16" s="1"/>
  <c r="AU106" i="16"/>
  <c r="AV106" i="16" s="1"/>
  <c r="AU253" i="16"/>
  <c r="AV253" i="16" s="1"/>
  <c r="AU411" i="16"/>
  <c r="AV411" i="16" s="1"/>
  <c r="AU900" i="16"/>
  <c r="AV900" i="16" s="1"/>
  <c r="AU114" i="16"/>
  <c r="AV114" i="16" s="1"/>
  <c r="AU261" i="16"/>
  <c r="AV261" i="16" s="1"/>
  <c r="AU441" i="16"/>
  <c r="AV441" i="16" s="1"/>
  <c r="AU1497" i="16"/>
  <c r="AV1497" i="16" s="1"/>
  <c r="AU90" i="16"/>
  <c r="AV90" i="16" s="1"/>
  <c r="AU237" i="16"/>
  <c r="AV237" i="16" s="1"/>
  <c r="AU401" i="16"/>
  <c r="AV401" i="16" s="1"/>
  <c r="AU66" i="16"/>
  <c r="AV66" i="16" s="1"/>
  <c r="AU213" i="16"/>
  <c r="AV213" i="16" s="1"/>
  <c r="AU342" i="16"/>
  <c r="AV342" i="16" s="1"/>
  <c r="AU1196" i="16"/>
  <c r="AV1196" i="16" s="1"/>
  <c r="AU16" i="16"/>
  <c r="AV16" i="16" s="1"/>
  <c r="AU48" i="16"/>
  <c r="AV48" i="16" s="1"/>
  <c r="AU80" i="16"/>
  <c r="AV80" i="16" s="1"/>
  <c r="AU112" i="16"/>
  <c r="AV112" i="16" s="1"/>
  <c r="AU163" i="16"/>
  <c r="AV163" i="16" s="1"/>
  <c r="AU195" i="16"/>
  <c r="AV195" i="16" s="1"/>
  <c r="AU227" i="16"/>
  <c r="AV227" i="16" s="1"/>
  <c r="AU259" i="16"/>
  <c r="AV259" i="16" s="1"/>
  <c r="AU291" i="16"/>
  <c r="AV291" i="16" s="1"/>
  <c r="AU345" i="16"/>
  <c r="AV345" i="16" s="1"/>
  <c r="AU382" i="16"/>
  <c r="AV382" i="16" s="1"/>
  <c r="AU419" i="16"/>
  <c r="AV419" i="16" s="1"/>
  <c r="AU700" i="16"/>
  <c r="AV700" i="16" s="1"/>
  <c r="AU801" i="16"/>
  <c r="AV801" i="16" s="1"/>
  <c r="AU1044" i="16"/>
  <c r="AV1044" i="16" s="1"/>
  <c r="AU30" i="16"/>
  <c r="AV30" i="16" s="1"/>
  <c r="AU62" i="16"/>
  <c r="AV62" i="16" s="1"/>
  <c r="AU94" i="16"/>
  <c r="AV94" i="16" s="1"/>
  <c r="AU129" i="16"/>
  <c r="AV129" i="16" s="1"/>
  <c r="AU161" i="16"/>
  <c r="AV161" i="16" s="1"/>
  <c r="AU193" i="16"/>
  <c r="AV193" i="16" s="1"/>
  <c r="AU225" i="16"/>
  <c r="AV225" i="16" s="1"/>
  <c r="AU257" i="16"/>
  <c r="AV257" i="16" s="1"/>
  <c r="AU294" i="16"/>
  <c r="AV294" i="16" s="1"/>
  <c r="AU331" i="16"/>
  <c r="AV331" i="16" s="1"/>
  <c r="AU385" i="16"/>
  <c r="AV385" i="16" s="1"/>
  <c r="AU422" i="16"/>
  <c r="AV422" i="16" s="1"/>
  <c r="AU534" i="16"/>
  <c r="AV534" i="16" s="1"/>
  <c r="AU729" i="16"/>
  <c r="AV729" i="16" s="1"/>
  <c r="AU868" i="16"/>
  <c r="AV868" i="16" s="1"/>
  <c r="AU1433" i="16"/>
  <c r="AV1433" i="16" s="1"/>
  <c r="AU20" i="16"/>
  <c r="AV20" i="16" s="1"/>
  <c r="AU52" i="16"/>
  <c r="AV52" i="16" s="1"/>
  <c r="AU84" i="16"/>
  <c r="AV84" i="16" s="1"/>
  <c r="AU116" i="16"/>
  <c r="AV116" i="16" s="1"/>
  <c r="AU151" i="16"/>
  <c r="AV151" i="16" s="1"/>
  <c r="AU183" i="16"/>
  <c r="AV183" i="16" s="1"/>
  <c r="AU215" i="16"/>
  <c r="AV215" i="16" s="1"/>
  <c r="AU247" i="16"/>
  <c r="AV247" i="16" s="1"/>
  <c r="AU279" i="16"/>
  <c r="AV279" i="16" s="1"/>
  <c r="AU307" i="16"/>
  <c r="AV307" i="16" s="1"/>
  <c r="AU361" i="16"/>
  <c r="AV361" i="16" s="1"/>
  <c r="AU398" i="16"/>
  <c r="AV398" i="16" s="1"/>
  <c r="AU443" i="16"/>
  <c r="AV443" i="16" s="1"/>
  <c r="AU542" i="16"/>
  <c r="AV542" i="16" s="1"/>
  <c r="AU721" i="16"/>
  <c r="AV721" i="16" s="1"/>
  <c r="AU884" i="16"/>
  <c r="AV884" i="16" s="1"/>
  <c r="AU118" i="16"/>
  <c r="AV118" i="16" s="1"/>
  <c r="AU134" i="16"/>
  <c r="AV134" i="16" s="1"/>
  <c r="AU312" i="16"/>
  <c r="AV312" i="16" s="1"/>
  <c r="AU344" i="16"/>
  <c r="AV344" i="16" s="1"/>
  <c r="AU376" i="16"/>
  <c r="AV376" i="16" s="1"/>
  <c r="AU408" i="16"/>
  <c r="AV408" i="16" s="1"/>
  <c r="AU431" i="16"/>
  <c r="AV431" i="16" s="1"/>
  <c r="AU447" i="16"/>
  <c r="AV447" i="16" s="1"/>
  <c r="AU468" i="16"/>
  <c r="AV468" i="16" s="1"/>
  <c r="AU500" i="16"/>
  <c r="AV500" i="16" s="1"/>
  <c r="AU532" i="16"/>
  <c r="AV532" i="16" s="1"/>
  <c r="AU556" i="16"/>
  <c r="AV556" i="16" s="1"/>
  <c r="AU572" i="16"/>
  <c r="AV572" i="16" s="1"/>
  <c r="AU588" i="16"/>
  <c r="AV588" i="16" s="1"/>
  <c r="AU604" i="16"/>
  <c r="AV604" i="16" s="1"/>
  <c r="AU628" i="16"/>
  <c r="AV628" i="16" s="1"/>
  <c r="AU665" i="16"/>
  <c r="AV665" i="16" s="1"/>
  <c r="AU699" i="16"/>
  <c r="AV699" i="16" s="1"/>
  <c r="AU882" i="16"/>
  <c r="AV882" i="16" s="1"/>
  <c r="AU946" i="16"/>
  <c r="AV946" i="16" s="1"/>
  <c r="AU1010" i="16"/>
  <c r="AV1010" i="16" s="1"/>
  <c r="AU1074" i="16"/>
  <c r="AV1074" i="16" s="1"/>
  <c r="AU9" i="16"/>
  <c r="AV9" i="16" s="1"/>
  <c r="AU17" i="16"/>
  <c r="AV17" i="16" s="1"/>
  <c r="AU25" i="16"/>
  <c r="AV25" i="16" s="1"/>
  <c r="AU33" i="16"/>
  <c r="AV33" i="16" s="1"/>
  <c r="AU41" i="16"/>
  <c r="AV41" i="16" s="1"/>
  <c r="AU49" i="16"/>
  <c r="AV49" i="16" s="1"/>
  <c r="AU57" i="16"/>
  <c r="AV57" i="16" s="1"/>
  <c r="AU65" i="16"/>
  <c r="AV65" i="16" s="1"/>
  <c r="AU73" i="16"/>
  <c r="AV73" i="16" s="1"/>
  <c r="AU81" i="16"/>
  <c r="AV81" i="16" s="1"/>
  <c r="AU89" i="16"/>
  <c r="AV89" i="16" s="1"/>
  <c r="AU97" i="16"/>
  <c r="AV97" i="16" s="1"/>
  <c r="AU105" i="16"/>
  <c r="AV105" i="16" s="1"/>
  <c r="AU113" i="16"/>
  <c r="AV113" i="16" s="1"/>
  <c r="AU125" i="16"/>
  <c r="AV125" i="16" s="1"/>
  <c r="AU138" i="16"/>
  <c r="AV138" i="16" s="1"/>
  <c r="AU146" i="16"/>
  <c r="AV146" i="16" s="1"/>
  <c r="AU154" i="16"/>
  <c r="AV154" i="16" s="1"/>
  <c r="AU162" i="16"/>
  <c r="AV162" i="16" s="1"/>
  <c r="AU170" i="16"/>
  <c r="AV170" i="16" s="1"/>
  <c r="AU178" i="16"/>
  <c r="AV178" i="16" s="1"/>
  <c r="AU186" i="16"/>
  <c r="AV186" i="16" s="1"/>
  <c r="AU194" i="16"/>
  <c r="AV194" i="16" s="1"/>
  <c r="AU202" i="16"/>
  <c r="AV202" i="16" s="1"/>
  <c r="AU210" i="16"/>
  <c r="AV210" i="16" s="1"/>
  <c r="AU218" i="16"/>
  <c r="AV218" i="16" s="1"/>
  <c r="AU226" i="16"/>
  <c r="AV226" i="16" s="1"/>
  <c r="AU234" i="16"/>
  <c r="AV234" i="16" s="1"/>
  <c r="AU242" i="16"/>
  <c r="AV242" i="16" s="1"/>
  <c r="AU250" i="16"/>
  <c r="AV250" i="16" s="1"/>
  <c r="AU258" i="16"/>
  <c r="AV258" i="16" s="1"/>
  <c r="AU266" i="16"/>
  <c r="AV266" i="16" s="1"/>
  <c r="AU274" i="16"/>
  <c r="AV274" i="16" s="1"/>
  <c r="AU282" i="16"/>
  <c r="AV282" i="16" s="1"/>
  <c r="AU293" i="16"/>
  <c r="AV293" i="16" s="1"/>
  <c r="AU303" i="16"/>
  <c r="AV303" i="16" s="1"/>
  <c r="AU314" i="16"/>
  <c r="AV314" i="16" s="1"/>
  <c r="AU325" i="16"/>
  <c r="AV325" i="16" s="1"/>
  <c r="AU335" i="16"/>
  <c r="AV335" i="16" s="1"/>
  <c r="AU346" i="16"/>
  <c r="AV346" i="16" s="1"/>
  <c r="AU357" i="16"/>
  <c r="AV357" i="16" s="1"/>
  <c r="AU367" i="16"/>
  <c r="AV367" i="16" s="1"/>
  <c r="AU378" i="16"/>
  <c r="AV378" i="16" s="1"/>
  <c r="AU389" i="16"/>
  <c r="AV389" i="16" s="1"/>
  <c r="AU399" i="16"/>
  <c r="AV399" i="16" s="1"/>
  <c r="AP1090" i="16"/>
  <c r="AQ1090" i="16" s="1"/>
  <c r="AP1094" i="16"/>
  <c r="AQ1094" i="16" s="1"/>
  <c r="AP1098" i="16"/>
  <c r="AQ1098" i="16" s="1"/>
  <c r="AP1102" i="16"/>
  <c r="AQ1102" i="16" s="1"/>
  <c r="AP1106" i="16"/>
  <c r="AQ1106" i="16" s="1"/>
  <c r="AP1110" i="16"/>
  <c r="AQ1110" i="16" s="1"/>
  <c r="AP1114" i="16"/>
  <c r="AQ1114" i="16" s="1"/>
  <c r="AP1118" i="16"/>
  <c r="AQ1118" i="16" s="1"/>
  <c r="AP1122" i="16"/>
  <c r="AQ1122" i="16" s="1"/>
  <c r="AP1126" i="16"/>
  <c r="AQ1126" i="16" s="1"/>
  <c r="AP1130" i="16"/>
  <c r="AQ1130" i="16" s="1"/>
  <c r="AP1134" i="16"/>
  <c r="AQ1134" i="16" s="1"/>
  <c r="AP1138" i="16"/>
  <c r="AQ1138" i="16" s="1"/>
  <c r="AP1142" i="16"/>
  <c r="AQ1142" i="16" s="1"/>
  <c r="AP1146" i="16"/>
  <c r="AQ1146" i="16" s="1"/>
  <c r="AP1150" i="16"/>
  <c r="AP1154" i="16"/>
  <c r="AQ1154" i="16" s="1"/>
  <c r="AP1158" i="16"/>
  <c r="AQ1158" i="16" s="1"/>
  <c r="AP1162" i="16"/>
  <c r="AQ1162" i="16" s="1"/>
  <c r="AP1166" i="16"/>
  <c r="AQ1166" i="16" s="1"/>
  <c r="AP1170" i="16"/>
  <c r="AQ1170" i="16" s="1"/>
  <c r="AP1174" i="16"/>
  <c r="AQ1174" i="16" s="1"/>
  <c r="AP1178" i="16"/>
  <c r="AQ1178" i="16" s="1"/>
  <c r="AP1182" i="16"/>
  <c r="AQ1182" i="16" s="1"/>
  <c r="AP1186" i="16"/>
  <c r="AQ1186" i="16" s="1"/>
  <c r="AP1190" i="16"/>
  <c r="AQ1190" i="16" s="1"/>
  <c r="AP1194" i="16"/>
  <c r="AQ1194" i="16" s="1"/>
  <c r="AP1198" i="16"/>
  <c r="AQ1198" i="16" s="1"/>
  <c r="AP1202" i="16"/>
  <c r="AQ1202" i="16" s="1"/>
  <c r="AP1206" i="16"/>
  <c r="AQ1206" i="16" s="1"/>
  <c r="AP1210" i="16"/>
  <c r="AQ1210" i="16" s="1"/>
  <c r="AP1214" i="16"/>
  <c r="AQ1214" i="16" s="1"/>
  <c r="AP1218" i="16"/>
  <c r="AQ1218" i="16" s="1"/>
  <c r="AP1222" i="16"/>
  <c r="AQ1222" i="16" s="1"/>
  <c r="AP1226" i="16"/>
  <c r="AQ1226" i="16" s="1"/>
  <c r="AP1230" i="16"/>
  <c r="AQ1230" i="16" s="1"/>
  <c r="AP1234" i="16"/>
  <c r="AQ1234" i="16" s="1"/>
  <c r="AP1238" i="16"/>
  <c r="AQ1238" i="16" s="1"/>
  <c r="AP1242" i="16"/>
  <c r="AQ1242" i="16" s="1"/>
  <c r="AP1246" i="16"/>
  <c r="AQ1246" i="16" s="1"/>
  <c r="AP1250" i="16"/>
  <c r="AQ1250" i="16" s="1"/>
  <c r="AP1254" i="16"/>
  <c r="AQ1254" i="16" s="1"/>
  <c r="AP1258" i="16"/>
  <c r="AQ1258" i="16" s="1"/>
  <c r="AP1262" i="16"/>
  <c r="AQ1262" i="16" s="1"/>
  <c r="AP1266" i="16"/>
  <c r="AQ1266" i="16" s="1"/>
  <c r="AP1270" i="16"/>
  <c r="AQ1270" i="16" s="1"/>
  <c r="AP1274" i="16"/>
  <c r="AQ1274" i="16" s="1"/>
  <c r="AP1278" i="16"/>
  <c r="AQ1278" i="16" s="1"/>
  <c r="AP1282" i="16"/>
  <c r="AQ1282" i="16" s="1"/>
  <c r="AP1286" i="16"/>
  <c r="AQ1286" i="16" s="1"/>
  <c r="AP1290" i="16"/>
  <c r="AQ1290" i="16" s="1"/>
  <c r="AP1294" i="16"/>
  <c r="AQ1294" i="16" s="1"/>
  <c r="AP1298" i="16"/>
  <c r="AQ1298" i="16" s="1"/>
  <c r="AP1302" i="16"/>
  <c r="AQ1302" i="16" s="1"/>
  <c r="AP1306" i="16"/>
  <c r="AQ1306" i="16" s="1"/>
  <c r="AP1310" i="16"/>
  <c r="AQ1310" i="16" s="1"/>
  <c r="AP1314" i="16"/>
  <c r="AQ1314" i="16" s="1"/>
  <c r="AP1318" i="16"/>
  <c r="AQ1318" i="16" s="1"/>
  <c r="AP1322" i="16"/>
  <c r="AQ1322" i="16" s="1"/>
  <c r="AP1326" i="16"/>
  <c r="AQ1326" i="16" s="1"/>
  <c r="AP1330" i="16"/>
  <c r="AQ1330" i="16" s="1"/>
  <c r="AP1334" i="16"/>
  <c r="AQ1334" i="16" s="1"/>
  <c r="AP1338" i="16"/>
  <c r="AQ1338" i="16" s="1"/>
  <c r="AP1342" i="16"/>
  <c r="AQ1342" i="16" s="1"/>
  <c r="AP1346" i="16"/>
  <c r="AQ1346" i="16" s="1"/>
  <c r="AP1350" i="16"/>
  <c r="AQ1350" i="16" s="1"/>
  <c r="AP1354" i="16"/>
  <c r="AQ1354" i="16" s="1"/>
  <c r="AP1358" i="16"/>
  <c r="AQ1358" i="16" s="1"/>
  <c r="AP1362" i="16"/>
  <c r="AQ1362" i="16" s="1"/>
  <c r="AP1366" i="16"/>
  <c r="AQ1366" i="16" s="1"/>
  <c r="AP1370" i="16"/>
  <c r="AQ1370" i="16" s="1"/>
  <c r="AP1374" i="16"/>
  <c r="AQ1374" i="16" s="1"/>
  <c r="AP1378" i="16"/>
  <c r="AQ1378" i="16" s="1"/>
  <c r="AP1382" i="16"/>
  <c r="AQ1382" i="16" s="1"/>
  <c r="AP1386" i="16"/>
  <c r="AQ1386" i="16" s="1"/>
  <c r="AP1390" i="16"/>
  <c r="AQ1390" i="16" s="1"/>
  <c r="AP1394" i="16"/>
  <c r="AQ1394" i="16" s="1"/>
  <c r="AP1398" i="16"/>
  <c r="AQ1398" i="16" s="1"/>
  <c r="AP1402" i="16"/>
  <c r="AQ1402" i="16" s="1"/>
  <c r="AP1406" i="16"/>
  <c r="AQ1406" i="16" s="1"/>
  <c r="AP1410" i="16"/>
  <c r="AQ1410" i="16" s="1"/>
  <c r="AP1414" i="16"/>
  <c r="AQ1414" i="16" s="1"/>
  <c r="AP1418" i="16"/>
  <c r="AQ1418" i="16" s="1"/>
  <c r="AP1422" i="16"/>
  <c r="AQ1422" i="16" s="1"/>
  <c r="AP1426" i="16"/>
  <c r="AQ1426" i="16" s="1"/>
  <c r="AP1091" i="16"/>
  <c r="AQ1091" i="16" s="1"/>
  <c r="AP1095" i="16"/>
  <c r="AQ1095" i="16" s="1"/>
  <c r="AP1099" i="16"/>
  <c r="AQ1099" i="16" s="1"/>
  <c r="AP1103" i="16"/>
  <c r="AQ1103" i="16" s="1"/>
  <c r="AP1107" i="16"/>
  <c r="AQ1107" i="16" s="1"/>
  <c r="AP1111" i="16"/>
  <c r="AQ1111" i="16" s="1"/>
  <c r="AP1115" i="16"/>
  <c r="AQ1115" i="16" s="1"/>
  <c r="AP1119" i="16"/>
  <c r="AQ1119" i="16" s="1"/>
  <c r="AP1123" i="16"/>
  <c r="AQ1123" i="16" s="1"/>
  <c r="AP1127" i="16"/>
  <c r="AQ1127" i="16" s="1"/>
  <c r="AP1131" i="16"/>
  <c r="AQ1131" i="16" s="1"/>
  <c r="AP1135" i="16"/>
  <c r="AQ1135" i="16" s="1"/>
  <c r="AP1139" i="16"/>
  <c r="AQ1139" i="16" s="1"/>
  <c r="AP1143" i="16"/>
  <c r="AQ1143" i="16" s="1"/>
  <c r="AP1147" i="16"/>
  <c r="AQ1147" i="16" s="1"/>
  <c r="AP1151" i="16"/>
  <c r="AQ1151" i="16" s="1"/>
  <c r="AP1155" i="16"/>
  <c r="AQ1155" i="16" s="1"/>
  <c r="AP1159" i="16"/>
  <c r="AQ1159" i="16" s="1"/>
  <c r="AP1163" i="16"/>
  <c r="AQ1163" i="16" s="1"/>
  <c r="AP1167" i="16"/>
  <c r="AQ1167" i="16" s="1"/>
  <c r="AP1171" i="16"/>
  <c r="AQ1171" i="16" s="1"/>
  <c r="AP1175" i="16"/>
  <c r="AQ1175" i="16" s="1"/>
  <c r="AP1179" i="16"/>
  <c r="AQ1179" i="16" s="1"/>
  <c r="AP1183" i="16"/>
  <c r="AQ1183" i="16" s="1"/>
  <c r="AP1187" i="16"/>
  <c r="AQ1187" i="16" s="1"/>
  <c r="AP1191" i="16"/>
  <c r="AQ1191" i="16" s="1"/>
  <c r="AP1195" i="16"/>
  <c r="AQ1195" i="16" s="1"/>
  <c r="AP1199" i="16"/>
  <c r="AQ1199" i="16" s="1"/>
  <c r="AP1203" i="16"/>
  <c r="AQ1203" i="16" s="1"/>
  <c r="AP1207" i="16"/>
  <c r="AQ1207" i="16" s="1"/>
  <c r="AP1211" i="16"/>
  <c r="AQ1211" i="16" s="1"/>
  <c r="AP1215" i="16"/>
  <c r="AQ1215" i="16" s="1"/>
  <c r="AP1219" i="16"/>
  <c r="AQ1219" i="16" s="1"/>
  <c r="AP1223" i="16"/>
  <c r="AQ1223" i="16" s="1"/>
  <c r="AP1227" i="16"/>
  <c r="AQ1227" i="16" s="1"/>
  <c r="AP1231" i="16"/>
  <c r="AQ1231" i="16" s="1"/>
  <c r="AP1235" i="16"/>
  <c r="AQ1235" i="16" s="1"/>
  <c r="AP1239" i="16"/>
  <c r="AQ1239" i="16" s="1"/>
  <c r="AP1243" i="16"/>
  <c r="AQ1243" i="16" s="1"/>
  <c r="AP1247" i="16"/>
  <c r="AQ1247" i="16" s="1"/>
  <c r="AP1251" i="16"/>
  <c r="AQ1251" i="16" s="1"/>
  <c r="AP1255" i="16"/>
  <c r="AQ1255" i="16" s="1"/>
  <c r="AP1259" i="16"/>
  <c r="AQ1259" i="16" s="1"/>
  <c r="AP1263" i="16"/>
  <c r="AQ1263" i="16" s="1"/>
  <c r="AP1267" i="16"/>
  <c r="AQ1267" i="16" s="1"/>
  <c r="AP1271" i="16"/>
  <c r="AQ1271" i="16" s="1"/>
  <c r="AP1275" i="16"/>
  <c r="AQ1275" i="16" s="1"/>
  <c r="AP1279" i="16"/>
  <c r="AQ1279" i="16" s="1"/>
  <c r="AP1283" i="16"/>
  <c r="AQ1283" i="16" s="1"/>
  <c r="AP1287" i="16"/>
  <c r="AQ1287" i="16" s="1"/>
  <c r="AP1291" i="16"/>
  <c r="AQ1291" i="16" s="1"/>
  <c r="AP1295" i="16"/>
  <c r="AQ1295" i="16" s="1"/>
  <c r="AP1299" i="16"/>
  <c r="AQ1299" i="16" s="1"/>
  <c r="AP1303" i="16"/>
  <c r="AQ1303" i="16" s="1"/>
  <c r="AP1307" i="16"/>
  <c r="AQ1307" i="16" s="1"/>
  <c r="AP1311" i="16"/>
  <c r="AQ1311" i="16" s="1"/>
  <c r="AP1315" i="16"/>
  <c r="AQ1315" i="16" s="1"/>
  <c r="AP1319" i="16"/>
  <c r="AQ1319" i="16" s="1"/>
  <c r="AP1323" i="16"/>
  <c r="AQ1323" i="16" s="1"/>
  <c r="AP1327" i="16"/>
  <c r="AQ1327" i="16" s="1"/>
  <c r="AP1331" i="16"/>
  <c r="AQ1331" i="16" s="1"/>
  <c r="AP1335" i="16"/>
  <c r="AQ1335" i="16" s="1"/>
  <c r="AP1339" i="16"/>
  <c r="AQ1339" i="16" s="1"/>
  <c r="AP1343" i="16"/>
  <c r="AQ1343" i="16" s="1"/>
  <c r="AP1347" i="16"/>
  <c r="AQ1347" i="16" s="1"/>
  <c r="AP1351" i="16"/>
  <c r="AQ1351" i="16" s="1"/>
  <c r="AP1355" i="16"/>
  <c r="AQ1355" i="16" s="1"/>
  <c r="AP1359" i="16"/>
  <c r="AQ1359" i="16" s="1"/>
  <c r="AP1363" i="16"/>
  <c r="AQ1363" i="16" s="1"/>
  <c r="AP1367" i="16"/>
  <c r="AQ1367" i="16" s="1"/>
  <c r="AP1371" i="16"/>
  <c r="AQ1371" i="16" s="1"/>
  <c r="AP1375" i="16"/>
  <c r="AQ1375" i="16" s="1"/>
  <c r="AP1379" i="16"/>
  <c r="AQ1379" i="16" s="1"/>
  <c r="AP1383" i="16"/>
  <c r="AQ1383" i="16" s="1"/>
  <c r="AP1387" i="16"/>
  <c r="AQ1387" i="16" s="1"/>
  <c r="AP1391" i="16"/>
  <c r="AQ1391" i="16" s="1"/>
  <c r="AP1395" i="16"/>
  <c r="AQ1395" i="16" s="1"/>
  <c r="AP1399" i="16"/>
  <c r="AQ1399" i="16" s="1"/>
  <c r="AP1403" i="16"/>
  <c r="AQ1403" i="16" s="1"/>
  <c r="AP1407" i="16"/>
  <c r="AQ1407" i="16" s="1"/>
  <c r="AP1411" i="16"/>
  <c r="AQ1411" i="16" s="1"/>
  <c r="AP1415" i="16"/>
  <c r="AQ1415" i="16" s="1"/>
  <c r="AP1419" i="16"/>
  <c r="AQ1419" i="16" s="1"/>
  <c r="AP1423" i="16"/>
  <c r="AQ1423" i="16" s="1"/>
  <c r="AP1427" i="16"/>
  <c r="AQ1427" i="16" s="1"/>
  <c r="AP1092" i="16"/>
  <c r="AQ1092" i="16" s="1"/>
  <c r="AP1100" i="16"/>
  <c r="AQ1100" i="16" s="1"/>
  <c r="AP1108" i="16"/>
  <c r="AQ1108" i="16" s="1"/>
  <c r="AP1116" i="16"/>
  <c r="AQ1116" i="16" s="1"/>
  <c r="AP1124" i="16"/>
  <c r="AQ1124" i="16" s="1"/>
  <c r="AP1132" i="16"/>
  <c r="AQ1132" i="16" s="1"/>
  <c r="AP1140" i="16"/>
  <c r="AQ1140" i="16" s="1"/>
  <c r="AP1148" i="16"/>
  <c r="AQ1148" i="16" s="1"/>
  <c r="AP1156" i="16"/>
  <c r="AQ1156" i="16" s="1"/>
  <c r="AP1164" i="16"/>
  <c r="AQ1164" i="16" s="1"/>
  <c r="AP1172" i="16"/>
  <c r="AQ1172" i="16" s="1"/>
  <c r="AP1180" i="16"/>
  <c r="AQ1180" i="16" s="1"/>
  <c r="AP1188" i="16"/>
  <c r="AQ1188" i="16" s="1"/>
  <c r="AP1196" i="16"/>
  <c r="AQ1196" i="16" s="1"/>
  <c r="AP1204" i="16"/>
  <c r="AQ1204" i="16" s="1"/>
  <c r="AP1212" i="16"/>
  <c r="AQ1212" i="16" s="1"/>
  <c r="AP1220" i="16"/>
  <c r="AQ1220" i="16" s="1"/>
  <c r="AP1228" i="16"/>
  <c r="AQ1228" i="16" s="1"/>
  <c r="AP1236" i="16"/>
  <c r="AQ1236" i="16" s="1"/>
  <c r="AP1244" i="16"/>
  <c r="AQ1244" i="16" s="1"/>
  <c r="AP1252" i="16"/>
  <c r="AQ1252" i="16" s="1"/>
  <c r="AP1260" i="16"/>
  <c r="AQ1260" i="16" s="1"/>
  <c r="AP1268" i="16"/>
  <c r="AQ1268" i="16" s="1"/>
  <c r="AP1276" i="16"/>
  <c r="AQ1276" i="16" s="1"/>
  <c r="AP1284" i="16"/>
  <c r="AQ1284" i="16" s="1"/>
  <c r="AP1292" i="16"/>
  <c r="AQ1292" i="16" s="1"/>
  <c r="AP1300" i="16"/>
  <c r="AQ1300" i="16" s="1"/>
  <c r="AP1308" i="16"/>
  <c r="AQ1308" i="16" s="1"/>
  <c r="AP1316" i="16"/>
  <c r="AQ1316" i="16" s="1"/>
  <c r="AP1324" i="16"/>
  <c r="AQ1324" i="16" s="1"/>
  <c r="AP1332" i="16"/>
  <c r="AQ1332" i="16" s="1"/>
  <c r="AP1340" i="16"/>
  <c r="AQ1340" i="16" s="1"/>
  <c r="AP1348" i="16"/>
  <c r="AQ1348" i="16" s="1"/>
  <c r="AP1356" i="16"/>
  <c r="AQ1356" i="16" s="1"/>
  <c r="AP1364" i="16"/>
  <c r="AQ1364" i="16" s="1"/>
  <c r="AP1372" i="16"/>
  <c r="AQ1372" i="16" s="1"/>
  <c r="AP1380" i="16"/>
  <c r="AQ1380" i="16" s="1"/>
  <c r="AP1388" i="16"/>
  <c r="AQ1388" i="16" s="1"/>
  <c r="AP1396" i="16"/>
  <c r="AQ1396" i="16" s="1"/>
  <c r="AP1404" i="16"/>
  <c r="AQ1404" i="16" s="1"/>
  <c r="AP1412" i="16"/>
  <c r="AQ1412" i="16" s="1"/>
  <c r="AP1420" i="16"/>
  <c r="AQ1420" i="16" s="1"/>
  <c r="AP1428" i="16"/>
  <c r="AQ1428" i="16" s="1"/>
  <c r="AP1432" i="16"/>
  <c r="AQ1432" i="16" s="1"/>
  <c r="AP1436" i="16"/>
  <c r="AQ1436" i="16" s="1"/>
  <c r="AP1440" i="16"/>
  <c r="AQ1440" i="16" s="1"/>
  <c r="AP1444" i="16"/>
  <c r="AQ1444" i="16" s="1"/>
  <c r="AP1448" i="16"/>
  <c r="AQ1448" i="16" s="1"/>
  <c r="AP1452" i="16"/>
  <c r="AQ1452" i="16" s="1"/>
  <c r="AP1456" i="16"/>
  <c r="AQ1456" i="16" s="1"/>
  <c r="AP1460" i="16"/>
  <c r="AQ1460" i="16" s="1"/>
  <c r="AP1464" i="16"/>
  <c r="AQ1464" i="16" s="1"/>
  <c r="AP1468" i="16"/>
  <c r="AQ1468" i="16" s="1"/>
  <c r="AP1472" i="16"/>
  <c r="AQ1472" i="16" s="1"/>
  <c r="AP1476" i="16"/>
  <c r="AQ1476" i="16" s="1"/>
  <c r="AP1480" i="16"/>
  <c r="AQ1480" i="16" s="1"/>
  <c r="AP1484" i="16"/>
  <c r="AQ1484" i="16" s="1"/>
  <c r="AP1488" i="16"/>
  <c r="AQ1488" i="16" s="1"/>
  <c r="AP1492" i="16"/>
  <c r="AQ1492" i="16" s="1"/>
  <c r="AP1496" i="16"/>
  <c r="AQ1496" i="16" s="1"/>
  <c r="AP1500" i="16"/>
  <c r="AQ1500" i="16" s="1"/>
  <c r="AP1504" i="16"/>
  <c r="AQ1504" i="16" s="1"/>
  <c r="AP1508" i="16"/>
  <c r="AQ1508" i="16" s="1"/>
  <c r="AP1512" i="16"/>
  <c r="AQ1512" i="16" s="1"/>
  <c r="AP1516" i="16"/>
  <c r="AQ1516" i="16" s="1"/>
  <c r="AP1520" i="16"/>
  <c r="AQ1520" i="16" s="1"/>
  <c r="AP1524" i="16"/>
  <c r="AQ1524" i="16" s="1"/>
  <c r="AP1528" i="16"/>
  <c r="AQ1528" i="16" s="1"/>
  <c r="AP1532" i="16"/>
  <c r="AQ1532" i="16" s="1"/>
  <c r="AP1536" i="16"/>
  <c r="AQ1536" i="16" s="1"/>
  <c r="AP1540" i="16"/>
  <c r="AQ1540" i="16" s="1"/>
  <c r="AP1544" i="16"/>
  <c r="AQ1544" i="16" s="1"/>
  <c r="AP1548" i="16"/>
  <c r="AQ1548" i="16" s="1"/>
  <c r="AP1552" i="16"/>
  <c r="AQ1552" i="16" s="1"/>
  <c r="AP1556" i="16"/>
  <c r="AQ1556" i="16" s="1"/>
  <c r="AP1560" i="16"/>
  <c r="AQ1560" i="16" s="1"/>
  <c r="AP1564" i="16"/>
  <c r="AQ1564" i="16" s="1"/>
  <c r="AP1568" i="16"/>
  <c r="AQ1568" i="16" s="1"/>
  <c r="AP1572" i="16"/>
  <c r="AQ1572" i="16" s="1"/>
  <c r="AP1576" i="16"/>
  <c r="AQ1576" i="16" s="1"/>
  <c r="AP1580" i="16"/>
  <c r="AQ1580" i="16" s="1"/>
  <c r="AP1584" i="16"/>
  <c r="AQ1584" i="16" s="1"/>
  <c r="AP1588" i="16"/>
  <c r="AQ1588" i="16" s="1"/>
  <c r="AP1592" i="16"/>
  <c r="AQ1592" i="16" s="1"/>
  <c r="AP1596" i="16"/>
  <c r="AQ1596" i="16" s="1"/>
  <c r="AP1600" i="16"/>
  <c r="AQ1600" i="16" s="1"/>
  <c r="AP1604" i="16"/>
  <c r="AQ1604" i="16" s="1"/>
  <c r="AP1608" i="16"/>
  <c r="AQ1608" i="16" s="1"/>
  <c r="AP1612" i="16"/>
  <c r="AQ1612" i="16" s="1"/>
  <c r="AP1616" i="16"/>
  <c r="AQ1616" i="16" s="1"/>
  <c r="AP1620" i="16"/>
  <c r="AQ1620" i="16" s="1"/>
  <c r="AP1624" i="16"/>
  <c r="AQ1624" i="16" s="1"/>
  <c r="AP1093" i="16"/>
  <c r="AQ1093" i="16" s="1"/>
  <c r="AP1101" i="16"/>
  <c r="AQ1101" i="16" s="1"/>
  <c r="AP1109" i="16"/>
  <c r="AQ1109" i="16" s="1"/>
  <c r="AP1117" i="16"/>
  <c r="AQ1117" i="16" s="1"/>
  <c r="AP1125" i="16"/>
  <c r="AQ1125" i="16" s="1"/>
  <c r="AP1133" i="16"/>
  <c r="AQ1133" i="16" s="1"/>
  <c r="AP1141" i="16"/>
  <c r="AQ1141" i="16" s="1"/>
  <c r="AP1149" i="16"/>
  <c r="AQ1149" i="16" s="1"/>
  <c r="AP1157" i="16"/>
  <c r="AQ1157" i="16" s="1"/>
  <c r="AP1165" i="16"/>
  <c r="AQ1165" i="16" s="1"/>
  <c r="AP1173" i="16"/>
  <c r="AQ1173" i="16" s="1"/>
  <c r="AP1181" i="16"/>
  <c r="AQ1181" i="16" s="1"/>
  <c r="AP1189" i="16"/>
  <c r="AQ1189" i="16" s="1"/>
  <c r="AP1197" i="16"/>
  <c r="AQ1197" i="16" s="1"/>
  <c r="AP1205" i="16"/>
  <c r="AQ1205" i="16" s="1"/>
  <c r="AP1213" i="16"/>
  <c r="AQ1213" i="16" s="1"/>
  <c r="AP1221" i="16"/>
  <c r="AQ1221" i="16" s="1"/>
  <c r="AP1229" i="16"/>
  <c r="AQ1229" i="16" s="1"/>
  <c r="AP1237" i="16"/>
  <c r="AQ1237" i="16" s="1"/>
  <c r="AP1245" i="16"/>
  <c r="AQ1245" i="16" s="1"/>
  <c r="AP1253" i="16"/>
  <c r="AQ1253" i="16" s="1"/>
  <c r="AP1261" i="16"/>
  <c r="AQ1261" i="16" s="1"/>
  <c r="AP1269" i="16"/>
  <c r="AQ1269" i="16" s="1"/>
  <c r="AP1277" i="16"/>
  <c r="AQ1277" i="16" s="1"/>
  <c r="AP1285" i="16"/>
  <c r="AQ1285" i="16" s="1"/>
  <c r="AP1293" i="16"/>
  <c r="AQ1293" i="16" s="1"/>
  <c r="AP1301" i="16"/>
  <c r="AQ1301" i="16" s="1"/>
  <c r="AP1309" i="16"/>
  <c r="AQ1309" i="16" s="1"/>
  <c r="AP1317" i="16"/>
  <c r="AQ1317" i="16" s="1"/>
  <c r="AP1325" i="16"/>
  <c r="AQ1325" i="16" s="1"/>
  <c r="AP1333" i="16"/>
  <c r="AQ1333" i="16" s="1"/>
  <c r="AP1341" i="16"/>
  <c r="AQ1341" i="16" s="1"/>
  <c r="AP1349" i="16"/>
  <c r="AQ1349" i="16" s="1"/>
  <c r="AP1357" i="16"/>
  <c r="AQ1357" i="16" s="1"/>
  <c r="AP1365" i="16"/>
  <c r="AQ1365" i="16" s="1"/>
  <c r="AP1373" i="16"/>
  <c r="AQ1373" i="16" s="1"/>
  <c r="AP1381" i="16"/>
  <c r="AQ1381" i="16" s="1"/>
  <c r="AP1389" i="16"/>
  <c r="AQ1389" i="16" s="1"/>
  <c r="AP1397" i="16"/>
  <c r="AQ1397" i="16" s="1"/>
  <c r="AP1405" i="16"/>
  <c r="AQ1405" i="16" s="1"/>
  <c r="AP1413" i="16"/>
  <c r="AQ1413" i="16" s="1"/>
  <c r="AP1421" i="16"/>
  <c r="AQ1421" i="16" s="1"/>
  <c r="AP1429" i="16"/>
  <c r="AQ1429" i="16" s="1"/>
  <c r="AP1433" i="16"/>
  <c r="AQ1433" i="16" s="1"/>
  <c r="AP1437" i="16"/>
  <c r="AQ1437" i="16" s="1"/>
  <c r="AP1441" i="16"/>
  <c r="AQ1441" i="16" s="1"/>
  <c r="AP1445" i="16"/>
  <c r="AQ1445" i="16" s="1"/>
  <c r="AP1449" i="16"/>
  <c r="AQ1449" i="16" s="1"/>
  <c r="AP1453" i="16"/>
  <c r="AQ1453" i="16" s="1"/>
  <c r="AP1457" i="16"/>
  <c r="AQ1457" i="16" s="1"/>
  <c r="AP1461" i="16"/>
  <c r="AQ1461" i="16" s="1"/>
  <c r="AP1465" i="16"/>
  <c r="AQ1465" i="16" s="1"/>
  <c r="AP1469" i="16"/>
  <c r="AQ1469" i="16" s="1"/>
  <c r="AP1473" i="16"/>
  <c r="AQ1473" i="16" s="1"/>
  <c r="AP1477" i="16"/>
  <c r="AQ1477" i="16" s="1"/>
  <c r="AP1481" i="16"/>
  <c r="AQ1481" i="16" s="1"/>
  <c r="AP1485" i="16"/>
  <c r="AQ1485" i="16" s="1"/>
  <c r="AP1489" i="16"/>
  <c r="AQ1489" i="16" s="1"/>
  <c r="AP1493" i="16"/>
  <c r="AQ1493" i="16" s="1"/>
  <c r="AP1497" i="16"/>
  <c r="AQ1497" i="16" s="1"/>
  <c r="AP1501" i="16"/>
  <c r="AQ1501" i="16" s="1"/>
  <c r="AP1505" i="16"/>
  <c r="AQ1505" i="16" s="1"/>
  <c r="AP1509" i="16"/>
  <c r="AQ1509" i="16" s="1"/>
  <c r="AP1513" i="16"/>
  <c r="AQ1513" i="16" s="1"/>
  <c r="AP1517" i="16"/>
  <c r="AQ1517" i="16" s="1"/>
  <c r="AP1521" i="16"/>
  <c r="AQ1521" i="16" s="1"/>
  <c r="AP1525" i="16"/>
  <c r="AQ1525" i="16" s="1"/>
  <c r="AP1529" i="16"/>
  <c r="AQ1529" i="16" s="1"/>
  <c r="AP1533" i="16"/>
  <c r="AQ1533" i="16" s="1"/>
  <c r="AP1537" i="16"/>
  <c r="AQ1537" i="16" s="1"/>
  <c r="AP1541" i="16"/>
  <c r="AQ1541" i="16" s="1"/>
  <c r="AP1545" i="16"/>
  <c r="AQ1545" i="16" s="1"/>
  <c r="AP1549" i="16"/>
  <c r="AQ1549" i="16" s="1"/>
  <c r="AP1553" i="16"/>
  <c r="AQ1553" i="16" s="1"/>
  <c r="AP1557" i="16"/>
  <c r="AQ1557" i="16" s="1"/>
  <c r="AP1561" i="16"/>
  <c r="AQ1561" i="16" s="1"/>
  <c r="AP1565" i="16"/>
  <c r="AQ1565" i="16" s="1"/>
  <c r="AP1569" i="16"/>
  <c r="AQ1569" i="16" s="1"/>
  <c r="AP1573" i="16"/>
  <c r="AQ1573" i="16" s="1"/>
  <c r="AP1577" i="16"/>
  <c r="AQ1577" i="16" s="1"/>
  <c r="AP1581" i="16"/>
  <c r="AQ1581" i="16" s="1"/>
  <c r="AP1585" i="16"/>
  <c r="AQ1585" i="16" s="1"/>
  <c r="AP1589" i="16"/>
  <c r="AQ1589" i="16" s="1"/>
  <c r="AP1593" i="16"/>
  <c r="AQ1593" i="16" s="1"/>
  <c r="AP1597" i="16"/>
  <c r="AQ1597" i="16" s="1"/>
  <c r="AP1601" i="16"/>
  <c r="AQ1601" i="16" s="1"/>
  <c r="AP1605" i="16"/>
  <c r="AQ1605" i="16" s="1"/>
  <c r="AP1609" i="16"/>
  <c r="AQ1609" i="16" s="1"/>
  <c r="AP1613" i="16"/>
  <c r="AQ1613" i="16" s="1"/>
  <c r="AP1096" i="16"/>
  <c r="AQ1096" i="16" s="1"/>
  <c r="AP1104" i="16"/>
  <c r="AQ1104" i="16" s="1"/>
  <c r="AP1112" i="16"/>
  <c r="AQ1112" i="16" s="1"/>
  <c r="AP1120" i="16"/>
  <c r="AQ1120" i="16" s="1"/>
  <c r="AP1128" i="16"/>
  <c r="AQ1128" i="16" s="1"/>
  <c r="AP1136" i="16"/>
  <c r="AQ1136" i="16" s="1"/>
  <c r="AP1144" i="16"/>
  <c r="AQ1144" i="16" s="1"/>
  <c r="AP1152" i="16"/>
  <c r="AQ1152" i="16" s="1"/>
  <c r="AP1160" i="16"/>
  <c r="AQ1160" i="16" s="1"/>
  <c r="AP1168" i="16"/>
  <c r="AQ1168" i="16" s="1"/>
  <c r="AP1176" i="16"/>
  <c r="AQ1176" i="16" s="1"/>
  <c r="AP1184" i="16"/>
  <c r="AQ1184" i="16" s="1"/>
  <c r="AP1192" i="16"/>
  <c r="AQ1192" i="16" s="1"/>
  <c r="AP1200" i="16"/>
  <c r="AQ1200" i="16" s="1"/>
  <c r="AP1208" i="16"/>
  <c r="AQ1208" i="16" s="1"/>
  <c r="AP1216" i="16"/>
  <c r="AQ1216" i="16" s="1"/>
  <c r="AP1224" i="16"/>
  <c r="AQ1224" i="16" s="1"/>
  <c r="AP1232" i="16"/>
  <c r="AQ1232" i="16" s="1"/>
  <c r="AP1240" i="16"/>
  <c r="AQ1240" i="16" s="1"/>
  <c r="AP1248" i="16"/>
  <c r="AQ1248" i="16" s="1"/>
  <c r="AP1256" i="16"/>
  <c r="AQ1256" i="16" s="1"/>
  <c r="AP1264" i="16"/>
  <c r="AQ1264" i="16" s="1"/>
  <c r="AP1272" i="16"/>
  <c r="AQ1272" i="16" s="1"/>
  <c r="AP1280" i="16"/>
  <c r="AQ1280" i="16" s="1"/>
  <c r="AP1288" i="16"/>
  <c r="AQ1288" i="16" s="1"/>
  <c r="AP1296" i="16"/>
  <c r="AQ1296" i="16" s="1"/>
  <c r="AP1304" i="16"/>
  <c r="AQ1304" i="16" s="1"/>
  <c r="AP1312" i="16"/>
  <c r="AQ1312" i="16" s="1"/>
  <c r="AP1320" i="16"/>
  <c r="AQ1320" i="16" s="1"/>
  <c r="AP1328" i="16"/>
  <c r="AQ1328" i="16" s="1"/>
  <c r="AP1336" i="16"/>
  <c r="AQ1336" i="16" s="1"/>
  <c r="AP1344" i="16"/>
  <c r="AQ1344" i="16" s="1"/>
  <c r="AP1352" i="16"/>
  <c r="AQ1352" i="16" s="1"/>
  <c r="AP1360" i="16"/>
  <c r="AQ1360" i="16" s="1"/>
  <c r="AP1368" i="16"/>
  <c r="AQ1368" i="16" s="1"/>
  <c r="AP1376" i="16"/>
  <c r="AQ1376" i="16" s="1"/>
  <c r="AP1384" i="16"/>
  <c r="AQ1384" i="16" s="1"/>
  <c r="AP1392" i="16"/>
  <c r="AQ1392" i="16" s="1"/>
  <c r="AP1400" i="16"/>
  <c r="AQ1400" i="16" s="1"/>
  <c r="AP1408" i="16"/>
  <c r="AQ1408" i="16" s="1"/>
  <c r="AP1416" i="16"/>
  <c r="AQ1416" i="16" s="1"/>
  <c r="AP1424" i="16"/>
  <c r="AQ1424" i="16" s="1"/>
  <c r="AP1430" i="16"/>
  <c r="AQ1430" i="16" s="1"/>
  <c r="AP1434" i="16"/>
  <c r="AQ1434" i="16" s="1"/>
  <c r="AP1438" i="16"/>
  <c r="AQ1438" i="16" s="1"/>
  <c r="AP1442" i="16"/>
  <c r="AQ1442" i="16" s="1"/>
  <c r="AP1446" i="16"/>
  <c r="AQ1446" i="16" s="1"/>
  <c r="AP1450" i="16"/>
  <c r="AQ1450" i="16" s="1"/>
  <c r="AP1454" i="16"/>
  <c r="AQ1454" i="16" s="1"/>
  <c r="AP1458" i="16"/>
  <c r="AQ1458" i="16" s="1"/>
  <c r="AP1462" i="16"/>
  <c r="AQ1462" i="16" s="1"/>
  <c r="AP1466" i="16"/>
  <c r="AQ1466" i="16" s="1"/>
  <c r="AP1470" i="16"/>
  <c r="AQ1470" i="16" s="1"/>
  <c r="AP1474" i="16"/>
  <c r="AQ1474" i="16" s="1"/>
  <c r="AP1478" i="16"/>
  <c r="AQ1478" i="16" s="1"/>
  <c r="AP1482" i="16"/>
  <c r="AQ1482" i="16" s="1"/>
  <c r="AP1486" i="16"/>
  <c r="AQ1486" i="16" s="1"/>
  <c r="AP1490" i="16"/>
  <c r="AQ1490" i="16" s="1"/>
  <c r="AP1494" i="16"/>
  <c r="AQ1494" i="16" s="1"/>
  <c r="AP1498" i="16"/>
  <c r="AQ1498" i="16" s="1"/>
  <c r="AP1502" i="16"/>
  <c r="AQ1502" i="16" s="1"/>
  <c r="AP1506" i="16"/>
  <c r="AQ1506" i="16" s="1"/>
  <c r="AP1510" i="16"/>
  <c r="AQ1510" i="16" s="1"/>
  <c r="AP1514" i="16"/>
  <c r="AQ1514" i="16" s="1"/>
  <c r="AP1518" i="16"/>
  <c r="AQ1518" i="16" s="1"/>
  <c r="AP1522" i="16"/>
  <c r="AQ1522" i="16" s="1"/>
  <c r="AP1526" i="16"/>
  <c r="AQ1526" i="16" s="1"/>
  <c r="AP1530" i="16"/>
  <c r="AQ1530" i="16" s="1"/>
  <c r="AP1534" i="16"/>
  <c r="AQ1534" i="16" s="1"/>
  <c r="AP1538" i="16"/>
  <c r="AQ1538" i="16" s="1"/>
  <c r="AP1542" i="16"/>
  <c r="AQ1542" i="16" s="1"/>
  <c r="AP1546" i="16"/>
  <c r="AQ1546" i="16" s="1"/>
  <c r="AP1550" i="16"/>
  <c r="AQ1550" i="16" s="1"/>
  <c r="AP1554" i="16"/>
  <c r="AQ1554" i="16" s="1"/>
  <c r="AP1558" i="16"/>
  <c r="AQ1558" i="16" s="1"/>
  <c r="AP1562" i="16"/>
  <c r="AQ1562" i="16" s="1"/>
  <c r="AP1566" i="16"/>
  <c r="AQ1566" i="16" s="1"/>
  <c r="AP1570" i="16"/>
  <c r="AQ1570" i="16" s="1"/>
  <c r="AP1574" i="16"/>
  <c r="AQ1574" i="16" s="1"/>
  <c r="AP1578" i="16"/>
  <c r="AQ1578" i="16" s="1"/>
  <c r="AP1582" i="16"/>
  <c r="AQ1582" i="16" s="1"/>
  <c r="AP1586" i="16"/>
  <c r="AQ1586" i="16" s="1"/>
  <c r="AP1590" i="16"/>
  <c r="AQ1590" i="16" s="1"/>
  <c r="AP1594" i="16"/>
  <c r="AQ1594" i="16" s="1"/>
  <c r="AP1598" i="16"/>
  <c r="AQ1598" i="16" s="1"/>
  <c r="AP1097" i="16"/>
  <c r="AQ1097" i="16" s="1"/>
  <c r="AP1129" i="16"/>
  <c r="AQ1129" i="16" s="1"/>
  <c r="AP1161" i="16"/>
  <c r="AQ1161" i="16" s="1"/>
  <c r="AP1193" i="16"/>
  <c r="AQ1193" i="16" s="1"/>
  <c r="AP1225" i="16"/>
  <c r="AQ1225" i="16" s="1"/>
  <c r="AP1257" i="16"/>
  <c r="AQ1257" i="16" s="1"/>
  <c r="AP1289" i="16"/>
  <c r="AQ1289" i="16" s="1"/>
  <c r="AP1321" i="16"/>
  <c r="AQ1321" i="16" s="1"/>
  <c r="AP1353" i="16"/>
  <c r="AQ1353" i="16" s="1"/>
  <c r="AP1385" i="16"/>
  <c r="AQ1385" i="16" s="1"/>
  <c r="AP1417" i="16"/>
  <c r="AQ1417" i="16" s="1"/>
  <c r="AP1439" i="16"/>
  <c r="AQ1439" i="16" s="1"/>
  <c r="AP1455" i="16"/>
  <c r="AQ1455" i="16" s="1"/>
  <c r="AP1471" i="16"/>
  <c r="AQ1471" i="16" s="1"/>
  <c r="AP1487" i="16"/>
  <c r="AQ1487" i="16" s="1"/>
  <c r="AP1503" i="16"/>
  <c r="AQ1503" i="16" s="1"/>
  <c r="AP1519" i="16"/>
  <c r="AQ1519" i="16" s="1"/>
  <c r="AP1535" i="16"/>
  <c r="AQ1535" i="16" s="1"/>
  <c r="AP1551" i="16"/>
  <c r="AQ1551" i="16" s="1"/>
  <c r="AP1567" i="16"/>
  <c r="AQ1567" i="16" s="1"/>
  <c r="AP1583" i="16"/>
  <c r="AQ1583" i="16" s="1"/>
  <c r="AP1599" i="16"/>
  <c r="AQ1599" i="16" s="1"/>
  <c r="AP1607" i="16"/>
  <c r="AQ1607" i="16" s="1"/>
  <c r="AP1615" i="16"/>
  <c r="AQ1615" i="16" s="1"/>
  <c r="AP1621" i="16"/>
  <c r="AQ1621" i="16" s="1"/>
  <c r="AP1626" i="16"/>
  <c r="AQ1626" i="16" s="1"/>
  <c r="AP1089" i="16"/>
  <c r="AQ1089" i="16" s="1"/>
  <c r="AP551" i="16"/>
  <c r="AQ551" i="16" s="1"/>
  <c r="AP555" i="16"/>
  <c r="AQ555" i="16" s="1"/>
  <c r="AP559" i="16"/>
  <c r="AQ559" i="16" s="1"/>
  <c r="AP563" i="16"/>
  <c r="AQ563" i="16" s="1"/>
  <c r="AP567" i="16"/>
  <c r="AQ567" i="16" s="1"/>
  <c r="AP571" i="16"/>
  <c r="AQ571" i="16" s="1"/>
  <c r="AP575" i="16"/>
  <c r="AQ575" i="16" s="1"/>
  <c r="AP579" i="16"/>
  <c r="AQ579" i="16" s="1"/>
  <c r="AP583" i="16"/>
  <c r="AQ583" i="16" s="1"/>
  <c r="AP587" i="16"/>
  <c r="AQ587" i="16" s="1"/>
  <c r="AP591" i="16"/>
  <c r="AQ591" i="16" s="1"/>
  <c r="AP595" i="16"/>
  <c r="AQ595" i="16" s="1"/>
  <c r="AP599" i="16"/>
  <c r="AQ599" i="16" s="1"/>
  <c r="AP603" i="16"/>
  <c r="AQ603" i="16" s="1"/>
  <c r="AP607" i="16"/>
  <c r="AQ607" i="16" s="1"/>
  <c r="AP611" i="16"/>
  <c r="AQ611" i="16" s="1"/>
  <c r="AP615" i="16"/>
  <c r="AQ615" i="16" s="1"/>
  <c r="AP619" i="16"/>
  <c r="AQ619" i="16" s="1"/>
  <c r="AP623" i="16"/>
  <c r="AQ623" i="16" s="1"/>
  <c r="AP627" i="16"/>
  <c r="AQ627" i="16" s="1"/>
  <c r="AP631" i="16"/>
  <c r="AQ631" i="16" s="1"/>
  <c r="AP635" i="16"/>
  <c r="AQ635" i="16" s="1"/>
  <c r="AP639" i="16"/>
  <c r="AQ639" i="16" s="1"/>
  <c r="AP643" i="16"/>
  <c r="AQ643" i="16" s="1"/>
  <c r="AP647" i="16"/>
  <c r="AQ647" i="16" s="1"/>
  <c r="AP651" i="16"/>
  <c r="AQ651" i="16" s="1"/>
  <c r="AP655" i="16"/>
  <c r="AQ655" i="16" s="1"/>
  <c r="AP659" i="16"/>
  <c r="AQ659" i="16" s="1"/>
  <c r="AP663" i="16"/>
  <c r="AQ663" i="16" s="1"/>
  <c r="AP667" i="16"/>
  <c r="AQ667" i="16" s="1"/>
  <c r="AP671" i="16"/>
  <c r="AQ671" i="16" s="1"/>
  <c r="AP675" i="16"/>
  <c r="AQ675" i="16" s="1"/>
  <c r="AP679" i="16"/>
  <c r="AQ679" i="16" s="1"/>
  <c r="AP683" i="16"/>
  <c r="AQ683" i="16" s="1"/>
  <c r="AP687" i="16"/>
  <c r="AQ687" i="16" s="1"/>
  <c r="AP691" i="16"/>
  <c r="AQ691" i="16" s="1"/>
  <c r="AP695" i="16"/>
  <c r="AQ695" i="16" s="1"/>
  <c r="AP699" i="16"/>
  <c r="AQ699" i="16" s="1"/>
  <c r="AP703" i="16"/>
  <c r="AQ703" i="16" s="1"/>
  <c r="AP707" i="16"/>
  <c r="AQ707" i="16" s="1"/>
  <c r="AP711" i="16"/>
  <c r="AQ711" i="16" s="1"/>
  <c r="AP715" i="16"/>
  <c r="AQ715" i="16" s="1"/>
  <c r="AP719" i="16"/>
  <c r="AQ719" i="16" s="1"/>
  <c r="AP723" i="16"/>
  <c r="AQ723" i="16" s="1"/>
  <c r="AP727" i="16"/>
  <c r="AQ727" i="16" s="1"/>
  <c r="AP731" i="16"/>
  <c r="AQ731" i="16" s="1"/>
  <c r="AP735" i="16"/>
  <c r="AQ735" i="16" s="1"/>
  <c r="AP739" i="16"/>
  <c r="AQ739" i="16" s="1"/>
  <c r="AP743" i="16"/>
  <c r="AQ743" i="16" s="1"/>
  <c r="AP747" i="16"/>
  <c r="AQ747" i="16" s="1"/>
  <c r="AP751" i="16"/>
  <c r="AQ751" i="16" s="1"/>
  <c r="AP755" i="16"/>
  <c r="AQ755" i="16" s="1"/>
  <c r="AP759" i="16"/>
  <c r="AQ759" i="16" s="1"/>
  <c r="AP763" i="16"/>
  <c r="AQ763" i="16" s="1"/>
  <c r="AP767" i="16"/>
  <c r="AQ767" i="16" s="1"/>
  <c r="AP771" i="16"/>
  <c r="AQ771" i="16" s="1"/>
  <c r="AP775" i="16"/>
  <c r="AQ775" i="16" s="1"/>
  <c r="AP779" i="16"/>
  <c r="AQ779" i="16" s="1"/>
  <c r="AP783" i="16"/>
  <c r="AQ783" i="16" s="1"/>
  <c r="AP787" i="16"/>
  <c r="AQ787" i="16" s="1"/>
  <c r="AP791" i="16"/>
  <c r="AQ791" i="16" s="1"/>
  <c r="AP795" i="16"/>
  <c r="AQ795" i="16" s="1"/>
  <c r="AP799" i="16"/>
  <c r="AQ799" i="16" s="1"/>
  <c r="AP803" i="16"/>
  <c r="AQ803" i="16" s="1"/>
  <c r="AP807" i="16"/>
  <c r="AQ807" i="16" s="1"/>
  <c r="AP811" i="16"/>
  <c r="AQ811" i="16" s="1"/>
  <c r="AP815" i="16"/>
  <c r="AQ815" i="16" s="1"/>
  <c r="AP819" i="16"/>
  <c r="AQ819" i="16" s="1"/>
  <c r="AP823" i="16"/>
  <c r="AQ823" i="16" s="1"/>
  <c r="AP827" i="16"/>
  <c r="AQ827" i="16" s="1"/>
  <c r="AP831" i="16"/>
  <c r="AQ831" i="16" s="1"/>
  <c r="AP835" i="16"/>
  <c r="AQ835" i="16" s="1"/>
  <c r="AP839" i="16"/>
  <c r="AQ839" i="16" s="1"/>
  <c r="AP843" i="16"/>
  <c r="AQ843" i="16" s="1"/>
  <c r="AP847" i="16"/>
  <c r="AQ847" i="16" s="1"/>
  <c r="AP851" i="16"/>
  <c r="AQ851" i="16" s="1"/>
  <c r="AP855" i="16"/>
  <c r="AQ855" i="16" s="1"/>
  <c r="AP859" i="16"/>
  <c r="AQ859" i="16" s="1"/>
  <c r="AP863" i="16"/>
  <c r="AQ863" i="16" s="1"/>
  <c r="AP867" i="16"/>
  <c r="AQ867" i="16" s="1"/>
  <c r="AP871" i="16"/>
  <c r="AQ871" i="16" s="1"/>
  <c r="AP875" i="16"/>
  <c r="AQ875" i="16" s="1"/>
  <c r="AP879" i="16"/>
  <c r="AQ879" i="16" s="1"/>
  <c r="AP883" i="16"/>
  <c r="AQ883" i="16" s="1"/>
  <c r="AP887" i="16"/>
  <c r="AQ887" i="16" s="1"/>
  <c r="AP891" i="16"/>
  <c r="AQ891" i="16" s="1"/>
  <c r="AP895" i="16"/>
  <c r="AQ895" i="16" s="1"/>
  <c r="AP899" i="16"/>
  <c r="AQ899" i="16" s="1"/>
  <c r="AP903" i="16"/>
  <c r="AQ903" i="16" s="1"/>
  <c r="AP907" i="16"/>
  <c r="AQ907" i="16" s="1"/>
  <c r="AP911" i="16"/>
  <c r="AQ911" i="16" s="1"/>
  <c r="AP915" i="16"/>
  <c r="AQ915" i="16" s="1"/>
  <c r="AP919" i="16"/>
  <c r="AQ919" i="16" s="1"/>
  <c r="AP923" i="16"/>
  <c r="AQ923" i="16" s="1"/>
  <c r="AP927" i="16"/>
  <c r="AQ927" i="16" s="1"/>
  <c r="AP931" i="16"/>
  <c r="AQ931" i="16" s="1"/>
  <c r="AP935" i="16"/>
  <c r="AQ935" i="16" s="1"/>
  <c r="AP939" i="16"/>
  <c r="AQ939" i="16" s="1"/>
  <c r="AP943" i="16"/>
  <c r="AQ943" i="16" s="1"/>
  <c r="AP947" i="16"/>
  <c r="AQ947" i="16" s="1"/>
  <c r="AP951" i="16"/>
  <c r="AQ951" i="16" s="1"/>
  <c r="AP955" i="16"/>
  <c r="AQ955" i="16" s="1"/>
  <c r="AP959" i="16"/>
  <c r="AQ959" i="16" s="1"/>
  <c r="AP963" i="16"/>
  <c r="AQ963" i="16" s="1"/>
  <c r="AP967" i="16"/>
  <c r="AQ967" i="16" s="1"/>
  <c r="AP971" i="16"/>
  <c r="AQ971" i="16" s="1"/>
  <c r="AP975" i="16"/>
  <c r="AQ975" i="16" s="1"/>
  <c r="AP979" i="16"/>
  <c r="AQ979" i="16" s="1"/>
  <c r="AP983" i="16"/>
  <c r="AQ983" i="16" s="1"/>
  <c r="AP987" i="16"/>
  <c r="AQ987" i="16" s="1"/>
  <c r="AP991" i="16"/>
  <c r="AQ991" i="16" s="1"/>
  <c r="AP995" i="16"/>
  <c r="AQ995" i="16" s="1"/>
  <c r="AP999" i="16"/>
  <c r="AQ999" i="16" s="1"/>
  <c r="AP1003" i="16"/>
  <c r="AQ1003" i="16" s="1"/>
  <c r="AP1007" i="16"/>
  <c r="AQ1007" i="16" s="1"/>
  <c r="AP1011" i="16"/>
  <c r="AQ1011" i="16" s="1"/>
  <c r="AP1015" i="16"/>
  <c r="AQ1015" i="16" s="1"/>
  <c r="AP1019" i="16"/>
  <c r="AQ1019" i="16" s="1"/>
  <c r="AP1023" i="16"/>
  <c r="AQ1023" i="16" s="1"/>
  <c r="AP1027" i="16"/>
  <c r="AQ1027" i="16" s="1"/>
  <c r="AP1031" i="16"/>
  <c r="AQ1031" i="16" s="1"/>
  <c r="AP1035" i="16"/>
  <c r="AQ1035" i="16" s="1"/>
  <c r="AP1039" i="16"/>
  <c r="AQ1039" i="16" s="1"/>
  <c r="AP1043" i="16"/>
  <c r="AQ1043" i="16" s="1"/>
  <c r="AP1047" i="16"/>
  <c r="AQ1047" i="16" s="1"/>
  <c r="AP1051" i="16"/>
  <c r="AQ1051" i="16" s="1"/>
  <c r="AP1055" i="16"/>
  <c r="AQ1055" i="16" s="1"/>
  <c r="AP1059" i="16"/>
  <c r="AQ1059" i="16" s="1"/>
  <c r="AP1063" i="16"/>
  <c r="AQ1063" i="16" s="1"/>
  <c r="AP1067" i="16"/>
  <c r="AQ1067" i="16" s="1"/>
  <c r="AP1071" i="16"/>
  <c r="AQ1071" i="16" s="1"/>
  <c r="AP1075" i="16"/>
  <c r="AQ1075" i="16" s="1"/>
  <c r="AP1079" i="16"/>
  <c r="AQ1079" i="16" s="1"/>
  <c r="AP1083" i="16"/>
  <c r="AQ1083" i="16" s="1"/>
  <c r="AP1087" i="16"/>
  <c r="AQ1087" i="16" s="1"/>
  <c r="AP8" i="16"/>
  <c r="AQ8" i="16" s="1"/>
  <c r="AP12" i="16"/>
  <c r="AQ12" i="16" s="1"/>
  <c r="AP16" i="16"/>
  <c r="AQ16" i="16" s="1"/>
  <c r="AP20" i="16"/>
  <c r="AQ20" i="16" s="1"/>
  <c r="AP24" i="16"/>
  <c r="AQ24" i="16" s="1"/>
  <c r="AP28" i="16"/>
  <c r="AQ28" i="16" s="1"/>
  <c r="AP32" i="16"/>
  <c r="AQ32" i="16" s="1"/>
  <c r="AP36" i="16"/>
  <c r="AQ36" i="16" s="1"/>
  <c r="AP1105" i="16"/>
  <c r="AQ1105" i="16" s="1"/>
  <c r="AP1137" i="16"/>
  <c r="AQ1137" i="16" s="1"/>
  <c r="AP1169" i="16"/>
  <c r="AQ1169" i="16" s="1"/>
  <c r="AP1201" i="16"/>
  <c r="AQ1201" i="16" s="1"/>
  <c r="AP1233" i="16"/>
  <c r="AQ1233" i="16" s="1"/>
  <c r="AP1265" i="16"/>
  <c r="AQ1265" i="16" s="1"/>
  <c r="AP1297" i="16"/>
  <c r="AQ1297" i="16" s="1"/>
  <c r="AP1329" i="16"/>
  <c r="AQ1329" i="16" s="1"/>
  <c r="AP1361" i="16"/>
  <c r="AQ1361" i="16" s="1"/>
  <c r="AP1393" i="16"/>
  <c r="AQ1393" i="16" s="1"/>
  <c r="AP1425" i="16"/>
  <c r="AQ1425" i="16" s="1"/>
  <c r="AP1443" i="16"/>
  <c r="AQ1443" i="16" s="1"/>
  <c r="AP1459" i="16"/>
  <c r="AQ1459" i="16" s="1"/>
  <c r="AP1475" i="16"/>
  <c r="AQ1475" i="16" s="1"/>
  <c r="AP1491" i="16"/>
  <c r="AQ1491" i="16" s="1"/>
  <c r="AP1507" i="16"/>
  <c r="AQ1507" i="16" s="1"/>
  <c r="AP1523" i="16"/>
  <c r="AQ1523" i="16" s="1"/>
  <c r="AP1539" i="16"/>
  <c r="AQ1539" i="16" s="1"/>
  <c r="AP1555" i="16"/>
  <c r="AQ1555" i="16" s="1"/>
  <c r="AP1571" i="16"/>
  <c r="AQ1571" i="16" s="1"/>
  <c r="AP1587" i="16"/>
  <c r="AQ1587" i="16" s="1"/>
  <c r="AP1602" i="16"/>
  <c r="AQ1602" i="16" s="1"/>
  <c r="AP1610" i="16"/>
  <c r="AQ1610" i="16" s="1"/>
  <c r="AP1617" i="16"/>
  <c r="AQ1617" i="16" s="1"/>
  <c r="AP1622" i="16"/>
  <c r="AQ1622" i="16" s="1"/>
  <c r="AP1627" i="16"/>
  <c r="AQ1627" i="16" s="1"/>
  <c r="AP548" i="16"/>
  <c r="AQ548" i="16" s="1"/>
  <c r="AP552" i="16"/>
  <c r="AQ552" i="16" s="1"/>
  <c r="AP556" i="16"/>
  <c r="AQ556" i="16" s="1"/>
  <c r="AP560" i="16"/>
  <c r="AQ560" i="16" s="1"/>
  <c r="AP564" i="16"/>
  <c r="AQ564" i="16" s="1"/>
  <c r="AP568" i="16"/>
  <c r="AQ568" i="16" s="1"/>
  <c r="AP572" i="16"/>
  <c r="AQ572" i="16" s="1"/>
  <c r="AP576" i="16"/>
  <c r="AQ576" i="16" s="1"/>
  <c r="AP580" i="16"/>
  <c r="AQ580" i="16" s="1"/>
  <c r="AP584" i="16"/>
  <c r="AQ584" i="16" s="1"/>
  <c r="AP588" i="16"/>
  <c r="AQ588" i="16" s="1"/>
  <c r="AP592" i="16"/>
  <c r="AQ592" i="16" s="1"/>
  <c r="AP596" i="16"/>
  <c r="AQ596" i="16" s="1"/>
  <c r="AP600" i="16"/>
  <c r="AQ600" i="16" s="1"/>
  <c r="AP604" i="16"/>
  <c r="AQ604" i="16" s="1"/>
  <c r="AP608" i="16"/>
  <c r="AQ608" i="16" s="1"/>
  <c r="AP612" i="16"/>
  <c r="AQ612" i="16" s="1"/>
  <c r="AP616" i="16"/>
  <c r="AQ616" i="16" s="1"/>
  <c r="AP620" i="16"/>
  <c r="AQ620" i="16" s="1"/>
  <c r="AP624" i="16"/>
  <c r="AQ624" i="16" s="1"/>
  <c r="AP628" i="16"/>
  <c r="AQ628" i="16" s="1"/>
  <c r="AP632" i="16"/>
  <c r="AQ632" i="16" s="1"/>
  <c r="AP636" i="16"/>
  <c r="AQ636" i="16" s="1"/>
  <c r="AP640" i="16"/>
  <c r="AQ640" i="16" s="1"/>
  <c r="AP644" i="16"/>
  <c r="AQ644" i="16" s="1"/>
  <c r="AP648" i="16"/>
  <c r="AQ648" i="16" s="1"/>
  <c r="AP652" i="16"/>
  <c r="AQ652" i="16" s="1"/>
  <c r="AP656" i="16"/>
  <c r="AQ656" i="16" s="1"/>
  <c r="AP660" i="16"/>
  <c r="AQ660" i="16" s="1"/>
  <c r="AP664" i="16"/>
  <c r="AQ664" i="16" s="1"/>
  <c r="AP668" i="16"/>
  <c r="AQ668" i="16" s="1"/>
  <c r="AP672" i="16"/>
  <c r="AQ672" i="16" s="1"/>
  <c r="AP676" i="16"/>
  <c r="AQ676" i="16" s="1"/>
  <c r="AP680" i="16"/>
  <c r="AQ680" i="16" s="1"/>
  <c r="AP684" i="16"/>
  <c r="AQ684" i="16" s="1"/>
  <c r="AP688" i="16"/>
  <c r="AQ688" i="16" s="1"/>
  <c r="AP692" i="16"/>
  <c r="AQ692" i="16" s="1"/>
  <c r="AP696" i="16"/>
  <c r="AQ696" i="16" s="1"/>
  <c r="AP700" i="16"/>
  <c r="AQ700" i="16" s="1"/>
  <c r="AP704" i="16"/>
  <c r="AQ704" i="16" s="1"/>
  <c r="AP708" i="16"/>
  <c r="AQ708" i="16" s="1"/>
  <c r="AP712" i="16"/>
  <c r="AQ712" i="16" s="1"/>
  <c r="AP716" i="16"/>
  <c r="AQ716" i="16" s="1"/>
  <c r="AP720" i="16"/>
  <c r="AQ720" i="16" s="1"/>
  <c r="AP724" i="16"/>
  <c r="AQ724" i="16" s="1"/>
  <c r="AP728" i="16"/>
  <c r="AQ728" i="16" s="1"/>
  <c r="AP732" i="16"/>
  <c r="AQ732" i="16" s="1"/>
  <c r="AP736" i="16"/>
  <c r="AQ736" i="16" s="1"/>
  <c r="AP740" i="16"/>
  <c r="AQ740" i="16" s="1"/>
  <c r="AP744" i="16"/>
  <c r="AQ744" i="16" s="1"/>
  <c r="AP748" i="16"/>
  <c r="AQ748" i="16" s="1"/>
  <c r="AP752" i="16"/>
  <c r="AQ752" i="16" s="1"/>
  <c r="AP756" i="16"/>
  <c r="AQ756" i="16" s="1"/>
  <c r="AP760" i="16"/>
  <c r="AQ760" i="16" s="1"/>
  <c r="AP764" i="16"/>
  <c r="AQ764" i="16" s="1"/>
  <c r="AP768" i="16"/>
  <c r="AQ768" i="16" s="1"/>
  <c r="AP772" i="16"/>
  <c r="AQ772" i="16" s="1"/>
  <c r="AP776" i="16"/>
  <c r="AQ776" i="16" s="1"/>
  <c r="AP780" i="16"/>
  <c r="AQ780" i="16" s="1"/>
  <c r="AP784" i="16"/>
  <c r="AQ784" i="16" s="1"/>
  <c r="AP788" i="16"/>
  <c r="AQ788" i="16" s="1"/>
  <c r="AP792" i="16"/>
  <c r="AQ792" i="16" s="1"/>
  <c r="AP796" i="16"/>
  <c r="AQ796" i="16" s="1"/>
  <c r="AP800" i="16"/>
  <c r="AQ800" i="16" s="1"/>
  <c r="AP804" i="16"/>
  <c r="AQ804" i="16" s="1"/>
  <c r="AP808" i="16"/>
  <c r="AQ808" i="16" s="1"/>
  <c r="AP812" i="16"/>
  <c r="AQ812" i="16" s="1"/>
  <c r="AP816" i="16"/>
  <c r="AQ816" i="16" s="1"/>
  <c r="AP820" i="16"/>
  <c r="AQ820" i="16" s="1"/>
  <c r="AP824" i="16"/>
  <c r="AQ824" i="16" s="1"/>
  <c r="AP828" i="16"/>
  <c r="AQ828" i="16" s="1"/>
  <c r="AP832" i="16"/>
  <c r="AQ832" i="16" s="1"/>
  <c r="AP836" i="16"/>
  <c r="AQ836" i="16" s="1"/>
  <c r="AP840" i="16"/>
  <c r="AQ840" i="16" s="1"/>
  <c r="AP844" i="16"/>
  <c r="AQ844" i="16" s="1"/>
  <c r="AP848" i="16"/>
  <c r="AQ848" i="16" s="1"/>
  <c r="AP852" i="16"/>
  <c r="AQ852" i="16" s="1"/>
  <c r="AP856" i="16"/>
  <c r="AQ856" i="16" s="1"/>
  <c r="AP860" i="16"/>
  <c r="AQ860" i="16" s="1"/>
  <c r="AP864" i="16"/>
  <c r="AQ864" i="16" s="1"/>
  <c r="AP868" i="16"/>
  <c r="AQ868" i="16" s="1"/>
  <c r="AP872" i="16"/>
  <c r="AQ872" i="16" s="1"/>
  <c r="AP876" i="16"/>
  <c r="AQ876" i="16" s="1"/>
  <c r="AP880" i="16"/>
  <c r="AQ880" i="16" s="1"/>
  <c r="AP884" i="16"/>
  <c r="AQ884" i="16" s="1"/>
  <c r="AP888" i="16"/>
  <c r="AQ888" i="16" s="1"/>
  <c r="AP892" i="16"/>
  <c r="AQ892" i="16" s="1"/>
  <c r="AP896" i="16"/>
  <c r="AQ896" i="16" s="1"/>
  <c r="AP900" i="16"/>
  <c r="AQ900" i="16" s="1"/>
  <c r="AP904" i="16"/>
  <c r="AQ904" i="16" s="1"/>
  <c r="AP908" i="16"/>
  <c r="AQ908" i="16" s="1"/>
  <c r="AP912" i="16"/>
  <c r="AQ912" i="16" s="1"/>
  <c r="AP916" i="16"/>
  <c r="AQ916" i="16" s="1"/>
  <c r="AP920" i="16"/>
  <c r="AQ920" i="16" s="1"/>
  <c r="AP924" i="16"/>
  <c r="AQ924" i="16" s="1"/>
  <c r="AP928" i="16"/>
  <c r="AQ928" i="16" s="1"/>
  <c r="AP932" i="16"/>
  <c r="AQ932" i="16" s="1"/>
  <c r="AP936" i="16"/>
  <c r="AQ936" i="16" s="1"/>
  <c r="AP940" i="16"/>
  <c r="AQ940" i="16" s="1"/>
  <c r="AP944" i="16"/>
  <c r="AQ944" i="16" s="1"/>
  <c r="AP948" i="16"/>
  <c r="AQ948" i="16" s="1"/>
  <c r="AP952" i="16"/>
  <c r="AQ952" i="16" s="1"/>
  <c r="AP956" i="16"/>
  <c r="AQ956" i="16" s="1"/>
  <c r="AP960" i="16"/>
  <c r="AQ960" i="16" s="1"/>
  <c r="AP964" i="16"/>
  <c r="AQ964" i="16" s="1"/>
  <c r="AP968" i="16"/>
  <c r="AQ968" i="16" s="1"/>
  <c r="AP972" i="16"/>
  <c r="AQ972" i="16" s="1"/>
  <c r="AP976" i="16"/>
  <c r="AQ976" i="16" s="1"/>
  <c r="AP980" i="16"/>
  <c r="AQ980" i="16" s="1"/>
  <c r="AP984" i="16"/>
  <c r="AQ984" i="16" s="1"/>
  <c r="AP988" i="16"/>
  <c r="AQ988" i="16" s="1"/>
  <c r="AP992" i="16"/>
  <c r="AQ992" i="16" s="1"/>
  <c r="AP996" i="16"/>
  <c r="AQ996" i="16" s="1"/>
  <c r="AP1000" i="16"/>
  <c r="AQ1000" i="16" s="1"/>
  <c r="AP1004" i="16"/>
  <c r="AQ1004" i="16" s="1"/>
  <c r="AP1008" i="16"/>
  <c r="AQ1008" i="16" s="1"/>
  <c r="AP1012" i="16"/>
  <c r="AQ1012" i="16" s="1"/>
  <c r="AP1016" i="16"/>
  <c r="AQ1016" i="16" s="1"/>
  <c r="AP1020" i="16"/>
  <c r="AQ1020" i="16" s="1"/>
  <c r="AP1024" i="16"/>
  <c r="AQ1024" i="16" s="1"/>
  <c r="AP1028" i="16"/>
  <c r="AQ1028" i="16" s="1"/>
  <c r="AP1032" i="16"/>
  <c r="AQ1032" i="16" s="1"/>
  <c r="AP1036" i="16"/>
  <c r="AQ1036" i="16" s="1"/>
  <c r="AP1040" i="16"/>
  <c r="AQ1040" i="16" s="1"/>
  <c r="AP1044" i="16"/>
  <c r="AQ1044" i="16" s="1"/>
  <c r="AP1048" i="16"/>
  <c r="AQ1048" i="16" s="1"/>
  <c r="AP1052" i="16"/>
  <c r="AQ1052" i="16" s="1"/>
  <c r="AP1056" i="16"/>
  <c r="AQ1056" i="16" s="1"/>
  <c r="AP1060" i="16"/>
  <c r="AQ1060" i="16" s="1"/>
  <c r="AP1064" i="16"/>
  <c r="AQ1064" i="16" s="1"/>
  <c r="AP1068" i="16"/>
  <c r="AQ1068" i="16" s="1"/>
  <c r="AP1072" i="16"/>
  <c r="AQ1072" i="16" s="1"/>
  <c r="AP1076" i="16"/>
  <c r="AQ1076" i="16" s="1"/>
  <c r="AP1080" i="16"/>
  <c r="AQ1080" i="16" s="1"/>
  <c r="AP1084" i="16"/>
  <c r="AQ1084" i="16" s="1"/>
  <c r="AP547" i="16"/>
  <c r="AQ547" i="16" s="1"/>
  <c r="AP9" i="16"/>
  <c r="AQ9" i="16" s="1"/>
  <c r="AP13" i="16"/>
  <c r="AQ13" i="16" s="1"/>
  <c r="AP17" i="16"/>
  <c r="AQ17" i="16" s="1"/>
  <c r="AP21" i="16"/>
  <c r="AQ21" i="16" s="1"/>
  <c r="AP25" i="16"/>
  <c r="AQ25" i="16" s="1"/>
  <c r="AP29" i="16"/>
  <c r="AQ29" i="16" s="1"/>
  <c r="AP33" i="16"/>
  <c r="AQ33" i="16" s="1"/>
  <c r="AP37" i="16"/>
  <c r="AQ37" i="16" s="1"/>
  <c r="AP1113" i="16"/>
  <c r="AQ1113" i="16" s="1"/>
  <c r="AP1145" i="16"/>
  <c r="AQ1145" i="16" s="1"/>
  <c r="AP1177" i="16"/>
  <c r="AQ1177" i="16" s="1"/>
  <c r="AP1209" i="16"/>
  <c r="AQ1209" i="16" s="1"/>
  <c r="AP1241" i="16"/>
  <c r="AQ1241" i="16" s="1"/>
  <c r="AP1273" i="16"/>
  <c r="AQ1273" i="16" s="1"/>
  <c r="AP1305" i="16"/>
  <c r="AQ1305" i="16" s="1"/>
  <c r="AP1337" i="16"/>
  <c r="AQ1337" i="16" s="1"/>
  <c r="AP1369" i="16"/>
  <c r="AQ1369" i="16" s="1"/>
  <c r="AP1401" i="16"/>
  <c r="AQ1401" i="16" s="1"/>
  <c r="AP1431" i="16"/>
  <c r="AQ1431" i="16" s="1"/>
  <c r="AP1447" i="16"/>
  <c r="AQ1447" i="16" s="1"/>
  <c r="AP1463" i="16"/>
  <c r="AQ1463" i="16" s="1"/>
  <c r="AP1479" i="16"/>
  <c r="AQ1479" i="16" s="1"/>
  <c r="AP1495" i="16"/>
  <c r="AQ1495" i="16" s="1"/>
  <c r="AP1511" i="16"/>
  <c r="AQ1511" i="16" s="1"/>
  <c r="AP1527" i="16"/>
  <c r="AQ1527" i="16" s="1"/>
  <c r="AP1543" i="16"/>
  <c r="AQ1543" i="16" s="1"/>
  <c r="AP1559" i="16"/>
  <c r="AQ1559" i="16" s="1"/>
  <c r="AP1575" i="16"/>
  <c r="AQ1575" i="16" s="1"/>
  <c r="AP1591" i="16"/>
  <c r="AQ1591" i="16" s="1"/>
  <c r="AP1603" i="16"/>
  <c r="AQ1603" i="16" s="1"/>
  <c r="AP1611" i="16"/>
  <c r="AQ1611" i="16" s="1"/>
  <c r="AP1618" i="16"/>
  <c r="AQ1618" i="16" s="1"/>
  <c r="AP1623" i="16"/>
  <c r="AQ1623" i="16" s="1"/>
  <c r="AP1628" i="16"/>
  <c r="AQ1628" i="16" s="1"/>
  <c r="AP549" i="16"/>
  <c r="AQ549" i="16" s="1"/>
  <c r="AP553" i="16"/>
  <c r="AQ553" i="16" s="1"/>
  <c r="AP557" i="16"/>
  <c r="AQ557" i="16" s="1"/>
  <c r="AP561" i="16"/>
  <c r="AQ561" i="16" s="1"/>
  <c r="AP565" i="16"/>
  <c r="AQ565" i="16" s="1"/>
  <c r="AP569" i="16"/>
  <c r="AQ569" i="16" s="1"/>
  <c r="AP573" i="16"/>
  <c r="AQ573" i="16" s="1"/>
  <c r="AP577" i="16"/>
  <c r="AQ577" i="16" s="1"/>
  <c r="AP581" i="16"/>
  <c r="AQ581" i="16" s="1"/>
  <c r="AP585" i="16"/>
  <c r="AQ585" i="16" s="1"/>
  <c r="AP589" i="16"/>
  <c r="AQ589" i="16" s="1"/>
  <c r="AP593" i="16"/>
  <c r="AQ593" i="16" s="1"/>
  <c r="AP597" i="16"/>
  <c r="AQ597" i="16" s="1"/>
  <c r="AP601" i="16"/>
  <c r="AQ601" i="16" s="1"/>
  <c r="AP605" i="16"/>
  <c r="AQ605" i="16" s="1"/>
  <c r="AP609" i="16"/>
  <c r="AQ609" i="16" s="1"/>
  <c r="AP613" i="16"/>
  <c r="AQ613" i="16" s="1"/>
  <c r="AP617" i="16"/>
  <c r="AQ617" i="16" s="1"/>
  <c r="AP621" i="16"/>
  <c r="AQ621" i="16" s="1"/>
  <c r="AP625" i="16"/>
  <c r="AQ625" i="16" s="1"/>
  <c r="AP629" i="16"/>
  <c r="AQ629" i="16" s="1"/>
  <c r="AP633" i="16"/>
  <c r="AQ633" i="16" s="1"/>
  <c r="AP637" i="16"/>
  <c r="AQ637" i="16" s="1"/>
  <c r="AP641" i="16"/>
  <c r="AQ641" i="16" s="1"/>
  <c r="AP645" i="16"/>
  <c r="AQ645" i="16" s="1"/>
  <c r="AP649" i="16"/>
  <c r="AQ649" i="16" s="1"/>
  <c r="AP653" i="16"/>
  <c r="AQ653" i="16" s="1"/>
  <c r="AP657" i="16"/>
  <c r="AQ657" i="16" s="1"/>
  <c r="AP661" i="16"/>
  <c r="AQ661" i="16" s="1"/>
  <c r="AP665" i="16"/>
  <c r="AQ665" i="16" s="1"/>
  <c r="AP669" i="16"/>
  <c r="AQ669" i="16" s="1"/>
  <c r="AP673" i="16"/>
  <c r="AQ673" i="16" s="1"/>
  <c r="AP677" i="16"/>
  <c r="AQ677" i="16" s="1"/>
  <c r="AP681" i="16"/>
  <c r="AQ681" i="16" s="1"/>
  <c r="AP685" i="16"/>
  <c r="AQ685" i="16" s="1"/>
  <c r="AP689" i="16"/>
  <c r="AQ689" i="16" s="1"/>
  <c r="AP693" i="16"/>
  <c r="AQ693" i="16" s="1"/>
  <c r="AP697" i="16"/>
  <c r="AQ697" i="16" s="1"/>
  <c r="AP701" i="16"/>
  <c r="AQ701" i="16" s="1"/>
  <c r="AP705" i="16"/>
  <c r="AQ705" i="16" s="1"/>
  <c r="AP709" i="16"/>
  <c r="AQ709" i="16" s="1"/>
  <c r="AP713" i="16"/>
  <c r="AQ713" i="16" s="1"/>
  <c r="AP717" i="16"/>
  <c r="AQ717" i="16" s="1"/>
  <c r="AP721" i="16"/>
  <c r="AQ721" i="16" s="1"/>
  <c r="AP725" i="16"/>
  <c r="AQ725" i="16" s="1"/>
  <c r="AP729" i="16"/>
  <c r="AQ729" i="16" s="1"/>
  <c r="AP733" i="16"/>
  <c r="AQ733" i="16" s="1"/>
  <c r="AP737" i="16"/>
  <c r="AQ737" i="16" s="1"/>
  <c r="AP741" i="16"/>
  <c r="AQ741" i="16" s="1"/>
  <c r="AP745" i="16"/>
  <c r="AQ745" i="16" s="1"/>
  <c r="AP749" i="16"/>
  <c r="AQ749" i="16" s="1"/>
  <c r="AP753" i="16"/>
  <c r="AQ753" i="16" s="1"/>
  <c r="AP757" i="16"/>
  <c r="AQ757" i="16" s="1"/>
  <c r="AP761" i="16"/>
  <c r="AQ761" i="16" s="1"/>
  <c r="AP765" i="16"/>
  <c r="AQ765" i="16" s="1"/>
  <c r="AP769" i="16"/>
  <c r="AQ769" i="16" s="1"/>
  <c r="AP773" i="16"/>
  <c r="AQ773" i="16" s="1"/>
  <c r="AP777" i="16"/>
  <c r="AQ777" i="16" s="1"/>
  <c r="AP781" i="16"/>
  <c r="AQ781" i="16" s="1"/>
  <c r="AP785" i="16"/>
  <c r="AQ785" i="16" s="1"/>
  <c r="AP789" i="16"/>
  <c r="AQ789" i="16" s="1"/>
  <c r="AP793" i="16"/>
  <c r="AQ793" i="16" s="1"/>
  <c r="AP797" i="16"/>
  <c r="AQ797" i="16" s="1"/>
  <c r="AP801" i="16"/>
  <c r="AQ801" i="16" s="1"/>
  <c r="AP805" i="16"/>
  <c r="AQ805" i="16" s="1"/>
  <c r="AP809" i="16"/>
  <c r="AQ809" i="16" s="1"/>
  <c r="AP813" i="16"/>
  <c r="AQ813" i="16" s="1"/>
  <c r="AP817" i="16"/>
  <c r="AQ817" i="16" s="1"/>
  <c r="AP821" i="16"/>
  <c r="AQ821" i="16" s="1"/>
  <c r="AP825" i="16"/>
  <c r="AQ825" i="16" s="1"/>
  <c r="AP829" i="16"/>
  <c r="AQ829" i="16" s="1"/>
  <c r="AP833" i="16"/>
  <c r="AQ833" i="16" s="1"/>
  <c r="AP837" i="16"/>
  <c r="AQ837" i="16" s="1"/>
  <c r="AP841" i="16"/>
  <c r="AQ841" i="16" s="1"/>
  <c r="AP845" i="16"/>
  <c r="AQ845" i="16" s="1"/>
  <c r="AP849" i="16"/>
  <c r="AQ849" i="16" s="1"/>
  <c r="AP853" i="16"/>
  <c r="AQ853" i="16" s="1"/>
  <c r="AP857" i="16"/>
  <c r="AQ857" i="16" s="1"/>
  <c r="AP861" i="16"/>
  <c r="AQ861" i="16" s="1"/>
  <c r="AP865" i="16"/>
  <c r="AQ865" i="16" s="1"/>
  <c r="AP869" i="16"/>
  <c r="AQ869" i="16" s="1"/>
  <c r="AP873" i="16"/>
  <c r="AQ873" i="16" s="1"/>
  <c r="AP877" i="16"/>
  <c r="AQ877" i="16" s="1"/>
  <c r="AP881" i="16"/>
  <c r="AQ881" i="16" s="1"/>
  <c r="AP885" i="16"/>
  <c r="AQ885" i="16" s="1"/>
  <c r="AP889" i="16"/>
  <c r="AQ889" i="16" s="1"/>
  <c r="AP893" i="16"/>
  <c r="AQ893" i="16" s="1"/>
  <c r="AP897" i="16"/>
  <c r="AQ897" i="16" s="1"/>
  <c r="AP901" i="16"/>
  <c r="AQ901" i="16" s="1"/>
  <c r="AP905" i="16"/>
  <c r="AQ905" i="16" s="1"/>
  <c r="AP909" i="16"/>
  <c r="AQ909" i="16" s="1"/>
  <c r="AP913" i="16"/>
  <c r="AQ913" i="16" s="1"/>
  <c r="AP917" i="16"/>
  <c r="AQ917" i="16" s="1"/>
  <c r="AP921" i="16"/>
  <c r="AQ921" i="16" s="1"/>
  <c r="AP925" i="16"/>
  <c r="AQ925" i="16" s="1"/>
  <c r="AP929" i="16"/>
  <c r="AQ929" i="16" s="1"/>
  <c r="AP933" i="16"/>
  <c r="AQ933" i="16" s="1"/>
  <c r="AP937" i="16"/>
  <c r="AQ937" i="16" s="1"/>
  <c r="AP941" i="16"/>
  <c r="AQ941" i="16" s="1"/>
  <c r="AP945" i="16"/>
  <c r="AQ945" i="16" s="1"/>
  <c r="AP949" i="16"/>
  <c r="AQ949" i="16" s="1"/>
  <c r="AP953" i="16"/>
  <c r="AQ953" i="16" s="1"/>
  <c r="AP957" i="16"/>
  <c r="AQ957" i="16" s="1"/>
  <c r="AP961" i="16"/>
  <c r="AQ961" i="16" s="1"/>
  <c r="AP965" i="16"/>
  <c r="AQ965" i="16" s="1"/>
  <c r="AP969" i="16"/>
  <c r="AQ969" i="16" s="1"/>
  <c r="AP973" i="16"/>
  <c r="AQ973" i="16" s="1"/>
  <c r="AP977" i="16"/>
  <c r="AQ977" i="16" s="1"/>
  <c r="AP981" i="16"/>
  <c r="AQ981" i="16" s="1"/>
  <c r="AP985" i="16"/>
  <c r="AQ985" i="16" s="1"/>
  <c r="AP989" i="16"/>
  <c r="AQ989" i="16" s="1"/>
  <c r="AP993" i="16"/>
  <c r="AQ993" i="16" s="1"/>
  <c r="AP997" i="16"/>
  <c r="AQ997" i="16" s="1"/>
  <c r="AP1001" i="16"/>
  <c r="AQ1001" i="16" s="1"/>
  <c r="AP1005" i="16"/>
  <c r="AQ1005" i="16" s="1"/>
  <c r="AP1009" i="16"/>
  <c r="AQ1009" i="16" s="1"/>
  <c r="AP1013" i="16"/>
  <c r="AQ1013" i="16" s="1"/>
  <c r="AP1017" i="16"/>
  <c r="AQ1017" i="16" s="1"/>
  <c r="AP1021" i="16"/>
  <c r="AQ1021" i="16" s="1"/>
  <c r="AP1025" i="16"/>
  <c r="AQ1025" i="16" s="1"/>
  <c r="AP1029" i="16"/>
  <c r="AQ1029" i="16" s="1"/>
  <c r="AP1033" i="16"/>
  <c r="AQ1033" i="16" s="1"/>
  <c r="AP1037" i="16"/>
  <c r="AQ1037" i="16" s="1"/>
  <c r="AP1041" i="16"/>
  <c r="AQ1041" i="16" s="1"/>
  <c r="AP1045" i="16"/>
  <c r="AQ1045" i="16" s="1"/>
  <c r="AP1049" i="16"/>
  <c r="AQ1049" i="16" s="1"/>
  <c r="AP1053" i="16"/>
  <c r="AQ1053" i="16" s="1"/>
  <c r="AP1057" i="16"/>
  <c r="AQ1057" i="16" s="1"/>
  <c r="AP1061" i="16"/>
  <c r="AQ1061" i="16" s="1"/>
  <c r="AP1065" i="16"/>
  <c r="AQ1065" i="16" s="1"/>
  <c r="AP1069" i="16"/>
  <c r="AQ1069" i="16" s="1"/>
  <c r="AP1073" i="16"/>
  <c r="AQ1073" i="16" s="1"/>
  <c r="AP1077" i="16"/>
  <c r="AQ1077" i="16" s="1"/>
  <c r="AP1081" i="16"/>
  <c r="AQ1081" i="16" s="1"/>
  <c r="AP1085" i="16"/>
  <c r="AQ1085" i="16" s="1"/>
  <c r="AP6" i="16"/>
  <c r="AQ6" i="16" s="1"/>
  <c r="AP10" i="16"/>
  <c r="AQ10" i="16" s="1"/>
  <c r="AP14" i="16"/>
  <c r="AQ14" i="16" s="1"/>
  <c r="AP18" i="16"/>
  <c r="AQ18" i="16" s="1"/>
  <c r="AP22" i="16"/>
  <c r="AQ22" i="16" s="1"/>
  <c r="AP26" i="16"/>
  <c r="AQ26" i="16" s="1"/>
  <c r="AP30" i="16"/>
  <c r="AQ30" i="16" s="1"/>
  <c r="AP1121" i="16"/>
  <c r="AQ1121" i="16" s="1"/>
  <c r="AP1249" i="16"/>
  <c r="AQ1249" i="16" s="1"/>
  <c r="AP1377" i="16"/>
  <c r="AQ1377" i="16" s="1"/>
  <c r="AP1467" i="16"/>
  <c r="AQ1467" i="16" s="1"/>
  <c r="AP1531" i="16"/>
  <c r="AQ1531" i="16" s="1"/>
  <c r="AP1595" i="16"/>
  <c r="AQ1595" i="16" s="1"/>
  <c r="AP1625" i="16"/>
  <c r="AQ1625" i="16" s="1"/>
  <c r="AP558" i="16"/>
  <c r="AQ558" i="16" s="1"/>
  <c r="AP574" i="16"/>
  <c r="AQ574" i="16" s="1"/>
  <c r="AP590" i="16"/>
  <c r="AQ590" i="16" s="1"/>
  <c r="AP606" i="16"/>
  <c r="AQ606" i="16" s="1"/>
  <c r="AP622" i="16"/>
  <c r="AQ622" i="16" s="1"/>
  <c r="AP638" i="16"/>
  <c r="AQ638" i="16" s="1"/>
  <c r="AP654" i="16"/>
  <c r="AQ654" i="16" s="1"/>
  <c r="AP670" i="16"/>
  <c r="AQ670" i="16" s="1"/>
  <c r="AP686" i="16"/>
  <c r="AQ686" i="16" s="1"/>
  <c r="AP702" i="16"/>
  <c r="AQ702" i="16" s="1"/>
  <c r="AP718" i="16"/>
  <c r="AQ718" i="16" s="1"/>
  <c r="AP734" i="16"/>
  <c r="AQ734" i="16" s="1"/>
  <c r="AP750" i="16"/>
  <c r="AQ750" i="16" s="1"/>
  <c r="AP766" i="16"/>
  <c r="AQ766" i="16" s="1"/>
  <c r="AP782" i="16"/>
  <c r="AQ782" i="16" s="1"/>
  <c r="AP798" i="16"/>
  <c r="AQ798" i="16" s="1"/>
  <c r="AP814" i="16"/>
  <c r="AQ814" i="16" s="1"/>
  <c r="AP830" i="16"/>
  <c r="AQ830" i="16" s="1"/>
  <c r="AP846" i="16"/>
  <c r="AQ846" i="16" s="1"/>
  <c r="AP862" i="16"/>
  <c r="AQ862" i="16" s="1"/>
  <c r="AP878" i="16"/>
  <c r="AQ878" i="16" s="1"/>
  <c r="AP894" i="16"/>
  <c r="AQ894" i="16" s="1"/>
  <c r="AP910" i="16"/>
  <c r="AQ910" i="16" s="1"/>
  <c r="AP926" i="16"/>
  <c r="AQ926" i="16" s="1"/>
  <c r="AP942" i="16"/>
  <c r="AQ942" i="16" s="1"/>
  <c r="AP958" i="16"/>
  <c r="AQ958" i="16" s="1"/>
  <c r="AP974" i="16"/>
  <c r="AQ974" i="16" s="1"/>
  <c r="AP990" i="16"/>
  <c r="AQ990" i="16" s="1"/>
  <c r="AP1006" i="16"/>
  <c r="AQ1006" i="16" s="1"/>
  <c r="AP1022" i="16"/>
  <c r="AQ1022" i="16" s="1"/>
  <c r="AP1038" i="16"/>
  <c r="AQ1038" i="16" s="1"/>
  <c r="AP1054" i="16"/>
  <c r="AQ1054" i="16" s="1"/>
  <c r="AP1070" i="16"/>
  <c r="AQ1070" i="16" s="1"/>
  <c r="AP1086" i="16"/>
  <c r="AQ1086" i="16" s="1"/>
  <c r="AP19" i="16"/>
  <c r="AQ19" i="16" s="1"/>
  <c r="AP34" i="16"/>
  <c r="AQ34" i="16" s="1"/>
  <c r="AP40" i="16"/>
  <c r="AQ40" i="16" s="1"/>
  <c r="AP44" i="16"/>
  <c r="AQ44" i="16" s="1"/>
  <c r="AP48" i="16"/>
  <c r="AQ48" i="16" s="1"/>
  <c r="AP52" i="16"/>
  <c r="AQ52" i="16" s="1"/>
  <c r="AP56" i="16"/>
  <c r="AQ56" i="16" s="1"/>
  <c r="AP60" i="16"/>
  <c r="AQ60" i="16" s="1"/>
  <c r="AP64" i="16"/>
  <c r="AQ64" i="16" s="1"/>
  <c r="AP68" i="16"/>
  <c r="AQ68" i="16" s="1"/>
  <c r="AP72" i="16"/>
  <c r="AQ72" i="16" s="1"/>
  <c r="AP76" i="16"/>
  <c r="AQ76" i="16" s="1"/>
  <c r="AP80" i="16"/>
  <c r="AQ80" i="16" s="1"/>
  <c r="AP84" i="16"/>
  <c r="AQ84" i="16" s="1"/>
  <c r="AP88" i="16"/>
  <c r="AQ88" i="16" s="1"/>
  <c r="AP92" i="16"/>
  <c r="AQ92" i="16" s="1"/>
  <c r="AP96" i="16"/>
  <c r="AQ96" i="16" s="1"/>
  <c r="AP100" i="16"/>
  <c r="AQ100" i="16" s="1"/>
  <c r="AP104" i="16"/>
  <c r="AQ104" i="16" s="1"/>
  <c r="AP108" i="16"/>
  <c r="AQ108" i="16" s="1"/>
  <c r="AP112" i="16"/>
  <c r="AQ112" i="16" s="1"/>
  <c r="AP116" i="16"/>
  <c r="AQ116" i="16" s="1"/>
  <c r="AP120" i="16"/>
  <c r="AQ120" i="16" s="1"/>
  <c r="AP124" i="16"/>
  <c r="AQ124" i="16" s="1"/>
  <c r="AP128" i="16"/>
  <c r="AQ128" i="16" s="1"/>
  <c r="AP132" i="16"/>
  <c r="AQ132" i="16" s="1"/>
  <c r="AP136" i="16"/>
  <c r="AQ136" i="16" s="1"/>
  <c r="AP140" i="16"/>
  <c r="AQ140" i="16" s="1"/>
  <c r="AP144" i="16"/>
  <c r="AQ144" i="16" s="1"/>
  <c r="AP148" i="16"/>
  <c r="AQ148" i="16" s="1"/>
  <c r="AP152" i="16"/>
  <c r="AQ152" i="16" s="1"/>
  <c r="AP156" i="16"/>
  <c r="AQ156" i="16" s="1"/>
  <c r="AP160" i="16"/>
  <c r="AQ160" i="16" s="1"/>
  <c r="AP164" i="16"/>
  <c r="AQ164" i="16" s="1"/>
  <c r="AP168" i="16"/>
  <c r="AQ168" i="16" s="1"/>
  <c r="AP172" i="16"/>
  <c r="AQ172" i="16" s="1"/>
  <c r="AP176" i="16"/>
  <c r="AQ176" i="16" s="1"/>
  <c r="AP180" i="16"/>
  <c r="AQ180" i="16" s="1"/>
  <c r="AP184" i="16"/>
  <c r="AQ184" i="16" s="1"/>
  <c r="AP188" i="16"/>
  <c r="AQ188" i="16" s="1"/>
  <c r="AP192" i="16"/>
  <c r="AQ192" i="16" s="1"/>
  <c r="AP196" i="16"/>
  <c r="AQ196" i="16" s="1"/>
  <c r="AP200" i="16"/>
  <c r="AQ200" i="16" s="1"/>
  <c r="AP204" i="16"/>
  <c r="AQ204" i="16" s="1"/>
  <c r="AP208" i="16"/>
  <c r="AQ208" i="16" s="1"/>
  <c r="AP212" i="16"/>
  <c r="AQ212" i="16" s="1"/>
  <c r="AP216" i="16"/>
  <c r="AQ216" i="16" s="1"/>
  <c r="AP220" i="16"/>
  <c r="AQ220" i="16" s="1"/>
  <c r="AP224" i="16"/>
  <c r="AQ224" i="16" s="1"/>
  <c r="AP228" i="16"/>
  <c r="AQ228" i="16" s="1"/>
  <c r="AP232" i="16"/>
  <c r="AQ232" i="16" s="1"/>
  <c r="AP236" i="16"/>
  <c r="AQ236" i="16" s="1"/>
  <c r="AP240" i="16"/>
  <c r="AQ240" i="16" s="1"/>
  <c r="AP244" i="16"/>
  <c r="AQ244" i="16" s="1"/>
  <c r="AP248" i="16"/>
  <c r="AQ248" i="16" s="1"/>
  <c r="AP252" i="16"/>
  <c r="AQ252" i="16" s="1"/>
  <c r="AP256" i="16"/>
  <c r="AQ256" i="16" s="1"/>
  <c r="AP260" i="16"/>
  <c r="AQ260" i="16" s="1"/>
  <c r="AP264" i="16"/>
  <c r="AQ264" i="16" s="1"/>
  <c r="AP268" i="16"/>
  <c r="AQ268" i="16" s="1"/>
  <c r="AP272" i="16"/>
  <c r="AQ272" i="16" s="1"/>
  <c r="AP276" i="16"/>
  <c r="AQ276" i="16" s="1"/>
  <c r="AP280" i="16"/>
  <c r="AQ280" i="16" s="1"/>
  <c r="AP284" i="16"/>
  <c r="AQ284" i="16" s="1"/>
  <c r="AP288" i="16"/>
  <c r="AQ288" i="16" s="1"/>
  <c r="AP292" i="16"/>
  <c r="AQ292" i="16" s="1"/>
  <c r="AP296" i="16"/>
  <c r="AQ296" i="16" s="1"/>
  <c r="AP300" i="16"/>
  <c r="AQ300" i="16" s="1"/>
  <c r="AP304" i="16"/>
  <c r="AQ304" i="16" s="1"/>
  <c r="AP308" i="16"/>
  <c r="AQ308" i="16" s="1"/>
  <c r="AP312" i="16"/>
  <c r="AQ312" i="16" s="1"/>
  <c r="AP316" i="16"/>
  <c r="AQ316" i="16" s="1"/>
  <c r="AP320" i="16"/>
  <c r="AQ320" i="16" s="1"/>
  <c r="AP324" i="16"/>
  <c r="AQ324" i="16" s="1"/>
  <c r="AP328" i="16"/>
  <c r="AQ328" i="16" s="1"/>
  <c r="AP332" i="16"/>
  <c r="AQ332" i="16" s="1"/>
  <c r="AP336" i="16"/>
  <c r="AQ336" i="16" s="1"/>
  <c r="AP340" i="16"/>
  <c r="AQ340" i="16" s="1"/>
  <c r="AP344" i="16"/>
  <c r="AQ344" i="16" s="1"/>
  <c r="AP348" i="16"/>
  <c r="AQ348" i="16" s="1"/>
  <c r="AP352" i="16"/>
  <c r="AQ352" i="16" s="1"/>
  <c r="AP356" i="16"/>
  <c r="AQ356" i="16" s="1"/>
  <c r="AP360" i="16"/>
  <c r="AQ360" i="16" s="1"/>
  <c r="AP364" i="16"/>
  <c r="AQ364" i="16" s="1"/>
  <c r="AP368" i="16"/>
  <c r="AQ368" i="16" s="1"/>
  <c r="AP372" i="16"/>
  <c r="AQ372" i="16" s="1"/>
  <c r="AP376" i="16"/>
  <c r="AQ376" i="16" s="1"/>
  <c r="AP380" i="16"/>
  <c r="AQ380" i="16" s="1"/>
  <c r="AP384" i="16"/>
  <c r="AQ384" i="16" s="1"/>
  <c r="AP388" i="16"/>
  <c r="AQ388" i="16" s="1"/>
  <c r="AP392" i="16"/>
  <c r="AQ392" i="16" s="1"/>
  <c r="AP396" i="16"/>
  <c r="AQ396" i="16" s="1"/>
  <c r="AP400" i="16"/>
  <c r="AQ400" i="16" s="1"/>
  <c r="AP404" i="16"/>
  <c r="AQ404" i="16" s="1"/>
  <c r="AP408" i="16"/>
  <c r="AQ408" i="16" s="1"/>
  <c r="AP412" i="16"/>
  <c r="AQ412" i="16" s="1"/>
  <c r="AP416" i="16"/>
  <c r="AQ416" i="16" s="1"/>
  <c r="AP420" i="16"/>
  <c r="AQ420" i="16" s="1"/>
  <c r="AP424" i="16"/>
  <c r="AQ424" i="16" s="1"/>
  <c r="AP428" i="16"/>
  <c r="AQ428" i="16" s="1"/>
  <c r="AP432" i="16"/>
  <c r="AQ432" i="16" s="1"/>
  <c r="AP436" i="16"/>
  <c r="AQ436" i="16" s="1"/>
  <c r="AP440" i="16"/>
  <c r="AQ440" i="16" s="1"/>
  <c r="AP444" i="16"/>
  <c r="AQ444" i="16" s="1"/>
  <c r="AP448" i="16"/>
  <c r="AQ448" i="16" s="1"/>
  <c r="AP452" i="16"/>
  <c r="AQ452" i="16" s="1"/>
  <c r="AP456" i="16"/>
  <c r="AQ456" i="16" s="1"/>
  <c r="AP460" i="16"/>
  <c r="AQ460" i="16" s="1"/>
  <c r="AP464" i="16"/>
  <c r="AQ464" i="16" s="1"/>
  <c r="AP468" i="16"/>
  <c r="AQ468" i="16" s="1"/>
  <c r="AP472" i="16"/>
  <c r="AQ472" i="16" s="1"/>
  <c r="AP476" i="16"/>
  <c r="AQ476" i="16" s="1"/>
  <c r="AP480" i="16"/>
  <c r="AQ480" i="16" s="1"/>
  <c r="AP484" i="16"/>
  <c r="AQ484" i="16" s="1"/>
  <c r="AP488" i="16"/>
  <c r="AQ488" i="16" s="1"/>
  <c r="AP492" i="16"/>
  <c r="AQ492" i="16" s="1"/>
  <c r="AP496" i="16"/>
  <c r="AQ496" i="16" s="1"/>
  <c r="AP500" i="16"/>
  <c r="AQ500" i="16" s="1"/>
  <c r="AP504" i="16"/>
  <c r="AQ504" i="16" s="1"/>
  <c r="AP508" i="16"/>
  <c r="AQ508" i="16" s="1"/>
  <c r="AP512" i="16"/>
  <c r="AQ512" i="16" s="1"/>
  <c r="AP516" i="16"/>
  <c r="AQ516" i="16" s="1"/>
  <c r="AP520" i="16"/>
  <c r="AQ520" i="16" s="1"/>
  <c r="AP524" i="16"/>
  <c r="AQ524" i="16" s="1"/>
  <c r="AP528" i="16"/>
  <c r="AQ528" i="16" s="1"/>
  <c r="AP532" i="16"/>
  <c r="AQ532" i="16" s="1"/>
  <c r="AP536" i="16"/>
  <c r="AQ536" i="16" s="1"/>
  <c r="AP540" i="16"/>
  <c r="AQ540" i="16" s="1"/>
  <c r="AP544" i="16"/>
  <c r="AQ544" i="16" s="1"/>
  <c r="AP1153" i="16"/>
  <c r="AQ1153" i="16" s="1"/>
  <c r="AP1281" i="16"/>
  <c r="AQ1281" i="16" s="1"/>
  <c r="AP1409" i="16"/>
  <c r="AQ1409" i="16" s="1"/>
  <c r="AP1483" i="16"/>
  <c r="AQ1483" i="16" s="1"/>
  <c r="AP1547" i="16"/>
  <c r="AQ1547" i="16" s="1"/>
  <c r="AP1606" i="16"/>
  <c r="AQ1606" i="16" s="1"/>
  <c r="AP1629" i="16"/>
  <c r="AQ1629" i="16" s="1"/>
  <c r="AP562" i="16"/>
  <c r="AQ562" i="16" s="1"/>
  <c r="AP578" i="16"/>
  <c r="AQ578" i="16" s="1"/>
  <c r="AP594" i="16"/>
  <c r="AQ594" i="16" s="1"/>
  <c r="AP610" i="16"/>
  <c r="AQ610" i="16" s="1"/>
  <c r="AP626" i="16"/>
  <c r="AQ626" i="16" s="1"/>
  <c r="AP642" i="16"/>
  <c r="AQ642" i="16" s="1"/>
  <c r="AP658" i="16"/>
  <c r="AQ658" i="16" s="1"/>
  <c r="AP674" i="16"/>
  <c r="AQ674" i="16" s="1"/>
  <c r="AP690" i="16"/>
  <c r="AQ690" i="16" s="1"/>
  <c r="AP706" i="16"/>
  <c r="AQ706" i="16" s="1"/>
  <c r="AP722" i="16"/>
  <c r="AQ722" i="16" s="1"/>
  <c r="AP738" i="16"/>
  <c r="AQ738" i="16" s="1"/>
  <c r="AP754" i="16"/>
  <c r="AQ754" i="16" s="1"/>
  <c r="AP770" i="16"/>
  <c r="AQ770" i="16" s="1"/>
  <c r="AP786" i="16"/>
  <c r="AQ786" i="16" s="1"/>
  <c r="AP802" i="16"/>
  <c r="AQ802" i="16" s="1"/>
  <c r="AP818" i="16"/>
  <c r="AQ818" i="16" s="1"/>
  <c r="AP834" i="16"/>
  <c r="AQ834" i="16" s="1"/>
  <c r="AP850" i="16"/>
  <c r="AQ850" i="16" s="1"/>
  <c r="AP866" i="16"/>
  <c r="AQ866" i="16" s="1"/>
  <c r="AP882" i="16"/>
  <c r="AQ882" i="16" s="1"/>
  <c r="AP898" i="16"/>
  <c r="AQ898" i="16" s="1"/>
  <c r="AP914" i="16"/>
  <c r="AQ914" i="16" s="1"/>
  <c r="AP930" i="16"/>
  <c r="AQ930" i="16" s="1"/>
  <c r="AP946" i="16"/>
  <c r="AQ946" i="16" s="1"/>
  <c r="AP962" i="16"/>
  <c r="AQ962" i="16" s="1"/>
  <c r="AP978" i="16"/>
  <c r="AQ978" i="16" s="1"/>
  <c r="AP994" i="16"/>
  <c r="AQ994" i="16" s="1"/>
  <c r="AP1010" i="16"/>
  <c r="AQ1010" i="16" s="1"/>
  <c r="AP1026" i="16"/>
  <c r="AQ1026" i="16" s="1"/>
  <c r="AP1042" i="16"/>
  <c r="AQ1042" i="16" s="1"/>
  <c r="AP1058" i="16"/>
  <c r="AQ1058" i="16" s="1"/>
  <c r="AP1074" i="16"/>
  <c r="AQ1074" i="16" s="1"/>
  <c r="AP7" i="16"/>
  <c r="AQ7" i="16" s="1"/>
  <c r="AP23" i="16"/>
  <c r="AQ23" i="16" s="1"/>
  <c r="AP35" i="16"/>
  <c r="AQ35" i="16" s="1"/>
  <c r="AP41" i="16"/>
  <c r="AQ41" i="16" s="1"/>
  <c r="AP45" i="16"/>
  <c r="AQ45" i="16" s="1"/>
  <c r="AP49" i="16"/>
  <c r="AQ49" i="16" s="1"/>
  <c r="AP53" i="16"/>
  <c r="AQ53" i="16" s="1"/>
  <c r="AP57" i="16"/>
  <c r="AQ57" i="16" s="1"/>
  <c r="AP61" i="16"/>
  <c r="AQ61" i="16" s="1"/>
  <c r="AP65" i="16"/>
  <c r="AQ65" i="16" s="1"/>
  <c r="AP69" i="16"/>
  <c r="AQ69" i="16" s="1"/>
  <c r="AP73" i="16"/>
  <c r="AQ73" i="16" s="1"/>
  <c r="AP77" i="16"/>
  <c r="AQ77" i="16" s="1"/>
  <c r="AP81" i="16"/>
  <c r="AQ81" i="16" s="1"/>
  <c r="AP85" i="16"/>
  <c r="AQ85" i="16" s="1"/>
  <c r="AP89" i="16"/>
  <c r="AQ89" i="16" s="1"/>
  <c r="AP93" i="16"/>
  <c r="AQ93" i="16" s="1"/>
  <c r="AP97" i="16"/>
  <c r="AQ97" i="16" s="1"/>
  <c r="AP101" i="16"/>
  <c r="AQ101" i="16" s="1"/>
  <c r="AP105" i="16"/>
  <c r="AQ105" i="16" s="1"/>
  <c r="AP109" i="16"/>
  <c r="AQ109" i="16" s="1"/>
  <c r="AP113" i="16"/>
  <c r="AQ113" i="16" s="1"/>
  <c r="AP117" i="16"/>
  <c r="AQ117" i="16" s="1"/>
  <c r="AP121" i="16"/>
  <c r="AQ121" i="16" s="1"/>
  <c r="AP125" i="16"/>
  <c r="AQ125" i="16" s="1"/>
  <c r="AP129" i="16"/>
  <c r="AQ129" i="16" s="1"/>
  <c r="AP133" i="16"/>
  <c r="AQ133" i="16" s="1"/>
  <c r="AP137" i="16"/>
  <c r="AQ137" i="16" s="1"/>
  <c r="AP141" i="16"/>
  <c r="AQ141" i="16" s="1"/>
  <c r="AP145" i="16"/>
  <c r="AQ145" i="16" s="1"/>
  <c r="AP149" i="16"/>
  <c r="AQ149" i="16" s="1"/>
  <c r="AP153" i="16"/>
  <c r="AQ153" i="16" s="1"/>
  <c r="AP157" i="16"/>
  <c r="AQ157" i="16" s="1"/>
  <c r="AP161" i="16"/>
  <c r="AQ161" i="16" s="1"/>
  <c r="AP165" i="16"/>
  <c r="AQ165" i="16" s="1"/>
  <c r="AP169" i="16"/>
  <c r="AQ169" i="16" s="1"/>
  <c r="AP173" i="16"/>
  <c r="AQ173" i="16" s="1"/>
  <c r="AP177" i="16"/>
  <c r="AQ177" i="16" s="1"/>
  <c r="AP181" i="16"/>
  <c r="AQ181" i="16" s="1"/>
  <c r="AP185" i="16"/>
  <c r="AQ185" i="16" s="1"/>
  <c r="AP189" i="16"/>
  <c r="AQ189" i="16" s="1"/>
  <c r="AP193" i="16"/>
  <c r="AQ193" i="16" s="1"/>
  <c r="AP197" i="16"/>
  <c r="AQ197" i="16" s="1"/>
  <c r="AP201" i="16"/>
  <c r="AQ201" i="16" s="1"/>
  <c r="AP205" i="16"/>
  <c r="AQ205" i="16" s="1"/>
  <c r="AP209" i="16"/>
  <c r="AQ209" i="16" s="1"/>
  <c r="AP213" i="16"/>
  <c r="AQ213" i="16" s="1"/>
  <c r="AP217" i="16"/>
  <c r="AQ217" i="16" s="1"/>
  <c r="AP221" i="16"/>
  <c r="AQ221" i="16" s="1"/>
  <c r="AP225" i="16"/>
  <c r="AQ225" i="16" s="1"/>
  <c r="AP229" i="16"/>
  <c r="AQ229" i="16" s="1"/>
  <c r="AP233" i="16"/>
  <c r="AQ233" i="16" s="1"/>
  <c r="AP237" i="16"/>
  <c r="AQ237" i="16" s="1"/>
  <c r="AP241" i="16"/>
  <c r="AQ241" i="16" s="1"/>
  <c r="AP245" i="16"/>
  <c r="AQ245" i="16" s="1"/>
  <c r="AP249" i="16"/>
  <c r="AQ249" i="16" s="1"/>
  <c r="AP253" i="16"/>
  <c r="AQ253" i="16" s="1"/>
  <c r="AP257" i="16"/>
  <c r="AQ257" i="16" s="1"/>
  <c r="AP261" i="16"/>
  <c r="AQ261" i="16" s="1"/>
  <c r="AP265" i="16"/>
  <c r="AQ265" i="16" s="1"/>
  <c r="AP269" i="16"/>
  <c r="AQ269" i="16" s="1"/>
  <c r="AP273" i="16"/>
  <c r="AQ273" i="16" s="1"/>
  <c r="AP277" i="16"/>
  <c r="AQ277" i="16" s="1"/>
  <c r="AP281" i="16"/>
  <c r="AQ281" i="16" s="1"/>
  <c r="AP285" i="16"/>
  <c r="AQ285" i="16" s="1"/>
  <c r="AP289" i="16"/>
  <c r="AQ289" i="16" s="1"/>
  <c r="AP293" i="16"/>
  <c r="AQ293" i="16" s="1"/>
  <c r="AP297" i="16"/>
  <c r="AQ297" i="16" s="1"/>
  <c r="AP301" i="16"/>
  <c r="AQ301" i="16" s="1"/>
  <c r="AP305" i="16"/>
  <c r="AQ305" i="16" s="1"/>
  <c r="AP309" i="16"/>
  <c r="AQ309" i="16" s="1"/>
  <c r="AP313" i="16"/>
  <c r="AQ313" i="16" s="1"/>
  <c r="AP317" i="16"/>
  <c r="AQ317" i="16" s="1"/>
  <c r="AP321" i="16"/>
  <c r="AQ321" i="16" s="1"/>
  <c r="AP325" i="16"/>
  <c r="AQ325" i="16" s="1"/>
  <c r="AP329" i="16"/>
  <c r="AQ329" i="16" s="1"/>
  <c r="AP333" i="16"/>
  <c r="AQ333" i="16" s="1"/>
  <c r="AP337" i="16"/>
  <c r="AQ337" i="16" s="1"/>
  <c r="AP341" i="16"/>
  <c r="AQ341" i="16" s="1"/>
  <c r="AP345" i="16"/>
  <c r="AQ345" i="16" s="1"/>
  <c r="AP349" i="16"/>
  <c r="AQ349" i="16" s="1"/>
  <c r="AP353" i="16"/>
  <c r="AQ353" i="16" s="1"/>
  <c r="AP357" i="16"/>
  <c r="AQ357" i="16" s="1"/>
  <c r="AP361" i="16"/>
  <c r="AQ361" i="16" s="1"/>
  <c r="AP365" i="16"/>
  <c r="AQ365" i="16" s="1"/>
  <c r="AP369" i="16"/>
  <c r="AQ369" i="16" s="1"/>
  <c r="AP373" i="16"/>
  <c r="AQ373" i="16" s="1"/>
  <c r="AP377" i="16"/>
  <c r="AQ377" i="16" s="1"/>
  <c r="AP381" i="16"/>
  <c r="AQ381" i="16" s="1"/>
  <c r="AP385" i="16"/>
  <c r="AQ385" i="16" s="1"/>
  <c r="AP389" i="16"/>
  <c r="AQ389" i="16" s="1"/>
  <c r="AP393" i="16"/>
  <c r="AQ393" i="16" s="1"/>
  <c r="AP397" i="16"/>
  <c r="AQ397" i="16" s="1"/>
  <c r="AP401" i="16"/>
  <c r="AQ401" i="16" s="1"/>
  <c r="AP405" i="16"/>
  <c r="AQ405" i="16" s="1"/>
  <c r="AP409" i="16"/>
  <c r="AQ409" i="16" s="1"/>
  <c r="AP413" i="16"/>
  <c r="AQ413" i="16" s="1"/>
  <c r="AP417" i="16"/>
  <c r="AQ417" i="16" s="1"/>
  <c r="AP421" i="16"/>
  <c r="AQ421" i="16" s="1"/>
  <c r="AP425" i="16"/>
  <c r="AQ425" i="16" s="1"/>
  <c r="AP429" i="16"/>
  <c r="AQ429" i="16" s="1"/>
  <c r="AP433" i="16"/>
  <c r="AQ433" i="16" s="1"/>
  <c r="AP437" i="16"/>
  <c r="AQ437" i="16" s="1"/>
  <c r="AP441" i="16"/>
  <c r="AQ441" i="16" s="1"/>
  <c r="AP445" i="16"/>
  <c r="AQ445" i="16" s="1"/>
  <c r="AP449" i="16"/>
  <c r="AQ449" i="16" s="1"/>
  <c r="AP453" i="16"/>
  <c r="AQ453" i="16" s="1"/>
  <c r="AP457" i="16"/>
  <c r="AQ457" i="16" s="1"/>
  <c r="AP461" i="16"/>
  <c r="AQ461" i="16" s="1"/>
  <c r="AP465" i="16"/>
  <c r="AQ465" i="16" s="1"/>
  <c r="AP469" i="16"/>
  <c r="AQ469" i="16" s="1"/>
  <c r="AP473" i="16"/>
  <c r="AQ473" i="16" s="1"/>
  <c r="AP477" i="16"/>
  <c r="AQ477" i="16" s="1"/>
  <c r="AP481" i="16"/>
  <c r="AQ481" i="16" s="1"/>
  <c r="AP485" i="16"/>
  <c r="AQ485" i="16" s="1"/>
  <c r="AP489" i="16"/>
  <c r="AQ489" i="16" s="1"/>
  <c r="AP493" i="16"/>
  <c r="AQ493" i="16" s="1"/>
  <c r="AP497" i="16"/>
  <c r="AQ497" i="16" s="1"/>
  <c r="AP501" i="16"/>
  <c r="AQ501" i="16" s="1"/>
  <c r="AP505" i="16"/>
  <c r="AQ505" i="16" s="1"/>
  <c r="AP509" i="16"/>
  <c r="AQ509" i="16" s="1"/>
  <c r="AP513" i="16"/>
  <c r="AQ513" i="16" s="1"/>
  <c r="AP517" i="16"/>
  <c r="AQ517" i="16" s="1"/>
  <c r="AP521" i="16"/>
  <c r="AQ521" i="16" s="1"/>
  <c r="AP525" i="16"/>
  <c r="AQ525" i="16" s="1"/>
  <c r="AP529" i="16"/>
  <c r="AQ529" i="16" s="1"/>
  <c r="AP533" i="16"/>
  <c r="AQ533" i="16" s="1"/>
  <c r="AP537" i="16"/>
  <c r="AQ537" i="16" s="1"/>
  <c r="AP541" i="16"/>
  <c r="AQ541" i="16" s="1"/>
  <c r="AP545" i="16"/>
  <c r="AQ545" i="16" s="1"/>
  <c r="AP1185" i="16"/>
  <c r="AQ1185" i="16" s="1"/>
  <c r="AP1313" i="16"/>
  <c r="AQ1313" i="16" s="1"/>
  <c r="AP1435" i="16"/>
  <c r="AQ1435" i="16" s="1"/>
  <c r="AP1499" i="16"/>
  <c r="AQ1499" i="16" s="1"/>
  <c r="AP1563" i="16"/>
  <c r="AQ1563" i="16" s="1"/>
  <c r="AP1614" i="16"/>
  <c r="AQ1614" i="16" s="1"/>
  <c r="AP550" i="16"/>
  <c r="AQ550" i="16" s="1"/>
  <c r="AP566" i="16"/>
  <c r="AQ566" i="16" s="1"/>
  <c r="AP582" i="16"/>
  <c r="AQ582" i="16" s="1"/>
  <c r="AP598" i="16"/>
  <c r="AQ598" i="16" s="1"/>
  <c r="AP614" i="16"/>
  <c r="AQ614" i="16" s="1"/>
  <c r="AP630" i="16"/>
  <c r="AQ630" i="16" s="1"/>
  <c r="AP646" i="16"/>
  <c r="AQ646" i="16" s="1"/>
  <c r="AP662" i="16"/>
  <c r="AQ662" i="16" s="1"/>
  <c r="AP678" i="16"/>
  <c r="AQ678" i="16" s="1"/>
  <c r="AP694" i="16"/>
  <c r="AQ694" i="16" s="1"/>
  <c r="AP710" i="16"/>
  <c r="AQ710" i="16" s="1"/>
  <c r="AP726" i="16"/>
  <c r="AQ726" i="16" s="1"/>
  <c r="AP742" i="16"/>
  <c r="AQ742" i="16" s="1"/>
  <c r="AP758" i="16"/>
  <c r="AQ758" i="16" s="1"/>
  <c r="AP774" i="16"/>
  <c r="AQ774" i="16" s="1"/>
  <c r="AP790" i="16"/>
  <c r="AQ790" i="16" s="1"/>
  <c r="AP806" i="16"/>
  <c r="AQ806" i="16" s="1"/>
  <c r="AP822" i="16"/>
  <c r="AQ822" i="16" s="1"/>
  <c r="AP838" i="16"/>
  <c r="AQ838" i="16" s="1"/>
  <c r="AP854" i="16"/>
  <c r="AQ854" i="16" s="1"/>
  <c r="AP870" i="16"/>
  <c r="AQ870" i="16" s="1"/>
  <c r="AP886" i="16"/>
  <c r="AQ886" i="16" s="1"/>
  <c r="AP902" i="16"/>
  <c r="AQ902" i="16" s="1"/>
  <c r="AP918" i="16"/>
  <c r="AQ918" i="16" s="1"/>
  <c r="AP934" i="16"/>
  <c r="AQ934" i="16" s="1"/>
  <c r="AP950" i="16"/>
  <c r="AQ950" i="16" s="1"/>
  <c r="AP966" i="16"/>
  <c r="AQ966" i="16" s="1"/>
  <c r="AP982" i="16"/>
  <c r="AQ982" i="16" s="1"/>
  <c r="AP998" i="16"/>
  <c r="AQ998" i="16" s="1"/>
  <c r="AP1014" i="16"/>
  <c r="AQ1014" i="16" s="1"/>
  <c r="AP1030" i="16"/>
  <c r="AQ1030" i="16" s="1"/>
  <c r="AP1046" i="16"/>
  <c r="AQ1046" i="16" s="1"/>
  <c r="AP1062" i="16"/>
  <c r="AQ1062" i="16" s="1"/>
  <c r="AP1078" i="16"/>
  <c r="AQ1078" i="16" s="1"/>
  <c r="AP11" i="16"/>
  <c r="AQ11" i="16" s="1"/>
  <c r="AP27" i="16"/>
  <c r="AQ27" i="16" s="1"/>
  <c r="AP38" i="16"/>
  <c r="AQ38" i="16" s="1"/>
  <c r="AP42" i="16"/>
  <c r="AQ42" i="16" s="1"/>
  <c r="AP46" i="16"/>
  <c r="AQ46" i="16" s="1"/>
  <c r="AP50" i="16"/>
  <c r="AQ50" i="16" s="1"/>
  <c r="AP54" i="16"/>
  <c r="AQ54" i="16" s="1"/>
  <c r="AP58" i="16"/>
  <c r="AQ58" i="16" s="1"/>
  <c r="AP62" i="16"/>
  <c r="AQ62" i="16" s="1"/>
  <c r="AP66" i="16"/>
  <c r="AQ66" i="16" s="1"/>
  <c r="AP70" i="16"/>
  <c r="AQ70" i="16" s="1"/>
  <c r="AP74" i="16"/>
  <c r="AQ74" i="16" s="1"/>
  <c r="AP78" i="16"/>
  <c r="AQ78" i="16" s="1"/>
  <c r="AP82" i="16"/>
  <c r="AQ82" i="16" s="1"/>
  <c r="AP86" i="16"/>
  <c r="AQ86" i="16" s="1"/>
  <c r="AP90" i="16"/>
  <c r="AQ90" i="16" s="1"/>
  <c r="AP94" i="16"/>
  <c r="AQ94" i="16" s="1"/>
  <c r="AP98" i="16"/>
  <c r="AQ98" i="16" s="1"/>
  <c r="AP102" i="16"/>
  <c r="AQ102" i="16" s="1"/>
  <c r="AP106" i="16"/>
  <c r="AQ106" i="16" s="1"/>
  <c r="AP110" i="16"/>
  <c r="AQ110" i="16" s="1"/>
  <c r="AP114" i="16"/>
  <c r="AQ114" i="16" s="1"/>
  <c r="AP118" i="16"/>
  <c r="AQ118" i="16" s="1"/>
  <c r="AP122" i="16"/>
  <c r="AQ122" i="16" s="1"/>
  <c r="AP126" i="16"/>
  <c r="AQ126" i="16" s="1"/>
  <c r="AP130" i="16"/>
  <c r="AQ130" i="16" s="1"/>
  <c r="AP134" i="16"/>
  <c r="AQ134" i="16" s="1"/>
  <c r="AP138" i="16"/>
  <c r="AQ138" i="16" s="1"/>
  <c r="AP142" i="16"/>
  <c r="AQ142" i="16" s="1"/>
  <c r="AP146" i="16"/>
  <c r="AQ146" i="16" s="1"/>
  <c r="AP150" i="16"/>
  <c r="AQ150" i="16" s="1"/>
  <c r="AP154" i="16"/>
  <c r="AQ154" i="16" s="1"/>
  <c r="AP158" i="16"/>
  <c r="AQ158" i="16" s="1"/>
  <c r="AP162" i="16"/>
  <c r="AQ162" i="16" s="1"/>
  <c r="AP166" i="16"/>
  <c r="AQ166" i="16" s="1"/>
  <c r="AP170" i="16"/>
  <c r="AQ170" i="16" s="1"/>
  <c r="AP174" i="16"/>
  <c r="AQ174" i="16" s="1"/>
  <c r="AP178" i="16"/>
  <c r="AQ178" i="16" s="1"/>
  <c r="AP182" i="16"/>
  <c r="AQ182" i="16" s="1"/>
  <c r="AP186" i="16"/>
  <c r="AQ186" i="16" s="1"/>
  <c r="AP190" i="16"/>
  <c r="AQ190" i="16" s="1"/>
  <c r="AP194" i="16"/>
  <c r="AQ194" i="16" s="1"/>
  <c r="AP198" i="16"/>
  <c r="AQ198" i="16" s="1"/>
  <c r="AP202" i="16"/>
  <c r="AQ202" i="16" s="1"/>
  <c r="AP206" i="16"/>
  <c r="AQ206" i="16" s="1"/>
  <c r="AP210" i="16"/>
  <c r="AQ210" i="16" s="1"/>
  <c r="AP214" i="16"/>
  <c r="AQ214" i="16" s="1"/>
  <c r="AP218" i="16"/>
  <c r="AQ218" i="16" s="1"/>
  <c r="AP222" i="16"/>
  <c r="AQ222" i="16" s="1"/>
  <c r="AP226" i="16"/>
  <c r="AQ226" i="16" s="1"/>
  <c r="AP230" i="16"/>
  <c r="AQ230" i="16" s="1"/>
  <c r="AP234" i="16"/>
  <c r="AQ234" i="16" s="1"/>
  <c r="AP238" i="16"/>
  <c r="AQ238" i="16" s="1"/>
  <c r="AP242" i="16"/>
  <c r="AQ242" i="16" s="1"/>
  <c r="AP246" i="16"/>
  <c r="AQ246" i="16" s="1"/>
  <c r="AP250" i="16"/>
  <c r="AQ250" i="16" s="1"/>
  <c r="AP254" i="16"/>
  <c r="AQ254" i="16" s="1"/>
  <c r="AP258" i="16"/>
  <c r="AQ258" i="16" s="1"/>
  <c r="AP262" i="16"/>
  <c r="AQ262" i="16" s="1"/>
  <c r="AP266" i="16"/>
  <c r="AQ266" i="16" s="1"/>
  <c r="AP270" i="16"/>
  <c r="AQ270" i="16" s="1"/>
  <c r="AP274" i="16"/>
  <c r="AQ274" i="16" s="1"/>
  <c r="AP278" i="16"/>
  <c r="AQ278" i="16" s="1"/>
  <c r="AP282" i="16"/>
  <c r="AQ282" i="16" s="1"/>
  <c r="AP286" i="16"/>
  <c r="AQ286" i="16" s="1"/>
  <c r="AP290" i="16"/>
  <c r="AQ290" i="16" s="1"/>
  <c r="AP294" i="16"/>
  <c r="AQ294" i="16" s="1"/>
  <c r="AP298" i="16"/>
  <c r="AQ298" i="16" s="1"/>
  <c r="AP302" i="16"/>
  <c r="AQ302" i="16" s="1"/>
  <c r="AP306" i="16"/>
  <c r="AQ306" i="16" s="1"/>
  <c r="AP310" i="16"/>
  <c r="AQ310" i="16" s="1"/>
  <c r="AP314" i="16"/>
  <c r="AQ314" i="16" s="1"/>
  <c r="AP318" i="16"/>
  <c r="AQ318" i="16" s="1"/>
  <c r="AP322" i="16"/>
  <c r="AQ322" i="16" s="1"/>
  <c r="AP326" i="16"/>
  <c r="AQ326" i="16" s="1"/>
  <c r="AP330" i="16"/>
  <c r="AQ330" i="16" s="1"/>
  <c r="AP334" i="16"/>
  <c r="AQ334" i="16" s="1"/>
  <c r="AP338" i="16"/>
  <c r="AQ338" i="16" s="1"/>
  <c r="AP342" i="16"/>
  <c r="AQ342" i="16" s="1"/>
  <c r="AP346" i="16"/>
  <c r="AQ346" i="16" s="1"/>
  <c r="AP350" i="16"/>
  <c r="AQ350" i="16" s="1"/>
  <c r="AP354" i="16"/>
  <c r="AQ354" i="16" s="1"/>
  <c r="AP358" i="16"/>
  <c r="AQ358" i="16" s="1"/>
  <c r="AP362" i="16"/>
  <c r="AQ362" i="16" s="1"/>
  <c r="AP366" i="16"/>
  <c r="AQ366" i="16" s="1"/>
  <c r="AP370" i="16"/>
  <c r="AQ370" i="16" s="1"/>
  <c r="AP374" i="16"/>
  <c r="AQ374" i="16" s="1"/>
  <c r="AP378" i="16"/>
  <c r="AQ378" i="16" s="1"/>
  <c r="AP382" i="16"/>
  <c r="AQ382" i="16" s="1"/>
  <c r="AP386" i="16"/>
  <c r="AQ386" i="16" s="1"/>
  <c r="AP390" i="16"/>
  <c r="AQ390" i="16" s="1"/>
  <c r="AP394" i="16"/>
  <c r="AQ394" i="16" s="1"/>
  <c r="AP398" i="16"/>
  <c r="AQ398" i="16" s="1"/>
  <c r="AP402" i="16"/>
  <c r="AQ402" i="16" s="1"/>
  <c r="AP406" i="16"/>
  <c r="AQ406" i="16" s="1"/>
  <c r="AP410" i="16"/>
  <c r="AQ410" i="16" s="1"/>
  <c r="AP414" i="16"/>
  <c r="AQ414" i="16" s="1"/>
  <c r="AP418" i="16"/>
  <c r="AQ418" i="16" s="1"/>
  <c r="AP422" i="16"/>
  <c r="AQ422" i="16" s="1"/>
  <c r="AP426" i="16"/>
  <c r="AQ426" i="16" s="1"/>
  <c r="AP430" i="16"/>
  <c r="AQ430" i="16" s="1"/>
  <c r="AP434" i="16"/>
  <c r="AQ434" i="16" s="1"/>
  <c r="AP438" i="16"/>
  <c r="AQ438" i="16" s="1"/>
  <c r="AP442" i="16"/>
  <c r="AQ442" i="16" s="1"/>
  <c r="AP446" i="16"/>
  <c r="AQ446" i="16" s="1"/>
  <c r="AP450" i="16"/>
  <c r="AQ450" i="16" s="1"/>
  <c r="AP454" i="16"/>
  <c r="AQ454" i="16" s="1"/>
  <c r="AP458" i="16"/>
  <c r="AQ458" i="16" s="1"/>
  <c r="AP462" i="16"/>
  <c r="AQ462" i="16" s="1"/>
  <c r="AP466" i="16"/>
  <c r="AQ466" i="16" s="1"/>
  <c r="AP470" i="16"/>
  <c r="AQ470" i="16" s="1"/>
  <c r="AP474" i="16"/>
  <c r="AQ474" i="16" s="1"/>
  <c r="AP478" i="16"/>
  <c r="AQ478" i="16" s="1"/>
  <c r="AP482" i="16"/>
  <c r="AQ482" i="16" s="1"/>
  <c r="AP486" i="16"/>
  <c r="AQ486" i="16" s="1"/>
  <c r="AP490" i="16"/>
  <c r="AQ490" i="16" s="1"/>
  <c r="AP494" i="16"/>
  <c r="AQ494" i="16" s="1"/>
  <c r="AP498" i="16"/>
  <c r="AQ498" i="16" s="1"/>
  <c r="AP502" i="16"/>
  <c r="AQ502" i="16" s="1"/>
  <c r="AP506" i="16"/>
  <c r="AQ506" i="16" s="1"/>
  <c r="AP510" i="16"/>
  <c r="AQ510" i="16" s="1"/>
  <c r="AP514" i="16"/>
  <c r="AQ514" i="16" s="1"/>
  <c r="AP518" i="16"/>
  <c r="AQ518" i="16" s="1"/>
  <c r="AP522" i="16"/>
  <c r="AQ522" i="16" s="1"/>
  <c r="AP526" i="16"/>
  <c r="AQ526" i="16" s="1"/>
  <c r="AP530" i="16"/>
  <c r="AQ530" i="16" s="1"/>
  <c r="AP534" i="16"/>
  <c r="AQ534" i="16" s="1"/>
  <c r="AP538" i="16"/>
  <c r="AQ538" i="16" s="1"/>
  <c r="AP542" i="16"/>
  <c r="AQ542" i="16" s="1"/>
  <c r="AP5" i="16"/>
  <c r="AQ5" i="16" s="1"/>
  <c r="AP1217" i="16"/>
  <c r="AQ1217" i="16" s="1"/>
  <c r="AP1579" i="16"/>
  <c r="AQ1579" i="16" s="1"/>
  <c r="AP586" i="16"/>
  <c r="AQ586" i="16" s="1"/>
  <c r="AP650" i="16"/>
  <c r="AQ650" i="16" s="1"/>
  <c r="AP714" i="16"/>
  <c r="AQ714" i="16" s="1"/>
  <c r="AP778" i="16"/>
  <c r="AQ778" i="16" s="1"/>
  <c r="AP842" i="16"/>
  <c r="AQ842" i="16" s="1"/>
  <c r="AP906" i="16"/>
  <c r="AQ906" i="16" s="1"/>
  <c r="AP970" i="16"/>
  <c r="AQ970" i="16" s="1"/>
  <c r="AP1034" i="16"/>
  <c r="AQ1034" i="16" s="1"/>
  <c r="AP15" i="16"/>
  <c r="AQ15" i="16" s="1"/>
  <c r="AP47" i="16"/>
  <c r="AQ47" i="16" s="1"/>
  <c r="AP63" i="16"/>
  <c r="AQ63" i="16" s="1"/>
  <c r="AP79" i="16"/>
  <c r="AQ79" i="16" s="1"/>
  <c r="AP95" i="16"/>
  <c r="AQ95" i="16" s="1"/>
  <c r="AP111" i="16"/>
  <c r="AQ111" i="16" s="1"/>
  <c r="AP127" i="16"/>
  <c r="AQ127" i="16" s="1"/>
  <c r="AP143" i="16"/>
  <c r="AQ143" i="16" s="1"/>
  <c r="AP159" i="16"/>
  <c r="AQ159" i="16" s="1"/>
  <c r="AP175" i="16"/>
  <c r="AQ175" i="16" s="1"/>
  <c r="AP191" i="16"/>
  <c r="AQ191" i="16" s="1"/>
  <c r="AP207" i="16"/>
  <c r="AQ207" i="16" s="1"/>
  <c r="AP223" i="16"/>
  <c r="AQ223" i="16" s="1"/>
  <c r="AP239" i="16"/>
  <c r="AQ239" i="16" s="1"/>
  <c r="AP255" i="16"/>
  <c r="AQ255" i="16" s="1"/>
  <c r="AP271" i="16"/>
  <c r="AQ271" i="16" s="1"/>
  <c r="AP287" i="16"/>
  <c r="AQ287" i="16" s="1"/>
  <c r="AP303" i="16"/>
  <c r="AQ303" i="16" s="1"/>
  <c r="AP319" i="16"/>
  <c r="AQ319" i="16" s="1"/>
  <c r="AP335" i="16"/>
  <c r="AQ335" i="16" s="1"/>
  <c r="AP351" i="16"/>
  <c r="AQ351" i="16" s="1"/>
  <c r="AP367" i="16"/>
  <c r="AQ367" i="16" s="1"/>
  <c r="AP383" i="16"/>
  <c r="AQ383" i="16" s="1"/>
  <c r="AP399" i="16"/>
  <c r="AQ399" i="16" s="1"/>
  <c r="AP415" i="16"/>
  <c r="AQ415" i="16" s="1"/>
  <c r="AP431" i="16"/>
  <c r="AQ431" i="16" s="1"/>
  <c r="AP447" i="16"/>
  <c r="AQ447" i="16" s="1"/>
  <c r="AP463" i="16"/>
  <c r="AQ463" i="16" s="1"/>
  <c r="AP479" i="16"/>
  <c r="AQ479" i="16" s="1"/>
  <c r="AP495" i="16"/>
  <c r="AQ495" i="16" s="1"/>
  <c r="AP511" i="16"/>
  <c r="AQ511" i="16" s="1"/>
  <c r="AP527" i="16"/>
  <c r="AQ527" i="16" s="1"/>
  <c r="AP543" i="16"/>
  <c r="AQ543" i="16" s="1"/>
  <c r="AP1345" i="16"/>
  <c r="AQ1345" i="16" s="1"/>
  <c r="AP1619" i="16"/>
  <c r="AQ1619" i="16" s="1"/>
  <c r="AP602" i="16"/>
  <c r="AQ602" i="16" s="1"/>
  <c r="AP666" i="16"/>
  <c r="AQ666" i="16" s="1"/>
  <c r="AP730" i="16"/>
  <c r="AQ730" i="16" s="1"/>
  <c r="AP794" i="16"/>
  <c r="AQ794" i="16" s="1"/>
  <c r="AP858" i="16"/>
  <c r="AQ858" i="16" s="1"/>
  <c r="AP922" i="16"/>
  <c r="AQ922" i="16" s="1"/>
  <c r="AP986" i="16"/>
  <c r="AQ986" i="16" s="1"/>
  <c r="AP1050" i="16"/>
  <c r="AQ1050" i="16" s="1"/>
  <c r="AP31" i="16"/>
  <c r="AQ31" i="16" s="1"/>
  <c r="AP51" i="16"/>
  <c r="AQ51" i="16" s="1"/>
  <c r="AP67" i="16"/>
  <c r="AQ67" i="16" s="1"/>
  <c r="AP83" i="16"/>
  <c r="AQ83" i="16" s="1"/>
  <c r="AP99" i="16"/>
  <c r="AQ99" i="16" s="1"/>
  <c r="AP115" i="16"/>
  <c r="AQ115" i="16" s="1"/>
  <c r="AP131" i="16"/>
  <c r="AQ131" i="16" s="1"/>
  <c r="AP147" i="16"/>
  <c r="AQ147" i="16" s="1"/>
  <c r="AP163" i="16"/>
  <c r="AQ163" i="16" s="1"/>
  <c r="AP179" i="16"/>
  <c r="AQ179" i="16" s="1"/>
  <c r="AP195" i="16"/>
  <c r="AQ195" i="16" s="1"/>
  <c r="AP211" i="16"/>
  <c r="AQ211" i="16" s="1"/>
  <c r="AP227" i="16"/>
  <c r="AQ227" i="16" s="1"/>
  <c r="AP243" i="16"/>
  <c r="AQ243" i="16" s="1"/>
  <c r="AP259" i="16"/>
  <c r="AQ259" i="16" s="1"/>
  <c r="AP275" i="16"/>
  <c r="AQ275" i="16" s="1"/>
  <c r="AP291" i="16"/>
  <c r="AQ291" i="16" s="1"/>
  <c r="AP307" i="16"/>
  <c r="AQ307" i="16" s="1"/>
  <c r="AP323" i="16"/>
  <c r="AQ323" i="16" s="1"/>
  <c r="AP339" i="16"/>
  <c r="AQ339" i="16" s="1"/>
  <c r="AP355" i="16"/>
  <c r="AQ355" i="16" s="1"/>
  <c r="AP371" i="16"/>
  <c r="AQ371" i="16" s="1"/>
  <c r="AP387" i="16"/>
  <c r="AQ387" i="16" s="1"/>
  <c r="AP403" i="16"/>
  <c r="AQ403" i="16" s="1"/>
  <c r="AP419" i="16"/>
  <c r="AQ419" i="16" s="1"/>
  <c r="AP435" i="16"/>
  <c r="AQ435" i="16" s="1"/>
  <c r="AP451" i="16"/>
  <c r="AQ451" i="16" s="1"/>
  <c r="AP467" i="16"/>
  <c r="AQ467" i="16" s="1"/>
  <c r="AP483" i="16"/>
  <c r="AQ483" i="16" s="1"/>
  <c r="AP499" i="16"/>
  <c r="AQ499" i="16" s="1"/>
  <c r="AP515" i="16"/>
  <c r="AQ515" i="16" s="1"/>
  <c r="AP531" i="16"/>
  <c r="AQ531" i="16" s="1"/>
  <c r="AP1451" i="16"/>
  <c r="AQ1451" i="16" s="1"/>
  <c r="AP554" i="16"/>
  <c r="AQ554" i="16" s="1"/>
  <c r="AP618" i="16"/>
  <c r="AQ618" i="16" s="1"/>
  <c r="AP682" i="16"/>
  <c r="AQ682" i="16" s="1"/>
  <c r="AP746" i="16"/>
  <c r="AQ746" i="16" s="1"/>
  <c r="AP810" i="16"/>
  <c r="AQ810" i="16" s="1"/>
  <c r="AP874" i="16"/>
  <c r="AQ874" i="16" s="1"/>
  <c r="AP938" i="16"/>
  <c r="AQ938" i="16" s="1"/>
  <c r="AP1002" i="16"/>
  <c r="AQ1002" i="16" s="1"/>
  <c r="AP1066" i="16"/>
  <c r="AQ1066" i="16" s="1"/>
  <c r="AP39" i="16"/>
  <c r="AQ39" i="16" s="1"/>
  <c r="AP55" i="16"/>
  <c r="AQ55" i="16" s="1"/>
  <c r="AP71" i="16"/>
  <c r="AQ71" i="16" s="1"/>
  <c r="AP87" i="16"/>
  <c r="AQ87" i="16" s="1"/>
  <c r="AP103" i="16"/>
  <c r="AQ103" i="16" s="1"/>
  <c r="AP119" i="16"/>
  <c r="AQ119" i="16" s="1"/>
  <c r="AP135" i="16"/>
  <c r="AQ135" i="16" s="1"/>
  <c r="AP151" i="16"/>
  <c r="AQ151" i="16" s="1"/>
  <c r="AP167" i="16"/>
  <c r="AQ167" i="16" s="1"/>
  <c r="AP183" i="16"/>
  <c r="AQ183" i="16" s="1"/>
  <c r="AP199" i="16"/>
  <c r="AQ199" i="16" s="1"/>
  <c r="AP215" i="16"/>
  <c r="AQ215" i="16" s="1"/>
  <c r="AP231" i="16"/>
  <c r="AQ231" i="16" s="1"/>
  <c r="AP247" i="16"/>
  <c r="AQ247" i="16" s="1"/>
  <c r="AP263" i="16"/>
  <c r="AQ263" i="16" s="1"/>
  <c r="AP279" i="16"/>
  <c r="AQ279" i="16" s="1"/>
  <c r="AP295" i="16"/>
  <c r="AQ295" i="16" s="1"/>
  <c r="AP311" i="16"/>
  <c r="AQ311" i="16" s="1"/>
  <c r="AP327" i="16"/>
  <c r="AQ327" i="16" s="1"/>
  <c r="AP343" i="16"/>
  <c r="AQ343" i="16" s="1"/>
  <c r="AP359" i="16"/>
  <c r="AQ359" i="16" s="1"/>
  <c r="AP375" i="16"/>
  <c r="AQ375" i="16" s="1"/>
  <c r="AP391" i="16"/>
  <c r="AQ391" i="16" s="1"/>
  <c r="AP407" i="16"/>
  <c r="AQ407" i="16" s="1"/>
  <c r="AP423" i="16"/>
  <c r="AQ423" i="16" s="1"/>
  <c r="AP439" i="16"/>
  <c r="AQ439" i="16" s="1"/>
  <c r="AP455" i="16"/>
  <c r="AQ455" i="16" s="1"/>
  <c r="AP471" i="16"/>
  <c r="AQ471" i="16" s="1"/>
  <c r="AP487" i="16"/>
  <c r="AQ487" i="16" s="1"/>
  <c r="AP503" i="16"/>
  <c r="AQ503" i="16" s="1"/>
  <c r="AP519" i="16"/>
  <c r="AQ519" i="16" s="1"/>
  <c r="AP535" i="16"/>
  <c r="AQ535" i="16" s="1"/>
  <c r="AP1515" i="16"/>
  <c r="AQ1515" i="16" s="1"/>
  <c r="AP570" i="16"/>
  <c r="AQ570" i="16" s="1"/>
  <c r="AP634" i="16"/>
  <c r="AQ634" i="16" s="1"/>
  <c r="AP698" i="16"/>
  <c r="AQ698" i="16" s="1"/>
  <c r="AP762" i="16"/>
  <c r="AQ762" i="16" s="1"/>
  <c r="AP826" i="16"/>
  <c r="AQ826" i="16" s="1"/>
  <c r="AP890" i="16"/>
  <c r="AQ890" i="16" s="1"/>
  <c r="AP954" i="16"/>
  <c r="AQ954" i="16" s="1"/>
  <c r="AP1018" i="16"/>
  <c r="AQ1018" i="16" s="1"/>
  <c r="AP1082" i="16"/>
  <c r="AQ1082" i="16" s="1"/>
  <c r="AP43" i="16"/>
  <c r="AQ43" i="16" s="1"/>
  <c r="AP59" i="16"/>
  <c r="AQ59" i="16" s="1"/>
  <c r="AP75" i="16"/>
  <c r="AQ75" i="16" s="1"/>
  <c r="AP91" i="16"/>
  <c r="AQ91" i="16" s="1"/>
  <c r="AP107" i="16"/>
  <c r="AQ107" i="16" s="1"/>
  <c r="AP123" i="16"/>
  <c r="AQ123" i="16" s="1"/>
  <c r="AP139" i="16"/>
  <c r="AQ139" i="16" s="1"/>
  <c r="AP155" i="16"/>
  <c r="AQ155" i="16" s="1"/>
  <c r="AP171" i="16"/>
  <c r="AQ171" i="16" s="1"/>
  <c r="AP187" i="16"/>
  <c r="AQ187" i="16" s="1"/>
  <c r="AP203" i="16"/>
  <c r="AQ203" i="16" s="1"/>
  <c r="AP219" i="16"/>
  <c r="AQ219" i="16" s="1"/>
  <c r="AP235" i="16"/>
  <c r="AQ235" i="16" s="1"/>
  <c r="AP251" i="16"/>
  <c r="AQ251" i="16" s="1"/>
  <c r="AP267" i="16"/>
  <c r="AQ267" i="16" s="1"/>
  <c r="AP283" i="16"/>
  <c r="AQ283" i="16" s="1"/>
  <c r="AP299" i="16"/>
  <c r="AQ299" i="16" s="1"/>
  <c r="AP315" i="16"/>
  <c r="AQ315" i="16" s="1"/>
  <c r="AP331" i="16"/>
  <c r="AQ331" i="16" s="1"/>
  <c r="AP347" i="16"/>
  <c r="AQ347" i="16" s="1"/>
  <c r="AP363" i="16"/>
  <c r="AQ363" i="16" s="1"/>
  <c r="AP379" i="16"/>
  <c r="AQ379" i="16" s="1"/>
  <c r="AP395" i="16"/>
  <c r="AQ395" i="16" s="1"/>
  <c r="AP411" i="16"/>
  <c r="AQ411" i="16" s="1"/>
  <c r="AP427" i="16"/>
  <c r="AQ427" i="16" s="1"/>
  <c r="AP443" i="16"/>
  <c r="AQ443" i="16" s="1"/>
  <c r="AP459" i="16"/>
  <c r="AQ459" i="16" s="1"/>
  <c r="AP475" i="16"/>
  <c r="AQ475" i="16" s="1"/>
  <c r="AP491" i="16"/>
  <c r="AQ491" i="16" s="1"/>
  <c r="AP507" i="16"/>
  <c r="AQ507" i="16" s="1"/>
  <c r="AP523" i="16"/>
  <c r="AQ523" i="16" s="1"/>
  <c r="AP539" i="16"/>
  <c r="AQ539" i="16" s="1"/>
  <c r="AQ1150" i="16"/>
  <c r="E1090" i="16" l="1"/>
  <c r="F1090" i="16"/>
  <c r="G1090" i="16"/>
  <c r="H1090" i="16"/>
  <c r="E1091" i="16"/>
  <c r="F1091" i="16"/>
  <c r="G1091" i="16"/>
  <c r="H1091" i="16"/>
  <c r="E1092" i="16"/>
  <c r="F1092" i="16"/>
  <c r="G1092" i="16"/>
  <c r="H1092" i="16"/>
  <c r="E1093" i="16"/>
  <c r="F1093" i="16"/>
  <c r="G1093" i="16"/>
  <c r="H1093" i="16"/>
  <c r="E1094" i="16"/>
  <c r="F1094" i="16"/>
  <c r="G1094" i="16"/>
  <c r="H1094" i="16"/>
  <c r="E1095" i="16"/>
  <c r="F1095" i="16"/>
  <c r="G1095" i="16"/>
  <c r="H1095" i="16"/>
  <c r="E1096" i="16"/>
  <c r="F1096" i="16"/>
  <c r="G1096" i="16"/>
  <c r="H1096" i="16"/>
  <c r="E1097" i="16"/>
  <c r="F1097" i="16"/>
  <c r="G1097" i="16"/>
  <c r="H1097" i="16"/>
  <c r="E1098" i="16"/>
  <c r="F1098" i="16"/>
  <c r="G1098" i="16"/>
  <c r="H1098" i="16"/>
  <c r="E1099" i="16"/>
  <c r="F1099" i="16"/>
  <c r="G1099" i="16"/>
  <c r="H1099" i="16"/>
  <c r="E1100" i="16"/>
  <c r="F1100" i="16"/>
  <c r="G1100" i="16"/>
  <c r="H1100" i="16"/>
  <c r="E1101" i="16"/>
  <c r="F1101" i="16"/>
  <c r="G1101" i="16"/>
  <c r="H1101" i="16"/>
  <c r="E1102" i="16"/>
  <c r="F1102" i="16"/>
  <c r="G1102" i="16"/>
  <c r="H1102" i="16"/>
  <c r="E1103" i="16"/>
  <c r="F1103" i="16"/>
  <c r="G1103" i="16"/>
  <c r="H1103" i="16"/>
  <c r="E1104" i="16"/>
  <c r="F1104" i="16"/>
  <c r="G1104" i="16"/>
  <c r="H1104" i="16"/>
  <c r="E1105" i="16"/>
  <c r="F1105" i="16"/>
  <c r="G1105" i="16"/>
  <c r="H1105" i="16"/>
  <c r="E1106" i="16"/>
  <c r="F1106" i="16"/>
  <c r="G1106" i="16"/>
  <c r="H1106" i="16"/>
  <c r="E1107" i="16"/>
  <c r="F1107" i="16"/>
  <c r="G1107" i="16"/>
  <c r="H1107" i="16"/>
  <c r="E1108" i="16"/>
  <c r="F1108" i="16"/>
  <c r="G1108" i="16"/>
  <c r="H1108" i="16"/>
  <c r="E1109" i="16"/>
  <c r="F1109" i="16"/>
  <c r="G1109" i="16"/>
  <c r="H1109" i="16"/>
  <c r="E1110" i="16"/>
  <c r="F1110" i="16"/>
  <c r="G1110" i="16"/>
  <c r="H1110" i="16"/>
  <c r="E1111" i="16"/>
  <c r="F1111" i="16"/>
  <c r="G1111" i="16"/>
  <c r="H1111" i="16"/>
  <c r="E1112" i="16"/>
  <c r="F1112" i="16"/>
  <c r="G1112" i="16"/>
  <c r="H1112" i="16"/>
  <c r="E1113" i="16"/>
  <c r="F1113" i="16"/>
  <c r="G1113" i="16"/>
  <c r="H1113" i="16"/>
  <c r="E1114" i="16"/>
  <c r="F1114" i="16"/>
  <c r="G1114" i="16"/>
  <c r="H1114" i="16"/>
  <c r="E1115" i="16"/>
  <c r="F1115" i="16"/>
  <c r="G1115" i="16"/>
  <c r="H1115" i="16"/>
  <c r="E1116" i="16"/>
  <c r="F1116" i="16"/>
  <c r="G1116" i="16"/>
  <c r="H1116" i="16"/>
  <c r="E1117" i="16"/>
  <c r="F1117" i="16"/>
  <c r="G1117" i="16"/>
  <c r="H1117" i="16"/>
  <c r="E1118" i="16"/>
  <c r="F1118" i="16"/>
  <c r="G1118" i="16"/>
  <c r="H1118" i="16"/>
  <c r="E1119" i="16"/>
  <c r="F1119" i="16"/>
  <c r="G1119" i="16"/>
  <c r="H1119" i="16"/>
  <c r="E1120" i="16"/>
  <c r="F1120" i="16"/>
  <c r="G1120" i="16"/>
  <c r="H1120" i="16"/>
  <c r="E1121" i="16"/>
  <c r="F1121" i="16"/>
  <c r="G1121" i="16"/>
  <c r="H1121" i="16"/>
  <c r="E1122" i="16"/>
  <c r="F1122" i="16"/>
  <c r="G1122" i="16"/>
  <c r="H1122" i="16"/>
  <c r="E1123" i="16"/>
  <c r="F1123" i="16"/>
  <c r="G1123" i="16"/>
  <c r="H1123" i="16"/>
  <c r="E1124" i="16"/>
  <c r="F1124" i="16"/>
  <c r="G1124" i="16"/>
  <c r="H1124" i="16"/>
  <c r="E1125" i="16"/>
  <c r="F1125" i="16"/>
  <c r="G1125" i="16"/>
  <c r="H1125" i="16"/>
  <c r="E1126" i="16"/>
  <c r="F1126" i="16"/>
  <c r="G1126" i="16"/>
  <c r="H1126" i="16"/>
  <c r="E1127" i="16"/>
  <c r="F1127" i="16"/>
  <c r="G1127" i="16"/>
  <c r="H1127" i="16"/>
  <c r="E1128" i="16"/>
  <c r="F1128" i="16"/>
  <c r="G1128" i="16"/>
  <c r="H1128" i="16"/>
  <c r="E1129" i="16"/>
  <c r="F1129" i="16"/>
  <c r="G1129" i="16"/>
  <c r="H1129" i="16"/>
  <c r="E1130" i="16"/>
  <c r="F1130" i="16"/>
  <c r="G1130" i="16"/>
  <c r="H1130" i="16"/>
  <c r="E1131" i="16"/>
  <c r="F1131" i="16"/>
  <c r="G1131" i="16"/>
  <c r="H1131" i="16"/>
  <c r="E1132" i="16"/>
  <c r="F1132" i="16"/>
  <c r="G1132" i="16"/>
  <c r="H1132" i="16"/>
  <c r="E1133" i="16"/>
  <c r="F1133" i="16"/>
  <c r="G1133" i="16"/>
  <c r="H1133" i="16"/>
  <c r="E1134" i="16"/>
  <c r="F1134" i="16"/>
  <c r="G1134" i="16"/>
  <c r="H1134" i="16"/>
  <c r="E1135" i="16"/>
  <c r="F1135" i="16"/>
  <c r="G1135" i="16"/>
  <c r="H1135" i="16"/>
  <c r="E1136" i="16"/>
  <c r="F1136" i="16"/>
  <c r="G1136" i="16"/>
  <c r="H1136" i="16"/>
  <c r="E1137" i="16"/>
  <c r="F1137" i="16"/>
  <c r="G1137" i="16"/>
  <c r="H1137" i="16"/>
  <c r="E1138" i="16"/>
  <c r="F1138" i="16"/>
  <c r="G1138" i="16"/>
  <c r="H1138" i="16"/>
  <c r="E1139" i="16"/>
  <c r="F1139" i="16"/>
  <c r="G1139" i="16"/>
  <c r="H1139" i="16"/>
  <c r="E1140" i="16"/>
  <c r="F1140" i="16"/>
  <c r="G1140" i="16"/>
  <c r="H1140" i="16"/>
  <c r="E1141" i="16"/>
  <c r="F1141" i="16"/>
  <c r="G1141" i="16"/>
  <c r="H1141" i="16"/>
  <c r="E1142" i="16"/>
  <c r="F1142" i="16"/>
  <c r="G1142" i="16"/>
  <c r="H1142" i="16"/>
  <c r="E1143" i="16"/>
  <c r="F1143" i="16"/>
  <c r="G1143" i="16"/>
  <c r="H1143" i="16"/>
  <c r="E1144" i="16"/>
  <c r="F1144" i="16"/>
  <c r="G1144" i="16"/>
  <c r="H1144" i="16"/>
  <c r="E1145" i="16"/>
  <c r="F1145" i="16"/>
  <c r="G1145" i="16"/>
  <c r="H1145" i="16"/>
  <c r="E1146" i="16"/>
  <c r="F1146" i="16"/>
  <c r="G1146" i="16"/>
  <c r="H1146" i="16"/>
  <c r="E1147" i="16"/>
  <c r="F1147" i="16"/>
  <c r="G1147" i="16"/>
  <c r="H1147" i="16"/>
  <c r="E1148" i="16"/>
  <c r="F1148" i="16"/>
  <c r="G1148" i="16"/>
  <c r="H1148" i="16"/>
  <c r="E1149" i="16"/>
  <c r="F1149" i="16"/>
  <c r="G1149" i="16"/>
  <c r="H1149" i="16"/>
  <c r="E1150" i="16"/>
  <c r="F1150" i="16"/>
  <c r="G1150" i="16"/>
  <c r="H1150" i="16"/>
  <c r="E1151" i="16"/>
  <c r="F1151" i="16"/>
  <c r="G1151" i="16"/>
  <c r="H1151" i="16"/>
  <c r="E1152" i="16"/>
  <c r="F1152" i="16"/>
  <c r="G1152" i="16"/>
  <c r="H1152" i="16"/>
  <c r="E1153" i="16"/>
  <c r="F1153" i="16"/>
  <c r="G1153" i="16"/>
  <c r="H1153" i="16"/>
  <c r="E1154" i="16"/>
  <c r="F1154" i="16"/>
  <c r="G1154" i="16"/>
  <c r="H1154" i="16"/>
  <c r="E1155" i="16"/>
  <c r="F1155" i="16"/>
  <c r="G1155" i="16"/>
  <c r="H1155" i="16"/>
  <c r="E1156" i="16"/>
  <c r="F1156" i="16"/>
  <c r="G1156" i="16"/>
  <c r="H1156" i="16"/>
  <c r="E1157" i="16"/>
  <c r="F1157" i="16"/>
  <c r="G1157" i="16"/>
  <c r="H1157" i="16"/>
  <c r="E1158" i="16"/>
  <c r="F1158" i="16"/>
  <c r="G1158" i="16"/>
  <c r="H1158" i="16"/>
  <c r="E1159" i="16"/>
  <c r="F1159" i="16"/>
  <c r="G1159" i="16"/>
  <c r="H1159" i="16"/>
  <c r="E1160" i="16"/>
  <c r="F1160" i="16"/>
  <c r="G1160" i="16"/>
  <c r="H1160" i="16"/>
  <c r="E1161" i="16"/>
  <c r="F1161" i="16"/>
  <c r="G1161" i="16"/>
  <c r="H1161" i="16"/>
  <c r="E1162" i="16"/>
  <c r="F1162" i="16"/>
  <c r="G1162" i="16"/>
  <c r="H1162" i="16"/>
  <c r="E1163" i="16"/>
  <c r="F1163" i="16"/>
  <c r="G1163" i="16"/>
  <c r="H1163" i="16"/>
  <c r="E1164" i="16"/>
  <c r="F1164" i="16"/>
  <c r="G1164" i="16"/>
  <c r="H1164" i="16"/>
  <c r="E1165" i="16"/>
  <c r="F1165" i="16"/>
  <c r="G1165" i="16"/>
  <c r="H1165" i="16"/>
  <c r="E1166" i="16"/>
  <c r="F1166" i="16"/>
  <c r="G1166" i="16"/>
  <c r="H1166" i="16"/>
  <c r="E1167" i="16"/>
  <c r="F1167" i="16"/>
  <c r="G1167" i="16"/>
  <c r="H1167" i="16"/>
  <c r="E1168" i="16"/>
  <c r="F1168" i="16"/>
  <c r="G1168" i="16"/>
  <c r="H1168" i="16"/>
  <c r="E1169" i="16"/>
  <c r="F1169" i="16"/>
  <c r="G1169" i="16"/>
  <c r="H1169" i="16"/>
  <c r="E1170" i="16"/>
  <c r="F1170" i="16"/>
  <c r="G1170" i="16"/>
  <c r="H1170" i="16"/>
  <c r="E1171" i="16"/>
  <c r="F1171" i="16"/>
  <c r="G1171" i="16"/>
  <c r="H1171" i="16"/>
  <c r="E1172" i="16"/>
  <c r="F1172" i="16"/>
  <c r="G1172" i="16"/>
  <c r="H1172" i="16"/>
  <c r="E1173" i="16"/>
  <c r="F1173" i="16"/>
  <c r="G1173" i="16"/>
  <c r="H1173" i="16"/>
  <c r="E1174" i="16"/>
  <c r="F1174" i="16"/>
  <c r="G1174" i="16"/>
  <c r="H1174" i="16"/>
  <c r="E1175" i="16"/>
  <c r="F1175" i="16"/>
  <c r="G1175" i="16"/>
  <c r="H1175" i="16"/>
  <c r="E1176" i="16"/>
  <c r="F1176" i="16"/>
  <c r="G1176" i="16"/>
  <c r="H1176" i="16"/>
  <c r="E1177" i="16"/>
  <c r="F1177" i="16"/>
  <c r="G1177" i="16"/>
  <c r="H1177" i="16"/>
  <c r="E1178" i="16"/>
  <c r="F1178" i="16"/>
  <c r="G1178" i="16"/>
  <c r="H1178" i="16"/>
  <c r="E1179" i="16"/>
  <c r="F1179" i="16"/>
  <c r="G1179" i="16"/>
  <c r="H1179" i="16"/>
  <c r="E1180" i="16"/>
  <c r="F1180" i="16"/>
  <c r="G1180" i="16"/>
  <c r="H1180" i="16"/>
  <c r="E1181" i="16"/>
  <c r="F1181" i="16"/>
  <c r="G1181" i="16"/>
  <c r="H1181" i="16"/>
  <c r="E1182" i="16"/>
  <c r="F1182" i="16"/>
  <c r="G1182" i="16"/>
  <c r="H1182" i="16"/>
  <c r="E1183" i="16"/>
  <c r="F1183" i="16"/>
  <c r="G1183" i="16"/>
  <c r="H1183" i="16"/>
  <c r="E1184" i="16"/>
  <c r="F1184" i="16"/>
  <c r="G1184" i="16"/>
  <c r="H1184" i="16"/>
  <c r="E1185" i="16"/>
  <c r="F1185" i="16"/>
  <c r="G1185" i="16"/>
  <c r="H1185" i="16"/>
  <c r="E1186" i="16"/>
  <c r="F1186" i="16"/>
  <c r="G1186" i="16"/>
  <c r="H1186" i="16"/>
  <c r="E1187" i="16"/>
  <c r="F1187" i="16"/>
  <c r="G1187" i="16"/>
  <c r="H1187" i="16"/>
  <c r="E1188" i="16"/>
  <c r="F1188" i="16"/>
  <c r="G1188" i="16"/>
  <c r="H1188" i="16"/>
  <c r="E1189" i="16"/>
  <c r="F1189" i="16"/>
  <c r="G1189" i="16"/>
  <c r="H1189" i="16"/>
  <c r="E1190" i="16"/>
  <c r="F1190" i="16"/>
  <c r="G1190" i="16"/>
  <c r="H1190" i="16"/>
  <c r="E1191" i="16"/>
  <c r="F1191" i="16"/>
  <c r="G1191" i="16"/>
  <c r="H1191" i="16"/>
  <c r="E1192" i="16"/>
  <c r="F1192" i="16"/>
  <c r="G1192" i="16"/>
  <c r="H1192" i="16"/>
  <c r="E1193" i="16"/>
  <c r="F1193" i="16"/>
  <c r="G1193" i="16"/>
  <c r="H1193" i="16"/>
  <c r="E1194" i="16"/>
  <c r="F1194" i="16"/>
  <c r="G1194" i="16"/>
  <c r="H1194" i="16"/>
  <c r="E1195" i="16"/>
  <c r="F1195" i="16"/>
  <c r="G1195" i="16"/>
  <c r="H1195" i="16"/>
  <c r="E1196" i="16"/>
  <c r="F1196" i="16"/>
  <c r="G1196" i="16"/>
  <c r="H1196" i="16"/>
  <c r="E1197" i="16"/>
  <c r="F1197" i="16"/>
  <c r="G1197" i="16"/>
  <c r="H1197" i="16"/>
  <c r="E1198" i="16"/>
  <c r="F1198" i="16"/>
  <c r="G1198" i="16"/>
  <c r="H1198" i="16"/>
  <c r="E1199" i="16"/>
  <c r="F1199" i="16"/>
  <c r="G1199" i="16"/>
  <c r="H1199" i="16"/>
  <c r="E1200" i="16"/>
  <c r="F1200" i="16"/>
  <c r="G1200" i="16"/>
  <c r="H1200" i="16"/>
  <c r="E1201" i="16"/>
  <c r="F1201" i="16"/>
  <c r="G1201" i="16"/>
  <c r="H1201" i="16"/>
  <c r="E1202" i="16"/>
  <c r="F1202" i="16"/>
  <c r="G1202" i="16"/>
  <c r="H1202" i="16"/>
  <c r="E1203" i="16"/>
  <c r="F1203" i="16"/>
  <c r="G1203" i="16"/>
  <c r="H1203" i="16"/>
  <c r="E1204" i="16"/>
  <c r="F1204" i="16"/>
  <c r="G1204" i="16"/>
  <c r="H1204" i="16"/>
  <c r="E1205" i="16"/>
  <c r="F1205" i="16"/>
  <c r="G1205" i="16"/>
  <c r="H1205" i="16"/>
  <c r="E1206" i="16"/>
  <c r="F1206" i="16"/>
  <c r="G1206" i="16"/>
  <c r="H1206" i="16"/>
  <c r="E1207" i="16"/>
  <c r="F1207" i="16"/>
  <c r="G1207" i="16"/>
  <c r="H1207" i="16"/>
  <c r="E1208" i="16"/>
  <c r="F1208" i="16"/>
  <c r="G1208" i="16"/>
  <c r="H1208" i="16"/>
  <c r="E1209" i="16"/>
  <c r="F1209" i="16"/>
  <c r="G1209" i="16"/>
  <c r="H1209" i="16"/>
  <c r="E1210" i="16"/>
  <c r="F1210" i="16"/>
  <c r="G1210" i="16"/>
  <c r="H1210" i="16"/>
  <c r="E1211" i="16"/>
  <c r="F1211" i="16"/>
  <c r="G1211" i="16"/>
  <c r="H1211" i="16"/>
  <c r="E1212" i="16"/>
  <c r="F1212" i="16"/>
  <c r="G1212" i="16"/>
  <c r="H1212" i="16"/>
  <c r="E1213" i="16"/>
  <c r="F1213" i="16"/>
  <c r="G1213" i="16"/>
  <c r="H1213" i="16"/>
  <c r="E1214" i="16"/>
  <c r="F1214" i="16"/>
  <c r="G1214" i="16"/>
  <c r="H1214" i="16"/>
  <c r="E1215" i="16"/>
  <c r="F1215" i="16"/>
  <c r="G1215" i="16"/>
  <c r="H1215" i="16"/>
  <c r="E1216" i="16"/>
  <c r="F1216" i="16"/>
  <c r="G1216" i="16"/>
  <c r="H1216" i="16"/>
  <c r="E1217" i="16"/>
  <c r="F1217" i="16"/>
  <c r="G1217" i="16"/>
  <c r="H1217" i="16"/>
  <c r="E1218" i="16"/>
  <c r="F1218" i="16"/>
  <c r="G1218" i="16"/>
  <c r="H1218" i="16"/>
  <c r="E1219" i="16"/>
  <c r="F1219" i="16"/>
  <c r="G1219" i="16"/>
  <c r="H1219" i="16"/>
  <c r="E1220" i="16"/>
  <c r="F1220" i="16"/>
  <c r="G1220" i="16"/>
  <c r="H1220" i="16"/>
  <c r="E1221" i="16"/>
  <c r="F1221" i="16"/>
  <c r="G1221" i="16"/>
  <c r="H1221" i="16"/>
  <c r="E1222" i="16"/>
  <c r="F1222" i="16"/>
  <c r="G1222" i="16"/>
  <c r="H1222" i="16"/>
  <c r="E1223" i="16"/>
  <c r="F1223" i="16"/>
  <c r="G1223" i="16"/>
  <c r="H1223" i="16"/>
  <c r="E1224" i="16"/>
  <c r="F1224" i="16"/>
  <c r="G1224" i="16"/>
  <c r="H1224" i="16"/>
  <c r="E1225" i="16"/>
  <c r="F1225" i="16"/>
  <c r="G1225" i="16"/>
  <c r="H1225" i="16"/>
  <c r="E1226" i="16"/>
  <c r="F1226" i="16"/>
  <c r="G1226" i="16"/>
  <c r="H1226" i="16"/>
  <c r="E1227" i="16"/>
  <c r="F1227" i="16"/>
  <c r="G1227" i="16"/>
  <c r="H1227" i="16"/>
  <c r="E1228" i="16"/>
  <c r="F1228" i="16"/>
  <c r="G1228" i="16"/>
  <c r="H1228" i="16"/>
  <c r="E1229" i="16"/>
  <c r="F1229" i="16"/>
  <c r="G1229" i="16"/>
  <c r="H1229" i="16"/>
  <c r="E1230" i="16"/>
  <c r="F1230" i="16"/>
  <c r="G1230" i="16"/>
  <c r="H1230" i="16"/>
  <c r="E1231" i="16"/>
  <c r="F1231" i="16"/>
  <c r="G1231" i="16"/>
  <c r="H1231" i="16"/>
  <c r="E1232" i="16"/>
  <c r="F1232" i="16"/>
  <c r="G1232" i="16"/>
  <c r="H1232" i="16"/>
  <c r="E1233" i="16"/>
  <c r="F1233" i="16"/>
  <c r="G1233" i="16"/>
  <c r="H1233" i="16"/>
  <c r="E1234" i="16"/>
  <c r="F1234" i="16"/>
  <c r="G1234" i="16"/>
  <c r="H1234" i="16"/>
  <c r="E1235" i="16"/>
  <c r="F1235" i="16"/>
  <c r="G1235" i="16"/>
  <c r="H1235" i="16"/>
  <c r="E1236" i="16"/>
  <c r="F1236" i="16"/>
  <c r="G1236" i="16"/>
  <c r="H1236" i="16"/>
  <c r="E1237" i="16"/>
  <c r="F1237" i="16"/>
  <c r="G1237" i="16"/>
  <c r="H1237" i="16"/>
  <c r="E1238" i="16"/>
  <c r="F1238" i="16"/>
  <c r="G1238" i="16"/>
  <c r="H1238" i="16"/>
  <c r="E1239" i="16"/>
  <c r="F1239" i="16"/>
  <c r="G1239" i="16"/>
  <c r="H1239" i="16"/>
  <c r="E1240" i="16"/>
  <c r="F1240" i="16"/>
  <c r="G1240" i="16"/>
  <c r="H1240" i="16"/>
  <c r="E1241" i="16"/>
  <c r="F1241" i="16"/>
  <c r="G1241" i="16"/>
  <c r="H1241" i="16"/>
  <c r="E1242" i="16"/>
  <c r="F1242" i="16"/>
  <c r="G1242" i="16"/>
  <c r="H1242" i="16"/>
  <c r="E1243" i="16"/>
  <c r="F1243" i="16"/>
  <c r="G1243" i="16"/>
  <c r="H1243" i="16"/>
  <c r="E1244" i="16"/>
  <c r="F1244" i="16"/>
  <c r="G1244" i="16"/>
  <c r="H1244" i="16"/>
  <c r="E1245" i="16"/>
  <c r="F1245" i="16"/>
  <c r="G1245" i="16"/>
  <c r="H1245" i="16"/>
  <c r="E1246" i="16"/>
  <c r="F1246" i="16"/>
  <c r="G1246" i="16"/>
  <c r="H1246" i="16"/>
  <c r="E1247" i="16"/>
  <c r="F1247" i="16"/>
  <c r="G1247" i="16"/>
  <c r="H1247" i="16"/>
  <c r="E1248" i="16"/>
  <c r="F1248" i="16"/>
  <c r="G1248" i="16"/>
  <c r="H1248" i="16"/>
  <c r="E1249" i="16"/>
  <c r="F1249" i="16"/>
  <c r="G1249" i="16"/>
  <c r="H1249" i="16"/>
  <c r="E1250" i="16"/>
  <c r="F1250" i="16"/>
  <c r="G1250" i="16"/>
  <c r="H1250" i="16"/>
  <c r="E1251" i="16"/>
  <c r="F1251" i="16"/>
  <c r="G1251" i="16"/>
  <c r="H1251" i="16"/>
  <c r="E1252" i="16"/>
  <c r="F1252" i="16"/>
  <c r="G1252" i="16"/>
  <c r="H1252" i="16"/>
  <c r="E1253" i="16"/>
  <c r="F1253" i="16"/>
  <c r="G1253" i="16"/>
  <c r="H1253" i="16"/>
  <c r="E1254" i="16"/>
  <c r="F1254" i="16"/>
  <c r="G1254" i="16"/>
  <c r="H1254" i="16"/>
  <c r="E1255" i="16"/>
  <c r="F1255" i="16"/>
  <c r="G1255" i="16"/>
  <c r="H1255" i="16"/>
  <c r="E1256" i="16"/>
  <c r="F1256" i="16"/>
  <c r="G1256" i="16"/>
  <c r="H1256" i="16"/>
  <c r="E1257" i="16"/>
  <c r="F1257" i="16"/>
  <c r="G1257" i="16"/>
  <c r="H1257" i="16"/>
  <c r="E1258" i="16"/>
  <c r="F1258" i="16"/>
  <c r="G1258" i="16"/>
  <c r="H1258" i="16"/>
  <c r="E1259" i="16"/>
  <c r="F1259" i="16"/>
  <c r="G1259" i="16"/>
  <c r="H1259" i="16"/>
  <c r="E1260" i="16"/>
  <c r="F1260" i="16"/>
  <c r="G1260" i="16"/>
  <c r="H1260" i="16"/>
  <c r="E1261" i="16"/>
  <c r="F1261" i="16"/>
  <c r="G1261" i="16"/>
  <c r="H1261" i="16"/>
  <c r="E1262" i="16"/>
  <c r="F1262" i="16"/>
  <c r="G1262" i="16"/>
  <c r="H1262" i="16"/>
  <c r="E1263" i="16"/>
  <c r="F1263" i="16"/>
  <c r="G1263" i="16"/>
  <c r="H1263" i="16"/>
  <c r="E1264" i="16"/>
  <c r="F1264" i="16"/>
  <c r="G1264" i="16"/>
  <c r="H1264" i="16"/>
  <c r="E1265" i="16"/>
  <c r="F1265" i="16"/>
  <c r="G1265" i="16"/>
  <c r="H1265" i="16"/>
  <c r="E1266" i="16"/>
  <c r="F1266" i="16"/>
  <c r="G1266" i="16"/>
  <c r="H1266" i="16"/>
  <c r="E1267" i="16"/>
  <c r="F1267" i="16"/>
  <c r="G1267" i="16"/>
  <c r="H1267" i="16"/>
  <c r="E1268" i="16"/>
  <c r="F1268" i="16"/>
  <c r="G1268" i="16"/>
  <c r="H1268" i="16"/>
  <c r="E1269" i="16"/>
  <c r="F1269" i="16"/>
  <c r="G1269" i="16"/>
  <c r="H1269" i="16"/>
  <c r="E1270" i="16"/>
  <c r="F1270" i="16"/>
  <c r="G1270" i="16"/>
  <c r="H1270" i="16"/>
  <c r="E1271" i="16"/>
  <c r="F1271" i="16"/>
  <c r="G1271" i="16"/>
  <c r="H1271" i="16"/>
  <c r="E1272" i="16"/>
  <c r="F1272" i="16"/>
  <c r="G1272" i="16"/>
  <c r="H1272" i="16"/>
  <c r="E1273" i="16"/>
  <c r="F1273" i="16"/>
  <c r="G1273" i="16"/>
  <c r="H1273" i="16"/>
  <c r="E1274" i="16"/>
  <c r="F1274" i="16"/>
  <c r="G1274" i="16"/>
  <c r="H1274" i="16"/>
  <c r="E1275" i="16"/>
  <c r="F1275" i="16"/>
  <c r="G1275" i="16"/>
  <c r="H1275" i="16"/>
  <c r="E1276" i="16"/>
  <c r="F1276" i="16"/>
  <c r="G1276" i="16"/>
  <c r="H1276" i="16"/>
  <c r="E1277" i="16"/>
  <c r="F1277" i="16"/>
  <c r="G1277" i="16"/>
  <c r="H1277" i="16"/>
  <c r="E1278" i="16"/>
  <c r="F1278" i="16"/>
  <c r="G1278" i="16"/>
  <c r="H1278" i="16"/>
  <c r="E1279" i="16"/>
  <c r="F1279" i="16"/>
  <c r="G1279" i="16"/>
  <c r="H1279" i="16"/>
  <c r="E1280" i="16"/>
  <c r="F1280" i="16"/>
  <c r="G1280" i="16"/>
  <c r="H1280" i="16"/>
  <c r="E1281" i="16"/>
  <c r="F1281" i="16"/>
  <c r="G1281" i="16"/>
  <c r="H1281" i="16"/>
  <c r="E1282" i="16"/>
  <c r="F1282" i="16"/>
  <c r="G1282" i="16"/>
  <c r="H1282" i="16"/>
  <c r="E1283" i="16"/>
  <c r="F1283" i="16"/>
  <c r="G1283" i="16"/>
  <c r="H1283" i="16"/>
  <c r="E1284" i="16"/>
  <c r="F1284" i="16"/>
  <c r="G1284" i="16"/>
  <c r="H1284" i="16"/>
  <c r="E1285" i="16"/>
  <c r="F1285" i="16"/>
  <c r="G1285" i="16"/>
  <c r="H1285" i="16"/>
  <c r="E1286" i="16"/>
  <c r="F1286" i="16"/>
  <c r="G1286" i="16"/>
  <c r="H1286" i="16"/>
  <c r="E1287" i="16"/>
  <c r="F1287" i="16"/>
  <c r="G1287" i="16"/>
  <c r="H1287" i="16"/>
  <c r="E1288" i="16"/>
  <c r="F1288" i="16"/>
  <c r="G1288" i="16"/>
  <c r="H1288" i="16"/>
  <c r="E1289" i="16"/>
  <c r="F1289" i="16"/>
  <c r="G1289" i="16"/>
  <c r="H1289" i="16"/>
  <c r="E1290" i="16"/>
  <c r="F1290" i="16"/>
  <c r="G1290" i="16"/>
  <c r="H1290" i="16"/>
  <c r="E1291" i="16"/>
  <c r="F1291" i="16"/>
  <c r="G1291" i="16"/>
  <c r="H1291" i="16"/>
  <c r="E1292" i="16"/>
  <c r="F1292" i="16"/>
  <c r="G1292" i="16"/>
  <c r="H1292" i="16"/>
  <c r="E1293" i="16"/>
  <c r="F1293" i="16"/>
  <c r="G1293" i="16"/>
  <c r="H1293" i="16"/>
  <c r="E1294" i="16"/>
  <c r="F1294" i="16"/>
  <c r="G1294" i="16"/>
  <c r="H1294" i="16"/>
  <c r="E1295" i="16"/>
  <c r="F1295" i="16"/>
  <c r="G1295" i="16"/>
  <c r="H1295" i="16"/>
  <c r="E1296" i="16"/>
  <c r="F1296" i="16"/>
  <c r="G1296" i="16"/>
  <c r="H1296" i="16"/>
  <c r="E1297" i="16"/>
  <c r="F1297" i="16"/>
  <c r="G1297" i="16"/>
  <c r="H1297" i="16"/>
  <c r="E1298" i="16"/>
  <c r="F1298" i="16"/>
  <c r="G1298" i="16"/>
  <c r="H1298" i="16"/>
  <c r="E1299" i="16"/>
  <c r="F1299" i="16"/>
  <c r="G1299" i="16"/>
  <c r="H1299" i="16"/>
  <c r="E1300" i="16"/>
  <c r="F1300" i="16"/>
  <c r="G1300" i="16"/>
  <c r="H1300" i="16"/>
  <c r="E1301" i="16"/>
  <c r="F1301" i="16"/>
  <c r="G1301" i="16"/>
  <c r="H1301" i="16"/>
  <c r="E1302" i="16"/>
  <c r="F1302" i="16"/>
  <c r="G1302" i="16"/>
  <c r="H1302" i="16"/>
  <c r="E1303" i="16"/>
  <c r="F1303" i="16"/>
  <c r="G1303" i="16"/>
  <c r="H1303" i="16"/>
  <c r="E1304" i="16"/>
  <c r="F1304" i="16"/>
  <c r="G1304" i="16"/>
  <c r="H1304" i="16"/>
  <c r="E1305" i="16"/>
  <c r="F1305" i="16"/>
  <c r="G1305" i="16"/>
  <c r="H1305" i="16"/>
  <c r="E1306" i="16"/>
  <c r="F1306" i="16"/>
  <c r="G1306" i="16"/>
  <c r="H1306" i="16"/>
  <c r="E1307" i="16"/>
  <c r="F1307" i="16"/>
  <c r="G1307" i="16"/>
  <c r="H1307" i="16"/>
  <c r="E1308" i="16"/>
  <c r="F1308" i="16"/>
  <c r="G1308" i="16"/>
  <c r="H1308" i="16"/>
  <c r="E1309" i="16"/>
  <c r="F1309" i="16"/>
  <c r="G1309" i="16"/>
  <c r="H1309" i="16"/>
  <c r="E1310" i="16"/>
  <c r="F1310" i="16"/>
  <c r="G1310" i="16"/>
  <c r="H1310" i="16"/>
  <c r="E1311" i="16"/>
  <c r="F1311" i="16"/>
  <c r="G1311" i="16"/>
  <c r="H1311" i="16"/>
  <c r="E1312" i="16"/>
  <c r="F1312" i="16"/>
  <c r="G1312" i="16"/>
  <c r="H1312" i="16"/>
  <c r="E1313" i="16"/>
  <c r="F1313" i="16"/>
  <c r="G1313" i="16"/>
  <c r="H1313" i="16"/>
  <c r="E1314" i="16"/>
  <c r="F1314" i="16"/>
  <c r="G1314" i="16"/>
  <c r="H1314" i="16"/>
  <c r="E1315" i="16"/>
  <c r="F1315" i="16"/>
  <c r="G1315" i="16"/>
  <c r="H1315" i="16"/>
  <c r="E1316" i="16"/>
  <c r="F1316" i="16"/>
  <c r="G1316" i="16"/>
  <c r="H1316" i="16"/>
  <c r="E1317" i="16"/>
  <c r="F1317" i="16"/>
  <c r="G1317" i="16"/>
  <c r="H1317" i="16"/>
  <c r="E1318" i="16"/>
  <c r="F1318" i="16"/>
  <c r="G1318" i="16"/>
  <c r="H1318" i="16"/>
  <c r="E1319" i="16"/>
  <c r="F1319" i="16"/>
  <c r="G1319" i="16"/>
  <c r="H1319" i="16"/>
  <c r="E1320" i="16"/>
  <c r="F1320" i="16"/>
  <c r="G1320" i="16"/>
  <c r="H1320" i="16"/>
  <c r="E1321" i="16"/>
  <c r="F1321" i="16"/>
  <c r="G1321" i="16"/>
  <c r="H1321" i="16"/>
  <c r="E1322" i="16"/>
  <c r="F1322" i="16"/>
  <c r="G1322" i="16"/>
  <c r="H1322" i="16"/>
  <c r="E1323" i="16"/>
  <c r="F1323" i="16"/>
  <c r="G1323" i="16"/>
  <c r="H1323" i="16"/>
  <c r="E1324" i="16"/>
  <c r="F1324" i="16"/>
  <c r="G1324" i="16"/>
  <c r="H1324" i="16"/>
  <c r="E1325" i="16"/>
  <c r="F1325" i="16"/>
  <c r="G1325" i="16"/>
  <c r="H1325" i="16"/>
  <c r="E1326" i="16"/>
  <c r="F1326" i="16"/>
  <c r="G1326" i="16"/>
  <c r="H1326" i="16"/>
  <c r="E1327" i="16"/>
  <c r="F1327" i="16"/>
  <c r="G1327" i="16"/>
  <c r="H1327" i="16"/>
  <c r="E1328" i="16"/>
  <c r="F1328" i="16"/>
  <c r="G1328" i="16"/>
  <c r="H1328" i="16"/>
  <c r="E1329" i="16"/>
  <c r="F1329" i="16"/>
  <c r="G1329" i="16"/>
  <c r="H1329" i="16"/>
  <c r="E1330" i="16"/>
  <c r="F1330" i="16"/>
  <c r="G1330" i="16"/>
  <c r="H1330" i="16"/>
  <c r="E1331" i="16"/>
  <c r="F1331" i="16"/>
  <c r="G1331" i="16"/>
  <c r="H1331" i="16"/>
  <c r="E1332" i="16"/>
  <c r="F1332" i="16"/>
  <c r="G1332" i="16"/>
  <c r="H1332" i="16"/>
  <c r="E1333" i="16"/>
  <c r="F1333" i="16"/>
  <c r="G1333" i="16"/>
  <c r="H1333" i="16"/>
  <c r="E1334" i="16"/>
  <c r="F1334" i="16"/>
  <c r="G1334" i="16"/>
  <c r="H1334" i="16"/>
  <c r="E1335" i="16"/>
  <c r="F1335" i="16"/>
  <c r="G1335" i="16"/>
  <c r="H1335" i="16"/>
  <c r="E1336" i="16"/>
  <c r="F1336" i="16"/>
  <c r="G1336" i="16"/>
  <c r="H1336" i="16"/>
  <c r="E1337" i="16"/>
  <c r="F1337" i="16"/>
  <c r="G1337" i="16"/>
  <c r="H1337" i="16"/>
  <c r="E1338" i="16"/>
  <c r="F1338" i="16"/>
  <c r="G1338" i="16"/>
  <c r="H1338" i="16"/>
  <c r="E1339" i="16"/>
  <c r="F1339" i="16"/>
  <c r="G1339" i="16"/>
  <c r="H1339" i="16"/>
  <c r="E1340" i="16"/>
  <c r="F1340" i="16"/>
  <c r="G1340" i="16"/>
  <c r="H1340" i="16"/>
  <c r="E1341" i="16"/>
  <c r="F1341" i="16"/>
  <c r="G1341" i="16"/>
  <c r="H1341" i="16"/>
  <c r="E1342" i="16"/>
  <c r="F1342" i="16"/>
  <c r="G1342" i="16"/>
  <c r="H1342" i="16"/>
  <c r="E1343" i="16"/>
  <c r="F1343" i="16"/>
  <c r="G1343" i="16"/>
  <c r="H1343" i="16"/>
  <c r="E1344" i="16"/>
  <c r="F1344" i="16"/>
  <c r="G1344" i="16"/>
  <c r="H1344" i="16"/>
  <c r="E1345" i="16"/>
  <c r="F1345" i="16"/>
  <c r="G1345" i="16"/>
  <c r="H1345" i="16"/>
  <c r="E1346" i="16"/>
  <c r="F1346" i="16"/>
  <c r="G1346" i="16"/>
  <c r="H1346" i="16"/>
  <c r="E1347" i="16"/>
  <c r="F1347" i="16"/>
  <c r="G1347" i="16"/>
  <c r="H1347" i="16"/>
  <c r="E1348" i="16"/>
  <c r="F1348" i="16"/>
  <c r="G1348" i="16"/>
  <c r="H1348" i="16"/>
  <c r="E1349" i="16"/>
  <c r="F1349" i="16"/>
  <c r="G1349" i="16"/>
  <c r="H1349" i="16"/>
  <c r="E1350" i="16"/>
  <c r="F1350" i="16"/>
  <c r="G1350" i="16"/>
  <c r="H1350" i="16"/>
  <c r="E1351" i="16"/>
  <c r="F1351" i="16"/>
  <c r="G1351" i="16"/>
  <c r="H1351" i="16"/>
  <c r="E1352" i="16"/>
  <c r="F1352" i="16"/>
  <c r="G1352" i="16"/>
  <c r="H1352" i="16"/>
  <c r="E1353" i="16"/>
  <c r="F1353" i="16"/>
  <c r="G1353" i="16"/>
  <c r="H1353" i="16"/>
  <c r="E1354" i="16"/>
  <c r="F1354" i="16"/>
  <c r="G1354" i="16"/>
  <c r="H1354" i="16"/>
  <c r="E1355" i="16"/>
  <c r="F1355" i="16"/>
  <c r="G1355" i="16"/>
  <c r="H1355" i="16"/>
  <c r="E1356" i="16"/>
  <c r="F1356" i="16"/>
  <c r="G1356" i="16"/>
  <c r="H1356" i="16"/>
  <c r="E1357" i="16"/>
  <c r="F1357" i="16"/>
  <c r="G1357" i="16"/>
  <c r="H1357" i="16"/>
  <c r="E1358" i="16"/>
  <c r="F1358" i="16"/>
  <c r="G1358" i="16"/>
  <c r="H1358" i="16"/>
  <c r="E1359" i="16"/>
  <c r="F1359" i="16"/>
  <c r="G1359" i="16"/>
  <c r="H1359" i="16"/>
  <c r="E1360" i="16"/>
  <c r="F1360" i="16"/>
  <c r="G1360" i="16"/>
  <c r="H1360" i="16"/>
  <c r="E1361" i="16"/>
  <c r="F1361" i="16"/>
  <c r="G1361" i="16"/>
  <c r="H1361" i="16"/>
  <c r="E1362" i="16"/>
  <c r="F1362" i="16"/>
  <c r="G1362" i="16"/>
  <c r="H1362" i="16"/>
  <c r="E1363" i="16"/>
  <c r="F1363" i="16"/>
  <c r="G1363" i="16"/>
  <c r="H1363" i="16"/>
  <c r="E1364" i="16"/>
  <c r="F1364" i="16"/>
  <c r="G1364" i="16"/>
  <c r="H1364" i="16"/>
  <c r="E1365" i="16"/>
  <c r="F1365" i="16"/>
  <c r="G1365" i="16"/>
  <c r="H1365" i="16"/>
  <c r="E1366" i="16"/>
  <c r="F1366" i="16"/>
  <c r="G1366" i="16"/>
  <c r="H1366" i="16"/>
  <c r="E1367" i="16"/>
  <c r="F1367" i="16"/>
  <c r="G1367" i="16"/>
  <c r="H1367" i="16"/>
  <c r="E1368" i="16"/>
  <c r="F1368" i="16"/>
  <c r="G1368" i="16"/>
  <c r="H1368" i="16"/>
  <c r="E1369" i="16"/>
  <c r="F1369" i="16"/>
  <c r="G1369" i="16"/>
  <c r="H1369" i="16"/>
  <c r="E1370" i="16"/>
  <c r="F1370" i="16"/>
  <c r="G1370" i="16"/>
  <c r="H1370" i="16"/>
  <c r="E1371" i="16"/>
  <c r="F1371" i="16"/>
  <c r="G1371" i="16"/>
  <c r="H1371" i="16"/>
  <c r="E1372" i="16"/>
  <c r="F1372" i="16"/>
  <c r="G1372" i="16"/>
  <c r="H1372" i="16"/>
  <c r="E1373" i="16"/>
  <c r="F1373" i="16"/>
  <c r="G1373" i="16"/>
  <c r="H1373" i="16"/>
  <c r="E1374" i="16"/>
  <c r="F1374" i="16"/>
  <c r="G1374" i="16"/>
  <c r="H1374" i="16"/>
  <c r="E1375" i="16"/>
  <c r="F1375" i="16"/>
  <c r="G1375" i="16"/>
  <c r="H1375" i="16"/>
  <c r="E1376" i="16"/>
  <c r="F1376" i="16"/>
  <c r="G1376" i="16"/>
  <c r="H1376" i="16"/>
  <c r="E1377" i="16"/>
  <c r="F1377" i="16"/>
  <c r="G1377" i="16"/>
  <c r="H1377" i="16"/>
  <c r="E1378" i="16"/>
  <c r="F1378" i="16"/>
  <c r="G1378" i="16"/>
  <c r="H1378" i="16"/>
  <c r="E1379" i="16"/>
  <c r="F1379" i="16"/>
  <c r="G1379" i="16"/>
  <c r="H1379" i="16"/>
  <c r="E1380" i="16"/>
  <c r="F1380" i="16"/>
  <c r="G1380" i="16"/>
  <c r="H1380" i="16"/>
  <c r="E1381" i="16"/>
  <c r="F1381" i="16"/>
  <c r="G1381" i="16"/>
  <c r="H1381" i="16"/>
  <c r="E1382" i="16"/>
  <c r="F1382" i="16"/>
  <c r="G1382" i="16"/>
  <c r="H1382" i="16"/>
  <c r="E1383" i="16"/>
  <c r="F1383" i="16"/>
  <c r="G1383" i="16"/>
  <c r="H1383" i="16"/>
  <c r="E1384" i="16"/>
  <c r="F1384" i="16"/>
  <c r="G1384" i="16"/>
  <c r="H1384" i="16"/>
  <c r="E1385" i="16"/>
  <c r="F1385" i="16"/>
  <c r="G1385" i="16"/>
  <c r="H1385" i="16"/>
  <c r="E1386" i="16"/>
  <c r="F1386" i="16"/>
  <c r="G1386" i="16"/>
  <c r="H1386" i="16"/>
  <c r="E1387" i="16"/>
  <c r="F1387" i="16"/>
  <c r="G1387" i="16"/>
  <c r="H1387" i="16"/>
  <c r="E1388" i="16"/>
  <c r="F1388" i="16"/>
  <c r="G1388" i="16"/>
  <c r="H1388" i="16"/>
  <c r="E1389" i="16"/>
  <c r="F1389" i="16"/>
  <c r="G1389" i="16"/>
  <c r="H1389" i="16"/>
  <c r="E1390" i="16"/>
  <c r="F1390" i="16"/>
  <c r="G1390" i="16"/>
  <c r="H1390" i="16"/>
  <c r="E1391" i="16"/>
  <c r="F1391" i="16"/>
  <c r="G1391" i="16"/>
  <c r="H1391" i="16"/>
  <c r="E1392" i="16"/>
  <c r="F1392" i="16"/>
  <c r="G1392" i="16"/>
  <c r="H1392" i="16"/>
  <c r="E1393" i="16"/>
  <c r="F1393" i="16"/>
  <c r="G1393" i="16"/>
  <c r="H1393" i="16"/>
  <c r="E1394" i="16"/>
  <c r="F1394" i="16"/>
  <c r="G1394" i="16"/>
  <c r="H1394" i="16"/>
  <c r="E1395" i="16"/>
  <c r="F1395" i="16"/>
  <c r="G1395" i="16"/>
  <c r="H1395" i="16"/>
  <c r="E1396" i="16"/>
  <c r="F1396" i="16"/>
  <c r="G1396" i="16"/>
  <c r="H1396" i="16"/>
  <c r="E1397" i="16"/>
  <c r="F1397" i="16"/>
  <c r="G1397" i="16"/>
  <c r="H1397" i="16"/>
  <c r="E1398" i="16"/>
  <c r="F1398" i="16"/>
  <c r="G1398" i="16"/>
  <c r="H1398" i="16"/>
  <c r="E1399" i="16"/>
  <c r="F1399" i="16"/>
  <c r="G1399" i="16"/>
  <c r="H1399" i="16"/>
  <c r="E1400" i="16"/>
  <c r="F1400" i="16"/>
  <c r="G1400" i="16"/>
  <c r="H1400" i="16"/>
  <c r="E1401" i="16"/>
  <c r="F1401" i="16"/>
  <c r="G1401" i="16"/>
  <c r="H1401" i="16"/>
  <c r="E1402" i="16"/>
  <c r="F1402" i="16"/>
  <c r="G1402" i="16"/>
  <c r="H1402" i="16"/>
  <c r="E1403" i="16"/>
  <c r="F1403" i="16"/>
  <c r="G1403" i="16"/>
  <c r="H1403" i="16"/>
  <c r="E1404" i="16"/>
  <c r="F1404" i="16"/>
  <c r="G1404" i="16"/>
  <c r="H1404" i="16"/>
  <c r="E1405" i="16"/>
  <c r="F1405" i="16"/>
  <c r="G1405" i="16"/>
  <c r="H1405" i="16"/>
  <c r="E1406" i="16"/>
  <c r="F1406" i="16"/>
  <c r="G1406" i="16"/>
  <c r="H1406" i="16"/>
  <c r="E1407" i="16"/>
  <c r="F1407" i="16"/>
  <c r="G1407" i="16"/>
  <c r="H1407" i="16"/>
  <c r="E1408" i="16"/>
  <c r="F1408" i="16"/>
  <c r="G1408" i="16"/>
  <c r="H1408" i="16"/>
  <c r="E1409" i="16"/>
  <c r="F1409" i="16"/>
  <c r="G1409" i="16"/>
  <c r="H1409" i="16"/>
  <c r="E1410" i="16"/>
  <c r="F1410" i="16"/>
  <c r="G1410" i="16"/>
  <c r="H1410" i="16"/>
  <c r="E1411" i="16"/>
  <c r="F1411" i="16"/>
  <c r="G1411" i="16"/>
  <c r="H1411" i="16"/>
  <c r="E1412" i="16"/>
  <c r="F1412" i="16"/>
  <c r="G1412" i="16"/>
  <c r="H1412" i="16"/>
  <c r="E1413" i="16"/>
  <c r="F1413" i="16"/>
  <c r="G1413" i="16"/>
  <c r="H1413" i="16"/>
  <c r="E1414" i="16"/>
  <c r="F1414" i="16"/>
  <c r="G1414" i="16"/>
  <c r="H1414" i="16"/>
  <c r="E1415" i="16"/>
  <c r="F1415" i="16"/>
  <c r="G1415" i="16"/>
  <c r="H1415" i="16"/>
  <c r="E1416" i="16"/>
  <c r="F1416" i="16"/>
  <c r="G1416" i="16"/>
  <c r="H1416" i="16"/>
  <c r="E1417" i="16"/>
  <c r="F1417" i="16"/>
  <c r="G1417" i="16"/>
  <c r="H1417" i="16"/>
  <c r="E1418" i="16"/>
  <c r="F1418" i="16"/>
  <c r="G1418" i="16"/>
  <c r="H1418" i="16"/>
  <c r="E1419" i="16"/>
  <c r="F1419" i="16"/>
  <c r="G1419" i="16"/>
  <c r="H1419" i="16"/>
  <c r="E1420" i="16"/>
  <c r="F1420" i="16"/>
  <c r="G1420" i="16"/>
  <c r="H1420" i="16"/>
  <c r="E1421" i="16"/>
  <c r="F1421" i="16"/>
  <c r="G1421" i="16"/>
  <c r="H1421" i="16"/>
  <c r="E1422" i="16"/>
  <c r="F1422" i="16"/>
  <c r="G1422" i="16"/>
  <c r="H1422" i="16"/>
  <c r="E1423" i="16"/>
  <c r="F1423" i="16"/>
  <c r="G1423" i="16"/>
  <c r="H1423" i="16"/>
  <c r="E1424" i="16"/>
  <c r="F1424" i="16"/>
  <c r="G1424" i="16"/>
  <c r="H1424" i="16"/>
  <c r="E1425" i="16"/>
  <c r="F1425" i="16"/>
  <c r="G1425" i="16"/>
  <c r="H1425" i="16"/>
  <c r="E1426" i="16"/>
  <c r="F1426" i="16"/>
  <c r="G1426" i="16"/>
  <c r="H1426" i="16"/>
  <c r="E1427" i="16"/>
  <c r="F1427" i="16"/>
  <c r="G1427" i="16"/>
  <c r="H1427" i="16"/>
  <c r="E1428" i="16"/>
  <c r="F1428" i="16"/>
  <c r="G1428" i="16"/>
  <c r="H1428" i="16"/>
  <c r="E1429" i="16"/>
  <c r="F1429" i="16"/>
  <c r="G1429" i="16"/>
  <c r="H1429" i="16"/>
  <c r="E1430" i="16"/>
  <c r="F1430" i="16"/>
  <c r="G1430" i="16"/>
  <c r="H1430" i="16"/>
  <c r="E1431" i="16"/>
  <c r="F1431" i="16"/>
  <c r="G1431" i="16"/>
  <c r="H1431" i="16"/>
  <c r="E1432" i="16"/>
  <c r="F1432" i="16"/>
  <c r="G1432" i="16"/>
  <c r="H1432" i="16"/>
  <c r="E1433" i="16"/>
  <c r="F1433" i="16"/>
  <c r="G1433" i="16"/>
  <c r="H1433" i="16"/>
  <c r="E1434" i="16"/>
  <c r="F1434" i="16"/>
  <c r="G1434" i="16"/>
  <c r="H1434" i="16"/>
  <c r="E1435" i="16"/>
  <c r="F1435" i="16"/>
  <c r="G1435" i="16"/>
  <c r="H1435" i="16"/>
  <c r="E1436" i="16"/>
  <c r="F1436" i="16"/>
  <c r="G1436" i="16"/>
  <c r="H1436" i="16"/>
  <c r="E1437" i="16"/>
  <c r="F1437" i="16"/>
  <c r="G1437" i="16"/>
  <c r="H1437" i="16"/>
  <c r="E1438" i="16"/>
  <c r="F1438" i="16"/>
  <c r="G1438" i="16"/>
  <c r="H1438" i="16"/>
  <c r="E1439" i="16"/>
  <c r="F1439" i="16"/>
  <c r="G1439" i="16"/>
  <c r="H1439" i="16"/>
  <c r="E1440" i="16"/>
  <c r="F1440" i="16"/>
  <c r="G1440" i="16"/>
  <c r="H1440" i="16"/>
  <c r="E1441" i="16"/>
  <c r="F1441" i="16"/>
  <c r="G1441" i="16"/>
  <c r="H1441" i="16"/>
  <c r="E1442" i="16"/>
  <c r="F1442" i="16"/>
  <c r="G1442" i="16"/>
  <c r="H1442" i="16"/>
  <c r="E1443" i="16"/>
  <c r="F1443" i="16"/>
  <c r="G1443" i="16"/>
  <c r="H1443" i="16"/>
  <c r="E1444" i="16"/>
  <c r="F1444" i="16"/>
  <c r="G1444" i="16"/>
  <c r="H1444" i="16"/>
  <c r="E1445" i="16"/>
  <c r="F1445" i="16"/>
  <c r="G1445" i="16"/>
  <c r="H1445" i="16"/>
  <c r="E1446" i="16"/>
  <c r="F1446" i="16"/>
  <c r="G1446" i="16"/>
  <c r="H1446" i="16"/>
  <c r="E1447" i="16"/>
  <c r="F1447" i="16"/>
  <c r="G1447" i="16"/>
  <c r="H1447" i="16"/>
  <c r="E1448" i="16"/>
  <c r="F1448" i="16"/>
  <c r="G1448" i="16"/>
  <c r="H1448" i="16"/>
  <c r="E1449" i="16"/>
  <c r="F1449" i="16"/>
  <c r="G1449" i="16"/>
  <c r="H1449" i="16"/>
  <c r="E1450" i="16"/>
  <c r="F1450" i="16"/>
  <c r="G1450" i="16"/>
  <c r="H1450" i="16"/>
  <c r="E1451" i="16"/>
  <c r="F1451" i="16"/>
  <c r="G1451" i="16"/>
  <c r="H1451" i="16"/>
  <c r="E1452" i="16"/>
  <c r="F1452" i="16"/>
  <c r="G1452" i="16"/>
  <c r="H1452" i="16"/>
  <c r="E1453" i="16"/>
  <c r="F1453" i="16"/>
  <c r="G1453" i="16"/>
  <c r="H1453" i="16"/>
  <c r="E1454" i="16"/>
  <c r="F1454" i="16"/>
  <c r="G1454" i="16"/>
  <c r="H1454" i="16"/>
  <c r="E1455" i="16"/>
  <c r="F1455" i="16"/>
  <c r="G1455" i="16"/>
  <c r="H1455" i="16"/>
  <c r="E1456" i="16"/>
  <c r="F1456" i="16"/>
  <c r="G1456" i="16"/>
  <c r="H1456" i="16"/>
  <c r="E1457" i="16"/>
  <c r="F1457" i="16"/>
  <c r="G1457" i="16"/>
  <c r="H1457" i="16"/>
  <c r="E1458" i="16"/>
  <c r="F1458" i="16"/>
  <c r="G1458" i="16"/>
  <c r="H1458" i="16"/>
  <c r="E1459" i="16"/>
  <c r="F1459" i="16"/>
  <c r="G1459" i="16"/>
  <c r="H1459" i="16"/>
  <c r="E1460" i="16"/>
  <c r="F1460" i="16"/>
  <c r="G1460" i="16"/>
  <c r="H1460" i="16"/>
  <c r="E1461" i="16"/>
  <c r="F1461" i="16"/>
  <c r="G1461" i="16"/>
  <c r="H1461" i="16"/>
  <c r="E1462" i="16"/>
  <c r="F1462" i="16"/>
  <c r="G1462" i="16"/>
  <c r="H1462" i="16"/>
  <c r="E1463" i="16"/>
  <c r="F1463" i="16"/>
  <c r="G1463" i="16"/>
  <c r="H1463" i="16"/>
  <c r="E1464" i="16"/>
  <c r="F1464" i="16"/>
  <c r="G1464" i="16"/>
  <c r="H1464" i="16"/>
  <c r="E1465" i="16"/>
  <c r="F1465" i="16"/>
  <c r="G1465" i="16"/>
  <c r="H1465" i="16"/>
  <c r="E1466" i="16"/>
  <c r="F1466" i="16"/>
  <c r="G1466" i="16"/>
  <c r="H1466" i="16"/>
  <c r="E1467" i="16"/>
  <c r="F1467" i="16"/>
  <c r="G1467" i="16"/>
  <c r="H1467" i="16"/>
  <c r="E1468" i="16"/>
  <c r="F1468" i="16"/>
  <c r="G1468" i="16"/>
  <c r="H1468" i="16"/>
  <c r="E1469" i="16"/>
  <c r="F1469" i="16"/>
  <c r="G1469" i="16"/>
  <c r="H1469" i="16"/>
  <c r="E1470" i="16"/>
  <c r="F1470" i="16"/>
  <c r="G1470" i="16"/>
  <c r="H1470" i="16"/>
  <c r="E1471" i="16"/>
  <c r="F1471" i="16"/>
  <c r="G1471" i="16"/>
  <c r="H1471" i="16"/>
  <c r="E1472" i="16"/>
  <c r="F1472" i="16"/>
  <c r="G1472" i="16"/>
  <c r="H1472" i="16"/>
  <c r="E1473" i="16"/>
  <c r="F1473" i="16"/>
  <c r="G1473" i="16"/>
  <c r="H1473" i="16"/>
  <c r="E1474" i="16"/>
  <c r="F1474" i="16"/>
  <c r="G1474" i="16"/>
  <c r="H1474" i="16"/>
  <c r="E1475" i="16"/>
  <c r="F1475" i="16"/>
  <c r="G1475" i="16"/>
  <c r="H1475" i="16"/>
  <c r="E1476" i="16"/>
  <c r="F1476" i="16"/>
  <c r="G1476" i="16"/>
  <c r="H1476" i="16"/>
  <c r="E1477" i="16"/>
  <c r="F1477" i="16"/>
  <c r="G1477" i="16"/>
  <c r="H1477" i="16"/>
  <c r="E1478" i="16"/>
  <c r="F1478" i="16"/>
  <c r="G1478" i="16"/>
  <c r="H1478" i="16"/>
  <c r="E1479" i="16"/>
  <c r="F1479" i="16"/>
  <c r="G1479" i="16"/>
  <c r="H1479" i="16"/>
  <c r="E1480" i="16"/>
  <c r="F1480" i="16"/>
  <c r="G1480" i="16"/>
  <c r="H1480" i="16"/>
  <c r="E1481" i="16"/>
  <c r="F1481" i="16"/>
  <c r="G1481" i="16"/>
  <c r="H1481" i="16"/>
  <c r="E1482" i="16"/>
  <c r="F1482" i="16"/>
  <c r="G1482" i="16"/>
  <c r="H1482" i="16"/>
  <c r="E1483" i="16"/>
  <c r="F1483" i="16"/>
  <c r="G1483" i="16"/>
  <c r="H1483" i="16"/>
  <c r="E1484" i="16"/>
  <c r="F1484" i="16"/>
  <c r="G1484" i="16"/>
  <c r="H1484" i="16"/>
  <c r="E1485" i="16"/>
  <c r="F1485" i="16"/>
  <c r="G1485" i="16"/>
  <c r="H1485" i="16"/>
  <c r="E1486" i="16"/>
  <c r="F1486" i="16"/>
  <c r="G1486" i="16"/>
  <c r="H1486" i="16"/>
  <c r="E1487" i="16"/>
  <c r="F1487" i="16"/>
  <c r="G1487" i="16"/>
  <c r="H1487" i="16"/>
  <c r="E1488" i="16"/>
  <c r="F1488" i="16"/>
  <c r="G1488" i="16"/>
  <c r="H1488" i="16"/>
  <c r="E1489" i="16"/>
  <c r="F1489" i="16"/>
  <c r="G1489" i="16"/>
  <c r="H1489" i="16"/>
  <c r="E1490" i="16"/>
  <c r="F1490" i="16"/>
  <c r="G1490" i="16"/>
  <c r="H1490" i="16"/>
  <c r="E1491" i="16"/>
  <c r="F1491" i="16"/>
  <c r="G1491" i="16"/>
  <c r="H1491" i="16"/>
  <c r="E1492" i="16"/>
  <c r="F1492" i="16"/>
  <c r="G1492" i="16"/>
  <c r="H1492" i="16"/>
  <c r="E1493" i="16"/>
  <c r="F1493" i="16"/>
  <c r="G1493" i="16"/>
  <c r="H1493" i="16"/>
  <c r="E1494" i="16"/>
  <c r="F1494" i="16"/>
  <c r="G1494" i="16"/>
  <c r="H1494" i="16"/>
  <c r="E1495" i="16"/>
  <c r="F1495" i="16"/>
  <c r="G1495" i="16"/>
  <c r="H1495" i="16"/>
  <c r="E1496" i="16"/>
  <c r="F1496" i="16"/>
  <c r="G1496" i="16"/>
  <c r="H1496" i="16"/>
  <c r="E1497" i="16"/>
  <c r="F1497" i="16"/>
  <c r="G1497" i="16"/>
  <c r="H1497" i="16"/>
  <c r="E1498" i="16"/>
  <c r="F1498" i="16"/>
  <c r="G1498" i="16"/>
  <c r="H1498" i="16"/>
  <c r="E1499" i="16"/>
  <c r="F1499" i="16"/>
  <c r="G1499" i="16"/>
  <c r="H1499" i="16"/>
  <c r="E1500" i="16"/>
  <c r="F1500" i="16"/>
  <c r="G1500" i="16"/>
  <c r="H1500" i="16"/>
  <c r="E1501" i="16"/>
  <c r="F1501" i="16"/>
  <c r="G1501" i="16"/>
  <c r="H1501" i="16"/>
  <c r="E1502" i="16"/>
  <c r="F1502" i="16"/>
  <c r="G1502" i="16"/>
  <c r="H1502" i="16"/>
  <c r="E1503" i="16"/>
  <c r="F1503" i="16"/>
  <c r="G1503" i="16"/>
  <c r="H1503" i="16"/>
  <c r="E1504" i="16"/>
  <c r="F1504" i="16"/>
  <c r="G1504" i="16"/>
  <c r="H1504" i="16"/>
  <c r="E1505" i="16"/>
  <c r="F1505" i="16"/>
  <c r="G1505" i="16"/>
  <c r="H1505" i="16"/>
  <c r="E1506" i="16"/>
  <c r="F1506" i="16"/>
  <c r="G1506" i="16"/>
  <c r="H1506" i="16"/>
  <c r="E1507" i="16"/>
  <c r="F1507" i="16"/>
  <c r="G1507" i="16"/>
  <c r="H1507" i="16"/>
  <c r="E1508" i="16"/>
  <c r="F1508" i="16"/>
  <c r="G1508" i="16"/>
  <c r="H1508" i="16"/>
  <c r="E1509" i="16"/>
  <c r="F1509" i="16"/>
  <c r="G1509" i="16"/>
  <c r="H1509" i="16"/>
  <c r="E1510" i="16"/>
  <c r="F1510" i="16"/>
  <c r="G1510" i="16"/>
  <c r="H1510" i="16"/>
  <c r="E1511" i="16"/>
  <c r="F1511" i="16"/>
  <c r="G1511" i="16"/>
  <c r="H1511" i="16"/>
  <c r="E1512" i="16"/>
  <c r="F1512" i="16"/>
  <c r="G1512" i="16"/>
  <c r="H1512" i="16"/>
  <c r="E1513" i="16"/>
  <c r="F1513" i="16"/>
  <c r="G1513" i="16"/>
  <c r="H1513" i="16"/>
  <c r="E1514" i="16"/>
  <c r="F1514" i="16"/>
  <c r="G1514" i="16"/>
  <c r="H1514" i="16"/>
  <c r="E1515" i="16"/>
  <c r="F1515" i="16"/>
  <c r="G1515" i="16"/>
  <c r="H1515" i="16"/>
  <c r="E1516" i="16"/>
  <c r="F1516" i="16"/>
  <c r="G1516" i="16"/>
  <c r="H1516" i="16"/>
  <c r="E1517" i="16"/>
  <c r="F1517" i="16"/>
  <c r="G1517" i="16"/>
  <c r="H1517" i="16"/>
  <c r="E1518" i="16"/>
  <c r="F1518" i="16"/>
  <c r="G1518" i="16"/>
  <c r="H1518" i="16"/>
  <c r="E1519" i="16"/>
  <c r="F1519" i="16"/>
  <c r="G1519" i="16"/>
  <c r="H1519" i="16"/>
  <c r="E1520" i="16"/>
  <c r="F1520" i="16"/>
  <c r="G1520" i="16"/>
  <c r="H1520" i="16"/>
  <c r="E1521" i="16"/>
  <c r="F1521" i="16"/>
  <c r="G1521" i="16"/>
  <c r="H1521" i="16"/>
  <c r="E1522" i="16"/>
  <c r="F1522" i="16"/>
  <c r="G1522" i="16"/>
  <c r="H1522" i="16"/>
  <c r="E1523" i="16"/>
  <c r="F1523" i="16"/>
  <c r="G1523" i="16"/>
  <c r="H1523" i="16"/>
  <c r="E1524" i="16"/>
  <c r="F1524" i="16"/>
  <c r="G1524" i="16"/>
  <c r="H1524" i="16"/>
  <c r="E1525" i="16"/>
  <c r="F1525" i="16"/>
  <c r="G1525" i="16"/>
  <c r="H1525" i="16"/>
  <c r="E1526" i="16"/>
  <c r="F1526" i="16"/>
  <c r="G1526" i="16"/>
  <c r="H1526" i="16"/>
  <c r="E1527" i="16"/>
  <c r="F1527" i="16"/>
  <c r="G1527" i="16"/>
  <c r="H1527" i="16"/>
  <c r="E1528" i="16"/>
  <c r="F1528" i="16"/>
  <c r="G1528" i="16"/>
  <c r="H1528" i="16"/>
  <c r="E1529" i="16"/>
  <c r="F1529" i="16"/>
  <c r="G1529" i="16"/>
  <c r="H1529" i="16"/>
  <c r="E1530" i="16"/>
  <c r="F1530" i="16"/>
  <c r="G1530" i="16"/>
  <c r="H1530" i="16"/>
  <c r="E1531" i="16"/>
  <c r="F1531" i="16"/>
  <c r="G1531" i="16"/>
  <c r="H1531" i="16"/>
  <c r="E1532" i="16"/>
  <c r="F1532" i="16"/>
  <c r="G1532" i="16"/>
  <c r="H1532" i="16"/>
  <c r="E1533" i="16"/>
  <c r="F1533" i="16"/>
  <c r="G1533" i="16"/>
  <c r="H1533" i="16"/>
  <c r="E1534" i="16"/>
  <c r="F1534" i="16"/>
  <c r="G1534" i="16"/>
  <c r="H1534" i="16"/>
  <c r="E1535" i="16"/>
  <c r="F1535" i="16"/>
  <c r="G1535" i="16"/>
  <c r="H1535" i="16"/>
  <c r="E1536" i="16"/>
  <c r="F1536" i="16"/>
  <c r="G1536" i="16"/>
  <c r="H1536" i="16"/>
  <c r="E1537" i="16"/>
  <c r="F1537" i="16"/>
  <c r="G1537" i="16"/>
  <c r="H1537" i="16"/>
  <c r="E1538" i="16"/>
  <c r="F1538" i="16"/>
  <c r="G1538" i="16"/>
  <c r="H1538" i="16"/>
  <c r="E1539" i="16"/>
  <c r="F1539" i="16"/>
  <c r="G1539" i="16"/>
  <c r="H1539" i="16"/>
  <c r="E1540" i="16"/>
  <c r="F1540" i="16"/>
  <c r="G1540" i="16"/>
  <c r="H1540" i="16"/>
  <c r="E1541" i="16"/>
  <c r="F1541" i="16"/>
  <c r="G1541" i="16"/>
  <c r="H1541" i="16"/>
  <c r="E1542" i="16"/>
  <c r="F1542" i="16"/>
  <c r="G1542" i="16"/>
  <c r="H1542" i="16"/>
  <c r="E1543" i="16"/>
  <c r="F1543" i="16"/>
  <c r="G1543" i="16"/>
  <c r="H1543" i="16"/>
  <c r="E1544" i="16"/>
  <c r="F1544" i="16"/>
  <c r="G1544" i="16"/>
  <c r="H1544" i="16"/>
  <c r="E1545" i="16"/>
  <c r="F1545" i="16"/>
  <c r="G1545" i="16"/>
  <c r="H1545" i="16"/>
  <c r="E1546" i="16"/>
  <c r="F1546" i="16"/>
  <c r="G1546" i="16"/>
  <c r="H1546" i="16"/>
  <c r="E1547" i="16"/>
  <c r="F1547" i="16"/>
  <c r="G1547" i="16"/>
  <c r="H1547" i="16"/>
  <c r="E1548" i="16"/>
  <c r="F1548" i="16"/>
  <c r="G1548" i="16"/>
  <c r="H1548" i="16"/>
  <c r="E1549" i="16"/>
  <c r="F1549" i="16"/>
  <c r="G1549" i="16"/>
  <c r="H1549" i="16"/>
  <c r="E1550" i="16"/>
  <c r="F1550" i="16"/>
  <c r="G1550" i="16"/>
  <c r="H1550" i="16"/>
  <c r="E1551" i="16"/>
  <c r="F1551" i="16"/>
  <c r="G1551" i="16"/>
  <c r="H1551" i="16"/>
  <c r="E1552" i="16"/>
  <c r="F1552" i="16"/>
  <c r="G1552" i="16"/>
  <c r="H1552" i="16"/>
  <c r="E1553" i="16"/>
  <c r="F1553" i="16"/>
  <c r="G1553" i="16"/>
  <c r="H1553" i="16"/>
  <c r="E1554" i="16"/>
  <c r="F1554" i="16"/>
  <c r="G1554" i="16"/>
  <c r="H1554" i="16"/>
  <c r="E1555" i="16"/>
  <c r="F1555" i="16"/>
  <c r="G1555" i="16"/>
  <c r="H1555" i="16"/>
  <c r="E1556" i="16"/>
  <c r="F1556" i="16"/>
  <c r="G1556" i="16"/>
  <c r="H1556" i="16"/>
  <c r="E1557" i="16"/>
  <c r="F1557" i="16"/>
  <c r="G1557" i="16"/>
  <c r="H1557" i="16"/>
  <c r="E1558" i="16"/>
  <c r="F1558" i="16"/>
  <c r="G1558" i="16"/>
  <c r="H1558" i="16"/>
  <c r="E1559" i="16"/>
  <c r="F1559" i="16"/>
  <c r="G1559" i="16"/>
  <c r="H1559" i="16"/>
  <c r="E1560" i="16"/>
  <c r="F1560" i="16"/>
  <c r="G1560" i="16"/>
  <c r="H1560" i="16"/>
  <c r="E1561" i="16"/>
  <c r="F1561" i="16"/>
  <c r="G1561" i="16"/>
  <c r="H1561" i="16"/>
  <c r="E1562" i="16"/>
  <c r="F1562" i="16"/>
  <c r="G1562" i="16"/>
  <c r="H1562" i="16"/>
  <c r="E1563" i="16"/>
  <c r="F1563" i="16"/>
  <c r="G1563" i="16"/>
  <c r="H1563" i="16"/>
  <c r="E1564" i="16"/>
  <c r="F1564" i="16"/>
  <c r="G1564" i="16"/>
  <c r="H1564" i="16"/>
  <c r="E1565" i="16"/>
  <c r="F1565" i="16"/>
  <c r="G1565" i="16"/>
  <c r="H1565" i="16"/>
  <c r="E1566" i="16"/>
  <c r="F1566" i="16"/>
  <c r="G1566" i="16"/>
  <c r="H1566" i="16"/>
  <c r="E1567" i="16"/>
  <c r="F1567" i="16"/>
  <c r="G1567" i="16"/>
  <c r="H1567" i="16"/>
  <c r="E1568" i="16"/>
  <c r="F1568" i="16"/>
  <c r="G1568" i="16"/>
  <c r="H1568" i="16"/>
  <c r="E1569" i="16"/>
  <c r="F1569" i="16"/>
  <c r="G1569" i="16"/>
  <c r="H1569" i="16"/>
  <c r="E1570" i="16"/>
  <c r="F1570" i="16"/>
  <c r="G1570" i="16"/>
  <c r="H1570" i="16"/>
  <c r="E1571" i="16"/>
  <c r="F1571" i="16"/>
  <c r="G1571" i="16"/>
  <c r="H1571" i="16"/>
  <c r="E1572" i="16"/>
  <c r="F1572" i="16"/>
  <c r="G1572" i="16"/>
  <c r="H1572" i="16"/>
  <c r="E1573" i="16"/>
  <c r="F1573" i="16"/>
  <c r="G1573" i="16"/>
  <c r="H1573" i="16"/>
  <c r="E1574" i="16"/>
  <c r="F1574" i="16"/>
  <c r="G1574" i="16"/>
  <c r="H1574" i="16"/>
  <c r="E1575" i="16"/>
  <c r="F1575" i="16"/>
  <c r="G1575" i="16"/>
  <c r="H1575" i="16"/>
  <c r="E1576" i="16"/>
  <c r="F1576" i="16"/>
  <c r="G1576" i="16"/>
  <c r="H1576" i="16"/>
  <c r="E1577" i="16"/>
  <c r="F1577" i="16"/>
  <c r="G1577" i="16"/>
  <c r="H1577" i="16"/>
  <c r="E1578" i="16"/>
  <c r="F1578" i="16"/>
  <c r="G1578" i="16"/>
  <c r="H1578" i="16"/>
  <c r="E1579" i="16"/>
  <c r="F1579" i="16"/>
  <c r="G1579" i="16"/>
  <c r="H1579" i="16"/>
  <c r="E1580" i="16"/>
  <c r="F1580" i="16"/>
  <c r="G1580" i="16"/>
  <c r="H1580" i="16"/>
  <c r="E1581" i="16"/>
  <c r="F1581" i="16"/>
  <c r="G1581" i="16"/>
  <c r="H1581" i="16"/>
  <c r="E1582" i="16"/>
  <c r="F1582" i="16"/>
  <c r="G1582" i="16"/>
  <c r="H1582" i="16"/>
  <c r="E1583" i="16"/>
  <c r="F1583" i="16"/>
  <c r="G1583" i="16"/>
  <c r="H1583" i="16"/>
  <c r="E1584" i="16"/>
  <c r="F1584" i="16"/>
  <c r="G1584" i="16"/>
  <c r="H1584" i="16"/>
  <c r="E1585" i="16"/>
  <c r="F1585" i="16"/>
  <c r="G1585" i="16"/>
  <c r="H1585" i="16"/>
  <c r="E1586" i="16"/>
  <c r="F1586" i="16"/>
  <c r="G1586" i="16"/>
  <c r="H1586" i="16"/>
  <c r="E1587" i="16"/>
  <c r="F1587" i="16"/>
  <c r="G1587" i="16"/>
  <c r="H1587" i="16"/>
  <c r="E1588" i="16"/>
  <c r="F1588" i="16"/>
  <c r="G1588" i="16"/>
  <c r="H1588" i="16"/>
  <c r="E1589" i="16"/>
  <c r="F1589" i="16"/>
  <c r="G1589" i="16"/>
  <c r="H1589" i="16"/>
  <c r="E1590" i="16"/>
  <c r="F1590" i="16"/>
  <c r="G1590" i="16"/>
  <c r="H1590" i="16"/>
  <c r="E1591" i="16"/>
  <c r="F1591" i="16"/>
  <c r="G1591" i="16"/>
  <c r="H1591" i="16"/>
  <c r="E1592" i="16"/>
  <c r="F1592" i="16"/>
  <c r="G1592" i="16"/>
  <c r="H1592" i="16"/>
  <c r="E1593" i="16"/>
  <c r="F1593" i="16"/>
  <c r="G1593" i="16"/>
  <c r="H1593" i="16"/>
  <c r="E1594" i="16"/>
  <c r="F1594" i="16"/>
  <c r="G1594" i="16"/>
  <c r="H1594" i="16"/>
  <c r="E1595" i="16"/>
  <c r="F1595" i="16"/>
  <c r="G1595" i="16"/>
  <c r="H1595" i="16"/>
  <c r="E1596" i="16"/>
  <c r="F1596" i="16"/>
  <c r="G1596" i="16"/>
  <c r="H1596" i="16"/>
  <c r="E1597" i="16"/>
  <c r="F1597" i="16"/>
  <c r="G1597" i="16"/>
  <c r="H1597" i="16"/>
  <c r="E1598" i="16"/>
  <c r="F1598" i="16"/>
  <c r="G1598" i="16"/>
  <c r="H1598" i="16"/>
  <c r="E1599" i="16"/>
  <c r="F1599" i="16"/>
  <c r="G1599" i="16"/>
  <c r="H1599" i="16"/>
  <c r="E1600" i="16"/>
  <c r="F1600" i="16"/>
  <c r="G1600" i="16"/>
  <c r="H1600" i="16"/>
  <c r="E1601" i="16"/>
  <c r="F1601" i="16"/>
  <c r="G1601" i="16"/>
  <c r="H1601" i="16"/>
  <c r="E1602" i="16"/>
  <c r="F1602" i="16"/>
  <c r="G1602" i="16"/>
  <c r="H1602" i="16"/>
  <c r="E1603" i="16"/>
  <c r="F1603" i="16"/>
  <c r="G1603" i="16"/>
  <c r="H1603" i="16"/>
  <c r="E1604" i="16"/>
  <c r="F1604" i="16"/>
  <c r="G1604" i="16"/>
  <c r="H1604" i="16"/>
  <c r="E1605" i="16"/>
  <c r="F1605" i="16"/>
  <c r="G1605" i="16"/>
  <c r="H1605" i="16"/>
  <c r="E1606" i="16"/>
  <c r="F1606" i="16"/>
  <c r="G1606" i="16"/>
  <c r="H1606" i="16"/>
  <c r="E1607" i="16"/>
  <c r="F1607" i="16"/>
  <c r="G1607" i="16"/>
  <c r="H1607" i="16"/>
  <c r="E1608" i="16"/>
  <c r="F1608" i="16"/>
  <c r="G1608" i="16"/>
  <c r="H1608" i="16"/>
  <c r="E1609" i="16"/>
  <c r="F1609" i="16"/>
  <c r="G1609" i="16"/>
  <c r="H1609" i="16"/>
  <c r="E1610" i="16"/>
  <c r="F1610" i="16"/>
  <c r="G1610" i="16"/>
  <c r="H1610" i="16"/>
  <c r="E1611" i="16"/>
  <c r="F1611" i="16"/>
  <c r="G1611" i="16"/>
  <c r="H1611" i="16"/>
  <c r="E1612" i="16"/>
  <c r="F1612" i="16"/>
  <c r="G1612" i="16"/>
  <c r="H1612" i="16"/>
  <c r="E1613" i="16"/>
  <c r="F1613" i="16"/>
  <c r="G1613" i="16"/>
  <c r="H1613" i="16"/>
  <c r="E1614" i="16"/>
  <c r="F1614" i="16"/>
  <c r="G1614" i="16"/>
  <c r="H1614" i="16"/>
  <c r="E1615" i="16"/>
  <c r="F1615" i="16"/>
  <c r="G1615" i="16"/>
  <c r="H1615" i="16"/>
  <c r="E1616" i="16"/>
  <c r="F1616" i="16"/>
  <c r="G1616" i="16"/>
  <c r="H1616" i="16"/>
  <c r="E1617" i="16"/>
  <c r="F1617" i="16"/>
  <c r="G1617" i="16"/>
  <c r="H1617" i="16"/>
  <c r="E1618" i="16"/>
  <c r="F1618" i="16"/>
  <c r="G1618" i="16"/>
  <c r="H1618" i="16"/>
  <c r="E1619" i="16"/>
  <c r="F1619" i="16"/>
  <c r="G1619" i="16"/>
  <c r="H1619" i="16"/>
  <c r="E1620" i="16"/>
  <c r="F1620" i="16"/>
  <c r="G1620" i="16"/>
  <c r="H1620" i="16"/>
  <c r="E1621" i="16"/>
  <c r="F1621" i="16"/>
  <c r="G1621" i="16"/>
  <c r="H1621" i="16"/>
  <c r="E1622" i="16"/>
  <c r="F1622" i="16"/>
  <c r="G1622" i="16"/>
  <c r="H1622" i="16"/>
  <c r="E1623" i="16"/>
  <c r="F1623" i="16"/>
  <c r="G1623" i="16"/>
  <c r="H1623" i="16"/>
  <c r="E1624" i="16"/>
  <c r="F1624" i="16"/>
  <c r="G1624" i="16"/>
  <c r="H1624" i="16"/>
  <c r="E1625" i="16"/>
  <c r="F1625" i="16"/>
  <c r="G1625" i="16"/>
  <c r="H1625" i="16"/>
  <c r="E1626" i="16"/>
  <c r="F1626" i="16"/>
  <c r="G1626" i="16"/>
  <c r="H1626" i="16"/>
  <c r="E1627" i="16"/>
  <c r="F1627" i="16"/>
  <c r="G1627" i="16"/>
  <c r="H1627" i="16"/>
  <c r="E1628" i="16"/>
  <c r="F1628" i="16"/>
  <c r="G1628" i="16"/>
  <c r="H1628" i="16"/>
  <c r="E1629" i="16"/>
  <c r="F1629" i="16"/>
  <c r="G1629" i="16"/>
  <c r="H1629" i="16"/>
  <c r="H1089" i="16"/>
  <c r="G1089" i="16"/>
  <c r="F1089" i="16"/>
  <c r="E1089" i="16"/>
  <c r="E548" i="16"/>
  <c r="F548" i="16"/>
  <c r="G548" i="16"/>
  <c r="H548" i="16"/>
  <c r="E549" i="16"/>
  <c r="F549" i="16"/>
  <c r="G549" i="16"/>
  <c r="H549" i="16"/>
  <c r="E550" i="16"/>
  <c r="F550" i="16"/>
  <c r="G550" i="16"/>
  <c r="H550" i="16"/>
  <c r="E551" i="16"/>
  <c r="F551" i="16"/>
  <c r="G551" i="16"/>
  <c r="H551" i="16"/>
  <c r="E552" i="16"/>
  <c r="F552" i="16"/>
  <c r="G552" i="16"/>
  <c r="H552" i="16"/>
  <c r="E553" i="16"/>
  <c r="F553" i="16"/>
  <c r="G553" i="16"/>
  <c r="H553" i="16"/>
  <c r="E554" i="16"/>
  <c r="F554" i="16"/>
  <c r="G554" i="16"/>
  <c r="H554" i="16"/>
  <c r="E555" i="16"/>
  <c r="F555" i="16"/>
  <c r="G555" i="16"/>
  <c r="H555" i="16"/>
  <c r="E556" i="16"/>
  <c r="F556" i="16"/>
  <c r="G556" i="16"/>
  <c r="H556" i="16"/>
  <c r="E557" i="16"/>
  <c r="F557" i="16"/>
  <c r="G557" i="16"/>
  <c r="H557" i="16"/>
  <c r="E558" i="16"/>
  <c r="F558" i="16"/>
  <c r="G558" i="16"/>
  <c r="H558" i="16"/>
  <c r="E559" i="16"/>
  <c r="F559" i="16"/>
  <c r="G559" i="16"/>
  <c r="H559" i="16"/>
  <c r="E560" i="16"/>
  <c r="F560" i="16"/>
  <c r="G560" i="16"/>
  <c r="H560" i="16"/>
  <c r="E561" i="16"/>
  <c r="F561" i="16"/>
  <c r="G561" i="16"/>
  <c r="H561" i="16"/>
  <c r="E562" i="16"/>
  <c r="F562" i="16"/>
  <c r="G562" i="16"/>
  <c r="H562" i="16"/>
  <c r="E563" i="16"/>
  <c r="F563" i="16"/>
  <c r="G563" i="16"/>
  <c r="H563" i="16"/>
  <c r="E564" i="16"/>
  <c r="F564" i="16"/>
  <c r="G564" i="16"/>
  <c r="H564" i="16"/>
  <c r="E565" i="16"/>
  <c r="F565" i="16"/>
  <c r="G565" i="16"/>
  <c r="H565" i="16"/>
  <c r="E566" i="16"/>
  <c r="F566" i="16"/>
  <c r="G566" i="16"/>
  <c r="H566" i="16"/>
  <c r="E567" i="16"/>
  <c r="F567" i="16"/>
  <c r="G567" i="16"/>
  <c r="H567" i="16"/>
  <c r="E568" i="16"/>
  <c r="F568" i="16"/>
  <c r="G568" i="16"/>
  <c r="H568" i="16"/>
  <c r="E569" i="16"/>
  <c r="F569" i="16"/>
  <c r="G569" i="16"/>
  <c r="H569" i="16"/>
  <c r="E570" i="16"/>
  <c r="F570" i="16"/>
  <c r="G570" i="16"/>
  <c r="H570" i="16"/>
  <c r="E571" i="16"/>
  <c r="F571" i="16"/>
  <c r="G571" i="16"/>
  <c r="H571" i="16"/>
  <c r="E572" i="16"/>
  <c r="F572" i="16"/>
  <c r="G572" i="16"/>
  <c r="H572" i="16"/>
  <c r="E573" i="16"/>
  <c r="F573" i="16"/>
  <c r="G573" i="16"/>
  <c r="H573" i="16"/>
  <c r="E574" i="16"/>
  <c r="F574" i="16"/>
  <c r="G574" i="16"/>
  <c r="H574" i="16"/>
  <c r="E575" i="16"/>
  <c r="F575" i="16"/>
  <c r="G575" i="16"/>
  <c r="H575" i="16"/>
  <c r="E576" i="16"/>
  <c r="F576" i="16"/>
  <c r="G576" i="16"/>
  <c r="H576" i="16"/>
  <c r="E577" i="16"/>
  <c r="F577" i="16"/>
  <c r="G577" i="16"/>
  <c r="H577" i="16"/>
  <c r="E578" i="16"/>
  <c r="F578" i="16"/>
  <c r="G578" i="16"/>
  <c r="H578" i="16"/>
  <c r="E579" i="16"/>
  <c r="F579" i="16"/>
  <c r="G579" i="16"/>
  <c r="H579" i="16"/>
  <c r="E580" i="16"/>
  <c r="F580" i="16"/>
  <c r="G580" i="16"/>
  <c r="H580" i="16"/>
  <c r="E581" i="16"/>
  <c r="F581" i="16"/>
  <c r="G581" i="16"/>
  <c r="H581" i="16"/>
  <c r="E582" i="16"/>
  <c r="F582" i="16"/>
  <c r="G582" i="16"/>
  <c r="H582" i="16"/>
  <c r="E583" i="16"/>
  <c r="F583" i="16"/>
  <c r="G583" i="16"/>
  <c r="H583" i="16"/>
  <c r="E584" i="16"/>
  <c r="F584" i="16"/>
  <c r="G584" i="16"/>
  <c r="H584" i="16"/>
  <c r="E585" i="16"/>
  <c r="F585" i="16"/>
  <c r="G585" i="16"/>
  <c r="H585" i="16"/>
  <c r="E586" i="16"/>
  <c r="F586" i="16"/>
  <c r="G586" i="16"/>
  <c r="H586" i="16"/>
  <c r="E587" i="16"/>
  <c r="F587" i="16"/>
  <c r="G587" i="16"/>
  <c r="H587" i="16"/>
  <c r="E588" i="16"/>
  <c r="F588" i="16"/>
  <c r="G588" i="16"/>
  <c r="H588" i="16"/>
  <c r="E589" i="16"/>
  <c r="F589" i="16"/>
  <c r="G589" i="16"/>
  <c r="H589" i="16"/>
  <c r="E590" i="16"/>
  <c r="F590" i="16"/>
  <c r="G590" i="16"/>
  <c r="H590" i="16"/>
  <c r="E591" i="16"/>
  <c r="F591" i="16"/>
  <c r="G591" i="16"/>
  <c r="H591" i="16"/>
  <c r="E592" i="16"/>
  <c r="F592" i="16"/>
  <c r="G592" i="16"/>
  <c r="H592" i="16"/>
  <c r="E593" i="16"/>
  <c r="F593" i="16"/>
  <c r="G593" i="16"/>
  <c r="H593" i="16"/>
  <c r="E594" i="16"/>
  <c r="F594" i="16"/>
  <c r="G594" i="16"/>
  <c r="H594" i="16"/>
  <c r="E595" i="16"/>
  <c r="F595" i="16"/>
  <c r="G595" i="16"/>
  <c r="H595" i="16"/>
  <c r="E596" i="16"/>
  <c r="F596" i="16"/>
  <c r="G596" i="16"/>
  <c r="H596" i="16"/>
  <c r="E597" i="16"/>
  <c r="F597" i="16"/>
  <c r="G597" i="16"/>
  <c r="H597" i="16"/>
  <c r="E598" i="16"/>
  <c r="F598" i="16"/>
  <c r="G598" i="16"/>
  <c r="H598" i="16"/>
  <c r="E599" i="16"/>
  <c r="F599" i="16"/>
  <c r="G599" i="16"/>
  <c r="H599" i="16"/>
  <c r="E600" i="16"/>
  <c r="F600" i="16"/>
  <c r="G600" i="16"/>
  <c r="H600" i="16"/>
  <c r="E601" i="16"/>
  <c r="F601" i="16"/>
  <c r="G601" i="16"/>
  <c r="H601" i="16"/>
  <c r="E602" i="16"/>
  <c r="F602" i="16"/>
  <c r="G602" i="16"/>
  <c r="H602" i="16"/>
  <c r="E603" i="16"/>
  <c r="F603" i="16"/>
  <c r="G603" i="16"/>
  <c r="H603" i="16"/>
  <c r="E604" i="16"/>
  <c r="F604" i="16"/>
  <c r="G604" i="16"/>
  <c r="H604" i="16"/>
  <c r="E605" i="16"/>
  <c r="F605" i="16"/>
  <c r="G605" i="16"/>
  <c r="H605" i="16"/>
  <c r="E606" i="16"/>
  <c r="F606" i="16"/>
  <c r="G606" i="16"/>
  <c r="H606" i="16"/>
  <c r="E607" i="16"/>
  <c r="F607" i="16"/>
  <c r="G607" i="16"/>
  <c r="H607" i="16"/>
  <c r="E608" i="16"/>
  <c r="F608" i="16"/>
  <c r="G608" i="16"/>
  <c r="H608" i="16"/>
  <c r="E609" i="16"/>
  <c r="F609" i="16"/>
  <c r="G609" i="16"/>
  <c r="H609" i="16"/>
  <c r="E610" i="16"/>
  <c r="F610" i="16"/>
  <c r="G610" i="16"/>
  <c r="H610" i="16"/>
  <c r="E611" i="16"/>
  <c r="F611" i="16"/>
  <c r="G611" i="16"/>
  <c r="H611" i="16"/>
  <c r="E612" i="16"/>
  <c r="F612" i="16"/>
  <c r="G612" i="16"/>
  <c r="H612" i="16"/>
  <c r="E613" i="16"/>
  <c r="F613" i="16"/>
  <c r="G613" i="16"/>
  <c r="H613" i="16"/>
  <c r="E614" i="16"/>
  <c r="F614" i="16"/>
  <c r="G614" i="16"/>
  <c r="H614" i="16"/>
  <c r="E615" i="16"/>
  <c r="F615" i="16"/>
  <c r="G615" i="16"/>
  <c r="H615" i="16"/>
  <c r="E616" i="16"/>
  <c r="F616" i="16"/>
  <c r="G616" i="16"/>
  <c r="H616" i="16"/>
  <c r="E617" i="16"/>
  <c r="F617" i="16"/>
  <c r="G617" i="16"/>
  <c r="H617" i="16"/>
  <c r="E618" i="16"/>
  <c r="F618" i="16"/>
  <c r="G618" i="16"/>
  <c r="H618" i="16"/>
  <c r="E619" i="16"/>
  <c r="F619" i="16"/>
  <c r="G619" i="16"/>
  <c r="H619" i="16"/>
  <c r="E620" i="16"/>
  <c r="F620" i="16"/>
  <c r="G620" i="16"/>
  <c r="H620" i="16"/>
  <c r="E621" i="16"/>
  <c r="F621" i="16"/>
  <c r="G621" i="16"/>
  <c r="H621" i="16"/>
  <c r="E622" i="16"/>
  <c r="F622" i="16"/>
  <c r="G622" i="16"/>
  <c r="H622" i="16"/>
  <c r="E623" i="16"/>
  <c r="F623" i="16"/>
  <c r="G623" i="16"/>
  <c r="H623" i="16"/>
  <c r="E624" i="16"/>
  <c r="F624" i="16"/>
  <c r="G624" i="16"/>
  <c r="H624" i="16"/>
  <c r="E625" i="16"/>
  <c r="F625" i="16"/>
  <c r="G625" i="16"/>
  <c r="H625" i="16"/>
  <c r="E626" i="16"/>
  <c r="F626" i="16"/>
  <c r="G626" i="16"/>
  <c r="H626" i="16"/>
  <c r="E627" i="16"/>
  <c r="F627" i="16"/>
  <c r="G627" i="16"/>
  <c r="H627" i="16"/>
  <c r="E628" i="16"/>
  <c r="F628" i="16"/>
  <c r="G628" i="16"/>
  <c r="H628" i="16"/>
  <c r="E629" i="16"/>
  <c r="F629" i="16"/>
  <c r="G629" i="16"/>
  <c r="H629" i="16"/>
  <c r="E630" i="16"/>
  <c r="F630" i="16"/>
  <c r="G630" i="16"/>
  <c r="H630" i="16"/>
  <c r="E631" i="16"/>
  <c r="F631" i="16"/>
  <c r="G631" i="16"/>
  <c r="H631" i="16"/>
  <c r="E632" i="16"/>
  <c r="F632" i="16"/>
  <c r="G632" i="16"/>
  <c r="H632" i="16"/>
  <c r="E633" i="16"/>
  <c r="F633" i="16"/>
  <c r="G633" i="16"/>
  <c r="H633" i="16"/>
  <c r="E634" i="16"/>
  <c r="F634" i="16"/>
  <c r="G634" i="16"/>
  <c r="H634" i="16"/>
  <c r="E635" i="16"/>
  <c r="F635" i="16"/>
  <c r="G635" i="16"/>
  <c r="H635" i="16"/>
  <c r="E636" i="16"/>
  <c r="F636" i="16"/>
  <c r="G636" i="16"/>
  <c r="H636" i="16"/>
  <c r="E637" i="16"/>
  <c r="F637" i="16"/>
  <c r="G637" i="16"/>
  <c r="H637" i="16"/>
  <c r="E638" i="16"/>
  <c r="F638" i="16"/>
  <c r="G638" i="16"/>
  <c r="H638" i="16"/>
  <c r="E639" i="16"/>
  <c r="F639" i="16"/>
  <c r="G639" i="16"/>
  <c r="H639" i="16"/>
  <c r="E640" i="16"/>
  <c r="F640" i="16"/>
  <c r="G640" i="16"/>
  <c r="H640" i="16"/>
  <c r="E641" i="16"/>
  <c r="F641" i="16"/>
  <c r="G641" i="16"/>
  <c r="H641" i="16"/>
  <c r="E642" i="16"/>
  <c r="F642" i="16"/>
  <c r="G642" i="16"/>
  <c r="H642" i="16"/>
  <c r="E643" i="16"/>
  <c r="F643" i="16"/>
  <c r="G643" i="16"/>
  <c r="H643" i="16"/>
  <c r="E644" i="16"/>
  <c r="F644" i="16"/>
  <c r="G644" i="16"/>
  <c r="H644" i="16"/>
  <c r="E645" i="16"/>
  <c r="F645" i="16"/>
  <c r="G645" i="16"/>
  <c r="H645" i="16"/>
  <c r="E646" i="16"/>
  <c r="F646" i="16"/>
  <c r="G646" i="16"/>
  <c r="H646" i="16"/>
  <c r="E647" i="16"/>
  <c r="F647" i="16"/>
  <c r="G647" i="16"/>
  <c r="H647" i="16"/>
  <c r="E648" i="16"/>
  <c r="F648" i="16"/>
  <c r="G648" i="16"/>
  <c r="H648" i="16"/>
  <c r="E649" i="16"/>
  <c r="F649" i="16"/>
  <c r="G649" i="16"/>
  <c r="H649" i="16"/>
  <c r="E650" i="16"/>
  <c r="F650" i="16"/>
  <c r="G650" i="16"/>
  <c r="H650" i="16"/>
  <c r="E651" i="16"/>
  <c r="F651" i="16"/>
  <c r="G651" i="16"/>
  <c r="H651" i="16"/>
  <c r="E652" i="16"/>
  <c r="F652" i="16"/>
  <c r="G652" i="16"/>
  <c r="H652" i="16"/>
  <c r="E653" i="16"/>
  <c r="F653" i="16"/>
  <c r="G653" i="16"/>
  <c r="H653" i="16"/>
  <c r="E654" i="16"/>
  <c r="F654" i="16"/>
  <c r="G654" i="16"/>
  <c r="H654" i="16"/>
  <c r="E655" i="16"/>
  <c r="F655" i="16"/>
  <c r="G655" i="16"/>
  <c r="H655" i="16"/>
  <c r="E656" i="16"/>
  <c r="F656" i="16"/>
  <c r="G656" i="16"/>
  <c r="H656" i="16"/>
  <c r="E657" i="16"/>
  <c r="F657" i="16"/>
  <c r="G657" i="16"/>
  <c r="H657" i="16"/>
  <c r="E658" i="16"/>
  <c r="F658" i="16"/>
  <c r="G658" i="16"/>
  <c r="H658" i="16"/>
  <c r="E659" i="16"/>
  <c r="F659" i="16"/>
  <c r="G659" i="16"/>
  <c r="H659" i="16"/>
  <c r="E660" i="16"/>
  <c r="F660" i="16"/>
  <c r="G660" i="16"/>
  <c r="H660" i="16"/>
  <c r="E661" i="16"/>
  <c r="F661" i="16"/>
  <c r="G661" i="16"/>
  <c r="H661" i="16"/>
  <c r="E662" i="16"/>
  <c r="F662" i="16"/>
  <c r="G662" i="16"/>
  <c r="H662" i="16"/>
  <c r="E663" i="16"/>
  <c r="F663" i="16"/>
  <c r="G663" i="16"/>
  <c r="H663" i="16"/>
  <c r="E664" i="16"/>
  <c r="F664" i="16"/>
  <c r="G664" i="16"/>
  <c r="H664" i="16"/>
  <c r="E665" i="16"/>
  <c r="F665" i="16"/>
  <c r="G665" i="16"/>
  <c r="H665" i="16"/>
  <c r="E666" i="16"/>
  <c r="F666" i="16"/>
  <c r="G666" i="16"/>
  <c r="H666" i="16"/>
  <c r="E667" i="16"/>
  <c r="F667" i="16"/>
  <c r="G667" i="16"/>
  <c r="H667" i="16"/>
  <c r="E668" i="16"/>
  <c r="F668" i="16"/>
  <c r="G668" i="16"/>
  <c r="H668" i="16"/>
  <c r="E669" i="16"/>
  <c r="F669" i="16"/>
  <c r="G669" i="16"/>
  <c r="H669" i="16"/>
  <c r="E670" i="16"/>
  <c r="F670" i="16"/>
  <c r="G670" i="16"/>
  <c r="H670" i="16"/>
  <c r="E671" i="16"/>
  <c r="F671" i="16"/>
  <c r="G671" i="16"/>
  <c r="H671" i="16"/>
  <c r="E672" i="16"/>
  <c r="F672" i="16"/>
  <c r="G672" i="16"/>
  <c r="H672" i="16"/>
  <c r="E673" i="16"/>
  <c r="F673" i="16"/>
  <c r="G673" i="16"/>
  <c r="H673" i="16"/>
  <c r="E674" i="16"/>
  <c r="F674" i="16"/>
  <c r="G674" i="16"/>
  <c r="H674" i="16"/>
  <c r="E675" i="16"/>
  <c r="F675" i="16"/>
  <c r="G675" i="16"/>
  <c r="H675" i="16"/>
  <c r="E676" i="16"/>
  <c r="F676" i="16"/>
  <c r="G676" i="16"/>
  <c r="H676" i="16"/>
  <c r="E677" i="16"/>
  <c r="F677" i="16"/>
  <c r="G677" i="16"/>
  <c r="H677" i="16"/>
  <c r="E678" i="16"/>
  <c r="F678" i="16"/>
  <c r="G678" i="16"/>
  <c r="H678" i="16"/>
  <c r="E679" i="16"/>
  <c r="F679" i="16"/>
  <c r="G679" i="16"/>
  <c r="H679" i="16"/>
  <c r="E680" i="16"/>
  <c r="F680" i="16"/>
  <c r="G680" i="16"/>
  <c r="H680" i="16"/>
  <c r="E681" i="16"/>
  <c r="F681" i="16"/>
  <c r="G681" i="16"/>
  <c r="H681" i="16"/>
  <c r="E682" i="16"/>
  <c r="F682" i="16"/>
  <c r="G682" i="16"/>
  <c r="H682" i="16"/>
  <c r="E683" i="16"/>
  <c r="F683" i="16"/>
  <c r="G683" i="16"/>
  <c r="H683" i="16"/>
  <c r="E684" i="16"/>
  <c r="F684" i="16"/>
  <c r="G684" i="16"/>
  <c r="H684" i="16"/>
  <c r="E685" i="16"/>
  <c r="F685" i="16"/>
  <c r="G685" i="16"/>
  <c r="H685" i="16"/>
  <c r="E686" i="16"/>
  <c r="F686" i="16"/>
  <c r="G686" i="16"/>
  <c r="H686" i="16"/>
  <c r="E687" i="16"/>
  <c r="F687" i="16"/>
  <c r="G687" i="16"/>
  <c r="H687" i="16"/>
  <c r="E688" i="16"/>
  <c r="F688" i="16"/>
  <c r="G688" i="16"/>
  <c r="H688" i="16"/>
  <c r="E689" i="16"/>
  <c r="F689" i="16"/>
  <c r="G689" i="16"/>
  <c r="H689" i="16"/>
  <c r="E690" i="16"/>
  <c r="F690" i="16"/>
  <c r="G690" i="16"/>
  <c r="H690" i="16"/>
  <c r="E691" i="16"/>
  <c r="F691" i="16"/>
  <c r="G691" i="16"/>
  <c r="H691" i="16"/>
  <c r="E692" i="16"/>
  <c r="F692" i="16"/>
  <c r="G692" i="16"/>
  <c r="H692" i="16"/>
  <c r="E693" i="16"/>
  <c r="F693" i="16"/>
  <c r="G693" i="16"/>
  <c r="H693" i="16"/>
  <c r="E694" i="16"/>
  <c r="F694" i="16"/>
  <c r="G694" i="16"/>
  <c r="H694" i="16"/>
  <c r="E695" i="16"/>
  <c r="F695" i="16"/>
  <c r="G695" i="16"/>
  <c r="H695" i="16"/>
  <c r="E696" i="16"/>
  <c r="F696" i="16"/>
  <c r="G696" i="16"/>
  <c r="H696" i="16"/>
  <c r="E697" i="16"/>
  <c r="F697" i="16"/>
  <c r="G697" i="16"/>
  <c r="H697" i="16"/>
  <c r="E698" i="16"/>
  <c r="F698" i="16"/>
  <c r="G698" i="16"/>
  <c r="H698" i="16"/>
  <c r="E699" i="16"/>
  <c r="F699" i="16"/>
  <c r="G699" i="16"/>
  <c r="H699" i="16"/>
  <c r="E700" i="16"/>
  <c r="F700" i="16"/>
  <c r="G700" i="16"/>
  <c r="H700" i="16"/>
  <c r="E701" i="16"/>
  <c r="F701" i="16"/>
  <c r="G701" i="16"/>
  <c r="H701" i="16"/>
  <c r="E702" i="16"/>
  <c r="F702" i="16"/>
  <c r="G702" i="16"/>
  <c r="H702" i="16"/>
  <c r="E703" i="16"/>
  <c r="F703" i="16"/>
  <c r="G703" i="16"/>
  <c r="H703" i="16"/>
  <c r="E704" i="16"/>
  <c r="F704" i="16"/>
  <c r="G704" i="16"/>
  <c r="H704" i="16"/>
  <c r="E705" i="16"/>
  <c r="F705" i="16"/>
  <c r="G705" i="16"/>
  <c r="H705" i="16"/>
  <c r="E706" i="16"/>
  <c r="F706" i="16"/>
  <c r="G706" i="16"/>
  <c r="H706" i="16"/>
  <c r="E707" i="16"/>
  <c r="F707" i="16"/>
  <c r="G707" i="16"/>
  <c r="H707" i="16"/>
  <c r="E708" i="16"/>
  <c r="F708" i="16"/>
  <c r="G708" i="16"/>
  <c r="H708" i="16"/>
  <c r="E709" i="16"/>
  <c r="F709" i="16"/>
  <c r="G709" i="16"/>
  <c r="H709" i="16"/>
  <c r="E710" i="16"/>
  <c r="F710" i="16"/>
  <c r="G710" i="16"/>
  <c r="H710" i="16"/>
  <c r="E711" i="16"/>
  <c r="F711" i="16"/>
  <c r="G711" i="16"/>
  <c r="H711" i="16"/>
  <c r="E712" i="16"/>
  <c r="F712" i="16"/>
  <c r="G712" i="16"/>
  <c r="H712" i="16"/>
  <c r="E713" i="16"/>
  <c r="F713" i="16"/>
  <c r="G713" i="16"/>
  <c r="H713" i="16"/>
  <c r="E714" i="16"/>
  <c r="F714" i="16"/>
  <c r="G714" i="16"/>
  <c r="H714" i="16"/>
  <c r="E715" i="16"/>
  <c r="F715" i="16"/>
  <c r="G715" i="16"/>
  <c r="H715" i="16"/>
  <c r="E716" i="16"/>
  <c r="F716" i="16"/>
  <c r="G716" i="16"/>
  <c r="H716" i="16"/>
  <c r="E717" i="16"/>
  <c r="F717" i="16"/>
  <c r="G717" i="16"/>
  <c r="H717" i="16"/>
  <c r="E718" i="16"/>
  <c r="F718" i="16"/>
  <c r="G718" i="16"/>
  <c r="H718" i="16"/>
  <c r="E719" i="16"/>
  <c r="F719" i="16"/>
  <c r="G719" i="16"/>
  <c r="H719" i="16"/>
  <c r="E720" i="16"/>
  <c r="F720" i="16"/>
  <c r="G720" i="16"/>
  <c r="H720" i="16"/>
  <c r="E721" i="16"/>
  <c r="F721" i="16"/>
  <c r="G721" i="16"/>
  <c r="H721" i="16"/>
  <c r="E722" i="16"/>
  <c r="F722" i="16"/>
  <c r="G722" i="16"/>
  <c r="H722" i="16"/>
  <c r="E723" i="16"/>
  <c r="F723" i="16"/>
  <c r="G723" i="16"/>
  <c r="H723" i="16"/>
  <c r="E724" i="16"/>
  <c r="F724" i="16"/>
  <c r="G724" i="16"/>
  <c r="H724" i="16"/>
  <c r="E725" i="16"/>
  <c r="F725" i="16"/>
  <c r="G725" i="16"/>
  <c r="H725" i="16"/>
  <c r="E726" i="16"/>
  <c r="F726" i="16"/>
  <c r="G726" i="16"/>
  <c r="H726" i="16"/>
  <c r="E727" i="16"/>
  <c r="F727" i="16"/>
  <c r="G727" i="16"/>
  <c r="H727" i="16"/>
  <c r="E728" i="16"/>
  <c r="F728" i="16"/>
  <c r="G728" i="16"/>
  <c r="H728" i="16"/>
  <c r="E729" i="16"/>
  <c r="F729" i="16"/>
  <c r="G729" i="16"/>
  <c r="H729" i="16"/>
  <c r="E730" i="16"/>
  <c r="F730" i="16"/>
  <c r="G730" i="16"/>
  <c r="H730" i="16"/>
  <c r="E731" i="16"/>
  <c r="F731" i="16"/>
  <c r="G731" i="16"/>
  <c r="H731" i="16"/>
  <c r="E732" i="16"/>
  <c r="F732" i="16"/>
  <c r="G732" i="16"/>
  <c r="H732" i="16"/>
  <c r="E733" i="16"/>
  <c r="F733" i="16"/>
  <c r="G733" i="16"/>
  <c r="H733" i="16"/>
  <c r="E734" i="16"/>
  <c r="F734" i="16"/>
  <c r="G734" i="16"/>
  <c r="H734" i="16"/>
  <c r="E735" i="16"/>
  <c r="F735" i="16"/>
  <c r="G735" i="16"/>
  <c r="H735" i="16"/>
  <c r="E736" i="16"/>
  <c r="F736" i="16"/>
  <c r="G736" i="16"/>
  <c r="H736" i="16"/>
  <c r="E737" i="16"/>
  <c r="F737" i="16"/>
  <c r="G737" i="16"/>
  <c r="H737" i="16"/>
  <c r="E738" i="16"/>
  <c r="F738" i="16"/>
  <c r="G738" i="16"/>
  <c r="H738" i="16"/>
  <c r="E739" i="16"/>
  <c r="F739" i="16"/>
  <c r="G739" i="16"/>
  <c r="H739" i="16"/>
  <c r="E740" i="16"/>
  <c r="F740" i="16"/>
  <c r="G740" i="16"/>
  <c r="H740" i="16"/>
  <c r="E741" i="16"/>
  <c r="F741" i="16"/>
  <c r="G741" i="16"/>
  <c r="H741" i="16"/>
  <c r="E742" i="16"/>
  <c r="F742" i="16"/>
  <c r="G742" i="16"/>
  <c r="H742" i="16"/>
  <c r="E743" i="16"/>
  <c r="F743" i="16"/>
  <c r="G743" i="16"/>
  <c r="H743" i="16"/>
  <c r="E744" i="16"/>
  <c r="F744" i="16"/>
  <c r="G744" i="16"/>
  <c r="H744" i="16"/>
  <c r="E745" i="16"/>
  <c r="F745" i="16"/>
  <c r="G745" i="16"/>
  <c r="H745" i="16"/>
  <c r="E746" i="16"/>
  <c r="F746" i="16"/>
  <c r="G746" i="16"/>
  <c r="H746" i="16"/>
  <c r="E747" i="16"/>
  <c r="F747" i="16"/>
  <c r="G747" i="16"/>
  <c r="H747" i="16"/>
  <c r="E748" i="16"/>
  <c r="F748" i="16"/>
  <c r="G748" i="16"/>
  <c r="H748" i="16"/>
  <c r="E749" i="16"/>
  <c r="F749" i="16"/>
  <c r="G749" i="16"/>
  <c r="H749" i="16"/>
  <c r="E750" i="16"/>
  <c r="F750" i="16"/>
  <c r="G750" i="16"/>
  <c r="H750" i="16"/>
  <c r="E751" i="16"/>
  <c r="F751" i="16"/>
  <c r="G751" i="16"/>
  <c r="H751" i="16"/>
  <c r="E752" i="16"/>
  <c r="F752" i="16"/>
  <c r="G752" i="16"/>
  <c r="H752" i="16"/>
  <c r="E753" i="16"/>
  <c r="F753" i="16"/>
  <c r="G753" i="16"/>
  <c r="H753" i="16"/>
  <c r="E754" i="16"/>
  <c r="F754" i="16"/>
  <c r="G754" i="16"/>
  <c r="H754" i="16"/>
  <c r="E755" i="16"/>
  <c r="F755" i="16"/>
  <c r="G755" i="16"/>
  <c r="H755" i="16"/>
  <c r="E756" i="16"/>
  <c r="F756" i="16"/>
  <c r="G756" i="16"/>
  <c r="H756" i="16"/>
  <c r="E757" i="16"/>
  <c r="F757" i="16"/>
  <c r="G757" i="16"/>
  <c r="H757" i="16"/>
  <c r="E758" i="16"/>
  <c r="F758" i="16"/>
  <c r="G758" i="16"/>
  <c r="H758" i="16"/>
  <c r="E759" i="16"/>
  <c r="F759" i="16"/>
  <c r="G759" i="16"/>
  <c r="H759" i="16"/>
  <c r="E760" i="16"/>
  <c r="F760" i="16"/>
  <c r="G760" i="16"/>
  <c r="H760" i="16"/>
  <c r="E761" i="16"/>
  <c r="F761" i="16"/>
  <c r="G761" i="16"/>
  <c r="H761" i="16"/>
  <c r="E762" i="16"/>
  <c r="F762" i="16"/>
  <c r="G762" i="16"/>
  <c r="H762" i="16"/>
  <c r="E763" i="16"/>
  <c r="F763" i="16"/>
  <c r="G763" i="16"/>
  <c r="H763" i="16"/>
  <c r="E764" i="16"/>
  <c r="F764" i="16"/>
  <c r="G764" i="16"/>
  <c r="H764" i="16"/>
  <c r="E765" i="16"/>
  <c r="F765" i="16"/>
  <c r="G765" i="16"/>
  <c r="H765" i="16"/>
  <c r="E766" i="16"/>
  <c r="F766" i="16"/>
  <c r="G766" i="16"/>
  <c r="H766" i="16"/>
  <c r="E767" i="16"/>
  <c r="F767" i="16"/>
  <c r="G767" i="16"/>
  <c r="H767" i="16"/>
  <c r="E768" i="16"/>
  <c r="F768" i="16"/>
  <c r="G768" i="16"/>
  <c r="H768" i="16"/>
  <c r="E769" i="16"/>
  <c r="F769" i="16"/>
  <c r="G769" i="16"/>
  <c r="H769" i="16"/>
  <c r="E770" i="16"/>
  <c r="F770" i="16"/>
  <c r="G770" i="16"/>
  <c r="H770" i="16"/>
  <c r="E771" i="16"/>
  <c r="F771" i="16"/>
  <c r="G771" i="16"/>
  <c r="H771" i="16"/>
  <c r="E772" i="16"/>
  <c r="F772" i="16"/>
  <c r="G772" i="16"/>
  <c r="H772" i="16"/>
  <c r="E773" i="16"/>
  <c r="F773" i="16"/>
  <c r="G773" i="16"/>
  <c r="H773" i="16"/>
  <c r="E774" i="16"/>
  <c r="F774" i="16"/>
  <c r="G774" i="16"/>
  <c r="H774" i="16"/>
  <c r="E775" i="16"/>
  <c r="F775" i="16"/>
  <c r="G775" i="16"/>
  <c r="H775" i="16"/>
  <c r="E776" i="16"/>
  <c r="F776" i="16"/>
  <c r="G776" i="16"/>
  <c r="H776" i="16"/>
  <c r="E777" i="16"/>
  <c r="F777" i="16"/>
  <c r="G777" i="16"/>
  <c r="H777" i="16"/>
  <c r="E778" i="16"/>
  <c r="F778" i="16"/>
  <c r="G778" i="16"/>
  <c r="H778" i="16"/>
  <c r="E779" i="16"/>
  <c r="F779" i="16"/>
  <c r="G779" i="16"/>
  <c r="H779" i="16"/>
  <c r="E780" i="16"/>
  <c r="F780" i="16"/>
  <c r="G780" i="16"/>
  <c r="H780" i="16"/>
  <c r="E781" i="16"/>
  <c r="F781" i="16"/>
  <c r="G781" i="16"/>
  <c r="H781" i="16"/>
  <c r="E782" i="16"/>
  <c r="F782" i="16"/>
  <c r="G782" i="16"/>
  <c r="H782" i="16"/>
  <c r="E783" i="16"/>
  <c r="F783" i="16"/>
  <c r="G783" i="16"/>
  <c r="H783" i="16"/>
  <c r="E784" i="16"/>
  <c r="F784" i="16"/>
  <c r="G784" i="16"/>
  <c r="H784" i="16"/>
  <c r="E785" i="16"/>
  <c r="F785" i="16"/>
  <c r="G785" i="16"/>
  <c r="H785" i="16"/>
  <c r="E786" i="16"/>
  <c r="F786" i="16"/>
  <c r="G786" i="16"/>
  <c r="H786" i="16"/>
  <c r="E787" i="16"/>
  <c r="F787" i="16"/>
  <c r="G787" i="16"/>
  <c r="H787" i="16"/>
  <c r="E788" i="16"/>
  <c r="F788" i="16"/>
  <c r="G788" i="16"/>
  <c r="H788" i="16"/>
  <c r="E789" i="16"/>
  <c r="F789" i="16"/>
  <c r="G789" i="16"/>
  <c r="H789" i="16"/>
  <c r="E790" i="16"/>
  <c r="F790" i="16"/>
  <c r="G790" i="16"/>
  <c r="H790" i="16"/>
  <c r="E791" i="16"/>
  <c r="F791" i="16"/>
  <c r="G791" i="16"/>
  <c r="H791" i="16"/>
  <c r="E792" i="16"/>
  <c r="F792" i="16"/>
  <c r="G792" i="16"/>
  <c r="H792" i="16"/>
  <c r="E793" i="16"/>
  <c r="F793" i="16"/>
  <c r="G793" i="16"/>
  <c r="H793" i="16"/>
  <c r="E794" i="16"/>
  <c r="F794" i="16"/>
  <c r="G794" i="16"/>
  <c r="H794" i="16"/>
  <c r="E795" i="16"/>
  <c r="F795" i="16"/>
  <c r="G795" i="16"/>
  <c r="H795" i="16"/>
  <c r="E796" i="16"/>
  <c r="F796" i="16"/>
  <c r="G796" i="16"/>
  <c r="H796" i="16"/>
  <c r="E797" i="16"/>
  <c r="F797" i="16"/>
  <c r="G797" i="16"/>
  <c r="H797" i="16"/>
  <c r="E798" i="16"/>
  <c r="F798" i="16"/>
  <c r="G798" i="16"/>
  <c r="H798" i="16"/>
  <c r="E799" i="16"/>
  <c r="F799" i="16"/>
  <c r="G799" i="16"/>
  <c r="H799" i="16"/>
  <c r="E800" i="16"/>
  <c r="F800" i="16"/>
  <c r="G800" i="16"/>
  <c r="H800" i="16"/>
  <c r="E801" i="16"/>
  <c r="F801" i="16"/>
  <c r="G801" i="16"/>
  <c r="H801" i="16"/>
  <c r="E802" i="16"/>
  <c r="F802" i="16"/>
  <c r="G802" i="16"/>
  <c r="H802" i="16"/>
  <c r="E803" i="16"/>
  <c r="F803" i="16"/>
  <c r="G803" i="16"/>
  <c r="H803" i="16"/>
  <c r="E804" i="16"/>
  <c r="F804" i="16"/>
  <c r="G804" i="16"/>
  <c r="H804" i="16"/>
  <c r="E805" i="16"/>
  <c r="F805" i="16"/>
  <c r="G805" i="16"/>
  <c r="H805" i="16"/>
  <c r="E806" i="16"/>
  <c r="F806" i="16"/>
  <c r="G806" i="16"/>
  <c r="H806" i="16"/>
  <c r="E807" i="16"/>
  <c r="F807" i="16"/>
  <c r="G807" i="16"/>
  <c r="H807" i="16"/>
  <c r="E808" i="16"/>
  <c r="F808" i="16"/>
  <c r="G808" i="16"/>
  <c r="H808" i="16"/>
  <c r="E809" i="16"/>
  <c r="F809" i="16"/>
  <c r="G809" i="16"/>
  <c r="H809" i="16"/>
  <c r="E810" i="16"/>
  <c r="F810" i="16"/>
  <c r="G810" i="16"/>
  <c r="H810" i="16"/>
  <c r="E811" i="16"/>
  <c r="F811" i="16"/>
  <c r="G811" i="16"/>
  <c r="H811" i="16"/>
  <c r="E812" i="16"/>
  <c r="F812" i="16"/>
  <c r="G812" i="16"/>
  <c r="H812" i="16"/>
  <c r="E813" i="16"/>
  <c r="F813" i="16"/>
  <c r="G813" i="16"/>
  <c r="H813" i="16"/>
  <c r="E814" i="16"/>
  <c r="F814" i="16"/>
  <c r="G814" i="16"/>
  <c r="H814" i="16"/>
  <c r="E815" i="16"/>
  <c r="F815" i="16"/>
  <c r="G815" i="16"/>
  <c r="H815" i="16"/>
  <c r="E816" i="16"/>
  <c r="F816" i="16"/>
  <c r="G816" i="16"/>
  <c r="H816" i="16"/>
  <c r="E817" i="16"/>
  <c r="F817" i="16"/>
  <c r="G817" i="16"/>
  <c r="H817" i="16"/>
  <c r="E818" i="16"/>
  <c r="F818" i="16"/>
  <c r="G818" i="16"/>
  <c r="H818" i="16"/>
  <c r="E819" i="16"/>
  <c r="F819" i="16"/>
  <c r="G819" i="16"/>
  <c r="H819" i="16"/>
  <c r="E820" i="16"/>
  <c r="F820" i="16"/>
  <c r="G820" i="16"/>
  <c r="H820" i="16"/>
  <c r="E821" i="16"/>
  <c r="F821" i="16"/>
  <c r="G821" i="16"/>
  <c r="H821" i="16"/>
  <c r="E822" i="16"/>
  <c r="F822" i="16"/>
  <c r="G822" i="16"/>
  <c r="H822" i="16"/>
  <c r="E823" i="16"/>
  <c r="F823" i="16"/>
  <c r="G823" i="16"/>
  <c r="H823" i="16"/>
  <c r="E824" i="16"/>
  <c r="F824" i="16"/>
  <c r="G824" i="16"/>
  <c r="H824" i="16"/>
  <c r="E825" i="16"/>
  <c r="F825" i="16"/>
  <c r="G825" i="16"/>
  <c r="H825" i="16"/>
  <c r="E826" i="16"/>
  <c r="F826" i="16"/>
  <c r="G826" i="16"/>
  <c r="H826" i="16"/>
  <c r="E827" i="16"/>
  <c r="F827" i="16"/>
  <c r="G827" i="16"/>
  <c r="H827" i="16"/>
  <c r="E828" i="16"/>
  <c r="F828" i="16"/>
  <c r="G828" i="16"/>
  <c r="H828" i="16"/>
  <c r="E829" i="16"/>
  <c r="F829" i="16"/>
  <c r="G829" i="16"/>
  <c r="H829" i="16"/>
  <c r="E830" i="16"/>
  <c r="F830" i="16"/>
  <c r="G830" i="16"/>
  <c r="H830" i="16"/>
  <c r="E831" i="16"/>
  <c r="F831" i="16"/>
  <c r="G831" i="16"/>
  <c r="H831" i="16"/>
  <c r="E832" i="16"/>
  <c r="F832" i="16"/>
  <c r="G832" i="16"/>
  <c r="H832" i="16"/>
  <c r="E833" i="16"/>
  <c r="F833" i="16"/>
  <c r="G833" i="16"/>
  <c r="H833" i="16"/>
  <c r="E834" i="16"/>
  <c r="F834" i="16"/>
  <c r="G834" i="16"/>
  <c r="H834" i="16"/>
  <c r="E835" i="16"/>
  <c r="F835" i="16"/>
  <c r="G835" i="16"/>
  <c r="H835" i="16"/>
  <c r="E836" i="16"/>
  <c r="F836" i="16"/>
  <c r="G836" i="16"/>
  <c r="H836" i="16"/>
  <c r="E837" i="16"/>
  <c r="F837" i="16"/>
  <c r="G837" i="16"/>
  <c r="H837" i="16"/>
  <c r="E838" i="16"/>
  <c r="F838" i="16"/>
  <c r="G838" i="16"/>
  <c r="H838" i="16"/>
  <c r="E839" i="16"/>
  <c r="F839" i="16"/>
  <c r="G839" i="16"/>
  <c r="H839" i="16"/>
  <c r="E840" i="16"/>
  <c r="F840" i="16"/>
  <c r="G840" i="16"/>
  <c r="H840" i="16"/>
  <c r="E841" i="16"/>
  <c r="F841" i="16"/>
  <c r="G841" i="16"/>
  <c r="H841" i="16"/>
  <c r="E842" i="16"/>
  <c r="F842" i="16"/>
  <c r="G842" i="16"/>
  <c r="H842" i="16"/>
  <c r="E843" i="16"/>
  <c r="F843" i="16"/>
  <c r="G843" i="16"/>
  <c r="H843" i="16"/>
  <c r="E844" i="16"/>
  <c r="F844" i="16"/>
  <c r="G844" i="16"/>
  <c r="H844" i="16"/>
  <c r="E845" i="16"/>
  <c r="F845" i="16"/>
  <c r="G845" i="16"/>
  <c r="H845" i="16"/>
  <c r="E846" i="16"/>
  <c r="F846" i="16"/>
  <c r="G846" i="16"/>
  <c r="H846" i="16"/>
  <c r="E847" i="16"/>
  <c r="F847" i="16"/>
  <c r="G847" i="16"/>
  <c r="H847" i="16"/>
  <c r="E848" i="16"/>
  <c r="F848" i="16"/>
  <c r="G848" i="16"/>
  <c r="H848" i="16"/>
  <c r="E849" i="16"/>
  <c r="F849" i="16"/>
  <c r="G849" i="16"/>
  <c r="H849" i="16"/>
  <c r="E850" i="16"/>
  <c r="F850" i="16"/>
  <c r="G850" i="16"/>
  <c r="H850" i="16"/>
  <c r="E851" i="16"/>
  <c r="F851" i="16"/>
  <c r="G851" i="16"/>
  <c r="H851" i="16"/>
  <c r="E852" i="16"/>
  <c r="F852" i="16"/>
  <c r="G852" i="16"/>
  <c r="H852" i="16"/>
  <c r="E853" i="16"/>
  <c r="F853" i="16"/>
  <c r="G853" i="16"/>
  <c r="H853" i="16"/>
  <c r="E854" i="16"/>
  <c r="F854" i="16"/>
  <c r="G854" i="16"/>
  <c r="H854" i="16"/>
  <c r="E855" i="16"/>
  <c r="F855" i="16"/>
  <c r="G855" i="16"/>
  <c r="H855" i="16"/>
  <c r="E856" i="16"/>
  <c r="F856" i="16"/>
  <c r="G856" i="16"/>
  <c r="H856" i="16"/>
  <c r="E857" i="16"/>
  <c r="F857" i="16"/>
  <c r="G857" i="16"/>
  <c r="H857" i="16"/>
  <c r="E858" i="16"/>
  <c r="F858" i="16"/>
  <c r="G858" i="16"/>
  <c r="H858" i="16"/>
  <c r="E859" i="16"/>
  <c r="F859" i="16"/>
  <c r="G859" i="16"/>
  <c r="H859" i="16"/>
  <c r="E860" i="16"/>
  <c r="F860" i="16"/>
  <c r="G860" i="16"/>
  <c r="H860" i="16"/>
  <c r="E861" i="16"/>
  <c r="F861" i="16"/>
  <c r="G861" i="16"/>
  <c r="H861" i="16"/>
  <c r="E862" i="16"/>
  <c r="F862" i="16"/>
  <c r="G862" i="16"/>
  <c r="H862" i="16"/>
  <c r="E863" i="16"/>
  <c r="F863" i="16"/>
  <c r="G863" i="16"/>
  <c r="H863" i="16"/>
  <c r="E864" i="16"/>
  <c r="F864" i="16"/>
  <c r="G864" i="16"/>
  <c r="H864" i="16"/>
  <c r="E865" i="16"/>
  <c r="F865" i="16"/>
  <c r="G865" i="16"/>
  <c r="H865" i="16"/>
  <c r="E866" i="16"/>
  <c r="F866" i="16"/>
  <c r="G866" i="16"/>
  <c r="H866" i="16"/>
  <c r="E867" i="16"/>
  <c r="F867" i="16"/>
  <c r="G867" i="16"/>
  <c r="H867" i="16"/>
  <c r="E868" i="16"/>
  <c r="F868" i="16"/>
  <c r="G868" i="16"/>
  <c r="H868" i="16"/>
  <c r="E869" i="16"/>
  <c r="F869" i="16"/>
  <c r="G869" i="16"/>
  <c r="H869" i="16"/>
  <c r="E870" i="16"/>
  <c r="F870" i="16"/>
  <c r="G870" i="16"/>
  <c r="H870" i="16"/>
  <c r="E871" i="16"/>
  <c r="F871" i="16"/>
  <c r="G871" i="16"/>
  <c r="H871" i="16"/>
  <c r="E872" i="16"/>
  <c r="F872" i="16"/>
  <c r="G872" i="16"/>
  <c r="H872" i="16"/>
  <c r="E873" i="16"/>
  <c r="F873" i="16"/>
  <c r="G873" i="16"/>
  <c r="H873" i="16"/>
  <c r="E874" i="16"/>
  <c r="F874" i="16"/>
  <c r="G874" i="16"/>
  <c r="H874" i="16"/>
  <c r="E875" i="16"/>
  <c r="F875" i="16"/>
  <c r="G875" i="16"/>
  <c r="H875" i="16"/>
  <c r="E876" i="16"/>
  <c r="F876" i="16"/>
  <c r="G876" i="16"/>
  <c r="H876" i="16"/>
  <c r="E877" i="16"/>
  <c r="F877" i="16"/>
  <c r="G877" i="16"/>
  <c r="H877" i="16"/>
  <c r="E878" i="16"/>
  <c r="F878" i="16"/>
  <c r="G878" i="16"/>
  <c r="H878" i="16"/>
  <c r="E879" i="16"/>
  <c r="F879" i="16"/>
  <c r="G879" i="16"/>
  <c r="H879" i="16"/>
  <c r="E880" i="16"/>
  <c r="F880" i="16"/>
  <c r="G880" i="16"/>
  <c r="H880" i="16"/>
  <c r="E881" i="16"/>
  <c r="F881" i="16"/>
  <c r="G881" i="16"/>
  <c r="H881" i="16"/>
  <c r="E882" i="16"/>
  <c r="F882" i="16"/>
  <c r="G882" i="16"/>
  <c r="H882" i="16"/>
  <c r="E883" i="16"/>
  <c r="F883" i="16"/>
  <c r="G883" i="16"/>
  <c r="H883" i="16"/>
  <c r="E884" i="16"/>
  <c r="F884" i="16"/>
  <c r="G884" i="16"/>
  <c r="H884" i="16"/>
  <c r="E885" i="16"/>
  <c r="F885" i="16"/>
  <c r="G885" i="16"/>
  <c r="H885" i="16"/>
  <c r="E886" i="16"/>
  <c r="F886" i="16"/>
  <c r="G886" i="16"/>
  <c r="H886" i="16"/>
  <c r="E887" i="16"/>
  <c r="F887" i="16"/>
  <c r="G887" i="16"/>
  <c r="H887" i="16"/>
  <c r="E888" i="16"/>
  <c r="F888" i="16"/>
  <c r="G888" i="16"/>
  <c r="H888" i="16"/>
  <c r="E889" i="16"/>
  <c r="F889" i="16"/>
  <c r="G889" i="16"/>
  <c r="H889" i="16"/>
  <c r="E890" i="16"/>
  <c r="F890" i="16"/>
  <c r="G890" i="16"/>
  <c r="H890" i="16"/>
  <c r="E891" i="16"/>
  <c r="F891" i="16"/>
  <c r="G891" i="16"/>
  <c r="H891" i="16"/>
  <c r="E892" i="16"/>
  <c r="F892" i="16"/>
  <c r="G892" i="16"/>
  <c r="H892" i="16"/>
  <c r="E893" i="16"/>
  <c r="F893" i="16"/>
  <c r="G893" i="16"/>
  <c r="H893" i="16"/>
  <c r="E894" i="16"/>
  <c r="F894" i="16"/>
  <c r="G894" i="16"/>
  <c r="H894" i="16"/>
  <c r="E895" i="16"/>
  <c r="F895" i="16"/>
  <c r="G895" i="16"/>
  <c r="H895" i="16"/>
  <c r="E896" i="16"/>
  <c r="F896" i="16"/>
  <c r="G896" i="16"/>
  <c r="H896" i="16"/>
  <c r="E897" i="16"/>
  <c r="F897" i="16"/>
  <c r="G897" i="16"/>
  <c r="H897" i="16"/>
  <c r="E898" i="16"/>
  <c r="F898" i="16"/>
  <c r="G898" i="16"/>
  <c r="H898" i="16"/>
  <c r="E899" i="16"/>
  <c r="F899" i="16"/>
  <c r="G899" i="16"/>
  <c r="H899" i="16"/>
  <c r="E900" i="16"/>
  <c r="F900" i="16"/>
  <c r="G900" i="16"/>
  <c r="H900" i="16"/>
  <c r="E901" i="16"/>
  <c r="F901" i="16"/>
  <c r="G901" i="16"/>
  <c r="H901" i="16"/>
  <c r="E902" i="16"/>
  <c r="F902" i="16"/>
  <c r="G902" i="16"/>
  <c r="H902" i="16"/>
  <c r="E903" i="16"/>
  <c r="F903" i="16"/>
  <c r="G903" i="16"/>
  <c r="H903" i="16"/>
  <c r="E904" i="16"/>
  <c r="F904" i="16"/>
  <c r="G904" i="16"/>
  <c r="H904" i="16"/>
  <c r="E905" i="16"/>
  <c r="F905" i="16"/>
  <c r="G905" i="16"/>
  <c r="H905" i="16"/>
  <c r="E906" i="16"/>
  <c r="F906" i="16"/>
  <c r="G906" i="16"/>
  <c r="H906" i="16"/>
  <c r="E907" i="16"/>
  <c r="F907" i="16"/>
  <c r="G907" i="16"/>
  <c r="H907" i="16"/>
  <c r="E908" i="16"/>
  <c r="F908" i="16"/>
  <c r="G908" i="16"/>
  <c r="H908" i="16"/>
  <c r="E909" i="16"/>
  <c r="F909" i="16"/>
  <c r="G909" i="16"/>
  <c r="H909" i="16"/>
  <c r="E910" i="16"/>
  <c r="F910" i="16"/>
  <c r="G910" i="16"/>
  <c r="H910" i="16"/>
  <c r="E911" i="16"/>
  <c r="F911" i="16"/>
  <c r="G911" i="16"/>
  <c r="H911" i="16"/>
  <c r="E912" i="16"/>
  <c r="F912" i="16"/>
  <c r="G912" i="16"/>
  <c r="H912" i="16"/>
  <c r="E913" i="16"/>
  <c r="F913" i="16"/>
  <c r="G913" i="16"/>
  <c r="H913" i="16"/>
  <c r="E914" i="16"/>
  <c r="F914" i="16"/>
  <c r="G914" i="16"/>
  <c r="H914" i="16"/>
  <c r="E915" i="16"/>
  <c r="F915" i="16"/>
  <c r="G915" i="16"/>
  <c r="H915" i="16"/>
  <c r="E916" i="16"/>
  <c r="F916" i="16"/>
  <c r="G916" i="16"/>
  <c r="H916" i="16"/>
  <c r="E917" i="16"/>
  <c r="F917" i="16"/>
  <c r="G917" i="16"/>
  <c r="H917" i="16"/>
  <c r="E918" i="16"/>
  <c r="F918" i="16"/>
  <c r="G918" i="16"/>
  <c r="H918" i="16"/>
  <c r="E919" i="16"/>
  <c r="F919" i="16"/>
  <c r="G919" i="16"/>
  <c r="H919" i="16"/>
  <c r="E920" i="16"/>
  <c r="F920" i="16"/>
  <c r="G920" i="16"/>
  <c r="H920" i="16"/>
  <c r="E921" i="16"/>
  <c r="F921" i="16"/>
  <c r="G921" i="16"/>
  <c r="H921" i="16"/>
  <c r="E922" i="16"/>
  <c r="F922" i="16"/>
  <c r="G922" i="16"/>
  <c r="H922" i="16"/>
  <c r="E923" i="16"/>
  <c r="F923" i="16"/>
  <c r="G923" i="16"/>
  <c r="H923" i="16"/>
  <c r="E924" i="16"/>
  <c r="F924" i="16"/>
  <c r="G924" i="16"/>
  <c r="H924" i="16"/>
  <c r="E925" i="16"/>
  <c r="F925" i="16"/>
  <c r="G925" i="16"/>
  <c r="H925" i="16"/>
  <c r="E926" i="16"/>
  <c r="F926" i="16"/>
  <c r="G926" i="16"/>
  <c r="H926" i="16"/>
  <c r="E927" i="16"/>
  <c r="F927" i="16"/>
  <c r="G927" i="16"/>
  <c r="H927" i="16"/>
  <c r="E928" i="16"/>
  <c r="F928" i="16"/>
  <c r="G928" i="16"/>
  <c r="H928" i="16"/>
  <c r="E929" i="16"/>
  <c r="F929" i="16"/>
  <c r="G929" i="16"/>
  <c r="H929" i="16"/>
  <c r="E930" i="16"/>
  <c r="F930" i="16"/>
  <c r="G930" i="16"/>
  <c r="H930" i="16"/>
  <c r="E931" i="16"/>
  <c r="F931" i="16"/>
  <c r="G931" i="16"/>
  <c r="H931" i="16"/>
  <c r="E932" i="16"/>
  <c r="F932" i="16"/>
  <c r="G932" i="16"/>
  <c r="H932" i="16"/>
  <c r="E933" i="16"/>
  <c r="F933" i="16"/>
  <c r="G933" i="16"/>
  <c r="H933" i="16"/>
  <c r="E934" i="16"/>
  <c r="F934" i="16"/>
  <c r="G934" i="16"/>
  <c r="H934" i="16"/>
  <c r="E935" i="16"/>
  <c r="F935" i="16"/>
  <c r="G935" i="16"/>
  <c r="H935" i="16"/>
  <c r="E936" i="16"/>
  <c r="F936" i="16"/>
  <c r="G936" i="16"/>
  <c r="H936" i="16"/>
  <c r="E937" i="16"/>
  <c r="F937" i="16"/>
  <c r="G937" i="16"/>
  <c r="H937" i="16"/>
  <c r="E938" i="16"/>
  <c r="F938" i="16"/>
  <c r="G938" i="16"/>
  <c r="H938" i="16"/>
  <c r="E939" i="16"/>
  <c r="F939" i="16"/>
  <c r="G939" i="16"/>
  <c r="H939" i="16"/>
  <c r="E940" i="16"/>
  <c r="F940" i="16"/>
  <c r="G940" i="16"/>
  <c r="H940" i="16"/>
  <c r="E941" i="16"/>
  <c r="F941" i="16"/>
  <c r="G941" i="16"/>
  <c r="H941" i="16"/>
  <c r="E942" i="16"/>
  <c r="F942" i="16"/>
  <c r="G942" i="16"/>
  <c r="H942" i="16"/>
  <c r="E943" i="16"/>
  <c r="F943" i="16"/>
  <c r="G943" i="16"/>
  <c r="H943" i="16"/>
  <c r="E944" i="16"/>
  <c r="F944" i="16"/>
  <c r="G944" i="16"/>
  <c r="H944" i="16"/>
  <c r="E945" i="16"/>
  <c r="F945" i="16"/>
  <c r="G945" i="16"/>
  <c r="H945" i="16"/>
  <c r="E946" i="16"/>
  <c r="F946" i="16"/>
  <c r="G946" i="16"/>
  <c r="H946" i="16"/>
  <c r="E947" i="16"/>
  <c r="F947" i="16"/>
  <c r="G947" i="16"/>
  <c r="H947" i="16"/>
  <c r="E948" i="16"/>
  <c r="F948" i="16"/>
  <c r="G948" i="16"/>
  <c r="H948" i="16"/>
  <c r="E949" i="16"/>
  <c r="F949" i="16"/>
  <c r="G949" i="16"/>
  <c r="H949" i="16"/>
  <c r="E950" i="16"/>
  <c r="F950" i="16"/>
  <c r="G950" i="16"/>
  <c r="H950" i="16"/>
  <c r="E951" i="16"/>
  <c r="F951" i="16"/>
  <c r="G951" i="16"/>
  <c r="H951" i="16"/>
  <c r="E952" i="16"/>
  <c r="F952" i="16"/>
  <c r="G952" i="16"/>
  <c r="H952" i="16"/>
  <c r="E953" i="16"/>
  <c r="F953" i="16"/>
  <c r="G953" i="16"/>
  <c r="H953" i="16"/>
  <c r="E954" i="16"/>
  <c r="F954" i="16"/>
  <c r="G954" i="16"/>
  <c r="H954" i="16"/>
  <c r="E955" i="16"/>
  <c r="F955" i="16"/>
  <c r="G955" i="16"/>
  <c r="H955" i="16"/>
  <c r="E956" i="16"/>
  <c r="F956" i="16"/>
  <c r="G956" i="16"/>
  <c r="H956" i="16"/>
  <c r="E957" i="16"/>
  <c r="F957" i="16"/>
  <c r="G957" i="16"/>
  <c r="H957" i="16"/>
  <c r="E958" i="16"/>
  <c r="F958" i="16"/>
  <c r="G958" i="16"/>
  <c r="H958" i="16"/>
  <c r="E959" i="16"/>
  <c r="F959" i="16"/>
  <c r="G959" i="16"/>
  <c r="H959" i="16"/>
  <c r="E960" i="16"/>
  <c r="F960" i="16"/>
  <c r="G960" i="16"/>
  <c r="H960" i="16"/>
  <c r="E961" i="16"/>
  <c r="F961" i="16"/>
  <c r="G961" i="16"/>
  <c r="H961" i="16"/>
  <c r="E962" i="16"/>
  <c r="F962" i="16"/>
  <c r="G962" i="16"/>
  <c r="H962" i="16"/>
  <c r="E963" i="16"/>
  <c r="F963" i="16"/>
  <c r="G963" i="16"/>
  <c r="H963" i="16"/>
  <c r="E964" i="16"/>
  <c r="F964" i="16"/>
  <c r="G964" i="16"/>
  <c r="H964" i="16"/>
  <c r="E965" i="16"/>
  <c r="F965" i="16"/>
  <c r="G965" i="16"/>
  <c r="H965" i="16"/>
  <c r="E966" i="16"/>
  <c r="F966" i="16"/>
  <c r="G966" i="16"/>
  <c r="H966" i="16"/>
  <c r="E967" i="16"/>
  <c r="F967" i="16"/>
  <c r="G967" i="16"/>
  <c r="H967" i="16"/>
  <c r="E968" i="16"/>
  <c r="F968" i="16"/>
  <c r="G968" i="16"/>
  <c r="H968" i="16"/>
  <c r="E969" i="16"/>
  <c r="F969" i="16"/>
  <c r="G969" i="16"/>
  <c r="H969" i="16"/>
  <c r="E970" i="16"/>
  <c r="F970" i="16"/>
  <c r="G970" i="16"/>
  <c r="H970" i="16"/>
  <c r="E971" i="16"/>
  <c r="F971" i="16"/>
  <c r="G971" i="16"/>
  <c r="H971" i="16"/>
  <c r="E972" i="16"/>
  <c r="F972" i="16"/>
  <c r="G972" i="16"/>
  <c r="H972" i="16"/>
  <c r="E973" i="16"/>
  <c r="F973" i="16"/>
  <c r="G973" i="16"/>
  <c r="H973" i="16"/>
  <c r="E974" i="16"/>
  <c r="F974" i="16"/>
  <c r="G974" i="16"/>
  <c r="H974" i="16"/>
  <c r="E975" i="16"/>
  <c r="F975" i="16"/>
  <c r="G975" i="16"/>
  <c r="H975" i="16"/>
  <c r="E976" i="16"/>
  <c r="F976" i="16"/>
  <c r="G976" i="16"/>
  <c r="H976" i="16"/>
  <c r="E977" i="16"/>
  <c r="F977" i="16"/>
  <c r="G977" i="16"/>
  <c r="H977" i="16"/>
  <c r="E978" i="16"/>
  <c r="F978" i="16"/>
  <c r="G978" i="16"/>
  <c r="H978" i="16"/>
  <c r="E979" i="16"/>
  <c r="F979" i="16"/>
  <c r="G979" i="16"/>
  <c r="H979" i="16"/>
  <c r="E980" i="16"/>
  <c r="F980" i="16"/>
  <c r="G980" i="16"/>
  <c r="H980" i="16"/>
  <c r="E981" i="16"/>
  <c r="F981" i="16"/>
  <c r="G981" i="16"/>
  <c r="H981" i="16"/>
  <c r="E982" i="16"/>
  <c r="F982" i="16"/>
  <c r="G982" i="16"/>
  <c r="H982" i="16"/>
  <c r="E983" i="16"/>
  <c r="F983" i="16"/>
  <c r="G983" i="16"/>
  <c r="H983" i="16"/>
  <c r="E984" i="16"/>
  <c r="F984" i="16"/>
  <c r="G984" i="16"/>
  <c r="H984" i="16"/>
  <c r="E985" i="16"/>
  <c r="F985" i="16"/>
  <c r="G985" i="16"/>
  <c r="H985" i="16"/>
  <c r="E986" i="16"/>
  <c r="F986" i="16"/>
  <c r="G986" i="16"/>
  <c r="H986" i="16"/>
  <c r="E987" i="16"/>
  <c r="F987" i="16"/>
  <c r="G987" i="16"/>
  <c r="H987" i="16"/>
  <c r="E988" i="16"/>
  <c r="F988" i="16"/>
  <c r="G988" i="16"/>
  <c r="H988" i="16"/>
  <c r="E989" i="16"/>
  <c r="F989" i="16"/>
  <c r="G989" i="16"/>
  <c r="H989" i="16"/>
  <c r="E990" i="16"/>
  <c r="F990" i="16"/>
  <c r="G990" i="16"/>
  <c r="H990" i="16"/>
  <c r="E991" i="16"/>
  <c r="F991" i="16"/>
  <c r="G991" i="16"/>
  <c r="H991" i="16"/>
  <c r="E992" i="16"/>
  <c r="F992" i="16"/>
  <c r="G992" i="16"/>
  <c r="H992" i="16"/>
  <c r="E993" i="16"/>
  <c r="F993" i="16"/>
  <c r="G993" i="16"/>
  <c r="H993" i="16"/>
  <c r="E994" i="16"/>
  <c r="F994" i="16"/>
  <c r="G994" i="16"/>
  <c r="H994" i="16"/>
  <c r="E995" i="16"/>
  <c r="F995" i="16"/>
  <c r="G995" i="16"/>
  <c r="H995" i="16"/>
  <c r="E996" i="16"/>
  <c r="F996" i="16"/>
  <c r="G996" i="16"/>
  <c r="H996" i="16"/>
  <c r="E997" i="16"/>
  <c r="F997" i="16"/>
  <c r="G997" i="16"/>
  <c r="H997" i="16"/>
  <c r="E998" i="16"/>
  <c r="F998" i="16"/>
  <c r="G998" i="16"/>
  <c r="H998" i="16"/>
  <c r="E999" i="16"/>
  <c r="F999" i="16"/>
  <c r="G999" i="16"/>
  <c r="H999" i="16"/>
  <c r="E1000" i="16"/>
  <c r="F1000" i="16"/>
  <c r="G1000" i="16"/>
  <c r="H1000" i="16"/>
  <c r="E1001" i="16"/>
  <c r="F1001" i="16"/>
  <c r="G1001" i="16"/>
  <c r="H1001" i="16"/>
  <c r="E1002" i="16"/>
  <c r="F1002" i="16"/>
  <c r="G1002" i="16"/>
  <c r="H1002" i="16"/>
  <c r="E1003" i="16"/>
  <c r="F1003" i="16"/>
  <c r="G1003" i="16"/>
  <c r="H1003" i="16"/>
  <c r="E1004" i="16"/>
  <c r="F1004" i="16"/>
  <c r="G1004" i="16"/>
  <c r="H1004" i="16"/>
  <c r="E1005" i="16"/>
  <c r="F1005" i="16"/>
  <c r="G1005" i="16"/>
  <c r="H1005" i="16"/>
  <c r="E1006" i="16"/>
  <c r="F1006" i="16"/>
  <c r="G1006" i="16"/>
  <c r="H1006" i="16"/>
  <c r="E1007" i="16"/>
  <c r="F1007" i="16"/>
  <c r="G1007" i="16"/>
  <c r="H1007" i="16"/>
  <c r="E1008" i="16"/>
  <c r="F1008" i="16"/>
  <c r="G1008" i="16"/>
  <c r="H1008" i="16"/>
  <c r="E1009" i="16"/>
  <c r="F1009" i="16"/>
  <c r="G1009" i="16"/>
  <c r="H1009" i="16"/>
  <c r="E1010" i="16"/>
  <c r="F1010" i="16"/>
  <c r="G1010" i="16"/>
  <c r="H1010" i="16"/>
  <c r="E1011" i="16"/>
  <c r="F1011" i="16"/>
  <c r="G1011" i="16"/>
  <c r="H1011" i="16"/>
  <c r="E1012" i="16"/>
  <c r="F1012" i="16"/>
  <c r="G1012" i="16"/>
  <c r="H1012" i="16"/>
  <c r="E1013" i="16"/>
  <c r="F1013" i="16"/>
  <c r="G1013" i="16"/>
  <c r="H1013" i="16"/>
  <c r="E1014" i="16"/>
  <c r="F1014" i="16"/>
  <c r="G1014" i="16"/>
  <c r="H1014" i="16"/>
  <c r="E1015" i="16"/>
  <c r="F1015" i="16"/>
  <c r="G1015" i="16"/>
  <c r="H1015" i="16"/>
  <c r="E1016" i="16"/>
  <c r="F1016" i="16"/>
  <c r="G1016" i="16"/>
  <c r="H1016" i="16"/>
  <c r="E1017" i="16"/>
  <c r="F1017" i="16"/>
  <c r="G1017" i="16"/>
  <c r="H1017" i="16"/>
  <c r="E1018" i="16"/>
  <c r="F1018" i="16"/>
  <c r="G1018" i="16"/>
  <c r="H1018" i="16"/>
  <c r="E1019" i="16"/>
  <c r="F1019" i="16"/>
  <c r="G1019" i="16"/>
  <c r="H1019" i="16"/>
  <c r="E1020" i="16"/>
  <c r="F1020" i="16"/>
  <c r="G1020" i="16"/>
  <c r="H1020" i="16"/>
  <c r="E1021" i="16"/>
  <c r="F1021" i="16"/>
  <c r="G1021" i="16"/>
  <c r="H1021" i="16"/>
  <c r="E1022" i="16"/>
  <c r="F1022" i="16"/>
  <c r="G1022" i="16"/>
  <c r="H1022" i="16"/>
  <c r="E1023" i="16"/>
  <c r="F1023" i="16"/>
  <c r="G1023" i="16"/>
  <c r="H1023" i="16"/>
  <c r="E1024" i="16"/>
  <c r="F1024" i="16"/>
  <c r="G1024" i="16"/>
  <c r="H1024" i="16"/>
  <c r="E1025" i="16"/>
  <c r="F1025" i="16"/>
  <c r="G1025" i="16"/>
  <c r="H1025" i="16"/>
  <c r="E1026" i="16"/>
  <c r="F1026" i="16"/>
  <c r="G1026" i="16"/>
  <c r="H1026" i="16"/>
  <c r="E1027" i="16"/>
  <c r="F1027" i="16"/>
  <c r="G1027" i="16"/>
  <c r="H1027" i="16"/>
  <c r="E1028" i="16"/>
  <c r="F1028" i="16"/>
  <c r="G1028" i="16"/>
  <c r="H1028" i="16"/>
  <c r="E1029" i="16"/>
  <c r="F1029" i="16"/>
  <c r="G1029" i="16"/>
  <c r="H1029" i="16"/>
  <c r="E1030" i="16"/>
  <c r="F1030" i="16"/>
  <c r="G1030" i="16"/>
  <c r="H1030" i="16"/>
  <c r="E1031" i="16"/>
  <c r="F1031" i="16"/>
  <c r="G1031" i="16"/>
  <c r="H1031" i="16"/>
  <c r="E1032" i="16"/>
  <c r="F1032" i="16"/>
  <c r="G1032" i="16"/>
  <c r="H1032" i="16"/>
  <c r="E1033" i="16"/>
  <c r="F1033" i="16"/>
  <c r="G1033" i="16"/>
  <c r="H1033" i="16"/>
  <c r="E1034" i="16"/>
  <c r="F1034" i="16"/>
  <c r="G1034" i="16"/>
  <c r="H1034" i="16"/>
  <c r="E1035" i="16"/>
  <c r="F1035" i="16"/>
  <c r="G1035" i="16"/>
  <c r="H1035" i="16"/>
  <c r="E1036" i="16"/>
  <c r="F1036" i="16"/>
  <c r="G1036" i="16"/>
  <c r="H1036" i="16"/>
  <c r="E1037" i="16"/>
  <c r="F1037" i="16"/>
  <c r="G1037" i="16"/>
  <c r="H1037" i="16"/>
  <c r="E1038" i="16"/>
  <c r="F1038" i="16"/>
  <c r="G1038" i="16"/>
  <c r="H1038" i="16"/>
  <c r="E1039" i="16"/>
  <c r="F1039" i="16"/>
  <c r="G1039" i="16"/>
  <c r="H1039" i="16"/>
  <c r="E1040" i="16"/>
  <c r="F1040" i="16"/>
  <c r="G1040" i="16"/>
  <c r="H1040" i="16"/>
  <c r="E1041" i="16"/>
  <c r="F1041" i="16"/>
  <c r="G1041" i="16"/>
  <c r="H1041" i="16"/>
  <c r="E1042" i="16"/>
  <c r="F1042" i="16"/>
  <c r="G1042" i="16"/>
  <c r="H1042" i="16"/>
  <c r="E1043" i="16"/>
  <c r="F1043" i="16"/>
  <c r="G1043" i="16"/>
  <c r="H1043" i="16"/>
  <c r="E1044" i="16"/>
  <c r="F1044" i="16"/>
  <c r="G1044" i="16"/>
  <c r="H1044" i="16"/>
  <c r="E1045" i="16"/>
  <c r="F1045" i="16"/>
  <c r="G1045" i="16"/>
  <c r="H1045" i="16"/>
  <c r="E1046" i="16"/>
  <c r="F1046" i="16"/>
  <c r="G1046" i="16"/>
  <c r="H1046" i="16"/>
  <c r="E1047" i="16"/>
  <c r="F1047" i="16"/>
  <c r="G1047" i="16"/>
  <c r="H1047" i="16"/>
  <c r="E1048" i="16"/>
  <c r="F1048" i="16"/>
  <c r="G1048" i="16"/>
  <c r="H1048" i="16"/>
  <c r="E1049" i="16"/>
  <c r="F1049" i="16"/>
  <c r="G1049" i="16"/>
  <c r="H1049" i="16"/>
  <c r="E1050" i="16"/>
  <c r="F1050" i="16"/>
  <c r="G1050" i="16"/>
  <c r="H1050" i="16"/>
  <c r="E1051" i="16"/>
  <c r="F1051" i="16"/>
  <c r="G1051" i="16"/>
  <c r="H1051" i="16"/>
  <c r="E1052" i="16"/>
  <c r="F1052" i="16"/>
  <c r="G1052" i="16"/>
  <c r="H1052" i="16"/>
  <c r="E1053" i="16"/>
  <c r="F1053" i="16"/>
  <c r="G1053" i="16"/>
  <c r="H1053" i="16"/>
  <c r="E1054" i="16"/>
  <c r="F1054" i="16"/>
  <c r="G1054" i="16"/>
  <c r="H1054" i="16"/>
  <c r="E1055" i="16"/>
  <c r="F1055" i="16"/>
  <c r="G1055" i="16"/>
  <c r="H1055" i="16"/>
  <c r="E1056" i="16"/>
  <c r="F1056" i="16"/>
  <c r="G1056" i="16"/>
  <c r="H1056" i="16"/>
  <c r="E1057" i="16"/>
  <c r="F1057" i="16"/>
  <c r="G1057" i="16"/>
  <c r="H1057" i="16"/>
  <c r="E1058" i="16"/>
  <c r="F1058" i="16"/>
  <c r="G1058" i="16"/>
  <c r="H1058" i="16"/>
  <c r="E1059" i="16"/>
  <c r="F1059" i="16"/>
  <c r="G1059" i="16"/>
  <c r="H1059" i="16"/>
  <c r="E1060" i="16"/>
  <c r="F1060" i="16"/>
  <c r="G1060" i="16"/>
  <c r="H1060" i="16"/>
  <c r="E1061" i="16"/>
  <c r="F1061" i="16"/>
  <c r="G1061" i="16"/>
  <c r="H1061" i="16"/>
  <c r="E1062" i="16"/>
  <c r="F1062" i="16"/>
  <c r="G1062" i="16"/>
  <c r="H1062" i="16"/>
  <c r="E1063" i="16"/>
  <c r="F1063" i="16"/>
  <c r="G1063" i="16"/>
  <c r="H1063" i="16"/>
  <c r="E1064" i="16"/>
  <c r="F1064" i="16"/>
  <c r="G1064" i="16"/>
  <c r="H1064" i="16"/>
  <c r="E1065" i="16"/>
  <c r="F1065" i="16"/>
  <c r="G1065" i="16"/>
  <c r="H1065" i="16"/>
  <c r="E1066" i="16"/>
  <c r="F1066" i="16"/>
  <c r="G1066" i="16"/>
  <c r="H1066" i="16"/>
  <c r="E1067" i="16"/>
  <c r="F1067" i="16"/>
  <c r="G1067" i="16"/>
  <c r="H1067" i="16"/>
  <c r="E1068" i="16"/>
  <c r="F1068" i="16"/>
  <c r="G1068" i="16"/>
  <c r="H1068" i="16"/>
  <c r="E1069" i="16"/>
  <c r="F1069" i="16"/>
  <c r="G1069" i="16"/>
  <c r="H1069" i="16"/>
  <c r="E1070" i="16"/>
  <c r="F1070" i="16"/>
  <c r="G1070" i="16"/>
  <c r="H1070" i="16"/>
  <c r="E1071" i="16"/>
  <c r="F1071" i="16"/>
  <c r="G1071" i="16"/>
  <c r="H1071" i="16"/>
  <c r="E1072" i="16"/>
  <c r="F1072" i="16"/>
  <c r="G1072" i="16"/>
  <c r="H1072" i="16"/>
  <c r="E1073" i="16"/>
  <c r="F1073" i="16"/>
  <c r="G1073" i="16"/>
  <c r="H1073" i="16"/>
  <c r="E1074" i="16"/>
  <c r="F1074" i="16"/>
  <c r="G1074" i="16"/>
  <c r="H1074" i="16"/>
  <c r="E1075" i="16"/>
  <c r="F1075" i="16"/>
  <c r="G1075" i="16"/>
  <c r="H1075" i="16"/>
  <c r="E1076" i="16"/>
  <c r="F1076" i="16"/>
  <c r="G1076" i="16"/>
  <c r="H1076" i="16"/>
  <c r="E1077" i="16"/>
  <c r="F1077" i="16"/>
  <c r="G1077" i="16"/>
  <c r="H1077" i="16"/>
  <c r="E1078" i="16"/>
  <c r="F1078" i="16"/>
  <c r="G1078" i="16"/>
  <c r="H1078" i="16"/>
  <c r="E1079" i="16"/>
  <c r="F1079" i="16"/>
  <c r="G1079" i="16"/>
  <c r="H1079" i="16"/>
  <c r="E1080" i="16"/>
  <c r="F1080" i="16"/>
  <c r="G1080" i="16"/>
  <c r="H1080" i="16"/>
  <c r="E1081" i="16"/>
  <c r="F1081" i="16"/>
  <c r="G1081" i="16"/>
  <c r="H1081" i="16"/>
  <c r="E1082" i="16"/>
  <c r="F1082" i="16"/>
  <c r="G1082" i="16"/>
  <c r="H1082" i="16"/>
  <c r="E1083" i="16"/>
  <c r="F1083" i="16"/>
  <c r="G1083" i="16"/>
  <c r="H1083" i="16"/>
  <c r="E1084" i="16"/>
  <c r="F1084" i="16"/>
  <c r="G1084" i="16"/>
  <c r="H1084" i="16"/>
  <c r="E1085" i="16"/>
  <c r="F1085" i="16"/>
  <c r="G1085" i="16"/>
  <c r="H1085" i="16"/>
  <c r="E1086" i="16"/>
  <c r="F1086" i="16"/>
  <c r="G1086" i="16"/>
  <c r="H1086" i="16"/>
  <c r="E1087" i="16"/>
  <c r="F1087" i="16"/>
  <c r="G1087" i="16"/>
  <c r="H1087" i="16"/>
  <c r="H547" i="16"/>
  <c r="G547" i="16"/>
  <c r="F547" i="16"/>
  <c r="E547" i="16"/>
  <c r="E6" i="16"/>
  <c r="F6" i="16"/>
  <c r="G6" i="16"/>
  <c r="H6" i="16"/>
  <c r="E7" i="16"/>
  <c r="F7" i="16"/>
  <c r="G7" i="16"/>
  <c r="H7" i="16"/>
  <c r="E8" i="16"/>
  <c r="F8" i="16"/>
  <c r="G8" i="16"/>
  <c r="H8" i="16"/>
  <c r="E9" i="16"/>
  <c r="F9" i="16"/>
  <c r="G9" i="16"/>
  <c r="H9" i="16"/>
  <c r="E10" i="16"/>
  <c r="F10" i="16"/>
  <c r="G10" i="16"/>
  <c r="H10" i="16"/>
  <c r="E11" i="16"/>
  <c r="F11" i="16"/>
  <c r="G11" i="16"/>
  <c r="H11" i="16"/>
  <c r="E12" i="16"/>
  <c r="F12" i="16"/>
  <c r="G12" i="16"/>
  <c r="H12" i="16"/>
  <c r="E13" i="16"/>
  <c r="F13" i="16"/>
  <c r="G13" i="16"/>
  <c r="H13" i="16"/>
  <c r="E14" i="16"/>
  <c r="F14" i="16"/>
  <c r="G14" i="16"/>
  <c r="H14" i="16"/>
  <c r="E15" i="16"/>
  <c r="F15" i="16"/>
  <c r="G15" i="16"/>
  <c r="H15" i="16"/>
  <c r="E16" i="16"/>
  <c r="F16" i="16"/>
  <c r="G16" i="16"/>
  <c r="H16" i="16"/>
  <c r="E17" i="16"/>
  <c r="F17" i="16"/>
  <c r="G17" i="16"/>
  <c r="H17" i="16"/>
  <c r="E18" i="16"/>
  <c r="F18" i="16"/>
  <c r="G18" i="16"/>
  <c r="H18" i="16"/>
  <c r="E19" i="16"/>
  <c r="F19" i="16"/>
  <c r="G19" i="16"/>
  <c r="H19" i="16"/>
  <c r="E20" i="16"/>
  <c r="F20" i="16"/>
  <c r="G20" i="16"/>
  <c r="H20" i="16"/>
  <c r="E21" i="16"/>
  <c r="F21" i="16"/>
  <c r="G21" i="16"/>
  <c r="H21" i="16"/>
  <c r="E22" i="16"/>
  <c r="F22" i="16"/>
  <c r="G22" i="16"/>
  <c r="H22" i="16"/>
  <c r="E23" i="16"/>
  <c r="F23" i="16"/>
  <c r="G23" i="16"/>
  <c r="H23" i="16"/>
  <c r="E24" i="16"/>
  <c r="F24" i="16"/>
  <c r="G24" i="16"/>
  <c r="H24" i="16"/>
  <c r="E25" i="16"/>
  <c r="F25" i="16"/>
  <c r="G25" i="16"/>
  <c r="H25" i="16"/>
  <c r="E26" i="16"/>
  <c r="F26" i="16"/>
  <c r="G26" i="16"/>
  <c r="H26" i="16"/>
  <c r="E27" i="16"/>
  <c r="F27" i="16"/>
  <c r="G27" i="16"/>
  <c r="H27" i="16"/>
  <c r="E28" i="16"/>
  <c r="F28" i="16"/>
  <c r="G28" i="16"/>
  <c r="H28" i="16"/>
  <c r="E29" i="16"/>
  <c r="F29" i="16"/>
  <c r="G29" i="16"/>
  <c r="H29" i="16"/>
  <c r="E30" i="16"/>
  <c r="F30" i="16"/>
  <c r="G30" i="16"/>
  <c r="H30" i="16"/>
  <c r="E31" i="16"/>
  <c r="F31" i="16"/>
  <c r="G31" i="16"/>
  <c r="H31" i="16"/>
  <c r="E32" i="16"/>
  <c r="F32" i="16"/>
  <c r="G32" i="16"/>
  <c r="H32" i="16"/>
  <c r="E33" i="16"/>
  <c r="F33" i="16"/>
  <c r="G33" i="16"/>
  <c r="H33" i="16"/>
  <c r="E34" i="16"/>
  <c r="F34" i="16"/>
  <c r="G34" i="16"/>
  <c r="H34" i="16"/>
  <c r="E35" i="16"/>
  <c r="F35" i="16"/>
  <c r="G35" i="16"/>
  <c r="H35" i="16"/>
  <c r="E36" i="16"/>
  <c r="F36" i="16"/>
  <c r="G36" i="16"/>
  <c r="H36" i="16"/>
  <c r="E37" i="16"/>
  <c r="F37" i="16"/>
  <c r="G37" i="16"/>
  <c r="H37" i="16"/>
  <c r="E38" i="16"/>
  <c r="F38" i="16"/>
  <c r="G38" i="16"/>
  <c r="H38" i="16"/>
  <c r="E39" i="16"/>
  <c r="F39" i="16"/>
  <c r="G39" i="16"/>
  <c r="H39" i="16"/>
  <c r="E40" i="16"/>
  <c r="F40" i="16"/>
  <c r="G40" i="16"/>
  <c r="H40" i="16"/>
  <c r="E41" i="16"/>
  <c r="F41" i="16"/>
  <c r="G41" i="16"/>
  <c r="H41" i="16"/>
  <c r="E42" i="16"/>
  <c r="F42" i="16"/>
  <c r="G42" i="16"/>
  <c r="H42" i="16"/>
  <c r="E43" i="16"/>
  <c r="F43" i="16"/>
  <c r="G43" i="16"/>
  <c r="H43" i="16"/>
  <c r="E44" i="16"/>
  <c r="F44" i="16"/>
  <c r="G44" i="16"/>
  <c r="H44" i="16"/>
  <c r="E45" i="16"/>
  <c r="F45" i="16"/>
  <c r="G45" i="16"/>
  <c r="H45" i="16"/>
  <c r="E46" i="16"/>
  <c r="F46" i="16"/>
  <c r="G46" i="16"/>
  <c r="H46" i="16"/>
  <c r="E47" i="16"/>
  <c r="F47" i="16"/>
  <c r="G47" i="16"/>
  <c r="H47" i="16"/>
  <c r="E48" i="16"/>
  <c r="F48" i="16"/>
  <c r="G48" i="16"/>
  <c r="H48" i="16"/>
  <c r="E49" i="16"/>
  <c r="F49" i="16"/>
  <c r="G49" i="16"/>
  <c r="H49" i="16"/>
  <c r="E50" i="16"/>
  <c r="F50" i="16"/>
  <c r="G50" i="16"/>
  <c r="H50" i="16"/>
  <c r="E51" i="16"/>
  <c r="F51" i="16"/>
  <c r="G51" i="16"/>
  <c r="H51" i="16"/>
  <c r="E52" i="16"/>
  <c r="F52" i="16"/>
  <c r="G52" i="16"/>
  <c r="H52" i="16"/>
  <c r="E53" i="16"/>
  <c r="F53" i="16"/>
  <c r="G53" i="16"/>
  <c r="H53" i="16"/>
  <c r="E54" i="16"/>
  <c r="F54" i="16"/>
  <c r="G54" i="16"/>
  <c r="H54" i="16"/>
  <c r="E55" i="16"/>
  <c r="F55" i="16"/>
  <c r="G55" i="16"/>
  <c r="H55" i="16"/>
  <c r="E56" i="16"/>
  <c r="F56" i="16"/>
  <c r="G56" i="16"/>
  <c r="H56" i="16"/>
  <c r="E57" i="16"/>
  <c r="F57" i="16"/>
  <c r="G57" i="16"/>
  <c r="H57" i="16"/>
  <c r="E58" i="16"/>
  <c r="F58" i="16"/>
  <c r="G58" i="16"/>
  <c r="H58" i="16"/>
  <c r="E59" i="16"/>
  <c r="F59" i="16"/>
  <c r="G59" i="16"/>
  <c r="H59" i="16"/>
  <c r="E60" i="16"/>
  <c r="F60" i="16"/>
  <c r="G60" i="16"/>
  <c r="H60" i="16"/>
  <c r="E61" i="16"/>
  <c r="F61" i="16"/>
  <c r="G61" i="16"/>
  <c r="H61" i="16"/>
  <c r="E62" i="16"/>
  <c r="F62" i="16"/>
  <c r="G62" i="16"/>
  <c r="H62" i="16"/>
  <c r="E63" i="16"/>
  <c r="F63" i="16"/>
  <c r="G63" i="16"/>
  <c r="H63" i="16"/>
  <c r="E64" i="16"/>
  <c r="F64" i="16"/>
  <c r="G64" i="16"/>
  <c r="H64" i="16"/>
  <c r="E65" i="16"/>
  <c r="F65" i="16"/>
  <c r="G65" i="16"/>
  <c r="H65" i="16"/>
  <c r="E66" i="16"/>
  <c r="F66" i="16"/>
  <c r="G66" i="16"/>
  <c r="H66" i="16"/>
  <c r="E67" i="16"/>
  <c r="F67" i="16"/>
  <c r="G67" i="16"/>
  <c r="H67" i="16"/>
  <c r="E68" i="16"/>
  <c r="F68" i="16"/>
  <c r="G68" i="16"/>
  <c r="H68" i="16"/>
  <c r="E69" i="16"/>
  <c r="F69" i="16"/>
  <c r="G69" i="16"/>
  <c r="H69" i="16"/>
  <c r="E70" i="16"/>
  <c r="F70" i="16"/>
  <c r="G70" i="16"/>
  <c r="H70" i="16"/>
  <c r="E71" i="16"/>
  <c r="F71" i="16"/>
  <c r="G71" i="16"/>
  <c r="H71" i="16"/>
  <c r="E72" i="16"/>
  <c r="F72" i="16"/>
  <c r="G72" i="16"/>
  <c r="H72" i="16"/>
  <c r="E73" i="16"/>
  <c r="F73" i="16"/>
  <c r="G73" i="16"/>
  <c r="H73" i="16"/>
  <c r="E74" i="16"/>
  <c r="F74" i="16"/>
  <c r="G74" i="16"/>
  <c r="H74" i="16"/>
  <c r="E75" i="16"/>
  <c r="F75" i="16"/>
  <c r="G75" i="16"/>
  <c r="H75" i="16"/>
  <c r="E76" i="16"/>
  <c r="F76" i="16"/>
  <c r="G76" i="16"/>
  <c r="H76" i="16"/>
  <c r="E77" i="16"/>
  <c r="F77" i="16"/>
  <c r="G77" i="16"/>
  <c r="H77" i="16"/>
  <c r="E78" i="16"/>
  <c r="F78" i="16"/>
  <c r="G78" i="16"/>
  <c r="H78" i="16"/>
  <c r="E79" i="16"/>
  <c r="F79" i="16"/>
  <c r="G79" i="16"/>
  <c r="H79" i="16"/>
  <c r="E80" i="16"/>
  <c r="F80" i="16"/>
  <c r="G80" i="16"/>
  <c r="H80" i="16"/>
  <c r="E81" i="16"/>
  <c r="F81" i="16"/>
  <c r="G81" i="16"/>
  <c r="H81" i="16"/>
  <c r="E82" i="16"/>
  <c r="F82" i="16"/>
  <c r="G82" i="16"/>
  <c r="H82" i="16"/>
  <c r="E83" i="16"/>
  <c r="F83" i="16"/>
  <c r="G83" i="16"/>
  <c r="H83" i="16"/>
  <c r="E84" i="16"/>
  <c r="F84" i="16"/>
  <c r="G84" i="16"/>
  <c r="H84" i="16"/>
  <c r="E85" i="16"/>
  <c r="F85" i="16"/>
  <c r="G85" i="16"/>
  <c r="H85" i="16"/>
  <c r="E86" i="16"/>
  <c r="F86" i="16"/>
  <c r="G86" i="16"/>
  <c r="H86" i="16"/>
  <c r="E87" i="16"/>
  <c r="F87" i="16"/>
  <c r="G87" i="16"/>
  <c r="H87" i="16"/>
  <c r="E88" i="16"/>
  <c r="F88" i="16"/>
  <c r="G88" i="16"/>
  <c r="H88" i="16"/>
  <c r="E89" i="16"/>
  <c r="F89" i="16"/>
  <c r="G89" i="16"/>
  <c r="H89" i="16"/>
  <c r="E90" i="16"/>
  <c r="F90" i="16"/>
  <c r="G90" i="16"/>
  <c r="H90" i="16"/>
  <c r="E91" i="16"/>
  <c r="F91" i="16"/>
  <c r="G91" i="16"/>
  <c r="H91" i="16"/>
  <c r="E92" i="16"/>
  <c r="F92" i="16"/>
  <c r="G92" i="16"/>
  <c r="H92" i="16"/>
  <c r="E93" i="16"/>
  <c r="F93" i="16"/>
  <c r="G93" i="16"/>
  <c r="H93" i="16"/>
  <c r="E94" i="16"/>
  <c r="F94" i="16"/>
  <c r="G94" i="16"/>
  <c r="H94" i="16"/>
  <c r="E95" i="16"/>
  <c r="F95" i="16"/>
  <c r="G95" i="16"/>
  <c r="H95" i="16"/>
  <c r="E96" i="16"/>
  <c r="F96" i="16"/>
  <c r="G96" i="16"/>
  <c r="H96" i="16"/>
  <c r="E97" i="16"/>
  <c r="F97" i="16"/>
  <c r="G97" i="16"/>
  <c r="H97" i="16"/>
  <c r="E98" i="16"/>
  <c r="F98" i="16"/>
  <c r="G98" i="16"/>
  <c r="H98" i="16"/>
  <c r="E99" i="16"/>
  <c r="F99" i="16"/>
  <c r="G99" i="16"/>
  <c r="H99" i="16"/>
  <c r="E100" i="16"/>
  <c r="F100" i="16"/>
  <c r="G100" i="16"/>
  <c r="H100" i="16"/>
  <c r="E101" i="16"/>
  <c r="F101" i="16"/>
  <c r="G101" i="16"/>
  <c r="H101" i="16"/>
  <c r="E102" i="16"/>
  <c r="F102" i="16"/>
  <c r="G102" i="16"/>
  <c r="H102" i="16"/>
  <c r="E103" i="16"/>
  <c r="F103" i="16"/>
  <c r="G103" i="16"/>
  <c r="H103" i="16"/>
  <c r="E104" i="16"/>
  <c r="F104" i="16"/>
  <c r="G104" i="16"/>
  <c r="H104" i="16"/>
  <c r="E105" i="16"/>
  <c r="F105" i="16"/>
  <c r="G105" i="16"/>
  <c r="H105" i="16"/>
  <c r="E106" i="16"/>
  <c r="F106" i="16"/>
  <c r="G106" i="16"/>
  <c r="H106" i="16"/>
  <c r="E107" i="16"/>
  <c r="F107" i="16"/>
  <c r="G107" i="16"/>
  <c r="H107" i="16"/>
  <c r="E108" i="16"/>
  <c r="F108" i="16"/>
  <c r="G108" i="16"/>
  <c r="H108" i="16"/>
  <c r="E109" i="16"/>
  <c r="F109" i="16"/>
  <c r="G109" i="16"/>
  <c r="H109" i="16"/>
  <c r="E110" i="16"/>
  <c r="F110" i="16"/>
  <c r="G110" i="16"/>
  <c r="H110" i="16"/>
  <c r="E111" i="16"/>
  <c r="F111" i="16"/>
  <c r="G111" i="16"/>
  <c r="H111" i="16"/>
  <c r="E112" i="16"/>
  <c r="F112" i="16"/>
  <c r="G112" i="16"/>
  <c r="H112" i="16"/>
  <c r="E113" i="16"/>
  <c r="F113" i="16"/>
  <c r="G113" i="16"/>
  <c r="H113" i="16"/>
  <c r="E114" i="16"/>
  <c r="F114" i="16"/>
  <c r="G114" i="16"/>
  <c r="H114" i="16"/>
  <c r="E115" i="16"/>
  <c r="F115" i="16"/>
  <c r="G115" i="16"/>
  <c r="H115" i="16"/>
  <c r="E116" i="16"/>
  <c r="F116" i="16"/>
  <c r="G116" i="16"/>
  <c r="H116" i="16"/>
  <c r="E117" i="16"/>
  <c r="F117" i="16"/>
  <c r="G117" i="16"/>
  <c r="H117" i="16"/>
  <c r="E118" i="16"/>
  <c r="F118" i="16"/>
  <c r="G118" i="16"/>
  <c r="H118" i="16"/>
  <c r="E119" i="16"/>
  <c r="F119" i="16"/>
  <c r="G119" i="16"/>
  <c r="H119" i="16"/>
  <c r="E120" i="16"/>
  <c r="F120" i="16"/>
  <c r="G120" i="16"/>
  <c r="H120" i="16"/>
  <c r="E121" i="16"/>
  <c r="F121" i="16"/>
  <c r="G121" i="16"/>
  <c r="H121" i="16"/>
  <c r="E122" i="16"/>
  <c r="F122" i="16"/>
  <c r="G122" i="16"/>
  <c r="H122" i="16"/>
  <c r="E123" i="16"/>
  <c r="F123" i="16"/>
  <c r="G123" i="16"/>
  <c r="H123" i="16"/>
  <c r="E124" i="16"/>
  <c r="F124" i="16"/>
  <c r="G124" i="16"/>
  <c r="H124" i="16"/>
  <c r="E125" i="16"/>
  <c r="F125" i="16"/>
  <c r="G125" i="16"/>
  <c r="H125" i="16"/>
  <c r="E126" i="16"/>
  <c r="F126" i="16"/>
  <c r="G126" i="16"/>
  <c r="H126" i="16"/>
  <c r="E127" i="16"/>
  <c r="F127" i="16"/>
  <c r="G127" i="16"/>
  <c r="H127" i="16"/>
  <c r="E128" i="16"/>
  <c r="F128" i="16"/>
  <c r="G128" i="16"/>
  <c r="H128" i="16"/>
  <c r="E129" i="16"/>
  <c r="F129" i="16"/>
  <c r="G129" i="16"/>
  <c r="H129" i="16"/>
  <c r="E130" i="16"/>
  <c r="F130" i="16"/>
  <c r="G130" i="16"/>
  <c r="H130" i="16"/>
  <c r="E131" i="16"/>
  <c r="F131" i="16"/>
  <c r="G131" i="16"/>
  <c r="H131" i="16"/>
  <c r="E132" i="16"/>
  <c r="F132" i="16"/>
  <c r="G132" i="16"/>
  <c r="H132" i="16"/>
  <c r="E133" i="16"/>
  <c r="F133" i="16"/>
  <c r="G133" i="16"/>
  <c r="H133" i="16"/>
  <c r="E134" i="16"/>
  <c r="F134" i="16"/>
  <c r="G134" i="16"/>
  <c r="H134" i="16"/>
  <c r="E135" i="16"/>
  <c r="F135" i="16"/>
  <c r="G135" i="16"/>
  <c r="H135" i="16"/>
  <c r="E136" i="16"/>
  <c r="F136" i="16"/>
  <c r="G136" i="16"/>
  <c r="H136" i="16"/>
  <c r="E137" i="16"/>
  <c r="F137" i="16"/>
  <c r="G137" i="16"/>
  <c r="H137" i="16"/>
  <c r="E138" i="16"/>
  <c r="F138" i="16"/>
  <c r="G138" i="16"/>
  <c r="H138" i="16"/>
  <c r="E139" i="16"/>
  <c r="F139" i="16"/>
  <c r="G139" i="16"/>
  <c r="H139" i="16"/>
  <c r="E140" i="16"/>
  <c r="F140" i="16"/>
  <c r="G140" i="16"/>
  <c r="H140" i="16"/>
  <c r="E141" i="16"/>
  <c r="F141" i="16"/>
  <c r="G141" i="16"/>
  <c r="H141" i="16"/>
  <c r="E142" i="16"/>
  <c r="F142" i="16"/>
  <c r="G142" i="16"/>
  <c r="H142" i="16"/>
  <c r="E143" i="16"/>
  <c r="F143" i="16"/>
  <c r="G143" i="16"/>
  <c r="H143" i="16"/>
  <c r="E144" i="16"/>
  <c r="F144" i="16"/>
  <c r="G144" i="16"/>
  <c r="H144" i="16"/>
  <c r="E145" i="16"/>
  <c r="F145" i="16"/>
  <c r="G145" i="16"/>
  <c r="H145" i="16"/>
  <c r="E146" i="16"/>
  <c r="F146" i="16"/>
  <c r="G146" i="16"/>
  <c r="H146" i="16"/>
  <c r="E147" i="16"/>
  <c r="F147" i="16"/>
  <c r="G147" i="16"/>
  <c r="H147" i="16"/>
  <c r="E148" i="16"/>
  <c r="F148" i="16"/>
  <c r="G148" i="16"/>
  <c r="H148" i="16"/>
  <c r="E149" i="16"/>
  <c r="F149" i="16"/>
  <c r="G149" i="16"/>
  <c r="H149" i="16"/>
  <c r="E150" i="16"/>
  <c r="F150" i="16"/>
  <c r="G150" i="16"/>
  <c r="H150" i="16"/>
  <c r="E151" i="16"/>
  <c r="F151" i="16"/>
  <c r="G151" i="16"/>
  <c r="H151" i="16"/>
  <c r="E152" i="16"/>
  <c r="F152" i="16"/>
  <c r="G152" i="16"/>
  <c r="H152" i="16"/>
  <c r="E153" i="16"/>
  <c r="F153" i="16"/>
  <c r="G153" i="16"/>
  <c r="H153" i="16"/>
  <c r="E154" i="16"/>
  <c r="F154" i="16"/>
  <c r="G154" i="16"/>
  <c r="H154" i="16"/>
  <c r="E155" i="16"/>
  <c r="F155" i="16"/>
  <c r="G155" i="16"/>
  <c r="H155" i="16"/>
  <c r="E156" i="16"/>
  <c r="F156" i="16"/>
  <c r="G156" i="16"/>
  <c r="H156" i="16"/>
  <c r="E157" i="16"/>
  <c r="F157" i="16"/>
  <c r="G157" i="16"/>
  <c r="H157" i="16"/>
  <c r="E158" i="16"/>
  <c r="F158" i="16"/>
  <c r="G158" i="16"/>
  <c r="H158" i="16"/>
  <c r="E159" i="16"/>
  <c r="F159" i="16"/>
  <c r="G159" i="16"/>
  <c r="H159" i="16"/>
  <c r="E160" i="16"/>
  <c r="F160" i="16"/>
  <c r="G160" i="16"/>
  <c r="H160" i="16"/>
  <c r="E161" i="16"/>
  <c r="F161" i="16"/>
  <c r="G161" i="16"/>
  <c r="H161" i="16"/>
  <c r="E162" i="16"/>
  <c r="F162" i="16"/>
  <c r="G162" i="16"/>
  <c r="H162" i="16"/>
  <c r="E163" i="16"/>
  <c r="F163" i="16"/>
  <c r="G163" i="16"/>
  <c r="H163" i="16"/>
  <c r="E164" i="16"/>
  <c r="F164" i="16"/>
  <c r="G164" i="16"/>
  <c r="H164" i="16"/>
  <c r="E165" i="16"/>
  <c r="F165" i="16"/>
  <c r="G165" i="16"/>
  <c r="H165" i="16"/>
  <c r="E166" i="16"/>
  <c r="F166" i="16"/>
  <c r="G166" i="16"/>
  <c r="H166" i="16"/>
  <c r="E167" i="16"/>
  <c r="F167" i="16"/>
  <c r="G167" i="16"/>
  <c r="H167" i="16"/>
  <c r="E168" i="16"/>
  <c r="F168" i="16"/>
  <c r="G168" i="16"/>
  <c r="H168" i="16"/>
  <c r="E169" i="16"/>
  <c r="F169" i="16"/>
  <c r="G169" i="16"/>
  <c r="H169" i="16"/>
  <c r="E170" i="16"/>
  <c r="F170" i="16"/>
  <c r="G170" i="16"/>
  <c r="H170" i="16"/>
  <c r="E171" i="16"/>
  <c r="F171" i="16"/>
  <c r="G171" i="16"/>
  <c r="H171" i="16"/>
  <c r="E172" i="16"/>
  <c r="F172" i="16"/>
  <c r="G172" i="16"/>
  <c r="H172" i="16"/>
  <c r="E173" i="16"/>
  <c r="F173" i="16"/>
  <c r="G173" i="16"/>
  <c r="H173" i="16"/>
  <c r="E174" i="16"/>
  <c r="F174" i="16"/>
  <c r="G174" i="16"/>
  <c r="H174" i="16"/>
  <c r="E175" i="16"/>
  <c r="F175" i="16"/>
  <c r="G175" i="16"/>
  <c r="H175" i="16"/>
  <c r="E176" i="16"/>
  <c r="F176" i="16"/>
  <c r="G176" i="16"/>
  <c r="H176" i="16"/>
  <c r="E177" i="16"/>
  <c r="F177" i="16"/>
  <c r="G177" i="16"/>
  <c r="H177" i="16"/>
  <c r="E178" i="16"/>
  <c r="F178" i="16"/>
  <c r="G178" i="16"/>
  <c r="H178" i="16"/>
  <c r="E179" i="16"/>
  <c r="F179" i="16"/>
  <c r="G179" i="16"/>
  <c r="H179" i="16"/>
  <c r="E180" i="16"/>
  <c r="F180" i="16"/>
  <c r="G180" i="16"/>
  <c r="H180" i="16"/>
  <c r="E181" i="16"/>
  <c r="F181" i="16"/>
  <c r="G181" i="16"/>
  <c r="H181" i="16"/>
  <c r="E182" i="16"/>
  <c r="F182" i="16"/>
  <c r="G182" i="16"/>
  <c r="H182" i="16"/>
  <c r="E183" i="16"/>
  <c r="F183" i="16"/>
  <c r="G183" i="16"/>
  <c r="H183" i="16"/>
  <c r="E184" i="16"/>
  <c r="F184" i="16"/>
  <c r="G184" i="16"/>
  <c r="H184" i="16"/>
  <c r="E185" i="16"/>
  <c r="F185" i="16"/>
  <c r="G185" i="16"/>
  <c r="H185" i="16"/>
  <c r="E186" i="16"/>
  <c r="F186" i="16"/>
  <c r="G186" i="16"/>
  <c r="H186" i="16"/>
  <c r="E187" i="16"/>
  <c r="F187" i="16"/>
  <c r="G187" i="16"/>
  <c r="H187" i="16"/>
  <c r="E188" i="16"/>
  <c r="F188" i="16"/>
  <c r="G188" i="16"/>
  <c r="H188" i="16"/>
  <c r="E189" i="16"/>
  <c r="F189" i="16"/>
  <c r="G189" i="16"/>
  <c r="H189" i="16"/>
  <c r="E190" i="16"/>
  <c r="F190" i="16"/>
  <c r="G190" i="16"/>
  <c r="H190" i="16"/>
  <c r="E191" i="16"/>
  <c r="F191" i="16"/>
  <c r="G191" i="16"/>
  <c r="H191" i="16"/>
  <c r="E192" i="16"/>
  <c r="F192" i="16"/>
  <c r="G192" i="16"/>
  <c r="H192" i="16"/>
  <c r="E193" i="16"/>
  <c r="F193" i="16"/>
  <c r="G193" i="16"/>
  <c r="H193" i="16"/>
  <c r="E194" i="16"/>
  <c r="F194" i="16"/>
  <c r="G194" i="16"/>
  <c r="H194" i="16"/>
  <c r="E195" i="16"/>
  <c r="F195" i="16"/>
  <c r="G195" i="16"/>
  <c r="H195" i="16"/>
  <c r="E196" i="16"/>
  <c r="F196" i="16"/>
  <c r="G196" i="16"/>
  <c r="H196" i="16"/>
  <c r="E197" i="16"/>
  <c r="F197" i="16"/>
  <c r="G197" i="16"/>
  <c r="H197" i="16"/>
  <c r="E198" i="16"/>
  <c r="F198" i="16"/>
  <c r="G198" i="16"/>
  <c r="H198" i="16"/>
  <c r="E199" i="16"/>
  <c r="F199" i="16"/>
  <c r="G199" i="16"/>
  <c r="H199" i="16"/>
  <c r="E200" i="16"/>
  <c r="F200" i="16"/>
  <c r="G200" i="16"/>
  <c r="H200" i="16"/>
  <c r="E201" i="16"/>
  <c r="F201" i="16"/>
  <c r="G201" i="16"/>
  <c r="H201" i="16"/>
  <c r="E202" i="16"/>
  <c r="F202" i="16"/>
  <c r="G202" i="16"/>
  <c r="H202" i="16"/>
  <c r="E203" i="16"/>
  <c r="F203" i="16"/>
  <c r="G203" i="16"/>
  <c r="H203" i="16"/>
  <c r="E204" i="16"/>
  <c r="F204" i="16"/>
  <c r="G204" i="16"/>
  <c r="H204" i="16"/>
  <c r="E205" i="16"/>
  <c r="F205" i="16"/>
  <c r="G205" i="16"/>
  <c r="H205" i="16"/>
  <c r="E206" i="16"/>
  <c r="F206" i="16"/>
  <c r="G206" i="16"/>
  <c r="H206" i="16"/>
  <c r="E207" i="16"/>
  <c r="F207" i="16"/>
  <c r="G207" i="16"/>
  <c r="H207" i="16"/>
  <c r="E208" i="16"/>
  <c r="F208" i="16"/>
  <c r="G208" i="16"/>
  <c r="H208" i="16"/>
  <c r="E209" i="16"/>
  <c r="F209" i="16"/>
  <c r="G209" i="16"/>
  <c r="H209" i="16"/>
  <c r="E210" i="16"/>
  <c r="F210" i="16"/>
  <c r="G210" i="16"/>
  <c r="H210" i="16"/>
  <c r="E211" i="16"/>
  <c r="F211" i="16"/>
  <c r="G211" i="16"/>
  <c r="H211" i="16"/>
  <c r="E212" i="16"/>
  <c r="F212" i="16"/>
  <c r="G212" i="16"/>
  <c r="H212" i="16"/>
  <c r="E213" i="16"/>
  <c r="F213" i="16"/>
  <c r="G213" i="16"/>
  <c r="H213" i="16"/>
  <c r="E214" i="16"/>
  <c r="F214" i="16"/>
  <c r="G214" i="16"/>
  <c r="H214" i="16"/>
  <c r="E215" i="16"/>
  <c r="F215" i="16"/>
  <c r="G215" i="16"/>
  <c r="H215" i="16"/>
  <c r="E216" i="16"/>
  <c r="F216" i="16"/>
  <c r="G216" i="16"/>
  <c r="H216" i="16"/>
  <c r="E217" i="16"/>
  <c r="F217" i="16"/>
  <c r="G217" i="16"/>
  <c r="H217" i="16"/>
  <c r="E218" i="16"/>
  <c r="F218" i="16"/>
  <c r="G218" i="16"/>
  <c r="H218" i="16"/>
  <c r="E219" i="16"/>
  <c r="F219" i="16"/>
  <c r="G219" i="16"/>
  <c r="H219" i="16"/>
  <c r="E220" i="16"/>
  <c r="F220" i="16"/>
  <c r="G220" i="16"/>
  <c r="H220" i="16"/>
  <c r="E221" i="16"/>
  <c r="F221" i="16"/>
  <c r="G221" i="16"/>
  <c r="H221" i="16"/>
  <c r="E222" i="16"/>
  <c r="F222" i="16"/>
  <c r="G222" i="16"/>
  <c r="H222" i="16"/>
  <c r="E223" i="16"/>
  <c r="F223" i="16"/>
  <c r="G223" i="16"/>
  <c r="H223" i="16"/>
  <c r="E224" i="16"/>
  <c r="F224" i="16"/>
  <c r="G224" i="16"/>
  <c r="H224" i="16"/>
  <c r="E225" i="16"/>
  <c r="F225" i="16"/>
  <c r="G225" i="16"/>
  <c r="H225" i="16"/>
  <c r="E226" i="16"/>
  <c r="F226" i="16"/>
  <c r="G226" i="16"/>
  <c r="H226" i="16"/>
  <c r="E227" i="16"/>
  <c r="F227" i="16"/>
  <c r="G227" i="16"/>
  <c r="H227" i="16"/>
  <c r="E228" i="16"/>
  <c r="F228" i="16"/>
  <c r="G228" i="16"/>
  <c r="H228" i="16"/>
  <c r="E229" i="16"/>
  <c r="F229" i="16"/>
  <c r="G229" i="16"/>
  <c r="H229" i="16"/>
  <c r="E230" i="16"/>
  <c r="F230" i="16"/>
  <c r="G230" i="16"/>
  <c r="H230" i="16"/>
  <c r="E231" i="16"/>
  <c r="F231" i="16"/>
  <c r="G231" i="16"/>
  <c r="H231" i="16"/>
  <c r="E232" i="16"/>
  <c r="F232" i="16"/>
  <c r="G232" i="16"/>
  <c r="H232" i="16"/>
  <c r="E233" i="16"/>
  <c r="F233" i="16"/>
  <c r="G233" i="16"/>
  <c r="H233" i="16"/>
  <c r="E234" i="16"/>
  <c r="F234" i="16"/>
  <c r="G234" i="16"/>
  <c r="H234" i="16"/>
  <c r="E235" i="16"/>
  <c r="F235" i="16"/>
  <c r="G235" i="16"/>
  <c r="H235" i="16"/>
  <c r="E236" i="16"/>
  <c r="F236" i="16"/>
  <c r="G236" i="16"/>
  <c r="H236" i="16"/>
  <c r="E237" i="16"/>
  <c r="F237" i="16"/>
  <c r="G237" i="16"/>
  <c r="H237" i="16"/>
  <c r="E238" i="16"/>
  <c r="F238" i="16"/>
  <c r="G238" i="16"/>
  <c r="H238" i="16"/>
  <c r="E239" i="16"/>
  <c r="F239" i="16"/>
  <c r="G239" i="16"/>
  <c r="H239" i="16"/>
  <c r="E240" i="16"/>
  <c r="F240" i="16"/>
  <c r="G240" i="16"/>
  <c r="H240" i="16"/>
  <c r="E241" i="16"/>
  <c r="F241" i="16"/>
  <c r="G241" i="16"/>
  <c r="H241" i="16"/>
  <c r="E242" i="16"/>
  <c r="F242" i="16"/>
  <c r="G242" i="16"/>
  <c r="H242" i="16"/>
  <c r="E243" i="16"/>
  <c r="F243" i="16"/>
  <c r="G243" i="16"/>
  <c r="H243" i="16"/>
  <c r="E244" i="16"/>
  <c r="F244" i="16"/>
  <c r="G244" i="16"/>
  <c r="H244" i="16"/>
  <c r="E245" i="16"/>
  <c r="F245" i="16"/>
  <c r="G245" i="16"/>
  <c r="H245" i="16"/>
  <c r="E246" i="16"/>
  <c r="F246" i="16"/>
  <c r="G246" i="16"/>
  <c r="H246" i="16"/>
  <c r="E247" i="16"/>
  <c r="F247" i="16"/>
  <c r="G247" i="16"/>
  <c r="H247" i="16"/>
  <c r="E248" i="16"/>
  <c r="F248" i="16"/>
  <c r="G248" i="16"/>
  <c r="H248" i="16"/>
  <c r="E249" i="16"/>
  <c r="F249" i="16"/>
  <c r="G249" i="16"/>
  <c r="H249" i="16"/>
  <c r="E250" i="16"/>
  <c r="F250" i="16"/>
  <c r="G250" i="16"/>
  <c r="H250" i="16"/>
  <c r="E251" i="16"/>
  <c r="F251" i="16"/>
  <c r="G251" i="16"/>
  <c r="H251" i="16"/>
  <c r="E252" i="16"/>
  <c r="F252" i="16"/>
  <c r="G252" i="16"/>
  <c r="H252" i="16"/>
  <c r="E253" i="16"/>
  <c r="F253" i="16"/>
  <c r="G253" i="16"/>
  <c r="H253" i="16"/>
  <c r="E254" i="16"/>
  <c r="F254" i="16"/>
  <c r="G254" i="16"/>
  <c r="H254" i="16"/>
  <c r="E255" i="16"/>
  <c r="F255" i="16"/>
  <c r="G255" i="16"/>
  <c r="H255" i="16"/>
  <c r="E256" i="16"/>
  <c r="F256" i="16"/>
  <c r="G256" i="16"/>
  <c r="H256" i="16"/>
  <c r="E257" i="16"/>
  <c r="F257" i="16"/>
  <c r="G257" i="16"/>
  <c r="H257" i="16"/>
  <c r="E258" i="16"/>
  <c r="F258" i="16"/>
  <c r="G258" i="16"/>
  <c r="H258" i="16"/>
  <c r="E259" i="16"/>
  <c r="F259" i="16"/>
  <c r="G259" i="16"/>
  <c r="H259" i="16"/>
  <c r="E260" i="16"/>
  <c r="F260" i="16"/>
  <c r="G260" i="16"/>
  <c r="H260" i="16"/>
  <c r="E261" i="16"/>
  <c r="F261" i="16"/>
  <c r="G261" i="16"/>
  <c r="H261" i="16"/>
  <c r="E262" i="16"/>
  <c r="F262" i="16"/>
  <c r="G262" i="16"/>
  <c r="H262" i="16"/>
  <c r="E263" i="16"/>
  <c r="F263" i="16"/>
  <c r="G263" i="16"/>
  <c r="H263" i="16"/>
  <c r="E264" i="16"/>
  <c r="F264" i="16"/>
  <c r="G264" i="16"/>
  <c r="H264" i="16"/>
  <c r="E265" i="16"/>
  <c r="F265" i="16"/>
  <c r="G265" i="16"/>
  <c r="H265" i="16"/>
  <c r="E266" i="16"/>
  <c r="F266" i="16"/>
  <c r="G266" i="16"/>
  <c r="H266" i="16"/>
  <c r="E267" i="16"/>
  <c r="F267" i="16"/>
  <c r="G267" i="16"/>
  <c r="H267" i="16"/>
  <c r="E268" i="16"/>
  <c r="F268" i="16"/>
  <c r="G268" i="16"/>
  <c r="H268" i="16"/>
  <c r="E269" i="16"/>
  <c r="F269" i="16"/>
  <c r="G269" i="16"/>
  <c r="H269" i="16"/>
  <c r="E270" i="16"/>
  <c r="F270" i="16"/>
  <c r="G270" i="16"/>
  <c r="H270" i="16"/>
  <c r="E271" i="16"/>
  <c r="F271" i="16"/>
  <c r="G271" i="16"/>
  <c r="H271" i="16"/>
  <c r="E272" i="16"/>
  <c r="F272" i="16"/>
  <c r="G272" i="16"/>
  <c r="H272" i="16"/>
  <c r="E273" i="16"/>
  <c r="F273" i="16"/>
  <c r="G273" i="16"/>
  <c r="H273" i="16"/>
  <c r="E274" i="16"/>
  <c r="F274" i="16"/>
  <c r="G274" i="16"/>
  <c r="H274" i="16"/>
  <c r="E275" i="16"/>
  <c r="F275" i="16"/>
  <c r="G275" i="16"/>
  <c r="H275" i="16"/>
  <c r="E276" i="16"/>
  <c r="F276" i="16"/>
  <c r="G276" i="16"/>
  <c r="H276" i="16"/>
  <c r="E277" i="16"/>
  <c r="F277" i="16"/>
  <c r="G277" i="16"/>
  <c r="H277" i="16"/>
  <c r="E278" i="16"/>
  <c r="F278" i="16"/>
  <c r="G278" i="16"/>
  <c r="H278" i="16"/>
  <c r="E279" i="16"/>
  <c r="F279" i="16"/>
  <c r="G279" i="16"/>
  <c r="H279" i="16"/>
  <c r="E280" i="16"/>
  <c r="F280" i="16"/>
  <c r="G280" i="16"/>
  <c r="H280" i="16"/>
  <c r="E281" i="16"/>
  <c r="F281" i="16"/>
  <c r="G281" i="16"/>
  <c r="H281" i="16"/>
  <c r="E282" i="16"/>
  <c r="F282" i="16"/>
  <c r="G282" i="16"/>
  <c r="H282" i="16"/>
  <c r="E283" i="16"/>
  <c r="F283" i="16"/>
  <c r="G283" i="16"/>
  <c r="H283" i="16"/>
  <c r="E284" i="16"/>
  <c r="F284" i="16"/>
  <c r="G284" i="16"/>
  <c r="H284" i="16"/>
  <c r="E285" i="16"/>
  <c r="F285" i="16"/>
  <c r="G285" i="16"/>
  <c r="H285" i="16"/>
  <c r="E286" i="16"/>
  <c r="F286" i="16"/>
  <c r="G286" i="16"/>
  <c r="H286" i="16"/>
  <c r="E287" i="16"/>
  <c r="F287" i="16"/>
  <c r="G287" i="16"/>
  <c r="H287" i="16"/>
  <c r="E288" i="16"/>
  <c r="F288" i="16"/>
  <c r="G288" i="16"/>
  <c r="H288" i="16"/>
  <c r="E289" i="16"/>
  <c r="F289" i="16"/>
  <c r="G289" i="16"/>
  <c r="H289" i="16"/>
  <c r="E290" i="16"/>
  <c r="F290" i="16"/>
  <c r="G290" i="16"/>
  <c r="H290" i="16"/>
  <c r="E291" i="16"/>
  <c r="F291" i="16"/>
  <c r="G291" i="16"/>
  <c r="H291" i="16"/>
  <c r="E292" i="16"/>
  <c r="F292" i="16"/>
  <c r="G292" i="16"/>
  <c r="H292" i="16"/>
  <c r="E293" i="16"/>
  <c r="F293" i="16"/>
  <c r="G293" i="16"/>
  <c r="H293" i="16"/>
  <c r="E294" i="16"/>
  <c r="F294" i="16"/>
  <c r="G294" i="16"/>
  <c r="H294" i="16"/>
  <c r="E295" i="16"/>
  <c r="F295" i="16"/>
  <c r="G295" i="16"/>
  <c r="H295" i="16"/>
  <c r="E296" i="16"/>
  <c r="F296" i="16"/>
  <c r="G296" i="16"/>
  <c r="H296" i="16"/>
  <c r="E297" i="16"/>
  <c r="F297" i="16"/>
  <c r="G297" i="16"/>
  <c r="H297" i="16"/>
  <c r="E298" i="16"/>
  <c r="F298" i="16"/>
  <c r="G298" i="16"/>
  <c r="H298" i="16"/>
  <c r="E299" i="16"/>
  <c r="F299" i="16"/>
  <c r="G299" i="16"/>
  <c r="H299" i="16"/>
  <c r="E300" i="16"/>
  <c r="F300" i="16"/>
  <c r="G300" i="16"/>
  <c r="H300" i="16"/>
  <c r="E301" i="16"/>
  <c r="F301" i="16"/>
  <c r="G301" i="16"/>
  <c r="H301" i="16"/>
  <c r="E302" i="16"/>
  <c r="F302" i="16"/>
  <c r="G302" i="16"/>
  <c r="H302" i="16"/>
  <c r="E303" i="16"/>
  <c r="F303" i="16"/>
  <c r="G303" i="16"/>
  <c r="H303" i="16"/>
  <c r="E304" i="16"/>
  <c r="F304" i="16"/>
  <c r="G304" i="16"/>
  <c r="H304" i="16"/>
  <c r="E305" i="16"/>
  <c r="F305" i="16"/>
  <c r="G305" i="16"/>
  <c r="H305" i="16"/>
  <c r="E306" i="16"/>
  <c r="F306" i="16"/>
  <c r="G306" i="16"/>
  <c r="H306" i="16"/>
  <c r="E307" i="16"/>
  <c r="F307" i="16"/>
  <c r="G307" i="16"/>
  <c r="H307" i="16"/>
  <c r="E308" i="16"/>
  <c r="F308" i="16"/>
  <c r="G308" i="16"/>
  <c r="H308" i="16"/>
  <c r="E309" i="16"/>
  <c r="F309" i="16"/>
  <c r="G309" i="16"/>
  <c r="H309" i="16"/>
  <c r="E310" i="16"/>
  <c r="F310" i="16"/>
  <c r="G310" i="16"/>
  <c r="H310" i="16"/>
  <c r="E311" i="16"/>
  <c r="F311" i="16"/>
  <c r="G311" i="16"/>
  <c r="H311" i="16"/>
  <c r="E312" i="16"/>
  <c r="F312" i="16"/>
  <c r="G312" i="16"/>
  <c r="H312" i="16"/>
  <c r="E313" i="16"/>
  <c r="F313" i="16"/>
  <c r="G313" i="16"/>
  <c r="H313" i="16"/>
  <c r="E314" i="16"/>
  <c r="F314" i="16"/>
  <c r="G314" i="16"/>
  <c r="H314" i="16"/>
  <c r="E315" i="16"/>
  <c r="F315" i="16"/>
  <c r="G315" i="16"/>
  <c r="H315" i="16"/>
  <c r="E316" i="16"/>
  <c r="F316" i="16"/>
  <c r="G316" i="16"/>
  <c r="H316" i="16"/>
  <c r="E317" i="16"/>
  <c r="F317" i="16"/>
  <c r="G317" i="16"/>
  <c r="H317" i="16"/>
  <c r="E318" i="16"/>
  <c r="F318" i="16"/>
  <c r="G318" i="16"/>
  <c r="H318" i="16"/>
  <c r="E319" i="16"/>
  <c r="F319" i="16"/>
  <c r="G319" i="16"/>
  <c r="H319" i="16"/>
  <c r="E320" i="16"/>
  <c r="F320" i="16"/>
  <c r="G320" i="16"/>
  <c r="H320" i="16"/>
  <c r="E321" i="16"/>
  <c r="F321" i="16"/>
  <c r="G321" i="16"/>
  <c r="H321" i="16"/>
  <c r="E322" i="16"/>
  <c r="F322" i="16"/>
  <c r="G322" i="16"/>
  <c r="H322" i="16"/>
  <c r="E323" i="16"/>
  <c r="F323" i="16"/>
  <c r="G323" i="16"/>
  <c r="H323" i="16"/>
  <c r="E324" i="16"/>
  <c r="F324" i="16"/>
  <c r="G324" i="16"/>
  <c r="H324" i="16"/>
  <c r="E325" i="16"/>
  <c r="F325" i="16"/>
  <c r="G325" i="16"/>
  <c r="H325" i="16"/>
  <c r="E326" i="16"/>
  <c r="F326" i="16"/>
  <c r="G326" i="16"/>
  <c r="H326" i="16"/>
  <c r="E327" i="16"/>
  <c r="F327" i="16"/>
  <c r="G327" i="16"/>
  <c r="H327" i="16"/>
  <c r="E328" i="16"/>
  <c r="F328" i="16"/>
  <c r="G328" i="16"/>
  <c r="H328" i="16"/>
  <c r="E329" i="16"/>
  <c r="F329" i="16"/>
  <c r="G329" i="16"/>
  <c r="H329" i="16"/>
  <c r="E330" i="16"/>
  <c r="F330" i="16"/>
  <c r="G330" i="16"/>
  <c r="H330" i="16"/>
  <c r="E331" i="16"/>
  <c r="F331" i="16"/>
  <c r="G331" i="16"/>
  <c r="H331" i="16"/>
  <c r="E332" i="16"/>
  <c r="F332" i="16"/>
  <c r="G332" i="16"/>
  <c r="H332" i="16"/>
  <c r="E333" i="16"/>
  <c r="F333" i="16"/>
  <c r="G333" i="16"/>
  <c r="H333" i="16"/>
  <c r="E334" i="16"/>
  <c r="F334" i="16"/>
  <c r="G334" i="16"/>
  <c r="H334" i="16"/>
  <c r="E335" i="16"/>
  <c r="F335" i="16"/>
  <c r="G335" i="16"/>
  <c r="H335" i="16"/>
  <c r="E336" i="16"/>
  <c r="F336" i="16"/>
  <c r="G336" i="16"/>
  <c r="H336" i="16"/>
  <c r="E337" i="16"/>
  <c r="F337" i="16"/>
  <c r="G337" i="16"/>
  <c r="H337" i="16"/>
  <c r="E338" i="16"/>
  <c r="F338" i="16"/>
  <c r="G338" i="16"/>
  <c r="H338" i="16"/>
  <c r="E339" i="16"/>
  <c r="F339" i="16"/>
  <c r="G339" i="16"/>
  <c r="H339" i="16"/>
  <c r="E340" i="16"/>
  <c r="F340" i="16"/>
  <c r="G340" i="16"/>
  <c r="H340" i="16"/>
  <c r="E341" i="16"/>
  <c r="F341" i="16"/>
  <c r="G341" i="16"/>
  <c r="H341" i="16"/>
  <c r="E342" i="16"/>
  <c r="F342" i="16"/>
  <c r="G342" i="16"/>
  <c r="H342" i="16"/>
  <c r="E343" i="16"/>
  <c r="F343" i="16"/>
  <c r="G343" i="16"/>
  <c r="H343" i="16"/>
  <c r="E344" i="16"/>
  <c r="F344" i="16"/>
  <c r="G344" i="16"/>
  <c r="H344" i="16"/>
  <c r="E345" i="16"/>
  <c r="F345" i="16"/>
  <c r="G345" i="16"/>
  <c r="H345" i="16"/>
  <c r="E346" i="16"/>
  <c r="F346" i="16"/>
  <c r="G346" i="16"/>
  <c r="H346" i="16"/>
  <c r="E347" i="16"/>
  <c r="F347" i="16"/>
  <c r="G347" i="16"/>
  <c r="H347" i="16"/>
  <c r="E348" i="16"/>
  <c r="F348" i="16"/>
  <c r="G348" i="16"/>
  <c r="H348" i="16"/>
  <c r="E349" i="16"/>
  <c r="F349" i="16"/>
  <c r="G349" i="16"/>
  <c r="H349" i="16"/>
  <c r="E350" i="16"/>
  <c r="F350" i="16"/>
  <c r="G350" i="16"/>
  <c r="H350" i="16"/>
  <c r="E351" i="16"/>
  <c r="F351" i="16"/>
  <c r="G351" i="16"/>
  <c r="H351" i="16"/>
  <c r="E352" i="16"/>
  <c r="F352" i="16"/>
  <c r="G352" i="16"/>
  <c r="H352" i="16"/>
  <c r="E353" i="16"/>
  <c r="F353" i="16"/>
  <c r="G353" i="16"/>
  <c r="H353" i="16"/>
  <c r="E354" i="16"/>
  <c r="F354" i="16"/>
  <c r="G354" i="16"/>
  <c r="H354" i="16"/>
  <c r="E355" i="16"/>
  <c r="F355" i="16"/>
  <c r="G355" i="16"/>
  <c r="H355" i="16"/>
  <c r="E356" i="16"/>
  <c r="F356" i="16"/>
  <c r="G356" i="16"/>
  <c r="H356" i="16"/>
  <c r="E357" i="16"/>
  <c r="F357" i="16"/>
  <c r="G357" i="16"/>
  <c r="H357" i="16"/>
  <c r="E358" i="16"/>
  <c r="F358" i="16"/>
  <c r="G358" i="16"/>
  <c r="H358" i="16"/>
  <c r="E359" i="16"/>
  <c r="F359" i="16"/>
  <c r="G359" i="16"/>
  <c r="H359" i="16"/>
  <c r="E360" i="16"/>
  <c r="F360" i="16"/>
  <c r="G360" i="16"/>
  <c r="H360" i="16"/>
  <c r="E361" i="16"/>
  <c r="F361" i="16"/>
  <c r="G361" i="16"/>
  <c r="H361" i="16"/>
  <c r="E362" i="16"/>
  <c r="F362" i="16"/>
  <c r="G362" i="16"/>
  <c r="H362" i="16"/>
  <c r="E363" i="16"/>
  <c r="F363" i="16"/>
  <c r="G363" i="16"/>
  <c r="H363" i="16"/>
  <c r="E364" i="16"/>
  <c r="F364" i="16"/>
  <c r="G364" i="16"/>
  <c r="H364" i="16"/>
  <c r="E365" i="16"/>
  <c r="F365" i="16"/>
  <c r="G365" i="16"/>
  <c r="H365" i="16"/>
  <c r="E366" i="16"/>
  <c r="F366" i="16"/>
  <c r="G366" i="16"/>
  <c r="H366" i="16"/>
  <c r="E367" i="16"/>
  <c r="F367" i="16"/>
  <c r="G367" i="16"/>
  <c r="H367" i="16"/>
  <c r="E368" i="16"/>
  <c r="F368" i="16"/>
  <c r="G368" i="16"/>
  <c r="H368" i="16"/>
  <c r="E369" i="16"/>
  <c r="F369" i="16"/>
  <c r="G369" i="16"/>
  <c r="H369" i="16"/>
  <c r="E370" i="16"/>
  <c r="F370" i="16"/>
  <c r="G370" i="16"/>
  <c r="H370" i="16"/>
  <c r="E371" i="16"/>
  <c r="F371" i="16"/>
  <c r="G371" i="16"/>
  <c r="H371" i="16"/>
  <c r="E372" i="16"/>
  <c r="F372" i="16"/>
  <c r="G372" i="16"/>
  <c r="H372" i="16"/>
  <c r="E373" i="16"/>
  <c r="F373" i="16"/>
  <c r="G373" i="16"/>
  <c r="H373" i="16"/>
  <c r="E374" i="16"/>
  <c r="F374" i="16"/>
  <c r="G374" i="16"/>
  <c r="H374" i="16"/>
  <c r="E375" i="16"/>
  <c r="F375" i="16"/>
  <c r="G375" i="16"/>
  <c r="H375" i="16"/>
  <c r="E376" i="16"/>
  <c r="F376" i="16"/>
  <c r="G376" i="16"/>
  <c r="H376" i="16"/>
  <c r="E377" i="16"/>
  <c r="F377" i="16"/>
  <c r="G377" i="16"/>
  <c r="H377" i="16"/>
  <c r="E378" i="16"/>
  <c r="F378" i="16"/>
  <c r="G378" i="16"/>
  <c r="H378" i="16"/>
  <c r="E379" i="16"/>
  <c r="F379" i="16"/>
  <c r="G379" i="16"/>
  <c r="H379" i="16"/>
  <c r="E380" i="16"/>
  <c r="F380" i="16"/>
  <c r="G380" i="16"/>
  <c r="H380" i="16"/>
  <c r="E381" i="16"/>
  <c r="F381" i="16"/>
  <c r="G381" i="16"/>
  <c r="H381" i="16"/>
  <c r="E382" i="16"/>
  <c r="F382" i="16"/>
  <c r="G382" i="16"/>
  <c r="H382" i="16"/>
  <c r="E383" i="16"/>
  <c r="F383" i="16"/>
  <c r="G383" i="16"/>
  <c r="H383" i="16"/>
  <c r="E384" i="16"/>
  <c r="F384" i="16"/>
  <c r="G384" i="16"/>
  <c r="H384" i="16"/>
  <c r="E385" i="16"/>
  <c r="F385" i="16"/>
  <c r="G385" i="16"/>
  <c r="H385" i="16"/>
  <c r="E386" i="16"/>
  <c r="F386" i="16"/>
  <c r="G386" i="16"/>
  <c r="H386" i="16"/>
  <c r="E387" i="16"/>
  <c r="F387" i="16"/>
  <c r="G387" i="16"/>
  <c r="H387" i="16"/>
  <c r="E388" i="16"/>
  <c r="F388" i="16"/>
  <c r="G388" i="16"/>
  <c r="H388" i="16"/>
  <c r="E389" i="16"/>
  <c r="F389" i="16"/>
  <c r="G389" i="16"/>
  <c r="H389" i="16"/>
  <c r="E390" i="16"/>
  <c r="F390" i="16"/>
  <c r="G390" i="16"/>
  <c r="H390" i="16"/>
  <c r="E391" i="16"/>
  <c r="F391" i="16"/>
  <c r="G391" i="16"/>
  <c r="H391" i="16"/>
  <c r="E392" i="16"/>
  <c r="F392" i="16"/>
  <c r="G392" i="16"/>
  <c r="H392" i="16"/>
  <c r="E393" i="16"/>
  <c r="F393" i="16"/>
  <c r="G393" i="16"/>
  <c r="H393" i="16"/>
  <c r="E394" i="16"/>
  <c r="F394" i="16"/>
  <c r="G394" i="16"/>
  <c r="H394" i="16"/>
  <c r="E395" i="16"/>
  <c r="F395" i="16"/>
  <c r="G395" i="16"/>
  <c r="H395" i="16"/>
  <c r="E396" i="16"/>
  <c r="F396" i="16"/>
  <c r="G396" i="16"/>
  <c r="H396" i="16"/>
  <c r="E397" i="16"/>
  <c r="F397" i="16"/>
  <c r="G397" i="16"/>
  <c r="H397" i="16"/>
  <c r="E398" i="16"/>
  <c r="F398" i="16"/>
  <c r="G398" i="16"/>
  <c r="H398" i="16"/>
  <c r="E399" i="16"/>
  <c r="F399" i="16"/>
  <c r="G399" i="16"/>
  <c r="H399" i="16"/>
  <c r="E400" i="16"/>
  <c r="F400" i="16"/>
  <c r="G400" i="16"/>
  <c r="H400" i="16"/>
  <c r="E401" i="16"/>
  <c r="F401" i="16"/>
  <c r="G401" i="16"/>
  <c r="H401" i="16"/>
  <c r="E402" i="16"/>
  <c r="F402" i="16"/>
  <c r="G402" i="16"/>
  <c r="H402" i="16"/>
  <c r="E403" i="16"/>
  <c r="F403" i="16"/>
  <c r="G403" i="16"/>
  <c r="H403" i="16"/>
  <c r="E404" i="16"/>
  <c r="F404" i="16"/>
  <c r="G404" i="16"/>
  <c r="H404" i="16"/>
  <c r="E405" i="16"/>
  <c r="F405" i="16"/>
  <c r="G405" i="16"/>
  <c r="H405" i="16"/>
  <c r="E406" i="16"/>
  <c r="F406" i="16"/>
  <c r="G406" i="16"/>
  <c r="H406" i="16"/>
  <c r="E407" i="16"/>
  <c r="F407" i="16"/>
  <c r="G407" i="16"/>
  <c r="H407" i="16"/>
  <c r="E408" i="16"/>
  <c r="F408" i="16"/>
  <c r="G408" i="16"/>
  <c r="H408" i="16"/>
  <c r="E409" i="16"/>
  <c r="F409" i="16"/>
  <c r="G409" i="16"/>
  <c r="H409" i="16"/>
  <c r="E410" i="16"/>
  <c r="F410" i="16"/>
  <c r="G410" i="16"/>
  <c r="H410" i="16"/>
  <c r="E411" i="16"/>
  <c r="F411" i="16"/>
  <c r="G411" i="16"/>
  <c r="H411" i="16"/>
  <c r="E412" i="16"/>
  <c r="F412" i="16"/>
  <c r="G412" i="16"/>
  <c r="H412" i="16"/>
  <c r="E413" i="16"/>
  <c r="F413" i="16"/>
  <c r="G413" i="16"/>
  <c r="H413" i="16"/>
  <c r="E414" i="16"/>
  <c r="F414" i="16"/>
  <c r="G414" i="16"/>
  <c r="H414" i="16"/>
  <c r="E415" i="16"/>
  <c r="F415" i="16"/>
  <c r="G415" i="16"/>
  <c r="H415" i="16"/>
  <c r="E416" i="16"/>
  <c r="F416" i="16"/>
  <c r="G416" i="16"/>
  <c r="H416" i="16"/>
  <c r="E417" i="16"/>
  <c r="F417" i="16"/>
  <c r="G417" i="16"/>
  <c r="H417" i="16"/>
  <c r="E418" i="16"/>
  <c r="F418" i="16"/>
  <c r="G418" i="16"/>
  <c r="H418" i="16"/>
  <c r="E419" i="16"/>
  <c r="F419" i="16"/>
  <c r="G419" i="16"/>
  <c r="H419" i="16"/>
  <c r="E420" i="16"/>
  <c r="F420" i="16"/>
  <c r="G420" i="16"/>
  <c r="H420" i="16"/>
  <c r="E421" i="16"/>
  <c r="F421" i="16"/>
  <c r="G421" i="16"/>
  <c r="H421" i="16"/>
  <c r="E422" i="16"/>
  <c r="F422" i="16"/>
  <c r="G422" i="16"/>
  <c r="H422" i="16"/>
  <c r="E423" i="16"/>
  <c r="F423" i="16"/>
  <c r="G423" i="16"/>
  <c r="H423" i="16"/>
  <c r="E424" i="16"/>
  <c r="F424" i="16"/>
  <c r="G424" i="16"/>
  <c r="H424" i="16"/>
  <c r="E425" i="16"/>
  <c r="F425" i="16"/>
  <c r="G425" i="16"/>
  <c r="H425" i="16"/>
  <c r="E426" i="16"/>
  <c r="F426" i="16"/>
  <c r="G426" i="16"/>
  <c r="H426" i="16"/>
  <c r="E427" i="16"/>
  <c r="F427" i="16"/>
  <c r="G427" i="16"/>
  <c r="H427" i="16"/>
  <c r="E428" i="16"/>
  <c r="F428" i="16"/>
  <c r="G428" i="16"/>
  <c r="H428" i="16"/>
  <c r="E429" i="16"/>
  <c r="F429" i="16"/>
  <c r="G429" i="16"/>
  <c r="H429" i="16"/>
  <c r="E430" i="16"/>
  <c r="F430" i="16"/>
  <c r="G430" i="16"/>
  <c r="H430" i="16"/>
  <c r="E431" i="16"/>
  <c r="F431" i="16"/>
  <c r="G431" i="16"/>
  <c r="H431" i="16"/>
  <c r="E432" i="16"/>
  <c r="F432" i="16"/>
  <c r="G432" i="16"/>
  <c r="H432" i="16"/>
  <c r="E433" i="16"/>
  <c r="F433" i="16"/>
  <c r="G433" i="16"/>
  <c r="H433" i="16"/>
  <c r="E434" i="16"/>
  <c r="F434" i="16"/>
  <c r="G434" i="16"/>
  <c r="H434" i="16"/>
  <c r="E435" i="16"/>
  <c r="F435" i="16"/>
  <c r="G435" i="16"/>
  <c r="H435" i="16"/>
  <c r="E436" i="16"/>
  <c r="F436" i="16"/>
  <c r="G436" i="16"/>
  <c r="H436" i="16"/>
  <c r="E437" i="16"/>
  <c r="F437" i="16"/>
  <c r="G437" i="16"/>
  <c r="H437" i="16"/>
  <c r="E438" i="16"/>
  <c r="F438" i="16"/>
  <c r="G438" i="16"/>
  <c r="H438" i="16"/>
  <c r="E439" i="16"/>
  <c r="F439" i="16"/>
  <c r="G439" i="16"/>
  <c r="H439" i="16"/>
  <c r="E440" i="16"/>
  <c r="F440" i="16"/>
  <c r="G440" i="16"/>
  <c r="H440" i="16"/>
  <c r="E441" i="16"/>
  <c r="F441" i="16"/>
  <c r="G441" i="16"/>
  <c r="H441" i="16"/>
  <c r="E442" i="16"/>
  <c r="F442" i="16"/>
  <c r="G442" i="16"/>
  <c r="H442" i="16"/>
  <c r="E443" i="16"/>
  <c r="F443" i="16"/>
  <c r="G443" i="16"/>
  <c r="H443" i="16"/>
  <c r="E444" i="16"/>
  <c r="F444" i="16"/>
  <c r="G444" i="16"/>
  <c r="H444" i="16"/>
  <c r="E445" i="16"/>
  <c r="F445" i="16"/>
  <c r="G445" i="16"/>
  <c r="H445" i="16"/>
  <c r="E446" i="16"/>
  <c r="F446" i="16"/>
  <c r="G446" i="16"/>
  <c r="H446" i="16"/>
  <c r="E447" i="16"/>
  <c r="F447" i="16"/>
  <c r="G447" i="16"/>
  <c r="H447" i="16"/>
  <c r="E448" i="16"/>
  <c r="F448" i="16"/>
  <c r="G448" i="16"/>
  <c r="H448" i="16"/>
  <c r="E449" i="16"/>
  <c r="F449" i="16"/>
  <c r="G449" i="16"/>
  <c r="H449" i="16"/>
  <c r="E450" i="16"/>
  <c r="F450" i="16"/>
  <c r="G450" i="16"/>
  <c r="H450" i="16"/>
  <c r="E451" i="16"/>
  <c r="F451" i="16"/>
  <c r="G451" i="16"/>
  <c r="H451" i="16"/>
  <c r="E452" i="16"/>
  <c r="F452" i="16"/>
  <c r="G452" i="16"/>
  <c r="H452" i="16"/>
  <c r="E453" i="16"/>
  <c r="F453" i="16"/>
  <c r="G453" i="16"/>
  <c r="H453" i="16"/>
  <c r="E454" i="16"/>
  <c r="F454" i="16"/>
  <c r="G454" i="16"/>
  <c r="H454" i="16"/>
  <c r="E455" i="16"/>
  <c r="F455" i="16"/>
  <c r="G455" i="16"/>
  <c r="H455" i="16"/>
  <c r="E456" i="16"/>
  <c r="F456" i="16"/>
  <c r="G456" i="16"/>
  <c r="H456" i="16"/>
  <c r="E457" i="16"/>
  <c r="F457" i="16"/>
  <c r="G457" i="16"/>
  <c r="H457" i="16"/>
  <c r="E458" i="16"/>
  <c r="F458" i="16"/>
  <c r="G458" i="16"/>
  <c r="H458" i="16"/>
  <c r="E459" i="16"/>
  <c r="F459" i="16"/>
  <c r="G459" i="16"/>
  <c r="H459" i="16"/>
  <c r="E460" i="16"/>
  <c r="F460" i="16"/>
  <c r="G460" i="16"/>
  <c r="H460" i="16"/>
  <c r="E461" i="16"/>
  <c r="F461" i="16"/>
  <c r="G461" i="16"/>
  <c r="H461" i="16"/>
  <c r="E462" i="16"/>
  <c r="F462" i="16"/>
  <c r="G462" i="16"/>
  <c r="H462" i="16"/>
  <c r="E463" i="16"/>
  <c r="F463" i="16"/>
  <c r="G463" i="16"/>
  <c r="H463" i="16"/>
  <c r="E464" i="16"/>
  <c r="F464" i="16"/>
  <c r="G464" i="16"/>
  <c r="H464" i="16"/>
  <c r="E465" i="16"/>
  <c r="F465" i="16"/>
  <c r="G465" i="16"/>
  <c r="H465" i="16"/>
  <c r="E466" i="16"/>
  <c r="F466" i="16"/>
  <c r="G466" i="16"/>
  <c r="H466" i="16"/>
  <c r="E467" i="16"/>
  <c r="F467" i="16"/>
  <c r="G467" i="16"/>
  <c r="H467" i="16"/>
  <c r="E468" i="16"/>
  <c r="F468" i="16"/>
  <c r="G468" i="16"/>
  <c r="H468" i="16"/>
  <c r="E469" i="16"/>
  <c r="F469" i="16"/>
  <c r="G469" i="16"/>
  <c r="H469" i="16"/>
  <c r="E470" i="16"/>
  <c r="F470" i="16"/>
  <c r="G470" i="16"/>
  <c r="H470" i="16"/>
  <c r="E471" i="16"/>
  <c r="F471" i="16"/>
  <c r="G471" i="16"/>
  <c r="H471" i="16"/>
  <c r="E472" i="16"/>
  <c r="F472" i="16"/>
  <c r="G472" i="16"/>
  <c r="H472" i="16"/>
  <c r="E473" i="16"/>
  <c r="F473" i="16"/>
  <c r="G473" i="16"/>
  <c r="H473" i="16"/>
  <c r="E474" i="16"/>
  <c r="F474" i="16"/>
  <c r="G474" i="16"/>
  <c r="H474" i="16"/>
  <c r="E475" i="16"/>
  <c r="F475" i="16"/>
  <c r="G475" i="16"/>
  <c r="H475" i="16"/>
  <c r="E476" i="16"/>
  <c r="F476" i="16"/>
  <c r="G476" i="16"/>
  <c r="H476" i="16"/>
  <c r="E477" i="16"/>
  <c r="F477" i="16"/>
  <c r="G477" i="16"/>
  <c r="H477" i="16"/>
  <c r="E478" i="16"/>
  <c r="F478" i="16"/>
  <c r="G478" i="16"/>
  <c r="H478" i="16"/>
  <c r="E479" i="16"/>
  <c r="F479" i="16"/>
  <c r="G479" i="16"/>
  <c r="H479" i="16"/>
  <c r="E480" i="16"/>
  <c r="F480" i="16"/>
  <c r="G480" i="16"/>
  <c r="H480" i="16"/>
  <c r="E481" i="16"/>
  <c r="F481" i="16"/>
  <c r="G481" i="16"/>
  <c r="H481" i="16"/>
  <c r="E482" i="16"/>
  <c r="F482" i="16"/>
  <c r="G482" i="16"/>
  <c r="H482" i="16"/>
  <c r="E483" i="16"/>
  <c r="F483" i="16"/>
  <c r="G483" i="16"/>
  <c r="H483" i="16"/>
  <c r="E484" i="16"/>
  <c r="F484" i="16"/>
  <c r="G484" i="16"/>
  <c r="H484" i="16"/>
  <c r="E485" i="16"/>
  <c r="F485" i="16"/>
  <c r="G485" i="16"/>
  <c r="H485" i="16"/>
  <c r="E486" i="16"/>
  <c r="F486" i="16"/>
  <c r="G486" i="16"/>
  <c r="H486" i="16"/>
  <c r="E487" i="16"/>
  <c r="F487" i="16"/>
  <c r="G487" i="16"/>
  <c r="H487" i="16"/>
  <c r="E488" i="16"/>
  <c r="F488" i="16"/>
  <c r="G488" i="16"/>
  <c r="H488" i="16"/>
  <c r="E489" i="16"/>
  <c r="F489" i="16"/>
  <c r="G489" i="16"/>
  <c r="H489" i="16"/>
  <c r="E490" i="16"/>
  <c r="F490" i="16"/>
  <c r="G490" i="16"/>
  <c r="H490" i="16"/>
  <c r="E491" i="16"/>
  <c r="F491" i="16"/>
  <c r="G491" i="16"/>
  <c r="H491" i="16"/>
  <c r="E492" i="16"/>
  <c r="F492" i="16"/>
  <c r="G492" i="16"/>
  <c r="H492" i="16"/>
  <c r="E493" i="16"/>
  <c r="F493" i="16"/>
  <c r="G493" i="16"/>
  <c r="H493" i="16"/>
  <c r="E494" i="16"/>
  <c r="F494" i="16"/>
  <c r="G494" i="16"/>
  <c r="H494" i="16"/>
  <c r="E495" i="16"/>
  <c r="F495" i="16"/>
  <c r="G495" i="16"/>
  <c r="H495" i="16"/>
  <c r="E496" i="16"/>
  <c r="F496" i="16"/>
  <c r="G496" i="16"/>
  <c r="H496" i="16"/>
  <c r="E497" i="16"/>
  <c r="F497" i="16"/>
  <c r="G497" i="16"/>
  <c r="H497" i="16"/>
  <c r="E498" i="16"/>
  <c r="F498" i="16"/>
  <c r="G498" i="16"/>
  <c r="H498" i="16"/>
  <c r="E499" i="16"/>
  <c r="F499" i="16"/>
  <c r="G499" i="16"/>
  <c r="H499" i="16"/>
  <c r="E500" i="16"/>
  <c r="F500" i="16"/>
  <c r="G500" i="16"/>
  <c r="H500" i="16"/>
  <c r="E501" i="16"/>
  <c r="F501" i="16"/>
  <c r="G501" i="16"/>
  <c r="H501" i="16"/>
  <c r="E502" i="16"/>
  <c r="F502" i="16"/>
  <c r="G502" i="16"/>
  <c r="H502" i="16"/>
  <c r="E503" i="16"/>
  <c r="F503" i="16"/>
  <c r="G503" i="16"/>
  <c r="H503" i="16"/>
  <c r="E504" i="16"/>
  <c r="F504" i="16"/>
  <c r="G504" i="16"/>
  <c r="H504" i="16"/>
  <c r="E505" i="16"/>
  <c r="F505" i="16"/>
  <c r="G505" i="16"/>
  <c r="H505" i="16"/>
  <c r="E506" i="16"/>
  <c r="F506" i="16"/>
  <c r="G506" i="16"/>
  <c r="H506" i="16"/>
  <c r="E507" i="16"/>
  <c r="F507" i="16"/>
  <c r="G507" i="16"/>
  <c r="H507" i="16"/>
  <c r="E508" i="16"/>
  <c r="F508" i="16"/>
  <c r="G508" i="16"/>
  <c r="H508" i="16"/>
  <c r="E509" i="16"/>
  <c r="F509" i="16"/>
  <c r="G509" i="16"/>
  <c r="H509" i="16"/>
  <c r="E510" i="16"/>
  <c r="F510" i="16"/>
  <c r="G510" i="16"/>
  <c r="H510" i="16"/>
  <c r="E511" i="16"/>
  <c r="F511" i="16"/>
  <c r="G511" i="16"/>
  <c r="H511" i="16"/>
  <c r="E512" i="16"/>
  <c r="F512" i="16"/>
  <c r="G512" i="16"/>
  <c r="H512" i="16"/>
  <c r="E513" i="16"/>
  <c r="F513" i="16"/>
  <c r="G513" i="16"/>
  <c r="H513" i="16"/>
  <c r="E514" i="16"/>
  <c r="F514" i="16"/>
  <c r="G514" i="16"/>
  <c r="H514" i="16"/>
  <c r="E515" i="16"/>
  <c r="F515" i="16"/>
  <c r="G515" i="16"/>
  <c r="H515" i="16"/>
  <c r="E516" i="16"/>
  <c r="F516" i="16"/>
  <c r="G516" i="16"/>
  <c r="H516" i="16"/>
  <c r="E517" i="16"/>
  <c r="F517" i="16"/>
  <c r="G517" i="16"/>
  <c r="H517" i="16"/>
  <c r="E518" i="16"/>
  <c r="F518" i="16"/>
  <c r="G518" i="16"/>
  <c r="H518" i="16"/>
  <c r="E519" i="16"/>
  <c r="F519" i="16"/>
  <c r="G519" i="16"/>
  <c r="H519" i="16"/>
  <c r="E520" i="16"/>
  <c r="F520" i="16"/>
  <c r="G520" i="16"/>
  <c r="H520" i="16"/>
  <c r="E521" i="16"/>
  <c r="F521" i="16"/>
  <c r="G521" i="16"/>
  <c r="H521" i="16"/>
  <c r="E522" i="16"/>
  <c r="F522" i="16"/>
  <c r="G522" i="16"/>
  <c r="H522" i="16"/>
  <c r="E523" i="16"/>
  <c r="F523" i="16"/>
  <c r="G523" i="16"/>
  <c r="H523" i="16"/>
  <c r="E524" i="16"/>
  <c r="F524" i="16"/>
  <c r="G524" i="16"/>
  <c r="H524" i="16"/>
  <c r="E525" i="16"/>
  <c r="F525" i="16"/>
  <c r="G525" i="16"/>
  <c r="H525" i="16"/>
  <c r="E526" i="16"/>
  <c r="F526" i="16"/>
  <c r="G526" i="16"/>
  <c r="H526" i="16"/>
  <c r="E527" i="16"/>
  <c r="F527" i="16"/>
  <c r="G527" i="16"/>
  <c r="H527" i="16"/>
  <c r="E528" i="16"/>
  <c r="F528" i="16"/>
  <c r="G528" i="16"/>
  <c r="H528" i="16"/>
  <c r="E529" i="16"/>
  <c r="F529" i="16"/>
  <c r="G529" i="16"/>
  <c r="H529" i="16"/>
  <c r="E530" i="16"/>
  <c r="F530" i="16"/>
  <c r="G530" i="16"/>
  <c r="H530" i="16"/>
  <c r="E531" i="16"/>
  <c r="F531" i="16"/>
  <c r="G531" i="16"/>
  <c r="H531" i="16"/>
  <c r="E532" i="16"/>
  <c r="F532" i="16"/>
  <c r="G532" i="16"/>
  <c r="H532" i="16"/>
  <c r="E533" i="16"/>
  <c r="F533" i="16"/>
  <c r="G533" i="16"/>
  <c r="H533" i="16"/>
  <c r="E534" i="16"/>
  <c r="F534" i="16"/>
  <c r="G534" i="16"/>
  <c r="H534" i="16"/>
  <c r="E535" i="16"/>
  <c r="F535" i="16"/>
  <c r="G535" i="16"/>
  <c r="H535" i="16"/>
  <c r="E536" i="16"/>
  <c r="F536" i="16"/>
  <c r="G536" i="16"/>
  <c r="H536" i="16"/>
  <c r="E537" i="16"/>
  <c r="F537" i="16"/>
  <c r="G537" i="16"/>
  <c r="H537" i="16"/>
  <c r="E538" i="16"/>
  <c r="F538" i="16"/>
  <c r="G538" i="16"/>
  <c r="H538" i="16"/>
  <c r="E539" i="16"/>
  <c r="F539" i="16"/>
  <c r="G539" i="16"/>
  <c r="H539" i="16"/>
  <c r="E540" i="16"/>
  <c r="F540" i="16"/>
  <c r="G540" i="16"/>
  <c r="H540" i="16"/>
  <c r="E541" i="16"/>
  <c r="F541" i="16"/>
  <c r="G541" i="16"/>
  <c r="H541" i="16"/>
  <c r="E542" i="16"/>
  <c r="F542" i="16"/>
  <c r="G542" i="16"/>
  <c r="H542" i="16"/>
  <c r="E543" i="16"/>
  <c r="F543" i="16"/>
  <c r="G543" i="16"/>
  <c r="H543" i="16"/>
  <c r="E544" i="16"/>
  <c r="F544" i="16"/>
  <c r="G544" i="16"/>
  <c r="H544" i="16"/>
  <c r="E545" i="16"/>
  <c r="F545" i="16"/>
  <c r="G545" i="16"/>
  <c r="H545" i="16"/>
  <c r="H5" i="16"/>
  <c r="G5" i="16"/>
  <c r="F5" i="16"/>
  <c r="E5" i="16"/>
  <c r="O547" i="16" l="1"/>
  <c r="P547" i="16" s="1"/>
  <c r="O1089" i="16"/>
  <c r="P1089" i="16" s="1"/>
  <c r="O5" i="16"/>
  <c r="P5" i="16" s="1"/>
  <c r="O545" i="16"/>
  <c r="P545" i="16" s="1"/>
  <c r="O544" i="16"/>
  <c r="P544" i="16" s="1"/>
  <c r="O543" i="16"/>
  <c r="P543" i="16" s="1"/>
  <c r="O542" i="16"/>
  <c r="P542" i="16" s="1"/>
  <c r="O541" i="16"/>
  <c r="P541" i="16" s="1"/>
  <c r="O540" i="16"/>
  <c r="P540" i="16" s="1"/>
  <c r="O539" i="16"/>
  <c r="P539" i="16" s="1"/>
  <c r="O538" i="16"/>
  <c r="P538" i="16" s="1"/>
  <c r="O537" i="16"/>
  <c r="P537" i="16" s="1"/>
  <c r="O536" i="16"/>
  <c r="P536" i="16" s="1"/>
  <c r="O535" i="16"/>
  <c r="P535" i="16" s="1"/>
  <c r="O534" i="16"/>
  <c r="P534" i="16" s="1"/>
  <c r="O533" i="16"/>
  <c r="P533" i="16" s="1"/>
  <c r="O532" i="16"/>
  <c r="P532" i="16" s="1"/>
  <c r="O531" i="16"/>
  <c r="P531" i="16" s="1"/>
  <c r="O530" i="16"/>
  <c r="P530" i="16" s="1"/>
  <c r="O529" i="16"/>
  <c r="P529" i="16" s="1"/>
  <c r="O528" i="16"/>
  <c r="P528" i="16" s="1"/>
  <c r="O527" i="16"/>
  <c r="P527" i="16" s="1"/>
  <c r="O526" i="16"/>
  <c r="P526" i="16" s="1"/>
  <c r="O525" i="16"/>
  <c r="P525" i="16" s="1"/>
  <c r="O524" i="16"/>
  <c r="P524" i="16" s="1"/>
  <c r="O523" i="16"/>
  <c r="P523" i="16" s="1"/>
  <c r="O522" i="16"/>
  <c r="P522" i="16" s="1"/>
  <c r="O521" i="16"/>
  <c r="P521" i="16" s="1"/>
  <c r="O520" i="16"/>
  <c r="P520" i="16" s="1"/>
  <c r="O519" i="16"/>
  <c r="P519" i="16" s="1"/>
  <c r="O518" i="16"/>
  <c r="P518" i="16" s="1"/>
  <c r="O517" i="16"/>
  <c r="P517" i="16" s="1"/>
  <c r="O516" i="16"/>
  <c r="P516" i="16" s="1"/>
  <c r="O515" i="16"/>
  <c r="P515" i="16" s="1"/>
  <c r="O514" i="16"/>
  <c r="P514" i="16" s="1"/>
  <c r="O513" i="16"/>
  <c r="P513" i="16" s="1"/>
  <c r="O512" i="16"/>
  <c r="P512" i="16" s="1"/>
  <c r="O511" i="16"/>
  <c r="P511" i="16" s="1"/>
  <c r="O510" i="16"/>
  <c r="P510" i="16" s="1"/>
  <c r="O509" i="16"/>
  <c r="P509" i="16" s="1"/>
  <c r="O508" i="16"/>
  <c r="P508" i="16" s="1"/>
  <c r="O507" i="16"/>
  <c r="P507" i="16" s="1"/>
  <c r="O506" i="16"/>
  <c r="P506" i="16" s="1"/>
  <c r="O505" i="16"/>
  <c r="P505" i="16" s="1"/>
  <c r="O504" i="16"/>
  <c r="P504" i="16" s="1"/>
  <c r="O503" i="16"/>
  <c r="P503" i="16" s="1"/>
  <c r="O502" i="16"/>
  <c r="P502" i="16" s="1"/>
  <c r="O501" i="16"/>
  <c r="P501" i="16" s="1"/>
  <c r="O500" i="16"/>
  <c r="P500" i="16" s="1"/>
  <c r="O499" i="16"/>
  <c r="P499" i="16" s="1"/>
  <c r="O498" i="16"/>
  <c r="P498" i="16" s="1"/>
  <c r="O497" i="16"/>
  <c r="P497" i="16" s="1"/>
  <c r="O496" i="16"/>
  <c r="P496" i="16" s="1"/>
  <c r="O495" i="16"/>
  <c r="P495" i="16" s="1"/>
  <c r="O494" i="16"/>
  <c r="P494" i="16" s="1"/>
  <c r="O493" i="16"/>
  <c r="P493" i="16" s="1"/>
  <c r="O492" i="16"/>
  <c r="P492" i="16" s="1"/>
  <c r="O491" i="16"/>
  <c r="P491" i="16" s="1"/>
  <c r="O490" i="16"/>
  <c r="P490" i="16" s="1"/>
  <c r="O489" i="16"/>
  <c r="P489" i="16" s="1"/>
  <c r="O488" i="16"/>
  <c r="P488" i="16" s="1"/>
  <c r="O487" i="16"/>
  <c r="P487" i="16" s="1"/>
  <c r="O486" i="16"/>
  <c r="P486" i="16" s="1"/>
  <c r="O485" i="16"/>
  <c r="P485" i="16" s="1"/>
  <c r="O484" i="16"/>
  <c r="P484" i="16" s="1"/>
  <c r="O483" i="16"/>
  <c r="P483" i="16" s="1"/>
  <c r="O482" i="16"/>
  <c r="P482" i="16" s="1"/>
  <c r="O481" i="16"/>
  <c r="P481" i="16" s="1"/>
  <c r="O480" i="16"/>
  <c r="P480" i="16" s="1"/>
  <c r="O479" i="16"/>
  <c r="P479" i="16" s="1"/>
  <c r="O478" i="16"/>
  <c r="P478" i="16" s="1"/>
  <c r="O477" i="16"/>
  <c r="P477" i="16" s="1"/>
  <c r="O476" i="16"/>
  <c r="P476" i="16" s="1"/>
  <c r="O475" i="16"/>
  <c r="P475" i="16" s="1"/>
  <c r="O474" i="16"/>
  <c r="P474" i="16" s="1"/>
  <c r="O473" i="16"/>
  <c r="P473" i="16" s="1"/>
  <c r="O472" i="16"/>
  <c r="P472" i="16" s="1"/>
  <c r="O471" i="16"/>
  <c r="P471" i="16" s="1"/>
  <c r="O470" i="16"/>
  <c r="P470" i="16" s="1"/>
  <c r="O469" i="16"/>
  <c r="P469" i="16" s="1"/>
  <c r="O468" i="16"/>
  <c r="P468" i="16" s="1"/>
  <c r="O467" i="16"/>
  <c r="P467" i="16" s="1"/>
  <c r="O466" i="16"/>
  <c r="P466" i="16" s="1"/>
  <c r="O465" i="16"/>
  <c r="P465" i="16" s="1"/>
  <c r="O464" i="16"/>
  <c r="P464" i="16" s="1"/>
  <c r="O463" i="16"/>
  <c r="P463" i="16" s="1"/>
  <c r="O462" i="16"/>
  <c r="P462" i="16" s="1"/>
  <c r="O461" i="16"/>
  <c r="P461" i="16" s="1"/>
  <c r="O460" i="16"/>
  <c r="P460" i="16" s="1"/>
  <c r="O459" i="16"/>
  <c r="P459" i="16" s="1"/>
  <c r="O458" i="16"/>
  <c r="P458" i="16" s="1"/>
  <c r="O457" i="16"/>
  <c r="P457" i="16" s="1"/>
  <c r="O456" i="16"/>
  <c r="P456" i="16" s="1"/>
  <c r="O455" i="16"/>
  <c r="P455" i="16" s="1"/>
  <c r="O454" i="16"/>
  <c r="P454" i="16" s="1"/>
  <c r="O453" i="16"/>
  <c r="P453" i="16" s="1"/>
  <c r="O452" i="16"/>
  <c r="P452" i="16" s="1"/>
  <c r="O451" i="16"/>
  <c r="P451" i="16" s="1"/>
  <c r="O450" i="16"/>
  <c r="P450" i="16" s="1"/>
  <c r="O449" i="16"/>
  <c r="P449" i="16" s="1"/>
  <c r="O448" i="16"/>
  <c r="P448" i="16" s="1"/>
  <c r="O447" i="16"/>
  <c r="P447" i="16" s="1"/>
  <c r="O446" i="16"/>
  <c r="P446" i="16" s="1"/>
  <c r="O445" i="16"/>
  <c r="P445" i="16" s="1"/>
  <c r="O444" i="16"/>
  <c r="P444" i="16" s="1"/>
  <c r="O443" i="16"/>
  <c r="P443" i="16" s="1"/>
  <c r="O442" i="16"/>
  <c r="P442" i="16" s="1"/>
  <c r="O441" i="16"/>
  <c r="P441" i="16" s="1"/>
  <c r="O440" i="16"/>
  <c r="P440" i="16" s="1"/>
  <c r="O439" i="16"/>
  <c r="P439" i="16" s="1"/>
  <c r="O438" i="16"/>
  <c r="P438" i="16" s="1"/>
  <c r="O437" i="16"/>
  <c r="P437" i="16" s="1"/>
  <c r="O436" i="16"/>
  <c r="P436" i="16" s="1"/>
  <c r="O435" i="16"/>
  <c r="P435" i="16" s="1"/>
  <c r="O434" i="16"/>
  <c r="P434" i="16" s="1"/>
  <c r="O433" i="16"/>
  <c r="P433" i="16" s="1"/>
  <c r="O432" i="16"/>
  <c r="P432" i="16" s="1"/>
  <c r="O431" i="16"/>
  <c r="P431" i="16" s="1"/>
  <c r="O430" i="16"/>
  <c r="P430" i="16" s="1"/>
  <c r="O429" i="16"/>
  <c r="P429" i="16" s="1"/>
  <c r="O428" i="16"/>
  <c r="P428" i="16" s="1"/>
  <c r="O427" i="16"/>
  <c r="P427" i="16" s="1"/>
  <c r="O426" i="16"/>
  <c r="P426" i="16" s="1"/>
  <c r="O425" i="16"/>
  <c r="P425" i="16" s="1"/>
  <c r="O424" i="16"/>
  <c r="P424" i="16" s="1"/>
  <c r="O423" i="16"/>
  <c r="P423" i="16" s="1"/>
  <c r="O422" i="16"/>
  <c r="P422" i="16" s="1"/>
  <c r="O421" i="16"/>
  <c r="P421" i="16" s="1"/>
  <c r="O420" i="16"/>
  <c r="P420" i="16" s="1"/>
  <c r="O419" i="16"/>
  <c r="P419" i="16" s="1"/>
  <c r="O418" i="16"/>
  <c r="P418" i="16" s="1"/>
  <c r="O417" i="16"/>
  <c r="P417" i="16" s="1"/>
  <c r="O416" i="16"/>
  <c r="P416" i="16" s="1"/>
  <c r="O415" i="16"/>
  <c r="P415" i="16" s="1"/>
  <c r="O414" i="16"/>
  <c r="P414" i="16" s="1"/>
  <c r="O413" i="16"/>
  <c r="P413" i="16" s="1"/>
  <c r="O412" i="16"/>
  <c r="P412" i="16" s="1"/>
  <c r="O411" i="16"/>
  <c r="P411" i="16" s="1"/>
  <c r="O410" i="16"/>
  <c r="P410" i="16" s="1"/>
  <c r="O409" i="16"/>
  <c r="P409" i="16" s="1"/>
  <c r="O408" i="16"/>
  <c r="P408" i="16" s="1"/>
  <c r="O407" i="16"/>
  <c r="P407" i="16" s="1"/>
  <c r="O406" i="16"/>
  <c r="P406" i="16" s="1"/>
  <c r="O405" i="16"/>
  <c r="P405" i="16" s="1"/>
  <c r="O404" i="16"/>
  <c r="P404" i="16" s="1"/>
  <c r="O403" i="16"/>
  <c r="P403" i="16" s="1"/>
  <c r="O402" i="16"/>
  <c r="P402" i="16" s="1"/>
  <c r="O401" i="16"/>
  <c r="P401" i="16" s="1"/>
  <c r="O400" i="16"/>
  <c r="P400" i="16" s="1"/>
  <c r="O399" i="16"/>
  <c r="P399" i="16" s="1"/>
  <c r="O398" i="16"/>
  <c r="P398" i="16" s="1"/>
  <c r="O397" i="16"/>
  <c r="P397" i="16" s="1"/>
  <c r="O396" i="16"/>
  <c r="P396" i="16" s="1"/>
  <c r="O395" i="16"/>
  <c r="P395" i="16" s="1"/>
  <c r="O394" i="16"/>
  <c r="P394" i="16" s="1"/>
  <c r="O393" i="16"/>
  <c r="P393" i="16" s="1"/>
  <c r="O392" i="16"/>
  <c r="P392" i="16" s="1"/>
  <c r="O391" i="16"/>
  <c r="P391" i="16" s="1"/>
  <c r="O390" i="16"/>
  <c r="P390" i="16" s="1"/>
  <c r="O389" i="16"/>
  <c r="P389" i="16" s="1"/>
  <c r="O388" i="16"/>
  <c r="P388" i="16" s="1"/>
  <c r="O387" i="16"/>
  <c r="P387" i="16" s="1"/>
  <c r="O386" i="16"/>
  <c r="P386" i="16" s="1"/>
  <c r="O385" i="16"/>
  <c r="P385" i="16" s="1"/>
  <c r="O384" i="16"/>
  <c r="P384" i="16" s="1"/>
  <c r="O383" i="16"/>
  <c r="P383" i="16" s="1"/>
  <c r="O382" i="16"/>
  <c r="P382" i="16" s="1"/>
  <c r="O381" i="16"/>
  <c r="P381" i="16" s="1"/>
  <c r="O380" i="16"/>
  <c r="P380" i="16" s="1"/>
  <c r="O379" i="16"/>
  <c r="P379" i="16" s="1"/>
  <c r="O378" i="16"/>
  <c r="P378" i="16" s="1"/>
  <c r="O377" i="16"/>
  <c r="P377" i="16" s="1"/>
  <c r="O376" i="16"/>
  <c r="P376" i="16" s="1"/>
  <c r="O375" i="16"/>
  <c r="P375" i="16" s="1"/>
  <c r="O374" i="16"/>
  <c r="P374" i="16" s="1"/>
  <c r="O373" i="16"/>
  <c r="P373" i="16" s="1"/>
  <c r="O372" i="16"/>
  <c r="P372" i="16" s="1"/>
  <c r="O371" i="16"/>
  <c r="P371" i="16" s="1"/>
  <c r="O370" i="16"/>
  <c r="P370" i="16" s="1"/>
  <c r="O369" i="16"/>
  <c r="P369" i="16" s="1"/>
  <c r="O368" i="16"/>
  <c r="P368" i="16" s="1"/>
  <c r="O367" i="16"/>
  <c r="P367" i="16" s="1"/>
  <c r="O366" i="16"/>
  <c r="P366" i="16" s="1"/>
  <c r="O365" i="16"/>
  <c r="P365" i="16" s="1"/>
  <c r="O364" i="16"/>
  <c r="P364" i="16" s="1"/>
  <c r="O363" i="16"/>
  <c r="P363" i="16" s="1"/>
  <c r="O362" i="16"/>
  <c r="P362" i="16" s="1"/>
  <c r="O361" i="16"/>
  <c r="P361" i="16" s="1"/>
  <c r="O360" i="16"/>
  <c r="P360" i="16" s="1"/>
  <c r="O359" i="16"/>
  <c r="P359" i="16" s="1"/>
  <c r="O358" i="16"/>
  <c r="P358" i="16" s="1"/>
  <c r="O357" i="16"/>
  <c r="P357" i="16" s="1"/>
  <c r="O356" i="16"/>
  <c r="P356" i="16" s="1"/>
  <c r="O355" i="16"/>
  <c r="P355" i="16" s="1"/>
  <c r="O354" i="16"/>
  <c r="P354" i="16" s="1"/>
  <c r="O353" i="16"/>
  <c r="P353" i="16" s="1"/>
  <c r="O352" i="16"/>
  <c r="P352" i="16" s="1"/>
  <c r="O351" i="16"/>
  <c r="P351" i="16" s="1"/>
  <c r="O350" i="16"/>
  <c r="P350" i="16" s="1"/>
  <c r="O349" i="16"/>
  <c r="P349" i="16" s="1"/>
  <c r="O348" i="16"/>
  <c r="P348" i="16" s="1"/>
  <c r="O347" i="16"/>
  <c r="P347" i="16" s="1"/>
  <c r="O346" i="16"/>
  <c r="P346" i="16" s="1"/>
  <c r="O345" i="16"/>
  <c r="P345" i="16" s="1"/>
  <c r="O344" i="16"/>
  <c r="P344" i="16" s="1"/>
  <c r="O343" i="16"/>
  <c r="P343" i="16" s="1"/>
  <c r="O342" i="16"/>
  <c r="P342" i="16" s="1"/>
  <c r="O341" i="16"/>
  <c r="P341" i="16" s="1"/>
  <c r="O340" i="16"/>
  <c r="P340" i="16" s="1"/>
  <c r="O339" i="16"/>
  <c r="P339" i="16" s="1"/>
  <c r="O338" i="16"/>
  <c r="P338" i="16" s="1"/>
  <c r="O337" i="16"/>
  <c r="P337" i="16" s="1"/>
  <c r="O336" i="16"/>
  <c r="P336" i="16" s="1"/>
  <c r="O335" i="16"/>
  <c r="P335" i="16" s="1"/>
  <c r="O334" i="16"/>
  <c r="P334" i="16" s="1"/>
  <c r="O333" i="16"/>
  <c r="P333" i="16" s="1"/>
  <c r="O332" i="16"/>
  <c r="P332" i="16" s="1"/>
  <c r="O331" i="16"/>
  <c r="P331" i="16" s="1"/>
  <c r="O330" i="16"/>
  <c r="P330" i="16" s="1"/>
  <c r="O329" i="16"/>
  <c r="P329" i="16" s="1"/>
  <c r="O328" i="16"/>
  <c r="P328" i="16" s="1"/>
  <c r="O327" i="16"/>
  <c r="P327" i="16" s="1"/>
  <c r="O326" i="16"/>
  <c r="P326" i="16" s="1"/>
  <c r="O325" i="16"/>
  <c r="P325" i="16" s="1"/>
  <c r="O324" i="16"/>
  <c r="P324" i="16" s="1"/>
  <c r="O323" i="16"/>
  <c r="P323" i="16" s="1"/>
  <c r="O322" i="16"/>
  <c r="P322" i="16" s="1"/>
  <c r="O321" i="16"/>
  <c r="P321" i="16" s="1"/>
  <c r="O320" i="16"/>
  <c r="P320" i="16" s="1"/>
  <c r="O319" i="16"/>
  <c r="P319" i="16" s="1"/>
  <c r="O318" i="16"/>
  <c r="P318" i="16" s="1"/>
  <c r="O317" i="16"/>
  <c r="P317" i="16" s="1"/>
  <c r="O316" i="16"/>
  <c r="P316" i="16" s="1"/>
  <c r="O315" i="16"/>
  <c r="P315" i="16" s="1"/>
  <c r="O314" i="16"/>
  <c r="P314" i="16" s="1"/>
  <c r="O313" i="16"/>
  <c r="P313" i="16" s="1"/>
  <c r="O312" i="16"/>
  <c r="P312" i="16" s="1"/>
  <c r="O311" i="16"/>
  <c r="P311" i="16" s="1"/>
  <c r="O310" i="16"/>
  <c r="P310" i="16" s="1"/>
  <c r="O309" i="16"/>
  <c r="P309" i="16" s="1"/>
  <c r="O308" i="16"/>
  <c r="P308" i="16" s="1"/>
  <c r="O307" i="16"/>
  <c r="P307" i="16" s="1"/>
  <c r="O306" i="16"/>
  <c r="P306" i="16" s="1"/>
  <c r="O305" i="16"/>
  <c r="P305" i="16" s="1"/>
  <c r="O304" i="16"/>
  <c r="P304" i="16" s="1"/>
  <c r="O303" i="16"/>
  <c r="P303" i="16" s="1"/>
  <c r="O302" i="16"/>
  <c r="P302" i="16" s="1"/>
  <c r="O301" i="16"/>
  <c r="P301" i="16" s="1"/>
  <c r="O300" i="16"/>
  <c r="P300" i="16" s="1"/>
  <c r="O299" i="16"/>
  <c r="P299" i="16" s="1"/>
  <c r="O298" i="16"/>
  <c r="P298" i="16" s="1"/>
  <c r="O297" i="16"/>
  <c r="P297" i="16" s="1"/>
  <c r="O296" i="16"/>
  <c r="P296" i="16" s="1"/>
  <c r="O295" i="16"/>
  <c r="P295" i="16" s="1"/>
  <c r="O294" i="16"/>
  <c r="P294" i="16" s="1"/>
  <c r="O293" i="16"/>
  <c r="P293" i="16" s="1"/>
  <c r="O292" i="16"/>
  <c r="P292" i="16" s="1"/>
  <c r="O291" i="16"/>
  <c r="P291" i="16" s="1"/>
  <c r="O290" i="16"/>
  <c r="P290" i="16" s="1"/>
  <c r="O289" i="16"/>
  <c r="P289" i="16" s="1"/>
  <c r="O288" i="16"/>
  <c r="P288" i="16" s="1"/>
  <c r="O287" i="16"/>
  <c r="P287" i="16" s="1"/>
  <c r="O286" i="16"/>
  <c r="P286" i="16" s="1"/>
  <c r="O285" i="16"/>
  <c r="P285" i="16" s="1"/>
  <c r="O284" i="16"/>
  <c r="P284" i="16" s="1"/>
  <c r="O283" i="16"/>
  <c r="P283" i="16" s="1"/>
  <c r="O282" i="16"/>
  <c r="P282" i="16" s="1"/>
  <c r="O281" i="16"/>
  <c r="P281" i="16" s="1"/>
  <c r="O280" i="16"/>
  <c r="P280" i="16" s="1"/>
  <c r="O279" i="16"/>
  <c r="P279" i="16" s="1"/>
  <c r="O278" i="16"/>
  <c r="P278" i="16" s="1"/>
  <c r="O277" i="16"/>
  <c r="P277" i="16" s="1"/>
  <c r="O276" i="16"/>
  <c r="P276" i="16" s="1"/>
  <c r="O275" i="16"/>
  <c r="P275" i="16" s="1"/>
  <c r="O274" i="16"/>
  <c r="P274" i="16" s="1"/>
  <c r="O273" i="16"/>
  <c r="P273" i="16" s="1"/>
  <c r="O272" i="16"/>
  <c r="P272" i="16" s="1"/>
  <c r="O271" i="16"/>
  <c r="P271" i="16" s="1"/>
  <c r="O270" i="16"/>
  <c r="P270" i="16" s="1"/>
  <c r="O269" i="16"/>
  <c r="P269" i="16" s="1"/>
  <c r="O268" i="16"/>
  <c r="P268" i="16" s="1"/>
  <c r="O267" i="16"/>
  <c r="P267" i="16" s="1"/>
  <c r="O266" i="16"/>
  <c r="P266" i="16" s="1"/>
  <c r="O265" i="16"/>
  <c r="P265" i="16" s="1"/>
  <c r="O264" i="16"/>
  <c r="P264" i="16" s="1"/>
  <c r="O263" i="16"/>
  <c r="P263" i="16" s="1"/>
  <c r="O262" i="16"/>
  <c r="P262" i="16" s="1"/>
  <c r="O261" i="16"/>
  <c r="P261" i="16" s="1"/>
  <c r="O260" i="16"/>
  <c r="P260" i="16" s="1"/>
  <c r="O259" i="16"/>
  <c r="P259" i="16" s="1"/>
  <c r="O258" i="16"/>
  <c r="P258" i="16" s="1"/>
  <c r="O257" i="16"/>
  <c r="P257" i="16" s="1"/>
  <c r="O256" i="16"/>
  <c r="P256" i="16" s="1"/>
  <c r="O255" i="16"/>
  <c r="P255" i="16" s="1"/>
  <c r="O254" i="16"/>
  <c r="P254" i="16" s="1"/>
  <c r="O253" i="16"/>
  <c r="P253" i="16" s="1"/>
  <c r="O252" i="16"/>
  <c r="P252" i="16" s="1"/>
  <c r="O251" i="16"/>
  <c r="P251" i="16" s="1"/>
  <c r="O250" i="16"/>
  <c r="P250" i="16" s="1"/>
  <c r="O249" i="16"/>
  <c r="P249" i="16" s="1"/>
  <c r="O248" i="16"/>
  <c r="P248" i="16" s="1"/>
  <c r="O247" i="16"/>
  <c r="P247" i="16" s="1"/>
  <c r="O246" i="16"/>
  <c r="P246" i="16" s="1"/>
  <c r="O245" i="16"/>
  <c r="P245" i="16" s="1"/>
  <c r="O244" i="16"/>
  <c r="P244" i="16" s="1"/>
  <c r="O243" i="16"/>
  <c r="P243" i="16" s="1"/>
  <c r="O242" i="16"/>
  <c r="P242" i="16" s="1"/>
  <c r="O241" i="16"/>
  <c r="P241" i="16" s="1"/>
  <c r="O240" i="16"/>
  <c r="P240" i="16" s="1"/>
  <c r="O239" i="16"/>
  <c r="P239" i="16" s="1"/>
  <c r="O238" i="16"/>
  <c r="P238" i="16" s="1"/>
  <c r="O237" i="16"/>
  <c r="P237" i="16" s="1"/>
  <c r="O236" i="16"/>
  <c r="P236" i="16" s="1"/>
  <c r="O235" i="16"/>
  <c r="P235" i="16" s="1"/>
  <c r="O234" i="16"/>
  <c r="P234" i="16" s="1"/>
  <c r="O233" i="16"/>
  <c r="P233" i="16" s="1"/>
  <c r="O232" i="16"/>
  <c r="P232" i="16" s="1"/>
  <c r="O231" i="16"/>
  <c r="P231" i="16" s="1"/>
  <c r="O230" i="16"/>
  <c r="P230" i="16" s="1"/>
  <c r="O229" i="16"/>
  <c r="P229" i="16" s="1"/>
  <c r="O228" i="16"/>
  <c r="P228" i="16" s="1"/>
  <c r="O227" i="16"/>
  <c r="P227" i="16" s="1"/>
  <c r="O226" i="16"/>
  <c r="P226" i="16" s="1"/>
  <c r="O225" i="16"/>
  <c r="P225" i="16" s="1"/>
  <c r="O224" i="16"/>
  <c r="P224" i="16" s="1"/>
  <c r="O223" i="16"/>
  <c r="P223" i="16" s="1"/>
  <c r="O222" i="16"/>
  <c r="P222" i="16" s="1"/>
  <c r="O221" i="16"/>
  <c r="P221" i="16" s="1"/>
  <c r="O220" i="16"/>
  <c r="P220" i="16" s="1"/>
  <c r="O219" i="16"/>
  <c r="P219" i="16" s="1"/>
  <c r="O218" i="16"/>
  <c r="P218" i="16" s="1"/>
  <c r="O217" i="16"/>
  <c r="P217" i="16" s="1"/>
  <c r="O216" i="16"/>
  <c r="P216" i="16" s="1"/>
  <c r="O215" i="16"/>
  <c r="P215" i="16" s="1"/>
  <c r="O214" i="16"/>
  <c r="P214" i="16" s="1"/>
  <c r="O213" i="16"/>
  <c r="P213" i="16" s="1"/>
  <c r="O212" i="16"/>
  <c r="P212" i="16" s="1"/>
  <c r="O211" i="16"/>
  <c r="P211" i="16" s="1"/>
  <c r="O210" i="16"/>
  <c r="P210" i="16" s="1"/>
  <c r="O209" i="16"/>
  <c r="P209" i="16" s="1"/>
  <c r="O208" i="16"/>
  <c r="P208" i="16" s="1"/>
  <c r="O207" i="16"/>
  <c r="P207" i="16" s="1"/>
  <c r="O206" i="16"/>
  <c r="P206" i="16" s="1"/>
  <c r="O205" i="16"/>
  <c r="P205" i="16" s="1"/>
  <c r="O204" i="16"/>
  <c r="P204" i="16" s="1"/>
  <c r="O203" i="16"/>
  <c r="P203" i="16" s="1"/>
  <c r="O202" i="16"/>
  <c r="P202" i="16" s="1"/>
  <c r="O201" i="16"/>
  <c r="P201" i="16" s="1"/>
  <c r="O200" i="16"/>
  <c r="P200" i="16" s="1"/>
  <c r="O199" i="16"/>
  <c r="P199" i="16" s="1"/>
  <c r="O198" i="16"/>
  <c r="P198" i="16" s="1"/>
  <c r="O197" i="16"/>
  <c r="P197" i="16" s="1"/>
  <c r="O196" i="16"/>
  <c r="P196" i="16" s="1"/>
  <c r="O195" i="16"/>
  <c r="P195" i="16" s="1"/>
  <c r="O194" i="16"/>
  <c r="P194" i="16" s="1"/>
  <c r="O193" i="16"/>
  <c r="P193" i="16" s="1"/>
  <c r="O192" i="16"/>
  <c r="P192" i="16" s="1"/>
  <c r="O191" i="16"/>
  <c r="P191" i="16" s="1"/>
  <c r="O190" i="16"/>
  <c r="P190" i="16" s="1"/>
  <c r="O189" i="16"/>
  <c r="P189" i="16" s="1"/>
  <c r="O188" i="16"/>
  <c r="P188" i="16" s="1"/>
  <c r="O187" i="16"/>
  <c r="P187" i="16" s="1"/>
  <c r="O186" i="16"/>
  <c r="P186" i="16" s="1"/>
  <c r="O185" i="16"/>
  <c r="P185" i="16" s="1"/>
  <c r="O184" i="16"/>
  <c r="P184" i="16" s="1"/>
  <c r="O183" i="16"/>
  <c r="P183" i="16" s="1"/>
  <c r="O182" i="16"/>
  <c r="P182" i="16" s="1"/>
  <c r="O181" i="16"/>
  <c r="P181" i="16" s="1"/>
  <c r="O180" i="16"/>
  <c r="P180" i="16" s="1"/>
  <c r="O179" i="16"/>
  <c r="P179" i="16" s="1"/>
  <c r="O178" i="16"/>
  <c r="P178" i="16" s="1"/>
  <c r="O177" i="16"/>
  <c r="P177" i="16" s="1"/>
  <c r="O176" i="16"/>
  <c r="P176" i="16" s="1"/>
  <c r="O175" i="16"/>
  <c r="P175" i="16" s="1"/>
  <c r="O174" i="16"/>
  <c r="P174" i="16" s="1"/>
  <c r="O173" i="16"/>
  <c r="P173" i="16" s="1"/>
  <c r="O172" i="16"/>
  <c r="P172" i="16" s="1"/>
  <c r="O171" i="16"/>
  <c r="P171" i="16" s="1"/>
  <c r="O170" i="16"/>
  <c r="P170" i="16" s="1"/>
  <c r="O169" i="16"/>
  <c r="P169" i="16" s="1"/>
  <c r="O168" i="16"/>
  <c r="P168" i="16" s="1"/>
  <c r="O167" i="16"/>
  <c r="P167" i="16" s="1"/>
  <c r="O166" i="16"/>
  <c r="P166" i="16" s="1"/>
  <c r="O165" i="16"/>
  <c r="P165" i="16" s="1"/>
  <c r="O164" i="16"/>
  <c r="P164" i="16" s="1"/>
  <c r="O163" i="16"/>
  <c r="P163" i="16" s="1"/>
  <c r="O162" i="16"/>
  <c r="P162" i="16" s="1"/>
  <c r="O161" i="16"/>
  <c r="P161" i="16" s="1"/>
  <c r="O160" i="16"/>
  <c r="P160" i="16" s="1"/>
  <c r="O159" i="16"/>
  <c r="P159" i="16" s="1"/>
  <c r="O158" i="16"/>
  <c r="P158" i="16" s="1"/>
  <c r="O157" i="16"/>
  <c r="P157" i="16" s="1"/>
  <c r="O156" i="16"/>
  <c r="P156" i="16" s="1"/>
  <c r="O155" i="16"/>
  <c r="P155" i="16" s="1"/>
  <c r="O154" i="16"/>
  <c r="P154" i="16" s="1"/>
  <c r="O153" i="16"/>
  <c r="P153" i="16" s="1"/>
  <c r="O152" i="16"/>
  <c r="P152" i="16" s="1"/>
  <c r="O151" i="16"/>
  <c r="P151" i="16" s="1"/>
  <c r="O150" i="16"/>
  <c r="P150" i="16" s="1"/>
  <c r="O149" i="16"/>
  <c r="P149" i="16" s="1"/>
  <c r="O148" i="16"/>
  <c r="P148" i="16" s="1"/>
  <c r="O147" i="16"/>
  <c r="P147" i="16" s="1"/>
  <c r="O146" i="16"/>
  <c r="P146" i="16" s="1"/>
  <c r="O145" i="16"/>
  <c r="P145" i="16" s="1"/>
  <c r="O144" i="16"/>
  <c r="P144" i="16" s="1"/>
  <c r="O143" i="16"/>
  <c r="P143" i="16" s="1"/>
  <c r="O142" i="16"/>
  <c r="P142" i="16" s="1"/>
  <c r="O141" i="16"/>
  <c r="P141" i="16" s="1"/>
  <c r="O140" i="16"/>
  <c r="P140" i="16" s="1"/>
  <c r="O139" i="16"/>
  <c r="P139" i="16" s="1"/>
  <c r="O138" i="16"/>
  <c r="P138" i="16" s="1"/>
  <c r="O137" i="16"/>
  <c r="P137" i="16" s="1"/>
  <c r="O136" i="16"/>
  <c r="P136" i="16" s="1"/>
  <c r="O135" i="16"/>
  <c r="P135" i="16" s="1"/>
  <c r="O134" i="16"/>
  <c r="P134" i="16" s="1"/>
  <c r="O133" i="16"/>
  <c r="P133" i="16" s="1"/>
  <c r="O132" i="16"/>
  <c r="P132" i="16" s="1"/>
  <c r="O131" i="16"/>
  <c r="P131" i="16" s="1"/>
  <c r="O130" i="16"/>
  <c r="P130" i="16" s="1"/>
  <c r="O129" i="16"/>
  <c r="P129" i="16" s="1"/>
  <c r="O128" i="16"/>
  <c r="P128" i="16" s="1"/>
  <c r="O127" i="16"/>
  <c r="P127" i="16" s="1"/>
  <c r="O126" i="16"/>
  <c r="P126" i="16" s="1"/>
  <c r="O125" i="16"/>
  <c r="P125" i="16" s="1"/>
  <c r="O124" i="16"/>
  <c r="P124" i="16" s="1"/>
  <c r="O123" i="16"/>
  <c r="P123" i="16" s="1"/>
  <c r="O122" i="16"/>
  <c r="P122" i="16" s="1"/>
  <c r="O121" i="16"/>
  <c r="P121" i="16" s="1"/>
  <c r="O120" i="16"/>
  <c r="P120" i="16" s="1"/>
  <c r="O119" i="16"/>
  <c r="P119" i="16" s="1"/>
  <c r="O118" i="16"/>
  <c r="P118" i="16" s="1"/>
  <c r="O117" i="16"/>
  <c r="P117" i="16" s="1"/>
  <c r="O116" i="16"/>
  <c r="P116" i="16" s="1"/>
  <c r="O115" i="16"/>
  <c r="P115" i="16" s="1"/>
  <c r="O114" i="16"/>
  <c r="P114" i="16" s="1"/>
  <c r="O113" i="16"/>
  <c r="P113" i="16" s="1"/>
  <c r="O112" i="16"/>
  <c r="P112" i="16" s="1"/>
  <c r="O111" i="16"/>
  <c r="P111" i="16" s="1"/>
  <c r="O110" i="16"/>
  <c r="P110" i="16" s="1"/>
  <c r="O109" i="16"/>
  <c r="P109" i="16" s="1"/>
  <c r="O108" i="16"/>
  <c r="P108" i="16" s="1"/>
  <c r="O107" i="16"/>
  <c r="P107" i="16" s="1"/>
  <c r="O106" i="16"/>
  <c r="P106" i="16" s="1"/>
  <c r="O105" i="16"/>
  <c r="P105" i="16" s="1"/>
  <c r="O104" i="16"/>
  <c r="P104" i="16" s="1"/>
  <c r="O103" i="16"/>
  <c r="P103" i="16" s="1"/>
  <c r="O102" i="16"/>
  <c r="P102" i="16" s="1"/>
  <c r="O101" i="16"/>
  <c r="P101" i="16" s="1"/>
  <c r="O100" i="16"/>
  <c r="P100" i="16" s="1"/>
  <c r="O99" i="16"/>
  <c r="P99" i="16" s="1"/>
  <c r="O98" i="16"/>
  <c r="P98" i="16" s="1"/>
  <c r="O97" i="16"/>
  <c r="P97" i="16" s="1"/>
  <c r="O96" i="16"/>
  <c r="P96" i="16" s="1"/>
  <c r="O95" i="16"/>
  <c r="P95" i="16" s="1"/>
  <c r="O94" i="16"/>
  <c r="P94" i="16" s="1"/>
  <c r="O93" i="16"/>
  <c r="P93" i="16" s="1"/>
  <c r="O92" i="16"/>
  <c r="P92" i="16" s="1"/>
  <c r="O91" i="16"/>
  <c r="P91" i="16" s="1"/>
  <c r="O90" i="16"/>
  <c r="P90" i="16" s="1"/>
  <c r="O89" i="16"/>
  <c r="P89" i="16" s="1"/>
  <c r="O88" i="16"/>
  <c r="P88" i="16" s="1"/>
  <c r="O87" i="16"/>
  <c r="P87" i="16" s="1"/>
  <c r="O86" i="16"/>
  <c r="P86" i="16" s="1"/>
  <c r="O85" i="16"/>
  <c r="P85" i="16" s="1"/>
  <c r="O84" i="16"/>
  <c r="P84" i="16" s="1"/>
  <c r="O83" i="16"/>
  <c r="P83" i="16" s="1"/>
  <c r="O82" i="16"/>
  <c r="P82" i="16" s="1"/>
  <c r="O81" i="16"/>
  <c r="P81" i="16" s="1"/>
  <c r="O80" i="16"/>
  <c r="P80" i="16" s="1"/>
  <c r="O79" i="16"/>
  <c r="P79" i="16" s="1"/>
  <c r="O78" i="16"/>
  <c r="P78" i="16" s="1"/>
  <c r="O77" i="16"/>
  <c r="P77" i="16" s="1"/>
  <c r="O76" i="16"/>
  <c r="P76" i="16" s="1"/>
  <c r="O75" i="16"/>
  <c r="P75" i="16" s="1"/>
  <c r="O74" i="16"/>
  <c r="P74" i="16" s="1"/>
  <c r="O73" i="16"/>
  <c r="P73" i="16" s="1"/>
  <c r="O72" i="16"/>
  <c r="P72" i="16" s="1"/>
  <c r="O71" i="16"/>
  <c r="P71" i="16" s="1"/>
  <c r="O70" i="16"/>
  <c r="P70" i="16" s="1"/>
  <c r="O69" i="16"/>
  <c r="P69" i="16" s="1"/>
  <c r="O68" i="16"/>
  <c r="P68" i="16" s="1"/>
  <c r="O67" i="16"/>
  <c r="P67" i="16" s="1"/>
  <c r="O66" i="16"/>
  <c r="P66" i="16" s="1"/>
  <c r="O65" i="16"/>
  <c r="P65" i="16" s="1"/>
  <c r="O64" i="16"/>
  <c r="P64" i="16" s="1"/>
  <c r="O63" i="16"/>
  <c r="P63" i="16" s="1"/>
  <c r="O62" i="16"/>
  <c r="P62" i="16" s="1"/>
  <c r="O61" i="16"/>
  <c r="P61" i="16" s="1"/>
  <c r="O60" i="16"/>
  <c r="P60" i="16" s="1"/>
  <c r="O59" i="16"/>
  <c r="P59" i="16" s="1"/>
  <c r="O58" i="16"/>
  <c r="P58" i="16" s="1"/>
  <c r="O57" i="16"/>
  <c r="P57" i="16" s="1"/>
  <c r="O56" i="16"/>
  <c r="P56" i="16" s="1"/>
  <c r="O55" i="16"/>
  <c r="P55" i="16" s="1"/>
  <c r="O54" i="16"/>
  <c r="P54" i="16" s="1"/>
  <c r="O53" i="16"/>
  <c r="P53" i="16" s="1"/>
  <c r="O52" i="16"/>
  <c r="P52" i="16" s="1"/>
  <c r="O51" i="16"/>
  <c r="P51" i="16" s="1"/>
  <c r="O50" i="16"/>
  <c r="P50" i="16" s="1"/>
  <c r="O49" i="16"/>
  <c r="P49" i="16" s="1"/>
  <c r="O48" i="16"/>
  <c r="P48" i="16" s="1"/>
  <c r="O47" i="16"/>
  <c r="P47" i="16" s="1"/>
  <c r="O46" i="16"/>
  <c r="P46" i="16" s="1"/>
  <c r="O45" i="16"/>
  <c r="P45" i="16" s="1"/>
  <c r="O44" i="16"/>
  <c r="P44" i="16" s="1"/>
  <c r="O43" i="16"/>
  <c r="P43" i="16" s="1"/>
  <c r="O42" i="16"/>
  <c r="P42" i="16" s="1"/>
  <c r="O41" i="16"/>
  <c r="P41" i="16" s="1"/>
  <c r="O40" i="16"/>
  <c r="P40" i="16" s="1"/>
  <c r="O39" i="16"/>
  <c r="P39" i="16" s="1"/>
  <c r="O38" i="16"/>
  <c r="P38" i="16" s="1"/>
  <c r="O37" i="16"/>
  <c r="P37" i="16" s="1"/>
  <c r="O36" i="16"/>
  <c r="P36" i="16" s="1"/>
  <c r="O35" i="16"/>
  <c r="P35" i="16" s="1"/>
  <c r="O34" i="16"/>
  <c r="P34" i="16" s="1"/>
  <c r="O33" i="16"/>
  <c r="P33" i="16" s="1"/>
  <c r="O32" i="16"/>
  <c r="P32" i="16" s="1"/>
  <c r="O31" i="16"/>
  <c r="P31" i="16" s="1"/>
  <c r="O30" i="16"/>
  <c r="P30" i="16" s="1"/>
  <c r="O29" i="16"/>
  <c r="P29" i="16" s="1"/>
  <c r="O28" i="16"/>
  <c r="P28" i="16" s="1"/>
  <c r="O27" i="16"/>
  <c r="P27" i="16" s="1"/>
  <c r="O26" i="16"/>
  <c r="P26" i="16" s="1"/>
  <c r="O25" i="16"/>
  <c r="P25" i="16" s="1"/>
  <c r="O24" i="16"/>
  <c r="P24" i="16" s="1"/>
  <c r="O23" i="16"/>
  <c r="P23" i="16" s="1"/>
  <c r="O22" i="16"/>
  <c r="P22" i="16" s="1"/>
  <c r="O21" i="16"/>
  <c r="P21" i="16" s="1"/>
  <c r="O20" i="16"/>
  <c r="P20" i="16" s="1"/>
  <c r="O19" i="16"/>
  <c r="P19" i="16" s="1"/>
  <c r="O18" i="16"/>
  <c r="P18" i="16" s="1"/>
  <c r="O17" i="16"/>
  <c r="P17" i="16" s="1"/>
  <c r="O16" i="16"/>
  <c r="P16" i="16" s="1"/>
  <c r="O15" i="16"/>
  <c r="P15" i="16" s="1"/>
  <c r="O14" i="16"/>
  <c r="P14" i="16" s="1"/>
  <c r="O13" i="16"/>
  <c r="P13" i="16" s="1"/>
  <c r="O12" i="16"/>
  <c r="P12" i="16" s="1"/>
  <c r="O11" i="16"/>
  <c r="P11" i="16" s="1"/>
  <c r="O10" i="16"/>
  <c r="P10" i="16" s="1"/>
  <c r="O9" i="16"/>
  <c r="P9" i="16" s="1"/>
  <c r="O8" i="16"/>
  <c r="P8" i="16" s="1"/>
  <c r="O7" i="16"/>
  <c r="P7" i="16" s="1"/>
  <c r="O6" i="16"/>
  <c r="P6" i="16" s="1"/>
  <c r="O1087" i="16"/>
  <c r="P1087" i="16" s="1"/>
  <c r="O1086" i="16"/>
  <c r="P1086" i="16" s="1"/>
  <c r="O1085" i="16"/>
  <c r="P1085" i="16" s="1"/>
  <c r="O1084" i="16"/>
  <c r="P1084" i="16" s="1"/>
  <c r="O1083" i="16"/>
  <c r="P1083" i="16" s="1"/>
  <c r="O1082" i="16"/>
  <c r="P1082" i="16" s="1"/>
  <c r="O1081" i="16"/>
  <c r="P1081" i="16" s="1"/>
  <c r="O1080" i="16"/>
  <c r="P1080" i="16" s="1"/>
  <c r="O1079" i="16"/>
  <c r="P1079" i="16" s="1"/>
  <c r="O1078" i="16"/>
  <c r="P1078" i="16" s="1"/>
  <c r="O1077" i="16"/>
  <c r="P1077" i="16" s="1"/>
  <c r="O1076" i="16"/>
  <c r="P1076" i="16" s="1"/>
  <c r="O1075" i="16"/>
  <c r="P1075" i="16" s="1"/>
  <c r="O1074" i="16"/>
  <c r="P1074" i="16" s="1"/>
  <c r="O1073" i="16"/>
  <c r="P1073" i="16" s="1"/>
  <c r="O1072" i="16"/>
  <c r="P1072" i="16" s="1"/>
  <c r="O1071" i="16"/>
  <c r="P1071" i="16" s="1"/>
  <c r="O1070" i="16"/>
  <c r="P1070" i="16" s="1"/>
  <c r="O1069" i="16"/>
  <c r="P1069" i="16" s="1"/>
  <c r="O1068" i="16"/>
  <c r="P1068" i="16" s="1"/>
  <c r="O1067" i="16"/>
  <c r="P1067" i="16" s="1"/>
  <c r="O1066" i="16"/>
  <c r="P1066" i="16" s="1"/>
  <c r="O1065" i="16"/>
  <c r="P1065" i="16" s="1"/>
  <c r="O1064" i="16"/>
  <c r="P1064" i="16" s="1"/>
  <c r="O1063" i="16"/>
  <c r="P1063" i="16" s="1"/>
  <c r="O1062" i="16"/>
  <c r="P1062" i="16" s="1"/>
  <c r="O1061" i="16"/>
  <c r="P1061" i="16" s="1"/>
  <c r="O1060" i="16"/>
  <c r="P1060" i="16" s="1"/>
  <c r="O1059" i="16"/>
  <c r="P1059" i="16" s="1"/>
  <c r="O1058" i="16"/>
  <c r="P1058" i="16" s="1"/>
  <c r="O1057" i="16"/>
  <c r="P1057" i="16" s="1"/>
  <c r="O1056" i="16"/>
  <c r="P1056" i="16" s="1"/>
  <c r="O1055" i="16"/>
  <c r="P1055" i="16" s="1"/>
  <c r="O1054" i="16"/>
  <c r="P1054" i="16" s="1"/>
  <c r="O1053" i="16"/>
  <c r="P1053" i="16" s="1"/>
  <c r="O1052" i="16"/>
  <c r="P1052" i="16" s="1"/>
  <c r="O1051" i="16"/>
  <c r="P1051" i="16" s="1"/>
  <c r="O1050" i="16"/>
  <c r="P1050" i="16" s="1"/>
  <c r="O1049" i="16"/>
  <c r="P1049" i="16" s="1"/>
  <c r="O1048" i="16"/>
  <c r="P1048" i="16" s="1"/>
  <c r="O1047" i="16"/>
  <c r="P1047" i="16" s="1"/>
  <c r="O1046" i="16"/>
  <c r="P1046" i="16" s="1"/>
  <c r="O1045" i="16"/>
  <c r="P1045" i="16" s="1"/>
  <c r="O1044" i="16"/>
  <c r="P1044" i="16" s="1"/>
  <c r="O1043" i="16"/>
  <c r="P1043" i="16" s="1"/>
  <c r="O1042" i="16"/>
  <c r="P1042" i="16" s="1"/>
  <c r="O1041" i="16"/>
  <c r="P1041" i="16" s="1"/>
  <c r="O1040" i="16"/>
  <c r="P1040" i="16" s="1"/>
  <c r="O1039" i="16"/>
  <c r="P1039" i="16" s="1"/>
  <c r="O1038" i="16"/>
  <c r="P1038" i="16" s="1"/>
  <c r="O1037" i="16"/>
  <c r="P1037" i="16" s="1"/>
  <c r="O1036" i="16"/>
  <c r="P1036" i="16" s="1"/>
  <c r="O1035" i="16"/>
  <c r="P1035" i="16" s="1"/>
  <c r="O1034" i="16"/>
  <c r="P1034" i="16" s="1"/>
  <c r="O1033" i="16"/>
  <c r="P1033" i="16" s="1"/>
  <c r="O1032" i="16"/>
  <c r="P1032" i="16" s="1"/>
  <c r="O1031" i="16"/>
  <c r="P1031" i="16" s="1"/>
  <c r="O1030" i="16"/>
  <c r="P1030" i="16" s="1"/>
  <c r="O1029" i="16"/>
  <c r="P1029" i="16" s="1"/>
  <c r="O1028" i="16"/>
  <c r="P1028" i="16" s="1"/>
  <c r="O1027" i="16"/>
  <c r="P1027" i="16" s="1"/>
  <c r="O1026" i="16"/>
  <c r="P1026" i="16" s="1"/>
  <c r="O1025" i="16"/>
  <c r="P1025" i="16" s="1"/>
  <c r="O1024" i="16"/>
  <c r="P1024" i="16" s="1"/>
  <c r="O1023" i="16"/>
  <c r="P1023" i="16" s="1"/>
  <c r="O1022" i="16"/>
  <c r="P1022" i="16" s="1"/>
  <c r="O1021" i="16"/>
  <c r="P1021" i="16" s="1"/>
  <c r="O1020" i="16"/>
  <c r="P1020" i="16" s="1"/>
  <c r="O1019" i="16"/>
  <c r="P1019" i="16" s="1"/>
  <c r="O1018" i="16"/>
  <c r="P1018" i="16" s="1"/>
  <c r="O1017" i="16"/>
  <c r="P1017" i="16" s="1"/>
  <c r="O1016" i="16"/>
  <c r="P1016" i="16" s="1"/>
  <c r="O1015" i="16"/>
  <c r="P1015" i="16" s="1"/>
  <c r="O1014" i="16"/>
  <c r="P1014" i="16" s="1"/>
  <c r="O1013" i="16"/>
  <c r="P1013" i="16" s="1"/>
  <c r="O1012" i="16"/>
  <c r="P1012" i="16" s="1"/>
  <c r="O1011" i="16"/>
  <c r="P1011" i="16" s="1"/>
  <c r="O1010" i="16"/>
  <c r="P1010" i="16" s="1"/>
  <c r="O1009" i="16"/>
  <c r="P1009" i="16" s="1"/>
  <c r="O1008" i="16"/>
  <c r="P1008" i="16" s="1"/>
  <c r="O1007" i="16"/>
  <c r="P1007" i="16" s="1"/>
  <c r="O1006" i="16"/>
  <c r="P1006" i="16" s="1"/>
  <c r="O1005" i="16"/>
  <c r="P1005" i="16" s="1"/>
  <c r="O1004" i="16"/>
  <c r="P1004" i="16" s="1"/>
  <c r="O1003" i="16"/>
  <c r="P1003" i="16" s="1"/>
  <c r="O1002" i="16"/>
  <c r="P1002" i="16" s="1"/>
  <c r="O1001" i="16"/>
  <c r="P1001" i="16" s="1"/>
  <c r="O1000" i="16"/>
  <c r="P1000" i="16" s="1"/>
  <c r="O999" i="16"/>
  <c r="P999" i="16" s="1"/>
  <c r="O998" i="16"/>
  <c r="P998" i="16" s="1"/>
  <c r="O997" i="16"/>
  <c r="P997" i="16" s="1"/>
  <c r="O996" i="16"/>
  <c r="P996" i="16" s="1"/>
  <c r="O995" i="16"/>
  <c r="P995" i="16" s="1"/>
  <c r="O994" i="16"/>
  <c r="P994" i="16" s="1"/>
  <c r="O993" i="16"/>
  <c r="P993" i="16" s="1"/>
  <c r="O992" i="16"/>
  <c r="P992" i="16" s="1"/>
  <c r="O991" i="16"/>
  <c r="P991" i="16" s="1"/>
  <c r="O990" i="16"/>
  <c r="P990" i="16" s="1"/>
  <c r="O989" i="16"/>
  <c r="P989" i="16" s="1"/>
  <c r="O988" i="16"/>
  <c r="P988" i="16" s="1"/>
  <c r="O987" i="16"/>
  <c r="P987" i="16" s="1"/>
  <c r="O986" i="16"/>
  <c r="P986" i="16" s="1"/>
  <c r="O985" i="16"/>
  <c r="P985" i="16" s="1"/>
  <c r="O984" i="16"/>
  <c r="P984" i="16" s="1"/>
  <c r="O983" i="16"/>
  <c r="P983" i="16" s="1"/>
  <c r="O982" i="16"/>
  <c r="P982" i="16" s="1"/>
  <c r="O981" i="16"/>
  <c r="P981" i="16" s="1"/>
  <c r="O980" i="16"/>
  <c r="P980" i="16" s="1"/>
  <c r="O979" i="16"/>
  <c r="P979" i="16" s="1"/>
  <c r="O978" i="16"/>
  <c r="P978" i="16" s="1"/>
  <c r="O977" i="16"/>
  <c r="P977" i="16" s="1"/>
  <c r="O976" i="16"/>
  <c r="P976" i="16" s="1"/>
  <c r="O975" i="16"/>
  <c r="P975" i="16" s="1"/>
  <c r="O974" i="16"/>
  <c r="P974" i="16" s="1"/>
  <c r="O973" i="16"/>
  <c r="P973" i="16" s="1"/>
  <c r="O972" i="16"/>
  <c r="P972" i="16" s="1"/>
  <c r="O971" i="16"/>
  <c r="P971" i="16" s="1"/>
  <c r="O970" i="16"/>
  <c r="P970" i="16" s="1"/>
  <c r="O969" i="16"/>
  <c r="P969" i="16" s="1"/>
  <c r="O968" i="16"/>
  <c r="P968" i="16" s="1"/>
  <c r="O967" i="16"/>
  <c r="P967" i="16" s="1"/>
  <c r="O966" i="16"/>
  <c r="P966" i="16" s="1"/>
  <c r="O965" i="16"/>
  <c r="P965" i="16" s="1"/>
  <c r="O964" i="16"/>
  <c r="P964" i="16" s="1"/>
  <c r="O963" i="16"/>
  <c r="P963" i="16" s="1"/>
  <c r="O962" i="16"/>
  <c r="P962" i="16" s="1"/>
  <c r="O961" i="16"/>
  <c r="P961" i="16" s="1"/>
  <c r="O960" i="16"/>
  <c r="P960" i="16" s="1"/>
  <c r="O959" i="16"/>
  <c r="P959" i="16" s="1"/>
  <c r="O958" i="16"/>
  <c r="P958" i="16" s="1"/>
  <c r="O957" i="16"/>
  <c r="P957" i="16" s="1"/>
  <c r="O956" i="16"/>
  <c r="P956" i="16" s="1"/>
  <c r="O955" i="16"/>
  <c r="P955" i="16" s="1"/>
  <c r="O954" i="16"/>
  <c r="P954" i="16" s="1"/>
  <c r="O953" i="16"/>
  <c r="P953" i="16" s="1"/>
  <c r="O952" i="16"/>
  <c r="P952" i="16" s="1"/>
  <c r="O951" i="16"/>
  <c r="P951" i="16" s="1"/>
  <c r="O950" i="16"/>
  <c r="P950" i="16" s="1"/>
  <c r="O949" i="16"/>
  <c r="P949" i="16" s="1"/>
  <c r="O948" i="16"/>
  <c r="P948" i="16" s="1"/>
  <c r="O947" i="16"/>
  <c r="P947" i="16" s="1"/>
  <c r="O946" i="16"/>
  <c r="P946" i="16" s="1"/>
  <c r="O945" i="16"/>
  <c r="P945" i="16" s="1"/>
  <c r="O944" i="16"/>
  <c r="P944" i="16" s="1"/>
  <c r="O943" i="16"/>
  <c r="P943" i="16" s="1"/>
  <c r="O942" i="16"/>
  <c r="P942" i="16" s="1"/>
  <c r="O941" i="16"/>
  <c r="P941" i="16" s="1"/>
  <c r="O940" i="16"/>
  <c r="P940" i="16" s="1"/>
  <c r="O939" i="16"/>
  <c r="P939" i="16" s="1"/>
  <c r="O938" i="16"/>
  <c r="P938" i="16" s="1"/>
  <c r="O937" i="16"/>
  <c r="P937" i="16" s="1"/>
  <c r="O936" i="16"/>
  <c r="P936" i="16" s="1"/>
  <c r="O935" i="16"/>
  <c r="P935" i="16" s="1"/>
  <c r="O934" i="16"/>
  <c r="P934" i="16" s="1"/>
  <c r="O933" i="16"/>
  <c r="P933" i="16" s="1"/>
  <c r="O932" i="16"/>
  <c r="P932" i="16" s="1"/>
  <c r="O931" i="16"/>
  <c r="P931" i="16" s="1"/>
  <c r="O930" i="16"/>
  <c r="P930" i="16" s="1"/>
  <c r="O929" i="16"/>
  <c r="P929" i="16" s="1"/>
  <c r="O928" i="16"/>
  <c r="P928" i="16" s="1"/>
  <c r="O927" i="16"/>
  <c r="P927" i="16" s="1"/>
  <c r="O926" i="16"/>
  <c r="P926" i="16" s="1"/>
  <c r="O925" i="16"/>
  <c r="P925" i="16" s="1"/>
  <c r="O924" i="16"/>
  <c r="P924" i="16" s="1"/>
  <c r="O923" i="16"/>
  <c r="P923" i="16" s="1"/>
  <c r="O922" i="16"/>
  <c r="P922" i="16" s="1"/>
  <c r="O921" i="16"/>
  <c r="P921" i="16" s="1"/>
  <c r="O920" i="16"/>
  <c r="P920" i="16" s="1"/>
  <c r="O919" i="16"/>
  <c r="P919" i="16" s="1"/>
  <c r="O918" i="16"/>
  <c r="P918" i="16" s="1"/>
  <c r="O917" i="16"/>
  <c r="P917" i="16" s="1"/>
  <c r="O916" i="16"/>
  <c r="P916" i="16" s="1"/>
  <c r="O915" i="16"/>
  <c r="P915" i="16" s="1"/>
  <c r="O914" i="16"/>
  <c r="P914" i="16" s="1"/>
  <c r="O913" i="16"/>
  <c r="P913" i="16" s="1"/>
  <c r="O912" i="16"/>
  <c r="P912" i="16" s="1"/>
  <c r="O911" i="16"/>
  <c r="P911" i="16" s="1"/>
  <c r="O910" i="16"/>
  <c r="P910" i="16" s="1"/>
  <c r="O909" i="16"/>
  <c r="P909" i="16" s="1"/>
  <c r="O908" i="16"/>
  <c r="P908" i="16" s="1"/>
  <c r="O907" i="16"/>
  <c r="P907" i="16" s="1"/>
  <c r="O906" i="16"/>
  <c r="P906" i="16" s="1"/>
  <c r="O905" i="16"/>
  <c r="P905" i="16" s="1"/>
  <c r="O904" i="16"/>
  <c r="P904" i="16" s="1"/>
  <c r="O903" i="16"/>
  <c r="P903" i="16" s="1"/>
  <c r="O902" i="16"/>
  <c r="P902" i="16" s="1"/>
  <c r="O901" i="16"/>
  <c r="P901" i="16" s="1"/>
  <c r="O900" i="16"/>
  <c r="P900" i="16" s="1"/>
  <c r="O899" i="16"/>
  <c r="P899" i="16" s="1"/>
  <c r="O898" i="16"/>
  <c r="P898" i="16" s="1"/>
  <c r="O897" i="16"/>
  <c r="P897" i="16" s="1"/>
  <c r="O896" i="16"/>
  <c r="P896" i="16" s="1"/>
  <c r="O895" i="16"/>
  <c r="P895" i="16" s="1"/>
  <c r="O894" i="16"/>
  <c r="P894" i="16" s="1"/>
  <c r="O893" i="16"/>
  <c r="P893" i="16" s="1"/>
  <c r="O892" i="16"/>
  <c r="P892" i="16" s="1"/>
  <c r="O891" i="16"/>
  <c r="P891" i="16" s="1"/>
  <c r="O890" i="16"/>
  <c r="P890" i="16" s="1"/>
  <c r="O889" i="16"/>
  <c r="P889" i="16" s="1"/>
  <c r="O888" i="16"/>
  <c r="P888" i="16" s="1"/>
  <c r="O887" i="16"/>
  <c r="P887" i="16" s="1"/>
  <c r="O886" i="16"/>
  <c r="P886" i="16" s="1"/>
  <c r="O885" i="16"/>
  <c r="P885" i="16" s="1"/>
  <c r="O884" i="16"/>
  <c r="P884" i="16" s="1"/>
  <c r="O883" i="16"/>
  <c r="P883" i="16" s="1"/>
  <c r="O882" i="16"/>
  <c r="P882" i="16" s="1"/>
  <c r="O881" i="16"/>
  <c r="P881" i="16" s="1"/>
  <c r="O880" i="16"/>
  <c r="P880" i="16" s="1"/>
  <c r="O879" i="16"/>
  <c r="P879" i="16" s="1"/>
  <c r="O878" i="16"/>
  <c r="P878" i="16" s="1"/>
  <c r="O877" i="16"/>
  <c r="P877" i="16" s="1"/>
  <c r="O876" i="16"/>
  <c r="P876" i="16" s="1"/>
  <c r="O875" i="16"/>
  <c r="P875" i="16" s="1"/>
  <c r="O874" i="16"/>
  <c r="P874" i="16" s="1"/>
  <c r="O873" i="16"/>
  <c r="P873" i="16" s="1"/>
  <c r="O872" i="16"/>
  <c r="P872" i="16" s="1"/>
  <c r="O871" i="16"/>
  <c r="P871" i="16" s="1"/>
  <c r="O870" i="16"/>
  <c r="P870" i="16" s="1"/>
  <c r="O869" i="16"/>
  <c r="P869" i="16" s="1"/>
  <c r="O868" i="16"/>
  <c r="P868" i="16" s="1"/>
  <c r="O867" i="16"/>
  <c r="P867" i="16" s="1"/>
  <c r="O866" i="16"/>
  <c r="P866" i="16" s="1"/>
  <c r="O865" i="16"/>
  <c r="P865" i="16" s="1"/>
  <c r="O864" i="16"/>
  <c r="P864" i="16" s="1"/>
  <c r="O863" i="16"/>
  <c r="P863" i="16" s="1"/>
  <c r="O862" i="16"/>
  <c r="P862" i="16" s="1"/>
  <c r="O861" i="16"/>
  <c r="P861" i="16" s="1"/>
  <c r="O860" i="16"/>
  <c r="P860" i="16" s="1"/>
  <c r="O859" i="16"/>
  <c r="P859" i="16" s="1"/>
  <c r="O858" i="16"/>
  <c r="P858" i="16" s="1"/>
  <c r="O857" i="16"/>
  <c r="P857" i="16" s="1"/>
  <c r="O856" i="16"/>
  <c r="P856" i="16" s="1"/>
  <c r="O855" i="16"/>
  <c r="P855" i="16" s="1"/>
  <c r="O854" i="16"/>
  <c r="P854" i="16" s="1"/>
  <c r="O853" i="16"/>
  <c r="P853" i="16" s="1"/>
  <c r="O852" i="16"/>
  <c r="P852" i="16" s="1"/>
  <c r="O851" i="16"/>
  <c r="P851" i="16" s="1"/>
  <c r="O850" i="16"/>
  <c r="P850" i="16" s="1"/>
  <c r="O849" i="16"/>
  <c r="P849" i="16" s="1"/>
  <c r="O848" i="16"/>
  <c r="P848" i="16" s="1"/>
  <c r="O847" i="16"/>
  <c r="P847" i="16" s="1"/>
  <c r="O846" i="16"/>
  <c r="P846" i="16" s="1"/>
  <c r="O845" i="16"/>
  <c r="P845" i="16" s="1"/>
  <c r="O844" i="16"/>
  <c r="P844" i="16" s="1"/>
  <c r="O843" i="16"/>
  <c r="P843" i="16" s="1"/>
  <c r="O842" i="16"/>
  <c r="P842" i="16" s="1"/>
  <c r="O841" i="16"/>
  <c r="P841" i="16" s="1"/>
  <c r="O840" i="16"/>
  <c r="P840" i="16" s="1"/>
  <c r="O839" i="16"/>
  <c r="P839" i="16" s="1"/>
  <c r="O838" i="16"/>
  <c r="P838" i="16" s="1"/>
  <c r="O837" i="16"/>
  <c r="P837" i="16" s="1"/>
  <c r="O836" i="16"/>
  <c r="P836" i="16" s="1"/>
  <c r="O835" i="16"/>
  <c r="P835" i="16" s="1"/>
  <c r="O834" i="16"/>
  <c r="P834" i="16" s="1"/>
  <c r="O833" i="16"/>
  <c r="P833" i="16" s="1"/>
  <c r="O832" i="16"/>
  <c r="P832" i="16" s="1"/>
  <c r="O831" i="16"/>
  <c r="P831" i="16" s="1"/>
  <c r="O830" i="16"/>
  <c r="P830" i="16" s="1"/>
  <c r="O829" i="16"/>
  <c r="P829" i="16" s="1"/>
  <c r="O828" i="16"/>
  <c r="P828" i="16" s="1"/>
  <c r="O827" i="16"/>
  <c r="P827" i="16" s="1"/>
  <c r="O826" i="16"/>
  <c r="P826" i="16" s="1"/>
  <c r="O825" i="16"/>
  <c r="P825" i="16" s="1"/>
  <c r="O824" i="16"/>
  <c r="P824" i="16" s="1"/>
  <c r="O823" i="16"/>
  <c r="P823" i="16" s="1"/>
  <c r="O822" i="16"/>
  <c r="P822" i="16" s="1"/>
  <c r="O821" i="16"/>
  <c r="P821" i="16" s="1"/>
  <c r="O820" i="16"/>
  <c r="P820" i="16" s="1"/>
  <c r="O819" i="16"/>
  <c r="P819" i="16" s="1"/>
  <c r="O818" i="16"/>
  <c r="P818" i="16" s="1"/>
  <c r="O817" i="16"/>
  <c r="P817" i="16" s="1"/>
  <c r="O816" i="16"/>
  <c r="P816" i="16" s="1"/>
  <c r="O815" i="16"/>
  <c r="P815" i="16" s="1"/>
  <c r="O814" i="16"/>
  <c r="P814" i="16" s="1"/>
  <c r="O813" i="16"/>
  <c r="P813" i="16" s="1"/>
  <c r="O812" i="16"/>
  <c r="P812" i="16" s="1"/>
  <c r="O811" i="16"/>
  <c r="P811" i="16" s="1"/>
  <c r="O810" i="16"/>
  <c r="P810" i="16" s="1"/>
  <c r="O809" i="16"/>
  <c r="P809" i="16" s="1"/>
  <c r="O808" i="16"/>
  <c r="P808" i="16" s="1"/>
  <c r="O807" i="16"/>
  <c r="P807" i="16" s="1"/>
  <c r="O806" i="16"/>
  <c r="P806" i="16" s="1"/>
  <c r="O805" i="16"/>
  <c r="P805" i="16" s="1"/>
  <c r="O804" i="16"/>
  <c r="P804" i="16" s="1"/>
  <c r="O803" i="16"/>
  <c r="P803" i="16" s="1"/>
  <c r="O802" i="16"/>
  <c r="P802" i="16" s="1"/>
  <c r="O801" i="16"/>
  <c r="P801" i="16" s="1"/>
  <c r="O800" i="16"/>
  <c r="P800" i="16" s="1"/>
  <c r="O799" i="16"/>
  <c r="P799" i="16" s="1"/>
  <c r="O798" i="16"/>
  <c r="P798" i="16" s="1"/>
  <c r="O797" i="16"/>
  <c r="P797" i="16" s="1"/>
  <c r="O796" i="16"/>
  <c r="P796" i="16" s="1"/>
  <c r="O795" i="16"/>
  <c r="P795" i="16" s="1"/>
  <c r="O794" i="16"/>
  <c r="P794" i="16" s="1"/>
  <c r="O793" i="16"/>
  <c r="P793" i="16" s="1"/>
  <c r="O792" i="16"/>
  <c r="P792" i="16" s="1"/>
  <c r="O791" i="16"/>
  <c r="P791" i="16" s="1"/>
  <c r="O790" i="16"/>
  <c r="P790" i="16" s="1"/>
  <c r="O789" i="16"/>
  <c r="P789" i="16" s="1"/>
  <c r="O788" i="16"/>
  <c r="P788" i="16" s="1"/>
  <c r="O787" i="16"/>
  <c r="P787" i="16" s="1"/>
  <c r="O786" i="16"/>
  <c r="P786" i="16" s="1"/>
  <c r="O785" i="16"/>
  <c r="P785" i="16" s="1"/>
  <c r="O784" i="16"/>
  <c r="P784" i="16" s="1"/>
  <c r="O783" i="16"/>
  <c r="P783" i="16" s="1"/>
  <c r="O782" i="16"/>
  <c r="P782" i="16" s="1"/>
  <c r="O781" i="16"/>
  <c r="P781" i="16" s="1"/>
  <c r="O780" i="16"/>
  <c r="P780" i="16" s="1"/>
  <c r="O779" i="16"/>
  <c r="P779" i="16" s="1"/>
  <c r="O778" i="16"/>
  <c r="P778" i="16" s="1"/>
  <c r="O777" i="16"/>
  <c r="P777" i="16" s="1"/>
  <c r="O776" i="16"/>
  <c r="P776" i="16" s="1"/>
  <c r="O775" i="16"/>
  <c r="P775" i="16" s="1"/>
  <c r="O774" i="16"/>
  <c r="P774" i="16" s="1"/>
  <c r="O773" i="16"/>
  <c r="P773" i="16" s="1"/>
  <c r="O772" i="16"/>
  <c r="P772" i="16" s="1"/>
  <c r="O771" i="16"/>
  <c r="P771" i="16" s="1"/>
  <c r="O770" i="16"/>
  <c r="P770" i="16" s="1"/>
  <c r="O769" i="16"/>
  <c r="P769" i="16" s="1"/>
  <c r="O768" i="16"/>
  <c r="P768" i="16" s="1"/>
  <c r="O767" i="16"/>
  <c r="P767" i="16" s="1"/>
  <c r="O766" i="16"/>
  <c r="P766" i="16" s="1"/>
  <c r="O765" i="16"/>
  <c r="P765" i="16" s="1"/>
  <c r="O764" i="16"/>
  <c r="P764" i="16" s="1"/>
  <c r="O763" i="16"/>
  <c r="P763" i="16" s="1"/>
  <c r="O762" i="16"/>
  <c r="P762" i="16" s="1"/>
  <c r="O761" i="16"/>
  <c r="P761" i="16" s="1"/>
  <c r="O760" i="16"/>
  <c r="P760" i="16" s="1"/>
  <c r="O759" i="16"/>
  <c r="P759" i="16" s="1"/>
  <c r="O758" i="16"/>
  <c r="P758" i="16" s="1"/>
  <c r="O757" i="16"/>
  <c r="P757" i="16" s="1"/>
  <c r="O756" i="16"/>
  <c r="P756" i="16" s="1"/>
  <c r="O755" i="16"/>
  <c r="P755" i="16" s="1"/>
  <c r="O754" i="16"/>
  <c r="P754" i="16" s="1"/>
  <c r="O753" i="16"/>
  <c r="P753" i="16" s="1"/>
  <c r="O752" i="16"/>
  <c r="P752" i="16" s="1"/>
  <c r="O751" i="16"/>
  <c r="P751" i="16" s="1"/>
  <c r="O750" i="16"/>
  <c r="P750" i="16" s="1"/>
  <c r="O749" i="16"/>
  <c r="P749" i="16" s="1"/>
  <c r="O748" i="16"/>
  <c r="P748" i="16" s="1"/>
  <c r="O747" i="16"/>
  <c r="P747" i="16" s="1"/>
  <c r="O746" i="16"/>
  <c r="P746" i="16" s="1"/>
  <c r="O745" i="16"/>
  <c r="P745" i="16" s="1"/>
  <c r="O744" i="16"/>
  <c r="P744" i="16" s="1"/>
  <c r="O743" i="16"/>
  <c r="P743" i="16" s="1"/>
  <c r="O742" i="16"/>
  <c r="P742" i="16" s="1"/>
  <c r="O741" i="16"/>
  <c r="P741" i="16" s="1"/>
  <c r="O740" i="16"/>
  <c r="P740" i="16" s="1"/>
  <c r="O739" i="16"/>
  <c r="P739" i="16" s="1"/>
  <c r="O738" i="16"/>
  <c r="P738" i="16" s="1"/>
  <c r="O737" i="16"/>
  <c r="P737" i="16" s="1"/>
  <c r="O736" i="16"/>
  <c r="P736" i="16" s="1"/>
  <c r="O735" i="16"/>
  <c r="P735" i="16" s="1"/>
  <c r="O734" i="16"/>
  <c r="P734" i="16" s="1"/>
  <c r="O733" i="16"/>
  <c r="P733" i="16" s="1"/>
  <c r="O732" i="16"/>
  <c r="P732" i="16" s="1"/>
  <c r="O731" i="16"/>
  <c r="P731" i="16" s="1"/>
  <c r="O730" i="16"/>
  <c r="P730" i="16" s="1"/>
  <c r="O729" i="16"/>
  <c r="P729" i="16" s="1"/>
  <c r="O728" i="16"/>
  <c r="P728" i="16" s="1"/>
  <c r="O727" i="16"/>
  <c r="P727" i="16" s="1"/>
  <c r="O726" i="16"/>
  <c r="P726" i="16" s="1"/>
  <c r="O725" i="16"/>
  <c r="P725" i="16" s="1"/>
  <c r="O724" i="16"/>
  <c r="P724" i="16" s="1"/>
  <c r="O723" i="16"/>
  <c r="P723" i="16" s="1"/>
  <c r="O722" i="16"/>
  <c r="P722" i="16" s="1"/>
  <c r="O721" i="16"/>
  <c r="P721" i="16" s="1"/>
  <c r="O720" i="16"/>
  <c r="P720" i="16" s="1"/>
  <c r="O719" i="16"/>
  <c r="P719" i="16" s="1"/>
  <c r="O718" i="16"/>
  <c r="P718" i="16" s="1"/>
  <c r="O717" i="16"/>
  <c r="P717" i="16" s="1"/>
  <c r="O716" i="16"/>
  <c r="P716" i="16" s="1"/>
  <c r="O715" i="16"/>
  <c r="P715" i="16" s="1"/>
  <c r="O714" i="16"/>
  <c r="P714" i="16" s="1"/>
  <c r="O713" i="16"/>
  <c r="P713" i="16" s="1"/>
  <c r="O712" i="16"/>
  <c r="P712" i="16" s="1"/>
  <c r="O711" i="16"/>
  <c r="P711" i="16" s="1"/>
  <c r="O710" i="16"/>
  <c r="P710" i="16" s="1"/>
  <c r="O709" i="16"/>
  <c r="P709" i="16" s="1"/>
  <c r="O708" i="16"/>
  <c r="P708" i="16" s="1"/>
  <c r="O707" i="16"/>
  <c r="P707" i="16" s="1"/>
  <c r="O706" i="16"/>
  <c r="P706" i="16" s="1"/>
  <c r="O705" i="16"/>
  <c r="P705" i="16" s="1"/>
  <c r="O704" i="16"/>
  <c r="P704" i="16" s="1"/>
  <c r="O703" i="16"/>
  <c r="P703" i="16" s="1"/>
  <c r="O702" i="16"/>
  <c r="P702" i="16" s="1"/>
  <c r="O701" i="16"/>
  <c r="P701" i="16" s="1"/>
  <c r="O700" i="16"/>
  <c r="P700" i="16" s="1"/>
  <c r="O699" i="16"/>
  <c r="P699" i="16" s="1"/>
  <c r="O698" i="16"/>
  <c r="P698" i="16" s="1"/>
  <c r="O697" i="16"/>
  <c r="P697" i="16" s="1"/>
  <c r="O696" i="16"/>
  <c r="P696" i="16" s="1"/>
  <c r="O695" i="16"/>
  <c r="P695" i="16" s="1"/>
  <c r="O694" i="16"/>
  <c r="P694" i="16" s="1"/>
  <c r="O693" i="16"/>
  <c r="P693" i="16" s="1"/>
  <c r="O692" i="16"/>
  <c r="P692" i="16" s="1"/>
  <c r="O691" i="16"/>
  <c r="P691" i="16" s="1"/>
  <c r="O690" i="16"/>
  <c r="P690" i="16" s="1"/>
  <c r="O689" i="16"/>
  <c r="P689" i="16" s="1"/>
  <c r="O688" i="16"/>
  <c r="P688" i="16" s="1"/>
  <c r="O687" i="16"/>
  <c r="P687" i="16" s="1"/>
  <c r="O686" i="16"/>
  <c r="P686" i="16" s="1"/>
  <c r="O685" i="16"/>
  <c r="P685" i="16" s="1"/>
  <c r="O684" i="16"/>
  <c r="P684" i="16" s="1"/>
  <c r="O683" i="16"/>
  <c r="P683" i="16" s="1"/>
  <c r="O682" i="16"/>
  <c r="P682" i="16" s="1"/>
  <c r="O681" i="16"/>
  <c r="P681" i="16" s="1"/>
  <c r="O680" i="16"/>
  <c r="P680" i="16" s="1"/>
  <c r="O679" i="16"/>
  <c r="P679" i="16" s="1"/>
  <c r="O678" i="16"/>
  <c r="P678" i="16" s="1"/>
  <c r="O677" i="16"/>
  <c r="P677" i="16" s="1"/>
  <c r="O676" i="16"/>
  <c r="P676" i="16" s="1"/>
  <c r="O675" i="16"/>
  <c r="P675" i="16" s="1"/>
  <c r="O674" i="16"/>
  <c r="P674" i="16" s="1"/>
  <c r="O673" i="16"/>
  <c r="P673" i="16" s="1"/>
  <c r="O672" i="16"/>
  <c r="P672" i="16" s="1"/>
  <c r="O671" i="16"/>
  <c r="P671" i="16" s="1"/>
  <c r="O670" i="16"/>
  <c r="P670" i="16" s="1"/>
  <c r="O669" i="16"/>
  <c r="P669" i="16" s="1"/>
  <c r="O668" i="16"/>
  <c r="P668" i="16" s="1"/>
  <c r="O667" i="16"/>
  <c r="P667" i="16" s="1"/>
  <c r="O666" i="16"/>
  <c r="P666" i="16" s="1"/>
  <c r="O665" i="16"/>
  <c r="P665" i="16" s="1"/>
  <c r="O664" i="16"/>
  <c r="P664" i="16" s="1"/>
  <c r="O663" i="16"/>
  <c r="P663" i="16" s="1"/>
  <c r="O662" i="16"/>
  <c r="P662" i="16" s="1"/>
  <c r="O661" i="16"/>
  <c r="P661" i="16" s="1"/>
  <c r="O660" i="16"/>
  <c r="P660" i="16" s="1"/>
  <c r="O659" i="16"/>
  <c r="P659" i="16" s="1"/>
  <c r="O658" i="16"/>
  <c r="P658" i="16" s="1"/>
  <c r="O657" i="16"/>
  <c r="P657" i="16" s="1"/>
  <c r="O656" i="16"/>
  <c r="P656" i="16" s="1"/>
  <c r="O655" i="16"/>
  <c r="P655" i="16" s="1"/>
  <c r="O654" i="16"/>
  <c r="P654" i="16" s="1"/>
  <c r="O653" i="16"/>
  <c r="P653" i="16" s="1"/>
  <c r="O652" i="16"/>
  <c r="P652" i="16" s="1"/>
  <c r="O651" i="16"/>
  <c r="P651" i="16" s="1"/>
  <c r="O650" i="16"/>
  <c r="P650" i="16" s="1"/>
  <c r="O649" i="16"/>
  <c r="P649" i="16" s="1"/>
  <c r="O648" i="16"/>
  <c r="P648" i="16" s="1"/>
  <c r="O647" i="16"/>
  <c r="P647" i="16" s="1"/>
  <c r="O646" i="16"/>
  <c r="P646" i="16" s="1"/>
  <c r="O645" i="16"/>
  <c r="P645" i="16" s="1"/>
  <c r="O644" i="16"/>
  <c r="P644" i="16" s="1"/>
  <c r="O643" i="16"/>
  <c r="P643" i="16" s="1"/>
  <c r="O642" i="16"/>
  <c r="P642" i="16" s="1"/>
  <c r="O641" i="16"/>
  <c r="P641" i="16" s="1"/>
  <c r="O640" i="16"/>
  <c r="P640" i="16" s="1"/>
  <c r="O639" i="16"/>
  <c r="P639" i="16" s="1"/>
  <c r="O638" i="16"/>
  <c r="P638" i="16" s="1"/>
  <c r="O637" i="16"/>
  <c r="P637" i="16" s="1"/>
  <c r="O636" i="16"/>
  <c r="P636" i="16" s="1"/>
  <c r="O635" i="16"/>
  <c r="P635" i="16" s="1"/>
  <c r="O634" i="16"/>
  <c r="P634" i="16" s="1"/>
  <c r="O633" i="16"/>
  <c r="P633" i="16" s="1"/>
  <c r="O632" i="16"/>
  <c r="P632" i="16" s="1"/>
  <c r="O631" i="16"/>
  <c r="P631" i="16" s="1"/>
  <c r="O630" i="16"/>
  <c r="P630" i="16" s="1"/>
  <c r="O629" i="16"/>
  <c r="P629" i="16" s="1"/>
  <c r="O628" i="16"/>
  <c r="P628" i="16" s="1"/>
  <c r="O627" i="16"/>
  <c r="P627" i="16" s="1"/>
  <c r="O626" i="16"/>
  <c r="P626" i="16" s="1"/>
  <c r="O625" i="16"/>
  <c r="P625" i="16" s="1"/>
  <c r="O624" i="16"/>
  <c r="P624" i="16" s="1"/>
  <c r="O623" i="16"/>
  <c r="P623" i="16" s="1"/>
  <c r="O622" i="16"/>
  <c r="P622" i="16" s="1"/>
  <c r="O621" i="16"/>
  <c r="P621" i="16" s="1"/>
  <c r="O620" i="16"/>
  <c r="P620" i="16" s="1"/>
  <c r="O619" i="16"/>
  <c r="P619" i="16" s="1"/>
  <c r="O618" i="16"/>
  <c r="P618" i="16" s="1"/>
  <c r="O617" i="16"/>
  <c r="P617" i="16" s="1"/>
  <c r="O616" i="16"/>
  <c r="P616" i="16" s="1"/>
  <c r="O615" i="16"/>
  <c r="P615" i="16" s="1"/>
  <c r="O614" i="16"/>
  <c r="P614" i="16" s="1"/>
  <c r="O613" i="16"/>
  <c r="P613" i="16" s="1"/>
  <c r="O612" i="16"/>
  <c r="P612" i="16" s="1"/>
  <c r="O611" i="16"/>
  <c r="P611" i="16" s="1"/>
  <c r="O610" i="16"/>
  <c r="P610" i="16" s="1"/>
  <c r="O609" i="16"/>
  <c r="P609" i="16" s="1"/>
  <c r="O608" i="16"/>
  <c r="P608" i="16" s="1"/>
  <c r="O607" i="16"/>
  <c r="P607" i="16" s="1"/>
  <c r="O606" i="16"/>
  <c r="P606" i="16" s="1"/>
  <c r="O605" i="16"/>
  <c r="P605" i="16" s="1"/>
  <c r="O604" i="16"/>
  <c r="P604" i="16" s="1"/>
  <c r="O603" i="16"/>
  <c r="P603" i="16" s="1"/>
  <c r="O602" i="16"/>
  <c r="P602" i="16" s="1"/>
  <c r="O601" i="16"/>
  <c r="P601" i="16" s="1"/>
  <c r="O600" i="16"/>
  <c r="P600" i="16" s="1"/>
  <c r="O599" i="16"/>
  <c r="P599" i="16" s="1"/>
  <c r="O598" i="16"/>
  <c r="P598" i="16" s="1"/>
  <c r="O597" i="16"/>
  <c r="P597" i="16" s="1"/>
  <c r="O596" i="16"/>
  <c r="P596" i="16" s="1"/>
  <c r="O595" i="16"/>
  <c r="P595" i="16" s="1"/>
  <c r="O594" i="16"/>
  <c r="P594" i="16" s="1"/>
  <c r="O593" i="16"/>
  <c r="P593" i="16" s="1"/>
  <c r="O592" i="16"/>
  <c r="P592" i="16" s="1"/>
  <c r="O591" i="16"/>
  <c r="P591" i="16" s="1"/>
  <c r="O590" i="16"/>
  <c r="P590" i="16" s="1"/>
  <c r="O589" i="16"/>
  <c r="P589" i="16" s="1"/>
  <c r="O588" i="16"/>
  <c r="P588" i="16" s="1"/>
  <c r="O587" i="16"/>
  <c r="P587" i="16" s="1"/>
  <c r="O586" i="16"/>
  <c r="P586" i="16" s="1"/>
  <c r="O585" i="16"/>
  <c r="P585" i="16" s="1"/>
  <c r="O584" i="16"/>
  <c r="P584" i="16" s="1"/>
  <c r="O583" i="16"/>
  <c r="P583" i="16" s="1"/>
  <c r="O582" i="16"/>
  <c r="P582" i="16" s="1"/>
  <c r="O581" i="16"/>
  <c r="P581" i="16" s="1"/>
  <c r="O580" i="16"/>
  <c r="P580" i="16" s="1"/>
  <c r="O579" i="16"/>
  <c r="P579" i="16" s="1"/>
  <c r="O578" i="16"/>
  <c r="P578" i="16" s="1"/>
  <c r="O577" i="16"/>
  <c r="P577" i="16" s="1"/>
  <c r="O576" i="16"/>
  <c r="P576" i="16" s="1"/>
  <c r="O575" i="16"/>
  <c r="P575" i="16" s="1"/>
  <c r="O574" i="16"/>
  <c r="P574" i="16" s="1"/>
  <c r="O573" i="16"/>
  <c r="P573" i="16" s="1"/>
  <c r="O572" i="16"/>
  <c r="P572" i="16" s="1"/>
  <c r="O571" i="16"/>
  <c r="P571" i="16" s="1"/>
  <c r="O570" i="16"/>
  <c r="P570" i="16" s="1"/>
  <c r="O569" i="16"/>
  <c r="P569" i="16" s="1"/>
  <c r="O568" i="16"/>
  <c r="P568" i="16" s="1"/>
  <c r="O567" i="16"/>
  <c r="P567" i="16" s="1"/>
  <c r="O566" i="16"/>
  <c r="P566" i="16" s="1"/>
  <c r="O565" i="16"/>
  <c r="P565" i="16" s="1"/>
  <c r="O564" i="16"/>
  <c r="P564" i="16" s="1"/>
  <c r="O563" i="16"/>
  <c r="P563" i="16" s="1"/>
  <c r="O562" i="16"/>
  <c r="P562" i="16" s="1"/>
  <c r="O561" i="16"/>
  <c r="P561" i="16" s="1"/>
  <c r="O560" i="16"/>
  <c r="P560" i="16" s="1"/>
  <c r="O559" i="16"/>
  <c r="P559" i="16" s="1"/>
  <c r="O558" i="16"/>
  <c r="P558" i="16" s="1"/>
  <c r="O557" i="16"/>
  <c r="P557" i="16" s="1"/>
  <c r="O556" i="16"/>
  <c r="P556" i="16" s="1"/>
  <c r="O555" i="16"/>
  <c r="P555" i="16" s="1"/>
  <c r="O554" i="16"/>
  <c r="P554" i="16" s="1"/>
  <c r="O553" i="16"/>
  <c r="P553" i="16" s="1"/>
  <c r="O552" i="16"/>
  <c r="P552" i="16" s="1"/>
  <c r="O551" i="16"/>
  <c r="P551" i="16" s="1"/>
  <c r="O550" i="16"/>
  <c r="P550" i="16" s="1"/>
  <c r="O549" i="16"/>
  <c r="P549" i="16" s="1"/>
  <c r="O548" i="16"/>
  <c r="P548" i="16" s="1"/>
  <c r="O1629" i="16"/>
  <c r="P1629" i="16" s="1"/>
  <c r="O1628" i="16"/>
  <c r="P1628" i="16" s="1"/>
  <c r="O1627" i="16"/>
  <c r="P1627" i="16" s="1"/>
  <c r="O1626" i="16"/>
  <c r="P1626" i="16" s="1"/>
  <c r="O1625" i="16"/>
  <c r="P1625" i="16" s="1"/>
  <c r="O1624" i="16"/>
  <c r="P1624" i="16" s="1"/>
  <c r="O1623" i="16"/>
  <c r="P1623" i="16" s="1"/>
  <c r="O1622" i="16"/>
  <c r="P1622" i="16" s="1"/>
  <c r="O1621" i="16"/>
  <c r="P1621" i="16" s="1"/>
  <c r="O1620" i="16"/>
  <c r="P1620" i="16" s="1"/>
  <c r="O1619" i="16"/>
  <c r="P1619" i="16" s="1"/>
  <c r="O1618" i="16"/>
  <c r="P1618" i="16" s="1"/>
  <c r="O1617" i="16"/>
  <c r="P1617" i="16" s="1"/>
  <c r="O1616" i="16"/>
  <c r="P1616" i="16" s="1"/>
  <c r="O1615" i="16"/>
  <c r="P1615" i="16" s="1"/>
  <c r="O1614" i="16"/>
  <c r="P1614" i="16" s="1"/>
  <c r="O1613" i="16"/>
  <c r="P1613" i="16" s="1"/>
  <c r="O1612" i="16"/>
  <c r="P1612" i="16" s="1"/>
  <c r="O1611" i="16"/>
  <c r="P1611" i="16" s="1"/>
  <c r="O1610" i="16"/>
  <c r="P1610" i="16" s="1"/>
  <c r="O1609" i="16"/>
  <c r="P1609" i="16" s="1"/>
  <c r="O1608" i="16"/>
  <c r="P1608" i="16" s="1"/>
  <c r="O1607" i="16"/>
  <c r="P1607" i="16" s="1"/>
  <c r="O1606" i="16"/>
  <c r="P1606" i="16" s="1"/>
  <c r="O1605" i="16"/>
  <c r="P1605" i="16" s="1"/>
  <c r="O1604" i="16"/>
  <c r="P1604" i="16" s="1"/>
  <c r="O1603" i="16"/>
  <c r="P1603" i="16" s="1"/>
  <c r="O1602" i="16"/>
  <c r="P1602" i="16" s="1"/>
  <c r="O1601" i="16"/>
  <c r="P1601" i="16" s="1"/>
  <c r="O1600" i="16"/>
  <c r="P1600" i="16" s="1"/>
  <c r="O1599" i="16"/>
  <c r="P1599" i="16" s="1"/>
  <c r="O1598" i="16"/>
  <c r="P1598" i="16" s="1"/>
  <c r="O1597" i="16"/>
  <c r="P1597" i="16" s="1"/>
  <c r="O1596" i="16"/>
  <c r="P1596" i="16" s="1"/>
  <c r="O1595" i="16"/>
  <c r="P1595" i="16" s="1"/>
  <c r="O1594" i="16"/>
  <c r="P1594" i="16" s="1"/>
  <c r="O1593" i="16"/>
  <c r="P1593" i="16" s="1"/>
  <c r="O1592" i="16"/>
  <c r="P1592" i="16" s="1"/>
  <c r="O1591" i="16"/>
  <c r="P1591" i="16" s="1"/>
  <c r="O1590" i="16"/>
  <c r="P1590" i="16" s="1"/>
  <c r="O1589" i="16"/>
  <c r="P1589" i="16" s="1"/>
  <c r="O1588" i="16"/>
  <c r="P1588" i="16" s="1"/>
  <c r="O1587" i="16"/>
  <c r="P1587" i="16" s="1"/>
  <c r="O1586" i="16"/>
  <c r="P1586" i="16" s="1"/>
  <c r="O1585" i="16"/>
  <c r="P1585" i="16" s="1"/>
  <c r="O1584" i="16"/>
  <c r="P1584" i="16" s="1"/>
  <c r="O1583" i="16"/>
  <c r="P1583" i="16" s="1"/>
  <c r="O1582" i="16"/>
  <c r="P1582" i="16" s="1"/>
  <c r="O1581" i="16"/>
  <c r="P1581" i="16" s="1"/>
  <c r="O1580" i="16"/>
  <c r="P1580" i="16" s="1"/>
  <c r="O1579" i="16"/>
  <c r="P1579" i="16" s="1"/>
  <c r="O1578" i="16"/>
  <c r="P1578" i="16" s="1"/>
  <c r="O1577" i="16"/>
  <c r="P1577" i="16" s="1"/>
  <c r="O1576" i="16"/>
  <c r="P1576" i="16" s="1"/>
  <c r="O1575" i="16"/>
  <c r="P1575" i="16" s="1"/>
  <c r="O1574" i="16"/>
  <c r="P1574" i="16" s="1"/>
  <c r="O1573" i="16"/>
  <c r="P1573" i="16" s="1"/>
  <c r="O1572" i="16"/>
  <c r="P1572" i="16" s="1"/>
  <c r="O1571" i="16"/>
  <c r="P1571" i="16" s="1"/>
  <c r="O1570" i="16"/>
  <c r="P1570" i="16" s="1"/>
  <c r="O1569" i="16"/>
  <c r="P1569" i="16" s="1"/>
  <c r="O1568" i="16"/>
  <c r="P1568" i="16" s="1"/>
  <c r="O1567" i="16"/>
  <c r="P1567" i="16" s="1"/>
  <c r="O1566" i="16"/>
  <c r="P1566" i="16" s="1"/>
  <c r="O1565" i="16"/>
  <c r="P1565" i="16" s="1"/>
  <c r="O1564" i="16"/>
  <c r="P1564" i="16" s="1"/>
  <c r="O1563" i="16"/>
  <c r="P1563" i="16" s="1"/>
  <c r="O1562" i="16"/>
  <c r="P1562" i="16" s="1"/>
  <c r="O1561" i="16"/>
  <c r="P1561" i="16" s="1"/>
  <c r="O1560" i="16"/>
  <c r="P1560" i="16" s="1"/>
  <c r="O1559" i="16"/>
  <c r="P1559" i="16" s="1"/>
  <c r="O1558" i="16"/>
  <c r="P1558" i="16" s="1"/>
  <c r="O1557" i="16"/>
  <c r="P1557" i="16" s="1"/>
  <c r="O1556" i="16"/>
  <c r="P1556" i="16" s="1"/>
  <c r="O1555" i="16"/>
  <c r="P1555" i="16" s="1"/>
  <c r="O1554" i="16"/>
  <c r="P1554" i="16" s="1"/>
  <c r="O1553" i="16"/>
  <c r="P1553" i="16" s="1"/>
  <c r="O1552" i="16"/>
  <c r="P1552" i="16" s="1"/>
  <c r="O1551" i="16"/>
  <c r="P1551" i="16" s="1"/>
  <c r="O1550" i="16"/>
  <c r="P1550" i="16" s="1"/>
  <c r="O1549" i="16"/>
  <c r="P1549" i="16" s="1"/>
  <c r="O1548" i="16"/>
  <c r="P1548" i="16" s="1"/>
  <c r="O1547" i="16"/>
  <c r="P1547" i="16" s="1"/>
  <c r="O1546" i="16"/>
  <c r="P1546" i="16" s="1"/>
  <c r="O1545" i="16"/>
  <c r="P1545" i="16" s="1"/>
  <c r="O1544" i="16"/>
  <c r="P1544" i="16" s="1"/>
  <c r="O1543" i="16"/>
  <c r="P1543" i="16" s="1"/>
  <c r="O1542" i="16"/>
  <c r="P1542" i="16" s="1"/>
  <c r="O1541" i="16"/>
  <c r="P1541" i="16" s="1"/>
  <c r="O1540" i="16"/>
  <c r="P1540" i="16" s="1"/>
  <c r="O1539" i="16"/>
  <c r="P1539" i="16" s="1"/>
  <c r="O1538" i="16"/>
  <c r="P1538" i="16" s="1"/>
  <c r="O1537" i="16"/>
  <c r="P1537" i="16" s="1"/>
  <c r="O1536" i="16"/>
  <c r="P1536" i="16" s="1"/>
  <c r="O1535" i="16"/>
  <c r="P1535" i="16" s="1"/>
  <c r="O1534" i="16"/>
  <c r="P1534" i="16" s="1"/>
  <c r="O1533" i="16"/>
  <c r="P1533" i="16" s="1"/>
  <c r="O1532" i="16"/>
  <c r="P1532" i="16" s="1"/>
  <c r="O1531" i="16"/>
  <c r="P1531" i="16" s="1"/>
  <c r="O1530" i="16"/>
  <c r="P1530" i="16" s="1"/>
  <c r="O1529" i="16"/>
  <c r="P1529" i="16" s="1"/>
  <c r="O1528" i="16"/>
  <c r="P1528" i="16" s="1"/>
  <c r="O1527" i="16"/>
  <c r="P1527" i="16" s="1"/>
  <c r="O1526" i="16"/>
  <c r="P1526" i="16" s="1"/>
  <c r="O1525" i="16"/>
  <c r="P1525" i="16" s="1"/>
  <c r="O1524" i="16"/>
  <c r="P1524" i="16" s="1"/>
  <c r="O1523" i="16"/>
  <c r="P1523" i="16" s="1"/>
  <c r="O1522" i="16"/>
  <c r="P1522" i="16" s="1"/>
  <c r="O1521" i="16"/>
  <c r="P1521" i="16" s="1"/>
  <c r="O1520" i="16"/>
  <c r="P1520" i="16" s="1"/>
  <c r="O1519" i="16"/>
  <c r="P1519" i="16" s="1"/>
  <c r="O1518" i="16"/>
  <c r="P1518" i="16" s="1"/>
  <c r="O1517" i="16"/>
  <c r="P1517" i="16" s="1"/>
  <c r="O1516" i="16"/>
  <c r="P1516" i="16" s="1"/>
  <c r="O1515" i="16"/>
  <c r="P1515" i="16" s="1"/>
  <c r="O1514" i="16"/>
  <c r="P1514" i="16" s="1"/>
  <c r="O1513" i="16"/>
  <c r="P1513" i="16" s="1"/>
  <c r="O1512" i="16"/>
  <c r="P1512" i="16" s="1"/>
  <c r="O1511" i="16"/>
  <c r="P1511" i="16" s="1"/>
  <c r="O1510" i="16"/>
  <c r="P1510" i="16" s="1"/>
  <c r="O1509" i="16"/>
  <c r="P1509" i="16" s="1"/>
  <c r="O1508" i="16"/>
  <c r="P1508" i="16" s="1"/>
  <c r="O1507" i="16"/>
  <c r="P1507" i="16" s="1"/>
  <c r="O1506" i="16"/>
  <c r="P1506" i="16" s="1"/>
  <c r="O1505" i="16"/>
  <c r="P1505" i="16" s="1"/>
  <c r="O1504" i="16"/>
  <c r="P1504" i="16" s="1"/>
  <c r="O1503" i="16"/>
  <c r="P1503" i="16" s="1"/>
  <c r="O1502" i="16"/>
  <c r="P1502" i="16" s="1"/>
  <c r="O1501" i="16"/>
  <c r="P1501" i="16" s="1"/>
  <c r="O1500" i="16"/>
  <c r="P1500" i="16" s="1"/>
  <c r="O1499" i="16"/>
  <c r="P1499" i="16" s="1"/>
  <c r="O1498" i="16"/>
  <c r="P1498" i="16" s="1"/>
  <c r="O1497" i="16"/>
  <c r="P1497" i="16" s="1"/>
  <c r="O1496" i="16"/>
  <c r="P1496" i="16" s="1"/>
  <c r="O1495" i="16"/>
  <c r="P1495" i="16" s="1"/>
  <c r="O1494" i="16"/>
  <c r="P1494" i="16" s="1"/>
  <c r="O1493" i="16"/>
  <c r="P1493" i="16" s="1"/>
  <c r="O1492" i="16"/>
  <c r="P1492" i="16" s="1"/>
  <c r="O1491" i="16"/>
  <c r="P1491" i="16" s="1"/>
  <c r="O1490" i="16"/>
  <c r="P1490" i="16" s="1"/>
  <c r="O1489" i="16"/>
  <c r="P1489" i="16" s="1"/>
  <c r="O1488" i="16"/>
  <c r="P1488" i="16" s="1"/>
  <c r="O1487" i="16"/>
  <c r="P1487" i="16" s="1"/>
  <c r="O1486" i="16"/>
  <c r="P1486" i="16" s="1"/>
  <c r="O1485" i="16"/>
  <c r="P1485" i="16" s="1"/>
  <c r="O1484" i="16"/>
  <c r="P1484" i="16" s="1"/>
  <c r="O1483" i="16"/>
  <c r="P1483" i="16" s="1"/>
  <c r="O1482" i="16"/>
  <c r="P1482" i="16" s="1"/>
  <c r="O1481" i="16"/>
  <c r="P1481" i="16" s="1"/>
  <c r="O1480" i="16"/>
  <c r="P1480" i="16" s="1"/>
  <c r="O1479" i="16"/>
  <c r="P1479" i="16" s="1"/>
  <c r="O1478" i="16"/>
  <c r="P1478" i="16" s="1"/>
  <c r="O1477" i="16"/>
  <c r="P1477" i="16" s="1"/>
  <c r="O1476" i="16"/>
  <c r="P1476" i="16" s="1"/>
  <c r="O1475" i="16"/>
  <c r="P1475" i="16" s="1"/>
  <c r="O1474" i="16"/>
  <c r="P1474" i="16" s="1"/>
  <c r="O1473" i="16"/>
  <c r="P1473" i="16" s="1"/>
  <c r="O1472" i="16"/>
  <c r="P1472" i="16" s="1"/>
  <c r="O1471" i="16"/>
  <c r="P1471" i="16" s="1"/>
  <c r="O1470" i="16"/>
  <c r="P1470" i="16" s="1"/>
  <c r="O1469" i="16"/>
  <c r="P1469" i="16" s="1"/>
  <c r="O1468" i="16"/>
  <c r="P1468" i="16" s="1"/>
  <c r="O1467" i="16"/>
  <c r="P1467" i="16" s="1"/>
  <c r="O1466" i="16"/>
  <c r="P1466" i="16" s="1"/>
  <c r="O1465" i="16"/>
  <c r="P1465" i="16" s="1"/>
  <c r="O1464" i="16"/>
  <c r="P1464" i="16" s="1"/>
  <c r="O1463" i="16"/>
  <c r="P1463" i="16" s="1"/>
  <c r="O1462" i="16"/>
  <c r="P1462" i="16" s="1"/>
  <c r="O1461" i="16"/>
  <c r="P1461" i="16" s="1"/>
  <c r="O1460" i="16"/>
  <c r="P1460" i="16" s="1"/>
  <c r="O1459" i="16"/>
  <c r="P1459" i="16" s="1"/>
  <c r="O1458" i="16"/>
  <c r="P1458" i="16" s="1"/>
  <c r="O1457" i="16"/>
  <c r="P1457" i="16" s="1"/>
  <c r="O1456" i="16"/>
  <c r="P1456" i="16" s="1"/>
  <c r="O1455" i="16"/>
  <c r="P1455" i="16" s="1"/>
  <c r="O1454" i="16"/>
  <c r="P1454" i="16" s="1"/>
  <c r="O1453" i="16"/>
  <c r="P1453" i="16" s="1"/>
  <c r="O1452" i="16"/>
  <c r="P1452" i="16" s="1"/>
  <c r="O1451" i="16"/>
  <c r="P1451" i="16" s="1"/>
  <c r="O1450" i="16"/>
  <c r="P1450" i="16" s="1"/>
  <c r="O1449" i="16"/>
  <c r="P1449" i="16" s="1"/>
  <c r="O1448" i="16"/>
  <c r="P1448" i="16" s="1"/>
  <c r="O1447" i="16"/>
  <c r="P1447" i="16" s="1"/>
  <c r="O1446" i="16"/>
  <c r="P1446" i="16" s="1"/>
  <c r="O1445" i="16"/>
  <c r="P1445" i="16" s="1"/>
  <c r="O1444" i="16"/>
  <c r="P1444" i="16" s="1"/>
  <c r="O1443" i="16"/>
  <c r="P1443" i="16" s="1"/>
  <c r="O1442" i="16"/>
  <c r="P1442" i="16" s="1"/>
  <c r="O1441" i="16"/>
  <c r="P1441" i="16" s="1"/>
  <c r="O1440" i="16"/>
  <c r="P1440" i="16" s="1"/>
  <c r="O1439" i="16"/>
  <c r="P1439" i="16" s="1"/>
  <c r="O1438" i="16"/>
  <c r="P1438" i="16" s="1"/>
  <c r="O1437" i="16"/>
  <c r="P1437" i="16" s="1"/>
  <c r="O1436" i="16"/>
  <c r="P1436" i="16" s="1"/>
  <c r="O1435" i="16"/>
  <c r="P1435" i="16" s="1"/>
  <c r="O1434" i="16"/>
  <c r="P1434" i="16" s="1"/>
  <c r="O1433" i="16"/>
  <c r="P1433" i="16" s="1"/>
  <c r="O1432" i="16"/>
  <c r="P1432" i="16" s="1"/>
  <c r="O1431" i="16"/>
  <c r="P1431" i="16" s="1"/>
  <c r="O1430" i="16"/>
  <c r="P1430" i="16" s="1"/>
  <c r="O1429" i="16"/>
  <c r="P1429" i="16" s="1"/>
  <c r="O1428" i="16"/>
  <c r="P1428" i="16" s="1"/>
  <c r="O1427" i="16"/>
  <c r="P1427" i="16" s="1"/>
  <c r="O1426" i="16"/>
  <c r="P1426" i="16" s="1"/>
  <c r="O1425" i="16"/>
  <c r="P1425" i="16" s="1"/>
  <c r="O1424" i="16"/>
  <c r="P1424" i="16" s="1"/>
  <c r="O1423" i="16"/>
  <c r="P1423" i="16" s="1"/>
  <c r="O1422" i="16"/>
  <c r="P1422" i="16" s="1"/>
  <c r="O1421" i="16"/>
  <c r="P1421" i="16" s="1"/>
  <c r="O1420" i="16"/>
  <c r="P1420" i="16" s="1"/>
  <c r="O1419" i="16"/>
  <c r="P1419" i="16" s="1"/>
  <c r="O1418" i="16"/>
  <c r="P1418" i="16" s="1"/>
  <c r="O1417" i="16"/>
  <c r="P1417" i="16" s="1"/>
  <c r="O1416" i="16"/>
  <c r="P1416" i="16" s="1"/>
  <c r="O1415" i="16"/>
  <c r="P1415" i="16" s="1"/>
  <c r="O1414" i="16"/>
  <c r="P1414" i="16" s="1"/>
  <c r="O1413" i="16"/>
  <c r="P1413" i="16" s="1"/>
  <c r="O1412" i="16"/>
  <c r="P1412" i="16" s="1"/>
  <c r="O1411" i="16"/>
  <c r="P1411" i="16" s="1"/>
  <c r="O1410" i="16"/>
  <c r="P1410" i="16" s="1"/>
  <c r="O1409" i="16"/>
  <c r="P1409" i="16" s="1"/>
  <c r="O1408" i="16"/>
  <c r="P1408" i="16" s="1"/>
  <c r="O1407" i="16"/>
  <c r="P1407" i="16" s="1"/>
  <c r="O1406" i="16"/>
  <c r="P1406" i="16" s="1"/>
  <c r="O1405" i="16"/>
  <c r="P1405" i="16" s="1"/>
  <c r="O1404" i="16"/>
  <c r="P1404" i="16" s="1"/>
  <c r="O1403" i="16"/>
  <c r="P1403" i="16" s="1"/>
  <c r="O1402" i="16"/>
  <c r="P1402" i="16" s="1"/>
  <c r="O1401" i="16"/>
  <c r="P1401" i="16" s="1"/>
  <c r="O1400" i="16"/>
  <c r="P1400" i="16" s="1"/>
  <c r="O1399" i="16"/>
  <c r="P1399" i="16" s="1"/>
  <c r="O1398" i="16"/>
  <c r="P1398" i="16" s="1"/>
  <c r="O1397" i="16"/>
  <c r="P1397" i="16" s="1"/>
  <c r="O1396" i="16"/>
  <c r="P1396" i="16" s="1"/>
  <c r="O1395" i="16"/>
  <c r="P1395" i="16" s="1"/>
  <c r="O1394" i="16"/>
  <c r="P1394" i="16" s="1"/>
  <c r="O1393" i="16"/>
  <c r="P1393" i="16" s="1"/>
  <c r="O1392" i="16"/>
  <c r="P1392" i="16" s="1"/>
  <c r="O1391" i="16"/>
  <c r="P1391" i="16" s="1"/>
  <c r="O1390" i="16"/>
  <c r="P1390" i="16" s="1"/>
  <c r="O1389" i="16"/>
  <c r="P1389" i="16" s="1"/>
  <c r="O1388" i="16"/>
  <c r="P1388" i="16" s="1"/>
  <c r="O1387" i="16"/>
  <c r="P1387" i="16" s="1"/>
  <c r="O1386" i="16"/>
  <c r="P1386" i="16" s="1"/>
  <c r="O1385" i="16"/>
  <c r="P1385" i="16" s="1"/>
  <c r="O1384" i="16"/>
  <c r="P1384" i="16" s="1"/>
  <c r="O1383" i="16"/>
  <c r="P1383" i="16" s="1"/>
  <c r="O1382" i="16"/>
  <c r="P1382" i="16" s="1"/>
  <c r="O1381" i="16"/>
  <c r="P1381" i="16" s="1"/>
  <c r="O1380" i="16"/>
  <c r="P1380" i="16" s="1"/>
  <c r="O1379" i="16"/>
  <c r="P1379" i="16" s="1"/>
  <c r="O1378" i="16"/>
  <c r="P1378" i="16" s="1"/>
  <c r="O1377" i="16"/>
  <c r="P1377" i="16" s="1"/>
  <c r="O1376" i="16"/>
  <c r="P1376" i="16" s="1"/>
  <c r="O1375" i="16"/>
  <c r="P1375" i="16" s="1"/>
  <c r="O1374" i="16"/>
  <c r="P1374" i="16" s="1"/>
  <c r="O1373" i="16"/>
  <c r="P1373" i="16" s="1"/>
  <c r="O1372" i="16"/>
  <c r="P1372" i="16" s="1"/>
  <c r="O1371" i="16"/>
  <c r="P1371" i="16" s="1"/>
  <c r="O1370" i="16"/>
  <c r="P1370" i="16" s="1"/>
  <c r="O1369" i="16"/>
  <c r="P1369" i="16" s="1"/>
  <c r="O1368" i="16"/>
  <c r="P1368" i="16" s="1"/>
  <c r="O1367" i="16"/>
  <c r="P1367" i="16" s="1"/>
  <c r="O1366" i="16"/>
  <c r="P1366" i="16" s="1"/>
  <c r="O1365" i="16"/>
  <c r="P1365" i="16" s="1"/>
  <c r="O1364" i="16"/>
  <c r="P1364" i="16" s="1"/>
  <c r="O1363" i="16"/>
  <c r="P1363" i="16" s="1"/>
  <c r="O1362" i="16"/>
  <c r="P1362" i="16" s="1"/>
  <c r="O1361" i="16"/>
  <c r="P1361" i="16" s="1"/>
  <c r="O1360" i="16"/>
  <c r="P1360" i="16" s="1"/>
  <c r="O1359" i="16"/>
  <c r="P1359" i="16" s="1"/>
  <c r="O1358" i="16"/>
  <c r="P1358" i="16" s="1"/>
  <c r="O1357" i="16"/>
  <c r="P1357" i="16" s="1"/>
  <c r="O1356" i="16"/>
  <c r="P1356" i="16" s="1"/>
  <c r="O1355" i="16"/>
  <c r="P1355" i="16" s="1"/>
  <c r="O1354" i="16"/>
  <c r="P1354" i="16" s="1"/>
  <c r="O1353" i="16"/>
  <c r="P1353" i="16" s="1"/>
  <c r="O1352" i="16"/>
  <c r="P1352" i="16" s="1"/>
  <c r="O1351" i="16"/>
  <c r="P1351" i="16" s="1"/>
  <c r="O1350" i="16"/>
  <c r="P1350" i="16" s="1"/>
  <c r="O1349" i="16"/>
  <c r="P1349" i="16" s="1"/>
  <c r="O1348" i="16"/>
  <c r="P1348" i="16" s="1"/>
  <c r="O1347" i="16"/>
  <c r="P1347" i="16" s="1"/>
  <c r="O1346" i="16"/>
  <c r="P1346" i="16" s="1"/>
  <c r="O1345" i="16"/>
  <c r="P1345" i="16" s="1"/>
  <c r="O1344" i="16"/>
  <c r="P1344" i="16" s="1"/>
  <c r="O1343" i="16"/>
  <c r="P1343" i="16" s="1"/>
  <c r="O1342" i="16"/>
  <c r="P1342" i="16" s="1"/>
  <c r="O1341" i="16"/>
  <c r="P1341" i="16" s="1"/>
  <c r="O1340" i="16"/>
  <c r="P1340" i="16" s="1"/>
  <c r="O1339" i="16"/>
  <c r="P1339" i="16" s="1"/>
  <c r="O1338" i="16"/>
  <c r="P1338" i="16" s="1"/>
  <c r="O1337" i="16"/>
  <c r="P1337" i="16" s="1"/>
  <c r="O1336" i="16"/>
  <c r="P1336" i="16" s="1"/>
  <c r="O1335" i="16"/>
  <c r="P1335" i="16" s="1"/>
  <c r="O1334" i="16"/>
  <c r="P1334" i="16" s="1"/>
  <c r="O1333" i="16"/>
  <c r="P1333" i="16" s="1"/>
  <c r="O1332" i="16"/>
  <c r="P1332" i="16" s="1"/>
  <c r="O1331" i="16"/>
  <c r="P1331" i="16" s="1"/>
  <c r="O1330" i="16"/>
  <c r="P1330" i="16" s="1"/>
  <c r="O1329" i="16"/>
  <c r="P1329" i="16" s="1"/>
  <c r="O1328" i="16"/>
  <c r="P1328" i="16" s="1"/>
  <c r="O1327" i="16"/>
  <c r="P1327" i="16" s="1"/>
  <c r="O1326" i="16"/>
  <c r="P1326" i="16" s="1"/>
  <c r="O1325" i="16"/>
  <c r="P1325" i="16" s="1"/>
  <c r="O1324" i="16"/>
  <c r="P1324" i="16" s="1"/>
  <c r="O1323" i="16"/>
  <c r="P1323" i="16" s="1"/>
  <c r="O1322" i="16"/>
  <c r="P1322" i="16" s="1"/>
  <c r="O1321" i="16"/>
  <c r="P1321" i="16" s="1"/>
  <c r="O1320" i="16"/>
  <c r="P1320" i="16" s="1"/>
  <c r="O1319" i="16"/>
  <c r="P1319" i="16" s="1"/>
  <c r="O1318" i="16"/>
  <c r="P1318" i="16" s="1"/>
  <c r="O1317" i="16"/>
  <c r="P1317" i="16" s="1"/>
  <c r="O1316" i="16"/>
  <c r="P1316" i="16" s="1"/>
  <c r="O1315" i="16"/>
  <c r="P1315" i="16" s="1"/>
  <c r="O1314" i="16"/>
  <c r="P1314" i="16" s="1"/>
  <c r="O1313" i="16"/>
  <c r="P1313" i="16" s="1"/>
  <c r="O1312" i="16"/>
  <c r="P1312" i="16" s="1"/>
  <c r="O1311" i="16"/>
  <c r="P1311" i="16" s="1"/>
  <c r="O1310" i="16"/>
  <c r="P1310" i="16" s="1"/>
  <c r="O1309" i="16"/>
  <c r="P1309" i="16" s="1"/>
  <c r="O1308" i="16"/>
  <c r="P1308" i="16" s="1"/>
  <c r="O1307" i="16"/>
  <c r="P1307" i="16" s="1"/>
  <c r="O1306" i="16"/>
  <c r="P1306" i="16" s="1"/>
  <c r="O1305" i="16"/>
  <c r="P1305" i="16" s="1"/>
  <c r="O1304" i="16"/>
  <c r="P1304" i="16" s="1"/>
  <c r="O1303" i="16"/>
  <c r="P1303" i="16" s="1"/>
  <c r="O1302" i="16"/>
  <c r="P1302" i="16" s="1"/>
  <c r="O1301" i="16"/>
  <c r="P1301" i="16" s="1"/>
  <c r="O1300" i="16"/>
  <c r="P1300" i="16" s="1"/>
  <c r="O1299" i="16"/>
  <c r="P1299" i="16" s="1"/>
  <c r="O1298" i="16"/>
  <c r="P1298" i="16" s="1"/>
  <c r="O1297" i="16"/>
  <c r="P1297" i="16" s="1"/>
  <c r="O1296" i="16"/>
  <c r="P1296" i="16" s="1"/>
  <c r="O1295" i="16"/>
  <c r="P1295" i="16" s="1"/>
  <c r="O1294" i="16"/>
  <c r="P1294" i="16" s="1"/>
  <c r="O1293" i="16"/>
  <c r="P1293" i="16" s="1"/>
  <c r="O1292" i="16"/>
  <c r="P1292" i="16" s="1"/>
  <c r="O1291" i="16"/>
  <c r="P1291" i="16" s="1"/>
  <c r="O1290" i="16"/>
  <c r="P1290" i="16" s="1"/>
  <c r="O1289" i="16"/>
  <c r="P1289" i="16" s="1"/>
  <c r="O1288" i="16"/>
  <c r="P1288" i="16" s="1"/>
  <c r="O1287" i="16"/>
  <c r="P1287" i="16" s="1"/>
  <c r="O1286" i="16"/>
  <c r="P1286" i="16" s="1"/>
  <c r="O1285" i="16"/>
  <c r="P1285" i="16" s="1"/>
  <c r="O1284" i="16"/>
  <c r="P1284" i="16" s="1"/>
  <c r="O1283" i="16"/>
  <c r="P1283" i="16" s="1"/>
  <c r="O1282" i="16"/>
  <c r="P1282" i="16" s="1"/>
  <c r="O1281" i="16"/>
  <c r="P1281" i="16" s="1"/>
  <c r="O1280" i="16"/>
  <c r="P1280" i="16" s="1"/>
  <c r="O1279" i="16"/>
  <c r="P1279" i="16" s="1"/>
  <c r="O1278" i="16"/>
  <c r="P1278" i="16" s="1"/>
  <c r="O1277" i="16"/>
  <c r="P1277" i="16" s="1"/>
  <c r="O1276" i="16"/>
  <c r="P1276" i="16" s="1"/>
  <c r="O1275" i="16"/>
  <c r="P1275" i="16" s="1"/>
  <c r="O1274" i="16"/>
  <c r="P1274" i="16" s="1"/>
  <c r="O1273" i="16"/>
  <c r="P1273" i="16" s="1"/>
  <c r="O1272" i="16"/>
  <c r="P1272" i="16" s="1"/>
  <c r="O1271" i="16"/>
  <c r="P1271" i="16" s="1"/>
  <c r="O1270" i="16"/>
  <c r="P1270" i="16" s="1"/>
  <c r="O1269" i="16"/>
  <c r="P1269" i="16" s="1"/>
  <c r="O1268" i="16"/>
  <c r="P1268" i="16" s="1"/>
  <c r="O1267" i="16"/>
  <c r="P1267" i="16" s="1"/>
  <c r="O1266" i="16"/>
  <c r="P1266" i="16" s="1"/>
  <c r="O1265" i="16"/>
  <c r="P1265" i="16" s="1"/>
  <c r="O1264" i="16"/>
  <c r="P1264" i="16" s="1"/>
  <c r="O1263" i="16"/>
  <c r="P1263" i="16" s="1"/>
  <c r="O1262" i="16"/>
  <c r="P1262" i="16" s="1"/>
  <c r="O1261" i="16"/>
  <c r="P1261" i="16" s="1"/>
  <c r="O1260" i="16"/>
  <c r="P1260" i="16" s="1"/>
  <c r="O1259" i="16"/>
  <c r="P1259" i="16" s="1"/>
  <c r="O1258" i="16"/>
  <c r="P1258" i="16" s="1"/>
  <c r="O1257" i="16"/>
  <c r="P1257" i="16" s="1"/>
  <c r="O1256" i="16"/>
  <c r="P1256" i="16" s="1"/>
  <c r="O1255" i="16"/>
  <c r="P1255" i="16" s="1"/>
  <c r="O1254" i="16"/>
  <c r="P1254" i="16" s="1"/>
  <c r="O1253" i="16"/>
  <c r="P1253" i="16" s="1"/>
  <c r="O1252" i="16"/>
  <c r="P1252" i="16" s="1"/>
  <c r="O1251" i="16"/>
  <c r="P1251" i="16" s="1"/>
  <c r="O1250" i="16"/>
  <c r="P1250" i="16" s="1"/>
  <c r="O1249" i="16"/>
  <c r="P1249" i="16" s="1"/>
  <c r="O1248" i="16"/>
  <c r="P1248" i="16" s="1"/>
  <c r="O1247" i="16"/>
  <c r="P1247" i="16" s="1"/>
  <c r="O1246" i="16"/>
  <c r="P1246" i="16" s="1"/>
  <c r="O1245" i="16"/>
  <c r="P1245" i="16" s="1"/>
  <c r="O1244" i="16"/>
  <c r="P1244" i="16" s="1"/>
  <c r="O1243" i="16"/>
  <c r="P1243" i="16" s="1"/>
  <c r="O1242" i="16"/>
  <c r="P1242" i="16" s="1"/>
  <c r="O1241" i="16"/>
  <c r="P1241" i="16" s="1"/>
  <c r="O1240" i="16"/>
  <c r="P1240" i="16" s="1"/>
  <c r="O1239" i="16"/>
  <c r="P1239" i="16" s="1"/>
  <c r="O1238" i="16"/>
  <c r="P1238" i="16" s="1"/>
  <c r="O1237" i="16"/>
  <c r="P1237" i="16" s="1"/>
  <c r="O1236" i="16"/>
  <c r="P1236" i="16" s="1"/>
  <c r="O1235" i="16"/>
  <c r="P1235" i="16" s="1"/>
  <c r="O1234" i="16"/>
  <c r="P1234" i="16" s="1"/>
  <c r="O1233" i="16"/>
  <c r="P1233" i="16" s="1"/>
  <c r="O1232" i="16"/>
  <c r="P1232" i="16" s="1"/>
  <c r="O1231" i="16"/>
  <c r="P1231" i="16" s="1"/>
  <c r="O1230" i="16"/>
  <c r="P1230" i="16" s="1"/>
  <c r="O1229" i="16"/>
  <c r="P1229" i="16" s="1"/>
  <c r="O1228" i="16"/>
  <c r="P1228" i="16" s="1"/>
  <c r="O1227" i="16"/>
  <c r="P1227" i="16" s="1"/>
  <c r="O1226" i="16"/>
  <c r="P1226" i="16" s="1"/>
  <c r="O1225" i="16"/>
  <c r="P1225" i="16" s="1"/>
  <c r="O1224" i="16"/>
  <c r="P1224" i="16" s="1"/>
  <c r="O1223" i="16"/>
  <c r="P1223" i="16" s="1"/>
  <c r="O1222" i="16"/>
  <c r="P1222" i="16" s="1"/>
  <c r="O1221" i="16"/>
  <c r="P1221" i="16" s="1"/>
  <c r="O1220" i="16"/>
  <c r="P1220" i="16" s="1"/>
  <c r="O1219" i="16"/>
  <c r="P1219" i="16" s="1"/>
  <c r="O1218" i="16"/>
  <c r="P1218" i="16" s="1"/>
  <c r="O1217" i="16"/>
  <c r="P1217" i="16" s="1"/>
  <c r="O1216" i="16"/>
  <c r="P1216" i="16" s="1"/>
  <c r="O1215" i="16"/>
  <c r="P1215" i="16" s="1"/>
  <c r="O1214" i="16"/>
  <c r="P1214" i="16" s="1"/>
  <c r="O1213" i="16"/>
  <c r="P1213" i="16" s="1"/>
  <c r="O1212" i="16"/>
  <c r="P1212" i="16" s="1"/>
  <c r="O1211" i="16"/>
  <c r="P1211" i="16" s="1"/>
  <c r="O1210" i="16"/>
  <c r="P1210" i="16" s="1"/>
  <c r="O1209" i="16"/>
  <c r="P1209" i="16" s="1"/>
  <c r="O1208" i="16"/>
  <c r="P1208" i="16" s="1"/>
  <c r="O1207" i="16"/>
  <c r="P1207" i="16" s="1"/>
  <c r="O1206" i="16"/>
  <c r="P1206" i="16" s="1"/>
  <c r="O1205" i="16"/>
  <c r="P1205" i="16" s="1"/>
  <c r="O1204" i="16"/>
  <c r="P1204" i="16" s="1"/>
  <c r="O1203" i="16"/>
  <c r="P1203" i="16" s="1"/>
  <c r="O1202" i="16"/>
  <c r="P1202" i="16" s="1"/>
  <c r="O1201" i="16"/>
  <c r="P1201" i="16" s="1"/>
  <c r="O1200" i="16"/>
  <c r="P1200" i="16" s="1"/>
  <c r="O1199" i="16"/>
  <c r="P1199" i="16" s="1"/>
  <c r="O1198" i="16"/>
  <c r="P1198" i="16" s="1"/>
  <c r="O1197" i="16"/>
  <c r="P1197" i="16" s="1"/>
  <c r="O1196" i="16"/>
  <c r="P1196" i="16" s="1"/>
  <c r="O1195" i="16"/>
  <c r="P1195" i="16" s="1"/>
  <c r="O1194" i="16"/>
  <c r="P1194" i="16" s="1"/>
  <c r="O1193" i="16"/>
  <c r="P1193" i="16" s="1"/>
  <c r="O1192" i="16"/>
  <c r="P1192" i="16" s="1"/>
  <c r="O1191" i="16"/>
  <c r="P1191" i="16" s="1"/>
  <c r="O1190" i="16"/>
  <c r="P1190" i="16" s="1"/>
  <c r="O1189" i="16"/>
  <c r="P1189" i="16" s="1"/>
  <c r="O1188" i="16"/>
  <c r="P1188" i="16" s="1"/>
  <c r="O1187" i="16"/>
  <c r="P1187" i="16" s="1"/>
  <c r="O1186" i="16"/>
  <c r="P1186" i="16" s="1"/>
  <c r="O1185" i="16"/>
  <c r="P1185" i="16" s="1"/>
  <c r="O1184" i="16"/>
  <c r="P1184" i="16" s="1"/>
  <c r="O1183" i="16"/>
  <c r="P1183" i="16" s="1"/>
  <c r="O1182" i="16"/>
  <c r="P1182" i="16" s="1"/>
  <c r="O1181" i="16"/>
  <c r="P1181" i="16" s="1"/>
  <c r="O1180" i="16"/>
  <c r="P1180" i="16" s="1"/>
  <c r="O1179" i="16"/>
  <c r="P1179" i="16" s="1"/>
  <c r="O1178" i="16"/>
  <c r="P1178" i="16" s="1"/>
  <c r="O1177" i="16"/>
  <c r="P1177" i="16" s="1"/>
  <c r="O1176" i="16"/>
  <c r="P1176" i="16" s="1"/>
  <c r="O1175" i="16"/>
  <c r="P1175" i="16" s="1"/>
  <c r="O1174" i="16"/>
  <c r="P1174" i="16" s="1"/>
  <c r="O1173" i="16"/>
  <c r="P1173" i="16" s="1"/>
  <c r="O1172" i="16"/>
  <c r="P1172" i="16" s="1"/>
  <c r="O1171" i="16"/>
  <c r="P1171" i="16" s="1"/>
  <c r="O1170" i="16"/>
  <c r="P1170" i="16" s="1"/>
  <c r="O1169" i="16"/>
  <c r="P1169" i="16" s="1"/>
  <c r="O1168" i="16"/>
  <c r="P1168" i="16" s="1"/>
  <c r="O1167" i="16"/>
  <c r="P1167" i="16" s="1"/>
  <c r="O1166" i="16"/>
  <c r="P1166" i="16" s="1"/>
  <c r="O1165" i="16"/>
  <c r="P1165" i="16" s="1"/>
  <c r="O1164" i="16"/>
  <c r="P1164" i="16" s="1"/>
  <c r="O1163" i="16"/>
  <c r="P1163" i="16" s="1"/>
  <c r="O1162" i="16"/>
  <c r="P1162" i="16" s="1"/>
  <c r="O1161" i="16"/>
  <c r="P1161" i="16" s="1"/>
  <c r="O1160" i="16"/>
  <c r="P1160" i="16" s="1"/>
  <c r="O1159" i="16"/>
  <c r="P1159" i="16" s="1"/>
  <c r="O1158" i="16"/>
  <c r="P1158" i="16" s="1"/>
  <c r="O1157" i="16"/>
  <c r="P1157" i="16" s="1"/>
  <c r="O1156" i="16"/>
  <c r="P1156" i="16" s="1"/>
  <c r="O1155" i="16"/>
  <c r="P1155" i="16" s="1"/>
  <c r="O1154" i="16"/>
  <c r="P1154" i="16" s="1"/>
  <c r="O1153" i="16"/>
  <c r="P1153" i="16" s="1"/>
  <c r="O1152" i="16"/>
  <c r="P1152" i="16" s="1"/>
  <c r="O1151" i="16"/>
  <c r="P1151" i="16" s="1"/>
  <c r="O1150" i="16"/>
  <c r="P1150" i="16" s="1"/>
  <c r="O1149" i="16"/>
  <c r="P1149" i="16" s="1"/>
  <c r="O1148" i="16"/>
  <c r="P1148" i="16" s="1"/>
  <c r="O1147" i="16"/>
  <c r="P1147" i="16" s="1"/>
  <c r="O1146" i="16"/>
  <c r="P1146" i="16" s="1"/>
  <c r="O1145" i="16"/>
  <c r="P1145" i="16" s="1"/>
  <c r="O1144" i="16"/>
  <c r="P1144" i="16" s="1"/>
  <c r="O1143" i="16"/>
  <c r="P1143" i="16" s="1"/>
  <c r="O1142" i="16"/>
  <c r="P1142" i="16" s="1"/>
  <c r="O1141" i="16"/>
  <c r="P1141" i="16" s="1"/>
  <c r="O1140" i="16"/>
  <c r="P1140" i="16" s="1"/>
  <c r="O1139" i="16"/>
  <c r="P1139" i="16" s="1"/>
  <c r="O1138" i="16"/>
  <c r="P1138" i="16" s="1"/>
  <c r="O1137" i="16"/>
  <c r="P1137" i="16" s="1"/>
  <c r="O1136" i="16"/>
  <c r="P1136" i="16" s="1"/>
  <c r="O1135" i="16"/>
  <c r="P1135" i="16" s="1"/>
  <c r="O1134" i="16"/>
  <c r="P1134" i="16" s="1"/>
  <c r="O1133" i="16"/>
  <c r="P1133" i="16" s="1"/>
  <c r="O1132" i="16"/>
  <c r="P1132" i="16" s="1"/>
  <c r="O1131" i="16"/>
  <c r="P1131" i="16" s="1"/>
  <c r="O1130" i="16"/>
  <c r="P1130" i="16" s="1"/>
  <c r="O1129" i="16"/>
  <c r="P1129" i="16" s="1"/>
  <c r="O1128" i="16"/>
  <c r="P1128" i="16" s="1"/>
  <c r="O1127" i="16"/>
  <c r="P1127" i="16" s="1"/>
  <c r="O1126" i="16"/>
  <c r="P1126" i="16" s="1"/>
  <c r="O1125" i="16"/>
  <c r="P1125" i="16" s="1"/>
  <c r="O1124" i="16"/>
  <c r="P1124" i="16" s="1"/>
  <c r="O1123" i="16"/>
  <c r="P1123" i="16" s="1"/>
  <c r="O1122" i="16"/>
  <c r="P1122" i="16" s="1"/>
  <c r="O1121" i="16"/>
  <c r="P1121" i="16" s="1"/>
  <c r="O1120" i="16"/>
  <c r="P1120" i="16" s="1"/>
  <c r="O1119" i="16"/>
  <c r="P1119" i="16" s="1"/>
  <c r="O1118" i="16"/>
  <c r="P1118" i="16" s="1"/>
  <c r="O1117" i="16"/>
  <c r="P1117" i="16" s="1"/>
  <c r="O1116" i="16"/>
  <c r="P1116" i="16" s="1"/>
  <c r="O1115" i="16"/>
  <c r="P1115" i="16" s="1"/>
  <c r="O1114" i="16"/>
  <c r="P1114" i="16" s="1"/>
  <c r="O1113" i="16"/>
  <c r="P1113" i="16" s="1"/>
  <c r="O1112" i="16"/>
  <c r="P1112" i="16" s="1"/>
  <c r="O1111" i="16"/>
  <c r="P1111" i="16" s="1"/>
  <c r="O1110" i="16"/>
  <c r="P1110" i="16" s="1"/>
  <c r="O1109" i="16"/>
  <c r="P1109" i="16" s="1"/>
  <c r="O1108" i="16"/>
  <c r="P1108" i="16" s="1"/>
  <c r="O1107" i="16"/>
  <c r="P1107" i="16" s="1"/>
  <c r="O1106" i="16"/>
  <c r="P1106" i="16" s="1"/>
  <c r="O1105" i="16"/>
  <c r="P1105" i="16" s="1"/>
  <c r="O1104" i="16"/>
  <c r="P1104" i="16" s="1"/>
  <c r="O1103" i="16"/>
  <c r="P1103" i="16" s="1"/>
  <c r="O1102" i="16"/>
  <c r="P1102" i="16" s="1"/>
  <c r="O1101" i="16"/>
  <c r="P1101" i="16" s="1"/>
  <c r="O1100" i="16"/>
  <c r="P1100" i="16" s="1"/>
  <c r="O1099" i="16"/>
  <c r="P1099" i="16" s="1"/>
  <c r="O1098" i="16"/>
  <c r="P1098" i="16" s="1"/>
  <c r="O1097" i="16"/>
  <c r="P1097" i="16" s="1"/>
  <c r="O1096" i="16"/>
  <c r="P1096" i="16" s="1"/>
  <c r="O1095" i="16"/>
  <c r="P1095" i="16" s="1"/>
  <c r="O1094" i="16"/>
  <c r="P1094" i="16" s="1"/>
  <c r="O1093" i="16"/>
  <c r="P1093" i="16" s="1"/>
  <c r="O1092" i="16"/>
  <c r="P1092" i="16" s="1"/>
  <c r="O1091" i="16"/>
  <c r="P1091" i="16" s="1"/>
  <c r="O1090" i="16"/>
  <c r="P1090" i="16" s="1"/>
  <c r="BI1087" i="16" l="1"/>
  <c r="AZ1087" i="16"/>
  <c r="BI1086" i="16"/>
  <c r="AZ1086" i="16"/>
  <c r="BI1085" i="16"/>
  <c r="AZ1085" i="16"/>
  <c r="BI1084" i="16"/>
  <c r="AZ1084" i="16"/>
  <c r="BI1083" i="16"/>
  <c r="AZ1083" i="16"/>
  <c r="BI1082" i="16"/>
  <c r="AZ1082" i="16"/>
  <c r="BI1081" i="16"/>
  <c r="AZ1081" i="16"/>
  <c r="BI1080" i="16"/>
  <c r="AZ1080" i="16"/>
  <c r="BI1079" i="16"/>
  <c r="AZ1079" i="16"/>
  <c r="BI1078" i="16"/>
  <c r="AZ1078" i="16"/>
  <c r="BI1077" i="16"/>
  <c r="AZ1077" i="16"/>
  <c r="BI1076" i="16"/>
  <c r="AZ1076" i="16"/>
  <c r="BI1075" i="16"/>
  <c r="AZ1075" i="16"/>
  <c r="BI1074" i="16"/>
  <c r="AZ1074" i="16"/>
  <c r="BI1073" i="16"/>
  <c r="AZ1073" i="16"/>
  <c r="BI1072" i="16"/>
  <c r="AZ1072" i="16"/>
  <c r="BI1071" i="16"/>
  <c r="AZ1071" i="16"/>
  <c r="BI1070" i="16"/>
  <c r="AZ1070" i="16"/>
  <c r="BI1069" i="16"/>
  <c r="AZ1069" i="16"/>
  <c r="BI1068" i="16"/>
  <c r="AZ1068" i="16"/>
  <c r="BI1067" i="16"/>
  <c r="AZ1067" i="16"/>
  <c r="BI1066" i="16"/>
  <c r="AZ1066" i="16"/>
  <c r="BI1065" i="16"/>
  <c r="AZ1065" i="16"/>
  <c r="BI1064" i="16"/>
  <c r="AZ1064" i="16"/>
  <c r="BI1063" i="16"/>
  <c r="AZ1063" i="16"/>
  <c r="BI1062" i="16"/>
  <c r="AZ1062" i="16"/>
  <c r="BI1061" i="16"/>
  <c r="AZ1061" i="16"/>
  <c r="BI1060" i="16"/>
  <c r="AZ1060" i="16"/>
  <c r="BI1059" i="16"/>
  <c r="AZ1059" i="16"/>
  <c r="BI1058" i="16"/>
  <c r="AZ1058" i="16"/>
  <c r="BI1057" i="16"/>
  <c r="AZ1057" i="16"/>
  <c r="BI1056" i="16"/>
  <c r="AZ1056" i="16"/>
  <c r="BI1055" i="16"/>
  <c r="AZ1055" i="16"/>
  <c r="BI1054" i="16"/>
  <c r="AZ1054" i="16"/>
  <c r="BI1053" i="16"/>
  <c r="AZ1053" i="16"/>
  <c r="BI1052" i="16"/>
  <c r="AZ1052" i="16"/>
  <c r="BI1051" i="16"/>
  <c r="AZ1051" i="16"/>
  <c r="BI1050" i="16"/>
  <c r="AZ1050" i="16"/>
  <c r="BI1049" i="16"/>
  <c r="AZ1049" i="16"/>
  <c r="BI1048" i="16"/>
  <c r="AZ1048" i="16"/>
  <c r="BI1047" i="16"/>
  <c r="AZ1047" i="16"/>
  <c r="BI1046" i="16"/>
  <c r="AZ1046" i="16"/>
  <c r="BI1045" i="16"/>
  <c r="AZ1045" i="16"/>
  <c r="BI1044" i="16"/>
  <c r="AZ1044" i="16"/>
  <c r="BI1043" i="16"/>
  <c r="AZ1043" i="16"/>
  <c r="BI1042" i="16"/>
  <c r="AZ1042" i="16"/>
  <c r="BI1041" i="16"/>
  <c r="AZ1041" i="16"/>
  <c r="BI1040" i="16"/>
  <c r="AZ1040" i="16"/>
  <c r="BI1039" i="16"/>
  <c r="AZ1039" i="16"/>
  <c r="BI1038" i="16"/>
  <c r="AZ1038" i="16"/>
  <c r="BI1037" i="16"/>
  <c r="AZ1037" i="16"/>
  <c r="BI1036" i="16"/>
  <c r="AZ1036" i="16"/>
  <c r="BI1035" i="16"/>
  <c r="AZ1035" i="16"/>
  <c r="BI1034" i="16"/>
  <c r="AZ1034" i="16"/>
  <c r="BI1033" i="16"/>
  <c r="AZ1033" i="16"/>
  <c r="BI1032" i="16"/>
  <c r="AZ1032" i="16"/>
  <c r="BI1031" i="16"/>
  <c r="AZ1031" i="16"/>
  <c r="BI1030" i="16"/>
  <c r="AZ1030" i="16"/>
  <c r="BI1029" i="16"/>
  <c r="AZ1029" i="16"/>
  <c r="BI1028" i="16"/>
  <c r="AZ1028" i="16"/>
  <c r="BI1027" i="16"/>
  <c r="AZ1027" i="16"/>
  <c r="BI1026" i="16"/>
  <c r="AZ1026" i="16"/>
  <c r="BI1025" i="16"/>
  <c r="AZ1025" i="16"/>
  <c r="BI1024" i="16"/>
  <c r="AZ1024" i="16"/>
  <c r="BI1023" i="16"/>
  <c r="AZ1023" i="16"/>
  <c r="BI1022" i="16"/>
  <c r="AZ1022" i="16"/>
  <c r="BI1021" i="16"/>
  <c r="AZ1021" i="16"/>
  <c r="BI1020" i="16"/>
  <c r="AZ1020" i="16"/>
  <c r="BI1019" i="16"/>
  <c r="AZ1019" i="16"/>
  <c r="BI1018" i="16"/>
  <c r="AZ1018" i="16"/>
  <c r="BI1017" i="16"/>
  <c r="AZ1017" i="16"/>
  <c r="BI1016" i="16"/>
  <c r="AZ1016" i="16"/>
  <c r="BI1015" i="16"/>
  <c r="AZ1015" i="16"/>
  <c r="BI1014" i="16"/>
  <c r="AZ1014" i="16"/>
  <c r="BI1013" i="16"/>
  <c r="AZ1013" i="16"/>
  <c r="BI1012" i="16"/>
  <c r="AZ1012" i="16"/>
  <c r="BI1011" i="16"/>
  <c r="AZ1011" i="16"/>
  <c r="BI1010" i="16"/>
  <c r="AZ1010" i="16"/>
  <c r="BI1009" i="16"/>
  <c r="AZ1009" i="16"/>
  <c r="BI1008" i="16"/>
  <c r="AZ1008" i="16"/>
  <c r="BI1007" i="16"/>
  <c r="AZ1007" i="16"/>
  <c r="BI1006" i="16"/>
  <c r="AZ1006" i="16"/>
  <c r="BI1005" i="16"/>
  <c r="AZ1005" i="16"/>
  <c r="BI1004" i="16"/>
  <c r="AZ1004" i="16"/>
  <c r="BI1003" i="16"/>
  <c r="AZ1003" i="16"/>
  <c r="BI1002" i="16"/>
  <c r="AZ1002" i="16"/>
  <c r="BI1001" i="16"/>
  <c r="AZ1001" i="16"/>
  <c r="BI1000" i="16"/>
  <c r="AZ1000" i="16"/>
  <c r="BI999" i="16"/>
  <c r="AZ999" i="16"/>
  <c r="BI998" i="16"/>
  <c r="AZ998" i="16"/>
  <c r="BI997" i="16"/>
  <c r="AZ997" i="16"/>
  <c r="BI996" i="16"/>
  <c r="AZ996" i="16"/>
  <c r="BI995" i="16"/>
  <c r="AZ995" i="16"/>
  <c r="BI994" i="16"/>
  <c r="AZ994" i="16"/>
  <c r="BI993" i="16"/>
  <c r="AZ993" i="16"/>
  <c r="BI992" i="16"/>
  <c r="AZ992" i="16"/>
  <c r="BI991" i="16"/>
  <c r="AZ991" i="16"/>
  <c r="BI990" i="16"/>
  <c r="AZ990" i="16"/>
  <c r="BI989" i="16"/>
  <c r="AZ989" i="16"/>
  <c r="BI988" i="16"/>
  <c r="AZ988" i="16"/>
  <c r="BI987" i="16"/>
  <c r="AZ987" i="16"/>
  <c r="BI986" i="16"/>
  <c r="AZ986" i="16"/>
  <c r="BI985" i="16"/>
  <c r="AZ985" i="16"/>
  <c r="BI984" i="16"/>
  <c r="AZ984" i="16"/>
  <c r="BI983" i="16"/>
  <c r="AZ983" i="16"/>
  <c r="BI982" i="16"/>
  <c r="AZ982" i="16"/>
  <c r="BI981" i="16"/>
  <c r="AZ981" i="16"/>
  <c r="BI980" i="16"/>
  <c r="AZ980" i="16"/>
  <c r="BI979" i="16"/>
  <c r="AZ979" i="16"/>
  <c r="BI978" i="16"/>
  <c r="AZ978" i="16"/>
  <c r="BI977" i="16"/>
  <c r="AZ977" i="16"/>
  <c r="BI976" i="16"/>
  <c r="AZ976" i="16"/>
  <c r="BI975" i="16"/>
  <c r="AZ975" i="16"/>
  <c r="BI974" i="16"/>
  <c r="AZ974" i="16"/>
  <c r="BI973" i="16"/>
  <c r="AZ973" i="16"/>
  <c r="BI972" i="16"/>
  <c r="AZ972" i="16"/>
  <c r="BI971" i="16"/>
  <c r="AZ971" i="16"/>
  <c r="BI970" i="16"/>
  <c r="AZ970" i="16"/>
  <c r="BI969" i="16"/>
  <c r="AZ969" i="16"/>
  <c r="BI968" i="16"/>
  <c r="AZ968" i="16"/>
  <c r="BI967" i="16"/>
  <c r="AZ967" i="16"/>
  <c r="BI966" i="16"/>
  <c r="AZ966" i="16"/>
  <c r="BI965" i="16"/>
  <c r="AZ965" i="16"/>
  <c r="BI964" i="16"/>
  <c r="AZ964" i="16"/>
  <c r="BI963" i="16"/>
  <c r="AZ963" i="16"/>
  <c r="BI962" i="16"/>
  <c r="AZ962" i="16"/>
  <c r="BI961" i="16"/>
  <c r="AZ961" i="16"/>
  <c r="BI960" i="16"/>
  <c r="AZ960" i="16"/>
  <c r="BI959" i="16"/>
  <c r="AZ959" i="16"/>
  <c r="BI958" i="16"/>
  <c r="AZ958" i="16"/>
  <c r="BI957" i="16"/>
  <c r="AZ957" i="16"/>
  <c r="BI956" i="16"/>
  <c r="AZ956" i="16"/>
  <c r="BI955" i="16"/>
  <c r="AZ955" i="16"/>
  <c r="BI954" i="16"/>
  <c r="AZ954" i="16"/>
  <c r="BI953" i="16"/>
  <c r="AZ953" i="16"/>
  <c r="BI952" i="16"/>
  <c r="AZ952" i="16"/>
  <c r="BI951" i="16"/>
  <c r="AZ951" i="16"/>
  <c r="BI950" i="16"/>
  <c r="AZ950" i="16"/>
  <c r="BI949" i="16"/>
  <c r="AZ949" i="16"/>
  <c r="BI948" i="16"/>
  <c r="AZ948" i="16"/>
  <c r="BI947" i="16"/>
  <c r="AZ947" i="16"/>
  <c r="BI946" i="16"/>
  <c r="AZ946" i="16"/>
  <c r="BI945" i="16"/>
  <c r="AZ945" i="16"/>
  <c r="BI944" i="16"/>
  <c r="AZ944" i="16"/>
  <c r="BI943" i="16"/>
  <c r="AZ943" i="16"/>
  <c r="BI942" i="16"/>
  <c r="AZ942" i="16"/>
  <c r="BI941" i="16"/>
  <c r="AZ941" i="16"/>
  <c r="BI940" i="16"/>
  <c r="AZ940" i="16"/>
  <c r="BI939" i="16"/>
  <c r="AZ939" i="16"/>
  <c r="BI938" i="16"/>
  <c r="AZ938" i="16"/>
  <c r="BI937" i="16"/>
  <c r="AZ937" i="16"/>
  <c r="BI936" i="16"/>
  <c r="AZ936" i="16"/>
  <c r="BI935" i="16"/>
  <c r="AZ935" i="16"/>
  <c r="BI934" i="16"/>
  <c r="AZ934" i="16"/>
  <c r="BI933" i="16"/>
  <c r="AZ933" i="16"/>
  <c r="BI932" i="16"/>
  <c r="AZ932" i="16"/>
  <c r="BI931" i="16"/>
  <c r="AZ931" i="16"/>
  <c r="BI930" i="16"/>
  <c r="AZ930" i="16"/>
  <c r="BI929" i="16"/>
  <c r="AZ929" i="16"/>
  <c r="BI928" i="16"/>
  <c r="AZ928" i="16"/>
  <c r="BI927" i="16"/>
  <c r="AZ927" i="16"/>
  <c r="BI926" i="16"/>
  <c r="AZ926" i="16"/>
  <c r="BI925" i="16"/>
  <c r="AZ925" i="16"/>
  <c r="BI924" i="16"/>
  <c r="AZ924" i="16"/>
  <c r="BI923" i="16"/>
  <c r="AZ923" i="16"/>
  <c r="BI922" i="16"/>
  <c r="AZ922" i="16"/>
  <c r="BI921" i="16"/>
  <c r="AZ921" i="16"/>
  <c r="BI920" i="16"/>
  <c r="AZ920" i="16"/>
  <c r="BI919" i="16"/>
  <c r="AZ919" i="16"/>
  <c r="BI918" i="16"/>
  <c r="AZ918" i="16"/>
  <c r="BI917" i="16"/>
  <c r="AZ917" i="16"/>
  <c r="BI916" i="16"/>
  <c r="AZ916" i="16"/>
  <c r="BI915" i="16"/>
  <c r="AZ915" i="16"/>
  <c r="BI914" i="16"/>
  <c r="AZ914" i="16"/>
  <c r="BI913" i="16"/>
  <c r="AZ913" i="16"/>
  <c r="BI912" i="16"/>
  <c r="AZ912" i="16"/>
  <c r="BI911" i="16"/>
  <c r="AZ911" i="16"/>
  <c r="BI910" i="16"/>
  <c r="AZ910" i="16"/>
  <c r="BI909" i="16"/>
  <c r="AZ909" i="16"/>
  <c r="BI908" i="16"/>
  <c r="AZ908" i="16"/>
  <c r="BI907" i="16"/>
  <c r="AZ907" i="16"/>
  <c r="BI906" i="16"/>
  <c r="AZ906" i="16"/>
  <c r="BI905" i="16"/>
  <c r="AZ905" i="16"/>
  <c r="BI904" i="16"/>
  <c r="AZ904" i="16"/>
  <c r="BI903" i="16"/>
  <c r="AZ903" i="16"/>
  <c r="BI902" i="16"/>
  <c r="AZ902" i="16"/>
  <c r="BI901" i="16"/>
  <c r="AZ901" i="16"/>
  <c r="BI900" i="16"/>
  <c r="AZ900" i="16"/>
  <c r="BI899" i="16"/>
  <c r="AZ899" i="16"/>
  <c r="BI898" i="16"/>
  <c r="AZ898" i="16"/>
  <c r="BI897" i="16"/>
  <c r="AZ897" i="16"/>
  <c r="BI896" i="16"/>
  <c r="AZ896" i="16"/>
  <c r="BI895" i="16"/>
  <c r="AZ895" i="16"/>
  <c r="BI894" i="16"/>
  <c r="AZ894" i="16"/>
  <c r="BI893" i="16"/>
  <c r="AZ893" i="16"/>
  <c r="BI892" i="16"/>
  <c r="AZ892" i="16"/>
  <c r="BI891" i="16"/>
  <c r="AZ891" i="16"/>
  <c r="BI890" i="16"/>
  <c r="AZ890" i="16"/>
  <c r="BI889" i="16"/>
  <c r="AZ889" i="16"/>
  <c r="BI888" i="16"/>
  <c r="AZ888" i="16"/>
  <c r="BI887" i="16"/>
  <c r="AZ887" i="16"/>
  <c r="BI886" i="16"/>
  <c r="AZ886" i="16"/>
  <c r="BI885" i="16"/>
  <c r="AZ885" i="16"/>
  <c r="BI884" i="16"/>
  <c r="AZ884" i="16"/>
  <c r="BI883" i="16"/>
  <c r="AZ883" i="16"/>
  <c r="BI882" i="16"/>
  <c r="AZ882" i="16"/>
  <c r="BI881" i="16"/>
  <c r="AZ881" i="16"/>
  <c r="BI880" i="16"/>
  <c r="AZ880" i="16"/>
  <c r="BI879" i="16"/>
  <c r="AZ879" i="16"/>
  <c r="BI878" i="16"/>
  <c r="AZ878" i="16"/>
  <c r="BI877" i="16"/>
  <c r="AZ877" i="16"/>
  <c r="BI876" i="16"/>
  <c r="AZ876" i="16"/>
  <c r="BI875" i="16"/>
  <c r="AZ875" i="16"/>
  <c r="BI874" i="16"/>
  <c r="AZ874" i="16"/>
  <c r="BI873" i="16"/>
  <c r="AZ873" i="16"/>
  <c r="BI872" i="16"/>
  <c r="AZ872" i="16"/>
  <c r="BI871" i="16"/>
  <c r="AZ871" i="16"/>
  <c r="BI870" i="16"/>
  <c r="AZ870" i="16"/>
  <c r="BI869" i="16"/>
  <c r="AZ869" i="16"/>
  <c r="BI868" i="16"/>
  <c r="AZ868" i="16"/>
  <c r="BI867" i="16"/>
  <c r="AZ867" i="16"/>
  <c r="BI866" i="16"/>
  <c r="AZ866" i="16"/>
  <c r="BI865" i="16"/>
  <c r="AZ865" i="16"/>
  <c r="BI864" i="16"/>
  <c r="AZ864" i="16"/>
  <c r="BI863" i="16"/>
  <c r="AZ863" i="16"/>
  <c r="BI862" i="16"/>
  <c r="AZ862" i="16"/>
  <c r="BI861" i="16"/>
  <c r="AZ861" i="16"/>
  <c r="BI860" i="16"/>
  <c r="AZ860" i="16"/>
  <c r="BI859" i="16"/>
  <c r="AZ859" i="16"/>
  <c r="BI858" i="16"/>
  <c r="AZ858" i="16"/>
  <c r="BI857" i="16"/>
  <c r="AZ857" i="16"/>
  <c r="BI856" i="16"/>
  <c r="AZ856" i="16"/>
  <c r="BI855" i="16"/>
  <c r="AZ855" i="16"/>
  <c r="BI854" i="16"/>
  <c r="AZ854" i="16"/>
  <c r="BI853" i="16"/>
  <c r="AZ853" i="16"/>
  <c r="BI852" i="16"/>
  <c r="AZ852" i="16"/>
  <c r="BI851" i="16"/>
  <c r="AZ851" i="16"/>
  <c r="BI850" i="16"/>
  <c r="AZ850" i="16"/>
  <c r="BI849" i="16"/>
  <c r="AZ849" i="16"/>
  <c r="BI848" i="16"/>
  <c r="AZ848" i="16"/>
  <c r="BI847" i="16"/>
  <c r="AZ847" i="16"/>
  <c r="BI846" i="16"/>
  <c r="AZ846" i="16"/>
  <c r="BI845" i="16"/>
  <c r="AZ845" i="16"/>
  <c r="BI844" i="16"/>
  <c r="AZ844" i="16"/>
  <c r="BI843" i="16"/>
  <c r="AZ843" i="16"/>
  <c r="BI842" i="16"/>
  <c r="AZ842" i="16"/>
  <c r="BI841" i="16"/>
  <c r="AZ841" i="16"/>
  <c r="BI840" i="16"/>
  <c r="AZ840" i="16"/>
  <c r="BI839" i="16"/>
  <c r="AZ839" i="16"/>
  <c r="BI838" i="16"/>
  <c r="AZ838" i="16"/>
  <c r="BI837" i="16"/>
  <c r="AZ837" i="16"/>
  <c r="BI836" i="16"/>
  <c r="AZ836" i="16"/>
  <c r="BI835" i="16"/>
  <c r="AZ835" i="16"/>
  <c r="BI834" i="16"/>
  <c r="AZ834" i="16"/>
  <c r="BI833" i="16"/>
  <c r="AZ833" i="16"/>
  <c r="BI832" i="16"/>
  <c r="AZ832" i="16"/>
  <c r="BI831" i="16"/>
  <c r="AZ831" i="16"/>
  <c r="BI830" i="16"/>
  <c r="AZ830" i="16"/>
  <c r="BI829" i="16"/>
  <c r="AZ829" i="16"/>
  <c r="BI828" i="16"/>
  <c r="AZ828" i="16"/>
  <c r="BI827" i="16"/>
  <c r="AZ827" i="16"/>
  <c r="BI826" i="16"/>
  <c r="AZ826" i="16"/>
  <c r="BI825" i="16"/>
  <c r="AZ825" i="16"/>
  <c r="BI824" i="16"/>
  <c r="AZ824" i="16"/>
  <c r="BI823" i="16"/>
  <c r="AZ823" i="16"/>
  <c r="BI822" i="16"/>
  <c r="AZ822" i="16"/>
  <c r="BI821" i="16"/>
  <c r="AZ821" i="16"/>
  <c r="BI820" i="16"/>
  <c r="AZ820" i="16"/>
  <c r="BI819" i="16"/>
  <c r="AZ819" i="16"/>
  <c r="BI818" i="16"/>
  <c r="AZ818" i="16"/>
  <c r="BI817" i="16"/>
  <c r="AZ817" i="16"/>
  <c r="BI816" i="16"/>
  <c r="AZ816" i="16"/>
  <c r="BI815" i="16"/>
  <c r="AZ815" i="16"/>
  <c r="BI814" i="16"/>
  <c r="AZ814" i="16"/>
  <c r="BI813" i="16"/>
  <c r="AZ813" i="16"/>
  <c r="BI812" i="16"/>
  <c r="AZ812" i="16"/>
  <c r="BI811" i="16"/>
  <c r="AZ811" i="16"/>
  <c r="BI810" i="16"/>
  <c r="AZ810" i="16"/>
  <c r="BI809" i="16"/>
  <c r="AZ809" i="16"/>
  <c r="BI808" i="16"/>
  <c r="AZ808" i="16"/>
  <c r="BI807" i="16"/>
  <c r="AZ807" i="16"/>
  <c r="BI806" i="16"/>
  <c r="AZ806" i="16"/>
  <c r="BI805" i="16"/>
  <c r="AZ805" i="16"/>
  <c r="BI804" i="16"/>
  <c r="AZ804" i="16"/>
  <c r="BI803" i="16"/>
  <c r="AZ803" i="16"/>
  <c r="BI802" i="16"/>
  <c r="AZ802" i="16"/>
  <c r="BI801" i="16"/>
  <c r="AZ801" i="16"/>
  <c r="BI800" i="16"/>
  <c r="AZ800" i="16"/>
  <c r="BI799" i="16"/>
  <c r="AZ799" i="16"/>
  <c r="BI798" i="16"/>
  <c r="AZ798" i="16"/>
  <c r="BI797" i="16"/>
  <c r="AZ797" i="16"/>
  <c r="BI796" i="16"/>
  <c r="AZ796" i="16"/>
  <c r="BI795" i="16"/>
  <c r="AZ795" i="16"/>
  <c r="BI794" i="16"/>
  <c r="AZ794" i="16"/>
  <c r="BI793" i="16"/>
  <c r="AZ793" i="16"/>
  <c r="BI792" i="16"/>
  <c r="AZ792" i="16"/>
  <c r="BI791" i="16"/>
  <c r="AZ791" i="16"/>
  <c r="BI790" i="16"/>
  <c r="AZ790" i="16"/>
  <c r="BI789" i="16"/>
  <c r="AZ789" i="16"/>
  <c r="BI788" i="16"/>
  <c r="AZ788" i="16"/>
  <c r="BI787" i="16"/>
  <c r="AZ787" i="16"/>
  <c r="BI786" i="16"/>
  <c r="AZ786" i="16"/>
  <c r="BI785" i="16"/>
  <c r="AZ785" i="16"/>
  <c r="BI784" i="16"/>
  <c r="AZ784" i="16"/>
  <c r="BI783" i="16"/>
  <c r="AZ783" i="16"/>
  <c r="BI782" i="16"/>
  <c r="AZ782" i="16"/>
  <c r="BI781" i="16"/>
  <c r="AZ781" i="16"/>
  <c r="BI780" i="16"/>
  <c r="AZ780" i="16"/>
  <c r="BI779" i="16"/>
  <c r="AZ779" i="16"/>
  <c r="BI778" i="16"/>
  <c r="AZ778" i="16"/>
  <c r="BI777" i="16"/>
  <c r="AZ777" i="16"/>
  <c r="BI776" i="16"/>
  <c r="AZ776" i="16"/>
  <c r="BI775" i="16"/>
  <c r="AZ775" i="16"/>
  <c r="BI774" i="16"/>
  <c r="AZ774" i="16"/>
  <c r="BI773" i="16"/>
  <c r="AZ773" i="16"/>
  <c r="BI772" i="16"/>
  <c r="AZ772" i="16"/>
  <c r="BI771" i="16"/>
  <c r="AZ771" i="16"/>
  <c r="BI770" i="16"/>
  <c r="AZ770" i="16"/>
  <c r="BI769" i="16"/>
  <c r="AZ769" i="16"/>
  <c r="BI768" i="16"/>
  <c r="AZ768" i="16"/>
  <c r="BI767" i="16"/>
  <c r="AZ767" i="16"/>
  <c r="BI766" i="16"/>
  <c r="AZ766" i="16"/>
  <c r="BI765" i="16"/>
  <c r="AZ765" i="16"/>
  <c r="BI764" i="16"/>
  <c r="AZ764" i="16"/>
  <c r="BI763" i="16"/>
  <c r="AZ763" i="16"/>
  <c r="BI762" i="16"/>
  <c r="AZ762" i="16"/>
  <c r="BI761" i="16"/>
  <c r="AZ761" i="16"/>
  <c r="BI760" i="16"/>
  <c r="AZ760" i="16"/>
  <c r="BI759" i="16"/>
  <c r="AZ759" i="16"/>
  <c r="BI758" i="16"/>
  <c r="AZ758" i="16"/>
  <c r="BI757" i="16"/>
  <c r="AZ757" i="16"/>
  <c r="BI756" i="16"/>
  <c r="AZ756" i="16"/>
  <c r="BI755" i="16"/>
  <c r="AZ755" i="16"/>
  <c r="BI754" i="16"/>
  <c r="AZ754" i="16"/>
  <c r="BI753" i="16"/>
  <c r="AZ753" i="16"/>
  <c r="BI752" i="16"/>
  <c r="AZ752" i="16"/>
  <c r="BI751" i="16"/>
  <c r="AZ751" i="16"/>
  <c r="BI750" i="16"/>
  <c r="AZ750" i="16"/>
  <c r="BI749" i="16"/>
  <c r="AZ749" i="16"/>
  <c r="BI748" i="16"/>
  <c r="AZ748" i="16"/>
  <c r="BI747" i="16"/>
  <c r="AZ747" i="16"/>
  <c r="BI746" i="16"/>
  <c r="AZ746" i="16"/>
  <c r="BI745" i="16"/>
  <c r="AZ745" i="16"/>
  <c r="BI744" i="16"/>
  <c r="AZ744" i="16"/>
  <c r="BI743" i="16"/>
  <c r="AZ743" i="16"/>
  <c r="BI742" i="16"/>
  <c r="AZ742" i="16"/>
  <c r="BI741" i="16"/>
  <c r="AZ741" i="16"/>
  <c r="BI740" i="16"/>
  <c r="AZ740" i="16"/>
  <c r="BI739" i="16"/>
  <c r="AZ739" i="16"/>
  <c r="BI738" i="16"/>
  <c r="AZ738" i="16"/>
  <c r="BI737" i="16"/>
  <c r="AZ737" i="16"/>
  <c r="BI736" i="16"/>
  <c r="AZ736" i="16"/>
  <c r="BI735" i="16"/>
  <c r="AZ735" i="16"/>
  <c r="BI734" i="16"/>
  <c r="AZ734" i="16"/>
  <c r="BI733" i="16"/>
  <c r="AZ733" i="16"/>
  <c r="BI732" i="16"/>
  <c r="AZ732" i="16"/>
  <c r="BI731" i="16"/>
  <c r="AZ731" i="16"/>
  <c r="BI730" i="16"/>
  <c r="AZ730" i="16"/>
  <c r="BI729" i="16"/>
  <c r="AZ729" i="16"/>
  <c r="BI728" i="16"/>
  <c r="AZ728" i="16"/>
  <c r="BI727" i="16"/>
  <c r="AZ727" i="16"/>
  <c r="BI726" i="16"/>
  <c r="AZ726" i="16"/>
  <c r="BI725" i="16"/>
  <c r="AZ725" i="16"/>
  <c r="BI724" i="16"/>
  <c r="AZ724" i="16"/>
  <c r="BI723" i="16"/>
  <c r="AZ723" i="16"/>
  <c r="BI722" i="16"/>
  <c r="AZ722" i="16"/>
  <c r="BI721" i="16"/>
  <c r="AZ721" i="16"/>
  <c r="BI720" i="16"/>
  <c r="AZ720" i="16"/>
  <c r="BI719" i="16"/>
  <c r="AZ719" i="16"/>
  <c r="BI718" i="16"/>
  <c r="AZ718" i="16"/>
  <c r="BI717" i="16"/>
  <c r="AZ717" i="16"/>
  <c r="BI716" i="16"/>
  <c r="AZ716" i="16"/>
  <c r="BI715" i="16"/>
  <c r="AZ715" i="16"/>
  <c r="BI714" i="16"/>
  <c r="AZ714" i="16"/>
  <c r="BI713" i="16"/>
  <c r="AZ713" i="16"/>
  <c r="BI712" i="16"/>
  <c r="AZ712" i="16"/>
  <c r="BI711" i="16"/>
  <c r="AZ711" i="16"/>
  <c r="BI710" i="16"/>
  <c r="AZ710" i="16"/>
  <c r="BI709" i="16"/>
  <c r="AZ709" i="16"/>
  <c r="BI708" i="16"/>
  <c r="AZ708" i="16"/>
  <c r="BI707" i="16"/>
  <c r="AZ707" i="16"/>
  <c r="BI706" i="16"/>
  <c r="AZ706" i="16"/>
  <c r="BI705" i="16"/>
  <c r="AZ705" i="16"/>
  <c r="BI704" i="16"/>
  <c r="AZ704" i="16"/>
  <c r="BI703" i="16"/>
  <c r="AZ703" i="16"/>
  <c r="BI702" i="16"/>
  <c r="AZ702" i="16"/>
  <c r="BI701" i="16"/>
  <c r="AZ701" i="16"/>
  <c r="BI700" i="16"/>
  <c r="AZ700" i="16"/>
  <c r="BI699" i="16"/>
  <c r="AZ699" i="16"/>
  <c r="BI698" i="16"/>
  <c r="AZ698" i="16"/>
  <c r="BI697" i="16"/>
  <c r="AZ697" i="16"/>
  <c r="BI696" i="16"/>
  <c r="AZ696" i="16"/>
  <c r="BI695" i="16"/>
  <c r="AZ695" i="16"/>
  <c r="BI694" i="16"/>
  <c r="AZ694" i="16"/>
  <c r="BI693" i="16"/>
  <c r="AZ693" i="16"/>
  <c r="BI692" i="16"/>
  <c r="AZ692" i="16"/>
  <c r="BI691" i="16"/>
  <c r="AZ691" i="16"/>
  <c r="BI690" i="16"/>
  <c r="AZ690" i="16"/>
  <c r="BI689" i="16"/>
  <c r="AZ689" i="16"/>
  <c r="BI688" i="16"/>
  <c r="AZ688" i="16"/>
  <c r="BI687" i="16"/>
  <c r="AZ687" i="16"/>
  <c r="BI686" i="16"/>
  <c r="AZ686" i="16"/>
  <c r="BI685" i="16"/>
  <c r="AZ685" i="16"/>
  <c r="BI684" i="16"/>
  <c r="AZ684" i="16"/>
  <c r="BI683" i="16"/>
  <c r="AZ683" i="16"/>
  <c r="BI682" i="16"/>
  <c r="AZ682" i="16"/>
  <c r="BI681" i="16"/>
  <c r="AZ681" i="16"/>
  <c r="BI680" i="16"/>
  <c r="AZ680" i="16"/>
  <c r="BI679" i="16"/>
  <c r="AZ679" i="16"/>
  <c r="BI678" i="16"/>
  <c r="AZ678" i="16"/>
  <c r="BI677" i="16"/>
  <c r="AZ677" i="16"/>
  <c r="BI676" i="16"/>
  <c r="AZ676" i="16"/>
  <c r="BI675" i="16"/>
  <c r="AZ675" i="16"/>
  <c r="BI674" i="16"/>
  <c r="AZ674" i="16"/>
  <c r="BI673" i="16"/>
  <c r="AZ673" i="16"/>
  <c r="BI672" i="16"/>
  <c r="AZ672" i="16"/>
  <c r="BI671" i="16"/>
  <c r="AZ671" i="16"/>
  <c r="BI670" i="16"/>
  <c r="AZ670" i="16"/>
  <c r="BI669" i="16"/>
  <c r="AZ669" i="16"/>
  <c r="BI668" i="16"/>
  <c r="AZ668" i="16"/>
  <c r="BI667" i="16"/>
  <c r="AZ667" i="16"/>
  <c r="BI666" i="16"/>
  <c r="AZ666" i="16"/>
  <c r="BI665" i="16"/>
  <c r="AZ665" i="16"/>
  <c r="BI664" i="16"/>
  <c r="AZ664" i="16"/>
  <c r="BI663" i="16"/>
  <c r="AZ663" i="16"/>
  <c r="BI662" i="16"/>
  <c r="AZ662" i="16"/>
  <c r="BI661" i="16"/>
  <c r="AZ661" i="16"/>
  <c r="BI660" i="16"/>
  <c r="AZ660" i="16"/>
  <c r="BI659" i="16"/>
  <c r="AZ659" i="16"/>
  <c r="BI658" i="16"/>
  <c r="AZ658" i="16"/>
  <c r="BI657" i="16"/>
  <c r="AZ657" i="16"/>
  <c r="BI656" i="16"/>
  <c r="AZ656" i="16"/>
  <c r="BI655" i="16"/>
  <c r="AZ655" i="16"/>
  <c r="BI654" i="16"/>
  <c r="AZ654" i="16"/>
  <c r="BI653" i="16"/>
  <c r="AZ653" i="16"/>
  <c r="BI652" i="16"/>
  <c r="AZ652" i="16"/>
  <c r="BI651" i="16"/>
  <c r="AZ651" i="16"/>
  <c r="BI650" i="16"/>
  <c r="AZ650" i="16"/>
  <c r="BI649" i="16"/>
  <c r="AZ649" i="16"/>
  <c r="BI648" i="16"/>
  <c r="AZ648" i="16"/>
  <c r="BI647" i="16"/>
  <c r="AZ647" i="16"/>
  <c r="BI646" i="16"/>
  <c r="AZ646" i="16"/>
  <c r="BI645" i="16"/>
  <c r="AZ645" i="16"/>
  <c r="BI644" i="16"/>
  <c r="AZ644" i="16"/>
  <c r="BI643" i="16"/>
  <c r="AZ643" i="16"/>
  <c r="BI642" i="16"/>
  <c r="AZ642" i="16"/>
  <c r="BI641" i="16"/>
  <c r="AZ641" i="16"/>
  <c r="BI640" i="16"/>
  <c r="AZ640" i="16"/>
  <c r="BI639" i="16"/>
  <c r="AZ639" i="16"/>
  <c r="BI638" i="16"/>
  <c r="AZ638" i="16"/>
  <c r="BI637" i="16"/>
  <c r="AZ637" i="16"/>
  <c r="BI636" i="16"/>
  <c r="AZ636" i="16"/>
  <c r="BI635" i="16"/>
  <c r="AZ635" i="16"/>
  <c r="BI634" i="16"/>
  <c r="AZ634" i="16"/>
  <c r="BI633" i="16"/>
  <c r="AZ633" i="16"/>
  <c r="BI632" i="16"/>
  <c r="AZ632" i="16"/>
  <c r="BI631" i="16"/>
  <c r="AZ631" i="16"/>
  <c r="BI630" i="16"/>
  <c r="AZ630" i="16"/>
  <c r="BI629" i="16"/>
  <c r="AZ629" i="16"/>
  <c r="BI628" i="16"/>
  <c r="AZ628" i="16"/>
  <c r="BI627" i="16"/>
  <c r="AZ627" i="16"/>
  <c r="BI626" i="16"/>
  <c r="AZ626" i="16"/>
  <c r="BI625" i="16"/>
  <c r="AZ625" i="16"/>
  <c r="BI624" i="16"/>
  <c r="AZ624" i="16"/>
  <c r="BI623" i="16"/>
  <c r="AZ623" i="16"/>
  <c r="BI622" i="16"/>
  <c r="AZ622" i="16"/>
  <c r="BI621" i="16"/>
  <c r="AZ621" i="16"/>
  <c r="BI620" i="16"/>
  <c r="AZ620" i="16"/>
  <c r="BI619" i="16"/>
  <c r="AZ619" i="16"/>
  <c r="BI618" i="16"/>
  <c r="AZ618" i="16"/>
  <c r="BI617" i="16"/>
  <c r="AZ617" i="16"/>
  <c r="BI616" i="16"/>
  <c r="AZ616" i="16"/>
  <c r="BI615" i="16"/>
  <c r="AZ615" i="16"/>
  <c r="BI614" i="16"/>
  <c r="AZ614" i="16"/>
  <c r="BI613" i="16"/>
  <c r="AZ613" i="16"/>
  <c r="BI612" i="16"/>
  <c r="AZ612" i="16"/>
  <c r="BI611" i="16"/>
  <c r="AZ611" i="16"/>
  <c r="BI610" i="16"/>
  <c r="AZ610" i="16"/>
  <c r="BI609" i="16"/>
  <c r="AZ609" i="16"/>
  <c r="BI608" i="16"/>
  <c r="AZ608" i="16"/>
  <c r="BI607" i="16"/>
  <c r="AZ607" i="16"/>
  <c r="BI606" i="16"/>
  <c r="AZ606" i="16"/>
  <c r="BI605" i="16"/>
  <c r="AZ605" i="16"/>
  <c r="BI604" i="16"/>
  <c r="AZ604" i="16"/>
  <c r="BI603" i="16"/>
  <c r="AZ603" i="16"/>
  <c r="BI602" i="16"/>
  <c r="AZ602" i="16"/>
  <c r="BI601" i="16"/>
  <c r="AZ601" i="16"/>
  <c r="BI600" i="16"/>
  <c r="AZ600" i="16"/>
  <c r="BI599" i="16"/>
  <c r="AZ599" i="16"/>
  <c r="BI598" i="16"/>
  <c r="AZ598" i="16"/>
  <c r="BI597" i="16"/>
  <c r="AZ597" i="16"/>
  <c r="BI596" i="16"/>
  <c r="AZ596" i="16"/>
  <c r="BI595" i="16"/>
  <c r="AZ595" i="16"/>
  <c r="BI594" i="16"/>
  <c r="AZ594" i="16"/>
  <c r="BI593" i="16"/>
  <c r="AZ593" i="16"/>
  <c r="BI592" i="16"/>
  <c r="AZ592" i="16"/>
  <c r="BI591" i="16"/>
  <c r="AZ591" i="16"/>
  <c r="BI590" i="16"/>
  <c r="AZ590" i="16"/>
  <c r="BI589" i="16"/>
  <c r="AZ589" i="16"/>
  <c r="BI588" i="16"/>
  <c r="AZ588" i="16"/>
  <c r="BI587" i="16"/>
  <c r="AZ587" i="16"/>
  <c r="BI586" i="16"/>
  <c r="AZ586" i="16"/>
  <c r="BI585" i="16"/>
  <c r="AZ585" i="16"/>
  <c r="BI584" i="16"/>
  <c r="AZ584" i="16"/>
  <c r="BI583" i="16"/>
  <c r="AZ583" i="16"/>
  <c r="BI582" i="16"/>
  <c r="AZ582" i="16"/>
  <c r="BI581" i="16"/>
  <c r="AZ581" i="16"/>
  <c r="BI580" i="16"/>
  <c r="AZ580" i="16"/>
  <c r="BI579" i="16"/>
  <c r="AZ579" i="16"/>
  <c r="BI578" i="16"/>
  <c r="AZ578" i="16"/>
  <c r="BI577" i="16"/>
  <c r="AZ577" i="16"/>
  <c r="BI576" i="16"/>
  <c r="AZ576" i="16"/>
  <c r="BI575" i="16"/>
  <c r="AZ575" i="16"/>
  <c r="BI574" i="16"/>
  <c r="AZ574" i="16"/>
  <c r="BI573" i="16"/>
  <c r="AZ573" i="16"/>
  <c r="BI572" i="16"/>
  <c r="AZ572" i="16"/>
  <c r="BI571" i="16"/>
  <c r="AZ571" i="16"/>
  <c r="BI570" i="16"/>
  <c r="AZ570" i="16"/>
  <c r="BI569" i="16"/>
  <c r="AZ569" i="16"/>
  <c r="BI568" i="16"/>
  <c r="AZ568" i="16"/>
  <c r="BI567" i="16"/>
  <c r="AZ567" i="16"/>
  <c r="BI566" i="16"/>
  <c r="AZ566" i="16"/>
  <c r="BI565" i="16"/>
  <c r="AZ565" i="16"/>
  <c r="BI564" i="16"/>
  <c r="AZ564" i="16"/>
  <c r="BI563" i="16"/>
  <c r="AZ563" i="16"/>
  <c r="BI562" i="16"/>
  <c r="AZ562" i="16"/>
  <c r="BI561" i="16"/>
  <c r="AZ561" i="16"/>
  <c r="BI560" i="16"/>
  <c r="AZ560" i="16"/>
  <c r="BI559" i="16"/>
  <c r="AZ559" i="16"/>
  <c r="BI558" i="16"/>
  <c r="AZ558" i="16"/>
  <c r="BI557" i="16"/>
  <c r="AZ557" i="16"/>
  <c r="BI556" i="16"/>
  <c r="AZ556" i="16"/>
  <c r="BI555" i="16"/>
  <c r="AZ555" i="16"/>
  <c r="BI554" i="16"/>
  <c r="AZ554" i="16"/>
  <c r="BI553" i="16"/>
  <c r="AZ553" i="16"/>
  <c r="BI552" i="16"/>
  <c r="AZ552" i="16"/>
  <c r="BI551" i="16"/>
  <c r="AZ551" i="16"/>
  <c r="BI550" i="16"/>
  <c r="AZ550" i="16"/>
  <c r="BI549" i="16"/>
  <c r="AZ549" i="16"/>
  <c r="BI548" i="16"/>
  <c r="AZ548" i="16"/>
  <c r="BI547" i="16"/>
  <c r="AZ547" i="16"/>
  <c r="E22" i="12"/>
  <c r="E23" i="12"/>
  <c r="E21" i="12"/>
  <c r="BH3" i="16"/>
  <c r="BG3" i="16"/>
  <c r="BF3" i="16"/>
  <c r="BE3" i="16"/>
  <c r="BD3" i="16"/>
  <c r="BC3" i="16"/>
  <c r="BB3" i="16"/>
  <c r="BH2" i="16"/>
  <c r="BG2" i="16"/>
  <c r="BF2" i="16"/>
  <c r="BE2" i="16"/>
  <c r="BD2" i="16"/>
  <c r="BB2" i="16"/>
  <c r="E2" i="5"/>
  <c r="D2" i="5"/>
  <c r="D109" i="5" s="1"/>
  <c r="BM451" i="16" l="1"/>
  <c r="BM455" i="16"/>
  <c r="BN455" i="16" s="1"/>
  <c r="BM459" i="16"/>
  <c r="BM463" i="16"/>
  <c r="BN463" i="16" s="1"/>
  <c r="BM467" i="16"/>
  <c r="BM471" i="16"/>
  <c r="BN471" i="16" s="1"/>
  <c r="BM475" i="16"/>
  <c r="BN475" i="16" s="1"/>
  <c r="BM479" i="16"/>
  <c r="BN479" i="16" s="1"/>
  <c r="BM483" i="16"/>
  <c r="BN483" i="16" s="1"/>
  <c r="BM487" i="16"/>
  <c r="BN487" i="16" s="1"/>
  <c r="BM491" i="16"/>
  <c r="BN491" i="16" s="1"/>
  <c r="BM495" i="16"/>
  <c r="BN495" i="16" s="1"/>
  <c r="BM499" i="16"/>
  <c r="BM503" i="16"/>
  <c r="BN503" i="16" s="1"/>
  <c r="BM507" i="16"/>
  <c r="BN507" i="16" s="1"/>
  <c r="BM511" i="16"/>
  <c r="BN511" i="16" s="1"/>
  <c r="BM515" i="16"/>
  <c r="BN515" i="16" s="1"/>
  <c r="BM519" i="16"/>
  <c r="BN519" i="16" s="1"/>
  <c r="BM523" i="16"/>
  <c r="BN523" i="16" s="1"/>
  <c r="BM527" i="16"/>
  <c r="BN527" i="16" s="1"/>
  <c r="BM531" i="16"/>
  <c r="BN531" i="16" s="1"/>
  <c r="BM535" i="16"/>
  <c r="BN535" i="16" s="1"/>
  <c r="BM539" i="16"/>
  <c r="BN539" i="16" s="1"/>
  <c r="BM452" i="16"/>
  <c r="BN452" i="16" s="1"/>
  <c r="BM457" i="16"/>
  <c r="BM462" i="16"/>
  <c r="BN462" i="16" s="1"/>
  <c r="BM468" i="16"/>
  <c r="BN468" i="16" s="1"/>
  <c r="BM473" i="16"/>
  <c r="BN473" i="16" s="1"/>
  <c r="BM478" i="16"/>
  <c r="BM484" i="16"/>
  <c r="BN484" i="16" s="1"/>
  <c r="BM489" i="16"/>
  <c r="BN489" i="16" s="1"/>
  <c r="BM494" i="16"/>
  <c r="BN494" i="16" s="1"/>
  <c r="BM500" i="16"/>
  <c r="BN500" i="16" s="1"/>
  <c r="BM505" i="16"/>
  <c r="BN505" i="16" s="1"/>
  <c r="BM510" i="16"/>
  <c r="BN510" i="16" s="1"/>
  <c r="BM516" i="16"/>
  <c r="BN516" i="16" s="1"/>
  <c r="BM521" i="16"/>
  <c r="BM526" i="16"/>
  <c r="BN526" i="16" s="1"/>
  <c r="BM532" i="16"/>
  <c r="BM537" i="16"/>
  <c r="BN537" i="16" s="1"/>
  <c r="BM542" i="16"/>
  <c r="BM453" i="16"/>
  <c r="BN453" i="16" s="1"/>
  <c r="BM460" i="16"/>
  <c r="BN460" i="16" s="1"/>
  <c r="BM466" i="16"/>
  <c r="BN466" i="16" s="1"/>
  <c r="BM474" i="16"/>
  <c r="BN474" i="16" s="1"/>
  <c r="BM481" i="16"/>
  <c r="BN481" i="16" s="1"/>
  <c r="BM488" i="16"/>
  <c r="BN488" i="16" s="1"/>
  <c r="BM496" i="16"/>
  <c r="BN496" i="16" s="1"/>
  <c r="BM502" i="16"/>
  <c r="BM509" i="16"/>
  <c r="BM517" i="16"/>
  <c r="BN517" i="16" s="1"/>
  <c r="BM524" i="16"/>
  <c r="BN524" i="16" s="1"/>
  <c r="BM530" i="16"/>
  <c r="BN530" i="16" s="1"/>
  <c r="BM538" i="16"/>
  <c r="BN538" i="16" s="1"/>
  <c r="BM544" i="16"/>
  <c r="BN544" i="16" s="1"/>
  <c r="BM454" i="16"/>
  <c r="BN454" i="16" s="1"/>
  <c r="BM461" i="16"/>
  <c r="BN461" i="16" s="1"/>
  <c r="BM469" i="16"/>
  <c r="BN469" i="16" s="1"/>
  <c r="BM476" i="16"/>
  <c r="BN476" i="16" s="1"/>
  <c r="BM482" i="16"/>
  <c r="BN482" i="16" s="1"/>
  <c r="BM490" i="16"/>
  <c r="BM497" i="16"/>
  <c r="BM504" i="16"/>
  <c r="BM512" i="16"/>
  <c r="BN512" i="16" s="1"/>
  <c r="BM518" i="16"/>
  <c r="BN518" i="16" s="1"/>
  <c r="BM525" i="16"/>
  <c r="BN525" i="16" s="1"/>
  <c r="BM533" i="16"/>
  <c r="BN533" i="16" s="1"/>
  <c r="BM540" i="16"/>
  <c r="BN540" i="16" s="1"/>
  <c r="BM545" i="16"/>
  <c r="BN545" i="16" s="1"/>
  <c r="BM450" i="16"/>
  <c r="BN450" i="16" s="1"/>
  <c r="BM465" i="16"/>
  <c r="BN465" i="16" s="1"/>
  <c r="BM480" i="16"/>
  <c r="BN480" i="16" s="1"/>
  <c r="BM493" i="16"/>
  <c r="BM508" i="16"/>
  <c r="BN508" i="16" s="1"/>
  <c r="BM522" i="16"/>
  <c r="BM536" i="16"/>
  <c r="BN536" i="16" s="1"/>
  <c r="BM456" i="16"/>
  <c r="BN456" i="16" s="1"/>
  <c r="BM470" i="16"/>
  <c r="BM485" i="16"/>
  <c r="BN485" i="16" s="1"/>
  <c r="BM498" i="16"/>
  <c r="BN498" i="16" s="1"/>
  <c r="BM513" i="16"/>
  <c r="BN513" i="16" s="1"/>
  <c r="BM528" i="16"/>
  <c r="BN528" i="16" s="1"/>
  <c r="BM541" i="16"/>
  <c r="BN541" i="16" s="1"/>
  <c r="BM458" i="16"/>
  <c r="BN458" i="16" s="1"/>
  <c r="BM472" i="16"/>
  <c r="BM486" i="16"/>
  <c r="BN486" i="16" s="1"/>
  <c r="BM501" i="16"/>
  <c r="BM514" i="16"/>
  <c r="BN514" i="16" s="1"/>
  <c r="BM529" i="16"/>
  <c r="BM543" i="16"/>
  <c r="BN543" i="16" s="1"/>
  <c r="BM464" i="16"/>
  <c r="BN464" i="16" s="1"/>
  <c r="BM520" i="16"/>
  <c r="BN520" i="16" s="1"/>
  <c r="BM477" i="16"/>
  <c r="BN477" i="16" s="1"/>
  <c r="BM534" i="16"/>
  <c r="BN534" i="16" s="1"/>
  <c r="BM492" i="16"/>
  <c r="BN492" i="16" s="1"/>
  <c r="BM449" i="16"/>
  <c r="BN449" i="16" s="1"/>
  <c r="BM506" i="16"/>
  <c r="BO1086" i="16"/>
  <c r="BP1086" i="16" s="1"/>
  <c r="BO751" i="16"/>
  <c r="BP751" i="16" s="1"/>
  <c r="BO655" i="16"/>
  <c r="BP655" i="16" s="1"/>
  <c r="BO892" i="16"/>
  <c r="BP892" i="16" s="1"/>
  <c r="BO813" i="16"/>
  <c r="BP813" i="16" s="1"/>
  <c r="BO559" i="16"/>
  <c r="BP559" i="16" s="1"/>
  <c r="BO687" i="16"/>
  <c r="BP687" i="16" s="1"/>
  <c r="BO877" i="16"/>
  <c r="BP877" i="16" s="1"/>
  <c r="BO1066" i="16"/>
  <c r="BP1066" i="16" s="1"/>
  <c r="BO591" i="16"/>
  <c r="BP591" i="16" s="1"/>
  <c r="BO719" i="16"/>
  <c r="BP719" i="16" s="1"/>
  <c r="BO623" i="16"/>
  <c r="BP623" i="16" s="1"/>
  <c r="BO563" i="16"/>
  <c r="BP563" i="16" s="1"/>
  <c r="BO595" i="16"/>
  <c r="BP595" i="16" s="1"/>
  <c r="BO627" i="16"/>
  <c r="BP627" i="16" s="1"/>
  <c r="BO659" i="16"/>
  <c r="BP659" i="16" s="1"/>
  <c r="BO691" i="16"/>
  <c r="BP691" i="16" s="1"/>
  <c r="BO723" i="16"/>
  <c r="BP723" i="16" s="1"/>
  <c r="BO757" i="16"/>
  <c r="BP757" i="16" s="1"/>
  <c r="BO821" i="16"/>
  <c r="BP821" i="16" s="1"/>
  <c r="BO885" i="16"/>
  <c r="BP885" i="16" s="1"/>
  <c r="BO908" i="16"/>
  <c r="BP908" i="16" s="1"/>
  <c r="BO1082" i="16"/>
  <c r="BP1082" i="16" s="1"/>
  <c r="BO575" i="16"/>
  <c r="BP575" i="16" s="1"/>
  <c r="BO607" i="16"/>
  <c r="BP607" i="16" s="1"/>
  <c r="BO639" i="16"/>
  <c r="BP639" i="16" s="1"/>
  <c r="BO671" i="16"/>
  <c r="BP671" i="16" s="1"/>
  <c r="BO703" i="16"/>
  <c r="BP703" i="16" s="1"/>
  <c r="BO735" i="16"/>
  <c r="BP735" i="16" s="1"/>
  <c r="BO781" i="16"/>
  <c r="BP781" i="16" s="1"/>
  <c r="BO845" i="16"/>
  <c r="BP845" i="16" s="1"/>
  <c r="BO956" i="16"/>
  <c r="BP956" i="16" s="1"/>
  <c r="BO579" i="16"/>
  <c r="BP579" i="16" s="1"/>
  <c r="BO611" i="16"/>
  <c r="BP611" i="16" s="1"/>
  <c r="BO643" i="16"/>
  <c r="BP643" i="16" s="1"/>
  <c r="BO675" i="16"/>
  <c r="BP675" i="16" s="1"/>
  <c r="BO707" i="16"/>
  <c r="BP707" i="16" s="1"/>
  <c r="BO739" i="16"/>
  <c r="BP739" i="16" s="1"/>
  <c r="BO789" i="16"/>
  <c r="BP789" i="16" s="1"/>
  <c r="BO853" i="16"/>
  <c r="BP853" i="16" s="1"/>
  <c r="BO972" i="16"/>
  <c r="BP972" i="16" s="1"/>
  <c r="BO551" i="16"/>
  <c r="BP551" i="16" s="1"/>
  <c r="BO567" i="16"/>
  <c r="BP567" i="16" s="1"/>
  <c r="BO583" i="16"/>
  <c r="BP583" i="16" s="1"/>
  <c r="BO599" i="16"/>
  <c r="BP599" i="16" s="1"/>
  <c r="BO615" i="16"/>
  <c r="BP615" i="16" s="1"/>
  <c r="BO631" i="16"/>
  <c r="BP631" i="16" s="1"/>
  <c r="BO647" i="16"/>
  <c r="BP647" i="16" s="1"/>
  <c r="BO663" i="16"/>
  <c r="BP663" i="16" s="1"/>
  <c r="BO679" i="16"/>
  <c r="BP679" i="16" s="1"/>
  <c r="BO695" i="16"/>
  <c r="BP695" i="16" s="1"/>
  <c r="BO711" i="16"/>
  <c r="BP711" i="16" s="1"/>
  <c r="BO727" i="16"/>
  <c r="BP727" i="16" s="1"/>
  <c r="BO743" i="16"/>
  <c r="BP743" i="16" s="1"/>
  <c r="BO765" i="16"/>
  <c r="BP765" i="16" s="1"/>
  <c r="BO797" i="16"/>
  <c r="BP797" i="16" s="1"/>
  <c r="BO829" i="16"/>
  <c r="BP829" i="16" s="1"/>
  <c r="BO861" i="16"/>
  <c r="BP861" i="16" s="1"/>
  <c r="BO924" i="16"/>
  <c r="BP924" i="16" s="1"/>
  <c r="BO988" i="16"/>
  <c r="BP988" i="16" s="1"/>
  <c r="BO1009" i="16"/>
  <c r="BP1009" i="16" s="1"/>
  <c r="BO1034" i="16"/>
  <c r="BP1034" i="16" s="1"/>
  <c r="BO555" i="16"/>
  <c r="BP555" i="16" s="1"/>
  <c r="BO571" i="16"/>
  <c r="BP571" i="16" s="1"/>
  <c r="BO587" i="16"/>
  <c r="BP587" i="16" s="1"/>
  <c r="BO603" i="16"/>
  <c r="BP603" i="16" s="1"/>
  <c r="BO619" i="16"/>
  <c r="BP619" i="16" s="1"/>
  <c r="BO635" i="16"/>
  <c r="BP635" i="16" s="1"/>
  <c r="BO651" i="16"/>
  <c r="BP651" i="16" s="1"/>
  <c r="BO667" i="16"/>
  <c r="BP667" i="16" s="1"/>
  <c r="BO683" i="16"/>
  <c r="BP683" i="16" s="1"/>
  <c r="BO699" i="16"/>
  <c r="BP699" i="16" s="1"/>
  <c r="BO715" i="16"/>
  <c r="BP715" i="16" s="1"/>
  <c r="BO731" i="16"/>
  <c r="BP731" i="16" s="1"/>
  <c r="BO747" i="16"/>
  <c r="BP747" i="16" s="1"/>
  <c r="BO773" i="16"/>
  <c r="BP773" i="16" s="1"/>
  <c r="BO805" i="16"/>
  <c r="BP805" i="16" s="1"/>
  <c r="BO837" i="16"/>
  <c r="BP837" i="16" s="1"/>
  <c r="BO869" i="16"/>
  <c r="BP869" i="16" s="1"/>
  <c r="BO940" i="16"/>
  <c r="BP940" i="16" s="1"/>
  <c r="BO1004" i="16"/>
  <c r="BP1004" i="16" s="1"/>
  <c r="BO1025" i="16"/>
  <c r="BP1025" i="16" s="1"/>
  <c r="BO1050" i="16"/>
  <c r="BP1050" i="16" s="1"/>
  <c r="BN91" i="16"/>
  <c r="BO550" i="16"/>
  <c r="BP550" i="16" s="1"/>
  <c r="BO554" i="16"/>
  <c r="BP554" i="16" s="1"/>
  <c r="BO558" i="16"/>
  <c r="BP558" i="16" s="1"/>
  <c r="BO562" i="16"/>
  <c r="BP562" i="16" s="1"/>
  <c r="BO566" i="16"/>
  <c r="BP566" i="16" s="1"/>
  <c r="BO570" i="16"/>
  <c r="BP570" i="16" s="1"/>
  <c r="BO574" i="16"/>
  <c r="BP574" i="16" s="1"/>
  <c r="BO578" i="16"/>
  <c r="BP578" i="16" s="1"/>
  <c r="BO582" i="16"/>
  <c r="BP582" i="16" s="1"/>
  <c r="BO586" i="16"/>
  <c r="BP586" i="16" s="1"/>
  <c r="BO590" i="16"/>
  <c r="BP590" i="16" s="1"/>
  <c r="BO594" i="16"/>
  <c r="BP594" i="16" s="1"/>
  <c r="BO598" i="16"/>
  <c r="BP598" i="16" s="1"/>
  <c r="BO602" i="16"/>
  <c r="BP602" i="16" s="1"/>
  <c r="BO606" i="16"/>
  <c r="BP606" i="16" s="1"/>
  <c r="BO610" i="16"/>
  <c r="BP610" i="16" s="1"/>
  <c r="BO614" i="16"/>
  <c r="BP614" i="16" s="1"/>
  <c r="BO618" i="16"/>
  <c r="BP618" i="16" s="1"/>
  <c r="BO622" i="16"/>
  <c r="BP622" i="16" s="1"/>
  <c r="BO626" i="16"/>
  <c r="BP626" i="16" s="1"/>
  <c r="BO630" i="16"/>
  <c r="BP630" i="16" s="1"/>
  <c r="BO634" i="16"/>
  <c r="BP634" i="16" s="1"/>
  <c r="BO638" i="16"/>
  <c r="BP638" i="16" s="1"/>
  <c r="BO642" i="16"/>
  <c r="BP642" i="16" s="1"/>
  <c r="BO646" i="16"/>
  <c r="BP646" i="16" s="1"/>
  <c r="BO650" i="16"/>
  <c r="BP650" i="16" s="1"/>
  <c r="BO654" i="16"/>
  <c r="BP654" i="16" s="1"/>
  <c r="BO658" i="16"/>
  <c r="BP658" i="16" s="1"/>
  <c r="BO662" i="16"/>
  <c r="BP662" i="16" s="1"/>
  <c r="BO666" i="16"/>
  <c r="BP666" i="16" s="1"/>
  <c r="BO670" i="16"/>
  <c r="BP670" i="16" s="1"/>
  <c r="BO674" i="16"/>
  <c r="BP674" i="16" s="1"/>
  <c r="BO678" i="16"/>
  <c r="BP678" i="16" s="1"/>
  <c r="BO682" i="16"/>
  <c r="BP682" i="16" s="1"/>
  <c r="BO686" i="16"/>
  <c r="BP686" i="16" s="1"/>
  <c r="BO690" i="16"/>
  <c r="BP690" i="16" s="1"/>
  <c r="BO694" i="16"/>
  <c r="BP694" i="16" s="1"/>
  <c r="BO698" i="16"/>
  <c r="BP698" i="16" s="1"/>
  <c r="BO702" i="16"/>
  <c r="BP702" i="16" s="1"/>
  <c r="BO706" i="16"/>
  <c r="BP706" i="16" s="1"/>
  <c r="BO710" i="16"/>
  <c r="BP710" i="16" s="1"/>
  <c r="BO714" i="16"/>
  <c r="BP714" i="16" s="1"/>
  <c r="BO718" i="16"/>
  <c r="BP718" i="16" s="1"/>
  <c r="BO722" i="16"/>
  <c r="BP722" i="16" s="1"/>
  <c r="BO726" i="16"/>
  <c r="BP726" i="16" s="1"/>
  <c r="BO730" i="16"/>
  <c r="BP730" i="16" s="1"/>
  <c r="BO734" i="16"/>
  <c r="BP734" i="16" s="1"/>
  <c r="BO738" i="16"/>
  <c r="BP738" i="16" s="1"/>
  <c r="BO742" i="16"/>
  <c r="BP742" i="16" s="1"/>
  <c r="BO746" i="16"/>
  <c r="BP746" i="16" s="1"/>
  <c r="BO750" i="16"/>
  <c r="BP750" i="16" s="1"/>
  <c r="BO756" i="16"/>
  <c r="BP756" i="16" s="1"/>
  <c r="BO764" i="16"/>
  <c r="BP764" i="16" s="1"/>
  <c r="BO772" i="16"/>
  <c r="BP772" i="16" s="1"/>
  <c r="BO780" i="16"/>
  <c r="BP780" i="16" s="1"/>
  <c r="BO788" i="16"/>
  <c r="BP788" i="16" s="1"/>
  <c r="BO796" i="16"/>
  <c r="BP796" i="16" s="1"/>
  <c r="BO804" i="16"/>
  <c r="BP804" i="16" s="1"/>
  <c r="BO812" i="16"/>
  <c r="BP812" i="16" s="1"/>
  <c r="BO820" i="16"/>
  <c r="BP820" i="16" s="1"/>
  <c r="BO828" i="16"/>
  <c r="BP828" i="16" s="1"/>
  <c r="BO836" i="16"/>
  <c r="BP836" i="16" s="1"/>
  <c r="BO844" i="16"/>
  <c r="BP844" i="16" s="1"/>
  <c r="BO852" i="16"/>
  <c r="BP852" i="16" s="1"/>
  <c r="BO860" i="16"/>
  <c r="BP860" i="16" s="1"/>
  <c r="BO868" i="16"/>
  <c r="BP868" i="16" s="1"/>
  <c r="BO876" i="16"/>
  <c r="BP876" i="16" s="1"/>
  <c r="BO884" i="16"/>
  <c r="BP884" i="16" s="1"/>
  <c r="BO896" i="16"/>
  <c r="BP896" i="16" s="1"/>
  <c r="BO912" i="16"/>
  <c r="BP912" i="16" s="1"/>
  <c r="BO928" i="16"/>
  <c r="BP928" i="16" s="1"/>
  <c r="BO944" i="16"/>
  <c r="BP944" i="16" s="1"/>
  <c r="BO960" i="16"/>
  <c r="BP960" i="16" s="1"/>
  <c r="BO976" i="16"/>
  <c r="BP976" i="16" s="1"/>
  <c r="BO992" i="16"/>
  <c r="BP992" i="16" s="1"/>
  <c r="BO1013" i="16"/>
  <c r="BP1013" i="16" s="1"/>
  <c r="BO1038" i="16"/>
  <c r="BP1038" i="16" s="1"/>
  <c r="BO1054" i="16"/>
  <c r="BP1054" i="16" s="1"/>
  <c r="BO1070" i="16"/>
  <c r="BP1070" i="16" s="1"/>
  <c r="BO101" i="16"/>
  <c r="BP101" i="16" s="1"/>
  <c r="BO547" i="16"/>
  <c r="BP547" i="16" s="1"/>
  <c r="BO1087" i="16"/>
  <c r="BP1087" i="16" s="1"/>
  <c r="BO1083" i="16"/>
  <c r="BP1083" i="16" s="1"/>
  <c r="BO1079" i="16"/>
  <c r="BP1079" i="16" s="1"/>
  <c r="BO1075" i="16"/>
  <c r="BP1075" i="16" s="1"/>
  <c r="BO1071" i="16"/>
  <c r="BP1071" i="16" s="1"/>
  <c r="BO1067" i="16"/>
  <c r="BP1067" i="16" s="1"/>
  <c r="BO1063" i="16"/>
  <c r="BP1063" i="16" s="1"/>
  <c r="BO1059" i="16"/>
  <c r="BP1059" i="16" s="1"/>
  <c r="BO1055" i="16"/>
  <c r="BP1055" i="16" s="1"/>
  <c r="BO1051" i="16"/>
  <c r="BP1051" i="16" s="1"/>
  <c r="BO1047" i="16"/>
  <c r="BP1047" i="16" s="1"/>
  <c r="BO1043" i="16"/>
  <c r="BP1043" i="16" s="1"/>
  <c r="BO1039" i="16"/>
  <c r="BP1039" i="16" s="1"/>
  <c r="BO1035" i="16"/>
  <c r="BP1035" i="16" s="1"/>
  <c r="BO1031" i="16"/>
  <c r="BP1031" i="16" s="1"/>
  <c r="BO1026" i="16"/>
  <c r="BP1026" i="16" s="1"/>
  <c r="BO1022" i="16"/>
  <c r="BP1022" i="16" s="1"/>
  <c r="BO1018" i="16"/>
  <c r="BP1018" i="16" s="1"/>
  <c r="BO1014" i="16"/>
  <c r="BP1014" i="16" s="1"/>
  <c r="BO1010" i="16"/>
  <c r="BP1010" i="16" s="1"/>
  <c r="BO1006" i="16"/>
  <c r="BP1006" i="16" s="1"/>
  <c r="BO1001" i="16"/>
  <c r="BP1001" i="16" s="1"/>
  <c r="BO997" i="16"/>
  <c r="BP997" i="16" s="1"/>
  <c r="BO993" i="16"/>
  <c r="BP993" i="16" s="1"/>
  <c r="BO989" i="16"/>
  <c r="BP989" i="16" s="1"/>
  <c r="BO985" i="16"/>
  <c r="BP985" i="16" s="1"/>
  <c r="BO981" i="16"/>
  <c r="BP981" i="16" s="1"/>
  <c r="BO977" i="16"/>
  <c r="BP977" i="16" s="1"/>
  <c r="BO973" i="16"/>
  <c r="BP973" i="16" s="1"/>
  <c r="BO969" i="16"/>
  <c r="BP969" i="16" s="1"/>
  <c r="BO965" i="16"/>
  <c r="BP965" i="16" s="1"/>
  <c r="BO961" i="16"/>
  <c r="BP961" i="16" s="1"/>
  <c r="BO957" i="16"/>
  <c r="BP957" i="16" s="1"/>
  <c r="BO953" i="16"/>
  <c r="BP953" i="16" s="1"/>
  <c r="BO949" i="16"/>
  <c r="BP949" i="16" s="1"/>
  <c r="BO945" i="16"/>
  <c r="BP945" i="16" s="1"/>
  <c r="BO941" i="16"/>
  <c r="BP941" i="16" s="1"/>
  <c r="BO937" i="16"/>
  <c r="BP937" i="16" s="1"/>
  <c r="BO933" i="16"/>
  <c r="BP933" i="16" s="1"/>
  <c r="BO929" i="16"/>
  <c r="BP929" i="16" s="1"/>
  <c r="BO925" i="16"/>
  <c r="BP925" i="16" s="1"/>
  <c r="BO921" i="16"/>
  <c r="BP921" i="16" s="1"/>
  <c r="BO917" i="16"/>
  <c r="BP917" i="16" s="1"/>
  <c r="BO913" i="16"/>
  <c r="BP913" i="16" s="1"/>
  <c r="BO909" i="16"/>
  <c r="BP909" i="16" s="1"/>
  <c r="BO905" i="16"/>
  <c r="BP905" i="16" s="1"/>
  <c r="BO901" i="16"/>
  <c r="BP901" i="16" s="1"/>
  <c r="BO897" i="16"/>
  <c r="BP897" i="16" s="1"/>
  <c r="BO893" i="16"/>
  <c r="BP893" i="16" s="1"/>
  <c r="BO889" i="16"/>
  <c r="BP889" i="16" s="1"/>
  <c r="BO1084" i="16"/>
  <c r="BP1084" i="16" s="1"/>
  <c r="BO1080" i="16"/>
  <c r="BP1080" i="16" s="1"/>
  <c r="BO1076" i="16"/>
  <c r="BP1076" i="16" s="1"/>
  <c r="BO1072" i="16"/>
  <c r="BP1072" i="16" s="1"/>
  <c r="BO1068" i="16"/>
  <c r="BP1068" i="16" s="1"/>
  <c r="BO1064" i="16"/>
  <c r="BP1064" i="16" s="1"/>
  <c r="BO1060" i="16"/>
  <c r="BP1060" i="16" s="1"/>
  <c r="BO1056" i="16"/>
  <c r="BP1056" i="16" s="1"/>
  <c r="BO1052" i="16"/>
  <c r="BP1052" i="16" s="1"/>
  <c r="BO1048" i="16"/>
  <c r="BP1048" i="16" s="1"/>
  <c r="BO1044" i="16"/>
  <c r="BP1044" i="16" s="1"/>
  <c r="BO1040" i="16"/>
  <c r="BP1040" i="16" s="1"/>
  <c r="BO1036" i="16"/>
  <c r="BP1036" i="16" s="1"/>
  <c r="BO1032" i="16"/>
  <c r="BP1032" i="16" s="1"/>
  <c r="BO1027" i="16"/>
  <c r="BP1027" i="16" s="1"/>
  <c r="BO1023" i="16"/>
  <c r="BP1023" i="16" s="1"/>
  <c r="BO1019" i="16"/>
  <c r="BP1019" i="16" s="1"/>
  <c r="BO1015" i="16"/>
  <c r="BP1015" i="16" s="1"/>
  <c r="BO1011" i="16"/>
  <c r="BP1011" i="16" s="1"/>
  <c r="BO1007" i="16"/>
  <c r="BP1007" i="16" s="1"/>
  <c r="BO1002" i="16"/>
  <c r="BP1002" i="16" s="1"/>
  <c r="BO998" i="16"/>
  <c r="BP998" i="16" s="1"/>
  <c r="BO994" i="16"/>
  <c r="BP994" i="16" s="1"/>
  <c r="BO990" i="16"/>
  <c r="BP990" i="16" s="1"/>
  <c r="BO986" i="16"/>
  <c r="BP986" i="16" s="1"/>
  <c r="BO982" i="16"/>
  <c r="BP982" i="16" s="1"/>
  <c r="BO978" i="16"/>
  <c r="BP978" i="16" s="1"/>
  <c r="BO974" i="16"/>
  <c r="BP974" i="16" s="1"/>
  <c r="BO970" i="16"/>
  <c r="BP970" i="16" s="1"/>
  <c r="BO966" i="16"/>
  <c r="BP966" i="16" s="1"/>
  <c r="BO962" i="16"/>
  <c r="BP962" i="16" s="1"/>
  <c r="BO958" i="16"/>
  <c r="BP958" i="16" s="1"/>
  <c r="BO954" i="16"/>
  <c r="BP954" i="16" s="1"/>
  <c r="BO950" i="16"/>
  <c r="BP950" i="16" s="1"/>
  <c r="BO946" i="16"/>
  <c r="BP946" i="16" s="1"/>
  <c r="BO942" i="16"/>
  <c r="BP942" i="16" s="1"/>
  <c r="BO938" i="16"/>
  <c r="BP938" i="16" s="1"/>
  <c r="BO934" i="16"/>
  <c r="BP934" i="16" s="1"/>
  <c r="BO930" i="16"/>
  <c r="BP930" i="16" s="1"/>
  <c r="BO926" i="16"/>
  <c r="BP926" i="16" s="1"/>
  <c r="BO922" i="16"/>
  <c r="BP922" i="16" s="1"/>
  <c r="BO918" i="16"/>
  <c r="BP918" i="16" s="1"/>
  <c r="BO914" i="16"/>
  <c r="BP914" i="16" s="1"/>
  <c r="BO910" i="16"/>
  <c r="BP910" i="16" s="1"/>
  <c r="BO906" i="16"/>
  <c r="BP906" i="16" s="1"/>
  <c r="BO902" i="16"/>
  <c r="BP902" i="16" s="1"/>
  <c r="BO898" i="16"/>
  <c r="BP898" i="16" s="1"/>
  <c r="BO894" i="16"/>
  <c r="BP894" i="16" s="1"/>
  <c r="BO890" i="16"/>
  <c r="BP890" i="16" s="1"/>
  <c r="BO886" i="16"/>
  <c r="BP886" i="16" s="1"/>
  <c r="BO882" i="16"/>
  <c r="BP882" i="16" s="1"/>
  <c r="BO878" i="16"/>
  <c r="BP878" i="16" s="1"/>
  <c r="BO874" i="16"/>
  <c r="BP874" i="16" s="1"/>
  <c r="BO870" i="16"/>
  <c r="BP870" i="16" s="1"/>
  <c r="BO866" i="16"/>
  <c r="BP866" i="16" s="1"/>
  <c r="BO862" i="16"/>
  <c r="BP862" i="16" s="1"/>
  <c r="BO858" i="16"/>
  <c r="BP858" i="16" s="1"/>
  <c r="BO854" i="16"/>
  <c r="BP854" i="16" s="1"/>
  <c r="BO850" i="16"/>
  <c r="BP850" i="16" s="1"/>
  <c r="BO846" i="16"/>
  <c r="BP846" i="16" s="1"/>
  <c r="BO842" i="16"/>
  <c r="BP842" i="16" s="1"/>
  <c r="BO838" i="16"/>
  <c r="BP838" i="16" s="1"/>
  <c r="BO834" i="16"/>
  <c r="BP834" i="16" s="1"/>
  <c r="BO830" i="16"/>
  <c r="BP830" i="16" s="1"/>
  <c r="BO826" i="16"/>
  <c r="BP826" i="16" s="1"/>
  <c r="BO822" i="16"/>
  <c r="BP822" i="16" s="1"/>
  <c r="BO818" i="16"/>
  <c r="BP818" i="16" s="1"/>
  <c r="BO814" i="16"/>
  <c r="BP814" i="16" s="1"/>
  <c r="BO810" i="16"/>
  <c r="BP810" i="16" s="1"/>
  <c r="BO806" i="16"/>
  <c r="BP806" i="16" s="1"/>
  <c r="BO802" i="16"/>
  <c r="BP802" i="16" s="1"/>
  <c r="BO798" i="16"/>
  <c r="BP798" i="16" s="1"/>
  <c r="BO794" i="16"/>
  <c r="BP794" i="16" s="1"/>
  <c r="BO790" i="16"/>
  <c r="BP790" i="16" s="1"/>
  <c r="BO786" i="16"/>
  <c r="BP786" i="16" s="1"/>
  <c r="BO782" i="16"/>
  <c r="BP782" i="16" s="1"/>
  <c r="BO778" i="16"/>
  <c r="BP778" i="16" s="1"/>
  <c r="BO774" i="16"/>
  <c r="BP774" i="16" s="1"/>
  <c r="BO770" i="16"/>
  <c r="BP770" i="16" s="1"/>
  <c r="BO766" i="16"/>
  <c r="BP766" i="16" s="1"/>
  <c r="BO762" i="16"/>
  <c r="BP762" i="16" s="1"/>
  <c r="BO758" i="16"/>
  <c r="BP758" i="16" s="1"/>
  <c r="BO754" i="16"/>
  <c r="BP754" i="16" s="1"/>
  <c r="BO1085" i="16"/>
  <c r="BP1085" i="16" s="1"/>
  <c r="BO1081" i="16"/>
  <c r="BP1081" i="16" s="1"/>
  <c r="BO1077" i="16"/>
  <c r="BP1077" i="16" s="1"/>
  <c r="BO1073" i="16"/>
  <c r="BP1073" i="16" s="1"/>
  <c r="BO1069" i="16"/>
  <c r="BP1069" i="16" s="1"/>
  <c r="BO1065" i="16"/>
  <c r="BP1065" i="16" s="1"/>
  <c r="BO1061" i="16"/>
  <c r="BP1061" i="16" s="1"/>
  <c r="BO1057" i="16"/>
  <c r="BP1057" i="16" s="1"/>
  <c r="BO1053" i="16"/>
  <c r="BP1053" i="16" s="1"/>
  <c r="BO1049" i="16"/>
  <c r="BP1049" i="16" s="1"/>
  <c r="BO1045" i="16"/>
  <c r="BP1045" i="16" s="1"/>
  <c r="BO1041" i="16"/>
  <c r="BP1041" i="16" s="1"/>
  <c r="BO1037" i="16"/>
  <c r="BP1037" i="16" s="1"/>
  <c r="BO1033" i="16"/>
  <c r="BP1033" i="16" s="1"/>
  <c r="BO1029" i="16"/>
  <c r="BP1029" i="16" s="1"/>
  <c r="BO1028" i="16"/>
  <c r="BP1028" i="16" s="1"/>
  <c r="BO1024" i="16"/>
  <c r="BP1024" i="16" s="1"/>
  <c r="BO1020" i="16"/>
  <c r="BP1020" i="16" s="1"/>
  <c r="BO1016" i="16"/>
  <c r="BP1016" i="16" s="1"/>
  <c r="BO1012" i="16"/>
  <c r="BP1012" i="16" s="1"/>
  <c r="BO1008" i="16"/>
  <c r="BP1008" i="16" s="1"/>
  <c r="BO1003" i="16"/>
  <c r="BP1003" i="16" s="1"/>
  <c r="BO999" i="16"/>
  <c r="BP999" i="16" s="1"/>
  <c r="BO995" i="16"/>
  <c r="BP995" i="16" s="1"/>
  <c r="BO991" i="16"/>
  <c r="BP991" i="16" s="1"/>
  <c r="BO987" i="16"/>
  <c r="BP987" i="16" s="1"/>
  <c r="BO983" i="16"/>
  <c r="BP983" i="16" s="1"/>
  <c r="BO979" i="16"/>
  <c r="BP979" i="16" s="1"/>
  <c r="BO975" i="16"/>
  <c r="BP975" i="16" s="1"/>
  <c r="BO971" i="16"/>
  <c r="BP971" i="16" s="1"/>
  <c r="BO967" i="16"/>
  <c r="BP967" i="16" s="1"/>
  <c r="BO963" i="16"/>
  <c r="BP963" i="16" s="1"/>
  <c r="BO959" i="16"/>
  <c r="BP959" i="16" s="1"/>
  <c r="BO955" i="16"/>
  <c r="BP955" i="16" s="1"/>
  <c r="BO951" i="16"/>
  <c r="BP951" i="16" s="1"/>
  <c r="BO947" i="16"/>
  <c r="BP947" i="16" s="1"/>
  <c r="BO943" i="16"/>
  <c r="BP943" i="16" s="1"/>
  <c r="BO939" i="16"/>
  <c r="BP939" i="16" s="1"/>
  <c r="BO935" i="16"/>
  <c r="BP935" i="16" s="1"/>
  <c r="BO931" i="16"/>
  <c r="BP931" i="16" s="1"/>
  <c r="BO927" i="16"/>
  <c r="BP927" i="16" s="1"/>
  <c r="BO923" i="16"/>
  <c r="BP923" i="16" s="1"/>
  <c r="BO919" i="16"/>
  <c r="BP919" i="16" s="1"/>
  <c r="BO915" i="16"/>
  <c r="BP915" i="16" s="1"/>
  <c r="BO911" i="16"/>
  <c r="BP911" i="16" s="1"/>
  <c r="BO907" i="16"/>
  <c r="BP907" i="16" s="1"/>
  <c r="BO903" i="16"/>
  <c r="BP903" i="16" s="1"/>
  <c r="BO899" i="16"/>
  <c r="BP899" i="16" s="1"/>
  <c r="BO895" i="16"/>
  <c r="BP895" i="16" s="1"/>
  <c r="BO891" i="16"/>
  <c r="BP891" i="16" s="1"/>
  <c r="BO887" i="16"/>
  <c r="BP887" i="16" s="1"/>
  <c r="BO883" i="16"/>
  <c r="BP883" i="16" s="1"/>
  <c r="BO879" i="16"/>
  <c r="BP879" i="16" s="1"/>
  <c r="BO875" i="16"/>
  <c r="BP875" i="16" s="1"/>
  <c r="BO871" i="16"/>
  <c r="BP871" i="16" s="1"/>
  <c r="BO867" i="16"/>
  <c r="BP867" i="16" s="1"/>
  <c r="BO863" i="16"/>
  <c r="BP863" i="16" s="1"/>
  <c r="BO859" i="16"/>
  <c r="BP859" i="16" s="1"/>
  <c r="BO855" i="16"/>
  <c r="BP855" i="16" s="1"/>
  <c r="BO851" i="16"/>
  <c r="BP851" i="16" s="1"/>
  <c r="BO847" i="16"/>
  <c r="BP847" i="16" s="1"/>
  <c r="BO843" i="16"/>
  <c r="BP843" i="16" s="1"/>
  <c r="BO839" i="16"/>
  <c r="BP839" i="16" s="1"/>
  <c r="BO835" i="16"/>
  <c r="BP835" i="16" s="1"/>
  <c r="BO831" i="16"/>
  <c r="BP831" i="16" s="1"/>
  <c r="BO827" i="16"/>
  <c r="BP827" i="16" s="1"/>
  <c r="BO823" i="16"/>
  <c r="BP823" i="16" s="1"/>
  <c r="BO819" i="16"/>
  <c r="BP819" i="16" s="1"/>
  <c r="BO815" i="16"/>
  <c r="BP815" i="16" s="1"/>
  <c r="BO811" i="16"/>
  <c r="BP811" i="16" s="1"/>
  <c r="BO807" i="16"/>
  <c r="BP807" i="16" s="1"/>
  <c r="BO803" i="16"/>
  <c r="BP803" i="16" s="1"/>
  <c r="BO799" i="16"/>
  <c r="BP799" i="16" s="1"/>
  <c r="BO795" i="16"/>
  <c r="BP795" i="16" s="1"/>
  <c r="BO791" i="16"/>
  <c r="BP791" i="16" s="1"/>
  <c r="BO787" i="16"/>
  <c r="BP787" i="16" s="1"/>
  <c r="BO783" i="16"/>
  <c r="BP783" i="16" s="1"/>
  <c r="BO779" i="16"/>
  <c r="BP779" i="16" s="1"/>
  <c r="BO775" i="16"/>
  <c r="BP775" i="16" s="1"/>
  <c r="BO771" i="16"/>
  <c r="BP771" i="16" s="1"/>
  <c r="BO767" i="16"/>
  <c r="BP767" i="16" s="1"/>
  <c r="BO763" i="16"/>
  <c r="BP763" i="16" s="1"/>
  <c r="BO759" i="16"/>
  <c r="BP759" i="16" s="1"/>
  <c r="BO755" i="16"/>
  <c r="BP755" i="16" s="1"/>
  <c r="BO549" i="16"/>
  <c r="BP549" i="16" s="1"/>
  <c r="BO553" i="16"/>
  <c r="BP553" i="16" s="1"/>
  <c r="BO557" i="16"/>
  <c r="BP557" i="16" s="1"/>
  <c r="BO561" i="16"/>
  <c r="BP561" i="16" s="1"/>
  <c r="BO565" i="16"/>
  <c r="BP565" i="16" s="1"/>
  <c r="BO569" i="16"/>
  <c r="BP569" i="16" s="1"/>
  <c r="BO573" i="16"/>
  <c r="BP573" i="16" s="1"/>
  <c r="BO577" i="16"/>
  <c r="BP577" i="16" s="1"/>
  <c r="BO581" i="16"/>
  <c r="BP581" i="16" s="1"/>
  <c r="BO585" i="16"/>
  <c r="BP585" i="16" s="1"/>
  <c r="BO589" i="16"/>
  <c r="BP589" i="16" s="1"/>
  <c r="BO593" i="16"/>
  <c r="BP593" i="16" s="1"/>
  <c r="BO597" i="16"/>
  <c r="BP597" i="16" s="1"/>
  <c r="BO601" i="16"/>
  <c r="BP601" i="16" s="1"/>
  <c r="BO605" i="16"/>
  <c r="BP605" i="16" s="1"/>
  <c r="BO609" i="16"/>
  <c r="BP609" i="16" s="1"/>
  <c r="BO613" i="16"/>
  <c r="BP613" i="16" s="1"/>
  <c r="BO617" i="16"/>
  <c r="BP617" i="16" s="1"/>
  <c r="BO621" i="16"/>
  <c r="BP621" i="16" s="1"/>
  <c r="BO625" i="16"/>
  <c r="BP625" i="16" s="1"/>
  <c r="BO629" i="16"/>
  <c r="BP629" i="16" s="1"/>
  <c r="BO633" i="16"/>
  <c r="BP633" i="16" s="1"/>
  <c r="BO637" i="16"/>
  <c r="BP637" i="16" s="1"/>
  <c r="BO641" i="16"/>
  <c r="BP641" i="16" s="1"/>
  <c r="BO645" i="16"/>
  <c r="BP645" i="16" s="1"/>
  <c r="BO649" i="16"/>
  <c r="BP649" i="16" s="1"/>
  <c r="BO653" i="16"/>
  <c r="BP653" i="16" s="1"/>
  <c r="BO657" i="16"/>
  <c r="BP657" i="16" s="1"/>
  <c r="BO661" i="16"/>
  <c r="BP661" i="16" s="1"/>
  <c r="BO665" i="16"/>
  <c r="BP665" i="16" s="1"/>
  <c r="BO669" i="16"/>
  <c r="BP669" i="16" s="1"/>
  <c r="BO673" i="16"/>
  <c r="BP673" i="16" s="1"/>
  <c r="BO677" i="16"/>
  <c r="BP677" i="16" s="1"/>
  <c r="BO681" i="16"/>
  <c r="BP681" i="16" s="1"/>
  <c r="BO685" i="16"/>
  <c r="BP685" i="16" s="1"/>
  <c r="BO689" i="16"/>
  <c r="BP689" i="16" s="1"/>
  <c r="BO693" i="16"/>
  <c r="BP693" i="16" s="1"/>
  <c r="BO697" i="16"/>
  <c r="BP697" i="16" s="1"/>
  <c r="BO701" i="16"/>
  <c r="BP701" i="16" s="1"/>
  <c r="BO705" i="16"/>
  <c r="BP705" i="16" s="1"/>
  <c r="BO709" i="16"/>
  <c r="BP709" i="16" s="1"/>
  <c r="BO713" i="16"/>
  <c r="BP713" i="16" s="1"/>
  <c r="BO717" i="16"/>
  <c r="BP717" i="16" s="1"/>
  <c r="BO721" i="16"/>
  <c r="BP721" i="16" s="1"/>
  <c r="BO725" i="16"/>
  <c r="BP725" i="16" s="1"/>
  <c r="BO729" i="16"/>
  <c r="BP729" i="16" s="1"/>
  <c r="BO733" i="16"/>
  <c r="BP733" i="16" s="1"/>
  <c r="BO737" i="16"/>
  <c r="BP737" i="16" s="1"/>
  <c r="BO741" i="16"/>
  <c r="BP741" i="16" s="1"/>
  <c r="BO745" i="16"/>
  <c r="BP745" i="16" s="1"/>
  <c r="BO749" i="16"/>
  <c r="BP749" i="16" s="1"/>
  <c r="BO753" i="16"/>
  <c r="BP753" i="16" s="1"/>
  <c r="BO761" i="16"/>
  <c r="BP761" i="16" s="1"/>
  <c r="BO769" i="16"/>
  <c r="BP769" i="16" s="1"/>
  <c r="BO777" i="16"/>
  <c r="BP777" i="16" s="1"/>
  <c r="BO785" i="16"/>
  <c r="BP785" i="16" s="1"/>
  <c r="BO793" i="16"/>
  <c r="BP793" i="16" s="1"/>
  <c r="BO801" i="16"/>
  <c r="BP801" i="16" s="1"/>
  <c r="BO809" i="16"/>
  <c r="BP809" i="16" s="1"/>
  <c r="BO817" i="16"/>
  <c r="BP817" i="16" s="1"/>
  <c r="BO825" i="16"/>
  <c r="BP825" i="16" s="1"/>
  <c r="BO833" i="16"/>
  <c r="BP833" i="16" s="1"/>
  <c r="BO841" i="16"/>
  <c r="BP841" i="16" s="1"/>
  <c r="BO849" i="16"/>
  <c r="BP849" i="16" s="1"/>
  <c r="BO857" i="16"/>
  <c r="BP857" i="16" s="1"/>
  <c r="BO865" i="16"/>
  <c r="BP865" i="16" s="1"/>
  <c r="BO873" i="16"/>
  <c r="BP873" i="16" s="1"/>
  <c r="BO881" i="16"/>
  <c r="BP881" i="16" s="1"/>
  <c r="BO900" i="16"/>
  <c r="BP900" i="16" s="1"/>
  <c r="BO916" i="16"/>
  <c r="BP916" i="16" s="1"/>
  <c r="BO932" i="16"/>
  <c r="BP932" i="16" s="1"/>
  <c r="BO948" i="16"/>
  <c r="BP948" i="16" s="1"/>
  <c r="BO964" i="16"/>
  <c r="BP964" i="16" s="1"/>
  <c r="BO980" i="16"/>
  <c r="BP980" i="16" s="1"/>
  <c r="BO996" i="16"/>
  <c r="BP996" i="16" s="1"/>
  <c r="BO1017" i="16"/>
  <c r="BP1017" i="16" s="1"/>
  <c r="BO1042" i="16"/>
  <c r="BP1042" i="16" s="1"/>
  <c r="BO1058" i="16"/>
  <c r="BP1058" i="16" s="1"/>
  <c r="BO1074" i="16"/>
  <c r="BP1074" i="16" s="1"/>
  <c r="BN269" i="16"/>
  <c r="BO548" i="16"/>
  <c r="BP548" i="16" s="1"/>
  <c r="BO552" i="16"/>
  <c r="BP552" i="16" s="1"/>
  <c r="BO556" i="16"/>
  <c r="BP556" i="16" s="1"/>
  <c r="BO560" i="16"/>
  <c r="BP560" i="16" s="1"/>
  <c r="BO564" i="16"/>
  <c r="BP564" i="16" s="1"/>
  <c r="BO568" i="16"/>
  <c r="BP568" i="16" s="1"/>
  <c r="BO572" i="16"/>
  <c r="BP572" i="16" s="1"/>
  <c r="BO576" i="16"/>
  <c r="BP576" i="16" s="1"/>
  <c r="BO580" i="16"/>
  <c r="BP580" i="16" s="1"/>
  <c r="BO584" i="16"/>
  <c r="BP584" i="16" s="1"/>
  <c r="BO588" i="16"/>
  <c r="BP588" i="16" s="1"/>
  <c r="BO592" i="16"/>
  <c r="BP592" i="16" s="1"/>
  <c r="BO596" i="16"/>
  <c r="BP596" i="16" s="1"/>
  <c r="BO600" i="16"/>
  <c r="BP600" i="16" s="1"/>
  <c r="BO604" i="16"/>
  <c r="BP604" i="16" s="1"/>
  <c r="BO608" i="16"/>
  <c r="BP608" i="16" s="1"/>
  <c r="BO612" i="16"/>
  <c r="BP612" i="16" s="1"/>
  <c r="BO616" i="16"/>
  <c r="BP616" i="16" s="1"/>
  <c r="BO620" i="16"/>
  <c r="BP620" i="16" s="1"/>
  <c r="BO624" i="16"/>
  <c r="BP624" i="16" s="1"/>
  <c r="BO628" i="16"/>
  <c r="BP628" i="16" s="1"/>
  <c r="BO632" i="16"/>
  <c r="BP632" i="16" s="1"/>
  <c r="BO636" i="16"/>
  <c r="BP636" i="16" s="1"/>
  <c r="BO640" i="16"/>
  <c r="BP640" i="16" s="1"/>
  <c r="BO644" i="16"/>
  <c r="BP644" i="16" s="1"/>
  <c r="BO648" i="16"/>
  <c r="BP648" i="16" s="1"/>
  <c r="BO652" i="16"/>
  <c r="BP652" i="16" s="1"/>
  <c r="BO656" i="16"/>
  <c r="BP656" i="16" s="1"/>
  <c r="BO660" i="16"/>
  <c r="BP660" i="16" s="1"/>
  <c r="BO664" i="16"/>
  <c r="BP664" i="16" s="1"/>
  <c r="BO668" i="16"/>
  <c r="BP668" i="16" s="1"/>
  <c r="BO672" i="16"/>
  <c r="BP672" i="16" s="1"/>
  <c r="BO676" i="16"/>
  <c r="BP676" i="16" s="1"/>
  <c r="BO680" i="16"/>
  <c r="BP680" i="16" s="1"/>
  <c r="BO684" i="16"/>
  <c r="BP684" i="16" s="1"/>
  <c r="BO688" i="16"/>
  <c r="BP688" i="16" s="1"/>
  <c r="BO692" i="16"/>
  <c r="BP692" i="16" s="1"/>
  <c r="BO696" i="16"/>
  <c r="BP696" i="16" s="1"/>
  <c r="BO700" i="16"/>
  <c r="BP700" i="16" s="1"/>
  <c r="BO704" i="16"/>
  <c r="BP704" i="16" s="1"/>
  <c r="BO708" i="16"/>
  <c r="BP708" i="16" s="1"/>
  <c r="BO712" i="16"/>
  <c r="BP712" i="16" s="1"/>
  <c r="BO716" i="16"/>
  <c r="BP716" i="16" s="1"/>
  <c r="BO720" i="16"/>
  <c r="BP720" i="16" s="1"/>
  <c r="BO724" i="16"/>
  <c r="BP724" i="16" s="1"/>
  <c r="BO728" i="16"/>
  <c r="BP728" i="16" s="1"/>
  <c r="BO732" i="16"/>
  <c r="BP732" i="16" s="1"/>
  <c r="BO736" i="16"/>
  <c r="BP736" i="16" s="1"/>
  <c r="BO740" i="16"/>
  <c r="BP740" i="16" s="1"/>
  <c r="BO744" i="16"/>
  <c r="BP744" i="16" s="1"/>
  <c r="BO748" i="16"/>
  <c r="BP748" i="16" s="1"/>
  <c r="BO752" i="16"/>
  <c r="BP752" i="16" s="1"/>
  <c r="BO760" i="16"/>
  <c r="BP760" i="16" s="1"/>
  <c r="BO768" i="16"/>
  <c r="BP768" i="16" s="1"/>
  <c r="BO776" i="16"/>
  <c r="BP776" i="16" s="1"/>
  <c r="BO784" i="16"/>
  <c r="BP784" i="16" s="1"/>
  <c r="BO792" i="16"/>
  <c r="BP792" i="16" s="1"/>
  <c r="BO800" i="16"/>
  <c r="BP800" i="16" s="1"/>
  <c r="BO808" i="16"/>
  <c r="BP808" i="16" s="1"/>
  <c r="BO816" i="16"/>
  <c r="BP816" i="16" s="1"/>
  <c r="BO824" i="16"/>
  <c r="BP824" i="16" s="1"/>
  <c r="BO832" i="16"/>
  <c r="BP832" i="16" s="1"/>
  <c r="BO840" i="16"/>
  <c r="BP840" i="16" s="1"/>
  <c r="BO848" i="16"/>
  <c r="BP848" i="16" s="1"/>
  <c r="BO856" i="16"/>
  <c r="BP856" i="16" s="1"/>
  <c r="BO864" i="16"/>
  <c r="BP864" i="16" s="1"/>
  <c r="BO872" i="16"/>
  <c r="BP872" i="16" s="1"/>
  <c r="BO880" i="16"/>
  <c r="BP880" i="16" s="1"/>
  <c r="BO888" i="16"/>
  <c r="BP888" i="16" s="1"/>
  <c r="BO904" i="16"/>
  <c r="BP904" i="16" s="1"/>
  <c r="BO920" i="16"/>
  <c r="BP920" i="16" s="1"/>
  <c r="BO936" i="16"/>
  <c r="BP936" i="16" s="1"/>
  <c r="BO952" i="16"/>
  <c r="BP952" i="16" s="1"/>
  <c r="BO968" i="16"/>
  <c r="BP968" i="16" s="1"/>
  <c r="BO984" i="16"/>
  <c r="BP984" i="16" s="1"/>
  <c r="BO1000" i="16"/>
  <c r="BP1000" i="16" s="1"/>
  <c r="BO1005" i="16"/>
  <c r="BP1005" i="16" s="1"/>
  <c r="BO1021" i="16"/>
  <c r="BP1021" i="16" s="1"/>
  <c r="BO1030" i="16"/>
  <c r="BP1030" i="16" s="1"/>
  <c r="BO1046" i="16"/>
  <c r="BP1046" i="16" s="1"/>
  <c r="BO1062" i="16"/>
  <c r="BP1062" i="16" s="1"/>
  <c r="BO1078" i="16"/>
  <c r="BP1078" i="16" s="1"/>
  <c r="BN362" i="16"/>
  <c r="BN195" i="16"/>
  <c r="BN80" i="16"/>
  <c r="BO516" i="16"/>
  <c r="BP516" i="16" s="1"/>
  <c r="BO431" i="16"/>
  <c r="BP431" i="16" s="1"/>
  <c r="BO345" i="16"/>
  <c r="BP345" i="16" s="1"/>
  <c r="BO229" i="16"/>
  <c r="BP229" i="16" s="1"/>
  <c r="BO59" i="16"/>
  <c r="BP59" i="16" s="1"/>
  <c r="BN303" i="16"/>
  <c r="BN435" i="16"/>
  <c r="BN392" i="16"/>
  <c r="BN337" i="16"/>
  <c r="BN295" i="16"/>
  <c r="BN260" i="16"/>
  <c r="BN219" i="16"/>
  <c r="BN187" i="16"/>
  <c r="BN114" i="16"/>
  <c r="BN57" i="16"/>
  <c r="BO495" i="16"/>
  <c r="BP495" i="16" s="1"/>
  <c r="BO409" i="16"/>
  <c r="BP409" i="16" s="1"/>
  <c r="BO320" i="16"/>
  <c r="BP320" i="16" s="1"/>
  <c r="BO187" i="16"/>
  <c r="BP187" i="16" s="1"/>
  <c r="BO16" i="16"/>
  <c r="BP16" i="16" s="1"/>
  <c r="BN403" i="16"/>
  <c r="BN234" i="16"/>
  <c r="BN126" i="16"/>
  <c r="BN467" i="16"/>
  <c r="BN424" i="16"/>
  <c r="BN381" i="16"/>
  <c r="BN328" i="16"/>
  <c r="BN286" i="16"/>
  <c r="BN251" i="16"/>
  <c r="BN211" i="16"/>
  <c r="BN179" i="16"/>
  <c r="BN102" i="16"/>
  <c r="BN23" i="16"/>
  <c r="BO473" i="16"/>
  <c r="BP473" i="16" s="1"/>
  <c r="BO388" i="16"/>
  <c r="BP388" i="16" s="1"/>
  <c r="BO293" i="16"/>
  <c r="BP293" i="16" s="1"/>
  <c r="BO144" i="16"/>
  <c r="BP144" i="16" s="1"/>
  <c r="BN445" i="16"/>
  <c r="BO9" i="16"/>
  <c r="BP9" i="16" s="1"/>
  <c r="BN499" i="16"/>
  <c r="BN413" i="16"/>
  <c r="BN371" i="16"/>
  <c r="BN320" i="16"/>
  <c r="BN277" i="16"/>
  <c r="BN243" i="16"/>
  <c r="BN202" i="16"/>
  <c r="BN148" i="16"/>
  <c r="BO537" i="16"/>
  <c r="BP537" i="16" s="1"/>
  <c r="BO452" i="16"/>
  <c r="BP452" i="16" s="1"/>
  <c r="BO367" i="16"/>
  <c r="BP367" i="16" s="1"/>
  <c r="BO265" i="16"/>
  <c r="BP265" i="16" s="1"/>
  <c r="BN8" i="16"/>
  <c r="BN10" i="16"/>
  <c r="BN12" i="16"/>
  <c r="BN14" i="16"/>
  <c r="BN16" i="16"/>
  <c r="BN18" i="16"/>
  <c r="BN20" i="16"/>
  <c r="BN22" i="16"/>
  <c r="BN24" i="16"/>
  <c r="BN26" i="16"/>
  <c r="BN28" i="16"/>
  <c r="BN30" i="16"/>
  <c r="BN32" i="16"/>
  <c r="BN34" i="16"/>
  <c r="BN36" i="16"/>
  <c r="BN38" i="16"/>
  <c r="BN40" i="16"/>
  <c r="BN42" i="16"/>
  <c r="BN44" i="16"/>
  <c r="BN46" i="16"/>
  <c r="BN48" i="16"/>
  <c r="BN50" i="16"/>
  <c r="BN53" i="16"/>
  <c r="BN58" i="16"/>
  <c r="BN61" i="16"/>
  <c r="BN11" i="16"/>
  <c r="BN19" i="16"/>
  <c r="BN27" i="16"/>
  <c r="BN35" i="16"/>
  <c r="BN43" i="16"/>
  <c r="BN55" i="16"/>
  <c r="BN59" i="16"/>
  <c r="BN62" i="16"/>
  <c r="BN68" i="16"/>
  <c r="BN71" i="16"/>
  <c r="BN76" i="16"/>
  <c r="BN79" i="16"/>
  <c r="BN84" i="16"/>
  <c r="BN87" i="16"/>
  <c r="BN92" i="16"/>
  <c r="BN95" i="16"/>
  <c r="BN100" i="16"/>
  <c r="BN106" i="16"/>
  <c r="BN110" i="16"/>
  <c r="BN113" i="16"/>
  <c r="BN119" i="16"/>
  <c r="BN124" i="16"/>
  <c r="BN130" i="16"/>
  <c r="BN133" i="16"/>
  <c r="BN136" i="16"/>
  <c r="BN139" i="16"/>
  <c r="BN142" i="16"/>
  <c r="BN145" i="16"/>
  <c r="BN151" i="16"/>
  <c r="BN156" i="16"/>
  <c r="BN162" i="16"/>
  <c r="BN165" i="16"/>
  <c r="BN168" i="16"/>
  <c r="BN171" i="16"/>
  <c r="BN174" i="16"/>
  <c r="BN177" i="16"/>
  <c r="BN183" i="16"/>
  <c r="BN188" i="16"/>
  <c r="BN194" i="16"/>
  <c r="BN197" i="16"/>
  <c r="BN200" i="16"/>
  <c r="BN203" i="16"/>
  <c r="BN206" i="16"/>
  <c r="BN212" i="16"/>
  <c r="BN218" i="16"/>
  <c r="BN221" i="16"/>
  <c r="BN226" i="16"/>
  <c r="BN230" i="16"/>
  <c r="BN233" i="16"/>
  <c r="BN236" i="16"/>
  <c r="BN242" i="16"/>
  <c r="BN246" i="16"/>
  <c r="BN249" i="16"/>
  <c r="BN252" i="16"/>
  <c r="BN258" i="16"/>
  <c r="BN262" i="16"/>
  <c r="BN265" i="16"/>
  <c r="BN268" i="16"/>
  <c r="BN274" i="16"/>
  <c r="BN278" i="16"/>
  <c r="BN281" i="16"/>
  <c r="BN284" i="16"/>
  <c r="BN290" i="16"/>
  <c r="BN294" i="16"/>
  <c r="BN297" i="16"/>
  <c r="BN300" i="16"/>
  <c r="BN306" i="16"/>
  <c r="BN310" i="16"/>
  <c r="BN313" i="16"/>
  <c r="BN316" i="16"/>
  <c r="BN322" i="16"/>
  <c r="BN326" i="16"/>
  <c r="BN329" i="16"/>
  <c r="BN332" i="16"/>
  <c r="BN338" i="16"/>
  <c r="BN342" i="16"/>
  <c r="BN345" i="16"/>
  <c r="BN348" i="16"/>
  <c r="BN354" i="16"/>
  <c r="BN358" i="16"/>
  <c r="BN363" i="16"/>
  <c r="BN366" i="16"/>
  <c r="BN370" i="16"/>
  <c r="BN374" i="16"/>
  <c r="BN378" i="16"/>
  <c r="BN382" i="16"/>
  <c r="BN386" i="16"/>
  <c r="BN390" i="16"/>
  <c r="BN394" i="16"/>
  <c r="BN398" i="16"/>
  <c r="BN402" i="16"/>
  <c r="BN406" i="16"/>
  <c r="BN410" i="16"/>
  <c r="BN414" i="16"/>
  <c r="BN418" i="16"/>
  <c r="BN422" i="16"/>
  <c r="BN426" i="16"/>
  <c r="BN430" i="16"/>
  <c r="BN434" i="16"/>
  <c r="BN438" i="16"/>
  <c r="BN442" i="16"/>
  <c r="BN446" i="16"/>
  <c r="BN470" i="16"/>
  <c r="BN478" i="16"/>
  <c r="BN490" i="16"/>
  <c r="BN502" i="16"/>
  <c r="BN506" i="16"/>
  <c r="BN522" i="16"/>
  <c r="BN5" i="16"/>
  <c r="BN6" i="16"/>
  <c r="BN9" i="16"/>
  <c r="BN17" i="16"/>
  <c r="BN25" i="16"/>
  <c r="BN33" i="16"/>
  <c r="BN41" i="16"/>
  <c r="BN49" i="16"/>
  <c r="BN52" i="16"/>
  <c r="BN56" i="16"/>
  <c r="BN63" i="16"/>
  <c r="BN66" i="16"/>
  <c r="BN69" i="16"/>
  <c r="BN74" i="16"/>
  <c r="BN77" i="16"/>
  <c r="BN82" i="16"/>
  <c r="BN85" i="16"/>
  <c r="BN90" i="16"/>
  <c r="BN93" i="16"/>
  <c r="BN98" i="16"/>
  <c r="BN101" i="16"/>
  <c r="BN104" i="16"/>
  <c r="BN107" i="16"/>
  <c r="BN111" i="16"/>
  <c r="BN116" i="16"/>
  <c r="BN122" i="16"/>
  <c r="BN125" i="16"/>
  <c r="BN128" i="16"/>
  <c r="BN131" i="16"/>
  <c r="BN134" i="16"/>
  <c r="BN137" i="16"/>
  <c r="BN143" i="16"/>
  <c r="BN13" i="16"/>
  <c r="BN29" i="16"/>
  <c r="BN45" i="16"/>
  <c r="BN51" i="16"/>
  <c r="BN65" i="16"/>
  <c r="BN70" i="16"/>
  <c r="BN81" i="16"/>
  <c r="BN86" i="16"/>
  <c r="BN97" i="16"/>
  <c r="BN103" i="16"/>
  <c r="BN109" i="16"/>
  <c r="BN115" i="16"/>
  <c r="BN121" i="16"/>
  <c r="BN127" i="16"/>
  <c r="BN132" i="16"/>
  <c r="BN138" i="16"/>
  <c r="BN144" i="16"/>
  <c r="BN149" i="16"/>
  <c r="BN153" i="16"/>
  <c r="BN157" i="16"/>
  <c r="BN161" i="16"/>
  <c r="BN164" i="16"/>
  <c r="BN169" i="16"/>
  <c r="BN172" i="16"/>
  <c r="BN176" i="16"/>
  <c r="BN180" i="16"/>
  <c r="BN184" i="16"/>
  <c r="BN192" i="16"/>
  <c r="BN208" i="16"/>
  <c r="BN216" i="16"/>
  <c r="BN223" i="16"/>
  <c r="BN227" i="16"/>
  <c r="BN235" i="16"/>
  <c r="BN240" i="16"/>
  <c r="BN244" i="16"/>
  <c r="BN248" i="16"/>
  <c r="BN253" i="16"/>
  <c r="BN257" i="16"/>
  <c r="BN261" i="16"/>
  <c r="BN270" i="16"/>
  <c r="BN279" i="16"/>
  <c r="BN282" i="16"/>
  <c r="BN287" i="16"/>
  <c r="BN291" i="16"/>
  <c r="BN299" i="16"/>
  <c r="BN304" i="16"/>
  <c r="BN308" i="16"/>
  <c r="BN312" i="16"/>
  <c r="BN317" i="16"/>
  <c r="BN321" i="16"/>
  <c r="BN325" i="16"/>
  <c r="BN334" i="16"/>
  <c r="BN343" i="16"/>
  <c r="BN346" i="16"/>
  <c r="BN351" i="16"/>
  <c r="BN355" i="16"/>
  <c r="BN359" i="16"/>
  <c r="BN367" i="16"/>
  <c r="BN372" i="16"/>
  <c r="BN377" i="16"/>
  <c r="BN383" i="16"/>
  <c r="BN388" i="16"/>
  <c r="BN393" i="16"/>
  <c r="BN399" i="16"/>
  <c r="BN404" i="16"/>
  <c r="BN409" i="16"/>
  <c r="BN415" i="16"/>
  <c r="BN420" i="16"/>
  <c r="BN425" i="16"/>
  <c r="BN431" i="16"/>
  <c r="BN436" i="16"/>
  <c r="BN441" i="16"/>
  <c r="BN447" i="16"/>
  <c r="BN457" i="16"/>
  <c r="BN15" i="16"/>
  <c r="BN31" i="16"/>
  <c r="BN47" i="16"/>
  <c r="BN60" i="16"/>
  <c r="BN67" i="16"/>
  <c r="BN72" i="16"/>
  <c r="BN83" i="16"/>
  <c r="BN88" i="16"/>
  <c r="BN99" i="16"/>
  <c r="BN105" i="16"/>
  <c r="BN117" i="16"/>
  <c r="BN123" i="16"/>
  <c r="BN129" i="16"/>
  <c r="BN135" i="16"/>
  <c r="BN140" i="16"/>
  <c r="BN146" i="16"/>
  <c r="BN150" i="16"/>
  <c r="BN154" i="16"/>
  <c r="BN158" i="16"/>
  <c r="BN166" i="16"/>
  <c r="BN173" i="16"/>
  <c r="BN181" i="16"/>
  <c r="BN185" i="16"/>
  <c r="BN189" i="16"/>
  <c r="BN193" i="16"/>
  <c r="BN196" i="16"/>
  <c r="BN201" i="16"/>
  <c r="BN204" i="16"/>
  <c r="BN209" i="16"/>
  <c r="BN213" i="16"/>
  <c r="BN217" i="16"/>
  <c r="BN220" i="16"/>
  <c r="BN224" i="16"/>
  <c r="BN228" i="16"/>
  <c r="BN232" i="16"/>
  <c r="BN237" i="16"/>
  <c r="BN241" i="16"/>
  <c r="BN245" i="16"/>
  <c r="BN254" i="16"/>
  <c r="BN263" i="16"/>
  <c r="BN266" i="16"/>
  <c r="BN271" i="16"/>
  <c r="BN275" i="16"/>
  <c r="BN283" i="16"/>
  <c r="BN288" i="16"/>
  <c r="BN292" i="16"/>
  <c r="BN296" i="16"/>
  <c r="BN301" i="16"/>
  <c r="BN305" i="16"/>
  <c r="BN309" i="16"/>
  <c r="BN318" i="16"/>
  <c r="BN327" i="16"/>
  <c r="BN330" i="16"/>
  <c r="BN335" i="16"/>
  <c r="BN339" i="16"/>
  <c r="BN347" i="16"/>
  <c r="BN352" i="16"/>
  <c r="BN356" i="16"/>
  <c r="BN360" i="16"/>
  <c r="BN364" i="16"/>
  <c r="BN368" i="16"/>
  <c r="BN373" i="16"/>
  <c r="BN379" i="16"/>
  <c r="BN384" i="16"/>
  <c r="BN389" i="16"/>
  <c r="BN395" i="16"/>
  <c r="BN400" i="16"/>
  <c r="BN405" i="16"/>
  <c r="BN411" i="16"/>
  <c r="BN416" i="16"/>
  <c r="BN421" i="16"/>
  <c r="BN427" i="16"/>
  <c r="BN432" i="16"/>
  <c r="BN437" i="16"/>
  <c r="BN443" i="16"/>
  <c r="BN448" i="16"/>
  <c r="BN459" i="16"/>
  <c r="BN501" i="16"/>
  <c r="BN542" i="16"/>
  <c r="BN532" i="16"/>
  <c r="BN497" i="16"/>
  <c r="BN433" i="16"/>
  <c r="BN412" i="16"/>
  <c r="BN391" i="16"/>
  <c r="BN369" i="16"/>
  <c r="BN353" i="16"/>
  <c r="BN336" i="16"/>
  <c r="BN311" i="16"/>
  <c r="BN293" i="16"/>
  <c r="BN276" i="16"/>
  <c r="BN259" i="16"/>
  <c r="BN225" i="16"/>
  <c r="BN178" i="16"/>
  <c r="BN163" i="16"/>
  <c r="BN147" i="16"/>
  <c r="BN112" i="16"/>
  <c r="BN78" i="16"/>
  <c r="BN21" i="16"/>
  <c r="BO533" i="16"/>
  <c r="BP533" i="16" s="1"/>
  <c r="BO491" i="16"/>
  <c r="BP491" i="16" s="1"/>
  <c r="BO448" i="16"/>
  <c r="BP448" i="16" s="1"/>
  <c r="BO405" i="16"/>
  <c r="BP405" i="16" s="1"/>
  <c r="BO363" i="16"/>
  <c r="BP363" i="16" s="1"/>
  <c r="BO319" i="16"/>
  <c r="BP319" i="16" s="1"/>
  <c r="BO261" i="16"/>
  <c r="BP261" i="16" s="1"/>
  <c r="BO180" i="16"/>
  <c r="BP180" i="16" s="1"/>
  <c r="BO52" i="16"/>
  <c r="BP52" i="16" s="1"/>
  <c r="BO6" i="16"/>
  <c r="BP6" i="16" s="1"/>
  <c r="BO10" i="16"/>
  <c r="BP10" i="16" s="1"/>
  <c r="BO14" i="16"/>
  <c r="BP14" i="16" s="1"/>
  <c r="BO18" i="16"/>
  <c r="BP18" i="16" s="1"/>
  <c r="BO22" i="16"/>
  <c r="BP22" i="16" s="1"/>
  <c r="BO26" i="16"/>
  <c r="BP26" i="16" s="1"/>
  <c r="BO30" i="16"/>
  <c r="BP30" i="16" s="1"/>
  <c r="BO34" i="16"/>
  <c r="BP34" i="16" s="1"/>
  <c r="BO38" i="16"/>
  <c r="BP38" i="16" s="1"/>
  <c r="BO42" i="16"/>
  <c r="BP42" i="16" s="1"/>
  <c r="BO46" i="16"/>
  <c r="BP46" i="16" s="1"/>
  <c r="BO50" i="16"/>
  <c r="BP50" i="16" s="1"/>
  <c r="BO54" i="16"/>
  <c r="BP54" i="16" s="1"/>
  <c r="BO58" i="16"/>
  <c r="BP58" i="16" s="1"/>
  <c r="BO62" i="16"/>
  <c r="BP62" i="16" s="1"/>
  <c r="BO66" i="16"/>
  <c r="BP66" i="16" s="1"/>
  <c r="BO70" i="16"/>
  <c r="BP70" i="16" s="1"/>
  <c r="BO74" i="16"/>
  <c r="BP74" i="16" s="1"/>
  <c r="BO78" i="16"/>
  <c r="BP78" i="16" s="1"/>
  <c r="BO82" i="16"/>
  <c r="BP82" i="16" s="1"/>
  <c r="BO86" i="16"/>
  <c r="BP86" i="16" s="1"/>
  <c r="BO90" i="16"/>
  <c r="BP90" i="16" s="1"/>
  <c r="BO94" i="16"/>
  <c r="BP94" i="16" s="1"/>
  <c r="BO98" i="16"/>
  <c r="BP98" i="16" s="1"/>
  <c r="BO102" i="16"/>
  <c r="BP102" i="16" s="1"/>
  <c r="BO106" i="16"/>
  <c r="BP106" i="16" s="1"/>
  <c r="BO110" i="16"/>
  <c r="BP110" i="16" s="1"/>
  <c r="BO114" i="16"/>
  <c r="BP114" i="16" s="1"/>
  <c r="BO118" i="16"/>
  <c r="BP118" i="16" s="1"/>
  <c r="BO122" i="16"/>
  <c r="BP122" i="16" s="1"/>
  <c r="BO126" i="16"/>
  <c r="BP126" i="16" s="1"/>
  <c r="BO130" i="16"/>
  <c r="BP130" i="16" s="1"/>
  <c r="BO134" i="16"/>
  <c r="BP134" i="16" s="1"/>
  <c r="BO138" i="16"/>
  <c r="BP138" i="16" s="1"/>
  <c r="BO142" i="16"/>
  <c r="BP142" i="16" s="1"/>
  <c r="BO146" i="16"/>
  <c r="BP146" i="16" s="1"/>
  <c r="BO150" i="16"/>
  <c r="BP150" i="16" s="1"/>
  <c r="BO154" i="16"/>
  <c r="BP154" i="16" s="1"/>
  <c r="BO158" i="16"/>
  <c r="BP158" i="16" s="1"/>
  <c r="BO162" i="16"/>
  <c r="BP162" i="16" s="1"/>
  <c r="BO166" i="16"/>
  <c r="BP166" i="16" s="1"/>
  <c r="BO170" i="16"/>
  <c r="BP170" i="16" s="1"/>
  <c r="BO174" i="16"/>
  <c r="BP174" i="16" s="1"/>
  <c r="BO178" i="16"/>
  <c r="BP178" i="16" s="1"/>
  <c r="BO182" i="16"/>
  <c r="BP182" i="16" s="1"/>
  <c r="BO186" i="16"/>
  <c r="BP186" i="16" s="1"/>
  <c r="BO190" i="16"/>
  <c r="BP190" i="16" s="1"/>
  <c r="BO194" i="16"/>
  <c r="BP194" i="16" s="1"/>
  <c r="BO198" i="16"/>
  <c r="BP198" i="16" s="1"/>
  <c r="BO202" i="16"/>
  <c r="BP202" i="16" s="1"/>
  <c r="BO206" i="16"/>
  <c r="BP206" i="16" s="1"/>
  <c r="BO210" i="16"/>
  <c r="BP210" i="16" s="1"/>
  <c r="BO214" i="16"/>
  <c r="BP214" i="16" s="1"/>
  <c r="BO218" i="16"/>
  <c r="BP218" i="16" s="1"/>
  <c r="BO222" i="16"/>
  <c r="BP222" i="16" s="1"/>
  <c r="BO226" i="16"/>
  <c r="BP226" i="16" s="1"/>
  <c r="BO230" i="16"/>
  <c r="BP230" i="16" s="1"/>
  <c r="BO234" i="16"/>
  <c r="BP234" i="16" s="1"/>
  <c r="BO238" i="16"/>
  <c r="BP238" i="16" s="1"/>
  <c r="BO242" i="16"/>
  <c r="BP242" i="16" s="1"/>
  <c r="BO246" i="16"/>
  <c r="BP246" i="16" s="1"/>
  <c r="BO250" i="16"/>
  <c r="BP250" i="16" s="1"/>
  <c r="BO254" i="16"/>
  <c r="BP254" i="16" s="1"/>
  <c r="BO258" i="16"/>
  <c r="BP258" i="16" s="1"/>
  <c r="BO262" i="16"/>
  <c r="BP262" i="16" s="1"/>
  <c r="BO266" i="16"/>
  <c r="BP266" i="16" s="1"/>
  <c r="BO270" i="16"/>
  <c r="BP270" i="16" s="1"/>
  <c r="BO274" i="16"/>
  <c r="BP274" i="16" s="1"/>
  <c r="BO278" i="16"/>
  <c r="BP278" i="16" s="1"/>
  <c r="BO282" i="16"/>
  <c r="BP282" i="16" s="1"/>
  <c r="BO286" i="16"/>
  <c r="BP286" i="16" s="1"/>
  <c r="BO290" i="16"/>
  <c r="BP290" i="16" s="1"/>
  <c r="BO294" i="16"/>
  <c r="BP294" i="16" s="1"/>
  <c r="BO298" i="16"/>
  <c r="BP298" i="16" s="1"/>
  <c r="BO302" i="16"/>
  <c r="BP302" i="16" s="1"/>
  <c r="BO306" i="16"/>
  <c r="BP306" i="16" s="1"/>
  <c r="BO310" i="16"/>
  <c r="BP310" i="16" s="1"/>
  <c r="BO314" i="16"/>
  <c r="BP314" i="16" s="1"/>
  <c r="BO318" i="16"/>
  <c r="BP318" i="16" s="1"/>
  <c r="BO322" i="16"/>
  <c r="BP322" i="16" s="1"/>
  <c r="BO326" i="16"/>
  <c r="BP326" i="16" s="1"/>
  <c r="BO330" i="16"/>
  <c r="BP330" i="16" s="1"/>
  <c r="BO334" i="16"/>
  <c r="BP334" i="16" s="1"/>
  <c r="BO338" i="16"/>
  <c r="BP338" i="16" s="1"/>
  <c r="BO342" i="16"/>
  <c r="BP342" i="16" s="1"/>
  <c r="BO346" i="16"/>
  <c r="BP346" i="16" s="1"/>
  <c r="BO350" i="16"/>
  <c r="BP350" i="16" s="1"/>
  <c r="BO354" i="16"/>
  <c r="BP354" i="16" s="1"/>
  <c r="BO358" i="16"/>
  <c r="BP358" i="16" s="1"/>
  <c r="BO362" i="16"/>
  <c r="BP362" i="16" s="1"/>
  <c r="BO366" i="16"/>
  <c r="BP366" i="16" s="1"/>
  <c r="BO370" i="16"/>
  <c r="BP370" i="16" s="1"/>
  <c r="BO374" i="16"/>
  <c r="BP374" i="16" s="1"/>
  <c r="BO378" i="16"/>
  <c r="BP378" i="16" s="1"/>
  <c r="BO382" i="16"/>
  <c r="BP382" i="16" s="1"/>
  <c r="BO386" i="16"/>
  <c r="BP386" i="16" s="1"/>
  <c r="BO390" i="16"/>
  <c r="BP390" i="16" s="1"/>
  <c r="BO394" i="16"/>
  <c r="BP394" i="16" s="1"/>
  <c r="BO398" i="16"/>
  <c r="BP398" i="16" s="1"/>
  <c r="BO402" i="16"/>
  <c r="BP402" i="16" s="1"/>
  <c r="BO406" i="16"/>
  <c r="BP406" i="16" s="1"/>
  <c r="BO410" i="16"/>
  <c r="BP410" i="16" s="1"/>
  <c r="BO414" i="16"/>
  <c r="BP414" i="16" s="1"/>
  <c r="BO418" i="16"/>
  <c r="BP418" i="16" s="1"/>
  <c r="BO422" i="16"/>
  <c r="BP422" i="16" s="1"/>
  <c r="BO426" i="16"/>
  <c r="BP426" i="16" s="1"/>
  <c r="BO430" i="16"/>
  <c r="BP430" i="16" s="1"/>
  <c r="BO434" i="16"/>
  <c r="BP434" i="16" s="1"/>
  <c r="BO438" i="16"/>
  <c r="BP438" i="16" s="1"/>
  <c r="BO442" i="16"/>
  <c r="BP442" i="16" s="1"/>
  <c r="BO446" i="16"/>
  <c r="BP446" i="16" s="1"/>
  <c r="BO450" i="16"/>
  <c r="BP450" i="16" s="1"/>
  <c r="BO454" i="16"/>
  <c r="BP454" i="16" s="1"/>
  <c r="BO458" i="16"/>
  <c r="BP458" i="16" s="1"/>
  <c r="BO462" i="16"/>
  <c r="BP462" i="16" s="1"/>
  <c r="BO466" i="16"/>
  <c r="BP466" i="16" s="1"/>
  <c r="BO470" i="16"/>
  <c r="BP470" i="16" s="1"/>
  <c r="BO474" i="16"/>
  <c r="BP474" i="16" s="1"/>
  <c r="BO478" i="16"/>
  <c r="BP478" i="16" s="1"/>
  <c r="BO482" i="16"/>
  <c r="BP482" i="16" s="1"/>
  <c r="BO486" i="16"/>
  <c r="BP486" i="16" s="1"/>
  <c r="BO490" i="16"/>
  <c r="BP490" i="16" s="1"/>
  <c r="BO494" i="16"/>
  <c r="BP494" i="16" s="1"/>
  <c r="BO498" i="16"/>
  <c r="BP498" i="16" s="1"/>
  <c r="BO502" i="16"/>
  <c r="BP502" i="16" s="1"/>
  <c r="BO506" i="16"/>
  <c r="BP506" i="16" s="1"/>
  <c r="BO510" i="16"/>
  <c r="BP510" i="16" s="1"/>
  <c r="BO514" i="16"/>
  <c r="BP514" i="16" s="1"/>
  <c r="BO518" i="16"/>
  <c r="BP518" i="16" s="1"/>
  <c r="BO522" i="16"/>
  <c r="BP522" i="16" s="1"/>
  <c r="BO526" i="16"/>
  <c r="BP526" i="16" s="1"/>
  <c r="BO530" i="16"/>
  <c r="BP530" i="16" s="1"/>
  <c r="BO534" i="16"/>
  <c r="BP534" i="16" s="1"/>
  <c r="BO538" i="16"/>
  <c r="BP538" i="16" s="1"/>
  <c r="BO542" i="16"/>
  <c r="BP542" i="16" s="1"/>
  <c r="BO5" i="16"/>
  <c r="BP5" i="16" s="1"/>
  <c r="BO7" i="16"/>
  <c r="BP7" i="16" s="1"/>
  <c r="BO12" i="16"/>
  <c r="BP12" i="16" s="1"/>
  <c r="BO17" i="16"/>
  <c r="BP17" i="16" s="1"/>
  <c r="BO23" i="16"/>
  <c r="BP23" i="16" s="1"/>
  <c r="BO28" i="16"/>
  <c r="BP28" i="16" s="1"/>
  <c r="BO33" i="16"/>
  <c r="BP33" i="16" s="1"/>
  <c r="BO39" i="16"/>
  <c r="BP39" i="16" s="1"/>
  <c r="BO44" i="16"/>
  <c r="BP44" i="16" s="1"/>
  <c r="BO49" i="16"/>
  <c r="BP49" i="16" s="1"/>
  <c r="BO55" i="16"/>
  <c r="BP55" i="16" s="1"/>
  <c r="BO60" i="16"/>
  <c r="BP60" i="16" s="1"/>
  <c r="BO65" i="16"/>
  <c r="BP65" i="16" s="1"/>
  <c r="BO71" i="16"/>
  <c r="BP71" i="16" s="1"/>
  <c r="BO76" i="16"/>
  <c r="BP76" i="16" s="1"/>
  <c r="BO81" i="16"/>
  <c r="BP81" i="16" s="1"/>
  <c r="BO87" i="16"/>
  <c r="BP87" i="16" s="1"/>
  <c r="BO92" i="16"/>
  <c r="BP92" i="16" s="1"/>
  <c r="BO97" i="16"/>
  <c r="BP97" i="16" s="1"/>
  <c r="BO103" i="16"/>
  <c r="BP103" i="16" s="1"/>
  <c r="BO108" i="16"/>
  <c r="BP108" i="16" s="1"/>
  <c r="BO113" i="16"/>
  <c r="BP113" i="16" s="1"/>
  <c r="BO119" i="16"/>
  <c r="BP119" i="16" s="1"/>
  <c r="BO124" i="16"/>
  <c r="BP124" i="16" s="1"/>
  <c r="BO129" i="16"/>
  <c r="BP129" i="16" s="1"/>
  <c r="BO135" i="16"/>
  <c r="BP135" i="16" s="1"/>
  <c r="BO140" i="16"/>
  <c r="BP140" i="16" s="1"/>
  <c r="BO145" i="16"/>
  <c r="BP145" i="16" s="1"/>
  <c r="BO151" i="16"/>
  <c r="BP151" i="16" s="1"/>
  <c r="BO156" i="16"/>
  <c r="BP156" i="16" s="1"/>
  <c r="BO161" i="16"/>
  <c r="BP161" i="16" s="1"/>
  <c r="BO167" i="16"/>
  <c r="BP167" i="16" s="1"/>
  <c r="BO172" i="16"/>
  <c r="BP172" i="16" s="1"/>
  <c r="BO177" i="16"/>
  <c r="BP177" i="16" s="1"/>
  <c r="BO183" i="16"/>
  <c r="BP183" i="16" s="1"/>
  <c r="BO188" i="16"/>
  <c r="BP188" i="16" s="1"/>
  <c r="BO193" i="16"/>
  <c r="BP193" i="16" s="1"/>
  <c r="BO199" i="16"/>
  <c r="BP199" i="16" s="1"/>
  <c r="BO204" i="16"/>
  <c r="BP204" i="16" s="1"/>
  <c r="BO209" i="16"/>
  <c r="BP209" i="16" s="1"/>
  <c r="BO215" i="16"/>
  <c r="BP215" i="16" s="1"/>
  <c r="BO220" i="16"/>
  <c r="BP220" i="16" s="1"/>
  <c r="BO225" i="16"/>
  <c r="BP225" i="16" s="1"/>
  <c r="BO231" i="16"/>
  <c r="BP231" i="16" s="1"/>
  <c r="BO236" i="16"/>
  <c r="BP236" i="16" s="1"/>
  <c r="BO241" i="16"/>
  <c r="BP241" i="16" s="1"/>
  <c r="BO247" i="16"/>
  <c r="BP247" i="16" s="1"/>
  <c r="BO252" i="16"/>
  <c r="BP252" i="16" s="1"/>
  <c r="BO257" i="16"/>
  <c r="BP257" i="16" s="1"/>
  <c r="BO263" i="16"/>
  <c r="BP263" i="16" s="1"/>
  <c r="BO268" i="16"/>
  <c r="BP268" i="16" s="1"/>
  <c r="BO273" i="16"/>
  <c r="BP273" i="16" s="1"/>
  <c r="BO279" i="16"/>
  <c r="BP279" i="16" s="1"/>
  <c r="BO284" i="16"/>
  <c r="BP284" i="16" s="1"/>
  <c r="BO289" i="16"/>
  <c r="BP289" i="16" s="1"/>
  <c r="BO295" i="16"/>
  <c r="BP295" i="16" s="1"/>
  <c r="BO300" i="16"/>
  <c r="BP300" i="16" s="1"/>
  <c r="BO305" i="16"/>
  <c r="BP305" i="16" s="1"/>
  <c r="BO311" i="16"/>
  <c r="BP311" i="16" s="1"/>
  <c r="BO316" i="16"/>
  <c r="BP316" i="16" s="1"/>
  <c r="BO321" i="16"/>
  <c r="BP321" i="16" s="1"/>
  <c r="BO327" i="16"/>
  <c r="BP327" i="16" s="1"/>
  <c r="BO332" i="16"/>
  <c r="BP332" i="16" s="1"/>
  <c r="BO337" i="16"/>
  <c r="BP337" i="16" s="1"/>
  <c r="BO343" i="16"/>
  <c r="BP343" i="16" s="1"/>
  <c r="BO348" i="16"/>
  <c r="BP348" i="16" s="1"/>
  <c r="BO353" i="16"/>
  <c r="BP353" i="16" s="1"/>
  <c r="BO359" i="16"/>
  <c r="BP359" i="16" s="1"/>
  <c r="BO364" i="16"/>
  <c r="BP364" i="16" s="1"/>
  <c r="BO369" i="16"/>
  <c r="BP369" i="16" s="1"/>
  <c r="BO375" i="16"/>
  <c r="BP375" i="16" s="1"/>
  <c r="BO380" i="16"/>
  <c r="BP380" i="16" s="1"/>
  <c r="BO385" i="16"/>
  <c r="BP385" i="16" s="1"/>
  <c r="BO391" i="16"/>
  <c r="BP391" i="16" s="1"/>
  <c r="BO396" i="16"/>
  <c r="BP396" i="16" s="1"/>
  <c r="BO401" i="16"/>
  <c r="BP401" i="16" s="1"/>
  <c r="BO407" i="16"/>
  <c r="BP407" i="16" s="1"/>
  <c r="BO412" i="16"/>
  <c r="BP412" i="16" s="1"/>
  <c r="BO417" i="16"/>
  <c r="BP417" i="16" s="1"/>
  <c r="BO423" i="16"/>
  <c r="BP423" i="16" s="1"/>
  <c r="BO428" i="16"/>
  <c r="BP428" i="16" s="1"/>
  <c r="BO433" i="16"/>
  <c r="BP433" i="16" s="1"/>
  <c r="BO439" i="16"/>
  <c r="BP439" i="16" s="1"/>
  <c r="BO444" i="16"/>
  <c r="BP444" i="16" s="1"/>
  <c r="BO449" i="16"/>
  <c r="BP449" i="16" s="1"/>
  <c r="BO455" i="16"/>
  <c r="BP455" i="16" s="1"/>
  <c r="BO460" i="16"/>
  <c r="BP460" i="16" s="1"/>
  <c r="BO465" i="16"/>
  <c r="BP465" i="16" s="1"/>
  <c r="BO471" i="16"/>
  <c r="BP471" i="16" s="1"/>
  <c r="BO476" i="16"/>
  <c r="BP476" i="16" s="1"/>
  <c r="BO481" i="16"/>
  <c r="BP481" i="16" s="1"/>
  <c r="BO487" i="16"/>
  <c r="BP487" i="16" s="1"/>
  <c r="BO492" i="16"/>
  <c r="BP492" i="16" s="1"/>
  <c r="BO497" i="16"/>
  <c r="BP497" i="16" s="1"/>
  <c r="BO503" i="16"/>
  <c r="BP503" i="16" s="1"/>
  <c r="BO508" i="16"/>
  <c r="BP508" i="16" s="1"/>
  <c r="BO513" i="16"/>
  <c r="BP513" i="16" s="1"/>
  <c r="BO519" i="16"/>
  <c r="BP519" i="16" s="1"/>
  <c r="BO524" i="16"/>
  <c r="BP524" i="16" s="1"/>
  <c r="BO529" i="16"/>
  <c r="BP529" i="16" s="1"/>
  <c r="BO535" i="16"/>
  <c r="BP535" i="16" s="1"/>
  <c r="BO540" i="16"/>
  <c r="BP540" i="16" s="1"/>
  <c r="BO545" i="16"/>
  <c r="BP545" i="16" s="1"/>
  <c r="BO8" i="16"/>
  <c r="BP8" i="16" s="1"/>
  <c r="BO13" i="16"/>
  <c r="BP13" i="16" s="1"/>
  <c r="BO19" i="16"/>
  <c r="BP19" i="16" s="1"/>
  <c r="BO24" i="16"/>
  <c r="BP24" i="16" s="1"/>
  <c r="BO29" i="16"/>
  <c r="BP29" i="16" s="1"/>
  <c r="BO35" i="16"/>
  <c r="BP35" i="16" s="1"/>
  <c r="BO40" i="16"/>
  <c r="BP40" i="16" s="1"/>
  <c r="BO45" i="16"/>
  <c r="BP45" i="16" s="1"/>
  <c r="BO51" i="16"/>
  <c r="BP51" i="16" s="1"/>
  <c r="BO56" i="16"/>
  <c r="BP56" i="16" s="1"/>
  <c r="BO61" i="16"/>
  <c r="BP61" i="16" s="1"/>
  <c r="BO67" i="16"/>
  <c r="BP67" i="16" s="1"/>
  <c r="BO72" i="16"/>
  <c r="BP72" i="16" s="1"/>
  <c r="BO77" i="16"/>
  <c r="BP77" i="16" s="1"/>
  <c r="BO83" i="16"/>
  <c r="BP83" i="16" s="1"/>
  <c r="BO88" i="16"/>
  <c r="BP88" i="16" s="1"/>
  <c r="BO93" i="16"/>
  <c r="BP93" i="16" s="1"/>
  <c r="BO99" i="16"/>
  <c r="BP99" i="16" s="1"/>
  <c r="BO104" i="16"/>
  <c r="BP104" i="16" s="1"/>
  <c r="BO109" i="16"/>
  <c r="BP109" i="16" s="1"/>
  <c r="BO115" i="16"/>
  <c r="BP115" i="16" s="1"/>
  <c r="BO120" i="16"/>
  <c r="BP120" i="16" s="1"/>
  <c r="BO125" i="16"/>
  <c r="BP125" i="16" s="1"/>
  <c r="BO131" i="16"/>
  <c r="BP131" i="16" s="1"/>
  <c r="BO136" i="16"/>
  <c r="BP136" i="16" s="1"/>
  <c r="BO141" i="16"/>
  <c r="BP141" i="16" s="1"/>
  <c r="BO147" i="16"/>
  <c r="BP147" i="16" s="1"/>
  <c r="BO152" i="16"/>
  <c r="BP152" i="16" s="1"/>
  <c r="BO157" i="16"/>
  <c r="BP157" i="16" s="1"/>
  <c r="BO163" i="16"/>
  <c r="BP163" i="16" s="1"/>
  <c r="BO168" i="16"/>
  <c r="BP168" i="16" s="1"/>
  <c r="BO173" i="16"/>
  <c r="BP173" i="16" s="1"/>
  <c r="BO179" i="16"/>
  <c r="BP179" i="16" s="1"/>
  <c r="BO184" i="16"/>
  <c r="BP184" i="16" s="1"/>
  <c r="BO189" i="16"/>
  <c r="BP189" i="16" s="1"/>
  <c r="BO195" i="16"/>
  <c r="BP195" i="16" s="1"/>
  <c r="BO200" i="16"/>
  <c r="BP200" i="16" s="1"/>
  <c r="BO205" i="16"/>
  <c r="BP205" i="16" s="1"/>
  <c r="BO211" i="16"/>
  <c r="BP211" i="16" s="1"/>
  <c r="BO216" i="16"/>
  <c r="BP216" i="16" s="1"/>
  <c r="BO221" i="16"/>
  <c r="BP221" i="16" s="1"/>
  <c r="BO227" i="16"/>
  <c r="BP227" i="16" s="1"/>
  <c r="BO232" i="16"/>
  <c r="BP232" i="16" s="1"/>
  <c r="BO237" i="16"/>
  <c r="BP237" i="16" s="1"/>
  <c r="BO243" i="16"/>
  <c r="BP243" i="16" s="1"/>
  <c r="BO248" i="16"/>
  <c r="BP248" i="16" s="1"/>
  <c r="BO253" i="16"/>
  <c r="BP253" i="16" s="1"/>
  <c r="BO259" i="16"/>
  <c r="BP259" i="16" s="1"/>
  <c r="BO264" i="16"/>
  <c r="BP264" i="16" s="1"/>
  <c r="BO269" i="16"/>
  <c r="BP269" i="16" s="1"/>
  <c r="BO275" i="16"/>
  <c r="BP275" i="16" s="1"/>
  <c r="BO280" i="16"/>
  <c r="BP280" i="16" s="1"/>
  <c r="BO285" i="16"/>
  <c r="BP285" i="16" s="1"/>
  <c r="BO291" i="16"/>
  <c r="BP291" i="16" s="1"/>
  <c r="BO296" i="16"/>
  <c r="BP296" i="16" s="1"/>
  <c r="BO301" i="16"/>
  <c r="BP301" i="16" s="1"/>
  <c r="BO307" i="16"/>
  <c r="BP307" i="16" s="1"/>
  <c r="BO312" i="16"/>
  <c r="BP312" i="16" s="1"/>
  <c r="BO317" i="16"/>
  <c r="BP317" i="16" s="1"/>
  <c r="BO323" i="16"/>
  <c r="BP323" i="16" s="1"/>
  <c r="BO328" i="16"/>
  <c r="BP328" i="16" s="1"/>
  <c r="BO333" i="16"/>
  <c r="BP333" i="16" s="1"/>
  <c r="BO339" i="16"/>
  <c r="BP339" i="16" s="1"/>
  <c r="BO344" i="16"/>
  <c r="BP344" i="16" s="1"/>
  <c r="BO349" i="16"/>
  <c r="BP349" i="16" s="1"/>
  <c r="BO355" i="16"/>
  <c r="BP355" i="16" s="1"/>
  <c r="BO360" i="16"/>
  <c r="BP360" i="16" s="1"/>
  <c r="BO365" i="16"/>
  <c r="BP365" i="16" s="1"/>
  <c r="BO371" i="16"/>
  <c r="BP371" i="16" s="1"/>
  <c r="BO376" i="16"/>
  <c r="BP376" i="16" s="1"/>
  <c r="BO381" i="16"/>
  <c r="BP381" i="16" s="1"/>
  <c r="BO387" i="16"/>
  <c r="BP387" i="16" s="1"/>
  <c r="BO392" i="16"/>
  <c r="BP392" i="16" s="1"/>
  <c r="BO397" i="16"/>
  <c r="BP397" i="16" s="1"/>
  <c r="BO403" i="16"/>
  <c r="BP403" i="16" s="1"/>
  <c r="BO408" i="16"/>
  <c r="BP408" i="16" s="1"/>
  <c r="BO413" i="16"/>
  <c r="BP413" i="16" s="1"/>
  <c r="BO419" i="16"/>
  <c r="BP419" i="16" s="1"/>
  <c r="BO424" i="16"/>
  <c r="BP424" i="16" s="1"/>
  <c r="BO429" i="16"/>
  <c r="BP429" i="16" s="1"/>
  <c r="BO435" i="16"/>
  <c r="BP435" i="16" s="1"/>
  <c r="BO440" i="16"/>
  <c r="BP440" i="16" s="1"/>
  <c r="BO445" i="16"/>
  <c r="BP445" i="16" s="1"/>
  <c r="BO451" i="16"/>
  <c r="BP451" i="16" s="1"/>
  <c r="BO456" i="16"/>
  <c r="BP456" i="16" s="1"/>
  <c r="BO461" i="16"/>
  <c r="BP461" i="16" s="1"/>
  <c r="BO467" i="16"/>
  <c r="BP467" i="16" s="1"/>
  <c r="BO472" i="16"/>
  <c r="BP472" i="16" s="1"/>
  <c r="BO477" i="16"/>
  <c r="BP477" i="16" s="1"/>
  <c r="BO483" i="16"/>
  <c r="BP483" i="16" s="1"/>
  <c r="BO488" i="16"/>
  <c r="BP488" i="16" s="1"/>
  <c r="BO493" i="16"/>
  <c r="BP493" i="16" s="1"/>
  <c r="BO499" i="16"/>
  <c r="BP499" i="16" s="1"/>
  <c r="BO504" i="16"/>
  <c r="BP504" i="16" s="1"/>
  <c r="BO509" i="16"/>
  <c r="BP509" i="16" s="1"/>
  <c r="BO515" i="16"/>
  <c r="BP515" i="16" s="1"/>
  <c r="BO520" i="16"/>
  <c r="BP520" i="16" s="1"/>
  <c r="BO525" i="16"/>
  <c r="BP525" i="16" s="1"/>
  <c r="BO531" i="16"/>
  <c r="BP531" i="16" s="1"/>
  <c r="BO536" i="16"/>
  <c r="BP536" i="16" s="1"/>
  <c r="BO541" i="16"/>
  <c r="BP541" i="16" s="1"/>
  <c r="BO11" i="16"/>
  <c r="BP11" i="16" s="1"/>
  <c r="BO21" i="16"/>
  <c r="BP21" i="16" s="1"/>
  <c r="BO32" i="16"/>
  <c r="BP32" i="16" s="1"/>
  <c r="BO43" i="16"/>
  <c r="BP43" i="16" s="1"/>
  <c r="BO53" i="16"/>
  <c r="BP53" i="16" s="1"/>
  <c r="BO64" i="16"/>
  <c r="BP64" i="16" s="1"/>
  <c r="BO75" i="16"/>
  <c r="BP75" i="16" s="1"/>
  <c r="BO85" i="16"/>
  <c r="BP85" i="16" s="1"/>
  <c r="BO96" i="16"/>
  <c r="BP96" i="16" s="1"/>
  <c r="BO107" i="16"/>
  <c r="BP107" i="16" s="1"/>
  <c r="BO117" i="16"/>
  <c r="BP117" i="16" s="1"/>
  <c r="BO128" i="16"/>
  <c r="BP128" i="16" s="1"/>
  <c r="BO139" i="16"/>
  <c r="BP139" i="16" s="1"/>
  <c r="BO149" i="16"/>
  <c r="BP149" i="16" s="1"/>
  <c r="BO160" i="16"/>
  <c r="BP160" i="16" s="1"/>
  <c r="BO171" i="16"/>
  <c r="BP171" i="16" s="1"/>
  <c r="BO181" i="16"/>
  <c r="BP181" i="16" s="1"/>
  <c r="BO192" i="16"/>
  <c r="BP192" i="16" s="1"/>
  <c r="BO203" i="16"/>
  <c r="BP203" i="16" s="1"/>
  <c r="BO213" i="16"/>
  <c r="BP213" i="16" s="1"/>
  <c r="BO224" i="16"/>
  <c r="BP224" i="16" s="1"/>
  <c r="BO235" i="16"/>
  <c r="BP235" i="16" s="1"/>
  <c r="BO245" i="16"/>
  <c r="BP245" i="16" s="1"/>
  <c r="BO15" i="16"/>
  <c r="BP15" i="16" s="1"/>
  <c r="BO25" i="16"/>
  <c r="BP25" i="16" s="1"/>
  <c r="BO36" i="16"/>
  <c r="BP36" i="16" s="1"/>
  <c r="BO47" i="16"/>
  <c r="BP47" i="16" s="1"/>
  <c r="BO57" i="16"/>
  <c r="BP57" i="16" s="1"/>
  <c r="BO68" i="16"/>
  <c r="BP68" i="16" s="1"/>
  <c r="BO79" i="16"/>
  <c r="BP79" i="16" s="1"/>
  <c r="BO89" i="16"/>
  <c r="BP89" i="16" s="1"/>
  <c r="BO100" i="16"/>
  <c r="BP100" i="16" s="1"/>
  <c r="BO111" i="16"/>
  <c r="BP111" i="16" s="1"/>
  <c r="BO121" i="16"/>
  <c r="BP121" i="16" s="1"/>
  <c r="BO132" i="16"/>
  <c r="BP132" i="16" s="1"/>
  <c r="BO143" i="16"/>
  <c r="BP143" i="16" s="1"/>
  <c r="BO153" i="16"/>
  <c r="BP153" i="16" s="1"/>
  <c r="BO164" i="16"/>
  <c r="BP164" i="16" s="1"/>
  <c r="BO175" i="16"/>
  <c r="BP175" i="16" s="1"/>
  <c r="BO185" i="16"/>
  <c r="BP185" i="16" s="1"/>
  <c r="BO196" i="16"/>
  <c r="BP196" i="16" s="1"/>
  <c r="BO207" i="16"/>
  <c r="BP207" i="16" s="1"/>
  <c r="BO217" i="16"/>
  <c r="BP217" i="16" s="1"/>
  <c r="BO228" i="16"/>
  <c r="BP228" i="16" s="1"/>
  <c r="BO239" i="16"/>
  <c r="BP239" i="16" s="1"/>
  <c r="BO249" i="16"/>
  <c r="BP249" i="16" s="1"/>
  <c r="BO260" i="16"/>
  <c r="BP260" i="16" s="1"/>
  <c r="BO271" i="16"/>
  <c r="BP271" i="16" s="1"/>
  <c r="BO281" i="16"/>
  <c r="BP281" i="16" s="1"/>
  <c r="BO292" i="16"/>
  <c r="BP292" i="16" s="1"/>
  <c r="BO303" i="16"/>
  <c r="BP303" i="16" s="1"/>
  <c r="BO313" i="16"/>
  <c r="BP313" i="16" s="1"/>
  <c r="BO324" i="16"/>
  <c r="BP324" i="16" s="1"/>
  <c r="BO20" i="16"/>
  <c r="BP20" i="16" s="1"/>
  <c r="BO41" i="16"/>
  <c r="BP41" i="16" s="1"/>
  <c r="BO63" i="16"/>
  <c r="BP63" i="16" s="1"/>
  <c r="BO84" i="16"/>
  <c r="BP84" i="16" s="1"/>
  <c r="BO105" i="16"/>
  <c r="BP105" i="16" s="1"/>
  <c r="BO127" i="16"/>
  <c r="BP127" i="16" s="1"/>
  <c r="BO148" i="16"/>
  <c r="BP148" i="16" s="1"/>
  <c r="BO169" i="16"/>
  <c r="BP169" i="16" s="1"/>
  <c r="BO191" i="16"/>
  <c r="BP191" i="16" s="1"/>
  <c r="BO212" i="16"/>
  <c r="BP212" i="16" s="1"/>
  <c r="BO233" i="16"/>
  <c r="BP233" i="16" s="1"/>
  <c r="BO255" i="16"/>
  <c r="BP255" i="16" s="1"/>
  <c r="BO267" i="16"/>
  <c r="BP267" i="16" s="1"/>
  <c r="BO283" i="16"/>
  <c r="BP283" i="16" s="1"/>
  <c r="BO297" i="16"/>
  <c r="BP297" i="16" s="1"/>
  <c r="BO309" i="16"/>
  <c r="BP309" i="16" s="1"/>
  <c r="BO325" i="16"/>
  <c r="BP325" i="16" s="1"/>
  <c r="BO336" i="16"/>
  <c r="BP336" i="16" s="1"/>
  <c r="BO347" i="16"/>
  <c r="BP347" i="16" s="1"/>
  <c r="BO357" i="16"/>
  <c r="BP357" i="16" s="1"/>
  <c r="BO368" i="16"/>
  <c r="BP368" i="16" s="1"/>
  <c r="BO379" i="16"/>
  <c r="BP379" i="16" s="1"/>
  <c r="BO389" i="16"/>
  <c r="BP389" i="16" s="1"/>
  <c r="BO400" i="16"/>
  <c r="BP400" i="16" s="1"/>
  <c r="BO411" i="16"/>
  <c r="BP411" i="16" s="1"/>
  <c r="BO421" i="16"/>
  <c r="BP421" i="16" s="1"/>
  <c r="BO432" i="16"/>
  <c r="BP432" i="16" s="1"/>
  <c r="BO443" i="16"/>
  <c r="BP443" i="16" s="1"/>
  <c r="BO453" i="16"/>
  <c r="BP453" i="16" s="1"/>
  <c r="BO464" i="16"/>
  <c r="BP464" i="16" s="1"/>
  <c r="BO475" i="16"/>
  <c r="BP475" i="16" s="1"/>
  <c r="BO485" i="16"/>
  <c r="BP485" i="16" s="1"/>
  <c r="BO496" i="16"/>
  <c r="BP496" i="16" s="1"/>
  <c r="BO507" i="16"/>
  <c r="BP507" i="16" s="1"/>
  <c r="BO517" i="16"/>
  <c r="BP517" i="16" s="1"/>
  <c r="BO528" i="16"/>
  <c r="BP528" i="16" s="1"/>
  <c r="BO539" i="16"/>
  <c r="BP539" i="16" s="1"/>
  <c r="BO27" i="16"/>
  <c r="BP27" i="16" s="1"/>
  <c r="BO48" i="16"/>
  <c r="BP48" i="16" s="1"/>
  <c r="BO69" i="16"/>
  <c r="BP69" i="16" s="1"/>
  <c r="BO91" i="16"/>
  <c r="BP91" i="16" s="1"/>
  <c r="BO112" i="16"/>
  <c r="BP112" i="16" s="1"/>
  <c r="BO133" i="16"/>
  <c r="BP133" i="16" s="1"/>
  <c r="BO155" i="16"/>
  <c r="BP155" i="16" s="1"/>
  <c r="BO176" i="16"/>
  <c r="BP176" i="16" s="1"/>
  <c r="BO197" i="16"/>
  <c r="BP197" i="16" s="1"/>
  <c r="BO219" i="16"/>
  <c r="BP219" i="16" s="1"/>
  <c r="BO240" i="16"/>
  <c r="BP240" i="16" s="1"/>
  <c r="BO256" i="16"/>
  <c r="BP256" i="16" s="1"/>
  <c r="BO272" i="16"/>
  <c r="BP272" i="16" s="1"/>
  <c r="BO287" i="16"/>
  <c r="BP287" i="16" s="1"/>
  <c r="BO299" i="16"/>
  <c r="BP299" i="16" s="1"/>
  <c r="BO315" i="16"/>
  <c r="BP315" i="16" s="1"/>
  <c r="BO329" i="16"/>
  <c r="BP329" i="16" s="1"/>
  <c r="BO340" i="16"/>
  <c r="BP340" i="16" s="1"/>
  <c r="BO351" i="16"/>
  <c r="BP351" i="16" s="1"/>
  <c r="BO361" i="16"/>
  <c r="BP361" i="16" s="1"/>
  <c r="BO372" i="16"/>
  <c r="BP372" i="16" s="1"/>
  <c r="BO383" i="16"/>
  <c r="BP383" i="16" s="1"/>
  <c r="BO393" i="16"/>
  <c r="BP393" i="16" s="1"/>
  <c r="BO404" i="16"/>
  <c r="BP404" i="16" s="1"/>
  <c r="BO415" i="16"/>
  <c r="BP415" i="16" s="1"/>
  <c r="BO425" i="16"/>
  <c r="BP425" i="16" s="1"/>
  <c r="BO436" i="16"/>
  <c r="BP436" i="16" s="1"/>
  <c r="BO447" i="16"/>
  <c r="BP447" i="16" s="1"/>
  <c r="BO457" i="16"/>
  <c r="BP457" i="16" s="1"/>
  <c r="BO468" i="16"/>
  <c r="BP468" i="16" s="1"/>
  <c r="BO479" i="16"/>
  <c r="BP479" i="16" s="1"/>
  <c r="BO489" i="16"/>
  <c r="BP489" i="16" s="1"/>
  <c r="BO500" i="16"/>
  <c r="BP500" i="16" s="1"/>
  <c r="BO511" i="16"/>
  <c r="BP511" i="16" s="1"/>
  <c r="BO521" i="16"/>
  <c r="BP521" i="16" s="1"/>
  <c r="BO532" i="16"/>
  <c r="BP532" i="16" s="1"/>
  <c r="BO543" i="16"/>
  <c r="BP543" i="16" s="1"/>
  <c r="BN509" i="16"/>
  <c r="BN493" i="16"/>
  <c r="BN472" i="16"/>
  <c r="BN451" i="16"/>
  <c r="BN440" i="16"/>
  <c r="BN429" i="16"/>
  <c r="BN419" i="16"/>
  <c r="BN408" i="16"/>
  <c r="BN397" i="16"/>
  <c r="BN387" i="16"/>
  <c r="BN376" i="16"/>
  <c r="BN365" i="16"/>
  <c r="BN350" i="16"/>
  <c r="BN341" i="16"/>
  <c r="BN333" i="16"/>
  <c r="BN324" i="16"/>
  <c r="BN315" i="16"/>
  <c r="BN307" i="16"/>
  <c r="BN298" i="16"/>
  <c r="BN273" i="16"/>
  <c r="BN264" i="16"/>
  <c r="BN256" i="16"/>
  <c r="BN239" i="16"/>
  <c r="BN231" i="16"/>
  <c r="BN222" i="16"/>
  <c r="BN215" i="16"/>
  <c r="BN207" i="16"/>
  <c r="BN199" i="16"/>
  <c r="BN191" i="16"/>
  <c r="BN160" i="16"/>
  <c r="BN152" i="16"/>
  <c r="BN120" i="16"/>
  <c r="BN108" i="16"/>
  <c r="BN96" i="16"/>
  <c r="BN75" i="16"/>
  <c r="BN64" i="16"/>
  <c r="BN39" i="16"/>
  <c r="BN7" i="16"/>
  <c r="BO527" i="16"/>
  <c r="BP527" i="16" s="1"/>
  <c r="BO505" i="16"/>
  <c r="BP505" i="16" s="1"/>
  <c r="BO484" i="16"/>
  <c r="BP484" i="16" s="1"/>
  <c r="BO463" i="16"/>
  <c r="BP463" i="16" s="1"/>
  <c r="BO441" i="16"/>
  <c r="BP441" i="16" s="1"/>
  <c r="BO420" i="16"/>
  <c r="BP420" i="16" s="1"/>
  <c r="BO399" i="16"/>
  <c r="BP399" i="16" s="1"/>
  <c r="BO377" i="16"/>
  <c r="BP377" i="16" s="1"/>
  <c r="BO356" i="16"/>
  <c r="BP356" i="16" s="1"/>
  <c r="BO335" i="16"/>
  <c r="BP335" i="16" s="1"/>
  <c r="BO308" i="16"/>
  <c r="BP308" i="16" s="1"/>
  <c r="BO277" i="16"/>
  <c r="BP277" i="16" s="1"/>
  <c r="BO251" i="16"/>
  <c r="BP251" i="16" s="1"/>
  <c r="BO208" i="16"/>
  <c r="BP208" i="16" s="1"/>
  <c r="BO165" i="16"/>
  <c r="BP165" i="16" s="1"/>
  <c r="BO123" i="16"/>
  <c r="BP123" i="16" s="1"/>
  <c r="BO80" i="16"/>
  <c r="BP80" i="16" s="1"/>
  <c r="BO37" i="16"/>
  <c r="BP37" i="16" s="1"/>
  <c r="BN504" i="16"/>
  <c r="BN444" i="16"/>
  <c r="BN423" i="16"/>
  <c r="BN401" i="16"/>
  <c r="BN380" i="16"/>
  <c r="BN361" i="16"/>
  <c r="BN344" i="16"/>
  <c r="BN319" i="16"/>
  <c r="BN302" i="16"/>
  <c r="BN285" i="16"/>
  <c r="BN267" i="16"/>
  <c r="BN250" i="16"/>
  <c r="BN210" i="16"/>
  <c r="BN186" i="16"/>
  <c r="BN170" i="16"/>
  <c r="BN155" i="16"/>
  <c r="BN89" i="16"/>
  <c r="BN54" i="16"/>
  <c r="BO512" i="16"/>
  <c r="BP512" i="16" s="1"/>
  <c r="BO469" i="16"/>
  <c r="BP469" i="16" s="1"/>
  <c r="BO427" i="16"/>
  <c r="BP427" i="16" s="1"/>
  <c r="BO384" i="16"/>
  <c r="BP384" i="16" s="1"/>
  <c r="BO341" i="16"/>
  <c r="BP341" i="16" s="1"/>
  <c r="BO288" i="16"/>
  <c r="BP288" i="16" s="1"/>
  <c r="BO223" i="16"/>
  <c r="BP223" i="16" s="1"/>
  <c r="BO137" i="16"/>
  <c r="BP137" i="16" s="1"/>
  <c r="BO95" i="16"/>
  <c r="BP95" i="16" s="1"/>
  <c r="BN529" i="16"/>
  <c r="BN521" i="16"/>
  <c r="BN439" i="16"/>
  <c r="BN428" i="16"/>
  <c r="BN417" i="16"/>
  <c r="BN407" i="16"/>
  <c r="BN396" i="16"/>
  <c r="BN385" i="16"/>
  <c r="BN375" i="16"/>
  <c r="BN357" i="16"/>
  <c r="BN349" i="16"/>
  <c r="BN340" i="16"/>
  <c r="BN331" i="16"/>
  <c r="BN323" i="16"/>
  <c r="BN314" i="16"/>
  <c r="BN289" i="16"/>
  <c r="BN280" i="16"/>
  <c r="BN272" i="16"/>
  <c r="BN255" i="16"/>
  <c r="BN247" i="16"/>
  <c r="BN238" i="16"/>
  <c r="BN229" i="16"/>
  <c r="BN214" i="16"/>
  <c r="BN205" i="16"/>
  <c r="BN198" i="16"/>
  <c r="BN190" i="16"/>
  <c r="BN182" i="16"/>
  <c r="BN175" i="16"/>
  <c r="BN167" i="16"/>
  <c r="BN159" i="16"/>
  <c r="BN141" i="16"/>
  <c r="BN118" i="16"/>
  <c r="BN94" i="16"/>
  <c r="BN73" i="16"/>
  <c r="BN37" i="16"/>
  <c r="BO544" i="16"/>
  <c r="BP544" i="16" s="1"/>
  <c r="BO523" i="16"/>
  <c r="BP523" i="16" s="1"/>
  <c r="BO501" i="16"/>
  <c r="BP501" i="16" s="1"/>
  <c r="BO480" i="16"/>
  <c r="BP480" i="16" s="1"/>
  <c r="BO459" i="16"/>
  <c r="BP459" i="16" s="1"/>
  <c r="BO437" i="16"/>
  <c r="BP437" i="16" s="1"/>
  <c r="BO416" i="16"/>
  <c r="BP416" i="16" s="1"/>
  <c r="BO395" i="16"/>
  <c r="BP395" i="16" s="1"/>
  <c r="BO373" i="16"/>
  <c r="BP373" i="16" s="1"/>
  <c r="BO352" i="16"/>
  <c r="BP352" i="16" s="1"/>
  <c r="BO331" i="16"/>
  <c r="BP331" i="16" s="1"/>
  <c r="BO304" i="16"/>
  <c r="BP304" i="16" s="1"/>
  <c r="BO276" i="16"/>
  <c r="BP276" i="16" s="1"/>
  <c r="BO244" i="16"/>
  <c r="BP244" i="16" s="1"/>
  <c r="BO201" i="16"/>
  <c r="BP201" i="16" s="1"/>
  <c r="BO159" i="16"/>
  <c r="BP159" i="16" s="1"/>
  <c r="BO116" i="16"/>
  <c r="BP116" i="16" s="1"/>
  <c r="BO73" i="16"/>
  <c r="BP73" i="16" s="1"/>
  <c r="BO31" i="16"/>
  <c r="BP31" i="16" s="1"/>
  <c r="D49" i="17"/>
  <c r="D47" i="17"/>
  <c r="D72" i="11"/>
  <c r="D75" i="11" s="1"/>
  <c r="D67" i="11" s="1"/>
  <c r="E8" i="12"/>
  <c r="E20" i="12"/>
  <c r="E19" i="12"/>
  <c r="E18" i="12"/>
  <c r="E17" i="12"/>
  <c r="E14" i="12"/>
  <c r="E13" i="12"/>
  <c r="E12" i="12"/>
  <c r="E9" i="12"/>
  <c r="E7" i="12"/>
  <c r="D64" i="11" l="1"/>
  <c r="D66" i="11" a="1"/>
  <c r="D66" i="11" s="1"/>
  <c r="D68" i="11"/>
  <c r="AY91" i="11"/>
  <c r="U10" i="18" l="1"/>
  <c r="W10" i="18" s="1"/>
  <c r="U12" i="18"/>
  <c r="U16" i="18"/>
  <c r="U13" i="18"/>
  <c r="U15" i="18"/>
  <c r="U17" i="18"/>
  <c r="U11" i="18"/>
  <c r="U14" i="18"/>
  <c r="P44" i="17"/>
  <c r="O34" i="17"/>
  <c r="O43" i="17"/>
  <c r="O36" i="17"/>
  <c r="O40" i="17"/>
  <c r="O44" i="17"/>
  <c r="P42" i="17"/>
  <c r="O42" i="17"/>
  <c r="O38" i="17"/>
  <c r="O45" i="17"/>
  <c r="P43" i="17"/>
  <c r="P45" i="17"/>
  <c r="O39" i="17"/>
  <c r="O35" i="17"/>
  <c r="O41" i="17"/>
  <c r="O37" i="17"/>
  <c r="U6" i="18"/>
  <c r="U8" i="18"/>
  <c r="U5" i="18"/>
  <c r="W5" i="18" s="1"/>
  <c r="U9" i="18"/>
  <c r="U7" i="18"/>
  <c r="M7" i="18"/>
  <c r="M22" i="18"/>
  <c r="M16" i="18"/>
  <c r="O16" i="18" s="1"/>
  <c r="M23" i="18"/>
  <c r="M17" i="18"/>
  <c r="O17" i="18" s="1"/>
  <c r="M11" i="18"/>
  <c r="O11" i="18" s="1"/>
  <c r="M6" i="18"/>
  <c r="M5" i="18"/>
  <c r="M10" i="18"/>
  <c r="O10" i="18" s="1"/>
  <c r="E36" i="18"/>
  <c r="E18" i="18"/>
  <c r="G18" i="18" s="1"/>
  <c r="E37" i="18"/>
  <c r="E19" i="18"/>
  <c r="G19" i="18" s="1"/>
  <c r="E38" i="18"/>
  <c r="E16" i="18"/>
  <c r="G16" i="18" s="1"/>
  <c r="E39" i="18"/>
  <c r="E11" i="18"/>
  <c r="G11" i="18" s="1"/>
  <c r="E40" i="18"/>
  <c r="E12" i="18"/>
  <c r="G12" i="18" s="1"/>
  <c r="E35" i="18"/>
  <c r="E13" i="18"/>
  <c r="G13" i="18" s="1"/>
  <c r="E28" i="18"/>
  <c r="G28" i="18" s="1"/>
  <c r="E10" i="18"/>
  <c r="G10" i="18" s="1"/>
  <c r="E27" i="18"/>
  <c r="G27" i="18" s="1"/>
  <c r="E6" i="18"/>
  <c r="G6" i="18" s="1"/>
  <c r="E23" i="18"/>
  <c r="G23" i="18" s="1"/>
  <c r="E7" i="18"/>
  <c r="G7" i="18" s="1"/>
  <c r="E24" i="18"/>
  <c r="G24" i="18" s="1"/>
  <c r="E5" i="18"/>
  <c r="G5" i="18" s="1"/>
  <c r="E22" i="18"/>
  <c r="G22" i="18" s="1"/>
  <c r="E17" i="18"/>
  <c r="G17" i="18" s="1"/>
  <c r="P34" i="17"/>
  <c r="P38" i="17"/>
  <c r="P33" i="17"/>
  <c r="P35" i="17"/>
  <c r="O33" i="17"/>
  <c r="P37" i="17"/>
  <c r="P39" i="17"/>
  <c r="P40" i="17"/>
  <c r="P41" i="17"/>
  <c r="P36" i="17"/>
  <c r="E68" i="11"/>
  <c r="D20" i="21"/>
  <c r="E31" i="18"/>
  <c r="G31" i="18" s="1"/>
  <c r="E32" i="18"/>
  <c r="G32" i="18" s="1"/>
  <c r="D19" i="17"/>
  <c r="D73" i="11"/>
  <c r="H697" i="11"/>
  <c r="I697" i="11" s="1"/>
  <c r="K41" i="21" a="1"/>
  <c r="K33" i="17" a="1"/>
  <c r="K41" i="17" a="1"/>
  <c r="K35" i="17" a="1"/>
  <c r="K36" i="17" a="1"/>
  <c r="K44" i="17" a="1"/>
  <c r="K40" i="21" a="1"/>
  <c r="K37" i="17" a="1"/>
  <c r="K42" i="17" a="1"/>
  <c r="K45" i="17" a="1"/>
  <c r="K38" i="21" a="1"/>
  <c r="K34" i="17" a="1"/>
  <c r="K39" i="21" a="1"/>
  <c r="K35" i="21" a="1"/>
  <c r="K40" i="17" a="1"/>
  <c r="K42" i="21" a="1"/>
  <c r="K43" i="17" a="1"/>
  <c r="K38" i="17" a="1"/>
  <c r="K39" i="17" a="1"/>
  <c r="K37" i="21" a="1"/>
  <c r="K36" i="21" a="1"/>
  <c r="K42" i="17" l="1"/>
  <c r="K39" i="21"/>
  <c r="K39" i="17"/>
  <c r="K36" i="21"/>
  <c r="K42" i="21"/>
  <c r="K45" i="17"/>
  <c r="K40" i="21"/>
  <c r="K43" i="17"/>
  <c r="K41" i="17"/>
  <c r="K38" i="21"/>
  <c r="K44" i="17"/>
  <c r="K41" i="21"/>
  <c r="K37" i="21"/>
  <c r="K40" i="17"/>
  <c r="W14" i="18"/>
  <c r="W11" i="18"/>
  <c r="W17" i="18"/>
  <c r="W15" i="18"/>
  <c r="W13" i="18"/>
  <c r="W16" i="18"/>
  <c r="W12" i="18"/>
  <c r="K35" i="21"/>
  <c r="G35" i="18"/>
  <c r="G39" i="18"/>
  <c r="G38" i="18"/>
  <c r="G37" i="18"/>
  <c r="G36" i="18"/>
  <c r="Q33" i="17"/>
  <c r="Q34" i="17" s="1"/>
  <c r="Q35" i="17" s="1"/>
  <c r="Q36" i="17" s="1"/>
  <c r="Q37" i="17" s="1"/>
  <c r="Q38" i="17" s="1"/>
  <c r="O7" i="18"/>
  <c r="O5" i="18"/>
  <c r="O6" i="18"/>
  <c r="K38" i="17"/>
  <c r="G40" i="18"/>
  <c r="K37" i="17"/>
  <c r="K34" i="17"/>
  <c r="K35" i="17"/>
  <c r="K36" i="17"/>
  <c r="W9" i="18"/>
  <c r="W6" i="18"/>
  <c r="W7" i="18"/>
  <c r="W8" i="18"/>
  <c r="K33" i="17"/>
  <c r="O22" i="18"/>
  <c r="O23" i="18"/>
  <c r="A91" i="11"/>
  <c r="D16" i="21" s="1"/>
  <c r="AU91" i="11"/>
  <c r="AT91" i="11"/>
  <c r="AS91" i="11"/>
  <c r="AR91" i="11"/>
  <c r="BI545" i="16"/>
  <c r="AZ545" i="16"/>
  <c r="BI16" i="16"/>
  <c r="BI15" i="16"/>
  <c r="BI14" i="16"/>
  <c r="BI13" i="16"/>
  <c r="BI12" i="16"/>
  <c r="BI11" i="16"/>
  <c r="BI10" i="16"/>
  <c r="BI9" i="16"/>
  <c r="BI8" i="16"/>
  <c r="BI7" i="16"/>
  <c r="BI6" i="16"/>
  <c r="BI5" i="16"/>
  <c r="AZ16" i="16"/>
  <c r="AZ15" i="16"/>
  <c r="AZ14" i="16"/>
  <c r="AZ13" i="16"/>
  <c r="AZ12" i="16"/>
  <c r="AZ11" i="16"/>
  <c r="AZ10" i="16"/>
  <c r="AZ9" i="16"/>
  <c r="AZ8" i="16"/>
  <c r="AZ7" i="16"/>
  <c r="AZ6" i="16"/>
  <c r="AZ5" i="16"/>
  <c r="Y1629" i="16"/>
  <c r="T1629" i="16"/>
  <c r="Y1100" i="16"/>
  <c r="Y1099" i="16"/>
  <c r="Y1098" i="16"/>
  <c r="Y1097" i="16"/>
  <c r="Y1096" i="16"/>
  <c r="Y1095" i="16"/>
  <c r="Y1094" i="16"/>
  <c r="Y1093" i="16"/>
  <c r="Y1092" i="16"/>
  <c r="Y1091" i="16"/>
  <c r="Y1090" i="16"/>
  <c r="Y1089" i="16"/>
  <c r="T1100" i="16"/>
  <c r="T1099" i="16"/>
  <c r="T1098" i="16"/>
  <c r="T1097" i="16"/>
  <c r="T1096" i="16"/>
  <c r="T1095" i="16"/>
  <c r="T1094" i="16"/>
  <c r="T1093" i="16"/>
  <c r="T1092" i="16"/>
  <c r="T1091" i="16"/>
  <c r="T1090" i="16"/>
  <c r="T1089" i="16"/>
  <c r="Y1087" i="16"/>
  <c r="T1087" i="16"/>
  <c r="Y558" i="16"/>
  <c r="Y557" i="16"/>
  <c r="Y556" i="16"/>
  <c r="Y555" i="16"/>
  <c r="Y554" i="16"/>
  <c r="Y553" i="16"/>
  <c r="Y552" i="16"/>
  <c r="Y551" i="16"/>
  <c r="Y550" i="16"/>
  <c r="Y549" i="16"/>
  <c r="Y548" i="16"/>
  <c r="Y547" i="16"/>
  <c r="T558" i="16"/>
  <c r="T557" i="16"/>
  <c r="T556" i="16"/>
  <c r="T555" i="16"/>
  <c r="T554" i="16"/>
  <c r="T553" i="16"/>
  <c r="T552" i="16"/>
  <c r="T551" i="16"/>
  <c r="T550" i="16"/>
  <c r="T549" i="16"/>
  <c r="T548" i="16"/>
  <c r="T547" i="16"/>
  <c r="Y545" i="16"/>
  <c r="T545" i="16"/>
  <c r="Y16" i="16"/>
  <c r="Y15" i="16"/>
  <c r="Y14" i="16"/>
  <c r="Y13" i="16"/>
  <c r="Y12" i="16"/>
  <c r="Y11" i="16"/>
  <c r="Y10" i="16"/>
  <c r="Y9" i="16"/>
  <c r="Y8" i="16"/>
  <c r="Y7" i="16"/>
  <c r="Y6" i="16"/>
  <c r="Y5" i="16"/>
  <c r="T16" i="16"/>
  <c r="T15" i="16"/>
  <c r="T14" i="16"/>
  <c r="T13" i="16"/>
  <c r="T12" i="16"/>
  <c r="T11" i="16"/>
  <c r="T10" i="16"/>
  <c r="T9" i="16"/>
  <c r="T8" i="16"/>
  <c r="T7" i="16"/>
  <c r="T6" i="16"/>
  <c r="T5" i="16"/>
  <c r="C1629" i="16"/>
  <c r="I1629" i="16"/>
  <c r="I1100" i="16"/>
  <c r="I1099" i="16"/>
  <c r="I1098" i="16"/>
  <c r="I1097" i="16"/>
  <c r="I1096" i="16"/>
  <c r="I1095" i="16"/>
  <c r="I1094" i="16"/>
  <c r="I1093" i="16"/>
  <c r="I1092" i="16"/>
  <c r="I1091" i="16"/>
  <c r="I1090" i="16"/>
  <c r="I1089" i="16"/>
  <c r="C1100" i="16"/>
  <c r="C1099" i="16"/>
  <c r="C1098" i="16"/>
  <c r="C1097" i="16"/>
  <c r="C1096" i="16"/>
  <c r="C1095" i="16"/>
  <c r="C1094" i="16"/>
  <c r="C1093" i="16"/>
  <c r="C1092" i="16"/>
  <c r="C1091" i="16"/>
  <c r="C1090" i="16"/>
  <c r="C1089" i="16"/>
  <c r="I1087" i="16"/>
  <c r="C1087" i="16"/>
  <c r="I558" i="16"/>
  <c r="I557" i="16"/>
  <c r="I556" i="16"/>
  <c r="I555" i="16"/>
  <c r="I554" i="16"/>
  <c r="I553" i="16"/>
  <c r="I552" i="16"/>
  <c r="I551" i="16"/>
  <c r="I550" i="16"/>
  <c r="I549" i="16"/>
  <c r="I548" i="16"/>
  <c r="I547" i="16"/>
  <c r="C558" i="16"/>
  <c r="C557" i="16"/>
  <c r="C556" i="16"/>
  <c r="C555" i="16"/>
  <c r="C554" i="16"/>
  <c r="C553" i="16"/>
  <c r="C552" i="16"/>
  <c r="C551" i="16"/>
  <c r="C550" i="16"/>
  <c r="C549" i="16"/>
  <c r="C548" i="16"/>
  <c r="C547" i="16"/>
  <c r="I545" i="16"/>
  <c r="C545" i="16"/>
  <c r="T63" i="16"/>
  <c r="C63" i="16"/>
  <c r="T105" i="16"/>
  <c r="C105" i="16"/>
  <c r="I16" i="16"/>
  <c r="I15" i="16"/>
  <c r="I14" i="16"/>
  <c r="I13" i="16"/>
  <c r="I12" i="16"/>
  <c r="I11" i="16"/>
  <c r="I10" i="16"/>
  <c r="I9" i="16"/>
  <c r="I8" i="16"/>
  <c r="I7" i="16"/>
  <c r="I6" i="16"/>
  <c r="I5" i="16"/>
  <c r="C16" i="16"/>
  <c r="C15" i="16"/>
  <c r="C14" i="16"/>
  <c r="C13" i="16"/>
  <c r="C12" i="16"/>
  <c r="C11" i="16"/>
  <c r="C10" i="16"/>
  <c r="C9" i="16"/>
  <c r="C8" i="16"/>
  <c r="C7" i="16"/>
  <c r="C6" i="16"/>
  <c r="C5"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Z177" i="16"/>
  <c r="AZ178" i="16"/>
  <c r="AZ179" i="16"/>
  <c r="AZ180" i="16"/>
  <c r="AZ181" i="16"/>
  <c r="AZ182" i="16"/>
  <c r="AZ183" i="16"/>
  <c r="AZ184" i="16"/>
  <c r="AZ185" i="16"/>
  <c r="AZ186" i="16"/>
  <c r="AZ187" i="16"/>
  <c r="AZ188" i="16"/>
  <c r="AZ189" i="16"/>
  <c r="AZ190" i="16"/>
  <c r="AZ191" i="16"/>
  <c r="AZ192" i="16"/>
  <c r="AZ193" i="16"/>
  <c r="AZ194" i="16"/>
  <c r="AZ195" i="16"/>
  <c r="AZ196" i="16"/>
  <c r="AZ197" i="16"/>
  <c r="AZ198" i="16"/>
  <c r="AZ199" i="16"/>
  <c r="AZ200" i="16"/>
  <c r="AZ201" i="16"/>
  <c r="AZ202" i="16"/>
  <c r="AZ203" i="16"/>
  <c r="AZ204" i="16"/>
  <c r="AZ205" i="16"/>
  <c r="AZ206" i="16"/>
  <c r="AZ207" i="16"/>
  <c r="AZ208" i="16"/>
  <c r="AZ209" i="16"/>
  <c r="AZ210" i="16"/>
  <c r="AZ211" i="16"/>
  <c r="AZ212" i="16"/>
  <c r="AZ213" i="16"/>
  <c r="AZ214" i="16"/>
  <c r="AZ215" i="16"/>
  <c r="AZ216" i="16"/>
  <c r="AZ217" i="16"/>
  <c r="AZ218" i="16"/>
  <c r="AZ219" i="16"/>
  <c r="AZ220" i="16"/>
  <c r="AZ221" i="16"/>
  <c r="AZ222" i="16"/>
  <c r="AZ223" i="16"/>
  <c r="AZ224" i="16"/>
  <c r="AZ225" i="16"/>
  <c r="AZ226" i="16"/>
  <c r="AZ227" i="16"/>
  <c r="AZ228" i="16"/>
  <c r="AZ229" i="16"/>
  <c r="AZ230" i="16"/>
  <c r="AZ231" i="16"/>
  <c r="AZ232" i="16"/>
  <c r="AZ233" i="16"/>
  <c r="AZ234" i="16"/>
  <c r="AZ235" i="16"/>
  <c r="AZ236" i="16"/>
  <c r="AZ237" i="16"/>
  <c r="AZ238" i="16"/>
  <c r="AZ239" i="16"/>
  <c r="AZ240" i="16"/>
  <c r="AZ241" i="16"/>
  <c r="AZ242" i="16"/>
  <c r="AZ243" i="16"/>
  <c r="AZ244" i="16"/>
  <c r="AZ245" i="16"/>
  <c r="AZ246" i="16"/>
  <c r="AZ247" i="16"/>
  <c r="AZ248" i="16"/>
  <c r="AZ249" i="16"/>
  <c r="AZ250" i="16"/>
  <c r="AZ251" i="16"/>
  <c r="AZ252" i="16"/>
  <c r="AZ253" i="16"/>
  <c r="AZ254" i="16"/>
  <c r="AZ255" i="16"/>
  <c r="AZ256" i="16"/>
  <c r="AZ257" i="16"/>
  <c r="AZ258" i="16"/>
  <c r="AZ259" i="16"/>
  <c r="AZ260" i="16"/>
  <c r="AZ261" i="16"/>
  <c r="AZ262" i="16"/>
  <c r="AZ263" i="16"/>
  <c r="AZ264" i="16"/>
  <c r="AZ265" i="16"/>
  <c r="AZ266" i="16"/>
  <c r="AZ267" i="16"/>
  <c r="AZ268" i="16"/>
  <c r="AZ269" i="16"/>
  <c r="AZ270" i="16"/>
  <c r="AZ271" i="16"/>
  <c r="AZ272" i="16"/>
  <c r="AZ273" i="16"/>
  <c r="AZ274" i="16"/>
  <c r="AZ275" i="16"/>
  <c r="AZ276" i="16"/>
  <c r="AZ277" i="16"/>
  <c r="AZ278" i="16"/>
  <c r="AZ279" i="16"/>
  <c r="AZ280" i="16"/>
  <c r="AZ281" i="16"/>
  <c r="AZ282" i="16"/>
  <c r="AZ283" i="16"/>
  <c r="AZ284" i="16"/>
  <c r="AZ285" i="16"/>
  <c r="AZ286" i="16"/>
  <c r="AZ287" i="16"/>
  <c r="AZ288" i="16"/>
  <c r="AZ289" i="16"/>
  <c r="AZ290" i="16"/>
  <c r="AZ291" i="16"/>
  <c r="AZ292" i="16"/>
  <c r="AZ293" i="16"/>
  <c r="AZ294" i="16"/>
  <c r="AZ295" i="16"/>
  <c r="AZ296" i="16"/>
  <c r="AZ297" i="16"/>
  <c r="AZ298" i="16"/>
  <c r="AZ299" i="16"/>
  <c r="AZ300" i="16"/>
  <c r="AZ301" i="16"/>
  <c r="AZ302" i="16"/>
  <c r="AZ303" i="16"/>
  <c r="AZ304" i="16"/>
  <c r="AZ305" i="16"/>
  <c r="AZ306" i="16"/>
  <c r="AZ307" i="16"/>
  <c r="AZ308" i="16"/>
  <c r="AZ309" i="16"/>
  <c r="AZ310" i="16"/>
  <c r="AZ311" i="16"/>
  <c r="AZ312" i="16"/>
  <c r="AZ313" i="16"/>
  <c r="AZ314" i="16"/>
  <c r="AZ315" i="16"/>
  <c r="AZ316" i="16"/>
  <c r="AZ317" i="16"/>
  <c r="AZ318" i="16"/>
  <c r="AZ319" i="16"/>
  <c r="AZ320" i="16"/>
  <c r="AZ321" i="16"/>
  <c r="AZ322" i="16"/>
  <c r="AZ323" i="16"/>
  <c r="AZ324" i="16"/>
  <c r="AZ325" i="16"/>
  <c r="AZ326" i="16"/>
  <c r="AZ327" i="16"/>
  <c r="AZ328" i="16"/>
  <c r="AZ329" i="16"/>
  <c r="AZ330" i="16"/>
  <c r="AZ331" i="16"/>
  <c r="AZ332" i="16"/>
  <c r="AZ333" i="16"/>
  <c r="AZ334" i="16"/>
  <c r="AZ335" i="16"/>
  <c r="AZ336" i="16"/>
  <c r="AZ337" i="16"/>
  <c r="AZ338" i="16"/>
  <c r="AZ339" i="16"/>
  <c r="AZ340" i="16"/>
  <c r="AZ341" i="16"/>
  <c r="AZ342" i="16"/>
  <c r="AZ343" i="16"/>
  <c r="AZ344" i="16"/>
  <c r="AZ345" i="16"/>
  <c r="AZ346" i="16"/>
  <c r="AZ347" i="16"/>
  <c r="AZ348" i="16"/>
  <c r="AZ349" i="16"/>
  <c r="AZ350" i="16"/>
  <c r="AZ351" i="16"/>
  <c r="AZ352" i="16"/>
  <c r="AZ353" i="16"/>
  <c r="AZ354" i="16"/>
  <c r="AZ355" i="16"/>
  <c r="AZ356" i="16"/>
  <c r="AZ357" i="16"/>
  <c r="AZ358" i="16"/>
  <c r="AZ359" i="16"/>
  <c r="AZ360" i="16"/>
  <c r="AZ361" i="16"/>
  <c r="AZ362" i="16"/>
  <c r="AZ363" i="16"/>
  <c r="AZ364" i="16"/>
  <c r="AZ365" i="16"/>
  <c r="AZ366" i="16"/>
  <c r="AZ367" i="16"/>
  <c r="AZ368" i="16"/>
  <c r="AZ369" i="16"/>
  <c r="AZ370" i="16"/>
  <c r="AZ371" i="16"/>
  <c r="AZ372" i="16"/>
  <c r="AZ373" i="16"/>
  <c r="AZ374" i="16"/>
  <c r="AZ375" i="16"/>
  <c r="AZ376" i="16"/>
  <c r="AZ377" i="16"/>
  <c r="AZ378" i="16"/>
  <c r="AZ379" i="16"/>
  <c r="AZ380" i="16"/>
  <c r="AZ381" i="16"/>
  <c r="AZ382" i="16"/>
  <c r="AZ383" i="16"/>
  <c r="AZ384" i="16"/>
  <c r="AZ385" i="16"/>
  <c r="AZ386" i="16"/>
  <c r="AZ387" i="16"/>
  <c r="AZ388" i="16"/>
  <c r="AZ389" i="16"/>
  <c r="AZ390" i="16"/>
  <c r="AZ391" i="16"/>
  <c r="AZ392" i="16"/>
  <c r="AZ393" i="16"/>
  <c r="AZ394" i="16"/>
  <c r="AZ395" i="16"/>
  <c r="AZ396" i="16"/>
  <c r="AZ397" i="16"/>
  <c r="AZ398" i="16"/>
  <c r="AZ399" i="16"/>
  <c r="AZ400" i="16"/>
  <c r="AZ401" i="16"/>
  <c r="AZ402" i="16"/>
  <c r="AZ403" i="16"/>
  <c r="AZ404" i="16"/>
  <c r="AZ405" i="16"/>
  <c r="AZ406" i="16"/>
  <c r="AZ407" i="16"/>
  <c r="AZ408" i="16"/>
  <c r="AZ409" i="16"/>
  <c r="AZ410" i="16"/>
  <c r="AZ411" i="16"/>
  <c r="AZ412" i="16"/>
  <c r="AZ413" i="16"/>
  <c r="AZ414" i="16"/>
  <c r="AZ415" i="16"/>
  <c r="AZ416" i="16"/>
  <c r="AZ417" i="16"/>
  <c r="AZ418" i="16"/>
  <c r="AZ419" i="16"/>
  <c r="AZ420" i="16"/>
  <c r="AZ421" i="16"/>
  <c r="AZ422" i="16"/>
  <c r="AZ423" i="16"/>
  <c r="AZ424" i="16"/>
  <c r="AZ425" i="16"/>
  <c r="AZ426" i="16"/>
  <c r="AZ427" i="16"/>
  <c r="AZ428" i="16"/>
  <c r="AZ429" i="16"/>
  <c r="AZ430" i="16"/>
  <c r="AZ431" i="16"/>
  <c r="AZ432" i="16"/>
  <c r="AZ433" i="16"/>
  <c r="AZ434" i="16"/>
  <c r="AZ435" i="16"/>
  <c r="AZ436" i="16"/>
  <c r="AZ437" i="16"/>
  <c r="AZ438" i="16"/>
  <c r="AZ439" i="16"/>
  <c r="AZ440" i="16"/>
  <c r="AZ441" i="16"/>
  <c r="AZ442" i="16"/>
  <c r="AZ443" i="16"/>
  <c r="AZ444" i="16"/>
  <c r="AZ445" i="16"/>
  <c r="AZ446" i="16"/>
  <c r="AZ447" i="16"/>
  <c r="AZ448" i="16"/>
  <c r="AZ449" i="16"/>
  <c r="AZ450" i="16"/>
  <c r="AZ451" i="16"/>
  <c r="AZ452" i="16"/>
  <c r="AZ453" i="16"/>
  <c r="AZ454" i="16"/>
  <c r="AZ455" i="16"/>
  <c r="AZ456" i="16"/>
  <c r="AZ457" i="16"/>
  <c r="AZ458" i="16"/>
  <c r="AZ459" i="16"/>
  <c r="AZ460" i="16"/>
  <c r="AZ461" i="16"/>
  <c r="AZ462" i="16"/>
  <c r="AZ463" i="16"/>
  <c r="AZ464" i="16"/>
  <c r="AZ465" i="16"/>
  <c r="AZ466" i="16"/>
  <c r="AZ467" i="16"/>
  <c r="AZ468" i="16"/>
  <c r="AZ469" i="16"/>
  <c r="AZ470" i="16"/>
  <c r="AZ471" i="16"/>
  <c r="AZ472" i="16"/>
  <c r="AZ473" i="16"/>
  <c r="AZ474" i="16"/>
  <c r="AZ475" i="16"/>
  <c r="AZ476" i="16"/>
  <c r="AZ477" i="16"/>
  <c r="AZ478" i="16"/>
  <c r="AZ479" i="16"/>
  <c r="AZ480" i="16"/>
  <c r="AZ481" i="16"/>
  <c r="AZ482" i="16"/>
  <c r="AZ483" i="16"/>
  <c r="AZ484" i="16"/>
  <c r="AZ485" i="16"/>
  <c r="AZ486" i="16"/>
  <c r="AZ487" i="16"/>
  <c r="AZ488" i="16"/>
  <c r="AZ489" i="16"/>
  <c r="AZ490" i="16"/>
  <c r="AZ491" i="16"/>
  <c r="AZ492" i="16"/>
  <c r="AZ493" i="16"/>
  <c r="AZ494" i="16"/>
  <c r="AZ495" i="16"/>
  <c r="AZ496" i="16"/>
  <c r="AZ497" i="16"/>
  <c r="AZ498" i="16"/>
  <c r="AZ499" i="16"/>
  <c r="AZ500" i="16"/>
  <c r="AZ501" i="16"/>
  <c r="AZ502" i="16"/>
  <c r="AZ503" i="16"/>
  <c r="AZ504" i="16"/>
  <c r="AZ505" i="16"/>
  <c r="AZ506" i="16"/>
  <c r="AZ507" i="16"/>
  <c r="AZ508" i="16"/>
  <c r="AZ509" i="16"/>
  <c r="AZ510" i="16"/>
  <c r="AZ511" i="16"/>
  <c r="AZ512" i="16"/>
  <c r="AZ513" i="16"/>
  <c r="AZ514" i="16"/>
  <c r="AZ515" i="16"/>
  <c r="AZ516" i="16"/>
  <c r="AZ517" i="16"/>
  <c r="AZ518" i="16"/>
  <c r="AZ519" i="16"/>
  <c r="AZ520" i="16"/>
  <c r="AZ521" i="16"/>
  <c r="AZ522" i="16"/>
  <c r="AZ523" i="16"/>
  <c r="AZ524" i="16"/>
  <c r="AZ525" i="16"/>
  <c r="AZ526" i="16"/>
  <c r="AZ527" i="16"/>
  <c r="AZ528" i="16"/>
  <c r="AZ529" i="16"/>
  <c r="AZ530" i="16"/>
  <c r="AZ531" i="16"/>
  <c r="AZ532" i="16"/>
  <c r="AZ533" i="16"/>
  <c r="AZ534" i="16"/>
  <c r="AZ535" i="16"/>
  <c r="AZ536" i="16"/>
  <c r="AZ537" i="16"/>
  <c r="AZ538" i="16"/>
  <c r="AZ539" i="16"/>
  <c r="AZ540" i="16"/>
  <c r="AZ541" i="16"/>
  <c r="AZ542" i="16"/>
  <c r="AZ543" i="16"/>
  <c r="AZ544"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I177" i="16"/>
  <c r="BI178" i="16"/>
  <c r="BI179" i="16"/>
  <c r="BI180" i="16"/>
  <c r="BI181" i="16"/>
  <c r="BI182" i="16"/>
  <c r="BI183" i="16"/>
  <c r="BI184" i="16"/>
  <c r="BI185" i="16"/>
  <c r="BI186" i="16"/>
  <c r="BI187" i="16"/>
  <c r="BI188" i="16"/>
  <c r="BI189" i="16"/>
  <c r="BI190" i="16"/>
  <c r="BI191" i="16"/>
  <c r="BI192" i="16"/>
  <c r="BI193" i="16"/>
  <c r="BI194" i="16"/>
  <c r="BI195" i="16"/>
  <c r="BI196" i="16"/>
  <c r="BI197" i="16"/>
  <c r="BI198" i="16"/>
  <c r="BI199" i="16"/>
  <c r="BI200" i="16"/>
  <c r="BI201" i="16"/>
  <c r="BI202" i="16"/>
  <c r="BI203" i="16"/>
  <c r="BI204" i="16"/>
  <c r="BI205" i="16"/>
  <c r="BI206" i="16"/>
  <c r="BI207" i="16"/>
  <c r="BI208" i="16"/>
  <c r="BI209" i="16"/>
  <c r="BI210" i="16"/>
  <c r="BI211" i="16"/>
  <c r="BI212" i="16"/>
  <c r="BI213" i="16"/>
  <c r="BI214" i="16"/>
  <c r="BI215" i="16"/>
  <c r="BI216" i="16"/>
  <c r="BI217" i="16"/>
  <c r="BI218" i="16"/>
  <c r="BI219" i="16"/>
  <c r="BI220" i="16"/>
  <c r="BI221" i="16"/>
  <c r="BI222" i="16"/>
  <c r="BI223" i="16"/>
  <c r="BI224" i="16"/>
  <c r="BI225" i="16"/>
  <c r="BI226" i="16"/>
  <c r="BI227" i="16"/>
  <c r="BI228" i="16"/>
  <c r="BI229" i="16"/>
  <c r="BI230" i="16"/>
  <c r="BI231" i="16"/>
  <c r="BI232" i="16"/>
  <c r="BI233" i="16"/>
  <c r="BI234" i="16"/>
  <c r="BI235" i="16"/>
  <c r="BI236" i="16"/>
  <c r="BI237" i="16"/>
  <c r="BI238" i="16"/>
  <c r="BI239" i="16"/>
  <c r="BI240" i="16"/>
  <c r="BI241" i="16"/>
  <c r="BI242" i="16"/>
  <c r="BI243" i="16"/>
  <c r="BI244" i="16"/>
  <c r="BI245" i="16"/>
  <c r="BI246" i="16"/>
  <c r="BI247" i="16"/>
  <c r="BI248" i="16"/>
  <c r="BI249" i="16"/>
  <c r="BI250" i="16"/>
  <c r="BI251" i="16"/>
  <c r="BI252" i="16"/>
  <c r="BI253" i="16"/>
  <c r="BI254" i="16"/>
  <c r="BI255" i="16"/>
  <c r="BI256" i="16"/>
  <c r="BI257" i="16"/>
  <c r="BI258" i="16"/>
  <c r="BI259" i="16"/>
  <c r="BI260" i="16"/>
  <c r="BI261" i="16"/>
  <c r="BI262" i="16"/>
  <c r="BI263" i="16"/>
  <c r="BI264" i="16"/>
  <c r="BI265" i="16"/>
  <c r="BI266" i="16"/>
  <c r="BI267" i="16"/>
  <c r="BI268" i="16"/>
  <c r="BI269" i="16"/>
  <c r="BI270" i="16"/>
  <c r="BI271" i="16"/>
  <c r="BI272" i="16"/>
  <c r="BI273" i="16"/>
  <c r="BI274" i="16"/>
  <c r="BI275" i="16"/>
  <c r="BI276" i="16"/>
  <c r="BI277" i="16"/>
  <c r="BI278" i="16"/>
  <c r="BI279" i="16"/>
  <c r="BI280" i="16"/>
  <c r="BI281" i="16"/>
  <c r="BI282" i="16"/>
  <c r="BI283" i="16"/>
  <c r="BI284" i="16"/>
  <c r="BI285" i="16"/>
  <c r="BI286" i="16"/>
  <c r="BI287" i="16"/>
  <c r="BI288" i="16"/>
  <c r="BI289" i="16"/>
  <c r="BI290" i="16"/>
  <c r="BI291" i="16"/>
  <c r="BI292" i="16"/>
  <c r="BI293" i="16"/>
  <c r="BI294" i="16"/>
  <c r="BI295" i="16"/>
  <c r="BI296" i="16"/>
  <c r="BI297" i="16"/>
  <c r="BI298" i="16"/>
  <c r="BI299" i="16"/>
  <c r="BI300" i="16"/>
  <c r="BI301" i="16"/>
  <c r="BI302" i="16"/>
  <c r="BI303" i="16"/>
  <c r="BI304" i="16"/>
  <c r="BI305" i="16"/>
  <c r="BI306" i="16"/>
  <c r="BI307" i="16"/>
  <c r="BI308" i="16"/>
  <c r="BI309" i="16"/>
  <c r="BI310" i="16"/>
  <c r="BI311" i="16"/>
  <c r="BI312" i="16"/>
  <c r="BI313" i="16"/>
  <c r="BI314" i="16"/>
  <c r="BI315" i="16"/>
  <c r="BI316" i="16"/>
  <c r="BI317" i="16"/>
  <c r="BI318" i="16"/>
  <c r="BI319" i="16"/>
  <c r="BI320" i="16"/>
  <c r="BI321" i="16"/>
  <c r="BI322" i="16"/>
  <c r="BI323" i="16"/>
  <c r="BI324" i="16"/>
  <c r="BI325" i="16"/>
  <c r="BI326" i="16"/>
  <c r="BI327" i="16"/>
  <c r="BI328" i="16"/>
  <c r="BI329" i="16"/>
  <c r="BI330" i="16"/>
  <c r="BI331" i="16"/>
  <c r="BI332" i="16"/>
  <c r="BI333" i="16"/>
  <c r="BI334" i="16"/>
  <c r="BI335" i="16"/>
  <c r="BI336" i="16"/>
  <c r="BI337" i="16"/>
  <c r="BI338" i="16"/>
  <c r="BI339" i="16"/>
  <c r="BI340" i="16"/>
  <c r="BI341" i="16"/>
  <c r="BI342" i="16"/>
  <c r="BI343" i="16"/>
  <c r="BI344" i="16"/>
  <c r="BI345" i="16"/>
  <c r="BI346" i="16"/>
  <c r="BI347" i="16"/>
  <c r="BI348" i="16"/>
  <c r="BI349" i="16"/>
  <c r="BI350" i="16"/>
  <c r="BI351" i="16"/>
  <c r="BI352" i="16"/>
  <c r="BI353" i="16"/>
  <c r="BI354" i="16"/>
  <c r="BI355" i="16"/>
  <c r="BI356" i="16"/>
  <c r="BI357" i="16"/>
  <c r="BI358" i="16"/>
  <c r="BI359" i="16"/>
  <c r="BI360" i="16"/>
  <c r="BI361" i="16"/>
  <c r="BI362" i="16"/>
  <c r="BI363" i="16"/>
  <c r="BI364" i="16"/>
  <c r="BI365" i="16"/>
  <c r="BI366" i="16"/>
  <c r="BI367" i="16"/>
  <c r="BI368" i="16"/>
  <c r="BI369" i="16"/>
  <c r="BI370" i="16"/>
  <c r="BI371" i="16"/>
  <c r="BI372" i="16"/>
  <c r="BI373" i="16"/>
  <c r="BI374" i="16"/>
  <c r="BI375" i="16"/>
  <c r="BI376" i="16"/>
  <c r="BI377" i="16"/>
  <c r="BI378" i="16"/>
  <c r="BI379" i="16"/>
  <c r="BI380" i="16"/>
  <c r="BI381" i="16"/>
  <c r="BI382" i="16"/>
  <c r="BI383" i="16"/>
  <c r="BI384" i="16"/>
  <c r="BI385" i="16"/>
  <c r="BI386" i="16"/>
  <c r="BI387" i="16"/>
  <c r="BI388" i="16"/>
  <c r="BI389" i="16"/>
  <c r="BI390" i="16"/>
  <c r="BI391" i="16"/>
  <c r="BI392" i="16"/>
  <c r="BI393" i="16"/>
  <c r="BI394" i="16"/>
  <c r="BI395" i="16"/>
  <c r="BI396" i="16"/>
  <c r="BI397" i="16"/>
  <c r="BI398" i="16"/>
  <c r="BI399" i="16"/>
  <c r="BI400" i="16"/>
  <c r="BI401" i="16"/>
  <c r="BI402" i="16"/>
  <c r="BI403" i="16"/>
  <c r="BI404" i="16"/>
  <c r="BI405" i="16"/>
  <c r="BI406" i="16"/>
  <c r="BI407" i="16"/>
  <c r="BI408" i="16"/>
  <c r="BI409" i="16"/>
  <c r="BI410" i="16"/>
  <c r="BI411" i="16"/>
  <c r="BI412" i="16"/>
  <c r="BI413" i="16"/>
  <c r="BI414" i="16"/>
  <c r="BI415" i="16"/>
  <c r="BI416" i="16"/>
  <c r="BI417" i="16"/>
  <c r="BI418" i="16"/>
  <c r="BI419" i="16"/>
  <c r="BI420" i="16"/>
  <c r="BI421" i="16"/>
  <c r="BI422" i="16"/>
  <c r="BI423" i="16"/>
  <c r="BI424" i="16"/>
  <c r="BI425" i="16"/>
  <c r="BI426" i="16"/>
  <c r="BI427" i="16"/>
  <c r="BI428" i="16"/>
  <c r="BI429" i="16"/>
  <c r="BI430" i="16"/>
  <c r="BI431" i="16"/>
  <c r="BI432" i="16"/>
  <c r="BI433" i="16"/>
  <c r="BI434" i="16"/>
  <c r="BI435" i="16"/>
  <c r="BI436" i="16"/>
  <c r="BI437" i="16"/>
  <c r="BI438" i="16"/>
  <c r="BI439" i="16"/>
  <c r="BI440" i="16"/>
  <c r="BI441" i="16"/>
  <c r="BI442" i="16"/>
  <c r="BI443" i="16"/>
  <c r="BI444" i="16"/>
  <c r="BI445" i="16"/>
  <c r="BI446" i="16"/>
  <c r="BI447" i="16"/>
  <c r="BI448" i="16"/>
  <c r="BI449" i="16"/>
  <c r="BI450" i="16"/>
  <c r="BI451" i="16"/>
  <c r="BI452" i="16"/>
  <c r="BI453" i="16"/>
  <c r="BI454" i="16"/>
  <c r="BI455" i="16"/>
  <c r="BI456" i="16"/>
  <c r="BI457" i="16"/>
  <c r="BI458" i="16"/>
  <c r="BI459" i="16"/>
  <c r="BI460" i="16"/>
  <c r="BI461" i="16"/>
  <c r="BI462" i="16"/>
  <c r="BI463" i="16"/>
  <c r="BI464" i="16"/>
  <c r="BI465" i="16"/>
  <c r="BI466" i="16"/>
  <c r="BI467" i="16"/>
  <c r="BI468" i="16"/>
  <c r="BI469" i="16"/>
  <c r="BI470" i="16"/>
  <c r="BI471" i="16"/>
  <c r="BI472" i="16"/>
  <c r="BI473" i="16"/>
  <c r="BI474" i="16"/>
  <c r="BI475" i="16"/>
  <c r="BI476" i="16"/>
  <c r="BI477" i="16"/>
  <c r="BI478" i="16"/>
  <c r="BI479" i="16"/>
  <c r="BI480" i="16"/>
  <c r="BI481" i="16"/>
  <c r="BI482" i="16"/>
  <c r="BI483" i="16"/>
  <c r="BI484" i="16"/>
  <c r="BI485" i="16"/>
  <c r="BI486" i="16"/>
  <c r="BI487" i="16"/>
  <c r="BI488" i="16"/>
  <c r="BI489" i="16"/>
  <c r="BI490" i="16"/>
  <c r="BI491" i="16"/>
  <c r="BI492" i="16"/>
  <c r="BI493" i="16"/>
  <c r="BI494" i="16"/>
  <c r="BI495" i="16"/>
  <c r="BI496" i="16"/>
  <c r="BI497" i="16"/>
  <c r="BI498" i="16"/>
  <c r="BI499" i="16"/>
  <c r="BI500" i="16"/>
  <c r="BI501" i="16"/>
  <c r="BI502" i="16"/>
  <c r="BI503" i="16"/>
  <c r="BI504" i="16"/>
  <c r="BI505" i="16"/>
  <c r="BI506" i="16"/>
  <c r="BI507" i="16"/>
  <c r="BI508" i="16"/>
  <c r="BI509" i="16"/>
  <c r="BI510" i="16"/>
  <c r="BI511" i="16"/>
  <c r="BI512" i="16"/>
  <c r="BI513" i="16"/>
  <c r="BI514" i="16"/>
  <c r="BI515" i="16"/>
  <c r="BI516" i="16"/>
  <c r="BI517" i="16"/>
  <c r="BI518" i="16"/>
  <c r="BI519" i="16"/>
  <c r="BI520" i="16"/>
  <c r="BI521" i="16"/>
  <c r="BI522" i="16"/>
  <c r="BI523" i="16"/>
  <c r="BI524" i="16"/>
  <c r="BI525" i="16"/>
  <c r="BI526" i="16"/>
  <c r="BI527" i="16"/>
  <c r="BI528" i="16"/>
  <c r="BI529" i="16"/>
  <c r="BI530" i="16"/>
  <c r="BI531" i="16"/>
  <c r="BI532" i="16"/>
  <c r="BI533" i="16"/>
  <c r="BI534" i="16"/>
  <c r="BI535" i="16"/>
  <c r="BI536" i="16"/>
  <c r="BI537" i="16"/>
  <c r="BI538" i="16"/>
  <c r="BI539" i="16"/>
  <c r="BI540" i="16"/>
  <c r="BI541" i="16"/>
  <c r="BI542" i="16"/>
  <c r="BI543" i="16"/>
  <c r="BI544" i="16"/>
  <c r="BI21" i="16"/>
  <c r="BI20" i="16"/>
  <c r="BI19" i="16"/>
  <c r="BI18" i="16"/>
  <c r="BI17"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AZ21" i="16"/>
  <c r="AZ20" i="16"/>
  <c r="AZ19" i="16"/>
  <c r="AZ18" i="16"/>
  <c r="AZ17" i="16"/>
  <c r="Y63" i="16"/>
  <c r="Y21" i="16"/>
  <c r="Y20" i="16"/>
  <c r="Y19" i="16"/>
  <c r="Y18" i="16"/>
  <c r="Y17" i="16"/>
  <c r="Y1102" i="16"/>
  <c r="Y1103" i="16"/>
  <c r="Y1104" i="16"/>
  <c r="Y1105" i="16"/>
  <c r="Y1106" i="16"/>
  <c r="Y1107" i="16"/>
  <c r="Y1108" i="16"/>
  <c r="Y1109" i="16"/>
  <c r="Y1110" i="16"/>
  <c r="Y1111" i="16"/>
  <c r="Y1112" i="16"/>
  <c r="Y1113" i="16"/>
  <c r="Y1114" i="16"/>
  <c r="Y1115" i="16"/>
  <c r="Y1116" i="16"/>
  <c r="Y1117" i="16"/>
  <c r="Y1118" i="16"/>
  <c r="Y1119" i="16"/>
  <c r="Y1120" i="16"/>
  <c r="Y1121" i="16"/>
  <c r="Y1122" i="16"/>
  <c r="Y1123" i="16"/>
  <c r="Y1124" i="16"/>
  <c r="Y1125" i="16"/>
  <c r="Y1126" i="16"/>
  <c r="Y1127" i="16"/>
  <c r="Y1128" i="16"/>
  <c r="Y1129" i="16"/>
  <c r="Y1130" i="16"/>
  <c r="Y1131" i="16"/>
  <c r="Y1132" i="16"/>
  <c r="Y1133" i="16"/>
  <c r="Y1134" i="16"/>
  <c r="Y1135" i="16"/>
  <c r="Y1136" i="16"/>
  <c r="Y1137" i="16"/>
  <c r="Y1138" i="16"/>
  <c r="Y1139" i="16"/>
  <c r="Y1140" i="16"/>
  <c r="Y1141" i="16"/>
  <c r="Y1142" i="16"/>
  <c r="Y1143" i="16"/>
  <c r="Y1144" i="16"/>
  <c r="Y1145" i="16"/>
  <c r="Y1146" i="16"/>
  <c r="Y1147" i="16"/>
  <c r="Y1148" i="16"/>
  <c r="Y1149" i="16"/>
  <c r="Y1150" i="16"/>
  <c r="Y1151" i="16"/>
  <c r="Y1152" i="16"/>
  <c r="Y1153" i="16"/>
  <c r="Y1154" i="16"/>
  <c r="Y1155" i="16"/>
  <c r="Y1156" i="16"/>
  <c r="Y1157" i="16"/>
  <c r="Y1158" i="16"/>
  <c r="Y1159" i="16"/>
  <c r="Y1160" i="16"/>
  <c r="Y1161" i="16"/>
  <c r="Y1162" i="16"/>
  <c r="Y1163" i="16"/>
  <c r="Y1164" i="16"/>
  <c r="Y1165" i="16"/>
  <c r="Y1166" i="16"/>
  <c r="Y1167" i="16"/>
  <c r="Y1168" i="16"/>
  <c r="Y1169" i="16"/>
  <c r="Y1170" i="16"/>
  <c r="Y1171" i="16"/>
  <c r="Y1172" i="16"/>
  <c r="Y1173" i="16"/>
  <c r="Y1174" i="16"/>
  <c r="Y1175" i="16"/>
  <c r="Y1176" i="16"/>
  <c r="Y1177" i="16"/>
  <c r="Y1178" i="16"/>
  <c r="Y1179" i="16"/>
  <c r="Y1180" i="16"/>
  <c r="Y1181" i="16"/>
  <c r="Y1182" i="16"/>
  <c r="Y1183" i="16"/>
  <c r="Y1184" i="16"/>
  <c r="Y1185" i="16"/>
  <c r="Y1186" i="16"/>
  <c r="Y1187" i="16"/>
  <c r="Y1188" i="16"/>
  <c r="Y1189" i="16"/>
  <c r="Y1190" i="16"/>
  <c r="Y1191" i="16"/>
  <c r="Y1192" i="16"/>
  <c r="Y1193" i="16"/>
  <c r="Y1194" i="16"/>
  <c r="Y1195" i="16"/>
  <c r="Y1196" i="16"/>
  <c r="Y1197" i="16"/>
  <c r="Y1198" i="16"/>
  <c r="Y1199" i="16"/>
  <c r="Y1200" i="16"/>
  <c r="Y1201" i="16"/>
  <c r="Y1202" i="16"/>
  <c r="Y1203" i="16"/>
  <c r="Y1204" i="16"/>
  <c r="Y1205" i="16"/>
  <c r="Y1206" i="16"/>
  <c r="Y1207" i="16"/>
  <c r="Y1208" i="16"/>
  <c r="Y1209" i="16"/>
  <c r="Y1210" i="16"/>
  <c r="Y1211" i="16"/>
  <c r="Y1212" i="16"/>
  <c r="Y1213" i="16"/>
  <c r="Y1214" i="16"/>
  <c r="Y1215" i="16"/>
  <c r="Y1216" i="16"/>
  <c r="Y1217" i="16"/>
  <c r="Y1218" i="16"/>
  <c r="Y1219" i="16"/>
  <c r="Y1220" i="16"/>
  <c r="Y1221" i="16"/>
  <c r="Y1222" i="16"/>
  <c r="Y1223" i="16"/>
  <c r="Y1224" i="16"/>
  <c r="Y1225" i="16"/>
  <c r="Y1226" i="16"/>
  <c r="Y1227" i="16"/>
  <c r="Y1228" i="16"/>
  <c r="Y1229" i="16"/>
  <c r="Y1230" i="16"/>
  <c r="Y1231" i="16"/>
  <c r="Y1232" i="16"/>
  <c r="Y1233" i="16"/>
  <c r="Y1234" i="16"/>
  <c r="Y1235" i="16"/>
  <c r="Y1236" i="16"/>
  <c r="Y1237" i="16"/>
  <c r="Y1238" i="16"/>
  <c r="Y1239" i="16"/>
  <c r="Y1240" i="16"/>
  <c r="Y1241" i="16"/>
  <c r="Y1242" i="16"/>
  <c r="Y1243" i="16"/>
  <c r="Y1244" i="16"/>
  <c r="Y1245" i="16"/>
  <c r="Y1246" i="16"/>
  <c r="Y1247" i="16"/>
  <c r="Y1248" i="16"/>
  <c r="Y1249" i="16"/>
  <c r="Y1250" i="16"/>
  <c r="Y1251" i="16"/>
  <c r="Y1252" i="16"/>
  <c r="Y1253" i="16"/>
  <c r="Y1254" i="16"/>
  <c r="Y1255" i="16"/>
  <c r="Y1256" i="16"/>
  <c r="Y1257" i="16"/>
  <c r="Y1258" i="16"/>
  <c r="Y1259" i="16"/>
  <c r="Y1260" i="16"/>
  <c r="Y1261" i="16"/>
  <c r="Y1262" i="16"/>
  <c r="Y1263" i="16"/>
  <c r="Y1264" i="16"/>
  <c r="Y1265" i="16"/>
  <c r="Y1266" i="16"/>
  <c r="Y1267" i="16"/>
  <c r="Y1268" i="16"/>
  <c r="Y1269" i="16"/>
  <c r="Y1270" i="16"/>
  <c r="Y1271" i="16"/>
  <c r="Y1272" i="16"/>
  <c r="Y1273" i="16"/>
  <c r="Y1274" i="16"/>
  <c r="Y1275" i="16"/>
  <c r="Y1276" i="16"/>
  <c r="Y1277" i="16"/>
  <c r="Y1278" i="16"/>
  <c r="Y1279" i="16"/>
  <c r="Y1280" i="16"/>
  <c r="Y1281" i="16"/>
  <c r="Y1282" i="16"/>
  <c r="Y1283" i="16"/>
  <c r="Y1284" i="16"/>
  <c r="Y1285" i="16"/>
  <c r="Y1286" i="16"/>
  <c r="Y1287" i="16"/>
  <c r="Y1288" i="16"/>
  <c r="Y1289" i="16"/>
  <c r="Y1290" i="16"/>
  <c r="Y1291" i="16"/>
  <c r="Y1292" i="16"/>
  <c r="Y1293" i="16"/>
  <c r="Y1294" i="16"/>
  <c r="Y1295" i="16"/>
  <c r="Y1296" i="16"/>
  <c r="Y1297" i="16"/>
  <c r="Y1298" i="16"/>
  <c r="Y1299" i="16"/>
  <c r="Y1300" i="16"/>
  <c r="Y1301" i="16"/>
  <c r="Y1302" i="16"/>
  <c r="Y1303" i="16"/>
  <c r="Y1304" i="16"/>
  <c r="Y1305" i="16"/>
  <c r="Y1306" i="16"/>
  <c r="Y1307" i="16"/>
  <c r="Y1308" i="16"/>
  <c r="Y1309" i="16"/>
  <c r="Y1310" i="16"/>
  <c r="Y1311" i="16"/>
  <c r="Y1312" i="16"/>
  <c r="Y1313" i="16"/>
  <c r="Y1314" i="16"/>
  <c r="Y1315" i="16"/>
  <c r="Y1316" i="16"/>
  <c r="Y1317" i="16"/>
  <c r="Y1318" i="16"/>
  <c r="Y1319" i="16"/>
  <c r="Y1320" i="16"/>
  <c r="Y1321" i="16"/>
  <c r="Y1322" i="16"/>
  <c r="Y1323" i="16"/>
  <c r="Y1324" i="16"/>
  <c r="Y1325" i="16"/>
  <c r="Y1326" i="16"/>
  <c r="Y1327" i="16"/>
  <c r="Y1328" i="16"/>
  <c r="Y1329" i="16"/>
  <c r="Y1330" i="16"/>
  <c r="Y1331" i="16"/>
  <c r="Y1332" i="16"/>
  <c r="Y1333" i="16"/>
  <c r="Y1334" i="16"/>
  <c r="Y1335" i="16"/>
  <c r="Y1336" i="16"/>
  <c r="Y1337" i="16"/>
  <c r="Y1338" i="16"/>
  <c r="Y1339" i="16"/>
  <c r="Y1340" i="16"/>
  <c r="Y1341" i="16"/>
  <c r="Y1342" i="16"/>
  <c r="Y1343" i="16"/>
  <c r="Y1344" i="16"/>
  <c r="Y1345" i="16"/>
  <c r="Y1346" i="16"/>
  <c r="Y1347" i="16"/>
  <c r="Y1348" i="16"/>
  <c r="Y1349" i="16"/>
  <c r="Y1350" i="16"/>
  <c r="Y1351" i="16"/>
  <c r="Y1352" i="16"/>
  <c r="Y1353" i="16"/>
  <c r="Y1354" i="16"/>
  <c r="Y1355" i="16"/>
  <c r="Y1356" i="16"/>
  <c r="Y1357" i="16"/>
  <c r="Y1358" i="16"/>
  <c r="Y1359" i="16"/>
  <c r="Y1360" i="16"/>
  <c r="Y1361" i="16"/>
  <c r="Y1362" i="16"/>
  <c r="Y1363" i="16"/>
  <c r="Y1364" i="16"/>
  <c r="Y1365" i="16"/>
  <c r="Y1366" i="16"/>
  <c r="Y1367" i="16"/>
  <c r="Y1368" i="16"/>
  <c r="Y1369" i="16"/>
  <c r="Y1370" i="16"/>
  <c r="Y1371" i="16"/>
  <c r="Y1372" i="16"/>
  <c r="Y1373" i="16"/>
  <c r="Y1374" i="16"/>
  <c r="Y1375" i="16"/>
  <c r="Y1376" i="16"/>
  <c r="Y1377" i="16"/>
  <c r="Y1378" i="16"/>
  <c r="Y1379" i="16"/>
  <c r="Y1380" i="16"/>
  <c r="Y1381" i="16"/>
  <c r="Y1382" i="16"/>
  <c r="Y1383" i="16"/>
  <c r="Y1384" i="16"/>
  <c r="Y1385" i="16"/>
  <c r="Y1386" i="16"/>
  <c r="Y1387" i="16"/>
  <c r="Y1388" i="16"/>
  <c r="Y1389" i="16"/>
  <c r="Y1390" i="16"/>
  <c r="Y1391" i="16"/>
  <c r="Y1392" i="16"/>
  <c r="Y1393" i="16"/>
  <c r="Y1394" i="16"/>
  <c r="Y1395" i="16"/>
  <c r="Y1396" i="16"/>
  <c r="Y1397" i="16"/>
  <c r="Y1398" i="16"/>
  <c r="Y1399" i="16"/>
  <c r="Y1400" i="16"/>
  <c r="Y1401" i="16"/>
  <c r="Y1402" i="16"/>
  <c r="Y1403" i="16"/>
  <c r="Y1404" i="16"/>
  <c r="Y1405" i="16"/>
  <c r="Y1406" i="16"/>
  <c r="Y1407" i="16"/>
  <c r="Y1408" i="16"/>
  <c r="Y1409" i="16"/>
  <c r="Y1410" i="16"/>
  <c r="Y1411" i="16"/>
  <c r="Y1412" i="16"/>
  <c r="Y1413" i="16"/>
  <c r="Y1414" i="16"/>
  <c r="Y1415" i="16"/>
  <c r="Y1416" i="16"/>
  <c r="Y1417" i="16"/>
  <c r="Y1418" i="16"/>
  <c r="Y1419" i="16"/>
  <c r="Y1420" i="16"/>
  <c r="Y1421" i="16"/>
  <c r="Y1422" i="16"/>
  <c r="Y1423" i="16"/>
  <c r="Y1424" i="16"/>
  <c r="Y1425" i="16"/>
  <c r="Y1426" i="16"/>
  <c r="Y1427" i="16"/>
  <c r="Y1428" i="16"/>
  <c r="Y1429" i="16"/>
  <c r="Y1430" i="16"/>
  <c r="Y1431" i="16"/>
  <c r="Y1432" i="16"/>
  <c r="Y1433" i="16"/>
  <c r="Y1434" i="16"/>
  <c r="Y1435" i="16"/>
  <c r="Y1436" i="16"/>
  <c r="Y1437" i="16"/>
  <c r="Y1438" i="16"/>
  <c r="Y1439" i="16"/>
  <c r="Y1440" i="16"/>
  <c r="Y1441" i="16"/>
  <c r="Y1442" i="16"/>
  <c r="Y1443" i="16"/>
  <c r="Y1444" i="16"/>
  <c r="Y1445" i="16"/>
  <c r="Y1446" i="16"/>
  <c r="Y1447" i="16"/>
  <c r="Y1448" i="16"/>
  <c r="Y1449" i="16"/>
  <c r="Y1450" i="16"/>
  <c r="Y1451" i="16"/>
  <c r="Y1452" i="16"/>
  <c r="Y1453" i="16"/>
  <c r="Y1454" i="16"/>
  <c r="Y1455" i="16"/>
  <c r="Y1456" i="16"/>
  <c r="Y1457" i="16"/>
  <c r="Y1458" i="16"/>
  <c r="Y1459" i="16"/>
  <c r="Y1460" i="16"/>
  <c r="Y1461" i="16"/>
  <c r="Y1462" i="16"/>
  <c r="Y1463" i="16"/>
  <c r="Y1464" i="16"/>
  <c r="Y1465" i="16"/>
  <c r="Y1466" i="16"/>
  <c r="Y1467" i="16"/>
  <c r="Y1468" i="16"/>
  <c r="Y1469" i="16"/>
  <c r="Y1470" i="16"/>
  <c r="Y1471" i="16"/>
  <c r="Y1472" i="16"/>
  <c r="Y1473" i="16"/>
  <c r="Y1474" i="16"/>
  <c r="Y1475" i="16"/>
  <c r="Y1476" i="16"/>
  <c r="Y1477" i="16"/>
  <c r="Y1478" i="16"/>
  <c r="Y1479" i="16"/>
  <c r="Y1480" i="16"/>
  <c r="Y1481" i="16"/>
  <c r="Y1482" i="16"/>
  <c r="Y1483" i="16"/>
  <c r="Y1484" i="16"/>
  <c r="Y1485" i="16"/>
  <c r="Y1486" i="16"/>
  <c r="Y1487" i="16"/>
  <c r="Y1488" i="16"/>
  <c r="Y1489" i="16"/>
  <c r="Y1490" i="16"/>
  <c r="Y1491" i="16"/>
  <c r="Y1492" i="16"/>
  <c r="Y1493" i="16"/>
  <c r="Y1494" i="16"/>
  <c r="Y1495" i="16"/>
  <c r="Y1496" i="16"/>
  <c r="Y1497" i="16"/>
  <c r="Y1498" i="16"/>
  <c r="Y1499" i="16"/>
  <c r="Y1500" i="16"/>
  <c r="Y1501" i="16"/>
  <c r="Y1502" i="16"/>
  <c r="Y1503" i="16"/>
  <c r="Y1504" i="16"/>
  <c r="Y1505" i="16"/>
  <c r="Y1506" i="16"/>
  <c r="Y1507" i="16"/>
  <c r="Y1508" i="16"/>
  <c r="Y1509" i="16"/>
  <c r="Y1510" i="16"/>
  <c r="Y1511" i="16"/>
  <c r="Y1512" i="16"/>
  <c r="Y1513" i="16"/>
  <c r="Y1514" i="16"/>
  <c r="Y1515" i="16"/>
  <c r="Y1516" i="16"/>
  <c r="Y1517" i="16"/>
  <c r="Y1518" i="16"/>
  <c r="Y1519" i="16"/>
  <c r="Y1520" i="16"/>
  <c r="Y1521" i="16"/>
  <c r="Y1522" i="16"/>
  <c r="Y1523" i="16"/>
  <c r="Y1524" i="16"/>
  <c r="Y1525" i="16"/>
  <c r="Y1526" i="16"/>
  <c r="Y1527" i="16"/>
  <c r="Y1528" i="16"/>
  <c r="Y1529" i="16"/>
  <c r="Y1530" i="16"/>
  <c r="Y1531" i="16"/>
  <c r="Y1532" i="16"/>
  <c r="Y1533" i="16"/>
  <c r="Y1534" i="16"/>
  <c r="Y1535" i="16"/>
  <c r="Y1536" i="16"/>
  <c r="Y1537" i="16"/>
  <c r="Y1538" i="16"/>
  <c r="Y1539" i="16"/>
  <c r="Y1540" i="16"/>
  <c r="Y1541" i="16"/>
  <c r="Y1542" i="16"/>
  <c r="Y1543" i="16"/>
  <c r="Y1544" i="16"/>
  <c r="Y1545" i="16"/>
  <c r="Y1546" i="16"/>
  <c r="Y1547" i="16"/>
  <c r="Y1548" i="16"/>
  <c r="Y1549" i="16"/>
  <c r="Y1550" i="16"/>
  <c r="Y1551" i="16"/>
  <c r="Y1552" i="16"/>
  <c r="Y1553" i="16"/>
  <c r="Y1554" i="16"/>
  <c r="Y1555" i="16"/>
  <c r="Y1556" i="16"/>
  <c r="Y1557" i="16"/>
  <c r="Y1558" i="16"/>
  <c r="Y1559" i="16"/>
  <c r="Y1560" i="16"/>
  <c r="Y1561" i="16"/>
  <c r="Y1562" i="16"/>
  <c r="Y1563" i="16"/>
  <c r="Y1564" i="16"/>
  <c r="Y1565" i="16"/>
  <c r="Y1566" i="16"/>
  <c r="Y1567" i="16"/>
  <c r="Y1568" i="16"/>
  <c r="Y1569" i="16"/>
  <c r="Y1570" i="16"/>
  <c r="Y1571" i="16"/>
  <c r="Y1572" i="16"/>
  <c r="Y1573" i="16"/>
  <c r="Y1574" i="16"/>
  <c r="Y1575" i="16"/>
  <c r="Y1576" i="16"/>
  <c r="Y1577" i="16"/>
  <c r="Y1578" i="16"/>
  <c r="Y1579" i="16"/>
  <c r="Y1580" i="16"/>
  <c r="Y1581" i="16"/>
  <c r="Y1582" i="16"/>
  <c r="Y1583" i="16"/>
  <c r="Y1584" i="16"/>
  <c r="Y1585" i="16"/>
  <c r="Y1586" i="16"/>
  <c r="Y1587" i="16"/>
  <c r="Y1588" i="16"/>
  <c r="Y1589" i="16"/>
  <c r="Y1590" i="16"/>
  <c r="Y1591" i="16"/>
  <c r="Y1592" i="16"/>
  <c r="Y1593" i="16"/>
  <c r="Y1594" i="16"/>
  <c r="Y1595" i="16"/>
  <c r="Y1596" i="16"/>
  <c r="Y1597" i="16"/>
  <c r="Y1598" i="16"/>
  <c r="Y1599" i="16"/>
  <c r="Y1600" i="16"/>
  <c r="Y1601" i="16"/>
  <c r="Y1602" i="16"/>
  <c r="Y1603" i="16"/>
  <c r="Y1604" i="16"/>
  <c r="Y1605" i="16"/>
  <c r="Y1606" i="16"/>
  <c r="Y1607" i="16"/>
  <c r="Y1608" i="16"/>
  <c r="Y1609" i="16"/>
  <c r="Y1610" i="16"/>
  <c r="Y1611" i="16"/>
  <c r="Y1612" i="16"/>
  <c r="Y1613" i="16"/>
  <c r="Y1614" i="16"/>
  <c r="Y1615" i="16"/>
  <c r="Y1616" i="16"/>
  <c r="Y1617" i="16"/>
  <c r="Y1618" i="16"/>
  <c r="Y1619" i="16"/>
  <c r="Y1620" i="16"/>
  <c r="Y1621" i="16"/>
  <c r="Y1622" i="16"/>
  <c r="Y1623" i="16"/>
  <c r="Y1624" i="16"/>
  <c r="Y1625" i="16"/>
  <c r="Y1626" i="16"/>
  <c r="Y1627" i="16"/>
  <c r="Y1628" i="16"/>
  <c r="Y1101" i="16"/>
  <c r="Y560" i="16"/>
  <c r="Y561" i="16"/>
  <c r="Y562" i="16"/>
  <c r="Y563" i="16"/>
  <c r="Y564" i="16"/>
  <c r="Y565" i="16"/>
  <c r="Y566" i="16"/>
  <c r="Y567" i="16"/>
  <c r="Y568" i="16"/>
  <c r="Y569" i="16"/>
  <c r="Y570" i="16"/>
  <c r="Y571" i="16"/>
  <c r="Y572" i="16"/>
  <c r="Y573" i="16"/>
  <c r="Y574" i="16"/>
  <c r="Y575" i="16"/>
  <c r="Y576" i="16"/>
  <c r="Y577" i="16"/>
  <c r="Y578" i="16"/>
  <c r="Y579" i="16"/>
  <c r="Y580" i="16"/>
  <c r="Y581" i="16"/>
  <c r="Y582" i="16"/>
  <c r="Y583" i="16"/>
  <c r="Y584" i="16"/>
  <c r="Y585" i="16"/>
  <c r="Y586" i="16"/>
  <c r="Y587" i="16"/>
  <c r="Y588" i="16"/>
  <c r="Y589" i="16"/>
  <c r="Y590" i="16"/>
  <c r="Y591" i="16"/>
  <c r="Y592" i="16"/>
  <c r="Y593" i="16"/>
  <c r="Y594" i="16"/>
  <c r="Y595" i="16"/>
  <c r="Y596" i="16"/>
  <c r="Y597" i="16"/>
  <c r="Y598" i="16"/>
  <c r="Y599" i="16"/>
  <c r="Y600" i="16"/>
  <c r="Y601" i="16"/>
  <c r="Y602" i="16"/>
  <c r="Y603" i="16"/>
  <c r="Y604" i="16"/>
  <c r="Y605" i="16"/>
  <c r="Y606" i="16"/>
  <c r="Y607" i="16"/>
  <c r="Y608" i="16"/>
  <c r="Y609" i="16"/>
  <c r="Y610" i="16"/>
  <c r="Y611" i="16"/>
  <c r="Y612" i="16"/>
  <c r="Y613" i="16"/>
  <c r="Y614" i="16"/>
  <c r="Y615" i="16"/>
  <c r="Y616" i="16"/>
  <c r="Y617" i="16"/>
  <c r="Y618" i="16"/>
  <c r="Y619" i="16"/>
  <c r="Y620" i="16"/>
  <c r="Y621" i="16"/>
  <c r="Y622" i="16"/>
  <c r="Y623" i="16"/>
  <c r="Y624" i="16"/>
  <c r="Y625" i="16"/>
  <c r="Y626" i="16"/>
  <c r="Y627" i="16"/>
  <c r="Y628" i="16"/>
  <c r="Y629" i="16"/>
  <c r="Y630" i="16"/>
  <c r="Y631" i="16"/>
  <c r="Y632" i="16"/>
  <c r="Y633" i="16"/>
  <c r="Y634" i="16"/>
  <c r="Y635" i="16"/>
  <c r="Y636" i="16"/>
  <c r="Y637" i="16"/>
  <c r="Y638" i="16"/>
  <c r="Y639" i="16"/>
  <c r="Y640" i="16"/>
  <c r="Y641" i="16"/>
  <c r="Y642" i="16"/>
  <c r="Y643" i="16"/>
  <c r="Y644" i="16"/>
  <c r="Y645" i="16"/>
  <c r="Y646" i="16"/>
  <c r="Y647" i="16"/>
  <c r="Y648" i="16"/>
  <c r="Y649" i="16"/>
  <c r="Y650" i="16"/>
  <c r="Y651" i="16"/>
  <c r="Y652" i="16"/>
  <c r="Y653" i="16"/>
  <c r="Y654" i="16"/>
  <c r="Y655" i="16"/>
  <c r="Y656" i="16"/>
  <c r="Y657" i="16"/>
  <c r="Y658" i="16"/>
  <c r="Y659" i="16"/>
  <c r="Y660" i="16"/>
  <c r="Y661" i="16"/>
  <c r="Y662" i="16"/>
  <c r="Y663" i="16"/>
  <c r="Y664" i="16"/>
  <c r="Y665" i="16"/>
  <c r="Y666" i="16"/>
  <c r="Y667" i="16"/>
  <c r="Y668" i="16"/>
  <c r="Y669" i="16"/>
  <c r="Y670" i="16"/>
  <c r="Y671" i="16"/>
  <c r="Y672" i="16"/>
  <c r="Y673" i="16"/>
  <c r="Y674" i="16"/>
  <c r="Y675" i="16"/>
  <c r="Y676" i="16"/>
  <c r="Y677" i="16"/>
  <c r="Y678" i="16"/>
  <c r="Y679" i="16"/>
  <c r="Y680" i="16"/>
  <c r="Y681" i="16"/>
  <c r="Y682" i="16"/>
  <c r="Y683" i="16"/>
  <c r="Y684" i="16"/>
  <c r="Y685" i="16"/>
  <c r="Y686" i="16"/>
  <c r="Y687" i="16"/>
  <c r="Y688" i="16"/>
  <c r="Y689" i="16"/>
  <c r="Y690" i="16"/>
  <c r="Y691" i="16"/>
  <c r="Y692" i="16"/>
  <c r="Y693" i="16"/>
  <c r="Y694" i="16"/>
  <c r="Y695" i="16"/>
  <c r="Y696" i="16"/>
  <c r="Y697" i="16"/>
  <c r="Y698" i="16"/>
  <c r="Y699" i="16"/>
  <c r="Y700" i="16"/>
  <c r="Y701" i="16"/>
  <c r="Y702" i="16"/>
  <c r="Y703" i="16"/>
  <c r="Y704" i="16"/>
  <c r="Y705" i="16"/>
  <c r="Y706" i="16"/>
  <c r="Y707" i="16"/>
  <c r="Y708" i="16"/>
  <c r="Y709" i="16"/>
  <c r="Y710" i="16"/>
  <c r="Y711" i="16"/>
  <c r="Y712" i="16"/>
  <c r="Y713" i="16"/>
  <c r="Y714" i="16"/>
  <c r="Y715" i="16"/>
  <c r="Y716" i="16"/>
  <c r="Y717" i="16"/>
  <c r="Y718" i="16"/>
  <c r="Y719" i="16"/>
  <c r="Y720" i="16"/>
  <c r="Y721" i="16"/>
  <c r="Y722" i="16"/>
  <c r="Y723" i="16"/>
  <c r="Y724" i="16"/>
  <c r="Y725" i="16"/>
  <c r="Y726" i="16"/>
  <c r="Y727" i="16"/>
  <c r="Y728" i="16"/>
  <c r="Y729" i="16"/>
  <c r="Y730" i="16"/>
  <c r="Y731" i="16"/>
  <c r="Y732" i="16"/>
  <c r="Y733" i="16"/>
  <c r="Y734" i="16"/>
  <c r="Y735" i="16"/>
  <c r="Y736" i="16"/>
  <c r="Y737" i="16"/>
  <c r="Y738" i="16"/>
  <c r="Y739" i="16"/>
  <c r="Y740" i="16"/>
  <c r="Y741" i="16"/>
  <c r="Y742" i="16"/>
  <c r="Y743" i="16"/>
  <c r="Y744" i="16"/>
  <c r="Y745" i="16"/>
  <c r="Y746" i="16"/>
  <c r="Y747" i="16"/>
  <c r="Y748" i="16"/>
  <c r="Y749" i="16"/>
  <c r="Y750" i="16"/>
  <c r="Y751" i="16"/>
  <c r="Y752" i="16"/>
  <c r="Y753" i="16"/>
  <c r="Y754" i="16"/>
  <c r="Y755" i="16"/>
  <c r="Y756" i="16"/>
  <c r="Y757" i="16"/>
  <c r="Y758" i="16"/>
  <c r="Y759" i="16"/>
  <c r="Y760" i="16"/>
  <c r="Y761" i="16"/>
  <c r="Y762" i="16"/>
  <c r="Y763" i="16"/>
  <c r="Y764" i="16"/>
  <c r="Y765" i="16"/>
  <c r="Y766" i="16"/>
  <c r="Y767" i="16"/>
  <c r="Y768" i="16"/>
  <c r="Y769" i="16"/>
  <c r="Y770" i="16"/>
  <c r="Y771" i="16"/>
  <c r="Y772" i="16"/>
  <c r="Y773" i="16"/>
  <c r="Y774" i="16"/>
  <c r="Y775" i="16"/>
  <c r="Y776" i="16"/>
  <c r="Y777" i="16"/>
  <c r="Y778" i="16"/>
  <c r="Y779" i="16"/>
  <c r="Y780" i="16"/>
  <c r="Y781" i="16"/>
  <c r="Y782" i="16"/>
  <c r="Y783" i="16"/>
  <c r="Y784" i="16"/>
  <c r="Y785" i="16"/>
  <c r="Y786" i="16"/>
  <c r="Y787" i="16"/>
  <c r="Y788" i="16"/>
  <c r="Y789" i="16"/>
  <c r="Y790" i="16"/>
  <c r="Y791" i="16"/>
  <c r="Y792" i="16"/>
  <c r="Y793" i="16"/>
  <c r="Y794" i="16"/>
  <c r="Y795" i="16"/>
  <c r="Y796" i="16"/>
  <c r="Y797" i="16"/>
  <c r="Y798" i="16"/>
  <c r="Y799" i="16"/>
  <c r="Y800" i="16"/>
  <c r="Y801" i="16"/>
  <c r="Y802" i="16"/>
  <c r="Y803" i="16"/>
  <c r="Y804" i="16"/>
  <c r="Y805" i="16"/>
  <c r="Y806" i="16"/>
  <c r="Y807" i="16"/>
  <c r="Y808" i="16"/>
  <c r="Y809" i="16"/>
  <c r="Y810" i="16"/>
  <c r="Y811" i="16"/>
  <c r="Y812" i="16"/>
  <c r="Y813" i="16"/>
  <c r="Y814" i="16"/>
  <c r="Y815" i="16"/>
  <c r="Y816" i="16"/>
  <c r="Y817" i="16"/>
  <c r="Y818" i="16"/>
  <c r="Y819" i="16"/>
  <c r="Y820" i="16"/>
  <c r="Y821" i="16"/>
  <c r="Y822" i="16"/>
  <c r="Y823" i="16"/>
  <c r="Y824" i="16"/>
  <c r="Y825" i="16"/>
  <c r="Y826" i="16"/>
  <c r="Y827" i="16"/>
  <c r="Y828" i="16"/>
  <c r="Y829" i="16"/>
  <c r="Y830" i="16"/>
  <c r="Y831" i="16"/>
  <c r="Y832" i="16"/>
  <c r="Y833" i="16"/>
  <c r="Y834" i="16"/>
  <c r="Y835" i="16"/>
  <c r="Y836" i="16"/>
  <c r="Y837" i="16"/>
  <c r="Y838" i="16"/>
  <c r="Y839" i="16"/>
  <c r="Y840" i="16"/>
  <c r="Y841" i="16"/>
  <c r="Y842" i="16"/>
  <c r="Y843" i="16"/>
  <c r="Y844" i="16"/>
  <c r="Y845" i="16"/>
  <c r="Y846" i="16"/>
  <c r="Y847" i="16"/>
  <c r="Y848" i="16"/>
  <c r="Y849" i="16"/>
  <c r="Y850" i="16"/>
  <c r="Y851" i="16"/>
  <c r="Y852" i="16"/>
  <c r="Y853" i="16"/>
  <c r="Y854" i="16"/>
  <c r="Y855" i="16"/>
  <c r="Y856" i="16"/>
  <c r="Y857" i="16"/>
  <c r="Y858" i="16"/>
  <c r="Y859" i="16"/>
  <c r="Y860" i="16"/>
  <c r="Y861" i="16"/>
  <c r="Y862" i="16"/>
  <c r="Y863" i="16"/>
  <c r="Y864" i="16"/>
  <c r="Y865" i="16"/>
  <c r="Y866" i="16"/>
  <c r="Y867" i="16"/>
  <c r="Y868" i="16"/>
  <c r="Y869" i="16"/>
  <c r="Y870" i="16"/>
  <c r="Y871" i="16"/>
  <c r="Y872" i="16"/>
  <c r="Y873" i="16"/>
  <c r="Y874" i="16"/>
  <c r="Y875" i="16"/>
  <c r="Y876" i="16"/>
  <c r="Y877" i="16"/>
  <c r="Y878" i="16"/>
  <c r="Y879" i="16"/>
  <c r="Y880" i="16"/>
  <c r="Y881" i="16"/>
  <c r="Y882" i="16"/>
  <c r="Y883" i="16"/>
  <c r="Y884" i="16"/>
  <c r="Y885" i="16"/>
  <c r="Y886" i="16"/>
  <c r="Y887" i="16"/>
  <c r="Y888" i="16"/>
  <c r="Y889" i="16"/>
  <c r="Y890" i="16"/>
  <c r="Y891" i="16"/>
  <c r="Y892" i="16"/>
  <c r="Y893" i="16"/>
  <c r="Y894" i="16"/>
  <c r="Y895" i="16"/>
  <c r="Y896" i="16"/>
  <c r="Y897" i="16"/>
  <c r="Y898" i="16"/>
  <c r="Y899" i="16"/>
  <c r="Y900" i="16"/>
  <c r="Y901" i="16"/>
  <c r="Y902" i="16"/>
  <c r="Y903" i="16"/>
  <c r="Y904" i="16"/>
  <c r="Y905" i="16"/>
  <c r="Y906" i="16"/>
  <c r="Y907" i="16"/>
  <c r="Y908" i="16"/>
  <c r="Y909" i="16"/>
  <c r="Y910" i="16"/>
  <c r="Y911" i="16"/>
  <c r="Y912" i="16"/>
  <c r="Y913" i="16"/>
  <c r="Y914" i="16"/>
  <c r="Y915" i="16"/>
  <c r="Y916" i="16"/>
  <c r="Y917" i="16"/>
  <c r="Y918" i="16"/>
  <c r="Y919" i="16"/>
  <c r="Y920" i="16"/>
  <c r="Y921" i="16"/>
  <c r="Y922" i="16"/>
  <c r="Y923" i="16"/>
  <c r="Y924" i="16"/>
  <c r="Y925" i="16"/>
  <c r="Y926" i="16"/>
  <c r="Y927" i="16"/>
  <c r="Y928" i="16"/>
  <c r="Y929" i="16"/>
  <c r="Y930" i="16"/>
  <c r="Y931" i="16"/>
  <c r="Y932" i="16"/>
  <c r="Y933" i="16"/>
  <c r="Y934" i="16"/>
  <c r="Y935" i="16"/>
  <c r="Y936" i="16"/>
  <c r="Y937" i="16"/>
  <c r="Y938" i="16"/>
  <c r="Y939" i="16"/>
  <c r="Y940" i="16"/>
  <c r="Y941" i="16"/>
  <c r="Y942" i="16"/>
  <c r="Y943" i="16"/>
  <c r="Y944" i="16"/>
  <c r="Y945" i="16"/>
  <c r="Y946" i="16"/>
  <c r="Y947" i="16"/>
  <c r="Y948" i="16"/>
  <c r="Y949" i="16"/>
  <c r="Y950" i="16"/>
  <c r="Y951" i="16"/>
  <c r="Y952" i="16"/>
  <c r="Y953" i="16"/>
  <c r="Y954" i="16"/>
  <c r="Y955" i="16"/>
  <c r="Y956" i="16"/>
  <c r="Y957" i="16"/>
  <c r="Y958" i="16"/>
  <c r="Y959" i="16"/>
  <c r="Y960" i="16"/>
  <c r="Y961" i="16"/>
  <c r="Y962" i="16"/>
  <c r="Y963" i="16"/>
  <c r="Y964" i="16"/>
  <c r="Y965" i="16"/>
  <c r="Y966" i="16"/>
  <c r="Y967" i="16"/>
  <c r="Y968" i="16"/>
  <c r="Y969" i="16"/>
  <c r="Y970" i="16"/>
  <c r="Y971" i="16"/>
  <c r="Y972" i="16"/>
  <c r="Y973" i="16"/>
  <c r="Y974" i="16"/>
  <c r="Y975" i="16"/>
  <c r="Y976" i="16"/>
  <c r="Y977" i="16"/>
  <c r="Y978" i="16"/>
  <c r="Y979" i="16"/>
  <c r="Y980" i="16"/>
  <c r="Y981" i="16"/>
  <c r="Y982" i="16"/>
  <c r="Y983" i="16"/>
  <c r="Y984" i="16"/>
  <c r="Y985" i="16"/>
  <c r="Y986" i="16"/>
  <c r="Y987" i="16"/>
  <c r="Y988" i="16"/>
  <c r="Y989" i="16"/>
  <c r="Y990" i="16"/>
  <c r="Y991" i="16"/>
  <c r="Y992" i="16"/>
  <c r="Y993" i="16"/>
  <c r="Y994" i="16"/>
  <c r="Y995" i="16"/>
  <c r="Y996" i="16"/>
  <c r="Y997" i="16"/>
  <c r="Y998" i="16"/>
  <c r="Y999" i="16"/>
  <c r="Y1000" i="16"/>
  <c r="Y1001" i="16"/>
  <c r="Y1002" i="16"/>
  <c r="Y1003" i="16"/>
  <c r="Y1004" i="16"/>
  <c r="Y1005" i="16"/>
  <c r="Y1006" i="16"/>
  <c r="Y1007" i="16"/>
  <c r="Y1008" i="16"/>
  <c r="Y1009" i="16"/>
  <c r="Y1010" i="16"/>
  <c r="Y1011" i="16"/>
  <c r="Y1012" i="16"/>
  <c r="Y1013" i="16"/>
  <c r="Y1014" i="16"/>
  <c r="Y1015" i="16"/>
  <c r="Y1016" i="16"/>
  <c r="Y1017" i="16"/>
  <c r="Y1018" i="16"/>
  <c r="Y1019" i="16"/>
  <c r="Y1020" i="16"/>
  <c r="Y1021" i="16"/>
  <c r="Y1022" i="16"/>
  <c r="Y1023" i="16"/>
  <c r="Y1024" i="16"/>
  <c r="Y1025" i="16"/>
  <c r="Y1026" i="16"/>
  <c r="Y1027" i="16"/>
  <c r="Y1028" i="16"/>
  <c r="Y1029" i="16"/>
  <c r="Y1030" i="16"/>
  <c r="Y1031" i="16"/>
  <c r="Y1032" i="16"/>
  <c r="Y1033" i="16"/>
  <c r="Y1034" i="16"/>
  <c r="Y1035" i="16"/>
  <c r="Y1036" i="16"/>
  <c r="Y1037" i="16"/>
  <c r="Y1038" i="16"/>
  <c r="Y1039" i="16"/>
  <c r="Y1040" i="16"/>
  <c r="Y1041" i="16"/>
  <c r="Y1042" i="16"/>
  <c r="Y1043" i="16"/>
  <c r="Y1044" i="16"/>
  <c r="Y1045" i="16"/>
  <c r="Y1046" i="16"/>
  <c r="Y1047" i="16"/>
  <c r="Y1048" i="16"/>
  <c r="Y1049" i="16"/>
  <c r="Y1050" i="16"/>
  <c r="Y1051" i="16"/>
  <c r="Y1052" i="16"/>
  <c r="Y1053" i="16"/>
  <c r="Y1054" i="16"/>
  <c r="Y1055" i="16"/>
  <c r="Y1056" i="16"/>
  <c r="Y1057" i="16"/>
  <c r="Y1058" i="16"/>
  <c r="Y1059" i="16"/>
  <c r="Y1060" i="16"/>
  <c r="Y1061" i="16"/>
  <c r="Y1062" i="16"/>
  <c r="Y1063" i="16"/>
  <c r="Y1064" i="16"/>
  <c r="Y1065" i="16"/>
  <c r="Y1066" i="16"/>
  <c r="Y1067" i="16"/>
  <c r="Y1068" i="16"/>
  <c r="Y1069" i="16"/>
  <c r="Y1070" i="16"/>
  <c r="Y1071" i="16"/>
  <c r="Y1072" i="16"/>
  <c r="Y1073" i="16"/>
  <c r="Y1074" i="16"/>
  <c r="Y1075" i="16"/>
  <c r="Y1076" i="16"/>
  <c r="Y1077" i="16"/>
  <c r="Y1078" i="16"/>
  <c r="Y1079" i="16"/>
  <c r="Y1080" i="16"/>
  <c r="Y1081" i="16"/>
  <c r="Y1082" i="16"/>
  <c r="Y1083" i="16"/>
  <c r="Y1084" i="16"/>
  <c r="Y1085" i="16"/>
  <c r="Y1086" i="16"/>
  <c r="Y559"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Y177" i="16"/>
  <c r="Y178" i="16"/>
  <c r="Y179" i="16"/>
  <c r="Y180" i="16"/>
  <c r="Y181" i="16"/>
  <c r="Y182" i="16"/>
  <c r="Y183" i="16"/>
  <c r="Y184" i="16"/>
  <c r="Y185" i="16"/>
  <c r="Y186" i="16"/>
  <c r="Y187" i="16"/>
  <c r="Y188" i="16"/>
  <c r="Y189" i="16"/>
  <c r="Y190" i="16"/>
  <c r="Y191" i="16"/>
  <c r="Y192" i="16"/>
  <c r="Y193" i="16"/>
  <c r="Y194" i="16"/>
  <c r="Y195" i="16"/>
  <c r="Y196" i="16"/>
  <c r="Y197" i="16"/>
  <c r="Y198" i="16"/>
  <c r="Y199" i="16"/>
  <c r="Y200" i="16"/>
  <c r="Y201" i="16"/>
  <c r="Y202" i="16"/>
  <c r="Y203" i="16"/>
  <c r="Y204" i="16"/>
  <c r="Y205" i="16"/>
  <c r="Y206" i="16"/>
  <c r="Y207" i="16"/>
  <c r="Y208" i="16"/>
  <c r="Y209" i="16"/>
  <c r="Y210" i="16"/>
  <c r="Y211" i="16"/>
  <c r="Y212" i="16"/>
  <c r="Y213" i="16"/>
  <c r="Y214" i="16"/>
  <c r="Y215" i="16"/>
  <c r="Y216" i="16"/>
  <c r="Y217" i="16"/>
  <c r="Y218" i="16"/>
  <c r="Y219" i="16"/>
  <c r="Y220" i="16"/>
  <c r="Y221" i="16"/>
  <c r="Y222" i="16"/>
  <c r="Y223" i="16"/>
  <c r="Y224" i="16"/>
  <c r="Y225" i="16"/>
  <c r="Y226" i="16"/>
  <c r="Y227" i="16"/>
  <c r="Y228" i="16"/>
  <c r="Y229" i="16"/>
  <c r="Y230" i="16"/>
  <c r="Y231" i="16"/>
  <c r="Y232" i="16"/>
  <c r="Y233" i="16"/>
  <c r="Y234" i="16"/>
  <c r="Y235" i="16"/>
  <c r="Y236" i="16"/>
  <c r="Y237" i="16"/>
  <c r="Y238" i="16"/>
  <c r="Y239" i="16"/>
  <c r="Y240" i="16"/>
  <c r="Y241" i="16"/>
  <c r="Y242" i="16"/>
  <c r="Y243" i="16"/>
  <c r="Y244" i="16"/>
  <c r="Y245" i="16"/>
  <c r="Y246" i="16"/>
  <c r="Y247" i="16"/>
  <c r="Y248" i="16"/>
  <c r="Y249" i="16"/>
  <c r="Y250" i="16"/>
  <c r="Y251" i="16"/>
  <c r="Y252" i="16"/>
  <c r="Y253" i="16"/>
  <c r="Y254" i="16"/>
  <c r="Y255" i="16"/>
  <c r="Y256" i="16"/>
  <c r="Y257" i="16"/>
  <c r="Y258" i="16"/>
  <c r="Y259" i="16"/>
  <c r="Y260" i="16"/>
  <c r="Y261" i="16"/>
  <c r="Y262" i="16"/>
  <c r="Y263" i="16"/>
  <c r="Y264" i="16"/>
  <c r="Y265" i="16"/>
  <c r="Y266" i="16"/>
  <c r="Y267" i="16"/>
  <c r="Y268" i="16"/>
  <c r="Y269" i="16"/>
  <c r="Y270" i="16"/>
  <c r="Y271" i="16"/>
  <c r="Y272" i="16"/>
  <c r="Y273" i="16"/>
  <c r="Y274" i="16"/>
  <c r="Y275" i="16"/>
  <c r="Y276" i="16"/>
  <c r="Y277" i="16"/>
  <c r="Y278" i="16"/>
  <c r="Y279" i="16"/>
  <c r="Y280" i="16"/>
  <c r="Y281" i="16"/>
  <c r="Y282" i="16"/>
  <c r="Y283" i="16"/>
  <c r="Y284" i="16"/>
  <c r="Y285" i="16"/>
  <c r="Y286" i="16"/>
  <c r="Y287" i="16"/>
  <c r="Y288" i="16"/>
  <c r="Y289" i="16"/>
  <c r="Y290" i="16"/>
  <c r="Y291" i="16"/>
  <c r="Y292" i="16"/>
  <c r="Y293" i="16"/>
  <c r="Y294" i="16"/>
  <c r="Y295" i="16"/>
  <c r="Y296" i="16"/>
  <c r="Y297" i="16"/>
  <c r="Y298" i="16"/>
  <c r="Y299" i="16"/>
  <c r="Y300" i="16"/>
  <c r="Y301" i="16"/>
  <c r="Y302" i="16"/>
  <c r="Y303" i="16"/>
  <c r="Y304" i="16"/>
  <c r="Y305" i="16"/>
  <c r="Y306" i="16"/>
  <c r="Y307" i="16"/>
  <c r="Y308" i="16"/>
  <c r="Y309" i="16"/>
  <c r="Y310" i="16"/>
  <c r="Y311" i="16"/>
  <c r="Y312" i="16"/>
  <c r="Y313" i="16"/>
  <c r="Y314" i="16"/>
  <c r="Y315" i="16"/>
  <c r="Y316" i="16"/>
  <c r="Y317" i="16"/>
  <c r="Y318" i="16"/>
  <c r="Y319" i="16"/>
  <c r="Y320" i="16"/>
  <c r="Y321" i="16"/>
  <c r="Y322" i="16"/>
  <c r="Y323" i="16"/>
  <c r="Y324" i="16"/>
  <c r="Y325" i="16"/>
  <c r="Y326" i="16"/>
  <c r="Y327" i="16"/>
  <c r="Y328" i="16"/>
  <c r="Y329" i="16"/>
  <c r="Y330" i="16"/>
  <c r="Y331" i="16"/>
  <c r="Y332" i="16"/>
  <c r="Y333" i="16"/>
  <c r="Y334" i="16"/>
  <c r="Y335" i="16"/>
  <c r="Y336" i="16"/>
  <c r="Y337" i="16"/>
  <c r="Y338" i="16"/>
  <c r="Y339" i="16"/>
  <c r="Y340" i="16"/>
  <c r="Y341" i="16"/>
  <c r="Y342" i="16"/>
  <c r="Y343" i="16"/>
  <c r="Y344" i="16"/>
  <c r="Y345" i="16"/>
  <c r="Y346" i="16"/>
  <c r="Y347" i="16"/>
  <c r="Y348" i="16"/>
  <c r="Y349" i="16"/>
  <c r="Y350" i="16"/>
  <c r="Y351" i="16"/>
  <c r="Y352" i="16"/>
  <c r="Y353" i="16"/>
  <c r="Y354" i="16"/>
  <c r="Y355" i="16"/>
  <c r="Y356" i="16"/>
  <c r="Y357" i="16"/>
  <c r="Y358" i="16"/>
  <c r="Y359" i="16"/>
  <c r="Y360" i="16"/>
  <c r="Y361" i="16"/>
  <c r="Y362" i="16"/>
  <c r="Y363" i="16"/>
  <c r="Y364" i="16"/>
  <c r="Y365" i="16"/>
  <c r="Y366" i="16"/>
  <c r="Y367" i="16"/>
  <c r="Y368" i="16"/>
  <c r="Y369" i="16"/>
  <c r="Y370" i="16"/>
  <c r="Y371" i="16"/>
  <c r="Y372" i="16"/>
  <c r="Y373" i="16"/>
  <c r="Y374" i="16"/>
  <c r="Y375" i="16"/>
  <c r="Y376" i="16"/>
  <c r="Y377" i="16"/>
  <c r="Y378" i="16"/>
  <c r="Y379" i="16"/>
  <c r="Y380" i="16"/>
  <c r="Y381" i="16"/>
  <c r="Y382" i="16"/>
  <c r="Y383" i="16"/>
  <c r="Y384" i="16"/>
  <c r="Y385" i="16"/>
  <c r="Y386" i="16"/>
  <c r="Y387" i="16"/>
  <c r="Y388" i="16"/>
  <c r="Y389" i="16"/>
  <c r="Y390" i="16"/>
  <c r="Y391" i="16"/>
  <c r="Y392" i="16"/>
  <c r="Y393" i="16"/>
  <c r="Y394" i="16"/>
  <c r="Y395" i="16"/>
  <c r="Y396" i="16"/>
  <c r="Y397" i="16"/>
  <c r="Y398" i="16"/>
  <c r="Y399" i="16"/>
  <c r="Y400" i="16"/>
  <c r="Y401" i="16"/>
  <c r="Y402" i="16"/>
  <c r="Y403" i="16"/>
  <c r="Y404" i="16"/>
  <c r="Y405" i="16"/>
  <c r="Y406" i="16"/>
  <c r="Y407" i="16"/>
  <c r="Y408" i="16"/>
  <c r="Y409" i="16"/>
  <c r="Y410" i="16"/>
  <c r="Y411" i="16"/>
  <c r="Y412" i="16"/>
  <c r="Y413" i="16"/>
  <c r="Y414" i="16"/>
  <c r="Y415" i="16"/>
  <c r="Y416" i="16"/>
  <c r="Y417" i="16"/>
  <c r="Y418" i="16"/>
  <c r="Y419" i="16"/>
  <c r="Y420" i="16"/>
  <c r="Y421" i="16"/>
  <c r="Y422" i="16"/>
  <c r="Y423" i="16"/>
  <c r="Y424" i="16"/>
  <c r="Y425" i="16"/>
  <c r="Y426" i="16"/>
  <c r="Y427" i="16"/>
  <c r="Y428" i="16"/>
  <c r="Y429" i="16"/>
  <c r="Y430" i="16"/>
  <c r="Y431" i="16"/>
  <c r="Y432" i="16"/>
  <c r="Y433" i="16"/>
  <c r="Y434" i="16"/>
  <c r="Y435" i="16"/>
  <c r="Y436" i="16"/>
  <c r="Y437" i="16"/>
  <c r="Y438" i="16"/>
  <c r="Y439" i="16"/>
  <c r="Y440" i="16"/>
  <c r="Y441" i="16"/>
  <c r="Y442" i="16"/>
  <c r="Y443" i="16"/>
  <c r="Y444" i="16"/>
  <c r="Y445" i="16"/>
  <c r="Y446" i="16"/>
  <c r="Y447" i="16"/>
  <c r="Y448" i="16"/>
  <c r="Y449" i="16"/>
  <c r="Y450" i="16"/>
  <c r="Y451" i="16"/>
  <c r="Y452" i="16"/>
  <c r="Y453" i="16"/>
  <c r="Y454" i="16"/>
  <c r="Y455" i="16"/>
  <c r="Y456" i="16"/>
  <c r="Y457" i="16"/>
  <c r="Y458" i="16"/>
  <c r="Y459" i="16"/>
  <c r="Y460" i="16"/>
  <c r="Y461" i="16"/>
  <c r="Y462" i="16"/>
  <c r="Y463" i="16"/>
  <c r="Y464" i="16"/>
  <c r="Y465" i="16"/>
  <c r="Y466" i="16"/>
  <c r="Y467" i="16"/>
  <c r="Y468" i="16"/>
  <c r="Y469" i="16"/>
  <c r="Y470" i="16"/>
  <c r="Y471" i="16"/>
  <c r="Y472" i="16"/>
  <c r="Y473" i="16"/>
  <c r="Y474" i="16"/>
  <c r="Y475" i="16"/>
  <c r="Y476" i="16"/>
  <c r="Y477" i="16"/>
  <c r="Y478" i="16"/>
  <c r="Y479" i="16"/>
  <c r="Y480" i="16"/>
  <c r="Y481" i="16"/>
  <c r="Y482" i="16"/>
  <c r="Y483" i="16"/>
  <c r="Y484" i="16"/>
  <c r="Y485" i="16"/>
  <c r="Y486" i="16"/>
  <c r="Y487" i="16"/>
  <c r="Y488" i="16"/>
  <c r="Y489" i="16"/>
  <c r="Y490" i="16"/>
  <c r="Y491" i="16"/>
  <c r="Y492" i="16"/>
  <c r="Y493" i="16"/>
  <c r="Y494" i="16"/>
  <c r="Y495" i="16"/>
  <c r="Y496" i="16"/>
  <c r="Y497" i="16"/>
  <c r="Y498" i="16"/>
  <c r="Y499" i="16"/>
  <c r="Y500" i="16"/>
  <c r="Y501" i="16"/>
  <c r="Y502" i="16"/>
  <c r="Y503" i="16"/>
  <c r="Y504" i="16"/>
  <c r="Y505" i="16"/>
  <c r="Y506" i="16"/>
  <c r="Y507" i="16"/>
  <c r="Y508" i="16"/>
  <c r="Y509" i="16"/>
  <c r="Y510" i="16"/>
  <c r="Y511" i="16"/>
  <c r="Y512" i="16"/>
  <c r="Y513" i="16"/>
  <c r="Y514" i="16"/>
  <c r="Y515" i="16"/>
  <c r="Y516" i="16"/>
  <c r="Y517" i="16"/>
  <c r="Y518" i="16"/>
  <c r="Y519" i="16"/>
  <c r="Y520" i="16"/>
  <c r="Y521" i="16"/>
  <c r="Y522" i="16"/>
  <c r="Y523" i="16"/>
  <c r="Y524" i="16"/>
  <c r="Y525" i="16"/>
  <c r="Y526" i="16"/>
  <c r="Y527" i="16"/>
  <c r="Y528" i="16"/>
  <c r="Y529" i="16"/>
  <c r="Y530" i="16"/>
  <c r="Y531" i="16"/>
  <c r="Y532" i="16"/>
  <c r="Y533" i="16"/>
  <c r="Y534" i="16"/>
  <c r="Y535" i="16"/>
  <c r="Y536" i="16"/>
  <c r="Y537" i="16"/>
  <c r="Y538" i="16"/>
  <c r="Y539" i="16"/>
  <c r="Y540" i="16"/>
  <c r="Y541" i="16"/>
  <c r="Y542" i="16"/>
  <c r="Y543" i="16"/>
  <c r="Y544" i="16"/>
  <c r="Y105" i="16"/>
  <c r="T1102" i="16"/>
  <c r="T1103" i="16"/>
  <c r="T1104" i="16"/>
  <c r="T1105" i="16"/>
  <c r="T1106" i="16"/>
  <c r="T1107" i="16"/>
  <c r="T1108" i="16"/>
  <c r="T1109" i="16"/>
  <c r="T1110" i="16"/>
  <c r="T1111" i="16"/>
  <c r="T1112" i="16"/>
  <c r="T1113" i="16"/>
  <c r="T1114" i="16"/>
  <c r="T1115" i="16"/>
  <c r="T1116" i="16"/>
  <c r="T1117" i="16"/>
  <c r="T1118" i="16"/>
  <c r="T1119" i="16"/>
  <c r="T1120" i="16"/>
  <c r="T1121" i="16"/>
  <c r="T1122" i="16"/>
  <c r="T1123" i="16"/>
  <c r="T1124" i="16"/>
  <c r="T1125" i="16"/>
  <c r="T1126" i="16"/>
  <c r="T1127" i="16"/>
  <c r="T1128" i="16"/>
  <c r="T1129" i="16"/>
  <c r="T1130" i="16"/>
  <c r="T1131" i="16"/>
  <c r="T1132" i="16"/>
  <c r="T1133" i="16"/>
  <c r="T1134" i="16"/>
  <c r="T1135" i="16"/>
  <c r="T1136" i="16"/>
  <c r="T1137" i="16"/>
  <c r="T1138" i="16"/>
  <c r="T1139" i="16"/>
  <c r="T1140" i="16"/>
  <c r="T1141" i="16"/>
  <c r="T1142" i="16"/>
  <c r="T1143" i="16"/>
  <c r="T1144" i="16"/>
  <c r="T1145" i="16"/>
  <c r="T1146" i="16"/>
  <c r="T1147" i="16"/>
  <c r="T1148" i="16"/>
  <c r="T1149" i="16"/>
  <c r="T1150" i="16"/>
  <c r="T1151" i="16"/>
  <c r="T1152" i="16"/>
  <c r="T1153" i="16"/>
  <c r="T1154" i="16"/>
  <c r="T1155" i="16"/>
  <c r="T1156" i="16"/>
  <c r="T1157" i="16"/>
  <c r="T1158" i="16"/>
  <c r="T1159" i="16"/>
  <c r="T1160" i="16"/>
  <c r="T1161" i="16"/>
  <c r="T1162" i="16"/>
  <c r="T1163" i="16"/>
  <c r="T1164" i="16"/>
  <c r="T1165" i="16"/>
  <c r="T1166" i="16"/>
  <c r="T1167" i="16"/>
  <c r="T1168" i="16"/>
  <c r="T1169" i="16"/>
  <c r="T1170" i="16"/>
  <c r="T1171" i="16"/>
  <c r="T1172" i="16"/>
  <c r="T1173" i="16"/>
  <c r="T1174" i="16"/>
  <c r="T1175" i="16"/>
  <c r="T1176" i="16"/>
  <c r="T1177" i="16"/>
  <c r="T1178" i="16"/>
  <c r="T1179" i="16"/>
  <c r="T1180" i="16"/>
  <c r="T1181" i="16"/>
  <c r="T1182" i="16"/>
  <c r="T1183" i="16"/>
  <c r="T1184" i="16"/>
  <c r="T1185" i="16"/>
  <c r="T1186" i="16"/>
  <c r="T1187" i="16"/>
  <c r="T1188" i="16"/>
  <c r="T1189" i="16"/>
  <c r="T1190" i="16"/>
  <c r="T1191" i="16"/>
  <c r="T1192" i="16"/>
  <c r="T1193" i="16"/>
  <c r="T1194" i="16"/>
  <c r="T1195" i="16"/>
  <c r="T1196" i="16"/>
  <c r="T1197" i="16"/>
  <c r="T1198" i="16"/>
  <c r="T1199" i="16"/>
  <c r="T1200" i="16"/>
  <c r="T1201" i="16"/>
  <c r="T1202" i="16"/>
  <c r="T1203" i="16"/>
  <c r="T1204" i="16"/>
  <c r="T1205" i="16"/>
  <c r="T1206" i="16"/>
  <c r="T1207" i="16"/>
  <c r="T1208" i="16"/>
  <c r="T1209" i="16"/>
  <c r="T1210" i="16"/>
  <c r="T1211" i="16"/>
  <c r="T1212" i="16"/>
  <c r="T1213" i="16"/>
  <c r="T1214" i="16"/>
  <c r="T1215" i="16"/>
  <c r="T1216" i="16"/>
  <c r="T1217" i="16"/>
  <c r="T1218" i="16"/>
  <c r="T1219" i="16"/>
  <c r="T1220" i="16"/>
  <c r="T1221" i="16"/>
  <c r="T1222" i="16"/>
  <c r="T1223" i="16"/>
  <c r="T1224" i="16"/>
  <c r="T1225" i="16"/>
  <c r="T1226" i="16"/>
  <c r="T1227" i="16"/>
  <c r="T1228" i="16"/>
  <c r="T1229" i="16"/>
  <c r="T1230" i="16"/>
  <c r="T1231" i="16"/>
  <c r="T1232" i="16"/>
  <c r="T1233" i="16"/>
  <c r="T1234" i="16"/>
  <c r="T1235" i="16"/>
  <c r="T1236" i="16"/>
  <c r="T1237" i="16"/>
  <c r="T1238" i="16"/>
  <c r="T1239" i="16"/>
  <c r="T1240" i="16"/>
  <c r="T1241" i="16"/>
  <c r="T1242" i="16"/>
  <c r="T1243" i="16"/>
  <c r="T1244" i="16"/>
  <c r="T1245" i="16"/>
  <c r="T1246" i="16"/>
  <c r="T1247" i="16"/>
  <c r="T1248" i="16"/>
  <c r="T1249" i="16"/>
  <c r="T1250" i="16"/>
  <c r="T1251" i="16"/>
  <c r="T1252" i="16"/>
  <c r="T1253" i="16"/>
  <c r="T1254" i="16"/>
  <c r="T1255" i="16"/>
  <c r="T1256" i="16"/>
  <c r="T1257" i="16"/>
  <c r="T1258" i="16"/>
  <c r="T1259" i="16"/>
  <c r="T1260" i="16"/>
  <c r="T1261" i="16"/>
  <c r="T1262" i="16"/>
  <c r="T1263" i="16"/>
  <c r="T1264" i="16"/>
  <c r="T1265" i="16"/>
  <c r="T1266" i="16"/>
  <c r="T1267" i="16"/>
  <c r="T1268" i="16"/>
  <c r="T1269" i="16"/>
  <c r="T1270" i="16"/>
  <c r="T1271" i="16"/>
  <c r="T1272" i="16"/>
  <c r="T1273" i="16"/>
  <c r="T1274" i="16"/>
  <c r="T1275" i="16"/>
  <c r="T1276" i="16"/>
  <c r="T1277" i="16"/>
  <c r="T1278" i="16"/>
  <c r="T1279" i="16"/>
  <c r="T1280" i="16"/>
  <c r="T1281" i="16"/>
  <c r="T1282" i="16"/>
  <c r="T1283" i="16"/>
  <c r="T1284" i="16"/>
  <c r="T1285" i="16"/>
  <c r="T1286" i="16"/>
  <c r="T1287" i="16"/>
  <c r="T1288" i="16"/>
  <c r="T1289" i="16"/>
  <c r="T1290" i="16"/>
  <c r="T1291" i="16"/>
  <c r="T1292" i="16"/>
  <c r="T1293" i="16"/>
  <c r="T1294" i="16"/>
  <c r="T1295" i="16"/>
  <c r="T1296" i="16"/>
  <c r="T1297" i="16"/>
  <c r="T1298" i="16"/>
  <c r="T1299" i="16"/>
  <c r="T1300" i="16"/>
  <c r="T1301" i="16"/>
  <c r="T1302" i="16"/>
  <c r="T1303" i="16"/>
  <c r="T1304" i="16"/>
  <c r="T1305" i="16"/>
  <c r="T1306" i="16"/>
  <c r="T1307" i="16"/>
  <c r="T1308" i="16"/>
  <c r="T1309" i="16"/>
  <c r="T1310" i="16"/>
  <c r="T1311" i="16"/>
  <c r="T1312" i="16"/>
  <c r="T1313" i="16"/>
  <c r="T1314" i="16"/>
  <c r="T1315" i="16"/>
  <c r="T1316" i="16"/>
  <c r="T1317" i="16"/>
  <c r="T1318" i="16"/>
  <c r="T1319" i="16"/>
  <c r="T1320" i="16"/>
  <c r="T1321" i="16"/>
  <c r="T1322" i="16"/>
  <c r="T1323" i="16"/>
  <c r="T1324" i="16"/>
  <c r="T1325" i="16"/>
  <c r="T1326" i="16"/>
  <c r="T1327" i="16"/>
  <c r="T1328" i="16"/>
  <c r="T1329" i="16"/>
  <c r="T1330" i="16"/>
  <c r="T1331" i="16"/>
  <c r="T1332" i="16"/>
  <c r="T1333" i="16"/>
  <c r="T1334" i="16"/>
  <c r="T1335" i="16"/>
  <c r="T1336" i="16"/>
  <c r="T1337" i="16"/>
  <c r="T1338" i="16"/>
  <c r="T1339" i="16"/>
  <c r="T1340" i="16"/>
  <c r="T1341" i="16"/>
  <c r="T1342" i="16"/>
  <c r="T1343" i="16"/>
  <c r="T1344" i="16"/>
  <c r="T1345" i="16"/>
  <c r="T1346" i="16"/>
  <c r="T1347" i="16"/>
  <c r="T1348" i="16"/>
  <c r="T1349" i="16"/>
  <c r="T1350" i="16"/>
  <c r="T1351" i="16"/>
  <c r="T1352" i="16"/>
  <c r="T1353" i="16"/>
  <c r="T1354" i="16"/>
  <c r="T1355" i="16"/>
  <c r="T1356" i="16"/>
  <c r="T1357" i="16"/>
  <c r="T1358" i="16"/>
  <c r="T1359" i="16"/>
  <c r="T1360" i="16"/>
  <c r="T1361" i="16"/>
  <c r="T1362" i="16"/>
  <c r="T1363" i="16"/>
  <c r="T1364" i="16"/>
  <c r="T1365" i="16"/>
  <c r="T1366" i="16"/>
  <c r="T1367" i="16"/>
  <c r="T1368" i="16"/>
  <c r="T1369" i="16"/>
  <c r="T1370" i="16"/>
  <c r="T1371" i="16"/>
  <c r="T1372" i="16"/>
  <c r="T1373" i="16"/>
  <c r="T1374" i="16"/>
  <c r="T1375" i="16"/>
  <c r="T1376" i="16"/>
  <c r="T1377" i="16"/>
  <c r="T1378" i="16"/>
  <c r="T1379" i="16"/>
  <c r="T1380" i="16"/>
  <c r="T1381" i="16"/>
  <c r="T1382" i="16"/>
  <c r="T1383" i="16"/>
  <c r="T1384" i="16"/>
  <c r="T1385" i="16"/>
  <c r="T1386" i="16"/>
  <c r="T1387" i="16"/>
  <c r="T1388" i="16"/>
  <c r="T1389" i="16"/>
  <c r="T1390" i="16"/>
  <c r="T1391" i="16"/>
  <c r="T1392" i="16"/>
  <c r="T1393" i="16"/>
  <c r="T1394" i="16"/>
  <c r="T1395" i="16"/>
  <c r="T1396" i="16"/>
  <c r="T1397" i="16"/>
  <c r="T1398" i="16"/>
  <c r="T1399" i="16"/>
  <c r="T1400" i="16"/>
  <c r="T1401" i="16"/>
  <c r="T1402" i="16"/>
  <c r="T1403" i="16"/>
  <c r="T1404" i="16"/>
  <c r="T1405" i="16"/>
  <c r="T1406" i="16"/>
  <c r="T1407" i="16"/>
  <c r="T1408" i="16"/>
  <c r="T1409" i="16"/>
  <c r="T1410" i="16"/>
  <c r="T1411" i="16"/>
  <c r="T1412" i="16"/>
  <c r="T1413" i="16"/>
  <c r="T1414" i="16"/>
  <c r="T1415" i="16"/>
  <c r="T1416" i="16"/>
  <c r="T1417" i="16"/>
  <c r="T1418" i="16"/>
  <c r="T1419" i="16"/>
  <c r="T1420" i="16"/>
  <c r="T1421" i="16"/>
  <c r="T1422" i="16"/>
  <c r="T1423" i="16"/>
  <c r="T1424" i="16"/>
  <c r="T1425" i="16"/>
  <c r="T1426" i="16"/>
  <c r="T1427" i="16"/>
  <c r="T1428" i="16"/>
  <c r="T1429" i="16"/>
  <c r="T1430" i="16"/>
  <c r="T1431" i="16"/>
  <c r="T1432" i="16"/>
  <c r="T1433" i="16"/>
  <c r="T1434" i="16"/>
  <c r="T1435" i="16"/>
  <c r="T1436" i="16"/>
  <c r="T1437" i="16"/>
  <c r="T1438" i="16"/>
  <c r="T1439" i="16"/>
  <c r="T1440" i="16"/>
  <c r="T1441" i="16"/>
  <c r="T1442" i="16"/>
  <c r="T1443" i="16"/>
  <c r="T1444" i="16"/>
  <c r="T1445" i="16"/>
  <c r="T1446" i="16"/>
  <c r="T1447" i="16"/>
  <c r="T1448" i="16"/>
  <c r="T1449" i="16"/>
  <c r="T1450" i="16"/>
  <c r="T1451" i="16"/>
  <c r="T1452" i="16"/>
  <c r="T1453" i="16"/>
  <c r="T1454" i="16"/>
  <c r="T1455" i="16"/>
  <c r="T1456" i="16"/>
  <c r="T1457" i="16"/>
  <c r="T1458" i="16"/>
  <c r="T1459" i="16"/>
  <c r="T1460" i="16"/>
  <c r="T1461" i="16"/>
  <c r="T1462" i="16"/>
  <c r="T1463" i="16"/>
  <c r="T1464" i="16"/>
  <c r="T1465" i="16"/>
  <c r="T1466" i="16"/>
  <c r="T1467" i="16"/>
  <c r="T1468" i="16"/>
  <c r="T1469" i="16"/>
  <c r="T1470" i="16"/>
  <c r="T1471" i="16"/>
  <c r="T1472" i="16"/>
  <c r="T1473" i="16"/>
  <c r="T1474" i="16"/>
  <c r="T1475" i="16"/>
  <c r="T1476" i="16"/>
  <c r="T1477" i="16"/>
  <c r="T1478" i="16"/>
  <c r="T1479" i="16"/>
  <c r="T1480" i="16"/>
  <c r="T1481" i="16"/>
  <c r="T1482" i="16"/>
  <c r="T1483" i="16"/>
  <c r="T1484" i="16"/>
  <c r="T1485" i="16"/>
  <c r="T1486" i="16"/>
  <c r="T1487" i="16"/>
  <c r="T1488" i="16"/>
  <c r="T1489" i="16"/>
  <c r="T1490" i="16"/>
  <c r="T1491" i="16"/>
  <c r="T1492" i="16"/>
  <c r="T1493" i="16"/>
  <c r="T1494" i="16"/>
  <c r="T1495" i="16"/>
  <c r="T1496" i="16"/>
  <c r="T1497" i="16"/>
  <c r="T1498" i="16"/>
  <c r="T1499" i="16"/>
  <c r="T1500" i="16"/>
  <c r="T1501" i="16"/>
  <c r="T1502" i="16"/>
  <c r="T1503" i="16"/>
  <c r="T1504" i="16"/>
  <c r="T1505" i="16"/>
  <c r="T1506" i="16"/>
  <c r="T1507" i="16"/>
  <c r="T1508" i="16"/>
  <c r="T1509" i="16"/>
  <c r="T1510" i="16"/>
  <c r="T1511" i="16"/>
  <c r="T1512" i="16"/>
  <c r="T1513" i="16"/>
  <c r="T1514" i="16"/>
  <c r="T1515" i="16"/>
  <c r="T1516" i="16"/>
  <c r="T1517" i="16"/>
  <c r="T1518" i="16"/>
  <c r="T1519" i="16"/>
  <c r="T1520" i="16"/>
  <c r="T1521" i="16"/>
  <c r="T1522" i="16"/>
  <c r="T1523" i="16"/>
  <c r="T1524" i="16"/>
  <c r="T1525" i="16"/>
  <c r="T1526" i="16"/>
  <c r="T1527" i="16"/>
  <c r="T1528" i="16"/>
  <c r="T1529" i="16"/>
  <c r="T1530" i="16"/>
  <c r="T1531" i="16"/>
  <c r="T1532" i="16"/>
  <c r="T1533" i="16"/>
  <c r="T1534" i="16"/>
  <c r="T1535" i="16"/>
  <c r="T1536" i="16"/>
  <c r="T1537" i="16"/>
  <c r="T1538" i="16"/>
  <c r="T1539" i="16"/>
  <c r="T1540" i="16"/>
  <c r="T1541" i="16"/>
  <c r="T1542" i="16"/>
  <c r="T1543" i="16"/>
  <c r="T1544" i="16"/>
  <c r="T1545" i="16"/>
  <c r="T1546" i="16"/>
  <c r="T1547" i="16"/>
  <c r="T1548" i="16"/>
  <c r="T1549" i="16"/>
  <c r="T1550" i="16"/>
  <c r="T1551" i="16"/>
  <c r="T1552" i="16"/>
  <c r="T1553" i="16"/>
  <c r="T1554" i="16"/>
  <c r="T1555" i="16"/>
  <c r="T1556" i="16"/>
  <c r="T1557" i="16"/>
  <c r="T1558" i="16"/>
  <c r="T1559" i="16"/>
  <c r="T1560" i="16"/>
  <c r="T1561" i="16"/>
  <c r="T1562" i="16"/>
  <c r="T1563" i="16"/>
  <c r="T1564" i="16"/>
  <c r="T1565" i="16"/>
  <c r="T1566" i="16"/>
  <c r="T1567" i="16"/>
  <c r="T1568" i="16"/>
  <c r="T1569" i="16"/>
  <c r="T1570" i="16"/>
  <c r="T1571" i="16"/>
  <c r="T1572" i="16"/>
  <c r="T1573" i="16"/>
  <c r="T1574" i="16"/>
  <c r="T1575" i="16"/>
  <c r="T1576" i="16"/>
  <c r="T1577" i="16"/>
  <c r="T1578" i="16"/>
  <c r="T1579" i="16"/>
  <c r="T1580" i="16"/>
  <c r="T1581" i="16"/>
  <c r="T1582" i="16"/>
  <c r="T1583" i="16"/>
  <c r="T1584" i="16"/>
  <c r="T1585" i="16"/>
  <c r="T1586" i="16"/>
  <c r="T1587" i="16"/>
  <c r="T1588" i="16"/>
  <c r="T1589" i="16"/>
  <c r="T1590" i="16"/>
  <c r="T1591" i="16"/>
  <c r="T1592" i="16"/>
  <c r="T1593" i="16"/>
  <c r="T1594" i="16"/>
  <c r="T1595" i="16"/>
  <c r="T1596" i="16"/>
  <c r="T1597" i="16"/>
  <c r="T1598" i="16"/>
  <c r="T1599" i="16"/>
  <c r="T1600" i="16"/>
  <c r="T1601" i="16"/>
  <c r="T1602" i="16"/>
  <c r="T1603" i="16"/>
  <c r="T1604" i="16"/>
  <c r="T1605" i="16"/>
  <c r="T1606" i="16"/>
  <c r="T1607" i="16"/>
  <c r="T1608" i="16"/>
  <c r="T1609" i="16"/>
  <c r="T1610" i="16"/>
  <c r="T1611" i="16"/>
  <c r="T1612" i="16"/>
  <c r="T1613" i="16"/>
  <c r="T1614" i="16"/>
  <c r="T1615" i="16"/>
  <c r="T1616" i="16"/>
  <c r="T1617" i="16"/>
  <c r="T1618" i="16"/>
  <c r="T1619" i="16"/>
  <c r="T1620" i="16"/>
  <c r="T1621" i="16"/>
  <c r="T1622" i="16"/>
  <c r="T1623" i="16"/>
  <c r="T1624" i="16"/>
  <c r="T1625" i="16"/>
  <c r="T1626" i="16"/>
  <c r="T1627" i="16"/>
  <c r="T1628" i="16"/>
  <c r="T1101" i="16"/>
  <c r="T560" i="16"/>
  <c r="T561" i="16"/>
  <c r="T562" i="16"/>
  <c r="T563" i="16"/>
  <c r="T564" i="16"/>
  <c r="T565" i="16"/>
  <c r="T566" i="16"/>
  <c r="T567" i="16"/>
  <c r="T568" i="16"/>
  <c r="T569" i="16"/>
  <c r="T570" i="16"/>
  <c r="T571" i="16"/>
  <c r="T572" i="16"/>
  <c r="T573" i="16"/>
  <c r="T574" i="16"/>
  <c r="T575" i="16"/>
  <c r="T576" i="16"/>
  <c r="T577" i="16"/>
  <c r="T578" i="16"/>
  <c r="T579" i="16"/>
  <c r="T580" i="16"/>
  <c r="T581" i="16"/>
  <c r="T582" i="16"/>
  <c r="T583" i="16"/>
  <c r="T584" i="16"/>
  <c r="T585" i="16"/>
  <c r="T586" i="16"/>
  <c r="T587" i="16"/>
  <c r="T588" i="16"/>
  <c r="T589" i="16"/>
  <c r="T590" i="16"/>
  <c r="T591" i="16"/>
  <c r="T592" i="16"/>
  <c r="T593" i="16"/>
  <c r="T594" i="16"/>
  <c r="T595" i="16"/>
  <c r="T596" i="16"/>
  <c r="T597" i="16"/>
  <c r="T598" i="16"/>
  <c r="T599" i="16"/>
  <c r="T600" i="16"/>
  <c r="T601" i="16"/>
  <c r="T602" i="16"/>
  <c r="T603" i="16"/>
  <c r="T604" i="16"/>
  <c r="T605" i="16"/>
  <c r="T606" i="16"/>
  <c r="T607" i="16"/>
  <c r="T608" i="16"/>
  <c r="T609" i="16"/>
  <c r="T610" i="16"/>
  <c r="T611" i="16"/>
  <c r="T612" i="16"/>
  <c r="T613" i="16"/>
  <c r="T614" i="16"/>
  <c r="T615" i="16"/>
  <c r="T616" i="16"/>
  <c r="T617" i="16"/>
  <c r="T618" i="16"/>
  <c r="T619" i="16"/>
  <c r="T620" i="16"/>
  <c r="T621" i="16"/>
  <c r="T622" i="16"/>
  <c r="T623" i="16"/>
  <c r="T624" i="16"/>
  <c r="T625" i="16"/>
  <c r="T626" i="16"/>
  <c r="T627" i="16"/>
  <c r="T628" i="16"/>
  <c r="T629" i="16"/>
  <c r="T630" i="16"/>
  <c r="T631" i="16"/>
  <c r="T632" i="16"/>
  <c r="T633" i="16"/>
  <c r="T634" i="16"/>
  <c r="T635" i="16"/>
  <c r="T636" i="16"/>
  <c r="T637" i="16"/>
  <c r="T638" i="16"/>
  <c r="T639" i="16"/>
  <c r="T640" i="16"/>
  <c r="T641" i="16"/>
  <c r="T642" i="16"/>
  <c r="T643" i="16"/>
  <c r="T644" i="16"/>
  <c r="T645" i="16"/>
  <c r="T646" i="16"/>
  <c r="T647" i="16"/>
  <c r="T648" i="16"/>
  <c r="T649" i="16"/>
  <c r="T650" i="16"/>
  <c r="T651" i="16"/>
  <c r="T652" i="16"/>
  <c r="T653" i="16"/>
  <c r="T654" i="16"/>
  <c r="T655" i="16"/>
  <c r="T656" i="16"/>
  <c r="T657" i="16"/>
  <c r="T658" i="16"/>
  <c r="T659" i="16"/>
  <c r="T660" i="16"/>
  <c r="T661" i="16"/>
  <c r="T662" i="16"/>
  <c r="T663" i="16"/>
  <c r="T664" i="16"/>
  <c r="T665" i="16"/>
  <c r="T666" i="16"/>
  <c r="T667" i="16"/>
  <c r="T668" i="16"/>
  <c r="T669" i="16"/>
  <c r="T670" i="16"/>
  <c r="T671" i="16"/>
  <c r="T672" i="16"/>
  <c r="T673" i="16"/>
  <c r="T674" i="16"/>
  <c r="T675" i="16"/>
  <c r="T676" i="16"/>
  <c r="T677" i="16"/>
  <c r="T678" i="16"/>
  <c r="T679" i="16"/>
  <c r="T680" i="16"/>
  <c r="T681" i="16"/>
  <c r="T682" i="16"/>
  <c r="T683" i="16"/>
  <c r="T684" i="16"/>
  <c r="T685" i="16"/>
  <c r="T686" i="16"/>
  <c r="T687" i="16"/>
  <c r="T688" i="16"/>
  <c r="T689" i="16"/>
  <c r="T690" i="16"/>
  <c r="T691" i="16"/>
  <c r="T692" i="16"/>
  <c r="T693" i="16"/>
  <c r="T694" i="16"/>
  <c r="T695" i="16"/>
  <c r="T696" i="16"/>
  <c r="T697" i="16"/>
  <c r="T698" i="16"/>
  <c r="T699" i="16"/>
  <c r="T700" i="16"/>
  <c r="T701" i="16"/>
  <c r="T702" i="16"/>
  <c r="T703" i="16"/>
  <c r="T704" i="16"/>
  <c r="T705" i="16"/>
  <c r="T706" i="16"/>
  <c r="T707" i="16"/>
  <c r="T708" i="16"/>
  <c r="T709" i="16"/>
  <c r="T710" i="16"/>
  <c r="T711" i="16"/>
  <c r="T712" i="16"/>
  <c r="T713" i="16"/>
  <c r="T714" i="16"/>
  <c r="T715" i="16"/>
  <c r="T716" i="16"/>
  <c r="T717" i="16"/>
  <c r="T718" i="16"/>
  <c r="T719" i="16"/>
  <c r="T720" i="16"/>
  <c r="T721" i="16"/>
  <c r="T722" i="16"/>
  <c r="T723" i="16"/>
  <c r="T724" i="16"/>
  <c r="T725" i="16"/>
  <c r="T726" i="16"/>
  <c r="T727" i="16"/>
  <c r="T728" i="16"/>
  <c r="T729" i="16"/>
  <c r="T730" i="16"/>
  <c r="T731" i="16"/>
  <c r="T732" i="16"/>
  <c r="T733" i="16"/>
  <c r="T734" i="16"/>
  <c r="T735" i="16"/>
  <c r="T736" i="16"/>
  <c r="T737" i="16"/>
  <c r="T738" i="16"/>
  <c r="T739" i="16"/>
  <c r="T740" i="16"/>
  <c r="T741" i="16"/>
  <c r="T742" i="16"/>
  <c r="T743" i="16"/>
  <c r="T744" i="16"/>
  <c r="T745" i="16"/>
  <c r="T746" i="16"/>
  <c r="T747" i="16"/>
  <c r="T748" i="16"/>
  <c r="T749" i="16"/>
  <c r="T750" i="16"/>
  <c r="T751" i="16"/>
  <c r="T752" i="16"/>
  <c r="T753" i="16"/>
  <c r="T754" i="16"/>
  <c r="T755" i="16"/>
  <c r="T756" i="16"/>
  <c r="T757" i="16"/>
  <c r="T758" i="16"/>
  <c r="T759" i="16"/>
  <c r="T760" i="16"/>
  <c r="T761" i="16"/>
  <c r="T762" i="16"/>
  <c r="T763" i="16"/>
  <c r="T764" i="16"/>
  <c r="T765" i="16"/>
  <c r="T766" i="16"/>
  <c r="T767" i="16"/>
  <c r="T768" i="16"/>
  <c r="T769" i="16"/>
  <c r="T770" i="16"/>
  <c r="T771" i="16"/>
  <c r="T772" i="16"/>
  <c r="T773" i="16"/>
  <c r="T774" i="16"/>
  <c r="T775" i="16"/>
  <c r="T776" i="16"/>
  <c r="T777" i="16"/>
  <c r="T778" i="16"/>
  <c r="T779" i="16"/>
  <c r="T780" i="16"/>
  <c r="T781" i="16"/>
  <c r="T782" i="16"/>
  <c r="T783" i="16"/>
  <c r="T784" i="16"/>
  <c r="T785" i="16"/>
  <c r="T786" i="16"/>
  <c r="T787" i="16"/>
  <c r="T788" i="16"/>
  <c r="T789" i="16"/>
  <c r="T790" i="16"/>
  <c r="T791" i="16"/>
  <c r="T792" i="16"/>
  <c r="T793" i="16"/>
  <c r="T794" i="16"/>
  <c r="T795" i="16"/>
  <c r="T796" i="16"/>
  <c r="T797" i="16"/>
  <c r="T798" i="16"/>
  <c r="T799" i="16"/>
  <c r="T800" i="16"/>
  <c r="T801" i="16"/>
  <c r="T802" i="16"/>
  <c r="T803" i="16"/>
  <c r="T804" i="16"/>
  <c r="T805" i="16"/>
  <c r="T806" i="16"/>
  <c r="T807" i="16"/>
  <c r="T808" i="16"/>
  <c r="T809" i="16"/>
  <c r="T810" i="16"/>
  <c r="T811" i="16"/>
  <c r="T812" i="16"/>
  <c r="T813" i="16"/>
  <c r="T814" i="16"/>
  <c r="T815" i="16"/>
  <c r="T816" i="16"/>
  <c r="T817" i="16"/>
  <c r="T818" i="16"/>
  <c r="T819" i="16"/>
  <c r="T820" i="16"/>
  <c r="T821" i="16"/>
  <c r="T822" i="16"/>
  <c r="T823" i="16"/>
  <c r="T824" i="16"/>
  <c r="T825" i="16"/>
  <c r="T826" i="16"/>
  <c r="T827" i="16"/>
  <c r="T828" i="16"/>
  <c r="T829" i="16"/>
  <c r="T830" i="16"/>
  <c r="T831" i="16"/>
  <c r="T832" i="16"/>
  <c r="T833" i="16"/>
  <c r="T834" i="16"/>
  <c r="T835" i="16"/>
  <c r="T836" i="16"/>
  <c r="T837" i="16"/>
  <c r="T838" i="16"/>
  <c r="T839" i="16"/>
  <c r="T840" i="16"/>
  <c r="T841" i="16"/>
  <c r="T842" i="16"/>
  <c r="T843" i="16"/>
  <c r="T844" i="16"/>
  <c r="T845" i="16"/>
  <c r="T846" i="16"/>
  <c r="T847" i="16"/>
  <c r="T848" i="16"/>
  <c r="T849" i="16"/>
  <c r="T850" i="16"/>
  <c r="T851" i="16"/>
  <c r="T852" i="16"/>
  <c r="T853" i="16"/>
  <c r="T854" i="16"/>
  <c r="T855" i="16"/>
  <c r="T856" i="16"/>
  <c r="T857" i="16"/>
  <c r="T858" i="16"/>
  <c r="T859" i="16"/>
  <c r="T860" i="16"/>
  <c r="T861" i="16"/>
  <c r="T862" i="16"/>
  <c r="T863" i="16"/>
  <c r="T864" i="16"/>
  <c r="T865" i="16"/>
  <c r="T866" i="16"/>
  <c r="T867" i="16"/>
  <c r="T868" i="16"/>
  <c r="T869" i="16"/>
  <c r="T870" i="16"/>
  <c r="T871" i="16"/>
  <c r="T872" i="16"/>
  <c r="T873" i="16"/>
  <c r="T874" i="16"/>
  <c r="T875" i="16"/>
  <c r="T876" i="16"/>
  <c r="T877" i="16"/>
  <c r="T878" i="16"/>
  <c r="T879" i="16"/>
  <c r="T880" i="16"/>
  <c r="T881" i="16"/>
  <c r="T882" i="16"/>
  <c r="T883" i="16"/>
  <c r="T884" i="16"/>
  <c r="T885" i="16"/>
  <c r="T886" i="16"/>
  <c r="T887" i="16"/>
  <c r="T888" i="16"/>
  <c r="T889" i="16"/>
  <c r="T890" i="16"/>
  <c r="T891" i="16"/>
  <c r="T892" i="16"/>
  <c r="T893" i="16"/>
  <c r="T894" i="16"/>
  <c r="T895" i="16"/>
  <c r="T896" i="16"/>
  <c r="T897" i="16"/>
  <c r="T898" i="16"/>
  <c r="T899" i="16"/>
  <c r="T900" i="16"/>
  <c r="T901" i="16"/>
  <c r="T902" i="16"/>
  <c r="T903" i="16"/>
  <c r="T904" i="16"/>
  <c r="T905" i="16"/>
  <c r="T906" i="16"/>
  <c r="T907" i="16"/>
  <c r="T908" i="16"/>
  <c r="T909" i="16"/>
  <c r="T910" i="16"/>
  <c r="T911" i="16"/>
  <c r="T912" i="16"/>
  <c r="T913" i="16"/>
  <c r="T914" i="16"/>
  <c r="T915" i="16"/>
  <c r="T916" i="16"/>
  <c r="T917" i="16"/>
  <c r="T918" i="16"/>
  <c r="T919" i="16"/>
  <c r="T920" i="16"/>
  <c r="T921" i="16"/>
  <c r="T922" i="16"/>
  <c r="T923" i="16"/>
  <c r="T924" i="16"/>
  <c r="T925" i="16"/>
  <c r="T926" i="16"/>
  <c r="T927" i="16"/>
  <c r="T928" i="16"/>
  <c r="T929" i="16"/>
  <c r="T930" i="16"/>
  <c r="T931" i="16"/>
  <c r="T932" i="16"/>
  <c r="T933" i="16"/>
  <c r="T934" i="16"/>
  <c r="T935" i="16"/>
  <c r="T936" i="16"/>
  <c r="T937" i="16"/>
  <c r="T938" i="16"/>
  <c r="T939" i="16"/>
  <c r="T940" i="16"/>
  <c r="T941" i="16"/>
  <c r="T942" i="16"/>
  <c r="T943" i="16"/>
  <c r="T944" i="16"/>
  <c r="T945" i="16"/>
  <c r="T946" i="16"/>
  <c r="T947" i="16"/>
  <c r="T948" i="16"/>
  <c r="T949" i="16"/>
  <c r="T950" i="16"/>
  <c r="T951" i="16"/>
  <c r="T952" i="16"/>
  <c r="T953" i="16"/>
  <c r="T954" i="16"/>
  <c r="T955" i="16"/>
  <c r="T956" i="16"/>
  <c r="T957" i="16"/>
  <c r="T958" i="16"/>
  <c r="T959" i="16"/>
  <c r="T960" i="16"/>
  <c r="T961" i="16"/>
  <c r="T962" i="16"/>
  <c r="T963" i="16"/>
  <c r="T964" i="16"/>
  <c r="T965" i="16"/>
  <c r="T966" i="16"/>
  <c r="T967" i="16"/>
  <c r="T968" i="16"/>
  <c r="T969" i="16"/>
  <c r="T970" i="16"/>
  <c r="T971" i="16"/>
  <c r="T972" i="16"/>
  <c r="T973" i="16"/>
  <c r="T974" i="16"/>
  <c r="T975" i="16"/>
  <c r="T976" i="16"/>
  <c r="T977" i="16"/>
  <c r="T978" i="16"/>
  <c r="T979" i="16"/>
  <c r="T980" i="16"/>
  <c r="T981" i="16"/>
  <c r="T982" i="16"/>
  <c r="T983" i="16"/>
  <c r="T984" i="16"/>
  <c r="T985" i="16"/>
  <c r="T986" i="16"/>
  <c r="T987" i="16"/>
  <c r="T988" i="16"/>
  <c r="T989" i="16"/>
  <c r="T990" i="16"/>
  <c r="T991" i="16"/>
  <c r="T992" i="16"/>
  <c r="T993" i="16"/>
  <c r="T994" i="16"/>
  <c r="T995" i="16"/>
  <c r="T996" i="16"/>
  <c r="T997" i="16"/>
  <c r="T998" i="16"/>
  <c r="T999" i="16"/>
  <c r="T1000" i="16"/>
  <c r="T1001" i="16"/>
  <c r="T1002" i="16"/>
  <c r="T1003" i="16"/>
  <c r="T1004" i="16"/>
  <c r="T1005" i="16"/>
  <c r="T1006" i="16"/>
  <c r="T1007" i="16"/>
  <c r="T1008" i="16"/>
  <c r="T1009" i="16"/>
  <c r="T1010" i="16"/>
  <c r="T1011" i="16"/>
  <c r="T1012" i="16"/>
  <c r="T1013" i="16"/>
  <c r="T1014" i="16"/>
  <c r="T1015" i="16"/>
  <c r="T1016" i="16"/>
  <c r="T1017" i="16"/>
  <c r="T1018" i="16"/>
  <c r="T1019" i="16"/>
  <c r="T1020" i="16"/>
  <c r="T1021" i="16"/>
  <c r="T1022" i="16"/>
  <c r="T1023" i="16"/>
  <c r="T1024" i="16"/>
  <c r="T1025" i="16"/>
  <c r="T1026" i="16"/>
  <c r="T1027" i="16"/>
  <c r="T1028" i="16"/>
  <c r="T1029" i="16"/>
  <c r="T1030" i="16"/>
  <c r="T1031" i="16"/>
  <c r="T1032" i="16"/>
  <c r="T1033" i="16"/>
  <c r="T1034" i="16"/>
  <c r="T1035" i="16"/>
  <c r="T1036" i="16"/>
  <c r="T1037" i="16"/>
  <c r="T1038" i="16"/>
  <c r="T1039" i="16"/>
  <c r="T1040" i="16"/>
  <c r="T1041" i="16"/>
  <c r="T1042" i="16"/>
  <c r="T1043" i="16"/>
  <c r="T1044" i="16"/>
  <c r="T1045" i="16"/>
  <c r="T1046" i="16"/>
  <c r="T1047" i="16"/>
  <c r="T1048" i="16"/>
  <c r="T1049" i="16"/>
  <c r="T1050" i="16"/>
  <c r="T1051" i="16"/>
  <c r="T1052" i="16"/>
  <c r="T1053" i="16"/>
  <c r="T1054" i="16"/>
  <c r="T1055" i="16"/>
  <c r="T1056" i="16"/>
  <c r="T1057" i="16"/>
  <c r="T1058" i="16"/>
  <c r="T1059" i="16"/>
  <c r="T1060" i="16"/>
  <c r="T1061" i="16"/>
  <c r="T1062" i="16"/>
  <c r="T1063" i="16"/>
  <c r="T1064" i="16"/>
  <c r="T1065" i="16"/>
  <c r="T1066" i="16"/>
  <c r="T1067" i="16"/>
  <c r="T1068" i="16"/>
  <c r="T1069" i="16"/>
  <c r="T1070" i="16"/>
  <c r="T1071" i="16"/>
  <c r="T1072" i="16"/>
  <c r="T1073" i="16"/>
  <c r="T1074" i="16"/>
  <c r="T1075" i="16"/>
  <c r="T1076" i="16"/>
  <c r="T1077" i="16"/>
  <c r="T1078" i="16"/>
  <c r="T1079" i="16"/>
  <c r="T1080" i="16"/>
  <c r="T1081" i="16"/>
  <c r="T1082" i="16"/>
  <c r="T1083" i="16"/>
  <c r="T1084" i="16"/>
  <c r="T1085" i="16"/>
  <c r="T1086" i="16"/>
  <c r="T559"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T177" i="16"/>
  <c r="T178" i="16"/>
  <c r="T179" i="16"/>
  <c r="T180" i="16"/>
  <c r="T181" i="16"/>
  <c r="T182" i="16"/>
  <c r="T183" i="16"/>
  <c r="T184" i="16"/>
  <c r="T185" i="16"/>
  <c r="T186" i="16"/>
  <c r="T187" i="16"/>
  <c r="T188" i="16"/>
  <c r="T189" i="16"/>
  <c r="T190" i="16"/>
  <c r="T191" i="16"/>
  <c r="T192" i="16"/>
  <c r="T193" i="16"/>
  <c r="T194" i="16"/>
  <c r="T195" i="16"/>
  <c r="T196" i="16"/>
  <c r="T197" i="16"/>
  <c r="T198" i="16"/>
  <c r="T199" i="16"/>
  <c r="T200" i="16"/>
  <c r="T201" i="16"/>
  <c r="T202" i="16"/>
  <c r="T203" i="16"/>
  <c r="T204" i="16"/>
  <c r="T205" i="16"/>
  <c r="T206" i="16"/>
  <c r="T207" i="16"/>
  <c r="T208" i="16"/>
  <c r="T209" i="16"/>
  <c r="T210" i="16"/>
  <c r="T211" i="16"/>
  <c r="T212" i="16"/>
  <c r="T213" i="16"/>
  <c r="T214" i="16"/>
  <c r="T215" i="16"/>
  <c r="T216" i="16"/>
  <c r="T217" i="16"/>
  <c r="T218" i="16"/>
  <c r="T219" i="16"/>
  <c r="T220" i="16"/>
  <c r="T221" i="16"/>
  <c r="T222" i="16"/>
  <c r="T223" i="16"/>
  <c r="T224" i="16"/>
  <c r="T225" i="16"/>
  <c r="T226" i="16"/>
  <c r="T227" i="16"/>
  <c r="T228" i="16"/>
  <c r="T229" i="16"/>
  <c r="T230" i="16"/>
  <c r="T231" i="16"/>
  <c r="T232" i="16"/>
  <c r="T233" i="16"/>
  <c r="T234" i="16"/>
  <c r="T235" i="16"/>
  <c r="T236" i="16"/>
  <c r="T237" i="16"/>
  <c r="T238" i="16"/>
  <c r="T239" i="16"/>
  <c r="T240" i="16"/>
  <c r="T241" i="16"/>
  <c r="T242" i="16"/>
  <c r="T243" i="16"/>
  <c r="T244" i="16"/>
  <c r="T245" i="16"/>
  <c r="T246" i="16"/>
  <c r="T247" i="16"/>
  <c r="T248" i="16"/>
  <c r="T249" i="16"/>
  <c r="T250" i="16"/>
  <c r="T251" i="16"/>
  <c r="T252" i="16"/>
  <c r="T253" i="16"/>
  <c r="T254" i="16"/>
  <c r="T255" i="16"/>
  <c r="T256" i="16"/>
  <c r="T257" i="16"/>
  <c r="T258" i="16"/>
  <c r="T259" i="16"/>
  <c r="T260" i="16"/>
  <c r="T261" i="16"/>
  <c r="T262" i="16"/>
  <c r="T263" i="16"/>
  <c r="T264" i="16"/>
  <c r="T265" i="16"/>
  <c r="T266" i="16"/>
  <c r="T267" i="16"/>
  <c r="T268" i="16"/>
  <c r="T269" i="16"/>
  <c r="T270" i="16"/>
  <c r="T271" i="16"/>
  <c r="T272" i="16"/>
  <c r="T273" i="16"/>
  <c r="T274" i="16"/>
  <c r="T275" i="16"/>
  <c r="T276" i="16"/>
  <c r="T277" i="16"/>
  <c r="T278" i="16"/>
  <c r="T279" i="16"/>
  <c r="T280" i="16"/>
  <c r="T281" i="16"/>
  <c r="T282" i="16"/>
  <c r="T283" i="16"/>
  <c r="T284" i="16"/>
  <c r="T285" i="16"/>
  <c r="T286" i="16"/>
  <c r="T287" i="16"/>
  <c r="T288" i="16"/>
  <c r="T289" i="16"/>
  <c r="T290" i="16"/>
  <c r="T291" i="16"/>
  <c r="T292" i="16"/>
  <c r="T293" i="16"/>
  <c r="T294" i="16"/>
  <c r="T295" i="16"/>
  <c r="T296" i="16"/>
  <c r="T297" i="16"/>
  <c r="T298" i="16"/>
  <c r="T299" i="16"/>
  <c r="T300" i="16"/>
  <c r="T301" i="16"/>
  <c r="T302" i="16"/>
  <c r="T303" i="16"/>
  <c r="T304" i="16"/>
  <c r="T305" i="16"/>
  <c r="T306" i="16"/>
  <c r="T307" i="16"/>
  <c r="T308" i="16"/>
  <c r="T309" i="16"/>
  <c r="T310" i="16"/>
  <c r="T311" i="16"/>
  <c r="T312" i="16"/>
  <c r="T313" i="16"/>
  <c r="T314" i="16"/>
  <c r="T315" i="16"/>
  <c r="T316" i="16"/>
  <c r="T317" i="16"/>
  <c r="T318" i="16"/>
  <c r="T319" i="16"/>
  <c r="T320" i="16"/>
  <c r="T321" i="16"/>
  <c r="T322" i="16"/>
  <c r="T323" i="16"/>
  <c r="T324" i="16"/>
  <c r="T325" i="16"/>
  <c r="T326" i="16"/>
  <c r="T327" i="16"/>
  <c r="T328" i="16"/>
  <c r="T329" i="16"/>
  <c r="T330" i="16"/>
  <c r="T331" i="16"/>
  <c r="T332" i="16"/>
  <c r="T333" i="16"/>
  <c r="T334" i="16"/>
  <c r="T335" i="16"/>
  <c r="T336" i="16"/>
  <c r="T337" i="16"/>
  <c r="T338" i="16"/>
  <c r="T339" i="16"/>
  <c r="T340" i="16"/>
  <c r="T341" i="16"/>
  <c r="T342" i="16"/>
  <c r="T343" i="16"/>
  <c r="T344" i="16"/>
  <c r="T345" i="16"/>
  <c r="T346" i="16"/>
  <c r="T347" i="16"/>
  <c r="T348" i="16"/>
  <c r="T349" i="16"/>
  <c r="T350" i="16"/>
  <c r="T351" i="16"/>
  <c r="T352" i="16"/>
  <c r="T353" i="16"/>
  <c r="T354" i="16"/>
  <c r="T355" i="16"/>
  <c r="T356" i="16"/>
  <c r="T357" i="16"/>
  <c r="T358" i="16"/>
  <c r="T359" i="16"/>
  <c r="T360" i="16"/>
  <c r="T361" i="16"/>
  <c r="T362" i="16"/>
  <c r="T363" i="16"/>
  <c r="T364" i="16"/>
  <c r="T365" i="16"/>
  <c r="T366" i="16"/>
  <c r="T367" i="16"/>
  <c r="T368" i="16"/>
  <c r="T369" i="16"/>
  <c r="T370" i="16"/>
  <c r="T371" i="16"/>
  <c r="T372" i="16"/>
  <c r="T373" i="16"/>
  <c r="T374" i="16"/>
  <c r="T375" i="16"/>
  <c r="T376" i="16"/>
  <c r="T377" i="16"/>
  <c r="T378" i="16"/>
  <c r="T379" i="16"/>
  <c r="T380" i="16"/>
  <c r="T381" i="16"/>
  <c r="T382" i="16"/>
  <c r="T383" i="16"/>
  <c r="T384" i="16"/>
  <c r="T385" i="16"/>
  <c r="T386" i="16"/>
  <c r="T387" i="16"/>
  <c r="T388" i="16"/>
  <c r="T389" i="16"/>
  <c r="T390" i="16"/>
  <c r="T391" i="16"/>
  <c r="T392" i="16"/>
  <c r="T393" i="16"/>
  <c r="T394" i="16"/>
  <c r="T395" i="16"/>
  <c r="T396" i="16"/>
  <c r="T397" i="16"/>
  <c r="T398" i="16"/>
  <c r="T399" i="16"/>
  <c r="T400" i="16"/>
  <c r="T401" i="16"/>
  <c r="T402" i="16"/>
  <c r="T403" i="16"/>
  <c r="T404" i="16"/>
  <c r="T405" i="16"/>
  <c r="T406" i="16"/>
  <c r="T407" i="16"/>
  <c r="T408" i="16"/>
  <c r="T409" i="16"/>
  <c r="T410" i="16"/>
  <c r="T411" i="16"/>
  <c r="T412" i="16"/>
  <c r="T413" i="16"/>
  <c r="T414" i="16"/>
  <c r="T415" i="16"/>
  <c r="T416" i="16"/>
  <c r="T417" i="16"/>
  <c r="T418" i="16"/>
  <c r="T419" i="16"/>
  <c r="T420" i="16"/>
  <c r="T421" i="16"/>
  <c r="T422" i="16"/>
  <c r="T423" i="16"/>
  <c r="T424" i="16"/>
  <c r="T425" i="16"/>
  <c r="T426" i="16"/>
  <c r="T427" i="16"/>
  <c r="T428" i="16"/>
  <c r="T429" i="16"/>
  <c r="T430" i="16"/>
  <c r="T431" i="16"/>
  <c r="T432" i="16"/>
  <c r="T433" i="16"/>
  <c r="T434" i="16"/>
  <c r="T435" i="16"/>
  <c r="T436" i="16"/>
  <c r="T437" i="16"/>
  <c r="T438" i="16"/>
  <c r="T439" i="16"/>
  <c r="T440" i="16"/>
  <c r="T441" i="16"/>
  <c r="T442" i="16"/>
  <c r="T443" i="16"/>
  <c r="T444" i="16"/>
  <c r="T445" i="16"/>
  <c r="T446" i="16"/>
  <c r="T447" i="16"/>
  <c r="T448" i="16"/>
  <c r="T449" i="16"/>
  <c r="T450" i="16"/>
  <c r="T451" i="16"/>
  <c r="T452" i="16"/>
  <c r="T453" i="16"/>
  <c r="T454" i="16"/>
  <c r="T455" i="16"/>
  <c r="T456" i="16"/>
  <c r="T457" i="16"/>
  <c r="T458" i="16"/>
  <c r="T459" i="16"/>
  <c r="T460" i="16"/>
  <c r="T461" i="16"/>
  <c r="T462" i="16"/>
  <c r="T463" i="16"/>
  <c r="T464" i="16"/>
  <c r="T465" i="16"/>
  <c r="T466" i="16"/>
  <c r="T467" i="16"/>
  <c r="T468" i="16"/>
  <c r="T469" i="16"/>
  <c r="T470" i="16"/>
  <c r="T471" i="16"/>
  <c r="T472" i="16"/>
  <c r="T473" i="16"/>
  <c r="T474" i="16"/>
  <c r="T475" i="16"/>
  <c r="T476" i="16"/>
  <c r="T477" i="16"/>
  <c r="T478" i="16"/>
  <c r="T479" i="16"/>
  <c r="T480" i="16"/>
  <c r="T481" i="16"/>
  <c r="T482" i="16"/>
  <c r="T483" i="16"/>
  <c r="T484" i="16"/>
  <c r="T485" i="16"/>
  <c r="T486" i="16"/>
  <c r="T487" i="16"/>
  <c r="T488" i="16"/>
  <c r="T489" i="16"/>
  <c r="T490" i="16"/>
  <c r="T491" i="16"/>
  <c r="T492" i="16"/>
  <c r="T493" i="16"/>
  <c r="T494" i="16"/>
  <c r="T495" i="16"/>
  <c r="T496" i="16"/>
  <c r="T497" i="16"/>
  <c r="T498" i="16"/>
  <c r="T499" i="16"/>
  <c r="T500" i="16"/>
  <c r="T501" i="16"/>
  <c r="T502" i="16"/>
  <c r="T503" i="16"/>
  <c r="T504" i="16"/>
  <c r="T505" i="16"/>
  <c r="T506" i="16"/>
  <c r="T507" i="16"/>
  <c r="T508" i="16"/>
  <c r="T509" i="16"/>
  <c r="T510" i="16"/>
  <c r="T511" i="16"/>
  <c r="T512" i="16"/>
  <c r="T513" i="16"/>
  <c r="T514" i="16"/>
  <c r="T515" i="16"/>
  <c r="T516" i="16"/>
  <c r="T517" i="16"/>
  <c r="T518" i="16"/>
  <c r="T519" i="16"/>
  <c r="T520" i="16"/>
  <c r="T521" i="16"/>
  <c r="T522" i="16"/>
  <c r="T523" i="16"/>
  <c r="T524" i="16"/>
  <c r="T525" i="16"/>
  <c r="T526" i="16"/>
  <c r="T527" i="16"/>
  <c r="T528" i="16"/>
  <c r="T529" i="16"/>
  <c r="T530" i="16"/>
  <c r="T531" i="16"/>
  <c r="T532" i="16"/>
  <c r="T533" i="16"/>
  <c r="T534" i="16"/>
  <c r="T535" i="16"/>
  <c r="T536" i="16"/>
  <c r="T537" i="16"/>
  <c r="T538" i="16"/>
  <c r="T539" i="16"/>
  <c r="T540" i="16"/>
  <c r="T541" i="16"/>
  <c r="T542" i="16"/>
  <c r="T543" i="16"/>
  <c r="T544" i="16"/>
  <c r="T21" i="16"/>
  <c r="T20" i="16"/>
  <c r="T19" i="16"/>
  <c r="T18" i="16"/>
  <c r="T17" i="16"/>
  <c r="M42" i="21" a="1"/>
  <c r="K31" i="21" a="1"/>
  <c r="M39" i="17" a="1"/>
  <c r="M36" i="21" a="1"/>
  <c r="M45" i="17" a="1"/>
  <c r="M41" i="21" a="1"/>
  <c r="M38" i="21" a="1"/>
  <c r="M37" i="17" a="1"/>
  <c r="M30" i="21" a="1"/>
  <c r="M42" i="17" a="1"/>
  <c r="M34" i="17" a="1"/>
  <c r="M36" i="17" a="1"/>
  <c r="M39" i="21" a="1"/>
  <c r="M37" i="21" a="1"/>
  <c r="K34" i="21" a="1"/>
  <c r="K30" i="21" a="1"/>
  <c r="M40" i="21" a="1"/>
  <c r="M33" i="21" a="1"/>
  <c r="M38" i="17" a="1"/>
  <c r="M34" i="21" a="1"/>
  <c r="M44" i="17" a="1"/>
  <c r="K32" i="21" a="1"/>
  <c r="M33" i="17" a="1"/>
  <c r="M43" i="17" a="1"/>
  <c r="M35" i="21" a="1"/>
  <c r="M32" i="21" a="1"/>
  <c r="K33" i="21" a="1"/>
  <c r="M35" i="17" a="1"/>
  <c r="M40" i="17" a="1"/>
  <c r="M31" i="21" a="1"/>
  <c r="M41" i="17" a="1"/>
  <c r="M37" i="21" l="1"/>
  <c r="M40" i="17"/>
  <c r="M44" i="17"/>
  <c r="M41" i="21"/>
  <c r="M41" i="17"/>
  <c r="M38" i="21"/>
  <c r="M42" i="21"/>
  <c r="M45" i="17"/>
  <c r="M42" i="17"/>
  <c r="M39" i="21"/>
  <c r="M43" i="17"/>
  <c r="M40" i="21"/>
  <c r="M39" i="17"/>
  <c r="M36" i="21"/>
  <c r="K31" i="21"/>
  <c r="M31" i="21"/>
  <c r="K33" i="21"/>
  <c r="M33" i="21"/>
  <c r="M35" i="21"/>
  <c r="K34" i="21"/>
  <c r="K32" i="21"/>
  <c r="M34" i="21"/>
  <c r="K30" i="21"/>
  <c r="M30" i="21"/>
  <c r="M32" i="21"/>
  <c r="D14" i="17"/>
  <c r="D15" i="17"/>
  <c r="M36" i="17"/>
  <c r="M37" i="17"/>
  <c r="M35" i="17"/>
  <c r="Q39" i="17"/>
  <c r="Q40" i="17" s="1"/>
  <c r="Q41" i="17" s="1"/>
  <c r="Q42" i="17" s="1"/>
  <c r="Q43" i="17" s="1"/>
  <c r="Q44" i="17" s="1"/>
  <c r="Q45" i="17" s="1"/>
  <c r="M34" i="17"/>
  <c r="M33" i="17"/>
  <c r="M38" i="17"/>
  <c r="D15" i="21"/>
  <c r="BA91" i="11"/>
  <c r="BB91" i="11"/>
  <c r="D85" i="11"/>
  <c r="C1102" i="16"/>
  <c r="C1103" i="16"/>
  <c r="C1104" i="16"/>
  <c r="C1105" i="16"/>
  <c r="C1106" i="16"/>
  <c r="C1107" i="16"/>
  <c r="C1108" i="16"/>
  <c r="C1109" i="16"/>
  <c r="C1110" i="16"/>
  <c r="C1111" i="16"/>
  <c r="C1112" i="16"/>
  <c r="C1113" i="16"/>
  <c r="C1114" i="16"/>
  <c r="C1115" i="16"/>
  <c r="C1116" i="16"/>
  <c r="C1117" i="16"/>
  <c r="C1118" i="16"/>
  <c r="C1119" i="16"/>
  <c r="C1120" i="16"/>
  <c r="C1121" i="16"/>
  <c r="C1122" i="16"/>
  <c r="C1123" i="16"/>
  <c r="C1124" i="16"/>
  <c r="C1125" i="16"/>
  <c r="C1126" i="16"/>
  <c r="C1127" i="16"/>
  <c r="C1128" i="16"/>
  <c r="C1129" i="16"/>
  <c r="C1130" i="16"/>
  <c r="C1131" i="16"/>
  <c r="C1132" i="16"/>
  <c r="C1133" i="16"/>
  <c r="C1134" i="16"/>
  <c r="C1135" i="16"/>
  <c r="C1136" i="16"/>
  <c r="C1137" i="16"/>
  <c r="C1138" i="16"/>
  <c r="C1139" i="16"/>
  <c r="C1140" i="16"/>
  <c r="C1141" i="16"/>
  <c r="C1142" i="16"/>
  <c r="C1143" i="16"/>
  <c r="C1144" i="16"/>
  <c r="C1145" i="16"/>
  <c r="C1146" i="16"/>
  <c r="C1147" i="16"/>
  <c r="C1148" i="16"/>
  <c r="C1149" i="16"/>
  <c r="C1150" i="16"/>
  <c r="C1151" i="16"/>
  <c r="C1152" i="16"/>
  <c r="C1153" i="16"/>
  <c r="C1154" i="16"/>
  <c r="C1155" i="16"/>
  <c r="C1156" i="16"/>
  <c r="C1157" i="16"/>
  <c r="C1158" i="16"/>
  <c r="C1159" i="16"/>
  <c r="C1160" i="16"/>
  <c r="C1161" i="16"/>
  <c r="C1162" i="16"/>
  <c r="C1163" i="16"/>
  <c r="C1164" i="16"/>
  <c r="C1165" i="16"/>
  <c r="C1166" i="16"/>
  <c r="C1167" i="16"/>
  <c r="C1168" i="16"/>
  <c r="C1169" i="16"/>
  <c r="C1170" i="16"/>
  <c r="C1171" i="16"/>
  <c r="C1172" i="16"/>
  <c r="C1173" i="16"/>
  <c r="C1174" i="16"/>
  <c r="C1175" i="16"/>
  <c r="C1176" i="16"/>
  <c r="C1177" i="16"/>
  <c r="C1178" i="16"/>
  <c r="C1179" i="16"/>
  <c r="C1180" i="16"/>
  <c r="C1181" i="16"/>
  <c r="C1182" i="16"/>
  <c r="C1183" i="16"/>
  <c r="C1184" i="16"/>
  <c r="C1185" i="16"/>
  <c r="C1186" i="16"/>
  <c r="C1187" i="16"/>
  <c r="C1188" i="16"/>
  <c r="C1189" i="16"/>
  <c r="C1190" i="16"/>
  <c r="C1191" i="16"/>
  <c r="C1192" i="16"/>
  <c r="C1193" i="16"/>
  <c r="C1194" i="16"/>
  <c r="C1195" i="16"/>
  <c r="C1196" i="16"/>
  <c r="C1197" i="16"/>
  <c r="C1198" i="16"/>
  <c r="C1199" i="16"/>
  <c r="C1200" i="16"/>
  <c r="C1201" i="16"/>
  <c r="C1202" i="16"/>
  <c r="C1203" i="16"/>
  <c r="C1204" i="16"/>
  <c r="C1205" i="16"/>
  <c r="C1206" i="16"/>
  <c r="C1207" i="16"/>
  <c r="C1208" i="16"/>
  <c r="C1209" i="16"/>
  <c r="C1210" i="16"/>
  <c r="C1211" i="16"/>
  <c r="C1212" i="16"/>
  <c r="C1213" i="16"/>
  <c r="C1214" i="16"/>
  <c r="C1215" i="16"/>
  <c r="C1216" i="16"/>
  <c r="C1217" i="16"/>
  <c r="C1218" i="16"/>
  <c r="C1219" i="16"/>
  <c r="C1220" i="16"/>
  <c r="C1221" i="16"/>
  <c r="C1222" i="16"/>
  <c r="C1223" i="16"/>
  <c r="C1224" i="16"/>
  <c r="C1225" i="16"/>
  <c r="C1226" i="16"/>
  <c r="C1227" i="16"/>
  <c r="C1228" i="16"/>
  <c r="C1229" i="16"/>
  <c r="C1230" i="16"/>
  <c r="C1231" i="16"/>
  <c r="C1232" i="16"/>
  <c r="C1233" i="16"/>
  <c r="C1234" i="16"/>
  <c r="C1235" i="16"/>
  <c r="C1236" i="16"/>
  <c r="C1237" i="16"/>
  <c r="C1238" i="16"/>
  <c r="C1239" i="16"/>
  <c r="C1240" i="16"/>
  <c r="C1241" i="16"/>
  <c r="C1242" i="16"/>
  <c r="C1243" i="16"/>
  <c r="C1244" i="16"/>
  <c r="C1245" i="16"/>
  <c r="C1246" i="16"/>
  <c r="C1247" i="16"/>
  <c r="C1248" i="16"/>
  <c r="C1249" i="16"/>
  <c r="C1250" i="16"/>
  <c r="C1251" i="16"/>
  <c r="C1252" i="16"/>
  <c r="C1253" i="16"/>
  <c r="C1254" i="16"/>
  <c r="C1255" i="16"/>
  <c r="C1256" i="16"/>
  <c r="C1257" i="16"/>
  <c r="C1258" i="16"/>
  <c r="C1259" i="16"/>
  <c r="C1260" i="16"/>
  <c r="C1261" i="16"/>
  <c r="C1262" i="16"/>
  <c r="C1263" i="16"/>
  <c r="C1264" i="16"/>
  <c r="C1265" i="16"/>
  <c r="C1266" i="16"/>
  <c r="C1267" i="16"/>
  <c r="C1268" i="16"/>
  <c r="C1269" i="16"/>
  <c r="C1270" i="16"/>
  <c r="C1271" i="16"/>
  <c r="C1272" i="16"/>
  <c r="C1273" i="16"/>
  <c r="C1274" i="16"/>
  <c r="C1275" i="16"/>
  <c r="C1276" i="16"/>
  <c r="C1277" i="16"/>
  <c r="C1278" i="16"/>
  <c r="C1279" i="16"/>
  <c r="C1280" i="16"/>
  <c r="C1281" i="16"/>
  <c r="C1282" i="16"/>
  <c r="C1283" i="16"/>
  <c r="C1284" i="16"/>
  <c r="C1285" i="16"/>
  <c r="C1286" i="16"/>
  <c r="C1287" i="16"/>
  <c r="C1288" i="16"/>
  <c r="C1289" i="16"/>
  <c r="C1290" i="16"/>
  <c r="C1291" i="16"/>
  <c r="C1292" i="16"/>
  <c r="C1293" i="16"/>
  <c r="C1294" i="16"/>
  <c r="C1295" i="16"/>
  <c r="C1296" i="16"/>
  <c r="C1297" i="16"/>
  <c r="C1298" i="16"/>
  <c r="C1299" i="16"/>
  <c r="C1300" i="16"/>
  <c r="C1301" i="16"/>
  <c r="C1302" i="16"/>
  <c r="C1303" i="16"/>
  <c r="C1304" i="16"/>
  <c r="C1305" i="16"/>
  <c r="C1306" i="16"/>
  <c r="C1307" i="16"/>
  <c r="C1308" i="16"/>
  <c r="C1309" i="16"/>
  <c r="C1310" i="16"/>
  <c r="C1311" i="16"/>
  <c r="C1312" i="16"/>
  <c r="C1313" i="16"/>
  <c r="C1314" i="16"/>
  <c r="C1315" i="16"/>
  <c r="C1316" i="16"/>
  <c r="C1317" i="16"/>
  <c r="C1318" i="16"/>
  <c r="C1319" i="16"/>
  <c r="C1320" i="16"/>
  <c r="C1321" i="16"/>
  <c r="C1322" i="16"/>
  <c r="C1323" i="16"/>
  <c r="C1324" i="16"/>
  <c r="C1325" i="16"/>
  <c r="C1326" i="16"/>
  <c r="C1327" i="16"/>
  <c r="C1328" i="16"/>
  <c r="C1329" i="16"/>
  <c r="C1330" i="16"/>
  <c r="C1331" i="16"/>
  <c r="C1332" i="16"/>
  <c r="C1333" i="16"/>
  <c r="C1334" i="16"/>
  <c r="C1335" i="16"/>
  <c r="C1336" i="16"/>
  <c r="C1337" i="16"/>
  <c r="C1338" i="16"/>
  <c r="C1339" i="16"/>
  <c r="C1340" i="16"/>
  <c r="C1341" i="16"/>
  <c r="C1342" i="16"/>
  <c r="C1343" i="16"/>
  <c r="C1344" i="16"/>
  <c r="C1345" i="16"/>
  <c r="C1346" i="16"/>
  <c r="C1347" i="16"/>
  <c r="C1348" i="16"/>
  <c r="C1349" i="16"/>
  <c r="C1350" i="16"/>
  <c r="C1351" i="16"/>
  <c r="C1352" i="16"/>
  <c r="C1353" i="16"/>
  <c r="C1354" i="16"/>
  <c r="C1355" i="16"/>
  <c r="C1356" i="16"/>
  <c r="C1357" i="16"/>
  <c r="C1358" i="16"/>
  <c r="C1359" i="16"/>
  <c r="C1360" i="16"/>
  <c r="C1361" i="16"/>
  <c r="C1362" i="16"/>
  <c r="C1363" i="16"/>
  <c r="C1364" i="16"/>
  <c r="C1365" i="16"/>
  <c r="C1366" i="16"/>
  <c r="C1367" i="16"/>
  <c r="C1368" i="16"/>
  <c r="C1369" i="16"/>
  <c r="C1370" i="16"/>
  <c r="C1371" i="16"/>
  <c r="C1372" i="16"/>
  <c r="C1373" i="16"/>
  <c r="C1374" i="16"/>
  <c r="C1375" i="16"/>
  <c r="C1376" i="16"/>
  <c r="C1377" i="16"/>
  <c r="C1378" i="16"/>
  <c r="C1379" i="16"/>
  <c r="C1380" i="16"/>
  <c r="C1381" i="16"/>
  <c r="C1382" i="16"/>
  <c r="C1383" i="16"/>
  <c r="C1384" i="16"/>
  <c r="C1385" i="16"/>
  <c r="C1386" i="16"/>
  <c r="C1387" i="16"/>
  <c r="C1388" i="16"/>
  <c r="C1389" i="16"/>
  <c r="C1390" i="16"/>
  <c r="C1391" i="16"/>
  <c r="C1392" i="16"/>
  <c r="C1393" i="16"/>
  <c r="C1394" i="16"/>
  <c r="C1395" i="16"/>
  <c r="C1396" i="16"/>
  <c r="C1397" i="16"/>
  <c r="C1398" i="16"/>
  <c r="C1399" i="16"/>
  <c r="C1400" i="16"/>
  <c r="C1401" i="16"/>
  <c r="C1402" i="16"/>
  <c r="C1403" i="16"/>
  <c r="C1404" i="16"/>
  <c r="C1405" i="16"/>
  <c r="C1406" i="16"/>
  <c r="C1407" i="16"/>
  <c r="C1408" i="16"/>
  <c r="C1409" i="16"/>
  <c r="C1410" i="16"/>
  <c r="C1411" i="16"/>
  <c r="C1412" i="16"/>
  <c r="C1413" i="16"/>
  <c r="C1414" i="16"/>
  <c r="C1415" i="16"/>
  <c r="C1416" i="16"/>
  <c r="C1417" i="16"/>
  <c r="C1418" i="16"/>
  <c r="C1419" i="16"/>
  <c r="C1420" i="16"/>
  <c r="C1421" i="16"/>
  <c r="C1422" i="16"/>
  <c r="C1423" i="16"/>
  <c r="C1424" i="16"/>
  <c r="C1425" i="16"/>
  <c r="C1426" i="16"/>
  <c r="C1427" i="16"/>
  <c r="C1428" i="16"/>
  <c r="C1429" i="16"/>
  <c r="C1430" i="16"/>
  <c r="C1431" i="16"/>
  <c r="C1432" i="16"/>
  <c r="C1433" i="16"/>
  <c r="C1434" i="16"/>
  <c r="C1435" i="16"/>
  <c r="C1436" i="16"/>
  <c r="C1437" i="16"/>
  <c r="C1438" i="16"/>
  <c r="C1439" i="16"/>
  <c r="C1440" i="16"/>
  <c r="C1441" i="16"/>
  <c r="C1442" i="16"/>
  <c r="C1443" i="16"/>
  <c r="C1444" i="16"/>
  <c r="C1445" i="16"/>
  <c r="C1446" i="16"/>
  <c r="C1447" i="16"/>
  <c r="C1448" i="16"/>
  <c r="C1449" i="16"/>
  <c r="C1450" i="16"/>
  <c r="C1451" i="16"/>
  <c r="C1452" i="16"/>
  <c r="C1453" i="16"/>
  <c r="C1454" i="16"/>
  <c r="C1455" i="16"/>
  <c r="C1456" i="16"/>
  <c r="C1457" i="16"/>
  <c r="C1458" i="16"/>
  <c r="C1459" i="16"/>
  <c r="C1460" i="16"/>
  <c r="C1461" i="16"/>
  <c r="C1462" i="16"/>
  <c r="C1463" i="16"/>
  <c r="C1464" i="16"/>
  <c r="C1465" i="16"/>
  <c r="C1466" i="16"/>
  <c r="C1467" i="16"/>
  <c r="C1468" i="16"/>
  <c r="C1469" i="16"/>
  <c r="C1470" i="16"/>
  <c r="C1471" i="16"/>
  <c r="C1472" i="16"/>
  <c r="C1473" i="16"/>
  <c r="C1474" i="16"/>
  <c r="C1475" i="16"/>
  <c r="C1476" i="16"/>
  <c r="C1477" i="16"/>
  <c r="C1478" i="16"/>
  <c r="C1479" i="16"/>
  <c r="C1480" i="16"/>
  <c r="C1481" i="16"/>
  <c r="C1482" i="16"/>
  <c r="C1483" i="16"/>
  <c r="C1484" i="16"/>
  <c r="C1485" i="16"/>
  <c r="C1486" i="16"/>
  <c r="C1487" i="16"/>
  <c r="C1488" i="16"/>
  <c r="C1489" i="16"/>
  <c r="C1490" i="16"/>
  <c r="C1491" i="16"/>
  <c r="C1492" i="16"/>
  <c r="C1493" i="16"/>
  <c r="C1494" i="16"/>
  <c r="C1495" i="16"/>
  <c r="C1496" i="16"/>
  <c r="C1497" i="16"/>
  <c r="C1498" i="16"/>
  <c r="C1499" i="16"/>
  <c r="C1500" i="16"/>
  <c r="C1501" i="16"/>
  <c r="C1502" i="16"/>
  <c r="C1503" i="16"/>
  <c r="C1504" i="16"/>
  <c r="C1505" i="16"/>
  <c r="C1506" i="16"/>
  <c r="C1507" i="16"/>
  <c r="C1508" i="16"/>
  <c r="C1509" i="16"/>
  <c r="C1510" i="16"/>
  <c r="C1511" i="16"/>
  <c r="C1512" i="16"/>
  <c r="C1513" i="16"/>
  <c r="C1514" i="16"/>
  <c r="C1515" i="16"/>
  <c r="C1516" i="16"/>
  <c r="C1517" i="16"/>
  <c r="C1518" i="16"/>
  <c r="C1519" i="16"/>
  <c r="C1520" i="16"/>
  <c r="C1521" i="16"/>
  <c r="C1522" i="16"/>
  <c r="C1523" i="16"/>
  <c r="C1524" i="16"/>
  <c r="C1525" i="16"/>
  <c r="C1526" i="16"/>
  <c r="C1527" i="16"/>
  <c r="C1528" i="16"/>
  <c r="C1529" i="16"/>
  <c r="C1530" i="16"/>
  <c r="C1531" i="16"/>
  <c r="C1532" i="16"/>
  <c r="C1533" i="16"/>
  <c r="C1534" i="16"/>
  <c r="C1535" i="16"/>
  <c r="C1536" i="16"/>
  <c r="C1537" i="16"/>
  <c r="C1538" i="16"/>
  <c r="C1539" i="16"/>
  <c r="C1540" i="16"/>
  <c r="C1541" i="16"/>
  <c r="C1542" i="16"/>
  <c r="C1543" i="16"/>
  <c r="C1544" i="16"/>
  <c r="C1545" i="16"/>
  <c r="C1546" i="16"/>
  <c r="C1547" i="16"/>
  <c r="C1548" i="16"/>
  <c r="C1549" i="16"/>
  <c r="C1550" i="16"/>
  <c r="C1551" i="16"/>
  <c r="C1552" i="16"/>
  <c r="C1553" i="16"/>
  <c r="C1554" i="16"/>
  <c r="C1555" i="16"/>
  <c r="C1556" i="16"/>
  <c r="C1557" i="16"/>
  <c r="C1558" i="16"/>
  <c r="C1559" i="16"/>
  <c r="C1560" i="16"/>
  <c r="C1561" i="16"/>
  <c r="C1562" i="16"/>
  <c r="C1563" i="16"/>
  <c r="C1564" i="16"/>
  <c r="C1565" i="16"/>
  <c r="C1566" i="16"/>
  <c r="C1567" i="16"/>
  <c r="C1568" i="16"/>
  <c r="C1569" i="16"/>
  <c r="C1570" i="16"/>
  <c r="C1571" i="16"/>
  <c r="C1572" i="16"/>
  <c r="C1573" i="16"/>
  <c r="C1574" i="16"/>
  <c r="C1575" i="16"/>
  <c r="C1576" i="16"/>
  <c r="C1577" i="16"/>
  <c r="C1578" i="16"/>
  <c r="C1579" i="16"/>
  <c r="C1580" i="16"/>
  <c r="C1581" i="16"/>
  <c r="C1582" i="16"/>
  <c r="C1583" i="16"/>
  <c r="C1584" i="16"/>
  <c r="C1585" i="16"/>
  <c r="C1586" i="16"/>
  <c r="C1587" i="16"/>
  <c r="C1588" i="16"/>
  <c r="C1589" i="16"/>
  <c r="C1590" i="16"/>
  <c r="C1591" i="16"/>
  <c r="C1592" i="16"/>
  <c r="C1593" i="16"/>
  <c r="C1594" i="16"/>
  <c r="C1595" i="16"/>
  <c r="C1596" i="16"/>
  <c r="C1597" i="16"/>
  <c r="C1598" i="16"/>
  <c r="C1599" i="16"/>
  <c r="C1600" i="16"/>
  <c r="C1601" i="16"/>
  <c r="C1602" i="16"/>
  <c r="C1603" i="16"/>
  <c r="C1604" i="16"/>
  <c r="C1605" i="16"/>
  <c r="C1606" i="16"/>
  <c r="C1607" i="16"/>
  <c r="C1608" i="16"/>
  <c r="C1609" i="16"/>
  <c r="C1610" i="16"/>
  <c r="C1611" i="16"/>
  <c r="C1612" i="16"/>
  <c r="C1613" i="16"/>
  <c r="C1614" i="16"/>
  <c r="C1615" i="16"/>
  <c r="C1616" i="16"/>
  <c r="C1617" i="16"/>
  <c r="C1618" i="16"/>
  <c r="C1619" i="16"/>
  <c r="C1620" i="16"/>
  <c r="C1621" i="16"/>
  <c r="C1622" i="16"/>
  <c r="C1623" i="16"/>
  <c r="C1624" i="16"/>
  <c r="C1625" i="16"/>
  <c r="C1626" i="16"/>
  <c r="C1627" i="16"/>
  <c r="C1628" i="16"/>
  <c r="C1101" i="16"/>
  <c r="I1102" i="16"/>
  <c r="I1103" i="16"/>
  <c r="I1104" i="16"/>
  <c r="I1105" i="16"/>
  <c r="I1106" i="16"/>
  <c r="I1107" i="16"/>
  <c r="I1108" i="16"/>
  <c r="I1109" i="16"/>
  <c r="I1110" i="16"/>
  <c r="I1111" i="16"/>
  <c r="I1112" i="16"/>
  <c r="I1113" i="16"/>
  <c r="I1114" i="16"/>
  <c r="I1115" i="16"/>
  <c r="I1116" i="16"/>
  <c r="I1117" i="16"/>
  <c r="I1118" i="16"/>
  <c r="I1119" i="16"/>
  <c r="I1120" i="16"/>
  <c r="I1121" i="16"/>
  <c r="I1122" i="16"/>
  <c r="I1123" i="16"/>
  <c r="I1124" i="16"/>
  <c r="I1125" i="16"/>
  <c r="I1126" i="16"/>
  <c r="I1127" i="16"/>
  <c r="I1128" i="16"/>
  <c r="I1129" i="16"/>
  <c r="I1130" i="16"/>
  <c r="I1131" i="16"/>
  <c r="I1132" i="16"/>
  <c r="I1133" i="16"/>
  <c r="I1134" i="16"/>
  <c r="I1135" i="16"/>
  <c r="I1136" i="16"/>
  <c r="I1137" i="16"/>
  <c r="I1138" i="16"/>
  <c r="I1139" i="16"/>
  <c r="I1140" i="16"/>
  <c r="I1141" i="16"/>
  <c r="I1142" i="16"/>
  <c r="I1143" i="16"/>
  <c r="I1144" i="16"/>
  <c r="I1145" i="16"/>
  <c r="I1146" i="16"/>
  <c r="I1147" i="16"/>
  <c r="I1148" i="16"/>
  <c r="I1149" i="16"/>
  <c r="I1150" i="16"/>
  <c r="I1151" i="16"/>
  <c r="I1152" i="16"/>
  <c r="I1153" i="16"/>
  <c r="I1154" i="16"/>
  <c r="I1155" i="16"/>
  <c r="I1156" i="16"/>
  <c r="I1157" i="16"/>
  <c r="I1158" i="16"/>
  <c r="I1159" i="16"/>
  <c r="I1160" i="16"/>
  <c r="I1161" i="16"/>
  <c r="I1162" i="16"/>
  <c r="I1163" i="16"/>
  <c r="I1164" i="16"/>
  <c r="I1165" i="16"/>
  <c r="I1166" i="16"/>
  <c r="I1167" i="16"/>
  <c r="I1168" i="16"/>
  <c r="I1169" i="16"/>
  <c r="I1170" i="16"/>
  <c r="I1171" i="16"/>
  <c r="I1172" i="16"/>
  <c r="I1173" i="16"/>
  <c r="I1174" i="16"/>
  <c r="I1175" i="16"/>
  <c r="I1176" i="16"/>
  <c r="I1177" i="16"/>
  <c r="I1178" i="16"/>
  <c r="I1179" i="16"/>
  <c r="I1180" i="16"/>
  <c r="I1181" i="16"/>
  <c r="I1182" i="16"/>
  <c r="I1183" i="16"/>
  <c r="I1184" i="16"/>
  <c r="I1185" i="16"/>
  <c r="I1186" i="16"/>
  <c r="I1187" i="16"/>
  <c r="I1188" i="16"/>
  <c r="I1189" i="16"/>
  <c r="I1190" i="16"/>
  <c r="I1191" i="16"/>
  <c r="I1192" i="16"/>
  <c r="I1193" i="16"/>
  <c r="I1194" i="16"/>
  <c r="I1195" i="16"/>
  <c r="I1196" i="16"/>
  <c r="I1197" i="16"/>
  <c r="I1198" i="16"/>
  <c r="I1199" i="16"/>
  <c r="I1200" i="16"/>
  <c r="I1201" i="16"/>
  <c r="I1202" i="16"/>
  <c r="I1203" i="16"/>
  <c r="I1204" i="16"/>
  <c r="I1205" i="16"/>
  <c r="I1206" i="16"/>
  <c r="I1207" i="16"/>
  <c r="I1208" i="16"/>
  <c r="I1209" i="16"/>
  <c r="I1210" i="16"/>
  <c r="I1211" i="16"/>
  <c r="I1212" i="16"/>
  <c r="I1213" i="16"/>
  <c r="I1214" i="16"/>
  <c r="I1215" i="16"/>
  <c r="I1216" i="16"/>
  <c r="I1217" i="16"/>
  <c r="I1218" i="16"/>
  <c r="I1219" i="16"/>
  <c r="I1220" i="16"/>
  <c r="I1221" i="16"/>
  <c r="I1222" i="16"/>
  <c r="I1223" i="16"/>
  <c r="I1224" i="16"/>
  <c r="I1225" i="16"/>
  <c r="I1226" i="16"/>
  <c r="I1227" i="16"/>
  <c r="I1228" i="16"/>
  <c r="I1229" i="16"/>
  <c r="I1230" i="16"/>
  <c r="I1231" i="16"/>
  <c r="I1232" i="16"/>
  <c r="I1233" i="16"/>
  <c r="I1234" i="16"/>
  <c r="I1235" i="16"/>
  <c r="I1236" i="16"/>
  <c r="I1237" i="16"/>
  <c r="I1238" i="16"/>
  <c r="I1239" i="16"/>
  <c r="I1240" i="16"/>
  <c r="I1241" i="16"/>
  <c r="I1242" i="16"/>
  <c r="I1243" i="16"/>
  <c r="I1244" i="16"/>
  <c r="I1245" i="16"/>
  <c r="I1246" i="16"/>
  <c r="I1247" i="16"/>
  <c r="I1248" i="16"/>
  <c r="I1249" i="16"/>
  <c r="I1250" i="16"/>
  <c r="I1251" i="16"/>
  <c r="I1252" i="16"/>
  <c r="I1253" i="16"/>
  <c r="I1254" i="16"/>
  <c r="I1255" i="16"/>
  <c r="I1256" i="16"/>
  <c r="I1257" i="16"/>
  <c r="I1258" i="16"/>
  <c r="I1259" i="16"/>
  <c r="I1260" i="16"/>
  <c r="I1261" i="16"/>
  <c r="I1262" i="16"/>
  <c r="I1263" i="16"/>
  <c r="I1264" i="16"/>
  <c r="I1265" i="16"/>
  <c r="I1266" i="16"/>
  <c r="I1267" i="16"/>
  <c r="I1268" i="16"/>
  <c r="I1269" i="16"/>
  <c r="I1270" i="16"/>
  <c r="I1271" i="16"/>
  <c r="I1272" i="16"/>
  <c r="I1273" i="16"/>
  <c r="I1274" i="16"/>
  <c r="I1275" i="16"/>
  <c r="I1276" i="16"/>
  <c r="I1277" i="16"/>
  <c r="I1278" i="16"/>
  <c r="I1279" i="16"/>
  <c r="I1280" i="16"/>
  <c r="I1281" i="16"/>
  <c r="I1282" i="16"/>
  <c r="I1283" i="16"/>
  <c r="I1284" i="16"/>
  <c r="I1285" i="16"/>
  <c r="I1286" i="16"/>
  <c r="I1287" i="16"/>
  <c r="I1288" i="16"/>
  <c r="I1289" i="16"/>
  <c r="I1290" i="16"/>
  <c r="I1291" i="16"/>
  <c r="I1292" i="16"/>
  <c r="I1293" i="16"/>
  <c r="I1294" i="16"/>
  <c r="I1295" i="16"/>
  <c r="I1296" i="16"/>
  <c r="I1297" i="16"/>
  <c r="I1298" i="16"/>
  <c r="I1299" i="16"/>
  <c r="I1300" i="16"/>
  <c r="I1301" i="16"/>
  <c r="I1302" i="16"/>
  <c r="I1303" i="16"/>
  <c r="I1304" i="16"/>
  <c r="I1305" i="16"/>
  <c r="I1306" i="16"/>
  <c r="I1307" i="16"/>
  <c r="I1308" i="16"/>
  <c r="I1309" i="16"/>
  <c r="I1310" i="16"/>
  <c r="I1311" i="16"/>
  <c r="I1312" i="16"/>
  <c r="I1313" i="16"/>
  <c r="I1314" i="16"/>
  <c r="I1315" i="16"/>
  <c r="I1316" i="16"/>
  <c r="I1317" i="16"/>
  <c r="I1318" i="16"/>
  <c r="I1319" i="16"/>
  <c r="I1320" i="16"/>
  <c r="I1321" i="16"/>
  <c r="I1322" i="16"/>
  <c r="I1323" i="16"/>
  <c r="I1324" i="16"/>
  <c r="I1325" i="16"/>
  <c r="I1326" i="16"/>
  <c r="I1327" i="16"/>
  <c r="I1328" i="16"/>
  <c r="I1329" i="16"/>
  <c r="I1330" i="16"/>
  <c r="I1331" i="16"/>
  <c r="I1332" i="16"/>
  <c r="I1333" i="16"/>
  <c r="I1334" i="16"/>
  <c r="I1335" i="16"/>
  <c r="I1336" i="16"/>
  <c r="I1337" i="16"/>
  <c r="I1338" i="16"/>
  <c r="I1339" i="16"/>
  <c r="I1340" i="16"/>
  <c r="I1341" i="16"/>
  <c r="I1342" i="16"/>
  <c r="I1343" i="16"/>
  <c r="I1344" i="16"/>
  <c r="I1345" i="16"/>
  <c r="I1346" i="16"/>
  <c r="I1347" i="16"/>
  <c r="I1348" i="16"/>
  <c r="I1349" i="16"/>
  <c r="I1350" i="16"/>
  <c r="I1351" i="16"/>
  <c r="I1352" i="16"/>
  <c r="I1353" i="16"/>
  <c r="I1354" i="16"/>
  <c r="I1355" i="16"/>
  <c r="I1356" i="16"/>
  <c r="I1357" i="16"/>
  <c r="I1358" i="16"/>
  <c r="I1359" i="16"/>
  <c r="I1360" i="16"/>
  <c r="I1361" i="16"/>
  <c r="I1362" i="16"/>
  <c r="I1363" i="16"/>
  <c r="I1364" i="16"/>
  <c r="I1365" i="16"/>
  <c r="I1366" i="16"/>
  <c r="I1367" i="16"/>
  <c r="I1368" i="16"/>
  <c r="I1369" i="16"/>
  <c r="I1370" i="16"/>
  <c r="I1371" i="16"/>
  <c r="I1372" i="16"/>
  <c r="I1373" i="16"/>
  <c r="I1374" i="16"/>
  <c r="I1375" i="16"/>
  <c r="I1376" i="16"/>
  <c r="I1377" i="16"/>
  <c r="I1378" i="16"/>
  <c r="I1379" i="16"/>
  <c r="I1380" i="16"/>
  <c r="I1381" i="16"/>
  <c r="I1382" i="16"/>
  <c r="I1383" i="16"/>
  <c r="I1384" i="16"/>
  <c r="I1385" i="16"/>
  <c r="I1386" i="16"/>
  <c r="I1387" i="16"/>
  <c r="I1388" i="16"/>
  <c r="I1389" i="16"/>
  <c r="I1390" i="16"/>
  <c r="I1391" i="16"/>
  <c r="I1392" i="16"/>
  <c r="I1393" i="16"/>
  <c r="I1394" i="16"/>
  <c r="I1395" i="16"/>
  <c r="I1396" i="16"/>
  <c r="I1397" i="16"/>
  <c r="I1398" i="16"/>
  <c r="I1399" i="16"/>
  <c r="I1400" i="16"/>
  <c r="I1401" i="16"/>
  <c r="I1402" i="16"/>
  <c r="I1403" i="16"/>
  <c r="I1404" i="16"/>
  <c r="I1405" i="16"/>
  <c r="I1406" i="16"/>
  <c r="I1407" i="16"/>
  <c r="I1408" i="16"/>
  <c r="I1409" i="16"/>
  <c r="I1410" i="16"/>
  <c r="I1411" i="16"/>
  <c r="I1412" i="16"/>
  <c r="I1413" i="16"/>
  <c r="I1414" i="16"/>
  <c r="I1415" i="16"/>
  <c r="I1416" i="16"/>
  <c r="I1417" i="16"/>
  <c r="I1418" i="16"/>
  <c r="I1419" i="16"/>
  <c r="I1420" i="16"/>
  <c r="I1421" i="16"/>
  <c r="I1422" i="16"/>
  <c r="I1423" i="16"/>
  <c r="I1424" i="16"/>
  <c r="I1425" i="16"/>
  <c r="I1426" i="16"/>
  <c r="I1427" i="16"/>
  <c r="I1428" i="16"/>
  <c r="I1429" i="16"/>
  <c r="I1430" i="16"/>
  <c r="I1431" i="16"/>
  <c r="I1432" i="16"/>
  <c r="I1433" i="16"/>
  <c r="I1434" i="16"/>
  <c r="I1435" i="16"/>
  <c r="I1436" i="16"/>
  <c r="I1437" i="16"/>
  <c r="I1438" i="16"/>
  <c r="I1439" i="16"/>
  <c r="I1440" i="16"/>
  <c r="I1441" i="16"/>
  <c r="I1442" i="16"/>
  <c r="I1443" i="16"/>
  <c r="I1444" i="16"/>
  <c r="I1445" i="16"/>
  <c r="I1446" i="16"/>
  <c r="I1447" i="16"/>
  <c r="I1448" i="16"/>
  <c r="I1449" i="16"/>
  <c r="I1450" i="16"/>
  <c r="I1451" i="16"/>
  <c r="I1452" i="16"/>
  <c r="I1453" i="16"/>
  <c r="I1454" i="16"/>
  <c r="I1455" i="16"/>
  <c r="I1456" i="16"/>
  <c r="I1457" i="16"/>
  <c r="I1458" i="16"/>
  <c r="I1459" i="16"/>
  <c r="I1460" i="16"/>
  <c r="I1461" i="16"/>
  <c r="I1462" i="16"/>
  <c r="I1463" i="16"/>
  <c r="I1464" i="16"/>
  <c r="I1465" i="16"/>
  <c r="I1466" i="16"/>
  <c r="I1467" i="16"/>
  <c r="I1468" i="16"/>
  <c r="I1469" i="16"/>
  <c r="I1470" i="16"/>
  <c r="I1471" i="16"/>
  <c r="I1472" i="16"/>
  <c r="I1473" i="16"/>
  <c r="I1474" i="16"/>
  <c r="I1475" i="16"/>
  <c r="I1476" i="16"/>
  <c r="I1477" i="16"/>
  <c r="I1478" i="16"/>
  <c r="I1479" i="16"/>
  <c r="I1480" i="16"/>
  <c r="I1481" i="16"/>
  <c r="I1482" i="16"/>
  <c r="I1483" i="16"/>
  <c r="I1484" i="16"/>
  <c r="I1485" i="16"/>
  <c r="I1486" i="16"/>
  <c r="I1487" i="16"/>
  <c r="I1488" i="16"/>
  <c r="I1489" i="16"/>
  <c r="I1490" i="16"/>
  <c r="I1491" i="16"/>
  <c r="I1492" i="16"/>
  <c r="I1493" i="16"/>
  <c r="I1494" i="16"/>
  <c r="I1495" i="16"/>
  <c r="I1496" i="16"/>
  <c r="I1497" i="16"/>
  <c r="I1498" i="16"/>
  <c r="I1499" i="16"/>
  <c r="I1500" i="16"/>
  <c r="I1501" i="16"/>
  <c r="I1502" i="16"/>
  <c r="I1503" i="16"/>
  <c r="I1504" i="16"/>
  <c r="I1505" i="16"/>
  <c r="I1506" i="16"/>
  <c r="I1507" i="16"/>
  <c r="I1508" i="16"/>
  <c r="I1509" i="16"/>
  <c r="I1510" i="16"/>
  <c r="I1511" i="16"/>
  <c r="I1512" i="16"/>
  <c r="I1513" i="16"/>
  <c r="I1514" i="16"/>
  <c r="I1515" i="16"/>
  <c r="I1516" i="16"/>
  <c r="I1517" i="16"/>
  <c r="I1518" i="16"/>
  <c r="I1519" i="16"/>
  <c r="I1520" i="16"/>
  <c r="I1521" i="16"/>
  <c r="I1522" i="16"/>
  <c r="I1523" i="16"/>
  <c r="I1524" i="16"/>
  <c r="I1525" i="16"/>
  <c r="I1526" i="16"/>
  <c r="I1527" i="16"/>
  <c r="I1528" i="16"/>
  <c r="I1529" i="16"/>
  <c r="I1530" i="16"/>
  <c r="I1531" i="16"/>
  <c r="I1532" i="16"/>
  <c r="I1533" i="16"/>
  <c r="I1534" i="16"/>
  <c r="I1535" i="16"/>
  <c r="I1536" i="16"/>
  <c r="I1537" i="16"/>
  <c r="I1538" i="16"/>
  <c r="I1539" i="16"/>
  <c r="I1540" i="16"/>
  <c r="I1541" i="16"/>
  <c r="I1542" i="16"/>
  <c r="I1543" i="16"/>
  <c r="I1544" i="16"/>
  <c r="I1545" i="16"/>
  <c r="I1546" i="16"/>
  <c r="I1547" i="16"/>
  <c r="I1548" i="16"/>
  <c r="I1549" i="16"/>
  <c r="I1550" i="16"/>
  <c r="I1551" i="16"/>
  <c r="I1552" i="16"/>
  <c r="I1553" i="16"/>
  <c r="I1554" i="16"/>
  <c r="I1555" i="16"/>
  <c r="I1556" i="16"/>
  <c r="I1557" i="16"/>
  <c r="I1558" i="16"/>
  <c r="I1559" i="16"/>
  <c r="I1560" i="16"/>
  <c r="I1561" i="16"/>
  <c r="I1562" i="16"/>
  <c r="I1563" i="16"/>
  <c r="I1564" i="16"/>
  <c r="I1565" i="16"/>
  <c r="I1566" i="16"/>
  <c r="I1567" i="16"/>
  <c r="I1568" i="16"/>
  <c r="I1569" i="16"/>
  <c r="I1570" i="16"/>
  <c r="I1571" i="16"/>
  <c r="I1572" i="16"/>
  <c r="I1573" i="16"/>
  <c r="I1574" i="16"/>
  <c r="I1575" i="16"/>
  <c r="I1576" i="16"/>
  <c r="I1577" i="16"/>
  <c r="I1578" i="16"/>
  <c r="I1579" i="16"/>
  <c r="I1580" i="16"/>
  <c r="I1581" i="16"/>
  <c r="I1582" i="16"/>
  <c r="I1583" i="16"/>
  <c r="I1584" i="16"/>
  <c r="I1585" i="16"/>
  <c r="I1586" i="16"/>
  <c r="I1587" i="16"/>
  <c r="I1588" i="16"/>
  <c r="I1589" i="16"/>
  <c r="I1590" i="16"/>
  <c r="I1591" i="16"/>
  <c r="I1592" i="16"/>
  <c r="I1593" i="16"/>
  <c r="I1594" i="16"/>
  <c r="I1595" i="16"/>
  <c r="I1596" i="16"/>
  <c r="I1597" i="16"/>
  <c r="I1598" i="16"/>
  <c r="I1599" i="16"/>
  <c r="I1600" i="16"/>
  <c r="I1601" i="16"/>
  <c r="I1602" i="16"/>
  <c r="I1603" i="16"/>
  <c r="I1604" i="16"/>
  <c r="I1605" i="16"/>
  <c r="I1606" i="16"/>
  <c r="I1607" i="16"/>
  <c r="I1608" i="16"/>
  <c r="I1609" i="16"/>
  <c r="I1610" i="16"/>
  <c r="I1611" i="16"/>
  <c r="I1612" i="16"/>
  <c r="I1613" i="16"/>
  <c r="I1614" i="16"/>
  <c r="I1615" i="16"/>
  <c r="I1616" i="16"/>
  <c r="I1617" i="16"/>
  <c r="I1618" i="16"/>
  <c r="I1619" i="16"/>
  <c r="I1620" i="16"/>
  <c r="I1621" i="16"/>
  <c r="I1622" i="16"/>
  <c r="I1623" i="16"/>
  <c r="I1624" i="16"/>
  <c r="I1625" i="16"/>
  <c r="I1626" i="16"/>
  <c r="I1627" i="16"/>
  <c r="I1628" i="16"/>
  <c r="I1101"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559" i="16"/>
  <c r="I560" i="16"/>
  <c r="I561" i="16"/>
  <c r="I562" i="16"/>
  <c r="I563" i="16"/>
  <c r="I564" i="16"/>
  <c r="I565" i="16"/>
  <c r="I566" i="16"/>
  <c r="I567" i="16"/>
  <c r="I568" i="16"/>
  <c r="I569" i="16"/>
  <c r="I570" i="16"/>
  <c r="I571" i="16"/>
  <c r="I572" i="16"/>
  <c r="I573" i="16"/>
  <c r="I574" i="16"/>
  <c r="I575" i="16"/>
  <c r="I576" i="16"/>
  <c r="I577" i="16"/>
  <c r="I578" i="16"/>
  <c r="I579" i="16"/>
  <c r="I580" i="16"/>
  <c r="I581" i="16"/>
  <c r="I582" i="16"/>
  <c r="I583" i="16"/>
  <c r="I584" i="16"/>
  <c r="I585" i="16"/>
  <c r="I586" i="16"/>
  <c r="I587" i="16"/>
  <c r="I588" i="16"/>
  <c r="I589" i="16"/>
  <c r="I590" i="16"/>
  <c r="I591" i="16"/>
  <c r="I592" i="16"/>
  <c r="I593" i="16"/>
  <c r="I594" i="16"/>
  <c r="I595" i="16"/>
  <c r="I596" i="16"/>
  <c r="I597" i="16"/>
  <c r="I598" i="16"/>
  <c r="I599" i="16"/>
  <c r="I600" i="16"/>
  <c r="I601" i="16"/>
  <c r="I602" i="16"/>
  <c r="I603" i="16"/>
  <c r="I604" i="16"/>
  <c r="I605" i="16"/>
  <c r="I606" i="16"/>
  <c r="I607" i="16"/>
  <c r="I608" i="16"/>
  <c r="I609" i="16"/>
  <c r="I610" i="16"/>
  <c r="I611" i="16"/>
  <c r="I612" i="16"/>
  <c r="I613" i="16"/>
  <c r="I614" i="16"/>
  <c r="I615" i="16"/>
  <c r="I616" i="16"/>
  <c r="I617" i="16"/>
  <c r="I618" i="16"/>
  <c r="I619" i="16"/>
  <c r="I620" i="16"/>
  <c r="I621" i="16"/>
  <c r="I622" i="16"/>
  <c r="I623" i="16"/>
  <c r="I624" i="16"/>
  <c r="I625" i="16"/>
  <c r="I626" i="16"/>
  <c r="I627" i="16"/>
  <c r="I628" i="16"/>
  <c r="I629" i="16"/>
  <c r="I630" i="16"/>
  <c r="I631" i="16"/>
  <c r="I632" i="16"/>
  <c r="I633" i="16"/>
  <c r="I634" i="16"/>
  <c r="I635" i="16"/>
  <c r="I636" i="16"/>
  <c r="I637" i="16"/>
  <c r="I638" i="16"/>
  <c r="I639" i="16"/>
  <c r="I640" i="16"/>
  <c r="I641" i="16"/>
  <c r="I642" i="16"/>
  <c r="I643" i="16"/>
  <c r="I644" i="16"/>
  <c r="I645" i="16"/>
  <c r="I646" i="16"/>
  <c r="I647" i="16"/>
  <c r="I648" i="16"/>
  <c r="I649" i="16"/>
  <c r="I650" i="16"/>
  <c r="I651" i="16"/>
  <c r="I652" i="16"/>
  <c r="I653" i="16"/>
  <c r="I654" i="16"/>
  <c r="I655" i="16"/>
  <c r="I656" i="16"/>
  <c r="I657" i="16"/>
  <c r="I658" i="16"/>
  <c r="I659" i="16"/>
  <c r="I660" i="16"/>
  <c r="I661" i="16"/>
  <c r="I662" i="16"/>
  <c r="I663" i="16"/>
  <c r="I664" i="16"/>
  <c r="I665" i="16"/>
  <c r="I666" i="16"/>
  <c r="I667" i="16"/>
  <c r="I668" i="16"/>
  <c r="I669" i="16"/>
  <c r="I670" i="16"/>
  <c r="I671" i="16"/>
  <c r="I672" i="16"/>
  <c r="I673" i="16"/>
  <c r="I674" i="16"/>
  <c r="I675" i="16"/>
  <c r="I676" i="16"/>
  <c r="I677" i="16"/>
  <c r="I678" i="16"/>
  <c r="I679" i="16"/>
  <c r="I680" i="16"/>
  <c r="I681" i="16"/>
  <c r="I682" i="16"/>
  <c r="I683" i="16"/>
  <c r="I684" i="16"/>
  <c r="I685" i="16"/>
  <c r="I686" i="16"/>
  <c r="I687" i="16"/>
  <c r="I688" i="16"/>
  <c r="I689" i="16"/>
  <c r="I690" i="16"/>
  <c r="I691" i="16"/>
  <c r="I692" i="16"/>
  <c r="I693" i="16"/>
  <c r="I694" i="16"/>
  <c r="I695" i="16"/>
  <c r="I696" i="16"/>
  <c r="I697" i="16"/>
  <c r="I698" i="16"/>
  <c r="I699" i="16"/>
  <c r="I700" i="16"/>
  <c r="I701" i="16"/>
  <c r="I702" i="16"/>
  <c r="I703" i="16"/>
  <c r="I704" i="16"/>
  <c r="I705" i="16"/>
  <c r="I706" i="16"/>
  <c r="I707" i="16"/>
  <c r="I708" i="16"/>
  <c r="I709" i="16"/>
  <c r="I710" i="16"/>
  <c r="I711" i="16"/>
  <c r="I712" i="16"/>
  <c r="I713" i="16"/>
  <c r="I714" i="16"/>
  <c r="I715" i="16"/>
  <c r="I716" i="16"/>
  <c r="I717" i="16"/>
  <c r="I718" i="16"/>
  <c r="I719" i="16"/>
  <c r="I720" i="16"/>
  <c r="I721" i="16"/>
  <c r="I722" i="16"/>
  <c r="I723" i="16"/>
  <c r="I724" i="16"/>
  <c r="I725" i="16"/>
  <c r="I726" i="16"/>
  <c r="I727" i="16"/>
  <c r="I728" i="16"/>
  <c r="I729" i="16"/>
  <c r="I730" i="16"/>
  <c r="I731" i="16"/>
  <c r="I732" i="16"/>
  <c r="I733" i="16"/>
  <c r="I734" i="16"/>
  <c r="I735" i="16"/>
  <c r="I736" i="16"/>
  <c r="I737" i="16"/>
  <c r="I738" i="16"/>
  <c r="I739" i="16"/>
  <c r="I740" i="16"/>
  <c r="I741" i="16"/>
  <c r="I742" i="16"/>
  <c r="I743" i="16"/>
  <c r="I744" i="16"/>
  <c r="I745" i="16"/>
  <c r="I746" i="16"/>
  <c r="I747" i="16"/>
  <c r="I748" i="16"/>
  <c r="I749" i="16"/>
  <c r="I750" i="16"/>
  <c r="I751" i="16"/>
  <c r="I752" i="16"/>
  <c r="I753" i="16"/>
  <c r="I754" i="16"/>
  <c r="I755" i="16"/>
  <c r="I756" i="16"/>
  <c r="I757" i="16"/>
  <c r="I758" i="16"/>
  <c r="I759" i="16"/>
  <c r="I760" i="16"/>
  <c r="I761" i="16"/>
  <c r="I762" i="16"/>
  <c r="I763" i="16"/>
  <c r="I764" i="16"/>
  <c r="I765" i="16"/>
  <c r="I766" i="16"/>
  <c r="I767" i="16"/>
  <c r="I768" i="16"/>
  <c r="I769" i="16"/>
  <c r="I770" i="16"/>
  <c r="I771" i="16"/>
  <c r="I772" i="16"/>
  <c r="I773" i="16"/>
  <c r="I774" i="16"/>
  <c r="I775" i="16"/>
  <c r="I776" i="16"/>
  <c r="I777" i="16"/>
  <c r="I778" i="16"/>
  <c r="I779" i="16"/>
  <c r="I780" i="16"/>
  <c r="I781" i="16"/>
  <c r="I782" i="16"/>
  <c r="I783" i="16"/>
  <c r="I784" i="16"/>
  <c r="I785" i="16"/>
  <c r="I786" i="16"/>
  <c r="I787" i="16"/>
  <c r="I788" i="16"/>
  <c r="I789" i="16"/>
  <c r="I790" i="16"/>
  <c r="I791" i="16"/>
  <c r="I792" i="16"/>
  <c r="I793" i="16"/>
  <c r="I794" i="16"/>
  <c r="I795" i="16"/>
  <c r="I796" i="16"/>
  <c r="I797" i="16"/>
  <c r="I798" i="16"/>
  <c r="I799" i="16"/>
  <c r="I800" i="16"/>
  <c r="I801" i="16"/>
  <c r="I802" i="16"/>
  <c r="I803" i="16"/>
  <c r="I804" i="16"/>
  <c r="I805" i="16"/>
  <c r="I806" i="16"/>
  <c r="I807" i="16"/>
  <c r="I808" i="16"/>
  <c r="I809" i="16"/>
  <c r="I810" i="16"/>
  <c r="I811" i="16"/>
  <c r="I812" i="16"/>
  <c r="I813" i="16"/>
  <c r="I814" i="16"/>
  <c r="I815" i="16"/>
  <c r="I816" i="16"/>
  <c r="I817" i="16"/>
  <c r="I818" i="16"/>
  <c r="I819" i="16"/>
  <c r="I820" i="16"/>
  <c r="I821" i="16"/>
  <c r="I822" i="16"/>
  <c r="I823" i="16"/>
  <c r="I824" i="16"/>
  <c r="I825" i="16"/>
  <c r="I826" i="16"/>
  <c r="I827" i="16"/>
  <c r="I828" i="16"/>
  <c r="I829" i="16"/>
  <c r="I830" i="16"/>
  <c r="I831" i="16"/>
  <c r="I832" i="16"/>
  <c r="I833" i="16"/>
  <c r="I834" i="16"/>
  <c r="I835" i="16"/>
  <c r="I836" i="16"/>
  <c r="I837" i="16"/>
  <c r="I838" i="16"/>
  <c r="I839" i="16"/>
  <c r="I840" i="16"/>
  <c r="I841" i="16"/>
  <c r="I842" i="16"/>
  <c r="I843" i="16"/>
  <c r="I844" i="16"/>
  <c r="I845" i="16"/>
  <c r="I846" i="16"/>
  <c r="I847" i="16"/>
  <c r="I848" i="16"/>
  <c r="I849" i="16"/>
  <c r="I850" i="16"/>
  <c r="I851" i="16"/>
  <c r="I852" i="16"/>
  <c r="I853" i="16"/>
  <c r="I854" i="16"/>
  <c r="I855" i="16"/>
  <c r="I856" i="16"/>
  <c r="I857" i="16"/>
  <c r="I858" i="16"/>
  <c r="I859" i="16"/>
  <c r="I860" i="16"/>
  <c r="I861" i="16"/>
  <c r="I862" i="16"/>
  <c r="I863" i="16"/>
  <c r="I864" i="16"/>
  <c r="I865" i="16"/>
  <c r="I866" i="16"/>
  <c r="I867" i="16"/>
  <c r="I868" i="16"/>
  <c r="I869" i="16"/>
  <c r="I870" i="16"/>
  <c r="I871" i="16"/>
  <c r="I872" i="16"/>
  <c r="I873" i="16"/>
  <c r="I874" i="16"/>
  <c r="I875" i="16"/>
  <c r="I876" i="16"/>
  <c r="I877" i="16"/>
  <c r="I878" i="16"/>
  <c r="I879" i="16"/>
  <c r="I880" i="16"/>
  <c r="I881" i="16"/>
  <c r="I882" i="16"/>
  <c r="I883" i="16"/>
  <c r="I884" i="16"/>
  <c r="I885" i="16"/>
  <c r="I886" i="16"/>
  <c r="I887" i="16"/>
  <c r="I888" i="16"/>
  <c r="I889" i="16"/>
  <c r="I890" i="16"/>
  <c r="I891" i="16"/>
  <c r="I892" i="16"/>
  <c r="I893" i="16"/>
  <c r="I894" i="16"/>
  <c r="I895" i="16"/>
  <c r="I896" i="16"/>
  <c r="I897" i="16"/>
  <c r="I898" i="16"/>
  <c r="I899" i="16"/>
  <c r="I900" i="16"/>
  <c r="I901" i="16"/>
  <c r="I902" i="16"/>
  <c r="I903" i="16"/>
  <c r="I904" i="16"/>
  <c r="I905" i="16"/>
  <c r="I906" i="16"/>
  <c r="I907" i="16"/>
  <c r="I908" i="16"/>
  <c r="I909" i="16"/>
  <c r="I910" i="16"/>
  <c r="I911" i="16"/>
  <c r="I912" i="16"/>
  <c r="I913" i="16"/>
  <c r="I914" i="16"/>
  <c r="I915" i="16"/>
  <c r="I916" i="16"/>
  <c r="I917" i="16"/>
  <c r="I918" i="16"/>
  <c r="I919" i="16"/>
  <c r="I920" i="16"/>
  <c r="I921" i="16"/>
  <c r="I922" i="16"/>
  <c r="I923" i="16"/>
  <c r="I924" i="16"/>
  <c r="I925" i="16"/>
  <c r="I926" i="16"/>
  <c r="I927" i="16"/>
  <c r="I928" i="16"/>
  <c r="I929" i="16"/>
  <c r="I930" i="16"/>
  <c r="I931" i="16"/>
  <c r="I932" i="16"/>
  <c r="I933" i="16"/>
  <c r="I934" i="16"/>
  <c r="I935" i="16"/>
  <c r="I936" i="16"/>
  <c r="I937" i="16"/>
  <c r="I938" i="16"/>
  <c r="I939" i="16"/>
  <c r="I940" i="16"/>
  <c r="I941" i="16"/>
  <c r="I942" i="16"/>
  <c r="I943" i="16"/>
  <c r="I944" i="16"/>
  <c r="I945" i="16"/>
  <c r="I946" i="16"/>
  <c r="I947" i="16"/>
  <c r="I948" i="16"/>
  <c r="I949" i="16"/>
  <c r="I950" i="16"/>
  <c r="I951" i="16"/>
  <c r="I952" i="16"/>
  <c r="I953" i="16"/>
  <c r="I954" i="16"/>
  <c r="I955" i="16"/>
  <c r="I956" i="16"/>
  <c r="I957" i="16"/>
  <c r="I958" i="16"/>
  <c r="I959" i="16"/>
  <c r="I960" i="16"/>
  <c r="I961" i="16"/>
  <c r="I962" i="16"/>
  <c r="I963" i="16"/>
  <c r="I964" i="16"/>
  <c r="I965" i="16"/>
  <c r="I966" i="16"/>
  <c r="I967" i="16"/>
  <c r="I968" i="16"/>
  <c r="I969" i="16"/>
  <c r="I970" i="16"/>
  <c r="I971" i="16"/>
  <c r="I972" i="16"/>
  <c r="I973" i="16"/>
  <c r="I974" i="16"/>
  <c r="I975" i="16"/>
  <c r="I976" i="16"/>
  <c r="I977" i="16"/>
  <c r="I978" i="16"/>
  <c r="I979" i="16"/>
  <c r="I980" i="16"/>
  <c r="I981" i="16"/>
  <c r="I982" i="16"/>
  <c r="I983" i="16"/>
  <c r="I984" i="16"/>
  <c r="I985" i="16"/>
  <c r="I986" i="16"/>
  <c r="I987" i="16"/>
  <c r="I988" i="16"/>
  <c r="I989" i="16"/>
  <c r="I990" i="16"/>
  <c r="I991" i="16"/>
  <c r="I992" i="16"/>
  <c r="I993" i="16"/>
  <c r="I994" i="16"/>
  <c r="I995" i="16"/>
  <c r="I996" i="16"/>
  <c r="I997" i="16"/>
  <c r="I998" i="16"/>
  <c r="I999" i="16"/>
  <c r="I1000" i="16"/>
  <c r="I1001" i="16"/>
  <c r="I1002" i="16"/>
  <c r="I1003" i="16"/>
  <c r="I1004" i="16"/>
  <c r="I1005" i="16"/>
  <c r="I1006" i="16"/>
  <c r="I1007" i="16"/>
  <c r="I1008" i="16"/>
  <c r="I1009" i="16"/>
  <c r="I1010" i="16"/>
  <c r="I1011" i="16"/>
  <c r="I1012" i="16"/>
  <c r="I1013" i="16"/>
  <c r="I1014" i="16"/>
  <c r="I1015" i="16"/>
  <c r="I1016" i="16"/>
  <c r="I1017" i="16"/>
  <c r="I1018" i="16"/>
  <c r="I1019" i="16"/>
  <c r="I1020" i="16"/>
  <c r="I1021" i="16"/>
  <c r="I1022" i="16"/>
  <c r="I1023" i="16"/>
  <c r="I1024" i="16"/>
  <c r="I1025" i="16"/>
  <c r="I1026" i="16"/>
  <c r="I1027" i="16"/>
  <c r="I1028" i="16"/>
  <c r="I1029" i="16"/>
  <c r="I1030" i="16"/>
  <c r="I1031" i="16"/>
  <c r="I1032" i="16"/>
  <c r="I1033" i="16"/>
  <c r="I1034" i="16"/>
  <c r="I1035" i="16"/>
  <c r="I1036" i="16"/>
  <c r="I1037" i="16"/>
  <c r="I1038" i="16"/>
  <c r="I1039" i="16"/>
  <c r="I1040" i="16"/>
  <c r="I1041" i="16"/>
  <c r="I1042" i="16"/>
  <c r="I1043" i="16"/>
  <c r="I1044" i="16"/>
  <c r="I1045" i="16"/>
  <c r="I1046" i="16"/>
  <c r="I1047" i="16"/>
  <c r="I1048" i="16"/>
  <c r="I1049" i="16"/>
  <c r="I1050" i="16"/>
  <c r="I1051" i="16"/>
  <c r="I1052" i="16"/>
  <c r="I1053" i="16"/>
  <c r="I1054" i="16"/>
  <c r="I1055" i="16"/>
  <c r="I1056" i="16"/>
  <c r="I1057" i="16"/>
  <c r="I1058" i="16"/>
  <c r="I1059" i="16"/>
  <c r="I1060" i="16"/>
  <c r="I1061" i="16"/>
  <c r="I1062" i="16"/>
  <c r="I1063" i="16"/>
  <c r="I1064" i="16"/>
  <c r="I1065" i="16"/>
  <c r="I1066" i="16"/>
  <c r="I1067" i="16"/>
  <c r="I1068" i="16"/>
  <c r="I1069" i="16"/>
  <c r="I1070" i="16"/>
  <c r="I1071" i="16"/>
  <c r="I1072" i="16"/>
  <c r="I1073" i="16"/>
  <c r="I1074" i="16"/>
  <c r="I1075" i="16"/>
  <c r="I1076" i="16"/>
  <c r="I1077" i="16"/>
  <c r="I1078" i="16"/>
  <c r="I1079" i="16"/>
  <c r="I1080" i="16"/>
  <c r="I1081" i="16"/>
  <c r="I1082" i="16"/>
  <c r="I1083" i="16"/>
  <c r="I1084" i="16"/>
  <c r="I1085" i="16"/>
  <c r="I1086" i="16"/>
  <c r="I559" i="16"/>
  <c r="C147" i="16" l="1"/>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I177" i="16"/>
  <c r="I178" i="16"/>
  <c r="I179" i="16"/>
  <c r="I180" i="16"/>
  <c r="I181" i="16"/>
  <c r="I182" i="16"/>
  <c r="I183" i="16"/>
  <c r="I184" i="16"/>
  <c r="I185" i="16"/>
  <c r="I186" i="16"/>
  <c r="I187" i="16"/>
  <c r="I188" i="16"/>
  <c r="I189" i="16"/>
  <c r="I190" i="16"/>
  <c r="I191" i="16"/>
  <c r="I192" i="16"/>
  <c r="I193" i="16"/>
  <c r="I194" i="16"/>
  <c r="I195" i="16"/>
  <c r="I196" i="16"/>
  <c r="I197" i="16"/>
  <c r="I198" i="16"/>
  <c r="I199" i="16"/>
  <c r="I200" i="16"/>
  <c r="I201" i="16"/>
  <c r="I202" i="16"/>
  <c r="I203" i="16"/>
  <c r="I204" i="16"/>
  <c r="I205" i="16"/>
  <c r="I206" i="16"/>
  <c r="I207" i="16"/>
  <c r="I208" i="16"/>
  <c r="I209" i="16"/>
  <c r="I210" i="16"/>
  <c r="I211" i="16"/>
  <c r="I212" i="16"/>
  <c r="I213" i="16"/>
  <c r="I214" i="16"/>
  <c r="I215" i="16"/>
  <c r="I216" i="16"/>
  <c r="I217" i="16"/>
  <c r="I218" i="16"/>
  <c r="I219" i="16"/>
  <c r="I220" i="16"/>
  <c r="I221" i="16"/>
  <c r="I222" i="16"/>
  <c r="I223" i="16"/>
  <c r="I224" i="16"/>
  <c r="I225" i="16"/>
  <c r="I226" i="16"/>
  <c r="I227" i="16"/>
  <c r="I228" i="16"/>
  <c r="I229" i="16"/>
  <c r="I230" i="16"/>
  <c r="I231" i="16"/>
  <c r="I232" i="16"/>
  <c r="I233" i="16"/>
  <c r="I234" i="16"/>
  <c r="I235" i="16"/>
  <c r="I236" i="16"/>
  <c r="I237" i="16"/>
  <c r="I238" i="16"/>
  <c r="I239" i="16"/>
  <c r="I240" i="16"/>
  <c r="I241" i="16"/>
  <c r="I242" i="16"/>
  <c r="I243" i="16"/>
  <c r="I244" i="16"/>
  <c r="I245" i="16"/>
  <c r="I246" i="16"/>
  <c r="I247" i="16"/>
  <c r="I248" i="16"/>
  <c r="I249" i="16"/>
  <c r="I250" i="16"/>
  <c r="I251" i="16"/>
  <c r="I252" i="16"/>
  <c r="I253" i="16"/>
  <c r="I254" i="16"/>
  <c r="I255" i="16"/>
  <c r="I256" i="16"/>
  <c r="I257" i="16"/>
  <c r="I258" i="16"/>
  <c r="I259" i="16"/>
  <c r="I260" i="16"/>
  <c r="I261" i="16"/>
  <c r="I262" i="16"/>
  <c r="I263" i="16"/>
  <c r="I264" i="16"/>
  <c r="I265" i="16"/>
  <c r="I266" i="16"/>
  <c r="I267" i="16"/>
  <c r="I268" i="16"/>
  <c r="I269" i="16"/>
  <c r="I270" i="16"/>
  <c r="I271" i="16"/>
  <c r="I272" i="16"/>
  <c r="I273" i="16"/>
  <c r="I274" i="16"/>
  <c r="I275" i="16"/>
  <c r="I276" i="16"/>
  <c r="I277" i="16"/>
  <c r="I278" i="16"/>
  <c r="I279" i="16"/>
  <c r="I280" i="16"/>
  <c r="I281" i="16"/>
  <c r="I282" i="16"/>
  <c r="I283" i="16"/>
  <c r="I284" i="16"/>
  <c r="I285" i="16"/>
  <c r="I286" i="16"/>
  <c r="I287" i="16"/>
  <c r="I288" i="16"/>
  <c r="I289" i="16"/>
  <c r="I290" i="16"/>
  <c r="I291" i="16"/>
  <c r="I292" i="16"/>
  <c r="I293" i="16"/>
  <c r="I294" i="16"/>
  <c r="I295" i="16"/>
  <c r="I296" i="16"/>
  <c r="I297" i="16"/>
  <c r="I298" i="16"/>
  <c r="I299" i="16"/>
  <c r="I300" i="16"/>
  <c r="I301" i="16"/>
  <c r="I302" i="16"/>
  <c r="I303" i="16"/>
  <c r="I304" i="16"/>
  <c r="I305" i="16"/>
  <c r="I306" i="16"/>
  <c r="I307" i="16"/>
  <c r="I308" i="16"/>
  <c r="I309" i="16"/>
  <c r="I310" i="16"/>
  <c r="I311" i="16"/>
  <c r="I312" i="16"/>
  <c r="I313" i="16"/>
  <c r="I314" i="16"/>
  <c r="I315" i="16"/>
  <c r="I316" i="16"/>
  <c r="I317" i="16"/>
  <c r="I318" i="16"/>
  <c r="I319" i="16"/>
  <c r="I320" i="16"/>
  <c r="I321" i="16"/>
  <c r="I322" i="16"/>
  <c r="I323" i="16"/>
  <c r="I324" i="16"/>
  <c r="I325" i="16"/>
  <c r="I326" i="16"/>
  <c r="I327" i="16"/>
  <c r="I328" i="16"/>
  <c r="I329" i="16"/>
  <c r="I330" i="16"/>
  <c r="I331" i="16"/>
  <c r="I332" i="16"/>
  <c r="I333" i="16"/>
  <c r="I334" i="16"/>
  <c r="I335" i="16"/>
  <c r="I336" i="16"/>
  <c r="I337" i="16"/>
  <c r="I338" i="16"/>
  <c r="I339" i="16"/>
  <c r="I340" i="16"/>
  <c r="I341" i="16"/>
  <c r="I342" i="16"/>
  <c r="I343" i="16"/>
  <c r="I344" i="16"/>
  <c r="I345" i="16"/>
  <c r="I346" i="16"/>
  <c r="I347" i="16"/>
  <c r="I348" i="16"/>
  <c r="I349" i="16"/>
  <c r="I350" i="16"/>
  <c r="I351" i="16"/>
  <c r="I352" i="16"/>
  <c r="I353" i="16"/>
  <c r="I354" i="16"/>
  <c r="I355" i="16"/>
  <c r="I356" i="16"/>
  <c r="I357" i="16"/>
  <c r="I358" i="16"/>
  <c r="I359" i="16"/>
  <c r="I360" i="16"/>
  <c r="I361" i="16"/>
  <c r="I362" i="16"/>
  <c r="I363" i="16"/>
  <c r="I364" i="16"/>
  <c r="I365" i="16"/>
  <c r="I366" i="16"/>
  <c r="I367" i="16"/>
  <c r="I368" i="16"/>
  <c r="I369" i="16"/>
  <c r="I370" i="16"/>
  <c r="I371" i="16"/>
  <c r="I372" i="16"/>
  <c r="I373" i="16"/>
  <c r="I374" i="16"/>
  <c r="I375" i="16"/>
  <c r="I376" i="16"/>
  <c r="I377" i="16"/>
  <c r="I378" i="16"/>
  <c r="I379" i="16"/>
  <c r="I380" i="16"/>
  <c r="I381" i="16"/>
  <c r="I382" i="16"/>
  <c r="I383" i="16"/>
  <c r="I384" i="16"/>
  <c r="I385" i="16"/>
  <c r="I386" i="16"/>
  <c r="I387" i="16"/>
  <c r="I388" i="16"/>
  <c r="I389" i="16"/>
  <c r="I390" i="16"/>
  <c r="I391" i="16"/>
  <c r="I392" i="16"/>
  <c r="I393" i="16"/>
  <c r="I394" i="16"/>
  <c r="I395" i="16"/>
  <c r="I396" i="16"/>
  <c r="I397" i="16"/>
  <c r="I398" i="16"/>
  <c r="I399" i="16"/>
  <c r="I400" i="16"/>
  <c r="I401" i="16"/>
  <c r="I402" i="16"/>
  <c r="I403" i="16"/>
  <c r="I404" i="16"/>
  <c r="I405" i="16"/>
  <c r="I406" i="16"/>
  <c r="I407" i="16"/>
  <c r="I408" i="16"/>
  <c r="I409" i="16"/>
  <c r="I410" i="16"/>
  <c r="I411" i="16"/>
  <c r="I412" i="16"/>
  <c r="I413" i="16"/>
  <c r="I414" i="16"/>
  <c r="I415" i="16"/>
  <c r="I416" i="16"/>
  <c r="I417" i="16"/>
  <c r="I418" i="16"/>
  <c r="I419" i="16"/>
  <c r="I420" i="16"/>
  <c r="I421" i="16"/>
  <c r="I422" i="16"/>
  <c r="I423" i="16"/>
  <c r="I424" i="16"/>
  <c r="I425" i="16"/>
  <c r="I426" i="16"/>
  <c r="I427" i="16"/>
  <c r="I428" i="16"/>
  <c r="I429" i="16"/>
  <c r="I430" i="16"/>
  <c r="I431" i="16"/>
  <c r="I432" i="16"/>
  <c r="I433" i="16"/>
  <c r="I434" i="16"/>
  <c r="I435" i="16"/>
  <c r="I436" i="16"/>
  <c r="I437" i="16"/>
  <c r="I438" i="16"/>
  <c r="I439" i="16"/>
  <c r="I440" i="16"/>
  <c r="I441" i="16"/>
  <c r="I442" i="16"/>
  <c r="I443" i="16"/>
  <c r="I444" i="16"/>
  <c r="I445" i="16"/>
  <c r="I446" i="16"/>
  <c r="I447" i="16"/>
  <c r="I448" i="16"/>
  <c r="I449" i="16"/>
  <c r="I450" i="16"/>
  <c r="I451" i="16"/>
  <c r="I452" i="16"/>
  <c r="I453" i="16"/>
  <c r="I454" i="16"/>
  <c r="I455" i="16"/>
  <c r="I456" i="16"/>
  <c r="I457" i="16"/>
  <c r="I458" i="16"/>
  <c r="I459" i="16"/>
  <c r="I460" i="16"/>
  <c r="I461" i="16"/>
  <c r="I462" i="16"/>
  <c r="I463" i="16"/>
  <c r="I464" i="16"/>
  <c r="I465" i="16"/>
  <c r="I466" i="16"/>
  <c r="I467" i="16"/>
  <c r="I468" i="16"/>
  <c r="I469" i="16"/>
  <c r="I470" i="16"/>
  <c r="I471" i="16"/>
  <c r="I472" i="16"/>
  <c r="I473" i="16"/>
  <c r="I474" i="16"/>
  <c r="I475" i="16"/>
  <c r="I476" i="16"/>
  <c r="I477" i="16"/>
  <c r="I478" i="16"/>
  <c r="I479" i="16"/>
  <c r="I480" i="16"/>
  <c r="I481" i="16"/>
  <c r="I482" i="16"/>
  <c r="I483" i="16"/>
  <c r="I484" i="16"/>
  <c r="I485" i="16"/>
  <c r="I486" i="16"/>
  <c r="I487" i="16"/>
  <c r="I488" i="16"/>
  <c r="I489" i="16"/>
  <c r="I490" i="16"/>
  <c r="I491" i="16"/>
  <c r="I492" i="16"/>
  <c r="I493" i="16"/>
  <c r="I494" i="16"/>
  <c r="I495" i="16"/>
  <c r="I496" i="16"/>
  <c r="I497" i="16"/>
  <c r="I498" i="16"/>
  <c r="I499" i="16"/>
  <c r="I500" i="16"/>
  <c r="I501" i="16"/>
  <c r="I502" i="16"/>
  <c r="I503" i="16"/>
  <c r="I504" i="16"/>
  <c r="I505" i="16"/>
  <c r="I506" i="16"/>
  <c r="I507" i="16"/>
  <c r="I508" i="16"/>
  <c r="I509" i="16"/>
  <c r="I510" i="16"/>
  <c r="I511" i="16"/>
  <c r="I512" i="16"/>
  <c r="I513" i="16"/>
  <c r="I514" i="16"/>
  <c r="I515" i="16"/>
  <c r="I516" i="16"/>
  <c r="I517" i="16"/>
  <c r="I518" i="16"/>
  <c r="I519" i="16"/>
  <c r="I520" i="16"/>
  <c r="I521" i="16"/>
  <c r="I522" i="16"/>
  <c r="I523" i="16"/>
  <c r="I524" i="16"/>
  <c r="I525" i="16"/>
  <c r="I526" i="16"/>
  <c r="I527" i="16"/>
  <c r="I528" i="16"/>
  <c r="I529" i="16"/>
  <c r="I530" i="16"/>
  <c r="I531" i="16"/>
  <c r="I532" i="16"/>
  <c r="I533" i="16"/>
  <c r="I534" i="16"/>
  <c r="I535" i="16"/>
  <c r="I536" i="16"/>
  <c r="I537" i="16"/>
  <c r="I538" i="16"/>
  <c r="I539" i="16"/>
  <c r="I540" i="16"/>
  <c r="I541" i="16"/>
  <c r="I542" i="16"/>
  <c r="I543" i="16"/>
  <c r="I544" i="16"/>
  <c r="I105" i="16"/>
  <c r="I63" i="16"/>
  <c r="Y146" i="16"/>
  <c r="T146" i="16"/>
  <c r="I146" i="16"/>
  <c r="C146" i="16"/>
  <c r="Y145" i="16"/>
  <c r="T145" i="16"/>
  <c r="I145" i="16"/>
  <c r="C145" i="16"/>
  <c r="Y144" i="16"/>
  <c r="T144" i="16"/>
  <c r="I144" i="16"/>
  <c r="C144" i="16"/>
  <c r="Y143" i="16"/>
  <c r="T143" i="16"/>
  <c r="I143" i="16"/>
  <c r="C143" i="16"/>
  <c r="Y142" i="16"/>
  <c r="T142" i="16"/>
  <c r="I142" i="16"/>
  <c r="C142" i="16"/>
  <c r="Y141" i="16"/>
  <c r="T141" i="16"/>
  <c r="I141" i="16"/>
  <c r="C141" i="16"/>
  <c r="Y140" i="16"/>
  <c r="T140" i="16"/>
  <c r="I140" i="16"/>
  <c r="C140" i="16"/>
  <c r="Y139" i="16"/>
  <c r="T139" i="16"/>
  <c r="I139" i="16"/>
  <c r="C139" i="16"/>
  <c r="Y138" i="16"/>
  <c r="T138" i="16"/>
  <c r="I138" i="16"/>
  <c r="C138" i="16"/>
  <c r="Y137" i="16"/>
  <c r="T137" i="16"/>
  <c r="I137" i="16"/>
  <c r="C137" i="16"/>
  <c r="Y136" i="16"/>
  <c r="T136" i="16"/>
  <c r="I136" i="16"/>
  <c r="C136" i="16"/>
  <c r="Y135" i="16"/>
  <c r="T135" i="16"/>
  <c r="I135" i="16"/>
  <c r="C135" i="16"/>
  <c r="Y134" i="16"/>
  <c r="T134" i="16"/>
  <c r="I134" i="16"/>
  <c r="C134" i="16"/>
  <c r="Y133" i="16"/>
  <c r="T133" i="16"/>
  <c r="I133" i="16"/>
  <c r="C133" i="16"/>
  <c r="Y132" i="16"/>
  <c r="T132" i="16"/>
  <c r="I132" i="16"/>
  <c r="C132" i="16"/>
  <c r="Y131" i="16"/>
  <c r="T131" i="16"/>
  <c r="I131" i="16"/>
  <c r="C131" i="16"/>
  <c r="Y130" i="16"/>
  <c r="T130" i="16"/>
  <c r="I130" i="16"/>
  <c r="C130" i="16"/>
  <c r="Y129" i="16"/>
  <c r="T129" i="16"/>
  <c r="I129" i="16"/>
  <c r="C129" i="16"/>
  <c r="Y128" i="16"/>
  <c r="T128" i="16"/>
  <c r="I128" i="16"/>
  <c r="C128" i="16"/>
  <c r="Y127" i="16"/>
  <c r="T127" i="16"/>
  <c r="I127" i="16"/>
  <c r="C127" i="16"/>
  <c r="Y126" i="16"/>
  <c r="T126" i="16"/>
  <c r="I126" i="16"/>
  <c r="C126" i="16"/>
  <c r="Y125" i="16"/>
  <c r="T125" i="16"/>
  <c r="I125" i="16"/>
  <c r="C125" i="16"/>
  <c r="Y124" i="16"/>
  <c r="T124" i="16"/>
  <c r="I124" i="16"/>
  <c r="C124" i="16"/>
  <c r="Y123" i="16"/>
  <c r="T123" i="16"/>
  <c r="I123" i="16"/>
  <c r="C123" i="16"/>
  <c r="Y122" i="16"/>
  <c r="T122" i="16"/>
  <c r="I122" i="16"/>
  <c r="C122" i="16"/>
  <c r="Y121" i="16"/>
  <c r="T121" i="16"/>
  <c r="I121" i="16"/>
  <c r="C121" i="16"/>
  <c r="Y120" i="16"/>
  <c r="T120" i="16"/>
  <c r="I120" i="16"/>
  <c r="C120" i="16"/>
  <c r="Y119" i="16"/>
  <c r="T119" i="16"/>
  <c r="I119" i="16"/>
  <c r="C119" i="16"/>
  <c r="Y118" i="16"/>
  <c r="T118" i="16"/>
  <c r="I118" i="16"/>
  <c r="C118" i="16"/>
  <c r="Y117" i="16"/>
  <c r="T117" i="16"/>
  <c r="I117" i="16"/>
  <c r="C117" i="16"/>
  <c r="Y116" i="16"/>
  <c r="T116" i="16"/>
  <c r="I116" i="16"/>
  <c r="C116" i="16"/>
  <c r="Y115" i="16"/>
  <c r="T115" i="16"/>
  <c r="I115" i="16"/>
  <c r="C115" i="16"/>
  <c r="Y114" i="16"/>
  <c r="T114" i="16"/>
  <c r="I114" i="16"/>
  <c r="C114" i="16"/>
  <c r="Y113" i="16"/>
  <c r="T113" i="16"/>
  <c r="I113" i="16"/>
  <c r="C113" i="16"/>
  <c r="Y112" i="16"/>
  <c r="T112" i="16"/>
  <c r="I112" i="16"/>
  <c r="C112" i="16"/>
  <c r="Y111" i="16"/>
  <c r="T111" i="16"/>
  <c r="I111" i="16"/>
  <c r="C111" i="16"/>
  <c r="Y110" i="16"/>
  <c r="T110" i="16"/>
  <c r="I110" i="16"/>
  <c r="C110" i="16"/>
  <c r="Y109" i="16"/>
  <c r="T109" i="16"/>
  <c r="I109" i="16"/>
  <c r="C109" i="16"/>
  <c r="Y108" i="16"/>
  <c r="T108" i="16"/>
  <c r="I108" i="16"/>
  <c r="C108" i="16"/>
  <c r="Y107" i="16"/>
  <c r="T107" i="16"/>
  <c r="I107" i="16"/>
  <c r="C107" i="16"/>
  <c r="Y106" i="16"/>
  <c r="T106" i="16"/>
  <c r="I106" i="16"/>
  <c r="C106" i="16"/>
  <c r="Y104" i="16"/>
  <c r="T104" i="16"/>
  <c r="I104" i="16"/>
  <c r="C104" i="16"/>
  <c r="Y103" i="16"/>
  <c r="T103" i="16"/>
  <c r="I103" i="16"/>
  <c r="C103" i="16"/>
  <c r="Y102" i="16"/>
  <c r="T102" i="16"/>
  <c r="I102" i="16"/>
  <c r="C102" i="16"/>
  <c r="Y101" i="16"/>
  <c r="T101" i="16"/>
  <c r="I101" i="16"/>
  <c r="C101" i="16"/>
  <c r="Y100" i="16"/>
  <c r="T100" i="16"/>
  <c r="I100" i="16"/>
  <c r="C100" i="16"/>
  <c r="Y99" i="16"/>
  <c r="T99" i="16"/>
  <c r="I99" i="16"/>
  <c r="C99" i="16"/>
  <c r="Y98" i="16"/>
  <c r="T98" i="16"/>
  <c r="I98" i="16"/>
  <c r="C98" i="16"/>
  <c r="Y97" i="16"/>
  <c r="T97" i="16"/>
  <c r="I97" i="16"/>
  <c r="C97" i="16"/>
  <c r="Y96" i="16"/>
  <c r="T96" i="16"/>
  <c r="I96" i="16"/>
  <c r="C96" i="16"/>
  <c r="Y95" i="16"/>
  <c r="T95" i="16"/>
  <c r="I95" i="16"/>
  <c r="C95" i="16"/>
  <c r="Y94" i="16"/>
  <c r="T94" i="16"/>
  <c r="I94" i="16"/>
  <c r="C94" i="16"/>
  <c r="Y93" i="16"/>
  <c r="T93" i="16"/>
  <c r="I93" i="16"/>
  <c r="C93" i="16"/>
  <c r="Y92" i="16"/>
  <c r="T92" i="16"/>
  <c r="I92" i="16"/>
  <c r="C92" i="16"/>
  <c r="Y91" i="16"/>
  <c r="T91" i="16"/>
  <c r="I91" i="16"/>
  <c r="C91" i="16"/>
  <c r="Y90" i="16"/>
  <c r="T90" i="16"/>
  <c r="I90" i="16"/>
  <c r="C90" i="16"/>
  <c r="Y89" i="16"/>
  <c r="T89" i="16"/>
  <c r="I89" i="16"/>
  <c r="C89" i="16"/>
  <c r="Y88" i="16"/>
  <c r="T88" i="16"/>
  <c r="I88" i="16"/>
  <c r="C88" i="16"/>
  <c r="Y87" i="16"/>
  <c r="T87" i="16"/>
  <c r="I87" i="16"/>
  <c r="C87" i="16"/>
  <c r="Y86" i="16"/>
  <c r="T86" i="16"/>
  <c r="I86" i="16"/>
  <c r="C86" i="16"/>
  <c r="Y85" i="16"/>
  <c r="T85" i="16"/>
  <c r="I85" i="16"/>
  <c r="C85" i="16"/>
  <c r="Y84" i="16"/>
  <c r="T84" i="16"/>
  <c r="I84" i="16"/>
  <c r="C84" i="16"/>
  <c r="Y83" i="16"/>
  <c r="T83" i="16"/>
  <c r="I83" i="16"/>
  <c r="C83" i="16"/>
  <c r="Y82" i="16"/>
  <c r="T82" i="16"/>
  <c r="I82" i="16"/>
  <c r="C82" i="16"/>
  <c r="Y81" i="16"/>
  <c r="T81" i="16"/>
  <c r="I81" i="16"/>
  <c r="C81" i="16"/>
  <c r="Y80" i="16"/>
  <c r="T80" i="16"/>
  <c r="I80" i="16"/>
  <c r="C80" i="16"/>
  <c r="Y79" i="16"/>
  <c r="T79" i="16"/>
  <c r="I79" i="16"/>
  <c r="C79" i="16"/>
  <c r="Y78" i="16"/>
  <c r="T78" i="16"/>
  <c r="I78" i="16"/>
  <c r="C78" i="16"/>
  <c r="Y77" i="16"/>
  <c r="T77" i="16"/>
  <c r="I77" i="16"/>
  <c r="C77" i="16"/>
  <c r="Y76" i="16"/>
  <c r="T76" i="16"/>
  <c r="I76" i="16"/>
  <c r="C76" i="16"/>
  <c r="Y75" i="16"/>
  <c r="T75" i="16"/>
  <c r="I75" i="16"/>
  <c r="C75" i="16"/>
  <c r="Y74" i="16"/>
  <c r="T74" i="16"/>
  <c r="I74" i="16"/>
  <c r="C74" i="16"/>
  <c r="Y73" i="16"/>
  <c r="T73" i="16"/>
  <c r="I73" i="16"/>
  <c r="C73" i="16"/>
  <c r="Y72" i="16"/>
  <c r="T72" i="16"/>
  <c r="I72" i="16"/>
  <c r="C72" i="16"/>
  <c r="Y71" i="16"/>
  <c r="T71" i="16"/>
  <c r="I71" i="16"/>
  <c r="C71" i="16"/>
  <c r="Y70" i="16"/>
  <c r="T70" i="16"/>
  <c r="I70" i="16"/>
  <c r="C70" i="16"/>
  <c r="Y69" i="16"/>
  <c r="T69" i="16"/>
  <c r="I69" i="16"/>
  <c r="C69" i="16"/>
  <c r="Y68" i="16"/>
  <c r="T68" i="16"/>
  <c r="I68" i="16"/>
  <c r="C68" i="16"/>
  <c r="Y67" i="16"/>
  <c r="T67" i="16"/>
  <c r="I67" i="16"/>
  <c r="C67" i="16"/>
  <c r="Y66" i="16"/>
  <c r="T66" i="16"/>
  <c r="I66" i="16"/>
  <c r="C66" i="16"/>
  <c r="Y65" i="16"/>
  <c r="T65" i="16"/>
  <c r="I65" i="16"/>
  <c r="C65" i="16"/>
  <c r="Y64" i="16"/>
  <c r="T64" i="16"/>
  <c r="I64" i="16"/>
  <c r="C64" i="16"/>
  <c r="AZ62" i="16"/>
  <c r="Y62" i="16"/>
  <c r="T62" i="16"/>
  <c r="I62" i="16"/>
  <c r="C62" i="16"/>
  <c r="AZ61" i="16"/>
  <c r="Y61" i="16"/>
  <c r="T61" i="16"/>
  <c r="I61" i="16"/>
  <c r="C61" i="16"/>
  <c r="AZ60" i="16"/>
  <c r="Y60" i="16"/>
  <c r="T60" i="16"/>
  <c r="I60" i="16"/>
  <c r="C60" i="16"/>
  <c r="AZ59" i="16"/>
  <c r="Y59" i="16"/>
  <c r="T59" i="16"/>
  <c r="I59" i="16"/>
  <c r="C59" i="16"/>
  <c r="AZ58" i="16"/>
  <c r="Y58" i="16"/>
  <c r="T58" i="16"/>
  <c r="I58" i="16"/>
  <c r="C58" i="16"/>
  <c r="AZ57" i="16"/>
  <c r="Y57" i="16"/>
  <c r="T57" i="16"/>
  <c r="I57" i="16"/>
  <c r="C57" i="16"/>
  <c r="AZ56" i="16"/>
  <c r="Y56" i="16"/>
  <c r="T56" i="16"/>
  <c r="I56" i="16"/>
  <c r="C56" i="16"/>
  <c r="AZ55" i="16"/>
  <c r="Y55" i="16"/>
  <c r="T55" i="16"/>
  <c r="I55" i="16"/>
  <c r="C55" i="16"/>
  <c r="AZ54" i="16"/>
  <c r="Y54" i="16"/>
  <c r="T54" i="16"/>
  <c r="I54" i="16"/>
  <c r="C54" i="16"/>
  <c r="AZ53" i="16"/>
  <c r="Y53" i="16"/>
  <c r="T53" i="16"/>
  <c r="I53" i="16"/>
  <c r="C53" i="16"/>
  <c r="AZ52" i="16"/>
  <c r="Y52" i="16"/>
  <c r="T52" i="16"/>
  <c r="I52" i="16"/>
  <c r="C52" i="16"/>
  <c r="AZ51" i="16"/>
  <c r="Y51" i="16"/>
  <c r="T51" i="16"/>
  <c r="I51" i="16"/>
  <c r="C51" i="16"/>
  <c r="AZ50" i="16"/>
  <c r="Y50" i="16"/>
  <c r="T50" i="16"/>
  <c r="I50" i="16"/>
  <c r="C50" i="16"/>
  <c r="AZ49" i="16"/>
  <c r="Y49" i="16"/>
  <c r="T49" i="16"/>
  <c r="I49" i="16"/>
  <c r="C49" i="16"/>
  <c r="AZ48" i="16"/>
  <c r="Y48" i="16"/>
  <c r="T48" i="16"/>
  <c r="I48" i="16"/>
  <c r="C48" i="16"/>
  <c r="AZ47" i="16"/>
  <c r="Y47" i="16"/>
  <c r="T47" i="16"/>
  <c r="I47" i="16"/>
  <c r="C47" i="16"/>
  <c r="AZ46" i="16"/>
  <c r="Y46" i="16"/>
  <c r="T46" i="16"/>
  <c r="I46" i="16"/>
  <c r="C46" i="16"/>
  <c r="AZ45" i="16"/>
  <c r="Y45" i="16"/>
  <c r="T45" i="16"/>
  <c r="I45" i="16"/>
  <c r="C45" i="16"/>
  <c r="AZ44" i="16"/>
  <c r="Y44" i="16"/>
  <c r="T44" i="16"/>
  <c r="I44" i="16"/>
  <c r="C44" i="16"/>
  <c r="AZ43" i="16"/>
  <c r="Y43" i="16"/>
  <c r="T43" i="16"/>
  <c r="I43" i="16"/>
  <c r="C43" i="16"/>
  <c r="AZ42" i="16"/>
  <c r="Y42" i="16"/>
  <c r="T42" i="16"/>
  <c r="I42" i="16"/>
  <c r="C42" i="16"/>
  <c r="AZ41" i="16"/>
  <c r="Y41" i="16"/>
  <c r="T41" i="16"/>
  <c r="I41" i="16"/>
  <c r="C41" i="16"/>
  <c r="AZ40" i="16"/>
  <c r="Y40" i="16"/>
  <c r="T40" i="16"/>
  <c r="I40" i="16"/>
  <c r="C40" i="16"/>
  <c r="AZ39" i="16"/>
  <c r="Y39" i="16"/>
  <c r="T39" i="16"/>
  <c r="I39" i="16"/>
  <c r="C39" i="16"/>
  <c r="AZ38" i="16"/>
  <c r="Y38" i="16"/>
  <c r="T38" i="16"/>
  <c r="I38" i="16"/>
  <c r="C38" i="16"/>
  <c r="AZ37" i="16"/>
  <c r="Y37" i="16"/>
  <c r="T37" i="16"/>
  <c r="I37" i="16"/>
  <c r="C37" i="16"/>
  <c r="AZ36" i="16"/>
  <c r="Y36" i="16"/>
  <c r="T36" i="16"/>
  <c r="I36" i="16"/>
  <c r="C36" i="16"/>
  <c r="AZ35" i="16"/>
  <c r="Y35" i="16"/>
  <c r="T35" i="16"/>
  <c r="I35" i="16"/>
  <c r="C35" i="16"/>
  <c r="AZ34" i="16"/>
  <c r="Y34" i="16"/>
  <c r="T34" i="16"/>
  <c r="I34" i="16"/>
  <c r="C34" i="16"/>
  <c r="AZ33" i="16"/>
  <c r="Y33" i="16"/>
  <c r="T33" i="16"/>
  <c r="I33" i="16"/>
  <c r="C33" i="16"/>
  <c r="AZ32" i="16"/>
  <c r="Y32" i="16"/>
  <c r="T32" i="16"/>
  <c r="I32" i="16"/>
  <c r="C32" i="16"/>
  <c r="AZ31" i="16"/>
  <c r="Y31" i="16"/>
  <c r="T31" i="16"/>
  <c r="I31" i="16"/>
  <c r="C31" i="16"/>
  <c r="AZ30" i="16"/>
  <c r="Y30" i="16"/>
  <c r="T30" i="16"/>
  <c r="I30" i="16"/>
  <c r="C30" i="16"/>
  <c r="AZ29" i="16"/>
  <c r="Y29" i="16"/>
  <c r="T29" i="16"/>
  <c r="I29" i="16"/>
  <c r="C29" i="16"/>
  <c r="AZ28" i="16"/>
  <c r="Y28" i="16"/>
  <c r="T28" i="16"/>
  <c r="I28" i="16"/>
  <c r="C28" i="16"/>
  <c r="AZ27" i="16"/>
  <c r="Y27" i="16"/>
  <c r="T27" i="16"/>
  <c r="I27" i="16"/>
  <c r="C27" i="16"/>
  <c r="AZ26" i="16"/>
  <c r="Y26" i="16"/>
  <c r="T26" i="16"/>
  <c r="I26" i="16"/>
  <c r="C26" i="16"/>
  <c r="AZ25" i="16"/>
  <c r="Y25" i="16"/>
  <c r="T25" i="16"/>
  <c r="I25" i="16"/>
  <c r="C25" i="16"/>
  <c r="AZ24" i="16"/>
  <c r="Y24" i="16"/>
  <c r="T24" i="16"/>
  <c r="I24" i="16"/>
  <c r="C24" i="16"/>
  <c r="AZ23" i="16"/>
  <c r="Y23" i="16"/>
  <c r="T23" i="16"/>
  <c r="I23" i="16"/>
  <c r="C23" i="16"/>
  <c r="AZ22" i="16"/>
  <c r="Y22" i="16"/>
  <c r="T22" i="16"/>
  <c r="I22" i="16"/>
  <c r="C22" i="16"/>
  <c r="C21" i="16"/>
  <c r="C20" i="16"/>
  <c r="C19" i="16"/>
  <c r="C18" i="16"/>
  <c r="C17" i="16"/>
  <c r="I21" i="16" l="1"/>
  <c r="I20" i="16" l="1"/>
  <c r="I19" i="16" l="1"/>
  <c r="E64" i="11"/>
  <c r="I18" i="16" l="1"/>
  <c r="I32" i="11"/>
  <c r="J62" i="17" s="1"/>
  <c r="I20" i="11"/>
  <c r="J50" i="17" s="1"/>
  <c r="AJ90" i="11"/>
  <c r="I17" i="16" l="1"/>
  <c r="D77" i="11" l="1"/>
  <c r="D698" i="11"/>
  <c r="J697" i="11"/>
  <c r="C697" i="11"/>
  <c r="K41" i="11" l="1"/>
  <c r="A33" i="11"/>
  <c r="C51" i="11"/>
  <c r="C46" i="11"/>
  <c r="C47" i="11" s="1"/>
  <c r="C36" i="11"/>
  <c r="C41" i="11"/>
  <c r="C42" i="11" s="1"/>
  <c r="B92" i="11"/>
  <c r="AV92" i="11" s="1"/>
  <c r="B91" i="11"/>
  <c r="AV91" i="11" s="1"/>
  <c r="X91" i="11" s="1"/>
  <c r="Z91" i="11" s="1"/>
  <c r="C698" i="11"/>
  <c r="J698" i="11"/>
  <c r="H698" i="11"/>
  <c r="I698" i="11" s="1"/>
  <c r="D699" i="11"/>
  <c r="BG91" i="11" l="1"/>
  <c r="BH91" i="11" s="1"/>
  <c r="N91" i="11"/>
  <c r="BJ91" i="11" s="1"/>
  <c r="M91" i="11"/>
  <c r="V91" i="11"/>
  <c r="U91" i="11"/>
  <c r="G91" i="11"/>
  <c r="F91" i="11"/>
  <c r="A92" i="11"/>
  <c r="C21" i="11"/>
  <c r="J7" i="21" s="1"/>
  <c r="C699" i="11"/>
  <c r="J699" i="11"/>
  <c r="D700" i="11"/>
  <c r="H699" i="11"/>
  <c r="I699" i="11" s="1"/>
  <c r="BK91" i="11" l="1"/>
  <c r="BL91" i="11"/>
  <c r="F92" i="11"/>
  <c r="BA92" i="11"/>
  <c r="V92" i="11"/>
  <c r="U92" i="11"/>
  <c r="M92" i="11"/>
  <c r="N92" i="11"/>
  <c r="BJ92" i="11" s="1"/>
  <c r="C22" i="11"/>
  <c r="J7" i="17"/>
  <c r="G92" i="11"/>
  <c r="A93" i="11"/>
  <c r="BA93" i="11" s="1"/>
  <c r="BB92" i="11"/>
  <c r="I21" i="11"/>
  <c r="D92" i="11"/>
  <c r="AW92" i="11" s="1"/>
  <c r="C700" i="11"/>
  <c r="J700" i="11"/>
  <c r="D701" i="11"/>
  <c r="H700" i="11"/>
  <c r="I700" i="11" s="1"/>
  <c r="BL92" i="11" l="1"/>
  <c r="BK92" i="11"/>
  <c r="BM91" i="11"/>
  <c r="AY92" i="11"/>
  <c r="J51" i="17"/>
  <c r="J8" i="17"/>
  <c r="J8" i="21"/>
  <c r="C23" i="11"/>
  <c r="C24" i="11" s="1"/>
  <c r="A94" i="11"/>
  <c r="BA94" i="11" s="1"/>
  <c r="BB93" i="11"/>
  <c r="D93" i="11"/>
  <c r="B93" i="11"/>
  <c r="AV93" i="11" s="1"/>
  <c r="AK90" i="11"/>
  <c r="AK91" i="11" s="1"/>
  <c r="I22" i="11"/>
  <c r="C92" i="11"/>
  <c r="X92" i="11" s="1"/>
  <c r="Z92" i="11" s="1"/>
  <c r="AJ91" i="11"/>
  <c r="C701" i="11"/>
  <c r="J701" i="11"/>
  <c r="D702" i="11"/>
  <c r="H701" i="11"/>
  <c r="I701" i="11" s="1"/>
  <c r="AY93" i="11" l="1"/>
  <c r="AW93" i="11"/>
  <c r="BG92" i="11"/>
  <c r="BM92" i="11"/>
  <c r="J10" i="17"/>
  <c r="J10" i="21"/>
  <c r="J52" i="17"/>
  <c r="J9" i="17"/>
  <c r="J9" i="21"/>
  <c r="AZ91" i="11"/>
  <c r="N93" i="11"/>
  <c r="BJ93" i="11" s="1"/>
  <c r="M93" i="11"/>
  <c r="U93" i="11"/>
  <c r="G93" i="11"/>
  <c r="F93" i="11"/>
  <c r="V93" i="11"/>
  <c r="A95" i="11"/>
  <c r="BA95" i="11" s="1"/>
  <c r="BB94" i="11"/>
  <c r="C93" i="11"/>
  <c r="D94" i="11"/>
  <c r="B94" i="11"/>
  <c r="AV94" i="11" s="1"/>
  <c r="AT92" i="11"/>
  <c r="AS92" i="11"/>
  <c r="AR92" i="11"/>
  <c r="AU92" i="11"/>
  <c r="C25" i="11"/>
  <c r="AL90" i="11"/>
  <c r="AL91" i="11" s="1"/>
  <c r="I23" i="11"/>
  <c r="AZ92" i="11"/>
  <c r="AJ92" i="11"/>
  <c r="AK92" i="11"/>
  <c r="C702" i="11"/>
  <c r="J702" i="11"/>
  <c r="D703" i="11"/>
  <c r="H702" i="11"/>
  <c r="I702" i="11" s="1"/>
  <c r="X93" i="11" l="1"/>
  <c r="Z93" i="11" s="1"/>
  <c r="AY94" i="11"/>
  <c r="AW94" i="11"/>
  <c r="BL93" i="11"/>
  <c r="BK93" i="11"/>
  <c r="J11" i="17"/>
  <c r="J11" i="21"/>
  <c r="J53" i="17"/>
  <c r="N94" i="11"/>
  <c r="BJ94" i="11" s="1"/>
  <c r="M94" i="11"/>
  <c r="U94" i="11"/>
  <c r="G94" i="11"/>
  <c r="F94" i="11"/>
  <c r="V94" i="11"/>
  <c r="BC92" i="11"/>
  <c r="BD92" i="11"/>
  <c r="A96" i="11"/>
  <c r="BA96" i="11" s="1"/>
  <c r="BB95" i="11"/>
  <c r="BD91" i="11"/>
  <c r="BC91" i="11"/>
  <c r="D95" i="11"/>
  <c r="C94" i="11"/>
  <c r="B95" i="11"/>
  <c r="AV95" i="11" s="1"/>
  <c r="AT93" i="11"/>
  <c r="AU93" i="11"/>
  <c r="AS93" i="11"/>
  <c r="AR93" i="11"/>
  <c r="C26" i="11"/>
  <c r="AL92" i="11"/>
  <c r="AM90" i="11"/>
  <c r="AM93" i="11" s="1"/>
  <c r="I24" i="11"/>
  <c r="AK93" i="11"/>
  <c r="AJ93" i="11"/>
  <c r="AL93" i="11"/>
  <c r="C703" i="11"/>
  <c r="J703" i="11"/>
  <c r="D704" i="11"/>
  <c r="H703" i="11"/>
  <c r="I703" i="11" s="1"/>
  <c r="AZ93" i="11" l="1"/>
  <c r="BC93" i="11" s="1"/>
  <c r="BG93" i="11"/>
  <c r="X94" i="11"/>
  <c r="Z94" i="11" s="1"/>
  <c r="AY95" i="11"/>
  <c r="AW95" i="11"/>
  <c r="BM93" i="11"/>
  <c r="BL94" i="11"/>
  <c r="BK94" i="11"/>
  <c r="J12" i="17"/>
  <c r="J12" i="21"/>
  <c r="J54" i="17"/>
  <c r="N95" i="11"/>
  <c r="BJ95" i="11" s="1"/>
  <c r="M95" i="11"/>
  <c r="U95" i="11"/>
  <c r="F95" i="11"/>
  <c r="G95" i="11"/>
  <c r="V95" i="11"/>
  <c r="A97" i="11"/>
  <c r="BA97" i="11" s="1"/>
  <c r="BB96" i="11"/>
  <c r="C95" i="11"/>
  <c r="D96" i="11"/>
  <c r="B96" i="11"/>
  <c r="AV96" i="11" s="1"/>
  <c r="AU94" i="11"/>
  <c r="AR94" i="11"/>
  <c r="AT94" i="11"/>
  <c r="AS94" i="11"/>
  <c r="C27" i="11"/>
  <c r="AN90" i="11"/>
  <c r="AN94" i="11" s="1"/>
  <c r="I25" i="11"/>
  <c r="AM91" i="11"/>
  <c r="AM92" i="11"/>
  <c r="AM94" i="11"/>
  <c r="AK94" i="11"/>
  <c r="AJ94" i="11"/>
  <c r="AL94" i="11"/>
  <c r="C704" i="11"/>
  <c r="J704" i="11"/>
  <c r="D705" i="11"/>
  <c r="H704" i="11"/>
  <c r="I704" i="11" s="1"/>
  <c r="BD93" i="11" l="1"/>
  <c r="X95" i="11"/>
  <c r="Z95" i="11" s="1"/>
  <c r="BG94" i="11"/>
  <c r="AY96" i="11"/>
  <c r="AW96" i="11"/>
  <c r="BM94" i="11"/>
  <c r="BK95" i="11"/>
  <c r="BL95" i="11"/>
  <c r="J13" i="17"/>
  <c r="J13" i="21"/>
  <c r="J55" i="17"/>
  <c r="N96" i="11"/>
  <c r="BJ96" i="11" s="1"/>
  <c r="M96" i="11"/>
  <c r="U96" i="11"/>
  <c r="G96" i="11"/>
  <c r="F96" i="11"/>
  <c r="V96" i="11"/>
  <c r="AZ94" i="11"/>
  <c r="A98" i="11"/>
  <c r="BA98" i="11" s="1"/>
  <c r="BB97" i="11"/>
  <c r="D97" i="11"/>
  <c r="C96" i="11"/>
  <c r="B97" i="11"/>
  <c r="AV97" i="11" s="1"/>
  <c r="C28" i="11"/>
  <c r="AU95" i="11"/>
  <c r="AS95" i="11"/>
  <c r="AR95" i="11"/>
  <c r="AT95" i="11"/>
  <c r="AO90" i="11"/>
  <c r="AO95" i="11" s="1"/>
  <c r="AN91" i="11"/>
  <c r="AN92" i="11"/>
  <c r="AN93" i="11"/>
  <c r="AL95" i="11"/>
  <c r="AM95" i="11"/>
  <c r="AK95" i="11"/>
  <c r="AN95" i="11"/>
  <c r="AJ95" i="11"/>
  <c r="C705" i="11"/>
  <c r="J705" i="11"/>
  <c r="D706" i="11"/>
  <c r="H705" i="11"/>
  <c r="I705" i="11" s="1"/>
  <c r="BG95" i="11" l="1"/>
  <c r="X96" i="11"/>
  <c r="Z96" i="11" s="1"/>
  <c r="AY97" i="11"/>
  <c r="AW97" i="11"/>
  <c r="BM95" i="11"/>
  <c r="BK96" i="11"/>
  <c r="BL96" i="11"/>
  <c r="J14" i="21"/>
  <c r="J14" i="17"/>
  <c r="N97" i="11"/>
  <c r="BJ97" i="11" s="1"/>
  <c r="M97" i="11"/>
  <c r="U97" i="11"/>
  <c r="G97" i="11"/>
  <c r="F97" i="11"/>
  <c r="V97" i="11"/>
  <c r="BD94" i="11"/>
  <c r="BC94" i="11"/>
  <c r="A99" i="11"/>
  <c r="BA99" i="11" s="1"/>
  <c r="BB98" i="11"/>
  <c r="AZ95" i="11"/>
  <c r="C97" i="11"/>
  <c r="D98" i="11"/>
  <c r="B98" i="11"/>
  <c r="AV98" i="11" s="1"/>
  <c r="C29" i="11"/>
  <c r="I28" i="11"/>
  <c r="AS96" i="11"/>
  <c r="AU96" i="11"/>
  <c r="AR96" i="11"/>
  <c r="AT96" i="11"/>
  <c r="I26" i="11"/>
  <c r="AP90" i="11"/>
  <c r="AP96" i="11" s="1"/>
  <c r="AO91" i="11"/>
  <c r="AO92" i="11"/>
  <c r="AO93" i="11"/>
  <c r="AO94" i="11"/>
  <c r="AM96" i="11"/>
  <c r="AK96" i="11"/>
  <c r="AN96" i="11"/>
  <c r="AO96" i="11"/>
  <c r="AJ96" i="11"/>
  <c r="AL96" i="11"/>
  <c r="C706" i="11"/>
  <c r="J706" i="11"/>
  <c r="D707" i="11"/>
  <c r="H706" i="11"/>
  <c r="I706" i="11" s="1"/>
  <c r="AZ96" i="11" l="1"/>
  <c r="BD96" i="11" s="1"/>
  <c r="BG96" i="11"/>
  <c r="X97" i="11"/>
  <c r="Z97" i="11" s="1"/>
  <c r="AY98" i="11"/>
  <c r="AW98" i="11"/>
  <c r="BM96" i="11"/>
  <c r="BK97" i="11"/>
  <c r="BL97" i="11"/>
  <c r="J15" i="21"/>
  <c r="J56" i="17"/>
  <c r="J58" i="17"/>
  <c r="J15" i="17"/>
  <c r="N98" i="11"/>
  <c r="BJ98" i="11" s="1"/>
  <c r="M98" i="11"/>
  <c r="U98" i="11"/>
  <c r="G98" i="11"/>
  <c r="F98" i="11"/>
  <c r="V98" i="11"/>
  <c r="BD95" i="11"/>
  <c r="BC95" i="11"/>
  <c r="A100" i="11"/>
  <c r="BA100" i="11" s="1"/>
  <c r="BB99" i="11"/>
  <c r="D99" i="11"/>
  <c r="C98" i="11"/>
  <c r="B99" i="11"/>
  <c r="AV99" i="11" s="1"/>
  <c r="AT97" i="11"/>
  <c r="AU97" i="11"/>
  <c r="AR97" i="11"/>
  <c r="AS97" i="11"/>
  <c r="C30" i="11"/>
  <c r="I29" i="11"/>
  <c r="AQ90" i="11"/>
  <c r="AQ96" i="11" s="1"/>
  <c r="I27" i="11"/>
  <c r="AP91" i="11"/>
  <c r="AP92" i="11"/>
  <c r="AP93" i="11"/>
  <c r="AP94" i="11"/>
  <c r="AP95" i="11"/>
  <c r="AJ97" i="11"/>
  <c r="AL97" i="11"/>
  <c r="AO97" i="11"/>
  <c r="AM97" i="11"/>
  <c r="AK97" i="11"/>
  <c r="AN97" i="11"/>
  <c r="AP97" i="11"/>
  <c r="C707" i="11"/>
  <c r="J707" i="11"/>
  <c r="D708" i="11"/>
  <c r="H707" i="11"/>
  <c r="I707" i="11" s="1"/>
  <c r="BC96" i="11" l="1"/>
  <c r="X98" i="11"/>
  <c r="Z98" i="11" s="1"/>
  <c r="AY99" i="11"/>
  <c r="AW99" i="11"/>
  <c r="BG97" i="11"/>
  <c r="BM97" i="11"/>
  <c r="BK98" i="11"/>
  <c r="BL98" i="11"/>
  <c r="J16" i="21"/>
  <c r="J57" i="17"/>
  <c r="J59" i="17"/>
  <c r="AZ97" i="11"/>
  <c r="BD97" i="11" s="1"/>
  <c r="J16" i="17"/>
  <c r="N99" i="11"/>
  <c r="BJ99" i="11" s="1"/>
  <c r="M99" i="11"/>
  <c r="U99" i="11"/>
  <c r="G99" i="11"/>
  <c r="F99" i="11"/>
  <c r="V99" i="11"/>
  <c r="A101" i="11"/>
  <c r="BA101" i="11" s="1"/>
  <c r="BB100" i="11"/>
  <c r="C99" i="11"/>
  <c r="D100" i="11"/>
  <c r="B100" i="11"/>
  <c r="AV100" i="11" s="1"/>
  <c r="AT98" i="11"/>
  <c r="AR98" i="11"/>
  <c r="AS98" i="11"/>
  <c r="AU98" i="11"/>
  <c r="C31" i="11"/>
  <c r="I30" i="11"/>
  <c r="AQ93" i="11"/>
  <c r="AQ97" i="11"/>
  <c r="AQ92" i="11"/>
  <c r="AQ91" i="11"/>
  <c r="AQ95" i="11"/>
  <c r="AQ94" i="11"/>
  <c r="AJ98" i="11"/>
  <c r="AL98" i="11"/>
  <c r="AO98" i="11"/>
  <c r="AN98" i="11"/>
  <c r="AP98" i="11"/>
  <c r="AQ98" i="11"/>
  <c r="AM98" i="11"/>
  <c r="AK98" i="11"/>
  <c r="C708" i="11"/>
  <c r="J708" i="11"/>
  <c r="D709" i="11"/>
  <c r="H708" i="11"/>
  <c r="I708" i="11" s="1"/>
  <c r="BG98" i="11" l="1"/>
  <c r="AZ98" i="11"/>
  <c r="BD98" i="11" s="1"/>
  <c r="X99" i="11"/>
  <c r="Z99" i="11" s="1"/>
  <c r="AY100" i="11"/>
  <c r="AW100" i="11"/>
  <c r="BM98" i="11"/>
  <c r="BL99" i="11"/>
  <c r="BK99" i="11"/>
  <c r="BC97" i="11"/>
  <c r="J17" i="21"/>
  <c r="J60" i="17"/>
  <c r="J17" i="17"/>
  <c r="N100" i="11"/>
  <c r="BJ100" i="11" s="1"/>
  <c r="M100" i="11"/>
  <c r="U100" i="11"/>
  <c r="G100" i="11"/>
  <c r="F100" i="11"/>
  <c r="V100" i="11"/>
  <c r="A102" i="11"/>
  <c r="BA102" i="11" s="1"/>
  <c r="BB101" i="11"/>
  <c r="D101" i="11"/>
  <c r="C100" i="11"/>
  <c r="B101" i="11"/>
  <c r="AV101" i="11" s="1"/>
  <c r="I31" i="11"/>
  <c r="AU99" i="11"/>
  <c r="AT99" i="11"/>
  <c r="AS99" i="11"/>
  <c r="AR99" i="11"/>
  <c r="AJ99" i="11"/>
  <c r="AL99" i="11"/>
  <c r="AQ99" i="11"/>
  <c r="AO99" i="11"/>
  <c r="AM99" i="11"/>
  <c r="AK99" i="11"/>
  <c r="AN99" i="11"/>
  <c r="AP99" i="11"/>
  <c r="C709" i="11"/>
  <c r="J709" i="11"/>
  <c r="D710" i="11"/>
  <c r="H709" i="11"/>
  <c r="I709" i="11" s="1"/>
  <c r="BC98" i="11" l="1"/>
  <c r="X100" i="11"/>
  <c r="Z100" i="11" s="1"/>
  <c r="AY101" i="11"/>
  <c r="AW101" i="11"/>
  <c r="BG99" i="11"/>
  <c r="BK100" i="11"/>
  <c r="BL100" i="11"/>
  <c r="BM99" i="11"/>
  <c r="J61" i="17"/>
  <c r="N101" i="11"/>
  <c r="BJ101" i="11" s="1"/>
  <c r="M101" i="11"/>
  <c r="U101" i="11"/>
  <c r="G101" i="11"/>
  <c r="F101" i="11"/>
  <c r="V101" i="11"/>
  <c r="AZ99" i="11"/>
  <c r="A103" i="11"/>
  <c r="BA103" i="11" s="1"/>
  <c r="BB102" i="11"/>
  <c r="C101" i="11"/>
  <c r="D102" i="11"/>
  <c r="B102" i="11"/>
  <c r="AV102" i="11" s="1"/>
  <c r="AU100" i="11"/>
  <c r="AS100" i="11"/>
  <c r="AT100" i="11"/>
  <c r="AR100" i="11"/>
  <c r="AJ100" i="11"/>
  <c r="AL100" i="11"/>
  <c r="AQ100" i="11"/>
  <c r="AO100" i="11"/>
  <c r="AM100" i="11"/>
  <c r="AK100" i="11"/>
  <c r="AN100" i="11"/>
  <c r="AP100" i="11"/>
  <c r="C710" i="11"/>
  <c r="J710" i="11"/>
  <c r="D711" i="11"/>
  <c r="H710" i="11"/>
  <c r="I710" i="11" s="1"/>
  <c r="X101" i="11" l="1"/>
  <c r="Z101" i="11" s="1"/>
  <c r="AY102" i="11"/>
  <c r="AW102" i="11"/>
  <c r="BG100" i="11"/>
  <c r="BM100" i="11"/>
  <c r="BK101" i="11"/>
  <c r="BL101" i="11"/>
  <c r="AZ100" i="11"/>
  <c r="BD100" i="11" s="1"/>
  <c r="N102" i="11"/>
  <c r="BJ102" i="11" s="1"/>
  <c r="M102" i="11"/>
  <c r="U102" i="11"/>
  <c r="F102" i="11"/>
  <c r="G102" i="11"/>
  <c r="V102" i="11"/>
  <c r="A104" i="11"/>
  <c r="BA104" i="11" s="1"/>
  <c r="BB103" i="11"/>
  <c r="BC99" i="11"/>
  <c r="BD99" i="11"/>
  <c r="D103" i="11"/>
  <c r="C102" i="11"/>
  <c r="B103" i="11"/>
  <c r="AV103" i="11" s="1"/>
  <c r="AT101" i="11"/>
  <c r="AS101" i="11"/>
  <c r="AR101" i="11"/>
  <c r="AU101" i="11"/>
  <c r="AQ101" i="11"/>
  <c r="AO101" i="11"/>
  <c r="AM101" i="11"/>
  <c r="AJ101" i="11"/>
  <c r="AK101" i="11"/>
  <c r="AN101" i="11"/>
  <c r="AP101" i="11"/>
  <c r="AL101" i="11"/>
  <c r="C711" i="11"/>
  <c r="J711" i="11"/>
  <c r="D712" i="11"/>
  <c r="H711" i="11"/>
  <c r="I711" i="11" s="1"/>
  <c r="BG101" i="11" l="1"/>
  <c r="X102" i="11"/>
  <c r="Z102" i="11" s="1"/>
  <c r="AZ101" i="11"/>
  <c r="BC101" i="11" s="1"/>
  <c r="AY103" i="11"/>
  <c r="AW103" i="11"/>
  <c r="BC100" i="11"/>
  <c r="BM101" i="11"/>
  <c r="BK102" i="11"/>
  <c r="BL102" i="11"/>
  <c r="N103" i="11"/>
  <c r="BJ103" i="11" s="1"/>
  <c r="M103" i="11"/>
  <c r="U103" i="11"/>
  <c r="F103" i="11"/>
  <c r="G103" i="11"/>
  <c r="V103" i="11"/>
  <c r="A105" i="11"/>
  <c r="BA105" i="11" s="1"/>
  <c r="BB104" i="11"/>
  <c r="C103" i="11"/>
  <c r="D104" i="11"/>
  <c r="B104" i="11"/>
  <c r="AV104" i="11" s="1"/>
  <c r="AR102" i="11"/>
  <c r="AU102" i="11"/>
  <c r="AS102" i="11"/>
  <c r="AT102" i="11"/>
  <c r="AQ102" i="11"/>
  <c r="AO102" i="11"/>
  <c r="AM102" i="11"/>
  <c r="AK102" i="11"/>
  <c r="AN102" i="11"/>
  <c r="AP102" i="11"/>
  <c r="AJ102" i="11"/>
  <c r="AL102" i="11"/>
  <c r="C712" i="11"/>
  <c r="J712" i="11"/>
  <c r="D713" i="11"/>
  <c r="H712" i="11"/>
  <c r="I712" i="11" s="1"/>
  <c r="X103" i="11" l="1"/>
  <c r="Z103" i="11" s="1"/>
  <c r="BD101" i="11"/>
  <c r="AY104" i="11"/>
  <c r="AW104" i="11"/>
  <c r="BG102" i="11"/>
  <c r="BM102" i="11"/>
  <c r="BL103" i="11"/>
  <c r="BK103" i="11"/>
  <c r="N104" i="11"/>
  <c r="BJ104" i="11" s="1"/>
  <c r="M104" i="11"/>
  <c r="U104" i="11"/>
  <c r="G104" i="11"/>
  <c r="F104" i="11"/>
  <c r="V104" i="11"/>
  <c r="AZ102" i="11"/>
  <c r="A106" i="11"/>
  <c r="BA106" i="11" s="1"/>
  <c r="BB105" i="11"/>
  <c r="D105" i="11"/>
  <c r="C104" i="11"/>
  <c r="B105" i="11"/>
  <c r="AV105" i="11" s="1"/>
  <c r="AU103" i="11"/>
  <c r="AT103" i="11"/>
  <c r="AR103" i="11"/>
  <c r="AS103" i="11"/>
  <c r="AN103" i="11"/>
  <c r="AP103" i="11"/>
  <c r="AJ103" i="11"/>
  <c r="AL103" i="11"/>
  <c r="AM103" i="11"/>
  <c r="AQ103" i="11"/>
  <c r="AO103" i="11"/>
  <c r="AK103" i="11"/>
  <c r="C713" i="11"/>
  <c r="J713" i="11"/>
  <c r="D714" i="11"/>
  <c r="H713" i="11"/>
  <c r="I713" i="11" s="1"/>
  <c r="BG103" i="11" l="1"/>
  <c r="X104" i="11"/>
  <c r="Z104" i="11" s="1"/>
  <c r="AY105" i="11"/>
  <c r="AW105" i="11"/>
  <c r="BK104" i="11"/>
  <c r="BL104" i="11"/>
  <c r="BM103" i="11"/>
  <c r="AZ103" i="11"/>
  <c r="BD103" i="11" s="1"/>
  <c r="N105" i="11"/>
  <c r="BJ105" i="11" s="1"/>
  <c r="M105" i="11"/>
  <c r="U105" i="11"/>
  <c r="G105" i="11"/>
  <c r="F105" i="11"/>
  <c r="V105" i="11"/>
  <c r="A107" i="11"/>
  <c r="BA107" i="11" s="1"/>
  <c r="BB106" i="11"/>
  <c r="BC102" i="11"/>
  <c r="BD102" i="11"/>
  <c r="C105" i="11"/>
  <c r="D106" i="11"/>
  <c r="B106" i="11"/>
  <c r="AV106" i="11" s="1"/>
  <c r="AU104" i="11"/>
  <c r="AS104" i="11"/>
  <c r="AT104" i="11"/>
  <c r="AR104" i="11"/>
  <c r="AN104" i="11"/>
  <c r="AP104" i="11"/>
  <c r="AK104" i="11"/>
  <c r="AJ104" i="11"/>
  <c r="AL104" i="11"/>
  <c r="AQ104" i="11"/>
  <c r="AO104" i="11"/>
  <c r="AM104" i="11"/>
  <c r="C714" i="11"/>
  <c r="J714" i="11"/>
  <c r="D715" i="11"/>
  <c r="H714" i="11"/>
  <c r="I714" i="11" s="1"/>
  <c r="X105" i="11" l="1"/>
  <c r="Z105" i="11" s="1"/>
  <c r="AY106" i="11"/>
  <c r="AW106" i="11"/>
  <c r="BG104" i="11"/>
  <c r="BC103" i="11"/>
  <c r="BM104" i="11"/>
  <c r="BK105" i="11"/>
  <c r="BL105" i="11"/>
  <c r="N106" i="11"/>
  <c r="BJ106" i="11" s="1"/>
  <c r="M106" i="11"/>
  <c r="U106" i="11"/>
  <c r="G106" i="11"/>
  <c r="F106" i="11"/>
  <c r="V106" i="11"/>
  <c r="AZ104" i="11"/>
  <c r="BC104" i="11" s="1"/>
  <c r="A108" i="11"/>
  <c r="BA108" i="11" s="1"/>
  <c r="BB107" i="11"/>
  <c r="D107" i="11"/>
  <c r="C106" i="11"/>
  <c r="B107" i="11"/>
  <c r="AV107" i="11" s="1"/>
  <c r="AU105" i="11"/>
  <c r="AT105" i="11"/>
  <c r="AS105" i="11"/>
  <c r="AR105" i="11"/>
  <c r="AN105" i="11"/>
  <c r="AP105" i="11"/>
  <c r="AQ105" i="11"/>
  <c r="AO105" i="11"/>
  <c r="AJ105" i="11"/>
  <c r="AL105" i="11"/>
  <c r="AM105" i="11"/>
  <c r="AK105" i="11"/>
  <c r="C715" i="11"/>
  <c r="J715" i="11"/>
  <c r="D716" i="11"/>
  <c r="H715" i="11"/>
  <c r="I715" i="11" s="1"/>
  <c r="BG105" i="11" l="1"/>
  <c r="X106" i="11"/>
  <c r="Z106" i="11" s="1"/>
  <c r="AY107" i="11"/>
  <c r="AW107" i="11"/>
  <c r="BM105" i="11"/>
  <c r="BK106" i="11"/>
  <c r="BL106" i="11"/>
  <c r="AZ105" i="11"/>
  <c r="BC105" i="11" s="1"/>
  <c r="N107" i="11"/>
  <c r="BJ107" i="11" s="1"/>
  <c r="M107" i="11"/>
  <c r="U107" i="11"/>
  <c r="F107" i="11"/>
  <c r="G107" i="11"/>
  <c r="V107" i="11"/>
  <c r="BD104" i="11"/>
  <c r="A109" i="11"/>
  <c r="BA109" i="11" s="1"/>
  <c r="BB108" i="11"/>
  <c r="C107" i="11"/>
  <c r="D108" i="11"/>
  <c r="B108" i="11"/>
  <c r="AV108" i="11" s="1"/>
  <c r="AR106" i="11"/>
  <c r="AS106" i="11"/>
  <c r="AU106" i="11"/>
  <c r="AT106" i="11"/>
  <c r="AN106" i="11"/>
  <c r="AP106" i="11"/>
  <c r="AO106" i="11"/>
  <c r="AK106" i="11"/>
  <c r="AJ106" i="11"/>
  <c r="AL106" i="11"/>
  <c r="AQ106" i="11"/>
  <c r="AM106" i="11"/>
  <c r="C716" i="11"/>
  <c r="J716" i="11"/>
  <c r="D717" i="11"/>
  <c r="H716" i="11"/>
  <c r="I716" i="11" s="1"/>
  <c r="BG106" i="11" l="1"/>
  <c r="X107" i="11"/>
  <c r="Z107" i="11" s="1"/>
  <c r="AY108" i="11"/>
  <c r="AW108" i="11"/>
  <c r="BM106" i="11"/>
  <c r="BL107" i="11"/>
  <c r="BK107" i="11"/>
  <c r="BD105" i="11"/>
  <c r="AZ106" i="11"/>
  <c r="BC106" i="11" s="1"/>
  <c r="N108" i="11"/>
  <c r="BJ108" i="11" s="1"/>
  <c r="M108" i="11"/>
  <c r="U108" i="11"/>
  <c r="G108" i="11"/>
  <c r="F108" i="11"/>
  <c r="V108" i="11"/>
  <c r="A110" i="11"/>
  <c r="BB109" i="11"/>
  <c r="D109" i="11"/>
  <c r="C108" i="11"/>
  <c r="B109" i="11"/>
  <c r="AV109" i="11" s="1"/>
  <c r="AU107" i="11"/>
  <c r="AT107" i="11"/>
  <c r="AS107" i="11"/>
  <c r="AR107" i="11"/>
  <c r="AJ107" i="11"/>
  <c r="AL107" i="11"/>
  <c r="AN107" i="11"/>
  <c r="AQ107" i="11"/>
  <c r="AO107" i="11"/>
  <c r="AM107" i="11"/>
  <c r="AK107" i="11"/>
  <c r="AP107" i="11"/>
  <c r="C717" i="11"/>
  <c r="J717" i="11"/>
  <c r="D718" i="11"/>
  <c r="H717" i="11"/>
  <c r="I717" i="11" s="1"/>
  <c r="BG107" i="11" l="1"/>
  <c r="X108" i="11"/>
  <c r="Z108" i="11" s="1"/>
  <c r="AZ107" i="11"/>
  <c r="BC107" i="11" s="1"/>
  <c r="AY109" i="11"/>
  <c r="AW109" i="11"/>
  <c r="BK108" i="11"/>
  <c r="BL108" i="11"/>
  <c r="BM107" i="11"/>
  <c r="BD106" i="11"/>
  <c r="N109" i="11"/>
  <c r="BJ109" i="11" s="1"/>
  <c r="M109" i="11"/>
  <c r="U109" i="11"/>
  <c r="G109" i="11"/>
  <c r="F109" i="11"/>
  <c r="V109" i="11"/>
  <c r="A111" i="11"/>
  <c r="BA111" i="11" s="1"/>
  <c r="C109" i="11"/>
  <c r="D110" i="11"/>
  <c r="B110" i="11"/>
  <c r="AV110" i="11" s="1"/>
  <c r="AT108" i="11"/>
  <c r="AS108" i="11"/>
  <c r="AU108" i="11"/>
  <c r="AR108" i="11"/>
  <c r="AQ108" i="11"/>
  <c r="AO108" i="11"/>
  <c r="AL108" i="11"/>
  <c r="AM108" i="11"/>
  <c r="AK108" i="11"/>
  <c r="AJ108" i="11"/>
  <c r="AN108" i="11"/>
  <c r="AP108" i="11"/>
  <c r="C718" i="11"/>
  <c r="J718" i="11"/>
  <c r="D719" i="11"/>
  <c r="H718" i="11"/>
  <c r="I718" i="11" s="1"/>
  <c r="BD107" i="11" l="1"/>
  <c r="AZ108" i="11"/>
  <c r="BD108" i="11" s="1"/>
  <c r="BG108" i="11"/>
  <c r="X109" i="11"/>
  <c r="Z109" i="11" s="1"/>
  <c r="AY110" i="11"/>
  <c r="AW110" i="11"/>
  <c r="BM108" i="11"/>
  <c r="BK109" i="11"/>
  <c r="BL109" i="11"/>
  <c r="N110" i="11"/>
  <c r="BJ110" i="11" s="1"/>
  <c r="M110" i="11"/>
  <c r="U110" i="11"/>
  <c r="G110" i="11"/>
  <c r="F110" i="11"/>
  <c r="V110" i="11"/>
  <c r="A112" i="11"/>
  <c r="BB111" i="11"/>
  <c r="D111" i="11"/>
  <c r="C110" i="11"/>
  <c r="X110" i="11" s="1"/>
  <c r="Z110" i="11" s="1"/>
  <c r="B111" i="11"/>
  <c r="AV111" i="11" s="1"/>
  <c r="AT109" i="11"/>
  <c r="AU109" i="11"/>
  <c r="AS109" i="11"/>
  <c r="AR109" i="11"/>
  <c r="AM109" i="11"/>
  <c r="AK109" i="11"/>
  <c r="AN109" i="11"/>
  <c r="AP109" i="11"/>
  <c r="AJ109" i="11"/>
  <c r="AL109" i="11"/>
  <c r="AQ109" i="11"/>
  <c r="AO109" i="11"/>
  <c r="C719" i="11"/>
  <c r="J719" i="11"/>
  <c r="D720" i="11"/>
  <c r="H719" i="11"/>
  <c r="I719" i="11" s="1"/>
  <c r="BC108" i="11" l="1"/>
  <c r="BG109" i="11"/>
  <c r="AY111" i="11"/>
  <c r="AW111" i="11"/>
  <c r="BM109" i="11"/>
  <c r="BK110" i="11"/>
  <c r="BL110" i="11"/>
  <c r="AZ109" i="11"/>
  <c r="BC109" i="11" s="1"/>
  <c r="N111" i="11"/>
  <c r="BJ111" i="11" s="1"/>
  <c r="M111" i="11"/>
  <c r="U111" i="11"/>
  <c r="F111" i="11"/>
  <c r="G111" i="11"/>
  <c r="V111" i="11"/>
  <c r="BG110" i="11"/>
  <c r="A113" i="11"/>
  <c r="C111" i="11"/>
  <c r="D112" i="11"/>
  <c r="B112" i="11"/>
  <c r="AV112" i="11" s="1"/>
  <c r="AU110" i="11"/>
  <c r="AR110" i="11"/>
  <c r="AS110" i="11"/>
  <c r="AT110" i="11"/>
  <c r="AM110" i="11"/>
  <c r="AK110" i="11"/>
  <c r="AQ110" i="11"/>
  <c r="AO110" i="11"/>
  <c r="AN110" i="11"/>
  <c r="AP110" i="11"/>
  <c r="AJ110" i="11"/>
  <c r="AL110" i="11"/>
  <c r="C720" i="11"/>
  <c r="J720" i="11"/>
  <c r="D721" i="11"/>
  <c r="H720" i="11"/>
  <c r="I720" i="11" s="1"/>
  <c r="T9" i="6"/>
  <c r="X111" i="11" l="1"/>
  <c r="Z111" i="11" s="1"/>
  <c r="AY112" i="11"/>
  <c r="AW112" i="11"/>
  <c r="BM110" i="11"/>
  <c r="BL111" i="11"/>
  <c r="BK111" i="11"/>
  <c r="BD109" i="11"/>
  <c r="AZ110" i="11"/>
  <c r="N112" i="11"/>
  <c r="BJ112" i="11" s="1"/>
  <c r="M112" i="11"/>
  <c r="U112" i="11"/>
  <c r="G112" i="11"/>
  <c r="F112" i="11"/>
  <c r="V112" i="11"/>
  <c r="A114" i="11"/>
  <c r="BA114" i="11" s="1"/>
  <c r="D113" i="11"/>
  <c r="C112" i="11"/>
  <c r="B113" i="11"/>
  <c r="AV113" i="11" s="1"/>
  <c r="AU111" i="11"/>
  <c r="AS111" i="11"/>
  <c r="AR111" i="11"/>
  <c r="AT111" i="11"/>
  <c r="AN111" i="11"/>
  <c r="AP111" i="11"/>
  <c r="AM111" i="11"/>
  <c r="AK111" i="11"/>
  <c r="AJ111" i="11"/>
  <c r="AL111" i="11"/>
  <c r="AQ111" i="11"/>
  <c r="AO111" i="11"/>
  <c r="C721" i="11"/>
  <c r="J721" i="11"/>
  <c r="D722" i="11"/>
  <c r="H721" i="11"/>
  <c r="I721" i="11" s="1"/>
  <c r="AZ111" i="11" l="1"/>
  <c r="BD111" i="11" s="1"/>
  <c r="X112" i="11"/>
  <c r="Z112" i="11" s="1"/>
  <c r="BG111" i="11"/>
  <c r="AY113" i="11"/>
  <c r="AW113" i="11"/>
  <c r="BK112" i="11"/>
  <c r="BL112" i="11"/>
  <c r="BM111" i="11"/>
  <c r="N113" i="11"/>
  <c r="BJ113" i="11" s="1"/>
  <c r="M113" i="11"/>
  <c r="U113" i="11"/>
  <c r="F113" i="11"/>
  <c r="G113" i="11"/>
  <c r="V113" i="11"/>
  <c r="A115" i="11"/>
  <c r="BA115" i="11" s="1"/>
  <c r="BB114" i="11"/>
  <c r="C113" i="11"/>
  <c r="D114" i="11"/>
  <c r="B114" i="11"/>
  <c r="AV114" i="11" s="1"/>
  <c r="AU112" i="11"/>
  <c r="AS112" i="11"/>
  <c r="AT112" i="11"/>
  <c r="AR112" i="11"/>
  <c r="AN112" i="11"/>
  <c r="AP112" i="11"/>
  <c r="AO112" i="11"/>
  <c r="AK112" i="11"/>
  <c r="AJ112" i="11"/>
  <c r="AL112" i="11"/>
  <c r="AQ112" i="11"/>
  <c r="AM112" i="11"/>
  <c r="C722" i="11"/>
  <c r="J722" i="11"/>
  <c r="D723" i="11"/>
  <c r="H722" i="11"/>
  <c r="I722" i="11" s="1"/>
  <c r="E109" i="5"/>
  <c r="E108" i="5"/>
  <c r="D108" i="5"/>
  <c r="E107" i="5"/>
  <c r="D107" i="5"/>
  <c r="E106" i="5"/>
  <c r="D106" i="5"/>
  <c r="E105" i="5"/>
  <c r="D105" i="5"/>
  <c r="E104" i="5"/>
  <c r="D104" i="5"/>
  <c r="E103" i="5"/>
  <c r="D103" i="5"/>
  <c r="E102" i="5"/>
  <c r="D102" i="5"/>
  <c r="E101" i="5"/>
  <c r="D101" i="5"/>
  <c r="E100" i="5"/>
  <c r="D100" i="5"/>
  <c r="E99" i="5"/>
  <c r="D99" i="5"/>
  <c r="E98" i="5"/>
  <c r="D98" i="5"/>
  <c r="E97" i="5"/>
  <c r="D97" i="5"/>
  <c r="E96" i="5"/>
  <c r="D96" i="5"/>
  <c r="E95" i="5"/>
  <c r="D95" i="5"/>
  <c r="E94" i="5"/>
  <c r="D94" i="5"/>
  <c r="E93" i="5"/>
  <c r="D93" i="5"/>
  <c r="E92" i="5"/>
  <c r="D92" i="5"/>
  <c r="E91" i="5"/>
  <c r="D91" i="5"/>
  <c r="E90" i="5"/>
  <c r="D90" i="5"/>
  <c r="E89" i="5"/>
  <c r="D89" i="5"/>
  <c r="E88" i="5"/>
  <c r="D88" i="5"/>
  <c r="E87" i="5"/>
  <c r="D87" i="5"/>
  <c r="E86" i="5"/>
  <c r="D86" i="5"/>
  <c r="E85" i="5"/>
  <c r="D85" i="5"/>
  <c r="E84" i="5"/>
  <c r="D84" i="5"/>
  <c r="E83" i="5"/>
  <c r="D83" i="5"/>
  <c r="E82" i="5"/>
  <c r="D82" i="5"/>
  <c r="E81" i="5"/>
  <c r="D81" i="5"/>
  <c r="E80" i="5"/>
  <c r="D80" i="5"/>
  <c r="E79" i="5"/>
  <c r="D79" i="5"/>
  <c r="E78" i="5"/>
  <c r="D78" i="5"/>
  <c r="E77" i="5"/>
  <c r="D77" i="5"/>
  <c r="E76" i="5"/>
  <c r="D76" i="5"/>
  <c r="E75" i="5"/>
  <c r="D75" i="5"/>
  <c r="E74" i="5"/>
  <c r="D74" i="5"/>
  <c r="E73" i="5"/>
  <c r="D73" i="5"/>
  <c r="E72" i="5"/>
  <c r="D72" i="5"/>
  <c r="E71" i="5"/>
  <c r="D71" i="5"/>
  <c r="E70" i="5"/>
  <c r="D70" i="5"/>
  <c r="E69" i="5"/>
  <c r="D69" i="5"/>
  <c r="E68" i="5"/>
  <c r="D68" i="5"/>
  <c r="E67" i="5"/>
  <c r="D67" i="5"/>
  <c r="E66" i="5"/>
  <c r="D66" i="5"/>
  <c r="E65" i="5"/>
  <c r="D65" i="5"/>
  <c r="E64" i="5"/>
  <c r="D64" i="5"/>
  <c r="E63" i="5"/>
  <c r="D63" i="5"/>
  <c r="E62" i="5"/>
  <c r="D62" i="5"/>
  <c r="E61" i="5"/>
  <c r="D61" i="5"/>
  <c r="E60" i="5"/>
  <c r="D60" i="5"/>
  <c r="E59" i="5"/>
  <c r="D59" i="5"/>
  <c r="E58" i="5"/>
  <c r="D58" i="5"/>
  <c r="E57" i="5"/>
  <c r="E721" i="11" s="1"/>
  <c r="D57" i="5"/>
  <c r="E56" i="5"/>
  <c r="D56" i="5"/>
  <c r="E55" i="5"/>
  <c r="D55" i="5"/>
  <c r="E54" i="5"/>
  <c r="D54" i="5"/>
  <c r="E53" i="5"/>
  <c r="D53" i="5"/>
  <c r="E52" i="5"/>
  <c r="D52" i="5"/>
  <c r="E51" i="5"/>
  <c r="D51" i="5"/>
  <c r="E50" i="5"/>
  <c r="D50" i="5"/>
  <c r="E49" i="5"/>
  <c r="D49" i="5"/>
  <c r="E48" i="5"/>
  <c r="D48" i="5"/>
  <c r="E47" i="5"/>
  <c r="D47" i="5"/>
  <c r="E46" i="5"/>
  <c r="D46" i="5"/>
  <c r="E45" i="5"/>
  <c r="D45" i="5"/>
  <c r="E44" i="5"/>
  <c r="D44" i="5"/>
  <c r="E43" i="5"/>
  <c r="D43" i="5"/>
  <c r="E42" i="5"/>
  <c r="D42" i="5"/>
  <c r="E41" i="5"/>
  <c r="D41" i="5"/>
  <c r="E40" i="5"/>
  <c r="D40" i="5"/>
  <c r="E39" i="5"/>
  <c r="D39" i="5"/>
  <c r="E38" i="5"/>
  <c r="D38" i="5"/>
  <c r="E37" i="5"/>
  <c r="D37" i="5"/>
  <c r="E36" i="5"/>
  <c r="D36" i="5"/>
  <c r="E35" i="5"/>
  <c r="D35" i="5"/>
  <c r="E34" i="5"/>
  <c r="D34" i="5"/>
  <c r="E33" i="5"/>
  <c r="D33" i="5"/>
  <c r="E32" i="5"/>
  <c r="D32" i="5"/>
  <c r="E31" i="5"/>
  <c r="D31" i="5"/>
  <c r="E30" i="5"/>
  <c r="D30" i="5"/>
  <c r="E29" i="5"/>
  <c r="D29" i="5"/>
  <c r="E28" i="5"/>
  <c r="D28" i="5"/>
  <c r="E27" i="5"/>
  <c r="D27" i="5"/>
  <c r="E26" i="5"/>
  <c r="D26" i="5"/>
  <c r="E25" i="5"/>
  <c r="D25" i="5"/>
  <c r="E24" i="5"/>
  <c r="D24" i="5"/>
  <c r="E23" i="5"/>
  <c r="D23" i="5"/>
  <c r="E22" i="5"/>
  <c r="D22" i="5"/>
  <c r="E21" i="5"/>
  <c r="D21" i="5"/>
  <c r="E20" i="5"/>
  <c r="D20" i="5"/>
  <c r="E19" i="5"/>
  <c r="D19" i="5"/>
  <c r="E18" i="5"/>
  <c r="D18" i="5"/>
  <c r="E17" i="5"/>
  <c r="D17" i="5"/>
  <c r="E16" i="5"/>
  <c r="D16" i="5"/>
  <c r="E15" i="5"/>
  <c r="D15" i="5"/>
  <c r="E14" i="5"/>
  <c r="D14" i="5"/>
  <c r="E13" i="5"/>
  <c r="D13" i="5"/>
  <c r="E12" i="5"/>
  <c r="D12" i="5"/>
  <c r="E11" i="5"/>
  <c r="D11" i="5"/>
  <c r="E10" i="5"/>
  <c r="D10" i="5"/>
  <c r="E9" i="5"/>
  <c r="D9" i="5"/>
  <c r="E8" i="5"/>
  <c r="D8" i="5"/>
  <c r="E7" i="5"/>
  <c r="D7" i="5"/>
  <c r="E6" i="5"/>
  <c r="D6" i="5"/>
  <c r="E5" i="5"/>
  <c r="D5" i="5"/>
  <c r="A111" i="5"/>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BC111" i="11" l="1"/>
  <c r="X113" i="11"/>
  <c r="Z113" i="11" s="1"/>
  <c r="AY114" i="11"/>
  <c r="AW114" i="11"/>
  <c r="BG112" i="11"/>
  <c r="BM112" i="11"/>
  <c r="BK113" i="11"/>
  <c r="BL113" i="11"/>
  <c r="N114" i="11"/>
  <c r="BJ114" i="11" s="1"/>
  <c r="M114" i="11"/>
  <c r="U114" i="11"/>
  <c r="F114" i="11"/>
  <c r="G114" i="11"/>
  <c r="V114" i="11"/>
  <c r="E697" i="11"/>
  <c r="F697" i="11" s="1"/>
  <c r="G698" i="11" s="1"/>
  <c r="E698" i="11"/>
  <c r="F698" i="11" s="1"/>
  <c r="E699" i="11"/>
  <c r="F699" i="11" s="1"/>
  <c r="E700" i="11"/>
  <c r="F700" i="11" s="1"/>
  <c r="E701" i="11"/>
  <c r="F701" i="11" s="1"/>
  <c r="E702" i="11"/>
  <c r="F702" i="11" s="1"/>
  <c r="E703" i="11"/>
  <c r="F703" i="11" s="1"/>
  <c r="E704" i="11"/>
  <c r="F704" i="11" s="1"/>
  <c r="E705" i="11"/>
  <c r="F705" i="11" s="1"/>
  <c r="E706" i="11"/>
  <c r="F706" i="11" s="1"/>
  <c r="E707" i="11"/>
  <c r="F707" i="11" s="1"/>
  <c r="E708" i="11"/>
  <c r="F708" i="11" s="1"/>
  <c r="E722" i="11"/>
  <c r="F722" i="11" s="1"/>
  <c r="E709" i="11"/>
  <c r="F709" i="11" s="1"/>
  <c r="E710" i="11"/>
  <c r="F710" i="11" s="1"/>
  <c r="E711" i="11"/>
  <c r="F711" i="11" s="1"/>
  <c r="E712" i="11"/>
  <c r="F712" i="11" s="1"/>
  <c r="E713" i="11"/>
  <c r="F713" i="11" s="1"/>
  <c r="E714" i="11"/>
  <c r="F714" i="11" s="1"/>
  <c r="E715" i="11"/>
  <c r="F715" i="11" s="1"/>
  <c r="E716" i="11"/>
  <c r="F716" i="11" s="1"/>
  <c r="E717" i="11"/>
  <c r="F717" i="11" s="1"/>
  <c r="E718" i="11"/>
  <c r="F718" i="11" s="1"/>
  <c r="E719" i="11"/>
  <c r="F719" i="11" s="1"/>
  <c r="E720" i="11"/>
  <c r="F720" i="11" s="1"/>
  <c r="AZ112" i="11"/>
  <c r="A116" i="11"/>
  <c r="BA116" i="11" s="1"/>
  <c r="BB115" i="11"/>
  <c r="D115" i="11"/>
  <c r="C114" i="11"/>
  <c r="B115" i="11"/>
  <c r="AV115" i="11" s="1"/>
  <c r="AT113" i="11"/>
  <c r="AR113" i="11"/>
  <c r="AU113" i="11"/>
  <c r="AS113" i="11"/>
  <c r="F721" i="11"/>
  <c r="AN113" i="11"/>
  <c r="AP113" i="11"/>
  <c r="AM113" i="11"/>
  <c r="AK113" i="11"/>
  <c r="AJ113" i="11"/>
  <c r="AL113" i="11"/>
  <c r="AQ113" i="11"/>
  <c r="AO113" i="11"/>
  <c r="C723" i="11"/>
  <c r="J723" i="11"/>
  <c r="D724" i="11"/>
  <c r="H723" i="11"/>
  <c r="I723" i="11" s="1"/>
  <c r="X114" i="11" l="1"/>
  <c r="Z114" i="11" s="1"/>
  <c r="BG113" i="11"/>
  <c r="AY115" i="11"/>
  <c r="AW115" i="11"/>
  <c r="BM113" i="11"/>
  <c r="BK114" i="11"/>
  <c r="BL114" i="11"/>
  <c r="AZ113" i="11"/>
  <c r="N115" i="11"/>
  <c r="BJ115" i="11" s="1"/>
  <c r="M115" i="11"/>
  <c r="U115" i="11"/>
  <c r="G115" i="11"/>
  <c r="F115" i="11"/>
  <c r="V115" i="11"/>
  <c r="A117" i="11"/>
  <c r="BA117" i="11" s="1"/>
  <c r="BB116" i="11"/>
  <c r="E723" i="11"/>
  <c r="F723" i="11" s="1"/>
  <c r="C115" i="11"/>
  <c r="D116" i="11"/>
  <c r="B116" i="11"/>
  <c r="AV116" i="11" s="1"/>
  <c r="AT114" i="11"/>
  <c r="AR114" i="11"/>
  <c r="AU114" i="11"/>
  <c r="AS114" i="11"/>
  <c r="G699" i="11"/>
  <c r="G700" i="11" s="1"/>
  <c r="G701" i="11" s="1"/>
  <c r="G702" i="11" s="1"/>
  <c r="G703" i="11" s="1"/>
  <c r="G704" i="11" s="1"/>
  <c r="G705" i="11" s="1"/>
  <c r="G706" i="11" s="1"/>
  <c r="G707" i="11" s="1"/>
  <c r="G708" i="11" s="1"/>
  <c r="G709" i="11" s="1"/>
  <c r="G710" i="11" s="1"/>
  <c r="G711" i="11" s="1"/>
  <c r="G712" i="11" s="1"/>
  <c r="G713" i="11" s="1"/>
  <c r="G714" i="11" s="1"/>
  <c r="G715" i="11" s="1"/>
  <c r="G716" i="11" s="1"/>
  <c r="G717" i="11" s="1"/>
  <c r="G718" i="11" s="1"/>
  <c r="G719" i="11" s="1"/>
  <c r="G720" i="11" s="1"/>
  <c r="G721" i="11" s="1"/>
  <c r="G722" i="11" s="1"/>
  <c r="G723" i="11" s="1"/>
  <c r="AQ114" i="11"/>
  <c r="AO114" i="11"/>
  <c r="AL114" i="11"/>
  <c r="AM114" i="11"/>
  <c r="AK114" i="11"/>
  <c r="AN114" i="11"/>
  <c r="AP114" i="11"/>
  <c r="AJ114" i="11"/>
  <c r="C724" i="11"/>
  <c r="J724" i="11"/>
  <c r="D725" i="11"/>
  <c r="H724" i="11"/>
  <c r="I724" i="11" s="1"/>
  <c r="AZ114" i="11" l="1"/>
  <c r="BC114" i="11" s="1"/>
  <c r="BG114" i="11"/>
  <c r="X115" i="11"/>
  <c r="Z115" i="11" s="1"/>
  <c r="AY116" i="11"/>
  <c r="AW116" i="11"/>
  <c r="BM114" i="11"/>
  <c r="BL115" i="11"/>
  <c r="BK115" i="11"/>
  <c r="N116" i="11"/>
  <c r="BJ116" i="11" s="1"/>
  <c r="M116" i="11"/>
  <c r="U116" i="11"/>
  <c r="G116" i="11"/>
  <c r="F116" i="11"/>
  <c r="V116" i="11"/>
  <c r="A118" i="11"/>
  <c r="BA118" i="11" s="1"/>
  <c r="BB117" i="11"/>
  <c r="G724" i="11"/>
  <c r="D117" i="11"/>
  <c r="C116" i="11"/>
  <c r="E724" i="11"/>
  <c r="F724" i="11" s="1"/>
  <c r="B117" i="11"/>
  <c r="AV117" i="11" s="1"/>
  <c r="AU115" i="11"/>
  <c r="AT115" i="11"/>
  <c r="AS115" i="11"/>
  <c r="AR115" i="11"/>
  <c r="AM115" i="11"/>
  <c r="AK115" i="11"/>
  <c r="AQ115" i="11"/>
  <c r="AN115" i="11"/>
  <c r="AP115" i="11"/>
  <c r="AO115" i="11"/>
  <c r="AJ115" i="11"/>
  <c r="AL115" i="11"/>
  <c r="C725" i="11"/>
  <c r="J725" i="11"/>
  <c r="D726" i="11"/>
  <c r="H725" i="11"/>
  <c r="I725" i="11" s="1"/>
  <c r="BD114" i="11" l="1"/>
  <c r="X116" i="11"/>
  <c r="Z116" i="11" s="1"/>
  <c r="AY117" i="11"/>
  <c r="AW117" i="11"/>
  <c r="BG115" i="11"/>
  <c r="BK116" i="11"/>
  <c r="BL116" i="11"/>
  <c r="BM115" i="11"/>
  <c r="N117" i="11"/>
  <c r="BJ117" i="11" s="1"/>
  <c r="M117" i="11"/>
  <c r="U117" i="11"/>
  <c r="F117" i="11"/>
  <c r="G117" i="11"/>
  <c r="V117" i="11"/>
  <c r="AZ115" i="11"/>
  <c r="BC115" i="11" s="1"/>
  <c r="G725" i="11"/>
  <c r="A119" i="11"/>
  <c r="BA119" i="11" s="1"/>
  <c r="BB118" i="11"/>
  <c r="C117" i="11"/>
  <c r="D118" i="11"/>
  <c r="E725" i="11"/>
  <c r="F725" i="11" s="1"/>
  <c r="B118" i="11"/>
  <c r="AV118" i="11" s="1"/>
  <c r="AU116" i="11"/>
  <c r="AS116" i="11"/>
  <c r="AR116" i="11"/>
  <c r="AT116" i="11"/>
  <c r="AN116" i="11"/>
  <c r="AP116" i="11"/>
  <c r="AM116" i="11"/>
  <c r="AK116" i="11"/>
  <c r="AJ116" i="11"/>
  <c r="AL116" i="11"/>
  <c r="AQ116" i="11"/>
  <c r="AO116" i="11"/>
  <c r="C726" i="11"/>
  <c r="J726" i="11"/>
  <c r="D727" i="11"/>
  <c r="H726" i="11"/>
  <c r="I726" i="11" s="1"/>
  <c r="BG116" i="11" l="1"/>
  <c r="X117" i="11"/>
  <c r="Z117" i="11" s="1"/>
  <c r="AY118" i="11"/>
  <c r="AW118" i="11"/>
  <c r="BM116" i="11"/>
  <c r="BK117" i="11"/>
  <c r="BL117" i="11"/>
  <c r="AZ116" i="11"/>
  <c r="BC116" i="11" s="1"/>
  <c r="N118" i="11"/>
  <c r="BJ118" i="11" s="1"/>
  <c r="M118" i="11"/>
  <c r="U118" i="11"/>
  <c r="G118" i="11"/>
  <c r="F118" i="11"/>
  <c r="V118" i="11"/>
  <c r="BD115" i="11"/>
  <c r="G726" i="11"/>
  <c r="A120" i="11"/>
  <c r="BA120" i="11" s="1"/>
  <c r="BB119" i="11"/>
  <c r="D119" i="11"/>
  <c r="C118" i="11"/>
  <c r="E726" i="11"/>
  <c r="F726" i="11" s="1"/>
  <c r="B119" i="11"/>
  <c r="AV119" i="11" s="1"/>
  <c r="AT117" i="11"/>
  <c r="AU117" i="11"/>
  <c r="AS117" i="11"/>
  <c r="AR117" i="11"/>
  <c r="AQ117" i="11"/>
  <c r="AO117" i="11"/>
  <c r="AJ117" i="11"/>
  <c r="AM117" i="11"/>
  <c r="AK117" i="11"/>
  <c r="AN117" i="11"/>
  <c r="AP117" i="11"/>
  <c r="AL117" i="11"/>
  <c r="C727" i="11"/>
  <c r="J727" i="11"/>
  <c r="D728" i="11"/>
  <c r="H727" i="11"/>
  <c r="I727" i="11" s="1"/>
  <c r="BG117" i="11" l="1"/>
  <c r="X118" i="11"/>
  <c r="Z118" i="11" s="1"/>
  <c r="AZ117" i="11"/>
  <c r="BD117" i="11" s="1"/>
  <c r="AY119" i="11"/>
  <c r="AW119" i="11"/>
  <c r="BD116" i="11"/>
  <c r="BM117" i="11"/>
  <c r="BK118" i="11"/>
  <c r="BL118" i="11"/>
  <c r="G727" i="11"/>
  <c r="N119" i="11"/>
  <c r="BJ119" i="11" s="1"/>
  <c r="M119" i="11"/>
  <c r="U119" i="11"/>
  <c r="F119" i="11"/>
  <c r="G119" i="11"/>
  <c r="V119" i="11"/>
  <c r="A121" i="11"/>
  <c r="BA121" i="11" s="1"/>
  <c r="BB120" i="11"/>
  <c r="E727" i="11"/>
  <c r="F727" i="11" s="1"/>
  <c r="C119" i="11"/>
  <c r="D120" i="11"/>
  <c r="B120" i="11"/>
  <c r="AV120" i="11" s="1"/>
  <c r="AU118" i="11"/>
  <c r="AR118" i="11"/>
  <c r="AT118" i="11"/>
  <c r="AS118" i="11"/>
  <c r="AM118" i="11"/>
  <c r="AK118" i="11"/>
  <c r="AQ118" i="11"/>
  <c r="AO118" i="11"/>
  <c r="AN118" i="11"/>
  <c r="AP118" i="11"/>
  <c r="AJ118" i="11"/>
  <c r="AL118" i="11"/>
  <c r="C728" i="11"/>
  <c r="J728" i="11"/>
  <c r="D729" i="11"/>
  <c r="H728" i="11"/>
  <c r="I728" i="11" s="1"/>
  <c r="X119" i="11" l="1"/>
  <c r="Z119" i="11" s="1"/>
  <c r="G728" i="11"/>
  <c r="BG118" i="11"/>
  <c r="BC117" i="11"/>
  <c r="AY120" i="11"/>
  <c r="AW120" i="11"/>
  <c r="BM118" i="11"/>
  <c r="BL119" i="11"/>
  <c r="BK119" i="11"/>
  <c r="AZ118" i="11"/>
  <c r="BD118" i="11" s="1"/>
  <c r="N120" i="11"/>
  <c r="BJ120" i="11" s="1"/>
  <c r="M120" i="11"/>
  <c r="U120" i="11"/>
  <c r="G120" i="11"/>
  <c r="F120" i="11"/>
  <c r="V120" i="11"/>
  <c r="A122" i="11"/>
  <c r="BB121" i="11"/>
  <c r="E728" i="11"/>
  <c r="F728" i="11" s="1"/>
  <c r="D121" i="11"/>
  <c r="C120" i="11"/>
  <c r="B121" i="11"/>
  <c r="AV121" i="11" s="1"/>
  <c r="AU119" i="11"/>
  <c r="AT119" i="11"/>
  <c r="AR119" i="11"/>
  <c r="AS119" i="11"/>
  <c r="AN119" i="11"/>
  <c r="AP119" i="11"/>
  <c r="AJ119" i="11"/>
  <c r="AL119" i="11"/>
  <c r="AQ119" i="11"/>
  <c r="AO119" i="11"/>
  <c r="AM119" i="11"/>
  <c r="AK119" i="11"/>
  <c r="C729" i="11"/>
  <c r="J729" i="11"/>
  <c r="D730" i="11"/>
  <c r="H729" i="11"/>
  <c r="I729" i="11" s="1"/>
  <c r="AZ119" i="11" l="1"/>
  <c r="BD119" i="11" s="1"/>
  <c r="BG119" i="11"/>
  <c r="G729" i="11"/>
  <c r="X120" i="11"/>
  <c r="Z120" i="11" s="1"/>
  <c r="AY121" i="11"/>
  <c r="AW121" i="11"/>
  <c r="BC118" i="11"/>
  <c r="BK120" i="11"/>
  <c r="BL120" i="11"/>
  <c r="BM119" i="11"/>
  <c r="N121" i="11"/>
  <c r="BJ121" i="11" s="1"/>
  <c r="M121" i="11"/>
  <c r="U121" i="11"/>
  <c r="G121" i="11"/>
  <c r="F121" i="11"/>
  <c r="V121" i="11"/>
  <c r="A123" i="11"/>
  <c r="BA123" i="11" s="1"/>
  <c r="E729" i="11"/>
  <c r="F729" i="11" s="1"/>
  <c r="C121" i="11"/>
  <c r="D122" i="11"/>
  <c r="B122" i="11"/>
  <c r="AV122" i="11" s="1"/>
  <c r="AS120" i="11"/>
  <c r="AU120" i="11"/>
  <c r="AT120" i="11"/>
  <c r="AR120" i="11"/>
  <c r="AN120" i="11"/>
  <c r="AP120" i="11"/>
  <c r="AJ120" i="11"/>
  <c r="AL120" i="11"/>
  <c r="AO120" i="11"/>
  <c r="AK120" i="11"/>
  <c r="AQ120" i="11"/>
  <c r="AM120" i="11"/>
  <c r="C730" i="11"/>
  <c r="J730" i="11"/>
  <c r="D731" i="11"/>
  <c r="H730" i="11"/>
  <c r="I730" i="11" s="1"/>
  <c r="BC119" i="11" l="1"/>
  <c r="G730" i="11"/>
  <c r="BG120" i="11"/>
  <c r="X121" i="11"/>
  <c r="Z121" i="11" s="1"/>
  <c r="AY122" i="11"/>
  <c r="AW122" i="11"/>
  <c r="BM120" i="11"/>
  <c r="BK121" i="11"/>
  <c r="BL121" i="11"/>
  <c r="AZ120" i="11"/>
  <c r="BD120" i="11" s="1"/>
  <c r="N122" i="11"/>
  <c r="BJ122" i="11" s="1"/>
  <c r="M122" i="11"/>
  <c r="U122" i="11"/>
  <c r="G122" i="11"/>
  <c r="F122" i="11"/>
  <c r="V122" i="11"/>
  <c r="A124" i="11"/>
  <c r="BA124" i="11" s="1"/>
  <c r="BB123" i="11"/>
  <c r="E730" i="11"/>
  <c r="F730" i="11" s="1"/>
  <c r="D123" i="11"/>
  <c r="C122" i="11"/>
  <c r="B123" i="11"/>
  <c r="AV123" i="11" s="1"/>
  <c r="AU121" i="11"/>
  <c r="AT121" i="11"/>
  <c r="AS121" i="11"/>
  <c r="AR121" i="11"/>
  <c r="AQ121" i="11"/>
  <c r="AO121" i="11"/>
  <c r="AN121" i="11"/>
  <c r="AP121" i="11"/>
  <c r="AM121" i="11"/>
  <c r="AK121" i="11"/>
  <c r="AJ121" i="11"/>
  <c r="AL121" i="11"/>
  <c r="C731" i="11"/>
  <c r="J731" i="11"/>
  <c r="D732" i="11"/>
  <c r="H731" i="11"/>
  <c r="I731" i="11" s="1"/>
  <c r="AZ121" i="11" l="1"/>
  <c r="BD121" i="11" s="1"/>
  <c r="BG121" i="11"/>
  <c r="G731" i="11"/>
  <c r="X122" i="11"/>
  <c r="Z122" i="11" s="1"/>
  <c r="AY123" i="11"/>
  <c r="AW123" i="11"/>
  <c r="BC120" i="11"/>
  <c r="BK122" i="11"/>
  <c r="BL122" i="11"/>
  <c r="BM121" i="11"/>
  <c r="N123" i="11"/>
  <c r="BJ123" i="11" s="1"/>
  <c r="M123" i="11"/>
  <c r="U123" i="11"/>
  <c r="F123" i="11"/>
  <c r="G123" i="11"/>
  <c r="V123" i="11"/>
  <c r="A125" i="11"/>
  <c r="BA125" i="11" s="1"/>
  <c r="BB124" i="11"/>
  <c r="C123" i="11"/>
  <c r="D124" i="11"/>
  <c r="E731" i="11"/>
  <c r="F731" i="11" s="1"/>
  <c r="B124" i="11"/>
  <c r="AV124" i="11" s="1"/>
  <c r="AR122" i="11"/>
  <c r="AU122" i="11"/>
  <c r="AT122" i="11"/>
  <c r="AS122" i="11"/>
  <c r="AM122" i="11"/>
  <c r="AK122" i="11"/>
  <c r="AQ122" i="11"/>
  <c r="AO122" i="11"/>
  <c r="AN122" i="11"/>
  <c r="AP122" i="11"/>
  <c r="AJ122" i="11"/>
  <c r="AL122" i="11"/>
  <c r="C732" i="11"/>
  <c r="J732" i="11"/>
  <c r="D733" i="11"/>
  <c r="H732" i="11"/>
  <c r="I732" i="11" s="1"/>
  <c r="BC121" i="11" l="1"/>
  <c r="BG122" i="11"/>
  <c r="G732" i="11"/>
  <c r="X123" i="11"/>
  <c r="Z123" i="11" s="1"/>
  <c r="AY124" i="11"/>
  <c r="AW124" i="11"/>
  <c r="BM122" i="11"/>
  <c r="BL123" i="11"/>
  <c r="BK123" i="11"/>
  <c r="AZ122" i="11"/>
  <c r="N124" i="11"/>
  <c r="BJ124" i="11" s="1"/>
  <c r="M124" i="11"/>
  <c r="U124" i="11"/>
  <c r="G124" i="11"/>
  <c r="F124" i="11"/>
  <c r="V124" i="11"/>
  <c r="A126" i="11"/>
  <c r="BA126" i="11" s="1"/>
  <c r="BB125" i="11"/>
  <c r="E732" i="11"/>
  <c r="F732" i="11" s="1"/>
  <c r="D125" i="11"/>
  <c r="C124" i="11"/>
  <c r="B125" i="11"/>
  <c r="AV125" i="11" s="1"/>
  <c r="AU123" i="11"/>
  <c r="AS123" i="11"/>
  <c r="AR123" i="11"/>
  <c r="AT123" i="11"/>
  <c r="AM123" i="11"/>
  <c r="AK123" i="11"/>
  <c r="AN123" i="11"/>
  <c r="AP123" i="11"/>
  <c r="AQ123" i="11"/>
  <c r="AJ123" i="11"/>
  <c r="AL123" i="11"/>
  <c r="AO123" i="11"/>
  <c r="C733" i="11"/>
  <c r="J733" i="11"/>
  <c r="D734" i="11"/>
  <c r="H733" i="11"/>
  <c r="I733" i="11" s="1"/>
  <c r="G733" i="11" l="1"/>
  <c r="BG123" i="11"/>
  <c r="X124" i="11"/>
  <c r="Z124" i="11" s="1"/>
  <c r="AY125" i="11"/>
  <c r="AW125" i="11"/>
  <c r="BK124" i="11"/>
  <c r="BL124" i="11"/>
  <c r="BM123" i="11"/>
  <c r="AZ123" i="11"/>
  <c r="BD123" i="11" s="1"/>
  <c r="N125" i="11"/>
  <c r="BJ125" i="11" s="1"/>
  <c r="M125" i="11"/>
  <c r="U125" i="11"/>
  <c r="G125" i="11"/>
  <c r="F125" i="11"/>
  <c r="V125" i="11"/>
  <c r="A127" i="11"/>
  <c r="BA127" i="11" s="1"/>
  <c r="BB126" i="11"/>
  <c r="C125" i="11"/>
  <c r="D126" i="11"/>
  <c r="E733" i="11"/>
  <c r="F733" i="11" s="1"/>
  <c r="B126" i="11"/>
  <c r="AV126" i="11" s="1"/>
  <c r="AT124" i="11"/>
  <c r="AS124" i="11"/>
  <c r="AU124" i="11"/>
  <c r="AR124" i="11"/>
  <c r="AN124" i="11"/>
  <c r="AP124" i="11"/>
  <c r="AM124" i="11"/>
  <c r="AJ124" i="11"/>
  <c r="AL124" i="11"/>
  <c r="AQ124" i="11"/>
  <c r="AO124" i="11"/>
  <c r="AK124" i="11"/>
  <c r="C734" i="11"/>
  <c r="J734" i="11"/>
  <c r="D735" i="11"/>
  <c r="H734" i="11"/>
  <c r="I734" i="11" s="1"/>
  <c r="G734" i="11" l="1"/>
  <c r="BG124" i="11"/>
  <c r="X125" i="11"/>
  <c r="Z125" i="11" s="1"/>
  <c r="AY126" i="11"/>
  <c r="AW126" i="11"/>
  <c r="BC123" i="11"/>
  <c r="BM124" i="11"/>
  <c r="BK125" i="11"/>
  <c r="BL125" i="11"/>
  <c r="AZ124" i="11"/>
  <c r="BD124" i="11" s="1"/>
  <c r="N126" i="11"/>
  <c r="BJ126" i="11" s="1"/>
  <c r="M126" i="11"/>
  <c r="U126" i="11"/>
  <c r="G126" i="11"/>
  <c r="F126" i="11"/>
  <c r="V126" i="11"/>
  <c r="A128" i="11"/>
  <c r="BA128" i="11" s="1"/>
  <c r="BB127" i="11"/>
  <c r="D127" i="11"/>
  <c r="C126" i="11"/>
  <c r="E734" i="11"/>
  <c r="F734" i="11" s="1"/>
  <c r="B127" i="11"/>
  <c r="AV127" i="11" s="1"/>
  <c r="AT125" i="11"/>
  <c r="AU125" i="11"/>
  <c r="AR125" i="11"/>
  <c r="AS125" i="11"/>
  <c r="AQ125" i="11"/>
  <c r="AO125" i="11"/>
  <c r="AM125" i="11"/>
  <c r="AK125" i="11"/>
  <c r="AN125" i="11"/>
  <c r="AP125" i="11"/>
  <c r="AJ125" i="11"/>
  <c r="AL125" i="11"/>
  <c r="C735" i="11"/>
  <c r="J735" i="11"/>
  <c r="D736" i="11"/>
  <c r="H735" i="11"/>
  <c r="I735" i="11" s="1"/>
  <c r="G735" i="11" l="1"/>
  <c r="AZ125" i="11"/>
  <c r="BC125" i="11" s="1"/>
  <c r="BG125" i="11"/>
  <c r="X126" i="11"/>
  <c r="Z126" i="11" s="1"/>
  <c r="AY127" i="11"/>
  <c r="AW127" i="11"/>
  <c r="BM125" i="11"/>
  <c r="BK126" i="11"/>
  <c r="BL126" i="11"/>
  <c r="BC124" i="11"/>
  <c r="N127" i="11"/>
  <c r="BJ127" i="11" s="1"/>
  <c r="M127" i="11"/>
  <c r="U127" i="11"/>
  <c r="F127" i="11"/>
  <c r="G127" i="11"/>
  <c r="V127" i="11"/>
  <c r="A129" i="11"/>
  <c r="BA129" i="11" s="1"/>
  <c r="BB128" i="11"/>
  <c r="E735" i="11"/>
  <c r="F735" i="11" s="1"/>
  <c r="G736" i="11" s="1"/>
  <c r="C127" i="11"/>
  <c r="D128" i="11"/>
  <c r="B128" i="11"/>
  <c r="AV128" i="11" s="1"/>
  <c r="AU126" i="11"/>
  <c r="AR126" i="11"/>
  <c r="AT126" i="11"/>
  <c r="AS126" i="11"/>
  <c r="AN126" i="11"/>
  <c r="AP126" i="11"/>
  <c r="AM126" i="11"/>
  <c r="AK126" i="11"/>
  <c r="AJ126" i="11"/>
  <c r="AL126" i="11"/>
  <c r="AQ126" i="11"/>
  <c r="AO126" i="11"/>
  <c r="C736" i="11"/>
  <c r="J736" i="11"/>
  <c r="D737" i="11"/>
  <c r="H736" i="11"/>
  <c r="I736" i="11" s="1"/>
  <c r="X127" i="11" l="1"/>
  <c r="Z127" i="11" s="1"/>
  <c r="BD125" i="11"/>
  <c r="BG126" i="11"/>
  <c r="AY128" i="11"/>
  <c r="AW128" i="11"/>
  <c r="BM126" i="11"/>
  <c r="BL127" i="11"/>
  <c r="BK127" i="11"/>
  <c r="AZ126" i="11"/>
  <c r="BD126" i="11" s="1"/>
  <c r="N128" i="11"/>
  <c r="BJ128" i="11" s="1"/>
  <c r="M128" i="11"/>
  <c r="U128" i="11"/>
  <c r="G128" i="11"/>
  <c r="F128" i="11"/>
  <c r="V128" i="11"/>
  <c r="A130" i="11"/>
  <c r="BA130" i="11" s="1"/>
  <c r="BB129" i="11"/>
  <c r="D129" i="11"/>
  <c r="C128" i="11"/>
  <c r="E736" i="11"/>
  <c r="F736" i="11" s="1"/>
  <c r="G737" i="11" s="1"/>
  <c r="B129" i="11"/>
  <c r="AV129" i="11" s="1"/>
  <c r="AU127" i="11"/>
  <c r="AS127" i="11"/>
  <c r="AT127" i="11"/>
  <c r="AR127" i="11"/>
  <c r="AN127" i="11"/>
  <c r="AP127" i="11"/>
  <c r="AJ127" i="11"/>
  <c r="AL127" i="11"/>
  <c r="AQ127" i="11"/>
  <c r="AO127" i="11"/>
  <c r="AM127" i="11"/>
  <c r="AK127" i="11"/>
  <c r="C737" i="11"/>
  <c r="J737" i="11"/>
  <c r="D738" i="11"/>
  <c r="H737" i="11"/>
  <c r="I737" i="11" s="1"/>
  <c r="AZ127" i="11" l="1"/>
  <c r="BC127" i="11" s="1"/>
  <c r="BG127" i="11"/>
  <c r="X128" i="11"/>
  <c r="Z128" i="11" s="1"/>
  <c r="AY129" i="11"/>
  <c r="AW129" i="11"/>
  <c r="BC126" i="11"/>
  <c r="BK128" i="11"/>
  <c r="BL128" i="11"/>
  <c r="BM127" i="11"/>
  <c r="N129" i="11"/>
  <c r="BJ129" i="11" s="1"/>
  <c r="M129" i="11"/>
  <c r="U129" i="11"/>
  <c r="F129" i="11"/>
  <c r="G129" i="11"/>
  <c r="V129" i="11"/>
  <c r="A131" i="11"/>
  <c r="BA131" i="11" s="1"/>
  <c r="BB130" i="11"/>
  <c r="E737" i="11"/>
  <c r="F737" i="11" s="1"/>
  <c r="G738" i="11" s="1"/>
  <c r="C129" i="11"/>
  <c r="D130" i="11"/>
  <c r="B130" i="11"/>
  <c r="AV130" i="11" s="1"/>
  <c r="AS128" i="11"/>
  <c r="AT128" i="11"/>
  <c r="AR128" i="11"/>
  <c r="AU128" i="11"/>
  <c r="AM128" i="11"/>
  <c r="AK128" i="11"/>
  <c r="AN128" i="11"/>
  <c r="AP128" i="11"/>
  <c r="AJ128" i="11"/>
  <c r="AL128" i="11"/>
  <c r="AQ128" i="11"/>
  <c r="AO128" i="11"/>
  <c r="C738" i="11"/>
  <c r="J738" i="11"/>
  <c r="D739" i="11"/>
  <c r="H738" i="11"/>
  <c r="I738" i="11" s="1"/>
  <c r="BD127" i="11" l="1"/>
  <c r="AZ128" i="11"/>
  <c r="BD128" i="11" s="1"/>
  <c r="BG128" i="11"/>
  <c r="X129" i="11"/>
  <c r="Z129" i="11" s="1"/>
  <c r="AY130" i="11"/>
  <c r="AW130" i="11"/>
  <c r="BM128" i="11"/>
  <c r="BK129" i="11"/>
  <c r="BL129" i="11"/>
  <c r="N130" i="11"/>
  <c r="BJ130" i="11" s="1"/>
  <c r="M130" i="11"/>
  <c r="U130" i="11"/>
  <c r="G130" i="11"/>
  <c r="F130" i="11"/>
  <c r="V130" i="11"/>
  <c r="A132" i="11"/>
  <c r="BA132" i="11" s="1"/>
  <c r="BB131" i="11"/>
  <c r="D131" i="11"/>
  <c r="C130" i="11"/>
  <c r="E738" i="11"/>
  <c r="F738" i="11" s="1"/>
  <c r="G739" i="11" s="1"/>
  <c r="B131" i="11"/>
  <c r="AV131" i="11" s="1"/>
  <c r="AT129" i="11"/>
  <c r="AR129" i="11"/>
  <c r="AS129" i="11"/>
  <c r="AU129" i="11"/>
  <c r="AM129" i="11"/>
  <c r="AK129" i="11"/>
  <c r="AO129" i="11"/>
  <c r="AN129" i="11"/>
  <c r="AP129" i="11"/>
  <c r="AQ129" i="11"/>
  <c r="AJ129" i="11"/>
  <c r="AL129" i="11"/>
  <c r="C739" i="11"/>
  <c r="J739" i="11"/>
  <c r="D740" i="11"/>
  <c r="H739" i="11"/>
  <c r="I739" i="11" s="1"/>
  <c r="AZ129" i="11" l="1"/>
  <c r="BD129" i="11" s="1"/>
  <c r="BC128" i="11"/>
  <c r="BG129" i="11"/>
  <c r="X130" i="11"/>
  <c r="Z130" i="11" s="1"/>
  <c r="AY131" i="11"/>
  <c r="AW131" i="11"/>
  <c r="BM129" i="11"/>
  <c r="BK130" i="11"/>
  <c r="BL130" i="11"/>
  <c r="N131" i="11"/>
  <c r="BJ131" i="11" s="1"/>
  <c r="M131" i="11"/>
  <c r="U131" i="11"/>
  <c r="G131" i="11"/>
  <c r="F131" i="11"/>
  <c r="V131" i="11"/>
  <c r="A133" i="11"/>
  <c r="BA133" i="11" s="1"/>
  <c r="BB132" i="11"/>
  <c r="E739" i="11"/>
  <c r="F739" i="11" s="1"/>
  <c r="G740" i="11" s="1"/>
  <c r="C131" i="11"/>
  <c r="X131" i="11" s="1"/>
  <c r="Z131" i="11" s="1"/>
  <c r="D132" i="11"/>
  <c r="B132" i="11"/>
  <c r="AV132" i="11" s="1"/>
  <c r="AT130" i="11"/>
  <c r="AR130" i="11"/>
  <c r="AU130" i="11"/>
  <c r="AS130" i="11"/>
  <c r="AN130" i="11"/>
  <c r="AP130" i="11"/>
  <c r="AJ130" i="11"/>
  <c r="AL130" i="11"/>
  <c r="AO130" i="11"/>
  <c r="AM130" i="11"/>
  <c r="AK130" i="11"/>
  <c r="AQ130" i="11"/>
  <c r="C740" i="11"/>
  <c r="J740" i="11"/>
  <c r="D741" i="11"/>
  <c r="H740" i="11"/>
  <c r="I740" i="11" s="1"/>
  <c r="BC129" i="11" l="1"/>
  <c r="BG130" i="11"/>
  <c r="AY132" i="11"/>
  <c r="AW132" i="11"/>
  <c r="BM130" i="11"/>
  <c r="BL131" i="11"/>
  <c r="BK131" i="11"/>
  <c r="AZ130" i="11"/>
  <c r="BD130" i="11" s="1"/>
  <c r="N132" i="11"/>
  <c r="BJ132" i="11" s="1"/>
  <c r="M132" i="11"/>
  <c r="U132" i="11"/>
  <c r="G132" i="11"/>
  <c r="F132" i="11"/>
  <c r="V132" i="11"/>
  <c r="BG131" i="11"/>
  <c r="A134" i="11"/>
  <c r="BA134" i="11" s="1"/>
  <c r="BB133" i="11"/>
  <c r="E740" i="11"/>
  <c r="F740" i="11" s="1"/>
  <c r="G741" i="11" s="1"/>
  <c r="D133" i="11"/>
  <c r="C132" i="11"/>
  <c r="B133" i="11"/>
  <c r="AV133" i="11" s="1"/>
  <c r="AU131" i="11"/>
  <c r="AR131" i="11"/>
  <c r="AT131" i="11"/>
  <c r="AS131" i="11"/>
  <c r="AM131" i="11"/>
  <c r="AK131" i="11"/>
  <c r="AJ131" i="11"/>
  <c r="AL131" i="11"/>
  <c r="AQ131" i="11"/>
  <c r="AN131" i="11"/>
  <c r="AP131" i="11"/>
  <c r="AO131" i="11"/>
  <c r="C741" i="11"/>
  <c r="J741" i="11"/>
  <c r="D742" i="11"/>
  <c r="H741" i="11"/>
  <c r="I741" i="11" s="1"/>
  <c r="X132" i="11" l="1"/>
  <c r="Z132" i="11" s="1"/>
  <c r="AY133" i="11"/>
  <c r="AW133" i="11"/>
  <c r="BC130" i="11"/>
  <c r="BK132" i="11"/>
  <c r="BL132" i="11"/>
  <c r="BM131" i="11"/>
  <c r="AZ131" i="11"/>
  <c r="BD131" i="11" s="1"/>
  <c r="N133" i="11"/>
  <c r="BJ133" i="11" s="1"/>
  <c r="M133" i="11"/>
  <c r="U133" i="11"/>
  <c r="G133" i="11"/>
  <c r="F133" i="11"/>
  <c r="V133" i="11"/>
  <c r="A135" i="11"/>
  <c r="BA135" i="11" s="1"/>
  <c r="BB134" i="11"/>
  <c r="C133" i="11"/>
  <c r="D134" i="11"/>
  <c r="E741" i="11"/>
  <c r="F741" i="11" s="1"/>
  <c r="G742" i="11" s="1"/>
  <c r="B134" i="11"/>
  <c r="AV134" i="11" s="1"/>
  <c r="AU132" i="11"/>
  <c r="AS132" i="11"/>
  <c r="AT132" i="11"/>
  <c r="AR132" i="11"/>
  <c r="AQ132" i="11"/>
  <c r="AO132" i="11"/>
  <c r="AL132" i="11"/>
  <c r="AM132" i="11"/>
  <c r="AK132" i="11"/>
  <c r="AN132" i="11"/>
  <c r="AP132" i="11"/>
  <c r="AJ132" i="11"/>
  <c r="C742" i="11"/>
  <c r="J742" i="11"/>
  <c r="D743" i="11"/>
  <c r="H742" i="11"/>
  <c r="I742" i="11" s="1"/>
  <c r="BG132" i="11" l="1"/>
  <c r="X133" i="11"/>
  <c r="Z133" i="11" s="1"/>
  <c r="AY134" i="11"/>
  <c r="AW134" i="11"/>
  <c r="BC131" i="11"/>
  <c r="BM132" i="11"/>
  <c r="BK133" i="11"/>
  <c r="BL133" i="11"/>
  <c r="AZ132" i="11"/>
  <c r="BD132" i="11" s="1"/>
  <c r="N134" i="11"/>
  <c r="BJ134" i="11" s="1"/>
  <c r="M134" i="11"/>
  <c r="U134" i="11"/>
  <c r="F134" i="11"/>
  <c r="G134" i="11"/>
  <c r="V134" i="11"/>
  <c r="A136" i="11"/>
  <c r="BA136" i="11" s="1"/>
  <c r="BB135" i="11"/>
  <c r="E742" i="11"/>
  <c r="F742" i="11" s="1"/>
  <c r="G743" i="11" s="1"/>
  <c r="D135" i="11"/>
  <c r="C134" i="11"/>
  <c r="B135" i="11"/>
  <c r="AV135" i="11" s="1"/>
  <c r="AT133" i="11"/>
  <c r="AU133" i="11"/>
  <c r="AS133" i="11"/>
  <c r="AR133" i="11"/>
  <c r="AQ133" i="11"/>
  <c r="AO133" i="11"/>
  <c r="AJ133" i="11"/>
  <c r="AM133" i="11"/>
  <c r="AK133" i="11"/>
  <c r="AN133" i="11"/>
  <c r="AP133" i="11"/>
  <c r="AL133" i="11"/>
  <c r="C743" i="11"/>
  <c r="J743" i="11"/>
  <c r="D744" i="11"/>
  <c r="H743" i="11"/>
  <c r="I743" i="11" s="1"/>
  <c r="BG133" i="11" l="1"/>
  <c r="X134" i="11"/>
  <c r="Z134" i="11" s="1"/>
  <c r="AY135" i="11"/>
  <c r="AW135" i="11"/>
  <c r="BC132" i="11"/>
  <c r="BK134" i="11"/>
  <c r="BL134" i="11"/>
  <c r="BM133" i="11"/>
  <c r="AZ133" i="11"/>
  <c r="BC133" i="11" s="1"/>
  <c r="N135" i="11"/>
  <c r="BJ135" i="11" s="1"/>
  <c r="M135" i="11"/>
  <c r="U135" i="11"/>
  <c r="F135" i="11"/>
  <c r="G135" i="11"/>
  <c r="V135" i="11"/>
  <c r="A137" i="11"/>
  <c r="BA137" i="11" s="1"/>
  <c r="BB136" i="11"/>
  <c r="C135" i="11"/>
  <c r="D136" i="11"/>
  <c r="E743" i="11"/>
  <c r="F743" i="11" s="1"/>
  <c r="G744" i="11" s="1"/>
  <c r="B136" i="11"/>
  <c r="AV136" i="11" s="1"/>
  <c r="AR134" i="11"/>
  <c r="AU134" i="11"/>
  <c r="AT134" i="11"/>
  <c r="AS134" i="11"/>
  <c r="AQ134" i="11"/>
  <c r="AO134" i="11"/>
  <c r="AM134" i="11"/>
  <c r="AJ134" i="11"/>
  <c r="AL134" i="11"/>
  <c r="AK134" i="11"/>
  <c r="AN134" i="11"/>
  <c r="AP134" i="11"/>
  <c r="C744" i="11"/>
  <c r="J744" i="11"/>
  <c r="D745" i="11"/>
  <c r="H744" i="11"/>
  <c r="I744" i="11" s="1"/>
  <c r="BG134" i="11" l="1"/>
  <c r="X135" i="11"/>
  <c r="Z135" i="11" s="1"/>
  <c r="AY136" i="11"/>
  <c r="AW136" i="11"/>
  <c r="BD133" i="11"/>
  <c r="BM134" i="11"/>
  <c r="BL135" i="11"/>
  <c r="BK135" i="11"/>
  <c r="AZ134" i="11"/>
  <c r="BD134" i="11" s="1"/>
  <c r="N136" i="11"/>
  <c r="BJ136" i="11" s="1"/>
  <c r="M136" i="11"/>
  <c r="U136" i="11"/>
  <c r="G136" i="11"/>
  <c r="F136" i="11"/>
  <c r="V136" i="11"/>
  <c r="A138" i="11"/>
  <c r="BA138" i="11" s="1"/>
  <c r="BB137" i="11"/>
  <c r="E744" i="11"/>
  <c r="F744" i="11" s="1"/>
  <c r="G745" i="11" s="1"/>
  <c r="D137" i="11"/>
  <c r="C136" i="11"/>
  <c r="B137" i="11"/>
  <c r="AV137" i="11" s="1"/>
  <c r="AU135" i="11"/>
  <c r="AT135" i="11"/>
  <c r="AR135" i="11"/>
  <c r="AS135" i="11"/>
  <c r="AM135" i="11"/>
  <c r="AK135" i="11"/>
  <c r="AN135" i="11"/>
  <c r="AP135" i="11"/>
  <c r="AQ135" i="11"/>
  <c r="AJ135" i="11"/>
  <c r="AL135" i="11"/>
  <c r="AO135" i="11"/>
  <c r="C745" i="11"/>
  <c r="J745" i="11"/>
  <c r="D746" i="11"/>
  <c r="H745" i="11"/>
  <c r="I745" i="11" s="1"/>
  <c r="BG135" i="11" l="1"/>
  <c r="X136" i="11"/>
  <c r="Z136" i="11" s="1"/>
  <c r="AY137" i="11"/>
  <c r="AW137" i="11"/>
  <c r="BC134" i="11"/>
  <c r="BK136" i="11"/>
  <c r="BL136" i="11"/>
  <c r="BM135" i="11"/>
  <c r="AZ135" i="11"/>
  <c r="BC135" i="11" s="1"/>
  <c r="N137" i="11"/>
  <c r="BJ137" i="11" s="1"/>
  <c r="M137" i="11"/>
  <c r="U137" i="11"/>
  <c r="G137" i="11"/>
  <c r="F137" i="11"/>
  <c r="V137" i="11"/>
  <c r="A139" i="11"/>
  <c r="BA139" i="11" s="1"/>
  <c r="BB138" i="11"/>
  <c r="C137" i="11"/>
  <c r="D138" i="11"/>
  <c r="E745" i="11"/>
  <c r="F745" i="11" s="1"/>
  <c r="G746" i="11" s="1"/>
  <c r="B138" i="11"/>
  <c r="AV138" i="11" s="1"/>
  <c r="AS136" i="11"/>
  <c r="AU136" i="11"/>
  <c r="AT136" i="11"/>
  <c r="AR136" i="11"/>
  <c r="AN136" i="11"/>
  <c r="AP136" i="11"/>
  <c r="AM136" i="11"/>
  <c r="AJ136" i="11"/>
  <c r="AL136" i="11"/>
  <c r="AQ136" i="11"/>
  <c r="AO136" i="11"/>
  <c r="AK136" i="11"/>
  <c r="C746" i="11"/>
  <c r="J746" i="11"/>
  <c r="D747" i="11"/>
  <c r="H746" i="11"/>
  <c r="I746" i="11" s="1"/>
  <c r="BG136" i="11" l="1"/>
  <c r="X137" i="11"/>
  <c r="Z137" i="11" s="1"/>
  <c r="AY138" i="11"/>
  <c r="AW138" i="11"/>
  <c r="BD135" i="11"/>
  <c r="BM136" i="11"/>
  <c r="BK137" i="11"/>
  <c r="BL137" i="11"/>
  <c r="AZ136" i="11"/>
  <c r="BC136" i="11" s="1"/>
  <c r="N138" i="11"/>
  <c r="BJ138" i="11" s="1"/>
  <c r="M138" i="11"/>
  <c r="U138" i="11"/>
  <c r="G138" i="11"/>
  <c r="F138" i="11"/>
  <c r="V138" i="11"/>
  <c r="A140" i="11"/>
  <c r="BA140" i="11" s="1"/>
  <c r="BB139" i="11"/>
  <c r="D139" i="11"/>
  <c r="C138" i="11"/>
  <c r="E746" i="11"/>
  <c r="F746" i="11" s="1"/>
  <c r="G747" i="11" s="1"/>
  <c r="B139" i="11"/>
  <c r="AV139" i="11" s="1"/>
  <c r="AU137" i="11"/>
  <c r="AT137" i="11"/>
  <c r="AS137" i="11"/>
  <c r="AR137" i="11"/>
  <c r="AJ137" i="11"/>
  <c r="AL137" i="11"/>
  <c r="AQ137" i="11"/>
  <c r="AO137" i="11"/>
  <c r="AM137" i="11"/>
  <c r="AK137" i="11"/>
  <c r="AN137" i="11"/>
  <c r="AP137" i="11"/>
  <c r="C747" i="11"/>
  <c r="J747" i="11"/>
  <c r="D748" i="11"/>
  <c r="H747" i="11"/>
  <c r="I747" i="11" s="1"/>
  <c r="BG137" i="11" l="1"/>
  <c r="X138" i="11"/>
  <c r="Z138" i="11" s="1"/>
  <c r="AY139" i="11"/>
  <c r="AW139" i="11"/>
  <c r="BD136" i="11"/>
  <c r="BM137" i="11"/>
  <c r="BK138" i="11"/>
  <c r="BL138" i="11"/>
  <c r="AZ137" i="11"/>
  <c r="BC137" i="11" s="1"/>
  <c r="N139" i="11"/>
  <c r="BJ139" i="11" s="1"/>
  <c r="M139" i="11"/>
  <c r="U139" i="11"/>
  <c r="F139" i="11"/>
  <c r="G139" i="11"/>
  <c r="V139" i="11"/>
  <c r="A141" i="11"/>
  <c r="BA141" i="11" s="1"/>
  <c r="BB140" i="11"/>
  <c r="E747" i="11"/>
  <c r="F747" i="11" s="1"/>
  <c r="G748" i="11" s="1"/>
  <c r="C139" i="11"/>
  <c r="D140" i="11"/>
  <c r="B140" i="11"/>
  <c r="AV140" i="11" s="1"/>
  <c r="AR138" i="11"/>
  <c r="AU138" i="11"/>
  <c r="AS138" i="11"/>
  <c r="AT138" i="11"/>
  <c r="AN138" i="11"/>
  <c r="AP138" i="11"/>
  <c r="AK138" i="11"/>
  <c r="AJ138" i="11"/>
  <c r="AL138" i="11"/>
  <c r="AQ138" i="11"/>
  <c r="AO138" i="11"/>
  <c r="AM138" i="11"/>
  <c r="C748" i="11"/>
  <c r="J748" i="11"/>
  <c r="D749" i="11"/>
  <c r="H748" i="11"/>
  <c r="I748" i="11" s="1"/>
  <c r="X139" i="11" l="1"/>
  <c r="Z139" i="11" s="1"/>
  <c r="AZ138" i="11"/>
  <c r="BC138" i="11" s="1"/>
  <c r="BG138" i="11"/>
  <c r="AY140" i="11"/>
  <c r="AW140" i="11"/>
  <c r="BD137" i="11"/>
  <c r="BM138" i="11"/>
  <c r="BL139" i="11"/>
  <c r="BK139" i="11"/>
  <c r="N140" i="11"/>
  <c r="BJ140" i="11" s="1"/>
  <c r="M140" i="11"/>
  <c r="U140" i="11"/>
  <c r="G140" i="11"/>
  <c r="F140" i="11"/>
  <c r="V140" i="11"/>
  <c r="A142" i="11"/>
  <c r="BA142" i="11" s="1"/>
  <c r="BB141" i="11"/>
  <c r="D141" i="11"/>
  <c r="C140" i="11"/>
  <c r="X140" i="11" s="1"/>
  <c r="Z140" i="11" s="1"/>
  <c r="E748" i="11"/>
  <c r="F748" i="11" s="1"/>
  <c r="G749" i="11" s="1"/>
  <c r="B141" i="11"/>
  <c r="AV141" i="11" s="1"/>
  <c r="AU139" i="11"/>
  <c r="AR139" i="11"/>
  <c r="AT139" i="11"/>
  <c r="AS139" i="11"/>
  <c r="AM139" i="11"/>
  <c r="AK139" i="11"/>
  <c r="AL139" i="11"/>
  <c r="AO139" i="11"/>
  <c r="AN139" i="11"/>
  <c r="AP139" i="11"/>
  <c r="AJ139" i="11"/>
  <c r="AQ139" i="11"/>
  <c r="C749" i="11"/>
  <c r="J749" i="11"/>
  <c r="D750" i="11"/>
  <c r="H749" i="11"/>
  <c r="I749" i="11" s="1"/>
  <c r="BD138" i="11" l="1"/>
  <c r="BG139" i="11"/>
  <c r="AY141" i="11"/>
  <c r="AW141" i="11"/>
  <c r="BK140" i="11"/>
  <c r="BL140" i="11"/>
  <c r="BM139" i="11"/>
  <c r="AZ139" i="11"/>
  <c r="BD139" i="11" s="1"/>
  <c r="N141" i="11"/>
  <c r="BJ141" i="11" s="1"/>
  <c r="M141" i="11"/>
  <c r="U141" i="11"/>
  <c r="G141" i="11"/>
  <c r="F141" i="11"/>
  <c r="V141" i="11"/>
  <c r="BG140" i="11"/>
  <c r="A143" i="11"/>
  <c r="BA143" i="11" s="1"/>
  <c r="BB142" i="11"/>
  <c r="E749" i="11"/>
  <c r="F749" i="11" s="1"/>
  <c r="G750" i="11" s="1"/>
  <c r="C141" i="11"/>
  <c r="D142" i="11"/>
  <c r="B142" i="11"/>
  <c r="AV142" i="11" s="1"/>
  <c r="AU140" i="11"/>
  <c r="AT140" i="11"/>
  <c r="AS140" i="11"/>
  <c r="AR140" i="11"/>
  <c r="AN140" i="11"/>
  <c r="AP140" i="11"/>
  <c r="AJ140" i="11"/>
  <c r="AL140" i="11"/>
  <c r="AQ140" i="11"/>
  <c r="AO140" i="11"/>
  <c r="AM140" i="11"/>
  <c r="AK140" i="11"/>
  <c r="C750" i="11"/>
  <c r="J750" i="11"/>
  <c r="D751" i="11"/>
  <c r="H750" i="11"/>
  <c r="I750" i="11" s="1"/>
  <c r="X141" i="11" l="1"/>
  <c r="Z141" i="11" s="1"/>
  <c r="AY142" i="11"/>
  <c r="AW142" i="11"/>
  <c r="BC139" i="11"/>
  <c r="BM140" i="11"/>
  <c r="BK141" i="11"/>
  <c r="BL141" i="11"/>
  <c r="AZ140" i="11"/>
  <c r="BC140" i="11" s="1"/>
  <c r="N142" i="11"/>
  <c r="BJ142" i="11" s="1"/>
  <c r="M142" i="11"/>
  <c r="U142" i="11"/>
  <c r="G142" i="11"/>
  <c r="F142" i="11"/>
  <c r="V142" i="11"/>
  <c r="A144" i="11"/>
  <c r="BA144" i="11" s="1"/>
  <c r="BB143" i="11"/>
  <c r="D143" i="11"/>
  <c r="C142" i="11"/>
  <c r="E750" i="11"/>
  <c r="F750" i="11" s="1"/>
  <c r="G751" i="11" s="1"/>
  <c r="B143" i="11"/>
  <c r="AV143" i="11" s="1"/>
  <c r="AT141" i="11"/>
  <c r="AU141" i="11"/>
  <c r="AS141" i="11"/>
  <c r="AR141" i="11"/>
  <c r="AM141" i="11"/>
  <c r="AK141" i="11"/>
  <c r="AN141" i="11"/>
  <c r="AQ141" i="11"/>
  <c r="AP141" i="11"/>
  <c r="AJ141" i="11"/>
  <c r="AL141" i="11"/>
  <c r="AO141" i="11"/>
  <c r="C751" i="11"/>
  <c r="J751" i="11"/>
  <c r="D752" i="11"/>
  <c r="H751" i="11"/>
  <c r="I751" i="11" s="1"/>
  <c r="AZ141" i="11" l="1"/>
  <c r="BD141" i="11" s="1"/>
  <c r="BG141" i="11"/>
  <c r="X142" i="11"/>
  <c r="Z142" i="11" s="1"/>
  <c r="AY143" i="11"/>
  <c r="AW143" i="11"/>
  <c r="BD140" i="11"/>
  <c r="BM141" i="11"/>
  <c r="BK142" i="11"/>
  <c r="BL142" i="11"/>
  <c r="N143" i="11"/>
  <c r="BJ143" i="11" s="1"/>
  <c r="M143" i="11"/>
  <c r="U143" i="11"/>
  <c r="F143" i="11"/>
  <c r="G143" i="11"/>
  <c r="V143" i="11"/>
  <c r="A145" i="11"/>
  <c r="BA145" i="11" s="1"/>
  <c r="BB144" i="11"/>
  <c r="E751" i="11"/>
  <c r="F751" i="11" s="1"/>
  <c r="G752" i="11" s="1"/>
  <c r="C143" i="11"/>
  <c r="D144" i="11"/>
  <c r="B144" i="11"/>
  <c r="AV144" i="11" s="1"/>
  <c r="AU142" i="11"/>
  <c r="AR142" i="11"/>
  <c r="AT142" i="11"/>
  <c r="AS142" i="11"/>
  <c r="AQ142" i="11"/>
  <c r="AO142" i="11"/>
  <c r="AM142" i="11"/>
  <c r="AK142" i="11"/>
  <c r="AN142" i="11"/>
  <c r="AP142" i="11"/>
  <c r="AJ142" i="11"/>
  <c r="AL142" i="11"/>
  <c r="C752" i="11"/>
  <c r="J752" i="11"/>
  <c r="D753" i="11"/>
  <c r="H752" i="11"/>
  <c r="I752" i="11" s="1"/>
  <c r="AZ142" i="11" l="1"/>
  <c r="BC142" i="11" s="1"/>
  <c r="BC141" i="11"/>
  <c r="BG142" i="11"/>
  <c r="X143" i="11"/>
  <c r="Z143" i="11" s="1"/>
  <c r="AY144" i="11"/>
  <c r="AW144" i="11"/>
  <c r="BM142" i="11"/>
  <c r="BL143" i="11"/>
  <c r="BK143" i="11"/>
  <c r="N144" i="11"/>
  <c r="BJ144" i="11" s="1"/>
  <c r="M144" i="11"/>
  <c r="U144" i="11"/>
  <c r="G144" i="11"/>
  <c r="F144" i="11"/>
  <c r="V144" i="11"/>
  <c r="A146" i="11"/>
  <c r="BA146" i="11" s="1"/>
  <c r="BB145" i="11"/>
  <c r="D145" i="11"/>
  <c r="C144" i="11"/>
  <c r="X144" i="11" s="1"/>
  <c r="Z144" i="11" s="1"/>
  <c r="E752" i="11"/>
  <c r="F752" i="11" s="1"/>
  <c r="G753" i="11" s="1"/>
  <c r="B145" i="11"/>
  <c r="AV145" i="11" s="1"/>
  <c r="AU143" i="11"/>
  <c r="AT143" i="11"/>
  <c r="AS143" i="11"/>
  <c r="AR143" i="11"/>
  <c r="AM143" i="11"/>
  <c r="AK143" i="11"/>
  <c r="AQ143" i="11"/>
  <c r="AN143" i="11"/>
  <c r="AP143" i="11"/>
  <c r="AJ143" i="11"/>
  <c r="AO143" i="11"/>
  <c r="AL143" i="11"/>
  <c r="C753" i="11"/>
  <c r="J753" i="11"/>
  <c r="D754" i="11"/>
  <c r="H753" i="11"/>
  <c r="I753" i="11" s="1"/>
  <c r="BD142" i="11" l="1"/>
  <c r="BG143" i="11"/>
  <c r="AY145" i="11"/>
  <c r="AW145" i="11"/>
  <c r="BM143" i="11"/>
  <c r="BK144" i="11"/>
  <c r="BL144" i="11"/>
  <c r="AZ143" i="11"/>
  <c r="BC143" i="11" s="1"/>
  <c r="N145" i="11"/>
  <c r="BJ145" i="11" s="1"/>
  <c r="M145" i="11"/>
  <c r="U145" i="11"/>
  <c r="F145" i="11"/>
  <c r="G145" i="11"/>
  <c r="V145" i="11"/>
  <c r="BG144" i="11"/>
  <c r="A147" i="11"/>
  <c r="BA147" i="11" s="1"/>
  <c r="BB146" i="11"/>
  <c r="E753" i="11"/>
  <c r="F753" i="11" s="1"/>
  <c r="G754" i="11" s="1"/>
  <c r="C145" i="11"/>
  <c r="D146" i="11"/>
  <c r="B146" i="11"/>
  <c r="AV146" i="11" s="1"/>
  <c r="AS144" i="11"/>
  <c r="AU144" i="11"/>
  <c r="AR144" i="11"/>
  <c r="AT144" i="11"/>
  <c r="AM144" i="11"/>
  <c r="AK144" i="11"/>
  <c r="AQ144" i="11"/>
  <c r="AN144" i="11"/>
  <c r="AP144" i="11"/>
  <c r="AJ144" i="11"/>
  <c r="AL144" i="11"/>
  <c r="AO144" i="11"/>
  <c r="C754" i="11"/>
  <c r="J754" i="11"/>
  <c r="D755" i="11"/>
  <c r="H754" i="11"/>
  <c r="I754" i="11" s="1"/>
  <c r="X145" i="11" l="1"/>
  <c r="Z145" i="11" s="1"/>
  <c r="AY146" i="11"/>
  <c r="AW146" i="11"/>
  <c r="BD143" i="11"/>
  <c r="BM144" i="11"/>
  <c r="BK145" i="11"/>
  <c r="BL145" i="11"/>
  <c r="AZ144" i="11"/>
  <c r="BC144" i="11" s="1"/>
  <c r="N146" i="11"/>
  <c r="BJ146" i="11" s="1"/>
  <c r="M146" i="11"/>
  <c r="U146" i="11"/>
  <c r="G146" i="11"/>
  <c r="F146" i="11"/>
  <c r="V146" i="11"/>
  <c r="A148" i="11"/>
  <c r="BA148" i="11" s="1"/>
  <c r="BB147" i="11"/>
  <c r="D147" i="11"/>
  <c r="C146" i="11"/>
  <c r="E754" i="11"/>
  <c r="F754" i="11" s="1"/>
  <c r="G755" i="11" s="1"/>
  <c r="B147" i="11"/>
  <c r="AV147" i="11" s="1"/>
  <c r="AT145" i="11"/>
  <c r="AU145" i="11"/>
  <c r="AR145" i="11"/>
  <c r="AS145" i="11"/>
  <c r="AN145" i="11"/>
  <c r="AP145" i="11"/>
  <c r="AM145" i="11"/>
  <c r="AK145" i="11"/>
  <c r="AJ145" i="11"/>
  <c r="AL145" i="11"/>
  <c r="AQ145" i="11"/>
  <c r="AO145" i="11"/>
  <c r="C755" i="11"/>
  <c r="J755" i="11"/>
  <c r="D756" i="11"/>
  <c r="H755" i="11"/>
  <c r="I755" i="11" s="1"/>
  <c r="BG145" i="11" l="1"/>
  <c r="X146" i="11"/>
  <c r="Z146" i="11" s="1"/>
  <c r="AY147" i="11"/>
  <c r="AW147" i="11"/>
  <c r="BD144" i="11"/>
  <c r="BM145" i="11"/>
  <c r="BK146" i="11"/>
  <c r="BL146" i="11"/>
  <c r="AZ145" i="11"/>
  <c r="BC145" i="11" s="1"/>
  <c r="N147" i="11"/>
  <c r="BJ147" i="11" s="1"/>
  <c r="M147" i="11"/>
  <c r="U147" i="11"/>
  <c r="G147" i="11"/>
  <c r="F147" i="11"/>
  <c r="V147" i="11"/>
  <c r="A149" i="11"/>
  <c r="BB148" i="11"/>
  <c r="E755" i="11"/>
  <c r="F755" i="11" s="1"/>
  <c r="G756" i="11" s="1"/>
  <c r="C147" i="11"/>
  <c r="D148" i="11"/>
  <c r="B148" i="11"/>
  <c r="AV148" i="11" s="1"/>
  <c r="AU146" i="11"/>
  <c r="AT146" i="11"/>
  <c r="AR146" i="11"/>
  <c r="AS146" i="11"/>
  <c r="AM146" i="11"/>
  <c r="AK146" i="11"/>
  <c r="AP146" i="11"/>
  <c r="AN146" i="11"/>
  <c r="AJ146" i="11"/>
  <c r="AL146" i="11"/>
  <c r="AQ146" i="11"/>
  <c r="AO146" i="11"/>
  <c r="C756" i="11"/>
  <c r="J756" i="11"/>
  <c r="D757" i="11"/>
  <c r="H756" i="11"/>
  <c r="I756" i="11" s="1"/>
  <c r="BG146" i="11" l="1"/>
  <c r="X147" i="11"/>
  <c r="Z147" i="11" s="1"/>
  <c r="AY148" i="11"/>
  <c r="AW148" i="11"/>
  <c r="BD145" i="11"/>
  <c r="BM146" i="11"/>
  <c r="BL147" i="11"/>
  <c r="BK147" i="11"/>
  <c r="AZ146" i="11"/>
  <c r="BD146" i="11" s="1"/>
  <c r="N148" i="11"/>
  <c r="BJ148" i="11" s="1"/>
  <c r="M148" i="11"/>
  <c r="U148" i="11"/>
  <c r="G148" i="11"/>
  <c r="F148" i="11"/>
  <c r="V148" i="11"/>
  <c r="A150" i="11"/>
  <c r="BA150" i="11" s="1"/>
  <c r="D149" i="11"/>
  <c r="C148" i="11"/>
  <c r="E756" i="11"/>
  <c r="F756" i="11" s="1"/>
  <c r="G757" i="11" s="1"/>
  <c r="B149" i="11"/>
  <c r="AV149" i="11" s="1"/>
  <c r="AU147" i="11"/>
  <c r="AT147" i="11"/>
  <c r="AR147" i="11"/>
  <c r="AS147" i="11"/>
  <c r="AJ147" i="11"/>
  <c r="AL147" i="11"/>
  <c r="AQ147" i="11"/>
  <c r="AO147" i="11"/>
  <c r="AM147" i="11"/>
  <c r="AK147" i="11"/>
  <c r="AN147" i="11"/>
  <c r="AP147" i="11"/>
  <c r="C757" i="11"/>
  <c r="J757" i="11"/>
  <c r="D758" i="11"/>
  <c r="H757" i="11"/>
  <c r="BG147" i="11" l="1"/>
  <c r="X148" i="11"/>
  <c r="Z148" i="11" s="1"/>
  <c r="AY149" i="11"/>
  <c r="AW149" i="11"/>
  <c r="BC146" i="11"/>
  <c r="BM147" i="11"/>
  <c r="BK148" i="11"/>
  <c r="BL148" i="11"/>
  <c r="AZ147" i="11"/>
  <c r="BD147" i="11" s="1"/>
  <c r="N149" i="11"/>
  <c r="BJ149" i="11" s="1"/>
  <c r="M149" i="11"/>
  <c r="U149" i="11"/>
  <c r="G149" i="11"/>
  <c r="F149" i="11"/>
  <c r="V149" i="11"/>
  <c r="A151" i="11"/>
  <c r="BA151" i="11" s="1"/>
  <c r="BB150" i="11"/>
  <c r="E757" i="11"/>
  <c r="F757" i="11" s="1"/>
  <c r="G758" i="11" s="1"/>
  <c r="I757" i="11"/>
  <c r="C149" i="11"/>
  <c r="D150" i="11"/>
  <c r="B150" i="11"/>
  <c r="AV150" i="11" s="1"/>
  <c r="AU148" i="11"/>
  <c r="AS148" i="11"/>
  <c r="AT148" i="11"/>
  <c r="AR148" i="11"/>
  <c r="AN148" i="11"/>
  <c r="AP148" i="11"/>
  <c r="AM148" i="11"/>
  <c r="AK148" i="11"/>
  <c r="AJ148" i="11"/>
  <c r="AL148" i="11"/>
  <c r="AQ148" i="11"/>
  <c r="AO148" i="11"/>
  <c r="C758" i="11"/>
  <c r="J758" i="11"/>
  <c r="D759" i="11"/>
  <c r="H758" i="11"/>
  <c r="AZ148" i="11" l="1"/>
  <c r="BC148" i="11" s="1"/>
  <c r="BG148" i="11"/>
  <c r="X149" i="11"/>
  <c r="Z149" i="11" s="1"/>
  <c r="AY150" i="11"/>
  <c r="AW150" i="11"/>
  <c r="BC147" i="11"/>
  <c r="BM148" i="11"/>
  <c r="BK149" i="11"/>
  <c r="BL149" i="11"/>
  <c r="N150" i="11"/>
  <c r="BJ150" i="11" s="1"/>
  <c r="M150" i="11"/>
  <c r="U150" i="11"/>
  <c r="F150" i="11"/>
  <c r="G150" i="11"/>
  <c r="V150" i="11"/>
  <c r="A152" i="11"/>
  <c r="BA152" i="11" s="1"/>
  <c r="BB151" i="11"/>
  <c r="I758" i="11"/>
  <c r="D151" i="11"/>
  <c r="C150" i="11"/>
  <c r="E758" i="11"/>
  <c r="F758" i="11" s="1"/>
  <c r="G759" i="11" s="1"/>
  <c r="B151" i="11"/>
  <c r="AV151" i="11" s="1"/>
  <c r="AT149" i="11"/>
  <c r="AS149" i="11"/>
  <c r="AU149" i="11"/>
  <c r="AR149" i="11"/>
  <c r="AM149" i="11"/>
  <c r="AK149" i="11"/>
  <c r="AN149" i="11"/>
  <c r="AP149" i="11"/>
  <c r="AQ149" i="11"/>
  <c r="AJ149" i="11"/>
  <c r="AL149" i="11"/>
  <c r="AO149" i="11"/>
  <c r="C759" i="11"/>
  <c r="J759" i="11"/>
  <c r="D760" i="11"/>
  <c r="H759" i="11"/>
  <c r="X150" i="11" l="1"/>
  <c r="Z150" i="11" s="1"/>
  <c r="BG149" i="11"/>
  <c r="BD148" i="11"/>
  <c r="AY151" i="11"/>
  <c r="AW151" i="11"/>
  <c r="BM149" i="11"/>
  <c r="BK150" i="11"/>
  <c r="BL150" i="11"/>
  <c r="AZ149" i="11"/>
  <c r="N151" i="11"/>
  <c r="BJ151" i="11" s="1"/>
  <c r="M151" i="11"/>
  <c r="U151" i="11"/>
  <c r="F151" i="11"/>
  <c r="G151" i="11"/>
  <c r="V151" i="11"/>
  <c r="A153" i="11"/>
  <c r="BA153" i="11" s="1"/>
  <c r="BB152" i="11"/>
  <c r="E759" i="11"/>
  <c r="F759" i="11" s="1"/>
  <c r="G760" i="11" s="1"/>
  <c r="I759" i="11"/>
  <c r="C151" i="11"/>
  <c r="D152" i="11"/>
  <c r="B152" i="11"/>
  <c r="AV152" i="11" s="1"/>
  <c r="AR150" i="11"/>
  <c r="AU150" i="11"/>
  <c r="AT150" i="11"/>
  <c r="AS150" i="11"/>
  <c r="AM150" i="11"/>
  <c r="AK150" i="11"/>
  <c r="AQ150" i="11"/>
  <c r="AO150" i="11"/>
  <c r="AN150" i="11"/>
  <c r="AP150" i="11"/>
  <c r="AJ150" i="11"/>
  <c r="AL150" i="11"/>
  <c r="C760" i="11"/>
  <c r="J760" i="11"/>
  <c r="D761" i="11"/>
  <c r="H760" i="11"/>
  <c r="BG150" i="11" l="1"/>
  <c r="AZ150" i="11"/>
  <c r="BD150" i="11" s="1"/>
  <c r="X151" i="11"/>
  <c r="Z151" i="11" s="1"/>
  <c r="AY152" i="11"/>
  <c r="AW152" i="11"/>
  <c r="BM150" i="11"/>
  <c r="BL151" i="11"/>
  <c r="BK151" i="11"/>
  <c r="N152" i="11"/>
  <c r="BJ152" i="11" s="1"/>
  <c r="M152" i="11"/>
  <c r="U152" i="11"/>
  <c r="G152" i="11"/>
  <c r="F152" i="11"/>
  <c r="V152" i="11"/>
  <c r="A154" i="11"/>
  <c r="BA154" i="11" s="1"/>
  <c r="BB153" i="11"/>
  <c r="C152" i="11"/>
  <c r="D153" i="11"/>
  <c r="E760" i="11"/>
  <c r="F760" i="11" s="1"/>
  <c r="G761" i="11" s="1"/>
  <c r="I760" i="11"/>
  <c r="B153" i="11"/>
  <c r="AV153" i="11" s="1"/>
  <c r="AU151" i="11"/>
  <c r="AT151" i="11"/>
  <c r="AR151" i="11"/>
  <c r="AS151" i="11"/>
  <c r="AN151" i="11"/>
  <c r="AP151" i="11"/>
  <c r="AQ151" i="11"/>
  <c r="AO151" i="11"/>
  <c r="AM151" i="11"/>
  <c r="AK151" i="11"/>
  <c r="AJ151" i="11"/>
  <c r="AL151" i="11"/>
  <c r="C761" i="11"/>
  <c r="J761" i="11"/>
  <c r="D762" i="11"/>
  <c r="H761" i="11"/>
  <c r="BC150" i="11" l="1"/>
  <c r="AZ151" i="11"/>
  <c r="BD151" i="11" s="1"/>
  <c r="BG151" i="11"/>
  <c r="X152" i="11"/>
  <c r="Z152" i="11" s="1"/>
  <c r="AY153" i="11"/>
  <c r="AW153" i="11"/>
  <c r="BM151" i="11"/>
  <c r="BK152" i="11"/>
  <c r="BL152" i="11"/>
  <c r="N153" i="11"/>
  <c r="BJ153" i="11" s="1"/>
  <c r="M153" i="11"/>
  <c r="U153" i="11"/>
  <c r="G153" i="11"/>
  <c r="F153" i="11"/>
  <c r="V153" i="11"/>
  <c r="A155" i="11"/>
  <c r="BA155" i="11" s="1"/>
  <c r="BB154" i="11"/>
  <c r="I761" i="11"/>
  <c r="C153" i="11"/>
  <c r="D154" i="11"/>
  <c r="E761" i="11"/>
  <c r="F761" i="11" s="1"/>
  <c r="G762" i="11" s="1"/>
  <c r="B154" i="11"/>
  <c r="AV154" i="11" s="1"/>
  <c r="AS152" i="11"/>
  <c r="AU152" i="11"/>
  <c r="AR152" i="11"/>
  <c r="AT152" i="11"/>
  <c r="AM152" i="11"/>
  <c r="AK152" i="11"/>
  <c r="AQ152" i="11"/>
  <c r="AN152" i="11"/>
  <c r="AP152" i="11"/>
  <c r="AJ152" i="11"/>
  <c r="AL152" i="11"/>
  <c r="AO152" i="11"/>
  <c r="C762" i="11"/>
  <c r="J762" i="11"/>
  <c r="D763" i="11"/>
  <c r="H762" i="11"/>
  <c r="BG152" i="11" l="1"/>
  <c r="AZ152" i="11"/>
  <c r="BC152" i="11" s="1"/>
  <c r="BC151" i="11"/>
  <c r="X153" i="11"/>
  <c r="Z153" i="11" s="1"/>
  <c r="AY154" i="11"/>
  <c r="AW154" i="11"/>
  <c r="BM152" i="11"/>
  <c r="BK153" i="11"/>
  <c r="BL153" i="11"/>
  <c r="N154" i="11"/>
  <c r="BJ154" i="11" s="1"/>
  <c r="M154" i="11"/>
  <c r="U154" i="11"/>
  <c r="G154" i="11"/>
  <c r="F154" i="11"/>
  <c r="V154" i="11"/>
  <c r="A156" i="11"/>
  <c r="BA156" i="11" s="1"/>
  <c r="BB155" i="11"/>
  <c r="I762" i="11"/>
  <c r="D155" i="11"/>
  <c r="C154" i="11"/>
  <c r="X154" i="11" s="1"/>
  <c r="Z154" i="11" s="1"/>
  <c r="E762" i="11"/>
  <c r="F762" i="11" s="1"/>
  <c r="G763" i="11" s="1"/>
  <c r="B155" i="11"/>
  <c r="AV155" i="11" s="1"/>
  <c r="AU153" i="11"/>
  <c r="AT153" i="11"/>
  <c r="AR153" i="11"/>
  <c r="AS153" i="11"/>
  <c r="AJ153" i="11"/>
  <c r="AL153" i="11"/>
  <c r="AQ153" i="11"/>
  <c r="AO153" i="11"/>
  <c r="AM153" i="11"/>
  <c r="AK153" i="11"/>
  <c r="AN153" i="11"/>
  <c r="AP153" i="11"/>
  <c r="C763" i="11"/>
  <c r="J763" i="11"/>
  <c r="D764" i="11"/>
  <c r="H763" i="11"/>
  <c r="BD152" i="11" l="1"/>
  <c r="BG153" i="11"/>
  <c r="AY155" i="11"/>
  <c r="AW155" i="11"/>
  <c r="BK154" i="11"/>
  <c r="BL154" i="11"/>
  <c r="BM153" i="11"/>
  <c r="AZ153" i="11"/>
  <c r="BD153" i="11" s="1"/>
  <c r="N155" i="11"/>
  <c r="BJ155" i="11" s="1"/>
  <c r="M155" i="11"/>
  <c r="U155" i="11"/>
  <c r="F155" i="11"/>
  <c r="G155" i="11"/>
  <c r="V155" i="11"/>
  <c r="BG154" i="11"/>
  <c r="A157" i="11"/>
  <c r="BA157" i="11" s="1"/>
  <c r="BB156" i="11"/>
  <c r="C155" i="11"/>
  <c r="D156" i="11"/>
  <c r="I763" i="11"/>
  <c r="E763" i="11"/>
  <c r="F763" i="11" s="1"/>
  <c r="G764" i="11" s="1"/>
  <c r="B156" i="11"/>
  <c r="AV156" i="11" s="1"/>
  <c r="AU154" i="11"/>
  <c r="AR154" i="11"/>
  <c r="AS154" i="11"/>
  <c r="AT154" i="11"/>
  <c r="AN154" i="11"/>
  <c r="AP154" i="11"/>
  <c r="AM154" i="11"/>
  <c r="AJ154" i="11"/>
  <c r="AL154" i="11"/>
  <c r="AQ154" i="11"/>
  <c r="AO154" i="11"/>
  <c r="AK154" i="11"/>
  <c r="C764" i="11"/>
  <c r="J764" i="11"/>
  <c r="D765" i="11"/>
  <c r="H764" i="11"/>
  <c r="X155" i="11" l="1"/>
  <c r="Z155" i="11" s="1"/>
  <c r="AY156" i="11"/>
  <c r="AW156" i="11"/>
  <c r="BC153" i="11"/>
  <c r="BM154" i="11"/>
  <c r="BK155" i="11"/>
  <c r="BL155" i="11"/>
  <c r="AZ154" i="11"/>
  <c r="BD154" i="11" s="1"/>
  <c r="N156" i="11"/>
  <c r="BJ156" i="11" s="1"/>
  <c r="M156" i="11"/>
  <c r="U156" i="11"/>
  <c r="G156" i="11"/>
  <c r="F156" i="11"/>
  <c r="V156" i="11"/>
  <c r="A158" i="11"/>
  <c r="BB157" i="11"/>
  <c r="D157" i="11"/>
  <c r="C156" i="11"/>
  <c r="I764" i="11"/>
  <c r="E764" i="11"/>
  <c r="F764" i="11" s="1"/>
  <c r="G765" i="11" s="1"/>
  <c r="B157" i="11"/>
  <c r="AV157" i="11" s="1"/>
  <c r="AU155" i="11"/>
  <c r="AT155" i="11"/>
  <c r="AS155" i="11"/>
  <c r="AR155" i="11"/>
  <c r="AQ155" i="11"/>
  <c r="AO155" i="11"/>
  <c r="AK155" i="11"/>
  <c r="AM155" i="11"/>
  <c r="AN155" i="11"/>
  <c r="AP155" i="11"/>
  <c r="AJ155" i="11"/>
  <c r="AL155" i="11"/>
  <c r="C765" i="11"/>
  <c r="J765" i="11"/>
  <c r="D766" i="11"/>
  <c r="H765" i="11"/>
  <c r="BG155" i="11" l="1"/>
  <c r="X156" i="11"/>
  <c r="Z156" i="11" s="1"/>
  <c r="AY157" i="11"/>
  <c r="AW157" i="11"/>
  <c r="BC154" i="11"/>
  <c r="BM155" i="11"/>
  <c r="BK156" i="11"/>
  <c r="BL156" i="11"/>
  <c r="AZ155" i="11"/>
  <c r="BD155" i="11" s="1"/>
  <c r="N157" i="11"/>
  <c r="BJ157" i="11" s="1"/>
  <c r="M157" i="11"/>
  <c r="U157" i="11"/>
  <c r="F157" i="11"/>
  <c r="G157" i="11"/>
  <c r="V157" i="11"/>
  <c r="A159" i="11"/>
  <c r="BA159" i="11" s="1"/>
  <c r="E765" i="11"/>
  <c r="F765" i="11" s="1"/>
  <c r="G766" i="11" s="1"/>
  <c r="I765" i="11"/>
  <c r="C157" i="11"/>
  <c r="D158" i="11"/>
  <c r="B158" i="11"/>
  <c r="AV158" i="11" s="1"/>
  <c r="AT156" i="11"/>
  <c r="AS156" i="11"/>
  <c r="AR156" i="11"/>
  <c r="AU156" i="11"/>
  <c r="AJ156" i="11"/>
  <c r="AL156" i="11"/>
  <c r="AQ156" i="11"/>
  <c r="AN156" i="11"/>
  <c r="AP156" i="11"/>
  <c r="AO156" i="11"/>
  <c r="AM156" i="11"/>
  <c r="AK156" i="11"/>
  <c r="C766" i="11"/>
  <c r="J766" i="11"/>
  <c r="D767" i="11"/>
  <c r="H766" i="11"/>
  <c r="BG156" i="11" l="1"/>
  <c r="X157" i="11"/>
  <c r="Z157" i="11" s="1"/>
  <c r="AY158" i="11"/>
  <c r="AW158" i="11"/>
  <c r="BC155" i="11"/>
  <c r="BM156" i="11"/>
  <c r="BL157" i="11"/>
  <c r="BK157" i="11"/>
  <c r="AZ156" i="11"/>
  <c r="BD156" i="11" s="1"/>
  <c r="N158" i="11"/>
  <c r="BJ158" i="11" s="1"/>
  <c r="M158" i="11"/>
  <c r="U158" i="11"/>
  <c r="G158" i="11"/>
  <c r="F158" i="11"/>
  <c r="V158" i="11"/>
  <c r="A160" i="11"/>
  <c r="BA160" i="11" s="1"/>
  <c r="BB159" i="11"/>
  <c r="D159" i="11"/>
  <c r="C158" i="11"/>
  <c r="E766" i="11"/>
  <c r="F766" i="11" s="1"/>
  <c r="G767" i="11" s="1"/>
  <c r="I766" i="11"/>
  <c r="B159" i="11"/>
  <c r="AV159" i="11" s="1"/>
  <c r="AT157" i="11"/>
  <c r="AS157" i="11"/>
  <c r="AU157" i="11"/>
  <c r="AR157" i="11"/>
  <c r="AJ157" i="11"/>
  <c r="AL157" i="11"/>
  <c r="AO157" i="11"/>
  <c r="AQ157" i="11"/>
  <c r="AP157" i="11"/>
  <c r="AM157" i="11"/>
  <c r="AK157" i="11"/>
  <c r="AN157" i="11"/>
  <c r="C767" i="11"/>
  <c r="J767" i="11"/>
  <c r="D768" i="11"/>
  <c r="H767" i="11"/>
  <c r="BG157" i="11" l="1"/>
  <c r="X158" i="11"/>
  <c r="Z158" i="11" s="1"/>
  <c r="AY159" i="11"/>
  <c r="AW159" i="11"/>
  <c r="BC156" i="11"/>
  <c r="BM157" i="11"/>
  <c r="BK158" i="11"/>
  <c r="BL158" i="11"/>
  <c r="AZ157" i="11"/>
  <c r="BC157" i="11" s="1"/>
  <c r="N159" i="11"/>
  <c r="BJ159" i="11" s="1"/>
  <c r="M159" i="11"/>
  <c r="U159" i="11"/>
  <c r="F159" i="11"/>
  <c r="G159" i="11"/>
  <c r="V159" i="11"/>
  <c r="A161" i="11"/>
  <c r="BA161" i="11" s="1"/>
  <c r="BB160" i="11"/>
  <c r="I767" i="11"/>
  <c r="E767" i="11"/>
  <c r="F767" i="11" s="1"/>
  <c r="G768" i="11" s="1"/>
  <c r="C159" i="11"/>
  <c r="D160" i="11"/>
  <c r="B160" i="11"/>
  <c r="AV160" i="11" s="1"/>
  <c r="AU158" i="11"/>
  <c r="AR158" i="11"/>
  <c r="AT158" i="11"/>
  <c r="AS158" i="11"/>
  <c r="AN158" i="11"/>
  <c r="AP158" i="11"/>
  <c r="AM158" i="11"/>
  <c r="AJ158" i="11"/>
  <c r="AL158" i="11"/>
  <c r="AQ158" i="11"/>
  <c r="AO158" i="11"/>
  <c r="AK158" i="11"/>
  <c r="C768" i="11"/>
  <c r="J768" i="11"/>
  <c r="D769" i="11"/>
  <c r="H768" i="11"/>
  <c r="BG158" i="11" l="1"/>
  <c r="X159" i="11"/>
  <c r="Z159" i="11" s="1"/>
  <c r="AY160" i="11"/>
  <c r="AW160" i="11"/>
  <c r="BM158" i="11"/>
  <c r="BK159" i="11"/>
  <c r="BL159" i="11"/>
  <c r="BD157" i="11"/>
  <c r="AZ158" i="11"/>
  <c r="N160" i="11"/>
  <c r="BJ160" i="11" s="1"/>
  <c r="M160" i="11"/>
  <c r="U160" i="11"/>
  <c r="G160" i="11"/>
  <c r="F160" i="11"/>
  <c r="V160" i="11"/>
  <c r="A162" i="11"/>
  <c r="BA162" i="11" s="1"/>
  <c r="BB161" i="11"/>
  <c r="D161" i="11"/>
  <c r="C160" i="11"/>
  <c r="I768" i="11"/>
  <c r="E768" i="11"/>
  <c r="F768" i="11" s="1"/>
  <c r="G769" i="11" s="1"/>
  <c r="B161" i="11"/>
  <c r="AV161" i="11" s="1"/>
  <c r="AU159" i="11"/>
  <c r="AS159" i="11"/>
  <c r="AR159" i="11"/>
  <c r="AT159" i="11"/>
  <c r="AJ159" i="11"/>
  <c r="AL159" i="11"/>
  <c r="AQ159" i="11"/>
  <c r="AN159" i="11"/>
  <c r="AO159" i="11"/>
  <c r="AM159" i="11"/>
  <c r="AK159" i="11"/>
  <c r="AP159" i="11"/>
  <c r="C769" i="11"/>
  <c r="J769" i="11"/>
  <c r="D770" i="11"/>
  <c r="H769" i="11"/>
  <c r="BG159" i="11" l="1"/>
  <c r="X160" i="11"/>
  <c r="Z160" i="11" s="1"/>
  <c r="AY161" i="11"/>
  <c r="AW161" i="11"/>
  <c r="BL160" i="11"/>
  <c r="BK160" i="11"/>
  <c r="BM159" i="11"/>
  <c r="AZ159" i="11"/>
  <c r="BD159" i="11" s="1"/>
  <c r="N161" i="11"/>
  <c r="BJ161" i="11" s="1"/>
  <c r="M161" i="11"/>
  <c r="U161" i="11"/>
  <c r="G161" i="11"/>
  <c r="F161" i="11"/>
  <c r="V161" i="11"/>
  <c r="A163" i="11"/>
  <c r="BA163" i="11" s="1"/>
  <c r="BB162" i="11"/>
  <c r="I769" i="11"/>
  <c r="E769" i="11"/>
  <c r="F769" i="11" s="1"/>
  <c r="G770" i="11" s="1"/>
  <c r="C161" i="11"/>
  <c r="D162" i="11"/>
  <c r="B162" i="11"/>
  <c r="AV162" i="11" s="1"/>
  <c r="AS160" i="11"/>
  <c r="AU160" i="11"/>
  <c r="AT160" i="11"/>
  <c r="AR160" i="11"/>
  <c r="AM160" i="11"/>
  <c r="AK160" i="11"/>
  <c r="AN160" i="11"/>
  <c r="AP160" i="11"/>
  <c r="AO160" i="11"/>
  <c r="AJ160" i="11"/>
  <c r="AL160" i="11"/>
  <c r="AQ160" i="11"/>
  <c r="C770" i="11"/>
  <c r="J770" i="11"/>
  <c r="D771" i="11"/>
  <c r="H770" i="11"/>
  <c r="BG160" i="11" l="1"/>
  <c r="AZ160" i="11"/>
  <c r="BC160" i="11" s="1"/>
  <c r="X161" i="11"/>
  <c r="Z161" i="11" s="1"/>
  <c r="AY162" i="11"/>
  <c r="AW162" i="11"/>
  <c r="BC159" i="11"/>
  <c r="BM160" i="11"/>
  <c r="BK161" i="11"/>
  <c r="BL161" i="11"/>
  <c r="N162" i="11"/>
  <c r="BJ162" i="11" s="1"/>
  <c r="M162" i="11"/>
  <c r="U162" i="11"/>
  <c r="G162" i="11"/>
  <c r="F162" i="11"/>
  <c r="V162" i="11"/>
  <c r="A164" i="11"/>
  <c r="BB163" i="11"/>
  <c r="D163" i="11"/>
  <c r="C162" i="11"/>
  <c r="X162" i="11" s="1"/>
  <c r="Z162" i="11" s="1"/>
  <c r="I770" i="11"/>
  <c r="E770" i="11"/>
  <c r="F770" i="11" s="1"/>
  <c r="G771" i="11" s="1"/>
  <c r="B163" i="11"/>
  <c r="AV163" i="11" s="1"/>
  <c r="AT161" i="11"/>
  <c r="AU161" i="11"/>
  <c r="AR161" i="11"/>
  <c r="AS161" i="11"/>
  <c r="AN161" i="11"/>
  <c r="AP161" i="11"/>
  <c r="AJ161" i="11"/>
  <c r="AL161" i="11"/>
  <c r="AM161" i="11"/>
  <c r="AK161" i="11"/>
  <c r="AQ161" i="11"/>
  <c r="AO161" i="11"/>
  <c r="H771" i="11"/>
  <c r="C771" i="11"/>
  <c r="D772" i="11"/>
  <c r="J771" i="11"/>
  <c r="BD160" i="11" l="1"/>
  <c r="BG161" i="11"/>
  <c r="AY163" i="11"/>
  <c r="AW163" i="11"/>
  <c r="BK162" i="11"/>
  <c r="BL162" i="11"/>
  <c r="BM161" i="11"/>
  <c r="AZ161" i="11"/>
  <c r="BD161" i="11" s="1"/>
  <c r="N163" i="11"/>
  <c r="BJ163" i="11" s="1"/>
  <c r="M163" i="11"/>
  <c r="U163" i="11"/>
  <c r="G163" i="11"/>
  <c r="F163" i="11"/>
  <c r="V163" i="11"/>
  <c r="BG162" i="11"/>
  <c r="A165" i="11"/>
  <c r="BA165" i="11" s="1"/>
  <c r="E771" i="11"/>
  <c r="F771" i="11" s="1"/>
  <c r="G772" i="11" s="1"/>
  <c r="I771" i="11"/>
  <c r="C163" i="11"/>
  <c r="D164" i="11"/>
  <c r="B164" i="11"/>
  <c r="AV164" i="11" s="1"/>
  <c r="AT162" i="11"/>
  <c r="AR162" i="11"/>
  <c r="AU162" i="11"/>
  <c r="AS162" i="11"/>
  <c r="AN162" i="11"/>
  <c r="AP162" i="11"/>
  <c r="AM162" i="11"/>
  <c r="AJ162" i="11"/>
  <c r="AL162" i="11"/>
  <c r="AK162" i="11"/>
  <c r="AQ162" i="11"/>
  <c r="AO162" i="11"/>
  <c r="C772" i="11"/>
  <c r="J772" i="11"/>
  <c r="H772" i="11"/>
  <c r="D773" i="11"/>
  <c r="X163" i="11" l="1"/>
  <c r="Z163" i="11" s="1"/>
  <c r="AY164" i="11"/>
  <c r="AW164" i="11"/>
  <c r="BC161" i="11"/>
  <c r="BM162" i="11"/>
  <c r="BK163" i="11"/>
  <c r="BL163" i="11"/>
  <c r="AZ162" i="11"/>
  <c r="BC162" i="11" s="1"/>
  <c r="N164" i="11"/>
  <c r="BJ164" i="11" s="1"/>
  <c r="M164" i="11"/>
  <c r="U164" i="11"/>
  <c r="G164" i="11"/>
  <c r="F164" i="11"/>
  <c r="V164" i="11"/>
  <c r="A166" i="11"/>
  <c r="BA166" i="11" s="1"/>
  <c r="BB165" i="11"/>
  <c r="D165" i="11"/>
  <c r="C164" i="11"/>
  <c r="E772" i="11"/>
  <c r="F772" i="11" s="1"/>
  <c r="G773" i="11" s="1"/>
  <c r="I772" i="11"/>
  <c r="B165" i="11"/>
  <c r="AV165" i="11" s="1"/>
  <c r="AU163" i="11"/>
  <c r="AT163" i="11"/>
  <c r="AS163" i="11"/>
  <c r="AR163" i="11"/>
  <c r="AJ163" i="11"/>
  <c r="AL163" i="11"/>
  <c r="AN163" i="11"/>
  <c r="AQ163" i="11"/>
  <c r="AO163" i="11"/>
  <c r="AM163" i="11"/>
  <c r="AK163" i="11"/>
  <c r="AP163" i="11"/>
  <c r="C773" i="11"/>
  <c r="H773" i="11"/>
  <c r="D774" i="11"/>
  <c r="J773" i="11"/>
  <c r="AZ163" i="11" l="1"/>
  <c r="BD163" i="11" s="1"/>
  <c r="BG163" i="11"/>
  <c r="X164" i="11"/>
  <c r="Z164" i="11" s="1"/>
  <c r="AY165" i="11"/>
  <c r="AW165" i="11"/>
  <c r="BD162" i="11"/>
  <c r="BK164" i="11"/>
  <c r="BL164" i="11"/>
  <c r="BM163" i="11"/>
  <c r="N165" i="11"/>
  <c r="BJ165" i="11" s="1"/>
  <c r="M165" i="11"/>
  <c r="U165" i="11"/>
  <c r="G165" i="11"/>
  <c r="F165" i="11"/>
  <c r="V165" i="11"/>
  <c r="BC163" i="11"/>
  <c r="A167" i="11"/>
  <c r="BA167" i="11" s="1"/>
  <c r="BB166" i="11"/>
  <c r="I773" i="11"/>
  <c r="E773" i="11"/>
  <c r="F773" i="11" s="1"/>
  <c r="G774" i="11" s="1"/>
  <c r="C165" i="11"/>
  <c r="D166" i="11"/>
  <c r="B166" i="11"/>
  <c r="AV166" i="11" s="1"/>
  <c r="AU164" i="11"/>
  <c r="AS164" i="11"/>
  <c r="AT164" i="11"/>
  <c r="AR164" i="11"/>
  <c r="AQ164" i="11"/>
  <c r="AO164" i="11"/>
  <c r="AJ164" i="11"/>
  <c r="AL164" i="11"/>
  <c r="AM164" i="11"/>
  <c r="AK164" i="11"/>
  <c r="AN164" i="11"/>
  <c r="AP164" i="11"/>
  <c r="C774" i="11"/>
  <c r="D775" i="11"/>
  <c r="J774" i="11"/>
  <c r="H774" i="11"/>
  <c r="X165" i="11" l="1"/>
  <c r="Z165" i="11" s="1"/>
  <c r="BG164" i="11"/>
  <c r="AY166" i="11"/>
  <c r="AW166" i="11"/>
  <c r="BM164" i="11"/>
  <c r="BL165" i="11"/>
  <c r="BK165" i="11"/>
  <c r="AZ164" i="11"/>
  <c r="N166" i="11"/>
  <c r="BJ166" i="11" s="1"/>
  <c r="M166" i="11"/>
  <c r="U166" i="11"/>
  <c r="F166" i="11"/>
  <c r="G166" i="11"/>
  <c r="V166" i="11"/>
  <c r="A168" i="11"/>
  <c r="BA168" i="11" s="1"/>
  <c r="BB167" i="11"/>
  <c r="D167" i="11"/>
  <c r="C166" i="11"/>
  <c r="I774" i="11"/>
  <c r="E774" i="11"/>
  <c r="F774" i="11" s="1"/>
  <c r="G775" i="11" s="1"/>
  <c r="B167" i="11"/>
  <c r="AV167" i="11" s="1"/>
  <c r="AT165" i="11"/>
  <c r="AU165" i="11"/>
  <c r="AS165" i="11"/>
  <c r="AR165" i="11"/>
  <c r="AQ165" i="11"/>
  <c r="AO165" i="11"/>
  <c r="AJ165" i="11"/>
  <c r="AM165" i="11"/>
  <c r="AK165" i="11"/>
  <c r="AN165" i="11"/>
  <c r="AP165" i="11"/>
  <c r="AL165" i="11"/>
  <c r="C775" i="11"/>
  <c r="J775" i="11"/>
  <c r="D776" i="11"/>
  <c r="H775" i="11"/>
  <c r="BG165" i="11" l="1"/>
  <c r="AZ165" i="11"/>
  <c r="BD165" i="11" s="1"/>
  <c r="X166" i="11"/>
  <c r="Z166" i="11" s="1"/>
  <c r="AY167" i="11"/>
  <c r="AW167" i="11"/>
  <c r="BM165" i="11"/>
  <c r="BK166" i="11"/>
  <c r="BL166" i="11"/>
  <c r="N167" i="11"/>
  <c r="BJ167" i="11" s="1"/>
  <c r="M167" i="11"/>
  <c r="U167" i="11"/>
  <c r="F167" i="11"/>
  <c r="G167" i="11"/>
  <c r="V167" i="11"/>
  <c r="A169" i="11"/>
  <c r="BA169" i="11" s="1"/>
  <c r="BB168" i="11"/>
  <c r="I775" i="11"/>
  <c r="E775" i="11"/>
  <c r="F775" i="11" s="1"/>
  <c r="G776" i="11" s="1"/>
  <c r="C167" i="11"/>
  <c r="D168" i="11"/>
  <c r="B168" i="11"/>
  <c r="AV168" i="11" s="1"/>
  <c r="AR166" i="11"/>
  <c r="AU166" i="11"/>
  <c r="AS166" i="11"/>
  <c r="AT166" i="11"/>
  <c r="AJ166" i="11"/>
  <c r="AL166" i="11"/>
  <c r="AN166" i="11"/>
  <c r="AQ166" i="11"/>
  <c r="AO166" i="11"/>
  <c r="AP166" i="11"/>
  <c r="AM166" i="11"/>
  <c r="AK166" i="11"/>
  <c r="C776" i="11"/>
  <c r="J776" i="11"/>
  <c r="H776" i="11"/>
  <c r="D777" i="11"/>
  <c r="BC165" i="11" l="1"/>
  <c r="X167" i="11"/>
  <c r="Z167" i="11" s="1"/>
  <c r="AZ166" i="11"/>
  <c r="BD166" i="11" s="1"/>
  <c r="BG166" i="11"/>
  <c r="AY168" i="11"/>
  <c r="AW168" i="11"/>
  <c r="BM166" i="11"/>
  <c r="BK167" i="11"/>
  <c r="BL167" i="11"/>
  <c r="N168" i="11"/>
  <c r="BJ168" i="11" s="1"/>
  <c r="M168" i="11"/>
  <c r="U168" i="11"/>
  <c r="G168" i="11"/>
  <c r="F168" i="11"/>
  <c r="V168" i="11"/>
  <c r="A170" i="11"/>
  <c r="BA170" i="11" s="1"/>
  <c r="BB169" i="11"/>
  <c r="I776" i="11"/>
  <c r="D169" i="11"/>
  <c r="C168" i="11"/>
  <c r="X168" i="11" s="1"/>
  <c r="Z168" i="11" s="1"/>
  <c r="E776" i="11"/>
  <c r="F776" i="11" s="1"/>
  <c r="G777" i="11" s="1"/>
  <c r="B169" i="11"/>
  <c r="AV169" i="11" s="1"/>
  <c r="AU167" i="11"/>
  <c r="AT167" i="11"/>
  <c r="AR167" i="11"/>
  <c r="AS167" i="11"/>
  <c r="AM167" i="11"/>
  <c r="AK167" i="11"/>
  <c r="AQ167" i="11"/>
  <c r="AN167" i="11"/>
  <c r="AP167" i="11"/>
  <c r="AO167" i="11"/>
  <c r="AJ167" i="11"/>
  <c r="AL167" i="11"/>
  <c r="C777" i="11"/>
  <c r="J777" i="11"/>
  <c r="D778" i="11"/>
  <c r="H777" i="11"/>
  <c r="BG167" i="11" l="1"/>
  <c r="BC166" i="11"/>
  <c r="AY169" i="11"/>
  <c r="AW169" i="11"/>
  <c r="BG168" i="11"/>
  <c r="BL168" i="11"/>
  <c r="BK168" i="11"/>
  <c r="BM167" i="11"/>
  <c r="AZ167" i="11"/>
  <c r="BD167" i="11" s="1"/>
  <c r="N169" i="11"/>
  <c r="BJ169" i="11" s="1"/>
  <c r="M169" i="11"/>
  <c r="U169" i="11"/>
  <c r="G169" i="11"/>
  <c r="F169" i="11"/>
  <c r="V169" i="11"/>
  <c r="A171" i="11"/>
  <c r="BA171" i="11" s="1"/>
  <c r="BB170" i="11"/>
  <c r="I777" i="11"/>
  <c r="E777" i="11"/>
  <c r="F777" i="11" s="1"/>
  <c r="G778" i="11" s="1"/>
  <c r="C169" i="11"/>
  <c r="D170" i="11"/>
  <c r="B170" i="11"/>
  <c r="AV170" i="11" s="1"/>
  <c r="AU168" i="11"/>
  <c r="AS168" i="11"/>
  <c r="AR168" i="11"/>
  <c r="AT168" i="11"/>
  <c r="AQ168" i="11"/>
  <c r="AO168" i="11"/>
  <c r="AZ168" i="11"/>
  <c r="AM168" i="11"/>
  <c r="AK168" i="11"/>
  <c r="AN168" i="11"/>
  <c r="AP168" i="11"/>
  <c r="AJ168" i="11"/>
  <c r="AL168" i="11"/>
  <c r="C778" i="11"/>
  <c r="J778" i="11"/>
  <c r="H778" i="11"/>
  <c r="D779" i="11"/>
  <c r="X169" i="11" l="1"/>
  <c r="Z169" i="11" s="1"/>
  <c r="AY170" i="11"/>
  <c r="AW170" i="11"/>
  <c r="BC167" i="11"/>
  <c r="BM168" i="11"/>
  <c r="BK169" i="11"/>
  <c r="BL169" i="11"/>
  <c r="N170" i="11"/>
  <c r="BJ170" i="11" s="1"/>
  <c r="M170" i="11"/>
  <c r="U170" i="11"/>
  <c r="G170" i="11"/>
  <c r="F170" i="11"/>
  <c r="V170" i="11"/>
  <c r="BD168" i="11"/>
  <c r="BC168" i="11"/>
  <c r="A172" i="11"/>
  <c r="BA172" i="11" s="1"/>
  <c r="BB171" i="11"/>
  <c r="D171" i="11"/>
  <c r="C170" i="11"/>
  <c r="I778" i="11"/>
  <c r="E778" i="11"/>
  <c r="F778" i="11" s="1"/>
  <c r="G779" i="11" s="1"/>
  <c r="B171" i="11"/>
  <c r="AV171" i="11" s="1"/>
  <c r="AU169" i="11"/>
  <c r="AT169" i="11"/>
  <c r="AS169" i="11"/>
  <c r="AR169" i="11"/>
  <c r="AQ169" i="11"/>
  <c r="AO169" i="11"/>
  <c r="AM169" i="11"/>
  <c r="AK169" i="11"/>
  <c r="AJ169" i="11"/>
  <c r="AN169" i="11"/>
  <c r="AP169" i="11"/>
  <c r="AL169" i="11"/>
  <c r="C779" i="11"/>
  <c r="J779" i="11"/>
  <c r="D780" i="11"/>
  <c r="H779" i="11"/>
  <c r="X170" i="11" l="1"/>
  <c r="Z170" i="11" s="1"/>
  <c r="BG169" i="11"/>
  <c r="AY171" i="11"/>
  <c r="AW171" i="11"/>
  <c r="BK170" i="11"/>
  <c r="BL170" i="11"/>
  <c r="BM169" i="11"/>
  <c r="AZ169" i="11"/>
  <c r="BC169" i="11" s="1"/>
  <c r="N171" i="11"/>
  <c r="BJ171" i="11" s="1"/>
  <c r="M171" i="11"/>
  <c r="U171" i="11"/>
  <c r="F171" i="11"/>
  <c r="G171" i="11"/>
  <c r="V171" i="11"/>
  <c r="A173" i="11"/>
  <c r="BA173" i="11" s="1"/>
  <c r="BB172" i="11"/>
  <c r="I779" i="11"/>
  <c r="E779" i="11"/>
  <c r="F779" i="11" s="1"/>
  <c r="G780" i="11" s="1"/>
  <c r="C171" i="11"/>
  <c r="D172" i="11"/>
  <c r="B172" i="11"/>
  <c r="AV172" i="11" s="1"/>
  <c r="AR170" i="11"/>
  <c r="AS170" i="11"/>
  <c r="AT170" i="11"/>
  <c r="AU170" i="11"/>
  <c r="AM170" i="11"/>
  <c r="AK170" i="11"/>
  <c r="AN170" i="11"/>
  <c r="AP170" i="11"/>
  <c r="AQ170" i="11"/>
  <c r="AO170" i="11"/>
  <c r="AJ170" i="11"/>
  <c r="AL170" i="11"/>
  <c r="C780" i="11"/>
  <c r="J780" i="11"/>
  <c r="H780" i="11"/>
  <c r="D781" i="11"/>
  <c r="BG170" i="11" l="1"/>
  <c r="AZ170" i="11"/>
  <c r="BD170" i="11" s="1"/>
  <c r="X171" i="11"/>
  <c r="Z171" i="11" s="1"/>
  <c r="AY172" i="11"/>
  <c r="AW172" i="11"/>
  <c r="BD169" i="11"/>
  <c r="BM170" i="11"/>
  <c r="BK171" i="11"/>
  <c r="BL171" i="11"/>
  <c r="N172" i="11"/>
  <c r="BJ172" i="11" s="1"/>
  <c r="M172" i="11"/>
  <c r="U172" i="11"/>
  <c r="G172" i="11"/>
  <c r="F172" i="11"/>
  <c r="V172" i="11"/>
  <c r="A174" i="11"/>
  <c r="BA174" i="11" s="1"/>
  <c r="BB173" i="11"/>
  <c r="D173" i="11"/>
  <c r="C172" i="11"/>
  <c r="I780" i="11"/>
  <c r="E780" i="11"/>
  <c r="F780" i="11" s="1"/>
  <c r="G781" i="11" s="1"/>
  <c r="B173" i="11"/>
  <c r="AV173" i="11" s="1"/>
  <c r="AU171" i="11"/>
  <c r="AT171" i="11"/>
  <c r="AS171" i="11"/>
  <c r="AR171" i="11"/>
  <c r="AM171" i="11"/>
  <c r="AK171" i="11"/>
  <c r="AN171" i="11"/>
  <c r="AP171" i="11"/>
  <c r="AO171" i="11"/>
  <c r="AJ171" i="11"/>
  <c r="AL171" i="11"/>
  <c r="AQ171" i="11"/>
  <c r="C781" i="11"/>
  <c r="J781" i="11"/>
  <c r="D782" i="11"/>
  <c r="H781" i="11"/>
  <c r="BC170" i="11" l="1"/>
  <c r="X172" i="11"/>
  <c r="Z172" i="11" s="1"/>
  <c r="BG171" i="11"/>
  <c r="AY173" i="11"/>
  <c r="AW173" i="11"/>
  <c r="BK172" i="11"/>
  <c r="BL172" i="11"/>
  <c r="BM171" i="11"/>
  <c r="AZ171" i="11"/>
  <c r="BC171" i="11" s="1"/>
  <c r="N173" i="11"/>
  <c r="BJ173" i="11" s="1"/>
  <c r="M173" i="11"/>
  <c r="U173" i="11"/>
  <c r="G173" i="11"/>
  <c r="F173" i="11"/>
  <c r="V173" i="11"/>
  <c r="A175" i="11"/>
  <c r="BB174" i="11"/>
  <c r="I781" i="11"/>
  <c r="E781" i="11"/>
  <c r="F781" i="11" s="1"/>
  <c r="G782" i="11" s="1"/>
  <c r="C173" i="11"/>
  <c r="D174" i="11"/>
  <c r="B174" i="11"/>
  <c r="AV174" i="11" s="1"/>
  <c r="AT172" i="11"/>
  <c r="AS172" i="11"/>
  <c r="AR172" i="11"/>
  <c r="AU172" i="11"/>
  <c r="AN172" i="11"/>
  <c r="AP172" i="11"/>
  <c r="AJ172" i="11"/>
  <c r="AL172" i="11"/>
  <c r="AQ172" i="11"/>
  <c r="AO172" i="11"/>
  <c r="AM172" i="11"/>
  <c r="AK172" i="11"/>
  <c r="D783" i="11"/>
  <c r="C782" i="11"/>
  <c r="J782" i="11"/>
  <c r="H782" i="11"/>
  <c r="BG172" i="11" l="1"/>
  <c r="X173" i="11"/>
  <c r="Z173" i="11" s="1"/>
  <c r="AY174" i="11"/>
  <c r="AW174" i="11"/>
  <c r="BD171" i="11"/>
  <c r="BM172" i="11"/>
  <c r="BL173" i="11"/>
  <c r="BK173" i="11"/>
  <c r="AZ172" i="11"/>
  <c r="BD172" i="11" s="1"/>
  <c r="N174" i="11"/>
  <c r="BJ174" i="11" s="1"/>
  <c r="M174" i="11"/>
  <c r="U174" i="11"/>
  <c r="G174" i="11"/>
  <c r="F174" i="11"/>
  <c r="V174" i="11"/>
  <c r="A176" i="11"/>
  <c r="BA176" i="11" s="1"/>
  <c r="D175" i="11"/>
  <c r="C174" i="11"/>
  <c r="I782" i="11"/>
  <c r="E782" i="11"/>
  <c r="F782" i="11" s="1"/>
  <c r="G783" i="11" s="1"/>
  <c r="B175" i="11"/>
  <c r="AV175" i="11" s="1"/>
  <c r="AT173" i="11"/>
  <c r="AU173" i="11"/>
  <c r="AS173" i="11"/>
  <c r="AR173" i="11"/>
  <c r="AN173" i="11"/>
  <c r="AP173" i="11"/>
  <c r="AK173" i="11"/>
  <c r="AJ173" i="11"/>
  <c r="AL173" i="11"/>
  <c r="AQ173" i="11"/>
  <c r="AO173" i="11"/>
  <c r="AM173" i="11"/>
  <c r="D784" i="11"/>
  <c r="H783" i="11"/>
  <c r="C783" i="11"/>
  <c r="J783" i="11"/>
  <c r="BG173" i="11" l="1"/>
  <c r="X174" i="11"/>
  <c r="Z174" i="11" s="1"/>
  <c r="AY175" i="11"/>
  <c r="AW175" i="11"/>
  <c r="BC172" i="11"/>
  <c r="BM173" i="11"/>
  <c r="BK174" i="11"/>
  <c r="BL174" i="11"/>
  <c r="AZ173" i="11"/>
  <c r="BD173" i="11" s="1"/>
  <c r="N175" i="11"/>
  <c r="BJ175" i="11" s="1"/>
  <c r="M175" i="11"/>
  <c r="U175" i="11"/>
  <c r="F175" i="11"/>
  <c r="G175" i="11"/>
  <c r="V175" i="11"/>
  <c r="A177" i="11"/>
  <c r="BA177" i="11" s="1"/>
  <c r="BB176" i="11"/>
  <c r="I783" i="11"/>
  <c r="E783" i="11"/>
  <c r="F783" i="11" s="1"/>
  <c r="G784" i="11" s="1"/>
  <c r="C175" i="11"/>
  <c r="D176" i="11"/>
  <c r="B176" i="11"/>
  <c r="AV176" i="11" s="1"/>
  <c r="AU174" i="11"/>
  <c r="AR174" i="11"/>
  <c r="AT174" i="11"/>
  <c r="AS174" i="11"/>
  <c r="AN174" i="11"/>
  <c r="AP174" i="11"/>
  <c r="AJ174" i="11"/>
  <c r="AL174" i="11"/>
  <c r="AQ174" i="11"/>
  <c r="AO174" i="11"/>
  <c r="AM174" i="11"/>
  <c r="AK174" i="11"/>
  <c r="D785" i="11"/>
  <c r="H784" i="11"/>
  <c r="C784" i="11"/>
  <c r="J784" i="11"/>
  <c r="AZ174" i="11" l="1"/>
  <c r="BD174" i="11" s="1"/>
  <c r="BG174" i="11"/>
  <c r="X175" i="11"/>
  <c r="Z175" i="11" s="1"/>
  <c r="AY176" i="11"/>
  <c r="AW176" i="11"/>
  <c r="BC173" i="11"/>
  <c r="BM174" i="11"/>
  <c r="BK175" i="11"/>
  <c r="BL175" i="11"/>
  <c r="N176" i="11"/>
  <c r="BJ176" i="11" s="1"/>
  <c r="M176" i="11"/>
  <c r="U176" i="11"/>
  <c r="G176" i="11"/>
  <c r="F176" i="11"/>
  <c r="V176" i="11"/>
  <c r="A178" i="11"/>
  <c r="BA178" i="11" s="1"/>
  <c r="BB177" i="11"/>
  <c r="E784" i="11"/>
  <c r="F784" i="11" s="1"/>
  <c r="G785" i="11" s="1"/>
  <c r="D177" i="11"/>
  <c r="C176" i="11"/>
  <c r="I784" i="11"/>
  <c r="B177" i="11"/>
  <c r="AV177" i="11" s="1"/>
  <c r="AU175" i="11"/>
  <c r="AS175" i="11"/>
  <c r="AT175" i="11"/>
  <c r="AR175" i="11"/>
  <c r="AN175" i="11"/>
  <c r="AP175" i="11"/>
  <c r="AJ175" i="11"/>
  <c r="AL175" i="11"/>
  <c r="AQ175" i="11"/>
  <c r="AO175" i="11"/>
  <c r="AM175" i="11"/>
  <c r="AK175" i="11"/>
  <c r="D786" i="11"/>
  <c r="H785" i="11"/>
  <c r="C785" i="11"/>
  <c r="J785" i="11"/>
  <c r="AZ175" i="11" l="1"/>
  <c r="BC174" i="11"/>
  <c r="X176" i="11"/>
  <c r="Z176" i="11" s="1"/>
  <c r="BG175" i="11"/>
  <c r="AY177" i="11"/>
  <c r="AW177" i="11"/>
  <c r="BL176" i="11"/>
  <c r="BK176" i="11"/>
  <c r="BM175" i="11"/>
  <c r="N177" i="11"/>
  <c r="BJ177" i="11" s="1"/>
  <c r="M177" i="11"/>
  <c r="U177" i="11"/>
  <c r="F177" i="11"/>
  <c r="G177" i="11"/>
  <c r="V177" i="11"/>
  <c r="A179" i="11"/>
  <c r="BA179" i="11" s="1"/>
  <c r="BB178" i="11"/>
  <c r="I785" i="11"/>
  <c r="C177" i="11"/>
  <c r="X177" i="11" s="1"/>
  <c r="Z177" i="11" s="1"/>
  <c r="D178" i="11"/>
  <c r="E785" i="11"/>
  <c r="F785" i="11" s="1"/>
  <c r="G786" i="11" s="1"/>
  <c r="B178" i="11"/>
  <c r="AV178" i="11" s="1"/>
  <c r="AU176" i="11"/>
  <c r="AS176" i="11"/>
  <c r="AT176" i="11"/>
  <c r="AR176" i="11"/>
  <c r="AM176" i="11"/>
  <c r="AK176" i="11"/>
  <c r="AO176" i="11"/>
  <c r="AN176" i="11"/>
  <c r="AP176" i="11"/>
  <c r="AQ176" i="11"/>
  <c r="AJ176" i="11"/>
  <c r="AL176" i="11"/>
  <c r="D787" i="11"/>
  <c r="H786" i="11"/>
  <c r="C786" i="11"/>
  <c r="J786" i="11"/>
  <c r="BG176" i="11" l="1"/>
  <c r="AY178" i="11"/>
  <c r="AW178" i="11"/>
  <c r="BM176" i="11"/>
  <c r="BK177" i="11"/>
  <c r="BL177" i="11"/>
  <c r="AZ176" i="11"/>
  <c r="BC176" i="11" s="1"/>
  <c r="N178" i="11"/>
  <c r="BJ178" i="11" s="1"/>
  <c r="M178" i="11"/>
  <c r="U178" i="11"/>
  <c r="G178" i="11"/>
  <c r="F178" i="11"/>
  <c r="V178" i="11"/>
  <c r="BG177" i="11"/>
  <c r="A180" i="11"/>
  <c r="BA180" i="11" s="1"/>
  <c r="BB179" i="11"/>
  <c r="E786" i="11"/>
  <c r="F786" i="11" s="1"/>
  <c r="G787" i="11" s="1"/>
  <c r="D179" i="11"/>
  <c r="C178" i="11"/>
  <c r="I786" i="11"/>
  <c r="B179" i="11"/>
  <c r="AV179" i="11" s="1"/>
  <c r="AT177" i="11"/>
  <c r="AR177" i="11"/>
  <c r="AU177" i="11"/>
  <c r="AS177" i="11"/>
  <c r="AN177" i="11"/>
  <c r="AP177" i="11"/>
  <c r="AK177" i="11"/>
  <c r="AJ177" i="11"/>
  <c r="AL177" i="11"/>
  <c r="AQ177" i="11"/>
  <c r="AO177" i="11"/>
  <c r="AM177" i="11"/>
  <c r="D788" i="11"/>
  <c r="H787" i="11"/>
  <c r="C787" i="11"/>
  <c r="J787" i="11"/>
  <c r="X178" i="11" l="1"/>
  <c r="Z178" i="11" s="1"/>
  <c r="AY179" i="11"/>
  <c r="AW179" i="11"/>
  <c r="BD176" i="11"/>
  <c r="BL178" i="11"/>
  <c r="BK178" i="11"/>
  <c r="BM177" i="11"/>
  <c r="AZ177" i="11"/>
  <c r="BC177" i="11" s="1"/>
  <c r="N179" i="11"/>
  <c r="BJ179" i="11" s="1"/>
  <c r="M179" i="11"/>
  <c r="U179" i="11"/>
  <c r="G179" i="11"/>
  <c r="F179" i="11"/>
  <c r="V179" i="11"/>
  <c r="A181" i="11"/>
  <c r="BA181" i="11" s="1"/>
  <c r="BB180" i="11"/>
  <c r="E787" i="11"/>
  <c r="F787" i="11" s="1"/>
  <c r="G788" i="11" s="1"/>
  <c r="I787" i="11"/>
  <c r="C179" i="11"/>
  <c r="D180" i="11"/>
  <c r="B180" i="11"/>
  <c r="AV180" i="11" s="1"/>
  <c r="AT178" i="11"/>
  <c r="AR178" i="11"/>
  <c r="AU178" i="11"/>
  <c r="AS178" i="11"/>
  <c r="AQ178" i="11"/>
  <c r="AO178" i="11"/>
  <c r="AJ178" i="11"/>
  <c r="AL178" i="11"/>
  <c r="AM178" i="11"/>
  <c r="AK178" i="11"/>
  <c r="AN178" i="11"/>
  <c r="AP178" i="11"/>
  <c r="D789" i="11"/>
  <c r="H788" i="11"/>
  <c r="C788" i="11"/>
  <c r="J788" i="11"/>
  <c r="X179" i="11" l="1"/>
  <c r="Z179" i="11" s="1"/>
  <c r="AZ178" i="11"/>
  <c r="BD178" i="11" s="1"/>
  <c r="BG178" i="11"/>
  <c r="AY180" i="11"/>
  <c r="AW180" i="11"/>
  <c r="BD177" i="11"/>
  <c r="BM178" i="11"/>
  <c r="BK179" i="11"/>
  <c r="BL179" i="11"/>
  <c r="N180" i="11"/>
  <c r="BJ180" i="11" s="1"/>
  <c r="M180" i="11"/>
  <c r="U180" i="11"/>
  <c r="G180" i="11"/>
  <c r="F180" i="11"/>
  <c r="V180" i="11"/>
  <c r="A182" i="11"/>
  <c r="BA182" i="11" s="1"/>
  <c r="BB181" i="11"/>
  <c r="E788" i="11"/>
  <c r="F788" i="11" s="1"/>
  <c r="G789" i="11" s="1"/>
  <c r="D181" i="11"/>
  <c r="C180" i="11"/>
  <c r="X180" i="11" s="1"/>
  <c r="Z180" i="11" s="1"/>
  <c r="I788" i="11"/>
  <c r="B181" i="11"/>
  <c r="AV181" i="11" s="1"/>
  <c r="AU179" i="11"/>
  <c r="AT179" i="11"/>
  <c r="AS179" i="11"/>
  <c r="AR179" i="11"/>
  <c r="AM179" i="11"/>
  <c r="AK179" i="11"/>
  <c r="AQ179" i="11"/>
  <c r="AO179" i="11"/>
  <c r="AN179" i="11"/>
  <c r="AP179" i="11"/>
  <c r="AJ179" i="11"/>
  <c r="AL179" i="11"/>
  <c r="D790" i="11"/>
  <c r="H789" i="11"/>
  <c r="C789" i="11"/>
  <c r="J789" i="11"/>
  <c r="BG179" i="11" l="1"/>
  <c r="BC178" i="11"/>
  <c r="AY181" i="11"/>
  <c r="AW181" i="11"/>
  <c r="BG180" i="11"/>
  <c r="BM179" i="11"/>
  <c r="BK180" i="11"/>
  <c r="BL180" i="11"/>
  <c r="AZ179" i="11"/>
  <c r="BC179" i="11" s="1"/>
  <c r="N181" i="11"/>
  <c r="BJ181" i="11" s="1"/>
  <c r="M181" i="11"/>
  <c r="U181" i="11"/>
  <c r="G181" i="11"/>
  <c r="F181" i="11"/>
  <c r="V181" i="11"/>
  <c r="A183" i="11"/>
  <c r="BA183" i="11" s="1"/>
  <c r="BB182" i="11"/>
  <c r="I789" i="11"/>
  <c r="C181" i="11"/>
  <c r="D182" i="11"/>
  <c r="E789" i="11"/>
  <c r="F789" i="11" s="1"/>
  <c r="G790" i="11" s="1"/>
  <c r="B182" i="11"/>
  <c r="AV182" i="11" s="1"/>
  <c r="AU180" i="11"/>
  <c r="AS180" i="11"/>
  <c r="AR180" i="11"/>
  <c r="AT180" i="11"/>
  <c r="AJ180" i="11"/>
  <c r="AL180" i="11"/>
  <c r="AQ180" i="11"/>
  <c r="AO180" i="11"/>
  <c r="AZ180" i="11"/>
  <c r="AM180" i="11"/>
  <c r="AK180" i="11"/>
  <c r="AN180" i="11"/>
  <c r="AP180" i="11"/>
  <c r="D791" i="11"/>
  <c r="H790" i="11"/>
  <c r="C790" i="11"/>
  <c r="J790" i="11"/>
  <c r="X181" i="11" l="1"/>
  <c r="Z181" i="11" s="1"/>
  <c r="AY182" i="11"/>
  <c r="AW182" i="11"/>
  <c r="BD179" i="11"/>
  <c r="BL181" i="11"/>
  <c r="BK181" i="11"/>
  <c r="BM180" i="11"/>
  <c r="N182" i="11"/>
  <c r="BJ182" i="11" s="1"/>
  <c r="M182" i="11"/>
  <c r="U182" i="11"/>
  <c r="G182" i="11"/>
  <c r="F182" i="11"/>
  <c r="V182" i="11"/>
  <c r="BC180" i="11"/>
  <c r="BD180" i="11"/>
  <c r="A184" i="11"/>
  <c r="BA184" i="11" s="1"/>
  <c r="BB183" i="11"/>
  <c r="I790" i="11"/>
  <c r="D183" i="11"/>
  <c r="C182" i="11"/>
  <c r="X182" i="11" s="1"/>
  <c r="Z182" i="11" s="1"/>
  <c r="E790" i="11"/>
  <c r="F790" i="11" s="1"/>
  <c r="G791" i="11" s="1"/>
  <c r="B183" i="11"/>
  <c r="AV183" i="11" s="1"/>
  <c r="AT181" i="11"/>
  <c r="AU181" i="11"/>
  <c r="AS181" i="11"/>
  <c r="AR181" i="11"/>
  <c r="AM181" i="11"/>
  <c r="AK181" i="11"/>
  <c r="AN181" i="11"/>
  <c r="AP181" i="11"/>
  <c r="AO181" i="11"/>
  <c r="AQ181" i="11"/>
  <c r="AJ181" i="11"/>
  <c r="AL181" i="11"/>
  <c r="D792" i="11"/>
  <c r="H791" i="11"/>
  <c r="C791" i="11"/>
  <c r="J791" i="11"/>
  <c r="BG181" i="11" l="1"/>
  <c r="AY183" i="11"/>
  <c r="AW183" i="11"/>
  <c r="BM181" i="11"/>
  <c r="BK182" i="11"/>
  <c r="BL182" i="11"/>
  <c r="AZ181" i="11"/>
  <c r="BD181" i="11" s="1"/>
  <c r="N183" i="11"/>
  <c r="BJ183" i="11" s="1"/>
  <c r="M183" i="11"/>
  <c r="U183" i="11"/>
  <c r="F183" i="11"/>
  <c r="G183" i="11"/>
  <c r="V183" i="11"/>
  <c r="BG182" i="11"/>
  <c r="A185" i="11"/>
  <c r="BA185" i="11" s="1"/>
  <c r="BB184" i="11"/>
  <c r="I791" i="11"/>
  <c r="C183" i="11"/>
  <c r="D184" i="11"/>
  <c r="E791" i="11"/>
  <c r="F791" i="11" s="1"/>
  <c r="G792" i="11" s="1"/>
  <c r="B184" i="11"/>
  <c r="AV184" i="11" s="1"/>
  <c r="AU182" i="11"/>
  <c r="AR182" i="11"/>
  <c r="AT182" i="11"/>
  <c r="AS182" i="11"/>
  <c r="AJ182" i="11"/>
  <c r="AL182" i="11"/>
  <c r="AQ182" i="11"/>
  <c r="AO182" i="11"/>
  <c r="AP182" i="11"/>
  <c r="AM182" i="11"/>
  <c r="AK182" i="11"/>
  <c r="AN182" i="11"/>
  <c r="D793" i="11"/>
  <c r="H792" i="11"/>
  <c r="C792" i="11"/>
  <c r="J792" i="11"/>
  <c r="X183" i="11" l="1"/>
  <c r="Z183" i="11" s="1"/>
  <c r="AY184" i="11"/>
  <c r="AW184" i="11"/>
  <c r="BM182" i="11"/>
  <c r="BK183" i="11"/>
  <c r="BL183" i="11"/>
  <c r="BC181" i="11"/>
  <c r="AZ182" i="11"/>
  <c r="BD182" i="11" s="1"/>
  <c r="N184" i="11"/>
  <c r="BJ184" i="11" s="1"/>
  <c r="M184" i="11"/>
  <c r="U184" i="11"/>
  <c r="G184" i="11"/>
  <c r="F184" i="11"/>
  <c r="V184" i="11"/>
  <c r="A186" i="11"/>
  <c r="BA186" i="11" s="1"/>
  <c r="BB185" i="11"/>
  <c r="E792" i="11"/>
  <c r="F792" i="11" s="1"/>
  <c r="G793" i="11" s="1"/>
  <c r="D185" i="11"/>
  <c r="C184" i="11"/>
  <c r="I792" i="11"/>
  <c r="B185" i="11"/>
  <c r="AV185" i="11" s="1"/>
  <c r="AU183" i="11"/>
  <c r="AT183" i="11"/>
  <c r="AR183" i="11"/>
  <c r="AS183" i="11"/>
  <c r="AJ183" i="11"/>
  <c r="AL183" i="11"/>
  <c r="AP183" i="11"/>
  <c r="AQ183" i="11"/>
  <c r="AO183" i="11"/>
  <c r="AM183" i="11"/>
  <c r="AK183" i="11"/>
  <c r="AN183" i="11"/>
  <c r="D794" i="11"/>
  <c r="H793" i="11"/>
  <c r="C793" i="11"/>
  <c r="J793" i="11"/>
  <c r="BG183" i="11" l="1"/>
  <c r="X184" i="11"/>
  <c r="Z184" i="11" s="1"/>
  <c r="AY185" i="11"/>
  <c r="AW185" i="11"/>
  <c r="BC182" i="11"/>
  <c r="BM183" i="11"/>
  <c r="BK184" i="11"/>
  <c r="BL184" i="11"/>
  <c r="AZ183" i="11"/>
  <c r="BC183" i="11" s="1"/>
  <c r="N185" i="11"/>
  <c r="BJ185" i="11" s="1"/>
  <c r="M185" i="11"/>
  <c r="U185" i="11"/>
  <c r="G185" i="11"/>
  <c r="F185" i="11"/>
  <c r="V185" i="11"/>
  <c r="A187" i="11"/>
  <c r="BA187" i="11" s="1"/>
  <c r="BB186" i="11"/>
  <c r="E793" i="11"/>
  <c r="F793" i="11" s="1"/>
  <c r="G794" i="11" s="1"/>
  <c r="I793" i="11"/>
  <c r="C185" i="11"/>
  <c r="D186" i="11"/>
  <c r="B186" i="11"/>
  <c r="AV186" i="11" s="1"/>
  <c r="AS184" i="11"/>
  <c r="AT184" i="11"/>
  <c r="AR184" i="11"/>
  <c r="AU184" i="11"/>
  <c r="AJ184" i="11"/>
  <c r="AL184" i="11"/>
  <c r="AQ184" i="11"/>
  <c r="AO184" i="11"/>
  <c r="AM184" i="11"/>
  <c r="AK184" i="11"/>
  <c r="AN184" i="11"/>
  <c r="AP184" i="11"/>
  <c r="D795" i="11"/>
  <c r="H794" i="11"/>
  <c r="C794" i="11"/>
  <c r="J794" i="11"/>
  <c r="BG184" i="11" l="1"/>
  <c r="X185" i="11"/>
  <c r="Z185" i="11" s="1"/>
  <c r="AY186" i="11"/>
  <c r="AW186" i="11"/>
  <c r="BD183" i="11"/>
  <c r="BK185" i="11"/>
  <c r="BL185" i="11"/>
  <c r="BM184" i="11"/>
  <c r="AZ184" i="11"/>
  <c r="BD184" i="11" s="1"/>
  <c r="N186" i="11"/>
  <c r="BJ186" i="11" s="1"/>
  <c r="M186" i="11"/>
  <c r="U186" i="11"/>
  <c r="G186" i="11"/>
  <c r="F186" i="11"/>
  <c r="V186" i="11"/>
  <c r="A188" i="11"/>
  <c r="BA188" i="11" s="1"/>
  <c r="BB187" i="11"/>
  <c r="D187" i="11"/>
  <c r="C186" i="11"/>
  <c r="I794" i="11"/>
  <c r="E794" i="11"/>
  <c r="F794" i="11" s="1"/>
  <c r="G795" i="11" s="1"/>
  <c r="B187" i="11"/>
  <c r="AV187" i="11" s="1"/>
  <c r="AU185" i="11"/>
  <c r="AT185" i="11"/>
  <c r="AS185" i="11"/>
  <c r="AR185" i="11"/>
  <c r="AN185" i="11"/>
  <c r="AP185" i="11"/>
  <c r="AK185" i="11"/>
  <c r="AJ185" i="11"/>
  <c r="AL185" i="11"/>
  <c r="AQ185" i="11"/>
  <c r="AO185" i="11"/>
  <c r="AM185" i="11"/>
  <c r="D796" i="11"/>
  <c r="H795" i="11"/>
  <c r="C795" i="11"/>
  <c r="J795" i="11"/>
  <c r="BG185" i="11" l="1"/>
  <c r="X186" i="11"/>
  <c r="Z186" i="11" s="1"/>
  <c r="AY187" i="11"/>
  <c r="AW187" i="11"/>
  <c r="BC184" i="11"/>
  <c r="BM185" i="11"/>
  <c r="BL186" i="11"/>
  <c r="BK186" i="11"/>
  <c r="AZ185" i="11"/>
  <c r="BC185" i="11" s="1"/>
  <c r="N187" i="11"/>
  <c r="BJ187" i="11" s="1"/>
  <c r="M187" i="11"/>
  <c r="U187" i="11"/>
  <c r="F187" i="11"/>
  <c r="G187" i="11"/>
  <c r="V187" i="11"/>
  <c r="A189" i="11"/>
  <c r="BA189" i="11" s="1"/>
  <c r="BB188" i="11"/>
  <c r="I795" i="11"/>
  <c r="E795" i="11"/>
  <c r="F795" i="11" s="1"/>
  <c r="G796" i="11" s="1"/>
  <c r="C187" i="11"/>
  <c r="D188" i="11"/>
  <c r="B188" i="11"/>
  <c r="AV188" i="11" s="1"/>
  <c r="AR186" i="11"/>
  <c r="AT186" i="11"/>
  <c r="AS186" i="11"/>
  <c r="AU186" i="11"/>
  <c r="AJ186" i="11"/>
  <c r="AL186" i="11"/>
  <c r="AN186" i="11"/>
  <c r="AP186" i="11"/>
  <c r="AQ186" i="11"/>
  <c r="AO186" i="11"/>
  <c r="AM186" i="11"/>
  <c r="AK186" i="11"/>
  <c r="D797" i="11"/>
  <c r="H796" i="11"/>
  <c r="C796" i="11"/>
  <c r="J796" i="11"/>
  <c r="AZ186" i="11" l="1"/>
  <c r="BD186" i="11" s="1"/>
  <c r="BG186" i="11"/>
  <c r="X187" i="11"/>
  <c r="Z187" i="11" s="1"/>
  <c r="AY188" i="11"/>
  <c r="AW188" i="11"/>
  <c r="BD185" i="11"/>
  <c r="BM186" i="11"/>
  <c r="BK187" i="11"/>
  <c r="BL187" i="11"/>
  <c r="N188" i="11"/>
  <c r="BJ188" i="11" s="1"/>
  <c r="M188" i="11"/>
  <c r="U188" i="11"/>
  <c r="G188" i="11"/>
  <c r="F188" i="11"/>
  <c r="V188" i="11"/>
  <c r="A190" i="11"/>
  <c r="BA190" i="11" s="1"/>
  <c r="BB189" i="11"/>
  <c r="D189" i="11"/>
  <c r="C188" i="11"/>
  <c r="E796" i="11"/>
  <c r="F796" i="11" s="1"/>
  <c r="G797" i="11" s="1"/>
  <c r="I796" i="11"/>
  <c r="B189" i="11"/>
  <c r="AV189" i="11" s="1"/>
  <c r="AU187" i="11"/>
  <c r="AS187" i="11"/>
  <c r="AR187" i="11"/>
  <c r="AT187" i="11"/>
  <c r="AJ187" i="11"/>
  <c r="AL187" i="11"/>
  <c r="AO187" i="11"/>
  <c r="AP187" i="11"/>
  <c r="AQ187" i="11"/>
  <c r="AM187" i="11"/>
  <c r="AK187" i="11"/>
  <c r="AN187" i="11"/>
  <c r="D798" i="11"/>
  <c r="H797" i="11"/>
  <c r="C797" i="11"/>
  <c r="J797" i="11"/>
  <c r="BC186" i="11" l="1"/>
  <c r="BG187" i="11"/>
  <c r="X188" i="11"/>
  <c r="Z188" i="11" s="1"/>
  <c r="AY189" i="11"/>
  <c r="AW189" i="11"/>
  <c r="BM187" i="11"/>
  <c r="BK188" i="11"/>
  <c r="BL188" i="11"/>
  <c r="AZ187" i="11"/>
  <c r="BC187" i="11" s="1"/>
  <c r="N189" i="11"/>
  <c r="BJ189" i="11" s="1"/>
  <c r="M189" i="11"/>
  <c r="U189" i="11"/>
  <c r="G189" i="11"/>
  <c r="F189" i="11"/>
  <c r="V189" i="11"/>
  <c r="A191" i="11"/>
  <c r="BA191" i="11" s="1"/>
  <c r="BB190" i="11"/>
  <c r="E797" i="11"/>
  <c r="F797" i="11" s="1"/>
  <c r="G798" i="11" s="1"/>
  <c r="I797" i="11"/>
  <c r="C189" i="11"/>
  <c r="D190" i="11"/>
  <c r="B190" i="11"/>
  <c r="AV190" i="11" s="1"/>
  <c r="AT188" i="11"/>
  <c r="AS188" i="11"/>
  <c r="AU188" i="11"/>
  <c r="AR188" i="11"/>
  <c r="AM188" i="11"/>
  <c r="AK188" i="11"/>
  <c r="AN188" i="11"/>
  <c r="AP188" i="11"/>
  <c r="AJ188" i="11"/>
  <c r="AL188" i="11"/>
  <c r="AQ188" i="11"/>
  <c r="AO188" i="11"/>
  <c r="D799" i="11"/>
  <c r="H798" i="11"/>
  <c r="C798" i="11"/>
  <c r="J798" i="11"/>
  <c r="X189" i="11" l="1"/>
  <c r="Z189" i="11" s="1"/>
  <c r="BG188" i="11"/>
  <c r="AY190" i="11"/>
  <c r="AW190" i="11"/>
  <c r="BD187" i="11"/>
  <c r="BM188" i="11"/>
  <c r="BK189" i="11"/>
  <c r="BL189" i="11"/>
  <c r="AZ188" i="11"/>
  <c r="BC188" i="11" s="1"/>
  <c r="N190" i="11"/>
  <c r="BJ190" i="11" s="1"/>
  <c r="M190" i="11"/>
  <c r="U190" i="11"/>
  <c r="G190" i="11"/>
  <c r="F190" i="11"/>
  <c r="V190" i="11"/>
  <c r="A192" i="11"/>
  <c r="BA192" i="11" s="1"/>
  <c r="BB191" i="11"/>
  <c r="D191" i="11"/>
  <c r="C190" i="11"/>
  <c r="E798" i="11"/>
  <c r="F798" i="11" s="1"/>
  <c r="G799" i="11" s="1"/>
  <c r="I798" i="11"/>
  <c r="B191" i="11"/>
  <c r="AV191" i="11" s="1"/>
  <c r="AT189" i="11"/>
  <c r="AU189" i="11"/>
  <c r="AR189" i="11"/>
  <c r="AS189" i="11"/>
  <c r="AQ189" i="11"/>
  <c r="AO189" i="11"/>
  <c r="AM189" i="11"/>
  <c r="AK189" i="11"/>
  <c r="AJ189" i="11"/>
  <c r="AL189" i="11"/>
  <c r="AN189" i="11"/>
  <c r="AP189" i="11"/>
  <c r="D800" i="11"/>
  <c r="H799" i="11"/>
  <c r="C799" i="11"/>
  <c r="J799" i="11"/>
  <c r="BG189" i="11" l="1"/>
  <c r="X190" i="11"/>
  <c r="Z190" i="11" s="1"/>
  <c r="AY191" i="11"/>
  <c r="AW191" i="11"/>
  <c r="BD188" i="11"/>
  <c r="BM189" i="11"/>
  <c r="BK190" i="11"/>
  <c r="BL190" i="11"/>
  <c r="AZ189" i="11"/>
  <c r="BC189" i="11" s="1"/>
  <c r="N191" i="11"/>
  <c r="BJ191" i="11" s="1"/>
  <c r="M191" i="11"/>
  <c r="U191" i="11"/>
  <c r="F191" i="11"/>
  <c r="G191" i="11"/>
  <c r="V191" i="11"/>
  <c r="A193" i="11"/>
  <c r="BA193" i="11" s="1"/>
  <c r="BB192" i="11"/>
  <c r="I799" i="11"/>
  <c r="E799" i="11"/>
  <c r="F799" i="11" s="1"/>
  <c r="G800" i="11" s="1"/>
  <c r="C191" i="11"/>
  <c r="D192" i="11"/>
  <c r="B192" i="11"/>
  <c r="AV192" i="11" s="1"/>
  <c r="AU190" i="11"/>
  <c r="AR190" i="11"/>
  <c r="AT190" i="11"/>
  <c r="AS190" i="11"/>
  <c r="AJ190" i="11"/>
  <c r="AL190" i="11"/>
  <c r="AP190" i="11"/>
  <c r="AQ190" i="11"/>
  <c r="AO190" i="11"/>
  <c r="AM190" i="11"/>
  <c r="AK190" i="11"/>
  <c r="AN190" i="11"/>
  <c r="D801" i="11"/>
  <c r="H800" i="11"/>
  <c r="C800" i="11"/>
  <c r="J800" i="11"/>
  <c r="X191" i="11" l="1"/>
  <c r="Z191" i="11" s="1"/>
  <c r="BG190" i="11"/>
  <c r="AY192" i="11"/>
  <c r="AW192" i="11"/>
  <c r="BD189" i="11"/>
  <c r="BM190" i="11"/>
  <c r="BL191" i="11"/>
  <c r="BK191" i="11"/>
  <c r="AZ190" i="11"/>
  <c r="BD190" i="11" s="1"/>
  <c r="N192" i="11"/>
  <c r="BJ192" i="11" s="1"/>
  <c r="M192" i="11"/>
  <c r="U192" i="11"/>
  <c r="G192" i="11"/>
  <c r="F192" i="11"/>
  <c r="V192" i="11"/>
  <c r="A194" i="11"/>
  <c r="BA194" i="11" s="1"/>
  <c r="BB193" i="11"/>
  <c r="D193" i="11"/>
  <c r="C192" i="11"/>
  <c r="I800" i="11"/>
  <c r="E800" i="11"/>
  <c r="F800" i="11" s="1"/>
  <c r="G801" i="11" s="1"/>
  <c r="B193" i="11"/>
  <c r="AV193" i="11" s="1"/>
  <c r="AU191" i="11"/>
  <c r="AS191" i="11"/>
  <c r="AT191" i="11"/>
  <c r="AR191" i="11"/>
  <c r="AN191" i="11"/>
  <c r="AP191" i="11"/>
  <c r="AK191" i="11"/>
  <c r="AJ191" i="11"/>
  <c r="AL191" i="11"/>
  <c r="AM191" i="11"/>
  <c r="AQ191" i="11"/>
  <c r="AO191" i="11"/>
  <c r="D802" i="11"/>
  <c r="H801" i="11"/>
  <c r="C801" i="11"/>
  <c r="J801" i="11"/>
  <c r="BG191" i="11" l="1"/>
  <c r="X192" i="11"/>
  <c r="Z192" i="11" s="1"/>
  <c r="AY193" i="11"/>
  <c r="AW193" i="11"/>
  <c r="BC190" i="11"/>
  <c r="BM191" i="11"/>
  <c r="BK192" i="11"/>
  <c r="BL192" i="11"/>
  <c r="AZ191" i="11"/>
  <c r="BD191" i="11" s="1"/>
  <c r="N193" i="11"/>
  <c r="BJ193" i="11" s="1"/>
  <c r="M193" i="11"/>
  <c r="U193" i="11"/>
  <c r="F193" i="11"/>
  <c r="G193" i="11"/>
  <c r="V193" i="11"/>
  <c r="A195" i="11"/>
  <c r="BA195" i="11" s="1"/>
  <c r="BB194" i="11"/>
  <c r="I801" i="11"/>
  <c r="E801" i="11"/>
  <c r="F801" i="11" s="1"/>
  <c r="G802" i="11" s="1"/>
  <c r="C193" i="11"/>
  <c r="D194" i="11"/>
  <c r="B194" i="11"/>
  <c r="AV194" i="11" s="1"/>
  <c r="AS192" i="11"/>
  <c r="AT192" i="11"/>
  <c r="AU192" i="11"/>
  <c r="AR192" i="11"/>
  <c r="AM192" i="11"/>
  <c r="AK192" i="11"/>
  <c r="AQ192" i="11"/>
  <c r="AN192" i="11"/>
  <c r="AP192" i="11"/>
  <c r="AJ192" i="11"/>
  <c r="AL192" i="11"/>
  <c r="AO192" i="11"/>
  <c r="D803" i="11"/>
  <c r="H802" i="11"/>
  <c r="C802" i="11"/>
  <c r="J802" i="11"/>
  <c r="AZ192" i="11" l="1"/>
  <c r="BD192" i="11" s="1"/>
  <c r="BG192" i="11"/>
  <c r="X193" i="11"/>
  <c r="Z193" i="11" s="1"/>
  <c r="AY194" i="11"/>
  <c r="AW194" i="11"/>
  <c r="BC191" i="11"/>
  <c r="BM192" i="11"/>
  <c r="BK193" i="11"/>
  <c r="BL193" i="11"/>
  <c r="N194" i="11"/>
  <c r="BJ194" i="11" s="1"/>
  <c r="M194" i="11"/>
  <c r="U194" i="11"/>
  <c r="G194" i="11"/>
  <c r="F194" i="11"/>
  <c r="V194" i="11"/>
  <c r="A196" i="11"/>
  <c r="BB195" i="11"/>
  <c r="D195" i="11"/>
  <c r="C194" i="11"/>
  <c r="E802" i="11"/>
  <c r="F802" i="11" s="1"/>
  <c r="G803" i="11" s="1"/>
  <c r="I802" i="11"/>
  <c r="B195" i="11"/>
  <c r="AV195" i="11" s="1"/>
  <c r="AT193" i="11"/>
  <c r="AU193" i="11"/>
  <c r="AR193" i="11"/>
  <c r="AS193" i="11"/>
  <c r="AM193" i="11"/>
  <c r="AK193" i="11"/>
  <c r="AN193" i="11"/>
  <c r="AP193" i="11"/>
  <c r="AQ193" i="11"/>
  <c r="AJ193" i="11"/>
  <c r="AL193" i="11"/>
  <c r="AO193" i="11"/>
  <c r="D804" i="11"/>
  <c r="H803" i="11"/>
  <c r="C803" i="11"/>
  <c r="J803" i="11"/>
  <c r="BC192" i="11" l="1"/>
  <c r="X194" i="11"/>
  <c r="Z194" i="11" s="1"/>
  <c r="BG193" i="11"/>
  <c r="AY195" i="11"/>
  <c r="AW195" i="11"/>
  <c r="BM193" i="11"/>
  <c r="BK194" i="11"/>
  <c r="BL194" i="11"/>
  <c r="AZ193" i="11"/>
  <c r="BC193" i="11" s="1"/>
  <c r="N195" i="11"/>
  <c r="BJ195" i="11" s="1"/>
  <c r="M195" i="11"/>
  <c r="U195" i="11"/>
  <c r="G195" i="11"/>
  <c r="F195" i="11"/>
  <c r="V195" i="11"/>
  <c r="A197" i="11"/>
  <c r="E803" i="11"/>
  <c r="F803" i="11" s="1"/>
  <c r="G804" i="11" s="1"/>
  <c r="I803" i="11"/>
  <c r="C195" i="11"/>
  <c r="D196" i="11"/>
  <c r="B196" i="11"/>
  <c r="AV196" i="11" s="1"/>
  <c r="AT194" i="11"/>
  <c r="AR194" i="11"/>
  <c r="AU194" i="11"/>
  <c r="AS194" i="11"/>
  <c r="AM194" i="11"/>
  <c r="AK194" i="11"/>
  <c r="AN194" i="11"/>
  <c r="AP194" i="11"/>
  <c r="AQ194" i="11"/>
  <c r="AO194" i="11"/>
  <c r="AJ194" i="11"/>
  <c r="AL194" i="11"/>
  <c r="D805" i="11"/>
  <c r="H804" i="11"/>
  <c r="C804" i="11"/>
  <c r="J804" i="11"/>
  <c r="AZ194" i="11" l="1"/>
  <c r="BC194" i="11" s="1"/>
  <c r="BG194" i="11"/>
  <c r="X195" i="11"/>
  <c r="Z195" i="11" s="1"/>
  <c r="AY196" i="11"/>
  <c r="AW196" i="11"/>
  <c r="BD193" i="11"/>
  <c r="BM194" i="11"/>
  <c r="BK195" i="11"/>
  <c r="BL195" i="11"/>
  <c r="N196" i="11"/>
  <c r="BJ196" i="11" s="1"/>
  <c r="M196" i="11"/>
  <c r="U196" i="11"/>
  <c r="G196" i="11"/>
  <c r="F196" i="11"/>
  <c r="V196" i="11"/>
  <c r="A198" i="11"/>
  <c r="BA198" i="11" s="1"/>
  <c r="D197" i="11"/>
  <c r="C196" i="11"/>
  <c r="I804" i="11"/>
  <c r="E804" i="11"/>
  <c r="F804" i="11" s="1"/>
  <c r="G805" i="11" s="1"/>
  <c r="B197" i="11"/>
  <c r="AV197" i="11" s="1"/>
  <c r="AU195" i="11"/>
  <c r="AR195" i="11"/>
  <c r="AT195" i="11"/>
  <c r="AS195" i="11"/>
  <c r="AJ195" i="11"/>
  <c r="AL195" i="11"/>
  <c r="AP195" i="11"/>
  <c r="AQ195" i="11"/>
  <c r="AO195" i="11"/>
  <c r="AN195" i="11"/>
  <c r="AM195" i="11"/>
  <c r="AK195" i="11"/>
  <c r="D806" i="11"/>
  <c r="H805" i="11"/>
  <c r="C805" i="11"/>
  <c r="J805" i="11"/>
  <c r="BD194" i="11" l="1"/>
  <c r="BG195" i="11"/>
  <c r="X196" i="11"/>
  <c r="Z196" i="11" s="1"/>
  <c r="AY197" i="11"/>
  <c r="AW197" i="11"/>
  <c r="BM195" i="11"/>
  <c r="BL196" i="11"/>
  <c r="BK196" i="11"/>
  <c r="AZ195" i="11"/>
  <c r="BC195" i="11" s="1"/>
  <c r="N197" i="11"/>
  <c r="BJ197" i="11" s="1"/>
  <c r="M197" i="11"/>
  <c r="U197" i="11"/>
  <c r="G197" i="11"/>
  <c r="F197" i="11"/>
  <c r="V197" i="11"/>
  <c r="A199" i="11"/>
  <c r="BA199" i="11" s="1"/>
  <c r="BB198" i="11"/>
  <c r="I805" i="11"/>
  <c r="E805" i="11"/>
  <c r="F805" i="11" s="1"/>
  <c r="G806" i="11" s="1"/>
  <c r="C197" i="11"/>
  <c r="D198" i="11"/>
  <c r="B198" i="11"/>
  <c r="AV198" i="11" s="1"/>
  <c r="AU196" i="11"/>
  <c r="AS196" i="11"/>
  <c r="AR196" i="11"/>
  <c r="AT196" i="11"/>
  <c r="AJ196" i="11"/>
  <c r="AL196" i="11"/>
  <c r="AM196" i="11"/>
  <c r="AK196" i="11"/>
  <c r="AN196" i="11"/>
  <c r="AP196" i="11"/>
  <c r="AQ196" i="11"/>
  <c r="AO196" i="11"/>
  <c r="D807" i="11"/>
  <c r="H806" i="11"/>
  <c r="C806" i="11"/>
  <c r="J806" i="11"/>
  <c r="AZ196" i="11" l="1"/>
  <c r="BG196" i="11"/>
  <c r="X197" i="11"/>
  <c r="Z197" i="11" s="1"/>
  <c r="AY198" i="11"/>
  <c r="AW198" i="11"/>
  <c r="BD195" i="11"/>
  <c r="BM196" i="11"/>
  <c r="BK197" i="11"/>
  <c r="BL197" i="11"/>
  <c r="N198" i="11"/>
  <c r="BJ198" i="11" s="1"/>
  <c r="M198" i="11"/>
  <c r="U198" i="11"/>
  <c r="F198" i="11"/>
  <c r="G198" i="11"/>
  <c r="V198" i="11"/>
  <c r="A200" i="11"/>
  <c r="BA200" i="11" s="1"/>
  <c r="BB199" i="11"/>
  <c r="C198" i="11"/>
  <c r="D199" i="11"/>
  <c r="E806" i="11"/>
  <c r="F806" i="11" s="1"/>
  <c r="G807" i="11" s="1"/>
  <c r="I806" i="11"/>
  <c r="B199" i="11"/>
  <c r="AV199" i="11" s="1"/>
  <c r="AT197" i="11"/>
  <c r="AU197" i="11"/>
  <c r="AS197" i="11"/>
  <c r="AR197" i="11"/>
  <c r="AJ197" i="11"/>
  <c r="AL197" i="11"/>
  <c r="AQ197" i="11"/>
  <c r="AO197" i="11"/>
  <c r="AM197" i="11"/>
  <c r="AK197" i="11"/>
  <c r="AN197" i="11"/>
  <c r="AP197" i="11"/>
  <c r="D808" i="11"/>
  <c r="H807" i="11"/>
  <c r="C807" i="11"/>
  <c r="J807" i="11"/>
  <c r="AZ197" i="11" l="1"/>
  <c r="BG197" i="11"/>
  <c r="X198" i="11"/>
  <c r="Z198" i="11" s="1"/>
  <c r="AY199" i="11"/>
  <c r="AW199" i="11"/>
  <c r="BM197" i="11"/>
  <c r="BK198" i="11"/>
  <c r="BL198" i="11"/>
  <c r="N199" i="11"/>
  <c r="BJ199" i="11" s="1"/>
  <c r="M199" i="11"/>
  <c r="U199" i="11"/>
  <c r="F199" i="11"/>
  <c r="G199" i="11"/>
  <c r="V199" i="11"/>
  <c r="A201" i="11"/>
  <c r="BB200" i="11"/>
  <c r="E807" i="11"/>
  <c r="F807" i="11" s="1"/>
  <c r="G808" i="11" s="1"/>
  <c r="I807" i="11"/>
  <c r="C199" i="11"/>
  <c r="D200" i="11"/>
  <c r="B200" i="11"/>
  <c r="AV200" i="11" s="1"/>
  <c r="AR198" i="11"/>
  <c r="AT198" i="11"/>
  <c r="AU198" i="11"/>
  <c r="AS198" i="11"/>
  <c r="AQ198" i="11"/>
  <c r="AO198" i="11"/>
  <c r="AP198" i="11"/>
  <c r="AM198" i="11"/>
  <c r="AK198" i="11"/>
  <c r="AN198" i="11"/>
  <c r="AJ198" i="11"/>
  <c r="AL198" i="11"/>
  <c r="D809" i="11"/>
  <c r="H808" i="11"/>
  <c r="C808" i="11"/>
  <c r="J808" i="11"/>
  <c r="X199" i="11" l="1"/>
  <c r="Z199" i="11" s="1"/>
  <c r="BG198" i="11"/>
  <c r="AY200" i="11"/>
  <c r="AW200" i="11"/>
  <c r="BM198" i="11"/>
  <c r="BL199" i="11"/>
  <c r="BK199" i="11"/>
  <c r="AZ198" i="11"/>
  <c r="BD198" i="11" s="1"/>
  <c r="N200" i="11"/>
  <c r="BJ200" i="11" s="1"/>
  <c r="M200" i="11"/>
  <c r="U200" i="11"/>
  <c r="G200" i="11"/>
  <c r="F200" i="11"/>
  <c r="V200" i="11"/>
  <c r="A202" i="11"/>
  <c r="BA202" i="11" s="1"/>
  <c r="D201" i="11"/>
  <c r="C200" i="11"/>
  <c r="E808" i="11"/>
  <c r="F808" i="11" s="1"/>
  <c r="G809" i="11" s="1"/>
  <c r="I808" i="11"/>
  <c r="B201" i="11"/>
  <c r="AV201" i="11" s="1"/>
  <c r="AU199" i="11"/>
  <c r="AT199" i="11"/>
  <c r="AR199" i="11"/>
  <c r="AS199" i="11"/>
  <c r="AQ199" i="11"/>
  <c r="AO199" i="11"/>
  <c r="AM199" i="11"/>
  <c r="AK199" i="11"/>
  <c r="AJ199" i="11"/>
  <c r="AL199" i="11"/>
  <c r="AN199" i="11"/>
  <c r="AP199" i="11"/>
  <c r="D810" i="11"/>
  <c r="H809" i="11"/>
  <c r="C809" i="11"/>
  <c r="J809" i="11"/>
  <c r="BG199" i="11" l="1"/>
  <c r="X200" i="11"/>
  <c r="Z200" i="11" s="1"/>
  <c r="AY201" i="11"/>
  <c r="AW201" i="11"/>
  <c r="BC198" i="11"/>
  <c r="BM199" i="11"/>
  <c r="BK200" i="11"/>
  <c r="BL200" i="11"/>
  <c r="AZ199" i="11"/>
  <c r="BD199" i="11" s="1"/>
  <c r="N201" i="11"/>
  <c r="BJ201" i="11" s="1"/>
  <c r="M201" i="11"/>
  <c r="U201" i="11"/>
  <c r="G201" i="11"/>
  <c r="F201" i="11"/>
  <c r="V201" i="11"/>
  <c r="A203" i="11"/>
  <c r="BA203" i="11" s="1"/>
  <c r="BB202" i="11"/>
  <c r="E809" i="11"/>
  <c r="F809" i="11" s="1"/>
  <c r="G810" i="11" s="1"/>
  <c r="I809" i="11"/>
  <c r="C201" i="11"/>
  <c r="D202" i="11"/>
  <c r="B202" i="11"/>
  <c r="AV202" i="11" s="1"/>
  <c r="AS200" i="11"/>
  <c r="AT200" i="11"/>
  <c r="AU200" i="11"/>
  <c r="AR200" i="11"/>
  <c r="AQ200" i="11"/>
  <c r="AO200" i="11"/>
  <c r="AJ200" i="11"/>
  <c r="AL200" i="11"/>
  <c r="AM200" i="11"/>
  <c r="AK200" i="11"/>
  <c r="AN200" i="11"/>
  <c r="AP200" i="11"/>
  <c r="D811" i="11"/>
  <c r="H810" i="11"/>
  <c r="C810" i="11"/>
  <c r="J810" i="11"/>
  <c r="AZ200" i="11" l="1"/>
  <c r="BC200" i="11" s="1"/>
  <c r="BG200" i="11"/>
  <c r="X201" i="11"/>
  <c r="Z201" i="11" s="1"/>
  <c r="AY202" i="11"/>
  <c r="AW202" i="11"/>
  <c r="BC199" i="11"/>
  <c r="BM200" i="11"/>
  <c r="BK201" i="11"/>
  <c r="BL201" i="11"/>
  <c r="N202" i="11"/>
  <c r="BJ202" i="11" s="1"/>
  <c r="M202" i="11"/>
  <c r="U202" i="11"/>
  <c r="F202" i="11"/>
  <c r="G202" i="11"/>
  <c r="V202" i="11"/>
  <c r="A204" i="11"/>
  <c r="BA204" i="11" s="1"/>
  <c r="BB203" i="11"/>
  <c r="D203" i="11"/>
  <c r="C202" i="11"/>
  <c r="E810" i="11"/>
  <c r="F810" i="11" s="1"/>
  <c r="G811" i="11" s="1"/>
  <c r="I810" i="11"/>
  <c r="B203" i="11"/>
  <c r="AV203" i="11" s="1"/>
  <c r="AU201" i="11"/>
  <c r="AT201" i="11"/>
  <c r="AS201" i="11"/>
  <c r="AR201" i="11"/>
  <c r="AQ201" i="11"/>
  <c r="AO201" i="11"/>
  <c r="AM201" i="11"/>
  <c r="AK201" i="11"/>
  <c r="AL201" i="11"/>
  <c r="AN201" i="11"/>
  <c r="AP201" i="11"/>
  <c r="AJ201" i="11"/>
  <c r="D812" i="11"/>
  <c r="H811" i="11"/>
  <c r="C811" i="11"/>
  <c r="J811" i="11"/>
  <c r="BD200" i="11" l="1"/>
  <c r="X202" i="11"/>
  <c r="Z202" i="11" s="1"/>
  <c r="AY203" i="11"/>
  <c r="AW203" i="11"/>
  <c r="BG201" i="11"/>
  <c r="BM201" i="11"/>
  <c r="BK202" i="11"/>
  <c r="BL202" i="11"/>
  <c r="N203" i="11"/>
  <c r="BJ203" i="11" s="1"/>
  <c r="M203" i="11"/>
  <c r="U203" i="11"/>
  <c r="F203" i="11"/>
  <c r="G203" i="11"/>
  <c r="V203" i="11"/>
  <c r="AZ201" i="11"/>
  <c r="A205" i="11"/>
  <c r="BA205" i="11" s="1"/>
  <c r="BB204" i="11"/>
  <c r="E811" i="11"/>
  <c r="F811" i="11" s="1"/>
  <c r="G812" i="11" s="1"/>
  <c r="I811" i="11"/>
  <c r="C203" i="11"/>
  <c r="D204" i="11"/>
  <c r="B204" i="11"/>
  <c r="AV204" i="11" s="1"/>
  <c r="AR202" i="11"/>
  <c r="AU202" i="11"/>
  <c r="AS202" i="11"/>
  <c r="AT202" i="11"/>
  <c r="AJ202" i="11"/>
  <c r="AL202" i="11"/>
  <c r="AN202" i="11"/>
  <c r="AP202" i="11"/>
  <c r="AQ202" i="11"/>
  <c r="AO202" i="11"/>
  <c r="AM202" i="11"/>
  <c r="AK202" i="11"/>
  <c r="D813" i="11"/>
  <c r="H812" i="11"/>
  <c r="C812" i="11"/>
  <c r="J812" i="11"/>
  <c r="AZ202" i="11" l="1"/>
  <c r="BC202" i="11" s="1"/>
  <c r="BG202" i="11"/>
  <c r="X203" i="11"/>
  <c r="Z203" i="11" s="1"/>
  <c r="AY204" i="11"/>
  <c r="AW204" i="11"/>
  <c r="BM202" i="11"/>
  <c r="BK203" i="11"/>
  <c r="BL203" i="11"/>
  <c r="N204" i="11"/>
  <c r="BJ204" i="11" s="1"/>
  <c r="M204" i="11"/>
  <c r="U204" i="11"/>
  <c r="G204" i="11"/>
  <c r="F204" i="11"/>
  <c r="V204" i="11"/>
  <c r="A206" i="11"/>
  <c r="BA206" i="11" s="1"/>
  <c r="BB205" i="11"/>
  <c r="D205" i="11"/>
  <c r="C204" i="11"/>
  <c r="E812" i="11"/>
  <c r="F812" i="11" s="1"/>
  <c r="G813" i="11" s="1"/>
  <c r="I812" i="11"/>
  <c r="B205" i="11"/>
  <c r="AV205" i="11" s="1"/>
  <c r="AU203" i="11"/>
  <c r="AT203" i="11"/>
  <c r="AR203" i="11"/>
  <c r="AS203" i="11"/>
  <c r="AN203" i="11"/>
  <c r="AP203" i="11"/>
  <c r="AM203" i="11"/>
  <c r="AJ203" i="11"/>
  <c r="AL203" i="11"/>
  <c r="AQ203" i="11"/>
  <c r="AO203" i="11"/>
  <c r="AK203" i="11"/>
  <c r="D814" i="11"/>
  <c r="H813" i="11"/>
  <c r="C813" i="11"/>
  <c r="J813" i="11"/>
  <c r="BD202" i="11" l="1"/>
  <c r="X204" i="11"/>
  <c r="Z204" i="11" s="1"/>
  <c r="BG203" i="11"/>
  <c r="AY205" i="11"/>
  <c r="AW205" i="11"/>
  <c r="BM203" i="11"/>
  <c r="BL204" i="11"/>
  <c r="BK204" i="11"/>
  <c r="AZ203" i="11"/>
  <c r="BC203" i="11" s="1"/>
  <c r="N205" i="11"/>
  <c r="BJ205" i="11" s="1"/>
  <c r="M205" i="11"/>
  <c r="U205" i="11"/>
  <c r="G205" i="11"/>
  <c r="F205" i="11"/>
  <c r="V205" i="11"/>
  <c r="A207" i="11"/>
  <c r="BA207" i="11" s="1"/>
  <c r="BB206" i="11"/>
  <c r="E813" i="11"/>
  <c r="F813" i="11" s="1"/>
  <c r="G814" i="11" s="1"/>
  <c r="I813" i="11"/>
  <c r="C205" i="11"/>
  <c r="D206" i="11"/>
  <c r="B206" i="11"/>
  <c r="AV206" i="11" s="1"/>
  <c r="AU204" i="11"/>
  <c r="AT204" i="11"/>
  <c r="AS204" i="11"/>
  <c r="AR204" i="11"/>
  <c r="AO204" i="11"/>
  <c r="AQ204" i="11"/>
  <c r="AM204" i="11"/>
  <c r="AK204" i="11"/>
  <c r="AN204" i="11"/>
  <c r="AP204" i="11"/>
  <c r="AJ204" i="11"/>
  <c r="AL204" i="11"/>
  <c r="D815" i="11"/>
  <c r="H814" i="11"/>
  <c r="J814" i="11"/>
  <c r="C814" i="11"/>
  <c r="BG204" i="11" l="1"/>
  <c r="X205" i="11"/>
  <c r="Z205" i="11" s="1"/>
  <c r="AY206" i="11"/>
  <c r="AW206" i="11"/>
  <c r="BD203" i="11"/>
  <c r="BM204" i="11"/>
  <c r="BK205" i="11"/>
  <c r="BL205" i="11"/>
  <c r="AZ204" i="11"/>
  <c r="BC204" i="11" s="1"/>
  <c r="N206" i="11"/>
  <c r="BJ206" i="11" s="1"/>
  <c r="M206" i="11"/>
  <c r="U206" i="11"/>
  <c r="G206" i="11"/>
  <c r="F206" i="11"/>
  <c r="V206" i="11"/>
  <c r="A208" i="11"/>
  <c r="BB207" i="11"/>
  <c r="E814" i="11"/>
  <c r="F814" i="11" s="1"/>
  <c r="G815" i="11" s="1"/>
  <c r="D207" i="11"/>
  <c r="C206" i="11"/>
  <c r="I814" i="11"/>
  <c r="B207" i="11"/>
  <c r="AV207" i="11" s="1"/>
  <c r="AT205" i="11"/>
  <c r="AU205" i="11"/>
  <c r="AS205" i="11"/>
  <c r="AR205" i="11"/>
  <c r="AO205" i="11"/>
  <c r="AL205" i="11"/>
  <c r="AM205" i="11"/>
  <c r="AJ205" i="11"/>
  <c r="AP205" i="11"/>
  <c r="AQ205" i="11"/>
  <c r="AN205" i="11"/>
  <c r="AK205" i="11"/>
  <c r="D816" i="11"/>
  <c r="H815" i="11"/>
  <c r="C815" i="11"/>
  <c r="J815" i="11"/>
  <c r="BG205" i="11" l="1"/>
  <c r="X206" i="11"/>
  <c r="Z206" i="11" s="1"/>
  <c r="AY207" i="11"/>
  <c r="AW207" i="11"/>
  <c r="BD204" i="11"/>
  <c r="BM205" i="11"/>
  <c r="BK206" i="11"/>
  <c r="BL206" i="11"/>
  <c r="AZ205" i="11"/>
  <c r="BD205" i="11" s="1"/>
  <c r="N207" i="11"/>
  <c r="BJ207" i="11" s="1"/>
  <c r="M207" i="11"/>
  <c r="U207" i="11"/>
  <c r="F207" i="11"/>
  <c r="G207" i="11"/>
  <c r="V207" i="11"/>
  <c r="A209" i="11"/>
  <c r="E815" i="11"/>
  <c r="F815" i="11" s="1"/>
  <c r="G816" i="11" s="1"/>
  <c r="I815" i="11"/>
  <c r="C207" i="11"/>
  <c r="D208" i="11"/>
  <c r="B208" i="11"/>
  <c r="AV208" i="11" s="1"/>
  <c r="AU206" i="11"/>
  <c r="AR206" i="11"/>
  <c r="AT206" i="11"/>
  <c r="AS206" i="11"/>
  <c r="AQ206" i="11"/>
  <c r="AO206" i="11"/>
  <c r="AL206" i="11"/>
  <c r="AM206" i="11"/>
  <c r="AJ206" i="11"/>
  <c r="AK206" i="11"/>
  <c r="AP206" i="11"/>
  <c r="AN206" i="11"/>
  <c r="D817" i="11"/>
  <c r="H816" i="11"/>
  <c r="J816" i="11"/>
  <c r="C816" i="11"/>
  <c r="AZ206" i="11" l="1"/>
  <c r="BD206" i="11" s="1"/>
  <c r="BG206" i="11"/>
  <c r="X207" i="11"/>
  <c r="Z207" i="11" s="1"/>
  <c r="AY208" i="11"/>
  <c r="AW208" i="11"/>
  <c r="BC205" i="11"/>
  <c r="BL207" i="11"/>
  <c r="BK207" i="11"/>
  <c r="BM206" i="11"/>
  <c r="N208" i="11"/>
  <c r="BJ208" i="11" s="1"/>
  <c r="M208" i="11"/>
  <c r="U208" i="11"/>
  <c r="G208" i="11"/>
  <c r="F208" i="11"/>
  <c r="V208" i="11"/>
  <c r="A210" i="11"/>
  <c r="BA210" i="11" s="1"/>
  <c r="E816" i="11"/>
  <c r="F816" i="11" s="1"/>
  <c r="G817" i="11" s="1"/>
  <c r="D209" i="11"/>
  <c r="C208" i="11"/>
  <c r="I816" i="11"/>
  <c r="B209" i="11"/>
  <c r="AV209" i="11" s="1"/>
  <c r="AU207" i="11"/>
  <c r="AT207" i="11"/>
  <c r="AS207" i="11"/>
  <c r="AR207" i="11"/>
  <c r="AQ207" i="11"/>
  <c r="AP207" i="11"/>
  <c r="AN207" i="11"/>
  <c r="AM207" i="11"/>
  <c r="AK207" i="11"/>
  <c r="AL207" i="11"/>
  <c r="AO207" i="11"/>
  <c r="AJ207" i="11"/>
  <c r="D818" i="11"/>
  <c r="H817" i="11"/>
  <c r="C817" i="11"/>
  <c r="J817" i="11"/>
  <c r="BC206" i="11" l="1"/>
  <c r="BG207" i="11"/>
  <c r="X208" i="11"/>
  <c r="Z208" i="11" s="1"/>
  <c r="AY209" i="11"/>
  <c r="AW209" i="11"/>
  <c r="BM207" i="11"/>
  <c r="BK208" i="11"/>
  <c r="BL208" i="11"/>
  <c r="AZ207" i="11"/>
  <c r="BC207" i="11" s="1"/>
  <c r="N209" i="11"/>
  <c r="BJ209" i="11" s="1"/>
  <c r="M209" i="11"/>
  <c r="U209" i="11"/>
  <c r="F209" i="11"/>
  <c r="G209" i="11"/>
  <c r="V209" i="11"/>
  <c r="A211" i="11"/>
  <c r="BA211" i="11" s="1"/>
  <c r="BB210" i="11"/>
  <c r="E817" i="11"/>
  <c r="F817" i="11" s="1"/>
  <c r="G818" i="11" s="1"/>
  <c r="I817" i="11"/>
  <c r="C209" i="11"/>
  <c r="D210" i="11"/>
  <c r="B210" i="11"/>
  <c r="AV210" i="11" s="1"/>
  <c r="AS208" i="11"/>
  <c r="AU208" i="11"/>
  <c r="AR208" i="11"/>
  <c r="AT208" i="11"/>
  <c r="AN208" i="11"/>
  <c r="AK208" i="11"/>
  <c r="AO208" i="11"/>
  <c r="AQ208" i="11"/>
  <c r="AL208" i="11"/>
  <c r="AJ208" i="11"/>
  <c r="AM208" i="11"/>
  <c r="AP208" i="11"/>
  <c r="D819" i="11"/>
  <c r="H818" i="11"/>
  <c r="J818" i="11"/>
  <c r="C818" i="11"/>
  <c r="BG208" i="11" l="1"/>
  <c r="X209" i="11"/>
  <c r="Z209" i="11" s="1"/>
  <c r="AY210" i="11"/>
  <c r="AW210" i="11"/>
  <c r="BD207" i="11"/>
  <c r="BK209" i="11"/>
  <c r="BL209" i="11"/>
  <c r="BM208" i="11"/>
  <c r="AZ208" i="11"/>
  <c r="N210" i="11"/>
  <c r="BJ210" i="11" s="1"/>
  <c r="M210" i="11"/>
  <c r="U210" i="11"/>
  <c r="G210" i="11"/>
  <c r="F210" i="11"/>
  <c r="V210" i="11"/>
  <c r="A212" i="11"/>
  <c r="BA212" i="11" s="1"/>
  <c r="BB211" i="11"/>
  <c r="E818" i="11"/>
  <c r="F818" i="11" s="1"/>
  <c r="G819" i="11" s="1"/>
  <c r="D211" i="11"/>
  <c r="C210" i="11"/>
  <c r="I818" i="11"/>
  <c r="B211" i="11"/>
  <c r="AV211" i="11" s="1"/>
  <c r="AT209" i="11"/>
  <c r="AU209" i="11"/>
  <c r="AR209" i="11"/>
  <c r="AS209" i="11"/>
  <c r="AM209" i="11"/>
  <c r="AO209" i="11"/>
  <c r="AL209" i="11"/>
  <c r="AQ209" i="11"/>
  <c r="AN209" i="11"/>
  <c r="AK209" i="11"/>
  <c r="AJ209" i="11"/>
  <c r="AP209" i="11"/>
  <c r="D820" i="11"/>
  <c r="H819" i="11"/>
  <c r="C819" i="11"/>
  <c r="J819" i="11"/>
  <c r="BG209" i="11" l="1"/>
  <c r="X210" i="11"/>
  <c r="Z210" i="11" s="1"/>
  <c r="AY211" i="11"/>
  <c r="AW211" i="11"/>
  <c r="BM209" i="11"/>
  <c r="BK210" i="11"/>
  <c r="BL210" i="11"/>
  <c r="AZ209" i="11"/>
  <c r="N211" i="11"/>
  <c r="BJ211" i="11" s="1"/>
  <c r="M211" i="11"/>
  <c r="U211" i="11"/>
  <c r="G211" i="11"/>
  <c r="F211" i="11"/>
  <c r="V211" i="11"/>
  <c r="A213" i="11"/>
  <c r="BA213" i="11" s="1"/>
  <c r="BB212" i="11"/>
  <c r="E819" i="11"/>
  <c r="F819" i="11" s="1"/>
  <c r="G820" i="11" s="1"/>
  <c r="I819" i="11"/>
  <c r="C211" i="11"/>
  <c r="D212" i="11"/>
  <c r="B212" i="11"/>
  <c r="AV212" i="11" s="1"/>
  <c r="AU210" i="11"/>
  <c r="AT210" i="11"/>
  <c r="AR210" i="11"/>
  <c r="AS210" i="11"/>
  <c r="AQ210" i="11"/>
  <c r="AO210" i="11"/>
  <c r="AL210" i="11"/>
  <c r="AJ210" i="11"/>
  <c r="AM210" i="11"/>
  <c r="AP210" i="11"/>
  <c r="AN210" i="11"/>
  <c r="AK210" i="11"/>
  <c r="D821" i="11"/>
  <c r="H820" i="11"/>
  <c r="J820" i="11"/>
  <c r="C820" i="11"/>
  <c r="X211" i="11" l="1"/>
  <c r="Z211" i="11" s="1"/>
  <c r="BG210" i="11"/>
  <c r="AY212" i="11"/>
  <c r="AW212" i="11"/>
  <c r="BK211" i="11"/>
  <c r="BL211" i="11"/>
  <c r="BM210" i="11"/>
  <c r="AZ210" i="11"/>
  <c r="BC210" i="11" s="1"/>
  <c r="N212" i="11"/>
  <c r="BJ212" i="11" s="1"/>
  <c r="M212" i="11"/>
  <c r="U212" i="11"/>
  <c r="G212" i="11"/>
  <c r="F212" i="11"/>
  <c r="V212" i="11"/>
  <c r="A214" i="11"/>
  <c r="BA214" i="11" s="1"/>
  <c r="BB213" i="11"/>
  <c r="D213" i="11"/>
  <c r="C212" i="11"/>
  <c r="I820" i="11"/>
  <c r="E820" i="11"/>
  <c r="F820" i="11" s="1"/>
  <c r="G821" i="11" s="1"/>
  <c r="B213" i="11"/>
  <c r="AV213" i="11" s="1"/>
  <c r="AU211" i="11"/>
  <c r="AR211" i="11"/>
  <c r="AT211" i="11"/>
  <c r="AS211" i="11"/>
  <c r="AQ211" i="11"/>
  <c r="AP211" i="11"/>
  <c r="AN211" i="11"/>
  <c r="AM211" i="11"/>
  <c r="AK211" i="11"/>
  <c r="AL211" i="11"/>
  <c r="AJ211" i="11"/>
  <c r="AO211" i="11"/>
  <c r="D822" i="11"/>
  <c r="H821" i="11"/>
  <c r="C821" i="11"/>
  <c r="J821" i="11"/>
  <c r="X212" i="11" l="1"/>
  <c r="Z212" i="11" s="1"/>
  <c r="BG211" i="11"/>
  <c r="AY213" i="11"/>
  <c r="AW213" i="11"/>
  <c r="BD210" i="11"/>
  <c r="BM211" i="11"/>
  <c r="BL212" i="11"/>
  <c r="BK212" i="11"/>
  <c r="AZ211" i="11"/>
  <c r="BC211" i="11" s="1"/>
  <c r="N213" i="11"/>
  <c r="BJ213" i="11" s="1"/>
  <c r="M213" i="11"/>
  <c r="U213" i="11"/>
  <c r="G213" i="11"/>
  <c r="F213" i="11"/>
  <c r="V213" i="11"/>
  <c r="A215" i="11"/>
  <c r="BA215" i="11" s="1"/>
  <c r="BB214" i="11"/>
  <c r="E821" i="11"/>
  <c r="F821" i="11" s="1"/>
  <c r="G822" i="11" s="1"/>
  <c r="I821" i="11"/>
  <c r="C213" i="11"/>
  <c r="D214" i="11"/>
  <c r="B214" i="11"/>
  <c r="AV214" i="11" s="1"/>
  <c r="AU212" i="11"/>
  <c r="AS212" i="11"/>
  <c r="AT212" i="11"/>
  <c r="AR212" i="11"/>
  <c r="AN212" i="11"/>
  <c r="AK212" i="11"/>
  <c r="AO212" i="11"/>
  <c r="AM212" i="11"/>
  <c r="AP212" i="11"/>
  <c r="AQ212" i="11"/>
  <c r="AL212" i="11"/>
  <c r="AJ212" i="11"/>
  <c r="D823" i="11"/>
  <c r="H822" i="11"/>
  <c r="J822" i="11"/>
  <c r="C822" i="11"/>
  <c r="BG212" i="11" l="1"/>
  <c r="X213" i="11"/>
  <c r="Z213" i="11" s="1"/>
  <c r="AY214" i="11"/>
  <c r="AW214" i="11"/>
  <c r="BD211" i="11"/>
  <c r="BM212" i="11"/>
  <c r="BK213" i="11"/>
  <c r="BL213" i="11"/>
  <c r="AZ212" i="11"/>
  <c r="BC212" i="11" s="1"/>
  <c r="N214" i="11"/>
  <c r="BJ214" i="11" s="1"/>
  <c r="M214" i="11"/>
  <c r="U214" i="11"/>
  <c r="F214" i="11"/>
  <c r="G214" i="11"/>
  <c r="V214" i="11"/>
  <c r="A216" i="11"/>
  <c r="BA216" i="11" s="1"/>
  <c r="BB215" i="11"/>
  <c r="E822" i="11"/>
  <c r="F822" i="11" s="1"/>
  <c r="G823" i="11" s="1"/>
  <c r="D215" i="11"/>
  <c r="C214" i="11"/>
  <c r="I822" i="11"/>
  <c r="B215" i="11"/>
  <c r="AV215" i="11" s="1"/>
  <c r="AT213" i="11"/>
  <c r="AS213" i="11"/>
  <c r="AR213" i="11"/>
  <c r="AU213" i="11"/>
  <c r="AM213" i="11"/>
  <c r="AO213" i="11"/>
  <c r="AL213" i="11"/>
  <c r="AQ213" i="11"/>
  <c r="AK213" i="11"/>
  <c r="AJ213" i="11"/>
  <c r="AP213" i="11"/>
  <c r="AN213" i="11"/>
  <c r="D824" i="11"/>
  <c r="H823" i="11"/>
  <c r="C823" i="11"/>
  <c r="J823" i="11"/>
  <c r="BG213" i="11" l="1"/>
  <c r="X214" i="11"/>
  <c r="Z214" i="11" s="1"/>
  <c r="AY215" i="11"/>
  <c r="AW215" i="11"/>
  <c r="BD212" i="11"/>
  <c r="BM213" i="11"/>
  <c r="BK214" i="11"/>
  <c r="BL214" i="11"/>
  <c r="AZ213" i="11"/>
  <c r="BD213" i="11" s="1"/>
  <c r="N215" i="11"/>
  <c r="BJ215" i="11" s="1"/>
  <c r="M215" i="11"/>
  <c r="U215" i="11"/>
  <c r="F215" i="11"/>
  <c r="G215" i="11"/>
  <c r="V215" i="11"/>
  <c r="A217" i="11"/>
  <c r="BA217" i="11" s="1"/>
  <c r="BB216" i="11"/>
  <c r="E823" i="11"/>
  <c r="F823" i="11" s="1"/>
  <c r="G824" i="11" s="1"/>
  <c r="I823" i="11"/>
  <c r="C215" i="11"/>
  <c r="D216" i="11"/>
  <c r="B216" i="11"/>
  <c r="AV216" i="11" s="1"/>
  <c r="AR214" i="11"/>
  <c r="AT214" i="11"/>
  <c r="AS214" i="11"/>
  <c r="AU214" i="11"/>
  <c r="AQ214" i="11"/>
  <c r="AO214" i="11"/>
  <c r="AL214" i="11"/>
  <c r="AM214" i="11"/>
  <c r="AJ214" i="11"/>
  <c r="AP214" i="11"/>
  <c r="AN214" i="11"/>
  <c r="AK214" i="11"/>
  <c r="D825" i="11"/>
  <c r="H824" i="11"/>
  <c r="J824" i="11"/>
  <c r="C824" i="11"/>
  <c r="BG214" i="11" l="1"/>
  <c r="X215" i="11"/>
  <c r="Z215" i="11" s="1"/>
  <c r="AY216" i="11"/>
  <c r="AW216" i="11"/>
  <c r="BC213" i="11"/>
  <c r="BL215" i="11"/>
  <c r="BK215" i="11"/>
  <c r="BM214" i="11"/>
  <c r="AZ214" i="11"/>
  <c r="BD214" i="11" s="1"/>
  <c r="N216" i="11"/>
  <c r="BJ216" i="11" s="1"/>
  <c r="M216" i="11"/>
  <c r="U216" i="11"/>
  <c r="G216" i="11"/>
  <c r="F216" i="11"/>
  <c r="V216" i="11"/>
  <c r="A218" i="11"/>
  <c r="BA218" i="11" s="1"/>
  <c r="BB217" i="11"/>
  <c r="D217" i="11"/>
  <c r="C216" i="11"/>
  <c r="E824" i="11"/>
  <c r="F824" i="11" s="1"/>
  <c r="G825" i="11" s="1"/>
  <c r="I824" i="11"/>
  <c r="B217" i="11"/>
  <c r="AV217" i="11" s="1"/>
  <c r="AU215" i="11"/>
  <c r="AT215" i="11"/>
  <c r="AR215" i="11"/>
  <c r="AS215" i="11"/>
  <c r="AM215" i="11"/>
  <c r="AK215" i="11"/>
  <c r="AQ215" i="11"/>
  <c r="AP215" i="11"/>
  <c r="AN215" i="11"/>
  <c r="AO215" i="11"/>
  <c r="AL215" i="11"/>
  <c r="AJ215" i="11"/>
  <c r="D826" i="11"/>
  <c r="H825" i="11"/>
  <c r="C825" i="11"/>
  <c r="J825" i="11"/>
  <c r="BG215" i="11" l="1"/>
  <c r="X216" i="11"/>
  <c r="Z216" i="11" s="1"/>
  <c r="AY217" i="11"/>
  <c r="AW217" i="11"/>
  <c r="BC214" i="11"/>
  <c r="BM215" i="11"/>
  <c r="BK216" i="11"/>
  <c r="BL216" i="11"/>
  <c r="AZ215" i="11"/>
  <c r="BD215" i="11" s="1"/>
  <c r="N217" i="11"/>
  <c r="BJ217" i="11" s="1"/>
  <c r="M217" i="11"/>
  <c r="U217" i="11"/>
  <c r="G217" i="11"/>
  <c r="F217" i="11"/>
  <c r="V217" i="11"/>
  <c r="A219" i="11"/>
  <c r="BA219" i="11" s="1"/>
  <c r="BB218" i="11"/>
  <c r="I825" i="11"/>
  <c r="E825" i="11"/>
  <c r="F825" i="11" s="1"/>
  <c r="G826" i="11" s="1"/>
  <c r="C217" i="11"/>
  <c r="D218" i="11"/>
  <c r="B218" i="11"/>
  <c r="AV218" i="11" s="1"/>
  <c r="AS216" i="11"/>
  <c r="AU216" i="11"/>
  <c r="AR216" i="11"/>
  <c r="AT216" i="11"/>
  <c r="AQ216" i="11"/>
  <c r="AL216" i="11"/>
  <c r="AJ216" i="11"/>
  <c r="AP216" i="11"/>
  <c r="AO216" i="11"/>
  <c r="AM216" i="11"/>
  <c r="AN216" i="11"/>
  <c r="AK216" i="11"/>
  <c r="D827" i="11"/>
  <c r="H826" i="11"/>
  <c r="J826" i="11"/>
  <c r="C826" i="11"/>
  <c r="BG216" i="11" l="1"/>
  <c r="X217" i="11"/>
  <c r="Z217" i="11" s="1"/>
  <c r="AY218" i="11"/>
  <c r="AW218" i="11"/>
  <c r="BC215" i="11"/>
  <c r="BK217" i="11"/>
  <c r="BL217" i="11"/>
  <c r="BM216" i="11"/>
  <c r="AZ216" i="11"/>
  <c r="BC216" i="11" s="1"/>
  <c r="N218" i="11"/>
  <c r="BJ218" i="11" s="1"/>
  <c r="M218" i="11"/>
  <c r="U218" i="11"/>
  <c r="G218" i="11"/>
  <c r="F218" i="11"/>
  <c r="V218" i="11"/>
  <c r="A220" i="11"/>
  <c r="BA220" i="11" s="1"/>
  <c r="BB219" i="11"/>
  <c r="D219" i="11"/>
  <c r="C218" i="11"/>
  <c r="E826" i="11"/>
  <c r="F826" i="11" s="1"/>
  <c r="G827" i="11" s="1"/>
  <c r="I826" i="11"/>
  <c r="B219" i="11"/>
  <c r="AV219" i="11" s="1"/>
  <c r="AU217" i="11"/>
  <c r="AT217" i="11"/>
  <c r="AR217" i="11"/>
  <c r="AS217" i="11"/>
  <c r="AJ217" i="11"/>
  <c r="AP217" i="11"/>
  <c r="AN217" i="11"/>
  <c r="AK217" i="11"/>
  <c r="AM217" i="11"/>
  <c r="AQ217" i="11"/>
  <c r="AO217" i="11"/>
  <c r="AL217" i="11"/>
  <c r="D828" i="11"/>
  <c r="H827" i="11"/>
  <c r="C827" i="11"/>
  <c r="J827" i="11"/>
  <c r="BG217" i="11" l="1"/>
  <c r="X218" i="11"/>
  <c r="Z218" i="11" s="1"/>
  <c r="AY219" i="11"/>
  <c r="AW219" i="11"/>
  <c r="BD216" i="11"/>
  <c r="BM217" i="11"/>
  <c r="BK218" i="11"/>
  <c r="BL218" i="11"/>
  <c r="AZ217" i="11"/>
  <c r="BC217" i="11" s="1"/>
  <c r="N219" i="11"/>
  <c r="BJ219" i="11" s="1"/>
  <c r="M219" i="11"/>
  <c r="U219" i="11"/>
  <c r="F219" i="11"/>
  <c r="G219" i="11"/>
  <c r="V219" i="11"/>
  <c r="A221" i="11"/>
  <c r="BA221" i="11" s="1"/>
  <c r="BB220" i="11"/>
  <c r="E827" i="11"/>
  <c r="F827" i="11" s="1"/>
  <c r="G828" i="11" s="1"/>
  <c r="I827" i="11"/>
  <c r="C219" i="11"/>
  <c r="D220" i="11"/>
  <c r="B220" i="11"/>
  <c r="AV220" i="11" s="1"/>
  <c r="AU218" i="11"/>
  <c r="AR218" i="11"/>
  <c r="AS218" i="11"/>
  <c r="AT218" i="11"/>
  <c r="AQ218" i="11"/>
  <c r="AO218" i="11"/>
  <c r="AL218" i="11"/>
  <c r="AM218" i="11"/>
  <c r="AJ218" i="11"/>
  <c r="AP218" i="11"/>
  <c r="AN218" i="11"/>
  <c r="AK218" i="11"/>
  <c r="D829" i="11"/>
  <c r="H828" i="11"/>
  <c r="J828" i="11"/>
  <c r="C828" i="11"/>
  <c r="AZ218" i="11" l="1"/>
  <c r="BC218" i="11" s="1"/>
  <c r="BG218" i="11"/>
  <c r="X219" i="11"/>
  <c r="Z219" i="11" s="1"/>
  <c r="AY220" i="11"/>
  <c r="AW220" i="11"/>
  <c r="BD217" i="11"/>
  <c r="BL219" i="11"/>
  <c r="BK219" i="11"/>
  <c r="BM218" i="11"/>
  <c r="N220" i="11"/>
  <c r="BJ220" i="11" s="1"/>
  <c r="M220" i="11"/>
  <c r="U220" i="11"/>
  <c r="G220" i="11"/>
  <c r="F220" i="11"/>
  <c r="V220" i="11"/>
  <c r="A222" i="11"/>
  <c r="BA222" i="11" s="1"/>
  <c r="BB221" i="11"/>
  <c r="E828" i="11"/>
  <c r="F828" i="11" s="1"/>
  <c r="G829" i="11" s="1"/>
  <c r="D221" i="11"/>
  <c r="C220" i="11"/>
  <c r="X220" i="11" s="1"/>
  <c r="Z220" i="11" s="1"/>
  <c r="I828" i="11"/>
  <c r="B221" i="11"/>
  <c r="AV221" i="11" s="1"/>
  <c r="AU219" i="11"/>
  <c r="AT219" i="11"/>
  <c r="AS219" i="11"/>
  <c r="AR219" i="11"/>
  <c r="AM219" i="11"/>
  <c r="AK219" i="11"/>
  <c r="AO219" i="11"/>
  <c r="AQ219" i="11"/>
  <c r="AP219" i="11"/>
  <c r="AN219" i="11"/>
  <c r="AL219" i="11"/>
  <c r="AJ219" i="11"/>
  <c r="D830" i="11"/>
  <c r="H829" i="11"/>
  <c r="C829" i="11"/>
  <c r="J829" i="11"/>
  <c r="BD218" i="11" l="1"/>
  <c r="BG219" i="11"/>
  <c r="AY221" i="11"/>
  <c r="AW221" i="11"/>
  <c r="BM219" i="11"/>
  <c r="BL220" i="11"/>
  <c r="BK220" i="11"/>
  <c r="AZ219" i="11"/>
  <c r="BC219" i="11" s="1"/>
  <c r="N221" i="11"/>
  <c r="BJ221" i="11" s="1"/>
  <c r="M221" i="11"/>
  <c r="U221" i="11"/>
  <c r="G221" i="11"/>
  <c r="F221" i="11"/>
  <c r="V221" i="11"/>
  <c r="BG220" i="11"/>
  <c r="A223" i="11"/>
  <c r="BA223" i="11" s="1"/>
  <c r="BB222" i="11"/>
  <c r="E829" i="11"/>
  <c r="F829" i="11" s="1"/>
  <c r="G830" i="11" s="1"/>
  <c r="I829" i="11"/>
  <c r="C221" i="11"/>
  <c r="D222" i="11"/>
  <c r="B222" i="11"/>
  <c r="AV222" i="11" s="1"/>
  <c r="AT220" i="11"/>
  <c r="AS220" i="11"/>
  <c r="AR220" i="11"/>
  <c r="AU220" i="11"/>
  <c r="AP220" i="11"/>
  <c r="AM220" i="11"/>
  <c r="AL220" i="11"/>
  <c r="AJ220" i="11"/>
  <c r="AK220" i="11"/>
  <c r="AQ220" i="11"/>
  <c r="AN220" i="11"/>
  <c r="AO220" i="11"/>
  <c r="D831" i="11"/>
  <c r="H830" i="11"/>
  <c r="J830" i="11"/>
  <c r="C830" i="11"/>
  <c r="X221" i="11" l="1"/>
  <c r="Z221" i="11" s="1"/>
  <c r="AY222" i="11"/>
  <c r="AW222" i="11"/>
  <c r="BD219" i="11"/>
  <c r="BM220" i="11"/>
  <c r="BK221" i="11"/>
  <c r="BL221" i="11"/>
  <c r="AZ220" i="11"/>
  <c r="BD220" i="11" s="1"/>
  <c r="N222" i="11"/>
  <c r="BJ222" i="11" s="1"/>
  <c r="M222" i="11"/>
  <c r="U222" i="11"/>
  <c r="G222" i="11"/>
  <c r="F222" i="11"/>
  <c r="V222" i="11"/>
  <c r="A224" i="11"/>
  <c r="BB223" i="11"/>
  <c r="E830" i="11"/>
  <c r="F830" i="11" s="1"/>
  <c r="G831" i="11" s="1"/>
  <c r="D223" i="11"/>
  <c r="C222" i="11"/>
  <c r="I830" i="11"/>
  <c r="B223" i="11"/>
  <c r="AV223" i="11" s="1"/>
  <c r="AT221" i="11"/>
  <c r="AU221" i="11"/>
  <c r="AS221" i="11"/>
  <c r="AR221" i="11"/>
  <c r="AQ221" i="11"/>
  <c r="AK221" i="11"/>
  <c r="AL221" i="11"/>
  <c r="AM221" i="11"/>
  <c r="AJ221" i="11"/>
  <c r="AN221" i="11"/>
  <c r="AP221" i="11"/>
  <c r="AO221" i="11"/>
  <c r="D832" i="11"/>
  <c r="H831" i="11"/>
  <c r="C831" i="11"/>
  <c r="J831" i="11"/>
  <c r="BG221" i="11" l="1"/>
  <c r="X222" i="11"/>
  <c r="Z222" i="11" s="1"/>
  <c r="AY223" i="11"/>
  <c r="AW223" i="11"/>
  <c r="BC220" i="11"/>
  <c r="BM221" i="11"/>
  <c r="BK222" i="11"/>
  <c r="BL222" i="11"/>
  <c r="AZ221" i="11"/>
  <c r="BC221" i="11" s="1"/>
  <c r="N223" i="11"/>
  <c r="BJ223" i="11" s="1"/>
  <c r="M223" i="11"/>
  <c r="U223" i="11"/>
  <c r="F223" i="11"/>
  <c r="G223" i="11"/>
  <c r="V223" i="11"/>
  <c r="A225" i="11"/>
  <c r="E831" i="11"/>
  <c r="F831" i="11" s="1"/>
  <c r="G832" i="11" s="1"/>
  <c r="I831" i="11"/>
  <c r="C223" i="11"/>
  <c r="D224" i="11"/>
  <c r="B224" i="11"/>
  <c r="AV224" i="11" s="1"/>
  <c r="AU222" i="11"/>
  <c r="AR222" i="11"/>
  <c r="AT222" i="11"/>
  <c r="AS222" i="11"/>
  <c r="AM222" i="11"/>
  <c r="AK222" i="11"/>
  <c r="AP222" i="11"/>
  <c r="AJ222" i="11"/>
  <c r="AL222" i="11"/>
  <c r="AQ222" i="11"/>
  <c r="AN222" i="11"/>
  <c r="AO222" i="11"/>
  <c r="D833" i="11"/>
  <c r="H832" i="11"/>
  <c r="J832" i="11"/>
  <c r="C832" i="11"/>
  <c r="BG222" i="11" l="1"/>
  <c r="X223" i="11"/>
  <c r="Z223" i="11" s="1"/>
  <c r="AY224" i="11"/>
  <c r="AW224" i="11"/>
  <c r="BD221" i="11"/>
  <c r="BL223" i="11"/>
  <c r="BK223" i="11"/>
  <c r="BM222" i="11"/>
  <c r="AZ222" i="11"/>
  <c r="BD222" i="11" s="1"/>
  <c r="N224" i="11"/>
  <c r="BJ224" i="11" s="1"/>
  <c r="M224" i="11"/>
  <c r="U224" i="11"/>
  <c r="G224" i="11"/>
  <c r="F224" i="11"/>
  <c r="V224" i="11"/>
  <c r="A226" i="11"/>
  <c r="BA226" i="11" s="1"/>
  <c r="D225" i="11"/>
  <c r="C224" i="11"/>
  <c r="E832" i="11"/>
  <c r="F832" i="11" s="1"/>
  <c r="G833" i="11" s="1"/>
  <c r="I832" i="11"/>
  <c r="B225" i="11"/>
  <c r="AV225" i="11" s="1"/>
  <c r="AU223" i="11"/>
  <c r="AS223" i="11"/>
  <c r="AR223" i="11"/>
  <c r="AT223" i="11"/>
  <c r="AM223" i="11"/>
  <c r="AJ223" i="11"/>
  <c r="AL223" i="11"/>
  <c r="AN223" i="11"/>
  <c r="AQ223" i="11"/>
  <c r="AP223" i="11"/>
  <c r="AO223" i="11"/>
  <c r="AK223" i="11"/>
  <c r="D834" i="11"/>
  <c r="H833" i="11"/>
  <c r="C833" i="11"/>
  <c r="J833" i="11"/>
  <c r="X224" i="11" l="1"/>
  <c r="Z224" i="11" s="1"/>
  <c r="BG223" i="11"/>
  <c r="AY225" i="11"/>
  <c r="AW225" i="11"/>
  <c r="BC222" i="11"/>
  <c r="BM223" i="11"/>
  <c r="BL224" i="11"/>
  <c r="BK224" i="11"/>
  <c r="AZ223" i="11"/>
  <c r="BD223" i="11" s="1"/>
  <c r="N225" i="11"/>
  <c r="BJ225" i="11" s="1"/>
  <c r="M225" i="11"/>
  <c r="U225" i="11"/>
  <c r="G225" i="11"/>
  <c r="F225" i="11"/>
  <c r="V225" i="11"/>
  <c r="A227" i="11"/>
  <c r="BA227" i="11" s="1"/>
  <c r="BB226" i="11"/>
  <c r="I833" i="11"/>
  <c r="E833" i="11"/>
  <c r="F833" i="11" s="1"/>
  <c r="G834" i="11" s="1"/>
  <c r="C225" i="11"/>
  <c r="D226" i="11"/>
  <c r="B226" i="11"/>
  <c r="AV226" i="11" s="1"/>
  <c r="AS224" i="11"/>
  <c r="AU224" i="11"/>
  <c r="AR224" i="11"/>
  <c r="AT224" i="11"/>
  <c r="AM224" i="11"/>
  <c r="AK224" i="11"/>
  <c r="AL224" i="11"/>
  <c r="AJ224" i="11"/>
  <c r="AQ224" i="11"/>
  <c r="AN224" i="11"/>
  <c r="AO224" i="11"/>
  <c r="AP224" i="11"/>
  <c r="D835" i="11"/>
  <c r="H834" i="11"/>
  <c r="J834" i="11"/>
  <c r="C834" i="11"/>
  <c r="BG224" i="11" l="1"/>
  <c r="X225" i="11"/>
  <c r="Z225" i="11" s="1"/>
  <c r="AY226" i="11"/>
  <c r="AW226" i="11"/>
  <c r="BC223" i="11"/>
  <c r="BM224" i="11"/>
  <c r="BK225" i="11"/>
  <c r="BL225" i="11"/>
  <c r="AZ224" i="11"/>
  <c r="N226" i="11"/>
  <c r="BJ226" i="11" s="1"/>
  <c r="M226" i="11"/>
  <c r="U226" i="11"/>
  <c r="G226" i="11"/>
  <c r="F226" i="11"/>
  <c r="V226" i="11"/>
  <c r="A228" i="11"/>
  <c r="BA228" i="11" s="1"/>
  <c r="BB227" i="11"/>
  <c r="E834" i="11"/>
  <c r="F834" i="11" s="1"/>
  <c r="G835" i="11" s="1"/>
  <c r="D227" i="11"/>
  <c r="C226" i="11"/>
  <c r="I834" i="11"/>
  <c r="B227" i="11"/>
  <c r="AV227" i="11" s="1"/>
  <c r="AT225" i="11"/>
  <c r="AU225" i="11"/>
  <c r="AR225" i="11"/>
  <c r="AS225" i="11"/>
  <c r="AP225" i="11"/>
  <c r="AO225" i="11"/>
  <c r="AN225" i="11"/>
  <c r="AL225" i="11"/>
  <c r="AJ225" i="11"/>
  <c r="AQ225" i="11"/>
  <c r="AK225" i="11"/>
  <c r="AM225" i="11"/>
  <c r="D836" i="11"/>
  <c r="H835" i="11"/>
  <c r="C835" i="11"/>
  <c r="J835" i="11"/>
  <c r="BG225" i="11" l="1"/>
  <c r="X226" i="11"/>
  <c r="Z226" i="11" s="1"/>
  <c r="AY227" i="11"/>
  <c r="AW227" i="11"/>
  <c r="BM225" i="11"/>
  <c r="BL226" i="11"/>
  <c r="BK226" i="11"/>
  <c r="AZ225" i="11"/>
  <c r="N227" i="11"/>
  <c r="BJ227" i="11" s="1"/>
  <c r="M227" i="11"/>
  <c r="U227" i="11"/>
  <c r="G227" i="11"/>
  <c r="F227" i="11"/>
  <c r="V227" i="11"/>
  <c r="A229" i="11"/>
  <c r="BA229" i="11" s="1"/>
  <c r="BB228" i="11"/>
  <c r="C227" i="11"/>
  <c r="D228" i="11"/>
  <c r="E835" i="11"/>
  <c r="F835" i="11" s="1"/>
  <c r="G836" i="11" s="1"/>
  <c r="I835" i="11"/>
  <c r="B228" i="11"/>
  <c r="AV228" i="11" s="1"/>
  <c r="AT226" i="11"/>
  <c r="AR226" i="11"/>
  <c r="AU226" i="11"/>
  <c r="AS226" i="11"/>
  <c r="AL226" i="11"/>
  <c r="AJ226" i="11"/>
  <c r="AP226" i="11"/>
  <c r="AQ226" i="11"/>
  <c r="AN226" i="11"/>
  <c r="AO226" i="11"/>
  <c r="AM226" i="11"/>
  <c r="AK226" i="11"/>
  <c r="D837" i="11"/>
  <c r="H836" i="11"/>
  <c r="J836" i="11"/>
  <c r="C836" i="11"/>
  <c r="BG226" i="11" l="1"/>
  <c r="X227" i="11"/>
  <c r="Z227" i="11" s="1"/>
  <c r="AY228" i="11"/>
  <c r="AW228" i="11"/>
  <c r="BM226" i="11"/>
  <c r="BK227" i="11"/>
  <c r="BL227" i="11"/>
  <c r="AZ226" i="11"/>
  <c r="BD226" i="11" s="1"/>
  <c r="N228" i="11"/>
  <c r="BJ228" i="11" s="1"/>
  <c r="M228" i="11"/>
  <c r="U228" i="11"/>
  <c r="G228" i="11"/>
  <c r="F228" i="11"/>
  <c r="V228" i="11"/>
  <c r="A230" i="11"/>
  <c r="BA230" i="11" s="1"/>
  <c r="BB229" i="11"/>
  <c r="E836" i="11"/>
  <c r="F836" i="11" s="1"/>
  <c r="G837" i="11" s="1"/>
  <c r="D229" i="11"/>
  <c r="C228" i="11"/>
  <c r="I836" i="11"/>
  <c r="B229" i="11"/>
  <c r="AV229" i="11" s="1"/>
  <c r="AU227" i="11"/>
  <c r="AT227" i="11"/>
  <c r="AS227" i="11"/>
  <c r="AR227" i="11"/>
  <c r="AL227" i="11"/>
  <c r="AN227" i="11"/>
  <c r="AQ227" i="11"/>
  <c r="AK227" i="11"/>
  <c r="AM227" i="11"/>
  <c r="AJ227" i="11"/>
  <c r="AP227" i="11"/>
  <c r="AO227" i="11"/>
  <c r="D838" i="11"/>
  <c r="H837" i="11"/>
  <c r="C837" i="11"/>
  <c r="J837" i="11"/>
  <c r="X228" i="11" l="1"/>
  <c r="Z228" i="11" s="1"/>
  <c r="AZ227" i="11"/>
  <c r="BD227" i="11" s="1"/>
  <c r="BG227" i="11"/>
  <c r="AY229" i="11"/>
  <c r="AW229" i="11"/>
  <c r="BC226" i="11"/>
  <c r="BM227" i="11"/>
  <c r="BL228" i="11"/>
  <c r="BK228" i="11"/>
  <c r="N229" i="11"/>
  <c r="BJ229" i="11" s="1"/>
  <c r="M229" i="11"/>
  <c r="U229" i="11"/>
  <c r="G229" i="11"/>
  <c r="F229" i="11"/>
  <c r="V229" i="11"/>
  <c r="A231" i="11"/>
  <c r="BA231" i="11" s="1"/>
  <c r="BB230" i="11"/>
  <c r="E837" i="11"/>
  <c r="F837" i="11" s="1"/>
  <c r="G838" i="11" s="1"/>
  <c r="I837" i="11"/>
  <c r="C229" i="11"/>
  <c r="D230" i="11"/>
  <c r="B230" i="11"/>
  <c r="AV230" i="11" s="1"/>
  <c r="AU228" i="11"/>
  <c r="AS228" i="11"/>
  <c r="AT228" i="11"/>
  <c r="AR228" i="11"/>
  <c r="AQ228" i="11"/>
  <c r="AN228" i="11"/>
  <c r="AL228" i="11"/>
  <c r="AM228" i="11"/>
  <c r="AK228" i="11"/>
  <c r="AO228" i="11"/>
  <c r="AP228" i="11"/>
  <c r="AJ228" i="11"/>
  <c r="D839" i="11"/>
  <c r="H838" i="11"/>
  <c r="J838" i="11"/>
  <c r="C838" i="11"/>
  <c r="X229" i="11" l="1"/>
  <c r="Z229" i="11" s="1"/>
  <c r="BC227" i="11"/>
  <c r="BG228" i="11"/>
  <c r="AY230" i="11"/>
  <c r="AW230" i="11"/>
  <c r="BM228" i="11"/>
  <c r="BL229" i="11"/>
  <c r="BK229" i="11"/>
  <c r="AZ228" i="11"/>
  <c r="BD228" i="11" s="1"/>
  <c r="N230" i="11"/>
  <c r="BJ230" i="11" s="1"/>
  <c r="M230" i="11"/>
  <c r="U230" i="11"/>
  <c r="F230" i="11"/>
  <c r="G230" i="11"/>
  <c r="V230" i="11"/>
  <c r="A232" i="11"/>
  <c r="BA232" i="11" s="1"/>
  <c r="BB231" i="11"/>
  <c r="D231" i="11"/>
  <c r="C230" i="11"/>
  <c r="E838" i="11"/>
  <c r="F838" i="11" s="1"/>
  <c r="G839" i="11" s="1"/>
  <c r="I838" i="11"/>
  <c r="B231" i="11"/>
  <c r="AV231" i="11" s="1"/>
  <c r="AT229" i="11"/>
  <c r="AS229" i="11"/>
  <c r="AU229" i="11"/>
  <c r="AR229" i="11"/>
  <c r="AO229" i="11"/>
  <c r="AP229" i="11"/>
  <c r="AN229" i="11"/>
  <c r="AK229" i="11"/>
  <c r="AM229" i="11"/>
  <c r="AL229" i="11"/>
  <c r="AQ229" i="11"/>
  <c r="AJ229" i="11"/>
  <c r="D840" i="11"/>
  <c r="H839" i="11"/>
  <c r="C839" i="11"/>
  <c r="J839" i="11"/>
  <c r="BG229" i="11" l="1"/>
  <c r="X230" i="11"/>
  <c r="Z230" i="11" s="1"/>
  <c r="AY231" i="11"/>
  <c r="AW231" i="11"/>
  <c r="BM229" i="11"/>
  <c r="BK230" i="11"/>
  <c r="BL230" i="11"/>
  <c r="BC228" i="11"/>
  <c r="AZ229" i="11"/>
  <c r="BC229" i="11" s="1"/>
  <c r="N231" i="11"/>
  <c r="BJ231" i="11" s="1"/>
  <c r="M231" i="11"/>
  <c r="U231" i="11"/>
  <c r="F231" i="11"/>
  <c r="G231" i="11"/>
  <c r="V231" i="11"/>
  <c r="A233" i="11"/>
  <c r="BA233" i="11" s="1"/>
  <c r="BB232" i="11"/>
  <c r="E839" i="11"/>
  <c r="F839" i="11" s="1"/>
  <c r="G840" i="11" s="1"/>
  <c r="I839" i="11"/>
  <c r="C231" i="11"/>
  <c r="D232" i="11"/>
  <c r="B232" i="11"/>
  <c r="AV232" i="11" s="1"/>
  <c r="AR230" i="11"/>
  <c r="AU230" i="11"/>
  <c r="AS230" i="11"/>
  <c r="AT230" i="11"/>
  <c r="AQ230" i="11"/>
  <c r="AL230" i="11"/>
  <c r="AM230" i="11"/>
  <c r="AN230" i="11"/>
  <c r="AK230" i="11"/>
  <c r="AO230" i="11"/>
  <c r="AP230" i="11"/>
  <c r="AJ230" i="11"/>
  <c r="D841" i="11"/>
  <c r="H840" i="11"/>
  <c r="J840" i="11"/>
  <c r="C840" i="11"/>
  <c r="AZ230" i="11" l="1"/>
  <c r="BC230" i="11" s="1"/>
  <c r="X231" i="11"/>
  <c r="Z231" i="11" s="1"/>
  <c r="BG230" i="11"/>
  <c r="AY232" i="11"/>
  <c r="AW232" i="11"/>
  <c r="BD229" i="11"/>
  <c r="BL231" i="11"/>
  <c r="BK231" i="11"/>
  <c r="BM230" i="11"/>
  <c r="N232" i="11"/>
  <c r="BJ232" i="11" s="1"/>
  <c r="M232" i="11"/>
  <c r="U232" i="11"/>
  <c r="G232" i="11"/>
  <c r="F232" i="11"/>
  <c r="V232" i="11"/>
  <c r="A234" i="11"/>
  <c r="BA234" i="11" s="1"/>
  <c r="BB233" i="11"/>
  <c r="E840" i="11"/>
  <c r="F840" i="11" s="1"/>
  <c r="G841" i="11" s="1"/>
  <c r="D233" i="11"/>
  <c r="C232" i="11"/>
  <c r="X232" i="11" s="1"/>
  <c r="Z232" i="11" s="1"/>
  <c r="I840" i="11"/>
  <c r="B233" i="11"/>
  <c r="AV233" i="11" s="1"/>
  <c r="AU231" i="11"/>
  <c r="AT231" i="11"/>
  <c r="AR231" i="11"/>
  <c r="AS231" i="11"/>
  <c r="AM231" i="11"/>
  <c r="AN231" i="11"/>
  <c r="AQ231" i="11"/>
  <c r="AO231" i="11"/>
  <c r="AP231" i="11"/>
  <c r="AJ231" i="11"/>
  <c r="AK231" i="11"/>
  <c r="AL231" i="11"/>
  <c r="D842" i="11"/>
  <c r="H841" i="11"/>
  <c r="C841" i="11"/>
  <c r="J841" i="11"/>
  <c r="BD230" i="11" l="1"/>
  <c r="BG231" i="11"/>
  <c r="AY233" i="11"/>
  <c r="AW233" i="11"/>
  <c r="BM231" i="11"/>
  <c r="BK232" i="11"/>
  <c r="BL232" i="11"/>
  <c r="AZ231" i="11"/>
  <c r="BC231" i="11" s="1"/>
  <c r="N233" i="11"/>
  <c r="BJ233" i="11" s="1"/>
  <c r="M233" i="11"/>
  <c r="U233" i="11"/>
  <c r="G233" i="11"/>
  <c r="F233" i="11"/>
  <c r="V233" i="11"/>
  <c r="BG232" i="11"/>
  <c r="A235" i="11"/>
  <c r="BA235" i="11" s="1"/>
  <c r="BB234" i="11"/>
  <c r="E841" i="11"/>
  <c r="F841" i="11" s="1"/>
  <c r="G842" i="11" s="1"/>
  <c r="I841" i="11"/>
  <c r="C233" i="11"/>
  <c r="D234" i="11"/>
  <c r="B234" i="11"/>
  <c r="AV234" i="11" s="1"/>
  <c r="AU232" i="11"/>
  <c r="AS232" i="11"/>
  <c r="AT232" i="11"/>
  <c r="AR232" i="11"/>
  <c r="AO232" i="11"/>
  <c r="AP232" i="11"/>
  <c r="AK232" i="11"/>
  <c r="AM232" i="11"/>
  <c r="AJ232" i="11"/>
  <c r="AL232" i="11"/>
  <c r="AQ232" i="11"/>
  <c r="AN232" i="11"/>
  <c r="D843" i="11"/>
  <c r="H842" i="11"/>
  <c r="J842" i="11"/>
  <c r="C842" i="11"/>
  <c r="X233" i="11" l="1"/>
  <c r="Z233" i="11" s="1"/>
  <c r="AY234" i="11"/>
  <c r="AW234" i="11"/>
  <c r="BD231" i="11"/>
  <c r="BK233" i="11"/>
  <c r="BL233" i="11"/>
  <c r="BM232" i="11"/>
  <c r="AZ232" i="11"/>
  <c r="BC232" i="11" s="1"/>
  <c r="N234" i="11"/>
  <c r="BJ234" i="11" s="1"/>
  <c r="M234" i="11"/>
  <c r="U234" i="11"/>
  <c r="G234" i="11"/>
  <c r="F234" i="11"/>
  <c r="V234" i="11"/>
  <c r="A236" i="11"/>
  <c r="BB235" i="11"/>
  <c r="D235" i="11"/>
  <c r="C234" i="11"/>
  <c r="E842" i="11"/>
  <c r="F842" i="11" s="1"/>
  <c r="G843" i="11" s="1"/>
  <c r="I842" i="11"/>
  <c r="B235" i="11"/>
  <c r="AV235" i="11" s="1"/>
  <c r="AU233" i="11"/>
  <c r="AT233" i="11"/>
  <c r="AS233" i="11"/>
  <c r="AR233" i="11"/>
  <c r="AM233" i="11"/>
  <c r="AO233" i="11"/>
  <c r="AN233" i="11"/>
  <c r="AL233" i="11"/>
  <c r="AP233" i="11"/>
  <c r="AQ233" i="11"/>
  <c r="AK233" i="11"/>
  <c r="AJ233" i="11"/>
  <c r="D844" i="11"/>
  <c r="H843" i="11"/>
  <c r="C843" i="11"/>
  <c r="J843" i="11"/>
  <c r="BG233" i="11" l="1"/>
  <c r="X234" i="11"/>
  <c r="Z234" i="11" s="1"/>
  <c r="AY235" i="11"/>
  <c r="AW235" i="11"/>
  <c r="BD232" i="11"/>
  <c r="BM233" i="11"/>
  <c r="BL234" i="11"/>
  <c r="BK234" i="11"/>
  <c r="AZ233" i="11"/>
  <c r="BD233" i="11" s="1"/>
  <c r="N235" i="11"/>
  <c r="BJ235" i="11" s="1"/>
  <c r="M235" i="11"/>
  <c r="U235" i="11"/>
  <c r="F235" i="11"/>
  <c r="G235" i="11"/>
  <c r="V235" i="11"/>
  <c r="A237" i="11"/>
  <c r="BA237" i="11" s="1"/>
  <c r="E843" i="11"/>
  <c r="F843" i="11" s="1"/>
  <c r="G844" i="11" s="1"/>
  <c r="I843" i="11"/>
  <c r="C235" i="11"/>
  <c r="D236" i="11"/>
  <c r="B236" i="11"/>
  <c r="AV236" i="11" s="1"/>
  <c r="AR234" i="11"/>
  <c r="AS234" i="11"/>
  <c r="AU234" i="11"/>
  <c r="AT234" i="11"/>
  <c r="AK234" i="11"/>
  <c r="AQ234" i="11"/>
  <c r="AO234" i="11"/>
  <c r="AJ234" i="11"/>
  <c r="AL234" i="11"/>
  <c r="AM234" i="11"/>
  <c r="AN234" i="11"/>
  <c r="AP234" i="11"/>
  <c r="D845" i="11"/>
  <c r="H844" i="11"/>
  <c r="J844" i="11"/>
  <c r="C844" i="11"/>
  <c r="BG234" i="11" l="1"/>
  <c r="AZ234" i="11"/>
  <c r="BD234" i="11" s="1"/>
  <c r="X235" i="11"/>
  <c r="Z235" i="11" s="1"/>
  <c r="AY236" i="11"/>
  <c r="AW236" i="11"/>
  <c r="BC233" i="11"/>
  <c r="BM234" i="11"/>
  <c r="BK235" i="11"/>
  <c r="BL235" i="11"/>
  <c r="N236" i="11"/>
  <c r="BJ236" i="11" s="1"/>
  <c r="M236" i="11"/>
  <c r="U236" i="11"/>
  <c r="G236" i="11"/>
  <c r="F236" i="11"/>
  <c r="V236" i="11"/>
  <c r="A238" i="11"/>
  <c r="BA238" i="11" s="1"/>
  <c r="BB237" i="11"/>
  <c r="E844" i="11"/>
  <c r="F844" i="11" s="1"/>
  <c r="G845" i="11" s="1"/>
  <c r="D237" i="11"/>
  <c r="C236" i="11"/>
  <c r="I844" i="11"/>
  <c r="B237" i="11"/>
  <c r="AV237" i="11" s="1"/>
  <c r="AU235" i="11"/>
  <c r="AT235" i="11"/>
  <c r="AS235" i="11"/>
  <c r="AR235" i="11"/>
  <c r="AM235" i="11"/>
  <c r="AN235" i="11"/>
  <c r="AP235" i="11"/>
  <c r="AO235" i="11"/>
  <c r="AJ235" i="11"/>
  <c r="AL235" i="11"/>
  <c r="AK235" i="11"/>
  <c r="AQ235" i="11"/>
  <c r="D846" i="11"/>
  <c r="H845" i="11"/>
  <c r="C845" i="11"/>
  <c r="J845" i="11"/>
  <c r="BC234" i="11" l="1"/>
  <c r="BG235" i="11"/>
  <c r="X236" i="11"/>
  <c r="Z236" i="11" s="1"/>
  <c r="AY237" i="11"/>
  <c r="AW237" i="11"/>
  <c r="BM235" i="11"/>
  <c r="BL236" i="11"/>
  <c r="BK236" i="11"/>
  <c r="AZ235" i="11"/>
  <c r="BD235" i="11" s="1"/>
  <c r="N237" i="11"/>
  <c r="BJ237" i="11" s="1"/>
  <c r="M237" i="11"/>
  <c r="U237" i="11"/>
  <c r="G237" i="11"/>
  <c r="F237" i="11"/>
  <c r="V237" i="11"/>
  <c r="A239" i="11"/>
  <c r="BA239" i="11" s="1"/>
  <c r="BB238" i="11"/>
  <c r="E845" i="11"/>
  <c r="F845" i="11" s="1"/>
  <c r="G846" i="11" s="1"/>
  <c r="I845" i="11"/>
  <c r="C237" i="11"/>
  <c r="D238" i="11"/>
  <c r="B238" i="11"/>
  <c r="AV238" i="11" s="1"/>
  <c r="AT236" i="11"/>
  <c r="AS236" i="11"/>
  <c r="AU236" i="11"/>
  <c r="AR236" i="11"/>
  <c r="AO236" i="11"/>
  <c r="AJ236" i="11"/>
  <c r="AL236" i="11"/>
  <c r="AP236" i="11"/>
  <c r="AK236" i="11"/>
  <c r="AQ236" i="11"/>
  <c r="AM236" i="11"/>
  <c r="AN236" i="11"/>
  <c r="D847" i="11"/>
  <c r="H846" i="11"/>
  <c r="J846" i="11"/>
  <c r="C846" i="11"/>
  <c r="X237" i="11" l="1"/>
  <c r="Z237" i="11" s="1"/>
  <c r="BG236" i="11"/>
  <c r="AY238" i="11"/>
  <c r="AW238" i="11"/>
  <c r="BC235" i="11"/>
  <c r="BM236" i="11"/>
  <c r="BL237" i="11"/>
  <c r="BK237" i="11"/>
  <c r="AZ236" i="11"/>
  <c r="N238" i="11"/>
  <c r="BJ238" i="11" s="1"/>
  <c r="M238" i="11"/>
  <c r="U238" i="11"/>
  <c r="G238" i="11"/>
  <c r="F238" i="11"/>
  <c r="V238" i="11"/>
  <c r="A240" i="11"/>
  <c r="BA240" i="11" s="1"/>
  <c r="BB239" i="11"/>
  <c r="E846" i="11"/>
  <c r="F846" i="11" s="1"/>
  <c r="G847" i="11" s="1"/>
  <c r="D239" i="11"/>
  <c r="C238" i="11"/>
  <c r="I846" i="11"/>
  <c r="B239" i="11"/>
  <c r="AV239" i="11" s="1"/>
  <c r="AT237" i="11"/>
  <c r="AU237" i="11"/>
  <c r="AS237" i="11"/>
  <c r="AR237" i="11"/>
  <c r="AO237" i="11"/>
  <c r="AJ237" i="11"/>
  <c r="AL237" i="11"/>
  <c r="AK237" i="11"/>
  <c r="AQ237" i="11"/>
  <c r="AN237" i="11"/>
  <c r="AM237" i="11"/>
  <c r="AP237" i="11"/>
  <c r="D848" i="11"/>
  <c r="H847" i="11"/>
  <c r="C847" i="11"/>
  <c r="J847" i="11"/>
  <c r="BG237" i="11" l="1"/>
  <c r="X238" i="11"/>
  <c r="Z238" i="11" s="1"/>
  <c r="AY239" i="11"/>
  <c r="AW239" i="11"/>
  <c r="BM237" i="11"/>
  <c r="BK238" i="11"/>
  <c r="BL238" i="11"/>
  <c r="AZ237" i="11"/>
  <c r="BD237" i="11" s="1"/>
  <c r="N239" i="11"/>
  <c r="BJ239" i="11" s="1"/>
  <c r="M239" i="11"/>
  <c r="U239" i="11"/>
  <c r="F239" i="11"/>
  <c r="G239" i="11"/>
  <c r="V239" i="11"/>
  <c r="A241" i="11"/>
  <c r="BA241" i="11" s="1"/>
  <c r="BB240" i="11"/>
  <c r="E847" i="11"/>
  <c r="F847" i="11" s="1"/>
  <c r="G848" i="11" s="1"/>
  <c r="C239" i="11"/>
  <c r="D240" i="11"/>
  <c r="I847" i="11"/>
  <c r="B240" i="11"/>
  <c r="AV240" i="11" s="1"/>
  <c r="AU238" i="11"/>
  <c r="AR238" i="11"/>
  <c r="AT238" i="11"/>
  <c r="AS238" i="11"/>
  <c r="AO238" i="11"/>
  <c r="AJ238" i="11"/>
  <c r="AL238" i="11"/>
  <c r="AK238" i="11"/>
  <c r="AQ238" i="11"/>
  <c r="AM238" i="11"/>
  <c r="AN238" i="11"/>
  <c r="AP238" i="11"/>
  <c r="D849" i="11"/>
  <c r="H848" i="11"/>
  <c r="J848" i="11"/>
  <c r="C848" i="11"/>
  <c r="BG238" i="11" l="1"/>
  <c r="X239" i="11"/>
  <c r="Z239" i="11" s="1"/>
  <c r="AY240" i="11"/>
  <c r="AW240" i="11"/>
  <c r="BC237" i="11"/>
  <c r="BM238" i="11"/>
  <c r="BL239" i="11"/>
  <c r="BK239" i="11"/>
  <c r="AZ238" i="11"/>
  <c r="BD238" i="11" s="1"/>
  <c r="N240" i="11"/>
  <c r="BJ240" i="11" s="1"/>
  <c r="M240" i="11"/>
  <c r="U240" i="11"/>
  <c r="G240" i="11"/>
  <c r="F240" i="11"/>
  <c r="V240" i="11"/>
  <c r="A242" i="11"/>
  <c r="BB241" i="11"/>
  <c r="E848" i="11"/>
  <c r="F848" i="11" s="1"/>
  <c r="G849" i="11" s="1"/>
  <c r="D241" i="11"/>
  <c r="C240" i="11"/>
  <c r="I848" i="11"/>
  <c r="B241" i="11"/>
  <c r="AV241" i="11" s="1"/>
  <c r="AU239" i="11"/>
  <c r="AS239" i="11"/>
  <c r="AR239" i="11"/>
  <c r="AT239" i="11"/>
  <c r="AK239" i="11"/>
  <c r="AQ239" i="11"/>
  <c r="AM239" i="11"/>
  <c r="AJ239" i="11"/>
  <c r="AN239" i="11"/>
  <c r="AP239" i="11"/>
  <c r="AO239" i="11"/>
  <c r="AL239" i="11"/>
  <c r="D850" i="11"/>
  <c r="H849" i="11"/>
  <c r="C849" i="11"/>
  <c r="J849" i="11"/>
  <c r="AZ239" i="11" l="1"/>
  <c r="BD239" i="11" s="1"/>
  <c r="BG239" i="11"/>
  <c r="X240" i="11"/>
  <c r="Z240" i="11" s="1"/>
  <c r="AY241" i="11"/>
  <c r="AW241" i="11"/>
  <c r="BC238" i="11"/>
  <c r="BM239" i="11"/>
  <c r="BK240" i="11"/>
  <c r="BL240" i="11"/>
  <c r="N241" i="11"/>
  <c r="BJ241" i="11" s="1"/>
  <c r="M241" i="11"/>
  <c r="U241" i="11"/>
  <c r="F241" i="11"/>
  <c r="G241" i="11"/>
  <c r="V241" i="11"/>
  <c r="A243" i="11"/>
  <c r="BA243" i="11" s="1"/>
  <c r="E849" i="11"/>
  <c r="F849" i="11" s="1"/>
  <c r="G850" i="11" s="1"/>
  <c r="I849" i="11"/>
  <c r="C241" i="11"/>
  <c r="D242" i="11"/>
  <c r="B242" i="11"/>
  <c r="AV242" i="11" s="1"/>
  <c r="AU240" i="11"/>
  <c r="AS240" i="11"/>
  <c r="AT240" i="11"/>
  <c r="AR240" i="11"/>
  <c r="AM240" i="11"/>
  <c r="AN240" i="11"/>
  <c r="AK240" i="11"/>
  <c r="AP240" i="11"/>
  <c r="AQ240" i="11"/>
  <c r="AO240" i="11"/>
  <c r="AJ240" i="11"/>
  <c r="AL240" i="11"/>
  <c r="D851" i="11"/>
  <c r="H850" i="11"/>
  <c r="J850" i="11"/>
  <c r="C850" i="11"/>
  <c r="BC239" i="11" l="1"/>
  <c r="BG240" i="11"/>
  <c r="X241" i="11"/>
  <c r="Z241" i="11" s="1"/>
  <c r="AY242" i="11"/>
  <c r="AW242" i="11"/>
  <c r="BM240" i="11"/>
  <c r="BL241" i="11"/>
  <c r="BK241" i="11"/>
  <c r="AZ240" i="11"/>
  <c r="BC240" i="11" s="1"/>
  <c r="N242" i="11"/>
  <c r="BJ242" i="11" s="1"/>
  <c r="M242" i="11"/>
  <c r="U242" i="11"/>
  <c r="F242" i="11"/>
  <c r="G242" i="11"/>
  <c r="V242" i="11"/>
  <c r="A244" i="11"/>
  <c r="BA244" i="11" s="1"/>
  <c r="BB243" i="11"/>
  <c r="E850" i="11"/>
  <c r="F850" i="11" s="1"/>
  <c r="G851" i="11" s="1"/>
  <c r="D243" i="11"/>
  <c r="C242" i="11"/>
  <c r="I850" i="11"/>
  <c r="B243" i="11"/>
  <c r="AV243" i="11" s="1"/>
  <c r="AT241" i="11"/>
  <c r="AR241" i="11"/>
  <c r="AS241" i="11"/>
  <c r="AU241" i="11"/>
  <c r="AK241" i="11"/>
  <c r="AQ241" i="11"/>
  <c r="AL241" i="11"/>
  <c r="AM241" i="11"/>
  <c r="AO241" i="11"/>
  <c r="AJ241" i="11"/>
  <c r="AN241" i="11"/>
  <c r="AP241" i="11"/>
  <c r="D852" i="11"/>
  <c r="H851" i="11"/>
  <c r="C851" i="11"/>
  <c r="J851" i="11"/>
  <c r="X242" i="11" l="1"/>
  <c r="Z242" i="11" s="1"/>
  <c r="BG241" i="11"/>
  <c r="AY243" i="11"/>
  <c r="AW243" i="11"/>
  <c r="BD240" i="11"/>
  <c r="BM241" i="11"/>
  <c r="BL242" i="11"/>
  <c r="BK242" i="11"/>
  <c r="AZ241" i="11"/>
  <c r="BC241" i="11" s="1"/>
  <c r="N243" i="11"/>
  <c r="BJ243" i="11" s="1"/>
  <c r="M243" i="11"/>
  <c r="U243" i="11"/>
  <c r="G243" i="11"/>
  <c r="F243" i="11"/>
  <c r="V243" i="11"/>
  <c r="A245" i="11"/>
  <c r="BA245" i="11" s="1"/>
  <c r="BB244" i="11"/>
  <c r="E851" i="11"/>
  <c r="F851" i="11" s="1"/>
  <c r="G852" i="11" s="1"/>
  <c r="I851" i="11"/>
  <c r="C243" i="11"/>
  <c r="D244" i="11"/>
  <c r="B244" i="11"/>
  <c r="AV244" i="11" s="1"/>
  <c r="AT242" i="11"/>
  <c r="AR242" i="11"/>
  <c r="AS242" i="11"/>
  <c r="AU242" i="11"/>
  <c r="AM242" i="11"/>
  <c r="AQ242" i="11"/>
  <c r="AN242" i="11"/>
  <c r="AP242" i="11"/>
  <c r="AO242" i="11"/>
  <c r="AJ242" i="11"/>
  <c r="AL242" i="11"/>
  <c r="AK242" i="11"/>
  <c r="D853" i="11"/>
  <c r="H852" i="11"/>
  <c r="J852" i="11"/>
  <c r="C852" i="11"/>
  <c r="AZ242" i="11" l="1"/>
  <c r="BG242" i="11"/>
  <c r="X243" i="11"/>
  <c r="Z243" i="11" s="1"/>
  <c r="AY244" i="11"/>
  <c r="AW244" i="11"/>
  <c r="BD241" i="11"/>
  <c r="BM242" i="11"/>
  <c r="BK243" i="11"/>
  <c r="BL243" i="11"/>
  <c r="N244" i="11"/>
  <c r="BJ244" i="11" s="1"/>
  <c r="M244" i="11"/>
  <c r="U244" i="11"/>
  <c r="G244" i="11"/>
  <c r="F244" i="11"/>
  <c r="V244" i="11"/>
  <c r="A246" i="11"/>
  <c r="BA246" i="11" s="1"/>
  <c r="BB245" i="11"/>
  <c r="E852" i="11"/>
  <c r="F852" i="11" s="1"/>
  <c r="G853" i="11" s="1"/>
  <c r="D245" i="11"/>
  <c r="C244" i="11"/>
  <c r="I852" i="11"/>
  <c r="B245" i="11"/>
  <c r="AV245" i="11" s="1"/>
  <c r="AU243" i="11"/>
  <c r="AT243" i="11"/>
  <c r="AS243" i="11"/>
  <c r="AR243" i="11"/>
  <c r="AN243" i="11"/>
  <c r="AP243" i="11"/>
  <c r="AO243" i="11"/>
  <c r="AL243" i="11"/>
  <c r="AK243" i="11"/>
  <c r="AQ243" i="11"/>
  <c r="AM243" i="11"/>
  <c r="AJ243" i="11"/>
  <c r="D854" i="11"/>
  <c r="H853" i="11"/>
  <c r="C853" i="11"/>
  <c r="J853" i="11"/>
  <c r="X244" i="11" l="1"/>
  <c r="Z244" i="11" s="1"/>
  <c r="BG243" i="11"/>
  <c r="AY245" i="11"/>
  <c r="AW245" i="11"/>
  <c r="BM243" i="11"/>
  <c r="BL244" i="11"/>
  <c r="BK244" i="11"/>
  <c r="AZ243" i="11"/>
  <c r="BD243" i="11" s="1"/>
  <c r="N245" i="11"/>
  <c r="BJ245" i="11" s="1"/>
  <c r="M245" i="11"/>
  <c r="U245" i="11"/>
  <c r="G245" i="11"/>
  <c r="F245" i="11"/>
  <c r="V245" i="11"/>
  <c r="A247" i="11"/>
  <c r="BB246" i="11"/>
  <c r="I853" i="11"/>
  <c r="E853" i="11"/>
  <c r="F853" i="11" s="1"/>
  <c r="G854" i="11" s="1"/>
  <c r="C245" i="11"/>
  <c r="D246" i="11"/>
  <c r="B246" i="11"/>
  <c r="AV246" i="11" s="1"/>
  <c r="AU244" i="11"/>
  <c r="AS244" i="11"/>
  <c r="AR244" i="11"/>
  <c r="AT244" i="11"/>
  <c r="AM244" i="11"/>
  <c r="AN244" i="11"/>
  <c r="AP244" i="11"/>
  <c r="AO244" i="11"/>
  <c r="AJ244" i="11"/>
  <c r="AL244" i="11"/>
  <c r="AK244" i="11"/>
  <c r="AQ244" i="11"/>
  <c r="D855" i="11"/>
  <c r="H854" i="11"/>
  <c r="J854" i="11"/>
  <c r="C854" i="11"/>
  <c r="BG244" i="11" l="1"/>
  <c r="X245" i="11"/>
  <c r="Z245" i="11" s="1"/>
  <c r="AY246" i="11"/>
  <c r="AW246" i="11"/>
  <c r="BC243" i="11"/>
  <c r="BM244" i="11"/>
  <c r="BK245" i="11"/>
  <c r="BL245" i="11"/>
  <c r="AZ244" i="11"/>
  <c r="BC244" i="11" s="1"/>
  <c r="N246" i="11"/>
  <c r="BJ246" i="11" s="1"/>
  <c r="M246" i="11"/>
  <c r="U246" i="11"/>
  <c r="G246" i="11"/>
  <c r="F246" i="11"/>
  <c r="V246" i="11"/>
  <c r="A248" i="11"/>
  <c r="BA248" i="11" s="1"/>
  <c r="D247" i="11"/>
  <c r="C246" i="11"/>
  <c r="E854" i="11"/>
  <c r="F854" i="11" s="1"/>
  <c r="G855" i="11" s="1"/>
  <c r="I854" i="11"/>
  <c r="B247" i="11"/>
  <c r="AV247" i="11" s="1"/>
  <c r="AT245" i="11"/>
  <c r="AU245" i="11"/>
  <c r="AS245" i="11"/>
  <c r="AR245" i="11"/>
  <c r="AO245" i="11"/>
  <c r="AJ245" i="11"/>
  <c r="AL245" i="11"/>
  <c r="AK245" i="11"/>
  <c r="AQ245" i="11"/>
  <c r="AM245" i="11"/>
  <c r="AP245" i="11"/>
  <c r="AN245" i="11"/>
  <c r="D856" i="11"/>
  <c r="H855" i="11"/>
  <c r="C855" i="11"/>
  <c r="J855" i="11"/>
  <c r="BG245" i="11" l="1"/>
  <c r="X246" i="11"/>
  <c r="Z246" i="11" s="1"/>
  <c r="AY247" i="11"/>
  <c r="AW247" i="11"/>
  <c r="BD244" i="11"/>
  <c r="BM245" i="11"/>
  <c r="BK246" i="11"/>
  <c r="BL246" i="11"/>
  <c r="AZ245" i="11"/>
  <c r="BD245" i="11" s="1"/>
  <c r="N247" i="11"/>
  <c r="BJ247" i="11" s="1"/>
  <c r="M247" i="11"/>
  <c r="U247" i="11"/>
  <c r="F247" i="11"/>
  <c r="G247" i="11"/>
  <c r="V247" i="11"/>
  <c r="A249" i="11"/>
  <c r="BA249" i="11" s="1"/>
  <c r="BB248" i="11"/>
  <c r="E855" i="11"/>
  <c r="F855" i="11" s="1"/>
  <c r="G856" i="11" s="1"/>
  <c r="I855" i="11"/>
  <c r="C247" i="11"/>
  <c r="D248" i="11"/>
  <c r="B248" i="11"/>
  <c r="AV248" i="11" s="1"/>
  <c r="AU246" i="11"/>
  <c r="AR246" i="11"/>
  <c r="AT246" i="11"/>
  <c r="AS246" i="11"/>
  <c r="AO246" i="11"/>
  <c r="AJ246" i="11"/>
  <c r="AL246" i="11"/>
  <c r="AK246" i="11"/>
  <c r="AQ246" i="11"/>
  <c r="AM246" i="11"/>
  <c r="AN246" i="11"/>
  <c r="AP246" i="11"/>
  <c r="D857" i="11"/>
  <c r="H856" i="11"/>
  <c r="J856" i="11"/>
  <c r="C856" i="11"/>
  <c r="BG246" i="11" l="1"/>
  <c r="X247" i="11"/>
  <c r="Z247" i="11" s="1"/>
  <c r="AY248" i="11"/>
  <c r="AW248" i="11"/>
  <c r="BC245" i="11"/>
  <c r="BM246" i="11"/>
  <c r="BL247" i="11"/>
  <c r="BK247" i="11"/>
  <c r="AZ246" i="11"/>
  <c r="BD246" i="11" s="1"/>
  <c r="N248" i="11"/>
  <c r="BJ248" i="11" s="1"/>
  <c r="M248" i="11"/>
  <c r="U248" i="11"/>
  <c r="G248" i="11"/>
  <c r="F248" i="11"/>
  <c r="V248" i="11"/>
  <c r="A250" i="11"/>
  <c r="BA250" i="11" s="1"/>
  <c r="BB249" i="11"/>
  <c r="E856" i="11"/>
  <c r="F856" i="11" s="1"/>
  <c r="G857" i="11" s="1"/>
  <c r="D249" i="11"/>
  <c r="C248" i="11"/>
  <c r="I856" i="11"/>
  <c r="B249" i="11"/>
  <c r="AV249" i="11" s="1"/>
  <c r="AU247" i="11"/>
  <c r="AT247" i="11"/>
  <c r="AR247" i="11"/>
  <c r="AS247" i="11"/>
  <c r="AM247" i="11"/>
  <c r="AK247" i="11"/>
  <c r="AQ247" i="11"/>
  <c r="AN247" i="11"/>
  <c r="AP247" i="11"/>
  <c r="AO247" i="11"/>
  <c r="AJ247" i="11"/>
  <c r="AL247" i="11"/>
  <c r="D858" i="11"/>
  <c r="H857" i="11"/>
  <c r="C857" i="11"/>
  <c r="J857" i="11"/>
  <c r="BG247" i="11" l="1"/>
  <c r="X248" i="11"/>
  <c r="Z248" i="11" s="1"/>
  <c r="AY249" i="11"/>
  <c r="AW249" i="11"/>
  <c r="BC246" i="11"/>
  <c r="BM247" i="11"/>
  <c r="BK248" i="11"/>
  <c r="BL248" i="11"/>
  <c r="AZ247" i="11"/>
  <c r="N249" i="11"/>
  <c r="BJ249" i="11" s="1"/>
  <c r="M249" i="11"/>
  <c r="U249" i="11"/>
  <c r="G249" i="11"/>
  <c r="F249" i="11"/>
  <c r="V249" i="11"/>
  <c r="A251" i="11"/>
  <c r="BA251" i="11" s="1"/>
  <c r="BB250" i="11"/>
  <c r="C249" i="11"/>
  <c r="D250" i="11"/>
  <c r="E857" i="11"/>
  <c r="F857" i="11" s="1"/>
  <c r="G858" i="11" s="1"/>
  <c r="I857" i="11"/>
  <c r="B250" i="11"/>
  <c r="AV250" i="11" s="1"/>
  <c r="AS248" i="11"/>
  <c r="AU248" i="11"/>
  <c r="AT248" i="11"/>
  <c r="AR248" i="11"/>
  <c r="AK248" i="11"/>
  <c r="AQ248" i="11"/>
  <c r="AN248" i="11"/>
  <c r="AJ248" i="11"/>
  <c r="AM248" i="11"/>
  <c r="AP248" i="11"/>
  <c r="AO248" i="11"/>
  <c r="AL248" i="11"/>
  <c r="D859" i="11"/>
  <c r="H858" i="11"/>
  <c r="J858" i="11"/>
  <c r="C858" i="11"/>
  <c r="X249" i="11" l="1"/>
  <c r="Z249" i="11" s="1"/>
  <c r="BG248" i="11"/>
  <c r="AY250" i="11"/>
  <c r="AW250" i="11"/>
  <c r="BM248" i="11"/>
  <c r="BL249" i="11"/>
  <c r="BK249" i="11"/>
  <c r="AZ248" i="11"/>
  <c r="BC248" i="11" s="1"/>
  <c r="N250" i="11"/>
  <c r="BJ250" i="11" s="1"/>
  <c r="M250" i="11"/>
  <c r="U250" i="11"/>
  <c r="G250" i="11"/>
  <c r="F250" i="11"/>
  <c r="V250" i="11"/>
  <c r="A252" i="11"/>
  <c r="BA252" i="11" s="1"/>
  <c r="BB251" i="11"/>
  <c r="E858" i="11"/>
  <c r="F858" i="11" s="1"/>
  <c r="G859" i="11" s="1"/>
  <c r="I858" i="11"/>
  <c r="D251" i="11"/>
  <c r="C250" i="11"/>
  <c r="B251" i="11"/>
  <c r="AV251" i="11" s="1"/>
  <c r="AU249" i="11"/>
  <c r="AT249" i="11"/>
  <c r="AS249" i="11"/>
  <c r="AR249" i="11"/>
  <c r="AN249" i="11"/>
  <c r="AP249" i="11"/>
  <c r="AO249" i="11"/>
  <c r="AL249" i="11"/>
  <c r="AK249" i="11"/>
  <c r="AQ249" i="11"/>
  <c r="AM249" i="11"/>
  <c r="AJ249" i="11"/>
  <c r="D860" i="11"/>
  <c r="H859" i="11"/>
  <c r="C859" i="11"/>
  <c r="J859" i="11"/>
  <c r="AZ249" i="11" l="1"/>
  <c r="BD249" i="11" s="1"/>
  <c r="BG249" i="11"/>
  <c r="X250" i="11"/>
  <c r="Z250" i="11" s="1"/>
  <c r="AY251" i="11"/>
  <c r="AW251" i="11"/>
  <c r="BD248" i="11"/>
  <c r="BM249" i="11"/>
  <c r="BL250" i="11"/>
  <c r="BK250" i="11"/>
  <c r="N251" i="11"/>
  <c r="BJ251" i="11" s="1"/>
  <c r="M251" i="11"/>
  <c r="U251" i="11"/>
  <c r="F251" i="11"/>
  <c r="G251" i="11"/>
  <c r="V251" i="11"/>
  <c r="BC249" i="11"/>
  <c r="A253" i="11"/>
  <c r="BA253" i="11" s="1"/>
  <c r="BB252" i="11"/>
  <c r="C251" i="11"/>
  <c r="D252" i="11"/>
  <c r="E859" i="11"/>
  <c r="F859" i="11" s="1"/>
  <c r="G860" i="11" s="1"/>
  <c r="I859" i="11"/>
  <c r="B252" i="11"/>
  <c r="AV252" i="11" s="1"/>
  <c r="AR250" i="11"/>
  <c r="AU250" i="11"/>
  <c r="AT250" i="11"/>
  <c r="AS250" i="11"/>
  <c r="AK250" i="11"/>
  <c r="AQ250" i="11"/>
  <c r="AM250" i="11"/>
  <c r="AN250" i="11"/>
  <c r="AP250" i="11"/>
  <c r="AO250" i="11"/>
  <c r="AJ250" i="11"/>
  <c r="AL250" i="11"/>
  <c r="J860" i="11"/>
  <c r="D861" i="11"/>
  <c r="H860" i="11"/>
  <c r="C860" i="11"/>
  <c r="BG250" i="11" l="1"/>
  <c r="X251" i="11"/>
  <c r="Z251" i="11" s="1"/>
  <c r="AY252" i="11"/>
  <c r="AW252" i="11"/>
  <c r="BM250" i="11"/>
  <c r="BK251" i="11"/>
  <c r="BL251" i="11"/>
  <c r="AZ250" i="11"/>
  <c r="BD250" i="11" s="1"/>
  <c r="N252" i="11"/>
  <c r="BJ252" i="11" s="1"/>
  <c r="M252" i="11"/>
  <c r="U252" i="11"/>
  <c r="G252" i="11"/>
  <c r="F252" i="11"/>
  <c r="V252" i="11"/>
  <c r="A254" i="11"/>
  <c r="BA254" i="11" s="1"/>
  <c r="BB253" i="11"/>
  <c r="I860" i="11"/>
  <c r="E860" i="11"/>
  <c r="F860" i="11" s="1"/>
  <c r="G861" i="11" s="1"/>
  <c r="D253" i="11"/>
  <c r="C252" i="11"/>
  <c r="B253" i="11"/>
  <c r="AV253" i="11" s="1"/>
  <c r="AU251" i="11"/>
  <c r="AS251" i="11"/>
  <c r="AR251" i="11"/>
  <c r="AT251" i="11"/>
  <c r="AM251" i="11"/>
  <c r="AN251" i="11"/>
  <c r="AP251" i="11"/>
  <c r="AO251" i="11"/>
  <c r="AJ251" i="11"/>
  <c r="AL251" i="11"/>
  <c r="AK251" i="11"/>
  <c r="AQ251" i="11"/>
  <c r="J861" i="11"/>
  <c r="D862" i="11"/>
  <c r="H861" i="11"/>
  <c r="C861" i="11"/>
  <c r="BG251" i="11" l="1"/>
  <c r="X252" i="11"/>
  <c r="Z252" i="11" s="1"/>
  <c r="AY253" i="11"/>
  <c r="AW253" i="11"/>
  <c r="BC250" i="11"/>
  <c r="BL252" i="11"/>
  <c r="BK252" i="11"/>
  <c r="BM251" i="11"/>
  <c r="AZ251" i="11"/>
  <c r="BD251" i="11" s="1"/>
  <c r="N253" i="11"/>
  <c r="BJ253" i="11" s="1"/>
  <c r="M253" i="11"/>
  <c r="U253" i="11"/>
  <c r="G253" i="11"/>
  <c r="F253" i="11"/>
  <c r="V253" i="11"/>
  <c r="A255" i="11"/>
  <c r="BB254" i="11"/>
  <c r="E861" i="11"/>
  <c r="F861" i="11" s="1"/>
  <c r="G862" i="11" s="1"/>
  <c r="C253" i="11"/>
  <c r="D254" i="11"/>
  <c r="I861" i="11"/>
  <c r="B254" i="11"/>
  <c r="AV254" i="11" s="1"/>
  <c r="AT252" i="11"/>
  <c r="AS252" i="11"/>
  <c r="AU252" i="11"/>
  <c r="AR252" i="11"/>
  <c r="AK252" i="11"/>
  <c r="AQ252" i="11"/>
  <c r="AN252" i="11"/>
  <c r="AP252" i="11"/>
  <c r="AO252" i="11"/>
  <c r="AL252" i="11"/>
  <c r="AM252" i="11"/>
  <c r="AJ252" i="11"/>
  <c r="J862" i="11"/>
  <c r="D863" i="11"/>
  <c r="H862" i="11"/>
  <c r="C862" i="11"/>
  <c r="BG252" i="11" l="1"/>
  <c r="X253" i="11"/>
  <c r="Z253" i="11" s="1"/>
  <c r="AY254" i="11"/>
  <c r="AW254" i="11"/>
  <c r="BC251" i="11"/>
  <c r="BM252" i="11"/>
  <c r="BK253" i="11"/>
  <c r="BL253" i="11"/>
  <c r="AZ252" i="11"/>
  <c r="BD252" i="11" s="1"/>
  <c r="N254" i="11"/>
  <c r="BJ254" i="11" s="1"/>
  <c r="M254" i="11"/>
  <c r="U254" i="11"/>
  <c r="G254" i="11"/>
  <c r="F254" i="11"/>
  <c r="V254" i="11"/>
  <c r="A256" i="11"/>
  <c r="BA256" i="11" s="1"/>
  <c r="I862" i="11"/>
  <c r="D255" i="11"/>
  <c r="C254" i="11"/>
  <c r="E862" i="11"/>
  <c r="F862" i="11" s="1"/>
  <c r="G863" i="11" s="1"/>
  <c r="B255" i="11"/>
  <c r="AV255" i="11" s="1"/>
  <c r="AT253" i="11"/>
  <c r="AU253" i="11"/>
  <c r="AR253" i="11"/>
  <c r="AS253" i="11"/>
  <c r="AK253" i="11"/>
  <c r="AQ253" i="11"/>
  <c r="AM253" i="11"/>
  <c r="AN253" i="11"/>
  <c r="AP253" i="11"/>
  <c r="AO253" i="11"/>
  <c r="AJ253" i="11"/>
  <c r="AL253" i="11"/>
  <c r="J863" i="11"/>
  <c r="D864" i="11"/>
  <c r="H863" i="11"/>
  <c r="C863" i="11"/>
  <c r="BG253" i="11" l="1"/>
  <c r="X254" i="11"/>
  <c r="Z254" i="11" s="1"/>
  <c r="AY255" i="11"/>
  <c r="AW255" i="11"/>
  <c r="BC252" i="11"/>
  <c r="BK254" i="11"/>
  <c r="BL254" i="11"/>
  <c r="BM253" i="11"/>
  <c r="AZ253" i="11"/>
  <c r="BC253" i="11" s="1"/>
  <c r="N255" i="11"/>
  <c r="BJ255" i="11" s="1"/>
  <c r="M255" i="11"/>
  <c r="U255" i="11"/>
  <c r="F255" i="11"/>
  <c r="G255" i="11"/>
  <c r="V255" i="11"/>
  <c r="A257" i="11"/>
  <c r="BA257" i="11" s="1"/>
  <c r="BB256" i="11"/>
  <c r="I863" i="11"/>
  <c r="E863" i="11"/>
  <c r="F863" i="11" s="1"/>
  <c r="G864" i="11" s="1"/>
  <c r="C255" i="11"/>
  <c r="D256" i="11"/>
  <c r="B256" i="11"/>
  <c r="AV256" i="11" s="1"/>
  <c r="AU254" i="11"/>
  <c r="AR254" i="11"/>
  <c r="AT254" i="11"/>
  <c r="AS254" i="11"/>
  <c r="AN254" i="11"/>
  <c r="AP254" i="11"/>
  <c r="AO254" i="11"/>
  <c r="AJ254" i="11"/>
  <c r="AL254" i="11"/>
  <c r="AK254" i="11"/>
  <c r="AQ254" i="11"/>
  <c r="AM254" i="11"/>
  <c r="J864" i="11"/>
  <c r="D865" i="11"/>
  <c r="H864" i="11"/>
  <c r="C864" i="11"/>
  <c r="BG254" i="11" l="1"/>
  <c r="X255" i="11"/>
  <c r="Z255" i="11" s="1"/>
  <c r="AY256" i="11"/>
  <c r="AW256" i="11"/>
  <c r="BD253" i="11"/>
  <c r="BM254" i="11"/>
  <c r="BL255" i="11"/>
  <c r="BK255" i="11"/>
  <c r="AZ254" i="11"/>
  <c r="BC254" i="11" s="1"/>
  <c r="N256" i="11"/>
  <c r="BJ256" i="11" s="1"/>
  <c r="M256" i="11"/>
  <c r="U256" i="11"/>
  <c r="F256" i="11"/>
  <c r="G256" i="11"/>
  <c r="V256" i="11"/>
  <c r="A258" i="11"/>
  <c r="BA258" i="11" s="1"/>
  <c r="BB257" i="11"/>
  <c r="I864" i="11"/>
  <c r="D257" i="11"/>
  <c r="C256" i="11"/>
  <c r="E864" i="11"/>
  <c r="F864" i="11" s="1"/>
  <c r="G865" i="11" s="1"/>
  <c r="B257" i="11"/>
  <c r="AV257" i="11" s="1"/>
  <c r="AU255" i="11"/>
  <c r="AS255" i="11"/>
  <c r="AT255" i="11"/>
  <c r="AR255" i="11"/>
  <c r="AK255" i="11"/>
  <c r="AQ255" i="11"/>
  <c r="AM255" i="11"/>
  <c r="AN255" i="11"/>
  <c r="AP255" i="11"/>
  <c r="AO255" i="11"/>
  <c r="AJ255" i="11"/>
  <c r="AL255" i="11"/>
  <c r="J865" i="11"/>
  <c r="D866" i="11"/>
  <c r="H865" i="11"/>
  <c r="C865" i="11"/>
  <c r="BG255" i="11" l="1"/>
  <c r="X256" i="11"/>
  <c r="Z256" i="11" s="1"/>
  <c r="AZ255" i="11"/>
  <c r="AY257" i="11"/>
  <c r="AW257" i="11"/>
  <c r="BD254" i="11"/>
  <c r="BM255" i="11"/>
  <c r="BK256" i="11"/>
  <c r="BL256" i="11"/>
  <c r="N257" i="11"/>
  <c r="BJ257" i="11" s="1"/>
  <c r="M257" i="11"/>
  <c r="U257" i="11"/>
  <c r="F257" i="11"/>
  <c r="G257" i="11"/>
  <c r="V257" i="11"/>
  <c r="A259" i="11"/>
  <c r="BA259" i="11" s="1"/>
  <c r="BB258" i="11"/>
  <c r="E865" i="11"/>
  <c r="F865" i="11" s="1"/>
  <c r="G866" i="11" s="1"/>
  <c r="I865" i="11"/>
  <c r="C257" i="11"/>
  <c r="D258" i="11"/>
  <c r="B258" i="11"/>
  <c r="AV258" i="11" s="1"/>
  <c r="AS256" i="11"/>
  <c r="AT256" i="11"/>
  <c r="AU256" i="11"/>
  <c r="AR256" i="11"/>
  <c r="AM256" i="11"/>
  <c r="AL256" i="11"/>
  <c r="AN256" i="11"/>
  <c r="AP256" i="11"/>
  <c r="AQ256" i="11"/>
  <c r="AO256" i="11"/>
  <c r="AJ256" i="11"/>
  <c r="AK256" i="11"/>
  <c r="J866" i="11"/>
  <c r="D867" i="11"/>
  <c r="H866" i="11"/>
  <c r="C866" i="11"/>
  <c r="BG256" i="11" l="1"/>
  <c r="X257" i="11"/>
  <c r="Z257" i="11" s="1"/>
  <c r="AY258" i="11"/>
  <c r="AW258" i="11"/>
  <c r="BM256" i="11"/>
  <c r="BK257" i="11"/>
  <c r="BL257" i="11"/>
  <c r="AZ256" i="11"/>
  <c r="BD256" i="11" s="1"/>
  <c r="N258" i="11"/>
  <c r="BJ258" i="11" s="1"/>
  <c r="M258" i="11"/>
  <c r="U258" i="11"/>
  <c r="G258" i="11"/>
  <c r="F258" i="11"/>
  <c r="V258" i="11"/>
  <c r="A260" i="11"/>
  <c r="BA260" i="11" s="1"/>
  <c r="BB259" i="11"/>
  <c r="E866" i="11"/>
  <c r="F866" i="11" s="1"/>
  <c r="G867" i="11" s="1"/>
  <c r="D259" i="11"/>
  <c r="C258" i="11"/>
  <c r="I866" i="11"/>
  <c r="B259" i="11"/>
  <c r="AV259" i="11" s="1"/>
  <c r="AT257" i="11"/>
  <c r="AR257" i="11"/>
  <c r="AU257" i="11"/>
  <c r="AS257" i="11"/>
  <c r="AN257" i="11"/>
  <c r="AP257" i="11"/>
  <c r="AO257" i="11"/>
  <c r="AJ257" i="11"/>
  <c r="AL257" i="11"/>
  <c r="AK257" i="11"/>
  <c r="AQ257" i="11"/>
  <c r="AM257" i="11"/>
  <c r="J867" i="11"/>
  <c r="D868" i="11"/>
  <c r="H867" i="11"/>
  <c r="C867" i="11"/>
  <c r="AZ257" i="11" l="1"/>
  <c r="BC257" i="11" s="1"/>
  <c r="BG257" i="11"/>
  <c r="X258" i="11"/>
  <c r="Z258" i="11" s="1"/>
  <c r="AY259" i="11"/>
  <c r="AW259" i="11"/>
  <c r="BC256" i="11"/>
  <c r="BL258" i="11"/>
  <c r="BK258" i="11"/>
  <c r="BM257" i="11"/>
  <c r="N259" i="11"/>
  <c r="BJ259" i="11" s="1"/>
  <c r="M259" i="11"/>
  <c r="U259" i="11"/>
  <c r="F259" i="11"/>
  <c r="G259" i="11"/>
  <c r="V259" i="11"/>
  <c r="A261" i="11"/>
  <c r="BA261" i="11" s="1"/>
  <c r="BB260" i="11"/>
  <c r="I867" i="11"/>
  <c r="C259" i="11"/>
  <c r="D260" i="11"/>
  <c r="E867" i="11"/>
  <c r="F867" i="11" s="1"/>
  <c r="G868" i="11" s="1"/>
  <c r="B260" i="11"/>
  <c r="AV260" i="11" s="1"/>
  <c r="AT258" i="11"/>
  <c r="AR258" i="11"/>
  <c r="AU258" i="11"/>
  <c r="AS258" i="11"/>
  <c r="AN258" i="11"/>
  <c r="AP258" i="11"/>
  <c r="AO258" i="11"/>
  <c r="AJ258" i="11"/>
  <c r="AL258" i="11"/>
  <c r="AK258" i="11"/>
  <c r="AQ258" i="11"/>
  <c r="AM258" i="11"/>
  <c r="J868" i="11"/>
  <c r="D869" i="11"/>
  <c r="H868" i="11"/>
  <c r="C868" i="11"/>
  <c r="BD257" i="11" l="1"/>
  <c r="BG258" i="11"/>
  <c r="X259" i="11"/>
  <c r="Z259" i="11" s="1"/>
  <c r="AY260" i="11"/>
  <c r="AW260" i="11"/>
  <c r="BM258" i="11"/>
  <c r="BK259" i="11"/>
  <c r="BL259" i="11"/>
  <c r="AZ258" i="11"/>
  <c r="BC258" i="11" s="1"/>
  <c r="N260" i="11"/>
  <c r="BJ260" i="11" s="1"/>
  <c r="M260" i="11"/>
  <c r="U260" i="11"/>
  <c r="G260" i="11"/>
  <c r="F260" i="11"/>
  <c r="V260" i="11"/>
  <c r="A262" i="11"/>
  <c r="BB261" i="11"/>
  <c r="I868" i="11"/>
  <c r="D261" i="11"/>
  <c r="C260" i="11"/>
  <c r="E868" i="11"/>
  <c r="F868" i="11" s="1"/>
  <c r="G869" i="11" s="1"/>
  <c r="B261" i="11"/>
  <c r="AV261" i="11" s="1"/>
  <c r="AU259" i="11"/>
  <c r="AR259" i="11"/>
  <c r="AT259" i="11"/>
  <c r="AS259" i="11"/>
  <c r="AK259" i="11"/>
  <c r="AQ259" i="11"/>
  <c r="AP259" i="11"/>
  <c r="AM259" i="11"/>
  <c r="AO259" i="11"/>
  <c r="AL259" i="11"/>
  <c r="AN259" i="11"/>
  <c r="AJ259" i="11"/>
  <c r="J869" i="11"/>
  <c r="D870" i="11"/>
  <c r="H869" i="11"/>
  <c r="C869" i="11"/>
  <c r="X260" i="11" l="1"/>
  <c r="Z260" i="11" s="1"/>
  <c r="AZ259" i="11"/>
  <c r="BC259" i="11" s="1"/>
  <c r="BG259" i="11"/>
  <c r="AY261" i="11"/>
  <c r="AW261" i="11"/>
  <c r="BD258" i="11"/>
  <c r="BK260" i="11"/>
  <c r="BL260" i="11"/>
  <c r="BM259" i="11"/>
  <c r="N261" i="11"/>
  <c r="BJ261" i="11" s="1"/>
  <c r="M261" i="11"/>
  <c r="U261" i="11"/>
  <c r="G261" i="11"/>
  <c r="F261" i="11"/>
  <c r="V261" i="11"/>
  <c r="A263" i="11"/>
  <c r="BA263" i="11" s="1"/>
  <c r="I869" i="11"/>
  <c r="E869" i="11"/>
  <c r="F869" i="11" s="1"/>
  <c r="G870" i="11" s="1"/>
  <c r="C261" i="11"/>
  <c r="D262" i="11"/>
  <c r="B262" i="11"/>
  <c r="AV262" i="11" s="1"/>
  <c r="AU260" i="11"/>
  <c r="AS260" i="11"/>
  <c r="AT260" i="11"/>
  <c r="AR260" i="11"/>
  <c r="AM260" i="11"/>
  <c r="AN260" i="11"/>
  <c r="AK260" i="11"/>
  <c r="AQ260" i="11"/>
  <c r="AP260" i="11"/>
  <c r="AO260" i="11"/>
  <c r="AJ260" i="11"/>
  <c r="AL260" i="11"/>
  <c r="J870" i="11"/>
  <c r="D871" i="11"/>
  <c r="H870" i="11"/>
  <c r="C870" i="11"/>
  <c r="X261" i="11" l="1"/>
  <c r="Z261" i="11" s="1"/>
  <c r="BD259" i="11"/>
  <c r="BG260" i="11"/>
  <c r="AY262" i="11"/>
  <c r="AW262" i="11"/>
  <c r="BM260" i="11"/>
  <c r="BK261" i="11"/>
  <c r="BL261" i="11"/>
  <c r="AZ260" i="11"/>
  <c r="BD260" i="11" s="1"/>
  <c r="N262" i="11"/>
  <c r="BJ262" i="11" s="1"/>
  <c r="M262" i="11"/>
  <c r="U262" i="11"/>
  <c r="G262" i="11"/>
  <c r="F262" i="11"/>
  <c r="V262" i="11"/>
  <c r="A264" i="11"/>
  <c r="BA264" i="11" s="1"/>
  <c r="BB263" i="11"/>
  <c r="E870" i="11"/>
  <c r="F870" i="11" s="1"/>
  <c r="G871" i="11" s="1"/>
  <c r="C262" i="11"/>
  <c r="D263" i="11"/>
  <c r="I870" i="11"/>
  <c r="B263" i="11"/>
  <c r="AV263" i="11" s="1"/>
  <c r="AT261" i="11"/>
  <c r="AU261" i="11"/>
  <c r="AS261" i="11"/>
  <c r="AR261" i="11"/>
  <c r="AN261" i="11"/>
  <c r="AP261" i="11"/>
  <c r="AO261" i="11"/>
  <c r="AJ261" i="11"/>
  <c r="AL261" i="11"/>
  <c r="AM261" i="11"/>
  <c r="AK261" i="11"/>
  <c r="AQ261" i="11"/>
  <c r="J871" i="11"/>
  <c r="D872" i="11"/>
  <c r="H871" i="11"/>
  <c r="C871" i="11"/>
  <c r="BG261" i="11" l="1"/>
  <c r="X262" i="11"/>
  <c r="Z262" i="11" s="1"/>
  <c r="AY263" i="11"/>
  <c r="AW263" i="11"/>
  <c r="BC260" i="11"/>
  <c r="BK262" i="11"/>
  <c r="BL262" i="11"/>
  <c r="BM261" i="11"/>
  <c r="AZ261" i="11"/>
  <c r="BD261" i="11" s="1"/>
  <c r="N263" i="11"/>
  <c r="BJ263" i="11" s="1"/>
  <c r="M263" i="11"/>
  <c r="U263" i="11"/>
  <c r="F263" i="11"/>
  <c r="G263" i="11"/>
  <c r="V263" i="11"/>
  <c r="A265" i="11"/>
  <c r="BA265" i="11" s="1"/>
  <c r="BB264" i="11"/>
  <c r="I871" i="11"/>
  <c r="D264" i="11"/>
  <c r="C263" i="11"/>
  <c r="E871" i="11"/>
  <c r="F871" i="11" s="1"/>
  <c r="G872" i="11" s="1"/>
  <c r="B264" i="11"/>
  <c r="AV264" i="11" s="1"/>
  <c r="AR262" i="11"/>
  <c r="AU262" i="11"/>
  <c r="AT262" i="11"/>
  <c r="AS262" i="11"/>
  <c r="AK262" i="11"/>
  <c r="AQ262" i="11"/>
  <c r="AM262" i="11"/>
  <c r="AN262" i="11"/>
  <c r="AP262" i="11"/>
  <c r="AO262" i="11"/>
  <c r="AJ262" i="11"/>
  <c r="AL262" i="11"/>
  <c r="J872" i="11"/>
  <c r="D873" i="11"/>
  <c r="H872" i="11"/>
  <c r="C872" i="11"/>
  <c r="BG262" i="11" l="1"/>
  <c r="X263" i="11"/>
  <c r="Z263" i="11" s="1"/>
  <c r="AZ262" i="11"/>
  <c r="AY264" i="11"/>
  <c r="AW264" i="11"/>
  <c r="BC261" i="11"/>
  <c r="BM262" i="11"/>
  <c r="BL263" i="11"/>
  <c r="BK263" i="11"/>
  <c r="N264" i="11"/>
  <c r="BJ264" i="11" s="1"/>
  <c r="M264" i="11"/>
  <c r="U264" i="11"/>
  <c r="G264" i="11"/>
  <c r="F264" i="11"/>
  <c r="V264" i="11"/>
  <c r="A266" i="11"/>
  <c r="BB265" i="11"/>
  <c r="I872" i="11"/>
  <c r="C264" i="11"/>
  <c r="D265" i="11"/>
  <c r="E872" i="11"/>
  <c r="F872" i="11" s="1"/>
  <c r="G873" i="11" s="1"/>
  <c r="B265" i="11"/>
  <c r="AV265" i="11" s="1"/>
  <c r="AU263" i="11"/>
  <c r="AT263" i="11"/>
  <c r="AR263" i="11"/>
  <c r="AS263" i="11"/>
  <c r="AK263" i="11"/>
  <c r="AQ263" i="11"/>
  <c r="AM263" i="11"/>
  <c r="AN263" i="11"/>
  <c r="AP263" i="11"/>
  <c r="AO263" i="11"/>
  <c r="AJ263" i="11"/>
  <c r="AL263" i="11"/>
  <c r="J873" i="11"/>
  <c r="D874" i="11"/>
  <c r="H873" i="11"/>
  <c r="C873" i="11"/>
  <c r="BG263" i="11" l="1"/>
  <c r="X264" i="11"/>
  <c r="Z264" i="11" s="1"/>
  <c r="AY265" i="11"/>
  <c r="AW265" i="11"/>
  <c r="BM263" i="11"/>
  <c r="BK264" i="11"/>
  <c r="BL264" i="11"/>
  <c r="AZ263" i="11"/>
  <c r="BC263" i="11" s="1"/>
  <c r="N265" i="11"/>
  <c r="BJ265" i="11" s="1"/>
  <c r="M265" i="11"/>
  <c r="U265" i="11"/>
  <c r="G265" i="11"/>
  <c r="F265" i="11"/>
  <c r="V265" i="11"/>
  <c r="A267" i="11"/>
  <c r="BA267" i="11" s="1"/>
  <c r="E873" i="11"/>
  <c r="F873" i="11" s="1"/>
  <c r="G874" i="11" s="1"/>
  <c r="D266" i="11"/>
  <c r="C265" i="11"/>
  <c r="I873" i="11"/>
  <c r="B266" i="11"/>
  <c r="AV266" i="11" s="1"/>
  <c r="AS264" i="11"/>
  <c r="AU264" i="11"/>
  <c r="AT264" i="11"/>
  <c r="AR264" i="11"/>
  <c r="AO264" i="11"/>
  <c r="AJ264" i="11"/>
  <c r="AL264" i="11"/>
  <c r="AK264" i="11"/>
  <c r="AQ264" i="11"/>
  <c r="AM264" i="11"/>
  <c r="AN264" i="11"/>
  <c r="AP264" i="11"/>
  <c r="J874" i="11"/>
  <c r="D875" i="11"/>
  <c r="H874" i="11"/>
  <c r="C874" i="11"/>
  <c r="BG264" i="11" l="1"/>
  <c r="X265" i="11"/>
  <c r="Z265" i="11" s="1"/>
  <c r="AY266" i="11"/>
  <c r="AW266" i="11"/>
  <c r="BD263" i="11"/>
  <c r="BM264" i="11"/>
  <c r="BK265" i="11"/>
  <c r="BL265" i="11"/>
  <c r="AZ264" i="11"/>
  <c r="BC264" i="11" s="1"/>
  <c r="N266" i="11"/>
  <c r="BJ266" i="11" s="1"/>
  <c r="M266" i="11"/>
  <c r="U266" i="11"/>
  <c r="G266" i="11"/>
  <c r="F266" i="11"/>
  <c r="V266" i="11"/>
  <c r="A268" i="11"/>
  <c r="BA268" i="11" s="1"/>
  <c r="BB267" i="11"/>
  <c r="E874" i="11"/>
  <c r="F874" i="11" s="1"/>
  <c r="G875" i="11" s="1"/>
  <c r="I874" i="11"/>
  <c r="C266" i="11"/>
  <c r="D267" i="11"/>
  <c r="B267" i="11"/>
  <c r="AV267" i="11" s="1"/>
  <c r="AU265" i="11"/>
  <c r="AT265" i="11"/>
  <c r="AS265" i="11"/>
  <c r="AR265" i="11"/>
  <c r="AO265" i="11"/>
  <c r="AJ265" i="11"/>
  <c r="AL265" i="11"/>
  <c r="AK265" i="11"/>
  <c r="AQ265" i="11"/>
  <c r="AN265" i="11"/>
  <c r="AM265" i="11"/>
  <c r="AP265" i="11"/>
  <c r="J875" i="11"/>
  <c r="D876" i="11"/>
  <c r="H875" i="11"/>
  <c r="C875" i="11"/>
  <c r="BG265" i="11" l="1"/>
  <c r="X266" i="11"/>
  <c r="Z266" i="11" s="1"/>
  <c r="AY267" i="11"/>
  <c r="AW267" i="11"/>
  <c r="BD264" i="11"/>
  <c r="BL266" i="11"/>
  <c r="BK266" i="11"/>
  <c r="BM265" i="11"/>
  <c r="AZ265" i="11"/>
  <c r="BD265" i="11" s="1"/>
  <c r="N267" i="11"/>
  <c r="BJ267" i="11" s="1"/>
  <c r="M267" i="11"/>
  <c r="U267" i="11"/>
  <c r="F267" i="11"/>
  <c r="G267" i="11"/>
  <c r="V267" i="11"/>
  <c r="A269" i="11"/>
  <c r="BA269" i="11" s="1"/>
  <c r="BB268" i="11"/>
  <c r="E875" i="11"/>
  <c r="F875" i="11" s="1"/>
  <c r="G876" i="11" s="1"/>
  <c r="D268" i="11"/>
  <c r="C267" i="11"/>
  <c r="I875" i="11"/>
  <c r="B268" i="11"/>
  <c r="AV268" i="11" s="1"/>
  <c r="AR266" i="11"/>
  <c r="AU266" i="11"/>
  <c r="AS266" i="11"/>
  <c r="AT266" i="11"/>
  <c r="AN266" i="11"/>
  <c r="AP266" i="11"/>
  <c r="AO266" i="11"/>
  <c r="AJ266" i="11"/>
  <c r="AL266" i="11"/>
  <c r="AK266" i="11"/>
  <c r="AQ266" i="11"/>
  <c r="AM266" i="11"/>
  <c r="J876" i="11"/>
  <c r="D877" i="11"/>
  <c r="H876" i="11"/>
  <c r="C876" i="11"/>
  <c r="AZ266" i="11" l="1"/>
  <c r="X267" i="11"/>
  <c r="Z267" i="11" s="1"/>
  <c r="BG266" i="11"/>
  <c r="AY268" i="11"/>
  <c r="AW268" i="11"/>
  <c r="BM266" i="11"/>
  <c r="BK267" i="11"/>
  <c r="BL267" i="11"/>
  <c r="BC265" i="11"/>
  <c r="N268" i="11"/>
  <c r="BJ268" i="11" s="1"/>
  <c r="M268" i="11"/>
  <c r="U268" i="11"/>
  <c r="F268" i="11"/>
  <c r="G268" i="11"/>
  <c r="V268" i="11"/>
  <c r="A270" i="11"/>
  <c r="BA270" i="11" s="1"/>
  <c r="BB269" i="11"/>
  <c r="E876" i="11"/>
  <c r="F876" i="11" s="1"/>
  <c r="G877" i="11" s="1"/>
  <c r="I876" i="11"/>
  <c r="C268" i="11"/>
  <c r="D269" i="11"/>
  <c r="B269" i="11"/>
  <c r="AV269" i="11" s="1"/>
  <c r="AU267" i="11"/>
  <c r="AR267" i="11"/>
  <c r="AT267" i="11"/>
  <c r="AS267" i="11"/>
  <c r="AO267" i="11"/>
  <c r="AJ267" i="11"/>
  <c r="AL267" i="11"/>
  <c r="AK267" i="11"/>
  <c r="AQ267" i="11"/>
  <c r="AN267" i="11"/>
  <c r="AP267" i="11"/>
  <c r="AM267" i="11"/>
  <c r="J877" i="11"/>
  <c r="D878" i="11"/>
  <c r="H877" i="11"/>
  <c r="C877" i="11"/>
  <c r="AZ267" i="11" l="1"/>
  <c r="BD267" i="11" s="1"/>
  <c r="BG267" i="11"/>
  <c r="X268" i="11"/>
  <c r="Z268" i="11" s="1"/>
  <c r="AY269" i="11"/>
  <c r="AW269" i="11"/>
  <c r="BM267" i="11"/>
  <c r="BK268" i="11"/>
  <c r="BL268" i="11"/>
  <c r="N269" i="11"/>
  <c r="BJ269" i="11" s="1"/>
  <c r="M269" i="11"/>
  <c r="U269" i="11"/>
  <c r="G269" i="11"/>
  <c r="F269" i="11"/>
  <c r="V269" i="11"/>
  <c r="A271" i="11"/>
  <c r="BA271" i="11" s="1"/>
  <c r="BB270" i="11"/>
  <c r="E877" i="11"/>
  <c r="F877" i="11" s="1"/>
  <c r="G878" i="11" s="1"/>
  <c r="D270" i="11"/>
  <c r="C269" i="11"/>
  <c r="I877" i="11"/>
  <c r="B270" i="11"/>
  <c r="AV270" i="11" s="1"/>
  <c r="AU268" i="11"/>
  <c r="AT268" i="11"/>
  <c r="AS268" i="11"/>
  <c r="AR268" i="11"/>
  <c r="AN268" i="11"/>
  <c r="AP268" i="11"/>
  <c r="AM268" i="11"/>
  <c r="AO268" i="11"/>
  <c r="AJ268" i="11"/>
  <c r="AL268" i="11"/>
  <c r="AK268" i="11"/>
  <c r="AQ268" i="11"/>
  <c r="J878" i="11"/>
  <c r="D879" i="11"/>
  <c r="H878" i="11"/>
  <c r="C878" i="11"/>
  <c r="BG268" i="11" l="1"/>
  <c r="BC267" i="11"/>
  <c r="X269" i="11"/>
  <c r="Z269" i="11" s="1"/>
  <c r="AY270" i="11"/>
  <c r="AW270" i="11"/>
  <c r="BL269" i="11"/>
  <c r="BK269" i="11"/>
  <c r="BM268" i="11"/>
  <c r="AZ268" i="11"/>
  <c r="BC268" i="11" s="1"/>
  <c r="N270" i="11"/>
  <c r="BJ270" i="11" s="1"/>
  <c r="M270" i="11"/>
  <c r="U270" i="11"/>
  <c r="G270" i="11"/>
  <c r="F270" i="11"/>
  <c r="V270" i="11"/>
  <c r="A272" i="11"/>
  <c r="BA272" i="11" s="1"/>
  <c r="BB271" i="11"/>
  <c r="I878" i="11"/>
  <c r="C270" i="11"/>
  <c r="D271" i="11"/>
  <c r="E878" i="11"/>
  <c r="F878" i="11" s="1"/>
  <c r="G879" i="11" s="1"/>
  <c r="B271" i="11"/>
  <c r="AV271" i="11" s="1"/>
  <c r="AT269" i="11"/>
  <c r="AS269" i="11"/>
  <c r="AR269" i="11"/>
  <c r="AU269" i="11"/>
  <c r="AM269" i="11"/>
  <c r="AK269" i="11"/>
  <c r="AQ269" i="11"/>
  <c r="AN269" i="11"/>
  <c r="AP269" i="11"/>
  <c r="AO269" i="11"/>
  <c r="AJ269" i="11"/>
  <c r="AL269" i="11"/>
  <c r="J879" i="11"/>
  <c r="D880" i="11"/>
  <c r="H879" i="11"/>
  <c r="C879" i="11"/>
  <c r="BG269" i="11" l="1"/>
  <c r="X270" i="11"/>
  <c r="Z270" i="11" s="1"/>
  <c r="AY271" i="11"/>
  <c r="AW271" i="11"/>
  <c r="BD268" i="11"/>
  <c r="BM269" i="11"/>
  <c r="BK270" i="11"/>
  <c r="BL270" i="11"/>
  <c r="AZ269" i="11"/>
  <c r="BD269" i="11" s="1"/>
  <c r="N271" i="11"/>
  <c r="BJ271" i="11" s="1"/>
  <c r="M271" i="11"/>
  <c r="U271" i="11"/>
  <c r="F271" i="11"/>
  <c r="G271" i="11"/>
  <c r="V271" i="11"/>
  <c r="A273" i="11"/>
  <c r="BA273" i="11" s="1"/>
  <c r="BB272" i="11"/>
  <c r="E879" i="11"/>
  <c r="F879" i="11" s="1"/>
  <c r="G880" i="11" s="1"/>
  <c r="D272" i="11"/>
  <c r="C271" i="11"/>
  <c r="I879" i="11"/>
  <c r="B272" i="11"/>
  <c r="AV272" i="11" s="1"/>
  <c r="AU270" i="11"/>
  <c r="AR270" i="11"/>
  <c r="AT270" i="11"/>
  <c r="AS270" i="11"/>
  <c r="AK270" i="11"/>
  <c r="AQ270" i="11"/>
  <c r="AM270" i="11"/>
  <c r="AN270" i="11"/>
  <c r="AP270" i="11"/>
  <c r="AO270" i="11"/>
  <c r="AJ270" i="11"/>
  <c r="AL270" i="11"/>
  <c r="J880" i="11"/>
  <c r="D881" i="11"/>
  <c r="H880" i="11"/>
  <c r="C880" i="11"/>
  <c r="BG270" i="11" l="1"/>
  <c r="X271" i="11"/>
  <c r="Z271" i="11" s="1"/>
  <c r="AY272" i="11"/>
  <c r="AW272" i="11"/>
  <c r="BC269" i="11"/>
  <c r="BK271" i="11"/>
  <c r="BL271" i="11"/>
  <c r="BM270" i="11"/>
  <c r="AZ270" i="11"/>
  <c r="BD270" i="11" s="1"/>
  <c r="N272" i="11"/>
  <c r="BJ272" i="11" s="1"/>
  <c r="M272" i="11"/>
  <c r="U272" i="11"/>
  <c r="G272" i="11"/>
  <c r="F272" i="11"/>
  <c r="V272" i="11"/>
  <c r="A274" i="11"/>
  <c r="BA274" i="11" s="1"/>
  <c r="BB273" i="11"/>
  <c r="E880" i="11"/>
  <c r="F880" i="11" s="1"/>
  <c r="G881" i="11" s="1"/>
  <c r="C272" i="11"/>
  <c r="D273" i="11"/>
  <c r="I880" i="11"/>
  <c r="B273" i="11"/>
  <c r="AV273" i="11" s="1"/>
  <c r="AU271" i="11"/>
  <c r="AT271" i="11"/>
  <c r="AS271" i="11"/>
  <c r="AR271" i="11"/>
  <c r="AN271" i="11"/>
  <c r="AP271" i="11"/>
  <c r="AO271" i="11"/>
  <c r="AJ271" i="11"/>
  <c r="AL271" i="11"/>
  <c r="AM271" i="11"/>
  <c r="AK271" i="11"/>
  <c r="AQ271" i="11"/>
  <c r="J881" i="11"/>
  <c r="D882" i="11"/>
  <c r="H881" i="11"/>
  <c r="C881" i="11"/>
  <c r="BG271" i="11" l="1"/>
  <c r="X272" i="11"/>
  <c r="Z272" i="11" s="1"/>
  <c r="AY273" i="11"/>
  <c r="AW273" i="11"/>
  <c r="BC270" i="11"/>
  <c r="BM271" i="11"/>
  <c r="BL272" i="11"/>
  <c r="BK272" i="11"/>
  <c r="AZ271" i="11"/>
  <c r="BD271" i="11" s="1"/>
  <c r="N273" i="11"/>
  <c r="BJ273" i="11" s="1"/>
  <c r="M273" i="11"/>
  <c r="U273" i="11"/>
  <c r="F273" i="11"/>
  <c r="G273" i="11"/>
  <c r="V273" i="11"/>
  <c r="A275" i="11"/>
  <c r="BA275" i="11" s="1"/>
  <c r="BB274" i="11"/>
  <c r="E881" i="11"/>
  <c r="F881" i="11" s="1"/>
  <c r="G882" i="11" s="1"/>
  <c r="D274" i="11"/>
  <c r="C273" i="11"/>
  <c r="I881" i="11"/>
  <c r="B274" i="11"/>
  <c r="AV274" i="11" s="1"/>
  <c r="AS272" i="11"/>
  <c r="AR272" i="11"/>
  <c r="AT272" i="11"/>
  <c r="AU272" i="11"/>
  <c r="AK272" i="11"/>
  <c r="AQ272" i="11"/>
  <c r="AL272" i="11"/>
  <c r="AM272" i="11"/>
  <c r="AO272" i="11"/>
  <c r="AJ272" i="11"/>
  <c r="AN272" i="11"/>
  <c r="AP272" i="11"/>
  <c r="J882" i="11"/>
  <c r="D883" i="11"/>
  <c r="H882" i="11"/>
  <c r="C882" i="11"/>
  <c r="BG272" i="11" l="1"/>
  <c r="X273" i="11"/>
  <c r="Z273" i="11" s="1"/>
  <c r="AY274" i="11"/>
  <c r="AW274" i="11"/>
  <c r="BC271" i="11"/>
  <c r="BM272" i="11"/>
  <c r="BK273" i="11"/>
  <c r="BL273" i="11"/>
  <c r="AZ272" i="11"/>
  <c r="BC272" i="11" s="1"/>
  <c r="N274" i="11"/>
  <c r="BJ274" i="11" s="1"/>
  <c r="M274" i="11"/>
  <c r="U274" i="11"/>
  <c r="G274" i="11"/>
  <c r="F274" i="11"/>
  <c r="V274" i="11"/>
  <c r="A276" i="11"/>
  <c r="BA276" i="11" s="1"/>
  <c r="BB275" i="11"/>
  <c r="I882" i="11"/>
  <c r="C274" i="11"/>
  <c r="D275" i="11"/>
  <c r="E882" i="11"/>
  <c r="F882" i="11" s="1"/>
  <c r="G883" i="11" s="1"/>
  <c r="B275" i="11"/>
  <c r="AV275" i="11" s="1"/>
  <c r="AT273" i="11"/>
  <c r="AU273" i="11"/>
  <c r="AR273" i="11"/>
  <c r="AS273" i="11"/>
  <c r="AM273" i="11"/>
  <c r="AN273" i="11"/>
  <c r="AP273" i="11"/>
  <c r="AO273" i="11"/>
  <c r="AJ273" i="11"/>
  <c r="AL273" i="11"/>
  <c r="AK273" i="11"/>
  <c r="AQ273" i="11"/>
  <c r="J883" i="11"/>
  <c r="D884" i="11"/>
  <c r="H883" i="11"/>
  <c r="C883" i="11"/>
  <c r="BG273" i="11" l="1"/>
  <c r="X274" i="11"/>
  <c r="Z274" i="11" s="1"/>
  <c r="AY275" i="11"/>
  <c r="AW275" i="11"/>
  <c r="BD272" i="11"/>
  <c r="BM273" i="11"/>
  <c r="BK274" i="11"/>
  <c r="BL274" i="11"/>
  <c r="AZ273" i="11"/>
  <c r="BD273" i="11" s="1"/>
  <c r="N275" i="11"/>
  <c r="BJ275" i="11" s="1"/>
  <c r="M275" i="11"/>
  <c r="U275" i="11"/>
  <c r="F275" i="11"/>
  <c r="G275" i="11"/>
  <c r="V275" i="11"/>
  <c r="A277" i="11"/>
  <c r="BA277" i="11" s="1"/>
  <c r="BB276" i="11"/>
  <c r="I883" i="11"/>
  <c r="E883" i="11"/>
  <c r="F883" i="11" s="1"/>
  <c r="G884" i="11" s="1"/>
  <c r="D276" i="11"/>
  <c r="C275" i="11"/>
  <c r="B276" i="11"/>
  <c r="AV276" i="11" s="1"/>
  <c r="AU274" i="11"/>
  <c r="AT274" i="11"/>
  <c r="AR274" i="11"/>
  <c r="AS274" i="11"/>
  <c r="AO274" i="11"/>
  <c r="AJ274" i="11"/>
  <c r="AL274" i="11"/>
  <c r="AK274" i="11"/>
  <c r="AN274" i="11"/>
  <c r="AP274" i="11"/>
  <c r="AQ274" i="11"/>
  <c r="AM274" i="11"/>
  <c r="D885" i="11"/>
  <c r="H884" i="11"/>
  <c r="J884" i="11"/>
  <c r="C884" i="11"/>
  <c r="AZ274" i="11" l="1"/>
  <c r="BD274" i="11" s="1"/>
  <c r="X275" i="11"/>
  <c r="Z275" i="11" s="1"/>
  <c r="BG274" i="11"/>
  <c r="AY276" i="11"/>
  <c r="AW276" i="11"/>
  <c r="BC273" i="11"/>
  <c r="BM274" i="11"/>
  <c r="BK275" i="11"/>
  <c r="BL275" i="11"/>
  <c r="N276" i="11"/>
  <c r="BJ276" i="11" s="1"/>
  <c r="M276" i="11"/>
  <c r="U276" i="11"/>
  <c r="G276" i="11"/>
  <c r="F276" i="11"/>
  <c r="V276" i="11"/>
  <c r="A278" i="11"/>
  <c r="BA278" i="11" s="1"/>
  <c r="BB277" i="11"/>
  <c r="E884" i="11"/>
  <c r="F884" i="11" s="1"/>
  <c r="G885" i="11" s="1"/>
  <c r="C276" i="11"/>
  <c r="D277" i="11"/>
  <c r="I884" i="11"/>
  <c r="B277" i="11"/>
  <c r="AV277" i="11" s="1"/>
  <c r="AU275" i="11"/>
  <c r="AT275" i="11"/>
  <c r="AR275" i="11"/>
  <c r="AS275" i="11"/>
  <c r="AK275" i="11"/>
  <c r="AQ275" i="11"/>
  <c r="AM275" i="11"/>
  <c r="AP275" i="11"/>
  <c r="AO275" i="11"/>
  <c r="AJ275" i="11"/>
  <c r="AL275" i="11"/>
  <c r="AN275" i="11"/>
  <c r="D886" i="11"/>
  <c r="H885" i="11"/>
  <c r="C885" i="11"/>
  <c r="J885" i="11"/>
  <c r="BG275" i="11" l="1"/>
  <c r="BC274" i="11"/>
  <c r="X276" i="11"/>
  <c r="Z276" i="11" s="1"/>
  <c r="AY277" i="11"/>
  <c r="AW277" i="11"/>
  <c r="BM275" i="11"/>
  <c r="BK276" i="11"/>
  <c r="BL276" i="11"/>
  <c r="AZ275" i="11"/>
  <c r="BC275" i="11" s="1"/>
  <c r="N277" i="11"/>
  <c r="BJ277" i="11" s="1"/>
  <c r="M277" i="11"/>
  <c r="U277" i="11"/>
  <c r="F277" i="11"/>
  <c r="G277" i="11"/>
  <c r="V277" i="11"/>
  <c r="A279" i="11"/>
  <c r="BA279" i="11" s="1"/>
  <c r="BB278" i="11"/>
  <c r="I885" i="11"/>
  <c r="D278" i="11"/>
  <c r="C277" i="11"/>
  <c r="E885" i="11"/>
  <c r="F885" i="11" s="1"/>
  <c r="G886" i="11" s="1"/>
  <c r="B278" i="11"/>
  <c r="AV278" i="11" s="1"/>
  <c r="AU276" i="11"/>
  <c r="AS276" i="11"/>
  <c r="AT276" i="11"/>
  <c r="AR276" i="11"/>
  <c r="AO276" i="11"/>
  <c r="AJ276" i="11"/>
  <c r="AL276" i="11"/>
  <c r="AK276" i="11"/>
  <c r="AQ276" i="11"/>
  <c r="AM276" i="11"/>
  <c r="AN276" i="11"/>
  <c r="AP276" i="11"/>
  <c r="D887" i="11"/>
  <c r="H886" i="11"/>
  <c r="J886" i="11"/>
  <c r="C886" i="11"/>
  <c r="AZ276" i="11" l="1"/>
  <c r="BC276" i="11" s="1"/>
  <c r="X277" i="11"/>
  <c r="Z277" i="11" s="1"/>
  <c r="BG276" i="11"/>
  <c r="AY278" i="11"/>
  <c r="AW278" i="11"/>
  <c r="BD275" i="11"/>
  <c r="BM276" i="11"/>
  <c r="BK277" i="11"/>
  <c r="BL277" i="11"/>
  <c r="N278" i="11"/>
  <c r="BJ278" i="11" s="1"/>
  <c r="M278" i="11"/>
  <c r="U278" i="11"/>
  <c r="G278" i="11"/>
  <c r="F278" i="11"/>
  <c r="V278" i="11"/>
  <c r="A280" i="11"/>
  <c r="BA280" i="11" s="1"/>
  <c r="BB279" i="11"/>
  <c r="E886" i="11"/>
  <c r="F886" i="11" s="1"/>
  <c r="G887" i="11" s="1"/>
  <c r="C278" i="11"/>
  <c r="D279" i="11"/>
  <c r="I886" i="11"/>
  <c r="B279" i="11"/>
  <c r="AV279" i="11" s="1"/>
  <c r="AT277" i="11"/>
  <c r="AS277" i="11"/>
  <c r="AU277" i="11"/>
  <c r="AR277" i="11"/>
  <c r="AM277" i="11"/>
  <c r="AN277" i="11"/>
  <c r="AP277" i="11"/>
  <c r="AK277" i="11"/>
  <c r="AO277" i="11"/>
  <c r="AJ277" i="11"/>
  <c r="AL277" i="11"/>
  <c r="AQ277" i="11"/>
  <c r="D888" i="11"/>
  <c r="H887" i="11"/>
  <c r="C887" i="11"/>
  <c r="J887" i="11"/>
  <c r="X278" i="11" l="1"/>
  <c r="Z278" i="11" s="1"/>
  <c r="BD276" i="11"/>
  <c r="BG277" i="11"/>
  <c r="AY279" i="11"/>
  <c r="AW279" i="11"/>
  <c r="BM277" i="11"/>
  <c r="BL278" i="11"/>
  <c r="BK278" i="11"/>
  <c r="AZ277" i="11"/>
  <c r="BD277" i="11" s="1"/>
  <c r="N279" i="11"/>
  <c r="BJ279" i="11" s="1"/>
  <c r="M279" i="11"/>
  <c r="U279" i="11"/>
  <c r="F279" i="11"/>
  <c r="G279" i="11"/>
  <c r="V279" i="11"/>
  <c r="A281" i="11"/>
  <c r="BA281" i="11" s="1"/>
  <c r="BB280" i="11"/>
  <c r="E887" i="11"/>
  <c r="F887" i="11" s="1"/>
  <c r="G888" i="11" s="1"/>
  <c r="D280" i="11"/>
  <c r="C279" i="11"/>
  <c r="I887" i="11"/>
  <c r="B280" i="11"/>
  <c r="AV280" i="11" s="1"/>
  <c r="AR278" i="11"/>
  <c r="AU278" i="11"/>
  <c r="AT278" i="11"/>
  <c r="AS278" i="11"/>
  <c r="AK278" i="11"/>
  <c r="AQ278" i="11"/>
  <c r="AM278" i="11"/>
  <c r="AP278" i="11"/>
  <c r="AO278" i="11"/>
  <c r="AL278" i="11"/>
  <c r="AJ278" i="11"/>
  <c r="AN278" i="11"/>
  <c r="D889" i="11"/>
  <c r="H888" i="11"/>
  <c r="J888" i="11"/>
  <c r="C888" i="11"/>
  <c r="BG278" i="11" l="1"/>
  <c r="X279" i="11"/>
  <c r="Z279" i="11" s="1"/>
  <c r="AY280" i="11"/>
  <c r="AW280" i="11"/>
  <c r="BM278" i="11"/>
  <c r="BK279" i="11"/>
  <c r="BL279" i="11"/>
  <c r="BC277" i="11"/>
  <c r="AZ278" i="11"/>
  <c r="BD278" i="11" s="1"/>
  <c r="N280" i="11"/>
  <c r="BJ280" i="11" s="1"/>
  <c r="M280" i="11"/>
  <c r="U280" i="11"/>
  <c r="G280" i="11"/>
  <c r="F280" i="11"/>
  <c r="V280" i="11"/>
  <c r="A282" i="11"/>
  <c r="BA282" i="11" s="1"/>
  <c r="BB281" i="11"/>
  <c r="E888" i="11"/>
  <c r="F888" i="11" s="1"/>
  <c r="G889" i="11" s="1"/>
  <c r="C280" i="11"/>
  <c r="D281" i="11"/>
  <c r="I888" i="11"/>
  <c r="B281" i="11"/>
  <c r="AV281" i="11" s="1"/>
  <c r="AU279" i="11"/>
  <c r="AT279" i="11"/>
  <c r="AR279" i="11"/>
  <c r="AS279" i="11"/>
  <c r="AK279" i="11"/>
  <c r="AQ279" i="11"/>
  <c r="AP279" i="11"/>
  <c r="AO279" i="11"/>
  <c r="AM279" i="11"/>
  <c r="AN279" i="11"/>
  <c r="AJ279" i="11"/>
  <c r="AL279" i="11"/>
  <c r="D890" i="11"/>
  <c r="H889" i="11"/>
  <c r="C889" i="11"/>
  <c r="J889" i="11"/>
  <c r="BG279" i="11" l="1"/>
  <c r="X280" i="11"/>
  <c r="Z280" i="11" s="1"/>
  <c r="AY281" i="11"/>
  <c r="AW281" i="11"/>
  <c r="BM279" i="11"/>
  <c r="BK280" i="11"/>
  <c r="BL280" i="11"/>
  <c r="BC278" i="11"/>
  <c r="AZ279" i="11"/>
  <c r="BD279" i="11" s="1"/>
  <c r="N281" i="11"/>
  <c r="BJ281" i="11" s="1"/>
  <c r="M281" i="11"/>
  <c r="U281" i="11"/>
  <c r="G281" i="11"/>
  <c r="F281" i="11"/>
  <c r="V281" i="11"/>
  <c r="A283" i="11"/>
  <c r="BA283" i="11" s="1"/>
  <c r="BB282" i="11"/>
  <c r="I889" i="11"/>
  <c r="D282" i="11"/>
  <c r="C281" i="11"/>
  <c r="E889" i="11"/>
  <c r="F889" i="11" s="1"/>
  <c r="G890" i="11" s="1"/>
  <c r="B282" i="11"/>
  <c r="AV282" i="11" s="1"/>
  <c r="AS280" i="11"/>
  <c r="AU280" i="11"/>
  <c r="AR280" i="11"/>
  <c r="AT280" i="11"/>
  <c r="AO280" i="11"/>
  <c r="AJ280" i="11"/>
  <c r="AL280" i="11"/>
  <c r="AK280" i="11"/>
  <c r="AQ280" i="11"/>
  <c r="AN280" i="11"/>
  <c r="AP280" i="11"/>
  <c r="AM280" i="11"/>
  <c r="D891" i="11"/>
  <c r="H890" i="11"/>
  <c r="J890" i="11"/>
  <c r="C890" i="11"/>
  <c r="AZ280" i="11" l="1"/>
  <c r="BC280" i="11" s="1"/>
  <c r="X281" i="11"/>
  <c r="Z281" i="11" s="1"/>
  <c r="BG280" i="11"/>
  <c r="AY282" i="11"/>
  <c r="AW282" i="11"/>
  <c r="BC279" i="11"/>
  <c r="BM280" i="11"/>
  <c r="BL281" i="11"/>
  <c r="BK281" i="11"/>
  <c r="N282" i="11"/>
  <c r="BJ282" i="11" s="1"/>
  <c r="M282" i="11"/>
  <c r="U282" i="11"/>
  <c r="G282" i="11"/>
  <c r="F282" i="11"/>
  <c r="V282" i="11"/>
  <c r="A284" i="11"/>
  <c r="BA284" i="11" s="1"/>
  <c r="BB283" i="11"/>
  <c r="E890" i="11"/>
  <c r="F890" i="11" s="1"/>
  <c r="G891" i="11" s="1"/>
  <c r="I890" i="11"/>
  <c r="C282" i="11"/>
  <c r="X282" i="11" s="1"/>
  <c r="Z282" i="11" s="1"/>
  <c r="D283" i="11"/>
  <c r="B283" i="11"/>
  <c r="AV283" i="11" s="1"/>
  <c r="AU281" i="11"/>
  <c r="AT281" i="11"/>
  <c r="AR281" i="11"/>
  <c r="AS281" i="11"/>
  <c r="AK281" i="11"/>
  <c r="AQ281" i="11"/>
  <c r="AM281" i="11"/>
  <c r="AN281" i="11"/>
  <c r="AP281" i="11"/>
  <c r="AO281" i="11"/>
  <c r="AJ281" i="11"/>
  <c r="AL281" i="11"/>
  <c r="D892" i="11"/>
  <c r="H891" i="11"/>
  <c r="C891" i="11"/>
  <c r="J891" i="11"/>
  <c r="BD280" i="11" l="1"/>
  <c r="AZ281" i="11"/>
  <c r="BD281" i="11" s="1"/>
  <c r="BG281" i="11"/>
  <c r="AY283" i="11"/>
  <c r="AW283" i="11"/>
  <c r="BM281" i="11"/>
  <c r="BK282" i="11"/>
  <c r="BL282" i="11"/>
  <c r="N283" i="11"/>
  <c r="BJ283" i="11" s="1"/>
  <c r="M283" i="11"/>
  <c r="U283" i="11"/>
  <c r="F283" i="11"/>
  <c r="G283" i="11"/>
  <c r="V283" i="11"/>
  <c r="BG282" i="11"/>
  <c r="A285" i="11"/>
  <c r="BB284" i="11"/>
  <c r="E891" i="11"/>
  <c r="F891" i="11" s="1"/>
  <c r="G892" i="11" s="1"/>
  <c r="D284" i="11"/>
  <c r="C283" i="11"/>
  <c r="I891" i="11"/>
  <c r="B284" i="11"/>
  <c r="AV284" i="11" s="1"/>
  <c r="AU282" i="11"/>
  <c r="AR282" i="11"/>
  <c r="AS282" i="11"/>
  <c r="AT282" i="11"/>
  <c r="AK282" i="11"/>
  <c r="AQ282" i="11"/>
  <c r="AM282" i="11"/>
  <c r="AN282" i="11"/>
  <c r="AP282" i="11"/>
  <c r="AO282" i="11"/>
  <c r="AJ282" i="11"/>
  <c r="AL282" i="11"/>
  <c r="D893" i="11"/>
  <c r="H892" i="11"/>
  <c r="J892" i="11"/>
  <c r="C892" i="11"/>
  <c r="BC281" i="11" l="1"/>
  <c r="X283" i="11"/>
  <c r="Z283" i="11" s="1"/>
  <c r="AY284" i="11"/>
  <c r="AW284" i="11"/>
  <c r="BM282" i="11"/>
  <c r="BK283" i="11"/>
  <c r="BL283" i="11"/>
  <c r="AZ282" i="11"/>
  <c r="BC282" i="11" s="1"/>
  <c r="N284" i="11"/>
  <c r="BJ284" i="11" s="1"/>
  <c r="M284" i="11"/>
  <c r="U284" i="11"/>
  <c r="F284" i="11"/>
  <c r="G284" i="11"/>
  <c r="V284" i="11"/>
  <c r="A286" i="11"/>
  <c r="BA286" i="11" s="1"/>
  <c r="E892" i="11"/>
  <c r="F892" i="11" s="1"/>
  <c r="G893" i="11" s="1"/>
  <c r="C284" i="11"/>
  <c r="D285" i="11"/>
  <c r="I892" i="11"/>
  <c r="B285" i="11"/>
  <c r="AV285" i="11" s="1"/>
  <c r="AU283" i="11"/>
  <c r="AT283" i="11"/>
  <c r="AS283" i="11"/>
  <c r="AR283" i="11"/>
  <c r="AM283" i="11"/>
  <c r="AN283" i="11"/>
  <c r="AP283" i="11"/>
  <c r="AL283" i="11"/>
  <c r="AK283" i="11"/>
  <c r="AO283" i="11"/>
  <c r="AJ283" i="11"/>
  <c r="AQ283" i="11"/>
  <c r="D894" i="11"/>
  <c r="H893" i="11"/>
  <c r="C893" i="11"/>
  <c r="J893" i="11"/>
  <c r="BG283" i="11" l="1"/>
  <c r="X284" i="11"/>
  <c r="Z284" i="11" s="1"/>
  <c r="AY285" i="11"/>
  <c r="AW285" i="11"/>
  <c r="BD282" i="11"/>
  <c r="BM283" i="11"/>
  <c r="BK284" i="11"/>
  <c r="BL284" i="11"/>
  <c r="AZ283" i="11"/>
  <c r="BC283" i="11" s="1"/>
  <c r="N285" i="11"/>
  <c r="BJ285" i="11" s="1"/>
  <c r="M285" i="11"/>
  <c r="U285" i="11"/>
  <c r="G285" i="11"/>
  <c r="F285" i="11"/>
  <c r="V285" i="11"/>
  <c r="A287" i="11"/>
  <c r="BA287" i="11" s="1"/>
  <c r="BB286" i="11"/>
  <c r="E893" i="11"/>
  <c r="F893" i="11" s="1"/>
  <c r="G894" i="11" s="1"/>
  <c r="D286" i="11"/>
  <c r="C285" i="11"/>
  <c r="I893" i="11"/>
  <c r="B286" i="11"/>
  <c r="AV286" i="11" s="1"/>
  <c r="AT284" i="11"/>
  <c r="AS284" i="11"/>
  <c r="AR284" i="11"/>
  <c r="AU284" i="11"/>
  <c r="AK284" i="11"/>
  <c r="AQ284" i="11"/>
  <c r="AP284" i="11"/>
  <c r="AO284" i="11"/>
  <c r="AM284" i="11"/>
  <c r="AJ284" i="11"/>
  <c r="AN284" i="11"/>
  <c r="AL284" i="11"/>
  <c r="D895" i="11"/>
  <c r="H894" i="11"/>
  <c r="J894" i="11"/>
  <c r="C894" i="11"/>
  <c r="X285" i="11" l="1"/>
  <c r="Z285" i="11" s="1"/>
  <c r="AZ284" i="11"/>
  <c r="BD284" i="11" s="1"/>
  <c r="BG284" i="11"/>
  <c r="AY286" i="11"/>
  <c r="AW286" i="11"/>
  <c r="BD283" i="11"/>
  <c r="BK285" i="11"/>
  <c r="BL285" i="11"/>
  <c r="BM284" i="11"/>
  <c r="N286" i="11"/>
  <c r="BJ286" i="11" s="1"/>
  <c r="M286" i="11"/>
  <c r="U286" i="11"/>
  <c r="G286" i="11"/>
  <c r="F286" i="11"/>
  <c r="V286" i="11"/>
  <c r="A288" i="11"/>
  <c r="BA288" i="11" s="1"/>
  <c r="BB287" i="11"/>
  <c r="E894" i="11"/>
  <c r="F894" i="11" s="1"/>
  <c r="G895" i="11" s="1"/>
  <c r="C286" i="11"/>
  <c r="X286" i="11" s="1"/>
  <c r="Z286" i="11" s="1"/>
  <c r="D287" i="11"/>
  <c r="I894" i="11"/>
  <c r="B287" i="11"/>
  <c r="AV287" i="11" s="1"/>
  <c r="AT285" i="11"/>
  <c r="AU285" i="11"/>
  <c r="AS285" i="11"/>
  <c r="AR285" i="11"/>
  <c r="AM285" i="11"/>
  <c r="AN285" i="11"/>
  <c r="AP285" i="11"/>
  <c r="AQ285" i="11"/>
  <c r="AO285" i="11"/>
  <c r="AJ285" i="11"/>
  <c r="AL285" i="11"/>
  <c r="AK285" i="11"/>
  <c r="D896" i="11"/>
  <c r="H895" i="11"/>
  <c r="C895" i="11"/>
  <c r="J895" i="11"/>
  <c r="BC284" i="11" l="1"/>
  <c r="BG285" i="11"/>
  <c r="AY287" i="11"/>
  <c r="AW287" i="11"/>
  <c r="BG286" i="11"/>
  <c r="BK286" i="11"/>
  <c r="BL286" i="11"/>
  <c r="BM285" i="11"/>
  <c r="AZ285" i="11"/>
  <c r="N287" i="11"/>
  <c r="BJ287" i="11" s="1"/>
  <c r="M287" i="11"/>
  <c r="U287" i="11"/>
  <c r="F287" i="11"/>
  <c r="G287" i="11"/>
  <c r="V287" i="11"/>
  <c r="A289" i="11"/>
  <c r="BA289" i="11" s="1"/>
  <c r="BB288" i="11"/>
  <c r="E895" i="11"/>
  <c r="F895" i="11" s="1"/>
  <c r="G896" i="11" s="1"/>
  <c r="D288" i="11"/>
  <c r="C287" i="11"/>
  <c r="I895" i="11"/>
  <c r="B288" i="11"/>
  <c r="AV288" i="11" s="1"/>
  <c r="AU286" i="11"/>
  <c r="AR286" i="11"/>
  <c r="AT286" i="11"/>
  <c r="AS286" i="11"/>
  <c r="AN286" i="11"/>
  <c r="AP286" i="11"/>
  <c r="AO286" i="11"/>
  <c r="AL286" i="11"/>
  <c r="AJ286" i="11"/>
  <c r="AZ286" i="11"/>
  <c r="AK286" i="11"/>
  <c r="AQ286" i="11"/>
  <c r="AM286" i="11"/>
  <c r="D897" i="11"/>
  <c r="H896" i="11"/>
  <c r="J896" i="11"/>
  <c r="C896" i="11"/>
  <c r="X287" i="11" l="1"/>
  <c r="Z287" i="11" s="1"/>
  <c r="AY288" i="11"/>
  <c r="AW288" i="11"/>
  <c r="BL287" i="11"/>
  <c r="BK287" i="11"/>
  <c r="BM286" i="11"/>
  <c r="N288" i="11"/>
  <c r="BJ288" i="11" s="1"/>
  <c r="M288" i="11"/>
  <c r="U288" i="11"/>
  <c r="G288" i="11"/>
  <c r="F288" i="11"/>
  <c r="V288" i="11"/>
  <c r="BD286" i="11"/>
  <c r="BC286" i="11"/>
  <c r="A290" i="11"/>
  <c r="BA290" i="11" s="1"/>
  <c r="BB289" i="11"/>
  <c r="I896" i="11"/>
  <c r="C288" i="11"/>
  <c r="D289" i="11"/>
  <c r="E896" i="11"/>
  <c r="F896" i="11" s="1"/>
  <c r="G897" i="11" s="1"/>
  <c r="B289" i="11"/>
  <c r="AV289" i="11" s="1"/>
  <c r="AU287" i="11"/>
  <c r="AS287" i="11"/>
  <c r="AR287" i="11"/>
  <c r="AT287" i="11"/>
  <c r="AN287" i="11"/>
  <c r="AP287" i="11"/>
  <c r="AO287" i="11"/>
  <c r="AJ287" i="11"/>
  <c r="AL287" i="11"/>
  <c r="AM287" i="11"/>
  <c r="AK287" i="11"/>
  <c r="AQ287" i="11"/>
  <c r="D898" i="11"/>
  <c r="H897" i="11"/>
  <c r="C897" i="11"/>
  <c r="J897" i="11"/>
  <c r="BG287" i="11" l="1"/>
  <c r="X288" i="11"/>
  <c r="Z288" i="11" s="1"/>
  <c r="AY289" i="11"/>
  <c r="AW289" i="11"/>
  <c r="BM287" i="11"/>
  <c r="BK288" i="11"/>
  <c r="BL288" i="11"/>
  <c r="AZ287" i="11"/>
  <c r="BC287" i="11" s="1"/>
  <c r="N289" i="11"/>
  <c r="BJ289" i="11" s="1"/>
  <c r="M289" i="11"/>
  <c r="U289" i="11"/>
  <c r="F289" i="11"/>
  <c r="G289" i="11"/>
  <c r="V289" i="11"/>
  <c r="A291" i="11"/>
  <c r="BA291" i="11" s="1"/>
  <c r="BB290" i="11"/>
  <c r="E897" i="11"/>
  <c r="F897" i="11" s="1"/>
  <c r="G898" i="11" s="1"/>
  <c r="I897" i="11"/>
  <c r="D290" i="11"/>
  <c r="C289" i="11"/>
  <c r="B290" i="11"/>
  <c r="AV290" i="11" s="1"/>
  <c r="AS288" i="11"/>
  <c r="AU288" i="11"/>
  <c r="AT288" i="11"/>
  <c r="AR288" i="11"/>
  <c r="AO288" i="11"/>
  <c r="AJ288" i="11"/>
  <c r="AL288" i="11"/>
  <c r="AK288" i="11"/>
  <c r="AM288" i="11"/>
  <c r="AQ288" i="11"/>
  <c r="AN288" i="11"/>
  <c r="AP288" i="11"/>
  <c r="D899" i="11"/>
  <c r="H898" i="11"/>
  <c r="J898" i="11"/>
  <c r="C898" i="11"/>
  <c r="AZ288" i="11" l="1"/>
  <c r="BD288" i="11" s="1"/>
  <c r="X289" i="11"/>
  <c r="Z289" i="11" s="1"/>
  <c r="BG288" i="11"/>
  <c r="AY290" i="11"/>
  <c r="AW290" i="11"/>
  <c r="BD287" i="11"/>
  <c r="BM288" i="11"/>
  <c r="BK289" i="11"/>
  <c r="BL289" i="11"/>
  <c r="N290" i="11"/>
  <c r="BJ290" i="11" s="1"/>
  <c r="M290" i="11"/>
  <c r="U290" i="11"/>
  <c r="G290" i="11"/>
  <c r="F290" i="11"/>
  <c r="V290" i="11"/>
  <c r="A292" i="11"/>
  <c r="BA292" i="11" s="1"/>
  <c r="BB291" i="11"/>
  <c r="I898" i="11"/>
  <c r="E898" i="11"/>
  <c r="F898" i="11" s="1"/>
  <c r="G899" i="11" s="1"/>
  <c r="C290" i="11"/>
  <c r="D291" i="11"/>
  <c r="B291" i="11"/>
  <c r="AV291" i="11" s="1"/>
  <c r="AT289" i="11"/>
  <c r="AU289" i="11"/>
  <c r="AR289" i="11"/>
  <c r="AS289" i="11"/>
  <c r="AO289" i="11"/>
  <c r="AJ289" i="11"/>
  <c r="AL289" i="11"/>
  <c r="AK289" i="11"/>
  <c r="AQ289" i="11"/>
  <c r="AP289" i="11"/>
  <c r="AM289" i="11"/>
  <c r="AN289" i="11"/>
  <c r="D900" i="11"/>
  <c r="H899" i="11"/>
  <c r="C899" i="11"/>
  <c r="J899" i="11"/>
  <c r="BC288" i="11" l="1"/>
  <c r="X290" i="11"/>
  <c r="Z290" i="11" s="1"/>
  <c r="BG289" i="11"/>
  <c r="AY291" i="11"/>
  <c r="AW291" i="11"/>
  <c r="BM289" i="11"/>
  <c r="BL290" i="11"/>
  <c r="BK290" i="11"/>
  <c r="AZ289" i="11"/>
  <c r="BD289" i="11" s="1"/>
  <c r="N291" i="11"/>
  <c r="BJ291" i="11" s="1"/>
  <c r="M291" i="11"/>
  <c r="U291" i="11"/>
  <c r="F291" i="11"/>
  <c r="G291" i="11"/>
  <c r="V291" i="11"/>
  <c r="A293" i="11"/>
  <c r="BA293" i="11" s="1"/>
  <c r="BB292" i="11"/>
  <c r="E899" i="11"/>
  <c r="F899" i="11" s="1"/>
  <c r="G900" i="11" s="1"/>
  <c r="D292" i="11"/>
  <c r="C291" i="11"/>
  <c r="I899" i="11"/>
  <c r="B292" i="11"/>
  <c r="AV292" i="11" s="1"/>
  <c r="AT290" i="11"/>
  <c r="AR290" i="11"/>
  <c r="AU290" i="11"/>
  <c r="AS290" i="11"/>
  <c r="AK290" i="11"/>
  <c r="AQ290" i="11"/>
  <c r="AP290" i="11"/>
  <c r="AM290" i="11"/>
  <c r="AJ290" i="11"/>
  <c r="AL290" i="11"/>
  <c r="AN290" i="11"/>
  <c r="AO290" i="11"/>
  <c r="D901" i="11"/>
  <c r="H900" i="11"/>
  <c r="J900" i="11"/>
  <c r="C900" i="11"/>
  <c r="BG290" i="11" l="1"/>
  <c r="X291" i="11"/>
  <c r="Z291" i="11" s="1"/>
  <c r="AY292" i="11"/>
  <c r="AW292" i="11"/>
  <c r="BC289" i="11"/>
  <c r="BM290" i="11"/>
  <c r="BK291" i="11"/>
  <c r="BL291" i="11"/>
  <c r="AZ290" i="11"/>
  <c r="BD290" i="11" s="1"/>
  <c r="N292" i="11"/>
  <c r="BJ292" i="11" s="1"/>
  <c r="M292" i="11"/>
  <c r="U292" i="11"/>
  <c r="G292" i="11"/>
  <c r="F292" i="11"/>
  <c r="V292" i="11"/>
  <c r="A294" i="11"/>
  <c r="BA294" i="11" s="1"/>
  <c r="BB293" i="11"/>
  <c r="E900" i="11"/>
  <c r="F900" i="11" s="1"/>
  <c r="G901" i="11" s="1"/>
  <c r="C292" i="11"/>
  <c r="D293" i="11"/>
  <c r="I900" i="11"/>
  <c r="B293" i="11"/>
  <c r="AV293" i="11" s="1"/>
  <c r="AU291" i="11"/>
  <c r="AT291" i="11"/>
  <c r="AS291" i="11"/>
  <c r="AR291" i="11"/>
  <c r="AN291" i="11"/>
  <c r="AP291" i="11"/>
  <c r="AO291" i="11"/>
  <c r="AJ291" i="11"/>
  <c r="AL291" i="11"/>
  <c r="AK291" i="11"/>
  <c r="AQ291" i="11"/>
  <c r="AM291" i="11"/>
  <c r="D902" i="11"/>
  <c r="H901" i="11"/>
  <c r="C901" i="11"/>
  <c r="J901" i="11"/>
  <c r="BG291" i="11" l="1"/>
  <c r="X292" i="11"/>
  <c r="Z292" i="11" s="1"/>
  <c r="AY293" i="11"/>
  <c r="AW293" i="11"/>
  <c r="BC290" i="11"/>
  <c r="BK292" i="11"/>
  <c r="BL292" i="11"/>
  <c r="BM291" i="11"/>
  <c r="AZ291" i="11"/>
  <c r="BC291" i="11" s="1"/>
  <c r="N293" i="11"/>
  <c r="BJ293" i="11" s="1"/>
  <c r="M293" i="11"/>
  <c r="U293" i="11"/>
  <c r="G293" i="11"/>
  <c r="F293" i="11"/>
  <c r="V293" i="11"/>
  <c r="A295" i="11"/>
  <c r="BA295" i="11" s="1"/>
  <c r="BB294" i="11"/>
  <c r="I901" i="11"/>
  <c r="D294" i="11"/>
  <c r="C293" i="11"/>
  <c r="E901" i="11"/>
  <c r="F901" i="11" s="1"/>
  <c r="G902" i="11" s="1"/>
  <c r="B294" i="11"/>
  <c r="AV294" i="11" s="1"/>
  <c r="AU292" i="11"/>
  <c r="AS292" i="11"/>
  <c r="AT292" i="11"/>
  <c r="AR292" i="11"/>
  <c r="AO292" i="11"/>
  <c r="AJ292" i="11"/>
  <c r="AL292" i="11"/>
  <c r="AK292" i="11"/>
  <c r="AQ292" i="11"/>
  <c r="AN292" i="11"/>
  <c r="AP292" i="11"/>
  <c r="AM292" i="11"/>
  <c r="D903" i="11"/>
  <c r="H902" i="11"/>
  <c r="J902" i="11"/>
  <c r="C902" i="11"/>
  <c r="BG292" i="11" l="1"/>
  <c r="X293" i="11"/>
  <c r="Z293" i="11" s="1"/>
  <c r="AY294" i="11"/>
  <c r="AW294" i="11"/>
  <c r="BD291" i="11"/>
  <c r="BM292" i="11"/>
  <c r="BL293" i="11"/>
  <c r="BK293" i="11"/>
  <c r="AZ292" i="11"/>
  <c r="BD292" i="11" s="1"/>
  <c r="N294" i="11"/>
  <c r="BJ294" i="11" s="1"/>
  <c r="M294" i="11"/>
  <c r="U294" i="11"/>
  <c r="G294" i="11"/>
  <c r="F294" i="11"/>
  <c r="V294" i="11"/>
  <c r="A296" i="11"/>
  <c r="BA296" i="11" s="1"/>
  <c r="BB295" i="11"/>
  <c r="I902" i="11"/>
  <c r="E902" i="11"/>
  <c r="F902" i="11" s="1"/>
  <c r="G903" i="11" s="1"/>
  <c r="C294" i="11"/>
  <c r="D295" i="11"/>
  <c r="B295" i="11"/>
  <c r="AV295" i="11" s="1"/>
  <c r="AT293" i="11"/>
  <c r="AU293" i="11"/>
  <c r="AS293" i="11"/>
  <c r="AR293" i="11"/>
  <c r="AK293" i="11"/>
  <c r="AQ293" i="11"/>
  <c r="AM293" i="11"/>
  <c r="AN293" i="11"/>
  <c r="AP293" i="11"/>
  <c r="AO293" i="11"/>
  <c r="AJ293" i="11"/>
  <c r="AL293" i="11"/>
  <c r="D904" i="11"/>
  <c r="H903" i="11"/>
  <c r="C903" i="11"/>
  <c r="J903" i="11"/>
  <c r="X294" i="11" l="1"/>
  <c r="Z294" i="11" s="1"/>
  <c r="AZ293" i="11"/>
  <c r="BD293" i="11" s="1"/>
  <c r="BG293" i="11"/>
  <c r="AY295" i="11"/>
  <c r="AW295" i="11"/>
  <c r="BC292" i="11"/>
  <c r="BM293" i="11"/>
  <c r="BK294" i="11"/>
  <c r="BL294" i="11"/>
  <c r="N295" i="11"/>
  <c r="BJ295" i="11" s="1"/>
  <c r="M295" i="11"/>
  <c r="U295" i="11"/>
  <c r="F295" i="11"/>
  <c r="G295" i="11"/>
  <c r="V295" i="11"/>
  <c r="A297" i="11"/>
  <c r="BA297" i="11" s="1"/>
  <c r="BB296" i="11"/>
  <c r="D296" i="11"/>
  <c r="C295" i="11"/>
  <c r="X295" i="11" s="1"/>
  <c r="Z295" i="11" s="1"/>
  <c r="I903" i="11"/>
  <c r="E903" i="11"/>
  <c r="F903" i="11" s="1"/>
  <c r="G904" i="11" s="1"/>
  <c r="B296" i="11"/>
  <c r="AV296" i="11" s="1"/>
  <c r="AR294" i="11"/>
  <c r="AU294" i="11"/>
  <c r="AS294" i="11"/>
  <c r="AT294" i="11"/>
  <c r="AN294" i="11"/>
  <c r="AP294" i="11"/>
  <c r="AM294" i="11"/>
  <c r="AO294" i="11"/>
  <c r="AJ294" i="11"/>
  <c r="AL294" i="11"/>
  <c r="AK294" i="11"/>
  <c r="AQ294" i="11"/>
  <c r="D905" i="11"/>
  <c r="H904" i="11"/>
  <c r="J904" i="11"/>
  <c r="C904" i="11"/>
  <c r="BC293" i="11" l="1"/>
  <c r="BG294" i="11"/>
  <c r="AY296" i="11"/>
  <c r="AW296" i="11"/>
  <c r="BG295" i="11"/>
  <c r="BM294" i="11"/>
  <c r="BK295" i="11"/>
  <c r="BL295" i="11"/>
  <c r="AZ294" i="11"/>
  <c r="BC294" i="11" s="1"/>
  <c r="N296" i="11"/>
  <c r="BJ296" i="11" s="1"/>
  <c r="M296" i="11"/>
  <c r="U296" i="11"/>
  <c r="G296" i="11"/>
  <c r="F296" i="11"/>
  <c r="V296" i="11"/>
  <c r="A298" i="11"/>
  <c r="BB297" i="11"/>
  <c r="I904" i="11"/>
  <c r="E904" i="11"/>
  <c r="F904" i="11" s="1"/>
  <c r="G905" i="11" s="1"/>
  <c r="C296" i="11"/>
  <c r="D297" i="11"/>
  <c r="B297" i="11"/>
  <c r="AV297" i="11" s="1"/>
  <c r="AU295" i="11"/>
  <c r="AT295" i="11"/>
  <c r="AR295" i="11"/>
  <c r="AS295" i="11"/>
  <c r="AK295" i="11"/>
  <c r="AQ295" i="11"/>
  <c r="AZ295" i="11"/>
  <c r="AM295" i="11"/>
  <c r="AJ295" i="11"/>
  <c r="AL295" i="11"/>
  <c r="AN295" i="11"/>
  <c r="AP295" i="11"/>
  <c r="AO295" i="11"/>
  <c r="D906" i="11"/>
  <c r="H905" i="11"/>
  <c r="C905" i="11"/>
  <c r="J905" i="11"/>
  <c r="X296" i="11" l="1"/>
  <c r="Z296" i="11" s="1"/>
  <c r="AY297" i="11"/>
  <c r="AW297" i="11"/>
  <c r="BD294" i="11"/>
  <c r="BL296" i="11"/>
  <c r="BK296" i="11"/>
  <c r="BM295" i="11"/>
  <c r="N297" i="11"/>
  <c r="BJ297" i="11" s="1"/>
  <c r="M297" i="11"/>
  <c r="U297" i="11"/>
  <c r="G297" i="11"/>
  <c r="F297" i="11"/>
  <c r="V297" i="11"/>
  <c r="A299" i="11"/>
  <c r="BA299" i="11" s="1"/>
  <c r="BC295" i="11"/>
  <c r="BD295" i="11"/>
  <c r="E905" i="11"/>
  <c r="F905" i="11" s="1"/>
  <c r="G906" i="11" s="1"/>
  <c r="D298" i="11"/>
  <c r="C297" i="11"/>
  <c r="I905" i="11"/>
  <c r="B298" i="11"/>
  <c r="AV298" i="11" s="1"/>
  <c r="AU296" i="11"/>
  <c r="AS296" i="11"/>
  <c r="AR296" i="11"/>
  <c r="AT296" i="11"/>
  <c r="AN296" i="11"/>
  <c r="AP296" i="11"/>
  <c r="AJ296" i="11"/>
  <c r="AL296" i="11"/>
  <c r="AM296" i="11"/>
  <c r="AO296" i="11"/>
  <c r="AK296" i="11"/>
  <c r="AQ296" i="11"/>
  <c r="D907" i="11"/>
  <c r="H906" i="11"/>
  <c r="J906" i="11"/>
  <c r="C906" i="11"/>
  <c r="BG296" i="11" l="1"/>
  <c r="X297" i="11"/>
  <c r="Z297" i="11" s="1"/>
  <c r="AY298" i="11"/>
  <c r="AW298" i="11"/>
  <c r="BM296" i="11"/>
  <c r="BK297" i="11"/>
  <c r="BL297" i="11"/>
  <c r="AZ296" i="11"/>
  <c r="BC296" i="11" s="1"/>
  <c r="N298" i="11"/>
  <c r="BJ298" i="11" s="1"/>
  <c r="M298" i="11"/>
  <c r="U298" i="11"/>
  <c r="G298" i="11"/>
  <c r="F298" i="11"/>
  <c r="V298" i="11"/>
  <c r="A300" i="11"/>
  <c r="BA300" i="11" s="1"/>
  <c r="BB299" i="11"/>
  <c r="E906" i="11"/>
  <c r="F906" i="11" s="1"/>
  <c r="G907" i="11" s="1"/>
  <c r="I906" i="11"/>
  <c r="C298" i="11"/>
  <c r="D299" i="11"/>
  <c r="B299" i="11"/>
  <c r="AV299" i="11" s="1"/>
  <c r="AU297" i="11"/>
  <c r="AT297" i="11"/>
  <c r="AS297" i="11"/>
  <c r="AR297" i="11"/>
  <c r="AM297" i="11"/>
  <c r="AP297" i="11"/>
  <c r="AO297" i="11"/>
  <c r="AL297" i="11"/>
  <c r="AK297" i="11"/>
  <c r="AN297" i="11"/>
  <c r="AJ297" i="11"/>
  <c r="AQ297" i="11"/>
  <c r="D908" i="11"/>
  <c r="H907" i="11"/>
  <c r="C907" i="11"/>
  <c r="J907" i="11"/>
  <c r="X298" i="11" l="1"/>
  <c r="Z298" i="11" s="1"/>
  <c r="BG297" i="11"/>
  <c r="AY299" i="11"/>
  <c r="AW299" i="11"/>
  <c r="BD296" i="11"/>
  <c r="BK298" i="11"/>
  <c r="BL298" i="11"/>
  <c r="BM297" i="11"/>
  <c r="AZ297" i="11"/>
  <c r="BD297" i="11" s="1"/>
  <c r="N299" i="11"/>
  <c r="BJ299" i="11" s="1"/>
  <c r="M299" i="11"/>
  <c r="U299" i="11"/>
  <c r="F299" i="11"/>
  <c r="G299" i="11"/>
  <c r="V299" i="11"/>
  <c r="A301" i="11"/>
  <c r="BA301" i="11" s="1"/>
  <c r="BB300" i="11"/>
  <c r="E907" i="11"/>
  <c r="F907" i="11" s="1"/>
  <c r="G908" i="11" s="1"/>
  <c r="D300" i="11"/>
  <c r="C299" i="11"/>
  <c r="I907" i="11"/>
  <c r="B300" i="11"/>
  <c r="AV300" i="11" s="1"/>
  <c r="AR298" i="11"/>
  <c r="AS298" i="11"/>
  <c r="AT298" i="11"/>
  <c r="AU298" i="11"/>
  <c r="AK298" i="11"/>
  <c r="AQ298" i="11"/>
  <c r="AM298" i="11"/>
  <c r="AP298" i="11"/>
  <c r="AO298" i="11"/>
  <c r="AJ298" i="11"/>
  <c r="AL298" i="11"/>
  <c r="AN298" i="11"/>
  <c r="D909" i="11"/>
  <c r="H908" i="11"/>
  <c r="J908" i="11"/>
  <c r="C908" i="11"/>
  <c r="X299" i="11" l="1"/>
  <c r="Z299" i="11" s="1"/>
  <c r="AZ298" i="11"/>
  <c r="BG298" i="11"/>
  <c r="AY300" i="11"/>
  <c r="AW300" i="11"/>
  <c r="BC297" i="11"/>
  <c r="BM298" i="11"/>
  <c r="BK299" i="11"/>
  <c r="BL299" i="11"/>
  <c r="N300" i="11"/>
  <c r="BJ300" i="11" s="1"/>
  <c r="M300" i="11"/>
  <c r="U300" i="11"/>
  <c r="F300" i="11"/>
  <c r="G300" i="11"/>
  <c r="V300" i="11"/>
  <c r="A302" i="11"/>
  <c r="BA302" i="11" s="1"/>
  <c r="BB301" i="11"/>
  <c r="E908" i="11"/>
  <c r="F908" i="11" s="1"/>
  <c r="G909" i="11" s="1"/>
  <c r="I908" i="11"/>
  <c r="C300" i="11"/>
  <c r="D301" i="11"/>
  <c r="B301" i="11"/>
  <c r="AV301" i="11" s="1"/>
  <c r="AU299" i="11"/>
  <c r="AT299" i="11"/>
  <c r="AS299" i="11"/>
  <c r="AR299" i="11"/>
  <c r="AM299" i="11"/>
  <c r="AQ299" i="11"/>
  <c r="AN299" i="11"/>
  <c r="AP299" i="11"/>
  <c r="AO299" i="11"/>
  <c r="AJ299" i="11"/>
  <c r="AL299" i="11"/>
  <c r="AK299" i="11"/>
  <c r="D910" i="11"/>
  <c r="H909" i="11"/>
  <c r="C909" i="11"/>
  <c r="J909" i="11"/>
  <c r="BG299" i="11" l="1"/>
  <c r="X300" i="11"/>
  <c r="Z300" i="11" s="1"/>
  <c r="AY301" i="11"/>
  <c r="AW301" i="11"/>
  <c r="BK300" i="11"/>
  <c r="BL300" i="11"/>
  <c r="BM299" i="11"/>
  <c r="AZ299" i="11"/>
  <c r="BC299" i="11" s="1"/>
  <c r="N301" i="11"/>
  <c r="BJ301" i="11" s="1"/>
  <c r="M301" i="11"/>
  <c r="U301" i="11"/>
  <c r="G301" i="11"/>
  <c r="F301" i="11"/>
  <c r="V301" i="11"/>
  <c r="A303" i="11"/>
  <c r="BA303" i="11" s="1"/>
  <c r="BB302" i="11"/>
  <c r="D302" i="11"/>
  <c r="C301" i="11"/>
  <c r="I909" i="11"/>
  <c r="E909" i="11"/>
  <c r="F909" i="11" s="1"/>
  <c r="G910" i="11" s="1"/>
  <c r="B302" i="11"/>
  <c r="AV302" i="11" s="1"/>
  <c r="AT300" i="11"/>
  <c r="AS300" i="11"/>
  <c r="AR300" i="11"/>
  <c r="AU300" i="11"/>
  <c r="AK300" i="11"/>
  <c r="AQ300" i="11"/>
  <c r="AO300" i="11"/>
  <c r="AJ300" i="11"/>
  <c r="AM300" i="11"/>
  <c r="AL300" i="11"/>
  <c r="AN300" i="11"/>
  <c r="AP300" i="11"/>
  <c r="J910" i="11"/>
  <c r="D911" i="11"/>
  <c r="H910" i="11"/>
  <c r="C910" i="11"/>
  <c r="BG300" i="11" l="1"/>
  <c r="X301" i="11"/>
  <c r="Z301" i="11" s="1"/>
  <c r="AY302" i="11"/>
  <c r="AW302" i="11"/>
  <c r="BD299" i="11"/>
  <c r="BM300" i="11"/>
  <c r="BL301" i="11"/>
  <c r="BK301" i="11"/>
  <c r="AZ300" i="11"/>
  <c r="BD300" i="11" s="1"/>
  <c r="N302" i="11"/>
  <c r="BJ302" i="11" s="1"/>
  <c r="M302" i="11"/>
  <c r="U302" i="11"/>
  <c r="G302" i="11"/>
  <c r="F302" i="11"/>
  <c r="V302" i="11"/>
  <c r="A304" i="11"/>
  <c r="BB303" i="11"/>
  <c r="I910" i="11"/>
  <c r="E910" i="11"/>
  <c r="F910" i="11" s="1"/>
  <c r="G911" i="11" s="1"/>
  <c r="C302" i="11"/>
  <c r="D303" i="11"/>
  <c r="B303" i="11"/>
  <c r="AV303" i="11" s="1"/>
  <c r="AT301" i="11"/>
  <c r="AU301" i="11"/>
  <c r="AS301" i="11"/>
  <c r="AR301" i="11"/>
  <c r="AO301" i="11"/>
  <c r="AJ301" i="11"/>
  <c r="AL301" i="11"/>
  <c r="AK301" i="11"/>
  <c r="AQ301" i="11"/>
  <c r="AP301" i="11"/>
  <c r="AM301" i="11"/>
  <c r="AN301" i="11"/>
  <c r="J911" i="11"/>
  <c r="D912" i="11"/>
  <c r="H911" i="11"/>
  <c r="C911" i="11"/>
  <c r="AZ301" i="11" l="1"/>
  <c r="BC301" i="11" s="1"/>
  <c r="X302" i="11"/>
  <c r="Z302" i="11" s="1"/>
  <c r="BG301" i="11"/>
  <c r="AY303" i="11"/>
  <c r="AW303" i="11"/>
  <c r="BC300" i="11"/>
  <c r="BM301" i="11"/>
  <c r="BK302" i="11"/>
  <c r="BL302" i="11"/>
  <c r="N303" i="11"/>
  <c r="BJ303" i="11" s="1"/>
  <c r="M303" i="11"/>
  <c r="U303" i="11"/>
  <c r="F303" i="11"/>
  <c r="G303" i="11"/>
  <c r="V303" i="11"/>
  <c r="A305" i="11"/>
  <c r="E911" i="11"/>
  <c r="F911" i="11" s="1"/>
  <c r="G912" i="11" s="1"/>
  <c r="D304" i="11"/>
  <c r="C303" i="11"/>
  <c r="I911" i="11"/>
  <c r="B304" i="11"/>
  <c r="AV304" i="11" s="1"/>
  <c r="AU302" i="11"/>
  <c r="AR302" i="11"/>
  <c r="AT302" i="11"/>
  <c r="AS302" i="11"/>
  <c r="AO302" i="11"/>
  <c r="AJ302" i="11"/>
  <c r="AL302" i="11"/>
  <c r="AK302" i="11"/>
  <c r="AQ302" i="11"/>
  <c r="AN302" i="11"/>
  <c r="AP302" i="11"/>
  <c r="AM302" i="11"/>
  <c r="J912" i="11"/>
  <c r="D913" i="11"/>
  <c r="H912" i="11"/>
  <c r="C912" i="11"/>
  <c r="BD301" i="11" l="1"/>
  <c r="AZ302" i="11"/>
  <c r="BC302" i="11" s="1"/>
  <c r="BG302" i="11"/>
  <c r="X303" i="11"/>
  <c r="Z303" i="11" s="1"/>
  <c r="AY304" i="11"/>
  <c r="AW304" i="11"/>
  <c r="BM302" i="11"/>
  <c r="BK303" i="11"/>
  <c r="BL303" i="11"/>
  <c r="N304" i="11"/>
  <c r="BJ304" i="11" s="1"/>
  <c r="M304" i="11"/>
  <c r="U304" i="11"/>
  <c r="G304" i="11"/>
  <c r="F304" i="11"/>
  <c r="V304" i="11"/>
  <c r="A306" i="11"/>
  <c r="BA306" i="11" s="1"/>
  <c r="I912" i="11"/>
  <c r="E912" i="11"/>
  <c r="F912" i="11" s="1"/>
  <c r="G913" i="11" s="1"/>
  <c r="C304" i="11"/>
  <c r="D305" i="11"/>
  <c r="B305" i="11"/>
  <c r="AV305" i="11" s="1"/>
  <c r="AU303" i="11"/>
  <c r="AS303" i="11"/>
  <c r="AT303" i="11"/>
  <c r="AR303" i="11"/>
  <c r="AO303" i="11"/>
  <c r="AJ303" i="11"/>
  <c r="AL303" i="11"/>
  <c r="AQ303" i="11"/>
  <c r="AK303" i="11"/>
  <c r="AM303" i="11"/>
  <c r="AN303" i="11"/>
  <c r="AP303" i="11"/>
  <c r="J913" i="11"/>
  <c r="D914" i="11"/>
  <c r="H913" i="11"/>
  <c r="C913" i="11"/>
  <c r="BD302" i="11" l="1"/>
  <c r="BG303" i="11"/>
  <c r="X304" i="11"/>
  <c r="Z304" i="11" s="1"/>
  <c r="AY305" i="11"/>
  <c r="AW305" i="11"/>
  <c r="BL304" i="11"/>
  <c r="BK304" i="11"/>
  <c r="BM303" i="11"/>
  <c r="AZ303" i="11"/>
  <c r="BC303" i="11" s="1"/>
  <c r="N305" i="11"/>
  <c r="BJ305" i="11" s="1"/>
  <c r="M305" i="11"/>
  <c r="U305" i="11"/>
  <c r="F305" i="11"/>
  <c r="G305" i="11"/>
  <c r="V305" i="11"/>
  <c r="A307" i="11"/>
  <c r="BA307" i="11" s="1"/>
  <c r="BB306" i="11"/>
  <c r="E913" i="11"/>
  <c r="F913" i="11" s="1"/>
  <c r="G914" i="11" s="1"/>
  <c r="D306" i="11"/>
  <c r="C305" i="11"/>
  <c r="I913" i="11"/>
  <c r="B306" i="11"/>
  <c r="AV306" i="11" s="1"/>
  <c r="AU304" i="11"/>
  <c r="AS304" i="11"/>
  <c r="AT304" i="11"/>
  <c r="AR304" i="11"/>
  <c r="AO304" i="11"/>
  <c r="AJ304" i="11"/>
  <c r="AL304" i="11"/>
  <c r="AQ304" i="11"/>
  <c r="AK304" i="11"/>
  <c r="AM304" i="11"/>
  <c r="AN304" i="11"/>
  <c r="AP304" i="11"/>
  <c r="J914" i="11"/>
  <c r="D915" i="11"/>
  <c r="H914" i="11"/>
  <c r="C914" i="11"/>
  <c r="X305" i="11" l="1"/>
  <c r="Z305" i="11" s="1"/>
  <c r="AZ304" i="11"/>
  <c r="BG304" i="11"/>
  <c r="AY306" i="11"/>
  <c r="AW306" i="11"/>
  <c r="BM304" i="11"/>
  <c r="BK305" i="11"/>
  <c r="BL305" i="11"/>
  <c r="BD303" i="11"/>
  <c r="N306" i="11"/>
  <c r="BJ306" i="11" s="1"/>
  <c r="M306" i="11"/>
  <c r="U306" i="11"/>
  <c r="G306" i="11"/>
  <c r="F306" i="11"/>
  <c r="V306" i="11"/>
  <c r="A308" i="11"/>
  <c r="BA308" i="11" s="1"/>
  <c r="BB307" i="11"/>
  <c r="E914" i="11"/>
  <c r="F914" i="11" s="1"/>
  <c r="G915" i="11" s="1"/>
  <c r="C306" i="11"/>
  <c r="D307" i="11"/>
  <c r="I914" i="11"/>
  <c r="B307" i="11"/>
  <c r="AV307" i="11" s="1"/>
  <c r="AT305" i="11"/>
  <c r="AR305" i="11"/>
  <c r="AU305" i="11"/>
  <c r="AS305" i="11"/>
  <c r="AK305" i="11"/>
  <c r="AQ305" i="11"/>
  <c r="AM305" i="11"/>
  <c r="AN305" i="11"/>
  <c r="AP305" i="11"/>
  <c r="AO305" i="11"/>
  <c r="AJ305" i="11"/>
  <c r="AL305" i="11"/>
  <c r="J915" i="11"/>
  <c r="D916" i="11"/>
  <c r="H915" i="11"/>
  <c r="C915" i="11"/>
  <c r="X306" i="11" l="1"/>
  <c r="Z306" i="11" s="1"/>
  <c r="BG305" i="11"/>
  <c r="AY307" i="11"/>
  <c r="AW307" i="11"/>
  <c r="BK306" i="11"/>
  <c r="BL306" i="11"/>
  <c r="BM305" i="11"/>
  <c r="AZ305" i="11"/>
  <c r="N307" i="11"/>
  <c r="BJ307" i="11" s="1"/>
  <c r="M307" i="11"/>
  <c r="U307" i="11"/>
  <c r="F307" i="11"/>
  <c r="G307" i="11"/>
  <c r="V307" i="11"/>
  <c r="A309" i="11"/>
  <c r="BA309" i="11" s="1"/>
  <c r="BB308" i="11"/>
  <c r="I915" i="11"/>
  <c r="E915" i="11"/>
  <c r="F915" i="11" s="1"/>
  <c r="G916" i="11" s="1"/>
  <c r="D308" i="11"/>
  <c r="C307" i="11"/>
  <c r="B308" i="11"/>
  <c r="AV308" i="11" s="1"/>
  <c r="AT306" i="11"/>
  <c r="AR306" i="11"/>
  <c r="AU306" i="11"/>
  <c r="AS306" i="11"/>
  <c r="AO306" i="11"/>
  <c r="AJ306" i="11"/>
  <c r="AL306" i="11"/>
  <c r="AK306" i="11"/>
  <c r="AQ306" i="11"/>
  <c r="AP306" i="11"/>
  <c r="AM306" i="11"/>
  <c r="AN306" i="11"/>
  <c r="J916" i="11"/>
  <c r="D917" i="11"/>
  <c r="H916" i="11"/>
  <c r="C916" i="11"/>
  <c r="BG306" i="11" l="1"/>
  <c r="X307" i="11"/>
  <c r="Z307" i="11" s="1"/>
  <c r="AY308" i="11"/>
  <c r="AW308" i="11"/>
  <c r="BM306" i="11"/>
  <c r="BK307" i="11"/>
  <c r="BL307" i="11"/>
  <c r="AZ306" i="11"/>
  <c r="BD306" i="11" s="1"/>
  <c r="N308" i="11"/>
  <c r="BJ308" i="11" s="1"/>
  <c r="M308" i="11"/>
  <c r="U308" i="11"/>
  <c r="G308" i="11"/>
  <c r="F308" i="11"/>
  <c r="V308" i="11"/>
  <c r="A310" i="11"/>
  <c r="BA310" i="11" s="1"/>
  <c r="BB309" i="11"/>
  <c r="I916" i="11"/>
  <c r="E916" i="11"/>
  <c r="F916" i="11" s="1"/>
  <c r="G917" i="11" s="1"/>
  <c r="C308" i="11"/>
  <c r="D309" i="11"/>
  <c r="B309" i="11"/>
  <c r="AV309" i="11" s="1"/>
  <c r="AU307" i="11"/>
  <c r="AT307" i="11"/>
  <c r="AS307" i="11"/>
  <c r="AR307" i="11"/>
  <c r="AK307" i="11"/>
  <c r="AQ307" i="11"/>
  <c r="AM307" i="11"/>
  <c r="AP307" i="11"/>
  <c r="AJ307" i="11"/>
  <c r="AL307" i="11"/>
  <c r="AN307" i="11"/>
  <c r="AO307" i="11"/>
  <c r="J917" i="11"/>
  <c r="D918" i="11"/>
  <c r="H917" i="11"/>
  <c r="C917" i="11"/>
  <c r="X308" i="11" l="1"/>
  <c r="Z308" i="11" s="1"/>
  <c r="BG307" i="11"/>
  <c r="AY309" i="11"/>
  <c r="AW309" i="11"/>
  <c r="BC306" i="11"/>
  <c r="BM307" i="11"/>
  <c r="BK308" i="11"/>
  <c r="BL308" i="11"/>
  <c r="AZ307" i="11"/>
  <c r="BC307" i="11" s="1"/>
  <c r="N309" i="11"/>
  <c r="BJ309" i="11" s="1"/>
  <c r="M309" i="11"/>
  <c r="U309" i="11"/>
  <c r="G309" i="11"/>
  <c r="F309" i="11"/>
  <c r="V309" i="11"/>
  <c r="A311" i="11"/>
  <c r="BA311" i="11" s="1"/>
  <c r="BB310" i="11"/>
  <c r="E917" i="11"/>
  <c r="F917" i="11" s="1"/>
  <c r="G918" i="11" s="1"/>
  <c r="I917" i="11"/>
  <c r="D310" i="11"/>
  <c r="C309" i="11"/>
  <c r="B310" i="11"/>
  <c r="AV310" i="11" s="1"/>
  <c r="AU308" i="11"/>
  <c r="AS308" i="11"/>
  <c r="AR308" i="11"/>
  <c r="AT308" i="11"/>
  <c r="AK308" i="11"/>
  <c r="AQ308" i="11"/>
  <c r="AN308" i="11"/>
  <c r="AO308" i="11"/>
  <c r="AL308" i="11"/>
  <c r="AM308" i="11"/>
  <c r="AP308" i="11"/>
  <c r="AJ308" i="11"/>
  <c r="J918" i="11"/>
  <c r="D919" i="11"/>
  <c r="H918" i="11"/>
  <c r="C918" i="11"/>
  <c r="X309" i="11" l="1"/>
  <c r="Z309" i="11" s="1"/>
  <c r="BG308" i="11"/>
  <c r="AY310" i="11"/>
  <c r="AW310" i="11"/>
  <c r="BD307" i="11"/>
  <c r="BM308" i="11"/>
  <c r="BL309" i="11"/>
  <c r="BK309" i="11"/>
  <c r="AZ308" i="11"/>
  <c r="BD308" i="11" s="1"/>
  <c r="N310" i="11"/>
  <c r="BJ310" i="11" s="1"/>
  <c r="M310" i="11"/>
  <c r="U310" i="11"/>
  <c r="G310" i="11"/>
  <c r="F310" i="11"/>
  <c r="V310" i="11"/>
  <c r="A312" i="11"/>
  <c r="BA312" i="11" s="1"/>
  <c r="BB311" i="11"/>
  <c r="E918" i="11"/>
  <c r="F918" i="11" s="1"/>
  <c r="G919" i="11" s="1"/>
  <c r="I918" i="11"/>
  <c r="C310" i="11"/>
  <c r="D311" i="11"/>
  <c r="B311" i="11"/>
  <c r="AV311" i="11" s="1"/>
  <c r="AT309" i="11"/>
  <c r="AS309" i="11"/>
  <c r="AU309" i="11"/>
  <c r="AR309" i="11"/>
  <c r="AK309" i="11"/>
  <c r="AQ309" i="11"/>
  <c r="AM309" i="11"/>
  <c r="AO309" i="11"/>
  <c r="AJ309" i="11"/>
  <c r="AL309" i="11"/>
  <c r="AN309" i="11"/>
  <c r="AP309" i="11"/>
  <c r="J919" i="11"/>
  <c r="D920" i="11"/>
  <c r="H919" i="11"/>
  <c r="C919" i="11"/>
  <c r="BG309" i="11" l="1"/>
  <c r="X310" i="11"/>
  <c r="Z310" i="11" s="1"/>
  <c r="AY311" i="11"/>
  <c r="AW311" i="11"/>
  <c r="BM309" i="11"/>
  <c r="BK310" i="11"/>
  <c r="BL310" i="11"/>
  <c r="BC308" i="11"/>
  <c r="AZ309" i="11"/>
  <c r="BC309" i="11" s="1"/>
  <c r="N311" i="11"/>
  <c r="BJ311" i="11" s="1"/>
  <c r="M311" i="11"/>
  <c r="U311" i="11"/>
  <c r="F311" i="11"/>
  <c r="G311" i="11"/>
  <c r="V311" i="11"/>
  <c r="A313" i="11"/>
  <c r="BB312" i="11"/>
  <c r="I919" i="11"/>
  <c r="D312" i="11"/>
  <c r="C311" i="11"/>
  <c r="E919" i="11"/>
  <c r="F919" i="11" s="1"/>
  <c r="G920" i="11" s="1"/>
  <c r="B312" i="11"/>
  <c r="AV312" i="11" s="1"/>
  <c r="AU310" i="11"/>
  <c r="AR310" i="11"/>
  <c r="AS310" i="11"/>
  <c r="AT310" i="11"/>
  <c r="AN310" i="11"/>
  <c r="AP310" i="11"/>
  <c r="AO310" i="11"/>
  <c r="AL310" i="11"/>
  <c r="AJ310" i="11"/>
  <c r="AK310" i="11"/>
  <c r="AQ310" i="11"/>
  <c r="AM310" i="11"/>
  <c r="J920" i="11"/>
  <c r="D921" i="11"/>
  <c r="H920" i="11"/>
  <c r="C920" i="11"/>
  <c r="AZ310" i="11" l="1"/>
  <c r="BC310" i="11" s="1"/>
  <c r="X311" i="11"/>
  <c r="Z311" i="11" s="1"/>
  <c r="BG310" i="11"/>
  <c r="AY312" i="11"/>
  <c r="AW312" i="11"/>
  <c r="BM310" i="11"/>
  <c r="BK311" i="11"/>
  <c r="BL311" i="11"/>
  <c r="BD309" i="11"/>
  <c r="N312" i="11"/>
  <c r="BJ312" i="11" s="1"/>
  <c r="M312" i="11"/>
  <c r="U312" i="11"/>
  <c r="G312" i="11"/>
  <c r="F312" i="11"/>
  <c r="V312" i="11"/>
  <c r="A314" i="11"/>
  <c r="E920" i="11"/>
  <c r="F920" i="11" s="1"/>
  <c r="G921" i="11" s="1"/>
  <c r="I920" i="11"/>
  <c r="C312" i="11"/>
  <c r="D313" i="11"/>
  <c r="B313" i="11"/>
  <c r="AV313" i="11" s="1"/>
  <c r="AU311" i="11"/>
  <c r="AT311" i="11"/>
  <c r="AR311" i="11"/>
  <c r="AS311" i="11"/>
  <c r="AK311" i="11"/>
  <c r="AQ311" i="11"/>
  <c r="AM311" i="11"/>
  <c r="AN311" i="11"/>
  <c r="AP311" i="11"/>
  <c r="AO311" i="11"/>
  <c r="AJ311" i="11"/>
  <c r="AL311" i="11"/>
  <c r="J921" i="11"/>
  <c r="D922" i="11"/>
  <c r="H921" i="11"/>
  <c r="C921" i="11"/>
  <c r="X312" i="11" l="1"/>
  <c r="Z312" i="11" s="1"/>
  <c r="BG311" i="11"/>
  <c r="BD310" i="11"/>
  <c r="AY313" i="11"/>
  <c r="AW313" i="11"/>
  <c r="BL312" i="11"/>
  <c r="BK312" i="11"/>
  <c r="BM311" i="11"/>
  <c r="AZ311" i="11"/>
  <c r="BD311" i="11" s="1"/>
  <c r="N313" i="11"/>
  <c r="BJ313" i="11" s="1"/>
  <c r="M313" i="11"/>
  <c r="U313" i="11"/>
  <c r="G313" i="11"/>
  <c r="F313" i="11"/>
  <c r="V313" i="11"/>
  <c r="A315" i="11"/>
  <c r="BA315" i="11" s="1"/>
  <c r="E921" i="11"/>
  <c r="F921" i="11" s="1"/>
  <c r="G922" i="11" s="1"/>
  <c r="D314" i="11"/>
  <c r="C313" i="11"/>
  <c r="I921" i="11"/>
  <c r="B314" i="11"/>
  <c r="AV314" i="11" s="1"/>
  <c r="AT312" i="11"/>
  <c r="AU312" i="11"/>
  <c r="AS312" i="11"/>
  <c r="AR312" i="11"/>
  <c r="AN312" i="11"/>
  <c r="AP312" i="11"/>
  <c r="AO312" i="11"/>
  <c r="AJ312" i="11"/>
  <c r="AL312" i="11"/>
  <c r="AK312" i="11"/>
  <c r="AQ312" i="11"/>
  <c r="AM312" i="11"/>
  <c r="J922" i="11"/>
  <c r="D923" i="11"/>
  <c r="H922" i="11"/>
  <c r="C922" i="11"/>
  <c r="BG312" i="11" l="1"/>
  <c r="X313" i="11"/>
  <c r="Z313" i="11" s="1"/>
  <c r="AY314" i="11"/>
  <c r="AW314" i="11"/>
  <c r="BC311" i="11"/>
  <c r="BM312" i="11"/>
  <c r="BK313" i="11"/>
  <c r="BL313" i="11"/>
  <c r="AZ312" i="11"/>
  <c r="BD312" i="11" s="1"/>
  <c r="N314" i="11"/>
  <c r="BJ314" i="11" s="1"/>
  <c r="M314" i="11"/>
  <c r="U314" i="11"/>
  <c r="G314" i="11"/>
  <c r="F314" i="11"/>
  <c r="V314" i="11"/>
  <c r="A316" i="11"/>
  <c r="BB315" i="11"/>
  <c r="E922" i="11"/>
  <c r="F922" i="11" s="1"/>
  <c r="G923" i="11" s="1"/>
  <c r="C314" i="11"/>
  <c r="D315" i="11"/>
  <c r="I922" i="11"/>
  <c r="B315" i="11"/>
  <c r="AV315" i="11" s="1"/>
  <c r="AU313" i="11"/>
  <c r="AT313" i="11"/>
  <c r="AS313" i="11"/>
  <c r="AR313" i="11"/>
  <c r="AK313" i="11"/>
  <c r="AQ313" i="11"/>
  <c r="AM313" i="11"/>
  <c r="AO313" i="11"/>
  <c r="AJ313" i="11"/>
  <c r="AL313" i="11"/>
  <c r="AN313" i="11"/>
  <c r="AP313" i="11"/>
  <c r="J923" i="11"/>
  <c r="D924" i="11"/>
  <c r="H923" i="11"/>
  <c r="C923" i="11"/>
  <c r="BG313" i="11" l="1"/>
  <c r="X314" i="11"/>
  <c r="Z314" i="11" s="1"/>
  <c r="AY315" i="11"/>
  <c r="AW315" i="11"/>
  <c r="BC312" i="11"/>
  <c r="BK314" i="11"/>
  <c r="BL314" i="11"/>
  <c r="BM313" i="11"/>
  <c r="AZ313" i="11"/>
  <c r="N315" i="11"/>
  <c r="BJ315" i="11" s="1"/>
  <c r="M315" i="11"/>
  <c r="U315" i="11"/>
  <c r="F315" i="11"/>
  <c r="G315" i="11"/>
  <c r="V315" i="11"/>
  <c r="A317" i="11"/>
  <c r="BA317" i="11" s="1"/>
  <c r="I923" i="11"/>
  <c r="D316" i="11"/>
  <c r="C315" i="11"/>
  <c r="E923" i="11"/>
  <c r="F923" i="11" s="1"/>
  <c r="G924" i="11" s="1"/>
  <c r="B316" i="11"/>
  <c r="AV316" i="11" s="1"/>
  <c r="AS314" i="11"/>
  <c r="AR314" i="11"/>
  <c r="AT314" i="11"/>
  <c r="AU314" i="11"/>
  <c r="AN314" i="11"/>
  <c r="AP314" i="11"/>
  <c r="AO314" i="11"/>
  <c r="AL314" i="11"/>
  <c r="AJ314" i="11"/>
  <c r="AM314" i="11"/>
  <c r="AK314" i="11"/>
  <c r="AQ314" i="11"/>
  <c r="J924" i="11"/>
  <c r="D925" i="11"/>
  <c r="H924" i="11"/>
  <c r="C924" i="11"/>
  <c r="X315" i="11" l="1"/>
  <c r="Z315" i="11" s="1"/>
  <c r="AZ314" i="11"/>
  <c r="BG314" i="11"/>
  <c r="AY316" i="11"/>
  <c r="AW316" i="11"/>
  <c r="BM314" i="11"/>
  <c r="BK315" i="11"/>
  <c r="BL315" i="11"/>
  <c r="N316" i="11"/>
  <c r="BJ316" i="11" s="1"/>
  <c r="M316" i="11"/>
  <c r="U316" i="11"/>
  <c r="F316" i="11"/>
  <c r="G316" i="11"/>
  <c r="V316" i="11"/>
  <c r="A318" i="11"/>
  <c r="BA318" i="11" s="1"/>
  <c r="BB317" i="11"/>
  <c r="I924" i="11"/>
  <c r="C316" i="11"/>
  <c r="X316" i="11" s="1"/>
  <c r="Z316" i="11" s="1"/>
  <c r="D317" i="11"/>
  <c r="E924" i="11"/>
  <c r="F924" i="11" s="1"/>
  <c r="G925" i="11" s="1"/>
  <c r="B317" i="11"/>
  <c r="AV317" i="11" s="1"/>
  <c r="AU315" i="11"/>
  <c r="AS315" i="11"/>
  <c r="AR315" i="11"/>
  <c r="AT315" i="11"/>
  <c r="AM315" i="11"/>
  <c r="AN315" i="11"/>
  <c r="AP315" i="11"/>
  <c r="AO315" i="11"/>
  <c r="AJ315" i="11"/>
  <c r="AK315" i="11"/>
  <c r="AL315" i="11"/>
  <c r="AQ315" i="11"/>
  <c r="J925" i="11"/>
  <c r="D926" i="11"/>
  <c r="H925" i="11"/>
  <c r="C925" i="11"/>
  <c r="BG315" i="11" l="1"/>
  <c r="AZ315" i="11"/>
  <c r="BC315" i="11" s="1"/>
  <c r="AY317" i="11"/>
  <c r="AW317" i="11"/>
  <c r="BG316" i="11"/>
  <c r="BK316" i="11"/>
  <c r="BL316" i="11"/>
  <c r="BM315" i="11"/>
  <c r="N317" i="11"/>
  <c r="BJ317" i="11" s="1"/>
  <c r="M317" i="11"/>
  <c r="U317" i="11"/>
  <c r="G317" i="11"/>
  <c r="F317" i="11"/>
  <c r="V317" i="11"/>
  <c r="A319" i="11"/>
  <c r="BA319" i="11" s="1"/>
  <c r="BB318" i="11"/>
  <c r="E925" i="11"/>
  <c r="F925" i="11" s="1"/>
  <c r="G926" i="11" s="1"/>
  <c r="I925" i="11"/>
  <c r="D318" i="11"/>
  <c r="C317" i="11"/>
  <c r="B318" i="11"/>
  <c r="AV318" i="11" s="1"/>
  <c r="AT316" i="11"/>
  <c r="AU316" i="11"/>
  <c r="AS316" i="11"/>
  <c r="AR316" i="11"/>
  <c r="AZ316" i="11"/>
  <c r="AM316" i="11"/>
  <c r="AK316" i="11"/>
  <c r="AN316" i="11"/>
  <c r="AP316" i="11"/>
  <c r="AQ316" i="11"/>
  <c r="AO316" i="11"/>
  <c r="AJ316" i="11"/>
  <c r="AL316" i="11"/>
  <c r="J926" i="11"/>
  <c r="D927" i="11"/>
  <c r="H926" i="11"/>
  <c r="C926" i="11"/>
  <c r="X317" i="11" l="1"/>
  <c r="Z317" i="11" s="1"/>
  <c r="BD315" i="11"/>
  <c r="AY318" i="11"/>
  <c r="AW318" i="11"/>
  <c r="BM316" i="11"/>
  <c r="BL317" i="11"/>
  <c r="BK317" i="11"/>
  <c r="N318" i="11"/>
  <c r="BJ318" i="11" s="1"/>
  <c r="M318" i="11"/>
  <c r="U318" i="11"/>
  <c r="G318" i="11"/>
  <c r="F318" i="11"/>
  <c r="V318" i="11"/>
  <c r="A320" i="11"/>
  <c r="BA320" i="11" s="1"/>
  <c r="BB319" i="11"/>
  <c r="C318" i="11"/>
  <c r="D319" i="11"/>
  <c r="I926" i="11"/>
  <c r="E926" i="11"/>
  <c r="F926" i="11" s="1"/>
  <c r="G927" i="11" s="1"/>
  <c r="B319" i="11"/>
  <c r="AV319" i="11" s="1"/>
  <c r="AT317" i="11"/>
  <c r="AS317" i="11"/>
  <c r="AU317" i="11"/>
  <c r="AR317" i="11"/>
  <c r="AO317" i="11"/>
  <c r="AJ317" i="11"/>
  <c r="AL317" i="11"/>
  <c r="AK317" i="11"/>
  <c r="AQ317" i="11"/>
  <c r="AN317" i="11"/>
  <c r="AP317" i="11"/>
  <c r="AM317" i="11"/>
  <c r="J927" i="11"/>
  <c r="D928" i="11"/>
  <c r="H927" i="11"/>
  <c r="C927" i="11"/>
  <c r="BG317" i="11" l="1"/>
  <c r="X318" i="11"/>
  <c r="Z318" i="11" s="1"/>
  <c r="AY319" i="11"/>
  <c r="AW319" i="11"/>
  <c r="BM317" i="11"/>
  <c r="BK318" i="11"/>
  <c r="BL318" i="11"/>
  <c r="AZ317" i="11"/>
  <c r="BC317" i="11" s="1"/>
  <c r="N319" i="11"/>
  <c r="BJ319" i="11" s="1"/>
  <c r="M319" i="11"/>
  <c r="U319" i="11"/>
  <c r="F319" i="11"/>
  <c r="G319" i="11"/>
  <c r="V319" i="11"/>
  <c r="A321" i="11"/>
  <c r="BA321" i="11" s="1"/>
  <c r="BB320" i="11"/>
  <c r="I927" i="11"/>
  <c r="E927" i="11"/>
  <c r="F927" i="11" s="1"/>
  <c r="G928" i="11" s="1"/>
  <c r="D320" i="11"/>
  <c r="C319" i="11"/>
  <c r="B320" i="11"/>
  <c r="AV320" i="11" s="1"/>
  <c r="AU318" i="11"/>
  <c r="AR318" i="11"/>
  <c r="AT318" i="11"/>
  <c r="AS318" i="11"/>
  <c r="AN318" i="11"/>
  <c r="AP318" i="11"/>
  <c r="AO318" i="11"/>
  <c r="AJ318" i="11"/>
  <c r="AL318" i="11"/>
  <c r="AM318" i="11"/>
  <c r="AK318" i="11"/>
  <c r="AQ318" i="11"/>
  <c r="J928" i="11"/>
  <c r="D929" i="11"/>
  <c r="H928" i="11"/>
  <c r="C928" i="11"/>
  <c r="BG318" i="11" l="1"/>
  <c r="X319" i="11"/>
  <c r="Z319" i="11" s="1"/>
  <c r="AY320" i="11"/>
  <c r="AW320" i="11"/>
  <c r="BD317" i="11"/>
  <c r="BM318" i="11"/>
  <c r="BK319" i="11"/>
  <c r="BL319" i="11"/>
  <c r="AZ318" i="11"/>
  <c r="BD318" i="11" s="1"/>
  <c r="N320" i="11"/>
  <c r="BJ320" i="11" s="1"/>
  <c r="M320" i="11"/>
  <c r="U320" i="11"/>
  <c r="F320" i="11"/>
  <c r="G320" i="11"/>
  <c r="V320" i="11"/>
  <c r="A322" i="11"/>
  <c r="BA322" i="11" s="1"/>
  <c r="BB321" i="11"/>
  <c r="E928" i="11"/>
  <c r="F928" i="11" s="1"/>
  <c r="G929" i="11" s="1"/>
  <c r="I928" i="11"/>
  <c r="C320" i="11"/>
  <c r="D321" i="11"/>
  <c r="B321" i="11"/>
  <c r="AV321" i="11" s="1"/>
  <c r="AU319" i="11"/>
  <c r="AS319" i="11"/>
  <c r="AT319" i="11"/>
  <c r="AR319" i="11"/>
  <c r="AN319" i="11"/>
  <c r="AP319" i="11"/>
  <c r="AM319" i="11"/>
  <c r="AO319" i="11"/>
  <c r="AJ319" i="11"/>
  <c r="AL319" i="11"/>
  <c r="AK319" i="11"/>
  <c r="AQ319" i="11"/>
  <c r="J929" i="11"/>
  <c r="D930" i="11"/>
  <c r="H929" i="11"/>
  <c r="C929" i="11"/>
  <c r="BG319" i="11" l="1"/>
  <c r="X320" i="11"/>
  <c r="Z320" i="11" s="1"/>
  <c r="AY321" i="11"/>
  <c r="AW321" i="11"/>
  <c r="BC318" i="11"/>
  <c r="BL320" i="11"/>
  <c r="BK320" i="11"/>
  <c r="BM319" i="11"/>
  <c r="AZ319" i="11"/>
  <c r="BC319" i="11" s="1"/>
  <c r="N321" i="11"/>
  <c r="BJ321" i="11" s="1"/>
  <c r="M321" i="11"/>
  <c r="U321" i="11"/>
  <c r="F321" i="11"/>
  <c r="G321" i="11"/>
  <c r="V321" i="11"/>
  <c r="A323" i="11"/>
  <c r="BA323" i="11" s="1"/>
  <c r="BB322" i="11"/>
  <c r="I929" i="11"/>
  <c r="D322" i="11"/>
  <c r="C321" i="11"/>
  <c r="E929" i="11"/>
  <c r="F929" i="11" s="1"/>
  <c r="G930" i="11" s="1"/>
  <c r="B322" i="11"/>
  <c r="AV322" i="11" s="1"/>
  <c r="AT320" i="11"/>
  <c r="AU320" i="11"/>
  <c r="AS320" i="11"/>
  <c r="AR320" i="11"/>
  <c r="AN320" i="11"/>
  <c r="AP320" i="11"/>
  <c r="AM320" i="11"/>
  <c r="AO320" i="11"/>
  <c r="AJ320" i="11"/>
  <c r="AL320" i="11"/>
  <c r="AK320" i="11"/>
  <c r="AQ320" i="11"/>
  <c r="J930" i="11"/>
  <c r="D931" i="11"/>
  <c r="H930" i="11"/>
  <c r="C930" i="11"/>
  <c r="X321" i="11" l="1"/>
  <c r="Z321" i="11" s="1"/>
  <c r="AZ320" i="11"/>
  <c r="BD320" i="11" s="1"/>
  <c r="BG320" i="11"/>
  <c r="AY322" i="11"/>
  <c r="AW322" i="11"/>
  <c r="BM320" i="11"/>
  <c r="BK321" i="11"/>
  <c r="BL321" i="11"/>
  <c r="BD319" i="11"/>
  <c r="N322" i="11"/>
  <c r="BJ322" i="11" s="1"/>
  <c r="M322" i="11"/>
  <c r="U322" i="11"/>
  <c r="G322" i="11"/>
  <c r="F322" i="11"/>
  <c r="V322" i="11"/>
  <c r="A324" i="11"/>
  <c r="BB323" i="11"/>
  <c r="E930" i="11"/>
  <c r="F930" i="11" s="1"/>
  <c r="G931" i="11" s="1"/>
  <c r="C322" i="11"/>
  <c r="D323" i="11"/>
  <c r="I930" i="11"/>
  <c r="B323" i="11"/>
  <c r="AV323" i="11" s="1"/>
  <c r="AT321" i="11"/>
  <c r="AS321" i="11"/>
  <c r="AU321" i="11"/>
  <c r="AR321" i="11"/>
  <c r="AN321" i="11"/>
  <c r="AP321" i="11"/>
  <c r="AM321" i="11"/>
  <c r="AO321" i="11"/>
  <c r="AJ321" i="11"/>
  <c r="AL321" i="11"/>
  <c r="AK321" i="11"/>
  <c r="AQ321" i="11"/>
  <c r="J931" i="11"/>
  <c r="D932" i="11"/>
  <c r="H931" i="11"/>
  <c r="C931" i="11"/>
  <c r="BC320" i="11" l="1"/>
  <c r="AZ321" i="11"/>
  <c r="BC321" i="11" s="1"/>
  <c r="X322" i="11"/>
  <c r="Z322" i="11" s="1"/>
  <c r="BG321" i="11"/>
  <c r="AY323" i="11"/>
  <c r="AW323" i="11"/>
  <c r="BK322" i="11"/>
  <c r="BL322" i="11"/>
  <c r="BM321" i="11"/>
  <c r="N323" i="11"/>
  <c r="BJ323" i="11" s="1"/>
  <c r="M323" i="11"/>
  <c r="U323" i="11"/>
  <c r="F323" i="11"/>
  <c r="G323" i="11"/>
  <c r="V323" i="11"/>
  <c r="A325" i="11"/>
  <c r="BA325" i="11" s="1"/>
  <c r="I931" i="11"/>
  <c r="D324" i="11"/>
  <c r="C323" i="11"/>
  <c r="E931" i="11"/>
  <c r="F931" i="11" s="1"/>
  <c r="G932" i="11" s="1"/>
  <c r="B324" i="11"/>
  <c r="AV324" i="11" s="1"/>
  <c r="AT322" i="11"/>
  <c r="AR322" i="11"/>
  <c r="AU322" i="11"/>
  <c r="AS322" i="11"/>
  <c r="AO322" i="11"/>
  <c r="AJ322" i="11"/>
  <c r="AL322" i="11"/>
  <c r="AM322" i="11"/>
  <c r="AK322" i="11"/>
  <c r="AQ322" i="11"/>
  <c r="AN322" i="11"/>
  <c r="AP322" i="11"/>
  <c r="J932" i="11"/>
  <c r="D933" i="11"/>
  <c r="H932" i="11"/>
  <c r="C932" i="11"/>
  <c r="BD321" i="11" l="1"/>
  <c r="AZ322" i="11"/>
  <c r="BC322" i="11" s="1"/>
  <c r="BG322" i="11"/>
  <c r="X323" i="11"/>
  <c r="Z323" i="11" s="1"/>
  <c r="AY324" i="11"/>
  <c r="AW324" i="11"/>
  <c r="BM322" i="11"/>
  <c r="BK323" i="11"/>
  <c r="BL323" i="11"/>
  <c r="N324" i="11"/>
  <c r="BJ324" i="11" s="1"/>
  <c r="M324" i="11"/>
  <c r="U324" i="11"/>
  <c r="G324" i="11"/>
  <c r="F324" i="11"/>
  <c r="V324" i="11"/>
  <c r="A326" i="11"/>
  <c r="BA326" i="11" s="1"/>
  <c r="BB325" i="11"/>
  <c r="I932" i="11"/>
  <c r="E932" i="11"/>
  <c r="F932" i="11" s="1"/>
  <c r="G933" i="11" s="1"/>
  <c r="C324" i="11"/>
  <c r="D325" i="11"/>
  <c r="B325" i="11"/>
  <c r="AV325" i="11" s="1"/>
  <c r="AU323" i="11"/>
  <c r="AS323" i="11"/>
  <c r="AR323" i="11"/>
  <c r="AT323" i="11"/>
  <c r="AK323" i="11"/>
  <c r="AQ323" i="11"/>
  <c r="AO323" i="11"/>
  <c r="AJ323" i="11"/>
  <c r="AL323" i="11"/>
  <c r="AM323" i="11"/>
  <c r="AN323" i="11"/>
  <c r="AP323" i="11"/>
  <c r="J933" i="11"/>
  <c r="D934" i="11"/>
  <c r="H933" i="11"/>
  <c r="C933" i="11"/>
  <c r="BD322" i="11" l="1"/>
  <c r="BG323" i="11"/>
  <c r="X324" i="11"/>
  <c r="Z324" i="11" s="1"/>
  <c r="AY325" i="11"/>
  <c r="AW325" i="11"/>
  <c r="BK324" i="11"/>
  <c r="BL324" i="11"/>
  <c r="BM323" i="11"/>
  <c r="AZ323" i="11"/>
  <c r="BC323" i="11" s="1"/>
  <c r="N325" i="11"/>
  <c r="BJ325" i="11" s="1"/>
  <c r="M325" i="11"/>
  <c r="U325" i="11"/>
  <c r="F325" i="11"/>
  <c r="G325" i="11"/>
  <c r="V325" i="11"/>
  <c r="A327" i="11"/>
  <c r="BA327" i="11" s="1"/>
  <c r="BB326" i="11"/>
  <c r="E933" i="11"/>
  <c r="F933" i="11" s="1"/>
  <c r="G934" i="11" s="1"/>
  <c r="I933" i="11"/>
  <c r="D326" i="11"/>
  <c r="C325" i="11"/>
  <c r="B326" i="11"/>
  <c r="AV326" i="11" s="1"/>
  <c r="AU324" i="11"/>
  <c r="AS324" i="11"/>
  <c r="AR324" i="11"/>
  <c r="AT324" i="11"/>
  <c r="AM324" i="11"/>
  <c r="AJ324" i="11"/>
  <c r="AQ324" i="11"/>
  <c r="AN324" i="11"/>
  <c r="AP324" i="11"/>
  <c r="AO324" i="11"/>
  <c r="AL324" i="11"/>
  <c r="AK324" i="11"/>
  <c r="J934" i="11"/>
  <c r="D935" i="11"/>
  <c r="H934" i="11"/>
  <c r="C934" i="11"/>
  <c r="X325" i="11" l="1"/>
  <c r="Z325" i="11" s="1"/>
  <c r="BG324" i="11"/>
  <c r="AZ324" i="11"/>
  <c r="AY326" i="11"/>
  <c r="AW326" i="11"/>
  <c r="BD323" i="11"/>
  <c r="BM324" i="11"/>
  <c r="BL325" i="11"/>
  <c r="BK325" i="11"/>
  <c r="N326" i="11"/>
  <c r="BJ326" i="11" s="1"/>
  <c r="M326" i="11"/>
  <c r="U326" i="11"/>
  <c r="G326" i="11"/>
  <c r="F326" i="11"/>
  <c r="V326" i="11"/>
  <c r="A328" i="11"/>
  <c r="BA328" i="11" s="1"/>
  <c r="BB327" i="11"/>
  <c r="E934" i="11"/>
  <c r="F934" i="11" s="1"/>
  <c r="G935" i="11" s="1"/>
  <c r="C326" i="11"/>
  <c r="D327" i="11"/>
  <c r="I934" i="11"/>
  <c r="B327" i="11"/>
  <c r="AV327" i="11" s="1"/>
  <c r="AT325" i="11"/>
  <c r="AS325" i="11"/>
  <c r="AU325" i="11"/>
  <c r="AR325" i="11"/>
  <c r="AK325" i="11"/>
  <c r="AQ325" i="11"/>
  <c r="AM325" i="11"/>
  <c r="AO325" i="11"/>
  <c r="AJ325" i="11"/>
  <c r="AL325" i="11"/>
  <c r="AN325" i="11"/>
  <c r="AP325" i="11"/>
  <c r="J935" i="11"/>
  <c r="D936" i="11"/>
  <c r="H935" i="11"/>
  <c r="C935" i="11"/>
  <c r="X326" i="11" l="1"/>
  <c r="Z326" i="11" s="1"/>
  <c r="BG325" i="11"/>
  <c r="AY327" i="11"/>
  <c r="AW327" i="11"/>
  <c r="BM325" i="11"/>
  <c r="BK326" i="11"/>
  <c r="BL326" i="11"/>
  <c r="AZ325" i="11"/>
  <c r="BC325" i="11" s="1"/>
  <c r="N327" i="11"/>
  <c r="BJ327" i="11" s="1"/>
  <c r="M327" i="11"/>
  <c r="U327" i="11"/>
  <c r="F327" i="11"/>
  <c r="G327" i="11"/>
  <c r="V327" i="11"/>
  <c r="A329" i="11"/>
  <c r="BA329" i="11" s="1"/>
  <c r="BB328" i="11"/>
  <c r="I935" i="11"/>
  <c r="E935" i="11"/>
  <c r="F935" i="11" s="1"/>
  <c r="G936" i="11" s="1"/>
  <c r="D328" i="11"/>
  <c r="C327" i="11"/>
  <c r="B328" i="11"/>
  <c r="AV328" i="11" s="1"/>
  <c r="AR326" i="11"/>
  <c r="AT326" i="11"/>
  <c r="AS326" i="11"/>
  <c r="AU326" i="11"/>
  <c r="AK326" i="11"/>
  <c r="AQ326" i="11"/>
  <c r="AM326" i="11"/>
  <c r="AJ326" i="11"/>
  <c r="AN326" i="11"/>
  <c r="AP326" i="11"/>
  <c r="AO326" i="11"/>
  <c r="AL326" i="11"/>
  <c r="J936" i="11"/>
  <c r="D937" i="11"/>
  <c r="H936" i="11"/>
  <c r="C936" i="11"/>
  <c r="BG326" i="11" l="1"/>
  <c r="AZ326" i="11"/>
  <c r="BC326" i="11" s="1"/>
  <c r="X327" i="11"/>
  <c r="Z327" i="11" s="1"/>
  <c r="AY328" i="11"/>
  <c r="AW328" i="11"/>
  <c r="BD325" i="11"/>
  <c r="BM326" i="11"/>
  <c r="BK327" i="11"/>
  <c r="BL327" i="11"/>
  <c r="N328" i="11"/>
  <c r="BJ328" i="11" s="1"/>
  <c r="M328" i="11"/>
  <c r="U328" i="11"/>
  <c r="G328" i="11"/>
  <c r="F328" i="11"/>
  <c r="V328" i="11"/>
  <c r="BD326" i="11"/>
  <c r="A330" i="11"/>
  <c r="BA330" i="11" s="1"/>
  <c r="BB329" i="11"/>
  <c r="I936" i="11"/>
  <c r="E936" i="11"/>
  <c r="F936" i="11" s="1"/>
  <c r="G937" i="11" s="1"/>
  <c r="C328" i="11"/>
  <c r="D329" i="11"/>
  <c r="B329" i="11"/>
  <c r="AV329" i="11" s="1"/>
  <c r="AU327" i="11"/>
  <c r="AT327" i="11"/>
  <c r="AR327" i="11"/>
  <c r="AS327" i="11"/>
  <c r="AO327" i="11"/>
  <c r="AJ327" i="11"/>
  <c r="AL327" i="11"/>
  <c r="AM327" i="11"/>
  <c r="AN327" i="11"/>
  <c r="AP327" i="11"/>
  <c r="AK327" i="11"/>
  <c r="AQ327" i="11"/>
  <c r="J937" i="11"/>
  <c r="D938" i="11"/>
  <c r="H937" i="11"/>
  <c r="C937" i="11"/>
  <c r="X328" i="11" l="1"/>
  <c r="Z328" i="11" s="1"/>
  <c r="BG327" i="11"/>
  <c r="AY329" i="11"/>
  <c r="AW329" i="11"/>
  <c r="BM327" i="11"/>
  <c r="BL328" i="11"/>
  <c r="BK328" i="11"/>
  <c r="AZ327" i="11"/>
  <c r="BD327" i="11" s="1"/>
  <c r="N329" i="11"/>
  <c r="BJ329" i="11" s="1"/>
  <c r="M329" i="11"/>
  <c r="U329" i="11"/>
  <c r="G329" i="11"/>
  <c r="F329" i="11"/>
  <c r="V329" i="11"/>
  <c r="A331" i="11"/>
  <c r="BB330" i="11"/>
  <c r="E937" i="11"/>
  <c r="F937" i="11" s="1"/>
  <c r="G938" i="11" s="1"/>
  <c r="D330" i="11"/>
  <c r="C329" i="11"/>
  <c r="I937" i="11"/>
  <c r="B330" i="11"/>
  <c r="AV330" i="11" s="1"/>
  <c r="AT328" i="11"/>
  <c r="AS328" i="11"/>
  <c r="AU328" i="11"/>
  <c r="AR328" i="11"/>
  <c r="AO328" i="11"/>
  <c r="AJ328" i="11"/>
  <c r="AL328" i="11"/>
  <c r="AK328" i="11"/>
  <c r="AQ328" i="11"/>
  <c r="AN328" i="11"/>
  <c r="AP328" i="11"/>
  <c r="AM328" i="11"/>
  <c r="J938" i="11"/>
  <c r="D939" i="11"/>
  <c r="H938" i="11"/>
  <c r="C938" i="11"/>
  <c r="AZ328" i="11" l="1"/>
  <c r="BD328" i="11" s="1"/>
  <c r="X329" i="11"/>
  <c r="Z329" i="11" s="1"/>
  <c r="BG328" i="11"/>
  <c r="AY330" i="11"/>
  <c r="AW330" i="11"/>
  <c r="BM328" i="11"/>
  <c r="BK329" i="11"/>
  <c r="BL329" i="11"/>
  <c r="BC327" i="11"/>
  <c r="N330" i="11"/>
  <c r="BJ330" i="11" s="1"/>
  <c r="M330" i="11"/>
  <c r="U330" i="11"/>
  <c r="G330" i="11"/>
  <c r="F330" i="11"/>
  <c r="V330" i="11"/>
  <c r="A332" i="11"/>
  <c r="BA332" i="11" s="1"/>
  <c r="I938" i="11"/>
  <c r="E938" i="11"/>
  <c r="F938" i="11" s="1"/>
  <c r="G939" i="11" s="1"/>
  <c r="C330" i="11"/>
  <c r="D331" i="11"/>
  <c r="B331" i="11"/>
  <c r="AV331" i="11" s="1"/>
  <c r="AU329" i="11"/>
  <c r="AT329" i="11"/>
  <c r="AS329" i="11"/>
  <c r="AR329" i="11"/>
  <c r="AN329" i="11"/>
  <c r="AP329" i="11"/>
  <c r="AM329" i="11"/>
  <c r="AO329" i="11"/>
  <c r="AJ329" i="11"/>
  <c r="AL329" i="11"/>
  <c r="AK329" i="11"/>
  <c r="AQ329" i="11"/>
  <c r="J939" i="11"/>
  <c r="D940" i="11"/>
  <c r="H939" i="11"/>
  <c r="C939" i="11"/>
  <c r="BC328" i="11" l="1"/>
  <c r="BG329" i="11"/>
  <c r="AZ329" i="11"/>
  <c r="BC329" i="11" s="1"/>
  <c r="X330" i="11"/>
  <c r="Z330" i="11" s="1"/>
  <c r="AY331" i="11"/>
  <c r="AW331" i="11"/>
  <c r="BK330" i="11"/>
  <c r="BL330" i="11"/>
  <c r="BM329" i="11"/>
  <c r="N331" i="11"/>
  <c r="BJ331" i="11" s="1"/>
  <c r="M331" i="11"/>
  <c r="U331" i="11"/>
  <c r="F331" i="11"/>
  <c r="G331" i="11"/>
  <c r="V331" i="11"/>
  <c r="BD329" i="11"/>
  <c r="A333" i="11"/>
  <c r="BA333" i="11" s="1"/>
  <c r="BB332" i="11"/>
  <c r="I939" i="11"/>
  <c r="D332" i="11"/>
  <c r="C331" i="11"/>
  <c r="E939" i="11"/>
  <c r="F939" i="11" s="1"/>
  <c r="G940" i="11" s="1"/>
  <c r="B332" i="11"/>
  <c r="AV332" i="11" s="1"/>
  <c r="AS330" i="11"/>
  <c r="AR330" i="11"/>
  <c r="AU330" i="11"/>
  <c r="AT330" i="11"/>
  <c r="AM330" i="11"/>
  <c r="AN330" i="11"/>
  <c r="AP330" i="11"/>
  <c r="AO330" i="11"/>
  <c r="AJ330" i="11"/>
  <c r="AL330" i="11"/>
  <c r="AK330" i="11"/>
  <c r="AQ330" i="11"/>
  <c r="J940" i="11"/>
  <c r="D941" i="11"/>
  <c r="H940" i="11"/>
  <c r="C940" i="11"/>
  <c r="AZ330" i="11" l="1"/>
  <c r="BD330" i="11" s="1"/>
  <c r="X331" i="11"/>
  <c r="Z331" i="11" s="1"/>
  <c r="BG330" i="11"/>
  <c r="AY332" i="11"/>
  <c r="AW332" i="11"/>
  <c r="BL331" i="11"/>
  <c r="BK331" i="11"/>
  <c r="BM330" i="11"/>
  <c r="N332" i="11"/>
  <c r="M332" i="11"/>
  <c r="U332" i="11"/>
  <c r="F332" i="11"/>
  <c r="G332" i="11"/>
  <c r="V332" i="11"/>
  <c r="A334" i="11"/>
  <c r="BA334" i="11" s="1"/>
  <c r="BB333" i="11"/>
  <c r="E940" i="11"/>
  <c r="F940" i="11" s="1"/>
  <c r="G941" i="11" s="1"/>
  <c r="C332" i="11"/>
  <c r="X332" i="11" s="1"/>
  <c r="Z332" i="11" s="1"/>
  <c r="D333" i="11"/>
  <c r="I940" i="11"/>
  <c r="B333" i="11"/>
  <c r="AV333" i="11" s="1"/>
  <c r="AU331" i="11"/>
  <c r="AS331" i="11"/>
  <c r="AT331" i="11"/>
  <c r="AR331" i="11"/>
  <c r="AN331" i="11"/>
  <c r="AP331" i="11"/>
  <c r="AO331" i="11"/>
  <c r="AJ331" i="11"/>
  <c r="AL331" i="11"/>
  <c r="AM331" i="11"/>
  <c r="AK331" i="11"/>
  <c r="AQ331" i="11"/>
  <c r="J941" i="11"/>
  <c r="D942" i="11"/>
  <c r="H941" i="11"/>
  <c r="C941" i="11"/>
  <c r="AZ331" i="11" l="1"/>
  <c r="BC330" i="11"/>
  <c r="BG331" i="11"/>
  <c r="AY333" i="11"/>
  <c r="AW333" i="11"/>
  <c r="BM331" i="11"/>
  <c r="N333" i="11"/>
  <c r="M333" i="11"/>
  <c r="U333" i="11"/>
  <c r="G333" i="11"/>
  <c r="F333" i="11"/>
  <c r="V333" i="11"/>
  <c r="A335" i="11"/>
  <c r="BB334" i="11"/>
  <c r="E941" i="11"/>
  <c r="F941" i="11" s="1"/>
  <c r="G942" i="11" s="1"/>
  <c r="D334" i="11"/>
  <c r="C333" i="11"/>
  <c r="I941" i="11"/>
  <c r="B334" i="11"/>
  <c r="AV334" i="11" s="1"/>
  <c r="AU332" i="11"/>
  <c r="AT332" i="11"/>
  <c r="AR332" i="11"/>
  <c r="AS332" i="11"/>
  <c r="AN332" i="11"/>
  <c r="AP332" i="11"/>
  <c r="AO332" i="11"/>
  <c r="AJ332" i="11"/>
  <c r="AL332" i="11"/>
  <c r="AQ332" i="11"/>
  <c r="AM332" i="11"/>
  <c r="AK332" i="11"/>
  <c r="J942" i="11"/>
  <c r="D943" i="11"/>
  <c r="H942" i="11"/>
  <c r="C942" i="11"/>
  <c r="X333" i="11" l="1"/>
  <c r="Z333" i="11" s="1"/>
  <c r="AY334" i="11"/>
  <c r="AW334" i="11"/>
  <c r="AZ332" i="11"/>
  <c r="BC332" i="11" s="1"/>
  <c r="N334" i="11"/>
  <c r="M334" i="11"/>
  <c r="U334" i="11"/>
  <c r="G334" i="11"/>
  <c r="F334" i="11"/>
  <c r="V334" i="11"/>
  <c r="A336" i="11"/>
  <c r="BA336" i="11" s="1"/>
  <c r="I942" i="11"/>
  <c r="C334" i="11"/>
  <c r="D335" i="11"/>
  <c r="E942" i="11"/>
  <c r="F942" i="11" s="1"/>
  <c r="G943" i="11" s="1"/>
  <c r="B335" i="11"/>
  <c r="AV335" i="11" s="1"/>
  <c r="AT333" i="11"/>
  <c r="AS333" i="11"/>
  <c r="AU333" i="11"/>
  <c r="AR333" i="11"/>
  <c r="AO333" i="11"/>
  <c r="AJ333" i="11"/>
  <c r="AL333" i="11"/>
  <c r="AK333" i="11"/>
  <c r="AQ333" i="11"/>
  <c r="AN333" i="11"/>
  <c r="AP333" i="11"/>
  <c r="AM333" i="11"/>
  <c r="J943" i="11"/>
  <c r="D944" i="11"/>
  <c r="H943" i="11"/>
  <c r="C943" i="11"/>
  <c r="X334" i="11" l="1"/>
  <c r="Z334" i="11" s="1"/>
  <c r="AY335" i="11"/>
  <c r="AW335" i="11"/>
  <c r="BD332" i="11"/>
  <c r="AZ333" i="11"/>
  <c r="BC333" i="11" s="1"/>
  <c r="N335" i="11"/>
  <c r="M335" i="11"/>
  <c r="U335" i="11"/>
  <c r="F335" i="11"/>
  <c r="G335" i="11"/>
  <c r="V335" i="11"/>
  <c r="A337" i="11"/>
  <c r="BA337" i="11" s="1"/>
  <c r="BB336" i="11"/>
  <c r="E943" i="11"/>
  <c r="F943" i="11" s="1"/>
  <c r="G944" i="11" s="1"/>
  <c r="I943" i="11"/>
  <c r="D336" i="11"/>
  <c r="C335" i="11"/>
  <c r="B336" i="11"/>
  <c r="AV336" i="11" s="1"/>
  <c r="AU334" i="11"/>
  <c r="AR334" i="11"/>
  <c r="AT334" i="11"/>
  <c r="AS334" i="11"/>
  <c r="AO334" i="11"/>
  <c r="AJ334" i="11"/>
  <c r="AL334" i="11"/>
  <c r="AM334" i="11"/>
  <c r="AK334" i="11"/>
  <c r="AQ334" i="11"/>
  <c r="AN334" i="11"/>
  <c r="AP334" i="11"/>
  <c r="J944" i="11"/>
  <c r="D945" i="11"/>
  <c r="H944" i="11"/>
  <c r="C944" i="11"/>
  <c r="AZ334" i="11" l="1"/>
  <c r="BD334" i="11" s="1"/>
  <c r="X335" i="11"/>
  <c r="Z335" i="11" s="1"/>
  <c r="AY336" i="11"/>
  <c r="AW336" i="11"/>
  <c r="BD333" i="11"/>
  <c r="N336" i="11"/>
  <c r="M336" i="11"/>
  <c r="U336" i="11"/>
  <c r="F336" i="11"/>
  <c r="G336" i="11"/>
  <c r="V336" i="11"/>
  <c r="A338" i="11"/>
  <c r="BB337" i="11"/>
  <c r="E944" i="11"/>
  <c r="F944" i="11" s="1"/>
  <c r="G945" i="11" s="1"/>
  <c r="I944" i="11"/>
  <c r="C336" i="11"/>
  <c r="D337" i="11"/>
  <c r="B337" i="11"/>
  <c r="AV337" i="11" s="1"/>
  <c r="AU335" i="11"/>
  <c r="AS335" i="11"/>
  <c r="AT335" i="11"/>
  <c r="AR335" i="11"/>
  <c r="AN335" i="11"/>
  <c r="AP335" i="11"/>
  <c r="AO335" i="11"/>
  <c r="AJ335" i="11"/>
  <c r="AL335" i="11"/>
  <c r="AK335" i="11"/>
  <c r="AQ335" i="11"/>
  <c r="AM335" i="11"/>
  <c r="J945" i="11"/>
  <c r="D946" i="11"/>
  <c r="H945" i="11"/>
  <c r="C945" i="11"/>
  <c r="BC334" i="11" l="1"/>
  <c r="X336" i="11"/>
  <c r="Z336" i="11" s="1"/>
  <c r="AY337" i="11"/>
  <c r="AW337" i="11"/>
  <c r="AZ335" i="11"/>
  <c r="N337" i="11"/>
  <c r="M337" i="11"/>
  <c r="U337" i="11"/>
  <c r="F337" i="11"/>
  <c r="G337" i="11"/>
  <c r="V337" i="11"/>
  <c r="A339" i="11"/>
  <c r="BA339" i="11" s="1"/>
  <c r="E945" i="11"/>
  <c r="F945" i="11" s="1"/>
  <c r="G946" i="11" s="1"/>
  <c r="D338" i="11"/>
  <c r="C337" i="11"/>
  <c r="I945" i="11"/>
  <c r="B338" i="11"/>
  <c r="AV338" i="11" s="1"/>
  <c r="AU336" i="11"/>
  <c r="AS336" i="11"/>
  <c r="AR336" i="11"/>
  <c r="AT336" i="11"/>
  <c r="AQ336" i="11"/>
  <c r="AN336" i="11"/>
  <c r="AP336" i="11"/>
  <c r="AO336" i="11"/>
  <c r="AJ336" i="11"/>
  <c r="AL336" i="11"/>
  <c r="AK336" i="11"/>
  <c r="AM336" i="11"/>
  <c r="J946" i="11"/>
  <c r="D947" i="11"/>
  <c r="H946" i="11"/>
  <c r="C946" i="11"/>
  <c r="AZ336" i="11" l="1"/>
  <c r="BD336" i="11" s="1"/>
  <c r="X337" i="11"/>
  <c r="Z337" i="11" s="1"/>
  <c r="AY338" i="11"/>
  <c r="AW338" i="11"/>
  <c r="N338" i="11"/>
  <c r="M338" i="11"/>
  <c r="U338" i="11"/>
  <c r="G338" i="11"/>
  <c r="F338" i="11"/>
  <c r="V338" i="11"/>
  <c r="A340" i="11"/>
  <c r="BB339" i="11"/>
  <c r="I946" i="11"/>
  <c r="C338" i="11"/>
  <c r="D339" i="11"/>
  <c r="E946" i="11"/>
  <c r="F946" i="11" s="1"/>
  <c r="G947" i="11" s="1"/>
  <c r="B339" i="11"/>
  <c r="AV339" i="11" s="1"/>
  <c r="AT337" i="11"/>
  <c r="AS337" i="11"/>
  <c r="AU337" i="11"/>
  <c r="AR337" i="11"/>
  <c r="AO337" i="11"/>
  <c r="AJ337" i="11"/>
  <c r="AL337" i="11"/>
  <c r="AK337" i="11"/>
  <c r="AQ337" i="11"/>
  <c r="AM337" i="11"/>
  <c r="AN337" i="11"/>
  <c r="AP337" i="11"/>
  <c r="J947" i="11"/>
  <c r="D948" i="11"/>
  <c r="H947" i="11"/>
  <c r="C947" i="11"/>
  <c r="X338" i="11" l="1"/>
  <c r="Z338" i="11" s="1"/>
  <c r="BC336" i="11"/>
  <c r="AZ337" i="11"/>
  <c r="BC337" i="11" s="1"/>
  <c r="AY339" i="11"/>
  <c r="AW339" i="11"/>
  <c r="N339" i="11"/>
  <c r="M339" i="11"/>
  <c r="U339" i="11"/>
  <c r="F339" i="11"/>
  <c r="G339" i="11"/>
  <c r="V339" i="11"/>
  <c r="A341" i="11"/>
  <c r="BA341" i="11" s="1"/>
  <c r="E947" i="11"/>
  <c r="F947" i="11" s="1"/>
  <c r="G948" i="11" s="1"/>
  <c r="I947" i="11"/>
  <c r="D340" i="11"/>
  <c r="C339" i="11"/>
  <c r="B340" i="11"/>
  <c r="AV340" i="11" s="1"/>
  <c r="AU338" i="11"/>
  <c r="AT338" i="11"/>
  <c r="AR338" i="11"/>
  <c r="AS338" i="11"/>
  <c r="AK338" i="11"/>
  <c r="AQ338" i="11"/>
  <c r="AM338" i="11"/>
  <c r="AJ338" i="11"/>
  <c r="AL338" i="11"/>
  <c r="AN338" i="11"/>
  <c r="AP338" i="11"/>
  <c r="AO338" i="11"/>
  <c r="J948" i="11"/>
  <c r="D949" i="11"/>
  <c r="H948" i="11"/>
  <c r="C948" i="11"/>
  <c r="AZ338" i="11" l="1"/>
  <c r="BD337" i="11"/>
  <c r="X339" i="11"/>
  <c r="Z339" i="11" s="1"/>
  <c r="AY340" i="11"/>
  <c r="AW340" i="11"/>
  <c r="M340" i="11"/>
  <c r="N340" i="11"/>
  <c r="U340" i="11"/>
  <c r="G340" i="11"/>
  <c r="F340" i="11"/>
  <c r="V340" i="11"/>
  <c r="BB341" i="11"/>
  <c r="A342" i="11"/>
  <c r="E948" i="11"/>
  <c r="F948" i="11" s="1"/>
  <c r="G949" i="11" s="1"/>
  <c r="C340" i="11"/>
  <c r="D341" i="11"/>
  <c r="I948" i="11"/>
  <c r="B341" i="11"/>
  <c r="AV341" i="11" s="1"/>
  <c r="AU339" i="11"/>
  <c r="AS339" i="11"/>
  <c r="AR339" i="11"/>
  <c r="AT339" i="11"/>
  <c r="AK339" i="11"/>
  <c r="AQ339" i="11"/>
  <c r="AM339" i="11"/>
  <c r="AO339" i="11"/>
  <c r="AJ339" i="11"/>
  <c r="AN339" i="11"/>
  <c r="AP339" i="11"/>
  <c r="AL339" i="11"/>
  <c r="J949" i="11"/>
  <c r="D950" i="11"/>
  <c r="H949" i="11"/>
  <c r="C949" i="11"/>
  <c r="X340" i="11" l="1"/>
  <c r="Z340" i="11" s="1"/>
  <c r="AY341" i="11"/>
  <c r="AW341" i="11"/>
  <c r="A343" i="11"/>
  <c r="BA343" i="11" s="1"/>
  <c r="BA342" i="11"/>
  <c r="AZ339" i="11"/>
  <c r="BD339" i="11" s="1"/>
  <c r="M341" i="11"/>
  <c r="N341" i="11"/>
  <c r="U341" i="11"/>
  <c r="F341" i="11"/>
  <c r="G341" i="11"/>
  <c r="BB342" i="11"/>
  <c r="V341" i="11"/>
  <c r="D342" i="11"/>
  <c r="C341" i="11"/>
  <c r="E949" i="11"/>
  <c r="F949" i="11" s="1"/>
  <c r="G950" i="11" s="1"/>
  <c r="I949" i="11"/>
  <c r="B342" i="11"/>
  <c r="AV342" i="11" s="1"/>
  <c r="AU340" i="11"/>
  <c r="AS340" i="11"/>
  <c r="AT340" i="11"/>
  <c r="AR340" i="11"/>
  <c r="AN340" i="11"/>
  <c r="AP340" i="11"/>
  <c r="AM340" i="11"/>
  <c r="AO340" i="11"/>
  <c r="AJ340" i="11"/>
  <c r="AL340" i="11"/>
  <c r="AK340" i="11"/>
  <c r="AQ340" i="11"/>
  <c r="J950" i="11"/>
  <c r="D951" i="11"/>
  <c r="H950" i="11"/>
  <c r="C950" i="11"/>
  <c r="AZ340" i="11" l="1"/>
  <c r="X341" i="11"/>
  <c r="Z341" i="11" s="1"/>
  <c r="AY342" i="11"/>
  <c r="AW342" i="11"/>
  <c r="A344" i="11"/>
  <c r="BA344" i="11" s="1"/>
  <c r="BB343" i="11"/>
  <c r="BC339" i="11"/>
  <c r="N342" i="11"/>
  <c r="M342" i="11"/>
  <c r="U342" i="11"/>
  <c r="G342" i="11"/>
  <c r="F342" i="11"/>
  <c r="V342" i="11"/>
  <c r="E950" i="11"/>
  <c r="F950" i="11" s="1"/>
  <c r="G951" i="11" s="1"/>
  <c r="I950" i="11"/>
  <c r="C342" i="11"/>
  <c r="D343" i="11"/>
  <c r="B343" i="11"/>
  <c r="AV343" i="11" s="1"/>
  <c r="AT341" i="11"/>
  <c r="AS341" i="11"/>
  <c r="AU341" i="11"/>
  <c r="AR341" i="11"/>
  <c r="AM341" i="11"/>
  <c r="AN341" i="11"/>
  <c r="AP341" i="11"/>
  <c r="AO341" i="11"/>
  <c r="AJ341" i="11"/>
  <c r="AL341" i="11"/>
  <c r="AK341" i="11"/>
  <c r="AQ341" i="11"/>
  <c r="J951" i="11"/>
  <c r="D952" i="11"/>
  <c r="H951" i="11"/>
  <c r="C951" i="11"/>
  <c r="X342" i="11" l="1"/>
  <c r="Z342" i="11" s="1"/>
  <c r="AZ341" i="11"/>
  <c r="BC341" i="11" s="1"/>
  <c r="AY343" i="11"/>
  <c r="AW343" i="11"/>
  <c r="A345" i="11"/>
  <c r="BA345" i="11" s="1"/>
  <c r="BB344" i="11"/>
  <c r="M343" i="11"/>
  <c r="N343" i="11"/>
  <c r="U343" i="11"/>
  <c r="F343" i="11"/>
  <c r="G343" i="11"/>
  <c r="V343" i="11"/>
  <c r="I951" i="11"/>
  <c r="D344" i="11"/>
  <c r="C343" i="11"/>
  <c r="E951" i="11"/>
  <c r="F951" i="11" s="1"/>
  <c r="G952" i="11" s="1"/>
  <c r="B344" i="11"/>
  <c r="AV344" i="11" s="1"/>
  <c r="AR342" i="11"/>
  <c r="AT342" i="11"/>
  <c r="AU342" i="11"/>
  <c r="AS342" i="11"/>
  <c r="AO342" i="11"/>
  <c r="AJ342" i="11"/>
  <c r="AL342" i="11"/>
  <c r="AK342" i="11"/>
  <c r="AQ342" i="11"/>
  <c r="AM342" i="11"/>
  <c r="AN342" i="11"/>
  <c r="AP342" i="11"/>
  <c r="J952" i="11"/>
  <c r="D953" i="11"/>
  <c r="H952" i="11"/>
  <c r="C952" i="11"/>
  <c r="BD341" i="11" l="1"/>
  <c r="AZ342" i="11"/>
  <c r="BC342" i="11" s="1"/>
  <c r="X343" i="11"/>
  <c r="Z343" i="11" s="1"/>
  <c r="AY344" i="11"/>
  <c r="AW344" i="11"/>
  <c r="BB345" i="11"/>
  <c r="A346" i="11"/>
  <c r="BA346" i="11" s="1"/>
  <c r="M344" i="11"/>
  <c r="N344" i="11"/>
  <c r="U344" i="11"/>
  <c r="G344" i="11"/>
  <c r="F344" i="11"/>
  <c r="V344" i="11"/>
  <c r="BD342" i="11"/>
  <c r="E952" i="11"/>
  <c r="F952" i="11" s="1"/>
  <c r="G953" i="11" s="1"/>
  <c r="I952" i="11"/>
  <c r="C344" i="11"/>
  <c r="D345" i="11"/>
  <c r="B345" i="11"/>
  <c r="AV345" i="11" s="1"/>
  <c r="AU343" i="11"/>
  <c r="AT343" i="11"/>
  <c r="AR343" i="11"/>
  <c r="AS343" i="11"/>
  <c r="AO343" i="11"/>
  <c r="AJ343" i="11"/>
  <c r="AL343" i="11"/>
  <c r="AQ343" i="11"/>
  <c r="AN343" i="11"/>
  <c r="AP343" i="11"/>
  <c r="AK343" i="11"/>
  <c r="AM343" i="11"/>
  <c r="J953" i="11"/>
  <c r="D954" i="11"/>
  <c r="H953" i="11"/>
  <c r="C953" i="11"/>
  <c r="AZ343" i="11" l="1"/>
  <c r="BC343" i="11" s="1"/>
  <c r="X344" i="11"/>
  <c r="Z344" i="11" s="1"/>
  <c r="AY345" i="11"/>
  <c r="AW345" i="11"/>
  <c r="A347" i="11"/>
  <c r="BA347" i="11" s="1"/>
  <c r="BB346" i="11"/>
  <c r="M345" i="11"/>
  <c r="N345" i="11"/>
  <c r="U345" i="11"/>
  <c r="G345" i="11"/>
  <c r="F345" i="11"/>
  <c r="V345" i="11"/>
  <c r="E953" i="11"/>
  <c r="F953" i="11" s="1"/>
  <c r="G954" i="11" s="1"/>
  <c r="D346" i="11"/>
  <c r="C345" i="11"/>
  <c r="I953" i="11"/>
  <c r="B346" i="11"/>
  <c r="AV346" i="11" s="1"/>
  <c r="AU344" i="11"/>
  <c r="AS344" i="11"/>
  <c r="AR344" i="11"/>
  <c r="AT344" i="11"/>
  <c r="AM344" i="11"/>
  <c r="AN344" i="11"/>
  <c r="AP344" i="11"/>
  <c r="AK344" i="11"/>
  <c r="AO344" i="11"/>
  <c r="AJ344" i="11"/>
  <c r="AL344" i="11"/>
  <c r="AQ344" i="11"/>
  <c r="J954" i="11"/>
  <c r="D955" i="11"/>
  <c r="H954" i="11"/>
  <c r="C954" i="11"/>
  <c r="X345" i="11" l="1"/>
  <c r="Z345" i="11" s="1"/>
  <c r="BD343" i="11"/>
  <c r="AZ344" i="11"/>
  <c r="BC344" i="11" s="1"/>
  <c r="AY346" i="11"/>
  <c r="AW346" i="11"/>
  <c r="BB347" i="11"/>
  <c r="A348" i="11"/>
  <c r="BA348" i="11" s="1"/>
  <c r="N346" i="11"/>
  <c r="M346" i="11"/>
  <c r="U346" i="11"/>
  <c r="G346" i="11"/>
  <c r="F346" i="11"/>
  <c r="V346" i="11"/>
  <c r="E954" i="11"/>
  <c r="F954" i="11" s="1"/>
  <c r="G955" i="11" s="1"/>
  <c r="C346" i="11"/>
  <c r="X346" i="11" s="1"/>
  <c r="Z346" i="11" s="1"/>
  <c r="D347" i="11"/>
  <c r="I954" i="11"/>
  <c r="B347" i="11"/>
  <c r="AV347" i="11" s="1"/>
  <c r="AU345" i="11"/>
  <c r="AT345" i="11"/>
  <c r="AS345" i="11"/>
  <c r="AR345" i="11"/>
  <c r="AN345" i="11"/>
  <c r="AP345" i="11"/>
  <c r="AK345" i="11"/>
  <c r="AQ345" i="11"/>
  <c r="AO345" i="11"/>
  <c r="AJ345" i="11"/>
  <c r="AL345" i="11"/>
  <c r="AM345" i="11"/>
  <c r="J955" i="11"/>
  <c r="D956" i="11"/>
  <c r="H955" i="11"/>
  <c r="C955" i="11"/>
  <c r="AZ345" i="11" l="1"/>
  <c r="BC345" i="11" s="1"/>
  <c r="BD344" i="11"/>
  <c r="AY347" i="11"/>
  <c r="AW347" i="11"/>
  <c r="BB348" i="11"/>
  <c r="A349" i="11"/>
  <c r="BA349" i="11" s="1"/>
  <c r="M347" i="11"/>
  <c r="N347" i="11"/>
  <c r="U347" i="11"/>
  <c r="F347" i="11"/>
  <c r="G347" i="11"/>
  <c r="V347" i="11"/>
  <c r="I955" i="11"/>
  <c r="E955" i="11"/>
  <c r="F955" i="11" s="1"/>
  <c r="G956" i="11" s="1"/>
  <c r="D348" i="11"/>
  <c r="C347" i="11"/>
  <c r="B348" i="11"/>
  <c r="AV348" i="11" s="1"/>
  <c r="AU346" i="11"/>
  <c r="AS346" i="11"/>
  <c r="AR346" i="11"/>
  <c r="AT346" i="11"/>
  <c r="AO346" i="11"/>
  <c r="AJ346" i="11"/>
  <c r="AL346" i="11"/>
  <c r="AK346" i="11"/>
  <c r="AQ346" i="11"/>
  <c r="AN346" i="11"/>
  <c r="AP346" i="11"/>
  <c r="AZ346" i="11"/>
  <c r="AM346" i="11"/>
  <c r="J956" i="11"/>
  <c r="D957" i="11"/>
  <c r="H956" i="11"/>
  <c r="C956" i="11"/>
  <c r="BD345" i="11" l="1"/>
  <c r="X347" i="11"/>
  <c r="Z347" i="11" s="1"/>
  <c r="AY348" i="11"/>
  <c r="AW348" i="11"/>
  <c r="BB349" i="11"/>
  <c r="A350" i="11"/>
  <c r="BA350" i="11" s="1"/>
  <c r="M348" i="11"/>
  <c r="N348" i="11"/>
  <c r="U348" i="11"/>
  <c r="F348" i="11"/>
  <c r="G348" i="11"/>
  <c r="V348" i="11"/>
  <c r="BD346" i="11"/>
  <c r="BC346" i="11"/>
  <c r="E956" i="11"/>
  <c r="F956" i="11" s="1"/>
  <c r="G957" i="11" s="1"/>
  <c r="C348" i="11"/>
  <c r="D349" i="11"/>
  <c r="I956" i="11"/>
  <c r="B349" i="11"/>
  <c r="AV349" i="11" s="1"/>
  <c r="AU347" i="11"/>
  <c r="AT347" i="11"/>
  <c r="AS347" i="11"/>
  <c r="AR347" i="11"/>
  <c r="AO347" i="11"/>
  <c r="AJ347" i="11"/>
  <c r="AL347" i="11"/>
  <c r="AK347" i="11"/>
  <c r="AQ347" i="11"/>
  <c r="AM347" i="11"/>
  <c r="AN347" i="11"/>
  <c r="AP347" i="11"/>
  <c r="J957" i="11"/>
  <c r="D958" i="11"/>
  <c r="H957" i="11"/>
  <c r="C957" i="11"/>
  <c r="X348" i="11" l="1"/>
  <c r="Z348" i="11" s="1"/>
  <c r="AZ347" i="11"/>
  <c r="BD347" i="11" s="1"/>
  <c r="AY349" i="11"/>
  <c r="AW349" i="11"/>
  <c r="BB350" i="11"/>
  <c r="A351" i="11"/>
  <c r="BA351" i="11" s="1"/>
  <c r="M349" i="11"/>
  <c r="N349" i="11"/>
  <c r="U349" i="11"/>
  <c r="G349" i="11"/>
  <c r="F349" i="11"/>
  <c r="V349" i="11"/>
  <c r="E957" i="11"/>
  <c r="F957" i="11" s="1"/>
  <c r="G958" i="11" s="1"/>
  <c r="D350" i="11"/>
  <c r="C349" i="11"/>
  <c r="I957" i="11"/>
  <c r="B350" i="11"/>
  <c r="AV350" i="11" s="1"/>
  <c r="AT348" i="11"/>
  <c r="AR348" i="11"/>
  <c r="AU348" i="11"/>
  <c r="AS348" i="11"/>
  <c r="AN348" i="11"/>
  <c r="AP348" i="11"/>
  <c r="AO348" i="11"/>
  <c r="AJ348" i="11"/>
  <c r="AL348" i="11"/>
  <c r="AK348" i="11"/>
  <c r="AQ348" i="11"/>
  <c r="AM348" i="11"/>
  <c r="J958" i="11"/>
  <c r="D959" i="11"/>
  <c r="H958" i="11"/>
  <c r="C958" i="11"/>
  <c r="X349" i="11" l="1"/>
  <c r="Z349" i="11" s="1"/>
  <c r="BC347" i="11"/>
  <c r="AZ348" i="11"/>
  <c r="BC348" i="11" s="1"/>
  <c r="AY350" i="11"/>
  <c r="AW350" i="11"/>
  <c r="BB351" i="11"/>
  <c r="A352" i="11"/>
  <c r="BA352" i="11" s="1"/>
  <c r="N350" i="11"/>
  <c r="M350" i="11"/>
  <c r="U350" i="11"/>
  <c r="G350" i="11"/>
  <c r="F350" i="11"/>
  <c r="V350" i="11"/>
  <c r="E958" i="11"/>
  <c r="F958" i="11" s="1"/>
  <c r="G959" i="11" s="1"/>
  <c r="I958" i="11"/>
  <c r="C350" i="11"/>
  <c r="D351" i="11"/>
  <c r="B351" i="11"/>
  <c r="AV351" i="11" s="1"/>
  <c r="AT349" i="11"/>
  <c r="AS349" i="11"/>
  <c r="AU349" i="11"/>
  <c r="AR349" i="11"/>
  <c r="AM349" i="11"/>
  <c r="AK349" i="11"/>
  <c r="AN349" i="11"/>
  <c r="AP349" i="11"/>
  <c r="AQ349" i="11"/>
  <c r="AO349" i="11"/>
  <c r="AJ349" i="11"/>
  <c r="AL349" i="11"/>
  <c r="J959" i="11"/>
  <c r="D960" i="11"/>
  <c r="H959" i="11"/>
  <c r="C959" i="11"/>
  <c r="AZ349" i="11" l="1"/>
  <c r="BC349" i="11" s="1"/>
  <c r="BD348" i="11"/>
  <c r="X350" i="11"/>
  <c r="Z350" i="11" s="1"/>
  <c r="AY351" i="11"/>
  <c r="AW351" i="11"/>
  <c r="BB352" i="11"/>
  <c r="A353" i="11"/>
  <c r="A354" i="11" s="1"/>
  <c r="BA354" i="11" s="1"/>
  <c r="M351" i="11"/>
  <c r="N351" i="11"/>
  <c r="U351" i="11"/>
  <c r="F351" i="11"/>
  <c r="G351" i="11"/>
  <c r="V351" i="11"/>
  <c r="I959" i="11"/>
  <c r="E959" i="11"/>
  <c r="F959" i="11" s="1"/>
  <c r="G960" i="11" s="1"/>
  <c r="D352" i="11"/>
  <c r="C351" i="11"/>
  <c r="B352" i="11"/>
  <c r="AV352" i="11" s="1"/>
  <c r="AU350" i="11"/>
  <c r="AR350" i="11"/>
  <c r="AT350" i="11"/>
  <c r="AS350" i="11"/>
  <c r="AK350" i="11"/>
  <c r="AQ350" i="11"/>
  <c r="AP350" i="11"/>
  <c r="AM350" i="11"/>
  <c r="AN350" i="11"/>
  <c r="AO350" i="11"/>
  <c r="AJ350" i="11"/>
  <c r="AL350" i="11"/>
  <c r="J960" i="11"/>
  <c r="D961" i="11"/>
  <c r="H960" i="11"/>
  <c r="C960" i="11"/>
  <c r="BD349" i="11" l="1"/>
  <c r="AZ350" i="11"/>
  <c r="BD350" i="11" s="1"/>
  <c r="X351" i="11"/>
  <c r="Z351" i="11" s="1"/>
  <c r="AY352" i="11"/>
  <c r="AW352" i="11"/>
  <c r="M352" i="11"/>
  <c r="N352" i="11"/>
  <c r="U352" i="11"/>
  <c r="G352" i="11"/>
  <c r="F352" i="11"/>
  <c r="V352" i="11"/>
  <c r="A355" i="11"/>
  <c r="BA355" i="11" s="1"/>
  <c r="BB354" i="11"/>
  <c r="E960" i="11"/>
  <c r="F960" i="11" s="1"/>
  <c r="G961" i="11" s="1"/>
  <c r="I960" i="11"/>
  <c r="C352" i="11"/>
  <c r="D353" i="11"/>
  <c r="B353" i="11"/>
  <c r="AV353" i="11" s="1"/>
  <c r="AU351" i="11"/>
  <c r="AS351" i="11"/>
  <c r="AR351" i="11"/>
  <c r="AT351" i="11"/>
  <c r="AL351" i="11"/>
  <c r="AN351" i="11"/>
  <c r="AQ351" i="11"/>
  <c r="AK351" i="11"/>
  <c r="AM351" i="11"/>
  <c r="AJ351" i="11"/>
  <c r="AO351" i="11"/>
  <c r="AP351" i="11"/>
  <c r="J961" i="11"/>
  <c r="D962" i="11"/>
  <c r="H961" i="11"/>
  <c r="C961" i="11"/>
  <c r="BC350" i="11" l="1"/>
  <c r="AZ351" i="11"/>
  <c r="BD351" i="11" s="1"/>
  <c r="X352" i="11"/>
  <c r="Z352" i="11" s="1"/>
  <c r="AY353" i="11"/>
  <c r="AW353" i="11"/>
  <c r="T353" i="11"/>
  <c r="L353" i="11"/>
  <c r="E353" i="11"/>
  <c r="M353" i="11"/>
  <c r="N353" i="11"/>
  <c r="U353" i="11"/>
  <c r="F353" i="11"/>
  <c r="G353" i="11"/>
  <c r="V353" i="11"/>
  <c r="A356" i="11"/>
  <c r="BA356" i="11" s="1"/>
  <c r="BB355" i="11"/>
  <c r="D354" i="11"/>
  <c r="C353" i="11"/>
  <c r="I961" i="11"/>
  <c r="E961" i="11"/>
  <c r="F961" i="11" s="1"/>
  <c r="G962" i="11" s="1"/>
  <c r="B354" i="11"/>
  <c r="AV354" i="11" s="1"/>
  <c r="AU352" i="11"/>
  <c r="AS352" i="11"/>
  <c r="AR352" i="11"/>
  <c r="AT352" i="11"/>
  <c r="AQ352" i="11"/>
  <c r="AN352" i="11"/>
  <c r="AO352" i="11"/>
  <c r="AM352" i="11"/>
  <c r="AK352" i="11"/>
  <c r="AL352" i="11"/>
  <c r="AJ352" i="11"/>
  <c r="AP352" i="11"/>
  <c r="J962" i="11"/>
  <c r="D963" i="11"/>
  <c r="H962" i="11"/>
  <c r="C962" i="11"/>
  <c r="BC351" i="11" l="1"/>
  <c r="AZ352" i="11"/>
  <c r="BC352" i="11" s="1"/>
  <c r="X353" i="11"/>
  <c r="Z353" i="11" s="1"/>
  <c r="AY354" i="11"/>
  <c r="AW354" i="11"/>
  <c r="T354" i="11"/>
  <c r="E354" i="11"/>
  <c r="L354" i="11"/>
  <c r="N354" i="11"/>
  <c r="M354" i="11"/>
  <c r="U354" i="11"/>
  <c r="G354" i="11"/>
  <c r="F354" i="11"/>
  <c r="V354" i="11"/>
  <c r="BD352" i="11"/>
  <c r="A357" i="11"/>
  <c r="BB356" i="11"/>
  <c r="I962" i="11"/>
  <c r="E962" i="11"/>
  <c r="F962" i="11" s="1"/>
  <c r="G963" i="11" s="1"/>
  <c r="C354" i="11"/>
  <c r="D355" i="11"/>
  <c r="B355" i="11"/>
  <c r="AV355" i="11" s="1"/>
  <c r="AT353" i="11"/>
  <c r="AS353" i="11"/>
  <c r="AU353" i="11"/>
  <c r="AR353" i="11"/>
  <c r="AP353" i="11"/>
  <c r="AO353" i="11"/>
  <c r="AL353" i="11"/>
  <c r="AN353" i="11"/>
  <c r="AM353" i="11"/>
  <c r="AJ353" i="11"/>
  <c r="AQ353" i="11"/>
  <c r="AK353" i="11"/>
  <c r="J963" i="11"/>
  <c r="D964" i="11"/>
  <c r="H963" i="11"/>
  <c r="C963" i="11"/>
  <c r="X354" i="11" l="1"/>
  <c r="Z354" i="11" s="1"/>
  <c r="AZ353" i="11"/>
  <c r="AY355" i="11"/>
  <c r="AW355" i="11"/>
  <c r="T355" i="11"/>
  <c r="E355" i="11"/>
  <c r="L355" i="11"/>
  <c r="M355" i="11"/>
  <c r="N355" i="11"/>
  <c r="U355" i="11"/>
  <c r="F355" i="11"/>
  <c r="G355" i="11"/>
  <c r="V355" i="11"/>
  <c r="A358" i="11"/>
  <c r="E963" i="11"/>
  <c r="F963" i="11" s="1"/>
  <c r="G964" i="11" s="1"/>
  <c r="D356" i="11"/>
  <c r="C355" i="11"/>
  <c r="I963" i="11"/>
  <c r="B356" i="11"/>
  <c r="AV356" i="11" s="1"/>
  <c r="AT354" i="11"/>
  <c r="AR354" i="11"/>
  <c r="AS354" i="11"/>
  <c r="AU354" i="11"/>
  <c r="AQ354" i="11"/>
  <c r="AN354" i="11"/>
  <c r="AO354" i="11"/>
  <c r="AM354" i="11"/>
  <c r="AK354" i="11"/>
  <c r="AP354" i="11"/>
  <c r="AL354" i="11"/>
  <c r="AJ354" i="11"/>
  <c r="J964" i="11"/>
  <c r="D965" i="11"/>
  <c r="H964" i="11"/>
  <c r="C964" i="11"/>
  <c r="AZ354" i="11" l="1"/>
  <c r="BD354" i="11" s="1"/>
  <c r="X355" i="11"/>
  <c r="Z355" i="11" s="1"/>
  <c r="AY356" i="11"/>
  <c r="AW356" i="11"/>
  <c r="L356" i="11"/>
  <c r="T356" i="11"/>
  <c r="E356" i="11"/>
  <c r="M356" i="11"/>
  <c r="N356" i="11"/>
  <c r="U356" i="11"/>
  <c r="G356" i="11"/>
  <c r="F356" i="11"/>
  <c r="V356" i="11"/>
  <c r="A359" i="11"/>
  <c r="BA359" i="11" s="1"/>
  <c r="E964" i="11"/>
  <c r="F964" i="11" s="1"/>
  <c r="G965" i="11" s="1"/>
  <c r="I964" i="11"/>
  <c r="C356" i="11"/>
  <c r="D357" i="11"/>
  <c r="B357" i="11"/>
  <c r="AV357" i="11" s="1"/>
  <c r="AU355" i="11"/>
  <c r="AT355" i="11"/>
  <c r="AS355" i="11"/>
  <c r="AR355" i="11"/>
  <c r="AP355" i="11"/>
  <c r="AO355" i="11"/>
  <c r="AL355" i="11"/>
  <c r="AN355" i="11"/>
  <c r="AQ355" i="11"/>
  <c r="AK355" i="11"/>
  <c r="AM355" i="11"/>
  <c r="AJ355" i="11"/>
  <c r="J965" i="11"/>
  <c r="D966" i="11"/>
  <c r="H965" i="11"/>
  <c r="C965" i="11"/>
  <c r="BC354" i="11" l="1"/>
  <c r="AZ355" i="11"/>
  <c r="X356" i="11"/>
  <c r="Z356" i="11" s="1"/>
  <c r="AY357" i="11"/>
  <c r="AW357" i="11"/>
  <c r="T357" i="11"/>
  <c r="L357" i="11"/>
  <c r="E357" i="11"/>
  <c r="M357" i="11"/>
  <c r="N357" i="11"/>
  <c r="U357" i="11"/>
  <c r="F357" i="11"/>
  <c r="G357" i="11"/>
  <c r="V357" i="11"/>
  <c r="BD355" i="11"/>
  <c r="BC355" i="11"/>
  <c r="A360" i="11"/>
  <c r="BA360" i="11" s="1"/>
  <c r="BB359" i="11"/>
  <c r="I965" i="11"/>
  <c r="E965" i="11"/>
  <c r="F965" i="11" s="1"/>
  <c r="G966" i="11" s="1"/>
  <c r="D358" i="11"/>
  <c r="C357" i="11"/>
  <c r="B358" i="11"/>
  <c r="AV358" i="11" s="1"/>
  <c r="AU356" i="11"/>
  <c r="AS356" i="11"/>
  <c r="AT356" i="11"/>
  <c r="AR356" i="11"/>
  <c r="AP356" i="11"/>
  <c r="AL356" i="11"/>
  <c r="AJ356" i="11"/>
  <c r="AQ356" i="11"/>
  <c r="AN356" i="11"/>
  <c r="AO356" i="11"/>
  <c r="AM356" i="11"/>
  <c r="AK356" i="11"/>
  <c r="J966" i="11"/>
  <c r="D967" i="11"/>
  <c r="H966" i="11"/>
  <c r="C966" i="11"/>
  <c r="AZ356" i="11" l="1"/>
  <c r="BC356" i="11" s="1"/>
  <c r="X357" i="11"/>
  <c r="Z357" i="11" s="1"/>
  <c r="AY358" i="11"/>
  <c r="AW358" i="11"/>
  <c r="T358" i="11"/>
  <c r="L358" i="11"/>
  <c r="E358" i="11"/>
  <c r="N358" i="11"/>
  <c r="M358" i="11"/>
  <c r="U358" i="11"/>
  <c r="G358" i="11"/>
  <c r="F358" i="11"/>
  <c r="V358" i="11"/>
  <c r="A361" i="11"/>
  <c r="BA361" i="11" s="1"/>
  <c r="BB360" i="11"/>
  <c r="E966" i="11"/>
  <c r="F966" i="11" s="1"/>
  <c r="G967" i="11" s="1"/>
  <c r="C358" i="11"/>
  <c r="D359" i="11"/>
  <c r="I966" i="11"/>
  <c r="B359" i="11"/>
  <c r="AV359" i="11" s="1"/>
  <c r="AT357" i="11"/>
  <c r="AS357" i="11"/>
  <c r="AR357" i="11"/>
  <c r="AU357" i="11"/>
  <c r="AL357" i="11"/>
  <c r="AN357" i="11"/>
  <c r="AM357" i="11"/>
  <c r="AQ357" i="11"/>
  <c r="AK357" i="11"/>
  <c r="AP357" i="11"/>
  <c r="AO357" i="11"/>
  <c r="AJ357" i="11"/>
  <c r="J967" i="11"/>
  <c r="D968" i="11"/>
  <c r="H967" i="11"/>
  <c r="C967" i="11"/>
  <c r="BD356" i="11" l="1"/>
  <c r="AZ357" i="11"/>
  <c r="X358" i="11"/>
  <c r="Z358" i="11" s="1"/>
  <c r="AY359" i="11"/>
  <c r="AW359" i="11"/>
  <c r="T359" i="11"/>
  <c r="L359" i="11"/>
  <c r="E359" i="11"/>
  <c r="M359" i="11"/>
  <c r="N359" i="11"/>
  <c r="U359" i="11"/>
  <c r="F359" i="11"/>
  <c r="G359" i="11"/>
  <c r="V359" i="11"/>
  <c r="A362" i="11"/>
  <c r="BB361" i="11"/>
  <c r="E967" i="11"/>
  <c r="F967" i="11" s="1"/>
  <c r="G968" i="11" s="1"/>
  <c r="D360" i="11"/>
  <c r="C359" i="11"/>
  <c r="I967" i="11"/>
  <c r="B360" i="11"/>
  <c r="AV360" i="11" s="1"/>
  <c r="AR358" i="11"/>
  <c r="AU358" i="11"/>
  <c r="AS358" i="11"/>
  <c r="AT358" i="11"/>
  <c r="AQ358" i="11"/>
  <c r="AN358" i="11"/>
  <c r="AO358" i="11"/>
  <c r="AM358" i="11"/>
  <c r="AK358" i="11"/>
  <c r="AP358" i="11"/>
  <c r="AL358" i="11"/>
  <c r="AJ358" i="11"/>
  <c r="J968" i="11"/>
  <c r="D969" i="11"/>
  <c r="H968" i="11"/>
  <c r="C968" i="11"/>
  <c r="X359" i="11" l="1"/>
  <c r="Z359" i="11" s="1"/>
  <c r="AZ358" i="11"/>
  <c r="AY360" i="11"/>
  <c r="AW360" i="11"/>
  <c r="T360" i="11"/>
  <c r="L360" i="11"/>
  <c r="E360" i="11"/>
  <c r="M360" i="11"/>
  <c r="N360" i="11"/>
  <c r="U360" i="11"/>
  <c r="G360" i="11"/>
  <c r="F360" i="11"/>
  <c r="V360" i="11"/>
  <c r="A363" i="11"/>
  <c r="BA363" i="11" s="1"/>
  <c r="E968" i="11"/>
  <c r="F968" i="11" s="1"/>
  <c r="G969" i="11" s="1"/>
  <c r="I968" i="11"/>
  <c r="C360" i="11"/>
  <c r="D361" i="11"/>
  <c r="B361" i="11"/>
  <c r="AV361" i="11" s="1"/>
  <c r="AU359" i="11"/>
  <c r="AT359" i="11"/>
  <c r="AS359" i="11"/>
  <c r="AR359" i="11"/>
  <c r="AQ359" i="11"/>
  <c r="AO359" i="11"/>
  <c r="AM359" i="11"/>
  <c r="AK359" i="11"/>
  <c r="AN359" i="11"/>
  <c r="AP359" i="11"/>
  <c r="AJ359" i="11"/>
  <c r="AL359" i="11"/>
  <c r="J969" i="11"/>
  <c r="D970" i="11"/>
  <c r="H969" i="11"/>
  <c r="C969" i="11"/>
  <c r="AZ359" i="11" l="1"/>
  <c r="BD359" i="11" s="1"/>
  <c r="X360" i="11"/>
  <c r="Z360" i="11" s="1"/>
  <c r="AY361" i="11"/>
  <c r="AW361" i="11"/>
  <c r="T361" i="11"/>
  <c r="L361" i="11"/>
  <c r="E361" i="11"/>
  <c r="M361" i="11"/>
  <c r="N361" i="11"/>
  <c r="U361" i="11"/>
  <c r="G361" i="11"/>
  <c r="F361" i="11"/>
  <c r="V361" i="11"/>
  <c r="A364" i="11"/>
  <c r="BB363" i="11"/>
  <c r="E969" i="11"/>
  <c r="F969" i="11" s="1"/>
  <c r="G970" i="11" s="1"/>
  <c r="D362" i="11"/>
  <c r="C361" i="11"/>
  <c r="I969" i="11"/>
  <c r="B362" i="11"/>
  <c r="AV362" i="11" s="1"/>
  <c r="AU360" i="11"/>
  <c r="AT360" i="11"/>
  <c r="AR360" i="11"/>
  <c r="AS360" i="11"/>
  <c r="AM360" i="11"/>
  <c r="AK360" i="11"/>
  <c r="AJ360" i="11"/>
  <c r="AL360" i="11"/>
  <c r="AO360" i="11"/>
  <c r="AN360" i="11"/>
  <c r="AP360" i="11"/>
  <c r="AQ360" i="11"/>
  <c r="J970" i="11"/>
  <c r="D971" i="11"/>
  <c r="H970" i="11"/>
  <c r="C970" i="11"/>
  <c r="BC359" i="11" l="1"/>
  <c r="AZ360" i="11"/>
  <c r="BD360" i="11" s="1"/>
  <c r="X361" i="11"/>
  <c r="Z361" i="11" s="1"/>
  <c r="AY362" i="11"/>
  <c r="AW362" i="11"/>
  <c r="T362" i="11"/>
  <c r="E362" i="11"/>
  <c r="L362" i="11"/>
  <c r="N362" i="11"/>
  <c r="M362" i="11"/>
  <c r="U362" i="11"/>
  <c r="G362" i="11"/>
  <c r="F362" i="11"/>
  <c r="V362" i="11"/>
  <c r="A365" i="11"/>
  <c r="BA365" i="11" s="1"/>
  <c r="I970" i="11"/>
  <c r="E970" i="11"/>
  <c r="F970" i="11" s="1"/>
  <c r="G971" i="11" s="1"/>
  <c r="C362" i="11"/>
  <c r="D363" i="11"/>
  <c r="B363" i="11"/>
  <c r="AV363" i="11" s="1"/>
  <c r="AU361" i="11"/>
  <c r="AT361" i="11"/>
  <c r="AS361" i="11"/>
  <c r="AR361" i="11"/>
  <c r="AN361" i="11"/>
  <c r="AP361" i="11"/>
  <c r="AM361" i="11"/>
  <c r="AO361" i="11"/>
  <c r="AJ361" i="11"/>
  <c r="AL361" i="11"/>
  <c r="AQ361" i="11"/>
  <c r="AK361" i="11"/>
  <c r="J971" i="11"/>
  <c r="D972" i="11"/>
  <c r="H971" i="11"/>
  <c r="C971" i="11"/>
  <c r="X362" i="11" l="1"/>
  <c r="Z362" i="11" s="1"/>
  <c r="BC360" i="11"/>
  <c r="AZ361" i="11"/>
  <c r="BD361" i="11" s="1"/>
  <c r="AY363" i="11"/>
  <c r="AW363" i="11"/>
  <c r="T363" i="11"/>
  <c r="E363" i="11"/>
  <c r="L363" i="11"/>
  <c r="M363" i="11"/>
  <c r="N363" i="11"/>
  <c r="U363" i="11"/>
  <c r="F363" i="11"/>
  <c r="G363" i="11"/>
  <c r="V363" i="11"/>
  <c r="A366" i="11"/>
  <c r="BA366" i="11" s="1"/>
  <c r="BB365" i="11"/>
  <c r="E971" i="11"/>
  <c r="F971" i="11" s="1"/>
  <c r="G972" i="11" s="1"/>
  <c r="D364" i="11"/>
  <c r="C363" i="11"/>
  <c r="I971" i="11"/>
  <c r="B364" i="11"/>
  <c r="AV364" i="11" s="1"/>
  <c r="AS362" i="11"/>
  <c r="AR362" i="11"/>
  <c r="AU362" i="11"/>
  <c r="AT362" i="11"/>
  <c r="AN362" i="11"/>
  <c r="AP362" i="11"/>
  <c r="AJ362" i="11"/>
  <c r="AL362" i="11"/>
  <c r="AM362" i="11"/>
  <c r="AK362" i="11"/>
  <c r="AQ362" i="11"/>
  <c r="AO362" i="11"/>
  <c r="J972" i="11"/>
  <c r="D973" i="11"/>
  <c r="H972" i="11"/>
  <c r="C972" i="11"/>
  <c r="BC361" i="11" l="1"/>
  <c r="AZ362" i="11"/>
  <c r="X363" i="11"/>
  <c r="Z363" i="11" s="1"/>
  <c r="AY364" i="11"/>
  <c r="AW364" i="11"/>
  <c r="L364" i="11"/>
  <c r="T364" i="11"/>
  <c r="E364" i="11"/>
  <c r="M364" i="11"/>
  <c r="N364" i="11"/>
  <c r="U364" i="11"/>
  <c r="F364" i="11"/>
  <c r="G364" i="11"/>
  <c r="V364" i="11"/>
  <c r="A367" i="11"/>
  <c r="BA367" i="11" s="1"/>
  <c r="BB366" i="11"/>
  <c r="I972" i="11"/>
  <c r="E972" i="11"/>
  <c r="F972" i="11" s="1"/>
  <c r="G973" i="11" s="1"/>
  <c r="D365" i="11"/>
  <c r="C364" i="11"/>
  <c r="B365" i="11"/>
  <c r="AV365" i="11" s="1"/>
  <c r="AU363" i="11"/>
  <c r="AT363" i="11"/>
  <c r="AS363" i="11"/>
  <c r="AR363" i="11"/>
  <c r="AJ363" i="11"/>
  <c r="AL363" i="11"/>
  <c r="AQ363" i="11"/>
  <c r="AO363" i="11"/>
  <c r="AP363" i="11"/>
  <c r="AM363" i="11"/>
  <c r="AK363" i="11"/>
  <c r="AN363" i="11"/>
  <c r="J973" i="11"/>
  <c r="D974" i="11"/>
  <c r="H973" i="11"/>
  <c r="C973" i="11"/>
  <c r="X364" i="11" l="1"/>
  <c r="Z364" i="11" s="1"/>
  <c r="AZ363" i="11"/>
  <c r="BD363" i="11" s="1"/>
  <c r="AY365" i="11"/>
  <c r="AW365" i="11"/>
  <c r="T365" i="11"/>
  <c r="L365" i="11"/>
  <c r="E365" i="11"/>
  <c r="M365" i="11"/>
  <c r="N365" i="11"/>
  <c r="U365" i="11"/>
  <c r="G365" i="11"/>
  <c r="F365" i="11"/>
  <c r="V365" i="11"/>
  <c r="A368" i="11"/>
  <c r="BA368" i="11" s="1"/>
  <c r="BB367" i="11"/>
  <c r="E973" i="11"/>
  <c r="F973" i="11" s="1"/>
  <c r="G974" i="11" s="1"/>
  <c r="I973" i="11"/>
  <c r="D366" i="11"/>
  <c r="C365" i="11"/>
  <c r="B366" i="11"/>
  <c r="AV366" i="11" s="1"/>
  <c r="AT364" i="11"/>
  <c r="AU364" i="11"/>
  <c r="AR364" i="11"/>
  <c r="AS364" i="11"/>
  <c r="AK364" i="11"/>
  <c r="AQ364" i="11"/>
  <c r="AM364" i="11"/>
  <c r="AO364" i="11"/>
  <c r="AL364" i="11"/>
  <c r="AN364" i="11"/>
  <c r="AP364" i="11"/>
  <c r="AJ364" i="11"/>
  <c r="J974" i="11"/>
  <c r="D975" i="11"/>
  <c r="H974" i="11"/>
  <c r="C974" i="11"/>
  <c r="BC363" i="11" l="1"/>
  <c r="X365" i="11"/>
  <c r="Z365" i="11" s="1"/>
  <c r="AZ364" i="11"/>
  <c r="AY366" i="11"/>
  <c r="AW366" i="11"/>
  <c r="L366" i="11"/>
  <c r="E366" i="11"/>
  <c r="T366" i="11"/>
  <c r="N366" i="11"/>
  <c r="M366" i="11"/>
  <c r="U366" i="11"/>
  <c r="G366" i="11"/>
  <c r="F366" i="11"/>
  <c r="V366" i="11"/>
  <c r="A369" i="11"/>
  <c r="BA369" i="11" s="1"/>
  <c r="BB368" i="11"/>
  <c r="I974" i="11"/>
  <c r="C366" i="11"/>
  <c r="D367" i="11"/>
  <c r="E974" i="11"/>
  <c r="F974" i="11" s="1"/>
  <c r="G975" i="11" s="1"/>
  <c r="B367" i="11"/>
  <c r="AV367" i="11" s="1"/>
  <c r="AT365" i="11"/>
  <c r="AS365" i="11"/>
  <c r="AU365" i="11"/>
  <c r="AR365" i="11"/>
  <c r="AM365" i="11"/>
  <c r="AO365" i="11"/>
  <c r="AJ365" i="11"/>
  <c r="AL365" i="11"/>
  <c r="AN365" i="11"/>
  <c r="AP365" i="11"/>
  <c r="AK365" i="11"/>
  <c r="AQ365" i="11"/>
  <c r="J975" i="11"/>
  <c r="D976" i="11"/>
  <c r="H975" i="11"/>
  <c r="C975" i="11"/>
  <c r="AZ365" i="11" l="1"/>
  <c r="X366" i="11"/>
  <c r="Z366" i="11" s="1"/>
  <c r="AY367" i="11"/>
  <c r="AW367" i="11"/>
  <c r="T367" i="11"/>
  <c r="L367" i="11"/>
  <c r="E367" i="11"/>
  <c r="M367" i="11"/>
  <c r="N367" i="11"/>
  <c r="U367" i="11"/>
  <c r="F367" i="11"/>
  <c r="G367" i="11"/>
  <c r="V367" i="11"/>
  <c r="BC365" i="11"/>
  <c r="BD365" i="11"/>
  <c r="A370" i="11"/>
  <c r="BA370" i="11" s="1"/>
  <c r="BB369" i="11"/>
  <c r="E975" i="11"/>
  <c r="F975" i="11" s="1"/>
  <c r="G976" i="11" s="1"/>
  <c r="I975" i="11"/>
  <c r="D368" i="11"/>
  <c r="C367" i="11"/>
  <c r="B368" i="11"/>
  <c r="AV368" i="11" s="1"/>
  <c r="AU366" i="11"/>
  <c r="AR366" i="11"/>
  <c r="AS366" i="11"/>
  <c r="AT366" i="11"/>
  <c r="AO366" i="11"/>
  <c r="AJ366" i="11"/>
  <c r="AL366" i="11"/>
  <c r="AK366" i="11"/>
  <c r="AQ366" i="11"/>
  <c r="AN366" i="11"/>
  <c r="AP366" i="11"/>
  <c r="AM366" i="11"/>
  <c r="J976" i="11"/>
  <c r="D977" i="11"/>
  <c r="H976" i="11"/>
  <c r="C976" i="11"/>
  <c r="AZ366" i="11" l="1"/>
  <c r="BD366" i="11" s="1"/>
  <c r="X367" i="11"/>
  <c r="Z367" i="11" s="1"/>
  <c r="AY368" i="11"/>
  <c r="AW368" i="11"/>
  <c r="L368" i="11"/>
  <c r="T368" i="11"/>
  <c r="E368" i="11"/>
  <c r="M368" i="11"/>
  <c r="N368" i="11"/>
  <c r="U368" i="11"/>
  <c r="G368" i="11"/>
  <c r="F368" i="11"/>
  <c r="V368" i="11"/>
  <c r="A371" i="11"/>
  <c r="BA371" i="11" s="1"/>
  <c r="BB370" i="11"/>
  <c r="I976" i="11"/>
  <c r="C368" i="11"/>
  <c r="D369" i="11"/>
  <c r="E976" i="11"/>
  <c r="F976" i="11" s="1"/>
  <c r="G977" i="11" s="1"/>
  <c r="B369" i="11"/>
  <c r="AV369" i="11" s="1"/>
  <c r="AU367" i="11"/>
  <c r="AS367" i="11"/>
  <c r="AR367" i="11"/>
  <c r="AT367" i="11"/>
  <c r="AM367" i="11"/>
  <c r="AL367" i="11"/>
  <c r="AQ367" i="11"/>
  <c r="AN367" i="11"/>
  <c r="AP367" i="11"/>
  <c r="AK367" i="11"/>
  <c r="AO367" i="11"/>
  <c r="AJ367" i="11"/>
  <c r="J977" i="11"/>
  <c r="D978" i="11"/>
  <c r="H977" i="11"/>
  <c r="C977" i="11"/>
  <c r="BC366" i="11" l="1"/>
  <c r="X368" i="11"/>
  <c r="Z368" i="11" s="1"/>
  <c r="AZ367" i="11"/>
  <c r="BD367" i="11" s="1"/>
  <c r="AY369" i="11"/>
  <c r="AW369" i="11"/>
  <c r="T369" i="11"/>
  <c r="L369" i="11"/>
  <c r="E369" i="11"/>
  <c r="M369" i="11"/>
  <c r="N369" i="11"/>
  <c r="U369" i="11"/>
  <c r="F369" i="11"/>
  <c r="G369" i="11"/>
  <c r="V369" i="11"/>
  <c r="A372" i="11"/>
  <c r="BA372" i="11" s="1"/>
  <c r="BB371" i="11"/>
  <c r="I977" i="11"/>
  <c r="D370" i="11"/>
  <c r="C369" i="11"/>
  <c r="E977" i="11"/>
  <c r="F977" i="11" s="1"/>
  <c r="G978" i="11" s="1"/>
  <c r="B370" i="11"/>
  <c r="AV370" i="11" s="1"/>
  <c r="AU368" i="11"/>
  <c r="AT368" i="11"/>
  <c r="AS368" i="11"/>
  <c r="AR368" i="11"/>
  <c r="AM368" i="11"/>
  <c r="AN368" i="11"/>
  <c r="AP368" i="11"/>
  <c r="AK368" i="11"/>
  <c r="AO368" i="11"/>
  <c r="AJ368" i="11"/>
  <c r="AL368" i="11"/>
  <c r="AQ368" i="11"/>
  <c r="J978" i="11"/>
  <c r="D979" i="11"/>
  <c r="H978" i="11"/>
  <c r="C978" i="11"/>
  <c r="BC367" i="11" l="1"/>
  <c r="AZ368" i="11"/>
  <c r="BD368" i="11" s="1"/>
  <c r="X369" i="11"/>
  <c r="Z369" i="11" s="1"/>
  <c r="AY370" i="11"/>
  <c r="AW370" i="11"/>
  <c r="T370" i="11"/>
  <c r="E370" i="11"/>
  <c r="L370" i="11"/>
  <c r="N370" i="11"/>
  <c r="M370" i="11"/>
  <c r="U370" i="11"/>
  <c r="G370" i="11"/>
  <c r="F370" i="11"/>
  <c r="V370" i="11"/>
  <c r="A373" i="11"/>
  <c r="BA373" i="11" s="1"/>
  <c r="BB372" i="11"/>
  <c r="E978" i="11"/>
  <c r="F978" i="11" s="1"/>
  <c r="G979" i="11" s="1"/>
  <c r="I978" i="11"/>
  <c r="C370" i="11"/>
  <c r="D371" i="11"/>
  <c r="B371" i="11"/>
  <c r="AV371" i="11" s="1"/>
  <c r="AT369" i="11"/>
  <c r="AS369" i="11"/>
  <c r="AR369" i="11"/>
  <c r="AU369" i="11"/>
  <c r="AN369" i="11"/>
  <c r="AP369" i="11"/>
  <c r="AO369" i="11"/>
  <c r="AJ369" i="11"/>
  <c r="AL369" i="11"/>
  <c r="AM369" i="11"/>
  <c r="AK369" i="11"/>
  <c r="AQ369" i="11"/>
  <c r="J979" i="11"/>
  <c r="D980" i="11"/>
  <c r="H979" i="11"/>
  <c r="C979" i="11"/>
  <c r="BC368" i="11" l="1"/>
  <c r="AZ369" i="11"/>
  <c r="BC369" i="11" s="1"/>
  <c r="X370" i="11"/>
  <c r="Z370" i="11" s="1"/>
  <c r="AY371" i="11"/>
  <c r="AW371" i="11"/>
  <c r="T371" i="11"/>
  <c r="E371" i="11"/>
  <c r="L371" i="11"/>
  <c r="M371" i="11"/>
  <c r="N371" i="11"/>
  <c r="U371" i="11"/>
  <c r="F371" i="11"/>
  <c r="G371" i="11"/>
  <c r="V371" i="11"/>
  <c r="BD369" i="11"/>
  <c r="A374" i="11"/>
  <c r="BA374" i="11" s="1"/>
  <c r="BB373" i="11"/>
  <c r="E979" i="11"/>
  <c r="F979" i="11" s="1"/>
  <c r="G980" i="11" s="1"/>
  <c r="D372" i="11"/>
  <c r="C371" i="11"/>
  <c r="I979" i="11"/>
  <c r="B372" i="11"/>
  <c r="AV372" i="11" s="1"/>
  <c r="AT370" i="11"/>
  <c r="AR370" i="11"/>
  <c r="AU370" i="11"/>
  <c r="AS370" i="11"/>
  <c r="AN370" i="11"/>
  <c r="AP370" i="11"/>
  <c r="AO370" i="11"/>
  <c r="AL370" i="11"/>
  <c r="AK370" i="11"/>
  <c r="AQ370" i="11"/>
  <c r="AM370" i="11"/>
  <c r="AJ370" i="11"/>
  <c r="J980" i="11"/>
  <c r="D981" i="11"/>
  <c r="H980" i="11"/>
  <c r="C980" i="11"/>
  <c r="AZ370" i="11" l="1"/>
  <c r="BC370" i="11" s="1"/>
  <c r="X371" i="11"/>
  <c r="Z371" i="11" s="1"/>
  <c r="AY372" i="11"/>
  <c r="AW372" i="11"/>
  <c r="T372" i="11"/>
  <c r="L372" i="11"/>
  <c r="E372" i="11"/>
  <c r="M372" i="11"/>
  <c r="N372" i="11"/>
  <c r="U372" i="11"/>
  <c r="G372" i="11"/>
  <c r="F372" i="11"/>
  <c r="V372" i="11"/>
  <c r="BD370" i="11"/>
  <c r="A375" i="11"/>
  <c r="BA375" i="11" s="1"/>
  <c r="BB374" i="11"/>
  <c r="E980" i="11"/>
  <c r="F980" i="11" s="1"/>
  <c r="G981" i="11" s="1"/>
  <c r="I980" i="11"/>
  <c r="C372" i="11"/>
  <c r="D373" i="11"/>
  <c r="B373" i="11"/>
  <c r="AV373" i="11" s="1"/>
  <c r="AU371" i="11"/>
  <c r="AT371" i="11"/>
  <c r="AS371" i="11"/>
  <c r="AR371" i="11"/>
  <c r="AO371" i="11"/>
  <c r="AJ371" i="11"/>
  <c r="AL371" i="11"/>
  <c r="AP371" i="11"/>
  <c r="AK371" i="11"/>
  <c r="AQ371" i="11"/>
  <c r="AN371" i="11"/>
  <c r="AM371" i="11"/>
  <c r="J981" i="11"/>
  <c r="D982" i="11"/>
  <c r="H981" i="11"/>
  <c r="C981" i="11"/>
  <c r="AZ371" i="11" l="1"/>
  <c r="BD371" i="11" s="1"/>
  <c r="X372" i="11"/>
  <c r="Z372" i="11" s="1"/>
  <c r="AY373" i="11"/>
  <c r="AW373" i="11"/>
  <c r="T373" i="11"/>
  <c r="L373" i="11"/>
  <c r="E373" i="11"/>
  <c r="M373" i="11"/>
  <c r="N373" i="11"/>
  <c r="U373" i="11"/>
  <c r="F373" i="11"/>
  <c r="G373" i="11"/>
  <c r="V373" i="11"/>
  <c r="A376" i="11"/>
  <c r="BA376" i="11" s="1"/>
  <c r="BB375" i="11"/>
  <c r="E981" i="11"/>
  <c r="F981" i="11" s="1"/>
  <c r="G982" i="11" s="1"/>
  <c r="D374" i="11"/>
  <c r="C373" i="11"/>
  <c r="I981" i="11"/>
  <c r="B374" i="11"/>
  <c r="AV374" i="11" s="1"/>
  <c r="AU372" i="11"/>
  <c r="AS372" i="11"/>
  <c r="AR372" i="11"/>
  <c r="AT372" i="11"/>
  <c r="AO372" i="11"/>
  <c r="AJ372" i="11"/>
  <c r="AL372" i="11"/>
  <c r="AK372" i="11"/>
  <c r="AQ372" i="11"/>
  <c r="AP372" i="11"/>
  <c r="AM372" i="11"/>
  <c r="AN372" i="11"/>
  <c r="J982" i="11"/>
  <c r="D983" i="11"/>
  <c r="H982" i="11"/>
  <c r="C982" i="11"/>
  <c r="BC371" i="11" l="1"/>
  <c r="X373" i="11"/>
  <c r="Z373" i="11" s="1"/>
  <c r="AZ372" i="11"/>
  <c r="BD372" i="11" s="1"/>
  <c r="AY374" i="11"/>
  <c r="AW374" i="11"/>
  <c r="T374" i="11"/>
  <c r="L374" i="11"/>
  <c r="E374" i="11"/>
  <c r="N374" i="11"/>
  <c r="M374" i="11"/>
  <c r="U374" i="11"/>
  <c r="G374" i="11"/>
  <c r="F374" i="11"/>
  <c r="V374" i="11"/>
  <c r="A377" i="11"/>
  <c r="BA377" i="11" s="1"/>
  <c r="BB376" i="11"/>
  <c r="I982" i="11"/>
  <c r="C374" i="11"/>
  <c r="D375" i="11"/>
  <c r="E982" i="11"/>
  <c r="F982" i="11" s="1"/>
  <c r="G983" i="11" s="1"/>
  <c r="B375" i="11"/>
  <c r="AV375" i="11" s="1"/>
  <c r="AT373" i="11"/>
  <c r="AS373" i="11"/>
  <c r="AU373" i="11"/>
  <c r="AR373" i="11"/>
  <c r="AK373" i="11"/>
  <c r="AQ373" i="11"/>
  <c r="AO373" i="11"/>
  <c r="AM373" i="11"/>
  <c r="AL373" i="11"/>
  <c r="AN373" i="11"/>
  <c r="AP373" i="11"/>
  <c r="AJ373" i="11"/>
  <c r="J983" i="11"/>
  <c r="D984" i="11"/>
  <c r="H983" i="11"/>
  <c r="C983" i="11"/>
  <c r="BC372" i="11" l="1"/>
  <c r="AZ373" i="11"/>
  <c r="BC373" i="11" s="1"/>
  <c r="X374" i="11"/>
  <c r="Z374" i="11" s="1"/>
  <c r="AY375" i="11"/>
  <c r="AW375" i="11"/>
  <c r="L375" i="11"/>
  <c r="E375" i="11"/>
  <c r="T375" i="11"/>
  <c r="M375" i="11"/>
  <c r="N375" i="11"/>
  <c r="U375" i="11"/>
  <c r="F375" i="11"/>
  <c r="G375" i="11"/>
  <c r="V375" i="11"/>
  <c r="A378" i="11"/>
  <c r="BA378" i="11" s="1"/>
  <c r="BB377" i="11"/>
  <c r="E983" i="11"/>
  <c r="F983" i="11" s="1"/>
  <c r="G984" i="11" s="1"/>
  <c r="D376" i="11"/>
  <c r="C375" i="11"/>
  <c r="I983" i="11"/>
  <c r="B376" i="11"/>
  <c r="AV376" i="11" s="1"/>
  <c r="AU374" i="11"/>
  <c r="AR374" i="11"/>
  <c r="AS374" i="11"/>
  <c r="AT374" i="11"/>
  <c r="AM374" i="11"/>
  <c r="AN374" i="11"/>
  <c r="AP374" i="11"/>
  <c r="AO374" i="11"/>
  <c r="AJ374" i="11"/>
  <c r="AL374" i="11"/>
  <c r="AK374" i="11"/>
  <c r="AQ374" i="11"/>
  <c r="J984" i="11"/>
  <c r="D985" i="11"/>
  <c r="H984" i="11"/>
  <c r="C984" i="11"/>
  <c r="BD373" i="11" l="1"/>
  <c r="X375" i="11"/>
  <c r="Z375" i="11" s="1"/>
  <c r="AZ374" i="11"/>
  <c r="BC374" i="11" s="1"/>
  <c r="AY376" i="11"/>
  <c r="AW376" i="11"/>
  <c r="L376" i="11"/>
  <c r="E376" i="11"/>
  <c r="T376" i="11"/>
  <c r="M376" i="11"/>
  <c r="N376" i="11"/>
  <c r="U376" i="11"/>
  <c r="G376" i="11"/>
  <c r="F376" i="11"/>
  <c r="V376" i="11"/>
  <c r="BD374" i="11"/>
  <c r="A379" i="11"/>
  <c r="BA379" i="11" s="1"/>
  <c r="BB378" i="11"/>
  <c r="I984" i="11"/>
  <c r="E984" i="11"/>
  <c r="F984" i="11" s="1"/>
  <c r="G985" i="11" s="1"/>
  <c r="C376" i="11"/>
  <c r="D377" i="11"/>
  <c r="B377" i="11"/>
  <c r="AV377" i="11" s="1"/>
  <c r="AU375" i="11"/>
  <c r="AT375" i="11"/>
  <c r="AR375" i="11"/>
  <c r="AS375" i="11"/>
  <c r="AK375" i="11"/>
  <c r="AQ375" i="11"/>
  <c r="AJ375" i="11"/>
  <c r="AL375" i="11"/>
  <c r="AM375" i="11"/>
  <c r="AN375" i="11"/>
  <c r="AP375" i="11"/>
  <c r="AO375" i="11"/>
  <c r="J985" i="11"/>
  <c r="D986" i="11"/>
  <c r="H985" i="11"/>
  <c r="C985" i="11"/>
  <c r="X376" i="11" l="1"/>
  <c r="Z376" i="11" s="1"/>
  <c r="AZ375" i="11"/>
  <c r="BD375" i="11" s="1"/>
  <c r="AY377" i="11"/>
  <c r="AW377" i="11"/>
  <c r="T377" i="11"/>
  <c r="L377" i="11"/>
  <c r="E377" i="11"/>
  <c r="M377" i="11"/>
  <c r="N377" i="11"/>
  <c r="U377" i="11"/>
  <c r="G377" i="11"/>
  <c r="F377" i="11"/>
  <c r="V377" i="11"/>
  <c r="A380" i="11"/>
  <c r="BA380" i="11" s="1"/>
  <c r="BB379" i="11"/>
  <c r="I985" i="11"/>
  <c r="D378" i="11"/>
  <c r="C377" i="11"/>
  <c r="E985" i="11"/>
  <c r="F985" i="11" s="1"/>
  <c r="G986" i="11" s="1"/>
  <c r="B378" i="11"/>
  <c r="AV378" i="11" s="1"/>
  <c r="AU376" i="11"/>
  <c r="AT376" i="11"/>
  <c r="AS376" i="11"/>
  <c r="AR376" i="11"/>
  <c r="AM376" i="11"/>
  <c r="AO376" i="11"/>
  <c r="AN376" i="11"/>
  <c r="AP376" i="11"/>
  <c r="AJ376" i="11"/>
  <c r="AL376" i="11"/>
  <c r="AK376" i="11"/>
  <c r="AQ376" i="11"/>
  <c r="J986" i="11"/>
  <c r="D987" i="11"/>
  <c r="H986" i="11"/>
  <c r="C986" i="11"/>
  <c r="BC375" i="11" l="1"/>
  <c r="AZ376" i="11"/>
  <c r="BD376" i="11" s="1"/>
  <c r="X377" i="11"/>
  <c r="Z377" i="11" s="1"/>
  <c r="AY378" i="11"/>
  <c r="AW378" i="11"/>
  <c r="T378" i="11"/>
  <c r="E378" i="11"/>
  <c r="L378" i="11"/>
  <c r="N378" i="11"/>
  <c r="M378" i="11"/>
  <c r="U378" i="11"/>
  <c r="G378" i="11"/>
  <c r="F378" i="11"/>
  <c r="V378" i="11"/>
  <c r="A381" i="11"/>
  <c r="BA381" i="11" s="1"/>
  <c r="BB380" i="11"/>
  <c r="I986" i="11"/>
  <c r="E986" i="11"/>
  <c r="F986" i="11" s="1"/>
  <c r="G987" i="11" s="1"/>
  <c r="C378" i="11"/>
  <c r="D379" i="11"/>
  <c r="B379" i="11"/>
  <c r="AV379" i="11" s="1"/>
  <c r="AU377" i="11"/>
  <c r="AT377" i="11"/>
  <c r="AS377" i="11"/>
  <c r="AR377" i="11"/>
  <c r="AN377" i="11"/>
  <c r="AP377" i="11"/>
  <c r="AO377" i="11"/>
  <c r="AJ377" i="11"/>
  <c r="AL377" i="11"/>
  <c r="AK377" i="11"/>
  <c r="AQ377" i="11"/>
  <c r="AM377" i="11"/>
  <c r="J987" i="11"/>
  <c r="D988" i="11"/>
  <c r="H987" i="11"/>
  <c r="C987" i="11"/>
  <c r="BC376" i="11" l="1"/>
  <c r="AZ377" i="11"/>
  <c r="BD377" i="11" s="1"/>
  <c r="X378" i="11"/>
  <c r="Z378" i="11" s="1"/>
  <c r="AY379" i="11"/>
  <c r="AW379" i="11"/>
  <c r="T379" i="11"/>
  <c r="E379" i="11"/>
  <c r="L379" i="11"/>
  <c r="M379" i="11"/>
  <c r="N379" i="11"/>
  <c r="U379" i="11"/>
  <c r="F379" i="11"/>
  <c r="G379" i="11"/>
  <c r="V379" i="11"/>
  <c r="A382" i="11"/>
  <c r="BA382" i="11" s="1"/>
  <c r="BB381" i="11"/>
  <c r="E987" i="11"/>
  <c r="F987" i="11" s="1"/>
  <c r="G988" i="11" s="1"/>
  <c r="I987" i="11"/>
  <c r="D380" i="11"/>
  <c r="C379" i="11"/>
  <c r="B380" i="11"/>
  <c r="AV380" i="11" s="1"/>
  <c r="AS378" i="11"/>
  <c r="AR378" i="11"/>
  <c r="AU378" i="11"/>
  <c r="AT378" i="11"/>
  <c r="AN378" i="11"/>
  <c r="AP378" i="11"/>
  <c r="AO378" i="11"/>
  <c r="AJ378" i="11"/>
  <c r="AL378" i="11"/>
  <c r="AK378" i="11"/>
  <c r="AQ378" i="11"/>
  <c r="AM378" i="11"/>
  <c r="J988" i="11"/>
  <c r="D989" i="11"/>
  <c r="H988" i="11"/>
  <c r="C988" i="11"/>
  <c r="BC377" i="11" l="1"/>
  <c r="X379" i="11"/>
  <c r="Z379" i="11" s="1"/>
  <c r="AZ378" i="11"/>
  <c r="BC378" i="11" s="1"/>
  <c r="AY380" i="11"/>
  <c r="AW380" i="11"/>
  <c r="L380" i="11"/>
  <c r="T380" i="11"/>
  <c r="E380" i="11"/>
  <c r="M380" i="11"/>
  <c r="N380" i="11"/>
  <c r="U380" i="11"/>
  <c r="F380" i="11"/>
  <c r="G380" i="11"/>
  <c r="V380" i="11"/>
  <c r="A383" i="11"/>
  <c r="BA383" i="11" s="1"/>
  <c r="BB382" i="11"/>
  <c r="E988" i="11"/>
  <c r="F988" i="11" s="1"/>
  <c r="G989" i="11" s="1"/>
  <c r="C380" i="11"/>
  <c r="D381" i="11"/>
  <c r="I988" i="11"/>
  <c r="B381" i="11"/>
  <c r="AV381" i="11" s="1"/>
  <c r="AU379" i="11"/>
  <c r="AS379" i="11"/>
  <c r="AR379" i="11"/>
  <c r="AT379" i="11"/>
  <c r="AN379" i="11"/>
  <c r="AP379" i="11"/>
  <c r="AL379" i="11"/>
  <c r="AO379" i="11"/>
  <c r="AJ379" i="11"/>
  <c r="AM379" i="11"/>
  <c r="AK379" i="11"/>
  <c r="AQ379" i="11"/>
  <c r="J989" i="11"/>
  <c r="D990" i="11"/>
  <c r="H989" i="11"/>
  <c r="C989" i="11"/>
  <c r="BD378" i="11" l="1"/>
  <c r="AZ379" i="11"/>
  <c r="BD379" i="11" s="1"/>
  <c r="X380" i="11"/>
  <c r="Z380" i="11" s="1"/>
  <c r="AY381" i="11"/>
  <c r="AW381" i="11"/>
  <c r="T381" i="11"/>
  <c r="L381" i="11"/>
  <c r="E381" i="11"/>
  <c r="M381" i="11"/>
  <c r="N381" i="11"/>
  <c r="U381" i="11"/>
  <c r="G381" i="11"/>
  <c r="F381" i="11"/>
  <c r="V381" i="11"/>
  <c r="A384" i="11"/>
  <c r="BA384" i="11" s="1"/>
  <c r="BB383" i="11"/>
  <c r="E989" i="11"/>
  <c r="F989" i="11" s="1"/>
  <c r="G990" i="11" s="1"/>
  <c r="I989" i="11"/>
  <c r="D382" i="11"/>
  <c r="C381" i="11"/>
  <c r="B382" i="11"/>
  <c r="AV382" i="11" s="1"/>
  <c r="AT380" i="11"/>
  <c r="AU380" i="11"/>
  <c r="AS380" i="11"/>
  <c r="AR380" i="11"/>
  <c r="AO380" i="11"/>
  <c r="AJ380" i="11"/>
  <c r="AL380" i="11"/>
  <c r="AN380" i="11"/>
  <c r="AP380" i="11"/>
  <c r="AK380" i="11"/>
  <c r="AQ380" i="11"/>
  <c r="AM380" i="11"/>
  <c r="J990" i="11"/>
  <c r="D991" i="11"/>
  <c r="H990" i="11"/>
  <c r="C990" i="11"/>
  <c r="BC379" i="11" l="1"/>
  <c r="AZ380" i="11"/>
  <c r="BC380" i="11" s="1"/>
  <c r="X381" i="11"/>
  <c r="Z381" i="11" s="1"/>
  <c r="AY382" i="11"/>
  <c r="AW382" i="11"/>
  <c r="L382" i="11"/>
  <c r="E382" i="11"/>
  <c r="T382" i="11"/>
  <c r="N382" i="11"/>
  <c r="M382" i="11"/>
  <c r="U382" i="11"/>
  <c r="G382" i="11"/>
  <c r="F382" i="11"/>
  <c r="V382" i="11"/>
  <c r="BD380" i="11"/>
  <c r="A385" i="11"/>
  <c r="BA385" i="11" s="1"/>
  <c r="BB384" i="11"/>
  <c r="E990" i="11"/>
  <c r="F990" i="11" s="1"/>
  <c r="G991" i="11" s="1"/>
  <c r="I990" i="11"/>
  <c r="C382" i="11"/>
  <c r="D383" i="11"/>
  <c r="B383" i="11"/>
  <c r="AV383" i="11" s="1"/>
  <c r="AT381" i="11"/>
  <c r="AS381" i="11"/>
  <c r="AU381" i="11"/>
  <c r="AR381" i="11"/>
  <c r="AK381" i="11"/>
  <c r="AQ381" i="11"/>
  <c r="AM381" i="11"/>
  <c r="AO381" i="11"/>
  <c r="AJ381" i="11"/>
  <c r="AN381" i="11"/>
  <c r="AP381" i="11"/>
  <c r="AL381" i="11"/>
  <c r="J991" i="11"/>
  <c r="D992" i="11"/>
  <c r="H991" i="11"/>
  <c r="C991" i="11"/>
  <c r="X382" i="11" l="1"/>
  <c r="Z382" i="11" s="1"/>
  <c r="AZ381" i="11"/>
  <c r="BD381" i="11" s="1"/>
  <c r="AY383" i="11"/>
  <c r="AW383" i="11"/>
  <c r="T383" i="11"/>
  <c r="L383" i="11"/>
  <c r="E383" i="11"/>
  <c r="M383" i="11"/>
  <c r="N383" i="11"/>
  <c r="U383" i="11"/>
  <c r="F383" i="11"/>
  <c r="G383" i="11"/>
  <c r="V383" i="11"/>
  <c r="A386" i="11"/>
  <c r="BA386" i="11" s="1"/>
  <c r="BB385" i="11"/>
  <c r="D384" i="11"/>
  <c r="C383" i="11"/>
  <c r="I991" i="11"/>
  <c r="E991" i="11"/>
  <c r="F991" i="11" s="1"/>
  <c r="G992" i="11" s="1"/>
  <c r="B384" i="11"/>
  <c r="AV384" i="11" s="1"/>
  <c r="AU382" i="11"/>
  <c r="AR382" i="11"/>
  <c r="AS382" i="11"/>
  <c r="AT382" i="11"/>
  <c r="AN382" i="11"/>
  <c r="AP382" i="11"/>
  <c r="AO382" i="11"/>
  <c r="AJ382" i="11"/>
  <c r="AL382" i="11"/>
  <c r="AM382" i="11"/>
  <c r="AK382" i="11"/>
  <c r="AQ382" i="11"/>
  <c r="J992" i="11"/>
  <c r="D993" i="11"/>
  <c r="H992" i="11"/>
  <c r="C992" i="11"/>
  <c r="BC381" i="11" l="1"/>
  <c r="AZ382" i="11"/>
  <c r="BC382" i="11" s="1"/>
  <c r="X383" i="11"/>
  <c r="Z383" i="11" s="1"/>
  <c r="AY384" i="11"/>
  <c r="AW384" i="11"/>
  <c r="L384" i="11"/>
  <c r="T384" i="11"/>
  <c r="E384" i="11"/>
  <c r="M384" i="11"/>
  <c r="N384" i="11"/>
  <c r="U384" i="11"/>
  <c r="F384" i="11"/>
  <c r="G384" i="11"/>
  <c r="V384" i="11"/>
  <c r="BD382" i="11"/>
  <c r="A387" i="11"/>
  <c r="BA387" i="11" s="1"/>
  <c r="BB386" i="11"/>
  <c r="E992" i="11"/>
  <c r="F992" i="11" s="1"/>
  <c r="G993" i="11" s="1"/>
  <c r="I992" i="11"/>
  <c r="C384" i="11"/>
  <c r="D385" i="11"/>
  <c r="B385" i="11"/>
  <c r="AV385" i="11" s="1"/>
  <c r="AU383" i="11"/>
  <c r="AS383" i="11"/>
  <c r="AT383" i="11"/>
  <c r="AR383" i="11"/>
  <c r="AM383" i="11"/>
  <c r="AN383" i="11"/>
  <c r="AP383" i="11"/>
  <c r="AO383" i="11"/>
  <c r="AJ383" i="11"/>
  <c r="AL383" i="11"/>
  <c r="AK383" i="11"/>
  <c r="AQ383" i="11"/>
  <c r="J993" i="11"/>
  <c r="D994" i="11"/>
  <c r="H993" i="11"/>
  <c r="C993" i="11"/>
  <c r="AZ383" i="11" l="1"/>
  <c r="BC383" i="11" s="1"/>
  <c r="X384" i="11"/>
  <c r="Z384" i="11" s="1"/>
  <c r="AY385" i="11"/>
  <c r="AW385" i="11"/>
  <c r="T385" i="11"/>
  <c r="L385" i="11"/>
  <c r="E385" i="11"/>
  <c r="M385" i="11"/>
  <c r="N385" i="11"/>
  <c r="U385" i="11"/>
  <c r="F385" i="11"/>
  <c r="G385" i="11"/>
  <c r="V385" i="11"/>
  <c r="A388" i="11"/>
  <c r="BA388" i="11" s="1"/>
  <c r="BB387" i="11"/>
  <c r="E993" i="11"/>
  <c r="F993" i="11" s="1"/>
  <c r="G994" i="11" s="1"/>
  <c r="D386" i="11"/>
  <c r="C385" i="11"/>
  <c r="I993" i="11"/>
  <c r="B386" i="11"/>
  <c r="AV386" i="11" s="1"/>
  <c r="AT384" i="11"/>
  <c r="AU384" i="11"/>
  <c r="AS384" i="11"/>
  <c r="AR384" i="11"/>
  <c r="AK384" i="11"/>
  <c r="AQ384" i="11"/>
  <c r="AM384" i="11"/>
  <c r="AN384" i="11"/>
  <c r="AJ384" i="11"/>
  <c r="AL384" i="11"/>
  <c r="AP384" i="11"/>
  <c r="AO384" i="11"/>
  <c r="J994" i="11"/>
  <c r="D995" i="11"/>
  <c r="H994" i="11"/>
  <c r="C994" i="11"/>
  <c r="BD383" i="11" l="1"/>
  <c r="X385" i="11"/>
  <c r="Z385" i="11" s="1"/>
  <c r="AZ384" i="11"/>
  <c r="BC384" i="11" s="1"/>
  <c r="AY386" i="11"/>
  <c r="AW386" i="11"/>
  <c r="E386" i="11"/>
  <c r="T386" i="11"/>
  <c r="L386" i="11"/>
  <c r="N386" i="11"/>
  <c r="M386" i="11"/>
  <c r="U386" i="11"/>
  <c r="G386" i="11"/>
  <c r="F386" i="11"/>
  <c r="V386" i="11"/>
  <c r="A389" i="11"/>
  <c r="BA389" i="11" s="1"/>
  <c r="BB388" i="11"/>
  <c r="I994" i="11"/>
  <c r="E994" i="11"/>
  <c r="F994" i="11" s="1"/>
  <c r="G995" i="11" s="1"/>
  <c r="C386" i="11"/>
  <c r="D387" i="11"/>
  <c r="B387" i="11"/>
  <c r="AV387" i="11" s="1"/>
  <c r="AT385" i="11"/>
  <c r="AS385" i="11"/>
  <c r="AR385" i="11"/>
  <c r="AU385" i="11"/>
  <c r="AK385" i="11"/>
  <c r="AQ385" i="11"/>
  <c r="AJ385" i="11"/>
  <c r="AM385" i="11"/>
  <c r="AN385" i="11"/>
  <c r="AP385" i="11"/>
  <c r="AO385" i="11"/>
  <c r="AL385" i="11"/>
  <c r="J995" i="11"/>
  <c r="H995" i="11"/>
  <c r="D996" i="11"/>
  <c r="C995" i="11"/>
  <c r="BD384" i="11" l="1"/>
  <c r="X386" i="11"/>
  <c r="Z386" i="11" s="1"/>
  <c r="AZ385" i="11"/>
  <c r="BD385" i="11" s="1"/>
  <c r="AY387" i="11"/>
  <c r="AW387" i="11"/>
  <c r="E387" i="11"/>
  <c r="T387" i="11"/>
  <c r="L387" i="11"/>
  <c r="M387" i="11"/>
  <c r="N387" i="11"/>
  <c r="U387" i="11"/>
  <c r="F387" i="11"/>
  <c r="G387" i="11"/>
  <c r="V387" i="11"/>
  <c r="A390" i="11"/>
  <c r="BA390" i="11" s="1"/>
  <c r="BB389" i="11"/>
  <c r="E995" i="11"/>
  <c r="F995" i="11" s="1"/>
  <c r="G996" i="11" s="1"/>
  <c r="I995" i="11"/>
  <c r="D388" i="11"/>
  <c r="C387" i="11"/>
  <c r="B388" i="11"/>
  <c r="AV388" i="11" s="1"/>
  <c r="AT386" i="11"/>
  <c r="AR386" i="11"/>
  <c r="AU386" i="11"/>
  <c r="AS386" i="11"/>
  <c r="AK386" i="11"/>
  <c r="AQ386" i="11"/>
  <c r="AM386" i="11"/>
  <c r="AJ386" i="11"/>
  <c r="AN386" i="11"/>
  <c r="AP386" i="11"/>
  <c r="AO386" i="11"/>
  <c r="AL386" i="11"/>
  <c r="J996" i="11"/>
  <c r="H996" i="11"/>
  <c r="C996" i="11"/>
  <c r="D997" i="11"/>
  <c r="BC385" i="11" l="1"/>
  <c r="AZ386" i="11"/>
  <c r="BC386" i="11" s="1"/>
  <c r="X387" i="11"/>
  <c r="Z387" i="11" s="1"/>
  <c r="AY388" i="11"/>
  <c r="AW388" i="11"/>
  <c r="T388" i="11"/>
  <c r="L388" i="11"/>
  <c r="E388" i="11"/>
  <c r="M388" i="11"/>
  <c r="N388" i="11"/>
  <c r="U388" i="11"/>
  <c r="G388" i="11"/>
  <c r="F388" i="11"/>
  <c r="V388" i="11"/>
  <c r="A391" i="11"/>
  <c r="BA391" i="11" s="1"/>
  <c r="BB390" i="11"/>
  <c r="E996" i="11"/>
  <c r="F996" i="11" s="1"/>
  <c r="G997" i="11" s="1"/>
  <c r="C388" i="11"/>
  <c r="D389" i="11"/>
  <c r="I996" i="11"/>
  <c r="B389" i="11"/>
  <c r="AV389" i="11" s="1"/>
  <c r="AU387" i="11"/>
  <c r="AS387" i="11"/>
  <c r="AR387" i="11"/>
  <c r="AT387" i="11"/>
  <c r="AO387" i="11"/>
  <c r="AJ387" i="11"/>
  <c r="AL387" i="11"/>
  <c r="AK387" i="11"/>
  <c r="AQ387" i="11"/>
  <c r="AN387" i="11"/>
  <c r="AP387" i="11"/>
  <c r="AM387" i="11"/>
  <c r="J997" i="11"/>
  <c r="H997" i="11"/>
  <c r="C997" i="11"/>
  <c r="D998" i="11"/>
  <c r="BD386" i="11" l="1"/>
  <c r="AZ387" i="11"/>
  <c r="BC387" i="11" s="1"/>
  <c r="X388" i="11"/>
  <c r="Z388" i="11" s="1"/>
  <c r="AY389" i="11"/>
  <c r="AW389" i="11"/>
  <c r="T389" i="11"/>
  <c r="L389" i="11"/>
  <c r="E389" i="11"/>
  <c r="M389" i="11"/>
  <c r="N389" i="11"/>
  <c r="U389" i="11"/>
  <c r="G389" i="11"/>
  <c r="F389" i="11"/>
  <c r="V389" i="11"/>
  <c r="A392" i="11"/>
  <c r="BA392" i="11" s="1"/>
  <c r="BB391" i="11"/>
  <c r="E997" i="11"/>
  <c r="F997" i="11" s="1"/>
  <c r="G998" i="11" s="1"/>
  <c r="I997" i="11"/>
  <c r="D390" i="11"/>
  <c r="C389" i="11"/>
  <c r="B390" i="11"/>
  <c r="AV390" i="11" s="1"/>
  <c r="AU388" i="11"/>
  <c r="AS388" i="11"/>
  <c r="AT388" i="11"/>
  <c r="AR388" i="11"/>
  <c r="AM388" i="11"/>
  <c r="AK388" i="11"/>
  <c r="AN388" i="11"/>
  <c r="AP388" i="11"/>
  <c r="AO388" i="11"/>
  <c r="AL388" i="11"/>
  <c r="AQ388" i="11"/>
  <c r="AJ388" i="11"/>
  <c r="J998" i="11"/>
  <c r="H998" i="11"/>
  <c r="C998" i="11"/>
  <c r="D999" i="11"/>
  <c r="AZ388" i="11" l="1"/>
  <c r="BD388" i="11" s="1"/>
  <c r="BD387" i="11"/>
  <c r="X389" i="11"/>
  <c r="Z389" i="11" s="1"/>
  <c r="AY390" i="11"/>
  <c r="AW390" i="11"/>
  <c r="T390" i="11"/>
  <c r="L390" i="11"/>
  <c r="E390" i="11"/>
  <c r="N390" i="11"/>
  <c r="M390" i="11"/>
  <c r="U390" i="11"/>
  <c r="G390" i="11"/>
  <c r="F390" i="11"/>
  <c r="V390" i="11"/>
  <c r="BC388" i="11"/>
  <c r="A393" i="11"/>
  <c r="BA393" i="11" s="1"/>
  <c r="BB392" i="11"/>
  <c r="C390" i="11"/>
  <c r="D391" i="11"/>
  <c r="I998" i="11"/>
  <c r="E998" i="11"/>
  <c r="F998" i="11" s="1"/>
  <c r="G999" i="11" s="1"/>
  <c r="B391" i="11"/>
  <c r="AV391" i="11" s="1"/>
  <c r="AT389" i="11"/>
  <c r="AS389" i="11"/>
  <c r="AU389" i="11"/>
  <c r="AR389" i="11"/>
  <c r="AM389" i="11"/>
  <c r="AN389" i="11"/>
  <c r="AP389" i="11"/>
  <c r="AO389" i="11"/>
  <c r="AJ389" i="11"/>
  <c r="AL389" i="11"/>
  <c r="AK389" i="11"/>
  <c r="AQ389" i="11"/>
  <c r="J999" i="11"/>
  <c r="H999" i="11"/>
  <c r="C999" i="11"/>
  <c r="D1000" i="11"/>
  <c r="AZ389" i="11" l="1"/>
  <c r="BD389" i="11" s="1"/>
  <c r="X390" i="11"/>
  <c r="Z390" i="11" s="1"/>
  <c r="AY391" i="11"/>
  <c r="AW391" i="11"/>
  <c r="T391" i="11"/>
  <c r="L391" i="11"/>
  <c r="E391" i="11"/>
  <c r="M391" i="11"/>
  <c r="N391" i="11"/>
  <c r="U391" i="11"/>
  <c r="F391" i="11"/>
  <c r="G391" i="11"/>
  <c r="V391" i="11"/>
  <c r="A394" i="11"/>
  <c r="BA394" i="11" s="1"/>
  <c r="BB393" i="11"/>
  <c r="I999" i="11"/>
  <c r="E999" i="11"/>
  <c r="F999" i="11" s="1"/>
  <c r="G1000" i="11" s="1"/>
  <c r="C391" i="11"/>
  <c r="D392" i="11"/>
  <c r="B392" i="11"/>
  <c r="AV392" i="11" s="1"/>
  <c r="AR390" i="11"/>
  <c r="AU390" i="11"/>
  <c r="AT390" i="11"/>
  <c r="AS390" i="11"/>
  <c r="AK390" i="11"/>
  <c r="AQ390" i="11"/>
  <c r="AP390" i="11"/>
  <c r="AO390" i="11"/>
  <c r="AJ390" i="11"/>
  <c r="AL390" i="11"/>
  <c r="AM390" i="11"/>
  <c r="AN390" i="11"/>
  <c r="J1000" i="11"/>
  <c r="H1000" i="11"/>
  <c r="C1000" i="11"/>
  <c r="D1001" i="11"/>
  <c r="BC389" i="11" l="1"/>
  <c r="AZ390" i="11"/>
  <c r="BD390" i="11" s="1"/>
  <c r="X391" i="11"/>
  <c r="Z391" i="11" s="1"/>
  <c r="AY392" i="11"/>
  <c r="AW392" i="11"/>
  <c r="L392" i="11"/>
  <c r="T392" i="11"/>
  <c r="E392" i="11"/>
  <c r="M392" i="11"/>
  <c r="N392" i="11"/>
  <c r="U392" i="11"/>
  <c r="G392" i="11"/>
  <c r="F392" i="11"/>
  <c r="V392" i="11"/>
  <c r="BC390" i="11"/>
  <c r="A395" i="11"/>
  <c r="BA395" i="11" s="1"/>
  <c r="BB394" i="11"/>
  <c r="E1000" i="11"/>
  <c r="F1000" i="11" s="1"/>
  <c r="G1001" i="11" s="1"/>
  <c r="I1000" i="11"/>
  <c r="C392" i="11"/>
  <c r="D393" i="11"/>
  <c r="B393" i="11"/>
  <c r="AV393" i="11" s="1"/>
  <c r="AU391" i="11"/>
  <c r="AT391" i="11"/>
  <c r="AR391" i="11"/>
  <c r="AS391" i="11"/>
  <c r="AO391" i="11"/>
  <c r="AJ391" i="11"/>
  <c r="AL391" i="11"/>
  <c r="AK391" i="11"/>
  <c r="AQ391" i="11"/>
  <c r="AM391" i="11"/>
  <c r="AN391" i="11"/>
  <c r="AP391" i="11"/>
  <c r="J1001" i="11"/>
  <c r="H1001" i="11"/>
  <c r="C1001" i="11"/>
  <c r="D1002" i="11"/>
  <c r="AZ391" i="11" l="1"/>
  <c r="BC391" i="11" s="1"/>
  <c r="X392" i="11"/>
  <c r="Z392" i="11" s="1"/>
  <c r="AY393" i="11"/>
  <c r="AW393" i="11"/>
  <c r="T393" i="11"/>
  <c r="L393" i="11"/>
  <c r="E393" i="11"/>
  <c r="M393" i="11"/>
  <c r="N393" i="11"/>
  <c r="U393" i="11"/>
  <c r="G393" i="11"/>
  <c r="F393" i="11"/>
  <c r="V393" i="11"/>
  <c r="A396" i="11"/>
  <c r="BA396" i="11" s="1"/>
  <c r="BB395" i="11"/>
  <c r="E1001" i="11"/>
  <c r="F1001" i="11" s="1"/>
  <c r="G1002" i="11" s="1"/>
  <c r="I1001" i="11"/>
  <c r="D394" i="11"/>
  <c r="C393" i="11"/>
  <c r="B394" i="11"/>
  <c r="AV394" i="11" s="1"/>
  <c r="AU392" i="11"/>
  <c r="AT392" i="11"/>
  <c r="AS392" i="11"/>
  <c r="AR392" i="11"/>
  <c r="AN392" i="11"/>
  <c r="AP392" i="11"/>
  <c r="AO392" i="11"/>
  <c r="AJ392" i="11"/>
  <c r="AL392" i="11"/>
  <c r="AK392" i="11"/>
  <c r="AQ392" i="11"/>
  <c r="AM392" i="11"/>
  <c r="J1002" i="11"/>
  <c r="H1002" i="11"/>
  <c r="C1002" i="11"/>
  <c r="D1003" i="11"/>
  <c r="BD391" i="11" l="1"/>
  <c r="AZ392" i="11"/>
  <c r="BC392" i="11" s="1"/>
  <c r="X393" i="11"/>
  <c r="Z393" i="11" s="1"/>
  <c r="AY394" i="11"/>
  <c r="AW394" i="11"/>
  <c r="T394" i="11"/>
  <c r="E394" i="11"/>
  <c r="L394" i="11"/>
  <c r="N394" i="11"/>
  <c r="M394" i="11"/>
  <c r="U394" i="11"/>
  <c r="G394" i="11"/>
  <c r="F394" i="11"/>
  <c r="V394" i="11"/>
  <c r="A397" i="11"/>
  <c r="BA397" i="11" s="1"/>
  <c r="BB396" i="11"/>
  <c r="I1002" i="11"/>
  <c r="C394" i="11"/>
  <c r="D395" i="11"/>
  <c r="E1002" i="11"/>
  <c r="F1002" i="11" s="1"/>
  <c r="G1003" i="11" s="1"/>
  <c r="B395" i="11"/>
  <c r="AV395" i="11" s="1"/>
  <c r="AU393" i="11"/>
  <c r="AT393" i="11"/>
  <c r="AS393" i="11"/>
  <c r="AR393" i="11"/>
  <c r="AK393" i="11"/>
  <c r="AQ393" i="11"/>
  <c r="AM393" i="11"/>
  <c r="AN393" i="11"/>
  <c r="AP393" i="11"/>
  <c r="AO393" i="11"/>
  <c r="AJ393" i="11"/>
  <c r="AL393" i="11"/>
  <c r="J1003" i="11"/>
  <c r="H1003" i="11"/>
  <c r="C1003" i="11"/>
  <c r="D1004" i="11"/>
  <c r="BD392" i="11" l="1"/>
  <c r="X394" i="11"/>
  <c r="Z394" i="11" s="1"/>
  <c r="AZ393" i="11"/>
  <c r="BD393" i="11" s="1"/>
  <c r="AY395" i="11"/>
  <c r="AW395" i="11"/>
  <c r="T395" i="11"/>
  <c r="E395" i="11"/>
  <c r="L395" i="11"/>
  <c r="M395" i="11"/>
  <c r="N395" i="11"/>
  <c r="U395" i="11"/>
  <c r="F395" i="11"/>
  <c r="G395" i="11"/>
  <c r="V395" i="11"/>
  <c r="A398" i="11"/>
  <c r="BA398" i="11" s="1"/>
  <c r="BB397" i="11"/>
  <c r="E1003" i="11"/>
  <c r="F1003" i="11" s="1"/>
  <c r="G1004" i="11" s="1"/>
  <c r="I1003" i="11"/>
  <c r="C395" i="11"/>
  <c r="D396" i="11"/>
  <c r="B396" i="11"/>
  <c r="AV396" i="11" s="1"/>
  <c r="AS394" i="11"/>
  <c r="AR394" i="11"/>
  <c r="AU394" i="11"/>
  <c r="AT394" i="11"/>
  <c r="AO394" i="11"/>
  <c r="AJ394" i="11"/>
  <c r="AL394" i="11"/>
  <c r="AN394" i="11"/>
  <c r="AK394" i="11"/>
  <c r="AQ394" i="11"/>
  <c r="AP394" i="11"/>
  <c r="AM394" i="11"/>
  <c r="J1004" i="11"/>
  <c r="H1004" i="11"/>
  <c r="C1004" i="11"/>
  <c r="D1005" i="11"/>
  <c r="BC393" i="11" l="1"/>
  <c r="AZ394" i="11"/>
  <c r="BC394" i="11" s="1"/>
  <c r="X395" i="11"/>
  <c r="Z395" i="11" s="1"/>
  <c r="AY396" i="11"/>
  <c r="AW396" i="11"/>
  <c r="L396" i="11"/>
  <c r="E396" i="11"/>
  <c r="T396" i="11"/>
  <c r="M396" i="11"/>
  <c r="N396" i="11"/>
  <c r="U396" i="11"/>
  <c r="F396" i="11"/>
  <c r="G396" i="11"/>
  <c r="V396" i="11"/>
  <c r="A399" i="11"/>
  <c r="BA399" i="11" s="1"/>
  <c r="BB398" i="11"/>
  <c r="I1004" i="11"/>
  <c r="C396" i="11"/>
  <c r="D397" i="11"/>
  <c r="E1004" i="11"/>
  <c r="F1004" i="11" s="1"/>
  <c r="G1005" i="11" s="1"/>
  <c r="B397" i="11"/>
  <c r="AV397" i="11" s="1"/>
  <c r="AU395" i="11"/>
  <c r="AS395" i="11"/>
  <c r="AR395" i="11"/>
  <c r="AT395" i="11"/>
  <c r="AN395" i="11"/>
  <c r="AP395" i="11"/>
  <c r="AO395" i="11"/>
  <c r="AJ395" i="11"/>
  <c r="AL395" i="11"/>
  <c r="AK395" i="11"/>
  <c r="AQ395" i="11"/>
  <c r="AM395" i="11"/>
  <c r="J1005" i="11"/>
  <c r="H1005" i="11"/>
  <c r="C1005" i="11"/>
  <c r="D1006" i="11"/>
  <c r="BD394" i="11" l="1"/>
  <c r="AZ395" i="11"/>
  <c r="BC395" i="11" s="1"/>
  <c r="X396" i="11"/>
  <c r="Z396" i="11" s="1"/>
  <c r="AY397" i="11"/>
  <c r="AW397" i="11"/>
  <c r="T397" i="11"/>
  <c r="L397" i="11"/>
  <c r="E397" i="11"/>
  <c r="M397" i="11"/>
  <c r="N397" i="11"/>
  <c r="U397" i="11"/>
  <c r="G397" i="11"/>
  <c r="F397" i="11"/>
  <c r="V397" i="11"/>
  <c r="A400" i="11"/>
  <c r="BA400" i="11" s="1"/>
  <c r="BB399" i="11"/>
  <c r="E1005" i="11"/>
  <c r="F1005" i="11" s="1"/>
  <c r="G1006" i="11" s="1"/>
  <c r="I1005" i="11"/>
  <c r="D398" i="11"/>
  <c r="C397" i="11"/>
  <c r="B398" i="11"/>
  <c r="AV398" i="11" s="1"/>
  <c r="AU396" i="11"/>
  <c r="AT396" i="11"/>
  <c r="AR396" i="11"/>
  <c r="AS396" i="11"/>
  <c r="AO396" i="11"/>
  <c r="AJ396" i="11"/>
  <c r="AL396" i="11"/>
  <c r="AN396" i="11"/>
  <c r="AK396" i="11"/>
  <c r="AQ396" i="11"/>
  <c r="AM396" i="11"/>
  <c r="AP396" i="11"/>
  <c r="J1006" i="11"/>
  <c r="H1006" i="11"/>
  <c r="C1006" i="11"/>
  <c r="D1007" i="11"/>
  <c r="BD395" i="11" l="1"/>
  <c r="AZ396" i="11"/>
  <c r="BC396" i="11" s="1"/>
  <c r="X397" i="11"/>
  <c r="Z397" i="11" s="1"/>
  <c r="AY398" i="11"/>
  <c r="AW398" i="11"/>
  <c r="L398" i="11"/>
  <c r="E398" i="11"/>
  <c r="T398" i="11"/>
  <c r="N398" i="11"/>
  <c r="M398" i="11"/>
  <c r="U398" i="11"/>
  <c r="G398" i="11"/>
  <c r="F398" i="11"/>
  <c r="V398" i="11"/>
  <c r="A401" i="11"/>
  <c r="BA401" i="11" s="1"/>
  <c r="BB400" i="11"/>
  <c r="I1006" i="11"/>
  <c r="C398" i="11"/>
  <c r="D399" i="11"/>
  <c r="E1006" i="11"/>
  <c r="F1006" i="11" s="1"/>
  <c r="G1007" i="11" s="1"/>
  <c r="B399" i="11"/>
  <c r="AV399" i="11" s="1"/>
  <c r="AT397" i="11"/>
  <c r="AS397" i="11"/>
  <c r="AU397" i="11"/>
  <c r="AR397" i="11"/>
  <c r="AO397" i="11"/>
  <c r="AJ397" i="11"/>
  <c r="AL397" i="11"/>
  <c r="AN397" i="11"/>
  <c r="AK397" i="11"/>
  <c r="AQ397" i="11"/>
  <c r="AP397" i="11"/>
  <c r="AM397" i="11"/>
  <c r="J1007" i="11"/>
  <c r="H1007" i="11"/>
  <c r="C1007" i="11"/>
  <c r="D1008" i="11"/>
  <c r="BD396" i="11" l="1"/>
  <c r="X398" i="11"/>
  <c r="Z398" i="11" s="1"/>
  <c r="AZ397" i="11"/>
  <c r="BC397" i="11" s="1"/>
  <c r="AY399" i="11"/>
  <c r="AW399" i="11"/>
  <c r="T399" i="11"/>
  <c r="L399" i="11"/>
  <c r="E399" i="11"/>
  <c r="M399" i="11"/>
  <c r="N399" i="11"/>
  <c r="U399" i="11"/>
  <c r="F399" i="11"/>
  <c r="G399" i="11"/>
  <c r="V399" i="11"/>
  <c r="A402" i="11"/>
  <c r="BA402" i="11" s="1"/>
  <c r="BB401" i="11"/>
  <c r="I1007" i="11"/>
  <c r="D400" i="11"/>
  <c r="C399" i="11"/>
  <c r="E1007" i="11"/>
  <c r="F1007" i="11" s="1"/>
  <c r="G1008" i="11" s="1"/>
  <c r="B400" i="11"/>
  <c r="AV400" i="11" s="1"/>
  <c r="AU398" i="11"/>
  <c r="AR398" i="11"/>
  <c r="AT398" i="11"/>
  <c r="AS398" i="11"/>
  <c r="AM398" i="11"/>
  <c r="AN398" i="11"/>
  <c r="AP398" i="11"/>
  <c r="AO398" i="11"/>
  <c r="AJ398" i="11"/>
  <c r="AL398" i="11"/>
  <c r="AK398" i="11"/>
  <c r="AQ398" i="11"/>
  <c r="J1008" i="11"/>
  <c r="H1008" i="11"/>
  <c r="C1008" i="11"/>
  <c r="D1009" i="11"/>
  <c r="BD397" i="11" l="1"/>
  <c r="AZ398" i="11"/>
  <c r="BC398" i="11" s="1"/>
  <c r="X399" i="11"/>
  <c r="Z399" i="11" s="1"/>
  <c r="AY400" i="11"/>
  <c r="AW400" i="11"/>
  <c r="L400" i="11"/>
  <c r="T400" i="11"/>
  <c r="E400" i="11"/>
  <c r="M400" i="11"/>
  <c r="N400" i="11"/>
  <c r="U400" i="11"/>
  <c r="G400" i="11"/>
  <c r="F400" i="11"/>
  <c r="V400" i="11"/>
  <c r="A403" i="11"/>
  <c r="BA403" i="11" s="1"/>
  <c r="BB402" i="11"/>
  <c r="E1008" i="11"/>
  <c r="F1008" i="11" s="1"/>
  <c r="G1009" i="11" s="1"/>
  <c r="I1008" i="11"/>
  <c r="C400" i="11"/>
  <c r="D401" i="11"/>
  <c r="B401" i="11"/>
  <c r="AV401" i="11" s="1"/>
  <c r="AU399" i="11"/>
  <c r="AS399" i="11"/>
  <c r="AT399" i="11"/>
  <c r="AR399" i="11"/>
  <c r="AN399" i="11"/>
  <c r="AP399" i="11"/>
  <c r="AL399" i="11"/>
  <c r="AQ399" i="11"/>
  <c r="AO399" i="11"/>
  <c r="AJ399" i="11"/>
  <c r="AM399" i="11"/>
  <c r="AK399" i="11"/>
  <c r="J1009" i="11"/>
  <c r="H1009" i="11"/>
  <c r="C1009" i="11"/>
  <c r="D1010" i="11"/>
  <c r="BD398" i="11" l="1"/>
  <c r="AZ399" i="11"/>
  <c r="BD399" i="11" s="1"/>
  <c r="X400" i="11"/>
  <c r="Z400" i="11" s="1"/>
  <c r="AY401" i="11"/>
  <c r="AW401" i="11"/>
  <c r="T401" i="11"/>
  <c r="L401" i="11"/>
  <c r="E401" i="11"/>
  <c r="M401" i="11"/>
  <c r="N401" i="11"/>
  <c r="U401" i="11"/>
  <c r="F401" i="11"/>
  <c r="G401" i="11"/>
  <c r="V401" i="11"/>
  <c r="BC399" i="11"/>
  <c r="A404" i="11"/>
  <c r="BA404" i="11" s="1"/>
  <c r="BB403" i="11"/>
  <c r="I1009" i="11"/>
  <c r="D402" i="11"/>
  <c r="C401" i="11"/>
  <c r="E1009" i="11"/>
  <c r="F1009" i="11" s="1"/>
  <c r="G1010" i="11" s="1"/>
  <c r="B402" i="11"/>
  <c r="AV402" i="11" s="1"/>
  <c r="AS400" i="11"/>
  <c r="AU400" i="11"/>
  <c r="AR400" i="11"/>
  <c r="AT400" i="11"/>
  <c r="AO400" i="11"/>
  <c r="AJ400" i="11"/>
  <c r="AL400" i="11"/>
  <c r="AN400" i="11"/>
  <c r="AP400" i="11"/>
  <c r="AK400" i="11"/>
  <c r="AQ400" i="11"/>
  <c r="AM400" i="11"/>
  <c r="J1010" i="11"/>
  <c r="H1010" i="11"/>
  <c r="C1010" i="11"/>
  <c r="D1011" i="11"/>
  <c r="AZ400" i="11" l="1"/>
  <c r="BC400" i="11" s="1"/>
  <c r="X401" i="11"/>
  <c r="Z401" i="11" s="1"/>
  <c r="AY402" i="11"/>
  <c r="AW402" i="11"/>
  <c r="T402" i="11"/>
  <c r="E402" i="11"/>
  <c r="L402" i="11"/>
  <c r="N402" i="11"/>
  <c r="M402" i="11"/>
  <c r="U402" i="11"/>
  <c r="G402" i="11"/>
  <c r="F402" i="11"/>
  <c r="V402" i="11"/>
  <c r="A405" i="11"/>
  <c r="BA405" i="11" s="1"/>
  <c r="BB404" i="11"/>
  <c r="I1010" i="11"/>
  <c r="C402" i="11"/>
  <c r="D403" i="11"/>
  <c r="E1010" i="11"/>
  <c r="F1010" i="11" s="1"/>
  <c r="G1011" i="11" s="1"/>
  <c r="B403" i="11"/>
  <c r="AV403" i="11" s="1"/>
  <c r="AT401" i="11"/>
  <c r="AS401" i="11"/>
  <c r="AU401" i="11"/>
  <c r="AR401" i="11"/>
  <c r="AO401" i="11"/>
  <c r="AJ401" i="11"/>
  <c r="AL401" i="11"/>
  <c r="AN401" i="11"/>
  <c r="AK401" i="11"/>
  <c r="AQ401" i="11"/>
  <c r="AP401" i="11"/>
  <c r="AM401" i="11"/>
  <c r="J1011" i="11"/>
  <c r="H1011" i="11"/>
  <c r="C1011" i="11"/>
  <c r="D1012" i="11"/>
  <c r="BD400" i="11" l="1"/>
  <c r="X402" i="11"/>
  <c r="Z402" i="11" s="1"/>
  <c r="AZ401" i="11"/>
  <c r="BD401" i="11" s="1"/>
  <c r="AY403" i="11"/>
  <c r="AW403" i="11"/>
  <c r="T403" i="11"/>
  <c r="E403" i="11"/>
  <c r="L403" i="11"/>
  <c r="M403" i="11"/>
  <c r="N403" i="11"/>
  <c r="U403" i="11"/>
  <c r="F403" i="11"/>
  <c r="G403" i="11"/>
  <c r="V403" i="11"/>
  <c r="A406" i="11"/>
  <c r="BA406" i="11" s="1"/>
  <c r="BB405" i="11"/>
  <c r="E1011" i="11"/>
  <c r="F1011" i="11" s="1"/>
  <c r="G1012" i="11" s="1"/>
  <c r="I1011" i="11"/>
  <c r="D404" i="11"/>
  <c r="C403" i="11"/>
  <c r="B404" i="11"/>
  <c r="AV404" i="11" s="1"/>
  <c r="AU402" i="11"/>
  <c r="AT402" i="11"/>
  <c r="AR402" i="11"/>
  <c r="AS402" i="11"/>
  <c r="AO402" i="11"/>
  <c r="AJ402" i="11"/>
  <c r="AL402" i="11"/>
  <c r="AK402" i="11"/>
  <c r="AQ402" i="11"/>
  <c r="AN402" i="11"/>
  <c r="AM402" i="11"/>
  <c r="AP402" i="11"/>
  <c r="J1012" i="11"/>
  <c r="H1012" i="11"/>
  <c r="C1012" i="11"/>
  <c r="D1013" i="11"/>
  <c r="BC401" i="11" l="1"/>
  <c r="AZ402" i="11"/>
  <c r="BC402" i="11" s="1"/>
  <c r="X403" i="11"/>
  <c r="Z403" i="11" s="1"/>
  <c r="AY404" i="11"/>
  <c r="AW404" i="11"/>
  <c r="T404" i="11"/>
  <c r="L404" i="11"/>
  <c r="E404" i="11"/>
  <c r="M404" i="11"/>
  <c r="N404" i="11"/>
  <c r="U404" i="11"/>
  <c r="G404" i="11"/>
  <c r="F404" i="11"/>
  <c r="V404" i="11"/>
  <c r="A407" i="11"/>
  <c r="BA407" i="11" s="1"/>
  <c r="BB406" i="11"/>
  <c r="I1012" i="11"/>
  <c r="E1012" i="11"/>
  <c r="F1012" i="11" s="1"/>
  <c r="G1013" i="11" s="1"/>
  <c r="C404" i="11"/>
  <c r="D405" i="11"/>
  <c r="B405" i="11"/>
  <c r="AV405" i="11" s="1"/>
  <c r="AU403" i="11"/>
  <c r="AT403" i="11"/>
  <c r="AR403" i="11"/>
  <c r="AS403" i="11"/>
  <c r="AP403" i="11"/>
  <c r="AO403" i="11"/>
  <c r="AJ403" i="11"/>
  <c r="AL403" i="11"/>
  <c r="AK403" i="11"/>
  <c r="AQ403" i="11"/>
  <c r="AM403" i="11"/>
  <c r="AN403" i="11"/>
  <c r="J1013" i="11"/>
  <c r="H1013" i="11"/>
  <c r="C1013" i="11"/>
  <c r="D1014" i="11"/>
  <c r="BD402" i="11" l="1"/>
  <c r="AZ403" i="11"/>
  <c r="BD403" i="11" s="1"/>
  <c r="X404" i="11"/>
  <c r="Z404" i="11" s="1"/>
  <c r="AY405" i="11"/>
  <c r="AW405" i="11"/>
  <c r="T405" i="11"/>
  <c r="L405" i="11"/>
  <c r="E405" i="11"/>
  <c r="M405" i="11"/>
  <c r="N405" i="11"/>
  <c r="U405" i="11"/>
  <c r="F405" i="11"/>
  <c r="G405" i="11"/>
  <c r="V405" i="11"/>
  <c r="A408" i="11"/>
  <c r="BA408" i="11" s="1"/>
  <c r="BB407" i="11"/>
  <c r="E1013" i="11"/>
  <c r="F1013" i="11" s="1"/>
  <c r="G1014" i="11" s="1"/>
  <c r="I1013" i="11"/>
  <c r="D406" i="11"/>
  <c r="C405" i="11"/>
  <c r="B406" i="11"/>
  <c r="AV406" i="11" s="1"/>
  <c r="AU404" i="11"/>
  <c r="AS404" i="11"/>
  <c r="AT404" i="11"/>
  <c r="AR404" i="11"/>
  <c r="AK404" i="11"/>
  <c r="AQ404" i="11"/>
  <c r="AO404" i="11"/>
  <c r="AL404" i="11"/>
  <c r="AM404" i="11"/>
  <c r="AJ404" i="11"/>
  <c r="AN404" i="11"/>
  <c r="AP404" i="11"/>
  <c r="D1015" i="11"/>
  <c r="J1014" i="11"/>
  <c r="H1014" i="11"/>
  <c r="C1014" i="11"/>
  <c r="BC403" i="11" l="1"/>
  <c r="AZ404" i="11"/>
  <c r="BC404" i="11" s="1"/>
  <c r="X405" i="11"/>
  <c r="Z405" i="11" s="1"/>
  <c r="AY406" i="11"/>
  <c r="AW406" i="11"/>
  <c r="T406" i="11"/>
  <c r="L406" i="11"/>
  <c r="E406" i="11"/>
  <c r="N406" i="11"/>
  <c r="M406" i="11"/>
  <c r="U406" i="11"/>
  <c r="G406" i="11"/>
  <c r="F406" i="11"/>
  <c r="V406" i="11"/>
  <c r="A409" i="11"/>
  <c r="BA409" i="11" s="1"/>
  <c r="BB408" i="11"/>
  <c r="I1014" i="11"/>
  <c r="E1014" i="11"/>
  <c r="F1014" i="11" s="1"/>
  <c r="G1015" i="11" s="1"/>
  <c r="D407" i="11"/>
  <c r="C406" i="11"/>
  <c r="B407" i="11"/>
  <c r="AV407" i="11" s="1"/>
  <c r="AT405" i="11"/>
  <c r="AS405" i="11"/>
  <c r="AU405" i="11"/>
  <c r="AR405" i="11"/>
  <c r="AK405" i="11"/>
  <c r="AQ405" i="11"/>
  <c r="AO405" i="11"/>
  <c r="AM405" i="11"/>
  <c r="AJ405" i="11"/>
  <c r="AN405" i="11"/>
  <c r="AP405" i="11"/>
  <c r="AL405" i="11"/>
  <c r="D1016" i="11"/>
  <c r="H1015" i="11"/>
  <c r="J1015" i="11"/>
  <c r="C1015" i="11"/>
  <c r="BD404" i="11" l="1"/>
  <c r="X406" i="11"/>
  <c r="Z406" i="11" s="1"/>
  <c r="AZ405" i="11"/>
  <c r="BD405" i="11" s="1"/>
  <c r="AY407" i="11"/>
  <c r="AW407" i="11"/>
  <c r="L407" i="11"/>
  <c r="E407" i="11"/>
  <c r="T407" i="11"/>
  <c r="M407" i="11"/>
  <c r="N407" i="11"/>
  <c r="U407" i="11"/>
  <c r="F407" i="11"/>
  <c r="G407" i="11"/>
  <c r="V407" i="11"/>
  <c r="A410" i="11"/>
  <c r="BB409" i="11"/>
  <c r="I1015" i="11"/>
  <c r="E1015" i="11"/>
  <c r="F1015" i="11" s="1"/>
  <c r="G1016" i="11" s="1"/>
  <c r="D408" i="11"/>
  <c r="C407" i="11"/>
  <c r="B408" i="11"/>
  <c r="AV408" i="11" s="1"/>
  <c r="AR406" i="11"/>
  <c r="AU406" i="11"/>
  <c r="AT406" i="11"/>
  <c r="AS406" i="11"/>
  <c r="AK406" i="11"/>
  <c r="AQ406" i="11"/>
  <c r="AM406" i="11"/>
  <c r="AN406" i="11"/>
  <c r="AP406" i="11"/>
  <c r="AO406" i="11"/>
  <c r="AJ406" i="11"/>
  <c r="AL406" i="11"/>
  <c r="D1017" i="11"/>
  <c r="H1016" i="11"/>
  <c r="J1016" i="11"/>
  <c r="C1016" i="11"/>
  <c r="BC405" i="11" l="1"/>
  <c r="AZ406" i="11"/>
  <c r="BC406" i="11" s="1"/>
  <c r="X407" i="11"/>
  <c r="Z407" i="11" s="1"/>
  <c r="AY408" i="11"/>
  <c r="AW408" i="11"/>
  <c r="L408" i="11"/>
  <c r="E408" i="11"/>
  <c r="T408" i="11"/>
  <c r="M408" i="11"/>
  <c r="N408" i="11"/>
  <c r="U408" i="11"/>
  <c r="G408" i="11"/>
  <c r="F408" i="11"/>
  <c r="V408" i="11"/>
  <c r="A411" i="11"/>
  <c r="BA411" i="11" s="1"/>
  <c r="E1016" i="11"/>
  <c r="F1016" i="11" s="1"/>
  <c r="G1017" i="11" s="1"/>
  <c r="I1016" i="11"/>
  <c r="C408" i="11"/>
  <c r="D409" i="11"/>
  <c r="B409" i="11"/>
  <c r="AV409" i="11" s="1"/>
  <c r="AU407" i="11"/>
  <c r="AT407" i="11"/>
  <c r="AR407" i="11"/>
  <c r="AS407" i="11"/>
  <c r="AN407" i="11"/>
  <c r="AP407" i="11"/>
  <c r="AK407" i="11"/>
  <c r="AQ407" i="11"/>
  <c r="AM407" i="11"/>
  <c r="AO407" i="11"/>
  <c r="AJ407" i="11"/>
  <c r="AL407" i="11"/>
  <c r="D1018" i="11"/>
  <c r="H1017" i="11"/>
  <c r="J1017" i="11"/>
  <c r="C1017" i="11"/>
  <c r="BD406" i="11" l="1"/>
  <c r="X408" i="11"/>
  <c r="Z408" i="11" s="1"/>
  <c r="AZ407" i="11"/>
  <c r="BD407" i="11" s="1"/>
  <c r="AY409" i="11"/>
  <c r="AW409" i="11"/>
  <c r="T409" i="11"/>
  <c r="L409" i="11"/>
  <c r="E409" i="11"/>
  <c r="M409" i="11"/>
  <c r="N409" i="11"/>
  <c r="U409" i="11"/>
  <c r="G409" i="11"/>
  <c r="F409" i="11"/>
  <c r="V409" i="11"/>
  <c r="A412" i="11"/>
  <c r="BA412" i="11" s="1"/>
  <c r="BB411" i="11"/>
  <c r="I1017" i="11"/>
  <c r="E1017" i="11"/>
  <c r="F1017" i="11" s="1"/>
  <c r="G1018" i="11" s="1"/>
  <c r="D410" i="11"/>
  <c r="C409" i="11"/>
  <c r="B410" i="11"/>
  <c r="AV410" i="11" s="1"/>
  <c r="AU408" i="11"/>
  <c r="AS408" i="11"/>
  <c r="AR408" i="11"/>
  <c r="AT408" i="11"/>
  <c r="AK408" i="11"/>
  <c r="AQ408" i="11"/>
  <c r="AP408" i="11"/>
  <c r="AO408" i="11"/>
  <c r="AJ408" i="11"/>
  <c r="AM408" i="11"/>
  <c r="AN408" i="11"/>
  <c r="AL408" i="11"/>
  <c r="D1019" i="11"/>
  <c r="H1018" i="11"/>
  <c r="J1018" i="11"/>
  <c r="C1018" i="11"/>
  <c r="BC407" i="11" l="1"/>
  <c r="AZ408" i="11"/>
  <c r="BD408" i="11" s="1"/>
  <c r="X409" i="11"/>
  <c r="Z409" i="11" s="1"/>
  <c r="AY410" i="11"/>
  <c r="AW410" i="11"/>
  <c r="T410" i="11"/>
  <c r="E410" i="11"/>
  <c r="L410" i="11"/>
  <c r="N410" i="11"/>
  <c r="M410" i="11"/>
  <c r="U410" i="11"/>
  <c r="G410" i="11"/>
  <c r="F410" i="11"/>
  <c r="V410" i="11"/>
  <c r="A413" i="11"/>
  <c r="BA413" i="11" s="1"/>
  <c r="BB412" i="11"/>
  <c r="E1018" i="11"/>
  <c r="F1018" i="11" s="1"/>
  <c r="G1019" i="11" s="1"/>
  <c r="I1018" i="11"/>
  <c r="C410" i="11"/>
  <c r="D411" i="11"/>
  <c r="B411" i="11"/>
  <c r="AV411" i="11" s="1"/>
  <c r="AU409" i="11"/>
  <c r="AT409" i="11"/>
  <c r="AS409" i="11"/>
  <c r="AR409" i="11"/>
  <c r="AN409" i="11"/>
  <c r="AP409" i="11"/>
  <c r="AK409" i="11"/>
  <c r="AQ409" i="11"/>
  <c r="AO409" i="11"/>
  <c r="AJ409" i="11"/>
  <c r="AL409" i="11"/>
  <c r="AM409" i="11"/>
  <c r="D1020" i="11"/>
  <c r="H1019" i="11"/>
  <c r="J1019" i="11"/>
  <c r="C1019" i="11"/>
  <c r="BC408" i="11" l="1"/>
  <c r="AZ409" i="11"/>
  <c r="BD409" i="11" s="1"/>
  <c r="X410" i="11"/>
  <c r="Z410" i="11" s="1"/>
  <c r="AY411" i="11"/>
  <c r="AW411" i="11"/>
  <c r="T411" i="11"/>
  <c r="E411" i="11"/>
  <c r="L411" i="11"/>
  <c r="M411" i="11"/>
  <c r="N411" i="11"/>
  <c r="U411" i="11"/>
  <c r="F411" i="11"/>
  <c r="G411" i="11"/>
  <c r="V411" i="11"/>
  <c r="A414" i="11"/>
  <c r="BA414" i="11" s="1"/>
  <c r="BB413" i="11"/>
  <c r="E1019" i="11"/>
  <c r="F1019" i="11" s="1"/>
  <c r="G1020" i="11" s="1"/>
  <c r="D412" i="11"/>
  <c r="C411" i="11"/>
  <c r="I1019" i="11"/>
  <c r="B412" i="11"/>
  <c r="AV412" i="11" s="1"/>
  <c r="AU410" i="11"/>
  <c r="AS410" i="11"/>
  <c r="AR410" i="11"/>
  <c r="AT410" i="11"/>
  <c r="AK410" i="11"/>
  <c r="AM410" i="11"/>
  <c r="AO410" i="11"/>
  <c r="AL410" i="11"/>
  <c r="AQ410" i="11"/>
  <c r="AN410" i="11"/>
  <c r="AP410" i="11"/>
  <c r="AJ410" i="11"/>
  <c r="D1021" i="11"/>
  <c r="H1020" i="11"/>
  <c r="J1020" i="11"/>
  <c r="C1020" i="11"/>
  <c r="AZ410" i="11" l="1"/>
  <c r="BC409" i="11"/>
  <c r="X411" i="11"/>
  <c r="Z411" i="11" s="1"/>
  <c r="AY412" i="11"/>
  <c r="AW412" i="11"/>
  <c r="L412" i="11"/>
  <c r="T412" i="11"/>
  <c r="E412" i="11"/>
  <c r="M412" i="11"/>
  <c r="N412" i="11"/>
  <c r="U412" i="11"/>
  <c r="F412" i="11"/>
  <c r="G412" i="11"/>
  <c r="V412" i="11"/>
  <c r="A415" i="11"/>
  <c r="BA415" i="11" s="1"/>
  <c r="BB414" i="11"/>
  <c r="I1020" i="11"/>
  <c r="D413" i="11"/>
  <c r="C412" i="11"/>
  <c r="E1020" i="11"/>
  <c r="F1020" i="11" s="1"/>
  <c r="G1021" i="11" s="1"/>
  <c r="B413" i="11"/>
  <c r="AV413" i="11" s="1"/>
  <c r="AU411" i="11"/>
  <c r="AT411" i="11"/>
  <c r="AS411" i="11"/>
  <c r="AR411" i="11"/>
  <c r="AO411" i="11"/>
  <c r="AJ411" i="11"/>
  <c r="AL411" i="11"/>
  <c r="AK411" i="11"/>
  <c r="AM411" i="11"/>
  <c r="AN411" i="11"/>
  <c r="AQ411" i="11"/>
  <c r="AP411" i="11"/>
  <c r="D1022" i="11"/>
  <c r="H1021" i="11"/>
  <c r="J1021" i="11"/>
  <c r="C1021" i="11"/>
  <c r="X412" i="11" l="1"/>
  <c r="Z412" i="11" s="1"/>
  <c r="AZ411" i="11"/>
  <c r="BD411" i="11" s="1"/>
  <c r="AY413" i="11"/>
  <c r="AW413" i="11"/>
  <c r="T413" i="11"/>
  <c r="L413" i="11"/>
  <c r="E413" i="11"/>
  <c r="M413" i="11"/>
  <c r="N413" i="11"/>
  <c r="U413" i="11"/>
  <c r="G413" i="11"/>
  <c r="F413" i="11"/>
  <c r="V413" i="11"/>
  <c r="A416" i="11"/>
  <c r="BA416" i="11" s="1"/>
  <c r="BB415" i="11"/>
  <c r="I1021" i="11"/>
  <c r="E1021" i="11"/>
  <c r="F1021" i="11" s="1"/>
  <c r="G1022" i="11" s="1"/>
  <c r="D414" i="11"/>
  <c r="C413" i="11"/>
  <c r="B414" i="11"/>
  <c r="AV414" i="11" s="1"/>
  <c r="AT412" i="11"/>
  <c r="AR412" i="11"/>
  <c r="AU412" i="11"/>
  <c r="AS412" i="11"/>
  <c r="AM412" i="11"/>
  <c r="AN412" i="11"/>
  <c r="AP412" i="11"/>
  <c r="AQ412" i="11"/>
  <c r="AO412" i="11"/>
  <c r="AJ412" i="11"/>
  <c r="AL412" i="11"/>
  <c r="AK412" i="11"/>
  <c r="D1023" i="11"/>
  <c r="H1022" i="11"/>
  <c r="J1022" i="11"/>
  <c r="C1022" i="11"/>
  <c r="BC411" i="11" l="1"/>
  <c r="AZ412" i="11"/>
  <c r="X413" i="11"/>
  <c r="Z413" i="11" s="1"/>
  <c r="AY414" i="11"/>
  <c r="AW414" i="11"/>
  <c r="L414" i="11"/>
  <c r="E414" i="11"/>
  <c r="T414" i="11"/>
  <c r="N414" i="11"/>
  <c r="M414" i="11"/>
  <c r="U414" i="11"/>
  <c r="G414" i="11"/>
  <c r="F414" i="11"/>
  <c r="V414" i="11"/>
  <c r="BD412" i="11"/>
  <c r="BC412" i="11"/>
  <c r="A417" i="11"/>
  <c r="BB416" i="11"/>
  <c r="E1022" i="11"/>
  <c r="F1022" i="11" s="1"/>
  <c r="G1023" i="11" s="1"/>
  <c r="I1022" i="11"/>
  <c r="C414" i="11"/>
  <c r="D415" i="11"/>
  <c r="B415" i="11"/>
  <c r="AV415" i="11" s="1"/>
  <c r="AT413" i="11"/>
  <c r="AS413" i="11"/>
  <c r="AU413" i="11"/>
  <c r="AR413" i="11"/>
  <c r="AK413" i="11"/>
  <c r="AQ413" i="11"/>
  <c r="AO413" i="11"/>
  <c r="AM413" i="11"/>
  <c r="AJ413" i="11"/>
  <c r="AL413" i="11"/>
  <c r="AN413" i="11"/>
  <c r="AP413" i="11"/>
  <c r="D1024" i="11"/>
  <c r="H1023" i="11"/>
  <c r="J1023" i="11"/>
  <c r="C1023" i="11"/>
  <c r="X414" i="11" l="1"/>
  <c r="Z414" i="11" s="1"/>
  <c r="AZ413" i="11"/>
  <c r="BC413" i="11" s="1"/>
  <c r="AY415" i="11"/>
  <c r="AW415" i="11"/>
  <c r="T415" i="11"/>
  <c r="L415" i="11"/>
  <c r="E415" i="11"/>
  <c r="M415" i="11"/>
  <c r="N415" i="11"/>
  <c r="U415" i="11"/>
  <c r="F415" i="11"/>
  <c r="G415" i="11"/>
  <c r="V415" i="11"/>
  <c r="A418" i="11"/>
  <c r="E1023" i="11"/>
  <c r="F1023" i="11" s="1"/>
  <c r="G1024" i="11" s="1"/>
  <c r="I1023" i="11"/>
  <c r="D416" i="11"/>
  <c r="C415" i="11"/>
  <c r="B416" i="11"/>
  <c r="AV416" i="11" s="1"/>
  <c r="AU414" i="11"/>
  <c r="AR414" i="11"/>
  <c r="AT414" i="11"/>
  <c r="AS414" i="11"/>
  <c r="AM414" i="11"/>
  <c r="AN414" i="11"/>
  <c r="AP414" i="11"/>
  <c r="AK414" i="11"/>
  <c r="AQ414" i="11"/>
  <c r="AO414" i="11"/>
  <c r="AJ414" i="11"/>
  <c r="AL414" i="11"/>
  <c r="D1025" i="11"/>
  <c r="H1024" i="11"/>
  <c r="J1024" i="11"/>
  <c r="C1024" i="11"/>
  <c r="BD413" i="11" l="1"/>
  <c r="AZ414" i="11"/>
  <c r="BD414" i="11" s="1"/>
  <c r="X415" i="11"/>
  <c r="Z415" i="11" s="1"/>
  <c r="AY416" i="11"/>
  <c r="AW416" i="11"/>
  <c r="L416" i="11"/>
  <c r="T416" i="11"/>
  <c r="E416" i="11"/>
  <c r="M416" i="11"/>
  <c r="N416" i="11"/>
  <c r="U416" i="11"/>
  <c r="F416" i="11"/>
  <c r="G416" i="11"/>
  <c r="V416" i="11"/>
  <c r="A419" i="11"/>
  <c r="BA419" i="11" s="1"/>
  <c r="I1024" i="11"/>
  <c r="E1024" i="11"/>
  <c r="F1024" i="11" s="1"/>
  <c r="G1025" i="11" s="1"/>
  <c r="C416" i="11"/>
  <c r="D417" i="11"/>
  <c r="B417" i="11"/>
  <c r="AV417" i="11" s="1"/>
  <c r="AU415" i="11"/>
  <c r="AS415" i="11"/>
  <c r="AR415" i="11"/>
  <c r="AT415" i="11"/>
  <c r="AN415" i="11"/>
  <c r="AP415" i="11"/>
  <c r="AO415" i="11"/>
  <c r="AJ415" i="11"/>
  <c r="AL415" i="11"/>
  <c r="AM415" i="11"/>
  <c r="AK415" i="11"/>
  <c r="AQ415" i="11"/>
  <c r="D1026" i="11"/>
  <c r="H1025" i="11"/>
  <c r="J1025" i="11"/>
  <c r="C1025" i="11"/>
  <c r="BC414" i="11" l="1"/>
  <c r="AZ415" i="11"/>
  <c r="BC415" i="11" s="1"/>
  <c r="X416" i="11"/>
  <c r="Z416" i="11" s="1"/>
  <c r="AY417" i="11"/>
  <c r="AW417" i="11"/>
  <c r="T417" i="11"/>
  <c r="L417" i="11"/>
  <c r="E417" i="11"/>
  <c r="M417" i="11"/>
  <c r="N417" i="11"/>
  <c r="U417" i="11"/>
  <c r="F417" i="11"/>
  <c r="G417" i="11"/>
  <c r="V417" i="11"/>
  <c r="A420" i="11"/>
  <c r="BA420" i="11" s="1"/>
  <c r="BB419" i="11"/>
  <c r="I1025" i="11"/>
  <c r="E1025" i="11"/>
  <c r="F1025" i="11" s="1"/>
  <c r="G1026" i="11" s="1"/>
  <c r="D418" i="11"/>
  <c r="C417" i="11"/>
  <c r="B418" i="11"/>
  <c r="AV418" i="11" s="1"/>
  <c r="AU416" i="11"/>
  <c r="AS416" i="11"/>
  <c r="AT416" i="11"/>
  <c r="AR416" i="11"/>
  <c r="AO416" i="11"/>
  <c r="AJ416" i="11"/>
  <c r="AL416" i="11"/>
  <c r="AM416" i="11"/>
  <c r="AK416" i="11"/>
  <c r="AQ416" i="11"/>
  <c r="AN416" i="11"/>
  <c r="AP416" i="11"/>
  <c r="D1027" i="11"/>
  <c r="H1026" i="11"/>
  <c r="J1026" i="11"/>
  <c r="C1026" i="11"/>
  <c r="BD415" i="11" l="1"/>
  <c r="X417" i="11"/>
  <c r="Z417" i="11" s="1"/>
  <c r="AZ416" i="11"/>
  <c r="BC416" i="11" s="1"/>
  <c r="AY418" i="11"/>
  <c r="AW418" i="11"/>
  <c r="E418" i="11"/>
  <c r="T418" i="11"/>
  <c r="L418" i="11"/>
  <c r="N418" i="11"/>
  <c r="M418" i="11"/>
  <c r="U418" i="11"/>
  <c r="G418" i="11"/>
  <c r="F418" i="11"/>
  <c r="V418" i="11"/>
  <c r="A421" i="11"/>
  <c r="BA421" i="11" s="1"/>
  <c r="BB420" i="11"/>
  <c r="I1026" i="11"/>
  <c r="E1026" i="11"/>
  <c r="F1026" i="11" s="1"/>
  <c r="G1027" i="11" s="1"/>
  <c r="C418" i="11"/>
  <c r="D419" i="11"/>
  <c r="B419" i="11"/>
  <c r="AV419" i="11" s="1"/>
  <c r="AT417" i="11"/>
  <c r="AS417" i="11"/>
  <c r="AU417" i="11"/>
  <c r="AR417" i="11"/>
  <c r="AO417" i="11"/>
  <c r="AJ417" i="11"/>
  <c r="AL417" i="11"/>
  <c r="AK417" i="11"/>
  <c r="AQ417" i="11"/>
  <c r="AM417" i="11"/>
  <c r="AN417" i="11"/>
  <c r="AP417" i="11"/>
  <c r="D1028" i="11"/>
  <c r="H1027" i="11"/>
  <c r="J1027" i="11"/>
  <c r="C1027" i="11"/>
  <c r="BD416" i="11" l="1"/>
  <c r="AZ417" i="11"/>
  <c r="X418" i="11"/>
  <c r="Z418" i="11" s="1"/>
  <c r="AY419" i="11"/>
  <c r="AW419" i="11"/>
  <c r="E419" i="11"/>
  <c r="T419" i="11"/>
  <c r="L419" i="11"/>
  <c r="M419" i="11"/>
  <c r="N419" i="11"/>
  <c r="U419" i="11"/>
  <c r="F419" i="11"/>
  <c r="G419" i="11"/>
  <c r="V419" i="11"/>
  <c r="A422" i="11"/>
  <c r="BA422" i="11" s="1"/>
  <c r="BB421" i="11"/>
  <c r="E1027" i="11"/>
  <c r="F1027" i="11" s="1"/>
  <c r="G1028" i="11" s="1"/>
  <c r="I1027" i="11"/>
  <c r="D420" i="11"/>
  <c r="C419" i="11"/>
  <c r="B420" i="11"/>
  <c r="AV420" i="11" s="1"/>
  <c r="AU418" i="11"/>
  <c r="AT418" i="11"/>
  <c r="AR418" i="11"/>
  <c r="AS418" i="11"/>
  <c r="AO418" i="11"/>
  <c r="AJ418" i="11"/>
  <c r="AL418" i="11"/>
  <c r="AQ418" i="11"/>
  <c r="AK418" i="11"/>
  <c r="AP418" i="11"/>
  <c r="AM418" i="11"/>
  <c r="AN418" i="11"/>
  <c r="D1029" i="11"/>
  <c r="H1028" i="11"/>
  <c r="J1028" i="11"/>
  <c r="C1028" i="11"/>
  <c r="AZ418" i="11" l="1"/>
  <c r="X419" i="11"/>
  <c r="Z419" i="11" s="1"/>
  <c r="AY420" i="11"/>
  <c r="AW420" i="11"/>
  <c r="T420" i="11"/>
  <c r="L420" i="11"/>
  <c r="E420" i="11"/>
  <c r="M420" i="11"/>
  <c r="N420" i="11"/>
  <c r="U420" i="11"/>
  <c r="G420" i="11"/>
  <c r="F420" i="11"/>
  <c r="V420" i="11"/>
  <c r="A423" i="11"/>
  <c r="BA423" i="11" s="1"/>
  <c r="BB422" i="11"/>
  <c r="E1028" i="11"/>
  <c r="F1028" i="11" s="1"/>
  <c r="G1029" i="11" s="1"/>
  <c r="I1028" i="11"/>
  <c r="C420" i="11"/>
  <c r="D421" i="11"/>
  <c r="B421" i="11"/>
  <c r="AV421" i="11" s="1"/>
  <c r="AU419" i="11"/>
  <c r="AT419" i="11"/>
  <c r="AS419" i="11"/>
  <c r="AR419" i="11"/>
  <c r="AO419" i="11"/>
  <c r="AJ419" i="11"/>
  <c r="AL419" i="11"/>
  <c r="AK419" i="11"/>
  <c r="AQ419" i="11"/>
  <c r="AM419" i="11"/>
  <c r="AN419" i="11"/>
  <c r="AP419" i="11"/>
  <c r="D1030" i="11"/>
  <c r="H1029" i="11"/>
  <c r="J1029" i="11"/>
  <c r="C1029" i="11"/>
  <c r="X420" i="11" l="1"/>
  <c r="Z420" i="11" s="1"/>
  <c r="AZ419" i="11"/>
  <c r="BD419" i="11" s="1"/>
  <c r="AY421" i="11"/>
  <c r="AW421" i="11"/>
  <c r="T421" i="11"/>
  <c r="L421" i="11"/>
  <c r="E421" i="11"/>
  <c r="M421" i="11"/>
  <c r="N421" i="11"/>
  <c r="U421" i="11"/>
  <c r="F421" i="11"/>
  <c r="G421" i="11"/>
  <c r="V421" i="11"/>
  <c r="A424" i="11"/>
  <c r="BB423" i="11"/>
  <c r="E1029" i="11"/>
  <c r="F1029" i="11" s="1"/>
  <c r="G1030" i="11" s="1"/>
  <c r="I1029" i="11"/>
  <c r="D422" i="11"/>
  <c r="C421" i="11"/>
  <c r="B422" i="11"/>
  <c r="AV422" i="11" s="1"/>
  <c r="AS420" i="11"/>
  <c r="AT420" i="11"/>
  <c r="AU420" i="11"/>
  <c r="AR420" i="11"/>
  <c r="AK420" i="11"/>
  <c r="AQ420" i="11"/>
  <c r="AM420" i="11"/>
  <c r="AO420" i="11"/>
  <c r="AJ420" i="11"/>
  <c r="AL420" i="11"/>
  <c r="AN420" i="11"/>
  <c r="AP420" i="11"/>
  <c r="D1031" i="11"/>
  <c r="H1030" i="11"/>
  <c r="J1030" i="11"/>
  <c r="C1030" i="11"/>
  <c r="AZ420" i="11" l="1"/>
  <c r="BD420" i="11" s="1"/>
  <c r="BC419" i="11"/>
  <c r="X421" i="11"/>
  <c r="Z421" i="11" s="1"/>
  <c r="AY422" i="11"/>
  <c r="AW422" i="11"/>
  <c r="T422" i="11"/>
  <c r="L422" i="11"/>
  <c r="E422" i="11"/>
  <c r="N422" i="11"/>
  <c r="M422" i="11"/>
  <c r="U422" i="11"/>
  <c r="G422" i="11"/>
  <c r="F422" i="11"/>
  <c r="V422" i="11"/>
  <c r="A425" i="11"/>
  <c r="BA425" i="11" s="1"/>
  <c r="E1030" i="11"/>
  <c r="F1030" i="11" s="1"/>
  <c r="G1031" i="11" s="1"/>
  <c r="I1030" i="11"/>
  <c r="C422" i="11"/>
  <c r="D423" i="11"/>
  <c r="B423" i="11"/>
  <c r="AV423" i="11" s="1"/>
  <c r="AU421" i="11"/>
  <c r="AT421" i="11"/>
  <c r="AS421" i="11"/>
  <c r="AR421" i="11"/>
  <c r="AN421" i="11"/>
  <c r="AP421" i="11"/>
  <c r="AK421" i="11"/>
  <c r="AM421" i="11"/>
  <c r="AO421" i="11"/>
  <c r="AJ421" i="11"/>
  <c r="AL421" i="11"/>
  <c r="AQ421" i="11"/>
  <c r="D1032" i="11"/>
  <c r="H1031" i="11"/>
  <c r="J1031" i="11"/>
  <c r="C1031" i="11"/>
  <c r="BC420" i="11" l="1"/>
  <c r="AZ421" i="11"/>
  <c r="BD421" i="11" s="1"/>
  <c r="X422" i="11"/>
  <c r="Z422" i="11" s="1"/>
  <c r="AY423" i="11"/>
  <c r="AW423" i="11"/>
  <c r="T423" i="11"/>
  <c r="L423" i="11"/>
  <c r="E423" i="11"/>
  <c r="M423" i="11"/>
  <c r="N423" i="11"/>
  <c r="U423" i="11"/>
  <c r="F423" i="11"/>
  <c r="G423" i="11"/>
  <c r="V423" i="11"/>
  <c r="BC421" i="11"/>
  <c r="A426" i="11"/>
  <c r="BA426" i="11" s="1"/>
  <c r="BB425" i="11"/>
  <c r="D424" i="11"/>
  <c r="C423" i="11"/>
  <c r="E1031" i="11"/>
  <c r="F1031" i="11" s="1"/>
  <c r="G1032" i="11" s="1"/>
  <c r="I1031" i="11"/>
  <c r="B424" i="11"/>
  <c r="AV424" i="11" s="1"/>
  <c r="AU422" i="11"/>
  <c r="AR422" i="11"/>
  <c r="AS422" i="11"/>
  <c r="AT422" i="11"/>
  <c r="AK422" i="11"/>
  <c r="AQ422" i="11"/>
  <c r="AN422" i="11"/>
  <c r="AP422" i="11"/>
  <c r="AM422" i="11"/>
  <c r="AO422" i="11"/>
  <c r="AJ422" i="11"/>
  <c r="AL422" i="11"/>
  <c r="D1033" i="11"/>
  <c r="H1032" i="11"/>
  <c r="J1032" i="11"/>
  <c r="C1032" i="11"/>
  <c r="AZ422" i="11" l="1"/>
  <c r="BC422" i="11" s="1"/>
  <c r="X423" i="11"/>
  <c r="Z423" i="11" s="1"/>
  <c r="AY424" i="11"/>
  <c r="AW424" i="11"/>
  <c r="L424" i="11"/>
  <c r="T424" i="11"/>
  <c r="E424" i="11"/>
  <c r="M424" i="11"/>
  <c r="N424" i="11"/>
  <c r="U424" i="11"/>
  <c r="G424" i="11"/>
  <c r="F424" i="11"/>
  <c r="V424" i="11"/>
  <c r="A427" i="11"/>
  <c r="BA427" i="11" s="1"/>
  <c r="BB426" i="11"/>
  <c r="E1032" i="11"/>
  <c r="F1032" i="11" s="1"/>
  <c r="G1033" i="11" s="1"/>
  <c r="I1032" i="11"/>
  <c r="C424" i="11"/>
  <c r="D425" i="11"/>
  <c r="B425" i="11"/>
  <c r="AV425" i="11" s="1"/>
  <c r="AU423" i="11"/>
  <c r="AT423" i="11"/>
  <c r="AS423" i="11"/>
  <c r="AR423" i="11"/>
  <c r="AO423" i="11"/>
  <c r="AJ423" i="11"/>
  <c r="AL423" i="11"/>
  <c r="AK423" i="11"/>
  <c r="AQ423" i="11"/>
  <c r="AM423" i="11"/>
  <c r="AP423" i="11"/>
  <c r="AN423" i="11"/>
  <c r="D1034" i="11"/>
  <c r="H1033" i="11"/>
  <c r="J1033" i="11"/>
  <c r="C1033" i="11"/>
  <c r="BD422" i="11" l="1"/>
  <c r="AZ423" i="11"/>
  <c r="BD423" i="11" s="1"/>
  <c r="X424" i="11"/>
  <c r="Z424" i="11" s="1"/>
  <c r="AY425" i="11"/>
  <c r="AW425" i="11"/>
  <c r="T425" i="11"/>
  <c r="L425" i="11"/>
  <c r="E425" i="11"/>
  <c r="M425" i="11"/>
  <c r="N425" i="11"/>
  <c r="U425" i="11"/>
  <c r="G425" i="11"/>
  <c r="F425" i="11"/>
  <c r="V425" i="11"/>
  <c r="A428" i="11"/>
  <c r="BA428" i="11" s="1"/>
  <c r="BB427" i="11"/>
  <c r="E1033" i="11"/>
  <c r="F1033" i="11" s="1"/>
  <c r="G1034" i="11" s="1"/>
  <c r="I1033" i="11"/>
  <c r="D426" i="11"/>
  <c r="C425" i="11"/>
  <c r="B426" i="11"/>
  <c r="AV426" i="11" s="1"/>
  <c r="AU424" i="11"/>
  <c r="AS424" i="11"/>
  <c r="AR424" i="11"/>
  <c r="AT424" i="11"/>
  <c r="AN424" i="11"/>
  <c r="AP424" i="11"/>
  <c r="AO424" i="11"/>
  <c r="AJ424" i="11"/>
  <c r="AL424" i="11"/>
  <c r="AK424" i="11"/>
  <c r="AQ424" i="11"/>
  <c r="AM424" i="11"/>
  <c r="D1035" i="11"/>
  <c r="H1034" i="11"/>
  <c r="J1034" i="11"/>
  <c r="C1034" i="11"/>
  <c r="BC423" i="11" l="1"/>
  <c r="X425" i="11"/>
  <c r="Z425" i="11" s="1"/>
  <c r="AZ424" i="11"/>
  <c r="AY426" i="11"/>
  <c r="AW426" i="11"/>
  <c r="T426" i="11"/>
  <c r="E426" i="11"/>
  <c r="L426" i="11"/>
  <c r="N426" i="11"/>
  <c r="M426" i="11"/>
  <c r="U426" i="11"/>
  <c r="G426" i="11"/>
  <c r="F426" i="11"/>
  <c r="V426" i="11"/>
  <c r="A429" i="11"/>
  <c r="BB428" i="11"/>
  <c r="C426" i="11"/>
  <c r="D427" i="11"/>
  <c r="E1034" i="11"/>
  <c r="F1034" i="11" s="1"/>
  <c r="G1035" i="11" s="1"/>
  <c r="I1034" i="11"/>
  <c r="B427" i="11"/>
  <c r="AV427" i="11" s="1"/>
  <c r="AT425" i="11"/>
  <c r="AS425" i="11"/>
  <c r="AU425" i="11"/>
  <c r="AR425" i="11"/>
  <c r="AN425" i="11"/>
  <c r="AP425" i="11"/>
  <c r="AM425" i="11"/>
  <c r="AO425" i="11"/>
  <c r="AJ425" i="11"/>
  <c r="AL425" i="11"/>
  <c r="AK425" i="11"/>
  <c r="AQ425" i="11"/>
  <c r="D1036" i="11"/>
  <c r="H1035" i="11"/>
  <c r="J1035" i="11"/>
  <c r="C1035" i="11"/>
  <c r="AZ425" i="11" l="1"/>
  <c r="BC425" i="11" s="1"/>
  <c r="X426" i="11"/>
  <c r="Z426" i="11" s="1"/>
  <c r="AY427" i="11"/>
  <c r="AW427" i="11"/>
  <c r="T427" i="11"/>
  <c r="E427" i="11"/>
  <c r="L427" i="11"/>
  <c r="M427" i="11"/>
  <c r="N427" i="11"/>
  <c r="U427" i="11"/>
  <c r="F427" i="11"/>
  <c r="G427" i="11"/>
  <c r="V427" i="11"/>
  <c r="A430" i="11"/>
  <c r="BA430" i="11" s="1"/>
  <c r="I1035" i="11"/>
  <c r="E1035" i="11"/>
  <c r="F1035" i="11" s="1"/>
  <c r="G1036" i="11" s="1"/>
  <c r="D428" i="11"/>
  <c r="C427" i="11"/>
  <c r="B428" i="11"/>
  <c r="AV428" i="11" s="1"/>
  <c r="AU426" i="11"/>
  <c r="AS426" i="11"/>
  <c r="AR426" i="11"/>
  <c r="AT426" i="11"/>
  <c r="AK426" i="11"/>
  <c r="AQ426" i="11"/>
  <c r="AM426" i="11"/>
  <c r="AN426" i="11"/>
  <c r="AP426" i="11"/>
  <c r="AO426" i="11"/>
  <c r="AJ426" i="11"/>
  <c r="AL426" i="11"/>
  <c r="D1037" i="11"/>
  <c r="H1036" i="11"/>
  <c r="J1036" i="11"/>
  <c r="C1036" i="11"/>
  <c r="BD425" i="11" l="1"/>
  <c r="AZ426" i="11"/>
  <c r="BC426" i="11" s="1"/>
  <c r="X427" i="11"/>
  <c r="Z427" i="11" s="1"/>
  <c r="AY428" i="11"/>
  <c r="AW428" i="11"/>
  <c r="L428" i="11"/>
  <c r="T428" i="11"/>
  <c r="E428" i="11"/>
  <c r="M428" i="11"/>
  <c r="N428" i="11"/>
  <c r="U428" i="11"/>
  <c r="F428" i="11"/>
  <c r="G428" i="11"/>
  <c r="V428" i="11"/>
  <c r="A431" i="11"/>
  <c r="BA431" i="11" s="1"/>
  <c r="BB430" i="11"/>
  <c r="E1036" i="11"/>
  <c r="F1036" i="11" s="1"/>
  <c r="G1037" i="11" s="1"/>
  <c r="I1036" i="11"/>
  <c r="C428" i="11"/>
  <c r="D429" i="11"/>
  <c r="B429" i="11"/>
  <c r="AV429" i="11" s="1"/>
  <c r="AU427" i="11"/>
  <c r="AT427" i="11"/>
  <c r="AS427" i="11"/>
  <c r="AR427" i="11"/>
  <c r="AO427" i="11"/>
  <c r="AJ427" i="11"/>
  <c r="AL427" i="11"/>
  <c r="AK427" i="11"/>
  <c r="AQ427" i="11"/>
  <c r="AP427" i="11"/>
  <c r="AM427" i="11"/>
  <c r="AN427" i="11"/>
  <c r="D1038" i="11"/>
  <c r="H1037" i="11"/>
  <c r="J1037" i="11"/>
  <c r="C1037" i="11"/>
  <c r="BD426" i="11" l="1"/>
  <c r="AZ427" i="11"/>
  <c r="BD427" i="11" s="1"/>
  <c r="X428" i="11"/>
  <c r="Z428" i="11" s="1"/>
  <c r="AY429" i="11"/>
  <c r="AW429" i="11"/>
  <c r="T429" i="11"/>
  <c r="L429" i="11"/>
  <c r="E429" i="11"/>
  <c r="M429" i="11"/>
  <c r="N429" i="11"/>
  <c r="U429" i="11"/>
  <c r="G429" i="11"/>
  <c r="F429" i="11"/>
  <c r="V429" i="11"/>
  <c r="A432" i="11"/>
  <c r="BA432" i="11" s="1"/>
  <c r="BB431" i="11"/>
  <c r="E1037" i="11"/>
  <c r="F1037" i="11" s="1"/>
  <c r="G1038" i="11" s="1"/>
  <c r="I1037" i="11"/>
  <c r="D430" i="11"/>
  <c r="C429" i="11"/>
  <c r="B430" i="11"/>
  <c r="AV430" i="11" s="1"/>
  <c r="AU428" i="11"/>
  <c r="AT428" i="11"/>
  <c r="AR428" i="11"/>
  <c r="AS428" i="11"/>
  <c r="AN428" i="11"/>
  <c r="AP428" i="11"/>
  <c r="AO428" i="11"/>
  <c r="AJ428" i="11"/>
  <c r="AL428" i="11"/>
  <c r="AK428" i="11"/>
  <c r="AQ428" i="11"/>
  <c r="AM428" i="11"/>
  <c r="D1039" i="11"/>
  <c r="H1038" i="11"/>
  <c r="J1038" i="11"/>
  <c r="C1038" i="11"/>
  <c r="BC427" i="11" l="1"/>
  <c r="AZ428" i="11"/>
  <c r="BC428" i="11" s="1"/>
  <c r="X429" i="11"/>
  <c r="Z429" i="11" s="1"/>
  <c r="AY430" i="11"/>
  <c r="AW430" i="11"/>
  <c r="L430" i="11"/>
  <c r="E430" i="11"/>
  <c r="T430" i="11"/>
  <c r="N430" i="11"/>
  <c r="M430" i="11"/>
  <c r="U430" i="11"/>
  <c r="G430" i="11"/>
  <c r="F430" i="11"/>
  <c r="V430" i="11"/>
  <c r="BD428" i="11"/>
  <c r="A433" i="11"/>
  <c r="BA433" i="11" s="1"/>
  <c r="BB432" i="11"/>
  <c r="E1038" i="11"/>
  <c r="F1038" i="11" s="1"/>
  <c r="G1039" i="11" s="1"/>
  <c r="I1038" i="11"/>
  <c r="C430" i="11"/>
  <c r="D431" i="11"/>
  <c r="B431" i="11"/>
  <c r="AV431" i="11" s="1"/>
  <c r="AU429" i="11"/>
  <c r="AT429" i="11"/>
  <c r="AS429" i="11"/>
  <c r="AR429" i="11"/>
  <c r="AN429" i="11"/>
  <c r="AP429" i="11"/>
  <c r="AO429" i="11"/>
  <c r="AJ429" i="11"/>
  <c r="AL429" i="11"/>
  <c r="AK429" i="11"/>
  <c r="AQ429" i="11"/>
  <c r="AM429" i="11"/>
  <c r="D1040" i="11"/>
  <c r="H1039" i="11"/>
  <c r="J1039" i="11"/>
  <c r="C1039" i="11"/>
  <c r="AZ429" i="11" l="1"/>
  <c r="X430" i="11"/>
  <c r="Z430" i="11" s="1"/>
  <c r="AY431" i="11"/>
  <c r="AW431" i="11"/>
  <c r="T431" i="11"/>
  <c r="L431" i="11"/>
  <c r="E431" i="11"/>
  <c r="M431" i="11"/>
  <c r="N431" i="11"/>
  <c r="U431" i="11"/>
  <c r="F431" i="11"/>
  <c r="G431" i="11"/>
  <c r="V431" i="11"/>
  <c r="A434" i="11"/>
  <c r="BA434" i="11" s="1"/>
  <c r="BB433" i="11"/>
  <c r="E1039" i="11"/>
  <c r="F1039" i="11" s="1"/>
  <c r="G1040" i="11" s="1"/>
  <c r="I1039" i="11"/>
  <c r="D432" i="11"/>
  <c r="C431" i="11"/>
  <c r="B432" i="11"/>
  <c r="AV432" i="11" s="1"/>
  <c r="AU430" i="11"/>
  <c r="AR430" i="11"/>
  <c r="AS430" i="11"/>
  <c r="AT430" i="11"/>
  <c r="AO430" i="11"/>
  <c r="AJ430" i="11"/>
  <c r="AQ430" i="11"/>
  <c r="AM430" i="11"/>
  <c r="AN430" i="11"/>
  <c r="AP430" i="11"/>
  <c r="AL430" i="11"/>
  <c r="AK430" i="11"/>
  <c r="D1041" i="11"/>
  <c r="H1040" i="11"/>
  <c r="J1040" i="11"/>
  <c r="C1040" i="11"/>
  <c r="AZ430" i="11" l="1"/>
  <c r="BC430" i="11" s="1"/>
  <c r="X431" i="11"/>
  <c r="Z431" i="11" s="1"/>
  <c r="AY432" i="11"/>
  <c r="AW432" i="11"/>
  <c r="L432" i="11"/>
  <c r="T432" i="11"/>
  <c r="E432" i="11"/>
  <c r="M432" i="11"/>
  <c r="N432" i="11"/>
  <c r="U432" i="11"/>
  <c r="G432" i="11"/>
  <c r="F432" i="11"/>
  <c r="V432" i="11"/>
  <c r="BD430" i="11"/>
  <c r="A435" i="11"/>
  <c r="BA435" i="11" s="1"/>
  <c r="BB434" i="11"/>
  <c r="E1040" i="11"/>
  <c r="F1040" i="11" s="1"/>
  <c r="G1041" i="11" s="1"/>
  <c r="I1040" i="11"/>
  <c r="C432" i="11"/>
  <c r="D433" i="11"/>
  <c r="B433" i="11"/>
  <c r="AV433" i="11" s="1"/>
  <c r="AS431" i="11"/>
  <c r="AT431" i="11"/>
  <c r="AU431" i="11"/>
  <c r="AR431" i="11"/>
  <c r="AN431" i="11"/>
  <c r="AO431" i="11"/>
  <c r="AJ431" i="11"/>
  <c r="AL431" i="11"/>
  <c r="AK431" i="11"/>
  <c r="AQ431" i="11"/>
  <c r="AM431" i="11"/>
  <c r="AP431" i="11"/>
  <c r="D1042" i="11"/>
  <c r="H1041" i="11"/>
  <c r="J1041" i="11"/>
  <c r="C1041" i="11"/>
  <c r="X432" i="11" l="1"/>
  <c r="Z432" i="11" s="1"/>
  <c r="AZ431" i="11"/>
  <c r="BC431" i="11" s="1"/>
  <c r="AY433" i="11"/>
  <c r="AW433" i="11"/>
  <c r="T433" i="11"/>
  <c r="L433" i="11"/>
  <c r="E433" i="11"/>
  <c r="M433" i="11"/>
  <c r="N433" i="11"/>
  <c r="U433" i="11"/>
  <c r="F433" i="11"/>
  <c r="G433" i="11"/>
  <c r="V433" i="11"/>
  <c r="BD431" i="11"/>
  <c r="A436" i="11"/>
  <c r="BA436" i="11" s="1"/>
  <c r="BB435" i="11"/>
  <c r="E1041" i="11"/>
  <c r="F1041" i="11" s="1"/>
  <c r="G1042" i="11" s="1"/>
  <c r="I1041" i="11"/>
  <c r="D434" i="11"/>
  <c r="C433" i="11"/>
  <c r="B434" i="11"/>
  <c r="AV434" i="11" s="1"/>
  <c r="AU432" i="11"/>
  <c r="AT432" i="11"/>
  <c r="AS432" i="11"/>
  <c r="AR432" i="11"/>
  <c r="AK432" i="11"/>
  <c r="AQ432" i="11"/>
  <c r="AM432" i="11"/>
  <c r="AN432" i="11"/>
  <c r="AP432" i="11"/>
  <c r="AL432" i="11"/>
  <c r="AO432" i="11"/>
  <c r="AJ432" i="11"/>
  <c r="D1043" i="11"/>
  <c r="H1042" i="11"/>
  <c r="J1042" i="11"/>
  <c r="C1042" i="11"/>
  <c r="AZ432" i="11" l="1"/>
  <c r="BD432" i="11" s="1"/>
  <c r="X433" i="11"/>
  <c r="Z433" i="11" s="1"/>
  <c r="AY434" i="11"/>
  <c r="AW434" i="11"/>
  <c r="T434" i="11"/>
  <c r="E434" i="11"/>
  <c r="L434" i="11"/>
  <c r="N434" i="11"/>
  <c r="M434" i="11"/>
  <c r="U434" i="11"/>
  <c r="G434" i="11"/>
  <c r="F434" i="11"/>
  <c r="V434" i="11"/>
  <c r="BC432" i="11"/>
  <c r="A437" i="11"/>
  <c r="BA437" i="11" s="1"/>
  <c r="BB436" i="11"/>
  <c r="I1042" i="11"/>
  <c r="E1042" i="11"/>
  <c r="F1042" i="11" s="1"/>
  <c r="G1043" i="11" s="1"/>
  <c r="C434" i="11"/>
  <c r="D435" i="11"/>
  <c r="B435" i="11"/>
  <c r="AV435" i="11" s="1"/>
  <c r="AT433" i="11"/>
  <c r="AS433" i="11"/>
  <c r="AR433" i="11"/>
  <c r="AU433" i="11"/>
  <c r="AO433" i="11"/>
  <c r="AJ433" i="11"/>
  <c r="AL433" i="11"/>
  <c r="AN433" i="11"/>
  <c r="AP433" i="11"/>
  <c r="AK433" i="11"/>
  <c r="AQ433" i="11"/>
  <c r="AM433" i="11"/>
  <c r="D1044" i="11"/>
  <c r="H1043" i="11"/>
  <c r="J1043" i="11"/>
  <c r="C1043" i="11"/>
  <c r="AZ433" i="11" l="1"/>
  <c r="BD433" i="11" s="1"/>
  <c r="X434" i="11"/>
  <c r="Z434" i="11" s="1"/>
  <c r="AY435" i="11"/>
  <c r="AW435" i="11"/>
  <c r="T435" i="11"/>
  <c r="E435" i="11"/>
  <c r="L435" i="11"/>
  <c r="M435" i="11"/>
  <c r="N435" i="11"/>
  <c r="U435" i="11"/>
  <c r="F435" i="11"/>
  <c r="G435" i="11"/>
  <c r="V435" i="11"/>
  <c r="A438" i="11"/>
  <c r="BA438" i="11" s="1"/>
  <c r="BB437" i="11"/>
  <c r="E1043" i="11"/>
  <c r="F1043" i="11" s="1"/>
  <c r="G1044" i="11" s="1"/>
  <c r="I1043" i="11"/>
  <c r="D436" i="11"/>
  <c r="C435" i="11"/>
  <c r="B436" i="11"/>
  <c r="AV436" i="11" s="1"/>
  <c r="AU434" i="11"/>
  <c r="AT434" i="11"/>
  <c r="AR434" i="11"/>
  <c r="AS434" i="11"/>
  <c r="AO434" i="11"/>
  <c r="AJ434" i="11"/>
  <c r="AL434" i="11"/>
  <c r="AK434" i="11"/>
  <c r="AQ434" i="11"/>
  <c r="AN434" i="11"/>
  <c r="AM434" i="11"/>
  <c r="AP434" i="11"/>
  <c r="D1045" i="11"/>
  <c r="H1044" i="11"/>
  <c r="J1044" i="11"/>
  <c r="C1044" i="11"/>
  <c r="BC433" i="11" l="1"/>
  <c r="AZ434" i="11"/>
  <c r="BC434" i="11" s="1"/>
  <c r="X435" i="11"/>
  <c r="Z435" i="11" s="1"/>
  <c r="AY436" i="11"/>
  <c r="AW436" i="11"/>
  <c r="T436" i="11"/>
  <c r="L436" i="11"/>
  <c r="E436" i="11"/>
  <c r="M436" i="11"/>
  <c r="N436" i="11"/>
  <c r="U436" i="11"/>
  <c r="G436" i="11"/>
  <c r="F436" i="11"/>
  <c r="V436" i="11"/>
  <c r="A439" i="11"/>
  <c r="BA439" i="11" s="1"/>
  <c r="BB438" i="11"/>
  <c r="E1044" i="11"/>
  <c r="F1044" i="11" s="1"/>
  <c r="G1045" i="11" s="1"/>
  <c r="I1044" i="11"/>
  <c r="C436" i="11"/>
  <c r="D437" i="11"/>
  <c r="B437" i="11"/>
  <c r="AV437" i="11" s="1"/>
  <c r="AU435" i="11"/>
  <c r="AT435" i="11"/>
  <c r="AS435" i="11"/>
  <c r="AR435" i="11"/>
  <c r="AO435" i="11"/>
  <c r="AJ435" i="11"/>
  <c r="AL435" i="11"/>
  <c r="AM435" i="11"/>
  <c r="AP435" i="11"/>
  <c r="AK435" i="11"/>
  <c r="AQ435" i="11"/>
  <c r="AN435" i="11"/>
  <c r="D1046" i="11"/>
  <c r="H1045" i="11"/>
  <c r="J1045" i="11"/>
  <c r="C1045" i="11"/>
  <c r="BD434" i="11" l="1"/>
  <c r="AZ435" i="11"/>
  <c r="BD435" i="11" s="1"/>
  <c r="X436" i="11"/>
  <c r="Z436" i="11" s="1"/>
  <c r="AY437" i="11"/>
  <c r="AW437" i="11"/>
  <c r="T437" i="11"/>
  <c r="L437" i="11"/>
  <c r="E437" i="11"/>
  <c r="M437" i="11"/>
  <c r="N437" i="11"/>
  <c r="U437" i="11"/>
  <c r="G437" i="11"/>
  <c r="F437" i="11"/>
  <c r="V437" i="11"/>
  <c r="A440" i="11"/>
  <c r="BA440" i="11" s="1"/>
  <c r="BB439" i="11"/>
  <c r="E1045" i="11"/>
  <c r="F1045" i="11" s="1"/>
  <c r="G1046" i="11" s="1"/>
  <c r="I1045" i="11"/>
  <c r="D438" i="11"/>
  <c r="C437" i="11"/>
  <c r="B438" i="11"/>
  <c r="AV438" i="11" s="1"/>
  <c r="AU436" i="11"/>
  <c r="AS436" i="11"/>
  <c r="AR436" i="11"/>
  <c r="AT436" i="11"/>
  <c r="AK436" i="11"/>
  <c r="AQ436" i="11"/>
  <c r="AN436" i="11"/>
  <c r="AP436" i="11"/>
  <c r="AL436" i="11"/>
  <c r="AM436" i="11"/>
  <c r="AO436" i="11"/>
  <c r="AJ436" i="11"/>
  <c r="D1047" i="11"/>
  <c r="H1046" i="11"/>
  <c r="J1046" i="11"/>
  <c r="C1046" i="11"/>
  <c r="BC435" i="11" l="1"/>
  <c r="AZ436" i="11"/>
  <c r="BD436" i="11" s="1"/>
  <c r="X437" i="11"/>
  <c r="Z437" i="11" s="1"/>
  <c r="AY438" i="11"/>
  <c r="AW438" i="11"/>
  <c r="T438" i="11"/>
  <c r="L438" i="11"/>
  <c r="E438" i="11"/>
  <c r="N438" i="11"/>
  <c r="M438" i="11"/>
  <c r="U438" i="11"/>
  <c r="G438" i="11"/>
  <c r="F438" i="11"/>
  <c r="V438" i="11"/>
  <c r="A441" i="11"/>
  <c r="BA441" i="11" s="1"/>
  <c r="BB440" i="11"/>
  <c r="E1046" i="11"/>
  <c r="F1046" i="11" s="1"/>
  <c r="G1047" i="11" s="1"/>
  <c r="I1046" i="11"/>
  <c r="C438" i="11"/>
  <c r="D439" i="11"/>
  <c r="B439" i="11"/>
  <c r="AV439" i="11" s="1"/>
  <c r="AU437" i="11"/>
  <c r="AT437" i="11"/>
  <c r="AS437" i="11"/>
  <c r="AR437" i="11"/>
  <c r="AO437" i="11"/>
  <c r="AJ437" i="11"/>
  <c r="AL437" i="11"/>
  <c r="AK437" i="11"/>
  <c r="AQ437" i="11"/>
  <c r="AN437" i="11"/>
  <c r="AM437" i="11"/>
  <c r="AP437" i="11"/>
  <c r="D1048" i="11"/>
  <c r="H1047" i="11"/>
  <c r="J1047" i="11"/>
  <c r="C1047" i="11"/>
  <c r="BC436" i="11" l="1"/>
  <c r="AZ437" i="11"/>
  <c r="BC437" i="11" s="1"/>
  <c r="X438" i="11"/>
  <c r="Z438" i="11" s="1"/>
  <c r="AY439" i="11"/>
  <c r="AW439" i="11"/>
  <c r="L439" i="11"/>
  <c r="E439" i="11"/>
  <c r="T439" i="11"/>
  <c r="M439" i="11"/>
  <c r="N439" i="11"/>
  <c r="U439" i="11"/>
  <c r="F439" i="11"/>
  <c r="G439" i="11"/>
  <c r="V439" i="11"/>
  <c r="A442" i="11"/>
  <c r="BA442" i="11" s="1"/>
  <c r="BB441" i="11"/>
  <c r="I1047" i="11"/>
  <c r="E1047" i="11"/>
  <c r="F1047" i="11" s="1"/>
  <c r="G1048" i="11" s="1"/>
  <c r="D440" i="11"/>
  <c r="C439" i="11"/>
  <c r="B440" i="11"/>
  <c r="AV440" i="11" s="1"/>
  <c r="AU438" i="11"/>
  <c r="AR438" i="11"/>
  <c r="AS438" i="11"/>
  <c r="AT438" i="11"/>
  <c r="AK438" i="11"/>
  <c r="AQ438" i="11"/>
  <c r="AM438" i="11"/>
  <c r="AO438" i="11"/>
  <c r="AJ438" i="11"/>
  <c r="AN438" i="11"/>
  <c r="AP438" i="11"/>
  <c r="AL438" i="11"/>
  <c r="D1049" i="11"/>
  <c r="H1048" i="11"/>
  <c r="J1048" i="11"/>
  <c r="C1048" i="11"/>
  <c r="BD437" i="11" l="1"/>
  <c r="AZ438" i="11"/>
  <c r="BD438" i="11" s="1"/>
  <c r="X439" i="11"/>
  <c r="Z439" i="11" s="1"/>
  <c r="AY440" i="11"/>
  <c r="AW440" i="11"/>
  <c r="L440" i="11"/>
  <c r="E440" i="11"/>
  <c r="T440" i="11"/>
  <c r="M440" i="11"/>
  <c r="N440" i="11"/>
  <c r="U440" i="11"/>
  <c r="G440" i="11"/>
  <c r="F440" i="11"/>
  <c r="V440" i="11"/>
  <c r="A443" i="11"/>
  <c r="BA443" i="11" s="1"/>
  <c r="BB442" i="11"/>
  <c r="I1048" i="11"/>
  <c r="C440" i="11"/>
  <c r="D441" i="11"/>
  <c r="E1048" i="11"/>
  <c r="F1048" i="11" s="1"/>
  <c r="G1049" i="11" s="1"/>
  <c r="B441" i="11"/>
  <c r="AV441" i="11" s="1"/>
  <c r="AU439" i="11"/>
  <c r="AT439" i="11"/>
  <c r="AR439" i="11"/>
  <c r="AS439" i="11"/>
  <c r="AO439" i="11"/>
  <c r="AJ439" i="11"/>
  <c r="AL439" i="11"/>
  <c r="AK439" i="11"/>
  <c r="AQ439" i="11"/>
  <c r="AM439" i="11"/>
  <c r="AN439" i="11"/>
  <c r="AP439" i="11"/>
  <c r="D1050" i="11"/>
  <c r="H1049" i="11"/>
  <c r="J1049" i="11"/>
  <c r="C1049" i="11"/>
  <c r="BC438" i="11" l="1"/>
  <c r="X440" i="11"/>
  <c r="Z440" i="11" s="1"/>
  <c r="AZ439" i="11"/>
  <c r="BC439" i="11" s="1"/>
  <c r="AY441" i="11"/>
  <c r="AW441" i="11"/>
  <c r="T441" i="11"/>
  <c r="L441" i="11"/>
  <c r="E441" i="11"/>
  <c r="M441" i="11"/>
  <c r="N441" i="11"/>
  <c r="U441" i="11"/>
  <c r="G441" i="11"/>
  <c r="F441" i="11"/>
  <c r="V441" i="11"/>
  <c r="A444" i="11"/>
  <c r="BA444" i="11" s="1"/>
  <c r="BB443" i="11"/>
  <c r="E1049" i="11"/>
  <c r="F1049" i="11" s="1"/>
  <c r="G1050" i="11" s="1"/>
  <c r="I1049" i="11"/>
  <c r="D442" i="11"/>
  <c r="C441" i="11"/>
  <c r="B442" i="11"/>
  <c r="AV442" i="11" s="1"/>
  <c r="AU440" i="11"/>
  <c r="AT440" i="11"/>
  <c r="AR440" i="11"/>
  <c r="AS440" i="11"/>
  <c r="AN440" i="11"/>
  <c r="AP440" i="11"/>
  <c r="AJ440" i="11"/>
  <c r="AM440" i="11"/>
  <c r="AO440" i="11"/>
  <c r="AL440" i="11"/>
  <c r="AK440" i="11"/>
  <c r="AQ440" i="11"/>
  <c r="D1051" i="11"/>
  <c r="H1050" i="11"/>
  <c r="J1050" i="11"/>
  <c r="C1050" i="11"/>
  <c r="AZ440" i="11" l="1"/>
  <c r="BD440" i="11" s="1"/>
  <c r="BD439" i="11"/>
  <c r="X441" i="11"/>
  <c r="Z441" i="11" s="1"/>
  <c r="AY442" i="11"/>
  <c r="AW442" i="11"/>
  <c r="T442" i="11"/>
  <c r="E442" i="11"/>
  <c r="L442" i="11"/>
  <c r="N442" i="11"/>
  <c r="M442" i="11"/>
  <c r="U442" i="11"/>
  <c r="G442" i="11"/>
  <c r="F442" i="11"/>
  <c r="V442" i="11"/>
  <c r="A445" i="11"/>
  <c r="BA445" i="11" s="1"/>
  <c r="BB444" i="11"/>
  <c r="I1050" i="11"/>
  <c r="C442" i="11"/>
  <c r="D443" i="11"/>
  <c r="E1050" i="11"/>
  <c r="F1050" i="11" s="1"/>
  <c r="G1051" i="11" s="1"/>
  <c r="B443" i="11"/>
  <c r="AV443" i="11" s="1"/>
  <c r="AT441" i="11"/>
  <c r="AS441" i="11"/>
  <c r="AU441" i="11"/>
  <c r="AR441" i="11"/>
  <c r="AO441" i="11"/>
  <c r="AJ441" i="11"/>
  <c r="AL441" i="11"/>
  <c r="AK441" i="11"/>
  <c r="AQ441" i="11"/>
  <c r="AN441" i="11"/>
  <c r="AP441" i="11"/>
  <c r="AM441" i="11"/>
  <c r="D1052" i="11"/>
  <c r="H1051" i="11"/>
  <c r="J1051" i="11"/>
  <c r="C1051" i="11"/>
  <c r="BC440" i="11" l="1"/>
  <c r="X442" i="11"/>
  <c r="Z442" i="11" s="1"/>
  <c r="AZ441" i="11"/>
  <c r="BD441" i="11" s="1"/>
  <c r="AY443" i="11"/>
  <c r="AW443" i="11"/>
  <c r="T443" i="11"/>
  <c r="E443" i="11"/>
  <c r="L443" i="11"/>
  <c r="M443" i="11"/>
  <c r="N443" i="11"/>
  <c r="U443" i="11"/>
  <c r="F443" i="11"/>
  <c r="G443" i="11"/>
  <c r="V443" i="11"/>
  <c r="A446" i="11"/>
  <c r="BA446" i="11" s="1"/>
  <c r="BB445" i="11"/>
  <c r="E1051" i="11"/>
  <c r="F1051" i="11" s="1"/>
  <c r="G1052" i="11" s="1"/>
  <c r="I1051" i="11"/>
  <c r="D444" i="11"/>
  <c r="C443" i="11"/>
  <c r="B444" i="11"/>
  <c r="AV444" i="11" s="1"/>
  <c r="AU442" i="11"/>
  <c r="AS442" i="11"/>
  <c r="AR442" i="11"/>
  <c r="AT442" i="11"/>
  <c r="AO442" i="11"/>
  <c r="AJ442" i="11"/>
  <c r="AK442" i="11"/>
  <c r="AQ442" i="11"/>
  <c r="AM442" i="11"/>
  <c r="AN442" i="11"/>
  <c r="AP442" i="11"/>
  <c r="AL442" i="11"/>
  <c r="D1053" i="11"/>
  <c r="H1052" i="11"/>
  <c r="J1052" i="11"/>
  <c r="C1052" i="11"/>
  <c r="BC441" i="11" l="1"/>
  <c r="AZ442" i="11"/>
  <c r="BC442" i="11" s="1"/>
  <c r="X443" i="11"/>
  <c r="Z443" i="11" s="1"/>
  <c r="AY444" i="11"/>
  <c r="AW444" i="11"/>
  <c r="L444" i="11"/>
  <c r="T444" i="11"/>
  <c r="E444" i="11"/>
  <c r="M444" i="11"/>
  <c r="N444" i="11"/>
  <c r="U444" i="11"/>
  <c r="F444" i="11"/>
  <c r="G444" i="11"/>
  <c r="V444" i="11"/>
  <c r="A447" i="11"/>
  <c r="BA447" i="11" s="1"/>
  <c r="BB446" i="11"/>
  <c r="E1052" i="11"/>
  <c r="F1052" i="11" s="1"/>
  <c r="G1053" i="11" s="1"/>
  <c r="C444" i="11"/>
  <c r="D445" i="11"/>
  <c r="I1052" i="11"/>
  <c r="B445" i="11"/>
  <c r="AV445" i="11" s="1"/>
  <c r="AU443" i="11"/>
  <c r="AS443" i="11"/>
  <c r="AR443" i="11"/>
  <c r="AT443" i="11"/>
  <c r="AK443" i="11"/>
  <c r="AQ443" i="11"/>
  <c r="AM443" i="11"/>
  <c r="AN443" i="11"/>
  <c r="AP443" i="11"/>
  <c r="AO443" i="11"/>
  <c r="AJ443" i="11"/>
  <c r="AL443" i="11"/>
  <c r="D1054" i="11"/>
  <c r="H1053" i="11"/>
  <c r="J1053" i="11"/>
  <c r="C1053" i="11"/>
  <c r="BD442" i="11" l="1"/>
  <c r="AZ443" i="11"/>
  <c r="BD443" i="11" s="1"/>
  <c r="X444" i="11"/>
  <c r="Z444" i="11" s="1"/>
  <c r="AY445" i="11"/>
  <c r="AW445" i="11"/>
  <c r="T445" i="11"/>
  <c r="L445" i="11"/>
  <c r="E445" i="11"/>
  <c r="M445" i="11"/>
  <c r="N445" i="11"/>
  <c r="U445" i="11"/>
  <c r="G445" i="11"/>
  <c r="F445" i="11"/>
  <c r="V445" i="11"/>
  <c r="A448" i="11"/>
  <c r="BA448" i="11" s="1"/>
  <c r="BB447" i="11"/>
  <c r="E1053" i="11"/>
  <c r="F1053" i="11" s="1"/>
  <c r="G1054" i="11" s="1"/>
  <c r="I1053" i="11"/>
  <c r="D446" i="11"/>
  <c r="C445" i="11"/>
  <c r="B446" i="11"/>
  <c r="AV446" i="11" s="1"/>
  <c r="AU444" i="11"/>
  <c r="AT444" i="11"/>
  <c r="AS444" i="11"/>
  <c r="AR444" i="11"/>
  <c r="AK444" i="11"/>
  <c r="AM444" i="11"/>
  <c r="AQ444" i="11"/>
  <c r="AN444" i="11"/>
  <c r="AP444" i="11"/>
  <c r="AO444" i="11"/>
  <c r="AJ444" i="11"/>
  <c r="AL444" i="11"/>
  <c r="D1055" i="11"/>
  <c r="H1054" i="11"/>
  <c r="J1054" i="11"/>
  <c r="C1054" i="11"/>
  <c r="BC443" i="11" l="1"/>
  <c r="AZ444" i="11"/>
  <c r="BD444" i="11" s="1"/>
  <c r="X445" i="11"/>
  <c r="Z445" i="11" s="1"/>
  <c r="AY446" i="11"/>
  <c r="AW446" i="11"/>
  <c r="L446" i="11"/>
  <c r="E446" i="11"/>
  <c r="T446" i="11"/>
  <c r="N446" i="11"/>
  <c r="M446" i="11"/>
  <c r="U446" i="11"/>
  <c r="G446" i="11"/>
  <c r="F446" i="11"/>
  <c r="V446" i="11"/>
  <c r="A449" i="11"/>
  <c r="BB448" i="11"/>
  <c r="E1054" i="11"/>
  <c r="F1054" i="11" s="1"/>
  <c r="G1055" i="11" s="1"/>
  <c r="C446" i="11"/>
  <c r="D447" i="11"/>
  <c r="I1054" i="11"/>
  <c r="B447" i="11"/>
  <c r="AV447" i="11" s="1"/>
  <c r="AT445" i="11"/>
  <c r="AS445" i="11"/>
  <c r="AU445" i="11"/>
  <c r="AR445" i="11"/>
  <c r="AM445" i="11"/>
  <c r="AO445" i="11"/>
  <c r="AJ445" i="11"/>
  <c r="AK445" i="11"/>
  <c r="AQ445" i="11"/>
  <c r="AN445" i="11"/>
  <c r="AP445" i="11"/>
  <c r="AL445" i="11"/>
  <c r="D1056" i="11"/>
  <c r="H1055" i="11"/>
  <c r="J1055" i="11"/>
  <c r="C1055" i="11"/>
  <c r="BC444" i="11" l="1"/>
  <c r="AZ445" i="11"/>
  <c r="X446" i="11"/>
  <c r="Z446" i="11" s="1"/>
  <c r="AY447" i="11"/>
  <c r="AW447" i="11"/>
  <c r="T447" i="11"/>
  <c r="L447" i="11"/>
  <c r="E447" i="11"/>
  <c r="M447" i="11"/>
  <c r="N447" i="11"/>
  <c r="U447" i="11"/>
  <c r="F447" i="11"/>
  <c r="G447" i="11"/>
  <c r="V447" i="11"/>
  <c r="BD445" i="11"/>
  <c r="BC445" i="11"/>
  <c r="A450" i="11"/>
  <c r="E1055" i="11"/>
  <c r="F1055" i="11" s="1"/>
  <c r="G1056" i="11" s="1"/>
  <c r="I1055" i="11"/>
  <c r="D448" i="11"/>
  <c r="C447" i="11"/>
  <c r="B448" i="11"/>
  <c r="AV448" i="11" s="1"/>
  <c r="AU446" i="11"/>
  <c r="AR446" i="11"/>
  <c r="AT446" i="11"/>
  <c r="AS446" i="11"/>
  <c r="AO446" i="11"/>
  <c r="AJ446" i="11"/>
  <c r="AL446" i="11"/>
  <c r="AQ446" i="11"/>
  <c r="AK446" i="11"/>
  <c r="AN446" i="11"/>
  <c r="AP446" i="11"/>
  <c r="AM446" i="11"/>
  <c r="D1057" i="11"/>
  <c r="H1056" i="11"/>
  <c r="J1056" i="11"/>
  <c r="C1056" i="11"/>
  <c r="AZ446" i="11" l="1"/>
  <c r="BD446" i="11" s="1"/>
  <c r="X447" i="11"/>
  <c r="Z447" i="11" s="1"/>
  <c r="AY448" i="11"/>
  <c r="AW448" i="11"/>
  <c r="L448" i="11"/>
  <c r="T448" i="11"/>
  <c r="E448" i="11"/>
  <c r="M448" i="11"/>
  <c r="N448" i="11"/>
  <c r="U448" i="11"/>
  <c r="F448" i="11"/>
  <c r="G448" i="11"/>
  <c r="V448" i="11"/>
  <c r="A451" i="11"/>
  <c r="BA451" i="11" s="1"/>
  <c r="E1056" i="11"/>
  <c r="F1056" i="11" s="1"/>
  <c r="G1057" i="11" s="1"/>
  <c r="C448" i="11"/>
  <c r="D449" i="11"/>
  <c r="I1056" i="11"/>
  <c r="B449" i="11"/>
  <c r="AV449" i="11" s="1"/>
  <c r="AU447" i="11"/>
  <c r="AS447" i="11"/>
  <c r="AT447" i="11"/>
  <c r="AR447" i="11"/>
  <c r="AN447" i="11"/>
  <c r="AP447" i="11"/>
  <c r="AO447" i="11"/>
  <c r="AJ447" i="11"/>
  <c r="AL447" i="11"/>
  <c r="AK447" i="11"/>
  <c r="AQ447" i="11"/>
  <c r="AM447" i="11"/>
  <c r="D1058" i="11"/>
  <c r="H1057" i="11"/>
  <c r="J1057" i="11"/>
  <c r="C1057" i="11"/>
  <c r="BC446" i="11" l="1"/>
  <c r="AZ447" i="11"/>
  <c r="BC447" i="11" s="1"/>
  <c r="X448" i="11"/>
  <c r="Z448" i="11" s="1"/>
  <c r="AY449" i="11"/>
  <c r="AW449" i="11"/>
  <c r="T449" i="11"/>
  <c r="L449" i="11"/>
  <c r="E449" i="11"/>
  <c r="M449" i="11"/>
  <c r="N449" i="11"/>
  <c r="U449" i="11"/>
  <c r="F449" i="11"/>
  <c r="G449" i="11"/>
  <c r="V449" i="11"/>
  <c r="BD447" i="11"/>
  <c r="A452" i="11"/>
  <c r="BA452" i="11" s="1"/>
  <c r="BB451" i="11"/>
  <c r="E1057" i="11"/>
  <c r="F1057" i="11" s="1"/>
  <c r="G1058" i="11" s="1"/>
  <c r="I1057" i="11"/>
  <c r="D450" i="11"/>
  <c r="C449" i="11"/>
  <c r="B450" i="11"/>
  <c r="AV450" i="11" s="1"/>
  <c r="AU448" i="11"/>
  <c r="AT448" i="11"/>
  <c r="AS448" i="11"/>
  <c r="AR448" i="11"/>
  <c r="AK448" i="11"/>
  <c r="AQ448" i="11"/>
  <c r="AM448" i="11"/>
  <c r="AJ448" i="11"/>
  <c r="AL448" i="11"/>
  <c r="AN448" i="11"/>
  <c r="AP448" i="11"/>
  <c r="AO448" i="11"/>
  <c r="D1059" i="11"/>
  <c r="H1058" i="11"/>
  <c r="J1058" i="11"/>
  <c r="C1058" i="11"/>
  <c r="AZ448" i="11" l="1"/>
  <c r="X449" i="11"/>
  <c r="Z449" i="11" s="1"/>
  <c r="AY450" i="11"/>
  <c r="AW450" i="11"/>
  <c r="E450" i="11"/>
  <c r="T450" i="11"/>
  <c r="L450" i="11"/>
  <c r="N450" i="11"/>
  <c r="M450" i="11"/>
  <c r="U450" i="11"/>
  <c r="G450" i="11"/>
  <c r="F450" i="11"/>
  <c r="V450" i="11"/>
  <c r="BD448" i="11"/>
  <c r="BC448" i="11"/>
  <c r="A453" i="11"/>
  <c r="BA453" i="11" s="1"/>
  <c r="BB452" i="11"/>
  <c r="I1058" i="11"/>
  <c r="E1058" i="11"/>
  <c r="F1058" i="11" s="1"/>
  <c r="G1059" i="11" s="1"/>
  <c r="C450" i="11"/>
  <c r="D451" i="11"/>
  <c r="B451" i="11"/>
  <c r="AV451" i="11" s="1"/>
  <c r="AT449" i="11"/>
  <c r="AS449" i="11"/>
  <c r="AR449" i="11"/>
  <c r="AU449" i="11"/>
  <c r="AK449" i="11"/>
  <c r="AQ449" i="11"/>
  <c r="AM449" i="11"/>
  <c r="AO449" i="11"/>
  <c r="AJ449" i="11"/>
  <c r="AL449" i="11"/>
  <c r="AN449" i="11"/>
  <c r="AP449" i="11"/>
  <c r="D1060" i="11"/>
  <c r="H1059" i="11"/>
  <c r="J1059" i="11"/>
  <c r="C1059" i="11"/>
  <c r="AZ449" i="11" l="1"/>
  <c r="X450" i="11"/>
  <c r="Z450" i="11" s="1"/>
  <c r="AY451" i="11"/>
  <c r="AW451" i="11"/>
  <c r="E451" i="11"/>
  <c r="T451" i="11"/>
  <c r="L451" i="11"/>
  <c r="M451" i="11"/>
  <c r="N451" i="11"/>
  <c r="U451" i="11"/>
  <c r="F451" i="11"/>
  <c r="G451" i="11"/>
  <c r="V451" i="11"/>
  <c r="A454" i="11"/>
  <c r="BA454" i="11" s="1"/>
  <c r="BB453" i="11"/>
  <c r="I1059" i="11"/>
  <c r="E1059" i="11"/>
  <c r="F1059" i="11" s="1"/>
  <c r="G1060" i="11" s="1"/>
  <c r="D452" i="11"/>
  <c r="C451" i="11"/>
  <c r="B452" i="11"/>
  <c r="AV452" i="11" s="1"/>
  <c r="AU450" i="11"/>
  <c r="AT450" i="11"/>
  <c r="AR450" i="11"/>
  <c r="AS450" i="11"/>
  <c r="AK450" i="11"/>
  <c r="AQ450" i="11"/>
  <c r="AM450" i="11"/>
  <c r="AN450" i="11"/>
  <c r="AP450" i="11"/>
  <c r="AO450" i="11"/>
  <c r="AJ450" i="11"/>
  <c r="AL450" i="11"/>
  <c r="D1061" i="11"/>
  <c r="H1060" i="11"/>
  <c r="J1060" i="11"/>
  <c r="C1060" i="11"/>
  <c r="AZ450" i="11" l="1"/>
  <c r="X451" i="11"/>
  <c r="Z451" i="11" s="1"/>
  <c r="AY452" i="11"/>
  <c r="AW452" i="11"/>
  <c r="T452" i="11"/>
  <c r="L452" i="11"/>
  <c r="E452" i="11"/>
  <c r="M452" i="11"/>
  <c r="N452" i="11"/>
  <c r="U452" i="11"/>
  <c r="G452" i="11"/>
  <c r="F452" i="11"/>
  <c r="V452" i="11"/>
  <c r="A455" i="11"/>
  <c r="BA455" i="11" s="1"/>
  <c r="BB454" i="11"/>
  <c r="E1060" i="11"/>
  <c r="F1060" i="11" s="1"/>
  <c r="G1061" i="11" s="1"/>
  <c r="I1060" i="11"/>
  <c r="C452" i="11"/>
  <c r="D453" i="11"/>
  <c r="B453" i="11"/>
  <c r="AV453" i="11" s="1"/>
  <c r="AU451" i="11"/>
  <c r="AS451" i="11"/>
  <c r="AR451" i="11"/>
  <c r="AT451" i="11"/>
  <c r="AK451" i="11"/>
  <c r="AQ451" i="11"/>
  <c r="AM451" i="11"/>
  <c r="AP451" i="11"/>
  <c r="AO451" i="11"/>
  <c r="AJ451" i="11"/>
  <c r="AL451" i="11"/>
  <c r="AN451" i="11"/>
  <c r="D1062" i="11"/>
  <c r="H1061" i="11"/>
  <c r="J1061" i="11"/>
  <c r="C1061" i="11"/>
  <c r="AZ451" i="11" l="1"/>
  <c r="BD451" i="11" s="1"/>
  <c r="X452" i="11"/>
  <c r="Z452" i="11" s="1"/>
  <c r="AY453" i="11"/>
  <c r="AW453" i="11"/>
  <c r="T453" i="11"/>
  <c r="L453" i="11"/>
  <c r="E453" i="11"/>
  <c r="M453" i="11"/>
  <c r="N453" i="11"/>
  <c r="U453" i="11"/>
  <c r="G453" i="11"/>
  <c r="F453" i="11"/>
  <c r="V453" i="11"/>
  <c r="A456" i="11"/>
  <c r="BA456" i="11" s="1"/>
  <c r="BB455" i="11"/>
  <c r="I1061" i="11"/>
  <c r="D454" i="11"/>
  <c r="C453" i="11"/>
  <c r="E1061" i="11"/>
  <c r="F1061" i="11" s="1"/>
  <c r="G1062" i="11" s="1"/>
  <c r="B454" i="11"/>
  <c r="AV454" i="11" s="1"/>
  <c r="AS452" i="11"/>
  <c r="AR452" i="11"/>
  <c r="AU452" i="11"/>
  <c r="AT452" i="11"/>
  <c r="AO452" i="11"/>
  <c r="AJ452" i="11"/>
  <c r="AL452" i="11"/>
  <c r="AK452" i="11"/>
  <c r="AQ452" i="11"/>
  <c r="AM452" i="11"/>
  <c r="AN452" i="11"/>
  <c r="AP452" i="11"/>
  <c r="D1063" i="11"/>
  <c r="H1062" i="11"/>
  <c r="J1062" i="11"/>
  <c r="C1062" i="11"/>
  <c r="BC451" i="11" l="1"/>
  <c r="X453" i="11"/>
  <c r="Z453" i="11" s="1"/>
  <c r="AZ452" i="11"/>
  <c r="BC452" i="11" s="1"/>
  <c r="AY454" i="11"/>
  <c r="AW454" i="11"/>
  <c r="T454" i="11"/>
  <c r="L454" i="11"/>
  <c r="E454" i="11"/>
  <c r="N454" i="11"/>
  <c r="M454" i="11"/>
  <c r="U454" i="11"/>
  <c r="G454" i="11"/>
  <c r="F454" i="11"/>
  <c r="V454" i="11"/>
  <c r="A457" i="11"/>
  <c r="BA457" i="11" s="1"/>
  <c r="BB456" i="11"/>
  <c r="E1062" i="11"/>
  <c r="F1062" i="11" s="1"/>
  <c r="G1063" i="11" s="1"/>
  <c r="I1062" i="11"/>
  <c r="C454" i="11"/>
  <c r="D455" i="11"/>
  <c r="B455" i="11"/>
  <c r="AV455" i="11" s="1"/>
  <c r="AU453" i="11"/>
  <c r="AT453" i="11"/>
  <c r="AS453" i="11"/>
  <c r="AR453" i="11"/>
  <c r="AM453" i="11"/>
  <c r="AN453" i="11"/>
  <c r="AP453" i="11"/>
  <c r="AK453" i="11"/>
  <c r="AO453" i="11"/>
  <c r="AJ453" i="11"/>
  <c r="AL453" i="11"/>
  <c r="AQ453" i="11"/>
  <c r="D1064" i="11"/>
  <c r="H1063" i="11"/>
  <c r="C1063" i="11"/>
  <c r="J1063" i="11"/>
  <c r="BD452" i="11" l="1"/>
  <c r="X454" i="11"/>
  <c r="Z454" i="11" s="1"/>
  <c r="AZ453" i="11"/>
  <c r="BD453" i="11" s="1"/>
  <c r="AY455" i="11"/>
  <c r="AW455" i="11"/>
  <c r="T455" i="11"/>
  <c r="L455" i="11"/>
  <c r="E455" i="11"/>
  <c r="M455" i="11"/>
  <c r="N455" i="11"/>
  <c r="U455" i="11"/>
  <c r="F455" i="11"/>
  <c r="G455" i="11"/>
  <c r="V455" i="11"/>
  <c r="BC453" i="11"/>
  <c r="A458" i="11"/>
  <c r="BA458" i="11" s="1"/>
  <c r="BB457" i="11"/>
  <c r="E1063" i="11"/>
  <c r="F1063" i="11" s="1"/>
  <c r="G1064" i="11" s="1"/>
  <c r="D456" i="11"/>
  <c r="C455" i="11"/>
  <c r="I1063" i="11"/>
  <c r="B456" i="11"/>
  <c r="AV456" i="11" s="1"/>
  <c r="AU454" i="11"/>
  <c r="AR454" i="11"/>
  <c r="AT454" i="11"/>
  <c r="AS454" i="11"/>
  <c r="AO454" i="11"/>
  <c r="AJ454" i="11"/>
  <c r="AL454" i="11"/>
  <c r="AK454" i="11"/>
  <c r="AP454" i="11"/>
  <c r="AQ454" i="11"/>
  <c r="AM454" i="11"/>
  <c r="AN454" i="11"/>
  <c r="D1065" i="11"/>
  <c r="H1064" i="11"/>
  <c r="C1064" i="11"/>
  <c r="J1064" i="11"/>
  <c r="AZ454" i="11" l="1"/>
  <c r="X455" i="11"/>
  <c r="Z455" i="11" s="1"/>
  <c r="AY456" i="11"/>
  <c r="AW456" i="11"/>
  <c r="L456" i="11"/>
  <c r="T456" i="11"/>
  <c r="E456" i="11"/>
  <c r="M456" i="11"/>
  <c r="N456" i="11"/>
  <c r="U456" i="11"/>
  <c r="G456" i="11"/>
  <c r="F456" i="11"/>
  <c r="V456" i="11"/>
  <c r="BD454" i="11"/>
  <c r="BC454" i="11"/>
  <c r="A459" i="11"/>
  <c r="BA459" i="11" s="1"/>
  <c r="BB458" i="11"/>
  <c r="E1064" i="11"/>
  <c r="F1064" i="11" s="1"/>
  <c r="G1065" i="11" s="1"/>
  <c r="C456" i="11"/>
  <c r="D457" i="11"/>
  <c r="I1064" i="11"/>
  <c r="B457" i="11"/>
  <c r="AV457" i="11" s="1"/>
  <c r="AT455" i="11"/>
  <c r="AU455" i="11"/>
  <c r="AR455" i="11"/>
  <c r="AS455" i="11"/>
  <c r="AO455" i="11"/>
  <c r="AJ455" i="11"/>
  <c r="AL455" i="11"/>
  <c r="AK455" i="11"/>
  <c r="AQ455" i="11"/>
  <c r="AN455" i="11"/>
  <c r="AP455" i="11"/>
  <c r="AM455" i="11"/>
  <c r="D1066" i="11"/>
  <c r="H1065" i="11"/>
  <c r="C1065" i="11"/>
  <c r="J1065" i="11"/>
  <c r="AZ455" i="11" l="1"/>
  <c r="BD455" i="11" s="1"/>
  <c r="X456" i="11"/>
  <c r="Z456" i="11" s="1"/>
  <c r="AY457" i="11"/>
  <c r="AW457" i="11"/>
  <c r="T457" i="11"/>
  <c r="L457" i="11"/>
  <c r="E457" i="11"/>
  <c r="M457" i="11"/>
  <c r="N457" i="11"/>
  <c r="U457" i="11"/>
  <c r="G457" i="11"/>
  <c r="F457" i="11"/>
  <c r="V457" i="11"/>
  <c r="A460" i="11"/>
  <c r="BA460" i="11" s="1"/>
  <c r="BB459" i="11"/>
  <c r="E1065" i="11"/>
  <c r="F1065" i="11" s="1"/>
  <c r="G1066" i="11" s="1"/>
  <c r="D458" i="11"/>
  <c r="C457" i="11"/>
  <c r="I1065" i="11"/>
  <c r="B458" i="11"/>
  <c r="AV458" i="11" s="1"/>
  <c r="AU456" i="11"/>
  <c r="AT456" i="11"/>
  <c r="AS456" i="11"/>
  <c r="AR456" i="11"/>
  <c r="AK456" i="11"/>
  <c r="AQ456" i="11"/>
  <c r="AM456" i="11"/>
  <c r="AN456" i="11"/>
  <c r="AP456" i="11"/>
  <c r="AO456" i="11"/>
  <c r="AJ456" i="11"/>
  <c r="AL456" i="11"/>
  <c r="D1067" i="11"/>
  <c r="H1066" i="11"/>
  <c r="C1066" i="11"/>
  <c r="J1066" i="11"/>
  <c r="BC455" i="11" l="1"/>
  <c r="AZ456" i="11"/>
  <c r="X457" i="11"/>
  <c r="Z457" i="11" s="1"/>
  <c r="AY458" i="11"/>
  <c r="AW458" i="11"/>
  <c r="T458" i="11"/>
  <c r="E458" i="11"/>
  <c r="L458" i="11"/>
  <c r="N458" i="11"/>
  <c r="M458" i="11"/>
  <c r="U458" i="11"/>
  <c r="G458" i="11"/>
  <c r="F458" i="11"/>
  <c r="V458" i="11"/>
  <c r="BD456" i="11"/>
  <c r="BC456" i="11"/>
  <c r="A461" i="11"/>
  <c r="BA461" i="11" s="1"/>
  <c r="BB460" i="11"/>
  <c r="E1066" i="11"/>
  <c r="F1066" i="11" s="1"/>
  <c r="G1067" i="11" s="1"/>
  <c r="I1066" i="11"/>
  <c r="C458" i="11"/>
  <c r="D459" i="11"/>
  <c r="B459" i="11"/>
  <c r="AV459" i="11" s="1"/>
  <c r="AU457" i="11"/>
  <c r="AT457" i="11"/>
  <c r="AS457" i="11"/>
  <c r="AR457" i="11"/>
  <c r="AN457" i="11"/>
  <c r="AP457" i="11"/>
  <c r="AO457" i="11"/>
  <c r="AJ457" i="11"/>
  <c r="AL457" i="11"/>
  <c r="AK457" i="11"/>
  <c r="AQ457" i="11"/>
  <c r="AM457" i="11"/>
  <c r="D1068" i="11"/>
  <c r="H1067" i="11"/>
  <c r="C1067" i="11"/>
  <c r="J1067" i="11"/>
  <c r="AZ457" i="11" l="1"/>
  <c r="BC457" i="11" s="1"/>
  <c r="X458" i="11"/>
  <c r="Z458" i="11" s="1"/>
  <c r="AY459" i="11"/>
  <c r="AW459" i="11"/>
  <c r="T459" i="11"/>
  <c r="E459" i="11"/>
  <c r="L459" i="11"/>
  <c r="M459" i="11"/>
  <c r="N459" i="11"/>
  <c r="U459" i="11"/>
  <c r="F459" i="11"/>
  <c r="G459" i="11"/>
  <c r="V459" i="11"/>
  <c r="A462" i="11"/>
  <c r="BA462" i="11" s="1"/>
  <c r="BB461" i="11"/>
  <c r="E1067" i="11"/>
  <c r="F1067" i="11" s="1"/>
  <c r="G1068" i="11" s="1"/>
  <c r="D460" i="11"/>
  <c r="C459" i="11"/>
  <c r="I1067" i="11"/>
  <c r="B460" i="11"/>
  <c r="AV460" i="11" s="1"/>
  <c r="AU458" i="11"/>
  <c r="AS458" i="11"/>
  <c r="AR458" i="11"/>
  <c r="AT458" i="11"/>
  <c r="AO458" i="11"/>
  <c r="AJ458" i="11"/>
  <c r="AL458" i="11"/>
  <c r="AM458" i="11"/>
  <c r="AP458" i="11"/>
  <c r="AK458" i="11"/>
  <c r="AQ458" i="11"/>
  <c r="AN458" i="11"/>
  <c r="D1069" i="11"/>
  <c r="H1068" i="11"/>
  <c r="C1068" i="11"/>
  <c r="J1068" i="11"/>
  <c r="BD457" i="11" l="1"/>
  <c r="X459" i="11"/>
  <c r="Z459" i="11" s="1"/>
  <c r="AZ458" i="11"/>
  <c r="BC458" i="11" s="1"/>
  <c r="AY460" i="11"/>
  <c r="AW460" i="11"/>
  <c r="L460" i="11"/>
  <c r="E460" i="11"/>
  <c r="T460" i="11"/>
  <c r="M460" i="11"/>
  <c r="N460" i="11"/>
  <c r="U460" i="11"/>
  <c r="F460" i="11"/>
  <c r="G460" i="11"/>
  <c r="V460" i="11"/>
  <c r="A463" i="11"/>
  <c r="BA463" i="11" s="1"/>
  <c r="BB462" i="11"/>
  <c r="E1068" i="11"/>
  <c r="F1068" i="11" s="1"/>
  <c r="G1069" i="11" s="1"/>
  <c r="I1068" i="11"/>
  <c r="C460" i="11"/>
  <c r="D461" i="11"/>
  <c r="B461" i="11"/>
  <c r="AV461" i="11" s="1"/>
  <c r="AU459" i="11"/>
  <c r="AS459" i="11"/>
  <c r="AT459" i="11"/>
  <c r="AR459" i="11"/>
  <c r="AN459" i="11"/>
  <c r="AP459" i="11"/>
  <c r="AM459" i="11"/>
  <c r="AO459" i="11"/>
  <c r="AJ459" i="11"/>
  <c r="AL459" i="11"/>
  <c r="AK459" i="11"/>
  <c r="AQ459" i="11"/>
  <c r="D1070" i="11"/>
  <c r="H1069" i="11"/>
  <c r="C1069" i="11"/>
  <c r="J1069" i="11"/>
  <c r="BD458" i="11" l="1"/>
  <c r="AZ459" i="11"/>
  <c r="BC459" i="11" s="1"/>
  <c r="X460" i="11"/>
  <c r="Z460" i="11" s="1"/>
  <c r="AY461" i="11"/>
  <c r="AW461" i="11"/>
  <c r="T461" i="11"/>
  <c r="L461" i="11"/>
  <c r="E461" i="11"/>
  <c r="M461" i="11"/>
  <c r="N461" i="11"/>
  <c r="U461" i="11"/>
  <c r="G461" i="11"/>
  <c r="F461" i="11"/>
  <c r="V461" i="11"/>
  <c r="A464" i="11"/>
  <c r="BA464" i="11" s="1"/>
  <c r="BB463" i="11"/>
  <c r="E1069" i="11"/>
  <c r="F1069" i="11" s="1"/>
  <c r="G1070" i="11" s="1"/>
  <c r="D462" i="11"/>
  <c r="C461" i="11"/>
  <c r="I1069" i="11"/>
  <c r="B462" i="11"/>
  <c r="AV462" i="11" s="1"/>
  <c r="AT460" i="11"/>
  <c r="AR460" i="11"/>
  <c r="AU460" i="11"/>
  <c r="AS460" i="11"/>
  <c r="AN460" i="11"/>
  <c r="AP460" i="11"/>
  <c r="AO460" i="11"/>
  <c r="AJ460" i="11"/>
  <c r="AL460" i="11"/>
  <c r="AK460" i="11"/>
  <c r="AQ460" i="11"/>
  <c r="AM460" i="11"/>
  <c r="D1071" i="11"/>
  <c r="H1070" i="11"/>
  <c r="C1070" i="11"/>
  <c r="J1070" i="11"/>
  <c r="BD459" i="11" l="1"/>
  <c r="AZ460" i="11"/>
  <c r="BC460" i="11" s="1"/>
  <c r="X461" i="11"/>
  <c r="Z461" i="11" s="1"/>
  <c r="AY462" i="11"/>
  <c r="AW462" i="11"/>
  <c r="L462" i="11"/>
  <c r="E462" i="11"/>
  <c r="T462" i="11"/>
  <c r="M462" i="11"/>
  <c r="N462" i="11"/>
  <c r="U462" i="11"/>
  <c r="G462" i="11"/>
  <c r="F462" i="11"/>
  <c r="V462" i="11"/>
  <c r="A465" i="11"/>
  <c r="BA465" i="11" s="1"/>
  <c r="BB464" i="11"/>
  <c r="E1070" i="11"/>
  <c r="F1070" i="11" s="1"/>
  <c r="G1071" i="11" s="1"/>
  <c r="I1070" i="11"/>
  <c r="C462" i="11"/>
  <c r="D463" i="11"/>
  <c r="B463" i="11"/>
  <c r="AV463" i="11" s="1"/>
  <c r="AT461" i="11"/>
  <c r="AS461" i="11"/>
  <c r="AU461" i="11"/>
  <c r="AR461" i="11"/>
  <c r="AO461" i="11"/>
  <c r="AJ461" i="11"/>
  <c r="AL461" i="11"/>
  <c r="AK461" i="11"/>
  <c r="AQ461" i="11"/>
  <c r="AP461" i="11"/>
  <c r="AM461" i="11"/>
  <c r="AN461" i="11"/>
  <c r="D1072" i="11"/>
  <c r="H1071" i="11"/>
  <c r="C1071" i="11"/>
  <c r="J1071" i="11"/>
  <c r="BD460" i="11" l="1"/>
  <c r="AZ461" i="11"/>
  <c r="BD461" i="11" s="1"/>
  <c r="X462" i="11"/>
  <c r="Z462" i="11" s="1"/>
  <c r="AY463" i="11"/>
  <c r="AW463" i="11"/>
  <c r="T463" i="11"/>
  <c r="L463" i="11"/>
  <c r="E463" i="11"/>
  <c r="M463" i="11"/>
  <c r="N463" i="11"/>
  <c r="U463" i="11"/>
  <c r="F463" i="11"/>
  <c r="G463" i="11"/>
  <c r="V463" i="11"/>
  <c r="A466" i="11"/>
  <c r="BA466" i="11" s="1"/>
  <c r="BB465" i="11"/>
  <c r="I1071" i="11"/>
  <c r="D464" i="11"/>
  <c r="C463" i="11"/>
  <c r="E1071" i="11"/>
  <c r="F1071" i="11" s="1"/>
  <c r="G1072" i="11" s="1"/>
  <c r="B464" i="11"/>
  <c r="AV464" i="11" s="1"/>
  <c r="AU462" i="11"/>
  <c r="AR462" i="11"/>
  <c r="AT462" i="11"/>
  <c r="AS462" i="11"/>
  <c r="AM462" i="11"/>
  <c r="AN462" i="11"/>
  <c r="AP462" i="11"/>
  <c r="AO462" i="11"/>
  <c r="AJ462" i="11"/>
  <c r="AL462" i="11"/>
  <c r="AK462" i="11"/>
  <c r="AQ462" i="11"/>
  <c r="D1073" i="11"/>
  <c r="H1072" i="11"/>
  <c r="C1072" i="11"/>
  <c r="J1072" i="11"/>
  <c r="BC461" i="11" l="1"/>
  <c r="AZ462" i="11"/>
  <c r="BC462" i="11" s="1"/>
  <c r="X463" i="11"/>
  <c r="Z463" i="11" s="1"/>
  <c r="AY464" i="11"/>
  <c r="AW464" i="11"/>
  <c r="L464" i="11"/>
  <c r="T464" i="11"/>
  <c r="E464" i="11"/>
  <c r="N464" i="11"/>
  <c r="M464" i="11"/>
  <c r="U464" i="11"/>
  <c r="G464" i="11"/>
  <c r="F464" i="11"/>
  <c r="V464" i="11"/>
  <c r="BD462" i="11"/>
  <c r="A467" i="11"/>
  <c r="BA467" i="11" s="1"/>
  <c r="BB466" i="11"/>
  <c r="I1072" i="11"/>
  <c r="E1072" i="11"/>
  <c r="F1072" i="11" s="1"/>
  <c r="G1073" i="11" s="1"/>
  <c r="C464" i="11"/>
  <c r="D465" i="11"/>
  <c r="B465" i="11"/>
  <c r="AV465" i="11" s="1"/>
  <c r="AS463" i="11"/>
  <c r="AU463" i="11"/>
  <c r="AT463" i="11"/>
  <c r="AR463" i="11"/>
  <c r="AN463" i="11"/>
  <c r="AO463" i="11"/>
  <c r="AJ463" i="11"/>
  <c r="AL463" i="11"/>
  <c r="AK463" i="11"/>
  <c r="AQ463" i="11"/>
  <c r="AM463" i="11"/>
  <c r="AP463" i="11"/>
  <c r="D1074" i="11"/>
  <c r="H1073" i="11"/>
  <c r="C1073" i="11"/>
  <c r="J1073" i="11"/>
  <c r="X464" i="11" l="1"/>
  <c r="Z464" i="11" s="1"/>
  <c r="AZ463" i="11"/>
  <c r="BC463" i="11" s="1"/>
  <c r="AY465" i="11"/>
  <c r="AW465" i="11"/>
  <c r="T465" i="11"/>
  <c r="L465" i="11"/>
  <c r="E465" i="11"/>
  <c r="N465" i="11"/>
  <c r="M465" i="11"/>
  <c r="U465" i="11"/>
  <c r="F465" i="11"/>
  <c r="G465" i="11"/>
  <c r="V465" i="11"/>
  <c r="A468" i="11"/>
  <c r="BA468" i="11" s="1"/>
  <c r="BB467" i="11"/>
  <c r="E1073" i="11"/>
  <c r="F1073" i="11" s="1"/>
  <c r="G1074" i="11" s="1"/>
  <c r="D466" i="11"/>
  <c r="C465" i="11"/>
  <c r="I1073" i="11"/>
  <c r="B466" i="11"/>
  <c r="AV466" i="11" s="1"/>
  <c r="AU464" i="11"/>
  <c r="AS464" i="11"/>
  <c r="AR464" i="11"/>
  <c r="AT464" i="11"/>
  <c r="AK464" i="11"/>
  <c r="AQ464" i="11"/>
  <c r="AN464" i="11"/>
  <c r="AO464" i="11"/>
  <c r="AJ464" i="11"/>
  <c r="AL464" i="11"/>
  <c r="AM464" i="11"/>
  <c r="AP464" i="11"/>
  <c r="D1075" i="11"/>
  <c r="H1074" i="11"/>
  <c r="C1074" i="11"/>
  <c r="J1074" i="11"/>
  <c r="BD463" i="11" l="1"/>
  <c r="AZ464" i="11"/>
  <c r="BC464" i="11" s="1"/>
  <c r="X465" i="11"/>
  <c r="Z465" i="11" s="1"/>
  <c r="AY466" i="11"/>
  <c r="AW466" i="11"/>
  <c r="T466" i="11"/>
  <c r="E466" i="11"/>
  <c r="L466" i="11"/>
  <c r="M466" i="11"/>
  <c r="N466" i="11"/>
  <c r="U466" i="11"/>
  <c r="G466" i="11"/>
  <c r="F466" i="11"/>
  <c r="V466" i="11"/>
  <c r="A469" i="11"/>
  <c r="BA469" i="11" s="1"/>
  <c r="BB468" i="11"/>
  <c r="I1074" i="11"/>
  <c r="E1074" i="11"/>
  <c r="F1074" i="11" s="1"/>
  <c r="G1075" i="11" s="1"/>
  <c r="C466" i="11"/>
  <c r="D467" i="11"/>
  <c r="B467" i="11"/>
  <c r="AV467" i="11" s="1"/>
  <c r="AU465" i="11"/>
  <c r="AT465" i="11"/>
  <c r="AS465" i="11"/>
  <c r="AR465" i="11"/>
  <c r="AM465" i="11"/>
  <c r="AN465" i="11"/>
  <c r="AP465" i="11"/>
  <c r="AO465" i="11"/>
  <c r="AJ465" i="11"/>
  <c r="AL465" i="11"/>
  <c r="AK465" i="11"/>
  <c r="AQ465" i="11"/>
  <c r="D1076" i="11"/>
  <c r="H1075" i="11"/>
  <c r="C1075" i="11"/>
  <c r="J1075" i="11"/>
  <c r="BD464" i="11" l="1"/>
  <c r="AZ465" i="11"/>
  <c r="BD465" i="11" s="1"/>
  <c r="X466" i="11"/>
  <c r="Z466" i="11" s="1"/>
  <c r="AY467" i="11"/>
  <c r="AW467" i="11"/>
  <c r="T467" i="11"/>
  <c r="E467" i="11"/>
  <c r="L467" i="11"/>
  <c r="M467" i="11"/>
  <c r="N467" i="11"/>
  <c r="U467" i="11"/>
  <c r="F467" i="11"/>
  <c r="G467" i="11"/>
  <c r="V467" i="11"/>
  <c r="BC465" i="11"/>
  <c r="A470" i="11"/>
  <c r="BA470" i="11" s="1"/>
  <c r="BB469" i="11"/>
  <c r="E1075" i="11"/>
  <c r="F1075" i="11" s="1"/>
  <c r="G1076" i="11" s="1"/>
  <c r="D468" i="11"/>
  <c r="C467" i="11"/>
  <c r="I1075" i="11"/>
  <c r="B468" i="11"/>
  <c r="AV468" i="11" s="1"/>
  <c r="AU466" i="11"/>
  <c r="AT466" i="11"/>
  <c r="AR466" i="11"/>
  <c r="AS466" i="11"/>
  <c r="AN466" i="11"/>
  <c r="AP466" i="11"/>
  <c r="AO466" i="11"/>
  <c r="AJ466" i="11"/>
  <c r="AL466" i="11"/>
  <c r="AK466" i="11"/>
  <c r="AQ466" i="11"/>
  <c r="AM466" i="11"/>
  <c r="D1077" i="11"/>
  <c r="H1076" i="11"/>
  <c r="C1076" i="11"/>
  <c r="J1076" i="11"/>
  <c r="AZ466" i="11" l="1"/>
  <c r="BC466" i="11" s="1"/>
  <c r="X467" i="11"/>
  <c r="Z467" i="11" s="1"/>
  <c r="AY468" i="11"/>
  <c r="AW468" i="11"/>
  <c r="T468" i="11"/>
  <c r="L468" i="11"/>
  <c r="E468" i="11"/>
  <c r="N468" i="11"/>
  <c r="M468" i="11"/>
  <c r="U468" i="11"/>
  <c r="G468" i="11"/>
  <c r="F468" i="11"/>
  <c r="V468" i="11"/>
  <c r="BD466" i="11"/>
  <c r="A471" i="11"/>
  <c r="BA471" i="11" s="1"/>
  <c r="BB470" i="11"/>
  <c r="E1076" i="11"/>
  <c r="F1076" i="11" s="1"/>
  <c r="G1077" i="11" s="1"/>
  <c r="I1076" i="11"/>
  <c r="C468" i="11"/>
  <c r="D469" i="11"/>
  <c r="B469" i="11"/>
  <c r="AV469" i="11" s="1"/>
  <c r="AU467" i="11"/>
  <c r="AS467" i="11"/>
  <c r="AR467" i="11"/>
  <c r="AT467" i="11"/>
  <c r="AN467" i="11"/>
  <c r="AP467" i="11"/>
  <c r="AK467" i="11"/>
  <c r="AQ467" i="11"/>
  <c r="AM467" i="11"/>
  <c r="AO467" i="11"/>
  <c r="AJ467" i="11"/>
  <c r="AL467" i="11"/>
  <c r="D1078" i="11"/>
  <c r="H1077" i="11"/>
  <c r="C1077" i="11"/>
  <c r="J1077" i="11"/>
  <c r="AZ467" i="11" l="1"/>
  <c r="BD467" i="11" s="1"/>
  <c r="X468" i="11"/>
  <c r="Z468" i="11" s="1"/>
  <c r="AY469" i="11"/>
  <c r="AW469" i="11"/>
  <c r="T469" i="11"/>
  <c r="L469" i="11"/>
  <c r="E469" i="11"/>
  <c r="M469" i="11"/>
  <c r="N469" i="11"/>
  <c r="U469" i="11"/>
  <c r="F469" i="11"/>
  <c r="G469" i="11"/>
  <c r="V469" i="11"/>
  <c r="BC467" i="11"/>
  <c r="A472" i="11"/>
  <c r="BA472" i="11" s="1"/>
  <c r="BB471" i="11"/>
  <c r="E1077" i="11"/>
  <c r="F1077" i="11" s="1"/>
  <c r="G1078" i="11" s="1"/>
  <c r="D470" i="11"/>
  <c r="C469" i="11"/>
  <c r="I1077" i="11"/>
  <c r="B470" i="11"/>
  <c r="AV470" i="11" s="1"/>
  <c r="AS468" i="11"/>
  <c r="AT468" i="11"/>
  <c r="AU468" i="11"/>
  <c r="AR468" i="11"/>
  <c r="AO468" i="11"/>
  <c r="AJ468" i="11"/>
  <c r="AL468" i="11"/>
  <c r="AK468" i="11"/>
  <c r="AQ468" i="11"/>
  <c r="AM468" i="11"/>
  <c r="AN468" i="11"/>
  <c r="AP468" i="11"/>
  <c r="D1079" i="11"/>
  <c r="H1078" i="11"/>
  <c r="C1078" i="11"/>
  <c r="J1078" i="11"/>
  <c r="X469" i="11" l="1"/>
  <c r="Z469" i="11" s="1"/>
  <c r="AZ468" i="11"/>
  <c r="BD468" i="11" s="1"/>
  <c r="AY470" i="11"/>
  <c r="AW470" i="11"/>
  <c r="T470" i="11"/>
  <c r="L470" i="11"/>
  <c r="E470" i="11"/>
  <c r="M470" i="11"/>
  <c r="N470" i="11"/>
  <c r="U470" i="11"/>
  <c r="G470" i="11"/>
  <c r="F470" i="11"/>
  <c r="V470" i="11"/>
  <c r="BC468" i="11"/>
  <c r="A473" i="11"/>
  <c r="BA473" i="11" s="1"/>
  <c r="BB472" i="11"/>
  <c r="E1078" i="11"/>
  <c r="F1078" i="11" s="1"/>
  <c r="G1079" i="11" s="1"/>
  <c r="I1078" i="11"/>
  <c r="C470" i="11"/>
  <c r="D471" i="11"/>
  <c r="B471" i="11"/>
  <c r="AV471" i="11" s="1"/>
  <c r="AU469" i="11"/>
  <c r="AT469" i="11"/>
  <c r="AS469" i="11"/>
  <c r="AR469" i="11"/>
  <c r="AN469" i="11"/>
  <c r="AP469" i="11"/>
  <c r="AJ469" i="11"/>
  <c r="AK469" i="11"/>
  <c r="AQ469" i="11"/>
  <c r="AO469" i="11"/>
  <c r="AL469" i="11"/>
  <c r="AM469" i="11"/>
  <c r="D1080" i="11"/>
  <c r="H1079" i="11"/>
  <c r="C1079" i="11"/>
  <c r="J1079" i="11"/>
  <c r="AZ469" i="11" l="1"/>
  <c r="BC469" i="11" s="1"/>
  <c r="X470" i="11"/>
  <c r="Z470" i="11" s="1"/>
  <c r="AY471" i="11"/>
  <c r="AW471" i="11"/>
  <c r="L471" i="11"/>
  <c r="E471" i="11"/>
  <c r="T471" i="11"/>
  <c r="M471" i="11"/>
  <c r="N471" i="11"/>
  <c r="U471" i="11"/>
  <c r="F471" i="11"/>
  <c r="G471" i="11"/>
  <c r="V471" i="11"/>
  <c r="BD469" i="11"/>
  <c r="A474" i="11"/>
  <c r="BA474" i="11" s="1"/>
  <c r="BB473" i="11"/>
  <c r="E1079" i="11"/>
  <c r="F1079" i="11" s="1"/>
  <c r="G1080" i="11" s="1"/>
  <c r="I1079" i="11"/>
  <c r="D472" i="11"/>
  <c r="C471" i="11"/>
  <c r="B472" i="11"/>
  <c r="AV472" i="11" s="1"/>
  <c r="AU470" i="11"/>
  <c r="AR470" i="11"/>
  <c r="AT470" i="11"/>
  <c r="AS470" i="11"/>
  <c r="AN470" i="11"/>
  <c r="AP470" i="11"/>
  <c r="AO470" i="11"/>
  <c r="AJ470" i="11"/>
  <c r="AL470" i="11"/>
  <c r="AK470" i="11"/>
  <c r="AQ470" i="11"/>
  <c r="AM470" i="11"/>
  <c r="D1081" i="11"/>
  <c r="H1080" i="11"/>
  <c r="C1080" i="11"/>
  <c r="J1080" i="11"/>
  <c r="AZ470" i="11" l="1"/>
  <c r="BD470" i="11" s="1"/>
  <c r="X471" i="11"/>
  <c r="Z471" i="11" s="1"/>
  <c r="AY472" i="11"/>
  <c r="AW472" i="11"/>
  <c r="L472" i="11"/>
  <c r="E472" i="11"/>
  <c r="T472" i="11"/>
  <c r="N472" i="11"/>
  <c r="M472" i="11"/>
  <c r="U472" i="11"/>
  <c r="G472" i="11"/>
  <c r="F472" i="11"/>
  <c r="V472" i="11"/>
  <c r="A475" i="11"/>
  <c r="BA475" i="11" s="1"/>
  <c r="BB474" i="11"/>
  <c r="E1080" i="11"/>
  <c r="F1080" i="11" s="1"/>
  <c r="G1081" i="11" s="1"/>
  <c r="I1080" i="11"/>
  <c r="C472" i="11"/>
  <c r="D473" i="11"/>
  <c r="B473" i="11"/>
  <c r="AV473" i="11" s="1"/>
  <c r="AT471" i="11"/>
  <c r="AR471" i="11"/>
  <c r="AS471" i="11"/>
  <c r="AU471" i="11"/>
  <c r="AK471" i="11"/>
  <c r="AQ471" i="11"/>
  <c r="AM471" i="11"/>
  <c r="AN471" i="11"/>
  <c r="AP471" i="11"/>
  <c r="AO471" i="11"/>
  <c r="AJ471" i="11"/>
  <c r="AL471" i="11"/>
  <c r="D1082" i="11"/>
  <c r="H1081" i="11"/>
  <c r="C1081" i="11"/>
  <c r="J1081" i="11"/>
  <c r="BC470" i="11" l="1"/>
  <c r="AZ471" i="11"/>
  <c r="X472" i="11"/>
  <c r="Z472" i="11" s="1"/>
  <c r="AY473" i="11"/>
  <c r="AW473" i="11"/>
  <c r="T473" i="11"/>
  <c r="L473" i="11"/>
  <c r="E473" i="11"/>
  <c r="N473" i="11"/>
  <c r="M473" i="11"/>
  <c r="U473" i="11"/>
  <c r="G473" i="11"/>
  <c r="F473" i="11"/>
  <c r="V473" i="11"/>
  <c r="BD471" i="11"/>
  <c r="BC471" i="11"/>
  <c r="A476" i="11"/>
  <c r="BA476" i="11" s="1"/>
  <c r="BB475" i="11"/>
  <c r="E1081" i="11"/>
  <c r="F1081" i="11" s="1"/>
  <c r="G1082" i="11" s="1"/>
  <c r="I1081" i="11"/>
  <c r="D474" i="11"/>
  <c r="C473" i="11"/>
  <c r="B474" i="11"/>
  <c r="AV474" i="11" s="1"/>
  <c r="AU472" i="11"/>
  <c r="AS472" i="11"/>
  <c r="AR472" i="11"/>
  <c r="AT472" i="11"/>
  <c r="AK472" i="11"/>
  <c r="AQ472" i="11"/>
  <c r="AM472" i="11"/>
  <c r="AO472" i="11"/>
  <c r="AJ472" i="11"/>
  <c r="AL472" i="11"/>
  <c r="AN472" i="11"/>
  <c r="AP472" i="11"/>
  <c r="D1083" i="11"/>
  <c r="H1082" i="11"/>
  <c r="C1082" i="11"/>
  <c r="J1082" i="11"/>
  <c r="AZ472" i="11" l="1"/>
  <c r="BC472" i="11" s="1"/>
  <c r="X473" i="11"/>
  <c r="Z473" i="11" s="1"/>
  <c r="AY474" i="11"/>
  <c r="AW474" i="11"/>
  <c r="T474" i="11"/>
  <c r="E474" i="11"/>
  <c r="L474" i="11"/>
  <c r="M474" i="11"/>
  <c r="N474" i="11"/>
  <c r="U474" i="11"/>
  <c r="G474" i="11"/>
  <c r="F474" i="11"/>
  <c r="V474" i="11"/>
  <c r="A477" i="11"/>
  <c r="BA477" i="11" s="1"/>
  <c r="BB476" i="11"/>
  <c r="E1082" i="11"/>
  <c r="F1082" i="11" s="1"/>
  <c r="G1083" i="11" s="1"/>
  <c r="I1082" i="11"/>
  <c r="C474" i="11"/>
  <c r="D475" i="11"/>
  <c r="B475" i="11"/>
  <c r="AV475" i="11" s="1"/>
  <c r="AT473" i="11"/>
  <c r="AS473" i="11"/>
  <c r="AU473" i="11"/>
  <c r="AR473" i="11"/>
  <c r="AO473" i="11"/>
  <c r="AJ473" i="11"/>
  <c r="AL473" i="11"/>
  <c r="AN473" i="11"/>
  <c r="AP473" i="11"/>
  <c r="AK473" i="11"/>
  <c r="AQ473" i="11"/>
  <c r="AM473" i="11"/>
  <c r="D1084" i="11"/>
  <c r="H1083" i="11"/>
  <c r="C1083" i="11"/>
  <c r="J1083" i="11"/>
  <c r="BD472" i="11" l="1"/>
  <c r="AZ473" i="11"/>
  <c r="BD473" i="11" s="1"/>
  <c r="X474" i="11"/>
  <c r="Z474" i="11" s="1"/>
  <c r="AY475" i="11"/>
  <c r="AW475" i="11"/>
  <c r="T475" i="11"/>
  <c r="E475" i="11"/>
  <c r="L475" i="11"/>
  <c r="M475" i="11"/>
  <c r="N475" i="11"/>
  <c r="U475" i="11"/>
  <c r="F475" i="11"/>
  <c r="G475" i="11"/>
  <c r="V475" i="11"/>
  <c r="BC473" i="11"/>
  <c r="A478" i="11"/>
  <c r="BA478" i="11" s="1"/>
  <c r="BB477" i="11"/>
  <c r="E1083" i="11"/>
  <c r="F1083" i="11" s="1"/>
  <c r="G1084" i="11" s="1"/>
  <c r="D476" i="11"/>
  <c r="C475" i="11"/>
  <c r="I1083" i="11"/>
  <c r="B476" i="11"/>
  <c r="AV476" i="11" s="1"/>
  <c r="AU474" i="11"/>
  <c r="AS474" i="11"/>
  <c r="AR474" i="11"/>
  <c r="AT474" i="11"/>
  <c r="AO474" i="11"/>
  <c r="AJ474" i="11"/>
  <c r="AL474" i="11"/>
  <c r="AK474" i="11"/>
  <c r="AQ474" i="11"/>
  <c r="AP474" i="11"/>
  <c r="AM474" i="11"/>
  <c r="AN474" i="11"/>
  <c r="D1085" i="11"/>
  <c r="H1084" i="11"/>
  <c r="C1084" i="11"/>
  <c r="J1084" i="11"/>
  <c r="AZ474" i="11" l="1"/>
  <c r="BC474" i="11" s="1"/>
  <c r="X475" i="11"/>
  <c r="Z475" i="11" s="1"/>
  <c r="AY476" i="11"/>
  <c r="AW476" i="11"/>
  <c r="L476" i="11"/>
  <c r="T476" i="11"/>
  <c r="E476" i="11"/>
  <c r="M476" i="11"/>
  <c r="N476" i="11"/>
  <c r="U476" i="11"/>
  <c r="F476" i="11"/>
  <c r="G476" i="11"/>
  <c r="V476" i="11"/>
  <c r="A479" i="11"/>
  <c r="BA479" i="11" s="1"/>
  <c r="BB478" i="11"/>
  <c r="I1084" i="11"/>
  <c r="C476" i="11"/>
  <c r="D477" i="11"/>
  <c r="E1084" i="11"/>
  <c r="F1084" i="11" s="1"/>
  <c r="G1085" i="11" s="1"/>
  <c r="B477" i="11"/>
  <c r="AV477" i="11" s="1"/>
  <c r="AU475" i="11"/>
  <c r="AT475" i="11"/>
  <c r="AS475" i="11"/>
  <c r="AR475" i="11"/>
  <c r="AN475" i="11"/>
  <c r="AP475" i="11"/>
  <c r="AO475" i="11"/>
  <c r="AJ475" i="11"/>
  <c r="AL475" i="11"/>
  <c r="AK475" i="11"/>
  <c r="AQ475" i="11"/>
  <c r="AM475" i="11"/>
  <c r="D1086" i="11"/>
  <c r="H1085" i="11"/>
  <c r="C1085" i="11"/>
  <c r="J1085" i="11"/>
  <c r="BD474" i="11" l="1"/>
  <c r="X476" i="11"/>
  <c r="Z476" i="11" s="1"/>
  <c r="AZ475" i="11"/>
  <c r="BD475" i="11" s="1"/>
  <c r="AY477" i="11"/>
  <c r="AW477" i="11"/>
  <c r="T477" i="11"/>
  <c r="L477" i="11"/>
  <c r="E477" i="11"/>
  <c r="N477" i="11"/>
  <c r="M477" i="11"/>
  <c r="U477" i="11"/>
  <c r="G477" i="11"/>
  <c r="F477" i="11"/>
  <c r="V477" i="11"/>
  <c r="A480" i="11"/>
  <c r="BA480" i="11" s="1"/>
  <c r="BB479" i="11"/>
  <c r="E1085" i="11"/>
  <c r="F1085" i="11" s="1"/>
  <c r="G1086" i="11" s="1"/>
  <c r="D478" i="11"/>
  <c r="C477" i="11"/>
  <c r="I1085" i="11"/>
  <c r="B478" i="11"/>
  <c r="AV478" i="11" s="1"/>
  <c r="AU476" i="11"/>
  <c r="AT476" i="11"/>
  <c r="AR476" i="11"/>
  <c r="AS476" i="11"/>
  <c r="AN476" i="11"/>
  <c r="AP476" i="11"/>
  <c r="AO476" i="11"/>
  <c r="AJ476" i="11"/>
  <c r="AL476" i="11"/>
  <c r="AK476" i="11"/>
  <c r="AQ476" i="11"/>
  <c r="AM476" i="11"/>
  <c r="D1087" i="11"/>
  <c r="H1086" i="11"/>
  <c r="C1086" i="11"/>
  <c r="J1086" i="11"/>
  <c r="BC475" i="11" l="1"/>
  <c r="AZ476" i="11"/>
  <c r="BC476" i="11" s="1"/>
  <c r="X477" i="11"/>
  <c r="Z477" i="11" s="1"/>
  <c r="AY478" i="11"/>
  <c r="AW478" i="11"/>
  <c r="L478" i="11"/>
  <c r="E478" i="11"/>
  <c r="T478" i="11"/>
  <c r="M478" i="11"/>
  <c r="N478" i="11"/>
  <c r="U478" i="11"/>
  <c r="G478" i="11"/>
  <c r="F478" i="11"/>
  <c r="V478" i="11"/>
  <c r="BD476" i="11"/>
  <c r="A481" i="11"/>
  <c r="BA481" i="11" s="1"/>
  <c r="BB480" i="11"/>
  <c r="E1086" i="11"/>
  <c r="F1086" i="11" s="1"/>
  <c r="G1087" i="11" s="1"/>
  <c r="I1086" i="11"/>
  <c r="C478" i="11"/>
  <c r="D479" i="11"/>
  <c r="B479" i="11"/>
  <c r="AV479" i="11" s="1"/>
  <c r="AT477" i="11"/>
  <c r="AS477" i="11"/>
  <c r="AU477" i="11"/>
  <c r="AR477" i="11"/>
  <c r="AN477" i="11"/>
  <c r="AP477" i="11"/>
  <c r="AO477" i="11"/>
  <c r="AJ477" i="11"/>
  <c r="AL477" i="11"/>
  <c r="AM477" i="11"/>
  <c r="AK477" i="11"/>
  <c r="AQ477" i="11"/>
  <c r="D1088" i="11"/>
  <c r="H1087" i="11"/>
  <c r="C1087" i="11"/>
  <c r="J1087" i="11"/>
  <c r="AZ477" i="11" l="1"/>
  <c r="BD477" i="11" s="1"/>
  <c r="X478" i="11"/>
  <c r="Z478" i="11" s="1"/>
  <c r="AY479" i="11"/>
  <c r="AW479" i="11"/>
  <c r="T479" i="11"/>
  <c r="L479" i="11"/>
  <c r="E479" i="11"/>
  <c r="M479" i="11"/>
  <c r="N479" i="11"/>
  <c r="U479" i="11"/>
  <c r="F479" i="11"/>
  <c r="G479" i="11"/>
  <c r="V479" i="11"/>
  <c r="BC477" i="11"/>
  <c r="A482" i="11"/>
  <c r="BA482" i="11" s="1"/>
  <c r="BB481" i="11"/>
  <c r="E1087" i="11"/>
  <c r="F1087" i="11" s="1"/>
  <c r="G1088" i="11" s="1"/>
  <c r="D480" i="11"/>
  <c r="C479" i="11"/>
  <c r="I1087" i="11"/>
  <c r="B480" i="11"/>
  <c r="AV480" i="11" s="1"/>
  <c r="AU478" i="11"/>
  <c r="AR478" i="11"/>
  <c r="AT478" i="11"/>
  <c r="AS478" i="11"/>
  <c r="AN478" i="11"/>
  <c r="AP478" i="11"/>
  <c r="AO478" i="11"/>
  <c r="AJ478" i="11"/>
  <c r="AL478" i="11"/>
  <c r="AM478" i="11"/>
  <c r="AK478" i="11"/>
  <c r="AQ478" i="11"/>
  <c r="D1089" i="11"/>
  <c r="H1088" i="11"/>
  <c r="C1088" i="11"/>
  <c r="J1088" i="11"/>
  <c r="AZ478" i="11" l="1"/>
  <c r="X479" i="11"/>
  <c r="Z479" i="11" s="1"/>
  <c r="AY480" i="11"/>
  <c r="AW480" i="11"/>
  <c r="L480" i="11"/>
  <c r="T480" i="11"/>
  <c r="E480" i="11"/>
  <c r="M480" i="11"/>
  <c r="N480" i="11"/>
  <c r="U480" i="11"/>
  <c r="G480" i="11"/>
  <c r="F480" i="11"/>
  <c r="V480" i="11"/>
  <c r="BD478" i="11"/>
  <c r="BC478" i="11"/>
  <c r="A483" i="11"/>
  <c r="BB482" i="11"/>
  <c r="E1088" i="11"/>
  <c r="F1088" i="11" s="1"/>
  <c r="G1089" i="11" s="1"/>
  <c r="I1088" i="11"/>
  <c r="C480" i="11"/>
  <c r="X480" i="11" s="1"/>
  <c r="Z480" i="11" s="1"/>
  <c r="D481" i="11"/>
  <c r="B481" i="11"/>
  <c r="AV481" i="11" s="1"/>
  <c r="AU479" i="11"/>
  <c r="AS479" i="11"/>
  <c r="AR479" i="11"/>
  <c r="AT479" i="11"/>
  <c r="AN479" i="11"/>
  <c r="AP479" i="11"/>
  <c r="AQ479" i="11"/>
  <c r="AO479" i="11"/>
  <c r="AJ479" i="11"/>
  <c r="AL479" i="11"/>
  <c r="AK479" i="11"/>
  <c r="AM479" i="11"/>
  <c r="D1090" i="11"/>
  <c r="H1089" i="11"/>
  <c r="C1089" i="11"/>
  <c r="J1089" i="11"/>
  <c r="AZ479" i="11" l="1"/>
  <c r="BD479" i="11" s="1"/>
  <c r="AY481" i="11"/>
  <c r="AW481" i="11"/>
  <c r="T481" i="11"/>
  <c r="L481" i="11"/>
  <c r="E481" i="11"/>
  <c r="N481" i="11"/>
  <c r="M481" i="11"/>
  <c r="U481" i="11"/>
  <c r="F481" i="11"/>
  <c r="G481" i="11"/>
  <c r="V481" i="11"/>
  <c r="A484" i="11"/>
  <c r="BA484" i="11" s="1"/>
  <c r="E1089" i="11"/>
  <c r="F1089" i="11" s="1"/>
  <c r="G1090" i="11" s="1"/>
  <c r="D482" i="11"/>
  <c r="C481" i="11"/>
  <c r="I1089" i="11"/>
  <c r="B482" i="11"/>
  <c r="AV482" i="11" s="1"/>
  <c r="AU480" i="11"/>
  <c r="AS480" i="11"/>
  <c r="AR480" i="11"/>
  <c r="AT480" i="11"/>
  <c r="AO480" i="11"/>
  <c r="AJ480" i="11"/>
  <c r="AL480" i="11"/>
  <c r="AK480" i="11"/>
  <c r="AQ480" i="11"/>
  <c r="AN480" i="11"/>
  <c r="AP480" i="11"/>
  <c r="AZ480" i="11"/>
  <c r="AM480" i="11"/>
  <c r="D1091" i="11"/>
  <c r="H1090" i="11"/>
  <c r="C1090" i="11"/>
  <c r="J1090" i="11"/>
  <c r="BC479" i="11" l="1"/>
  <c r="X481" i="11"/>
  <c r="Z481" i="11" s="1"/>
  <c r="AY482" i="11"/>
  <c r="AW482" i="11"/>
  <c r="E482" i="11"/>
  <c r="T482" i="11"/>
  <c r="L482" i="11"/>
  <c r="M482" i="11"/>
  <c r="N482" i="11"/>
  <c r="U482" i="11"/>
  <c r="G482" i="11"/>
  <c r="F482" i="11"/>
  <c r="V482" i="11"/>
  <c r="BD480" i="11"/>
  <c r="BC480" i="11"/>
  <c r="A485" i="11"/>
  <c r="BA485" i="11" s="1"/>
  <c r="BB484" i="11"/>
  <c r="I1090" i="11"/>
  <c r="E1090" i="11"/>
  <c r="F1090" i="11" s="1"/>
  <c r="G1091" i="11" s="1"/>
  <c r="C482" i="11"/>
  <c r="D483" i="11"/>
  <c r="B483" i="11"/>
  <c r="AV483" i="11" s="1"/>
  <c r="AT481" i="11"/>
  <c r="AS481" i="11"/>
  <c r="AU481" i="11"/>
  <c r="AR481" i="11"/>
  <c r="AP481" i="11"/>
  <c r="AM481" i="11"/>
  <c r="AK481" i="11"/>
  <c r="AN481" i="11"/>
  <c r="AQ481" i="11"/>
  <c r="AJ481" i="11"/>
  <c r="AL481" i="11"/>
  <c r="AO481" i="11"/>
  <c r="D1092" i="11"/>
  <c r="H1091" i="11"/>
  <c r="C1091" i="11"/>
  <c r="J1091" i="11"/>
  <c r="AZ481" i="11" l="1"/>
  <c r="BD481" i="11" s="1"/>
  <c r="X482" i="11"/>
  <c r="Z482" i="11" s="1"/>
  <c r="AY483" i="11"/>
  <c r="AW483" i="11"/>
  <c r="E483" i="11"/>
  <c r="T483" i="11"/>
  <c r="L483" i="11"/>
  <c r="M483" i="11"/>
  <c r="N483" i="11"/>
  <c r="U483" i="11"/>
  <c r="F483" i="11"/>
  <c r="G483" i="11"/>
  <c r="V483" i="11"/>
  <c r="BC481" i="11"/>
  <c r="A486" i="11"/>
  <c r="BA486" i="11" s="1"/>
  <c r="BB485" i="11"/>
  <c r="E1091" i="11"/>
  <c r="F1091" i="11" s="1"/>
  <c r="G1092" i="11" s="1"/>
  <c r="D484" i="11"/>
  <c r="C483" i="11"/>
  <c r="I1091" i="11"/>
  <c r="B484" i="11"/>
  <c r="AV484" i="11" s="1"/>
  <c r="AU482" i="11"/>
  <c r="AT482" i="11"/>
  <c r="AR482" i="11"/>
  <c r="AS482" i="11"/>
  <c r="AQ482" i="11"/>
  <c r="AN482" i="11"/>
  <c r="AP482" i="11"/>
  <c r="AJ482" i="11"/>
  <c r="AL482" i="11"/>
  <c r="AM482" i="11"/>
  <c r="AO482" i="11"/>
  <c r="AK482" i="11"/>
  <c r="D1093" i="11"/>
  <c r="H1092" i="11"/>
  <c r="C1092" i="11"/>
  <c r="J1092" i="11"/>
  <c r="X483" i="11" l="1"/>
  <c r="Z483" i="11" s="1"/>
  <c r="AZ482" i="11"/>
  <c r="BD482" i="11" s="1"/>
  <c r="AY484" i="11"/>
  <c r="AW484" i="11"/>
  <c r="T484" i="11"/>
  <c r="L484" i="11"/>
  <c r="E484" i="11"/>
  <c r="M484" i="11"/>
  <c r="N484" i="11"/>
  <c r="U484" i="11"/>
  <c r="G484" i="11"/>
  <c r="F484" i="11"/>
  <c r="V484" i="11"/>
  <c r="A487" i="11"/>
  <c r="BA487" i="11" s="1"/>
  <c r="BB486" i="11"/>
  <c r="E1092" i="11"/>
  <c r="F1092" i="11" s="1"/>
  <c r="G1093" i="11" s="1"/>
  <c r="I1092" i="11"/>
  <c r="C484" i="11"/>
  <c r="D485" i="11"/>
  <c r="B485" i="11"/>
  <c r="AV485" i="11" s="1"/>
  <c r="AU483" i="11"/>
  <c r="AT483" i="11"/>
  <c r="AS483" i="11"/>
  <c r="AR483" i="11"/>
  <c r="AN483" i="11"/>
  <c r="AL483" i="11"/>
  <c r="AP483" i="11"/>
  <c r="AM483" i="11"/>
  <c r="AO483" i="11"/>
  <c r="AJ483" i="11"/>
  <c r="AQ483" i="11"/>
  <c r="AK483" i="11"/>
  <c r="D1094" i="11"/>
  <c r="H1093" i="11"/>
  <c r="C1093" i="11"/>
  <c r="J1093" i="11"/>
  <c r="BC482" i="11" l="1"/>
  <c r="X484" i="11"/>
  <c r="Z484" i="11" s="1"/>
  <c r="AZ483" i="11"/>
  <c r="AY485" i="11"/>
  <c r="AW485" i="11"/>
  <c r="T485" i="11"/>
  <c r="L485" i="11"/>
  <c r="E485" i="11"/>
  <c r="N485" i="11"/>
  <c r="M485" i="11"/>
  <c r="U485" i="11"/>
  <c r="G485" i="11"/>
  <c r="F485" i="11"/>
  <c r="V485" i="11"/>
  <c r="A488" i="11"/>
  <c r="BA488" i="11" s="1"/>
  <c r="BB487" i="11"/>
  <c r="D486" i="11"/>
  <c r="C485" i="11"/>
  <c r="I1093" i="11"/>
  <c r="E1093" i="11"/>
  <c r="F1093" i="11" s="1"/>
  <c r="G1094" i="11" s="1"/>
  <c r="B486" i="11"/>
  <c r="AV486" i="11" s="1"/>
  <c r="AU484" i="11"/>
  <c r="AS484" i="11"/>
  <c r="AT484" i="11"/>
  <c r="AR484" i="11"/>
  <c r="AN484" i="11"/>
  <c r="AP484" i="11"/>
  <c r="AO484" i="11"/>
  <c r="AJ484" i="11"/>
  <c r="AM484" i="11"/>
  <c r="AK484" i="11"/>
  <c r="AL484" i="11"/>
  <c r="AQ484" i="11"/>
  <c r="D1095" i="11"/>
  <c r="H1094" i="11"/>
  <c r="C1094" i="11"/>
  <c r="J1094" i="11"/>
  <c r="AZ484" i="11" l="1"/>
  <c r="BC484" i="11" s="1"/>
  <c r="X485" i="11"/>
  <c r="Z485" i="11" s="1"/>
  <c r="AY486" i="11"/>
  <c r="AW486" i="11"/>
  <c r="T486" i="11"/>
  <c r="L486" i="11"/>
  <c r="E486" i="11"/>
  <c r="M486" i="11"/>
  <c r="N486" i="11"/>
  <c r="U486" i="11"/>
  <c r="G486" i="11"/>
  <c r="F486" i="11"/>
  <c r="V486" i="11"/>
  <c r="A489" i="11"/>
  <c r="BA489" i="11" s="1"/>
  <c r="BB488" i="11"/>
  <c r="E1094" i="11"/>
  <c r="F1094" i="11" s="1"/>
  <c r="G1095" i="11" s="1"/>
  <c r="I1094" i="11"/>
  <c r="D487" i="11"/>
  <c r="C486" i="11"/>
  <c r="B487" i="11"/>
  <c r="AV487" i="11" s="1"/>
  <c r="AU485" i="11"/>
  <c r="AT485" i="11"/>
  <c r="AS485" i="11"/>
  <c r="AR485" i="11"/>
  <c r="AQ485" i="11"/>
  <c r="AN485" i="11"/>
  <c r="AL485" i="11"/>
  <c r="AO485" i="11"/>
  <c r="AJ485" i="11"/>
  <c r="AM485" i="11"/>
  <c r="AK485" i="11"/>
  <c r="AP485" i="11"/>
  <c r="D1096" i="11"/>
  <c r="H1095" i="11"/>
  <c r="J1095" i="11"/>
  <c r="C1095" i="11"/>
  <c r="BD484" i="11" l="1"/>
  <c r="X486" i="11"/>
  <c r="Z486" i="11" s="1"/>
  <c r="AZ485" i="11"/>
  <c r="AY487" i="11"/>
  <c r="AW487" i="11"/>
  <c r="T487" i="11"/>
  <c r="L487" i="11"/>
  <c r="E487" i="11"/>
  <c r="M487" i="11"/>
  <c r="N487" i="11"/>
  <c r="U487" i="11"/>
  <c r="F487" i="11"/>
  <c r="G487" i="11"/>
  <c r="V487" i="11"/>
  <c r="BC485" i="11"/>
  <c r="BD485" i="11"/>
  <c r="A490" i="11"/>
  <c r="BA490" i="11" s="1"/>
  <c r="BB489" i="11"/>
  <c r="E1095" i="11"/>
  <c r="F1095" i="11" s="1"/>
  <c r="G1096" i="11" s="1"/>
  <c r="D488" i="11"/>
  <c r="C487" i="11"/>
  <c r="I1095" i="11"/>
  <c r="B488" i="11"/>
  <c r="AV488" i="11" s="1"/>
  <c r="AU486" i="11"/>
  <c r="AR486" i="11"/>
  <c r="AS486" i="11"/>
  <c r="AT486" i="11"/>
  <c r="AM486" i="11"/>
  <c r="AN486" i="11"/>
  <c r="AL486" i="11"/>
  <c r="AO486" i="11"/>
  <c r="AJ486" i="11"/>
  <c r="AQ486" i="11"/>
  <c r="AK486" i="11"/>
  <c r="AP486" i="11"/>
  <c r="D1097" i="11"/>
  <c r="H1096" i="11"/>
  <c r="C1096" i="11"/>
  <c r="J1096" i="11"/>
  <c r="AZ486" i="11" l="1"/>
  <c r="X487" i="11"/>
  <c r="Z487" i="11" s="1"/>
  <c r="AY488" i="11"/>
  <c r="AW488" i="11"/>
  <c r="L488" i="11"/>
  <c r="T488" i="11"/>
  <c r="E488" i="11"/>
  <c r="M488" i="11"/>
  <c r="N488" i="11"/>
  <c r="U488" i="11"/>
  <c r="G488" i="11"/>
  <c r="F488" i="11"/>
  <c r="V488" i="11"/>
  <c r="BD486" i="11"/>
  <c r="BC486" i="11"/>
  <c r="A491" i="11"/>
  <c r="BA491" i="11" s="1"/>
  <c r="BB490" i="11"/>
  <c r="E1096" i="11"/>
  <c r="F1096" i="11" s="1"/>
  <c r="G1097" i="11" s="1"/>
  <c r="I1096" i="11"/>
  <c r="C488" i="11"/>
  <c r="D489" i="11"/>
  <c r="B489" i="11"/>
  <c r="AV489" i="11" s="1"/>
  <c r="AU487" i="11"/>
  <c r="AT487" i="11"/>
  <c r="AS487" i="11"/>
  <c r="AR487" i="11"/>
  <c r="AK487" i="11"/>
  <c r="AQ487" i="11"/>
  <c r="AL487" i="11"/>
  <c r="AM487" i="11"/>
  <c r="AN487" i="11"/>
  <c r="AO487" i="11"/>
  <c r="AJ487" i="11"/>
  <c r="AP487" i="11"/>
  <c r="D1098" i="11"/>
  <c r="H1097" i="11"/>
  <c r="J1097" i="11"/>
  <c r="C1097" i="11"/>
  <c r="X488" i="11" l="1"/>
  <c r="Z488" i="11" s="1"/>
  <c r="AZ487" i="11"/>
  <c r="BC487" i="11" s="1"/>
  <c r="AY489" i="11"/>
  <c r="AW489" i="11"/>
  <c r="T489" i="11"/>
  <c r="L489" i="11"/>
  <c r="E489" i="11"/>
  <c r="N489" i="11"/>
  <c r="M489" i="11"/>
  <c r="U489" i="11"/>
  <c r="G489" i="11"/>
  <c r="F489" i="11"/>
  <c r="V489" i="11"/>
  <c r="A492" i="11"/>
  <c r="BA492" i="11" s="1"/>
  <c r="BB491" i="11"/>
  <c r="E1097" i="11"/>
  <c r="F1097" i="11" s="1"/>
  <c r="G1098" i="11" s="1"/>
  <c r="D490" i="11"/>
  <c r="C489" i="11"/>
  <c r="I1097" i="11"/>
  <c r="B490" i="11"/>
  <c r="AV490" i="11" s="1"/>
  <c r="AT488" i="11"/>
  <c r="AR488" i="11"/>
  <c r="AS488" i="11"/>
  <c r="AU488" i="11"/>
  <c r="AQ488" i="11"/>
  <c r="AL488" i="11"/>
  <c r="AM488" i="11"/>
  <c r="AN488" i="11"/>
  <c r="AK488" i="11"/>
  <c r="AP488" i="11"/>
  <c r="AO488" i="11"/>
  <c r="AJ488" i="11"/>
  <c r="D1099" i="11"/>
  <c r="H1098" i="11"/>
  <c r="C1098" i="11"/>
  <c r="J1098" i="11"/>
  <c r="BD487" i="11" l="1"/>
  <c r="X489" i="11"/>
  <c r="Z489" i="11" s="1"/>
  <c r="AZ488" i="11"/>
  <c r="BC488" i="11" s="1"/>
  <c r="AY490" i="11"/>
  <c r="AW490" i="11"/>
  <c r="T490" i="11"/>
  <c r="E490" i="11"/>
  <c r="L490" i="11"/>
  <c r="M490" i="11"/>
  <c r="N490" i="11"/>
  <c r="U490" i="11"/>
  <c r="G490" i="11"/>
  <c r="F490" i="11"/>
  <c r="V490" i="11"/>
  <c r="A493" i="11"/>
  <c r="BA493" i="11" s="1"/>
  <c r="BB492" i="11"/>
  <c r="E1098" i="11"/>
  <c r="F1098" i="11" s="1"/>
  <c r="G1099" i="11" s="1"/>
  <c r="I1098" i="11"/>
  <c r="C490" i="11"/>
  <c r="D491" i="11"/>
  <c r="B491" i="11"/>
  <c r="AV491" i="11" s="1"/>
  <c r="AT489" i="11"/>
  <c r="AS489" i="11"/>
  <c r="AU489" i="11"/>
  <c r="AR489" i="11"/>
  <c r="AO489" i="11"/>
  <c r="AJ489" i="11"/>
  <c r="AK489" i="11"/>
  <c r="AP489" i="11"/>
  <c r="AN489" i="11"/>
  <c r="AQ489" i="11"/>
  <c r="AL489" i="11"/>
  <c r="AM489" i="11"/>
  <c r="D1100" i="11"/>
  <c r="H1099" i="11"/>
  <c r="J1099" i="11"/>
  <c r="C1099" i="11"/>
  <c r="BD488" i="11" l="1"/>
  <c r="AZ489" i="11"/>
  <c r="BD489" i="11" s="1"/>
  <c r="X490" i="11"/>
  <c r="Z490" i="11" s="1"/>
  <c r="AY491" i="11"/>
  <c r="AW491" i="11"/>
  <c r="T491" i="11"/>
  <c r="E491" i="11"/>
  <c r="L491" i="11"/>
  <c r="M491" i="11"/>
  <c r="N491" i="11"/>
  <c r="U491" i="11"/>
  <c r="F491" i="11"/>
  <c r="G491" i="11"/>
  <c r="V491" i="11"/>
  <c r="A494" i="11"/>
  <c r="BA494" i="11" s="1"/>
  <c r="BB493" i="11"/>
  <c r="I1099" i="11"/>
  <c r="C491" i="11"/>
  <c r="D492" i="11"/>
  <c r="E1099" i="11"/>
  <c r="F1099" i="11" s="1"/>
  <c r="G1100" i="11" s="1"/>
  <c r="B492" i="11"/>
  <c r="AV492" i="11" s="1"/>
  <c r="AU490" i="11"/>
  <c r="AS490" i="11"/>
  <c r="AR490" i="11"/>
  <c r="AT490" i="11"/>
  <c r="AO490" i="11"/>
  <c r="AJ490" i="11"/>
  <c r="AL490" i="11"/>
  <c r="AN490" i="11"/>
  <c r="AK490" i="11"/>
  <c r="AM490" i="11"/>
  <c r="AQ490" i="11"/>
  <c r="AP490" i="11"/>
  <c r="D1101" i="11"/>
  <c r="H1100" i="11"/>
  <c r="C1100" i="11"/>
  <c r="J1100" i="11"/>
  <c r="BC489" i="11" l="1"/>
  <c r="AZ490" i="11"/>
  <c r="BD490" i="11" s="1"/>
  <c r="X491" i="11"/>
  <c r="Z491" i="11" s="1"/>
  <c r="AY492" i="11"/>
  <c r="AW492" i="11"/>
  <c r="L492" i="11"/>
  <c r="T492" i="11"/>
  <c r="E492" i="11"/>
  <c r="M492" i="11"/>
  <c r="N492" i="11"/>
  <c r="U492" i="11"/>
  <c r="F492" i="11"/>
  <c r="G492" i="11"/>
  <c r="V492" i="11"/>
  <c r="A495" i="11"/>
  <c r="BA495" i="11" s="1"/>
  <c r="BB494" i="11"/>
  <c r="E1100" i="11"/>
  <c r="F1100" i="11" s="1"/>
  <c r="G1101" i="11" s="1"/>
  <c r="C492" i="11"/>
  <c r="D493" i="11"/>
  <c r="I1100" i="11"/>
  <c r="B493" i="11"/>
  <c r="AV493" i="11" s="1"/>
  <c r="AU491" i="11"/>
  <c r="AT491" i="11"/>
  <c r="AS491" i="11"/>
  <c r="AR491" i="11"/>
  <c r="AO491" i="11"/>
  <c r="AJ491" i="11"/>
  <c r="AK491" i="11"/>
  <c r="AP491" i="11"/>
  <c r="AM491" i="11"/>
  <c r="AN491" i="11"/>
  <c r="AQ491" i="11"/>
  <c r="AL491" i="11"/>
  <c r="D1102" i="11"/>
  <c r="H1101" i="11"/>
  <c r="J1101" i="11"/>
  <c r="C1101" i="11"/>
  <c r="BC490" i="11" l="1"/>
  <c r="X492" i="11"/>
  <c r="Z492" i="11" s="1"/>
  <c r="AZ491" i="11"/>
  <c r="BC491" i="11" s="1"/>
  <c r="AY493" i="11"/>
  <c r="AW493" i="11"/>
  <c r="T493" i="11"/>
  <c r="L493" i="11"/>
  <c r="E493" i="11"/>
  <c r="N493" i="11"/>
  <c r="M493" i="11"/>
  <c r="U493" i="11"/>
  <c r="G493" i="11"/>
  <c r="F493" i="11"/>
  <c r="V493" i="11"/>
  <c r="A496" i="11"/>
  <c r="BA496" i="11" s="1"/>
  <c r="BB495" i="11"/>
  <c r="E1101" i="11"/>
  <c r="F1101" i="11" s="1"/>
  <c r="G1102" i="11" s="1"/>
  <c r="D494" i="11"/>
  <c r="C493" i="11"/>
  <c r="I1101" i="11"/>
  <c r="B494" i="11"/>
  <c r="AV494" i="11" s="1"/>
  <c r="AT492" i="11"/>
  <c r="AU492" i="11"/>
  <c r="AR492" i="11"/>
  <c r="AS492" i="11"/>
  <c r="AM492" i="11"/>
  <c r="AN492" i="11"/>
  <c r="AO492" i="11"/>
  <c r="AJ492" i="11"/>
  <c r="AK492" i="11"/>
  <c r="AP492" i="11"/>
  <c r="AQ492" i="11"/>
  <c r="AL492" i="11"/>
  <c r="D1103" i="11"/>
  <c r="H1102" i="11"/>
  <c r="C1102" i="11"/>
  <c r="J1102" i="11"/>
  <c r="BD491" i="11" l="1"/>
  <c r="AZ492" i="11"/>
  <c r="BC492" i="11" s="1"/>
  <c r="X493" i="11"/>
  <c r="Z493" i="11" s="1"/>
  <c r="AY494" i="11"/>
  <c r="AW494" i="11"/>
  <c r="L494" i="11"/>
  <c r="E494" i="11"/>
  <c r="T494" i="11"/>
  <c r="M494" i="11"/>
  <c r="N494" i="11"/>
  <c r="U494" i="11"/>
  <c r="G494" i="11"/>
  <c r="F494" i="11"/>
  <c r="V494" i="11"/>
  <c r="BD492" i="11"/>
  <c r="A497" i="11"/>
  <c r="BA497" i="11" s="1"/>
  <c r="BB496" i="11"/>
  <c r="I1102" i="11"/>
  <c r="E1102" i="11"/>
  <c r="F1102" i="11" s="1"/>
  <c r="G1103" i="11" s="1"/>
  <c r="D495" i="11"/>
  <c r="C494" i="11"/>
  <c r="B495" i="11"/>
  <c r="AV495" i="11" s="1"/>
  <c r="AU493" i="11"/>
  <c r="AT493" i="11"/>
  <c r="AS493" i="11"/>
  <c r="AR493" i="11"/>
  <c r="AQ493" i="11"/>
  <c r="AL493" i="11"/>
  <c r="AM493" i="11"/>
  <c r="AN493" i="11"/>
  <c r="AK493" i="11"/>
  <c r="AP493" i="11"/>
  <c r="AO493" i="11"/>
  <c r="AJ493" i="11"/>
  <c r="D1104" i="11"/>
  <c r="H1103" i="11"/>
  <c r="J1103" i="11"/>
  <c r="C1103" i="11"/>
  <c r="AZ493" i="11" l="1"/>
  <c r="X494" i="11"/>
  <c r="Z494" i="11" s="1"/>
  <c r="AY495" i="11"/>
  <c r="AW495" i="11"/>
  <c r="T495" i="11"/>
  <c r="L495" i="11"/>
  <c r="E495" i="11"/>
  <c r="M495" i="11"/>
  <c r="N495" i="11"/>
  <c r="U495" i="11"/>
  <c r="F495" i="11"/>
  <c r="G495" i="11"/>
  <c r="V495" i="11"/>
  <c r="BC493" i="11"/>
  <c r="BD493" i="11"/>
  <c r="A498" i="11"/>
  <c r="BA498" i="11" s="1"/>
  <c r="BB497" i="11"/>
  <c r="D496" i="11"/>
  <c r="C495" i="11"/>
  <c r="E1103" i="11"/>
  <c r="F1103" i="11" s="1"/>
  <c r="G1104" i="11" s="1"/>
  <c r="I1103" i="11"/>
  <c r="B496" i="11"/>
  <c r="AV496" i="11" s="1"/>
  <c r="AU494" i="11"/>
  <c r="AR494" i="11"/>
  <c r="AS494" i="11"/>
  <c r="AT494" i="11"/>
  <c r="AO494" i="11"/>
  <c r="AJ494" i="11"/>
  <c r="AK494" i="11"/>
  <c r="AL494" i="11"/>
  <c r="AP494" i="11"/>
  <c r="AN494" i="11"/>
  <c r="AQ494" i="11"/>
  <c r="AM494" i="11"/>
  <c r="D1105" i="11"/>
  <c r="H1104" i="11"/>
  <c r="C1104" i="11"/>
  <c r="J1104" i="11"/>
  <c r="AZ494" i="11" l="1"/>
  <c r="BC494" i="11" s="1"/>
  <c r="X495" i="11"/>
  <c r="Z495" i="11" s="1"/>
  <c r="AY496" i="11"/>
  <c r="AW496" i="11"/>
  <c r="L496" i="11"/>
  <c r="T496" i="11"/>
  <c r="E496" i="11"/>
  <c r="M496" i="11"/>
  <c r="N496" i="11"/>
  <c r="U496" i="11"/>
  <c r="F496" i="11"/>
  <c r="G496" i="11"/>
  <c r="V496" i="11"/>
  <c r="A499" i="11"/>
  <c r="BA499" i="11" s="1"/>
  <c r="BB498" i="11"/>
  <c r="E1104" i="11"/>
  <c r="F1104" i="11" s="1"/>
  <c r="G1105" i="11" s="1"/>
  <c r="I1104" i="11"/>
  <c r="C496" i="11"/>
  <c r="D497" i="11"/>
  <c r="B497" i="11"/>
  <c r="AV497" i="11" s="1"/>
  <c r="AU495" i="11"/>
  <c r="AS495" i="11"/>
  <c r="AR495" i="11"/>
  <c r="AT495" i="11"/>
  <c r="AK495" i="11"/>
  <c r="AP495" i="11"/>
  <c r="AQ495" i="11"/>
  <c r="AL495" i="11"/>
  <c r="AJ495" i="11"/>
  <c r="AM495" i="11"/>
  <c r="AN495" i="11"/>
  <c r="AO495" i="11"/>
  <c r="D1106" i="11"/>
  <c r="H1105" i="11"/>
  <c r="J1105" i="11"/>
  <c r="C1105" i="11"/>
  <c r="BD494" i="11" l="1"/>
  <c r="X496" i="11"/>
  <c r="Z496" i="11" s="1"/>
  <c r="AZ495" i="11"/>
  <c r="BC495" i="11" s="1"/>
  <c r="AY497" i="11"/>
  <c r="AW497" i="11"/>
  <c r="T497" i="11"/>
  <c r="L497" i="11"/>
  <c r="E497" i="11"/>
  <c r="N497" i="11"/>
  <c r="M497" i="11"/>
  <c r="U497" i="11"/>
  <c r="F497" i="11"/>
  <c r="G497" i="11"/>
  <c r="V497" i="11"/>
  <c r="BD495" i="11"/>
  <c r="A500" i="11"/>
  <c r="BA500" i="11" s="1"/>
  <c r="BB499" i="11"/>
  <c r="E1105" i="11"/>
  <c r="F1105" i="11" s="1"/>
  <c r="G1106" i="11" s="1"/>
  <c r="I1105" i="11"/>
  <c r="D498" i="11"/>
  <c r="C497" i="11"/>
  <c r="B498" i="11"/>
  <c r="AV498" i="11" s="1"/>
  <c r="AU496" i="11"/>
  <c r="AT496" i="11"/>
  <c r="AS496" i="11"/>
  <c r="AR496" i="11"/>
  <c r="AO496" i="11"/>
  <c r="AJ496" i="11"/>
  <c r="AK496" i="11"/>
  <c r="AP496" i="11"/>
  <c r="AQ496" i="11"/>
  <c r="AL496" i="11"/>
  <c r="AM496" i="11"/>
  <c r="AN496" i="11"/>
  <c r="D1107" i="11"/>
  <c r="H1106" i="11"/>
  <c r="C1106" i="11"/>
  <c r="J1106" i="11"/>
  <c r="X497" i="11" l="1"/>
  <c r="Z497" i="11" s="1"/>
  <c r="AZ496" i="11"/>
  <c r="BC496" i="11" s="1"/>
  <c r="AY498" i="11"/>
  <c r="AW498" i="11"/>
  <c r="T498" i="11"/>
  <c r="E498" i="11"/>
  <c r="L498" i="11"/>
  <c r="M498" i="11"/>
  <c r="N498" i="11"/>
  <c r="U498" i="11"/>
  <c r="G498" i="11"/>
  <c r="F498" i="11"/>
  <c r="V498" i="11"/>
  <c r="A501" i="11"/>
  <c r="BA501" i="11" s="1"/>
  <c r="BB500" i="11"/>
  <c r="E1106" i="11"/>
  <c r="F1106" i="11" s="1"/>
  <c r="G1107" i="11" s="1"/>
  <c r="I1106" i="11"/>
  <c r="C498" i="11"/>
  <c r="D499" i="11"/>
  <c r="B499" i="11"/>
  <c r="AV499" i="11" s="1"/>
  <c r="AT497" i="11"/>
  <c r="AS497" i="11"/>
  <c r="AR497" i="11"/>
  <c r="AU497" i="11"/>
  <c r="AM497" i="11"/>
  <c r="AN497" i="11"/>
  <c r="AQ497" i="11"/>
  <c r="AL497" i="11"/>
  <c r="AO497" i="11"/>
  <c r="AJ497" i="11"/>
  <c r="AK497" i="11"/>
  <c r="AP497" i="11"/>
  <c r="D1108" i="11"/>
  <c r="H1107" i="11"/>
  <c r="J1107" i="11"/>
  <c r="C1107" i="11"/>
  <c r="BD496" i="11" l="1"/>
  <c r="AZ497" i="11"/>
  <c r="BD497" i="11" s="1"/>
  <c r="X498" i="11"/>
  <c r="Z498" i="11" s="1"/>
  <c r="AY499" i="11"/>
  <c r="AW499" i="11"/>
  <c r="T499" i="11"/>
  <c r="E499" i="11"/>
  <c r="L499" i="11"/>
  <c r="M499" i="11"/>
  <c r="N499" i="11"/>
  <c r="U499" i="11"/>
  <c r="F499" i="11"/>
  <c r="G499" i="11"/>
  <c r="V499" i="11"/>
  <c r="A502" i="11"/>
  <c r="BA502" i="11" s="1"/>
  <c r="BB501" i="11"/>
  <c r="E1107" i="11"/>
  <c r="F1107" i="11" s="1"/>
  <c r="G1108" i="11" s="1"/>
  <c r="D500" i="11"/>
  <c r="C499" i="11"/>
  <c r="I1107" i="11"/>
  <c r="B500" i="11"/>
  <c r="AV500" i="11" s="1"/>
  <c r="AU498" i="11"/>
  <c r="AT498" i="11"/>
  <c r="AR498" i="11"/>
  <c r="AS498" i="11"/>
  <c r="AO498" i="11"/>
  <c r="AJ498" i="11"/>
  <c r="AK498" i="11"/>
  <c r="AL498" i="11"/>
  <c r="AQ498" i="11"/>
  <c r="AP498" i="11"/>
  <c r="AM498" i="11"/>
  <c r="AN498" i="11"/>
  <c r="D1109" i="11"/>
  <c r="H1108" i="11"/>
  <c r="C1108" i="11"/>
  <c r="J1108" i="11"/>
  <c r="BC497" i="11" l="1"/>
  <c r="AZ498" i="11"/>
  <c r="BD498" i="11" s="1"/>
  <c r="X499" i="11"/>
  <c r="Z499" i="11" s="1"/>
  <c r="AY500" i="11"/>
  <c r="AW500" i="11"/>
  <c r="T500" i="11"/>
  <c r="L500" i="11"/>
  <c r="E500" i="11"/>
  <c r="M500" i="11"/>
  <c r="N500" i="11"/>
  <c r="U500" i="11"/>
  <c r="G500" i="11"/>
  <c r="F500" i="11"/>
  <c r="V500" i="11"/>
  <c r="A503" i="11"/>
  <c r="BA503" i="11" s="1"/>
  <c r="BB502" i="11"/>
  <c r="E1108" i="11"/>
  <c r="F1108" i="11" s="1"/>
  <c r="G1109" i="11" s="1"/>
  <c r="I1108" i="11"/>
  <c r="C500" i="11"/>
  <c r="D501" i="11"/>
  <c r="B501" i="11"/>
  <c r="AV501" i="11" s="1"/>
  <c r="AU499" i="11"/>
  <c r="AT499" i="11"/>
  <c r="AS499" i="11"/>
  <c r="AR499" i="11"/>
  <c r="AQ499" i="11"/>
  <c r="AL499" i="11"/>
  <c r="AM499" i="11"/>
  <c r="AN499" i="11"/>
  <c r="AK499" i="11"/>
  <c r="AP499" i="11"/>
  <c r="AO499" i="11"/>
  <c r="AJ499" i="11"/>
  <c r="D1110" i="11"/>
  <c r="H1109" i="11"/>
  <c r="J1109" i="11"/>
  <c r="C1109" i="11"/>
  <c r="BC498" i="11" l="1"/>
  <c r="AZ499" i="11"/>
  <c r="X500" i="11"/>
  <c r="Z500" i="11" s="1"/>
  <c r="AY501" i="11"/>
  <c r="AW501" i="11"/>
  <c r="T501" i="11"/>
  <c r="L501" i="11"/>
  <c r="E501" i="11"/>
  <c r="N501" i="11"/>
  <c r="M501" i="11"/>
  <c r="U501" i="11"/>
  <c r="F501" i="11"/>
  <c r="G501" i="11"/>
  <c r="V501" i="11"/>
  <c r="BD499" i="11"/>
  <c r="BC499" i="11"/>
  <c r="A504" i="11"/>
  <c r="BA504" i="11" s="1"/>
  <c r="BB503" i="11"/>
  <c r="E1109" i="11"/>
  <c r="F1109" i="11" s="1"/>
  <c r="G1110" i="11" s="1"/>
  <c r="D502" i="11"/>
  <c r="C501" i="11"/>
  <c r="X501" i="11" s="1"/>
  <c r="Z501" i="11" s="1"/>
  <c r="I1109" i="11"/>
  <c r="B502" i="11"/>
  <c r="AV502" i="11" s="1"/>
  <c r="AU500" i="11"/>
  <c r="AS500" i="11"/>
  <c r="AR500" i="11"/>
  <c r="AT500" i="11"/>
  <c r="AM500" i="11"/>
  <c r="AN500" i="11"/>
  <c r="AO500" i="11"/>
  <c r="AJ500" i="11"/>
  <c r="AK500" i="11"/>
  <c r="AP500" i="11"/>
  <c r="AQ500" i="11"/>
  <c r="AL500" i="11"/>
  <c r="D1111" i="11"/>
  <c r="H1110" i="11"/>
  <c r="C1110" i="11"/>
  <c r="J1110" i="11"/>
  <c r="AZ500" i="11" l="1"/>
  <c r="BC500" i="11" s="1"/>
  <c r="AY502" i="11"/>
  <c r="AW502" i="11"/>
  <c r="T502" i="11"/>
  <c r="L502" i="11"/>
  <c r="E502" i="11"/>
  <c r="M502" i="11"/>
  <c r="N502" i="11"/>
  <c r="U502" i="11"/>
  <c r="G502" i="11"/>
  <c r="F502" i="11"/>
  <c r="V502" i="11"/>
  <c r="A505" i="11"/>
  <c r="BA505" i="11" s="1"/>
  <c r="BB504" i="11"/>
  <c r="I1110" i="11"/>
  <c r="E1110" i="11"/>
  <c r="F1110" i="11" s="1"/>
  <c r="G1111" i="11" s="1"/>
  <c r="C502" i="11"/>
  <c r="D503" i="11"/>
  <c r="B503" i="11"/>
  <c r="AV503" i="11" s="1"/>
  <c r="AU501" i="11"/>
  <c r="AT501" i="11"/>
  <c r="AS501" i="11"/>
  <c r="AR501" i="11"/>
  <c r="AL501" i="11"/>
  <c r="AN501" i="11"/>
  <c r="AQ501" i="11"/>
  <c r="AO501" i="11"/>
  <c r="AJ501" i="11"/>
  <c r="AM501" i="11"/>
  <c r="AK501" i="11"/>
  <c r="AP501" i="11"/>
  <c r="AZ501" i="11"/>
  <c r="D1112" i="11"/>
  <c r="H1111" i="11"/>
  <c r="J1111" i="11"/>
  <c r="C1111" i="11"/>
  <c r="BD500" i="11" l="1"/>
  <c r="X502" i="11"/>
  <c r="Z502" i="11" s="1"/>
  <c r="AY503" i="11"/>
  <c r="AW503" i="11"/>
  <c r="L503" i="11"/>
  <c r="E503" i="11"/>
  <c r="T503" i="11"/>
  <c r="M503" i="11"/>
  <c r="N503" i="11"/>
  <c r="U503" i="11"/>
  <c r="F503" i="11"/>
  <c r="G503" i="11"/>
  <c r="V503" i="11"/>
  <c r="BC501" i="11"/>
  <c r="BD501" i="11"/>
  <c r="A506" i="11"/>
  <c r="BA506" i="11" s="1"/>
  <c r="BB505" i="11"/>
  <c r="E1111" i="11"/>
  <c r="F1111" i="11" s="1"/>
  <c r="G1112" i="11" s="1"/>
  <c r="I1111" i="11"/>
  <c r="D504" i="11"/>
  <c r="C503" i="11"/>
  <c r="B504" i="11"/>
  <c r="AV504" i="11" s="1"/>
  <c r="AU502" i="11"/>
  <c r="AR502" i="11"/>
  <c r="AS502" i="11"/>
  <c r="AT502" i="11"/>
  <c r="AQ502" i="11"/>
  <c r="AO502" i="11"/>
  <c r="AJ502" i="11"/>
  <c r="AM502" i="11"/>
  <c r="AL502" i="11"/>
  <c r="AK502" i="11"/>
  <c r="AP502" i="11"/>
  <c r="AN502" i="11"/>
  <c r="D1113" i="11"/>
  <c r="H1112" i="11"/>
  <c r="C1112" i="11"/>
  <c r="J1112" i="11"/>
  <c r="AZ502" i="11" l="1"/>
  <c r="BC502" i="11" s="1"/>
  <c r="X503" i="11"/>
  <c r="Z503" i="11" s="1"/>
  <c r="AY504" i="11"/>
  <c r="AW504" i="11"/>
  <c r="L504" i="11"/>
  <c r="E504" i="11"/>
  <c r="T504" i="11"/>
  <c r="M504" i="11"/>
  <c r="N504" i="11"/>
  <c r="U504" i="11"/>
  <c r="G504" i="11"/>
  <c r="F504" i="11"/>
  <c r="V504" i="11"/>
  <c r="A507" i="11"/>
  <c r="BA507" i="11" s="1"/>
  <c r="BB506" i="11"/>
  <c r="I1112" i="11"/>
  <c r="E1112" i="11"/>
  <c r="F1112" i="11" s="1"/>
  <c r="G1113" i="11" s="1"/>
  <c r="C504" i="11"/>
  <c r="D505" i="11"/>
  <c r="B505" i="11"/>
  <c r="AV505" i="11" s="1"/>
  <c r="AT503" i="11"/>
  <c r="AU503" i="11"/>
  <c r="AR503" i="11"/>
  <c r="AS503" i="11"/>
  <c r="AL503" i="11"/>
  <c r="AN503" i="11"/>
  <c r="AQ503" i="11"/>
  <c r="AO503" i="11"/>
  <c r="AJ503" i="11"/>
  <c r="AM503" i="11"/>
  <c r="AK503" i="11"/>
  <c r="AP503" i="11"/>
  <c r="D1114" i="11"/>
  <c r="H1113" i="11"/>
  <c r="J1113" i="11"/>
  <c r="C1113" i="11"/>
  <c r="BD502" i="11" l="1"/>
  <c r="AZ503" i="11"/>
  <c r="BC503" i="11" s="1"/>
  <c r="X504" i="11"/>
  <c r="Z504" i="11" s="1"/>
  <c r="AY505" i="11"/>
  <c r="AW505" i="11"/>
  <c r="T505" i="11"/>
  <c r="L505" i="11"/>
  <c r="E505" i="11"/>
  <c r="N505" i="11"/>
  <c r="M505" i="11"/>
  <c r="U505" i="11"/>
  <c r="G505" i="11"/>
  <c r="F505" i="11"/>
  <c r="V505" i="11"/>
  <c r="BD503" i="11"/>
  <c r="A508" i="11"/>
  <c r="BA508" i="11" s="1"/>
  <c r="BB507" i="11"/>
  <c r="E1113" i="11"/>
  <c r="F1113" i="11" s="1"/>
  <c r="G1114" i="11" s="1"/>
  <c r="D506" i="11"/>
  <c r="C505" i="11"/>
  <c r="I1113" i="11"/>
  <c r="B506" i="11"/>
  <c r="AV506" i="11" s="1"/>
  <c r="AU504" i="11"/>
  <c r="AT504" i="11"/>
  <c r="AS504" i="11"/>
  <c r="AR504" i="11"/>
  <c r="AM504" i="11"/>
  <c r="AK504" i="11"/>
  <c r="AP504" i="11"/>
  <c r="AL504" i="11"/>
  <c r="AN504" i="11"/>
  <c r="AQ504" i="11"/>
  <c r="AO504" i="11"/>
  <c r="AJ504" i="11"/>
  <c r="D1115" i="11"/>
  <c r="H1114" i="11"/>
  <c r="C1114" i="11"/>
  <c r="J1114" i="11"/>
  <c r="X505" i="11" l="1"/>
  <c r="Z505" i="11" s="1"/>
  <c r="AZ504" i="11"/>
  <c r="BD504" i="11" s="1"/>
  <c r="AY506" i="11"/>
  <c r="AW506" i="11"/>
  <c r="T506" i="11"/>
  <c r="E506" i="11"/>
  <c r="L506" i="11"/>
  <c r="M506" i="11"/>
  <c r="N506" i="11"/>
  <c r="U506" i="11"/>
  <c r="G506" i="11"/>
  <c r="F506" i="11"/>
  <c r="V506" i="11"/>
  <c r="A509" i="11"/>
  <c r="BA509" i="11" s="1"/>
  <c r="BB508" i="11"/>
  <c r="I1114" i="11"/>
  <c r="E1114" i="11"/>
  <c r="F1114" i="11" s="1"/>
  <c r="G1115" i="11" s="1"/>
  <c r="C506" i="11"/>
  <c r="D507" i="11"/>
  <c r="B507" i="11"/>
  <c r="AV507" i="11" s="1"/>
  <c r="AT505" i="11"/>
  <c r="AS505" i="11"/>
  <c r="AU505" i="11"/>
  <c r="AR505" i="11"/>
  <c r="AP505" i="11"/>
  <c r="AO505" i="11"/>
  <c r="AM505" i="11"/>
  <c r="AL505" i="11"/>
  <c r="AN505" i="11"/>
  <c r="AQ505" i="11"/>
  <c r="AK505" i="11"/>
  <c r="AJ505" i="11"/>
  <c r="D1116" i="11"/>
  <c r="H1115" i="11"/>
  <c r="J1115" i="11"/>
  <c r="C1115" i="11"/>
  <c r="AZ505" i="11" l="1"/>
  <c r="BC504" i="11"/>
  <c r="X506" i="11"/>
  <c r="Z506" i="11" s="1"/>
  <c r="AY507" i="11"/>
  <c r="AW507" i="11"/>
  <c r="T507" i="11"/>
  <c r="E507" i="11"/>
  <c r="L507" i="11"/>
  <c r="M507" i="11"/>
  <c r="N507" i="11"/>
  <c r="U507" i="11"/>
  <c r="F507" i="11"/>
  <c r="G507" i="11"/>
  <c r="V507" i="11"/>
  <c r="BD505" i="11"/>
  <c r="BC505" i="11"/>
  <c r="A510" i="11"/>
  <c r="BA510" i="11" s="1"/>
  <c r="BB509" i="11"/>
  <c r="I1115" i="11"/>
  <c r="D508" i="11"/>
  <c r="C507" i="11"/>
  <c r="E1115" i="11"/>
  <c r="F1115" i="11" s="1"/>
  <c r="G1116" i="11" s="1"/>
  <c r="B508" i="11"/>
  <c r="AV508" i="11" s="1"/>
  <c r="AU506" i="11"/>
  <c r="AS506" i="11"/>
  <c r="AR506" i="11"/>
  <c r="AT506" i="11"/>
  <c r="AL506" i="11"/>
  <c r="AN506" i="11"/>
  <c r="AQ506" i="11"/>
  <c r="AO506" i="11"/>
  <c r="AJ506" i="11"/>
  <c r="AP506" i="11"/>
  <c r="AM506" i="11"/>
  <c r="AK506" i="11"/>
  <c r="D1117" i="11"/>
  <c r="H1116" i="11"/>
  <c r="C1116" i="11"/>
  <c r="J1116" i="11"/>
  <c r="AZ506" i="11" l="1"/>
  <c r="BC506" i="11" s="1"/>
  <c r="X507" i="11"/>
  <c r="Z507" i="11" s="1"/>
  <c r="AY508" i="11"/>
  <c r="AW508" i="11"/>
  <c r="L508" i="11"/>
  <c r="T508" i="11"/>
  <c r="E508" i="11"/>
  <c r="M508" i="11"/>
  <c r="N508" i="11"/>
  <c r="U508" i="11"/>
  <c r="F508" i="11"/>
  <c r="G508" i="11"/>
  <c r="V508" i="11"/>
  <c r="A511" i="11"/>
  <c r="BA511" i="11" s="1"/>
  <c r="BB510" i="11"/>
  <c r="I1116" i="11"/>
  <c r="E1116" i="11"/>
  <c r="F1116" i="11" s="1"/>
  <c r="G1117" i="11" s="1"/>
  <c r="C508" i="11"/>
  <c r="D509" i="11"/>
  <c r="B509" i="11"/>
  <c r="AV509" i="11" s="1"/>
  <c r="AU507" i="11"/>
  <c r="AS507" i="11"/>
  <c r="AR507" i="11"/>
  <c r="AT507" i="11"/>
  <c r="AM507" i="11"/>
  <c r="AK507" i="11"/>
  <c r="AL507" i="11"/>
  <c r="AN507" i="11"/>
  <c r="AP507" i="11"/>
  <c r="AQ507" i="11"/>
  <c r="AO507" i="11"/>
  <c r="AJ507" i="11"/>
  <c r="D1118" i="11"/>
  <c r="H1117" i="11"/>
  <c r="J1117" i="11"/>
  <c r="C1117" i="11"/>
  <c r="BD506" i="11" l="1"/>
  <c r="AZ507" i="11"/>
  <c r="BD507" i="11" s="1"/>
  <c r="X508" i="11"/>
  <c r="Z508" i="11" s="1"/>
  <c r="AY509" i="11"/>
  <c r="AW509" i="11"/>
  <c r="T509" i="11"/>
  <c r="L509" i="11"/>
  <c r="E509" i="11"/>
  <c r="N509" i="11"/>
  <c r="M509" i="11"/>
  <c r="U509" i="11"/>
  <c r="G509" i="11"/>
  <c r="F509" i="11"/>
  <c r="V509" i="11"/>
  <c r="BC507" i="11"/>
  <c r="A512" i="11"/>
  <c r="BA512" i="11" s="1"/>
  <c r="BB511" i="11"/>
  <c r="I1117" i="11"/>
  <c r="D510" i="11"/>
  <c r="C509" i="11"/>
  <c r="E1117" i="11"/>
  <c r="F1117" i="11" s="1"/>
  <c r="G1118" i="11" s="1"/>
  <c r="B510" i="11"/>
  <c r="AV510" i="11" s="1"/>
  <c r="AU508" i="11"/>
  <c r="AT508" i="11"/>
  <c r="AS508" i="11"/>
  <c r="AR508" i="11"/>
  <c r="AM508" i="11"/>
  <c r="AK508" i="11"/>
  <c r="AP508" i="11"/>
  <c r="AL508" i="11"/>
  <c r="AN508" i="11"/>
  <c r="AQ508" i="11"/>
  <c r="AO508" i="11"/>
  <c r="AJ508" i="11"/>
  <c r="D1119" i="11"/>
  <c r="H1118" i="11"/>
  <c r="C1118" i="11"/>
  <c r="J1118" i="11"/>
  <c r="X509" i="11" l="1"/>
  <c r="Z509" i="11" s="1"/>
  <c r="AZ508" i="11"/>
  <c r="BD508" i="11" s="1"/>
  <c r="AY510" i="11"/>
  <c r="AW510" i="11"/>
  <c r="L510" i="11"/>
  <c r="E510" i="11"/>
  <c r="T510" i="11"/>
  <c r="M510" i="11"/>
  <c r="N510" i="11"/>
  <c r="U510" i="11"/>
  <c r="G510" i="11"/>
  <c r="F510" i="11"/>
  <c r="V510" i="11"/>
  <c r="A513" i="11"/>
  <c r="BA513" i="11" s="1"/>
  <c r="BB512" i="11"/>
  <c r="I1118" i="11"/>
  <c r="C510" i="11"/>
  <c r="D511" i="11"/>
  <c r="E1118" i="11"/>
  <c r="F1118" i="11" s="1"/>
  <c r="G1119" i="11" s="1"/>
  <c r="B511" i="11"/>
  <c r="AV511" i="11" s="1"/>
  <c r="AT509" i="11"/>
  <c r="AS509" i="11"/>
  <c r="AU509" i="11"/>
  <c r="AR509" i="11"/>
  <c r="AQ509" i="11"/>
  <c r="AO509" i="11"/>
  <c r="AJ509" i="11"/>
  <c r="AM509" i="11"/>
  <c r="AK509" i="11"/>
  <c r="AP509" i="11"/>
  <c r="AL509" i="11"/>
  <c r="AN509" i="11"/>
  <c r="D1120" i="11"/>
  <c r="H1119" i="11"/>
  <c r="J1119" i="11"/>
  <c r="C1119" i="11"/>
  <c r="BC508" i="11" l="1"/>
  <c r="AZ509" i="11"/>
  <c r="X510" i="11"/>
  <c r="Z510" i="11" s="1"/>
  <c r="AY511" i="11"/>
  <c r="AW511" i="11"/>
  <c r="T511" i="11"/>
  <c r="L511" i="11"/>
  <c r="E511" i="11"/>
  <c r="M511" i="11"/>
  <c r="N511" i="11"/>
  <c r="U511" i="11"/>
  <c r="G511" i="11"/>
  <c r="F511" i="11"/>
  <c r="V511" i="11"/>
  <c r="BC509" i="11"/>
  <c r="BD509" i="11"/>
  <c r="A514" i="11"/>
  <c r="BA514" i="11" s="1"/>
  <c r="BB513" i="11"/>
  <c r="I1119" i="11"/>
  <c r="D512" i="11"/>
  <c r="C511" i="11"/>
  <c r="E1119" i="11"/>
  <c r="F1119" i="11" s="1"/>
  <c r="G1120" i="11" s="1"/>
  <c r="B512" i="11"/>
  <c r="AV512" i="11" s="1"/>
  <c r="AU510" i="11"/>
  <c r="AR510" i="11"/>
  <c r="AS510" i="11"/>
  <c r="AT510" i="11"/>
  <c r="AQ510" i="11"/>
  <c r="AO510" i="11"/>
  <c r="AJ510" i="11"/>
  <c r="AL510" i="11"/>
  <c r="AM510" i="11"/>
  <c r="AK510" i="11"/>
  <c r="AP510" i="11"/>
  <c r="AN510" i="11"/>
  <c r="D1121" i="11"/>
  <c r="H1120" i="11"/>
  <c r="C1120" i="11"/>
  <c r="J1120" i="11"/>
  <c r="AZ510" i="11" l="1"/>
  <c r="BD510" i="11" s="1"/>
  <c r="X511" i="11"/>
  <c r="Z511" i="11" s="1"/>
  <c r="AY512" i="11"/>
  <c r="AW512" i="11"/>
  <c r="L512" i="11"/>
  <c r="T512" i="11"/>
  <c r="E512" i="11"/>
  <c r="M512" i="11"/>
  <c r="N512" i="11"/>
  <c r="U512" i="11"/>
  <c r="F512" i="11"/>
  <c r="G512" i="11"/>
  <c r="V512" i="11"/>
  <c r="BC510" i="11"/>
  <c r="A515" i="11"/>
  <c r="BB514" i="11"/>
  <c r="C512" i="11"/>
  <c r="D513" i="11"/>
  <c r="E1120" i="11"/>
  <c r="F1120" i="11" s="1"/>
  <c r="G1121" i="11" s="1"/>
  <c r="I1120" i="11"/>
  <c r="B513" i="11"/>
  <c r="AV513" i="11" s="1"/>
  <c r="AS511" i="11"/>
  <c r="AU511" i="11"/>
  <c r="AT511" i="11"/>
  <c r="AR511" i="11"/>
  <c r="AL511" i="11"/>
  <c r="AN511" i="11"/>
  <c r="AQ511" i="11"/>
  <c r="AO511" i="11"/>
  <c r="AJ511" i="11"/>
  <c r="AP511" i="11"/>
  <c r="AM511" i="11"/>
  <c r="AK511" i="11"/>
  <c r="D1122" i="11"/>
  <c r="H1121" i="11"/>
  <c r="J1121" i="11"/>
  <c r="C1121" i="11"/>
  <c r="X512" i="11" l="1"/>
  <c r="Z512" i="11" s="1"/>
  <c r="AZ511" i="11"/>
  <c r="BD511" i="11" s="1"/>
  <c r="AY513" i="11"/>
  <c r="AW513" i="11"/>
  <c r="T513" i="11"/>
  <c r="L513" i="11"/>
  <c r="E513" i="11"/>
  <c r="N513" i="11"/>
  <c r="M513" i="11"/>
  <c r="U513" i="11"/>
  <c r="G513" i="11"/>
  <c r="F513" i="11"/>
  <c r="V513" i="11"/>
  <c r="A516" i="11"/>
  <c r="BA516" i="11" s="1"/>
  <c r="E1121" i="11"/>
  <c r="F1121" i="11" s="1"/>
  <c r="G1122" i="11" s="1"/>
  <c r="D514" i="11"/>
  <c r="C513" i="11"/>
  <c r="I1121" i="11"/>
  <c r="B514" i="11"/>
  <c r="AV514" i="11" s="1"/>
  <c r="AU512" i="11"/>
  <c r="AT512" i="11"/>
  <c r="AS512" i="11"/>
  <c r="AR512" i="11"/>
  <c r="AL512" i="11"/>
  <c r="AN512" i="11"/>
  <c r="AQ512" i="11"/>
  <c r="AJ512" i="11"/>
  <c r="AP512" i="11"/>
  <c r="AO512" i="11"/>
  <c r="AM512" i="11"/>
  <c r="AK512" i="11"/>
  <c r="D1123" i="11"/>
  <c r="H1122" i="11"/>
  <c r="C1122" i="11"/>
  <c r="J1122" i="11"/>
  <c r="BC511" i="11" l="1"/>
  <c r="AZ512" i="11"/>
  <c r="X513" i="11"/>
  <c r="Z513" i="11" s="1"/>
  <c r="AY514" i="11"/>
  <c r="AW514" i="11"/>
  <c r="E514" i="11"/>
  <c r="T514" i="11"/>
  <c r="L514" i="11"/>
  <c r="M514" i="11"/>
  <c r="N514" i="11"/>
  <c r="U514" i="11"/>
  <c r="G514" i="11"/>
  <c r="F514" i="11"/>
  <c r="V514" i="11"/>
  <c r="BD512" i="11"/>
  <c r="BC512" i="11"/>
  <c r="A517" i="11"/>
  <c r="BA517" i="11" s="1"/>
  <c r="BB516" i="11"/>
  <c r="I1122" i="11"/>
  <c r="C514" i="11"/>
  <c r="D515" i="11"/>
  <c r="E1122" i="11"/>
  <c r="F1122" i="11" s="1"/>
  <c r="G1123" i="11" s="1"/>
  <c r="B515" i="11"/>
  <c r="AV515" i="11" s="1"/>
  <c r="AT513" i="11"/>
  <c r="AS513" i="11"/>
  <c r="AU513" i="11"/>
  <c r="AR513" i="11"/>
  <c r="AL513" i="11"/>
  <c r="AN513" i="11"/>
  <c r="AQ513" i="11"/>
  <c r="AO513" i="11"/>
  <c r="AJ513" i="11"/>
  <c r="AM513" i="11"/>
  <c r="AK513" i="11"/>
  <c r="AP513" i="11"/>
  <c r="D1124" i="11"/>
  <c r="H1123" i="11"/>
  <c r="J1123" i="11"/>
  <c r="C1123" i="11"/>
  <c r="AZ513" i="11" l="1"/>
  <c r="BD513" i="11" s="1"/>
  <c r="X514" i="11"/>
  <c r="Z514" i="11" s="1"/>
  <c r="AY515" i="11"/>
  <c r="AW515" i="11"/>
  <c r="E515" i="11"/>
  <c r="T515" i="11"/>
  <c r="L515" i="11"/>
  <c r="M515" i="11"/>
  <c r="N515" i="11"/>
  <c r="U515" i="11"/>
  <c r="G515" i="11"/>
  <c r="F515" i="11"/>
  <c r="V515" i="11"/>
  <c r="A518" i="11"/>
  <c r="BA518" i="11" s="1"/>
  <c r="BB517" i="11"/>
  <c r="I1123" i="11"/>
  <c r="D516" i="11"/>
  <c r="C515" i="11"/>
  <c r="E1123" i="11"/>
  <c r="F1123" i="11" s="1"/>
  <c r="G1124" i="11" s="1"/>
  <c r="B516" i="11"/>
  <c r="AV516" i="11" s="1"/>
  <c r="AU514" i="11"/>
  <c r="AT514" i="11"/>
  <c r="AR514" i="11"/>
  <c r="AS514" i="11"/>
  <c r="AQ514" i="11"/>
  <c r="AO514" i="11"/>
  <c r="AJ514" i="11"/>
  <c r="AP514" i="11"/>
  <c r="AM514" i="11"/>
  <c r="AK514" i="11"/>
  <c r="AL514" i="11"/>
  <c r="AN514" i="11"/>
  <c r="D1125" i="11"/>
  <c r="H1124" i="11"/>
  <c r="C1124" i="11"/>
  <c r="J1124" i="11"/>
  <c r="BC513" i="11" l="1"/>
  <c r="X515" i="11"/>
  <c r="Z515" i="11" s="1"/>
  <c r="AZ514" i="11"/>
  <c r="BC514" i="11" s="1"/>
  <c r="AY516" i="11"/>
  <c r="AW516" i="11"/>
  <c r="T516" i="11"/>
  <c r="L516" i="11"/>
  <c r="E516" i="11"/>
  <c r="M516" i="11"/>
  <c r="N516" i="11"/>
  <c r="U516" i="11"/>
  <c r="F516" i="11"/>
  <c r="G516" i="11"/>
  <c r="V516" i="11"/>
  <c r="A519" i="11"/>
  <c r="BA519" i="11" s="1"/>
  <c r="BB518" i="11"/>
  <c r="I1124" i="11"/>
  <c r="D517" i="11"/>
  <c r="C516" i="11"/>
  <c r="E1124" i="11"/>
  <c r="F1124" i="11" s="1"/>
  <c r="G1125" i="11" s="1"/>
  <c r="B517" i="11"/>
  <c r="AV517" i="11" s="1"/>
  <c r="AU515" i="11"/>
  <c r="AS515" i="11"/>
  <c r="AR515" i="11"/>
  <c r="AT515" i="11"/>
  <c r="AM515" i="11"/>
  <c r="AK515" i="11"/>
  <c r="AO515" i="11"/>
  <c r="AP515" i="11"/>
  <c r="AL515" i="11"/>
  <c r="AN515" i="11"/>
  <c r="AQ515" i="11"/>
  <c r="AJ515" i="11"/>
  <c r="D1126" i="11"/>
  <c r="H1125" i="11"/>
  <c r="J1125" i="11"/>
  <c r="C1125" i="11"/>
  <c r="BD514" i="11" l="1"/>
  <c r="X516" i="11"/>
  <c r="Z516" i="11" s="1"/>
  <c r="AZ515" i="11"/>
  <c r="AY517" i="11"/>
  <c r="AW517" i="11"/>
  <c r="T517" i="11"/>
  <c r="L517" i="11"/>
  <c r="E517" i="11"/>
  <c r="N517" i="11"/>
  <c r="M517" i="11"/>
  <c r="U517" i="11"/>
  <c r="F517" i="11"/>
  <c r="G517" i="11"/>
  <c r="V517" i="11"/>
  <c r="A520" i="11"/>
  <c r="BA520" i="11" s="1"/>
  <c r="BB519" i="11"/>
  <c r="I1125" i="11"/>
  <c r="D518" i="11"/>
  <c r="C517" i="11"/>
  <c r="E1125" i="11"/>
  <c r="F1125" i="11" s="1"/>
  <c r="G1126" i="11" s="1"/>
  <c r="B518" i="11"/>
  <c r="AV518" i="11" s="1"/>
  <c r="AS516" i="11"/>
  <c r="AU516" i="11"/>
  <c r="AT516" i="11"/>
  <c r="AR516" i="11"/>
  <c r="AL516" i="11"/>
  <c r="AQ516" i="11"/>
  <c r="AO516" i="11"/>
  <c r="AJ516" i="11"/>
  <c r="AM516" i="11"/>
  <c r="AK516" i="11"/>
  <c r="AP516" i="11"/>
  <c r="AN516" i="11"/>
  <c r="D1127" i="11"/>
  <c r="H1126" i="11"/>
  <c r="C1126" i="11"/>
  <c r="J1126" i="11"/>
  <c r="AZ516" i="11" l="1"/>
  <c r="BC516" i="11" s="1"/>
  <c r="X517" i="11"/>
  <c r="Z517" i="11" s="1"/>
  <c r="AY518" i="11"/>
  <c r="AW518" i="11"/>
  <c r="T518" i="11"/>
  <c r="L518" i="11"/>
  <c r="E518" i="11"/>
  <c r="M518" i="11"/>
  <c r="N518" i="11"/>
  <c r="U518" i="11"/>
  <c r="G518" i="11"/>
  <c r="F518" i="11"/>
  <c r="V518" i="11"/>
  <c r="BD516" i="11"/>
  <c r="A521" i="11"/>
  <c r="BA521" i="11" s="1"/>
  <c r="BB520" i="11"/>
  <c r="I1126" i="11"/>
  <c r="C518" i="11"/>
  <c r="D519" i="11"/>
  <c r="E1126" i="11"/>
  <c r="F1126" i="11" s="1"/>
  <c r="G1127" i="11" s="1"/>
  <c r="B519" i="11"/>
  <c r="AV519" i="11" s="1"/>
  <c r="AU517" i="11"/>
  <c r="AT517" i="11"/>
  <c r="AS517" i="11"/>
  <c r="AR517" i="11"/>
  <c r="AM517" i="11"/>
  <c r="AK517" i="11"/>
  <c r="AP517" i="11"/>
  <c r="AL517" i="11"/>
  <c r="AN517" i="11"/>
  <c r="AQ517" i="11"/>
  <c r="AO517" i="11"/>
  <c r="AJ517" i="11"/>
  <c r="D1128" i="11"/>
  <c r="H1127" i="11"/>
  <c r="J1127" i="11"/>
  <c r="C1127" i="11"/>
  <c r="X518" i="11" l="1"/>
  <c r="Z518" i="11" s="1"/>
  <c r="AZ517" i="11"/>
  <c r="BC517" i="11" s="1"/>
  <c r="AY519" i="11"/>
  <c r="AW519" i="11"/>
  <c r="T519" i="11"/>
  <c r="L519" i="11"/>
  <c r="E519" i="11"/>
  <c r="M519" i="11"/>
  <c r="N519" i="11"/>
  <c r="U519" i="11"/>
  <c r="G519" i="11"/>
  <c r="F519" i="11"/>
  <c r="V519" i="11"/>
  <c r="A522" i="11"/>
  <c r="BA522" i="11" s="1"/>
  <c r="BB521" i="11"/>
  <c r="I1127" i="11"/>
  <c r="D520" i="11"/>
  <c r="C519" i="11"/>
  <c r="E1127" i="11"/>
  <c r="F1127" i="11" s="1"/>
  <c r="G1128" i="11" s="1"/>
  <c r="B520" i="11"/>
  <c r="AV520" i="11" s="1"/>
  <c r="AU518" i="11"/>
  <c r="AR518" i="11"/>
  <c r="AT518" i="11"/>
  <c r="AS518" i="11"/>
  <c r="AQ518" i="11"/>
  <c r="AM518" i="11"/>
  <c r="AP518" i="11"/>
  <c r="AL518" i="11"/>
  <c r="AN518" i="11"/>
  <c r="AO518" i="11"/>
  <c r="AJ518" i="11"/>
  <c r="AK518" i="11"/>
  <c r="D1129" i="11"/>
  <c r="H1128" i="11"/>
  <c r="C1128" i="11"/>
  <c r="J1128" i="11"/>
  <c r="BD517" i="11" l="1"/>
  <c r="AZ518" i="11"/>
  <c r="BD518" i="11" s="1"/>
  <c r="X519" i="11"/>
  <c r="Z519" i="11" s="1"/>
  <c r="AY520" i="11"/>
  <c r="AW520" i="11"/>
  <c r="L520" i="11"/>
  <c r="T520" i="11"/>
  <c r="E520" i="11"/>
  <c r="M520" i="11"/>
  <c r="N520" i="11"/>
  <c r="U520" i="11"/>
  <c r="G520" i="11"/>
  <c r="F520" i="11"/>
  <c r="V520" i="11"/>
  <c r="A523" i="11"/>
  <c r="BA523" i="11" s="1"/>
  <c r="BB522" i="11"/>
  <c r="I1128" i="11"/>
  <c r="C520" i="11"/>
  <c r="D521" i="11"/>
  <c r="E1128" i="11"/>
  <c r="F1128" i="11" s="1"/>
  <c r="G1129" i="11" s="1"/>
  <c r="B521" i="11"/>
  <c r="AV521" i="11" s="1"/>
  <c r="AT519" i="11"/>
  <c r="AU519" i="11"/>
  <c r="AR519" i="11"/>
  <c r="AS519" i="11"/>
  <c r="AM519" i="11"/>
  <c r="AK519" i="11"/>
  <c r="AN519" i="11"/>
  <c r="AQ519" i="11"/>
  <c r="AO519" i="11"/>
  <c r="AJ519" i="11"/>
  <c r="AP519" i="11"/>
  <c r="AL519" i="11"/>
  <c r="D1130" i="11"/>
  <c r="H1129" i="11"/>
  <c r="J1129" i="11"/>
  <c r="C1129" i="11"/>
  <c r="BC518" i="11" l="1"/>
  <c r="AZ519" i="11"/>
  <c r="BD519" i="11" s="1"/>
  <c r="X520" i="11"/>
  <c r="Z520" i="11" s="1"/>
  <c r="AY521" i="11"/>
  <c r="AW521" i="11"/>
  <c r="T521" i="11"/>
  <c r="L521" i="11"/>
  <c r="E521" i="11"/>
  <c r="N521" i="11"/>
  <c r="M521" i="11"/>
  <c r="U521" i="11"/>
  <c r="G521" i="11"/>
  <c r="F521" i="11"/>
  <c r="V521" i="11"/>
  <c r="A524" i="11"/>
  <c r="BA524" i="11" s="1"/>
  <c r="BB523" i="11"/>
  <c r="I1129" i="11"/>
  <c r="D522" i="11"/>
  <c r="C521" i="11"/>
  <c r="E1129" i="11"/>
  <c r="F1129" i="11" s="1"/>
  <c r="G1130" i="11" s="1"/>
  <c r="B522" i="11"/>
  <c r="AV522" i="11" s="1"/>
  <c r="AU520" i="11"/>
  <c r="AT520" i="11"/>
  <c r="AS520" i="11"/>
  <c r="AR520" i="11"/>
  <c r="AM520" i="11"/>
  <c r="AK520" i="11"/>
  <c r="AQ520" i="11"/>
  <c r="AO520" i="11"/>
  <c r="AP520" i="11"/>
  <c r="AL520" i="11"/>
  <c r="AN520" i="11"/>
  <c r="AJ520" i="11"/>
  <c r="D1131" i="11"/>
  <c r="H1130" i="11"/>
  <c r="C1130" i="11"/>
  <c r="J1130" i="11"/>
  <c r="BC519" i="11" l="1"/>
  <c r="AZ520" i="11"/>
  <c r="BD520" i="11" s="1"/>
  <c r="X521" i="11"/>
  <c r="Z521" i="11" s="1"/>
  <c r="AY522" i="11"/>
  <c r="AW522" i="11"/>
  <c r="T522" i="11"/>
  <c r="E522" i="11"/>
  <c r="L522" i="11"/>
  <c r="M522" i="11"/>
  <c r="N522" i="11"/>
  <c r="U522" i="11"/>
  <c r="G522" i="11"/>
  <c r="F522" i="11"/>
  <c r="V522" i="11"/>
  <c r="A525" i="11"/>
  <c r="BA525" i="11" s="1"/>
  <c r="BB524" i="11"/>
  <c r="I1130" i="11"/>
  <c r="C522" i="11"/>
  <c r="D523" i="11"/>
  <c r="E1130" i="11"/>
  <c r="F1130" i="11" s="1"/>
  <c r="G1131" i="11" s="1"/>
  <c r="B523" i="11"/>
  <c r="AV523" i="11" s="1"/>
  <c r="AU521" i="11"/>
  <c r="AT521" i="11"/>
  <c r="AS521" i="11"/>
  <c r="AR521" i="11"/>
  <c r="AQ521" i="11"/>
  <c r="AO521" i="11"/>
  <c r="AJ521" i="11"/>
  <c r="AP521" i="11"/>
  <c r="AM521" i="11"/>
  <c r="AK521" i="11"/>
  <c r="AL521" i="11"/>
  <c r="AN521" i="11"/>
  <c r="D1132" i="11"/>
  <c r="H1131" i="11"/>
  <c r="J1131" i="11"/>
  <c r="C1131" i="11"/>
  <c r="BC520" i="11" l="1"/>
  <c r="AZ521" i="11"/>
  <c r="BC521" i="11" s="1"/>
  <c r="X522" i="11"/>
  <c r="Z522" i="11" s="1"/>
  <c r="AY523" i="11"/>
  <c r="AW523" i="11"/>
  <c r="T523" i="11"/>
  <c r="E523" i="11"/>
  <c r="L523" i="11"/>
  <c r="M523" i="11"/>
  <c r="N523" i="11"/>
  <c r="U523" i="11"/>
  <c r="G523" i="11"/>
  <c r="F523" i="11"/>
  <c r="V523" i="11"/>
  <c r="A526" i="11"/>
  <c r="BA526" i="11" s="1"/>
  <c r="BB525" i="11"/>
  <c r="E1131" i="11"/>
  <c r="F1131" i="11" s="1"/>
  <c r="G1132" i="11" s="1"/>
  <c r="D524" i="11"/>
  <c r="C523" i="11"/>
  <c r="I1131" i="11"/>
  <c r="B524" i="11"/>
  <c r="AV524" i="11" s="1"/>
  <c r="AU522" i="11"/>
  <c r="AS522" i="11"/>
  <c r="AR522" i="11"/>
  <c r="AT522" i="11"/>
  <c r="AL522" i="11"/>
  <c r="AN522" i="11"/>
  <c r="AQ522" i="11"/>
  <c r="AO522" i="11"/>
  <c r="AJ522" i="11"/>
  <c r="AM522" i="11"/>
  <c r="AK522" i="11"/>
  <c r="AP522" i="11"/>
  <c r="D1133" i="11"/>
  <c r="H1132" i="11"/>
  <c r="C1132" i="11"/>
  <c r="J1132" i="11"/>
  <c r="BD521" i="11" l="1"/>
  <c r="AZ522" i="11"/>
  <c r="BD522" i="11" s="1"/>
  <c r="X523" i="11"/>
  <c r="Z523" i="11" s="1"/>
  <c r="AY524" i="11"/>
  <c r="AW524" i="11"/>
  <c r="L524" i="11"/>
  <c r="E524" i="11"/>
  <c r="T524" i="11"/>
  <c r="M524" i="11"/>
  <c r="N524" i="11"/>
  <c r="U524" i="11"/>
  <c r="F524" i="11"/>
  <c r="G524" i="11"/>
  <c r="V524" i="11"/>
  <c r="A527" i="11"/>
  <c r="BA527" i="11" s="1"/>
  <c r="BB526" i="11"/>
  <c r="I1132" i="11"/>
  <c r="C524" i="11"/>
  <c r="X524" i="11" s="1"/>
  <c r="Z524" i="11" s="1"/>
  <c r="D525" i="11"/>
  <c r="E1132" i="11"/>
  <c r="F1132" i="11" s="1"/>
  <c r="G1133" i="11" s="1"/>
  <c r="B525" i="11"/>
  <c r="AV525" i="11" s="1"/>
  <c r="AU523" i="11"/>
  <c r="AS523" i="11"/>
  <c r="AR523" i="11"/>
  <c r="AT523" i="11"/>
  <c r="AQ523" i="11"/>
  <c r="AO523" i="11"/>
  <c r="AJ523" i="11"/>
  <c r="AM523" i="11"/>
  <c r="AK523" i="11"/>
  <c r="AL523" i="11"/>
  <c r="AN523" i="11"/>
  <c r="AP523" i="11"/>
  <c r="D1134" i="11"/>
  <c r="H1133" i="11"/>
  <c r="J1133" i="11"/>
  <c r="C1133" i="11"/>
  <c r="AZ523" i="11" l="1"/>
  <c r="BD523" i="11" s="1"/>
  <c r="BC522" i="11"/>
  <c r="AY525" i="11"/>
  <c r="AW525" i="11"/>
  <c r="T525" i="11"/>
  <c r="L525" i="11"/>
  <c r="E525" i="11"/>
  <c r="N525" i="11"/>
  <c r="M525" i="11"/>
  <c r="U525" i="11"/>
  <c r="G525" i="11"/>
  <c r="F525" i="11"/>
  <c r="V525" i="11"/>
  <c r="A528" i="11"/>
  <c r="BA528" i="11" s="1"/>
  <c r="BB527" i="11"/>
  <c r="E1133" i="11"/>
  <c r="F1133" i="11" s="1"/>
  <c r="G1134" i="11" s="1"/>
  <c r="D526" i="11"/>
  <c r="C525" i="11"/>
  <c r="I1133" i="11"/>
  <c r="B526" i="11"/>
  <c r="AV526" i="11" s="1"/>
  <c r="AU524" i="11"/>
  <c r="AT524" i="11"/>
  <c r="AR524" i="11"/>
  <c r="AS524" i="11"/>
  <c r="AQ524" i="11"/>
  <c r="AO524" i="11"/>
  <c r="AJ524" i="11"/>
  <c r="AM524" i="11"/>
  <c r="AK524" i="11"/>
  <c r="AP524" i="11"/>
  <c r="AZ524" i="11"/>
  <c r="AL524" i="11"/>
  <c r="AN524" i="11"/>
  <c r="J1134" i="11"/>
  <c r="D1135" i="11"/>
  <c r="H1134" i="11"/>
  <c r="C1134" i="11"/>
  <c r="BC523" i="11" l="1"/>
  <c r="X525" i="11"/>
  <c r="Z525" i="11" s="1"/>
  <c r="AY526" i="11"/>
  <c r="AW526" i="11"/>
  <c r="L526" i="11"/>
  <c r="E526" i="11"/>
  <c r="T526" i="11"/>
  <c r="M526" i="11"/>
  <c r="N526" i="11"/>
  <c r="U526" i="11"/>
  <c r="G526" i="11"/>
  <c r="F526" i="11"/>
  <c r="V526" i="11"/>
  <c r="BD524" i="11"/>
  <c r="BC524" i="11"/>
  <c r="A529" i="11"/>
  <c r="BA529" i="11" s="1"/>
  <c r="BB528" i="11"/>
  <c r="C526" i="11"/>
  <c r="D527" i="11"/>
  <c r="E1134" i="11"/>
  <c r="F1134" i="11" s="1"/>
  <c r="G1135" i="11" s="1"/>
  <c r="I1134" i="11"/>
  <c r="B527" i="11"/>
  <c r="AV527" i="11" s="1"/>
  <c r="AT525" i="11"/>
  <c r="AS525" i="11"/>
  <c r="AU525" i="11"/>
  <c r="AR525" i="11"/>
  <c r="AM525" i="11"/>
  <c r="AK525" i="11"/>
  <c r="AP525" i="11"/>
  <c r="AO525" i="11"/>
  <c r="AL525" i="11"/>
  <c r="AN525" i="11"/>
  <c r="AQ525" i="11"/>
  <c r="AJ525" i="11"/>
  <c r="J1135" i="11"/>
  <c r="D1136" i="11"/>
  <c r="H1135" i="11"/>
  <c r="C1135" i="11"/>
  <c r="AZ525" i="11" l="1"/>
  <c r="BD525" i="11" s="1"/>
  <c r="X526" i="11"/>
  <c r="Z526" i="11" s="1"/>
  <c r="AY527" i="11"/>
  <c r="AW527" i="11"/>
  <c r="T527" i="11"/>
  <c r="L527" i="11"/>
  <c r="E527" i="11"/>
  <c r="M527" i="11"/>
  <c r="N527" i="11"/>
  <c r="U527" i="11"/>
  <c r="G527" i="11"/>
  <c r="F527" i="11"/>
  <c r="V527" i="11"/>
  <c r="BC525" i="11"/>
  <c r="A530" i="11"/>
  <c r="BA530" i="11" s="1"/>
  <c r="BB529" i="11"/>
  <c r="E1135" i="11"/>
  <c r="F1135" i="11" s="1"/>
  <c r="G1136" i="11" s="1"/>
  <c r="I1135" i="11"/>
  <c r="D528" i="11"/>
  <c r="C527" i="11"/>
  <c r="B528" i="11"/>
  <c r="AV528" i="11" s="1"/>
  <c r="AU526" i="11"/>
  <c r="AR526" i="11"/>
  <c r="AT526" i="11"/>
  <c r="AS526" i="11"/>
  <c r="AQ526" i="11"/>
  <c r="AO526" i="11"/>
  <c r="AJ526" i="11"/>
  <c r="AM526" i="11"/>
  <c r="AL526" i="11"/>
  <c r="AN526" i="11"/>
  <c r="AK526" i="11"/>
  <c r="AP526" i="11"/>
  <c r="J1136" i="11"/>
  <c r="D1137" i="11"/>
  <c r="H1136" i="11"/>
  <c r="C1136" i="11"/>
  <c r="X527" i="11" l="1"/>
  <c r="Z527" i="11" s="1"/>
  <c r="AZ526" i="11"/>
  <c r="BD526" i="11" s="1"/>
  <c r="AY528" i="11"/>
  <c r="AW528" i="11"/>
  <c r="L528" i="11"/>
  <c r="T528" i="11"/>
  <c r="E528" i="11"/>
  <c r="M528" i="11"/>
  <c r="N528" i="11"/>
  <c r="U528" i="11"/>
  <c r="F528" i="11"/>
  <c r="G528" i="11"/>
  <c r="V528" i="11"/>
  <c r="BC526" i="11"/>
  <c r="A531" i="11"/>
  <c r="BA531" i="11" s="1"/>
  <c r="BB530" i="11"/>
  <c r="C528" i="11"/>
  <c r="D529" i="11"/>
  <c r="E1136" i="11"/>
  <c r="F1136" i="11" s="1"/>
  <c r="G1137" i="11" s="1"/>
  <c r="I1136" i="11"/>
  <c r="B529" i="11"/>
  <c r="AV529" i="11" s="1"/>
  <c r="AS527" i="11"/>
  <c r="AT527" i="11"/>
  <c r="AU527" i="11"/>
  <c r="AR527" i="11"/>
  <c r="AM527" i="11"/>
  <c r="AK527" i="11"/>
  <c r="AP527" i="11"/>
  <c r="AQ527" i="11"/>
  <c r="AJ527" i="11"/>
  <c r="AL527" i="11"/>
  <c r="AN527" i="11"/>
  <c r="AO527" i="11"/>
  <c r="J1137" i="11"/>
  <c r="D1138" i="11"/>
  <c r="H1137" i="11"/>
  <c r="C1137" i="11"/>
  <c r="AZ527" i="11" l="1"/>
  <c r="BD527" i="11" s="1"/>
  <c r="X528" i="11"/>
  <c r="Z528" i="11" s="1"/>
  <c r="AY529" i="11"/>
  <c r="AW529" i="11"/>
  <c r="T529" i="11"/>
  <c r="L529" i="11"/>
  <c r="E529" i="11"/>
  <c r="N529" i="11"/>
  <c r="M529" i="11"/>
  <c r="U529" i="11"/>
  <c r="G529" i="11"/>
  <c r="F529" i="11"/>
  <c r="V529" i="11"/>
  <c r="A532" i="11"/>
  <c r="BA532" i="11" s="1"/>
  <c r="BB531" i="11"/>
  <c r="E1137" i="11"/>
  <c r="F1137" i="11" s="1"/>
  <c r="G1138" i="11" s="1"/>
  <c r="D530" i="11"/>
  <c r="C529" i="11"/>
  <c r="I1137" i="11"/>
  <c r="B530" i="11"/>
  <c r="AV530" i="11" s="1"/>
  <c r="AU528" i="11"/>
  <c r="AS528" i="11"/>
  <c r="AR528" i="11"/>
  <c r="AT528" i="11"/>
  <c r="AL528" i="11"/>
  <c r="AN528" i="11"/>
  <c r="AO528" i="11"/>
  <c r="AM528" i="11"/>
  <c r="AK528" i="11"/>
  <c r="AQ528" i="11"/>
  <c r="AJ528" i="11"/>
  <c r="AP528" i="11"/>
  <c r="J1138" i="11"/>
  <c r="D1139" i="11"/>
  <c r="H1138" i="11"/>
  <c r="C1138" i="11"/>
  <c r="BC527" i="11" l="1"/>
  <c r="AZ528" i="11"/>
  <c r="BD528" i="11" s="1"/>
  <c r="X529" i="11"/>
  <c r="Z529" i="11" s="1"/>
  <c r="AY530" i="11"/>
  <c r="AW530" i="11"/>
  <c r="T530" i="11"/>
  <c r="E530" i="11"/>
  <c r="L530" i="11"/>
  <c r="M530" i="11"/>
  <c r="N530" i="11"/>
  <c r="U530" i="11"/>
  <c r="G530" i="11"/>
  <c r="F530" i="11"/>
  <c r="V530" i="11"/>
  <c r="A533" i="11"/>
  <c r="BA533" i="11" s="1"/>
  <c r="BB532" i="11"/>
  <c r="C530" i="11"/>
  <c r="D531" i="11"/>
  <c r="E1138" i="11"/>
  <c r="F1138" i="11" s="1"/>
  <c r="G1139" i="11" s="1"/>
  <c r="I1138" i="11"/>
  <c r="B531" i="11"/>
  <c r="AV531" i="11" s="1"/>
  <c r="AU529" i="11"/>
  <c r="AT529" i="11"/>
  <c r="AS529" i="11"/>
  <c r="AR529" i="11"/>
  <c r="AQ529" i="11"/>
  <c r="AO529" i="11"/>
  <c r="AJ529" i="11"/>
  <c r="AM529" i="11"/>
  <c r="AK529" i="11"/>
  <c r="AL529" i="11"/>
  <c r="AN529" i="11"/>
  <c r="AP529" i="11"/>
  <c r="J1139" i="11"/>
  <c r="D1140" i="11"/>
  <c r="H1139" i="11"/>
  <c r="C1139" i="11"/>
  <c r="BC528" i="11" l="1"/>
  <c r="AZ529" i="11"/>
  <c r="BC529" i="11" s="1"/>
  <c r="X530" i="11"/>
  <c r="Z530" i="11" s="1"/>
  <c r="AY531" i="11"/>
  <c r="AW531" i="11"/>
  <c r="T531" i="11"/>
  <c r="E531" i="11"/>
  <c r="L531" i="11"/>
  <c r="M531" i="11"/>
  <c r="N531" i="11"/>
  <c r="U531" i="11"/>
  <c r="G531" i="11"/>
  <c r="F531" i="11"/>
  <c r="V531" i="11"/>
  <c r="A534" i="11"/>
  <c r="BA534" i="11" s="1"/>
  <c r="BB533" i="11"/>
  <c r="E1139" i="11"/>
  <c r="F1139" i="11" s="1"/>
  <c r="G1140" i="11" s="1"/>
  <c r="D532" i="11"/>
  <c r="C531" i="11"/>
  <c r="I1139" i="11"/>
  <c r="B532" i="11"/>
  <c r="AV532" i="11" s="1"/>
  <c r="AU530" i="11"/>
  <c r="AT530" i="11"/>
  <c r="AR530" i="11"/>
  <c r="AS530" i="11"/>
  <c r="AQ530" i="11"/>
  <c r="AO530" i="11"/>
  <c r="AJ530" i="11"/>
  <c r="AM530" i="11"/>
  <c r="AK530" i="11"/>
  <c r="AL530" i="11"/>
  <c r="AP530" i="11"/>
  <c r="AN530" i="11"/>
  <c r="J1140" i="11"/>
  <c r="D1141" i="11"/>
  <c r="H1140" i="11"/>
  <c r="C1140" i="11"/>
  <c r="BD529" i="11" l="1"/>
  <c r="AZ530" i="11"/>
  <c r="BD530" i="11" s="1"/>
  <c r="X531" i="11"/>
  <c r="Z531" i="11" s="1"/>
  <c r="AY532" i="11"/>
  <c r="AW532" i="11"/>
  <c r="T532" i="11"/>
  <c r="L532" i="11"/>
  <c r="E532" i="11"/>
  <c r="M532" i="11"/>
  <c r="N532" i="11"/>
  <c r="U532" i="11"/>
  <c r="F532" i="11"/>
  <c r="G532" i="11"/>
  <c r="V532" i="11"/>
  <c r="BC530" i="11"/>
  <c r="A535" i="11"/>
  <c r="BA535" i="11" s="1"/>
  <c r="BB534" i="11"/>
  <c r="C532" i="11"/>
  <c r="D533" i="11"/>
  <c r="E1140" i="11"/>
  <c r="F1140" i="11" s="1"/>
  <c r="G1141" i="11" s="1"/>
  <c r="I1140" i="11"/>
  <c r="B533" i="11"/>
  <c r="AV533" i="11" s="1"/>
  <c r="AU531" i="11"/>
  <c r="AT531" i="11"/>
  <c r="AR531" i="11"/>
  <c r="AS531" i="11"/>
  <c r="AP531" i="11"/>
  <c r="AL531" i="11"/>
  <c r="AN531" i="11"/>
  <c r="AM531" i="11"/>
  <c r="AK531" i="11"/>
  <c r="AQ531" i="11"/>
  <c r="AO531" i="11"/>
  <c r="AJ531" i="11"/>
  <c r="J1141" i="11"/>
  <c r="D1142" i="11"/>
  <c r="H1141" i="11"/>
  <c r="C1141" i="11"/>
  <c r="AZ531" i="11" l="1"/>
  <c r="X532" i="11"/>
  <c r="Z532" i="11" s="1"/>
  <c r="AY533" i="11"/>
  <c r="AW533" i="11"/>
  <c r="T533" i="11"/>
  <c r="L533" i="11"/>
  <c r="E533" i="11"/>
  <c r="N533" i="11"/>
  <c r="M533" i="11"/>
  <c r="U533" i="11"/>
  <c r="F533" i="11"/>
  <c r="G533" i="11"/>
  <c r="V533" i="11"/>
  <c r="BD531" i="11"/>
  <c r="BC531" i="11"/>
  <c r="A536" i="11"/>
  <c r="BA536" i="11" s="1"/>
  <c r="BB535" i="11"/>
  <c r="E1141" i="11"/>
  <c r="F1141" i="11" s="1"/>
  <c r="G1142" i="11" s="1"/>
  <c r="D534" i="11"/>
  <c r="C533" i="11"/>
  <c r="I1141" i="11"/>
  <c r="B534" i="11"/>
  <c r="AV534" i="11" s="1"/>
  <c r="AU532" i="11"/>
  <c r="AS532" i="11"/>
  <c r="AT532" i="11"/>
  <c r="AR532" i="11"/>
  <c r="AQ532" i="11"/>
  <c r="AO532" i="11"/>
  <c r="AJ532" i="11"/>
  <c r="AL532" i="11"/>
  <c r="AM532" i="11"/>
  <c r="AK532" i="11"/>
  <c r="AP532" i="11"/>
  <c r="AN532" i="11"/>
  <c r="J1142" i="11"/>
  <c r="D1143" i="11"/>
  <c r="H1142" i="11"/>
  <c r="C1142" i="11"/>
  <c r="AZ532" i="11" l="1"/>
  <c r="BD532" i="11" s="1"/>
  <c r="X533" i="11"/>
  <c r="Z533" i="11" s="1"/>
  <c r="AY534" i="11"/>
  <c r="AW534" i="11"/>
  <c r="T534" i="11"/>
  <c r="L534" i="11"/>
  <c r="E534" i="11"/>
  <c r="M534" i="11"/>
  <c r="N534" i="11"/>
  <c r="U534" i="11"/>
  <c r="G534" i="11"/>
  <c r="F534" i="11"/>
  <c r="V534" i="11"/>
  <c r="A537" i="11"/>
  <c r="BA537" i="11" s="1"/>
  <c r="BB536" i="11"/>
  <c r="C534" i="11"/>
  <c r="D535" i="11"/>
  <c r="E1142" i="11"/>
  <c r="F1142" i="11" s="1"/>
  <c r="G1143" i="11" s="1"/>
  <c r="I1142" i="11"/>
  <c r="B535" i="11"/>
  <c r="AV535" i="11" s="1"/>
  <c r="AU533" i="11"/>
  <c r="AT533" i="11"/>
  <c r="AS533" i="11"/>
  <c r="AR533" i="11"/>
  <c r="AL533" i="11"/>
  <c r="AN533" i="11"/>
  <c r="AM533" i="11"/>
  <c r="AK533" i="11"/>
  <c r="AQ533" i="11"/>
  <c r="AO533" i="11"/>
  <c r="AJ533" i="11"/>
  <c r="AP533" i="11"/>
  <c r="J1143" i="11"/>
  <c r="D1144" i="11"/>
  <c r="H1143" i="11"/>
  <c r="C1143" i="11"/>
  <c r="BC532" i="11" l="1"/>
  <c r="X534" i="11"/>
  <c r="Z534" i="11" s="1"/>
  <c r="AZ533" i="11"/>
  <c r="BD533" i="11" s="1"/>
  <c r="AY535" i="11"/>
  <c r="AW535" i="11"/>
  <c r="L535" i="11"/>
  <c r="E535" i="11"/>
  <c r="T535" i="11"/>
  <c r="M535" i="11"/>
  <c r="N535" i="11"/>
  <c r="U535" i="11"/>
  <c r="F535" i="11"/>
  <c r="G535" i="11"/>
  <c r="V535" i="11"/>
  <c r="A538" i="11"/>
  <c r="BA538" i="11" s="1"/>
  <c r="BB537" i="11"/>
  <c r="E1143" i="11"/>
  <c r="F1143" i="11" s="1"/>
  <c r="G1144" i="11" s="1"/>
  <c r="I1143" i="11"/>
  <c r="D536" i="11"/>
  <c r="C535" i="11"/>
  <c r="B536" i="11"/>
  <c r="AV536" i="11" s="1"/>
  <c r="AU534" i="11"/>
  <c r="AR534" i="11"/>
  <c r="AT534" i="11"/>
  <c r="AS534" i="11"/>
  <c r="AL534" i="11"/>
  <c r="AN534" i="11"/>
  <c r="AQ534" i="11"/>
  <c r="AO534" i="11"/>
  <c r="AJ534" i="11"/>
  <c r="AM534" i="11"/>
  <c r="AK534" i="11"/>
  <c r="AP534" i="11"/>
  <c r="J1144" i="11"/>
  <c r="D1145" i="11"/>
  <c r="H1144" i="11"/>
  <c r="C1144" i="11"/>
  <c r="BC533" i="11" l="1"/>
  <c r="AZ534" i="11"/>
  <c r="X535" i="11"/>
  <c r="Z535" i="11" s="1"/>
  <c r="AY536" i="11"/>
  <c r="AW536" i="11"/>
  <c r="L536" i="11"/>
  <c r="E536" i="11"/>
  <c r="T536" i="11"/>
  <c r="M536" i="11"/>
  <c r="N536" i="11"/>
  <c r="U536" i="11"/>
  <c r="G536" i="11"/>
  <c r="F536" i="11"/>
  <c r="V536" i="11"/>
  <c r="BD534" i="11"/>
  <c r="BC534" i="11"/>
  <c r="A539" i="11"/>
  <c r="BA539" i="11" s="1"/>
  <c r="BB538" i="11"/>
  <c r="C536" i="11"/>
  <c r="D537" i="11"/>
  <c r="E1144" i="11"/>
  <c r="F1144" i="11" s="1"/>
  <c r="G1145" i="11" s="1"/>
  <c r="I1144" i="11"/>
  <c r="B537" i="11"/>
  <c r="AV537" i="11" s="1"/>
  <c r="AT535" i="11"/>
  <c r="AR535" i="11"/>
  <c r="AU535" i="11"/>
  <c r="AS535" i="11"/>
  <c r="AQ535" i="11"/>
  <c r="AO535" i="11"/>
  <c r="AJ535" i="11"/>
  <c r="AL535" i="11"/>
  <c r="AM535" i="11"/>
  <c r="AK535" i="11"/>
  <c r="AN535" i="11"/>
  <c r="AP535" i="11"/>
  <c r="J1145" i="11"/>
  <c r="D1146" i="11"/>
  <c r="H1145" i="11"/>
  <c r="C1145" i="11"/>
  <c r="AZ535" i="11" l="1"/>
  <c r="BD535" i="11" s="1"/>
  <c r="X536" i="11"/>
  <c r="Z536" i="11" s="1"/>
  <c r="AY537" i="11"/>
  <c r="AW537" i="11"/>
  <c r="T537" i="11"/>
  <c r="L537" i="11"/>
  <c r="E537" i="11"/>
  <c r="N537" i="11"/>
  <c r="M537" i="11"/>
  <c r="U537" i="11"/>
  <c r="G537" i="11"/>
  <c r="F537" i="11"/>
  <c r="V537" i="11"/>
  <c r="BC535" i="11"/>
  <c r="A540" i="11"/>
  <c r="BA540" i="11" s="1"/>
  <c r="BB539" i="11"/>
  <c r="I1145" i="11"/>
  <c r="D538" i="11"/>
  <c r="C537" i="11"/>
  <c r="E1145" i="11"/>
  <c r="F1145" i="11" s="1"/>
  <c r="G1146" i="11" s="1"/>
  <c r="B538" i="11"/>
  <c r="AV538" i="11" s="1"/>
  <c r="AU536" i="11"/>
  <c r="AS536" i="11"/>
  <c r="AR536" i="11"/>
  <c r="AT536" i="11"/>
  <c r="AQ536" i="11"/>
  <c r="AO536" i="11"/>
  <c r="AJ536" i="11"/>
  <c r="AM536" i="11"/>
  <c r="AK536" i="11"/>
  <c r="AP536" i="11"/>
  <c r="AL536" i="11"/>
  <c r="AN536" i="11"/>
  <c r="J1146" i="11"/>
  <c r="D1147" i="11"/>
  <c r="H1146" i="11"/>
  <c r="C1146" i="11"/>
  <c r="X537" i="11" l="1"/>
  <c r="Z537" i="11" s="1"/>
  <c r="AZ536" i="11"/>
  <c r="BC536" i="11" s="1"/>
  <c r="AY538" i="11"/>
  <c r="AW538" i="11"/>
  <c r="T538" i="11"/>
  <c r="E538" i="11"/>
  <c r="L538" i="11"/>
  <c r="M538" i="11"/>
  <c r="N538" i="11"/>
  <c r="U538" i="11"/>
  <c r="G538" i="11"/>
  <c r="F538" i="11"/>
  <c r="V538" i="11"/>
  <c r="A541" i="11"/>
  <c r="BA541" i="11" s="1"/>
  <c r="BB540" i="11"/>
  <c r="E1146" i="11"/>
  <c r="F1146" i="11" s="1"/>
  <c r="G1147" i="11" s="1"/>
  <c r="C538" i="11"/>
  <c r="D539" i="11"/>
  <c r="I1146" i="11"/>
  <c r="B539" i="11"/>
  <c r="AV539" i="11" s="1"/>
  <c r="AT537" i="11"/>
  <c r="AS537" i="11"/>
  <c r="AU537" i="11"/>
  <c r="AR537" i="11"/>
  <c r="AM537" i="11"/>
  <c r="AK537" i="11"/>
  <c r="AP537" i="11"/>
  <c r="AQ537" i="11"/>
  <c r="AO537" i="11"/>
  <c r="AJ537" i="11"/>
  <c r="AL537" i="11"/>
  <c r="AN537" i="11"/>
  <c r="J1147" i="11"/>
  <c r="D1148" i="11"/>
  <c r="H1147" i="11"/>
  <c r="C1147" i="11"/>
  <c r="BD536" i="11" l="1"/>
  <c r="AZ537" i="11"/>
  <c r="BC537" i="11" s="1"/>
  <c r="X538" i="11"/>
  <c r="Z538" i="11" s="1"/>
  <c r="AY539" i="11"/>
  <c r="AW539" i="11"/>
  <c r="T539" i="11"/>
  <c r="E539" i="11"/>
  <c r="L539" i="11"/>
  <c r="M539" i="11"/>
  <c r="N539" i="11"/>
  <c r="U539" i="11"/>
  <c r="G539" i="11"/>
  <c r="F539" i="11"/>
  <c r="V539" i="11"/>
  <c r="A542" i="11"/>
  <c r="BA542" i="11" s="1"/>
  <c r="BB541" i="11"/>
  <c r="D540" i="11"/>
  <c r="C539" i="11"/>
  <c r="X539" i="11" s="1"/>
  <c r="Z539" i="11" s="1"/>
  <c r="E1147" i="11"/>
  <c r="F1147" i="11" s="1"/>
  <c r="G1148" i="11" s="1"/>
  <c r="I1147" i="11"/>
  <c r="B540" i="11"/>
  <c r="AV540" i="11" s="1"/>
  <c r="AU538" i="11"/>
  <c r="AS538" i="11"/>
  <c r="AR538" i="11"/>
  <c r="AT538" i="11"/>
  <c r="AQ538" i="11"/>
  <c r="AO538" i="11"/>
  <c r="AJ538" i="11"/>
  <c r="AM538" i="11"/>
  <c r="AK538" i="11"/>
  <c r="AP538" i="11"/>
  <c r="AL538" i="11"/>
  <c r="AN538" i="11"/>
  <c r="J1148" i="11"/>
  <c r="D1149" i="11"/>
  <c r="H1148" i="11"/>
  <c r="C1148" i="11"/>
  <c r="BD537" i="11" l="1"/>
  <c r="AZ538" i="11"/>
  <c r="BC538" i="11" s="1"/>
  <c r="AY540" i="11"/>
  <c r="AW540" i="11"/>
  <c r="L540" i="11"/>
  <c r="T540" i="11"/>
  <c r="E540" i="11"/>
  <c r="M540" i="11"/>
  <c r="N540" i="11"/>
  <c r="U540" i="11"/>
  <c r="F540" i="11"/>
  <c r="G540" i="11"/>
  <c r="V540" i="11"/>
  <c r="BD538" i="11"/>
  <c r="A543" i="11"/>
  <c r="BA543" i="11" s="1"/>
  <c r="BB542" i="11"/>
  <c r="E1148" i="11"/>
  <c r="F1148" i="11" s="1"/>
  <c r="G1149" i="11" s="1"/>
  <c r="I1148" i="11"/>
  <c r="C540" i="11"/>
  <c r="D541" i="11"/>
  <c r="B541" i="11"/>
  <c r="AV541" i="11" s="1"/>
  <c r="AU539" i="11"/>
  <c r="AT539" i="11"/>
  <c r="AS539" i="11"/>
  <c r="AR539" i="11"/>
  <c r="AQ539" i="11"/>
  <c r="AO539" i="11"/>
  <c r="AJ539" i="11"/>
  <c r="AM539" i="11"/>
  <c r="AK539" i="11"/>
  <c r="AP539" i="11"/>
  <c r="AZ539" i="11"/>
  <c r="AL539" i="11"/>
  <c r="AN539" i="11"/>
  <c r="J1149" i="11"/>
  <c r="D1150" i="11"/>
  <c r="H1149" i="11"/>
  <c r="C1149" i="11"/>
  <c r="X540" i="11" l="1"/>
  <c r="Z540" i="11" s="1"/>
  <c r="AY541" i="11"/>
  <c r="AW541" i="11"/>
  <c r="L541" i="11"/>
  <c r="T541" i="11"/>
  <c r="E541" i="11"/>
  <c r="N541" i="11"/>
  <c r="M541" i="11"/>
  <c r="U541" i="11"/>
  <c r="G541" i="11"/>
  <c r="F541" i="11"/>
  <c r="V541" i="11"/>
  <c r="BD539" i="11"/>
  <c r="BC539" i="11"/>
  <c r="A544" i="11"/>
  <c r="BA544" i="11" s="1"/>
  <c r="BB543" i="11"/>
  <c r="D542" i="11"/>
  <c r="C541" i="11"/>
  <c r="E1149" i="11"/>
  <c r="F1149" i="11" s="1"/>
  <c r="G1150" i="11" s="1"/>
  <c r="I1149" i="11"/>
  <c r="B542" i="11"/>
  <c r="AV542" i="11" s="1"/>
  <c r="AT540" i="11"/>
  <c r="AU540" i="11"/>
  <c r="AR540" i="11"/>
  <c r="AS540" i="11"/>
  <c r="AM540" i="11"/>
  <c r="AJ540" i="11"/>
  <c r="AP540" i="11"/>
  <c r="AN540" i="11"/>
  <c r="AQ540" i="11"/>
  <c r="AL540" i="11"/>
  <c r="AK540" i="11"/>
  <c r="AO540" i="11"/>
  <c r="J1150" i="11"/>
  <c r="D1151" i="11"/>
  <c r="H1150" i="11"/>
  <c r="C1150" i="11"/>
  <c r="AZ540" i="11" l="1"/>
  <c r="X541" i="11"/>
  <c r="Z541" i="11" s="1"/>
  <c r="AY542" i="11"/>
  <c r="AW542" i="11"/>
  <c r="T542" i="11"/>
  <c r="L542" i="11"/>
  <c r="E542" i="11"/>
  <c r="M542" i="11"/>
  <c r="N542" i="11"/>
  <c r="U542" i="11"/>
  <c r="G542" i="11"/>
  <c r="F542" i="11"/>
  <c r="V542" i="11"/>
  <c r="BD540" i="11"/>
  <c r="BC540" i="11"/>
  <c r="A545" i="11"/>
  <c r="BA545" i="11" s="1"/>
  <c r="BB544" i="11"/>
  <c r="E1150" i="11"/>
  <c r="F1150" i="11" s="1"/>
  <c r="G1151" i="11" s="1"/>
  <c r="I1150" i="11"/>
  <c r="C542" i="11"/>
  <c r="D543" i="11"/>
  <c r="B543" i="11"/>
  <c r="AV543" i="11" s="1"/>
  <c r="AT541" i="11"/>
  <c r="AS541" i="11"/>
  <c r="AU541" i="11"/>
  <c r="AR541" i="11"/>
  <c r="AL541" i="11"/>
  <c r="AJ541" i="11"/>
  <c r="AM541" i="11"/>
  <c r="AK541" i="11"/>
  <c r="AO541" i="11"/>
  <c r="AQ541" i="11"/>
  <c r="AP541" i="11"/>
  <c r="AN541" i="11"/>
  <c r="J1151" i="11"/>
  <c r="D1152" i="11"/>
  <c r="H1151" i="11"/>
  <c r="C1151" i="11"/>
  <c r="AZ541" i="11" l="1"/>
  <c r="X542" i="11"/>
  <c r="Z542" i="11" s="1"/>
  <c r="AY543" i="11"/>
  <c r="AW543" i="11"/>
  <c r="T543" i="11"/>
  <c r="L543" i="11"/>
  <c r="E543" i="11"/>
  <c r="M543" i="11"/>
  <c r="N543" i="11"/>
  <c r="U543" i="11"/>
  <c r="F543" i="11"/>
  <c r="G543" i="11"/>
  <c r="V543" i="11"/>
  <c r="BC541" i="11"/>
  <c r="BD541" i="11"/>
  <c r="A546" i="11"/>
  <c r="BA546" i="11" s="1"/>
  <c r="BB545" i="11"/>
  <c r="D544" i="11"/>
  <c r="C543" i="11"/>
  <c r="E1151" i="11"/>
  <c r="F1151" i="11" s="1"/>
  <c r="G1152" i="11" s="1"/>
  <c r="I1151" i="11"/>
  <c r="B544" i="11"/>
  <c r="AV544" i="11" s="1"/>
  <c r="AU542" i="11"/>
  <c r="AR542" i="11"/>
  <c r="AT542" i="11"/>
  <c r="AS542" i="11"/>
  <c r="AQ542" i="11"/>
  <c r="AL542" i="11"/>
  <c r="AJ542" i="11"/>
  <c r="AM542" i="11"/>
  <c r="AP542" i="11"/>
  <c r="AN542" i="11"/>
  <c r="AK542" i="11"/>
  <c r="AO542" i="11"/>
  <c r="J1152" i="11"/>
  <c r="D1153" i="11"/>
  <c r="H1152" i="11"/>
  <c r="C1152" i="11"/>
  <c r="AZ542" i="11" l="1"/>
  <c r="BC542" i="11" s="1"/>
  <c r="X543" i="11"/>
  <c r="Z543" i="11" s="1"/>
  <c r="AY544" i="11"/>
  <c r="AW544" i="11"/>
  <c r="L544" i="11"/>
  <c r="T544" i="11"/>
  <c r="E544" i="11"/>
  <c r="M544" i="11"/>
  <c r="N544" i="11"/>
  <c r="U544" i="11"/>
  <c r="F544" i="11"/>
  <c r="G544" i="11"/>
  <c r="V544" i="11"/>
  <c r="A547" i="11"/>
  <c r="BA547" i="11" s="1"/>
  <c r="BB546" i="11"/>
  <c r="E1152" i="11"/>
  <c r="F1152" i="11" s="1"/>
  <c r="G1153" i="11" s="1"/>
  <c r="I1152" i="11"/>
  <c r="C544" i="11"/>
  <c r="D545" i="11"/>
  <c r="B545" i="11"/>
  <c r="AV545" i="11" s="1"/>
  <c r="AU543" i="11"/>
  <c r="AS543" i="11"/>
  <c r="AR543" i="11"/>
  <c r="AT543" i="11"/>
  <c r="AJ543" i="11"/>
  <c r="AP543" i="11"/>
  <c r="AQ543" i="11"/>
  <c r="AN543" i="11"/>
  <c r="AK543" i="11"/>
  <c r="AM543" i="11"/>
  <c r="AO543" i="11"/>
  <c r="AL543" i="11"/>
  <c r="J1153" i="11"/>
  <c r="D1154" i="11"/>
  <c r="H1153" i="11"/>
  <c r="C1153" i="11"/>
  <c r="BD542" i="11" l="1"/>
  <c r="X544" i="11"/>
  <c r="Z544" i="11" s="1"/>
  <c r="AZ543" i="11"/>
  <c r="BD543" i="11" s="1"/>
  <c r="AY545" i="11"/>
  <c r="AW545" i="11"/>
  <c r="L545" i="11"/>
  <c r="T545" i="11"/>
  <c r="E545" i="11"/>
  <c r="N545" i="11"/>
  <c r="M545" i="11"/>
  <c r="U545" i="11"/>
  <c r="G545" i="11"/>
  <c r="F545" i="11"/>
  <c r="V545" i="11"/>
  <c r="A548" i="11"/>
  <c r="BA548" i="11" s="1"/>
  <c r="BB547" i="11"/>
  <c r="D546" i="11"/>
  <c r="C545" i="11"/>
  <c r="E1153" i="11"/>
  <c r="F1153" i="11" s="1"/>
  <c r="G1154" i="11" s="1"/>
  <c r="I1153" i="11"/>
  <c r="B546" i="11"/>
  <c r="AV546" i="11" s="1"/>
  <c r="AU544" i="11"/>
  <c r="AS544" i="11"/>
  <c r="AT544" i="11"/>
  <c r="AR544" i="11"/>
  <c r="AQ544" i="11"/>
  <c r="AO544" i="11"/>
  <c r="AL544" i="11"/>
  <c r="AJ544" i="11"/>
  <c r="AN544" i="11"/>
  <c r="AM544" i="11"/>
  <c r="AP544" i="11"/>
  <c r="AK544" i="11"/>
  <c r="J1154" i="11"/>
  <c r="D1155" i="11"/>
  <c r="H1154" i="11"/>
  <c r="C1154" i="11"/>
  <c r="BC543" i="11" l="1"/>
  <c r="AZ544" i="11"/>
  <c r="BD544" i="11" s="1"/>
  <c r="X545" i="11"/>
  <c r="Z545" i="11" s="1"/>
  <c r="AY546" i="11"/>
  <c r="AW546" i="11"/>
  <c r="T546" i="11"/>
  <c r="E546" i="11"/>
  <c r="L546" i="11"/>
  <c r="M546" i="11"/>
  <c r="N546" i="11"/>
  <c r="U546" i="11"/>
  <c r="G546" i="11"/>
  <c r="F546" i="11"/>
  <c r="V546" i="11"/>
  <c r="BC544" i="11"/>
  <c r="A549" i="11"/>
  <c r="BA549" i="11" s="1"/>
  <c r="BB548" i="11"/>
  <c r="E1154" i="11"/>
  <c r="F1154" i="11" s="1"/>
  <c r="G1155" i="11" s="1"/>
  <c r="I1154" i="11"/>
  <c r="C546" i="11"/>
  <c r="X546" i="11" s="1"/>
  <c r="Z546" i="11" s="1"/>
  <c r="D547" i="11"/>
  <c r="B547" i="11"/>
  <c r="AV547" i="11" s="1"/>
  <c r="AT545" i="11"/>
  <c r="AS545" i="11"/>
  <c r="AR545" i="11"/>
  <c r="AU545" i="11"/>
  <c r="AL545" i="11"/>
  <c r="AJ545" i="11"/>
  <c r="AQ545" i="11"/>
  <c r="AP545" i="11"/>
  <c r="AN545" i="11"/>
  <c r="AM545" i="11"/>
  <c r="AK545" i="11"/>
  <c r="AO545" i="11"/>
  <c r="J1155" i="11"/>
  <c r="D1156" i="11"/>
  <c r="H1155" i="11"/>
  <c r="C1155" i="11"/>
  <c r="AZ545" i="11" l="1"/>
  <c r="BD545" i="11" s="1"/>
  <c r="AY547" i="11"/>
  <c r="AW547" i="11"/>
  <c r="T547" i="11"/>
  <c r="E547" i="11"/>
  <c r="L547" i="11"/>
  <c r="M547" i="11"/>
  <c r="N547" i="11"/>
  <c r="U547" i="11"/>
  <c r="G547" i="11"/>
  <c r="F547" i="11"/>
  <c r="V547" i="11"/>
  <c r="BC545" i="11"/>
  <c r="A550" i="11"/>
  <c r="BA550" i="11" s="1"/>
  <c r="BB549" i="11"/>
  <c r="D548" i="11"/>
  <c r="C547" i="11"/>
  <c r="E1155" i="11"/>
  <c r="F1155" i="11" s="1"/>
  <c r="G1156" i="11" s="1"/>
  <c r="I1155" i="11"/>
  <c r="B548" i="11"/>
  <c r="AV548" i="11" s="1"/>
  <c r="AU546" i="11"/>
  <c r="AT546" i="11"/>
  <c r="AR546" i="11"/>
  <c r="AS546" i="11"/>
  <c r="AJ546" i="11"/>
  <c r="AK546" i="11"/>
  <c r="AZ546" i="11"/>
  <c r="AO546" i="11"/>
  <c r="AN546" i="11"/>
  <c r="AQ546" i="11"/>
  <c r="AP546" i="11"/>
  <c r="AM546" i="11"/>
  <c r="AL546" i="11"/>
  <c r="J1156" i="11"/>
  <c r="D1157" i="11"/>
  <c r="H1156" i="11"/>
  <c r="C1156" i="11"/>
  <c r="X547" i="11" l="1"/>
  <c r="Z547" i="11" s="1"/>
  <c r="AY548" i="11"/>
  <c r="AW548" i="11"/>
  <c r="L548" i="11"/>
  <c r="T548" i="11"/>
  <c r="E548" i="11"/>
  <c r="M548" i="11"/>
  <c r="N548" i="11"/>
  <c r="U548" i="11"/>
  <c r="F548" i="11"/>
  <c r="G548" i="11"/>
  <c r="V548" i="11"/>
  <c r="BD546" i="11"/>
  <c r="BC546" i="11"/>
  <c r="A551" i="11"/>
  <c r="BA551" i="11" s="1"/>
  <c r="BB550" i="11"/>
  <c r="E1156" i="11"/>
  <c r="F1156" i="11" s="1"/>
  <c r="G1157" i="11" s="1"/>
  <c r="I1156" i="11"/>
  <c r="C548" i="11"/>
  <c r="D549" i="11"/>
  <c r="B549" i="11"/>
  <c r="AV549" i="11" s="1"/>
  <c r="AT547" i="11"/>
  <c r="AU547" i="11"/>
  <c r="AS547" i="11"/>
  <c r="AR547" i="11"/>
  <c r="AJ547" i="11"/>
  <c r="AO547" i="11"/>
  <c r="AQ547" i="11"/>
  <c r="AL547" i="11"/>
  <c r="AN547" i="11"/>
  <c r="AP547" i="11"/>
  <c r="AM547" i="11"/>
  <c r="AK547" i="11"/>
  <c r="J1157" i="11"/>
  <c r="D1158" i="11"/>
  <c r="H1157" i="11"/>
  <c r="C1157" i="11"/>
  <c r="AZ547" i="11" l="1"/>
  <c r="X548" i="11"/>
  <c r="Z548" i="11" s="1"/>
  <c r="AY549" i="11"/>
  <c r="AW549" i="11"/>
  <c r="L549" i="11"/>
  <c r="T549" i="11"/>
  <c r="E549" i="11"/>
  <c r="N549" i="11"/>
  <c r="M549" i="11"/>
  <c r="U549" i="11"/>
  <c r="G549" i="11"/>
  <c r="F549" i="11"/>
  <c r="V549" i="11"/>
  <c r="BD547" i="11"/>
  <c r="BC547" i="11"/>
  <c r="A552" i="11"/>
  <c r="BA552" i="11" s="1"/>
  <c r="BB551" i="11"/>
  <c r="D550" i="11"/>
  <c r="C549" i="11"/>
  <c r="E1157" i="11"/>
  <c r="F1157" i="11" s="1"/>
  <c r="G1158" i="11" s="1"/>
  <c r="I1157" i="11"/>
  <c r="B550" i="11"/>
  <c r="AV550" i="11" s="1"/>
  <c r="AS548" i="11"/>
  <c r="AU548" i="11"/>
  <c r="AT548" i="11"/>
  <c r="AR548" i="11"/>
  <c r="AM548" i="11"/>
  <c r="AO548" i="11"/>
  <c r="AN548" i="11"/>
  <c r="AL548" i="11"/>
  <c r="AQ548" i="11"/>
  <c r="AP548" i="11"/>
  <c r="AJ548" i="11"/>
  <c r="AK548" i="11"/>
  <c r="J1158" i="11"/>
  <c r="D1159" i="11"/>
  <c r="H1158" i="11"/>
  <c r="C1158" i="11"/>
  <c r="AZ548" i="11" l="1"/>
  <c r="BD548" i="11" s="1"/>
  <c r="X549" i="11"/>
  <c r="Z549" i="11" s="1"/>
  <c r="AY550" i="11"/>
  <c r="AW550" i="11"/>
  <c r="T550" i="11"/>
  <c r="L550" i="11"/>
  <c r="E550" i="11"/>
  <c r="M550" i="11"/>
  <c r="N550" i="11"/>
  <c r="U550" i="11"/>
  <c r="G550" i="11"/>
  <c r="F550" i="11"/>
  <c r="V550" i="11"/>
  <c r="A553" i="11"/>
  <c r="BA553" i="11" s="1"/>
  <c r="BB552" i="11"/>
  <c r="E1158" i="11"/>
  <c r="F1158" i="11" s="1"/>
  <c r="G1159" i="11" s="1"/>
  <c r="I1158" i="11"/>
  <c r="C550" i="11"/>
  <c r="D551" i="11"/>
  <c r="B551" i="11"/>
  <c r="AV551" i="11" s="1"/>
  <c r="AU549" i="11"/>
  <c r="AT549" i="11"/>
  <c r="AS549" i="11"/>
  <c r="AR549" i="11"/>
  <c r="AM549" i="11"/>
  <c r="AK549" i="11"/>
  <c r="AN549" i="11"/>
  <c r="AP549" i="11"/>
  <c r="AQ549" i="11"/>
  <c r="AJ549" i="11"/>
  <c r="AO549" i="11"/>
  <c r="AL549" i="11"/>
  <c r="J1159" i="11"/>
  <c r="D1160" i="11"/>
  <c r="H1159" i="11"/>
  <c r="C1159" i="11"/>
  <c r="BC548" i="11" l="1"/>
  <c r="AZ549" i="11"/>
  <c r="BD549" i="11" s="1"/>
  <c r="X550" i="11"/>
  <c r="Z550" i="11" s="1"/>
  <c r="AY551" i="11"/>
  <c r="AW551" i="11"/>
  <c r="T551" i="11"/>
  <c r="L551" i="11"/>
  <c r="E551" i="11"/>
  <c r="M551" i="11"/>
  <c r="N551" i="11"/>
  <c r="U551" i="11"/>
  <c r="F551" i="11"/>
  <c r="G551" i="11"/>
  <c r="V551" i="11"/>
  <c r="A554" i="11"/>
  <c r="BB553" i="11"/>
  <c r="D552" i="11"/>
  <c r="C551" i="11"/>
  <c r="E1159" i="11"/>
  <c r="F1159" i="11" s="1"/>
  <c r="G1160" i="11" s="1"/>
  <c r="I1159" i="11"/>
  <c r="B552" i="11"/>
  <c r="AV552" i="11" s="1"/>
  <c r="AU550" i="11"/>
  <c r="AR550" i="11"/>
  <c r="AS550" i="11"/>
  <c r="AT550" i="11"/>
  <c r="AN550" i="11"/>
  <c r="AL550" i="11"/>
  <c r="AJ550" i="11"/>
  <c r="AK550" i="11"/>
  <c r="AQ550" i="11"/>
  <c r="AP550" i="11"/>
  <c r="AM550" i="11"/>
  <c r="AO550" i="11"/>
  <c r="J1160" i="11"/>
  <c r="D1161" i="11"/>
  <c r="H1160" i="11"/>
  <c r="C1160" i="11"/>
  <c r="BC549" i="11" l="1"/>
  <c r="AZ550" i="11"/>
  <c r="BC550" i="11" s="1"/>
  <c r="X551" i="11"/>
  <c r="Z551" i="11" s="1"/>
  <c r="AY552" i="11"/>
  <c r="AW552" i="11"/>
  <c r="L552" i="11"/>
  <c r="T552" i="11"/>
  <c r="E552" i="11"/>
  <c r="M552" i="11"/>
  <c r="N552" i="11"/>
  <c r="U552" i="11"/>
  <c r="G552" i="11"/>
  <c r="F552" i="11"/>
  <c r="V552" i="11"/>
  <c r="A555" i="11"/>
  <c r="BA555" i="11" s="1"/>
  <c r="E1160" i="11"/>
  <c r="F1160" i="11" s="1"/>
  <c r="G1161" i="11" s="1"/>
  <c r="I1160" i="11"/>
  <c r="C552" i="11"/>
  <c r="D553" i="11"/>
  <c r="B553" i="11"/>
  <c r="AV553" i="11" s="1"/>
  <c r="AU551" i="11"/>
  <c r="AT551" i="11"/>
  <c r="AS551" i="11"/>
  <c r="AR551" i="11"/>
  <c r="AM551" i="11"/>
  <c r="AK551" i="11"/>
  <c r="AN551" i="11"/>
  <c r="AP551" i="11"/>
  <c r="AJ551" i="11"/>
  <c r="AO551" i="11"/>
  <c r="AQ551" i="11"/>
  <c r="AL551" i="11"/>
  <c r="J1161" i="11"/>
  <c r="D1162" i="11"/>
  <c r="H1161" i="11"/>
  <c r="C1161" i="11"/>
  <c r="BD550" i="11" l="1"/>
  <c r="X552" i="11"/>
  <c r="Z552" i="11" s="1"/>
  <c r="AZ551" i="11"/>
  <c r="BC551" i="11" s="1"/>
  <c r="AY553" i="11"/>
  <c r="AW553" i="11"/>
  <c r="L553" i="11"/>
  <c r="E553" i="11"/>
  <c r="T553" i="11"/>
  <c r="N553" i="11"/>
  <c r="M553" i="11"/>
  <c r="U553" i="11"/>
  <c r="F553" i="11"/>
  <c r="G553" i="11"/>
  <c r="V553" i="11"/>
  <c r="A556" i="11"/>
  <c r="BA556" i="11" s="1"/>
  <c r="BB555" i="11"/>
  <c r="D554" i="11"/>
  <c r="C553" i="11"/>
  <c r="E1161" i="11"/>
  <c r="F1161" i="11" s="1"/>
  <c r="G1162" i="11" s="1"/>
  <c r="I1161" i="11"/>
  <c r="B554" i="11"/>
  <c r="AV554" i="11" s="1"/>
  <c r="AU552" i="11"/>
  <c r="AS552" i="11"/>
  <c r="AR552" i="11"/>
  <c r="AT552" i="11"/>
  <c r="AM552" i="11"/>
  <c r="AO552" i="11"/>
  <c r="AJ552" i="11"/>
  <c r="AK552" i="11"/>
  <c r="AN552" i="11"/>
  <c r="AL552" i="11"/>
  <c r="AQ552" i="11"/>
  <c r="AP552" i="11"/>
  <c r="J1162" i="11"/>
  <c r="D1163" i="11"/>
  <c r="H1162" i="11"/>
  <c r="C1162" i="11"/>
  <c r="AZ552" i="11" l="1"/>
  <c r="BD551" i="11"/>
  <c r="X553" i="11"/>
  <c r="Z553" i="11" s="1"/>
  <c r="AY554" i="11"/>
  <c r="AW554" i="11"/>
  <c r="T554" i="11"/>
  <c r="E554" i="11"/>
  <c r="L554" i="11"/>
  <c r="M554" i="11"/>
  <c r="N554" i="11"/>
  <c r="U554" i="11"/>
  <c r="G554" i="11"/>
  <c r="F554" i="11"/>
  <c r="V554" i="11"/>
  <c r="BD552" i="11"/>
  <c r="BC552" i="11"/>
  <c r="A557" i="11"/>
  <c r="BA557" i="11" s="1"/>
  <c r="BB556" i="11"/>
  <c r="E1162" i="11"/>
  <c r="F1162" i="11" s="1"/>
  <c r="G1163" i="11" s="1"/>
  <c r="I1162" i="11"/>
  <c r="C554" i="11"/>
  <c r="D555" i="11"/>
  <c r="B555" i="11"/>
  <c r="AV555" i="11" s="1"/>
  <c r="AT553" i="11"/>
  <c r="AS553" i="11"/>
  <c r="AU553" i="11"/>
  <c r="AR553" i="11"/>
  <c r="AQ553" i="11"/>
  <c r="AL553" i="11"/>
  <c r="AM553" i="11"/>
  <c r="AK553" i="11"/>
  <c r="AJ553" i="11"/>
  <c r="AN553" i="11"/>
  <c r="AP553" i="11"/>
  <c r="AO553" i="11"/>
  <c r="J1163" i="11"/>
  <c r="D1164" i="11"/>
  <c r="H1163" i="11"/>
  <c r="C1163" i="11"/>
  <c r="AZ553" i="11" l="1"/>
  <c r="BD553" i="11" s="1"/>
  <c r="X554" i="11"/>
  <c r="Z554" i="11" s="1"/>
  <c r="AY555" i="11"/>
  <c r="AW555" i="11"/>
  <c r="T555" i="11"/>
  <c r="E555" i="11"/>
  <c r="L555" i="11"/>
  <c r="M555" i="11"/>
  <c r="N555" i="11"/>
  <c r="U555" i="11"/>
  <c r="G555" i="11"/>
  <c r="F555" i="11"/>
  <c r="V555" i="11"/>
  <c r="BC553" i="11"/>
  <c r="A558" i="11"/>
  <c r="BB557" i="11"/>
  <c r="D556" i="11"/>
  <c r="C555" i="11"/>
  <c r="E1163" i="11"/>
  <c r="F1163" i="11" s="1"/>
  <c r="G1164" i="11" s="1"/>
  <c r="I1163" i="11"/>
  <c r="B556" i="11"/>
  <c r="AV556" i="11" s="1"/>
  <c r="AU554" i="11"/>
  <c r="AS554" i="11"/>
  <c r="AR554" i="11"/>
  <c r="AT554" i="11"/>
  <c r="AM554" i="11"/>
  <c r="AO554" i="11"/>
  <c r="AL554" i="11"/>
  <c r="AN554" i="11"/>
  <c r="AQ554" i="11"/>
  <c r="AP554" i="11"/>
  <c r="AJ554" i="11"/>
  <c r="AK554" i="11"/>
  <c r="J1164" i="11"/>
  <c r="D1165" i="11"/>
  <c r="H1164" i="11"/>
  <c r="C1164" i="11"/>
  <c r="X555" i="11" l="1"/>
  <c r="Z555" i="11" s="1"/>
  <c r="AZ554" i="11"/>
  <c r="AY556" i="11"/>
  <c r="AW556" i="11"/>
  <c r="L556" i="11"/>
  <c r="T556" i="11"/>
  <c r="E556" i="11"/>
  <c r="M556" i="11"/>
  <c r="N556" i="11"/>
  <c r="U556" i="11"/>
  <c r="F556" i="11"/>
  <c r="G556" i="11"/>
  <c r="V556" i="11"/>
  <c r="A559" i="11"/>
  <c r="BA559" i="11" s="1"/>
  <c r="E1164" i="11"/>
  <c r="F1164" i="11" s="1"/>
  <c r="G1165" i="11" s="1"/>
  <c r="I1164" i="11"/>
  <c r="C556" i="11"/>
  <c r="D557" i="11"/>
  <c r="B557" i="11"/>
  <c r="AV557" i="11" s="1"/>
  <c r="AU555" i="11"/>
  <c r="AT555" i="11"/>
  <c r="AS555" i="11"/>
  <c r="AR555" i="11"/>
  <c r="AN555" i="11"/>
  <c r="AP555" i="11"/>
  <c r="AQ555" i="11"/>
  <c r="AM555" i="11"/>
  <c r="AK555" i="11"/>
  <c r="AJ555" i="11"/>
  <c r="AO555" i="11"/>
  <c r="AL555" i="11"/>
  <c r="J1165" i="11"/>
  <c r="D1166" i="11"/>
  <c r="H1165" i="11"/>
  <c r="C1165" i="11"/>
  <c r="AZ555" i="11" l="1"/>
  <c r="X556" i="11"/>
  <c r="Z556" i="11" s="1"/>
  <c r="AY557" i="11"/>
  <c r="AW557" i="11"/>
  <c r="L557" i="11"/>
  <c r="T557" i="11"/>
  <c r="E557" i="11"/>
  <c r="N557" i="11"/>
  <c r="M557" i="11"/>
  <c r="U557" i="11"/>
  <c r="G557" i="11"/>
  <c r="F557" i="11"/>
  <c r="V557" i="11"/>
  <c r="BD555" i="11"/>
  <c r="BC555" i="11"/>
  <c r="A560" i="11"/>
  <c r="BA560" i="11" s="1"/>
  <c r="BB559" i="11"/>
  <c r="D558" i="11"/>
  <c r="C557" i="11"/>
  <c r="E1165" i="11"/>
  <c r="F1165" i="11" s="1"/>
  <c r="G1166" i="11" s="1"/>
  <c r="I1165" i="11"/>
  <c r="B558" i="11"/>
  <c r="AV558" i="11" s="1"/>
  <c r="AT556" i="11"/>
  <c r="AU556" i="11"/>
  <c r="AR556" i="11"/>
  <c r="AS556" i="11"/>
  <c r="AJ556" i="11"/>
  <c r="AK556" i="11"/>
  <c r="AO556" i="11"/>
  <c r="AN556" i="11"/>
  <c r="AL556" i="11"/>
  <c r="AQ556" i="11"/>
  <c r="AP556" i="11"/>
  <c r="AM556" i="11"/>
  <c r="J1166" i="11"/>
  <c r="D1167" i="11"/>
  <c r="H1166" i="11"/>
  <c r="C1166" i="11"/>
  <c r="AZ556" i="11" l="1"/>
  <c r="BD556" i="11" s="1"/>
  <c r="X557" i="11"/>
  <c r="Z557" i="11" s="1"/>
  <c r="AY558" i="11"/>
  <c r="AW558" i="11"/>
  <c r="T558" i="11"/>
  <c r="L558" i="11"/>
  <c r="E558" i="11"/>
  <c r="M558" i="11"/>
  <c r="N558" i="11"/>
  <c r="U558" i="11"/>
  <c r="G558" i="11"/>
  <c r="F558" i="11"/>
  <c r="V558" i="11"/>
  <c r="A561" i="11"/>
  <c r="BA561" i="11" s="1"/>
  <c r="BB560" i="11"/>
  <c r="E1166" i="11"/>
  <c r="F1166" i="11" s="1"/>
  <c r="G1167" i="11" s="1"/>
  <c r="I1166" i="11"/>
  <c r="C558" i="11"/>
  <c r="D559" i="11"/>
  <c r="B559" i="11"/>
  <c r="AV559" i="11" s="1"/>
  <c r="AU557" i="11"/>
  <c r="AT557" i="11"/>
  <c r="AS557" i="11"/>
  <c r="AR557" i="11"/>
  <c r="AJ557" i="11"/>
  <c r="AQ557" i="11"/>
  <c r="AL557" i="11"/>
  <c r="AM557" i="11"/>
  <c r="AK557" i="11"/>
  <c r="AN557" i="11"/>
  <c r="AP557" i="11"/>
  <c r="AO557" i="11"/>
  <c r="J1167" i="11"/>
  <c r="D1168" i="11"/>
  <c r="H1167" i="11"/>
  <c r="C1167" i="11"/>
  <c r="BC556" i="11" l="1"/>
  <c r="AZ557" i="11"/>
  <c r="BC557" i="11" s="1"/>
  <c r="X558" i="11"/>
  <c r="Z558" i="11" s="1"/>
  <c r="AY559" i="11"/>
  <c r="AW559" i="11"/>
  <c r="T559" i="11"/>
  <c r="L559" i="11"/>
  <c r="E559" i="11"/>
  <c r="M559" i="11"/>
  <c r="N559" i="11"/>
  <c r="U559" i="11"/>
  <c r="F559" i="11"/>
  <c r="G559" i="11"/>
  <c r="V559" i="11"/>
  <c r="A562" i="11"/>
  <c r="BA562" i="11" s="1"/>
  <c r="BB561" i="11"/>
  <c r="D560" i="11"/>
  <c r="C559" i="11"/>
  <c r="E1167" i="11"/>
  <c r="F1167" i="11" s="1"/>
  <c r="G1168" i="11" s="1"/>
  <c r="I1167" i="11"/>
  <c r="B560" i="11"/>
  <c r="AV560" i="11" s="1"/>
  <c r="AU558" i="11"/>
  <c r="AR558" i="11"/>
  <c r="AS558" i="11"/>
  <c r="AT558" i="11"/>
  <c r="AJ558" i="11"/>
  <c r="AK558" i="11"/>
  <c r="AM558" i="11"/>
  <c r="AO558" i="11"/>
  <c r="AL558" i="11"/>
  <c r="AQ558" i="11"/>
  <c r="AP558" i="11"/>
  <c r="AN558" i="11"/>
  <c r="J1168" i="11"/>
  <c r="D1169" i="11"/>
  <c r="H1168" i="11"/>
  <c r="C1168" i="11"/>
  <c r="BD557" i="11" l="1"/>
  <c r="AZ558" i="11"/>
  <c r="X559" i="11"/>
  <c r="Z559" i="11" s="1"/>
  <c r="AY560" i="11"/>
  <c r="AW560" i="11"/>
  <c r="L560" i="11"/>
  <c r="T560" i="11"/>
  <c r="E560" i="11"/>
  <c r="M560" i="11"/>
  <c r="N560" i="11"/>
  <c r="U560" i="11"/>
  <c r="F560" i="11"/>
  <c r="G560" i="11"/>
  <c r="V560" i="11"/>
  <c r="A563" i="11"/>
  <c r="BA563" i="11" s="1"/>
  <c r="BB562" i="11"/>
  <c r="E1168" i="11"/>
  <c r="F1168" i="11" s="1"/>
  <c r="G1169" i="11" s="1"/>
  <c r="I1168" i="11"/>
  <c r="C560" i="11"/>
  <c r="D561" i="11"/>
  <c r="B561" i="11"/>
  <c r="AV561" i="11" s="1"/>
  <c r="AT559" i="11"/>
  <c r="AS559" i="11"/>
  <c r="AU559" i="11"/>
  <c r="AR559" i="11"/>
  <c r="AJ559" i="11"/>
  <c r="AO559" i="11"/>
  <c r="AM559" i="11"/>
  <c r="AP559" i="11"/>
  <c r="AQ559" i="11"/>
  <c r="AL559" i="11"/>
  <c r="AK559" i="11"/>
  <c r="AN559" i="11"/>
  <c r="J1169" i="11"/>
  <c r="D1170" i="11"/>
  <c r="H1169" i="11"/>
  <c r="C1169" i="11"/>
  <c r="X560" i="11" l="1"/>
  <c r="Z560" i="11" s="1"/>
  <c r="AZ559" i="11"/>
  <c r="BD559" i="11" s="1"/>
  <c r="AY561" i="11"/>
  <c r="AW561" i="11"/>
  <c r="L561" i="11"/>
  <c r="T561" i="11"/>
  <c r="E561" i="11"/>
  <c r="N561" i="11"/>
  <c r="M561" i="11"/>
  <c r="U561" i="11"/>
  <c r="F561" i="11"/>
  <c r="G561" i="11"/>
  <c r="V561" i="11"/>
  <c r="A564" i="11"/>
  <c r="BA564" i="11" s="1"/>
  <c r="BB563" i="11"/>
  <c r="D562" i="11"/>
  <c r="C561" i="11"/>
  <c r="E1169" i="11"/>
  <c r="F1169" i="11" s="1"/>
  <c r="G1170" i="11" s="1"/>
  <c r="I1169" i="11"/>
  <c r="B562" i="11"/>
  <c r="AV562" i="11" s="1"/>
  <c r="AU560" i="11"/>
  <c r="AT560" i="11"/>
  <c r="AS560" i="11"/>
  <c r="AR560" i="11"/>
  <c r="AN560" i="11"/>
  <c r="AL560" i="11"/>
  <c r="AQ560" i="11"/>
  <c r="AM560" i="11"/>
  <c r="AO560" i="11"/>
  <c r="AJ560" i="11"/>
  <c r="AK560" i="11"/>
  <c r="AP560" i="11"/>
  <c r="J1170" i="11"/>
  <c r="D1171" i="11"/>
  <c r="H1170" i="11"/>
  <c r="C1170" i="11"/>
  <c r="BC559" i="11" l="1"/>
  <c r="X561" i="11"/>
  <c r="Z561" i="11" s="1"/>
  <c r="AZ560" i="11"/>
  <c r="BC560" i="11" s="1"/>
  <c r="AY562" i="11"/>
  <c r="AW562" i="11"/>
  <c r="T562" i="11"/>
  <c r="E562" i="11"/>
  <c r="L562" i="11"/>
  <c r="M562" i="11"/>
  <c r="N562" i="11"/>
  <c r="U562" i="11"/>
  <c r="G562" i="11"/>
  <c r="F562" i="11"/>
  <c r="V562" i="11"/>
  <c r="A565" i="11"/>
  <c r="BA565" i="11" s="1"/>
  <c r="BB564" i="11"/>
  <c r="E1170" i="11"/>
  <c r="F1170" i="11" s="1"/>
  <c r="G1171" i="11" s="1"/>
  <c r="I1170" i="11"/>
  <c r="C562" i="11"/>
  <c r="D563" i="11"/>
  <c r="B563" i="11"/>
  <c r="AV563" i="11" s="1"/>
  <c r="AS561" i="11"/>
  <c r="AU561" i="11"/>
  <c r="AR561" i="11"/>
  <c r="AT561" i="11"/>
  <c r="AQ561" i="11"/>
  <c r="AL561" i="11"/>
  <c r="AM561" i="11"/>
  <c r="AP561" i="11"/>
  <c r="AK561" i="11"/>
  <c r="AJ561" i="11"/>
  <c r="AO561" i="11"/>
  <c r="AN561" i="11"/>
  <c r="J1171" i="11"/>
  <c r="D1172" i="11"/>
  <c r="H1171" i="11"/>
  <c r="C1171" i="11"/>
  <c r="BD560" i="11" l="1"/>
  <c r="X562" i="11"/>
  <c r="Z562" i="11" s="1"/>
  <c r="AZ561" i="11"/>
  <c r="BD561" i="11" s="1"/>
  <c r="AY563" i="11"/>
  <c r="AW563" i="11"/>
  <c r="T563" i="11"/>
  <c r="E563" i="11"/>
  <c r="L563" i="11"/>
  <c r="M563" i="11"/>
  <c r="N563" i="11"/>
  <c r="U563" i="11"/>
  <c r="G563" i="11"/>
  <c r="F563" i="11"/>
  <c r="V563" i="11"/>
  <c r="BC561" i="11"/>
  <c r="A566" i="11"/>
  <c r="BA566" i="11" s="1"/>
  <c r="BB565" i="11"/>
  <c r="D564" i="11"/>
  <c r="C563" i="11"/>
  <c r="E1171" i="11"/>
  <c r="F1171" i="11" s="1"/>
  <c r="G1172" i="11" s="1"/>
  <c r="I1171" i="11"/>
  <c r="B564" i="11"/>
  <c r="AV564" i="11" s="1"/>
  <c r="AU562" i="11"/>
  <c r="AT562" i="11"/>
  <c r="AR562" i="11"/>
  <c r="AS562" i="11"/>
  <c r="AN562" i="11"/>
  <c r="AJ562" i="11"/>
  <c r="AK562" i="11"/>
  <c r="AQ562" i="11"/>
  <c r="AP562" i="11"/>
  <c r="AM562" i="11"/>
  <c r="AO562" i="11"/>
  <c r="AL562" i="11"/>
  <c r="J1172" i="11"/>
  <c r="D1173" i="11"/>
  <c r="H1172" i="11"/>
  <c r="C1172" i="11"/>
  <c r="AZ562" i="11" l="1"/>
  <c r="BC562" i="11" s="1"/>
  <c r="X563" i="11"/>
  <c r="Z563" i="11" s="1"/>
  <c r="AY564" i="11"/>
  <c r="AW564" i="11"/>
  <c r="L564" i="11"/>
  <c r="T564" i="11"/>
  <c r="E564" i="11"/>
  <c r="M564" i="11"/>
  <c r="N564" i="11"/>
  <c r="U564" i="11"/>
  <c r="F564" i="11"/>
  <c r="G564" i="11"/>
  <c r="V564" i="11"/>
  <c r="BD562" i="11"/>
  <c r="A567" i="11"/>
  <c r="BA567" i="11" s="1"/>
  <c r="BB566" i="11"/>
  <c r="I1172" i="11"/>
  <c r="E1172" i="11"/>
  <c r="F1172" i="11" s="1"/>
  <c r="G1173" i="11" s="1"/>
  <c r="C564" i="11"/>
  <c r="D565" i="11"/>
  <c r="B565" i="11"/>
  <c r="AV565" i="11" s="1"/>
  <c r="AT563" i="11"/>
  <c r="AS563" i="11"/>
  <c r="AU563" i="11"/>
  <c r="AR563" i="11"/>
  <c r="AN563" i="11"/>
  <c r="AP563" i="11"/>
  <c r="AK563" i="11"/>
  <c r="AJ563" i="11"/>
  <c r="AO563" i="11"/>
  <c r="AQ563" i="11"/>
  <c r="AL563" i="11"/>
  <c r="AM563" i="11"/>
  <c r="J1173" i="11"/>
  <c r="D1174" i="11"/>
  <c r="H1173" i="11"/>
  <c r="C1173" i="11"/>
  <c r="AZ563" i="11" l="1"/>
  <c r="BC563" i="11" s="1"/>
  <c r="X564" i="11"/>
  <c r="Z564" i="11" s="1"/>
  <c r="AY565" i="11"/>
  <c r="AW565" i="11"/>
  <c r="L565" i="11"/>
  <c r="T565" i="11"/>
  <c r="E565" i="11"/>
  <c r="N565" i="11"/>
  <c r="M565" i="11"/>
  <c r="U565" i="11"/>
  <c r="F565" i="11"/>
  <c r="G565" i="11"/>
  <c r="V565" i="11"/>
  <c r="A568" i="11"/>
  <c r="BA568" i="11" s="1"/>
  <c r="BB567" i="11"/>
  <c r="D566" i="11"/>
  <c r="C565" i="11"/>
  <c r="E1173" i="11"/>
  <c r="F1173" i="11" s="1"/>
  <c r="G1174" i="11" s="1"/>
  <c r="I1173" i="11"/>
  <c r="B566" i="11"/>
  <c r="AV566" i="11" s="1"/>
  <c r="AU564" i="11"/>
  <c r="AT564" i="11"/>
  <c r="AS564" i="11"/>
  <c r="AR564" i="11"/>
  <c r="AN564" i="11"/>
  <c r="AL564" i="11"/>
  <c r="AJ564" i="11"/>
  <c r="AK564" i="11"/>
  <c r="AO564" i="11"/>
  <c r="AQ564" i="11"/>
  <c r="AP564" i="11"/>
  <c r="AM564" i="11"/>
  <c r="J1174" i="11"/>
  <c r="D1175" i="11"/>
  <c r="H1174" i="11"/>
  <c r="C1174" i="11"/>
  <c r="X565" i="11" l="1"/>
  <c r="Z565" i="11" s="1"/>
  <c r="BD563" i="11"/>
  <c r="AZ564" i="11"/>
  <c r="BC564" i="11" s="1"/>
  <c r="AY566" i="11"/>
  <c r="AW566" i="11"/>
  <c r="T566" i="11"/>
  <c r="L566" i="11"/>
  <c r="E566" i="11"/>
  <c r="M566" i="11"/>
  <c r="N566" i="11"/>
  <c r="U566" i="11"/>
  <c r="G566" i="11"/>
  <c r="F566" i="11"/>
  <c r="V566" i="11"/>
  <c r="A569" i="11"/>
  <c r="BA569" i="11" s="1"/>
  <c r="BB568" i="11"/>
  <c r="E1174" i="11"/>
  <c r="F1174" i="11" s="1"/>
  <c r="G1175" i="11" s="1"/>
  <c r="I1174" i="11"/>
  <c r="C566" i="11"/>
  <c r="D567" i="11"/>
  <c r="B567" i="11"/>
  <c r="AV567" i="11" s="1"/>
  <c r="AU565" i="11"/>
  <c r="AS565" i="11"/>
  <c r="AT565" i="11"/>
  <c r="AR565" i="11"/>
  <c r="AM565" i="11"/>
  <c r="AK565" i="11"/>
  <c r="AN565" i="11"/>
  <c r="AJ565" i="11"/>
  <c r="AO565" i="11"/>
  <c r="AQ565" i="11"/>
  <c r="AL565" i="11"/>
  <c r="AP565" i="11"/>
  <c r="J1175" i="11"/>
  <c r="D1176" i="11"/>
  <c r="H1175" i="11"/>
  <c r="C1175" i="11"/>
  <c r="AZ565" i="11" l="1"/>
  <c r="BC565" i="11" s="1"/>
  <c r="BD564" i="11"/>
  <c r="X566" i="11"/>
  <c r="Z566" i="11" s="1"/>
  <c r="AY567" i="11"/>
  <c r="AW567" i="11"/>
  <c r="T567" i="11"/>
  <c r="L567" i="11"/>
  <c r="E567" i="11"/>
  <c r="M567" i="11"/>
  <c r="N567" i="11"/>
  <c r="U567" i="11"/>
  <c r="G567" i="11"/>
  <c r="F567" i="11"/>
  <c r="V567" i="11"/>
  <c r="BD565" i="11"/>
  <c r="A570" i="11"/>
  <c r="BA570" i="11" s="1"/>
  <c r="BB569" i="11"/>
  <c r="D568" i="11"/>
  <c r="C567" i="11"/>
  <c r="E1175" i="11"/>
  <c r="F1175" i="11" s="1"/>
  <c r="G1176" i="11" s="1"/>
  <c r="I1175" i="11"/>
  <c r="B568" i="11"/>
  <c r="AV568" i="11" s="1"/>
  <c r="AU566" i="11"/>
  <c r="AR566" i="11"/>
  <c r="AS566" i="11"/>
  <c r="AT566" i="11"/>
  <c r="AN566" i="11"/>
  <c r="AL566" i="11"/>
  <c r="AJ566" i="11"/>
  <c r="AK566" i="11"/>
  <c r="AQ566" i="11"/>
  <c r="AP566" i="11"/>
  <c r="AM566" i="11"/>
  <c r="AO566" i="11"/>
  <c r="J1176" i="11"/>
  <c r="D1177" i="11"/>
  <c r="H1176" i="11"/>
  <c r="C1176" i="11"/>
  <c r="AZ566" i="11" l="1"/>
  <c r="BD566" i="11" s="1"/>
  <c r="X567" i="11"/>
  <c r="Z567" i="11" s="1"/>
  <c r="AY568" i="11"/>
  <c r="AW568" i="11"/>
  <c r="L568" i="11"/>
  <c r="T568" i="11"/>
  <c r="E568" i="11"/>
  <c r="M568" i="11"/>
  <c r="N568" i="11"/>
  <c r="U568" i="11"/>
  <c r="G568" i="11"/>
  <c r="F568" i="11"/>
  <c r="V568" i="11"/>
  <c r="A571" i="11"/>
  <c r="BA571" i="11" s="1"/>
  <c r="BB570" i="11"/>
  <c r="E1176" i="11"/>
  <c r="F1176" i="11" s="1"/>
  <c r="G1177" i="11" s="1"/>
  <c r="I1176" i="11"/>
  <c r="C568" i="11"/>
  <c r="D569" i="11"/>
  <c r="B569" i="11"/>
  <c r="AV569" i="11" s="1"/>
  <c r="AT567" i="11"/>
  <c r="AR567" i="11"/>
  <c r="AS567" i="11"/>
  <c r="AU567" i="11"/>
  <c r="AQ567" i="11"/>
  <c r="AL567" i="11"/>
  <c r="AM567" i="11"/>
  <c r="AK567" i="11"/>
  <c r="AP567" i="11"/>
  <c r="AJ567" i="11"/>
  <c r="AO567" i="11"/>
  <c r="AN567" i="11"/>
  <c r="J1177" i="11"/>
  <c r="D1178" i="11"/>
  <c r="H1177" i="11"/>
  <c r="C1177" i="11"/>
  <c r="BC566" i="11" l="1"/>
  <c r="X568" i="11"/>
  <c r="Z568" i="11" s="1"/>
  <c r="AZ567" i="11"/>
  <c r="BC567" i="11" s="1"/>
  <c r="AY569" i="11"/>
  <c r="AW569" i="11"/>
  <c r="L569" i="11"/>
  <c r="E569" i="11"/>
  <c r="T569" i="11"/>
  <c r="N569" i="11"/>
  <c r="M569" i="11"/>
  <c r="U569" i="11"/>
  <c r="G569" i="11"/>
  <c r="F569" i="11"/>
  <c r="V569" i="11"/>
  <c r="BD567" i="11"/>
  <c r="A572" i="11"/>
  <c r="BA572" i="11" s="1"/>
  <c r="BB571" i="11"/>
  <c r="D570" i="11"/>
  <c r="C569" i="11"/>
  <c r="E1177" i="11"/>
  <c r="F1177" i="11" s="1"/>
  <c r="G1178" i="11" s="1"/>
  <c r="I1177" i="11"/>
  <c r="B570" i="11"/>
  <c r="AV570" i="11" s="1"/>
  <c r="AT568" i="11"/>
  <c r="AU568" i="11"/>
  <c r="AS568" i="11"/>
  <c r="AR568" i="11"/>
  <c r="AQ568" i="11"/>
  <c r="AP568" i="11"/>
  <c r="AK568" i="11"/>
  <c r="AM568" i="11"/>
  <c r="AO568" i="11"/>
  <c r="AN568" i="11"/>
  <c r="AL568" i="11"/>
  <c r="AJ568" i="11"/>
  <c r="J1178" i="11"/>
  <c r="D1179" i="11"/>
  <c r="H1178" i="11"/>
  <c r="C1178" i="11"/>
  <c r="AZ568" i="11" l="1"/>
  <c r="BC568" i="11" s="1"/>
  <c r="X569" i="11"/>
  <c r="Z569" i="11" s="1"/>
  <c r="AY570" i="11"/>
  <c r="AW570" i="11"/>
  <c r="T570" i="11"/>
  <c r="E570" i="11"/>
  <c r="L570" i="11"/>
  <c r="M570" i="11"/>
  <c r="N570" i="11"/>
  <c r="U570" i="11"/>
  <c r="G570" i="11"/>
  <c r="F570" i="11"/>
  <c r="V570" i="11"/>
  <c r="BD568" i="11"/>
  <c r="A573" i="11"/>
  <c r="BB572" i="11"/>
  <c r="E1178" i="11"/>
  <c r="F1178" i="11" s="1"/>
  <c r="G1179" i="11" s="1"/>
  <c r="I1178" i="11"/>
  <c r="C570" i="11"/>
  <c r="D571" i="11"/>
  <c r="B571" i="11"/>
  <c r="AV571" i="11" s="1"/>
  <c r="AS569" i="11"/>
  <c r="AU569" i="11"/>
  <c r="AT569" i="11"/>
  <c r="AR569" i="11"/>
  <c r="AJ569" i="11"/>
  <c r="AO569" i="11"/>
  <c r="AP569" i="11"/>
  <c r="AQ569" i="11"/>
  <c r="AL569" i="11"/>
  <c r="AK569" i="11"/>
  <c r="AM569" i="11"/>
  <c r="AN569" i="11"/>
  <c r="J1179" i="11"/>
  <c r="D1180" i="11"/>
  <c r="H1179" i="11"/>
  <c r="C1179" i="11"/>
  <c r="X570" i="11" l="1"/>
  <c r="Z570" i="11" s="1"/>
  <c r="AZ569" i="11"/>
  <c r="BC569" i="11" s="1"/>
  <c r="AY571" i="11"/>
  <c r="AW571" i="11"/>
  <c r="T571" i="11"/>
  <c r="E571" i="11"/>
  <c r="L571" i="11"/>
  <c r="M571" i="11"/>
  <c r="N571" i="11"/>
  <c r="U571" i="11"/>
  <c r="G571" i="11"/>
  <c r="F571" i="11"/>
  <c r="V571" i="11"/>
  <c r="BD569" i="11"/>
  <c r="A574" i="11"/>
  <c r="D572" i="11"/>
  <c r="C571" i="11"/>
  <c r="E1179" i="11"/>
  <c r="F1179" i="11" s="1"/>
  <c r="G1180" i="11" s="1"/>
  <c r="I1179" i="11"/>
  <c r="B572" i="11"/>
  <c r="AV572" i="11" s="1"/>
  <c r="AU570" i="11"/>
  <c r="AT570" i="11"/>
  <c r="AS570" i="11"/>
  <c r="AR570" i="11"/>
  <c r="AM570" i="11"/>
  <c r="AO570" i="11"/>
  <c r="AN570" i="11"/>
  <c r="AL570" i="11"/>
  <c r="AP570" i="11"/>
  <c r="AJ570" i="11"/>
  <c r="AK570" i="11"/>
  <c r="AQ570" i="11"/>
  <c r="J1180" i="11"/>
  <c r="D1181" i="11"/>
  <c r="H1180" i="11"/>
  <c r="C1180" i="11"/>
  <c r="AZ570" i="11" l="1"/>
  <c r="BC570" i="11" s="1"/>
  <c r="X571" i="11"/>
  <c r="Z571" i="11" s="1"/>
  <c r="AY572" i="11"/>
  <c r="AW572" i="11"/>
  <c r="L572" i="11"/>
  <c r="T572" i="11"/>
  <c r="E572" i="11"/>
  <c r="M572" i="11"/>
  <c r="N572" i="11"/>
  <c r="U572" i="11"/>
  <c r="F572" i="11"/>
  <c r="G572" i="11"/>
  <c r="V572" i="11"/>
  <c r="BD570" i="11"/>
  <c r="A575" i="11"/>
  <c r="E1180" i="11"/>
  <c r="F1180" i="11" s="1"/>
  <c r="G1181" i="11" s="1"/>
  <c r="I1180" i="11"/>
  <c r="C572" i="11"/>
  <c r="D573" i="11"/>
  <c r="B573" i="11"/>
  <c r="AV573" i="11" s="1"/>
  <c r="AU571" i="11"/>
  <c r="AT571" i="11"/>
  <c r="AS571" i="11"/>
  <c r="AR571" i="11"/>
  <c r="AQ571" i="11"/>
  <c r="AL571" i="11"/>
  <c r="AP571" i="11"/>
  <c r="AM571" i="11"/>
  <c r="AK571" i="11"/>
  <c r="AN571" i="11"/>
  <c r="AJ571" i="11"/>
  <c r="AO571" i="11"/>
  <c r="J1181" i="11"/>
  <c r="D1182" i="11"/>
  <c r="H1181" i="11"/>
  <c r="C1181" i="11"/>
  <c r="AZ571" i="11" l="1"/>
  <c r="X572" i="11"/>
  <c r="Z572" i="11" s="1"/>
  <c r="AY573" i="11"/>
  <c r="AW573" i="11"/>
  <c r="L573" i="11"/>
  <c r="T573" i="11"/>
  <c r="E573" i="11"/>
  <c r="N573" i="11"/>
  <c r="M573" i="11"/>
  <c r="U573" i="11"/>
  <c r="G573" i="11"/>
  <c r="F573" i="11"/>
  <c r="V573" i="11"/>
  <c r="BD571" i="11"/>
  <c r="BC571" i="11"/>
  <c r="A576" i="11"/>
  <c r="BA576" i="11" s="1"/>
  <c r="D574" i="11"/>
  <c r="C573" i="11"/>
  <c r="E1181" i="11"/>
  <c r="F1181" i="11" s="1"/>
  <c r="G1182" i="11" s="1"/>
  <c r="I1181" i="11"/>
  <c r="B574" i="11"/>
  <c r="AV574" i="11" s="1"/>
  <c r="AU572" i="11"/>
  <c r="AS572" i="11"/>
  <c r="AR572" i="11"/>
  <c r="AT572" i="11"/>
  <c r="AQ572" i="11"/>
  <c r="AP572" i="11"/>
  <c r="AM572" i="11"/>
  <c r="AO572" i="11"/>
  <c r="AN572" i="11"/>
  <c r="AL572" i="11"/>
  <c r="AJ572" i="11"/>
  <c r="AK572" i="11"/>
  <c r="J1182" i="11"/>
  <c r="D1183" i="11"/>
  <c r="H1182" i="11"/>
  <c r="C1182" i="11"/>
  <c r="AZ572" i="11" l="1"/>
  <c r="BD572" i="11" s="1"/>
  <c r="X573" i="11"/>
  <c r="Z573" i="11" s="1"/>
  <c r="AY574" i="11"/>
  <c r="AW574" i="11"/>
  <c r="T574" i="11"/>
  <c r="L574" i="11"/>
  <c r="E574" i="11"/>
  <c r="M574" i="11"/>
  <c r="N574" i="11"/>
  <c r="U574" i="11"/>
  <c r="G574" i="11"/>
  <c r="F574" i="11"/>
  <c r="V574" i="11"/>
  <c r="BC572" i="11"/>
  <c r="A577" i="11"/>
  <c r="BA577" i="11" s="1"/>
  <c r="BB576" i="11"/>
  <c r="E1182" i="11"/>
  <c r="F1182" i="11" s="1"/>
  <c r="G1183" i="11" s="1"/>
  <c r="I1182" i="11"/>
  <c r="C574" i="11"/>
  <c r="X574" i="11" s="1"/>
  <c r="Z574" i="11" s="1"/>
  <c r="D575" i="11"/>
  <c r="B575" i="11"/>
  <c r="AV575" i="11" s="1"/>
  <c r="AT573" i="11"/>
  <c r="AS573" i="11"/>
  <c r="AU573" i="11"/>
  <c r="AR573" i="11"/>
  <c r="AQ573" i="11"/>
  <c r="AL573" i="11"/>
  <c r="AM573" i="11"/>
  <c r="AK573" i="11"/>
  <c r="AJ573" i="11"/>
  <c r="AO573" i="11"/>
  <c r="AN573" i="11"/>
  <c r="AP573" i="11"/>
  <c r="J1183" i="11"/>
  <c r="H1183" i="11"/>
  <c r="D1184" i="11"/>
  <c r="C1183" i="11"/>
  <c r="AZ573" i="11" l="1"/>
  <c r="AY575" i="11"/>
  <c r="AW575" i="11"/>
  <c r="T575" i="11"/>
  <c r="L575" i="11"/>
  <c r="E575" i="11"/>
  <c r="M575" i="11"/>
  <c r="N575" i="11"/>
  <c r="U575" i="11"/>
  <c r="F575" i="11"/>
  <c r="G575" i="11"/>
  <c r="V575" i="11"/>
  <c r="A578" i="11"/>
  <c r="BA578" i="11" s="1"/>
  <c r="BB577" i="11"/>
  <c r="D576" i="11"/>
  <c r="C575" i="11"/>
  <c r="E1183" i="11"/>
  <c r="F1183" i="11" s="1"/>
  <c r="G1184" i="11" s="1"/>
  <c r="I1183" i="11"/>
  <c r="B576" i="11"/>
  <c r="AV576" i="11" s="1"/>
  <c r="AU574" i="11"/>
  <c r="AR574" i="11"/>
  <c r="AT574" i="11"/>
  <c r="AS574" i="11"/>
  <c r="AZ574" i="11"/>
  <c r="AM574" i="11"/>
  <c r="AO574" i="11"/>
  <c r="AN574" i="11"/>
  <c r="AL574" i="11"/>
  <c r="AP574" i="11"/>
  <c r="AJ574" i="11"/>
  <c r="AK574" i="11"/>
  <c r="AQ574" i="11"/>
  <c r="C1184" i="11"/>
  <c r="H1184" i="11"/>
  <c r="D1185" i="11"/>
  <c r="J1184" i="11"/>
  <c r="X575" i="11" l="1"/>
  <c r="Z575" i="11" s="1"/>
  <c r="AY576" i="11"/>
  <c r="AW576" i="11"/>
  <c r="L576" i="11"/>
  <c r="T576" i="11"/>
  <c r="E576" i="11"/>
  <c r="M576" i="11"/>
  <c r="N576" i="11"/>
  <c r="U576" i="11"/>
  <c r="F576" i="11"/>
  <c r="G576" i="11"/>
  <c r="V576" i="11"/>
  <c r="A579" i="11"/>
  <c r="BA579" i="11" s="1"/>
  <c r="BB578" i="11"/>
  <c r="I1184" i="11"/>
  <c r="E1184" i="11"/>
  <c r="F1184" i="11" s="1"/>
  <c r="G1185" i="11" s="1"/>
  <c r="C576" i="11"/>
  <c r="D577" i="11"/>
  <c r="B577" i="11"/>
  <c r="AV577" i="11" s="1"/>
  <c r="AT575" i="11"/>
  <c r="AS575" i="11"/>
  <c r="AU575" i="11"/>
  <c r="AR575" i="11"/>
  <c r="AN575" i="11"/>
  <c r="AP575" i="11"/>
  <c r="AQ575" i="11"/>
  <c r="AL575" i="11"/>
  <c r="AK575" i="11"/>
  <c r="AJ575" i="11"/>
  <c r="AO575" i="11"/>
  <c r="AM575" i="11"/>
  <c r="C1185" i="11"/>
  <c r="J1185" i="11"/>
  <c r="H1185" i="11"/>
  <c r="D1186" i="11"/>
  <c r="AZ575" i="11" l="1"/>
  <c r="X576" i="11"/>
  <c r="Z576" i="11" s="1"/>
  <c r="AY577" i="11"/>
  <c r="AW577" i="11"/>
  <c r="L577" i="11"/>
  <c r="T577" i="11"/>
  <c r="E577" i="11"/>
  <c r="N577" i="11"/>
  <c r="M577" i="11"/>
  <c r="U577" i="11"/>
  <c r="G577" i="11"/>
  <c r="F577" i="11"/>
  <c r="V577" i="11"/>
  <c r="A580" i="11"/>
  <c r="BA580" i="11" s="1"/>
  <c r="BB579" i="11"/>
  <c r="E1185" i="11"/>
  <c r="F1185" i="11" s="1"/>
  <c r="G1186" i="11" s="1"/>
  <c r="I1185" i="11"/>
  <c r="D578" i="11"/>
  <c r="C577" i="11"/>
  <c r="B578" i="11"/>
  <c r="AV578" i="11" s="1"/>
  <c r="AU576" i="11"/>
  <c r="AT576" i="11"/>
  <c r="AS576" i="11"/>
  <c r="AR576" i="11"/>
  <c r="AQ576" i="11"/>
  <c r="AP576" i="11"/>
  <c r="AM576" i="11"/>
  <c r="AO576" i="11"/>
  <c r="AJ576" i="11"/>
  <c r="AK576" i="11"/>
  <c r="AN576" i="11"/>
  <c r="AL576" i="11"/>
  <c r="C1186" i="11"/>
  <c r="H1186" i="11"/>
  <c r="D1187" i="11"/>
  <c r="J1186" i="11"/>
  <c r="AZ576" i="11" l="1"/>
  <c r="X577" i="11"/>
  <c r="Z577" i="11" s="1"/>
  <c r="AY578" i="11"/>
  <c r="AW578" i="11"/>
  <c r="T578" i="11"/>
  <c r="E578" i="11"/>
  <c r="L578" i="11"/>
  <c r="M578" i="11"/>
  <c r="N578" i="11"/>
  <c r="U578" i="11"/>
  <c r="G578" i="11"/>
  <c r="F578" i="11"/>
  <c r="V578" i="11"/>
  <c r="BD576" i="11"/>
  <c r="BC576" i="11"/>
  <c r="A581" i="11"/>
  <c r="BA581" i="11" s="1"/>
  <c r="BB580" i="11"/>
  <c r="E1186" i="11"/>
  <c r="F1186" i="11" s="1"/>
  <c r="G1187" i="11" s="1"/>
  <c r="C578" i="11"/>
  <c r="D579" i="11"/>
  <c r="I1186" i="11"/>
  <c r="B579" i="11"/>
  <c r="AV579" i="11" s="1"/>
  <c r="AS577" i="11"/>
  <c r="AT577" i="11"/>
  <c r="AU577" i="11"/>
  <c r="AR577" i="11"/>
  <c r="AJ577" i="11"/>
  <c r="AO577" i="11"/>
  <c r="AM577" i="11"/>
  <c r="AK577" i="11"/>
  <c r="AN577" i="11"/>
  <c r="AQ577" i="11"/>
  <c r="AL577" i="11"/>
  <c r="AP577" i="11"/>
  <c r="C1187" i="11"/>
  <c r="J1187" i="11"/>
  <c r="H1187" i="11"/>
  <c r="D1188" i="11"/>
  <c r="X578" i="11" l="1"/>
  <c r="Z578" i="11" s="1"/>
  <c r="AZ577" i="11"/>
  <c r="BC577" i="11" s="1"/>
  <c r="AY579" i="11"/>
  <c r="AW579" i="11"/>
  <c r="T579" i="11"/>
  <c r="E579" i="11"/>
  <c r="L579" i="11"/>
  <c r="M579" i="11"/>
  <c r="N579" i="11"/>
  <c r="U579" i="11"/>
  <c r="G579" i="11"/>
  <c r="F579" i="11"/>
  <c r="V579" i="11"/>
  <c r="A582" i="11"/>
  <c r="BB581" i="11"/>
  <c r="E1187" i="11"/>
  <c r="F1187" i="11" s="1"/>
  <c r="G1188" i="11" s="1"/>
  <c r="D580" i="11"/>
  <c r="C579" i="11"/>
  <c r="I1187" i="11"/>
  <c r="B580" i="11"/>
  <c r="AV580" i="11" s="1"/>
  <c r="AU578" i="11"/>
  <c r="AT578" i="11"/>
  <c r="AR578" i="11"/>
  <c r="AS578" i="11"/>
  <c r="AM578" i="11"/>
  <c r="AO578" i="11"/>
  <c r="AN578" i="11"/>
  <c r="AL578" i="11"/>
  <c r="AK578" i="11"/>
  <c r="AP578" i="11"/>
  <c r="AJ578" i="11"/>
  <c r="AQ578" i="11"/>
  <c r="C1188" i="11"/>
  <c r="H1188" i="11"/>
  <c r="D1189" i="11"/>
  <c r="J1188" i="11"/>
  <c r="BD577" i="11" l="1"/>
  <c r="AZ578" i="11"/>
  <c r="X579" i="11"/>
  <c r="Z579" i="11" s="1"/>
  <c r="AY580" i="11"/>
  <c r="AW580" i="11"/>
  <c r="L580" i="11"/>
  <c r="T580" i="11"/>
  <c r="E580" i="11"/>
  <c r="M580" i="11"/>
  <c r="N580" i="11"/>
  <c r="U580" i="11"/>
  <c r="F580" i="11"/>
  <c r="G580" i="11"/>
  <c r="V580" i="11"/>
  <c r="BD578" i="11"/>
  <c r="BC578" i="11"/>
  <c r="A583" i="11"/>
  <c r="BA583" i="11" s="1"/>
  <c r="I1188" i="11"/>
  <c r="E1188" i="11"/>
  <c r="F1188" i="11" s="1"/>
  <c r="G1189" i="11" s="1"/>
  <c r="C580" i="11"/>
  <c r="X580" i="11" s="1"/>
  <c r="Z580" i="11" s="1"/>
  <c r="D581" i="11"/>
  <c r="B581" i="11"/>
  <c r="AV581" i="11" s="1"/>
  <c r="AT579" i="11"/>
  <c r="AU579" i="11"/>
  <c r="AS579" i="11"/>
  <c r="AR579" i="11"/>
  <c r="AN579" i="11"/>
  <c r="AP579" i="11"/>
  <c r="AM579" i="11"/>
  <c r="AK579" i="11"/>
  <c r="AJ579" i="11"/>
  <c r="AO579" i="11"/>
  <c r="AQ579" i="11"/>
  <c r="AL579" i="11"/>
  <c r="C1189" i="11"/>
  <c r="J1189" i="11"/>
  <c r="H1189" i="11"/>
  <c r="D1190" i="11"/>
  <c r="AZ579" i="11" l="1"/>
  <c r="AY581" i="11"/>
  <c r="AW581" i="11"/>
  <c r="L581" i="11"/>
  <c r="T581" i="11"/>
  <c r="E581" i="11"/>
  <c r="N581" i="11"/>
  <c r="M581" i="11"/>
  <c r="U581" i="11"/>
  <c r="F581" i="11"/>
  <c r="G581" i="11"/>
  <c r="V581" i="11"/>
  <c r="BD579" i="11"/>
  <c r="BC579" i="11"/>
  <c r="A584" i="11"/>
  <c r="BA584" i="11" s="1"/>
  <c r="BB583" i="11"/>
  <c r="E1189" i="11"/>
  <c r="F1189" i="11" s="1"/>
  <c r="G1190" i="11" s="1"/>
  <c r="D582" i="11"/>
  <c r="C581" i="11"/>
  <c r="I1189" i="11"/>
  <c r="B582" i="11"/>
  <c r="AV582" i="11" s="1"/>
  <c r="AU580" i="11"/>
  <c r="AS580" i="11"/>
  <c r="AT580" i="11"/>
  <c r="AR580" i="11"/>
  <c r="AJ580" i="11"/>
  <c r="AK580" i="11"/>
  <c r="AP580" i="11"/>
  <c r="AQ580" i="11"/>
  <c r="AN580" i="11"/>
  <c r="AL580" i="11"/>
  <c r="AZ580" i="11"/>
  <c r="AM580" i="11"/>
  <c r="AO580" i="11"/>
  <c r="C1190" i="11"/>
  <c r="H1190" i="11"/>
  <c r="D1191" i="11"/>
  <c r="J1190" i="11"/>
  <c r="X581" i="11" l="1"/>
  <c r="Z581" i="11" s="1"/>
  <c r="AY582" i="11"/>
  <c r="AW582" i="11"/>
  <c r="T582" i="11"/>
  <c r="L582" i="11"/>
  <c r="E582" i="11"/>
  <c r="M582" i="11"/>
  <c r="N582" i="11"/>
  <c r="U582" i="11"/>
  <c r="G582" i="11"/>
  <c r="F582" i="11"/>
  <c r="V582" i="11"/>
  <c r="BD580" i="11"/>
  <c r="BC580" i="11"/>
  <c r="A585" i="11"/>
  <c r="BA585" i="11" s="1"/>
  <c r="BB584" i="11"/>
  <c r="I1190" i="11"/>
  <c r="E1190" i="11"/>
  <c r="F1190" i="11" s="1"/>
  <c r="G1191" i="11" s="1"/>
  <c r="C582" i="11"/>
  <c r="D583" i="11"/>
  <c r="B583" i="11"/>
  <c r="AV583" i="11" s="1"/>
  <c r="AU581" i="11"/>
  <c r="AS581" i="11"/>
  <c r="AT581" i="11"/>
  <c r="AR581" i="11"/>
  <c r="AN581" i="11"/>
  <c r="AP581" i="11"/>
  <c r="AJ581" i="11"/>
  <c r="AO581" i="11"/>
  <c r="AM581" i="11"/>
  <c r="AK581" i="11"/>
  <c r="AQ581" i="11"/>
  <c r="AL581" i="11"/>
  <c r="C1191" i="11"/>
  <c r="J1191" i="11"/>
  <c r="H1191" i="11"/>
  <c r="D1192" i="11"/>
  <c r="AZ581" i="11" l="1"/>
  <c r="BC581" i="11" s="1"/>
  <c r="X582" i="11"/>
  <c r="Z582" i="11" s="1"/>
  <c r="AY583" i="11"/>
  <c r="AW583" i="11"/>
  <c r="T583" i="11"/>
  <c r="L583" i="11"/>
  <c r="E583" i="11"/>
  <c r="M583" i="11"/>
  <c r="N583" i="11"/>
  <c r="U583" i="11"/>
  <c r="G583" i="11"/>
  <c r="F583" i="11"/>
  <c r="V583" i="11"/>
  <c r="A586" i="11"/>
  <c r="BA586" i="11" s="1"/>
  <c r="BB585" i="11"/>
  <c r="I1191" i="11"/>
  <c r="D584" i="11"/>
  <c r="C583" i="11"/>
  <c r="E1191" i="11"/>
  <c r="F1191" i="11" s="1"/>
  <c r="G1192" i="11" s="1"/>
  <c r="B584" i="11"/>
  <c r="AV584" i="11" s="1"/>
  <c r="AU582" i="11"/>
  <c r="AR582" i="11"/>
  <c r="AT582" i="11"/>
  <c r="AS582" i="11"/>
  <c r="AM582" i="11"/>
  <c r="AO582" i="11"/>
  <c r="AN582" i="11"/>
  <c r="AL582" i="11"/>
  <c r="AQ582" i="11"/>
  <c r="AJ582" i="11"/>
  <c r="AK582" i="11"/>
  <c r="AP582" i="11"/>
  <c r="C1192" i="11"/>
  <c r="H1192" i="11"/>
  <c r="D1193" i="11"/>
  <c r="J1192" i="11"/>
  <c r="X583" i="11" l="1"/>
  <c r="Z583" i="11" s="1"/>
  <c r="BD581" i="11"/>
  <c r="AZ582" i="11"/>
  <c r="AY584" i="11"/>
  <c r="AW584" i="11"/>
  <c r="L584" i="11"/>
  <c r="T584" i="11"/>
  <c r="E584" i="11"/>
  <c r="M584" i="11"/>
  <c r="N584" i="11"/>
  <c r="U584" i="11"/>
  <c r="G584" i="11"/>
  <c r="F584" i="11"/>
  <c r="V584" i="11"/>
  <c r="A587" i="11"/>
  <c r="BA587" i="11" s="1"/>
  <c r="BB586" i="11"/>
  <c r="I1192" i="11"/>
  <c r="C584" i="11"/>
  <c r="X584" i="11" s="1"/>
  <c r="Z584" i="11" s="1"/>
  <c r="D585" i="11"/>
  <c r="E1192" i="11"/>
  <c r="F1192" i="11" s="1"/>
  <c r="G1193" i="11" s="1"/>
  <c r="B585" i="11"/>
  <c r="AV585" i="11" s="1"/>
  <c r="AT583" i="11"/>
  <c r="AR583" i="11"/>
  <c r="AU583" i="11"/>
  <c r="AS583" i="11"/>
  <c r="AJ583" i="11"/>
  <c r="AO583" i="11"/>
  <c r="AQ583" i="11"/>
  <c r="AZ583" i="11"/>
  <c r="AM583" i="11"/>
  <c r="AK583" i="11"/>
  <c r="AL583" i="11"/>
  <c r="AN583" i="11"/>
  <c r="AP583" i="11"/>
  <c r="C1193" i="11"/>
  <c r="J1193" i="11"/>
  <c r="H1193" i="11"/>
  <c r="D1194" i="11"/>
  <c r="AY585" i="11" l="1"/>
  <c r="AW585" i="11"/>
  <c r="L585" i="11"/>
  <c r="E585" i="11"/>
  <c r="T585" i="11"/>
  <c r="N585" i="11"/>
  <c r="M585" i="11"/>
  <c r="U585" i="11"/>
  <c r="G585" i="11"/>
  <c r="F585" i="11"/>
  <c r="V585" i="11"/>
  <c r="BD583" i="11"/>
  <c r="BC583" i="11"/>
  <c r="A588" i="11"/>
  <c r="BA588" i="11" s="1"/>
  <c r="BB587" i="11"/>
  <c r="C585" i="11"/>
  <c r="D586" i="11"/>
  <c r="I1193" i="11"/>
  <c r="E1193" i="11"/>
  <c r="F1193" i="11" s="1"/>
  <c r="G1194" i="11" s="1"/>
  <c r="B586" i="11"/>
  <c r="AV586" i="11" s="1"/>
  <c r="AT584" i="11"/>
  <c r="AS584" i="11"/>
  <c r="AU584" i="11"/>
  <c r="AR584" i="11"/>
  <c r="AZ584" i="11"/>
  <c r="AN584" i="11"/>
  <c r="AL584" i="11"/>
  <c r="AQ584" i="11"/>
  <c r="AO584" i="11"/>
  <c r="AJ584" i="11"/>
  <c r="AK584" i="11"/>
  <c r="AP584" i="11"/>
  <c r="AM584" i="11"/>
  <c r="C1194" i="11"/>
  <c r="H1194" i="11"/>
  <c r="D1195" i="11"/>
  <c r="J1194" i="11"/>
  <c r="X585" i="11" l="1"/>
  <c r="Z585" i="11" s="1"/>
  <c r="AY586" i="11"/>
  <c r="AW586" i="11"/>
  <c r="T586" i="11"/>
  <c r="E586" i="11"/>
  <c r="L586" i="11"/>
  <c r="M586" i="11"/>
  <c r="N586" i="11"/>
  <c r="U586" i="11"/>
  <c r="G586" i="11"/>
  <c r="F586" i="11"/>
  <c r="V586" i="11"/>
  <c r="BD584" i="11"/>
  <c r="BC584" i="11"/>
  <c r="A589" i="11"/>
  <c r="BA589" i="11" s="1"/>
  <c r="BB588" i="11"/>
  <c r="E1194" i="11"/>
  <c r="F1194" i="11" s="1"/>
  <c r="G1195" i="11" s="1"/>
  <c r="C586" i="11"/>
  <c r="D587" i="11"/>
  <c r="I1194" i="11"/>
  <c r="B587" i="11"/>
  <c r="AV587" i="11" s="1"/>
  <c r="AU585" i="11"/>
  <c r="AS585" i="11"/>
  <c r="AT585" i="11"/>
  <c r="AR585" i="11"/>
  <c r="AQ585" i="11"/>
  <c r="AL585" i="11"/>
  <c r="AN585" i="11"/>
  <c r="AP585" i="11"/>
  <c r="AM585" i="11"/>
  <c r="AK585" i="11"/>
  <c r="AJ585" i="11"/>
  <c r="AO585" i="11"/>
  <c r="C1195" i="11"/>
  <c r="J1195" i="11"/>
  <c r="H1195" i="11"/>
  <c r="D1196" i="11"/>
  <c r="AZ585" i="11" l="1"/>
  <c r="BD585" i="11" s="1"/>
  <c r="X586" i="11"/>
  <c r="Z586" i="11" s="1"/>
  <c r="AY587" i="11"/>
  <c r="AW587" i="11"/>
  <c r="T587" i="11"/>
  <c r="E587" i="11"/>
  <c r="L587" i="11"/>
  <c r="M587" i="11"/>
  <c r="N587" i="11"/>
  <c r="U587" i="11"/>
  <c r="G587" i="11"/>
  <c r="F587" i="11"/>
  <c r="V587" i="11"/>
  <c r="A590" i="11"/>
  <c r="BA590" i="11" s="1"/>
  <c r="BB589" i="11"/>
  <c r="D588" i="11"/>
  <c r="C587" i="11"/>
  <c r="I1195" i="11"/>
  <c r="E1195" i="11"/>
  <c r="F1195" i="11" s="1"/>
  <c r="G1196" i="11" s="1"/>
  <c r="B588" i="11"/>
  <c r="AV588" i="11" s="1"/>
  <c r="AU586" i="11"/>
  <c r="AS586" i="11"/>
  <c r="AR586" i="11"/>
  <c r="AT586" i="11"/>
  <c r="AN586" i="11"/>
  <c r="AL586" i="11"/>
  <c r="AO586" i="11"/>
  <c r="AJ586" i="11"/>
  <c r="AK586" i="11"/>
  <c r="AQ586" i="11"/>
  <c r="AP586" i="11"/>
  <c r="AM586" i="11"/>
  <c r="C1196" i="11"/>
  <c r="H1196" i="11"/>
  <c r="D1197" i="11"/>
  <c r="J1196" i="11"/>
  <c r="BC585" i="11" l="1"/>
  <c r="X587" i="11"/>
  <c r="Z587" i="11" s="1"/>
  <c r="AZ586" i="11"/>
  <c r="BD586" i="11" s="1"/>
  <c r="AY588" i="11"/>
  <c r="AW588" i="11"/>
  <c r="L588" i="11"/>
  <c r="T588" i="11"/>
  <c r="E588" i="11"/>
  <c r="M588" i="11"/>
  <c r="N588" i="11"/>
  <c r="U588" i="11"/>
  <c r="F588" i="11"/>
  <c r="G588" i="11"/>
  <c r="V588" i="11"/>
  <c r="A591" i="11"/>
  <c r="BA591" i="11" s="1"/>
  <c r="BB590" i="11"/>
  <c r="I1196" i="11"/>
  <c r="E1196" i="11"/>
  <c r="F1196" i="11" s="1"/>
  <c r="G1197" i="11" s="1"/>
  <c r="C588" i="11"/>
  <c r="D589" i="11"/>
  <c r="B589" i="11"/>
  <c r="AV589" i="11" s="1"/>
  <c r="AU587" i="11"/>
  <c r="AT587" i="11"/>
  <c r="AS587" i="11"/>
  <c r="AR587" i="11"/>
  <c r="AJ587" i="11"/>
  <c r="AO587" i="11"/>
  <c r="AQ587" i="11"/>
  <c r="AL587" i="11"/>
  <c r="AM587" i="11"/>
  <c r="AK587" i="11"/>
  <c r="AN587" i="11"/>
  <c r="AP587" i="11"/>
  <c r="C1197" i="11"/>
  <c r="J1197" i="11"/>
  <c r="H1197" i="11"/>
  <c r="D1198" i="11"/>
  <c r="X588" i="11" l="1"/>
  <c r="Z588" i="11" s="1"/>
  <c r="BC586" i="11"/>
  <c r="AZ587" i="11"/>
  <c r="BD587" i="11" s="1"/>
  <c r="AY589" i="11"/>
  <c r="AW589" i="11"/>
  <c r="L589" i="11"/>
  <c r="T589" i="11"/>
  <c r="E589" i="11"/>
  <c r="N589" i="11"/>
  <c r="M589" i="11"/>
  <c r="U589" i="11"/>
  <c r="G589" i="11"/>
  <c r="F589" i="11"/>
  <c r="V589" i="11"/>
  <c r="A592" i="11"/>
  <c r="BA592" i="11" s="1"/>
  <c r="BB591" i="11"/>
  <c r="D590" i="11"/>
  <c r="C589" i="11"/>
  <c r="X589" i="11" s="1"/>
  <c r="Z589" i="11" s="1"/>
  <c r="I1197" i="11"/>
  <c r="E1197" i="11"/>
  <c r="F1197" i="11" s="1"/>
  <c r="G1198" i="11" s="1"/>
  <c r="B590" i="11"/>
  <c r="AV590" i="11" s="1"/>
  <c r="AU588" i="11"/>
  <c r="AR588" i="11"/>
  <c r="AT588" i="11"/>
  <c r="AS588" i="11"/>
  <c r="AJ588" i="11"/>
  <c r="AK588" i="11"/>
  <c r="AM588" i="11"/>
  <c r="AO588" i="11"/>
  <c r="AN588" i="11"/>
  <c r="AL588" i="11"/>
  <c r="AQ588" i="11"/>
  <c r="AP588" i="11"/>
  <c r="C1198" i="11"/>
  <c r="H1198" i="11"/>
  <c r="D1199" i="11"/>
  <c r="J1198" i="11"/>
  <c r="BC587" i="11" l="1"/>
  <c r="AZ588" i="11"/>
  <c r="BC588" i="11" s="1"/>
  <c r="AY590" i="11"/>
  <c r="AW590" i="11"/>
  <c r="T590" i="11"/>
  <c r="L590" i="11"/>
  <c r="E590" i="11"/>
  <c r="M590" i="11"/>
  <c r="N590" i="11"/>
  <c r="U590" i="11"/>
  <c r="G590" i="11"/>
  <c r="F590" i="11"/>
  <c r="V590" i="11"/>
  <c r="BD588" i="11"/>
  <c r="A593" i="11"/>
  <c r="BA593" i="11" s="1"/>
  <c r="BB592" i="11"/>
  <c r="I1198" i="11"/>
  <c r="E1198" i="11"/>
  <c r="F1198" i="11" s="1"/>
  <c r="G1199" i="11" s="1"/>
  <c r="C590" i="11"/>
  <c r="D591" i="11"/>
  <c r="B591" i="11"/>
  <c r="AV591" i="11" s="1"/>
  <c r="AT589" i="11"/>
  <c r="AS589" i="11"/>
  <c r="AU589" i="11"/>
  <c r="AR589" i="11"/>
  <c r="AZ589" i="11"/>
  <c r="AM589" i="11"/>
  <c r="AK589" i="11"/>
  <c r="AN589" i="11"/>
  <c r="AP589" i="11"/>
  <c r="AJ589" i="11"/>
  <c r="AO589" i="11"/>
  <c r="AQ589" i="11"/>
  <c r="AL589" i="11"/>
  <c r="C1199" i="11"/>
  <c r="J1199" i="11"/>
  <c r="H1199" i="11"/>
  <c r="D1200" i="11"/>
  <c r="X590" i="11" l="1"/>
  <c r="Z590" i="11" s="1"/>
  <c r="AY591" i="11"/>
  <c r="AW591" i="11"/>
  <c r="T591" i="11"/>
  <c r="L591" i="11"/>
  <c r="E591" i="11"/>
  <c r="M591" i="11"/>
  <c r="N591" i="11"/>
  <c r="U591" i="11"/>
  <c r="F591" i="11"/>
  <c r="G591" i="11"/>
  <c r="V591" i="11"/>
  <c r="BC589" i="11"/>
  <c r="BD589" i="11"/>
  <c r="A594" i="11"/>
  <c r="BA594" i="11" s="1"/>
  <c r="BB593" i="11"/>
  <c r="D592" i="11"/>
  <c r="C591" i="11"/>
  <c r="I1199" i="11"/>
  <c r="E1199" i="11"/>
  <c r="F1199" i="11" s="1"/>
  <c r="G1200" i="11" s="1"/>
  <c r="B592" i="11"/>
  <c r="AV592" i="11" s="1"/>
  <c r="AU590" i="11"/>
  <c r="AR590" i="11"/>
  <c r="AT590" i="11"/>
  <c r="AS590" i="11"/>
  <c r="AZ590" i="11"/>
  <c r="AM590" i="11"/>
  <c r="AO590" i="11"/>
  <c r="AN590" i="11"/>
  <c r="AL590" i="11"/>
  <c r="AJ590" i="11"/>
  <c r="AK590" i="11"/>
  <c r="AQ590" i="11"/>
  <c r="AP590" i="11"/>
  <c r="C1200" i="11"/>
  <c r="H1200" i="11"/>
  <c r="D1201" i="11"/>
  <c r="J1200" i="11"/>
  <c r="X591" i="11" l="1"/>
  <c r="Z591" i="11" s="1"/>
  <c r="AY592" i="11"/>
  <c r="AW592" i="11"/>
  <c r="L592" i="11"/>
  <c r="T592" i="11"/>
  <c r="E592" i="11"/>
  <c r="M592" i="11"/>
  <c r="N592" i="11"/>
  <c r="U592" i="11"/>
  <c r="F592" i="11"/>
  <c r="G592" i="11"/>
  <c r="V592" i="11"/>
  <c r="BD590" i="11"/>
  <c r="BC590" i="11"/>
  <c r="A595" i="11"/>
  <c r="BA595" i="11" s="1"/>
  <c r="BB594" i="11"/>
  <c r="I1200" i="11"/>
  <c r="E1200" i="11"/>
  <c r="F1200" i="11" s="1"/>
  <c r="G1201" i="11" s="1"/>
  <c r="D593" i="11"/>
  <c r="C592" i="11"/>
  <c r="B593" i="11"/>
  <c r="AV593" i="11" s="1"/>
  <c r="AT591" i="11"/>
  <c r="AS591" i="11"/>
  <c r="AU591" i="11"/>
  <c r="AR591" i="11"/>
  <c r="AJ591" i="11"/>
  <c r="AO591" i="11"/>
  <c r="AN591" i="11"/>
  <c r="AP591" i="11"/>
  <c r="AQ591" i="11"/>
  <c r="AL591" i="11"/>
  <c r="AM591" i="11"/>
  <c r="AK591" i="11"/>
  <c r="C1201" i="11"/>
  <c r="J1201" i="11"/>
  <c r="H1201" i="11"/>
  <c r="D1202" i="11"/>
  <c r="X592" i="11" l="1"/>
  <c r="Z592" i="11" s="1"/>
  <c r="AZ591" i="11"/>
  <c r="BC591" i="11" s="1"/>
  <c r="AY593" i="11"/>
  <c r="AW593" i="11"/>
  <c r="L593" i="11"/>
  <c r="T593" i="11"/>
  <c r="E593" i="11"/>
  <c r="N593" i="11"/>
  <c r="M593" i="11"/>
  <c r="U593" i="11"/>
  <c r="G593" i="11"/>
  <c r="F593" i="11"/>
  <c r="V593" i="11"/>
  <c r="A596" i="11"/>
  <c r="BA596" i="11" s="1"/>
  <c r="BB595" i="11"/>
  <c r="I1201" i="11"/>
  <c r="D594" i="11"/>
  <c r="C593" i="11"/>
  <c r="E1201" i="11"/>
  <c r="F1201" i="11" s="1"/>
  <c r="G1202" i="11" s="1"/>
  <c r="B594" i="11"/>
  <c r="AV594" i="11" s="1"/>
  <c r="AU592" i="11"/>
  <c r="AT592" i="11"/>
  <c r="AS592" i="11"/>
  <c r="AR592" i="11"/>
  <c r="AN592" i="11"/>
  <c r="AL592" i="11"/>
  <c r="AM592" i="11"/>
  <c r="AO592" i="11"/>
  <c r="AJ592" i="11"/>
  <c r="AK592" i="11"/>
  <c r="AQ592" i="11"/>
  <c r="AP592" i="11"/>
  <c r="C1202" i="11"/>
  <c r="H1202" i="11"/>
  <c r="D1203" i="11"/>
  <c r="J1202" i="11"/>
  <c r="BD591" i="11" l="1"/>
  <c r="AZ592" i="11"/>
  <c r="X593" i="11"/>
  <c r="Z593" i="11" s="1"/>
  <c r="AY594" i="11"/>
  <c r="AW594" i="11"/>
  <c r="T594" i="11"/>
  <c r="E594" i="11"/>
  <c r="L594" i="11"/>
  <c r="M594" i="11"/>
  <c r="N594" i="11"/>
  <c r="U594" i="11"/>
  <c r="G594" i="11"/>
  <c r="F594" i="11"/>
  <c r="V594" i="11"/>
  <c r="BD592" i="11"/>
  <c r="BC592" i="11"/>
  <c r="A597" i="11"/>
  <c r="BA597" i="11" s="1"/>
  <c r="BB596" i="11"/>
  <c r="I1202" i="11"/>
  <c r="C594" i="11"/>
  <c r="D595" i="11"/>
  <c r="E1202" i="11"/>
  <c r="F1202" i="11" s="1"/>
  <c r="G1203" i="11" s="1"/>
  <c r="B595" i="11"/>
  <c r="AV595" i="11" s="1"/>
  <c r="AU593" i="11"/>
  <c r="AS593" i="11"/>
  <c r="AT593" i="11"/>
  <c r="AR593" i="11"/>
  <c r="AJ593" i="11"/>
  <c r="AO593" i="11"/>
  <c r="AQ593" i="11"/>
  <c r="AL593" i="11"/>
  <c r="AN593" i="11"/>
  <c r="AM593" i="11"/>
  <c r="AK593" i="11"/>
  <c r="AP593" i="11"/>
  <c r="C1203" i="11"/>
  <c r="J1203" i="11"/>
  <c r="H1203" i="11"/>
  <c r="D1204" i="11"/>
  <c r="X594" i="11" l="1"/>
  <c r="Z594" i="11" s="1"/>
  <c r="AZ593" i="11"/>
  <c r="BC593" i="11" s="1"/>
  <c r="AY595" i="11"/>
  <c r="AW595" i="11"/>
  <c r="T595" i="11"/>
  <c r="E595" i="11"/>
  <c r="L595" i="11"/>
  <c r="M595" i="11"/>
  <c r="N595" i="11"/>
  <c r="U595" i="11"/>
  <c r="G595" i="11"/>
  <c r="F595" i="11"/>
  <c r="V595" i="11"/>
  <c r="A598" i="11"/>
  <c r="BA598" i="11" s="1"/>
  <c r="BB597" i="11"/>
  <c r="D596" i="11"/>
  <c r="C595" i="11"/>
  <c r="I1203" i="11"/>
  <c r="E1203" i="11"/>
  <c r="F1203" i="11" s="1"/>
  <c r="G1204" i="11" s="1"/>
  <c r="B596" i="11"/>
  <c r="AV596" i="11" s="1"/>
  <c r="AU594" i="11"/>
  <c r="AT594" i="11"/>
  <c r="AR594" i="11"/>
  <c r="AS594" i="11"/>
  <c r="AN594" i="11"/>
  <c r="AL594" i="11"/>
  <c r="AJ594" i="11"/>
  <c r="AK594" i="11"/>
  <c r="AO594" i="11"/>
  <c r="AM594" i="11"/>
  <c r="AQ594" i="11"/>
  <c r="AP594" i="11"/>
  <c r="C1204" i="11"/>
  <c r="H1204" i="11"/>
  <c r="D1205" i="11"/>
  <c r="J1204" i="11"/>
  <c r="X595" i="11" l="1"/>
  <c r="Z595" i="11" s="1"/>
  <c r="AZ594" i="11"/>
  <c r="BD594" i="11" s="1"/>
  <c r="BD593" i="11"/>
  <c r="AY596" i="11"/>
  <c r="AW596" i="11"/>
  <c r="L596" i="11"/>
  <c r="T596" i="11"/>
  <c r="E596" i="11"/>
  <c r="M596" i="11"/>
  <c r="N596" i="11"/>
  <c r="U596" i="11"/>
  <c r="F596" i="11"/>
  <c r="G596" i="11"/>
  <c r="V596" i="11"/>
  <c r="BC594" i="11"/>
  <c r="A599" i="11"/>
  <c r="BA599" i="11" s="1"/>
  <c r="BB598" i="11"/>
  <c r="I1204" i="11"/>
  <c r="E1204" i="11"/>
  <c r="F1204" i="11" s="1"/>
  <c r="G1205" i="11" s="1"/>
  <c r="C596" i="11"/>
  <c r="D597" i="11"/>
  <c r="B597" i="11"/>
  <c r="AV597" i="11" s="1"/>
  <c r="AT595" i="11"/>
  <c r="AU595" i="11"/>
  <c r="AS595" i="11"/>
  <c r="AR595" i="11"/>
  <c r="AK595" i="11"/>
  <c r="AQ595" i="11"/>
  <c r="AP595" i="11"/>
  <c r="AZ595" i="11"/>
  <c r="AM595" i="11"/>
  <c r="AO595" i="11"/>
  <c r="AL595" i="11"/>
  <c r="AN595" i="11"/>
  <c r="AJ595" i="11"/>
  <c r="C1205" i="11"/>
  <c r="J1205" i="11"/>
  <c r="H1205" i="11"/>
  <c r="D1206" i="11"/>
  <c r="X596" i="11" l="1"/>
  <c r="Z596" i="11" s="1"/>
  <c r="AY597" i="11"/>
  <c r="AW597" i="11"/>
  <c r="L597" i="11"/>
  <c r="T597" i="11"/>
  <c r="E597" i="11"/>
  <c r="N597" i="11"/>
  <c r="M597" i="11"/>
  <c r="U597" i="11"/>
  <c r="G597" i="11"/>
  <c r="F597" i="11"/>
  <c r="V597" i="11"/>
  <c r="BD595" i="11"/>
  <c r="BC595" i="11"/>
  <c r="A600" i="11"/>
  <c r="BA600" i="11" s="1"/>
  <c r="BB599" i="11"/>
  <c r="D598" i="11"/>
  <c r="C597" i="11"/>
  <c r="I1205" i="11"/>
  <c r="E1205" i="11"/>
  <c r="F1205" i="11" s="1"/>
  <c r="G1206" i="11" s="1"/>
  <c r="B598" i="11"/>
  <c r="AV598" i="11" s="1"/>
  <c r="AS596" i="11"/>
  <c r="AU596" i="11"/>
  <c r="AT596" i="11"/>
  <c r="AR596" i="11"/>
  <c r="AL596" i="11"/>
  <c r="AN596" i="11"/>
  <c r="AO596" i="11"/>
  <c r="AJ596" i="11"/>
  <c r="AK596" i="11"/>
  <c r="AQ596" i="11"/>
  <c r="AP596" i="11"/>
  <c r="AM596" i="11"/>
  <c r="C1206" i="11"/>
  <c r="H1206" i="11"/>
  <c r="D1207" i="11"/>
  <c r="J1206" i="11"/>
  <c r="AZ596" i="11" l="1"/>
  <c r="BC596" i="11" s="1"/>
  <c r="X597" i="11"/>
  <c r="Z597" i="11" s="1"/>
  <c r="AY598" i="11"/>
  <c r="AW598" i="11"/>
  <c r="T598" i="11"/>
  <c r="L598" i="11"/>
  <c r="E598" i="11"/>
  <c r="M598" i="11"/>
  <c r="N598" i="11"/>
  <c r="U598" i="11"/>
  <c r="G598" i="11"/>
  <c r="F598" i="11"/>
  <c r="V598" i="11"/>
  <c r="BD596" i="11"/>
  <c r="A601" i="11"/>
  <c r="BA601" i="11" s="1"/>
  <c r="BB600" i="11"/>
  <c r="I1206" i="11"/>
  <c r="E1206" i="11"/>
  <c r="F1206" i="11" s="1"/>
  <c r="G1207" i="11" s="1"/>
  <c r="C598" i="11"/>
  <c r="D599" i="11"/>
  <c r="B599" i="11"/>
  <c r="AV599" i="11" s="1"/>
  <c r="AU597" i="11"/>
  <c r="AS597" i="11"/>
  <c r="AT597" i="11"/>
  <c r="AR597" i="11"/>
  <c r="AP597" i="11"/>
  <c r="AM597" i="11"/>
  <c r="AL597" i="11"/>
  <c r="AN597" i="11"/>
  <c r="AO597" i="11"/>
  <c r="AJ597" i="11"/>
  <c r="AK597" i="11"/>
  <c r="AQ597" i="11"/>
  <c r="C1207" i="11"/>
  <c r="J1207" i="11"/>
  <c r="H1207" i="11"/>
  <c r="D1208" i="11"/>
  <c r="X598" i="11" l="1"/>
  <c r="Z598" i="11" s="1"/>
  <c r="AZ597" i="11"/>
  <c r="BD597" i="11" s="1"/>
  <c r="AY599" i="11"/>
  <c r="AW599" i="11"/>
  <c r="T599" i="11"/>
  <c r="L599" i="11"/>
  <c r="E599" i="11"/>
  <c r="M599" i="11"/>
  <c r="N599" i="11"/>
  <c r="U599" i="11"/>
  <c r="G599" i="11"/>
  <c r="F599" i="11"/>
  <c r="V599" i="11"/>
  <c r="A602" i="11"/>
  <c r="BA602" i="11" s="1"/>
  <c r="BB601" i="11"/>
  <c r="D600" i="11"/>
  <c r="C599" i="11"/>
  <c r="I1207" i="11"/>
  <c r="E1207" i="11"/>
  <c r="F1207" i="11" s="1"/>
  <c r="G1208" i="11" s="1"/>
  <c r="B600" i="11"/>
  <c r="AV600" i="11" s="1"/>
  <c r="AU598" i="11"/>
  <c r="AT598" i="11"/>
  <c r="AR598" i="11"/>
  <c r="AS598" i="11"/>
  <c r="AP598" i="11"/>
  <c r="AM598" i="11"/>
  <c r="AL598" i="11"/>
  <c r="AN598" i="11"/>
  <c r="AK598" i="11"/>
  <c r="AQ598" i="11"/>
  <c r="AO598" i="11"/>
  <c r="AJ598" i="11"/>
  <c r="C1208" i="11"/>
  <c r="H1208" i="11"/>
  <c r="D1209" i="11"/>
  <c r="J1208" i="11"/>
  <c r="BC597" i="11" l="1"/>
  <c r="AZ598" i="11"/>
  <c r="BD598" i="11" s="1"/>
  <c r="X599" i="11"/>
  <c r="Z599" i="11" s="1"/>
  <c r="AY600" i="11"/>
  <c r="AW600" i="11"/>
  <c r="L600" i="11"/>
  <c r="T600" i="11"/>
  <c r="E600" i="11"/>
  <c r="M600" i="11"/>
  <c r="N600" i="11"/>
  <c r="U600" i="11"/>
  <c r="G600" i="11"/>
  <c r="F600" i="11"/>
  <c r="V600" i="11"/>
  <c r="A603" i="11"/>
  <c r="BA603" i="11" s="1"/>
  <c r="BB602" i="11"/>
  <c r="I1208" i="11"/>
  <c r="E1208" i="11"/>
  <c r="F1208" i="11" s="1"/>
  <c r="G1209" i="11" s="1"/>
  <c r="C600" i="11"/>
  <c r="D601" i="11"/>
  <c r="B601" i="11"/>
  <c r="AV601" i="11" s="1"/>
  <c r="AT599" i="11"/>
  <c r="AU599" i="11"/>
  <c r="AR599" i="11"/>
  <c r="AS599" i="11"/>
  <c r="AM599" i="11"/>
  <c r="AL599" i="11"/>
  <c r="AN599" i="11"/>
  <c r="AO599" i="11"/>
  <c r="AJ599" i="11"/>
  <c r="AK599" i="11"/>
  <c r="AQ599" i="11"/>
  <c r="AP599" i="11"/>
  <c r="D1210" i="11"/>
  <c r="C1209" i="11"/>
  <c r="J1209" i="11"/>
  <c r="H1209" i="11"/>
  <c r="BC598" i="11" l="1"/>
  <c r="X600" i="11"/>
  <c r="Z600" i="11" s="1"/>
  <c r="AZ599" i="11"/>
  <c r="BD599" i="11" s="1"/>
  <c r="AY601" i="11"/>
  <c r="AW601" i="11"/>
  <c r="L601" i="11"/>
  <c r="E601" i="11"/>
  <c r="T601" i="11"/>
  <c r="N601" i="11"/>
  <c r="M601" i="11"/>
  <c r="U601" i="11"/>
  <c r="F601" i="11"/>
  <c r="G601" i="11"/>
  <c r="V601" i="11"/>
  <c r="A604" i="11"/>
  <c r="BA604" i="11" s="1"/>
  <c r="BB603" i="11"/>
  <c r="D602" i="11"/>
  <c r="C601" i="11"/>
  <c r="I1209" i="11"/>
  <c r="E1209" i="11"/>
  <c r="F1209" i="11" s="1"/>
  <c r="G1210" i="11" s="1"/>
  <c r="B602" i="11"/>
  <c r="AV602" i="11" s="1"/>
  <c r="AU600" i="11"/>
  <c r="AT600" i="11"/>
  <c r="AS600" i="11"/>
  <c r="AR600" i="11"/>
  <c r="AP600" i="11"/>
  <c r="AM600" i="11"/>
  <c r="AL600" i="11"/>
  <c r="AN600" i="11"/>
  <c r="AQ600" i="11"/>
  <c r="AO600" i="11"/>
  <c r="AJ600" i="11"/>
  <c r="AK600" i="11"/>
  <c r="D1211" i="11"/>
  <c r="H1210" i="11"/>
  <c r="C1210" i="11"/>
  <c r="J1210" i="11"/>
  <c r="BC599" i="11" l="1"/>
  <c r="AZ600" i="11"/>
  <c r="BD600" i="11" s="1"/>
  <c r="X601" i="11"/>
  <c r="Z601" i="11" s="1"/>
  <c r="AY602" i="11"/>
  <c r="AW602" i="11"/>
  <c r="T602" i="11"/>
  <c r="E602" i="11"/>
  <c r="L602" i="11"/>
  <c r="M602" i="11"/>
  <c r="N602" i="11"/>
  <c r="U602" i="11"/>
  <c r="G602" i="11"/>
  <c r="F602" i="11"/>
  <c r="V602" i="11"/>
  <c r="BC600" i="11"/>
  <c r="A605" i="11"/>
  <c r="BA605" i="11" s="1"/>
  <c r="BB604" i="11"/>
  <c r="E1210" i="11"/>
  <c r="F1210" i="11" s="1"/>
  <c r="G1211" i="11" s="1"/>
  <c r="I1210" i="11"/>
  <c r="C602" i="11"/>
  <c r="D603" i="11"/>
  <c r="B603" i="11"/>
  <c r="AV603" i="11" s="1"/>
  <c r="AS601" i="11"/>
  <c r="AT601" i="11"/>
  <c r="AR601" i="11"/>
  <c r="AU601" i="11"/>
  <c r="AO601" i="11"/>
  <c r="AJ601" i="11"/>
  <c r="AK601" i="11"/>
  <c r="AQ601" i="11"/>
  <c r="AP601" i="11"/>
  <c r="AM601" i="11"/>
  <c r="AL601" i="11"/>
  <c r="AN601" i="11"/>
  <c r="D1212" i="11"/>
  <c r="H1211" i="11"/>
  <c r="C1211" i="11"/>
  <c r="J1211" i="11"/>
  <c r="X602" i="11" l="1"/>
  <c r="Z602" i="11" s="1"/>
  <c r="AZ601" i="11"/>
  <c r="BC601" i="11" s="1"/>
  <c r="AY603" i="11"/>
  <c r="AW603" i="11"/>
  <c r="T603" i="11"/>
  <c r="E603" i="11"/>
  <c r="L603" i="11"/>
  <c r="M603" i="11"/>
  <c r="N603" i="11"/>
  <c r="U603" i="11"/>
  <c r="G603" i="11"/>
  <c r="F603" i="11"/>
  <c r="V603" i="11"/>
  <c r="BD601" i="11"/>
  <c r="A606" i="11"/>
  <c r="BA606" i="11" s="1"/>
  <c r="BB605" i="11"/>
  <c r="D604" i="11"/>
  <c r="C603" i="11"/>
  <c r="E1211" i="11"/>
  <c r="F1211" i="11" s="1"/>
  <c r="G1212" i="11" s="1"/>
  <c r="I1211" i="11"/>
  <c r="B604" i="11"/>
  <c r="AV604" i="11" s="1"/>
  <c r="AU602" i="11"/>
  <c r="AS602" i="11"/>
  <c r="AR602" i="11"/>
  <c r="AT602" i="11"/>
  <c r="AK602" i="11"/>
  <c r="AQ602" i="11"/>
  <c r="AO602" i="11"/>
  <c r="AJ602" i="11"/>
  <c r="AP602" i="11"/>
  <c r="AM602" i="11"/>
  <c r="AL602" i="11"/>
  <c r="AN602" i="11"/>
  <c r="D1213" i="11"/>
  <c r="H1212" i="11"/>
  <c r="C1212" i="11"/>
  <c r="J1212" i="11"/>
  <c r="X603" i="11" l="1"/>
  <c r="Z603" i="11" s="1"/>
  <c r="AZ602" i="11"/>
  <c r="BD602" i="11" s="1"/>
  <c r="AY604" i="11"/>
  <c r="AW604" i="11"/>
  <c r="T604" i="11"/>
  <c r="L604" i="11"/>
  <c r="E604" i="11"/>
  <c r="M604" i="11"/>
  <c r="N604" i="11"/>
  <c r="U604" i="11"/>
  <c r="F604" i="11"/>
  <c r="G604" i="11"/>
  <c r="V604" i="11"/>
  <c r="A607" i="11"/>
  <c r="BA607" i="11" s="1"/>
  <c r="BB606" i="11"/>
  <c r="E1212" i="11"/>
  <c r="F1212" i="11" s="1"/>
  <c r="G1213" i="11" s="1"/>
  <c r="I1212" i="11"/>
  <c r="C604" i="11"/>
  <c r="D605" i="11"/>
  <c r="B605" i="11"/>
  <c r="AV605" i="11" s="1"/>
  <c r="AU603" i="11"/>
  <c r="AT603" i="11"/>
  <c r="AS603" i="11"/>
  <c r="AR603" i="11"/>
  <c r="AL603" i="11"/>
  <c r="AN603" i="11"/>
  <c r="AO603" i="11"/>
  <c r="AJ603" i="11"/>
  <c r="AK603" i="11"/>
  <c r="AQ603" i="11"/>
  <c r="AP603" i="11"/>
  <c r="AM603" i="11"/>
  <c r="D1214" i="11"/>
  <c r="H1213" i="11"/>
  <c r="C1213" i="11"/>
  <c r="J1213" i="11"/>
  <c r="BC602" i="11" l="1"/>
  <c r="AZ603" i="11"/>
  <c r="BD603" i="11" s="1"/>
  <c r="X604" i="11"/>
  <c r="Z604" i="11" s="1"/>
  <c r="AY605" i="11"/>
  <c r="AW605" i="11"/>
  <c r="T605" i="11"/>
  <c r="L605" i="11"/>
  <c r="E605" i="11"/>
  <c r="N605" i="11"/>
  <c r="M605" i="11"/>
  <c r="U605" i="11"/>
  <c r="G605" i="11"/>
  <c r="F605" i="11"/>
  <c r="V605" i="11"/>
  <c r="BC603" i="11"/>
  <c r="A608" i="11"/>
  <c r="BA608" i="11" s="1"/>
  <c r="BB607" i="11"/>
  <c r="D606" i="11"/>
  <c r="C605" i="11"/>
  <c r="X605" i="11" s="1"/>
  <c r="Z605" i="11" s="1"/>
  <c r="E1213" i="11"/>
  <c r="F1213" i="11" s="1"/>
  <c r="G1214" i="11" s="1"/>
  <c r="I1213" i="11"/>
  <c r="B606" i="11"/>
  <c r="AV606" i="11" s="1"/>
  <c r="AR604" i="11"/>
  <c r="AS604" i="11"/>
  <c r="AU604" i="11"/>
  <c r="AT604" i="11"/>
  <c r="AP604" i="11"/>
  <c r="AM604" i="11"/>
  <c r="AL604" i="11"/>
  <c r="AN604" i="11"/>
  <c r="AO604" i="11"/>
  <c r="AJ604" i="11"/>
  <c r="AK604" i="11"/>
  <c r="AQ604" i="11"/>
  <c r="D1215" i="11"/>
  <c r="H1214" i="11"/>
  <c r="C1214" i="11"/>
  <c r="J1214" i="11"/>
  <c r="AZ604" i="11" l="1"/>
  <c r="BC604" i="11" s="1"/>
  <c r="AY606" i="11"/>
  <c r="AW606" i="11"/>
  <c r="T606" i="11"/>
  <c r="E606" i="11"/>
  <c r="L606" i="11"/>
  <c r="M606" i="11"/>
  <c r="N606" i="11"/>
  <c r="U606" i="11"/>
  <c r="G606" i="11"/>
  <c r="F606" i="11"/>
  <c r="V606" i="11"/>
  <c r="A609" i="11"/>
  <c r="BA609" i="11" s="1"/>
  <c r="BB608" i="11"/>
  <c r="I1214" i="11"/>
  <c r="E1214" i="11"/>
  <c r="F1214" i="11" s="1"/>
  <c r="G1215" i="11" s="1"/>
  <c r="C606" i="11"/>
  <c r="D607" i="11"/>
  <c r="B607" i="11"/>
  <c r="AV607" i="11" s="1"/>
  <c r="AT605" i="11"/>
  <c r="AS605" i="11"/>
  <c r="AU605" i="11"/>
  <c r="AR605" i="11"/>
  <c r="AL605" i="11"/>
  <c r="AN605" i="11"/>
  <c r="AP605" i="11"/>
  <c r="AZ605" i="11"/>
  <c r="AM605" i="11"/>
  <c r="AO605" i="11"/>
  <c r="AJ605" i="11"/>
  <c r="AK605" i="11"/>
  <c r="AQ605" i="11"/>
  <c r="D1216" i="11"/>
  <c r="H1215" i="11"/>
  <c r="C1215" i="11"/>
  <c r="J1215" i="11"/>
  <c r="BD604" i="11" l="1"/>
  <c r="X606" i="11"/>
  <c r="Z606" i="11" s="1"/>
  <c r="AY607" i="11"/>
  <c r="AW607" i="11"/>
  <c r="T607" i="11"/>
  <c r="E607" i="11"/>
  <c r="L607" i="11"/>
  <c r="M607" i="11"/>
  <c r="N607" i="11"/>
  <c r="U607" i="11"/>
  <c r="G607" i="11"/>
  <c r="F607" i="11"/>
  <c r="V607" i="11"/>
  <c r="BC605" i="11"/>
  <c r="BD605" i="11"/>
  <c r="A610" i="11"/>
  <c r="BA610" i="11" s="1"/>
  <c r="BB609" i="11"/>
  <c r="D608" i="11"/>
  <c r="C607" i="11"/>
  <c r="I1215" i="11"/>
  <c r="E1215" i="11"/>
  <c r="F1215" i="11" s="1"/>
  <c r="G1216" i="11" s="1"/>
  <c r="B608" i="11"/>
  <c r="AV608" i="11" s="1"/>
  <c r="AU606" i="11"/>
  <c r="AT606" i="11"/>
  <c r="AR606" i="11"/>
  <c r="AS606" i="11"/>
  <c r="AO606" i="11"/>
  <c r="AJ606" i="11"/>
  <c r="AP606" i="11"/>
  <c r="AM606" i="11"/>
  <c r="AK606" i="11"/>
  <c r="AQ606" i="11"/>
  <c r="AL606" i="11"/>
  <c r="AN606" i="11"/>
  <c r="D1217" i="11"/>
  <c r="H1216" i="11"/>
  <c r="C1216" i="11"/>
  <c r="J1216" i="11"/>
  <c r="X607" i="11" l="1"/>
  <c r="Z607" i="11" s="1"/>
  <c r="AZ606" i="11"/>
  <c r="BD606" i="11" s="1"/>
  <c r="AY608" i="11"/>
  <c r="AW608" i="11"/>
  <c r="L608" i="11"/>
  <c r="T608" i="11"/>
  <c r="E608" i="11"/>
  <c r="M608" i="11"/>
  <c r="N608" i="11"/>
  <c r="U608" i="11"/>
  <c r="F608" i="11"/>
  <c r="G608" i="11"/>
  <c r="V608" i="11"/>
  <c r="A611" i="11"/>
  <c r="BA611" i="11" s="1"/>
  <c r="BB610" i="11"/>
  <c r="E1216" i="11"/>
  <c r="F1216" i="11" s="1"/>
  <c r="G1217" i="11" s="1"/>
  <c r="I1216" i="11"/>
  <c r="C608" i="11"/>
  <c r="D609" i="11"/>
  <c r="B609" i="11"/>
  <c r="AV609" i="11" s="1"/>
  <c r="AT607" i="11"/>
  <c r="AU607" i="11"/>
  <c r="AS607" i="11"/>
  <c r="AR607" i="11"/>
  <c r="AL607" i="11"/>
  <c r="AN607" i="11"/>
  <c r="AK607" i="11"/>
  <c r="AQ607" i="11"/>
  <c r="AP607" i="11"/>
  <c r="AM607" i="11"/>
  <c r="AO607" i="11"/>
  <c r="AJ607" i="11"/>
  <c r="D1218" i="11"/>
  <c r="H1217" i="11"/>
  <c r="C1217" i="11"/>
  <c r="J1217" i="11"/>
  <c r="BC606" i="11" l="1"/>
  <c r="AZ607" i="11"/>
  <c r="X608" i="11"/>
  <c r="Z608" i="11" s="1"/>
  <c r="AY609" i="11"/>
  <c r="AW609" i="11"/>
  <c r="L609" i="11"/>
  <c r="E609" i="11"/>
  <c r="T609" i="11"/>
  <c r="N609" i="11"/>
  <c r="M609" i="11"/>
  <c r="U609" i="11"/>
  <c r="F609" i="11"/>
  <c r="G609" i="11"/>
  <c r="V609" i="11"/>
  <c r="BD607" i="11"/>
  <c r="BC607" i="11"/>
  <c r="A612" i="11"/>
  <c r="BA612" i="11" s="1"/>
  <c r="BB611" i="11"/>
  <c r="I1217" i="11"/>
  <c r="D610" i="11"/>
  <c r="C609" i="11"/>
  <c r="E1217" i="11"/>
  <c r="F1217" i="11" s="1"/>
  <c r="G1218" i="11" s="1"/>
  <c r="B610" i="11"/>
  <c r="AV610" i="11" s="1"/>
  <c r="AU608" i="11"/>
  <c r="AS608" i="11"/>
  <c r="AR608" i="11"/>
  <c r="AT608" i="11"/>
  <c r="AK608" i="11"/>
  <c r="AQ608" i="11"/>
  <c r="AP608" i="11"/>
  <c r="AM608" i="11"/>
  <c r="AL608" i="11"/>
  <c r="AN608" i="11"/>
  <c r="AO608" i="11"/>
  <c r="AJ608" i="11"/>
  <c r="D1219" i="11"/>
  <c r="H1218" i="11"/>
  <c r="C1218" i="11"/>
  <c r="J1218" i="11"/>
  <c r="AZ608" i="11" l="1"/>
  <c r="BC608" i="11" s="1"/>
  <c r="X609" i="11"/>
  <c r="Z609" i="11" s="1"/>
  <c r="AY610" i="11"/>
  <c r="AW610" i="11"/>
  <c r="T610" i="11"/>
  <c r="L610" i="11"/>
  <c r="E610" i="11"/>
  <c r="M610" i="11"/>
  <c r="N610" i="11"/>
  <c r="U610" i="11"/>
  <c r="G610" i="11"/>
  <c r="F610" i="11"/>
  <c r="V610" i="11"/>
  <c r="BD608" i="11"/>
  <c r="A613" i="11"/>
  <c r="BA613" i="11" s="1"/>
  <c r="BB612" i="11"/>
  <c r="E1218" i="11"/>
  <c r="F1218" i="11" s="1"/>
  <c r="G1219" i="11" s="1"/>
  <c r="I1218" i="11"/>
  <c r="C610" i="11"/>
  <c r="D611" i="11"/>
  <c r="B611" i="11"/>
  <c r="AV611" i="11" s="1"/>
  <c r="AS609" i="11"/>
  <c r="AU609" i="11"/>
  <c r="AR609" i="11"/>
  <c r="AT609" i="11"/>
  <c r="AO609" i="11"/>
  <c r="AJ609" i="11"/>
  <c r="AK609" i="11"/>
  <c r="AQ609" i="11"/>
  <c r="AP609" i="11"/>
  <c r="AM609" i="11"/>
  <c r="AL609" i="11"/>
  <c r="AN609" i="11"/>
  <c r="D1220" i="11"/>
  <c r="H1219" i="11"/>
  <c r="C1219" i="11"/>
  <c r="J1219" i="11"/>
  <c r="X610" i="11" l="1"/>
  <c r="Z610" i="11" s="1"/>
  <c r="AZ609" i="11"/>
  <c r="BC609" i="11" s="1"/>
  <c r="AY611" i="11"/>
  <c r="AW611" i="11"/>
  <c r="T611" i="11"/>
  <c r="E611" i="11"/>
  <c r="L611" i="11"/>
  <c r="M611" i="11"/>
  <c r="N611" i="11"/>
  <c r="U611" i="11"/>
  <c r="G611" i="11"/>
  <c r="F611" i="11"/>
  <c r="V611" i="11"/>
  <c r="A614" i="11"/>
  <c r="BA614" i="11" s="1"/>
  <c r="BB613" i="11"/>
  <c r="D612" i="11"/>
  <c r="C611" i="11"/>
  <c r="E1219" i="11"/>
  <c r="F1219" i="11" s="1"/>
  <c r="G1220" i="11" s="1"/>
  <c r="I1219" i="11"/>
  <c r="B612" i="11"/>
  <c r="AV612" i="11" s="1"/>
  <c r="AU610" i="11"/>
  <c r="AT610" i="11"/>
  <c r="AR610" i="11"/>
  <c r="AS610" i="11"/>
  <c r="AK610" i="11"/>
  <c r="AQ610" i="11"/>
  <c r="AP610" i="11"/>
  <c r="AM610" i="11"/>
  <c r="AN610" i="11"/>
  <c r="AJ610" i="11"/>
  <c r="AL610" i="11"/>
  <c r="AO610" i="11"/>
  <c r="D1221" i="11"/>
  <c r="H1220" i="11"/>
  <c r="C1220" i="11"/>
  <c r="J1220" i="11"/>
  <c r="AZ610" i="11" l="1"/>
  <c r="BD609" i="11"/>
  <c r="X611" i="11"/>
  <c r="Z611" i="11" s="1"/>
  <c r="AY612" i="11"/>
  <c r="AW612" i="11"/>
  <c r="T612" i="11"/>
  <c r="L612" i="11"/>
  <c r="E612" i="11"/>
  <c r="M612" i="11"/>
  <c r="N612" i="11"/>
  <c r="U612" i="11"/>
  <c r="F612" i="11"/>
  <c r="G612" i="11"/>
  <c r="V612" i="11"/>
  <c r="BD610" i="11"/>
  <c r="BC610" i="11"/>
  <c r="A615" i="11"/>
  <c r="BA615" i="11" s="1"/>
  <c r="BB614" i="11"/>
  <c r="I1220" i="11"/>
  <c r="E1220" i="11"/>
  <c r="F1220" i="11" s="1"/>
  <c r="G1221" i="11" s="1"/>
  <c r="C612" i="11"/>
  <c r="D613" i="11"/>
  <c r="B613" i="11"/>
  <c r="AV613" i="11" s="1"/>
  <c r="AT611" i="11"/>
  <c r="AU611" i="11"/>
  <c r="AR611" i="11"/>
  <c r="AS611" i="11"/>
  <c r="AK611" i="11"/>
  <c r="AQ611" i="11"/>
  <c r="AP611" i="11"/>
  <c r="AM611" i="11"/>
  <c r="AN611" i="11"/>
  <c r="AO611" i="11"/>
  <c r="AJ611" i="11"/>
  <c r="AL611" i="11"/>
  <c r="D1222" i="11"/>
  <c r="H1221" i="11"/>
  <c r="C1221" i="11"/>
  <c r="J1221" i="11"/>
  <c r="X612" i="11" l="1"/>
  <c r="Z612" i="11" s="1"/>
  <c r="AZ611" i="11"/>
  <c r="BD611" i="11" s="1"/>
  <c r="AY613" i="11"/>
  <c r="AW613" i="11"/>
  <c r="T613" i="11"/>
  <c r="L613" i="11"/>
  <c r="E613" i="11"/>
  <c r="N613" i="11"/>
  <c r="M613" i="11"/>
  <c r="U613" i="11"/>
  <c r="G613" i="11"/>
  <c r="F613" i="11"/>
  <c r="V613" i="11"/>
  <c r="BC611" i="11"/>
  <c r="A616" i="11"/>
  <c r="BA616" i="11" s="1"/>
  <c r="BB615" i="11"/>
  <c r="D614" i="11"/>
  <c r="C613" i="11"/>
  <c r="I1221" i="11"/>
  <c r="E1221" i="11"/>
  <c r="F1221" i="11" s="1"/>
  <c r="G1222" i="11" s="1"/>
  <c r="B614" i="11"/>
  <c r="AV614" i="11" s="1"/>
  <c r="AS612" i="11"/>
  <c r="AU612" i="11"/>
  <c r="AT612" i="11"/>
  <c r="AR612" i="11"/>
  <c r="AP612" i="11"/>
  <c r="AM612" i="11"/>
  <c r="AJ612" i="11"/>
  <c r="AL612" i="11"/>
  <c r="AN612" i="11"/>
  <c r="AO612" i="11"/>
  <c r="AK612" i="11"/>
  <c r="AQ612" i="11"/>
  <c r="D1223" i="11"/>
  <c r="H1222" i="11"/>
  <c r="C1222" i="11"/>
  <c r="J1222" i="11"/>
  <c r="AZ612" i="11" l="1"/>
  <c r="BC612" i="11" s="1"/>
  <c r="X613" i="11"/>
  <c r="Z613" i="11" s="1"/>
  <c r="AY614" i="11"/>
  <c r="AW614" i="11"/>
  <c r="T614" i="11"/>
  <c r="L614" i="11"/>
  <c r="E614" i="11"/>
  <c r="M614" i="11"/>
  <c r="N614" i="11"/>
  <c r="U614" i="11"/>
  <c r="G614" i="11"/>
  <c r="F614" i="11"/>
  <c r="V614" i="11"/>
  <c r="A617" i="11"/>
  <c r="BA617" i="11" s="1"/>
  <c r="BB616" i="11"/>
  <c r="BD612" i="11"/>
  <c r="E1222" i="11"/>
  <c r="F1222" i="11" s="1"/>
  <c r="G1223" i="11" s="1"/>
  <c r="I1222" i="11"/>
  <c r="C614" i="11"/>
  <c r="D615" i="11"/>
  <c r="B615" i="11"/>
  <c r="AV615" i="11" s="1"/>
  <c r="AU613" i="11"/>
  <c r="AS613" i="11"/>
  <c r="AT613" i="11"/>
  <c r="AR613" i="11"/>
  <c r="AO613" i="11"/>
  <c r="AK613" i="11"/>
  <c r="AQ613" i="11"/>
  <c r="AL613" i="11"/>
  <c r="AN613" i="11"/>
  <c r="AJ613" i="11"/>
  <c r="AP613" i="11"/>
  <c r="AM613" i="11"/>
  <c r="D1224" i="11"/>
  <c r="H1223" i="11"/>
  <c r="C1223" i="11"/>
  <c r="J1223" i="11"/>
  <c r="X614" i="11" l="1"/>
  <c r="Z614" i="11" s="1"/>
  <c r="AZ613" i="11"/>
  <c r="BC613" i="11" s="1"/>
  <c r="AY615" i="11"/>
  <c r="AW615" i="11"/>
  <c r="T615" i="11"/>
  <c r="E615" i="11"/>
  <c r="L615" i="11"/>
  <c r="M615" i="11"/>
  <c r="N615" i="11"/>
  <c r="U615" i="11"/>
  <c r="G615" i="11"/>
  <c r="F615" i="11"/>
  <c r="V615" i="11"/>
  <c r="A618" i="11"/>
  <c r="BA618" i="11" s="1"/>
  <c r="BB617" i="11"/>
  <c r="D616" i="11"/>
  <c r="C615" i="11"/>
  <c r="E1223" i="11"/>
  <c r="F1223" i="11" s="1"/>
  <c r="G1224" i="11" s="1"/>
  <c r="I1223" i="11"/>
  <c r="B616" i="11"/>
  <c r="AV616" i="11" s="1"/>
  <c r="AU614" i="11"/>
  <c r="AR614" i="11"/>
  <c r="AS614" i="11"/>
  <c r="AT614" i="11"/>
  <c r="AP614" i="11"/>
  <c r="AM614" i="11"/>
  <c r="AK614" i="11"/>
  <c r="AQ614" i="11"/>
  <c r="AL614" i="11"/>
  <c r="AN614" i="11"/>
  <c r="AO614" i="11"/>
  <c r="AJ614" i="11"/>
  <c r="D1225" i="11"/>
  <c r="H1224" i="11"/>
  <c r="C1224" i="11"/>
  <c r="J1224" i="11"/>
  <c r="X615" i="11" l="1"/>
  <c r="Z615" i="11" s="1"/>
  <c r="AZ614" i="11"/>
  <c r="BC614" i="11" s="1"/>
  <c r="BD613" i="11"/>
  <c r="AY616" i="11"/>
  <c r="AW616" i="11"/>
  <c r="L616" i="11"/>
  <c r="T616" i="11"/>
  <c r="E616" i="11"/>
  <c r="M616" i="11"/>
  <c r="N616" i="11"/>
  <c r="U616" i="11"/>
  <c r="G616" i="11"/>
  <c r="F616" i="11"/>
  <c r="V616" i="11"/>
  <c r="A619" i="11"/>
  <c r="BA619" i="11" s="1"/>
  <c r="BB618" i="11"/>
  <c r="E1224" i="11"/>
  <c r="F1224" i="11" s="1"/>
  <c r="G1225" i="11" s="1"/>
  <c r="I1224" i="11"/>
  <c r="C616" i="11"/>
  <c r="D617" i="11"/>
  <c r="B617" i="11"/>
  <c r="AV617" i="11" s="1"/>
  <c r="AT615" i="11"/>
  <c r="AU615" i="11"/>
  <c r="AS615" i="11"/>
  <c r="AR615" i="11"/>
  <c r="AK615" i="11"/>
  <c r="AQ615" i="11"/>
  <c r="AP615" i="11"/>
  <c r="AM615" i="11"/>
  <c r="AL615" i="11"/>
  <c r="AN615" i="11"/>
  <c r="AO615" i="11"/>
  <c r="AJ615" i="11"/>
  <c r="D1226" i="11"/>
  <c r="H1225" i="11"/>
  <c r="C1225" i="11"/>
  <c r="J1225" i="11"/>
  <c r="BD614" i="11" l="1"/>
  <c r="AZ615" i="11"/>
  <c r="BC615" i="11" s="1"/>
  <c r="X616" i="11"/>
  <c r="Z616" i="11" s="1"/>
  <c r="AY617" i="11"/>
  <c r="AW617" i="11"/>
  <c r="L617" i="11"/>
  <c r="E617" i="11"/>
  <c r="T617" i="11"/>
  <c r="N617" i="11"/>
  <c r="M617" i="11"/>
  <c r="U617" i="11"/>
  <c r="G617" i="11"/>
  <c r="F617" i="11"/>
  <c r="V617" i="11"/>
  <c r="BD615" i="11"/>
  <c r="A620" i="11"/>
  <c r="BA620" i="11" s="1"/>
  <c r="BB619" i="11"/>
  <c r="D618" i="11"/>
  <c r="C617" i="11"/>
  <c r="E1225" i="11"/>
  <c r="F1225" i="11" s="1"/>
  <c r="G1226" i="11" s="1"/>
  <c r="I1225" i="11"/>
  <c r="B618" i="11"/>
  <c r="AV618" i="11" s="1"/>
  <c r="AT616" i="11"/>
  <c r="AU616" i="11"/>
  <c r="AR616" i="11"/>
  <c r="AS616" i="11"/>
  <c r="AL616" i="11"/>
  <c r="AN616" i="11"/>
  <c r="AO616" i="11"/>
  <c r="AJ616" i="11"/>
  <c r="AK616" i="11"/>
  <c r="AQ616" i="11"/>
  <c r="AP616" i="11"/>
  <c r="AM616" i="11"/>
  <c r="D1227" i="11"/>
  <c r="H1226" i="11"/>
  <c r="C1226" i="11"/>
  <c r="J1226" i="11"/>
  <c r="AZ616" i="11" l="1"/>
  <c r="BC616" i="11" s="1"/>
  <c r="X617" i="11"/>
  <c r="Z617" i="11" s="1"/>
  <c r="AY618" i="11"/>
  <c r="AW618" i="11"/>
  <c r="T618" i="11"/>
  <c r="L618" i="11"/>
  <c r="E618" i="11"/>
  <c r="M618" i="11"/>
  <c r="N618" i="11"/>
  <c r="U618" i="11"/>
  <c r="G618" i="11"/>
  <c r="F618" i="11"/>
  <c r="V618" i="11"/>
  <c r="A621" i="11"/>
  <c r="BA621" i="11" s="1"/>
  <c r="BB620" i="11"/>
  <c r="I1226" i="11"/>
  <c r="E1226" i="11"/>
  <c r="F1226" i="11" s="1"/>
  <c r="G1227" i="11" s="1"/>
  <c r="C618" i="11"/>
  <c r="D619" i="11"/>
  <c r="B619" i="11"/>
  <c r="AV619" i="11" s="1"/>
  <c r="AS617" i="11"/>
  <c r="AU617" i="11"/>
  <c r="AT617" i="11"/>
  <c r="AR617" i="11"/>
  <c r="AO617" i="11"/>
  <c r="AJ617" i="11"/>
  <c r="AK617" i="11"/>
  <c r="AQ617" i="11"/>
  <c r="AL617" i="11"/>
  <c r="AN617" i="11"/>
  <c r="AP617" i="11"/>
  <c r="AM617" i="11"/>
  <c r="D1228" i="11"/>
  <c r="H1227" i="11"/>
  <c r="C1227" i="11"/>
  <c r="J1227" i="11"/>
  <c r="BD616" i="11" l="1"/>
  <c r="X618" i="11"/>
  <c r="Z618" i="11" s="1"/>
  <c r="AZ617" i="11"/>
  <c r="BD617" i="11" s="1"/>
  <c r="AY619" i="11"/>
  <c r="AW619" i="11"/>
  <c r="T619" i="11"/>
  <c r="E619" i="11"/>
  <c r="L619" i="11"/>
  <c r="M619" i="11"/>
  <c r="N619" i="11"/>
  <c r="U619" i="11"/>
  <c r="F619" i="11"/>
  <c r="G619" i="11"/>
  <c r="V619" i="11"/>
  <c r="BC617" i="11"/>
  <c r="A622" i="11"/>
  <c r="BA622" i="11" s="1"/>
  <c r="BB621" i="11"/>
  <c r="D620" i="11"/>
  <c r="C619" i="11"/>
  <c r="I1227" i="11"/>
  <c r="E1227" i="11"/>
  <c r="F1227" i="11" s="1"/>
  <c r="G1228" i="11" s="1"/>
  <c r="B620" i="11"/>
  <c r="AV620" i="11" s="1"/>
  <c r="AU618" i="11"/>
  <c r="AS618" i="11"/>
  <c r="AR618" i="11"/>
  <c r="AT618" i="11"/>
  <c r="AO618" i="11"/>
  <c r="AJ618" i="11"/>
  <c r="AL618" i="11"/>
  <c r="AK618" i="11"/>
  <c r="AQ618" i="11"/>
  <c r="AP618" i="11"/>
  <c r="AM618" i="11"/>
  <c r="AN618" i="11"/>
  <c r="D1229" i="11"/>
  <c r="H1228" i="11"/>
  <c r="C1228" i="11"/>
  <c r="J1228" i="11"/>
  <c r="AZ618" i="11" l="1"/>
  <c r="BC618" i="11" s="1"/>
  <c r="X619" i="11"/>
  <c r="Z619" i="11" s="1"/>
  <c r="AY620" i="11"/>
  <c r="AW620" i="11"/>
  <c r="T620" i="11"/>
  <c r="L620" i="11"/>
  <c r="E620" i="11"/>
  <c r="M620" i="11"/>
  <c r="N620" i="11"/>
  <c r="U620" i="11"/>
  <c r="F620" i="11"/>
  <c r="G620" i="11"/>
  <c r="V620" i="11"/>
  <c r="A623" i="11"/>
  <c r="BA623" i="11" s="1"/>
  <c r="BB622" i="11"/>
  <c r="I1228" i="11"/>
  <c r="E1228" i="11"/>
  <c r="F1228" i="11" s="1"/>
  <c r="G1229" i="11" s="1"/>
  <c r="C620" i="11"/>
  <c r="D621" i="11"/>
  <c r="B621" i="11"/>
  <c r="AV621" i="11" s="1"/>
  <c r="AU619" i="11"/>
  <c r="AT619" i="11"/>
  <c r="AS619" i="11"/>
  <c r="AR619" i="11"/>
  <c r="AL619" i="11"/>
  <c r="AN619" i="11"/>
  <c r="AJ619" i="11"/>
  <c r="AK619" i="11"/>
  <c r="AQ619" i="11"/>
  <c r="AP619" i="11"/>
  <c r="AM619" i="11"/>
  <c r="AO619" i="11"/>
  <c r="D1230" i="11"/>
  <c r="H1229" i="11"/>
  <c r="C1229" i="11"/>
  <c r="J1229" i="11"/>
  <c r="BD618" i="11" l="1"/>
  <c r="X620" i="11"/>
  <c r="Z620" i="11" s="1"/>
  <c r="AZ619" i="11"/>
  <c r="BD619" i="11" s="1"/>
  <c r="AY621" i="11"/>
  <c r="AW621" i="11"/>
  <c r="T621" i="11"/>
  <c r="L621" i="11"/>
  <c r="E621" i="11"/>
  <c r="N621" i="11"/>
  <c r="M621" i="11"/>
  <c r="U621" i="11"/>
  <c r="G621" i="11"/>
  <c r="F621" i="11"/>
  <c r="V621" i="11"/>
  <c r="A624" i="11"/>
  <c r="BA624" i="11" s="1"/>
  <c r="BB623" i="11"/>
  <c r="D622" i="11"/>
  <c r="C621" i="11"/>
  <c r="E1229" i="11"/>
  <c r="F1229" i="11" s="1"/>
  <c r="G1230" i="11" s="1"/>
  <c r="I1229" i="11"/>
  <c r="B622" i="11"/>
  <c r="AV622" i="11" s="1"/>
  <c r="AT620" i="11"/>
  <c r="AR620" i="11"/>
  <c r="AS620" i="11"/>
  <c r="AU620" i="11"/>
  <c r="AJ620" i="11"/>
  <c r="AK620" i="11"/>
  <c r="AQ620" i="11"/>
  <c r="AL620" i="11"/>
  <c r="AN620" i="11"/>
  <c r="AP620" i="11"/>
  <c r="AM620" i="11"/>
  <c r="AO620" i="11"/>
  <c r="D1231" i="11"/>
  <c r="H1230" i="11"/>
  <c r="C1230" i="11"/>
  <c r="J1230" i="11"/>
  <c r="BC619" i="11" l="1"/>
  <c r="AZ620" i="11"/>
  <c r="BD620" i="11" s="1"/>
  <c r="X621" i="11"/>
  <c r="Z621" i="11" s="1"/>
  <c r="AY622" i="11"/>
  <c r="AW622" i="11"/>
  <c r="T622" i="11"/>
  <c r="L622" i="11"/>
  <c r="E622" i="11"/>
  <c r="M622" i="11"/>
  <c r="N622" i="11"/>
  <c r="U622" i="11"/>
  <c r="G622" i="11"/>
  <c r="F622" i="11"/>
  <c r="V622" i="11"/>
  <c r="BC620" i="11"/>
  <c r="A625" i="11"/>
  <c r="BA625" i="11" s="1"/>
  <c r="BB624" i="11"/>
  <c r="E1230" i="11"/>
  <c r="F1230" i="11" s="1"/>
  <c r="G1231" i="11" s="1"/>
  <c r="I1230" i="11"/>
  <c r="C622" i="11"/>
  <c r="D623" i="11"/>
  <c r="B623" i="11"/>
  <c r="AV623" i="11" s="1"/>
  <c r="AU621" i="11"/>
  <c r="AT621" i="11"/>
  <c r="AS621" i="11"/>
  <c r="AR621" i="11"/>
  <c r="AP621" i="11"/>
  <c r="AM621" i="11"/>
  <c r="AO621" i="11"/>
  <c r="AL621" i="11"/>
  <c r="AN621" i="11"/>
  <c r="AJ621" i="11"/>
  <c r="AK621" i="11"/>
  <c r="AQ621" i="11"/>
  <c r="D1232" i="11"/>
  <c r="H1231" i="11"/>
  <c r="C1231" i="11"/>
  <c r="J1231" i="11"/>
  <c r="AZ621" i="11" l="1"/>
  <c r="BD621" i="11" s="1"/>
  <c r="X622" i="11"/>
  <c r="Z622" i="11" s="1"/>
  <c r="AY623" i="11"/>
  <c r="AW623" i="11"/>
  <c r="T623" i="11"/>
  <c r="E623" i="11"/>
  <c r="L623" i="11"/>
  <c r="M623" i="11"/>
  <c r="N623" i="11"/>
  <c r="U623" i="11"/>
  <c r="G623" i="11"/>
  <c r="F623" i="11"/>
  <c r="V623" i="11"/>
  <c r="A626" i="11"/>
  <c r="BA626" i="11" s="1"/>
  <c r="BB625" i="11"/>
  <c r="D624" i="11"/>
  <c r="C623" i="11"/>
  <c r="E1231" i="11"/>
  <c r="F1231" i="11" s="1"/>
  <c r="G1232" i="11" s="1"/>
  <c r="I1231" i="11"/>
  <c r="B624" i="11"/>
  <c r="AV624" i="11" s="1"/>
  <c r="AU622" i="11"/>
  <c r="AR622" i="11"/>
  <c r="AT622" i="11"/>
  <c r="AS622" i="11"/>
  <c r="AK622" i="11"/>
  <c r="AQ622" i="11"/>
  <c r="AP622" i="11"/>
  <c r="AM622" i="11"/>
  <c r="AO622" i="11"/>
  <c r="AJ622" i="11"/>
  <c r="AL622" i="11"/>
  <c r="AN622" i="11"/>
  <c r="D1233" i="11"/>
  <c r="H1232" i="11"/>
  <c r="C1232" i="11"/>
  <c r="J1232" i="11"/>
  <c r="BC621" i="11" l="1"/>
  <c r="AZ622" i="11"/>
  <c r="X623" i="11"/>
  <c r="Z623" i="11" s="1"/>
  <c r="AY624" i="11"/>
  <c r="AW624" i="11"/>
  <c r="L624" i="11"/>
  <c r="T624" i="11"/>
  <c r="E624" i="11"/>
  <c r="M624" i="11"/>
  <c r="N624" i="11"/>
  <c r="U624" i="11"/>
  <c r="F624" i="11"/>
  <c r="G624" i="11"/>
  <c r="V624" i="11"/>
  <c r="BD622" i="11"/>
  <c r="BC622" i="11"/>
  <c r="A627" i="11"/>
  <c r="BA627" i="11" s="1"/>
  <c r="BB626" i="11"/>
  <c r="I1232" i="11"/>
  <c r="E1232" i="11"/>
  <c r="F1232" i="11" s="1"/>
  <c r="G1233" i="11" s="1"/>
  <c r="C624" i="11"/>
  <c r="D625" i="11"/>
  <c r="B625" i="11"/>
  <c r="AV625" i="11" s="1"/>
  <c r="AT623" i="11"/>
  <c r="AS623" i="11"/>
  <c r="AU623" i="11"/>
  <c r="AR623" i="11"/>
  <c r="AP623" i="11"/>
  <c r="AM623" i="11"/>
  <c r="AL623" i="11"/>
  <c r="AN623" i="11"/>
  <c r="AK623" i="11"/>
  <c r="AQ623" i="11"/>
  <c r="AO623" i="11"/>
  <c r="AJ623" i="11"/>
  <c r="D1234" i="11"/>
  <c r="H1233" i="11"/>
  <c r="C1233" i="11"/>
  <c r="J1233" i="11"/>
  <c r="AZ623" i="11" l="1"/>
  <c r="X624" i="11"/>
  <c r="Z624" i="11" s="1"/>
  <c r="AY625" i="11"/>
  <c r="AW625" i="11"/>
  <c r="L625" i="11"/>
  <c r="E625" i="11"/>
  <c r="T625" i="11"/>
  <c r="N625" i="11"/>
  <c r="M625" i="11"/>
  <c r="U625" i="11"/>
  <c r="F625" i="11"/>
  <c r="G625" i="11"/>
  <c r="V625" i="11"/>
  <c r="BD623" i="11"/>
  <c r="BC623" i="11"/>
  <c r="A628" i="11"/>
  <c r="BA628" i="11" s="1"/>
  <c r="BB627" i="11"/>
  <c r="D626" i="11"/>
  <c r="C625" i="11"/>
  <c r="E1233" i="11"/>
  <c r="F1233" i="11" s="1"/>
  <c r="G1234" i="11" s="1"/>
  <c r="I1233" i="11"/>
  <c r="B626" i="11"/>
  <c r="AV626" i="11" s="1"/>
  <c r="AU624" i="11"/>
  <c r="AS624" i="11"/>
  <c r="AT624" i="11"/>
  <c r="AR624" i="11"/>
  <c r="AO624" i="11"/>
  <c r="AJ624" i="11"/>
  <c r="AK624" i="11"/>
  <c r="AQ624" i="11"/>
  <c r="AP624" i="11"/>
  <c r="AM624" i="11"/>
  <c r="AL624" i="11"/>
  <c r="AN624" i="11"/>
  <c r="D1235" i="11"/>
  <c r="H1234" i="11"/>
  <c r="C1234" i="11"/>
  <c r="J1234" i="11"/>
  <c r="AZ624" i="11" l="1"/>
  <c r="BC624" i="11" s="1"/>
  <c r="X625" i="11"/>
  <c r="Z625" i="11" s="1"/>
  <c r="AY626" i="11"/>
  <c r="AW626" i="11"/>
  <c r="T626" i="11"/>
  <c r="L626" i="11"/>
  <c r="E626" i="11"/>
  <c r="M626" i="11"/>
  <c r="N626" i="11"/>
  <c r="U626" i="11"/>
  <c r="G626" i="11"/>
  <c r="F626" i="11"/>
  <c r="V626" i="11"/>
  <c r="A629" i="11"/>
  <c r="BA629" i="11" s="1"/>
  <c r="BB628" i="11"/>
  <c r="E1234" i="11"/>
  <c r="F1234" i="11" s="1"/>
  <c r="G1235" i="11" s="1"/>
  <c r="I1234" i="11"/>
  <c r="C626" i="11"/>
  <c r="D627" i="11"/>
  <c r="B627" i="11"/>
  <c r="AV627" i="11" s="1"/>
  <c r="AS625" i="11"/>
  <c r="AU625" i="11"/>
  <c r="AR625" i="11"/>
  <c r="AT625" i="11"/>
  <c r="AL625" i="11"/>
  <c r="AN625" i="11"/>
  <c r="AO625" i="11"/>
  <c r="AJ625" i="11"/>
  <c r="AP625" i="11"/>
  <c r="AM625" i="11"/>
  <c r="AK625" i="11"/>
  <c r="AQ625" i="11"/>
  <c r="D1236" i="11"/>
  <c r="H1235" i="11"/>
  <c r="C1235" i="11"/>
  <c r="J1235" i="11"/>
  <c r="BD624" i="11" l="1"/>
  <c r="AZ625" i="11"/>
  <c r="BD625" i="11" s="1"/>
  <c r="X626" i="11"/>
  <c r="Z626" i="11" s="1"/>
  <c r="AY627" i="11"/>
  <c r="AW627" i="11"/>
  <c r="T627" i="11"/>
  <c r="E627" i="11"/>
  <c r="L627" i="11"/>
  <c r="M627" i="11"/>
  <c r="N627" i="11"/>
  <c r="U627" i="11"/>
  <c r="G627" i="11"/>
  <c r="F627" i="11"/>
  <c r="V627" i="11"/>
  <c r="BC625" i="11"/>
  <c r="A630" i="11"/>
  <c r="BA630" i="11" s="1"/>
  <c r="BB629" i="11"/>
  <c r="I1235" i="11"/>
  <c r="D628" i="11"/>
  <c r="C627" i="11"/>
  <c r="E1235" i="11"/>
  <c r="F1235" i="11" s="1"/>
  <c r="G1236" i="11" s="1"/>
  <c r="B628" i="11"/>
  <c r="AV628" i="11" s="1"/>
  <c r="AU626" i="11"/>
  <c r="AT626" i="11"/>
  <c r="AR626" i="11"/>
  <c r="AS626" i="11"/>
  <c r="AL626" i="11"/>
  <c r="AN626" i="11"/>
  <c r="AO626" i="11"/>
  <c r="AJ626" i="11"/>
  <c r="AK626" i="11"/>
  <c r="AQ626" i="11"/>
  <c r="AP626" i="11"/>
  <c r="AM626" i="11"/>
  <c r="D1237" i="11"/>
  <c r="H1236" i="11"/>
  <c r="C1236" i="11"/>
  <c r="J1236" i="11"/>
  <c r="X627" i="11" l="1"/>
  <c r="Z627" i="11" s="1"/>
  <c r="AZ626" i="11"/>
  <c r="BC626" i="11" s="1"/>
  <c r="AY628" i="11"/>
  <c r="AW628" i="11"/>
  <c r="T628" i="11"/>
  <c r="L628" i="11"/>
  <c r="E628" i="11"/>
  <c r="M628" i="11"/>
  <c r="N628" i="11"/>
  <c r="U628" i="11"/>
  <c r="F628" i="11"/>
  <c r="G628" i="11"/>
  <c r="V628" i="11"/>
  <c r="BD626" i="11"/>
  <c r="A631" i="11"/>
  <c r="BA631" i="11" s="1"/>
  <c r="BB630" i="11"/>
  <c r="I1236" i="11"/>
  <c r="E1236" i="11"/>
  <c r="F1236" i="11" s="1"/>
  <c r="G1237" i="11" s="1"/>
  <c r="C628" i="11"/>
  <c r="D629" i="11"/>
  <c r="B629" i="11"/>
  <c r="AV629" i="11" s="1"/>
  <c r="AT627" i="11"/>
  <c r="AU627" i="11"/>
  <c r="AS627" i="11"/>
  <c r="AR627" i="11"/>
  <c r="AO627" i="11"/>
  <c r="AJ627" i="11"/>
  <c r="AP627" i="11"/>
  <c r="AK627" i="11"/>
  <c r="AQ627" i="11"/>
  <c r="AM627" i="11"/>
  <c r="AL627" i="11"/>
  <c r="AN627" i="11"/>
  <c r="D1238" i="11"/>
  <c r="H1237" i="11"/>
  <c r="C1237" i="11"/>
  <c r="J1237" i="11"/>
  <c r="AZ627" i="11" l="1"/>
  <c r="BD627" i="11" s="1"/>
  <c r="X628" i="11"/>
  <c r="Z628" i="11" s="1"/>
  <c r="AY629" i="11"/>
  <c r="AW629" i="11"/>
  <c r="T629" i="11"/>
  <c r="L629" i="11"/>
  <c r="E629" i="11"/>
  <c r="N629" i="11"/>
  <c r="M629" i="11"/>
  <c r="U629" i="11"/>
  <c r="F629" i="11"/>
  <c r="G629" i="11"/>
  <c r="V629" i="11"/>
  <c r="BC627" i="11"/>
  <c r="A632" i="11"/>
  <c r="BA632" i="11" s="1"/>
  <c r="BB631" i="11"/>
  <c r="D630" i="11"/>
  <c r="C629" i="11"/>
  <c r="E1237" i="11"/>
  <c r="F1237" i="11" s="1"/>
  <c r="G1238" i="11" s="1"/>
  <c r="I1237" i="11"/>
  <c r="B630" i="11"/>
  <c r="AV630" i="11" s="1"/>
  <c r="AU628" i="11"/>
  <c r="AT628" i="11"/>
  <c r="AS628" i="11"/>
  <c r="AR628" i="11"/>
  <c r="AO628" i="11"/>
  <c r="AJ628" i="11"/>
  <c r="AK628" i="11"/>
  <c r="AQ628" i="11"/>
  <c r="AP628" i="11"/>
  <c r="AM628" i="11"/>
  <c r="AL628" i="11"/>
  <c r="AN628" i="11"/>
  <c r="D1239" i="11"/>
  <c r="H1238" i="11"/>
  <c r="C1238" i="11"/>
  <c r="J1238" i="11"/>
  <c r="AZ628" i="11" l="1"/>
  <c r="X629" i="11"/>
  <c r="Z629" i="11" s="1"/>
  <c r="AY630" i="11"/>
  <c r="AW630" i="11"/>
  <c r="T630" i="11"/>
  <c r="L630" i="11"/>
  <c r="E630" i="11"/>
  <c r="M630" i="11"/>
  <c r="N630" i="11"/>
  <c r="U630" i="11"/>
  <c r="G630" i="11"/>
  <c r="F630" i="11"/>
  <c r="V630" i="11"/>
  <c r="BD628" i="11"/>
  <c r="BC628" i="11"/>
  <c r="A633" i="11"/>
  <c r="BA633" i="11" s="1"/>
  <c r="BB632" i="11"/>
  <c r="E1238" i="11"/>
  <c r="F1238" i="11" s="1"/>
  <c r="G1239" i="11" s="1"/>
  <c r="I1238" i="11"/>
  <c r="C630" i="11"/>
  <c r="D631" i="11"/>
  <c r="B631" i="11"/>
  <c r="AV631" i="11" s="1"/>
  <c r="AU629" i="11"/>
  <c r="AS629" i="11"/>
  <c r="AT629" i="11"/>
  <c r="AR629" i="11"/>
  <c r="AK629" i="11"/>
  <c r="AQ629" i="11"/>
  <c r="AO629" i="11"/>
  <c r="AJ629" i="11"/>
  <c r="AP629" i="11"/>
  <c r="AM629" i="11"/>
  <c r="AL629" i="11"/>
  <c r="AN629" i="11"/>
  <c r="D1240" i="11"/>
  <c r="H1239" i="11"/>
  <c r="C1239" i="11"/>
  <c r="J1239" i="11"/>
  <c r="AZ629" i="11" l="1"/>
  <c r="BC629" i="11" s="1"/>
  <c r="X630" i="11"/>
  <c r="Z630" i="11" s="1"/>
  <c r="AY631" i="11"/>
  <c r="AW631" i="11"/>
  <c r="T631" i="11"/>
  <c r="E631" i="11"/>
  <c r="L631" i="11"/>
  <c r="M631" i="11"/>
  <c r="N631" i="11"/>
  <c r="U631" i="11"/>
  <c r="G631" i="11"/>
  <c r="F631" i="11"/>
  <c r="V631" i="11"/>
  <c r="A634" i="11"/>
  <c r="BA634" i="11" s="1"/>
  <c r="BB633" i="11"/>
  <c r="D632" i="11"/>
  <c r="C631" i="11"/>
  <c r="E1239" i="11"/>
  <c r="F1239" i="11" s="1"/>
  <c r="G1240" i="11" s="1"/>
  <c r="I1239" i="11"/>
  <c r="B632" i="11"/>
  <c r="AV632" i="11" s="1"/>
  <c r="AU630" i="11"/>
  <c r="AR630" i="11"/>
  <c r="AT630" i="11"/>
  <c r="AS630" i="11"/>
  <c r="AK630" i="11"/>
  <c r="AQ630" i="11"/>
  <c r="AL630" i="11"/>
  <c r="AO630" i="11"/>
  <c r="AP630" i="11"/>
  <c r="AM630" i="11"/>
  <c r="AN630" i="11"/>
  <c r="AJ630" i="11"/>
  <c r="D1241" i="11"/>
  <c r="H1240" i="11"/>
  <c r="C1240" i="11"/>
  <c r="J1240" i="11"/>
  <c r="BD629" i="11" l="1"/>
  <c r="AZ630" i="11"/>
  <c r="BD630" i="11" s="1"/>
  <c r="X631" i="11"/>
  <c r="Z631" i="11" s="1"/>
  <c r="AY632" i="11"/>
  <c r="AW632" i="11"/>
  <c r="L632" i="11"/>
  <c r="T632" i="11"/>
  <c r="E632" i="11"/>
  <c r="M632" i="11"/>
  <c r="N632" i="11"/>
  <c r="U632" i="11"/>
  <c r="G632" i="11"/>
  <c r="F632" i="11"/>
  <c r="V632" i="11"/>
  <c r="A635" i="11"/>
  <c r="BA635" i="11" s="1"/>
  <c r="BB634" i="11"/>
  <c r="I1240" i="11"/>
  <c r="E1240" i="11"/>
  <c r="F1240" i="11" s="1"/>
  <c r="G1241" i="11" s="1"/>
  <c r="C632" i="11"/>
  <c r="D633" i="11"/>
  <c r="B633" i="11"/>
  <c r="AV633" i="11" s="1"/>
  <c r="AT631" i="11"/>
  <c r="AR631" i="11"/>
  <c r="AU631" i="11"/>
  <c r="AS631" i="11"/>
  <c r="AO631" i="11"/>
  <c r="AJ631" i="11"/>
  <c r="AP631" i="11"/>
  <c r="AM631" i="11"/>
  <c r="AL631" i="11"/>
  <c r="AN631" i="11"/>
  <c r="AK631" i="11"/>
  <c r="AQ631" i="11"/>
  <c r="D1242" i="11"/>
  <c r="H1241" i="11"/>
  <c r="C1241" i="11"/>
  <c r="J1241" i="11"/>
  <c r="BC630" i="11" l="1"/>
  <c r="AZ631" i="11"/>
  <c r="X632" i="11"/>
  <c r="Z632" i="11" s="1"/>
  <c r="AY633" i="11"/>
  <c r="AW633" i="11"/>
  <c r="L633" i="11"/>
  <c r="E633" i="11"/>
  <c r="T633" i="11"/>
  <c r="N633" i="11"/>
  <c r="M633" i="11"/>
  <c r="U633" i="11"/>
  <c r="F633" i="11"/>
  <c r="G633" i="11"/>
  <c r="V633" i="11"/>
  <c r="BD631" i="11"/>
  <c r="BC631" i="11"/>
  <c r="A636" i="11"/>
  <c r="BA636" i="11" s="1"/>
  <c r="BB635" i="11"/>
  <c r="D634" i="11"/>
  <c r="C633" i="11"/>
  <c r="I1241" i="11"/>
  <c r="E1241" i="11"/>
  <c r="F1241" i="11" s="1"/>
  <c r="G1242" i="11" s="1"/>
  <c r="B634" i="11"/>
  <c r="AV634" i="11" s="1"/>
  <c r="AT632" i="11"/>
  <c r="AU632" i="11"/>
  <c r="AS632" i="11"/>
  <c r="AR632" i="11"/>
  <c r="AK632" i="11"/>
  <c r="AQ632" i="11"/>
  <c r="AP632" i="11"/>
  <c r="AM632" i="11"/>
  <c r="AO632" i="11"/>
  <c r="AJ632" i="11"/>
  <c r="AL632" i="11"/>
  <c r="AN632" i="11"/>
  <c r="D1243" i="11"/>
  <c r="H1242" i="11"/>
  <c r="C1242" i="11"/>
  <c r="J1242" i="11"/>
  <c r="AZ632" i="11" l="1"/>
  <c r="BD632" i="11" s="1"/>
  <c r="X633" i="11"/>
  <c r="Z633" i="11" s="1"/>
  <c r="AY634" i="11"/>
  <c r="AW634" i="11"/>
  <c r="T634" i="11"/>
  <c r="L634" i="11"/>
  <c r="E634" i="11"/>
  <c r="M634" i="11"/>
  <c r="N634" i="11"/>
  <c r="U634" i="11"/>
  <c r="G634" i="11"/>
  <c r="F634" i="11"/>
  <c r="V634" i="11"/>
  <c r="A637" i="11"/>
  <c r="BA637" i="11" s="1"/>
  <c r="BB636" i="11"/>
  <c r="E1242" i="11"/>
  <c r="F1242" i="11" s="1"/>
  <c r="G1243" i="11" s="1"/>
  <c r="I1242" i="11"/>
  <c r="C634" i="11"/>
  <c r="D635" i="11"/>
  <c r="B635" i="11"/>
  <c r="AV635" i="11" s="1"/>
  <c r="AS633" i="11"/>
  <c r="AU633" i="11"/>
  <c r="AT633" i="11"/>
  <c r="AR633" i="11"/>
  <c r="AO633" i="11"/>
  <c r="AJ633" i="11"/>
  <c r="AK633" i="11"/>
  <c r="AQ633" i="11"/>
  <c r="AL633" i="11"/>
  <c r="AN633" i="11"/>
  <c r="AP633" i="11"/>
  <c r="AM633" i="11"/>
  <c r="D1244" i="11"/>
  <c r="H1243" i="11"/>
  <c r="C1243" i="11"/>
  <c r="J1243" i="11"/>
  <c r="BC632" i="11" l="1"/>
  <c r="AZ633" i="11"/>
  <c r="BC633" i="11" s="1"/>
  <c r="X634" i="11"/>
  <c r="Z634" i="11" s="1"/>
  <c r="AY635" i="11"/>
  <c r="AW635" i="11"/>
  <c r="T635" i="11"/>
  <c r="E635" i="11"/>
  <c r="L635" i="11"/>
  <c r="M635" i="11"/>
  <c r="N635" i="11"/>
  <c r="U635" i="11"/>
  <c r="G635" i="11"/>
  <c r="F635" i="11"/>
  <c r="V635" i="11"/>
  <c r="A638" i="11"/>
  <c r="BA638" i="11" s="1"/>
  <c r="BB637" i="11"/>
  <c r="I1243" i="11"/>
  <c r="D636" i="11"/>
  <c r="C635" i="11"/>
  <c r="E1243" i="11"/>
  <c r="F1243" i="11" s="1"/>
  <c r="G1244" i="11" s="1"/>
  <c r="B636" i="11"/>
  <c r="AV636" i="11" s="1"/>
  <c r="AU634" i="11"/>
  <c r="AT634" i="11"/>
  <c r="AS634" i="11"/>
  <c r="AR634" i="11"/>
  <c r="AO634" i="11"/>
  <c r="AJ634" i="11"/>
  <c r="AL634" i="11"/>
  <c r="AN634" i="11"/>
  <c r="AK634" i="11"/>
  <c r="AQ634" i="11"/>
  <c r="AP634" i="11"/>
  <c r="AM634" i="11"/>
  <c r="D1245" i="11"/>
  <c r="H1244" i="11"/>
  <c r="C1244" i="11"/>
  <c r="J1244" i="11"/>
  <c r="BD633" i="11" l="1"/>
  <c r="AZ634" i="11"/>
  <c r="BD634" i="11" s="1"/>
  <c r="X635" i="11"/>
  <c r="Z635" i="11" s="1"/>
  <c r="AY636" i="11"/>
  <c r="AW636" i="11"/>
  <c r="T636" i="11"/>
  <c r="L636" i="11"/>
  <c r="E636" i="11"/>
  <c r="M636" i="11"/>
  <c r="N636" i="11"/>
  <c r="U636" i="11"/>
  <c r="F636" i="11"/>
  <c r="G636" i="11"/>
  <c r="V636" i="11"/>
  <c r="A639" i="11"/>
  <c r="BA639" i="11" s="1"/>
  <c r="BB638" i="11"/>
  <c r="E1244" i="11"/>
  <c r="F1244" i="11" s="1"/>
  <c r="G1245" i="11" s="1"/>
  <c r="I1244" i="11"/>
  <c r="C636" i="11"/>
  <c r="D637" i="11"/>
  <c r="B637" i="11"/>
  <c r="AV637" i="11" s="1"/>
  <c r="AU635" i="11"/>
  <c r="AT635" i="11"/>
  <c r="AS635" i="11"/>
  <c r="AR635" i="11"/>
  <c r="AK635" i="11"/>
  <c r="AQ635" i="11"/>
  <c r="AP635" i="11"/>
  <c r="AM635" i="11"/>
  <c r="AL635" i="11"/>
  <c r="AN635" i="11"/>
  <c r="AO635" i="11"/>
  <c r="AJ635" i="11"/>
  <c r="D1246" i="11"/>
  <c r="H1245" i="11"/>
  <c r="C1245" i="11"/>
  <c r="J1245" i="11"/>
  <c r="AZ635" i="11" l="1"/>
  <c r="BC635" i="11" s="1"/>
  <c r="X636" i="11"/>
  <c r="Z636" i="11" s="1"/>
  <c r="BC634" i="11"/>
  <c r="AY637" i="11"/>
  <c r="AW637" i="11"/>
  <c r="T637" i="11"/>
  <c r="L637" i="11"/>
  <c r="E637" i="11"/>
  <c r="N637" i="11"/>
  <c r="M637" i="11"/>
  <c r="U637" i="11"/>
  <c r="G637" i="11"/>
  <c r="F637" i="11"/>
  <c r="V637" i="11"/>
  <c r="BD635" i="11"/>
  <c r="A640" i="11"/>
  <c r="BA640" i="11" s="1"/>
  <c r="BB639" i="11"/>
  <c r="I1245" i="11"/>
  <c r="D638" i="11"/>
  <c r="C637" i="11"/>
  <c r="E1245" i="11"/>
  <c r="F1245" i="11" s="1"/>
  <c r="G1246" i="11" s="1"/>
  <c r="B638" i="11"/>
  <c r="AV638" i="11" s="1"/>
  <c r="AU636" i="11"/>
  <c r="AS636" i="11"/>
  <c r="AR636" i="11"/>
  <c r="AT636" i="11"/>
  <c r="AK636" i="11"/>
  <c r="AQ636" i="11"/>
  <c r="AP636" i="11"/>
  <c r="AM636" i="11"/>
  <c r="AL636" i="11"/>
  <c r="AN636" i="11"/>
  <c r="AO636" i="11"/>
  <c r="AJ636" i="11"/>
  <c r="D1247" i="11"/>
  <c r="H1246" i="11"/>
  <c r="C1246" i="11"/>
  <c r="J1246" i="11"/>
  <c r="AZ636" i="11" l="1"/>
  <c r="BD636" i="11" s="1"/>
  <c r="X637" i="11"/>
  <c r="Z637" i="11" s="1"/>
  <c r="AY638" i="11"/>
  <c r="AW638" i="11"/>
  <c r="T638" i="11"/>
  <c r="L638" i="11"/>
  <c r="E638" i="11"/>
  <c r="M638" i="11"/>
  <c r="N638" i="11"/>
  <c r="U638" i="11"/>
  <c r="G638" i="11"/>
  <c r="F638" i="11"/>
  <c r="V638" i="11"/>
  <c r="A641" i="11"/>
  <c r="BA641" i="11" s="1"/>
  <c r="BB640" i="11"/>
  <c r="E1246" i="11"/>
  <c r="F1246" i="11" s="1"/>
  <c r="G1247" i="11" s="1"/>
  <c r="C638" i="11"/>
  <c r="D639" i="11"/>
  <c r="I1246" i="11"/>
  <c r="B639" i="11"/>
  <c r="AV639" i="11" s="1"/>
  <c r="AT637" i="11"/>
  <c r="AS637" i="11"/>
  <c r="AU637" i="11"/>
  <c r="AR637" i="11"/>
  <c r="AP637" i="11"/>
  <c r="AM637" i="11"/>
  <c r="AK637" i="11"/>
  <c r="AQ637" i="11"/>
  <c r="AL637" i="11"/>
  <c r="AN637" i="11"/>
  <c r="AO637" i="11"/>
  <c r="AJ637" i="11"/>
  <c r="D1248" i="11"/>
  <c r="H1247" i="11"/>
  <c r="C1247" i="11"/>
  <c r="J1247" i="11"/>
  <c r="BC636" i="11" l="1"/>
  <c r="AZ637" i="11"/>
  <c r="BC637" i="11" s="1"/>
  <c r="X638" i="11"/>
  <c r="Z638" i="11" s="1"/>
  <c r="AY639" i="11"/>
  <c r="AW639" i="11"/>
  <c r="T639" i="11"/>
  <c r="E639" i="11"/>
  <c r="L639" i="11"/>
  <c r="M639" i="11"/>
  <c r="N639" i="11"/>
  <c r="U639" i="11"/>
  <c r="G639" i="11"/>
  <c r="F639" i="11"/>
  <c r="V639" i="11"/>
  <c r="BD637" i="11"/>
  <c r="A642" i="11"/>
  <c r="BB641" i="11"/>
  <c r="I1247" i="11"/>
  <c r="E1247" i="11"/>
  <c r="F1247" i="11" s="1"/>
  <c r="G1248" i="11" s="1"/>
  <c r="D640" i="11"/>
  <c r="C639" i="11"/>
  <c r="B640" i="11"/>
  <c r="AV640" i="11" s="1"/>
  <c r="AU638" i="11"/>
  <c r="AR638" i="11"/>
  <c r="AT638" i="11"/>
  <c r="AS638" i="11"/>
  <c r="AO638" i="11"/>
  <c r="AJ638" i="11"/>
  <c r="AK638" i="11"/>
  <c r="AQ638" i="11"/>
  <c r="AP638" i="11"/>
  <c r="AM638" i="11"/>
  <c r="AL638" i="11"/>
  <c r="AN638" i="11"/>
  <c r="D1249" i="11"/>
  <c r="H1248" i="11"/>
  <c r="C1248" i="11"/>
  <c r="J1248" i="11"/>
  <c r="AZ638" i="11" l="1"/>
  <c r="BD638" i="11" s="1"/>
  <c r="X639" i="11"/>
  <c r="Z639" i="11" s="1"/>
  <c r="AY640" i="11"/>
  <c r="AW640" i="11"/>
  <c r="L640" i="11"/>
  <c r="T640" i="11"/>
  <c r="E640" i="11"/>
  <c r="M640" i="11"/>
  <c r="N640" i="11"/>
  <c r="U640" i="11"/>
  <c r="F640" i="11"/>
  <c r="G640" i="11"/>
  <c r="V640" i="11"/>
  <c r="BC638" i="11"/>
  <c r="A643" i="11"/>
  <c r="BA643" i="11" s="1"/>
  <c r="I1248" i="11"/>
  <c r="C640" i="11"/>
  <c r="D641" i="11"/>
  <c r="E1248" i="11"/>
  <c r="F1248" i="11" s="1"/>
  <c r="G1249" i="11" s="1"/>
  <c r="B641" i="11"/>
  <c r="AV641" i="11" s="1"/>
  <c r="AT639" i="11"/>
  <c r="AS639" i="11"/>
  <c r="AR639" i="11"/>
  <c r="AU639" i="11"/>
  <c r="AK639" i="11"/>
  <c r="AQ639" i="11"/>
  <c r="AL639" i="11"/>
  <c r="AJ639" i="11"/>
  <c r="AP639" i="11"/>
  <c r="AM639" i="11"/>
  <c r="AN639" i="11"/>
  <c r="AO639" i="11"/>
  <c r="D1250" i="11"/>
  <c r="H1249" i="11"/>
  <c r="C1249" i="11"/>
  <c r="J1249" i="11"/>
  <c r="AZ639" i="11" l="1"/>
  <c r="BD639" i="11" s="1"/>
  <c r="X640" i="11"/>
  <c r="Z640" i="11" s="1"/>
  <c r="AY641" i="11"/>
  <c r="AW641" i="11"/>
  <c r="L641" i="11"/>
  <c r="E641" i="11"/>
  <c r="T641" i="11"/>
  <c r="N641" i="11"/>
  <c r="M641" i="11"/>
  <c r="U641" i="11"/>
  <c r="G641" i="11"/>
  <c r="F641" i="11"/>
  <c r="V641" i="11"/>
  <c r="A644" i="11"/>
  <c r="BA644" i="11" s="1"/>
  <c r="BB643" i="11"/>
  <c r="E1249" i="11"/>
  <c r="F1249" i="11" s="1"/>
  <c r="G1250" i="11" s="1"/>
  <c r="I1249" i="11"/>
  <c r="D642" i="11"/>
  <c r="C641" i="11"/>
  <c r="B642" i="11"/>
  <c r="AV642" i="11" s="1"/>
  <c r="AU640" i="11"/>
  <c r="AT640" i="11"/>
  <c r="AS640" i="11"/>
  <c r="AR640" i="11"/>
  <c r="AO640" i="11"/>
  <c r="AJ640" i="11"/>
  <c r="AK640" i="11"/>
  <c r="AQ640" i="11"/>
  <c r="AP640" i="11"/>
  <c r="AM640" i="11"/>
  <c r="AL640" i="11"/>
  <c r="AN640" i="11"/>
  <c r="D1251" i="11"/>
  <c r="H1250" i="11"/>
  <c r="C1250" i="11"/>
  <c r="J1250" i="11"/>
  <c r="BC639" i="11" l="1"/>
  <c r="X641" i="11"/>
  <c r="Z641" i="11" s="1"/>
  <c r="AZ640" i="11"/>
  <c r="BC640" i="11" s="1"/>
  <c r="AY642" i="11"/>
  <c r="AW642" i="11"/>
  <c r="T642" i="11"/>
  <c r="L642" i="11"/>
  <c r="E642" i="11"/>
  <c r="M642" i="11"/>
  <c r="N642" i="11"/>
  <c r="U642" i="11"/>
  <c r="G642" i="11"/>
  <c r="F642" i="11"/>
  <c r="V642" i="11"/>
  <c r="BD640" i="11"/>
  <c r="A645" i="11"/>
  <c r="BA645" i="11" s="1"/>
  <c r="BB644" i="11"/>
  <c r="E1250" i="11"/>
  <c r="F1250" i="11" s="1"/>
  <c r="G1251" i="11" s="1"/>
  <c r="I1250" i="11"/>
  <c r="C642" i="11"/>
  <c r="D643" i="11"/>
  <c r="B643" i="11"/>
  <c r="AV643" i="11" s="1"/>
  <c r="AS641" i="11"/>
  <c r="AT641" i="11"/>
  <c r="AR641" i="11"/>
  <c r="AU641" i="11"/>
  <c r="AL641" i="11"/>
  <c r="AN641" i="11"/>
  <c r="AO641" i="11"/>
  <c r="AJ641" i="11"/>
  <c r="AK641" i="11"/>
  <c r="AQ641" i="11"/>
  <c r="AP641" i="11"/>
  <c r="AM641" i="11"/>
  <c r="D1252" i="11"/>
  <c r="H1251" i="11"/>
  <c r="C1251" i="11"/>
  <c r="J1251" i="11"/>
  <c r="AZ641" i="11" l="1"/>
  <c r="BC641" i="11" s="1"/>
  <c r="X642" i="11"/>
  <c r="Z642" i="11" s="1"/>
  <c r="AY643" i="11"/>
  <c r="AW643" i="11"/>
  <c r="T643" i="11"/>
  <c r="E643" i="11"/>
  <c r="L643" i="11"/>
  <c r="M643" i="11"/>
  <c r="N643" i="11"/>
  <c r="U643" i="11"/>
  <c r="G643" i="11"/>
  <c r="F643" i="11"/>
  <c r="V643" i="11"/>
  <c r="BD641" i="11"/>
  <c r="A646" i="11"/>
  <c r="BA646" i="11" s="1"/>
  <c r="BB645" i="11"/>
  <c r="D644" i="11"/>
  <c r="C643" i="11"/>
  <c r="E1251" i="11"/>
  <c r="F1251" i="11" s="1"/>
  <c r="G1252" i="11" s="1"/>
  <c r="I1251" i="11"/>
  <c r="B644" i="11"/>
  <c r="AV644" i="11" s="1"/>
  <c r="AU642" i="11"/>
  <c r="AT642" i="11"/>
  <c r="AR642" i="11"/>
  <c r="AS642" i="11"/>
  <c r="AP642" i="11"/>
  <c r="AM642" i="11"/>
  <c r="AL642" i="11"/>
  <c r="AN642" i="11"/>
  <c r="AK642" i="11"/>
  <c r="AQ642" i="11"/>
  <c r="AO642" i="11"/>
  <c r="AJ642" i="11"/>
  <c r="D1253" i="11"/>
  <c r="H1252" i="11"/>
  <c r="C1252" i="11"/>
  <c r="J1252" i="11"/>
  <c r="AZ642" i="11" l="1"/>
  <c r="X643" i="11"/>
  <c r="Z643" i="11" s="1"/>
  <c r="AY644" i="11"/>
  <c r="AW644" i="11"/>
  <c r="T644" i="11"/>
  <c r="L644" i="11"/>
  <c r="E644" i="11"/>
  <c r="M644" i="11"/>
  <c r="N644" i="11"/>
  <c r="U644" i="11"/>
  <c r="F644" i="11"/>
  <c r="G644" i="11"/>
  <c r="V644" i="11"/>
  <c r="A647" i="11"/>
  <c r="BA647" i="11" s="1"/>
  <c r="BB646" i="11"/>
  <c r="I1252" i="11"/>
  <c r="E1252" i="11"/>
  <c r="F1252" i="11" s="1"/>
  <c r="G1253" i="11" s="1"/>
  <c r="C644" i="11"/>
  <c r="D645" i="11"/>
  <c r="B645" i="11"/>
  <c r="AV645" i="11" s="1"/>
  <c r="AT643" i="11"/>
  <c r="AU643" i="11"/>
  <c r="AS643" i="11"/>
  <c r="AR643" i="11"/>
  <c r="AO643" i="11"/>
  <c r="AJ643" i="11"/>
  <c r="AQ643" i="11"/>
  <c r="AL643" i="11"/>
  <c r="AK643" i="11"/>
  <c r="AP643" i="11"/>
  <c r="AM643" i="11"/>
  <c r="AN643" i="11"/>
  <c r="D1254" i="11"/>
  <c r="H1253" i="11"/>
  <c r="C1253" i="11"/>
  <c r="J1253" i="11"/>
  <c r="AZ643" i="11" l="1"/>
  <c r="X644" i="11"/>
  <c r="Z644" i="11" s="1"/>
  <c r="AY645" i="11"/>
  <c r="AW645" i="11"/>
  <c r="T645" i="11"/>
  <c r="L645" i="11"/>
  <c r="E645" i="11"/>
  <c r="N645" i="11"/>
  <c r="M645" i="11"/>
  <c r="U645" i="11"/>
  <c r="G645" i="11"/>
  <c r="F645" i="11"/>
  <c r="V645" i="11"/>
  <c r="BC643" i="11"/>
  <c r="BD643" i="11"/>
  <c r="A648" i="11"/>
  <c r="BA648" i="11" s="1"/>
  <c r="BB647" i="11"/>
  <c r="I1253" i="11"/>
  <c r="D646" i="11"/>
  <c r="C645" i="11"/>
  <c r="E1253" i="11"/>
  <c r="F1253" i="11" s="1"/>
  <c r="G1254" i="11" s="1"/>
  <c r="B646" i="11"/>
  <c r="AV646" i="11" s="1"/>
  <c r="AS644" i="11"/>
  <c r="AU644" i="11"/>
  <c r="AT644" i="11"/>
  <c r="AR644" i="11"/>
  <c r="AP644" i="11"/>
  <c r="AM644" i="11"/>
  <c r="AL644" i="11"/>
  <c r="AN644" i="11"/>
  <c r="AQ644" i="11"/>
  <c r="AJ644" i="11"/>
  <c r="AK644" i="11"/>
  <c r="AO644" i="11"/>
  <c r="D1255" i="11"/>
  <c r="H1254" i="11"/>
  <c r="C1254" i="11"/>
  <c r="J1254" i="11"/>
  <c r="AZ644" i="11" l="1"/>
  <c r="BD644" i="11" s="1"/>
  <c r="X645" i="11"/>
  <c r="Z645" i="11" s="1"/>
  <c r="AY646" i="11"/>
  <c r="AW646" i="11"/>
  <c r="T646" i="11"/>
  <c r="L646" i="11"/>
  <c r="E646" i="11"/>
  <c r="M646" i="11"/>
  <c r="N646" i="11"/>
  <c r="U646" i="11"/>
  <c r="G646" i="11"/>
  <c r="F646" i="11"/>
  <c r="V646" i="11"/>
  <c r="A649" i="11"/>
  <c r="BA649" i="11" s="1"/>
  <c r="BB648" i="11"/>
  <c r="I1254" i="11"/>
  <c r="E1254" i="11"/>
  <c r="F1254" i="11" s="1"/>
  <c r="G1255" i="11" s="1"/>
  <c r="C646" i="11"/>
  <c r="D647" i="11"/>
  <c r="B647" i="11"/>
  <c r="AV647" i="11" s="1"/>
  <c r="AU645" i="11"/>
  <c r="AS645" i="11"/>
  <c r="AR645" i="11"/>
  <c r="AT645" i="11"/>
  <c r="AK645" i="11"/>
  <c r="AQ645" i="11"/>
  <c r="AL645" i="11"/>
  <c r="AN645" i="11"/>
  <c r="AO645" i="11"/>
  <c r="AJ645" i="11"/>
  <c r="AP645" i="11"/>
  <c r="AM645" i="11"/>
  <c r="D1256" i="11"/>
  <c r="H1255" i="11"/>
  <c r="C1255" i="11"/>
  <c r="J1255" i="11"/>
  <c r="BC644" i="11" l="1"/>
  <c r="AZ645" i="11"/>
  <c r="BD645" i="11" s="1"/>
  <c r="X646" i="11"/>
  <c r="Z646" i="11" s="1"/>
  <c r="AY647" i="11"/>
  <c r="AW647" i="11"/>
  <c r="T647" i="11"/>
  <c r="E647" i="11"/>
  <c r="L647" i="11"/>
  <c r="M647" i="11"/>
  <c r="N647" i="11"/>
  <c r="U647" i="11"/>
  <c r="F647" i="11"/>
  <c r="G647" i="11"/>
  <c r="V647" i="11"/>
  <c r="A650" i="11"/>
  <c r="BA650" i="11" s="1"/>
  <c r="BB649" i="11"/>
  <c r="I1255" i="11"/>
  <c r="D648" i="11"/>
  <c r="C647" i="11"/>
  <c r="E1255" i="11"/>
  <c r="F1255" i="11" s="1"/>
  <c r="G1256" i="11" s="1"/>
  <c r="B648" i="11"/>
  <c r="AV648" i="11" s="1"/>
  <c r="AU646" i="11"/>
  <c r="AR646" i="11"/>
  <c r="AT646" i="11"/>
  <c r="AS646" i="11"/>
  <c r="AO646" i="11"/>
  <c r="AJ646" i="11"/>
  <c r="AL646" i="11"/>
  <c r="AN646" i="11"/>
  <c r="AK646" i="11"/>
  <c r="AQ646" i="11"/>
  <c r="AP646" i="11"/>
  <c r="AM646" i="11"/>
  <c r="J1256" i="11"/>
  <c r="H1256" i="11"/>
  <c r="C1256" i="11"/>
  <c r="D1257" i="11"/>
  <c r="BC645" i="11" l="1"/>
  <c r="AZ646" i="11"/>
  <c r="X647" i="11"/>
  <c r="Z647" i="11" s="1"/>
  <c r="AY648" i="11"/>
  <c r="AW648" i="11"/>
  <c r="L648" i="11"/>
  <c r="T648" i="11"/>
  <c r="E648" i="11"/>
  <c r="M648" i="11"/>
  <c r="N648" i="11"/>
  <c r="U648" i="11"/>
  <c r="G648" i="11"/>
  <c r="F648" i="11"/>
  <c r="V648" i="11"/>
  <c r="BD646" i="11"/>
  <c r="BC646" i="11"/>
  <c r="A651" i="11"/>
  <c r="BA651" i="11" s="1"/>
  <c r="BB650" i="11"/>
  <c r="E1256" i="11"/>
  <c r="F1256" i="11" s="1"/>
  <c r="G1257" i="11" s="1"/>
  <c r="D649" i="11"/>
  <c r="C648" i="11"/>
  <c r="I1256" i="11"/>
  <c r="B649" i="11"/>
  <c r="AV649" i="11" s="1"/>
  <c r="AT647" i="11"/>
  <c r="AU647" i="11"/>
  <c r="AR647" i="11"/>
  <c r="AS647" i="11"/>
  <c r="AO647" i="11"/>
  <c r="AJ647" i="11"/>
  <c r="AP647" i="11"/>
  <c r="AN647" i="11"/>
  <c r="AK647" i="11"/>
  <c r="AQ647" i="11"/>
  <c r="AM647" i="11"/>
  <c r="AL647" i="11"/>
  <c r="H1257" i="11"/>
  <c r="C1257" i="11"/>
  <c r="D1258" i="11"/>
  <c r="J1257" i="11"/>
  <c r="AZ647" i="11" l="1"/>
  <c r="BC647" i="11" s="1"/>
  <c r="X648" i="11"/>
  <c r="Z648" i="11" s="1"/>
  <c r="AY649" i="11"/>
  <c r="AW649" i="11"/>
  <c r="L649" i="11"/>
  <c r="E649" i="11"/>
  <c r="T649" i="11"/>
  <c r="N649" i="11"/>
  <c r="M649" i="11"/>
  <c r="U649" i="11"/>
  <c r="G649" i="11"/>
  <c r="F649" i="11"/>
  <c r="V649" i="11"/>
  <c r="A652" i="11"/>
  <c r="BA652" i="11" s="1"/>
  <c r="BB651" i="11"/>
  <c r="E1257" i="11"/>
  <c r="F1257" i="11" s="1"/>
  <c r="G1258" i="11" s="1"/>
  <c r="I1257" i="11"/>
  <c r="D650" i="11"/>
  <c r="C649" i="11"/>
  <c r="B650" i="11"/>
  <c r="AV650" i="11" s="1"/>
  <c r="AT648" i="11"/>
  <c r="AU648" i="11"/>
  <c r="AS648" i="11"/>
  <c r="AR648" i="11"/>
  <c r="AK648" i="11"/>
  <c r="AQ648" i="11"/>
  <c r="AP648" i="11"/>
  <c r="AM648" i="11"/>
  <c r="AJ648" i="11"/>
  <c r="AL648" i="11"/>
  <c r="AN648" i="11"/>
  <c r="AO648" i="11"/>
  <c r="C1258" i="11"/>
  <c r="H1258" i="11"/>
  <c r="D1259" i="11"/>
  <c r="J1258" i="11"/>
  <c r="BD647" i="11" l="1"/>
  <c r="X649" i="11"/>
  <c r="Z649" i="11" s="1"/>
  <c r="AZ648" i="11"/>
  <c r="BC648" i="11" s="1"/>
  <c r="AY650" i="11"/>
  <c r="AW650" i="11"/>
  <c r="T650" i="11"/>
  <c r="L650" i="11"/>
  <c r="E650" i="11"/>
  <c r="M650" i="11"/>
  <c r="N650" i="11"/>
  <c r="U650" i="11"/>
  <c r="G650" i="11"/>
  <c r="F650" i="11"/>
  <c r="V650" i="11"/>
  <c r="A653" i="11"/>
  <c r="BA653" i="11" s="1"/>
  <c r="BB652" i="11"/>
  <c r="I1258" i="11"/>
  <c r="E1258" i="11"/>
  <c r="F1258" i="11" s="1"/>
  <c r="G1259" i="11" s="1"/>
  <c r="C650" i="11"/>
  <c r="D651" i="11"/>
  <c r="B651" i="11"/>
  <c r="AV651" i="11" s="1"/>
  <c r="AU649" i="11"/>
  <c r="AS649" i="11"/>
  <c r="AT649" i="11"/>
  <c r="AR649" i="11"/>
  <c r="AK649" i="11"/>
  <c r="AQ649" i="11"/>
  <c r="AO649" i="11"/>
  <c r="AP649" i="11"/>
  <c r="AM649" i="11"/>
  <c r="AL649" i="11"/>
  <c r="AN649" i="11"/>
  <c r="AJ649" i="11"/>
  <c r="C1259" i="11"/>
  <c r="J1259" i="11"/>
  <c r="H1259" i="11"/>
  <c r="D1260" i="11"/>
  <c r="BD648" i="11" l="1"/>
  <c r="AZ649" i="11"/>
  <c r="BC649" i="11" s="1"/>
  <c r="X650" i="11"/>
  <c r="Z650" i="11" s="1"/>
  <c r="AY651" i="11"/>
  <c r="AW651" i="11"/>
  <c r="T651" i="11"/>
  <c r="E651" i="11"/>
  <c r="L651" i="11"/>
  <c r="M651" i="11"/>
  <c r="N651" i="11"/>
  <c r="U651" i="11"/>
  <c r="G651" i="11"/>
  <c r="F651" i="11"/>
  <c r="V651" i="11"/>
  <c r="BD649" i="11"/>
  <c r="A654" i="11"/>
  <c r="BA654" i="11" s="1"/>
  <c r="BB653" i="11"/>
  <c r="E1259" i="11"/>
  <c r="F1259" i="11" s="1"/>
  <c r="G1260" i="11" s="1"/>
  <c r="D652" i="11"/>
  <c r="C651" i="11"/>
  <c r="I1259" i="11"/>
  <c r="B652" i="11"/>
  <c r="AV652" i="11" s="1"/>
  <c r="AU650" i="11"/>
  <c r="AS650" i="11"/>
  <c r="AR650" i="11"/>
  <c r="AT650" i="11"/>
  <c r="AP650" i="11"/>
  <c r="AM650" i="11"/>
  <c r="AK650" i="11"/>
  <c r="AL650" i="11"/>
  <c r="AN650" i="11"/>
  <c r="AO650" i="11"/>
  <c r="AJ650" i="11"/>
  <c r="AQ650" i="11"/>
  <c r="C1260" i="11"/>
  <c r="J1260" i="11"/>
  <c r="D1261" i="11"/>
  <c r="H1260" i="11"/>
  <c r="AZ650" i="11" l="1"/>
  <c r="X651" i="11"/>
  <c r="Z651" i="11" s="1"/>
  <c r="AY652" i="11"/>
  <c r="AW652" i="11"/>
  <c r="T652" i="11"/>
  <c r="L652" i="11"/>
  <c r="E652" i="11"/>
  <c r="M652" i="11"/>
  <c r="N652" i="11"/>
  <c r="U652" i="11"/>
  <c r="F652" i="11"/>
  <c r="G652" i="11"/>
  <c r="V652" i="11"/>
  <c r="BD650" i="11"/>
  <c r="BC650" i="11"/>
  <c r="A655" i="11"/>
  <c r="BA655" i="11" s="1"/>
  <c r="BB654" i="11"/>
  <c r="I1260" i="11"/>
  <c r="C652" i="11"/>
  <c r="D653" i="11"/>
  <c r="E1260" i="11"/>
  <c r="F1260" i="11" s="1"/>
  <c r="G1261" i="11" s="1"/>
  <c r="B653" i="11"/>
  <c r="AV653" i="11" s="1"/>
  <c r="AT651" i="11"/>
  <c r="AU651" i="11"/>
  <c r="AS651" i="11"/>
  <c r="AR651" i="11"/>
  <c r="AO651" i="11"/>
  <c r="AK651" i="11"/>
  <c r="AQ651" i="11"/>
  <c r="AP651" i="11"/>
  <c r="AM651" i="11"/>
  <c r="AL651" i="11"/>
  <c r="AN651" i="11"/>
  <c r="AJ651" i="11"/>
  <c r="C1261" i="11"/>
  <c r="J1261" i="11"/>
  <c r="H1261" i="11"/>
  <c r="D1262" i="11"/>
  <c r="AZ651" i="11" l="1"/>
  <c r="BD651" i="11" s="1"/>
  <c r="X652" i="11"/>
  <c r="Z652" i="11" s="1"/>
  <c r="AY653" i="11"/>
  <c r="AW653" i="11"/>
  <c r="T653" i="11"/>
  <c r="L653" i="11"/>
  <c r="E653" i="11"/>
  <c r="N653" i="11"/>
  <c r="M653" i="11"/>
  <c r="U653" i="11"/>
  <c r="G653" i="11"/>
  <c r="F653" i="11"/>
  <c r="V653" i="11"/>
  <c r="BC651" i="11"/>
  <c r="A656" i="11"/>
  <c r="BA656" i="11" s="1"/>
  <c r="BB655" i="11"/>
  <c r="E1261" i="11"/>
  <c r="F1261" i="11" s="1"/>
  <c r="G1262" i="11" s="1"/>
  <c r="D654" i="11"/>
  <c r="C653" i="11"/>
  <c r="I1261" i="11"/>
  <c r="B654" i="11"/>
  <c r="AV654" i="11" s="1"/>
  <c r="AU652" i="11"/>
  <c r="AR652" i="11"/>
  <c r="AT652" i="11"/>
  <c r="AS652" i="11"/>
  <c r="AO652" i="11"/>
  <c r="AJ652" i="11"/>
  <c r="AK652" i="11"/>
  <c r="AP652" i="11"/>
  <c r="AM652" i="11"/>
  <c r="AL652" i="11"/>
  <c r="AN652" i="11"/>
  <c r="AQ652" i="11"/>
  <c r="C1262" i="11"/>
  <c r="J1262" i="11"/>
  <c r="D1263" i="11"/>
  <c r="H1262" i="11"/>
  <c r="AZ652" i="11" l="1"/>
  <c r="BC652" i="11" s="1"/>
  <c r="X653" i="11"/>
  <c r="Z653" i="11" s="1"/>
  <c r="AY654" i="11"/>
  <c r="AW654" i="11"/>
  <c r="T654" i="11"/>
  <c r="L654" i="11"/>
  <c r="E654" i="11"/>
  <c r="M654" i="11"/>
  <c r="N654" i="11"/>
  <c r="U654" i="11"/>
  <c r="G654" i="11"/>
  <c r="F654" i="11"/>
  <c r="V654" i="11"/>
  <c r="A657" i="11"/>
  <c r="BA657" i="11" s="1"/>
  <c r="BB656" i="11"/>
  <c r="I1262" i="11"/>
  <c r="E1262" i="11"/>
  <c r="F1262" i="11" s="1"/>
  <c r="G1263" i="11" s="1"/>
  <c r="C654" i="11"/>
  <c r="D655" i="11"/>
  <c r="B655" i="11"/>
  <c r="AV655" i="11" s="1"/>
  <c r="AU653" i="11"/>
  <c r="AT653" i="11"/>
  <c r="AS653" i="11"/>
  <c r="AR653" i="11"/>
  <c r="AL653" i="11"/>
  <c r="AN653" i="11"/>
  <c r="AO653" i="11"/>
  <c r="AJ653" i="11"/>
  <c r="AK653" i="11"/>
  <c r="AQ653" i="11"/>
  <c r="AP653" i="11"/>
  <c r="AM653" i="11"/>
  <c r="C1263" i="11"/>
  <c r="J1263" i="11"/>
  <c r="H1263" i="11"/>
  <c r="D1264" i="11"/>
  <c r="BD652" i="11" l="1"/>
  <c r="AZ653" i="11"/>
  <c r="BD653" i="11" s="1"/>
  <c r="X654" i="11"/>
  <c r="Z654" i="11" s="1"/>
  <c r="AY655" i="11"/>
  <c r="AW655" i="11"/>
  <c r="T655" i="11"/>
  <c r="E655" i="11"/>
  <c r="L655" i="11"/>
  <c r="M655" i="11"/>
  <c r="N655" i="11"/>
  <c r="U655" i="11"/>
  <c r="G655" i="11"/>
  <c r="F655" i="11"/>
  <c r="V655" i="11"/>
  <c r="BC653" i="11"/>
  <c r="A658" i="11"/>
  <c r="BA658" i="11" s="1"/>
  <c r="BB657" i="11"/>
  <c r="E1263" i="11"/>
  <c r="F1263" i="11" s="1"/>
  <c r="G1264" i="11" s="1"/>
  <c r="D656" i="11"/>
  <c r="C655" i="11"/>
  <c r="I1263" i="11"/>
  <c r="B656" i="11"/>
  <c r="AV656" i="11" s="1"/>
  <c r="AU654" i="11"/>
  <c r="AR654" i="11"/>
  <c r="AT654" i="11"/>
  <c r="AS654" i="11"/>
  <c r="AN654" i="11"/>
  <c r="AO654" i="11"/>
  <c r="AJ654" i="11"/>
  <c r="AL654" i="11"/>
  <c r="AQ654" i="11"/>
  <c r="AK654" i="11"/>
  <c r="AM654" i="11"/>
  <c r="AP654" i="11"/>
  <c r="C1264" i="11"/>
  <c r="J1264" i="11"/>
  <c r="D1265" i="11"/>
  <c r="H1264" i="11"/>
  <c r="X655" i="11" l="1"/>
  <c r="Z655" i="11" s="1"/>
  <c r="AZ654" i="11"/>
  <c r="BD654" i="11" s="1"/>
  <c r="AY656" i="11"/>
  <c r="AW656" i="11"/>
  <c r="L656" i="11"/>
  <c r="T656" i="11"/>
  <c r="E656" i="11"/>
  <c r="M656" i="11"/>
  <c r="N656" i="11"/>
  <c r="U656" i="11"/>
  <c r="F656" i="11"/>
  <c r="G656" i="11"/>
  <c r="V656" i="11"/>
  <c r="A659" i="11"/>
  <c r="BA659" i="11" s="1"/>
  <c r="BB658" i="11"/>
  <c r="E1264" i="11"/>
  <c r="F1264" i="11" s="1"/>
  <c r="G1265" i="11" s="1"/>
  <c r="C656" i="11"/>
  <c r="D657" i="11"/>
  <c r="I1264" i="11"/>
  <c r="B657" i="11"/>
  <c r="AV657" i="11" s="1"/>
  <c r="AT655" i="11"/>
  <c r="AS655" i="11"/>
  <c r="AU655" i="11"/>
  <c r="AR655" i="11"/>
  <c r="AQ655" i="11"/>
  <c r="AO655" i="11"/>
  <c r="AM655" i="11"/>
  <c r="AN655" i="11"/>
  <c r="AJ655" i="11"/>
  <c r="AL655" i="11"/>
  <c r="AK655" i="11"/>
  <c r="AP655" i="11"/>
  <c r="C1265" i="11"/>
  <c r="J1265" i="11"/>
  <c r="H1265" i="11"/>
  <c r="D1266" i="11"/>
  <c r="BC654" i="11" l="1"/>
  <c r="AZ655" i="11"/>
  <c r="BC655" i="11" s="1"/>
  <c r="X656" i="11"/>
  <c r="Z656" i="11" s="1"/>
  <c r="AY657" i="11"/>
  <c r="AW657" i="11"/>
  <c r="L657" i="11"/>
  <c r="E657" i="11"/>
  <c r="T657" i="11"/>
  <c r="N657" i="11"/>
  <c r="M657" i="11"/>
  <c r="U657" i="11"/>
  <c r="F657" i="11"/>
  <c r="G657" i="11"/>
  <c r="V657" i="11"/>
  <c r="BD655" i="11"/>
  <c r="A660" i="11"/>
  <c r="BA660" i="11" s="1"/>
  <c r="BB659" i="11"/>
  <c r="D658" i="11"/>
  <c r="C657" i="11"/>
  <c r="I1265" i="11"/>
  <c r="E1265" i="11"/>
  <c r="F1265" i="11" s="1"/>
  <c r="G1266" i="11" s="1"/>
  <c r="B658" i="11"/>
  <c r="AV658" i="11" s="1"/>
  <c r="AT656" i="11"/>
  <c r="AU656" i="11"/>
  <c r="AS656" i="11"/>
  <c r="AR656" i="11"/>
  <c r="AP656" i="11"/>
  <c r="AJ656" i="11"/>
  <c r="AK656" i="11"/>
  <c r="AL656" i="11"/>
  <c r="AQ656" i="11"/>
  <c r="AN656" i="11"/>
  <c r="AO656" i="11"/>
  <c r="AM656" i="11"/>
  <c r="C1266" i="11"/>
  <c r="J1266" i="11"/>
  <c r="D1267" i="11"/>
  <c r="H1266" i="11"/>
  <c r="X657" i="11" l="1"/>
  <c r="Z657" i="11" s="1"/>
  <c r="AZ656" i="11"/>
  <c r="BD656" i="11" s="1"/>
  <c r="AY658" i="11"/>
  <c r="AW658" i="11"/>
  <c r="T658" i="11"/>
  <c r="L658" i="11"/>
  <c r="E658" i="11"/>
  <c r="M658" i="11"/>
  <c r="N658" i="11"/>
  <c r="U658" i="11"/>
  <c r="G658" i="11"/>
  <c r="F658" i="11"/>
  <c r="V658" i="11"/>
  <c r="A661" i="11"/>
  <c r="BA661" i="11" s="1"/>
  <c r="BB660" i="11"/>
  <c r="I1266" i="11"/>
  <c r="E1266" i="11"/>
  <c r="F1266" i="11" s="1"/>
  <c r="G1267" i="11" s="1"/>
  <c r="C658" i="11"/>
  <c r="D659" i="11"/>
  <c r="B659" i="11"/>
  <c r="AV659" i="11" s="1"/>
  <c r="AU657" i="11"/>
  <c r="AS657" i="11"/>
  <c r="AT657" i="11"/>
  <c r="AR657" i="11"/>
  <c r="AN657" i="11"/>
  <c r="AO657" i="11"/>
  <c r="AL657" i="11"/>
  <c r="AQ657" i="11"/>
  <c r="AM657" i="11"/>
  <c r="AP657" i="11"/>
  <c r="AJ657" i="11"/>
  <c r="AK657" i="11"/>
  <c r="C1267" i="11"/>
  <c r="J1267" i="11"/>
  <c r="H1267" i="11"/>
  <c r="D1268" i="11"/>
  <c r="BC656" i="11" l="1"/>
  <c r="AZ657" i="11"/>
  <c r="BD657" i="11" s="1"/>
  <c r="X658" i="11"/>
  <c r="Z658" i="11" s="1"/>
  <c r="AY659" i="11"/>
  <c r="AW659" i="11"/>
  <c r="T659" i="11"/>
  <c r="E659" i="11"/>
  <c r="L659" i="11"/>
  <c r="M659" i="11"/>
  <c r="N659" i="11"/>
  <c r="U659" i="11"/>
  <c r="G659" i="11"/>
  <c r="F659" i="11"/>
  <c r="V659" i="11"/>
  <c r="BC657" i="11"/>
  <c r="A662" i="11"/>
  <c r="BA662" i="11" s="1"/>
  <c r="BB661" i="11"/>
  <c r="D660" i="11"/>
  <c r="C659" i="11"/>
  <c r="I1267" i="11"/>
  <c r="E1267" i="11"/>
  <c r="F1267" i="11" s="1"/>
  <c r="G1268" i="11" s="1"/>
  <c r="B660" i="11"/>
  <c r="AV660" i="11" s="1"/>
  <c r="AU658" i="11"/>
  <c r="AT658" i="11"/>
  <c r="AR658" i="11"/>
  <c r="AS658" i="11"/>
  <c r="AM658" i="11"/>
  <c r="AN658" i="11"/>
  <c r="AO658" i="11"/>
  <c r="AL658" i="11"/>
  <c r="AP658" i="11"/>
  <c r="AJ658" i="11"/>
  <c r="AK658" i="11"/>
  <c r="AQ658" i="11"/>
  <c r="C1268" i="11"/>
  <c r="J1268" i="11"/>
  <c r="D1269" i="11"/>
  <c r="H1268" i="11"/>
  <c r="AZ658" i="11" l="1"/>
  <c r="X659" i="11"/>
  <c r="Z659" i="11" s="1"/>
  <c r="AY660" i="11"/>
  <c r="AW660" i="11"/>
  <c r="T660" i="11"/>
  <c r="L660" i="11"/>
  <c r="E660" i="11"/>
  <c r="M660" i="11"/>
  <c r="N660" i="11"/>
  <c r="U660" i="11"/>
  <c r="F660" i="11"/>
  <c r="G660" i="11"/>
  <c r="V660" i="11"/>
  <c r="BD658" i="11"/>
  <c r="BC658" i="11"/>
  <c r="A663" i="11"/>
  <c r="BA663" i="11" s="1"/>
  <c r="BB662" i="11"/>
  <c r="I1268" i="11"/>
  <c r="E1268" i="11"/>
  <c r="F1268" i="11" s="1"/>
  <c r="G1269" i="11" s="1"/>
  <c r="C660" i="11"/>
  <c r="D661" i="11"/>
  <c r="B661" i="11"/>
  <c r="AV661" i="11" s="1"/>
  <c r="AT659" i="11"/>
  <c r="AU659" i="11"/>
  <c r="AR659" i="11"/>
  <c r="AS659" i="11"/>
  <c r="AN659" i="11"/>
  <c r="AK659" i="11"/>
  <c r="AP659" i="11"/>
  <c r="AJ659" i="11"/>
  <c r="AO659" i="11"/>
  <c r="AM659" i="11"/>
  <c r="AL659" i="11"/>
  <c r="AQ659" i="11"/>
  <c r="C1269" i="11"/>
  <c r="J1269" i="11"/>
  <c r="H1269" i="11"/>
  <c r="D1270" i="11"/>
  <c r="AZ659" i="11" l="1"/>
  <c r="X660" i="11"/>
  <c r="Z660" i="11" s="1"/>
  <c r="AY661" i="11"/>
  <c r="AW661" i="11"/>
  <c r="T661" i="11"/>
  <c r="L661" i="11"/>
  <c r="E661" i="11"/>
  <c r="N661" i="11"/>
  <c r="M661" i="11"/>
  <c r="U661" i="11"/>
  <c r="G661" i="11"/>
  <c r="F661" i="11"/>
  <c r="V661" i="11"/>
  <c r="BD659" i="11"/>
  <c r="BC659" i="11"/>
  <c r="A664" i="11"/>
  <c r="BA664" i="11" s="1"/>
  <c r="BB663" i="11"/>
  <c r="D662" i="11"/>
  <c r="C661" i="11"/>
  <c r="E1269" i="11"/>
  <c r="F1269" i="11" s="1"/>
  <c r="G1270" i="11" s="1"/>
  <c r="I1269" i="11"/>
  <c r="B662" i="11"/>
  <c r="AV662" i="11" s="1"/>
  <c r="AU660" i="11"/>
  <c r="AS660" i="11"/>
  <c r="AT660" i="11"/>
  <c r="AR660" i="11"/>
  <c r="AL660" i="11"/>
  <c r="AQ660" i="11"/>
  <c r="AN660" i="11"/>
  <c r="AP660" i="11"/>
  <c r="AJ660" i="11"/>
  <c r="AK660" i="11"/>
  <c r="AM660" i="11"/>
  <c r="AO660" i="11"/>
  <c r="C1270" i="11"/>
  <c r="J1270" i="11"/>
  <c r="D1271" i="11"/>
  <c r="H1270" i="11"/>
  <c r="AZ660" i="11" l="1"/>
  <c r="X661" i="11"/>
  <c r="Z661" i="11" s="1"/>
  <c r="AY662" i="11"/>
  <c r="AW662" i="11"/>
  <c r="T662" i="11"/>
  <c r="L662" i="11"/>
  <c r="E662" i="11"/>
  <c r="M662" i="11"/>
  <c r="N662" i="11"/>
  <c r="U662" i="11"/>
  <c r="G662" i="11"/>
  <c r="F662" i="11"/>
  <c r="V662" i="11"/>
  <c r="BD660" i="11"/>
  <c r="BC660" i="11"/>
  <c r="A665" i="11"/>
  <c r="BA665" i="11" s="1"/>
  <c r="BB664" i="11"/>
  <c r="I1270" i="11"/>
  <c r="E1270" i="11"/>
  <c r="F1270" i="11" s="1"/>
  <c r="G1271" i="11" s="1"/>
  <c r="C662" i="11"/>
  <c r="D663" i="11"/>
  <c r="B663" i="11"/>
  <c r="AV663" i="11" s="1"/>
  <c r="AU661" i="11"/>
  <c r="AS661" i="11"/>
  <c r="AT661" i="11"/>
  <c r="AR661" i="11"/>
  <c r="AQ661" i="11"/>
  <c r="AM661" i="11"/>
  <c r="AP661" i="11"/>
  <c r="AJ661" i="11"/>
  <c r="AK661" i="11"/>
  <c r="AN661" i="11"/>
  <c r="AO661" i="11"/>
  <c r="AL661" i="11"/>
  <c r="C1271" i="11"/>
  <c r="J1271" i="11"/>
  <c r="H1271" i="11"/>
  <c r="D1272" i="11"/>
  <c r="AZ661" i="11" l="1"/>
  <c r="BC661" i="11" s="1"/>
  <c r="X662" i="11"/>
  <c r="Z662" i="11" s="1"/>
  <c r="AY663" i="11"/>
  <c r="AW663" i="11"/>
  <c r="T663" i="11"/>
  <c r="E663" i="11"/>
  <c r="L663" i="11"/>
  <c r="M663" i="11"/>
  <c r="N663" i="11"/>
  <c r="U663" i="11"/>
  <c r="G663" i="11"/>
  <c r="F663" i="11"/>
  <c r="V663" i="11"/>
  <c r="A666" i="11"/>
  <c r="BA666" i="11" s="1"/>
  <c r="BB665" i="11"/>
  <c r="D664" i="11"/>
  <c r="C663" i="11"/>
  <c r="E1271" i="11"/>
  <c r="F1271" i="11" s="1"/>
  <c r="G1272" i="11" s="1"/>
  <c r="I1271" i="11"/>
  <c r="B664" i="11"/>
  <c r="AV664" i="11" s="1"/>
  <c r="AU662" i="11"/>
  <c r="AT662" i="11"/>
  <c r="AR662" i="11"/>
  <c r="AS662" i="11"/>
  <c r="AL662" i="11"/>
  <c r="AQ662" i="11"/>
  <c r="AM662" i="11"/>
  <c r="AJ662" i="11"/>
  <c r="AN662" i="11"/>
  <c r="AO662" i="11"/>
  <c r="AP662" i="11"/>
  <c r="AK662" i="11"/>
  <c r="C1272" i="11"/>
  <c r="J1272" i="11"/>
  <c r="D1273" i="11"/>
  <c r="H1272" i="11"/>
  <c r="BD661" i="11" l="1"/>
  <c r="AZ662" i="11"/>
  <c r="BD662" i="11" s="1"/>
  <c r="X663" i="11"/>
  <c r="Z663" i="11" s="1"/>
  <c r="AY664" i="11"/>
  <c r="AW664" i="11"/>
  <c r="L664" i="11"/>
  <c r="T664" i="11"/>
  <c r="E664" i="11"/>
  <c r="M664" i="11"/>
  <c r="N664" i="11"/>
  <c r="U664" i="11"/>
  <c r="G664" i="11"/>
  <c r="F664" i="11"/>
  <c r="V664" i="11"/>
  <c r="A667" i="11"/>
  <c r="BA667" i="11" s="1"/>
  <c r="BB666" i="11"/>
  <c r="I1272" i="11"/>
  <c r="E1272" i="11"/>
  <c r="F1272" i="11" s="1"/>
  <c r="G1273" i="11" s="1"/>
  <c r="C664" i="11"/>
  <c r="D665" i="11"/>
  <c r="B665" i="11"/>
  <c r="AV665" i="11" s="1"/>
  <c r="AT663" i="11"/>
  <c r="AU663" i="11"/>
  <c r="AR663" i="11"/>
  <c r="AS663" i="11"/>
  <c r="AL663" i="11"/>
  <c r="AQ663" i="11"/>
  <c r="AP663" i="11"/>
  <c r="AJ663" i="11"/>
  <c r="AM663" i="11"/>
  <c r="AN663" i="11"/>
  <c r="AK663" i="11"/>
  <c r="AO663" i="11"/>
  <c r="C1273" i="11"/>
  <c r="J1273" i="11"/>
  <c r="H1273" i="11"/>
  <c r="D1274" i="11"/>
  <c r="BC662" i="11" l="1"/>
  <c r="AZ663" i="11"/>
  <c r="BD663" i="11" s="1"/>
  <c r="X664" i="11"/>
  <c r="Z664" i="11" s="1"/>
  <c r="AY665" i="11"/>
  <c r="AW665" i="11"/>
  <c r="L665" i="11"/>
  <c r="E665" i="11"/>
  <c r="T665" i="11"/>
  <c r="N665" i="11"/>
  <c r="M665" i="11"/>
  <c r="U665" i="11"/>
  <c r="F665" i="11"/>
  <c r="G665" i="11"/>
  <c r="V665" i="11"/>
  <c r="BC663" i="11"/>
  <c r="A668" i="11"/>
  <c r="BA668" i="11" s="1"/>
  <c r="BB667" i="11"/>
  <c r="D666" i="11"/>
  <c r="C665" i="11"/>
  <c r="I1273" i="11"/>
  <c r="E1273" i="11"/>
  <c r="F1273" i="11" s="1"/>
  <c r="G1274" i="11" s="1"/>
  <c r="B666" i="11"/>
  <c r="AV666" i="11" s="1"/>
  <c r="AT664" i="11"/>
  <c r="AS664" i="11"/>
  <c r="AR664" i="11"/>
  <c r="AU664" i="11"/>
  <c r="AN664" i="11"/>
  <c r="AO664" i="11"/>
  <c r="AK664" i="11"/>
  <c r="AQ664" i="11"/>
  <c r="AM664" i="11"/>
  <c r="AP664" i="11"/>
  <c r="AJ664" i="11"/>
  <c r="AL664" i="11"/>
  <c r="C1274" i="11"/>
  <c r="J1274" i="11"/>
  <c r="D1275" i="11"/>
  <c r="H1274" i="11"/>
  <c r="AZ664" i="11" l="1"/>
  <c r="BC664" i="11" s="1"/>
  <c r="X665" i="11"/>
  <c r="Z665" i="11" s="1"/>
  <c r="AY666" i="11"/>
  <c r="AW666" i="11"/>
  <c r="T666" i="11"/>
  <c r="L666" i="11"/>
  <c r="E666" i="11"/>
  <c r="M666" i="11"/>
  <c r="N666" i="11"/>
  <c r="U666" i="11"/>
  <c r="G666" i="11"/>
  <c r="F666" i="11"/>
  <c r="V666" i="11"/>
  <c r="BD664" i="11"/>
  <c r="A669" i="11"/>
  <c r="BA669" i="11" s="1"/>
  <c r="BB668" i="11"/>
  <c r="E1274" i="11"/>
  <c r="F1274" i="11" s="1"/>
  <c r="G1275" i="11" s="1"/>
  <c r="I1274" i="11"/>
  <c r="C666" i="11"/>
  <c r="D667" i="11"/>
  <c r="B667" i="11"/>
  <c r="AV667" i="11" s="1"/>
  <c r="AU665" i="11"/>
  <c r="AS665" i="11"/>
  <c r="AT665" i="11"/>
  <c r="AR665" i="11"/>
  <c r="AP665" i="11"/>
  <c r="AJ665" i="11"/>
  <c r="AK665" i="11"/>
  <c r="AQ665" i="11"/>
  <c r="AM665" i="11"/>
  <c r="AN665" i="11"/>
  <c r="AO665" i="11"/>
  <c r="AL665" i="11"/>
  <c r="C1275" i="11"/>
  <c r="J1275" i="11"/>
  <c r="H1275" i="11"/>
  <c r="D1276" i="11"/>
  <c r="AZ665" i="11" l="1"/>
  <c r="BC665" i="11" s="1"/>
  <c r="X666" i="11"/>
  <c r="Z666" i="11" s="1"/>
  <c r="AY667" i="11"/>
  <c r="AW667" i="11"/>
  <c r="T667" i="11"/>
  <c r="E667" i="11"/>
  <c r="L667" i="11"/>
  <c r="M667" i="11"/>
  <c r="N667" i="11"/>
  <c r="U667" i="11"/>
  <c r="F667" i="11"/>
  <c r="G667" i="11"/>
  <c r="V667" i="11"/>
  <c r="A670" i="11"/>
  <c r="BA670" i="11" s="1"/>
  <c r="BB669" i="11"/>
  <c r="I1275" i="11"/>
  <c r="D668" i="11"/>
  <c r="C667" i="11"/>
  <c r="E1275" i="11"/>
  <c r="F1275" i="11" s="1"/>
  <c r="G1276" i="11" s="1"/>
  <c r="B668" i="11"/>
  <c r="AV668" i="11" s="1"/>
  <c r="AU666" i="11"/>
  <c r="AS666" i="11"/>
  <c r="AR666" i="11"/>
  <c r="AT666" i="11"/>
  <c r="AN666" i="11"/>
  <c r="AO666" i="11"/>
  <c r="AM666" i="11"/>
  <c r="AP666" i="11"/>
  <c r="AJ666" i="11"/>
  <c r="AK666" i="11"/>
  <c r="AL666" i="11"/>
  <c r="AQ666" i="11"/>
  <c r="C1276" i="11"/>
  <c r="J1276" i="11"/>
  <c r="D1277" i="11"/>
  <c r="H1276" i="11"/>
  <c r="BD665" i="11" l="1"/>
  <c r="AZ666" i="11"/>
  <c r="X667" i="11"/>
  <c r="Z667" i="11" s="1"/>
  <c r="AY668" i="11"/>
  <c r="AW668" i="11"/>
  <c r="T668" i="11"/>
  <c r="L668" i="11"/>
  <c r="E668" i="11"/>
  <c r="M668" i="11"/>
  <c r="N668" i="11"/>
  <c r="U668" i="11"/>
  <c r="F668" i="11"/>
  <c r="G668" i="11"/>
  <c r="V668" i="11"/>
  <c r="BD666" i="11"/>
  <c r="BC666" i="11"/>
  <c r="A671" i="11"/>
  <c r="BA671" i="11" s="1"/>
  <c r="BB670" i="11"/>
  <c r="C668" i="11"/>
  <c r="D669" i="11"/>
  <c r="I1276" i="11"/>
  <c r="E1276" i="11"/>
  <c r="F1276" i="11" s="1"/>
  <c r="G1277" i="11" s="1"/>
  <c r="B669" i="11"/>
  <c r="AV669" i="11" s="1"/>
  <c r="AT667" i="11"/>
  <c r="AU667" i="11"/>
  <c r="AS667" i="11"/>
  <c r="AR667" i="11"/>
  <c r="AN667" i="11"/>
  <c r="AK667" i="11"/>
  <c r="AQ667" i="11"/>
  <c r="AM667" i="11"/>
  <c r="AP667" i="11"/>
  <c r="AJ667" i="11"/>
  <c r="AO667" i="11"/>
  <c r="AL667" i="11"/>
  <c r="C1277" i="11"/>
  <c r="J1277" i="11"/>
  <c r="H1277" i="11"/>
  <c r="D1278" i="11"/>
  <c r="AZ667" i="11" l="1"/>
  <c r="BC667" i="11" s="1"/>
  <c r="X668" i="11"/>
  <c r="Z668" i="11" s="1"/>
  <c r="AY669" i="11"/>
  <c r="AW669" i="11"/>
  <c r="T669" i="11"/>
  <c r="L669" i="11"/>
  <c r="E669" i="11"/>
  <c r="N669" i="11"/>
  <c r="M669" i="11"/>
  <c r="U669" i="11"/>
  <c r="G669" i="11"/>
  <c r="F669" i="11"/>
  <c r="V669" i="11"/>
  <c r="A672" i="11"/>
  <c r="BA672" i="11" s="1"/>
  <c r="BB671" i="11"/>
  <c r="I1277" i="11"/>
  <c r="D670" i="11"/>
  <c r="C669" i="11"/>
  <c r="E1277" i="11"/>
  <c r="F1277" i="11" s="1"/>
  <c r="G1278" i="11" s="1"/>
  <c r="B670" i="11"/>
  <c r="AV670" i="11" s="1"/>
  <c r="AU668" i="11"/>
  <c r="AT668" i="11"/>
  <c r="AR668" i="11"/>
  <c r="AS668" i="11"/>
  <c r="AL668" i="11"/>
  <c r="AM668" i="11"/>
  <c r="AK668" i="11"/>
  <c r="AQ668" i="11"/>
  <c r="AN668" i="11"/>
  <c r="AO668" i="11"/>
  <c r="AP668" i="11"/>
  <c r="AJ668" i="11"/>
  <c r="C1278" i="11"/>
  <c r="J1278" i="11"/>
  <c r="D1279" i="11"/>
  <c r="H1278" i="11"/>
  <c r="BD667" i="11" l="1"/>
  <c r="AZ668" i="11"/>
  <c r="BC668" i="11" s="1"/>
  <c r="X669" i="11"/>
  <c r="Z669" i="11" s="1"/>
  <c r="AY670" i="11"/>
  <c r="AW670" i="11"/>
  <c r="T670" i="11"/>
  <c r="L670" i="11"/>
  <c r="E670" i="11"/>
  <c r="M670" i="11"/>
  <c r="N670" i="11"/>
  <c r="U670" i="11"/>
  <c r="G670" i="11"/>
  <c r="F670" i="11"/>
  <c r="V670" i="11"/>
  <c r="A673" i="11"/>
  <c r="BA673" i="11" s="1"/>
  <c r="BB672" i="11"/>
  <c r="E1278" i="11"/>
  <c r="F1278" i="11" s="1"/>
  <c r="G1279" i="11" s="1"/>
  <c r="C670" i="11"/>
  <c r="X670" i="11" s="1"/>
  <c r="Z670" i="11" s="1"/>
  <c r="D671" i="11"/>
  <c r="I1278" i="11"/>
  <c r="B671" i="11"/>
  <c r="AV671" i="11" s="1"/>
  <c r="AU669" i="11"/>
  <c r="AT669" i="11"/>
  <c r="AS669" i="11"/>
  <c r="AR669" i="11"/>
  <c r="AP669" i="11"/>
  <c r="AJ669" i="11"/>
  <c r="AK669" i="11"/>
  <c r="AL669" i="11"/>
  <c r="AQ669" i="11"/>
  <c r="AN669" i="11"/>
  <c r="AO669" i="11"/>
  <c r="AM669" i="11"/>
  <c r="C1279" i="11"/>
  <c r="J1279" i="11"/>
  <c r="H1279" i="11"/>
  <c r="D1280" i="11"/>
  <c r="BD668" i="11" l="1"/>
  <c r="AZ669" i="11"/>
  <c r="BC669" i="11" s="1"/>
  <c r="AY671" i="11"/>
  <c r="AW671" i="11"/>
  <c r="T671" i="11"/>
  <c r="E671" i="11"/>
  <c r="L671" i="11"/>
  <c r="M671" i="11"/>
  <c r="N671" i="11"/>
  <c r="U671" i="11"/>
  <c r="G671" i="11"/>
  <c r="F671" i="11"/>
  <c r="V671" i="11"/>
  <c r="A674" i="11"/>
  <c r="BA674" i="11" s="1"/>
  <c r="BB673" i="11"/>
  <c r="I1279" i="11"/>
  <c r="E1279" i="11"/>
  <c r="F1279" i="11" s="1"/>
  <c r="G1280" i="11" s="1"/>
  <c r="D672" i="11"/>
  <c r="C671" i="11"/>
  <c r="B672" i="11"/>
  <c r="AV672" i="11" s="1"/>
  <c r="AU670" i="11"/>
  <c r="AT670" i="11"/>
  <c r="AR670" i="11"/>
  <c r="AS670" i="11"/>
  <c r="AL670" i="11"/>
  <c r="AQ670" i="11"/>
  <c r="AO670" i="11"/>
  <c r="AJ670" i="11"/>
  <c r="AZ670" i="11"/>
  <c r="AM670" i="11"/>
  <c r="AN670" i="11"/>
  <c r="AP670" i="11"/>
  <c r="AK670" i="11"/>
  <c r="D1281" i="11"/>
  <c r="C1280" i="11"/>
  <c r="J1280" i="11"/>
  <c r="H1280" i="11"/>
  <c r="BD669" i="11" l="1"/>
  <c r="X671" i="11"/>
  <c r="Z671" i="11" s="1"/>
  <c r="AY672" i="11"/>
  <c r="AW672" i="11"/>
  <c r="L672" i="11"/>
  <c r="T672" i="11"/>
  <c r="E672" i="11"/>
  <c r="M672" i="11"/>
  <c r="N672" i="11"/>
  <c r="U672" i="11"/>
  <c r="F672" i="11"/>
  <c r="G672" i="11"/>
  <c r="V672" i="11"/>
  <c r="BD670" i="11"/>
  <c r="BC670" i="11"/>
  <c r="A675" i="11"/>
  <c r="BA675" i="11" s="1"/>
  <c r="BB674" i="11"/>
  <c r="I1280" i="11"/>
  <c r="E1280" i="11"/>
  <c r="F1280" i="11" s="1"/>
  <c r="G1281" i="11" s="1"/>
  <c r="C672" i="11"/>
  <c r="D673" i="11"/>
  <c r="B673" i="11"/>
  <c r="AV673" i="11" s="1"/>
  <c r="AT671" i="11"/>
  <c r="AS671" i="11"/>
  <c r="AU671" i="11"/>
  <c r="AR671" i="11"/>
  <c r="AL671" i="11"/>
  <c r="AQ671" i="11"/>
  <c r="AM671" i="11"/>
  <c r="AN671" i="11"/>
  <c r="AK671" i="11"/>
  <c r="AP671" i="11"/>
  <c r="AJ671" i="11"/>
  <c r="AO671" i="11"/>
  <c r="C1281" i="11"/>
  <c r="H1281" i="11"/>
  <c r="D1282" i="11"/>
  <c r="J1281" i="11"/>
  <c r="AZ671" i="11" l="1"/>
  <c r="BC671" i="11" s="1"/>
  <c r="X672" i="11"/>
  <c r="Z672" i="11" s="1"/>
  <c r="AY673" i="11"/>
  <c r="AW673" i="11"/>
  <c r="L673" i="11"/>
  <c r="E673" i="11"/>
  <c r="T673" i="11"/>
  <c r="N673" i="11"/>
  <c r="M673" i="11"/>
  <c r="U673" i="11"/>
  <c r="F673" i="11"/>
  <c r="G673" i="11"/>
  <c r="V673" i="11"/>
  <c r="A676" i="11"/>
  <c r="BA676" i="11" s="1"/>
  <c r="BB675" i="11"/>
  <c r="I1281" i="11"/>
  <c r="D674" i="11"/>
  <c r="C673" i="11"/>
  <c r="E1281" i="11"/>
  <c r="F1281" i="11" s="1"/>
  <c r="G1282" i="11" s="1"/>
  <c r="B674" i="11"/>
  <c r="AV674" i="11" s="1"/>
  <c r="AU672" i="11"/>
  <c r="AT672" i="11"/>
  <c r="AS672" i="11"/>
  <c r="AR672" i="11"/>
  <c r="AL672" i="11"/>
  <c r="AQ672" i="11"/>
  <c r="AN672" i="11"/>
  <c r="AO672" i="11"/>
  <c r="AP672" i="11"/>
  <c r="AJ672" i="11"/>
  <c r="AM672" i="11"/>
  <c r="AK672" i="11"/>
  <c r="C1282" i="11"/>
  <c r="D1283" i="11"/>
  <c r="J1282" i="11"/>
  <c r="H1282" i="11"/>
  <c r="BD671" i="11" l="1"/>
  <c r="AZ672" i="11"/>
  <c r="BD672" i="11" s="1"/>
  <c r="X673" i="11"/>
  <c r="Z673" i="11" s="1"/>
  <c r="AY674" i="11"/>
  <c r="AW674" i="11"/>
  <c r="T674" i="11"/>
  <c r="L674" i="11"/>
  <c r="E674" i="11"/>
  <c r="N674" i="11"/>
  <c r="M674" i="11"/>
  <c r="U674" i="11"/>
  <c r="G674" i="11"/>
  <c r="F674" i="11"/>
  <c r="V674" i="11"/>
  <c r="A677" i="11"/>
  <c r="BA677" i="11" s="1"/>
  <c r="BB676" i="11"/>
  <c r="I1282" i="11"/>
  <c r="E1282" i="11"/>
  <c r="F1282" i="11" s="1"/>
  <c r="G1283" i="11" s="1"/>
  <c r="C674" i="11"/>
  <c r="D675" i="11"/>
  <c r="B675" i="11"/>
  <c r="AV675" i="11" s="1"/>
  <c r="AU673" i="11"/>
  <c r="AS673" i="11"/>
  <c r="AR673" i="11"/>
  <c r="AT673" i="11"/>
  <c r="AM673" i="11"/>
  <c r="AN673" i="11"/>
  <c r="AO673" i="11"/>
  <c r="AL673" i="11"/>
  <c r="AQ673" i="11"/>
  <c r="AP673" i="11"/>
  <c r="AJ673" i="11"/>
  <c r="AK673" i="11"/>
  <c r="C1283" i="11"/>
  <c r="H1283" i="11"/>
  <c r="D1284" i="11"/>
  <c r="J1283" i="11"/>
  <c r="BC672" i="11" l="1"/>
  <c r="AZ673" i="11"/>
  <c r="BD673" i="11" s="1"/>
  <c r="X674" i="11"/>
  <c r="Z674" i="11" s="1"/>
  <c r="AY675" i="11"/>
  <c r="AW675" i="11"/>
  <c r="T675" i="11"/>
  <c r="E675" i="11"/>
  <c r="L675" i="11"/>
  <c r="M675" i="11"/>
  <c r="N675" i="11"/>
  <c r="U675" i="11"/>
  <c r="G675" i="11"/>
  <c r="F675" i="11"/>
  <c r="V675" i="11"/>
  <c r="A678" i="11"/>
  <c r="BB677" i="11"/>
  <c r="I1283" i="11"/>
  <c r="D676" i="11"/>
  <c r="C675" i="11"/>
  <c r="E1283" i="11"/>
  <c r="F1283" i="11" s="1"/>
  <c r="G1284" i="11" s="1"/>
  <c r="B676" i="11"/>
  <c r="AV676" i="11" s="1"/>
  <c r="AU674" i="11"/>
  <c r="AT674" i="11"/>
  <c r="AR674" i="11"/>
  <c r="AS674" i="11"/>
  <c r="AL674" i="11"/>
  <c r="AQ674" i="11"/>
  <c r="AM674" i="11"/>
  <c r="AP674" i="11"/>
  <c r="AJ674" i="11"/>
  <c r="AN674" i="11"/>
  <c r="AO674" i="11"/>
  <c r="AK674" i="11"/>
  <c r="C1284" i="11"/>
  <c r="D1285" i="11"/>
  <c r="J1284" i="11"/>
  <c r="H1284" i="11"/>
  <c r="BC673" i="11" l="1"/>
  <c r="X675" i="11"/>
  <c r="Z675" i="11" s="1"/>
  <c r="AZ674" i="11"/>
  <c r="BC674" i="11" s="1"/>
  <c r="AY676" i="11"/>
  <c r="AW676" i="11"/>
  <c r="T676" i="11"/>
  <c r="L676" i="11"/>
  <c r="E676" i="11"/>
  <c r="M676" i="11"/>
  <c r="N676" i="11"/>
  <c r="U676" i="11"/>
  <c r="F676" i="11"/>
  <c r="G676" i="11"/>
  <c r="V676" i="11"/>
  <c r="A679" i="11"/>
  <c r="BA679" i="11" s="1"/>
  <c r="E1284" i="11"/>
  <c r="F1284" i="11" s="1"/>
  <c r="G1285" i="11" s="1"/>
  <c r="C676" i="11"/>
  <c r="D677" i="11"/>
  <c r="I1284" i="11"/>
  <c r="B677" i="11"/>
  <c r="AV677" i="11" s="1"/>
  <c r="AT675" i="11"/>
  <c r="AU675" i="11"/>
  <c r="AS675" i="11"/>
  <c r="AR675" i="11"/>
  <c r="AN675" i="11"/>
  <c r="AK675" i="11"/>
  <c r="AP675" i="11"/>
  <c r="AJ675" i="11"/>
  <c r="AO675" i="11"/>
  <c r="AL675" i="11"/>
  <c r="AQ675" i="11"/>
  <c r="AM675" i="11"/>
  <c r="C1285" i="11"/>
  <c r="H1285" i="11"/>
  <c r="D1286" i="11"/>
  <c r="J1285" i="11"/>
  <c r="X676" i="11" l="1"/>
  <c r="Z676" i="11" s="1"/>
  <c r="AZ675" i="11"/>
  <c r="BC675" i="11" s="1"/>
  <c r="BD674" i="11"/>
  <c r="AY677" i="11"/>
  <c r="AW677" i="11"/>
  <c r="T677" i="11"/>
  <c r="L677" i="11"/>
  <c r="E677" i="11"/>
  <c r="N677" i="11"/>
  <c r="M677" i="11"/>
  <c r="U677" i="11"/>
  <c r="G677" i="11"/>
  <c r="F677" i="11"/>
  <c r="V677" i="11"/>
  <c r="A680" i="11"/>
  <c r="BA680" i="11" s="1"/>
  <c r="BB679" i="11"/>
  <c r="I1285" i="11"/>
  <c r="D678" i="11"/>
  <c r="C677" i="11"/>
  <c r="E1285" i="11"/>
  <c r="F1285" i="11" s="1"/>
  <c r="G1286" i="11" s="1"/>
  <c r="B678" i="11"/>
  <c r="AV678" i="11" s="1"/>
  <c r="AU676" i="11"/>
  <c r="AS676" i="11"/>
  <c r="AT676" i="11"/>
  <c r="AR676" i="11"/>
  <c r="AM676" i="11"/>
  <c r="AN676" i="11"/>
  <c r="AO676" i="11"/>
  <c r="AL676" i="11"/>
  <c r="AQ676" i="11"/>
  <c r="AP676" i="11"/>
  <c r="AJ676" i="11"/>
  <c r="AK676" i="11"/>
  <c r="C1286" i="11"/>
  <c r="D1287" i="11"/>
  <c r="J1286" i="11"/>
  <c r="H1286" i="11"/>
  <c r="BD675" i="11" l="1"/>
  <c r="AZ676" i="11"/>
  <c r="BD676" i="11" s="1"/>
  <c r="X677" i="11"/>
  <c r="Z677" i="11" s="1"/>
  <c r="AY678" i="11"/>
  <c r="AW678" i="11"/>
  <c r="T678" i="11"/>
  <c r="L678" i="11"/>
  <c r="E678" i="11"/>
  <c r="M678" i="11"/>
  <c r="N678" i="11"/>
  <c r="U678" i="11"/>
  <c r="G678" i="11"/>
  <c r="F678" i="11"/>
  <c r="V678" i="11"/>
  <c r="A681" i="11"/>
  <c r="BA681" i="11" s="1"/>
  <c r="BB680" i="11"/>
  <c r="E1286" i="11"/>
  <c r="F1286" i="11" s="1"/>
  <c r="G1287" i="11" s="1"/>
  <c r="C678" i="11"/>
  <c r="D679" i="11"/>
  <c r="I1286" i="11"/>
  <c r="B679" i="11"/>
  <c r="AV679" i="11" s="1"/>
  <c r="AU677" i="11"/>
  <c r="AS677" i="11"/>
  <c r="AT677" i="11"/>
  <c r="AR677" i="11"/>
  <c r="AL677" i="11"/>
  <c r="AQ677" i="11"/>
  <c r="AM677" i="11"/>
  <c r="AN677" i="11"/>
  <c r="AO677" i="11"/>
  <c r="AP677" i="11"/>
  <c r="AJ677" i="11"/>
  <c r="AK677" i="11"/>
  <c r="C1287" i="11"/>
  <c r="H1287" i="11"/>
  <c r="D1288" i="11"/>
  <c r="J1287" i="11"/>
  <c r="BC676" i="11" l="1"/>
  <c r="AZ677" i="11"/>
  <c r="BD677" i="11" s="1"/>
  <c r="X678" i="11"/>
  <c r="Z678" i="11" s="1"/>
  <c r="AY679" i="11"/>
  <c r="AW679" i="11"/>
  <c r="T679" i="11"/>
  <c r="E679" i="11"/>
  <c r="L679" i="11"/>
  <c r="M679" i="11"/>
  <c r="N679" i="11"/>
  <c r="U679" i="11"/>
  <c r="G679" i="11"/>
  <c r="F679" i="11"/>
  <c r="V679" i="11"/>
  <c r="A682" i="11"/>
  <c r="BA682" i="11" s="1"/>
  <c r="BB681" i="11"/>
  <c r="I1287" i="11"/>
  <c r="E1287" i="11"/>
  <c r="F1287" i="11" s="1"/>
  <c r="G1288" i="11" s="1"/>
  <c r="D680" i="11"/>
  <c r="C679" i="11"/>
  <c r="B680" i="11"/>
  <c r="AV680" i="11" s="1"/>
  <c r="AU678" i="11"/>
  <c r="AR678" i="11"/>
  <c r="AS678" i="11"/>
  <c r="AT678" i="11"/>
  <c r="AP678" i="11"/>
  <c r="AJ678" i="11"/>
  <c r="AK678" i="11"/>
  <c r="AL678" i="11"/>
  <c r="AQ678" i="11"/>
  <c r="AN678" i="11"/>
  <c r="AO678" i="11"/>
  <c r="AM678" i="11"/>
  <c r="C1288" i="11"/>
  <c r="D1289" i="11"/>
  <c r="J1288" i="11"/>
  <c r="H1288" i="11"/>
  <c r="BC677" i="11" l="1"/>
  <c r="AZ678" i="11"/>
  <c r="X679" i="11"/>
  <c r="Z679" i="11" s="1"/>
  <c r="AY680" i="11"/>
  <c r="AW680" i="11"/>
  <c r="L680" i="11"/>
  <c r="T680" i="11"/>
  <c r="E680" i="11"/>
  <c r="M680" i="11"/>
  <c r="N680" i="11"/>
  <c r="U680" i="11"/>
  <c r="G680" i="11"/>
  <c r="F680" i="11"/>
  <c r="V680" i="11"/>
  <c r="A683" i="11"/>
  <c r="BA683" i="11" s="1"/>
  <c r="BB682" i="11"/>
  <c r="I1288" i="11"/>
  <c r="E1288" i="11"/>
  <c r="F1288" i="11" s="1"/>
  <c r="G1289" i="11" s="1"/>
  <c r="C680" i="11"/>
  <c r="D681" i="11"/>
  <c r="B681" i="11"/>
  <c r="AV681" i="11" s="1"/>
  <c r="AT679" i="11"/>
  <c r="AS679" i="11"/>
  <c r="AR679" i="11"/>
  <c r="AU679" i="11"/>
  <c r="AL679" i="11"/>
  <c r="AQ679" i="11"/>
  <c r="AM679" i="11"/>
  <c r="AP679" i="11"/>
  <c r="AJ679" i="11"/>
  <c r="AO679" i="11"/>
  <c r="AN679" i="11"/>
  <c r="AK679" i="11"/>
  <c r="C1289" i="11"/>
  <c r="H1289" i="11"/>
  <c r="D1290" i="11"/>
  <c r="J1289" i="11"/>
  <c r="AZ679" i="11" l="1"/>
  <c r="BD679" i="11" s="1"/>
  <c r="X680" i="11"/>
  <c r="Z680" i="11" s="1"/>
  <c r="AY681" i="11"/>
  <c r="AW681" i="11"/>
  <c r="L681" i="11"/>
  <c r="E681" i="11"/>
  <c r="T681" i="11"/>
  <c r="N681" i="11"/>
  <c r="M681" i="11"/>
  <c r="U681" i="11"/>
  <c r="F681" i="11"/>
  <c r="G681" i="11"/>
  <c r="V681" i="11"/>
  <c r="A684" i="11"/>
  <c r="BA684" i="11" s="1"/>
  <c r="BB683" i="11"/>
  <c r="I1289" i="11"/>
  <c r="E1289" i="11"/>
  <c r="F1289" i="11" s="1"/>
  <c r="G1290" i="11" s="1"/>
  <c r="D682" i="11"/>
  <c r="C681" i="11"/>
  <c r="B682" i="11"/>
  <c r="AV682" i="11" s="1"/>
  <c r="AT680" i="11"/>
  <c r="AU680" i="11"/>
  <c r="AS680" i="11"/>
  <c r="AR680" i="11"/>
  <c r="AM680" i="11"/>
  <c r="AO680" i="11"/>
  <c r="AP680" i="11"/>
  <c r="AJ680" i="11"/>
  <c r="AK680" i="11"/>
  <c r="AL680" i="11"/>
  <c r="AQ680" i="11"/>
  <c r="AN680" i="11"/>
  <c r="C1290" i="11"/>
  <c r="D1291" i="11"/>
  <c r="J1290" i="11"/>
  <c r="H1290" i="11"/>
  <c r="BC679" i="11" l="1"/>
  <c r="AZ680" i="11"/>
  <c r="BD680" i="11" s="1"/>
  <c r="X681" i="11"/>
  <c r="Z681" i="11" s="1"/>
  <c r="AY682" i="11"/>
  <c r="AW682" i="11"/>
  <c r="T682" i="11"/>
  <c r="L682" i="11"/>
  <c r="E682" i="11"/>
  <c r="N682" i="11"/>
  <c r="M682" i="11"/>
  <c r="U682" i="11"/>
  <c r="G682" i="11"/>
  <c r="F682" i="11"/>
  <c r="V682" i="11"/>
  <c r="BC680" i="11"/>
  <c r="A685" i="11"/>
  <c r="BA685" i="11" s="1"/>
  <c r="BB684" i="11"/>
  <c r="I1290" i="11"/>
  <c r="C682" i="11"/>
  <c r="D683" i="11"/>
  <c r="E1290" i="11"/>
  <c r="F1290" i="11" s="1"/>
  <c r="G1291" i="11" s="1"/>
  <c r="B683" i="11"/>
  <c r="AV683" i="11" s="1"/>
  <c r="AU681" i="11"/>
  <c r="AS681" i="11"/>
  <c r="AT681" i="11"/>
  <c r="AR681" i="11"/>
  <c r="AP681" i="11"/>
  <c r="AJ681" i="11"/>
  <c r="AK681" i="11"/>
  <c r="AQ681" i="11"/>
  <c r="AL681" i="11"/>
  <c r="AM681" i="11"/>
  <c r="AN681" i="11"/>
  <c r="AO681" i="11"/>
  <c r="C1291" i="11"/>
  <c r="H1291" i="11"/>
  <c r="D1292" i="11"/>
  <c r="J1291" i="11"/>
  <c r="AZ681" i="11" l="1"/>
  <c r="BD681" i="11" s="1"/>
  <c r="X682" i="11"/>
  <c r="Z682" i="11" s="1"/>
  <c r="AY683" i="11"/>
  <c r="AW683" i="11"/>
  <c r="T683" i="11"/>
  <c r="L683" i="11"/>
  <c r="E683" i="11"/>
  <c r="M683" i="11"/>
  <c r="N683" i="11"/>
  <c r="U683" i="11"/>
  <c r="F683" i="11"/>
  <c r="G683" i="11"/>
  <c r="V683" i="11"/>
  <c r="BC681" i="11"/>
  <c r="A686" i="11"/>
  <c r="BA686" i="11" s="1"/>
  <c r="BB685" i="11"/>
  <c r="I1291" i="11"/>
  <c r="D684" i="11"/>
  <c r="C683" i="11"/>
  <c r="E1291" i="11"/>
  <c r="F1291" i="11" s="1"/>
  <c r="G1292" i="11" s="1"/>
  <c r="B684" i="11"/>
  <c r="AV684" i="11" s="1"/>
  <c r="AU682" i="11"/>
  <c r="AS682" i="11"/>
  <c r="AR682" i="11"/>
  <c r="AT682" i="11"/>
  <c r="AM682" i="11"/>
  <c r="AQ682" i="11"/>
  <c r="AN682" i="11"/>
  <c r="AO682" i="11"/>
  <c r="AP682" i="11"/>
  <c r="AJ682" i="11"/>
  <c r="AK682" i="11"/>
  <c r="AL682" i="11"/>
  <c r="C1292" i="11"/>
  <c r="H1292" i="11"/>
  <c r="D1293" i="11"/>
  <c r="J1292" i="11"/>
  <c r="AZ682" i="11" l="1"/>
  <c r="BD682" i="11" s="1"/>
  <c r="X683" i="11"/>
  <c r="Z683" i="11" s="1"/>
  <c r="AY684" i="11"/>
  <c r="AW684" i="11"/>
  <c r="T684" i="11"/>
  <c r="L684" i="11"/>
  <c r="E684" i="11"/>
  <c r="M684" i="11"/>
  <c r="N684" i="11"/>
  <c r="U684" i="11"/>
  <c r="F684" i="11"/>
  <c r="G684" i="11"/>
  <c r="V684" i="11"/>
  <c r="A687" i="11"/>
  <c r="BA687" i="11" s="1"/>
  <c r="BB686" i="11"/>
  <c r="I1292" i="11"/>
  <c r="E1292" i="11"/>
  <c r="F1292" i="11" s="1"/>
  <c r="G1293" i="11" s="1"/>
  <c r="C684" i="11"/>
  <c r="D685" i="11"/>
  <c r="B685" i="11"/>
  <c r="AV685" i="11" s="1"/>
  <c r="AT683" i="11"/>
  <c r="AU683" i="11"/>
  <c r="AS683" i="11"/>
  <c r="AR683" i="11"/>
  <c r="AP683" i="11"/>
  <c r="AJ683" i="11"/>
  <c r="AO683" i="11"/>
  <c r="AL683" i="11"/>
  <c r="AQ683" i="11"/>
  <c r="AN683" i="11"/>
  <c r="AK683" i="11"/>
  <c r="AM683" i="11"/>
  <c r="C1293" i="11"/>
  <c r="H1293" i="11"/>
  <c r="D1294" i="11"/>
  <c r="J1293" i="11"/>
  <c r="BC682" i="11" l="1"/>
  <c r="AZ683" i="11"/>
  <c r="BC683" i="11" s="1"/>
  <c r="X684" i="11"/>
  <c r="Z684" i="11" s="1"/>
  <c r="AY685" i="11"/>
  <c r="AW685" i="11"/>
  <c r="T685" i="11"/>
  <c r="L685" i="11"/>
  <c r="E685" i="11"/>
  <c r="N685" i="11"/>
  <c r="M685" i="11"/>
  <c r="U685" i="11"/>
  <c r="G685" i="11"/>
  <c r="F685" i="11"/>
  <c r="V685" i="11"/>
  <c r="A688" i="11"/>
  <c r="BA688" i="11" s="1"/>
  <c r="BB687" i="11"/>
  <c r="D686" i="11"/>
  <c r="C685" i="11"/>
  <c r="I1293" i="11"/>
  <c r="E1293" i="11"/>
  <c r="F1293" i="11" s="1"/>
  <c r="G1294" i="11" s="1"/>
  <c r="B686" i="11"/>
  <c r="AV686" i="11" s="1"/>
  <c r="AU684" i="11"/>
  <c r="AT684" i="11"/>
  <c r="AR684" i="11"/>
  <c r="AS684" i="11"/>
  <c r="AN684" i="11"/>
  <c r="AO684" i="11"/>
  <c r="AP684" i="11"/>
  <c r="AJ684" i="11"/>
  <c r="AK684" i="11"/>
  <c r="AL684" i="11"/>
  <c r="AQ684" i="11"/>
  <c r="AM684" i="11"/>
  <c r="C1294" i="11"/>
  <c r="H1294" i="11"/>
  <c r="D1295" i="11"/>
  <c r="J1294" i="11"/>
  <c r="BD683" i="11" l="1"/>
  <c r="AZ684" i="11"/>
  <c r="BD684" i="11" s="1"/>
  <c r="X685" i="11"/>
  <c r="Z685" i="11" s="1"/>
  <c r="AY686" i="11"/>
  <c r="AW686" i="11"/>
  <c r="T686" i="11"/>
  <c r="L686" i="11"/>
  <c r="E686" i="11"/>
  <c r="M686" i="11"/>
  <c r="N686" i="11"/>
  <c r="U686" i="11"/>
  <c r="G686" i="11"/>
  <c r="F686" i="11"/>
  <c r="V686" i="11"/>
  <c r="A689" i="11"/>
  <c r="BA689" i="11" s="1"/>
  <c r="BB688" i="11"/>
  <c r="I1294" i="11"/>
  <c r="E1294" i="11"/>
  <c r="F1294" i="11" s="1"/>
  <c r="G1295" i="11" s="1"/>
  <c r="C686" i="11"/>
  <c r="D687" i="11"/>
  <c r="B687" i="11"/>
  <c r="AV687" i="11" s="1"/>
  <c r="AU685" i="11"/>
  <c r="AT685" i="11"/>
  <c r="AS685" i="11"/>
  <c r="AR685" i="11"/>
  <c r="AN685" i="11"/>
  <c r="AO685" i="11"/>
  <c r="AP685" i="11"/>
  <c r="AJ685" i="11"/>
  <c r="AK685" i="11"/>
  <c r="AL685" i="11"/>
  <c r="AQ685" i="11"/>
  <c r="AM685" i="11"/>
  <c r="C1295" i="11"/>
  <c r="H1295" i="11"/>
  <c r="D1296" i="11"/>
  <c r="J1295" i="11"/>
  <c r="X686" i="11" l="1"/>
  <c r="Z686" i="11" s="1"/>
  <c r="BC684" i="11"/>
  <c r="AZ685" i="11"/>
  <c r="BD685" i="11" s="1"/>
  <c r="AY687" i="11"/>
  <c r="AW687" i="11"/>
  <c r="T687" i="11"/>
  <c r="E687" i="11"/>
  <c r="L687" i="11"/>
  <c r="M687" i="11"/>
  <c r="N687" i="11"/>
  <c r="U687" i="11"/>
  <c r="G687" i="11"/>
  <c r="F687" i="11"/>
  <c r="V687" i="11"/>
  <c r="A690" i="11"/>
  <c r="BA690" i="11" s="1"/>
  <c r="BB689" i="11"/>
  <c r="I1295" i="11"/>
  <c r="E1295" i="11"/>
  <c r="F1295" i="11" s="1"/>
  <c r="G1296" i="11" s="1"/>
  <c r="D688" i="11"/>
  <c r="C687" i="11"/>
  <c r="B688" i="11"/>
  <c r="AV688" i="11" s="1"/>
  <c r="AU686" i="11"/>
  <c r="AR686" i="11"/>
  <c r="AT686" i="11"/>
  <c r="AS686" i="11"/>
  <c r="AN686" i="11"/>
  <c r="AO686" i="11"/>
  <c r="AP686" i="11"/>
  <c r="AJ686" i="11"/>
  <c r="AK686" i="11"/>
  <c r="AL686" i="11"/>
  <c r="AQ686" i="11"/>
  <c r="AM686" i="11"/>
  <c r="C1296" i="11"/>
  <c r="H1296" i="11"/>
  <c r="D1297" i="11"/>
  <c r="J1296" i="11"/>
  <c r="BC685" i="11" l="1"/>
  <c r="AZ686" i="11"/>
  <c r="BD686" i="11" s="1"/>
  <c r="X687" i="11"/>
  <c r="Z687" i="11" s="1"/>
  <c r="AY688" i="11"/>
  <c r="AW688" i="11"/>
  <c r="L688" i="11"/>
  <c r="T688" i="11"/>
  <c r="E688" i="11"/>
  <c r="M688" i="11"/>
  <c r="N688" i="11"/>
  <c r="U688" i="11"/>
  <c r="F688" i="11"/>
  <c r="G688" i="11"/>
  <c r="V688" i="11"/>
  <c r="BC686" i="11"/>
  <c r="BB690" i="11"/>
  <c r="E1296" i="11"/>
  <c r="F1296" i="11" s="1"/>
  <c r="G1297" i="11" s="1"/>
  <c r="C688" i="11"/>
  <c r="D689" i="11"/>
  <c r="I1296" i="11"/>
  <c r="B689" i="11"/>
  <c r="AV689" i="11" s="1"/>
  <c r="AT687" i="11"/>
  <c r="AS687" i="11"/>
  <c r="AU687" i="11"/>
  <c r="AR687" i="11"/>
  <c r="AO687" i="11"/>
  <c r="AJ687" i="11"/>
  <c r="AK687" i="11"/>
  <c r="AQ687" i="11"/>
  <c r="AP687" i="11"/>
  <c r="AM687" i="11"/>
  <c r="AL687" i="11"/>
  <c r="AN687" i="11"/>
  <c r="C1297" i="11"/>
  <c r="H1297" i="11"/>
  <c r="D1298" i="11"/>
  <c r="J1297" i="11"/>
  <c r="X688" i="11" l="1"/>
  <c r="Z688" i="11" s="1"/>
  <c r="AZ687" i="11"/>
  <c r="BC687" i="11" s="1"/>
  <c r="AY689" i="11"/>
  <c r="AW689" i="11"/>
  <c r="L689" i="11"/>
  <c r="E689" i="11"/>
  <c r="T689" i="11"/>
  <c r="N689" i="11"/>
  <c r="M689" i="11"/>
  <c r="U689" i="11"/>
  <c r="F689" i="11"/>
  <c r="G689" i="11"/>
  <c r="V689" i="11"/>
  <c r="C689" i="11"/>
  <c r="D690" i="11"/>
  <c r="AW690" i="11" s="1"/>
  <c r="I1297" i="11"/>
  <c r="E1297" i="11"/>
  <c r="F1297" i="11" s="1"/>
  <c r="G1298" i="11" s="1"/>
  <c r="B690" i="11"/>
  <c r="AV690" i="11" s="1"/>
  <c r="AU688" i="11"/>
  <c r="AT688" i="11"/>
  <c r="AS688" i="11"/>
  <c r="AR688" i="11"/>
  <c r="AK688" i="11"/>
  <c r="AQ688" i="11"/>
  <c r="AP688" i="11"/>
  <c r="AM688" i="11"/>
  <c r="AO688" i="11"/>
  <c r="AJ688" i="11"/>
  <c r="AL688" i="11"/>
  <c r="AN688" i="11"/>
  <c r="C1298" i="11"/>
  <c r="H1298" i="11"/>
  <c r="D1299" i="11"/>
  <c r="J1298" i="11"/>
  <c r="X689" i="11" l="1"/>
  <c r="Z689" i="11" s="1"/>
  <c r="BD687" i="11"/>
  <c r="AZ688" i="11"/>
  <c r="BC688" i="11" s="1"/>
  <c r="U690" i="11"/>
  <c r="T690" i="11"/>
  <c r="V690" i="11"/>
  <c r="C690" i="11"/>
  <c r="AJ690" i="11" s="1"/>
  <c r="AY690" i="11"/>
  <c r="I1298" i="11"/>
  <c r="E1298" i="11"/>
  <c r="F1298" i="11" s="1"/>
  <c r="G1299" i="11" s="1"/>
  <c r="AU689" i="11"/>
  <c r="AS689" i="11"/>
  <c r="AT689" i="11"/>
  <c r="AR689" i="11"/>
  <c r="AK689" i="11"/>
  <c r="AQ689" i="11"/>
  <c r="AP689" i="11"/>
  <c r="AM689" i="11"/>
  <c r="AO689" i="11"/>
  <c r="AJ689" i="11"/>
  <c r="AL689" i="11"/>
  <c r="AN689" i="11"/>
  <c r="C1299" i="11"/>
  <c r="H1299" i="11"/>
  <c r="D1300" i="11"/>
  <c r="J1299" i="11"/>
  <c r="AZ689" i="11" l="1"/>
  <c r="BD688" i="11"/>
  <c r="X690" i="11"/>
  <c r="Z690" i="11" s="1"/>
  <c r="AA690" i="11" a="1"/>
  <c r="AA690" i="11" s="1"/>
  <c r="AH690" i="11" s="1"/>
  <c r="AN690" i="11"/>
  <c r="AP690" i="11"/>
  <c r="AK690" i="11"/>
  <c r="AT690" i="11"/>
  <c r="J28" i="11"/>
  <c r="J29" i="11"/>
  <c r="J31" i="11"/>
  <c r="J30" i="11"/>
  <c r="AM690" i="11"/>
  <c r="AL690" i="11"/>
  <c r="AU690" i="11"/>
  <c r="AS690" i="11"/>
  <c r="AQ690" i="11"/>
  <c r="AO690" i="11"/>
  <c r="AR690" i="11"/>
  <c r="J20" i="11"/>
  <c r="J21" i="11"/>
  <c r="J22" i="11"/>
  <c r="J23" i="11"/>
  <c r="J24" i="11"/>
  <c r="J25" i="11"/>
  <c r="J26" i="11"/>
  <c r="J27" i="11"/>
  <c r="J32" i="11"/>
  <c r="BC689" i="11"/>
  <c r="BD689" i="11"/>
  <c r="I1299" i="11"/>
  <c r="E1299" i="11"/>
  <c r="F1299" i="11" s="1"/>
  <c r="G1300" i="11" s="1"/>
  <c r="D28" i="11"/>
  <c r="D29" i="11"/>
  <c r="D31" i="11"/>
  <c r="D30" i="11"/>
  <c r="C1300" i="11"/>
  <c r="H1300" i="11"/>
  <c r="D1301" i="11"/>
  <c r="J1300" i="11"/>
  <c r="AZ690" i="11" l="1"/>
  <c r="BD690" i="11" s="1"/>
  <c r="K51" i="17"/>
  <c r="K61" i="17"/>
  <c r="K58" i="17"/>
  <c r="K62" i="17"/>
  <c r="K54" i="17"/>
  <c r="K50" i="17"/>
  <c r="K59" i="17"/>
  <c r="K14" i="17"/>
  <c r="K14" i="21"/>
  <c r="K57" i="17"/>
  <c r="K53" i="17"/>
  <c r="K55" i="17"/>
  <c r="K16" i="17"/>
  <c r="K16" i="21"/>
  <c r="K17" i="17"/>
  <c r="K17" i="21"/>
  <c r="K15" i="17"/>
  <c r="K15" i="21"/>
  <c r="K56" i="17"/>
  <c r="K52" i="17"/>
  <c r="K60" i="17"/>
  <c r="I1300" i="11"/>
  <c r="E1300" i="11"/>
  <c r="F1300" i="11" s="1"/>
  <c r="G1301" i="11" s="1"/>
  <c r="D20" i="11"/>
  <c r="D21" i="11"/>
  <c r="D23" i="11"/>
  <c r="D24" i="11"/>
  <c r="D22" i="11"/>
  <c r="D25" i="11"/>
  <c r="D26" i="11"/>
  <c r="D27" i="11"/>
  <c r="D32" i="11"/>
  <c r="C1301" i="11"/>
  <c r="J1301" i="11"/>
  <c r="D1302" i="11"/>
  <c r="H1301" i="11"/>
  <c r="BC690" i="11" l="1"/>
  <c r="K18" i="17"/>
  <c r="K18" i="21"/>
  <c r="K12" i="17"/>
  <c r="K12" i="21"/>
  <c r="K9" i="17"/>
  <c r="K9" i="21"/>
  <c r="K11" i="17"/>
  <c r="K11" i="21"/>
  <c r="K7" i="17"/>
  <c r="K7" i="21"/>
  <c r="K8" i="17"/>
  <c r="K8" i="21"/>
  <c r="K6" i="17"/>
  <c r="K6" i="21"/>
  <c r="K13" i="17"/>
  <c r="K13" i="21"/>
  <c r="K10" i="17"/>
  <c r="K10" i="21"/>
  <c r="I1301" i="11"/>
  <c r="E1301" i="11"/>
  <c r="F1301" i="11" s="1"/>
  <c r="G1302" i="11" s="1"/>
  <c r="C1302" i="11"/>
  <c r="J1302" i="11"/>
  <c r="D1303" i="11"/>
  <c r="H1302" i="11"/>
  <c r="E1302" i="11" l="1"/>
  <c r="F1302" i="11" s="1"/>
  <c r="G1303" i="11" s="1"/>
  <c r="I1302" i="11"/>
  <c r="C1303" i="11"/>
  <c r="J1303" i="11"/>
  <c r="D1304" i="11"/>
  <c r="H1303" i="11"/>
  <c r="E1303" i="11" l="1"/>
  <c r="F1303" i="11" s="1"/>
  <c r="G1304" i="11" s="1"/>
  <c r="I1303" i="11"/>
  <c r="C1304" i="11"/>
  <c r="J1304" i="11"/>
  <c r="D1305" i="11"/>
  <c r="H1304" i="11"/>
  <c r="I1304" i="11" l="1"/>
  <c r="E1304" i="11"/>
  <c r="F1304" i="11" s="1"/>
  <c r="G1305" i="11" s="1"/>
  <c r="C1305" i="11"/>
  <c r="J1305" i="11"/>
  <c r="D1306" i="11"/>
  <c r="H1305" i="11"/>
  <c r="E1305" i="11" l="1"/>
  <c r="F1305" i="11" s="1"/>
  <c r="G1306" i="11" s="1"/>
  <c r="I1305" i="11"/>
  <c r="C1306" i="11"/>
  <c r="J1306" i="11"/>
  <c r="D1307" i="11"/>
  <c r="H1306" i="11"/>
  <c r="I1306" i="11" l="1"/>
  <c r="E1306" i="11"/>
  <c r="F1306" i="11" s="1"/>
  <c r="G1307" i="11" s="1"/>
  <c r="C1307" i="11"/>
  <c r="J1307" i="11"/>
  <c r="D1308" i="11"/>
  <c r="H1307" i="11"/>
  <c r="E1307" i="11" l="1"/>
  <c r="F1307" i="11" s="1"/>
  <c r="G1308" i="11" s="1"/>
  <c r="I1307" i="11"/>
  <c r="C1308" i="11"/>
  <c r="J1308" i="11"/>
  <c r="D1309" i="11"/>
  <c r="H1308" i="11"/>
  <c r="E1308" i="11" l="1"/>
  <c r="F1308" i="11" s="1"/>
  <c r="G1309" i="11" s="1"/>
  <c r="I1308" i="11"/>
  <c r="C1309" i="11"/>
  <c r="J1309" i="11"/>
  <c r="D1310" i="11"/>
  <c r="H1309" i="11"/>
  <c r="I1309" i="11" l="1"/>
  <c r="E1309" i="11"/>
  <c r="F1309" i="11" s="1"/>
  <c r="G1310" i="11" s="1"/>
  <c r="C1310" i="11"/>
  <c r="J1310" i="11"/>
  <c r="D1311" i="11"/>
  <c r="H1310" i="11"/>
  <c r="E1310" i="11" l="1"/>
  <c r="F1310" i="11" s="1"/>
  <c r="G1311" i="11" s="1"/>
  <c r="I1310" i="11"/>
  <c r="C1311" i="11"/>
  <c r="J1311" i="11"/>
  <c r="D1312" i="11"/>
  <c r="H1311" i="11"/>
  <c r="E1311" i="11" l="1"/>
  <c r="F1311" i="11" s="1"/>
  <c r="G1312" i="11" s="1"/>
  <c r="I1311" i="11"/>
  <c r="C1312" i="11"/>
  <c r="J1312" i="11"/>
  <c r="D1313" i="11"/>
  <c r="H1312" i="11"/>
  <c r="E1312" i="11" l="1"/>
  <c r="F1312" i="11" s="1"/>
  <c r="G1313" i="11" s="1"/>
  <c r="I1312" i="11"/>
  <c r="C1313" i="11"/>
  <c r="J1313" i="11"/>
  <c r="D1314" i="11"/>
  <c r="H1313" i="11"/>
  <c r="E1313" i="11" l="1"/>
  <c r="F1313" i="11" s="1"/>
  <c r="G1314" i="11" s="1"/>
  <c r="I1313" i="11"/>
  <c r="C1314" i="11"/>
  <c r="J1314" i="11"/>
  <c r="D1315" i="11"/>
  <c r="H1314" i="11"/>
  <c r="E1314" i="11" l="1"/>
  <c r="F1314" i="11" s="1"/>
  <c r="G1315" i="11" s="1"/>
  <c r="I1314" i="11"/>
  <c r="J1315" i="11"/>
  <c r="D1316" i="11"/>
  <c r="C1315" i="11"/>
  <c r="H1315" i="11"/>
  <c r="E1315" i="11" l="1"/>
  <c r="F1315" i="11" s="1"/>
  <c r="G1316" i="11" s="1"/>
  <c r="I1315" i="11"/>
  <c r="J1316" i="11"/>
  <c r="H1316" i="11"/>
  <c r="C1316" i="11"/>
  <c r="D1317" i="11"/>
  <c r="I1316" i="11" l="1"/>
  <c r="E1316" i="11"/>
  <c r="F1316" i="11" s="1"/>
  <c r="G1317" i="11" s="1"/>
  <c r="J1317" i="11"/>
  <c r="D1318" i="11"/>
  <c r="H1317" i="11"/>
  <c r="C1317" i="11"/>
  <c r="I1317" i="11" l="1"/>
  <c r="E1317" i="11"/>
  <c r="F1317" i="11" s="1"/>
  <c r="G1318" i="11" s="1"/>
  <c r="J1318" i="11"/>
  <c r="H1318" i="11"/>
  <c r="C1318" i="11"/>
  <c r="D1319" i="11"/>
  <c r="E1318" i="11" l="1"/>
  <c r="F1318" i="11" s="1"/>
  <c r="G1319" i="11" s="1"/>
  <c r="I1318" i="11"/>
  <c r="J1319" i="11"/>
  <c r="D1320" i="11"/>
  <c r="C1319" i="11"/>
  <c r="H1319" i="11"/>
  <c r="E1319" i="11" l="1"/>
  <c r="F1319" i="11" s="1"/>
  <c r="G1320" i="11" s="1"/>
  <c r="I1319" i="11"/>
  <c r="J1320" i="11"/>
  <c r="H1320" i="11"/>
  <c r="C1320" i="11"/>
  <c r="D1321" i="11"/>
  <c r="E1320" i="11" l="1"/>
  <c r="F1320" i="11" s="1"/>
  <c r="G1321" i="11" s="1"/>
  <c r="I1320" i="11"/>
  <c r="J1321" i="11"/>
  <c r="D1322" i="11"/>
  <c r="H1321" i="11"/>
  <c r="C1321" i="11"/>
  <c r="I1321" i="11" l="1"/>
  <c r="E1321" i="11"/>
  <c r="F1321" i="11" s="1"/>
  <c r="G1322" i="11" s="1"/>
  <c r="J1322" i="11"/>
  <c r="D1323" i="11"/>
  <c r="H1322" i="11"/>
  <c r="C1322" i="11"/>
  <c r="I1322" i="11" l="1"/>
  <c r="E1322" i="11"/>
  <c r="F1322" i="11" s="1"/>
  <c r="G1323" i="11" s="1"/>
  <c r="J1323" i="11"/>
  <c r="D1324" i="11"/>
  <c r="H1323" i="11"/>
  <c r="C1323" i="11"/>
  <c r="I1323" i="11" l="1"/>
  <c r="E1323" i="11"/>
  <c r="F1323" i="11" s="1"/>
  <c r="G1324" i="11" s="1"/>
  <c r="J1324" i="11"/>
  <c r="D1325" i="11"/>
  <c r="H1324" i="11"/>
  <c r="C1324" i="11"/>
  <c r="I1324" i="11" l="1"/>
  <c r="E1324" i="11"/>
  <c r="F1324" i="11" s="1"/>
  <c r="G1325" i="11" s="1"/>
  <c r="J1325" i="11"/>
  <c r="D1326" i="11"/>
  <c r="H1325" i="11"/>
  <c r="C1325" i="11"/>
  <c r="E1325" i="11" l="1"/>
  <c r="F1325" i="11" s="1"/>
  <c r="G1326" i="11" s="1"/>
  <c r="I1325" i="11"/>
  <c r="J1326" i="11"/>
  <c r="D1327" i="11"/>
  <c r="H1326" i="11"/>
  <c r="C1326" i="11"/>
  <c r="I1326" i="11" l="1"/>
  <c r="E1326" i="11"/>
  <c r="F1326" i="11" s="1"/>
  <c r="G1327" i="11" s="1"/>
  <c r="J1327" i="11"/>
  <c r="D1328" i="11"/>
  <c r="H1327" i="11"/>
  <c r="C1327" i="11"/>
  <c r="I1327" i="11" l="1"/>
  <c r="E1327" i="11"/>
  <c r="F1327" i="11" s="1"/>
  <c r="G1328" i="11" s="1"/>
  <c r="J1328" i="11"/>
  <c r="D1329" i="11"/>
  <c r="H1328" i="11"/>
  <c r="C1328" i="11"/>
  <c r="E1328" i="11" l="1"/>
  <c r="F1328" i="11" s="1"/>
  <c r="G1329" i="11" s="1"/>
  <c r="I1328" i="11"/>
  <c r="J1329" i="11"/>
  <c r="D1330" i="11"/>
  <c r="H1329" i="11"/>
  <c r="C1329" i="11"/>
  <c r="E1329" i="11" l="1"/>
  <c r="F1329" i="11" s="1"/>
  <c r="G1330" i="11" s="1"/>
  <c r="I1329" i="11"/>
  <c r="J1330" i="11"/>
  <c r="D1331" i="11"/>
  <c r="H1330" i="11"/>
  <c r="C1330" i="11"/>
  <c r="E1330" i="11" l="1"/>
  <c r="F1330" i="11" s="1"/>
  <c r="G1331" i="11" s="1"/>
  <c r="I1330" i="11"/>
  <c r="J1331" i="11"/>
  <c r="D1332" i="11"/>
  <c r="H1331" i="11"/>
  <c r="C1331" i="11"/>
  <c r="E1331" i="11" l="1"/>
  <c r="F1331" i="11" s="1"/>
  <c r="G1332" i="11" s="1"/>
  <c r="I1331" i="11"/>
  <c r="J1332" i="11"/>
  <c r="D1333" i="11"/>
  <c r="H1332" i="11"/>
  <c r="C1332" i="11"/>
  <c r="I1332" i="11" l="1"/>
  <c r="E1332" i="11"/>
  <c r="F1332" i="11" s="1"/>
  <c r="G1333" i="11" s="1"/>
  <c r="J1333" i="11"/>
  <c r="D1334" i="11"/>
  <c r="H1333" i="11"/>
  <c r="C1333" i="11"/>
  <c r="E1333" i="11" l="1"/>
  <c r="F1333" i="11" s="1"/>
  <c r="G1334" i="11" s="1"/>
  <c r="I1333" i="11"/>
  <c r="J1334" i="11"/>
  <c r="D1335" i="11"/>
  <c r="H1334" i="11"/>
  <c r="C1334" i="11"/>
  <c r="I1334" i="11" l="1"/>
  <c r="E1334" i="11"/>
  <c r="F1334" i="11" s="1"/>
  <c r="G1335" i="11" s="1"/>
  <c r="J1335" i="11"/>
  <c r="D1336" i="11"/>
  <c r="H1335" i="11"/>
  <c r="C1335" i="11"/>
  <c r="I1335" i="11" l="1"/>
  <c r="E1335" i="11"/>
  <c r="F1335" i="11" s="1"/>
  <c r="G1336" i="11" s="1"/>
  <c r="J1336" i="11"/>
  <c r="D1337" i="11"/>
  <c r="H1336" i="11"/>
  <c r="C1336" i="11"/>
  <c r="I1336" i="11" l="1"/>
  <c r="E1336" i="11"/>
  <c r="F1336" i="11" s="1"/>
  <c r="G1337" i="11" s="1"/>
  <c r="J1337" i="11"/>
  <c r="D1338" i="11"/>
  <c r="H1337" i="11"/>
  <c r="C1337" i="11"/>
  <c r="I1337" i="11" l="1"/>
  <c r="E1337" i="11"/>
  <c r="F1337" i="11" s="1"/>
  <c r="G1338" i="11" s="1"/>
  <c r="J1338" i="11"/>
  <c r="D1339" i="11"/>
  <c r="H1338" i="11"/>
  <c r="C1338" i="11"/>
  <c r="I1338" i="11" l="1"/>
  <c r="E1338" i="11"/>
  <c r="F1338" i="11" s="1"/>
  <c r="G1339" i="11" s="1"/>
  <c r="J1339" i="11"/>
  <c r="D1340" i="11"/>
  <c r="H1339" i="11"/>
  <c r="C1339" i="11"/>
  <c r="I1339" i="11" l="1"/>
  <c r="E1339" i="11"/>
  <c r="F1339" i="11" s="1"/>
  <c r="G1340" i="11" s="1"/>
  <c r="J1340" i="11"/>
  <c r="D1341" i="11"/>
  <c r="H1340" i="11"/>
  <c r="C1340" i="11"/>
  <c r="E1340" i="11" l="1"/>
  <c r="F1340" i="11" s="1"/>
  <c r="G1341" i="11" s="1"/>
  <c r="I1340" i="11"/>
  <c r="J1341" i="11"/>
  <c r="D1342" i="11"/>
  <c r="H1341" i="11"/>
  <c r="C1341" i="11"/>
  <c r="I1341" i="11" l="1"/>
  <c r="E1341" i="11"/>
  <c r="F1341" i="11" s="1"/>
  <c r="G1342" i="11" s="1"/>
  <c r="J1342" i="11"/>
  <c r="D1343" i="11"/>
  <c r="H1342" i="11"/>
  <c r="C1342" i="11"/>
  <c r="I1342" i="11" l="1"/>
  <c r="E1342" i="11"/>
  <c r="F1342" i="11" s="1"/>
  <c r="G1343" i="11" s="1"/>
  <c r="J1343" i="11"/>
  <c r="D1344" i="11"/>
  <c r="H1343" i="11"/>
  <c r="C1343" i="11"/>
  <c r="I1343" i="11" l="1"/>
  <c r="E1343" i="11"/>
  <c r="F1343" i="11" s="1"/>
  <c r="G1344" i="11" s="1"/>
  <c r="J1344" i="11"/>
  <c r="D1345" i="11"/>
  <c r="H1344" i="11"/>
  <c r="C1344" i="11"/>
  <c r="I1344" i="11" l="1"/>
  <c r="E1344" i="11"/>
  <c r="F1344" i="11" s="1"/>
  <c r="G1345" i="11" s="1"/>
  <c r="J1345" i="11"/>
  <c r="D1346" i="11"/>
  <c r="H1345" i="11"/>
  <c r="C1345" i="11"/>
  <c r="I1345" i="11" l="1"/>
  <c r="E1345" i="11"/>
  <c r="F1345" i="11" s="1"/>
  <c r="G1346" i="11" s="1"/>
  <c r="J1346" i="11"/>
  <c r="D1347" i="11"/>
  <c r="H1346" i="11"/>
  <c r="C1346" i="11"/>
  <c r="E1346" i="11" l="1"/>
  <c r="F1346" i="11" s="1"/>
  <c r="G1347" i="11" s="1"/>
  <c r="I1346" i="11"/>
  <c r="J1347" i="11"/>
  <c r="D1348" i="11"/>
  <c r="H1347" i="11"/>
  <c r="C1347" i="11"/>
  <c r="I1347" i="11" l="1"/>
  <c r="E1347" i="11"/>
  <c r="F1347" i="11" s="1"/>
  <c r="G1348" i="11" s="1"/>
  <c r="J1348" i="11"/>
  <c r="D1349" i="11"/>
  <c r="H1348" i="11"/>
  <c r="C1348" i="11"/>
  <c r="E1348" i="11" l="1"/>
  <c r="F1348" i="11" s="1"/>
  <c r="G1349" i="11" s="1"/>
  <c r="I1348" i="11"/>
  <c r="J1349" i="11"/>
  <c r="D1350" i="11"/>
  <c r="H1349" i="11"/>
  <c r="C1349" i="11"/>
  <c r="E1349" i="11" l="1"/>
  <c r="F1349" i="11" s="1"/>
  <c r="G1350" i="11" s="1"/>
  <c r="I1349" i="11"/>
  <c r="J1350" i="11"/>
  <c r="D1351" i="11"/>
  <c r="H1350" i="11"/>
  <c r="C1350" i="11"/>
  <c r="I1350" i="11" l="1"/>
  <c r="E1350" i="11"/>
  <c r="F1350" i="11" s="1"/>
  <c r="G1351" i="11" s="1"/>
  <c r="J1351" i="11"/>
  <c r="D1352" i="11"/>
  <c r="H1351" i="11"/>
  <c r="C1351" i="11"/>
  <c r="E1351" i="11" l="1"/>
  <c r="F1351" i="11" s="1"/>
  <c r="G1352" i="11" s="1"/>
  <c r="I1351" i="11"/>
  <c r="J1352" i="11"/>
  <c r="D1353" i="11"/>
  <c r="H1352" i="11"/>
  <c r="C1352" i="11"/>
  <c r="E1352" i="11" l="1"/>
  <c r="F1352" i="11" s="1"/>
  <c r="G1353" i="11" s="1"/>
  <c r="I1352" i="11"/>
  <c r="J1353" i="11"/>
  <c r="D1354" i="11"/>
  <c r="H1353" i="11"/>
  <c r="C1353" i="11"/>
  <c r="E1353" i="11" l="1"/>
  <c r="F1353" i="11" s="1"/>
  <c r="G1354" i="11" s="1"/>
  <c r="I1353" i="11"/>
  <c r="J1354" i="11"/>
  <c r="D1355" i="11"/>
  <c r="H1354" i="11"/>
  <c r="C1354" i="11"/>
  <c r="I1354" i="11" l="1"/>
  <c r="E1354" i="11"/>
  <c r="F1354" i="11" s="1"/>
  <c r="G1355" i="11" s="1"/>
  <c r="J1355" i="11"/>
  <c r="D1356" i="11"/>
  <c r="H1355" i="11"/>
  <c r="C1355" i="11"/>
  <c r="E1355" i="11" l="1"/>
  <c r="F1355" i="11" s="1"/>
  <c r="G1356" i="11" s="1"/>
  <c r="I1355" i="11"/>
  <c r="J1356" i="11"/>
  <c r="D1357" i="11"/>
  <c r="H1356" i="11"/>
  <c r="C1356" i="11"/>
  <c r="E1356" i="11" l="1"/>
  <c r="F1356" i="11" s="1"/>
  <c r="G1357" i="11" s="1"/>
  <c r="I1356" i="11"/>
  <c r="J1357" i="11"/>
  <c r="H1357" i="11"/>
  <c r="C1357" i="11"/>
  <c r="E1357" i="11" l="1"/>
  <c r="F1357" i="11" s="1"/>
  <c r="I1357" i="11"/>
  <c r="C52" i="11" s="1"/>
  <c r="Z1001" i="16" l="1"/>
  <c r="AA1001" i="16" s="1"/>
  <c r="J17" i="16"/>
  <c r="K17" i="16" s="1"/>
  <c r="J18" i="16"/>
  <c r="K18" i="16" s="1"/>
  <c r="J19" i="16"/>
  <c r="K19" i="16" s="1"/>
  <c r="J20" i="16"/>
  <c r="K20" i="16" s="1"/>
  <c r="J27" i="16"/>
  <c r="K27" i="16" s="1"/>
  <c r="J39" i="16"/>
  <c r="K39" i="16" s="1"/>
  <c r="J66" i="16"/>
  <c r="K66" i="16" s="1"/>
  <c r="J72" i="16"/>
  <c r="K72" i="16" s="1"/>
  <c r="J78" i="16"/>
  <c r="K78" i="16" s="1"/>
  <c r="J84" i="16"/>
  <c r="K84" i="16" s="1"/>
  <c r="J92" i="16"/>
  <c r="K92" i="16" s="1"/>
  <c r="J100" i="16"/>
  <c r="K100" i="16" s="1"/>
  <c r="J107" i="16"/>
  <c r="K107" i="16" s="1"/>
  <c r="J109" i="16"/>
  <c r="K109" i="16" s="1"/>
  <c r="J115" i="16"/>
  <c r="K115" i="16" s="1"/>
  <c r="J125" i="16"/>
  <c r="K125" i="16" s="1"/>
  <c r="J131" i="16"/>
  <c r="K131" i="16" s="1"/>
  <c r="J133" i="16"/>
  <c r="K133" i="16" s="1"/>
  <c r="J139" i="16"/>
  <c r="K139" i="16" s="1"/>
  <c r="J143" i="16"/>
  <c r="K143" i="16" s="1"/>
  <c r="J145" i="16"/>
  <c r="K145" i="16" s="1"/>
  <c r="J22" i="16"/>
  <c r="K22" i="16" s="1"/>
  <c r="J26" i="16"/>
  <c r="K26" i="16" s="1"/>
  <c r="J30" i="16"/>
  <c r="K30" i="16" s="1"/>
  <c r="J34" i="16"/>
  <c r="K34" i="16" s="1"/>
  <c r="J38" i="16"/>
  <c r="K38" i="16" s="1"/>
  <c r="J42" i="16"/>
  <c r="K42" i="16" s="1"/>
  <c r="J46" i="16"/>
  <c r="K46" i="16" s="1"/>
  <c r="J50" i="16"/>
  <c r="K50" i="16" s="1"/>
  <c r="J54" i="16"/>
  <c r="K54" i="16" s="1"/>
  <c r="J58" i="16"/>
  <c r="K58" i="16" s="1"/>
  <c r="J62" i="16"/>
  <c r="K62" i="16" s="1"/>
  <c r="J31" i="16"/>
  <c r="K31" i="16" s="1"/>
  <c r="J47" i="16"/>
  <c r="K47" i="16" s="1"/>
  <c r="J55" i="16"/>
  <c r="K55" i="16" s="1"/>
  <c r="J64" i="16"/>
  <c r="K64" i="16" s="1"/>
  <c r="J70" i="16"/>
  <c r="K70" i="16" s="1"/>
  <c r="J74" i="16"/>
  <c r="K74" i="16" s="1"/>
  <c r="J80" i="16"/>
  <c r="K80" i="16" s="1"/>
  <c r="J86" i="16"/>
  <c r="K86" i="16" s="1"/>
  <c r="J90" i="16"/>
  <c r="K90" i="16" s="1"/>
  <c r="J98" i="16"/>
  <c r="K98" i="16" s="1"/>
  <c r="J102" i="16"/>
  <c r="K102" i="16" s="1"/>
  <c r="J111" i="16"/>
  <c r="K111" i="16" s="1"/>
  <c r="J117" i="16"/>
  <c r="K117" i="16" s="1"/>
  <c r="J123" i="16"/>
  <c r="K123" i="16" s="1"/>
  <c r="J127" i="16"/>
  <c r="K127" i="16" s="1"/>
  <c r="J135" i="16"/>
  <c r="K135" i="16" s="1"/>
  <c r="J141" i="16"/>
  <c r="K141" i="16" s="1"/>
  <c r="J21" i="16"/>
  <c r="K21" i="16" s="1"/>
  <c r="J29" i="16"/>
  <c r="K29" i="16" s="1"/>
  <c r="J37" i="16"/>
  <c r="K37" i="16" s="1"/>
  <c r="J45" i="16"/>
  <c r="K45" i="16" s="1"/>
  <c r="J53" i="16"/>
  <c r="K53" i="16" s="1"/>
  <c r="J65" i="16"/>
  <c r="K65" i="16" s="1"/>
  <c r="J69" i="16"/>
  <c r="K69" i="16" s="1"/>
  <c r="J73" i="16"/>
  <c r="K73" i="16" s="1"/>
  <c r="J75" i="16"/>
  <c r="K75" i="16" s="1"/>
  <c r="J77" i="16"/>
  <c r="K77" i="16" s="1"/>
  <c r="J79" i="16"/>
  <c r="K79" i="16" s="1"/>
  <c r="J81" i="16"/>
  <c r="K81" i="16" s="1"/>
  <c r="J83" i="16"/>
  <c r="K83" i="16" s="1"/>
  <c r="J85" i="16"/>
  <c r="K85" i="16" s="1"/>
  <c r="J87" i="16"/>
  <c r="K87" i="16" s="1"/>
  <c r="J89" i="16"/>
  <c r="K89" i="16" s="1"/>
  <c r="J91" i="16"/>
  <c r="K91" i="16" s="1"/>
  <c r="J93" i="16"/>
  <c r="K93" i="16" s="1"/>
  <c r="J95" i="16"/>
  <c r="K95" i="16" s="1"/>
  <c r="J97" i="16"/>
  <c r="K97" i="16" s="1"/>
  <c r="J99" i="16"/>
  <c r="K99" i="16" s="1"/>
  <c r="J101" i="16"/>
  <c r="K101" i="16" s="1"/>
  <c r="J103" i="16"/>
  <c r="K103" i="16" s="1"/>
  <c r="J106" i="16"/>
  <c r="K106" i="16" s="1"/>
  <c r="J108" i="16"/>
  <c r="K108" i="16" s="1"/>
  <c r="J110" i="16"/>
  <c r="K110" i="16" s="1"/>
  <c r="J112" i="16"/>
  <c r="K112" i="16" s="1"/>
  <c r="J114" i="16"/>
  <c r="K114" i="16" s="1"/>
  <c r="J116" i="16"/>
  <c r="K116" i="16" s="1"/>
  <c r="J118" i="16"/>
  <c r="K118" i="16" s="1"/>
  <c r="J120" i="16"/>
  <c r="K120" i="16" s="1"/>
  <c r="J122" i="16"/>
  <c r="K122" i="16" s="1"/>
  <c r="J124" i="16"/>
  <c r="K124" i="16" s="1"/>
  <c r="J126" i="16"/>
  <c r="K126" i="16" s="1"/>
  <c r="J128" i="16"/>
  <c r="K128" i="16" s="1"/>
  <c r="J130" i="16"/>
  <c r="K130" i="16" s="1"/>
  <c r="J132" i="16"/>
  <c r="K132" i="16" s="1"/>
  <c r="J134" i="16"/>
  <c r="K134" i="16" s="1"/>
  <c r="J136" i="16"/>
  <c r="K136" i="16" s="1"/>
  <c r="J138" i="16"/>
  <c r="K138" i="16" s="1"/>
  <c r="J140" i="16"/>
  <c r="K140" i="16" s="1"/>
  <c r="J142" i="16"/>
  <c r="K142" i="16" s="1"/>
  <c r="J144" i="16"/>
  <c r="K144" i="16" s="1"/>
  <c r="J146" i="16"/>
  <c r="K146" i="16" s="1"/>
  <c r="J23" i="16"/>
  <c r="K23" i="16" s="1"/>
  <c r="J35" i="16"/>
  <c r="K35" i="16" s="1"/>
  <c r="J43" i="16"/>
  <c r="K43" i="16" s="1"/>
  <c r="J51" i="16"/>
  <c r="K51" i="16" s="1"/>
  <c r="J59" i="16"/>
  <c r="K59" i="16" s="1"/>
  <c r="J68" i="16"/>
  <c r="K68" i="16" s="1"/>
  <c r="J76" i="16"/>
  <c r="K76" i="16" s="1"/>
  <c r="J82" i="16"/>
  <c r="K82" i="16" s="1"/>
  <c r="J88" i="16"/>
  <c r="K88" i="16" s="1"/>
  <c r="J94" i="16"/>
  <c r="K94" i="16" s="1"/>
  <c r="J96" i="16"/>
  <c r="K96" i="16" s="1"/>
  <c r="J104" i="16"/>
  <c r="K104" i="16" s="1"/>
  <c r="J113" i="16"/>
  <c r="K113" i="16" s="1"/>
  <c r="J119" i="16"/>
  <c r="K119" i="16" s="1"/>
  <c r="J121" i="16"/>
  <c r="K121" i="16" s="1"/>
  <c r="J129" i="16"/>
  <c r="K129" i="16" s="1"/>
  <c r="J137" i="16"/>
  <c r="K137" i="16" s="1"/>
  <c r="J25" i="16"/>
  <c r="K25" i="16" s="1"/>
  <c r="J33" i="16"/>
  <c r="K33" i="16" s="1"/>
  <c r="J41" i="16"/>
  <c r="K41" i="16" s="1"/>
  <c r="J49" i="16"/>
  <c r="K49" i="16" s="1"/>
  <c r="J57" i="16"/>
  <c r="K57" i="16" s="1"/>
  <c r="J61" i="16"/>
  <c r="K61" i="16" s="1"/>
  <c r="J67" i="16"/>
  <c r="K67" i="16" s="1"/>
  <c r="J71" i="16"/>
  <c r="K71" i="16" s="1"/>
  <c r="J24" i="16"/>
  <c r="K24" i="16" s="1"/>
  <c r="J28" i="16"/>
  <c r="K28" i="16" s="1"/>
  <c r="J32" i="16"/>
  <c r="K32" i="16" s="1"/>
  <c r="J36" i="16"/>
  <c r="K36" i="16" s="1"/>
  <c r="J40" i="16"/>
  <c r="K40" i="16" s="1"/>
  <c r="J44" i="16"/>
  <c r="K44" i="16" s="1"/>
  <c r="J48" i="16"/>
  <c r="K48" i="16" s="1"/>
  <c r="J52" i="16"/>
  <c r="K52" i="16" s="1"/>
  <c r="J56" i="16"/>
  <c r="K56" i="16" s="1"/>
  <c r="J60" i="16"/>
  <c r="K60" i="16" s="1"/>
  <c r="J535" i="16"/>
  <c r="K535" i="16" s="1"/>
  <c r="J523" i="16"/>
  <c r="K523" i="16" s="1"/>
  <c r="J511" i="16"/>
  <c r="K511" i="16" s="1"/>
  <c r="J499" i="16"/>
  <c r="K499" i="16" s="1"/>
  <c r="J487" i="16"/>
  <c r="K487" i="16" s="1"/>
  <c r="J475" i="16"/>
  <c r="K475" i="16" s="1"/>
  <c r="J463" i="16"/>
  <c r="K463" i="16" s="1"/>
  <c r="J447" i="16"/>
  <c r="K447" i="16" s="1"/>
  <c r="J435" i="16"/>
  <c r="K435" i="16" s="1"/>
  <c r="J423" i="16"/>
  <c r="K423" i="16" s="1"/>
  <c r="J411" i="16"/>
  <c r="K411" i="16" s="1"/>
  <c r="J399" i="16"/>
  <c r="K399" i="16" s="1"/>
  <c r="J387" i="16"/>
  <c r="K387" i="16" s="1"/>
  <c r="J375" i="16"/>
  <c r="K375" i="16" s="1"/>
  <c r="J363" i="16"/>
  <c r="K363" i="16" s="1"/>
  <c r="J351" i="16"/>
  <c r="K351" i="16" s="1"/>
  <c r="J339" i="16"/>
  <c r="K339" i="16" s="1"/>
  <c r="J327" i="16"/>
  <c r="K327" i="16" s="1"/>
  <c r="J315" i="16"/>
  <c r="K315" i="16" s="1"/>
  <c r="J303" i="16"/>
  <c r="K303" i="16" s="1"/>
  <c r="J291" i="16"/>
  <c r="K291" i="16" s="1"/>
  <c r="J279" i="16"/>
  <c r="K279" i="16" s="1"/>
  <c r="J267" i="16"/>
  <c r="K267" i="16" s="1"/>
  <c r="J255" i="16"/>
  <c r="K255" i="16" s="1"/>
  <c r="J243" i="16"/>
  <c r="K243" i="16" s="1"/>
  <c r="J227" i="16"/>
  <c r="K227" i="16" s="1"/>
  <c r="J215" i="16"/>
  <c r="K215" i="16" s="1"/>
  <c r="J203" i="16"/>
  <c r="K203" i="16" s="1"/>
  <c r="J191" i="16"/>
  <c r="K191" i="16" s="1"/>
  <c r="J179" i="16"/>
  <c r="K179" i="16" s="1"/>
  <c r="J163" i="16"/>
  <c r="K163" i="16" s="1"/>
  <c r="J151" i="16"/>
  <c r="K151" i="16" s="1"/>
  <c r="J1084" i="16"/>
  <c r="K1084" i="16" s="1"/>
  <c r="J1072" i="16"/>
  <c r="K1072" i="16" s="1"/>
  <c r="J1060" i="16"/>
  <c r="K1060" i="16" s="1"/>
  <c r="J1040" i="16"/>
  <c r="K1040" i="16" s="1"/>
  <c r="J1028" i="16"/>
  <c r="K1028" i="16" s="1"/>
  <c r="J1016" i="16"/>
  <c r="K1016" i="16" s="1"/>
  <c r="J1004" i="16"/>
  <c r="K1004" i="16" s="1"/>
  <c r="J992" i="16"/>
  <c r="K992" i="16" s="1"/>
  <c r="J980" i="16"/>
  <c r="K980" i="16" s="1"/>
  <c r="J968" i="16"/>
  <c r="K968" i="16" s="1"/>
  <c r="J956" i="16"/>
  <c r="K956" i="16" s="1"/>
  <c r="J944" i="16"/>
  <c r="K944" i="16" s="1"/>
  <c r="J928" i="16"/>
  <c r="K928" i="16" s="1"/>
  <c r="J916" i="16"/>
  <c r="K916" i="16" s="1"/>
  <c r="J904" i="16"/>
  <c r="K904" i="16" s="1"/>
  <c r="J888" i="16"/>
  <c r="K888" i="16" s="1"/>
  <c r="J872" i="16"/>
  <c r="K872" i="16" s="1"/>
  <c r="J860" i="16"/>
  <c r="K860" i="16" s="1"/>
  <c r="J848" i="16"/>
  <c r="K848" i="16" s="1"/>
  <c r="J836" i="16"/>
  <c r="K836" i="16" s="1"/>
  <c r="J824" i="16"/>
  <c r="K824" i="16" s="1"/>
  <c r="J812" i="16"/>
  <c r="K812" i="16" s="1"/>
  <c r="J800" i="16"/>
  <c r="K800" i="16" s="1"/>
  <c r="J788" i="16"/>
  <c r="K788" i="16" s="1"/>
  <c r="J776" i="16"/>
  <c r="K776" i="16" s="1"/>
  <c r="J756" i="16"/>
  <c r="K756" i="16" s="1"/>
  <c r="J744" i="16"/>
  <c r="K744" i="16" s="1"/>
  <c r="J732" i="16"/>
  <c r="K732" i="16" s="1"/>
  <c r="J720" i="16"/>
  <c r="K720" i="16" s="1"/>
  <c r="J704" i="16"/>
  <c r="K704" i="16" s="1"/>
  <c r="J688" i="16"/>
  <c r="K688" i="16" s="1"/>
  <c r="J676" i="16"/>
  <c r="K676" i="16" s="1"/>
  <c r="J660" i="16"/>
  <c r="K660" i="16" s="1"/>
  <c r="J636" i="16"/>
  <c r="K636" i="16" s="1"/>
  <c r="J592" i="16"/>
  <c r="K592" i="16" s="1"/>
  <c r="J1614" i="16"/>
  <c r="K1614" i="16" s="1"/>
  <c r="J1566" i="16"/>
  <c r="K1566" i="16" s="1"/>
  <c r="J1486" i="16"/>
  <c r="K1486" i="16" s="1"/>
  <c r="J1262" i="16"/>
  <c r="K1262" i="16" s="1"/>
  <c r="J542" i="16"/>
  <c r="K542" i="16" s="1"/>
  <c r="J538" i="16"/>
  <c r="K538" i="16" s="1"/>
  <c r="J534" i="16"/>
  <c r="K534" i="16" s="1"/>
  <c r="J530" i="16"/>
  <c r="K530" i="16" s="1"/>
  <c r="J526" i="16"/>
  <c r="K526" i="16" s="1"/>
  <c r="J522" i="16"/>
  <c r="K522" i="16" s="1"/>
  <c r="J518" i="16"/>
  <c r="K518" i="16" s="1"/>
  <c r="J514" i="16"/>
  <c r="K514" i="16" s="1"/>
  <c r="J510" i="16"/>
  <c r="K510" i="16" s="1"/>
  <c r="J506" i="16"/>
  <c r="K506" i="16" s="1"/>
  <c r="J502" i="16"/>
  <c r="K502" i="16" s="1"/>
  <c r="J498" i="16"/>
  <c r="K498" i="16" s="1"/>
  <c r="J494" i="16"/>
  <c r="K494" i="16" s="1"/>
  <c r="J490" i="16"/>
  <c r="K490" i="16" s="1"/>
  <c r="J486" i="16"/>
  <c r="K486" i="16" s="1"/>
  <c r="J482" i="16"/>
  <c r="K482" i="16" s="1"/>
  <c r="J478" i="16"/>
  <c r="K478" i="16" s="1"/>
  <c r="J474" i="16"/>
  <c r="K474" i="16" s="1"/>
  <c r="J470" i="16"/>
  <c r="K470" i="16" s="1"/>
  <c r="J466" i="16"/>
  <c r="K466" i="16" s="1"/>
  <c r="J462" i="16"/>
  <c r="K462" i="16" s="1"/>
  <c r="J458" i="16"/>
  <c r="K458" i="16" s="1"/>
  <c r="J454" i="16"/>
  <c r="K454" i="16" s="1"/>
  <c r="J450" i="16"/>
  <c r="K450" i="16" s="1"/>
  <c r="J446" i="16"/>
  <c r="K446" i="16" s="1"/>
  <c r="J442" i="16"/>
  <c r="K442" i="16" s="1"/>
  <c r="J438" i="16"/>
  <c r="K438" i="16" s="1"/>
  <c r="J434" i="16"/>
  <c r="K434" i="16" s="1"/>
  <c r="J430" i="16"/>
  <c r="K430" i="16" s="1"/>
  <c r="J426" i="16"/>
  <c r="K426" i="16" s="1"/>
  <c r="J422" i="16"/>
  <c r="K422" i="16" s="1"/>
  <c r="J418" i="16"/>
  <c r="K418" i="16" s="1"/>
  <c r="J414" i="16"/>
  <c r="K414" i="16" s="1"/>
  <c r="J410" i="16"/>
  <c r="K410" i="16" s="1"/>
  <c r="J406" i="16"/>
  <c r="K406" i="16" s="1"/>
  <c r="J402" i="16"/>
  <c r="K402" i="16" s="1"/>
  <c r="J398" i="16"/>
  <c r="K398" i="16" s="1"/>
  <c r="J394" i="16"/>
  <c r="K394" i="16" s="1"/>
  <c r="J390" i="16"/>
  <c r="K390" i="16" s="1"/>
  <c r="J386" i="16"/>
  <c r="K386" i="16" s="1"/>
  <c r="J382" i="16"/>
  <c r="K382" i="16" s="1"/>
  <c r="J378" i="16"/>
  <c r="K378" i="16" s="1"/>
  <c r="J374" i="16"/>
  <c r="K374" i="16" s="1"/>
  <c r="J370" i="16"/>
  <c r="K370" i="16" s="1"/>
  <c r="J366" i="16"/>
  <c r="K366" i="16" s="1"/>
  <c r="J362" i="16"/>
  <c r="K362" i="16" s="1"/>
  <c r="J358" i="16"/>
  <c r="K358" i="16" s="1"/>
  <c r="J354" i="16"/>
  <c r="K354" i="16" s="1"/>
  <c r="J350" i="16"/>
  <c r="K350" i="16" s="1"/>
  <c r="J346" i="16"/>
  <c r="K346" i="16" s="1"/>
  <c r="J342" i="16"/>
  <c r="K342" i="16" s="1"/>
  <c r="J338" i="16"/>
  <c r="K338" i="16" s="1"/>
  <c r="J334" i="16"/>
  <c r="K334" i="16" s="1"/>
  <c r="J330" i="16"/>
  <c r="K330" i="16" s="1"/>
  <c r="J326" i="16"/>
  <c r="K326" i="16" s="1"/>
  <c r="J322" i="16"/>
  <c r="K322" i="16" s="1"/>
  <c r="J318" i="16"/>
  <c r="K318" i="16" s="1"/>
  <c r="J314" i="16"/>
  <c r="K314" i="16" s="1"/>
  <c r="J310" i="16"/>
  <c r="K310" i="16" s="1"/>
  <c r="J306" i="16"/>
  <c r="K306" i="16" s="1"/>
  <c r="J302" i="16"/>
  <c r="K302" i="16" s="1"/>
  <c r="J298" i="16"/>
  <c r="K298" i="16" s="1"/>
  <c r="J294" i="16"/>
  <c r="K294" i="16" s="1"/>
  <c r="J290" i="16"/>
  <c r="K290" i="16" s="1"/>
  <c r="J286" i="16"/>
  <c r="K286" i="16" s="1"/>
  <c r="J282" i="16"/>
  <c r="K282" i="16" s="1"/>
  <c r="J278" i="16"/>
  <c r="K278" i="16" s="1"/>
  <c r="J274" i="16"/>
  <c r="K274" i="16" s="1"/>
  <c r="J270" i="16"/>
  <c r="K270" i="16" s="1"/>
  <c r="J266" i="16"/>
  <c r="K266" i="16" s="1"/>
  <c r="J262" i="16"/>
  <c r="K262" i="16" s="1"/>
  <c r="J258" i="16"/>
  <c r="K258" i="16" s="1"/>
  <c r="J254" i="16"/>
  <c r="K254" i="16" s="1"/>
  <c r="J250" i="16"/>
  <c r="K250" i="16" s="1"/>
  <c r="J246" i="16"/>
  <c r="K246" i="16" s="1"/>
  <c r="J242" i="16"/>
  <c r="K242" i="16" s="1"/>
  <c r="J238" i="16"/>
  <c r="K238" i="16" s="1"/>
  <c r="J234" i="16"/>
  <c r="K234" i="16" s="1"/>
  <c r="J230" i="16"/>
  <c r="K230" i="16" s="1"/>
  <c r="J226" i="16"/>
  <c r="K226" i="16" s="1"/>
  <c r="J222" i="16"/>
  <c r="K222" i="16" s="1"/>
  <c r="J218" i="16"/>
  <c r="K218" i="16" s="1"/>
  <c r="J214" i="16"/>
  <c r="K214" i="16" s="1"/>
  <c r="J210" i="16"/>
  <c r="K210" i="16" s="1"/>
  <c r="J206" i="16"/>
  <c r="K206" i="16" s="1"/>
  <c r="J202" i="16"/>
  <c r="K202" i="16" s="1"/>
  <c r="J198" i="16"/>
  <c r="K198" i="16" s="1"/>
  <c r="J194" i="16"/>
  <c r="K194" i="16" s="1"/>
  <c r="J190" i="16"/>
  <c r="K190" i="16" s="1"/>
  <c r="J186" i="16"/>
  <c r="K186" i="16" s="1"/>
  <c r="J182" i="16"/>
  <c r="K182" i="16" s="1"/>
  <c r="J178" i="16"/>
  <c r="K178" i="16" s="1"/>
  <c r="J174" i="16"/>
  <c r="K174" i="16" s="1"/>
  <c r="J170" i="16"/>
  <c r="K170" i="16" s="1"/>
  <c r="J166" i="16"/>
  <c r="K166" i="16" s="1"/>
  <c r="J162" i="16"/>
  <c r="K162" i="16" s="1"/>
  <c r="J158" i="16"/>
  <c r="K158" i="16" s="1"/>
  <c r="J154" i="16"/>
  <c r="K154" i="16" s="1"/>
  <c r="J150" i="16"/>
  <c r="K150" i="16" s="1"/>
  <c r="J559" i="16"/>
  <c r="K559" i="16" s="1"/>
  <c r="J1083" i="16"/>
  <c r="K1083" i="16" s="1"/>
  <c r="J1079" i="16"/>
  <c r="K1079" i="16" s="1"/>
  <c r="J1075" i="16"/>
  <c r="K1075" i="16" s="1"/>
  <c r="J1071" i="16"/>
  <c r="K1071" i="16" s="1"/>
  <c r="J1067" i="16"/>
  <c r="K1067" i="16" s="1"/>
  <c r="J1063" i="16"/>
  <c r="K1063" i="16" s="1"/>
  <c r="J1059" i="16"/>
  <c r="K1059" i="16" s="1"/>
  <c r="J1055" i="16"/>
  <c r="K1055" i="16" s="1"/>
  <c r="J1051" i="16"/>
  <c r="K1051" i="16" s="1"/>
  <c r="J1047" i="16"/>
  <c r="K1047" i="16" s="1"/>
  <c r="J1043" i="16"/>
  <c r="K1043" i="16" s="1"/>
  <c r="J1039" i="16"/>
  <c r="K1039" i="16" s="1"/>
  <c r="J1035" i="16"/>
  <c r="K1035" i="16" s="1"/>
  <c r="J1031" i="16"/>
  <c r="K1031" i="16" s="1"/>
  <c r="J1027" i="16"/>
  <c r="K1027" i="16" s="1"/>
  <c r="J1023" i="16"/>
  <c r="K1023" i="16" s="1"/>
  <c r="J1019" i="16"/>
  <c r="K1019" i="16" s="1"/>
  <c r="J1015" i="16"/>
  <c r="K1015" i="16" s="1"/>
  <c r="J1011" i="16"/>
  <c r="K1011" i="16" s="1"/>
  <c r="J1007" i="16"/>
  <c r="K1007" i="16" s="1"/>
  <c r="J1003" i="16"/>
  <c r="K1003" i="16" s="1"/>
  <c r="J999" i="16"/>
  <c r="K999" i="16" s="1"/>
  <c r="J995" i="16"/>
  <c r="K995" i="16" s="1"/>
  <c r="J991" i="16"/>
  <c r="K991" i="16" s="1"/>
  <c r="J987" i="16"/>
  <c r="K987" i="16" s="1"/>
  <c r="J983" i="16"/>
  <c r="K983" i="16" s="1"/>
  <c r="J979" i="16"/>
  <c r="K979" i="16" s="1"/>
  <c r="J975" i="16"/>
  <c r="K975" i="16" s="1"/>
  <c r="J971" i="16"/>
  <c r="K971" i="16" s="1"/>
  <c r="J967" i="16"/>
  <c r="K967" i="16" s="1"/>
  <c r="J963" i="16"/>
  <c r="K963" i="16" s="1"/>
  <c r="J959" i="16"/>
  <c r="K959" i="16" s="1"/>
  <c r="J955" i="16"/>
  <c r="K955" i="16" s="1"/>
  <c r="J951" i="16"/>
  <c r="K951" i="16" s="1"/>
  <c r="J947" i="16"/>
  <c r="K947" i="16" s="1"/>
  <c r="J943" i="16"/>
  <c r="K943" i="16" s="1"/>
  <c r="J939" i="16"/>
  <c r="K939" i="16" s="1"/>
  <c r="J935" i="16"/>
  <c r="K935" i="16" s="1"/>
  <c r="J931" i="16"/>
  <c r="K931" i="16" s="1"/>
  <c r="J927" i="16"/>
  <c r="K927" i="16" s="1"/>
  <c r="J923" i="16"/>
  <c r="K923" i="16" s="1"/>
  <c r="J919" i="16"/>
  <c r="K919" i="16" s="1"/>
  <c r="J915" i="16"/>
  <c r="K915" i="16" s="1"/>
  <c r="J911" i="16"/>
  <c r="K911" i="16" s="1"/>
  <c r="J907" i="16"/>
  <c r="K907" i="16" s="1"/>
  <c r="J903" i="16"/>
  <c r="K903" i="16" s="1"/>
  <c r="J899" i="16"/>
  <c r="K899" i="16" s="1"/>
  <c r="J895" i="16"/>
  <c r="K895" i="16" s="1"/>
  <c r="J891" i="16"/>
  <c r="K891" i="16" s="1"/>
  <c r="J887" i="16"/>
  <c r="K887" i="16" s="1"/>
  <c r="J883" i="16"/>
  <c r="K883" i="16" s="1"/>
  <c r="J879" i="16"/>
  <c r="K879" i="16" s="1"/>
  <c r="J875" i="16"/>
  <c r="K875" i="16" s="1"/>
  <c r="J871" i="16"/>
  <c r="K871" i="16" s="1"/>
  <c r="J867" i="16"/>
  <c r="K867" i="16" s="1"/>
  <c r="J863" i="16"/>
  <c r="K863" i="16" s="1"/>
  <c r="J859" i="16"/>
  <c r="K859" i="16" s="1"/>
  <c r="J855" i="16"/>
  <c r="K855" i="16" s="1"/>
  <c r="J851" i="16"/>
  <c r="K851" i="16" s="1"/>
  <c r="J847" i="16"/>
  <c r="K847" i="16" s="1"/>
  <c r="J843" i="16"/>
  <c r="K843" i="16" s="1"/>
  <c r="J839" i="16"/>
  <c r="K839" i="16" s="1"/>
  <c r="J835" i="16"/>
  <c r="K835" i="16" s="1"/>
  <c r="J831" i="16"/>
  <c r="K831" i="16" s="1"/>
  <c r="J827" i="16"/>
  <c r="K827" i="16" s="1"/>
  <c r="J823" i="16"/>
  <c r="K823" i="16" s="1"/>
  <c r="J819" i="16"/>
  <c r="K819" i="16" s="1"/>
  <c r="J815" i="16"/>
  <c r="K815" i="16" s="1"/>
  <c r="J811" i="16"/>
  <c r="K811" i="16" s="1"/>
  <c r="J807" i="16"/>
  <c r="K807" i="16" s="1"/>
  <c r="J803" i="16"/>
  <c r="K803" i="16" s="1"/>
  <c r="J799" i="16"/>
  <c r="K799" i="16" s="1"/>
  <c r="J795" i="16"/>
  <c r="K795" i="16" s="1"/>
  <c r="J791" i="16"/>
  <c r="K791" i="16" s="1"/>
  <c r="J787" i="16"/>
  <c r="K787" i="16" s="1"/>
  <c r="J783" i="16"/>
  <c r="K783" i="16" s="1"/>
  <c r="J779" i="16"/>
  <c r="K779" i="16" s="1"/>
  <c r="J775" i="16"/>
  <c r="K775" i="16" s="1"/>
  <c r="J771" i="16"/>
  <c r="K771" i="16" s="1"/>
  <c r="J767" i="16"/>
  <c r="K767" i="16" s="1"/>
  <c r="J763" i="16"/>
  <c r="K763" i="16" s="1"/>
  <c r="J759" i="16"/>
  <c r="K759" i="16" s="1"/>
  <c r="J755" i="16"/>
  <c r="K755" i="16" s="1"/>
  <c r="J751" i="16"/>
  <c r="K751" i="16" s="1"/>
  <c r="J747" i="16"/>
  <c r="K747" i="16" s="1"/>
  <c r="J743" i="16"/>
  <c r="K743" i="16" s="1"/>
  <c r="J739" i="16"/>
  <c r="K739" i="16" s="1"/>
  <c r="J735" i="16"/>
  <c r="K735" i="16" s="1"/>
  <c r="J731" i="16"/>
  <c r="K731" i="16" s="1"/>
  <c r="J727" i="16"/>
  <c r="K727" i="16" s="1"/>
  <c r="J723" i="16"/>
  <c r="K723" i="16" s="1"/>
  <c r="J719" i="16"/>
  <c r="K719" i="16" s="1"/>
  <c r="J715" i="16"/>
  <c r="K715" i="16" s="1"/>
  <c r="J711" i="16"/>
  <c r="K711" i="16" s="1"/>
  <c r="J707" i="16"/>
  <c r="K707" i="16" s="1"/>
  <c r="J703" i="16"/>
  <c r="K703" i="16" s="1"/>
  <c r="J699" i="16"/>
  <c r="K699" i="16" s="1"/>
  <c r="J695" i="16"/>
  <c r="K695" i="16" s="1"/>
  <c r="J691" i="16"/>
  <c r="K691" i="16" s="1"/>
  <c r="J687" i="16"/>
  <c r="K687" i="16" s="1"/>
  <c r="J683" i="16"/>
  <c r="K683" i="16" s="1"/>
  <c r="J679" i="16"/>
  <c r="K679" i="16" s="1"/>
  <c r="J675" i="16"/>
  <c r="K675" i="16" s="1"/>
  <c r="J671" i="16"/>
  <c r="K671" i="16" s="1"/>
  <c r="J666" i="16"/>
  <c r="K666" i="16" s="1"/>
  <c r="J658" i="16"/>
  <c r="K658" i="16" s="1"/>
  <c r="J650" i="16"/>
  <c r="K650" i="16" s="1"/>
  <c r="J642" i="16"/>
  <c r="K642" i="16" s="1"/>
  <c r="J634" i="16"/>
  <c r="K634" i="16" s="1"/>
  <c r="J626" i="16"/>
  <c r="K626" i="16" s="1"/>
  <c r="J618" i="16"/>
  <c r="K618" i="16" s="1"/>
  <c r="J610" i="16"/>
  <c r="K610" i="16" s="1"/>
  <c r="J602" i="16"/>
  <c r="K602" i="16" s="1"/>
  <c r="J588" i="16"/>
  <c r="K588" i="16" s="1"/>
  <c r="J572" i="16"/>
  <c r="K572" i="16" s="1"/>
  <c r="J1626" i="16"/>
  <c r="K1626" i="16" s="1"/>
  <c r="J1610" i="16"/>
  <c r="K1610" i="16" s="1"/>
  <c r="J1594" i="16"/>
  <c r="K1594" i="16" s="1"/>
  <c r="J1578" i="16"/>
  <c r="K1578" i="16" s="1"/>
  <c r="J1562" i="16"/>
  <c r="K1562" i="16" s="1"/>
  <c r="J1546" i="16"/>
  <c r="K1546" i="16" s="1"/>
  <c r="J1530" i="16"/>
  <c r="K1530" i="16" s="1"/>
  <c r="J1514" i="16"/>
  <c r="K1514" i="16" s="1"/>
  <c r="J1498" i="16"/>
  <c r="K1498" i="16" s="1"/>
  <c r="J1482" i="16"/>
  <c r="K1482" i="16" s="1"/>
  <c r="J1466" i="16"/>
  <c r="K1466" i="16" s="1"/>
  <c r="J1450" i="16"/>
  <c r="K1450" i="16" s="1"/>
  <c r="J1434" i="16"/>
  <c r="K1434" i="16" s="1"/>
  <c r="J1418" i="16"/>
  <c r="K1418" i="16" s="1"/>
  <c r="J1402" i="16"/>
  <c r="K1402" i="16" s="1"/>
  <c r="J1386" i="16"/>
  <c r="K1386" i="16" s="1"/>
  <c r="J1370" i="16"/>
  <c r="K1370" i="16" s="1"/>
  <c r="J1354" i="16"/>
  <c r="K1354" i="16" s="1"/>
  <c r="J1338" i="16"/>
  <c r="K1338" i="16" s="1"/>
  <c r="J1322" i="16"/>
  <c r="K1322" i="16" s="1"/>
  <c r="J1306" i="16"/>
  <c r="K1306" i="16" s="1"/>
  <c r="J1290" i="16"/>
  <c r="K1290" i="16" s="1"/>
  <c r="J1274" i="16"/>
  <c r="K1274" i="16" s="1"/>
  <c r="J1258" i="16"/>
  <c r="K1258" i="16" s="1"/>
  <c r="J1242" i="16"/>
  <c r="K1242" i="16" s="1"/>
  <c r="J1211" i="16"/>
  <c r="K1211" i="16" s="1"/>
  <c r="J1147" i="16"/>
  <c r="K1147" i="16" s="1"/>
  <c r="J543" i="16"/>
  <c r="K543" i="16" s="1"/>
  <c r="J531" i="16"/>
  <c r="K531" i="16" s="1"/>
  <c r="J519" i="16"/>
  <c r="K519" i="16" s="1"/>
  <c r="J507" i="16"/>
  <c r="K507" i="16" s="1"/>
  <c r="J495" i="16"/>
  <c r="K495" i="16" s="1"/>
  <c r="J483" i="16"/>
  <c r="K483" i="16" s="1"/>
  <c r="J471" i="16"/>
  <c r="K471" i="16" s="1"/>
  <c r="J459" i="16"/>
  <c r="K459" i="16" s="1"/>
  <c r="J451" i="16"/>
  <c r="K451" i="16" s="1"/>
  <c r="J439" i="16"/>
  <c r="K439" i="16" s="1"/>
  <c r="J427" i="16"/>
  <c r="K427" i="16" s="1"/>
  <c r="J415" i="16"/>
  <c r="K415" i="16" s="1"/>
  <c r="J403" i="16"/>
  <c r="K403" i="16" s="1"/>
  <c r="J391" i="16"/>
  <c r="K391" i="16" s="1"/>
  <c r="J379" i="16"/>
  <c r="K379" i="16" s="1"/>
  <c r="J367" i="16"/>
  <c r="K367" i="16" s="1"/>
  <c r="J355" i="16"/>
  <c r="K355" i="16" s="1"/>
  <c r="J343" i="16"/>
  <c r="K343" i="16" s="1"/>
  <c r="J331" i="16"/>
  <c r="K331" i="16" s="1"/>
  <c r="J319" i="16"/>
  <c r="K319" i="16" s="1"/>
  <c r="J307" i="16"/>
  <c r="K307" i="16" s="1"/>
  <c r="J295" i="16"/>
  <c r="K295" i="16" s="1"/>
  <c r="J283" i="16"/>
  <c r="K283" i="16" s="1"/>
  <c r="J275" i="16"/>
  <c r="K275" i="16" s="1"/>
  <c r="J263" i="16"/>
  <c r="K263" i="16" s="1"/>
  <c r="J251" i="16"/>
  <c r="K251" i="16" s="1"/>
  <c r="J239" i="16"/>
  <c r="K239" i="16" s="1"/>
  <c r="J231" i="16"/>
  <c r="K231" i="16" s="1"/>
  <c r="J219" i="16"/>
  <c r="K219" i="16" s="1"/>
  <c r="J207" i="16"/>
  <c r="K207" i="16" s="1"/>
  <c r="J195" i="16"/>
  <c r="K195" i="16" s="1"/>
  <c r="J183" i="16"/>
  <c r="K183" i="16" s="1"/>
  <c r="J171" i="16"/>
  <c r="K171" i="16" s="1"/>
  <c r="J155" i="16"/>
  <c r="K155" i="16" s="1"/>
  <c r="J1080" i="16"/>
  <c r="K1080" i="16" s="1"/>
  <c r="J1064" i="16"/>
  <c r="K1064" i="16" s="1"/>
  <c r="J1052" i="16"/>
  <c r="K1052" i="16" s="1"/>
  <c r="J1044" i="16"/>
  <c r="K1044" i="16" s="1"/>
  <c r="J1032" i="16"/>
  <c r="K1032" i="16" s="1"/>
  <c r="J1024" i="16"/>
  <c r="K1024" i="16" s="1"/>
  <c r="J1012" i="16"/>
  <c r="K1012" i="16" s="1"/>
  <c r="J1000" i="16"/>
  <c r="K1000" i="16" s="1"/>
  <c r="J988" i="16"/>
  <c r="K988" i="16" s="1"/>
  <c r="J976" i="16"/>
  <c r="K976" i="16" s="1"/>
  <c r="J964" i="16"/>
  <c r="K964" i="16" s="1"/>
  <c r="J952" i="16"/>
  <c r="K952" i="16" s="1"/>
  <c r="J940" i="16"/>
  <c r="K940" i="16" s="1"/>
  <c r="J932" i="16"/>
  <c r="K932" i="16" s="1"/>
  <c r="J920" i="16"/>
  <c r="K920" i="16" s="1"/>
  <c r="J908" i="16"/>
  <c r="K908" i="16" s="1"/>
  <c r="J896" i="16"/>
  <c r="K896" i="16" s="1"/>
  <c r="J884" i="16"/>
  <c r="K884" i="16" s="1"/>
  <c r="J876" i="16"/>
  <c r="K876" i="16" s="1"/>
  <c r="J864" i="16"/>
  <c r="K864" i="16" s="1"/>
  <c r="J852" i="16"/>
  <c r="K852" i="16" s="1"/>
  <c r="J840" i="16"/>
  <c r="K840" i="16" s="1"/>
  <c r="J828" i="16"/>
  <c r="K828" i="16" s="1"/>
  <c r="J816" i="16"/>
  <c r="K816" i="16" s="1"/>
  <c r="J808" i="16"/>
  <c r="K808" i="16" s="1"/>
  <c r="J796" i="16"/>
  <c r="K796" i="16" s="1"/>
  <c r="J784" i="16"/>
  <c r="K784" i="16" s="1"/>
  <c r="J768" i="16"/>
  <c r="K768" i="16" s="1"/>
  <c r="J764" i="16"/>
  <c r="K764" i="16" s="1"/>
  <c r="J748" i="16"/>
  <c r="K748" i="16" s="1"/>
  <c r="J736" i="16"/>
  <c r="K736" i="16" s="1"/>
  <c r="J724" i="16"/>
  <c r="K724" i="16" s="1"/>
  <c r="J712" i="16"/>
  <c r="K712" i="16" s="1"/>
  <c r="J700" i="16"/>
  <c r="K700" i="16" s="1"/>
  <c r="J692" i="16"/>
  <c r="K692" i="16" s="1"/>
  <c r="J680" i="16"/>
  <c r="K680" i="16" s="1"/>
  <c r="J668" i="16"/>
  <c r="K668" i="16" s="1"/>
  <c r="J644" i="16"/>
  <c r="K644" i="16" s="1"/>
  <c r="J620" i="16"/>
  <c r="K620" i="16" s="1"/>
  <c r="J604" i="16"/>
  <c r="K604" i="16" s="1"/>
  <c r="J576" i="16"/>
  <c r="K576" i="16" s="1"/>
  <c r="J1582" i="16"/>
  <c r="K1582" i="16" s="1"/>
  <c r="J1534" i="16"/>
  <c r="K1534" i="16" s="1"/>
  <c r="J1502" i="16"/>
  <c r="K1502" i="16" s="1"/>
  <c r="J1454" i="16"/>
  <c r="K1454" i="16" s="1"/>
  <c r="J1422" i="16"/>
  <c r="K1422" i="16" s="1"/>
  <c r="J1390" i="16"/>
  <c r="K1390" i="16" s="1"/>
  <c r="J1358" i="16"/>
  <c r="K1358" i="16" s="1"/>
  <c r="J1326" i="16"/>
  <c r="K1326" i="16" s="1"/>
  <c r="J1294" i="16"/>
  <c r="K1294" i="16" s="1"/>
  <c r="J1246" i="16"/>
  <c r="K1246" i="16" s="1"/>
  <c r="J1163" i="16"/>
  <c r="K1163" i="16" s="1"/>
  <c r="J541" i="16"/>
  <c r="K541" i="16" s="1"/>
  <c r="J537" i="16"/>
  <c r="K537" i="16" s="1"/>
  <c r="J533" i="16"/>
  <c r="K533" i="16" s="1"/>
  <c r="J529" i="16"/>
  <c r="K529" i="16" s="1"/>
  <c r="J525" i="16"/>
  <c r="K525" i="16" s="1"/>
  <c r="J521" i="16"/>
  <c r="K521" i="16" s="1"/>
  <c r="J517" i="16"/>
  <c r="K517" i="16" s="1"/>
  <c r="J513" i="16"/>
  <c r="K513" i="16" s="1"/>
  <c r="J509" i="16"/>
  <c r="K509" i="16" s="1"/>
  <c r="J505" i="16"/>
  <c r="K505" i="16" s="1"/>
  <c r="J501" i="16"/>
  <c r="K501" i="16" s="1"/>
  <c r="J497" i="16"/>
  <c r="K497" i="16" s="1"/>
  <c r="J493" i="16"/>
  <c r="K493" i="16" s="1"/>
  <c r="J489" i="16"/>
  <c r="K489" i="16" s="1"/>
  <c r="J485" i="16"/>
  <c r="K485" i="16" s="1"/>
  <c r="J481" i="16"/>
  <c r="K481" i="16" s="1"/>
  <c r="J477" i="16"/>
  <c r="K477" i="16" s="1"/>
  <c r="J473" i="16"/>
  <c r="K473" i="16" s="1"/>
  <c r="J469" i="16"/>
  <c r="K469" i="16" s="1"/>
  <c r="J465" i="16"/>
  <c r="K465" i="16" s="1"/>
  <c r="J461" i="16"/>
  <c r="K461" i="16" s="1"/>
  <c r="J457" i="16"/>
  <c r="K457" i="16" s="1"/>
  <c r="J453" i="16"/>
  <c r="K453" i="16" s="1"/>
  <c r="J449" i="16"/>
  <c r="K449" i="16" s="1"/>
  <c r="J445" i="16"/>
  <c r="K445" i="16" s="1"/>
  <c r="J441" i="16"/>
  <c r="K441" i="16" s="1"/>
  <c r="J437" i="16"/>
  <c r="K437" i="16" s="1"/>
  <c r="J433" i="16"/>
  <c r="K433" i="16" s="1"/>
  <c r="J429" i="16"/>
  <c r="K429" i="16" s="1"/>
  <c r="J425" i="16"/>
  <c r="K425" i="16" s="1"/>
  <c r="J421" i="16"/>
  <c r="K421" i="16" s="1"/>
  <c r="J417" i="16"/>
  <c r="K417" i="16" s="1"/>
  <c r="J413" i="16"/>
  <c r="K413" i="16" s="1"/>
  <c r="J409" i="16"/>
  <c r="K409" i="16" s="1"/>
  <c r="J405" i="16"/>
  <c r="K405" i="16" s="1"/>
  <c r="J401" i="16"/>
  <c r="K401" i="16" s="1"/>
  <c r="J397" i="16"/>
  <c r="K397" i="16" s="1"/>
  <c r="J393" i="16"/>
  <c r="K393" i="16" s="1"/>
  <c r="J389" i="16"/>
  <c r="K389" i="16" s="1"/>
  <c r="J385" i="16"/>
  <c r="K385" i="16" s="1"/>
  <c r="J381" i="16"/>
  <c r="K381" i="16" s="1"/>
  <c r="J377" i="16"/>
  <c r="K377" i="16" s="1"/>
  <c r="J373" i="16"/>
  <c r="K373" i="16" s="1"/>
  <c r="J369" i="16"/>
  <c r="K369" i="16" s="1"/>
  <c r="J365" i="16"/>
  <c r="K365" i="16" s="1"/>
  <c r="J361" i="16"/>
  <c r="K361" i="16" s="1"/>
  <c r="J357" i="16"/>
  <c r="K357" i="16" s="1"/>
  <c r="J353" i="16"/>
  <c r="K353" i="16" s="1"/>
  <c r="J349" i="16"/>
  <c r="K349" i="16" s="1"/>
  <c r="J345" i="16"/>
  <c r="K345" i="16" s="1"/>
  <c r="J341" i="16"/>
  <c r="K341" i="16" s="1"/>
  <c r="J337" i="16"/>
  <c r="K337" i="16" s="1"/>
  <c r="J333" i="16"/>
  <c r="K333" i="16" s="1"/>
  <c r="J329" i="16"/>
  <c r="K329" i="16" s="1"/>
  <c r="J325" i="16"/>
  <c r="K325" i="16" s="1"/>
  <c r="J321" i="16"/>
  <c r="K321" i="16" s="1"/>
  <c r="J317" i="16"/>
  <c r="K317" i="16" s="1"/>
  <c r="J313" i="16"/>
  <c r="K313" i="16" s="1"/>
  <c r="J309" i="16"/>
  <c r="K309" i="16" s="1"/>
  <c r="J305" i="16"/>
  <c r="K305" i="16" s="1"/>
  <c r="J301" i="16"/>
  <c r="K301" i="16" s="1"/>
  <c r="J297" i="16"/>
  <c r="K297" i="16" s="1"/>
  <c r="J293" i="16"/>
  <c r="K293" i="16" s="1"/>
  <c r="J289" i="16"/>
  <c r="K289" i="16" s="1"/>
  <c r="J285" i="16"/>
  <c r="K285" i="16" s="1"/>
  <c r="J281" i="16"/>
  <c r="K281" i="16" s="1"/>
  <c r="J277" i="16"/>
  <c r="K277" i="16" s="1"/>
  <c r="J273" i="16"/>
  <c r="K273" i="16" s="1"/>
  <c r="J269" i="16"/>
  <c r="K269" i="16" s="1"/>
  <c r="J265" i="16"/>
  <c r="K265" i="16" s="1"/>
  <c r="J261" i="16"/>
  <c r="K261" i="16" s="1"/>
  <c r="J257" i="16"/>
  <c r="K257" i="16" s="1"/>
  <c r="J253" i="16"/>
  <c r="K253" i="16" s="1"/>
  <c r="J249" i="16"/>
  <c r="K249" i="16" s="1"/>
  <c r="J245" i="16"/>
  <c r="K245" i="16" s="1"/>
  <c r="J241" i="16"/>
  <c r="K241" i="16" s="1"/>
  <c r="J237" i="16"/>
  <c r="K237" i="16" s="1"/>
  <c r="J233" i="16"/>
  <c r="K233" i="16" s="1"/>
  <c r="J229" i="16"/>
  <c r="K229" i="16" s="1"/>
  <c r="J225" i="16"/>
  <c r="K225" i="16" s="1"/>
  <c r="J221" i="16"/>
  <c r="K221" i="16" s="1"/>
  <c r="J217" i="16"/>
  <c r="K217" i="16" s="1"/>
  <c r="J213" i="16"/>
  <c r="K213" i="16" s="1"/>
  <c r="J209" i="16"/>
  <c r="K209" i="16" s="1"/>
  <c r="J205" i="16"/>
  <c r="K205" i="16" s="1"/>
  <c r="J201" i="16"/>
  <c r="K201" i="16" s="1"/>
  <c r="J197" i="16"/>
  <c r="K197" i="16" s="1"/>
  <c r="J193" i="16"/>
  <c r="K193" i="16" s="1"/>
  <c r="J189" i="16"/>
  <c r="K189" i="16" s="1"/>
  <c r="J185" i="16"/>
  <c r="K185" i="16" s="1"/>
  <c r="J181" i="16"/>
  <c r="K181" i="16" s="1"/>
  <c r="J177" i="16"/>
  <c r="K177" i="16" s="1"/>
  <c r="J173" i="16"/>
  <c r="K173" i="16" s="1"/>
  <c r="J169" i="16"/>
  <c r="K169" i="16" s="1"/>
  <c r="J165" i="16"/>
  <c r="K165" i="16" s="1"/>
  <c r="J161" i="16"/>
  <c r="K161" i="16" s="1"/>
  <c r="J157" i="16"/>
  <c r="K157" i="16" s="1"/>
  <c r="J153" i="16"/>
  <c r="K153" i="16" s="1"/>
  <c r="J149" i="16"/>
  <c r="K149" i="16" s="1"/>
  <c r="J1086" i="16"/>
  <c r="K1086" i="16" s="1"/>
  <c r="J1082" i="16"/>
  <c r="K1082" i="16" s="1"/>
  <c r="J1078" i="16"/>
  <c r="K1078" i="16" s="1"/>
  <c r="J1074" i="16"/>
  <c r="K1074" i="16" s="1"/>
  <c r="J1070" i="16"/>
  <c r="K1070" i="16" s="1"/>
  <c r="J1066" i="16"/>
  <c r="K1066" i="16" s="1"/>
  <c r="J1062" i="16"/>
  <c r="K1062" i="16" s="1"/>
  <c r="J1058" i="16"/>
  <c r="K1058" i="16" s="1"/>
  <c r="J1054" i="16"/>
  <c r="K1054" i="16" s="1"/>
  <c r="J1050" i="16"/>
  <c r="K1050" i="16" s="1"/>
  <c r="J1046" i="16"/>
  <c r="K1046" i="16" s="1"/>
  <c r="J1042" i="16"/>
  <c r="K1042" i="16" s="1"/>
  <c r="J1038" i="16"/>
  <c r="K1038" i="16" s="1"/>
  <c r="J1034" i="16"/>
  <c r="K1034" i="16" s="1"/>
  <c r="J1030" i="16"/>
  <c r="K1030" i="16" s="1"/>
  <c r="J1026" i="16"/>
  <c r="K1026" i="16" s="1"/>
  <c r="J1022" i="16"/>
  <c r="K1022" i="16" s="1"/>
  <c r="J1018" i="16"/>
  <c r="K1018" i="16" s="1"/>
  <c r="J1014" i="16"/>
  <c r="K1014" i="16" s="1"/>
  <c r="J1010" i="16"/>
  <c r="K1010" i="16" s="1"/>
  <c r="J1006" i="16"/>
  <c r="K1006" i="16" s="1"/>
  <c r="J1002" i="16"/>
  <c r="K1002" i="16" s="1"/>
  <c r="J998" i="16"/>
  <c r="K998" i="16" s="1"/>
  <c r="J994" i="16"/>
  <c r="K994" i="16" s="1"/>
  <c r="J990" i="16"/>
  <c r="K990" i="16" s="1"/>
  <c r="J986" i="16"/>
  <c r="K986" i="16" s="1"/>
  <c r="J982" i="16"/>
  <c r="K982" i="16" s="1"/>
  <c r="J978" i="16"/>
  <c r="K978" i="16" s="1"/>
  <c r="J974" i="16"/>
  <c r="K974" i="16" s="1"/>
  <c r="J970" i="16"/>
  <c r="K970" i="16" s="1"/>
  <c r="J966" i="16"/>
  <c r="K966" i="16" s="1"/>
  <c r="J962" i="16"/>
  <c r="K962" i="16" s="1"/>
  <c r="J958" i="16"/>
  <c r="K958" i="16" s="1"/>
  <c r="J954" i="16"/>
  <c r="K954" i="16" s="1"/>
  <c r="J950" i="16"/>
  <c r="K950" i="16" s="1"/>
  <c r="J946" i="16"/>
  <c r="K946" i="16" s="1"/>
  <c r="J942" i="16"/>
  <c r="K942" i="16" s="1"/>
  <c r="J938" i="16"/>
  <c r="K938" i="16" s="1"/>
  <c r="J934" i="16"/>
  <c r="K934" i="16" s="1"/>
  <c r="J930" i="16"/>
  <c r="K930" i="16" s="1"/>
  <c r="J926" i="16"/>
  <c r="K926" i="16" s="1"/>
  <c r="J922" i="16"/>
  <c r="K922" i="16" s="1"/>
  <c r="J918" i="16"/>
  <c r="K918" i="16" s="1"/>
  <c r="J914" i="16"/>
  <c r="K914" i="16" s="1"/>
  <c r="J910" i="16"/>
  <c r="K910" i="16" s="1"/>
  <c r="J906" i="16"/>
  <c r="K906" i="16" s="1"/>
  <c r="J902" i="16"/>
  <c r="K902" i="16" s="1"/>
  <c r="J898" i="16"/>
  <c r="K898" i="16" s="1"/>
  <c r="J894" i="16"/>
  <c r="K894" i="16" s="1"/>
  <c r="J890" i="16"/>
  <c r="K890" i="16" s="1"/>
  <c r="J886" i="16"/>
  <c r="K886" i="16" s="1"/>
  <c r="J882" i="16"/>
  <c r="K882" i="16" s="1"/>
  <c r="J878" i="16"/>
  <c r="K878" i="16" s="1"/>
  <c r="J874" i="16"/>
  <c r="K874" i="16" s="1"/>
  <c r="J870" i="16"/>
  <c r="K870" i="16" s="1"/>
  <c r="J866" i="16"/>
  <c r="K866" i="16" s="1"/>
  <c r="J862" i="16"/>
  <c r="K862" i="16" s="1"/>
  <c r="J858" i="16"/>
  <c r="K858" i="16" s="1"/>
  <c r="J854" i="16"/>
  <c r="K854" i="16" s="1"/>
  <c r="J850" i="16"/>
  <c r="K850" i="16" s="1"/>
  <c r="J846" i="16"/>
  <c r="K846" i="16" s="1"/>
  <c r="J842" i="16"/>
  <c r="K842" i="16" s="1"/>
  <c r="J838" i="16"/>
  <c r="K838" i="16" s="1"/>
  <c r="J834" i="16"/>
  <c r="K834" i="16" s="1"/>
  <c r="J830" i="16"/>
  <c r="K830" i="16" s="1"/>
  <c r="J826" i="16"/>
  <c r="K826" i="16" s="1"/>
  <c r="J822" i="16"/>
  <c r="K822" i="16" s="1"/>
  <c r="J818" i="16"/>
  <c r="K818" i="16" s="1"/>
  <c r="J814" i="16"/>
  <c r="K814" i="16" s="1"/>
  <c r="J810" i="16"/>
  <c r="K810" i="16" s="1"/>
  <c r="J806" i="16"/>
  <c r="K806" i="16" s="1"/>
  <c r="J802" i="16"/>
  <c r="K802" i="16" s="1"/>
  <c r="J798" i="16"/>
  <c r="K798" i="16" s="1"/>
  <c r="J794" i="16"/>
  <c r="K794" i="16" s="1"/>
  <c r="J790" i="16"/>
  <c r="K790" i="16" s="1"/>
  <c r="J786" i="16"/>
  <c r="K786" i="16" s="1"/>
  <c r="J782" i="16"/>
  <c r="K782" i="16" s="1"/>
  <c r="J778" i="16"/>
  <c r="K778" i="16" s="1"/>
  <c r="J774" i="16"/>
  <c r="K774" i="16" s="1"/>
  <c r="J770" i="16"/>
  <c r="K770" i="16" s="1"/>
  <c r="J766" i="16"/>
  <c r="K766" i="16" s="1"/>
  <c r="J762" i="16"/>
  <c r="K762" i="16" s="1"/>
  <c r="J758" i="16"/>
  <c r="K758" i="16" s="1"/>
  <c r="J754" i="16"/>
  <c r="K754" i="16" s="1"/>
  <c r="J750" i="16"/>
  <c r="K750" i="16" s="1"/>
  <c r="J746" i="16"/>
  <c r="K746" i="16" s="1"/>
  <c r="J742" i="16"/>
  <c r="K742" i="16" s="1"/>
  <c r="J738" i="16"/>
  <c r="K738" i="16" s="1"/>
  <c r="J734" i="16"/>
  <c r="K734" i="16" s="1"/>
  <c r="J730" i="16"/>
  <c r="K730" i="16" s="1"/>
  <c r="J726" i="16"/>
  <c r="K726" i="16" s="1"/>
  <c r="J722" i="16"/>
  <c r="K722" i="16" s="1"/>
  <c r="J718" i="16"/>
  <c r="K718" i="16" s="1"/>
  <c r="J714" i="16"/>
  <c r="K714" i="16" s="1"/>
  <c r="J710" i="16"/>
  <c r="K710" i="16" s="1"/>
  <c r="J706" i="16"/>
  <c r="K706" i="16" s="1"/>
  <c r="J702" i="16"/>
  <c r="K702" i="16" s="1"/>
  <c r="J698" i="16"/>
  <c r="K698" i="16" s="1"/>
  <c r="J694" i="16"/>
  <c r="K694" i="16" s="1"/>
  <c r="J690" i="16"/>
  <c r="K690" i="16" s="1"/>
  <c r="J686" i="16"/>
  <c r="K686" i="16" s="1"/>
  <c r="J682" i="16"/>
  <c r="K682" i="16" s="1"/>
  <c r="J678" i="16"/>
  <c r="K678" i="16" s="1"/>
  <c r="J674" i="16"/>
  <c r="K674" i="16" s="1"/>
  <c r="J670" i="16"/>
  <c r="K670" i="16" s="1"/>
  <c r="J664" i="16"/>
  <c r="K664" i="16" s="1"/>
  <c r="J656" i="16"/>
  <c r="K656" i="16" s="1"/>
  <c r="J648" i="16"/>
  <c r="K648" i="16" s="1"/>
  <c r="J640" i="16"/>
  <c r="K640" i="16" s="1"/>
  <c r="J632" i="16"/>
  <c r="K632" i="16" s="1"/>
  <c r="J624" i="16"/>
  <c r="K624" i="16" s="1"/>
  <c r="J616" i="16"/>
  <c r="K616" i="16" s="1"/>
  <c r="J608" i="16"/>
  <c r="K608" i="16" s="1"/>
  <c r="J600" i="16"/>
  <c r="K600" i="16" s="1"/>
  <c r="J584" i="16"/>
  <c r="K584" i="16" s="1"/>
  <c r="J568" i="16"/>
  <c r="K568" i="16" s="1"/>
  <c r="J1622" i="16"/>
  <c r="K1622" i="16" s="1"/>
  <c r="J1606" i="16"/>
  <c r="K1606" i="16" s="1"/>
  <c r="J1590" i="16"/>
  <c r="K1590" i="16" s="1"/>
  <c r="J1574" i="16"/>
  <c r="K1574" i="16" s="1"/>
  <c r="J1558" i="16"/>
  <c r="K1558" i="16" s="1"/>
  <c r="J1542" i="16"/>
  <c r="K1542" i="16" s="1"/>
  <c r="J1526" i="16"/>
  <c r="K1526" i="16" s="1"/>
  <c r="J1510" i="16"/>
  <c r="K1510" i="16" s="1"/>
  <c r="J1494" i="16"/>
  <c r="K1494" i="16" s="1"/>
  <c r="J1478" i="16"/>
  <c r="K1478" i="16" s="1"/>
  <c r="J1462" i="16"/>
  <c r="K1462" i="16" s="1"/>
  <c r="J1446" i="16"/>
  <c r="K1446" i="16" s="1"/>
  <c r="J1430" i="16"/>
  <c r="K1430" i="16" s="1"/>
  <c r="J1414" i="16"/>
  <c r="K1414" i="16" s="1"/>
  <c r="J1398" i="16"/>
  <c r="K1398" i="16" s="1"/>
  <c r="J1382" i="16"/>
  <c r="K1382" i="16" s="1"/>
  <c r="J1366" i="16"/>
  <c r="K1366" i="16" s="1"/>
  <c r="J1350" i="16"/>
  <c r="K1350" i="16" s="1"/>
  <c r="J1334" i="16"/>
  <c r="K1334" i="16" s="1"/>
  <c r="J1318" i="16"/>
  <c r="K1318" i="16" s="1"/>
  <c r="J1302" i="16"/>
  <c r="K1302" i="16" s="1"/>
  <c r="J1286" i="16"/>
  <c r="K1286" i="16" s="1"/>
  <c r="J1270" i="16"/>
  <c r="K1270" i="16" s="1"/>
  <c r="J1254" i="16"/>
  <c r="K1254" i="16" s="1"/>
  <c r="J1238" i="16"/>
  <c r="K1238" i="16" s="1"/>
  <c r="J1195" i="16"/>
  <c r="K1195" i="16" s="1"/>
  <c r="J1131" i="16"/>
  <c r="K1131" i="16" s="1"/>
  <c r="J539" i="16"/>
  <c r="K539" i="16" s="1"/>
  <c r="J527" i="16"/>
  <c r="K527" i="16" s="1"/>
  <c r="J515" i="16"/>
  <c r="K515" i="16" s="1"/>
  <c r="J503" i="16"/>
  <c r="K503" i="16" s="1"/>
  <c r="J491" i="16"/>
  <c r="K491" i="16" s="1"/>
  <c r="J479" i="16"/>
  <c r="K479" i="16" s="1"/>
  <c r="J467" i="16"/>
  <c r="K467" i="16" s="1"/>
  <c r="J455" i="16"/>
  <c r="K455" i="16" s="1"/>
  <c r="J443" i="16"/>
  <c r="K443" i="16" s="1"/>
  <c r="J431" i="16"/>
  <c r="K431" i="16" s="1"/>
  <c r="J419" i="16"/>
  <c r="K419" i="16" s="1"/>
  <c r="J407" i="16"/>
  <c r="K407" i="16" s="1"/>
  <c r="J395" i="16"/>
  <c r="K395" i="16" s="1"/>
  <c r="J383" i="16"/>
  <c r="K383" i="16" s="1"/>
  <c r="J371" i="16"/>
  <c r="K371" i="16" s="1"/>
  <c r="J359" i="16"/>
  <c r="K359" i="16" s="1"/>
  <c r="J347" i="16"/>
  <c r="K347" i="16" s="1"/>
  <c r="J335" i="16"/>
  <c r="K335" i="16" s="1"/>
  <c r="J323" i="16"/>
  <c r="K323" i="16" s="1"/>
  <c r="J311" i="16"/>
  <c r="K311" i="16" s="1"/>
  <c r="J299" i="16"/>
  <c r="K299" i="16" s="1"/>
  <c r="J287" i="16"/>
  <c r="K287" i="16" s="1"/>
  <c r="J271" i="16"/>
  <c r="K271" i="16" s="1"/>
  <c r="J259" i="16"/>
  <c r="K259" i="16" s="1"/>
  <c r="J247" i="16"/>
  <c r="K247" i="16" s="1"/>
  <c r="J235" i="16"/>
  <c r="K235" i="16" s="1"/>
  <c r="J223" i="16"/>
  <c r="K223" i="16" s="1"/>
  <c r="J211" i="16"/>
  <c r="K211" i="16" s="1"/>
  <c r="J199" i="16"/>
  <c r="K199" i="16" s="1"/>
  <c r="J187" i="16"/>
  <c r="K187" i="16" s="1"/>
  <c r="J175" i="16"/>
  <c r="K175" i="16" s="1"/>
  <c r="J167" i="16"/>
  <c r="K167" i="16" s="1"/>
  <c r="J159" i="16"/>
  <c r="K159" i="16" s="1"/>
  <c r="J147" i="16"/>
  <c r="K147" i="16" s="1"/>
  <c r="J1076" i="16"/>
  <c r="K1076" i="16" s="1"/>
  <c r="J1068" i="16"/>
  <c r="K1068" i="16" s="1"/>
  <c r="J1056" i="16"/>
  <c r="K1056" i="16" s="1"/>
  <c r="J1048" i="16"/>
  <c r="K1048" i="16" s="1"/>
  <c r="J1036" i="16"/>
  <c r="K1036" i="16" s="1"/>
  <c r="J1020" i="16"/>
  <c r="K1020" i="16" s="1"/>
  <c r="J1008" i="16"/>
  <c r="K1008" i="16" s="1"/>
  <c r="J996" i="16"/>
  <c r="K996" i="16" s="1"/>
  <c r="J984" i="16"/>
  <c r="K984" i="16" s="1"/>
  <c r="J972" i="16"/>
  <c r="K972" i="16" s="1"/>
  <c r="J960" i="16"/>
  <c r="K960" i="16" s="1"/>
  <c r="J948" i="16"/>
  <c r="K948" i="16" s="1"/>
  <c r="J936" i="16"/>
  <c r="K936" i="16" s="1"/>
  <c r="J924" i="16"/>
  <c r="K924" i="16" s="1"/>
  <c r="J912" i="16"/>
  <c r="K912" i="16" s="1"/>
  <c r="J900" i="16"/>
  <c r="K900" i="16" s="1"/>
  <c r="J892" i="16"/>
  <c r="K892" i="16" s="1"/>
  <c r="J880" i="16"/>
  <c r="K880" i="16" s="1"/>
  <c r="J868" i="16"/>
  <c r="K868" i="16" s="1"/>
  <c r="J856" i="16"/>
  <c r="K856" i="16" s="1"/>
  <c r="J844" i="16"/>
  <c r="K844" i="16" s="1"/>
  <c r="J832" i="16"/>
  <c r="K832" i="16" s="1"/>
  <c r="J820" i="16"/>
  <c r="K820" i="16" s="1"/>
  <c r="J804" i="16"/>
  <c r="K804" i="16" s="1"/>
  <c r="J792" i="16"/>
  <c r="K792" i="16" s="1"/>
  <c r="J780" i="16"/>
  <c r="K780" i="16" s="1"/>
  <c r="J772" i="16"/>
  <c r="K772" i="16" s="1"/>
  <c r="J760" i="16"/>
  <c r="K760" i="16" s="1"/>
  <c r="J752" i="16"/>
  <c r="K752" i="16" s="1"/>
  <c r="J740" i="16"/>
  <c r="K740" i="16" s="1"/>
  <c r="J728" i="16"/>
  <c r="K728" i="16" s="1"/>
  <c r="J716" i="16"/>
  <c r="K716" i="16" s="1"/>
  <c r="J708" i="16"/>
  <c r="K708" i="16" s="1"/>
  <c r="J696" i="16"/>
  <c r="K696" i="16" s="1"/>
  <c r="J684" i="16"/>
  <c r="K684" i="16" s="1"/>
  <c r="J672" i="16"/>
  <c r="K672" i="16" s="1"/>
  <c r="J652" i="16"/>
  <c r="K652" i="16" s="1"/>
  <c r="J628" i="16"/>
  <c r="K628" i="16" s="1"/>
  <c r="J612" i="16"/>
  <c r="K612" i="16" s="1"/>
  <c r="J560" i="16"/>
  <c r="K560" i="16" s="1"/>
  <c r="J1598" i="16"/>
  <c r="K1598" i="16" s="1"/>
  <c r="J1550" i="16"/>
  <c r="K1550" i="16" s="1"/>
  <c r="J1518" i="16"/>
  <c r="K1518" i="16" s="1"/>
  <c r="J1470" i="16"/>
  <c r="K1470" i="16" s="1"/>
  <c r="J1438" i="16"/>
  <c r="K1438" i="16" s="1"/>
  <c r="J1406" i="16"/>
  <c r="K1406" i="16" s="1"/>
  <c r="J1374" i="16"/>
  <c r="K1374" i="16" s="1"/>
  <c r="J1342" i="16"/>
  <c r="K1342" i="16" s="1"/>
  <c r="J1310" i="16"/>
  <c r="K1310" i="16" s="1"/>
  <c r="J1278" i="16"/>
  <c r="K1278" i="16" s="1"/>
  <c r="J1225" i="16"/>
  <c r="K1225" i="16" s="1"/>
  <c r="J544" i="16"/>
  <c r="K544" i="16" s="1"/>
  <c r="J540" i="16"/>
  <c r="K540" i="16" s="1"/>
  <c r="J536" i="16"/>
  <c r="K536" i="16" s="1"/>
  <c r="J532" i="16"/>
  <c r="K532" i="16" s="1"/>
  <c r="J528" i="16"/>
  <c r="K528" i="16" s="1"/>
  <c r="J524" i="16"/>
  <c r="K524" i="16" s="1"/>
  <c r="J520" i="16"/>
  <c r="K520" i="16" s="1"/>
  <c r="J516" i="16"/>
  <c r="K516" i="16" s="1"/>
  <c r="J512" i="16"/>
  <c r="K512" i="16" s="1"/>
  <c r="J508" i="16"/>
  <c r="K508" i="16" s="1"/>
  <c r="J504" i="16"/>
  <c r="K504" i="16" s="1"/>
  <c r="J500" i="16"/>
  <c r="K500" i="16" s="1"/>
  <c r="J496" i="16"/>
  <c r="K496" i="16" s="1"/>
  <c r="J492" i="16"/>
  <c r="K492" i="16" s="1"/>
  <c r="J488" i="16"/>
  <c r="K488" i="16" s="1"/>
  <c r="J484" i="16"/>
  <c r="K484" i="16" s="1"/>
  <c r="J480" i="16"/>
  <c r="K480" i="16" s="1"/>
  <c r="J476" i="16"/>
  <c r="K476" i="16" s="1"/>
  <c r="J472" i="16"/>
  <c r="K472" i="16" s="1"/>
  <c r="J468" i="16"/>
  <c r="K468" i="16" s="1"/>
  <c r="J464" i="16"/>
  <c r="K464" i="16" s="1"/>
  <c r="J460" i="16"/>
  <c r="K460" i="16" s="1"/>
  <c r="J456" i="16"/>
  <c r="K456" i="16" s="1"/>
  <c r="J452" i="16"/>
  <c r="K452" i="16" s="1"/>
  <c r="J448" i="16"/>
  <c r="K448" i="16" s="1"/>
  <c r="J444" i="16"/>
  <c r="K444" i="16" s="1"/>
  <c r="J440" i="16"/>
  <c r="K440" i="16" s="1"/>
  <c r="J436" i="16"/>
  <c r="K436" i="16" s="1"/>
  <c r="J432" i="16"/>
  <c r="K432" i="16" s="1"/>
  <c r="J428" i="16"/>
  <c r="K428" i="16" s="1"/>
  <c r="J424" i="16"/>
  <c r="K424" i="16" s="1"/>
  <c r="J420" i="16"/>
  <c r="K420" i="16" s="1"/>
  <c r="J416" i="16"/>
  <c r="K416" i="16" s="1"/>
  <c r="J412" i="16"/>
  <c r="K412" i="16" s="1"/>
  <c r="J408" i="16"/>
  <c r="K408" i="16" s="1"/>
  <c r="J404" i="16"/>
  <c r="K404" i="16" s="1"/>
  <c r="J400" i="16"/>
  <c r="K400" i="16" s="1"/>
  <c r="J396" i="16"/>
  <c r="K396" i="16" s="1"/>
  <c r="J392" i="16"/>
  <c r="K392" i="16" s="1"/>
  <c r="J388" i="16"/>
  <c r="K388" i="16" s="1"/>
  <c r="J384" i="16"/>
  <c r="K384" i="16" s="1"/>
  <c r="J380" i="16"/>
  <c r="K380" i="16" s="1"/>
  <c r="J376" i="16"/>
  <c r="K376" i="16" s="1"/>
  <c r="J372" i="16"/>
  <c r="K372" i="16" s="1"/>
  <c r="J368" i="16"/>
  <c r="K368" i="16" s="1"/>
  <c r="J364" i="16"/>
  <c r="K364" i="16" s="1"/>
  <c r="J360" i="16"/>
  <c r="K360" i="16" s="1"/>
  <c r="J356" i="16"/>
  <c r="K356" i="16" s="1"/>
  <c r="J352" i="16"/>
  <c r="K352" i="16" s="1"/>
  <c r="J348" i="16"/>
  <c r="K348" i="16" s="1"/>
  <c r="J344" i="16"/>
  <c r="K344" i="16" s="1"/>
  <c r="J340" i="16"/>
  <c r="K340" i="16" s="1"/>
  <c r="J336" i="16"/>
  <c r="K336" i="16" s="1"/>
  <c r="J332" i="16"/>
  <c r="K332" i="16" s="1"/>
  <c r="J328" i="16"/>
  <c r="K328" i="16" s="1"/>
  <c r="J324" i="16"/>
  <c r="K324" i="16" s="1"/>
  <c r="J320" i="16"/>
  <c r="K320" i="16" s="1"/>
  <c r="J316" i="16"/>
  <c r="K316" i="16" s="1"/>
  <c r="J312" i="16"/>
  <c r="K312" i="16" s="1"/>
  <c r="J308" i="16"/>
  <c r="K308" i="16" s="1"/>
  <c r="J304" i="16"/>
  <c r="K304" i="16" s="1"/>
  <c r="J300" i="16"/>
  <c r="K300" i="16" s="1"/>
  <c r="J296" i="16"/>
  <c r="K296" i="16" s="1"/>
  <c r="J292" i="16"/>
  <c r="K292" i="16" s="1"/>
  <c r="J288" i="16"/>
  <c r="K288" i="16" s="1"/>
  <c r="J284" i="16"/>
  <c r="K284" i="16" s="1"/>
  <c r="J280" i="16"/>
  <c r="K280" i="16" s="1"/>
  <c r="J276" i="16"/>
  <c r="K276" i="16" s="1"/>
  <c r="J272" i="16"/>
  <c r="K272" i="16" s="1"/>
  <c r="J268" i="16"/>
  <c r="K268" i="16" s="1"/>
  <c r="J264" i="16"/>
  <c r="K264" i="16" s="1"/>
  <c r="J260" i="16"/>
  <c r="K260" i="16" s="1"/>
  <c r="J256" i="16"/>
  <c r="K256" i="16" s="1"/>
  <c r="J252" i="16"/>
  <c r="K252" i="16" s="1"/>
  <c r="J248" i="16"/>
  <c r="K248" i="16" s="1"/>
  <c r="J244" i="16"/>
  <c r="K244" i="16" s="1"/>
  <c r="J240" i="16"/>
  <c r="K240" i="16" s="1"/>
  <c r="J236" i="16"/>
  <c r="K236" i="16" s="1"/>
  <c r="J232" i="16"/>
  <c r="K232" i="16" s="1"/>
  <c r="J228" i="16"/>
  <c r="K228" i="16" s="1"/>
  <c r="J224" i="16"/>
  <c r="K224" i="16" s="1"/>
  <c r="J220" i="16"/>
  <c r="K220" i="16" s="1"/>
  <c r="J216" i="16"/>
  <c r="K216" i="16" s="1"/>
  <c r="J212" i="16"/>
  <c r="K212" i="16" s="1"/>
  <c r="J208" i="16"/>
  <c r="K208" i="16" s="1"/>
  <c r="J204" i="16"/>
  <c r="K204" i="16" s="1"/>
  <c r="J200" i="16"/>
  <c r="K200" i="16" s="1"/>
  <c r="J196" i="16"/>
  <c r="K196" i="16" s="1"/>
  <c r="J192" i="16"/>
  <c r="K192" i="16" s="1"/>
  <c r="J188" i="16"/>
  <c r="K188" i="16" s="1"/>
  <c r="J184" i="16"/>
  <c r="K184" i="16" s="1"/>
  <c r="J180" i="16"/>
  <c r="K180" i="16" s="1"/>
  <c r="J176" i="16"/>
  <c r="K176" i="16" s="1"/>
  <c r="J172" i="16"/>
  <c r="K172" i="16" s="1"/>
  <c r="J168" i="16"/>
  <c r="K168" i="16" s="1"/>
  <c r="J164" i="16"/>
  <c r="K164" i="16" s="1"/>
  <c r="J160" i="16"/>
  <c r="K160" i="16" s="1"/>
  <c r="J156" i="16"/>
  <c r="K156" i="16" s="1"/>
  <c r="J152" i="16"/>
  <c r="K152" i="16" s="1"/>
  <c r="J148" i="16"/>
  <c r="K148" i="16" s="1"/>
  <c r="J1085" i="16"/>
  <c r="K1085" i="16" s="1"/>
  <c r="J1081" i="16"/>
  <c r="K1081" i="16" s="1"/>
  <c r="J1077" i="16"/>
  <c r="K1077" i="16" s="1"/>
  <c r="J1073" i="16"/>
  <c r="K1073" i="16" s="1"/>
  <c r="J1069" i="16"/>
  <c r="K1069" i="16" s="1"/>
  <c r="J1065" i="16"/>
  <c r="K1065" i="16" s="1"/>
  <c r="J1061" i="16"/>
  <c r="K1061" i="16" s="1"/>
  <c r="J1057" i="16"/>
  <c r="K1057" i="16" s="1"/>
  <c r="J1053" i="16"/>
  <c r="K1053" i="16" s="1"/>
  <c r="J1049" i="16"/>
  <c r="K1049" i="16" s="1"/>
  <c r="J1045" i="16"/>
  <c r="K1045" i="16" s="1"/>
  <c r="J1041" i="16"/>
  <c r="K1041" i="16" s="1"/>
  <c r="J1037" i="16"/>
  <c r="K1037" i="16" s="1"/>
  <c r="J1033" i="16"/>
  <c r="K1033" i="16" s="1"/>
  <c r="J1029" i="16"/>
  <c r="K1029" i="16" s="1"/>
  <c r="J1025" i="16"/>
  <c r="K1025" i="16" s="1"/>
  <c r="J1021" i="16"/>
  <c r="K1021" i="16" s="1"/>
  <c r="J1017" i="16"/>
  <c r="K1017" i="16" s="1"/>
  <c r="J1013" i="16"/>
  <c r="K1013" i="16" s="1"/>
  <c r="J1009" i="16"/>
  <c r="K1009" i="16" s="1"/>
  <c r="J1005" i="16"/>
  <c r="K1005" i="16" s="1"/>
  <c r="J1001" i="16"/>
  <c r="K1001" i="16" s="1"/>
  <c r="J997" i="16"/>
  <c r="K997" i="16" s="1"/>
  <c r="J993" i="16"/>
  <c r="K993" i="16" s="1"/>
  <c r="J989" i="16"/>
  <c r="K989" i="16" s="1"/>
  <c r="J985" i="16"/>
  <c r="K985" i="16" s="1"/>
  <c r="J981" i="16"/>
  <c r="K981" i="16" s="1"/>
  <c r="J977" i="16"/>
  <c r="K977" i="16" s="1"/>
  <c r="J973" i="16"/>
  <c r="K973" i="16" s="1"/>
  <c r="J969" i="16"/>
  <c r="K969" i="16" s="1"/>
  <c r="J965" i="16"/>
  <c r="K965" i="16" s="1"/>
  <c r="J961" i="16"/>
  <c r="K961" i="16" s="1"/>
  <c r="J957" i="16"/>
  <c r="K957" i="16" s="1"/>
  <c r="J953" i="16"/>
  <c r="K953" i="16" s="1"/>
  <c r="J949" i="16"/>
  <c r="K949" i="16" s="1"/>
  <c r="J945" i="16"/>
  <c r="K945" i="16" s="1"/>
  <c r="J941" i="16"/>
  <c r="K941" i="16" s="1"/>
  <c r="J937" i="16"/>
  <c r="K937" i="16" s="1"/>
  <c r="J933" i="16"/>
  <c r="K933" i="16" s="1"/>
  <c r="J929" i="16"/>
  <c r="K929" i="16" s="1"/>
  <c r="J925" i="16"/>
  <c r="K925" i="16" s="1"/>
  <c r="J921" i="16"/>
  <c r="K921" i="16" s="1"/>
  <c r="J917" i="16"/>
  <c r="K917" i="16" s="1"/>
  <c r="J913" i="16"/>
  <c r="K913" i="16" s="1"/>
  <c r="J909" i="16"/>
  <c r="K909" i="16" s="1"/>
  <c r="J905" i="16"/>
  <c r="K905" i="16" s="1"/>
  <c r="J901" i="16"/>
  <c r="K901" i="16" s="1"/>
  <c r="J897" i="16"/>
  <c r="K897" i="16" s="1"/>
  <c r="J893" i="16"/>
  <c r="K893" i="16" s="1"/>
  <c r="J889" i="16"/>
  <c r="K889" i="16" s="1"/>
  <c r="J885" i="16"/>
  <c r="K885" i="16" s="1"/>
  <c r="J881" i="16"/>
  <c r="K881" i="16" s="1"/>
  <c r="J877" i="16"/>
  <c r="K877" i="16" s="1"/>
  <c r="J873" i="16"/>
  <c r="K873" i="16" s="1"/>
  <c r="J869" i="16"/>
  <c r="K869" i="16" s="1"/>
  <c r="J865" i="16"/>
  <c r="K865" i="16" s="1"/>
  <c r="J861" i="16"/>
  <c r="K861" i="16" s="1"/>
  <c r="J857" i="16"/>
  <c r="K857" i="16" s="1"/>
  <c r="J853" i="16"/>
  <c r="K853" i="16" s="1"/>
  <c r="J849" i="16"/>
  <c r="K849" i="16" s="1"/>
  <c r="J845" i="16"/>
  <c r="K845" i="16" s="1"/>
  <c r="J841" i="16"/>
  <c r="K841" i="16" s="1"/>
  <c r="J837" i="16"/>
  <c r="K837" i="16" s="1"/>
  <c r="J833" i="16"/>
  <c r="K833" i="16" s="1"/>
  <c r="J829" i="16"/>
  <c r="K829" i="16" s="1"/>
  <c r="J825" i="16"/>
  <c r="K825" i="16" s="1"/>
  <c r="J821" i="16"/>
  <c r="K821" i="16" s="1"/>
  <c r="J817" i="16"/>
  <c r="K817" i="16" s="1"/>
  <c r="J813" i="16"/>
  <c r="K813" i="16" s="1"/>
  <c r="J809" i="16"/>
  <c r="K809" i="16" s="1"/>
  <c r="J805" i="16"/>
  <c r="K805" i="16" s="1"/>
  <c r="J801" i="16"/>
  <c r="K801" i="16" s="1"/>
  <c r="J797" i="16"/>
  <c r="K797" i="16" s="1"/>
  <c r="J793" i="16"/>
  <c r="K793" i="16" s="1"/>
  <c r="J789" i="16"/>
  <c r="K789" i="16" s="1"/>
  <c r="J785" i="16"/>
  <c r="K785" i="16" s="1"/>
  <c r="J781" i="16"/>
  <c r="K781" i="16" s="1"/>
  <c r="J777" i="16"/>
  <c r="K777" i="16" s="1"/>
  <c r="J773" i="16"/>
  <c r="K773" i="16" s="1"/>
  <c r="J769" i="16"/>
  <c r="K769" i="16" s="1"/>
  <c r="J765" i="16"/>
  <c r="K765" i="16" s="1"/>
  <c r="J761" i="16"/>
  <c r="K761" i="16" s="1"/>
  <c r="J757" i="16"/>
  <c r="K757" i="16" s="1"/>
  <c r="J753" i="16"/>
  <c r="K753" i="16" s="1"/>
  <c r="J749" i="16"/>
  <c r="K749" i="16" s="1"/>
  <c r="J745" i="16"/>
  <c r="K745" i="16" s="1"/>
  <c r="J741" i="16"/>
  <c r="K741" i="16" s="1"/>
  <c r="J737" i="16"/>
  <c r="K737" i="16" s="1"/>
  <c r="J733" i="16"/>
  <c r="K733" i="16" s="1"/>
  <c r="J729" i="16"/>
  <c r="K729" i="16" s="1"/>
  <c r="J725" i="16"/>
  <c r="K725" i="16" s="1"/>
  <c r="J721" i="16"/>
  <c r="K721" i="16" s="1"/>
  <c r="J717" i="16"/>
  <c r="K717" i="16" s="1"/>
  <c r="J713" i="16"/>
  <c r="K713" i="16" s="1"/>
  <c r="J709" i="16"/>
  <c r="K709" i="16" s="1"/>
  <c r="J705" i="16"/>
  <c r="K705" i="16" s="1"/>
  <c r="J701" i="16"/>
  <c r="K701" i="16" s="1"/>
  <c r="J697" i="16"/>
  <c r="K697" i="16" s="1"/>
  <c r="J693" i="16"/>
  <c r="K693" i="16" s="1"/>
  <c r="J689" i="16"/>
  <c r="K689" i="16" s="1"/>
  <c r="J685" i="16"/>
  <c r="K685" i="16" s="1"/>
  <c r="J681" i="16"/>
  <c r="K681" i="16" s="1"/>
  <c r="J677" i="16"/>
  <c r="K677" i="16" s="1"/>
  <c r="J673" i="16"/>
  <c r="K673" i="16" s="1"/>
  <c r="J669" i="16"/>
  <c r="K669" i="16" s="1"/>
  <c r="J662" i="16"/>
  <c r="K662" i="16" s="1"/>
  <c r="J654" i="16"/>
  <c r="K654" i="16" s="1"/>
  <c r="J646" i="16"/>
  <c r="K646" i="16" s="1"/>
  <c r="J638" i="16"/>
  <c r="K638" i="16" s="1"/>
  <c r="J630" i="16"/>
  <c r="K630" i="16" s="1"/>
  <c r="J622" i="16"/>
  <c r="K622" i="16" s="1"/>
  <c r="J614" i="16"/>
  <c r="K614" i="16" s="1"/>
  <c r="J606" i="16"/>
  <c r="K606" i="16" s="1"/>
  <c r="J596" i="16"/>
  <c r="K596" i="16" s="1"/>
  <c r="J580" i="16"/>
  <c r="K580" i="16" s="1"/>
  <c r="J564" i="16"/>
  <c r="K564" i="16" s="1"/>
  <c r="J1618" i="16"/>
  <c r="K1618" i="16" s="1"/>
  <c r="J1602" i="16"/>
  <c r="K1602" i="16" s="1"/>
  <c r="J1586" i="16"/>
  <c r="K1586" i="16" s="1"/>
  <c r="J1570" i="16"/>
  <c r="K1570" i="16" s="1"/>
  <c r="J1554" i="16"/>
  <c r="K1554" i="16" s="1"/>
  <c r="J1538" i="16"/>
  <c r="K1538" i="16" s="1"/>
  <c r="J1522" i="16"/>
  <c r="K1522" i="16" s="1"/>
  <c r="J1506" i="16"/>
  <c r="K1506" i="16" s="1"/>
  <c r="J1490" i="16"/>
  <c r="K1490" i="16" s="1"/>
  <c r="J1474" i="16"/>
  <c r="K1474" i="16" s="1"/>
  <c r="J1458" i="16"/>
  <c r="K1458" i="16" s="1"/>
  <c r="J1442" i="16"/>
  <c r="K1442" i="16" s="1"/>
  <c r="J1426" i="16"/>
  <c r="K1426" i="16" s="1"/>
  <c r="J1410" i="16"/>
  <c r="K1410" i="16" s="1"/>
  <c r="J1394" i="16"/>
  <c r="K1394" i="16" s="1"/>
  <c r="J1378" i="16"/>
  <c r="K1378" i="16" s="1"/>
  <c r="J1362" i="16"/>
  <c r="K1362" i="16" s="1"/>
  <c r="J1346" i="16"/>
  <c r="K1346" i="16" s="1"/>
  <c r="J1330" i="16"/>
  <c r="K1330" i="16" s="1"/>
  <c r="J1314" i="16"/>
  <c r="K1314" i="16" s="1"/>
  <c r="J1298" i="16"/>
  <c r="K1298" i="16" s="1"/>
  <c r="J1282" i="16"/>
  <c r="K1282" i="16" s="1"/>
  <c r="J1266" i="16"/>
  <c r="K1266" i="16" s="1"/>
  <c r="J1250" i="16"/>
  <c r="K1250" i="16" s="1"/>
  <c r="J1233" i="16"/>
  <c r="K1233" i="16" s="1"/>
  <c r="J1179" i="16"/>
  <c r="K1179" i="16" s="1"/>
  <c r="J1115" i="16"/>
  <c r="K1115" i="16" s="1"/>
  <c r="J667" i="16"/>
  <c r="K667" i="16" s="1"/>
  <c r="J663" i="16"/>
  <c r="K663" i="16" s="1"/>
  <c r="J659" i="16"/>
  <c r="K659" i="16" s="1"/>
  <c r="J655" i="16"/>
  <c r="K655" i="16" s="1"/>
  <c r="J651" i="16"/>
  <c r="K651" i="16" s="1"/>
  <c r="J647" i="16"/>
  <c r="K647" i="16" s="1"/>
  <c r="J643" i="16"/>
  <c r="K643" i="16" s="1"/>
  <c r="J639" i="16"/>
  <c r="K639" i="16" s="1"/>
  <c r="J635" i="16"/>
  <c r="K635" i="16" s="1"/>
  <c r="J631" i="16"/>
  <c r="K631" i="16" s="1"/>
  <c r="J627" i="16"/>
  <c r="K627" i="16" s="1"/>
  <c r="J623" i="16"/>
  <c r="K623" i="16" s="1"/>
  <c r="J619" i="16"/>
  <c r="K619" i="16" s="1"/>
  <c r="J615" i="16"/>
  <c r="K615" i="16" s="1"/>
  <c r="J611" i="16"/>
  <c r="K611" i="16" s="1"/>
  <c r="J607" i="16"/>
  <c r="K607" i="16" s="1"/>
  <c r="J603" i="16"/>
  <c r="K603" i="16" s="1"/>
  <c r="J599" i="16"/>
  <c r="K599" i="16" s="1"/>
  <c r="J595" i="16"/>
  <c r="K595" i="16" s="1"/>
  <c r="J591" i="16"/>
  <c r="K591" i="16" s="1"/>
  <c r="J587" i="16"/>
  <c r="K587" i="16" s="1"/>
  <c r="J583" i="16"/>
  <c r="K583" i="16" s="1"/>
  <c r="J579" i="16"/>
  <c r="K579" i="16" s="1"/>
  <c r="J575" i="16"/>
  <c r="K575" i="16" s="1"/>
  <c r="J571" i="16"/>
  <c r="K571" i="16" s="1"/>
  <c r="J567" i="16"/>
  <c r="K567" i="16" s="1"/>
  <c r="J563" i="16"/>
  <c r="K563" i="16" s="1"/>
  <c r="J1101" i="16"/>
  <c r="K1101" i="16" s="1"/>
  <c r="J1625" i="16"/>
  <c r="K1625" i="16" s="1"/>
  <c r="J1621" i="16"/>
  <c r="K1621" i="16" s="1"/>
  <c r="J1617" i="16"/>
  <c r="K1617" i="16" s="1"/>
  <c r="J1613" i="16"/>
  <c r="K1613" i="16" s="1"/>
  <c r="J1609" i="16"/>
  <c r="K1609" i="16" s="1"/>
  <c r="J1605" i="16"/>
  <c r="K1605" i="16" s="1"/>
  <c r="J1601" i="16"/>
  <c r="K1601" i="16" s="1"/>
  <c r="J1597" i="16"/>
  <c r="K1597" i="16" s="1"/>
  <c r="J1593" i="16"/>
  <c r="K1593" i="16" s="1"/>
  <c r="J1589" i="16"/>
  <c r="K1589" i="16" s="1"/>
  <c r="J1585" i="16"/>
  <c r="K1585" i="16" s="1"/>
  <c r="J1581" i="16"/>
  <c r="K1581" i="16" s="1"/>
  <c r="J1577" i="16"/>
  <c r="K1577" i="16" s="1"/>
  <c r="J1573" i="16"/>
  <c r="K1573" i="16" s="1"/>
  <c r="J1569" i="16"/>
  <c r="K1569" i="16" s="1"/>
  <c r="J1565" i="16"/>
  <c r="K1565" i="16" s="1"/>
  <c r="J1561" i="16"/>
  <c r="K1561" i="16" s="1"/>
  <c r="J1557" i="16"/>
  <c r="K1557" i="16" s="1"/>
  <c r="J1553" i="16"/>
  <c r="K1553" i="16" s="1"/>
  <c r="J1549" i="16"/>
  <c r="K1549" i="16" s="1"/>
  <c r="J1545" i="16"/>
  <c r="K1545" i="16" s="1"/>
  <c r="J1541" i="16"/>
  <c r="K1541" i="16" s="1"/>
  <c r="J1537" i="16"/>
  <c r="K1537" i="16" s="1"/>
  <c r="J1533" i="16"/>
  <c r="K1533" i="16" s="1"/>
  <c r="J1529" i="16"/>
  <c r="K1529" i="16" s="1"/>
  <c r="J1525" i="16"/>
  <c r="K1525" i="16" s="1"/>
  <c r="J1521" i="16"/>
  <c r="K1521" i="16" s="1"/>
  <c r="J1517" i="16"/>
  <c r="K1517" i="16" s="1"/>
  <c r="J1513" i="16"/>
  <c r="K1513" i="16" s="1"/>
  <c r="J1509" i="16"/>
  <c r="K1509" i="16" s="1"/>
  <c r="J1505" i="16"/>
  <c r="K1505" i="16" s="1"/>
  <c r="J1501" i="16"/>
  <c r="K1501" i="16" s="1"/>
  <c r="J1497" i="16"/>
  <c r="K1497" i="16" s="1"/>
  <c r="J1493" i="16"/>
  <c r="K1493" i="16" s="1"/>
  <c r="J1489" i="16"/>
  <c r="K1489" i="16" s="1"/>
  <c r="J1485" i="16"/>
  <c r="K1485" i="16" s="1"/>
  <c r="J1481" i="16"/>
  <c r="K1481" i="16" s="1"/>
  <c r="J1477" i="16"/>
  <c r="K1477" i="16" s="1"/>
  <c r="J1473" i="16"/>
  <c r="K1473" i="16" s="1"/>
  <c r="J1469" i="16"/>
  <c r="K1469" i="16" s="1"/>
  <c r="J1465" i="16"/>
  <c r="K1465" i="16" s="1"/>
  <c r="J1461" i="16"/>
  <c r="K1461" i="16" s="1"/>
  <c r="J1457" i="16"/>
  <c r="K1457" i="16" s="1"/>
  <c r="J1453" i="16"/>
  <c r="K1453" i="16" s="1"/>
  <c r="J1449" i="16"/>
  <c r="K1449" i="16" s="1"/>
  <c r="J1445" i="16"/>
  <c r="K1445" i="16" s="1"/>
  <c r="J1441" i="16"/>
  <c r="K1441" i="16" s="1"/>
  <c r="J1437" i="16"/>
  <c r="K1437" i="16" s="1"/>
  <c r="J1433" i="16"/>
  <c r="K1433" i="16" s="1"/>
  <c r="J1429" i="16"/>
  <c r="K1429" i="16" s="1"/>
  <c r="J1425" i="16"/>
  <c r="K1425" i="16" s="1"/>
  <c r="J1421" i="16"/>
  <c r="K1421" i="16" s="1"/>
  <c r="J1417" i="16"/>
  <c r="K1417" i="16" s="1"/>
  <c r="J1413" i="16"/>
  <c r="K1413" i="16" s="1"/>
  <c r="J1409" i="16"/>
  <c r="K1409" i="16" s="1"/>
  <c r="J1405" i="16"/>
  <c r="K1405" i="16" s="1"/>
  <c r="J1401" i="16"/>
  <c r="K1401" i="16" s="1"/>
  <c r="J1397" i="16"/>
  <c r="K1397" i="16" s="1"/>
  <c r="J1393" i="16"/>
  <c r="K1393" i="16" s="1"/>
  <c r="J1389" i="16"/>
  <c r="K1389" i="16" s="1"/>
  <c r="J1385" i="16"/>
  <c r="K1385" i="16" s="1"/>
  <c r="J1381" i="16"/>
  <c r="K1381" i="16" s="1"/>
  <c r="J1377" i="16"/>
  <c r="K1377" i="16" s="1"/>
  <c r="J1373" i="16"/>
  <c r="K1373" i="16" s="1"/>
  <c r="J1369" i="16"/>
  <c r="K1369" i="16" s="1"/>
  <c r="J1365" i="16"/>
  <c r="K1365" i="16" s="1"/>
  <c r="J1361" i="16"/>
  <c r="K1361" i="16" s="1"/>
  <c r="J1357" i="16"/>
  <c r="K1357" i="16" s="1"/>
  <c r="J1353" i="16"/>
  <c r="K1353" i="16" s="1"/>
  <c r="J1349" i="16"/>
  <c r="K1349" i="16" s="1"/>
  <c r="J1345" i="16"/>
  <c r="K1345" i="16" s="1"/>
  <c r="J1341" i="16"/>
  <c r="K1341" i="16" s="1"/>
  <c r="J1337" i="16"/>
  <c r="K1337" i="16" s="1"/>
  <c r="J1333" i="16"/>
  <c r="K1333" i="16" s="1"/>
  <c r="J1329" i="16"/>
  <c r="K1329" i="16" s="1"/>
  <c r="J1325" i="16"/>
  <c r="K1325" i="16" s="1"/>
  <c r="J1321" i="16"/>
  <c r="K1321" i="16" s="1"/>
  <c r="J1317" i="16"/>
  <c r="K1317" i="16" s="1"/>
  <c r="J1313" i="16"/>
  <c r="K1313" i="16" s="1"/>
  <c r="J1309" i="16"/>
  <c r="K1309" i="16" s="1"/>
  <c r="J1305" i="16"/>
  <c r="K1305" i="16" s="1"/>
  <c r="J1301" i="16"/>
  <c r="K1301" i="16" s="1"/>
  <c r="J1297" i="16"/>
  <c r="K1297" i="16" s="1"/>
  <c r="J1293" i="16"/>
  <c r="K1293" i="16" s="1"/>
  <c r="J1289" i="16"/>
  <c r="K1289" i="16" s="1"/>
  <c r="J1285" i="16"/>
  <c r="K1285" i="16" s="1"/>
  <c r="J1281" i="16"/>
  <c r="K1281" i="16" s="1"/>
  <c r="J1277" i="16"/>
  <c r="K1277" i="16" s="1"/>
  <c r="J1273" i="16"/>
  <c r="K1273" i="16" s="1"/>
  <c r="J1269" i="16"/>
  <c r="K1269" i="16" s="1"/>
  <c r="J1265" i="16"/>
  <c r="K1265" i="16" s="1"/>
  <c r="J1261" i="16"/>
  <c r="K1261" i="16" s="1"/>
  <c r="J1257" i="16"/>
  <c r="K1257" i="16" s="1"/>
  <c r="J1253" i="16"/>
  <c r="K1253" i="16" s="1"/>
  <c r="J1249" i="16"/>
  <c r="K1249" i="16" s="1"/>
  <c r="J1245" i="16"/>
  <c r="K1245" i="16" s="1"/>
  <c r="J1241" i="16"/>
  <c r="K1241" i="16" s="1"/>
  <c r="J1237" i="16"/>
  <c r="K1237" i="16" s="1"/>
  <c r="J1231" i="16"/>
  <c r="K1231" i="16" s="1"/>
  <c r="J1223" i="16"/>
  <c r="K1223" i="16" s="1"/>
  <c r="J1207" i="16"/>
  <c r="K1207" i="16" s="1"/>
  <c r="J1191" i="16"/>
  <c r="K1191" i="16" s="1"/>
  <c r="J1175" i="16"/>
  <c r="K1175" i="16" s="1"/>
  <c r="J1159" i="16"/>
  <c r="K1159" i="16" s="1"/>
  <c r="J1143" i="16"/>
  <c r="K1143" i="16" s="1"/>
  <c r="J1127" i="16"/>
  <c r="K1127" i="16" s="1"/>
  <c r="J1111" i="16"/>
  <c r="K1111" i="16" s="1"/>
  <c r="J598" i="16"/>
  <c r="K598" i="16" s="1"/>
  <c r="J594" i="16"/>
  <c r="K594" i="16" s="1"/>
  <c r="J590" i="16"/>
  <c r="K590" i="16" s="1"/>
  <c r="J586" i="16"/>
  <c r="K586" i="16" s="1"/>
  <c r="J582" i="16"/>
  <c r="K582" i="16" s="1"/>
  <c r="J578" i="16"/>
  <c r="K578" i="16" s="1"/>
  <c r="J574" i="16"/>
  <c r="K574" i="16" s="1"/>
  <c r="J570" i="16"/>
  <c r="K570" i="16" s="1"/>
  <c r="J566" i="16"/>
  <c r="K566" i="16" s="1"/>
  <c r="J562" i="16"/>
  <c r="K562" i="16" s="1"/>
  <c r="J1628" i="16"/>
  <c r="K1628" i="16" s="1"/>
  <c r="J1624" i="16"/>
  <c r="K1624" i="16" s="1"/>
  <c r="J1620" i="16"/>
  <c r="K1620" i="16" s="1"/>
  <c r="J1616" i="16"/>
  <c r="K1616" i="16" s="1"/>
  <c r="J1612" i="16"/>
  <c r="K1612" i="16" s="1"/>
  <c r="J1608" i="16"/>
  <c r="K1608" i="16" s="1"/>
  <c r="J1604" i="16"/>
  <c r="K1604" i="16" s="1"/>
  <c r="J1600" i="16"/>
  <c r="K1600" i="16" s="1"/>
  <c r="J1596" i="16"/>
  <c r="K1596" i="16" s="1"/>
  <c r="J1592" i="16"/>
  <c r="K1592" i="16" s="1"/>
  <c r="J1588" i="16"/>
  <c r="K1588" i="16" s="1"/>
  <c r="J1584" i="16"/>
  <c r="K1584" i="16" s="1"/>
  <c r="J1580" i="16"/>
  <c r="K1580" i="16" s="1"/>
  <c r="J1576" i="16"/>
  <c r="K1576" i="16" s="1"/>
  <c r="J1572" i="16"/>
  <c r="K1572" i="16" s="1"/>
  <c r="J1568" i="16"/>
  <c r="K1568" i="16" s="1"/>
  <c r="J1564" i="16"/>
  <c r="K1564" i="16" s="1"/>
  <c r="J1560" i="16"/>
  <c r="K1560" i="16" s="1"/>
  <c r="J1556" i="16"/>
  <c r="K1556" i="16" s="1"/>
  <c r="J1552" i="16"/>
  <c r="K1552" i="16" s="1"/>
  <c r="J1548" i="16"/>
  <c r="K1548" i="16" s="1"/>
  <c r="J1544" i="16"/>
  <c r="K1544" i="16" s="1"/>
  <c r="J1540" i="16"/>
  <c r="K1540" i="16" s="1"/>
  <c r="J1536" i="16"/>
  <c r="K1536" i="16" s="1"/>
  <c r="J1532" i="16"/>
  <c r="K1532" i="16" s="1"/>
  <c r="J1528" i="16"/>
  <c r="K1528" i="16" s="1"/>
  <c r="J1524" i="16"/>
  <c r="K1524" i="16" s="1"/>
  <c r="J1520" i="16"/>
  <c r="K1520" i="16" s="1"/>
  <c r="J1516" i="16"/>
  <c r="K1516" i="16" s="1"/>
  <c r="J1512" i="16"/>
  <c r="K1512" i="16" s="1"/>
  <c r="J1508" i="16"/>
  <c r="K1508" i="16" s="1"/>
  <c r="J1504" i="16"/>
  <c r="K1504" i="16" s="1"/>
  <c r="J1500" i="16"/>
  <c r="K1500" i="16" s="1"/>
  <c r="J1496" i="16"/>
  <c r="K1496" i="16" s="1"/>
  <c r="J1492" i="16"/>
  <c r="K1492" i="16" s="1"/>
  <c r="J1488" i="16"/>
  <c r="K1488" i="16" s="1"/>
  <c r="J1484" i="16"/>
  <c r="K1484" i="16" s="1"/>
  <c r="J1480" i="16"/>
  <c r="K1480" i="16" s="1"/>
  <c r="J1476" i="16"/>
  <c r="K1476" i="16" s="1"/>
  <c r="J1472" i="16"/>
  <c r="K1472" i="16" s="1"/>
  <c r="J1468" i="16"/>
  <c r="K1468" i="16" s="1"/>
  <c r="J1464" i="16"/>
  <c r="K1464" i="16" s="1"/>
  <c r="J1460" i="16"/>
  <c r="K1460" i="16" s="1"/>
  <c r="J1456" i="16"/>
  <c r="K1456" i="16" s="1"/>
  <c r="J1452" i="16"/>
  <c r="K1452" i="16" s="1"/>
  <c r="J1448" i="16"/>
  <c r="K1448" i="16" s="1"/>
  <c r="J1444" i="16"/>
  <c r="K1444" i="16" s="1"/>
  <c r="J1440" i="16"/>
  <c r="K1440" i="16" s="1"/>
  <c r="J1436" i="16"/>
  <c r="K1436" i="16" s="1"/>
  <c r="J1432" i="16"/>
  <c r="K1432" i="16" s="1"/>
  <c r="J1428" i="16"/>
  <c r="K1428" i="16" s="1"/>
  <c r="J1424" i="16"/>
  <c r="K1424" i="16" s="1"/>
  <c r="J1420" i="16"/>
  <c r="K1420" i="16" s="1"/>
  <c r="J1416" i="16"/>
  <c r="K1416" i="16" s="1"/>
  <c r="J1412" i="16"/>
  <c r="K1412" i="16" s="1"/>
  <c r="J1408" i="16"/>
  <c r="K1408" i="16" s="1"/>
  <c r="J1404" i="16"/>
  <c r="K1404" i="16" s="1"/>
  <c r="J1400" i="16"/>
  <c r="K1400" i="16" s="1"/>
  <c r="J1396" i="16"/>
  <c r="K1396" i="16" s="1"/>
  <c r="J1392" i="16"/>
  <c r="K1392" i="16" s="1"/>
  <c r="J1388" i="16"/>
  <c r="K1388" i="16" s="1"/>
  <c r="J1384" i="16"/>
  <c r="K1384" i="16" s="1"/>
  <c r="J1380" i="16"/>
  <c r="K1380" i="16" s="1"/>
  <c r="J1376" i="16"/>
  <c r="K1376" i="16" s="1"/>
  <c r="J1372" i="16"/>
  <c r="K1372" i="16" s="1"/>
  <c r="J1368" i="16"/>
  <c r="K1368" i="16" s="1"/>
  <c r="J1364" i="16"/>
  <c r="K1364" i="16" s="1"/>
  <c r="J1360" i="16"/>
  <c r="K1360" i="16" s="1"/>
  <c r="J1356" i="16"/>
  <c r="K1356" i="16" s="1"/>
  <c r="J1352" i="16"/>
  <c r="K1352" i="16" s="1"/>
  <c r="J1348" i="16"/>
  <c r="K1348" i="16" s="1"/>
  <c r="J1344" i="16"/>
  <c r="K1344" i="16" s="1"/>
  <c r="J1340" i="16"/>
  <c r="K1340" i="16" s="1"/>
  <c r="J1336" i="16"/>
  <c r="K1336" i="16" s="1"/>
  <c r="J1332" i="16"/>
  <c r="K1332" i="16" s="1"/>
  <c r="J1328" i="16"/>
  <c r="K1328" i="16" s="1"/>
  <c r="J1324" i="16"/>
  <c r="K1324" i="16" s="1"/>
  <c r="J1320" i="16"/>
  <c r="K1320" i="16" s="1"/>
  <c r="J1316" i="16"/>
  <c r="K1316" i="16" s="1"/>
  <c r="J1312" i="16"/>
  <c r="K1312" i="16" s="1"/>
  <c r="J1308" i="16"/>
  <c r="K1308" i="16" s="1"/>
  <c r="J1304" i="16"/>
  <c r="K1304" i="16" s="1"/>
  <c r="J1300" i="16"/>
  <c r="K1300" i="16" s="1"/>
  <c r="J1296" i="16"/>
  <c r="K1296" i="16" s="1"/>
  <c r="J1292" i="16"/>
  <c r="K1292" i="16" s="1"/>
  <c r="J1288" i="16"/>
  <c r="K1288" i="16" s="1"/>
  <c r="J1284" i="16"/>
  <c r="K1284" i="16" s="1"/>
  <c r="J1280" i="16"/>
  <c r="K1280" i="16" s="1"/>
  <c r="J1276" i="16"/>
  <c r="K1276" i="16" s="1"/>
  <c r="J1272" i="16"/>
  <c r="K1272" i="16" s="1"/>
  <c r="J1268" i="16"/>
  <c r="K1268" i="16" s="1"/>
  <c r="J1264" i="16"/>
  <c r="K1264" i="16" s="1"/>
  <c r="J1260" i="16"/>
  <c r="K1260" i="16" s="1"/>
  <c r="J1256" i="16"/>
  <c r="K1256" i="16" s="1"/>
  <c r="J1252" i="16"/>
  <c r="K1252" i="16" s="1"/>
  <c r="J1248" i="16"/>
  <c r="K1248" i="16" s="1"/>
  <c r="J1244" i="16"/>
  <c r="K1244" i="16" s="1"/>
  <c r="J1240" i="16"/>
  <c r="K1240" i="16" s="1"/>
  <c r="J1236" i="16"/>
  <c r="K1236" i="16" s="1"/>
  <c r="J1229" i="16"/>
  <c r="K1229" i="16" s="1"/>
  <c r="J1219" i="16"/>
  <c r="K1219" i="16" s="1"/>
  <c r="J1203" i="16"/>
  <c r="K1203" i="16" s="1"/>
  <c r="J1187" i="16"/>
  <c r="K1187" i="16" s="1"/>
  <c r="J1171" i="16"/>
  <c r="K1171" i="16" s="1"/>
  <c r="J1155" i="16"/>
  <c r="K1155" i="16" s="1"/>
  <c r="J1139" i="16"/>
  <c r="K1139" i="16" s="1"/>
  <c r="J1123" i="16"/>
  <c r="K1123" i="16" s="1"/>
  <c r="J1107" i="16"/>
  <c r="K1107" i="16" s="1"/>
  <c r="J665" i="16"/>
  <c r="K665" i="16" s="1"/>
  <c r="J661" i="16"/>
  <c r="K661" i="16" s="1"/>
  <c r="J657" i="16"/>
  <c r="K657" i="16" s="1"/>
  <c r="J653" i="16"/>
  <c r="K653" i="16" s="1"/>
  <c r="J649" i="16"/>
  <c r="K649" i="16" s="1"/>
  <c r="J645" i="16"/>
  <c r="K645" i="16" s="1"/>
  <c r="J641" i="16"/>
  <c r="K641" i="16" s="1"/>
  <c r="J637" i="16"/>
  <c r="K637" i="16" s="1"/>
  <c r="J633" i="16"/>
  <c r="K633" i="16" s="1"/>
  <c r="J629" i="16"/>
  <c r="K629" i="16" s="1"/>
  <c r="J625" i="16"/>
  <c r="K625" i="16" s="1"/>
  <c r="J621" i="16"/>
  <c r="K621" i="16" s="1"/>
  <c r="J617" i="16"/>
  <c r="K617" i="16" s="1"/>
  <c r="J613" i="16"/>
  <c r="K613" i="16" s="1"/>
  <c r="J609" i="16"/>
  <c r="K609" i="16" s="1"/>
  <c r="J605" i="16"/>
  <c r="K605" i="16" s="1"/>
  <c r="J601" i="16"/>
  <c r="K601" i="16" s="1"/>
  <c r="J597" i="16"/>
  <c r="K597" i="16" s="1"/>
  <c r="J593" i="16"/>
  <c r="K593" i="16" s="1"/>
  <c r="J589" i="16"/>
  <c r="K589" i="16" s="1"/>
  <c r="J585" i="16"/>
  <c r="K585" i="16" s="1"/>
  <c r="J581" i="16"/>
  <c r="K581" i="16" s="1"/>
  <c r="J577" i="16"/>
  <c r="K577" i="16" s="1"/>
  <c r="J573" i="16"/>
  <c r="K573" i="16" s="1"/>
  <c r="J569" i="16"/>
  <c r="K569" i="16" s="1"/>
  <c r="J565" i="16"/>
  <c r="K565" i="16" s="1"/>
  <c r="J561" i="16"/>
  <c r="K561" i="16" s="1"/>
  <c r="J1627" i="16"/>
  <c r="K1627" i="16" s="1"/>
  <c r="J1623" i="16"/>
  <c r="K1623" i="16" s="1"/>
  <c r="J1619" i="16"/>
  <c r="K1619" i="16" s="1"/>
  <c r="J1615" i="16"/>
  <c r="K1615" i="16" s="1"/>
  <c r="J1611" i="16"/>
  <c r="K1611" i="16" s="1"/>
  <c r="J1607" i="16"/>
  <c r="K1607" i="16" s="1"/>
  <c r="J1603" i="16"/>
  <c r="K1603" i="16" s="1"/>
  <c r="J1599" i="16"/>
  <c r="K1599" i="16" s="1"/>
  <c r="J1595" i="16"/>
  <c r="K1595" i="16" s="1"/>
  <c r="J1591" i="16"/>
  <c r="K1591" i="16" s="1"/>
  <c r="J1587" i="16"/>
  <c r="K1587" i="16" s="1"/>
  <c r="J1583" i="16"/>
  <c r="K1583" i="16" s="1"/>
  <c r="J1579" i="16"/>
  <c r="K1579" i="16" s="1"/>
  <c r="J1575" i="16"/>
  <c r="K1575" i="16" s="1"/>
  <c r="J1571" i="16"/>
  <c r="K1571" i="16" s="1"/>
  <c r="J1567" i="16"/>
  <c r="K1567" i="16" s="1"/>
  <c r="J1563" i="16"/>
  <c r="K1563" i="16" s="1"/>
  <c r="J1559" i="16"/>
  <c r="K1559" i="16" s="1"/>
  <c r="J1555" i="16"/>
  <c r="K1555" i="16" s="1"/>
  <c r="J1551" i="16"/>
  <c r="K1551" i="16" s="1"/>
  <c r="J1547" i="16"/>
  <c r="K1547" i="16" s="1"/>
  <c r="J1543" i="16"/>
  <c r="K1543" i="16" s="1"/>
  <c r="J1539" i="16"/>
  <c r="K1539" i="16" s="1"/>
  <c r="J1535" i="16"/>
  <c r="K1535" i="16" s="1"/>
  <c r="J1531" i="16"/>
  <c r="K1531" i="16" s="1"/>
  <c r="J1527" i="16"/>
  <c r="K1527" i="16" s="1"/>
  <c r="J1523" i="16"/>
  <c r="K1523" i="16" s="1"/>
  <c r="J1519" i="16"/>
  <c r="K1519" i="16" s="1"/>
  <c r="J1515" i="16"/>
  <c r="K1515" i="16" s="1"/>
  <c r="J1511" i="16"/>
  <c r="K1511" i="16" s="1"/>
  <c r="J1507" i="16"/>
  <c r="K1507" i="16" s="1"/>
  <c r="J1503" i="16"/>
  <c r="K1503" i="16" s="1"/>
  <c r="J1499" i="16"/>
  <c r="K1499" i="16" s="1"/>
  <c r="J1495" i="16"/>
  <c r="K1495" i="16" s="1"/>
  <c r="J1491" i="16"/>
  <c r="K1491" i="16" s="1"/>
  <c r="J1487" i="16"/>
  <c r="K1487" i="16" s="1"/>
  <c r="J1483" i="16"/>
  <c r="K1483" i="16" s="1"/>
  <c r="J1479" i="16"/>
  <c r="K1479" i="16" s="1"/>
  <c r="J1475" i="16"/>
  <c r="K1475" i="16" s="1"/>
  <c r="J1471" i="16"/>
  <c r="K1471" i="16" s="1"/>
  <c r="J1467" i="16"/>
  <c r="K1467" i="16" s="1"/>
  <c r="J1463" i="16"/>
  <c r="K1463" i="16" s="1"/>
  <c r="J1459" i="16"/>
  <c r="K1459" i="16" s="1"/>
  <c r="J1455" i="16"/>
  <c r="K1455" i="16" s="1"/>
  <c r="J1451" i="16"/>
  <c r="K1451" i="16" s="1"/>
  <c r="J1447" i="16"/>
  <c r="K1447" i="16" s="1"/>
  <c r="J1443" i="16"/>
  <c r="K1443" i="16" s="1"/>
  <c r="J1439" i="16"/>
  <c r="K1439" i="16" s="1"/>
  <c r="J1435" i="16"/>
  <c r="K1435" i="16" s="1"/>
  <c r="J1431" i="16"/>
  <c r="K1431" i="16" s="1"/>
  <c r="J1427" i="16"/>
  <c r="K1427" i="16" s="1"/>
  <c r="J1423" i="16"/>
  <c r="K1423" i="16" s="1"/>
  <c r="J1419" i="16"/>
  <c r="K1419" i="16" s="1"/>
  <c r="J1415" i="16"/>
  <c r="K1415" i="16" s="1"/>
  <c r="J1411" i="16"/>
  <c r="K1411" i="16" s="1"/>
  <c r="J1407" i="16"/>
  <c r="K1407" i="16" s="1"/>
  <c r="J1403" i="16"/>
  <c r="K1403" i="16" s="1"/>
  <c r="J1399" i="16"/>
  <c r="K1399" i="16" s="1"/>
  <c r="J1395" i="16"/>
  <c r="K1395" i="16" s="1"/>
  <c r="J1391" i="16"/>
  <c r="K1391" i="16" s="1"/>
  <c r="J1387" i="16"/>
  <c r="K1387" i="16" s="1"/>
  <c r="J1383" i="16"/>
  <c r="K1383" i="16" s="1"/>
  <c r="J1379" i="16"/>
  <c r="K1379" i="16" s="1"/>
  <c r="J1375" i="16"/>
  <c r="K1375" i="16" s="1"/>
  <c r="J1371" i="16"/>
  <c r="K1371" i="16" s="1"/>
  <c r="J1367" i="16"/>
  <c r="K1367" i="16" s="1"/>
  <c r="J1363" i="16"/>
  <c r="K1363" i="16" s="1"/>
  <c r="J1359" i="16"/>
  <c r="K1359" i="16" s="1"/>
  <c r="J1355" i="16"/>
  <c r="K1355" i="16" s="1"/>
  <c r="J1351" i="16"/>
  <c r="K1351" i="16" s="1"/>
  <c r="J1347" i="16"/>
  <c r="K1347" i="16" s="1"/>
  <c r="J1343" i="16"/>
  <c r="K1343" i="16" s="1"/>
  <c r="J1339" i="16"/>
  <c r="K1339" i="16" s="1"/>
  <c r="J1335" i="16"/>
  <c r="K1335" i="16" s="1"/>
  <c r="J1331" i="16"/>
  <c r="K1331" i="16" s="1"/>
  <c r="J1327" i="16"/>
  <c r="K1327" i="16" s="1"/>
  <c r="J1323" i="16"/>
  <c r="K1323" i="16" s="1"/>
  <c r="J1319" i="16"/>
  <c r="K1319" i="16" s="1"/>
  <c r="J1315" i="16"/>
  <c r="K1315" i="16" s="1"/>
  <c r="J1311" i="16"/>
  <c r="K1311" i="16" s="1"/>
  <c r="J1307" i="16"/>
  <c r="K1307" i="16" s="1"/>
  <c r="J1303" i="16"/>
  <c r="K1303" i="16" s="1"/>
  <c r="J1299" i="16"/>
  <c r="K1299" i="16" s="1"/>
  <c r="J1295" i="16"/>
  <c r="K1295" i="16" s="1"/>
  <c r="J1291" i="16"/>
  <c r="K1291" i="16" s="1"/>
  <c r="J1287" i="16"/>
  <c r="K1287" i="16" s="1"/>
  <c r="J1283" i="16"/>
  <c r="K1283" i="16" s="1"/>
  <c r="J1279" i="16"/>
  <c r="K1279" i="16" s="1"/>
  <c r="J1275" i="16"/>
  <c r="K1275" i="16" s="1"/>
  <c r="J1271" i="16"/>
  <c r="K1271" i="16" s="1"/>
  <c r="J1267" i="16"/>
  <c r="K1267" i="16" s="1"/>
  <c r="J1263" i="16"/>
  <c r="K1263" i="16" s="1"/>
  <c r="J1259" i="16"/>
  <c r="K1259" i="16" s="1"/>
  <c r="J1255" i="16"/>
  <c r="K1255" i="16" s="1"/>
  <c r="J1251" i="16"/>
  <c r="K1251" i="16" s="1"/>
  <c r="J1247" i="16"/>
  <c r="K1247" i="16" s="1"/>
  <c r="J1243" i="16"/>
  <c r="K1243" i="16" s="1"/>
  <c r="J1239" i="16"/>
  <c r="K1239" i="16" s="1"/>
  <c r="J1235" i="16"/>
  <c r="K1235" i="16" s="1"/>
  <c r="J1227" i="16"/>
  <c r="K1227" i="16" s="1"/>
  <c r="J1215" i="16"/>
  <c r="K1215" i="16" s="1"/>
  <c r="J1199" i="16"/>
  <c r="K1199" i="16" s="1"/>
  <c r="J1183" i="16"/>
  <c r="K1183" i="16" s="1"/>
  <c r="J1167" i="16"/>
  <c r="K1167" i="16" s="1"/>
  <c r="J1151" i="16"/>
  <c r="K1151" i="16" s="1"/>
  <c r="J1135" i="16"/>
  <c r="K1135" i="16" s="1"/>
  <c r="J1119" i="16"/>
  <c r="K1119" i="16" s="1"/>
  <c r="J1103" i="16"/>
  <c r="K1103" i="16" s="1"/>
  <c r="J1234" i="16"/>
  <c r="K1234" i="16" s="1"/>
  <c r="J1230" i="16"/>
  <c r="K1230" i="16" s="1"/>
  <c r="J1226" i="16"/>
  <c r="K1226" i="16" s="1"/>
  <c r="J1222" i="16"/>
  <c r="K1222" i="16" s="1"/>
  <c r="J1218" i="16"/>
  <c r="K1218" i="16" s="1"/>
  <c r="J1214" i="16"/>
  <c r="K1214" i="16" s="1"/>
  <c r="J1210" i="16"/>
  <c r="K1210" i="16" s="1"/>
  <c r="J1206" i="16"/>
  <c r="K1206" i="16" s="1"/>
  <c r="J1202" i="16"/>
  <c r="K1202" i="16" s="1"/>
  <c r="J1198" i="16"/>
  <c r="K1198" i="16" s="1"/>
  <c r="J1194" i="16"/>
  <c r="K1194" i="16" s="1"/>
  <c r="J1190" i="16"/>
  <c r="K1190" i="16" s="1"/>
  <c r="J1186" i="16"/>
  <c r="K1186" i="16" s="1"/>
  <c r="J1182" i="16"/>
  <c r="K1182" i="16" s="1"/>
  <c r="J1178" i="16"/>
  <c r="K1178" i="16" s="1"/>
  <c r="J1174" i="16"/>
  <c r="K1174" i="16" s="1"/>
  <c r="J1170" i="16"/>
  <c r="K1170" i="16" s="1"/>
  <c r="J1166" i="16"/>
  <c r="K1166" i="16" s="1"/>
  <c r="J1162" i="16"/>
  <c r="K1162" i="16" s="1"/>
  <c r="J1158" i="16"/>
  <c r="K1158" i="16" s="1"/>
  <c r="J1154" i="16"/>
  <c r="K1154" i="16" s="1"/>
  <c r="J1150" i="16"/>
  <c r="K1150" i="16" s="1"/>
  <c r="J1146" i="16"/>
  <c r="K1146" i="16" s="1"/>
  <c r="J1142" i="16"/>
  <c r="K1142" i="16" s="1"/>
  <c r="J1138" i="16"/>
  <c r="K1138" i="16" s="1"/>
  <c r="J1134" i="16"/>
  <c r="K1134" i="16" s="1"/>
  <c r="J1130" i="16"/>
  <c r="K1130" i="16" s="1"/>
  <c r="J1126" i="16"/>
  <c r="K1126" i="16" s="1"/>
  <c r="J1122" i="16"/>
  <c r="K1122" i="16" s="1"/>
  <c r="J1118" i="16"/>
  <c r="K1118" i="16" s="1"/>
  <c r="J1114" i="16"/>
  <c r="K1114" i="16" s="1"/>
  <c r="J1110" i="16"/>
  <c r="K1110" i="16" s="1"/>
  <c r="J1106" i="16"/>
  <c r="K1106" i="16" s="1"/>
  <c r="J1102" i="16"/>
  <c r="K1102" i="16" s="1"/>
  <c r="J1221" i="16"/>
  <c r="K1221" i="16" s="1"/>
  <c r="J1217" i="16"/>
  <c r="K1217" i="16" s="1"/>
  <c r="J1213" i="16"/>
  <c r="K1213" i="16" s="1"/>
  <c r="J1209" i="16"/>
  <c r="K1209" i="16" s="1"/>
  <c r="J1205" i="16"/>
  <c r="K1205" i="16" s="1"/>
  <c r="J1201" i="16"/>
  <c r="K1201" i="16" s="1"/>
  <c r="J1197" i="16"/>
  <c r="K1197" i="16" s="1"/>
  <c r="J1193" i="16"/>
  <c r="K1193" i="16" s="1"/>
  <c r="J1189" i="16"/>
  <c r="K1189" i="16" s="1"/>
  <c r="J1185" i="16"/>
  <c r="K1185" i="16" s="1"/>
  <c r="J1181" i="16"/>
  <c r="K1181" i="16" s="1"/>
  <c r="J1177" i="16"/>
  <c r="K1177" i="16" s="1"/>
  <c r="J1173" i="16"/>
  <c r="K1173" i="16" s="1"/>
  <c r="J1169" i="16"/>
  <c r="K1169" i="16" s="1"/>
  <c r="J1165" i="16"/>
  <c r="K1165" i="16" s="1"/>
  <c r="J1161" i="16"/>
  <c r="K1161" i="16" s="1"/>
  <c r="J1157" i="16"/>
  <c r="K1157" i="16" s="1"/>
  <c r="J1153" i="16"/>
  <c r="K1153" i="16" s="1"/>
  <c r="J1149" i="16"/>
  <c r="K1149" i="16" s="1"/>
  <c r="J1145" i="16"/>
  <c r="K1145" i="16" s="1"/>
  <c r="J1141" i="16"/>
  <c r="K1141" i="16" s="1"/>
  <c r="J1137" i="16"/>
  <c r="K1137" i="16" s="1"/>
  <c r="J1133" i="16"/>
  <c r="K1133" i="16" s="1"/>
  <c r="J1129" i="16"/>
  <c r="K1129" i="16" s="1"/>
  <c r="J1125" i="16"/>
  <c r="K1125" i="16" s="1"/>
  <c r="J1121" i="16"/>
  <c r="K1121" i="16" s="1"/>
  <c r="J1117" i="16"/>
  <c r="K1117" i="16" s="1"/>
  <c r="J1113" i="16"/>
  <c r="K1113" i="16" s="1"/>
  <c r="J1109" i="16"/>
  <c r="K1109" i="16" s="1"/>
  <c r="J1105" i="16"/>
  <c r="K1105" i="16" s="1"/>
  <c r="J1232" i="16"/>
  <c r="K1232" i="16" s="1"/>
  <c r="J1228" i="16"/>
  <c r="K1228" i="16" s="1"/>
  <c r="J1224" i="16"/>
  <c r="K1224" i="16" s="1"/>
  <c r="J1220" i="16"/>
  <c r="K1220" i="16" s="1"/>
  <c r="J1216" i="16"/>
  <c r="K1216" i="16" s="1"/>
  <c r="J1212" i="16"/>
  <c r="K1212" i="16" s="1"/>
  <c r="J1208" i="16"/>
  <c r="K1208" i="16" s="1"/>
  <c r="J1204" i="16"/>
  <c r="K1204" i="16" s="1"/>
  <c r="J1200" i="16"/>
  <c r="K1200" i="16" s="1"/>
  <c r="J1196" i="16"/>
  <c r="K1196" i="16" s="1"/>
  <c r="J1192" i="16"/>
  <c r="K1192" i="16" s="1"/>
  <c r="J1188" i="16"/>
  <c r="K1188" i="16" s="1"/>
  <c r="J1184" i="16"/>
  <c r="K1184" i="16" s="1"/>
  <c r="J1180" i="16"/>
  <c r="K1180" i="16" s="1"/>
  <c r="J1176" i="16"/>
  <c r="K1176" i="16" s="1"/>
  <c r="J1172" i="16"/>
  <c r="K1172" i="16" s="1"/>
  <c r="J1168" i="16"/>
  <c r="K1168" i="16" s="1"/>
  <c r="J1164" i="16"/>
  <c r="K1164" i="16" s="1"/>
  <c r="J1160" i="16"/>
  <c r="K1160" i="16" s="1"/>
  <c r="J1156" i="16"/>
  <c r="K1156" i="16" s="1"/>
  <c r="J1152" i="16"/>
  <c r="K1152" i="16" s="1"/>
  <c r="J1148" i="16"/>
  <c r="K1148" i="16" s="1"/>
  <c r="J1144" i="16"/>
  <c r="K1144" i="16" s="1"/>
  <c r="J1140" i="16"/>
  <c r="K1140" i="16" s="1"/>
  <c r="J1136" i="16"/>
  <c r="K1136" i="16" s="1"/>
  <c r="J1132" i="16"/>
  <c r="K1132" i="16" s="1"/>
  <c r="J1128" i="16"/>
  <c r="K1128" i="16" s="1"/>
  <c r="J1124" i="16"/>
  <c r="K1124" i="16" s="1"/>
  <c r="J1120" i="16"/>
  <c r="K1120" i="16" s="1"/>
  <c r="J1116" i="16"/>
  <c r="K1116" i="16" s="1"/>
  <c r="J1112" i="16"/>
  <c r="K1112" i="16" s="1"/>
  <c r="J1108" i="16"/>
  <c r="K1108" i="16" s="1"/>
  <c r="J1104" i="16"/>
  <c r="K1104" i="16" s="1"/>
  <c r="J8" i="16"/>
  <c r="K8" i="16" s="1"/>
  <c r="J1090" i="16"/>
  <c r="K1090" i="16" s="1"/>
  <c r="J16" i="16"/>
  <c r="K16" i="16" s="1"/>
  <c r="J1098" i="16"/>
  <c r="K1098" i="16" s="1"/>
  <c r="J6" i="16"/>
  <c r="K6" i="16" s="1"/>
  <c r="J14" i="16"/>
  <c r="K14" i="16" s="1"/>
  <c r="J1087" i="16"/>
  <c r="K1087" i="16" s="1"/>
  <c r="J1096" i="16"/>
  <c r="K1096" i="16" s="1"/>
  <c r="J12" i="16"/>
  <c r="K12" i="16" s="1"/>
  <c r="J1094" i="16"/>
  <c r="K1094" i="16" s="1"/>
  <c r="J10" i="16"/>
  <c r="K10" i="16" s="1"/>
  <c r="J1092" i="16"/>
  <c r="K1092" i="16" s="1"/>
  <c r="J1100" i="16"/>
  <c r="K1100" i="16" s="1"/>
  <c r="J63" i="16"/>
  <c r="K63" i="16" s="1"/>
  <c r="J545" i="16"/>
  <c r="K545" i="16" s="1"/>
  <c r="J548" i="16"/>
  <c r="K548" i="16" s="1"/>
  <c r="J550" i="16"/>
  <c r="K550" i="16" s="1"/>
  <c r="J552" i="16"/>
  <c r="K552" i="16" s="1"/>
  <c r="J554" i="16"/>
  <c r="K554" i="16" s="1"/>
  <c r="J556" i="16"/>
  <c r="K556" i="16" s="1"/>
  <c r="J558" i="16"/>
  <c r="K558" i="16" s="1"/>
  <c r="J1629" i="16"/>
  <c r="K1629" i="16" s="1"/>
  <c r="J5" i="16"/>
  <c r="K5" i="16" s="1"/>
  <c r="J7" i="16"/>
  <c r="K7" i="16" s="1"/>
  <c r="J9" i="16"/>
  <c r="K9" i="16" s="1"/>
  <c r="J11" i="16"/>
  <c r="K11" i="16" s="1"/>
  <c r="J13" i="16"/>
  <c r="K13" i="16" s="1"/>
  <c r="J15" i="16"/>
  <c r="K15" i="16" s="1"/>
  <c r="J105" i="16"/>
  <c r="K105" i="16" s="1"/>
  <c r="J1089" i="16"/>
  <c r="K1089" i="16" s="1"/>
  <c r="J1091" i="16"/>
  <c r="K1091" i="16" s="1"/>
  <c r="J1093" i="16"/>
  <c r="K1093" i="16" s="1"/>
  <c r="J1095" i="16"/>
  <c r="K1095" i="16" s="1"/>
  <c r="J1097" i="16"/>
  <c r="K1097" i="16" s="1"/>
  <c r="J1099" i="16"/>
  <c r="K1099" i="16" s="1"/>
  <c r="J547" i="16"/>
  <c r="K547" i="16" s="1"/>
  <c r="J549" i="16"/>
  <c r="K549" i="16" s="1"/>
  <c r="J551" i="16"/>
  <c r="K551" i="16" s="1"/>
  <c r="J553" i="16"/>
  <c r="K553" i="16" s="1"/>
  <c r="J555" i="16"/>
  <c r="K555" i="16" s="1"/>
  <c r="J557" i="16"/>
  <c r="K557" i="16" s="1"/>
  <c r="Z14" i="16" l="1"/>
  <c r="AA14" i="16" s="1"/>
  <c r="Z1148" i="16"/>
  <c r="AA1148" i="16" s="1"/>
  <c r="Z1212" i="16"/>
  <c r="AA1212" i="16" s="1"/>
  <c r="Z1276" i="16"/>
  <c r="AA1276" i="16" s="1"/>
  <c r="Z1340" i="16"/>
  <c r="AA1340" i="16" s="1"/>
  <c r="Z1133" i="16"/>
  <c r="AA1133" i="16" s="1"/>
  <c r="Z1197" i="16"/>
  <c r="AA1197" i="16" s="1"/>
  <c r="Z1261" i="16"/>
  <c r="AA1261" i="16" s="1"/>
  <c r="Z1325" i="16"/>
  <c r="AA1325" i="16" s="1"/>
  <c r="Z11" i="16"/>
  <c r="AA11" i="16" s="1"/>
  <c r="Z1150" i="16"/>
  <c r="AA1150" i="16" s="1"/>
  <c r="Z1214" i="16"/>
  <c r="AA1214" i="16" s="1"/>
  <c r="Z1278" i="16"/>
  <c r="AA1278" i="16" s="1"/>
  <c r="Z1342" i="16"/>
  <c r="AA1342" i="16" s="1"/>
  <c r="Z1311" i="16"/>
  <c r="AA1311" i="16" s="1"/>
  <c r="Z1403" i="16"/>
  <c r="AA1403" i="16" s="1"/>
  <c r="Z1467" i="16"/>
  <c r="AA1467" i="16" s="1"/>
  <c r="Z1563" i="16"/>
  <c r="AA1563" i="16" s="1"/>
  <c r="Z1139" i="16"/>
  <c r="AA1139" i="16" s="1"/>
  <c r="Z1360" i="16"/>
  <c r="AA1360" i="16" s="1"/>
  <c r="Z1424" i="16"/>
  <c r="AA1424" i="16" s="1"/>
  <c r="Z1488" i="16"/>
  <c r="AA1488" i="16" s="1"/>
  <c r="Z1552" i="16"/>
  <c r="AA1552" i="16" s="1"/>
  <c r="Z547" i="16"/>
  <c r="AA547" i="16" s="1"/>
  <c r="Z1349" i="16"/>
  <c r="AA1349" i="16" s="1"/>
  <c r="Z1413" i="16"/>
  <c r="AA1413" i="16" s="1"/>
  <c r="Z1477" i="16"/>
  <c r="AA1477" i="16" s="1"/>
  <c r="Z1211" i="16"/>
  <c r="AA1211" i="16" s="1"/>
  <c r="Z590" i="16"/>
  <c r="AA590" i="16" s="1"/>
  <c r="Z718" i="16"/>
  <c r="AA718" i="16" s="1"/>
  <c r="Z846" i="16"/>
  <c r="AA846" i="16" s="1"/>
  <c r="Z974" i="16"/>
  <c r="AA974" i="16" s="1"/>
  <c r="Z161" i="16"/>
  <c r="AA161" i="16" s="1"/>
  <c r="Z563" i="16"/>
  <c r="AA563" i="16" s="1"/>
  <c r="Z691" i="16"/>
  <c r="AA691" i="16" s="1"/>
  <c r="Z819" i="16"/>
  <c r="AA819" i="16" s="1"/>
  <c r="Z947" i="16"/>
  <c r="AA947" i="16" s="1"/>
  <c r="Z1179" i="16"/>
  <c r="AA1179" i="16" s="1"/>
  <c r="Z588" i="16"/>
  <c r="AA588" i="16" s="1"/>
  <c r="Z716" i="16"/>
  <c r="AA716" i="16" s="1"/>
  <c r="Z844" i="16"/>
  <c r="AA844" i="16" s="1"/>
  <c r="Z1036" i="16"/>
  <c r="AA1036" i="16" s="1"/>
  <c r="Z629" i="16"/>
  <c r="AA629" i="16" s="1"/>
  <c r="Z162" i="16"/>
  <c r="AA162" i="16" s="1"/>
  <c r="Z299" i="16"/>
  <c r="AA299" i="16" s="1"/>
  <c r="Z427" i="16"/>
  <c r="AA427" i="16" s="1"/>
  <c r="Z873" i="16"/>
  <c r="AA873" i="16" s="1"/>
  <c r="Z1097" i="16"/>
  <c r="AA1097" i="16" s="1"/>
  <c r="Z10" i="16"/>
  <c r="AA10" i="16" s="1"/>
  <c r="Z1124" i="16"/>
  <c r="AA1124" i="16" s="1"/>
  <c r="Z1156" i="16"/>
  <c r="AA1156" i="16" s="1"/>
  <c r="Z1188" i="16"/>
  <c r="AA1188" i="16" s="1"/>
  <c r="Z1220" i="16"/>
  <c r="AA1220" i="16" s="1"/>
  <c r="Z1252" i="16"/>
  <c r="AA1252" i="16" s="1"/>
  <c r="Z1284" i="16"/>
  <c r="AA1284" i="16" s="1"/>
  <c r="Z1316" i="16"/>
  <c r="AA1316" i="16" s="1"/>
  <c r="Z1348" i="16"/>
  <c r="AA1348" i="16" s="1"/>
  <c r="Z1109" i="16"/>
  <c r="AA1109" i="16" s="1"/>
  <c r="Z1141" i="16"/>
  <c r="AA1141" i="16" s="1"/>
  <c r="Z1173" i="16"/>
  <c r="AA1173" i="16" s="1"/>
  <c r="Z1205" i="16"/>
  <c r="AA1205" i="16" s="1"/>
  <c r="Z1237" i="16"/>
  <c r="AA1237" i="16" s="1"/>
  <c r="Z1269" i="16"/>
  <c r="AA1269" i="16" s="1"/>
  <c r="Z1301" i="16"/>
  <c r="AA1301" i="16" s="1"/>
  <c r="Z1333" i="16"/>
  <c r="AA1333" i="16" s="1"/>
  <c r="Z1092" i="16"/>
  <c r="AA1092" i="16" s="1"/>
  <c r="Z7" i="16"/>
  <c r="AA7" i="16" s="1"/>
  <c r="Z1126" i="16"/>
  <c r="AA1126" i="16" s="1"/>
  <c r="Z1158" i="16"/>
  <c r="AA1158" i="16" s="1"/>
  <c r="Z1190" i="16"/>
  <c r="AA1190" i="16" s="1"/>
  <c r="Z1222" i="16"/>
  <c r="AA1222" i="16" s="1"/>
  <c r="Z1254" i="16"/>
  <c r="AA1254" i="16" s="1"/>
  <c r="Z1286" i="16"/>
  <c r="AA1286" i="16" s="1"/>
  <c r="Z1318" i="16"/>
  <c r="AA1318" i="16" s="1"/>
  <c r="Z551" i="16"/>
  <c r="AA551" i="16" s="1"/>
  <c r="Z1215" i="16"/>
  <c r="AA1215" i="16" s="1"/>
  <c r="Z1343" i="16"/>
  <c r="AA1343" i="16" s="1"/>
  <c r="Z1379" i="16"/>
  <c r="AA1379" i="16" s="1"/>
  <c r="Z1411" i="16"/>
  <c r="AA1411" i="16" s="1"/>
  <c r="Z1443" i="16"/>
  <c r="AA1443" i="16" s="1"/>
  <c r="Z1475" i="16"/>
  <c r="AA1475" i="16" s="1"/>
  <c r="Z1507" i="16"/>
  <c r="AA1507" i="16" s="1"/>
  <c r="Z1539" i="16"/>
  <c r="AA1539" i="16" s="1"/>
  <c r="Z1571" i="16"/>
  <c r="AA1571" i="16" s="1"/>
  <c r="Z1603" i="16"/>
  <c r="AA1603" i="16" s="1"/>
  <c r="Z1171" i="16"/>
  <c r="AA1171" i="16" s="1"/>
  <c r="Z1299" i="16"/>
  <c r="AA1299" i="16" s="1"/>
  <c r="Z1368" i="16"/>
  <c r="AA1368" i="16" s="1"/>
  <c r="Z1400" i="16"/>
  <c r="AA1400" i="16" s="1"/>
  <c r="Z1432" i="16"/>
  <c r="AA1432" i="16" s="1"/>
  <c r="Z1464" i="16"/>
  <c r="AA1464" i="16" s="1"/>
  <c r="Z1496" i="16"/>
  <c r="AA1496" i="16" s="1"/>
  <c r="Z1528" i="16"/>
  <c r="AA1528" i="16" s="1"/>
  <c r="Z1560" i="16"/>
  <c r="AA1560" i="16" s="1"/>
  <c r="Z1592" i="16"/>
  <c r="AA1592" i="16" s="1"/>
  <c r="Z1127" i="16"/>
  <c r="AA1127" i="16" s="1"/>
  <c r="Z1255" i="16"/>
  <c r="AA1255" i="16" s="1"/>
  <c r="Z1357" i="16"/>
  <c r="AA1357" i="16" s="1"/>
  <c r="Z1389" i="16"/>
  <c r="AA1389" i="16" s="1"/>
  <c r="Z1421" i="16"/>
  <c r="AA1421" i="16" s="1"/>
  <c r="Z1453" i="16"/>
  <c r="AA1453" i="16" s="1"/>
  <c r="Z1489" i="16"/>
  <c r="AA1489" i="16" s="1"/>
  <c r="Z1553" i="16"/>
  <c r="AA1553" i="16" s="1"/>
  <c r="Z1378" i="16"/>
  <c r="AA1378" i="16" s="1"/>
  <c r="Z1612" i="16"/>
  <c r="AA1612" i="16" s="1"/>
  <c r="Z606" i="16"/>
  <c r="AA606" i="16" s="1"/>
  <c r="Z670" i="16"/>
  <c r="AA670" i="16" s="1"/>
  <c r="Z734" i="16"/>
  <c r="AA734" i="16" s="1"/>
  <c r="Z798" i="16"/>
  <c r="AA798" i="16" s="1"/>
  <c r="Z862" i="16"/>
  <c r="AA862" i="16" s="1"/>
  <c r="Z926" i="16"/>
  <c r="AA926" i="16" s="1"/>
  <c r="Z990" i="16"/>
  <c r="AA990" i="16" s="1"/>
  <c r="Z1054" i="16"/>
  <c r="AA1054" i="16" s="1"/>
  <c r="Z177" i="16"/>
  <c r="AA177" i="16" s="1"/>
  <c r="Z1526" i="16"/>
  <c r="AA1526" i="16" s="1"/>
  <c r="Z579" i="16"/>
  <c r="AA579" i="16" s="1"/>
  <c r="Z643" i="16"/>
  <c r="AA643" i="16" s="1"/>
  <c r="Z707" i="16"/>
  <c r="AA707" i="16" s="1"/>
  <c r="Z771" i="16"/>
  <c r="AA771" i="16" s="1"/>
  <c r="Z835" i="16"/>
  <c r="AA835" i="16" s="1"/>
  <c r="Z899" i="16"/>
  <c r="AA899" i="16" s="1"/>
  <c r="Z963" i="16"/>
  <c r="AA963" i="16" s="1"/>
  <c r="Z1027" i="16"/>
  <c r="AA1027" i="16" s="1"/>
  <c r="Z1370" i="16"/>
  <c r="AA1370" i="16" s="1"/>
  <c r="Z1610" i="16"/>
  <c r="AA1610" i="16" s="1"/>
  <c r="Z604" i="16"/>
  <c r="AA604" i="16" s="1"/>
  <c r="Z668" i="16"/>
  <c r="AA668" i="16" s="1"/>
  <c r="Z732" i="16"/>
  <c r="AA732" i="16" s="1"/>
  <c r="Z796" i="16"/>
  <c r="AA796" i="16" s="1"/>
  <c r="Z860" i="16"/>
  <c r="AA860" i="16" s="1"/>
  <c r="Z924" i="16"/>
  <c r="AA924" i="16" s="1"/>
  <c r="Z988" i="16"/>
  <c r="AA988" i="16" s="1"/>
  <c r="Z1052" i="16"/>
  <c r="AA1052" i="16" s="1"/>
  <c r="Z175" i="16"/>
  <c r="AA175" i="16" s="1"/>
  <c r="Z693" i="16"/>
  <c r="AA693" i="16" s="1"/>
  <c r="Z949" i="16"/>
  <c r="AA949" i="16" s="1"/>
  <c r="Z188" i="16"/>
  <c r="AA188" i="16" s="1"/>
  <c r="Z251" i="16"/>
  <c r="AA251" i="16" s="1"/>
  <c r="Z315" i="16"/>
  <c r="AA315" i="16" s="1"/>
  <c r="Z379" i="16"/>
  <c r="AA379" i="16" s="1"/>
  <c r="Z443" i="16"/>
  <c r="AA443" i="16" s="1"/>
  <c r="Z507" i="16"/>
  <c r="AA507" i="16" s="1"/>
  <c r="Z1623" i="16"/>
  <c r="AA1623" i="16" s="1"/>
  <c r="Z30" i="16"/>
  <c r="AA30" i="16" s="1"/>
  <c r="Z58" i="16"/>
  <c r="AA58" i="16" s="1"/>
  <c r="Z33" i="16"/>
  <c r="AA33" i="16" s="1"/>
  <c r="Z53" i="16"/>
  <c r="AA53" i="16" s="1"/>
  <c r="Z65" i="16"/>
  <c r="AA65" i="16" s="1"/>
  <c r="Z75" i="16"/>
  <c r="AA75" i="16" s="1"/>
  <c r="Z81" i="16"/>
  <c r="AA81" i="16" s="1"/>
  <c r="Z91" i="16"/>
  <c r="AA91" i="16" s="1"/>
  <c r="Z97" i="16"/>
  <c r="AA97" i="16" s="1"/>
  <c r="Z108" i="16"/>
  <c r="AA108" i="16" s="1"/>
  <c r="Z114" i="16"/>
  <c r="AA114" i="16" s="1"/>
  <c r="Z124" i="16"/>
  <c r="AA124" i="16" s="1"/>
  <c r="Z130" i="16"/>
  <c r="AA130" i="16" s="1"/>
  <c r="Z140" i="16"/>
  <c r="AA140" i="16" s="1"/>
  <c r="Z50" i="16"/>
  <c r="AA50" i="16" s="1"/>
  <c r="Z25" i="16"/>
  <c r="AA25" i="16" s="1"/>
  <c r="Z45" i="16"/>
  <c r="AA45" i="16" s="1"/>
  <c r="Z57" i="16"/>
  <c r="AA57" i="16" s="1"/>
  <c r="Z71" i="16"/>
  <c r="AA71" i="16" s="1"/>
  <c r="Z77" i="16"/>
  <c r="AA77" i="16" s="1"/>
  <c r="Z87" i="16"/>
  <c r="AA87" i="16" s="1"/>
  <c r="Z93" i="16"/>
  <c r="AA93" i="16" s="1"/>
  <c r="Z103" i="16"/>
  <c r="AA103" i="16" s="1"/>
  <c r="Z110" i="16"/>
  <c r="AA110" i="16" s="1"/>
  <c r="Z120" i="16"/>
  <c r="AA120" i="16" s="1"/>
  <c r="Z126" i="16"/>
  <c r="AA126" i="16" s="1"/>
  <c r="Z136" i="16"/>
  <c r="AA136" i="16" s="1"/>
  <c r="Z142" i="16"/>
  <c r="AA142" i="16" s="1"/>
  <c r="Z146" i="16"/>
  <c r="AA146" i="16" s="1"/>
  <c r="Z34" i="16"/>
  <c r="AA34" i="16" s="1"/>
  <c r="Z24" i="16"/>
  <c r="AA24" i="16" s="1"/>
  <c r="Z40" i="16"/>
  <c r="AA40" i="16" s="1"/>
  <c r="Z56" i="16"/>
  <c r="AA56" i="16" s="1"/>
  <c r="Z26" i="16"/>
  <c r="AA26" i="16" s="1"/>
  <c r="Z28" i="16"/>
  <c r="AA28" i="16" s="1"/>
  <c r="Z44" i="16"/>
  <c r="AA44" i="16" s="1"/>
  <c r="Z23" i="16"/>
  <c r="AA23" i="16" s="1"/>
  <c r="Z31" i="16"/>
  <c r="AA31" i="16" s="1"/>
  <c r="Z39" i="16"/>
  <c r="AA39" i="16" s="1"/>
  <c r="Z47" i="16"/>
  <c r="AA47" i="16" s="1"/>
  <c r="Z55" i="16"/>
  <c r="AA55" i="16" s="1"/>
  <c r="Z64" i="16"/>
  <c r="AA64" i="16" s="1"/>
  <c r="Z68" i="16"/>
  <c r="AA68" i="16" s="1"/>
  <c r="Z72" i="16"/>
  <c r="AA72" i="16" s="1"/>
  <c r="Z76" i="16"/>
  <c r="AA76" i="16" s="1"/>
  <c r="Z80" i="16"/>
  <c r="AA80" i="16" s="1"/>
  <c r="Z84" i="16"/>
  <c r="AA84" i="16" s="1"/>
  <c r="Z88" i="16"/>
  <c r="AA88" i="16" s="1"/>
  <c r="Z92" i="16"/>
  <c r="AA92" i="16" s="1"/>
  <c r="Z96" i="16"/>
  <c r="AA96" i="16" s="1"/>
  <c r="Z100" i="16"/>
  <c r="AA100" i="16" s="1"/>
  <c r="Z104" i="16"/>
  <c r="AA104" i="16" s="1"/>
  <c r="Z109" i="16"/>
  <c r="AA109" i="16" s="1"/>
  <c r="Z113" i="16"/>
  <c r="AA113" i="16" s="1"/>
  <c r="Z117" i="16"/>
  <c r="AA117" i="16" s="1"/>
  <c r="Z121" i="16"/>
  <c r="AA121" i="16" s="1"/>
  <c r="Z125" i="16"/>
  <c r="AA125" i="16" s="1"/>
  <c r="Z129" i="16"/>
  <c r="AA129" i="16" s="1"/>
  <c r="Z133" i="16"/>
  <c r="AA133" i="16" s="1"/>
  <c r="Z137" i="16"/>
  <c r="AA137" i="16" s="1"/>
  <c r="Z141" i="16"/>
  <c r="AA141" i="16" s="1"/>
  <c r="Z145" i="16"/>
  <c r="AA145" i="16" s="1"/>
  <c r="Z494" i="16"/>
  <c r="AA494" i="16" s="1"/>
  <c r="Z366" i="16"/>
  <c r="AA366" i="16" s="1"/>
  <c r="Z238" i="16"/>
  <c r="AA238" i="16" s="1"/>
  <c r="Z897" i="16"/>
  <c r="AA897" i="16" s="1"/>
  <c r="Z510" i="16"/>
  <c r="AA510" i="16" s="1"/>
  <c r="Z191" i="16"/>
  <c r="AA191" i="16" s="1"/>
  <c r="Z542" i="16"/>
  <c r="AA542" i="16" s="1"/>
  <c r="Z414" i="16"/>
  <c r="AA414" i="16" s="1"/>
  <c r="Z286" i="16"/>
  <c r="AA286" i="16" s="1"/>
  <c r="Z1077" i="16"/>
  <c r="AA1077" i="16" s="1"/>
  <c r="Z577" i="16"/>
  <c r="AA577" i="16" s="1"/>
  <c r="Z254" i="16"/>
  <c r="AA254" i="16" s="1"/>
  <c r="Z20" i="16"/>
  <c r="AA20" i="16" s="1"/>
  <c r="Z462" i="16"/>
  <c r="AA462" i="16" s="1"/>
  <c r="Z334" i="16"/>
  <c r="AA334" i="16" s="1"/>
  <c r="Z207" i="16"/>
  <c r="AA207" i="16" s="1"/>
  <c r="Z769" i="16"/>
  <c r="AA769" i="16" s="1"/>
  <c r="Z18" i="16"/>
  <c r="AA18" i="16" s="1"/>
  <c r="Z522" i="16"/>
  <c r="AA522" i="16" s="1"/>
  <c r="Z490" i="16"/>
  <c r="AA490" i="16" s="1"/>
  <c r="Z458" i="16"/>
  <c r="AA458" i="16" s="1"/>
  <c r="Z426" i="16"/>
  <c r="AA426" i="16" s="1"/>
  <c r="Z394" i="16"/>
  <c r="AA394" i="16" s="1"/>
  <c r="Z362" i="16"/>
  <c r="AA362" i="16" s="1"/>
  <c r="Z330" i="16"/>
  <c r="AA330" i="16" s="1"/>
  <c r="Z298" i="16"/>
  <c r="AA298" i="16" s="1"/>
  <c r="Z266" i="16"/>
  <c r="AA266" i="16" s="1"/>
  <c r="Z234" i="16"/>
  <c r="AA234" i="16" s="1"/>
  <c r="Z203" i="16"/>
  <c r="AA203" i="16" s="1"/>
  <c r="Z160" i="16"/>
  <c r="AA160" i="16" s="1"/>
  <c r="Z1009" i="16"/>
  <c r="AA1009" i="16" s="1"/>
  <c r="Z881" i="16"/>
  <c r="AA881" i="16" s="1"/>
  <c r="Z753" i="16"/>
  <c r="AA753" i="16" s="1"/>
  <c r="Z625" i="16"/>
  <c r="AA625" i="16" s="1"/>
  <c r="Z1454" i="16"/>
  <c r="AA1454" i="16" s="1"/>
  <c r="Z518" i="16"/>
  <c r="AA518" i="16" s="1"/>
  <c r="Z486" i="16"/>
  <c r="AA486" i="16" s="1"/>
  <c r="Z454" i="16"/>
  <c r="AA454" i="16" s="1"/>
  <c r="Z422" i="16"/>
  <c r="AA422" i="16" s="1"/>
  <c r="Z390" i="16"/>
  <c r="AA390" i="16" s="1"/>
  <c r="Z358" i="16"/>
  <c r="AA358" i="16" s="1"/>
  <c r="Z326" i="16"/>
  <c r="AA326" i="16" s="1"/>
  <c r="Z294" i="16"/>
  <c r="AA294" i="16" s="1"/>
  <c r="Z262" i="16"/>
  <c r="AA262" i="16" s="1"/>
  <c r="Z230" i="16"/>
  <c r="AA230" i="16" s="1"/>
  <c r="Z183" i="16"/>
  <c r="AA183" i="16" s="1"/>
  <c r="Z1057" i="16"/>
  <c r="AA1057" i="16" s="1"/>
  <c r="Z929" i="16"/>
  <c r="AA929" i="16" s="1"/>
  <c r="Z801" i="16"/>
  <c r="AA801" i="16" s="1"/>
  <c r="Z673" i="16"/>
  <c r="AA673" i="16" s="1"/>
  <c r="Z1615" i="16"/>
  <c r="AA1615" i="16" s="1"/>
  <c r="Z63" i="16"/>
  <c r="AA63" i="16" s="1"/>
  <c r="Z514" i="16"/>
  <c r="AA514" i="16" s="1"/>
  <c r="Z482" i="16"/>
  <c r="AA482" i="16" s="1"/>
  <c r="Z450" i="16"/>
  <c r="AA450" i="16" s="1"/>
  <c r="Z418" i="16"/>
  <c r="AA418" i="16" s="1"/>
  <c r="Z386" i="16"/>
  <c r="AA386" i="16" s="1"/>
  <c r="Z354" i="16"/>
  <c r="AA354" i="16" s="1"/>
  <c r="Z322" i="16"/>
  <c r="AA322" i="16" s="1"/>
  <c r="Z290" i="16"/>
  <c r="AA290" i="16" s="1"/>
  <c r="Z258" i="16"/>
  <c r="AA258" i="16" s="1"/>
  <c r="Z226" i="16"/>
  <c r="AA226" i="16" s="1"/>
  <c r="Z195" i="16"/>
  <c r="AA195" i="16" s="1"/>
  <c r="Z1085" i="16"/>
  <c r="AA1085" i="16" s="1"/>
  <c r="Z977" i="16"/>
  <c r="AA977" i="16" s="1"/>
  <c r="Z849" i="16"/>
  <c r="AA849" i="16" s="1"/>
  <c r="Z721" i="16"/>
  <c r="AA721" i="16" s="1"/>
  <c r="Z593" i="16"/>
  <c r="AA593" i="16" s="1"/>
  <c r="Z1259" i="16"/>
  <c r="AA1259" i="16" s="1"/>
  <c r="Z541" i="16"/>
  <c r="AA541" i="16" s="1"/>
  <c r="Z533" i="16"/>
  <c r="AA533" i="16" s="1"/>
  <c r="Z525" i="16"/>
  <c r="AA525" i="16" s="1"/>
  <c r="Z517" i="16"/>
  <c r="AA517" i="16" s="1"/>
  <c r="Z509" i="16"/>
  <c r="AA509" i="16" s="1"/>
  <c r="Z501" i="16"/>
  <c r="AA501" i="16" s="1"/>
  <c r="Z493" i="16"/>
  <c r="AA493" i="16" s="1"/>
  <c r="Z485" i="16"/>
  <c r="AA485" i="16" s="1"/>
  <c r="Z477" i="16"/>
  <c r="AA477" i="16" s="1"/>
  <c r="Z469" i="16"/>
  <c r="AA469" i="16" s="1"/>
  <c r="Z461" i="16"/>
  <c r="AA461" i="16" s="1"/>
  <c r="Z453" i="16"/>
  <c r="AA453" i="16" s="1"/>
  <c r="Z445" i="16"/>
  <c r="AA445" i="16" s="1"/>
  <c r="Z437" i="16"/>
  <c r="AA437" i="16" s="1"/>
  <c r="Z429" i="16"/>
  <c r="AA429" i="16" s="1"/>
  <c r="Z421" i="16"/>
  <c r="AA421" i="16" s="1"/>
  <c r="Z413" i="16"/>
  <c r="AA413" i="16" s="1"/>
  <c r="Z405" i="16"/>
  <c r="AA405" i="16" s="1"/>
  <c r="Z397" i="16"/>
  <c r="AA397" i="16" s="1"/>
  <c r="Z389" i="16"/>
  <c r="AA389" i="16" s="1"/>
  <c r="Z381" i="16"/>
  <c r="AA381" i="16" s="1"/>
  <c r="Z373" i="16"/>
  <c r="AA373" i="16" s="1"/>
  <c r="Z365" i="16"/>
  <c r="AA365" i="16" s="1"/>
  <c r="Z357" i="16"/>
  <c r="AA357" i="16" s="1"/>
  <c r="Z349" i="16"/>
  <c r="AA349" i="16" s="1"/>
  <c r="Z341" i="16"/>
  <c r="AA341" i="16" s="1"/>
  <c r="Z333" i="16"/>
  <c r="AA333" i="16" s="1"/>
  <c r="Z325" i="16"/>
  <c r="AA325" i="16" s="1"/>
  <c r="Z317" i="16"/>
  <c r="AA317" i="16" s="1"/>
  <c r="Z309" i="16"/>
  <c r="AA309" i="16" s="1"/>
  <c r="Z301" i="16"/>
  <c r="AA301" i="16" s="1"/>
  <c r="Z293" i="16"/>
  <c r="AA293" i="16" s="1"/>
  <c r="Z285" i="16"/>
  <c r="AA285" i="16" s="1"/>
  <c r="Z277" i="16"/>
  <c r="AA277" i="16" s="1"/>
  <c r="Z269" i="16"/>
  <c r="AA269" i="16" s="1"/>
  <c r="Z261" i="16"/>
  <c r="AA261" i="16" s="1"/>
  <c r="Z253" i="16"/>
  <c r="AA253" i="16" s="1"/>
  <c r="Z245" i="16"/>
  <c r="AA245" i="16" s="1"/>
  <c r="Z237" i="16"/>
  <c r="AA237" i="16" s="1"/>
  <c r="Z229" i="16"/>
  <c r="AA229" i="16" s="1"/>
  <c r="Z221" i="16"/>
  <c r="AA221" i="16" s="1"/>
  <c r="Z210" i="16"/>
  <c r="AA210" i="16" s="1"/>
  <c r="Z202" i="16"/>
  <c r="AA202" i="16" s="1"/>
  <c r="Z194" i="16"/>
  <c r="AA194" i="16" s="1"/>
  <c r="Z186" i="16"/>
  <c r="AA186" i="16" s="1"/>
  <c r="Z174" i="16"/>
  <c r="AA174" i="16" s="1"/>
  <c r="Z158" i="16"/>
  <c r="AA158" i="16" s="1"/>
  <c r="Z1083" i="16"/>
  <c r="AA1083" i="16" s="1"/>
  <c r="Z1067" i="16"/>
  <c r="AA1067" i="16" s="1"/>
  <c r="Z1037" i="16"/>
  <c r="AA1037" i="16" s="1"/>
  <c r="Z1005" i="16"/>
  <c r="AA1005" i="16" s="1"/>
  <c r="Z973" i="16"/>
  <c r="AA973" i="16" s="1"/>
  <c r="Z941" i="16"/>
  <c r="AA941" i="16" s="1"/>
  <c r="Z909" i="16"/>
  <c r="AA909" i="16" s="1"/>
  <c r="Z877" i="16"/>
  <c r="AA877" i="16" s="1"/>
  <c r="Z845" i="16"/>
  <c r="AA845" i="16" s="1"/>
  <c r="Z813" i="16"/>
  <c r="AA813" i="16" s="1"/>
  <c r="Z781" i="16"/>
  <c r="AA781" i="16" s="1"/>
  <c r="Z749" i="16"/>
  <c r="AA749" i="16" s="1"/>
  <c r="Z717" i="16"/>
  <c r="AA717" i="16" s="1"/>
  <c r="Z685" i="16"/>
  <c r="AA685" i="16" s="1"/>
  <c r="Z653" i="16"/>
  <c r="AA653" i="16" s="1"/>
  <c r="Z621" i="16"/>
  <c r="AA621" i="16" s="1"/>
  <c r="Z589" i="16"/>
  <c r="AA589" i="16" s="1"/>
  <c r="Z1627" i="16"/>
  <c r="AA1627" i="16" s="1"/>
  <c r="Z1566" i="16"/>
  <c r="AA1566" i="16" s="1"/>
  <c r="Z1438" i="16"/>
  <c r="AA1438" i="16" s="1"/>
  <c r="Z1195" i="16"/>
  <c r="AA1195" i="16" s="1"/>
  <c r="Z17" i="16"/>
  <c r="AA17" i="16" s="1"/>
  <c r="Z21" i="16"/>
  <c r="AA21" i="16" s="1"/>
  <c r="Z540" i="16"/>
  <c r="AA540" i="16" s="1"/>
  <c r="Z532" i="16"/>
  <c r="AA532" i="16" s="1"/>
  <c r="Z524" i="16"/>
  <c r="AA524" i="16" s="1"/>
  <c r="Z516" i="16"/>
  <c r="AA516" i="16" s="1"/>
  <c r="Z508" i="16"/>
  <c r="AA508" i="16" s="1"/>
  <c r="Z500" i="16"/>
  <c r="AA500" i="16" s="1"/>
  <c r="Z492" i="16"/>
  <c r="AA492" i="16" s="1"/>
  <c r="Z484" i="16"/>
  <c r="AA484" i="16" s="1"/>
  <c r="Z476" i="16"/>
  <c r="AA476" i="16" s="1"/>
  <c r="Z468" i="16"/>
  <c r="AA468" i="16" s="1"/>
  <c r="Z460" i="16"/>
  <c r="AA460" i="16" s="1"/>
  <c r="Z452" i="16"/>
  <c r="AA452" i="16" s="1"/>
  <c r="Z444" i="16"/>
  <c r="AA444" i="16" s="1"/>
  <c r="Z436" i="16"/>
  <c r="AA436" i="16" s="1"/>
  <c r="Z428" i="16"/>
  <c r="AA428" i="16" s="1"/>
  <c r="Z420" i="16"/>
  <c r="AA420" i="16" s="1"/>
  <c r="Z412" i="16"/>
  <c r="AA412" i="16" s="1"/>
  <c r="Z404" i="16"/>
  <c r="AA404" i="16" s="1"/>
  <c r="Z396" i="16"/>
  <c r="AA396" i="16" s="1"/>
  <c r="Z388" i="16"/>
  <c r="AA388" i="16" s="1"/>
  <c r="Z380" i="16"/>
  <c r="AA380" i="16" s="1"/>
  <c r="Z372" i="16"/>
  <c r="AA372" i="16" s="1"/>
  <c r="Z364" i="16"/>
  <c r="AA364" i="16" s="1"/>
  <c r="Z356" i="16"/>
  <c r="AA356" i="16" s="1"/>
  <c r="Z348" i="16"/>
  <c r="AA348" i="16" s="1"/>
  <c r="Z340" i="16"/>
  <c r="AA340" i="16" s="1"/>
  <c r="Z332" i="16"/>
  <c r="AA332" i="16" s="1"/>
  <c r="Z324" i="16"/>
  <c r="AA324" i="16" s="1"/>
  <c r="Z316" i="16"/>
  <c r="AA316" i="16" s="1"/>
  <c r="Z308" i="16"/>
  <c r="AA308" i="16" s="1"/>
  <c r="Z300" i="16"/>
  <c r="AA300" i="16" s="1"/>
  <c r="Z292" i="16"/>
  <c r="AA292" i="16" s="1"/>
  <c r="Z284" i="16"/>
  <c r="AA284" i="16" s="1"/>
  <c r="Z276" i="16"/>
  <c r="AA276" i="16" s="1"/>
  <c r="Z268" i="16"/>
  <c r="AA268" i="16" s="1"/>
  <c r="Z260" i="16"/>
  <c r="AA260" i="16" s="1"/>
  <c r="Z252" i="16"/>
  <c r="AA252" i="16" s="1"/>
  <c r="Z244" i="16"/>
  <c r="AA244" i="16" s="1"/>
  <c r="Z236" i="16"/>
  <c r="AA236" i="16" s="1"/>
  <c r="Z228" i="16"/>
  <c r="AA228" i="16" s="1"/>
  <c r="Z220" i="16"/>
  <c r="AA220" i="16" s="1"/>
  <c r="Z213" i="16"/>
  <c r="AA213" i="16" s="1"/>
  <c r="Z205" i="16"/>
  <c r="AA205" i="16" s="1"/>
  <c r="Z197" i="16"/>
  <c r="AA197" i="16" s="1"/>
  <c r="Z189" i="16"/>
  <c r="AA189" i="16" s="1"/>
  <c r="Z180" i="16"/>
  <c r="AA180" i="16" s="1"/>
  <c r="Z164" i="16"/>
  <c r="AA164" i="16" s="1"/>
  <c r="Z148" i="16"/>
  <c r="AA148" i="16" s="1"/>
  <c r="Z1073" i="16"/>
  <c r="AA1073" i="16" s="1"/>
  <c r="Z1049" i="16"/>
  <c r="AA1049" i="16" s="1"/>
  <c r="Z1017" i="16"/>
  <c r="AA1017" i="16" s="1"/>
  <c r="Z985" i="16"/>
  <c r="AA985" i="16" s="1"/>
  <c r="Z953" i="16"/>
  <c r="AA953" i="16" s="1"/>
  <c r="Z921" i="16"/>
  <c r="AA921" i="16" s="1"/>
  <c r="Z889" i="16"/>
  <c r="AA889" i="16" s="1"/>
  <c r="Z857" i="16"/>
  <c r="AA857" i="16" s="1"/>
  <c r="Z825" i="16"/>
  <c r="AA825" i="16" s="1"/>
  <c r="Z793" i="16"/>
  <c r="AA793" i="16" s="1"/>
  <c r="Z761" i="16"/>
  <c r="AA761" i="16" s="1"/>
  <c r="Z729" i="16"/>
  <c r="AA729" i="16" s="1"/>
  <c r="Z697" i="16"/>
  <c r="AA697" i="16" s="1"/>
  <c r="Z665" i="16"/>
  <c r="AA665" i="16" s="1"/>
  <c r="Z633" i="16"/>
  <c r="AA633" i="16" s="1"/>
  <c r="Z42" i="16"/>
  <c r="AA42" i="16" s="1"/>
  <c r="Z54" i="16"/>
  <c r="AA54" i="16" s="1"/>
  <c r="Z37" i="16"/>
  <c r="AA37" i="16" s="1"/>
  <c r="Z49" i="16"/>
  <c r="AA49" i="16" s="1"/>
  <c r="Z67" i="16"/>
  <c r="AA67" i="16" s="1"/>
  <c r="Z73" i="16"/>
  <c r="AA73" i="16" s="1"/>
  <c r="Z83" i="16"/>
  <c r="AA83" i="16" s="1"/>
  <c r="Z89" i="16"/>
  <c r="AA89" i="16" s="1"/>
  <c r="Z99" i="16"/>
  <c r="AA99" i="16" s="1"/>
  <c r="Z106" i="16"/>
  <c r="AA106" i="16" s="1"/>
  <c r="Z116" i="16"/>
  <c r="AA116" i="16" s="1"/>
  <c r="Z122" i="16"/>
  <c r="AA122" i="16" s="1"/>
  <c r="Z132" i="16"/>
  <c r="AA132" i="16" s="1"/>
  <c r="Z138" i="16"/>
  <c r="AA138" i="16" s="1"/>
  <c r="Z61" i="16"/>
  <c r="AA61" i="16" s="1"/>
  <c r="Z85" i="16"/>
  <c r="AA85" i="16" s="1"/>
  <c r="Z128" i="16"/>
  <c r="AA128" i="16" s="1"/>
  <c r="Z22" i="16"/>
  <c r="AA22" i="16" s="1"/>
  <c r="Z60" i="16"/>
  <c r="AA60" i="16" s="1"/>
  <c r="Z27" i="16"/>
  <c r="AA27" i="16" s="1"/>
  <c r="Z59" i="16"/>
  <c r="AA59" i="16" s="1"/>
  <c r="Z78" i="16"/>
  <c r="AA78" i="16" s="1"/>
  <c r="Z94" i="16"/>
  <c r="AA94" i="16" s="1"/>
  <c r="Z111" i="16"/>
  <c r="AA111" i="16" s="1"/>
  <c r="Z127" i="16"/>
  <c r="AA127" i="16" s="1"/>
  <c r="Z143" i="16"/>
  <c r="AA143" i="16" s="1"/>
  <c r="Z168" i="16"/>
  <c r="AA168" i="16" s="1"/>
  <c r="Z478" i="16"/>
  <c r="AA478" i="16" s="1"/>
  <c r="Z446" i="16"/>
  <c r="AA446" i="16" s="1"/>
  <c r="Z270" i="16"/>
  <c r="AA270" i="16" s="1"/>
  <c r="Z506" i="16"/>
  <c r="AA506" i="16" s="1"/>
  <c r="Z378" i="16"/>
  <c r="AA378" i="16" s="1"/>
  <c r="Z250" i="16"/>
  <c r="AA250" i="16" s="1"/>
  <c r="Z945" i="16"/>
  <c r="AA945" i="16" s="1"/>
  <c r="Z534" i="16"/>
  <c r="AA534" i="16" s="1"/>
  <c r="Z406" i="16"/>
  <c r="AA406" i="16" s="1"/>
  <c r="Z278" i="16"/>
  <c r="AA278" i="16" s="1"/>
  <c r="Z993" i="16"/>
  <c r="AA993" i="16" s="1"/>
  <c r="Z1390" i="16"/>
  <c r="AA1390" i="16" s="1"/>
  <c r="Z434" i="16"/>
  <c r="AA434" i="16" s="1"/>
  <c r="Z306" i="16"/>
  <c r="AA306" i="16" s="1"/>
  <c r="Z176" i="16"/>
  <c r="AA176" i="16" s="1"/>
  <c r="Z657" i="16"/>
  <c r="AA657" i="16" s="1"/>
  <c r="Z529" i="16"/>
  <c r="AA529" i="16" s="1"/>
  <c r="Z497" i="16"/>
  <c r="AA497" i="16" s="1"/>
  <c r="Z465" i="16"/>
  <c r="AA465" i="16" s="1"/>
  <c r="Z433" i="16"/>
  <c r="AA433" i="16" s="1"/>
  <c r="Z401" i="16"/>
  <c r="AA401" i="16" s="1"/>
  <c r="Z369" i="16"/>
  <c r="AA369" i="16" s="1"/>
  <c r="Z337" i="16"/>
  <c r="AA337" i="16" s="1"/>
  <c r="Z305" i="16"/>
  <c r="AA305" i="16" s="1"/>
  <c r="Z273" i="16"/>
  <c r="AA273" i="16" s="1"/>
  <c r="Z241" i="16"/>
  <c r="AA241" i="16" s="1"/>
  <c r="Z206" i="16"/>
  <c r="AA206" i="16" s="1"/>
  <c r="Z166" i="16"/>
  <c r="AA166" i="16" s="1"/>
  <c r="Z1021" i="16"/>
  <c r="AA1021" i="16" s="1"/>
  <c r="Z893" i="16"/>
  <c r="AA893" i="16" s="1"/>
  <c r="Z765" i="16"/>
  <c r="AA765" i="16" s="1"/>
  <c r="Z637" i="16"/>
  <c r="AA637" i="16" s="1"/>
  <c r="Z1502" i="16"/>
  <c r="AA1502" i="16" s="1"/>
  <c r="Z544" i="16"/>
  <c r="AA544" i="16" s="1"/>
  <c r="Z512" i="16"/>
  <c r="AA512" i="16" s="1"/>
  <c r="Z480" i="16"/>
  <c r="AA480" i="16" s="1"/>
  <c r="Z448" i="16"/>
  <c r="AA448" i="16" s="1"/>
  <c r="Z416" i="16"/>
  <c r="AA416" i="16" s="1"/>
  <c r="Z384" i="16"/>
  <c r="AA384" i="16" s="1"/>
  <c r="Z352" i="16"/>
  <c r="AA352" i="16" s="1"/>
  <c r="Z320" i="16"/>
  <c r="AA320" i="16" s="1"/>
  <c r="Z288" i="16"/>
  <c r="AA288" i="16" s="1"/>
  <c r="Z256" i="16"/>
  <c r="AA256" i="16" s="1"/>
  <c r="Z224" i="16"/>
  <c r="AA224" i="16" s="1"/>
  <c r="Z193" i="16"/>
  <c r="AA193" i="16" s="1"/>
  <c r="Z1081" i="16"/>
  <c r="AA1081" i="16" s="1"/>
  <c r="Z969" i="16"/>
  <c r="AA969" i="16" s="1"/>
  <c r="Z841" i="16"/>
  <c r="AA841" i="16" s="1"/>
  <c r="Z713" i="16"/>
  <c r="AA713" i="16" s="1"/>
  <c r="Z601" i="16"/>
  <c r="AA601" i="16" s="1"/>
  <c r="Z1605" i="16"/>
  <c r="AA1605" i="16" s="1"/>
  <c r="Z1358" i="16"/>
  <c r="AA1358" i="16" s="1"/>
  <c r="Z535" i="16"/>
  <c r="AA535" i="16" s="1"/>
  <c r="Z519" i="16"/>
  <c r="AA519" i="16" s="1"/>
  <c r="Z503" i="16"/>
  <c r="AA503" i="16" s="1"/>
  <c r="Z487" i="16"/>
  <c r="AA487" i="16" s="1"/>
  <c r="Z471" i="16"/>
  <c r="AA471" i="16" s="1"/>
  <c r="Z455" i="16"/>
  <c r="AA455" i="16" s="1"/>
  <c r="Z439" i="16"/>
  <c r="AA439" i="16" s="1"/>
  <c r="Z423" i="16"/>
  <c r="AA423" i="16" s="1"/>
  <c r="Z407" i="16"/>
  <c r="AA407" i="16" s="1"/>
  <c r="Z391" i="16"/>
  <c r="AA391" i="16" s="1"/>
  <c r="Z375" i="16"/>
  <c r="AA375" i="16" s="1"/>
  <c r="Z359" i="16"/>
  <c r="AA359" i="16" s="1"/>
  <c r="Z343" i="16"/>
  <c r="AA343" i="16" s="1"/>
  <c r="Z327" i="16"/>
  <c r="AA327" i="16" s="1"/>
  <c r="Z311" i="16"/>
  <c r="AA311" i="16" s="1"/>
  <c r="Z295" i="16"/>
  <c r="AA295" i="16" s="1"/>
  <c r="Z279" i="16"/>
  <c r="AA279" i="16" s="1"/>
  <c r="Z263" i="16"/>
  <c r="AA263" i="16" s="1"/>
  <c r="Z247" i="16"/>
  <c r="AA247" i="16" s="1"/>
  <c r="Z231" i="16"/>
  <c r="AA231" i="16" s="1"/>
  <c r="Z215" i="16"/>
  <c r="AA215" i="16" s="1"/>
  <c r="Z200" i="16"/>
  <c r="AA200" i="16" s="1"/>
  <c r="Z184" i="16"/>
  <c r="AA184" i="16" s="1"/>
  <c r="Z154" i="16"/>
  <c r="AA154" i="16" s="1"/>
  <c r="Z1061" i="16"/>
  <c r="AA1061" i="16" s="1"/>
  <c r="Z997" i="16"/>
  <c r="AA997" i="16" s="1"/>
  <c r="Z933" i="16"/>
  <c r="AA933" i="16" s="1"/>
  <c r="Z869" i="16"/>
  <c r="AA869" i="16" s="1"/>
  <c r="Z805" i="16"/>
  <c r="AA805" i="16" s="1"/>
  <c r="Z741" i="16"/>
  <c r="AA741" i="16" s="1"/>
  <c r="Z677" i="16"/>
  <c r="AA677" i="16" s="1"/>
  <c r="Z613" i="16"/>
  <c r="AA613" i="16" s="1"/>
  <c r="Z1619" i="16"/>
  <c r="AA1619" i="16" s="1"/>
  <c r="Z1406" i="16"/>
  <c r="AA1406" i="16" s="1"/>
  <c r="Z171" i="16"/>
  <c r="AA171" i="16" s="1"/>
  <c r="Z155" i="16"/>
  <c r="AA155" i="16" s="1"/>
  <c r="Z1080" i="16"/>
  <c r="AA1080" i="16" s="1"/>
  <c r="Z1064" i="16"/>
  <c r="AA1064" i="16" s="1"/>
  <c r="Z1048" i="16"/>
  <c r="AA1048" i="16" s="1"/>
  <c r="Z1032" i="16"/>
  <c r="AA1032" i="16" s="1"/>
  <c r="Z1016" i="16"/>
  <c r="AA1016" i="16" s="1"/>
  <c r="Z1000" i="16"/>
  <c r="AA1000" i="16" s="1"/>
  <c r="Z984" i="16"/>
  <c r="AA984" i="16" s="1"/>
  <c r="Z968" i="16"/>
  <c r="AA968" i="16" s="1"/>
  <c r="Z952" i="16"/>
  <c r="AA952" i="16" s="1"/>
  <c r="Z936" i="16"/>
  <c r="AA936" i="16" s="1"/>
  <c r="Z920" i="16"/>
  <c r="AA920" i="16" s="1"/>
  <c r="Z904" i="16"/>
  <c r="AA904" i="16" s="1"/>
  <c r="Z888" i="16"/>
  <c r="AA888" i="16" s="1"/>
  <c r="Z872" i="16"/>
  <c r="AA872" i="16" s="1"/>
  <c r="Z856" i="16"/>
  <c r="AA856" i="16" s="1"/>
  <c r="Z840" i="16"/>
  <c r="AA840" i="16" s="1"/>
  <c r="Z824" i="16"/>
  <c r="AA824" i="16" s="1"/>
  <c r="Z808" i="16"/>
  <c r="AA808" i="16" s="1"/>
  <c r="Z792" i="16"/>
  <c r="AA792" i="16" s="1"/>
  <c r="Z776" i="16"/>
  <c r="AA776" i="16" s="1"/>
  <c r="Z760" i="16"/>
  <c r="AA760" i="16" s="1"/>
  <c r="Z744" i="16"/>
  <c r="AA744" i="16" s="1"/>
  <c r="Z728" i="16"/>
  <c r="AA728" i="16" s="1"/>
  <c r="Z712" i="16"/>
  <c r="AA712" i="16" s="1"/>
  <c r="Z696" i="16"/>
  <c r="AA696" i="16" s="1"/>
  <c r="Z680" i="16"/>
  <c r="AA680" i="16" s="1"/>
  <c r="Z664" i="16"/>
  <c r="AA664" i="16" s="1"/>
  <c r="Z648" i="16"/>
  <c r="AA648" i="16" s="1"/>
  <c r="Z632" i="16"/>
  <c r="AA632" i="16" s="1"/>
  <c r="Z616" i="16"/>
  <c r="AA616" i="16" s="1"/>
  <c r="Z600" i="16"/>
  <c r="AA600" i="16" s="1"/>
  <c r="Z584" i="16"/>
  <c r="AA584" i="16" s="1"/>
  <c r="Z568" i="16"/>
  <c r="AA568" i="16" s="1"/>
  <c r="Z1622" i="16"/>
  <c r="AA1622" i="16" s="1"/>
  <c r="Z1602" i="16"/>
  <c r="AA1602" i="16" s="1"/>
  <c r="Z1546" i="16"/>
  <c r="AA1546" i="16" s="1"/>
  <c r="Z1482" i="16"/>
  <c r="AA1482" i="16" s="1"/>
  <c r="Z1418" i="16"/>
  <c r="AA1418" i="16" s="1"/>
  <c r="Z1354" i="16"/>
  <c r="AA1354" i="16" s="1"/>
  <c r="Z1115" i="16"/>
  <c r="AA1115" i="16" s="1"/>
  <c r="Z1055" i="16"/>
  <c r="AA1055" i="16" s="1"/>
  <c r="Z1039" i="16"/>
  <c r="AA1039" i="16" s="1"/>
  <c r="Z1023" i="16"/>
  <c r="AA1023" i="16" s="1"/>
  <c r="Z1007" i="16"/>
  <c r="AA1007" i="16" s="1"/>
  <c r="Z991" i="16"/>
  <c r="AA991" i="16" s="1"/>
  <c r="Z975" i="16"/>
  <c r="AA975" i="16" s="1"/>
  <c r="Z959" i="16"/>
  <c r="AA959" i="16" s="1"/>
  <c r="Z943" i="16"/>
  <c r="AA943" i="16" s="1"/>
  <c r="Z927" i="16"/>
  <c r="AA927" i="16" s="1"/>
  <c r="Z911" i="16"/>
  <c r="AA911" i="16" s="1"/>
  <c r="Z895" i="16"/>
  <c r="AA895" i="16" s="1"/>
  <c r="Z879" i="16"/>
  <c r="AA879" i="16" s="1"/>
  <c r="Z863" i="16"/>
  <c r="AA863" i="16" s="1"/>
  <c r="Z847" i="16"/>
  <c r="AA847" i="16" s="1"/>
  <c r="Z831" i="16"/>
  <c r="AA831" i="16" s="1"/>
  <c r="Z815" i="16"/>
  <c r="AA815" i="16" s="1"/>
  <c r="Z799" i="16"/>
  <c r="AA799" i="16" s="1"/>
  <c r="Z783" i="16"/>
  <c r="AA783" i="16" s="1"/>
  <c r="Z767" i="16"/>
  <c r="AA767" i="16" s="1"/>
  <c r="Z751" i="16"/>
  <c r="AA751" i="16" s="1"/>
  <c r="Z735" i="16"/>
  <c r="AA735" i="16" s="1"/>
  <c r="Z719" i="16"/>
  <c r="AA719" i="16" s="1"/>
  <c r="Z703" i="16"/>
  <c r="AA703" i="16" s="1"/>
  <c r="Z687" i="16"/>
  <c r="AA687" i="16" s="1"/>
  <c r="Z671" i="16"/>
  <c r="AA671" i="16" s="1"/>
  <c r="Z655" i="16"/>
  <c r="AA655" i="16" s="1"/>
  <c r="Z639" i="16"/>
  <c r="AA639" i="16" s="1"/>
  <c r="Z623" i="16"/>
  <c r="AA623" i="16" s="1"/>
  <c r="Z607" i="16"/>
  <c r="AA607" i="16" s="1"/>
  <c r="Z591" i="16"/>
  <c r="AA591" i="16" s="1"/>
  <c r="Z575" i="16"/>
  <c r="AA575" i="16" s="1"/>
  <c r="Z1101" i="16"/>
  <c r="AA1101" i="16" s="1"/>
  <c r="Z1613" i="16"/>
  <c r="AA1613" i="16" s="1"/>
  <c r="Z1574" i="16"/>
  <c r="AA1574" i="16" s="1"/>
  <c r="Z1510" i="16"/>
  <c r="AA1510" i="16" s="1"/>
  <c r="Z1446" i="16"/>
  <c r="AA1446" i="16" s="1"/>
  <c r="Z1382" i="16"/>
  <c r="AA1382" i="16" s="1"/>
  <c r="Z1227" i="16"/>
  <c r="AA1227" i="16" s="1"/>
  <c r="Z173" i="16"/>
  <c r="AA173" i="16" s="1"/>
  <c r="Z157" i="16"/>
  <c r="AA157" i="16" s="1"/>
  <c r="Z1082" i="16"/>
  <c r="AA1082" i="16" s="1"/>
  <c r="Z1066" i="16"/>
  <c r="AA1066" i="16" s="1"/>
  <c r="Z1050" i="16"/>
  <c r="AA1050" i="16" s="1"/>
  <c r="Z1034" i="16"/>
  <c r="AA1034" i="16" s="1"/>
  <c r="Z1018" i="16"/>
  <c r="AA1018" i="16" s="1"/>
  <c r="Z1002" i="16"/>
  <c r="AA1002" i="16" s="1"/>
  <c r="Z986" i="16"/>
  <c r="AA986" i="16" s="1"/>
  <c r="Z970" i="16"/>
  <c r="AA970" i="16" s="1"/>
  <c r="Z954" i="16"/>
  <c r="AA954" i="16" s="1"/>
  <c r="Z938" i="16"/>
  <c r="AA938" i="16" s="1"/>
  <c r="Z922" i="16"/>
  <c r="AA922" i="16" s="1"/>
  <c r="Z906" i="16"/>
  <c r="AA906" i="16" s="1"/>
  <c r="Z890" i="16"/>
  <c r="AA890" i="16" s="1"/>
  <c r="Z874" i="16"/>
  <c r="AA874" i="16" s="1"/>
  <c r="Z858" i="16"/>
  <c r="AA858" i="16" s="1"/>
  <c r="Z842" i="16"/>
  <c r="AA842" i="16" s="1"/>
  <c r="Z826" i="16"/>
  <c r="AA826" i="16" s="1"/>
  <c r="Z810" i="16"/>
  <c r="AA810" i="16" s="1"/>
  <c r="Z794" i="16"/>
  <c r="AA794" i="16" s="1"/>
  <c r="Z778" i="16"/>
  <c r="AA778" i="16" s="1"/>
  <c r="Z762" i="16"/>
  <c r="AA762" i="16" s="1"/>
  <c r="Z746" i="16"/>
  <c r="AA746" i="16" s="1"/>
  <c r="Z730" i="16"/>
  <c r="AA730" i="16" s="1"/>
  <c r="Z714" i="16"/>
  <c r="AA714" i="16" s="1"/>
  <c r="Z698" i="16"/>
  <c r="AA698" i="16" s="1"/>
  <c r="Z682" i="16"/>
  <c r="AA682" i="16" s="1"/>
  <c r="Z666" i="16"/>
  <c r="AA666" i="16" s="1"/>
  <c r="Z650" i="16"/>
  <c r="AA650" i="16" s="1"/>
  <c r="Z634" i="16"/>
  <c r="AA634" i="16" s="1"/>
  <c r="Z618" i="16"/>
  <c r="AA618" i="16" s="1"/>
  <c r="Z602" i="16"/>
  <c r="AA602" i="16" s="1"/>
  <c r="Z586" i="16"/>
  <c r="AA586" i="16" s="1"/>
  <c r="Z570" i="16"/>
  <c r="AA570" i="16" s="1"/>
  <c r="Z1624" i="16"/>
  <c r="AA1624" i="16" s="1"/>
  <c r="Z1606" i="16"/>
  <c r="AA1606" i="16" s="1"/>
  <c r="Z1554" i="16"/>
  <c r="AA1554" i="16" s="1"/>
  <c r="Z1490" i="16"/>
  <c r="AA1490" i="16" s="1"/>
  <c r="Z1426" i="16"/>
  <c r="AA1426" i="16" s="1"/>
  <c r="Z1362" i="16"/>
  <c r="AA1362" i="16" s="1"/>
  <c r="Z1147" i="16"/>
  <c r="AA1147" i="16" s="1"/>
  <c r="Z1581" i="16"/>
  <c r="AA1581" i="16" s="1"/>
  <c r="Z1565" i="16"/>
  <c r="AA1565" i="16" s="1"/>
  <c r="Z1549" i="16"/>
  <c r="AA1549" i="16" s="1"/>
  <c r="Z1533" i="16"/>
  <c r="AA1533" i="16" s="1"/>
  <c r="Z1517" i="16"/>
  <c r="AA1517" i="16" s="1"/>
  <c r="Z1501" i="16"/>
  <c r="AA1501" i="16" s="1"/>
  <c r="Z1485" i="16"/>
  <c r="AA1485" i="16" s="1"/>
  <c r="Z29" i="16"/>
  <c r="AA29" i="16" s="1"/>
  <c r="Z69" i="16"/>
  <c r="AA69" i="16" s="1"/>
  <c r="Z112" i="16"/>
  <c r="AA112" i="16" s="1"/>
  <c r="Z134" i="16"/>
  <c r="AA134" i="16" s="1"/>
  <c r="Z38" i="16"/>
  <c r="AA38" i="16" s="1"/>
  <c r="Z62" i="16"/>
  <c r="AA62" i="16" s="1"/>
  <c r="Z35" i="16"/>
  <c r="AA35" i="16" s="1"/>
  <c r="Z66" i="16"/>
  <c r="AA66" i="16" s="1"/>
  <c r="Z82" i="16"/>
  <c r="AA82" i="16" s="1"/>
  <c r="Z98" i="16"/>
  <c r="AA98" i="16" s="1"/>
  <c r="Z115" i="16"/>
  <c r="AA115" i="16" s="1"/>
  <c r="Z131" i="16"/>
  <c r="AA131" i="16" s="1"/>
  <c r="Z318" i="16"/>
  <c r="AA318" i="16" s="1"/>
  <c r="Z641" i="16"/>
  <c r="AA641" i="16" s="1"/>
  <c r="Z350" i="16"/>
  <c r="AA350" i="16" s="1"/>
  <c r="Z961" i="16"/>
  <c r="AA961" i="16" s="1"/>
  <c r="Z1025" i="16"/>
  <c r="AA1025" i="16" s="1"/>
  <c r="Z474" i="16"/>
  <c r="AA474" i="16" s="1"/>
  <c r="Z346" i="16"/>
  <c r="AA346" i="16" s="1"/>
  <c r="Z218" i="16"/>
  <c r="AA218" i="16" s="1"/>
  <c r="Z817" i="16"/>
  <c r="AA817" i="16" s="1"/>
  <c r="Z502" i="16"/>
  <c r="AA502" i="16" s="1"/>
  <c r="Z374" i="16"/>
  <c r="AA374" i="16" s="1"/>
  <c r="Z246" i="16"/>
  <c r="AA246" i="16" s="1"/>
  <c r="Z865" i="16"/>
  <c r="AA865" i="16" s="1"/>
  <c r="Z530" i="16"/>
  <c r="AA530" i="16" s="1"/>
  <c r="Z402" i="16"/>
  <c r="AA402" i="16" s="1"/>
  <c r="Z274" i="16"/>
  <c r="AA274" i="16" s="1"/>
  <c r="Z1041" i="16"/>
  <c r="AA1041" i="16" s="1"/>
  <c r="Z1582" i="16"/>
  <c r="AA1582" i="16" s="1"/>
  <c r="Z521" i="16"/>
  <c r="AA521" i="16" s="1"/>
  <c r="Z489" i="16"/>
  <c r="AA489" i="16" s="1"/>
  <c r="Z457" i="16"/>
  <c r="AA457" i="16" s="1"/>
  <c r="Z425" i="16"/>
  <c r="AA425" i="16" s="1"/>
  <c r="Z393" i="16"/>
  <c r="AA393" i="16" s="1"/>
  <c r="Z361" i="16"/>
  <c r="AA361" i="16" s="1"/>
  <c r="Z329" i="16"/>
  <c r="AA329" i="16" s="1"/>
  <c r="Z297" i="16"/>
  <c r="AA297" i="16" s="1"/>
  <c r="Z265" i="16"/>
  <c r="AA265" i="16" s="1"/>
  <c r="Z233" i="16"/>
  <c r="AA233" i="16" s="1"/>
  <c r="Z198" i="16"/>
  <c r="AA198" i="16" s="1"/>
  <c r="Z150" i="16"/>
  <c r="AA150" i="16" s="1"/>
  <c r="Z989" i="16"/>
  <c r="AA989" i="16" s="1"/>
  <c r="Z861" i="16"/>
  <c r="AA861" i="16" s="1"/>
  <c r="Z733" i="16"/>
  <c r="AA733" i="16" s="1"/>
  <c r="Z605" i="16"/>
  <c r="AA605" i="16" s="1"/>
  <c r="Z1374" i="16"/>
  <c r="AA1374" i="16" s="1"/>
  <c r="Z536" i="16"/>
  <c r="AA536" i="16" s="1"/>
  <c r="Z504" i="16"/>
  <c r="AA504" i="16" s="1"/>
  <c r="Z472" i="16"/>
  <c r="AA472" i="16" s="1"/>
  <c r="Z440" i="16"/>
  <c r="AA440" i="16" s="1"/>
  <c r="Z408" i="16"/>
  <c r="AA408" i="16" s="1"/>
  <c r="Z376" i="16"/>
  <c r="AA376" i="16" s="1"/>
  <c r="Z344" i="16"/>
  <c r="AA344" i="16" s="1"/>
  <c r="Z312" i="16"/>
  <c r="AA312" i="16" s="1"/>
  <c r="Z280" i="16"/>
  <c r="AA280" i="16" s="1"/>
  <c r="Z248" i="16"/>
  <c r="AA248" i="16" s="1"/>
  <c r="Z216" i="16"/>
  <c r="AA216" i="16" s="1"/>
  <c r="Z185" i="16"/>
  <c r="AA185" i="16" s="1"/>
  <c r="Z1065" i="16"/>
  <c r="AA1065" i="16" s="1"/>
  <c r="Z937" i="16"/>
  <c r="AA937" i="16" s="1"/>
  <c r="Z809" i="16"/>
  <c r="AA809" i="16" s="1"/>
  <c r="Z681" i="16"/>
  <c r="AA681" i="16" s="1"/>
  <c r="Z585" i="16"/>
  <c r="AA585" i="16" s="1"/>
  <c r="Z1550" i="16"/>
  <c r="AA1550" i="16" s="1"/>
  <c r="Z1131" i="16"/>
  <c r="AA1131" i="16" s="1"/>
  <c r="Z531" i="16"/>
  <c r="AA531" i="16" s="1"/>
  <c r="Z515" i="16"/>
  <c r="AA515" i="16" s="1"/>
  <c r="Z499" i="16"/>
  <c r="AA499" i="16" s="1"/>
  <c r="Z483" i="16"/>
  <c r="AA483" i="16" s="1"/>
  <c r="Z467" i="16"/>
  <c r="AA467" i="16" s="1"/>
  <c r="Z451" i="16"/>
  <c r="AA451" i="16" s="1"/>
  <c r="Z435" i="16"/>
  <c r="AA435" i="16" s="1"/>
  <c r="Z419" i="16"/>
  <c r="AA419" i="16" s="1"/>
  <c r="Z403" i="16"/>
  <c r="AA403" i="16" s="1"/>
  <c r="Z387" i="16"/>
  <c r="AA387" i="16" s="1"/>
  <c r="Z371" i="16"/>
  <c r="AA371" i="16" s="1"/>
  <c r="Z355" i="16"/>
  <c r="AA355" i="16" s="1"/>
  <c r="Z339" i="16"/>
  <c r="AA339" i="16" s="1"/>
  <c r="Z323" i="16"/>
  <c r="AA323" i="16" s="1"/>
  <c r="Z307" i="16"/>
  <c r="AA307" i="16" s="1"/>
  <c r="Z291" i="16"/>
  <c r="AA291" i="16" s="1"/>
  <c r="Z275" i="16"/>
  <c r="AA275" i="16" s="1"/>
  <c r="Z259" i="16"/>
  <c r="AA259" i="16" s="1"/>
  <c r="Z243" i="16"/>
  <c r="AA243" i="16" s="1"/>
  <c r="Z227" i="16"/>
  <c r="AA227" i="16" s="1"/>
  <c r="Z212" i="16"/>
  <c r="AA212" i="16" s="1"/>
  <c r="Z196" i="16"/>
  <c r="AA196" i="16" s="1"/>
  <c r="Z178" i="16"/>
  <c r="AA178" i="16" s="1"/>
  <c r="Z559" i="16"/>
  <c r="AA559" i="16" s="1"/>
  <c r="Z1045" i="16"/>
  <c r="AA1045" i="16" s="1"/>
  <c r="Z981" i="16"/>
  <c r="AA981" i="16" s="1"/>
  <c r="Z917" i="16"/>
  <c r="AA917" i="16" s="1"/>
  <c r="Z853" i="16"/>
  <c r="AA853" i="16" s="1"/>
  <c r="Z789" i="16"/>
  <c r="AA789" i="16" s="1"/>
  <c r="Z725" i="16"/>
  <c r="AA725" i="16" s="1"/>
  <c r="Z661" i="16"/>
  <c r="AA661" i="16" s="1"/>
  <c r="Z597" i="16"/>
  <c r="AA597" i="16" s="1"/>
  <c r="Z1597" i="16"/>
  <c r="AA1597" i="16" s="1"/>
  <c r="Z1323" i="16"/>
  <c r="AA1323" i="16" s="1"/>
  <c r="Z167" i="16"/>
  <c r="AA167" i="16" s="1"/>
  <c r="Z151" i="16"/>
  <c r="AA151" i="16" s="1"/>
  <c r="Z1076" i="16"/>
  <c r="AA1076" i="16" s="1"/>
  <c r="Z1060" i="16"/>
  <c r="AA1060" i="16" s="1"/>
  <c r="Z1044" i="16"/>
  <c r="AA1044" i="16" s="1"/>
  <c r="Z1028" i="16"/>
  <c r="AA1028" i="16" s="1"/>
  <c r="Z1012" i="16"/>
  <c r="AA1012" i="16" s="1"/>
  <c r="Z996" i="16"/>
  <c r="AA996" i="16" s="1"/>
  <c r="Z980" i="16"/>
  <c r="AA980" i="16" s="1"/>
  <c r="Z964" i="16"/>
  <c r="AA964" i="16" s="1"/>
  <c r="Z948" i="16"/>
  <c r="AA948" i="16" s="1"/>
  <c r="Z932" i="16"/>
  <c r="AA932" i="16" s="1"/>
  <c r="Z916" i="16"/>
  <c r="AA916" i="16" s="1"/>
  <c r="Z900" i="16"/>
  <c r="AA900" i="16" s="1"/>
  <c r="Z884" i="16"/>
  <c r="AA884" i="16" s="1"/>
  <c r="Z868" i="16"/>
  <c r="AA868" i="16" s="1"/>
  <c r="Z852" i="16"/>
  <c r="AA852" i="16" s="1"/>
  <c r="Z836" i="16"/>
  <c r="AA836" i="16" s="1"/>
  <c r="Z820" i="16"/>
  <c r="AA820" i="16" s="1"/>
  <c r="Z804" i="16"/>
  <c r="AA804" i="16" s="1"/>
  <c r="Z788" i="16"/>
  <c r="AA788" i="16" s="1"/>
  <c r="Z772" i="16"/>
  <c r="AA772" i="16" s="1"/>
  <c r="Z756" i="16"/>
  <c r="AA756" i="16" s="1"/>
  <c r="Z740" i="16"/>
  <c r="AA740" i="16" s="1"/>
  <c r="Z724" i="16"/>
  <c r="AA724" i="16" s="1"/>
  <c r="Z708" i="16"/>
  <c r="AA708" i="16" s="1"/>
  <c r="Z692" i="16"/>
  <c r="AA692" i="16" s="1"/>
  <c r="Z676" i="16"/>
  <c r="AA676" i="16" s="1"/>
  <c r="Z660" i="16"/>
  <c r="AA660" i="16" s="1"/>
  <c r="Z644" i="16"/>
  <c r="AA644" i="16" s="1"/>
  <c r="Z628" i="16"/>
  <c r="AA628" i="16" s="1"/>
  <c r="Z612" i="16"/>
  <c r="AA612" i="16" s="1"/>
  <c r="Z596" i="16"/>
  <c r="AA596" i="16" s="1"/>
  <c r="Z580" i="16"/>
  <c r="AA580" i="16" s="1"/>
  <c r="Z564" i="16"/>
  <c r="AA564" i="16" s="1"/>
  <c r="Z1618" i="16"/>
  <c r="AA1618" i="16" s="1"/>
  <c r="Z1594" i="16"/>
  <c r="AA1594" i="16" s="1"/>
  <c r="Z1530" i="16"/>
  <c r="AA1530" i="16" s="1"/>
  <c r="Z1466" i="16"/>
  <c r="AA1466" i="16" s="1"/>
  <c r="Z1402" i="16"/>
  <c r="AA1402" i="16" s="1"/>
  <c r="Z1307" i="16"/>
  <c r="AA1307" i="16" s="1"/>
  <c r="Z557" i="16"/>
  <c r="AA557" i="16" s="1"/>
  <c r="Z1051" i="16"/>
  <c r="AA1051" i="16" s="1"/>
  <c r="Z1035" i="16"/>
  <c r="AA1035" i="16" s="1"/>
  <c r="Z1019" i="16"/>
  <c r="AA1019" i="16" s="1"/>
  <c r="Z1003" i="16"/>
  <c r="AA1003" i="16" s="1"/>
  <c r="Z987" i="16"/>
  <c r="AA987" i="16" s="1"/>
  <c r="Z971" i="16"/>
  <c r="AA971" i="16" s="1"/>
  <c r="Z955" i="16"/>
  <c r="AA955" i="16" s="1"/>
  <c r="Z939" i="16"/>
  <c r="AA939" i="16" s="1"/>
  <c r="Z923" i="16"/>
  <c r="AA923" i="16" s="1"/>
  <c r="Z907" i="16"/>
  <c r="AA907" i="16" s="1"/>
  <c r="Z891" i="16"/>
  <c r="AA891" i="16" s="1"/>
  <c r="Z875" i="16"/>
  <c r="AA875" i="16" s="1"/>
  <c r="Z859" i="16"/>
  <c r="AA859" i="16" s="1"/>
  <c r="Z843" i="16"/>
  <c r="AA843" i="16" s="1"/>
  <c r="Z827" i="16"/>
  <c r="AA827" i="16" s="1"/>
  <c r="Z811" i="16"/>
  <c r="AA811" i="16" s="1"/>
  <c r="Z795" i="16"/>
  <c r="AA795" i="16" s="1"/>
  <c r="Z779" i="16"/>
  <c r="AA779" i="16" s="1"/>
  <c r="Z763" i="16"/>
  <c r="AA763" i="16" s="1"/>
  <c r="Z747" i="16"/>
  <c r="AA747" i="16" s="1"/>
  <c r="Z731" i="16"/>
  <c r="AA731" i="16" s="1"/>
  <c r="Z715" i="16"/>
  <c r="AA715" i="16" s="1"/>
  <c r="Z699" i="16"/>
  <c r="AA699" i="16" s="1"/>
  <c r="Z683" i="16"/>
  <c r="AA683" i="16" s="1"/>
  <c r="Z667" i="16"/>
  <c r="AA667" i="16" s="1"/>
  <c r="Z651" i="16"/>
  <c r="AA651" i="16" s="1"/>
  <c r="Z635" i="16"/>
  <c r="AA635" i="16" s="1"/>
  <c r="Z619" i="16"/>
  <c r="AA619" i="16" s="1"/>
  <c r="Z603" i="16"/>
  <c r="AA603" i="16" s="1"/>
  <c r="Z587" i="16"/>
  <c r="AA587" i="16" s="1"/>
  <c r="Z571" i="16"/>
  <c r="AA571" i="16" s="1"/>
  <c r="Z1625" i="16"/>
  <c r="AA1625" i="16" s="1"/>
  <c r="Z1609" i="16"/>
  <c r="AA1609" i="16" s="1"/>
  <c r="Z1558" i="16"/>
  <c r="AA1558" i="16" s="1"/>
  <c r="Z1494" i="16"/>
  <c r="AA1494" i="16" s="1"/>
  <c r="Z1430" i="16"/>
  <c r="AA1430" i="16" s="1"/>
  <c r="Z1366" i="16"/>
  <c r="AA1366" i="16" s="1"/>
  <c r="Z1163" i="16"/>
  <c r="AA1163" i="16" s="1"/>
  <c r="Z169" i="16"/>
  <c r="AA169" i="16" s="1"/>
  <c r="Z153" i="16"/>
  <c r="AA153" i="16" s="1"/>
  <c r="Z1078" i="16"/>
  <c r="AA1078" i="16" s="1"/>
  <c r="Z1062" i="16"/>
  <c r="AA1062" i="16" s="1"/>
  <c r="Z1046" i="16"/>
  <c r="AA1046" i="16" s="1"/>
  <c r="Z1030" i="16"/>
  <c r="AA1030" i="16" s="1"/>
  <c r="Z1014" i="16"/>
  <c r="AA1014" i="16" s="1"/>
  <c r="Z998" i="16"/>
  <c r="AA998" i="16" s="1"/>
  <c r="Z982" i="16"/>
  <c r="AA982" i="16" s="1"/>
  <c r="Z966" i="16"/>
  <c r="AA966" i="16" s="1"/>
  <c r="Z950" i="16"/>
  <c r="AA950" i="16" s="1"/>
  <c r="Z934" i="16"/>
  <c r="AA934" i="16" s="1"/>
  <c r="Z918" i="16"/>
  <c r="AA918" i="16" s="1"/>
  <c r="Z902" i="16"/>
  <c r="AA902" i="16" s="1"/>
  <c r="Z886" i="16"/>
  <c r="AA886" i="16" s="1"/>
  <c r="Z870" i="16"/>
  <c r="AA870" i="16" s="1"/>
  <c r="Z854" i="16"/>
  <c r="AA854" i="16" s="1"/>
  <c r="Z838" i="16"/>
  <c r="AA838" i="16" s="1"/>
  <c r="Z822" i="16"/>
  <c r="AA822" i="16" s="1"/>
  <c r="Z806" i="16"/>
  <c r="AA806" i="16" s="1"/>
  <c r="Z790" i="16"/>
  <c r="AA790" i="16" s="1"/>
  <c r="Z774" i="16"/>
  <c r="AA774" i="16" s="1"/>
  <c r="Z758" i="16"/>
  <c r="AA758" i="16" s="1"/>
  <c r="Z742" i="16"/>
  <c r="AA742" i="16" s="1"/>
  <c r="Z726" i="16"/>
  <c r="AA726" i="16" s="1"/>
  <c r="Z710" i="16"/>
  <c r="AA710" i="16" s="1"/>
  <c r="Z694" i="16"/>
  <c r="AA694" i="16" s="1"/>
  <c r="Z678" i="16"/>
  <c r="AA678" i="16" s="1"/>
  <c r="Z662" i="16"/>
  <c r="AA662" i="16" s="1"/>
  <c r="Z646" i="16"/>
  <c r="AA646" i="16" s="1"/>
  <c r="Z630" i="16"/>
  <c r="AA630" i="16" s="1"/>
  <c r="Z614" i="16"/>
  <c r="AA614" i="16" s="1"/>
  <c r="Z598" i="16"/>
  <c r="AA598" i="16" s="1"/>
  <c r="Z582" i="16"/>
  <c r="AA582" i="16" s="1"/>
  <c r="Z566" i="16"/>
  <c r="AA566" i="16" s="1"/>
  <c r="Z1620" i="16"/>
  <c r="AA1620" i="16" s="1"/>
  <c r="Z1598" i="16"/>
  <c r="AA1598" i="16" s="1"/>
  <c r="Z1538" i="16"/>
  <c r="AA1538" i="16" s="1"/>
  <c r="Z1474" i="16"/>
  <c r="AA1474" i="16" s="1"/>
  <c r="Z1410" i="16"/>
  <c r="AA1410" i="16" s="1"/>
  <c r="Z1339" i="16"/>
  <c r="AA1339" i="16" s="1"/>
  <c r="Z1593" i="16"/>
  <c r="AA1593" i="16" s="1"/>
  <c r="Z1577" i="16"/>
  <c r="AA1577" i="16" s="1"/>
  <c r="Z1561" i="16"/>
  <c r="AA1561" i="16" s="1"/>
  <c r="Z1545" i="16"/>
  <c r="AA1545" i="16" s="1"/>
  <c r="Z1529" i="16"/>
  <c r="AA1529" i="16" s="1"/>
  <c r="Z1513" i="16"/>
  <c r="AA1513" i="16" s="1"/>
  <c r="Z1497" i="16"/>
  <c r="AA1497" i="16" s="1"/>
  <c r="Z1481" i="16"/>
  <c r="AA1481" i="16" s="1"/>
  <c r="Z1473" i="16"/>
  <c r="AA1473" i="16" s="1"/>
  <c r="Z1465" i="16"/>
  <c r="AA1465" i="16" s="1"/>
  <c r="Z1457" i="16"/>
  <c r="AA1457" i="16" s="1"/>
  <c r="Z1449" i="16"/>
  <c r="AA1449" i="16" s="1"/>
  <c r="Z1441" i="16"/>
  <c r="AA1441" i="16" s="1"/>
  <c r="Z1433" i="16"/>
  <c r="AA1433" i="16" s="1"/>
  <c r="Z1425" i="16"/>
  <c r="AA1425" i="16" s="1"/>
  <c r="Z1417" i="16"/>
  <c r="AA1417" i="16" s="1"/>
  <c r="Z1409" i="16"/>
  <c r="AA1409" i="16" s="1"/>
  <c r="Z1401" i="16"/>
  <c r="AA1401" i="16" s="1"/>
  <c r="Z1393" i="16"/>
  <c r="AA1393" i="16" s="1"/>
  <c r="Z1385" i="16"/>
  <c r="AA1385" i="16" s="1"/>
  <c r="Z1377" i="16"/>
  <c r="AA1377" i="16" s="1"/>
  <c r="Z1369" i="16"/>
  <c r="AA1369" i="16" s="1"/>
  <c r="Z1361" i="16"/>
  <c r="AA1361" i="16" s="1"/>
  <c r="Z1353" i="16"/>
  <c r="AA1353" i="16" s="1"/>
  <c r="Z1335" i="16"/>
  <c r="AA1335" i="16" s="1"/>
  <c r="Z1303" i="16"/>
  <c r="AA1303" i="16" s="1"/>
  <c r="Z1271" i="16"/>
  <c r="AA1271" i="16" s="1"/>
  <c r="Z1239" i="16"/>
  <c r="AA1239" i="16" s="1"/>
  <c r="Z1207" i="16"/>
  <c r="AA1207" i="16" s="1"/>
  <c r="Z1175" i="16"/>
  <c r="AA1175" i="16" s="1"/>
  <c r="Z1143" i="16"/>
  <c r="AA1143" i="16" s="1"/>
  <c r="Z1111" i="16"/>
  <c r="AA1111" i="16" s="1"/>
  <c r="Z555" i="16"/>
  <c r="AA555" i="16" s="1"/>
  <c r="Z1604" i="16"/>
  <c r="AA1604" i="16" s="1"/>
  <c r="Z1596" i="16"/>
  <c r="AA1596" i="16" s="1"/>
  <c r="Z1588" i="16"/>
  <c r="AA1588" i="16" s="1"/>
  <c r="Z1580" i="16"/>
  <c r="AA1580" i="16" s="1"/>
  <c r="Z1572" i="16"/>
  <c r="AA1572" i="16" s="1"/>
  <c r="Z1564" i="16"/>
  <c r="AA1564" i="16" s="1"/>
  <c r="Z1556" i="16"/>
  <c r="AA1556" i="16" s="1"/>
  <c r="Z1548" i="16"/>
  <c r="AA1548" i="16" s="1"/>
  <c r="Z1540" i="16"/>
  <c r="AA1540" i="16" s="1"/>
  <c r="Z1532" i="16"/>
  <c r="AA1532" i="16" s="1"/>
  <c r="Z1524" i="16"/>
  <c r="AA1524" i="16" s="1"/>
  <c r="Z1516" i="16"/>
  <c r="AA1516" i="16" s="1"/>
  <c r="Z1508" i="16"/>
  <c r="AA1508" i="16" s="1"/>
  <c r="Z1500" i="16"/>
  <c r="AA1500" i="16" s="1"/>
  <c r="Z1492" i="16"/>
  <c r="AA1492" i="16" s="1"/>
  <c r="Z1484" i="16"/>
  <c r="AA1484" i="16" s="1"/>
  <c r="Z1476" i="16"/>
  <c r="AA1476" i="16" s="1"/>
  <c r="Z1468" i="16"/>
  <c r="AA1468" i="16" s="1"/>
  <c r="Z1460" i="16"/>
  <c r="AA1460" i="16" s="1"/>
  <c r="Z1452" i="16"/>
  <c r="AA1452" i="16" s="1"/>
  <c r="Z1444" i="16"/>
  <c r="AA1444" i="16" s="1"/>
  <c r="Z1436" i="16"/>
  <c r="AA1436" i="16" s="1"/>
  <c r="Z1428" i="16"/>
  <c r="AA1428" i="16" s="1"/>
  <c r="Z1420" i="16"/>
  <c r="AA1420" i="16" s="1"/>
  <c r="Z1412" i="16"/>
  <c r="AA1412" i="16" s="1"/>
  <c r="Z1404" i="16"/>
  <c r="AA1404" i="16" s="1"/>
  <c r="Z1396" i="16"/>
  <c r="AA1396" i="16" s="1"/>
  <c r="Z1388" i="16"/>
  <c r="AA1388" i="16" s="1"/>
  <c r="Z1380" i="16"/>
  <c r="AA1380" i="16" s="1"/>
  <c r="Z1372" i="16"/>
  <c r="AA1372" i="16" s="1"/>
  <c r="Z1364" i="16"/>
  <c r="AA1364" i="16" s="1"/>
  <c r="Z1356" i="16"/>
  <c r="AA1356" i="16" s="1"/>
  <c r="Z1347" i="16"/>
  <c r="AA1347" i="16" s="1"/>
  <c r="Z1315" i="16"/>
  <c r="AA1315" i="16" s="1"/>
  <c r="Z1283" i="16"/>
  <c r="AA1283" i="16" s="1"/>
  <c r="Z1251" i="16"/>
  <c r="AA1251" i="16" s="1"/>
  <c r="Z1219" i="16"/>
  <c r="AA1219" i="16" s="1"/>
  <c r="Z1187" i="16"/>
  <c r="AA1187" i="16" s="1"/>
  <c r="Z1155" i="16"/>
  <c r="AA1155" i="16" s="1"/>
  <c r="Z1123" i="16"/>
  <c r="AA1123" i="16" s="1"/>
  <c r="Z553" i="16"/>
  <c r="AA553" i="16" s="1"/>
  <c r="Z1607" i="16"/>
  <c r="AA1607" i="16" s="1"/>
  <c r="Z1599" i="16"/>
  <c r="AA1599" i="16" s="1"/>
  <c r="Z1591" i="16"/>
  <c r="AA1591" i="16" s="1"/>
  <c r="Z1583" i="16"/>
  <c r="AA1583" i="16" s="1"/>
  <c r="Z1575" i="16"/>
  <c r="AA1575" i="16" s="1"/>
  <c r="Z1567" i="16"/>
  <c r="AA1567" i="16" s="1"/>
  <c r="Z1559" i="16"/>
  <c r="AA1559" i="16" s="1"/>
  <c r="Z1551" i="16"/>
  <c r="AA1551" i="16" s="1"/>
  <c r="Z1543" i="16"/>
  <c r="AA1543" i="16" s="1"/>
  <c r="Z1535" i="16"/>
  <c r="AA1535" i="16" s="1"/>
  <c r="Z1527" i="16"/>
  <c r="AA1527" i="16" s="1"/>
  <c r="Z1519" i="16"/>
  <c r="AA1519" i="16" s="1"/>
  <c r="Z1511" i="16"/>
  <c r="AA1511" i="16" s="1"/>
  <c r="Z1503" i="16"/>
  <c r="AA1503" i="16" s="1"/>
  <c r="Z1495" i="16"/>
  <c r="AA1495" i="16" s="1"/>
  <c r="Z1487" i="16"/>
  <c r="AA1487" i="16" s="1"/>
  <c r="Z1479" i="16"/>
  <c r="AA1479" i="16" s="1"/>
  <c r="Z1471" i="16"/>
  <c r="AA1471" i="16" s="1"/>
  <c r="Z1463" i="16"/>
  <c r="AA1463" i="16" s="1"/>
  <c r="Z1455" i="16"/>
  <c r="AA1455" i="16" s="1"/>
  <c r="Z1447" i="16"/>
  <c r="AA1447" i="16" s="1"/>
  <c r="Z1439" i="16"/>
  <c r="AA1439" i="16" s="1"/>
  <c r="Z1431" i="16"/>
  <c r="AA1431" i="16" s="1"/>
  <c r="Z1423" i="16"/>
  <c r="AA1423" i="16" s="1"/>
  <c r="Z1415" i="16"/>
  <c r="AA1415" i="16" s="1"/>
  <c r="Z1407" i="16"/>
  <c r="AA1407" i="16" s="1"/>
  <c r="Z1399" i="16"/>
  <c r="AA1399" i="16" s="1"/>
  <c r="Z1391" i="16"/>
  <c r="AA1391" i="16" s="1"/>
  <c r="Z1383" i="16"/>
  <c r="AA1383" i="16" s="1"/>
  <c r="Z1375" i="16"/>
  <c r="AA1375" i="16" s="1"/>
  <c r="Z1367" i="16"/>
  <c r="AA1367" i="16" s="1"/>
  <c r="Z1359" i="16"/>
  <c r="AA1359" i="16" s="1"/>
  <c r="Z1351" i="16"/>
  <c r="AA1351" i="16" s="1"/>
  <c r="Z1327" i="16"/>
  <c r="AA1327" i="16" s="1"/>
  <c r="Z1295" i="16"/>
  <c r="AA1295" i="16" s="1"/>
  <c r="Z1263" i="16"/>
  <c r="AA1263" i="16" s="1"/>
  <c r="Z1231" i="16"/>
  <c r="AA1231" i="16" s="1"/>
  <c r="Z1199" i="16"/>
  <c r="AA1199" i="16" s="1"/>
  <c r="Z1167" i="16"/>
  <c r="AA1167" i="16" s="1"/>
  <c r="Z1135" i="16"/>
  <c r="AA1135" i="16" s="1"/>
  <c r="Z1103" i="16"/>
  <c r="AA1103" i="16" s="1"/>
  <c r="Z1346" i="16"/>
  <c r="AA1346" i="16" s="1"/>
  <c r="Z1338" i="16"/>
  <c r="AA1338" i="16" s="1"/>
  <c r="Z1330" i="16"/>
  <c r="AA1330" i="16" s="1"/>
  <c r="Z1322" i="16"/>
  <c r="AA1322" i="16" s="1"/>
  <c r="Z1314" i="16"/>
  <c r="AA1314" i="16" s="1"/>
  <c r="Z1306" i="16"/>
  <c r="AA1306" i="16" s="1"/>
  <c r="Z1298" i="16"/>
  <c r="AA1298" i="16" s="1"/>
  <c r="Z1290" i="16"/>
  <c r="AA1290" i="16" s="1"/>
  <c r="Z1282" i="16"/>
  <c r="AA1282" i="16" s="1"/>
  <c r="Z1274" i="16"/>
  <c r="AA1274" i="16" s="1"/>
  <c r="Z1266" i="16"/>
  <c r="AA1266" i="16" s="1"/>
  <c r="Z1258" i="16"/>
  <c r="AA1258" i="16" s="1"/>
  <c r="Z1250" i="16"/>
  <c r="AA1250" i="16" s="1"/>
  <c r="Z1242" i="16"/>
  <c r="AA1242" i="16" s="1"/>
  <c r="Z1234" i="16"/>
  <c r="AA1234" i="16" s="1"/>
  <c r="Z1226" i="16"/>
  <c r="AA1226" i="16" s="1"/>
  <c r="Z1218" i="16"/>
  <c r="AA1218" i="16" s="1"/>
  <c r="Z1210" i="16"/>
  <c r="AA1210" i="16" s="1"/>
  <c r="Z1202" i="16"/>
  <c r="AA1202" i="16" s="1"/>
  <c r="Z1194" i="16"/>
  <c r="AA1194" i="16" s="1"/>
  <c r="Z1186" i="16"/>
  <c r="AA1186" i="16" s="1"/>
  <c r="Z1178" i="16"/>
  <c r="AA1178" i="16" s="1"/>
  <c r="Z1170" i="16"/>
  <c r="AA1170" i="16" s="1"/>
  <c r="Z1162" i="16"/>
  <c r="AA1162" i="16" s="1"/>
  <c r="Z1154" i="16"/>
  <c r="AA1154" i="16" s="1"/>
  <c r="Z1146" i="16"/>
  <c r="AA1146" i="16" s="1"/>
  <c r="Z1138" i="16"/>
  <c r="AA1138" i="16" s="1"/>
  <c r="Z1130" i="16"/>
  <c r="AA1130" i="16" s="1"/>
  <c r="Z1122" i="16"/>
  <c r="AA1122" i="16" s="1"/>
  <c r="Z1114" i="16"/>
  <c r="AA1114" i="16" s="1"/>
  <c r="Z1106" i="16"/>
  <c r="AA1106" i="16" s="1"/>
  <c r="Z5" i="16"/>
  <c r="AA5" i="16" s="1"/>
  <c r="Z9" i="16"/>
  <c r="AA9" i="16" s="1"/>
  <c r="Z13" i="16"/>
  <c r="AA13" i="16" s="1"/>
  <c r="Z545" i="16"/>
  <c r="AA545" i="16" s="1"/>
  <c r="Z1090" i="16"/>
  <c r="AA1090" i="16" s="1"/>
  <c r="Z1094" i="16"/>
  <c r="AA1094" i="16" s="1"/>
  <c r="Z1098" i="16"/>
  <c r="AA1098" i="16" s="1"/>
  <c r="Z1345" i="16"/>
  <c r="AA1345" i="16" s="1"/>
  <c r="Z1337" i="16"/>
  <c r="AA1337" i="16" s="1"/>
  <c r="Z1329" i="16"/>
  <c r="AA1329" i="16" s="1"/>
  <c r="Z1321" i="16"/>
  <c r="AA1321" i="16" s="1"/>
  <c r="Z1313" i="16"/>
  <c r="AA1313" i="16" s="1"/>
  <c r="Z1305" i="16"/>
  <c r="AA1305" i="16" s="1"/>
  <c r="Z1297" i="16"/>
  <c r="AA1297" i="16" s="1"/>
  <c r="Z1289" i="16"/>
  <c r="AA1289" i="16" s="1"/>
  <c r="Z1281" i="16"/>
  <c r="AA1281" i="16" s="1"/>
  <c r="Z1273" i="16"/>
  <c r="AA1273" i="16" s="1"/>
  <c r="Z1265" i="16"/>
  <c r="AA1265" i="16" s="1"/>
  <c r="Z1257" i="16"/>
  <c r="AA1257" i="16" s="1"/>
  <c r="Z1249" i="16"/>
  <c r="AA1249" i="16" s="1"/>
  <c r="Z1241" i="16"/>
  <c r="AA1241" i="16" s="1"/>
  <c r="Z1233" i="16"/>
  <c r="AA1233" i="16" s="1"/>
  <c r="Z1225" i="16"/>
  <c r="AA1225" i="16" s="1"/>
  <c r="Z1217" i="16"/>
  <c r="AA1217" i="16" s="1"/>
  <c r="Z1209" i="16"/>
  <c r="AA1209" i="16" s="1"/>
  <c r="Z1201" i="16"/>
  <c r="AA1201" i="16" s="1"/>
  <c r="Z1193" i="16"/>
  <c r="AA1193" i="16" s="1"/>
  <c r="Z1185" i="16"/>
  <c r="AA1185" i="16" s="1"/>
  <c r="Z1177" i="16"/>
  <c r="AA1177" i="16" s="1"/>
  <c r="Z1169" i="16"/>
  <c r="AA1169" i="16" s="1"/>
  <c r="Z1161" i="16"/>
  <c r="AA1161" i="16" s="1"/>
  <c r="Z1153" i="16"/>
  <c r="AA1153" i="16" s="1"/>
  <c r="Z1145" i="16"/>
  <c r="AA1145" i="16" s="1"/>
  <c r="Z1137" i="16"/>
  <c r="AA1137" i="16" s="1"/>
  <c r="Z1129" i="16"/>
  <c r="AA1129" i="16" s="1"/>
  <c r="Z1121" i="16"/>
  <c r="AA1121" i="16" s="1"/>
  <c r="Z1113" i="16"/>
  <c r="AA1113" i="16" s="1"/>
  <c r="Z1105" i="16"/>
  <c r="AA1105" i="16" s="1"/>
  <c r="Z550" i="16"/>
  <c r="AA550" i="16" s="1"/>
  <c r="Z554" i="16"/>
  <c r="AA554" i="16" s="1"/>
  <c r="Z558" i="16"/>
  <c r="AA558" i="16" s="1"/>
  <c r="Z1344" i="16"/>
  <c r="AA1344" i="16" s="1"/>
  <c r="Z1336" i="16"/>
  <c r="AA1336" i="16" s="1"/>
  <c r="Z1328" i="16"/>
  <c r="AA1328" i="16" s="1"/>
  <c r="Z1320" i="16"/>
  <c r="AA1320" i="16" s="1"/>
  <c r="Z1312" i="16"/>
  <c r="AA1312" i="16" s="1"/>
  <c r="Z1304" i="16"/>
  <c r="AA1304" i="16" s="1"/>
  <c r="Z1296" i="16"/>
  <c r="AA1296" i="16" s="1"/>
  <c r="Z1288" i="16"/>
  <c r="AA1288" i="16" s="1"/>
  <c r="Z1280" i="16"/>
  <c r="AA1280" i="16" s="1"/>
  <c r="Z1272" i="16"/>
  <c r="AA1272" i="16" s="1"/>
  <c r="Z1264" i="16"/>
  <c r="AA1264" i="16" s="1"/>
  <c r="Z1256" i="16"/>
  <c r="AA1256" i="16" s="1"/>
  <c r="Z1248" i="16"/>
  <c r="AA1248" i="16" s="1"/>
  <c r="Z1240" i="16"/>
  <c r="AA1240" i="16" s="1"/>
  <c r="Z1232" i="16"/>
  <c r="AA1232" i="16" s="1"/>
  <c r="Z1224" i="16"/>
  <c r="AA1224" i="16" s="1"/>
  <c r="Z1216" i="16"/>
  <c r="AA1216" i="16" s="1"/>
  <c r="Z1208" i="16"/>
  <c r="AA1208" i="16" s="1"/>
  <c r="Z1200" i="16"/>
  <c r="AA1200" i="16" s="1"/>
  <c r="Z1192" i="16"/>
  <c r="AA1192" i="16" s="1"/>
  <c r="Z1184" i="16"/>
  <c r="AA1184" i="16" s="1"/>
  <c r="Z1176" i="16"/>
  <c r="AA1176" i="16" s="1"/>
  <c r="Z1168" i="16"/>
  <c r="AA1168" i="16" s="1"/>
  <c r="Z1160" i="16"/>
  <c r="AA1160" i="16" s="1"/>
  <c r="Z1152" i="16"/>
  <c r="AA1152" i="16" s="1"/>
  <c r="Z1144" i="16"/>
  <c r="AA1144" i="16" s="1"/>
  <c r="Z1136" i="16"/>
  <c r="AA1136" i="16" s="1"/>
  <c r="Z1128" i="16"/>
  <c r="AA1128" i="16" s="1"/>
  <c r="Z1120" i="16"/>
  <c r="AA1120" i="16" s="1"/>
  <c r="Z1112" i="16"/>
  <c r="AA1112" i="16" s="1"/>
  <c r="Z1104" i="16"/>
  <c r="AA1104" i="16" s="1"/>
  <c r="Z8" i="16"/>
  <c r="AA8" i="16" s="1"/>
  <c r="Z12" i="16"/>
  <c r="AA12" i="16" s="1"/>
  <c r="Z16" i="16"/>
  <c r="AA16" i="16" s="1"/>
  <c r="Z1091" i="16"/>
  <c r="AA1091" i="16" s="1"/>
  <c r="Z1095" i="16"/>
  <c r="AA1095" i="16" s="1"/>
  <c r="Z1099" i="16"/>
  <c r="AA1099" i="16" s="1"/>
  <c r="Z214" i="16"/>
  <c r="AA214" i="16" s="1"/>
  <c r="Z41" i="16"/>
  <c r="AA41" i="16" s="1"/>
  <c r="Z95" i="16"/>
  <c r="AA95" i="16" s="1"/>
  <c r="Z118" i="16"/>
  <c r="AA118" i="16" s="1"/>
  <c r="Z32" i="16"/>
  <c r="AA32" i="16" s="1"/>
  <c r="Z36" i="16"/>
  <c r="AA36" i="16" s="1"/>
  <c r="Z43" i="16"/>
  <c r="AA43" i="16" s="1"/>
  <c r="Z70" i="16"/>
  <c r="AA70" i="16" s="1"/>
  <c r="Z86" i="16"/>
  <c r="AA86" i="16" s="1"/>
  <c r="Z102" i="16"/>
  <c r="AA102" i="16" s="1"/>
  <c r="Z119" i="16"/>
  <c r="AA119" i="16" s="1"/>
  <c r="Z135" i="16"/>
  <c r="AA135" i="16" s="1"/>
  <c r="Z430" i="16"/>
  <c r="AA430" i="16" s="1"/>
  <c r="Z382" i="16"/>
  <c r="AA382" i="16" s="1"/>
  <c r="Z222" i="16"/>
  <c r="AA222" i="16" s="1"/>
  <c r="Z526" i="16"/>
  <c r="AA526" i="16" s="1"/>
  <c r="Z1518" i="16"/>
  <c r="AA1518" i="16" s="1"/>
  <c r="Z442" i="16"/>
  <c r="AA442" i="16" s="1"/>
  <c r="Z314" i="16"/>
  <c r="AA314" i="16" s="1"/>
  <c r="Z187" i="16"/>
  <c r="AA187" i="16" s="1"/>
  <c r="Z689" i="16"/>
  <c r="AA689" i="16" s="1"/>
  <c r="Z470" i="16"/>
  <c r="AA470" i="16" s="1"/>
  <c r="Z342" i="16"/>
  <c r="AA342" i="16" s="1"/>
  <c r="Z199" i="16"/>
  <c r="AA199" i="16" s="1"/>
  <c r="Z737" i="16"/>
  <c r="AA737" i="16" s="1"/>
  <c r="Z498" i="16"/>
  <c r="AA498" i="16" s="1"/>
  <c r="Z370" i="16"/>
  <c r="AA370" i="16" s="1"/>
  <c r="Z242" i="16"/>
  <c r="AA242" i="16" s="1"/>
  <c r="Z913" i="16"/>
  <c r="AA913" i="16" s="1"/>
  <c r="Z105" i="16"/>
  <c r="AA105" i="16" s="1"/>
  <c r="Z513" i="16"/>
  <c r="AA513" i="16" s="1"/>
  <c r="Z481" i="16"/>
  <c r="AA481" i="16" s="1"/>
  <c r="Z449" i="16"/>
  <c r="AA449" i="16" s="1"/>
  <c r="Z417" i="16"/>
  <c r="AA417" i="16" s="1"/>
  <c r="Z385" i="16"/>
  <c r="AA385" i="16" s="1"/>
  <c r="Z353" i="16"/>
  <c r="AA353" i="16" s="1"/>
  <c r="Z321" i="16"/>
  <c r="AA321" i="16" s="1"/>
  <c r="Z289" i="16"/>
  <c r="AA289" i="16" s="1"/>
  <c r="Z257" i="16"/>
  <c r="AA257" i="16" s="1"/>
  <c r="Z225" i="16"/>
  <c r="AA225" i="16" s="1"/>
  <c r="Z190" i="16"/>
  <c r="AA190" i="16" s="1"/>
  <c r="Z1075" i="16"/>
  <c r="AA1075" i="16" s="1"/>
  <c r="Z957" i="16"/>
  <c r="AA957" i="16" s="1"/>
  <c r="Z829" i="16"/>
  <c r="AA829" i="16" s="1"/>
  <c r="Z701" i="16"/>
  <c r="AA701" i="16" s="1"/>
  <c r="Z573" i="16"/>
  <c r="AA573" i="16" s="1"/>
  <c r="Z549" i="16"/>
  <c r="AA549" i="16" s="1"/>
  <c r="Z528" i="16"/>
  <c r="AA528" i="16" s="1"/>
  <c r="Z496" i="16"/>
  <c r="AA496" i="16" s="1"/>
  <c r="Z464" i="16"/>
  <c r="AA464" i="16" s="1"/>
  <c r="Z432" i="16"/>
  <c r="AA432" i="16" s="1"/>
  <c r="Z400" i="16"/>
  <c r="AA400" i="16" s="1"/>
  <c r="Z368" i="16"/>
  <c r="AA368" i="16" s="1"/>
  <c r="Z336" i="16"/>
  <c r="AA336" i="16" s="1"/>
  <c r="Z304" i="16"/>
  <c r="AA304" i="16" s="1"/>
  <c r="Z272" i="16"/>
  <c r="AA272" i="16" s="1"/>
  <c r="Z240" i="16"/>
  <c r="AA240" i="16" s="1"/>
  <c r="Z209" i="16"/>
  <c r="AA209" i="16" s="1"/>
  <c r="Z172" i="16"/>
  <c r="AA172" i="16" s="1"/>
  <c r="Z1033" i="16"/>
  <c r="AA1033" i="16" s="1"/>
  <c r="Z905" i="16"/>
  <c r="AA905" i="16" s="1"/>
  <c r="Z777" i="16"/>
  <c r="AA777" i="16" s="1"/>
  <c r="Z649" i="16"/>
  <c r="AA649" i="16" s="1"/>
  <c r="Z569" i="16"/>
  <c r="AA569" i="16" s="1"/>
  <c r="Z1486" i="16"/>
  <c r="AA1486" i="16" s="1"/>
  <c r="Z543" i="16"/>
  <c r="AA543" i="16" s="1"/>
  <c r="Z527" i="16"/>
  <c r="AA527" i="16" s="1"/>
  <c r="Z511" i="16"/>
  <c r="AA511" i="16" s="1"/>
  <c r="Z495" i="16"/>
  <c r="AA495" i="16" s="1"/>
  <c r="Z479" i="16"/>
  <c r="AA479" i="16" s="1"/>
  <c r="Z463" i="16"/>
  <c r="AA463" i="16" s="1"/>
  <c r="Z447" i="16"/>
  <c r="AA447" i="16" s="1"/>
  <c r="Z431" i="16"/>
  <c r="AA431" i="16" s="1"/>
  <c r="Z415" i="16"/>
  <c r="AA415" i="16" s="1"/>
  <c r="Z399" i="16"/>
  <c r="AA399" i="16" s="1"/>
  <c r="Z383" i="16"/>
  <c r="AA383" i="16" s="1"/>
  <c r="Z367" i="16"/>
  <c r="AA367" i="16" s="1"/>
  <c r="Z351" i="16"/>
  <c r="AA351" i="16" s="1"/>
  <c r="Z335" i="16"/>
  <c r="AA335" i="16" s="1"/>
  <c r="Z319" i="16"/>
  <c r="AA319" i="16" s="1"/>
  <c r="Z303" i="16"/>
  <c r="AA303" i="16" s="1"/>
  <c r="Z287" i="16"/>
  <c r="AA287" i="16" s="1"/>
  <c r="Z271" i="16"/>
  <c r="AA271" i="16" s="1"/>
  <c r="Z255" i="16"/>
  <c r="AA255" i="16" s="1"/>
  <c r="Z239" i="16"/>
  <c r="AA239" i="16" s="1"/>
  <c r="Z223" i="16"/>
  <c r="AA223" i="16" s="1"/>
  <c r="Z208" i="16"/>
  <c r="AA208" i="16" s="1"/>
  <c r="Z192" i="16"/>
  <c r="AA192" i="16" s="1"/>
  <c r="Z170" i="16"/>
  <c r="AA170" i="16" s="1"/>
  <c r="Z1079" i="16"/>
  <c r="AA1079" i="16" s="1"/>
  <c r="Z1029" i="16"/>
  <c r="AA1029" i="16" s="1"/>
  <c r="Z965" i="16"/>
  <c r="AA965" i="16" s="1"/>
  <c r="Z901" i="16"/>
  <c r="AA901" i="16" s="1"/>
  <c r="Z837" i="16"/>
  <c r="AA837" i="16" s="1"/>
  <c r="Z773" i="16"/>
  <c r="AA773" i="16" s="1"/>
  <c r="Z709" i="16"/>
  <c r="AA709" i="16" s="1"/>
  <c r="Z645" i="16"/>
  <c r="AA645" i="16" s="1"/>
  <c r="Z581" i="16"/>
  <c r="AA581" i="16" s="1"/>
  <c r="Z1534" i="16"/>
  <c r="AA1534" i="16" s="1"/>
  <c r="Z179" i="16"/>
  <c r="AA179" i="16" s="1"/>
  <c r="Z163" i="16"/>
  <c r="AA163" i="16" s="1"/>
  <c r="Z147" i="16"/>
  <c r="AA147" i="16" s="1"/>
  <c r="Z1072" i="16"/>
  <c r="AA1072" i="16" s="1"/>
  <c r="Z1056" i="16"/>
  <c r="AA1056" i="16" s="1"/>
  <c r="Z1040" i="16"/>
  <c r="AA1040" i="16" s="1"/>
  <c r="Z1024" i="16"/>
  <c r="AA1024" i="16" s="1"/>
  <c r="Z1008" i="16"/>
  <c r="AA1008" i="16" s="1"/>
  <c r="Z992" i="16"/>
  <c r="AA992" i="16" s="1"/>
  <c r="Z976" i="16"/>
  <c r="AA976" i="16" s="1"/>
  <c r="Z960" i="16"/>
  <c r="AA960" i="16" s="1"/>
  <c r="Z944" i="16"/>
  <c r="AA944" i="16" s="1"/>
  <c r="Z928" i="16"/>
  <c r="AA928" i="16" s="1"/>
  <c r="Z912" i="16"/>
  <c r="AA912" i="16" s="1"/>
  <c r="Z896" i="16"/>
  <c r="AA896" i="16" s="1"/>
  <c r="Z880" i="16"/>
  <c r="AA880" i="16" s="1"/>
  <c r="Z864" i="16"/>
  <c r="AA864" i="16" s="1"/>
  <c r="Z848" i="16"/>
  <c r="AA848" i="16" s="1"/>
  <c r="Z832" i="16"/>
  <c r="AA832" i="16" s="1"/>
  <c r="Z816" i="16"/>
  <c r="AA816" i="16" s="1"/>
  <c r="Z800" i="16"/>
  <c r="AA800" i="16" s="1"/>
  <c r="Z784" i="16"/>
  <c r="AA784" i="16" s="1"/>
  <c r="Z768" i="16"/>
  <c r="AA768" i="16" s="1"/>
  <c r="Z752" i="16"/>
  <c r="AA752" i="16" s="1"/>
  <c r="Z736" i="16"/>
  <c r="AA736" i="16" s="1"/>
  <c r="Z720" i="16"/>
  <c r="AA720" i="16" s="1"/>
  <c r="Z704" i="16"/>
  <c r="AA704" i="16" s="1"/>
  <c r="Z688" i="16"/>
  <c r="AA688" i="16" s="1"/>
  <c r="Z672" i="16"/>
  <c r="AA672" i="16" s="1"/>
  <c r="Z656" i="16"/>
  <c r="AA656" i="16" s="1"/>
  <c r="Z640" i="16"/>
  <c r="AA640" i="16" s="1"/>
  <c r="Z624" i="16"/>
  <c r="AA624" i="16" s="1"/>
  <c r="Z608" i="16"/>
  <c r="AA608" i="16" s="1"/>
  <c r="Z592" i="16"/>
  <c r="AA592" i="16" s="1"/>
  <c r="Z576" i="16"/>
  <c r="AA576" i="16" s="1"/>
  <c r="Z560" i="16"/>
  <c r="AA560" i="16" s="1"/>
  <c r="Z1614" i="16"/>
  <c r="AA1614" i="16" s="1"/>
  <c r="Z1578" i="16"/>
  <c r="AA1578" i="16" s="1"/>
  <c r="Z1514" i="16"/>
  <c r="AA1514" i="16" s="1"/>
  <c r="Z1450" i="16"/>
  <c r="AA1450" i="16" s="1"/>
  <c r="Z1386" i="16"/>
  <c r="AA1386" i="16" s="1"/>
  <c r="Z1243" i="16"/>
  <c r="AA1243" i="16" s="1"/>
  <c r="Z1063" i="16"/>
  <c r="AA1063" i="16" s="1"/>
  <c r="Z1047" i="16"/>
  <c r="AA1047" i="16" s="1"/>
  <c r="Z1031" i="16"/>
  <c r="AA1031" i="16" s="1"/>
  <c r="Z1015" i="16"/>
  <c r="AA1015" i="16" s="1"/>
  <c r="Z999" i="16"/>
  <c r="AA999" i="16" s="1"/>
  <c r="Z983" i="16"/>
  <c r="AA983" i="16" s="1"/>
  <c r="Z967" i="16"/>
  <c r="AA967" i="16" s="1"/>
  <c r="Z951" i="16"/>
  <c r="AA951" i="16" s="1"/>
  <c r="Z935" i="16"/>
  <c r="AA935" i="16" s="1"/>
  <c r="Z919" i="16"/>
  <c r="AA919" i="16" s="1"/>
  <c r="Z903" i="16"/>
  <c r="AA903" i="16" s="1"/>
  <c r="Z887" i="16"/>
  <c r="AA887" i="16" s="1"/>
  <c r="Z871" i="16"/>
  <c r="AA871" i="16" s="1"/>
  <c r="Z855" i="16"/>
  <c r="AA855" i="16" s="1"/>
  <c r="Z839" i="16"/>
  <c r="AA839" i="16" s="1"/>
  <c r="Z823" i="16"/>
  <c r="AA823" i="16" s="1"/>
  <c r="Z807" i="16"/>
  <c r="AA807" i="16" s="1"/>
  <c r="Z791" i="16"/>
  <c r="AA791" i="16" s="1"/>
  <c r="Z775" i="16"/>
  <c r="AA775" i="16" s="1"/>
  <c r="Z759" i="16"/>
  <c r="AA759" i="16" s="1"/>
  <c r="Z743" i="16"/>
  <c r="AA743" i="16" s="1"/>
  <c r="Z727" i="16"/>
  <c r="AA727" i="16" s="1"/>
  <c r="Z711" i="16"/>
  <c r="AA711" i="16" s="1"/>
  <c r="Z695" i="16"/>
  <c r="AA695" i="16" s="1"/>
  <c r="Z679" i="16"/>
  <c r="AA679" i="16" s="1"/>
  <c r="Z663" i="16"/>
  <c r="AA663" i="16" s="1"/>
  <c r="Z647" i="16"/>
  <c r="AA647" i="16" s="1"/>
  <c r="Z631" i="16"/>
  <c r="AA631" i="16" s="1"/>
  <c r="Z615" i="16"/>
  <c r="AA615" i="16" s="1"/>
  <c r="Z599" i="16"/>
  <c r="AA599" i="16" s="1"/>
  <c r="Z583" i="16"/>
  <c r="AA583" i="16" s="1"/>
  <c r="Z567" i="16"/>
  <c r="AA567" i="16" s="1"/>
  <c r="Z1621" i="16"/>
  <c r="AA1621" i="16" s="1"/>
  <c r="Z1601" i="16"/>
  <c r="AA1601" i="16" s="1"/>
  <c r="Z1542" i="16"/>
  <c r="AA1542" i="16" s="1"/>
  <c r="Z1478" i="16"/>
  <c r="AA1478" i="16" s="1"/>
  <c r="Z1414" i="16"/>
  <c r="AA1414" i="16" s="1"/>
  <c r="Z1350" i="16"/>
  <c r="AA1350" i="16" s="1"/>
  <c r="Z181" i="16"/>
  <c r="AA181" i="16" s="1"/>
  <c r="Z165" i="16"/>
  <c r="AA165" i="16" s="1"/>
  <c r="Z149" i="16"/>
  <c r="AA149" i="16" s="1"/>
  <c r="Z1074" i="16"/>
  <c r="AA1074" i="16" s="1"/>
  <c r="Z1058" i="16"/>
  <c r="AA1058" i="16" s="1"/>
  <c r="Z1042" i="16"/>
  <c r="AA1042" i="16" s="1"/>
  <c r="Z1026" i="16"/>
  <c r="AA1026" i="16" s="1"/>
  <c r="Z1010" i="16"/>
  <c r="AA1010" i="16" s="1"/>
  <c r="Z994" i="16"/>
  <c r="AA994" i="16" s="1"/>
  <c r="Z978" i="16"/>
  <c r="AA978" i="16" s="1"/>
  <c r="Z962" i="16"/>
  <c r="AA962" i="16" s="1"/>
  <c r="Z946" i="16"/>
  <c r="AA946" i="16" s="1"/>
  <c r="Z930" i="16"/>
  <c r="AA930" i="16" s="1"/>
  <c r="Z914" i="16"/>
  <c r="AA914" i="16" s="1"/>
  <c r="Z898" i="16"/>
  <c r="AA898" i="16" s="1"/>
  <c r="Z882" i="16"/>
  <c r="AA882" i="16" s="1"/>
  <c r="Z866" i="16"/>
  <c r="AA866" i="16" s="1"/>
  <c r="Z850" i="16"/>
  <c r="AA850" i="16" s="1"/>
  <c r="Z834" i="16"/>
  <c r="AA834" i="16" s="1"/>
  <c r="Z818" i="16"/>
  <c r="AA818" i="16" s="1"/>
  <c r="Z802" i="16"/>
  <c r="AA802" i="16" s="1"/>
  <c r="Z786" i="16"/>
  <c r="AA786" i="16" s="1"/>
  <c r="Z770" i="16"/>
  <c r="AA770" i="16" s="1"/>
  <c r="Z754" i="16"/>
  <c r="AA754" i="16" s="1"/>
  <c r="Z738" i="16"/>
  <c r="AA738" i="16" s="1"/>
  <c r="Z722" i="16"/>
  <c r="AA722" i="16" s="1"/>
  <c r="Z706" i="16"/>
  <c r="AA706" i="16" s="1"/>
  <c r="Z690" i="16"/>
  <c r="AA690" i="16" s="1"/>
  <c r="Z674" i="16"/>
  <c r="AA674" i="16" s="1"/>
  <c r="Z658" i="16"/>
  <c r="AA658" i="16" s="1"/>
  <c r="Z642" i="16"/>
  <c r="AA642" i="16" s="1"/>
  <c r="Z626" i="16"/>
  <c r="AA626" i="16" s="1"/>
  <c r="Z610" i="16"/>
  <c r="AA610" i="16" s="1"/>
  <c r="Z594" i="16"/>
  <c r="AA594" i="16" s="1"/>
  <c r="Z578" i="16"/>
  <c r="AA578" i="16" s="1"/>
  <c r="Z562" i="16"/>
  <c r="AA562" i="16" s="1"/>
  <c r="Z1616" i="16"/>
  <c r="AA1616" i="16" s="1"/>
  <c r="Z1586" i="16"/>
  <c r="AA1586" i="16" s="1"/>
  <c r="Z1522" i="16"/>
  <c r="AA1522" i="16" s="1"/>
  <c r="Z1458" i="16"/>
  <c r="AA1458" i="16" s="1"/>
  <c r="Z1394" i="16"/>
  <c r="AA1394" i="16" s="1"/>
  <c r="Z1275" i="16"/>
  <c r="AA1275" i="16" s="1"/>
  <c r="Z1589" i="16"/>
  <c r="AA1589" i="16" s="1"/>
  <c r="Z1573" i="16"/>
  <c r="AA1573" i="16" s="1"/>
  <c r="Z1557" i="16"/>
  <c r="AA1557" i="16" s="1"/>
  <c r="Z1541" i="16"/>
  <c r="AA1541" i="16" s="1"/>
  <c r="Z1525" i="16"/>
  <c r="AA1525" i="16" s="1"/>
  <c r="Z1509" i="16"/>
  <c r="AA1509" i="16" s="1"/>
  <c r="Z1493" i="16"/>
  <c r="AA1493" i="16" s="1"/>
  <c r="BJ511" i="16"/>
  <c r="BK511" i="16" s="1"/>
  <c r="Z46" i="16"/>
  <c r="AA46" i="16" s="1"/>
  <c r="Z79" i="16"/>
  <c r="AA79" i="16" s="1"/>
  <c r="Z101" i="16"/>
  <c r="AA101" i="16" s="1"/>
  <c r="Z144" i="16"/>
  <c r="AA144" i="16" s="1"/>
  <c r="Z48" i="16"/>
  <c r="AA48" i="16" s="1"/>
  <c r="Z52" i="16"/>
  <c r="AA52" i="16" s="1"/>
  <c r="Z51" i="16"/>
  <c r="AA51" i="16" s="1"/>
  <c r="Z74" i="16"/>
  <c r="AA74" i="16" s="1"/>
  <c r="Z90" i="16"/>
  <c r="AA90" i="16" s="1"/>
  <c r="Z107" i="16"/>
  <c r="AA107" i="16" s="1"/>
  <c r="Z123" i="16"/>
  <c r="AA123" i="16" s="1"/>
  <c r="Z139" i="16"/>
  <c r="AA139" i="16" s="1"/>
  <c r="Z302" i="16"/>
  <c r="AA302" i="16" s="1"/>
  <c r="Z705" i="16"/>
  <c r="AA705" i="16" s="1"/>
  <c r="Z833" i="16"/>
  <c r="AA833" i="16" s="1"/>
  <c r="Z398" i="16"/>
  <c r="AA398" i="16" s="1"/>
  <c r="Z538" i="16"/>
  <c r="AA538" i="16" s="1"/>
  <c r="Z410" i="16"/>
  <c r="AA410" i="16" s="1"/>
  <c r="Z282" i="16"/>
  <c r="AA282" i="16" s="1"/>
  <c r="Z1069" i="16"/>
  <c r="AA1069" i="16" s="1"/>
  <c r="Z561" i="16"/>
  <c r="AA561" i="16" s="1"/>
  <c r="Z438" i="16"/>
  <c r="AA438" i="16" s="1"/>
  <c r="Z310" i="16"/>
  <c r="AA310" i="16" s="1"/>
  <c r="Z152" i="16"/>
  <c r="AA152" i="16" s="1"/>
  <c r="Z609" i="16"/>
  <c r="AA609" i="16" s="1"/>
  <c r="Z466" i="16"/>
  <c r="AA466" i="16" s="1"/>
  <c r="Z338" i="16"/>
  <c r="AA338" i="16" s="1"/>
  <c r="Z211" i="16"/>
  <c r="AA211" i="16" s="1"/>
  <c r="Z785" i="16"/>
  <c r="AA785" i="16" s="1"/>
  <c r="Z537" i="16"/>
  <c r="AA537" i="16" s="1"/>
  <c r="Z505" i="16"/>
  <c r="AA505" i="16" s="1"/>
  <c r="Z473" i="16"/>
  <c r="AA473" i="16" s="1"/>
  <c r="Z441" i="16"/>
  <c r="AA441" i="16" s="1"/>
  <c r="Z409" i="16"/>
  <c r="AA409" i="16" s="1"/>
  <c r="Z377" i="16"/>
  <c r="AA377" i="16" s="1"/>
  <c r="Z345" i="16"/>
  <c r="AA345" i="16" s="1"/>
  <c r="Z313" i="16"/>
  <c r="AA313" i="16" s="1"/>
  <c r="Z281" i="16"/>
  <c r="AA281" i="16" s="1"/>
  <c r="Z249" i="16"/>
  <c r="AA249" i="16" s="1"/>
  <c r="Z217" i="16"/>
  <c r="AA217" i="16" s="1"/>
  <c r="Z182" i="16"/>
  <c r="AA182" i="16" s="1"/>
  <c r="Z1053" i="16"/>
  <c r="AA1053" i="16" s="1"/>
  <c r="Z925" i="16"/>
  <c r="AA925" i="16" s="1"/>
  <c r="Z797" i="16"/>
  <c r="AA797" i="16" s="1"/>
  <c r="Z669" i="16"/>
  <c r="AA669" i="16" s="1"/>
  <c r="Z1611" i="16"/>
  <c r="AA1611" i="16" s="1"/>
  <c r="Z19" i="16"/>
  <c r="AA19" i="16" s="1"/>
  <c r="Z520" i="16"/>
  <c r="AA520" i="16" s="1"/>
  <c r="Z488" i="16"/>
  <c r="AA488" i="16" s="1"/>
  <c r="Z456" i="16"/>
  <c r="AA456" i="16" s="1"/>
  <c r="Z424" i="16"/>
  <c r="AA424" i="16" s="1"/>
  <c r="Z392" i="16"/>
  <c r="AA392" i="16" s="1"/>
  <c r="Z360" i="16"/>
  <c r="AA360" i="16" s="1"/>
  <c r="Z328" i="16"/>
  <c r="AA328" i="16" s="1"/>
  <c r="Z296" i="16"/>
  <c r="AA296" i="16" s="1"/>
  <c r="Z264" i="16"/>
  <c r="AA264" i="16" s="1"/>
  <c r="Z232" i="16"/>
  <c r="AA232" i="16" s="1"/>
  <c r="Z201" i="16"/>
  <c r="AA201" i="16" s="1"/>
  <c r="Z1116" i="16"/>
  <c r="AA1116" i="16" s="1"/>
  <c r="Z1180" i="16"/>
  <c r="AA1180" i="16" s="1"/>
  <c r="Z1244" i="16"/>
  <c r="AA1244" i="16" s="1"/>
  <c r="Z1308" i="16"/>
  <c r="AA1308" i="16" s="1"/>
  <c r="Z548" i="16"/>
  <c r="AA548" i="16" s="1"/>
  <c r="Z1165" i="16"/>
  <c r="AA1165" i="16" s="1"/>
  <c r="Z1229" i="16"/>
  <c r="AA1229" i="16" s="1"/>
  <c r="Z1293" i="16"/>
  <c r="AA1293" i="16" s="1"/>
  <c r="Z1096" i="16"/>
  <c r="AA1096" i="16" s="1"/>
  <c r="Z1118" i="16"/>
  <c r="AA1118" i="16" s="1"/>
  <c r="Z1182" i="16"/>
  <c r="AA1182" i="16" s="1"/>
  <c r="Z1246" i="16"/>
  <c r="AA1246" i="16" s="1"/>
  <c r="Z1310" i="16"/>
  <c r="AA1310" i="16" s="1"/>
  <c r="Z1183" i="16"/>
  <c r="AA1183" i="16" s="1"/>
  <c r="Z1371" i="16"/>
  <c r="AA1371" i="16" s="1"/>
  <c r="Z1435" i="16"/>
  <c r="AA1435" i="16" s="1"/>
  <c r="Z1499" i="16"/>
  <c r="AA1499" i="16" s="1"/>
  <c r="Z1531" i="16"/>
  <c r="AA1531" i="16" s="1"/>
  <c r="Z1595" i="16"/>
  <c r="AA1595" i="16" s="1"/>
  <c r="Z1267" i="16"/>
  <c r="AA1267" i="16" s="1"/>
  <c r="Z1392" i="16"/>
  <c r="AA1392" i="16" s="1"/>
  <c r="Z1456" i="16"/>
  <c r="AA1456" i="16" s="1"/>
  <c r="Z1520" i="16"/>
  <c r="AA1520" i="16" s="1"/>
  <c r="Z1584" i="16"/>
  <c r="AA1584" i="16" s="1"/>
  <c r="Z1223" i="16"/>
  <c r="AA1223" i="16" s="1"/>
  <c r="Z1381" i="16"/>
  <c r="AA1381" i="16" s="1"/>
  <c r="Z1445" i="16"/>
  <c r="AA1445" i="16" s="1"/>
  <c r="Z1537" i="16"/>
  <c r="AA1537" i="16" s="1"/>
  <c r="Z1570" i="16"/>
  <c r="AA1570" i="16" s="1"/>
  <c r="Z654" i="16"/>
  <c r="AA654" i="16" s="1"/>
  <c r="Z782" i="16"/>
  <c r="AA782" i="16" s="1"/>
  <c r="Z910" i="16"/>
  <c r="AA910" i="16" s="1"/>
  <c r="Z1038" i="16"/>
  <c r="AA1038" i="16" s="1"/>
  <c r="Z1462" i="16"/>
  <c r="AA1462" i="16" s="1"/>
  <c r="Z627" i="16"/>
  <c r="AA627" i="16" s="1"/>
  <c r="Z755" i="16"/>
  <c r="AA755" i="16" s="1"/>
  <c r="Z883" i="16"/>
  <c r="AA883" i="16" s="1"/>
  <c r="Z1011" i="16"/>
  <c r="AA1011" i="16" s="1"/>
  <c r="Z1562" i="16"/>
  <c r="AA1562" i="16" s="1"/>
  <c r="Z652" i="16"/>
  <c r="AA652" i="16" s="1"/>
  <c r="Z780" i="16"/>
  <c r="AA780" i="16" s="1"/>
  <c r="Z908" i="16"/>
  <c r="AA908" i="16" s="1"/>
  <c r="Z972" i="16"/>
  <c r="AA972" i="16" s="1"/>
  <c r="Z159" i="16"/>
  <c r="AA159" i="16" s="1"/>
  <c r="Z885" i="16"/>
  <c r="AA885" i="16" s="1"/>
  <c r="Z235" i="16"/>
  <c r="AA235" i="16" s="1"/>
  <c r="Z363" i="16"/>
  <c r="AA363" i="16" s="1"/>
  <c r="Z491" i="16"/>
  <c r="AA491" i="16" s="1"/>
  <c r="Z1422" i="16"/>
  <c r="AA1422" i="16" s="1"/>
  <c r="Z1093" i="16"/>
  <c r="AA1093" i="16" s="1"/>
  <c r="Z6" i="16"/>
  <c r="AA6" i="16" s="1"/>
  <c r="Z1132" i="16"/>
  <c r="AA1132" i="16" s="1"/>
  <c r="Z1164" i="16"/>
  <c r="AA1164" i="16" s="1"/>
  <c r="Z1196" i="16"/>
  <c r="AA1196" i="16" s="1"/>
  <c r="Z1228" i="16"/>
  <c r="AA1228" i="16" s="1"/>
  <c r="Z1260" i="16"/>
  <c r="AA1260" i="16" s="1"/>
  <c r="Z1292" i="16"/>
  <c r="AA1292" i="16" s="1"/>
  <c r="Z1324" i="16"/>
  <c r="AA1324" i="16" s="1"/>
  <c r="Z556" i="16"/>
  <c r="AA556" i="16" s="1"/>
  <c r="Z1117" i="16"/>
  <c r="AA1117" i="16" s="1"/>
  <c r="Z1149" i="16"/>
  <c r="AA1149" i="16" s="1"/>
  <c r="Z1181" i="16"/>
  <c r="AA1181" i="16" s="1"/>
  <c r="Z1213" i="16"/>
  <c r="AA1213" i="16" s="1"/>
  <c r="Z1245" i="16"/>
  <c r="AA1245" i="16" s="1"/>
  <c r="Z1277" i="16"/>
  <c r="AA1277" i="16" s="1"/>
  <c r="Z1309" i="16"/>
  <c r="AA1309" i="16" s="1"/>
  <c r="Z1341" i="16"/>
  <c r="AA1341" i="16" s="1"/>
  <c r="Z1087" i="16"/>
  <c r="AA1087" i="16" s="1"/>
  <c r="Z1102" i="16"/>
  <c r="AA1102" i="16" s="1"/>
  <c r="Z1134" i="16"/>
  <c r="AA1134" i="16" s="1"/>
  <c r="Z1166" i="16"/>
  <c r="AA1166" i="16" s="1"/>
  <c r="Z1198" i="16"/>
  <c r="AA1198" i="16" s="1"/>
  <c r="Z1230" i="16"/>
  <c r="AA1230" i="16" s="1"/>
  <c r="Z1262" i="16"/>
  <c r="AA1262" i="16" s="1"/>
  <c r="Z1294" i="16"/>
  <c r="AA1294" i="16" s="1"/>
  <c r="Z1326" i="16"/>
  <c r="AA1326" i="16" s="1"/>
  <c r="Z1119" i="16"/>
  <c r="AA1119" i="16" s="1"/>
  <c r="Z1247" i="16"/>
  <c r="AA1247" i="16" s="1"/>
  <c r="Z1355" i="16"/>
  <c r="AA1355" i="16" s="1"/>
  <c r="Z1387" i="16"/>
  <c r="AA1387" i="16" s="1"/>
  <c r="Z1419" i="16"/>
  <c r="AA1419" i="16" s="1"/>
  <c r="Z1451" i="16"/>
  <c r="AA1451" i="16" s="1"/>
  <c r="Z1483" i="16"/>
  <c r="AA1483" i="16" s="1"/>
  <c r="Z1515" i="16"/>
  <c r="AA1515" i="16" s="1"/>
  <c r="Z1547" i="16"/>
  <c r="AA1547" i="16" s="1"/>
  <c r="Z1579" i="16"/>
  <c r="AA1579" i="16" s="1"/>
  <c r="Z1629" i="16"/>
  <c r="AA1629" i="16" s="1"/>
  <c r="Z1203" i="16"/>
  <c r="AA1203" i="16" s="1"/>
  <c r="Z1331" i="16"/>
  <c r="AA1331" i="16" s="1"/>
  <c r="Z1376" i="16"/>
  <c r="AA1376" i="16" s="1"/>
  <c r="Z1408" i="16"/>
  <c r="AA1408" i="16" s="1"/>
  <c r="Z1440" i="16"/>
  <c r="AA1440" i="16" s="1"/>
  <c r="Z1472" i="16"/>
  <c r="AA1472" i="16" s="1"/>
  <c r="Z1504" i="16"/>
  <c r="AA1504" i="16" s="1"/>
  <c r="Z1536" i="16"/>
  <c r="AA1536" i="16" s="1"/>
  <c r="Z1568" i="16"/>
  <c r="AA1568" i="16" s="1"/>
  <c r="Z1600" i="16"/>
  <c r="AA1600" i="16" s="1"/>
  <c r="Z1159" i="16"/>
  <c r="AA1159" i="16" s="1"/>
  <c r="Z1287" i="16"/>
  <c r="AA1287" i="16" s="1"/>
  <c r="Z1365" i="16"/>
  <c r="AA1365" i="16" s="1"/>
  <c r="Z1397" i="16"/>
  <c r="AA1397" i="16" s="1"/>
  <c r="Z1429" i="16"/>
  <c r="AA1429" i="16" s="1"/>
  <c r="Z1461" i="16"/>
  <c r="AA1461" i="16" s="1"/>
  <c r="Z1505" i="16"/>
  <c r="AA1505" i="16" s="1"/>
  <c r="Z1569" i="16"/>
  <c r="AA1569" i="16" s="1"/>
  <c r="Z1442" i="16"/>
  <c r="AA1442" i="16" s="1"/>
  <c r="Z1628" i="16"/>
  <c r="AA1628" i="16" s="1"/>
  <c r="Z622" i="16"/>
  <c r="AA622" i="16" s="1"/>
  <c r="Z686" i="16"/>
  <c r="AA686" i="16" s="1"/>
  <c r="Z750" i="16"/>
  <c r="AA750" i="16" s="1"/>
  <c r="Z814" i="16"/>
  <c r="AA814" i="16" s="1"/>
  <c r="Z878" i="16"/>
  <c r="AA878" i="16" s="1"/>
  <c r="Z942" i="16"/>
  <c r="AA942" i="16" s="1"/>
  <c r="Z1006" i="16"/>
  <c r="AA1006" i="16" s="1"/>
  <c r="Z1070" i="16"/>
  <c r="AA1070" i="16" s="1"/>
  <c r="Z1291" i="16"/>
  <c r="AA1291" i="16" s="1"/>
  <c r="Z1590" i="16"/>
  <c r="AA1590" i="16" s="1"/>
  <c r="Z595" i="16"/>
  <c r="AA595" i="16" s="1"/>
  <c r="Z659" i="16"/>
  <c r="AA659" i="16" s="1"/>
  <c r="Z723" i="16"/>
  <c r="AA723" i="16" s="1"/>
  <c r="Z787" i="16"/>
  <c r="AA787" i="16" s="1"/>
  <c r="Z851" i="16"/>
  <c r="AA851" i="16" s="1"/>
  <c r="Z915" i="16"/>
  <c r="AA915" i="16" s="1"/>
  <c r="Z979" i="16"/>
  <c r="AA979" i="16" s="1"/>
  <c r="Z1043" i="16"/>
  <c r="AA1043" i="16" s="1"/>
  <c r="Z1434" i="16"/>
  <c r="AA1434" i="16" s="1"/>
  <c r="Z1626" i="16"/>
  <c r="AA1626" i="16" s="1"/>
  <c r="Z620" i="16"/>
  <c r="AA620" i="16" s="1"/>
  <c r="Z684" i="16"/>
  <c r="AA684" i="16" s="1"/>
  <c r="Z748" i="16"/>
  <c r="AA748" i="16" s="1"/>
  <c r="Z812" i="16"/>
  <c r="AA812" i="16" s="1"/>
  <c r="Z876" i="16"/>
  <c r="AA876" i="16" s="1"/>
  <c r="Z940" i="16"/>
  <c r="AA940" i="16" s="1"/>
  <c r="Z1004" i="16"/>
  <c r="AA1004" i="16" s="1"/>
  <c r="Z1068" i="16"/>
  <c r="AA1068" i="16" s="1"/>
  <c r="Z1470" i="16"/>
  <c r="AA1470" i="16" s="1"/>
  <c r="Z757" i="16"/>
  <c r="AA757" i="16" s="1"/>
  <c r="Z1013" i="16"/>
  <c r="AA1013" i="16" s="1"/>
  <c r="Z204" i="16"/>
  <c r="AA204" i="16" s="1"/>
  <c r="Z267" i="16"/>
  <c r="AA267" i="16" s="1"/>
  <c r="Z331" i="16"/>
  <c r="AA331" i="16" s="1"/>
  <c r="Z395" i="16"/>
  <c r="AA395" i="16" s="1"/>
  <c r="Z459" i="16"/>
  <c r="AA459" i="16" s="1"/>
  <c r="Z523" i="16"/>
  <c r="AA523" i="16" s="1"/>
  <c r="Z617" i="16"/>
  <c r="AA617" i="16" s="1"/>
  <c r="Z156" i="16"/>
  <c r="AA156" i="16" s="1"/>
  <c r="Z1089" i="16"/>
  <c r="AA1089" i="16" s="1"/>
  <c r="Z1108" i="16"/>
  <c r="AA1108" i="16" s="1"/>
  <c r="Z1140" i="16"/>
  <c r="AA1140" i="16" s="1"/>
  <c r="Z1172" i="16"/>
  <c r="AA1172" i="16" s="1"/>
  <c r="Z1204" i="16"/>
  <c r="AA1204" i="16" s="1"/>
  <c r="Z1236" i="16"/>
  <c r="AA1236" i="16" s="1"/>
  <c r="Z1268" i="16"/>
  <c r="AA1268" i="16" s="1"/>
  <c r="Z1300" i="16"/>
  <c r="AA1300" i="16" s="1"/>
  <c r="Z1332" i="16"/>
  <c r="AA1332" i="16" s="1"/>
  <c r="Z552" i="16"/>
  <c r="AA552" i="16" s="1"/>
  <c r="Z1125" i="16"/>
  <c r="AA1125" i="16" s="1"/>
  <c r="Z1157" i="16"/>
  <c r="AA1157" i="16" s="1"/>
  <c r="Z1189" i="16"/>
  <c r="AA1189" i="16" s="1"/>
  <c r="Z1221" i="16"/>
  <c r="AA1221" i="16" s="1"/>
  <c r="Z1253" i="16"/>
  <c r="AA1253" i="16" s="1"/>
  <c r="Z1285" i="16"/>
  <c r="AA1285" i="16" s="1"/>
  <c r="Z1317" i="16"/>
  <c r="AA1317" i="16" s="1"/>
  <c r="Z1100" i="16"/>
  <c r="AA1100" i="16" s="1"/>
  <c r="Z15" i="16"/>
  <c r="AA15" i="16" s="1"/>
  <c r="Z1110" i="16"/>
  <c r="AA1110" i="16" s="1"/>
  <c r="Z1142" i="16"/>
  <c r="AA1142" i="16" s="1"/>
  <c r="Z1174" i="16"/>
  <c r="AA1174" i="16" s="1"/>
  <c r="Z1206" i="16"/>
  <c r="AA1206" i="16" s="1"/>
  <c r="Z1238" i="16"/>
  <c r="AA1238" i="16" s="1"/>
  <c r="Z1270" i="16"/>
  <c r="AA1270" i="16" s="1"/>
  <c r="Z1302" i="16"/>
  <c r="AA1302" i="16" s="1"/>
  <c r="Z1334" i="16"/>
  <c r="AA1334" i="16" s="1"/>
  <c r="Z1151" i="16"/>
  <c r="AA1151" i="16" s="1"/>
  <c r="Z1279" i="16"/>
  <c r="AA1279" i="16" s="1"/>
  <c r="Z1363" i="16"/>
  <c r="AA1363" i="16" s="1"/>
  <c r="Z1395" i="16"/>
  <c r="AA1395" i="16" s="1"/>
  <c r="Z1427" i="16"/>
  <c r="AA1427" i="16" s="1"/>
  <c r="Z1459" i="16"/>
  <c r="AA1459" i="16" s="1"/>
  <c r="Z1491" i="16"/>
  <c r="AA1491" i="16" s="1"/>
  <c r="Z1523" i="16"/>
  <c r="AA1523" i="16" s="1"/>
  <c r="Z1555" i="16"/>
  <c r="AA1555" i="16" s="1"/>
  <c r="Z1587" i="16"/>
  <c r="AA1587" i="16" s="1"/>
  <c r="Z1107" i="16"/>
  <c r="AA1107" i="16" s="1"/>
  <c r="Z1235" i="16"/>
  <c r="AA1235" i="16" s="1"/>
  <c r="Z1352" i="16"/>
  <c r="AA1352" i="16" s="1"/>
  <c r="Z1384" i="16"/>
  <c r="AA1384" i="16" s="1"/>
  <c r="Z1416" i="16"/>
  <c r="AA1416" i="16" s="1"/>
  <c r="Z1448" i="16"/>
  <c r="AA1448" i="16" s="1"/>
  <c r="Z1480" i="16"/>
  <c r="AA1480" i="16" s="1"/>
  <c r="Z1512" i="16"/>
  <c r="AA1512" i="16" s="1"/>
  <c r="Z1544" i="16"/>
  <c r="AA1544" i="16" s="1"/>
  <c r="Z1576" i="16"/>
  <c r="AA1576" i="16" s="1"/>
  <c r="Z1608" i="16"/>
  <c r="AA1608" i="16" s="1"/>
  <c r="Z1191" i="16"/>
  <c r="AA1191" i="16" s="1"/>
  <c r="Z1319" i="16"/>
  <c r="AA1319" i="16" s="1"/>
  <c r="Z1373" i="16"/>
  <c r="AA1373" i="16" s="1"/>
  <c r="Z1405" i="16"/>
  <c r="AA1405" i="16" s="1"/>
  <c r="Z1437" i="16"/>
  <c r="AA1437" i="16" s="1"/>
  <c r="Z1469" i="16"/>
  <c r="AA1469" i="16" s="1"/>
  <c r="Z1521" i="16"/>
  <c r="AA1521" i="16" s="1"/>
  <c r="Z1585" i="16"/>
  <c r="AA1585" i="16" s="1"/>
  <c r="Z1506" i="16"/>
  <c r="AA1506" i="16" s="1"/>
  <c r="Z574" i="16"/>
  <c r="AA574" i="16" s="1"/>
  <c r="Z638" i="16"/>
  <c r="AA638" i="16" s="1"/>
  <c r="Z702" i="16"/>
  <c r="AA702" i="16" s="1"/>
  <c r="Z766" i="16"/>
  <c r="AA766" i="16" s="1"/>
  <c r="Z830" i="16"/>
  <c r="AA830" i="16" s="1"/>
  <c r="Z894" i="16"/>
  <c r="AA894" i="16" s="1"/>
  <c r="Z958" i="16"/>
  <c r="AA958" i="16" s="1"/>
  <c r="Z1022" i="16"/>
  <c r="AA1022" i="16" s="1"/>
  <c r="Z1086" i="16"/>
  <c r="AA1086" i="16" s="1"/>
  <c r="Z1398" i="16"/>
  <c r="AA1398" i="16" s="1"/>
  <c r="Z1617" i="16"/>
  <c r="AA1617" i="16" s="1"/>
  <c r="Z611" i="16"/>
  <c r="AA611" i="16" s="1"/>
  <c r="Z675" i="16"/>
  <c r="AA675" i="16" s="1"/>
  <c r="Z739" i="16"/>
  <c r="AA739" i="16" s="1"/>
  <c r="Z803" i="16"/>
  <c r="AA803" i="16" s="1"/>
  <c r="Z867" i="16"/>
  <c r="AA867" i="16" s="1"/>
  <c r="Z931" i="16"/>
  <c r="AA931" i="16" s="1"/>
  <c r="Z995" i="16"/>
  <c r="AA995" i="16" s="1"/>
  <c r="Z1059" i="16"/>
  <c r="AA1059" i="16" s="1"/>
  <c r="Z1498" i="16"/>
  <c r="AA1498" i="16" s="1"/>
  <c r="Z572" i="16"/>
  <c r="AA572" i="16" s="1"/>
  <c r="Z636" i="16"/>
  <c r="AA636" i="16" s="1"/>
  <c r="Z700" i="16"/>
  <c r="AA700" i="16" s="1"/>
  <c r="Z764" i="16"/>
  <c r="AA764" i="16" s="1"/>
  <c r="Z828" i="16"/>
  <c r="AA828" i="16" s="1"/>
  <c r="Z892" i="16"/>
  <c r="AA892" i="16" s="1"/>
  <c r="Z956" i="16"/>
  <c r="AA956" i="16" s="1"/>
  <c r="Z1020" i="16"/>
  <c r="AA1020" i="16" s="1"/>
  <c r="Z1084" i="16"/>
  <c r="AA1084" i="16" s="1"/>
  <c r="Z565" i="16"/>
  <c r="AA565" i="16" s="1"/>
  <c r="Z821" i="16"/>
  <c r="AA821" i="16" s="1"/>
  <c r="Z1071" i="16"/>
  <c r="AA1071" i="16" s="1"/>
  <c r="Z219" i="16"/>
  <c r="AA219" i="16" s="1"/>
  <c r="Z283" i="16"/>
  <c r="AA283" i="16" s="1"/>
  <c r="Z347" i="16"/>
  <c r="AA347" i="16" s="1"/>
  <c r="Z411" i="16"/>
  <c r="AA411" i="16" s="1"/>
  <c r="Z475" i="16"/>
  <c r="AA475" i="16" s="1"/>
  <c r="Z539" i="16"/>
  <c r="AA539" i="16" s="1"/>
  <c r="Z745" i="16"/>
  <c r="AA745" i="16" s="1"/>
  <c r="BJ570" i="16"/>
  <c r="BK570" i="16" s="1"/>
  <c r="BJ218" i="16"/>
  <c r="BK218" i="16" s="1"/>
  <c r="BJ668" i="16" l="1"/>
  <c r="BK668" i="16" s="1"/>
  <c r="BJ682" i="16"/>
  <c r="BK682" i="16" s="1"/>
  <c r="BJ791" i="16"/>
  <c r="BK791" i="16" s="1"/>
  <c r="BJ418" i="16"/>
  <c r="BK418" i="16" s="1"/>
  <c r="BJ661" i="16"/>
  <c r="BK661" i="16" s="1"/>
  <c r="BJ252" i="16"/>
  <c r="BK252" i="16" s="1"/>
  <c r="BJ346" i="16"/>
  <c r="BK346" i="16" s="1"/>
  <c r="BJ575" i="16"/>
  <c r="BK575" i="16" s="1"/>
  <c r="BJ871" i="16"/>
  <c r="BK871" i="16" s="1"/>
  <c r="BJ713" i="16"/>
  <c r="BK713" i="16" s="1"/>
  <c r="BJ169" i="16"/>
  <c r="BK169" i="16" s="1"/>
  <c r="BJ262" i="16"/>
  <c r="BK262" i="16" s="1"/>
  <c r="BJ177" i="16"/>
  <c r="BK177" i="16" s="1"/>
  <c r="BJ863" i="16"/>
  <c r="BK863" i="16" s="1"/>
  <c r="BJ889" i="16"/>
  <c r="BK889" i="16" s="1"/>
  <c r="BJ1027" i="16"/>
  <c r="BK1027" i="16" s="1"/>
  <c r="BJ244" i="16"/>
  <c r="BK244" i="16" s="1"/>
  <c r="BJ796" i="16"/>
  <c r="BK796" i="16" s="1"/>
  <c r="BJ1058" i="16"/>
  <c r="BK1058" i="16" s="1"/>
  <c r="BJ805" i="16"/>
  <c r="BK805" i="16" s="1"/>
  <c r="BJ704" i="16"/>
  <c r="BK704" i="16" s="1"/>
  <c r="BJ104" i="16"/>
  <c r="BK104" i="16" s="1"/>
  <c r="BJ435" i="16"/>
  <c r="BK435" i="16" s="1"/>
  <c r="BJ940" i="16"/>
  <c r="BK940" i="16" s="1"/>
  <c r="BJ409" i="16"/>
  <c r="BK409" i="16" s="1"/>
  <c r="BJ150" i="16"/>
  <c r="BK150" i="16" s="1"/>
  <c r="BJ1018" i="16"/>
  <c r="BK1018" i="16" s="1"/>
  <c r="BJ999" i="16"/>
  <c r="BK999" i="16" s="1"/>
  <c r="BJ905" i="16"/>
  <c r="BK905" i="16" s="1"/>
  <c r="BJ961" i="16"/>
  <c r="BK961" i="16" s="1"/>
  <c r="BJ1019" i="16"/>
  <c r="BK1019" i="16" s="1"/>
  <c r="BJ366" i="16"/>
  <c r="BK366" i="16" s="1"/>
  <c r="BJ135" i="16"/>
  <c r="BK135" i="16" s="1"/>
  <c r="BJ829" i="16"/>
  <c r="BK829" i="16" s="1"/>
  <c r="BJ239" i="16"/>
  <c r="BK239" i="16" s="1"/>
  <c r="BJ256" i="16"/>
  <c r="BK256" i="16" s="1"/>
  <c r="BJ867" i="16"/>
  <c r="BK867" i="16" s="1"/>
  <c r="BJ916" i="16"/>
  <c r="BK916" i="16" s="1"/>
  <c r="BJ1057" i="16"/>
  <c r="BK1057" i="16" s="1"/>
  <c r="BJ520" i="16"/>
  <c r="BK520" i="16" s="1"/>
  <c r="BJ954" i="16"/>
  <c r="BK954" i="16" s="1"/>
  <c r="BJ647" i="16"/>
  <c r="BK647" i="16" s="1"/>
  <c r="BJ234" i="16"/>
  <c r="BK234" i="16" s="1"/>
  <c r="BJ937" i="16"/>
  <c r="BK937" i="16" s="1"/>
  <c r="BJ1026" i="16"/>
  <c r="BK1026" i="16" s="1"/>
  <c r="BJ345" i="16"/>
  <c r="BK345" i="16" s="1"/>
  <c r="BJ780" i="16"/>
  <c r="BK780" i="16" s="1"/>
  <c r="BJ642" i="16"/>
  <c r="BK642" i="16" s="1"/>
  <c r="BJ906" i="16"/>
  <c r="BK906" i="16" s="1"/>
  <c r="BJ582" i="16"/>
  <c r="BK582" i="16" s="1"/>
  <c r="BJ1087" i="16"/>
  <c r="BK1087" i="16" s="1"/>
  <c r="BJ325" i="16"/>
  <c r="BK325" i="16" s="1"/>
  <c r="BJ560" i="16"/>
  <c r="BK560" i="16" s="1"/>
  <c r="BJ162" i="16"/>
  <c r="BK162" i="16" s="1"/>
  <c r="BJ917" i="16"/>
  <c r="BK917" i="16" s="1"/>
  <c r="BJ370" i="16"/>
  <c r="BK370" i="16" s="1"/>
  <c r="BJ95" i="16"/>
  <c r="BK95" i="16" s="1"/>
  <c r="BJ412" i="16"/>
  <c r="BK412" i="16" s="1"/>
  <c r="BJ57" i="16"/>
  <c r="BK57" i="16" s="1"/>
  <c r="BJ645" i="16"/>
  <c r="BK645" i="16" s="1"/>
  <c r="BJ268" i="16"/>
  <c r="BK268" i="16" s="1"/>
  <c r="BJ677" i="16"/>
  <c r="BK677" i="16" s="1"/>
  <c r="BJ674" i="16"/>
  <c r="BK674" i="16" s="1"/>
  <c r="BJ577" i="16"/>
  <c r="BK577" i="16" s="1"/>
  <c r="BJ13" i="16"/>
  <c r="BK13" i="16" s="1"/>
  <c r="BJ957" i="16"/>
  <c r="BK957" i="16" s="1"/>
  <c r="BJ493" i="16"/>
  <c r="BK493" i="16" s="1"/>
  <c r="BJ875" i="16"/>
  <c r="BK875" i="16" s="1"/>
  <c r="BJ769" i="16"/>
  <c r="BK769" i="16" s="1"/>
  <c r="BJ28" i="16"/>
  <c r="BK28" i="16" s="1"/>
  <c r="BJ393" i="16"/>
  <c r="BK393" i="16" s="1"/>
  <c r="BJ908" i="16"/>
  <c r="BK908" i="16" s="1"/>
  <c r="BJ1085" i="16"/>
  <c r="BK1085" i="16" s="1"/>
  <c r="BJ361" i="16"/>
  <c r="BK361" i="16" s="1"/>
  <c r="BJ1042" i="16"/>
  <c r="BK1042" i="16" s="1"/>
  <c r="BJ30" i="16"/>
  <c r="BK30" i="16" s="1"/>
  <c r="BJ101" i="16"/>
  <c r="BK101" i="16" s="1"/>
  <c r="BJ1065" i="16"/>
  <c r="BK1065" i="16" s="1"/>
  <c r="BJ690" i="16"/>
  <c r="BK690" i="16" s="1"/>
  <c r="BJ479" i="16"/>
  <c r="BK479" i="16" s="1"/>
  <c r="BJ887" i="16"/>
  <c r="BK887" i="16" s="1"/>
  <c r="BJ1029" i="16"/>
  <c r="BK1029" i="16" s="1"/>
  <c r="BJ695" i="16"/>
  <c r="BK695" i="16" s="1"/>
  <c r="BJ498" i="16"/>
  <c r="BK498" i="16" s="1"/>
  <c r="BJ129" i="16"/>
  <c r="BK129" i="16" s="1"/>
  <c r="BJ304" i="16"/>
  <c r="BK304" i="16" s="1"/>
  <c r="BJ604" i="16"/>
  <c r="BK604" i="16" s="1"/>
  <c r="BJ1021" i="16"/>
  <c r="BK1021" i="16" s="1"/>
  <c r="BJ862" i="16"/>
  <c r="BK862" i="16" s="1"/>
  <c r="BJ827" i="16"/>
  <c r="BK827" i="16" s="1"/>
  <c r="BJ1056" i="16"/>
  <c r="BK1056" i="16" s="1"/>
  <c r="BJ164" i="16"/>
  <c r="BK164" i="16" s="1"/>
  <c r="BJ607" i="16"/>
  <c r="BK607" i="16" s="1"/>
  <c r="BJ710" i="16"/>
  <c r="BK710" i="16" s="1"/>
  <c r="BJ119" i="16"/>
  <c r="BK119" i="16" s="1"/>
  <c r="BJ368" i="16"/>
  <c r="BK368" i="16" s="1"/>
  <c r="BJ989" i="16"/>
  <c r="BK989" i="16" s="1"/>
  <c r="BJ16" i="16"/>
  <c r="BK16" i="16" s="1"/>
  <c r="BJ215" i="16"/>
  <c r="BK215" i="16" s="1"/>
  <c r="BJ813" i="16"/>
  <c r="BK813" i="16" s="1"/>
  <c r="BJ924" i="16"/>
  <c r="BK924" i="16" s="1"/>
  <c r="BJ929" i="16"/>
  <c r="BK929" i="16" s="1"/>
  <c r="BJ588" i="16"/>
  <c r="BK588" i="16" s="1"/>
  <c r="BJ1053" i="16"/>
  <c r="BK1053" i="16" s="1"/>
  <c r="BJ472" i="16"/>
  <c r="BK472" i="16" s="1"/>
  <c r="BJ326" i="16"/>
  <c r="BK326" i="16" s="1"/>
  <c r="BJ1034" i="16"/>
  <c r="BK1034" i="16" s="1"/>
  <c r="BJ551" i="16"/>
  <c r="BK551" i="16" s="1"/>
  <c r="BJ602" i="16"/>
  <c r="BK602" i="16" s="1"/>
  <c r="BJ771" i="16"/>
  <c r="BK771" i="16" s="1"/>
  <c r="BJ1076" i="16"/>
  <c r="BK1076" i="16" s="1"/>
  <c r="BJ323" i="16"/>
  <c r="BK323" i="16" s="1"/>
  <c r="BJ58" i="16"/>
  <c r="BK58" i="16" s="1"/>
  <c r="BJ151" i="16"/>
  <c r="BK151" i="16" s="1"/>
  <c r="BJ820" i="16"/>
  <c r="BK820" i="16" s="1"/>
  <c r="BJ735" i="16"/>
  <c r="BK735" i="16" s="1"/>
  <c r="BJ486" i="16"/>
  <c r="BK486" i="16" s="1"/>
  <c r="BJ676" i="16"/>
  <c r="BK676" i="16" s="1"/>
  <c r="BJ637" i="16"/>
  <c r="BK637" i="16" s="1"/>
  <c r="BJ452" i="16"/>
  <c r="BK452" i="16" s="1"/>
  <c r="BJ958" i="16"/>
  <c r="BK958" i="16" s="1"/>
  <c r="BJ81" i="16"/>
  <c r="BK81" i="16" s="1"/>
  <c r="BJ872" i="16"/>
  <c r="BK872" i="16" s="1"/>
  <c r="BJ810" i="16"/>
  <c r="BK810" i="16" s="1"/>
  <c r="BJ787" i="16"/>
  <c r="BK787" i="16" s="1"/>
  <c r="BJ388" i="16"/>
  <c r="BK388" i="16" s="1"/>
  <c r="BJ1071" i="16"/>
  <c r="BK1071" i="16" s="1"/>
  <c r="BJ633" i="16"/>
  <c r="BK633" i="16" s="1"/>
  <c r="BJ739" i="16"/>
  <c r="BK739" i="16" s="1"/>
  <c r="BJ671" i="16"/>
  <c r="BK671" i="16" s="1"/>
  <c r="BJ854" i="16"/>
  <c r="BK854" i="16" s="1"/>
  <c r="BJ564" i="16"/>
  <c r="BK564" i="16" s="1"/>
  <c r="BJ821" i="16"/>
  <c r="BK821" i="16" s="1"/>
  <c r="BJ1067" i="16"/>
  <c r="BK1067" i="16" s="1"/>
  <c r="BJ69" i="16"/>
  <c r="BK69" i="16" s="1"/>
  <c r="BJ172" i="16"/>
  <c r="BK172" i="16" s="1"/>
  <c r="BJ527" i="16"/>
  <c r="BK527" i="16" s="1"/>
  <c r="BJ327" i="16"/>
  <c r="BK327" i="16" s="1"/>
  <c r="BJ846" i="16"/>
  <c r="BK846" i="16" s="1"/>
  <c r="BJ1012" i="16"/>
  <c r="BK1012" i="16" s="1"/>
  <c r="BJ643" i="16"/>
  <c r="BK643" i="16" s="1"/>
  <c r="BJ938" i="16"/>
  <c r="BK938" i="16" s="1"/>
  <c r="BJ990" i="16"/>
  <c r="BK990" i="16" s="1"/>
  <c r="BJ610" i="16"/>
  <c r="BK610" i="16" s="1"/>
  <c r="BJ613" i="16"/>
  <c r="BK613" i="16" s="1"/>
  <c r="BJ981" i="16"/>
  <c r="BK981" i="16" s="1"/>
  <c r="BJ967" i="16"/>
  <c r="BK967" i="16" s="1"/>
  <c r="BJ1013" i="16"/>
  <c r="BK1013" i="16" s="1"/>
  <c r="BJ469" i="16"/>
  <c r="BK469" i="16" s="1"/>
  <c r="BJ236" i="16"/>
  <c r="BK236" i="16" s="1"/>
  <c r="BJ839" i="16"/>
  <c r="BK839" i="16" s="1"/>
  <c r="BJ314" i="16"/>
  <c r="BK314" i="16" s="1"/>
  <c r="BJ103" i="16"/>
  <c r="BK103" i="16" s="1"/>
  <c r="BJ364" i="16"/>
  <c r="BK364" i="16" s="1"/>
  <c r="BJ373" i="16"/>
  <c r="BK373" i="16" s="1"/>
  <c r="BJ365" i="16"/>
  <c r="BK365" i="16" s="1"/>
  <c r="BJ211" i="16"/>
  <c r="BK211" i="16" s="1"/>
  <c r="BJ282" i="16"/>
  <c r="BK282" i="16" s="1"/>
  <c r="BJ955" i="16"/>
  <c r="BK955" i="16" s="1"/>
  <c r="BJ386" i="16"/>
  <c r="BK386" i="16" s="1"/>
  <c r="BJ970" i="16"/>
  <c r="BK970" i="16" s="1"/>
  <c r="BJ721" i="16"/>
  <c r="BK721" i="16" s="1"/>
  <c r="BJ1059" i="16"/>
  <c r="BK1059" i="16" s="1"/>
  <c r="BJ844" i="16"/>
  <c r="BK844" i="16" s="1"/>
  <c r="BJ550" i="16"/>
  <c r="BK550" i="16" s="1"/>
  <c r="BJ133" i="16"/>
  <c r="BK133" i="16" s="1"/>
  <c r="BJ264" i="16"/>
  <c r="BK264" i="16" s="1"/>
  <c r="BJ112" i="16"/>
  <c r="BK112" i="16" s="1"/>
  <c r="BJ157" i="16"/>
  <c r="BK157" i="16" s="1"/>
  <c r="BJ763" i="16"/>
  <c r="BK763" i="16" s="1"/>
  <c r="BJ638" i="16"/>
  <c r="BK638" i="16" s="1"/>
  <c r="BJ683" i="16"/>
  <c r="BK683" i="16" s="1"/>
  <c r="BJ667" i="16"/>
  <c r="BK667" i="16" s="1"/>
  <c r="BJ685" i="16"/>
  <c r="BK685" i="16" s="1"/>
  <c r="BJ949" i="16"/>
  <c r="BK949" i="16" s="1"/>
  <c r="BJ882" i="16"/>
  <c r="BK882" i="16" s="1"/>
  <c r="BJ209" i="16"/>
  <c r="BK209" i="16" s="1"/>
  <c r="BJ68" i="16"/>
  <c r="BK68" i="16" s="1"/>
  <c r="BJ463" i="16"/>
  <c r="BK463" i="16" s="1"/>
  <c r="BJ516" i="16"/>
  <c r="BK516" i="16" s="1"/>
  <c r="BJ973" i="16"/>
  <c r="BK973" i="16" s="1"/>
  <c r="BJ722" i="16"/>
  <c r="BK722" i="16" s="1"/>
  <c r="BJ814" i="16"/>
  <c r="BK814" i="16" s="1"/>
  <c r="BJ718" i="16"/>
  <c r="BK718" i="16" s="1"/>
  <c r="BJ800" i="16"/>
  <c r="BK800" i="16" s="1"/>
  <c r="BJ561" i="16"/>
  <c r="BK561" i="16" s="1"/>
  <c r="BJ785" i="16"/>
  <c r="BK785" i="16" s="1"/>
  <c r="BJ842" i="16"/>
  <c r="BK842" i="16" s="1"/>
  <c r="BJ742" i="16"/>
  <c r="BK742" i="16" s="1"/>
  <c r="BJ354" i="16"/>
  <c r="BK354" i="16" s="1"/>
  <c r="BJ77" i="16"/>
  <c r="BK77" i="16" s="1"/>
  <c r="BJ380" i="16"/>
  <c r="BK380" i="16" s="1"/>
  <c r="BJ592" i="16"/>
  <c r="BK592" i="16" s="1"/>
  <c r="BJ673" i="16"/>
  <c r="BK673" i="16" s="1"/>
  <c r="BJ227" i="16"/>
  <c r="BK227" i="16" s="1"/>
  <c r="BJ174" i="16"/>
  <c r="BK174" i="16" s="1"/>
  <c r="BJ705" i="16"/>
  <c r="BK705" i="16" s="1"/>
  <c r="BJ669" i="16"/>
  <c r="BK669" i="16" s="1"/>
  <c r="BJ969" i="16"/>
  <c r="BK969" i="16" s="1"/>
  <c r="BJ606" i="16"/>
  <c r="BK606" i="16" s="1"/>
  <c r="BJ972" i="16"/>
  <c r="BK972" i="16" s="1"/>
  <c r="BJ995" i="16"/>
  <c r="BK995" i="16" s="1"/>
  <c r="BJ778" i="16"/>
  <c r="BK778" i="16" s="1"/>
  <c r="BJ1082" i="16"/>
  <c r="BK1082" i="16" s="1"/>
  <c r="BJ1048" i="16"/>
  <c r="BK1048" i="16" s="1"/>
  <c r="BJ753" i="16"/>
  <c r="BK753" i="16" s="1"/>
  <c r="BJ33" i="16"/>
  <c r="BK33" i="16" s="1"/>
  <c r="BJ1010" i="16"/>
  <c r="BK1010" i="16" s="1"/>
  <c r="BJ808" i="16"/>
  <c r="BK808" i="16" s="1"/>
  <c r="BJ943" i="16"/>
  <c r="BK943" i="16" s="1"/>
  <c r="BJ807" i="16"/>
  <c r="BK807" i="16" s="1"/>
  <c r="BJ1060" i="16"/>
  <c r="BK1060" i="16" s="1"/>
  <c r="BJ1011" i="16"/>
  <c r="BK1011" i="16" s="1"/>
  <c r="BJ86" i="16"/>
  <c r="BK86" i="16" s="1"/>
  <c r="BJ437" i="16"/>
  <c r="BK437" i="16" s="1"/>
  <c r="BJ711" i="16"/>
  <c r="BK711" i="16" s="1"/>
  <c r="BJ1007" i="16"/>
  <c r="BK1007" i="16" s="1"/>
  <c r="BJ801" i="16"/>
  <c r="BK801" i="16" s="1"/>
  <c r="BJ770" i="16"/>
  <c r="BK770" i="16" s="1"/>
  <c r="BJ984" i="16"/>
  <c r="BK984" i="16" s="1"/>
  <c r="BJ748" i="16"/>
  <c r="BK748" i="16" s="1"/>
  <c r="BJ746" i="16"/>
  <c r="BK746" i="16" s="1"/>
  <c r="BJ521" i="16"/>
  <c r="BK521" i="16" s="1"/>
  <c r="BJ764" i="16"/>
  <c r="BK764" i="16" s="1"/>
  <c r="BJ934" i="16"/>
  <c r="BK934" i="16" s="1"/>
  <c r="BJ877" i="16"/>
  <c r="BK877" i="16" s="1"/>
  <c r="BJ7" i="16"/>
  <c r="BK7" i="16" s="1"/>
  <c r="BJ161" i="16"/>
  <c r="BK161" i="16" s="1"/>
  <c r="BJ116" i="16"/>
  <c r="BK116" i="16" s="1"/>
  <c r="BJ274" i="16"/>
  <c r="BK274" i="16" s="1"/>
  <c r="BJ403" i="16"/>
  <c r="BK403" i="16" s="1"/>
  <c r="BJ504" i="16"/>
  <c r="BK504" i="16" s="1"/>
  <c r="BJ235" i="16"/>
  <c r="BK235" i="16" s="1"/>
  <c r="BJ415" i="16"/>
  <c r="BK415" i="16" s="1"/>
  <c r="BJ156" i="16"/>
  <c r="BK156" i="16" s="1"/>
  <c r="BJ342" i="16"/>
  <c r="BK342" i="16" s="1"/>
  <c r="BJ74" i="16"/>
  <c r="BK74" i="16" s="1"/>
  <c r="BJ295" i="16"/>
  <c r="BK295" i="16" s="1"/>
  <c r="BJ513" i="16"/>
  <c r="BK513" i="16" s="1"/>
  <c r="BJ420" i="16"/>
  <c r="BK420" i="16" s="1"/>
  <c r="BJ530" i="16"/>
  <c r="BK530" i="16" s="1"/>
  <c r="BJ514" i="16"/>
  <c r="BK514" i="16" s="1"/>
  <c r="BJ142" i="16"/>
  <c r="BK142" i="16" s="1"/>
  <c r="BJ732" i="16"/>
  <c r="BK732" i="16" s="1"/>
  <c r="BJ649" i="16"/>
  <c r="BK649" i="16" s="1"/>
  <c r="BJ980" i="16"/>
  <c r="BK980" i="16" s="1"/>
  <c r="BJ797" i="16"/>
  <c r="BK797" i="16" s="1"/>
  <c r="BJ835" i="16"/>
  <c r="BK835" i="16" s="1"/>
  <c r="BJ598" i="16"/>
  <c r="BK598" i="16" s="1"/>
  <c r="BJ293" i="16"/>
  <c r="BK293" i="16" s="1"/>
  <c r="BJ455" i="16"/>
  <c r="BK455" i="16" s="1"/>
  <c r="BJ698" i="16"/>
  <c r="BK698" i="16" s="1"/>
  <c r="BJ640" i="16"/>
  <c r="BK640" i="16" s="1"/>
  <c r="BJ675" i="16"/>
  <c r="BK675" i="16" s="1"/>
  <c r="BJ857" i="16"/>
  <c r="BK857" i="16" s="1"/>
  <c r="BJ850" i="16"/>
  <c r="BK850" i="16" s="1"/>
  <c r="BJ574" i="16"/>
  <c r="BK574" i="16" s="1"/>
  <c r="BJ512" i="16"/>
  <c r="BK512" i="16" s="1"/>
  <c r="BJ625" i="16"/>
  <c r="BK625" i="16" s="1"/>
  <c r="BJ733" i="16"/>
  <c r="BK733" i="16" s="1"/>
  <c r="BJ631" i="16"/>
  <c r="BK631" i="16" s="1"/>
  <c r="BJ594" i="16"/>
  <c r="BK594" i="16" s="1"/>
  <c r="BJ707" i="16"/>
  <c r="BK707" i="16" s="1"/>
  <c r="BJ896" i="16"/>
  <c r="BK896" i="16" s="1"/>
  <c r="BJ621" i="16"/>
  <c r="BK621" i="16" s="1"/>
  <c r="BJ580" i="16"/>
  <c r="BK580" i="16" s="1"/>
  <c r="BJ641" i="16"/>
  <c r="BK641" i="16" s="1"/>
  <c r="BJ1062" i="16"/>
  <c r="BK1062" i="16" s="1"/>
  <c r="BJ1037" i="16"/>
  <c r="BK1037" i="16" s="1"/>
  <c r="BJ693" i="16"/>
  <c r="BK693" i="16" s="1"/>
  <c r="BJ1032" i="16"/>
  <c r="BK1032" i="16" s="1"/>
  <c r="BJ918" i="16"/>
  <c r="BK918" i="16" s="1"/>
  <c r="BJ927" i="16"/>
  <c r="BK927" i="16" s="1"/>
  <c r="BJ99" i="16"/>
  <c r="BK99" i="16" s="1"/>
  <c r="BJ194" i="16"/>
  <c r="BK194" i="16" s="1"/>
  <c r="BJ987" i="16"/>
  <c r="BK987" i="16" s="1"/>
  <c r="BJ959" i="16"/>
  <c r="BK959" i="16" s="1"/>
  <c r="BJ126" i="16"/>
  <c r="BK126" i="16" s="1"/>
  <c r="BJ766" i="16"/>
  <c r="BK766" i="16" s="1"/>
  <c r="BJ895" i="16"/>
  <c r="BK895" i="16" s="1"/>
  <c r="BJ706" i="16"/>
  <c r="BK706" i="16" s="1"/>
  <c r="BJ87" i="16"/>
  <c r="BK87" i="16" s="1"/>
  <c r="BJ775" i="16"/>
  <c r="BK775" i="16" s="1"/>
  <c r="BJ526" i="16"/>
  <c r="BK526" i="16" s="1"/>
  <c r="BJ291" i="16"/>
  <c r="BK291" i="16" s="1"/>
  <c r="BJ381" i="16"/>
  <c r="BK381" i="16" s="1"/>
  <c r="BJ286" i="16"/>
  <c r="BK286" i="16" s="1"/>
  <c r="BJ465" i="16"/>
  <c r="BK465" i="16" s="1"/>
  <c r="BJ318" i="16"/>
  <c r="BK318" i="16" s="1"/>
  <c r="BJ524" i="16"/>
  <c r="BK524" i="16" s="1"/>
  <c r="BJ532" i="16"/>
  <c r="BK532" i="16" s="1"/>
  <c r="BJ904" i="16"/>
  <c r="BK904" i="16" s="1"/>
  <c r="BJ568" i="16"/>
  <c r="BK568" i="16" s="1"/>
  <c r="BJ792" i="16"/>
  <c r="BK792" i="16" s="1"/>
  <c r="BJ893" i="16"/>
  <c r="BK893" i="16" s="1"/>
  <c r="BJ650" i="16"/>
  <c r="BK650" i="16" s="1"/>
  <c r="BJ296" i="16"/>
  <c r="BK296" i="16" s="1"/>
  <c r="BJ294" i="16"/>
  <c r="BK294" i="16" s="1"/>
  <c r="BJ517" i="16"/>
  <c r="BK517" i="16" s="1"/>
  <c r="BJ397" i="16"/>
  <c r="BK397" i="16" s="1"/>
  <c r="BJ579" i="16"/>
  <c r="BK579" i="16" s="1"/>
  <c r="BJ334" i="16"/>
  <c r="BK334" i="16" s="1"/>
  <c r="BJ371" i="16"/>
  <c r="BK371" i="16" s="1"/>
  <c r="BJ251" i="16"/>
  <c r="BK251" i="16" s="1"/>
  <c r="BJ407" i="16"/>
  <c r="BK407" i="16" s="1"/>
  <c r="BJ744" i="16"/>
  <c r="BK744" i="16" s="1"/>
  <c r="BJ694" i="16"/>
  <c r="BK694" i="16" s="1"/>
  <c r="BJ134" i="16"/>
  <c r="BK134" i="16" s="1"/>
  <c r="BJ477" i="16"/>
  <c r="BK477" i="16" s="1"/>
  <c r="BJ529" i="16"/>
  <c r="BK529" i="16" s="1"/>
  <c r="BJ993" i="16"/>
  <c r="BK993" i="16" s="1"/>
  <c r="BJ84" i="16"/>
  <c r="BK84" i="16" s="1"/>
  <c r="BJ438" i="16"/>
  <c r="BK438" i="16" s="1"/>
  <c r="BJ724" i="16"/>
  <c r="BK724" i="16" s="1"/>
  <c r="BJ394" i="16"/>
  <c r="BK394" i="16" s="1"/>
  <c r="BJ572" i="16"/>
  <c r="BK572" i="16" s="1"/>
  <c r="BJ665" i="16"/>
  <c r="BK665" i="16" s="1"/>
  <c r="BJ1039" i="16"/>
  <c r="BK1039" i="16" s="1"/>
  <c r="BJ446" i="16"/>
  <c r="BK446" i="16" s="1"/>
  <c r="BJ783" i="16"/>
  <c r="BK783" i="16" s="1"/>
  <c r="BJ441" i="16"/>
  <c r="BK441" i="16" s="1"/>
  <c r="BJ897" i="16"/>
  <c r="BK897" i="16" s="1"/>
  <c r="BJ555" i="16"/>
  <c r="BK555" i="16" s="1"/>
  <c r="BJ750" i="16"/>
  <c r="BK750" i="16" s="1"/>
  <c r="BJ1050" i="16"/>
  <c r="BK1050" i="16" s="1"/>
  <c r="BJ1054" i="16"/>
  <c r="BK1054" i="16" s="1"/>
  <c r="BJ534" i="16"/>
  <c r="BK534" i="16" s="1"/>
  <c r="BJ60" i="16"/>
  <c r="BK60" i="16" s="1"/>
  <c r="BJ434" i="16"/>
  <c r="BK434" i="16" s="1"/>
  <c r="BJ232" i="16"/>
  <c r="BK232" i="16" s="1"/>
  <c r="BJ432" i="16"/>
  <c r="BK432" i="16" s="1"/>
  <c r="BJ348" i="16"/>
  <c r="BK348" i="16" s="1"/>
  <c r="BJ44" i="16"/>
  <c r="BK44" i="16" s="1"/>
  <c r="BJ473" i="16"/>
  <c r="BK473" i="16" s="1"/>
  <c r="BJ383" i="16"/>
  <c r="BK383" i="16" s="1"/>
  <c r="BJ533" i="16"/>
  <c r="BK533" i="16" s="1"/>
  <c r="BJ507" i="16"/>
  <c r="BK507" i="16" s="1"/>
  <c r="BJ195" i="16"/>
  <c r="BK195" i="16" s="1"/>
  <c r="BJ183" i="16"/>
  <c r="BK183" i="16" s="1"/>
  <c r="BJ276" i="16"/>
  <c r="BK276" i="16" s="1"/>
  <c r="BJ453" i="16"/>
  <c r="BK453" i="16" s="1"/>
  <c r="BJ158" i="16"/>
  <c r="BK158" i="16" s="1"/>
  <c r="BJ950" i="16"/>
  <c r="BK950" i="16" s="1"/>
  <c r="BJ1064" i="16"/>
  <c r="BK1064" i="16" s="1"/>
  <c r="BJ651" i="16"/>
  <c r="BK651" i="16" s="1"/>
  <c r="BJ593" i="16"/>
  <c r="BK593" i="16" s="1"/>
  <c r="BJ59" i="16"/>
  <c r="BK59" i="16" s="1"/>
  <c r="BJ27" i="16"/>
  <c r="BK27" i="16" s="1"/>
  <c r="BJ399" i="16"/>
  <c r="BK399" i="16" s="1"/>
  <c r="BJ271" i="16"/>
  <c r="BK271" i="16" s="1"/>
  <c r="BJ275" i="16"/>
  <c r="BK275" i="16" s="1"/>
  <c r="BJ384" i="16"/>
  <c r="BK384" i="16" s="1"/>
  <c r="BJ240" i="16"/>
  <c r="BK240" i="16" s="1"/>
  <c r="BJ510" i="16"/>
  <c r="BK510" i="16" s="1"/>
  <c r="BJ289" i="16"/>
  <c r="BK289" i="16" s="1"/>
  <c r="BJ91" i="16"/>
  <c r="BK91" i="16" s="1"/>
  <c r="BJ360" i="16"/>
  <c r="BK360" i="16" s="1"/>
  <c r="BJ146" i="16"/>
  <c r="BK146" i="16" s="1"/>
  <c r="BJ464" i="16"/>
  <c r="BK464" i="16" s="1"/>
  <c r="BJ362" i="16"/>
  <c r="BK362" i="16" s="1"/>
  <c r="BJ229" i="16"/>
  <c r="BK229" i="16" s="1"/>
  <c r="BJ249" i="16"/>
  <c r="BK249" i="16" s="1"/>
  <c r="BJ121" i="16"/>
  <c r="BK121" i="16" s="1"/>
  <c r="BJ833" i="16"/>
  <c r="BK833" i="16" s="1"/>
  <c r="BJ680" i="16"/>
  <c r="BK680" i="16" s="1"/>
  <c r="BJ774" i="16"/>
  <c r="BK774" i="16" s="1"/>
  <c r="BJ1080" i="16"/>
  <c r="BK1080" i="16" s="1"/>
  <c r="BJ600" i="16"/>
  <c r="BK600" i="16" s="1"/>
  <c r="BJ1014" i="16"/>
  <c r="BK1014" i="16" s="1"/>
  <c r="BJ912" i="16"/>
  <c r="BK912" i="16" s="1"/>
  <c r="BJ740" i="16"/>
  <c r="BK740" i="16" s="1"/>
  <c r="BJ845" i="16"/>
  <c r="BK845" i="16" s="1"/>
  <c r="BJ717" i="16"/>
  <c r="BK717" i="16" s="1"/>
  <c r="BJ991" i="16"/>
  <c r="BK991" i="16" s="1"/>
  <c r="BJ988" i="16"/>
  <c r="BK988" i="16" s="1"/>
  <c r="BJ265" i="16"/>
  <c r="BK265" i="16" s="1"/>
  <c r="BJ24" i="16"/>
  <c r="BK24" i="16" s="1"/>
  <c r="BJ340" i="16"/>
  <c r="BK340" i="16" s="1"/>
  <c r="BJ285" i="16"/>
  <c r="BK285" i="16" s="1"/>
  <c r="BJ777" i="16"/>
  <c r="BK777" i="16" s="1"/>
  <c r="BJ337" i="16"/>
  <c r="BK337" i="16" s="1"/>
  <c r="BJ310" i="16"/>
  <c r="BK310" i="16" s="1"/>
  <c r="BJ480" i="16"/>
  <c r="BK480" i="16" s="1"/>
  <c r="BJ137" i="16"/>
  <c r="BK137" i="16" s="1"/>
  <c r="BJ928" i="16"/>
  <c r="BK928" i="16" s="1"/>
  <c r="BJ660" i="16"/>
  <c r="BK660" i="16" s="1"/>
  <c r="BJ913" i="16"/>
  <c r="BK913" i="16" s="1"/>
  <c r="BJ811" i="16"/>
  <c r="BK811" i="16" s="1"/>
  <c r="BJ730" i="16"/>
  <c r="BK730" i="16" s="1"/>
  <c r="BJ702" i="16"/>
  <c r="BK702" i="16" s="1"/>
  <c r="BJ925" i="16"/>
  <c r="BK925" i="16" s="1"/>
  <c r="BJ590" i="16"/>
  <c r="BK590" i="16" s="1"/>
  <c r="BJ54" i="16"/>
  <c r="BK54" i="16" s="1"/>
  <c r="BJ22" i="16"/>
  <c r="BK22" i="16" s="1"/>
  <c r="BJ352" i="16"/>
  <c r="BK352" i="16" s="1"/>
  <c r="BJ539" i="16"/>
  <c r="BK539" i="16" s="1"/>
  <c r="BJ98" i="16"/>
  <c r="BK98" i="16" s="1"/>
  <c r="BJ356" i="16"/>
  <c r="BK356" i="16" s="1"/>
  <c r="BJ200" i="16"/>
  <c r="BK200" i="16" s="1"/>
  <c r="BJ491" i="16"/>
  <c r="BK491" i="16" s="1"/>
  <c r="BJ259" i="16"/>
  <c r="BK259" i="16" s="1"/>
  <c r="BJ745" i="16"/>
  <c r="BK745" i="16" s="1"/>
  <c r="BJ90" i="16"/>
  <c r="BK90" i="16" s="1"/>
  <c r="BJ246" i="16"/>
  <c r="BK246" i="16" s="1"/>
  <c r="BJ258" i="16"/>
  <c r="BK258" i="16" s="1"/>
  <c r="BJ838" i="16"/>
  <c r="BK838" i="16" s="1"/>
  <c r="BJ736" i="16"/>
  <c r="BK736" i="16" s="1"/>
  <c r="BJ903" i="16"/>
  <c r="BK903" i="16" s="1"/>
  <c r="BJ1030" i="16"/>
  <c r="BK1030" i="16" s="1"/>
  <c r="BJ881" i="16"/>
  <c r="BK881" i="16" s="1"/>
  <c r="BJ755" i="16"/>
  <c r="BK755" i="16" s="1"/>
  <c r="BJ476" i="16"/>
  <c r="BK476" i="16" s="1"/>
  <c r="BJ462" i="16"/>
  <c r="BK462" i="16" s="1"/>
  <c r="BJ303" i="16"/>
  <c r="BK303" i="16" s="1"/>
  <c r="BJ487" i="16"/>
  <c r="BK487" i="16" s="1"/>
  <c r="BJ317" i="16"/>
  <c r="BK317" i="16" s="1"/>
  <c r="BJ339" i="16"/>
  <c r="BK339" i="16" s="1"/>
  <c r="BJ40" i="16"/>
  <c r="BK40" i="16" s="1"/>
  <c r="BJ168" i="16"/>
  <c r="BK168" i="16" s="1"/>
  <c r="BJ207" i="16"/>
  <c r="BK207" i="16" s="1"/>
  <c r="BJ421" i="16"/>
  <c r="BK421" i="16" s="1"/>
  <c r="BJ189" i="16"/>
  <c r="BK189" i="16" s="1"/>
  <c r="BJ36" i="16"/>
  <c r="BK36" i="16" s="1"/>
  <c r="BJ367" i="16"/>
  <c r="BK367" i="16" s="1"/>
  <c r="BJ75" i="16"/>
  <c r="BK75" i="16" s="1"/>
  <c r="BJ349" i="16"/>
  <c r="BK349" i="16" s="1"/>
  <c r="BJ8" i="16"/>
  <c r="BK8" i="16" s="1"/>
  <c r="BJ737" i="16"/>
  <c r="BK737" i="16" s="1"/>
  <c r="BJ965" i="16"/>
  <c r="BK965" i="16" s="1"/>
  <c r="BJ878" i="16"/>
  <c r="BK878" i="16" s="1"/>
  <c r="BJ553" i="16"/>
  <c r="BK553" i="16" s="1"/>
  <c r="BJ51" i="16"/>
  <c r="BK51" i="16" s="1"/>
  <c r="BJ20" i="16"/>
  <c r="BK20" i="16" s="1"/>
  <c r="BJ335" i="16"/>
  <c r="BK335" i="16" s="1"/>
  <c r="BJ531" i="16"/>
  <c r="BK531" i="16" s="1"/>
  <c r="BJ503" i="16"/>
  <c r="BK503" i="16" s="1"/>
  <c r="BJ320" i="16"/>
  <c r="BK320" i="16" s="1"/>
  <c r="BJ187" i="16"/>
  <c r="BK187" i="16" s="1"/>
  <c r="BJ474" i="16"/>
  <c r="BK474" i="16" s="1"/>
  <c r="BJ247" i="16"/>
  <c r="BK247" i="16" s="1"/>
  <c r="BJ500" i="16"/>
  <c r="BK500" i="16" s="1"/>
  <c r="BJ313" i="16"/>
  <c r="BK313" i="16" s="1"/>
  <c r="BJ107" i="16"/>
  <c r="BK107" i="16" s="1"/>
  <c r="BJ907" i="16"/>
  <c r="BK907" i="16" s="1"/>
  <c r="BJ192" i="16"/>
  <c r="BK192" i="16" s="1"/>
  <c r="BJ616" i="16"/>
  <c r="BK616" i="16" s="1"/>
  <c r="BJ392" i="16"/>
  <c r="BK392" i="16" s="1"/>
  <c r="BJ663" i="16"/>
  <c r="BK663" i="16" s="1"/>
  <c r="BJ812" i="16"/>
  <c r="BK812" i="16" s="1"/>
  <c r="BJ884" i="16"/>
  <c r="BK884" i="16" s="1"/>
  <c r="BJ795" i="16"/>
  <c r="BK795" i="16" s="1"/>
  <c r="BJ715" i="16"/>
  <c r="BK715" i="16" s="1"/>
  <c r="BJ864" i="16"/>
  <c r="BK864" i="16" s="1"/>
  <c r="BJ315" i="16"/>
  <c r="BK315" i="16" s="1"/>
  <c r="BJ307" i="16"/>
  <c r="BK307" i="16" s="1"/>
  <c r="BJ171" i="16"/>
  <c r="BK171" i="16" s="1"/>
  <c r="BJ300" i="16"/>
  <c r="BK300" i="16" s="1"/>
  <c r="BJ167" i="16"/>
  <c r="BK167" i="16" s="1"/>
  <c r="BJ255" i="16"/>
  <c r="BK255" i="16" s="1"/>
  <c r="BJ402" i="16"/>
  <c r="BK402" i="16" s="1"/>
  <c r="BJ139" i="16"/>
  <c r="BK139" i="16" s="1"/>
  <c r="BJ466" i="16"/>
  <c r="BK466" i="16" s="1"/>
  <c r="BJ301" i="16"/>
  <c r="BK301" i="16" s="1"/>
  <c r="BJ502" i="16"/>
  <c r="BK502" i="16" s="1"/>
  <c r="BJ376" i="16"/>
  <c r="BK376" i="16" s="1"/>
  <c r="BJ210" i="16"/>
  <c r="BK210" i="16" s="1"/>
  <c r="BJ343" i="16"/>
  <c r="BK343" i="16" s="1"/>
  <c r="BJ216" i="16"/>
  <c r="BK216" i="16" s="1"/>
  <c r="BJ853" i="16"/>
  <c r="BK853" i="16" s="1"/>
  <c r="BJ994" i="16"/>
  <c r="BK994" i="16" s="1"/>
  <c r="BJ585" i="16"/>
  <c r="BK585" i="16" s="1"/>
  <c r="BJ923" i="16"/>
  <c r="BK923" i="16" s="1"/>
  <c r="BJ761" i="16"/>
  <c r="BK761" i="16" s="1"/>
  <c r="BJ43" i="16"/>
  <c r="BK43" i="16" s="1"/>
  <c r="BJ358" i="16"/>
  <c r="BK358" i="16" s="1"/>
  <c r="BJ204" i="16"/>
  <c r="BK204" i="16" s="1"/>
  <c r="BJ471" i="16"/>
  <c r="BK471" i="16" s="1"/>
  <c r="BJ155" i="16"/>
  <c r="BK155" i="16" s="1"/>
  <c r="BJ115" i="16"/>
  <c r="BK115" i="16" s="1"/>
  <c r="BJ124" i="16"/>
  <c r="BK124" i="16" s="1"/>
  <c r="BJ374" i="16"/>
  <c r="BK374" i="16" s="1"/>
  <c r="BJ205" i="16"/>
  <c r="BK205" i="16" s="1"/>
  <c r="BJ457" i="16"/>
  <c r="BK457" i="16" s="1"/>
  <c r="BJ270" i="16"/>
  <c r="BK270" i="16" s="1"/>
  <c r="BJ528" i="16"/>
  <c r="BK528" i="16" s="1"/>
  <c r="BJ419" i="16"/>
  <c r="BK419" i="16" s="1"/>
  <c r="BJ298" i="16"/>
  <c r="BK298" i="16" s="1"/>
  <c r="BJ148" i="16"/>
  <c r="BK148" i="16" s="1"/>
  <c r="BJ185" i="16"/>
  <c r="BK185" i="16" s="1"/>
  <c r="BJ11" i="16"/>
  <c r="BK11" i="16" s="1"/>
  <c r="BJ1069" i="16"/>
  <c r="BK1069" i="16" s="1"/>
  <c r="BJ749" i="16"/>
  <c r="BK749" i="16" s="1"/>
  <c r="BJ1035" i="16"/>
  <c r="BK1035" i="16" s="1"/>
  <c r="BJ901" i="16"/>
  <c r="BK901" i="16" s="1"/>
  <c r="BJ672" i="16"/>
  <c r="BK672" i="16" s="1"/>
  <c r="BJ547" i="16"/>
  <c r="BK547" i="16" s="1"/>
  <c r="BJ1081" i="16"/>
  <c r="BK1081" i="16" s="1"/>
  <c r="BJ885" i="16"/>
  <c r="BK885" i="16" s="1"/>
  <c r="BJ968" i="16"/>
  <c r="BK968" i="16" s="1"/>
  <c r="BJ819" i="16"/>
  <c r="BK819" i="16" s="1"/>
  <c r="BJ623" i="16"/>
  <c r="BK623" i="16" s="1"/>
  <c r="BJ149" i="16"/>
  <c r="BK149" i="16" s="1"/>
  <c r="BJ253" i="16"/>
  <c r="BK253" i="16" s="1"/>
  <c r="BJ93" i="16"/>
  <c r="BK93" i="16" s="1"/>
  <c r="BJ312" i="16"/>
  <c r="BK312" i="16" s="1"/>
  <c r="BJ802" i="16"/>
  <c r="BK802" i="16" s="1"/>
  <c r="BJ428" i="16"/>
  <c r="BK428" i="16" s="1"/>
  <c r="BJ263" i="16"/>
  <c r="BK263" i="16" s="1"/>
  <c r="BJ377" i="16"/>
  <c r="BK377" i="16" s="1"/>
  <c r="BJ250" i="16"/>
  <c r="BK250" i="16" s="1"/>
  <c r="BJ608" i="16"/>
  <c r="BK608" i="16" s="1"/>
  <c r="BJ728" i="16"/>
  <c r="BK728" i="16" s="1"/>
  <c r="BJ983" i="16"/>
  <c r="BK983" i="16" s="1"/>
  <c r="BJ609" i="16"/>
  <c r="BK609" i="16" s="1"/>
  <c r="BJ1072" i="16"/>
  <c r="BK1072" i="16" s="1"/>
  <c r="BJ726" i="16"/>
  <c r="BK726" i="16" s="1"/>
  <c r="BJ931" i="16"/>
  <c r="BK931" i="16" s="1"/>
  <c r="BJ922" i="16"/>
  <c r="BK922" i="16" s="1"/>
  <c r="BJ985" i="16"/>
  <c r="BK985" i="16" s="1"/>
  <c r="BJ38" i="16"/>
  <c r="BK38" i="16" s="1"/>
  <c r="BJ522" i="16"/>
  <c r="BK522" i="16" s="1"/>
  <c r="BJ543" i="16"/>
  <c r="BK543" i="16" s="1"/>
  <c r="BJ430" i="16"/>
  <c r="BK430" i="16" s="1"/>
  <c r="BJ518" i="16"/>
  <c r="BK518" i="16" s="1"/>
  <c r="BJ297" i="16"/>
  <c r="BK297" i="16" s="1"/>
  <c r="BJ82" i="16"/>
  <c r="BK82" i="16" s="1"/>
  <c r="BJ351" i="16"/>
  <c r="BK351" i="16" s="1"/>
  <c r="BJ160" i="16"/>
  <c r="BK160" i="16" s="1"/>
  <c r="BJ636" i="16"/>
  <c r="BK636" i="16" s="1"/>
  <c r="BJ822" i="16"/>
  <c r="BK822" i="16" s="1"/>
  <c r="BJ587" i="16"/>
  <c r="BK587" i="16" s="1"/>
  <c r="BJ459" i="16"/>
  <c r="BK459" i="16" s="1"/>
  <c r="BJ213" i="16"/>
  <c r="BK213" i="16" s="1"/>
  <c r="BJ443" i="16"/>
  <c r="BK443" i="16" s="1"/>
  <c r="BJ238" i="16"/>
  <c r="BK238" i="16" s="1"/>
  <c r="BJ1073" i="16"/>
  <c r="BK1073" i="16" s="1"/>
  <c r="BJ484" i="16"/>
  <c r="BK484" i="16" s="1"/>
  <c r="BJ66" i="16"/>
  <c r="BK66" i="16" s="1"/>
  <c r="BJ196" i="16"/>
  <c r="BK196" i="16" s="1"/>
  <c r="BJ330" i="16"/>
  <c r="BK330" i="16" s="1"/>
  <c r="BJ217" i="16"/>
  <c r="BK217" i="16" s="1"/>
  <c r="BJ723" i="16"/>
  <c r="BK723" i="16" s="1"/>
  <c r="BJ966" i="16"/>
  <c r="BK966" i="16" s="1"/>
  <c r="BJ1049" i="16"/>
  <c r="BK1049" i="16" s="1"/>
  <c r="BJ767" i="16"/>
  <c r="BK767" i="16" s="1"/>
  <c r="BJ697" i="16"/>
  <c r="BK697" i="16" s="1"/>
  <c r="BJ1022" i="16"/>
  <c r="BK1022" i="16" s="1"/>
  <c r="BJ379" i="16"/>
  <c r="BK379" i="16" s="1"/>
  <c r="BJ64" i="16"/>
  <c r="BK64" i="16" s="1"/>
  <c r="BJ31" i="16"/>
  <c r="BK31" i="16" s="1"/>
  <c r="BJ106" i="16"/>
  <c r="BK106" i="16" s="1"/>
  <c r="BJ659" i="16"/>
  <c r="BK659" i="16" s="1"/>
  <c r="BJ874" i="16"/>
  <c r="BK874" i="16" s="1"/>
  <c r="BJ939" i="16"/>
  <c r="BK939" i="16" s="1"/>
  <c r="BJ886" i="16"/>
  <c r="BK886" i="16" s="1"/>
  <c r="BJ942" i="16"/>
  <c r="BK942" i="16" s="1"/>
  <c r="BJ436" i="16"/>
  <c r="BK436" i="16" s="1"/>
  <c r="BJ494" i="16"/>
  <c r="BK494" i="16" s="1"/>
  <c r="BJ226" i="16"/>
  <c r="BK226" i="16" s="1"/>
  <c r="BJ387" i="16"/>
  <c r="BK387" i="16" s="1"/>
  <c r="BJ519" i="16"/>
  <c r="BK519" i="16" s="1"/>
  <c r="BJ332" i="16"/>
  <c r="BK332" i="16" s="1"/>
  <c r="BJ123" i="16"/>
  <c r="BK123" i="16" s="1"/>
  <c r="BJ448" i="16"/>
  <c r="BK448" i="16" s="1"/>
  <c r="BJ341" i="16"/>
  <c r="BK341" i="16" s="1"/>
  <c r="BJ199" i="16"/>
  <c r="BK199" i="16" s="1"/>
  <c r="BJ230" i="16"/>
  <c r="BK230" i="16" s="1"/>
  <c r="BJ102" i="16"/>
  <c r="BK102" i="16" s="1"/>
  <c r="BJ866" i="16"/>
  <c r="BK866" i="16" s="1"/>
  <c r="BJ628" i="16"/>
  <c r="BK628" i="16" s="1"/>
  <c r="BJ933" i="16"/>
  <c r="BK933" i="16" s="1"/>
  <c r="BJ558" i="16"/>
  <c r="BK558" i="16" s="1"/>
  <c r="BJ743" i="16"/>
  <c r="BK743" i="16" s="1"/>
  <c r="BJ898" i="16"/>
  <c r="BK898" i="16" s="1"/>
  <c r="BJ566" i="16"/>
  <c r="BK566" i="16" s="1"/>
  <c r="BJ1005" i="16"/>
  <c r="BK1005" i="16" s="1"/>
  <c r="BJ858" i="16"/>
  <c r="BK858" i="16" s="1"/>
  <c r="BJ37" i="16"/>
  <c r="BK37" i="16" s="1"/>
  <c r="BJ540" i="16"/>
  <c r="BK540" i="16" s="1"/>
  <c r="BJ406" i="16"/>
  <c r="BK406" i="16" s="1"/>
  <c r="BJ109" i="16"/>
  <c r="BK109" i="16" s="1"/>
  <c r="BJ131" i="16"/>
  <c r="BK131" i="16" s="1"/>
  <c r="BJ793" i="16"/>
  <c r="BK793" i="16" s="1"/>
  <c r="BJ76" i="16"/>
  <c r="BK76" i="16" s="1"/>
  <c r="BJ495" i="16"/>
  <c r="BK495" i="16" s="1"/>
  <c r="BJ125" i="16"/>
  <c r="BK125" i="16" s="1"/>
  <c r="BJ233" i="16"/>
  <c r="BK233" i="16" s="1"/>
  <c r="BJ1031" i="16"/>
  <c r="BK1031" i="16" s="1"/>
  <c r="BJ319" i="16"/>
  <c r="BK319" i="16" s="1"/>
  <c r="BJ292" i="16"/>
  <c r="BK292" i="16" s="1"/>
  <c r="BJ269" i="16"/>
  <c r="BK269" i="16" s="1"/>
  <c r="BJ190" i="16"/>
  <c r="BK190" i="16" s="1"/>
  <c r="BJ552" i="16"/>
  <c r="BK552" i="16" s="1"/>
  <c r="BJ499" i="16"/>
  <c r="BK499" i="16" s="1"/>
  <c r="BJ400" i="16"/>
  <c r="BK400" i="16" s="1"/>
  <c r="BJ544" i="16"/>
  <c r="BK544" i="16" s="1"/>
  <c r="BJ201" i="16"/>
  <c r="BK201" i="16" s="1"/>
  <c r="BJ978" i="16"/>
  <c r="BK978" i="16" s="1"/>
  <c r="BJ1001" i="16"/>
  <c r="BK1001" i="16" s="1"/>
  <c r="BJ596" i="16"/>
  <c r="BK596" i="16" s="1"/>
  <c r="BJ1046" i="16"/>
  <c r="BK1046" i="16" s="1"/>
  <c r="BJ920" i="16"/>
  <c r="BK920" i="16" s="1"/>
  <c r="BJ571" i="16"/>
  <c r="BK571" i="16" s="1"/>
  <c r="BJ848" i="16"/>
  <c r="BK848" i="16" s="1"/>
  <c r="BJ1003" i="16"/>
  <c r="BK1003" i="16" s="1"/>
  <c r="BJ696" i="16"/>
  <c r="BK696" i="16" s="1"/>
  <c r="BJ42" i="16"/>
  <c r="BK42" i="16" s="1"/>
  <c r="BJ305" i="16"/>
  <c r="BK305" i="16" s="1"/>
  <c r="BJ170" i="16"/>
  <c r="BK170" i="16" s="1"/>
  <c r="BJ458" i="16"/>
  <c r="BK458" i="16" s="1"/>
  <c r="BJ85" i="16"/>
  <c r="BK85" i="16" s="1"/>
  <c r="BJ100" i="16"/>
  <c r="BK100" i="16" s="1"/>
  <c r="BJ117" i="16"/>
  <c r="BK117" i="16" s="1"/>
  <c r="BJ372" i="16"/>
  <c r="BK372" i="16" s="1"/>
  <c r="BJ542" i="16"/>
  <c r="BK542" i="16" s="1"/>
  <c r="BJ648" i="16"/>
  <c r="BK648" i="16" s="1"/>
  <c r="BJ492" i="16"/>
  <c r="BK492" i="16" s="1"/>
  <c r="BJ18" i="16"/>
  <c r="BK18" i="16" s="1"/>
  <c r="BJ128" i="16"/>
  <c r="BK128" i="16" s="1"/>
  <c r="BJ141" i="16"/>
  <c r="BK141" i="16" s="1"/>
  <c r="BJ701" i="16"/>
  <c r="BK701" i="16" s="1"/>
  <c r="BJ563" i="16"/>
  <c r="BK563" i="16" s="1"/>
  <c r="BJ401" i="16"/>
  <c r="BK401" i="16" s="1"/>
  <c r="BJ336" i="16"/>
  <c r="BK336" i="16" s="1"/>
  <c r="BJ496" i="16"/>
  <c r="BK496" i="16" s="1"/>
  <c r="BJ266" i="16"/>
  <c r="BK266" i="16" s="1"/>
  <c r="BJ153" i="16"/>
  <c r="BK153" i="16" s="1"/>
  <c r="BJ789" i="16"/>
  <c r="BK789" i="16" s="1"/>
  <c r="BJ734" i="16"/>
  <c r="BK734" i="16" s="1"/>
  <c r="BJ1047" i="16"/>
  <c r="BK1047" i="16" s="1"/>
  <c r="BJ657" i="16"/>
  <c r="BK657" i="16" s="1"/>
  <c r="BJ1079" i="16"/>
  <c r="BK1079" i="16" s="1"/>
  <c r="BJ786" i="16"/>
  <c r="BK786" i="16" s="1"/>
  <c r="BJ72" i="16"/>
  <c r="BK72" i="16" s="1"/>
  <c r="BJ439" i="16"/>
  <c r="BK439" i="16" s="1"/>
  <c r="BJ404" i="16"/>
  <c r="BK404" i="16" s="1"/>
  <c r="BJ181" i="16"/>
  <c r="BK181" i="16" s="1"/>
  <c r="BJ883" i="16"/>
  <c r="BK883" i="16" s="1"/>
  <c r="BJ1052" i="16"/>
  <c r="BK1052" i="16" s="1"/>
  <c r="BJ578" i="16"/>
  <c r="BK578" i="16" s="1"/>
  <c r="BJ956" i="16"/>
  <c r="BK956" i="16" s="1"/>
  <c r="BJ656" i="16"/>
  <c r="BK656" i="16" s="1"/>
  <c r="BJ426" i="16"/>
  <c r="BK426" i="16" s="1"/>
  <c r="BJ331" i="16"/>
  <c r="BK331" i="16" s="1"/>
  <c r="BJ254" i="16"/>
  <c r="BK254" i="16" s="1"/>
  <c r="BJ308" i="16"/>
  <c r="BK308" i="16" s="1"/>
  <c r="BJ470" i="16"/>
  <c r="BK470" i="16" s="1"/>
  <c r="BJ283" i="16"/>
  <c r="BK283" i="16" s="1"/>
  <c r="BJ541" i="16"/>
  <c r="BK541" i="16" s="1"/>
  <c r="BJ427" i="16"/>
  <c r="BK427" i="16" s="1"/>
  <c r="BJ309" i="16"/>
  <c r="BK309" i="16" s="1"/>
  <c r="BJ163" i="16"/>
  <c r="BK163" i="16" s="1"/>
  <c r="BJ198" i="16"/>
  <c r="BK198" i="16" s="1"/>
  <c r="BJ70" i="16"/>
  <c r="BK70" i="16" s="1"/>
  <c r="BJ654" i="16"/>
  <c r="BK654" i="16" s="1"/>
  <c r="BJ982" i="16"/>
  <c r="BK982" i="16" s="1"/>
  <c r="BJ662" i="16"/>
  <c r="BK662" i="16" s="1"/>
  <c r="BJ1006" i="16"/>
  <c r="BK1006" i="16" s="1"/>
  <c r="BJ852" i="16"/>
  <c r="BK852" i="16" s="1"/>
  <c r="BJ751" i="16"/>
  <c r="BK751" i="16" s="1"/>
  <c r="BJ974" i="16"/>
  <c r="BK974" i="16" s="1"/>
  <c r="BJ629" i="16"/>
  <c r="BK629" i="16" s="1"/>
  <c r="BJ61" i="16"/>
  <c r="BK61" i="16" s="1"/>
  <c r="BJ29" i="16"/>
  <c r="BK29" i="16" s="1"/>
  <c r="BJ188" i="16"/>
  <c r="BK188" i="16" s="1"/>
  <c r="BJ245" i="16"/>
  <c r="BK245" i="16" s="1"/>
  <c r="BJ143" i="16"/>
  <c r="BK143" i="16" s="1"/>
  <c r="BJ962" i="16"/>
  <c r="BK962" i="16" s="1"/>
  <c r="BJ55" i="16"/>
  <c r="BK55" i="16" s="1"/>
  <c r="BJ159" i="16"/>
  <c r="BK159" i="16" s="1"/>
  <c r="BJ272" i="16"/>
  <c r="BK272" i="16" s="1"/>
  <c r="BJ451" i="16"/>
  <c r="BK451" i="16" s="1"/>
  <c r="BJ105" i="16"/>
  <c r="BK105" i="16" s="1"/>
  <c r="BJ535" i="16"/>
  <c r="BK535" i="16" s="1"/>
  <c r="BJ485" i="16"/>
  <c r="BK485" i="16" s="1"/>
  <c r="BJ523" i="16"/>
  <c r="BK523" i="16" s="1"/>
  <c r="BJ450" i="16"/>
  <c r="BK450" i="16" s="1"/>
  <c r="BJ986" i="16"/>
  <c r="BK986" i="16" s="1"/>
  <c r="BJ47" i="16"/>
  <c r="BK47" i="16" s="1"/>
  <c r="BJ391" i="16"/>
  <c r="BK391" i="16" s="1"/>
  <c r="BJ223" i="16"/>
  <c r="BK223" i="16" s="1"/>
  <c r="BJ429" i="16"/>
  <c r="BK429" i="16" s="1"/>
  <c r="BJ73" i="16"/>
  <c r="BK73" i="16" s="1"/>
  <c r="BJ860" i="16"/>
  <c r="BK860" i="16" s="1"/>
  <c r="BJ855" i="16"/>
  <c r="BK855" i="16" s="1"/>
  <c r="BJ1066" i="16"/>
  <c r="BK1066" i="16" s="1"/>
  <c r="BJ747" i="16"/>
  <c r="BK747" i="16" s="1"/>
  <c r="BJ646" i="16"/>
  <c r="BK646" i="16" s="1"/>
  <c r="BJ601" i="16"/>
  <c r="BK601" i="16" s="1"/>
  <c r="BJ930" i="16"/>
  <c r="BK930" i="16" s="1"/>
  <c r="BJ716" i="16"/>
  <c r="BK716" i="16" s="1"/>
  <c r="BJ953" i="16"/>
  <c r="BK953" i="16" s="1"/>
  <c r="BJ34" i="16"/>
  <c r="BK34" i="16" s="1"/>
  <c r="BJ481" i="16"/>
  <c r="BK481" i="16" s="1"/>
  <c r="BJ467" i="16"/>
  <c r="BK467" i="16" s="1"/>
  <c r="BJ395" i="16"/>
  <c r="BK395" i="16" s="1"/>
  <c r="BJ454" i="16"/>
  <c r="BK454" i="16" s="1"/>
  <c r="BJ280" i="16"/>
  <c r="BK280" i="16" s="1"/>
  <c r="BJ17" i="16"/>
  <c r="BK17" i="16" s="1"/>
  <c r="BJ1078" i="16"/>
  <c r="BK1078" i="16" s="1"/>
  <c r="BJ847" i="16"/>
  <c r="BK847" i="16" s="1"/>
  <c r="BJ333" i="16"/>
  <c r="BK333" i="16" s="1"/>
  <c r="BJ48" i="16"/>
  <c r="BK48" i="16" s="1"/>
  <c r="BJ279" i="16"/>
  <c r="BK279" i="16" s="1"/>
  <c r="BJ497" i="16"/>
  <c r="BK497" i="16" s="1"/>
  <c r="BJ784" i="16"/>
  <c r="BK784" i="16" s="1"/>
  <c r="BJ35" i="16"/>
  <c r="BK35" i="16" s="1"/>
  <c r="BJ460" i="16"/>
  <c r="BK460" i="16" s="1"/>
  <c r="BJ144" i="16"/>
  <c r="BK144" i="16" s="1"/>
  <c r="BJ440" i="16"/>
  <c r="BK440" i="16" s="1"/>
  <c r="BJ186" i="16"/>
  <c r="BK186" i="16" s="1"/>
  <c r="BJ89" i="16"/>
  <c r="BK89" i="16" s="1"/>
  <c r="BJ1004" i="16"/>
  <c r="BK1004" i="16" s="1"/>
  <c r="BJ559" i="16"/>
  <c r="BK559" i="16" s="1"/>
  <c r="BJ630" i="16"/>
  <c r="BK630" i="16" s="1"/>
  <c r="BJ794" i="16"/>
  <c r="BK794" i="16" s="1"/>
  <c r="BJ902" i="16"/>
  <c r="BK902" i="16" s="1"/>
  <c r="BJ992" i="16"/>
  <c r="BK992" i="16" s="1"/>
  <c r="BJ410" i="16"/>
  <c r="BK410" i="16" s="1"/>
  <c r="BJ1055" i="16"/>
  <c r="BK1055" i="16" s="1"/>
  <c r="BJ425" i="16"/>
  <c r="BK425" i="16" s="1"/>
  <c r="BJ378" i="16"/>
  <c r="BK378" i="16" s="1"/>
  <c r="BJ815" i="16"/>
  <c r="BK815" i="16" s="1"/>
  <c r="BJ729" i="16"/>
  <c r="BK729" i="16" s="1"/>
  <c r="BJ681" i="16"/>
  <c r="BK681" i="16" s="1"/>
  <c r="BJ617" i="16"/>
  <c r="BK617" i="16" s="1"/>
  <c r="BJ46" i="16"/>
  <c r="BK46" i="16" s="1"/>
  <c r="BJ273" i="16"/>
  <c r="BK273" i="16" s="1"/>
  <c r="BJ369" i="16"/>
  <c r="BK369" i="16" s="1"/>
  <c r="BJ132" i="16"/>
  <c r="BK132" i="16" s="1"/>
  <c r="BJ221" i="16"/>
  <c r="BK221" i="16" s="1"/>
  <c r="BJ423" i="16"/>
  <c r="BK423" i="16" s="1"/>
  <c r="BJ237" i="16"/>
  <c r="BK237" i="16" s="1"/>
  <c r="BJ509" i="16"/>
  <c r="BK509" i="16" s="1"/>
  <c r="BJ405" i="16"/>
  <c r="BK405" i="16" s="1"/>
  <c r="BJ277" i="16"/>
  <c r="BK277" i="16" s="1"/>
  <c r="BJ120" i="16"/>
  <c r="BK120" i="16" s="1"/>
  <c r="BJ166" i="16"/>
  <c r="BK166" i="16" s="1"/>
  <c r="BJ6" i="16"/>
  <c r="BK6" i="16" s="1"/>
  <c r="BJ817" i="16"/>
  <c r="BK817" i="16" s="1"/>
  <c r="BJ1051" i="16"/>
  <c r="BK1051" i="16" s="1"/>
  <c r="BJ1023" i="16"/>
  <c r="BK1023" i="16" s="1"/>
  <c r="BJ557" i="16"/>
  <c r="BK557" i="16" s="1"/>
  <c r="BJ1008" i="16"/>
  <c r="BK1008" i="16" s="1"/>
  <c r="BJ849" i="16"/>
  <c r="BK849" i="16" s="1"/>
  <c r="BJ1043" i="16"/>
  <c r="BK1043" i="16" s="1"/>
  <c r="BJ576" i="16"/>
  <c r="BK576" i="16" s="1"/>
  <c r="BJ53" i="16"/>
  <c r="BK53" i="16" s="1"/>
  <c r="BJ501" i="16"/>
  <c r="BK501" i="16" s="1"/>
  <c r="BJ88" i="16"/>
  <c r="BK88" i="16" s="1"/>
  <c r="BJ41" i="16"/>
  <c r="BK41" i="16" s="1"/>
  <c r="BJ1084" i="16"/>
  <c r="BK1084" i="16" s="1"/>
  <c r="BJ1028" i="16"/>
  <c r="BK1028" i="16" s="1"/>
  <c r="BJ798" i="16"/>
  <c r="BK798" i="16" s="1"/>
  <c r="BJ946" i="16"/>
  <c r="BK946" i="16" s="1"/>
  <c r="BJ914" i="16"/>
  <c r="BK914" i="16" s="1"/>
  <c r="BJ290" i="16"/>
  <c r="BK290" i="16" s="1"/>
  <c r="BJ447" i="16"/>
  <c r="BK447" i="16" s="1"/>
  <c r="BJ92" i="16"/>
  <c r="BK92" i="16" s="1"/>
  <c r="BJ243" i="16"/>
  <c r="BK243" i="16" s="1"/>
  <c r="BJ757" i="16"/>
  <c r="BK757" i="16" s="1"/>
  <c r="BJ118" i="16"/>
  <c r="BK118" i="16" s="1"/>
  <c r="BJ1083" i="16"/>
  <c r="BK1083" i="16" s="1"/>
  <c r="BJ869" i="16"/>
  <c r="BK869" i="16" s="1"/>
  <c r="BJ824" i="16"/>
  <c r="BK824" i="16" s="1"/>
  <c r="BJ611" i="16"/>
  <c r="BK611" i="16" s="1"/>
  <c r="BJ960" i="16"/>
  <c r="BK960" i="16" s="1"/>
  <c r="BJ180" i="16"/>
  <c r="BK180" i="16" s="1"/>
  <c r="BJ302" i="16"/>
  <c r="BK302" i="16" s="1"/>
  <c r="BJ173" i="16"/>
  <c r="BK173" i="16" s="1"/>
  <c r="BJ324" i="16"/>
  <c r="BK324" i="16" s="1"/>
  <c r="BJ998" i="16"/>
  <c r="BK998" i="16" s="1"/>
  <c r="BJ357" i="16"/>
  <c r="BK357" i="16" s="1"/>
  <c r="BJ1024" i="16"/>
  <c r="BK1024" i="16" s="1"/>
  <c r="BJ856" i="16"/>
  <c r="BK856" i="16" s="1"/>
  <c r="BJ299" i="16"/>
  <c r="BK299" i="16" s="1"/>
  <c r="BJ760" i="16"/>
  <c r="BK760" i="16" s="1"/>
  <c r="BJ799" i="16"/>
  <c r="BK799" i="16" s="1"/>
  <c r="BJ626" i="16"/>
  <c r="BK626" i="16" s="1"/>
  <c r="BJ113" i="16"/>
  <c r="BK113" i="16" s="1"/>
  <c r="BJ456" i="16"/>
  <c r="BK456" i="16" s="1"/>
  <c r="BJ278" i="16"/>
  <c r="BK278" i="16" s="1"/>
  <c r="BJ224" i="16"/>
  <c r="BK224" i="16" s="1"/>
  <c r="BJ910" i="16"/>
  <c r="BK910" i="16" s="1"/>
  <c r="BJ816" i="16"/>
  <c r="BK816" i="16" s="1"/>
  <c r="BJ347" i="16"/>
  <c r="BK347" i="16" s="1"/>
  <c r="BJ565" i="16"/>
  <c r="BK565" i="16" s="1"/>
  <c r="BJ879" i="16"/>
  <c r="BK879" i="16" s="1"/>
  <c r="BJ635" i="16"/>
  <c r="BK635" i="16" s="1"/>
  <c r="BJ888" i="16"/>
  <c r="BK888" i="16" s="1"/>
  <c r="BJ727" i="16"/>
  <c r="BK727" i="16" s="1"/>
  <c r="BJ754" i="16"/>
  <c r="BK754" i="16" s="1"/>
  <c r="BJ951" i="16"/>
  <c r="BK951" i="16" s="1"/>
  <c r="BJ658" i="16"/>
  <c r="BK658" i="16" s="1"/>
  <c r="BJ554" i="16"/>
  <c r="BK554" i="16" s="1"/>
  <c r="BJ979" i="16"/>
  <c r="BK979" i="16" s="1"/>
  <c r="BJ1033" i="16"/>
  <c r="BK1033" i="16" s="1"/>
  <c r="BJ94" i="16"/>
  <c r="BK94" i="16" s="1"/>
  <c r="BJ615" i="16"/>
  <c r="BK615" i="16" s="1"/>
  <c r="BJ741" i="16"/>
  <c r="BK741" i="16" s="1"/>
  <c r="BJ620" i="16"/>
  <c r="BK620" i="16" s="1"/>
  <c r="BJ655" i="16"/>
  <c r="BK655" i="16" s="1"/>
  <c r="BJ944" i="16"/>
  <c r="BK944" i="16" s="1"/>
  <c r="BJ549" i="16"/>
  <c r="BK549" i="16" s="1"/>
  <c r="BJ214" i="16"/>
  <c r="BK214" i="16" s="1"/>
  <c r="BJ83" i="16"/>
  <c r="BK83" i="16" s="1"/>
  <c r="BJ703" i="16"/>
  <c r="BK703" i="16" s="1"/>
  <c r="BJ684" i="16"/>
  <c r="BK684" i="16" s="1"/>
  <c r="BJ720" i="16"/>
  <c r="BK720" i="16" s="1"/>
  <c r="BJ5" i="16"/>
  <c r="BK5" i="16" s="1"/>
  <c r="BJ678" i="16"/>
  <c r="BK678" i="16" s="1"/>
  <c r="BJ634" i="16"/>
  <c r="BK634" i="16" s="1"/>
  <c r="BJ9" i="16"/>
  <c r="BK9" i="16" s="1"/>
  <c r="BJ39" i="16"/>
  <c r="BK39" i="16" s="1"/>
  <c r="BJ911" i="16"/>
  <c r="BK911" i="16" s="1"/>
  <c r="BJ806" i="16"/>
  <c r="BK806" i="16" s="1"/>
  <c r="BJ612" i="16"/>
  <c r="BK612" i="16" s="1"/>
  <c r="BJ65" i="16"/>
  <c r="BK65" i="16" s="1"/>
  <c r="BJ193" i="16"/>
  <c r="BK193" i="16" s="1"/>
  <c r="BJ154" i="16"/>
  <c r="BK154" i="16" s="1"/>
  <c r="BJ306" i="16"/>
  <c r="BK306" i="16" s="1"/>
  <c r="BJ424" i="16"/>
  <c r="BK424" i="16" s="1"/>
  <c r="BJ536" i="16"/>
  <c r="BK536" i="16" s="1"/>
  <c r="BJ281" i="16"/>
  <c r="BK281" i="16" s="1"/>
  <c r="BJ468" i="16"/>
  <c r="BK468" i="16" s="1"/>
  <c r="BJ219" i="16"/>
  <c r="BK219" i="16" s="1"/>
  <c r="BJ385" i="16"/>
  <c r="BK385" i="16" s="1"/>
  <c r="BJ130" i="16"/>
  <c r="BK130" i="16" s="1"/>
  <c r="BJ208" i="16"/>
  <c r="BK208" i="16" s="1"/>
  <c r="BJ228" i="16"/>
  <c r="BK228" i="16" s="1"/>
  <c r="BJ475" i="16"/>
  <c r="BK475" i="16" s="1"/>
  <c r="BJ260" i="16"/>
  <c r="BK260" i="16" s="1"/>
  <c r="BJ414" i="16"/>
  <c r="BK414" i="16" s="1"/>
  <c r="BJ603" i="16"/>
  <c r="BK603" i="16" s="1"/>
  <c r="BJ936" i="16"/>
  <c r="BK936" i="16" s="1"/>
  <c r="BJ699" i="16"/>
  <c r="BK699" i="16" s="1"/>
  <c r="BJ935" i="16"/>
  <c r="BK935" i="16" s="1"/>
  <c r="BJ619" i="16"/>
  <c r="BK619" i="16" s="1"/>
  <c r="BJ1070" i="16"/>
  <c r="BK1070" i="16" s="1"/>
  <c r="BJ545" i="16"/>
  <c r="BK545" i="16" s="1"/>
  <c r="BJ416" i="16"/>
  <c r="BK416" i="16" s="1"/>
  <c r="BJ203" i="16"/>
  <c r="BK203" i="16" s="1"/>
  <c r="BJ1063" i="16"/>
  <c r="BK1063" i="16" s="1"/>
  <c r="BJ803" i="16"/>
  <c r="BK803" i="16" s="1"/>
  <c r="BJ110" i="16"/>
  <c r="BK110" i="16" s="1"/>
  <c r="BJ830" i="16"/>
  <c r="BK830" i="16" s="1"/>
  <c r="BJ622" i="16"/>
  <c r="BK622" i="16" s="1"/>
  <c r="BJ861" i="16"/>
  <c r="BK861" i="16" s="1"/>
  <c r="BJ353" i="16"/>
  <c r="BK353" i="16" s="1"/>
  <c r="BJ1040" i="16"/>
  <c r="BK1040" i="16" s="1"/>
  <c r="BJ573" i="16"/>
  <c r="BK573" i="16" s="1"/>
  <c r="BJ868" i="16"/>
  <c r="BK868" i="16" s="1"/>
  <c r="BJ605" i="16"/>
  <c r="BK605" i="16" s="1"/>
  <c r="BJ865" i="16"/>
  <c r="BK865" i="16" s="1"/>
  <c r="BJ851" i="16"/>
  <c r="BK851" i="16" s="1"/>
  <c r="BJ828" i="16"/>
  <c r="BK828" i="16" s="1"/>
  <c r="BJ996" i="16"/>
  <c r="BK996" i="16" s="1"/>
  <c r="BJ841" i="16"/>
  <c r="BK841" i="16" s="1"/>
  <c r="BJ782" i="16"/>
  <c r="BK782" i="16" s="1"/>
  <c r="BJ788" i="16"/>
  <c r="BK788" i="16" s="1"/>
  <c r="BJ892" i="16"/>
  <c r="BK892" i="16" s="1"/>
  <c r="BJ880" i="16"/>
  <c r="BK880" i="16" s="1"/>
  <c r="BJ567" i="16"/>
  <c r="BK567" i="16" s="1"/>
  <c r="BJ1045" i="16"/>
  <c r="BK1045" i="16" s="1"/>
  <c r="BJ261" i="16"/>
  <c r="BK261" i="16" s="1"/>
  <c r="BJ396" i="16"/>
  <c r="BK396" i="16" s="1"/>
  <c r="BJ586" i="16"/>
  <c r="BK586" i="16" s="1"/>
  <c r="BJ709" i="16"/>
  <c r="BK709" i="16" s="1"/>
  <c r="BJ809" i="16"/>
  <c r="BK809" i="16" s="1"/>
  <c r="BJ781" i="16"/>
  <c r="BK781" i="16" s="1"/>
  <c r="BJ964" i="16"/>
  <c r="BK964" i="16" s="1"/>
  <c r="BJ639" i="16"/>
  <c r="BK639" i="16" s="1"/>
  <c r="BJ96" i="16"/>
  <c r="BK96" i="16" s="1"/>
  <c r="BJ78" i="16"/>
  <c r="BK78" i="16" s="1"/>
  <c r="BJ52" i="16"/>
  <c r="BK52" i="16" s="1"/>
  <c r="BJ288" i="16"/>
  <c r="BK288" i="16" s="1"/>
  <c r="BJ114" i="16"/>
  <c r="BK114" i="16" s="1"/>
  <c r="BJ242" i="16"/>
  <c r="BK242" i="16" s="1"/>
  <c r="BJ508" i="16"/>
  <c r="BK508" i="16" s="1"/>
  <c r="BJ382" i="16"/>
  <c r="BK382" i="16" s="1"/>
  <c r="BJ220" i="16"/>
  <c r="BK220" i="16" s="1"/>
  <c r="BJ26" i="16"/>
  <c r="BK26" i="16" s="1"/>
  <c r="BJ859" i="16"/>
  <c r="BK859" i="16" s="1"/>
  <c r="BJ825" i="16"/>
  <c r="BK825" i="16" s="1"/>
  <c r="BJ1015" i="16"/>
  <c r="BK1015" i="16" s="1"/>
  <c r="BJ900" i="16"/>
  <c r="BK900" i="16" s="1"/>
  <c r="BJ818" i="16"/>
  <c r="BK818" i="16" s="1"/>
  <c r="BJ483" i="16"/>
  <c r="BK483" i="16" s="1"/>
  <c r="BJ449" i="16"/>
  <c r="BK449" i="16" s="1"/>
  <c r="BJ355" i="16"/>
  <c r="BK355" i="16" s="1"/>
  <c r="BJ62" i="16"/>
  <c r="BK62" i="16" s="1"/>
  <c r="BJ556" i="16"/>
  <c r="BK556" i="16" s="1"/>
  <c r="BJ63" i="16"/>
  <c r="BK63" i="16" s="1"/>
  <c r="BJ23" i="16"/>
  <c r="BK23" i="16" s="1"/>
  <c r="BJ108" i="16"/>
  <c r="BK108" i="16" s="1"/>
  <c r="BJ417" i="16"/>
  <c r="BK417" i="16" s="1"/>
  <c r="BJ700" i="16"/>
  <c r="BK700" i="16" s="1"/>
  <c r="BJ752" i="16"/>
  <c r="BK752" i="16" s="1"/>
  <c r="BJ71" i="16"/>
  <c r="BK71" i="16" s="1"/>
  <c r="BJ176" i="16"/>
  <c r="BK176" i="16" s="1"/>
  <c r="BJ422" i="16"/>
  <c r="BK422" i="16" s="1"/>
  <c r="BJ1044" i="16"/>
  <c r="BK1044" i="16" s="1"/>
  <c r="BJ538" i="16"/>
  <c r="BK538" i="16" s="1"/>
  <c r="BJ947" i="16"/>
  <c r="BK947" i="16" s="1"/>
  <c r="BJ666" i="16"/>
  <c r="BK666" i="16" s="1"/>
  <c r="BJ398" i="16"/>
  <c r="BK398" i="16" s="1"/>
  <c r="BJ127" i="16"/>
  <c r="BK127" i="16" s="1"/>
  <c r="BJ1075" i="16"/>
  <c r="BK1075" i="16" s="1"/>
  <c r="BJ945" i="16"/>
  <c r="BK945" i="16" s="1"/>
  <c r="BJ10" i="16"/>
  <c r="BK10" i="16" s="1"/>
  <c r="BJ692" i="16"/>
  <c r="BK692" i="16" s="1"/>
  <c r="BJ444" i="16"/>
  <c r="BK444" i="16" s="1"/>
  <c r="BJ1086" i="16"/>
  <c r="BK1086" i="16" s="1"/>
  <c r="BJ952" i="16"/>
  <c r="BK952" i="16" s="1"/>
  <c r="BJ614" i="16"/>
  <c r="BK614" i="16" s="1"/>
  <c r="BJ679" i="16"/>
  <c r="BK679" i="16" s="1"/>
  <c r="BJ804" i="16"/>
  <c r="BK804" i="16" s="1"/>
  <c r="BJ14" i="16"/>
  <c r="BK14" i="16" s="1"/>
  <c r="BJ413" i="16"/>
  <c r="BK413" i="16" s="1"/>
  <c r="BJ179" i="16"/>
  <c r="BK179" i="16" s="1"/>
  <c r="BJ19" i="16"/>
  <c r="BK19" i="16" s="1"/>
  <c r="BJ873" i="16"/>
  <c r="BK873" i="16" s="1"/>
  <c r="BJ1020" i="16"/>
  <c r="BK1020" i="16" s="1"/>
  <c r="BJ461" i="16"/>
  <c r="BK461" i="16" s="1"/>
  <c r="BJ831" i="16"/>
  <c r="BK831" i="16" s="1"/>
  <c r="BJ431" i="16"/>
  <c r="BK431" i="16" s="1"/>
  <c r="BJ779" i="16"/>
  <c r="BK779" i="16" s="1"/>
  <c r="BJ738" i="16"/>
  <c r="BK738" i="16" s="1"/>
  <c r="BJ915" i="16"/>
  <c r="BK915" i="16" s="1"/>
  <c r="BJ322" i="16"/>
  <c r="BK322" i="16" s="1"/>
  <c r="BJ489" i="16"/>
  <c r="BK489" i="16" s="1"/>
  <c r="BJ316" i="16"/>
  <c r="BK316" i="16" s="1"/>
  <c r="BJ505" i="16"/>
  <c r="BK505" i="16" s="1"/>
  <c r="BJ762" i="16"/>
  <c r="BK762" i="16" s="1"/>
  <c r="BJ79" i="16"/>
  <c r="BK79" i="16" s="1"/>
  <c r="BJ1038" i="16"/>
  <c r="BK1038" i="16" s="1"/>
  <c r="BJ632" i="16"/>
  <c r="BK632" i="16" s="1"/>
  <c r="BJ1017" i="16"/>
  <c r="BK1017" i="16" s="1"/>
  <c r="BJ926" i="16"/>
  <c r="BK926" i="16" s="1"/>
  <c r="BJ932" i="16"/>
  <c r="BK932" i="16" s="1"/>
  <c r="BJ832" i="16"/>
  <c r="BK832" i="16" s="1"/>
  <c r="BJ241" i="16"/>
  <c r="BK241" i="16" s="1"/>
  <c r="BJ136" i="16"/>
  <c r="BK136" i="16" s="1"/>
  <c r="BJ506" i="16"/>
  <c r="BK506" i="16" s="1"/>
  <c r="BJ178" i="16"/>
  <c r="BK178" i="16" s="1"/>
  <c r="BJ1068" i="16"/>
  <c r="BK1068" i="16" s="1"/>
  <c r="BJ941" i="16"/>
  <c r="BK941" i="16" s="1"/>
  <c r="BJ653" i="16"/>
  <c r="BK653" i="16" s="1"/>
  <c r="BJ1002" i="16"/>
  <c r="BK1002" i="16" s="1"/>
  <c r="BJ21" i="16"/>
  <c r="BK21" i="16" s="1"/>
  <c r="BJ712" i="16"/>
  <c r="BK712" i="16" s="1"/>
  <c r="BJ843" i="16"/>
  <c r="BK843" i="16" s="1"/>
  <c r="BJ909" i="16"/>
  <c r="BK909" i="16" s="1"/>
  <c r="BJ599" i="16"/>
  <c r="BK599" i="16" s="1"/>
  <c r="BJ823" i="16"/>
  <c r="BK823" i="16" s="1"/>
  <c r="BJ708" i="16"/>
  <c r="BK708" i="16" s="1"/>
  <c r="BJ725" i="16"/>
  <c r="BK725" i="16" s="1"/>
  <c r="BJ870" i="16"/>
  <c r="BK870" i="16" s="1"/>
  <c r="BJ569" i="16"/>
  <c r="BK569" i="16" s="1"/>
  <c r="BJ562" i="16"/>
  <c r="BK562" i="16" s="1"/>
  <c r="BJ921" i="16"/>
  <c r="BK921" i="16" s="1"/>
  <c r="BJ670" i="16"/>
  <c r="BK670" i="16" s="1"/>
  <c r="BJ691" i="16"/>
  <c r="BK691" i="16" s="1"/>
  <c r="BJ1077" i="16"/>
  <c r="BK1077" i="16" s="1"/>
  <c r="BJ899" i="16"/>
  <c r="BK899" i="16" s="1"/>
  <c r="BJ1009" i="16"/>
  <c r="BK1009" i="16" s="1"/>
  <c r="BJ184" i="16"/>
  <c r="BK184" i="16" s="1"/>
  <c r="BJ311" i="16"/>
  <c r="BK311" i="16" s="1"/>
  <c r="BJ776" i="16"/>
  <c r="BK776" i="16" s="1"/>
  <c r="BJ756" i="16"/>
  <c r="BK756" i="16" s="1"/>
  <c r="BJ976" i="16"/>
  <c r="BK976" i="16" s="1"/>
  <c r="BJ222" i="16"/>
  <c r="BK222" i="16" s="1"/>
  <c r="BJ1061" i="16"/>
  <c r="BK1061" i="16" s="1"/>
  <c r="BJ836" i="16"/>
  <c r="BK836" i="16" s="1"/>
  <c r="BJ408" i="16"/>
  <c r="BK408" i="16" s="1"/>
  <c r="BJ773" i="16"/>
  <c r="BK773" i="16" s="1"/>
  <c r="BJ768" i="16"/>
  <c r="BK768" i="16" s="1"/>
  <c r="BJ584" i="16"/>
  <c r="BK584" i="16" s="1"/>
  <c r="BJ731" i="16"/>
  <c r="BK731" i="16" s="1"/>
  <c r="BJ97" i="16"/>
  <c r="BK97" i="16" s="1"/>
  <c r="BJ225" i="16"/>
  <c r="BK225" i="16" s="1"/>
  <c r="BJ197" i="16"/>
  <c r="BK197" i="16" s="1"/>
  <c r="BJ338" i="16"/>
  <c r="BK338" i="16" s="1"/>
  <c r="BJ445" i="16"/>
  <c r="BK445" i="16" s="1"/>
  <c r="BJ111" i="16"/>
  <c r="BK111" i="16" s="1"/>
  <c r="BJ328" i="16"/>
  <c r="BK328" i="16" s="1"/>
  <c r="BJ515" i="16"/>
  <c r="BK515" i="16" s="1"/>
  <c r="BJ257" i="16"/>
  <c r="BK257" i="16" s="1"/>
  <c r="BJ478" i="16"/>
  <c r="BK478" i="16" s="1"/>
  <c r="BJ191" i="16"/>
  <c r="BK191" i="16" s="1"/>
  <c r="BJ344" i="16"/>
  <c r="BK344" i="16" s="1"/>
  <c r="BJ80" i="16"/>
  <c r="BK80" i="16" s="1"/>
  <c r="BJ537" i="16"/>
  <c r="BK537" i="16" s="1"/>
  <c r="BJ350" i="16"/>
  <c r="BK350" i="16" s="1"/>
  <c r="BJ25" i="16"/>
  <c r="BK25" i="16" s="1"/>
  <c r="BJ627" i="16"/>
  <c r="BK627" i="16" s="1"/>
  <c r="BJ891" i="16"/>
  <c r="BK891" i="16" s="1"/>
  <c r="BJ624" i="16"/>
  <c r="BK624" i="16" s="1"/>
  <c r="BJ890" i="16"/>
  <c r="BK890" i="16" s="1"/>
  <c r="BJ837" i="16"/>
  <c r="BK837" i="16" s="1"/>
  <c r="BJ790" i="16"/>
  <c r="BK790" i="16" s="1"/>
  <c r="BJ182" i="16"/>
  <c r="BK182" i="16" s="1"/>
  <c r="BJ525" i="16"/>
  <c r="BK525" i="16" s="1"/>
  <c r="BJ664" i="16"/>
  <c r="BK664" i="16" s="1"/>
  <c r="BJ1074" i="16"/>
  <c r="BK1074" i="16" s="1"/>
  <c r="BJ758" i="16"/>
  <c r="BK758" i="16" s="1"/>
  <c r="BJ67" i="16"/>
  <c r="BK67" i="16" s="1"/>
  <c r="BJ644" i="16"/>
  <c r="BK644" i="16" s="1"/>
  <c r="BJ772" i="16"/>
  <c r="BK772" i="16" s="1"/>
  <c r="BJ618" i="16"/>
  <c r="BK618" i="16" s="1"/>
  <c r="BJ433" i="16"/>
  <c r="BK433" i="16" s="1"/>
  <c r="BJ971" i="16"/>
  <c r="BK971" i="16" s="1"/>
  <c r="BJ1016" i="16"/>
  <c r="BK1016" i="16" s="1"/>
  <c r="BJ759" i="16"/>
  <c r="BK759" i="16" s="1"/>
  <c r="BJ1025" i="16"/>
  <c r="BK1025" i="16" s="1"/>
  <c r="BJ765" i="16"/>
  <c r="BK765" i="16" s="1"/>
  <c r="BJ997" i="16"/>
  <c r="BK997" i="16" s="1"/>
  <c r="BJ975" i="16"/>
  <c r="BK975" i="16" s="1"/>
  <c r="BJ49" i="16"/>
  <c r="BK49" i="16" s="1"/>
  <c r="BJ689" i="16"/>
  <c r="BK689" i="16" s="1"/>
  <c r="BJ591" i="16"/>
  <c r="BK591" i="16" s="1"/>
  <c r="BJ826" i="16"/>
  <c r="BK826" i="16" s="1"/>
  <c r="BJ834" i="16"/>
  <c r="BK834" i="16" s="1"/>
  <c r="BJ963" i="16"/>
  <c r="BK963" i="16" s="1"/>
  <c r="BJ589" i="16"/>
  <c r="BK589" i="16" s="1"/>
  <c r="BJ12" i="16"/>
  <c r="BK12" i="16" s="1"/>
  <c r="BJ389" i="16"/>
  <c r="BK389" i="16" s="1"/>
  <c r="BJ140" i="16"/>
  <c r="BK140" i="16" s="1"/>
  <c r="BJ1036" i="16"/>
  <c r="BK1036" i="16" s="1"/>
  <c r="BJ686" i="16"/>
  <c r="BK686" i="16" s="1"/>
  <c r="BJ581" i="16"/>
  <c r="BK581" i="16" s="1"/>
  <c r="BJ688" i="16"/>
  <c r="BK688" i="16" s="1"/>
  <c r="BJ919" i="16"/>
  <c r="BK919" i="16" s="1"/>
  <c r="BJ122" i="16"/>
  <c r="BK122" i="16" s="1"/>
  <c r="BJ977" i="16"/>
  <c r="BK977" i="16" s="1"/>
  <c r="BJ411" i="16"/>
  <c r="BK411" i="16" s="1"/>
  <c r="BJ482" i="16"/>
  <c r="BK482" i="16" s="1"/>
  <c r="BJ56" i="16"/>
  <c r="BK56" i="16" s="1"/>
  <c r="BJ442" i="16"/>
  <c r="BK442" i="16" s="1"/>
  <c r="BJ287" i="16"/>
  <c r="BK287" i="16" s="1"/>
  <c r="BJ175" i="16"/>
  <c r="BK175" i="16" s="1"/>
  <c r="BJ490" i="16"/>
  <c r="BK490" i="16" s="1"/>
  <c r="BJ329" i="16"/>
  <c r="BK329" i="16" s="1"/>
  <c r="BJ50" i="16"/>
  <c r="BK50" i="16" s="1"/>
  <c r="BJ948" i="16"/>
  <c r="BK948" i="16" s="1"/>
  <c r="BJ1000" i="16"/>
  <c r="BK1000" i="16" s="1"/>
  <c r="BJ548" i="16"/>
  <c r="BK548" i="16" s="1"/>
  <c r="BJ597" i="16"/>
  <c r="BK597" i="16" s="1"/>
  <c r="BJ165" i="16"/>
  <c r="BK165" i="16" s="1"/>
  <c r="BJ147" i="16"/>
  <c r="BK147" i="16" s="1"/>
  <c r="BJ840" i="16"/>
  <c r="BK840" i="16" s="1"/>
  <c r="BJ32" i="16"/>
  <c r="BK32" i="16" s="1"/>
  <c r="BJ359" i="16"/>
  <c r="BK359" i="16" s="1"/>
  <c r="BJ212" i="16"/>
  <c r="BK212" i="16" s="1"/>
  <c r="BJ202" i="16"/>
  <c r="BK202" i="16" s="1"/>
  <c r="BJ876" i="16"/>
  <c r="BK876" i="16" s="1"/>
  <c r="BJ231" i="16"/>
  <c r="BK231" i="16" s="1"/>
  <c r="BJ45" i="16"/>
  <c r="BK45" i="16" s="1"/>
  <c r="BJ652" i="16"/>
  <c r="BK652" i="16" s="1"/>
  <c r="BJ687" i="16"/>
  <c r="BK687" i="16" s="1"/>
  <c r="BJ248" i="16"/>
  <c r="BK248" i="16" s="1"/>
  <c r="BJ375" i="16"/>
  <c r="BK375" i="16" s="1"/>
  <c r="BJ363" i="16"/>
  <c r="BK363" i="16" s="1"/>
  <c r="BJ894" i="16"/>
  <c r="BK894" i="16" s="1"/>
  <c r="BJ595" i="16"/>
  <c r="BK595" i="16" s="1"/>
  <c r="BJ719" i="16"/>
  <c r="BK719" i="16" s="1"/>
  <c r="BJ15" i="16"/>
  <c r="BK15" i="16" s="1"/>
  <c r="BJ284" i="16"/>
  <c r="BK284" i="16" s="1"/>
  <c r="BJ152" i="16"/>
  <c r="BK152" i="16" s="1"/>
  <c r="BJ267" i="16"/>
  <c r="BK267" i="16" s="1"/>
  <c r="BJ1041" i="16"/>
  <c r="BK1041" i="16" s="1"/>
  <c r="BJ138" i="16"/>
  <c r="BK138" i="16" s="1"/>
  <c r="BJ583" i="16"/>
  <c r="BK583" i="16" s="1"/>
  <c r="BJ206" i="16"/>
  <c r="BK206" i="16" s="1"/>
  <c r="BJ390" i="16"/>
  <c r="BK390" i="16" s="1"/>
  <c r="BJ321" i="16"/>
  <c r="BK321" i="16" s="1"/>
  <c r="BJ488" i="16"/>
  <c r="BK488" i="16" s="1"/>
  <c r="BJ145" i="16"/>
  <c r="BK145" i="16" s="1"/>
  <c r="BJ714" i="16"/>
  <c r="BK714" i="16" s="1"/>
  <c r="L348" i="11" l="1"/>
  <c r="E348" i="11"/>
  <c r="T348" i="11"/>
  <c r="T336" i="11"/>
  <c r="E336" i="11"/>
  <c r="L336" i="11"/>
  <c r="E338" i="11"/>
  <c r="L338" i="11"/>
  <c r="T338" i="11"/>
  <c r="L335" i="11"/>
  <c r="E335" i="11"/>
  <c r="T335" i="11"/>
  <c r="T334" i="11"/>
  <c r="E334" i="11"/>
  <c r="L334" i="11"/>
  <c r="T340" i="11"/>
  <c r="L340" i="11"/>
  <c r="E340" i="11"/>
  <c r="L341" i="11"/>
  <c r="E341" i="11"/>
  <c r="T341" i="11"/>
  <c r="T350" i="11"/>
  <c r="L350" i="11"/>
  <c r="E350" i="11"/>
  <c r="T345" i="11"/>
  <c r="L345" i="11"/>
  <c r="E345" i="11"/>
  <c r="T339" i="11"/>
  <c r="E339" i="11"/>
  <c r="L339" i="11"/>
  <c r="T349" i="11"/>
  <c r="E349" i="11"/>
  <c r="L349" i="11"/>
  <c r="T346" i="11"/>
  <c r="L346" i="11"/>
  <c r="E346" i="11"/>
  <c r="E337" i="11"/>
  <c r="L337" i="11"/>
  <c r="T337" i="11"/>
  <c r="T331" i="11"/>
  <c r="E331" i="11"/>
  <c r="BI331" i="11" s="1"/>
  <c r="L331" i="11"/>
  <c r="E347" i="11"/>
  <c r="T347" i="11"/>
  <c r="L347" i="11"/>
  <c r="T343" i="11"/>
  <c r="L343" i="11"/>
  <c r="E343" i="11"/>
  <c r="T344" i="11"/>
  <c r="L344" i="11"/>
  <c r="E344" i="11"/>
  <c r="T342" i="11"/>
  <c r="E342" i="11"/>
  <c r="L342" i="11"/>
  <c r="T332" i="11"/>
  <c r="E332" i="11"/>
  <c r="L332" i="11"/>
  <c r="E333" i="11"/>
  <c r="T333" i="11"/>
  <c r="L333" i="11"/>
  <c r="T352" i="11"/>
  <c r="E352" i="11"/>
  <c r="L352" i="11"/>
  <c r="T351" i="11"/>
  <c r="E351" i="11"/>
  <c r="L351" i="11"/>
  <c r="T192" i="11"/>
  <c r="L192" i="11"/>
  <c r="E192" i="11"/>
  <c r="BI192" i="11" s="1"/>
  <c r="E138" i="11"/>
  <c r="BI138" i="11" s="1"/>
  <c r="L138" i="11"/>
  <c r="T138" i="11"/>
  <c r="E207" i="11"/>
  <c r="BI207" i="11" s="1"/>
  <c r="L207" i="11"/>
  <c r="T207" i="11"/>
  <c r="T321" i="11"/>
  <c r="E321" i="11"/>
  <c r="BI321" i="11" s="1"/>
  <c r="L321" i="11"/>
  <c r="T176" i="11"/>
  <c r="E176" i="11"/>
  <c r="BI176" i="11" s="1"/>
  <c r="L176" i="11"/>
  <c r="E282" i="11"/>
  <c r="BI282" i="11" s="1"/>
  <c r="L282" i="11"/>
  <c r="T282" i="11"/>
  <c r="T319" i="11"/>
  <c r="E319" i="11"/>
  <c r="BI319" i="11" s="1"/>
  <c r="L319" i="11"/>
  <c r="T191" i="11"/>
  <c r="E191" i="11"/>
  <c r="BI191" i="11" s="1"/>
  <c r="L191" i="11"/>
  <c r="E289" i="11"/>
  <c r="BI289" i="11" s="1"/>
  <c r="T289" i="11"/>
  <c r="L289" i="11"/>
  <c r="L112" i="11"/>
  <c r="E112" i="11"/>
  <c r="BI112" i="11" s="1"/>
  <c r="T112" i="11"/>
  <c r="T105" i="11"/>
  <c r="E105" i="11"/>
  <c r="BI105" i="11" s="1"/>
  <c r="L105" i="11"/>
  <c r="L223" i="11"/>
  <c r="E223" i="11"/>
  <c r="BI223" i="11" s="1"/>
  <c r="T223" i="11"/>
  <c r="T123" i="11"/>
  <c r="L123" i="11"/>
  <c r="E123" i="11"/>
  <c r="BI123" i="11" s="1"/>
  <c r="T154" i="11"/>
  <c r="E154" i="11"/>
  <c r="BI154" i="11" s="1"/>
  <c r="L154" i="11"/>
  <c r="L242" i="11"/>
  <c r="T242" i="11"/>
  <c r="E242" i="11"/>
  <c r="BI242" i="11" s="1"/>
  <c r="L113" i="11"/>
  <c r="T113" i="11"/>
  <c r="E113" i="11"/>
  <c r="BI113" i="11" s="1"/>
  <c r="L158" i="11"/>
  <c r="T158" i="11"/>
  <c r="E158" i="11"/>
  <c r="BI158" i="11" s="1"/>
  <c r="E328" i="11"/>
  <c r="BI328" i="11" s="1"/>
  <c r="T328" i="11"/>
  <c r="L328" i="11"/>
  <c r="T252" i="11"/>
  <c r="E252" i="11"/>
  <c r="BI252" i="11" s="1"/>
  <c r="L252" i="11"/>
  <c r="T299" i="11"/>
  <c r="E299" i="11"/>
  <c r="BI299" i="11" s="1"/>
  <c r="L299" i="11"/>
  <c r="E322" i="11"/>
  <c r="BI322" i="11" s="1"/>
  <c r="L322" i="11"/>
  <c r="T322" i="11"/>
  <c r="T197" i="11"/>
  <c r="L197" i="11"/>
  <c r="E197" i="11"/>
  <c r="BI197" i="11" s="1"/>
  <c r="L104" i="11"/>
  <c r="E104" i="11"/>
  <c r="BI104" i="11" s="1"/>
  <c r="T104" i="11"/>
  <c r="E206" i="11"/>
  <c r="BI206" i="11" s="1"/>
  <c r="L206" i="11"/>
  <c r="T206" i="11"/>
  <c r="E226" i="11"/>
  <c r="BI226" i="11" s="1"/>
  <c r="T226" i="11"/>
  <c r="L226" i="11"/>
  <c r="L323" i="11"/>
  <c r="E323" i="11"/>
  <c r="BI323" i="11" s="1"/>
  <c r="T323" i="11"/>
  <c r="L92" i="11"/>
  <c r="E92" i="11"/>
  <c r="BI92" i="11" s="1"/>
  <c r="T92" i="11"/>
  <c r="L275" i="11"/>
  <c r="T275" i="11"/>
  <c r="E275" i="11"/>
  <c r="BI275" i="11" s="1"/>
  <c r="L249" i="11"/>
  <c r="E249" i="11"/>
  <c r="BI249" i="11" s="1"/>
  <c r="T249" i="11"/>
  <c r="L186" i="11"/>
  <c r="T186" i="11"/>
  <c r="E186" i="11"/>
  <c r="BI186" i="11" s="1"/>
  <c r="T293" i="11"/>
  <c r="L293" i="11"/>
  <c r="E293" i="11"/>
  <c r="BI293" i="11" s="1"/>
  <c r="L317" i="11"/>
  <c r="T317" i="11"/>
  <c r="E317" i="11"/>
  <c r="BI317" i="11" s="1"/>
  <c r="T167" i="11"/>
  <c r="E167" i="11"/>
  <c r="BI167" i="11" s="1"/>
  <c r="L167" i="11"/>
  <c r="T151" i="11"/>
  <c r="L151" i="11"/>
  <c r="E151" i="11"/>
  <c r="BI151" i="11" s="1"/>
  <c r="E147" i="11"/>
  <c r="BI147" i="11" s="1"/>
  <c r="L147" i="11"/>
  <c r="T147" i="11"/>
  <c r="E308" i="11"/>
  <c r="BI308" i="11" s="1"/>
  <c r="T308" i="11"/>
  <c r="L308" i="11"/>
  <c r="L148" i="11"/>
  <c r="E148" i="11"/>
  <c r="BI148" i="11" s="1"/>
  <c r="T148" i="11"/>
  <c r="L139" i="11"/>
  <c r="E139" i="11"/>
  <c r="BI139" i="11" s="1"/>
  <c r="T139" i="11"/>
  <c r="L231" i="11"/>
  <c r="E231" i="11"/>
  <c r="BI231" i="11" s="1"/>
  <c r="T231" i="11"/>
  <c r="T162" i="11"/>
  <c r="L162" i="11"/>
  <c r="E162" i="11"/>
  <c r="BI162" i="11" s="1"/>
  <c r="E306" i="11"/>
  <c r="BI306" i="11" s="1"/>
  <c r="L306" i="11"/>
  <c r="T306" i="11"/>
  <c r="T140" i="11"/>
  <c r="E140" i="11"/>
  <c r="BI140" i="11" s="1"/>
  <c r="L140" i="11"/>
  <c r="L94" i="11"/>
  <c r="E94" i="11"/>
  <c r="BI94" i="11" s="1"/>
  <c r="T94" i="11"/>
  <c r="L228" i="11"/>
  <c r="E228" i="11"/>
  <c r="BI228" i="11" s="1"/>
  <c r="T228" i="11"/>
  <c r="T304" i="11"/>
  <c r="E304" i="11"/>
  <c r="BI304" i="11" s="1"/>
  <c r="L304" i="11"/>
  <c r="E254" i="11"/>
  <c r="BI254" i="11" s="1"/>
  <c r="L254" i="11"/>
  <c r="T254" i="11"/>
  <c r="E326" i="11"/>
  <c r="BI326" i="11" s="1"/>
  <c r="L326" i="11"/>
  <c r="T326" i="11"/>
  <c r="T126" i="11"/>
  <c r="E126" i="11"/>
  <c r="BI126" i="11" s="1"/>
  <c r="L126" i="11"/>
  <c r="E257" i="11"/>
  <c r="BI257" i="11" s="1"/>
  <c r="L257" i="11"/>
  <c r="T257" i="11"/>
  <c r="T256" i="11"/>
  <c r="L256" i="11"/>
  <c r="E256" i="11"/>
  <c r="BI256" i="11" s="1"/>
  <c r="L297" i="11"/>
  <c r="E297" i="11"/>
  <c r="BI297" i="11" s="1"/>
  <c r="T297" i="11"/>
  <c r="T265" i="11"/>
  <c r="E265" i="11"/>
  <c r="BI265" i="11" s="1"/>
  <c r="L265" i="11"/>
  <c r="L152" i="11"/>
  <c r="E152" i="11"/>
  <c r="BI152" i="11" s="1"/>
  <c r="T152" i="11"/>
  <c r="E119" i="11"/>
  <c r="BI119" i="11" s="1"/>
  <c r="L119" i="11"/>
  <c r="T119" i="11"/>
  <c r="E181" i="11"/>
  <c r="BI181" i="11" s="1"/>
  <c r="L181" i="11"/>
  <c r="T181" i="11"/>
  <c r="E243" i="11"/>
  <c r="BI243" i="11" s="1"/>
  <c r="T243" i="11"/>
  <c r="L243" i="11"/>
  <c r="L184" i="11"/>
  <c r="T184" i="11"/>
  <c r="E184" i="11"/>
  <c r="BI184" i="11" s="1"/>
  <c r="T271" i="11"/>
  <c r="E271" i="11"/>
  <c r="BI271" i="11" s="1"/>
  <c r="L271" i="11"/>
  <c r="T215" i="11"/>
  <c r="L215" i="11"/>
  <c r="E215" i="11"/>
  <c r="BI215" i="11" s="1"/>
  <c r="T285" i="11"/>
  <c r="L285" i="11"/>
  <c r="E285" i="11"/>
  <c r="BI285" i="11" s="1"/>
  <c r="L221" i="11"/>
  <c r="E221" i="11"/>
  <c r="BI221" i="11" s="1"/>
  <c r="T221" i="11"/>
  <c r="E269" i="11"/>
  <c r="BI269" i="11" s="1"/>
  <c r="L269" i="11"/>
  <c r="T269" i="11"/>
  <c r="E134" i="11"/>
  <c r="BI134" i="11" s="1"/>
  <c r="T134" i="11"/>
  <c r="L134" i="11"/>
  <c r="E220" i="11"/>
  <c r="BI220" i="11" s="1"/>
  <c r="L220" i="11"/>
  <c r="T220" i="11"/>
  <c r="L185" i="11"/>
  <c r="E185" i="11"/>
  <c r="BI185" i="11" s="1"/>
  <c r="T185" i="11"/>
  <c r="L170" i="11"/>
  <c r="E170" i="11"/>
  <c r="BI170" i="11" s="1"/>
  <c r="T170" i="11"/>
  <c r="T264" i="11"/>
  <c r="E264" i="11"/>
  <c r="BI264" i="11" s="1"/>
  <c r="L264" i="11"/>
  <c r="T103" i="11"/>
  <c r="E103" i="11"/>
  <c r="BI103" i="11" s="1"/>
  <c r="L103" i="11"/>
  <c r="T208" i="11"/>
  <c r="L208" i="11"/>
  <c r="E208" i="11"/>
  <c r="BI208" i="11" s="1"/>
  <c r="T95" i="11"/>
  <c r="E95" i="11"/>
  <c r="BI95" i="11" s="1"/>
  <c r="L95" i="11"/>
  <c r="E307" i="11"/>
  <c r="BI307" i="11" s="1"/>
  <c r="L307" i="11"/>
  <c r="T307" i="11"/>
  <c r="E314" i="11"/>
  <c r="BI314" i="11" s="1"/>
  <c r="T314" i="11"/>
  <c r="L314" i="11"/>
  <c r="L180" i="11"/>
  <c r="T180" i="11"/>
  <c r="E180" i="11"/>
  <c r="BI180" i="11" s="1"/>
  <c r="L155" i="11"/>
  <c r="T155" i="11"/>
  <c r="E155" i="11"/>
  <c r="BI155" i="11" s="1"/>
  <c r="L188" i="11"/>
  <c r="E188" i="11"/>
  <c r="BI188" i="11" s="1"/>
  <c r="T188" i="11"/>
  <c r="L100" i="11"/>
  <c r="E100" i="11"/>
  <c r="BI100" i="11" s="1"/>
  <c r="T100" i="11"/>
  <c r="T204" i="11"/>
  <c r="E204" i="11"/>
  <c r="BI204" i="11" s="1"/>
  <c r="L204" i="11"/>
  <c r="E327" i="11"/>
  <c r="BI327" i="11" s="1"/>
  <c r="L327" i="11"/>
  <c r="T327" i="11"/>
  <c r="E190" i="11"/>
  <c r="BI190" i="11" s="1"/>
  <c r="L190" i="11"/>
  <c r="T190" i="11"/>
  <c r="E96" i="11"/>
  <c r="BI96" i="11" s="1"/>
  <c r="T96" i="11"/>
  <c r="L96" i="11"/>
  <c r="E296" i="11"/>
  <c r="BI296" i="11" s="1"/>
  <c r="L296" i="11"/>
  <c r="T296" i="11"/>
  <c r="E245" i="11"/>
  <c r="BI245" i="11" s="1"/>
  <c r="T245" i="11"/>
  <c r="L245" i="11"/>
  <c r="L177" i="11"/>
  <c r="T177" i="11"/>
  <c r="E177" i="11"/>
  <c r="BI177" i="11" s="1"/>
  <c r="E130" i="11"/>
  <c r="BI130" i="11" s="1"/>
  <c r="L130" i="11"/>
  <c r="T130" i="11"/>
  <c r="E266" i="11"/>
  <c r="BI266" i="11" s="1"/>
  <c r="T266" i="11"/>
  <c r="L266" i="11"/>
  <c r="E210" i="11"/>
  <c r="BI210" i="11" s="1"/>
  <c r="T210" i="11"/>
  <c r="L210" i="11"/>
  <c r="E229" i="11"/>
  <c r="BI229" i="11" s="1"/>
  <c r="L229" i="11"/>
  <c r="T229" i="11"/>
  <c r="L316" i="11"/>
  <c r="E316" i="11"/>
  <c r="BI316" i="11" s="1"/>
  <c r="T316" i="11"/>
  <c r="L212" i="11"/>
  <c r="T212" i="11"/>
  <c r="E212" i="11"/>
  <c r="BI212" i="11" s="1"/>
  <c r="L313" i="11"/>
  <c r="T313" i="11"/>
  <c r="E313" i="11"/>
  <c r="BI313" i="11" s="1"/>
  <c r="T169" i="11"/>
  <c r="L169" i="11"/>
  <c r="E169" i="11"/>
  <c r="BI169" i="11" s="1"/>
  <c r="L157" i="11"/>
  <c r="E157" i="11"/>
  <c r="BI157" i="11" s="1"/>
  <c r="T157" i="11"/>
  <c r="L232" i="11"/>
  <c r="T232" i="11"/>
  <c r="E232" i="11"/>
  <c r="BI232" i="11" s="1"/>
  <c r="L324" i="11"/>
  <c r="T324" i="11"/>
  <c r="E324" i="11"/>
  <c r="BI324" i="11" s="1"/>
  <c r="T194" i="11"/>
  <c r="E194" i="11"/>
  <c r="BI194" i="11" s="1"/>
  <c r="L194" i="11"/>
  <c r="L237" i="11"/>
  <c r="E237" i="11"/>
  <c r="BI237" i="11" s="1"/>
  <c r="T237" i="11"/>
  <c r="T137" i="11"/>
  <c r="L137" i="11"/>
  <c r="E137" i="11"/>
  <c r="BI137" i="11" s="1"/>
  <c r="E276" i="11"/>
  <c r="BI276" i="11" s="1"/>
  <c r="T276" i="11"/>
  <c r="L276" i="11"/>
  <c r="T101" i="11"/>
  <c r="L101" i="11"/>
  <c r="E101" i="11"/>
  <c r="BI101" i="11" s="1"/>
  <c r="L213" i="11"/>
  <c r="E213" i="11"/>
  <c r="BI213" i="11" s="1"/>
  <c r="T213" i="11"/>
  <c r="T193" i="11"/>
  <c r="L193" i="11"/>
  <c r="E193" i="11"/>
  <c r="BI193" i="11" s="1"/>
  <c r="T303" i="11"/>
  <c r="E303" i="11"/>
  <c r="BI303" i="11" s="1"/>
  <c r="L303" i="11"/>
  <c r="T199" i="11"/>
  <c r="L199" i="11"/>
  <c r="E199" i="11"/>
  <c r="BI199" i="11" s="1"/>
  <c r="L211" i="11"/>
  <c r="T211" i="11"/>
  <c r="E211" i="11"/>
  <c r="BI211" i="11" s="1"/>
  <c r="L234" i="11"/>
  <c r="E234" i="11"/>
  <c r="BI234" i="11" s="1"/>
  <c r="T234" i="11"/>
  <c r="T98" i="11"/>
  <c r="L98" i="11"/>
  <c r="E98" i="11"/>
  <c r="BI98" i="11" s="1"/>
  <c r="T315" i="11"/>
  <c r="E315" i="11"/>
  <c r="BI315" i="11" s="1"/>
  <c r="L315" i="11"/>
  <c r="L116" i="11"/>
  <c r="T116" i="11"/>
  <c r="E116" i="11"/>
  <c r="BI116" i="11" s="1"/>
  <c r="T320" i="11"/>
  <c r="E320" i="11"/>
  <c r="BI320" i="11" s="1"/>
  <c r="L320" i="11"/>
  <c r="L278" i="11"/>
  <c r="T278" i="11"/>
  <c r="E278" i="11"/>
  <c r="BI278" i="11" s="1"/>
  <c r="T300" i="11"/>
  <c r="L300" i="11"/>
  <c r="E300" i="11"/>
  <c r="BI300" i="11" s="1"/>
  <c r="L286" i="11"/>
  <c r="T286" i="11"/>
  <c r="E286" i="11"/>
  <c r="BI286" i="11" s="1"/>
  <c r="L161" i="11"/>
  <c r="T161" i="11"/>
  <c r="E161" i="11"/>
  <c r="BI161" i="11" s="1"/>
  <c r="L301" i="11"/>
  <c r="E301" i="11"/>
  <c r="BI301" i="11" s="1"/>
  <c r="T301" i="11"/>
  <c r="E263" i="11"/>
  <c r="BI263" i="11" s="1"/>
  <c r="T263" i="11"/>
  <c r="L263" i="11"/>
  <c r="L262" i="11"/>
  <c r="E262" i="11"/>
  <c r="BI262" i="11" s="1"/>
  <c r="T262" i="11"/>
  <c r="L302" i="11"/>
  <c r="E302" i="11"/>
  <c r="BI302" i="11" s="1"/>
  <c r="T302" i="11"/>
  <c r="T133" i="11"/>
  <c r="E133" i="11"/>
  <c r="BI133" i="11" s="1"/>
  <c r="L133" i="11"/>
  <c r="L120" i="11"/>
  <c r="E120" i="11"/>
  <c r="BI120" i="11" s="1"/>
  <c r="T120" i="11"/>
  <c r="L244" i="11"/>
  <c r="T244" i="11"/>
  <c r="E244" i="11"/>
  <c r="BI244" i="11" s="1"/>
  <c r="T219" i="11"/>
  <c r="E219" i="11"/>
  <c r="BI219" i="11" s="1"/>
  <c r="L219" i="11"/>
  <c r="E253" i="11"/>
  <c r="BI253" i="11" s="1"/>
  <c r="T253" i="11"/>
  <c r="L253" i="11"/>
  <c r="T114" i="11"/>
  <c r="L114" i="11"/>
  <c r="E114" i="11"/>
  <c r="BI114" i="11" s="1"/>
  <c r="L312" i="11"/>
  <c r="E312" i="11"/>
  <c r="BI312" i="11" s="1"/>
  <c r="T312" i="11"/>
  <c r="L261" i="11"/>
  <c r="E261" i="11"/>
  <c r="BI261" i="11" s="1"/>
  <c r="T261" i="11"/>
  <c r="T117" i="11"/>
  <c r="L117" i="11"/>
  <c r="E117" i="11"/>
  <c r="BI117" i="11" s="1"/>
  <c r="L196" i="11"/>
  <c r="T196" i="11"/>
  <c r="E196" i="11"/>
  <c r="BI196" i="11" s="1"/>
  <c r="L288" i="11"/>
  <c r="E288" i="11"/>
  <c r="BI288" i="11" s="1"/>
  <c r="T288" i="11"/>
  <c r="T144" i="11"/>
  <c r="L144" i="11"/>
  <c r="E144" i="11"/>
  <c r="BI144" i="11" s="1"/>
  <c r="T124" i="11"/>
  <c r="E124" i="11"/>
  <c r="BI124" i="11" s="1"/>
  <c r="L124" i="11"/>
  <c r="T109" i="11"/>
  <c r="E109" i="11"/>
  <c r="BI109" i="11" s="1"/>
  <c r="L109" i="11"/>
  <c r="T284" i="11"/>
  <c r="L284" i="11"/>
  <c r="E284" i="11"/>
  <c r="BI284" i="11" s="1"/>
  <c r="E132" i="11"/>
  <c r="BI132" i="11" s="1"/>
  <c r="L132" i="11"/>
  <c r="T132" i="11"/>
  <c r="T268" i="11"/>
  <c r="E268" i="11"/>
  <c r="BI268" i="11" s="1"/>
  <c r="L268" i="11"/>
  <c r="T287" i="11"/>
  <c r="E287" i="11"/>
  <c r="BI287" i="11" s="1"/>
  <c r="L287" i="11"/>
  <c r="T267" i="11"/>
  <c r="L267" i="11"/>
  <c r="E267" i="11"/>
  <c r="BI267" i="11" s="1"/>
  <c r="T236" i="11"/>
  <c r="L236" i="11"/>
  <c r="E236" i="11"/>
  <c r="BI236" i="11" s="1"/>
  <c r="E174" i="11"/>
  <c r="BI174" i="11" s="1"/>
  <c r="T174" i="11"/>
  <c r="L174" i="11"/>
  <c r="T310" i="11"/>
  <c r="L310" i="11"/>
  <c r="E310" i="11"/>
  <c r="BI310" i="11" s="1"/>
  <c r="E230" i="11"/>
  <c r="BI230" i="11" s="1"/>
  <c r="T230" i="11"/>
  <c r="L230" i="11"/>
  <c r="L250" i="11"/>
  <c r="E250" i="11"/>
  <c r="BI250" i="11" s="1"/>
  <c r="T250" i="11"/>
  <c r="E127" i="11"/>
  <c r="BI127" i="11" s="1"/>
  <c r="L127" i="11"/>
  <c r="T127" i="11"/>
  <c r="E291" i="11"/>
  <c r="BI291" i="11" s="1"/>
  <c r="L291" i="11"/>
  <c r="T291" i="11"/>
  <c r="L164" i="11"/>
  <c r="T164" i="11"/>
  <c r="E164" i="11"/>
  <c r="BI164" i="11" s="1"/>
  <c r="L222" i="11"/>
  <c r="E222" i="11"/>
  <c r="BI222" i="11" s="1"/>
  <c r="T222" i="11"/>
  <c r="T142" i="11"/>
  <c r="L142" i="11"/>
  <c r="E142" i="11"/>
  <c r="BI142" i="11" s="1"/>
  <c r="T183" i="11"/>
  <c r="L183" i="11"/>
  <c r="E183" i="11"/>
  <c r="BI183" i="11" s="1"/>
  <c r="E166" i="11"/>
  <c r="BI166" i="11" s="1"/>
  <c r="L166" i="11"/>
  <c r="T166" i="11"/>
  <c r="E129" i="11"/>
  <c r="BI129" i="11" s="1"/>
  <c r="L129" i="11"/>
  <c r="T129" i="11"/>
  <c r="L145" i="11"/>
  <c r="E145" i="11"/>
  <c r="BI145" i="11" s="1"/>
  <c r="T145" i="11"/>
  <c r="T238" i="11"/>
  <c r="E238" i="11"/>
  <c r="BI238" i="11" s="1"/>
  <c r="L238" i="11"/>
  <c r="T128" i="11"/>
  <c r="L128" i="11"/>
  <c r="E128" i="11"/>
  <c r="BI128" i="11" s="1"/>
  <c r="T122" i="11"/>
  <c r="E122" i="11"/>
  <c r="BI122" i="11" s="1"/>
  <c r="L122" i="11"/>
  <c r="E125" i="11"/>
  <c r="BI125" i="11" s="1"/>
  <c r="T125" i="11"/>
  <c r="L125" i="11"/>
  <c r="T235" i="11"/>
  <c r="L235" i="11"/>
  <c r="E235" i="11"/>
  <c r="BI235" i="11" s="1"/>
  <c r="T156" i="11"/>
  <c r="L156" i="11"/>
  <c r="E156" i="11"/>
  <c r="BI156" i="11" s="1"/>
  <c r="T298" i="11"/>
  <c r="E298" i="11"/>
  <c r="BI298" i="11" s="1"/>
  <c r="L298" i="11"/>
  <c r="T141" i="11"/>
  <c r="E141" i="11"/>
  <c r="BI141" i="11" s="1"/>
  <c r="L141" i="11"/>
  <c r="T283" i="11"/>
  <c r="L283" i="11"/>
  <c r="E283" i="11"/>
  <c r="BI283" i="11" s="1"/>
  <c r="T224" i="11"/>
  <c r="E224" i="11"/>
  <c r="BI224" i="11" s="1"/>
  <c r="L224" i="11"/>
  <c r="T121" i="11"/>
  <c r="E121" i="11"/>
  <c r="BI121" i="11" s="1"/>
  <c r="L121" i="11"/>
  <c r="T187" i="11"/>
  <c r="L187" i="11"/>
  <c r="E187" i="11"/>
  <c r="BI187" i="11" s="1"/>
  <c r="T239" i="11"/>
  <c r="L239" i="11"/>
  <c r="E239" i="11"/>
  <c r="BI239" i="11" s="1"/>
  <c r="L225" i="11"/>
  <c r="E225" i="11"/>
  <c r="BI225" i="11" s="1"/>
  <c r="T225" i="11"/>
  <c r="E182" i="11"/>
  <c r="BI182" i="11" s="1"/>
  <c r="L182" i="11"/>
  <c r="T182" i="11"/>
  <c r="L311" i="11"/>
  <c r="T311" i="11"/>
  <c r="E311" i="11"/>
  <c r="BI311" i="11" s="1"/>
  <c r="L173" i="11"/>
  <c r="E173" i="11"/>
  <c r="BI173" i="11" s="1"/>
  <c r="T173" i="11"/>
  <c r="T273" i="11"/>
  <c r="L273" i="11"/>
  <c r="E273" i="11"/>
  <c r="BI273" i="11" s="1"/>
  <c r="E309" i="11"/>
  <c r="BI309" i="11" s="1"/>
  <c r="L309" i="11"/>
  <c r="T309" i="11"/>
  <c r="T201" i="11"/>
  <c r="E201" i="11"/>
  <c r="BI201" i="11" s="1"/>
  <c r="L201" i="11"/>
  <c r="T160" i="11"/>
  <c r="E160" i="11"/>
  <c r="BI160" i="11" s="1"/>
  <c r="L160" i="11"/>
  <c r="T205" i="11"/>
  <c r="E205" i="11"/>
  <c r="BI205" i="11" s="1"/>
  <c r="L205" i="11"/>
  <c r="T107" i="11"/>
  <c r="E107" i="11"/>
  <c r="BI107" i="11" s="1"/>
  <c r="L107" i="11"/>
  <c r="E163" i="11"/>
  <c r="BI163" i="11" s="1"/>
  <c r="T163" i="11"/>
  <c r="L163" i="11"/>
  <c r="T280" i="11"/>
  <c r="L280" i="11"/>
  <c r="E280" i="11"/>
  <c r="BI280" i="11" s="1"/>
  <c r="L241" i="11"/>
  <c r="T241" i="11"/>
  <c r="E241" i="11"/>
  <c r="BI241" i="11" s="1"/>
  <c r="E260" i="11"/>
  <c r="BI260" i="11" s="1"/>
  <c r="T260" i="11"/>
  <c r="L260" i="11"/>
  <c r="L318" i="11"/>
  <c r="E318" i="11"/>
  <c r="BI318" i="11" s="1"/>
  <c r="T318" i="11"/>
  <c r="E135" i="11"/>
  <c r="BI135" i="11" s="1"/>
  <c r="L135" i="11"/>
  <c r="T135" i="11"/>
  <c r="E305" i="11"/>
  <c r="BI305" i="11" s="1"/>
  <c r="T305" i="11"/>
  <c r="L305" i="11"/>
  <c r="T143" i="11"/>
  <c r="L143" i="11"/>
  <c r="E143" i="11"/>
  <c r="BI143" i="11" s="1"/>
  <c r="E165" i="11"/>
  <c r="BI165" i="11" s="1"/>
  <c r="L165" i="11"/>
  <c r="T165" i="11"/>
  <c r="T153" i="11"/>
  <c r="L153" i="11"/>
  <c r="E153" i="11"/>
  <c r="BI153" i="11" s="1"/>
  <c r="E246" i="11"/>
  <c r="BI246" i="11" s="1"/>
  <c r="T246" i="11"/>
  <c r="L246" i="11"/>
  <c r="E159" i="11"/>
  <c r="BI159" i="11" s="1"/>
  <c r="T159" i="11"/>
  <c r="L159" i="11"/>
  <c r="E330" i="11"/>
  <c r="BI330" i="11" s="1"/>
  <c r="T330" i="11"/>
  <c r="L330" i="11"/>
  <c r="E189" i="11"/>
  <c r="BI189" i="11" s="1"/>
  <c r="T189" i="11"/>
  <c r="L189" i="11"/>
  <c r="L259" i="11"/>
  <c r="E259" i="11"/>
  <c r="BI259" i="11" s="1"/>
  <c r="T259" i="11"/>
  <c r="E136" i="11"/>
  <c r="BI136" i="11" s="1"/>
  <c r="T136" i="11"/>
  <c r="L136" i="11"/>
  <c r="L240" i="11"/>
  <c r="T240" i="11"/>
  <c r="E240" i="11"/>
  <c r="BI240" i="11" s="1"/>
  <c r="E179" i="11"/>
  <c r="BI179" i="11" s="1"/>
  <c r="T179" i="11"/>
  <c r="L179" i="11"/>
  <c r="L277" i="11"/>
  <c r="E277" i="11"/>
  <c r="BI277" i="11" s="1"/>
  <c r="T277" i="11"/>
  <c r="T195" i="11"/>
  <c r="E195" i="11"/>
  <c r="BI195" i="11" s="1"/>
  <c r="L195" i="11"/>
  <c r="E272" i="11"/>
  <c r="BI272" i="11" s="1"/>
  <c r="L272" i="11"/>
  <c r="T272" i="11"/>
  <c r="L93" i="11"/>
  <c r="T93" i="11"/>
  <c r="E93" i="11"/>
  <c r="BI93" i="11" s="1"/>
  <c r="T295" i="11"/>
  <c r="E295" i="11"/>
  <c r="BI295" i="11" s="1"/>
  <c r="L295" i="11"/>
  <c r="L146" i="11"/>
  <c r="E146" i="11"/>
  <c r="BI146" i="11" s="1"/>
  <c r="T146" i="11"/>
  <c r="L248" i="11"/>
  <c r="E248" i="11"/>
  <c r="BI248" i="11" s="1"/>
  <c r="T248" i="11"/>
  <c r="T91" i="11"/>
  <c r="E91" i="11"/>
  <c r="L91" i="11"/>
  <c r="E99" i="11"/>
  <c r="BI99" i="11" s="1"/>
  <c r="L99" i="11"/>
  <c r="T99" i="11"/>
  <c r="L218" i="11"/>
  <c r="E218" i="11"/>
  <c r="BI218" i="11" s="1"/>
  <c r="T218" i="11"/>
  <c r="L200" i="11"/>
  <c r="E200" i="11"/>
  <c r="BI200" i="11" s="1"/>
  <c r="T200" i="11"/>
  <c r="T247" i="11"/>
  <c r="L247" i="11"/>
  <c r="E247" i="11"/>
  <c r="BI247" i="11" s="1"/>
  <c r="L290" i="11"/>
  <c r="E290" i="11"/>
  <c r="BI290" i="11" s="1"/>
  <c r="T290" i="11"/>
  <c r="T102" i="11"/>
  <c r="L102" i="11"/>
  <c r="E102" i="11"/>
  <c r="BI102" i="11" s="1"/>
  <c r="T110" i="11"/>
  <c r="E110" i="11"/>
  <c r="BI110" i="11" s="1"/>
  <c r="L110" i="11"/>
  <c r="L118" i="11"/>
  <c r="T118" i="11"/>
  <c r="E118" i="11"/>
  <c r="BI118" i="11" s="1"/>
  <c r="L175" i="11"/>
  <c r="T175" i="11"/>
  <c r="E175" i="11"/>
  <c r="BI175" i="11" s="1"/>
  <c r="E227" i="11"/>
  <c r="BI227" i="11" s="1"/>
  <c r="T227" i="11"/>
  <c r="L227" i="11"/>
  <c r="T325" i="11"/>
  <c r="E325" i="11"/>
  <c r="BI325" i="11" s="1"/>
  <c r="L325" i="11"/>
  <c r="T279" i="11"/>
  <c r="L279" i="11"/>
  <c r="E279" i="11"/>
  <c r="BI279" i="11" s="1"/>
  <c r="L97" i="11"/>
  <c r="E97" i="11"/>
  <c r="BI97" i="11" s="1"/>
  <c r="T97" i="11"/>
  <c r="L108" i="11"/>
  <c r="E108" i="11"/>
  <c r="BI108" i="11" s="1"/>
  <c r="T108" i="11"/>
  <c r="T209" i="11"/>
  <c r="E209" i="11"/>
  <c r="BI209" i="11" s="1"/>
  <c r="L209" i="11"/>
  <c r="T274" i="11"/>
  <c r="E274" i="11"/>
  <c r="BI274" i="11" s="1"/>
  <c r="L274" i="11"/>
  <c r="T172" i="11"/>
  <c r="L172" i="11"/>
  <c r="E172" i="11"/>
  <c r="BI172" i="11" s="1"/>
  <c r="E258" i="11"/>
  <c r="BI258" i="11" s="1"/>
  <c r="T258" i="11"/>
  <c r="L258" i="11"/>
  <c r="L294" i="11"/>
  <c r="T294" i="11"/>
  <c r="E294" i="11"/>
  <c r="BI294" i="11" s="1"/>
  <c r="T203" i="11"/>
  <c r="L203" i="11"/>
  <c r="E203" i="11"/>
  <c r="BI203" i="11" s="1"/>
  <c r="T171" i="11"/>
  <c r="L171" i="11"/>
  <c r="E171" i="11"/>
  <c r="BI171" i="11" s="1"/>
  <c r="L281" i="11"/>
  <c r="E281" i="11"/>
  <c r="BI281" i="11" s="1"/>
  <c r="T281" i="11"/>
  <c r="T178" i="11"/>
  <c r="L178" i="11"/>
  <c r="E178" i="11"/>
  <c r="BI178" i="11" s="1"/>
  <c r="L251" i="11"/>
  <c r="T251" i="11"/>
  <c r="E251" i="11"/>
  <c r="BI251" i="11" s="1"/>
  <c r="E255" i="11"/>
  <c r="BI255" i="11" s="1"/>
  <c r="T255" i="11"/>
  <c r="L255" i="11"/>
  <c r="L292" i="11"/>
  <c r="E292" i="11"/>
  <c r="BI292" i="11" s="1"/>
  <c r="T292" i="11"/>
  <c r="T216" i="11"/>
  <c r="E216" i="11"/>
  <c r="BI216" i="11" s="1"/>
  <c r="L216" i="11"/>
  <c r="E217" i="11"/>
  <c r="BI217" i="11" s="1"/>
  <c r="L217" i="11"/>
  <c r="T217" i="11"/>
  <c r="E214" i="11"/>
  <c r="BI214" i="11" s="1"/>
  <c r="L214" i="11"/>
  <c r="T214" i="11"/>
  <c r="L202" i="11"/>
  <c r="T202" i="11"/>
  <c r="E202" i="11"/>
  <c r="BI202" i="11" s="1"/>
  <c r="L168" i="11"/>
  <c r="E168" i="11"/>
  <c r="BI168" i="11" s="1"/>
  <c r="T168" i="11"/>
  <c r="T233" i="11"/>
  <c r="E233" i="11"/>
  <c r="BI233" i="11" s="1"/>
  <c r="L233" i="11"/>
  <c r="T106" i="11"/>
  <c r="L106" i="11"/>
  <c r="E106" i="11"/>
  <c r="BI106" i="11" s="1"/>
  <c r="T131" i="11"/>
  <c r="E131" i="11"/>
  <c r="BI131" i="11" s="1"/>
  <c r="L131" i="11"/>
  <c r="T329" i="11"/>
  <c r="L329" i="11"/>
  <c r="E329" i="11"/>
  <c r="BI329" i="11" s="1"/>
  <c r="E150" i="11"/>
  <c r="BI150" i="11" s="1"/>
  <c r="L150" i="11"/>
  <c r="T150" i="11"/>
  <c r="T270" i="11"/>
  <c r="E270" i="11"/>
  <c r="BI270" i="11" s="1"/>
  <c r="L270" i="11"/>
  <c r="L198" i="11"/>
  <c r="E198" i="11"/>
  <c r="BI198" i="11" s="1"/>
  <c r="T198" i="11"/>
  <c r="T111" i="11"/>
  <c r="E111" i="11"/>
  <c r="BI111" i="11" s="1"/>
  <c r="L111" i="11"/>
  <c r="L149" i="11"/>
  <c r="T149" i="11"/>
  <c r="E149" i="11"/>
  <c r="BI149" i="11" s="1"/>
  <c r="L115" i="11"/>
  <c r="T115" i="11"/>
  <c r="E115" i="11"/>
  <c r="BI115" i="11" s="1"/>
  <c r="Q91" i="11" l="1"/>
  <c r="R91" i="11" s="1"/>
  <c r="O92" i="11" s="1"/>
  <c r="S91" i="11"/>
  <c r="S92" i="11" s="1"/>
  <c r="S93" i="11" s="1"/>
  <c r="S94" i="11" s="1"/>
  <c r="Y91" i="11"/>
  <c r="AA91" i="11" s="1"/>
  <c r="AC91" i="11"/>
  <c r="AC92" i="11" s="1"/>
  <c r="K91" i="11"/>
  <c r="BI91" i="11"/>
  <c r="BF91" i="11"/>
  <c r="BF92" i="11" s="1"/>
  <c r="BF93" i="11" s="1"/>
  <c r="BF94" i="11" s="1"/>
  <c r="BF95" i="11" s="1"/>
  <c r="BF96" i="11" s="1"/>
  <c r="BF97" i="11" s="1"/>
  <c r="BF98" i="11" s="1"/>
  <c r="BF99" i="11" s="1"/>
  <c r="BF100" i="11" s="1"/>
  <c r="BF101" i="11" s="1"/>
  <c r="BF102" i="11" s="1"/>
  <c r="BF103" i="11" s="1"/>
  <c r="BF104" i="11" s="1"/>
  <c r="BF105" i="11" s="1"/>
  <c r="BF106" i="11" s="1"/>
  <c r="BF107" i="11" s="1"/>
  <c r="BF108" i="11" s="1"/>
  <c r="BF109" i="11" s="1"/>
  <c r="BF110" i="11" s="1"/>
  <c r="BF111" i="11" s="1"/>
  <c r="BF112" i="11" s="1"/>
  <c r="BF113" i="11" s="1"/>
  <c r="BF114" i="11" s="1"/>
  <c r="BF115" i="11" s="1"/>
  <c r="BF116" i="11" s="1"/>
  <c r="BF117" i="11" s="1"/>
  <c r="BF118" i="11" s="1"/>
  <c r="BF119" i="11" s="1"/>
  <c r="BF120" i="11" s="1"/>
  <c r="BF121" i="11" s="1"/>
  <c r="BF122" i="11" s="1"/>
  <c r="BF123" i="11" s="1"/>
  <c r="BF124" i="11" s="1"/>
  <c r="BF125" i="11" s="1"/>
  <c r="BF126" i="11" s="1"/>
  <c r="BF127" i="11" s="1"/>
  <c r="BF128" i="11" s="1"/>
  <c r="BF129" i="11" s="1"/>
  <c r="BF130" i="11" s="1"/>
  <c r="BF131" i="11" s="1"/>
  <c r="BF132" i="11" s="1"/>
  <c r="BF133" i="11" s="1"/>
  <c r="BF134" i="11" s="1"/>
  <c r="BF135" i="11" s="1"/>
  <c r="BF136" i="11" s="1"/>
  <c r="BF137" i="11" s="1"/>
  <c r="BF138" i="11" s="1"/>
  <c r="BF139" i="11" s="1"/>
  <c r="BF140" i="11" s="1"/>
  <c r="BF141" i="11" s="1"/>
  <c r="BF142" i="11" s="1"/>
  <c r="BF143" i="11" s="1"/>
  <c r="BF144" i="11" s="1"/>
  <c r="BF145" i="11" s="1"/>
  <c r="BF146" i="11" s="1"/>
  <c r="BF147" i="11" s="1"/>
  <c r="BF148" i="11" s="1"/>
  <c r="BF149" i="11" s="1"/>
  <c r="BF150" i="11" s="1"/>
  <c r="BF151" i="11" s="1"/>
  <c r="BF152" i="11" s="1"/>
  <c r="BF153" i="11" s="1"/>
  <c r="BF154" i="11" s="1"/>
  <c r="BF155" i="11" s="1"/>
  <c r="BF156" i="11" s="1"/>
  <c r="BF157" i="11" s="1"/>
  <c r="BF158" i="11" s="1"/>
  <c r="BF159" i="11" s="1"/>
  <c r="BF160" i="11" s="1"/>
  <c r="BF161" i="11" s="1"/>
  <c r="BF162" i="11" s="1"/>
  <c r="BF163" i="11" s="1"/>
  <c r="BF164" i="11" s="1"/>
  <c r="BF165" i="11" s="1"/>
  <c r="BF166" i="11" s="1"/>
  <c r="BF167" i="11" s="1"/>
  <c r="BF168" i="11" s="1"/>
  <c r="BF169" i="11" s="1"/>
  <c r="BF170" i="11" s="1"/>
  <c r="BF171" i="11" s="1"/>
  <c r="BF172" i="11" s="1"/>
  <c r="BF173" i="11" s="1"/>
  <c r="BF174" i="11" s="1"/>
  <c r="BF175" i="11" s="1"/>
  <c r="BF176" i="11" s="1"/>
  <c r="BF177" i="11" s="1"/>
  <c r="BF178" i="11" s="1"/>
  <c r="BF179" i="11" s="1"/>
  <c r="BF180" i="11" s="1"/>
  <c r="BF181" i="11" s="1"/>
  <c r="BF182" i="11" s="1"/>
  <c r="BF183" i="11" s="1"/>
  <c r="BF184" i="11" s="1"/>
  <c r="BF185" i="11" s="1"/>
  <c r="BF186" i="11" s="1"/>
  <c r="BF187" i="11" s="1"/>
  <c r="BF188" i="11" s="1"/>
  <c r="BF189" i="11" s="1"/>
  <c r="BF190" i="11" s="1"/>
  <c r="BF191" i="11" s="1"/>
  <c r="BF192" i="11" s="1"/>
  <c r="BF193" i="11" s="1"/>
  <c r="BF194" i="11" s="1"/>
  <c r="BF195" i="11" s="1"/>
  <c r="BF196" i="11" s="1"/>
  <c r="BF197" i="11" s="1"/>
  <c r="BF198" i="11" s="1"/>
  <c r="BF199" i="11" s="1"/>
  <c r="BF200" i="11" s="1"/>
  <c r="BF201" i="11" s="1"/>
  <c r="BF202" i="11" s="1"/>
  <c r="BF203" i="11" s="1"/>
  <c r="BF204" i="11" s="1"/>
  <c r="BF205" i="11" s="1"/>
  <c r="BF206" i="11" s="1"/>
  <c r="BF207" i="11" s="1"/>
  <c r="BF208" i="11" s="1"/>
  <c r="BF209" i="11" s="1"/>
  <c r="BF210" i="11" s="1"/>
  <c r="BF211" i="11" s="1"/>
  <c r="BF212" i="11" s="1"/>
  <c r="BF213" i="11" s="1"/>
  <c r="BF214" i="11" s="1"/>
  <c r="BF215" i="11" s="1"/>
  <c r="BF216" i="11" s="1"/>
  <c r="BF217" i="11" s="1"/>
  <c r="BF218" i="11" s="1"/>
  <c r="BF219" i="11" s="1"/>
  <c r="BF220" i="11" s="1"/>
  <c r="BF221" i="11" s="1"/>
  <c r="BF222" i="11" s="1"/>
  <c r="BF223" i="11" s="1"/>
  <c r="BF224" i="11" s="1"/>
  <c r="BF225" i="11" s="1"/>
  <c r="BF226" i="11" s="1"/>
  <c r="BF227" i="11" s="1"/>
  <c r="BF228" i="11" s="1"/>
  <c r="BF229" i="11" s="1"/>
  <c r="BF230" i="11" s="1"/>
  <c r="BF231" i="11" s="1"/>
  <c r="BF232" i="11" s="1"/>
  <c r="BF233" i="11" s="1"/>
  <c r="BF234" i="11" s="1"/>
  <c r="BF235" i="11" s="1"/>
  <c r="BF236" i="11" s="1"/>
  <c r="BF237" i="11" s="1"/>
  <c r="BF238" i="11" s="1"/>
  <c r="BF239" i="11" s="1"/>
  <c r="BF240" i="11" s="1"/>
  <c r="BF241" i="11" s="1"/>
  <c r="BF242" i="11" s="1"/>
  <c r="BF243" i="11" s="1"/>
  <c r="BF244" i="11" s="1"/>
  <c r="BF245" i="11" s="1"/>
  <c r="BF246" i="11" s="1"/>
  <c r="BF247" i="11" s="1"/>
  <c r="BF248" i="11" s="1"/>
  <c r="BF249" i="11" s="1"/>
  <c r="BF250" i="11" s="1"/>
  <c r="BF251" i="11" s="1"/>
  <c r="BF252" i="11" s="1"/>
  <c r="BF253" i="11" s="1"/>
  <c r="BF254" i="11" s="1"/>
  <c r="BF255" i="11" s="1"/>
  <c r="BF256" i="11" s="1"/>
  <c r="BF257" i="11" s="1"/>
  <c r="BF258" i="11" s="1"/>
  <c r="BF259" i="11" s="1"/>
  <c r="BF260" i="11" s="1"/>
  <c r="BF261" i="11" s="1"/>
  <c r="BF262" i="11" s="1"/>
  <c r="BF263" i="11" s="1"/>
  <c r="BF264" i="11" s="1"/>
  <c r="BF265" i="11" s="1"/>
  <c r="BF266" i="11" s="1"/>
  <c r="BF267" i="11" s="1"/>
  <c r="BF268" i="11" s="1"/>
  <c r="BF269" i="11" s="1"/>
  <c r="BF270" i="11" s="1"/>
  <c r="BF271" i="11" s="1"/>
  <c r="BF272" i="11" s="1"/>
  <c r="BF273" i="11" s="1"/>
  <c r="BF274" i="11" s="1"/>
  <c r="BF275" i="11" s="1"/>
  <c r="BF276" i="11" s="1"/>
  <c r="BF277" i="11" s="1"/>
  <c r="BF278" i="11" s="1"/>
  <c r="BF279" i="11" s="1"/>
  <c r="BF280" i="11" s="1"/>
  <c r="BF281" i="11" s="1"/>
  <c r="BF282" i="11" s="1"/>
  <c r="BF283" i="11" s="1"/>
  <c r="BF284" i="11" s="1"/>
  <c r="BF285" i="11" s="1"/>
  <c r="BF286" i="11" s="1"/>
  <c r="BF287" i="11" s="1"/>
  <c r="BF288" i="11" s="1"/>
  <c r="BF289" i="11" s="1"/>
  <c r="BF290" i="11" s="1"/>
  <c r="BF291" i="11" s="1"/>
  <c r="BF292" i="11" s="1"/>
  <c r="BF293" i="11" s="1"/>
  <c r="BF294" i="11" s="1"/>
  <c r="BF295" i="11" s="1"/>
  <c r="BF296" i="11" s="1"/>
  <c r="BF297" i="11" s="1"/>
  <c r="BF298" i="11" s="1"/>
  <c r="BF299" i="11" s="1"/>
  <c r="BF300" i="11" s="1"/>
  <c r="BF301" i="11" s="1"/>
  <c r="BF302" i="11" s="1"/>
  <c r="BF303" i="11" s="1"/>
  <c r="BF304" i="11" s="1"/>
  <c r="BF305" i="11" s="1"/>
  <c r="BF306" i="11" s="1"/>
  <c r="BF307" i="11" s="1"/>
  <c r="BF308" i="11" s="1"/>
  <c r="BF309" i="11" s="1"/>
  <c r="BF310" i="11" s="1"/>
  <c r="BF311" i="11" s="1"/>
  <c r="BF312" i="11" s="1"/>
  <c r="BF313" i="11" s="1"/>
  <c r="BF314" i="11" s="1"/>
  <c r="BF315" i="11" s="1"/>
  <c r="BF316" i="11" s="1"/>
  <c r="BF317" i="11" s="1"/>
  <c r="BF318" i="11" s="1"/>
  <c r="BF319" i="11" s="1"/>
  <c r="BF320" i="11" s="1"/>
  <c r="BF321" i="11" s="1"/>
  <c r="BF322" i="11" s="1"/>
  <c r="BF323" i="11" s="1"/>
  <c r="BF324" i="11" s="1"/>
  <c r="BF325" i="11" s="1"/>
  <c r="BF326" i="11" s="1"/>
  <c r="BF327" i="11" s="1"/>
  <c r="BF328" i="11" s="1"/>
  <c r="BF329" i="11" s="1"/>
  <c r="BF330" i="11" s="1"/>
  <c r="BF331" i="11" s="1"/>
  <c r="BF332" i="11" s="1"/>
  <c r="BF333" i="11" s="1"/>
  <c r="BF334" i="11" s="1"/>
  <c r="BF335" i="11" s="1"/>
  <c r="BF336" i="11" s="1"/>
  <c r="BF337" i="11" s="1"/>
  <c r="BF338" i="11" s="1"/>
  <c r="BF339" i="11" s="1"/>
  <c r="BF340" i="11" s="1"/>
  <c r="BF341" i="11" s="1"/>
  <c r="BF342" i="11" s="1"/>
  <c r="BF343" i="11" s="1"/>
  <c r="BF344" i="11" s="1"/>
  <c r="BF345" i="11" s="1"/>
  <c r="BF346" i="11" s="1"/>
  <c r="BF347" i="11" s="1"/>
  <c r="BF348" i="11" s="1"/>
  <c r="BF349" i="11" s="1"/>
  <c r="BF350" i="11" s="1"/>
  <c r="BF351" i="11" s="1"/>
  <c r="BF352" i="11" s="1"/>
  <c r="BF353" i="11" s="1"/>
  <c r="BF354" i="11" s="1"/>
  <c r="BF355" i="11" s="1"/>
  <c r="BF356" i="11" s="1"/>
  <c r="BF357" i="11" s="1"/>
  <c r="BF358" i="11" s="1"/>
  <c r="BF359" i="11" s="1"/>
  <c r="BF360" i="11" s="1"/>
  <c r="BF361" i="11" s="1"/>
  <c r="BF362" i="11" s="1"/>
  <c r="BF363" i="11" s="1"/>
  <c r="BF364" i="11" s="1"/>
  <c r="BF365" i="11" s="1"/>
  <c r="BF366" i="11" s="1"/>
  <c r="BF367" i="11" s="1"/>
  <c r="BF368" i="11" s="1"/>
  <c r="BF369" i="11" s="1"/>
  <c r="BF370" i="11" s="1"/>
  <c r="BF371" i="11" s="1"/>
  <c r="BF372" i="11" s="1"/>
  <c r="BF373" i="11" s="1"/>
  <c r="BF374" i="11" s="1"/>
  <c r="BF375" i="11" s="1"/>
  <c r="BF376" i="11" s="1"/>
  <c r="BF377" i="11" s="1"/>
  <c r="BF378" i="11" s="1"/>
  <c r="BF379" i="11" s="1"/>
  <c r="BF380" i="11" s="1"/>
  <c r="BF381" i="11" s="1"/>
  <c r="BF382" i="11" s="1"/>
  <c r="BF383" i="11" s="1"/>
  <c r="BF384" i="11" s="1"/>
  <c r="BF385" i="11" s="1"/>
  <c r="BF386" i="11" s="1"/>
  <c r="BF387" i="11" s="1"/>
  <c r="BF388" i="11" s="1"/>
  <c r="BF389" i="11" s="1"/>
  <c r="BF390" i="11" s="1"/>
  <c r="BF391" i="11" s="1"/>
  <c r="BF392" i="11" s="1"/>
  <c r="BF393" i="11" s="1"/>
  <c r="BF394" i="11" s="1"/>
  <c r="BF395" i="11" s="1"/>
  <c r="BF396" i="11" s="1"/>
  <c r="BF397" i="11" s="1"/>
  <c r="BF398" i="11" s="1"/>
  <c r="BF399" i="11" s="1"/>
  <c r="BF400" i="11" s="1"/>
  <c r="BF401" i="11" s="1"/>
  <c r="BF402" i="11" s="1"/>
  <c r="BF403" i="11" s="1"/>
  <c r="BF404" i="11" s="1"/>
  <c r="BF405" i="11" s="1"/>
  <c r="BF406" i="11" s="1"/>
  <c r="BF407" i="11" s="1"/>
  <c r="BF408" i="11" s="1"/>
  <c r="BF409" i="11" s="1"/>
  <c r="BF410" i="11" s="1"/>
  <c r="BF411" i="11" s="1"/>
  <c r="BF412" i="11" s="1"/>
  <c r="BF413" i="11" s="1"/>
  <c r="BF414" i="11" s="1"/>
  <c r="BF415" i="11" s="1"/>
  <c r="BF416" i="11" s="1"/>
  <c r="BF417" i="11" s="1"/>
  <c r="BF418" i="11" s="1"/>
  <c r="BF419" i="11" s="1"/>
  <c r="BF420" i="11" s="1"/>
  <c r="BF421" i="11" s="1"/>
  <c r="BF422" i="11" s="1"/>
  <c r="BF423" i="11" s="1"/>
  <c r="BF424" i="11" s="1"/>
  <c r="BF425" i="11" s="1"/>
  <c r="BF426" i="11" s="1"/>
  <c r="BF427" i="11" s="1"/>
  <c r="BF428" i="11" s="1"/>
  <c r="BF429" i="11" s="1"/>
  <c r="BF430" i="11" s="1"/>
  <c r="BF431" i="11" s="1"/>
  <c r="BF432" i="11" s="1"/>
  <c r="BF433" i="11" s="1"/>
  <c r="BF434" i="11" s="1"/>
  <c r="BF435" i="11" s="1"/>
  <c r="BF436" i="11" s="1"/>
  <c r="BF437" i="11" s="1"/>
  <c r="BF438" i="11" s="1"/>
  <c r="BF439" i="11" s="1"/>
  <c r="BF440" i="11" s="1"/>
  <c r="BF441" i="11" s="1"/>
  <c r="BF442" i="11" s="1"/>
  <c r="BF443" i="11" s="1"/>
  <c r="BF444" i="11" s="1"/>
  <c r="BF445" i="11" s="1"/>
  <c r="BF446" i="11" s="1"/>
  <c r="BF447" i="11" s="1"/>
  <c r="BF448" i="11" s="1"/>
  <c r="BF449" i="11" s="1"/>
  <c r="BF450" i="11" s="1"/>
  <c r="BF451" i="11" s="1"/>
  <c r="BF452" i="11" s="1"/>
  <c r="BF453" i="11" s="1"/>
  <c r="BF454" i="11" s="1"/>
  <c r="BF455" i="11" s="1"/>
  <c r="BF456" i="11" s="1"/>
  <c r="BF457" i="11" s="1"/>
  <c r="BF458" i="11" s="1"/>
  <c r="BF459" i="11" s="1"/>
  <c r="BF460" i="11" s="1"/>
  <c r="BF461" i="11" s="1"/>
  <c r="BF462" i="11" s="1"/>
  <c r="BF463" i="11" s="1"/>
  <c r="BF464" i="11" s="1"/>
  <c r="BF465" i="11" s="1"/>
  <c r="BF466" i="11" s="1"/>
  <c r="BF467" i="11" s="1"/>
  <c r="BF468" i="11" s="1"/>
  <c r="BF469" i="11" s="1"/>
  <c r="BF470" i="11" s="1"/>
  <c r="BF471" i="11" s="1"/>
  <c r="BF472" i="11" s="1"/>
  <c r="BF473" i="11" s="1"/>
  <c r="BF474" i="11" s="1"/>
  <c r="BF475" i="11" s="1"/>
  <c r="BF476" i="11" s="1"/>
  <c r="BF477" i="11" s="1"/>
  <c r="BF478" i="11" s="1"/>
  <c r="BF479" i="11" s="1"/>
  <c r="BF480" i="11" s="1"/>
  <c r="BF481" i="11" s="1"/>
  <c r="BF482" i="11" s="1"/>
  <c r="BF483" i="11" s="1"/>
  <c r="BF484" i="11" s="1"/>
  <c r="BF485" i="11" s="1"/>
  <c r="BF486" i="11" s="1"/>
  <c r="BF487" i="11" s="1"/>
  <c r="BF488" i="11" s="1"/>
  <c r="BF489" i="11" s="1"/>
  <c r="BF490" i="11" s="1"/>
  <c r="BF491" i="11" s="1"/>
  <c r="BF492" i="11" s="1"/>
  <c r="BF493" i="11" s="1"/>
  <c r="BF494" i="11" s="1"/>
  <c r="BF495" i="11" s="1"/>
  <c r="BF496" i="11" s="1"/>
  <c r="BF497" i="11" s="1"/>
  <c r="BF498" i="11" s="1"/>
  <c r="BF499" i="11" s="1"/>
  <c r="BF500" i="11" s="1"/>
  <c r="BF501" i="11" s="1"/>
  <c r="BF502" i="11" s="1"/>
  <c r="BF503" i="11" s="1"/>
  <c r="BF504" i="11" s="1"/>
  <c r="BF505" i="11" s="1"/>
  <c r="BF506" i="11" s="1"/>
  <c r="BF507" i="11" s="1"/>
  <c r="BF508" i="11" s="1"/>
  <c r="BF509" i="11" s="1"/>
  <c r="BF510" i="11" s="1"/>
  <c r="BF511" i="11" s="1"/>
  <c r="BF512" i="11" s="1"/>
  <c r="BF513" i="11" s="1"/>
  <c r="BF514" i="11" s="1"/>
  <c r="BF515" i="11" s="1"/>
  <c r="BF516" i="11" s="1"/>
  <c r="BF517" i="11" s="1"/>
  <c r="BF518" i="11" s="1"/>
  <c r="BF519" i="11" s="1"/>
  <c r="BF520" i="11" s="1"/>
  <c r="BF521" i="11" s="1"/>
  <c r="BF522" i="11" s="1"/>
  <c r="BF523" i="11" s="1"/>
  <c r="BF524" i="11" s="1"/>
  <c r="BF525" i="11" s="1"/>
  <c r="BF526" i="11" s="1"/>
  <c r="BF527" i="11" s="1"/>
  <c r="BF528" i="11" s="1"/>
  <c r="BF529" i="11" s="1"/>
  <c r="BF530" i="11" s="1"/>
  <c r="BF531" i="11" s="1"/>
  <c r="BF532" i="11" s="1"/>
  <c r="BF533" i="11" s="1"/>
  <c r="BF534" i="11" s="1"/>
  <c r="BF535" i="11" s="1"/>
  <c r="BF536" i="11" s="1"/>
  <c r="BF537" i="11" s="1"/>
  <c r="BF538" i="11" s="1"/>
  <c r="BF539" i="11" s="1"/>
  <c r="BF540" i="11" s="1"/>
  <c r="BF541" i="11" s="1"/>
  <c r="BF542" i="11" s="1"/>
  <c r="BF543" i="11" s="1"/>
  <c r="BF544" i="11" s="1"/>
  <c r="BF545" i="11" s="1"/>
  <c r="BF546" i="11" s="1"/>
  <c r="BF547" i="11" s="1"/>
  <c r="BF548" i="11" s="1"/>
  <c r="BF549" i="11" s="1"/>
  <c r="BF550" i="11" s="1"/>
  <c r="BF551" i="11" s="1"/>
  <c r="BF552" i="11" s="1"/>
  <c r="BF553" i="11" s="1"/>
  <c r="BF554" i="11" s="1"/>
  <c r="BF555" i="11" s="1"/>
  <c r="BF556" i="11" s="1"/>
  <c r="BF557" i="11" s="1"/>
  <c r="BF558" i="11" s="1"/>
  <c r="BF559" i="11" s="1"/>
  <c r="BF560" i="11" s="1"/>
  <c r="BF561" i="11" s="1"/>
  <c r="BF562" i="11" s="1"/>
  <c r="BF563" i="11" s="1"/>
  <c r="BF564" i="11" s="1"/>
  <c r="BF565" i="11" s="1"/>
  <c r="BF566" i="11" s="1"/>
  <c r="BF567" i="11" s="1"/>
  <c r="BF568" i="11" s="1"/>
  <c r="BF569" i="11" s="1"/>
  <c r="BF570" i="11" s="1"/>
  <c r="BF571" i="11" s="1"/>
  <c r="BF572" i="11" s="1"/>
  <c r="BF573" i="11" s="1"/>
  <c r="BF574" i="11" s="1"/>
  <c r="BF575" i="11" s="1"/>
  <c r="BF576" i="11" s="1"/>
  <c r="BF577" i="11" s="1"/>
  <c r="BF578" i="11" s="1"/>
  <c r="BF579" i="11" s="1"/>
  <c r="BF580" i="11" s="1"/>
  <c r="BF581" i="11" s="1"/>
  <c r="BF582" i="11" s="1"/>
  <c r="BF583" i="11" s="1"/>
  <c r="BF584" i="11" s="1"/>
  <c r="BF585" i="11" s="1"/>
  <c r="BF586" i="11" s="1"/>
  <c r="BF587" i="11" s="1"/>
  <c r="BF588" i="11" s="1"/>
  <c r="BF589" i="11" s="1"/>
  <c r="BF590" i="11" s="1"/>
  <c r="BF591" i="11" s="1"/>
  <c r="BF592" i="11" s="1"/>
  <c r="BF593" i="11" s="1"/>
  <c r="BF594" i="11" s="1"/>
  <c r="BF595" i="11" s="1"/>
  <c r="BF596" i="11" s="1"/>
  <c r="BF597" i="11" s="1"/>
  <c r="BF598" i="11" s="1"/>
  <c r="BF599" i="11" s="1"/>
  <c r="BF600" i="11" s="1"/>
  <c r="BF601" i="11" s="1"/>
  <c r="BF602" i="11" s="1"/>
  <c r="BF603" i="11" s="1"/>
  <c r="BF604" i="11" s="1"/>
  <c r="BF605" i="11" s="1"/>
  <c r="BF606" i="11" s="1"/>
  <c r="BF607" i="11" s="1"/>
  <c r="BF608" i="11" s="1"/>
  <c r="BF609" i="11" s="1"/>
  <c r="BF610" i="11" s="1"/>
  <c r="BF611" i="11" s="1"/>
  <c r="BF612" i="11" s="1"/>
  <c r="BF613" i="11" s="1"/>
  <c r="BF614" i="11" s="1"/>
  <c r="BF615" i="11" s="1"/>
  <c r="BF616" i="11" s="1"/>
  <c r="BF617" i="11" s="1"/>
  <c r="BF618" i="11" s="1"/>
  <c r="BF619" i="11" s="1"/>
  <c r="BF620" i="11" s="1"/>
  <c r="BF621" i="11" s="1"/>
  <c r="BF622" i="11" s="1"/>
  <c r="BF623" i="11" s="1"/>
  <c r="BF624" i="11" s="1"/>
  <c r="BF625" i="11" s="1"/>
  <c r="BF626" i="11" s="1"/>
  <c r="BF627" i="11" s="1"/>
  <c r="BF628" i="11" s="1"/>
  <c r="BF629" i="11" s="1"/>
  <c r="BF630" i="11" s="1"/>
  <c r="BF631" i="11" s="1"/>
  <c r="BF632" i="11" s="1"/>
  <c r="BF633" i="11" s="1"/>
  <c r="BF634" i="11" s="1"/>
  <c r="BF635" i="11" s="1"/>
  <c r="BF636" i="11" s="1"/>
  <c r="BF637" i="11" s="1"/>
  <c r="BF638" i="11" s="1"/>
  <c r="BF639" i="11" s="1"/>
  <c r="BF640" i="11" s="1"/>
  <c r="BF641" i="11" s="1"/>
  <c r="BF642" i="11" s="1"/>
  <c r="BF643" i="11" s="1"/>
  <c r="BF644" i="11" s="1"/>
  <c r="BF645" i="11" s="1"/>
  <c r="BF646" i="11" s="1"/>
  <c r="BF647" i="11" s="1"/>
  <c r="BF648" i="11" s="1"/>
  <c r="BF649" i="11" s="1"/>
  <c r="BF650" i="11" s="1"/>
  <c r="BF651" i="11" s="1"/>
  <c r="BF652" i="11" s="1"/>
  <c r="BF653" i="11" s="1"/>
  <c r="BF654" i="11" s="1"/>
  <c r="BF655" i="11" s="1"/>
  <c r="BF656" i="11" s="1"/>
  <c r="BF657" i="11" s="1"/>
  <c r="BF658" i="11" s="1"/>
  <c r="BF659" i="11" s="1"/>
  <c r="BF660" i="11" s="1"/>
  <c r="BF661" i="11" s="1"/>
  <c r="BF662" i="11" s="1"/>
  <c r="BF663" i="11" s="1"/>
  <c r="BF664" i="11" s="1"/>
  <c r="BF665" i="11" s="1"/>
  <c r="BF666" i="11" s="1"/>
  <c r="BF667" i="11" s="1"/>
  <c r="BF668" i="11" s="1"/>
  <c r="BF669" i="11" s="1"/>
  <c r="BF670" i="11" s="1"/>
  <c r="BF671" i="11" s="1"/>
  <c r="BF672" i="11" s="1"/>
  <c r="BF673" i="11" s="1"/>
  <c r="BF674" i="11" s="1"/>
  <c r="BF675" i="11" s="1"/>
  <c r="BF676" i="11" s="1"/>
  <c r="BF677" i="11" s="1"/>
  <c r="BF678" i="11" s="1"/>
  <c r="BF679" i="11" s="1"/>
  <c r="BF680" i="11" s="1"/>
  <c r="BF681" i="11" s="1"/>
  <c r="BF682" i="11" s="1"/>
  <c r="BF683" i="11" s="1"/>
  <c r="BF684" i="11" s="1"/>
  <c r="BF685" i="11" s="1"/>
  <c r="BF686" i="11" s="1"/>
  <c r="BF687" i="11" s="1"/>
  <c r="BF688" i="11" s="1"/>
  <c r="BF689" i="11" s="1"/>
  <c r="BF690" i="11" s="1"/>
  <c r="I91" i="11"/>
  <c r="J91" i="11" s="1"/>
  <c r="Q92" i="11" l="1"/>
  <c r="R92" i="11" s="1"/>
  <c r="O93" i="11" s="1"/>
  <c r="Q93" i="11" s="1"/>
  <c r="R93" i="11" s="1"/>
  <c r="W92" i="11"/>
  <c r="BN91" i="11"/>
  <c r="BO91" i="11"/>
  <c r="AB92" i="11"/>
  <c r="AG91" i="11"/>
  <c r="K92" i="11"/>
  <c r="K93" i="11" s="1"/>
  <c r="AH91" i="11"/>
  <c r="AD91" i="11"/>
  <c r="H92" i="11"/>
  <c r="S95" i="11"/>
  <c r="S96" i="11" s="1"/>
  <c r="AC93" i="11"/>
  <c r="AF92" i="11" l="1"/>
  <c r="Y92" i="11"/>
  <c r="AA92" i="11" s="1"/>
  <c r="BP91" i="11"/>
  <c r="BH92" i="11" s="1"/>
  <c r="BO92" i="11" s="1"/>
  <c r="AG92" i="11"/>
  <c r="AB93" i="11"/>
  <c r="AB94" i="11" s="1"/>
  <c r="S97" i="11"/>
  <c r="S98" i="11" s="1"/>
  <c r="S99" i="11" s="1"/>
  <c r="K94" i="11"/>
  <c r="AC94" i="11"/>
  <c r="O94" i="11"/>
  <c r="I92" i="11"/>
  <c r="AG93" i="11"/>
  <c r="AD92" i="11" l="1"/>
  <c r="W93" i="11"/>
  <c r="Y93" i="11" s="1"/>
  <c r="BN92" i="11"/>
  <c r="BP92" i="11" s="1"/>
  <c r="BH93" i="11" s="1"/>
  <c r="BN93" i="11" s="1"/>
  <c r="J92" i="11"/>
  <c r="AH92" i="11" s="1"/>
  <c r="AC95" i="11"/>
  <c r="Q94" i="11"/>
  <c r="R94" i="11" s="1"/>
  <c r="S100" i="11"/>
  <c r="S101" i="11" s="1"/>
  <c r="S102" i="11" s="1"/>
  <c r="AB95" i="11"/>
  <c r="K95" i="11"/>
  <c r="AG94" i="11"/>
  <c r="AA93" i="11" l="1"/>
  <c r="W94" i="11" s="1"/>
  <c r="BO93" i="11"/>
  <c r="BP93" i="11" s="1"/>
  <c r="BH94" i="11" s="1"/>
  <c r="BN94" i="11" s="1"/>
  <c r="H93" i="11"/>
  <c r="S103" i="11"/>
  <c r="S104" i="11" s="1"/>
  <c r="S105" i="11" s="1"/>
  <c r="S106" i="11" s="1"/>
  <c r="S107" i="11" s="1"/>
  <c r="S108" i="11" s="1"/>
  <c r="S109" i="11" s="1"/>
  <c r="S110" i="11" s="1"/>
  <c r="S111" i="11" s="1"/>
  <c r="S112" i="11" s="1"/>
  <c r="O95" i="11"/>
  <c r="AC96" i="11"/>
  <c r="AC97" i="11" s="1"/>
  <c r="AB96" i="11"/>
  <c r="K96" i="11"/>
  <c r="BO94" i="11" l="1"/>
  <c r="BP94" i="11" s="1"/>
  <c r="BH95" i="11" s="1"/>
  <c r="BN95" i="11" s="1"/>
  <c r="I93" i="11"/>
  <c r="J93" i="11" s="1"/>
  <c r="AH93" i="11" s="1"/>
  <c r="AF93" i="11"/>
  <c r="AC98" i="11"/>
  <c r="AC99" i="11" s="1"/>
  <c r="S113" i="11"/>
  <c r="S114" i="11" s="1"/>
  <c r="AB97" i="11"/>
  <c r="K97" i="11"/>
  <c r="Q95" i="11"/>
  <c r="R95" i="11" s="1"/>
  <c r="Y94" i="11"/>
  <c r="BO95" i="11" l="1"/>
  <c r="BP95" i="11" s="1"/>
  <c r="BH96" i="11" s="1"/>
  <c r="AD93" i="11"/>
  <c r="S115" i="11"/>
  <c r="S116" i="11" s="1"/>
  <c r="S117" i="11" s="1"/>
  <c r="S118" i="11" s="1"/>
  <c r="S119" i="11" s="1"/>
  <c r="S120" i="11" s="1"/>
  <c r="S121" i="11" s="1"/>
  <c r="S122" i="11" s="1"/>
  <c r="S123" i="11" s="1"/>
  <c r="S124" i="11" s="1"/>
  <c r="S125" i="11" s="1"/>
  <c r="S126" i="11" s="1"/>
  <c r="S127" i="11" s="1"/>
  <c r="S128" i="11" s="1"/>
  <c r="S129" i="11" s="1"/>
  <c r="S130" i="11" s="1"/>
  <c r="S131" i="11" s="1"/>
  <c r="S132" i="11" s="1"/>
  <c r="S133" i="11" s="1"/>
  <c r="S134" i="11" s="1"/>
  <c r="S135" i="11" s="1"/>
  <c r="S136" i="11" s="1"/>
  <c r="S137" i="11" s="1"/>
  <c r="S138" i="11" s="1"/>
  <c r="S139" i="11" s="1"/>
  <c r="S140" i="11" s="1"/>
  <c r="S141" i="11" s="1"/>
  <c r="S142" i="11" s="1"/>
  <c r="S143" i="11" s="1"/>
  <c r="S144" i="11" s="1"/>
  <c r="S145" i="11" s="1"/>
  <c r="S146" i="11" s="1"/>
  <c r="S147" i="11" s="1"/>
  <c r="S148" i="11" s="1"/>
  <c r="S149" i="11" s="1"/>
  <c r="S150" i="11" s="1"/>
  <c r="S151" i="11" s="1"/>
  <c r="S152" i="11" s="1"/>
  <c r="S153" i="11" s="1"/>
  <c r="S154" i="11" s="1"/>
  <c r="S155" i="11" s="1"/>
  <c r="S156" i="11" s="1"/>
  <c r="S157" i="11" s="1"/>
  <c r="S158" i="11" s="1"/>
  <c r="S159" i="11" s="1"/>
  <c r="S160" i="11" s="1"/>
  <c r="S161" i="11" s="1"/>
  <c r="S162" i="11" s="1"/>
  <c r="S163" i="11" s="1"/>
  <c r="S164" i="11" s="1"/>
  <c r="S165" i="11" s="1"/>
  <c r="S166" i="11" s="1"/>
  <c r="S167" i="11" s="1"/>
  <c r="S168" i="11" s="1"/>
  <c r="S169" i="11" s="1"/>
  <c r="S170" i="11" s="1"/>
  <c r="S171" i="11" s="1"/>
  <c r="S172" i="11" s="1"/>
  <c r="S173" i="11" s="1"/>
  <c r="S174" i="11" s="1"/>
  <c r="S175" i="11" s="1"/>
  <c r="S176" i="11" s="1"/>
  <c r="S177" i="11" s="1"/>
  <c r="S178" i="11" s="1"/>
  <c r="S179" i="11" s="1"/>
  <c r="S180" i="11" s="1"/>
  <c r="S181" i="11" s="1"/>
  <c r="S182" i="11" s="1"/>
  <c r="S183" i="11" s="1"/>
  <c r="S184" i="11" s="1"/>
  <c r="S185" i="11" s="1"/>
  <c r="S186" i="11" s="1"/>
  <c r="S187" i="11" s="1"/>
  <c r="S188" i="11" s="1"/>
  <c r="S189" i="11" s="1"/>
  <c r="S190" i="11" s="1"/>
  <c r="S191" i="11" s="1"/>
  <c r="S192" i="11" s="1"/>
  <c r="S193" i="11" s="1"/>
  <c r="S194" i="11" s="1"/>
  <c r="S195" i="11" s="1"/>
  <c r="S196" i="11" s="1"/>
  <c r="S197" i="11" s="1"/>
  <c r="S198" i="11" s="1"/>
  <c r="S199" i="11" s="1"/>
  <c r="S200" i="11" s="1"/>
  <c r="S201" i="11" s="1"/>
  <c r="S202" i="11" s="1"/>
  <c r="S203" i="11" s="1"/>
  <c r="S204" i="11" s="1"/>
  <c r="S205" i="11" s="1"/>
  <c r="S206" i="11" s="1"/>
  <c r="S207" i="11" s="1"/>
  <c r="S208" i="11" s="1"/>
  <c r="S209" i="11" s="1"/>
  <c r="S210" i="11" s="1"/>
  <c r="S211" i="11" s="1"/>
  <c r="S212" i="11" s="1"/>
  <c r="S213" i="11" s="1"/>
  <c r="S214" i="11" s="1"/>
  <c r="S215" i="11" s="1"/>
  <c r="S216" i="11" s="1"/>
  <c r="S217" i="11" s="1"/>
  <c r="S218" i="11" s="1"/>
  <c r="S219" i="11" s="1"/>
  <c r="S220" i="11" s="1"/>
  <c r="S221" i="11" s="1"/>
  <c r="S222" i="11" s="1"/>
  <c r="S223" i="11" s="1"/>
  <c r="S224" i="11" s="1"/>
  <c r="S225" i="11" s="1"/>
  <c r="S226" i="11" s="1"/>
  <c r="S227" i="11" s="1"/>
  <c r="S228" i="11" s="1"/>
  <c r="S229" i="11" s="1"/>
  <c r="S230" i="11" s="1"/>
  <c r="S231" i="11" s="1"/>
  <c r="S232" i="11" s="1"/>
  <c r="S233" i="11" s="1"/>
  <c r="S234" i="11" s="1"/>
  <c r="S235" i="11" s="1"/>
  <c r="S236" i="11" s="1"/>
  <c r="S237" i="11" s="1"/>
  <c r="S238" i="11" s="1"/>
  <c r="S239" i="11" s="1"/>
  <c r="S240" i="11" s="1"/>
  <c r="S241" i="11" s="1"/>
  <c r="S242" i="11" s="1"/>
  <c r="S243" i="11" s="1"/>
  <c r="S244" i="11" s="1"/>
  <c r="S245" i="11" s="1"/>
  <c r="S246" i="11" s="1"/>
  <c r="S247" i="11" s="1"/>
  <c r="S248" i="11" s="1"/>
  <c r="S249" i="11" s="1"/>
  <c r="S250" i="11" s="1"/>
  <c r="S251" i="11" s="1"/>
  <c r="S252" i="11" s="1"/>
  <c r="S253" i="11" s="1"/>
  <c r="S254" i="11" s="1"/>
  <c r="S255" i="11" s="1"/>
  <c r="S256" i="11" s="1"/>
  <c r="S257" i="11" s="1"/>
  <c r="S258" i="11" s="1"/>
  <c r="S259" i="11" s="1"/>
  <c r="S260" i="11" s="1"/>
  <c r="S261" i="11" s="1"/>
  <c r="S262" i="11" s="1"/>
  <c r="S263" i="11" s="1"/>
  <c r="S264" i="11" s="1"/>
  <c r="S265" i="11" s="1"/>
  <c r="S266" i="11" s="1"/>
  <c r="S267" i="11" s="1"/>
  <c r="S268" i="11" s="1"/>
  <c r="S269" i="11" s="1"/>
  <c r="S270" i="11" s="1"/>
  <c r="S271" i="11" s="1"/>
  <c r="S272" i="11" s="1"/>
  <c r="S273" i="11" s="1"/>
  <c r="S274" i="11" s="1"/>
  <c r="S275" i="11" s="1"/>
  <c r="S276" i="11" s="1"/>
  <c r="S277" i="11" s="1"/>
  <c r="S278" i="11" s="1"/>
  <c r="S279" i="11" s="1"/>
  <c r="S280" i="11" s="1"/>
  <c r="S281" i="11" s="1"/>
  <c r="S282" i="11" s="1"/>
  <c r="S283" i="11" s="1"/>
  <c r="S284" i="11" s="1"/>
  <c r="S285" i="11" s="1"/>
  <c r="S286" i="11" s="1"/>
  <c r="S287" i="11" s="1"/>
  <c r="S288" i="11" s="1"/>
  <c r="S289" i="11" s="1"/>
  <c r="S290" i="11" s="1"/>
  <c r="S291" i="11" s="1"/>
  <c r="S292" i="11" s="1"/>
  <c r="S293" i="11" s="1"/>
  <c r="S294" i="11" s="1"/>
  <c r="S295" i="11" s="1"/>
  <c r="S296" i="11" s="1"/>
  <c r="S297" i="11" s="1"/>
  <c r="S298" i="11" s="1"/>
  <c r="S299" i="11" s="1"/>
  <c r="S300" i="11" s="1"/>
  <c r="S301" i="11" s="1"/>
  <c r="S302" i="11" s="1"/>
  <c r="S303" i="11" s="1"/>
  <c r="S304" i="11" s="1"/>
  <c r="S305" i="11" s="1"/>
  <c r="S306" i="11" s="1"/>
  <c r="S307" i="11" s="1"/>
  <c r="S308" i="11" s="1"/>
  <c r="S309" i="11" s="1"/>
  <c r="S310" i="11" s="1"/>
  <c r="S311" i="11" s="1"/>
  <c r="S312" i="11" s="1"/>
  <c r="S313" i="11" s="1"/>
  <c r="S314" i="11" s="1"/>
  <c r="S315" i="11" s="1"/>
  <c r="S316" i="11" s="1"/>
  <c r="S317" i="11" s="1"/>
  <c r="S318" i="11" s="1"/>
  <c r="S319" i="11" s="1"/>
  <c r="S320" i="11" s="1"/>
  <c r="S321" i="11" s="1"/>
  <c r="S322" i="11" s="1"/>
  <c r="S323" i="11" s="1"/>
  <c r="S324" i="11" s="1"/>
  <c r="S325" i="11" s="1"/>
  <c r="S326" i="11" s="1"/>
  <c r="S327" i="11" s="1"/>
  <c r="S328" i="11" s="1"/>
  <c r="S329" i="11" s="1"/>
  <c r="S330" i="11" s="1"/>
  <c r="S331" i="11" s="1"/>
  <c r="S332" i="11" s="1"/>
  <c r="S333" i="11" s="1"/>
  <c r="S334" i="11" s="1"/>
  <c r="S335" i="11" s="1"/>
  <c r="S336" i="11" s="1"/>
  <c r="S337" i="11" s="1"/>
  <c r="S338" i="11" s="1"/>
  <c r="S339" i="11" s="1"/>
  <c r="S340" i="11" s="1"/>
  <c r="S341" i="11" s="1"/>
  <c r="S342" i="11" s="1"/>
  <c r="S343" i="11" s="1"/>
  <c r="S344" i="11" s="1"/>
  <c r="S345" i="11" s="1"/>
  <c r="S346" i="11" s="1"/>
  <c r="S347" i="11" s="1"/>
  <c r="S348" i="11" s="1"/>
  <c r="S349" i="11" s="1"/>
  <c r="S350" i="11" s="1"/>
  <c r="S351" i="11" s="1"/>
  <c r="S352" i="11" s="1"/>
  <c r="S353" i="11" s="1"/>
  <c r="S354" i="11" s="1"/>
  <c r="S355" i="11" s="1"/>
  <c r="S356" i="11" s="1"/>
  <c r="S357" i="11" s="1"/>
  <c r="S358" i="11" s="1"/>
  <c r="S359" i="11" s="1"/>
  <c r="S360" i="11" s="1"/>
  <c r="S361" i="11" s="1"/>
  <c r="S362" i="11" s="1"/>
  <c r="S363" i="11" s="1"/>
  <c r="S364" i="11" s="1"/>
  <c r="S365" i="11" s="1"/>
  <c r="S366" i="11" s="1"/>
  <c r="S367" i="11" s="1"/>
  <c r="S368" i="11" s="1"/>
  <c r="S369" i="11" s="1"/>
  <c r="S370" i="11" s="1"/>
  <c r="S371" i="11" s="1"/>
  <c r="S372" i="11" s="1"/>
  <c r="S373" i="11" s="1"/>
  <c r="S374" i="11" s="1"/>
  <c r="S375" i="11" s="1"/>
  <c r="S376" i="11" s="1"/>
  <c r="S377" i="11" s="1"/>
  <c r="S378" i="11" s="1"/>
  <c r="S379" i="11" s="1"/>
  <c r="S380" i="11" s="1"/>
  <c r="S381" i="11" s="1"/>
  <c r="S382" i="11" s="1"/>
  <c r="S383" i="11" s="1"/>
  <c r="S384" i="11" s="1"/>
  <c r="S385" i="11" s="1"/>
  <c r="S386" i="11" s="1"/>
  <c r="S387" i="11" s="1"/>
  <c r="S388" i="11" s="1"/>
  <c r="S389" i="11" s="1"/>
  <c r="S390" i="11" s="1"/>
  <c r="S391" i="11" s="1"/>
  <c r="S392" i="11" s="1"/>
  <c r="S393" i="11" s="1"/>
  <c r="S394" i="11" s="1"/>
  <c r="S395" i="11" s="1"/>
  <c r="S396" i="11" s="1"/>
  <c r="S397" i="11" s="1"/>
  <c r="S398" i="11" s="1"/>
  <c r="S399" i="11" s="1"/>
  <c r="S400" i="11" s="1"/>
  <c r="S401" i="11" s="1"/>
  <c r="S402" i="11" s="1"/>
  <c r="S403" i="11" s="1"/>
  <c r="S404" i="11" s="1"/>
  <c r="S405" i="11" s="1"/>
  <c r="S406" i="11" s="1"/>
  <c r="S407" i="11" s="1"/>
  <c r="S408" i="11" s="1"/>
  <c r="S409" i="11" s="1"/>
  <c r="S410" i="11" s="1"/>
  <c r="S411" i="11" s="1"/>
  <c r="S412" i="11" s="1"/>
  <c r="S413" i="11" s="1"/>
  <c r="S414" i="11" s="1"/>
  <c r="S415" i="11" s="1"/>
  <c r="S416" i="11" s="1"/>
  <c r="S417" i="11" s="1"/>
  <c r="S418" i="11" s="1"/>
  <c r="S419" i="11" s="1"/>
  <c r="S420" i="11" s="1"/>
  <c r="S421" i="11" s="1"/>
  <c r="S422" i="11" s="1"/>
  <c r="S423" i="11" s="1"/>
  <c r="S424" i="11" s="1"/>
  <c r="S425" i="11" s="1"/>
  <c r="S426" i="11" s="1"/>
  <c r="S427" i="11" s="1"/>
  <c r="S428" i="11" s="1"/>
  <c r="S429" i="11" s="1"/>
  <c r="S430" i="11" s="1"/>
  <c r="S431" i="11" s="1"/>
  <c r="S432" i="11" s="1"/>
  <c r="S433" i="11" s="1"/>
  <c r="S434" i="11" s="1"/>
  <c r="S435" i="11" s="1"/>
  <c r="S436" i="11" s="1"/>
  <c r="S437" i="11" s="1"/>
  <c r="S438" i="11" s="1"/>
  <c r="S439" i="11" s="1"/>
  <c r="S440" i="11" s="1"/>
  <c r="S441" i="11" s="1"/>
  <c r="S442" i="11" s="1"/>
  <c r="S443" i="11" s="1"/>
  <c r="S444" i="11" s="1"/>
  <c r="S445" i="11" s="1"/>
  <c r="S446" i="11" s="1"/>
  <c r="S447" i="11" s="1"/>
  <c r="S448" i="11" s="1"/>
  <c r="S449" i="11" s="1"/>
  <c r="S450" i="11" s="1"/>
  <c r="S451" i="11" s="1"/>
  <c r="S452" i="11" s="1"/>
  <c r="S453" i="11" s="1"/>
  <c r="S454" i="11" s="1"/>
  <c r="S455" i="11" s="1"/>
  <c r="S456" i="11" s="1"/>
  <c r="S457" i="11" s="1"/>
  <c r="S458" i="11" s="1"/>
  <c r="S459" i="11" s="1"/>
  <c r="S460" i="11" s="1"/>
  <c r="S461" i="11" s="1"/>
  <c r="S462" i="11" s="1"/>
  <c r="S463" i="11" s="1"/>
  <c r="S464" i="11" s="1"/>
  <c r="S465" i="11" s="1"/>
  <c r="S466" i="11" s="1"/>
  <c r="S467" i="11" s="1"/>
  <c r="S468" i="11" s="1"/>
  <c r="S469" i="11" s="1"/>
  <c r="S470" i="11" s="1"/>
  <c r="S471" i="11" s="1"/>
  <c r="S472" i="11" s="1"/>
  <c r="S473" i="11" s="1"/>
  <c r="S474" i="11" s="1"/>
  <c r="S475" i="11" s="1"/>
  <c r="S476" i="11" s="1"/>
  <c r="S477" i="11" s="1"/>
  <c r="S478" i="11" s="1"/>
  <c r="S479" i="11" s="1"/>
  <c r="S480" i="11" s="1"/>
  <c r="S481" i="11" s="1"/>
  <c r="S482" i="11" s="1"/>
  <c r="S483" i="11" s="1"/>
  <c r="S484" i="11" s="1"/>
  <c r="S485" i="11" s="1"/>
  <c r="S486" i="11" s="1"/>
  <c r="S487" i="11" s="1"/>
  <c r="S488" i="11" s="1"/>
  <c r="S489" i="11" s="1"/>
  <c r="S490" i="11" s="1"/>
  <c r="S491" i="11" s="1"/>
  <c r="S492" i="11" s="1"/>
  <c r="S493" i="11" s="1"/>
  <c r="S494" i="11" s="1"/>
  <c r="S495" i="11" s="1"/>
  <c r="S496" i="11" s="1"/>
  <c r="S497" i="11" s="1"/>
  <c r="S498" i="11" s="1"/>
  <c r="S499" i="11" s="1"/>
  <c r="S500" i="11" s="1"/>
  <c r="S501" i="11" s="1"/>
  <c r="S502" i="11" s="1"/>
  <c r="S503" i="11" s="1"/>
  <c r="S504" i="11" s="1"/>
  <c r="S505" i="11" s="1"/>
  <c r="S506" i="11" s="1"/>
  <c r="S507" i="11" s="1"/>
  <c r="S508" i="11" s="1"/>
  <c r="S509" i="11" s="1"/>
  <c r="S510" i="11" s="1"/>
  <c r="S511" i="11" s="1"/>
  <c r="S512" i="11" s="1"/>
  <c r="S513" i="11" s="1"/>
  <c r="S514" i="11" s="1"/>
  <c r="S515" i="11" s="1"/>
  <c r="S516" i="11" s="1"/>
  <c r="S517" i="11" s="1"/>
  <c r="S518" i="11" s="1"/>
  <c r="S519" i="11" s="1"/>
  <c r="S520" i="11" s="1"/>
  <c r="S521" i="11" s="1"/>
  <c r="S522" i="11" s="1"/>
  <c r="S523" i="11" s="1"/>
  <c r="S524" i="11" s="1"/>
  <c r="S525" i="11" s="1"/>
  <c r="S526" i="11" s="1"/>
  <c r="S527" i="11" s="1"/>
  <c r="S528" i="11" s="1"/>
  <c r="S529" i="11" s="1"/>
  <c r="S530" i="11" s="1"/>
  <c r="S531" i="11" s="1"/>
  <c r="S532" i="11" s="1"/>
  <c r="S533" i="11" s="1"/>
  <c r="S534" i="11" s="1"/>
  <c r="S535" i="11" s="1"/>
  <c r="S536" i="11" s="1"/>
  <c r="S537" i="11" s="1"/>
  <c r="S538" i="11" s="1"/>
  <c r="S539" i="11" s="1"/>
  <c r="S540" i="11" s="1"/>
  <c r="S541" i="11" s="1"/>
  <c r="S542" i="11" s="1"/>
  <c r="S543" i="11" s="1"/>
  <c r="S544" i="11" s="1"/>
  <c r="S545" i="11" s="1"/>
  <c r="S546" i="11" s="1"/>
  <c r="S547" i="11" s="1"/>
  <c r="S548" i="11" s="1"/>
  <c r="S549" i="11" s="1"/>
  <c r="S550" i="11" s="1"/>
  <c r="S551" i="11" s="1"/>
  <c r="S552" i="11" s="1"/>
  <c r="S553" i="11" s="1"/>
  <c r="S554" i="11" s="1"/>
  <c r="S555" i="11" s="1"/>
  <c r="S556" i="11" s="1"/>
  <c r="S557" i="11" s="1"/>
  <c r="S558" i="11" s="1"/>
  <c r="S559" i="11" s="1"/>
  <c r="S560" i="11" s="1"/>
  <c r="S561" i="11" s="1"/>
  <c r="S562" i="11" s="1"/>
  <c r="S563" i="11" s="1"/>
  <c r="S564" i="11" s="1"/>
  <c r="S565" i="11" s="1"/>
  <c r="S566" i="11" s="1"/>
  <c r="S567" i="11" s="1"/>
  <c r="S568" i="11" s="1"/>
  <c r="S569" i="11" s="1"/>
  <c r="S570" i="11" s="1"/>
  <c r="S571" i="11" s="1"/>
  <c r="S572" i="11" s="1"/>
  <c r="S573" i="11" s="1"/>
  <c r="S574" i="11" s="1"/>
  <c r="S575" i="11" s="1"/>
  <c r="S576" i="11" s="1"/>
  <c r="S577" i="11" s="1"/>
  <c r="S578" i="11" s="1"/>
  <c r="S579" i="11" s="1"/>
  <c r="S580" i="11" s="1"/>
  <c r="S581" i="11" s="1"/>
  <c r="S582" i="11" s="1"/>
  <c r="S583" i="11" s="1"/>
  <c r="S584" i="11" s="1"/>
  <c r="S585" i="11" s="1"/>
  <c r="S586" i="11" s="1"/>
  <c r="S587" i="11" s="1"/>
  <c r="S588" i="11" s="1"/>
  <c r="S589" i="11" s="1"/>
  <c r="S590" i="11" s="1"/>
  <c r="S591" i="11" s="1"/>
  <c r="S592" i="11" s="1"/>
  <c r="S593" i="11" s="1"/>
  <c r="S594" i="11" s="1"/>
  <c r="S595" i="11" s="1"/>
  <c r="S596" i="11" s="1"/>
  <c r="S597" i="11" s="1"/>
  <c r="S598" i="11" s="1"/>
  <c r="S599" i="11" s="1"/>
  <c r="S600" i="11" s="1"/>
  <c r="S601" i="11" s="1"/>
  <c r="S602" i="11" s="1"/>
  <c r="S603" i="11" s="1"/>
  <c r="S604" i="11" s="1"/>
  <c r="S605" i="11" s="1"/>
  <c r="S606" i="11" s="1"/>
  <c r="S607" i="11" s="1"/>
  <c r="S608" i="11" s="1"/>
  <c r="S609" i="11" s="1"/>
  <c r="S610" i="11" s="1"/>
  <c r="S611" i="11" s="1"/>
  <c r="S612" i="11" s="1"/>
  <c r="S613" i="11" s="1"/>
  <c r="S614" i="11" s="1"/>
  <c r="S615" i="11" s="1"/>
  <c r="S616" i="11" s="1"/>
  <c r="S617" i="11" s="1"/>
  <c r="S618" i="11" s="1"/>
  <c r="S619" i="11" s="1"/>
  <c r="S620" i="11" s="1"/>
  <c r="S621" i="11" s="1"/>
  <c r="S622" i="11" s="1"/>
  <c r="S623" i="11" s="1"/>
  <c r="S624" i="11" s="1"/>
  <c r="S625" i="11" s="1"/>
  <c r="S626" i="11" s="1"/>
  <c r="S627" i="11" s="1"/>
  <c r="S628" i="11" s="1"/>
  <c r="S629" i="11" s="1"/>
  <c r="S630" i="11" s="1"/>
  <c r="S631" i="11" s="1"/>
  <c r="S632" i="11" s="1"/>
  <c r="S633" i="11" s="1"/>
  <c r="S634" i="11" s="1"/>
  <c r="S635" i="11" s="1"/>
  <c r="S636" i="11" s="1"/>
  <c r="S637" i="11" s="1"/>
  <c r="S638" i="11" s="1"/>
  <c r="S639" i="11" s="1"/>
  <c r="S640" i="11" s="1"/>
  <c r="S641" i="11" s="1"/>
  <c r="S642" i="11" s="1"/>
  <c r="S643" i="11" s="1"/>
  <c r="S644" i="11" s="1"/>
  <c r="S645" i="11" s="1"/>
  <c r="S646" i="11" s="1"/>
  <c r="S647" i="11" s="1"/>
  <c r="S648" i="11" s="1"/>
  <c r="S649" i="11" s="1"/>
  <c r="S650" i="11" s="1"/>
  <c r="S651" i="11" s="1"/>
  <c r="S652" i="11" s="1"/>
  <c r="S653" i="11" s="1"/>
  <c r="S654" i="11" s="1"/>
  <c r="S655" i="11" s="1"/>
  <c r="S656" i="11" s="1"/>
  <c r="S657" i="11" s="1"/>
  <c r="S658" i="11" s="1"/>
  <c r="S659" i="11" s="1"/>
  <c r="S660" i="11" s="1"/>
  <c r="S661" i="11" s="1"/>
  <c r="S662" i="11" s="1"/>
  <c r="S663" i="11" s="1"/>
  <c r="S664" i="11" s="1"/>
  <c r="S665" i="11" s="1"/>
  <c r="S666" i="11" s="1"/>
  <c r="S667" i="11" s="1"/>
  <c r="S668" i="11" s="1"/>
  <c r="S669" i="11" s="1"/>
  <c r="S670" i="11" s="1"/>
  <c r="S671" i="11" s="1"/>
  <c r="S672" i="11" s="1"/>
  <c r="S673" i="11" s="1"/>
  <c r="S674" i="11" s="1"/>
  <c r="S675" i="11" s="1"/>
  <c r="S676" i="11" s="1"/>
  <c r="S677" i="11" s="1"/>
  <c r="S678" i="11" s="1"/>
  <c r="S679" i="11" s="1"/>
  <c r="S680" i="11" s="1"/>
  <c r="S681" i="11" s="1"/>
  <c r="S682" i="11" s="1"/>
  <c r="S683" i="11" s="1"/>
  <c r="S684" i="11" s="1"/>
  <c r="S685" i="11" s="1"/>
  <c r="S686" i="11" s="1"/>
  <c r="S687" i="11" s="1"/>
  <c r="S688" i="11" s="1"/>
  <c r="S689" i="11" s="1"/>
  <c r="H94" i="11"/>
  <c r="AC100" i="11"/>
  <c r="O96" i="11"/>
  <c r="AB98" i="11"/>
  <c r="K98" i="11"/>
  <c r="AG95" i="11"/>
  <c r="AA94" i="11"/>
  <c r="W95" i="11" s="1"/>
  <c r="BN96" i="11" l="1"/>
  <c r="BO96" i="11"/>
  <c r="I94" i="11"/>
  <c r="AD94" i="11" s="1"/>
  <c r="AF94" i="11"/>
  <c r="AB99" i="11"/>
  <c r="K99" i="11"/>
  <c r="AC101" i="11"/>
  <c r="AC102" i="11" s="1"/>
  <c r="AC103" i="11" s="1"/>
  <c r="AC104" i="11" s="1"/>
  <c r="AC105" i="11" s="1"/>
  <c r="AC106" i="11" s="1"/>
  <c r="AC107" i="11" s="1"/>
  <c r="AC108" i="11" s="1"/>
  <c r="AC109" i="11" s="1"/>
  <c r="AC110" i="11" s="1"/>
  <c r="AC111" i="11" s="1"/>
  <c r="AC112" i="11" s="1"/>
  <c r="AC113" i="11" s="1"/>
  <c r="AC114" i="11" s="1"/>
  <c r="AC115" i="11" s="1"/>
  <c r="AC116" i="11" s="1"/>
  <c r="AC117" i="11" s="1"/>
  <c r="AC118" i="11" s="1"/>
  <c r="AC119" i="11" s="1"/>
  <c r="AC120" i="11" s="1"/>
  <c r="AC121" i="11" s="1"/>
  <c r="AC122" i="11" s="1"/>
  <c r="AC123" i="11" s="1"/>
  <c r="AC124" i="11" s="1"/>
  <c r="AC125" i="11" s="1"/>
  <c r="AC126" i="11" s="1"/>
  <c r="AC127" i="11" s="1"/>
  <c r="AC128" i="11" s="1"/>
  <c r="AC129" i="11" s="1"/>
  <c r="AC130" i="11" s="1"/>
  <c r="AC131" i="11" s="1"/>
  <c r="AC132" i="11" s="1"/>
  <c r="AC133" i="11" s="1"/>
  <c r="AC134" i="11" s="1"/>
  <c r="AC135" i="11" s="1"/>
  <c r="AC136" i="11" s="1"/>
  <c r="AC137" i="11" s="1"/>
  <c r="AC138" i="11" s="1"/>
  <c r="AC139" i="11" s="1"/>
  <c r="AC140" i="11" s="1"/>
  <c r="AC141" i="11" s="1"/>
  <c r="AC142" i="11" s="1"/>
  <c r="AC143" i="11" s="1"/>
  <c r="AC144" i="11" s="1"/>
  <c r="AC145" i="11" s="1"/>
  <c r="AC146" i="11" s="1"/>
  <c r="AC147" i="11" s="1"/>
  <c r="AC148" i="11" s="1"/>
  <c r="AC149" i="11" s="1"/>
  <c r="AC150" i="11" s="1"/>
  <c r="AC151" i="11" s="1"/>
  <c r="AC152" i="11" s="1"/>
  <c r="AC153" i="11" s="1"/>
  <c r="AC154" i="11" s="1"/>
  <c r="AC155" i="11" s="1"/>
  <c r="AC156" i="11" s="1"/>
  <c r="AC157" i="11" s="1"/>
  <c r="AC158" i="11" s="1"/>
  <c r="AC159" i="11" s="1"/>
  <c r="AC160" i="11" s="1"/>
  <c r="AC161" i="11" s="1"/>
  <c r="AC162" i="11" s="1"/>
  <c r="AC163" i="11" s="1"/>
  <c r="AC164" i="11" s="1"/>
  <c r="AC165" i="11" s="1"/>
  <c r="AC166" i="11" s="1"/>
  <c r="AC167" i="11" s="1"/>
  <c r="AC168" i="11" s="1"/>
  <c r="AC169" i="11" s="1"/>
  <c r="AC170" i="11" s="1"/>
  <c r="AC171" i="11" s="1"/>
  <c r="AC172" i="11" s="1"/>
  <c r="AC173" i="11" s="1"/>
  <c r="AC174" i="11" s="1"/>
  <c r="AC175" i="11" s="1"/>
  <c r="AC176" i="11" s="1"/>
  <c r="AC177" i="11" s="1"/>
  <c r="AC178" i="11" s="1"/>
  <c r="AC179" i="11" s="1"/>
  <c r="AC180" i="11" s="1"/>
  <c r="AC181" i="11" s="1"/>
  <c r="AC182" i="11" s="1"/>
  <c r="AC183" i="11" s="1"/>
  <c r="AC184" i="11" s="1"/>
  <c r="AC185" i="11" s="1"/>
  <c r="AC186" i="11" s="1"/>
  <c r="AC187" i="11" s="1"/>
  <c r="AC188" i="11" s="1"/>
  <c r="AC189" i="11" s="1"/>
  <c r="AC190" i="11" s="1"/>
  <c r="AC191" i="11" s="1"/>
  <c r="AC192" i="11" s="1"/>
  <c r="AC193" i="11" s="1"/>
  <c r="AC194" i="11" s="1"/>
  <c r="AC195" i="11" s="1"/>
  <c r="AC196" i="11" s="1"/>
  <c r="AC197" i="11" s="1"/>
  <c r="AC198" i="11" s="1"/>
  <c r="AC199" i="11" s="1"/>
  <c r="AC200" i="11" s="1"/>
  <c r="AC201" i="11" s="1"/>
  <c r="AC202" i="11" s="1"/>
  <c r="AC203" i="11" s="1"/>
  <c r="AC204" i="11" s="1"/>
  <c r="AC205" i="11" s="1"/>
  <c r="AC206" i="11" s="1"/>
  <c r="AC207" i="11" s="1"/>
  <c r="AC208" i="11" s="1"/>
  <c r="AC209" i="11" s="1"/>
  <c r="AC210" i="11" s="1"/>
  <c r="AC211" i="11" s="1"/>
  <c r="AC212" i="11" s="1"/>
  <c r="AC213" i="11" s="1"/>
  <c r="AC214" i="11" s="1"/>
  <c r="AC215" i="11" s="1"/>
  <c r="AC216" i="11" s="1"/>
  <c r="AC217" i="11" s="1"/>
  <c r="AC218" i="11" s="1"/>
  <c r="AC219" i="11" s="1"/>
  <c r="AC220" i="11" s="1"/>
  <c r="AC221" i="11" s="1"/>
  <c r="AC222" i="11" s="1"/>
  <c r="AC223" i="11" s="1"/>
  <c r="AC224" i="11" s="1"/>
  <c r="AC225" i="11" s="1"/>
  <c r="AC226" i="11" s="1"/>
  <c r="AC227" i="11" s="1"/>
  <c r="AC228" i="11" s="1"/>
  <c r="AC229" i="11" s="1"/>
  <c r="AC230" i="11" s="1"/>
  <c r="AC231" i="11" s="1"/>
  <c r="AC232" i="11" s="1"/>
  <c r="AC233" i="11" s="1"/>
  <c r="AC234" i="11" s="1"/>
  <c r="AC235" i="11" s="1"/>
  <c r="AC236" i="11" s="1"/>
  <c r="AC237" i="11" s="1"/>
  <c r="AC238" i="11" s="1"/>
  <c r="AC239" i="11" s="1"/>
  <c r="AC240" i="11" s="1"/>
  <c r="AC241" i="11" s="1"/>
  <c r="AC242" i="11" s="1"/>
  <c r="AC243" i="11" s="1"/>
  <c r="AC244" i="11" s="1"/>
  <c r="AC245" i="11" s="1"/>
  <c r="AC246" i="11" s="1"/>
  <c r="AC247" i="11" s="1"/>
  <c r="AC248" i="11" s="1"/>
  <c r="AC249" i="11" s="1"/>
  <c r="AC250" i="11" s="1"/>
  <c r="AC251" i="11" s="1"/>
  <c r="AC252" i="11" s="1"/>
  <c r="AC253" i="11" s="1"/>
  <c r="AC254" i="11" s="1"/>
  <c r="AC255" i="11" s="1"/>
  <c r="AC256" i="11" s="1"/>
  <c r="AC257" i="11" s="1"/>
  <c r="AC258" i="11" s="1"/>
  <c r="AC259" i="11" s="1"/>
  <c r="AC260" i="11" s="1"/>
  <c r="AC261" i="11" s="1"/>
  <c r="AC262" i="11" s="1"/>
  <c r="AC263" i="11" s="1"/>
  <c r="AC264" i="11" s="1"/>
  <c r="AC265" i="11" s="1"/>
  <c r="AC266" i="11" s="1"/>
  <c r="AC267" i="11" s="1"/>
  <c r="AC268" i="11" s="1"/>
  <c r="AC269" i="11" s="1"/>
  <c r="AC270" i="11" s="1"/>
  <c r="AC271" i="11" s="1"/>
  <c r="AC272" i="11" s="1"/>
  <c r="AC273" i="11" s="1"/>
  <c r="AC274" i="11" s="1"/>
  <c r="AC275" i="11" s="1"/>
  <c r="AC276" i="11" s="1"/>
  <c r="AC277" i="11" s="1"/>
  <c r="AC278" i="11" s="1"/>
  <c r="AC279" i="11" s="1"/>
  <c r="AC280" i="11" s="1"/>
  <c r="AC281" i="11" s="1"/>
  <c r="AC282" i="11" s="1"/>
  <c r="AC283" i="11" s="1"/>
  <c r="AC284" i="11" s="1"/>
  <c r="AC285" i="11" s="1"/>
  <c r="AC286" i="11" s="1"/>
  <c r="AC287" i="11" s="1"/>
  <c r="AC288" i="11" s="1"/>
  <c r="AC289" i="11" s="1"/>
  <c r="AC290" i="11" s="1"/>
  <c r="AC291" i="11" s="1"/>
  <c r="AC292" i="11" s="1"/>
  <c r="AC293" i="11" s="1"/>
  <c r="AC294" i="11" s="1"/>
  <c r="AC295" i="11" s="1"/>
  <c r="AC296" i="11" s="1"/>
  <c r="AC297" i="11" s="1"/>
  <c r="AC298" i="11" s="1"/>
  <c r="AC299" i="11" s="1"/>
  <c r="AC300" i="11" s="1"/>
  <c r="AC301" i="11" s="1"/>
  <c r="AC302" i="11" s="1"/>
  <c r="AC303" i="11" s="1"/>
  <c r="AC304" i="11" s="1"/>
  <c r="AC305" i="11" s="1"/>
  <c r="AC306" i="11" s="1"/>
  <c r="AC307" i="11" s="1"/>
  <c r="AC308" i="11" s="1"/>
  <c r="AC309" i="11" s="1"/>
  <c r="AC310" i="11" s="1"/>
  <c r="AC311" i="11" s="1"/>
  <c r="AC312" i="11" s="1"/>
  <c r="AC313" i="11" s="1"/>
  <c r="AC314" i="11" s="1"/>
  <c r="AC315" i="11" s="1"/>
  <c r="AC316" i="11" s="1"/>
  <c r="AC317" i="11" s="1"/>
  <c r="AC318" i="11" s="1"/>
  <c r="AC319" i="11" s="1"/>
  <c r="AC320" i="11" s="1"/>
  <c r="AC321" i="11" s="1"/>
  <c r="AC322" i="11" s="1"/>
  <c r="AC323" i="11" s="1"/>
  <c r="AC324" i="11" s="1"/>
  <c r="AC325" i="11" s="1"/>
  <c r="AC326" i="11" s="1"/>
  <c r="AC327" i="11" s="1"/>
  <c r="AC328" i="11" s="1"/>
  <c r="AC329" i="11" s="1"/>
  <c r="AC330" i="11" s="1"/>
  <c r="AC331" i="11" s="1"/>
  <c r="AC332" i="11" s="1"/>
  <c r="AC333" i="11" s="1"/>
  <c r="AC334" i="11" s="1"/>
  <c r="AC335" i="11" s="1"/>
  <c r="AC336" i="11" s="1"/>
  <c r="AC337" i="11" s="1"/>
  <c r="AC338" i="11" s="1"/>
  <c r="AC339" i="11" s="1"/>
  <c r="AC340" i="11" s="1"/>
  <c r="AC341" i="11" s="1"/>
  <c r="AC342" i="11" s="1"/>
  <c r="AC343" i="11" s="1"/>
  <c r="AC344" i="11" s="1"/>
  <c r="AC345" i="11" s="1"/>
  <c r="AC346" i="11" s="1"/>
  <c r="AC347" i="11" s="1"/>
  <c r="AC348" i="11" s="1"/>
  <c r="AC349" i="11" s="1"/>
  <c r="AC350" i="11" s="1"/>
  <c r="AC351" i="11" s="1"/>
  <c r="AC352" i="11" s="1"/>
  <c r="AC353" i="11" s="1"/>
  <c r="AC354" i="11" s="1"/>
  <c r="AC355" i="11" s="1"/>
  <c r="AC356" i="11" s="1"/>
  <c r="AC357" i="11" s="1"/>
  <c r="AC358" i="11" s="1"/>
  <c r="AC359" i="11" s="1"/>
  <c r="AC360" i="11" s="1"/>
  <c r="AC361" i="11" s="1"/>
  <c r="AC362" i="11" s="1"/>
  <c r="AC363" i="11" s="1"/>
  <c r="AC364" i="11" s="1"/>
  <c r="AC365" i="11" s="1"/>
  <c r="AC366" i="11" s="1"/>
  <c r="AC367" i="11" s="1"/>
  <c r="AC368" i="11" s="1"/>
  <c r="AC369" i="11" s="1"/>
  <c r="AC370" i="11" s="1"/>
  <c r="AC371" i="11" s="1"/>
  <c r="AC372" i="11" s="1"/>
  <c r="AC373" i="11" s="1"/>
  <c r="AC374" i="11" s="1"/>
  <c r="AC375" i="11" s="1"/>
  <c r="AC376" i="11" s="1"/>
  <c r="AC377" i="11" s="1"/>
  <c r="AC378" i="11" s="1"/>
  <c r="AC379" i="11" s="1"/>
  <c r="AC380" i="11" s="1"/>
  <c r="AC381" i="11" s="1"/>
  <c r="AC382" i="11" s="1"/>
  <c r="AC383" i="11" s="1"/>
  <c r="AC384" i="11" s="1"/>
  <c r="AC385" i="11" s="1"/>
  <c r="AC386" i="11" s="1"/>
  <c r="AC387" i="11" s="1"/>
  <c r="AC388" i="11" s="1"/>
  <c r="AC389" i="11" s="1"/>
  <c r="AC390" i="11" s="1"/>
  <c r="AC391" i="11" s="1"/>
  <c r="AC392" i="11" s="1"/>
  <c r="AC393" i="11" s="1"/>
  <c r="AC394" i="11" s="1"/>
  <c r="AC395" i="11" s="1"/>
  <c r="AC396" i="11" s="1"/>
  <c r="AC397" i="11" s="1"/>
  <c r="AC398" i="11" s="1"/>
  <c r="AC399" i="11" s="1"/>
  <c r="AC400" i="11" s="1"/>
  <c r="AC401" i="11" s="1"/>
  <c r="AC402" i="11" s="1"/>
  <c r="AC403" i="11" s="1"/>
  <c r="AC404" i="11" s="1"/>
  <c r="AC405" i="11" s="1"/>
  <c r="AC406" i="11" s="1"/>
  <c r="AC407" i="11" s="1"/>
  <c r="AC408" i="11" s="1"/>
  <c r="AC409" i="11" s="1"/>
  <c r="AC410" i="11" s="1"/>
  <c r="AC411" i="11" s="1"/>
  <c r="AC412" i="11" s="1"/>
  <c r="AC413" i="11" s="1"/>
  <c r="AC414" i="11" s="1"/>
  <c r="AC415" i="11" s="1"/>
  <c r="AC416" i="11" s="1"/>
  <c r="AC417" i="11" s="1"/>
  <c r="AC418" i="11" s="1"/>
  <c r="AC419" i="11" s="1"/>
  <c r="AC420" i="11" s="1"/>
  <c r="AC421" i="11" s="1"/>
  <c r="AC422" i="11" s="1"/>
  <c r="AC423" i="11" s="1"/>
  <c r="AC424" i="11" s="1"/>
  <c r="AC425" i="11" s="1"/>
  <c r="AC426" i="11" s="1"/>
  <c r="AC427" i="11" s="1"/>
  <c r="AC428" i="11" s="1"/>
  <c r="AC429" i="11" s="1"/>
  <c r="AC430" i="11" s="1"/>
  <c r="AC431" i="11" s="1"/>
  <c r="AC432" i="11" s="1"/>
  <c r="AC433" i="11" s="1"/>
  <c r="AC434" i="11" s="1"/>
  <c r="AC435" i="11" s="1"/>
  <c r="AC436" i="11" s="1"/>
  <c r="AC437" i="11" s="1"/>
  <c r="AC438" i="11" s="1"/>
  <c r="AC439" i="11" s="1"/>
  <c r="AC440" i="11" s="1"/>
  <c r="AC441" i="11" s="1"/>
  <c r="AC442" i="11" s="1"/>
  <c r="AC443" i="11" s="1"/>
  <c r="AC444" i="11" s="1"/>
  <c r="AC445" i="11" s="1"/>
  <c r="AC446" i="11" s="1"/>
  <c r="AC447" i="11" s="1"/>
  <c r="AC448" i="11" s="1"/>
  <c r="AC449" i="11" s="1"/>
  <c r="AC450" i="11" s="1"/>
  <c r="AC451" i="11" s="1"/>
  <c r="AC452" i="11" s="1"/>
  <c r="AC453" i="11" s="1"/>
  <c r="AC454" i="11" s="1"/>
  <c r="AC455" i="11" s="1"/>
  <c r="AC456" i="11" s="1"/>
  <c r="AC457" i="11" s="1"/>
  <c r="AC458" i="11" s="1"/>
  <c r="AC459" i="11" s="1"/>
  <c r="AC460" i="11" s="1"/>
  <c r="AC461" i="11" s="1"/>
  <c r="AC462" i="11" s="1"/>
  <c r="AC463" i="11" s="1"/>
  <c r="AC464" i="11" s="1"/>
  <c r="AC465" i="11" s="1"/>
  <c r="AC466" i="11" s="1"/>
  <c r="AC467" i="11" s="1"/>
  <c r="AC468" i="11" s="1"/>
  <c r="AC469" i="11" s="1"/>
  <c r="AC470" i="11" s="1"/>
  <c r="AC471" i="11" s="1"/>
  <c r="AC472" i="11" s="1"/>
  <c r="AC473" i="11" s="1"/>
  <c r="AC474" i="11" s="1"/>
  <c r="AC475" i="11" s="1"/>
  <c r="AC476" i="11" s="1"/>
  <c r="AC477" i="11" s="1"/>
  <c r="AC478" i="11" s="1"/>
  <c r="AC479" i="11" s="1"/>
  <c r="AC480" i="11" s="1"/>
  <c r="AC481" i="11" s="1"/>
  <c r="AC482" i="11" s="1"/>
  <c r="AC483" i="11" s="1"/>
  <c r="AC484" i="11" s="1"/>
  <c r="AC485" i="11" s="1"/>
  <c r="AC486" i="11" s="1"/>
  <c r="AC487" i="11" s="1"/>
  <c r="AC488" i="11" s="1"/>
  <c r="AC489" i="11" s="1"/>
  <c r="AC490" i="11" s="1"/>
  <c r="AC491" i="11" s="1"/>
  <c r="AC492" i="11" s="1"/>
  <c r="AC493" i="11" s="1"/>
  <c r="AC494" i="11" s="1"/>
  <c r="AC495" i="11" s="1"/>
  <c r="AC496" i="11" s="1"/>
  <c r="AC497" i="11" s="1"/>
  <c r="AC498" i="11" s="1"/>
  <c r="AC499" i="11" s="1"/>
  <c r="AC500" i="11" s="1"/>
  <c r="AC501" i="11" s="1"/>
  <c r="AC502" i="11" s="1"/>
  <c r="AC503" i="11" s="1"/>
  <c r="AC504" i="11" s="1"/>
  <c r="AC505" i="11" s="1"/>
  <c r="AC506" i="11" s="1"/>
  <c r="AC507" i="11" s="1"/>
  <c r="AC508" i="11" s="1"/>
  <c r="AC509" i="11" s="1"/>
  <c r="AC510" i="11" s="1"/>
  <c r="AC511" i="11" s="1"/>
  <c r="AC512" i="11" s="1"/>
  <c r="AC513" i="11" s="1"/>
  <c r="AC514" i="11" s="1"/>
  <c r="AC515" i="11" s="1"/>
  <c r="AC516" i="11" s="1"/>
  <c r="AC517" i="11" s="1"/>
  <c r="AC518" i="11" s="1"/>
  <c r="AC519" i="11" s="1"/>
  <c r="AC520" i="11" s="1"/>
  <c r="AC521" i="11" s="1"/>
  <c r="AC522" i="11" s="1"/>
  <c r="AC523" i="11" s="1"/>
  <c r="AC524" i="11" s="1"/>
  <c r="AC525" i="11" s="1"/>
  <c r="AC526" i="11" s="1"/>
  <c r="AC527" i="11" s="1"/>
  <c r="AC528" i="11" s="1"/>
  <c r="AC529" i="11" s="1"/>
  <c r="AC530" i="11" s="1"/>
  <c r="AC531" i="11" s="1"/>
  <c r="AC532" i="11" s="1"/>
  <c r="AC533" i="11" s="1"/>
  <c r="AC534" i="11" s="1"/>
  <c r="AC535" i="11" s="1"/>
  <c r="AC536" i="11" s="1"/>
  <c r="AC537" i="11" s="1"/>
  <c r="AC538" i="11" s="1"/>
  <c r="AC539" i="11" s="1"/>
  <c r="AC540" i="11" s="1"/>
  <c r="AC541" i="11" s="1"/>
  <c r="AC542" i="11" s="1"/>
  <c r="AC543" i="11" s="1"/>
  <c r="AC544" i="11" s="1"/>
  <c r="AC545" i="11" s="1"/>
  <c r="AC546" i="11" s="1"/>
  <c r="AC547" i="11" s="1"/>
  <c r="AC548" i="11" s="1"/>
  <c r="AC549" i="11" s="1"/>
  <c r="AC550" i="11" s="1"/>
  <c r="AC551" i="11" s="1"/>
  <c r="AC552" i="11" s="1"/>
  <c r="AC553" i="11" s="1"/>
  <c r="AC554" i="11" s="1"/>
  <c r="AC555" i="11" s="1"/>
  <c r="AC556" i="11" s="1"/>
  <c r="AC557" i="11" s="1"/>
  <c r="AC558" i="11" s="1"/>
  <c r="AC559" i="11" s="1"/>
  <c r="AC560" i="11" s="1"/>
  <c r="AC561" i="11" s="1"/>
  <c r="AC562" i="11" s="1"/>
  <c r="AC563" i="11" s="1"/>
  <c r="AC564" i="11" s="1"/>
  <c r="AC565" i="11" s="1"/>
  <c r="AC566" i="11" s="1"/>
  <c r="AC567" i="11" s="1"/>
  <c r="AC568" i="11" s="1"/>
  <c r="AC569" i="11" s="1"/>
  <c r="AC570" i="11" s="1"/>
  <c r="AC571" i="11" s="1"/>
  <c r="AC572" i="11" s="1"/>
  <c r="AC573" i="11" s="1"/>
  <c r="AC574" i="11" s="1"/>
  <c r="AC575" i="11" s="1"/>
  <c r="AC576" i="11" s="1"/>
  <c r="AC577" i="11" s="1"/>
  <c r="AC578" i="11" s="1"/>
  <c r="AC579" i="11" s="1"/>
  <c r="AC580" i="11" s="1"/>
  <c r="AC581" i="11" s="1"/>
  <c r="AC582" i="11" s="1"/>
  <c r="AC583" i="11" s="1"/>
  <c r="AC584" i="11" s="1"/>
  <c r="AC585" i="11" s="1"/>
  <c r="AC586" i="11" s="1"/>
  <c r="AC587" i="11" s="1"/>
  <c r="AC588" i="11" s="1"/>
  <c r="AC589" i="11" s="1"/>
  <c r="AC590" i="11" s="1"/>
  <c r="AC591" i="11" s="1"/>
  <c r="AC592" i="11" s="1"/>
  <c r="AC593" i="11" s="1"/>
  <c r="AC594" i="11" s="1"/>
  <c r="AC595" i="11" s="1"/>
  <c r="AC596" i="11" s="1"/>
  <c r="AC597" i="11" s="1"/>
  <c r="AC598" i="11" s="1"/>
  <c r="AC599" i="11" s="1"/>
  <c r="AC600" i="11" s="1"/>
  <c r="AC601" i="11" s="1"/>
  <c r="AC602" i="11" s="1"/>
  <c r="AC603" i="11" s="1"/>
  <c r="AC604" i="11" s="1"/>
  <c r="AC605" i="11" s="1"/>
  <c r="AC606" i="11" s="1"/>
  <c r="AC607" i="11" s="1"/>
  <c r="AC608" i="11" s="1"/>
  <c r="AC609" i="11" s="1"/>
  <c r="AC610" i="11" s="1"/>
  <c r="AC611" i="11" s="1"/>
  <c r="AC612" i="11" s="1"/>
  <c r="AC613" i="11" s="1"/>
  <c r="AC614" i="11" s="1"/>
  <c r="AC615" i="11" s="1"/>
  <c r="AC616" i="11" s="1"/>
  <c r="AC617" i="11" s="1"/>
  <c r="AC618" i="11" s="1"/>
  <c r="AC619" i="11" s="1"/>
  <c r="AC620" i="11" s="1"/>
  <c r="AC621" i="11" s="1"/>
  <c r="AC622" i="11" s="1"/>
  <c r="AC623" i="11" s="1"/>
  <c r="AC624" i="11" s="1"/>
  <c r="AC625" i="11" s="1"/>
  <c r="AC626" i="11" s="1"/>
  <c r="AC627" i="11" s="1"/>
  <c r="AC628" i="11" s="1"/>
  <c r="AC629" i="11" s="1"/>
  <c r="AC630" i="11" s="1"/>
  <c r="AC631" i="11" s="1"/>
  <c r="AC632" i="11" s="1"/>
  <c r="AC633" i="11" s="1"/>
  <c r="AC634" i="11" s="1"/>
  <c r="AC635" i="11" s="1"/>
  <c r="AC636" i="11" s="1"/>
  <c r="AC637" i="11" s="1"/>
  <c r="AC638" i="11" s="1"/>
  <c r="AC639" i="11" s="1"/>
  <c r="AC640" i="11" s="1"/>
  <c r="AC641" i="11" s="1"/>
  <c r="AC642" i="11" s="1"/>
  <c r="AC643" i="11" s="1"/>
  <c r="AC644" i="11" s="1"/>
  <c r="AC645" i="11" s="1"/>
  <c r="AC646" i="11" s="1"/>
  <c r="AC647" i="11" s="1"/>
  <c r="AC648" i="11" s="1"/>
  <c r="AC649" i="11" s="1"/>
  <c r="AC650" i="11" s="1"/>
  <c r="AC651" i="11" s="1"/>
  <c r="AC652" i="11" s="1"/>
  <c r="AC653" i="11" s="1"/>
  <c r="AC654" i="11" s="1"/>
  <c r="AC655" i="11" s="1"/>
  <c r="AC656" i="11" s="1"/>
  <c r="AC657" i="11" s="1"/>
  <c r="AC658" i="11" s="1"/>
  <c r="AC659" i="11" s="1"/>
  <c r="AC660" i="11" s="1"/>
  <c r="AC661" i="11" s="1"/>
  <c r="AC662" i="11" s="1"/>
  <c r="AC663" i="11" s="1"/>
  <c r="AC664" i="11" s="1"/>
  <c r="AC665" i="11" s="1"/>
  <c r="AC666" i="11" s="1"/>
  <c r="AC667" i="11" s="1"/>
  <c r="AC668" i="11" s="1"/>
  <c r="AC669" i="11" s="1"/>
  <c r="AC670" i="11" s="1"/>
  <c r="AC671" i="11" s="1"/>
  <c r="AC672" i="11" s="1"/>
  <c r="AC673" i="11" s="1"/>
  <c r="AC674" i="11" s="1"/>
  <c r="AC675" i="11" s="1"/>
  <c r="AC676" i="11" s="1"/>
  <c r="AC677" i="11" s="1"/>
  <c r="AC678" i="11" s="1"/>
  <c r="AC679" i="11" s="1"/>
  <c r="AC680" i="11" s="1"/>
  <c r="AC681" i="11" s="1"/>
  <c r="AC682" i="11" s="1"/>
  <c r="AC683" i="11" s="1"/>
  <c r="AC684" i="11" s="1"/>
  <c r="AC685" i="11" s="1"/>
  <c r="AC686" i="11" s="1"/>
  <c r="AC687" i="11" s="1"/>
  <c r="AC688" i="11" s="1"/>
  <c r="AC689" i="11" s="1"/>
  <c r="Q96" i="11"/>
  <c r="R96" i="11" s="1"/>
  <c r="BP96" i="11" l="1"/>
  <c r="BH97" i="11" s="1"/>
  <c r="BN97" i="11" s="1"/>
  <c r="J94" i="11"/>
  <c r="H95" i="11" s="1"/>
  <c r="I95" i="11" s="1"/>
  <c r="AB100" i="11"/>
  <c r="K100" i="11"/>
  <c r="O97" i="11"/>
  <c r="Y95" i="11"/>
  <c r="BO97" i="11" l="1"/>
  <c r="BP97" i="11" s="1"/>
  <c r="BH98" i="11" s="1"/>
  <c r="BN98" i="11" s="1"/>
  <c r="AH94" i="11"/>
  <c r="J95" i="11"/>
  <c r="H96" i="11" s="1"/>
  <c r="Q97" i="11"/>
  <c r="R97" i="11" s="1"/>
  <c r="O98" i="11" s="1"/>
  <c r="K101" i="11"/>
  <c r="AB101" i="11"/>
  <c r="AF95" i="11"/>
  <c r="AD95" i="11"/>
  <c r="BO98" i="11" l="1"/>
  <c r="BP98" i="11" s="1"/>
  <c r="BH99" i="11" s="1"/>
  <c r="BO99" i="11" s="1"/>
  <c r="AA95" i="11"/>
  <c r="AB102" i="11"/>
  <c r="Q98" i="11"/>
  <c r="R98" i="11" s="1"/>
  <c r="K102" i="11"/>
  <c r="I96" i="11"/>
  <c r="AG96" i="11"/>
  <c r="AH95" i="11" l="1"/>
  <c r="W96" i="11"/>
  <c r="Y96" i="11" s="1"/>
  <c r="BN99" i="11"/>
  <c r="BP99" i="11" s="1"/>
  <c r="BH100" i="11" s="1"/>
  <c r="AB103" i="11"/>
  <c r="F20" i="11" s="1"/>
  <c r="J96" i="11"/>
  <c r="H97" i="11" s="1"/>
  <c r="O99" i="11"/>
  <c r="Q99" i="11" s="1"/>
  <c r="R99" i="11" s="1"/>
  <c r="O100" i="11" s="1"/>
  <c r="K103" i="11"/>
  <c r="BO100" i="11" l="1"/>
  <c r="BN100" i="11"/>
  <c r="K104" i="11"/>
  <c r="K105" i="11" s="1"/>
  <c r="K106" i="11" s="1"/>
  <c r="AB104" i="11"/>
  <c r="Q100" i="11"/>
  <c r="R100" i="11" s="1"/>
  <c r="O101" i="11" s="1"/>
  <c r="AF96" i="11"/>
  <c r="I97" i="11"/>
  <c r="AD96" i="11"/>
  <c r="BP100" i="11" l="1"/>
  <c r="BH101" i="11" s="1"/>
  <c r="BN101" i="11" s="1"/>
  <c r="AA96" i="11"/>
  <c r="AB105" i="11"/>
  <c r="AB106" i="11" s="1"/>
  <c r="AB107" i="11" s="1"/>
  <c r="Q101" i="11"/>
  <c r="R101" i="11" s="1"/>
  <c r="O102" i="11" s="1"/>
  <c r="K107" i="11"/>
  <c r="K108" i="11" s="1"/>
  <c r="AG97" i="11"/>
  <c r="J97" i="11"/>
  <c r="AH96" i="11" l="1"/>
  <c r="W97" i="11"/>
  <c r="Y97" i="11" s="1"/>
  <c r="BO101" i="11"/>
  <c r="BP101" i="11" s="1"/>
  <c r="BH102" i="11" s="1"/>
  <c r="BO102" i="11" s="1"/>
  <c r="Q102" i="11"/>
  <c r="R102" i="11" s="1"/>
  <c r="O103" i="11" s="1"/>
  <c r="AB108" i="11"/>
  <c r="AB109" i="11" s="1"/>
  <c r="K109" i="11"/>
  <c r="AG98" i="11"/>
  <c r="H98" i="11"/>
  <c r="BN102" i="11" l="1"/>
  <c r="BP102" i="11" s="1"/>
  <c r="BH103" i="11" s="1"/>
  <c r="AF97" i="11"/>
  <c r="Q103" i="11"/>
  <c r="R103" i="11" s="1"/>
  <c r="O104" i="11" s="1"/>
  <c r="AB110" i="11"/>
  <c r="K110" i="11"/>
  <c r="I98" i="11"/>
  <c r="BN103" i="11" l="1"/>
  <c r="BO103" i="11"/>
  <c r="AA97" i="11"/>
  <c r="AD97" i="11"/>
  <c r="J98" i="11"/>
  <c r="H99" i="11" s="1"/>
  <c r="AB111" i="11"/>
  <c r="K111" i="11"/>
  <c r="Q104" i="11"/>
  <c r="R104" i="11" s="1"/>
  <c r="O105" i="11" s="1"/>
  <c r="AH97" i="11" l="1"/>
  <c r="W98" i="11"/>
  <c r="Y98" i="11" s="1"/>
  <c r="BP103" i="11"/>
  <c r="BH104" i="11" s="1"/>
  <c r="BN104" i="11" s="1"/>
  <c r="Q105" i="11"/>
  <c r="R105" i="11" s="1"/>
  <c r="O106" i="11" s="1"/>
  <c r="AB112" i="11"/>
  <c r="K112" i="11"/>
  <c r="I99" i="11"/>
  <c r="AD98" i="11" l="1"/>
  <c r="BO104" i="11"/>
  <c r="BP104" i="11" s="1"/>
  <c r="BH105" i="11" s="1"/>
  <c r="AF98" i="11"/>
  <c r="AA98" i="11"/>
  <c r="AH98" i="11" s="1"/>
  <c r="J99" i="11"/>
  <c r="H100" i="11" s="1"/>
  <c r="AB113" i="11"/>
  <c r="K113" i="11"/>
  <c r="K114" i="11" s="1"/>
  <c r="Q106" i="11"/>
  <c r="R106" i="11" s="1"/>
  <c r="O107" i="11" s="1"/>
  <c r="AG99" i="11"/>
  <c r="W99" i="11" l="1"/>
  <c r="Y99" i="11" s="1"/>
  <c r="BN105" i="11"/>
  <c r="BO105" i="11"/>
  <c r="K115" i="11"/>
  <c r="K116" i="11" s="1"/>
  <c r="AB114" i="11"/>
  <c r="AB115" i="11" s="1"/>
  <c r="F21" i="11" s="1"/>
  <c r="Q107" i="11"/>
  <c r="R107" i="11" s="1"/>
  <c r="O108" i="11" s="1"/>
  <c r="AG100" i="11"/>
  <c r="I100" i="11"/>
  <c r="BP105" i="11" l="1"/>
  <c r="BH106" i="11" s="1"/>
  <c r="BO106" i="11" s="1"/>
  <c r="AF99" i="11"/>
  <c r="J100" i="11"/>
  <c r="H101" i="11" s="1"/>
  <c r="AB116" i="11"/>
  <c r="AB117" i="11" s="1"/>
  <c r="Q108" i="11"/>
  <c r="R108" i="11" s="1"/>
  <c r="O109" i="11" s="1"/>
  <c r="AD99" i="11"/>
  <c r="K117" i="11"/>
  <c r="BN106" i="11" l="1"/>
  <c r="BP106" i="11" s="1"/>
  <c r="BH107" i="11" s="1"/>
  <c r="BO107" i="11" s="1"/>
  <c r="AA99" i="11"/>
  <c r="Q109" i="11"/>
  <c r="R109" i="11" s="1"/>
  <c r="O110" i="11" s="1"/>
  <c r="Q110" i="11" s="1"/>
  <c r="R110" i="11" s="1"/>
  <c r="O111" i="11" s="1"/>
  <c r="AB118" i="11"/>
  <c r="K118" i="11"/>
  <c r="I101" i="11"/>
  <c r="AH99" i="11" l="1"/>
  <c r="W100" i="11"/>
  <c r="Y100" i="11" s="1"/>
  <c r="BN107" i="11"/>
  <c r="BP107" i="11" s="1"/>
  <c r="BH108" i="11" s="1"/>
  <c r="BO108" i="11" s="1"/>
  <c r="AB119" i="11"/>
  <c r="J101" i="11"/>
  <c r="H102" i="11" s="1"/>
  <c r="Q111" i="11"/>
  <c r="R111" i="11" s="1"/>
  <c r="AG101" i="11"/>
  <c r="K119" i="11"/>
  <c r="BN108" i="11" l="1"/>
  <c r="BP108" i="11" s="1"/>
  <c r="BH109" i="11" s="1"/>
  <c r="BO109" i="11" s="1"/>
  <c r="AB120" i="11"/>
  <c r="O112" i="11"/>
  <c r="AF100" i="11"/>
  <c r="AD100" i="11"/>
  <c r="K120" i="11"/>
  <c r="I102" i="11"/>
  <c r="BN109" i="11" l="1"/>
  <c r="BP109" i="11" s="1"/>
  <c r="BH110" i="11" s="1"/>
  <c r="AA100" i="11"/>
  <c r="AB121" i="11"/>
  <c r="Q112" i="11"/>
  <c r="R112" i="11" s="1"/>
  <c r="O113" i="11" s="1"/>
  <c r="K121" i="11"/>
  <c r="AG102" i="11"/>
  <c r="J102" i="11"/>
  <c r="AH100" i="11" l="1"/>
  <c r="W101" i="11"/>
  <c r="Y101" i="11" s="1"/>
  <c r="BO110" i="11"/>
  <c r="BN110" i="11"/>
  <c r="AB122" i="11"/>
  <c r="Q113" i="11"/>
  <c r="R113" i="11" s="1"/>
  <c r="O114" i="11" s="1"/>
  <c r="H103" i="11"/>
  <c r="K122" i="11"/>
  <c r="BP110" i="11" l="1"/>
  <c r="BH111" i="11" s="1"/>
  <c r="AB123" i="11"/>
  <c r="AF101" i="11"/>
  <c r="Q114" i="11"/>
  <c r="R114" i="11" s="1"/>
  <c r="O115" i="11" s="1"/>
  <c r="AD101" i="11"/>
  <c r="I103" i="11"/>
  <c r="AG103" i="11"/>
  <c r="K123" i="11"/>
  <c r="BO111" i="11" l="1"/>
  <c r="BN111" i="11"/>
  <c r="AB124" i="11"/>
  <c r="AA101" i="11"/>
  <c r="J103" i="11"/>
  <c r="H104" i="11" s="1"/>
  <c r="Q115" i="11"/>
  <c r="R115" i="11" s="1"/>
  <c r="O116" i="11" s="1"/>
  <c r="K124" i="11"/>
  <c r="AH101" i="11" l="1"/>
  <c r="W102" i="11"/>
  <c r="Y102" i="11" s="1"/>
  <c r="BP111" i="11"/>
  <c r="BH112" i="11" s="1"/>
  <c r="AB125" i="11"/>
  <c r="Q116" i="11"/>
  <c r="R116" i="11" s="1"/>
  <c r="O117" i="11" s="1"/>
  <c r="AG104" i="11"/>
  <c r="K125" i="11"/>
  <c r="I104" i="11"/>
  <c r="BO112" i="11" l="1"/>
  <c r="BN112" i="11"/>
  <c r="AB126" i="11"/>
  <c r="AF102" i="11"/>
  <c r="J104" i="11"/>
  <c r="H105" i="11" s="1"/>
  <c r="Q117" i="11"/>
  <c r="R117" i="11" s="1"/>
  <c r="O118" i="11" s="1"/>
  <c r="AG105" i="11"/>
  <c r="K126" i="11"/>
  <c r="BP112" i="11" l="1"/>
  <c r="BH113" i="11" s="1"/>
  <c r="BN113" i="11" s="1"/>
  <c r="AB127" i="11"/>
  <c r="F22" i="11" s="1"/>
  <c r="AA102" i="11"/>
  <c r="AD102" i="11"/>
  <c r="Q118" i="11"/>
  <c r="R118" i="11" s="1"/>
  <c r="O119" i="11" s="1"/>
  <c r="K127" i="11"/>
  <c r="I105" i="11"/>
  <c r="AH102" i="11" l="1"/>
  <c r="W103" i="11"/>
  <c r="Y103" i="11" s="1"/>
  <c r="BO113" i="11"/>
  <c r="BP113" i="11" s="1"/>
  <c r="BH114" i="11" s="1"/>
  <c r="BN114" i="11" s="1"/>
  <c r="AB128" i="11"/>
  <c r="Q119" i="11"/>
  <c r="R119" i="11" s="1"/>
  <c r="O120" i="11" s="1"/>
  <c r="J105" i="11"/>
  <c r="K128" i="11"/>
  <c r="AD103" i="11" l="1"/>
  <c r="BO114" i="11"/>
  <c r="BP114" i="11" s="1"/>
  <c r="BH115" i="11" s="1"/>
  <c r="BN115" i="11" s="1"/>
  <c r="AB129" i="11"/>
  <c r="AF103" i="11"/>
  <c r="AA103" i="11"/>
  <c r="Q120" i="11"/>
  <c r="R120" i="11" s="1"/>
  <c r="O121" i="11" s="1"/>
  <c r="K129" i="11"/>
  <c r="H106" i="11"/>
  <c r="W104" i="11" l="1"/>
  <c r="AF104" i="11" s="1"/>
  <c r="BO115" i="11"/>
  <c r="BP115" i="11" s="1"/>
  <c r="BH116" i="11" s="1"/>
  <c r="AB130" i="11"/>
  <c r="G20" i="11"/>
  <c r="N6" i="21" s="1"/>
  <c r="AH103" i="11"/>
  <c r="Q121" i="11"/>
  <c r="R121" i="11" s="1"/>
  <c r="O122" i="11" s="1"/>
  <c r="I106" i="11"/>
  <c r="K130" i="11"/>
  <c r="Y104" i="11" l="1"/>
  <c r="AA104" i="11" s="1"/>
  <c r="AH104" i="11" s="1"/>
  <c r="BN116" i="11"/>
  <c r="BO116" i="11"/>
  <c r="AB131" i="11"/>
  <c r="N6" i="17"/>
  <c r="M6" i="21"/>
  <c r="M6" i="17"/>
  <c r="Q122" i="11"/>
  <c r="R122" i="11" s="1"/>
  <c r="O123" i="11" s="1"/>
  <c r="AG106" i="11"/>
  <c r="K131" i="11"/>
  <c r="J106" i="11"/>
  <c r="AG107" i="11"/>
  <c r="AD104" i="11" l="1"/>
  <c r="W105" i="11"/>
  <c r="Y105" i="11" s="1"/>
  <c r="AB132" i="11"/>
  <c r="BP116" i="11"/>
  <c r="BH117" i="11" s="1"/>
  <c r="BN117" i="11" s="1"/>
  <c r="Q123" i="11"/>
  <c r="R123" i="11" s="1"/>
  <c r="O124" i="11" s="1"/>
  <c r="H107" i="11"/>
  <c r="K132" i="11"/>
  <c r="AD105" i="11" l="1"/>
  <c r="AB133" i="11"/>
  <c r="BO117" i="11"/>
  <c r="BP117" i="11" s="1"/>
  <c r="BH118" i="11" s="1"/>
  <c r="BO118" i="11" s="1"/>
  <c r="AF105" i="11"/>
  <c r="AA105" i="11"/>
  <c r="AH105" i="11" s="1"/>
  <c r="Q124" i="11"/>
  <c r="R124" i="11" s="1"/>
  <c r="O125" i="11" s="1"/>
  <c r="K133" i="11"/>
  <c r="I107" i="11"/>
  <c r="AG108" i="11"/>
  <c r="W106" i="11" l="1"/>
  <c r="Y106" i="11" s="1"/>
  <c r="AB134" i="11"/>
  <c r="BN118" i="11"/>
  <c r="BP118" i="11" s="1"/>
  <c r="BH119" i="11" s="1"/>
  <c r="BN119" i="11" s="1"/>
  <c r="J107" i="11"/>
  <c r="H108" i="11" s="1"/>
  <c r="Q125" i="11"/>
  <c r="R125" i="11" s="1"/>
  <c r="O126" i="11" s="1"/>
  <c r="K134" i="11"/>
  <c r="AB135" i="11" l="1"/>
  <c r="BO119" i="11"/>
  <c r="BP119" i="11" s="1"/>
  <c r="BH120" i="11" s="1"/>
  <c r="BO120" i="11" s="1"/>
  <c r="AA106" i="11"/>
  <c r="AF106" i="11"/>
  <c r="Q126" i="11"/>
  <c r="R126" i="11" s="1"/>
  <c r="O127" i="11" s="1"/>
  <c r="K135" i="11"/>
  <c r="I108" i="11"/>
  <c r="W107" i="11" l="1"/>
  <c r="AF107" i="11" s="1"/>
  <c r="AB136" i="11"/>
  <c r="BN120" i="11"/>
  <c r="BP120" i="11" s="1"/>
  <c r="BH121" i="11" s="1"/>
  <c r="BO121" i="11" s="1"/>
  <c r="AD106" i="11"/>
  <c r="AH106" i="11"/>
  <c r="J108" i="11"/>
  <c r="H109" i="11" s="1"/>
  <c r="Q127" i="11"/>
  <c r="R127" i="11" s="1"/>
  <c r="O128" i="11" s="1"/>
  <c r="AG109" i="11"/>
  <c r="K136" i="11"/>
  <c r="Y107" i="11" l="1"/>
  <c r="AA107" i="11" s="1"/>
  <c r="AH107" i="11" s="1"/>
  <c r="AB137" i="11"/>
  <c r="BN121" i="11"/>
  <c r="BP121" i="11" s="1"/>
  <c r="BH122" i="11" s="1"/>
  <c r="BN122" i="11" s="1"/>
  <c r="Q128" i="11"/>
  <c r="R128" i="11" s="1"/>
  <c r="O129" i="11" s="1"/>
  <c r="K137" i="11"/>
  <c r="I109" i="11"/>
  <c r="AD107" i="11" l="1"/>
  <c r="W108" i="11"/>
  <c r="AF108" i="11" s="1"/>
  <c r="AB138" i="11"/>
  <c r="BO122" i="11"/>
  <c r="BP122" i="11" s="1"/>
  <c r="BH123" i="11" s="1"/>
  <c r="BN123" i="11" s="1"/>
  <c r="Q129" i="11"/>
  <c r="R129" i="11" s="1"/>
  <c r="O130" i="11" s="1"/>
  <c r="J109" i="11"/>
  <c r="K138" i="11"/>
  <c r="Y108" i="11" l="1"/>
  <c r="AD108" i="11" s="1"/>
  <c r="AB139" i="11"/>
  <c r="F23" i="11" s="1"/>
  <c r="BO123" i="11"/>
  <c r="BP123" i="11" s="1"/>
  <c r="BH124" i="11" s="1"/>
  <c r="BO124" i="11" s="1"/>
  <c r="Q130" i="11"/>
  <c r="R130" i="11" s="1"/>
  <c r="O131" i="11" s="1"/>
  <c r="K139" i="11"/>
  <c r="H110" i="11"/>
  <c r="AA108" i="11" l="1"/>
  <c r="W109" i="11" s="1"/>
  <c r="Y109" i="11" s="1"/>
  <c r="AB140" i="11"/>
  <c r="BN124" i="11"/>
  <c r="BP124" i="11" s="1"/>
  <c r="BH125" i="11" s="1"/>
  <c r="BO125" i="11" s="1"/>
  <c r="Q131" i="11"/>
  <c r="R131" i="11" s="1"/>
  <c r="O132" i="11" s="1"/>
  <c r="AG110" i="11"/>
  <c r="I110" i="11"/>
  <c r="K140" i="11"/>
  <c r="AB141" i="11" l="1"/>
  <c r="AH108" i="11"/>
  <c r="BN125" i="11"/>
  <c r="BP125" i="11" s="1"/>
  <c r="BH126" i="11" s="1"/>
  <c r="BN126" i="11" s="1"/>
  <c r="Q132" i="11"/>
  <c r="R132" i="11" s="1"/>
  <c r="O133" i="11" s="1"/>
  <c r="AD109" i="11"/>
  <c r="AF109" i="11"/>
  <c r="J110" i="11"/>
  <c r="K141" i="11"/>
  <c r="AB142" i="11" l="1"/>
  <c r="BO126" i="11"/>
  <c r="BP126" i="11" s="1"/>
  <c r="BH127" i="11" s="1"/>
  <c r="BN127" i="11" s="1"/>
  <c r="AA109" i="11"/>
  <c r="W110" i="11" s="1"/>
  <c r="Q133" i="11"/>
  <c r="R133" i="11" s="1"/>
  <c r="O134" i="11" s="1"/>
  <c r="H111" i="11"/>
  <c r="K142" i="11"/>
  <c r="AB143" i="11" l="1"/>
  <c r="BO127" i="11"/>
  <c r="BP127" i="11" s="1"/>
  <c r="BH128" i="11" s="1"/>
  <c r="BN128" i="11" s="1"/>
  <c r="Q134" i="11"/>
  <c r="R134" i="11" s="1"/>
  <c r="O135" i="11" s="1"/>
  <c r="AH109" i="11"/>
  <c r="Y110" i="11"/>
  <c r="K143" i="11"/>
  <c r="I111" i="11"/>
  <c r="AG111" i="11"/>
  <c r="AB144" i="11" l="1"/>
  <c r="BO128" i="11"/>
  <c r="BP128" i="11" s="1"/>
  <c r="BH129" i="11" s="1"/>
  <c r="BN129" i="11" s="1"/>
  <c r="J111" i="11"/>
  <c r="H112" i="11" s="1"/>
  <c r="Q135" i="11"/>
  <c r="R135" i="11" s="1"/>
  <c r="O136" i="11" s="1"/>
  <c r="AD110" i="11"/>
  <c r="AF110" i="11"/>
  <c r="K144" i="11"/>
  <c r="AB145" i="11" l="1"/>
  <c r="BO129" i="11"/>
  <c r="BP129" i="11" s="1"/>
  <c r="BH130" i="11" s="1"/>
  <c r="BO130" i="11" s="1"/>
  <c r="AA110" i="11"/>
  <c r="W111" i="11" s="1"/>
  <c r="Q136" i="11"/>
  <c r="R136" i="11" s="1"/>
  <c r="O137" i="11" s="1"/>
  <c r="Q137" i="11" s="1"/>
  <c r="R137" i="11" s="1"/>
  <c r="O138" i="11" s="1"/>
  <c r="AG112" i="11"/>
  <c r="K145" i="11"/>
  <c r="I112" i="11"/>
  <c r="Q138" i="11" l="1"/>
  <c r="R138" i="11" s="1"/>
  <c r="O139" i="11" s="1"/>
  <c r="Q139" i="11" s="1"/>
  <c r="R139" i="11" s="1"/>
  <c r="O140" i="11" s="1"/>
  <c r="Q140" i="11" s="1"/>
  <c r="R140" i="11" s="1"/>
  <c r="O141" i="11" s="1"/>
  <c r="AB146" i="11"/>
  <c r="BN130" i="11"/>
  <c r="BP130" i="11" s="1"/>
  <c r="BH131" i="11" s="1"/>
  <c r="J112" i="11"/>
  <c r="H113" i="11" s="1"/>
  <c r="AH110" i="11"/>
  <c r="Y111" i="11"/>
  <c r="K146" i="11"/>
  <c r="AB147" i="11" l="1"/>
  <c r="BN131" i="11"/>
  <c r="BO131" i="11"/>
  <c r="Q141" i="11"/>
  <c r="R141" i="11" s="1"/>
  <c r="O142" i="11" s="1"/>
  <c r="AF111" i="11"/>
  <c r="AD111" i="11"/>
  <c r="K147" i="11"/>
  <c r="I113" i="11"/>
  <c r="AB148" i="11" l="1"/>
  <c r="BP131" i="11"/>
  <c r="BH132" i="11" s="1"/>
  <c r="BN132" i="11" s="1"/>
  <c r="AA111" i="11"/>
  <c r="J113" i="11"/>
  <c r="H114" i="11" s="1"/>
  <c r="Q142" i="11"/>
  <c r="R142" i="11" s="1"/>
  <c r="O143" i="11" s="1"/>
  <c r="K148" i="11"/>
  <c r="AG113" i="11"/>
  <c r="AB149" i="11" l="1"/>
  <c r="AH111" i="11"/>
  <c r="W112" i="11"/>
  <c r="Y112" i="11" s="1"/>
  <c r="BO132" i="11"/>
  <c r="BP132" i="11" s="1"/>
  <c r="BH133" i="11" s="1"/>
  <c r="BN133" i="11" s="1"/>
  <c r="Q143" i="11"/>
  <c r="R143" i="11" s="1"/>
  <c r="K149" i="11"/>
  <c r="I114" i="11"/>
  <c r="AB150" i="11" l="1"/>
  <c r="BO133" i="11"/>
  <c r="BP133" i="11" s="1"/>
  <c r="BH134" i="11" s="1"/>
  <c r="BO134" i="11" s="1"/>
  <c r="AD112" i="11"/>
  <c r="J114" i="11"/>
  <c r="H115" i="11" s="1"/>
  <c r="O144" i="11"/>
  <c r="Q144" i="11" s="1"/>
  <c r="R144" i="11" s="1"/>
  <c r="O145" i="11" s="1"/>
  <c r="AF112" i="11"/>
  <c r="AG114" i="11"/>
  <c r="K150" i="11"/>
  <c r="AB151" i="11" l="1"/>
  <c r="F24" i="11" s="1"/>
  <c r="BN134" i="11"/>
  <c r="BP134" i="11" s="1"/>
  <c r="BH135" i="11" s="1"/>
  <c r="AA112" i="11"/>
  <c r="Q145" i="11"/>
  <c r="R145" i="11" s="1"/>
  <c r="K151" i="11"/>
  <c r="I115" i="11"/>
  <c r="AB152" i="11" l="1"/>
  <c r="AH112" i="11"/>
  <c r="W113" i="11"/>
  <c r="Y113" i="11" s="1"/>
  <c r="BN135" i="11"/>
  <c r="BO135" i="11"/>
  <c r="J115" i="11"/>
  <c r="H116" i="11" s="1"/>
  <c r="O146" i="11"/>
  <c r="K152" i="11"/>
  <c r="AG115" i="11"/>
  <c r="AB153" i="11" l="1"/>
  <c r="BP135" i="11"/>
  <c r="BH136" i="11" s="1"/>
  <c r="BN136" i="11" s="1"/>
  <c r="AF113" i="11"/>
  <c r="AA113" i="11"/>
  <c r="AH113" i="11" s="1"/>
  <c r="AD113" i="11"/>
  <c r="Q146" i="11"/>
  <c r="R146" i="11" s="1"/>
  <c r="I116" i="11"/>
  <c r="K153" i="11"/>
  <c r="AB154" i="11" l="1"/>
  <c r="W114" i="11"/>
  <c r="Y114" i="11" s="1"/>
  <c r="BO136" i="11"/>
  <c r="BP136" i="11" s="1"/>
  <c r="BH137" i="11" s="1"/>
  <c r="BO137" i="11" s="1"/>
  <c r="J116" i="11"/>
  <c r="H117" i="11" s="1"/>
  <c r="O147" i="11"/>
  <c r="K154" i="11"/>
  <c r="AG116" i="11"/>
  <c r="AB155" i="11" l="1"/>
  <c r="AD114" i="11"/>
  <c r="BN137" i="11"/>
  <c r="BP137" i="11" s="1"/>
  <c r="BH138" i="11" s="1"/>
  <c r="BN138" i="11" s="1"/>
  <c r="AF114" i="11"/>
  <c r="AA114" i="11"/>
  <c r="AH114" i="11" s="1"/>
  <c r="Q147" i="11"/>
  <c r="R147" i="11" s="1"/>
  <c r="O148" i="11" s="1"/>
  <c r="AG117" i="11"/>
  <c r="K155" i="11"/>
  <c r="I117" i="11"/>
  <c r="AB156" i="11" l="1"/>
  <c r="W115" i="11"/>
  <c r="Y115" i="11" s="1"/>
  <c r="BO138" i="11"/>
  <c r="BP138" i="11" s="1"/>
  <c r="BH139" i="11" s="1"/>
  <c r="J117" i="11"/>
  <c r="H118" i="11" s="1"/>
  <c r="Q148" i="11"/>
  <c r="R148" i="11" s="1"/>
  <c r="K156" i="11"/>
  <c r="AB157" i="11" l="1"/>
  <c r="AF115" i="11"/>
  <c r="G21" i="11" s="1"/>
  <c r="N7" i="17" s="1"/>
  <c r="BN139" i="11"/>
  <c r="BO139" i="11"/>
  <c r="AD115" i="11"/>
  <c r="O149" i="11"/>
  <c r="K157" i="11"/>
  <c r="I118" i="11"/>
  <c r="AB158" i="11" l="1"/>
  <c r="N7" i="21"/>
  <c r="BP139" i="11"/>
  <c r="BH140" i="11" s="1"/>
  <c r="BN140" i="11" s="1"/>
  <c r="AA115" i="11"/>
  <c r="Q149" i="11"/>
  <c r="R149" i="11" s="1"/>
  <c r="AG118" i="11"/>
  <c r="J118" i="11"/>
  <c r="K158" i="11"/>
  <c r="AB159" i="11" l="1"/>
  <c r="AH115" i="11"/>
  <c r="W116" i="11"/>
  <c r="Y116" i="11" s="1"/>
  <c r="BO140" i="11"/>
  <c r="BP140" i="11" s="1"/>
  <c r="BH141" i="11" s="1"/>
  <c r="BN141" i="11" s="1"/>
  <c r="M7" i="21"/>
  <c r="O150" i="11"/>
  <c r="K159" i="11"/>
  <c r="H119" i="11"/>
  <c r="AB160" i="11" l="1"/>
  <c r="AF116" i="11"/>
  <c r="BO141" i="11"/>
  <c r="BP141" i="11" s="1"/>
  <c r="BH142" i="11" s="1"/>
  <c r="AD116" i="11"/>
  <c r="M7" i="17"/>
  <c r="Q150" i="11"/>
  <c r="R150" i="11" s="1"/>
  <c r="I119" i="11"/>
  <c r="AG119" i="11"/>
  <c r="K160" i="11"/>
  <c r="AB161" i="11" l="1"/>
  <c r="BO142" i="11"/>
  <c r="BN142" i="11"/>
  <c r="AA116" i="11"/>
  <c r="J119" i="11"/>
  <c r="H120" i="11" s="1"/>
  <c r="O151" i="11"/>
  <c r="K161" i="11"/>
  <c r="AB162" i="11" l="1"/>
  <c r="AH116" i="11"/>
  <c r="W117" i="11"/>
  <c r="Y117" i="11" s="1"/>
  <c r="BP142" i="11"/>
  <c r="BH143" i="11" s="1"/>
  <c r="BO143" i="11" s="1"/>
  <c r="Q151" i="11"/>
  <c r="R151" i="11" s="1"/>
  <c r="K162" i="11"/>
  <c r="I120" i="11"/>
  <c r="AB163" i="11" l="1"/>
  <c r="AF117" i="11"/>
  <c r="BN143" i="11"/>
  <c r="BP143" i="11" s="1"/>
  <c r="BH144" i="11" s="1"/>
  <c r="BO144" i="11" s="1"/>
  <c r="AA117" i="11"/>
  <c r="AH117" i="11" s="1"/>
  <c r="J120" i="11"/>
  <c r="H121" i="11" s="1"/>
  <c r="O152" i="11"/>
  <c r="AG120" i="11"/>
  <c r="K163" i="11"/>
  <c r="AB164" i="11" l="1"/>
  <c r="W118" i="11"/>
  <c r="Y118" i="11" s="1"/>
  <c r="BN144" i="11"/>
  <c r="BP144" i="11" s="1"/>
  <c r="BH145" i="11" s="1"/>
  <c r="BO145" i="11" s="1"/>
  <c r="AD117" i="11"/>
  <c r="Q152" i="11"/>
  <c r="R152" i="11" s="1"/>
  <c r="I121" i="11"/>
  <c r="K164" i="11"/>
  <c r="AB165" i="11" l="1"/>
  <c r="BN145" i="11"/>
  <c r="BP145" i="11" s="1"/>
  <c r="BH146" i="11" s="1"/>
  <c r="BO146" i="11" s="1"/>
  <c r="AF118" i="11"/>
  <c r="AA118" i="11"/>
  <c r="AH118" i="11" s="1"/>
  <c r="AD118" i="11"/>
  <c r="O153" i="11"/>
  <c r="K165" i="11"/>
  <c r="AG121" i="11"/>
  <c r="J121" i="11"/>
  <c r="AB166" i="11" l="1"/>
  <c r="W119" i="11"/>
  <c r="Y119" i="11" s="1"/>
  <c r="BN146" i="11"/>
  <c r="BP146" i="11" s="1"/>
  <c r="BH147" i="11" s="1"/>
  <c r="Q153" i="11"/>
  <c r="R153" i="11" s="1"/>
  <c r="K166" i="11"/>
  <c r="H122" i="11"/>
  <c r="AB167" i="11" l="1"/>
  <c r="BN147" i="11"/>
  <c r="BO147" i="11"/>
  <c r="AF119" i="11"/>
  <c r="AA119" i="11"/>
  <c r="AH119" i="11" s="1"/>
  <c r="AD119" i="11"/>
  <c r="O154" i="11"/>
  <c r="K167" i="11"/>
  <c r="AG122" i="11"/>
  <c r="I122" i="11"/>
  <c r="AB168" i="11" l="1"/>
  <c r="W120" i="11"/>
  <c r="Y120" i="11" s="1"/>
  <c r="BP147" i="11"/>
  <c r="BH148" i="11" s="1"/>
  <c r="Q154" i="11"/>
  <c r="R154" i="11" s="1"/>
  <c r="AG123" i="11"/>
  <c r="J122" i="11"/>
  <c r="K168" i="11"/>
  <c r="AB169" i="11" l="1"/>
  <c r="BN148" i="11"/>
  <c r="BO148" i="11"/>
  <c r="AF120" i="11"/>
  <c r="AA120" i="11"/>
  <c r="AH120" i="11" s="1"/>
  <c r="AD120" i="11"/>
  <c r="O155" i="11"/>
  <c r="H123" i="11"/>
  <c r="K169" i="11"/>
  <c r="AB170" i="11" l="1"/>
  <c r="W121" i="11"/>
  <c r="Y121" i="11" s="1"/>
  <c r="BP148" i="11"/>
  <c r="BH149" i="11" s="1"/>
  <c r="Q155" i="11"/>
  <c r="R155" i="11" s="1"/>
  <c r="AG124" i="11"/>
  <c r="K170" i="11"/>
  <c r="I123" i="11"/>
  <c r="AB171" i="11" l="1"/>
  <c r="AD121" i="11"/>
  <c r="BO149" i="11"/>
  <c r="BN149" i="11"/>
  <c r="AF121" i="11"/>
  <c r="AA121" i="11"/>
  <c r="AH121" i="11" s="1"/>
  <c r="O156" i="11"/>
  <c r="J123" i="11"/>
  <c r="K171" i="11"/>
  <c r="AB172" i="11" l="1"/>
  <c r="W122" i="11"/>
  <c r="Y122" i="11" s="1"/>
  <c r="BP149" i="11"/>
  <c r="BH150" i="11" s="1"/>
  <c r="BN150" i="11" s="1"/>
  <c r="Q156" i="11"/>
  <c r="R156" i="11" s="1"/>
  <c r="K172" i="11"/>
  <c r="AG125" i="11"/>
  <c r="H124" i="11"/>
  <c r="AB173" i="11" l="1"/>
  <c r="BO150" i="11"/>
  <c r="BP150" i="11" s="1"/>
  <c r="BH151" i="11" s="1"/>
  <c r="AF122" i="11"/>
  <c r="O157" i="11"/>
  <c r="I124" i="11"/>
  <c r="K173" i="11"/>
  <c r="AB174" i="11" l="1"/>
  <c r="BN151" i="11"/>
  <c r="BO151" i="11"/>
  <c r="AA122" i="11"/>
  <c r="AD122" i="11"/>
  <c r="Q157" i="11"/>
  <c r="R157" i="11" s="1"/>
  <c r="AG126" i="11"/>
  <c r="J124" i="11"/>
  <c r="K174" i="11"/>
  <c r="AB175" i="11" l="1"/>
  <c r="AH122" i="11"/>
  <c r="W123" i="11"/>
  <c r="Y123" i="11" s="1"/>
  <c r="BP151" i="11"/>
  <c r="BH152" i="11" s="1"/>
  <c r="BN152" i="11" s="1"/>
  <c r="O158" i="11"/>
  <c r="K175" i="11"/>
  <c r="H125" i="11"/>
  <c r="AB176" i="11" l="1"/>
  <c r="AF123" i="11"/>
  <c r="BO152" i="11"/>
  <c r="BP152" i="11" s="1"/>
  <c r="BH153" i="11" s="1"/>
  <c r="BN153" i="11" s="1"/>
  <c r="AA123" i="11"/>
  <c r="AH123" i="11" s="1"/>
  <c r="Q158" i="11"/>
  <c r="R158" i="11" s="1"/>
  <c r="I125" i="11"/>
  <c r="AG127" i="11"/>
  <c r="K176" i="11"/>
  <c r="AB177" i="11" l="1"/>
  <c r="W124" i="11"/>
  <c r="Y124" i="11" s="1"/>
  <c r="BO153" i="11"/>
  <c r="BP153" i="11" s="1"/>
  <c r="BH154" i="11" s="1"/>
  <c r="BN154" i="11" s="1"/>
  <c r="AD123" i="11"/>
  <c r="O159" i="11"/>
  <c r="J125" i="11"/>
  <c r="AG128" i="11"/>
  <c r="K177" i="11"/>
  <c r="AB178" i="11" l="1"/>
  <c r="AF124" i="11"/>
  <c r="BO154" i="11"/>
  <c r="BP154" i="11" s="1"/>
  <c r="BH155" i="11" s="1"/>
  <c r="BN155" i="11" s="1"/>
  <c r="AA124" i="11"/>
  <c r="AH124" i="11" s="1"/>
  <c r="Q159" i="11"/>
  <c r="R159" i="11" s="1"/>
  <c r="O160" i="11" s="1"/>
  <c r="H126" i="11"/>
  <c r="K178" i="11"/>
  <c r="AB179" i="11" l="1"/>
  <c r="W125" i="11"/>
  <c r="Y125" i="11" s="1"/>
  <c r="BO155" i="11"/>
  <c r="BP155" i="11" s="1"/>
  <c r="BH156" i="11" s="1"/>
  <c r="BN156" i="11" s="1"/>
  <c r="AD124" i="11"/>
  <c r="Q160" i="11"/>
  <c r="R160" i="11" s="1"/>
  <c r="O161" i="11" s="1"/>
  <c r="Q161" i="11" s="1"/>
  <c r="R161" i="11" s="1"/>
  <c r="O162" i="11" s="1"/>
  <c r="I126" i="11"/>
  <c r="AG129" i="11"/>
  <c r="K179" i="11"/>
  <c r="AB180" i="11" l="1"/>
  <c r="BO156" i="11"/>
  <c r="BP156" i="11" s="1"/>
  <c r="BH157" i="11" s="1"/>
  <c r="BO157" i="11" s="1"/>
  <c r="AF125" i="11"/>
  <c r="AA125" i="11"/>
  <c r="AH125" i="11" s="1"/>
  <c r="AD125" i="11"/>
  <c r="Q162" i="11"/>
  <c r="R162" i="11" s="1"/>
  <c r="J126" i="11"/>
  <c r="K180" i="11"/>
  <c r="AB181" i="11" l="1"/>
  <c r="W126" i="11"/>
  <c r="Y126" i="11" s="1"/>
  <c r="BN157" i="11"/>
  <c r="BP157" i="11" s="1"/>
  <c r="BH158" i="11" s="1"/>
  <c r="BO158" i="11" s="1"/>
  <c r="O163" i="11"/>
  <c r="H127" i="11"/>
  <c r="K181" i="11"/>
  <c r="AB182" i="11" l="1"/>
  <c r="AF126" i="11"/>
  <c r="BN158" i="11"/>
  <c r="BP158" i="11" s="1"/>
  <c r="BH159" i="11" s="1"/>
  <c r="AA126" i="11"/>
  <c r="W127" i="11" s="1"/>
  <c r="Q163" i="11"/>
  <c r="R163" i="11" s="1"/>
  <c r="I127" i="11"/>
  <c r="K182" i="11"/>
  <c r="AG130" i="11"/>
  <c r="AB183" i="11" l="1"/>
  <c r="BO159" i="11"/>
  <c r="BN159" i="11"/>
  <c r="Y127" i="11"/>
  <c r="AH126" i="11"/>
  <c r="AD126" i="11"/>
  <c r="O164" i="11"/>
  <c r="J127" i="11"/>
  <c r="K183" i="11"/>
  <c r="AB184" i="11" l="1"/>
  <c r="BP159" i="11"/>
  <c r="BH160" i="11" s="1"/>
  <c r="AF127" i="11"/>
  <c r="AA127" i="11"/>
  <c r="AD127" i="11"/>
  <c r="M8" i="17"/>
  <c r="Q164" i="11"/>
  <c r="R164" i="11" s="1"/>
  <c r="O165" i="11" s="1"/>
  <c r="Q165" i="11" s="1"/>
  <c r="R165" i="11" s="1"/>
  <c r="O166" i="11" s="1"/>
  <c r="H128" i="11"/>
  <c r="AG131" i="11"/>
  <c r="K184" i="11"/>
  <c r="AB185" i="11" l="1"/>
  <c r="W128" i="11"/>
  <c r="AF128" i="11" s="1"/>
  <c r="BN160" i="11"/>
  <c r="BO160" i="11"/>
  <c r="AH127" i="11"/>
  <c r="G22" i="11"/>
  <c r="N8" i="17" s="1"/>
  <c r="M8" i="21"/>
  <c r="Q166" i="11"/>
  <c r="R166" i="11" s="1"/>
  <c r="O167" i="11" s="1"/>
  <c r="I128" i="11"/>
  <c r="K185" i="11"/>
  <c r="AB186" i="11" l="1"/>
  <c r="Y128" i="11"/>
  <c r="AA128" i="11" s="1"/>
  <c r="BP160" i="11"/>
  <c r="BH161" i="11" s="1"/>
  <c r="BO161" i="11" s="1"/>
  <c r="N8" i="21"/>
  <c r="Q167" i="11"/>
  <c r="R167" i="11" s="1"/>
  <c r="O168" i="11" s="1"/>
  <c r="J128" i="11"/>
  <c r="H129" i="11" s="1"/>
  <c r="AG132" i="11"/>
  <c r="K186" i="11"/>
  <c r="AB187" i="11" l="1"/>
  <c r="AD128" i="11"/>
  <c r="W129" i="11"/>
  <c r="AF129" i="11" s="1"/>
  <c r="BN161" i="11"/>
  <c r="BP161" i="11" s="1"/>
  <c r="BH162" i="11" s="1"/>
  <c r="Q168" i="11"/>
  <c r="R168" i="11" s="1"/>
  <c r="O169" i="11" s="1"/>
  <c r="I129" i="11"/>
  <c r="AH128" i="11"/>
  <c r="K187" i="11"/>
  <c r="AB188" i="11" l="1"/>
  <c r="Y129" i="11"/>
  <c r="AA129" i="11" s="1"/>
  <c r="BO162" i="11"/>
  <c r="BN162" i="11"/>
  <c r="J129" i="11"/>
  <c r="Q169" i="11"/>
  <c r="R169" i="11" s="1"/>
  <c r="O170" i="11" s="1"/>
  <c r="K188" i="11"/>
  <c r="AB189" i="11" l="1"/>
  <c r="AD129" i="11"/>
  <c r="W130" i="11"/>
  <c r="Y130" i="11" s="1"/>
  <c r="BP162" i="11"/>
  <c r="BH163" i="11" s="1"/>
  <c r="AH129" i="11"/>
  <c r="H130" i="11"/>
  <c r="Q170" i="11"/>
  <c r="R170" i="11" s="1"/>
  <c r="O171" i="11" s="1"/>
  <c r="AG133" i="11"/>
  <c r="K189" i="11"/>
  <c r="AB190" i="11" l="1"/>
  <c r="AF130" i="11"/>
  <c r="BN163" i="11"/>
  <c r="BO163" i="11"/>
  <c r="I130" i="11"/>
  <c r="AD130" i="11" s="1"/>
  <c r="AA130" i="11"/>
  <c r="Q171" i="11"/>
  <c r="R171" i="11" s="1"/>
  <c r="K190" i="11"/>
  <c r="AB191" i="11" l="1"/>
  <c r="W131" i="11"/>
  <c r="BP163" i="11"/>
  <c r="BH164" i="11" s="1"/>
  <c r="BO164" i="11" s="1"/>
  <c r="J130" i="11"/>
  <c r="AH130" i="11" s="1"/>
  <c r="O172" i="11"/>
  <c r="AG134" i="11"/>
  <c r="K191" i="11"/>
  <c r="AB192" i="11" l="1"/>
  <c r="Y131" i="11"/>
  <c r="AA131" i="11" s="1"/>
  <c r="BN164" i="11"/>
  <c r="BP164" i="11" s="1"/>
  <c r="BH165" i="11" s="1"/>
  <c r="BN165" i="11" s="1"/>
  <c r="H131" i="11"/>
  <c r="AF131" i="11" s="1"/>
  <c r="Q172" i="11"/>
  <c r="R172" i="11" s="1"/>
  <c r="O173" i="11" s="1"/>
  <c r="K192" i="11"/>
  <c r="AB193" i="11" l="1"/>
  <c r="W132" i="11"/>
  <c r="BO165" i="11"/>
  <c r="BP165" i="11" s="1"/>
  <c r="BH166" i="11" s="1"/>
  <c r="I131" i="11"/>
  <c r="AD131" i="11" s="1"/>
  <c r="Q173" i="11"/>
  <c r="R173" i="11" s="1"/>
  <c r="O174" i="11" s="1"/>
  <c r="AG135" i="11"/>
  <c r="K193" i="11"/>
  <c r="AB194" i="11" l="1"/>
  <c r="Y132" i="11"/>
  <c r="BO166" i="11"/>
  <c r="BN166" i="11"/>
  <c r="J131" i="11"/>
  <c r="H132" i="11" s="1"/>
  <c r="Q174" i="11"/>
  <c r="R174" i="11" s="1"/>
  <c r="O175" i="11" s="1"/>
  <c r="K194" i="11"/>
  <c r="AB195" i="11" l="1"/>
  <c r="AA132" i="11"/>
  <c r="W133" i="11" s="1"/>
  <c r="BP166" i="11"/>
  <c r="BH167" i="11" s="1"/>
  <c r="BN167" i="11" s="1"/>
  <c r="AH131" i="11"/>
  <c r="Q175" i="11"/>
  <c r="R175" i="11" s="1"/>
  <c r="O176" i="11" s="1"/>
  <c r="AG136" i="11"/>
  <c r="AF132" i="11"/>
  <c r="I132" i="11"/>
  <c r="AD132" i="11" s="1"/>
  <c r="K195" i="11"/>
  <c r="AB196" i="11" l="1"/>
  <c r="Y133" i="11"/>
  <c r="AA133" i="11" s="1"/>
  <c r="BO167" i="11"/>
  <c r="BP167" i="11" s="1"/>
  <c r="BH168" i="11" s="1"/>
  <c r="BN168" i="11" s="1"/>
  <c r="Q176" i="11"/>
  <c r="R176" i="11" s="1"/>
  <c r="O177" i="11" s="1"/>
  <c r="J132" i="11"/>
  <c r="AH132" i="11" s="1"/>
  <c r="K196" i="11"/>
  <c r="AB197" i="11" l="1"/>
  <c r="W134" i="11"/>
  <c r="Y134" i="11" s="1"/>
  <c r="BO168" i="11"/>
  <c r="BP168" i="11" s="1"/>
  <c r="BH169" i="11" s="1"/>
  <c r="BO169" i="11" s="1"/>
  <c r="Q177" i="11"/>
  <c r="R177" i="11" s="1"/>
  <c r="O178" i="11" s="1"/>
  <c r="H133" i="11"/>
  <c r="AF133" i="11" s="1"/>
  <c r="K197" i="11"/>
  <c r="AB198" i="11" l="1"/>
  <c r="AA134" i="11"/>
  <c r="BN169" i="11"/>
  <c r="BP169" i="11" s="1"/>
  <c r="BH170" i="11" s="1"/>
  <c r="Q178" i="11"/>
  <c r="R178" i="11" s="1"/>
  <c r="O179" i="11" s="1"/>
  <c r="I133" i="11"/>
  <c r="AD133" i="11" s="1"/>
  <c r="AG137" i="11"/>
  <c r="K198" i="11"/>
  <c r="AB199" i="11" l="1"/>
  <c r="W135" i="11"/>
  <c r="Y135" i="11" s="1"/>
  <c r="BN170" i="11"/>
  <c r="BO170" i="11"/>
  <c r="J133" i="11"/>
  <c r="AH133" i="11" s="1"/>
  <c r="Q179" i="11"/>
  <c r="R179" i="11" s="1"/>
  <c r="O180" i="11" s="1"/>
  <c r="K199" i="11"/>
  <c r="AB200" i="11" l="1"/>
  <c r="AA135" i="11"/>
  <c r="W136" i="11" s="1"/>
  <c r="BP170" i="11"/>
  <c r="BH171" i="11" s="1"/>
  <c r="BN171" i="11" s="1"/>
  <c r="H134" i="11"/>
  <c r="AF134" i="11" s="1"/>
  <c r="Q180" i="11"/>
  <c r="R180" i="11" s="1"/>
  <c r="O181" i="11" s="1"/>
  <c r="AG138" i="11"/>
  <c r="K200" i="11"/>
  <c r="AB201" i="11" l="1"/>
  <c r="Y136" i="11"/>
  <c r="AA136" i="11" s="1"/>
  <c r="BO171" i="11"/>
  <c r="BP171" i="11" s="1"/>
  <c r="BH172" i="11" s="1"/>
  <c r="BN172" i="11" s="1"/>
  <c r="I134" i="11"/>
  <c r="AD134" i="11" s="1"/>
  <c r="Q181" i="11"/>
  <c r="R181" i="11" s="1"/>
  <c r="O182" i="11" s="1"/>
  <c r="K201" i="11"/>
  <c r="AB202" i="11" l="1"/>
  <c r="W137" i="11"/>
  <c r="Y137" i="11" s="1"/>
  <c r="AA137" i="11" s="1"/>
  <c r="BO172" i="11"/>
  <c r="BP172" i="11" s="1"/>
  <c r="BH173" i="11" s="1"/>
  <c r="BN173" i="11" s="1"/>
  <c r="J134" i="11"/>
  <c r="AH134" i="11" s="1"/>
  <c r="Q182" i="11"/>
  <c r="R182" i="11" s="1"/>
  <c r="O183" i="11" s="1"/>
  <c r="K202" i="11"/>
  <c r="AG139" i="11"/>
  <c r="AB203" i="11" l="1"/>
  <c r="W138" i="11"/>
  <c r="Y138" i="11" s="1"/>
  <c r="BO173" i="11"/>
  <c r="BP173" i="11" s="1"/>
  <c r="BH174" i="11" s="1"/>
  <c r="BO174" i="11" s="1"/>
  <c r="H135" i="11"/>
  <c r="I135" i="11" s="1"/>
  <c r="AD135" i="11" s="1"/>
  <c r="Q183" i="11"/>
  <c r="R183" i="11" s="1"/>
  <c r="O184" i="11" s="1"/>
  <c r="K203" i="11"/>
  <c r="AB204" i="11" l="1"/>
  <c r="AA138" i="11"/>
  <c r="W139" i="11" s="1"/>
  <c r="Y139" i="11" s="1"/>
  <c r="BN174" i="11"/>
  <c r="BP174" i="11" s="1"/>
  <c r="BH175" i="11" s="1"/>
  <c r="BN175" i="11" s="1"/>
  <c r="AF135" i="11"/>
  <c r="Q184" i="11"/>
  <c r="R184" i="11" s="1"/>
  <c r="O185" i="11" s="1"/>
  <c r="J135" i="11"/>
  <c r="K204" i="11"/>
  <c r="AB205" i="11" l="1"/>
  <c r="BO175" i="11"/>
  <c r="BP175" i="11" s="1"/>
  <c r="BH176" i="11" s="1"/>
  <c r="BN176" i="11" s="1"/>
  <c r="Q185" i="11"/>
  <c r="R185" i="11" s="1"/>
  <c r="O186" i="11" s="1"/>
  <c r="K205" i="11"/>
  <c r="AB206" i="11" s="1"/>
  <c r="AH135" i="11"/>
  <c r="H136" i="11"/>
  <c r="AG140" i="11"/>
  <c r="BO176" i="11" l="1"/>
  <c r="BP176" i="11" s="1"/>
  <c r="BH177" i="11" s="1"/>
  <c r="BN177" i="11" s="1"/>
  <c r="AA139" i="11"/>
  <c r="Q186" i="11"/>
  <c r="R186" i="11" s="1"/>
  <c r="O187" i="11" s="1"/>
  <c r="Q187" i="11" s="1"/>
  <c r="R187" i="11" s="1"/>
  <c r="O188" i="11" s="1"/>
  <c r="AF136" i="11"/>
  <c r="I136" i="11"/>
  <c r="AD136" i="11" s="1"/>
  <c r="K206" i="11"/>
  <c r="AB207" i="11" s="1"/>
  <c r="M9" i="21" l="1"/>
  <c r="W140" i="11"/>
  <c r="Y140" i="11" s="1"/>
  <c r="BO177" i="11"/>
  <c r="BP177" i="11" s="1"/>
  <c r="BH178" i="11" s="1"/>
  <c r="BN178" i="11" s="1"/>
  <c r="M9" i="17"/>
  <c r="Q188" i="11"/>
  <c r="R188" i="11" s="1"/>
  <c r="O189" i="11" s="1"/>
  <c r="K207" i="11"/>
  <c r="AB208" i="11" s="1"/>
  <c r="J136" i="11"/>
  <c r="AH136" i="11" s="1"/>
  <c r="BO178" i="11" l="1"/>
  <c r="BP178" i="11" s="1"/>
  <c r="BH179" i="11" s="1"/>
  <c r="BN179" i="11" s="1"/>
  <c r="Q189" i="11"/>
  <c r="R189" i="11" s="1"/>
  <c r="O190" i="11" s="1"/>
  <c r="K208" i="11"/>
  <c r="AB209" i="11" s="1"/>
  <c r="AG141" i="11"/>
  <c r="H137" i="11"/>
  <c r="AA140" i="11"/>
  <c r="W141" i="11" s="1"/>
  <c r="BO179" i="11" l="1"/>
  <c r="BP179" i="11" s="1"/>
  <c r="BH180" i="11" s="1"/>
  <c r="BN180" i="11" s="1"/>
  <c r="Q190" i="11"/>
  <c r="R190" i="11" s="1"/>
  <c r="O191" i="11" s="1"/>
  <c r="AF137" i="11"/>
  <c r="I137" i="11"/>
  <c r="AD137" i="11" s="1"/>
  <c r="K209" i="11"/>
  <c r="AB210" i="11" s="1"/>
  <c r="BO180" i="11" l="1"/>
  <c r="BP180" i="11" s="1"/>
  <c r="BH181" i="11" s="1"/>
  <c r="BO181" i="11" s="1"/>
  <c r="Q191" i="11"/>
  <c r="R191" i="11" s="1"/>
  <c r="O192" i="11" s="1"/>
  <c r="Q192" i="11" s="1"/>
  <c r="R192" i="11" s="1"/>
  <c r="O193" i="11" s="1"/>
  <c r="J137" i="11"/>
  <c r="H138" i="11" s="1"/>
  <c r="K210" i="11"/>
  <c r="AB211" i="11" s="1"/>
  <c r="F25" i="11" s="1"/>
  <c r="Y141" i="11"/>
  <c r="BN181" i="11" l="1"/>
  <c r="BP181" i="11" s="1"/>
  <c r="BH182" i="11" s="1"/>
  <c r="BN182" i="11" s="1"/>
  <c r="Q193" i="11"/>
  <c r="R193" i="11" s="1"/>
  <c r="O194" i="11" s="1"/>
  <c r="AH137" i="11"/>
  <c r="AG142" i="11"/>
  <c r="AF138" i="11"/>
  <c r="I138" i="11"/>
  <c r="AD138" i="11" s="1"/>
  <c r="K211" i="11"/>
  <c r="AB212" i="11" s="1"/>
  <c r="AA141" i="11"/>
  <c r="W142" i="11" s="1"/>
  <c r="BO182" i="11" l="1"/>
  <c r="BP182" i="11" s="1"/>
  <c r="BH183" i="11" s="1"/>
  <c r="BN183" i="11" s="1"/>
  <c r="Q194" i="11"/>
  <c r="R194" i="11" s="1"/>
  <c r="O195" i="11" s="1"/>
  <c r="K212" i="11"/>
  <c r="AB213" i="11" s="1"/>
  <c r="J138" i="11"/>
  <c r="AH138" i="11" s="1"/>
  <c r="Y142" i="11"/>
  <c r="BO183" i="11" l="1"/>
  <c r="BP183" i="11" s="1"/>
  <c r="BH184" i="11" s="1"/>
  <c r="BO184" i="11" s="1"/>
  <c r="Q195" i="11"/>
  <c r="R195" i="11" s="1"/>
  <c r="O196" i="11" s="1"/>
  <c r="K213" i="11"/>
  <c r="AB214" i="11" s="1"/>
  <c r="AG143" i="11"/>
  <c r="H139" i="11"/>
  <c r="AA142" i="11"/>
  <c r="W143" i="11" s="1"/>
  <c r="BN184" i="11" l="1"/>
  <c r="BP184" i="11" s="1"/>
  <c r="BH185" i="11" s="1"/>
  <c r="Q196" i="11"/>
  <c r="R196" i="11" s="1"/>
  <c r="O197" i="11" s="1"/>
  <c r="AF139" i="11"/>
  <c r="G23" i="11" s="1"/>
  <c r="I139" i="11"/>
  <c r="AD139" i="11" s="1"/>
  <c r="K214" i="11"/>
  <c r="AB215" i="11" s="1"/>
  <c r="BN185" i="11" l="1"/>
  <c r="BO185" i="11"/>
  <c r="N9" i="17"/>
  <c r="N9" i="21"/>
  <c r="Q197" i="11"/>
  <c r="R197" i="11" s="1"/>
  <c r="O198" i="11" s="1"/>
  <c r="J139" i="11"/>
  <c r="K215" i="11"/>
  <c r="AB216" i="11" s="1"/>
  <c r="Y143" i="11"/>
  <c r="BP185" i="11" l="1"/>
  <c r="BH186" i="11" s="1"/>
  <c r="BO186" i="11" s="1"/>
  <c r="Q198" i="11"/>
  <c r="R198" i="11" s="1"/>
  <c r="O199" i="11" s="1"/>
  <c r="AG144" i="11"/>
  <c r="AH139" i="11"/>
  <c r="H140" i="11"/>
  <c r="K216" i="11"/>
  <c r="AB217" i="11" s="1"/>
  <c r="AA143" i="11"/>
  <c r="W144" i="11" s="1"/>
  <c r="BN186" i="11" l="1"/>
  <c r="BP186" i="11" s="1"/>
  <c r="BH187" i="11" s="1"/>
  <c r="Q199" i="11"/>
  <c r="R199" i="11" s="1"/>
  <c r="O200" i="11" s="1"/>
  <c r="Q200" i="11" s="1"/>
  <c r="R200" i="11" s="1"/>
  <c r="O201" i="11" s="1"/>
  <c r="AF140" i="11"/>
  <c r="I140" i="11"/>
  <c r="AD140" i="11" s="1"/>
  <c r="K217" i="11"/>
  <c r="AB218" i="11" s="1"/>
  <c r="Y144" i="11"/>
  <c r="BN187" i="11" l="1"/>
  <c r="BO187" i="11"/>
  <c r="Q201" i="11"/>
  <c r="R201" i="11" s="1"/>
  <c r="O202" i="11" s="1"/>
  <c r="Q202" i="11" s="1"/>
  <c r="R202" i="11" s="1"/>
  <c r="O203" i="11" s="1"/>
  <c r="K218" i="11"/>
  <c r="AB219" i="11" s="1"/>
  <c r="AG145" i="11"/>
  <c r="J140" i="11"/>
  <c r="AH140" i="11" s="1"/>
  <c r="AA144" i="11"/>
  <c r="W145" i="11" s="1"/>
  <c r="BP187" i="11" l="1"/>
  <c r="BH188" i="11" s="1"/>
  <c r="BN188" i="11" s="1"/>
  <c r="Q203" i="11"/>
  <c r="R203" i="11" s="1"/>
  <c r="H141" i="11"/>
  <c r="K219" i="11"/>
  <c r="AB220" i="11" s="1"/>
  <c r="Y145" i="11"/>
  <c r="BO188" i="11" l="1"/>
  <c r="BP188" i="11" s="1"/>
  <c r="BH189" i="11" s="1"/>
  <c r="BN189" i="11" s="1"/>
  <c r="O204" i="11"/>
  <c r="AG146" i="11"/>
  <c r="K220" i="11"/>
  <c r="AB221" i="11" s="1"/>
  <c r="AF141" i="11"/>
  <c r="I141" i="11"/>
  <c r="AD141" i="11" s="1"/>
  <c r="AA145" i="11"/>
  <c r="W146" i="11" s="1"/>
  <c r="BO189" i="11" l="1"/>
  <c r="BP189" i="11" s="1"/>
  <c r="BH190" i="11" s="1"/>
  <c r="BO190" i="11" s="1"/>
  <c r="Q204" i="11"/>
  <c r="R204" i="11" s="1"/>
  <c r="O205" i="11" s="1"/>
  <c r="J141" i="11"/>
  <c r="K221" i="11"/>
  <c r="AB222" i="11" s="1"/>
  <c r="Y146" i="11"/>
  <c r="BN190" i="11" l="1"/>
  <c r="BP190" i="11" s="1"/>
  <c r="BH191" i="11" s="1"/>
  <c r="BO191" i="11" s="1"/>
  <c r="Q205" i="11"/>
  <c r="R205" i="11" s="1"/>
  <c r="O206" i="11" s="1"/>
  <c r="K222" i="11"/>
  <c r="AB223" i="11" s="1"/>
  <c r="AG147" i="11"/>
  <c r="AH141" i="11"/>
  <c r="H142" i="11"/>
  <c r="AA146" i="11"/>
  <c r="W147" i="11" s="1"/>
  <c r="BN191" i="11" l="1"/>
  <c r="BP191" i="11" s="1"/>
  <c r="BH192" i="11" s="1"/>
  <c r="BN192" i="11" s="1"/>
  <c r="Q206" i="11"/>
  <c r="R206" i="11" s="1"/>
  <c r="O207" i="11" s="1"/>
  <c r="AF142" i="11"/>
  <c r="I142" i="11"/>
  <c r="AD142" i="11" s="1"/>
  <c r="K223" i="11"/>
  <c r="AB224" i="11" s="1"/>
  <c r="BO192" i="11" l="1"/>
  <c r="BP192" i="11" s="1"/>
  <c r="BH193" i="11" s="1"/>
  <c r="BN193" i="11" s="1"/>
  <c r="Q207" i="11"/>
  <c r="R207" i="11" s="1"/>
  <c r="J142" i="11"/>
  <c r="K224" i="11"/>
  <c r="AB225" i="11" s="1"/>
  <c r="Y147" i="11"/>
  <c r="BO193" i="11" l="1"/>
  <c r="BP193" i="11" s="1"/>
  <c r="BH194" i="11" s="1"/>
  <c r="BN194" i="11" s="1"/>
  <c r="O208" i="11"/>
  <c r="K225" i="11"/>
  <c r="AB226" i="11" s="1"/>
  <c r="AG148" i="11"/>
  <c r="AH142" i="11"/>
  <c r="H143" i="11"/>
  <c r="AA147" i="11"/>
  <c r="W148" i="11" s="1"/>
  <c r="BO194" i="11" l="1"/>
  <c r="BP194" i="11" s="1"/>
  <c r="BH195" i="11" s="1"/>
  <c r="BN195" i="11" s="1"/>
  <c r="Q208" i="11"/>
  <c r="R208" i="11" s="1"/>
  <c r="AF143" i="11"/>
  <c r="I143" i="11"/>
  <c r="AD143" i="11" s="1"/>
  <c r="K226" i="11"/>
  <c r="AB227" i="11" s="1"/>
  <c r="Y148" i="11"/>
  <c r="BO195" i="11" l="1"/>
  <c r="BP195" i="11" s="1"/>
  <c r="BH196" i="11" s="1"/>
  <c r="BN196" i="11" s="1"/>
  <c r="O209" i="11"/>
  <c r="Q209" i="11" s="1"/>
  <c r="R209" i="11" s="1"/>
  <c r="O210" i="11" s="1"/>
  <c r="AG149" i="11"/>
  <c r="J143" i="11"/>
  <c r="K227" i="11"/>
  <c r="AB228" i="11" s="1"/>
  <c r="AA148" i="11"/>
  <c r="W149" i="11" s="1"/>
  <c r="BO196" i="11" l="1"/>
  <c r="BP196" i="11" s="1"/>
  <c r="BH197" i="11" s="1"/>
  <c r="BN197" i="11" s="1"/>
  <c r="Q210" i="11"/>
  <c r="R210" i="11" s="1"/>
  <c r="AH143" i="11"/>
  <c r="H144" i="11"/>
  <c r="K228" i="11"/>
  <c r="AB229" i="11" s="1"/>
  <c r="BO197" i="11" l="1"/>
  <c r="BP197" i="11" s="1"/>
  <c r="BH198" i="11" s="1"/>
  <c r="BO198" i="11" s="1"/>
  <c r="O211" i="11"/>
  <c r="K229" i="11"/>
  <c r="AB230" i="11" s="1"/>
  <c r="AF144" i="11"/>
  <c r="I144" i="11"/>
  <c r="AD144" i="11" s="1"/>
  <c r="Y149" i="11"/>
  <c r="BN198" i="11" l="1"/>
  <c r="BP198" i="11" s="1"/>
  <c r="BH199" i="11" s="1"/>
  <c r="BN199" i="11" s="1"/>
  <c r="Q211" i="11"/>
  <c r="R211" i="11" s="1"/>
  <c r="O212" i="11" s="1"/>
  <c r="J144" i="11"/>
  <c r="AH144" i="11" s="1"/>
  <c r="AG150" i="11"/>
  <c r="K230" i="11"/>
  <c r="AB231" i="11" s="1"/>
  <c r="AA149" i="11"/>
  <c r="W150" i="11" s="1"/>
  <c r="BO199" i="11" l="1"/>
  <c r="BP199" i="11" s="1"/>
  <c r="BH200" i="11" s="1"/>
  <c r="BO200" i="11" s="1"/>
  <c r="Q212" i="11"/>
  <c r="R212" i="11" s="1"/>
  <c r="O213" i="11" s="1"/>
  <c r="H145" i="11"/>
  <c r="AF145" i="11" s="1"/>
  <c r="K231" i="11"/>
  <c r="AB232" i="11" s="1"/>
  <c r="Y150" i="11"/>
  <c r="BN200" i="11" l="1"/>
  <c r="BP200" i="11" s="1"/>
  <c r="BH201" i="11" s="1"/>
  <c r="BO201" i="11" s="1"/>
  <c r="Q213" i="11"/>
  <c r="R213" i="11" s="1"/>
  <c r="O214" i="11" s="1"/>
  <c r="I145" i="11"/>
  <c r="AD145" i="11" s="1"/>
  <c r="K232" i="11"/>
  <c r="AB233" i="11" s="1"/>
  <c r="AG151" i="11"/>
  <c r="AA150" i="11"/>
  <c r="W151" i="11" s="1"/>
  <c r="BN201" i="11" l="1"/>
  <c r="BP201" i="11" s="1"/>
  <c r="BH202" i="11" s="1"/>
  <c r="Q214" i="11"/>
  <c r="R214" i="11" s="1"/>
  <c r="O215" i="11" s="1"/>
  <c r="J145" i="11"/>
  <c r="AH145" i="11" s="1"/>
  <c r="K233" i="11"/>
  <c r="AB234" i="11" s="1"/>
  <c r="Y151" i="11"/>
  <c r="BN202" i="11" l="1"/>
  <c r="BO202" i="11"/>
  <c r="Q215" i="11"/>
  <c r="R215" i="11" s="1"/>
  <c r="O216" i="11" s="1"/>
  <c r="H146" i="11"/>
  <c r="AF146" i="11" s="1"/>
  <c r="AG152" i="11"/>
  <c r="K234" i="11"/>
  <c r="AB235" i="11" s="1"/>
  <c r="BP202" i="11" l="1"/>
  <c r="BH203" i="11" s="1"/>
  <c r="AA151" i="11"/>
  <c r="Q216" i="11"/>
  <c r="R216" i="11" s="1"/>
  <c r="O217" i="11" s="1"/>
  <c r="I146" i="11"/>
  <c r="AD146" i="11" s="1"/>
  <c r="K235" i="11"/>
  <c r="AB236" i="11" s="1"/>
  <c r="M10" i="21" l="1"/>
  <c r="W152" i="11"/>
  <c r="Y152" i="11" s="1"/>
  <c r="BN203" i="11"/>
  <c r="BO203" i="11"/>
  <c r="M10" i="17"/>
  <c r="Q217" i="11"/>
  <c r="R217" i="11" s="1"/>
  <c r="O218" i="11" s="1"/>
  <c r="Q218" i="11" s="1"/>
  <c r="R218" i="11" s="1"/>
  <c r="O219" i="11" s="1"/>
  <c r="J146" i="11"/>
  <c r="H147" i="11" s="1"/>
  <c r="AG153" i="11"/>
  <c r="K236" i="11"/>
  <c r="AB237" i="11" s="1"/>
  <c r="AA152" i="11" l="1"/>
  <c r="BP203" i="11"/>
  <c r="BH204" i="11" s="1"/>
  <c r="BO204" i="11" s="1"/>
  <c r="Q219" i="11"/>
  <c r="R219" i="11" s="1"/>
  <c r="O220" i="11" s="1"/>
  <c r="AH146" i="11"/>
  <c r="AF147" i="11"/>
  <c r="I147" i="11"/>
  <c r="AD147" i="11" s="1"/>
  <c r="K237" i="11"/>
  <c r="AB238" i="11" s="1"/>
  <c r="W153" i="11" l="1"/>
  <c r="BN204" i="11"/>
  <c r="BP204" i="11" s="1"/>
  <c r="BH205" i="11" s="1"/>
  <c r="BO205" i="11" s="1"/>
  <c r="Q220" i="11"/>
  <c r="R220" i="11" s="1"/>
  <c r="O221" i="11" s="1"/>
  <c r="J147" i="11"/>
  <c r="AH147" i="11" s="1"/>
  <c r="AG154" i="11"/>
  <c r="K238" i="11"/>
  <c r="AB239" i="11" s="1"/>
  <c r="Y153" i="11" l="1"/>
  <c r="AA153" i="11" s="1"/>
  <c r="BN205" i="11"/>
  <c r="BP205" i="11" s="1"/>
  <c r="BH206" i="11" s="1"/>
  <c r="Q221" i="11"/>
  <c r="R221" i="11" s="1"/>
  <c r="O222" i="11" s="1"/>
  <c r="Q222" i="11" s="1"/>
  <c r="R222" i="11" s="1"/>
  <c r="O223" i="11" s="1"/>
  <c r="H148" i="11"/>
  <c r="AF148" i="11" s="1"/>
  <c r="K239" i="11"/>
  <c r="AB240" i="11" s="1"/>
  <c r="W154" i="11" l="1"/>
  <c r="BN206" i="11"/>
  <c r="BO206" i="11"/>
  <c r="Q223" i="11"/>
  <c r="R223" i="11" s="1"/>
  <c r="O224" i="11" s="1"/>
  <c r="Q224" i="11" s="1"/>
  <c r="R224" i="11" s="1"/>
  <c r="O225" i="11" s="1"/>
  <c r="I148" i="11"/>
  <c r="AD148" i="11" s="1"/>
  <c r="AG155" i="11"/>
  <c r="K240" i="11"/>
  <c r="AB241" i="11" s="1"/>
  <c r="Y154" i="11" l="1"/>
  <c r="AA154" i="11" s="1"/>
  <c r="BP206" i="11"/>
  <c r="BH207" i="11" s="1"/>
  <c r="BN207" i="11" s="1"/>
  <c r="Q225" i="11"/>
  <c r="R225" i="11" s="1"/>
  <c r="O226" i="11" s="1"/>
  <c r="J148" i="11"/>
  <c r="AH148" i="11" s="1"/>
  <c r="K241" i="11"/>
  <c r="AB242" i="11" s="1"/>
  <c r="W155" i="11" l="1"/>
  <c r="BO207" i="11"/>
  <c r="BP207" i="11" s="1"/>
  <c r="BH208" i="11" s="1"/>
  <c r="BN208" i="11" s="1"/>
  <c r="Q226" i="11"/>
  <c r="R226" i="11" s="1"/>
  <c r="O227" i="11" s="1"/>
  <c r="H149" i="11"/>
  <c r="AF149" i="11" s="1"/>
  <c r="AG156" i="11"/>
  <c r="K242" i="11"/>
  <c r="AB243" i="11" s="1"/>
  <c r="Y155" i="11" l="1"/>
  <c r="AA155" i="11" s="1"/>
  <c r="BO208" i="11"/>
  <c r="BP208" i="11" s="1"/>
  <c r="BH209" i="11" s="1"/>
  <c r="BN209" i="11" s="1"/>
  <c r="Q227" i="11"/>
  <c r="R227" i="11" s="1"/>
  <c r="I149" i="11"/>
  <c r="AD149" i="11" s="1"/>
  <c r="K243" i="11"/>
  <c r="AB244" i="11" s="1"/>
  <c r="W156" i="11" l="1"/>
  <c r="BO209" i="11"/>
  <c r="BP209" i="11" s="1"/>
  <c r="BH210" i="11" s="1"/>
  <c r="BO210" i="11" s="1"/>
  <c r="O228" i="11"/>
  <c r="J149" i="11"/>
  <c r="AH149" i="11" s="1"/>
  <c r="K244" i="11"/>
  <c r="AB245" i="11" s="1"/>
  <c r="AG157" i="11"/>
  <c r="Y156" i="11" l="1"/>
  <c r="AA156" i="11" s="1"/>
  <c r="BN210" i="11"/>
  <c r="BP210" i="11" s="1"/>
  <c r="BH211" i="11" s="1"/>
  <c r="BN211" i="11" s="1"/>
  <c r="Q228" i="11"/>
  <c r="R228" i="11" s="1"/>
  <c r="H150" i="11"/>
  <c r="K245" i="11"/>
  <c r="AB246" i="11" s="1"/>
  <c r="W157" i="11" l="1"/>
  <c r="BO211" i="11"/>
  <c r="BP211" i="11" s="1"/>
  <c r="BH212" i="11" s="1"/>
  <c r="BN212" i="11" s="1"/>
  <c r="O229" i="11"/>
  <c r="AF150" i="11"/>
  <c r="I150" i="11"/>
  <c r="AD150" i="11" s="1"/>
  <c r="AG158" i="11"/>
  <c r="K246" i="11"/>
  <c r="AB247" i="11" s="1"/>
  <c r="Y157" i="11" l="1"/>
  <c r="AA157" i="11" s="1"/>
  <c r="BO212" i="11"/>
  <c r="BP212" i="11" s="1"/>
  <c r="BH213" i="11" s="1"/>
  <c r="Q229" i="11"/>
  <c r="R229" i="11" s="1"/>
  <c r="O230" i="11" s="1"/>
  <c r="J150" i="11"/>
  <c r="K247" i="11"/>
  <c r="AB248" i="11" s="1"/>
  <c r="W158" i="11" l="1"/>
  <c r="BN213" i="11"/>
  <c r="BO213" i="11"/>
  <c r="Q230" i="11"/>
  <c r="R230" i="11" s="1"/>
  <c r="O231" i="11" s="1"/>
  <c r="AH150" i="11"/>
  <c r="H151" i="11"/>
  <c r="K248" i="11"/>
  <c r="AB249" i="11" s="1"/>
  <c r="Y158" i="11" l="1"/>
  <c r="AA158" i="11" s="1"/>
  <c r="BP213" i="11"/>
  <c r="BH214" i="11" s="1"/>
  <c r="BO214" i="11" s="1"/>
  <c r="Q231" i="11"/>
  <c r="R231" i="11" s="1"/>
  <c r="O232" i="11" s="1"/>
  <c r="Q232" i="11" s="1"/>
  <c r="R232" i="11" s="1"/>
  <c r="O233" i="11" s="1"/>
  <c r="AF151" i="11"/>
  <c r="G24" i="11" s="1"/>
  <c r="I151" i="11"/>
  <c r="AD151" i="11" s="1"/>
  <c r="K249" i="11"/>
  <c r="AB250" i="11" s="1"/>
  <c r="AG159" i="11"/>
  <c r="W159" i="11" l="1"/>
  <c r="Y159" i="11" s="1"/>
  <c r="BN214" i="11"/>
  <c r="BP214" i="11" s="1"/>
  <c r="BH215" i="11" s="1"/>
  <c r="N10" i="17"/>
  <c r="N10" i="21"/>
  <c r="J151" i="11"/>
  <c r="AH151" i="11" s="1"/>
  <c r="Q233" i="11"/>
  <c r="R233" i="11" s="1"/>
  <c r="O234" i="11" s="1"/>
  <c r="K250" i="11"/>
  <c r="AB251" i="11" s="1"/>
  <c r="AG160" i="11"/>
  <c r="AA159" i="11" l="1"/>
  <c r="W160" i="11" s="1"/>
  <c r="Y160" i="11" s="1"/>
  <c r="BN215" i="11"/>
  <c r="BO215" i="11"/>
  <c r="H152" i="11"/>
  <c r="I152" i="11" s="1"/>
  <c r="AD152" i="11" s="1"/>
  <c r="Q234" i="11"/>
  <c r="R234" i="11" s="1"/>
  <c r="O235" i="11" s="1"/>
  <c r="AG161" i="11"/>
  <c r="K251" i="11"/>
  <c r="AB252" i="11" s="1"/>
  <c r="AA160" i="11" l="1"/>
  <c r="W161" i="11" s="1"/>
  <c r="Y161" i="11" s="1"/>
  <c r="BP215" i="11"/>
  <c r="BH216" i="11" s="1"/>
  <c r="BN216" i="11" s="1"/>
  <c r="AF152" i="11"/>
  <c r="Q235" i="11"/>
  <c r="R235" i="11" s="1"/>
  <c r="O236" i="11" s="1"/>
  <c r="J152" i="11"/>
  <c r="K252" i="11"/>
  <c r="AB253" i="11" s="1"/>
  <c r="BO216" i="11" l="1"/>
  <c r="BP216" i="11" s="1"/>
  <c r="BH217" i="11" s="1"/>
  <c r="Q236" i="11"/>
  <c r="R236" i="11" s="1"/>
  <c r="O237" i="11" s="1"/>
  <c r="AH152" i="11"/>
  <c r="H153" i="11"/>
  <c r="AG162" i="11"/>
  <c r="K253" i="11"/>
  <c r="AB254" i="11" s="1"/>
  <c r="AA161" i="11"/>
  <c r="W162" i="11" s="1"/>
  <c r="BN217" i="11" l="1"/>
  <c r="BO217" i="11"/>
  <c r="Q237" i="11"/>
  <c r="R237" i="11" s="1"/>
  <c r="O238" i="11" s="1"/>
  <c r="Q238" i="11" s="1"/>
  <c r="R238" i="11" s="1"/>
  <c r="O239" i="11" s="1"/>
  <c r="Q239" i="11" s="1"/>
  <c r="R239" i="11" s="1"/>
  <c r="O240" i="11" s="1"/>
  <c r="I153" i="11"/>
  <c r="AD153" i="11" s="1"/>
  <c r="AF153" i="11"/>
  <c r="K254" i="11"/>
  <c r="AB255" i="11" s="1"/>
  <c r="Y162" i="11"/>
  <c r="BP217" i="11" l="1"/>
  <c r="BH218" i="11" s="1"/>
  <c r="Q240" i="11"/>
  <c r="R240" i="11" s="1"/>
  <c r="J153" i="11"/>
  <c r="AG163" i="11"/>
  <c r="K255" i="11"/>
  <c r="AB256" i="11" s="1"/>
  <c r="AA162" i="11"/>
  <c r="W163" i="11" s="1"/>
  <c r="BO218" i="11" l="1"/>
  <c r="BN218" i="11"/>
  <c r="O241" i="11"/>
  <c r="Q241" i="11" s="1"/>
  <c r="R241" i="11" s="1"/>
  <c r="O242" i="11" s="1"/>
  <c r="AH153" i="11"/>
  <c r="H154" i="11"/>
  <c r="K256" i="11"/>
  <c r="AB257" i="11" s="1"/>
  <c r="Y163" i="11"/>
  <c r="BP218" i="11" l="1"/>
  <c r="BH219" i="11" s="1"/>
  <c r="BO219" i="11" s="1"/>
  <c r="Q242" i="11"/>
  <c r="R242" i="11" s="1"/>
  <c r="AF154" i="11"/>
  <c r="I154" i="11"/>
  <c r="AD154" i="11" s="1"/>
  <c r="AG164" i="11"/>
  <c r="K257" i="11"/>
  <c r="AB258" i="11" s="1"/>
  <c r="AA163" i="11"/>
  <c r="W164" i="11" s="1"/>
  <c r="BN219" i="11" l="1"/>
  <c r="BP219" i="11" s="1"/>
  <c r="BH220" i="11" s="1"/>
  <c r="BO220" i="11" s="1"/>
  <c r="J154" i="11"/>
  <c r="AH154" i="11" s="1"/>
  <c r="O243" i="11"/>
  <c r="K258" i="11"/>
  <c r="AB259" i="11" s="1"/>
  <c r="Y164" i="11"/>
  <c r="BN220" i="11" l="1"/>
  <c r="BP220" i="11" s="1"/>
  <c r="BH221" i="11" s="1"/>
  <c r="BN221" i="11" s="1"/>
  <c r="H155" i="11"/>
  <c r="AF155" i="11" s="1"/>
  <c r="Q243" i="11"/>
  <c r="R243" i="11" s="1"/>
  <c r="O244" i="11" s="1"/>
  <c r="AG165" i="11"/>
  <c r="K259" i="11"/>
  <c r="AB260" i="11" s="1"/>
  <c r="AA164" i="11"/>
  <c r="W165" i="11" s="1"/>
  <c r="BO221" i="11" l="1"/>
  <c r="BP221" i="11" s="1"/>
  <c r="BH222" i="11" s="1"/>
  <c r="BO222" i="11" s="1"/>
  <c r="I155" i="11"/>
  <c r="AD155" i="11" s="1"/>
  <c r="Q244" i="11"/>
  <c r="R244" i="11" s="1"/>
  <c r="O245" i="11" s="1"/>
  <c r="K260" i="11"/>
  <c r="AB261" i="11" s="1"/>
  <c r="Y165" i="11"/>
  <c r="BN222" i="11" l="1"/>
  <c r="BP222" i="11" s="1"/>
  <c r="BH223" i="11" s="1"/>
  <c r="BN223" i="11" s="1"/>
  <c r="J155" i="11"/>
  <c r="AH155" i="11" s="1"/>
  <c r="Q245" i="11"/>
  <c r="R245" i="11" s="1"/>
  <c r="O246" i="11" s="1"/>
  <c r="K261" i="11"/>
  <c r="AB262" i="11" s="1"/>
  <c r="AG166" i="11"/>
  <c r="AA165" i="11"/>
  <c r="W166" i="11" s="1"/>
  <c r="BO223" i="11" l="1"/>
  <c r="BP223" i="11" s="1"/>
  <c r="BH224" i="11" s="1"/>
  <c r="BO224" i="11" s="1"/>
  <c r="H156" i="11"/>
  <c r="AF156" i="11" s="1"/>
  <c r="Q246" i="11"/>
  <c r="R246" i="11" s="1"/>
  <c r="K262" i="11"/>
  <c r="AB263" i="11" s="1"/>
  <c r="Y166" i="11"/>
  <c r="BN224" i="11" l="1"/>
  <c r="BP224" i="11" s="1"/>
  <c r="BH225" i="11" s="1"/>
  <c r="I156" i="11"/>
  <c r="AD156" i="11" s="1"/>
  <c r="O247" i="11"/>
  <c r="K263" i="11"/>
  <c r="AB264" i="11" s="1"/>
  <c r="AG167" i="11"/>
  <c r="AA166" i="11"/>
  <c r="W167" i="11" s="1"/>
  <c r="BN225" i="11" l="1"/>
  <c r="BO225" i="11"/>
  <c r="J156" i="11"/>
  <c r="AH156" i="11" s="1"/>
  <c r="Q247" i="11"/>
  <c r="R247" i="11" s="1"/>
  <c r="K264" i="11"/>
  <c r="AB265" i="11" s="1"/>
  <c r="Y167" i="11"/>
  <c r="BP225" i="11" l="1"/>
  <c r="BH226" i="11" s="1"/>
  <c r="BN226" i="11" s="1"/>
  <c r="H157" i="11"/>
  <c r="I157" i="11" s="1"/>
  <c r="AD157" i="11" s="1"/>
  <c r="O248" i="11"/>
  <c r="Q248" i="11" s="1"/>
  <c r="R248" i="11" s="1"/>
  <c r="O249" i="11" s="1"/>
  <c r="K265" i="11"/>
  <c r="AB266" i="11" s="1"/>
  <c r="AG168" i="11"/>
  <c r="AA167" i="11"/>
  <c r="W168" i="11" s="1"/>
  <c r="BO226" i="11" l="1"/>
  <c r="BP226" i="11" s="1"/>
  <c r="BH227" i="11" s="1"/>
  <c r="J157" i="11"/>
  <c r="AH157" i="11" s="1"/>
  <c r="AF157" i="11"/>
  <c r="Q249" i="11"/>
  <c r="R249" i="11" s="1"/>
  <c r="O250" i="11" s="1"/>
  <c r="Q250" i="11" s="1"/>
  <c r="R250" i="11" s="1"/>
  <c r="O251" i="11" s="1"/>
  <c r="Q251" i="11" s="1"/>
  <c r="R251" i="11" s="1"/>
  <c r="O252" i="11" s="1"/>
  <c r="K266" i="11"/>
  <c r="AB267" i="11" s="1"/>
  <c r="Y168" i="11"/>
  <c r="BN227" i="11" l="1"/>
  <c r="BO227" i="11"/>
  <c r="H158" i="11"/>
  <c r="AF158" i="11" s="1"/>
  <c r="Q252" i="11"/>
  <c r="R252" i="11" s="1"/>
  <c r="AG169" i="11"/>
  <c r="K267" i="11"/>
  <c r="AB268" i="11" s="1"/>
  <c r="BP227" i="11" l="1"/>
  <c r="BH228" i="11" s="1"/>
  <c r="BO228" i="11" s="1"/>
  <c r="I158" i="11"/>
  <c r="AD158" i="11" s="1"/>
  <c r="AA168" i="11"/>
  <c r="O253" i="11"/>
  <c r="AG170" i="11"/>
  <c r="K268" i="11"/>
  <c r="AB269" i="11" s="1"/>
  <c r="W169" i="11" l="1"/>
  <c r="BN228" i="11"/>
  <c r="BP228" i="11" s="1"/>
  <c r="BH229" i="11" s="1"/>
  <c r="BN229" i="11" s="1"/>
  <c r="J158" i="11"/>
  <c r="AH158" i="11" s="1"/>
  <c r="Q253" i="11"/>
  <c r="R253" i="11" s="1"/>
  <c r="K269" i="11"/>
  <c r="AB270" i="11" s="1"/>
  <c r="Y169" i="11" l="1"/>
  <c r="AA169" i="11" s="1"/>
  <c r="BO229" i="11"/>
  <c r="BP229" i="11" s="1"/>
  <c r="BH230" i="11" s="1"/>
  <c r="BO230" i="11" s="1"/>
  <c r="H159" i="11"/>
  <c r="I159" i="11" s="1"/>
  <c r="AD159" i="11" s="1"/>
  <c r="O254" i="11"/>
  <c r="Q254" i="11" s="1"/>
  <c r="R254" i="11" s="1"/>
  <c r="O255" i="11" s="1"/>
  <c r="K270" i="11"/>
  <c r="AB271" i="11" s="1"/>
  <c r="F26" i="11" s="1"/>
  <c r="AG171" i="11"/>
  <c r="W170" i="11" l="1"/>
  <c r="BN230" i="11"/>
  <c r="BP230" i="11" s="1"/>
  <c r="BH231" i="11" s="1"/>
  <c r="J159" i="11"/>
  <c r="AH159" i="11" s="1"/>
  <c r="AF159" i="11"/>
  <c r="Q255" i="11"/>
  <c r="R255" i="11" s="1"/>
  <c r="K271" i="11"/>
  <c r="AB272" i="11" s="1"/>
  <c r="Y170" i="11" l="1"/>
  <c r="AA170" i="11" s="1"/>
  <c r="BO231" i="11"/>
  <c r="BN231" i="11"/>
  <c r="H160" i="11"/>
  <c r="AF160" i="11" s="1"/>
  <c r="O256" i="11"/>
  <c r="Q256" i="11" s="1"/>
  <c r="R256" i="11" s="1"/>
  <c r="O257" i="11" s="1"/>
  <c r="K272" i="11"/>
  <c r="AB273" i="11" s="1"/>
  <c r="AG172" i="11"/>
  <c r="W171" i="11" l="1"/>
  <c r="BP231" i="11"/>
  <c r="BH232" i="11" s="1"/>
  <c r="BN232" i="11" s="1"/>
  <c r="I160" i="11"/>
  <c r="AD160" i="11" s="1"/>
  <c r="Q257" i="11"/>
  <c r="R257" i="11" s="1"/>
  <c r="O258" i="11" s="1"/>
  <c r="Q258" i="11" s="1"/>
  <c r="R258" i="11" s="1"/>
  <c r="O259" i="11" s="1"/>
  <c r="K273" i="11"/>
  <c r="AB274" i="11" s="1"/>
  <c r="Y171" i="11" l="1"/>
  <c r="BO232" i="11"/>
  <c r="BP232" i="11" s="1"/>
  <c r="BH233" i="11" s="1"/>
  <c r="BN233" i="11" s="1"/>
  <c r="J160" i="11"/>
  <c r="AH160" i="11" s="1"/>
  <c r="Q259" i="11"/>
  <c r="R259" i="11" s="1"/>
  <c r="O260" i="11" s="1"/>
  <c r="AG173" i="11"/>
  <c r="K274" i="11"/>
  <c r="AB275" i="11" s="1"/>
  <c r="AA171" i="11" l="1"/>
  <c r="W172" i="11" s="1"/>
  <c r="BO233" i="11"/>
  <c r="BP233" i="11" s="1"/>
  <c r="BH234" i="11" s="1"/>
  <c r="H161" i="11"/>
  <c r="I161" i="11" s="1"/>
  <c r="AD161" i="11" s="1"/>
  <c r="Q260" i="11"/>
  <c r="R260" i="11" s="1"/>
  <c r="O261" i="11" s="1"/>
  <c r="K275" i="11"/>
  <c r="AB276" i="11" s="1"/>
  <c r="Y172" i="11" l="1"/>
  <c r="AA172" i="11" s="1"/>
  <c r="BN234" i="11"/>
  <c r="BO234" i="11"/>
  <c r="J161" i="11"/>
  <c r="AH161" i="11" s="1"/>
  <c r="AF161" i="11"/>
  <c r="Q261" i="11"/>
  <c r="R261" i="11" s="1"/>
  <c r="O262" i="11" s="1"/>
  <c r="K276" i="11"/>
  <c r="AB277" i="11" s="1"/>
  <c r="AG174" i="11"/>
  <c r="W173" i="11" l="1"/>
  <c r="Y173" i="11" s="1"/>
  <c r="AA173" i="11" s="1"/>
  <c r="BP234" i="11"/>
  <c r="BH235" i="11" s="1"/>
  <c r="BN235" i="11" s="1"/>
  <c r="H162" i="11"/>
  <c r="I162" i="11" s="1"/>
  <c r="AD162" i="11" s="1"/>
  <c r="Q262" i="11"/>
  <c r="R262" i="11" s="1"/>
  <c r="O263" i="11" s="1"/>
  <c r="K277" i="11"/>
  <c r="AB278" i="11" s="1"/>
  <c r="W174" i="11" l="1"/>
  <c r="Y174" i="11" s="1"/>
  <c r="AA174" i="11" s="1"/>
  <c r="BO235" i="11"/>
  <c r="BP235" i="11" s="1"/>
  <c r="BH236" i="11" s="1"/>
  <c r="AF162" i="11"/>
  <c r="Q263" i="11"/>
  <c r="R263" i="11" s="1"/>
  <c r="O264" i="11" s="1"/>
  <c r="J162" i="11"/>
  <c r="K278" i="11"/>
  <c r="AB279" i="11" s="1"/>
  <c r="AG175" i="11"/>
  <c r="W175" i="11" l="1"/>
  <c r="Y175" i="11" s="1"/>
  <c r="BO236" i="11"/>
  <c r="BN236" i="11"/>
  <c r="Q264" i="11"/>
  <c r="R264" i="11" s="1"/>
  <c r="AH162" i="11"/>
  <c r="H163" i="11"/>
  <c r="K279" i="11"/>
  <c r="AB280" i="11" s="1"/>
  <c r="BP236" i="11" l="1"/>
  <c r="BH237" i="11" s="1"/>
  <c r="BO237" i="11" s="1"/>
  <c r="O265" i="11"/>
  <c r="I163" i="11"/>
  <c r="AD163" i="11" s="1"/>
  <c r="AF163" i="11"/>
  <c r="K280" i="11"/>
  <c r="AB281" i="11" s="1"/>
  <c r="AG176" i="11"/>
  <c r="AA175" i="11"/>
  <c r="W176" i="11" s="1"/>
  <c r="BN237" i="11" l="1"/>
  <c r="BP237" i="11" s="1"/>
  <c r="BH238" i="11" s="1"/>
  <c r="BN238" i="11" s="1"/>
  <c r="Q265" i="11"/>
  <c r="R265" i="11" s="1"/>
  <c r="J163" i="11"/>
  <c r="K281" i="11"/>
  <c r="AB282" i="11" s="1"/>
  <c r="Y176" i="11"/>
  <c r="BO238" i="11" l="1"/>
  <c r="BP238" i="11" s="1"/>
  <c r="BH239" i="11" s="1"/>
  <c r="BO239" i="11" s="1"/>
  <c r="O266" i="11"/>
  <c r="AH163" i="11"/>
  <c r="H164" i="11"/>
  <c r="AG177" i="11"/>
  <c r="K282" i="11"/>
  <c r="AB283" i="11" s="1"/>
  <c r="AA176" i="11"/>
  <c r="W177" i="11" s="1"/>
  <c r="BN239" i="11" l="1"/>
  <c r="BP239" i="11" s="1"/>
  <c r="BH240" i="11" s="1"/>
  <c r="BN240" i="11" s="1"/>
  <c r="Q266" i="11"/>
  <c r="R266" i="11" s="1"/>
  <c r="O267" i="11" s="1"/>
  <c r="Q267" i="11" s="1"/>
  <c r="R267" i="11" s="1"/>
  <c r="O268" i="11" s="1"/>
  <c r="AF164" i="11"/>
  <c r="I164" i="11"/>
  <c r="AD164" i="11" s="1"/>
  <c r="K283" i="11"/>
  <c r="AB284" i="11" s="1"/>
  <c r="BO240" i="11" l="1"/>
  <c r="BP240" i="11" s="1"/>
  <c r="BH241" i="11" s="1"/>
  <c r="BN241" i="11" s="1"/>
  <c r="Q268" i="11"/>
  <c r="R268" i="11" s="1"/>
  <c r="O269" i="11" s="1"/>
  <c r="J164" i="11"/>
  <c r="AH164" i="11" s="1"/>
  <c r="K284" i="11"/>
  <c r="AB285" i="11" s="1"/>
  <c r="Y177" i="11"/>
  <c r="BO241" i="11" l="1"/>
  <c r="BP241" i="11" s="1"/>
  <c r="BH242" i="11" s="1"/>
  <c r="Q269" i="11"/>
  <c r="R269" i="11" s="1"/>
  <c r="H165" i="11"/>
  <c r="I165" i="11" s="1"/>
  <c r="AD165" i="11" s="1"/>
  <c r="K285" i="11"/>
  <c r="AB286" i="11" s="1"/>
  <c r="AG178" i="11"/>
  <c r="AA177" i="11"/>
  <c r="W178" i="11" s="1"/>
  <c r="BO242" i="11" l="1"/>
  <c r="BN242" i="11"/>
  <c r="O270" i="11"/>
  <c r="AF165" i="11"/>
  <c r="J165" i="11"/>
  <c r="K286" i="11"/>
  <c r="AB287" i="11" s="1"/>
  <c r="Y178" i="11"/>
  <c r="BP242" i="11" l="1"/>
  <c r="BH243" i="11" s="1"/>
  <c r="BN243" i="11" s="1"/>
  <c r="Q270" i="11"/>
  <c r="R270" i="11" s="1"/>
  <c r="O271" i="11" s="1"/>
  <c r="H166" i="11"/>
  <c r="AH165" i="11"/>
  <c r="AG179" i="11"/>
  <c r="K287" i="11"/>
  <c r="AB288" i="11" s="1"/>
  <c r="AA178" i="11"/>
  <c r="W179" i="11" s="1"/>
  <c r="BO243" i="11" l="1"/>
  <c r="BP243" i="11" s="1"/>
  <c r="BH244" i="11" s="1"/>
  <c r="BN244" i="11" s="1"/>
  <c r="Q271" i="11"/>
  <c r="R271" i="11" s="1"/>
  <c r="O272" i="11" s="1"/>
  <c r="AF166" i="11"/>
  <c r="I166" i="11"/>
  <c r="AD166" i="11" s="1"/>
  <c r="K288" i="11"/>
  <c r="AB289" i="11" s="1"/>
  <c r="Y179" i="11"/>
  <c r="BO244" i="11" l="1"/>
  <c r="BP244" i="11" s="1"/>
  <c r="BH245" i="11" s="1"/>
  <c r="BO245" i="11" s="1"/>
  <c r="Q272" i="11"/>
  <c r="R272" i="11" s="1"/>
  <c r="O273" i="11" s="1"/>
  <c r="Q273" i="11" s="1"/>
  <c r="R273" i="11" s="1"/>
  <c r="O274" i="11" s="1"/>
  <c r="Q274" i="11" s="1"/>
  <c r="R274" i="11" s="1"/>
  <c r="O275" i="11" s="1"/>
  <c r="Q275" i="11" s="1"/>
  <c r="R275" i="11" s="1"/>
  <c r="O276" i="11" s="1"/>
  <c r="Q276" i="11" s="1"/>
  <c r="R276" i="11" s="1"/>
  <c r="O277" i="11" s="1"/>
  <c r="Q277" i="11" s="1"/>
  <c r="R277" i="11" s="1"/>
  <c r="O278" i="11" s="1"/>
  <c r="J166" i="11"/>
  <c r="AG180" i="11"/>
  <c r="K289" i="11"/>
  <c r="AB290" i="11" s="1"/>
  <c r="AA179" i="11"/>
  <c r="W180" i="11" s="1"/>
  <c r="BN245" i="11" l="1"/>
  <c r="BP245" i="11" s="1"/>
  <c r="BH246" i="11" s="1"/>
  <c r="BO246" i="11" s="1"/>
  <c r="Q278" i="11"/>
  <c r="R278" i="11" s="1"/>
  <c r="O279" i="11" s="1"/>
  <c r="Q279" i="11" s="1"/>
  <c r="R279" i="11" s="1"/>
  <c r="O280" i="11" s="1"/>
  <c r="AH166" i="11"/>
  <c r="H167" i="11"/>
  <c r="K290" i="11"/>
  <c r="AB291" i="11" s="1"/>
  <c r="Y180" i="11"/>
  <c r="BN246" i="11" l="1"/>
  <c r="BP246" i="11" s="1"/>
  <c r="BH247" i="11" s="1"/>
  <c r="BO247" i="11" s="1"/>
  <c r="Q280" i="11"/>
  <c r="R280" i="11" s="1"/>
  <c r="I167" i="11"/>
  <c r="AD167" i="11" s="1"/>
  <c r="AF167" i="11"/>
  <c r="AG181" i="11"/>
  <c r="K291" i="11"/>
  <c r="AB292" i="11" s="1"/>
  <c r="AA180" i="11"/>
  <c r="W181" i="11" s="1"/>
  <c r="BN247" i="11" l="1"/>
  <c r="BP247" i="11" s="1"/>
  <c r="BH248" i="11" s="1"/>
  <c r="BN248" i="11" s="1"/>
  <c r="O281" i="11"/>
  <c r="Q281" i="11" s="1"/>
  <c r="R281" i="11" s="1"/>
  <c r="O282" i="11" s="1"/>
  <c r="Q282" i="11" s="1"/>
  <c r="R282" i="11" s="1"/>
  <c r="O283" i="11" s="1"/>
  <c r="Q283" i="11" s="1"/>
  <c r="R283" i="11" s="1"/>
  <c r="O284" i="11" s="1"/>
  <c r="J167" i="11"/>
  <c r="AH167" i="11" s="1"/>
  <c r="K292" i="11"/>
  <c r="AB293" i="11" s="1"/>
  <c r="Y181" i="11"/>
  <c r="BO248" i="11" l="1"/>
  <c r="BP248" i="11" s="1"/>
  <c r="BH249" i="11" s="1"/>
  <c r="BO249" i="11" s="1"/>
  <c r="Q284" i="11"/>
  <c r="R284" i="11" s="1"/>
  <c r="H168" i="11"/>
  <c r="I168" i="11" s="1"/>
  <c r="AD168" i="11" s="1"/>
  <c r="AG182" i="11"/>
  <c r="K293" i="11"/>
  <c r="AB294" i="11" s="1"/>
  <c r="AA181" i="11"/>
  <c r="W182" i="11" s="1"/>
  <c r="BN249" i="11" l="1"/>
  <c r="BP249" i="11" s="1"/>
  <c r="BH250" i="11" s="1"/>
  <c r="BN250" i="11" s="1"/>
  <c r="O285" i="11"/>
  <c r="Q285" i="11" s="1"/>
  <c r="R285" i="11" s="1"/>
  <c r="O286" i="11" s="1"/>
  <c r="Q286" i="11" s="1"/>
  <c r="R286" i="11" s="1"/>
  <c r="O287" i="11" s="1"/>
  <c r="Q287" i="11" s="1"/>
  <c r="R287" i="11" s="1"/>
  <c r="O288" i="11" s="1"/>
  <c r="Q288" i="11" s="1"/>
  <c r="R288" i="11" s="1"/>
  <c r="O289" i="11" s="1"/>
  <c r="Q289" i="11" s="1"/>
  <c r="R289" i="11" s="1"/>
  <c r="O290" i="11" s="1"/>
  <c r="Q290" i="11" s="1"/>
  <c r="R290" i="11" s="1"/>
  <c r="O291" i="11" s="1"/>
  <c r="Q291" i="11" s="1"/>
  <c r="R291" i="11" s="1"/>
  <c r="O292" i="11" s="1"/>
  <c r="AF168" i="11"/>
  <c r="J168" i="11"/>
  <c r="K294" i="11"/>
  <c r="AB295" i="11" s="1"/>
  <c r="Y182" i="11"/>
  <c r="BO250" i="11" l="1"/>
  <c r="BP250" i="11" s="1"/>
  <c r="BH251" i="11" s="1"/>
  <c r="Q292" i="11"/>
  <c r="R292" i="11" s="1"/>
  <c r="O293" i="11" s="1"/>
  <c r="AH168" i="11"/>
  <c r="H169" i="11"/>
  <c r="AG183" i="11"/>
  <c r="K295" i="11"/>
  <c r="AB296" i="11" s="1"/>
  <c r="AA182" i="11"/>
  <c r="W183" i="11" s="1"/>
  <c r="BN251" i="11" l="1"/>
  <c r="BO251" i="11"/>
  <c r="Q293" i="11"/>
  <c r="R293" i="11" s="1"/>
  <c r="O294" i="11" s="1"/>
  <c r="I169" i="11"/>
  <c r="AD169" i="11" s="1"/>
  <c r="AF169" i="11"/>
  <c r="K296" i="11"/>
  <c r="AB297" i="11" s="1"/>
  <c r="Y183" i="11"/>
  <c r="BP251" i="11" l="1"/>
  <c r="BH252" i="11" s="1"/>
  <c r="BO252" i="11" s="1"/>
  <c r="Q294" i="11"/>
  <c r="R294" i="11" s="1"/>
  <c r="O295" i="11" s="1"/>
  <c r="Q295" i="11" s="1"/>
  <c r="R295" i="11" s="1"/>
  <c r="O296" i="11" s="1"/>
  <c r="J169" i="11"/>
  <c r="AG184" i="11"/>
  <c r="K297" i="11"/>
  <c r="AB298" i="11" s="1"/>
  <c r="AA183" i="11"/>
  <c r="W184" i="11" s="1"/>
  <c r="BN252" i="11" l="1"/>
  <c r="BP252" i="11" s="1"/>
  <c r="BH253" i="11" s="1"/>
  <c r="Q296" i="11"/>
  <c r="R296" i="11" s="1"/>
  <c r="O297" i="11" s="1"/>
  <c r="AH169" i="11"/>
  <c r="H170" i="11"/>
  <c r="K298" i="11"/>
  <c r="AB299" i="11" s="1"/>
  <c r="Y184" i="11"/>
  <c r="BN253" i="11" l="1"/>
  <c r="BO253" i="11"/>
  <c r="Q297" i="11"/>
  <c r="R297" i="11" s="1"/>
  <c r="O298" i="11" s="1"/>
  <c r="AF170" i="11"/>
  <c r="I170" i="11"/>
  <c r="AD170" i="11" s="1"/>
  <c r="K299" i="11"/>
  <c r="AB300" i="11" s="1"/>
  <c r="AG185" i="11"/>
  <c r="AA184" i="11"/>
  <c r="W185" i="11" s="1"/>
  <c r="BP253" i="11" l="1"/>
  <c r="BH254" i="11" s="1"/>
  <c r="BN254" i="11" s="1"/>
  <c r="Q298" i="11"/>
  <c r="R298" i="11" s="1"/>
  <c r="O299" i="11" s="1"/>
  <c r="J170" i="11"/>
  <c r="K300" i="11"/>
  <c r="AB301" i="11" s="1"/>
  <c r="Y185" i="11"/>
  <c r="BO254" i="11" l="1"/>
  <c r="BP254" i="11" s="1"/>
  <c r="BH255" i="11" s="1"/>
  <c r="BN255" i="11" s="1"/>
  <c r="Q299" i="11"/>
  <c r="R299" i="11" s="1"/>
  <c r="O300" i="11" s="1"/>
  <c r="Q300" i="11" s="1"/>
  <c r="R300" i="11" s="1"/>
  <c r="O301" i="11" s="1"/>
  <c r="AH170" i="11"/>
  <c r="H171" i="11"/>
  <c r="AG186" i="11"/>
  <c r="K301" i="11"/>
  <c r="AB302" i="11" s="1"/>
  <c r="AA185" i="11"/>
  <c r="W186" i="11" s="1"/>
  <c r="BO255" i="11" l="1"/>
  <c r="BP255" i="11" s="1"/>
  <c r="BH256" i="11" s="1"/>
  <c r="Q301" i="11"/>
  <c r="R301" i="11" s="1"/>
  <c r="AF171" i="11"/>
  <c r="I171" i="11"/>
  <c r="AD171" i="11" s="1"/>
  <c r="K302" i="11"/>
  <c r="AB303" i="11" s="1"/>
  <c r="Y186" i="11"/>
  <c r="BN256" i="11" l="1"/>
  <c r="BO256" i="11"/>
  <c r="O302" i="11"/>
  <c r="J171" i="11"/>
  <c r="AH171" i="11" s="1"/>
  <c r="AG187" i="11"/>
  <c r="K303" i="11"/>
  <c r="AB304" i="11" s="1"/>
  <c r="BP256" i="11" l="1"/>
  <c r="BH257" i="11" s="1"/>
  <c r="BO257" i="11" s="1"/>
  <c r="AA186" i="11"/>
  <c r="Q302" i="11"/>
  <c r="R302" i="11" s="1"/>
  <c r="O303" i="11" s="1"/>
  <c r="H172" i="11"/>
  <c r="AF172" i="11" s="1"/>
  <c r="AG188" i="11"/>
  <c r="K304" i="11"/>
  <c r="AB305" i="11" s="1"/>
  <c r="W187" i="11" l="1"/>
  <c r="BN257" i="11"/>
  <c r="BP257" i="11" s="1"/>
  <c r="BH258" i="11" s="1"/>
  <c r="Q303" i="11"/>
  <c r="R303" i="11" s="1"/>
  <c r="O304" i="11" s="1"/>
  <c r="I172" i="11"/>
  <c r="AD172" i="11" s="1"/>
  <c r="K305" i="11"/>
  <c r="AB306" i="11" s="1"/>
  <c r="Y187" i="11" l="1"/>
  <c r="AA187" i="11" s="1"/>
  <c r="BO258" i="11"/>
  <c r="BN258" i="11"/>
  <c r="Q304" i="11"/>
  <c r="R304" i="11" s="1"/>
  <c r="O305" i="11" s="1"/>
  <c r="J172" i="11"/>
  <c r="AH172" i="11" s="1"/>
  <c r="AG189" i="11"/>
  <c r="K306" i="11"/>
  <c r="AB307" i="11" s="1"/>
  <c r="W188" i="11" l="1"/>
  <c r="BP258" i="11"/>
  <c r="BH259" i="11" s="1"/>
  <c r="BN259" i="11" s="1"/>
  <c r="Q305" i="11"/>
  <c r="R305" i="11" s="1"/>
  <c r="O306" i="11" s="1"/>
  <c r="H173" i="11"/>
  <c r="AF173" i="11" s="1"/>
  <c r="K307" i="11"/>
  <c r="AB308" i="11" s="1"/>
  <c r="Y188" i="11" l="1"/>
  <c r="AA188" i="11" s="1"/>
  <c r="BO259" i="11"/>
  <c r="BP259" i="11" s="1"/>
  <c r="BH260" i="11" s="1"/>
  <c r="BN260" i="11" s="1"/>
  <c r="Q306" i="11"/>
  <c r="R306" i="11" s="1"/>
  <c r="O307" i="11" s="1"/>
  <c r="I173" i="11"/>
  <c r="AD173" i="11" s="1"/>
  <c r="AG190" i="11"/>
  <c r="K308" i="11"/>
  <c r="AB309" i="11" s="1"/>
  <c r="W189" i="11" l="1"/>
  <c r="BO260" i="11"/>
  <c r="BP260" i="11" s="1"/>
  <c r="BH261" i="11" s="1"/>
  <c r="BO261" i="11" s="1"/>
  <c r="Q307" i="11"/>
  <c r="R307" i="11" s="1"/>
  <c r="O308" i="11" s="1"/>
  <c r="J173" i="11"/>
  <c r="AH173" i="11" s="1"/>
  <c r="K309" i="11"/>
  <c r="AB310" i="11" s="1"/>
  <c r="Y189" i="11" l="1"/>
  <c r="BN261" i="11"/>
  <c r="BP261" i="11" s="1"/>
  <c r="BH262" i="11" s="1"/>
  <c r="Q308" i="11"/>
  <c r="R308" i="11" s="1"/>
  <c r="O309" i="11" s="1"/>
  <c r="H174" i="11"/>
  <c r="I174" i="11" s="1"/>
  <c r="AD174" i="11" s="1"/>
  <c r="K310" i="11"/>
  <c r="AB311" i="11" s="1"/>
  <c r="AA189" i="11" l="1"/>
  <c r="W190" i="11" s="1"/>
  <c r="BO262" i="11"/>
  <c r="BN262" i="11"/>
  <c r="Q309" i="11"/>
  <c r="R309" i="11" s="1"/>
  <c r="O310" i="11" s="1"/>
  <c r="AF174" i="11"/>
  <c r="J174" i="11"/>
  <c r="AG191" i="11"/>
  <c r="K311" i="11"/>
  <c r="AB312" i="11" s="1"/>
  <c r="Y190" i="11" l="1"/>
  <c r="AA190" i="11" s="1"/>
  <c r="BP262" i="11"/>
  <c r="BH263" i="11" s="1"/>
  <c r="BO263" i="11" s="1"/>
  <c r="Q310" i="11"/>
  <c r="R310" i="11" s="1"/>
  <c r="O311" i="11" s="1"/>
  <c r="Q311" i="11" s="1"/>
  <c r="R311" i="11" s="1"/>
  <c r="O312" i="11" s="1"/>
  <c r="Q312" i="11" s="1"/>
  <c r="R312" i="11" s="1"/>
  <c r="O313" i="11" s="1"/>
  <c r="Q313" i="11" s="1"/>
  <c r="R313" i="11" s="1"/>
  <c r="O314" i="11" s="1"/>
  <c r="Q314" i="11" s="1"/>
  <c r="R314" i="11" s="1"/>
  <c r="O315" i="11" s="1"/>
  <c r="Q315" i="11" s="1"/>
  <c r="R315" i="11" s="1"/>
  <c r="O316" i="11" s="1"/>
  <c r="AH174" i="11"/>
  <c r="H175" i="11"/>
  <c r="K312" i="11"/>
  <c r="AB313" i="11" s="1"/>
  <c r="W191" i="11" l="1"/>
  <c r="Y191" i="11" s="1"/>
  <c r="BN263" i="11"/>
  <c r="BP263" i="11" s="1"/>
  <c r="BH264" i="11" s="1"/>
  <c r="BO264" i="11" s="1"/>
  <c r="Q316" i="11"/>
  <c r="R316" i="11" s="1"/>
  <c r="O317" i="11" s="1"/>
  <c r="AF175" i="11"/>
  <c r="I175" i="11"/>
  <c r="AD175" i="11" s="1"/>
  <c r="AG192" i="11"/>
  <c r="K313" i="11"/>
  <c r="AB314" i="11" s="1"/>
  <c r="BN264" i="11" l="1"/>
  <c r="BP264" i="11" s="1"/>
  <c r="BH265" i="11" s="1"/>
  <c r="AA191" i="11"/>
  <c r="Q317" i="11"/>
  <c r="R317" i="11" s="1"/>
  <c r="O318" i="11" s="1"/>
  <c r="J175" i="11"/>
  <c r="AG193" i="11"/>
  <c r="K314" i="11"/>
  <c r="AB315" i="11" s="1"/>
  <c r="W192" i="11" l="1"/>
  <c r="BN265" i="11"/>
  <c r="BO265" i="11"/>
  <c r="Q318" i="11"/>
  <c r="R318" i="11" s="1"/>
  <c r="O319" i="11" s="1"/>
  <c r="AH175" i="11"/>
  <c r="H176" i="11"/>
  <c r="K315" i="11"/>
  <c r="AB316" i="11" s="1"/>
  <c r="Y192" i="11" l="1"/>
  <c r="AA192" i="11" s="1"/>
  <c r="BP265" i="11"/>
  <c r="BH266" i="11" s="1"/>
  <c r="BN266" i="11" s="1"/>
  <c r="Q319" i="11"/>
  <c r="R319" i="11" s="1"/>
  <c r="O320" i="11" s="1"/>
  <c r="Q320" i="11" s="1"/>
  <c r="R320" i="11" s="1"/>
  <c r="O321" i="11" s="1"/>
  <c r="Q321" i="11" s="1"/>
  <c r="R321" i="11" s="1"/>
  <c r="O322" i="11" s="1"/>
  <c r="Q322" i="11" s="1"/>
  <c r="R322" i="11" s="1"/>
  <c r="O323" i="11" s="1"/>
  <c r="AF176" i="11"/>
  <c r="I176" i="11"/>
  <c r="AD176" i="11" s="1"/>
  <c r="K316" i="11"/>
  <c r="AB317" i="11" s="1"/>
  <c r="AG194" i="11"/>
  <c r="W193" i="11" l="1"/>
  <c r="BO266" i="11"/>
  <c r="BP266" i="11" s="1"/>
  <c r="BH267" i="11" s="1"/>
  <c r="BO267" i="11" s="1"/>
  <c r="Q323" i="11"/>
  <c r="R323" i="11" s="1"/>
  <c r="J176" i="11"/>
  <c r="AH176" i="11" s="1"/>
  <c r="K317" i="11"/>
  <c r="AB318" i="11" s="1"/>
  <c r="Y193" i="11" l="1"/>
  <c r="AA193" i="11" s="1"/>
  <c r="BN267" i="11"/>
  <c r="BP267" i="11" s="1"/>
  <c r="BH268" i="11" s="1"/>
  <c r="BO268" i="11" s="1"/>
  <c r="O324" i="11"/>
  <c r="Q324" i="11" s="1"/>
  <c r="R324" i="11" s="1"/>
  <c r="O325" i="11" s="1"/>
  <c r="H177" i="11"/>
  <c r="I177" i="11" s="1"/>
  <c r="AD177" i="11" s="1"/>
  <c r="AG195" i="11"/>
  <c r="K318" i="11"/>
  <c r="AB319" i="11" s="1"/>
  <c r="W194" i="11" l="1"/>
  <c r="BN268" i="11"/>
  <c r="BP268" i="11" s="1"/>
  <c r="BH269" i="11" s="1"/>
  <c r="BN269" i="11" s="1"/>
  <c r="Q325" i="11"/>
  <c r="R325" i="11" s="1"/>
  <c r="AF177" i="11"/>
  <c r="J177" i="11"/>
  <c r="AH177" i="11" s="1"/>
  <c r="K319" i="11"/>
  <c r="AB320" i="11" s="1"/>
  <c r="Y194" i="11" l="1"/>
  <c r="BO269" i="11"/>
  <c r="BP269" i="11" s="1"/>
  <c r="BH270" i="11" s="1"/>
  <c r="BO270" i="11" s="1"/>
  <c r="O326" i="11"/>
  <c r="Q326" i="11" s="1"/>
  <c r="R326" i="11" s="1"/>
  <c r="O327" i="11" s="1"/>
  <c r="H178" i="11"/>
  <c r="I178" i="11" s="1"/>
  <c r="AD178" i="11" s="1"/>
  <c r="K320" i="11"/>
  <c r="AB321" i="11" s="1"/>
  <c r="AA194" i="11" l="1"/>
  <c r="W195" i="11" s="1"/>
  <c r="BN270" i="11"/>
  <c r="BP270" i="11" s="1"/>
  <c r="BH271" i="11" s="1"/>
  <c r="BO271" i="11" s="1"/>
  <c r="J178" i="11"/>
  <c r="AH178" i="11" s="1"/>
  <c r="Q327" i="11"/>
  <c r="R327" i="11" s="1"/>
  <c r="O328" i="11" s="1"/>
  <c r="Q328" i="11" s="1"/>
  <c r="R328" i="11" s="1"/>
  <c r="O329" i="11" s="1"/>
  <c r="AF178" i="11"/>
  <c r="K321" i="11"/>
  <c r="AB322" i="11" s="1"/>
  <c r="AG196" i="11"/>
  <c r="Y195" i="11" l="1"/>
  <c r="AA195" i="11" s="1"/>
  <c r="BN271" i="11"/>
  <c r="BP271" i="11" s="1"/>
  <c r="BH272" i="11" s="1"/>
  <c r="BO272" i="11" s="1"/>
  <c r="H179" i="11"/>
  <c r="AF179" i="11" s="1"/>
  <c r="Q329" i="11"/>
  <c r="R329" i="11" s="1"/>
  <c r="K322" i="11"/>
  <c r="AB323" i="11" s="1"/>
  <c r="W196" i="11" l="1"/>
  <c r="Y196" i="11" s="1"/>
  <c r="BN272" i="11"/>
  <c r="BP272" i="11" s="1"/>
  <c r="BH273" i="11" s="1"/>
  <c r="BN273" i="11" s="1"/>
  <c r="I179" i="11"/>
  <c r="AD179" i="11" s="1"/>
  <c r="O330" i="11"/>
  <c r="Q330" i="11" s="1"/>
  <c r="R330" i="11" s="1"/>
  <c r="O331" i="11" s="1"/>
  <c r="K323" i="11"/>
  <c r="AB324" i="11" s="1"/>
  <c r="BO273" i="11" l="1"/>
  <c r="BP273" i="11" s="1"/>
  <c r="BH274" i="11" s="1"/>
  <c r="BO274" i="11" s="1"/>
  <c r="J179" i="11"/>
  <c r="AH179" i="11" s="1"/>
  <c r="Q331" i="11"/>
  <c r="R331" i="11" s="1"/>
  <c r="K324" i="11"/>
  <c r="AB325" i="11" s="1"/>
  <c r="AG197" i="11"/>
  <c r="AA196" i="11"/>
  <c r="W197" i="11" s="1"/>
  <c r="BN274" i="11" l="1"/>
  <c r="BP274" i="11" s="1"/>
  <c r="BH275" i="11" s="1"/>
  <c r="BO275" i="11" s="1"/>
  <c r="H180" i="11"/>
  <c r="I180" i="11" s="1"/>
  <c r="AD180" i="11" s="1"/>
  <c r="O332" i="11"/>
  <c r="K325" i="11"/>
  <c r="AB326" i="11" s="1"/>
  <c r="Y197" i="11"/>
  <c r="BN275" i="11" l="1"/>
  <c r="BP275" i="11" s="1"/>
  <c r="BH276" i="11" s="1"/>
  <c r="BO276" i="11" s="1"/>
  <c r="AF180" i="11"/>
  <c r="J180" i="11"/>
  <c r="AH180" i="11" s="1"/>
  <c r="Q332" i="11"/>
  <c r="R332" i="11" s="1"/>
  <c r="K326" i="11"/>
  <c r="AB327" i="11" s="1"/>
  <c r="AG198" i="11"/>
  <c r="BN276" i="11" l="1"/>
  <c r="BP276" i="11" s="1"/>
  <c r="BH277" i="11" s="1"/>
  <c r="BO277" i="11" s="1"/>
  <c r="H181" i="11"/>
  <c r="I181" i="11" s="1"/>
  <c r="AD181" i="11" s="1"/>
  <c r="AA197" i="11"/>
  <c r="O333" i="11"/>
  <c r="AG199" i="11"/>
  <c r="K327" i="11"/>
  <c r="AB328" i="11" s="1"/>
  <c r="W198" i="11" l="1"/>
  <c r="BN277" i="11"/>
  <c r="BP277" i="11" s="1"/>
  <c r="BH278" i="11" s="1"/>
  <c r="BO278" i="11" s="1"/>
  <c r="J181" i="11"/>
  <c r="AH181" i="11" s="1"/>
  <c r="AF181" i="11"/>
  <c r="Q333" i="11"/>
  <c r="R333" i="11" s="1"/>
  <c r="K328" i="11"/>
  <c r="AB329" i="11" s="1"/>
  <c r="Y198" i="11" l="1"/>
  <c r="AA198" i="11" s="1"/>
  <c r="BN278" i="11"/>
  <c r="BP278" i="11" s="1"/>
  <c r="BH279" i="11" s="1"/>
  <c r="BN279" i="11" s="1"/>
  <c r="H182" i="11"/>
  <c r="AF182" i="11" s="1"/>
  <c r="O334" i="11"/>
  <c r="AG200" i="11"/>
  <c r="K329" i="11"/>
  <c r="AB330" i="11" s="1"/>
  <c r="W199" i="11" l="1"/>
  <c r="BO279" i="11"/>
  <c r="BP279" i="11" s="1"/>
  <c r="BH280" i="11" s="1"/>
  <c r="I182" i="11"/>
  <c r="AD182" i="11" s="1"/>
  <c r="Q334" i="11"/>
  <c r="R334" i="11" s="1"/>
  <c r="K330" i="11"/>
  <c r="AB331" i="11" s="1"/>
  <c r="F27" i="11" s="1"/>
  <c r="Y199" i="11" l="1"/>
  <c r="AA199" i="11" s="1"/>
  <c r="BN280" i="11"/>
  <c r="BO280" i="11"/>
  <c r="J182" i="11"/>
  <c r="H183" i="11" s="1"/>
  <c r="O335" i="11"/>
  <c r="AG201" i="11"/>
  <c r="K331" i="11"/>
  <c r="AB332" i="11" s="1"/>
  <c r="W200" i="11" l="1"/>
  <c r="BP280" i="11"/>
  <c r="BH281" i="11" s="1"/>
  <c r="BN281" i="11" s="1"/>
  <c r="AH182" i="11"/>
  <c r="Q335" i="11"/>
  <c r="R335" i="11" s="1"/>
  <c r="AF183" i="11"/>
  <c r="I183" i="11"/>
  <c r="AD183" i="11" s="1"/>
  <c r="K332" i="11"/>
  <c r="AB333" i="11" s="1"/>
  <c r="Y200" i="11" l="1"/>
  <c r="BO281" i="11"/>
  <c r="BP281" i="11" s="1"/>
  <c r="BH282" i="11" s="1"/>
  <c r="O336" i="11"/>
  <c r="J183" i="11"/>
  <c r="AG202" i="11"/>
  <c r="K333" i="11"/>
  <c r="AB334" i="11" s="1"/>
  <c r="AA200" i="11" l="1"/>
  <c r="W201" i="11" s="1"/>
  <c r="BO282" i="11"/>
  <c r="BN282" i="11"/>
  <c r="Q336" i="11"/>
  <c r="R336" i="11" s="1"/>
  <c r="H184" i="11"/>
  <c r="AH183" i="11"/>
  <c r="K334" i="11"/>
  <c r="AB335" i="11" s="1"/>
  <c r="Y201" i="11" l="1"/>
  <c r="AA201" i="11" s="1"/>
  <c r="BP282" i="11"/>
  <c r="BH283" i="11" s="1"/>
  <c r="O337" i="11"/>
  <c r="I184" i="11"/>
  <c r="AD184" i="11" s="1"/>
  <c r="AF184" i="11"/>
  <c r="K335" i="11"/>
  <c r="AB336" i="11" s="1"/>
  <c r="W202" i="11" l="1"/>
  <c r="Y202" i="11" s="1"/>
  <c r="BN283" i="11"/>
  <c r="BO283" i="11"/>
  <c r="Q337" i="11"/>
  <c r="R337" i="11" s="1"/>
  <c r="O338" i="11" s="1"/>
  <c r="J184" i="11"/>
  <c r="K336" i="11"/>
  <c r="AB337" i="11" s="1"/>
  <c r="AG203" i="11"/>
  <c r="AA202" i="11" l="1"/>
  <c r="W203" i="11" s="1"/>
  <c r="Y203" i="11" s="1"/>
  <c r="BP283" i="11"/>
  <c r="BH284" i="11" s="1"/>
  <c r="BO284" i="11" s="1"/>
  <c r="Q338" i="11"/>
  <c r="R338" i="11" s="1"/>
  <c r="AH184" i="11"/>
  <c r="H185" i="11"/>
  <c r="K337" i="11"/>
  <c r="AB338" i="11" s="1"/>
  <c r="BN284" i="11" l="1"/>
  <c r="BP284" i="11" s="1"/>
  <c r="BH285" i="11" s="1"/>
  <c r="O339" i="11"/>
  <c r="I185" i="11"/>
  <c r="AD185" i="11" s="1"/>
  <c r="AF185" i="11"/>
  <c r="K338" i="11"/>
  <c r="AB339" i="11" s="1"/>
  <c r="AG204" i="11"/>
  <c r="BN285" i="11" l="1"/>
  <c r="BO285" i="11"/>
  <c r="AA203" i="11"/>
  <c r="Q339" i="11"/>
  <c r="R339" i="11" s="1"/>
  <c r="J185" i="11"/>
  <c r="AG205" i="11"/>
  <c r="K339" i="11"/>
  <c r="AB340" i="11" s="1"/>
  <c r="W204" i="11" l="1"/>
  <c r="BP285" i="11"/>
  <c r="BH286" i="11" s="1"/>
  <c r="BN286" i="11" s="1"/>
  <c r="O340" i="11"/>
  <c r="AH185" i="11"/>
  <c r="H186" i="11"/>
  <c r="AG206" i="11"/>
  <c r="K340" i="11"/>
  <c r="AB341" i="11" s="1"/>
  <c r="Y204" i="11" l="1"/>
  <c r="AA204" i="11" s="1"/>
  <c r="Q340" i="11"/>
  <c r="R340" i="11" s="1"/>
  <c r="O341" i="11" s="1"/>
  <c r="BO286" i="11"/>
  <c r="BP286" i="11" s="1"/>
  <c r="BH287" i="11" s="1"/>
  <c r="AF186" i="11"/>
  <c r="I186" i="11"/>
  <c r="AD186" i="11" s="1"/>
  <c r="K341" i="11"/>
  <c r="AB342" i="11" s="1"/>
  <c r="W205" i="11" l="1"/>
  <c r="Y205" i="11" s="1"/>
  <c r="Q341" i="11"/>
  <c r="R341" i="11" s="1"/>
  <c r="BN287" i="11"/>
  <c r="BO287" i="11"/>
  <c r="J186" i="11"/>
  <c r="AH186" i="11" s="1"/>
  <c r="K342" i="11"/>
  <c r="AB343" i="11" s="1"/>
  <c r="AG207" i="11"/>
  <c r="AA205" i="11" l="1"/>
  <c r="W206" i="11" s="1"/>
  <c r="Y206" i="11" s="1"/>
  <c r="O342" i="11"/>
  <c r="BP287" i="11"/>
  <c r="BH288" i="11" s="1"/>
  <c r="BN288" i="11" s="1"/>
  <c r="H187" i="11"/>
  <c r="I187" i="11" s="1"/>
  <c r="AD187" i="11" s="1"/>
  <c r="K343" i="11"/>
  <c r="AB344" i="11" s="1"/>
  <c r="Q342" i="11" l="1"/>
  <c r="BO288" i="11"/>
  <c r="BP288" i="11" s="1"/>
  <c r="BH289" i="11" s="1"/>
  <c r="BN289" i="11" s="1"/>
  <c r="AF187" i="11"/>
  <c r="J187" i="11"/>
  <c r="K344" i="11"/>
  <c r="AB345" i="11" s="1"/>
  <c r="AG208" i="11"/>
  <c r="R342" i="11" l="1"/>
  <c r="O343" i="11" s="1"/>
  <c r="BO289" i="11"/>
  <c r="BP289" i="11" s="1"/>
  <c r="BH290" i="11" s="1"/>
  <c r="AA206" i="11"/>
  <c r="AH187" i="11"/>
  <c r="H188" i="11"/>
  <c r="K345" i="11"/>
  <c r="AB346" i="11" s="1"/>
  <c r="W207" i="11" l="1"/>
  <c r="Q343" i="11"/>
  <c r="BO290" i="11"/>
  <c r="BN290" i="11"/>
  <c r="AF188" i="11"/>
  <c r="I188" i="11"/>
  <c r="AD188" i="11" s="1"/>
  <c r="AG209" i="11"/>
  <c r="K346" i="11"/>
  <c r="AB347" i="11" s="1"/>
  <c r="Y207" i="11" l="1"/>
  <c r="AA207" i="11" s="1"/>
  <c r="R343" i="11"/>
  <c r="O344" i="11" s="1"/>
  <c r="BP290" i="11"/>
  <c r="BH291" i="11" s="1"/>
  <c r="J188" i="11"/>
  <c r="AH188" i="11" s="1"/>
  <c r="K347" i="11"/>
  <c r="AB348" i="11" s="1"/>
  <c r="W208" i="11" l="1"/>
  <c r="Q344" i="11"/>
  <c r="BO291" i="11"/>
  <c r="BN291" i="11"/>
  <c r="H189" i="11"/>
  <c r="I189" i="11" s="1"/>
  <c r="AD189" i="11" s="1"/>
  <c r="AG210" i="11"/>
  <c r="K348" i="11"/>
  <c r="AB349" i="11" s="1"/>
  <c r="Y208" i="11" l="1"/>
  <c r="R344" i="11"/>
  <c r="O345" i="11" s="1"/>
  <c r="BP291" i="11"/>
  <c r="BH292" i="11" s="1"/>
  <c r="AF189" i="11"/>
  <c r="J189" i="11"/>
  <c r="AH189" i="11" s="1"/>
  <c r="K349" i="11"/>
  <c r="AB350" i="11" s="1"/>
  <c r="AA208" i="11" l="1"/>
  <c r="W209" i="11" s="1"/>
  <c r="Q345" i="11"/>
  <c r="R345" i="11" s="1"/>
  <c r="BN292" i="11"/>
  <c r="BO292" i="11"/>
  <c r="H190" i="11"/>
  <c r="AF190" i="11" s="1"/>
  <c r="AG211" i="11"/>
  <c r="K350" i="11"/>
  <c r="AB351" i="11" s="1"/>
  <c r="Y209" i="11" l="1"/>
  <c r="AA209" i="11" s="1"/>
  <c r="O346" i="11"/>
  <c r="BP292" i="11"/>
  <c r="BH293" i="11" s="1"/>
  <c r="BO293" i="11" s="1"/>
  <c r="I190" i="11"/>
  <c r="AD190" i="11" s="1"/>
  <c r="K351" i="11"/>
  <c r="AB352" i="11" s="1"/>
  <c r="W210" i="11" l="1"/>
  <c r="Y210" i="11" s="1"/>
  <c r="Q346" i="11"/>
  <c r="BN293" i="11"/>
  <c r="BP293" i="11" s="1"/>
  <c r="BH294" i="11" s="1"/>
  <c r="BN294" i="11" s="1"/>
  <c r="J190" i="11"/>
  <c r="AH190" i="11" s="1"/>
  <c r="K352" i="11"/>
  <c r="AB353" i="11" s="1"/>
  <c r="AA210" i="11" l="1"/>
  <c r="W211" i="11" s="1"/>
  <c r="R346" i="11"/>
  <c r="O347" i="11" s="1"/>
  <c r="BO294" i="11"/>
  <c r="BP294" i="11" s="1"/>
  <c r="BH295" i="11" s="1"/>
  <c r="BO295" i="11" s="1"/>
  <c r="H191" i="11"/>
  <c r="AF191" i="11" s="1"/>
  <c r="AG212" i="11"/>
  <c r="K353" i="11"/>
  <c r="AB354" i="11" s="1"/>
  <c r="Y211" i="11" l="1"/>
  <c r="AA211" i="11" s="1"/>
  <c r="Q347" i="11"/>
  <c r="R347" i="11" s="1"/>
  <c r="BN295" i="11"/>
  <c r="BP295" i="11" s="1"/>
  <c r="BH296" i="11" s="1"/>
  <c r="BO296" i="11" s="1"/>
  <c r="I191" i="11"/>
  <c r="AD191" i="11" s="1"/>
  <c r="M11" i="21"/>
  <c r="K354" i="11"/>
  <c r="AB355" i="11" s="1"/>
  <c r="W212" i="11" l="1"/>
  <c r="Y212" i="11" s="1"/>
  <c r="O348" i="11"/>
  <c r="BN296" i="11"/>
  <c r="BP296" i="11" s="1"/>
  <c r="BH297" i="11" s="1"/>
  <c r="J191" i="11"/>
  <c r="AH191" i="11" s="1"/>
  <c r="M11" i="17"/>
  <c r="AG213" i="11"/>
  <c r="K355" i="11"/>
  <c r="AB356" i="11" s="1"/>
  <c r="Q348" i="11" l="1"/>
  <c r="BO297" i="11"/>
  <c r="BN297" i="11"/>
  <c r="H192" i="11"/>
  <c r="I192" i="11" s="1"/>
  <c r="AD192" i="11" s="1"/>
  <c r="AA212" i="11"/>
  <c r="AG214" i="11"/>
  <c r="K356" i="11"/>
  <c r="AB357" i="11" s="1"/>
  <c r="W213" i="11" l="1"/>
  <c r="R348" i="11"/>
  <c r="O349" i="11" s="1"/>
  <c r="BP297" i="11"/>
  <c r="BH298" i="11" s="1"/>
  <c r="BO298" i="11" s="1"/>
  <c r="J192" i="11"/>
  <c r="AH192" i="11" s="1"/>
  <c r="AF192" i="11"/>
  <c r="K357" i="11"/>
  <c r="AB358" i="11" s="1"/>
  <c r="Y213" i="11" l="1"/>
  <c r="AA213" i="11" s="1"/>
  <c r="Q349" i="11"/>
  <c r="R349" i="11" s="1"/>
  <c r="BN298" i="11"/>
  <c r="BP298" i="11" s="1"/>
  <c r="BH299" i="11" s="1"/>
  <c r="H193" i="11"/>
  <c r="AF193" i="11" s="1"/>
  <c r="K358" i="11"/>
  <c r="AB359" i="11" s="1"/>
  <c r="AG215" i="11"/>
  <c r="W214" i="11" l="1"/>
  <c r="O350" i="11"/>
  <c r="BN299" i="11"/>
  <c r="BO299" i="11"/>
  <c r="I193" i="11"/>
  <c r="AD193" i="11" s="1"/>
  <c r="K359" i="11"/>
  <c r="AB360" i="11" s="1"/>
  <c r="Y214" i="11" l="1"/>
  <c r="AA214" i="11" s="1"/>
  <c r="Q350" i="11"/>
  <c r="R350" i="11" s="1"/>
  <c r="BP299" i="11"/>
  <c r="BH300" i="11" s="1"/>
  <c r="BO300" i="11" s="1"/>
  <c r="J193" i="11"/>
  <c r="AH193" i="11" s="1"/>
  <c r="AG216" i="11"/>
  <c r="K360" i="11"/>
  <c r="AB361" i="11" s="1"/>
  <c r="W215" i="11" l="1"/>
  <c r="O351" i="11"/>
  <c r="BN300" i="11"/>
  <c r="BP300" i="11" s="1"/>
  <c r="BH301" i="11" s="1"/>
  <c r="H194" i="11"/>
  <c r="AF194" i="11" s="1"/>
  <c r="K361" i="11"/>
  <c r="AB362" i="11" s="1"/>
  <c r="Y215" i="11" l="1"/>
  <c r="Q351" i="11"/>
  <c r="BO301" i="11"/>
  <c r="BN301" i="11"/>
  <c r="I194" i="11"/>
  <c r="AD194" i="11" s="1"/>
  <c r="AG217" i="11"/>
  <c r="K362" i="11"/>
  <c r="AB363" i="11" s="1"/>
  <c r="AA215" i="11" l="1"/>
  <c r="W216" i="11" s="1"/>
  <c r="R351" i="11"/>
  <c r="O352" i="11" s="1"/>
  <c r="BP301" i="11"/>
  <c r="BH302" i="11" s="1"/>
  <c r="BN302" i="11" s="1"/>
  <c r="J194" i="11"/>
  <c r="AH194" i="11" s="1"/>
  <c r="K363" i="11"/>
  <c r="AB364" i="11" s="1"/>
  <c r="Y216" i="11" l="1"/>
  <c r="AA216" i="11" s="1"/>
  <c r="Q352" i="11"/>
  <c r="BO302" i="11"/>
  <c r="BP302" i="11" s="1"/>
  <c r="BH303" i="11" s="1"/>
  <c r="BO303" i="11" s="1"/>
  <c r="H195" i="11"/>
  <c r="I195" i="11" s="1"/>
  <c r="AD195" i="11" s="1"/>
  <c r="K364" i="11"/>
  <c r="AB365" i="11" s="1"/>
  <c r="AG218" i="11"/>
  <c r="W217" i="11" l="1"/>
  <c r="Y217" i="11" s="1"/>
  <c r="AA217" i="11" s="1"/>
  <c r="R352" i="11"/>
  <c r="O353" i="11" s="1"/>
  <c r="BN303" i="11"/>
  <c r="BP303" i="11" s="1"/>
  <c r="BH304" i="11" s="1"/>
  <c r="AF195" i="11"/>
  <c r="J195" i="11"/>
  <c r="AH195" i="11" s="1"/>
  <c r="K365" i="11"/>
  <c r="AB366" i="11" s="1"/>
  <c r="W218" i="11" l="1"/>
  <c r="Y218" i="11" s="1"/>
  <c r="Q353" i="11"/>
  <c r="BO304" i="11"/>
  <c r="BN304" i="11"/>
  <c r="H196" i="11"/>
  <c r="I196" i="11" s="1"/>
  <c r="AD196" i="11" s="1"/>
  <c r="K366" i="11"/>
  <c r="AB367" i="11" s="1"/>
  <c r="AG219" i="11"/>
  <c r="AA218" i="11" l="1"/>
  <c r="W219" i="11" s="1"/>
  <c r="Y219" i="11" s="1"/>
  <c r="R353" i="11"/>
  <c r="O354" i="11" s="1"/>
  <c r="BP304" i="11"/>
  <c r="BH305" i="11" s="1"/>
  <c r="BN305" i="11" s="1"/>
  <c r="J196" i="11"/>
  <c r="AH196" i="11" s="1"/>
  <c r="AF196" i="11"/>
  <c r="K367" i="11"/>
  <c r="AB368" i="11" s="1"/>
  <c r="Q354" i="11" l="1"/>
  <c r="BO305" i="11"/>
  <c r="BP305" i="11" s="1"/>
  <c r="BH306" i="11" s="1"/>
  <c r="BN306" i="11" s="1"/>
  <c r="H197" i="11"/>
  <c r="I197" i="11" s="1"/>
  <c r="AD197" i="11" s="1"/>
  <c r="AG220" i="11"/>
  <c r="K368" i="11"/>
  <c r="AB369" i="11" s="1"/>
  <c r="AA219" i="11"/>
  <c r="W220" i="11" s="1"/>
  <c r="R354" i="11" l="1"/>
  <c r="O355" i="11" s="1"/>
  <c r="BO306" i="11"/>
  <c r="BP306" i="11" s="1"/>
  <c r="BH307" i="11" s="1"/>
  <c r="BO307" i="11" s="1"/>
  <c r="AF197" i="11"/>
  <c r="J197" i="11"/>
  <c r="K369" i="11"/>
  <c r="AB370" i="11" s="1"/>
  <c r="Y220" i="11"/>
  <c r="Q355" i="11" l="1"/>
  <c r="BN307" i="11"/>
  <c r="BP307" i="11" s="1"/>
  <c r="BH308" i="11" s="1"/>
  <c r="BO308" i="11" s="1"/>
  <c r="AH197" i="11"/>
  <c r="H198" i="11"/>
  <c r="K370" i="11"/>
  <c r="AB371" i="11" s="1"/>
  <c r="AG221" i="11"/>
  <c r="AA220" i="11"/>
  <c r="W221" i="11" s="1"/>
  <c r="R355" i="11" l="1"/>
  <c r="O356" i="11" s="1"/>
  <c r="BN308" i="11"/>
  <c r="BP308" i="11" s="1"/>
  <c r="BH309" i="11" s="1"/>
  <c r="BO309" i="11" s="1"/>
  <c r="AF198" i="11"/>
  <c r="I198" i="11"/>
  <c r="AD198" i="11" s="1"/>
  <c r="K371" i="11"/>
  <c r="AB372" i="11" s="1"/>
  <c r="Q356" i="11" l="1"/>
  <c r="BN309" i="11"/>
  <c r="BP309" i="11" s="1"/>
  <c r="BH310" i="11" s="1"/>
  <c r="J198" i="11"/>
  <c r="AH198" i="11" s="1"/>
  <c r="K372" i="11"/>
  <c r="AB373" i="11" s="1"/>
  <c r="Y221" i="11"/>
  <c r="R356" i="11" l="1"/>
  <c r="O357" i="11" s="1"/>
  <c r="BO310" i="11"/>
  <c r="BN310" i="11"/>
  <c r="H199" i="11"/>
  <c r="K373" i="11"/>
  <c r="AB374" i="11" s="1"/>
  <c r="AG222" i="11"/>
  <c r="AA221" i="11"/>
  <c r="W222" i="11" s="1"/>
  <c r="Q357" i="11" l="1"/>
  <c r="BP310" i="11"/>
  <c r="BH311" i="11" s="1"/>
  <c r="BN311" i="11" s="1"/>
  <c r="AF199" i="11"/>
  <c r="I199" i="11"/>
  <c r="AD199" i="11" s="1"/>
  <c r="K374" i="11"/>
  <c r="AB375" i="11" s="1"/>
  <c r="Y222" i="11"/>
  <c r="R357" i="11" l="1"/>
  <c r="O358" i="11" s="1"/>
  <c r="BO311" i="11"/>
  <c r="BP311" i="11" s="1"/>
  <c r="BH312" i="11" s="1"/>
  <c r="BN312" i="11" s="1"/>
  <c r="J199" i="11"/>
  <c r="AG223" i="11"/>
  <c r="K375" i="11"/>
  <c r="AB376" i="11" s="1"/>
  <c r="AA222" i="11"/>
  <c r="W223" i="11" s="1"/>
  <c r="Q358" i="11" l="1"/>
  <c r="BO312" i="11"/>
  <c r="BP312" i="11" s="1"/>
  <c r="BH313" i="11" s="1"/>
  <c r="BO313" i="11" s="1"/>
  <c r="AH199" i="11"/>
  <c r="H200" i="11"/>
  <c r="K376" i="11"/>
  <c r="AB377" i="11" s="1"/>
  <c r="Y223" i="11"/>
  <c r="R358" i="11" l="1"/>
  <c r="O359" i="11" s="1"/>
  <c r="BN313" i="11"/>
  <c r="BP313" i="11" s="1"/>
  <c r="BH314" i="11" s="1"/>
  <c r="BN314" i="11" s="1"/>
  <c r="I200" i="11"/>
  <c r="AD200" i="11" s="1"/>
  <c r="AF200" i="11"/>
  <c r="AG224" i="11"/>
  <c r="K377" i="11"/>
  <c r="AB378" i="11" s="1"/>
  <c r="AA223" i="11"/>
  <c r="W224" i="11" s="1"/>
  <c r="Q359" i="11" l="1"/>
  <c r="BO314" i="11"/>
  <c r="BP314" i="11" s="1"/>
  <c r="BH315" i="11" s="1"/>
  <c r="BN315" i="11" s="1"/>
  <c r="J200" i="11"/>
  <c r="AH200" i="11" s="1"/>
  <c r="K378" i="11"/>
  <c r="AB379" i="11" s="1"/>
  <c r="Y224" i="11"/>
  <c r="R359" i="11" l="1"/>
  <c r="O360" i="11" s="1"/>
  <c r="BO315" i="11"/>
  <c r="BP315" i="11" s="1"/>
  <c r="BH316" i="11" s="1"/>
  <c r="BN316" i="11" s="1"/>
  <c r="H201" i="11"/>
  <c r="AG225" i="11"/>
  <c r="K379" i="11"/>
  <c r="AB380" i="11" s="1"/>
  <c r="AA224" i="11"/>
  <c r="W225" i="11" s="1"/>
  <c r="Q360" i="11" l="1"/>
  <c r="BO316" i="11"/>
  <c r="BP316" i="11" s="1"/>
  <c r="BH317" i="11" s="1"/>
  <c r="BN317" i="11" s="1"/>
  <c r="AF201" i="11"/>
  <c r="I201" i="11"/>
  <c r="AD201" i="11" s="1"/>
  <c r="K380" i="11"/>
  <c r="AB381" i="11" s="1"/>
  <c r="Y225" i="11"/>
  <c r="R360" i="11" l="1"/>
  <c r="O361" i="11" s="1"/>
  <c r="BO317" i="11"/>
  <c r="BP317" i="11" s="1"/>
  <c r="BH318" i="11" s="1"/>
  <c r="BO318" i="11" s="1"/>
  <c r="J201" i="11"/>
  <c r="AG226" i="11"/>
  <c r="K381" i="11"/>
  <c r="AB382" i="11" s="1"/>
  <c r="AA225" i="11"/>
  <c r="W226" i="11" s="1"/>
  <c r="Q361" i="11" l="1"/>
  <c r="BN318" i="11"/>
  <c r="BP318" i="11" s="1"/>
  <c r="BH319" i="11" s="1"/>
  <c r="BN319" i="11" s="1"/>
  <c r="H202" i="11"/>
  <c r="AH201" i="11"/>
  <c r="K382" i="11"/>
  <c r="AB383" i="11" s="1"/>
  <c r="R361" i="11" l="1"/>
  <c r="O362" i="11" s="1"/>
  <c r="BO319" i="11"/>
  <c r="BP319" i="11" s="1"/>
  <c r="BH320" i="11" s="1"/>
  <c r="BN320" i="11" s="1"/>
  <c r="I202" i="11"/>
  <c r="AD202" i="11" s="1"/>
  <c r="AF202" i="11"/>
  <c r="K383" i="11"/>
  <c r="AB384" i="11" s="1"/>
  <c r="Y226" i="11"/>
  <c r="Q362" i="11" l="1"/>
  <c r="BO320" i="11"/>
  <c r="BP320" i="11" s="1"/>
  <c r="BH321" i="11" s="1"/>
  <c r="BN321" i="11" s="1"/>
  <c r="J202" i="11"/>
  <c r="AG227" i="11"/>
  <c r="K384" i="11"/>
  <c r="AB385" i="11" s="1"/>
  <c r="AA226" i="11"/>
  <c r="W227" i="11" s="1"/>
  <c r="R362" i="11" l="1"/>
  <c r="O363" i="11" s="1"/>
  <c r="BO321" i="11"/>
  <c r="BP321" i="11" s="1"/>
  <c r="BH322" i="11" s="1"/>
  <c r="BO322" i="11" s="1"/>
  <c r="AH202" i="11"/>
  <c r="H203" i="11"/>
  <c r="K385" i="11"/>
  <c r="AB386" i="11" s="1"/>
  <c r="Y227" i="11"/>
  <c r="Q363" i="11" l="1"/>
  <c r="BN322" i="11"/>
  <c r="BP322" i="11" s="1"/>
  <c r="BH323" i="11" s="1"/>
  <c r="BN323" i="11" s="1"/>
  <c r="AF203" i="11"/>
  <c r="I203" i="11"/>
  <c r="AD203" i="11" s="1"/>
  <c r="AG228" i="11"/>
  <c r="K386" i="11"/>
  <c r="AB387" i="11" s="1"/>
  <c r="AA227" i="11"/>
  <c r="W228" i="11" s="1"/>
  <c r="R363" i="11" l="1"/>
  <c r="O364" i="11" s="1"/>
  <c r="BO323" i="11"/>
  <c r="BP323" i="11" s="1"/>
  <c r="BH324" i="11" s="1"/>
  <c r="BN324" i="11" s="1"/>
  <c r="J203" i="11"/>
  <c r="AH203" i="11" s="1"/>
  <c r="K387" i="11"/>
  <c r="AB388" i="11" s="1"/>
  <c r="Y228" i="11"/>
  <c r="Q364" i="11" l="1"/>
  <c r="BO324" i="11"/>
  <c r="BP324" i="11" s="1"/>
  <c r="BH325" i="11" s="1"/>
  <c r="BO325" i="11" s="1"/>
  <c r="H204" i="11"/>
  <c r="AG229" i="11"/>
  <c r="K388" i="11"/>
  <c r="AB389" i="11" s="1"/>
  <c r="AA228" i="11"/>
  <c r="W229" i="11" s="1"/>
  <c r="R364" i="11" l="1"/>
  <c r="O365" i="11" s="1"/>
  <c r="BN325" i="11"/>
  <c r="BP325" i="11" s="1"/>
  <c r="BH326" i="11" s="1"/>
  <c r="BN326" i="11" s="1"/>
  <c r="AF204" i="11"/>
  <c r="I204" i="11"/>
  <c r="AD204" i="11" s="1"/>
  <c r="K389" i="11"/>
  <c r="AB390" i="11" s="1"/>
  <c r="Y229" i="11"/>
  <c r="Q365" i="11" l="1"/>
  <c r="R365" i="11" s="1"/>
  <c r="BO326" i="11"/>
  <c r="BP326" i="11" s="1"/>
  <c r="BH327" i="11" s="1"/>
  <c r="BN327" i="11" s="1"/>
  <c r="J204" i="11"/>
  <c r="AH204" i="11" s="1"/>
  <c r="AG230" i="11"/>
  <c r="K390" i="11"/>
  <c r="AB391" i="11" s="1"/>
  <c r="F28" i="11" s="1"/>
  <c r="AA229" i="11"/>
  <c r="W230" i="11" s="1"/>
  <c r="M14" i="21" l="1"/>
  <c r="M14" i="17"/>
  <c r="O366" i="11"/>
  <c r="BO327" i="11"/>
  <c r="BP327" i="11" s="1"/>
  <c r="BH328" i="11" s="1"/>
  <c r="BN328" i="11" s="1"/>
  <c r="H205" i="11"/>
  <c r="K391" i="11"/>
  <c r="AB392" i="11" s="1"/>
  <c r="Y230" i="11"/>
  <c r="Q366" i="11" l="1"/>
  <c r="R366" i="11" s="1"/>
  <c r="BO328" i="11"/>
  <c r="BP328" i="11" s="1"/>
  <c r="BH329" i="11" s="1"/>
  <c r="BN329" i="11" s="1"/>
  <c r="I205" i="11"/>
  <c r="AD205" i="11" s="1"/>
  <c r="AF205" i="11"/>
  <c r="AG231" i="11"/>
  <c r="K392" i="11"/>
  <c r="AB393" i="11" s="1"/>
  <c r="AA230" i="11"/>
  <c r="W231" i="11" s="1"/>
  <c r="O367" i="11" l="1"/>
  <c r="BO329" i="11"/>
  <c r="BP329" i="11" s="1"/>
  <c r="BH330" i="11" s="1"/>
  <c r="BO330" i="11" s="1"/>
  <c r="J205" i="11"/>
  <c r="K393" i="11"/>
  <c r="AB394" i="11" s="1"/>
  <c r="Y231" i="11"/>
  <c r="Q367" i="11" l="1"/>
  <c r="BN330" i="11"/>
  <c r="BP330" i="11" s="1"/>
  <c r="BH331" i="11" s="1"/>
  <c r="BN331" i="11" s="1"/>
  <c r="AH205" i="11"/>
  <c r="H206" i="11"/>
  <c r="AG232" i="11"/>
  <c r="K394" i="11"/>
  <c r="AB395" i="11" s="1"/>
  <c r="AA231" i="11"/>
  <c r="W232" i="11" s="1"/>
  <c r="R367" i="11" l="1"/>
  <c r="O368" i="11" s="1"/>
  <c r="BO331" i="11"/>
  <c r="BP331" i="11" s="1"/>
  <c r="BP332" i="11" s="1"/>
  <c r="I206" i="11"/>
  <c r="AD206" i="11" s="1"/>
  <c r="AF206" i="11"/>
  <c r="K395" i="11"/>
  <c r="AB396" i="11" s="1"/>
  <c r="Y232" i="11"/>
  <c r="Q368" i="11" l="1"/>
  <c r="J206" i="11"/>
  <c r="AH206" i="11" s="1"/>
  <c r="K396" i="11"/>
  <c r="AB397" i="11" s="1"/>
  <c r="AG233" i="11"/>
  <c r="AA232" i="11"/>
  <c r="W233" i="11" s="1"/>
  <c r="R368" i="11" l="1"/>
  <c r="O369" i="11" s="1"/>
  <c r="H207" i="11"/>
  <c r="AF207" i="11" s="1"/>
  <c r="K397" i="11"/>
  <c r="AB398" i="11" s="1"/>
  <c r="Y233" i="11"/>
  <c r="Q369" i="11" l="1"/>
  <c r="I207" i="11"/>
  <c r="AD207" i="11" s="1"/>
  <c r="AG234" i="11"/>
  <c r="K398" i="11"/>
  <c r="AB399" i="11" s="1"/>
  <c r="R369" i="11" l="1"/>
  <c r="O370" i="11" s="1"/>
  <c r="AA233" i="11"/>
  <c r="J207" i="11"/>
  <c r="AH207" i="11" s="1"/>
  <c r="AG235" i="11"/>
  <c r="K399" i="11"/>
  <c r="AB400" i="11" s="1"/>
  <c r="W234" i="11" l="1"/>
  <c r="Q370" i="11"/>
  <c r="R370" i="11" s="1"/>
  <c r="H208" i="11"/>
  <c r="AF208" i="11" s="1"/>
  <c r="K400" i="11"/>
  <c r="AB401" i="11" s="1"/>
  <c r="Y234" i="11" l="1"/>
  <c r="AA234" i="11" s="1"/>
  <c r="O371" i="11"/>
  <c r="I208" i="11"/>
  <c r="AD208" i="11" s="1"/>
  <c r="K401" i="11"/>
  <c r="AB402" i="11" s="1"/>
  <c r="AG236" i="11"/>
  <c r="W235" i="11" l="1"/>
  <c r="Q371" i="11"/>
  <c r="J208" i="11"/>
  <c r="AH208" i="11" s="1"/>
  <c r="K402" i="11"/>
  <c r="AB403" i="11" s="1"/>
  <c r="Y235" i="11" l="1"/>
  <c r="AA235" i="11" s="1"/>
  <c r="R371" i="11"/>
  <c r="O372" i="11" s="1"/>
  <c r="H209" i="11"/>
  <c r="I209" i="11" s="1"/>
  <c r="AD209" i="11" s="1"/>
  <c r="K403" i="11"/>
  <c r="AB404" i="11" s="1"/>
  <c r="W236" i="11" l="1"/>
  <c r="Q372" i="11"/>
  <c r="AF209" i="11"/>
  <c r="J209" i="11"/>
  <c r="K404" i="11"/>
  <c r="AB405" i="11" s="1"/>
  <c r="AG237" i="11"/>
  <c r="Y236" i="11" l="1"/>
  <c r="AA236" i="11" s="1"/>
  <c r="R372" i="11"/>
  <c r="O373" i="11" s="1"/>
  <c r="AH209" i="11"/>
  <c r="H210" i="11"/>
  <c r="K405" i="11"/>
  <c r="AB406" i="11" s="1"/>
  <c r="W237" i="11" l="1"/>
  <c r="Q373" i="11"/>
  <c r="AF210" i="11"/>
  <c r="I210" i="11"/>
  <c r="AD210" i="11" s="1"/>
  <c r="K406" i="11"/>
  <c r="AB407" i="11" s="1"/>
  <c r="AG238" i="11"/>
  <c r="Y237" i="11" l="1"/>
  <c r="AA237" i="11" s="1"/>
  <c r="R373" i="11"/>
  <c r="O374" i="11" s="1"/>
  <c r="J210" i="11"/>
  <c r="AH210" i="11" s="1"/>
  <c r="AG239" i="11"/>
  <c r="K407" i="11"/>
  <c r="AB408" i="11" s="1"/>
  <c r="W238" i="11" l="1"/>
  <c r="Y238" i="11" s="1"/>
  <c r="Q374" i="11"/>
  <c r="R374" i="11" s="1"/>
  <c r="H211" i="11"/>
  <c r="AF211" i="11" s="1"/>
  <c r="G25" i="11" s="1"/>
  <c r="K408" i="11"/>
  <c r="AB409" i="11" s="1"/>
  <c r="AA238" i="11" l="1"/>
  <c r="W239" i="11" s="1"/>
  <c r="Y239" i="11" s="1"/>
  <c r="AA239" i="11" s="1"/>
  <c r="O375" i="11"/>
  <c r="N11" i="17"/>
  <c r="N11" i="21"/>
  <c r="I211" i="11"/>
  <c r="AD211" i="11" s="1"/>
  <c r="K409" i="11"/>
  <c r="AB410" i="11" s="1"/>
  <c r="AG240" i="11"/>
  <c r="W240" i="11" l="1"/>
  <c r="Q375" i="11"/>
  <c r="J211" i="11"/>
  <c r="AH211" i="11" s="1"/>
  <c r="K410" i="11"/>
  <c r="AB411" i="11" s="1"/>
  <c r="R375" i="11" l="1"/>
  <c r="O376" i="11" s="1"/>
  <c r="H212" i="11"/>
  <c r="AF212" i="11" s="1"/>
  <c r="K411" i="11"/>
  <c r="AB412" i="11" s="1"/>
  <c r="Y240" i="11"/>
  <c r="Q376" i="11" l="1"/>
  <c r="R376" i="11" s="1"/>
  <c r="I212" i="11"/>
  <c r="AD212" i="11" s="1"/>
  <c r="K412" i="11"/>
  <c r="AB413" i="11" s="1"/>
  <c r="AG241" i="11"/>
  <c r="AA240" i="11"/>
  <c r="W241" i="11" s="1"/>
  <c r="O377" i="11" l="1"/>
  <c r="J212" i="11"/>
  <c r="AH212" i="11" s="1"/>
  <c r="K413" i="11"/>
  <c r="AB414" i="11" s="1"/>
  <c r="Q377" i="11" l="1"/>
  <c r="H213" i="11"/>
  <c r="I213" i="11" s="1"/>
  <c r="AD213" i="11" s="1"/>
  <c r="K414" i="11"/>
  <c r="AB415" i="11" s="1"/>
  <c r="Y241" i="11"/>
  <c r="R377" i="11" l="1"/>
  <c r="O378" i="11" s="1"/>
  <c r="AF213" i="11"/>
  <c r="J213" i="11"/>
  <c r="AH213" i="11" s="1"/>
  <c r="AG242" i="11"/>
  <c r="K415" i="11"/>
  <c r="AB416" i="11" s="1"/>
  <c r="AA241" i="11"/>
  <c r="W242" i="11" s="1"/>
  <c r="Q378" i="11" l="1"/>
  <c r="H214" i="11"/>
  <c r="AF214" i="11" s="1"/>
  <c r="K416" i="11"/>
  <c r="AB417" i="11" s="1"/>
  <c r="Y242" i="11"/>
  <c r="R378" i="11" l="1"/>
  <c r="O379" i="11" s="1"/>
  <c r="I214" i="11"/>
  <c r="AD214" i="11" s="1"/>
  <c r="K417" i="11"/>
  <c r="AB418" i="11" s="1"/>
  <c r="AG243" i="11"/>
  <c r="AA242" i="11"/>
  <c r="W243" i="11" s="1"/>
  <c r="Q379" i="11" l="1"/>
  <c r="R379" i="11" s="1"/>
  <c r="J214" i="11"/>
  <c r="AH214" i="11" s="1"/>
  <c r="K418" i="11"/>
  <c r="AB419" i="11" s="1"/>
  <c r="Y243" i="11"/>
  <c r="O380" i="11" l="1"/>
  <c r="H215" i="11"/>
  <c r="I215" i="11" s="1"/>
  <c r="AD215" i="11" s="1"/>
  <c r="K419" i="11"/>
  <c r="AB420" i="11" s="1"/>
  <c r="AG244" i="11"/>
  <c r="AA243" i="11"/>
  <c r="W244" i="11" s="1"/>
  <c r="Q380" i="11" l="1"/>
  <c r="J215" i="11"/>
  <c r="AH215" i="11" s="1"/>
  <c r="AF215" i="11"/>
  <c r="K420" i="11"/>
  <c r="AB421" i="11" s="1"/>
  <c r="Y244" i="11"/>
  <c r="R380" i="11" l="1"/>
  <c r="O381" i="11" s="1"/>
  <c r="H216" i="11"/>
  <c r="AF216" i="11" s="1"/>
  <c r="AG245" i="11"/>
  <c r="K421" i="11"/>
  <c r="AB422" i="11" s="1"/>
  <c r="AA244" i="11"/>
  <c r="W245" i="11" s="1"/>
  <c r="Q381" i="11" l="1"/>
  <c r="I216" i="11"/>
  <c r="AD216" i="11" s="1"/>
  <c r="K422" i="11"/>
  <c r="AB423" i="11" s="1"/>
  <c r="Y245" i="11"/>
  <c r="R381" i="11" l="1"/>
  <c r="O382" i="11" s="1"/>
  <c r="J216" i="11"/>
  <c r="AH216" i="11" s="1"/>
  <c r="K423" i="11"/>
  <c r="AB424" i="11" s="1"/>
  <c r="AG246" i="11"/>
  <c r="AA245" i="11"/>
  <c r="W246" i="11" s="1"/>
  <c r="Q382" i="11" l="1"/>
  <c r="R382" i="11" s="1"/>
  <c r="H217" i="11"/>
  <c r="I217" i="11" s="1"/>
  <c r="AD217" i="11" s="1"/>
  <c r="K424" i="11"/>
  <c r="AB425" i="11" s="1"/>
  <c r="Y246" i="11"/>
  <c r="O383" i="11" l="1"/>
  <c r="J217" i="11"/>
  <c r="AH217" i="11" s="1"/>
  <c r="AF217" i="11"/>
  <c r="AG247" i="11"/>
  <c r="K425" i="11"/>
  <c r="AB426" i="11" s="1"/>
  <c r="AA246" i="11"/>
  <c r="W247" i="11" s="1"/>
  <c r="Q383" i="11" l="1"/>
  <c r="R383" i="11" s="1"/>
  <c r="H218" i="11"/>
  <c r="I218" i="11" s="1"/>
  <c r="AD218" i="11" s="1"/>
  <c r="K426" i="11"/>
  <c r="AB427" i="11" s="1"/>
  <c r="Y247" i="11"/>
  <c r="O384" i="11" l="1"/>
  <c r="AF218" i="11"/>
  <c r="J218" i="11"/>
  <c r="AG248" i="11"/>
  <c r="K427" i="11"/>
  <c r="AB428" i="11" s="1"/>
  <c r="AA247" i="11"/>
  <c r="W248" i="11" s="1"/>
  <c r="Q384" i="11" l="1"/>
  <c r="AH218" i="11"/>
  <c r="H219" i="11"/>
  <c r="K428" i="11"/>
  <c r="AB429" i="11" s="1"/>
  <c r="Y248" i="11"/>
  <c r="R384" i="11" l="1"/>
  <c r="O385" i="11" s="1"/>
  <c r="AF219" i="11"/>
  <c r="I219" i="11"/>
  <c r="AD219" i="11" s="1"/>
  <c r="AG249" i="11"/>
  <c r="K429" i="11"/>
  <c r="AB430" i="11" s="1"/>
  <c r="AA248" i="11"/>
  <c r="W249" i="11" s="1"/>
  <c r="Q385" i="11" l="1"/>
  <c r="J219" i="11"/>
  <c r="AH219" i="11" s="1"/>
  <c r="K430" i="11"/>
  <c r="AB431" i="11" s="1"/>
  <c r="Y249" i="11"/>
  <c r="R385" i="11" l="1"/>
  <c r="O386" i="11" s="1"/>
  <c r="H220" i="11"/>
  <c r="I220" i="11" s="1"/>
  <c r="AD220" i="11" s="1"/>
  <c r="AG250" i="11"/>
  <c r="K431" i="11"/>
  <c r="AB432" i="11" s="1"/>
  <c r="AA249" i="11"/>
  <c r="W250" i="11" s="1"/>
  <c r="Q386" i="11" l="1"/>
  <c r="AF220" i="11"/>
  <c r="J220" i="11"/>
  <c r="K432" i="11"/>
  <c r="AB433" i="11" s="1"/>
  <c r="Y250" i="11"/>
  <c r="R386" i="11" l="1"/>
  <c r="O387" i="11" s="1"/>
  <c r="AH220" i="11"/>
  <c r="H221" i="11"/>
  <c r="AG251" i="11"/>
  <c r="K433" i="11"/>
  <c r="AB434" i="11" s="1"/>
  <c r="AA250" i="11"/>
  <c r="W251" i="11" s="1"/>
  <c r="Q387" i="11" l="1"/>
  <c r="AF221" i="11"/>
  <c r="I221" i="11"/>
  <c r="AD221" i="11" s="1"/>
  <c r="K434" i="11"/>
  <c r="AB435" i="11" s="1"/>
  <c r="Y251" i="11"/>
  <c r="R387" i="11" l="1"/>
  <c r="O388" i="11" s="1"/>
  <c r="J221" i="11"/>
  <c r="AH221" i="11" s="1"/>
  <c r="K435" i="11"/>
  <c r="AB436" i="11" s="1"/>
  <c r="AG252" i="11"/>
  <c r="AA251" i="11"/>
  <c r="W252" i="11" s="1"/>
  <c r="Q388" i="11" l="1"/>
  <c r="H222" i="11"/>
  <c r="I222" i="11" s="1"/>
  <c r="AD222" i="11" s="1"/>
  <c r="K436" i="11"/>
  <c r="AB437" i="11" s="1"/>
  <c r="Y252" i="11"/>
  <c r="R388" i="11" l="1"/>
  <c r="O389" i="11" s="1"/>
  <c r="AF222" i="11"/>
  <c r="J222" i="11"/>
  <c r="AH222" i="11" s="1"/>
  <c r="K437" i="11"/>
  <c r="AB438" i="11" s="1"/>
  <c r="AG253" i="11"/>
  <c r="AA252" i="11"/>
  <c r="W253" i="11" s="1"/>
  <c r="Q389" i="11" l="1"/>
  <c r="H223" i="11"/>
  <c r="K438" i="11"/>
  <c r="AB439" i="11" s="1"/>
  <c r="Y253" i="11"/>
  <c r="R389" i="11" l="1"/>
  <c r="O390" i="11" s="1"/>
  <c r="AF223" i="11"/>
  <c r="I223" i="11"/>
  <c r="AD223" i="11" s="1"/>
  <c r="AG254" i="11"/>
  <c r="K439" i="11"/>
  <c r="AB440" i="11" s="1"/>
  <c r="AA253" i="11"/>
  <c r="W254" i="11" s="1"/>
  <c r="Q390" i="11" l="1"/>
  <c r="J223" i="11"/>
  <c r="K440" i="11"/>
  <c r="AB441" i="11" s="1"/>
  <c r="R390" i="11" l="1"/>
  <c r="O391" i="11" s="1"/>
  <c r="AH223" i="11"/>
  <c r="H224" i="11"/>
  <c r="K441" i="11"/>
  <c r="AB442" i="11" s="1"/>
  <c r="Y254" i="11"/>
  <c r="Q391" i="11" l="1"/>
  <c r="AF224" i="11"/>
  <c r="I224" i="11"/>
  <c r="AD224" i="11" s="1"/>
  <c r="AG255" i="11"/>
  <c r="K442" i="11"/>
  <c r="AB443" i="11" s="1"/>
  <c r="AA254" i="11"/>
  <c r="W255" i="11" s="1"/>
  <c r="R391" i="11" l="1"/>
  <c r="O392" i="11" s="1"/>
  <c r="J224" i="11"/>
  <c r="K443" i="11"/>
  <c r="AB444" i="11" s="1"/>
  <c r="Y255" i="11"/>
  <c r="Q392" i="11" l="1"/>
  <c r="H225" i="11"/>
  <c r="AH224" i="11"/>
  <c r="AG256" i="11"/>
  <c r="K444" i="11"/>
  <c r="AB445" i="11" s="1"/>
  <c r="AA255" i="11"/>
  <c r="W256" i="11" s="1"/>
  <c r="R392" i="11" l="1"/>
  <c r="O393" i="11" s="1"/>
  <c r="AF225" i="11"/>
  <c r="I225" i="11"/>
  <c r="AD225" i="11" s="1"/>
  <c r="K445" i="11"/>
  <c r="AB446" i="11" s="1"/>
  <c r="Q393" i="11" l="1"/>
  <c r="R393" i="11" s="1"/>
  <c r="J225" i="11"/>
  <c r="K446" i="11"/>
  <c r="AB447" i="11" s="1"/>
  <c r="Y256" i="11"/>
  <c r="O394" i="11" l="1"/>
  <c r="AH225" i="11"/>
  <c r="H226" i="11"/>
  <c r="AG257" i="11"/>
  <c r="K447" i="11"/>
  <c r="AB448" i="11" s="1"/>
  <c r="AA256" i="11"/>
  <c r="W257" i="11" s="1"/>
  <c r="Q394" i="11" l="1"/>
  <c r="R394" i="11" s="1"/>
  <c r="I226" i="11"/>
  <c r="AD226" i="11" s="1"/>
  <c r="AF226" i="11"/>
  <c r="K448" i="11"/>
  <c r="AB449" i="11" s="1"/>
  <c r="O395" i="11" l="1"/>
  <c r="J226" i="11"/>
  <c r="K449" i="11"/>
  <c r="AB450" i="11" s="1"/>
  <c r="Y257" i="11"/>
  <c r="Q395" i="11" l="1"/>
  <c r="AH226" i="11"/>
  <c r="H227" i="11"/>
  <c r="AG258" i="11"/>
  <c r="K450" i="11"/>
  <c r="AB451" i="11" s="1"/>
  <c r="F29" i="11" s="1"/>
  <c r="AA257" i="11"/>
  <c r="W258" i="11" s="1"/>
  <c r="M15" i="17" l="1"/>
  <c r="M15" i="21"/>
  <c r="R395" i="11"/>
  <c r="O396" i="11" s="1"/>
  <c r="I227" i="11"/>
  <c r="AD227" i="11" s="1"/>
  <c r="AF227" i="11"/>
  <c r="K451" i="11"/>
  <c r="AB452" i="11" s="1"/>
  <c r="Q396" i="11" l="1"/>
  <c r="J227" i="11"/>
  <c r="K452" i="11"/>
  <c r="AB453" i="11" s="1"/>
  <c r="Y258" i="11"/>
  <c r="R396" i="11" l="1"/>
  <c r="O397" i="11" s="1"/>
  <c r="AH227" i="11"/>
  <c r="H228" i="11"/>
  <c r="AG259" i="11"/>
  <c r="K453" i="11"/>
  <c r="AB454" i="11" s="1"/>
  <c r="AA258" i="11"/>
  <c r="W259" i="11" s="1"/>
  <c r="Q397" i="11" l="1"/>
  <c r="I228" i="11"/>
  <c r="AD228" i="11" s="1"/>
  <c r="AF228" i="11"/>
  <c r="K454" i="11"/>
  <c r="AB455" i="11" s="1"/>
  <c r="Y259" i="11"/>
  <c r="R397" i="11" l="1"/>
  <c r="O398" i="11" s="1"/>
  <c r="J228" i="11"/>
  <c r="AG260" i="11"/>
  <c r="K455" i="11"/>
  <c r="AB456" i="11" s="1"/>
  <c r="AA259" i="11"/>
  <c r="W260" i="11" s="1"/>
  <c r="Q398" i="11" l="1"/>
  <c r="R398" i="11" s="1"/>
  <c r="AH228" i="11"/>
  <c r="H229" i="11"/>
  <c r="K456" i="11"/>
  <c r="AB457" i="11" s="1"/>
  <c r="Y260" i="11"/>
  <c r="O399" i="11" l="1"/>
  <c r="AF229" i="11"/>
  <c r="I229" i="11"/>
  <c r="AD229" i="11" s="1"/>
  <c r="AG261" i="11"/>
  <c r="K457" i="11"/>
  <c r="AB458" i="11" s="1"/>
  <c r="AA260" i="11"/>
  <c r="W261" i="11" s="1"/>
  <c r="Q399" i="11" l="1"/>
  <c r="J229" i="11"/>
  <c r="K458" i="11"/>
  <c r="AB459" i="11" s="1"/>
  <c r="Y261" i="11"/>
  <c r="R399" i="11" l="1"/>
  <c r="O400" i="11" s="1"/>
  <c r="AH229" i="11"/>
  <c r="H230" i="11"/>
  <c r="K459" i="11"/>
  <c r="AB460" i="11" s="1"/>
  <c r="AG262" i="11"/>
  <c r="AA261" i="11"/>
  <c r="W262" i="11" s="1"/>
  <c r="Q400" i="11" l="1"/>
  <c r="I230" i="11"/>
  <c r="AD230" i="11" s="1"/>
  <c r="AF230" i="11"/>
  <c r="K460" i="11"/>
  <c r="AB461" i="11" s="1"/>
  <c r="Y262" i="11"/>
  <c r="R400" i="11" l="1"/>
  <c r="O401" i="11" s="1"/>
  <c r="J230" i="11"/>
  <c r="AH230" i="11" s="1"/>
  <c r="K461" i="11"/>
  <c r="AB462" i="11" s="1"/>
  <c r="AG263" i="11"/>
  <c r="AA262" i="11"/>
  <c r="W263" i="11" s="1"/>
  <c r="Q401" i="11" l="1"/>
  <c r="H231" i="11"/>
  <c r="K462" i="11"/>
  <c r="AB463" i="11" s="1"/>
  <c r="Y263" i="11"/>
  <c r="R401" i="11" l="1"/>
  <c r="O402" i="11" s="1"/>
  <c r="AF231" i="11"/>
  <c r="I231" i="11"/>
  <c r="AD231" i="11" s="1"/>
  <c r="AG264" i="11"/>
  <c r="K463" i="11"/>
  <c r="AB464" i="11" s="1"/>
  <c r="AA263" i="11"/>
  <c r="W264" i="11" s="1"/>
  <c r="Q402" i="11" l="1"/>
  <c r="J231" i="11"/>
  <c r="AH231" i="11" s="1"/>
  <c r="K464" i="11"/>
  <c r="AB465" i="11" s="1"/>
  <c r="Y264" i="11"/>
  <c r="R402" i="11" l="1"/>
  <c r="O403" i="11" s="1"/>
  <c r="H232" i="11"/>
  <c r="I232" i="11" s="1"/>
  <c r="AD232" i="11" s="1"/>
  <c r="AG265" i="11"/>
  <c r="K465" i="11"/>
  <c r="AB466" i="11" s="1"/>
  <c r="AA264" i="11"/>
  <c r="W265" i="11" s="1"/>
  <c r="Q403" i="11" l="1"/>
  <c r="AF232" i="11"/>
  <c r="J232" i="11"/>
  <c r="K466" i="11"/>
  <c r="AB467" i="11" s="1"/>
  <c r="Y265" i="11"/>
  <c r="R403" i="11" l="1"/>
  <c r="O404" i="11" s="1"/>
  <c r="AH232" i="11"/>
  <c r="H233" i="11"/>
  <c r="K467" i="11"/>
  <c r="AB468" i="11" s="1"/>
  <c r="AG266" i="11"/>
  <c r="AA265" i="11"/>
  <c r="W266" i="11" s="1"/>
  <c r="Q404" i="11" l="1"/>
  <c r="AF233" i="11"/>
  <c r="I233" i="11"/>
  <c r="AD233" i="11" s="1"/>
  <c r="K468" i="11"/>
  <c r="AB469" i="11" s="1"/>
  <c r="Y266" i="11"/>
  <c r="R404" i="11" l="1"/>
  <c r="O405" i="11" s="1"/>
  <c r="J233" i="11"/>
  <c r="AG267" i="11"/>
  <c r="K469" i="11"/>
  <c r="AB470" i="11" s="1"/>
  <c r="AA266" i="11"/>
  <c r="W267" i="11" s="1"/>
  <c r="Q405" i="11" l="1"/>
  <c r="AH233" i="11"/>
  <c r="H234" i="11"/>
  <c r="K470" i="11"/>
  <c r="AB471" i="11" s="1"/>
  <c r="Y267" i="11"/>
  <c r="R405" i="11" l="1"/>
  <c r="O406" i="11" s="1"/>
  <c r="Q406" i="11" s="1"/>
  <c r="I234" i="11"/>
  <c r="AD234" i="11" s="1"/>
  <c r="AF234" i="11"/>
  <c r="AG268" i="11"/>
  <c r="K471" i="11"/>
  <c r="AB472" i="11" s="1"/>
  <c r="AA267" i="11"/>
  <c r="W268" i="11" s="1"/>
  <c r="R406" i="11" l="1"/>
  <c r="O407" i="11" s="1"/>
  <c r="J234" i="11"/>
  <c r="K472" i="11"/>
  <c r="AB473" i="11" s="1"/>
  <c r="Q407" i="11" l="1"/>
  <c r="AH234" i="11"/>
  <c r="H235" i="11"/>
  <c r="K473" i="11"/>
  <c r="AB474" i="11" s="1"/>
  <c r="Y268" i="11"/>
  <c r="R407" i="11" l="1"/>
  <c r="O408" i="11" s="1"/>
  <c r="AF235" i="11"/>
  <c r="I235" i="11"/>
  <c r="AD235" i="11" s="1"/>
  <c r="AG269" i="11"/>
  <c r="K474" i="11"/>
  <c r="AB475" i="11" s="1"/>
  <c r="AA268" i="11"/>
  <c r="W269" i="11" s="1"/>
  <c r="Q408" i="11" l="1"/>
  <c r="R408" i="11" s="1"/>
  <c r="J235" i="11"/>
  <c r="K475" i="11"/>
  <c r="AB476" i="11" s="1"/>
  <c r="Y269" i="11"/>
  <c r="O409" i="11" l="1"/>
  <c r="AH235" i="11"/>
  <c r="H236" i="11"/>
  <c r="K476" i="11"/>
  <c r="AB477" i="11" s="1"/>
  <c r="AG270" i="11"/>
  <c r="AA269" i="11"/>
  <c r="W270" i="11" s="1"/>
  <c r="Q409" i="11" l="1"/>
  <c r="AF236" i="11"/>
  <c r="I236" i="11"/>
  <c r="AD236" i="11" s="1"/>
  <c r="K477" i="11"/>
  <c r="AB478" i="11" s="1"/>
  <c r="Y270" i="11"/>
  <c r="R409" i="11" l="1"/>
  <c r="O410" i="11" s="1"/>
  <c r="J236" i="11"/>
  <c r="K478" i="11"/>
  <c r="AB479" i="11" s="1"/>
  <c r="AG271" i="11"/>
  <c r="AA270" i="11"/>
  <c r="W271" i="11" s="1"/>
  <c r="Q410" i="11" l="1"/>
  <c r="R410" i="11" s="1"/>
  <c r="O411" i="11" s="1"/>
  <c r="AH236" i="11"/>
  <c r="H237" i="11"/>
  <c r="K479" i="11"/>
  <c r="AB480" i="11" s="1"/>
  <c r="Q411" i="11" l="1"/>
  <c r="AF237" i="11"/>
  <c r="I237" i="11"/>
  <c r="AD237" i="11" s="1"/>
  <c r="K480" i="11"/>
  <c r="AB481" i="11" s="1"/>
  <c r="Y271" i="11"/>
  <c r="R411" i="11" l="1"/>
  <c r="O412" i="11" s="1"/>
  <c r="J237" i="11"/>
  <c r="AG272" i="11"/>
  <c r="K481" i="11"/>
  <c r="AB482" i="11" s="1"/>
  <c r="Q412" i="11" l="1"/>
  <c r="R412" i="11" s="1"/>
  <c r="AA271" i="11"/>
  <c r="AH237" i="11"/>
  <c r="H238" i="11"/>
  <c r="K482" i="11"/>
  <c r="AB483" i="11" s="1"/>
  <c r="W272" i="11" l="1"/>
  <c r="O413" i="11"/>
  <c r="M12" i="21"/>
  <c r="I238" i="11"/>
  <c r="AD238" i="11" s="1"/>
  <c r="AF238" i="11"/>
  <c r="AG273" i="11"/>
  <c r="K483" i="11"/>
  <c r="AB484" i="11" s="1"/>
  <c r="Y272" i="11" l="1"/>
  <c r="AA272" i="11" s="1"/>
  <c r="Q413" i="11"/>
  <c r="M12" i="17"/>
  <c r="J238" i="11"/>
  <c r="K484" i="11"/>
  <c r="AB485" i="11" s="1"/>
  <c r="W273" i="11" l="1"/>
  <c r="Y273" i="11" s="1"/>
  <c r="R413" i="11"/>
  <c r="O414" i="11" s="1"/>
  <c r="AH238" i="11"/>
  <c r="H239" i="11"/>
  <c r="K485" i="11"/>
  <c r="AB486" i="11" s="1"/>
  <c r="Q414" i="11" l="1"/>
  <c r="R414" i="11" s="1"/>
  <c r="AF239" i="11"/>
  <c r="I239" i="11"/>
  <c r="AD239" i="11" s="1"/>
  <c r="AG274" i="11"/>
  <c r="K486" i="11"/>
  <c r="AB487" i="11" s="1"/>
  <c r="AA273" i="11"/>
  <c r="W274" i="11" s="1"/>
  <c r="O415" i="11" l="1"/>
  <c r="J239" i="11"/>
  <c r="AH239" i="11" s="1"/>
  <c r="K487" i="11"/>
  <c r="AB488" i="11" s="1"/>
  <c r="Y274" i="11"/>
  <c r="Q415" i="11" l="1"/>
  <c r="R415" i="11" s="1"/>
  <c r="H240" i="11"/>
  <c r="K488" i="11"/>
  <c r="AB489" i="11" s="1"/>
  <c r="AG275" i="11"/>
  <c r="AA274" i="11"/>
  <c r="W275" i="11" s="1"/>
  <c r="O416" i="11" l="1"/>
  <c r="AF240" i="11"/>
  <c r="I240" i="11"/>
  <c r="AD240" i="11" s="1"/>
  <c r="K489" i="11"/>
  <c r="AB490" i="11" s="1"/>
  <c r="Y275" i="11"/>
  <c r="Q416" i="11" l="1"/>
  <c r="J240" i="11"/>
  <c r="AH240" i="11" s="1"/>
  <c r="AG276" i="11"/>
  <c r="K490" i="11"/>
  <c r="AB491" i="11" s="1"/>
  <c r="AA275" i="11"/>
  <c r="W276" i="11" s="1"/>
  <c r="R416" i="11" l="1"/>
  <c r="O417" i="11" s="1"/>
  <c r="H241" i="11"/>
  <c r="I241" i="11" s="1"/>
  <c r="AD241" i="11" s="1"/>
  <c r="K491" i="11"/>
  <c r="AB492" i="11" s="1"/>
  <c r="Q417" i="11" l="1"/>
  <c r="AF241" i="11"/>
  <c r="J241" i="11"/>
  <c r="K492" i="11"/>
  <c r="AB493" i="11" s="1"/>
  <c r="Y276" i="11"/>
  <c r="R417" i="11" l="1"/>
  <c r="O418" i="11" s="1"/>
  <c r="AH241" i="11"/>
  <c r="H242" i="11"/>
  <c r="AG277" i="11"/>
  <c r="K493" i="11"/>
  <c r="AB494" i="11" s="1"/>
  <c r="AA276" i="11"/>
  <c r="W277" i="11" s="1"/>
  <c r="Q418" i="11" l="1"/>
  <c r="I242" i="11"/>
  <c r="AD242" i="11" s="1"/>
  <c r="AF242" i="11"/>
  <c r="K494" i="11"/>
  <c r="AB495" i="11" s="1"/>
  <c r="R418" i="11" l="1"/>
  <c r="O419" i="11" s="1"/>
  <c r="J242" i="11"/>
  <c r="K495" i="11"/>
  <c r="AB496" i="11" s="1"/>
  <c r="Y277" i="11"/>
  <c r="Q419" i="11" l="1"/>
  <c r="AH242" i="11"/>
  <c r="H243" i="11"/>
  <c r="AG278" i="11"/>
  <c r="K496" i="11"/>
  <c r="AB497" i="11" s="1"/>
  <c r="AA277" i="11"/>
  <c r="W278" i="11" s="1"/>
  <c r="R419" i="11" l="1"/>
  <c r="O420" i="11" s="1"/>
  <c r="AF243" i="11"/>
  <c r="I243" i="11"/>
  <c r="AD243" i="11" s="1"/>
  <c r="K497" i="11"/>
  <c r="AB498" i="11" s="1"/>
  <c r="Q420" i="11" l="1"/>
  <c r="J243" i="11"/>
  <c r="K498" i="11"/>
  <c r="AB499" i="11" s="1"/>
  <c r="Y278" i="11"/>
  <c r="R420" i="11" l="1"/>
  <c r="O421" i="11" s="1"/>
  <c r="AH243" i="11"/>
  <c r="H244" i="11"/>
  <c r="AG279" i="11"/>
  <c r="K499" i="11"/>
  <c r="AB500" i="11" s="1"/>
  <c r="AA278" i="11"/>
  <c r="W279" i="11" s="1"/>
  <c r="Q421" i="11" l="1"/>
  <c r="I244" i="11"/>
  <c r="AD244" i="11" s="1"/>
  <c r="AF244" i="11"/>
  <c r="K500" i="11"/>
  <c r="AB501" i="11" s="1"/>
  <c r="Y279" i="11"/>
  <c r="R421" i="11" l="1"/>
  <c r="O422" i="11" s="1"/>
  <c r="J244" i="11"/>
  <c r="AH244" i="11" s="1"/>
  <c r="K501" i="11"/>
  <c r="AB502" i="11" s="1"/>
  <c r="AG280" i="11"/>
  <c r="AA279" i="11"/>
  <c r="W280" i="11" s="1"/>
  <c r="Q422" i="11" l="1"/>
  <c r="H245" i="11"/>
  <c r="K502" i="11"/>
  <c r="AB503" i="11" s="1"/>
  <c r="Y280" i="11"/>
  <c r="R422" i="11" l="1"/>
  <c r="O423" i="11" s="1"/>
  <c r="AF245" i="11"/>
  <c r="I245" i="11"/>
  <c r="AD245" i="11" s="1"/>
  <c r="K503" i="11"/>
  <c r="AB504" i="11" s="1"/>
  <c r="AG281" i="11"/>
  <c r="AA280" i="11"/>
  <c r="W281" i="11" s="1"/>
  <c r="Q423" i="11" l="1"/>
  <c r="J245" i="11"/>
  <c r="AH245" i="11" s="1"/>
  <c r="K504" i="11"/>
  <c r="AB505" i="11" s="1"/>
  <c r="Y281" i="11"/>
  <c r="R423" i="11" l="1"/>
  <c r="O424" i="11" s="1"/>
  <c r="H246" i="11"/>
  <c r="I246" i="11" s="1"/>
  <c r="AD246" i="11" s="1"/>
  <c r="AG282" i="11"/>
  <c r="K505" i="11"/>
  <c r="AB506" i="11" s="1"/>
  <c r="AA281" i="11"/>
  <c r="W282" i="11" s="1"/>
  <c r="Q424" i="11" l="1"/>
  <c r="AF246" i="11"/>
  <c r="J246" i="11"/>
  <c r="K506" i="11"/>
  <c r="AB507" i="11" s="1"/>
  <c r="R424" i="11" l="1"/>
  <c r="O425" i="11" s="1"/>
  <c r="AH246" i="11"/>
  <c r="H247" i="11"/>
  <c r="K507" i="11"/>
  <c r="AB508" i="11" s="1"/>
  <c r="Y282" i="11"/>
  <c r="Q425" i="11" l="1"/>
  <c r="AF247" i="11"/>
  <c r="I247" i="11"/>
  <c r="AD247" i="11" s="1"/>
  <c r="AG283" i="11"/>
  <c r="K508" i="11"/>
  <c r="AB509" i="11" s="1"/>
  <c r="AA282" i="11"/>
  <c r="W283" i="11" s="1"/>
  <c r="R425" i="11" l="1"/>
  <c r="O426" i="11" s="1"/>
  <c r="J247" i="11"/>
  <c r="K509" i="11"/>
  <c r="AB510" i="11" s="1"/>
  <c r="Y283" i="11"/>
  <c r="Q426" i="11" l="1"/>
  <c r="AH247" i="11"/>
  <c r="H248" i="11"/>
  <c r="AG284" i="11"/>
  <c r="K510" i="11"/>
  <c r="AB511" i="11" s="1"/>
  <c r="F30" i="11" s="1"/>
  <c r="AA283" i="11"/>
  <c r="W284" i="11" s="1"/>
  <c r="M16" i="21" l="1"/>
  <c r="M16" i="17"/>
  <c r="R426" i="11"/>
  <c r="O427" i="11" s="1"/>
  <c r="I248" i="11"/>
  <c r="AD248" i="11" s="1"/>
  <c r="AF248" i="11"/>
  <c r="K511" i="11"/>
  <c r="AB512" i="11" s="1"/>
  <c r="Y284" i="11"/>
  <c r="Q427" i="11" l="1"/>
  <c r="J248" i="11"/>
  <c r="AG285" i="11"/>
  <c r="K512" i="11"/>
  <c r="AB513" i="11" s="1"/>
  <c r="AA284" i="11"/>
  <c r="W285" i="11" s="1"/>
  <c r="R427" i="11" l="1"/>
  <c r="O428" i="11" s="1"/>
  <c r="AH248" i="11"/>
  <c r="H249" i="11"/>
  <c r="K513" i="11"/>
  <c r="AB514" i="11" s="1"/>
  <c r="Y285" i="11"/>
  <c r="Q428" i="11" l="1"/>
  <c r="I249" i="11"/>
  <c r="AD249" i="11" s="1"/>
  <c r="AF249" i="11"/>
  <c r="AG286" i="11"/>
  <c r="K514" i="11"/>
  <c r="AB515" i="11" s="1"/>
  <c r="AA285" i="11"/>
  <c r="W286" i="11" s="1"/>
  <c r="R428" i="11" l="1"/>
  <c r="O429" i="11" s="1"/>
  <c r="J249" i="11"/>
  <c r="AH249" i="11" s="1"/>
  <c r="K515" i="11"/>
  <c r="AB516" i="11" s="1"/>
  <c r="Q429" i="11" l="1"/>
  <c r="H250" i="11"/>
  <c r="K516" i="11"/>
  <c r="AB517" i="11" s="1"/>
  <c r="Y286" i="11"/>
  <c r="R429" i="11" l="1"/>
  <c r="O430" i="11" s="1"/>
  <c r="AF250" i="11"/>
  <c r="I250" i="11"/>
  <c r="AD250" i="11" s="1"/>
  <c r="K517" i="11"/>
  <c r="AB518" i="11" s="1"/>
  <c r="AG287" i="11"/>
  <c r="AA286" i="11"/>
  <c r="W287" i="11" s="1"/>
  <c r="Q430" i="11" l="1"/>
  <c r="J250" i="11"/>
  <c r="AH250" i="11" s="1"/>
  <c r="K518" i="11"/>
  <c r="AB519" i="11" s="1"/>
  <c r="Y287" i="11"/>
  <c r="R430" i="11" l="1"/>
  <c r="O431" i="11" s="1"/>
  <c r="H251" i="11"/>
  <c r="I251" i="11" s="1"/>
  <c r="AD251" i="11" s="1"/>
  <c r="AG288" i="11"/>
  <c r="K519" i="11"/>
  <c r="AB520" i="11" s="1"/>
  <c r="AA287" i="11"/>
  <c r="W288" i="11" s="1"/>
  <c r="Q431" i="11" l="1"/>
  <c r="AF251" i="11"/>
  <c r="J251" i="11"/>
  <c r="K520" i="11"/>
  <c r="AB521" i="11" s="1"/>
  <c r="Y288" i="11"/>
  <c r="R431" i="11" l="1"/>
  <c r="O432" i="11" s="1"/>
  <c r="AH251" i="11"/>
  <c r="H252" i="11"/>
  <c r="K521" i="11"/>
  <c r="AB522" i="11" s="1"/>
  <c r="AG289" i="11"/>
  <c r="AA288" i="11"/>
  <c r="W289" i="11" s="1"/>
  <c r="Q432" i="11" l="1"/>
  <c r="AF252" i="11"/>
  <c r="I252" i="11"/>
  <c r="AD252" i="11" s="1"/>
  <c r="K522" i="11"/>
  <c r="AB523" i="11" s="1"/>
  <c r="Y289" i="11"/>
  <c r="R432" i="11" l="1"/>
  <c r="O433" i="11" s="1"/>
  <c r="J252" i="11"/>
  <c r="K523" i="11"/>
  <c r="AB524" i="11" s="1"/>
  <c r="AG290" i="11"/>
  <c r="AA289" i="11"/>
  <c r="W290" i="11" s="1"/>
  <c r="Q433" i="11" l="1"/>
  <c r="AH252" i="11"/>
  <c r="H253" i="11"/>
  <c r="K524" i="11"/>
  <c r="AB525" i="11" s="1"/>
  <c r="R433" i="11" l="1"/>
  <c r="O434" i="11" s="1"/>
  <c r="AF253" i="11"/>
  <c r="I253" i="11"/>
  <c r="AD253" i="11" s="1"/>
  <c r="K525" i="11"/>
  <c r="AB526" i="11" s="1"/>
  <c r="Y290" i="11"/>
  <c r="Q434" i="11" l="1"/>
  <c r="R434" i="11" s="1"/>
  <c r="J253" i="11"/>
  <c r="K526" i="11"/>
  <c r="AB527" i="11" s="1"/>
  <c r="AG291" i="11"/>
  <c r="AA290" i="11"/>
  <c r="W291" i="11" s="1"/>
  <c r="O435" i="11" l="1"/>
  <c r="H254" i="11"/>
  <c r="AH253" i="11"/>
  <c r="K527" i="11"/>
  <c r="AB528" i="11" s="1"/>
  <c r="Q435" i="11" l="1"/>
  <c r="I254" i="11"/>
  <c r="AD254" i="11" s="1"/>
  <c r="AF254" i="11"/>
  <c r="K528" i="11"/>
  <c r="AB529" i="11" s="1"/>
  <c r="Y291" i="11"/>
  <c r="R435" i="11" l="1"/>
  <c r="O436" i="11" s="1"/>
  <c r="J254" i="11"/>
  <c r="K529" i="11"/>
  <c r="AB530" i="11" s="1"/>
  <c r="AG292" i="11"/>
  <c r="AA291" i="11"/>
  <c r="W292" i="11" s="1"/>
  <c r="Q436" i="11" l="1"/>
  <c r="AH254" i="11"/>
  <c r="H255" i="11"/>
  <c r="K530" i="11"/>
  <c r="AB531" i="11" s="1"/>
  <c r="R436" i="11" l="1"/>
  <c r="O437" i="11" s="1"/>
  <c r="I255" i="11"/>
  <c r="AD255" i="11" s="1"/>
  <c r="AF255" i="11"/>
  <c r="K531" i="11"/>
  <c r="AB532" i="11" s="1"/>
  <c r="Y292" i="11"/>
  <c r="Q437" i="11" l="1"/>
  <c r="R437" i="11" s="1"/>
  <c r="J255" i="11"/>
  <c r="K532" i="11"/>
  <c r="AB533" i="11" s="1"/>
  <c r="AG293" i="11"/>
  <c r="AA292" i="11"/>
  <c r="W293" i="11" s="1"/>
  <c r="O438" i="11" l="1"/>
  <c r="AH255" i="11"/>
  <c r="H256" i="11"/>
  <c r="K533" i="11"/>
  <c r="AB534" i="11" s="1"/>
  <c r="Y293" i="11"/>
  <c r="Q438" i="11" l="1"/>
  <c r="AF256" i="11"/>
  <c r="I256" i="11"/>
  <c r="AD256" i="11" s="1"/>
  <c r="K534" i="11"/>
  <c r="AB535" i="11" s="1"/>
  <c r="AG294" i="11"/>
  <c r="AA293" i="11"/>
  <c r="W294" i="11" s="1"/>
  <c r="R438" i="11" l="1"/>
  <c r="O439" i="11" s="1"/>
  <c r="J256" i="11"/>
  <c r="K535" i="11"/>
  <c r="AB536" i="11" s="1"/>
  <c r="Q439" i="11" l="1"/>
  <c r="H257" i="11"/>
  <c r="AH256" i="11"/>
  <c r="K536" i="11"/>
  <c r="AB537" i="11" s="1"/>
  <c r="Y294" i="11"/>
  <c r="R439" i="11" l="1"/>
  <c r="O440" i="11" s="1"/>
  <c r="I257" i="11"/>
  <c r="AD257" i="11" s="1"/>
  <c r="AF257" i="11"/>
  <c r="K537" i="11"/>
  <c r="AB538" i="11" s="1"/>
  <c r="AG295" i="11"/>
  <c r="AA294" i="11"/>
  <c r="W295" i="11" s="1"/>
  <c r="Q440" i="11" l="1"/>
  <c r="R440" i="11" s="1"/>
  <c r="J257" i="11"/>
  <c r="AH257" i="11" s="1"/>
  <c r="K538" i="11"/>
  <c r="AB539" i="11" s="1"/>
  <c r="Y295" i="11"/>
  <c r="O441" i="11" l="1"/>
  <c r="H258" i="11"/>
  <c r="AG296" i="11"/>
  <c r="K539" i="11"/>
  <c r="AB540" i="11" s="1"/>
  <c r="AA295" i="11"/>
  <c r="W296" i="11" s="1"/>
  <c r="Q441" i="11" l="1"/>
  <c r="AF258" i="11"/>
  <c r="I258" i="11"/>
  <c r="AD258" i="11" s="1"/>
  <c r="K540" i="11"/>
  <c r="AB541" i="11" s="1"/>
  <c r="Y296" i="11"/>
  <c r="K20" i="11"/>
  <c r="K21" i="11"/>
  <c r="K22" i="11"/>
  <c r="K23" i="11"/>
  <c r="K24" i="11"/>
  <c r="K25" i="11"/>
  <c r="R441" i="11" l="1"/>
  <c r="O442" i="11" s="1"/>
  <c r="J258" i="11"/>
  <c r="AG297" i="11"/>
  <c r="K541" i="11"/>
  <c r="AB542" i="11" s="1"/>
  <c r="AA296" i="11"/>
  <c r="W297" i="11" s="1"/>
  <c r="L23" i="11"/>
  <c r="L53" i="17"/>
  <c r="L22" i="11"/>
  <c r="L52" i="17"/>
  <c r="L25" i="11"/>
  <c r="L55" i="17"/>
  <c r="L21" i="11"/>
  <c r="L51" i="17"/>
  <c r="L24" i="11"/>
  <c r="L54" i="17"/>
  <c r="L20" i="11"/>
  <c r="L50" i="17"/>
  <c r="Q442" i="11" l="1"/>
  <c r="AH258" i="11"/>
  <c r="H259" i="11"/>
  <c r="K542" i="11"/>
  <c r="AB543" i="11" s="1"/>
  <c r="Y297" i="11"/>
  <c r="R442" i="11" l="1"/>
  <c r="O443" i="11" s="1"/>
  <c r="AF259" i="11"/>
  <c r="I259" i="11"/>
  <c r="AD259" i="11" s="1"/>
  <c r="K543" i="11"/>
  <c r="AB544" i="11" s="1"/>
  <c r="AG298" i="11"/>
  <c r="AA297" i="11"/>
  <c r="W298" i="11" s="1"/>
  <c r="Q443" i="11" l="1"/>
  <c r="J259" i="11"/>
  <c r="K544" i="11"/>
  <c r="AB545" i="11" s="1"/>
  <c r="R443" i="11" l="1"/>
  <c r="O444" i="11" s="1"/>
  <c r="AH259" i="11"/>
  <c r="H260" i="11"/>
  <c r="K545" i="11"/>
  <c r="AB546" i="11" s="1"/>
  <c r="Y298" i="11"/>
  <c r="Q444" i="11" l="1"/>
  <c r="R444" i="11" s="1"/>
  <c r="I260" i="11"/>
  <c r="AD260" i="11" s="1"/>
  <c r="AF260" i="11"/>
  <c r="K546" i="11"/>
  <c r="AB547" i="11" s="1"/>
  <c r="AG299" i="11"/>
  <c r="AA298" i="11"/>
  <c r="W299" i="11" s="1"/>
  <c r="O445" i="11" l="1"/>
  <c r="J260" i="11"/>
  <c r="AH260" i="11" s="1"/>
  <c r="K547" i="11"/>
  <c r="AB548" i="11" s="1"/>
  <c r="Y299" i="11"/>
  <c r="Q445" i="11" l="1"/>
  <c r="H261" i="11"/>
  <c r="AF261" i="11" s="1"/>
  <c r="AG300" i="11"/>
  <c r="K548" i="11"/>
  <c r="AB549" i="11" s="1"/>
  <c r="AA299" i="11"/>
  <c r="W300" i="11" s="1"/>
  <c r="R445" i="11" l="1"/>
  <c r="O446" i="11" s="1"/>
  <c r="I261" i="11"/>
  <c r="AD261" i="11" s="1"/>
  <c r="K549" i="11"/>
  <c r="AB550" i="11" s="1"/>
  <c r="Y300" i="11"/>
  <c r="Q446" i="11" l="1"/>
  <c r="R446" i="11" s="1"/>
  <c r="J261" i="11"/>
  <c r="AH261" i="11" s="1"/>
  <c r="K550" i="11"/>
  <c r="AB551" i="11" s="1"/>
  <c r="AG301" i="11"/>
  <c r="AA300" i="11"/>
  <c r="W301" i="11" s="1"/>
  <c r="O447" i="11" l="1"/>
  <c r="H262" i="11"/>
  <c r="I262" i="11" s="1"/>
  <c r="AD262" i="11" s="1"/>
  <c r="K551" i="11"/>
  <c r="AB552" i="11" s="1"/>
  <c r="Y301" i="11"/>
  <c r="Q447" i="11" l="1"/>
  <c r="R447" i="11" s="1"/>
  <c r="AF262" i="11"/>
  <c r="J262" i="11"/>
  <c r="AH262" i="11" s="1"/>
  <c r="K552" i="11"/>
  <c r="AB553" i="11" s="1"/>
  <c r="AG302" i="11"/>
  <c r="AA301" i="11"/>
  <c r="W302" i="11" s="1"/>
  <c r="O448" i="11" l="1"/>
  <c r="H263" i="11"/>
  <c r="I263" i="11" s="1"/>
  <c r="AD263" i="11" s="1"/>
  <c r="K553" i="11"/>
  <c r="AB554" i="11" s="1"/>
  <c r="Q448" i="11" l="1"/>
  <c r="AF263" i="11"/>
  <c r="J263" i="11"/>
  <c r="K554" i="11"/>
  <c r="AB555" i="11" s="1"/>
  <c r="Y302" i="11"/>
  <c r="R448" i="11" l="1"/>
  <c r="O449" i="11" s="1"/>
  <c r="AH263" i="11"/>
  <c r="H264" i="11"/>
  <c r="K555" i="11"/>
  <c r="AB556" i="11" s="1"/>
  <c r="AG303" i="11"/>
  <c r="AA302" i="11"/>
  <c r="W303" i="11" s="1"/>
  <c r="Q449" i="11" l="1"/>
  <c r="R449" i="11" s="1"/>
  <c r="I264" i="11"/>
  <c r="AD264" i="11" s="1"/>
  <c r="AF264" i="11"/>
  <c r="K556" i="11"/>
  <c r="AB557" i="11" s="1"/>
  <c r="Y303" i="11"/>
  <c r="O450" i="11" l="1"/>
  <c r="Q450" i="11" s="1"/>
  <c r="R450" i="11" s="1"/>
  <c r="J264" i="11"/>
  <c r="AH264" i="11" s="1"/>
  <c r="AG304" i="11"/>
  <c r="K557" i="11"/>
  <c r="AB558" i="11" s="1"/>
  <c r="AA303" i="11"/>
  <c r="W304" i="11" s="1"/>
  <c r="O451" i="11" l="1"/>
  <c r="Q451" i="11" s="1"/>
  <c r="R451" i="11" s="1"/>
  <c r="H265" i="11"/>
  <c r="K558" i="11"/>
  <c r="AB559" i="11" s="1"/>
  <c r="O452" i="11" l="1"/>
  <c r="Q452" i="11" s="1"/>
  <c r="R452" i="11" s="1"/>
  <c r="I265" i="11"/>
  <c r="AD265" i="11" s="1"/>
  <c r="AF265" i="11"/>
  <c r="K559" i="11"/>
  <c r="AB560" i="11" s="1"/>
  <c r="Y304" i="11"/>
  <c r="O453" i="11" l="1"/>
  <c r="Q453" i="11" s="1"/>
  <c r="R453" i="11" s="1"/>
  <c r="J265" i="11"/>
  <c r="AH265" i="11" s="1"/>
  <c r="AG305" i="11"/>
  <c r="K560" i="11"/>
  <c r="AB561" i="11" s="1"/>
  <c r="AA304" i="11"/>
  <c r="W305" i="11" s="1"/>
  <c r="O454" i="11" l="1"/>
  <c r="Q454" i="11" s="1"/>
  <c r="R454" i="11" s="1"/>
  <c r="H266" i="11"/>
  <c r="I266" i="11" s="1"/>
  <c r="AD266" i="11" s="1"/>
  <c r="K561" i="11"/>
  <c r="AB562" i="11" s="1"/>
  <c r="O455" i="11" l="1"/>
  <c r="Q455" i="11" s="1"/>
  <c r="R455" i="11" s="1"/>
  <c r="AF266" i="11"/>
  <c r="J266" i="11"/>
  <c r="K562" i="11"/>
  <c r="AB563" i="11" s="1"/>
  <c r="Y305" i="11"/>
  <c r="O456" i="11" l="1"/>
  <c r="Q456" i="11" s="1"/>
  <c r="R456" i="11" s="1"/>
  <c r="AH266" i="11"/>
  <c r="H267" i="11"/>
  <c r="K563" i="11"/>
  <c r="AB564" i="11" s="1"/>
  <c r="AG306" i="11"/>
  <c r="AA305" i="11"/>
  <c r="W306" i="11" s="1"/>
  <c r="O457" i="11" l="1"/>
  <c r="Q457" i="11" s="1"/>
  <c r="R457" i="11" s="1"/>
  <c r="AF267" i="11"/>
  <c r="I267" i="11"/>
  <c r="AD267" i="11" s="1"/>
  <c r="K564" i="11"/>
  <c r="AB565" i="11" s="1"/>
  <c r="Y306" i="11"/>
  <c r="O458" i="11" l="1"/>
  <c r="Q458" i="11" s="1"/>
  <c r="R458" i="11" s="1"/>
  <c r="J267" i="11"/>
  <c r="AH267" i="11" s="1"/>
  <c r="AG307" i="11"/>
  <c r="K565" i="11"/>
  <c r="AB566" i="11" s="1"/>
  <c r="AA306" i="11"/>
  <c r="W307" i="11" s="1"/>
  <c r="O459" i="11" l="1"/>
  <c r="Q459" i="11" s="1"/>
  <c r="R459" i="11" s="1"/>
  <c r="H268" i="11"/>
  <c r="K566" i="11"/>
  <c r="AB567" i="11" s="1"/>
  <c r="Y307" i="11"/>
  <c r="O460" i="11" l="1"/>
  <c r="Q460" i="11" s="1"/>
  <c r="R460" i="11" s="1"/>
  <c r="AF268" i="11"/>
  <c r="I268" i="11"/>
  <c r="AD268" i="11" s="1"/>
  <c r="K567" i="11"/>
  <c r="AB568" i="11" s="1"/>
  <c r="AG308" i="11"/>
  <c r="AA307" i="11"/>
  <c r="W308" i="11" s="1"/>
  <c r="O461" i="11" l="1"/>
  <c r="Q461" i="11" s="1"/>
  <c r="R461" i="11" s="1"/>
  <c r="J268" i="11"/>
  <c r="AH268" i="11" s="1"/>
  <c r="K568" i="11"/>
  <c r="AB569" i="11" s="1"/>
  <c r="Y308" i="11"/>
  <c r="O462" i="11" l="1"/>
  <c r="Q462" i="11" s="1"/>
  <c r="R462" i="11" s="1"/>
  <c r="H269" i="11"/>
  <c r="I269" i="11" s="1"/>
  <c r="AD269" i="11" s="1"/>
  <c r="K569" i="11"/>
  <c r="AB570" i="11" s="1"/>
  <c r="AG309" i="11"/>
  <c r="AA308" i="11"/>
  <c r="W309" i="11" s="1"/>
  <c r="O463" i="11" l="1"/>
  <c r="Q463" i="11" s="1"/>
  <c r="R463" i="11" s="1"/>
  <c r="AF269" i="11"/>
  <c r="J269" i="11"/>
  <c r="K570" i="11"/>
  <c r="AB571" i="11" s="1"/>
  <c r="F31" i="11" s="1"/>
  <c r="Y309" i="11"/>
  <c r="M17" i="17" l="1"/>
  <c r="M17" i="21"/>
  <c r="O464" i="11"/>
  <c r="Q464" i="11" s="1"/>
  <c r="R464" i="11" s="1"/>
  <c r="AH269" i="11"/>
  <c r="H270" i="11"/>
  <c r="K571" i="11"/>
  <c r="AB572" i="11" s="1"/>
  <c r="AG310" i="11"/>
  <c r="AA309" i="11"/>
  <c r="W310" i="11" s="1"/>
  <c r="O465" i="11" l="1"/>
  <c r="Q465" i="11" s="1"/>
  <c r="R465" i="11" s="1"/>
  <c r="AF270" i="11"/>
  <c r="I270" i="11"/>
  <c r="AD270" i="11" s="1"/>
  <c r="K572" i="11"/>
  <c r="AB573" i="11" s="1"/>
  <c r="Y310" i="11"/>
  <c r="O466" i="11" l="1"/>
  <c r="Q466" i="11" s="1"/>
  <c r="R466" i="11" s="1"/>
  <c r="K26" i="11"/>
  <c r="J270" i="11"/>
  <c r="K573" i="11"/>
  <c r="AB574" i="11" s="1"/>
  <c r="AG311" i="11"/>
  <c r="AA310" i="11"/>
  <c r="W311" i="11" s="1"/>
  <c r="O467" i="11" l="1"/>
  <c r="Q467" i="11" s="1"/>
  <c r="R467" i="11" s="1"/>
  <c r="L56" i="17"/>
  <c r="AH270" i="11"/>
  <c r="H271" i="11"/>
  <c r="K574" i="11"/>
  <c r="AB575" i="11" s="1"/>
  <c r="Y311" i="11"/>
  <c r="O468" i="11" l="1"/>
  <c r="Q468" i="11" s="1"/>
  <c r="R468" i="11" s="1"/>
  <c r="AF271" i="11"/>
  <c r="I271" i="11"/>
  <c r="AD271" i="11" s="1"/>
  <c r="AG312" i="11"/>
  <c r="K575" i="11"/>
  <c r="AB576" i="11" s="1"/>
  <c r="AA311" i="11"/>
  <c r="W312" i="11" s="1"/>
  <c r="O469" i="11" l="1"/>
  <c r="Q469" i="11" s="1"/>
  <c r="R469" i="11" s="1"/>
  <c r="G26" i="11"/>
  <c r="N12" i="21" s="1"/>
  <c r="J271" i="11"/>
  <c r="K576" i="11"/>
  <c r="AB577" i="11" s="1"/>
  <c r="Y312" i="11"/>
  <c r="O470" i="11" l="1"/>
  <c r="Q470" i="11" s="1"/>
  <c r="R470" i="11" s="1"/>
  <c r="L26" i="11"/>
  <c r="N12" i="17"/>
  <c r="AH271" i="11"/>
  <c r="H272" i="11"/>
  <c r="AG313" i="11"/>
  <c r="K577" i="11"/>
  <c r="AB578" i="11" s="1"/>
  <c r="AA312" i="11"/>
  <c r="W313" i="11" s="1"/>
  <c r="O471" i="11" l="1"/>
  <c r="Q471" i="11" s="1"/>
  <c r="R471" i="11" s="1"/>
  <c r="I272" i="11"/>
  <c r="AD272" i="11" s="1"/>
  <c r="AF272" i="11"/>
  <c r="K578" i="11"/>
  <c r="AB579" i="11" s="1"/>
  <c r="Y313" i="11"/>
  <c r="O472" i="11" l="1"/>
  <c r="Q472" i="11" s="1"/>
  <c r="R472" i="11" s="1"/>
  <c r="J272" i="11"/>
  <c r="AH272" i="11" s="1"/>
  <c r="K579" i="11"/>
  <c r="AB580" i="11" s="1"/>
  <c r="AG314" i="11"/>
  <c r="AA313" i="11"/>
  <c r="W314" i="11" s="1"/>
  <c r="O473" i="11" l="1"/>
  <c r="Q473" i="11" s="1"/>
  <c r="R473" i="11" s="1"/>
  <c r="H273" i="11"/>
  <c r="I273" i="11" s="1"/>
  <c r="AD273" i="11" s="1"/>
  <c r="K580" i="11"/>
  <c r="AB581" i="11" s="1"/>
  <c r="Y314" i="11"/>
  <c r="O474" i="11" l="1"/>
  <c r="Q474" i="11" s="1"/>
  <c r="R474" i="11" s="1"/>
  <c r="AF273" i="11"/>
  <c r="J273" i="11"/>
  <c r="K581" i="11"/>
  <c r="AB582" i="11" s="1"/>
  <c r="AG315" i="11"/>
  <c r="AA314" i="11"/>
  <c r="W315" i="11" s="1"/>
  <c r="O475" i="11" l="1"/>
  <c r="Q475" i="11" s="1"/>
  <c r="R475" i="11" s="1"/>
  <c r="AH273" i="11"/>
  <c r="H274" i="11"/>
  <c r="K582" i="11"/>
  <c r="AB583" i="11" s="1"/>
  <c r="O476" i="11" l="1"/>
  <c r="Q476" i="11" s="1"/>
  <c r="R476" i="11" s="1"/>
  <c r="AF274" i="11"/>
  <c r="I274" i="11"/>
  <c r="AD274" i="11" s="1"/>
  <c r="K583" i="11"/>
  <c r="AB584" i="11" s="1"/>
  <c r="Y315" i="11"/>
  <c r="O477" i="11" l="1"/>
  <c r="Q477" i="11" s="1"/>
  <c r="R477" i="11" s="1"/>
  <c r="J274" i="11"/>
  <c r="AG316" i="11"/>
  <c r="K584" i="11"/>
  <c r="AB585" i="11" s="1"/>
  <c r="AA315" i="11"/>
  <c r="W316" i="11" s="1"/>
  <c r="O478" i="11" l="1"/>
  <c r="Q478" i="11" s="1"/>
  <c r="R478" i="11" s="1"/>
  <c r="AH274" i="11"/>
  <c r="H275" i="11"/>
  <c r="K585" i="11"/>
  <c r="AB586" i="11" s="1"/>
  <c r="O479" i="11" l="1"/>
  <c r="Q479" i="11" s="1"/>
  <c r="R479" i="11" s="1"/>
  <c r="I275" i="11"/>
  <c r="AD275" i="11" s="1"/>
  <c r="AF275" i="11"/>
  <c r="K586" i="11"/>
  <c r="AB587" i="11" s="1"/>
  <c r="Y316" i="11"/>
  <c r="O480" i="11" l="1"/>
  <c r="Q480" i="11" s="1"/>
  <c r="R480" i="11" s="1"/>
  <c r="J275" i="11"/>
  <c r="AH275" i="11" s="1"/>
  <c r="AG317" i="11"/>
  <c r="K587" i="11"/>
  <c r="AB588" i="11" s="1"/>
  <c r="AA316" i="11"/>
  <c r="W317" i="11" s="1"/>
  <c r="O481" i="11" l="1"/>
  <c r="Q481" i="11" s="1"/>
  <c r="R481" i="11" s="1"/>
  <c r="H276" i="11"/>
  <c r="AF276" i="11" s="1"/>
  <c r="K588" i="11"/>
  <c r="AB589" i="11" s="1"/>
  <c r="Y317" i="11"/>
  <c r="O482" i="11" l="1"/>
  <c r="Q482" i="11" s="1"/>
  <c r="R482" i="11" s="1"/>
  <c r="I276" i="11"/>
  <c r="AD276" i="11" s="1"/>
  <c r="AG318" i="11"/>
  <c r="K589" i="11"/>
  <c r="AB590" i="11" s="1"/>
  <c r="AA317" i="11"/>
  <c r="W318" i="11" s="1"/>
  <c r="O483" i="11" l="1"/>
  <c r="Q483" i="11" s="1"/>
  <c r="R483" i="11" s="1"/>
  <c r="J276" i="11"/>
  <c r="AH276" i="11" s="1"/>
  <c r="K590" i="11"/>
  <c r="AB591" i="11" s="1"/>
  <c r="Y318" i="11"/>
  <c r="O484" i="11" l="1"/>
  <c r="Q484" i="11" s="1"/>
  <c r="R484" i="11" s="1"/>
  <c r="H277" i="11"/>
  <c r="I277" i="11" s="1"/>
  <c r="AD277" i="11" s="1"/>
  <c r="AG319" i="11"/>
  <c r="K591" i="11"/>
  <c r="AB592" i="11" s="1"/>
  <c r="AA318" i="11"/>
  <c r="W319" i="11" s="1"/>
  <c r="O485" i="11" l="1"/>
  <c r="Q485" i="11" s="1"/>
  <c r="R485" i="11" s="1"/>
  <c r="AF277" i="11"/>
  <c r="J277" i="11"/>
  <c r="K592" i="11"/>
  <c r="AB593" i="11" s="1"/>
  <c r="Y319" i="11"/>
  <c r="O486" i="11" l="1"/>
  <c r="Q486" i="11" s="1"/>
  <c r="R486" i="11" s="1"/>
  <c r="AH277" i="11"/>
  <c r="H278" i="11"/>
  <c r="K593" i="11"/>
  <c r="AB594" i="11" s="1"/>
  <c r="AG320" i="11"/>
  <c r="AA319" i="11"/>
  <c r="W320" i="11" s="1"/>
  <c r="O487" i="11" l="1"/>
  <c r="Q487" i="11" s="1"/>
  <c r="R487" i="11" s="1"/>
  <c r="I278" i="11"/>
  <c r="AD278" i="11" s="1"/>
  <c r="AF278" i="11"/>
  <c r="K594" i="11"/>
  <c r="AB595" i="11" s="1"/>
  <c r="Y320" i="11"/>
  <c r="O488" i="11" l="1"/>
  <c r="Q488" i="11" s="1"/>
  <c r="R488" i="11" s="1"/>
  <c r="J278" i="11"/>
  <c r="AH278" i="11" s="1"/>
  <c r="AG321" i="11"/>
  <c r="K595" i="11"/>
  <c r="AB596" i="11" s="1"/>
  <c r="AA320" i="11"/>
  <c r="W321" i="11" s="1"/>
  <c r="O489" i="11" l="1"/>
  <c r="Q489" i="11" s="1"/>
  <c r="R489" i="11" s="1"/>
  <c r="H279" i="11"/>
  <c r="I279" i="11" s="1"/>
  <c r="AD279" i="11" s="1"/>
  <c r="Y321" i="11"/>
  <c r="K596" i="11"/>
  <c r="AB597" i="11" s="1"/>
  <c r="O490" i="11" l="1"/>
  <c r="Q490" i="11" s="1"/>
  <c r="R490" i="11" s="1"/>
  <c r="AG322" i="11"/>
  <c r="J279" i="11"/>
  <c r="H280" i="11" s="1"/>
  <c r="AF279" i="11"/>
  <c r="AA321" i="11"/>
  <c r="W322" i="11" s="1"/>
  <c r="K597" i="11"/>
  <c r="AB598" i="11" s="1"/>
  <c r="O491" i="11" l="1"/>
  <c r="Q491" i="11" s="1"/>
  <c r="R491" i="11" s="1"/>
  <c r="Y322" i="11"/>
  <c r="AH279" i="11"/>
  <c r="I280" i="11"/>
  <c r="AD280" i="11" s="1"/>
  <c r="AF280" i="11"/>
  <c r="AG323" i="11"/>
  <c r="K598" i="11"/>
  <c r="AB599" i="11" s="1"/>
  <c r="O492" i="11" l="1"/>
  <c r="Q492" i="11" s="1"/>
  <c r="R492" i="11" s="1"/>
  <c r="AA322" i="11"/>
  <c r="J280" i="11"/>
  <c r="AH280" i="11" s="1"/>
  <c r="K599" i="11"/>
  <c r="AB600" i="11" s="1"/>
  <c r="O493" i="11" l="1"/>
  <c r="Q493" i="11" s="1"/>
  <c r="R493" i="11" s="1"/>
  <c r="W323" i="11"/>
  <c r="H281" i="11"/>
  <c r="I281" i="11" s="1"/>
  <c r="AD281" i="11" s="1"/>
  <c r="K600" i="11"/>
  <c r="AB601" i="11" s="1"/>
  <c r="AG324" i="11"/>
  <c r="O494" i="11" l="1"/>
  <c r="Q494" i="11" s="1"/>
  <c r="R494" i="11" s="1"/>
  <c r="Y323" i="11"/>
  <c r="AA323" i="11" s="1"/>
  <c r="AF281" i="11"/>
  <c r="J281" i="11"/>
  <c r="AH281" i="11" s="1"/>
  <c r="K601" i="11"/>
  <c r="AB602" i="11" s="1"/>
  <c r="O495" i="11" l="1"/>
  <c r="Q495" i="11" s="1"/>
  <c r="R495" i="11" s="1"/>
  <c r="W324" i="11"/>
  <c r="H282" i="11"/>
  <c r="K602" i="11"/>
  <c r="AB603" i="11" s="1"/>
  <c r="AG325" i="11"/>
  <c r="O496" i="11" l="1"/>
  <c r="Q496" i="11" s="1"/>
  <c r="R496" i="11" s="1"/>
  <c r="Y324" i="11"/>
  <c r="AA324" i="11" s="1"/>
  <c r="I282" i="11"/>
  <c r="AD282" i="11" s="1"/>
  <c r="AF282" i="11"/>
  <c r="K603" i="11"/>
  <c r="AB604" i="11" s="1"/>
  <c r="O497" i="11" l="1"/>
  <c r="Q497" i="11" s="1"/>
  <c r="R497" i="11" s="1"/>
  <c r="W325" i="11"/>
  <c r="J282" i="11"/>
  <c r="K604" i="11"/>
  <c r="AB605" i="11" s="1"/>
  <c r="AG326" i="11"/>
  <c r="O498" i="11" l="1"/>
  <c r="Q498" i="11" s="1"/>
  <c r="R498" i="11" s="1"/>
  <c r="Y325" i="11"/>
  <c r="AA325" i="11" s="1"/>
  <c r="AH282" i="11"/>
  <c r="H283" i="11"/>
  <c r="K605" i="11"/>
  <c r="AB606" i="11" s="1"/>
  <c r="O499" i="11" l="1"/>
  <c r="Q499" i="11" s="1"/>
  <c r="R499" i="11" s="1"/>
  <c r="W326" i="11"/>
  <c r="AF283" i="11"/>
  <c r="I283" i="11"/>
  <c r="AD283" i="11" s="1"/>
  <c r="K606" i="11"/>
  <c r="AB607" i="11" s="1"/>
  <c r="AG327" i="11"/>
  <c r="O500" i="11" l="1"/>
  <c r="Q500" i="11" s="1"/>
  <c r="R500" i="11" s="1"/>
  <c r="Y326" i="11"/>
  <c r="AA326" i="11" s="1"/>
  <c r="J283" i="11"/>
  <c r="AH283" i="11" s="1"/>
  <c r="K607" i="11"/>
  <c r="AB608" i="11" s="1"/>
  <c r="O501" i="11" l="1"/>
  <c r="Q501" i="11" s="1"/>
  <c r="R501" i="11" s="1"/>
  <c r="W327" i="11"/>
  <c r="H284" i="11"/>
  <c r="I284" i="11" s="1"/>
  <c r="AD284" i="11" s="1"/>
  <c r="K608" i="11"/>
  <c r="AB609" i="11" s="1"/>
  <c r="AG328" i="11"/>
  <c r="O502" i="11" l="1"/>
  <c r="Q502" i="11" s="1"/>
  <c r="R502" i="11" s="1"/>
  <c r="Y327" i="11"/>
  <c r="AA327" i="11" s="1"/>
  <c r="AF284" i="11"/>
  <c r="J284" i="11"/>
  <c r="K609" i="11"/>
  <c r="AB610" i="11" s="1"/>
  <c r="O503" i="11" l="1"/>
  <c r="Q503" i="11" s="1"/>
  <c r="R503" i="11" s="1"/>
  <c r="W328" i="11"/>
  <c r="AH284" i="11"/>
  <c r="H285" i="11"/>
  <c r="K610" i="11"/>
  <c r="AB611" i="11" s="1"/>
  <c r="AG329" i="11"/>
  <c r="O504" i="11" l="1"/>
  <c r="Q504" i="11" s="1"/>
  <c r="R504" i="11" s="1"/>
  <c r="Y328" i="11"/>
  <c r="AA328" i="11" s="1"/>
  <c r="AF285" i="11"/>
  <c r="I285" i="11"/>
  <c r="AD285" i="11" s="1"/>
  <c r="K611" i="11"/>
  <c r="AB612" i="11" s="1"/>
  <c r="O505" i="11" l="1"/>
  <c r="Q505" i="11" s="1"/>
  <c r="R505" i="11" s="1"/>
  <c r="W329" i="11"/>
  <c r="J285" i="11"/>
  <c r="AH285" i="11" s="1"/>
  <c r="K612" i="11"/>
  <c r="AB613" i="11" s="1"/>
  <c r="AG330" i="11"/>
  <c r="O506" i="11" l="1"/>
  <c r="Q506" i="11" s="1"/>
  <c r="R506" i="11" s="1"/>
  <c r="Y329" i="11"/>
  <c r="AA329" i="11" s="1"/>
  <c r="H286" i="11"/>
  <c r="AF286" i="11" s="1"/>
  <c r="K613" i="11"/>
  <c r="AB614" i="11" s="1"/>
  <c r="O507" i="11" l="1"/>
  <c r="Q507" i="11" s="1"/>
  <c r="R507" i="11" s="1"/>
  <c r="W330" i="11"/>
  <c r="I286" i="11"/>
  <c r="AD286" i="11" s="1"/>
  <c r="AG331" i="11"/>
  <c r="K614" i="11"/>
  <c r="AB615" i="11" s="1"/>
  <c r="O508" i="11" l="1"/>
  <c r="Q508" i="11" s="1"/>
  <c r="R508" i="11" s="1"/>
  <c r="Y330" i="11"/>
  <c r="AA330" i="11" s="1"/>
  <c r="J286" i="11"/>
  <c r="AH286" i="11" s="1"/>
  <c r="K615" i="11"/>
  <c r="AB616" i="11" s="1"/>
  <c r="O509" i="11" l="1"/>
  <c r="Q509" i="11" s="1"/>
  <c r="R509" i="11" s="1"/>
  <c r="W331" i="11"/>
  <c r="H287" i="11"/>
  <c r="I287" i="11" s="1"/>
  <c r="AD287" i="11" s="1"/>
  <c r="K616" i="11"/>
  <c r="AB617" i="11" s="1"/>
  <c r="AG332" i="11"/>
  <c r="O510" i="11" l="1"/>
  <c r="Q510" i="11" s="1"/>
  <c r="R510" i="11" s="1"/>
  <c r="Y331" i="11"/>
  <c r="AA331" i="11" s="1"/>
  <c r="M13" i="21"/>
  <c r="AF287" i="11"/>
  <c r="J287" i="11"/>
  <c r="K617" i="11"/>
  <c r="AB618" i="11" s="1"/>
  <c r="O511" i="11" l="1"/>
  <c r="Q511" i="11" s="1"/>
  <c r="R511" i="11" s="1"/>
  <c r="W332" i="11"/>
  <c r="Y332" i="11" s="1"/>
  <c r="AA332" i="11" s="1"/>
  <c r="M13" i="17"/>
  <c r="AH287" i="11"/>
  <c r="H288" i="11"/>
  <c r="K618" i="11"/>
  <c r="AB619" i="11" s="1"/>
  <c r="AG333" i="11"/>
  <c r="O512" i="11" l="1"/>
  <c r="Q512" i="11" s="1"/>
  <c r="R512" i="11" s="1"/>
  <c r="W333" i="11"/>
  <c r="Y333" i="11" s="1"/>
  <c r="AF288" i="11"/>
  <c r="I288" i="11"/>
  <c r="AD288" i="11" s="1"/>
  <c r="K619" i="11"/>
  <c r="AB620" i="11" s="1"/>
  <c r="O513" i="11" l="1"/>
  <c r="Q513" i="11" s="1"/>
  <c r="R513" i="11" s="1"/>
  <c r="J288" i="11"/>
  <c r="K620" i="11"/>
  <c r="AB621" i="11" s="1"/>
  <c r="AG334" i="11"/>
  <c r="AA333" i="11"/>
  <c r="W334" i="11" s="1"/>
  <c r="O514" i="11" l="1"/>
  <c r="Q514" i="11" s="1"/>
  <c r="R514" i="11" s="1"/>
  <c r="AH288" i="11"/>
  <c r="H289" i="11"/>
  <c r="K621" i="11"/>
  <c r="AB622" i="11" s="1"/>
  <c r="Y334" i="11"/>
  <c r="O515" i="11" l="1"/>
  <c r="Q515" i="11" s="1"/>
  <c r="R515" i="11" s="1"/>
  <c r="AF289" i="11"/>
  <c r="I289" i="11"/>
  <c r="AD289" i="11" s="1"/>
  <c r="K622" i="11"/>
  <c r="AB623" i="11" s="1"/>
  <c r="AG335" i="11"/>
  <c r="AA334" i="11"/>
  <c r="W335" i="11" s="1"/>
  <c r="O516" i="11" l="1"/>
  <c r="Q516" i="11" s="1"/>
  <c r="R516" i="11" s="1"/>
  <c r="J289" i="11"/>
  <c r="K623" i="11"/>
  <c r="AB624" i="11" s="1"/>
  <c r="Y335" i="11"/>
  <c r="O517" i="11" l="1"/>
  <c r="Q517" i="11" s="1"/>
  <c r="R517" i="11" s="1"/>
  <c r="AH289" i="11"/>
  <c r="H290" i="11"/>
  <c r="AG336" i="11"/>
  <c r="K624" i="11"/>
  <c r="AB625" i="11" s="1"/>
  <c r="AA335" i="11"/>
  <c r="W336" i="11" s="1"/>
  <c r="O518" i="11" l="1"/>
  <c r="Q518" i="11" s="1"/>
  <c r="AF290" i="11"/>
  <c r="I290" i="11"/>
  <c r="AD290" i="11" s="1"/>
  <c r="K625" i="11"/>
  <c r="AB626" i="11" s="1"/>
  <c r="Y336" i="11"/>
  <c r="R518" i="11" l="1"/>
  <c r="O519" i="11" s="1"/>
  <c r="J290" i="11"/>
  <c r="AG337" i="11"/>
  <c r="K626" i="11"/>
  <c r="AB627" i="11" s="1"/>
  <c r="AA336" i="11"/>
  <c r="W337" i="11" s="1"/>
  <c r="Q519" i="11" l="1"/>
  <c r="R519" i="11" s="1"/>
  <c r="AH290" i="11"/>
  <c r="H291" i="11"/>
  <c r="K627" i="11"/>
  <c r="AB628" i="11" s="1"/>
  <c r="Y337" i="11"/>
  <c r="O520" i="11" l="1"/>
  <c r="AF291" i="11"/>
  <c r="I291" i="11"/>
  <c r="AD291" i="11" s="1"/>
  <c r="K628" i="11"/>
  <c r="AB629" i="11" s="1"/>
  <c r="AG338" i="11"/>
  <c r="AA337" i="11"/>
  <c r="W338" i="11" s="1"/>
  <c r="Q520" i="11" l="1"/>
  <c r="R520" i="11" s="1"/>
  <c r="J291" i="11"/>
  <c r="AH291" i="11" s="1"/>
  <c r="K629" i="11"/>
  <c r="AB630" i="11" s="1"/>
  <c r="Y338" i="11"/>
  <c r="O521" i="11" l="1"/>
  <c r="H292" i="11"/>
  <c r="AF292" i="11" s="1"/>
  <c r="K630" i="11"/>
  <c r="AB631" i="11" s="1"/>
  <c r="AG339" i="11"/>
  <c r="AA338" i="11"/>
  <c r="W339" i="11" s="1"/>
  <c r="Q521" i="11" l="1"/>
  <c r="R521" i="11" s="1"/>
  <c r="I292" i="11"/>
  <c r="AD292" i="11" s="1"/>
  <c r="K631" i="11"/>
  <c r="AB632" i="11" s="1"/>
  <c r="Y339" i="11"/>
  <c r="O522" i="11" l="1"/>
  <c r="AA339" i="11"/>
  <c r="W340" i="11" s="1"/>
  <c r="J292" i="11"/>
  <c r="AH292" i="11" s="1"/>
  <c r="K632" i="11"/>
  <c r="AB633" i="11" s="1"/>
  <c r="AG340" i="11"/>
  <c r="Q522" i="11" l="1"/>
  <c r="R522" i="11" s="1"/>
  <c r="H293" i="11"/>
  <c r="AF293" i="11" s="1"/>
  <c r="K633" i="11"/>
  <c r="AB634" i="11" s="1"/>
  <c r="Y340" i="11"/>
  <c r="O523" i="11" l="1"/>
  <c r="I293" i="11"/>
  <c r="AD293" i="11" s="1"/>
  <c r="AA340" i="11"/>
  <c r="W341" i="11" s="1"/>
  <c r="K634" i="11"/>
  <c r="AB635" i="11" s="1"/>
  <c r="Q523" i="11" l="1"/>
  <c r="R523" i="11" s="1"/>
  <c r="Y341" i="11"/>
  <c r="J293" i="11"/>
  <c r="H294" i="11" s="1"/>
  <c r="K635" i="11"/>
  <c r="AB636" i="11" s="1"/>
  <c r="AG341" i="11"/>
  <c r="O524" i="11" l="1"/>
  <c r="AA341" i="11"/>
  <c r="AH293" i="11"/>
  <c r="I294" i="11"/>
  <c r="AD294" i="11" s="1"/>
  <c r="AF294" i="11"/>
  <c r="AG342" i="11"/>
  <c r="K636" i="11"/>
  <c r="AB637" i="11" s="1"/>
  <c r="Q524" i="11" l="1"/>
  <c r="R524" i="11" s="1"/>
  <c r="W342" i="11"/>
  <c r="J294" i="11"/>
  <c r="AH294" i="11" s="1"/>
  <c r="K637" i="11"/>
  <c r="AB638" i="11" s="1"/>
  <c r="AG343" i="11"/>
  <c r="O525" i="11" l="1"/>
  <c r="Q525" i="11" s="1"/>
  <c r="R525" i="11" s="1"/>
  <c r="Y342" i="11"/>
  <c r="AA342" i="11" s="1"/>
  <c r="H295" i="11"/>
  <c r="K638" i="11"/>
  <c r="AB639" i="11" s="1"/>
  <c r="AG344" i="11"/>
  <c r="O526" i="11" l="1"/>
  <c r="W343" i="11"/>
  <c r="I295" i="11"/>
  <c r="AD295" i="11" s="1"/>
  <c r="AF295" i="11"/>
  <c r="AG345" i="11"/>
  <c r="K639" i="11"/>
  <c r="AB640" i="11" s="1"/>
  <c r="Q526" i="11" l="1"/>
  <c r="R526" i="11" s="1"/>
  <c r="Y343" i="11"/>
  <c r="J295" i="11"/>
  <c r="AH295" i="11" s="1"/>
  <c r="AG346" i="11"/>
  <c r="K640" i="11"/>
  <c r="AB641" i="11" s="1"/>
  <c r="O527" i="11" l="1"/>
  <c r="AA343" i="11"/>
  <c r="W344" i="11" s="1"/>
  <c r="H296" i="11"/>
  <c r="K641" i="11"/>
  <c r="AB642" i="11" s="1"/>
  <c r="AG347" i="11"/>
  <c r="Q527" i="11" l="1"/>
  <c r="R527" i="11" s="1"/>
  <c r="Y344" i="11"/>
  <c r="AA344" i="11" s="1"/>
  <c r="AF296" i="11"/>
  <c r="I296" i="11"/>
  <c r="AD296" i="11" s="1"/>
  <c r="K642" i="11"/>
  <c r="AB643" i="11" s="1"/>
  <c r="AG348" i="11"/>
  <c r="O528" i="11" l="1"/>
  <c r="Q528" i="11" s="1"/>
  <c r="R528" i="11" s="1"/>
  <c r="W345" i="11"/>
  <c r="Y345" i="11" s="1"/>
  <c r="J296" i="11"/>
  <c r="AH296" i="11" s="1"/>
  <c r="K643" i="11"/>
  <c r="AB644" i="11" s="1"/>
  <c r="AG349" i="11"/>
  <c r="O529" i="11" l="1"/>
  <c r="AA345" i="11"/>
  <c r="H297" i="11"/>
  <c r="K644" i="11"/>
  <c r="AB645" i="11" s="1"/>
  <c r="AG350" i="11"/>
  <c r="Q529" i="11" l="1"/>
  <c r="R529" i="11" s="1"/>
  <c r="W346" i="11"/>
  <c r="AF297" i="11"/>
  <c r="I297" i="11"/>
  <c r="AD297" i="11" s="1"/>
  <c r="AG351" i="11"/>
  <c r="K645" i="11"/>
  <c r="AB646" i="11" s="1"/>
  <c r="O530" i="11" l="1"/>
  <c r="Y346" i="11"/>
  <c r="J297" i="11"/>
  <c r="K646" i="11"/>
  <c r="AB647" i="11" s="1"/>
  <c r="AG352" i="11"/>
  <c r="Q530" i="11" l="1"/>
  <c r="R530" i="11" s="1"/>
  <c r="AA346" i="11"/>
  <c r="AH297" i="11"/>
  <c r="H298" i="11"/>
  <c r="K647" i="11"/>
  <c r="AB648" i="11" s="1"/>
  <c r="AG353" i="11"/>
  <c r="O531" i="11" l="1"/>
  <c r="W347" i="11"/>
  <c r="AF298" i="11"/>
  <c r="I298" i="11"/>
  <c r="AD298" i="11" s="1"/>
  <c r="AG354" i="11"/>
  <c r="K648" i="11"/>
  <c r="AB649" i="11" s="1"/>
  <c r="Q531" i="11" l="1"/>
  <c r="R531" i="11" s="1"/>
  <c r="Y347" i="11"/>
  <c r="J298" i="11"/>
  <c r="AH298" i="11" s="1"/>
  <c r="AG355" i="11"/>
  <c r="K649" i="11"/>
  <c r="AB650" i="11" s="1"/>
  <c r="O532" i="11" l="1"/>
  <c r="AA347" i="11"/>
  <c r="H299" i="11"/>
  <c r="AF299" i="11" s="1"/>
  <c r="K650" i="11"/>
  <c r="AB651" i="11" s="1"/>
  <c r="AG356" i="11"/>
  <c r="Q532" i="11" l="1"/>
  <c r="R532" i="11" s="1"/>
  <c r="W348" i="11"/>
  <c r="I299" i="11"/>
  <c r="AD299" i="11" s="1"/>
  <c r="AG357" i="11"/>
  <c r="K651" i="11"/>
  <c r="AB652" i="11" s="1"/>
  <c r="O533" i="11" l="1"/>
  <c r="Y348" i="11"/>
  <c r="J299" i="11"/>
  <c r="AH299" i="11" s="1"/>
  <c r="K652" i="11"/>
  <c r="AB653" i="11" s="1"/>
  <c r="AG358" i="11"/>
  <c r="Q533" i="11" l="1"/>
  <c r="R533" i="11" s="1"/>
  <c r="AA348" i="11"/>
  <c r="H300" i="11"/>
  <c r="AF300" i="11" s="1"/>
  <c r="AG359" i="11"/>
  <c r="K653" i="11"/>
  <c r="AB654" i="11" s="1"/>
  <c r="O534" i="11" l="1"/>
  <c r="W349" i="11"/>
  <c r="I300" i="11"/>
  <c r="AD300" i="11" s="1"/>
  <c r="K654" i="11"/>
  <c r="AB655" i="11" s="1"/>
  <c r="AG360" i="11"/>
  <c r="Q534" i="11" l="1"/>
  <c r="R534" i="11" s="1"/>
  <c r="Y349" i="11"/>
  <c r="J300" i="11"/>
  <c r="AH300" i="11" s="1"/>
  <c r="K655" i="11"/>
  <c r="AB656" i="11" s="1"/>
  <c r="AG361" i="11"/>
  <c r="O535" i="11" l="1"/>
  <c r="AA349" i="11"/>
  <c r="W350" i="11" s="1"/>
  <c r="Y350" i="11" s="1"/>
  <c r="H301" i="11"/>
  <c r="AF301" i="11" s="1"/>
  <c r="AG362" i="11"/>
  <c r="K656" i="11"/>
  <c r="AB657" i="11" s="1"/>
  <c r="Q535" i="11" l="1"/>
  <c r="R535" i="11" s="1"/>
  <c r="AA350" i="11"/>
  <c r="I301" i="11"/>
  <c r="AD301" i="11" s="1"/>
  <c r="AG363" i="11"/>
  <c r="K657" i="11"/>
  <c r="AB658" i="11" s="1"/>
  <c r="O536" i="11" l="1"/>
  <c r="W351" i="11"/>
  <c r="J301" i="11"/>
  <c r="AH301" i="11" s="1"/>
  <c r="K658" i="11"/>
  <c r="AB659" i="11" s="1"/>
  <c r="AG364" i="11"/>
  <c r="Q536" i="11" l="1"/>
  <c r="R536" i="11" s="1"/>
  <c r="Y351" i="11"/>
  <c r="H302" i="11"/>
  <c r="I302" i="11" s="1"/>
  <c r="AD302" i="11" s="1"/>
  <c r="K659" i="11"/>
  <c r="AB660" i="11" s="1"/>
  <c r="AG365" i="11"/>
  <c r="O537" i="11" l="1"/>
  <c r="AA351" i="11"/>
  <c r="W352" i="11" s="1"/>
  <c r="J302" i="11"/>
  <c r="AH302" i="11" s="1"/>
  <c r="AF302" i="11"/>
  <c r="AG366" i="11"/>
  <c r="K660" i="11"/>
  <c r="AB661" i="11" s="1"/>
  <c r="Q537" i="11" l="1"/>
  <c r="R537" i="11" s="1"/>
  <c r="Y352" i="11"/>
  <c r="AA352" i="11" s="1"/>
  <c r="H303" i="11"/>
  <c r="AF303" i="11" s="1"/>
  <c r="K661" i="11"/>
  <c r="AB662" i="11" s="1"/>
  <c r="AG367" i="11"/>
  <c r="O538" i="11" l="1"/>
  <c r="W353" i="11"/>
  <c r="I303" i="11"/>
  <c r="AD303" i="11" s="1"/>
  <c r="K662" i="11"/>
  <c r="AB663" i="11" s="1"/>
  <c r="AG368" i="11"/>
  <c r="Q538" i="11" l="1"/>
  <c r="R538" i="11" s="1"/>
  <c r="Y353" i="11"/>
  <c r="AA353" i="11" s="1"/>
  <c r="J303" i="11"/>
  <c r="AH303" i="11" s="1"/>
  <c r="AG369" i="11"/>
  <c r="K663" i="11"/>
  <c r="AB664" i="11" s="1"/>
  <c r="O539" i="11" l="1"/>
  <c r="W354" i="11"/>
  <c r="H304" i="11"/>
  <c r="AF304" i="11" s="1"/>
  <c r="K664" i="11"/>
  <c r="AB665" i="11" s="1"/>
  <c r="AG370" i="11"/>
  <c r="Q539" i="11" l="1"/>
  <c r="R539" i="11" s="1"/>
  <c r="Y354" i="11"/>
  <c r="I304" i="11"/>
  <c r="AD304" i="11" s="1"/>
  <c r="K665" i="11"/>
  <c r="AB666" i="11" s="1"/>
  <c r="AG371" i="11"/>
  <c r="O540" i="11" l="1"/>
  <c r="AA354" i="11"/>
  <c r="J304" i="11"/>
  <c r="AH304" i="11" s="1"/>
  <c r="AG372" i="11"/>
  <c r="K666" i="11"/>
  <c r="AB667" i="11" s="1"/>
  <c r="Q540" i="11" l="1"/>
  <c r="R540" i="11" s="1"/>
  <c r="W355" i="11"/>
  <c r="H305" i="11"/>
  <c r="AF305" i="11" s="1"/>
  <c r="K667" i="11"/>
  <c r="AB668" i="11" s="1"/>
  <c r="AG373" i="11"/>
  <c r="O541" i="11" l="1"/>
  <c r="Y355" i="11"/>
  <c r="I305" i="11"/>
  <c r="AD305" i="11" s="1"/>
  <c r="AG374" i="11"/>
  <c r="K668" i="11"/>
  <c r="AB669" i="11" s="1"/>
  <c r="Q541" i="11" l="1"/>
  <c r="R541" i="11" s="1"/>
  <c r="AA355" i="11"/>
  <c r="W356" i="11" s="1"/>
  <c r="J305" i="11"/>
  <c r="AH305" i="11" s="1"/>
  <c r="K669" i="11"/>
  <c r="AB670" i="11" s="1"/>
  <c r="AG375" i="11"/>
  <c r="O542" i="11" l="1"/>
  <c r="Y356" i="11"/>
  <c r="AA356" i="11" s="1"/>
  <c r="H306" i="11"/>
  <c r="I306" i="11" s="1"/>
  <c r="AD306" i="11" s="1"/>
  <c r="K670" i="11"/>
  <c r="AB671" i="11" s="1"/>
  <c r="AG376" i="11"/>
  <c r="Q542" i="11" l="1"/>
  <c r="R542" i="11" s="1"/>
  <c r="W357" i="11"/>
  <c r="Y357" i="11" s="1"/>
  <c r="AF306" i="11"/>
  <c r="J306" i="11"/>
  <c r="AH306" i="11" s="1"/>
  <c r="AG377" i="11"/>
  <c r="K671" i="11"/>
  <c r="AB672" i="11" s="1"/>
  <c r="O543" i="11" l="1"/>
  <c r="AA357" i="11"/>
  <c r="H307" i="11"/>
  <c r="AF307" i="11" s="1"/>
  <c r="K672" i="11"/>
  <c r="AB673" i="11" s="1"/>
  <c r="AG378" i="11"/>
  <c r="Q543" i="11" l="1"/>
  <c r="R543" i="11" s="1"/>
  <c r="W358" i="11"/>
  <c r="I307" i="11"/>
  <c r="AD307" i="11" s="1"/>
  <c r="AG379" i="11"/>
  <c r="K673" i="11"/>
  <c r="AB674" i="11" s="1"/>
  <c r="O544" i="11" l="1"/>
  <c r="Y358" i="11"/>
  <c r="J307" i="11"/>
  <c r="AH307" i="11" s="1"/>
  <c r="K674" i="11"/>
  <c r="AB675" i="11" s="1"/>
  <c r="AG380" i="11"/>
  <c r="Q544" i="11" l="1"/>
  <c r="R544" i="11" s="1"/>
  <c r="AA358" i="11"/>
  <c r="H308" i="11"/>
  <c r="I308" i="11" s="1"/>
  <c r="AD308" i="11" s="1"/>
  <c r="K675" i="11"/>
  <c r="AB676" i="11" s="1"/>
  <c r="AG381" i="11"/>
  <c r="O545" i="11" l="1"/>
  <c r="W359" i="11"/>
  <c r="AF308" i="11"/>
  <c r="J308" i="11"/>
  <c r="AH308" i="11" s="1"/>
  <c r="AG382" i="11"/>
  <c r="K676" i="11"/>
  <c r="AB677" i="11" s="1"/>
  <c r="Q545" i="11" l="1"/>
  <c r="R545" i="11" s="1"/>
  <c r="Y359" i="11"/>
  <c r="H309" i="11"/>
  <c r="K677" i="11"/>
  <c r="AB678" i="11" s="1"/>
  <c r="AG383" i="11"/>
  <c r="O546" i="11" l="1"/>
  <c r="AA359" i="11"/>
  <c r="I309" i="11"/>
  <c r="AD309" i="11" s="1"/>
  <c r="AF309" i="11"/>
  <c r="AG384" i="11"/>
  <c r="K678" i="11"/>
  <c r="AB679" i="11" s="1"/>
  <c r="Q546" i="11" l="1"/>
  <c r="R546" i="11" s="1"/>
  <c r="W360" i="11"/>
  <c r="J309" i="11"/>
  <c r="K679" i="11"/>
  <c r="AB680" i="11" s="1"/>
  <c r="AG385" i="11"/>
  <c r="O547" i="11" l="1"/>
  <c r="Y360" i="11"/>
  <c r="AH309" i="11"/>
  <c r="H310" i="11"/>
  <c r="K680" i="11"/>
  <c r="AB681" i="11" s="1"/>
  <c r="AG386" i="11"/>
  <c r="Q547" i="11" l="1"/>
  <c r="R547" i="11" s="1"/>
  <c r="AA360" i="11"/>
  <c r="I310" i="11"/>
  <c r="AD310" i="11" s="1"/>
  <c r="AF310" i="11"/>
  <c r="AG387" i="11"/>
  <c r="K681" i="11"/>
  <c r="AB682" i="11" s="1"/>
  <c r="O548" i="11" l="1"/>
  <c r="W361" i="11"/>
  <c r="J310" i="11"/>
  <c r="AH310" i="11" s="1"/>
  <c r="K682" i="11"/>
  <c r="AB683" i="11" s="1"/>
  <c r="AG388" i="11"/>
  <c r="Q548" i="11" l="1"/>
  <c r="R548" i="11" s="1"/>
  <c r="Y361" i="11"/>
  <c r="H311" i="11"/>
  <c r="AG389" i="11"/>
  <c r="K683" i="11"/>
  <c r="AB684" i="11" s="1"/>
  <c r="O549" i="11" l="1"/>
  <c r="AA361" i="11"/>
  <c r="I311" i="11"/>
  <c r="AD311" i="11" s="1"/>
  <c r="AF311" i="11"/>
  <c r="K684" i="11"/>
  <c r="AB685" i="11" s="1"/>
  <c r="AG390" i="11"/>
  <c r="Q549" i="11" l="1"/>
  <c r="R549" i="11" s="1"/>
  <c r="W362" i="11"/>
  <c r="J311" i="11"/>
  <c r="H312" i="11" s="1"/>
  <c r="AG391" i="11"/>
  <c r="K685" i="11"/>
  <c r="AB686" i="11" s="1"/>
  <c r="O550" i="11" l="1"/>
  <c r="Y362" i="11"/>
  <c r="AH311" i="11"/>
  <c r="I312" i="11"/>
  <c r="AD312" i="11" s="1"/>
  <c r="AF312" i="11"/>
  <c r="AG392" i="11"/>
  <c r="K686" i="11"/>
  <c r="AB687" i="11" s="1"/>
  <c r="Q550" i="11" l="1"/>
  <c r="R550" i="11" s="1"/>
  <c r="AA362" i="11"/>
  <c r="J312" i="11"/>
  <c r="AH312" i="11" s="1"/>
  <c r="K687" i="11"/>
  <c r="AB688" i="11" s="1"/>
  <c r="AG393" i="11"/>
  <c r="O551" i="11" l="1"/>
  <c r="W363" i="11"/>
  <c r="H313" i="11"/>
  <c r="K688" i="11"/>
  <c r="AB689" i="11" s="1"/>
  <c r="AG394" i="11"/>
  <c r="Q551" i="11" l="1"/>
  <c r="R551" i="11" s="1"/>
  <c r="I313" i="11"/>
  <c r="AD313" i="11" s="1"/>
  <c r="Y363" i="11"/>
  <c r="AF313" i="11"/>
  <c r="AG395" i="11"/>
  <c r="K689" i="11"/>
  <c r="AB690" i="11" s="1"/>
  <c r="J313" i="11" l="1"/>
  <c r="AH313" i="11" s="1"/>
  <c r="O552" i="11"/>
  <c r="AA363" i="11"/>
  <c r="AG396" i="11"/>
  <c r="K690" i="11"/>
  <c r="H314" i="11" l="1"/>
  <c r="I314" i="11" s="1"/>
  <c r="AD314" i="11" s="1"/>
  <c r="Q552" i="11"/>
  <c r="R552" i="11" s="1"/>
  <c r="W364" i="11"/>
  <c r="AG397" i="11"/>
  <c r="AF314" i="11" l="1"/>
  <c r="J314" i="11"/>
  <c r="AH314" i="11" s="1"/>
  <c r="O553" i="11"/>
  <c r="Y364" i="11"/>
  <c r="AG398" i="11"/>
  <c r="H315" i="11" l="1"/>
  <c r="I315" i="11" s="1"/>
  <c r="AD315" i="11" s="1"/>
  <c r="Q553" i="11"/>
  <c r="R553" i="11" s="1"/>
  <c r="AA364" i="11"/>
  <c r="AG399" i="11"/>
  <c r="AF315" i="11" l="1"/>
  <c r="J315" i="11"/>
  <c r="AH315" i="11" s="1"/>
  <c r="O554" i="11"/>
  <c r="W365" i="11"/>
  <c r="AG400" i="11"/>
  <c r="H316" i="11" l="1"/>
  <c r="AF316" i="11" s="1"/>
  <c r="Q554" i="11"/>
  <c r="R554" i="11" s="1"/>
  <c r="Y365" i="11"/>
  <c r="AG401" i="11"/>
  <c r="I316" i="11" l="1"/>
  <c r="AD316" i="11" s="1"/>
  <c r="O555" i="11"/>
  <c r="AA365" i="11"/>
  <c r="AG402" i="11"/>
  <c r="J316" i="11" l="1"/>
  <c r="AH316" i="11" s="1"/>
  <c r="Q555" i="11"/>
  <c r="R555" i="11" s="1"/>
  <c r="W366" i="11"/>
  <c r="AG403" i="11"/>
  <c r="H317" i="11" l="1"/>
  <c r="AF317" i="11" s="1"/>
  <c r="O556" i="11"/>
  <c r="Y366" i="11"/>
  <c r="AG404" i="11"/>
  <c r="I317" i="11" l="1"/>
  <c r="AD317" i="11" s="1"/>
  <c r="Q556" i="11"/>
  <c r="R556" i="11" s="1"/>
  <c r="AA366" i="11"/>
  <c r="AG405" i="11"/>
  <c r="J317" i="11" l="1"/>
  <c r="AH317" i="11" s="1"/>
  <c r="O557" i="11"/>
  <c r="W367" i="11"/>
  <c r="AG406" i="11"/>
  <c r="H318" i="11" l="1"/>
  <c r="I318" i="11" s="1"/>
  <c r="AD318" i="11" s="1"/>
  <c r="Q557" i="11"/>
  <c r="R557" i="11" s="1"/>
  <c r="Y367" i="11"/>
  <c r="AG407" i="11"/>
  <c r="AF318" i="11" l="1"/>
  <c r="J318" i="11"/>
  <c r="AH318" i="11" s="1"/>
  <c r="O558" i="11"/>
  <c r="AA367" i="11"/>
  <c r="H319" i="11"/>
  <c r="AG408" i="11"/>
  <c r="Q558" i="11" l="1"/>
  <c r="R558" i="11" s="1"/>
  <c r="O559" i="11"/>
  <c r="W368" i="11"/>
  <c r="I319" i="11"/>
  <c r="AD319" i="11" s="1"/>
  <c r="AF319" i="11"/>
  <c r="AG409" i="11"/>
  <c r="Q559" i="11" l="1"/>
  <c r="R559" i="11" s="1"/>
  <c r="Y368" i="11"/>
  <c r="J319" i="11"/>
  <c r="AH319" i="11" s="1"/>
  <c r="AG410" i="11"/>
  <c r="O560" i="11" l="1"/>
  <c r="Q560" i="11" s="1"/>
  <c r="R560" i="11" s="1"/>
  <c r="AA368" i="11"/>
  <c r="H320" i="11"/>
  <c r="AF320" i="11" s="1"/>
  <c r="AG411" i="11"/>
  <c r="O561" i="11" l="1"/>
  <c r="W369" i="11"/>
  <c r="I320" i="11"/>
  <c r="AD320" i="11" s="1"/>
  <c r="AG412" i="11"/>
  <c r="Q561" i="11" l="1"/>
  <c r="R561" i="11" s="1"/>
  <c r="Y369" i="11"/>
  <c r="J320" i="11"/>
  <c r="AH320" i="11" s="1"/>
  <c r="AG413" i="11"/>
  <c r="O562" i="11" l="1"/>
  <c r="AA369" i="11"/>
  <c r="H321" i="11"/>
  <c r="I321" i="11" s="1"/>
  <c r="AD321" i="11" s="1"/>
  <c r="AG414" i="11"/>
  <c r="Q562" i="11" l="1"/>
  <c r="R562" i="11" s="1"/>
  <c r="O563" i="11" s="1"/>
  <c r="W370" i="11"/>
  <c r="AF321" i="11"/>
  <c r="J321" i="11"/>
  <c r="AG415" i="11"/>
  <c r="Q563" i="11" l="1"/>
  <c r="R563" i="11" s="1"/>
  <c r="Y370" i="11"/>
  <c r="AH321" i="11"/>
  <c r="H322" i="11"/>
  <c r="AG416" i="11"/>
  <c r="O564" i="11" l="1"/>
  <c r="AA370" i="11"/>
  <c r="I322" i="11"/>
  <c r="AD322" i="11" s="1"/>
  <c r="AF322" i="11"/>
  <c r="AG417" i="11"/>
  <c r="Q564" i="11" l="1"/>
  <c r="R564" i="11" s="1"/>
  <c r="W371" i="11"/>
  <c r="J322" i="11"/>
  <c r="AH322" i="11" s="1"/>
  <c r="AG418" i="11"/>
  <c r="O565" i="11" l="1"/>
  <c r="Y371" i="11"/>
  <c r="H323" i="11"/>
  <c r="AF323" i="11" s="1"/>
  <c r="AG419" i="11"/>
  <c r="Q565" i="11" l="1"/>
  <c r="R565" i="11" s="1"/>
  <c r="AA371" i="11"/>
  <c r="I323" i="11"/>
  <c r="AD323" i="11" s="1"/>
  <c r="AG420" i="11"/>
  <c r="O566" i="11" l="1"/>
  <c r="W372" i="11"/>
  <c r="J323" i="11"/>
  <c r="AH323" i="11" s="1"/>
  <c r="AG421" i="11"/>
  <c r="Q566" i="11" l="1"/>
  <c r="R566" i="11" s="1"/>
  <c r="Y372" i="11"/>
  <c r="H324" i="11"/>
  <c r="I324" i="11" s="1"/>
  <c r="AD324" i="11" s="1"/>
  <c r="AG422" i="11"/>
  <c r="O567" i="11" l="1"/>
  <c r="AA372" i="11"/>
  <c r="AF324" i="11"/>
  <c r="J324" i="11"/>
  <c r="AH324" i="11" s="1"/>
  <c r="AG423" i="11"/>
  <c r="Q567" i="11" l="1"/>
  <c r="R567" i="11" s="1"/>
  <c r="W373" i="11"/>
  <c r="H325" i="11"/>
  <c r="AF325" i="11" s="1"/>
  <c r="AG424" i="11"/>
  <c r="O568" i="11" l="1"/>
  <c r="Y373" i="11"/>
  <c r="I325" i="11"/>
  <c r="AD325" i="11" s="1"/>
  <c r="AG425" i="11"/>
  <c r="Q568" i="11" l="1"/>
  <c r="R568" i="11" s="1"/>
  <c r="O569" i="11" s="1"/>
  <c r="AA373" i="11"/>
  <c r="J325" i="11"/>
  <c r="AH325" i="11" s="1"/>
  <c r="AG426" i="11"/>
  <c r="Q569" i="11" l="1"/>
  <c r="R569" i="11" s="1"/>
  <c r="W374" i="11"/>
  <c r="H326" i="11"/>
  <c r="I326" i="11" s="1"/>
  <c r="AD326" i="11" s="1"/>
  <c r="AG427" i="11"/>
  <c r="O570" i="11" l="1"/>
  <c r="Y374" i="11"/>
  <c r="J326" i="11"/>
  <c r="AH326" i="11" s="1"/>
  <c r="AF326" i="11"/>
  <c r="AG428" i="11"/>
  <c r="Q570" i="11" l="1"/>
  <c r="R570" i="11" s="1"/>
  <c r="AA374" i="11"/>
  <c r="H327" i="11"/>
  <c r="I327" i="11" s="1"/>
  <c r="AD327" i="11" s="1"/>
  <c r="AG429" i="11"/>
  <c r="O571" i="11" l="1"/>
  <c r="W375" i="11"/>
  <c r="AF327" i="11"/>
  <c r="J327" i="11"/>
  <c r="AH327" i="11" s="1"/>
  <c r="AG430" i="11"/>
  <c r="Q571" i="11" l="1"/>
  <c r="R571" i="11" s="1"/>
  <c r="Y375" i="11"/>
  <c r="H328" i="11"/>
  <c r="AG431" i="11"/>
  <c r="O572" i="11" l="1"/>
  <c r="AA375" i="11"/>
  <c r="AF328" i="11"/>
  <c r="I328" i="11"/>
  <c r="AD328" i="11" s="1"/>
  <c r="AG432" i="11"/>
  <c r="Q572" i="11" l="1"/>
  <c r="R572" i="11" s="1"/>
  <c r="W376" i="11"/>
  <c r="J328" i="11"/>
  <c r="AG433" i="11"/>
  <c r="O573" i="11" l="1"/>
  <c r="Y376" i="11"/>
  <c r="AH328" i="11"/>
  <c r="H329" i="11"/>
  <c r="AG434" i="11"/>
  <c r="Q573" i="11" l="1"/>
  <c r="R573" i="11" s="1"/>
  <c r="AA376" i="11"/>
  <c r="AF329" i="11"/>
  <c r="I329" i="11"/>
  <c r="AD329" i="11" s="1"/>
  <c r="AG435" i="11"/>
  <c r="O574" i="11" l="1"/>
  <c r="W377" i="11"/>
  <c r="J329" i="11"/>
  <c r="AG436" i="11"/>
  <c r="Q574" i="11" l="1"/>
  <c r="R574" i="11" s="1"/>
  <c r="Y377" i="11"/>
  <c r="AH329" i="11"/>
  <c r="H330" i="11"/>
  <c r="AG437" i="11"/>
  <c r="O575" i="11" l="1"/>
  <c r="AA377" i="11"/>
  <c r="AF330" i="11"/>
  <c r="I330" i="11"/>
  <c r="AD330" i="11" s="1"/>
  <c r="AG438" i="11"/>
  <c r="Q575" i="11" l="1"/>
  <c r="R575" i="11" s="1"/>
  <c r="W378" i="11"/>
  <c r="J330" i="11"/>
  <c r="AH330" i="11" s="1"/>
  <c r="K27" i="11"/>
  <c r="AG439" i="11"/>
  <c r="O576" i="11" l="1"/>
  <c r="Y378" i="11"/>
  <c r="L57" i="17"/>
  <c r="H331" i="11"/>
  <c r="AF331" i="11" s="1"/>
  <c r="AG440" i="11"/>
  <c r="Q576" i="11" l="1"/>
  <c r="R576" i="11" s="1"/>
  <c r="AA378" i="11"/>
  <c r="G27" i="11"/>
  <c r="N13" i="17" s="1"/>
  <c r="I331" i="11"/>
  <c r="AD331" i="11" s="1"/>
  <c r="AG441" i="11"/>
  <c r="O577" i="11" l="1"/>
  <c r="W379" i="11"/>
  <c r="BB324" i="11"/>
  <c r="BD324" i="11" s="1"/>
  <c r="L27" i="11"/>
  <c r="N13" i="21"/>
  <c r="J331" i="11"/>
  <c r="AH331" i="11" s="1"/>
  <c r="AG442" i="11"/>
  <c r="Q577" i="11" l="1"/>
  <c r="R577" i="11" s="1"/>
  <c r="Y379" i="11"/>
  <c r="H332" i="11"/>
  <c r="AG443" i="11"/>
  <c r="O578" i="11" l="1"/>
  <c r="AA379" i="11"/>
  <c r="AF332" i="11"/>
  <c r="I332" i="11"/>
  <c r="AD332" i="11" s="1"/>
  <c r="AG444" i="11"/>
  <c r="Q578" i="11" l="1"/>
  <c r="R578" i="11" s="1"/>
  <c r="W380" i="11"/>
  <c r="J332" i="11"/>
  <c r="AH332" i="11" s="1"/>
  <c r="AG445" i="11"/>
  <c r="O579" i="11" l="1"/>
  <c r="Y380" i="11"/>
  <c r="H333" i="11"/>
  <c r="AG446" i="11"/>
  <c r="Q579" i="11" l="1"/>
  <c r="R579" i="11" s="1"/>
  <c r="AA380" i="11"/>
  <c r="I333" i="11"/>
  <c r="AD333" i="11" s="1"/>
  <c r="AF333" i="11"/>
  <c r="AG447" i="11"/>
  <c r="O580" i="11" l="1"/>
  <c r="W381" i="11"/>
  <c r="J333" i="11"/>
  <c r="AH333" i="11" s="1"/>
  <c r="AG448" i="11"/>
  <c r="Q580" i="11" l="1"/>
  <c r="R580" i="11" s="1"/>
  <c r="Y381" i="11"/>
  <c r="H334" i="11"/>
  <c r="I334" i="11" s="1"/>
  <c r="AD334" i="11" s="1"/>
  <c r="AG449" i="11"/>
  <c r="O581" i="11" l="1"/>
  <c r="AA381" i="11"/>
  <c r="AF334" i="11"/>
  <c r="J334" i="11"/>
  <c r="AG450" i="11"/>
  <c r="Q581" i="11" l="1"/>
  <c r="R581" i="11" s="1"/>
  <c r="W382" i="11"/>
  <c r="AH334" i="11"/>
  <c r="H335" i="11"/>
  <c r="AG451" i="11"/>
  <c r="O582" i="11" l="1"/>
  <c r="Y382" i="11"/>
  <c r="AF335" i="11"/>
  <c r="I335" i="11"/>
  <c r="AD335" i="11" s="1"/>
  <c r="AG452" i="11"/>
  <c r="Q582" i="11" l="1"/>
  <c r="R582" i="11" s="1"/>
  <c r="O583" i="11"/>
  <c r="AA382" i="11"/>
  <c r="J335" i="11"/>
  <c r="AH335" i="11" s="1"/>
  <c r="AG453" i="11"/>
  <c r="Q583" i="11" l="1"/>
  <c r="R583" i="11" s="1"/>
  <c r="W383" i="11"/>
  <c r="H336" i="11"/>
  <c r="I336" i="11" s="1"/>
  <c r="AD336" i="11" s="1"/>
  <c r="AG454" i="11"/>
  <c r="O584" i="11" l="1"/>
  <c r="Y383" i="11"/>
  <c r="AF336" i="11"/>
  <c r="J336" i="11"/>
  <c r="AG455" i="11"/>
  <c r="Q584" i="11" l="1"/>
  <c r="R584" i="11" s="1"/>
  <c r="AA383" i="11"/>
  <c r="H337" i="11"/>
  <c r="AH336" i="11"/>
  <c r="AG456" i="11"/>
  <c r="O585" i="11" l="1"/>
  <c r="W384" i="11"/>
  <c r="I337" i="11"/>
  <c r="AD337" i="11" s="1"/>
  <c r="AF337" i="11"/>
  <c r="AG457" i="11"/>
  <c r="Q585" i="11" l="1"/>
  <c r="R585" i="11" s="1"/>
  <c r="Y384" i="11"/>
  <c r="J337" i="11"/>
  <c r="AH337" i="11" s="1"/>
  <c r="AG458" i="11"/>
  <c r="O586" i="11" l="1"/>
  <c r="AA384" i="11"/>
  <c r="H338" i="11"/>
  <c r="AG459" i="11"/>
  <c r="Q586" i="11" l="1"/>
  <c r="R586" i="11" s="1"/>
  <c r="W385" i="11"/>
  <c r="I338" i="11"/>
  <c r="AD338" i="11" s="1"/>
  <c r="AF338" i="11"/>
  <c r="AG460" i="11"/>
  <c r="O587" i="11" l="1"/>
  <c r="Y385" i="11"/>
  <c r="J338" i="11"/>
  <c r="H339" i="11" s="1"/>
  <c r="AG461" i="11"/>
  <c r="Q587" i="11" l="1"/>
  <c r="R587" i="11" s="1"/>
  <c r="AA385" i="11"/>
  <c r="AH338" i="11"/>
  <c r="AF339" i="11"/>
  <c r="I339" i="11"/>
  <c r="AD339" i="11" s="1"/>
  <c r="AG462" i="11"/>
  <c r="O588" i="11" l="1"/>
  <c r="W386" i="11"/>
  <c r="J339" i="11"/>
  <c r="AH339" i="11" s="1"/>
  <c r="AG463" i="11"/>
  <c r="Q588" i="11" l="1"/>
  <c r="R588" i="11" s="1"/>
  <c r="Y386" i="11"/>
  <c r="H340" i="11"/>
  <c r="AG464" i="11"/>
  <c r="O589" i="11" l="1"/>
  <c r="AA386" i="11"/>
  <c r="AF340" i="11"/>
  <c r="I340" i="11"/>
  <c r="AD340" i="11" s="1"/>
  <c r="AG465" i="11"/>
  <c r="Q589" i="11" l="1"/>
  <c r="R589" i="11" s="1"/>
  <c r="W387" i="11"/>
  <c r="J340" i="11"/>
  <c r="AH340" i="11" s="1"/>
  <c r="AG466" i="11"/>
  <c r="O590" i="11" l="1"/>
  <c r="H341" i="11"/>
  <c r="AF341" i="11" s="1"/>
  <c r="Y387" i="11"/>
  <c r="BB340" i="11"/>
  <c r="BD340" i="11" s="1"/>
  <c r="AG467" i="11"/>
  <c r="Q590" i="11" l="1"/>
  <c r="R590" i="11" s="1"/>
  <c r="I341" i="11"/>
  <c r="AD341" i="11" s="1"/>
  <c r="AA387" i="11"/>
  <c r="W388" i="11" s="1"/>
  <c r="AG468" i="11"/>
  <c r="O591" i="11" l="1"/>
  <c r="J341" i="11"/>
  <c r="AH341" i="11" s="1"/>
  <c r="Y388" i="11"/>
  <c r="AA388" i="11" s="1"/>
  <c r="AG469" i="11"/>
  <c r="Q591" i="11" l="1"/>
  <c r="R591" i="11" s="1"/>
  <c r="H342" i="11"/>
  <c r="I342" i="11" s="1"/>
  <c r="AD342" i="11" s="1"/>
  <c r="W389" i="11"/>
  <c r="Y389" i="11" s="1"/>
  <c r="AG470" i="11"/>
  <c r="O592" i="11" l="1"/>
  <c r="J342" i="11"/>
  <c r="AH342" i="11" s="1"/>
  <c r="AF342" i="11"/>
  <c r="AA389" i="11"/>
  <c r="AG471" i="11"/>
  <c r="Q592" i="11" l="1"/>
  <c r="R592" i="11" s="1"/>
  <c r="H343" i="11"/>
  <c r="I343" i="11" s="1"/>
  <c r="AD343" i="11" s="1"/>
  <c r="W390" i="11"/>
  <c r="AG472" i="11"/>
  <c r="O593" i="11" l="1"/>
  <c r="AF343" i="11"/>
  <c r="Y390" i="11"/>
  <c r="J343" i="11"/>
  <c r="AH343" i="11" s="1"/>
  <c r="AG473" i="11"/>
  <c r="Q593" i="11" l="1"/>
  <c r="R593" i="11" s="1"/>
  <c r="AA390" i="11"/>
  <c r="H344" i="11"/>
  <c r="AG474" i="11"/>
  <c r="O594" i="11" l="1"/>
  <c r="W391" i="11"/>
  <c r="I344" i="11"/>
  <c r="AD344" i="11" s="1"/>
  <c r="AF344" i="11"/>
  <c r="AG475" i="11"/>
  <c r="Q594" i="11" l="1"/>
  <c r="R594" i="11" s="1"/>
  <c r="Y391" i="11"/>
  <c r="J344" i="11"/>
  <c r="AH344" i="11" s="1"/>
  <c r="AG476" i="11"/>
  <c r="O595" i="11" l="1"/>
  <c r="AA391" i="11"/>
  <c r="H345" i="11"/>
  <c r="AG477" i="11"/>
  <c r="Q595" i="11" l="1"/>
  <c r="R595" i="11" s="1"/>
  <c r="W392" i="11"/>
  <c r="I345" i="11"/>
  <c r="AD345" i="11" s="1"/>
  <c r="AF345" i="11"/>
  <c r="AG478" i="11"/>
  <c r="O596" i="11" l="1"/>
  <c r="Y392" i="11"/>
  <c r="J345" i="11"/>
  <c r="AH345" i="11" s="1"/>
  <c r="AG479" i="11"/>
  <c r="Q596" i="11" l="1"/>
  <c r="R596" i="11" s="1"/>
  <c r="AA392" i="11"/>
  <c r="H346" i="11"/>
  <c r="AG480" i="11"/>
  <c r="O597" i="11" l="1"/>
  <c r="W393" i="11"/>
  <c r="I346" i="11"/>
  <c r="AD346" i="11" s="1"/>
  <c r="AF346" i="11"/>
  <c r="AG481" i="11"/>
  <c r="Q597" i="11" l="1"/>
  <c r="R597" i="11" s="1"/>
  <c r="Y393" i="11"/>
  <c r="J346" i="11"/>
  <c r="AH346" i="11" s="1"/>
  <c r="AG482" i="11"/>
  <c r="O598" i="11" l="1"/>
  <c r="AA393" i="11"/>
  <c r="H347" i="11"/>
  <c r="AG483" i="11"/>
  <c r="Q598" i="11" l="1"/>
  <c r="R598" i="11" s="1"/>
  <c r="W394" i="11"/>
  <c r="I347" i="11"/>
  <c r="AD347" i="11" s="1"/>
  <c r="AF347" i="11"/>
  <c r="AG484" i="11"/>
  <c r="O599" i="11" l="1"/>
  <c r="Y394" i="11"/>
  <c r="J347" i="11"/>
  <c r="AH347" i="11" s="1"/>
  <c r="AG485" i="11"/>
  <c r="Q599" i="11" l="1"/>
  <c r="R599" i="11" s="1"/>
  <c r="AA394" i="11"/>
  <c r="H348" i="11"/>
  <c r="AG486" i="11"/>
  <c r="O600" i="11" l="1"/>
  <c r="W395" i="11"/>
  <c r="I348" i="11"/>
  <c r="AD348" i="11" s="1"/>
  <c r="AF348" i="11"/>
  <c r="AG487" i="11"/>
  <c r="Q600" i="11" l="1"/>
  <c r="R600" i="11" s="1"/>
  <c r="Y395" i="11"/>
  <c r="J348" i="11"/>
  <c r="AH348" i="11" s="1"/>
  <c r="AG488" i="11"/>
  <c r="O601" i="11" l="1"/>
  <c r="AA395" i="11"/>
  <c r="H349" i="11"/>
  <c r="AG489" i="11"/>
  <c r="Q601" i="11" l="1"/>
  <c r="R601" i="11" s="1"/>
  <c r="W396" i="11"/>
  <c r="I349" i="11"/>
  <c r="AD349" i="11" s="1"/>
  <c r="AF349" i="11"/>
  <c r="AG490" i="11"/>
  <c r="O602" i="11" l="1"/>
  <c r="O679" i="11"/>
  <c r="Y396" i="11"/>
  <c r="J349" i="11"/>
  <c r="AH349" i="11" s="1"/>
  <c r="AG491" i="11"/>
  <c r="Q602" i="11" l="1"/>
  <c r="R602" i="11" s="1"/>
  <c r="O680" i="11"/>
  <c r="Q679" i="11"/>
  <c r="R679" i="11" s="1"/>
  <c r="AA396" i="11"/>
  <c r="H350" i="11"/>
  <c r="AG492" i="11"/>
  <c r="O603" i="11" l="1"/>
  <c r="O681" i="11"/>
  <c r="Q680" i="11"/>
  <c r="R680" i="11" s="1"/>
  <c r="W397" i="11"/>
  <c r="I350" i="11"/>
  <c r="AD350" i="11" s="1"/>
  <c r="AF350" i="11"/>
  <c r="AG493" i="11"/>
  <c r="Q603" i="11" l="1"/>
  <c r="R603" i="11" s="1"/>
  <c r="O682" i="11"/>
  <c r="Q681" i="11"/>
  <c r="R681" i="11" s="1"/>
  <c r="Y397" i="11"/>
  <c r="J350" i="11"/>
  <c r="AH350" i="11" s="1"/>
  <c r="AG494" i="11"/>
  <c r="O604" i="11" l="1"/>
  <c r="O683" i="11"/>
  <c r="Q682" i="11"/>
  <c r="R682" i="11" s="1"/>
  <c r="AA397" i="11"/>
  <c r="W398" i="11" s="1"/>
  <c r="H351" i="11"/>
  <c r="AG495" i="11"/>
  <c r="Q604" i="11" l="1"/>
  <c r="R604" i="11" s="1"/>
  <c r="O684" i="11"/>
  <c r="Q683" i="11"/>
  <c r="R683" i="11" s="1"/>
  <c r="Y398" i="11"/>
  <c r="AA398" i="11" s="1"/>
  <c r="I351" i="11"/>
  <c r="AD351" i="11" s="1"/>
  <c r="AF351" i="11"/>
  <c r="AG496" i="11"/>
  <c r="O605" i="11" l="1"/>
  <c r="O685" i="11"/>
  <c r="Q684" i="11"/>
  <c r="R684" i="11" s="1"/>
  <c r="W399" i="11"/>
  <c r="Y399" i="11" s="1"/>
  <c r="J351" i="11"/>
  <c r="AH351" i="11" s="1"/>
  <c r="AG497" i="11"/>
  <c r="Q605" i="11" l="1"/>
  <c r="R605" i="11" s="1"/>
  <c r="O686" i="11"/>
  <c r="Q685" i="11"/>
  <c r="R685" i="11" s="1"/>
  <c r="AA399" i="11"/>
  <c r="W400" i="11" s="1"/>
  <c r="H352" i="11"/>
  <c r="AG498" i="11"/>
  <c r="O606" i="11" l="1"/>
  <c r="O687" i="11"/>
  <c r="Q686" i="11"/>
  <c r="R686" i="11" s="1"/>
  <c r="Y400" i="11"/>
  <c r="AA400" i="11" s="1"/>
  <c r="I352" i="11"/>
  <c r="AD352" i="11" s="1"/>
  <c r="AF352" i="11"/>
  <c r="AG499" i="11"/>
  <c r="Q606" i="11" l="1"/>
  <c r="R606" i="11" s="1"/>
  <c r="O688" i="11"/>
  <c r="Q687" i="11"/>
  <c r="R687" i="11" s="1"/>
  <c r="W401" i="11"/>
  <c r="Y401" i="11" s="1"/>
  <c r="J352" i="11"/>
  <c r="AH352" i="11" s="1"/>
  <c r="AG500" i="11"/>
  <c r="O607" i="11" l="1"/>
  <c r="O689" i="11"/>
  <c r="Q688" i="11"/>
  <c r="R688" i="11" s="1"/>
  <c r="AA401" i="11"/>
  <c r="H353" i="11"/>
  <c r="I353" i="11" s="1"/>
  <c r="AD353" i="11" s="1"/>
  <c r="AG501" i="11"/>
  <c r="Q607" i="11" l="1"/>
  <c r="R607" i="11" s="1"/>
  <c r="Q689" i="11"/>
  <c r="R689" i="11" s="1"/>
  <c r="W402" i="11"/>
  <c r="AF353" i="11"/>
  <c r="J353" i="11"/>
  <c r="AH353" i="11" s="1"/>
  <c r="AG502" i="11"/>
  <c r="O608" i="11" l="1"/>
  <c r="Y402" i="11"/>
  <c r="H354" i="11"/>
  <c r="AG503" i="11"/>
  <c r="Q608" i="11" l="1"/>
  <c r="R608" i="11" s="1"/>
  <c r="AA402" i="11"/>
  <c r="I354" i="11"/>
  <c r="AD354" i="11" s="1"/>
  <c r="AF354" i="11"/>
  <c r="AG504" i="11"/>
  <c r="O609" i="11" l="1"/>
  <c r="W403" i="11"/>
  <c r="J354" i="11"/>
  <c r="AH354" i="11" s="1"/>
  <c r="AG505" i="11"/>
  <c r="Q609" i="11" l="1"/>
  <c r="R609" i="11" s="1"/>
  <c r="Y403" i="11"/>
  <c r="H355" i="11"/>
  <c r="AG506" i="11"/>
  <c r="O610" i="11" l="1"/>
  <c r="AA403" i="11"/>
  <c r="I355" i="11"/>
  <c r="AD355" i="11" s="1"/>
  <c r="AF355" i="11"/>
  <c r="AG507" i="11"/>
  <c r="Q610" i="11" l="1"/>
  <c r="R610" i="11" s="1"/>
  <c r="W404" i="11"/>
  <c r="Y404" i="11" s="1"/>
  <c r="J355" i="11"/>
  <c r="AH355" i="11" s="1"/>
  <c r="AG508" i="11"/>
  <c r="O611" i="11" l="1"/>
  <c r="AA404" i="11"/>
  <c r="H356" i="11"/>
  <c r="AG509" i="11"/>
  <c r="Q611" i="11" l="1"/>
  <c r="R611" i="11" s="1"/>
  <c r="W405" i="11"/>
  <c r="I356" i="11"/>
  <c r="AD356" i="11" s="1"/>
  <c r="AF356" i="11"/>
  <c r="AG510" i="11"/>
  <c r="O612" i="11" l="1"/>
  <c r="Y405" i="11"/>
  <c r="J356" i="11"/>
  <c r="AH356" i="11" s="1"/>
  <c r="AG511" i="11"/>
  <c r="Q612" i="11" l="1"/>
  <c r="R612" i="11" s="1"/>
  <c r="AA405" i="11"/>
  <c r="H357" i="11"/>
  <c r="AG512" i="11"/>
  <c r="O613" i="11" l="1"/>
  <c r="W406" i="11"/>
  <c r="I357" i="11"/>
  <c r="AD357" i="11" s="1"/>
  <c r="AF357" i="11"/>
  <c r="AG513" i="11"/>
  <c r="Q613" i="11" l="1"/>
  <c r="R613" i="11" s="1"/>
  <c r="Y406" i="11"/>
  <c r="J357" i="11"/>
  <c r="AH357" i="11" s="1"/>
  <c r="AG514" i="11"/>
  <c r="O614" i="11" l="1"/>
  <c r="H358" i="11"/>
  <c r="AF358" i="11" s="1"/>
  <c r="AA406" i="11"/>
  <c r="AG515" i="11"/>
  <c r="Q614" i="11" l="1"/>
  <c r="R614" i="11" s="1"/>
  <c r="I358" i="11"/>
  <c r="AD358" i="11" s="1"/>
  <c r="W407" i="11"/>
  <c r="AG516" i="11"/>
  <c r="J358" i="11" l="1"/>
  <c r="AH358" i="11" s="1"/>
  <c r="O615" i="11"/>
  <c r="Y407" i="11"/>
  <c r="AG517" i="11"/>
  <c r="H359" i="11" l="1"/>
  <c r="I359" i="11" s="1"/>
  <c r="AD359" i="11" s="1"/>
  <c r="Q615" i="11"/>
  <c r="R615" i="11" s="1"/>
  <c r="AA407" i="11"/>
  <c r="AG518" i="11"/>
  <c r="AF359" i="11" l="1"/>
  <c r="O616" i="11"/>
  <c r="W408" i="11"/>
  <c r="J359" i="11"/>
  <c r="AH359" i="11" s="1"/>
  <c r="AG519" i="11"/>
  <c r="Q616" i="11" l="1"/>
  <c r="R616" i="11" s="1"/>
  <c r="Y408" i="11"/>
  <c r="H360" i="11"/>
  <c r="AG520" i="11"/>
  <c r="O617" i="11" l="1"/>
  <c r="AA408" i="11"/>
  <c r="I360" i="11"/>
  <c r="AD360" i="11" s="1"/>
  <c r="AF360" i="11"/>
  <c r="AG521" i="11"/>
  <c r="Q617" i="11" l="1"/>
  <c r="R617" i="11" s="1"/>
  <c r="W409" i="11"/>
  <c r="J360" i="11"/>
  <c r="AH360" i="11" s="1"/>
  <c r="AG522" i="11"/>
  <c r="O618" i="11" l="1"/>
  <c r="Y409" i="11"/>
  <c r="H361" i="11"/>
  <c r="AG523" i="11"/>
  <c r="Q618" i="11" l="1"/>
  <c r="R618" i="11" s="1"/>
  <c r="AA409" i="11"/>
  <c r="I361" i="11"/>
  <c r="AD361" i="11" s="1"/>
  <c r="AF361" i="11"/>
  <c r="AG524" i="11"/>
  <c r="O619" i="11" l="1"/>
  <c r="W410" i="11"/>
  <c r="J361" i="11"/>
  <c r="AH361" i="11" s="1"/>
  <c r="AG525" i="11"/>
  <c r="Q619" i="11" l="1"/>
  <c r="R619" i="11" s="1"/>
  <c r="Y410" i="11"/>
  <c r="H362" i="11"/>
  <c r="AG526" i="11"/>
  <c r="O620" i="11" l="1"/>
  <c r="AA410" i="11"/>
  <c r="W411" i="11" s="1"/>
  <c r="I362" i="11"/>
  <c r="AD362" i="11" s="1"/>
  <c r="AF362" i="11"/>
  <c r="AG527" i="11"/>
  <c r="Q620" i="11" l="1"/>
  <c r="R620" i="11" s="1"/>
  <c r="Y411" i="11"/>
  <c r="AA411" i="11" s="1"/>
  <c r="J362" i="11"/>
  <c r="AH362" i="11" s="1"/>
  <c r="AG528" i="11"/>
  <c r="O621" i="11" l="1"/>
  <c r="W412" i="11"/>
  <c r="Y412" i="11" s="1"/>
  <c r="H363" i="11"/>
  <c r="AG529" i="11"/>
  <c r="Q621" i="11" l="1"/>
  <c r="R621" i="11" s="1"/>
  <c r="AA412" i="11"/>
  <c r="W413" i="11" s="1"/>
  <c r="Y413" i="11" s="1"/>
  <c r="I363" i="11"/>
  <c r="AD363" i="11" s="1"/>
  <c r="AF363" i="11"/>
  <c r="AG530" i="11"/>
  <c r="O622" i="11" l="1"/>
  <c r="AA413" i="11"/>
  <c r="J363" i="11"/>
  <c r="AH363" i="11" s="1"/>
  <c r="AG531" i="11"/>
  <c r="Q622" i="11" l="1"/>
  <c r="R622" i="11" s="1"/>
  <c r="W414" i="11"/>
  <c r="H364" i="11"/>
  <c r="AG532" i="11"/>
  <c r="O623" i="11" l="1"/>
  <c r="Y414" i="11"/>
  <c r="I364" i="11"/>
  <c r="AD364" i="11" s="1"/>
  <c r="AF364" i="11"/>
  <c r="AG533" i="11"/>
  <c r="Q623" i="11" l="1"/>
  <c r="R623" i="11" s="1"/>
  <c r="AA414" i="11"/>
  <c r="J364" i="11"/>
  <c r="AH364" i="11" s="1"/>
  <c r="AG534" i="11"/>
  <c r="O624" i="11" l="1"/>
  <c r="W415" i="11"/>
  <c r="H365" i="11"/>
  <c r="AG535" i="11"/>
  <c r="Q624" i="11" l="1"/>
  <c r="R624" i="11" s="1"/>
  <c r="Y415" i="11"/>
  <c r="I365" i="11"/>
  <c r="AD365" i="11" s="1"/>
  <c r="AF365" i="11"/>
  <c r="AG536" i="11"/>
  <c r="O625" i="11" l="1"/>
  <c r="AA415" i="11"/>
  <c r="W416" i="11" s="1"/>
  <c r="J365" i="11"/>
  <c r="AH365" i="11" s="1"/>
  <c r="AG537" i="11"/>
  <c r="Q625" i="11" l="1"/>
  <c r="R625" i="11" s="1"/>
  <c r="Y416" i="11"/>
  <c r="AA416" i="11" s="1"/>
  <c r="H366" i="11"/>
  <c r="AG538" i="11"/>
  <c r="O626" i="11" l="1"/>
  <c r="W417" i="11"/>
  <c r="Y417" i="11" s="1"/>
  <c r="I366" i="11"/>
  <c r="AD366" i="11" s="1"/>
  <c r="AF366" i="11"/>
  <c r="AG539" i="11"/>
  <c r="Q626" i="11" l="1"/>
  <c r="AA417" i="11"/>
  <c r="W418" i="11" s="1"/>
  <c r="Y418" i="11" s="1"/>
  <c r="J366" i="11"/>
  <c r="AH366" i="11" s="1"/>
  <c r="AG540" i="11"/>
  <c r="R626" i="11" l="1"/>
  <c r="O627" i="11" s="1"/>
  <c r="AA418" i="11"/>
  <c r="H367" i="11"/>
  <c r="AG541" i="11"/>
  <c r="Q627" i="11" l="1"/>
  <c r="R627" i="11" s="1"/>
  <c r="W419" i="11"/>
  <c r="I367" i="11"/>
  <c r="AD367" i="11" s="1"/>
  <c r="AF367" i="11"/>
  <c r="AG542" i="11"/>
  <c r="O628" i="11" l="1"/>
  <c r="Y419" i="11"/>
  <c r="J367" i="11"/>
  <c r="AH367" i="11" s="1"/>
  <c r="AG543" i="11"/>
  <c r="Q628" i="11" l="1"/>
  <c r="R628" i="11" s="1"/>
  <c r="AA419" i="11"/>
  <c r="H368" i="11"/>
  <c r="AG544" i="11"/>
  <c r="O629" i="11" l="1"/>
  <c r="W420" i="11"/>
  <c r="I368" i="11"/>
  <c r="AD368" i="11" s="1"/>
  <c r="AF368" i="11"/>
  <c r="AG545" i="11"/>
  <c r="Q629" i="11" l="1"/>
  <c r="R629" i="11" s="1"/>
  <c r="Y420" i="11"/>
  <c r="J368" i="11"/>
  <c r="AH368" i="11" s="1"/>
  <c r="AG546" i="11"/>
  <c r="O630" i="11" l="1"/>
  <c r="AA420" i="11"/>
  <c r="H369" i="11"/>
  <c r="AG547" i="11"/>
  <c r="Q630" i="11" l="1"/>
  <c r="R630" i="11" s="1"/>
  <c r="W421" i="11"/>
  <c r="I369" i="11"/>
  <c r="AD369" i="11" s="1"/>
  <c r="AF369" i="11"/>
  <c r="AG548" i="11"/>
  <c r="O631" i="11" l="1"/>
  <c r="Y421" i="11"/>
  <c r="J369" i="11"/>
  <c r="AH369" i="11" s="1"/>
  <c r="AG549" i="11"/>
  <c r="Q631" i="11" l="1"/>
  <c r="R631" i="11" s="1"/>
  <c r="AA421" i="11"/>
  <c r="H370" i="11"/>
  <c r="AG550" i="11"/>
  <c r="O632" i="11" l="1"/>
  <c r="W422" i="11"/>
  <c r="I370" i="11"/>
  <c r="AD370" i="11" s="1"/>
  <c r="AF370" i="11"/>
  <c r="AG551" i="11"/>
  <c r="Q632" i="11" l="1"/>
  <c r="R632" i="11" s="1"/>
  <c r="Y422" i="11"/>
  <c r="J370" i="11"/>
  <c r="AH370" i="11" s="1"/>
  <c r="AG552" i="11"/>
  <c r="O633" i="11" l="1"/>
  <c r="AA422" i="11"/>
  <c r="H371" i="11"/>
  <c r="AG553" i="11"/>
  <c r="Q633" i="11" l="1"/>
  <c r="R633" i="11" s="1"/>
  <c r="W423" i="11"/>
  <c r="I371" i="11"/>
  <c r="AD371" i="11" s="1"/>
  <c r="AF371" i="11"/>
  <c r="AG554" i="11"/>
  <c r="O634" i="11" l="1"/>
  <c r="Y423" i="11"/>
  <c r="J371" i="11"/>
  <c r="AH371" i="11" s="1"/>
  <c r="AG555" i="11"/>
  <c r="Q634" i="11" l="1"/>
  <c r="R634" i="11" s="1"/>
  <c r="AA423" i="11"/>
  <c r="H372" i="11"/>
  <c r="AG556" i="11"/>
  <c r="O635" i="11" l="1"/>
  <c r="W424" i="11"/>
  <c r="I372" i="11"/>
  <c r="AD372" i="11" s="1"/>
  <c r="AF372" i="11"/>
  <c r="AG557" i="11"/>
  <c r="Q635" i="11" l="1"/>
  <c r="R635" i="11" s="1"/>
  <c r="Y424" i="11"/>
  <c r="J372" i="11"/>
  <c r="AH372" i="11" s="1"/>
  <c r="AG558" i="11"/>
  <c r="O636" i="11" l="1"/>
  <c r="AA424" i="11"/>
  <c r="H373" i="11"/>
  <c r="AG559" i="11"/>
  <c r="Q636" i="11" l="1"/>
  <c r="R636" i="11" s="1"/>
  <c r="W425" i="11"/>
  <c r="I373" i="11"/>
  <c r="AD373" i="11" s="1"/>
  <c r="AF373" i="11"/>
  <c r="AG560" i="11"/>
  <c r="O637" i="11" l="1"/>
  <c r="Y425" i="11"/>
  <c r="J373" i="11"/>
  <c r="AH373" i="11" s="1"/>
  <c r="AG561" i="11"/>
  <c r="Q637" i="11" l="1"/>
  <c r="R637" i="11" s="1"/>
  <c r="AA425" i="11"/>
  <c r="H374" i="11"/>
  <c r="AG562" i="11"/>
  <c r="O638" i="11" l="1"/>
  <c r="W426" i="11"/>
  <c r="I374" i="11"/>
  <c r="AD374" i="11" s="1"/>
  <c r="AF374" i="11"/>
  <c r="AG563" i="11"/>
  <c r="Q638" i="11" l="1"/>
  <c r="R638" i="11" s="1"/>
  <c r="Y426" i="11"/>
  <c r="J374" i="11"/>
  <c r="AH374" i="11" s="1"/>
  <c r="AG564" i="11"/>
  <c r="O639" i="11" l="1"/>
  <c r="AA426" i="11"/>
  <c r="H375" i="11"/>
  <c r="AG565" i="11"/>
  <c r="Q639" i="11" l="1"/>
  <c r="R639" i="11" s="1"/>
  <c r="W427" i="11"/>
  <c r="I375" i="11"/>
  <c r="AD375" i="11" s="1"/>
  <c r="AF375" i="11"/>
  <c r="AG566" i="11"/>
  <c r="O640" i="11" l="1"/>
  <c r="Y427" i="11"/>
  <c r="J375" i="11"/>
  <c r="AH375" i="11" s="1"/>
  <c r="AG567" i="11"/>
  <c r="Q640" i="11" l="1"/>
  <c r="R640" i="11" s="1"/>
  <c r="AA427" i="11"/>
  <c r="H376" i="11"/>
  <c r="AG568" i="11"/>
  <c r="O641" i="11" l="1"/>
  <c r="W428" i="11"/>
  <c r="I376" i="11"/>
  <c r="AD376" i="11" s="1"/>
  <c r="AF376" i="11"/>
  <c r="AG569" i="11"/>
  <c r="Q641" i="11" l="1"/>
  <c r="R641" i="11" s="1"/>
  <c r="Y428" i="11"/>
  <c r="J376" i="11"/>
  <c r="AH376" i="11" s="1"/>
  <c r="AG570" i="11"/>
  <c r="O642" i="11" l="1"/>
  <c r="AA428" i="11"/>
  <c r="H377" i="11"/>
  <c r="AG571" i="11"/>
  <c r="Q642" i="11" l="1"/>
  <c r="R642" i="11" s="1"/>
  <c r="O643" i="11"/>
  <c r="W429" i="11"/>
  <c r="I377" i="11"/>
  <c r="AD377" i="11" s="1"/>
  <c r="AF377" i="11"/>
  <c r="AG572" i="11"/>
  <c r="Q643" i="11" l="1"/>
  <c r="R643" i="11" s="1"/>
  <c r="O644" i="11"/>
  <c r="Y429" i="11"/>
  <c r="AA429" i="11" s="1"/>
  <c r="J377" i="11"/>
  <c r="AH377" i="11" s="1"/>
  <c r="AG573" i="11"/>
  <c r="Q644" i="11" l="1"/>
  <c r="R644" i="11" s="1"/>
  <c r="W430" i="11"/>
  <c r="H378" i="11"/>
  <c r="AG574" i="11"/>
  <c r="O645" i="11" l="1"/>
  <c r="Y430" i="11"/>
  <c r="AA430" i="11" s="1"/>
  <c r="I378" i="11"/>
  <c r="AD378" i="11" s="1"/>
  <c r="AF378" i="11"/>
  <c r="AG575" i="11"/>
  <c r="Q645" i="11" l="1"/>
  <c r="R645" i="11" s="1"/>
  <c r="W431" i="11"/>
  <c r="J378" i="11"/>
  <c r="AH378" i="11" s="1"/>
  <c r="AG576" i="11"/>
  <c r="O646" i="11" l="1"/>
  <c r="Y431" i="11"/>
  <c r="AA431" i="11" s="1"/>
  <c r="H379" i="11"/>
  <c r="AG577" i="11"/>
  <c r="Q646" i="11" l="1"/>
  <c r="R646" i="11" s="1"/>
  <c r="W432" i="11"/>
  <c r="I379" i="11"/>
  <c r="AD379" i="11" s="1"/>
  <c r="AF379" i="11"/>
  <c r="AG578" i="11"/>
  <c r="O647" i="11" l="1"/>
  <c r="Y432" i="11"/>
  <c r="AA432" i="11" s="1"/>
  <c r="J379" i="11"/>
  <c r="AH379" i="11" s="1"/>
  <c r="AG579" i="11"/>
  <c r="Q647" i="11" l="1"/>
  <c r="R647" i="11" s="1"/>
  <c r="W433" i="11"/>
  <c r="H380" i="11"/>
  <c r="I380" i="11" s="1"/>
  <c r="AD380" i="11" s="1"/>
  <c r="AG580" i="11"/>
  <c r="O648" i="11" l="1"/>
  <c r="Y433" i="11"/>
  <c r="AA433" i="11" s="1"/>
  <c r="AF380" i="11"/>
  <c r="J380" i="11"/>
  <c r="AH380" i="11" s="1"/>
  <c r="AG581" i="11"/>
  <c r="Q648" i="11" l="1"/>
  <c r="R648" i="11" s="1"/>
  <c r="W434" i="11"/>
  <c r="H381" i="11"/>
  <c r="AG582" i="11"/>
  <c r="O649" i="11" l="1"/>
  <c r="Y434" i="11"/>
  <c r="AA434" i="11" s="1"/>
  <c r="I381" i="11"/>
  <c r="AD381" i="11" s="1"/>
  <c r="AF381" i="11"/>
  <c r="AG583" i="11"/>
  <c r="Q649" i="11" l="1"/>
  <c r="R649" i="11" s="1"/>
  <c r="W435" i="11"/>
  <c r="J381" i="11"/>
  <c r="AH381" i="11" s="1"/>
  <c r="AG584" i="11"/>
  <c r="O650" i="11" l="1"/>
  <c r="Y435" i="11"/>
  <c r="AA435" i="11" s="1"/>
  <c r="H382" i="11"/>
  <c r="AG585" i="11"/>
  <c r="Q650" i="11" l="1"/>
  <c r="R650" i="11" s="1"/>
  <c r="W436" i="11"/>
  <c r="I382" i="11"/>
  <c r="AD382" i="11" s="1"/>
  <c r="AF382" i="11"/>
  <c r="AG586" i="11"/>
  <c r="O651" i="11" l="1"/>
  <c r="Y436" i="11"/>
  <c r="AA436" i="11" s="1"/>
  <c r="J382" i="11"/>
  <c r="AH382" i="11" s="1"/>
  <c r="AG587" i="11"/>
  <c r="Q651" i="11" l="1"/>
  <c r="R651" i="11" s="1"/>
  <c r="W437" i="11"/>
  <c r="H383" i="11"/>
  <c r="AG588" i="11"/>
  <c r="O652" i="11" l="1"/>
  <c r="Y437" i="11"/>
  <c r="AA437" i="11" s="1"/>
  <c r="I383" i="11"/>
  <c r="AD383" i="11" s="1"/>
  <c r="AF383" i="11"/>
  <c r="AG589" i="11"/>
  <c r="Q652" i="11" l="1"/>
  <c r="R652" i="11" s="1"/>
  <c r="W438" i="11"/>
  <c r="J383" i="11"/>
  <c r="AH383" i="11" s="1"/>
  <c r="AG590" i="11"/>
  <c r="O653" i="11" l="1"/>
  <c r="Y438" i="11"/>
  <c r="AA438" i="11" s="1"/>
  <c r="H384" i="11"/>
  <c r="AG591" i="11"/>
  <c r="Q653" i="11" l="1"/>
  <c r="R653" i="11" s="1"/>
  <c r="W439" i="11"/>
  <c r="I384" i="11"/>
  <c r="AD384" i="11" s="1"/>
  <c r="AF384" i="11"/>
  <c r="AG592" i="11"/>
  <c r="O654" i="11" l="1"/>
  <c r="Y439" i="11"/>
  <c r="AA439" i="11" s="1"/>
  <c r="J384" i="11"/>
  <c r="AH384" i="11" s="1"/>
  <c r="AG593" i="11"/>
  <c r="Q654" i="11" l="1"/>
  <c r="R654" i="11" s="1"/>
  <c r="W440" i="11"/>
  <c r="H385" i="11"/>
  <c r="AG594" i="11"/>
  <c r="O655" i="11" l="1"/>
  <c r="Y440" i="11"/>
  <c r="AA440" i="11" s="1"/>
  <c r="I385" i="11"/>
  <c r="AD385" i="11" s="1"/>
  <c r="AF385" i="11"/>
  <c r="AG595" i="11"/>
  <c r="Q655" i="11" l="1"/>
  <c r="R655" i="11" s="1"/>
  <c r="W441" i="11"/>
  <c r="J385" i="11"/>
  <c r="AH385" i="11" s="1"/>
  <c r="AG596" i="11"/>
  <c r="O656" i="11" l="1"/>
  <c r="Y441" i="11"/>
  <c r="AA441" i="11" s="1"/>
  <c r="H386" i="11"/>
  <c r="AG597" i="11"/>
  <c r="Q656" i="11" l="1"/>
  <c r="R656" i="11" s="1"/>
  <c r="W442" i="11"/>
  <c r="I386" i="11"/>
  <c r="AD386" i="11" s="1"/>
  <c r="AF386" i="11"/>
  <c r="AG598" i="11"/>
  <c r="O657" i="11" l="1"/>
  <c r="Y442" i="11"/>
  <c r="AA442" i="11" s="1"/>
  <c r="J386" i="11"/>
  <c r="AH386" i="11" s="1"/>
  <c r="AG599" i="11"/>
  <c r="H387" i="11" l="1"/>
  <c r="I387" i="11" s="1"/>
  <c r="AD387" i="11" s="1"/>
  <c r="Q657" i="11"/>
  <c r="R657" i="11" s="1"/>
  <c r="W443" i="11"/>
  <c r="AG600" i="11"/>
  <c r="AF387" i="11" l="1"/>
  <c r="O658" i="11"/>
  <c r="Y443" i="11"/>
  <c r="AA443" i="11" s="1"/>
  <c r="J387" i="11"/>
  <c r="AH387" i="11" s="1"/>
  <c r="AG601" i="11"/>
  <c r="Q658" i="11" l="1"/>
  <c r="R658" i="11" s="1"/>
  <c r="W444" i="11"/>
  <c r="H388" i="11"/>
  <c r="AG602" i="11"/>
  <c r="O659" i="11" l="1"/>
  <c r="Y444" i="11"/>
  <c r="AA444" i="11" s="1"/>
  <c r="I388" i="11"/>
  <c r="AF388" i="11"/>
  <c r="AG603" i="11"/>
  <c r="Q659" i="11" l="1"/>
  <c r="R659" i="11" s="1"/>
  <c r="W445" i="11"/>
  <c r="AD388" i="11"/>
  <c r="J388" i="11"/>
  <c r="AG604" i="11"/>
  <c r="O660" i="11" l="1"/>
  <c r="Y445" i="11"/>
  <c r="AA445" i="11" s="1"/>
  <c r="AH388" i="11"/>
  <c r="H389" i="11"/>
  <c r="AG605" i="11"/>
  <c r="Q660" i="11" l="1"/>
  <c r="R660" i="11" s="1"/>
  <c r="W446" i="11"/>
  <c r="I389" i="11"/>
  <c r="AF389" i="11"/>
  <c r="AG606" i="11"/>
  <c r="O661" i="11" l="1"/>
  <c r="Y446" i="11"/>
  <c r="AA446" i="11" s="1"/>
  <c r="AD389" i="11"/>
  <c r="J389" i="11"/>
  <c r="AG607" i="11"/>
  <c r="Q661" i="11" l="1"/>
  <c r="R661" i="11" s="1"/>
  <c r="W447" i="11"/>
  <c r="AH389" i="11"/>
  <c r="H390" i="11"/>
  <c r="AG608" i="11"/>
  <c r="O662" i="11" l="1"/>
  <c r="Y447" i="11"/>
  <c r="AA447" i="11" s="1"/>
  <c r="I390" i="11"/>
  <c r="AF390" i="11"/>
  <c r="AG609" i="11"/>
  <c r="Q662" i="11" l="1"/>
  <c r="R662" i="11" s="1"/>
  <c r="W448" i="11"/>
  <c r="AD390" i="11"/>
  <c r="J390" i="11"/>
  <c r="AG610" i="11"/>
  <c r="O663" i="11" l="1"/>
  <c r="Y448" i="11"/>
  <c r="AA448" i="11" s="1"/>
  <c r="AH390" i="11"/>
  <c r="H391" i="11"/>
  <c r="AG611" i="11"/>
  <c r="Q663" i="11" l="1"/>
  <c r="R663" i="11" s="1"/>
  <c r="W449" i="11"/>
  <c r="I391" i="11"/>
  <c r="AF391" i="11"/>
  <c r="G28" i="11" s="1"/>
  <c r="AG612" i="11"/>
  <c r="O664" i="11" l="1"/>
  <c r="Y449" i="11"/>
  <c r="AA449" i="11" s="1"/>
  <c r="W450" i="11" s="1"/>
  <c r="N14" i="21"/>
  <c r="N14" i="17"/>
  <c r="AD391" i="11"/>
  <c r="J391" i="11"/>
  <c r="AG613" i="11"/>
  <c r="Q664" i="11" l="1"/>
  <c r="R664" i="11" s="1"/>
  <c r="Y450" i="11"/>
  <c r="AA450" i="11" s="1"/>
  <c r="W451" i="11" s="1"/>
  <c r="AH391" i="11"/>
  <c r="H392" i="11"/>
  <c r="AG614" i="11"/>
  <c r="O665" i="11" l="1"/>
  <c r="Y451" i="11"/>
  <c r="AA451" i="11" s="1"/>
  <c r="W452" i="11" s="1"/>
  <c r="I392" i="11"/>
  <c r="AF392" i="11"/>
  <c r="AG615" i="11"/>
  <c r="Q665" i="11" l="1"/>
  <c r="R665" i="11" s="1"/>
  <c r="Y452" i="11"/>
  <c r="AA452" i="11" s="1"/>
  <c r="W453" i="11" s="1"/>
  <c r="AD392" i="11"/>
  <c r="J392" i="11"/>
  <c r="AG616" i="11"/>
  <c r="O666" i="11" l="1"/>
  <c r="Y453" i="11"/>
  <c r="AA453" i="11" s="1"/>
  <c r="W454" i="11" s="1"/>
  <c r="AH392" i="11"/>
  <c r="H393" i="11"/>
  <c r="AG617" i="11"/>
  <c r="Q666" i="11" l="1"/>
  <c r="R666" i="11" s="1"/>
  <c r="Y454" i="11"/>
  <c r="AA454" i="11" s="1"/>
  <c r="W455" i="11" s="1"/>
  <c r="I393" i="11"/>
  <c r="AF393" i="11"/>
  <c r="AG618" i="11"/>
  <c r="O667" i="11" l="1"/>
  <c r="Y455" i="11"/>
  <c r="AA455" i="11" s="1"/>
  <c r="W456" i="11" s="1"/>
  <c r="AD393" i="11"/>
  <c r="J393" i="11"/>
  <c r="AG619" i="11"/>
  <c r="Q667" i="11" l="1"/>
  <c r="R667" i="11" s="1"/>
  <c r="Y456" i="11"/>
  <c r="AA456" i="11" s="1"/>
  <c r="W457" i="11" s="1"/>
  <c r="AH393" i="11"/>
  <c r="H394" i="11"/>
  <c r="AG620" i="11"/>
  <c r="O668" i="11" l="1"/>
  <c r="Y457" i="11"/>
  <c r="AA457" i="11" s="1"/>
  <c r="W458" i="11" s="1"/>
  <c r="I394" i="11"/>
  <c r="AF394" i="11"/>
  <c r="AG621" i="11"/>
  <c r="Q668" i="11" l="1"/>
  <c r="R668" i="11" s="1"/>
  <c r="Y458" i="11"/>
  <c r="AA458" i="11" s="1"/>
  <c r="W459" i="11" s="1"/>
  <c r="AD394" i="11"/>
  <c r="J394" i="11"/>
  <c r="AG622" i="11"/>
  <c r="O669" i="11" l="1"/>
  <c r="Y459" i="11"/>
  <c r="AA459" i="11" s="1"/>
  <c r="W460" i="11" s="1"/>
  <c r="AH394" i="11"/>
  <c r="H395" i="11"/>
  <c r="AG623" i="11"/>
  <c r="Q669" i="11" l="1"/>
  <c r="R669" i="11" s="1"/>
  <c r="Y460" i="11"/>
  <c r="AA460" i="11" s="1"/>
  <c r="W461" i="11" s="1"/>
  <c r="I395" i="11"/>
  <c r="AF395" i="11"/>
  <c r="AG624" i="11"/>
  <c r="O670" i="11" l="1"/>
  <c r="Y461" i="11"/>
  <c r="AA461" i="11" s="1"/>
  <c r="W462" i="11" s="1"/>
  <c r="AD395" i="11"/>
  <c r="J395" i="11"/>
  <c r="AG625" i="11"/>
  <c r="Q670" i="11" l="1"/>
  <c r="R670" i="11" s="1"/>
  <c r="Y462" i="11"/>
  <c r="AA462" i="11" s="1"/>
  <c r="W463" i="11" s="1"/>
  <c r="AH395" i="11"/>
  <c r="H396" i="11"/>
  <c r="AG626" i="11"/>
  <c r="O671" i="11" l="1"/>
  <c r="Y463" i="11"/>
  <c r="AA463" i="11" s="1"/>
  <c r="W464" i="11" s="1"/>
  <c r="I396" i="11"/>
  <c r="AF396" i="11"/>
  <c r="AG627" i="11"/>
  <c r="Q671" i="11" l="1"/>
  <c r="R671" i="11" s="1"/>
  <c r="Y464" i="11"/>
  <c r="AA464" i="11" s="1"/>
  <c r="W465" i="11" s="1"/>
  <c r="AD396" i="11"/>
  <c r="J396" i="11"/>
  <c r="AG628" i="11"/>
  <c r="O672" i="11" l="1"/>
  <c r="Y465" i="11"/>
  <c r="AA465" i="11" s="1"/>
  <c r="W466" i="11" s="1"/>
  <c r="AH396" i="11"/>
  <c r="H397" i="11"/>
  <c r="AG629" i="11"/>
  <c r="Q672" i="11" l="1"/>
  <c r="R672" i="11" s="1"/>
  <c r="Y466" i="11"/>
  <c r="AA466" i="11" s="1"/>
  <c r="W467" i="11" s="1"/>
  <c r="I397" i="11"/>
  <c r="AF397" i="11"/>
  <c r="AG630" i="11"/>
  <c r="O673" i="11" l="1"/>
  <c r="Y467" i="11"/>
  <c r="AA467" i="11" s="1"/>
  <c r="W468" i="11" s="1"/>
  <c r="AD397" i="11"/>
  <c r="J397" i="11"/>
  <c r="AG631" i="11"/>
  <c r="Q673" i="11" l="1"/>
  <c r="R673" i="11" s="1"/>
  <c r="Y468" i="11"/>
  <c r="AA468" i="11" s="1"/>
  <c r="W469" i="11" s="1"/>
  <c r="AH397" i="11"/>
  <c r="H398" i="11"/>
  <c r="AG632" i="11"/>
  <c r="O674" i="11" l="1"/>
  <c r="Y469" i="11"/>
  <c r="AA469" i="11" s="1"/>
  <c r="W470" i="11" s="1"/>
  <c r="I398" i="11"/>
  <c r="AF398" i="11"/>
  <c r="AG633" i="11"/>
  <c r="Q674" i="11" l="1"/>
  <c r="R674" i="11" s="1"/>
  <c r="Y470" i="11"/>
  <c r="AA470" i="11" s="1"/>
  <c r="W471" i="11" s="1"/>
  <c r="AD398" i="11"/>
  <c r="J398" i="11"/>
  <c r="AG634" i="11"/>
  <c r="O675" i="11" l="1"/>
  <c r="Y471" i="11"/>
  <c r="AA471" i="11" s="1"/>
  <c r="W472" i="11" s="1"/>
  <c r="AH398" i="11"/>
  <c r="H399" i="11"/>
  <c r="AG635" i="11"/>
  <c r="Q675" i="11" l="1"/>
  <c r="R675" i="11" s="1"/>
  <c r="Y472" i="11"/>
  <c r="AA472" i="11" s="1"/>
  <c r="W473" i="11" s="1"/>
  <c r="I399" i="11"/>
  <c r="AF399" i="11"/>
  <c r="AG636" i="11"/>
  <c r="O676" i="11" l="1"/>
  <c r="Y473" i="11"/>
  <c r="AA473" i="11" s="1"/>
  <c r="W474" i="11" s="1"/>
  <c r="AD399" i="11"/>
  <c r="J399" i="11"/>
  <c r="AG637" i="11"/>
  <c r="Q676" i="11" l="1"/>
  <c r="R676" i="11" s="1"/>
  <c r="Y474" i="11"/>
  <c r="AA474" i="11" s="1"/>
  <c r="W475" i="11" s="1"/>
  <c r="AH399" i="11"/>
  <c r="H400" i="11"/>
  <c r="AG638" i="11"/>
  <c r="O677" i="11" l="1"/>
  <c r="Y475" i="11"/>
  <c r="AA475" i="11" s="1"/>
  <c r="W476" i="11" s="1"/>
  <c r="I400" i="11"/>
  <c r="AF400" i="11"/>
  <c r="AG639" i="11"/>
  <c r="Q677" i="11" l="1"/>
  <c r="R677" i="11" s="1"/>
  <c r="Y476" i="11"/>
  <c r="AA476" i="11" s="1"/>
  <c r="W477" i="11" s="1"/>
  <c r="AD400" i="11"/>
  <c r="J400" i="11"/>
  <c r="AG640" i="11"/>
  <c r="O678" i="11" l="1"/>
  <c r="Q678" i="11" s="1"/>
  <c r="R678" i="11" s="1"/>
  <c r="Y477" i="11"/>
  <c r="AA477" i="11" s="1"/>
  <c r="W478" i="11" s="1"/>
  <c r="AH400" i="11"/>
  <c r="H401" i="11"/>
  <c r="AG641" i="11"/>
  <c r="Y478" i="11" l="1"/>
  <c r="AA478" i="11" s="1"/>
  <c r="W479" i="11" s="1"/>
  <c r="I401" i="11"/>
  <c r="AF401" i="11"/>
  <c r="AG642" i="11"/>
  <c r="Y479" i="11" l="1"/>
  <c r="AA479" i="11" s="1"/>
  <c r="W480" i="11" s="1"/>
  <c r="AD401" i="11"/>
  <c r="J401" i="11"/>
  <c r="AG643" i="11"/>
  <c r="Y480" i="11" l="1"/>
  <c r="AA480" i="11" s="1"/>
  <c r="W481" i="11" s="1"/>
  <c r="AH401" i="11"/>
  <c r="H402" i="11"/>
  <c r="AG644" i="11"/>
  <c r="Y481" i="11" l="1"/>
  <c r="AA481" i="11" s="1"/>
  <c r="W482" i="11" s="1"/>
  <c r="I402" i="11"/>
  <c r="AF402" i="11"/>
  <c r="AG645" i="11"/>
  <c r="Y482" i="11" l="1"/>
  <c r="AA482" i="11" s="1"/>
  <c r="W483" i="11" s="1"/>
  <c r="AD402" i="11"/>
  <c r="J402" i="11"/>
  <c r="AG646" i="11"/>
  <c r="Y483" i="11" l="1"/>
  <c r="AA483" i="11" s="1"/>
  <c r="W484" i="11" s="1"/>
  <c r="AH402" i="11"/>
  <c r="H403" i="11"/>
  <c r="AG647" i="11"/>
  <c r="Y484" i="11" l="1"/>
  <c r="AA484" i="11" s="1"/>
  <c r="W485" i="11" s="1"/>
  <c r="I403" i="11"/>
  <c r="AF403" i="11"/>
  <c r="AG648" i="11"/>
  <c r="Y485" i="11" l="1"/>
  <c r="AA485" i="11" s="1"/>
  <c r="W486" i="11" s="1"/>
  <c r="AD403" i="11"/>
  <c r="J403" i="11"/>
  <c r="AG649" i="11"/>
  <c r="Y486" i="11" l="1"/>
  <c r="AA486" i="11" s="1"/>
  <c r="W487" i="11" s="1"/>
  <c r="AH403" i="11"/>
  <c r="H404" i="11"/>
  <c r="AG650" i="11"/>
  <c r="Y487" i="11" l="1"/>
  <c r="AA487" i="11" s="1"/>
  <c r="W488" i="11" s="1"/>
  <c r="I404" i="11"/>
  <c r="AF404" i="11"/>
  <c r="AG651" i="11"/>
  <c r="Y488" i="11" l="1"/>
  <c r="AA488" i="11" s="1"/>
  <c r="W489" i="11" s="1"/>
  <c r="AD404" i="11"/>
  <c r="J404" i="11"/>
  <c r="AG652" i="11"/>
  <c r="Y489" i="11" l="1"/>
  <c r="AA489" i="11" s="1"/>
  <c r="W490" i="11" s="1"/>
  <c r="AH404" i="11"/>
  <c r="H405" i="11"/>
  <c r="AG653" i="11"/>
  <c r="Y490" i="11" l="1"/>
  <c r="AA490" i="11" s="1"/>
  <c r="W491" i="11" s="1"/>
  <c r="I405" i="11"/>
  <c r="AF405" i="11"/>
  <c r="AG654" i="11"/>
  <c r="Y491" i="11" l="1"/>
  <c r="AA491" i="11" s="1"/>
  <c r="W492" i="11" s="1"/>
  <c r="AD405" i="11"/>
  <c r="J405" i="11"/>
  <c r="AG655" i="11"/>
  <c r="Y492" i="11" l="1"/>
  <c r="AA492" i="11" s="1"/>
  <c r="W493" i="11" s="1"/>
  <c r="AH405" i="11"/>
  <c r="H406" i="11"/>
  <c r="AG656" i="11"/>
  <c r="Y493" i="11" l="1"/>
  <c r="AA493" i="11" s="1"/>
  <c r="W494" i="11" s="1"/>
  <c r="I406" i="11"/>
  <c r="AF406" i="11"/>
  <c r="AG657" i="11"/>
  <c r="Y494" i="11" l="1"/>
  <c r="AA494" i="11" s="1"/>
  <c r="W495" i="11" s="1"/>
  <c r="AD406" i="11"/>
  <c r="J406" i="11"/>
  <c r="AG658" i="11"/>
  <c r="Y495" i="11" l="1"/>
  <c r="AA495" i="11" s="1"/>
  <c r="W496" i="11" s="1"/>
  <c r="AH406" i="11"/>
  <c r="H407" i="11"/>
  <c r="AG659" i="11"/>
  <c r="Y496" i="11" l="1"/>
  <c r="AA496" i="11" s="1"/>
  <c r="W497" i="11" s="1"/>
  <c r="I407" i="11"/>
  <c r="AF407" i="11"/>
  <c r="AG660" i="11"/>
  <c r="Y497" i="11" l="1"/>
  <c r="AA497" i="11" s="1"/>
  <c r="W498" i="11" s="1"/>
  <c r="AD407" i="11"/>
  <c r="J407" i="11"/>
  <c r="AG661" i="11"/>
  <c r="Y498" i="11" l="1"/>
  <c r="AA498" i="11" s="1"/>
  <c r="W499" i="11" s="1"/>
  <c r="AH407" i="11"/>
  <c r="H408" i="11"/>
  <c r="AG662" i="11"/>
  <c r="Y499" i="11" l="1"/>
  <c r="AA499" i="11" s="1"/>
  <c r="W500" i="11" s="1"/>
  <c r="I408" i="11"/>
  <c r="AF408" i="11"/>
  <c r="AG663" i="11"/>
  <c r="Y500" i="11" l="1"/>
  <c r="AA500" i="11" s="1"/>
  <c r="W501" i="11" s="1"/>
  <c r="AD408" i="11"/>
  <c r="J408" i="11"/>
  <c r="AG664" i="11"/>
  <c r="Y501" i="11" l="1"/>
  <c r="AA501" i="11" s="1"/>
  <c r="W502" i="11" s="1"/>
  <c r="AH408" i="11"/>
  <c r="H409" i="11"/>
  <c r="K28" i="11"/>
  <c r="L58" i="17" s="1"/>
  <c r="AG665" i="11"/>
  <c r="Y502" i="11" l="1"/>
  <c r="AA502" i="11" s="1"/>
  <c r="W503" i="11" s="1"/>
  <c r="I409" i="11"/>
  <c r="AF409" i="11"/>
  <c r="AG666" i="11"/>
  <c r="Y503" i="11" l="1"/>
  <c r="AA503" i="11" s="1"/>
  <c r="W504" i="11" s="1"/>
  <c r="AD409" i="11"/>
  <c r="J409" i="11"/>
  <c r="AG667" i="11"/>
  <c r="Y504" i="11" l="1"/>
  <c r="AA504" i="11" s="1"/>
  <c r="W505" i="11" s="1"/>
  <c r="AH409" i="11"/>
  <c r="H410" i="11"/>
  <c r="BB112" i="11"/>
  <c r="BD112" i="11" s="1"/>
  <c r="BB208" i="11"/>
  <c r="BD208" i="11" s="1"/>
  <c r="BB338" i="11"/>
  <c r="BD338" i="11" s="1"/>
  <c r="BB242" i="11"/>
  <c r="BD242" i="11" s="1"/>
  <c r="BB122" i="11"/>
  <c r="BD122" i="11" s="1"/>
  <c r="BB110" i="11"/>
  <c r="BD110" i="11" s="1"/>
  <c r="BB158" i="11"/>
  <c r="BD158" i="11" s="1"/>
  <c r="BB410" i="11"/>
  <c r="BD410" i="11" s="1"/>
  <c r="AG668" i="11"/>
  <c r="Y505" i="11" l="1"/>
  <c r="AA505" i="11" s="1"/>
  <c r="W506" i="11" s="1"/>
  <c r="I410" i="11"/>
  <c r="AD410" i="11" s="1"/>
  <c r="AF410" i="11"/>
  <c r="AG669" i="11"/>
  <c r="Y506" i="11" l="1"/>
  <c r="AA506" i="11" s="1"/>
  <c r="W507" i="11" s="1"/>
  <c r="J410" i="11"/>
  <c r="AH410" i="11" s="1"/>
  <c r="AG670" i="11"/>
  <c r="Y507" i="11" l="1"/>
  <c r="AA507" i="11" s="1"/>
  <c r="W508" i="11" s="1"/>
  <c r="H411" i="11"/>
  <c r="I411" i="11" s="1"/>
  <c r="AD411" i="11" s="1"/>
  <c r="AG671" i="11"/>
  <c r="Y508" i="11" l="1"/>
  <c r="AA508" i="11" s="1"/>
  <c r="W509" i="11" s="1"/>
  <c r="AF411" i="11"/>
  <c r="J411" i="11"/>
  <c r="AH411" i="11" s="1"/>
  <c r="AG672" i="11"/>
  <c r="Y509" i="11" l="1"/>
  <c r="AA509" i="11" s="1"/>
  <c r="W510" i="11" s="1"/>
  <c r="H412" i="11"/>
  <c r="AG673" i="11"/>
  <c r="Y510" i="11" l="1"/>
  <c r="AA510" i="11" s="1"/>
  <c r="W511" i="11" s="1"/>
  <c r="I412" i="11"/>
  <c r="AD412" i="11" s="1"/>
  <c r="AF412" i="11"/>
  <c r="AG674" i="11"/>
  <c r="Y511" i="11" l="1"/>
  <c r="AA511" i="11" s="1"/>
  <c r="W512" i="11" s="1"/>
  <c r="J412" i="11"/>
  <c r="AH412" i="11" s="1"/>
  <c r="AG675" i="11"/>
  <c r="Y512" i="11" l="1"/>
  <c r="AA512" i="11" s="1"/>
  <c r="W513" i="11" s="1"/>
  <c r="H413" i="11"/>
  <c r="AG676" i="11"/>
  <c r="Y513" i="11" l="1"/>
  <c r="AA513" i="11" s="1"/>
  <c r="W514" i="11" s="1"/>
  <c r="I413" i="11"/>
  <c r="AD413" i="11" s="1"/>
  <c r="AF413" i="11"/>
  <c r="AG677" i="11"/>
  <c r="Y514" i="11" l="1"/>
  <c r="AA514" i="11" s="1"/>
  <c r="W515" i="11" s="1"/>
  <c r="J413" i="11"/>
  <c r="AH413" i="11" s="1"/>
  <c r="AG678" i="11"/>
  <c r="Y515" i="11" l="1"/>
  <c r="AA515" i="11" s="1"/>
  <c r="W516" i="11" s="1"/>
  <c r="H414" i="11"/>
  <c r="AG679" i="11"/>
  <c r="Y516" i="11" l="1"/>
  <c r="AA516" i="11" s="1"/>
  <c r="W517" i="11" s="1"/>
  <c r="I414" i="11"/>
  <c r="AD414" i="11" s="1"/>
  <c r="AF414" i="11"/>
  <c r="AG680" i="11"/>
  <c r="Y517" i="11" l="1"/>
  <c r="AA517" i="11" s="1"/>
  <c r="W518" i="11" s="1"/>
  <c r="J414" i="11"/>
  <c r="AH414" i="11" s="1"/>
  <c r="AG681" i="11"/>
  <c r="Y518" i="11" l="1"/>
  <c r="AA518" i="11" s="1"/>
  <c r="W519" i="11" s="1"/>
  <c r="H415" i="11"/>
  <c r="AG682" i="11"/>
  <c r="Y519" i="11" l="1"/>
  <c r="AA519" i="11" s="1"/>
  <c r="W520" i="11" s="1"/>
  <c r="I415" i="11"/>
  <c r="AD415" i="11" s="1"/>
  <c r="AF415" i="11"/>
  <c r="AG683" i="11"/>
  <c r="Y520" i="11" l="1"/>
  <c r="AA520" i="11" s="1"/>
  <c r="W521" i="11" s="1"/>
  <c r="J415" i="11"/>
  <c r="AH415" i="11" s="1"/>
  <c r="AG684" i="11"/>
  <c r="Y521" i="11" l="1"/>
  <c r="AA521" i="11" s="1"/>
  <c r="W522" i="11" s="1"/>
  <c r="H416" i="11"/>
  <c r="AG685" i="11"/>
  <c r="Y522" i="11" l="1"/>
  <c r="AA522" i="11" s="1"/>
  <c r="W523" i="11" s="1"/>
  <c r="I416" i="11"/>
  <c r="AD416" i="11" s="1"/>
  <c r="AF416" i="11"/>
  <c r="AG686" i="11"/>
  <c r="Y523" i="11" l="1"/>
  <c r="AA523" i="11" s="1"/>
  <c r="W524" i="11" s="1"/>
  <c r="J416" i="11"/>
  <c r="AH416" i="11" s="1"/>
  <c r="AG687" i="11"/>
  <c r="H417" i="11" l="1"/>
  <c r="I417" i="11" s="1"/>
  <c r="AD417" i="11" s="1"/>
  <c r="Y524" i="11"/>
  <c r="AA524" i="11" s="1"/>
  <c r="W525" i="11" s="1"/>
  <c r="AG688" i="11"/>
  <c r="AF417" i="11" l="1"/>
  <c r="Y525" i="11"/>
  <c r="AA525" i="11" s="1"/>
  <c r="W526" i="11" s="1"/>
  <c r="J417" i="11"/>
  <c r="AH417" i="11" s="1"/>
  <c r="AG689" i="11"/>
  <c r="Y526" i="11" l="1"/>
  <c r="AA526" i="11" s="1"/>
  <c r="W527" i="11" s="1"/>
  <c r="H418" i="11"/>
  <c r="Y527" i="11" l="1"/>
  <c r="AA527" i="11" s="1"/>
  <c r="W528" i="11" s="1"/>
  <c r="I418" i="11"/>
  <c r="AD418" i="11" s="1"/>
  <c r="AF418" i="11"/>
  <c r="BA324" i="11"/>
  <c r="BC324" i="11" s="1"/>
  <c r="BA340" i="11"/>
  <c r="Y528" i="11" l="1"/>
  <c r="AA528" i="11" s="1"/>
  <c r="W529" i="11" s="1"/>
  <c r="BA304" i="11"/>
  <c r="BC304" i="11" s="1"/>
  <c r="BA364" i="11"/>
  <c r="BC364" i="11" s="1"/>
  <c r="BA298" i="11"/>
  <c r="BC298" i="11" s="1"/>
  <c r="BA305" i="11"/>
  <c r="BC305" i="11" s="1"/>
  <c r="BA358" i="11"/>
  <c r="BC358" i="11" s="1"/>
  <c r="BA418" i="11"/>
  <c r="BC418" i="11" s="1"/>
  <c r="BA196" i="11"/>
  <c r="BC196" i="11" s="1"/>
  <c r="BA417" i="11"/>
  <c r="BC417" i="11" s="1"/>
  <c r="BA424" i="11"/>
  <c r="BC424" i="11" s="1"/>
  <c r="BA316" i="11"/>
  <c r="BC316" i="11" s="1"/>
  <c r="BA262" i="11"/>
  <c r="BC262" i="11" s="1"/>
  <c r="BA429" i="11"/>
  <c r="BC429" i="11" s="1"/>
  <c r="BA197" i="11"/>
  <c r="BC197" i="11" s="1"/>
  <c r="BA201" i="11"/>
  <c r="BC201" i="11" s="1"/>
  <c r="BA149" i="11"/>
  <c r="BC149" i="11" s="1"/>
  <c r="BA113" i="11"/>
  <c r="BC113" i="11" s="1"/>
  <c r="BA353" i="11"/>
  <c r="BC353" i="11" s="1"/>
  <c r="J418" i="11"/>
  <c r="AH418" i="11" s="1"/>
  <c r="BA208" i="11"/>
  <c r="BC208" i="11" s="1"/>
  <c r="BA209" i="11"/>
  <c r="BC209" i="11" s="1"/>
  <c r="BA357" i="11"/>
  <c r="BC357" i="11" s="1"/>
  <c r="BA112" i="11"/>
  <c r="BC112" i="11" s="1"/>
  <c r="BA122" i="11"/>
  <c r="BC122" i="11" s="1"/>
  <c r="BA338" i="11"/>
  <c r="BC338" i="11" s="1"/>
  <c r="BA158" i="11"/>
  <c r="BC158" i="11" s="1"/>
  <c r="BA242" i="11"/>
  <c r="BC242" i="11" s="1"/>
  <c r="BA266" i="11"/>
  <c r="BC266" i="11" s="1"/>
  <c r="BA110" i="11"/>
  <c r="BC110" i="11" s="1"/>
  <c r="BA362" i="11"/>
  <c r="BC362" i="11" s="1"/>
  <c r="BA314" i="11"/>
  <c r="BC314" i="11" s="1"/>
  <c r="BA410" i="11"/>
  <c r="BC410" i="11" s="1"/>
  <c r="BC340" i="11"/>
  <c r="Y529" i="11" l="1"/>
  <c r="AA529" i="11" s="1"/>
  <c r="W530" i="11" s="1"/>
  <c r="H419" i="11"/>
  <c r="Y530" i="11" l="1"/>
  <c r="AA530" i="11" s="1"/>
  <c r="W531" i="11" s="1"/>
  <c r="I419" i="11"/>
  <c r="AD419" i="11" s="1"/>
  <c r="AF419" i="11"/>
  <c r="Y531" i="11" l="1"/>
  <c r="AA531" i="11" s="1"/>
  <c r="W532" i="11" s="1"/>
  <c r="J419" i="11"/>
  <c r="AH419" i="11" s="1"/>
  <c r="Y532" i="11" l="1"/>
  <c r="AA532" i="11" s="1"/>
  <c r="W533" i="11" s="1"/>
  <c r="H420" i="11"/>
  <c r="Y533" i="11" l="1"/>
  <c r="AA533" i="11" s="1"/>
  <c r="W534" i="11" s="1"/>
  <c r="I420" i="11"/>
  <c r="AD420" i="11" s="1"/>
  <c r="AF420" i="11"/>
  <c r="Y534" i="11" l="1"/>
  <c r="AA534" i="11" s="1"/>
  <c r="W535" i="11" s="1"/>
  <c r="J420" i="11"/>
  <c r="AH420" i="11" s="1"/>
  <c r="Y535" i="11" l="1"/>
  <c r="AA535" i="11" s="1"/>
  <c r="W536" i="11" s="1"/>
  <c r="H421" i="11"/>
  <c r="Y536" i="11" l="1"/>
  <c r="AA536" i="11" s="1"/>
  <c r="W537" i="11" s="1"/>
  <c r="I421" i="11"/>
  <c r="AD421" i="11" s="1"/>
  <c r="AF421" i="11"/>
  <c r="Y537" i="11" l="1"/>
  <c r="AA537" i="11" s="1"/>
  <c r="W538" i="11" s="1"/>
  <c r="J421" i="11"/>
  <c r="AH421" i="11" s="1"/>
  <c r="Y538" i="11" l="1"/>
  <c r="AA538" i="11" s="1"/>
  <c r="W539" i="11" s="1"/>
  <c r="H422" i="11"/>
  <c r="Y539" i="11" l="1"/>
  <c r="AA539" i="11" s="1"/>
  <c r="W540" i="11" s="1"/>
  <c r="I422" i="11"/>
  <c r="AD422" i="11" s="1"/>
  <c r="AF422" i="11"/>
  <c r="Y540" i="11" l="1"/>
  <c r="AA540" i="11" s="1"/>
  <c r="W541" i="11" s="1"/>
  <c r="J422" i="11"/>
  <c r="AH422" i="11" s="1"/>
  <c r="Y541" i="11" l="1"/>
  <c r="AA541" i="11" s="1"/>
  <c r="W542" i="11" s="1"/>
  <c r="H423" i="11"/>
  <c r="Y542" i="11" l="1"/>
  <c r="AA542" i="11" s="1"/>
  <c r="W543" i="11" s="1"/>
  <c r="I423" i="11"/>
  <c r="AD423" i="11" s="1"/>
  <c r="AF423" i="11"/>
  <c r="Y543" i="11" l="1"/>
  <c r="AA543" i="11" s="1"/>
  <c r="W544" i="11" s="1"/>
  <c r="J423" i="11"/>
  <c r="AH423" i="11" s="1"/>
  <c r="Y544" i="11" l="1"/>
  <c r="AA544" i="11" s="1"/>
  <c r="W545" i="11" s="1"/>
  <c r="H424" i="11"/>
  <c r="Y545" i="11" l="1"/>
  <c r="AA545" i="11" s="1"/>
  <c r="W546" i="11" s="1"/>
  <c r="I424" i="11"/>
  <c r="AD424" i="11" s="1"/>
  <c r="AF424" i="11"/>
  <c r="Y546" i="11" l="1"/>
  <c r="AA546" i="11" s="1"/>
  <c r="W547" i="11" s="1"/>
  <c r="J424" i="11"/>
  <c r="AH424" i="11" s="1"/>
  <c r="Y547" i="11" l="1"/>
  <c r="AA547" i="11" s="1"/>
  <c r="W548" i="11" s="1"/>
  <c r="H425" i="11"/>
  <c r="Y548" i="11" l="1"/>
  <c r="AA548" i="11" s="1"/>
  <c r="W549" i="11" s="1"/>
  <c r="I425" i="11"/>
  <c r="AD425" i="11" s="1"/>
  <c r="AF425" i="11"/>
  <c r="Y549" i="11" l="1"/>
  <c r="AA549" i="11" s="1"/>
  <c r="W550" i="11" s="1"/>
  <c r="J425" i="11"/>
  <c r="AH425" i="11" s="1"/>
  <c r="Y550" i="11" l="1"/>
  <c r="AA550" i="11" s="1"/>
  <c r="W551" i="11" s="1"/>
  <c r="H426" i="11"/>
  <c r="Y551" i="11" l="1"/>
  <c r="AA551" i="11" s="1"/>
  <c r="W552" i="11" s="1"/>
  <c r="I426" i="11"/>
  <c r="AD426" i="11" s="1"/>
  <c r="AF426" i="11"/>
  <c r="Y552" i="11" l="1"/>
  <c r="AA552" i="11" s="1"/>
  <c r="W553" i="11" s="1"/>
  <c r="J426" i="11"/>
  <c r="AH426" i="11" s="1"/>
  <c r="Y553" i="11" l="1"/>
  <c r="AA553" i="11" s="1"/>
  <c r="W554" i="11" s="1"/>
  <c r="H427" i="11"/>
  <c r="Y554" i="11" l="1"/>
  <c r="AA554" i="11" s="1"/>
  <c r="W555" i="11" s="1"/>
  <c r="I427" i="11"/>
  <c r="AD427" i="11" s="1"/>
  <c r="AF427" i="11"/>
  <c r="Y555" i="11" l="1"/>
  <c r="AA555" i="11" s="1"/>
  <c r="W556" i="11" s="1"/>
  <c r="J427" i="11"/>
  <c r="AH427" i="11" s="1"/>
  <c r="Y556" i="11" l="1"/>
  <c r="AA556" i="11" s="1"/>
  <c r="W557" i="11" s="1"/>
  <c r="H428" i="11"/>
  <c r="Y557" i="11" l="1"/>
  <c r="AA557" i="11" s="1"/>
  <c r="W558" i="11" s="1"/>
  <c r="I428" i="11"/>
  <c r="AD428" i="11" s="1"/>
  <c r="AF428" i="11"/>
  <c r="Y558" i="11" l="1"/>
  <c r="AA558" i="11" s="1"/>
  <c r="W559" i="11" s="1"/>
  <c r="J428" i="11"/>
  <c r="AH428" i="11" s="1"/>
  <c r="Y559" i="11" l="1"/>
  <c r="AA559" i="11" s="1"/>
  <c r="W560" i="11" s="1"/>
  <c r="H429" i="11"/>
  <c r="Y560" i="11" l="1"/>
  <c r="AA560" i="11" s="1"/>
  <c r="W561" i="11" s="1"/>
  <c r="I429" i="11"/>
  <c r="AD429" i="11" s="1"/>
  <c r="AF429" i="11"/>
  <c r="Y561" i="11" l="1"/>
  <c r="AA561" i="11" s="1"/>
  <c r="W562" i="11" s="1"/>
  <c r="J429" i="11"/>
  <c r="AH429" i="11" s="1"/>
  <c r="Y562" i="11" l="1"/>
  <c r="AA562" i="11" s="1"/>
  <c r="W563" i="11" s="1"/>
  <c r="H430" i="11"/>
  <c r="Y563" i="11" l="1"/>
  <c r="AA563" i="11" s="1"/>
  <c r="W564" i="11" s="1"/>
  <c r="I430" i="11"/>
  <c r="AD430" i="11" s="1"/>
  <c r="AF430" i="11"/>
  <c r="Y564" i="11" l="1"/>
  <c r="AA564" i="11" s="1"/>
  <c r="W565" i="11" s="1"/>
  <c r="J430" i="11"/>
  <c r="AH430" i="11" s="1"/>
  <c r="Y565" i="11" l="1"/>
  <c r="AA565" i="11" s="1"/>
  <c r="W566" i="11" s="1"/>
  <c r="H431" i="11"/>
  <c r="Y566" i="11" l="1"/>
  <c r="AA566" i="11" s="1"/>
  <c r="W567" i="11" s="1"/>
  <c r="I431" i="11"/>
  <c r="AD431" i="11" s="1"/>
  <c r="AF431" i="11"/>
  <c r="Y567" i="11" l="1"/>
  <c r="AA567" i="11" s="1"/>
  <c r="W568" i="11" s="1"/>
  <c r="J431" i="11"/>
  <c r="Y568" i="11" l="1"/>
  <c r="AA568" i="11" s="1"/>
  <c r="W569" i="11" s="1"/>
  <c r="AH431" i="11"/>
  <c r="H432" i="11"/>
  <c r="Y569" i="11" l="1"/>
  <c r="AA569" i="11" s="1"/>
  <c r="W570" i="11" s="1"/>
  <c r="I432" i="11"/>
  <c r="AD432" i="11" s="1"/>
  <c r="AF432" i="11"/>
  <c r="Y570" i="11" l="1"/>
  <c r="AA570" i="11" s="1"/>
  <c r="W571" i="11" s="1"/>
  <c r="J432" i="11"/>
  <c r="AH432" i="11" s="1"/>
  <c r="Y571" i="11" l="1"/>
  <c r="AA571" i="11" s="1"/>
  <c r="W572" i="11" s="1"/>
  <c r="H433" i="11"/>
  <c r="Y572" i="11" l="1"/>
  <c r="AA572" i="11" s="1"/>
  <c r="W573" i="11" s="1"/>
  <c r="I433" i="11"/>
  <c r="AD433" i="11" s="1"/>
  <c r="AF433" i="11"/>
  <c r="Y573" i="11" l="1"/>
  <c r="AA573" i="11" s="1"/>
  <c r="W574" i="11" s="1"/>
  <c r="J433" i="11"/>
  <c r="AH433" i="11" s="1"/>
  <c r="Y574" i="11" l="1"/>
  <c r="AA574" i="11" s="1"/>
  <c r="W575" i="11" s="1"/>
  <c r="H434" i="11"/>
  <c r="Y575" i="11" l="1"/>
  <c r="AA575" i="11" s="1"/>
  <c r="W576" i="11" s="1"/>
  <c r="I434" i="11"/>
  <c r="AD434" i="11" s="1"/>
  <c r="AF434" i="11"/>
  <c r="Y576" i="11" l="1"/>
  <c r="AA576" i="11" s="1"/>
  <c r="W577" i="11" s="1"/>
  <c r="J434" i="11"/>
  <c r="AH434" i="11" s="1"/>
  <c r="Y577" i="11" l="1"/>
  <c r="AA577" i="11" s="1"/>
  <c r="W578" i="11" s="1"/>
  <c r="H435" i="11"/>
  <c r="Y578" i="11" l="1"/>
  <c r="AA578" i="11" s="1"/>
  <c r="W579" i="11" s="1"/>
  <c r="I435" i="11"/>
  <c r="AD435" i="11" s="1"/>
  <c r="AF435" i="11"/>
  <c r="Y579" i="11" l="1"/>
  <c r="AA579" i="11" s="1"/>
  <c r="W580" i="11" s="1"/>
  <c r="J435" i="11"/>
  <c r="AH435" i="11" s="1"/>
  <c r="Y580" i="11" l="1"/>
  <c r="AA580" i="11" s="1"/>
  <c r="W581" i="11" s="1"/>
  <c r="H436" i="11"/>
  <c r="Y581" i="11" l="1"/>
  <c r="AA581" i="11" s="1"/>
  <c r="W582" i="11" s="1"/>
  <c r="I436" i="11"/>
  <c r="AD436" i="11" s="1"/>
  <c r="AF436" i="11"/>
  <c r="Y582" i="11" l="1"/>
  <c r="AA582" i="11" s="1"/>
  <c r="W583" i="11" s="1"/>
  <c r="J436" i="11"/>
  <c r="AH436" i="11" s="1"/>
  <c r="H437" i="11" l="1"/>
  <c r="I437" i="11" s="1"/>
  <c r="AD437" i="11" s="1"/>
  <c r="Y583" i="11"/>
  <c r="AA583" i="11" s="1"/>
  <c r="W584" i="11" s="1"/>
  <c r="AF437" i="11" l="1"/>
  <c r="Y584" i="11"/>
  <c r="AA584" i="11" s="1"/>
  <c r="W585" i="11" s="1"/>
  <c r="J437" i="11"/>
  <c r="AH437" i="11" s="1"/>
  <c r="Y585" i="11" l="1"/>
  <c r="AA585" i="11" s="1"/>
  <c r="W586" i="11" s="1"/>
  <c r="H438" i="11"/>
  <c r="Y586" i="11" l="1"/>
  <c r="AA586" i="11" s="1"/>
  <c r="W587" i="11" s="1"/>
  <c r="I438" i="11"/>
  <c r="AD438" i="11" s="1"/>
  <c r="AF438" i="11"/>
  <c r="Y587" i="11" l="1"/>
  <c r="AA587" i="11" s="1"/>
  <c r="W588" i="11" s="1"/>
  <c r="J438" i="11"/>
  <c r="AH438" i="11" s="1"/>
  <c r="Y588" i="11" l="1"/>
  <c r="AA588" i="11" s="1"/>
  <c r="W589" i="11" s="1"/>
  <c r="H439" i="11"/>
  <c r="Y589" i="11" l="1"/>
  <c r="AA589" i="11" s="1"/>
  <c r="W590" i="11" s="1"/>
  <c r="I439" i="11"/>
  <c r="AD439" i="11" s="1"/>
  <c r="AF439" i="11"/>
  <c r="Y590" i="11" l="1"/>
  <c r="AA590" i="11" s="1"/>
  <c r="W591" i="11" s="1"/>
  <c r="J439" i="11"/>
  <c r="AH439" i="11" s="1"/>
  <c r="Y591" i="11" l="1"/>
  <c r="AA591" i="11" s="1"/>
  <c r="W592" i="11" s="1"/>
  <c r="H440" i="11"/>
  <c r="Y592" i="11" l="1"/>
  <c r="AA592" i="11" s="1"/>
  <c r="W593" i="11" s="1"/>
  <c r="I440" i="11"/>
  <c r="AD440" i="11" s="1"/>
  <c r="AF440" i="11"/>
  <c r="Y593" i="11" l="1"/>
  <c r="AA593" i="11" s="1"/>
  <c r="W594" i="11" s="1"/>
  <c r="J440" i="11"/>
  <c r="AH440" i="11" s="1"/>
  <c r="Y594" i="11" l="1"/>
  <c r="AA594" i="11" s="1"/>
  <c r="W595" i="11" s="1"/>
  <c r="H441" i="11"/>
  <c r="Y595" i="11" l="1"/>
  <c r="AA595" i="11" s="1"/>
  <c r="W596" i="11" s="1"/>
  <c r="I441" i="11"/>
  <c r="AD441" i="11" s="1"/>
  <c r="AF441" i="11"/>
  <c r="Y596" i="11" l="1"/>
  <c r="AA596" i="11" s="1"/>
  <c r="W597" i="11" s="1"/>
  <c r="J441" i="11"/>
  <c r="AH441" i="11" s="1"/>
  <c r="Y597" i="11" l="1"/>
  <c r="AA597" i="11" s="1"/>
  <c r="W598" i="11" s="1"/>
  <c r="H442" i="11"/>
  <c r="Y598" i="11" l="1"/>
  <c r="AA598" i="11" s="1"/>
  <c r="W599" i="11" s="1"/>
  <c r="I442" i="11"/>
  <c r="AD442" i="11" s="1"/>
  <c r="AF442" i="11"/>
  <c r="Y599" i="11" l="1"/>
  <c r="AA599" i="11" s="1"/>
  <c r="W600" i="11" s="1"/>
  <c r="J442" i="11"/>
  <c r="AH442" i="11" s="1"/>
  <c r="Y600" i="11" l="1"/>
  <c r="AA600" i="11" s="1"/>
  <c r="W601" i="11" s="1"/>
  <c r="H443" i="11"/>
  <c r="Y601" i="11" l="1"/>
  <c r="AA601" i="11" s="1"/>
  <c r="W602" i="11" s="1"/>
  <c r="I443" i="11"/>
  <c r="AD443" i="11" s="1"/>
  <c r="AF443" i="11"/>
  <c r="Y602" i="11" l="1"/>
  <c r="AA602" i="11" s="1"/>
  <c r="W603" i="11" s="1"/>
  <c r="J443" i="11"/>
  <c r="AH443" i="11" s="1"/>
  <c r="Y603" i="11" l="1"/>
  <c r="AA603" i="11" s="1"/>
  <c r="W604" i="11" s="1"/>
  <c r="H444" i="11"/>
  <c r="Y604" i="11" l="1"/>
  <c r="AA604" i="11" s="1"/>
  <c r="W605" i="11" s="1"/>
  <c r="I444" i="11"/>
  <c r="AD444" i="11" s="1"/>
  <c r="AF444" i="11"/>
  <c r="Y605" i="11" l="1"/>
  <c r="AA605" i="11" s="1"/>
  <c r="W606" i="11" s="1"/>
  <c r="J444" i="11"/>
  <c r="AH444" i="11" s="1"/>
  <c r="Y606" i="11" l="1"/>
  <c r="AA606" i="11" s="1"/>
  <c r="W607" i="11" s="1"/>
  <c r="H445" i="11"/>
  <c r="Y607" i="11" l="1"/>
  <c r="AA607" i="11" s="1"/>
  <c r="W608" i="11" s="1"/>
  <c r="I445" i="11"/>
  <c r="AD445" i="11" s="1"/>
  <c r="AF445" i="11"/>
  <c r="Y608" i="11" l="1"/>
  <c r="AA608" i="11" s="1"/>
  <c r="W609" i="11" s="1"/>
  <c r="J445" i="11"/>
  <c r="AH445" i="11" s="1"/>
  <c r="Y609" i="11" l="1"/>
  <c r="AA609" i="11" s="1"/>
  <c r="W610" i="11" s="1"/>
  <c r="H446" i="11"/>
  <c r="Y610" i="11" l="1"/>
  <c r="AA610" i="11" s="1"/>
  <c r="W611" i="11" s="1"/>
  <c r="I446" i="11"/>
  <c r="AD446" i="11" s="1"/>
  <c r="AF446" i="11"/>
  <c r="Y611" i="11" l="1"/>
  <c r="AA611" i="11" s="1"/>
  <c r="W612" i="11" s="1"/>
  <c r="J446" i="11"/>
  <c r="AH446" i="11" s="1"/>
  <c r="Y612" i="11" l="1"/>
  <c r="AA612" i="11" s="1"/>
  <c r="W613" i="11" s="1"/>
  <c r="H447" i="11"/>
  <c r="Y613" i="11" l="1"/>
  <c r="AA613" i="11" s="1"/>
  <c r="W614" i="11" s="1"/>
  <c r="I447" i="11"/>
  <c r="AD447" i="11" s="1"/>
  <c r="AF447" i="11"/>
  <c r="Y614" i="11" l="1"/>
  <c r="AA614" i="11" s="1"/>
  <c r="W615" i="11" s="1"/>
  <c r="J447" i="11"/>
  <c r="AH447" i="11" s="1"/>
  <c r="Y615" i="11" l="1"/>
  <c r="AA615" i="11" s="1"/>
  <c r="W616" i="11" s="1"/>
  <c r="H448" i="11"/>
  <c r="Y616" i="11" l="1"/>
  <c r="AA616" i="11" s="1"/>
  <c r="W617" i="11" s="1"/>
  <c r="I448" i="11"/>
  <c r="AD448" i="11" s="1"/>
  <c r="AF448" i="11"/>
  <c r="Y617" i="11" l="1"/>
  <c r="AA617" i="11" s="1"/>
  <c r="W618" i="11" s="1"/>
  <c r="J448" i="11"/>
  <c r="AH448" i="11" s="1"/>
  <c r="H449" i="11" l="1"/>
  <c r="I449" i="11" s="1"/>
  <c r="AD449" i="11" s="1"/>
  <c r="Y618" i="11"/>
  <c r="AA618" i="11" s="1"/>
  <c r="W619" i="11" s="1"/>
  <c r="AF449" i="11" l="1"/>
  <c r="BB335" i="11"/>
  <c r="BD335" i="11" s="1"/>
  <c r="BB255" i="11"/>
  <c r="BD255" i="11" s="1"/>
  <c r="BB364" i="11"/>
  <c r="BD364" i="11" s="1"/>
  <c r="BB331" i="11"/>
  <c r="BD331" i="11" s="1"/>
  <c r="Y619" i="11"/>
  <c r="AA619" i="11" s="1"/>
  <c r="W620" i="11" s="1"/>
  <c r="J449" i="11"/>
  <c r="AH449" i="11" s="1"/>
  <c r="BB305" i="11"/>
  <c r="BD305" i="11" s="1"/>
  <c r="BB304" i="11"/>
  <c r="BD304" i="11" s="1"/>
  <c r="BB418" i="11"/>
  <c r="BD418" i="11" s="1"/>
  <c r="BB298" i="11"/>
  <c r="BD298" i="11" s="1"/>
  <c r="BB362" i="11"/>
  <c r="BD362" i="11" s="1"/>
  <c r="BB358" i="11"/>
  <c r="BD358" i="11" s="1"/>
  <c r="BB196" i="11"/>
  <c r="BD196" i="11" s="1"/>
  <c r="BB417" i="11"/>
  <c r="BD417" i="11" s="1"/>
  <c r="BB424" i="11"/>
  <c r="BD424" i="11" s="1"/>
  <c r="BB316" i="11"/>
  <c r="BD316" i="11" s="1"/>
  <c r="BB357" i="11"/>
  <c r="BD357" i="11" s="1"/>
  <c r="BB429" i="11"/>
  <c r="BD429" i="11" s="1"/>
  <c r="BB266" i="11"/>
  <c r="BD266" i="11" s="1"/>
  <c r="BB262" i="11"/>
  <c r="BD262" i="11" s="1"/>
  <c r="BB201" i="11"/>
  <c r="BD201" i="11" s="1"/>
  <c r="BB314" i="11"/>
  <c r="BD314" i="11" s="1"/>
  <c r="BB113" i="11"/>
  <c r="BD113" i="11" s="1"/>
  <c r="BB197" i="11"/>
  <c r="BD197" i="11" s="1"/>
  <c r="BB353" i="11"/>
  <c r="BD353" i="11" s="1"/>
  <c r="BB149" i="11"/>
  <c r="BD149" i="11" s="1"/>
  <c r="BB209" i="11"/>
  <c r="BD209" i="11" s="1"/>
  <c r="H450" i="11" l="1"/>
  <c r="Y620" i="11"/>
  <c r="AA620" i="11" s="1"/>
  <c r="W621" i="11" s="1"/>
  <c r="I450" i="11" l="1"/>
  <c r="AF450" i="11"/>
  <c r="Y621" i="11"/>
  <c r="AA621" i="11" s="1"/>
  <c r="W622" i="11" s="1"/>
  <c r="AD450" i="11" l="1"/>
  <c r="J450" i="11"/>
  <c r="AH450" i="11" s="1"/>
  <c r="Y622" i="11"/>
  <c r="AA622" i="11" s="1"/>
  <c r="W623" i="11" s="1"/>
  <c r="H451" i="11" l="1"/>
  <c r="I451" i="11" s="1"/>
  <c r="Y623" i="11"/>
  <c r="AA623" i="11" s="1"/>
  <c r="W624" i="11" s="1"/>
  <c r="AD451" i="11" l="1"/>
  <c r="J451" i="11"/>
  <c r="AH451" i="11" s="1"/>
  <c r="AF451" i="11"/>
  <c r="G29" i="11" s="1"/>
  <c r="N15" i="21" s="1"/>
  <c r="Y624" i="11"/>
  <c r="AA624" i="11" s="1"/>
  <c r="W625" i="11" s="1"/>
  <c r="H452" i="11" l="1"/>
  <c r="I452" i="11" s="1"/>
  <c r="AD452" i="11" s="1"/>
  <c r="N15" i="17"/>
  <c r="Y625" i="11"/>
  <c r="AA625" i="11" s="1"/>
  <c r="W626" i="11" s="1"/>
  <c r="AF452" i="11" l="1"/>
  <c r="J452" i="11"/>
  <c r="AH452" i="11" s="1"/>
  <c r="Y626" i="11"/>
  <c r="AA626" i="11" s="1"/>
  <c r="W627" i="11" s="1"/>
  <c r="H453" i="11" l="1"/>
  <c r="I453" i="11" s="1"/>
  <c r="Y627" i="11"/>
  <c r="AA627" i="11" s="1"/>
  <c r="W628" i="11" s="1"/>
  <c r="AF453" i="11" l="1"/>
  <c r="AD453" i="11"/>
  <c r="J453" i="11"/>
  <c r="AH453" i="11" s="1"/>
  <c r="Y628" i="11"/>
  <c r="AA628" i="11" s="1"/>
  <c r="W629" i="11" s="1"/>
  <c r="H454" i="11" l="1"/>
  <c r="I454" i="11" s="1"/>
  <c r="AD454" i="11" s="1"/>
  <c r="Y629" i="11"/>
  <c r="AA629" i="11" s="1"/>
  <c r="W630" i="11" s="1"/>
  <c r="AF454" i="11" l="1"/>
  <c r="J454" i="11"/>
  <c r="AH454" i="11" s="1"/>
  <c r="Y630" i="11"/>
  <c r="AA630" i="11" s="1"/>
  <c r="W631" i="11" s="1"/>
  <c r="H455" i="11" l="1"/>
  <c r="I455" i="11" s="1"/>
  <c r="AD455" i="11" s="1"/>
  <c r="Y631" i="11"/>
  <c r="AA631" i="11" s="1"/>
  <c r="W632" i="11" s="1"/>
  <c r="AF455" i="11" l="1"/>
  <c r="J455" i="11"/>
  <c r="AH455" i="11" s="1"/>
  <c r="H456" i="11"/>
  <c r="Y632" i="11"/>
  <c r="AA632" i="11" s="1"/>
  <c r="W633" i="11" s="1"/>
  <c r="I456" i="11" l="1"/>
  <c r="AD456" i="11" s="1"/>
  <c r="AF456" i="11"/>
  <c r="Y633" i="11"/>
  <c r="AA633" i="11" s="1"/>
  <c r="W634" i="11" s="1"/>
  <c r="J456" i="11" l="1"/>
  <c r="AH456" i="11" s="1"/>
  <c r="Y634" i="11"/>
  <c r="AA634" i="11" s="1"/>
  <c r="W635" i="11" s="1"/>
  <c r="H457" i="11" l="1"/>
  <c r="I457" i="11" s="1"/>
  <c r="AD457" i="11" s="1"/>
  <c r="Y635" i="11"/>
  <c r="AA635" i="11" s="1"/>
  <c r="W636" i="11" s="1"/>
  <c r="J457" i="11" l="1"/>
  <c r="AH457" i="11" s="1"/>
  <c r="AF457" i="11"/>
  <c r="H458" i="11"/>
  <c r="Y636" i="11"/>
  <c r="AA636" i="11" s="1"/>
  <c r="W637" i="11" s="1"/>
  <c r="I458" i="11" l="1"/>
  <c r="AD458" i="11" s="1"/>
  <c r="AF458" i="11"/>
  <c r="J458" i="11"/>
  <c r="AH458" i="11" s="1"/>
  <c r="Y637" i="11"/>
  <c r="AA637" i="11" s="1"/>
  <c r="W638" i="11" s="1"/>
  <c r="H459" i="11" l="1"/>
  <c r="Y638" i="11"/>
  <c r="AA638" i="11" s="1"/>
  <c r="W639" i="11" s="1"/>
  <c r="I459" i="11" l="1"/>
  <c r="AD459" i="11" s="1"/>
  <c r="AF459" i="11"/>
  <c r="Y639" i="11"/>
  <c r="AA639" i="11" s="1"/>
  <c r="W640" i="11" s="1"/>
  <c r="J459" i="11" l="1"/>
  <c r="AH459" i="11" s="1"/>
  <c r="Y640" i="11"/>
  <c r="AA640" i="11" s="1"/>
  <c r="W641" i="11" s="1"/>
  <c r="H460" i="11" l="1"/>
  <c r="I460" i="11" s="1"/>
  <c r="AD460" i="11" s="1"/>
  <c r="Y641" i="11"/>
  <c r="AA641" i="11" s="1"/>
  <c r="W642" i="11" s="1"/>
  <c r="AF460" i="11" l="1"/>
  <c r="J460" i="11"/>
  <c r="AH460" i="11" s="1"/>
  <c r="Y642" i="11"/>
  <c r="AA642" i="11" s="1"/>
  <c r="W643" i="11" s="1"/>
  <c r="H461" i="11" l="1"/>
  <c r="I461" i="11" s="1"/>
  <c r="AD461" i="11" s="1"/>
  <c r="Y643" i="11"/>
  <c r="AA643" i="11" s="1"/>
  <c r="W644" i="11" s="1"/>
  <c r="AF461" i="11" l="1"/>
  <c r="J461" i="11"/>
  <c r="AH461" i="11" s="1"/>
  <c r="H462" i="11"/>
  <c r="Y644" i="11"/>
  <c r="AA644" i="11" s="1"/>
  <c r="W645" i="11" s="1"/>
  <c r="I462" i="11" l="1"/>
  <c r="AD462" i="11" s="1"/>
  <c r="AF462" i="11"/>
  <c r="Y645" i="11"/>
  <c r="AA645" i="11" s="1"/>
  <c r="W646" i="11" s="1"/>
  <c r="J462" i="11" l="1"/>
  <c r="AH462" i="11" s="1"/>
  <c r="Y646" i="11"/>
  <c r="AA646" i="11" s="1"/>
  <c r="W647" i="11" s="1"/>
  <c r="H463" i="11" l="1"/>
  <c r="I463" i="11" s="1"/>
  <c r="AD463" i="11" s="1"/>
  <c r="Y647" i="11"/>
  <c r="AA647" i="11" s="1"/>
  <c r="W648" i="11" s="1"/>
  <c r="AF463" i="11" l="1"/>
  <c r="J463" i="11"/>
  <c r="AH463" i="11" s="1"/>
  <c r="Y648" i="11"/>
  <c r="AA648" i="11" s="1"/>
  <c r="W649" i="11" s="1"/>
  <c r="H464" i="11" l="1"/>
  <c r="I464" i="11" s="1"/>
  <c r="AD464" i="11" s="1"/>
  <c r="Y649" i="11"/>
  <c r="AA649" i="11" s="1"/>
  <c r="W650" i="11" s="1"/>
  <c r="AF464" i="11" l="1"/>
  <c r="J464" i="11"/>
  <c r="AH464" i="11" s="1"/>
  <c r="Y650" i="11"/>
  <c r="AA650" i="11" s="1"/>
  <c r="W651" i="11" s="1"/>
  <c r="H465" i="11" l="1"/>
  <c r="I465" i="11" s="1"/>
  <c r="AD465" i="11" s="1"/>
  <c r="Y651" i="11"/>
  <c r="AA651" i="11" s="1"/>
  <c r="W652" i="11" s="1"/>
  <c r="AF465" i="11" l="1"/>
  <c r="J465" i="11"/>
  <c r="AH465" i="11" s="1"/>
  <c r="Y652" i="11"/>
  <c r="AA652" i="11" s="1"/>
  <c r="W653" i="11" s="1"/>
  <c r="H466" i="11" l="1"/>
  <c r="I466" i="11" s="1"/>
  <c r="AD466" i="11" s="1"/>
  <c r="Y653" i="11"/>
  <c r="AA653" i="11" s="1"/>
  <c r="W654" i="11" s="1"/>
  <c r="AF466" i="11" l="1"/>
  <c r="J466" i="11"/>
  <c r="AH466" i="11" s="1"/>
  <c r="Y654" i="11"/>
  <c r="AA654" i="11" s="1"/>
  <c r="W655" i="11" s="1"/>
  <c r="H467" i="11" l="1"/>
  <c r="AF467" i="11" s="1"/>
  <c r="Y655" i="11"/>
  <c r="AA655" i="11" s="1"/>
  <c r="W656" i="11" s="1"/>
  <c r="I467" i="11" l="1"/>
  <c r="AD467" i="11" s="1"/>
  <c r="J467" i="11"/>
  <c r="AH467" i="11" s="1"/>
  <c r="Y656" i="11"/>
  <c r="AA656" i="11" s="1"/>
  <c r="W657" i="11" s="1"/>
  <c r="H468" i="11" l="1"/>
  <c r="I468" i="11" s="1"/>
  <c r="AD468" i="11" s="1"/>
  <c r="Y657" i="11"/>
  <c r="AA657" i="11" s="1"/>
  <c r="W658" i="11" s="1"/>
  <c r="J468" i="11" l="1"/>
  <c r="AH468" i="11" s="1"/>
  <c r="AF468" i="11"/>
  <c r="Y658" i="11"/>
  <c r="AA658" i="11" s="1"/>
  <c r="W659" i="11" s="1"/>
  <c r="H469" i="11" l="1"/>
  <c r="I469" i="11" s="1"/>
  <c r="AD469" i="11" s="1"/>
  <c r="Y659" i="11"/>
  <c r="AA659" i="11" s="1"/>
  <c r="W660" i="11" s="1"/>
  <c r="AF469" i="11" l="1"/>
  <c r="J469" i="11"/>
  <c r="AH469" i="11" s="1"/>
  <c r="Y660" i="11"/>
  <c r="AA660" i="11" s="1"/>
  <c r="W661" i="11" s="1"/>
  <c r="H470" i="11" l="1"/>
  <c r="I470" i="11" s="1"/>
  <c r="AD470" i="11" s="1"/>
  <c r="Y661" i="11"/>
  <c r="AA661" i="11" s="1"/>
  <c r="W662" i="11" s="1"/>
  <c r="AF470" i="11" l="1"/>
  <c r="J470" i="11"/>
  <c r="AH470" i="11" s="1"/>
  <c r="Y662" i="11"/>
  <c r="AA662" i="11" s="1"/>
  <c r="W663" i="11" s="1"/>
  <c r="H471" i="11" l="1"/>
  <c r="I471" i="11" s="1"/>
  <c r="Y663" i="11"/>
  <c r="AA663" i="11" s="1"/>
  <c r="W664" i="11" s="1"/>
  <c r="AF471" i="11" l="1"/>
  <c r="AD471" i="11"/>
  <c r="J471" i="11"/>
  <c r="AH471" i="11" s="1"/>
  <c r="Y664" i="11"/>
  <c r="AA664" i="11" s="1"/>
  <c r="W665" i="11" s="1"/>
  <c r="H472" i="11" l="1"/>
  <c r="I472" i="11" s="1"/>
  <c r="AD472" i="11" s="1"/>
  <c r="Y665" i="11"/>
  <c r="AA665" i="11" s="1"/>
  <c r="W666" i="11" s="1"/>
  <c r="AF472" i="11" l="1"/>
  <c r="J472" i="11"/>
  <c r="AH472" i="11" s="1"/>
  <c r="H473" i="11"/>
  <c r="Y666" i="11"/>
  <c r="AA666" i="11" s="1"/>
  <c r="W667" i="11" s="1"/>
  <c r="I473" i="11" l="1"/>
  <c r="AD473" i="11" s="1"/>
  <c r="AF473" i="11"/>
  <c r="Y667" i="11"/>
  <c r="AA667" i="11" s="1"/>
  <c r="W668" i="11" s="1"/>
  <c r="J473" i="11" l="1"/>
  <c r="AH473" i="11" s="1"/>
  <c r="Y668" i="11"/>
  <c r="AA668" i="11" s="1"/>
  <c r="W669" i="11" s="1"/>
  <c r="H474" i="11" l="1"/>
  <c r="I474" i="11" s="1"/>
  <c r="Y669" i="11"/>
  <c r="AA669" i="11" s="1"/>
  <c r="W670" i="11" s="1"/>
  <c r="AD474" i="11" l="1"/>
  <c r="J474" i="11"/>
  <c r="AH474" i="11" s="1"/>
  <c r="AF474" i="11"/>
  <c r="H475" i="11"/>
  <c r="Y670" i="11"/>
  <c r="AA670" i="11" s="1"/>
  <c r="W671" i="11" s="1"/>
  <c r="I475" i="11" l="1"/>
  <c r="AD475" i="11" s="1"/>
  <c r="AF475" i="11"/>
  <c r="Y671" i="11"/>
  <c r="AA671" i="11" s="1"/>
  <c r="W672" i="11" s="1"/>
  <c r="J475" i="11" l="1"/>
  <c r="AH475" i="11" s="1"/>
  <c r="H476" i="11"/>
  <c r="Y672" i="11"/>
  <c r="AA672" i="11" s="1"/>
  <c r="W673" i="11" s="1"/>
  <c r="I476" i="11" l="1"/>
  <c r="AD476" i="11" s="1"/>
  <c r="AF476" i="11"/>
  <c r="Y673" i="11"/>
  <c r="AA673" i="11" s="1"/>
  <c r="W674" i="11" s="1"/>
  <c r="J476" i="11" l="1"/>
  <c r="AH476" i="11" s="1"/>
  <c r="H477" i="11"/>
  <c r="Y674" i="11"/>
  <c r="AA674" i="11" s="1"/>
  <c r="W675" i="11" s="1"/>
  <c r="I477" i="11" l="1"/>
  <c r="AD477" i="11" s="1"/>
  <c r="AF477" i="11"/>
  <c r="Y675" i="11"/>
  <c r="AA675" i="11" s="1"/>
  <c r="W676" i="11" s="1"/>
  <c r="J477" i="11" l="1"/>
  <c r="AH477" i="11" s="1"/>
  <c r="Y676" i="11"/>
  <c r="AA676" i="11" s="1"/>
  <c r="W677" i="11" s="1"/>
  <c r="H478" i="11" l="1"/>
  <c r="AF478" i="11" s="1"/>
  <c r="Y677" i="11"/>
  <c r="AA677" i="11" s="1"/>
  <c r="W678" i="11" s="1"/>
  <c r="I478" i="11" l="1"/>
  <c r="AD478" i="11" s="1"/>
  <c r="J478" i="11"/>
  <c r="AH478" i="11" s="1"/>
  <c r="Y678" i="11"/>
  <c r="AA678" i="11" s="1"/>
  <c r="W679" i="11" s="1"/>
  <c r="H479" i="11" l="1"/>
  <c r="I479" i="11" s="1"/>
  <c r="AD479" i="11" s="1"/>
  <c r="Y679" i="11"/>
  <c r="AA679" i="11" s="1"/>
  <c r="W680" i="11" s="1"/>
  <c r="AF479" i="11" l="1"/>
  <c r="J479" i="11"/>
  <c r="AH479" i="11" s="1"/>
  <c r="Y680" i="11"/>
  <c r="AA680" i="11" s="1"/>
  <c r="W681" i="11" s="1"/>
  <c r="H480" i="11" l="1"/>
  <c r="I480" i="11" s="1"/>
  <c r="AD480" i="11" s="1"/>
  <c r="Y681" i="11"/>
  <c r="AA681" i="11" s="1"/>
  <c r="W682" i="11" s="1"/>
  <c r="AF480" i="11" l="1"/>
  <c r="J480" i="11"/>
  <c r="AH480" i="11" s="1"/>
  <c r="Y682" i="11"/>
  <c r="AA682" i="11" s="1"/>
  <c r="W683" i="11" s="1"/>
  <c r="H481" i="11" l="1"/>
  <c r="AF481" i="11" s="1"/>
  <c r="Y683" i="11"/>
  <c r="AA683" i="11" s="1"/>
  <c r="W684" i="11" s="1"/>
  <c r="I481" i="11" l="1"/>
  <c r="AD481" i="11" s="1"/>
  <c r="J481" i="11"/>
  <c r="AH481" i="11" s="1"/>
  <c r="Y684" i="11"/>
  <c r="AA684" i="11" s="1"/>
  <c r="W685" i="11" s="1"/>
  <c r="H482" i="11" l="1"/>
  <c r="I482" i="11" s="1"/>
  <c r="AD482" i="11" s="1"/>
  <c r="Y685" i="11"/>
  <c r="AA685" i="11" s="1"/>
  <c r="W686" i="11" s="1"/>
  <c r="AF482" i="11" l="1"/>
  <c r="J482" i="11"/>
  <c r="AH482" i="11" s="1"/>
  <c r="Y686" i="11"/>
  <c r="AA686" i="11" s="1"/>
  <c r="W687" i="11" s="1"/>
  <c r="H483" i="11" l="1"/>
  <c r="I483" i="11" s="1"/>
  <c r="Y687" i="11"/>
  <c r="AA687" i="11" s="1"/>
  <c r="W688" i="11" s="1"/>
  <c r="AD483" i="11" l="1"/>
  <c r="J483" i="11"/>
  <c r="AH483" i="11" s="1"/>
  <c r="AF483" i="11"/>
  <c r="Y688" i="11"/>
  <c r="AA688" i="11" s="1"/>
  <c r="W689" i="11" s="1"/>
  <c r="AC690" i="11" s="1"/>
  <c r="AG690" i="11" s="1"/>
  <c r="H484" i="11" l="1"/>
  <c r="I484" i="11" s="1"/>
  <c r="AD484" i="11" s="1"/>
  <c r="E27" i="11"/>
  <c r="L13" i="17" s="1"/>
  <c r="E29" i="11"/>
  <c r="E31" i="11"/>
  <c r="E30" i="11"/>
  <c r="E28" i="11"/>
  <c r="E21" i="11"/>
  <c r="E24" i="11"/>
  <c r="E20" i="11"/>
  <c r="E22" i="11"/>
  <c r="E26" i="11"/>
  <c r="E32" i="11"/>
  <c r="E23" i="11"/>
  <c r="E25" i="11"/>
  <c r="Y689" i="11"/>
  <c r="AA689" i="11" s="1"/>
  <c r="W690" i="11"/>
  <c r="AF484" i="11" l="1"/>
  <c r="L13" i="21"/>
  <c r="J484" i="11"/>
  <c r="AH484" i="11" s="1"/>
  <c r="L14" i="17"/>
  <c r="L14" i="21"/>
  <c r="L16" i="17"/>
  <c r="L16" i="21"/>
  <c r="L17" i="17"/>
  <c r="L17" i="21"/>
  <c r="L15" i="21"/>
  <c r="L15" i="17"/>
  <c r="L9" i="17"/>
  <c r="L9" i="21"/>
  <c r="L12" i="17"/>
  <c r="L12" i="21"/>
  <c r="L8" i="17"/>
  <c r="L8" i="21"/>
  <c r="L6" i="17"/>
  <c r="L6" i="21"/>
  <c r="L10" i="17"/>
  <c r="L10" i="21"/>
  <c r="L11" i="17"/>
  <c r="L11" i="21"/>
  <c r="F32" i="11"/>
  <c r="L18" i="21"/>
  <c r="L18" i="17"/>
  <c r="L7" i="21"/>
  <c r="L7" i="17"/>
  <c r="AF690" i="11"/>
  <c r="Y690" i="11"/>
  <c r="AD690" i="11" s="1"/>
  <c r="K29" i="11" s="1"/>
  <c r="L59" i="17" s="1"/>
  <c r="BA247" i="11" l="1"/>
  <c r="BC247" i="11" s="1"/>
  <c r="BA175" i="11"/>
  <c r="BC175" i="11" s="1"/>
  <c r="BA164" i="11"/>
  <c r="BC164" i="11" s="1"/>
  <c r="BA236" i="11"/>
  <c r="BC236" i="11" s="1"/>
  <c r="BA225" i="11"/>
  <c r="BC225" i="11" s="1"/>
  <c r="BA224" i="11"/>
  <c r="BC224" i="11" s="1"/>
  <c r="BA483" i="11"/>
  <c r="BC483" i="11" s="1"/>
  <c r="BA285" i="11"/>
  <c r="BC285" i="11" s="1"/>
  <c r="BA449" i="11"/>
  <c r="BC449" i="11" s="1"/>
  <c r="BA573" i="11"/>
  <c r="BC573" i="11" s="1"/>
  <c r="BA574" i="11"/>
  <c r="BC574" i="11" s="1"/>
  <c r="BA450" i="11"/>
  <c r="BC450" i="11" s="1"/>
  <c r="BA515" i="11"/>
  <c r="BC515" i="11" s="1"/>
  <c r="BA575" i="11"/>
  <c r="BC575" i="11" s="1"/>
  <c r="BA558" i="11"/>
  <c r="BC558" i="11" s="1"/>
  <c r="BA554" i="11"/>
  <c r="BC554" i="11" s="1"/>
  <c r="BA678" i="11"/>
  <c r="BC678" i="11" s="1"/>
  <c r="BA582" i="11"/>
  <c r="BC582" i="11" s="1"/>
  <c r="H485" i="11"/>
  <c r="I485" i="11" s="1"/>
  <c r="AD485" i="11" s="1"/>
  <c r="BA313" i="11"/>
  <c r="BC313" i="11" s="1"/>
  <c r="BA642" i="11"/>
  <c r="BC642" i="11" s="1"/>
  <c r="BA335" i="11"/>
  <c r="BC335" i="11" s="1"/>
  <c r="BA255" i="11"/>
  <c r="BC255" i="11" s="1"/>
  <c r="BA331" i="11"/>
  <c r="BC331" i="11" s="1"/>
  <c r="M18" i="21"/>
  <c r="M18" i="17"/>
  <c r="J485" i="11" l="1"/>
  <c r="AH485" i="11" s="1"/>
  <c r="AF485" i="11"/>
  <c r="BC85" i="11"/>
  <c r="BC86" i="11" s="1"/>
  <c r="BP334" i="11"/>
  <c r="H486" i="11" l="1"/>
  <c r="AF486" i="11" s="1"/>
  <c r="K40" i="11"/>
  <c r="I486" i="11" l="1"/>
  <c r="AD486" i="11" s="1"/>
  <c r="D13" i="21"/>
  <c r="D12" i="17"/>
  <c r="J486" i="11" l="1"/>
  <c r="AH486" i="11" s="1"/>
  <c r="H487" i="11" l="1"/>
  <c r="I487" i="11" l="1"/>
  <c r="AF487" i="11"/>
  <c r="AD487" i="11" l="1"/>
  <c r="J487" i="11"/>
  <c r="AH487" i="11" l="1"/>
  <c r="H488" i="11"/>
  <c r="I488" i="11" l="1"/>
  <c r="J488" i="11" s="1"/>
  <c r="AH488" i="11" s="1"/>
  <c r="AF488" i="11"/>
  <c r="AD488" i="11" l="1"/>
  <c r="H489" i="11"/>
  <c r="I489" i="11" l="1"/>
  <c r="J489" i="11" s="1"/>
  <c r="AH489" i="11" s="1"/>
  <c r="AF489" i="11"/>
  <c r="AD489" i="11" l="1"/>
  <c r="H490" i="11"/>
  <c r="I490" i="11" l="1"/>
  <c r="AF490" i="11"/>
  <c r="J490" i="11"/>
  <c r="AH490" i="11" s="1"/>
  <c r="AD490" i="11" l="1"/>
  <c r="H491" i="11"/>
  <c r="I491" i="11" l="1"/>
  <c r="J491" i="11" s="1"/>
  <c r="AH491" i="11" s="1"/>
  <c r="AF491" i="11"/>
  <c r="AD491" i="11" l="1"/>
  <c r="H492" i="11"/>
  <c r="AF492" i="11" l="1"/>
  <c r="I492" i="11"/>
  <c r="AD492" i="11" l="1"/>
  <c r="J492" i="11"/>
  <c r="AH492" i="11" l="1"/>
  <c r="H493" i="11"/>
  <c r="I493" i="11" l="1"/>
  <c r="AD493" i="11" s="1"/>
  <c r="AF493" i="11"/>
  <c r="J493" i="11" l="1"/>
  <c r="AH493" i="11" s="1"/>
  <c r="H494" i="11" l="1"/>
  <c r="I494" i="11" s="1"/>
  <c r="AD494" i="11" l="1"/>
  <c r="J494" i="11"/>
  <c r="AH494" i="11" s="1"/>
  <c r="AF494" i="11"/>
  <c r="H495" i="11" l="1"/>
  <c r="I495" i="11" s="1"/>
  <c r="AD495" i="11" s="1"/>
  <c r="AF495" i="11" l="1"/>
  <c r="J495" i="11"/>
  <c r="AH495" i="11" s="1"/>
  <c r="H496" i="11" l="1"/>
  <c r="I496" i="11" s="1"/>
  <c r="AD496" i="11" s="1"/>
  <c r="J496" i="11"/>
  <c r="AH496" i="11" s="1"/>
  <c r="AF496" i="11" l="1"/>
  <c r="H497" i="11"/>
  <c r="AF497" i="11" s="1"/>
  <c r="I497" i="11" l="1"/>
  <c r="AD497" i="11" s="1"/>
  <c r="J497" i="11"/>
  <c r="AH497" i="11" s="1"/>
  <c r="H498" i="11"/>
  <c r="I498" i="11" l="1"/>
  <c r="AD498" i="11" s="1"/>
  <c r="AF498" i="11"/>
  <c r="J498" i="11"/>
  <c r="AH498" i="11" s="1"/>
  <c r="H499" i="11" l="1"/>
  <c r="I499" i="11" s="1"/>
  <c r="AD499" i="11" s="1"/>
  <c r="J499" i="11"/>
  <c r="AH499" i="11" s="1"/>
  <c r="H500" i="11"/>
  <c r="AF499" i="11" l="1"/>
  <c r="I500" i="11"/>
  <c r="AD500" i="11" s="1"/>
  <c r="AF500" i="11"/>
  <c r="J500" i="11" l="1"/>
  <c r="AH500" i="11" s="1"/>
  <c r="H501" i="11" l="1"/>
  <c r="I501" i="11" s="1"/>
  <c r="AD501" i="11" l="1"/>
  <c r="J501" i="11"/>
  <c r="AH501" i="11" s="1"/>
  <c r="AF501" i="11"/>
  <c r="H502" i="11" l="1"/>
  <c r="AF502" i="11" s="1"/>
  <c r="I502" i="11" l="1"/>
  <c r="AD502" i="11" s="1"/>
  <c r="J502" i="11"/>
  <c r="AH502" i="11" s="1"/>
  <c r="H503" i="11" l="1"/>
  <c r="I503" i="11" s="1"/>
  <c r="AD503" i="11" s="1"/>
  <c r="AF503" i="11" l="1"/>
  <c r="J503" i="11"/>
  <c r="AH503" i="11" s="1"/>
  <c r="H504" i="11" l="1"/>
  <c r="I504" i="11" s="1"/>
  <c r="AD504" i="11" s="1"/>
  <c r="AF504" i="11" l="1"/>
  <c r="J504" i="11"/>
  <c r="AH504" i="11" s="1"/>
  <c r="H505" i="11" l="1"/>
  <c r="I505" i="11" s="1"/>
  <c r="AD505" i="11" s="1"/>
  <c r="AF505" i="11" l="1"/>
  <c r="J505" i="11"/>
  <c r="AH505" i="11" s="1"/>
  <c r="H506" i="11" l="1"/>
  <c r="I506" i="11" s="1"/>
  <c r="AD506" i="11" s="1"/>
  <c r="AF506" i="11" l="1"/>
  <c r="J506" i="11"/>
  <c r="AH506" i="11" s="1"/>
  <c r="H507" i="11"/>
  <c r="I507" i="11" l="1"/>
  <c r="AD507" i="11" s="1"/>
  <c r="AF507" i="11"/>
  <c r="J507" i="11"/>
  <c r="AH507" i="11" s="1"/>
  <c r="H508" i="11" l="1"/>
  <c r="I508" i="11" l="1"/>
  <c r="AD508" i="11" s="1"/>
  <c r="AF508" i="11"/>
  <c r="J508" i="11" l="1"/>
  <c r="AH508" i="11" s="1"/>
  <c r="H509" i="11"/>
  <c r="I509" i="11" l="1"/>
  <c r="AD509" i="11" s="1"/>
  <c r="AF509" i="11"/>
  <c r="J509" i="11" l="1"/>
  <c r="AH509" i="11" s="1"/>
  <c r="H510" i="11" l="1"/>
  <c r="I510" i="11" s="1"/>
  <c r="AD510" i="11" s="1"/>
  <c r="AF510" i="11" l="1"/>
  <c r="J510" i="11"/>
  <c r="AH510" i="11" s="1"/>
  <c r="H511" i="11" l="1"/>
  <c r="I511" i="11" s="1"/>
  <c r="AD511" i="11" s="1"/>
  <c r="AF511" i="11" l="1"/>
  <c r="G30" i="11" s="1"/>
  <c r="N16" i="21" s="1"/>
  <c r="J511" i="11"/>
  <c r="AH511" i="11" s="1"/>
  <c r="N16" i="17" l="1"/>
  <c r="H512" i="11"/>
  <c r="I512" i="11" s="1"/>
  <c r="AD512" i="11" s="1"/>
  <c r="AF512" i="11" l="1"/>
  <c r="J512" i="11"/>
  <c r="AH512" i="11" s="1"/>
  <c r="H513" i="11" l="1"/>
  <c r="AF513" i="11" l="1"/>
  <c r="I513" i="11"/>
  <c r="AD513" i="11" s="1"/>
  <c r="J513" i="11" l="1"/>
  <c r="AH513" i="11" l="1"/>
  <c r="H514" i="11"/>
  <c r="I514" i="11" l="1"/>
  <c r="J514" i="11" s="1"/>
  <c r="AH514" i="11" s="1"/>
  <c r="AF514" i="11"/>
  <c r="AD514" i="11" l="1"/>
  <c r="H515" i="11"/>
  <c r="I515" i="11" l="1"/>
  <c r="AD515" i="11" s="1"/>
  <c r="AF515" i="11"/>
  <c r="J515" i="11"/>
  <c r="AH515" i="11" s="1"/>
  <c r="H516" i="11" l="1"/>
  <c r="I516" i="11" l="1"/>
  <c r="AF516" i="11"/>
  <c r="AD516" i="11" l="1"/>
  <c r="J516" i="11"/>
  <c r="AH516" i="11" s="1"/>
  <c r="H517" i="11" l="1"/>
  <c r="I517" i="11" s="1"/>
  <c r="AF517" i="11" l="1"/>
  <c r="AD517" i="11"/>
  <c r="J517" i="11"/>
  <c r="AH517" i="11" l="1"/>
  <c r="H518" i="11"/>
  <c r="I518" i="11" l="1"/>
  <c r="AD518" i="11" s="1"/>
  <c r="AF518" i="11"/>
  <c r="J518" i="11" l="1"/>
  <c r="AH518" i="11" l="1"/>
  <c r="H519" i="11"/>
  <c r="I519" i="11" l="1"/>
  <c r="AF519" i="11"/>
  <c r="J519" i="11" l="1"/>
  <c r="AH519" i="11" s="1"/>
  <c r="AD519" i="11"/>
  <c r="H520" i="11" l="1"/>
  <c r="AF520" i="11" l="1"/>
  <c r="I520" i="11"/>
  <c r="AD520" i="11" s="1"/>
  <c r="J520" i="11" l="1"/>
  <c r="AH520" i="11" l="1"/>
  <c r="H521" i="11"/>
  <c r="I521" i="11" l="1"/>
  <c r="AD521" i="11" s="1"/>
  <c r="AF521" i="11"/>
  <c r="J521" i="11" l="1"/>
  <c r="AH521" i="11" l="1"/>
  <c r="H522" i="11"/>
  <c r="I522" i="11" l="1"/>
  <c r="AF522" i="11"/>
  <c r="J522" i="11"/>
  <c r="AH522" i="11" s="1"/>
  <c r="AD522" i="11" l="1"/>
  <c r="H523" i="11"/>
  <c r="I523" i="11" l="1"/>
  <c r="AD523" i="11" s="1"/>
  <c r="AF523" i="11"/>
  <c r="J523" i="11"/>
  <c r="AH523" i="11" s="1"/>
  <c r="H524" i="11" l="1"/>
  <c r="I524" i="11" s="1"/>
  <c r="AF524" i="11" l="1"/>
  <c r="AD524" i="11"/>
  <c r="J524" i="11"/>
  <c r="AH524" i="11" s="1"/>
  <c r="H525" i="11" l="1"/>
  <c r="AF525" i="11" l="1"/>
  <c r="I525" i="11"/>
  <c r="AD525" i="11" s="1"/>
  <c r="J525" i="11" l="1"/>
  <c r="AH525" i="11" s="1"/>
  <c r="H526" i="11" l="1"/>
  <c r="I526" i="11" l="1"/>
  <c r="AD526" i="11" s="1"/>
  <c r="AF526" i="11"/>
  <c r="J526" i="11" l="1"/>
  <c r="AH526" i="11" s="1"/>
  <c r="H527" i="11" l="1"/>
  <c r="I527" i="11" l="1"/>
  <c r="AD527" i="11" s="1"/>
  <c r="AF527" i="11"/>
  <c r="J527" i="11" l="1"/>
  <c r="AH527" i="11" s="1"/>
  <c r="H528" i="11" l="1"/>
  <c r="AF528" i="11" s="1"/>
  <c r="I528" i="11" l="1"/>
  <c r="AD528" i="11" s="1"/>
  <c r="J528" i="11"/>
  <c r="AH528" i="11" l="1"/>
  <c r="H529" i="11"/>
  <c r="I529" i="11" l="1"/>
  <c r="AD529" i="11" s="1"/>
  <c r="AF529" i="11"/>
  <c r="J529" i="11" l="1"/>
  <c r="AH529" i="11" l="1"/>
  <c r="H530" i="11"/>
  <c r="I530" i="11" l="1"/>
  <c r="J530" i="11" s="1"/>
  <c r="AH530" i="11" s="1"/>
  <c r="AF530" i="11"/>
  <c r="AD530" i="11" l="1"/>
  <c r="H531" i="11"/>
  <c r="I531" i="11" l="1"/>
  <c r="AD531" i="11" s="1"/>
  <c r="AF531" i="11"/>
  <c r="J531" i="11" l="1"/>
  <c r="AH531" i="11" s="1"/>
  <c r="H532" i="11" l="1"/>
  <c r="AF532" i="11" l="1"/>
  <c r="I532" i="11"/>
  <c r="AD532" i="11" s="1"/>
  <c r="J532" i="11"/>
  <c r="AH532" i="11" s="1"/>
  <c r="H533" i="11"/>
  <c r="AF533" i="11" l="1"/>
  <c r="I533" i="11"/>
  <c r="J533" i="11"/>
  <c r="AH533" i="11" s="1"/>
  <c r="AD533" i="11" l="1"/>
  <c r="H534" i="11"/>
  <c r="I534" i="11" l="1"/>
  <c r="AF534" i="11"/>
  <c r="J534" i="11" l="1"/>
  <c r="AH534" i="11" s="1"/>
  <c r="AD534" i="11"/>
  <c r="H535" i="11"/>
  <c r="AF535" i="11" l="1"/>
  <c r="I535" i="11"/>
  <c r="J535" i="11" s="1"/>
  <c r="AH535" i="11" s="1"/>
  <c r="AD535" i="11" l="1"/>
  <c r="H536" i="11"/>
  <c r="I536" i="11" l="1"/>
  <c r="AD536" i="11" s="1"/>
  <c r="AF536" i="11"/>
  <c r="J536" i="11"/>
  <c r="AH536" i="11" s="1"/>
  <c r="H537" i="11"/>
  <c r="I537" i="11" l="1"/>
  <c r="AF537" i="11"/>
  <c r="J537" i="11"/>
  <c r="AH537" i="11" s="1"/>
  <c r="AD537" i="11" l="1"/>
  <c r="H538" i="11"/>
  <c r="I538" i="11" l="1"/>
  <c r="AF538" i="11"/>
  <c r="J538" i="11"/>
  <c r="AH538" i="11" s="1"/>
  <c r="AD538" i="11" l="1"/>
  <c r="H539" i="11"/>
  <c r="I539" i="11" l="1"/>
  <c r="AF539" i="11"/>
  <c r="J539" i="11"/>
  <c r="AH539" i="11" s="1"/>
  <c r="AD539" i="11" l="1"/>
  <c r="H540" i="11"/>
  <c r="I540" i="11" l="1"/>
  <c r="J540" i="11"/>
  <c r="AH540" i="11" s="1"/>
  <c r="AF540" i="11"/>
  <c r="AD540" i="11" l="1"/>
  <c r="H541" i="11"/>
  <c r="I541" i="11" l="1"/>
  <c r="AF541" i="11"/>
  <c r="J541" i="11"/>
  <c r="AH541" i="11" s="1"/>
  <c r="AD541" i="11" l="1"/>
  <c r="H542" i="11"/>
  <c r="I542" i="11" l="1"/>
  <c r="AF542" i="11"/>
  <c r="J542" i="11" l="1"/>
  <c r="AD542" i="11"/>
  <c r="AH542" i="11" l="1"/>
  <c r="H543" i="11"/>
  <c r="I543" i="11" l="1"/>
  <c r="AD543" i="11" s="1"/>
  <c r="AF543" i="11"/>
  <c r="J543" i="11"/>
  <c r="AH543" i="11" s="1"/>
  <c r="H544" i="11"/>
  <c r="I544" i="11" l="1"/>
  <c r="AF544" i="11"/>
  <c r="J544" i="11"/>
  <c r="AH544" i="11" s="1"/>
  <c r="AD544" i="11" l="1"/>
  <c r="H545" i="11"/>
  <c r="AF545" i="11" l="1"/>
  <c r="I545" i="11"/>
  <c r="AD545" i="11" l="1"/>
  <c r="J545" i="11"/>
  <c r="AH545" i="11" l="1"/>
  <c r="H546" i="11"/>
  <c r="I546" i="11" l="1"/>
  <c r="AF546" i="11"/>
  <c r="J546" i="11"/>
  <c r="AH546" i="11" s="1"/>
  <c r="AD546" i="11" l="1"/>
  <c r="H547" i="11"/>
  <c r="I547" i="11" l="1"/>
  <c r="AF547" i="11"/>
  <c r="J547" i="11"/>
  <c r="AH547" i="11" s="1"/>
  <c r="AD547" i="11" l="1"/>
  <c r="H548" i="11"/>
  <c r="I548" i="11" l="1"/>
  <c r="AF548" i="11"/>
  <c r="J548" i="11"/>
  <c r="AH548" i="11" s="1"/>
  <c r="AD548" i="11" l="1"/>
  <c r="H549" i="11"/>
  <c r="I549" i="11" l="1"/>
  <c r="AF549" i="11"/>
  <c r="J549" i="11"/>
  <c r="AH549" i="11" s="1"/>
  <c r="AD549" i="11" l="1"/>
  <c r="H550" i="11"/>
  <c r="I550" i="11" l="1"/>
  <c r="AD550" i="11" s="1"/>
  <c r="AF550" i="11"/>
  <c r="J550" i="11"/>
  <c r="AH550" i="11" s="1"/>
  <c r="H551" i="11" l="1"/>
  <c r="I551" i="11" s="1"/>
  <c r="J551" i="11"/>
  <c r="AH551" i="11" s="1"/>
  <c r="AF551" i="11" l="1"/>
  <c r="AD551" i="11"/>
  <c r="H552" i="11"/>
  <c r="I552" i="11" l="1"/>
  <c r="AF552" i="11"/>
  <c r="AD552" i="11" l="1"/>
  <c r="J552" i="11"/>
  <c r="AH552" i="11" l="1"/>
  <c r="H553" i="11"/>
  <c r="I553" i="11" l="1"/>
  <c r="AF553" i="11"/>
  <c r="J553" i="11" l="1"/>
  <c r="AH553" i="11" s="1"/>
  <c r="AD553" i="11"/>
  <c r="H554" i="11"/>
  <c r="AF554" i="11" l="1"/>
  <c r="I554" i="11"/>
  <c r="AD554" i="11" l="1"/>
  <c r="J554" i="11"/>
  <c r="AH554" i="11" l="1"/>
  <c r="H555" i="11"/>
  <c r="I555" i="11" l="1"/>
  <c r="AF555" i="11"/>
  <c r="AD555" i="11" l="1"/>
  <c r="J555" i="11"/>
  <c r="AH555" i="11" l="1"/>
  <c r="H556" i="11"/>
  <c r="I556" i="11" l="1"/>
  <c r="AF556" i="11"/>
  <c r="H679" i="11"/>
  <c r="J556" i="11" l="1"/>
  <c r="AH556" i="11" s="1"/>
  <c r="AD556" i="11"/>
  <c r="H557" i="11"/>
  <c r="H680" i="11"/>
  <c r="I679" i="11"/>
  <c r="AD679" i="11" s="1"/>
  <c r="AF679" i="11"/>
  <c r="J678" i="11"/>
  <c r="AH678" i="11" s="1"/>
  <c r="I557" i="11" l="1"/>
  <c r="AF557" i="11"/>
  <c r="H681" i="11"/>
  <c r="I680" i="11"/>
  <c r="AD680" i="11" s="1"/>
  <c r="AF680" i="11"/>
  <c r="J679" i="11"/>
  <c r="AH679" i="11" s="1"/>
  <c r="AD557" i="11" l="1"/>
  <c r="J557" i="11"/>
  <c r="AH557" i="11" s="1"/>
  <c r="H558" i="11"/>
  <c r="H682" i="11"/>
  <c r="I681" i="11"/>
  <c r="AD681" i="11" s="1"/>
  <c r="AF681" i="11"/>
  <c r="J680" i="11"/>
  <c r="AH680" i="11" s="1"/>
  <c r="I558" i="11" l="1"/>
  <c r="AF558" i="11"/>
  <c r="J558" i="11"/>
  <c r="AH558" i="11" s="1"/>
  <c r="H683" i="11"/>
  <c r="I682" i="11"/>
  <c r="AD682" i="11" s="1"/>
  <c r="AF682" i="11"/>
  <c r="J681" i="11"/>
  <c r="AH681" i="11" s="1"/>
  <c r="AD558" i="11" l="1"/>
  <c r="H559" i="11"/>
  <c r="H684" i="11"/>
  <c r="I683" i="11"/>
  <c r="AD683" i="11" s="1"/>
  <c r="AF683" i="11"/>
  <c r="J682" i="11"/>
  <c r="AH682" i="11" s="1"/>
  <c r="I559" i="11" l="1"/>
  <c r="AD559" i="11" s="1"/>
  <c r="AF559" i="11"/>
  <c r="J559" i="11"/>
  <c r="AH559" i="11" s="1"/>
  <c r="H560" i="11"/>
  <c r="H685" i="11"/>
  <c r="I684" i="11"/>
  <c r="AD684" i="11" s="1"/>
  <c r="AF684" i="11"/>
  <c r="J683" i="11"/>
  <c r="AH683" i="11" s="1"/>
  <c r="I560" i="11" l="1"/>
  <c r="AF560" i="11"/>
  <c r="J560" i="11"/>
  <c r="AH560" i="11" s="1"/>
  <c r="H686" i="11"/>
  <c r="I685" i="11"/>
  <c r="AD685" i="11" s="1"/>
  <c r="AF685" i="11"/>
  <c r="J684" i="11"/>
  <c r="AH684" i="11" s="1"/>
  <c r="AD560" i="11" l="1"/>
  <c r="H561" i="11"/>
  <c r="H687" i="11"/>
  <c r="I686" i="11"/>
  <c r="AD686" i="11" s="1"/>
  <c r="AF686" i="11"/>
  <c r="J685" i="11"/>
  <c r="AH685" i="11" s="1"/>
  <c r="AF561" i="11" l="1"/>
  <c r="I561" i="11"/>
  <c r="J561" i="11"/>
  <c r="AH561" i="11" s="1"/>
  <c r="H688" i="11"/>
  <c r="I687" i="11"/>
  <c r="AD687" i="11" s="1"/>
  <c r="AF687" i="11"/>
  <c r="J686" i="11"/>
  <c r="AH686" i="11" s="1"/>
  <c r="AD561" i="11" l="1"/>
  <c r="H562" i="11"/>
  <c r="H689" i="11"/>
  <c r="I688" i="11"/>
  <c r="AD688" i="11" s="1"/>
  <c r="AF688" i="11"/>
  <c r="J687" i="11"/>
  <c r="AH687" i="11" s="1"/>
  <c r="I562" i="11" l="1"/>
  <c r="AF562" i="11"/>
  <c r="I689" i="11"/>
  <c r="AD689" i="11" s="1"/>
  <c r="AF689" i="11"/>
  <c r="J688" i="11"/>
  <c r="AH688" i="11" s="1"/>
  <c r="AD562" i="11" l="1"/>
  <c r="J562" i="11"/>
  <c r="K30" i="11"/>
  <c r="L60" i="17" s="1"/>
  <c r="J689" i="11"/>
  <c r="AH689" i="11" s="1"/>
  <c r="Q46" i="17"/>
  <c r="AH562" i="11" l="1"/>
  <c r="H563" i="11"/>
  <c r="C23" i="19"/>
  <c r="D41" i="17" s="1"/>
  <c r="I563" i="11" l="1"/>
  <c r="AF563" i="11"/>
  <c r="J563" i="11"/>
  <c r="AH563" i="11" s="1"/>
  <c r="D39" i="21"/>
  <c r="AD563" i="11" l="1"/>
  <c r="H564" i="11"/>
  <c r="I564" i="11" l="1"/>
  <c r="AF564" i="11"/>
  <c r="AD564" i="11" l="1"/>
  <c r="J564" i="11"/>
  <c r="AH564" i="11" l="1"/>
  <c r="H565" i="11"/>
  <c r="I565" i="11" l="1"/>
  <c r="AF565" i="11"/>
  <c r="AD565" i="11" l="1"/>
  <c r="J565" i="11"/>
  <c r="AH565" i="11" l="1"/>
  <c r="H566" i="11"/>
  <c r="I566" i="11" l="1"/>
  <c r="AF566" i="11"/>
  <c r="J566" i="11"/>
  <c r="AH566" i="11" s="1"/>
  <c r="AD566" i="11" l="1"/>
  <c r="H567" i="11"/>
  <c r="I567" i="11" l="1"/>
  <c r="AF567" i="11"/>
  <c r="J567" i="11"/>
  <c r="AH567" i="11" s="1"/>
  <c r="AD567" i="11" l="1"/>
  <c r="H568" i="11"/>
  <c r="J575" i="11"/>
  <c r="AH575" i="11" s="1"/>
  <c r="I568" i="11" l="1"/>
  <c r="AF568" i="11"/>
  <c r="H576" i="11"/>
  <c r="AD568" i="11" l="1"/>
  <c r="J568" i="11"/>
  <c r="AH568" i="11" s="1"/>
  <c r="H569" i="11"/>
  <c r="I576" i="11"/>
  <c r="AD576" i="11" s="1"/>
  <c r="AF576" i="11"/>
  <c r="J576" i="11"/>
  <c r="AH576" i="11" s="1"/>
  <c r="AF569" i="11" l="1"/>
  <c r="I569" i="11"/>
  <c r="H577" i="11"/>
  <c r="AD569" i="11" l="1"/>
  <c r="J569" i="11"/>
  <c r="I577" i="11"/>
  <c r="AD577" i="11" s="1"/>
  <c r="AF577" i="11"/>
  <c r="J577" i="11"/>
  <c r="AH577" i="11" s="1"/>
  <c r="AH569" i="11" l="1"/>
  <c r="H570" i="11"/>
  <c r="H578" i="11"/>
  <c r="I570" i="11" l="1"/>
  <c r="AD570" i="11" s="1"/>
  <c r="K31" i="11" s="1"/>
  <c r="L61" i="17" s="1"/>
  <c r="AF570" i="11"/>
  <c r="J570" i="11"/>
  <c r="AH570" i="11" s="1"/>
  <c r="I578" i="11"/>
  <c r="AD578" i="11" s="1"/>
  <c r="AF578" i="11"/>
  <c r="J578" i="11"/>
  <c r="AH578" i="11" s="1"/>
  <c r="H571" i="11" l="1"/>
  <c r="I571" i="11" s="1"/>
  <c r="H579" i="11"/>
  <c r="AF571" i="11" l="1"/>
  <c r="G31" i="11" s="1"/>
  <c r="N17" i="17" s="1"/>
  <c r="AD571" i="11"/>
  <c r="J571" i="11"/>
  <c r="I579" i="11"/>
  <c r="AD579" i="11" s="1"/>
  <c r="AF579" i="11"/>
  <c r="J579" i="11"/>
  <c r="AH579" i="11" s="1"/>
  <c r="N17" i="21" l="1"/>
  <c r="AH571" i="11"/>
  <c r="H572" i="11"/>
  <c r="H580" i="11"/>
  <c r="I572" i="11" l="1"/>
  <c r="AD572" i="11" s="1"/>
  <c r="AF572" i="11"/>
  <c r="J573" i="11"/>
  <c r="AH573" i="11" s="1"/>
  <c r="H574" i="11"/>
  <c r="I580" i="11"/>
  <c r="AD580" i="11" s="1"/>
  <c r="AF580" i="11"/>
  <c r="J580" i="11"/>
  <c r="AH580" i="11" s="1"/>
  <c r="J572" i="11" l="1"/>
  <c r="AH572" i="11" s="1"/>
  <c r="I574" i="11"/>
  <c r="AD574" i="11" s="1"/>
  <c r="AF574" i="11"/>
  <c r="H581" i="11"/>
  <c r="H573" i="11" l="1"/>
  <c r="J574" i="11"/>
  <c r="AH574" i="11" s="1"/>
  <c r="I581" i="11"/>
  <c r="AD581" i="11" s="1"/>
  <c r="AF581" i="11"/>
  <c r="J581" i="11"/>
  <c r="AH581" i="11" s="1"/>
  <c r="AF573" i="11" l="1"/>
  <c r="I573" i="11"/>
  <c r="AD573" i="11" s="1"/>
  <c r="H575" i="11"/>
  <c r="H582" i="11"/>
  <c r="I575" i="11" l="1"/>
  <c r="AD575" i="11" s="1"/>
  <c r="AF575" i="11"/>
  <c r="I582" i="11"/>
  <c r="AD582" i="11" s="1"/>
  <c r="AF582" i="11"/>
  <c r="J582" i="11"/>
  <c r="AH582" i="11" s="1"/>
  <c r="H583" i="11" l="1"/>
  <c r="I583" i="11" l="1"/>
  <c r="AD583" i="11" s="1"/>
  <c r="AF583" i="11"/>
  <c r="J583" i="11"/>
  <c r="AH583" i="11" s="1"/>
  <c r="H584" i="11" l="1"/>
  <c r="I584" i="11" l="1"/>
  <c r="AD584" i="11" s="1"/>
  <c r="AF584" i="11"/>
  <c r="J584" i="11"/>
  <c r="AH584" i="11" s="1"/>
  <c r="H585" i="11" l="1"/>
  <c r="I585" i="11" l="1"/>
  <c r="AD585" i="11" s="1"/>
  <c r="AF585" i="11"/>
  <c r="J585" i="11"/>
  <c r="AH585" i="11" s="1"/>
  <c r="H586" i="11" l="1"/>
  <c r="I586" i="11" l="1"/>
  <c r="AD586" i="11" s="1"/>
  <c r="AF586" i="11"/>
  <c r="J586" i="11"/>
  <c r="AH586" i="11" s="1"/>
  <c r="H587" i="11" l="1"/>
  <c r="I587" i="11" l="1"/>
  <c r="AD587" i="11" s="1"/>
  <c r="AF587" i="11"/>
  <c r="J587" i="11"/>
  <c r="AH587" i="11" s="1"/>
  <c r="H588" i="11" l="1"/>
  <c r="I588" i="11" l="1"/>
  <c r="AD588" i="11" s="1"/>
  <c r="AF588" i="11"/>
  <c r="J588" i="11"/>
  <c r="AH588" i="11" s="1"/>
  <c r="H589" i="11" l="1"/>
  <c r="I589" i="11" l="1"/>
  <c r="AD589" i="11" s="1"/>
  <c r="AF589" i="11"/>
  <c r="J589" i="11"/>
  <c r="AH589" i="11" s="1"/>
  <c r="H590" i="11" l="1"/>
  <c r="I590" i="11" l="1"/>
  <c r="AD590" i="11" s="1"/>
  <c r="AF590" i="11"/>
  <c r="J590" i="11"/>
  <c r="AH590" i="11" s="1"/>
  <c r="H591" i="11" l="1"/>
  <c r="I591" i="11" l="1"/>
  <c r="AD591" i="11" s="1"/>
  <c r="AF591" i="11"/>
  <c r="J591" i="11"/>
  <c r="AH591" i="11" s="1"/>
  <c r="H592" i="11" l="1"/>
  <c r="I592" i="11" l="1"/>
  <c r="AD592" i="11" s="1"/>
  <c r="AF592" i="11"/>
  <c r="J592" i="11"/>
  <c r="AH592" i="11" s="1"/>
  <c r="H593" i="11" l="1"/>
  <c r="I593" i="11" l="1"/>
  <c r="AD593" i="11" s="1"/>
  <c r="AF593" i="11"/>
  <c r="J593" i="11"/>
  <c r="AH593" i="11" s="1"/>
  <c r="H594" i="11" l="1"/>
  <c r="I594" i="11" l="1"/>
  <c r="AD594" i="11" s="1"/>
  <c r="AF594" i="11"/>
  <c r="J594" i="11"/>
  <c r="AH594" i="11" s="1"/>
  <c r="H595" i="11" l="1"/>
  <c r="I595" i="11" l="1"/>
  <c r="AD595" i="11" s="1"/>
  <c r="AF595" i="11"/>
  <c r="J595" i="11"/>
  <c r="AH595" i="11" s="1"/>
  <c r="H596" i="11" l="1"/>
  <c r="I596" i="11" l="1"/>
  <c r="AD596" i="11" s="1"/>
  <c r="AF596" i="11"/>
  <c r="J596" i="11"/>
  <c r="AH596" i="11" s="1"/>
  <c r="H597" i="11" l="1"/>
  <c r="I597" i="11" l="1"/>
  <c r="AD597" i="11" s="1"/>
  <c r="AF597" i="11"/>
  <c r="J597" i="11"/>
  <c r="AH597" i="11" s="1"/>
  <c r="H598" i="11" l="1"/>
  <c r="I598" i="11" l="1"/>
  <c r="AD598" i="11" s="1"/>
  <c r="AF598" i="11"/>
  <c r="J598" i="11"/>
  <c r="AH598" i="11" s="1"/>
  <c r="H599" i="11" l="1"/>
  <c r="I599" i="11" l="1"/>
  <c r="AD599" i="11" s="1"/>
  <c r="AF599" i="11"/>
  <c r="J599" i="11"/>
  <c r="AH599" i="11" s="1"/>
  <c r="H600" i="11" l="1"/>
  <c r="I600" i="11" l="1"/>
  <c r="AD600" i="11" s="1"/>
  <c r="AF600" i="11"/>
  <c r="J600" i="11"/>
  <c r="AH600" i="11" s="1"/>
  <c r="H601" i="11" l="1"/>
  <c r="I601" i="11" l="1"/>
  <c r="AD601" i="11" s="1"/>
  <c r="AF601" i="11"/>
  <c r="J601" i="11"/>
  <c r="AH601" i="11" s="1"/>
  <c r="H602" i="11" l="1"/>
  <c r="I602" i="11" l="1"/>
  <c r="AD602" i="11" s="1"/>
  <c r="AF602" i="11"/>
  <c r="J602" i="11"/>
  <c r="AH602" i="11" s="1"/>
  <c r="H603" i="11" l="1"/>
  <c r="I603" i="11" l="1"/>
  <c r="AD603" i="11" s="1"/>
  <c r="AF603" i="11"/>
  <c r="J603" i="11"/>
  <c r="AH603" i="11" s="1"/>
  <c r="H604" i="11" l="1"/>
  <c r="I604" i="11" l="1"/>
  <c r="AD604" i="11" s="1"/>
  <c r="AF604" i="11"/>
  <c r="J604" i="11"/>
  <c r="AH604" i="11" s="1"/>
  <c r="H605" i="11" l="1"/>
  <c r="I605" i="11" l="1"/>
  <c r="AD605" i="11" s="1"/>
  <c r="AF605" i="11"/>
  <c r="J605" i="11"/>
  <c r="AH605" i="11" s="1"/>
  <c r="H606" i="11" l="1"/>
  <c r="I606" i="11" l="1"/>
  <c r="AD606" i="11" s="1"/>
  <c r="AF606" i="11"/>
  <c r="J606" i="11"/>
  <c r="AH606" i="11" s="1"/>
  <c r="H607" i="11" l="1"/>
  <c r="I607" i="11" l="1"/>
  <c r="AD607" i="11" s="1"/>
  <c r="AF607" i="11"/>
  <c r="J607" i="11"/>
  <c r="AH607" i="11" s="1"/>
  <c r="H608" i="11" l="1"/>
  <c r="I608" i="11" l="1"/>
  <c r="AD608" i="11" s="1"/>
  <c r="AF608" i="11"/>
  <c r="J608" i="11"/>
  <c r="AH608" i="11" s="1"/>
  <c r="H609" i="11" l="1"/>
  <c r="I609" i="11" l="1"/>
  <c r="AD609" i="11" s="1"/>
  <c r="AF609" i="11"/>
  <c r="J609" i="11"/>
  <c r="AH609" i="11" s="1"/>
  <c r="H610" i="11" l="1"/>
  <c r="I610" i="11" l="1"/>
  <c r="AD610" i="11" s="1"/>
  <c r="AF610" i="11"/>
  <c r="J610" i="11"/>
  <c r="AH610" i="11" s="1"/>
  <c r="H611" i="11" l="1"/>
  <c r="I611" i="11" l="1"/>
  <c r="AD611" i="11" s="1"/>
  <c r="AF611" i="11"/>
  <c r="J611" i="11"/>
  <c r="AH611" i="11" s="1"/>
  <c r="H612" i="11" l="1"/>
  <c r="I612" i="11" l="1"/>
  <c r="AD612" i="11" s="1"/>
  <c r="AF612" i="11"/>
  <c r="J612" i="11"/>
  <c r="AH612" i="11" s="1"/>
  <c r="H613" i="11" l="1"/>
  <c r="I613" i="11" l="1"/>
  <c r="AD613" i="11" s="1"/>
  <c r="AF613" i="11"/>
  <c r="J613" i="11"/>
  <c r="AH613" i="11" s="1"/>
  <c r="H614" i="11" l="1"/>
  <c r="I614" i="11" l="1"/>
  <c r="AD614" i="11" s="1"/>
  <c r="AF614" i="11"/>
  <c r="J614" i="11"/>
  <c r="AH614" i="11" s="1"/>
  <c r="H615" i="11" l="1"/>
  <c r="I615" i="11" l="1"/>
  <c r="AD615" i="11" s="1"/>
  <c r="AF615" i="11"/>
  <c r="J615" i="11"/>
  <c r="AH615" i="11" s="1"/>
  <c r="H616" i="11" l="1"/>
  <c r="I616" i="11" l="1"/>
  <c r="AD616" i="11" s="1"/>
  <c r="AF616" i="11"/>
  <c r="J616" i="11"/>
  <c r="AH616" i="11" s="1"/>
  <c r="H617" i="11" l="1"/>
  <c r="I617" i="11" l="1"/>
  <c r="AD617" i="11" s="1"/>
  <c r="AF617" i="11"/>
  <c r="J617" i="11"/>
  <c r="AH617" i="11" s="1"/>
  <c r="H618" i="11" l="1"/>
  <c r="I618" i="11" l="1"/>
  <c r="AD618" i="11" s="1"/>
  <c r="AF618" i="11"/>
  <c r="J618" i="11"/>
  <c r="AH618" i="11" s="1"/>
  <c r="H619" i="11" l="1"/>
  <c r="I619" i="11" l="1"/>
  <c r="AD619" i="11" s="1"/>
  <c r="AF619" i="11"/>
  <c r="J619" i="11"/>
  <c r="AH619" i="11" s="1"/>
  <c r="H620" i="11" l="1"/>
  <c r="I620" i="11" l="1"/>
  <c r="AD620" i="11" s="1"/>
  <c r="AF620" i="11"/>
  <c r="J620" i="11"/>
  <c r="AH620" i="11" s="1"/>
  <c r="H621" i="11" l="1"/>
  <c r="I621" i="11" l="1"/>
  <c r="AD621" i="11" s="1"/>
  <c r="AF621" i="11"/>
  <c r="J621" i="11"/>
  <c r="AH621" i="11" s="1"/>
  <c r="H622" i="11" l="1"/>
  <c r="I622" i="11" l="1"/>
  <c r="AD622" i="11" s="1"/>
  <c r="AF622" i="11"/>
  <c r="J622" i="11"/>
  <c r="AH622" i="11" s="1"/>
  <c r="H623" i="11" l="1"/>
  <c r="I623" i="11" l="1"/>
  <c r="AD623" i="11" s="1"/>
  <c r="AF623" i="11"/>
  <c r="J623" i="11"/>
  <c r="AH623" i="11" s="1"/>
  <c r="H624" i="11" l="1"/>
  <c r="I624" i="11" l="1"/>
  <c r="AD624" i="11" s="1"/>
  <c r="AF624" i="11"/>
  <c r="J624" i="11"/>
  <c r="AH624" i="11" s="1"/>
  <c r="H625" i="11" l="1"/>
  <c r="I625" i="11" l="1"/>
  <c r="AD625" i="11" s="1"/>
  <c r="AF625" i="11"/>
  <c r="J625" i="11"/>
  <c r="AH625" i="11" s="1"/>
  <c r="H626" i="11" l="1"/>
  <c r="I626" i="11" l="1"/>
  <c r="AD626" i="11" s="1"/>
  <c r="AF626" i="11"/>
  <c r="J626" i="11"/>
  <c r="AH626" i="11" s="1"/>
  <c r="H627" i="11" l="1"/>
  <c r="I627" i="11" l="1"/>
  <c r="AD627" i="11" s="1"/>
  <c r="AF627" i="11"/>
  <c r="J627" i="11"/>
  <c r="AH627" i="11" s="1"/>
  <c r="H628" i="11" l="1"/>
  <c r="I628" i="11" l="1"/>
  <c r="AD628" i="11" s="1"/>
  <c r="AF628" i="11"/>
  <c r="J628" i="11"/>
  <c r="AH628" i="11" s="1"/>
  <c r="H629" i="11" l="1"/>
  <c r="I629" i="11" l="1"/>
  <c r="AD629" i="11" s="1"/>
  <c r="AF629" i="11"/>
  <c r="J629" i="11"/>
  <c r="AH629" i="11" s="1"/>
  <c r="H630" i="11" l="1"/>
  <c r="I630" i="11" l="1"/>
  <c r="AD630" i="11" s="1"/>
  <c r="AF630" i="11"/>
  <c r="J630" i="11"/>
  <c r="AH630" i="11" s="1"/>
  <c r="H631" i="11" l="1"/>
  <c r="I631" i="11" l="1"/>
  <c r="AD631" i="11" s="1"/>
  <c r="AF631" i="11"/>
  <c r="J631" i="11"/>
  <c r="AH631" i="11" s="1"/>
  <c r="H632" i="11" l="1"/>
  <c r="I632" i="11" l="1"/>
  <c r="AD632" i="11" s="1"/>
  <c r="AF632" i="11"/>
  <c r="J632" i="11"/>
  <c r="AH632" i="11" s="1"/>
  <c r="H633" i="11" l="1"/>
  <c r="I633" i="11" l="1"/>
  <c r="AD633" i="11" s="1"/>
  <c r="AF633" i="11"/>
  <c r="J633" i="11"/>
  <c r="AH633" i="11" s="1"/>
  <c r="H634" i="11" l="1"/>
  <c r="I634" i="11" l="1"/>
  <c r="AD634" i="11" s="1"/>
  <c r="AF634" i="11"/>
  <c r="J634" i="11"/>
  <c r="AH634" i="11" s="1"/>
  <c r="H635" i="11" l="1"/>
  <c r="I635" i="11" l="1"/>
  <c r="AD635" i="11" s="1"/>
  <c r="AF635" i="11"/>
  <c r="J635" i="11"/>
  <c r="AH635" i="11" s="1"/>
  <c r="H636" i="11" l="1"/>
  <c r="I636" i="11" l="1"/>
  <c r="AD636" i="11" s="1"/>
  <c r="AF636" i="11"/>
  <c r="J636" i="11"/>
  <c r="AH636" i="11" s="1"/>
  <c r="H637" i="11" l="1"/>
  <c r="I637" i="11" l="1"/>
  <c r="AD637" i="11" s="1"/>
  <c r="AF637" i="11"/>
  <c r="J637" i="11"/>
  <c r="AH637" i="11" s="1"/>
  <c r="H638" i="11" l="1"/>
  <c r="I638" i="11" l="1"/>
  <c r="AD638" i="11" s="1"/>
  <c r="AF638" i="11"/>
  <c r="J638" i="11"/>
  <c r="AH638" i="11" s="1"/>
  <c r="H639" i="11" l="1"/>
  <c r="I639" i="11" l="1"/>
  <c r="AD639" i="11" s="1"/>
  <c r="AF639" i="11"/>
  <c r="J639" i="11"/>
  <c r="AH639" i="11" s="1"/>
  <c r="H640" i="11" l="1"/>
  <c r="I640" i="11" l="1"/>
  <c r="AD640" i="11" s="1"/>
  <c r="AF640" i="11"/>
  <c r="J640" i="11"/>
  <c r="AH640" i="11" s="1"/>
  <c r="H641" i="11" l="1"/>
  <c r="I641" i="11" l="1"/>
  <c r="AD641" i="11" s="1"/>
  <c r="AF641" i="11"/>
  <c r="J641" i="11"/>
  <c r="AH641" i="11" s="1"/>
  <c r="H642" i="11" l="1"/>
  <c r="I642" i="11" l="1"/>
  <c r="AD642" i="11" s="1"/>
  <c r="AF642" i="11"/>
  <c r="J642" i="11" l="1"/>
  <c r="AH642" i="11" s="1"/>
  <c r="BB313" i="11"/>
  <c r="BD313" i="11" s="1"/>
  <c r="BB642" i="11"/>
  <c r="BD642" i="11" s="1"/>
  <c r="H643" i="11" l="1"/>
  <c r="I643" i="11" l="1"/>
  <c r="AD643" i="11" s="1"/>
  <c r="AF643" i="11"/>
  <c r="J643" i="11"/>
  <c r="AH643" i="11" s="1"/>
  <c r="H644" i="11" l="1"/>
  <c r="I644" i="11" l="1"/>
  <c r="AD644" i="11" s="1"/>
  <c r="AF644" i="11"/>
  <c r="J644" i="11"/>
  <c r="AH644" i="11" s="1"/>
  <c r="H645" i="11" l="1"/>
  <c r="I645" i="11" l="1"/>
  <c r="AD645" i="11" s="1"/>
  <c r="AF645" i="11"/>
  <c r="J645" i="11"/>
  <c r="AH645" i="11" s="1"/>
  <c r="H646" i="11" l="1"/>
  <c r="I646" i="11" l="1"/>
  <c r="AD646" i="11" s="1"/>
  <c r="AF646" i="11"/>
  <c r="J646" i="11"/>
  <c r="AH646" i="11" s="1"/>
  <c r="H647" i="11" l="1"/>
  <c r="I647" i="11" l="1"/>
  <c r="AD647" i="11" s="1"/>
  <c r="AF647" i="11"/>
  <c r="J647" i="11"/>
  <c r="AH647" i="11" s="1"/>
  <c r="H648" i="11" l="1"/>
  <c r="I648" i="11" l="1"/>
  <c r="AD648" i="11" s="1"/>
  <c r="AF648" i="11"/>
  <c r="J648" i="11"/>
  <c r="AH648" i="11" s="1"/>
  <c r="H649" i="11" l="1"/>
  <c r="I649" i="11" l="1"/>
  <c r="AD649" i="11" s="1"/>
  <c r="AF649" i="11"/>
  <c r="J649" i="11"/>
  <c r="AH649" i="11" s="1"/>
  <c r="H650" i="11" l="1"/>
  <c r="I650" i="11" l="1"/>
  <c r="AD650" i="11" s="1"/>
  <c r="AF650" i="11"/>
  <c r="J650" i="11"/>
  <c r="AH650" i="11" s="1"/>
  <c r="H651" i="11" l="1"/>
  <c r="I651" i="11" l="1"/>
  <c r="AD651" i="11" s="1"/>
  <c r="AF651" i="11"/>
  <c r="J651" i="11"/>
  <c r="AH651" i="11" s="1"/>
  <c r="H652" i="11" l="1"/>
  <c r="I652" i="11" l="1"/>
  <c r="AD652" i="11" s="1"/>
  <c r="AF652" i="11"/>
  <c r="J652" i="11"/>
  <c r="AH652" i="11" s="1"/>
  <c r="H653" i="11" l="1"/>
  <c r="I653" i="11" l="1"/>
  <c r="AD653" i="11" s="1"/>
  <c r="AF653" i="11"/>
  <c r="J653" i="11"/>
  <c r="AH653" i="11" s="1"/>
  <c r="H654" i="11" l="1"/>
  <c r="I654" i="11" l="1"/>
  <c r="AD654" i="11" s="1"/>
  <c r="AF654" i="11"/>
  <c r="J654" i="11"/>
  <c r="AH654" i="11" s="1"/>
  <c r="H655" i="11" l="1"/>
  <c r="I655" i="11" l="1"/>
  <c r="AD655" i="11" s="1"/>
  <c r="AF655" i="11"/>
  <c r="J655" i="11"/>
  <c r="AH655" i="11" s="1"/>
  <c r="H656" i="11" l="1"/>
  <c r="I656" i="11" l="1"/>
  <c r="AD656" i="11" s="1"/>
  <c r="AF656" i="11"/>
  <c r="J656" i="11"/>
  <c r="AH656" i="11" s="1"/>
  <c r="H657" i="11" l="1"/>
  <c r="I657" i="11" l="1"/>
  <c r="AD657" i="11" s="1"/>
  <c r="AF657" i="11"/>
  <c r="J657" i="11"/>
  <c r="AH657" i="11" s="1"/>
  <c r="H658" i="11" l="1"/>
  <c r="I658" i="11" l="1"/>
  <c r="AD658" i="11" s="1"/>
  <c r="AF658" i="11"/>
  <c r="J658" i="11"/>
  <c r="AH658" i="11" s="1"/>
  <c r="H659" i="11" l="1"/>
  <c r="I659" i="11" l="1"/>
  <c r="AD659" i="11" s="1"/>
  <c r="AF659" i="11"/>
  <c r="J659" i="11"/>
  <c r="AH659" i="11" s="1"/>
  <c r="H660" i="11" l="1"/>
  <c r="I660" i="11" l="1"/>
  <c r="AD660" i="11" s="1"/>
  <c r="AF660" i="11"/>
  <c r="J660" i="11"/>
  <c r="AH660" i="11" s="1"/>
  <c r="H661" i="11" l="1"/>
  <c r="I661" i="11" l="1"/>
  <c r="AD661" i="11" s="1"/>
  <c r="AF661" i="11"/>
  <c r="J661" i="11"/>
  <c r="AH661" i="11" s="1"/>
  <c r="H662" i="11" l="1"/>
  <c r="I662" i="11" l="1"/>
  <c r="AD662" i="11" s="1"/>
  <c r="AF662" i="11"/>
  <c r="J662" i="11"/>
  <c r="AH662" i="11" s="1"/>
  <c r="H663" i="11" l="1"/>
  <c r="I663" i="11" l="1"/>
  <c r="AD663" i="11" s="1"/>
  <c r="AF663" i="11"/>
  <c r="J663" i="11"/>
  <c r="AH663" i="11" s="1"/>
  <c r="H664" i="11" l="1"/>
  <c r="I664" i="11" l="1"/>
  <c r="AD664" i="11" s="1"/>
  <c r="AF664" i="11"/>
  <c r="J664" i="11"/>
  <c r="AH664" i="11" s="1"/>
  <c r="H665" i="11" l="1"/>
  <c r="I665" i="11" l="1"/>
  <c r="AD665" i="11" s="1"/>
  <c r="AF665" i="11"/>
  <c r="J665" i="11"/>
  <c r="AH665" i="11" s="1"/>
  <c r="H666" i="11" l="1"/>
  <c r="I666" i="11" l="1"/>
  <c r="AD666" i="11" s="1"/>
  <c r="AF666" i="11"/>
  <c r="J666" i="11"/>
  <c r="AH666" i="11" s="1"/>
  <c r="H667" i="11" l="1"/>
  <c r="I667" i="11" l="1"/>
  <c r="AD667" i="11" s="1"/>
  <c r="AF667" i="11"/>
  <c r="J667" i="11"/>
  <c r="AH667" i="11" s="1"/>
  <c r="H668" i="11" l="1"/>
  <c r="I668" i="11" l="1"/>
  <c r="AD668" i="11" s="1"/>
  <c r="AF668" i="11"/>
  <c r="J668" i="11"/>
  <c r="AH668" i="11" s="1"/>
  <c r="H669" i="11" l="1"/>
  <c r="I669" i="11" l="1"/>
  <c r="AD669" i="11" s="1"/>
  <c r="AF669" i="11"/>
  <c r="J669" i="11"/>
  <c r="AH669" i="11" s="1"/>
  <c r="H670" i="11" l="1"/>
  <c r="I670" i="11" l="1"/>
  <c r="AD670" i="11" s="1"/>
  <c r="AF670" i="11"/>
  <c r="J670" i="11"/>
  <c r="AH670" i="11" s="1"/>
  <c r="H671" i="11" l="1"/>
  <c r="I671" i="11" l="1"/>
  <c r="AD671" i="11" s="1"/>
  <c r="AF671" i="11"/>
  <c r="J671" i="11"/>
  <c r="AH671" i="11" s="1"/>
  <c r="H672" i="11" l="1"/>
  <c r="I672" i="11" l="1"/>
  <c r="AD672" i="11" s="1"/>
  <c r="AF672" i="11"/>
  <c r="J672" i="11"/>
  <c r="AH672" i="11" s="1"/>
  <c r="H673" i="11" l="1"/>
  <c r="I673" i="11" l="1"/>
  <c r="AD673" i="11" s="1"/>
  <c r="AF673" i="11"/>
  <c r="J673" i="11"/>
  <c r="AH673" i="11" s="1"/>
  <c r="H674" i="11" l="1"/>
  <c r="I674" i="11" l="1"/>
  <c r="AD674" i="11" s="1"/>
  <c r="AF674" i="11"/>
  <c r="J674" i="11"/>
  <c r="AH674" i="11" s="1"/>
  <c r="H675" i="11" l="1"/>
  <c r="I675" i="11" l="1"/>
  <c r="AD675" i="11" s="1"/>
  <c r="AF675" i="11"/>
  <c r="J675" i="11"/>
  <c r="AH675" i="11" s="1"/>
  <c r="H676" i="11" l="1"/>
  <c r="I676" i="11" l="1"/>
  <c r="AD676" i="11" s="1"/>
  <c r="AF676" i="11"/>
  <c r="J676" i="11"/>
  <c r="AH676" i="11" s="1"/>
  <c r="H677" i="11" l="1"/>
  <c r="I677" i="11" l="1"/>
  <c r="AD677" i="11" s="1"/>
  <c r="AF677" i="11"/>
  <c r="J677" i="11"/>
  <c r="AH677" i="11" s="1"/>
  <c r="H678" i="11" l="1"/>
  <c r="I678" i="11" l="1"/>
  <c r="AD678" i="11" s="1"/>
  <c r="K32" i="11" s="1"/>
  <c r="AF678" i="11"/>
  <c r="G32" i="11" s="1"/>
  <c r="BB175" i="11" s="1"/>
  <c r="BD175" i="11" s="1"/>
  <c r="N36" i="11"/>
  <c r="N37" i="11" s="1"/>
  <c r="N38" i="11" s="1"/>
  <c r="BB236" i="11" l="1"/>
  <c r="BD236" i="11" s="1"/>
  <c r="BB247" i="11"/>
  <c r="BD247" i="11" s="1"/>
  <c r="BB224" i="11"/>
  <c r="BD224" i="11" s="1"/>
  <c r="BB164" i="11"/>
  <c r="BD164" i="11" s="1"/>
  <c r="BB285" i="11"/>
  <c r="BD285" i="11" s="1"/>
  <c r="BB225" i="11"/>
  <c r="BD225" i="11" s="1"/>
  <c r="BB573" i="11"/>
  <c r="BD573" i="11" s="1"/>
  <c r="BB483" i="11"/>
  <c r="BD483" i="11" s="1"/>
  <c r="BB450" i="11"/>
  <c r="BD450" i="11" s="1"/>
  <c r="BB449" i="11"/>
  <c r="BD449" i="11" s="1"/>
  <c r="BB575" i="11"/>
  <c r="BD575" i="11" s="1"/>
  <c r="BB574" i="11"/>
  <c r="BD574" i="11" s="1"/>
  <c r="BB554" i="11"/>
  <c r="BD554" i="11" s="1"/>
  <c r="BB515" i="11"/>
  <c r="BD515" i="11" s="1"/>
  <c r="BB582" i="11"/>
  <c r="BD582" i="11" s="1"/>
  <c r="BB558" i="11"/>
  <c r="BD558" i="11" s="1"/>
  <c r="D8" i="17"/>
  <c r="D9" i="21"/>
  <c r="BB678" i="11"/>
  <c r="BD678" i="11" s="1"/>
  <c r="K36" i="11"/>
  <c r="N18" i="21"/>
  <c r="N18" i="17"/>
  <c r="C37" i="11"/>
  <c r="L32" i="11"/>
  <c r="L62" i="17"/>
  <c r="BD85" i="11" l="1"/>
  <c r="BD86" i="11" s="1"/>
  <c r="BE86" i="11" s="1"/>
  <c r="D38" i="17" s="1"/>
  <c r="D10" i="21"/>
  <c r="K37" i="11"/>
  <c r="K38" i="11" s="1"/>
  <c r="D9" i="17"/>
  <c r="D45" i="21" l="1"/>
  <c r="D10" i="17"/>
  <c r="D11" i="21"/>
  <c r="D12" i="21" l="1"/>
  <c r="D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tc={6FDDF746-0DE2-4528-A496-6F34559A94CF}</author>
  </authors>
  <commentList>
    <comment ref="BB437" authorId="0" shapeId="0" xr:uid="{6FDDF746-0DE2-4528-A496-6F34559A94CF}">
      <text>
        <t>[Threaded comment]
Your version of Excel allows you to read this threaded comment; however, any edits to it will get removed if the file is opened in a newer version of Excel. Learn more: https://go.microsoft.com/fwlink/?linkid=870924
Comment:
    Added correct linear interpolation from LifeCycle to Autopilot here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Fiachra MacLeid</author>
  </authors>
  <commentList>
    <comment ref="K40" authorId="0" shapeId="0" xr:uid="{124E4CD1-8486-44FC-958C-EC3D238A180D}">
      <text>
        <r>
          <rPr>
            <b/>
            <sz val="9"/>
            <color indexed="81"/>
            <rFont val="Tahoma"/>
            <family val="2"/>
          </rPr>
          <t>Fiachra MacLeid:</t>
        </r>
        <r>
          <rPr>
            <sz val="9"/>
            <color indexed="81"/>
            <rFont val="Tahoma"/>
            <family val="2"/>
          </rPr>
          <t xml:space="preserve">
This is set equal to the annual IRR with no charges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<sst xmlns="http://schemas.openxmlformats.org/spreadsheetml/2006/main" count="12780" uniqueCount="458">
  <si>
    <t>Date</t>
  </si>
  <si>
    <t>Version</t>
  </si>
  <si>
    <t>Change</t>
  </si>
  <si>
    <t>By</t>
  </si>
  <si>
    <t>Reviewed By</t>
  </si>
  <si>
    <t>V1.0</t>
  </si>
  <si>
    <t>Fund Charges Update</t>
  </si>
  <si>
    <t>Gearóid Hughes</t>
  </si>
  <si>
    <t>Hugh Gannon</t>
  </si>
  <si>
    <t>V1.1</t>
  </si>
  <si>
    <t>Back to old fund charges</t>
  </si>
  <si>
    <t>V2.0</t>
  </si>
  <si>
    <t>V3.0</t>
  </si>
  <si>
    <t>AVC PRSA Update</t>
  </si>
  <si>
    <t>V3.1</t>
  </si>
  <si>
    <t>Updated to add the new HSBC funds, detailed change notes in email</t>
  </si>
  <si>
    <t>V3.2</t>
  </si>
  <si>
    <t>Updated parameters for AMC and Contribution charge</t>
  </si>
  <si>
    <t>V3.3</t>
  </si>
  <si>
    <t>Updated the Commission Structure</t>
  </si>
  <si>
    <t>V4</t>
  </si>
  <si>
    <t>Sign-off on V3 Changes</t>
  </si>
  <si>
    <t>V5</t>
  </si>
  <si>
    <t>Updated prescribed assumptions</t>
  </si>
  <si>
    <t>Overview</t>
  </si>
  <si>
    <t>Cell Color Key</t>
  </si>
  <si>
    <t>Description</t>
  </si>
  <si>
    <t>Product and Fund Parameters</t>
  </si>
  <si>
    <t>Customer specific inputs</t>
  </si>
  <si>
    <t>Formulas</t>
  </si>
  <si>
    <t>A flag used where a change in formula occurs during the projection</t>
  </si>
  <si>
    <t>Regulatory/ ASP inputs</t>
  </si>
  <si>
    <t>Other hardcoded Numbers</t>
  </si>
  <si>
    <t>Summary tables</t>
  </si>
  <si>
    <t>User Guide</t>
  </si>
  <si>
    <t>Step</t>
  </si>
  <si>
    <t>Update Customer specific inputs on SRP tab</t>
  </si>
  <si>
    <t>Sheet Description</t>
  </si>
  <si>
    <t>Sheet Name</t>
  </si>
  <si>
    <t>HyperLink</t>
  </si>
  <si>
    <t>In this tab:
(1.) The key information about the EUC is documented.
(2.) The user instructions for updating this model is documented.
(3.) The purpose of each sheet is also documented.</t>
  </si>
  <si>
    <t>Parameters</t>
  </si>
  <si>
    <t>This tab contains:
-  Product specific parameters
- Fund specific parameters
- Regulatory specific inputs.
This tab should only be updated if there are changes to any of the above.</t>
  </si>
  <si>
    <t>Mortality Table</t>
  </si>
  <si>
    <t>This tab contains the mortality tables that are used to determine the qx used in calculating the annuity rates</t>
  </si>
  <si>
    <t>Irish Life Quote</t>
  </si>
  <si>
    <t>This tab provides the annuity rate to use if term to maturity is less than 5 years</t>
  </si>
  <si>
    <t>Investment Strategies</t>
  </si>
  <si>
    <t>This tab contains:
- The Fund Glidepaths
- Rate of Return
-Charges
for all defined investment stategies</t>
  </si>
  <si>
    <t>SRP</t>
  </si>
  <si>
    <t>This tab projection the PRSA over the lifetime of the policy. 
- Customer specifc inputs should be updated here</t>
  </si>
  <si>
    <t>Investment Strategy Funds</t>
  </si>
  <si>
    <t>This tab contains fund based and guarantee charges for all funds within each investment strategy</t>
  </si>
  <si>
    <t>Fund Based Charges Text</t>
  </si>
  <si>
    <t>This tab contains the prescribed text to use for each investment strategy which is subsequently used in the 2 following tabs</t>
  </si>
  <si>
    <t>Initial SRP doc Inputs</t>
  </si>
  <si>
    <t>This tab contains the inputs for the initial SRP document</t>
  </si>
  <si>
    <t>InForce SRP doc Inputs</t>
  </si>
  <si>
    <t>This tab contains the inputs for the existing SRP document</t>
  </si>
  <si>
    <t>Commission</t>
  </si>
  <si>
    <t>Product Version</t>
  </si>
  <si>
    <t>Type</t>
  </si>
  <si>
    <t>SP Upfront</t>
  </si>
  <si>
    <t>RP Upfront</t>
  </si>
  <si>
    <t>Ongoing</t>
  </si>
  <si>
    <t>Admin Charge</t>
  </si>
  <si>
    <t>Total AMC</t>
  </si>
  <si>
    <t>A</t>
  </si>
  <si>
    <t>1. Non-Standard</t>
  </si>
  <si>
    <t>N/A</t>
  </si>
  <si>
    <t>1.30% - 2.25%</t>
  </si>
  <si>
    <t>2. Non-Standard</t>
  </si>
  <si>
    <t>0.4% * Term, max 5%</t>
  </si>
  <si>
    <t>3. Non-Standard</t>
  </si>
  <si>
    <t>0.8% * Term, max 10%</t>
  </si>
  <si>
    <t>4. Non-Standard</t>
  </si>
  <si>
    <t>1% * Term, max 15%</t>
  </si>
  <si>
    <t>5. Non-Standard</t>
  </si>
  <si>
    <t>1.3% * Term, max 20%</t>
  </si>
  <si>
    <t>B</t>
  </si>
  <si>
    <t>1.05% - 2.00%</t>
  </si>
  <si>
    <t>C</t>
  </si>
  <si>
    <t>0.85% - 1.80%</t>
  </si>
  <si>
    <t>D</t>
  </si>
  <si>
    <t>0.55% - 1.50%</t>
  </si>
  <si>
    <t>E</t>
  </si>
  <si>
    <t>1. Standard</t>
  </si>
  <si>
    <t>2. Standard</t>
  </si>
  <si>
    <t>3. Standard</t>
  </si>
  <si>
    <t>F</t>
  </si>
  <si>
    <t>Single Premium Size</t>
  </si>
  <si>
    <t>Allocation Charge</t>
  </si>
  <si>
    <t>Regular Premium Size</t>
  </si>
  <si>
    <t>Up €10,000</t>
  </si>
  <si>
    <t>Up to €100 per month</t>
  </si>
  <si>
    <t>€10,000 and over</t>
  </si>
  <si>
    <t>€100 and over p.m.</t>
  </si>
  <si>
    <t>Guarnatee Charge</t>
  </si>
  <si>
    <t>Chosen Fund(s)</t>
  </si>
  <si>
    <t>GMAB Charge p.a.</t>
  </si>
  <si>
    <t>Assumed Rates of Return</t>
  </si>
  <si>
    <t>Allianz Strategy Select 30</t>
  </si>
  <si>
    <t>Equities</t>
  </si>
  <si>
    <t>2025 Growth Rates from:</t>
  </si>
  <si>
    <t>Allianz Strategy Select 50</t>
  </si>
  <si>
    <t>Fixed Income</t>
  </si>
  <si>
    <t>ASP PRSA-2 V1.14 final.pdf</t>
  </si>
  <si>
    <t>Allianz Strategy Select 75</t>
  </si>
  <si>
    <t>Cash</t>
  </si>
  <si>
    <t>Fund Charge Values from:</t>
  </si>
  <si>
    <t>External Fund Charge</t>
  </si>
  <si>
    <t>AGL historic TERs and Calc or TER Ranges.xlsx</t>
  </si>
  <si>
    <t>Rates of Return</t>
  </si>
  <si>
    <t>Fund Name</t>
  </si>
  <si>
    <t>ISIN</t>
  </si>
  <si>
    <t>Fund Manager Charge</t>
  </si>
  <si>
    <t>Bounded Charge</t>
  </si>
  <si>
    <t>Lower Bound</t>
  </si>
  <si>
    <t>Upper Bound</t>
  </si>
  <si>
    <t>Charge Value 2025</t>
  </si>
  <si>
    <t>Rate of return</t>
  </si>
  <si>
    <t>LU1901058732</t>
  </si>
  <si>
    <t>No</t>
  </si>
  <si>
    <t>LU1462180164</t>
  </si>
  <si>
    <t>LU1462191526</t>
  </si>
  <si>
    <t>Allianz Best Styles Global Equity SRI</t>
  </si>
  <si>
    <t>LU2437558831</t>
  </si>
  <si>
    <t>Yes</t>
  </si>
  <si>
    <t>Allianz Advanced Fixed Income Short Duration</t>
  </si>
  <si>
    <t>LU1328247389</t>
  </si>
  <si>
    <t>Allianz Advanced Fixed Income Euro</t>
  </si>
  <si>
    <t>LU2190101332</t>
  </si>
  <si>
    <t>Allianz Dynamic Multi Asset Strategy SRI 75</t>
  </si>
  <si>
    <t>LU3068734824</t>
  </si>
  <si>
    <t>Allianz Dynamic Multi Asset Strategy SRI 50</t>
  </si>
  <si>
    <t>LU3068734667</t>
  </si>
  <si>
    <t>Allianz Dynamic Multi Asset Strategy SRI 15</t>
  </si>
  <si>
    <t>LU3068734238</t>
  </si>
  <si>
    <t>HSBC EURO STOXX 50 UCITS ETF</t>
  </si>
  <si>
    <t>IE000MWUQBJ0</t>
  </si>
  <si>
    <t>HSBC MSCI World UCITS ETF</t>
  </si>
  <si>
    <t>IE000UQND7H4</t>
  </si>
  <si>
    <t>HSBC S&amp;P 500 UCITS ETF</t>
  </si>
  <si>
    <t>IE000JZ473P7</t>
  </si>
  <si>
    <t>Allianz Euro Cash</t>
  </si>
  <si>
    <t>LU2575878199</t>
  </si>
  <si>
    <t>For use in Projection Calculations</t>
  </si>
  <si>
    <t>For use in dynamic paragraph in SRP Charges section</t>
  </si>
  <si>
    <t>For use in SRP table</t>
  </si>
  <si>
    <t>Project at max</t>
  </si>
  <si>
    <t>AgeExact</t>
  </si>
  <si>
    <t>ILT15 (Males)_base</t>
  </si>
  <si>
    <t>ILT15 (Females)_base</t>
  </si>
  <si>
    <t>ILT15 (Males)_adjusted</t>
  </si>
  <si>
    <t>ILT15 (Females)_adjusted</t>
  </si>
  <si>
    <t>https://www.pensionplanetinteractive.ie/ppi/public/pensionChoicePersonalDetails.action</t>
  </si>
  <si>
    <t xml:space="preserve">Rate </t>
  </si>
  <si>
    <t>Factor per month</t>
  </si>
  <si>
    <t>Rate of Return</t>
  </si>
  <si>
    <t>External Management Charge</t>
  </si>
  <si>
    <t>Non-Standard</t>
  </si>
  <si>
    <t>Guarantee Charge</t>
  </si>
  <si>
    <t>Standard</t>
  </si>
  <si>
    <t>Strategy</t>
  </si>
  <si>
    <t>Sub Category</t>
  </si>
  <si>
    <t>Months to retirement</t>
  </si>
  <si>
    <t>Average Rate of Return</t>
  </si>
  <si>
    <t>Monthly rate of Return</t>
  </si>
  <si>
    <t>Guarantee Status</t>
  </si>
  <si>
    <t>Average Guarantee Charge</t>
  </si>
  <si>
    <t>Monthly Guarantee charge</t>
  </si>
  <si>
    <t>Average External AMC</t>
  </si>
  <si>
    <t>Monthly External AMC</t>
  </si>
  <si>
    <t>Stragegy</t>
  </si>
  <si>
    <t>Month</t>
  </si>
  <si>
    <t>Lifecycle</t>
  </si>
  <si>
    <t>Balanced</t>
  </si>
  <si>
    <t>Autopilot</t>
  </si>
  <si>
    <t>DIS</t>
  </si>
  <si>
    <t>Dynamic</t>
  </si>
  <si>
    <t>Opportunity</t>
  </si>
  <si>
    <t>Select Product</t>
  </si>
  <si>
    <t>AVC PRSA?</t>
  </si>
  <si>
    <t>DIY Investment Strategy</t>
  </si>
  <si>
    <t>Annual Rate</t>
  </si>
  <si>
    <t>Monthly Rate</t>
  </si>
  <si>
    <t>% invested (Opening funds)</t>
  </si>
  <si>
    <t>Rate of Return (Opening Funds)</t>
  </si>
  <si>
    <t>Investment Strategy</t>
  </si>
  <si>
    <t>DIY</t>
  </si>
  <si>
    <t>External Management Charge (Opening Funds)</t>
  </si>
  <si>
    <t>Sub Category 1</t>
  </si>
  <si>
    <t>If Guarantee</t>
  </si>
  <si>
    <t>Sub Category 2</t>
  </si>
  <si>
    <t>NiL</t>
  </si>
  <si>
    <t>SP Premiums (Fund Splits %)</t>
  </si>
  <si>
    <t>Rate of Return (Future Premiums)</t>
  </si>
  <si>
    <t>External Management Charge (Future Premiums)</t>
  </si>
  <si>
    <t>Guarantee Charge (Future Premiums)</t>
  </si>
  <si>
    <t>Future RP Premiums (Fund Splits %)</t>
  </si>
  <si>
    <t>Year</t>
  </si>
  <si>
    <t>€</t>
  </si>
  <si>
    <t xml:space="preserve">Total amount of contributions into the PRSA contract to date </t>
  </si>
  <si>
    <t>Projected investment growth to date</t>
  </si>
  <si>
    <t>Projected PRSA contract value if no account is taken of applicable charges to date</t>
  </si>
  <si>
    <t>Projected PRSA contract value if account is taken of applicable charges to date</t>
  </si>
  <si>
    <t>Contributions payable in that year</t>
  </si>
  <si>
    <t>Projected total intermediary and sales remuneration payable in that year</t>
  </si>
  <si>
    <t>Year of Maturity</t>
  </si>
  <si>
    <t>Fund at NRA if contributions start from age:</t>
  </si>
  <si>
    <t>Projected Maturity Value</t>
  </si>
  <si>
    <t>Projected Maturity Value no future premiums</t>
  </si>
  <si>
    <t>In Current Prices</t>
  </si>
  <si>
    <t>Annuity Current Prices(monthly)</t>
  </si>
  <si>
    <t>Discount Factor to convert from NRA to current terms if contributions start from age:</t>
  </si>
  <si>
    <t>Average growth rate</t>
  </si>
  <si>
    <t>projection months</t>
  </si>
  <si>
    <t>Mortality improvement factor by age 65 if contributions start from age:</t>
  </si>
  <si>
    <t>Annuity Factor at retirement if contributions start from age:</t>
  </si>
  <si>
    <t>Inputs:</t>
  </si>
  <si>
    <t>Policy Start Date</t>
  </si>
  <si>
    <t>Current Date</t>
  </si>
  <si>
    <t>Date of Birth</t>
  </si>
  <si>
    <t>Retirement Date</t>
  </si>
  <si>
    <t>Opening Fund Value</t>
  </si>
  <si>
    <t>Single Contribution</t>
  </si>
  <si>
    <t>Regular Contribution per annum</t>
  </si>
  <si>
    <t>Frequency</t>
  </si>
  <si>
    <t>Premiums Month 1</t>
  </si>
  <si>
    <t>Contribution Escalation</t>
  </si>
  <si>
    <t>Contributions per Year</t>
  </si>
  <si>
    <t>Contribution Charge (SP)</t>
  </si>
  <si>
    <t>Max Contribution Escalation</t>
  </si>
  <si>
    <t>Contribution Charge (RP)</t>
  </si>
  <si>
    <t>Commission Uplift Factor (upfront commission)</t>
  </si>
  <si>
    <t>Upfront commission (SP)</t>
  </si>
  <si>
    <t>Upfront commission (RP)</t>
  </si>
  <si>
    <t>Ongoing commission</t>
  </si>
  <si>
    <t>Gender</t>
  </si>
  <si>
    <t>Female</t>
  </si>
  <si>
    <t>page 11 ASP-PRSA2</t>
  </si>
  <si>
    <t>Qx adj (M)</t>
  </si>
  <si>
    <t>page 10 ASP-PRSA2</t>
  </si>
  <si>
    <t>Qx adj (F)</t>
  </si>
  <si>
    <t>Age at Entry</t>
  </si>
  <si>
    <t>Current Age</t>
  </si>
  <si>
    <t>Retirement Age</t>
  </si>
  <si>
    <t>Policy Term</t>
  </si>
  <si>
    <t>Base Year</t>
  </si>
  <si>
    <t>Current Year</t>
  </si>
  <si>
    <t>Maximum Investment Return(monthly)</t>
  </si>
  <si>
    <t>Interest Rate</t>
  </si>
  <si>
    <t>Inflation Rate</t>
  </si>
  <si>
    <t>Annuity Escalation Rate</t>
  </si>
  <si>
    <t>Improvement Factor (M)</t>
  </si>
  <si>
    <t>Improvement Factor (F)</t>
  </si>
  <si>
    <t>Guarantee Period</t>
  </si>
  <si>
    <t>Final month factor</t>
  </si>
  <si>
    <t>Single Equivanlence Charge</t>
  </si>
  <si>
    <t>IRR (Monthly)</t>
  </si>
  <si>
    <t>Reduction in Yield</t>
  </si>
  <si>
    <t>Transfer Included in Premium</t>
  </si>
  <si>
    <t>IRR (Yearly)</t>
  </si>
  <si>
    <t>Special Deal Initial Commission Indicator</t>
  </si>
  <si>
    <t>Special Deal Initial Commission Level</t>
  </si>
  <si>
    <t>Projection:</t>
  </si>
  <si>
    <t>Months to Retirement</t>
  </si>
  <si>
    <t>Age</t>
  </si>
  <si>
    <t>Growth Rate Existing Fund</t>
  </si>
  <si>
    <t>Gtee Charge Existing Fund</t>
  </si>
  <si>
    <t>External Man Charge Existing Fund</t>
  </si>
  <si>
    <t>Fund Value Existing Fund</t>
  </si>
  <si>
    <t xml:space="preserve"> Growth of existing fund</t>
  </si>
  <si>
    <t>Charges on existing fund</t>
  </si>
  <si>
    <t>Growth  on existing fund if no charges</t>
  </si>
  <si>
    <t>Growth Rate SP Fund</t>
  </si>
  <si>
    <t>Gtee Charge SP Fund</t>
  </si>
  <si>
    <t>External Man Charge SP Fund</t>
  </si>
  <si>
    <t>Fund Value SP Fund</t>
  </si>
  <si>
    <t>Growth of SP Fund</t>
  </si>
  <si>
    <t>Charges on SP Fund</t>
  </si>
  <si>
    <t>Growth on SP fund if  no charges</t>
  </si>
  <si>
    <t>Growth Rate Regular Premims</t>
  </si>
  <si>
    <t>Gtee ChargeRegular Premiums</t>
  </si>
  <si>
    <t>External Man Charge Regular Premiums</t>
  </si>
  <si>
    <t>Fund Value Future RegularPremiums</t>
  </si>
  <si>
    <t>Regular Contribution</t>
  </si>
  <si>
    <t>Growth on Future Premiums</t>
  </si>
  <si>
    <t>Contribution Charge Perc</t>
  </si>
  <si>
    <t>Charges on future Premiums</t>
  </si>
  <si>
    <t>Growth on regular premiums if no charges</t>
  </si>
  <si>
    <t>Total Fund Value</t>
  </si>
  <si>
    <t>Total Growth no charges</t>
  </si>
  <si>
    <t>Total Charges</t>
  </si>
  <si>
    <t>Maturity Flag</t>
  </si>
  <si>
    <t>AP Premium Flag</t>
  </si>
  <si>
    <t>Premiums &amp; Initial Fund Value</t>
  </si>
  <si>
    <t>Fund at Maturity(No Charges)</t>
  </si>
  <si>
    <t>Fund at Maturity (With Charges)</t>
  </si>
  <si>
    <t>Cashflow (no charges)</t>
  </si>
  <si>
    <t>Cashflow (charges)</t>
  </si>
  <si>
    <t>Fund Value No Charges</t>
  </si>
  <si>
    <t>Premium</t>
  </si>
  <si>
    <t>Growth</t>
  </si>
  <si>
    <t>Ext Fund Chg</t>
  </si>
  <si>
    <t>AMC</t>
  </si>
  <si>
    <t>G'tee Charge</t>
  </si>
  <si>
    <t>Charges</t>
  </si>
  <si>
    <t>Closing Fund Value</t>
  </si>
  <si>
    <t>Annuity Calculation:</t>
  </si>
  <si>
    <t>Qx_annual</t>
  </si>
  <si>
    <t>Qx_monthly</t>
  </si>
  <si>
    <t>P alive at start of month</t>
  </si>
  <si>
    <t>Escalation</t>
  </si>
  <si>
    <t>Amount</t>
  </si>
  <si>
    <t>Discount Factor</t>
  </si>
  <si>
    <t>2024 Q4</t>
  </si>
  <si>
    <t>Earnings and Labour Costs Q3 2024 (Final) Q4 2024 (Preliminary Estimates) - Central Statistics Office</t>
  </si>
  <si>
    <t>2025 Q1</t>
  </si>
  <si>
    <t>Earnings and Labour Costs Q4 2024 (Final) Q1 2025 (Preliminary Estimates) - Central Statistics Office</t>
  </si>
  <si>
    <t>2025 Q2</t>
  </si>
  <si>
    <t>Earnings and Labour Costs Q1 2025 (Final) Q2 2025 (Preliminary Estimates) - Central Statistics Office</t>
  </si>
  <si>
    <t>2025 Q3</t>
  </si>
  <si>
    <t>Earnings and Labour Costs Q2 2025 (Final) Q3 2025 (Preliminary Estimates) - Central Statistics Office</t>
  </si>
  <si>
    <t>12 Month Average</t>
  </si>
  <si>
    <t>State Pension Per week 2026</t>
  </si>
  <si>
    <t>State Pension Per Year 2026</t>
  </si>
  <si>
    <t>Income as % of State Pension</t>
  </si>
  <si>
    <t>2023 Q4</t>
  </si>
  <si>
    <t>Earnings and Labour Costs Q3 2023 (Final) Q4 2023 (Preliminary Estimates) - Central Statistics Office</t>
  </si>
  <si>
    <t>2024 Q1</t>
  </si>
  <si>
    <t>Earnings and Labour Costs Q4 2023 (Final) Q1 2024 (Preliminary Estimates) - Central Statistics Office</t>
  </si>
  <si>
    <t>2024 Q2</t>
  </si>
  <si>
    <t>Earnings and Labour Costs Q1 2024 (Final) Q2 2024 (Preliminary Estimates) - Central Statistics Office</t>
  </si>
  <si>
    <t>2024 Q3</t>
  </si>
  <si>
    <t>https://www.cso.ie/en/releasesandpublications/ep/p-elcq/earningsandlabourcostsq22024finalq32024preliminaryestimates/</t>
  </si>
  <si>
    <t>State Pension Per week 2025</t>
  </si>
  <si>
    <t>State Pension Per Year (2025)</t>
  </si>
  <si>
    <t>State Pension (Non-Contributory)</t>
  </si>
  <si>
    <t>Calc is based on email from Milliman as follows:</t>
  </si>
  <si>
    <t>DIY Invested Funds</t>
  </si>
  <si>
    <t>Fund</t>
  </si>
  <si>
    <t>Fund based charge – excluding guarantee charge</t>
  </si>
  <si>
    <t>Guarantee charge</t>
  </si>
  <si>
    <t>Fund based charge – including guarantee charge</t>
  </si>
  <si>
    <t>AMC p.a.</t>
  </si>
  <si>
    <t>FMC p.a.</t>
  </si>
  <si>
    <t>Total Fund-based Charge p.a.</t>
  </si>
  <si>
    <t>You have invested in the Default Investment Strategy (DIS).  Under the DIS, the asset mix of your policy changes over time.  For the eight years leading up to your retirement you will be invested in a mix of the Allianz Strategy Select 30 and Allianz Strategy Select 50 funds, and the guarantee will automatically apply.  As a result, over the final eight years leading up to retirement (and thereafter if you choose to remain within those funds post-retirement) the guarantee and guarantee charge will apply.</t>
  </si>
  <si>
    <t>The funds your policy will invest in, and the Total Fund-based charge applicable for each fund are set out in the table below.  The total charge includes the Annual Management Charge, the Fund Management Charge and in the case of the Allianz Strategy Select 30 and 50 funds the relevant guarantee charge.</t>
  </si>
  <si>
    <t xml:space="preserve">You have invested in the Lifecyle Investment Strategy (LC).  Under this investment strategy the asset mix of your policy changes over time.  </t>
  </si>
  <si>
    <t>The funds your policy will invest in, and the Total Fund-based Charge applicable for each fund are set out in the table below.  The total charge includes the Annual Management Charge and the Fund Management Charge.</t>
  </si>
  <si>
    <t>AP Dynamic / Opportunity</t>
  </si>
  <si>
    <t>You have invested in the Autopilot Investment Strategy (AP).  Under this investment strategy the asset mix of your policy changes over time.  You will be invested in a mix of the Allianz Strategy Select 30 and Allianz Strategy Select 75 funds, and the guarantee will automatically apply.  As a result, while invested in this investment strategy (and thereafter if you choose to remain within those funds post-retirement) the guarantee and guarantee charge will apply.</t>
  </si>
  <si>
    <t>The funds your policy will invest in, and the Total Fund-based Charge applicable for each fund are set out in the table below.  The total charge includes the Annual Management Charge, the Fund Management Charge and in the case of the Allianz Strategy Select 30 and 75 funds the relevant guarantee charge.</t>
  </si>
  <si>
    <t>AP Balanced</t>
  </si>
  <si>
    <t>You have invested in the Autopilot Investment Strategy (AP).  Under this investment strategy the asset mix of your policy changes over time.  You will be invested in a mix of the Allianz Strategy Select 30 and Allianz Strategy Select 75 and Allianz Advanced Fixed Income Short Duration funds. The guarantee will automatically apply to the proportion invested in the Allianz Strategy Select funds.  As a result, while invested in this investment strategy (and thereafter if you choose to remain within those funds post-retirement) the guarantee and guarantee charge will apply.</t>
  </si>
  <si>
    <t>The funds your policy is invested in, and the total fund based charge applicable for each fund are set out in the table below.  The total charge includes the Annual Management Charge, the Fund Management Charge and in the case of the Allianz Strategy Select funds the relevant guarantee charge if selected .</t>
  </si>
  <si>
    <t>Fund Range</t>
  </si>
  <si>
    <t>Text input</t>
  </si>
  <si>
    <t>Table Inputs</t>
  </si>
  <si>
    <t>Product Type &amp; Version</t>
  </si>
  <si>
    <t>DOB</t>
  </si>
  <si>
    <t>Fund Value Projections Table</t>
  </si>
  <si>
    <t xml:space="preserve">Total amount of contributions paid in the future into the PRSA contract up to the relevant date </t>
  </si>
  <si>
    <t>NRA</t>
  </si>
  <si>
    <t>Monthly Annuity (no futher contributions)</t>
  </si>
  <si>
    <t>Monthly Annuity</t>
  </si>
  <si>
    <t>Rate of Inflation</t>
  </si>
  <si>
    <t>Investment Term</t>
  </si>
  <si>
    <t>No of Contributions</t>
  </si>
  <si>
    <t>Contrbution Frequency</t>
  </si>
  <si>
    <t>Escalation Rate</t>
  </si>
  <si>
    <t>Inv Strategy</t>
  </si>
  <si>
    <t>SP Contribution Charge Table</t>
  </si>
  <si>
    <t>Single Premium Contributions</t>
  </si>
  <si>
    <t>Contribution Charge</t>
  </si>
  <si>
    <t>Invested Funds</t>
  </si>
  <si>
    <t>Below €10,000</t>
  </si>
  <si>
    <t>Funds Text (standard)</t>
  </si>
  <si>
    <t>RP Contribution Charge Table</t>
  </si>
  <si>
    <t>Regular Monthly Contribution</t>
  </si>
  <si>
    <t>Below €100</t>
  </si>
  <si>
    <t>Funds Text (non-standard) 1</t>
  </si>
  <si>
    <t>€100 and over</t>
  </si>
  <si>
    <t>Fund Based Charges Table</t>
  </si>
  <si>
    <t>Banded Charge?</t>
  </si>
  <si>
    <t>FBC Lower Bound</t>
  </si>
  <si>
    <t>FBC Upper Bound</t>
  </si>
  <si>
    <t>Funds Text (non-standard) 2</t>
  </si>
  <si>
    <t>Single Charge</t>
  </si>
  <si>
    <t xml:space="preserve">Fund Range </t>
  </si>
  <si>
    <t>Final wording for doc:</t>
  </si>
  <si>
    <t>Single Contribution Charge</t>
  </si>
  <si>
    <t>Commission Payable Table</t>
  </si>
  <si>
    <t>Regular Contribution Charge</t>
  </si>
  <si>
    <t>Current PRSA Value</t>
  </si>
  <si>
    <t>Reliances &amp; Limitations</t>
  </si>
  <si>
    <t>Allianz Global Life dac</t>
  </si>
  <si>
    <t>RELIANCES</t>
  </si>
  <si>
    <t>DATA</t>
  </si>
  <si>
    <t>In carrying out our work and producing this workbook, we relied on data and other information provided by AGL dac. We have not audited or verified this data and other information. If the underlying data or information is inaccurate or incomplete, the results of our analysis may likewise be inaccurate or incomplete.</t>
  </si>
  <si>
    <t>We performed a limited review of the data used directly in our analysis for reasonableness and consistency and have not found material defects in the data. If there are material defects in the data, it is possible that they would be uncovered by a detailed, systematic review and comparison of the data to search for data values that are questionable or for relationships that are materially inconsistent. Such a review was beyond the scope of our assignment.</t>
  </si>
  <si>
    <t>In carrying out our work and producing this workbook, reliance has been placed upon, but not limited to, the following information:</t>
  </si>
  <si>
    <t>Investment Strategies and Glide paths</t>
  </si>
  <si>
    <t>Product Parameters including:</t>
  </si>
  <si>
    <t>- Commission Profiles</t>
  </si>
  <si>
    <t>- Admin Charges</t>
  </si>
  <si>
    <t>Fund Management Charges</t>
  </si>
  <si>
    <t>Guarantee Charges</t>
  </si>
  <si>
    <t>We supplemented AGL dac's data with insurance industry data where deemed necessary. The use of external data is another source of uncertainty in our estimates.</t>
  </si>
  <si>
    <t>LIMITATIONS</t>
  </si>
  <si>
    <t>DISTRIBUTION &amp; USAGE</t>
  </si>
  <si>
    <t>This workbook has been prepared solely for the internal business use of and is only to be relied upon by the management of AGL dac. No portion of this workbook may be provided to any other party without our prior written consent. In the event such consent is provided, the workbook must be provided in its entirety.</t>
  </si>
  <si>
    <t>Judgments as to the conclusions contained in this workbook should be made only after studying the workbook in its entirety. Furthermore, conclusions reached by review of a section or sections on an isolated basis may be incorrect.</t>
  </si>
  <si>
    <t>The workbook is intended to be used by a person with a certain level of expertise in the areas addressed and for the stated purposes only.  Any user of this workbook must possess a certain level of expertise in areas relevant to this analysis to appreciate the significance of the assumptions and the impact of these assumptions on the illustrated results. The user should be advised by their own actuaries or other qualified professionals competent in the subject matter of this workbook, so as to properly interpret the material.</t>
  </si>
  <si>
    <t>This workbook is subject to the terms and limitations, including limitation of liability, set out in our letter of engagement / statement of work / transaction agreement / other relevant agreement.</t>
  </si>
  <si>
    <t>VARIABILITY OF RESULTS</t>
  </si>
  <si>
    <t>Differences between our projections and actual amounts depend on the extent to which future experience conforms to the assumptions made for this analysis.  The assumptions we have used have, in our view, been made on the basis of reasonable hypotheses.  It is certain, however, that actual experience will not conform exactly to the assumptions used in this analysis. Actual amounts will differ from projected amounts to the extent that actual experience deviates from expected experience.  Such variations in experience could have a significant effect on the results and conclusions in this workbook.  No warranty is given that the assumptions made in this workbook will be reflected in actual future experience.</t>
  </si>
  <si>
    <t>RECOMMENDED OTHER PROFESSIONAL ADVICE</t>
  </si>
  <si>
    <t>The consultants who worked on this assignment are insurance actuaries. As such, they are familiar with statutory accounting and GAAP accounting, but are by no means experts in law, taxation, or accounting. Our advice is not, nor is it intended to be, a substitute for qualified legal, tax, or accounting advice.</t>
  </si>
  <si>
    <t>Index Name</t>
  </si>
  <si>
    <t>Official Name</t>
  </si>
  <si>
    <t>AVC Name</t>
  </si>
  <si>
    <t>Non-Standard A</t>
  </si>
  <si>
    <t>Non-Standard PRSA (A)</t>
  </si>
  <si>
    <t>Non-Standard AVC PRSA (A)</t>
  </si>
  <si>
    <t>Non-Standard B</t>
  </si>
  <si>
    <t>Non-Standard PRSA (B)</t>
  </si>
  <si>
    <t>Non-Standard AVC PRSA (B)</t>
  </si>
  <si>
    <t>Non-Standard C</t>
  </si>
  <si>
    <t>Non-Standard PRSA (C)</t>
  </si>
  <si>
    <t>Non-Standard AVC PRSA (C)</t>
  </si>
  <si>
    <t>Non-Standard D</t>
  </si>
  <si>
    <t>Non-Standard PRSA (D)</t>
  </si>
  <si>
    <t>Non-Standard AVC PRSA (D)</t>
  </si>
  <si>
    <t>Standard E</t>
  </si>
  <si>
    <t>Standard PRSA</t>
  </si>
  <si>
    <t>Standard AVC PRSA</t>
  </si>
  <si>
    <t>Non-Standard F</t>
  </si>
  <si>
    <t>Non-Standard PRSA (F)</t>
  </si>
  <si>
    <t>Non-Standard AVC PRSA (F)</t>
  </si>
  <si>
    <t>Number</t>
  </si>
  <si>
    <t>Standard/Non-Standard</t>
  </si>
  <si>
    <t>Joined</t>
  </si>
  <si>
    <t>RP Initial Commission</t>
  </si>
  <si>
    <t>Max RP Initial Commission (Non-Special Deal)</t>
  </si>
  <si>
    <t>Max RP Initial Commission (Special Deal)</t>
  </si>
  <si>
    <t>Special Deal Adjustment</t>
  </si>
  <si>
    <t>RP Initial Commission Post Special Deal Adjustment</t>
  </si>
  <si>
    <t>Max RP Initial Commission (Post Special Deal Adjustment)</t>
  </si>
  <si>
    <t>1.</t>
  </si>
  <si>
    <t>2.</t>
  </si>
  <si>
    <t>3.</t>
  </si>
  <si>
    <t>4.</t>
  </si>
  <si>
    <t>5.</t>
  </si>
  <si>
    <t>Monthly</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</si>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</sst>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 #,##0_-;\-* #,##0_-;_-* &quot;-&quot;??_-;_-@_-"/>
    <numFmt numFmtId="165" formatCode="0.000"/>
    <numFmt numFmtId="166" formatCode="0.00000"/>
    <numFmt numFmtId="167" formatCode="0.0000000"/>
    <numFmt numFmtId="168" formatCode="0.0"/>
    <numFmt numFmtId="169" formatCode="0.000%"/>
    <numFmt numFmtId="170" formatCode="0.0%"/>
    <numFmt numFmtId="171" formatCode="0.0000%"/>
    <numFmt numFmtId="172" formatCode="0.0000"/>
    <numFmt numFmtId="173" formatCode="0.000000%"/>
    <numFmt numFmtId="174" formatCode="0.00000%"/>
    <numFmt numFmtId="175" formatCode="#,##0_ ;\-#,##0\ "/>
    <numFmt numFmtId="176" formatCode="&quot;€&quot;#,##0"/>
    <numFmt numFmtId="177" formatCode="&quot;step_&quot;00"/>
  </numFmts>
  <fonts count="35">
    <font>
      <sz val="11"/>
      <color theme="1"/>
      <name val="Aptos Narrow"/>
      <family val="2"/>
      <scheme val="minor"/>
    </font>
    <font>
      <sz val="11"/>
      <color theme="1"/>
      <name val="Aptos Narrow"/>
      <family val="2"/>
      <scheme val="minor"/>
    </font>
    <font>
      <sz val="10"/>
      <color rgb="FFFFFFFF"/>
      <name val="Allianz Neo"/>
      <family val="2"/>
    </font>
    <font>
      <sz val="10"/>
      <color theme="1"/>
      <name val="Allianz Neo"/>
      <family val="2"/>
    </font>
    <font>
      <sz val="10"/>
      <color rgb="FFFF0000"/>
      <name val="Allianz Neo"/>
      <family val="2"/>
    </font>
    <font>
      <b/>
      <sz val="10"/>
      <color theme="1"/>
      <name val="Allianz Neo"/>
      <family val="2"/>
    </font>
    <font>
      <sz val="10"/>
      <name val="Arial"/>
      <family val="2"/>
    </font>
    <font>
      <b/>
      <sz val="10"/>
      <name val="Allianz Neo"/>
      <family val="2"/>
    </font>
    <font>
      <sz val="10"/>
      <name val="Allianz Neo"/>
      <family val="2"/>
    </font>
    <font>
      <sz val="10"/>
      <color rgb="FFFFFFFF"/>
      <name val="Calibri"/>
      <family val="2"/>
    </font>
    <font>
      <b/>
      <sz val="11"/>
      <color theme="1"/>
      <name val="Aptos Narrow"/>
      <family val="2"/>
      <scheme val="minor"/>
    </font>
    <font>
      <b/>
      <u/>
      <sz val="11"/>
      <color theme="1"/>
      <name val="Aptos Narrow"/>
      <family val="2"/>
      <scheme val="minor"/>
    </font>
    <font>
      <sz val="18"/>
      <name val="Arial"/>
      <family val="2"/>
    </font>
    <font>
      <b/>
      <sz val="12"/>
      <color rgb="FF122B54"/>
      <name val="Allianz Neo PPT"/>
    </font>
    <font>
      <sz val="12"/>
      <color rgb="FF003781"/>
      <name val="Allianz Neo PPT"/>
    </font>
    <font>
      <b/>
      <sz val="10"/>
      <color rgb="FF000000"/>
      <name val="Arial"/>
      <family val="2"/>
    </font>
    <font>
      <sz val="9"/>
      <color indexed="81"/>
      <name val="Tahoma"/>
      <family val="2"/>
    </font>
    <font>
      <b/>
      <sz val="9"/>
      <color indexed="81"/>
      <name val="Tahoma"/>
      <family val="2"/>
    </font>
    <font>
      <sz val="11"/>
      <color theme="1"/>
      <name val="Calibri"/>
      <family val="2"/>
    </font>
    <font>
      <b/>
      <sz val="11"/>
      <color rgb="FFFFFFFF"/>
      <name val="Calibri"/>
      <family val="2"/>
    </font>
    <font>
      <sz val="8"/>
      <name val="Aptos Narrow"/>
      <family val="2"/>
      <scheme val="minor"/>
    </font>
    <font>
      <b/>
      <i/>
      <u/>
      <sz val="11"/>
      <color theme="1"/>
      <name val="Aptos Narrow"/>
      <family val="2"/>
      <scheme val="minor"/>
    </font>
    <font>
      <sz val="9"/>
      <color theme="1"/>
      <name val="arial"/>
      <family val="2"/>
    </font>
    <font>
      <b/>
      <sz val="12"/>
      <color theme="1"/>
      <name val="arial"/>
      <family val="2"/>
    </font>
    <font>
      <b/>
      <sz val="9"/>
      <color theme="1"/>
      <name val="arial"/>
      <family val="2"/>
    </font>
    <font>
      <b/>
      <sz val="11"/>
      <color theme="0"/>
      <name val="Aptos Narrow"/>
      <family val="2"/>
      <scheme val="minor"/>
    </font>
    <font>
      <b/>
      <sz val="10"/>
      <name val="Arial"/>
      <family val="2"/>
    </font>
    <font>
      <sz val="10"/>
      <color theme="0"/>
      <name val="Arial"/>
      <family val="2"/>
    </font>
    <font>
      <b/>
      <sz val="10"/>
      <color theme="0"/>
      <name val="Arial"/>
      <family val="2"/>
    </font>
    <font>
      <b/>
      <sz val="16"/>
      <color rgb="FFFF0000"/>
      <name val="Allianz Neo"/>
      <family val="2"/>
    </font>
    <font>
      <u/>
      <sz val="11"/>
      <color theme="10"/>
      <name val="Aptos Narrow"/>
      <family val="2"/>
      <scheme val="minor"/>
    </font>
    <font>
      <sz val="11"/>
      <name val="Aptos Narrow"/>
      <family val="2"/>
      <scheme val="minor"/>
    </font>
    <font>
      <sz val="11"/>
      <color theme="2"/>
      <name val="Aptos Narrow"/>
      <family val="2"/>
      <scheme val="minor"/>
    </font>
    <font>
      <b/>
      <sz val="11"/>
      <name val="Aptos Narrow"/>
      <family val="2"/>
      <scheme val="minor"/>
    </font>
    <font>
      <sz val="10"/>
      <color rgb="FF454547"/>
      <name val="Allianz Neo"/>
      <family val="2"/>
    </font>
  </fonts>
  <fills count="17">
    <fill>
      <patternFill patternType="none"/>
    </fill>
    <fill>
      <patternFill patternType="gray125"/>
    </fill>
    <fill>
      <patternFill patternType="solid">
        <fgColor rgb="FF2E74B5"/>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3" tint="0.749992370372631"/>
        <bgColor indexed="64"/>
      </patternFill>
    </fill>
    <fill>
      <patternFill patternType="solid">
        <fgColor rgb="FF122B54"/>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2CEEF"/>
        <bgColor rgb="FF000000"/>
      </patternFill>
    </fill>
  </fills>
  <borders count="3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rgb="FF000000"/>
      </right>
      <top style="medium">
        <color rgb="FFFFFFFF"/>
      </top>
      <bottom/>
      <diagonal/>
    </border>
    <border>
      <left/>
      <right style="medium">
        <color rgb="FFFFFFFF"/>
      </right>
      <top/>
      <bottom/>
      <diagonal/>
    </border>
    <border>
      <left style="thin">
        <color rgb="FF000000"/>
      </left>
      <right style="medium">
        <color rgb="FFFFFFFF"/>
      </right>
      <top style="medium">
        <color rgb="FFFFFFFF"/>
      </top>
      <bottom/>
      <diagonal/>
    </border>
    <border>
      <left style="medium">
        <color rgb="FFFFFFFF"/>
      </left>
      <right style="medium">
        <color rgb="FFFFFFFF"/>
      </right>
      <top/>
      <bottom/>
      <diagonal/>
    </border>
    <border>
      <left style="medium">
        <color rgb="FF414141"/>
      </left>
      <right style="medium">
        <color rgb="FF414141"/>
      </right>
      <top/>
      <bottom/>
      <diagonal/>
    </border>
    <border>
      <left style="medium">
        <color rgb="FF414141"/>
      </left>
      <right style="medium">
        <color rgb="FF414141"/>
      </right>
      <top/>
      <bottom style="medium">
        <color rgb="FF414141"/>
      </bottom>
      <diagonal/>
    </border>
    <border>
      <left/>
      <right/>
      <top style="medium">
        <color rgb="FFFFFFFF"/>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rgb="FFFFFFFF"/>
      </top>
      <bottom style="medium">
        <color rgb="FFFFFFFF"/>
      </bottom>
      <diagonal/>
    </border>
    <border>
      <left style="medium">
        <color rgb="FFFFFFFF"/>
      </left>
      <right/>
      <top style="medium">
        <color rgb="FFFFFFFF"/>
      </top>
      <bottom/>
      <diagonal/>
    </border>
  </borders>
  <cellStyleXfs count="7">
    <xf numFmtId="0" fontId="0" fillId="0" borderId="0"/>
    <xf numFmtId="43" fontId="1" fillId="0" borderId="0" applyFont="0" applyFill="0" applyBorder="0" applyAlignment="0" applyProtection="0"/>
    <xf numFmtId="0" fontId="6" fillId="0" borderId="0"/>
    <xf numFmtId="9" fontId="1" fillId="0" borderId="0" applyFont="0" applyFill="0" applyBorder="0" applyAlignment="0" applyProtection="0"/>
    <xf numFmtId="0" fontId="22" fillId="0" borderId="0"/>
    <xf numFmtId="0" fontId="30" fillId="0" borderId="0" applyNumberFormat="0" applyFill="0" applyBorder="0" applyAlignment="0" applyProtection="0"/>
    <xf numFmtId="0" fontId="6" fillId="0" borderId="0"/>
  </cellStyleXfs>
  <cellXfs count="307">
    <xf numFmtId="0" fontId="0" fillId="0" borderId="0" xfId="0"/>
    <xf numFmtId="0" fontId="3" fillId="0" borderId="0" xfId="0" applyFont="1"/>
    <xf numFmtId="0" fontId="5" fillId="0" borderId="0" xfId="0" applyFont="1"/>
    <xf numFmtId="0" fontId="3" fillId="0" borderId="0" xfId="0" applyFont="1" applyAlignment="1">
      <alignment horizontal="right"/>
    </xf>
    <xf numFmtId="164" fontId="3" fillId="0" borderId="0" xfId="0" applyNumberFormat="1" applyFont="1"/>
    <xf numFmtId="0" fontId="7" fillId="0" borderId="0" xfId="0" applyFont="1" applyAlignment="1">
      <alignment horizontal="center"/>
    </xf>
    <xf numFmtId="0" fontId="7" fillId="0" borderId="0" xfId="0" applyFont="1"/>
    <xf numFmtId="0" fontId="8" fillId="0" borderId="0" xfId="0" applyFont="1" applyAlignment="1">
      <alignment horizontal="center"/>
    </xf>
    <xf numFmtId="2" fontId="3" fillId="0" borderId="2" xfId="0" applyNumberFormat="1" applyFont="1" applyBorder="1" applyAlignment="1">
      <alignment horizontal="right" vertical="center" wrapText="1"/>
    </xf>
    <xf numFmtId="168" fontId="8" fillId="0" borderId="2" xfId="0" applyNumberFormat="1" applyFont="1" applyBorder="1" applyAlignment="1">
      <alignment horizontal="right" vertical="center" wrapText="1"/>
    </xf>
    <xf numFmtId="165" fontId="3" fillId="0" borderId="2" xfId="0" applyNumberFormat="1" applyFont="1" applyBorder="1" applyAlignment="1">
      <alignment horizontal="right" vertical="center" wrapText="1"/>
    </xf>
    <xf numFmtId="0" fontId="3" fillId="3" borderId="0" xfId="0" applyFont="1" applyFill="1"/>
    <xf numFmtId="167" fontId="3" fillId="4" borderId="0" xfId="0" applyNumberFormat="1" applyFont="1" applyFill="1"/>
    <xf numFmtId="0" fontId="3" fillId="4" borderId="0" xfId="0" applyFont="1" applyFill="1"/>
    <xf numFmtId="10" fontId="8" fillId="3" borderId="0" xfId="0" applyNumberFormat="1" applyFont="1" applyFill="1"/>
    <xf numFmtId="164" fontId="8" fillId="3" borderId="0" xfId="1" applyNumberFormat="1" applyFont="1" applyFill="1"/>
    <xf numFmtId="43" fontId="3" fillId="4" borderId="0" xfId="1" applyFont="1" applyFill="1"/>
    <xf numFmtId="164" fontId="3" fillId="4" borderId="0" xfId="0" applyNumberFormat="1" applyFont="1" applyFill="1"/>
    <xf numFmtId="166" fontId="3" fillId="4" borderId="0" xfId="0" applyNumberFormat="1" applyFont="1" applyFill="1"/>
    <xf numFmtId="9" fontId="3" fillId="4" borderId="0" xfId="0" applyNumberFormat="1" applyFont="1" applyFill="1"/>
    <xf numFmtId="0" fontId="4" fillId="0" borderId="0" xfId="0" applyFont="1"/>
    <xf numFmtId="0" fontId="3" fillId="0" borderId="2" xfId="0" applyFont="1" applyBorder="1" applyAlignment="1">
      <alignment vertical="center" wrapText="1"/>
    </xf>
    <xf numFmtId="0" fontId="2" fillId="2" borderId="1" xfId="0" applyFont="1" applyFill="1" applyBorder="1" applyAlignment="1">
      <alignment horizontal="right" vertical="center" wrapText="1"/>
    </xf>
    <xf numFmtId="0" fontId="9" fillId="2" borderId="2" xfId="0" applyFont="1" applyFill="1" applyBorder="1" applyAlignment="1">
      <alignment horizontal="right" vertical="center" wrapText="1"/>
    </xf>
    <xf numFmtId="0" fontId="2" fillId="2" borderId="8" xfId="0" applyFont="1" applyFill="1" applyBorder="1" applyAlignment="1">
      <alignment horizontal="right" vertical="center" wrapText="1"/>
    </xf>
    <xf numFmtId="0" fontId="9" fillId="2" borderId="5" xfId="0" applyFont="1" applyFill="1" applyBorder="1" applyAlignment="1">
      <alignment horizontal="right" vertical="center" wrapText="1"/>
    </xf>
    <xf numFmtId="0" fontId="3" fillId="0" borderId="2" xfId="0" applyFont="1" applyBorder="1" applyAlignment="1">
      <alignment horizontal="right" vertical="center" wrapText="1"/>
    </xf>
    <xf numFmtId="164" fontId="3" fillId="0" borderId="5" xfId="1" applyNumberFormat="1" applyFont="1" applyBorder="1" applyAlignment="1">
      <alignment horizontal="right" vertical="center" wrapText="1"/>
    </xf>
    <xf numFmtId="43" fontId="3" fillId="4" borderId="0" xfId="0" applyNumberFormat="1" applyFont="1" applyFill="1"/>
    <xf numFmtId="164" fontId="2" fillId="2" borderId="7" xfId="0" applyNumberFormat="1" applyFont="1" applyFill="1" applyBorder="1" applyAlignment="1">
      <alignment horizontal="right" vertical="center" wrapText="1"/>
    </xf>
    <xf numFmtId="169" fontId="0" fillId="0" borderId="0" xfId="0" applyNumberFormat="1"/>
    <xf numFmtId="170" fontId="3" fillId="4" borderId="0" xfId="3" applyNumberFormat="1" applyFont="1" applyFill="1"/>
    <xf numFmtId="0" fontId="3" fillId="4" borderId="0" xfId="3" applyNumberFormat="1" applyFont="1" applyFill="1"/>
    <xf numFmtId="10" fontId="3" fillId="4" borderId="0" xfId="3" applyNumberFormat="1" applyFont="1" applyFill="1"/>
    <xf numFmtId="14" fontId="8" fillId="3" borderId="0" xfId="1" applyNumberFormat="1" applyFont="1" applyFill="1"/>
    <xf numFmtId="172" fontId="3" fillId="4" borderId="0" xfId="0" applyNumberFormat="1" applyFont="1" applyFill="1"/>
    <xf numFmtId="43" fontId="3" fillId="0" borderId="0" xfId="0" applyNumberFormat="1" applyFont="1"/>
    <xf numFmtId="0" fontId="10" fillId="0" borderId="0" xfId="0" applyFont="1"/>
    <xf numFmtId="0" fontId="10" fillId="0" borderId="0" xfId="0" applyFont="1" applyAlignment="1">
      <alignment wrapText="1"/>
    </xf>
    <xf numFmtId="173" fontId="0" fillId="0" borderId="0" xfId="3" applyNumberFormat="1" applyFont="1"/>
    <xf numFmtId="0" fontId="10" fillId="0" borderId="10" xfId="0" applyFont="1" applyBorder="1"/>
    <xf numFmtId="0" fontId="11" fillId="0" borderId="0" xfId="0" applyFont="1" applyAlignment="1">
      <alignment horizontal="center"/>
    </xf>
    <xf numFmtId="14" fontId="8" fillId="0" borderId="0" xfId="1" applyNumberFormat="1" applyFont="1" applyFill="1"/>
    <xf numFmtId="0" fontId="0" fillId="5" borderId="0" xfId="0" applyFill="1"/>
    <xf numFmtId="0" fontId="10" fillId="5" borderId="0" xfId="0" applyFont="1" applyFill="1" applyAlignment="1">
      <alignment wrapText="1"/>
    </xf>
    <xf numFmtId="0" fontId="3" fillId="6" borderId="0" xfId="0" applyFont="1" applyFill="1"/>
    <xf numFmtId="164" fontId="8" fillId="6" borderId="0" xfId="1" applyNumberFormat="1" applyFont="1" applyFill="1"/>
    <xf numFmtId="0" fontId="3" fillId="7" borderId="0" xfId="3" applyNumberFormat="1" applyFont="1" applyFill="1"/>
    <xf numFmtId="10" fontId="8" fillId="6" borderId="0" xfId="0" applyNumberFormat="1" applyFont="1" applyFill="1" applyAlignment="1">
      <alignment horizontal="right"/>
    </xf>
    <xf numFmtId="9" fontId="8" fillId="6" borderId="0" xfId="0" applyNumberFormat="1" applyFont="1" applyFill="1" applyAlignment="1">
      <alignment horizontal="right"/>
    </xf>
    <xf numFmtId="0" fontId="8" fillId="6" borderId="0" xfId="1" applyNumberFormat="1" applyFont="1" applyFill="1"/>
    <xf numFmtId="9" fontId="8" fillId="6" borderId="0" xfId="0" applyNumberFormat="1" applyFont="1" applyFill="1"/>
    <xf numFmtId="10" fontId="8" fillId="6" borderId="0" xfId="0" applyNumberFormat="1" applyFont="1" applyFill="1"/>
    <xf numFmtId="164" fontId="3" fillId="0" borderId="3" xfId="1" applyNumberFormat="1" applyFont="1" applyBorder="1" applyAlignment="1">
      <alignment horizontal="right" vertical="center" wrapText="1"/>
    </xf>
    <xf numFmtId="166" fontId="3" fillId="6" borderId="0" xfId="0" applyNumberFormat="1" applyFont="1" applyFill="1"/>
    <xf numFmtId="43" fontId="8" fillId="4" borderId="0" xfId="1" applyFont="1" applyFill="1"/>
    <xf numFmtId="164" fontId="3" fillId="7" borderId="0" xfId="0" applyNumberFormat="1" applyFont="1" applyFill="1"/>
    <xf numFmtId="172" fontId="3" fillId="7" borderId="0" xfId="0" applyNumberFormat="1" applyFont="1" applyFill="1"/>
    <xf numFmtId="175" fontId="3" fillId="0" borderId="5" xfId="1" applyNumberFormat="1" applyFont="1" applyBorder="1" applyAlignment="1">
      <alignment horizontal="right" vertical="center" wrapText="1"/>
    </xf>
    <xf numFmtId="0" fontId="3" fillId="0" borderId="1" xfId="0" applyFont="1" applyBorder="1"/>
    <xf numFmtId="0" fontId="3" fillId="0" borderId="2" xfId="0" applyFont="1" applyBorder="1"/>
    <xf numFmtId="0" fontId="3" fillId="0" borderId="7" xfId="0" applyFont="1" applyBorder="1"/>
    <xf numFmtId="169" fontId="3" fillId="4" borderId="0" xfId="3" applyNumberFormat="1" applyFont="1" applyFill="1"/>
    <xf numFmtId="43" fontId="3" fillId="7" borderId="0" xfId="0" applyNumberFormat="1" applyFont="1" applyFill="1"/>
    <xf numFmtId="43" fontId="3" fillId="9" borderId="0" xfId="1" applyFont="1" applyFill="1"/>
    <xf numFmtId="0" fontId="13" fillId="0" borderId="0" xfId="0" applyFont="1" applyAlignment="1">
      <alignment horizontal="left" vertical="center" wrapText="1" indent="1" readingOrder="1"/>
    </xf>
    <xf numFmtId="0" fontId="13" fillId="0" borderId="0" xfId="0" applyFont="1" applyAlignment="1">
      <alignment horizontal="center" vertical="center" wrapText="1" readingOrder="1"/>
    </xf>
    <xf numFmtId="0" fontId="14" fillId="0" borderId="0" xfId="0" applyFont="1" applyAlignment="1">
      <alignment horizontal="left" vertical="center" wrapText="1" indent="1" readingOrder="1"/>
    </xf>
    <xf numFmtId="9" fontId="14" fillId="0" borderId="0" xfId="0" applyNumberFormat="1" applyFont="1" applyAlignment="1">
      <alignment horizontal="center" vertical="center" wrapText="1" readingOrder="1"/>
    </xf>
    <xf numFmtId="3" fontId="14" fillId="0" borderId="0" xfId="0" applyNumberFormat="1" applyFont="1" applyAlignment="1">
      <alignment horizontal="left" vertical="center" wrapText="1" indent="1" readingOrder="1"/>
    </xf>
    <xf numFmtId="10" fontId="14" fillId="0" borderId="0" xfId="0" applyNumberFormat="1" applyFont="1" applyAlignment="1">
      <alignment horizontal="center" vertical="center" wrapText="1" readingOrder="1"/>
    </xf>
    <xf numFmtId="0" fontId="12" fillId="0" borderId="0" xfId="0" applyFont="1" applyAlignment="1">
      <alignment horizontal="left" vertical="center" wrapText="1" indent="1"/>
    </xf>
    <xf numFmtId="0" fontId="12" fillId="0" borderId="0" xfId="0" applyFont="1" applyAlignment="1">
      <alignment horizontal="center" vertical="center" wrapText="1"/>
    </xf>
    <xf numFmtId="0" fontId="10" fillId="0" borderId="7" xfId="0" applyFont="1" applyBorder="1"/>
    <xf numFmtId="174" fontId="3" fillId="4" borderId="0" xfId="3" applyNumberFormat="1" applyFont="1" applyFill="1"/>
    <xf numFmtId="10" fontId="0" fillId="4" borderId="11" xfId="3" applyNumberFormat="1" applyFont="1" applyFill="1" applyBorder="1"/>
    <xf numFmtId="0" fontId="0" fillId="3" borderId="0" xfId="3" applyNumberFormat="1" applyFont="1" applyFill="1"/>
    <xf numFmtId="10" fontId="0" fillId="4" borderId="0" xfId="3" applyNumberFormat="1" applyFont="1" applyFill="1"/>
    <xf numFmtId="171" fontId="0" fillId="4" borderId="0" xfId="3" applyNumberFormat="1" applyFont="1" applyFill="1"/>
    <xf numFmtId="0" fontId="0" fillId="3" borderId="0" xfId="0" applyFill="1"/>
    <xf numFmtId="174" fontId="0" fillId="4" borderId="0" xfId="3" applyNumberFormat="1" applyFont="1" applyFill="1"/>
    <xf numFmtId="165" fontId="0" fillId="0" borderId="0" xfId="0" applyNumberFormat="1"/>
    <xf numFmtId="0" fontId="3" fillId="0" borderId="22" xfId="0" applyFont="1" applyBorder="1"/>
    <xf numFmtId="0" fontId="3" fillId="5" borderId="22" xfId="0" applyFont="1" applyFill="1" applyBorder="1"/>
    <xf numFmtId="10" fontId="3" fillId="4" borderId="21" xfId="3" applyNumberFormat="1" applyFont="1" applyFill="1" applyBorder="1"/>
    <xf numFmtId="10" fontId="3" fillId="4" borderId="0" xfId="3" applyNumberFormat="1" applyFont="1" applyFill="1" applyBorder="1"/>
    <xf numFmtId="10" fontId="3" fillId="4" borderId="22" xfId="3" applyNumberFormat="1" applyFont="1" applyFill="1" applyBorder="1"/>
    <xf numFmtId="10" fontId="3" fillId="4" borderId="23" xfId="3" applyNumberFormat="1" applyFont="1" applyFill="1" applyBorder="1"/>
    <xf numFmtId="10" fontId="3" fillId="4" borderId="13" xfId="3" applyNumberFormat="1" applyFont="1" applyFill="1" applyBorder="1"/>
    <xf numFmtId="10" fontId="3" fillId="5" borderId="13" xfId="3" applyNumberFormat="1" applyFont="1" applyFill="1" applyBorder="1"/>
    <xf numFmtId="10" fontId="3" fillId="5" borderId="5" xfId="3" applyNumberFormat="1" applyFont="1" applyFill="1" applyBorder="1"/>
    <xf numFmtId="0" fontId="3" fillId="3" borderId="21" xfId="0" applyFont="1" applyFill="1" applyBorder="1"/>
    <xf numFmtId="0" fontId="5" fillId="0" borderId="7" xfId="0" applyFont="1" applyBorder="1"/>
    <xf numFmtId="0" fontId="15" fillId="4" borderId="12" xfId="0" applyFont="1" applyFill="1" applyBorder="1" applyAlignment="1">
      <alignment vertical="center" wrapText="1"/>
    </xf>
    <xf numFmtId="9" fontId="3" fillId="3" borderId="12" xfId="3" applyFont="1" applyFill="1" applyBorder="1"/>
    <xf numFmtId="9" fontId="3" fillId="3" borderId="24" xfId="3" applyFont="1" applyFill="1" applyBorder="1"/>
    <xf numFmtId="9" fontId="3" fillId="3" borderId="8" xfId="3" applyFont="1" applyFill="1" applyBorder="1"/>
    <xf numFmtId="0" fontId="3" fillId="4" borderId="22" xfId="0" applyFont="1" applyFill="1" applyBorder="1"/>
    <xf numFmtId="10" fontId="3" fillId="4" borderId="5" xfId="3" applyNumberFormat="1" applyFont="1" applyFill="1" applyBorder="1"/>
    <xf numFmtId="43" fontId="8" fillId="3" borderId="0" xfId="1" applyFont="1" applyFill="1"/>
    <xf numFmtId="0" fontId="3" fillId="0" borderId="21" xfId="0" applyFont="1" applyBorder="1" applyAlignment="1">
      <alignment wrapText="1"/>
    </xf>
    <xf numFmtId="0" fontId="3" fillId="0" borderId="23" xfId="0" applyFont="1" applyBorder="1" applyAlignment="1">
      <alignment wrapText="1"/>
    </xf>
    <xf numFmtId="0" fontId="3" fillId="0" borderId="0" xfId="0" applyFont="1" applyAlignment="1">
      <alignment wrapText="1"/>
    </xf>
    <xf numFmtId="0" fontId="3" fillId="0" borderId="0" xfId="0" applyFont="1" applyAlignment="1">
      <alignment horizontal="right" wrapText="1"/>
    </xf>
    <xf numFmtId="164" fontId="3" fillId="0" borderId="0" xfId="0" applyNumberFormat="1" applyFont="1" applyAlignment="1">
      <alignment wrapText="1"/>
    </xf>
    <xf numFmtId="43" fontId="3" fillId="7" borderId="0" xfId="1" applyFont="1" applyFill="1"/>
    <xf numFmtId="43" fontId="3" fillId="0" borderId="0" xfId="1" applyFont="1" applyFill="1"/>
    <xf numFmtId="14" fontId="8" fillId="4" borderId="0" xfId="1" applyNumberFormat="1" applyFont="1" applyFill="1"/>
    <xf numFmtId="0" fontId="11" fillId="0" borderId="0" xfId="0" applyFont="1"/>
    <xf numFmtId="175" fontId="3" fillId="0" borderId="5" xfId="1" applyNumberFormat="1" applyFont="1" applyFill="1" applyBorder="1" applyAlignment="1">
      <alignment horizontal="right" vertical="center" wrapText="1"/>
    </xf>
    <xf numFmtId="0" fontId="19" fillId="2" borderId="7"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18" fillId="0" borderId="2" xfId="0" applyFont="1" applyBorder="1" applyAlignment="1">
      <alignment horizontal="center" vertical="center"/>
    </xf>
    <xf numFmtId="9" fontId="18" fillId="0" borderId="5" xfId="0" applyNumberFormat="1" applyFont="1" applyBorder="1" applyAlignment="1">
      <alignment horizontal="center" vertical="center" wrapText="1"/>
    </xf>
    <xf numFmtId="0" fontId="19" fillId="2" borderId="1" xfId="0" applyFont="1" applyFill="1" applyBorder="1" applyAlignment="1">
      <alignment vertical="center" wrapText="1"/>
    </xf>
    <xf numFmtId="0" fontId="19" fillId="2" borderId="8" xfId="0" applyFont="1" applyFill="1" applyBorder="1" applyAlignment="1">
      <alignment horizontal="center" vertical="center" wrapText="1"/>
    </xf>
    <xf numFmtId="0" fontId="0" fillId="0" borderId="25" xfId="0" applyBorder="1" applyAlignment="1">
      <alignment wrapText="1"/>
    </xf>
    <xf numFmtId="0" fontId="0" fillId="0" borderId="25" xfId="0" applyBorder="1"/>
    <xf numFmtId="0" fontId="0" fillId="0" borderId="26" xfId="0" applyBorder="1"/>
    <xf numFmtId="0" fontId="0" fillId="0" borderId="0" xfId="0" applyAlignment="1">
      <alignment wrapText="1"/>
    </xf>
    <xf numFmtId="0" fontId="18" fillId="0" borderId="2" xfId="0" applyFont="1" applyBorder="1" applyAlignment="1">
      <alignment vertical="center"/>
    </xf>
    <xf numFmtId="10" fontId="18" fillId="0" borderId="5" xfId="0" applyNumberFormat="1" applyFont="1" applyBorder="1" applyAlignment="1">
      <alignment horizontal="center" vertical="center" wrapText="1"/>
    </xf>
    <xf numFmtId="0" fontId="0" fillId="0" borderId="27" xfId="0" applyBorder="1"/>
    <xf numFmtId="0" fontId="0" fillId="0" borderId="28" xfId="0" applyBorder="1"/>
    <xf numFmtId="10" fontId="0" fillId="0" borderId="0" xfId="0" applyNumberFormat="1" applyAlignment="1">
      <alignment wrapText="1"/>
    </xf>
    <xf numFmtId="0" fontId="21" fillId="0" borderId="0" xfId="0" applyFont="1"/>
    <xf numFmtId="0" fontId="19" fillId="2" borderId="0" xfId="0" applyFont="1" applyFill="1" applyAlignment="1">
      <alignment horizontal="center" vertical="center" wrapText="1"/>
    </xf>
    <xf numFmtId="10" fontId="3" fillId="5" borderId="0" xfId="3" applyNumberFormat="1" applyFont="1" applyFill="1" applyBorder="1"/>
    <xf numFmtId="10" fontId="3" fillId="5" borderId="22" xfId="3" applyNumberFormat="1" applyFont="1" applyFill="1" applyBorder="1"/>
    <xf numFmtId="0" fontId="3" fillId="0" borderId="6" xfId="0" applyFont="1" applyBorder="1"/>
    <xf numFmtId="0" fontId="3" fillId="5" borderId="0" xfId="0" applyFont="1" applyFill="1"/>
    <xf numFmtId="0" fontId="23" fillId="0" borderId="0" xfId="4" applyFont="1" applyAlignment="1">
      <alignment vertical="top" wrapText="1"/>
    </xf>
    <xf numFmtId="0" fontId="22" fillId="0" borderId="0" xfId="4"/>
    <xf numFmtId="0" fontId="22" fillId="0" borderId="0" xfId="4" applyAlignment="1">
      <alignment vertical="top" wrapText="1"/>
    </xf>
    <xf numFmtId="0" fontId="18" fillId="0" borderId="0" xfId="4" applyFont="1"/>
    <xf numFmtId="14" fontId="22" fillId="0" borderId="0" xfId="4" applyNumberFormat="1" applyAlignment="1">
      <alignment horizontal="left" vertical="top" wrapText="1"/>
    </xf>
    <xf numFmtId="0" fontId="24" fillId="0" borderId="0" xfId="4" applyFont="1" applyAlignment="1">
      <alignment vertical="top" wrapText="1"/>
    </xf>
    <xf numFmtId="0" fontId="22" fillId="0" borderId="0" xfId="4" applyAlignment="1">
      <alignment horizontal="left" vertical="center" indent="2"/>
    </xf>
    <xf numFmtId="0" fontId="22" fillId="0" borderId="0" xfId="4" applyAlignment="1">
      <alignment vertical="top"/>
    </xf>
    <xf numFmtId="0" fontId="22" fillId="0" borderId="0" xfId="4" quotePrefix="1" applyAlignment="1">
      <alignment horizontal="left" vertical="center" indent="2"/>
    </xf>
    <xf numFmtId="0" fontId="3" fillId="3" borderId="7" xfId="0" applyFont="1" applyFill="1" applyBorder="1"/>
    <xf numFmtId="170" fontId="3" fillId="0" borderId="0" xfId="3" applyNumberFormat="1" applyFont="1" applyFill="1"/>
    <xf numFmtId="169" fontId="3" fillId="0" borderId="0" xfId="3" applyNumberFormat="1" applyFont="1" applyFill="1"/>
    <xf numFmtId="10" fontId="4" fillId="0" borderId="0" xfId="3" applyNumberFormat="1" applyFont="1"/>
    <xf numFmtId="0" fontId="6" fillId="0" borderId="0" xfId="0" applyFont="1" applyAlignment="1">
      <alignment horizontal="left" vertical="center" wrapText="1" indent="1"/>
    </xf>
    <xf numFmtId="0" fontId="6" fillId="0" borderId="0" xfId="0" applyFont="1" applyAlignment="1">
      <alignment horizontal="center" vertical="center" wrapText="1"/>
    </xf>
    <xf numFmtId="0" fontId="26" fillId="11" borderId="24" xfId="0" applyFont="1" applyFill="1" applyBorder="1" applyAlignment="1">
      <alignment vertical="center" wrapText="1" readingOrder="1"/>
    </xf>
    <xf numFmtId="0" fontId="26" fillId="11" borderId="12" xfId="0" applyFont="1" applyFill="1" applyBorder="1" applyAlignment="1">
      <alignment horizontal="center" vertical="center" wrapText="1" readingOrder="1"/>
    </xf>
    <xf numFmtId="0" fontId="26" fillId="7" borderId="12" xfId="0" applyFont="1" applyFill="1" applyBorder="1" applyAlignment="1">
      <alignment horizontal="center" vertical="center" wrapText="1" readingOrder="1"/>
    </xf>
    <xf numFmtId="9" fontId="6" fillId="10" borderId="12" xfId="0" applyNumberFormat="1" applyFont="1" applyFill="1" applyBorder="1" applyAlignment="1">
      <alignment horizontal="center" vertical="center" wrapText="1" readingOrder="1"/>
    </xf>
    <xf numFmtId="0" fontId="6" fillId="10" borderId="12" xfId="0" applyFont="1" applyFill="1" applyBorder="1" applyAlignment="1">
      <alignment horizontal="center" vertical="center" wrapText="1" readingOrder="1"/>
    </xf>
    <xf numFmtId="10" fontId="6" fillId="10" borderId="12" xfId="0" applyNumberFormat="1" applyFont="1" applyFill="1" applyBorder="1" applyAlignment="1">
      <alignment horizontal="center" vertical="center" wrapText="1" readingOrder="1"/>
    </xf>
    <xf numFmtId="0" fontId="6" fillId="10" borderId="8" xfId="0" applyFont="1" applyFill="1" applyBorder="1" applyAlignment="1">
      <alignment horizontal="center" vertical="center" wrapText="1" readingOrder="1"/>
    </xf>
    <xf numFmtId="0" fontId="26" fillId="11" borderId="21" xfId="0" applyFont="1" applyFill="1" applyBorder="1" applyAlignment="1">
      <alignment vertical="center" wrapText="1" readingOrder="1"/>
    </xf>
    <xf numFmtId="0" fontId="6" fillId="10" borderId="22" xfId="0" applyFont="1" applyFill="1" applyBorder="1" applyAlignment="1">
      <alignment horizontal="center" vertical="center" wrapText="1" readingOrder="1"/>
    </xf>
    <xf numFmtId="0" fontId="26" fillId="11" borderId="23" xfId="0" applyFont="1" applyFill="1" applyBorder="1" applyAlignment="1">
      <alignment vertical="center" wrapText="1" readingOrder="1"/>
    </xf>
    <xf numFmtId="0" fontId="26" fillId="11" borderId="13" xfId="0" applyFont="1" applyFill="1" applyBorder="1" applyAlignment="1">
      <alignment horizontal="center" vertical="center" wrapText="1" readingOrder="1"/>
    </xf>
    <xf numFmtId="0" fontId="26" fillId="7" borderId="13" xfId="0" applyFont="1" applyFill="1" applyBorder="1" applyAlignment="1">
      <alignment horizontal="center" vertical="center" wrapText="1" readingOrder="1"/>
    </xf>
    <xf numFmtId="9" fontId="6" fillId="10" borderId="13" xfId="0" applyNumberFormat="1" applyFont="1" applyFill="1" applyBorder="1" applyAlignment="1">
      <alignment horizontal="center" vertical="center" wrapText="1" readingOrder="1"/>
    </xf>
    <xf numFmtId="0" fontId="6" fillId="10" borderId="13" xfId="0" applyFont="1" applyFill="1" applyBorder="1" applyAlignment="1">
      <alignment horizontal="center" vertical="center" wrapText="1" readingOrder="1"/>
    </xf>
    <xf numFmtId="10" fontId="6" fillId="10" borderId="13" xfId="0" applyNumberFormat="1" applyFont="1" applyFill="1" applyBorder="1" applyAlignment="1">
      <alignment horizontal="center" vertical="center" wrapText="1" readingOrder="1"/>
    </xf>
    <xf numFmtId="0" fontId="6" fillId="0" borderId="0" xfId="0" applyFont="1"/>
    <xf numFmtId="0" fontId="6" fillId="0" borderId="21" xfId="0" applyFont="1" applyBorder="1" applyAlignment="1">
      <alignment horizontal="left" vertical="center" wrapText="1" indent="1" readingOrder="1"/>
    </xf>
    <xf numFmtId="9" fontId="6" fillId="10" borderId="22" xfId="0" applyNumberFormat="1" applyFont="1" applyFill="1" applyBorder="1" applyAlignment="1">
      <alignment horizontal="center" vertical="center" wrapText="1" readingOrder="1"/>
    </xf>
    <xf numFmtId="0" fontId="6" fillId="0" borderId="18" xfId="0" applyFont="1" applyBorder="1" applyAlignment="1">
      <alignment horizontal="left" vertical="center" wrapText="1" indent="1" readingOrder="1"/>
    </xf>
    <xf numFmtId="0" fontId="6" fillId="0" borderId="23" xfId="0" applyFont="1" applyBorder="1" applyAlignment="1">
      <alignment horizontal="left" vertical="center" wrapText="1" indent="1" readingOrder="1"/>
    </xf>
    <xf numFmtId="9" fontId="6" fillId="10" borderId="5" xfId="0" applyNumberFormat="1" applyFont="1" applyFill="1" applyBorder="1" applyAlignment="1">
      <alignment horizontal="center" vertical="center" wrapText="1" readingOrder="1"/>
    </xf>
    <xf numFmtId="9" fontId="6" fillId="10" borderId="18" xfId="0" applyNumberFormat="1" applyFont="1" applyFill="1" applyBorder="1" applyAlignment="1">
      <alignment horizontal="center" vertical="center" wrapText="1" readingOrder="1"/>
    </xf>
    <xf numFmtId="0" fontId="6" fillId="0" borderId="19" xfId="0" applyFont="1" applyBorder="1" applyAlignment="1">
      <alignment horizontal="left" vertical="center" wrapText="1" indent="1" readingOrder="1"/>
    </xf>
    <xf numFmtId="9" fontId="6" fillId="10" borderId="19" xfId="0" applyNumberFormat="1" applyFont="1" applyFill="1" applyBorder="1" applyAlignment="1">
      <alignment horizontal="center" vertical="center" wrapText="1" readingOrder="1"/>
    </xf>
    <xf numFmtId="10" fontId="6" fillId="10" borderId="5" xfId="0" applyNumberFormat="1" applyFont="1" applyFill="1" applyBorder="1" applyAlignment="1">
      <alignment horizontal="center" vertical="center"/>
    </xf>
    <xf numFmtId="10" fontId="26" fillId="0" borderId="15" xfId="0" applyNumberFormat="1" applyFont="1" applyBorder="1" applyAlignment="1">
      <alignment horizontal="center" vertical="center" wrapText="1" readingOrder="1"/>
    </xf>
    <xf numFmtId="0" fontId="26" fillId="0" borderId="17" xfId="0" applyFont="1" applyBorder="1" applyAlignment="1">
      <alignment horizontal="center" vertical="center" wrapText="1" readingOrder="1"/>
    </xf>
    <xf numFmtId="10" fontId="6" fillId="6" borderId="8" xfId="0" applyNumberFormat="1" applyFont="1" applyFill="1" applyBorder="1"/>
    <xf numFmtId="0" fontId="6" fillId="0" borderId="21" xfId="0" applyFont="1" applyBorder="1"/>
    <xf numFmtId="10" fontId="6" fillId="6" borderId="22" xfId="0" applyNumberFormat="1" applyFont="1" applyFill="1" applyBorder="1"/>
    <xf numFmtId="0" fontId="6" fillId="0" borderId="23" xfId="0" applyFont="1" applyBorder="1"/>
    <xf numFmtId="10" fontId="6" fillId="6" borderId="5" xfId="0" applyNumberFormat="1" applyFont="1" applyFill="1" applyBorder="1"/>
    <xf numFmtId="0" fontId="26" fillId="0" borderId="3" xfId="0" applyFont="1" applyBorder="1" applyAlignment="1">
      <alignment horizontal="center" vertical="center"/>
    </xf>
    <xf numFmtId="0" fontId="6" fillId="0" borderId="21" xfId="0" applyFont="1" applyBorder="1" applyAlignment="1">
      <alignment vertical="center"/>
    </xf>
    <xf numFmtId="0" fontId="6" fillId="0" borderId="9" xfId="0" applyFont="1" applyBorder="1" applyAlignment="1">
      <alignment horizontal="center" vertical="center"/>
    </xf>
    <xf numFmtId="10" fontId="6" fillId="10" borderId="22" xfId="0" applyNumberFormat="1" applyFont="1" applyFill="1" applyBorder="1" applyAlignment="1">
      <alignment horizontal="center" vertical="center"/>
    </xf>
    <xf numFmtId="0" fontId="6" fillId="0" borderId="23" xfId="0" applyFont="1" applyBorder="1" applyAlignment="1">
      <alignment vertical="center"/>
    </xf>
    <xf numFmtId="0" fontId="6" fillId="0" borderId="2" xfId="0" applyFont="1" applyBorder="1" applyAlignment="1">
      <alignment horizontal="center" vertical="center"/>
    </xf>
    <xf numFmtId="0" fontId="26" fillId="0" borderId="8" xfId="0" applyFont="1" applyBorder="1" applyAlignment="1">
      <alignment vertical="center"/>
    </xf>
    <xf numFmtId="0" fontId="26" fillId="0" borderId="21" xfId="0" applyFont="1" applyBorder="1" applyAlignment="1">
      <alignment vertical="center"/>
    </xf>
    <xf numFmtId="0" fontId="26" fillId="0" borderId="23" xfId="0" applyFont="1" applyBorder="1" applyAlignment="1">
      <alignment vertical="center"/>
    </xf>
    <xf numFmtId="0" fontId="27" fillId="0" borderId="0" xfId="0" applyFont="1"/>
    <xf numFmtId="0" fontId="28" fillId="8" borderId="30" xfId="0" applyFont="1" applyFill="1" applyBorder="1" applyAlignment="1">
      <alignment horizontal="center" vertical="center" wrapText="1" readingOrder="1"/>
    </xf>
    <xf numFmtId="0" fontId="28" fillId="8" borderId="20" xfId="0" applyFont="1" applyFill="1" applyBorder="1" applyAlignment="1">
      <alignment horizontal="center" vertical="center" wrapText="1" readingOrder="1"/>
    </xf>
    <xf numFmtId="0" fontId="28" fillId="8" borderId="14" xfId="0" applyFont="1" applyFill="1" applyBorder="1" applyAlignment="1">
      <alignment horizontal="center" vertical="center" wrapText="1" readingOrder="1"/>
    </xf>
    <xf numFmtId="0" fontId="28" fillId="8" borderId="16" xfId="0" applyFont="1" applyFill="1" applyBorder="1" applyAlignment="1">
      <alignment horizontal="center" vertical="center" wrapText="1" readingOrder="1"/>
    </xf>
    <xf numFmtId="0" fontId="28" fillId="8" borderId="0" xfId="0" applyFont="1" applyFill="1" applyAlignment="1">
      <alignment horizontal="center" vertical="center" wrapText="1" readingOrder="1"/>
    </xf>
    <xf numFmtId="10" fontId="6" fillId="4" borderId="22" xfId="0" applyNumberFormat="1" applyFont="1" applyFill="1" applyBorder="1" applyAlignment="1">
      <alignment horizontal="center" vertical="center"/>
    </xf>
    <xf numFmtId="10" fontId="6" fillId="4" borderId="5" xfId="0" applyNumberFormat="1" applyFont="1" applyFill="1" applyBorder="1" applyAlignment="1">
      <alignment horizontal="center" vertical="center"/>
    </xf>
    <xf numFmtId="10" fontId="0" fillId="0" borderId="0" xfId="3" applyNumberFormat="1" applyFont="1"/>
    <xf numFmtId="10" fontId="10" fillId="0" borderId="0" xfId="3" applyNumberFormat="1" applyFont="1" applyAlignment="1">
      <alignment wrapText="1"/>
    </xf>
    <xf numFmtId="0" fontId="0" fillId="4" borderId="0" xfId="0" applyFill="1"/>
    <xf numFmtId="14" fontId="0" fillId="4" borderId="0" xfId="0" applyNumberFormat="1" applyFill="1"/>
    <xf numFmtId="176" fontId="0" fillId="4" borderId="0" xfId="0" applyNumberFormat="1" applyFill="1"/>
    <xf numFmtId="10" fontId="0" fillId="4" borderId="0" xfId="0" applyNumberFormat="1" applyFill="1"/>
    <xf numFmtId="9" fontId="0" fillId="4" borderId="0" xfId="0" applyNumberFormat="1" applyFill="1"/>
    <xf numFmtId="9" fontId="0" fillId="4" borderId="0" xfId="3" applyFont="1" applyFill="1"/>
    <xf numFmtId="0" fontId="0" fillId="4" borderId="0" xfId="1" applyNumberFormat="1" applyFont="1" applyFill="1"/>
    <xf numFmtId="10" fontId="0" fillId="4" borderId="0" xfId="0" applyNumberFormat="1" applyFill="1" applyAlignment="1">
      <alignment wrapText="1"/>
    </xf>
    <xf numFmtId="0" fontId="0" fillId="3" borderId="0" xfId="0" applyFill="1" applyAlignment="1">
      <alignment wrapText="1"/>
    </xf>
    <xf numFmtId="10" fontId="3" fillId="0" borderId="3" xfId="3" applyNumberFormat="1" applyFont="1" applyFill="1" applyBorder="1" applyAlignment="1">
      <alignment horizontal="right" vertical="center" wrapText="1"/>
    </xf>
    <xf numFmtId="175" fontId="3" fillId="7" borderId="5" xfId="1" applyNumberFormat="1" applyFont="1" applyFill="1" applyBorder="1" applyAlignment="1">
      <alignment horizontal="right" vertical="center" wrapText="1"/>
    </xf>
    <xf numFmtId="164" fontId="3" fillId="0" borderId="2" xfId="1" applyNumberFormat="1" applyFont="1" applyFill="1" applyBorder="1" applyAlignment="1">
      <alignment horizontal="center" vertical="center" wrapText="1"/>
    </xf>
    <xf numFmtId="164" fontId="8" fillId="4" borderId="0" xfId="1" applyNumberFormat="1" applyFont="1" applyFill="1"/>
    <xf numFmtId="171" fontId="8" fillId="4" borderId="0" xfId="0" applyNumberFormat="1" applyFont="1" applyFill="1"/>
    <xf numFmtId="0" fontId="3" fillId="12" borderId="0" xfId="0" applyFont="1" applyFill="1"/>
    <xf numFmtId="164" fontId="3" fillId="12" borderId="0" xfId="0" applyNumberFormat="1" applyFont="1" applyFill="1"/>
    <xf numFmtId="169" fontId="3" fillId="4" borderId="2" xfId="3" applyNumberFormat="1" applyFont="1" applyFill="1" applyBorder="1"/>
    <xf numFmtId="171" fontId="3" fillId="7" borderId="12" xfId="0" applyNumberFormat="1" applyFont="1" applyFill="1" applyBorder="1"/>
    <xf numFmtId="10" fontId="3" fillId="7" borderId="8" xfId="0" applyNumberFormat="1" applyFont="1" applyFill="1" applyBorder="1"/>
    <xf numFmtId="0" fontId="25" fillId="13" borderId="0" xfId="0" applyFont="1" applyFill="1" applyProtection="1">
      <protection locked="0"/>
    </xf>
    <xf numFmtId="0" fontId="0" fillId="10" borderId="25" xfId="0" applyFill="1" applyBorder="1"/>
    <xf numFmtId="0" fontId="31" fillId="0" borderId="25" xfId="6" applyFont="1" applyBorder="1" applyAlignment="1">
      <alignment vertical="center"/>
    </xf>
    <xf numFmtId="0" fontId="0" fillId="3" borderId="25" xfId="0" applyFill="1" applyBorder="1"/>
    <xf numFmtId="0" fontId="0" fillId="4" borderId="25" xfId="0" applyFill="1" applyBorder="1"/>
    <xf numFmtId="0" fontId="0" fillId="7" borderId="25" xfId="0" applyFill="1" applyBorder="1"/>
    <xf numFmtId="0" fontId="31" fillId="0" borderId="0" xfId="6" applyFont="1" applyAlignment="1">
      <alignment vertical="center"/>
    </xf>
    <xf numFmtId="0" fontId="0" fillId="6" borderId="25" xfId="0" applyFill="1" applyBorder="1"/>
    <xf numFmtId="0" fontId="31" fillId="0" borderId="25" xfId="6" applyFont="1" applyBorder="1" applyAlignment="1">
      <alignment vertical="center" wrapText="1"/>
    </xf>
    <xf numFmtId="0" fontId="0" fillId="5" borderId="25" xfId="0" applyFill="1" applyBorder="1"/>
    <xf numFmtId="0" fontId="32" fillId="0" borderId="0" xfId="6" applyFont="1" applyAlignment="1">
      <alignment horizontal="center" vertical="center"/>
    </xf>
    <xf numFmtId="0" fontId="31" fillId="0" borderId="0" xfId="6" applyFont="1" applyAlignment="1">
      <alignment vertical="center" wrapText="1"/>
    </xf>
    <xf numFmtId="177" fontId="10" fillId="14" borderId="25" xfId="0" applyNumberFormat="1" applyFont="1" applyFill="1" applyBorder="1" applyAlignment="1">
      <alignment horizontal="left" vertical="center"/>
    </xf>
    <xf numFmtId="0" fontId="0" fillId="0" borderId="25" xfId="0" applyBorder="1" applyAlignment="1">
      <alignment horizontal="left" vertical="top" wrapText="1"/>
    </xf>
    <xf numFmtId="0" fontId="0" fillId="0" borderId="0" xfId="0" applyAlignment="1">
      <alignment horizontal="left" vertical="top" wrapText="1"/>
    </xf>
    <xf numFmtId="0" fontId="33" fillId="14" borderId="25" xfId="0" applyFont="1" applyFill="1" applyBorder="1" applyAlignment="1">
      <alignment horizontal="left" vertical="center" indent="3"/>
    </xf>
    <xf numFmtId="0" fontId="0" fillId="0" borderId="25" xfId="0" applyBorder="1" applyAlignment="1">
      <alignment vertical="top" wrapText="1"/>
    </xf>
    <xf numFmtId="0" fontId="31" fillId="0" borderId="0" xfId="0" applyFont="1"/>
    <xf numFmtId="0" fontId="30" fillId="14" borderId="25" xfId="5" applyFill="1" applyBorder="1" applyAlignment="1" applyProtection="1">
      <alignment vertical="center"/>
    </xf>
    <xf numFmtId="166" fontId="8" fillId="6" borderId="0" xfId="0" applyNumberFormat="1" applyFont="1" applyFill="1" applyAlignment="1">
      <alignment horizontal="center"/>
    </xf>
    <xf numFmtId="166" fontId="8" fillId="6" borderId="0" xfId="2" applyNumberFormat="1" applyFont="1" applyFill="1" applyAlignment="1">
      <alignment horizontal="center"/>
    </xf>
    <xf numFmtId="10" fontId="0" fillId="4" borderId="25" xfId="3" applyNumberFormat="1" applyFont="1" applyFill="1" applyBorder="1"/>
    <xf numFmtId="0" fontId="0" fillId="4" borderId="6" xfId="0" applyFill="1" applyBorder="1" applyAlignment="1">
      <alignment wrapText="1"/>
    </xf>
    <xf numFmtId="0" fontId="0" fillId="4" borderId="4" xfId="0" applyFill="1" applyBorder="1" applyAlignment="1">
      <alignment wrapText="1"/>
    </xf>
    <xf numFmtId="0" fontId="0" fillId="4" borderId="3" xfId="0" applyFill="1" applyBorder="1" applyAlignment="1">
      <alignment wrapText="1"/>
    </xf>
    <xf numFmtId="10" fontId="8" fillId="10" borderId="0" xfId="0" applyNumberFormat="1" applyFont="1" applyFill="1"/>
    <xf numFmtId="0" fontId="30" fillId="0" borderId="0" xfId="5"/>
    <xf numFmtId="4" fontId="0" fillId="0" borderId="0" xfId="0" applyNumberFormat="1"/>
    <xf numFmtId="3" fontId="0" fillId="0" borderId="0" xfId="0" applyNumberFormat="1"/>
    <xf numFmtId="10" fontId="0" fillId="0" borderId="0" xfId="0" applyNumberFormat="1"/>
    <xf numFmtId="10" fontId="3" fillId="0" borderId="0" xfId="0" applyNumberFormat="1" applyFont="1"/>
    <xf numFmtId="175" fontId="3" fillId="0" borderId="0" xfId="0" applyNumberFormat="1" applyFont="1"/>
    <xf numFmtId="3" fontId="3" fillId="0" borderId="0" xfId="0" applyNumberFormat="1" applyFont="1"/>
    <xf numFmtId="174" fontId="3" fillId="0" borderId="0" xfId="0" applyNumberFormat="1" applyFont="1"/>
    <xf numFmtId="10" fontId="6" fillId="0" borderId="0" xfId="0" applyNumberFormat="1" applyFont="1"/>
    <xf numFmtId="10" fontId="18" fillId="0" borderId="0" xfId="0" applyNumberFormat="1" applyFont="1" applyAlignment="1">
      <alignment horizontal="center" vertical="center" wrapText="1"/>
    </xf>
    <xf numFmtId="0" fontId="3" fillId="0" borderId="2" xfId="0" applyFont="1" applyBorder="1" applyAlignment="1">
      <alignment horizontal="left" vertical="center" wrapText="1"/>
    </xf>
    <xf numFmtId="175" fontId="3" fillId="0" borderId="5" xfId="1" applyNumberFormat="1" applyFont="1" applyBorder="1" applyAlignment="1">
      <alignment horizontal="left" vertical="center" wrapText="1"/>
    </xf>
    <xf numFmtId="0" fontId="34" fillId="0" borderId="0" xfId="0" applyFont="1" applyAlignment="1">
      <alignment horizontal="left" vertical="center" indent="15"/>
    </xf>
    <xf numFmtId="0" fontId="5" fillId="0" borderId="6" xfId="0" applyFont="1" applyBorder="1"/>
    <xf numFmtId="0" fontId="5" fillId="0" borderId="3" xfId="0" applyFont="1" applyBorder="1"/>
    <xf numFmtId="1" fontId="3" fillId="4" borderId="0" xfId="3" applyNumberFormat="1" applyFont="1" applyFill="1"/>
    <xf numFmtId="0" fontId="0" fillId="15" borderId="0" xfId="0" applyFill="1"/>
    <xf numFmtId="0" fontId="2" fillId="2" borderId="1" xfId="0" applyFont="1" applyFill="1" applyBorder="1" applyAlignment="1">
      <alignment horizontal="center" vertical="center" wrapText="1"/>
    </xf>
    <xf numFmtId="0" fontId="10" fillId="0" borderId="25" xfId="0" applyFont="1" applyBorder="1"/>
    <xf numFmtId="14" fontId="0" fillId="0" borderId="25" xfId="0" applyNumberFormat="1" applyBorder="1"/>
    <xf numFmtId="0" fontId="3" fillId="0" borderId="7" xfId="0" applyFont="1" applyBorder="1" applyAlignment="1">
      <alignment horizontal="left" vertical="center" wrapText="1"/>
    </xf>
    <xf numFmtId="175" fontId="3" fillId="0" borderId="3" xfId="1" applyNumberFormat="1" applyFont="1" applyBorder="1" applyAlignment="1">
      <alignment horizontal="left" vertical="center" wrapText="1"/>
    </xf>
    <xf numFmtId="0" fontId="2" fillId="2" borderId="1" xfId="0" applyFont="1" applyFill="1" applyBorder="1" applyAlignment="1">
      <alignment horizontal="left" vertical="center" wrapText="1"/>
    </xf>
    <xf numFmtId="0" fontId="2" fillId="2" borderId="7" xfId="0" applyFont="1" applyFill="1" applyBorder="1" applyAlignment="1">
      <alignment horizontal="left" vertical="center" wrapText="1"/>
    </xf>
    <xf numFmtId="170" fontId="3" fillId="0" borderId="7" xfId="3" applyNumberFormat="1" applyFont="1" applyBorder="1" applyAlignment="1">
      <alignment horizontal="right" vertical="center" wrapText="1"/>
    </xf>
    <xf numFmtId="9" fontId="3" fillId="0" borderId="7" xfId="3" applyFont="1" applyBorder="1" applyAlignment="1">
      <alignment horizontal="right" vertical="center" wrapText="1"/>
    </xf>
    <xf numFmtId="0" fontId="26" fillId="11" borderId="0" xfId="0" applyFont="1" applyFill="1" applyAlignment="1">
      <alignment horizontal="center" vertical="center" wrapText="1" readingOrder="1"/>
    </xf>
    <xf numFmtId="0" fontId="26" fillId="7" borderId="0" xfId="0" applyFont="1" applyFill="1" applyAlignment="1">
      <alignment horizontal="center" vertical="center" wrapText="1" readingOrder="1"/>
    </xf>
    <xf numFmtId="9" fontId="6" fillId="10" borderId="0" xfId="0" applyNumberFormat="1" applyFont="1" applyFill="1" applyAlignment="1">
      <alignment horizontal="center" vertical="center" wrapText="1" readingOrder="1"/>
    </xf>
    <xf numFmtId="0" fontId="6" fillId="10" borderId="0" xfId="0" applyFont="1" applyFill="1" applyAlignment="1">
      <alignment horizontal="center" vertical="center" wrapText="1" readingOrder="1"/>
    </xf>
    <xf numFmtId="10" fontId="6" fillId="10" borderId="0" xfId="0" applyNumberFormat="1" applyFont="1" applyFill="1" applyAlignment="1">
      <alignment horizontal="center" vertical="center" wrapText="1" readingOrder="1"/>
    </xf>
    <xf numFmtId="0" fontId="6" fillId="10" borderId="5" xfId="0" applyFont="1" applyFill="1" applyBorder="1" applyAlignment="1">
      <alignment horizontal="center" vertical="center" wrapText="1" readingOrder="1"/>
    </xf>
    <xf numFmtId="10" fontId="6" fillId="10" borderId="1" xfId="0" applyNumberFormat="1" applyFont="1" applyFill="1" applyBorder="1" applyAlignment="1">
      <alignment horizontal="center" vertical="center"/>
    </xf>
    <xf numFmtId="10" fontId="6" fillId="10" borderId="9" xfId="0" applyNumberFormat="1" applyFont="1" applyFill="1" applyBorder="1" applyAlignment="1">
      <alignment horizontal="center" vertical="center"/>
    </xf>
    <xf numFmtId="10" fontId="6" fillId="10" borderId="2" xfId="0" applyNumberFormat="1" applyFont="1" applyFill="1" applyBorder="1" applyAlignment="1">
      <alignment horizontal="center" vertical="center"/>
    </xf>
    <xf numFmtId="10" fontId="6" fillId="16" borderId="9" xfId="0" applyNumberFormat="1" applyFont="1" applyFill="1" applyBorder="1" applyAlignment="1">
      <alignment horizontal="center" vertical="center"/>
    </xf>
    <xf numFmtId="9" fontId="3" fillId="3" borderId="0" xfId="0" applyNumberFormat="1" applyFont="1" applyFill="1"/>
    <xf numFmtId="14" fontId="0" fillId="0" borderId="25" xfId="0" applyNumberFormat="1" applyBorder="1" applyAlignment="1">
      <alignment vertical="center"/>
    </xf>
    <xf numFmtId="0" fontId="0" fillId="0" borderId="25" xfId="0" applyBorder="1" applyAlignment="1">
      <alignment vertical="center"/>
    </xf>
    <xf numFmtId="0" fontId="0" fillId="0" borderId="25" xfId="0" applyBorder="1" applyAlignment="1">
      <alignment vertical="center" wrapText="1"/>
    </xf>
    <xf numFmtId="3" fontId="10" fillId="0" borderId="0" xfId="0" applyNumberFormat="1" applyFont="1"/>
    <xf numFmtId="10" fontId="10" fillId="0" borderId="0" xfId="0" applyNumberFormat="1" applyFont="1"/>
    <xf numFmtId="4" fontId="3" fillId="0" borderId="0" xfId="0" applyNumberFormat="1" applyFont="1"/>
    <xf numFmtId="175" fontId="0" fillId="0" borderId="0" xfId="0" applyNumberFormat="1"/>
    <xf numFmtId="0" fontId="2" fillId="2" borderId="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0" fillId="4" borderId="0" xfId="0" applyFill="1" applyAlignment="1">
      <alignment wrapText="1"/>
    </xf>
    <xf numFmtId="0" fontId="28" fillId="8" borderId="29" xfId="0" applyFont="1" applyFill="1" applyBorder="1" applyAlignment="1">
      <alignment horizontal="center" vertical="center" wrapText="1" readingOrder="1"/>
    </xf>
    <xf numFmtId="0" fontId="11" fillId="0" borderId="0" xfId="0" applyFont="1" applyAlignment="1">
      <alignment horizontal="center"/>
    </xf>
    <xf numFmtId="0" fontId="29" fillId="0" borderId="24" xfId="0" applyFont="1" applyBorder="1" applyAlignment="1">
      <alignment horizontal="center"/>
    </xf>
    <xf numFmtId="0" fontId="29" fillId="0" borderId="12" xfId="0" applyFont="1" applyBorder="1" applyAlignment="1">
      <alignment horizontal="center"/>
    </xf>
    <xf numFmtId="0" fontId="29" fillId="0" borderId="8" xfId="0" applyFont="1" applyBorder="1" applyAlignment="1">
      <alignment horizontal="center"/>
    </xf>
    <xf numFmtId="0" fontId="29" fillId="0" borderId="23" xfId="0" applyFont="1" applyBorder="1" applyAlignment="1">
      <alignment horizontal="center"/>
    </xf>
    <xf numFmtId="0" fontId="29" fillId="0" borderId="13" xfId="0" applyFont="1" applyBorder="1" applyAlignment="1">
      <alignment horizontal="center"/>
    </xf>
    <xf numFmtId="0" fontId="29" fillId="0" borderId="5" xfId="0" applyFont="1" applyBorder="1" applyAlignment="1">
      <alignment horizontal="center"/>
    </xf>
    <xf numFmtId="0" fontId="7" fillId="4" borderId="6" xfId="0" applyFont="1" applyFill="1" applyBorder="1" applyAlignment="1">
      <alignment horizontal="center" wrapText="1"/>
    </xf>
    <xf numFmtId="0" fontId="7" fillId="4" borderId="3" xfId="0" applyFont="1" applyFill="1" applyBorder="1" applyAlignment="1">
      <alignment horizontal="center" wrapText="1"/>
    </xf>
    <xf numFmtId="0" fontId="2" fillId="2" borderId="6" xfId="0" applyFont="1" applyFill="1" applyBorder="1" applyAlignment="1">
      <alignment horizontal="justify" vertical="center" wrapText="1"/>
    </xf>
    <xf numFmtId="0" fontId="2" fillId="2" borderId="4"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3" fillId="0" borderId="0" xfId="0" applyFont="1" applyAlignment="1">
      <alignment horizontal="center"/>
    </xf>
    <xf numFmtId="170" fontId="0" fillId="4" borderId="0" xfId="3" applyNumberFormat="1" applyFont="1" applyFill="1" applyAlignment="1">
      <alignment horizontal="left" vertical="top" wrapText="1"/>
    </xf>
    <xf numFmtId="174" fontId="3" fillId="4" borderId="21" xfId="3" applyNumberFormat="1" applyFont="1" applyFill="1" applyBorder="1"/>
    <xf numFmtId="166" fontId="3" fillId="0" borderId="0" xfId="0" applyNumberFormat="1" applyFont="1"/>
    <xf numFmtId="169" fontId="3" fillId="6" borderId="0" xfId="0" applyNumberFormat="1" applyFont="1" applyFill="1"/>
  </cellXfs>
  <cellStyles count="7">
    <cellStyle name="Comma" xfId="1" builtinId="3"/>
    <cellStyle name="Hyperlink" xfId="5" builtinId="8"/>
    <cellStyle name="Normal" xfId="0" builtinId="0"/>
    <cellStyle name="Normal 14" xfId="6" xr:uid="{6CD417D3-6824-4F13-8264-1D47F72034D9}"/>
    <cellStyle name="Normal 2" xfId="2" xr:uid="{B7145829-0A91-4DAF-AF6A-E3A72A457FEC}"/>
    <cellStyle name="Normal 2 2" xfId="4" xr:uid="{0A2FB419-67B0-4D3D-91D7-EE449C667071}"/>
    <cellStyle name="Percent" xfId="3" builtinId="5"/>
  </cellStyles>
  <dxfs count="14">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 Id="rId27"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323850</xdr:colOff>
      <xdr:row>2</xdr:row>
      <xdr:rowOff>0</xdr:rowOff>
    </xdr:from>
    <xdr:to>
      <xdr:col>16</xdr:col>
      <xdr:colOff>532155</xdr:colOff>
      <xdr:row>36</xdr:row>
      <xdr:rowOff>75381</xdr:rowOff>
    </xdr:to>
    <xdr:pic>
      <xdr:nvPicPr>
        <xdr:cNvPr id="3" name="Picture 2">
          <a:extLst>
            <a:ext uri="{FF2B5EF4-FFF2-40B4-BE49-F238E27FC236}">
              <a16:creationId xmlns:a16="http://schemas.microsoft.com/office/drawing/2014/main" id="{0B0780C8-44AD-D46C-DFB4-C1652A55A304}"/>
            </a:ext>
          </a:extLst>
        </xdr:cNvPr>
        <xdr:cNvPicPr>
          <a:picLocks noChangeAspect="1"/>
        </xdr:cNvPicPr>
      </xdr:nvPicPr>
      <xdr:blipFill>
        <a:blip xmlns:r="http://schemas.openxmlformats.org/officeDocument/2006/relationships" r:embed="rId1"/>
        <a:stretch>
          <a:fillRect/>
        </a:stretch>
      </xdr:blipFill>
      <xdr:spPr>
        <a:xfrm>
          <a:off x="323850" y="0"/>
          <a:ext cx="9961905" cy="65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27</xdr:col>
      <xdr:colOff>55003</xdr:colOff>
      <xdr:row>61</xdr:row>
      <xdr:rowOff>75357</xdr:rowOff>
    </xdr:to>
    <xdr:pic>
      <xdr:nvPicPr>
        <xdr:cNvPr id="2" name="Picture 1">
          <a:extLst>
            <a:ext uri="{FF2B5EF4-FFF2-40B4-BE49-F238E27FC236}">
              <a16:creationId xmlns:a16="http://schemas.microsoft.com/office/drawing/2014/main" id="{7593FBE1-C7B5-10AC-AF1C-E0DFD522C645}"/>
            </a:ext>
          </a:extLst>
        </xdr:cNvPr>
        <xdr:cNvPicPr>
          <a:picLocks noChangeAspect="1"/>
        </xdr:cNvPicPr>
      </xdr:nvPicPr>
      <xdr:blipFill>
        <a:blip xmlns:r="http://schemas.openxmlformats.org/officeDocument/2006/relationships" r:embed="rId1"/>
        <a:stretch>
          <a:fillRect/>
        </a:stretch>
      </xdr:blipFill>
      <xdr:spPr>
        <a:xfrm>
          <a:off x="609600" y="4381500"/>
          <a:ext cx="17171428" cy="67428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allianzms.sharepoint.com/teams/IE0055-5232174/Shared%20Documents/Governance%20Workstream/Pensions%20Authority/May%202025/Docs%20Calculations%20Testing/PRSA%20Illustration%20Generator%2020250501%20-%20A4%20Test.xlsx" TargetMode="External"/><Relationship Id="rId2" Type="http://schemas.microsoft.com/office/2019/04/relationships/externalLinkLongPath" Target="https://allianzms.sharepoint.com/teams/IE0055-4609431/Shared%20Documents/03_Products/01_UL%20with%20Guarantees/07_Allianz_Vantage_PRSA/5_Admin_Systems/HyperCare/Updated%20Fund%20Charges/Docs%20Calculations%20Testing/PRSA%20Illustration%20Generator%2020250501%20-%20A4%20Test.xlsx?F9563A4A" TargetMode="External"/><Relationship Id="rId1" Type="http://schemas.openxmlformats.org/officeDocument/2006/relationships/externalLinkPath" Target="file:///\\F9563A4A\PRSA%20Illustration%20Generator%2020250501%20-%20A4%20Tes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R:\Allianz\Non-AA%20work\PRSA%202023\Workings\PRSA%20Documents\Fund%20Glidepaths%20v4.xlsm" TargetMode="External"/><Relationship Id="rId1" Type="http://schemas.openxmlformats.org/officeDocument/2006/relationships/externalLinkPath" Target="https://allianzms.sharepoint.com/Allianz/Non-AA%20work/PRSA%202023/Workings/PRSA%20Documents/Fund%20Glidepaths%20v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ersion Control"/>
      <sheetName val="Overview"/>
      <sheetName val="Parameters"/>
      <sheetName val="Mortality Table"/>
      <sheetName val="Irish Life Quote"/>
      <sheetName val="Investment Strategies"/>
      <sheetName val="SRP"/>
      <sheetName val="CSO Calc"/>
      <sheetName val="Investment Strategy Funds"/>
      <sheetName val="Fund Based Charges Text"/>
      <sheetName val="Initial SRP doc inputs"/>
      <sheetName val="InForce SRP doc inputs"/>
      <sheetName val="Reliances &amp; Limitations"/>
      <sheetName val="Product Name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C Balanced"/>
      <sheetName val="LC Dynamic"/>
      <sheetName val="LC Opportunity"/>
      <sheetName val="AP Balanced"/>
      <sheetName val="AP Dynamic"/>
      <sheetName val="AP Opportunity"/>
      <sheetName val="NonStandard DIS"/>
      <sheetName val="Standard DIS"/>
      <sheetName val="Standard_Balanced"/>
      <sheetName val="Standard_Dynamic"/>
      <sheetName val="Standard_Opportunity"/>
    </sheetNames>
    <sheetDataSet>
      <sheetData sheetId="0" refreshError="1">
        <row r="2">
          <cell r="Q2">
            <v>540</v>
          </cell>
          <cell r="R2">
            <v>0</v>
          </cell>
          <cell r="S2">
            <v>0.14899999999999999</v>
          </cell>
          <cell r="T2">
            <v>0.85099999999999998</v>
          </cell>
          <cell r="U2">
            <v>0</v>
          </cell>
        </row>
        <row r="3">
          <cell r="Q3">
            <v>539</v>
          </cell>
          <cell r="R3">
            <v>0</v>
          </cell>
          <cell r="S3">
            <v>0.14899999999999999</v>
          </cell>
          <cell r="T3">
            <v>0.85099999999999998</v>
          </cell>
          <cell r="U3">
            <v>0</v>
          </cell>
        </row>
        <row r="4">
          <cell r="Q4">
            <v>538</v>
          </cell>
          <cell r="R4">
            <v>0</v>
          </cell>
          <cell r="S4">
            <v>0.14899999999999999</v>
          </cell>
          <cell r="T4">
            <v>0.85099999999999998</v>
          </cell>
          <cell r="U4">
            <v>0</v>
          </cell>
        </row>
        <row r="5">
          <cell r="Q5">
            <v>537</v>
          </cell>
          <cell r="R5">
            <v>0</v>
          </cell>
          <cell r="S5">
            <v>0.14899999999999999</v>
          </cell>
          <cell r="T5">
            <v>0.85099999999999998</v>
          </cell>
          <cell r="U5">
            <v>0</v>
          </cell>
        </row>
        <row r="6">
          <cell r="Q6">
            <v>536</v>
          </cell>
          <cell r="R6">
            <v>0</v>
          </cell>
          <cell r="S6">
            <v>0.14899999999999999</v>
          </cell>
          <cell r="T6">
            <v>0.85099999999999998</v>
          </cell>
          <cell r="U6">
            <v>0</v>
          </cell>
        </row>
        <row r="7">
          <cell r="Q7">
            <v>535</v>
          </cell>
          <cell r="R7">
            <v>0</v>
          </cell>
          <cell r="S7">
            <v>0.14899999999999999</v>
          </cell>
          <cell r="T7">
            <v>0.85099999999999998</v>
          </cell>
          <cell r="U7">
            <v>0</v>
          </cell>
        </row>
        <row r="8">
          <cell r="Q8">
            <v>534</v>
          </cell>
          <cell r="R8">
            <v>0</v>
          </cell>
          <cell r="S8">
            <v>0.14899999999999999</v>
          </cell>
          <cell r="T8">
            <v>0.85099999999999998</v>
          </cell>
          <cell r="U8">
            <v>0</v>
          </cell>
        </row>
        <row r="9">
          <cell r="Q9">
            <v>533</v>
          </cell>
          <cell r="R9">
            <v>0</v>
          </cell>
          <cell r="S9">
            <v>0.14899999999999999</v>
          </cell>
          <cell r="T9">
            <v>0.85099999999999998</v>
          </cell>
          <cell r="U9">
            <v>0</v>
          </cell>
        </row>
        <row r="10">
          <cell r="Q10">
            <v>532</v>
          </cell>
          <cell r="R10">
            <v>0</v>
          </cell>
          <cell r="S10">
            <v>0.14899999999999999</v>
          </cell>
          <cell r="T10">
            <v>0.85099999999999998</v>
          </cell>
          <cell r="U10">
            <v>0</v>
          </cell>
        </row>
        <row r="11">
          <cell r="Q11">
            <v>531</v>
          </cell>
          <cell r="R11">
            <v>0</v>
          </cell>
          <cell r="S11">
            <v>0.14899999999999999</v>
          </cell>
          <cell r="T11">
            <v>0.85099999999999998</v>
          </cell>
          <cell r="U11">
            <v>0</v>
          </cell>
        </row>
        <row r="12">
          <cell r="Q12">
            <v>530</v>
          </cell>
          <cell r="R12">
            <v>0</v>
          </cell>
          <cell r="S12">
            <v>0.14899999999999999</v>
          </cell>
          <cell r="T12">
            <v>0.85099999999999998</v>
          </cell>
          <cell r="U12">
            <v>0</v>
          </cell>
        </row>
        <row r="13">
          <cell r="Q13">
            <v>529</v>
          </cell>
          <cell r="R13">
            <v>0</v>
          </cell>
          <cell r="S13">
            <v>0.14899999999999999</v>
          </cell>
          <cell r="T13">
            <v>0.85099999999999998</v>
          </cell>
          <cell r="U13">
            <v>0</v>
          </cell>
        </row>
        <row r="14">
          <cell r="Q14">
            <v>528</v>
          </cell>
          <cell r="R14">
            <v>0</v>
          </cell>
          <cell r="S14">
            <v>0.14899999999999999</v>
          </cell>
          <cell r="T14">
            <v>0.85099999999999998</v>
          </cell>
          <cell r="U14">
            <v>0</v>
          </cell>
        </row>
        <row r="15">
          <cell r="Q15">
            <v>527</v>
          </cell>
          <cell r="R15">
            <v>0</v>
          </cell>
          <cell r="S15">
            <v>0.14899999999999999</v>
          </cell>
          <cell r="T15">
            <v>0.85099999999999998</v>
          </cell>
          <cell r="U15">
            <v>0</v>
          </cell>
        </row>
        <row r="16">
          <cell r="Q16">
            <v>526</v>
          </cell>
          <cell r="R16">
            <v>0</v>
          </cell>
          <cell r="S16">
            <v>0.14899999999999999</v>
          </cell>
          <cell r="T16">
            <v>0.85099999999999998</v>
          </cell>
          <cell r="U16">
            <v>0</v>
          </cell>
        </row>
        <row r="17">
          <cell r="Q17">
            <v>525</v>
          </cell>
          <cell r="R17">
            <v>0</v>
          </cell>
          <cell r="S17">
            <v>0.14899999999999999</v>
          </cell>
          <cell r="T17">
            <v>0.85099999999999998</v>
          </cell>
          <cell r="U17">
            <v>0</v>
          </cell>
        </row>
        <row r="18">
          <cell r="Q18">
            <v>524</v>
          </cell>
          <cell r="R18">
            <v>0</v>
          </cell>
          <cell r="S18">
            <v>0.14899999999999999</v>
          </cell>
          <cell r="T18">
            <v>0.85099999999999998</v>
          </cell>
          <cell r="U18">
            <v>0</v>
          </cell>
        </row>
        <row r="19">
          <cell r="Q19">
            <v>523</v>
          </cell>
          <cell r="R19">
            <v>0</v>
          </cell>
          <cell r="S19">
            <v>0.14899999999999999</v>
          </cell>
          <cell r="T19">
            <v>0.85099999999999998</v>
          </cell>
          <cell r="U19">
            <v>0</v>
          </cell>
        </row>
        <row r="20">
          <cell r="Q20">
            <v>522</v>
          </cell>
          <cell r="R20">
            <v>0</v>
          </cell>
          <cell r="S20">
            <v>0.14899999999999999</v>
          </cell>
          <cell r="T20">
            <v>0.85099999999999998</v>
          </cell>
          <cell r="U20">
            <v>0</v>
          </cell>
        </row>
        <row r="21">
          <cell r="Q21">
            <v>521</v>
          </cell>
          <cell r="R21">
            <v>0</v>
          </cell>
          <cell r="S21">
            <v>0.14899999999999999</v>
          </cell>
          <cell r="T21">
            <v>0.85099999999999998</v>
          </cell>
          <cell r="U21">
            <v>0</v>
          </cell>
        </row>
        <row r="22">
          <cell r="Q22">
            <v>520</v>
          </cell>
          <cell r="R22">
            <v>0</v>
          </cell>
          <cell r="S22">
            <v>0.14899999999999999</v>
          </cell>
          <cell r="T22">
            <v>0.85099999999999998</v>
          </cell>
          <cell r="U22">
            <v>0</v>
          </cell>
        </row>
        <row r="23">
          <cell r="Q23">
            <v>519</v>
          </cell>
          <cell r="R23">
            <v>0</v>
          </cell>
          <cell r="S23">
            <v>0.14899999999999999</v>
          </cell>
          <cell r="T23">
            <v>0.85099999999999998</v>
          </cell>
          <cell r="U23">
            <v>0</v>
          </cell>
        </row>
        <row r="24">
          <cell r="Q24">
            <v>518</v>
          </cell>
          <cell r="R24">
            <v>0</v>
          </cell>
          <cell r="S24">
            <v>0.14899999999999999</v>
          </cell>
          <cell r="T24">
            <v>0.85099999999999998</v>
          </cell>
          <cell r="U24">
            <v>0</v>
          </cell>
        </row>
        <row r="25">
          <cell r="Q25">
            <v>517</v>
          </cell>
          <cell r="R25">
            <v>0</v>
          </cell>
          <cell r="S25">
            <v>0.14899999999999999</v>
          </cell>
          <cell r="T25">
            <v>0.85099999999999998</v>
          </cell>
          <cell r="U25">
            <v>0</v>
          </cell>
        </row>
        <row r="26">
          <cell r="Q26">
            <v>516</v>
          </cell>
          <cell r="R26">
            <v>0</v>
          </cell>
          <cell r="S26">
            <v>0.14899999999999999</v>
          </cell>
          <cell r="T26">
            <v>0.85099999999999998</v>
          </cell>
          <cell r="U26">
            <v>0</v>
          </cell>
        </row>
        <row r="27">
          <cell r="Q27">
            <v>515</v>
          </cell>
          <cell r="R27">
            <v>0</v>
          </cell>
          <cell r="S27">
            <v>0.14899999999999999</v>
          </cell>
          <cell r="T27">
            <v>0.85099999999999998</v>
          </cell>
          <cell r="U27">
            <v>0</v>
          </cell>
        </row>
        <row r="28">
          <cell r="Q28">
            <v>514</v>
          </cell>
          <cell r="R28">
            <v>0</v>
          </cell>
          <cell r="S28">
            <v>0.14899999999999999</v>
          </cell>
          <cell r="T28">
            <v>0.85099999999999998</v>
          </cell>
          <cell r="U28">
            <v>0</v>
          </cell>
        </row>
        <row r="29">
          <cell r="Q29">
            <v>513</v>
          </cell>
          <cell r="R29">
            <v>0</v>
          </cell>
          <cell r="S29">
            <v>0.14899999999999999</v>
          </cell>
          <cell r="T29">
            <v>0.85099999999999998</v>
          </cell>
          <cell r="U29">
            <v>0</v>
          </cell>
        </row>
        <row r="30">
          <cell r="Q30">
            <v>512</v>
          </cell>
          <cell r="R30">
            <v>0</v>
          </cell>
          <cell r="S30">
            <v>0.14899999999999999</v>
          </cell>
          <cell r="T30">
            <v>0.85099999999999998</v>
          </cell>
          <cell r="U30">
            <v>0</v>
          </cell>
        </row>
        <row r="31">
          <cell r="Q31">
            <v>511</v>
          </cell>
          <cell r="R31">
            <v>0</v>
          </cell>
          <cell r="S31">
            <v>0.14899999999999999</v>
          </cell>
          <cell r="T31">
            <v>0.85099999999999998</v>
          </cell>
          <cell r="U31">
            <v>0</v>
          </cell>
        </row>
        <row r="32">
          <cell r="Q32">
            <v>510</v>
          </cell>
          <cell r="R32">
            <v>0</v>
          </cell>
          <cell r="S32">
            <v>0.14899999999999999</v>
          </cell>
          <cell r="T32">
            <v>0.85099999999999998</v>
          </cell>
          <cell r="U32">
            <v>0</v>
          </cell>
        </row>
        <row r="33">
          <cell r="Q33">
            <v>509</v>
          </cell>
          <cell r="R33">
            <v>0</v>
          </cell>
          <cell r="S33">
            <v>0.14899999999999999</v>
          </cell>
          <cell r="T33">
            <v>0.85099999999999998</v>
          </cell>
          <cell r="U33">
            <v>0</v>
          </cell>
        </row>
        <row r="34">
          <cell r="Q34">
            <v>508</v>
          </cell>
          <cell r="R34">
            <v>0</v>
          </cell>
          <cell r="S34">
            <v>0.14899999999999999</v>
          </cell>
          <cell r="T34">
            <v>0.85099999999999998</v>
          </cell>
          <cell r="U34">
            <v>0</v>
          </cell>
        </row>
        <row r="35">
          <cell r="Q35">
            <v>507</v>
          </cell>
          <cell r="R35">
            <v>0</v>
          </cell>
          <cell r="S35">
            <v>0.14899999999999999</v>
          </cell>
          <cell r="T35">
            <v>0.85099999999999998</v>
          </cell>
          <cell r="U35">
            <v>0</v>
          </cell>
        </row>
        <row r="36">
          <cell r="Q36">
            <v>506</v>
          </cell>
          <cell r="R36">
            <v>0</v>
          </cell>
          <cell r="S36">
            <v>0.14899999999999999</v>
          </cell>
          <cell r="T36">
            <v>0.85099999999999998</v>
          </cell>
          <cell r="U36">
            <v>0</v>
          </cell>
        </row>
        <row r="37">
          <cell r="Q37">
            <v>505</v>
          </cell>
          <cell r="R37">
            <v>0</v>
          </cell>
          <cell r="S37">
            <v>0.14899999999999999</v>
          </cell>
          <cell r="T37">
            <v>0.85099999999999998</v>
          </cell>
          <cell r="U37">
            <v>0</v>
          </cell>
        </row>
        <row r="38">
          <cell r="Q38">
            <v>504</v>
          </cell>
          <cell r="R38">
            <v>0</v>
          </cell>
          <cell r="S38">
            <v>0.14899999999999999</v>
          </cell>
          <cell r="T38">
            <v>0.85099999999999998</v>
          </cell>
          <cell r="U38">
            <v>0</v>
          </cell>
        </row>
        <row r="39">
          <cell r="Q39">
            <v>503</v>
          </cell>
          <cell r="R39">
            <v>0</v>
          </cell>
          <cell r="S39">
            <v>0.14899999999999999</v>
          </cell>
          <cell r="T39">
            <v>0.85099999999999998</v>
          </cell>
          <cell r="U39">
            <v>0</v>
          </cell>
        </row>
        <row r="40">
          <cell r="Q40">
            <v>502</v>
          </cell>
          <cell r="R40">
            <v>0</v>
          </cell>
          <cell r="S40">
            <v>0.14899999999999999</v>
          </cell>
          <cell r="T40">
            <v>0.85099999999999998</v>
          </cell>
          <cell r="U40">
            <v>0</v>
          </cell>
        </row>
        <row r="41">
          <cell r="Q41">
            <v>501</v>
          </cell>
          <cell r="R41">
            <v>0</v>
          </cell>
          <cell r="S41">
            <v>0.14899999999999999</v>
          </cell>
          <cell r="T41">
            <v>0.85099999999999998</v>
          </cell>
          <cell r="U41">
            <v>0</v>
          </cell>
        </row>
        <row r="42">
          <cell r="Q42">
            <v>500</v>
          </cell>
          <cell r="R42">
            <v>0</v>
          </cell>
          <cell r="S42">
            <v>0.14899999999999999</v>
          </cell>
          <cell r="T42">
            <v>0.85099999999999998</v>
          </cell>
          <cell r="U42">
            <v>0</v>
          </cell>
        </row>
        <row r="43">
          <cell r="Q43">
            <v>499</v>
          </cell>
          <cell r="R43">
            <v>0</v>
          </cell>
          <cell r="S43">
            <v>0.14899999999999999</v>
          </cell>
          <cell r="T43">
            <v>0.85099999999999998</v>
          </cell>
          <cell r="U43">
            <v>0</v>
          </cell>
        </row>
        <row r="44">
          <cell r="Q44">
            <v>498</v>
          </cell>
          <cell r="R44">
            <v>0</v>
          </cell>
          <cell r="S44">
            <v>0.14899999999999999</v>
          </cell>
          <cell r="T44">
            <v>0.85099999999999998</v>
          </cell>
          <cell r="U44">
            <v>0</v>
          </cell>
        </row>
        <row r="45">
          <cell r="Q45">
            <v>497</v>
          </cell>
          <cell r="R45">
            <v>0</v>
          </cell>
          <cell r="S45">
            <v>0.14899999999999999</v>
          </cell>
          <cell r="T45">
            <v>0.85099999999999998</v>
          </cell>
          <cell r="U45">
            <v>0</v>
          </cell>
        </row>
        <row r="46">
          <cell r="Q46">
            <v>496</v>
          </cell>
          <cell r="R46">
            <v>0</v>
          </cell>
          <cell r="S46">
            <v>0.14899999999999999</v>
          </cell>
          <cell r="T46">
            <v>0.85099999999999998</v>
          </cell>
          <cell r="U46">
            <v>0</v>
          </cell>
        </row>
        <row r="47">
          <cell r="Q47">
            <v>495</v>
          </cell>
          <cell r="R47">
            <v>0</v>
          </cell>
          <cell r="S47">
            <v>0.14899999999999999</v>
          </cell>
          <cell r="T47">
            <v>0.85099999999999998</v>
          </cell>
          <cell r="U47">
            <v>0</v>
          </cell>
        </row>
        <row r="48">
          <cell r="Q48">
            <v>494</v>
          </cell>
          <cell r="R48">
            <v>0</v>
          </cell>
          <cell r="S48">
            <v>0.14899999999999999</v>
          </cell>
          <cell r="T48">
            <v>0.85099999999999998</v>
          </cell>
          <cell r="U48">
            <v>0</v>
          </cell>
        </row>
        <row r="49">
          <cell r="Q49">
            <v>493</v>
          </cell>
          <cell r="R49">
            <v>0</v>
          </cell>
          <cell r="S49">
            <v>0.14899999999999999</v>
          </cell>
          <cell r="T49">
            <v>0.85099999999999998</v>
          </cell>
          <cell r="U49">
            <v>0</v>
          </cell>
        </row>
        <row r="50">
          <cell r="Q50">
            <v>492</v>
          </cell>
          <cell r="R50">
            <v>0</v>
          </cell>
          <cell r="S50">
            <v>0.14899999999999999</v>
          </cell>
          <cell r="T50">
            <v>0.85099999999999998</v>
          </cell>
          <cell r="U50">
            <v>0</v>
          </cell>
        </row>
        <row r="51">
          <cell r="Q51">
            <v>491</v>
          </cell>
          <cell r="R51">
            <v>0</v>
          </cell>
          <cell r="S51">
            <v>0.14899999999999999</v>
          </cell>
          <cell r="T51">
            <v>0.85099999999999998</v>
          </cell>
          <cell r="U51">
            <v>0</v>
          </cell>
        </row>
        <row r="52">
          <cell r="Q52">
            <v>490</v>
          </cell>
          <cell r="R52">
            <v>0</v>
          </cell>
          <cell r="S52">
            <v>0.14899999999999999</v>
          </cell>
          <cell r="T52">
            <v>0.85099999999999998</v>
          </cell>
          <cell r="U52">
            <v>0</v>
          </cell>
        </row>
        <row r="53">
          <cell r="Q53">
            <v>489</v>
          </cell>
          <cell r="R53">
            <v>0</v>
          </cell>
          <cell r="S53">
            <v>0.14899999999999999</v>
          </cell>
          <cell r="T53">
            <v>0.85099999999999998</v>
          </cell>
          <cell r="U53">
            <v>0</v>
          </cell>
        </row>
        <row r="54">
          <cell r="Q54">
            <v>488</v>
          </cell>
          <cell r="R54">
            <v>0</v>
          </cell>
          <cell r="S54">
            <v>0.14899999999999999</v>
          </cell>
          <cell r="T54">
            <v>0.85099999999999998</v>
          </cell>
          <cell r="U54">
            <v>0</v>
          </cell>
        </row>
        <row r="55">
          <cell r="Q55">
            <v>487</v>
          </cell>
          <cell r="R55">
            <v>0</v>
          </cell>
          <cell r="S55">
            <v>0.14899999999999999</v>
          </cell>
          <cell r="T55">
            <v>0.85099999999999998</v>
          </cell>
          <cell r="U55">
            <v>0</v>
          </cell>
        </row>
        <row r="56">
          <cell r="Q56">
            <v>486</v>
          </cell>
          <cell r="R56">
            <v>0</v>
          </cell>
          <cell r="S56">
            <v>0.14899999999999999</v>
          </cell>
          <cell r="T56">
            <v>0.85099999999999998</v>
          </cell>
          <cell r="U56">
            <v>0</v>
          </cell>
        </row>
        <row r="57">
          <cell r="Q57">
            <v>485</v>
          </cell>
          <cell r="R57">
            <v>0</v>
          </cell>
          <cell r="S57">
            <v>0.14899999999999999</v>
          </cell>
          <cell r="T57">
            <v>0.85099999999999998</v>
          </cell>
          <cell r="U57">
            <v>0</v>
          </cell>
        </row>
        <row r="58">
          <cell r="Q58">
            <v>484</v>
          </cell>
          <cell r="R58">
            <v>0</v>
          </cell>
          <cell r="S58">
            <v>0.14899999999999999</v>
          </cell>
          <cell r="T58">
            <v>0.85099999999999998</v>
          </cell>
          <cell r="U58">
            <v>0</v>
          </cell>
        </row>
        <row r="59">
          <cell r="Q59">
            <v>483</v>
          </cell>
          <cell r="R59">
            <v>0</v>
          </cell>
          <cell r="S59">
            <v>0.14899999999999999</v>
          </cell>
          <cell r="T59">
            <v>0.85099999999999998</v>
          </cell>
          <cell r="U59">
            <v>0</v>
          </cell>
        </row>
        <row r="60">
          <cell r="Q60">
            <v>482</v>
          </cell>
          <cell r="R60">
            <v>0</v>
          </cell>
          <cell r="S60">
            <v>0.14899999999999999</v>
          </cell>
          <cell r="T60">
            <v>0.85099999999999998</v>
          </cell>
          <cell r="U60">
            <v>0</v>
          </cell>
        </row>
        <row r="61">
          <cell r="Q61">
            <v>481</v>
          </cell>
          <cell r="R61">
            <v>0</v>
          </cell>
          <cell r="S61">
            <v>0.14899999999999999</v>
          </cell>
          <cell r="T61">
            <v>0.85099999999999998</v>
          </cell>
          <cell r="U61">
            <v>0</v>
          </cell>
        </row>
        <row r="62">
          <cell r="Q62">
            <v>480</v>
          </cell>
          <cell r="R62">
            <v>0</v>
          </cell>
          <cell r="S62">
            <v>0.14899999999999999</v>
          </cell>
          <cell r="T62">
            <v>0.85099999999999998</v>
          </cell>
          <cell r="U62">
            <v>0</v>
          </cell>
        </row>
        <row r="63">
          <cell r="Q63">
            <v>479</v>
          </cell>
          <cell r="R63">
            <v>0</v>
          </cell>
          <cell r="S63">
            <v>0.14899999999999999</v>
          </cell>
          <cell r="T63">
            <v>0.85099999999999998</v>
          </cell>
          <cell r="U63">
            <v>0</v>
          </cell>
        </row>
        <row r="64">
          <cell r="Q64">
            <v>478</v>
          </cell>
          <cell r="R64">
            <v>0</v>
          </cell>
          <cell r="S64">
            <v>0.14899999999999999</v>
          </cell>
          <cell r="T64">
            <v>0.85099999999999998</v>
          </cell>
          <cell r="U64">
            <v>0</v>
          </cell>
        </row>
        <row r="65">
          <cell r="Q65">
            <v>477</v>
          </cell>
          <cell r="R65">
            <v>0</v>
          </cell>
          <cell r="S65">
            <v>0.14899999999999999</v>
          </cell>
          <cell r="T65">
            <v>0.85099999999999998</v>
          </cell>
          <cell r="U65">
            <v>0</v>
          </cell>
        </row>
        <row r="66">
          <cell r="Q66">
            <v>476</v>
          </cell>
          <cell r="R66">
            <v>0</v>
          </cell>
          <cell r="S66">
            <v>0.14899999999999999</v>
          </cell>
          <cell r="T66">
            <v>0.85099999999999998</v>
          </cell>
          <cell r="U66">
            <v>0</v>
          </cell>
        </row>
        <row r="67">
          <cell r="Q67">
            <v>475</v>
          </cell>
          <cell r="R67">
            <v>0</v>
          </cell>
          <cell r="S67">
            <v>0.14899999999999999</v>
          </cell>
          <cell r="T67">
            <v>0.85099999999999998</v>
          </cell>
          <cell r="U67">
            <v>0</v>
          </cell>
        </row>
        <row r="68">
          <cell r="Q68">
            <v>474</v>
          </cell>
          <cell r="R68">
            <v>0</v>
          </cell>
          <cell r="S68">
            <v>0.14899999999999999</v>
          </cell>
          <cell r="T68">
            <v>0.85099999999999998</v>
          </cell>
          <cell r="U68">
            <v>0</v>
          </cell>
        </row>
        <row r="69">
          <cell r="Q69">
            <v>473</v>
          </cell>
          <cell r="R69">
            <v>0</v>
          </cell>
          <cell r="S69">
            <v>0.14899999999999999</v>
          </cell>
          <cell r="T69">
            <v>0.85099999999999998</v>
          </cell>
          <cell r="U69">
            <v>0</v>
          </cell>
        </row>
        <row r="70">
          <cell r="Q70">
            <v>472</v>
          </cell>
          <cell r="R70">
            <v>0</v>
          </cell>
          <cell r="S70">
            <v>0.14899999999999999</v>
          </cell>
          <cell r="T70">
            <v>0.85099999999999998</v>
          </cell>
          <cell r="U70">
            <v>0</v>
          </cell>
        </row>
        <row r="71">
          <cell r="Q71">
            <v>471</v>
          </cell>
          <cell r="R71">
            <v>0</v>
          </cell>
          <cell r="S71">
            <v>0.14899999999999999</v>
          </cell>
          <cell r="T71">
            <v>0.85099999999999998</v>
          </cell>
          <cell r="U71">
            <v>0</v>
          </cell>
        </row>
        <row r="72">
          <cell r="Q72">
            <v>470</v>
          </cell>
          <cell r="R72">
            <v>0</v>
          </cell>
          <cell r="S72">
            <v>0.14899999999999999</v>
          </cell>
          <cell r="T72">
            <v>0.85099999999999998</v>
          </cell>
          <cell r="U72">
            <v>0</v>
          </cell>
        </row>
        <row r="73">
          <cell r="Q73">
            <v>469</v>
          </cell>
          <cell r="R73">
            <v>0</v>
          </cell>
          <cell r="S73">
            <v>0.14899999999999999</v>
          </cell>
          <cell r="T73">
            <v>0.85099999999999998</v>
          </cell>
          <cell r="U73">
            <v>0</v>
          </cell>
        </row>
        <row r="74">
          <cell r="Q74">
            <v>468</v>
          </cell>
          <cell r="R74">
            <v>0</v>
          </cell>
          <cell r="S74">
            <v>0.14899999999999999</v>
          </cell>
          <cell r="T74">
            <v>0.85099999999999998</v>
          </cell>
          <cell r="U74">
            <v>0</v>
          </cell>
        </row>
        <row r="75">
          <cell r="Q75">
            <v>467</v>
          </cell>
          <cell r="R75">
            <v>0</v>
          </cell>
          <cell r="S75">
            <v>0.14899999999999999</v>
          </cell>
          <cell r="T75">
            <v>0.85099999999999998</v>
          </cell>
          <cell r="U75">
            <v>0</v>
          </cell>
        </row>
        <row r="76">
          <cell r="Q76">
            <v>466</v>
          </cell>
          <cell r="R76">
            <v>0</v>
          </cell>
          <cell r="S76">
            <v>0.14899999999999999</v>
          </cell>
          <cell r="T76">
            <v>0.85099999999999998</v>
          </cell>
          <cell r="U76">
            <v>0</v>
          </cell>
        </row>
        <row r="77">
          <cell r="Q77">
            <v>465</v>
          </cell>
          <cell r="R77">
            <v>0</v>
          </cell>
          <cell r="S77">
            <v>0.14899999999999999</v>
          </cell>
          <cell r="T77">
            <v>0.85099999999999998</v>
          </cell>
          <cell r="U77">
            <v>0</v>
          </cell>
        </row>
        <row r="78">
          <cell r="Q78">
            <v>464</v>
          </cell>
          <cell r="R78">
            <v>0</v>
          </cell>
          <cell r="S78">
            <v>0.14899999999999999</v>
          </cell>
          <cell r="T78">
            <v>0.85099999999999998</v>
          </cell>
          <cell r="U78">
            <v>0</v>
          </cell>
        </row>
        <row r="79">
          <cell r="Q79">
            <v>463</v>
          </cell>
          <cell r="R79">
            <v>0</v>
          </cell>
          <cell r="S79">
            <v>0.14899999999999999</v>
          </cell>
          <cell r="T79">
            <v>0.85099999999999998</v>
          </cell>
          <cell r="U79">
            <v>0</v>
          </cell>
        </row>
        <row r="80">
          <cell r="Q80">
            <v>462</v>
          </cell>
          <cell r="R80">
            <v>0</v>
          </cell>
          <cell r="S80">
            <v>0.14899999999999999</v>
          </cell>
          <cell r="T80">
            <v>0.85099999999999998</v>
          </cell>
          <cell r="U80">
            <v>0</v>
          </cell>
        </row>
        <row r="81">
          <cell r="Q81">
            <v>461</v>
          </cell>
          <cell r="R81">
            <v>0</v>
          </cell>
          <cell r="S81">
            <v>0.14899999999999999</v>
          </cell>
          <cell r="T81">
            <v>0.85099999999999998</v>
          </cell>
          <cell r="U81">
            <v>0</v>
          </cell>
        </row>
        <row r="82">
          <cell r="Q82">
            <v>460</v>
          </cell>
          <cell r="R82">
            <v>0</v>
          </cell>
          <cell r="S82">
            <v>0.14899999999999999</v>
          </cell>
          <cell r="T82">
            <v>0.85099999999999998</v>
          </cell>
          <cell r="U82">
            <v>0</v>
          </cell>
        </row>
        <row r="83">
          <cell r="Q83">
            <v>459</v>
          </cell>
          <cell r="R83">
            <v>0</v>
          </cell>
          <cell r="S83">
            <v>0.14899999999999999</v>
          </cell>
          <cell r="T83">
            <v>0.85099999999999998</v>
          </cell>
          <cell r="U83">
            <v>0</v>
          </cell>
        </row>
        <row r="84">
          <cell r="Q84">
            <v>458</v>
          </cell>
          <cell r="R84">
            <v>0</v>
          </cell>
          <cell r="S84">
            <v>0.14899999999999999</v>
          </cell>
          <cell r="T84">
            <v>0.85099999999999998</v>
          </cell>
          <cell r="U84">
            <v>0</v>
          </cell>
        </row>
        <row r="85">
          <cell r="Q85">
            <v>457</v>
          </cell>
          <cell r="R85">
            <v>0</v>
          </cell>
          <cell r="S85">
            <v>0.14899999999999999</v>
          </cell>
          <cell r="T85">
            <v>0.85099999999999998</v>
          </cell>
          <cell r="U85">
            <v>0</v>
          </cell>
        </row>
        <row r="86">
          <cell r="Q86">
            <v>456</v>
          </cell>
          <cell r="R86">
            <v>0</v>
          </cell>
          <cell r="S86">
            <v>0.14899999999999999</v>
          </cell>
          <cell r="T86">
            <v>0.85099999999999998</v>
          </cell>
          <cell r="U86">
            <v>0</v>
          </cell>
        </row>
        <row r="87">
          <cell r="Q87">
            <v>455</v>
          </cell>
          <cell r="R87">
            <v>0</v>
          </cell>
          <cell r="S87">
            <v>0.14899999999999999</v>
          </cell>
          <cell r="T87">
            <v>0.85099999999999998</v>
          </cell>
          <cell r="U87">
            <v>0</v>
          </cell>
        </row>
        <row r="88">
          <cell r="Q88">
            <v>454</v>
          </cell>
          <cell r="R88">
            <v>0</v>
          </cell>
          <cell r="S88">
            <v>0.14899999999999999</v>
          </cell>
          <cell r="T88">
            <v>0.85099999999999998</v>
          </cell>
          <cell r="U88">
            <v>0</v>
          </cell>
        </row>
        <row r="89">
          <cell r="Q89">
            <v>453</v>
          </cell>
          <cell r="R89">
            <v>0</v>
          </cell>
          <cell r="S89">
            <v>0.14899999999999999</v>
          </cell>
          <cell r="T89">
            <v>0.85099999999999998</v>
          </cell>
          <cell r="U89">
            <v>0</v>
          </cell>
        </row>
        <row r="90">
          <cell r="Q90">
            <v>452</v>
          </cell>
          <cell r="R90">
            <v>0</v>
          </cell>
          <cell r="S90">
            <v>0.14899999999999999</v>
          </cell>
          <cell r="T90">
            <v>0.85099999999999998</v>
          </cell>
          <cell r="U90">
            <v>0</v>
          </cell>
        </row>
        <row r="91">
          <cell r="Q91">
            <v>451</v>
          </cell>
          <cell r="R91">
            <v>0</v>
          </cell>
          <cell r="S91">
            <v>0.14899999999999999</v>
          </cell>
          <cell r="T91">
            <v>0.85099999999999998</v>
          </cell>
          <cell r="U91">
            <v>0</v>
          </cell>
        </row>
        <row r="92">
          <cell r="Q92">
            <v>450</v>
          </cell>
          <cell r="R92">
            <v>0</v>
          </cell>
          <cell r="S92">
            <v>0.14899999999999999</v>
          </cell>
          <cell r="T92">
            <v>0.85099999999999998</v>
          </cell>
          <cell r="U92">
            <v>0</v>
          </cell>
        </row>
        <row r="93">
          <cell r="Q93">
            <v>449</v>
          </cell>
          <cell r="R93">
            <v>0</v>
          </cell>
          <cell r="S93">
            <v>0.14899999999999999</v>
          </cell>
          <cell r="T93">
            <v>0.85099999999999998</v>
          </cell>
          <cell r="U93">
            <v>0</v>
          </cell>
        </row>
        <row r="94">
          <cell r="Q94">
            <v>448</v>
          </cell>
          <cell r="R94">
            <v>0</v>
          </cell>
          <cell r="S94">
            <v>0.14899999999999999</v>
          </cell>
          <cell r="T94">
            <v>0.85099999999999998</v>
          </cell>
          <cell r="U94">
            <v>0</v>
          </cell>
        </row>
        <row r="95">
          <cell r="Q95">
            <v>447</v>
          </cell>
          <cell r="R95">
            <v>0</v>
          </cell>
          <cell r="S95">
            <v>0.14899999999999999</v>
          </cell>
          <cell r="T95">
            <v>0.85099999999999998</v>
          </cell>
          <cell r="U95">
            <v>0</v>
          </cell>
        </row>
        <row r="96">
          <cell r="Q96">
            <v>446</v>
          </cell>
          <cell r="R96">
            <v>0</v>
          </cell>
          <cell r="S96">
            <v>0.14899999999999999</v>
          </cell>
          <cell r="T96">
            <v>0.85099999999999998</v>
          </cell>
          <cell r="U96">
            <v>0</v>
          </cell>
        </row>
        <row r="97">
          <cell r="Q97">
            <v>445</v>
          </cell>
          <cell r="R97">
            <v>0</v>
          </cell>
          <cell r="S97">
            <v>0.14899999999999999</v>
          </cell>
          <cell r="T97">
            <v>0.85099999999999998</v>
          </cell>
          <cell r="U97">
            <v>0</v>
          </cell>
        </row>
        <row r="98">
          <cell r="Q98">
            <v>444</v>
          </cell>
          <cell r="R98">
            <v>0</v>
          </cell>
          <cell r="S98">
            <v>0.14899999999999999</v>
          </cell>
          <cell r="T98">
            <v>0.85099999999999998</v>
          </cell>
          <cell r="U98">
            <v>0</v>
          </cell>
        </row>
        <row r="99">
          <cell r="Q99">
            <v>443</v>
          </cell>
          <cell r="R99">
            <v>0</v>
          </cell>
          <cell r="S99">
            <v>0.14899999999999999</v>
          </cell>
          <cell r="T99">
            <v>0.85099999999999998</v>
          </cell>
          <cell r="U99">
            <v>0</v>
          </cell>
        </row>
        <row r="100">
          <cell r="Q100">
            <v>442</v>
          </cell>
          <cell r="R100">
            <v>0</v>
          </cell>
          <cell r="S100">
            <v>0.14899999999999999</v>
          </cell>
          <cell r="T100">
            <v>0.85099999999999998</v>
          </cell>
          <cell r="U100">
            <v>0</v>
          </cell>
        </row>
        <row r="101">
          <cell r="Q101">
            <v>441</v>
          </cell>
          <cell r="R101">
            <v>0</v>
          </cell>
          <cell r="S101">
            <v>0.14899999999999999</v>
          </cell>
          <cell r="T101">
            <v>0.85099999999999998</v>
          </cell>
          <cell r="U101">
            <v>0</v>
          </cell>
        </row>
        <row r="102">
          <cell r="Q102">
            <v>440</v>
          </cell>
          <cell r="R102">
            <v>0</v>
          </cell>
          <cell r="S102">
            <v>0.14899999999999999</v>
          </cell>
          <cell r="T102">
            <v>0.85099999999999998</v>
          </cell>
          <cell r="U102">
            <v>0</v>
          </cell>
        </row>
        <row r="103">
          <cell r="Q103">
            <v>439</v>
          </cell>
          <cell r="R103">
            <v>0</v>
          </cell>
          <cell r="S103">
            <v>0.14899999999999999</v>
          </cell>
          <cell r="T103">
            <v>0.85099999999999998</v>
          </cell>
          <cell r="U103">
            <v>0</v>
          </cell>
        </row>
        <row r="104">
          <cell r="Q104">
            <v>438</v>
          </cell>
          <cell r="R104">
            <v>0</v>
          </cell>
          <cell r="S104">
            <v>0.14899999999999999</v>
          </cell>
          <cell r="T104">
            <v>0.85099999999999998</v>
          </cell>
          <cell r="U104">
            <v>0</v>
          </cell>
        </row>
        <row r="105">
          <cell r="Q105">
            <v>437</v>
          </cell>
          <cell r="R105">
            <v>0</v>
          </cell>
          <cell r="S105">
            <v>0.14899999999999999</v>
          </cell>
          <cell r="T105">
            <v>0.85099999999999998</v>
          </cell>
          <cell r="U105">
            <v>0</v>
          </cell>
        </row>
        <row r="106">
          <cell r="Q106">
            <v>436</v>
          </cell>
          <cell r="R106">
            <v>0</v>
          </cell>
          <cell r="S106">
            <v>0.14899999999999999</v>
          </cell>
          <cell r="T106">
            <v>0.85099999999999998</v>
          </cell>
          <cell r="U106">
            <v>0</v>
          </cell>
        </row>
        <row r="107">
          <cell r="Q107">
            <v>435</v>
          </cell>
          <cell r="R107">
            <v>0</v>
          </cell>
          <cell r="S107">
            <v>0.14899999999999999</v>
          </cell>
          <cell r="T107">
            <v>0.85099999999999998</v>
          </cell>
          <cell r="U107">
            <v>0</v>
          </cell>
        </row>
        <row r="108">
          <cell r="Q108">
            <v>434</v>
          </cell>
          <cell r="R108">
            <v>0</v>
          </cell>
          <cell r="S108">
            <v>0.14899999999999999</v>
          </cell>
          <cell r="T108">
            <v>0.85099999999999998</v>
          </cell>
          <cell r="U108">
            <v>0</v>
          </cell>
        </row>
        <row r="109">
          <cell r="Q109">
            <v>433</v>
          </cell>
          <cell r="R109">
            <v>0</v>
          </cell>
          <cell r="S109">
            <v>0.14899999999999999</v>
          </cell>
          <cell r="T109">
            <v>0.85099999999999998</v>
          </cell>
          <cell r="U109">
            <v>0</v>
          </cell>
        </row>
        <row r="110">
          <cell r="Q110">
            <v>432</v>
          </cell>
          <cell r="R110">
            <v>0</v>
          </cell>
          <cell r="S110">
            <v>0.14899999999999999</v>
          </cell>
          <cell r="T110">
            <v>0.85099999999999998</v>
          </cell>
          <cell r="U110">
            <v>0</v>
          </cell>
        </row>
        <row r="111">
          <cell r="Q111">
            <v>431</v>
          </cell>
          <cell r="R111">
            <v>0</v>
          </cell>
          <cell r="S111">
            <v>0.14899999999999999</v>
          </cell>
          <cell r="T111">
            <v>0.85099999999999998</v>
          </cell>
          <cell r="U111">
            <v>0</v>
          </cell>
        </row>
        <row r="112">
          <cell r="Q112">
            <v>430</v>
          </cell>
          <cell r="R112">
            <v>0</v>
          </cell>
          <cell r="S112">
            <v>0.14899999999999999</v>
          </cell>
          <cell r="T112">
            <v>0.85099999999999998</v>
          </cell>
          <cell r="U112">
            <v>0</v>
          </cell>
        </row>
        <row r="113">
          <cell r="Q113">
            <v>429</v>
          </cell>
          <cell r="R113">
            <v>0</v>
          </cell>
          <cell r="S113">
            <v>0.14899999999999999</v>
          </cell>
          <cell r="T113">
            <v>0.85099999999999998</v>
          </cell>
          <cell r="U113">
            <v>0</v>
          </cell>
        </row>
        <row r="114">
          <cell r="Q114">
            <v>428</v>
          </cell>
          <cell r="R114">
            <v>0</v>
          </cell>
          <cell r="S114">
            <v>0.14899999999999999</v>
          </cell>
          <cell r="T114">
            <v>0.85099999999999998</v>
          </cell>
          <cell r="U114">
            <v>0</v>
          </cell>
        </row>
        <row r="115">
          <cell r="Q115">
            <v>427</v>
          </cell>
          <cell r="R115">
            <v>0</v>
          </cell>
          <cell r="S115">
            <v>0.14899999999999999</v>
          </cell>
          <cell r="T115">
            <v>0.85099999999999998</v>
          </cell>
          <cell r="U115">
            <v>0</v>
          </cell>
        </row>
        <row r="116">
          <cell r="Q116">
            <v>426</v>
          </cell>
          <cell r="R116">
            <v>0</v>
          </cell>
          <cell r="S116">
            <v>0.14899999999999999</v>
          </cell>
          <cell r="T116">
            <v>0.85099999999999998</v>
          </cell>
          <cell r="U116">
            <v>0</v>
          </cell>
        </row>
        <row r="117">
          <cell r="Q117">
            <v>425</v>
          </cell>
          <cell r="R117">
            <v>0</v>
          </cell>
          <cell r="S117">
            <v>0.14899999999999999</v>
          </cell>
          <cell r="T117">
            <v>0.85099999999999998</v>
          </cell>
          <cell r="U117">
            <v>0</v>
          </cell>
        </row>
        <row r="118">
          <cell r="Q118">
            <v>424</v>
          </cell>
          <cell r="R118">
            <v>0</v>
          </cell>
          <cell r="S118">
            <v>0.14899999999999999</v>
          </cell>
          <cell r="T118">
            <v>0.85099999999999998</v>
          </cell>
          <cell r="U118">
            <v>0</v>
          </cell>
        </row>
        <row r="119">
          <cell r="Q119">
            <v>423</v>
          </cell>
          <cell r="R119">
            <v>0</v>
          </cell>
          <cell r="S119">
            <v>0.14899999999999999</v>
          </cell>
          <cell r="T119">
            <v>0.85099999999999998</v>
          </cell>
          <cell r="U119">
            <v>0</v>
          </cell>
        </row>
        <row r="120">
          <cell r="Q120">
            <v>422</v>
          </cell>
          <cell r="R120">
            <v>0</v>
          </cell>
          <cell r="S120">
            <v>0.14899999999999999</v>
          </cell>
          <cell r="T120">
            <v>0.85099999999999998</v>
          </cell>
          <cell r="U120">
            <v>0</v>
          </cell>
        </row>
        <row r="121">
          <cell r="Q121">
            <v>421</v>
          </cell>
          <cell r="R121">
            <v>0</v>
          </cell>
          <cell r="S121">
            <v>0.14899999999999999</v>
          </cell>
          <cell r="T121">
            <v>0.85099999999999998</v>
          </cell>
          <cell r="U121">
            <v>0</v>
          </cell>
        </row>
        <row r="122">
          <cell r="Q122">
            <v>420</v>
          </cell>
          <cell r="R122">
            <v>0</v>
          </cell>
          <cell r="S122">
            <v>0.14899999999999999</v>
          </cell>
          <cell r="T122">
            <v>0.85099999999999998</v>
          </cell>
          <cell r="U122">
            <v>0</v>
          </cell>
        </row>
        <row r="123">
          <cell r="Q123">
            <v>419</v>
          </cell>
          <cell r="R123">
            <v>0</v>
          </cell>
          <cell r="S123">
            <v>0.14899999999999999</v>
          </cell>
          <cell r="T123">
            <v>0.85099999999999998</v>
          </cell>
          <cell r="U123">
            <v>0</v>
          </cell>
        </row>
        <row r="124">
          <cell r="Q124">
            <v>418</v>
          </cell>
          <cell r="R124">
            <v>0</v>
          </cell>
          <cell r="S124">
            <v>0.14899999999999999</v>
          </cell>
          <cell r="T124">
            <v>0.85099999999999998</v>
          </cell>
          <cell r="U124">
            <v>0</v>
          </cell>
        </row>
        <row r="125">
          <cell r="Q125">
            <v>417</v>
          </cell>
          <cell r="R125">
            <v>0</v>
          </cell>
          <cell r="S125">
            <v>0.14899999999999999</v>
          </cell>
          <cell r="T125">
            <v>0.85099999999999998</v>
          </cell>
          <cell r="U125">
            <v>0</v>
          </cell>
        </row>
        <row r="126">
          <cell r="Q126">
            <v>416</v>
          </cell>
          <cell r="R126">
            <v>0</v>
          </cell>
          <cell r="S126">
            <v>0.14899999999999999</v>
          </cell>
          <cell r="T126">
            <v>0.85099999999999998</v>
          </cell>
          <cell r="U126">
            <v>0</v>
          </cell>
        </row>
        <row r="127">
          <cell r="Q127">
            <v>415</v>
          </cell>
          <cell r="R127">
            <v>0</v>
          </cell>
          <cell r="S127">
            <v>0.14899999999999999</v>
          </cell>
          <cell r="T127">
            <v>0.85099999999999998</v>
          </cell>
          <cell r="U127">
            <v>0</v>
          </cell>
        </row>
        <row r="128">
          <cell r="Q128">
            <v>414</v>
          </cell>
          <cell r="R128">
            <v>0</v>
          </cell>
          <cell r="S128">
            <v>0.14899999999999999</v>
          </cell>
          <cell r="T128">
            <v>0.85099999999999998</v>
          </cell>
          <cell r="U128">
            <v>0</v>
          </cell>
        </row>
        <row r="129">
          <cell r="Q129">
            <v>413</v>
          </cell>
          <cell r="R129">
            <v>0</v>
          </cell>
          <cell r="S129">
            <v>0.14899999999999999</v>
          </cell>
          <cell r="T129">
            <v>0.85099999999999998</v>
          </cell>
          <cell r="U129">
            <v>0</v>
          </cell>
        </row>
        <row r="130">
          <cell r="Q130">
            <v>412</v>
          </cell>
          <cell r="R130">
            <v>0</v>
          </cell>
          <cell r="S130">
            <v>0.14899999999999999</v>
          </cell>
          <cell r="T130">
            <v>0.85099999999999998</v>
          </cell>
          <cell r="U130">
            <v>0</v>
          </cell>
        </row>
        <row r="131">
          <cell r="Q131">
            <v>411</v>
          </cell>
          <cell r="R131">
            <v>0</v>
          </cell>
          <cell r="S131">
            <v>0.14899999999999999</v>
          </cell>
          <cell r="T131">
            <v>0.85099999999999998</v>
          </cell>
          <cell r="U131">
            <v>0</v>
          </cell>
        </row>
        <row r="132">
          <cell r="Q132">
            <v>410</v>
          </cell>
          <cell r="R132">
            <v>0</v>
          </cell>
          <cell r="S132">
            <v>0.14899999999999999</v>
          </cell>
          <cell r="T132">
            <v>0.85099999999999998</v>
          </cell>
          <cell r="U132">
            <v>0</v>
          </cell>
        </row>
        <row r="133">
          <cell r="Q133">
            <v>409</v>
          </cell>
          <cell r="R133">
            <v>0</v>
          </cell>
          <cell r="S133">
            <v>0.14899999999999999</v>
          </cell>
          <cell r="T133">
            <v>0.85099999999999998</v>
          </cell>
          <cell r="U133">
            <v>0</v>
          </cell>
        </row>
        <row r="134">
          <cell r="Q134">
            <v>408</v>
          </cell>
          <cell r="R134">
            <v>0</v>
          </cell>
          <cell r="S134">
            <v>0.14899999999999999</v>
          </cell>
          <cell r="T134">
            <v>0.85099999999999998</v>
          </cell>
          <cell r="U134">
            <v>0</v>
          </cell>
        </row>
        <row r="135">
          <cell r="Q135">
            <v>407</v>
          </cell>
          <cell r="R135">
            <v>0</v>
          </cell>
          <cell r="S135">
            <v>0.14899999999999999</v>
          </cell>
          <cell r="T135">
            <v>0.85099999999999998</v>
          </cell>
          <cell r="U135">
            <v>0</v>
          </cell>
        </row>
        <row r="136">
          <cell r="Q136">
            <v>406</v>
          </cell>
          <cell r="R136">
            <v>0</v>
          </cell>
          <cell r="S136">
            <v>0.14899999999999999</v>
          </cell>
          <cell r="T136">
            <v>0.85099999999999998</v>
          </cell>
          <cell r="U136">
            <v>0</v>
          </cell>
        </row>
        <row r="137">
          <cell r="Q137">
            <v>405</v>
          </cell>
          <cell r="R137">
            <v>0</v>
          </cell>
          <cell r="S137">
            <v>0.14899999999999999</v>
          </cell>
          <cell r="T137">
            <v>0.85099999999999998</v>
          </cell>
          <cell r="U137">
            <v>0</v>
          </cell>
        </row>
        <row r="138">
          <cell r="Q138">
            <v>404</v>
          </cell>
          <cell r="R138">
            <v>0</v>
          </cell>
          <cell r="S138">
            <v>0.14899999999999999</v>
          </cell>
          <cell r="T138">
            <v>0.85099999999999998</v>
          </cell>
          <cell r="U138">
            <v>0</v>
          </cell>
        </row>
        <row r="139">
          <cell r="Q139">
            <v>403</v>
          </cell>
          <cell r="R139">
            <v>0</v>
          </cell>
          <cell r="S139">
            <v>0.14899999999999999</v>
          </cell>
          <cell r="T139">
            <v>0.85099999999999998</v>
          </cell>
          <cell r="U139">
            <v>0</v>
          </cell>
        </row>
        <row r="140">
          <cell r="Q140">
            <v>402</v>
          </cell>
          <cell r="R140">
            <v>0</v>
          </cell>
          <cell r="S140">
            <v>0.14899999999999999</v>
          </cell>
          <cell r="T140">
            <v>0.85099999999999998</v>
          </cell>
          <cell r="U140">
            <v>0</v>
          </cell>
        </row>
        <row r="141">
          <cell r="Q141">
            <v>401</v>
          </cell>
          <cell r="R141">
            <v>0</v>
          </cell>
          <cell r="S141">
            <v>0.14899999999999999</v>
          </cell>
          <cell r="T141">
            <v>0.85099999999999998</v>
          </cell>
          <cell r="U141">
            <v>0</v>
          </cell>
        </row>
        <row r="142">
          <cell r="Q142">
            <v>400</v>
          </cell>
          <cell r="R142">
            <v>0</v>
          </cell>
          <cell r="S142">
            <v>0.14899999999999999</v>
          </cell>
          <cell r="T142">
            <v>0.85099999999999998</v>
          </cell>
          <cell r="U142">
            <v>0</v>
          </cell>
        </row>
        <row r="143">
          <cell r="Q143">
            <v>399</v>
          </cell>
          <cell r="R143">
            <v>0</v>
          </cell>
          <cell r="S143">
            <v>0.14899999999999999</v>
          </cell>
          <cell r="T143">
            <v>0.85099999999999998</v>
          </cell>
          <cell r="U143">
            <v>0</v>
          </cell>
        </row>
        <row r="144">
          <cell r="Q144">
            <v>398</v>
          </cell>
          <cell r="R144">
            <v>0</v>
          </cell>
          <cell r="S144">
            <v>0.14899999999999999</v>
          </cell>
          <cell r="T144">
            <v>0.85099999999999998</v>
          </cell>
          <cell r="U144">
            <v>0</v>
          </cell>
        </row>
        <row r="145">
          <cell r="Q145">
            <v>397</v>
          </cell>
          <cell r="R145">
            <v>0</v>
          </cell>
          <cell r="S145">
            <v>0.14899999999999999</v>
          </cell>
          <cell r="T145">
            <v>0.85099999999999998</v>
          </cell>
          <cell r="U145">
            <v>0</v>
          </cell>
        </row>
        <row r="146">
          <cell r="Q146">
            <v>396</v>
          </cell>
          <cell r="R146">
            <v>0</v>
          </cell>
          <cell r="S146">
            <v>0.14899999999999999</v>
          </cell>
          <cell r="T146">
            <v>0.85099999999999998</v>
          </cell>
          <cell r="U146">
            <v>0</v>
          </cell>
        </row>
        <row r="147">
          <cell r="Q147">
            <v>395</v>
          </cell>
          <cell r="R147">
            <v>0</v>
          </cell>
          <cell r="S147">
            <v>0.14899999999999999</v>
          </cell>
          <cell r="T147">
            <v>0.85099999999999998</v>
          </cell>
          <cell r="U147">
            <v>0</v>
          </cell>
        </row>
        <row r="148">
          <cell r="Q148">
            <v>394</v>
          </cell>
          <cell r="R148">
            <v>0</v>
          </cell>
          <cell r="S148">
            <v>0.14899999999999999</v>
          </cell>
          <cell r="T148">
            <v>0.85099999999999998</v>
          </cell>
          <cell r="U148">
            <v>0</v>
          </cell>
        </row>
        <row r="149">
          <cell r="Q149">
            <v>393</v>
          </cell>
          <cell r="R149">
            <v>0</v>
          </cell>
          <cell r="S149">
            <v>0.14899999999999999</v>
          </cell>
          <cell r="T149">
            <v>0.85099999999999998</v>
          </cell>
          <cell r="U149">
            <v>0</v>
          </cell>
        </row>
        <row r="150">
          <cell r="Q150">
            <v>392</v>
          </cell>
          <cell r="R150">
            <v>0</v>
          </cell>
          <cell r="S150">
            <v>0.14899999999999999</v>
          </cell>
          <cell r="T150">
            <v>0.85099999999999998</v>
          </cell>
          <cell r="U150">
            <v>0</v>
          </cell>
        </row>
        <row r="151">
          <cell r="Q151">
            <v>391</v>
          </cell>
          <cell r="R151">
            <v>0</v>
          </cell>
          <cell r="S151">
            <v>0.14899999999999999</v>
          </cell>
          <cell r="T151">
            <v>0.85099999999999998</v>
          </cell>
          <cell r="U151">
            <v>0</v>
          </cell>
        </row>
        <row r="152">
          <cell r="Q152">
            <v>390</v>
          </cell>
          <cell r="R152">
            <v>0</v>
          </cell>
          <cell r="S152">
            <v>0.14899999999999999</v>
          </cell>
          <cell r="T152">
            <v>0.85099999999999998</v>
          </cell>
          <cell r="U152">
            <v>0</v>
          </cell>
        </row>
        <row r="153">
          <cell r="Q153">
            <v>389</v>
          </cell>
          <cell r="R153">
            <v>0</v>
          </cell>
          <cell r="S153">
            <v>0.14899999999999999</v>
          </cell>
          <cell r="T153">
            <v>0.85099999999999998</v>
          </cell>
          <cell r="U153">
            <v>0</v>
          </cell>
        </row>
        <row r="154">
          <cell r="Q154">
            <v>388</v>
          </cell>
          <cell r="R154">
            <v>0</v>
          </cell>
          <cell r="S154">
            <v>0.14899999999999999</v>
          </cell>
          <cell r="T154">
            <v>0.85099999999999998</v>
          </cell>
          <cell r="U154">
            <v>0</v>
          </cell>
        </row>
        <row r="155">
          <cell r="Q155">
            <v>387</v>
          </cell>
          <cell r="R155">
            <v>0</v>
          </cell>
          <cell r="S155">
            <v>0.14899999999999999</v>
          </cell>
          <cell r="T155">
            <v>0.85099999999999998</v>
          </cell>
          <cell r="U155">
            <v>0</v>
          </cell>
        </row>
        <row r="156">
          <cell r="Q156">
            <v>386</v>
          </cell>
          <cell r="R156">
            <v>0</v>
          </cell>
          <cell r="S156">
            <v>0.14899999999999999</v>
          </cell>
          <cell r="T156">
            <v>0.85099999999999998</v>
          </cell>
          <cell r="U156">
            <v>0</v>
          </cell>
        </row>
        <row r="157">
          <cell r="Q157">
            <v>385</v>
          </cell>
          <cell r="R157">
            <v>0</v>
          </cell>
          <cell r="S157">
            <v>0.14899999999999999</v>
          </cell>
          <cell r="T157">
            <v>0.85099999999999998</v>
          </cell>
          <cell r="U157">
            <v>0</v>
          </cell>
        </row>
        <row r="158">
          <cell r="Q158">
            <v>384</v>
          </cell>
          <cell r="R158">
            <v>0</v>
          </cell>
          <cell r="S158">
            <v>0.14899999999999999</v>
          </cell>
          <cell r="T158">
            <v>0.85099999999999998</v>
          </cell>
          <cell r="U158">
            <v>0</v>
          </cell>
        </row>
        <row r="159">
          <cell r="Q159">
            <v>383</v>
          </cell>
          <cell r="R159">
            <v>0</v>
          </cell>
          <cell r="S159">
            <v>0.14899999999999999</v>
          </cell>
          <cell r="T159">
            <v>0.85099999999999998</v>
          </cell>
          <cell r="U159">
            <v>0</v>
          </cell>
        </row>
        <row r="160">
          <cell r="Q160">
            <v>382</v>
          </cell>
          <cell r="R160">
            <v>0</v>
          </cell>
          <cell r="S160">
            <v>0.14899999999999999</v>
          </cell>
          <cell r="T160">
            <v>0.85099999999999998</v>
          </cell>
          <cell r="U160">
            <v>0</v>
          </cell>
        </row>
        <row r="161">
          <cell r="Q161">
            <v>381</v>
          </cell>
          <cell r="R161">
            <v>0</v>
          </cell>
          <cell r="S161">
            <v>0.14899999999999999</v>
          </cell>
          <cell r="T161">
            <v>0.85099999999999998</v>
          </cell>
          <cell r="U161">
            <v>0</v>
          </cell>
        </row>
        <row r="162">
          <cell r="Q162">
            <v>380</v>
          </cell>
          <cell r="R162">
            <v>0</v>
          </cell>
          <cell r="S162">
            <v>0.14899999999999999</v>
          </cell>
          <cell r="T162">
            <v>0.85099999999999998</v>
          </cell>
          <cell r="U162">
            <v>0</v>
          </cell>
        </row>
        <row r="163">
          <cell r="Q163">
            <v>379</v>
          </cell>
          <cell r="R163">
            <v>0</v>
          </cell>
          <cell r="S163">
            <v>0.14899999999999999</v>
          </cell>
          <cell r="T163">
            <v>0.85099999999999998</v>
          </cell>
          <cell r="U163">
            <v>0</v>
          </cell>
        </row>
        <row r="164">
          <cell r="Q164">
            <v>378</v>
          </cell>
          <cell r="R164">
            <v>0</v>
          </cell>
          <cell r="S164">
            <v>0.14899999999999999</v>
          </cell>
          <cell r="T164">
            <v>0.85099999999999998</v>
          </cell>
          <cell r="U164">
            <v>0</v>
          </cell>
        </row>
        <row r="165">
          <cell r="Q165">
            <v>377</v>
          </cell>
          <cell r="R165">
            <v>0</v>
          </cell>
          <cell r="S165">
            <v>0.14899999999999999</v>
          </cell>
          <cell r="T165">
            <v>0.85099999999999998</v>
          </cell>
          <cell r="U165">
            <v>0</v>
          </cell>
        </row>
        <row r="166">
          <cell r="Q166">
            <v>376</v>
          </cell>
          <cell r="R166">
            <v>0</v>
          </cell>
          <cell r="S166">
            <v>0.14899999999999999</v>
          </cell>
          <cell r="T166">
            <v>0.85099999999999998</v>
          </cell>
          <cell r="U166">
            <v>0</v>
          </cell>
        </row>
        <row r="167">
          <cell r="Q167">
            <v>375</v>
          </cell>
          <cell r="R167">
            <v>0</v>
          </cell>
          <cell r="S167">
            <v>0.14899999999999999</v>
          </cell>
          <cell r="T167">
            <v>0.85099999999999998</v>
          </cell>
          <cell r="U167">
            <v>0</v>
          </cell>
        </row>
        <row r="168">
          <cell r="Q168">
            <v>374</v>
          </cell>
          <cell r="R168">
            <v>0</v>
          </cell>
          <cell r="S168">
            <v>0.14899999999999999</v>
          </cell>
          <cell r="T168">
            <v>0.85099999999999998</v>
          </cell>
          <cell r="U168">
            <v>0</v>
          </cell>
        </row>
        <row r="169">
          <cell r="Q169">
            <v>373</v>
          </cell>
          <cell r="R169">
            <v>0</v>
          </cell>
          <cell r="S169">
            <v>0.14899999999999999</v>
          </cell>
          <cell r="T169">
            <v>0.85099999999999998</v>
          </cell>
          <cell r="U169">
            <v>0</v>
          </cell>
        </row>
        <row r="170">
          <cell r="Q170">
            <v>372</v>
          </cell>
          <cell r="R170">
            <v>0</v>
          </cell>
          <cell r="S170">
            <v>0.14899999999999999</v>
          </cell>
          <cell r="T170">
            <v>0.85099999999999998</v>
          </cell>
          <cell r="U170">
            <v>0</v>
          </cell>
        </row>
        <row r="171">
          <cell r="Q171">
            <v>371</v>
          </cell>
          <cell r="R171">
            <v>0</v>
          </cell>
          <cell r="S171">
            <v>0.14899999999999999</v>
          </cell>
          <cell r="T171">
            <v>0.85099999999999998</v>
          </cell>
          <cell r="U171">
            <v>0</v>
          </cell>
        </row>
        <row r="172">
          <cell r="Q172">
            <v>370</v>
          </cell>
          <cell r="R172">
            <v>0</v>
          </cell>
          <cell r="S172">
            <v>0.14899999999999999</v>
          </cell>
          <cell r="T172">
            <v>0.85099999999999998</v>
          </cell>
          <cell r="U172">
            <v>0</v>
          </cell>
        </row>
        <row r="173">
          <cell r="Q173">
            <v>369</v>
          </cell>
          <cell r="R173">
            <v>0</v>
          </cell>
          <cell r="S173">
            <v>0.14899999999999999</v>
          </cell>
          <cell r="T173">
            <v>0.85099999999999998</v>
          </cell>
          <cell r="U173">
            <v>0</v>
          </cell>
        </row>
        <row r="174">
          <cell r="Q174">
            <v>368</v>
          </cell>
          <cell r="R174">
            <v>0</v>
          </cell>
          <cell r="S174">
            <v>0.14899999999999999</v>
          </cell>
          <cell r="T174">
            <v>0.85099999999999998</v>
          </cell>
          <cell r="U174">
            <v>0</v>
          </cell>
        </row>
        <row r="175">
          <cell r="Q175">
            <v>367</v>
          </cell>
          <cell r="R175">
            <v>0</v>
          </cell>
          <cell r="S175">
            <v>0.14899999999999999</v>
          </cell>
          <cell r="T175">
            <v>0.85099999999999998</v>
          </cell>
          <cell r="U175">
            <v>0</v>
          </cell>
        </row>
        <row r="176">
          <cell r="Q176">
            <v>366</v>
          </cell>
          <cell r="R176">
            <v>0</v>
          </cell>
          <cell r="S176">
            <v>0.14899999999999999</v>
          </cell>
          <cell r="T176">
            <v>0.85099999999999998</v>
          </cell>
          <cell r="U176">
            <v>0</v>
          </cell>
        </row>
        <row r="177">
          <cell r="Q177">
            <v>365</v>
          </cell>
          <cell r="R177">
            <v>0</v>
          </cell>
          <cell r="S177">
            <v>0.14899999999999999</v>
          </cell>
          <cell r="T177">
            <v>0.85099999999999998</v>
          </cell>
          <cell r="U177">
            <v>0</v>
          </cell>
        </row>
        <row r="178">
          <cell r="Q178">
            <v>364</v>
          </cell>
          <cell r="R178">
            <v>0</v>
          </cell>
          <cell r="S178">
            <v>0.14899999999999999</v>
          </cell>
          <cell r="T178">
            <v>0.85099999999999998</v>
          </cell>
          <cell r="U178">
            <v>0</v>
          </cell>
        </row>
        <row r="179">
          <cell r="Q179">
            <v>363</v>
          </cell>
          <cell r="R179">
            <v>0</v>
          </cell>
          <cell r="S179">
            <v>0.14899999999999999</v>
          </cell>
          <cell r="T179">
            <v>0.85099999999999998</v>
          </cell>
          <cell r="U179">
            <v>0</v>
          </cell>
        </row>
        <row r="180">
          <cell r="Q180">
            <v>362</v>
          </cell>
          <cell r="R180">
            <v>0</v>
          </cell>
          <cell r="S180">
            <v>0.14899999999999999</v>
          </cell>
          <cell r="T180">
            <v>0.85099999999999998</v>
          </cell>
          <cell r="U180">
            <v>0</v>
          </cell>
        </row>
        <row r="181">
          <cell r="Q181">
            <v>361</v>
          </cell>
          <cell r="R181">
            <v>0</v>
          </cell>
          <cell r="S181">
            <v>0.14899999999999999</v>
          </cell>
          <cell r="T181">
            <v>0.85099999999999998</v>
          </cell>
          <cell r="U181">
            <v>0</v>
          </cell>
        </row>
        <row r="182">
          <cell r="Q182">
            <v>360</v>
          </cell>
          <cell r="R182">
            <v>0</v>
          </cell>
          <cell r="S182">
            <v>0.14899999999999999</v>
          </cell>
          <cell r="T182">
            <v>0.85099999999999998</v>
          </cell>
          <cell r="U182">
            <v>0</v>
          </cell>
        </row>
        <row r="183">
          <cell r="Q183">
            <v>359</v>
          </cell>
          <cell r="R183">
            <v>0</v>
          </cell>
          <cell r="S183">
            <v>0.14899999999999999</v>
          </cell>
          <cell r="T183">
            <v>0.85099999999999998</v>
          </cell>
          <cell r="U183">
            <v>0</v>
          </cell>
        </row>
        <row r="184">
          <cell r="Q184">
            <v>358</v>
          </cell>
          <cell r="R184">
            <v>0</v>
          </cell>
          <cell r="S184">
            <v>0.14899999999999999</v>
          </cell>
          <cell r="T184">
            <v>0.85099999999999998</v>
          </cell>
          <cell r="U184">
            <v>0</v>
          </cell>
        </row>
        <row r="185">
          <cell r="Q185">
            <v>357</v>
          </cell>
          <cell r="R185">
            <v>0</v>
          </cell>
          <cell r="S185">
            <v>0.14899999999999999</v>
          </cell>
          <cell r="T185">
            <v>0.85099999999999998</v>
          </cell>
          <cell r="U185">
            <v>0</v>
          </cell>
        </row>
        <row r="186">
          <cell r="Q186">
            <v>356</v>
          </cell>
          <cell r="R186">
            <v>0</v>
          </cell>
          <cell r="S186">
            <v>0.14899999999999999</v>
          </cell>
          <cell r="T186">
            <v>0.85099999999999998</v>
          </cell>
          <cell r="U186">
            <v>0</v>
          </cell>
        </row>
        <row r="187">
          <cell r="Q187">
            <v>355</v>
          </cell>
          <cell r="R187">
            <v>0</v>
          </cell>
          <cell r="S187">
            <v>0.14899999999999999</v>
          </cell>
          <cell r="T187">
            <v>0.85099999999999998</v>
          </cell>
          <cell r="U187">
            <v>0</v>
          </cell>
        </row>
        <row r="188">
          <cell r="Q188">
            <v>354</v>
          </cell>
          <cell r="R188">
            <v>0</v>
          </cell>
          <cell r="S188">
            <v>0.14899999999999999</v>
          </cell>
          <cell r="T188">
            <v>0.85099999999999998</v>
          </cell>
          <cell r="U188">
            <v>0</v>
          </cell>
        </row>
        <row r="189">
          <cell r="Q189">
            <v>353</v>
          </cell>
          <cell r="R189">
            <v>0</v>
          </cell>
          <cell r="S189">
            <v>0.14899999999999999</v>
          </cell>
          <cell r="T189">
            <v>0.85099999999999998</v>
          </cell>
          <cell r="U189">
            <v>0</v>
          </cell>
        </row>
        <row r="190">
          <cell r="Q190">
            <v>352</v>
          </cell>
          <cell r="R190">
            <v>0</v>
          </cell>
          <cell r="S190">
            <v>0.14899999999999999</v>
          </cell>
          <cell r="T190">
            <v>0.85099999999999998</v>
          </cell>
          <cell r="U190">
            <v>0</v>
          </cell>
        </row>
        <row r="191">
          <cell r="Q191">
            <v>351</v>
          </cell>
          <cell r="R191">
            <v>0</v>
          </cell>
          <cell r="S191">
            <v>0.14899999999999999</v>
          </cell>
          <cell r="T191">
            <v>0.85099999999999998</v>
          </cell>
          <cell r="U191">
            <v>0</v>
          </cell>
        </row>
        <row r="192">
          <cell r="Q192">
            <v>350</v>
          </cell>
          <cell r="R192">
            <v>0</v>
          </cell>
          <cell r="S192">
            <v>0.14899999999999999</v>
          </cell>
          <cell r="T192">
            <v>0.85099999999999998</v>
          </cell>
          <cell r="U192">
            <v>0</v>
          </cell>
        </row>
        <row r="193">
          <cell r="Q193">
            <v>349</v>
          </cell>
          <cell r="R193">
            <v>0</v>
          </cell>
          <cell r="S193">
            <v>0.14899999999999999</v>
          </cell>
          <cell r="T193">
            <v>0.85099999999999998</v>
          </cell>
          <cell r="U193">
            <v>0</v>
          </cell>
        </row>
        <row r="194">
          <cell r="Q194">
            <v>348</v>
          </cell>
          <cell r="R194">
            <v>0</v>
          </cell>
          <cell r="S194">
            <v>0.14899999999999999</v>
          </cell>
          <cell r="T194">
            <v>0.85099999999999998</v>
          </cell>
          <cell r="U194">
            <v>0</v>
          </cell>
        </row>
        <row r="195">
          <cell r="Q195">
            <v>347</v>
          </cell>
          <cell r="R195">
            <v>0</v>
          </cell>
          <cell r="S195">
            <v>0.14899999999999999</v>
          </cell>
          <cell r="T195">
            <v>0.85099999999999998</v>
          </cell>
          <cell r="U195">
            <v>0</v>
          </cell>
        </row>
        <row r="196">
          <cell r="Q196">
            <v>346</v>
          </cell>
          <cell r="R196">
            <v>0</v>
          </cell>
          <cell r="S196">
            <v>0.14899999999999999</v>
          </cell>
          <cell r="T196">
            <v>0.85099999999999998</v>
          </cell>
          <cell r="U196">
            <v>0</v>
          </cell>
        </row>
        <row r="197">
          <cell r="Q197">
            <v>345</v>
          </cell>
          <cell r="R197">
            <v>0</v>
          </cell>
          <cell r="S197">
            <v>0.14899999999999999</v>
          </cell>
          <cell r="T197">
            <v>0.85099999999999998</v>
          </cell>
          <cell r="U197">
            <v>0</v>
          </cell>
        </row>
        <row r="198">
          <cell r="Q198">
            <v>344</v>
          </cell>
          <cell r="R198">
            <v>0</v>
          </cell>
          <cell r="S198">
            <v>0.14899999999999999</v>
          </cell>
          <cell r="T198">
            <v>0.85099999999999998</v>
          </cell>
          <cell r="U198">
            <v>0</v>
          </cell>
        </row>
        <row r="199">
          <cell r="Q199">
            <v>343</v>
          </cell>
          <cell r="R199">
            <v>0</v>
          </cell>
          <cell r="S199">
            <v>0.14899999999999999</v>
          </cell>
          <cell r="T199">
            <v>0.85099999999999998</v>
          </cell>
          <cell r="U199">
            <v>0</v>
          </cell>
        </row>
        <row r="200">
          <cell r="Q200">
            <v>342</v>
          </cell>
          <cell r="R200">
            <v>0</v>
          </cell>
          <cell r="S200">
            <v>0.14899999999999999</v>
          </cell>
          <cell r="T200">
            <v>0.85099999999999998</v>
          </cell>
          <cell r="U200">
            <v>0</v>
          </cell>
        </row>
        <row r="201">
          <cell r="Q201">
            <v>341</v>
          </cell>
          <cell r="R201">
            <v>0</v>
          </cell>
          <cell r="S201">
            <v>0.14899999999999999</v>
          </cell>
          <cell r="T201">
            <v>0.85099999999999998</v>
          </cell>
          <cell r="U201">
            <v>0</v>
          </cell>
        </row>
        <row r="202">
          <cell r="Q202">
            <v>340</v>
          </cell>
          <cell r="R202">
            <v>0</v>
          </cell>
          <cell r="S202">
            <v>0.14899999999999999</v>
          </cell>
          <cell r="T202">
            <v>0.85099999999999998</v>
          </cell>
          <cell r="U202">
            <v>0</v>
          </cell>
        </row>
        <row r="203">
          <cell r="Q203">
            <v>339</v>
          </cell>
          <cell r="R203">
            <v>0</v>
          </cell>
          <cell r="S203">
            <v>0.14899999999999999</v>
          </cell>
          <cell r="T203">
            <v>0.85099999999999998</v>
          </cell>
          <cell r="U203">
            <v>0</v>
          </cell>
        </row>
        <row r="204">
          <cell r="Q204">
            <v>338</v>
          </cell>
          <cell r="R204">
            <v>0</v>
          </cell>
          <cell r="S204">
            <v>0.14899999999999999</v>
          </cell>
          <cell r="T204">
            <v>0.85099999999999998</v>
          </cell>
          <cell r="U204">
            <v>0</v>
          </cell>
        </row>
        <row r="205">
          <cell r="Q205">
            <v>337</v>
          </cell>
          <cell r="R205">
            <v>0</v>
          </cell>
          <cell r="S205">
            <v>0.14899999999999999</v>
          </cell>
          <cell r="T205">
            <v>0.85099999999999998</v>
          </cell>
          <cell r="U205">
            <v>0</v>
          </cell>
        </row>
        <row r="206">
          <cell r="Q206">
            <v>336</v>
          </cell>
          <cell r="R206">
            <v>0</v>
          </cell>
          <cell r="S206">
            <v>0.14899999999999999</v>
          </cell>
          <cell r="T206">
            <v>0.85099999999999998</v>
          </cell>
          <cell r="U206">
            <v>0</v>
          </cell>
        </row>
        <row r="207">
          <cell r="Q207">
            <v>335</v>
          </cell>
          <cell r="R207">
            <v>0</v>
          </cell>
          <cell r="S207">
            <v>0.14899999999999999</v>
          </cell>
          <cell r="T207">
            <v>0.85099999999999998</v>
          </cell>
          <cell r="U207">
            <v>0</v>
          </cell>
        </row>
        <row r="208">
          <cell r="Q208">
            <v>334</v>
          </cell>
          <cell r="R208">
            <v>0</v>
          </cell>
          <cell r="S208">
            <v>0.14899999999999999</v>
          </cell>
          <cell r="T208">
            <v>0.85099999999999998</v>
          </cell>
          <cell r="U208">
            <v>0</v>
          </cell>
        </row>
        <row r="209">
          <cell r="Q209">
            <v>333</v>
          </cell>
          <cell r="R209">
            <v>0</v>
          </cell>
          <cell r="S209">
            <v>0.14899999999999999</v>
          </cell>
          <cell r="T209">
            <v>0.85099999999999998</v>
          </cell>
          <cell r="U209">
            <v>0</v>
          </cell>
        </row>
        <row r="210">
          <cell r="Q210">
            <v>332</v>
          </cell>
          <cell r="R210">
            <v>0</v>
          </cell>
          <cell r="S210">
            <v>0.14899999999999999</v>
          </cell>
          <cell r="T210">
            <v>0.85099999999999998</v>
          </cell>
          <cell r="U210">
            <v>0</v>
          </cell>
        </row>
        <row r="211">
          <cell r="Q211">
            <v>331</v>
          </cell>
          <cell r="R211">
            <v>0</v>
          </cell>
          <cell r="S211">
            <v>0.14899999999999999</v>
          </cell>
          <cell r="T211">
            <v>0.85099999999999998</v>
          </cell>
          <cell r="U211">
            <v>0</v>
          </cell>
        </row>
        <row r="212">
          <cell r="Q212">
            <v>330</v>
          </cell>
          <cell r="R212">
            <v>0</v>
          </cell>
          <cell r="S212">
            <v>0.14899999999999999</v>
          </cell>
          <cell r="T212">
            <v>0.85099999999999998</v>
          </cell>
          <cell r="U212">
            <v>0</v>
          </cell>
        </row>
        <row r="213">
          <cell r="Q213">
            <v>329</v>
          </cell>
          <cell r="R213">
            <v>0</v>
          </cell>
          <cell r="S213">
            <v>0.14899999999999999</v>
          </cell>
          <cell r="T213">
            <v>0.85099999999999998</v>
          </cell>
          <cell r="U213">
            <v>0</v>
          </cell>
        </row>
        <row r="214">
          <cell r="Q214">
            <v>328</v>
          </cell>
          <cell r="R214">
            <v>0</v>
          </cell>
          <cell r="S214">
            <v>0.14899999999999999</v>
          </cell>
          <cell r="T214">
            <v>0.85099999999999998</v>
          </cell>
          <cell r="U214">
            <v>0</v>
          </cell>
        </row>
        <row r="215">
          <cell r="Q215">
            <v>327</v>
          </cell>
          <cell r="R215">
            <v>0</v>
          </cell>
          <cell r="S215">
            <v>0.14899999999999999</v>
          </cell>
          <cell r="T215">
            <v>0.85099999999999998</v>
          </cell>
          <cell r="U215">
            <v>0</v>
          </cell>
        </row>
        <row r="216">
          <cell r="Q216">
            <v>326</v>
          </cell>
          <cell r="R216">
            <v>0</v>
          </cell>
          <cell r="S216">
            <v>0.14899999999999999</v>
          </cell>
          <cell r="T216">
            <v>0.85099999999999998</v>
          </cell>
          <cell r="U216">
            <v>0</v>
          </cell>
        </row>
        <row r="217">
          <cell r="Q217">
            <v>325</v>
          </cell>
          <cell r="R217">
            <v>0</v>
          </cell>
          <cell r="S217">
            <v>0.14899999999999999</v>
          </cell>
          <cell r="T217">
            <v>0.85099999999999998</v>
          </cell>
          <cell r="U217">
            <v>0</v>
          </cell>
        </row>
        <row r="218">
          <cell r="Q218">
            <v>324</v>
          </cell>
          <cell r="R218">
            <v>0</v>
          </cell>
          <cell r="S218">
            <v>0.14899999999999999</v>
          </cell>
          <cell r="T218">
            <v>0.85099999999999998</v>
          </cell>
          <cell r="U218">
            <v>0</v>
          </cell>
        </row>
        <row r="219">
          <cell r="Q219">
            <v>323</v>
          </cell>
          <cell r="R219">
            <v>0</v>
          </cell>
          <cell r="S219">
            <v>0.14899999999999999</v>
          </cell>
          <cell r="T219">
            <v>0.85099999999999998</v>
          </cell>
          <cell r="U219">
            <v>0</v>
          </cell>
        </row>
        <row r="220">
          <cell r="Q220">
            <v>322</v>
          </cell>
          <cell r="R220">
            <v>0</v>
          </cell>
          <cell r="S220">
            <v>0.14899999999999999</v>
          </cell>
          <cell r="T220">
            <v>0.85099999999999998</v>
          </cell>
          <cell r="U220">
            <v>0</v>
          </cell>
        </row>
        <row r="221">
          <cell r="Q221">
            <v>321</v>
          </cell>
          <cell r="R221">
            <v>0</v>
          </cell>
          <cell r="S221">
            <v>0.14899999999999999</v>
          </cell>
          <cell r="T221">
            <v>0.85099999999999998</v>
          </cell>
          <cell r="U221">
            <v>0</v>
          </cell>
        </row>
        <row r="222">
          <cell r="Q222">
            <v>320</v>
          </cell>
          <cell r="R222">
            <v>0</v>
          </cell>
          <cell r="S222">
            <v>0.14899999999999999</v>
          </cell>
          <cell r="T222">
            <v>0.85099999999999998</v>
          </cell>
          <cell r="U222">
            <v>0</v>
          </cell>
        </row>
        <row r="223">
          <cell r="Q223">
            <v>319</v>
          </cell>
          <cell r="R223">
            <v>0</v>
          </cell>
          <cell r="S223">
            <v>0.14899999999999999</v>
          </cell>
          <cell r="T223">
            <v>0.85099999999999998</v>
          </cell>
          <cell r="U223">
            <v>0</v>
          </cell>
        </row>
        <row r="224">
          <cell r="Q224">
            <v>318</v>
          </cell>
          <cell r="R224">
            <v>0</v>
          </cell>
          <cell r="S224">
            <v>0.14899999999999999</v>
          </cell>
          <cell r="T224">
            <v>0.85099999999999998</v>
          </cell>
          <cell r="U224">
            <v>0</v>
          </cell>
        </row>
        <row r="225">
          <cell r="Q225">
            <v>317</v>
          </cell>
          <cell r="R225">
            <v>0</v>
          </cell>
          <cell r="S225">
            <v>0.14899999999999999</v>
          </cell>
          <cell r="T225">
            <v>0.85099999999999998</v>
          </cell>
          <cell r="U225">
            <v>0</v>
          </cell>
        </row>
        <row r="226">
          <cell r="Q226">
            <v>316</v>
          </cell>
          <cell r="R226">
            <v>0</v>
          </cell>
          <cell r="S226">
            <v>0.14899999999999999</v>
          </cell>
          <cell r="T226">
            <v>0.85099999999999998</v>
          </cell>
          <cell r="U226">
            <v>0</v>
          </cell>
        </row>
        <row r="227">
          <cell r="Q227">
            <v>315</v>
          </cell>
          <cell r="R227">
            <v>0</v>
          </cell>
          <cell r="S227">
            <v>0.14899999999999999</v>
          </cell>
          <cell r="T227">
            <v>0.85099999999999998</v>
          </cell>
          <cell r="U227">
            <v>0</v>
          </cell>
        </row>
        <row r="228">
          <cell r="Q228">
            <v>314</v>
          </cell>
          <cell r="R228">
            <v>0</v>
          </cell>
          <cell r="S228">
            <v>0.14899999999999999</v>
          </cell>
          <cell r="T228">
            <v>0.85099999999999998</v>
          </cell>
          <cell r="U228">
            <v>0</v>
          </cell>
        </row>
        <row r="229">
          <cell r="Q229">
            <v>313</v>
          </cell>
          <cell r="R229">
            <v>0</v>
          </cell>
          <cell r="S229">
            <v>0.14899999999999999</v>
          </cell>
          <cell r="T229">
            <v>0.85099999999999998</v>
          </cell>
          <cell r="U229">
            <v>0</v>
          </cell>
        </row>
        <row r="230">
          <cell r="Q230">
            <v>312</v>
          </cell>
          <cell r="R230">
            <v>0</v>
          </cell>
          <cell r="S230">
            <v>0.14899999999999999</v>
          </cell>
          <cell r="T230">
            <v>0.85099999999999998</v>
          </cell>
          <cell r="U230">
            <v>0</v>
          </cell>
        </row>
        <row r="231">
          <cell r="Q231">
            <v>311</v>
          </cell>
          <cell r="R231">
            <v>0</v>
          </cell>
          <cell r="S231">
            <v>0.14899999999999999</v>
          </cell>
          <cell r="T231">
            <v>0.85099999999999998</v>
          </cell>
          <cell r="U231">
            <v>0</v>
          </cell>
        </row>
        <row r="232">
          <cell r="Q232">
            <v>310</v>
          </cell>
          <cell r="R232">
            <v>0</v>
          </cell>
          <cell r="S232">
            <v>0.14899999999999999</v>
          </cell>
          <cell r="T232">
            <v>0.85099999999999998</v>
          </cell>
          <cell r="U232">
            <v>0</v>
          </cell>
        </row>
        <row r="233">
          <cell r="Q233">
            <v>309</v>
          </cell>
          <cell r="R233">
            <v>0</v>
          </cell>
          <cell r="S233">
            <v>0.14899999999999999</v>
          </cell>
          <cell r="T233">
            <v>0.85099999999999998</v>
          </cell>
          <cell r="U233">
            <v>0</v>
          </cell>
        </row>
        <row r="234">
          <cell r="Q234">
            <v>308</v>
          </cell>
          <cell r="R234">
            <v>0</v>
          </cell>
          <cell r="S234">
            <v>0.14899999999999999</v>
          </cell>
          <cell r="T234">
            <v>0.85099999999999998</v>
          </cell>
          <cell r="U234">
            <v>0</v>
          </cell>
        </row>
        <row r="235">
          <cell r="Q235">
            <v>307</v>
          </cell>
          <cell r="R235">
            <v>0</v>
          </cell>
          <cell r="S235">
            <v>0.14899999999999999</v>
          </cell>
          <cell r="T235">
            <v>0.85099999999999998</v>
          </cell>
          <cell r="U235">
            <v>0</v>
          </cell>
        </row>
        <row r="236">
          <cell r="Q236">
            <v>306</v>
          </cell>
          <cell r="R236">
            <v>0</v>
          </cell>
          <cell r="S236">
            <v>0.14899999999999999</v>
          </cell>
          <cell r="T236">
            <v>0.85099999999999998</v>
          </cell>
          <cell r="U236">
            <v>0</v>
          </cell>
        </row>
        <row r="237">
          <cell r="Q237">
            <v>305</v>
          </cell>
          <cell r="R237">
            <v>0</v>
          </cell>
          <cell r="S237">
            <v>0.14899999999999999</v>
          </cell>
          <cell r="T237">
            <v>0.85099999999999998</v>
          </cell>
          <cell r="U237">
            <v>0</v>
          </cell>
        </row>
        <row r="238">
          <cell r="Q238">
            <v>304</v>
          </cell>
          <cell r="R238">
            <v>0</v>
          </cell>
          <cell r="S238">
            <v>0.14899999999999999</v>
          </cell>
          <cell r="T238">
            <v>0.85099999999999998</v>
          </cell>
          <cell r="U238">
            <v>0</v>
          </cell>
        </row>
        <row r="239">
          <cell r="Q239">
            <v>303</v>
          </cell>
          <cell r="R239">
            <v>0</v>
          </cell>
          <cell r="S239">
            <v>0.14899999999999999</v>
          </cell>
          <cell r="T239">
            <v>0.85099999999999998</v>
          </cell>
          <cell r="U239">
            <v>0</v>
          </cell>
        </row>
        <row r="240">
          <cell r="Q240">
            <v>302</v>
          </cell>
          <cell r="R240">
            <v>0</v>
          </cell>
          <cell r="S240">
            <v>0.14899999999999999</v>
          </cell>
          <cell r="T240">
            <v>0.85099999999999998</v>
          </cell>
          <cell r="U240">
            <v>0</v>
          </cell>
        </row>
        <row r="241">
          <cell r="Q241">
            <v>301</v>
          </cell>
          <cell r="R241">
            <v>0</v>
          </cell>
          <cell r="S241">
            <v>0.14899999999999999</v>
          </cell>
          <cell r="T241">
            <v>0.85099999999999998</v>
          </cell>
          <cell r="U241">
            <v>0</v>
          </cell>
        </row>
        <row r="242">
          <cell r="Q242">
            <v>300</v>
          </cell>
          <cell r="R242">
            <v>0</v>
          </cell>
          <cell r="S242">
            <v>0.14899999999999999</v>
          </cell>
          <cell r="T242">
            <v>0.85099999999999998</v>
          </cell>
          <cell r="U242">
            <v>0</v>
          </cell>
        </row>
        <row r="243">
          <cell r="Q243">
            <v>299</v>
          </cell>
          <cell r="R243">
            <v>0</v>
          </cell>
          <cell r="S243">
            <v>0.14899999999999999</v>
          </cell>
          <cell r="T243">
            <v>0.85099999999999998</v>
          </cell>
          <cell r="U243">
            <v>0</v>
          </cell>
        </row>
        <row r="244">
          <cell r="Q244">
            <v>298</v>
          </cell>
          <cell r="R244">
            <v>0</v>
          </cell>
          <cell r="S244">
            <v>0.14899999999999999</v>
          </cell>
          <cell r="T244">
            <v>0.85099999999999998</v>
          </cell>
          <cell r="U244">
            <v>0</v>
          </cell>
        </row>
        <row r="245">
          <cell r="Q245">
            <v>297</v>
          </cell>
          <cell r="R245">
            <v>0</v>
          </cell>
          <cell r="S245">
            <v>0.14899999999999999</v>
          </cell>
          <cell r="T245">
            <v>0.85099999999999998</v>
          </cell>
          <cell r="U245">
            <v>0</v>
          </cell>
        </row>
        <row r="246">
          <cell r="Q246">
            <v>296</v>
          </cell>
          <cell r="R246">
            <v>0</v>
          </cell>
          <cell r="S246">
            <v>0.14899999999999999</v>
          </cell>
          <cell r="T246">
            <v>0.85099999999999998</v>
          </cell>
          <cell r="U246">
            <v>0</v>
          </cell>
        </row>
        <row r="247">
          <cell r="Q247">
            <v>295</v>
          </cell>
          <cell r="R247">
            <v>0</v>
          </cell>
          <cell r="S247">
            <v>0.14899999999999999</v>
          </cell>
          <cell r="T247">
            <v>0.85099999999999998</v>
          </cell>
          <cell r="U247">
            <v>0</v>
          </cell>
        </row>
        <row r="248">
          <cell r="Q248">
            <v>294</v>
          </cell>
          <cell r="R248">
            <v>0</v>
          </cell>
          <cell r="S248">
            <v>0.14899999999999999</v>
          </cell>
          <cell r="T248">
            <v>0.85099999999999998</v>
          </cell>
          <cell r="U248">
            <v>0</v>
          </cell>
        </row>
        <row r="249">
          <cell r="Q249">
            <v>293</v>
          </cell>
          <cell r="R249">
            <v>0</v>
          </cell>
          <cell r="S249">
            <v>0.14899999999999999</v>
          </cell>
          <cell r="T249">
            <v>0.85099999999999998</v>
          </cell>
          <cell r="U249">
            <v>0</v>
          </cell>
        </row>
        <row r="250">
          <cell r="Q250">
            <v>292</v>
          </cell>
          <cell r="R250">
            <v>0</v>
          </cell>
          <cell r="S250">
            <v>0.14899999999999999</v>
          </cell>
          <cell r="T250">
            <v>0.85099999999999998</v>
          </cell>
          <cell r="U250">
            <v>0</v>
          </cell>
        </row>
        <row r="251">
          <cell r="Q251">
            <v>291</v>
          </cell>
          <cell r="R251">
            <v>0</v>
          </cell>
          <cell r="S251">
            <v>0.14899999999999999</v>
          </cell>
          <cell r="T251">
            <v>0.85099999999999998</v>
          </cell>
          <cell r="U251">
            <v>0</v>
          </cell>
        </row>
        <row r="252">
          <cell r="Q252">
            <v>290</v>
          </cell>
          <cell r="R252">
            <v>0</v>
          </cell>
          <cell r="S252">
            <v>0.14899999999999999</v>
          </cell>
          <cell r="T252">
            <v>0.85099999999999998</v>
          </cell>
          <cell r="U252">
            <v>0</v>
          </cell>
        </row>
        <row r="253">
          <cell r="Q253">
            <v>289</v>
          </cell>
          <cell r="R253">
            <v>0</v>
          </cell>
          <cell r="S253">
            <v>0.14899999999999999</v>
          </cell>
          <cell r="T253">
            <v>0.85099999999999998</v>
          </cell>
          <cell r="U253">
            <v>0</v>
          </cell>
        </row>
        <row r="254">
          <cell r="Q254">
            <v>288</v>
          </cell>
          <cell r="R254">
            <v>0</v>
          </cell>
          <cell r="S254">
            <v>0.14899999999999999</v>
          </cell>
          <cell r="T254">
            <v>0.85099999999999998</v>
          </cell>
          <cell r="U254">
            <v>0</v>
          </cell>
        </row>
        <row r="255">
          <cell r="Q255">
            <v>287</v>
          </cell>
          <cell r="R255">
            <v>0</v>
          </cell>
          <cell r="S255">
            <v>0.14899999999999999</v>
          </cell>
          <cell r="T255">
            <v>0.85099999999999998</v>
          </cell>
          <cell r="U255">
            <v>0</v>
          </cell>
        </row>
        <row r="256">
          <cell r="Q256">
            <v>286</v>
          </cell>
          <cell r="R256">
            <v>0</v>
          </cell>
          <cell r="S256">
            <v>0.14899999999999999</v>
          </cell>
          <cell r="T256">
            <v>0.85099999999999998</v>
          </cell>
          <cell r="U256">
            <v>0</v>
          </cell>
        </row>
        <row r="257">
          <cell r="Q257">
            <v>285</v>
          </cell>
          <cell r="R257">
            <v>0</v>
          </cell>
          <cell r="S257">
            <v>0.14899999999999999</v>
          </cell>
          <cell r="T257">
            <v>0.85099999999999998</v>
          </cell>
          <cell r="U257">
            <v>0</v>
          </cell>
        </row>
        <row r="258">
          <cell r="Q258">
            <v>284</v>
          </cell>
          <cell r="R258">
            <v>0</v>
          </cell>
          <cell r="S258">
            <v>0.14899999999999999</v>
          </cell>
          <cell r="T258">
            <v>0.85099999999999998</v>
          </cell>
          <cell r="U258">
            <v>0</v>
          </cell>
        </row>
        <row r="259">
          <cell r="Q259">
            <v>283</v>
          </cell>
          <cell r="R259">
            <v>0</v>
          </cell>
          <cell r="S259">
            <v>0.14899999999999999</v>
          </cell>
          <cell r="T259">
            <v>0.85099999999999998</v>
          </cell>
          <cell r="U259">
            <v>0</v>
          </cell>
        </row>
        <row r="260">
          <cell r="Q260">
            <v>282</v>
          </cell>
          <cell r="R260">
            <v>0</v>
          </cell>
          <cell r="S260">
            <v>0.14899999999999999</v>
          </cell>
          <cell r="T260">
            <v>0.85099999999999998</v>
          </cell>
          <cell r="U260">
            <v>0</v>
          </cell>
        </row>
        <row r="261">
          <cell r="Q261">
            <v>281</v>
          </cell>
          <cell r="R261">
            <v>0</v>
          </cell>
          <cell r="S261">
            <v>0.14899999999999999</v>
          </cell>
          <cell r="T261">
            <v>0.85099999999999998</v>
          </cell>
          <cell r="U261">
            <v>0</v>
          </cell>
        </row>
        <row r="262">
          <cell r="Q262">
            <v>280</v>
          </cell>
          <cell r="R262">
            <v>0</v>
          </cell>
          <cell r="S262">
            <v>0.14899999999999999</v>
          </cell>
          <cell r="T262">
            <v>0.85099999999999998</v>
          </cell>
          <cell r="U262">
            <v>0</v>
          </cell>
        </row>
        <row r="263">
          <cell r="Q263">
            <v>279</v>
          </cell>
          <cell r="R263">
            <v>0</v>
          </cell>
          <cell r="S263">
            <v>0.14899999999999999</v>
          </cell>
          <cell r="T263">
            <v>0.85099999999999998</v>
          </cell>
          <cell r="U263">
            <v>0</v>
          </cell>
        </row>
        <row r="264">
          <cell r="Q264">
            <v>278</v>
          </cell>
          <cell r="R264">
            <v>0</v>
          </cell>
          <cell r="S264">
            <v>0.14899999999999999</v>
          </cell>
          <cell r="T264">
            <v>0.85099999999999998</v>
          </cell>
          <cell r="U264">
            <v>0</v>
          </cell>
        </row>
        <row r="265">
          <cell r="Q265">
            <v>277</v>
          </cell>
          <cell r="R265">
            <v>0</v>
          </cell>
          <cell r="S265">
            <v>0.14899999999999999</v>
          </cell>
          <cell r="T265">
            <v>0.85099999999999998</v>
          </cell>
          <cell r="U265">
            <v>0</v>
          </cell>
        </row>
        <row r="266">
          <cell r="Q266">
            <v>276</v>
          </cell>
          <cell r="R266">
            <v>0</v>
          </cell>
          <cell r="S266">
            <v>0.14899999999999999</v>
          </cell>
          <cell r="T266">
            <v>0.85099999999999998</v>
          </cell>
          <cell r="U266">
            <v>0</v>
          </cell>
        </row>
        <row r="267">
          <cell r="Q267">
            <v>275</v>
          </cell>
          <cell r="R267">
            <v>0</v>
          </cell>
          <cell r="S267">
            <v>0.14899999999999999</v>
          </cell>
          <cell r="T267">
            <v>0.85099999999999998</v>
          </cell>
          <cell r="U267">
            <v>0</v>
          </cell>
        </row>
        <row r="268">
          <cell r="Q268">
            <v>274</v>
          </cell>
          <cell r="R268">
            <v>0</v>
          </cell>
          <cell r="S268">
            <v>0.14899999999999999</v>
          </cell>
          <cell r="T268">
            <v>0.85099999999999998</v>
          </cell>
          <cell r="U268">
            <v>0</v>
          </cell>
        </row>
        <row r="269">
          <cell r="Q269">
            <v>273</v>
          </cell>
          <cell r="R269">
            <v>0</v>
          </cell>
          <cell r="S269">
            <v>0.14899999999999999</v>
          </cell>
          <cell r="T269">
            <v>0.85099999999999998</v>
          </cell>
          <cell r="U269">
            <v>0</v>
          </cell>
        </row>
        <row r="270">
          <cell r="Q270">
            <v>272</v>
          </cell>
          <cell r="R270">
            <v>0</v>
          </cell>
          <cell r="S270">
            <v>0.14899999999999999</v>
          </cell>
          <cell r="T270">
            <v>0.85099999999999998</v>
          </cell>
          <cell r="U270">
            <v>0</v>
          </cell>
        </row>
        <row r="271">
          <cell r="Q271">
            <v>271</v>
          </cell>
          <cell r="R271">
            <v>0</v>
          </cell>
          <cell r="S271">
            <v>0.14899999999999999</v>
          </cell>
          <cell r="T271">
            <v>0.85099999999999998</v>
          </cell>
          <cell r="U271">
            <v>0</v>
          </cell>
        </row>
        <row r="272">
          <cell r="Q272">
            <v>270</v>
          </cell>
          <cell r="R272">
            <v>0</v>
          </cell>
          <cell r="S272">
            <v>0.14899999999999999</v>
          </cell>
          <cell r="T272">
            <v>0.85099999999999998</v>
          </cell>
          <cell r="U272">
            <v>0</v>
          </cell>
        </row>
        <row r="273">
          <cell r="Q273">
            <v>269</v>
          </cell>
          <cell r="R273">
            <v>0</v>
          </cell>
          <cell r="S273">
            <v>0.14899999999999999</v>
          </cell>
          <cell r="T273">
            <v>0.85099999999999998</v>
          </cell>
          <cell r="U273">
            <v>0</v>
          </cell>
        </row>
        <row r="274">
          <cell r="Q274">
            <v>268</v>
          </cell>
          <cell r="R274">
            <v>0</v>
          </cell>
          <cell r="S274">
            <v>0.14899999999999999</v>
          </cell>
          <cell r="T274">
            <v>0.85099999999999998</v>
          </cell>
          <cell r="U274">
            <v>0</v>
          </cell>
        </row>
        <row r="275">
          <cell r="Q275">
            <v>267</v>
          </cell>
          <cell r="R275">
            <v>0</v>
          </cell>
          <cell r="S275">
            <v>0.14899999999999999</v>
          </cell>
          <cell r="T275">
            <v>0.85099999999999998</v>
          </cell>
          <cell r="U275">
            <v>0</v>
          </cell>
        </row>
        <row r="276">
          <cell r="Q276">
            <v>266</v>
          </cell>
          <cell r="R276">
            <v>0</v>
          </cell>
          <cell r="S276">
            <v>0.14899999999999999</v>
          </cell>
          <cell r="T276">
            <v>0.85099999999999998</v>
          </cell>
          <cell r="U276">
            <v>0</v>
          </cell>
        </row>
        <row r="277">
          <cell r="Q277">
            <v>265</v>
          </cell>
          <cell r="R277">
            <v>0</v>
          </cell>
          <cell r="S277">
            <v>0.14899999999999999</v>
          </cell>
          <cell r="T277">
            <v>0.85099999999999998</v>
          </cell>
          <cell r="U277">
            <v>0</v>
          </cell>
        </row>
        <row r="278">
          <cell r="Q278">
            <v>264</v>
          </cell>
          <cell r="R278">
            <v>0</v>
          </cell>
          <cell r="S278">
            <v>0.14899999999999999</v>
          </cell>
          <cell r="T278">
            <v>0.85099999999999998</v>
          </cell>
          <cell r="U278">
            <v>0</v>
          </cell>
        </row>
        <row r="279">
          <cell r="Q279">
            <v>263</v>
          </cell>
          <cell r="R279">
            <v>0</v>
          </cell>
          <cell r="S279">
            <v>0.14899999999999999</v>
          </cell>
          <cell r="T279">
            <v>0.85099999999999998</v>
          </cell>
          <cell r="U279">
            <v>0</v>
          </cell>
        </row>
        <row r="280">
          <cell r="Q280">
            <v>262</v>
          </cell>
          <cell r="R280">
            <v>0</v>
          </cell>
          <cell r="S280">
            <v>0.14899999999999999</v>
          </cell>
          <cell r="T280">
            <v>0.85099999999999998</v>
          </cell>
          <cell r="U280">
            <v>0</v>
          </cell>
        </row>
        <row r="281">
          <cell r="Q281">
            <v>261</v>
          </cell>
          <cell r="R281">
            <v>0</v>
          </cell>
          <cell r="S281">
            <v>0.14899999999999999</v>
          </cell>
          <cell r="T281">
            <v>0.85099999999999998</v>
          </cell>
          <cell r="U281">
            <v>0</v>
          </cell>
        </row>
        <row r="282">
          <cell r="Q282">
            <v>260</v>
          </cell>
          <cell r="R282">
            <v>0</v>
          </cell>
          <cell r="S282">
            <v>0.14899999999999999</v>
          </cell>
          <cell r="T282">
            <v>0.85099999999999998</v>
          </cell>
          <cell r="U282">
            <v>0</v>
          </cell>
        </row>
        <row r="283">
          <cell r="Q283">
            <v>259</v>
          </cell>
          <cell r="R283">
            <v>0</v>
          </cell>
          <cell r="S283">
            <v>0.14899999999999999</v>
          </cell>
          <cell r="T283">
            <v>0.85099999999999998</v>
          </cell>
          <cell r="U283">
            <v>0</v>
          </cell>
        </row>
        <row r="284">
          <cell r="Q284">
            <v>258</v>
          </cell>
          <cell r="R284">
            <v>0</v>
          </cell>
          <cell r="S284">
            <v>0.14899999999999999</v>
          </cell>
          <cell r="T284">
            <v>0.85099999999999998</v>
          </cell>
          <cell r="U284">
            <v>0</v>
          </cell>
        </row>
        <row r="285">
          <cell r="Q285">
            <v>257</v>
          </cell>
          <cell r="R285">
            <v>0</v>
          </cell>
          <cell r="S285">
            <v>0.14899999999999999</v>
          </cell>
          <cell r="T285">
            <v>0.85099999999999998</v>
          </cell>
          <cell r="U285">
            <v>0</v>
          </cell>
        </row>
        <row r="286">
          <cell r="Q286">
            <v>256</v>
          </cell>
          <cell r="R286">
            <v>0</v>
          </cell>
          <cell r="S286">
            <v>0.14899999999999999</v>
          </cell>
          <cell r="T286">
            <v>0.85099999999999998</v>
          </cell>
          <cell r="U286">
            <v>0</v>
          </cell>
        </row>
        <row r="287">
          <cell r="Q287">
            <v>255</v>
          </cell>
          <cell r="R287">
            <v>0</v>
          </cell>
          <cell r="S287">
            <v>0.14899999999999999</v>
          </cell>
          <cell r="T287">
            <v>0.85099999999999998</v>
          </cell>
          <cell r="U287">
            <v>0</v>
          </cell>
        </row>
        <row r="288">
          <cell r="Q288">
            <v>254</v>
          </cell>
          <cell r="R288">
            <v>0</v>
          </cell>
          <cell r="S288">
            <v>0.14899999999999999</v>
          </cell>
          <cell r="T288">
            <v>0.85099999999999998</v>
          </cell>
          <cell r="U288">
            <v>0</v>
          </cell>
        </row>
        <row r="289">
          <cell r="Q289">
            <v>253</v>
          </cell>
          <cell r="R289">
            <v>0</v>
          </cell>
          <cell r="S289">
            <v>0.14899999999999999</v>
          </cell>
          <cell r="T289">
            <v>0.85099999999999998</v>
          </cell>
          <cell r="U289">
            <v>0</v>
          </cell>
        </row>
        <row r="290">
          <cell r="Q290">
            <v>252</v>
          </cell>
          <cell r="R290">
            <v>0</v>
          </cell>
          <cell r="S290">
            <v>0.14899999999999999</v>
          </cell>
          <cell r="T290">
            <v>0.85099999999999998</v>
          </cell>
          <cell r="U290">
            <v>0</v>
          </cell>
        </row>
        <row r="291">
          <cell r="Q291">
            <v>251</v>
          </cell>
          <cell r="R291">
            <v>0</v>
          </cell>
          <cell r="S291">
            <v>0.14899999999999999</v>
          </cell>
          <cell r="T291">
            <v>0.85099999999999998</v>
          </cell>
          <cell r="U291">
            <v>0</v>
          </cell>
        </row>
        <row r="292">
          <cell r="Q292">
            <v>250</v>
          </cell>
          <cell r="R292">
            <v>0</v>
          </cell>
          <cell r="S292">
            <v>0.14899999999999999</v>
          </cell>
          <cell r="T292">
            <v>0.85099999999999998</v>
          </cell>
          <cell r="U292">
            <v>0</v>
          </cell>
        </row>
        <row r="293">
          <cell r="Q293">
            <v>249</v>
          </cell>
          <cell r="R293">
            <v>0</v>
          </cell>
          <cell r="S293">
            <v>0.14899999999999999</v>
          </cell>
          <cell r="T293">
            <v>0.85099999999999998</v>
          </cell>
          <cell r="U293">
            <v>0</v>
          </cell>
        </row>
        <row r="294">
          <cell r="Q294">
            <v>248</v>
          </cell>
          <cell r="R294">
            <v>0</v>
          </cell>
          <cell r="S294">
            <v>0.14899999999999999</v>
          </cell>
          <cell r="T294">
            <v>0.85099999999999998</v>
          </cell>
          <cell r="U294">
            <v>0</v>
          </cell>
        </row>
        <row r="295">
          <cell r="Q295">
            <v>247</v>
          </cell>
          <cell r="R295">
            <v>0</v>
          </cell>
          <cell r="S295">
            <v>0.14899999999999999</v>
          </cell>
          <cell r="T295">
            <v>0.85099999999999998</v>
          </cell>
          <cell r="U295">
            <v>0</v>
          </cell>
        </row>
        <row r="296">
          <cell r="Q296">
            <v>246</v>
          </cell>
          <cell r="R296">
            <v>0</v>
          </cell>
          <cell r="S296">
            <v>0.14899999999999999</v>
          </cell>
          <cell r="T296">
            <v>0.85099999999999998</v>
          </cell>
          <cell r="U296">
            <v>0</v>
          </cell>
        </row>
        <row r="297">
          <cell r="Q297">
            <v>245</v>
          </cell>
          <cell r="R297">
            <v>0</v>
          </cell>
          <cell r="S297">
            <v>0.14899999999999999</v>
          </cell>
          <cell r="T297">
            <v>0.85099999999999998</v>
          </cell>
          <cell r="U297">
            <v>0</v>
          </cell>
        </row>
        <row r="298">
          <cell r="Q298">
            <v>244</v>
          </cell>
          <cell r="R298">
            <v>0</v>
          </cell>
          <cell r="S298">
            <v>0.14899999999999999</v>
          </cell>
          <cell r="T298">
            <v>0.85099999999999998</v>
          </cell>
          <cell r="U298">
            <v>0</v>
          </cell>
        </row>
        <row r="299">
          <cell r="Q299">
            <v>243</v>
          </cell>
          <cell r="R299">
            <v>0</v>
          </cell>
          <cell r="S299">
            <v>0.14899999999999999</v>
          </cell>
          <cell r="T299">
            <v>0.85099999999999998</v>
          </cell>
          <cell r="U299">
            <v>0</v>
          </cell>
        </row>
        <row r="300">
          <cell r="Q300">
            <v>242</v>
          </cell>
          <cell r="R300">
            <v>0</v>
          </cell>
          <cell r="S300">
            <v>0.14899999999999999</v>
          </cell>
          <cell r="T300">
            <v>0.85099999999999998</v>
          </cell>
          <cell r="U300">
            <v>0</v>
          </cell>
        </row>
        <row r="301">
          <cell r="Q301">
            <v>241</v>
          </cell>
          <cell r="R301">
            <v>0</v>
          </cell>
          <cell r="S301">
            <v>0.14899999999999999</v>
          </cell>
          <cell r="T301">
            <v>0.85099999999999998</v>
          </cell>
          <cell r="U301">
            <v>0</v>
          </cell>
        </row>
        <row r="302">
          <cell r="Q302">
            <v>240</v>
          </cell>
          <cell r="R302">
            <v>0</v>
          </cell>
          <cell r="S302">
            <v>0.14899999999999999</v>
          </cell>
          <cell r="T302">
            <v>0.85099999999999998</v>
          </cell>
          <cell r="U302">
            <v>0</v>
          </cell>
        </row>
        <row r="303">
          <cell r="Q303">
            <v>239</v>
          </cell>
          <cell r="R303">
            <v>0</v>
          </cell>
          <cell r="S303">
            <v>0.14899999999999999</v>
          </cell>
          <cell r="T303">
            <v>0.85099999999999998</v>
          </cell>
          <cell r="U303">
            <v>0</v>
          </cell>
        </row>
        <row r="304">
          <cell r="Q304">
            <v>238</v>
          </cell>
          <cell r="R304">
            <v>0</v>
          </cell>
          <cell r="S304">
            <v>0.14899999999999999</v>
          </cell>
          <cell r="T304">
            <v>0.85099999999999998</v>
          </cell>
          <cell r="U304">
            <v>0</v>
          </cell>
        </row>
        <row r="305">
          <cell r="Q305">
            <v>237</v>
          </cell>
          <cell r="R305">
            <v>0</v>
          </cell>
          <cell r="S305">
            <v>0.14899999999999999</v>
          </cell>
          <cell r="T305">
            <v>0.85099999999999998</v>
          </cell>
          <cell r="U305">
            <v>0</v>
          </cell>
        </row>
        <row r="306">
          <cell r="Q306">
            <v>236</v>
          </cell>
          <cell r="R306">
            <v>0</v>
          </cell>
          <cell r="S306">
            <v>0.14899999999999999</v>
          </cell>
          <cell r="T306">
            <v>0.85099999999999998</v>
          </cell>
          <cell r="U306">
            <v>0</v>
          </cell>
        </row>
        <row r="307">
          <cell r="Q307">
            <v>235</v>
          </cell>
          <cell r="R307">
            <v>0</v>
          </cell>
          <cell r="S307">
            <v>0.14899999999999999</v>
          </cell>
          <cell r="T307">
            <v>0.85099999999999998</v>
          </cell>
          <cell r="U307">
            <v>0</v>
          </cell>
        </row>
        <row r="308">
          <cell r="Q308">
            <v>234</v>
          </cell>
          <cell r="R308">
            <v>0</v>
          </cell>
          <cell r="S308">
            <v>0.14899999999999999</v>
          </cell>
          <cell r="T308">
            <v>0.85099999999999998</v>
          </cell>
          <cell r="U308">
            <v>0</v>
          </cell>
        </row>
        <row r="309">
          <cell r="Q309">
            <v>233</v>
          </cell>
          <cell r="R309">
            <v>0</v>
          </cell>
          <cell r="S309">
            <v>0.14899999999999999</v>
          </cell>
          <cell r="T309">
            <v>0.85099999999999998</v>
          </cell>
          <cell r="U309">
            <v>0</v>
          </cell>
        </row>
        <row r="310">
          <cell r="Q310">
            <v>232</v>
          </cell>
          <cell r="R310">
            <v>0</v>
          </cell>
          <cell r="S310">
            <v>0.14899999999999999</v>
          </cell>
          <cell r="T310">
            <v>0.85099999999999998</v>
          </cell>
          <cell r="U310">
            <v>0</v>
          </cell>
        </row>
        <row r="311">
          <cell r="Q311">
            <v>231</v>
          </cell>
          <cell r="R311">
            <v>0</v>
          </cell>
          <cell r="S311">
            <v>0.14899999999999999</v>
          </cell>
          <cell r="T311">
            <v>0.85099999999999998</v>
          </cell>
          <cell r="U311">
            <v>0</v>
          </cell>
        </row>
        <row r="312">
          <cell r="Q312">
            <v>230</v>
          </cell>
          <cell r="R312">
            <v>0</v>
          </cell>
          <cell r="S312">
            <v>0.14899999999999999</v>
          </cell>
          <cell r="T312">
            <v>0.85099999999999998</v>
          </cell>
          <cell r="U312">
            <v>0</v>
          </cell>
        </row>
        <row r="313">
          <cell r="Q313">
            <v>229</v>
          </cell>
          <cell r="R313">
            <v>0</v>
          </cell>
          <cell r="S313">
            <v>0.14899999999999999</v>
          </cell>
          <cell r="T313">
            <v>0.85099999999999998</v>
          </cell>
          <cell r="U313">
            <v>0</v>
          </cell>
        </row>
        <row r="314">
          <cell r="Q314">
            <v>228</v>
          </cell>
          <cell r="R314">
            <v>0</v>
          </cell>
          <cell r="S314">
            <v>0.14899999999999999</v>
          </cell>
          <cell r="T314">
            <v>0.85099999999999998</v>
          </cell>
          <cell r="U314">
            <v>0</v>
          </cell>
        </row>
        <row r="315">
          <cell r="Q315">
            <v>227</v>
          </cell>
          <cell r="R315">
            <v>0</v>
          </cell>
          <cell r="S315">
            <v>0.14899999999999999</v>
          </cell>
          <cell r="T315">
            <v>0.85099999999999998</v>
          </cell>
          <cell r="U315">
            <v>0</v>
          </cell>
        </row>
        <row r="316">
          <cell r="Q316">
            <v>226</v>
          </cell>
          <cell r="R316">
            <v>0</v>
          </cell>
          <cell r="S316">
            <v>0.14899999999999999</v>
          </cell>
          <cell r="T316">
            <v>0.85099999999999998</v>
          </cell>
          <cell r="U316">
            <v>0</v>
          </cell>
        </row>
        <row r="317">
          <cell r="Q317">
            <v>225</v>
          </cell>
          <cell r="R317">
            <v>0</v>
          </cell>
          <cell r="S317">
            <v>0.14899999999999999</v>
          </cell>
          <cell r="T317">
            <v>0.85099999999999998</v>
          </cell>
          <cell r="U317">
            <v>0</v>
          </cell>
        </row>
        <row r="318">
          <cell r="Q318">
            <v>224</v>
          </cell>
          <cell r="R318">
            <v>0</v>
          </cell>
          <cell r="S318">
            <v>0.14899999999999999</v>
          </cell>
          <cell r="T318">
            <v>0.85099999999999998</v>
          </cell>
          <cell r="U318">
            <v>0</v>
          </cell>
        </row>
        <row r="319">
          <cell r="Q319">
            <v>223</v>
          </cell>
          <cell r="R319">
            <v>0</v>
          </cell>
          <cell r="S319">
            <v>0.14899999999999999</v>
          </cell>
          <cell r="T319">
            <v>0.85099999999999998</v>
          </cell>
          <cell r="U319">
            <v>0</v>
          </cell>
        </row>
        <row r="320">
          <cell r="Q320">
            <v>222</v>
          </cell>
          <cell r="R320">
            <v>0</v>
          </cell>
          <cell r="S320">
            <v>0.14899999999999999</v>
          </cell>
          <cell r="T320">
            <v>0.85099999999999998</v>
          </cell>
          <cell r="U320">
            <v>0</v>
          </cell>
        </row>
        <row r="321">
          <cell r="Q321">
            <v>221</v>
          </cell>
          <cell r="R321">
            <v>0</v>
          </cell>
          <cell r="S321">
            <v>0.14899999999999999</v>
          </cell>
          <cell r="T321">
            <v>0.85099999999999998</v>
          </cell>
          <cell r="U321">
            <v>0</v>
          </cell>
        </row>
        <row r="322">
          <cell r="Q322">
            <v>220</v>
          </cell>
          <cell r="R322">
            <v>0</v>
          </cell>
          <cell r="S322">
            <v>0.14899999999999999</v>
          </cell>
          <cell r="T322">
            <v>0.85099999999999998</v>
          </cell>
          <cell r="U322">
            <v>0</v>
          </cell>
        </row>
        <row r="323">
          <cell r="Q323">
            <v>219</v>
          </cell>
          <cell r="R323">
            <v>0</v>
          </cell>
          <cell r="S323">
            <v>0.14899999999999999</v>
          </cell>
          <cell r="T323">
            <v>0.85099999999999998</v>
          </cell>
          <cell r="U323">
            <v>0</v>
          </cell>
        </row>
        <row r="324">
          <cell r="Q324">
            <v>218</v>
          </cell>
          <cell r="R324">
            <v>0</v>
          </cell>
          <cell r="S324">
            <v>0.14899999999999999</v>
          </cell>
          <cell r="T324">
            <v>0.85099999999999998</v>
          </cell>
          <cell r="U324">
            <v>0</v>
          </cell>
        </row>
        <row r="325">
          <cell r="Q325">
            <v>217</v>
          </cell>
          <cell r="R325">
            <v>0</v>
          </cell>
          <cell r="S325">
            <v>0.14899999999999999</v>
          </cell>
          <cell r="T325">
            <v>0.85099999999999998</v>
          </cell>
          <cell r="U325">
            <v>0</v>
          </cell>
        </row>
        <row r="326">
          <cell r="Q326">
            <v>216</v>
          </cell>
          <cell r="R326">
            <v>0</v>
          </cell>
          <cell r="S326">
            <v>0.14899999999999999</v>
          </cell>
          <cell r="T326">
            <v>0.85099999999999998</v>
          </cell>
          <cell r="U326">
            <v>0</v>
          </cell>
        </row>
        <row r="327">
          <cell r="Q327">
            <v>215</v>
          </cell>
          <cell r="R327">
            <v>0</v>
          </cell>
          <cell r="S327">
            <v>0.14899999999999999</v>
          </cell>
          <cell r="T327">
            <v>0.85099999999999998</v>
          </cell>
          <cell r="U327">
            <v>0</v>
          </cell>
        </row>
        <row r="328">
          <cell r="Q328">
            <v>214</v>
          </cell>
          <cell r="R328">
            <v>0</v>
          </cell>
          <cell r="S328">
            <v>0.14899999999999999</v>
          </cell>
          <cell r="T328">
            <v>0.85099999999999998</v>
          </cell>
          <cell r="U328">
            <v>0</v>
          </cell>
        </row>
        <row r="329">
          <cell r="Q329">
            <v>213</v>
          </cell>
          <cell r="R329">
            <v>0</v>
          </cell>
          <cell r="S329">
            <v>0.14899999999999999</v>
          </cell>
          <cell r="T329">
            <v>0.85099999999999998</v>
          </cell>
          <cell r="U329">
            <v>0</v>
          </cell>
        </row>
        <row r="330">
          <cell r="Q330">
            <v>212</v>
          </cell>
          <cell r="R330">
            <v>0</v>
          </cell>
          <cell r="S330">
            <v>0.14899999999999999</v>
          </cell>
          <cell r="T330">
            <v>0.85099999999999998</v>
          </cell>
          <cell r="U330">
            <v>0</v>
          </cell>
        </row>
        <row r="331">
          <cell r="Q331">
            <v>211</v>
          </cell>
          <cell r="R331">
            <v>0</v>
          </cell>
          <cell r="S331">
            <v>0.14899999999999999</v>
          </cell>
          <cell r="T331">
            <v>0.85099999999999998</v>
          </cell>
          <cell r="U331">
            <v>0</v>
          </cell>
        </row>
        <row r="332">
          <cell r="Q332">
            <v>210</v>
          </cell>
          <cell r="R332">
            <v>0</v>
          </cell>
          <cell r="S332">
            <v>0.14899999999999999</v>
          </cell>
          <cell r="T332">
            <v>0.85099999999999998</v>
          </cell>
          <cell r="U332">
            <v>0</v>
          </cell>
        </row>
        <row r="333">
          <cell r="Q333">
            <v>209</v>
          </cell>
          <cell r="R333">
            <v>0</v>
          </cell>
          <cell r="S333">
            <v>0.14899999999999999</v>
          </cell>
          <cell r="T333">
            <v>0.85099999999999998</v>
          </cell>
          <cell r="U333">
            <v>0</v>
          </cell>
        </row>
        <row r="334">
          <cell r="Q334">
            <v>208</v>
          </cell>
          <cell r="R334">
            <v>0</v>
          </cell>
          <cell r="S334">
            <v>0.14899999999999999</v>
          </cell>
          <cell r="T334">
            <v>0.85099999999999998</v>
          </cell>
          <cell r="U334">
            <v>0</v>
          </cell>
        </row>
        <row r="335">
          <cell r="Q335">
            <v>207</v>
          </cell>
          <cell r="R335">
            <v>0</v>
          </cell>
          <cell r="S335">
            <v>0.14899999999999999</v>
          </cell>
          <cell r="T335">
            <v>0.85099999999999998</v>
          </cell>
          <cell r="U335">
            <v>0</v>
          </cell>
        </row>
        <row r="336">
          <cell r="Q336">
            <v>206</v>
          </cell>
          <cell r="R336">
            <v>0</v>
          </cell>
          <cell r="S336">
            <v>0.14899999999999999</v>
          </cell>
          <cell r="T336">
            <v>0.85099999999999998</v>
          </cell>
          <cell r="U336">
            <v>0</v>
          </cell>
        </row>
        <row r="337">
          <cell r="Q337">
            <v>205</v>
          </cell>
          <cell r="R337">
            <v>0</v>
          </cell>
          <cell r="S337">
            <v>0.14899999999999999</v>
          </cell>
          <cell r="T337">
            <v>0.85099999999999998</v>
          </cell>
          <cell r="U337">
            <v>0</v>
          </cell>
        </row>
        <row r="338">
          <cell r="Q338">
            <v>204</v>
          </cell>
          <cell r="R338">
            <v>0</v>
          </cell>
          <cell r="S338">
            <v>0.14899999999999999</v>
          </cell>
          <cell r="T338">
            <v>0.85099999999999998</v>
          </cell>
          <cell r="U338">
            <v>0</v>
          </cell>
        </row>
        <row r="339">
          <cell r="Q339">
            <v>203</v>
          </cell>
          <cell r="R339">
            <v>1.1666666666666668E-3</v>
          </cell>
          <cell r="S339">
            <v>0.15775</v>
          </cell>
          <cell r="T339">
            <v>0.84108333333333329</v>
          </cell>
          <cell r="U339">
            <v>0</v>
          </cell>
        </row>
        <row r="340">
          <cell r="Q340">
            <v>202</v>
          </cell>
          <cell r="R340">
            <v>2.3333333333333335E-3</v>
          </cell>
          <cell r="S340">
            <v>0.16649999999999998</v>
          </cell>
          <cell r="T340">
            <v>0.83116666666666661</v>
          </cell>
          <cell r="U340">
            <v>0</v>
          </cell>
        </row>
        <row r="341">
          <cell r="Q341">
            <v>201</v>
          </cell>
          <cell r="R341">
            <v>3.5000000000000001E-3</v>
          </cell>
          <cell r="S341">
            <v>0.17524999999999999</v>
          </cell>
          <cell r="T341">
            <v>0.82125000000000004</v>
          </cell>
          <cell r="U341">
            <v>0</v>
          </cell>
        </row>
        <row r="342">
          <cell r="Q342">
            <v>200</v>
          </cell>
          <cell r="R342">
            <v>4.6666666666666671E-3</v>
          </cell>
          <cell r="S342">
            <v>0.184</v>
          </cell>
          <cell r="T342">
            <v>0.81133333333333335</v>
          </cell>
          <cell r="U342">
            <v>0</v>
          </cell>
        </row>
        <row r="343">
          <cell r="Q343">
            <v>199</v>
          </cell>
          <cell r="R343">
            <v>5.8333333333333336E-3</v>
          </cell>
          <cell r="S343">
            <v>0.19275</v>
          </cell>
          <cell r="T343">
            <v>0.80141666666666667</v>
          </cell>
          <cell r="U343">
            <v>0</v>
          </cell>
        </row>
        <row r="344">
          <cell r="Q344">
            <v>198</v>
          </cell>
          <cell r="R344">
            <v>7.0000000000000001E-3</v>
          </cell>
          <cell r="S344">
            <v>0.20150000000000001</v>
          </cell>
          <cell r="T344">
            <v>0.79149999999999998</v>
          </cell>
          <cell r="U344">
            <v>0</v>
          </cell>
        </row>
        <row r="345">
          <cell r="Q345">
            <v>197</v>
          </cell>
          <cell r="R345">
            <v>8.1666666666666676E-3</v>
          </cell>
          <cell r="S345">
            <v>0.21024999999999999</v>
          </cell>
          <cell r="T345">
            <v>0.7815833333333333</v>
          </cell>
          <cell r="U345">
            <v>0</v>
          </cell>
        </row>
        <row r="346">
          <cell r="Q346">
            <v>196</v>
          </cell>
          <cell r="R346">
            <v>9.3333333333333341E-3</v>
          </cell>
          <cell r="S346">
            <v>0.219</v>
          </cell>
          <cell r="T346">
            <v>0.77166666666666661</v>
          </cell>
          <cell r="U346">
            <v>0</v>
          </cell>
        </row>
        <row r="347">
          <cell r="Q347">
            <v>195</v>
          </cell>
          <cell r="R347">
            <v>1.0500000000000001E-2</v>
          </cell>
          <cell r="S347">
            <v>0.22775000000000001</v>
          </cell>
          <cell r="T347">
            <v>0.76174999999999993</v>
          </cell>
          <cell r="U347">
            <v>0</v>
          </cell>
        </row>
        <row r="348">
          <cell r="Q348">
            <v>194</v>
          </cell>
          <cell r="R348">
            <v>1.1666666666666667E-2</v>
          </cell>
          <cell r="S348">
            <v>0.23649999999999999</v>
          </cell>
          <cell r="T348">
            <v>0.75183333333333335</v>
          </cell>
          <cell r="U348">
            <v>0</v>
          </cell>
        </row>
        <row r="349">
          <cell r="Q349">
            <v>193</v>
          </cell>
          <cell r="R349">
            <v>1.2833333333333334E-2</v>
          </cell>
          <cell r="S349">
            <v>0.24525</v>
          </cell>
          <cell r="T349">
            <v>0.74191666666666667</v>
          </cell>
          <cell r="U349">
            <v>0</v>
          </cell>
        </row>
        <row r="350">
          <cell r="Q350">
            <v>192</v>
          </cell>
          <cell r="R350">
            <v>1.4E-2</v>
          </cell>
          <cell r="S350">
            <v>0.254</v>
          </cell>
          <cell r="T350">
            <v>0.73199999999999998</v>
          </cell>
          <cell r="U350">
            <v>0</v>
          </cell>
        </row>
        <row r="351">
          <cell r="Q351">
            <v>191</v>
          </cell>
          <cell r="R351">
            <v>1.575E-2</v>
          </cell>
          <cell r="S351">
            <v>0.26174999999999998</v>
          </cell>
          <cell r="T351">
            <v>0.72250000000000003</v>
          </cell>
          <cell r="U351">
            <v>0</v>
          </cell>
        </row>
        <row r="352">
          <cell r="Q352">
            <v>190</v>
          </cell>
          <cell r="R352">
            <v>1.7500000000000002E-2</v>
          </cell>
          <cell r="S352">
            <v>0.26950000000000002</v>
          </cell>
          <cell r="T352">
            <v>0.71299999999999997</v>
          </cell>
          <cell r="U352">
            <v>0</v>
          </cell>
        </row>
        <row r="353">
          <cell r="Q353">
            <v>189</v>
          </cell>
          <cell r="R353">
            <v>1.925E-2</v>
          </cell>
          <cell r="S353">
            <v>0.27725</v>
          </cell>
          <cell r="T353">
            <v>0.70350000000000001</v>
          </cell>
          <cell r="U353">
            <v>0</v>
          </cell>
        </row>
        <row r="354">
          <cell r="Q354">
            <v>188</v>
          </cell>
          <cell r="R354">
            <v>2.1000000000000001E-2</v>
          </cell>
          <cell r="S354">
            <v>0.28499999999999998</v>
          </cell>
          <cell r="T354">
            <v>0.69399999999999995</v>
          </cell>
          <cell r="U354">
            <v>0</v>
          </cell>
        </row>
        <row r="355">
          <cell r="Q355">
            <v>187</v>
          </cell>
          <cell r="R355">
            <v>2.2750000000000003E-2</v>
          </cell>
          <cell r="S355">
            <v>0.29275000000000001</v>
          </cell>
          <cell r="T355">
            <v>0.6845</v>
          </cell>
          <cell r="U355">
            <v>0</v>
          </cell>
        </row>
        <row r="356">
          <cell r="Q356">
            <v>186</v>
          </cell>
          <cell r="R356">
            <v>2.4500000000000001E-2</v>
          </cell>
          <cell r="S356">
            <v>0.30049999999999999</v>
          </cell>
          <cell r="T356">
            <v>0.67500000000000004</v>
          </cell>
          <cell r="U356">
            <v>0</v>
          </cell>
        </row>
        <row r="357">
          <cell r="Q357">
            <v>185</v>
          </cell>
          <cell r="R357">
            <v>2.6250000000000002E-2</v>
          </cell>
          <cell r="S357">
            <v>0.30824999999999997</v>
          </cell>
          <cell r="T357">
            <v>0.66549999999999998</v>
          </cell>
          <cell r="U357">
            <v>0</v>
          </cell>
        </row>
        <row r="358">
          <cell r="Q358">
            <v>184</v>
          </cell>
          <cell r="R358">
            <v>2.8000000000000004E-2</v>
          </cell>
          <cell r="S358">
            <v>0.316</v>
          </cell>
          <cell r="T358">
            <v>0.65600000000000003</v>
          </cell>
          <cell r="U358">
            <v>0</v>
          </cell>
        </row>
        <row r="359">
          <cell r="Q359">
            <v>183</v>
          </cell>
          <cell r="R359">
            <v>2.9750000000000002E-2</v>
          </cell>
          <cell r="S359">
            <v>0.32374999999999998</v>
          </cell>
          <cell r="T359">
            <v>0.64649999999999996</v>
          </cell>
          <cell r="U359">
            <v>0</v>
          </cell>
        </row>
        <row r="360">
          <cell r="Q360">
            <v>182</v>
          </cell>
          <cell r="R360">
            <v>3.15E-2</v>
          </cell>
          <cell r="S360">
            <v>0.33149999999999996</v>
          </cell>
          <cell r="T360">
            <v>0.63700000000000001</v>
          </cell>
          <cell r="U360">
            <v>0</v>
          </cell>
        </row>
        <row r="361">
          <cell r="Q361">
            <v>181</v>
          </cell>
          <cell r="R361">
            <v>3.3250000000000002E-2</v>
          </cell>
          <cell r="S361">
            <v>0.33925</v>
          </cell>
          <cell r="T361">
            <v>0.62749999999999995</v>
          </cell>
          <cell r="U361">
            <v>0</v>
          </cell>
        </row>
        <row r="362">
          <cell r="Q362">
            <v>180</v>
          </cell>
          <cell r="R362">
            <v>3.5000000000000003E-2</v>
          </cell>
          <cell r="S362">
            <v>0.34699999999999998</v>
          </cell>
          <cell r="T362">
            <v>0.61799999999999999</v>
          </cell>
          <cell r="U362">
            <v>0</v>
          </cell>
        </row>
        <row r="363">
          <cell r="Q363">
            <v>179</v>
          </cell>
          <cell r="R363">
            <v>3.8833333333333338E-2</v>
          </cell>
          <cell r="S363">
            <v>0.34983333333333333</v>
          </cell>
          <cell r="T363">
            <v>0.61133333333333328</v>
          </cell>
          <cell r="U363">
            <v>0</v>
          </cell>
        </row>
        <row r="364">
          <cell r="Q364">
            <v>178</v>
          </cell>
          <cell r="R364">
            <v>4.2666666666666672E-2</v>
          </cell>
          <cell r="S364">
            <v>0.35266666666666663</v>
          </cell>
          <cell r="T364">
            <v>0.60466666666666669</v>
          </cell>
          <cell r="U364">
            <v>0</v>
          </cell>
        </row>
        <row r="365">
          <cell r="Q365">
            <v>177</v>
          </cell>
          <cell r="R365">
            <v>4.65E-2</v>
          </cell>
          <cell r="S365">
            <v>0.35549999999999998</v>
          </cell>
          <cell r="T365">
            <v>0.59799999999999998</v>
          </cell>
          <cell r="U365">
            <v>0</v>
          </cell>
        </row>
        <row r="366">
          <cell r="Q366">
            <v>176</v>
          </cell>
          <cell r="R366">
            <v>5.0333333333333334E-2</v>
          </cell>
          <cell r="S366">
            <v>0.35833333333333334</v>
          </cell>
          <cell r="T366">
            <v>0.59133333333333338</v>
          </cell>
          <cell r="U366">
            <v>0</v>
          </cell>
        </row>
        <row r="367">
          <cell r="Q367">
            <v>175</v>
          </cell>
          <cell r="R367">
            <v>5.4166666666666669E-2</v>
          </cell>
          <cell r="S367">
            <v>0.36116666666666664</v>
          </cell>
          <cell r="T367">
            <v>0.58466666666666667</v>
          </cell>
          <cell r="U367">
            <v>0</v>
          </cell>
        </row>
        <row r="368">
          <cell r="Q368">
            <v>174</v>
          </cell>
          <cell r="R368">
            <v>5.8000000000000003E-2</v>
          </cell>
          <cell r="S368">
            <v>0.36399999999999999</v>
          </cell>
          <cell r="T368">
            <v>0.57800000000000007</v>
          </cell>
          <cell r="U368">
            <v>0</v>
          </cell>
        </row>
        <row r="369">
          <cell r="Q369">
            <v>173</v>
          </cell>
          <cell r="R369">
            <v>6.1833333333333337E-2</v>
          </cell>
          <cell r="S369">
            <v>0.36683333333333334</v>
          </cell>
          <cell r="T369">
            <v>0.57133333333333336</v>
          </cell>
          <cell r="U369">
            <v>0</v>
          </cell>
        </row>
        <row r="370">
          <cell r="Q370">
            <v>172</v>
          </cell>
          <cell r="R370">
            <v>6.5666666666666665E-2</v>
          </cell>
          <cell r="S370">
            <v>0.36966666666666664</v>
          </cell>
          <cell r="T370">
            <v>0.56466666666666665</v>
          </cell>
          <cell r="U370">
            <v>0</v>
          </cell>
        </row>
        <row r="371">
          <cell r="Q371">
            <v>171</v>
          </cell>
          <cell r="R371">
            <v>6.9500000000000006E-2</v>
          </cell>
          <cell r="S371">
            <v>0.3725</v>
          </cell>
          <cell r="T371">
            <v>0.55800000000000005</v>
          </cell>
          <cell r="U371">
            <v>0</v>
          </cell>
        </row>
        <row r="372">
          <cell r="Q372">
            <v>170</v>
          </cell>
          <cell r="R372">
            <v>7.3333333333333334E-2</v>
          </cell>
          <cell r="S372">
            <v>0.37533333333333335</v>
          </cell>
          <cell r="T372">
            <v>0.55133333333333334</v>
          </cell>
          <cell r="U372">
            <v>0</v>
          </cell>
        </row>
        <row r="373">
          <cell r="Q373">
            <v>169</v>
          </cell>
          <cell r="R373">
            <v>7.7166666666666675E-2</v>
          </cell>
          <cell r="S373">
            <v>0.37816666666666665</v>
          </cell>
          <cell r="T373">
            <v>0.54466666666666674</v>
          </cell>
          <cell r="U373">
            <v>0</v>
          </cell>
        </row>
        <row r="374">
          <cell r="Q374">
            <v>168</v>
          </cell>
          <cell r="R374">
            <v>8.1000000000000003E-2</v>
          </cell>
          <cell r="S374">
            <v>0.38100000000000001</v>
          </cell>
          <cell r="T374">
            <v>0.53800000000000003</v>
          </cell>
          <cell r="U374">
            <v>0</v>
          </cell>
        </row>
        <row r="375">
          <cell r="Q375">
            <v>167</v>
          </cell>
          <cell r="R375">
            <v>8.666666666666667E-2</v>
          </cell>
          <cell r="S375">
            <v>0.3795</v>
          </cell>
          <cell r="T375">
            <v>0.53383333333333338</v>
          </cell>
          <cell r="U375">
            <v>0</v>
          </cell>
        </row>
        <row r="376">
          <cell r="Q376">
            <v>166</v>
          </cell>
          <cell r="R376">
            <v>9.2333333333333337E-2</v>
          </cell>
          <cell r="S376">
            <v>0.378</v>
          </cell>
          <cell r="T376">
            <v>0.52966666666666673</v>
          </cell>
          <cell r="U376">
            <v>0</v>
          </cell>
        </row>
        <row r="377">
          <cell r="Q377">
            <v>165</v>
          </cell>
          <cell r="R377">
            <v>9.8000000000000004E-2</v>
          </cell>
          <cell r="S377">
            <v>0.3765</v>
          </cell>
          <cell r="T377">
            <v>0.52550000000000008</v>
          </cell>
          <cell r="U377">
            <v>0</v>
          </cell>
        </row>
        <row r="378">
          <cell r="Q378">
            <v>164</v>
          </cell>
          <cell r="R378">
            <v>0.10366666666666667</v>
          </cell>
          <cell r="S378">
            <v>0.375</v>
          </cell>
          <cell r="T378">
            <v>0.52133333333333332</v>
          </cell>
          <cell r="U378">
            <v>0</v>
          </cell>
        </row>
        <row r="379">
          <cell r="Q379">
            <v>163</v>
          </cell>
          <cell r="R379">
            <v>0.10933333333333334</v>
          </cell>
          <cell r="S379">
            <v>0.3735</v>
          </cell>
          <cell r="T379">
            <v>0.51716666666666666</v>
          </cell>
          <cell r="U379">
            <v>0</v>
          </cell>
        </row>
        <row r="380">
          <cell r="Q380">
            <v>162</v>
          </cell>
          <cell r="R380">
            <v>0.11499999999999999</v>
          </cell>
          <cell r="S380">
            <v>0.372</v>
          </cell>
          <cell r="T380">
            <v>0.51300000000000001</v>
          </cell>
          <cell r="U380">
            <v>0</v>
          </cell>
        </row>
        <row r="381">
          <cell r="Q381">
            <v>161</v>
          </cell>
          <cell r="R381">
            <v>0.12066666666666666</v>
          </cell>
          <cell r="S381">
            <v>0.3705</v>
          </cell>
          <cell r="T381">
            <v>0.50883333333333336</v>
          </cell>
          <cell r="U381">
            <v>0</v>
          </cell>
        </row>
        <row r="382">
          <cell r="Q382">
            <v>160</v>
          </cell>
          <cell r="R382">
            <v>0.12633333333333333</v>
          </cell>
          <cell r="S382">
            <v>0.36899999999999999</v>
          </cell>
          <cell r="T382">
            <v>0.50466666666666671</v>
          </cell>
          <cell r="U382">
            <v>0</v>
          </cell>
        </row>
        <row r="383">
          <cell r="Q383">
            <v>159</v>
          </cell>
          <cell r="R383">
            <v>0.13200000000000001</v>
          </cell>
          <cell r="S383">
            <v>0.36749999999999999</v>
          </cell>
          <cell r="T383">
            <v>0.50049999999999994</v>
          </cell>
          <cell r="U383">
            <v>0</v>
          </cell>
        </row>
        <row r="384">
          <cell r="Q384">
            <v>158</v>
          </cell>
          <cell r="R384">
            <v>0.13766666666666666</v>
          </cell>
          <cell r="S384">
            <v>0.36599999999999999</v>
          </cell>
          <cell r="T384">
            <v>0.49633333333333335</v>
          </cell>
          <cell r="U384">
            <v>0</v>
          </cell>
        </row>
        <row r="385">
          <cell r="Q385">
            <v>157</v>
          </cell>
          <cell r="R385">
            <v>0.14333333333333334</v>
          </cell>
          <cell r="S385">
            <v>0.36449999999999999</v>
          </cell>
          <cell r="T385">
            <v>0.49216666666666664</v>
          </cell>
          <cell r="U385">
            <v>0</v>
          </cell>
        </row>
        <row r="386">
          <cell r="Q386">
            <v>156</v>
          </cell>
          <cell r="R386">
            <v>0.14899999999999999</v>
          </cell>
          <cell r="S386">
            <v>0.36299999999999999</v>
          </cell>
          <cell r="T386">
            <v>0.48799999999999999</v>
          </cell>
          <cell r="U386">
            <v>0</v>
          </cell>
        </row>
        <row r="387">
          <cell r="Q387">
            <v>155</v>
          </cell>
          <cell r="R387">
            <v>0.15466666666666667</v>
          </cell>
          <cell r="S387">
            <v>0.36025000000000001</v>
          </cell>
          <cell r="T387">
            <v>0.48508333333333331</v>
          </cell>
          <cell r="U387">
            <v>0</v>
          </cell>
        </row>
        <row r="388">
          <cell r="Q388">
            <v>154</v>
          </cell>
          <cell r="R388">
            <v>0.16033333333333333</v>
          </cell>
          <cell r="S388">
            <v>0.35749999999999998</v>
          </cell>
          <cell r="T388">
            <v>0.48216666666666663</v>
          </cell>
          <cell r="U388">
            <v>0</v>
          </cell>
        </row>
        <row r="389">
          <cell r="Q389">
            <v>153</v>
          </cell>
          <cell r="R389">
            <v>0.16599999999999998</v>
          </cell>
          <cell r="S389">
            <v>0.35475000000000001</v>
          </cell>
          <cell r="T389">
            <v>0.47925000000000001</v>
          </cell>
          <cell r="U389">
            <v>0</v>
          </cell>
        </row>
        <row r="390">
          <cell r="Q390">
            <v>152</v>
          </cell>
          <cell r="R390">
            <v>0.17166666666666666</v>
          </cell>
          <cell r="S390">
            <v>0.35199999999999998</v>
          </cell>
          <cell r="T390">
            <v>0.47633333333333333</v>
          </cell>
          <cell r="U390">
            <v>0</v>
          </cell>
        </row>
        <row r="391">
          <cell r="Q391">
            <v>151</v>
          </cell>
          <cell r="R391">
            <v>0.17733333333333334</v>
          </cell>
          <cell r="S391">
            <v>0.34925</v>
          </cell>
          <cell r="T391">
            <v>0.47341666666666665</v>
          </cell>
          <cell r="U391">
            <v>0</v>
          </cell>
        </row>
        <row r="392">
          <cell r="Q392">
            <v>150</v>
          </cell>
          <cell r="R392">
            <v>0.183</v>
          </cell>
          <cell r="S392">
            <v>0.34650000000000003</v>
          </cell>
          <cell r="T392">
            <v>0.47050000000000003</v>
          </cell>
          <cell r="U392">
            <v>0</v>
          </cell>
        </row>
        <row r="393">
          <cell r="Q393">
            <v>149</v>
          </cell>
          <cell r="R393">
            <v>0.18866666666666665</v>
          </cell>
          <cell r="S393">
            <v>0.34375</v>
          </cell>
          <cell r="T393">
            <v>0.46758333333333335</v>
          </cell>
          <cell r="U393">
            <v>0</v>
          </cell>
        </row>
        <row r="394">
          <cell r="Q394">
            <v>148</v>
          </cell>
          <cell r="R394">
            <v>0.19433333333333333</v>
          </cell>
          <cell r="S394">
            <v>0.34100000000000003</v>
          </cell>
          <cell r="T394">
            <v>0.46466666666666667</v>
          </cell>
          <cell r="U394">
            <v>0</v>
          </cell>
        </row>
        <row r="395">
          <cell r="Q395">
            <v>147</v>
          </cell>
          <cell r="R395">
            <v>0.2</v>
          </cell>
          <cell r="S395">
            <v>0.33825</v>
          </cell>
          <cell r="T395">
            <v>0.46174999999999999</v>
          </cell>
          <cell r="U395">
            <v>0</v>
          </cell>
        </row>
        <row r="396">
          <cell r="Q396">
            <v>146</v>
          </cell>
          <cell r="R396">
            <v>0.20566666666666666</v>
          </cell>
          <cell r="S396">
            <v>0.33550000000000002</v>
          </cell>
          <cell r="T396">
            <v>0.45883333333333332</v>
          </cell>
          <cell r="U396">
            <v>0</v>
          </cell>
        </row>
        <row r="397">
          <cell r="Q397">
            <v>145</v>
          </cell>
          <cell r="R397">
            <v>0.21133333333333332</v>
          </cell>
          <cell r="S397">
            <v>0.33274999999999999</v>
          </cell>
          <cell r="T397">
            <v>0.45591666666666669</v>
          </cell>
          <cell r="U397">
            <v>0</v>
          </cell>
        </row>
        <row r="398">
          <cell r="Q398">
            <v>144</v>
          </cell>
          <cell r="R398">
            <v>0.217</v>
          </cell>
          <cell r="S398">
            <v>0.33</v>
          </cell>
          <cell r="T398">
            <v>0.45300000000000001</v>
          </cell>
          <cell r="U398">
            <v>0</v>
          </cell>
        </row>
        <row r="399">
          <cell r="Q399">
            <v>143</v>
          </cell>
          <cell r="R399">
            <v>0.22208333333333333</v>
          </cell>
          <cell r="S399">
            <v>0.32741666666666669</v>
          </cell>
          <cell r="T399">
            <v>0.45050000000000001</v>
          </cell>
          <cell r="U399">
            <v>0</v>
          </cell>
        </row>
        <row r="400">
          <cell r="Q400">
            <v>142</v>
          </cell>
          <cell r="R400">
            <v>0.22716666666666668</v>
          </cell>
          <cell r="S400">
            <v>0.32483333333333336</v>
          </cell>
          <cell r="T400">
            <v>0.44800000000000001</v>
          </cell>
          <cell r="U400">
            <v>0</v>
          </cell>
        </row>
        <row r="401">
          <cell r="Q401">
            <v>141</v>
          </cell>
          <cell r="R401">
            <v>0.23225000000000001</v>
          </cell>
          <cell r="S401">
            <v>0.32225000000000004</v>
          </cell>
          <cell r="T401">
            <v>0.44550000000000001</v>
          </cell>
          <cell r="U401">
            <v>0</v>
          </cell>
        </row>
        <row r="402">
          <cell r="Q402">
            <v>140</v>
          </cell>
          <cell r="R402">
            <v>0.23733333333333334</v>
          </cell>
          <cell r="S402">
            <v>0.31966666666666665</v>
          </cell>
          <cell r="T402">
            <v>0.443</v>
          </cell>
          <cell r="U402">
            <v>0</v>
          </cell>
        </row>
        <row r="403">
          <cell r="Q403">
            <v>139</v>
          </cell>
          <cell r="R403">
            <v>0.24241666666666667</v>
          </cell>
          <cell r="S403">
            <v>0.31708333333333333</v>
          </cell>
          <cell r="T403">
            <v>0.4405</v>
          </cell>
          <cell r="U403">
            <v>0</v>
          </cell>
        </row>
        <row r="404">
          <cell r="Q404">
            <v>138</v>
          </cell>
          <cell r="R404">
            <v>0.2475</v>
          </cell>
          <cell r="S404">
            <v>0.3145</v>
          </cell>
          <cell r="T404">
            <v>0.438</v>
          </cell>
          <cell r="U404">
            <v>0</v>
          </cell>
        </row>
        <row r="405">
          <cell r="Q405">
            <v>137</v>
          </cell>
          <cell r="R405">
            <v>0.25258333333333333</v>
          </cell>
          <cell r="S405">
            <v>0.31191666666666668</v>
          </cell>
          <cell r="T405">
            <v>0.4355</v>
          </cell>
          <cell r="U405">
            <v>0</v>
          </cell>
        </row>
        <row r="406">
          <cell r="Q406">
            <v>136</v>
          </cell>
          <cell r="R406">
            <v>0.25766666666666671</v>
          </cell>
          <cell r="S406">
            <v>0.30933333333333335</v>
          </cell>
          <cell r="T406">
            <v>0.433</v>
          </cell>
          <cell r="U406">
            <v>0</v>
          </cell>
        </row>
        <row r="407">
          <cell r="Q407">
            <v>135</v>
          </cell>
          <cell r="R407">
            <v>0.26275000000000004</v>
          </cell>
          <cell r="S407">
            <v>0.30674999999999997</v>
          </cell>
          <cell r="T407">
            <v>0.43049999999999999</v>
          </cell>
          <cell r="U407">
            <v>0</v>
          </cell>
        </row>
        <row r="408">
          <cell r="Q408">
            <v>134</v>
          </cell>
          <cell r="R408">
            <v>0.26783333333333337</v>
          </cell>
          <cell r="S408">
            <v>0.30416666666666664</v>
          </cell>
          <cell r="T408">
            <v>0.42799999999999999</v>
          </cell>
          <cell r="U408">
            <v>0</v>
          </cell>
        </row>
        <row r="409">
          <cell r="Q409">
            <v>133</v>
          </cell>
          <cell r="R409">
            <v>0.2729166666666667</v>
          </cell>
          <cell r="S409">
            <v>0.30158333333333331</v>
          </cell>
          <cell r="T409">
            <v>0.42549999999999999</v>
          </cell>
          <cell r="U409">
            <v>0</v>
          </cell>
        </row>
        <row r="410">
          <cell r="Q410">
            <v>132</v>
          </cell>
          <cell r="R410">
            <v>0.27800000000000002</v>
          </cell>
          <cell r="S410">
            <v>0.29899999999999999</v>
          </cell>
          <cell r="T410">
            <v>0.42299999999999999</v>
          </cell>
          <cell r="U410">
            <v>0</v>
          </cell>
        </row>
        <row r="411">
          <cell r="Q411">
            <v>131</v>
          </cell>
          <cell r="R411">
            <v>0.2824166666666667</v>
          </cell>
          <cell r="S411">
            <v>0.29666666666666663</v>
          </cell>
          <cell r="T411">
            <v>0.42091666666666666</v>
          </cell>
          <cell r="U411">
            <v>0</v>
          </cell>
        </row>
        <row r="412">
          <cell r="Q412">
            <v>130</v>
          </cell>
          <cell r="R412">
            <v>0.28683333333333338</v>
          </cell>
          <cell r="S412">
            <v>0.29433333333333334</v>
          </cell>
          <cell r="T412">
            <v>0.41883333333333334</v>
          </cell>
          <cell r="U412">
            <v>0</v>
          </cell>
        </row>
        <row r="413">
          <cell r="Q413">
            <v>129</v>
          </cell>
          <cell r="R413">
            <v>0.29125000000000001</v>
          </cell>
          <cell r="S413">
            <v>0.29199999999999998</v>
          </cell>
          <cell r="T413">
            <v>0.41675000000000001</v>
          </cell>
          <cell r="U413">
            <v>0</v>
          </cell>
        </row>
        <row r="414">
          <cell r="Q414">
            <v>128</v>
          </cell>
          <cell r="R414">
            <v>0.29566666666666669</v>
          </cell>
          <cell r="S414">
            <v>0.28966666666666668</v>
          </cell>
          <cell r="T414">
            <v>0.41466666666666668</v>
          </cell>
          <cell r="U414">
            <v>0</v>
          </cell>
        </row>
        <row r="415">
          <cell r="Q415">
            <v>127</v>
          </cell>
          <cell r="R415">
            <v>0.30008333333333337</v>
          </cell>
          <cell r="S415">
            <v>0.28733333333333333</v>
          </cell>
          <cell r="T415">
            <v>0.41258333333333336</v>
          </cell>
          <cell r="U415">
            <v>0</v>
          </cell>
        </row>
        <row r="416">
          <cell r="Q416">
            <v>126</v>
          </cell>
          <cell r="R416">
            <v>0.30449999999999999</v>
          </cell>
          <cell r="S416">
            <v>0.28500000000000003</v>
          </cell>
          <cell r="T416">
            <v>0.41049999999999998</v>
          </cell>
          <cell r="U416">
            <v>0</v>
          </cell>
        </row>
        <row r="417">
          <cell r="Q417">
            <v>125</v>
          </cell>
          <cell r="R417">
            <v>0.30891666666666667</v>
          </cell>
          <cell r="S417">
            <v>0.28266666666666668</v>
          </cell>
          <cell r="T417">
            <v>0.40841666666666665</v>
          </cell>
          <cell r="U417">
            <v>0</v>
          </cell>
        </row>
        <row r="418">
          <cell r="Q418">
            <v>124</v>
          </cell>
          <cell r="R418">
            <v>0.31333333333333335</v>
          </cell>
          <cell r="S418">
            <v>0.28033333333333332</v>
          </cell>
          <cell r="T418">
            <v>0.40633333333333332</v>
          </cell>
          <cell r="U418">
            <v>0</v>
          </cell>
        </row>
        <row r="419">
          <cell r="Q419">
            <v>123</v>
          </cell>
          <cell r="R419">
            <v>0.31775000000000003</v>
          </cell>
          <cell r="S419">
            <v>0.27800000000000002</v>
          </cell>
          <cell r="T419">
            <v>0.40425</v>
          </cell>
          <cell r="U419">
            <v>0</v>
          </cell>
        </row>
        <row r="420">
          <cell r="Q420">
            <v>122</v>
          </cell>
          <cell r="R420">
            <v>0.32216666666666671</v>
          </cell>
          <cell r="S420">
            <v>0.27566666666666667</v>
          </cell>
          <cell r="T420">
            <v>0.40216666666666667</v>
          </cell>
          <cell r="U420">
            <v>0</v>
          </cell>
        </row>
        <row r="421">
          <cell r="Q421">
            <v>121</v>
          </cell>
          <cell r="R421">
            <v>0.32658333333333334</v>
          </cell>
          <cell r="S421">
            <v>0.27333333333333337</v>
          </cell>
          <cell r="T421">
            <v>0.40008333333333335</v>
          </cell>
          <cell r="U421">
            <v>0</v>
          </cell>
        </row>
        <row r="422">
          <cell r="Q422">
            <v>120</v>
          </cell>
          <cell r="R422">
            <v>0.33100000000000002</v>
          </cell>
          <cell r="S422">
            <v>0.27100000000000002</v>
          </cell>
          <cell r="T422">
            <v>0.39800000000000002</v>
          </cell>
          <cell r="U422">
            <v>0</v>
          </cell>
        </row>
        <row r="423">
          <cell r="Q423">
            <v>119</v>
          </cell>
          <cell r="R423">
            <v>0.33483333333333337</v>
          </cell>
          <cell r="S423">
            <v>0.26900000000000002</v>
          </cell>
          <cell r="T423">
            <v>0.39616666666666667</v>
          </cell>
          <cell r="U423">
            <v>0</v>
          </cell>
        </row>
        <row r="424">
          <cell r="Q424">
            <v>118</v>
          </cell>
          <cell r="R424">
            <v>0.33866666666666667</v>
          </cell>
          <cell r="S424">
            <v>0.26700000000000002</v>
          </cell>
          <cell r="T424">
            <v>0.39433333333333337</v>
          </cell>
          <cell r="U424">
            <v>0</v>
          </cell>
        </row>
        <row r="425">
          <cell r="Q425">
            <v>117</v>
          </cell>
          <cell r="R425">
            <v>0.34250000000000003</v>
          </cell>
          <cell r="S425">
            <v>0.26500000000000001</v>
          </cell>
          <cell r="T425">
            <v>0.39250000000000002</v>
          </cell>
          <cell r="U425">
            <v>0</v>
          </cell>
        </row>
        <row r="426">
          <cell r="Q426">
            <v>116</v>
          </cell>
          <cell r="R426">
            <v>0.34633333333333333</v>
          </cell>
          <cell r="S426">
            <v>0.26300000000000001</v>
          </cell>
          <cell r="T426">
            <v>0.39066666666666666</v>
          </cell>
          <cell r="U426">
            <v>0</v>
          </cell>
        </row>
        <row r="427">
          <cell r="Q427">
            <v>115</v>
          </cell>
          <cell r="R427">
            <v>0.35016666666666668</v>
          </cell>
          <cell r="S427">
            <v>0.26100000000000001</v>
          </cell>
          <cell r="T427">
            <v>0.38883333333333336</v>
          </cell>
          <cell r="U427">
            <v>0</v>
          </cell>
        </row>
        <row r="428">
          <cell r="Q428">
            <v>114</v>
          </cell>
          <cell r="R428">
            <v>0.35399999999999998</v>
          </cell>
          <cell r="S428">
            <v>0.25900000000000001</v>
          </cell>
          <cell r="T428">
            <v>0.38700000000000001</v>
          </cell>
          <cell r="U428">
            <v>0</v>
          </cell>
        </row>
        <row r="429">
          <cell r="Q429">
            <v>113</v>
          </cell>
          <cell r="R429">
            <v>0.35783333333333334</v>
          </cell>
          <cell r="S429">
            <v>0.25700000000000001</v>
          </cell>
          <cell r="T429">
            <v>0.38516666666666666</v>
          </cell>
          <cell r="U429">
            <v>0</v>
          </cell>
        </row>
        <row r="430">
          <cell r="Q430">
            <v>112</v>
          </cell>
          <cell r="R430">
            <v>0.36166666666666669</v>
          </cell>
          <cell r="S430">
            <v>0.255</v>
          </cell>
          <cell r="T430">
            <v>0.38333333333333336</v>
          </cell>
          <cell r="U430">
            <v>0</v>
          </cell>
        </row>
        <row r="431">
          <cell r="Q431">
            <v>111</v>
          </cell>
          <cell r="R431">
            <v>0.36549999999999999</v>
          </cell>
          <cell r="S431">
            <v>0.253</v>
          </cell>
          <cell r="T431">
            <v>0.38150000000000001</v>
          </cell>
          <cell r="U431">
            <v>0</v>
          </cell>
        </row>
        <row r="432">
          <cell r="Q432">
            <v>110</v>
          </cell>
          <cell r="R432">
            <v>0.36933333333333335</v>
          </cell>
          <cell r="S432">
            <v>0.251</v>
          </cell>
          <cell r="T432">
            <v>0.37966666666666665</v>
          </cell>
          <cell r="U432">
            <v>0</v>
          </cell>
        </row>
        <row r="433">
          <cell r="Q433">
            <v>109</v>
          </cell>
          <cell r="R433">
            <v>0.37316666666666665</v>
          </cell>
          <cell r="S433">
            <v>0.249</v>
          </cell>
          <cell r="T433">
            <v>0.37783333333333335</v>
          </cell>
          <cell r="U433">
            <v>0</v>
          </cell>
        </row>
        <row r="434">
          <cell r="Q434">
            <v>108</v>
          </cell>
          <cell r="R434">
            <v>0.377</v>
          </cell>
          <cell r="S434">
            <v>0.247</v>
          </cell>
          <cell r="T434">
            <v>0.376</v>
          </cell>
          <cell r="U434">
            <v>0</v>
          </cell>
        </row>
        <row r="435">
          <cell r="Q435">
            <v>107</v>
          </cell>
          <cell r="R435">
            <v>0.38033333333333336</v>
          </cell>
          <cell r="S435">
            <v>0.24533333333333332</v>
          </cell>
          <cell r="T435">
            <v>0.37433333333333335</v>
          </cell>
          <cell r="U435">
            <v>0</v>
          </cell>
        </row>
        <row r="436">
          <cell r="Q436">
            <v>106</v>
          </cell>
          <cell r="R436">
            <v>0.38366666666666666</v>
          </cell>
          <cell r="S436">
            <v>0.24366666666666667</v>
          </cell>
          <cell r="T436">
            <v>0.37266666666666665</v>
          </cell>
          <cell r="U436">
            <v>0</v>
          </cell>
        </row>
        <row r="437">
          <cell r="Q437">
            <v>105</v>
          </cell>
          <cell r="R437">
            <v>0.38700000000000001</v>
          </cell>
          <cell r="S437">
            <v>0.24199999999999999</v>
          </cell>
          <cell r="T437">
            <v>0.371</v>
          </cell>
          <cell r="U437">
            <v>0</v>
          </cell>
        </row>
        <row r="438">
          <cell r="Q438">
            <v>104</v>
          </cell>
          <cell r="R438">
            <v>0.39033333333333331</v>
          </cell>
          <cell r="S438">
            <v>0.24033333333333334</v>
          </cell>
          <cell r="T438">
            <v>0.36933333333333335</v>
          </cell>
          <cell r="U438">
            <v>0</v>
          </cell>
        </row>
        <row r="439">
          <cell r="Q439">
            <v>103</v>
          </cell>
          <cell r="R439">
            <v>0.39366666666666666</v>
          </cell>
          <cell r="S439">
            <v>0.23866666666666667</v>
          </cell>
          <cell r="T439">
            <v>0.36766666666666664</v>
          </cell>
          <cell r="U439">
            <v>0</v>
          </cell>
        </row>
        <row r="440">
          <cell r="Q440">
            <v>102</v>
          </cell>
          <cell r="R440">
            <v>0.39700000000000002</v>
          </cell>
          <cell r="S440">
            <v>0.23699999999999999</v>
          </cell>
          <cell r="T440">
            <v>0.36599999999999999</v>
          </cell>
          <cell r="U440">
            <v>0</v>
          </cell>
        </row>
        <row r="441">
          <cell r="Q441">
            <v>101</v>
          </cell>
          <cell r="R441">
            <v>0.40033333333333332</v>
          </cell>
          <cell r="S441">
            <v>0.23533333333333334</v>
          </cell>
          <cell r="T441">
            <v>0.36433333333333334</v>
          </cell>
          <cell r="U441">
            <v>0</v>
          </cell>
        </row>
        <row r="442">
          <cell r="Q442">
            <v>100</v>
          </cell>
          <cell r="R442">
            <v>0.40366666666666667</v>
          </cell>
          <cell r="S442">
            <v>0.23366666666666666</v>
          </cell>
          <cell r="T442">
            <v>0.36266666666666664</v>
          </cell>
          <cell r="U442">
            <v>0</v>
          </cell>
        </row>
        <row r="443">
          <cell r="Q443">
            <v>99</v>
          </cell>
          <cell r="R443">
            <v>0.40699999999999997</v>
          </cell>
          <cell r="S443">
            <v>0.23200000000000001</v>
          </cell>
          <cell r="T443">
            <v>0.36099999999999999</v>
          </cell>
          <cell r="U443">
            <v>0</v>
          </cell>
        </row>
        <row r="444">
          <cell r="Q444">
            <v>98</v>
          </cell>
          <cell r="R444">
            <v>0.41033333333333333</v>
          </cell>
          <cell r="S444">
            <v>0.23033333333333333</v>
          </cell>
          <cell r="T444">
            <v>0.35933333333333334</v>
          </cell>
          <cell r="U444">
            <v>0</v>
          </cell>
        </row>
        <row r="445">
          <cell r="Q445">
            <v>97</v>
          </cell>
          <cell r="R445">
            <v>0.41366666666666663</v>
          </cell>
          <cell r="S445">
            <v>0.22866666666666668</v>
          </cell>
          <cell r="T445">
            <v>0.35766666666666663</v>
          </cell>
          <cell r="U445">
            <v>0</v>
          </cell>
        </row>
        <row r="446">
          <cell r="Q446">
            <v>96</v>
          </cell>
          <cell r="R446">
            <v>0.41699999999999998</v>
          </cell>
          <cell r="S446">
            <v>0.22700000000000001</v>
          </cell>
          <cell r="T446">
            <v>0.35599999999999998</v>
          </cell>
          <cell r="U446">
            <v>0</v>
          </cell>
        </row>
        <row r="447">
          <cell r="Q447">
            <v>95</v>
          </cell>
          <cell r="R447">
            <v>0.41991666666666666</v>
          </cell>
          <cell r="S447">
            <v>0.22541666666666668</v>
          </cell>
          <cell r="T447">
            <v>0.35466666666666663</v>
          </cell>
          <cell r="U447">
            <v>0</v>
          </cell>
        </row>
        <row r="448">
          <cell r="Q448">
            <v>94</v>
          </cell>
          <cell r="R448">
            <v>0.42283333333333334</v>
          </cell>
          <cell r="S448">
            <v>0.22383333333333333</v>
          </cell>
          <cell r="T448">
            <v>0.35333333333333333</v>
          </cell>
          <cell r="U448">
            <v>0</v>
          </cell>
        </row>
        <row r="449">
          <cell r="Q449">
            <v>93</v>
          </cell>
          <cell r="R449">
            <v>0.42574999999999996</v>
          </cell>
          <cell r="S449">
            <v>0.22225</v>
          </cell>
          <cell r="T449">
            <v>0.35199999999999998</v>
          </cell>
          <cell r="U449">
            <v>0</v>
          </cell>
        </row>
        <row r="450">
          <cell r="Q450">
            <v>92</v>
          </cell>
          <cell r="R450">
            <v>0.42866666666666664</v>
          </cell>
          <cell r="S450">
            <v>0.22066666666666668</v>
          </cell>
          <cell r="T450">
            <v>0.35066666666666668</v>
          </cell>
          <cell r="U450">
            <v>0</v>
          </cell>
        </row>
        <row r="451">
          <cell r="Q451">
            <v>91</v>
          </cell>
          <cell r="R451">
            <v>0.43158333333333332</v>
          </cell>
          <cell r="S451">
            <v>0.21908333333333332</v>
          </cell>
          <cell r="T451">
            <v>0.34933333333333333</v>
          </cell>
          <cell r="U451">
            <v>0</v>
          </cell>
        </row>
        <row r="452">
          <cell r="Q452">
            <v>90</v>
          </cell>
          <cell r="R452">
            <v>0.4345</v>
          </cell>
          <cell r="S452">
            <v>0.2175</v>
          </cell>
          <cell r="T452">
            <v>0.34799999999999998</v>
          </cell>
          <cell r="U452">
            <v>0</v>
          </cell>
        </row>
        <row r="453">
          <cell r="Q453">
            <v>89</v>
          </cell>
          <cell r="R453">
            <v>0.43741666666666668</v>
          </cell>
          <cell r="S453">
            <v>0.21591666666666667</v>
          </cell>
          <cell r="T453">
            <v>0.34666666666666668</v>
          </cell>
          <cell r="U453">
            <v>0</v>
          </cell>
        </row>
        <row r="454">
          <cell r="Q454">
            <v>88</v>
          </cell>
          <cell r="R454">
            <v>0.44033333333333335</v>
          </cell>
          <cell r="S454">
            <v>0.21433333333333332</v>
          </cell>
          <cell r="T454">
            <v>0.34533333333333333</v>
          </cell>
          <cell r="U454">
            <v>0</v>
          </cell>
        </row>
        <row r="455">
          <cell r="Q455">
            <v>87</v>
          </cell>
          <cell r="R455">
            <v>0.44325000000000003</v>
          </cell>
          <cell r="S455">
            <v>0.21274999999999999</v>
          </cell>
          <cell r="T455">
            <v>0.34400000000000003</v>
          </cell>
          <cell r="U455">
            <v>0</v>
          </cell>
        </row>
        <row r="456">
          <cell r="Q456">
            <v>86</v>
          </cell>
          <cell r="R456">
            <v>0.44616666666666666</v>
          </cell>
          <cell r="S456">
            <v>0.21116666666666667</v>
          </cell>
          <cell r="T456">
            <v>0.34266666666666667</v>
          </cell>
          <cell r="U456">
            <v>0</v>
          </cell>
        </row>
        <row r="457">
          <cell r="Q457">
            <v>85</v>
          </cell>
          <cell r="R457">
            <v>0.44908333333333333</v>
          </cell>
          <cell r="S457">
            <v>0.20958333333333332</v>
          </cell>
          <cell r="T457">
            <v>0.34133333333333338</v>
          </cell>
          <cell r="U457">
            <v>0</v>
          </cell>
        </row>
        <row r="458">
          <cell r="Q458">
            <v>84</v>
          </cell>
          <cell r="R458">
            <v>0.45200000000000001</v>
          </cell>
          <cell r="S458">
            <v>0.20799999999999999</v>
          </cell>
          <cell r="T458">
            <v>0.34</v>
          </cell>
          <cell r="U458">
            <v>0</v>
          </cell>
        </row>
        <row r="459">
          <cell r="Q459">
            <v>83</v>
          </cell>
          <cell r="R459">
            <v>0.45466666666666666</v>
          </cell>
          <cell r="S459">
            <v>0.20666666666666667</v>
          </cell>
          <cell r="T459">
            <v>0.33866666666666667</v>
          </cell>
          <cell r="U459">
            <v>0</v>
          </cell>
        </row>
        <row r="460">
          <cell r="Q460">
            <v>82</v>
          </cell>
          <cell r="R460">
            <v>0.45733333333333337</v>
          </cell>
          <cell r="S460">
            <v>0.20533333333333331</v>
          </cell>
          <cell r="T460">
            <v>0.33733333333333337</v>
          </cell>
          <cell r="U460">
            <v>0</v>
          </cell>
        </row>
        <row r="461">
          <cell r="Q461">
            <v>81</v>
          </cell>
          <cell r="R461">
            <v>0.46</v>
          </cell>
          <cell r="S461">
            <v>0.20399999999999999</v>
          </cell>
          <cell r="T461">
            <v>0.33600000000000002</v>
          </cell>
          <cell r="U461">
            <v>0</v>
          </cell>
        </row>
        <row r="462">
          <cell r="Q462">
            <v>80</v>
          </cell>
          <cell r="R462">
            <v>0.46266666666666667</v>
          </cell>
          <cell r="S462">
            <v>0.20266666666666666</v>
          </cell>
          <cell r="T462">
            <v>0.33466666666666667</v>
          </cell>
          <cell r="U462">
            <v>0</v>
          </cell>
        </row>
        <row r="463">
          <cell r="Q463">
            <v>79</v>
          </cell>
          <cell r="R463">
            <v>0.46533333333333332</v>
          </cell>
          <cell r="S463">
            <v>0.20133333333333334</v>
          </cell>
          <cell r="T463">
            <v>0.33333333333333337</v>
          </cell>
          <cell r="U463">
            <v>0</v>
          </cell>
        </row>
        <row r="464">
          <cell r="Q464">
            <v>78</v>
          </cell>
          <cell r="R464">
            <v>0.46799999999999997</v>
          </cell>
          <cell r="S464">
            <v>0.2</v>
          </cell>
          <cell r="T464">
            <v>0.33200000000000002</v>
          </cell>
          <cell r="U464">
            <v>0</v>
          </cell>
        </row>
        <row r="465">
          <cell r="Q465">
            <v>77</v>
          </cell>
          <cell r="R465">
            <v>0.47066666666666668</v>
          </cell>
          <cell r="S465">
            <v>0.19866666666666666</v>
          </cell>
          <cell r="T465">
            <v>0.33066666666666666</v>
          </cell>
          <cell r="U465">
            <v>0</v>
          </cell>
        </row>
        <row r="466">
          <cell r="Q466">
            <v>76</v>
          </cell>
          <cell r="R466">
            <v>0.47333333333333333</v>
          </cell>
          <cell r="S466">
            <v>0.19733333333333333</v>
          </cell>
          <cell r="T466">
            <v>0.32933333333333337</v>
          </cell>
          <cell r="U466">
            <v>0</v>
          </cell>
        </row>
        <row r="467">
          <cell r="Q467">
            <v>75</v>
          </cell>
          <cell r="R467">
            <v>0.47599999999999998</v>
          </cell>
          <cell r="S467">
            <v>0.19600000000000001</v>
          </cell>
          <cell r="T467">
            <v>0.32800000000000001</v>
          </cell>
          <cell r="U467">
            <v>0</v>
          </cell>
        </row>
        <row r="468">
          <cell r="Q468">
            <v>74</v>
          </cell>
          <cell r="R468">
            <v>0.47866666666666668</v>
          </cell>
          <cell r="S468">
            <v>0.19466666666666665</v>
          </cell>
          <cell r="T468">
            <v>0.32666666666666666</v>
          </cell>
          <cell r="U468">
            <v>0</v>
          </cell>
        </row>
        <row r="469">
          <cell r="Q469">
            <v>73</v>
          </cell>
          <cell r="R469">
            <v>0.48133333333333334</v>
          </cell>
          <cell r="S469">
            <v>0.19333333333333333</v>
          </cell>
          <cell r="T469">
            <v>0.32533333333333336</v>
          </cell>
          <cell r="U469">
            <v>0</v>
          </cell>
        </row>
        <row r="470">
          <cell r="Q470">
            <v>72</v>
          </cell>
          <cell r="R470">
            <v>0.48399999999999999</v>
          </cell>
          <cell r="S470">
            <v>0.192</v>
          </cell>
          <cell r="T470">
            <v>0.32400000000000001</v>
          </cell>
          <cell r="U470">
            <v>0</v>
          </cell>
        </row>
        <row r="471">
          <cell r="Q471">
            <v>71</v>
          </cell>
          <cell r="R471">
            <v>0.48633333333333334</v>
          </cell>
          <cell r="S471">
            <v>0.19083333333333333</v>
          </cell>
          <cell r="T471">
            <v>0.32283333333333336</v>
          </cell>
          <cell r="U471">
            <v>0</v>
          </cell>
        </row>
        <row r="472">
          <cell r="Q472">
            <v>70</v>
          </cell>
          <cell r="R472">
            <v>0.48866666666666664</v>
          </cell>
          <cell r="S472">
            <v>0.18966666666666668</v>
          </cell>
          <cell r="T472">
            <v>0.32166666666666666</v>
          </cell>
          <cell r="U472">
            <v>0</v>
          </cell>
        </row>
        <row r="473">
          <cell r="Q473">
            <v>69</v>
          </cell>
          <cell r="R473">
            <v>0.49099999999999999</v>
          </cell>
          <cell r="S473">
            <v>0.1885</v>
          </cell>
          <cell r="T473">
            <v>0.32050000000000001</v>
          </cell>
          <cell r="U473">
            <v>0</v>
          </cell>
        </row>
        <row r="474">
          <cell r="Q474">
            <v>68</v>
          </cell>
          <cell r="R474">
            <v>0.49333333333333335</v>
          </cell>
          <cell r="S474">
            <v>0.18733333333333332</v>
          </cell>
          <cell r="T474">
            <v>0.31933333333333336</v>
          </cell>
          <cell r="U474">
            <v>0</v>
          </cell>
        </row>
        <row r="475">
          <cell r="Q475">
            <v>67</v>
          </cell>
          <cell r="R475">
            <v>0.49566666666666664</v>
          </cell>
          <cell r="S475">
            <v>0.18616666666666667</v>
          </cell>
          <cell r="T475">
            <v>0.31816666666666665</v>
          </cell>
          <cell r="U475">
            <v>0</v>
          </cell>
        </row>
        <row r="476">
          <cell r="Q476">
            <v>66</v>
          </cell>
          <cell r="R476">
            <v>0.498</v>
          </cell>
          <cell r="S476">
            <v>0.185</v>
          </cell>
          <cell r="T476">
            <v>0.317</v>
          </cell>
          <cell r="U476">
            <v>0</v>
          </cell>
        </row>
        <row r="477">
          <cell r="Q477">
            <v>65</v>
          </cell>
          <cell r="R477">
            <v>0.5003333333333333</v>
          </cell>
          <cell r="S477">
            <v>0.18383333333333332</v>
          </cell>
          <cell r="T477">
            <v>0.31583333333333335</v>
          </cell>
          <cell r="U477">
            <v>0</v>
          </cell>
        </row>
        <row r="478">
          <cell r="Q478">
            <v>64</v>
          </cell>
          <cell r="R478">
            <v>0.50266666666666671</v>
          </cell>
          <cell r="S478">
            <v>0.18266666666666667</v>
          </cell>
          <cell r="T478">
            <v>0.31466666666666665</v>
          </cell>
          <cell r="U478">
            <v>0</v>
          </cell>
        </row>
        <row r="479">
          <cell r="Q479">
            <v>63</v>
          </cell>
          <cell r="R479">
            <v>0.505</v>
          </cell>
          <cell r="S479">
            <v>0.18149999999999999</v>
          </cell>
          <cell r="T479">
            <v>0.3135</v>
          </cell>
          <cell r="U479">
            <v>0</v>
          </cell>
        </row>
        <row r="480">
          <cell r="Q480">
            <v>62</v>
          </cell>
          <cell r="R480">
            <v>0.5073333333333333</v>
          </cell>
          <cell r="S480">
            <v>0.18033333333333332</v>
          </cell>
          <cell r="T480">
            <v>0.31233333333333335</v>
          </cell>
          <cell r="U480">
            <v>0</v>
          </cell>
        </row>
        <row r="481">
          <cell r="Q481">
            <v>61</v>
          </cell>
          <cell r="R481">
            <v>0.50966666666666671</v>
          </cell>
          <cell r="S481">
            <v>0.17916666666666667</v>
          </cell>
          <cell r="T481">
            <v>0.31116666666666665</v>
          </cell>
          <cell r="U481">
            <v>0</v>
          </cell>
        </row>
        <row r="482">
          <cell r="Q482">
            <v>60</v>
          </cell>
          <cell r="R482">
            <v>0.51200000000000001</v>
          </cell>
          <cell r="S482">
            <v>0.17799999999999999</v>
          </cell>
          <cell r="T482">
            <v>0.31</v>
          </cell>
          <cell r="U482">
            <v>0</v>
          </cell>
        </row>
        <row r="483">
          <cell r="Q483">
            <v>59</v>
          </cell>
          <cell r="R483">
            <v>0.51408333333333334</v>
          </cell>
          <cell r="S483">
            <v>0.17691666666666667</v>
          </cell>
          <cell r="T483">
            <v>0.309</v>
          </cell>
          <cell r="U483">
            <v>0</v>
          </cell>
        </row>
        <row r="484">
          <cell r="Q484">
            <v>58</v>
          </cell>
          <cell r="R484">
            <v>0.51616666666666666</v>
          </cell>
          <cell r="S484">
            <v>0.17583333333333334</v>
          </cell>
          <cell r="T484">
            <v>0.308</v>
          </cell>
          <cell r="U484">
            <v>0</v>
          </cell>
        </row>
        <row r="485">
          <cell r="Q485">
            <v>57</v>
          </cell>
          <cell r="R485">
            <v>0.51824999999999999</v>
          </cell>
          <cell r="S485">
            <v>0.17474999999999999</v>
          </cell>
          <cell r="T485">
            <v>0.307</v>
          </cell>
          <cell r="U485">
            <v>0</v>
          </cell>
        </row>
        <row r="486">
          <cell r="Q486">
            <v>56</v>
          </cell>
          <cell r="R486">
            <v>0.52033333333333331</v>
          </cell>
          <cell r="S486">
            <v>0.17366666666666666</v>
          </cell>
          <cell r="T486">
            <v>0.30599999999999999</v>
          </cell>
          <cell r="U486">
            <v>0</v>
          </cell>
        </row>
        <row r="487">
          <cell r="Q487">
            <v>55</v>
          </cell>
          <cell r="R487">
            <v>0.52241666666666664</v>
          </cell>
          <cell r="S487">
            <v>0.17258333333333334</v>
          </cell>
          <cell r="T487">
            <v>0.30499999999999999</v>
          </cell>
          <cell r="U487">
            <v>0</v>
          </cell>
        </row>
        <row r="488">
          <cell r="Q488">
            <v>54</v>
          </cell>
          <cell r="R488">
            <v>0.52449999999999997</v>
          </cell>
          <cell r="S488">
            <v>0.17149999999999999</v>
          </cell>
          <cell r="T488">
            <v>0.30399999999999999</v>
          </cell>
          <cell r="U488">
            <v>0</v>
          </cell>
        </row>
        <row r="489">
          <cell r="Q489">
            <v>53</v>
          </cell>
          <cell r="R489">
            <v>0.5265833333333334</v>
          </cell>
          <cell r="S489">
            <v>0.17041666666666666</v>
          </cell>
          <cell r="T489">
            <v>0.30299999999999999</v>
          </cell>
          <cell r="U489">
            <v>0</v>
          </cell>
        </row>
        <row r="490">
          <cell r="Q490">
            <v>52</v>
          </cell>
          <cell r="R490">
            <v>0.52866666666666673</v>
          </cell>
          <cell r="S490">
            <v>0.16933333333333334</v>
          </cell>
          <cell r="T490">
            <v>0.30199999999999999</v>
          </cell>
          <cell r="U490">
            <v>0</v>
          </cell>
        </row>
        <row r="491">
          <cell r="Q491">
            <v>51</v>
          </cell>
          <cell r="R491">
            <v>0.53075000000000006</v>
          </cell>
          <cell r="S491">
            <v>0.16825000000000001</v>
          </cell>
          <cell r="T491">
            <v>0.30099999999999999</v>
          </cell>
          <cell r="U491">
            <v>0</v>
          </cell>
        </row>
        <row r="492">
          <cell r="Q492">
            <v>50</v>
          </cell>
          <cell r="R492">
            <v>0.53283333333333338</v>
          </cell>
          <cell r="S492">
            <v>0.16716666666666669</v>
          </cell>
          <cell r="T492">
            <v>0.3</v>
          </cell>
          <cell r="U492">
            <v>0</v>
          </cell>
        </row>
        <row r="493">
          <cell r="Q493">
            <v>49</v>
          </cell>
          <cell r="R493">
            <v>0.53491666666666671</v>
          </cell>
          <cell r="S493">
            <v>0.16608333333333333</v>
          </cell>
          <cell r="T493">
            <v>0.29899999999999999</v>
          </cell>
          <cell r="U493">
            <v>0</v>
          </cell>
        </row>
        <row r="494">
          <cell r="Q494">
            <v>48</v>
          </cell>
          <cell r="R494">
            <v>0.53700000000000003</v>
          </cell>
          <cell r="S494">
            <v>0.16500000000000001</v>
          </cell>
          <cell r="T494">
            <v>0.29799999999999999</v>
          </cell>
          <cell r="U494">
            <v>0</v>
          </cell>
        </row>
        <row r="495">
          <cell r="Q495">
            <v>47</v>
          </cell>
          <cell r="R495">
            <v>0.53891666666666671</v>
          </cell>
          <cell r="S495">
            <v>0.16400000000000001</v>
          </cell>
          <cell r="T495">
            <v>0.29708333333333331</v>
          </cell>
          <cell r="U495">
            <v>0</v>
          </cell>
        </row>
        <row r="496">
          <cell r="Q496">
            <v>46</v>
          </cell>
          <cell r="R496">
            <v>0.54083333333333339</v>
          </cell>
          <cell r="S496">
            <v>0.16300000000000001</v>
          </cell>
          <cell r="T496">
            <v>0.29616666666666663</v>
          </cell>
          <cell r="U496">
            <v>0</v>
          </cell>
        </row>
        <row r="497">
          <cell r="Q497">
            <v>45</v>
          </cell>
          <cell r="R497">
            <v>0.54275000000000007</v>
          </cell>
          <cell r="S497">
            <v>0.16200000000000001</v>
          </cell>
          <cell r="T497">
            <v>0.29525000000000001</v>
          </cell>
          <cell r="U497">
            <v>0</v>
          </cell>
        </row>
        <row r="498">
          <cell r="Q498">
            <v>44</v>
          </cell>
          <cell r="R498">
            <v>0.54466666666666674</v>
          </cell>
          <cell r="S498">
            <v>0.161</v>
          </cell>
          <cell r="T498">
            <v>0.29433333333333334</v>
          </cell>
          <cell r="U498">
            <v>0</v>
          </cell>
        </row>
        <row r="499">
          <cell r="Q499">
            <v>43</v>
          </cell>
          <cell r="R499">
            <v>0.54658333333333342</v>
          </cell>
          <cell r="S499">
            <v>0.16</v>
          </cell>
          <cell r="T499">
            <v>0.29341666666666666</v>
          </cell>
          <cell r="U499">
            <v>0</v>
          </cell>
        </row>
        <row r="500">
          <cell r="Q500">
            <v>42</v>
          </cell>
          <cell r="R500">
            <v>0.54849999999999999</v>
          </cell>
          <cell r="S500">
            <v>0.159</v>
          </cell>
          <cell r="T500">
            <v>0.29249999999999998</v>
          </cell>
          <cell r="U500">
            <v>0</v>
          </cell>
        </row>
        <row r="501">
          <cell r="Q501">
            <v>41</v>
          </cell>
          <cell r="R501">
            <v>0.55041666666666667</v>
          </cell>
          <cell r="S501">
            <v>0.158</v>
          </cell>
          <cell r="T501">
            <v>0.29158333333333331</v>
          </cell>
          <cell r="U501">
            <v>0</v>
          </cell>
        </row>
        <row r="502">
          <cell r="Q502">
            <v>40</v>
          </cell>
          <cell r="R502">
            <v>0.55233333333333334</v>
          </cell>
          <cell r="S502">
            <v>0.157</v>
          </cell>
          <cell r="T502">
            <v>0.29066666666666663</v>
          </cell>
          <cell r="U502">
            <v>0</v>
          </cell>
        </row>
        <row r="503">
          <cell r="Q503">
            <v>39</v>
          </cell>
          <cell r="R503">
            <v>0.55425000000000002</v>
          </cell>
          <cell r="S503">
            <v>0.156</v>
          </cell>
          <cell r="T503">
            <v>0.28974999999999995</v>
          </cell>
          <cell r="U503">
            <v>0</v>
          </cell>
        </row>
        <row r="504">
          <cell r="Q504">
            <v>38</v>
          </cell>
          <cell r="R504">
            <v>0.5561666666666667</v>
          </cell>
          <cell r="S504">
            <v>0.155</v>
          </cell>
          <cell r="T504">
            <v>0.28883333333333333</v>
          </cell>
          <cell r="U504">
            <v>0</v>
          </cell>
        </row>
        <row r="505">
          <cell r="Q505">
            <v>37</v>
          </cell>
          <cell r="R505">
            <v>0.55808333333333338</v>
          </cell>
          <cell r="S505">
            <v>0.154</v>
          </cell>
          <cell r="T505">
            <v>0.28791666666666665</v>
          </cell>
          <cell r="U505">
            <v>0</v>
          </cell>
        </row>
        <row r="506">
          <cell r="Q506">
            <v>36</v>
          </cell>
          <cell r="R506">
            <v>0.56000000000000005</v>
          </cell>
          <cell r="S506">
            <v>0.153</v>
          </cell>
          <cell r="T506">
            <v>0.28699999999999998</v>
          </cell>
          <cell r="U506">
            <v>0</v>
          </cell>
        </row>
        <row r="507">
          <cell r="Q507">
            <v>35</v>
          </cell>
          <cell r="R507">
            <v>0.56175000000000008</v>
          </cell>
          <cell r="S507">
            <v>0.15208333333333332</v>
          </cell>
          <cell r="T507">
            <v>0.28616666666666662</v>
          </cell>
          <cell r="U507">
            <v>0</v>
          </cell>
        </row>
        <row r="508">
          <cell r="Q508">
            <v>34</v>
          </cell>
          <cell r="R508">
            <v>0.5635</v>
          </cell>
          <cell r="S508">
            <v>0.15116666666666667</v>
          </cell>
          <cell r="T508">
            <v>0.28533333333333333</v>
          </cell>
          <cell r="U508">
            <v>0</v>
          </cell>
        </row>
        <row r="509">
          <cell r="Q509">
            <v>33</v>
          </cell>
          <cell r="R509">
            <v>0.56525000000000003</v>
          </cell>
          <cell r="S509">
            <v>0.15024999999999999</v>
          </cell>
          <cell r="T509">
            <v>0.28449999999999998</v>
          </cell>
          <cell r="U509">
            <v>0</v>
          </cell>
        </row>
        <row r="510">
          <cell r="Q510">
            <v>32</v>
          </cell>
          <cell r="R510">
            <v>0.56700000000000006</v>
          </cell>
          <cell r="S510">
            <v>0.14933333333333332</v>
          </cell>
          <cell r="T510">
            <v>0.28366666666666668</v>
          </cell>
          <cell r="U510">
            <v>0</v>
          </cell>
        </row>
        <row r="511">
          <cell r="Q511">
            <v>31</v>
          </cell>
          <cell r="R511">
            <v>0.56874999999999998</v>
          </cell>
          <cell r="S511">
            <v>0.14841666666666667</v>
          </cell>
          <cell r="T511">
            <v>0.28283333333333333</v>
          </cell>
          <cell r="U511">
            <v>0</v>
          </cell>
        </row>
        <row r="512">
          <cell r="Q512">
            <v>30</v>
          </cell>
          <cell r="R512">
            <v>0.57050000000000001</v>
          </cell>
          <cell r="S512">
            <v>0.14749999999999999</v>
          </cell>
          <cell r="T512">
            <v>0.28200000000000003</v>
          </cell>
          <cell r="U512">
            <v>0</v>
          </cell>
        </row>
        <row r="513">
          <cell r="Q513">
            <v>29</v>
          </cell>
          <cell r="R513">
            <v>0.57225000000000004</v>
          </cell>
          <cell r="S513">
            <v>0.14658333333333332</v>
          </cell>
          <cell r="T513">
            <v>0.28116666666666668</v>
          </cell>
          <cell r="U513">
            <v>0</v>
          </cell>
        </row>
        <row r="514">
          <cell r="Q514">
            <v>28</v>
          </cell>
          <cell r="R514">
            <v>0.57399999999999995</v>
          </cell>
          <cell r="S514">
            <v>0.14566666666666667</v>
          </cell>
          <cell r="T514">
            <v>0.28033333333333332</v>
          </cell>
          <cell r="U514">
            <v>0</v>
          </cell>
        </row>
        <row r="515">
          <cell r="Q515">
            <v>27</v>
          </cell>
          <cell r="R515">
            <v>0.57574999999999998</v>
          </cell>
          <cell r="S515">
            <v>0.14474999999999999</v>
          </cell>
          <cell r="T515">
            <v>0.27950000000000003</v>
          </cell>
          <cell r="U515">
            <v>0</v>
          </cell>
        </row>
        <row r="516">
          <cell r="Q516">
            <v>26</v>
          </cell>
          <cell r="R516">
            <v>0.57750000000000001</v>
          </cell>
          <cell r="S516">
            <v>0.14383333333333331</v>
          </cell>
          <cell r="T516">
            <v>0.27866666666666667</v>
          </cell>
          <cell r="U516">
            <v>0</v>
          </cell>
        </row>
        <row r="517">
          <cell r="Q517">
            <v>25</v>
          </cell>
          <cell r="R517">
            <v>0.57924999999999993</v>
          </cell>
          <cell r="S517">
            <v>0.14291666666666666</v>
          </cell>
          <cell r="T517">
            <v>0.27783333333333338</v>
          </cell>
          <cell r="U517">
            <v>0</v>
          </cell>
        </row>
        <row r="518">
          <cell r="Q518">
            <v>24</v>
          </cell>
          <cell r="R518">
            <v>0.58099999999999996</v>
          </cell>
          <cell r="S518">
            <v>0.14199999999999999</v>
          </cell>
          <cell r="T518">
            <v>0.27700000000000002</v>
          </cell>
          <cell r="U518">
            <v>0</v>
          </cell>
        </row>
        <row r="519">
          <cell r="Q519">
            <v>23</v>
          </cell>
          <cell r="R519">
            <v>0.58250000000000002</v>
          </cell>
          <cell r="S519">
            <v>0.14124999999999999</v>
          </cell>
          <cell r="T519">
            <v>0.27625</v>
          </cell>
          <cell r="U519">
            <v>0</v>
          </cell>
        </row>
        <row r="520">
          <cell r="Q520">
            <v>22</v>
          </cell>
          <cell r="R520">
            <v>0.58399999999999996</v>
          </cell>
          <cell r="S520">
            <v>0.14049999999999999</v>
          </cell>
          <cell r="T520">
            <v>0.27550000000000002</v>
          </cell>
          <cell r="U520">
            <v>0</v>
          </cell>
        </row>
        <row r="521">
          <cell r="Q521">
            <v>21</v>
          </cell>
          <cell r="R521">
            <v>0.58549999999999991</v>
          </cell>
          <cell r="S521">
            <v>0.13974999999999999</v>
          </cell>
          <cell r="T521">
            <v>0.27475000000000005</v>
          </cell>
          <cell r="U521">
            <v>0</v>
          </cell>
        </row>
        <row r="522">
          <cell r="Q522">
            <v>20</v>
          </cell>
          <cell r="R522">
            <v>0.58699999999999997</v>
          </cell>
          <cell r="S522">
            <v>0.13899999999999998</v>
          </cell>
          <cell r="T522">
            <v>0.27400000000000002</v>
          </cell>
          <cell r="U522">
            <v>0</v>
          </cell>
        </row>
        <row r="523">
          <cell r="Q523">
            <v>19</v>
          </cell>
          <cell r="R523">
            <v>0.58850000000000002</v>
          </cell>
          <cell r="S523">
            <v>0.13824999999999998</v>
          </cell>
          <cell r="T523">
            <v>0.27324999999999999</v>
          </cell>
          <cell r="U523">
            <v>0</v>
          </cell>
        </row>
        <row r="524">
          <cell r="Q524">
            <v>18</v>
          </cell>
          <cell r="R524">
            <v>0.59</v>
          </cell>
          <cell r="S524">
            <v>0.13750000000000001</v>
          </cell>
          <cell r="T524">
            <v>0.27250000000000002</v>
          </cell>
          <cell r="U524">
            <v>0</v>
          </cell>
        </row>
        <row r="525">
          <cell r="Q525">
            <v>17</v>
          </cell>
          <cell r="R525">
            <v>0.59149999999999991</v>
          </cell>
          <cell r="S525">
            <v>0.13675000000000001</v>
          </cell>
          <cell r="T525">
            <v>0.27175000000000005</v>
          </cell>
          <cell r="U525">
            <v>0</v>
          </cell>
        </row>
        <row r="526">
          <cell r="Q526">
            <v>16</v>
          </cell>
          <cell r="R526">
            <v>0.59299999999999997</v>
          </cell>
          <cell r="S526">
            <v>0.13600000000000001</v>
          </cell>
          <cell r="T526">
            <v>0.27100000000000002</v>
          </cell>
          <cell r="U526">
            <v>0</v>
          </cell>
        </row>
        <row r="527">
          <cell r="Q527">
            <v>15</v>
          </cell>
          <cell r="R527">
            <v>0.59450000000000003</v>
          </cell>
          <cell r="S527">
            <v>0.13525000000000001</v>
          </cell>
          <cell r="T527">
            <v>0.27024999999999999</v>
          </cell>
          <cell r="U527">
            <v>0</v>
          </cell>
        </row>
        <row r="528">
          <cell r="Q528">
            <v>14</v>
          </cell>
          <cell r="R528">
            <v>0.59599999999999997</v>
          </cell>
          <cell r="S528">
            <v>0.13450000000000001</v>
          </cell>
          <cell r="T528">
            <v>0.26950000000000002</v>
          </cell>
          <cell r="U528">
            <v>0</v>
          </cell>
        </row>
        <row r="529">
          <cell r="Q529">
            <v>13</v>
          </cell>
          <cell r="R529">
            <v>0.59749999999999992</v>
          </cell>
          <cell r="S529">
            <v>0.13375000000000001</v>
          </cell>
          <cell r="T529">
            <v>0.26875000000000004</v>
          </cell>
          <cell r="U529">
            <v>0</v>
          </cell>
        </row>
        <row r="530">
          <cell r="Q530">
            <v>12</v>
          </cell>
          <cell r="R530">
            <v>0.59899999999999998</v>
          </cell>
          <cell r="S530">
            <v>0.13300000000000001</v>
          </cell>
          <cell r="T530">
            <v>0.26800000000000002</v>
          </cell>
          <cell r="U530">
            <v>0</v>
          </cell>
        </row>
        <row r="531">
          <cell r="Q531">
            <v>11</v>
          </cell>
          <cell r="R531">
            <v>0.6004166666666666</v>
          </cell>
          <cell r="S531">
            <v>0.13225000000000001</v>
          </cell>
          <cell r="T531">
            <v>0.26733333333333337</v>
          </cell>
          <cell r="U531">
            <v>0</v>
          </cell>
        </row>
        <row r="532">
          <cell r="Q532">
            <v>10</v>
          </cell>
          <cell r="R532">
            <v>0.60183333333333333</v>
          </cell>
          <cell r="S532">
            <v>0.13150000000000001</v>
          </cell>
          <cell r="T532">
            <v>0.26666666666666666</v>
          </cell>
          <cell r="U532">
            <v>0</v>
          </cell>
        </row>
        <row r="533">
          <cell r="Q533">
            <v>9</v>
          </cell>
          <cell r="R533">
            <v>0.60324999999999995</v>
          </cell>
          <cell r="S533">
            <v>0.13075000000000001</v>
          </cell>
          <cell r="T533">
            <v>0.26600000000000001</v>
          </cell>
          <cell r="U533">
            <v>0</v>
          </cell>
        </row>
        <row r="534">
          <cell r="Q534">
            <v>8</v>
          </cell>
          <cell r="R534">
            <v>0.60466666666666669</v>
          </cell>
          <cell r="S534">
            <v>0.13</v>
          </cell>
          <cell r="T534">
            <v>0.26533333333333337</v>
          </cell>
          <cell r="U534">
            <v>0</v>
          </cell>
        </row>
        <row r="535">
          <cell r="Q535">
            <v>7</v>
          </cell>
          <cell r="R535">
            <v>0.60608333333333331</v>
          </cell>
          <cell r="S535">
            <v>0.12925</v>
          </cell>
          <cell r="T535">
            <v>0.26466666666666666</v>
          </cell>
          <cell r="U535">
            <v>0</v>
          </cell>
        </row>
        <row r="536">
          <cell r="Q536">
            <v>6</v>
          </cell>
          <cell r="R536">
            <v>0.60749999999999993</v>
          </cell>
          <cell r="S536">
            <v>0.1285</v>
          </cell>
          <cell r="T536">
            <v>0.26400000000000001</v>
          </cell>
          <cell r="U536">
            <v>0</v>
          </cell>
        </row>
        <row r="537">
          <cell r="Q537">
            <v>5</v>
          </cell>
          <cell r="R537">
            <v>0.60891666666666666</v>
          </cell>
          <cell r="S537">
            <v>0.12775</v>
          </cell>
          <cell r="T537">
            <v>0.26333333333333336</v>
          </cell>
          <cell r="U537">
            <v>0</v>
          </cell>
        </row>
        <row r="538">
          <cell r="Q538">
            <v>4</v>
          </cell>
          <cell r="R538">
            <v>0.61033333333333328</v>
          </cell>
          <cell r="S538">
            <v>0.127</v>
          </cell>
          <cell r="T538">
            <v>0.26266666666666666</v>
          </cell>
          <cell r="U538">
            <v>0</v>
          </cell>
        </row>
        <row r="539">
          <cell r="Q539">
            <v>3</v>
          </cell>
          <cell r="R539">
            <v>0.61175000000000002</v>
          </cell>
          <cell r="S539">
            <v>0.12625</v>
          </cell>
          <cell r="T539">
            <v>0.26200000000000001</v>
          </cell>
          <cell r="U539">
            <v>0</v>
          </cell>
        </row>
        <row r="540">
          <cell r="Q540">
            <v>2</v>
          </cell>
          <cell r="R540">
            <v>0.61316666666666664</v>
          </cell>
          <cell r="S540">
            <v>0.1255</v>
          </cell>
          <cell r="T540">
            <v>0.26133333333333336</v>
          </cell>
          <cell r="U540">
            <v>0</v>
          </cell>
        </row>
        <row r="541">
          <cell r="Q541">
            <v>1</v>
          </cell>
          <cell r="R541">
            <v>0.61458333333333337</v>
          </cell>
          <cell r="S541">
            <v>0.12475</v>
          </cell>
          <cell r="T541">
            <v>0.26066666666666666</v>
          </cell>
          <cell r="U541">
            <v>0</v>
          </cell>
        </row>
        <row r="542">
          <cell r="Q542">
            <v>0</v>
          </cell>
          <cell r="R542">
            <v>0.61599999999999999</v>
          </cell>
          <cell r="S542">
            <v>0.124</v>
          </cell>
          <cell r="T542">
            <v>0.26</v>
          </cell>
          <cell r="U542">
            <v>0</v>
          </cell>
        </row>
      </sheetData>
      <sheetData sheetId="1" refreshError="1">
        <row r="2">
          <cell r="Q2">
            <v>540</v>
          </cell>
          <cell r="R2">
            <v>0</v>
          </cell>
          <cell r="S2">
            <v>0</v>
          </cell>
          <cell r="T2">
            <v>0.308</v>
          </cell>
          <cell r="U2">
            <v>0.69199999999999995</v>
          </cell>
        </row>
        <row r="3">
          <cell r="Q3">
            <v>539</v>
          </cell>
          <cell r="R3">
            <v>0</v>
          </cell>
          <cell r="S3">
            <v>0</v>
          </cell>
          <cell r="T3">
            <v>0.308</v>
          </cell>
          <cell r="U3">
            <v>0.69199999999999995</v>
          </cell>
        </row>
        <row r="4">
          <cell r="Q4">
            <v>538</v>
          </cell>
          <cell r="R4">
            <v>0</v>
          </cell>
          <cell r="S4">
            <v>0</v>
          </cell>
          <cell r="T4">
            <v>0.308</v>
          </cell>
          <cell r="U4">
            <v>0.69199999999999995</v>
          </cell>
        </row>
        <row r="5">
          <cell r="Q5">
            <v>537</v>
          </cell>
          <cell r="R5">
            <v>0</v>
          </cell>
          <cell r="S5">
            <v>0</v>
          </cell>
          <cell r="T5">
            <v>0.308</v>
          </cell>
          <cell r="U5">
            <v>0.69199999999999995</v>
          </cell>
        </row>
        <row r="6">
          <cell r="Q6">
            <v>536</v>
          </cell>
          <cell r="R6">
            <v>0</v>
          </cell>
          <cell r="S6">
            <v>0</v>
          </cell>
          <cell r="T6">
            <v>0.308</v>
          </cell>
          <cell r="U6">
            <v>0.69199999999999995</v>
          </cell>
        </row>
        <row r="7">
          <cell r="Q7">
            <v>535</v>
          </cell>
          <cell r="R7">
            <v>0</v>
          </cell>
          <cell r="S7">
            <v>0</v>
          </cell>
          <cell r="T7">
            <v>0.308</v>
          </cell>
          <cell r="U7">
            <v>0.69199999999999995</v>
          </cell>
        </row>
        <row r="8">
          <cell r="Q8">
            <v>534</v>
          </cell>
          <cell r="R8">
            <v>0</v>
          </cell>
          <cell r="S8">
            <v>0</v>
          </cell>
          <cell r="T8">
            <v>0.308</v>
          </cell>
          <cell r="U8">
            <v>0.69199999999999995</v>
          </cell>
        </row>
        <row r="9">
          <cell r="Q9">
            <v>533</v>
          </cell>
          <cell r="R9">
            <v>0</v>
          </cell>
          <cell r="S9">
            <v>0</v>
          </cell>
          <cell r="T9">
            <v>0.308</v>
          </cell>
          <cell r="U9">
            <v>0.69199999999999995</v>
          </cell>
        </row>
        <row r="10">
          <cell r="Q10">
            <v>532</v>
          </cell>
          <cell r="R10">
            <v>0</v>
          </cell>
          <cell r="S10">
            <v>0</v>
          </cell>
          <cell r="T10">
            <v>0.308</v>
          </cell>
          <cell r="U10">
            <v>0.69199999999999995</v>
          </cell>
        </row>
        <row r="11">
          <cell r="Q11">
            <v>531</v>
          </cell>
          <cell r="R11">
            <v>0</v>
          </cell>
          <cell r="S11">
            <v>0</v>
          </cell>
          <cell r="T11">
            <v>0.308</v>
          </cell>
          <cell r="U11">
            <v>0.69199999999999995</v>
          </cell>
        </row>
        <row r="12">
          <cell r="Q12">
            <v>530</v>
          </cell>
          <cell r="R12">
            <v>0</v>
          </cell>
          <cell r="S12">
            <v>0</v>
          </cell>
          <cell r="T12">
            <v>0.308</v>
          </cell>
          <cell r="U12">
            <v>0.69199999999999995</v>
          </cell>
        </row>
        <row r="13">
          <cell r="Q13">
            <v>529</v>
          </cell>
          <cell r="R13">
            <v>0</v>
          </cell>
          <cell r="S13">
            <v>0</v>
          </cell>
          <cell r="T13">
            <v>0.308</v>
          </cell>
          <cell r="U13">
            <v>0.69199999999999995</v>
          </cell>
        </row>
        <row r="14">
          <cell r="Q14">
            <v>528</v>
          </cell>
          <cell r="R14">
            <v>0</v>
          </cell>
          <cell r="S14">
            <v>0</v>
          </cell>
          <cell r="T14">
            <v>0.308</v>
          </cell>
          <cell r="U14">
            <v>0.69199999999999995</v>
          </cell>
        </row>
        <row r="15">
          <cell r="Q15">
            <v>527</v>
          </cell>
          <cell r="R15">
            <v>0</v>
          </cell>
          <cell r="S15">
            <v>0</v>
          </cell>
          <cell r="T15">
            <v>0.308</v>
          </cell>
          <cell r="U15">
            <v>0.69199999999999995</v>
          </cell>
        </row>
        <row r="16">
          <cell r="Q16">
            <v>526</v>
          </cell>
          <cell r="R16">
            <v>0</v>
          </cell>
          <cell r="S16">
            <v>0</v>
          </cell>
          <cell r="T16">
            <v>0.308</v>
          </cell>
          <cell r="U16">
            <v>0.69199999999999995</v>
          </cell>
        </row>
        <row r="17">
          <cell r="Q17">
            <v>525</v>
          </cell>
          <cell r="R17">
            <v>0</v>
          </cell>
          <cell r="S17">
            <v>0</v>
          </cell>
          <cell r="T17">
            <v>0.308</v>
          </cell>
          <cell r="U17">
            <v>0.69199999999999995</v>
          </cell>
        </row>
        <row r="18">
          <cell r="Q18">
            <v>524</v>
          </cell>
          <cell r="R18">
            <v>0</v>
          </cell>
          <cell r="S18">
            <v>0</v>
          </cell>
          <cell r="T18">
            <v>0.308</v>
          </cell>
          <cell r="U18">
            <v>0.69199999999999995</v>
          </cell>
        </row>
        <row r="19">
          <cell r="Q19">
            <v>523</v>
          </cell>
          <cell r="R19">
            <v>0</v>
          </cell>
          <cell r="S19">
            <v>0</v>
          </cell>
          <cell r="T19">
            <v>0.308</v>
          </cell>
          <cell r="U19">
            <v>0.69199999999999995</v>
          </cell>
        </row>
        <row r="20">
          <cell r="Q20">
            <v>522</v>
          </cell>
          <cell r="R20">
            <v>0</v>
          </cell>
          <cell r="S20">
            <v>0</v>
          </cell>
          <cell r="T20">
            <v>0.308</v>
          </cell>
          <cell r="U20">
            <v>0.69199999999999995</v>
          </cell>
        </row>
        <row r="21">
          <cell r="Q21">
            <v>521</v>
          </cell>
          <cell r="R21">
            <v>0</v>
          </cell>
          <cell r="S21">
            <v>0</v>
          </cell>
          <cell r="T21">
            <v>0.308</v>
          </cell>
          <cell r="U21">
            <v>0.69199999999999995</v>
          </cell>
        </row>
        <row r="22">
          <cell r="Q22">
            <v>520</v>
          </cell>
          <cell r="R22">
            <v>0</v>
          </cell>
          <cell r="S22">
            <v>0</v>
          </cell>
          <cell r="T22">
            <v>0.308</v>
          </cell>
          <cell r="U22">
            <v>0.69199999999999995</v>
          </cell>
        </row>
        <row r="23">
          <cell r="Q23">
            <v>519</v>
          </cell>
          <cell r="R23">
            <v>0</v>
          </cell>
          <cell r="S23">
            <v>0</v>
          </cell>
          <cell r="T23">
            <v>0.308</v>
          </cell>
          <cell r="U23">
            <v>0.69199999999999995</v>
          </cell>
        </row>
        <row r="24">
          <cell r="Q24">
            <v>518</v>
          </cell>
          <cell r="R24">
            <v>0</v>
          </cell>
          <cell r="S24">
            <v>0</v>
          </cell>
          <cell r="T24">
            <v>0.308</v>
          </cell>
          <cell r="U24">
            <v>0.69199999999999995</v>
          </cell>
        </row>
        <row r="25">
          <cell r="Q25">
            <v>517</v>
          </cell>
          <cell r="R25">
            <v>0</v>
          </cell>
          <cell r="S25">
            <v>0</v>
          </cell>
          <cell r="T25">
            <v>0.308</v>
          </cell>
          <cell r="U25">
            <v>0.69199999999999995</v>
          </cell>
        </row>
        <row r="26">
          <cell r="Q26">
            <v>516</v>
          </cell>
          <cell r="R26">
            <v>0</v>
          </cell>
          <cell r="S26">
            <v>0</v>
          </cell>
          <cell r="T26">
            <v>0.308</v>
          </cell>
          <cell r="U26">
            <v>0.69199999999999995</v>
          </cell>
        </row>
        <row r="27">
          <cell r="Q27">
            <v>515</v>
          </cell>
          <cell r="R27">
            <v>0</v>
          </cell>
          <cell r="S27">
            <v>0</v>
          </cell>
          <cell r="T27">
            <v>0.308</v>
          </cell>
          <cell r="U27">
            <v>0.69199999999999995</v>
          </cell>
        </row>
        <row r="28">
          <cell r="Q28">
            <v>514</v>
          </cell>
          <cell r="R28">
            <v>0</v>
          </cell>
          <cell r="S28">
            <v>0</v>
          </cell>
          <cell r="T28">
            <v>0.308</v>
          </cell>
          <cell r="U28">
            <v>0.69199999999999995</v>
          </cell>
        </row>
        <row r="29">
          <cell r="Q29">
            <v>513</v>
          </cell>
          <cell r="R29">
            <v>0</v>
          </cell>
          <cell r="S29">
            <v>0</v>
          </cell>
          <cell r="T29">
            <v>0.308</v>
          </cell>
          <cell r="U29">
            <v>0.69199999999999995</v>
          </cell>
        </row>
        <row r="30">
          <cell r="Q30">
            <v>512</v>
          </cell>
          <cell r="R30">
            <v>0</v>
          </cell>
          <cell r="S30">
            <v>0</v>
          </cell>
          <cell r="T30">
            <v>0.308</v>
          </cell>
          <cell r="U30">
            <v>0.69199999999999995</v>
          </cell>
        </row>
        <row r="31">
          <cell r="Q31">
            <v>511</v>
          </cell>
          <cell r="R31">
            <v>0</v>
          </cell>
          <cell r="S31">
            <v>0</v>
          </cell>
          <cell r="T31">
            <v>0.308</v>
          </cell>
          <cell r="U31">
            <v>0.69199999999999995</v>
          </cell>
        </row>
        <row r="32">
          <cell r="Q32">
            <v>510</v>
          </cell>
          <cell r="R32">
            <v>0</v>
          </cell>
          <cell r="S32">
            <v>0</v>
          </cell>
          <cell r="T32">
            <v>0.308</v>
          </cell>
          <cell r="U32">
            <v>0.69199999999999995</v>
          </cell>
        </row>
        <row r="33">
          <cell r="Q33">
            <v>509</v>
          </cell>
          <cell r="R33">
            <v>0</v>
          </cell>
          <cell r="S33">
            <v>0</v>
          </cell>
          <cell r="T33">
            <v>0.308</v>
          </cell>
          <cell r="U33">
            <v>0.69199999999999995</v>
          </cell>
        </row>
        <row r="34">
          <cell r="Q34">
            <v>508</v>
          </cell>
          <cell r="R34">
            <v>0</v>
          </cell>
          <cell r="S34">
            <v>0</v>
          </cell>
          <cell r="T34">
            <v>0.308</v>
          </cell>
          <cell r="U34">
            <v>0.69199999999999995</v>
          </cell>
        </row>
        <row r="35">
          <cell r="Q35">
            <v>507</v>
          </cell>
          <cell r="R35">
            <v>0</v>
          </cell>
          <cell r="S35">
            <v>0</v>
          </cell>
          <cell r="T35">
            <v>0.308</v>
          </cell>
          <cell r="U35">
            <v>0.69199999999999995</v>
          </cell>
        </row>
        <row r="36">
          <cell r="Q36">
            <v>506</v>
          </cell>
          <cell r="R36">
            <v>0</v>
          </cell>
          <cell r="S36">
            <v>0</v>
          </cell>
          <cell r="T36">
            <v>0.308</v>
          </cell>
          <cell r="U36">
            <v>0.69199999999999995</v>
          </cell>
        </row>
        <row r="37">
          <cell r="Q37">
            <v>505</v>
          </cell>
          <cell r="R37">
            <v>0</v>
          </cell>
          <cell r="S37">
            <v>0</v>
          </cell>
          <cell r="T37">
            <v>0.308</v>
          </cell>
          <cell r="U37">
            <v>0.69199999999999995</v>
          </cell>
        </row>
        <row r="38">
          <cell r="Q38">
            <v>504</v>
          </cell>
          <cell r="R38">
            <v>0</v>
          </cell>
          <cell r="S38">
            <v>0</v>
          </cell>
          <cell r="T38">
            <v>0.308</v>
          </cell>
          <cell r="U38">
            <v>0.69199999999999995</v>
          </cell>
        </row>
        <row r="39">
          <cell r="Q39">
            <v>503</v>
          </cell>
          <cell r="R39">
            <v>0</v>
          </cell>
          <cell r="S39">
            <v>0</v>
          </cell>
          <cell r="T39">
            <v>0.308</v>
          </cell>
          <cell r="U39">
            <v>0.69199999999999995</v>
          </cell>
        </row>
        <row r="40">
          <cell r="Q40">
            <v>502</v>
          </cell>
          <cell r="R40">
            <v>0</v>
          </cell>
          <cell r="S40">
            <v>0</v>
          </cell>
          <cell r="T40">
            <v>0.308</v>
          </cell>
          <cell r="U40">
            <v>0.69199999999999995</v>
          </cell>
        </row>
        <row r="41">
          <cell r="Q41">
            <v>501</v>
          </cell>
          <cell r="R41">
            <v>0</v>
          </cell>
          <cell r="S41">
            <v>0</v>
          </cell>
          <cell r="T41">
            <v>0.308</v>
          </cell>
          <cell r="U41">
            <v>0.69199999999999995</v>
          </cell>
        </row>
        <row r="42">
          <cell r="Q42">
            <v>500</v>
          </cell>
          <cell r="R42">
            <v>0</v>
          </cell>
          <cell r="S42">
            <v>0</v>
          </cell>
          <cell r="T42">
            <v>0.308</v>
          </cell>
          <cell r="U42">
            <v>0.69199999999999995</v>
          </cell>
        </row>
        <row r="43">
          <cell r="Q43">
            <v>499</v>
          </cell>
          <cell r="R43">
            <v>0</v>
          </cell>
          <cell r="S43">
            <v>0</v>
          </cell>
          <cell r="T43">
            <v>0.308</v>
          </cell>
          <cell r="U43">
            <v>0.69199999999999995</v>
          </cell>
        </row>
        <row r="44">
          <cell r="Q44">
            <v>498</v>
          </cell>
          <cell r="R44">
            <v>0</v>
          </cell>
          <cell r="S44">
            <v>0</v>
          </cell>
          <cell r="T44">
            <v>0.308</v>
          </cell>
          <cell r="U44">
            <v>0.69199999999999995</v>
          </cell>
        </row>
        <row r="45">
          <cell r="Q45">
            <v>497</v>
          </cell>
          <cell r="R45">
            <v>0</v>
          </cell>
          <cell r="S45">
            <v>0</v>
          </cell>
          <cell r="T45">
            <v>0.308</v>
          </cell>
          <cell r="U45">
            <v>0.69199999999999995</v>
          </cell>
        </row>
        <row r="46">
          <cell r="Q46">
            <v>496</v>
          </cell>
          <cell r="R46">
            <v>0</v>
          </cell>
          <cell r="S46">
            <v>0</v>
          </cell>
          <cell r="T46">
            <v>0.308</v>
          </cell>
          <cell r="U46">
            <v>0.69199999999999995</v>
          </cell>
        </row>
        <row r="47">
          <cell r="Q47">
            <v>495</v>
          </cell>
          <cell r="R47">
            <v>0</v>
          </cell>
          <cell r="S47">
            <v>0</v>
          </cell>
          <cell r="T47">
            <v>0.308</v>
          </cell>
          <cell r="U47">
            <v>0.69199999999999995</v>
          </cell>
        </row>
        <row r="48">
          <cell r="Q48">
            <v>494</v>
          </cell>
          <cell r="R48">
            <v>0</v>
          </cell>
          <cell r="S48">
            <v>0</v>
          </cell>
          <cell r="T48">
            <v>0.308</v>
          </cell>
          <cell r="U48">
            <v>0.69199999999999995</v>
          </cell>
        </row>
        <row r="49">
          <cell r="Q49">
            <v>493</v>
          </cell>
          <cell r="R49">
            <v>0</v>
          </cell>
          <cell r="S49">
            <v>0</v>
          </cell>
          <cell r="T49">
            <v>0.308</v>
          </cell>
          <cell r="U49">
            <v>0.69199999999999995</v>
          </cell>
        </row>
        <row r="50">
          <cell r="Q50">
            <v>492</v>
          </cell>
          <cell r="R50">
            <v>0</v>
          </cell>
          <cell r="S50">
            <v>0</v>
          </cell>
          <cell r="T50">
            <v>0.308</v>
          </cell>
          <cell r="U50">
            <v>0.69199999999999995</v>
          </cell>
        </row>
        <row r="51">
          <cell r="Q51">
            <v>491</v>
          </cell>
          <cell r="R51">
            <v>0</v>
          </cell>
          <cell r="S51">
            <v>0</v>
          </cell>
          <cell r="T51">
            <v>0.308</v>
          </cell>
          <cell r="U51">
            <v>0.69199999999999995</v>
          </cell>
        </row>
        <row r="52">
          <cell r="Q52">
            <v>490</v>
          </cell>
          <cell r="R52">
            <v>0</v>
          </cell>
          <cell r="S52">
            <v>0</v>
          </cell>
          <cell r="T52">
            <v>0.308</v>
          </cell>
          <cell r="U52">
            <v>0.69199999999999995</v>
          </cell>
        </row>
        <row r="53">
          <cell r="Q53">
            <v>489</v>
          </cell>
          <cell r="R53">
            <v>0</v>
          </cell>
          <cell r="S53">
            <v>0</v>
          </cell>
          <cell r="T53">
            <v>0.308</v>
          </cell>
          <cell r="U53">
            <v>0.69199999999999995</v>
          </cell>
        </row>
        <row r="54">
          <cell r="Q54">
            <v>488</v>
          </cell>
          <cell r="R54">
            <v>0</v>
          </cell>
          <cell r="S54">
            <v>0</v>
          </cell>
          <cell r="T54">
            <v>0.308</v>
          </cell>
          <cell r="U54">
            <v>0.69199999999999995</v>
          </cell>
        </row>
        <row r="55">
          <cell r="Q55">
            <v>487</v>
          </cell>
          <cell r="R55">
            <v>0</v>
          </cell>
          <cell r="S55">
            <v>0</v>
          </cell>
          <cell r="T55">
            <v>0.308</v>
          </cell>
          <cell r="U55">
            <v>0.69199999999999995</v>
          </cell>
        </row>
        <row r="56">
          <cell r="Q56">
            <v>486</v>
          </cell>
          <cell r="R56">
            <v>0</v>
          </cell>
          <cell r="S56">
            <v>0</v>
          </cell>
          <cell r="T56">
            <v>0.308</v>
          </cell>
          <cell r="U56">
            <v>0.69199999999999995</v>
          </cell>
        </row>
        <row r="57">
          <cell r="Q57">
            <v>485</v>
          </cell>
          <cell r="R57">
            <v>0</v>
          </cell>
          <cell r="S57">
            <v>0</v>
          </cell>
          <cell r="T57">
            <v>0.308</v>
          </cell>
          <cell r="U57">
            <v>0.69199999999999995</v>
          </cell>
        </row>
        <row r="58">
          <cell r="Q58">
            <v>484</v>
          </cell>
          <cell r="R58">
            <v>0</v>
          </cell>
          <cell r="S58">
            <v>0</v>
          </cell>
          <cell r="T58">
            <v>0.308</v>
          </cell>
          <cell r="U58">
            <v>0.69199999999999995</v>
          </cell>
        </row>
        <row r="59">
          <cell r="Q59">
            <v>483</v>
          </cell>
          <cell r="R59">
            <v>0</v>
          </cell>
          <cell r="S59">
            <v>0</v>
          </cell>
          <cell r="T59">
            <v>0.308</v>
          </cell>
          <cell r="U59">
            <v>0.69199999999999995</v>
          </cell>
        </row>
        <row r="60">
          <cell r="Q60">
            <v>482</v>
          </cell>
          <cell r="R60">
            <v>0</v>
          </cell>
          <cell r="S60">
            <v>0</v>
          </cell>
          <cell r="T60">
            <v>0.308</v>
          </cell>
          <cell r="U60">
            <v>0.69199999999999995</v>
          </cell>
        </row>
        <row r="61">
          <cell r="Q61">
            <v>481</v>
          </cell>
          <cell r="R61">
            <v>0</v>
          </cell>
          <cell r="S61">
            <v>0</v>
          </cell>
          <cell r="T61">
            <v>0.308</v>
          </cell>
          <cell r="U61">
            <v>0.69199999999999995</v>
          </cell>
        </row>
        <row r="62">
          <cell r="Q62">
            <v>480</v>
          </cell>
          <cell r="R62">
            <v>0</v>
          </cell>
          <cell r="S62">
            <v>0</v>
          </cell>
          <cell r="T62">
            <v>0.308</v>
          </cell>
          <cell r="U62">
            <v>0.69199999999999995</v>
          </cell>
        </row>
        <row r="63">
          <cell r="Q63">
            <v>479</v>
          </cell>
          <cell r="R63">
            <v>0</v>
          </cell>
          <cell r="S63">
            <v>0</v>
          </cell>
          <cell r="T63">
            <v>0.308</v>
          </cell>
          <cell r="U63">
            <v>0.69199999999999995</v>
          </cell>
        </row>
        <row r="64">
          <cell r="Q64">
            <v>478</v>
          </cell>
          <cell r="R64">
            <v>0</v>
          </cell>
          <cell r="S64">
            <v>0</v>
          </cell>
          <cell r="T64">
            <v>0.308</v>
          </cell>
          <cell r="U64">
            <v>0.69199999999999995</v>
          </cell>
        </row>
        <row r="65">
          <cell r="Q65">
            <v>477</v>
          </cell>
          <cell r="R65">
            <v>0</v>
          </cell>
          <cell r="S65">
            <v>0</v>
          </cell>
          <cell r="T65">
            <v>0.308</v>
          </cell>
          <cell r="U65">
            <v>0.69199999999999995</v>
          </cell>
        </row>
        <row r="66">
          <cell r="Q66">
            <v>476</v>
          </cell>
          <cell r="R66">
            <v>0</v>
          </cell>
          <cell r="S66">
            <v>0</v>
          </cell>
          <cell r="T66">
            <v>0.308</v>
          </cell>
          <cell r="U66">
            <v>0.69199999999999995</v>
          </cell>
        </row>
        <row r="67">
          <cell r="Q67">
            <v>475</v>
          </cell>
          <cell r="R67">
            <v>0</v>
          </cell>
          <cell r="S67">
            <v>0</v>
          </cell>
          <cell r="T67">
            <v>0.308</v>
          </cell>
          <cell r="U67">
            <v>0.69199999999999995</v>
          </cell>
        </row>
        <row r="68">
          <cell r="Q68">
            <v>474</v>
          </cell>
          <cell r="R68">
            <v>0</v>
          </cell>
          <cell r="S68">
            <v>0</v>
          </cell>
          <cell r="T68">
            <v>0.308</v>
          </cell>
          <cell r="U68">
            <v>0.69199999999999995</v>
          </cell>
        </row>
        <row r="69">
          <cell r="Q69">
            <v>473</v>
          </cell>
          <cell r="R69">
            <v>0</v>
          </cell>
          <cell r="S69">
            <v>0</v>
          </cell>
          <cell r="T69">
            <v>0.308</v>
          </cell>
          <cell r="U69">
            <v>0.69199999999999995</v>
          </cell>
        </row>
        <row r="70">
          <cell r="Q70">
            <v>472</v>
          </cell>
          <cell r="R70">
            <v>0</v>
          </cell>
          <cell r="S70">
            <v>0</v>
          </cell>
          <cell r="T70">
            <v>0.308</v>
          </cell>
          <cell r="U70">
            <v>0.69199999999999995</v>
          </cell>
        </row>
        <row r="71">
          <cell r="Q71">
            <v>471</v>
          </cell>
          <cell r="R71">
            <v>0</v>
          </cell>
          <cell r="S71">
            <v>0</v>
          </cell>
          <cell r="T71">
            <v>0.308</v>
          </cell>
          <cell r="U71">
            <v>0.69199999999999995</v>
          </cell>
        </row>
        <row r="72">
          <cell r="Q72">
            <v>470</v>
          </cell>
          <cell r="R72">
            <v>0</v>
          </cell>
          <cell r="S72">
            <v>0</v>
          </cell>
          <cell r="T72">
            <v>0.308</v>
          </cell>
          <cell r="U72">
            <v>0.69199999999999995</v>
          </cell>
        </row>
        <row r="73">
          <cell r="Q73">
            <v>469</v>
          </cell>
          <cell r="R73">
            <v>0</v>
          </cell>
          <cell r="S73">
            <v>0</v>
          </cell>
          <cell r="T73">
            <v>0.308</v>
          </cell>
          <cell r="U73">
            <v>0.69199999999999995</v>
          </cell>
        </row>
        <row r="74">
          <cell r="Q74">
            <v>468</v>
          </cell>
          <cell r="R74">
            <v>0</v>
          </cell>
          <cell r="S74">
            <v>0</v>
          </cell>
          <cell r="T74">
            <v>0.308</v>
          </cell>
          <cell r="U74">
            <v>0.69199999999999995</v>
          </cell>
        </row>
        <row r="75">
          <cell r="Q75">
            <v>467</v>
          </cell>
          <cell r="R75">
            <v>0</v>
          </cell>
          <cell r="S75">
            <v>0</v>
          </cell>
          <cell r="T75">
            <v>0.308</v>
          </cell>
          <cell r="U75">
            <v>0.69199999999999995</v>
          </cell>
        </row>
        <row r="76">
          <cell r="Q76">
            <v>466</v>
          </cell>
          <cell r="R76">
            <v>0</v>
          </cell>
          <cell r="S76">
            <v>0</v>
          </cell>
          <cell r="T76">
            <v>0.308</v>
          </cell>
          <cell r="U76">
            <v>0.69199999999999995</v>
          </cell>
        </row>
        <row r="77">
          <cell r="Q77">
            <v>465</v>
          </cell>
          <cell r="R77">
            <v>0</v>
          </cell>
          <cell r="S77">
            <v>0</v>
          </cell>
          <cell r="T77">
            <v>0.308</v>
          </cell>
          <cell r="U77">
            <v>0.69199999999999995</v>
          </cell>
        </row>
        <row r="78">
          <cell r="Q78">
            <v>464</v>
          </cell>
          <cell r="R78">
            <v>0</v>
          </cell>
          <cell r="S78">
            <v>0</v>
          </cell>
          <cell r="T78">
            <v>0.308</v>
          </cell>
          <cell r="U78">
            <v>0.69199999999999995</v>
          </cell>
        </row>
        <row r="79">
          <cell r="Q79">
            <v>463</v>
          </cell>
          <cell r="R79">
            <v>0</v>
          </cell>
          <cell r="S79">
            <v>0</v>
          </cell>
          <cell r="T79">
            <v>0.308</v>
          </cell>
          <cell r="U79">
            <v>0.69199999999999995</v>
          </cell>
        </row>
        <row r="80">
          <cell r="Q80">
            <v>462</v>
          </cell>
          <cell r="R80">
            <v>0</v>
          </cell>
          <cell r="S80">
            <v>0</v>
          </cell>
          <cell r="T80">
            <v>0.308</v>
          </cell>
          <cell r="U80">
            <v>0.69199999999999995</v>
          </cell>
        </row>
        <row r="81">
          <cell r="Q81">
            <v>461</v>
          </cell>
          <cell r="R81">
            <v>0</v>
          </cell>
          <cell r="S81">
            <v>0</v>
          </cell>
          <cell r="T81">
            <v>0.308</v>
          </cell>
          <cell r="U81">
            <v>0.69199999999999995</v>
          </cell>
        </row>
        <row r="82">
          <cell r="Q82">
            <v>460</v>
          </cell>
          <cell r="R82">
            <v>0</v>
          </cell>
          <cell r="S82">
            <v>0</v>
          </cell>
          <cell r="T82">
            <v>0.308</v>
          </cell>
          <cell r="U82">
            <v>0.69199999999999995</v>
          </cell>
        </row>
        <row r="83">
          <cell r="Q83">
            <v>459</v>
          </cell>
          <cell r="R83">
            <v>0</v>
          </cell>
          <cell r="S83">
            <v>0</v>
          </cell>
          <cell r="T83">
            <v>0.308</v>
          </cell>
          <cell r="U83">
            <v>0.69199999999999995</v>
          </cell>
        </row>
        <row r="84">
          <cell r="Q84">
            <v>458</v>
          </cell>
          <cell r="R84">
            <v>0</v>
          </cell>
          <cell r="S84">
            <v>0</v>
          </cell>
          <cell r="T84">
            <v>0.308</v>
          </cell>
          <cell r="U84">
            <v>0.69199999999999995</v>
          </cell>
        </row>
        <row r="85">
          <cell r="Q85">
            <v>457</v>
          </cell>
          <cell r="R85">
            <v>0</v>
          </cell>
          <cell r="S85">
            <v>0</v>
          </cell>
          <cell r="T85">
            <v>0.308</v>
          </cell>
          <cell r="U85">
            <v>0.69199999999999995</v>
          </cell>
        </row>
        <row r="86">
          <cell r="Q86">
            <v>456</v>
          </cell>
          <cell r="R86">
            <v>0</v>
          </cell>
          <cell r="S86">
            <v>0</v>
          </cell>
          <cell r="T86">
            <v>0.308</v>
          </cell>
          <cell r="U86">
            <v>0.69199999999999995</v>
          </cell>
        </row>
        <row r="87">
          <cell r="Q87">
            <v>455</v>
          </cell>
          <cell r="R87">
            <v>0</v>
          </cell>
          <cell r="S87">
            <v>0</v>
          </cell>
          <cell r="T87">
            <v>0.308</v>
          </cell>
          <cell r="U87">
            <v>0.69199999999999995</v>
          </cell>
        </row>
        <row r="88">
          <cell r="Q88">
            <v>454</v>
          </cell>
          <cell r="R88">
            <v>0</v>
          </cell>
          <cell r="S88">
            <v>0</v>
          </cell>
          <cell r="T88">
            <v>0.308</v>
          </cell>
          <cell r="U88">
            <v>0.69199999999999995</v>
          </cell>
        </row>
        <row r="89">
          <cell r="Q89">
            <v>453</v>
          </cell>
          <cell r="R89">
            <v>0</v>
          </cell>
          <cell r="S89">
            <v>0</v>
          </cell>
          <cell r="T89">
            <v>0.308</v>
          </cell>
          <cell r="U89">
            <v>0.69199999999999995</v>
          </cell>
        </row>
        <row r="90">
          <cell r="Q90">
            <v>452</v>
          </cell>
          <cell r="R90">
            <v>0</v>
          </cell>
          <cell r="S90">
            <v>0</v>
          </cell>
          <cell r="T90">
            <v>0.308</v>
          </cell>
          <cell r="U90">
            <v>0.69199999999999995</v>
          </cell>
        </row>
        <row r="91">
          <cell r="Q91">
            <v>451</v>
          </cell>
          <cell r="R91">
            <v>0</v>
          </cell>
          <cell r="S91">
            <v>0</v>
          </cell>
          <cell r="T91">
            <v>0.308</v>
          </cell>
          <cell r="U91">
            <v>0.69199999999999995</v>
          </cell>
        </row>
        <row r="92">
          <cell r="Q92">
            <v>450</v>
          </cell>
          <cell r="R92">
            <v>0</v>
          </cell>
          <cell r="S92">
            <v>0</v>
          </cell>
          <cell r="T92">
            <v>0.308</v>
          </cell>
          <cell r="U92">
            <v>0.69199999999999995</v>
          </cell>
        </row>
        <row r="93">
          <cell r="Q93">
            <v>449</v>
          </cell>
          <cell r="R93">
            <v>0</v>
          </cell>
          <cell r="S93">
            <v>0</v>
          </cell>
          <cell r="T93">
            <v>0.308</v>
          </cell>
          <cell r="U93">
            <v>0.69199999999999995</v>
          </cell>
        </row>
        <row r="94">
          <cell r="Q94">
            <v>448</v>
          </cell>
          <cell r="R94">
            <v>0</v>
          </cell>
          <cell r="S94">
            <v>0</v>
          </cell>
          <cell r="T94">
            <v>0.308</v>
          </cell>
          <cell r="U94">
            <v>0.69199999999999995</v>
          </cell>
        </row>
        <row r="95">
          <cell r="Q95">
            <v>447</v>
          </cell>
          <cell r="R95">
            <v>0</v>
          </cell>
          <cell r="S95">
            <v>0</v>
          </cell>
          <cell r="T95">
            <v>0.308</v>
          </cell>
          <cell r="U95">
            <v>0.69199999999999995</v>
          </cell>
        </row>
        <row r="96">
          <cell r="Q96">
            <v>446</v>
          </cell>
          <cell r="R96">
            <v>0</v>
          </cell>
          <cell r="S96">
            <v>0</v>
          </cell>
          <cell r="T96">
            <v>0.308</v>
          </cell>
          <cell r="U96">
            <v>0.69199999999999995</v>
          </cell>
        </row>
        <row r="97">
          <cell r="Q97">
            <v>445</v>
          </cell>
          <cell r="R97">
            <v>0</v>
          </cell>
          <cell r="S97">
            <v>0</v>
          </cell>
          <cell r="T97">
            <v>0.308</v>
          </cell>
          <cell r="U97">
            <v>0.69199999999999995</v>
          </cell>
        </row>
        <row r="98">
          <cell r="Q98">
            <v>444</v>
          </cell>
          <cell r="R98">
            <v>0</v>
          </cell>
          <cell r="S98">
            <v>0</v>
          </cell>
          <cell r="T98">
            <v>0.308</v>
          </cell>
          <cell r="U98">
            <v>0.69199999999999995</v>
          </cell>
        </row>
        <row r="99">
          <cell r="Q99">
            <v>443</v>
          </cell>
          <cell r="R99">
            <v>0</v>
          </cell>
          <cell r="S99">
            <v>0</v>
          </cell>
          <cell r="T99">
            <v>0.308</v>
          </cell>
          <cell r="U99">
            <v>0.69199999999999995</v>
          </cell>
        </row>
        <row r="100">
          <cell r="Q100">
            <v>442</v>
          </cell>
          <cell r="R100">
            <v>0</v>
          </cell>
          <cell r="S100">
            <v>0</v>
          </cell>
          <cell r="T100">
            <v>0.308</v>
          </cell>
          <cell r="U100">
            <v>0.69199999999999995</v>
          </cell>
        </row>
        <row r="101">
          <cell r="Q101">
            <v>441</v>
          </cell>
          <cell r="R101">
            <v>0</v>
          </cell>
          <cell r="S101">
            <v>0</v>
          </cell>
          <cell r="T101">
            <v>0.308</v>
          </cell>
          <cell r="U101">
            <v>0.69199999999999995</v>
          </cell>
        </row>
        <row r="102">
          <cell r="Q102">
            <v>440</v>
          </cell>
          <cell r="R102">
            <v>0</v>
          </cell>
          <cell r="S102">
            <v>0</v>
          </cell>
          <cell r="T102">
            <v>0.308</v>
          </cell>
          <cell r="U102">
            <v>0.69199999999999995</v>
          </cell>
        </row>
        <row r="103">
          <cell r="Q103">
            <v>439</v>
          </cell>
          <cell r="R103">
            <v>0</v>
          </cell>
          <cell r="S103">
            <v>0</v>
          </cell>
          <cell r="T103">
            <v>0.308</v>
          </cell>
          <cell r="U103">
            <v>0.69199999999999995</v>
          </cell>
        </row>
        <row r="104">
          <cell r="Q104">
            <v>438</v>
          </cell>
          <cell r="R104">
            <v>0</v>
          </cell>
          <cell r="S104">
            <v>0</v>
          </cell>
          <cell r="T104">
            <v>0.308</v>
          </cell>
          <cell r="U104">
            <v>0.69199999999999995</v>
          </cell>
        </row>
        <row r="105">
          <cell r="Q105">
            <v>437</v>
          </cell>
          <cell r="R105">
            <v>0</v>
          </cell>
          <cell r="S105">
            <v>0</v>
          </cell>
          <cell r="T105">
            <v>0.308</v>
          </cell>
          <cell r="U105">
            <v>0.69199999999999995</v>
          </cell>
        </row>
        <row r="106">
          <cell r="Q106">
            <v>436</v>
          </cell>
          <cell r="R106">
            <v>0</v>
          </cell>
          <cell r="S106">
            <v>0</v>
          </cell>
          <cell r="T106">
            <v>0.308</v>
          </cell>
          <cell r="U106">
            <v>0.69199999999999995</v>
          </cell>
        </row>
        <row r="107">
          <cell r="Q107">
            <v>435</v>
          </cell>
          <cell r="R107">
            <v>0</v>
          </cell>
          <cell r="S107">
            <v>0</v>
          </cell>
          <cell r="T107">
            <v>0.308</v>
          </cell>
          <cell r="U107">
            <v>0.69199999999999995</v>
          </cell>
        </row>
        <row r="108">
          <cell r="Q108">
            <v>434</v>
          </cell>
          <cell r="R108">
            <v>0</v>
          </cell>
          <cell r="S108">
            <v>0</v>
          </cell>
          <cell r="T108">
            <v>0.308</v>
          </cell>
          <cell r="U108">
            <v>0.69199999999999995</v>
          </cell>
        </row>
        <row r="109">
          <cell r="Q109">
            <v>433</v>
          </cell>
          <cell r="R109">
            <v>0</v>
          </cell>
          <cell r="S109">
            <v>0</v>
          </cell>
          <cell r="T109">
            <v>0.308</v>
          </cell>
          <cell r="U109">
            <v>0.69199999999999995</v>
          </cell>
        </row>
        <row r="110">
          <cell r="Q110">
            <v>432</v>
          </cell>
          <cell r="R110">
            <v>0</v>
          </cell>
          <cell r="S110">
            <v>0</v>
          </cell>
          <cell r="T110">
            <v>0.308</v>
          </cell>
          <cell r="U110">
            <v>0.69199999999999995</v>
          </cell>
        </row>
        <row r="111">
          <cell r="Q111">
            <v>431</v>
          </cell>
          <cell r="R111">
            <v>0</v>
          </cell>
          <cell r="S111">
            <v>0</v>
          </cell>
          <cell r="T111">
            <v>0.308</v>
          </cell>
          <cell r="U111">
            <v>0.69199999999999995</v>
          </cell>
        </row>
        <row r="112">
          <cell r="Q112">
            <v>430</v>
          </cell>
          <cell r="R112">
            <v>0</v>
          </cell>
          <cell r="S112">
            <v>0</v>
          </cell>
          <cell r="T112">
            <v>0.308</v>
          </cell>
          <cell r="U112">
            <v>0.69199999999999995</v>
          </cell>
        </row>
        <row r="113">
          <cell r="Q113">
            <v>429</v>
          </cell>
          <cell r="R113">
            <v>0</v>
          </cell>
          <cell r="S113">
            <v>0</v>
          </cell>
          <cell r="T113">
            <v>0.308</v>
          </cell>
          <cell r="U113">
            <v>0.69199999999999995</v>
          </cell>
        </row>
        <row r="114">
          <cell r="Q114">
            <v>428</v>
          </cell>
          <cell r="R114">
            <v>0</v>
          </cell>
          <cell r="S114">
            <v>0</v>
          </cell>
          <cell r="T114">
            <v>0.308</v>
          </cell>
          <cell r="U114">
            <v>0.69199999999999995</v>
          </cell>
        </row>
        <row r="115">
          <cell r="Q115">
            <v>427</v>
          </cell>
          <cell r="R115">
            <v>0</v>
          </cell>
          <cell r="S115">
            <v>0</v>
          </cell>
          <cell r="T115">
            <v>0.308</v>
          </cell>
          <cell r="U115">
            <v>0.69199999999999995</v>
          </cell>
        </row>
        <row r="116">
          <cell r="Q116">
            <v>426</v>
          </cell>
          <cell r="R116">
            <v>0</v>
          </cell>
          <cell r="S116">
            <v>0</v>
          </cell>
          <cell r="T116">
            <v>0.308</v>
          </cell>
          <cell r="U116">
            <v>0.69199999999999995</v>
          </cell>
        </row>
        <row r="117">
          <cell r="Q117">
            <v>425</v>
          </cell>
          <cell r="R117">
            <v>0</v>
          </cell>
          <cell r="S117">
            <v>0</v>
          </cell>
          <cell r="T117">
            <v>0.308</v>
          </cell>
          <cell r="U117">
            <v>0.69199999999999995</v>
          </cell>
        </row>
        <row r="118">
          <cell r="Q118">
            <v>424</v>
          </cell>
          <cell r="R118">
            <v>0</v>
          </cell>
          <cell r="S118">
            <v>0</v>
          </cell>
          <cell r="T118">
            <v>0.308</v>
          </cell>
          <cell r="U118">
            <v>0.69199999999999995</v>
          </cell>
        </row>
        <row r="119">
          <cell r="Q119">
            <v>423</v>
          </cell>
          <cell r="R119">
            <v>0</v>
          </cell>
          <cell r="S119">
            <v>0</v>
          </cell>
          <cell r="T119">
            <v>0.308</v>
          </cell>
          <cell r="U119">
            <v>0.69199999999999995</v>
          </cell>
        </row>
        <row r="120">
          <cell r="Q120">
            <v>422</v>
          </cell>
          <cell r="R120">
            <v>0</v>
          </cell>
          <cell r="S120">
            <v>0</v>
          </cell>
          <cell r="T120">
            <v>0.308</v>
          </cell>
          <cell r="U120">
            <v>0.69199999999999995</v>
          </cell>
        </row>
        <row r="121">
          <cell r="Q121">
            <v>421</v>
          </cell>
          <cell r="R121">
            <v>0</v>
          </cell>
          <cell r="S121">
            <v>0</v>
          </cell>
          <cell r="T121">
            <v>0.308</v>
          </cell>
          <cell r="U121">
            <v>0.69199999999999995</v>
          </cell>
        </row>
        <row r="122">
          <cell r="Q122">
            <v>420</v>
          </cell>
          <cell r="R122">
            <v>0</v>
          </cell>
          <cell r="S122">
            <v>0</v>
          </cell>
          <cell r="T122">
            <v>0.308</v>
          </cell>
          <cell r="U122">
            <v>0.69199999999999995</v>
          </cell>
        </row>
        <row r="123">
          <cell r="Q123">
            <v>419</v>
          </cell>
          <cell r="R123">
            <v>0</v>
          </cell>
          <cell r="S123">
            <v>0</v>
          </cell>
          <cell r="T123">
            <v>0.308</v>
          </cell>
          <cell r="U123">
            <v>0.69199999999999995</v>
          </cell>
        </row>
        <row r="124">
          <cell r="Q124">
            <v>418</v>
          </cell>
          <cell r="R124">
            <v>0</v>
          </cell>
          <cell r="S124">
            <v>0</v>
          </cell>
          <cell r="T124">
            <v>0.308</v>
          </cell>
          <cell r="U124">
            <v>0.69199999999999995</v>
          </cell>
        </row>
        <row r="125">
          <cell r="Q125">
            <v>417</v>
          </cell>
          <cell r="R125">
            <v>0</v>
          </cell>
          <cell r="S125">
            <v>0</v>
          </cell>
          <cell r="T125">
            <v>0.308</v>
          </cell>
          <cell r="U125">
            <v>0.69199999999999995</v>
          </cell>
        </row>
        <row r="126">
          <cell r="Q126">
            <v>416</v>
          </cell>
          <cell r="R126">
            <v>0</v>
          </cell>
          <cell r="S126">
            <v>0</v>
          </cell>
          <cell r="T126">
            <v>0.308</v>
          </cell>
          <cell r="U126">
            <v>0.69199999999999995</v>
          </cell>
        </row>
        <row r="127">
          <cell r="Q127">
            <v>415</v>
          </cell>
          <cell r="R127">
            <v>0</v>
          </cell>
          <cell r="S127">
            <v>0</v>
          </cell>
          <cell r="T127">
            <v>0.308</v>
          </cell>
          <cell r="U127">
            <v>0.69199999999999995</v>
          </cell>
        </row>
        <row r="128">
          <cell r="Q128">
            <v>414</v>
          </cell>
          <cell r="R128">
            <v>0</v>
          </cell>
          <cell r="S128">
            <v>0</v>
          </cell>
          <cell r="T128">
            <v>0.308</v>
          </cell>
          <cell r="U128">
            <v>0.69199999999999995</v>
          </cell>
        </row>
        <row r="129">
          <cell r="Q129">
            <v>413</v>
          </cell>
          <cell r="R129">
            <v>0</v>
          </cell>
          <cell r="S129">
            <v>0</v>
          </cell>
          <cell r="T129">
            <v>0.308</v>
          </cell>
          <cell r="U129">
            <v>0.69199999999999995</v>
          </cell>
        </row>
        <row r="130">
          <cell r="Q130">
            <v>412</v>
          </cell>
          <cell r="R130">
            <v>0</v>
          </cell>
          <cell r="S130">
            <v>0</v>
          </cell>
          <cell r="T130">
            <v>0.308</v>
          </cell>
          <cell r="U130">
            <v>0.69199999999999995</v>
          </cell>
        </row>
        <row r="131">
          <cell r="Q131">
            <v>411</v>
          </cell>
          <cell r="R131">
            <v>0</v>
          </cell>
          <cell r="S131">
            <v>0</v>
          </cell>
          <cell r="T131">
            <v>0.308</v>
          </cell>
          <cell r="U131">
            <v>0.69199999999999995</v>
          </cell>
        </row>
        <row r="132">
          <cell r="Q132">
            <v>410</v>
          </cell>
          <cell r="R132">
            <v>0</v>
          </cell>
          <cell r="S132">
            <v>0</v>
          </cell>
          <cell r="T132">
            <v>0.308</v>
          </cell>
          <cell r="U132">
            <v>0.69199999999999995</v>
          </cell>
        </row>
        <row r="133">
          <cell r="Q133">
            <v>409</v>
          </cell>
          <cell r="R133">
            <v>0</v>
          </cell>
          <cell r="S133">
            <v>0</v>
          </cell>
          <cell r="T133">
            <v>0.308</v>
          </cell>
          <cell r="U133">
            <v>0.69199999999999995</v>
          </cell>
        </row>
        <row r="134">
          <cell r="Q134">
            <v>408</v>
          </cell>
          <cell r="R134">
            <v>0</v>
          </cell>
          <cell r="S134">
            <v>0</v>
          </cell>
          <cell r="T134">
            <v>0.308</v>
          </cell>
          <cell r="U134">
            <v>0.69199999999999995</v>
          </cell>
        </row>
        <row r="135">
          <cell r="Q135">
            <v>407</v>
          </cell>
          <cell r="R135">
            <v>0</v>
          </cell>
          <cell r="S135">
            <v>0</v>
          </cell>
          <cell r="T135">
            <v>0.308</v>
          </cell>
          <cell r="U135">
            <v>0.69199999999999995</v>
          </cell>
        </row>
        <row r="136">
          <cell r="Q136">
            <v>406</v>
          </cell>
          <cell r="R136">
            <v>0</v>
          </cell>
          <cell r="S136">
            <v>0</v>
          </cell>
          <cell r="T136">
            <v>0.308</v>
          </cell>
          <cell r="U136">
            <v>0.69199999999999995</v>
          </cell>
        </row>
        <row r="137">
          <cell r="Q137">
            <v>405</v>
          </cell>
          <cell r="R137">
            <v>0</v>
          </cell>
          <cell r="S137">
            <v>0</v>
          </cell>
          <cell r="T137">
            <v>0.308</v>
          </cell>
          <cell r="U137">
            <v>0.69199999999999995</v>
          </cell>
        </row>
        <row r="138">
          <cell r="Q138">
            <v>404</v>
          </cell>
          <cell r="R138">
            <v>0</v>
          </cell>
          <cell r="S138">
            <v>0</v>
          </cell>
          <cell r="T138">
            <v>0.308</v>
          </cell>
          <cell r="U138">
            <v>0.69199999999999995</v>
          </cell>
        </row>
        <row r="139">
          <cell r="Q139">
            <v>403</v>
          </cell>
          <cell r="R139">
            <v>0</v>
          </cell>
          <cell r="S139">
            <v>0</v>
          </cell>
          <cell r="T139">
            <v>0.308</v>
          </cell>
          <cell r="U139">
            <v>0.69199999999999995</v>
          </cell>
        </row>
        <row r="140">
          <cell r="Q140">
            <v>402</v>
          </cell>
          <cell r="R140">
            <v>0</v>
          </cell>
          <cell r="S140">
            <v>0</v>
          </cell>
          <cell r="T140">
            <v>0.308</v>
          </cell>
          <cell r="U140">
            <v>0.69199999999999995</v>
          </cell>
        </row>
        <row r="141">
          <cell r="Q141">
            <v>401</v>
          </cell>
          <cell r="R141">
            <v>0</v>
          </cell>
          <cell r="S141">
            <v>0</v>
          </cell>
          <cell r="T141">
            <v>0.308</v>
          </cell>
          <cell r="U141">
            <v>0.69199999999999995</v>
          </cell>
        </row>
        <row r="142">
          <cell r="Q142">
            <v>400</v>
          </cell>
          <cell r="R142">
            <v>0</v>
          </cell>
          <cell r="S142">
            <v>0</v>
          </cell>
          <cell r="T142">
            <v>0.308</v>
          </cell>
          <cell r="U142">
            <v>0.69199999999999995</v>
          </cell>
        </row>
        <row r="143">
          <cell r="Q143">
            <v>399</v>
          </cell>
          <cell r="R143">
            <v>0</v>
          </cell>
          <cell r="S143">
            <v>0</v>
          </cell>
          <cell r="T143">
            <v>0.308</v>
          </cell>
          <cell r="U143">
            <v>0.69199999999999995</v>
          </cell>
        </row>
        <row r="144">
          <cell r="Q144">
            <v>398</v>
          </cell>
          <cell r="R144">
            <v>0</v>
          </cell>
          <cell r="S144">
            <v>0</v>
          </cell>
          <cell r="T144">
            <v>0.308</v>
          </cell>
          <cell r="U144">
            <v>0.69199999999999995</v>
          </cell>
        </row>
        <row r="145">
          <cell r="Q145">
            <v>397</v>
          </cell>
          <cell r="R145">
            <v>0</v>
          </cell>
          <cell r="S145">
            <v>0</v>
          </cell>
          <cell r="T145">
            <v>0.308</v>
          </cell>
          <cell r="U145">
            <v>0.69199999999999995</v>
          </cell>
        </row>
        <row r="146">
          <cell r="Q146">
            <v>396</v>
          </cell>
          <cell r="R146">
            <v>0</v>
          </cell>
          <cell r="S146">
            <v>0</v>
          </cell>
          <cell r="T146">
            <v>0.308</v>
          </cell>
          <cell r="U146">
            <v>0.69199999999999995</v>
          </cell>
        </row>
        <row r="147">
          <cell r="Q147">
            <v>395</v>
          </cell>
          <cell r="R147">
            <v>0</v>
          </cell>
          <cell r="S147">
            <v>0</v>
          </cell>
          <cell r="T147">
            <v>0.308</v>
          </cell>
          <cell r="U147">
            <v>0.69199999999999995</v>
          </cell>
        </row>
        <row r="148">
          <cell r="Q148">
            <v>394</v>
          </cell>
          <cell r="R148">
            <v>0</v>
          </cell>
          <cell r="S148">
            <v>0</v>
          </cell>
          <cell r="T148">
            <v>0.308</v>
          </cell>
          <cell r="U148">
            <v>0.69199999999999995</v>
          </cell>
        </row>
        <row r="149">
          <cell r="Q149">
            <v>393</v>
          </cell>
          <cell r="R149">
            <v>0</v>
          </cell>
          <cell r="S149">
            <v>0</v>
          </cell>
          <cell r="T149">
            <v>0.308</v>
          </cell>
          <cell r="U149">
            <v>0.69199999999999995</v>
          </cell>
        </row>
        <row r="150">
          <cell r="Q150">
            <v>392</v>
          </cell>
          <cell r="R150">
            <v>0</v>
          </cell>
          <cell r="S150">
            <v>0</v>
          </cell>
          <cell r="T150">
            <v>0.308</v>
          </cell>
          <cell r="U150">
            <v>0.69199999999999995</v>
          </cell>
        </row>
        <row r="151">
          <cell r="Q151">
            <v>391</v>
          </cell>
          <cell r="R151">
            <v>0</v>
          </cell>
          <cell r="S151">
            <v>0</v>
          </cell>
          <cell r="T151">
            <v>0.308</v>
          </cell>
          <cell r="U151">
            <v>0.69199999999999995</v>
          </cell>
        </row>
        <row r="152">
          <cell r="Q152">
            <v>390</v>
          </cell>
          <cell r="R152">
            <v>0</v>
          </cell>
          <cell r="S152">
            <v>0</v>
          </cell>
          <cell r="T152">
            <v>0.308</v>
          </cell>
          <cell r="U152">
            <v>0.69199999999999995</v>
          </cell>
        </row>
        <row r="153">
          <cell r="Q153">
            <v>389</v>
          </cell>
          <cell r="R153">
            <v>0</v>
          </cell>
          <cell r="S153">
            <v>0</v>
          </cell>
          <cell r="T153">
            <v>0.308</v>
          </cell>
          <cell r="U153">
            <v>0.69199999999999995</v>
          </cell>
        </row>
        <row r="154">
          <cell r="Q154">
            <v>388</v>
          </cell>
          <cell r="R154">
            <v>0</v>
          </cell>
          <cell r="S154">
            <v>0</v>
          </cell>
          <cell r="T154">
            <v>0.308</v>
          </cell>
          <cell r="U154">
            <v>0.69199999999999995</v>
          </cell>
        </row>
        <row r="155">
          <cell r="Q155">
            <v>387</v>
          </cell>
          <cell r="R155">
            <v>0</v>
          </cell>
          <cell r="S155">
            <v>0</v>
          </cell>
          <cell r="T155">
            <v>0.308</v>
          </cell>
          <cell r="U155">
            <v>0.69199999999999995</v>
          </cell>
        </row>
        <row r="156">
          <cell r="Q156">
            <v>386</v>
          </cell>
          <cell r="R156">
            <v>0</v>
          </cell>
          <cell r="S156">
            <v>0</v>
          </cell>
          <cell r="T156">
            <v>0.308</v>
          </cell>
          <cell r="U156">
            <v>0.69199999999999995</v>
          </cell>
        </row>
        <row r="157">
          <cell r="Q157">
            <v>385</v>
          </cell>
          <cell r="R157">
            <v>0</v>
          </cell>
          <cell r="S157">
            <v>0</v>
          </cell>
          <cell r="T157">
            <v>0.308</v>
          </cell>
          <cell r="U157">
            <v>0.69199999999999995</v>
          </cell>
        </row>
        <row r="158">
          <cell r="Q158">
            <v>384</v>
          </cell>
          <cell r="R158">
            <v>0</v>
          </cell>
          <cell r="S158">
            <v>0</v>
          </cell>
          <cell r="T158">
            <v>0.308</v>
          </cell>
          <cell r="U158">
            <v>0.69199999999999995</v>
          </cell>
        </row>
        <row r="159">
          <cell r="Q159">
            <v>383</v>
          </cell>
          <cell r="R159">
            <v>0</v>
          </cell>
          <cell r="S159">
            <v>0</v>
          </cell>
          <cell r="T159">
            <v>0.308</v>
          </cell>
          <cell r="U159">
            <v>0.69199999999999995</v>
          </cell>
        </row>
        <row r="160">
          <cell r="Q160">
            <v>382</v>
          </cell>
          <cell r="R160">
            <v>0</v>
          </cell>
          <cell r="S160">
            <v>0</v>
          </cell>
          <cell r="T160">
            <v>0.308</v>
          </cell>
          <cell r="U160">
            <v>0.69199999999999995</v>
          </cell>
        </row>
        <row r="161">
          <cell r="Q161">
            <v>381</v>
          </cell>
          <cell r="R161">
            <v>0</v>
          </cell>
          <cell r="S161">
            <v>0</v>
          </cell>
          <cell r="T161">
            <v>0.308</v>
          </cell>
          <cell r="U161">
            <v>0.69199999999999995</v>
          </cell>
        </row>
        <row r="162">
          <cell r="Q162">
            <v>380</v>
          </cell>
          <cell r="R162">
            <v>0</v>
          </cell>
          <cell r="S162">
            <v>0</v>
          </cell>
          <cell r="T162">
            <v>0.308</v>
          </cell>
          <cell r="U162">
            <v>0.69199999999999995</v>
          </cell>
        </row>
        <row r="163">
          <cell r="Q163">
            <v>379</v>
          </cell>
          <cell r="R163">
            <v>0</v>
          </cell>
          <cell r="S163">
            <v>0</v>
          </cell>
          <cell r="T163">
            <v>0.308</v>
          </cell>
          <cell r="U163">
            <v>0.69199999999999995</v>
          </cell>
        </row>
        <row r="164">
          <cell r="Q164">
            <v>378</v>
          </cell>
          <cell r="R164">
            <v>0</v>
          </cell>
          <cell r="S164">
            <v>0</v>
          </cell>
          <cell r="T164">
            <v>0.308</v>
          </cell>
          <cell r="U164">
            <v>0.69199999999999995</v>
          </cell>
        </row>
        <row r="165">
          <cell r="Q165">
            <v>377</v>
          </cell>
          <cell r="R165">
            <v>0</v>
          </cell>
          <cell r="S165">
            <v>0</v>
          </cell>
          <cell r="T165">
            <v>0.308</v>
          </cell>
          <cell r="U165">
            <v>0.69199999999999995</v>
          </cell>
        </row>
        <row r="166">
          <cell r="Q166">
            <v>376</v>
          </cell>
          <cell r="R166">
            <v>0</v>
          </cell>
          <cell r="S166">
            <v>0</v>
          </cell>
          <cell r="T166">
            <v>0.308</v>
          </cell>
          <cell r="U166">
            <v>0.69199999999999995</v>
          </cell>
        </row>
        <row r="167">
          <cell r="Q167">
            <v>375</v>
          </cell>
          <cell r="R167">
            <v>0</v>
          </cell>
          <cell r="S167">
            <v>0</v>
          </cell>
          <cell r="T167">
            <v>0.308</v>
          </cell>
          <cell r="U167">
            <v>0.69199999999999995</v>
          </cell>
        </row>
        <row r="168">
          <cell r="Q168">
            <v>374</v>
          </cell>
          <cell r="R168">
            <v>0</v>
          </cell>
          <cell r="S168">
            <v>0</v>
          </cell>
          <cell r="T168">
            <v>0.308</v>
          </cell>
          <cell r="U168">
            <v>0.69199999999999995</v>
          </cell>
        </row>
        <row r="169">
          <cell r="Q169">
            <v>373</v>
          </cell>
          <cell r="R169">
            <v>0</v>
          </cell>
          <cell r="S169">
            <v>0</v>
          </cell>
          <cell r="T169">
            <v>0.308</v>
          </cell>
          <cell r="U169">
            <v>0.69199999999999995</v>
          </cell>
        </row>
        <row r="170">
          <cell r="Q170">
            <v>372</v>
          </cell>
          <cell r="R170">
            <v>0</v>
          </cell>
          <cell r="S170">
            <v>0</v>
          </cell>
          <cell r="T170">
            <v>0.308</v>
          </cell>
          <cell r="U170">
            <v>0.69199999999999995</v>
          </cell>
        </row>
        <row r="171">
          <cell r="Q171">
            <v>371</v>
          </cell>
          <cell r="R171">
            <v>0</v>
          </cell>
          <cell r="S171">
            <v>0</v>
          </cell>
          <cell r="T171">
            <v>0.308</v>
          </cell>
          <cell r="U171">
            <v>0.69199999999999995</v>
          </cell>
        </row>
        <row r="172">
          <cell r="Q172">
            <v>370</v>
          </cell>
          <cell r="R172">
            <v>0</v>
          </cell>
          <cell r="S172">
            <v>0</v>
          </cell>
          <cell r="T172">
            <v>0.308</v>
          </cell>
          <cell r="U172">
            <v>0.69199999999999995</v>
          </cell>
        </row>
        <row r="173">
          <cell r="Q173">
            <v>369</v>
          </cell>
          <cell r="R173">
            <v>0</v>
          </cell>
          <cell r="S173">
            <v>0</v>
          </cell>
          <cell r="T173">
            <v>0.308</v>
          </cell>
          <cell r="U173">
            <v>0.69199999999999995</v>
          </cell>
        </row>
        <row r="174">
          <cell r="Q174">
            <v>368</v>
          </cell>
          <cell r="R174">
            <v>0</v>
          </cell>
          <cell r="S174">
            <v>0</v>
          </cell>
          <cell r="T174">
            <v>0.308</v>
          </cell>
          <cell r="U174">
            <v>0.69199999999999995</v>
          </cell>
        </row>
        <row r="175">
          <cell r="Q175">
            <v>367</v>
          </cell>
          <cell r="R175">
            <v>0</v>
          </cell>
          <cell r="S175">
            <v>0</v>
          </cell>
          <cell r="T175">
            <v>0.308</v>
          </cell>
          <cell r="U175">
            <v>0.69199999999999995</v>
          </cell>
        </row>
        <row r="176">
          <cell r="Q176">
            <v>366</v>
          </cell>
          <cell r="R176">
            <v>0</v>
          </cell>
          <cell r="S176">
            <v>0</v>
          </cell>
          <cell r="T176">
            <v>0.308</v>
          </cell>
          <cell r="U176">
            <v>0.69199999999999995</v>
          </cell>
        </row>
        <row r="177">
          <cell r="Q177">
            <v>365</v>
          </cell>
          <cell r="R177">
            <v>0</v>
          </cell>
          <cell r="S177">
            <v>0</v>
          </cell>
          <cell r="T177">
            <v>0.308</v>
          </cell>
          <cell r="U177">
            <v>0.69199999999999995</v>
          </cell>
        </row>
        <row r="178">
          <cell r="Q178">
            <v>364</v>
          </cell>
          <cell r="R178">
            <v>0</v>
          </cell>
          <cell r="S178">
            <v>0</v>
          </cell>
          <cell r="T178">
            <v>0.308</v>
          </cell>
          <cell r="U178">
            <v>0.69199999999999995</v>
          </cell>
        </row>
        <row r="179">
          <cell r="Q179">
            <v>363</v>
          </cell>
          <cell r="R179">
            <v>0</v>
          </cell>
          <cell r="S179">
            <v>0</v>
          </cell>
          <cell r="T179">
            <v>0.308</v>
          </cell>
          <cell r="U179">
            <v>0.69199999999999995</v>
          </cell>
        </row>
        <row r="180">
          <cell r="Q180">
            <v>362</v>
          </cell>
          <cell r="R180">
            <v>0</v>
          </cell>
          <cell r="S180">
            <v>0</v>
          </cell>
          <cell r="T180">
            <v>0.308</v>
          </cell>
          <cell r="U180">
            <v>0.69199999999999995</v>
          </cell>
        </row>
        <row r="181">
          <cell r="Q181">
            <v>361</v>
          </cell>
          <cell r="R181">
            <v>0</v>
          </cell>
          <cell r="S181">
            <v>0</v>
          </cell>
          <cell r="T181">
            <v>0.308</v>
          </cell>
          <cell r="U181">
            <v>0.69199999999999995</v>
          </cell>
        </row>
        <row r="182">
          <cell r="Q182">
            <v>360</v>
          </cell>
          <cell r="R182">
            <v>0</v>
          </cell>
          <cell r="S182">
            <v>0</v>
          </cell>
          <cell r="T182">
            <v>0.308</v>
          </cell>
          <cell r="U182">
            <v>0.69199999999999995</v>
          </cell>
        </row>
        <row r="183">
          <cell r="Q183">
            <v>359</v>
          </cell>
          <cell r="R183">
            <v>0</v>
          </cell>
          <cell r="S183">
            <v>0</v>
          </cell>
          <cell r="T183">
            <v>0.308</v>
          </cell>
          <cell r="U183">
            <v>0.69199999999999995</v>
          </cell>
        </row>
        <row r="184">
          <cell r="Q184">
            <v>358</v>
          </cell>
          <cell r="R184">
            <v>0</v>
          </cell>
          <cell r="S184">
            <v>0</v>
          </cell>
          <cell r="T184">
            <v>0.308</v>
          </cell>
          <cell r="U184">
            <v>0.69199999999999995</v>
          </cell>
        </row>
        <row r="185">
          <cell r="Q185">
            <v>357</v>
          </cell>
          <cell r="R185">
            <v>0</v>
          </cell>
          <cell r="S185">
            <v>0</v>
          </cell>
          <cell r="T185">
            <v>0.308</v>
          </cell>
          <cell r="U185">
            <v>0.69199999999999995</v>
          </cell>
        </row>
        <row r="186">
          <cell r="Q186">
            <v>356</v>
          </cell>
          <cell r="R186">
            <v>0</v>
          </cell>
          <cell r="S186">
            <v>0</v>
          </cell>
          <cell r="T186">
            <v>0.308</v>
          </cell>
          <cell r="U186">
            <v>0.69199999999999995</v>
          </cell>
        </row>
        <row r="187">
          <cell r="Q187">
            <v>355</v>
          </cell>
          <cell r="R187">
            <v>0</v>
          </cell>
          <cell r="S187">
            <v>0</v>
          </cell>
          <cell r="T187">
            <v>0.308</v>
          </cell>
          <cell r="U187">
            <v>0.69199999999999995</v>
          </cell>
        </row>
        <row r="188">
          <cell r="Q188">
            <v>354</v>
          </cell>
          <cell r="R188">
            <v>0</v>
          </cell>
          <cell r="S188">
            <v>0</v>
          </cell>
          <cell r="T188">
            <v>0.308</v>
          </cell>
          <cell r="U188">
            <v>0.69199999999999995</v>
          </cell>
        </row>
        <row r="189">
          <cell r="Q189">
            <v>353</v>
          </cell>
          <cell r="R189">
            <v>0</v>
          </cell>
          <cell r="S189">
            <v>0</v>
          </cell>
          <cell r="T189">
            <v>0.308</v>
          </cell>
          <cell r="U189">
            <v>0.69199999999999995</v>
          </cell>
        </row>
        <row r="190">
          <cell r="Q190">
            <v>352</v>
          </cell>
          <cell r="R190">
            <v>0</v>
          </cell>
          <cell r="S190">
            <v>0</v>
          </cell>
          <cell r="T190">
            <v>0.308</v>
          </cell>
          <cell r="U190">
            <v>0.69199999999999995</v>
          </cell>
        </row>
        <row r="191">
          <cell r="Q191">
            <v>351</v>
          </cell>
          <cell r="R191">
            <v>0</v>
          </cell>
          <cell r="S191">
            <v>0</v>
          </cell>
          <cell r="T191">
            <v>0.308</v>
          </cell>
          <cell r="U191">
            <v>0.69199999999999995</v>
          </cell>
        </row>
        <row r="192">
          <cell r="Q192">
            <v>350</v>
          </cell>
          <cell r="R192">
            <v>0</v>
          </cell>
          <cell r="S192">
            <v>0</v>
          </cell>
          <cell r="T192">
            <v>0.308</v>
          </cell>
          <cell r="U192">
            <v>0.69199999999999995</v>
          </cell>
        </row>
        <row r="193">
          <cell r="Q193">
            <v>349</v>
          </cell>
          <cell r="R193">
            <v>0</v>
          </cell>
          <cell r="S193">
            <v>0</v>
          </cell>
          <cell r="T193">
            <v>0.308</v>
          </cell>
          <cell r="U193">
            <v>0.69199999999999995</v>
          </cell>
        </row>
        <row r="194">
          <cell r="Q194">
            <v>348</v>
          </cell>
          <cell r="R194">
            <v>0</v>
          </cell>
          <cell r="S194">
            <v>0</v>
          </cell>
          <cell r="T194">
            <v>0.308</v>
          </cell>
          <cell r="U194">
            <v>0.69199999999999995</v>
          </cell>
        </row>
        <row r="195">
          <cell r="Q195">
            <v>347</v>
          </cell>
          <cell r="R195">
            <v>0</v>
          </cell>
          <cell r="S195">
            <v>0</v>
          </cell>
          <cell r="T195">
            <v>0.308</v>
          </cell>
          <cell r="U195">
            <v>0.69199999999999995</v>
          </cell>
        </row>
        <row r="196">
          <cell r="Q196">
            <v>346</v>
          </cell>
          <cell r="R196">
            <v>0</v>
          </cell>
          <cell r="S196">
            <v>0</v>
          </cell>
          <cell r="T196">
            <v>0.308</v>
          </cell>
          <cell r="U196">
            <v>0.69199999999999995</v>
          </cell>
        </row>
        <row r="197">
          <cell r="Q197">
            <v>345</v>
          </cell>
          <cell r="R197">
            <v>0</v>
          </cell>
          <cell r="S197">
            <v>0</v>
          </cell>
          <cell r="T197">
            <v>0.308</v>
          </cell>
          <cell r="U197">
            <v>0.69199999999999995</v>
          </cell>
        </row>
        <row r="198">
          <cell r="Q198">
            <v>344</v>
          </cell>
          <cell r="R198">
            <v>0</v>
          </cell>
          <cell r="S198">
            <v>0</v>
          </cell>
          <cell r="T198">
            <v>0.308</v>
          </cell>
          <cell r="U198">
            <v>0.69199999999999995</v>
          </cell>
        </row>
        <row r="199">
          <cell r="Q199">
            <v>343</v>
          </cell>
          <cell r="R199">
            <v>0</v>
          </cell>
          <cell r="S199">
            <v>0</v>
          </cell>
          <cell r="T199">
            <v>0.308</v>
          </cell>
          <cell r="U199">
            <v>0.69199999999999995</v>
          </cell>
        </row>
        <row r="200">
          <cell r="Q200">
            <v>342</v>
          </cell>
          <cell r="R200">
            <v>0</v>
          </cell>
          <cell r="S200">
            <v>0</v>
          </cell>
          <cell r="T200">
            <v>0.308</v>
          </cell>
          <cell r="U200">
            <v>0.69199999999999995</v>
          </cell>
        </row>
        <row r="201">
          <cell r="Q201">
            <v>341</v>
          </cell>
          <cell r="R201">
            <v>0</v>
          </cell>
          <cell r="S201">
            <v>0</v>
          </cell>
          <cell r="T201">
            <v>0.308</v>
          </cell>
          <cell r="U201">
            <v>0.69199999999999995</v>
          </cell>
        </row>
        <row r="202">
          <cell r="Q202">
            <v>340</v>
          </cell>
          <cell r="R202">
            <v>0</v>
          </cell>
          <cell r="S202">
            <v>0</v>
          </cell>
          <cell r="T202">
            <v>0.308</v>
          </cell>
          <cell r="U202">
            <v>0.69199999999999995</v>
          </cell>
        </row>
        <row r="203">
          <cell r="Q203">
            <v>339</v>
          </cell>
          <cell r="R203">
            <v>0</v>
          </cell>
          <cell r="S203">
            <v>0</v>
          </cell>
          <cell r="T203">
            <v>0.308</v>
          </cell>
          <cell r="U203">
            <v>0.69199999999999995</v>
          </cell>
        </row>
        <row r="204">
          <cell r="Q204">
            <v>338</v>
          </cell>
          <cell r="R204">
            <v>0</v>
          </cell>
          <cell r="S204">
            <v>0</v>
          </cell>
          <cell r="T204">
            <v>0.308</v>
          </cell>
          <cell r="U204">
            <v>0.69199999999999995</v>
          </cell>
        </row>
        <row r="205">
          <cell r="Q205">
            <v>337</v>
          </cell>
          <cell r="R205">
            <v>0</v>
          </cell>
          <cell r="S205">
            <v>0</v>
          </cell>
          <cell r="T205">
            <v>0.308</v>
          </cell>
          <cell r="U205">
            <v>0.69199999999999995</v>
          </cell>
        </row>
        <row r="206">
          <cell r="Q206">
            <v>336</v>
          </cell>
          <cell r="R206">
            <v>0</v>
          </cell>
          <cell r="S206">
            <v>0</v>
          </cell>
          <cell r="T206">
            <v>0.308</v>
          </cell>
          <cell r="U206">
            <v>0.69199999999999995</v>
          </cell>
        </row>
        <row r="207">
          <cell r="Q207">
            <v>335</v>
          </cell>
          <cell r="R207">
            <v>0</v>
          </cell>
          <cell r="S207">
            <v>0</v>
          </cell>
          <cell r="T207">
            <v>0.308</v>
          </cell>
          <cell r="U207">
            <v>0.69199999999999995</v>
          </cell>
        </row>
        <row r="208">
          <cell r="Q208">
            <v>334</v>
          </cell>
          <cell r="R208">
            <v>0</v>
          </cell>
          <cell r="S208">
            <v>0</v>
          </cell>
          <cell r="T208">
            <v>0.308</v>
          </cell>
          <cell r="U208">
            <v>0.69199999999999995</v>
          </cell>
        </row>
        <row r="209">
          <cell r="Q209">
            <v>333</v>
          </cell>
          <cell r="R209">
            <v>0</v>
          </cell>
          <cell r="S209">
            <v>0</v>
          </cell>
          <cell r="T209">
            <v>0.308</v>
          </cell>
          <cell r="U209">
            <v>0.69199999999999995</v>
          </cell>
        </row>
        <row r="210">
          <cell r="Q210">
            <v>332</v>
          </cell>
          <cell r="R210">
            <v>0</v>
          </cell>
          <cell r="S210">
            <v>0</v>
          </cell>
          <cell r="T210">
            <v>0.308</v>
          </cell>
          <cell r="U210">
            <v>0.69199999999999995</v>
          </cell>
        </row>
        <row r="211">
          <cell r="Q211">
            <v>331</v>
          </cell>
          <cell r="R211">
            <v>0</v>
          </cell>
          <cell r="S211">
            <v>0</v>
          </cell>
          <cell r="T211">
            <v>0.308</v>
          </cell>
          <cell r="U211">
            <v>0.69199999999999995</v>
          </cell>
        </row>
        <row r="212">
          <cell r="Q212">
            <v>330</v>
          </cell>
          <cell r="R212">
            <v>0</v>
          </cell>
          <cell r="S212">
            <v>0</v>
          </cell>
          <cell r="T212">
            <v>0.308</v>
          </cell>
          <cell r="U212">
            <v>0.69199999999999995</v>
          </cell>
        </row>
        <row r="213">
          <cell r="Q213">
            <v>329</v>
          </cell>
          <cell r="R213">
            <v>0</v>
          </cell>
          <cell r="S213">
            <v>0</v>
          </cell>
          <cell r="T213">
            <v>0.308</v>
          </cell>
          <cell r="U213">
            <v>0.69199999999999995</v>
          </cell>
        </row>
        <row r="214">
          <cell r="Q214">
            <v>328</v>
          </cell>
          <cell r="R214">
            <v>0</v>
          </cell>
          <cell r="S214">
            <v>0</v>
          </cell>
          <cell r="T214">
            <v>0.308</v>
          </cell>
          <cell r="U214">
            <v>0.69199999999999995</v>
          </cell>
        </row>
        <row r="215">
          <cell r="Q215">
            <v>327</v>
          </cell>
          <cell r="R215">
            <v>0</v>
          </cell>
          <cell r="S215">
            <v>0</v>
          </cell>
          <cell r="T215">
            <v>0.308</v>
          </cell>
          <cell r="U215">
            <v>0.69199999999999995</v>
          </cell>
        </row>
        <row r="216">
          <cell r="Q216">
            <v>326</v>
          </cell>
          <cell r="R216">
            <v>0</v>
          </cell>
          <cell r="S216">
            <v>0</v>
          </cell>
          <cell r="T216">
            <v>0.308</v>
          </cell>
          <cell r="U216">
            <v>0.69199999999999995</v>
          </cell>
        </row>
        <row r="217">
          <cell r="Q217">
            <v>325</v>
          </cell>
          <cell r="R217">
            <v>0</v>
          </cell>
          <cell r="S217">
            <v>0</v>
          </cell>
          <cell r="T217">
            <v>0.308</v>
          </cell>
          <cell r="U217">
            <v>0.69199999999999995</v>
          </cell>
        </row>
        <row r="218">
          <cell r="Q218">
            <v>324</v>
          </cell>
          <cell r="R218">
            <v>0</v>
          </cell>
          <cell r="S218">
            <v>0</v>
          </cell>
          <cell r="T218">
            <v>0.308</v>
          </cell>
          <cell r="U218">
            <v>0.69199999999999995</v>
          </cell>
        </row>
        <row r="219">
          <cell r="Q219">
            <v>323</v>
          </cell>
          <cell r="R219">
            <v>0</v>
          </cell>
          <cell r="S219">
            <v>0</v>
          </cell>
          <cell r="T219">
            <v>0.308</v>
          </cell>
          <cell r="U219">
            <v>0.69199999999999995</v>
          </cell>
        </row>
        <row r="220">
          <cell r="Q220">
            <v>322</v>
          </cell>
          <cell r="R220">
            <v>0</v>
          </cell>
          <cell r="S220">
            <v>0</v>
          </cell>
          <cell r="T220">
            <v>0.308</v>
          </cell>
          <cell r="U220">
            <v>0.69199999999999995</v>
          </cell>
        </row>
        <row r="221">
          <cell r="Q221">
            <v>321</v>
          </cell>
          <cell r="R221">
            <v>0</v>
          </cell>
          <cell r="S221">
            <v>0</v>
          </cell>
          <cell r="T221">
            <v>0.308</v>
          </cell>
          <cell r="U221">
            <v>0.69199999999999995</v>
          </cell>
        </row>
        <row r="222">
          <cell r="Q222">
            <v>320</v>
          </cell>
          <cell r="R222">
            <v>0</v>
          </cell>
          <cell r="S222">
            <v>0</v>
          </cell>
          <cell r="T222">
            <v>0.308</v>
          </cell>
          <cell r="U222">
            <v>0.69199999999999995</v>
          </cell>
        </row>
        <row r="223">
          <cell r="Q223">
            <v>319</v>
          </cell>
          <cell r="R223">
            <v>0</v>
          </cell>
          <cell r="S223">
            <v>0</v>
          </cell>
          <cell r="T223">
            <v>0.308</v>
          </cell>
          <cell r="U223">
            <v>0.69199999999999995</v>
          </cell>
        </row>
        <row r="224">
          <cell r="Q224">
            <v>318</v>
          </cell>
          <cell r="R224">
            <v>0</v>
          </cell>
          <cell r="S224">
            <v>0</v>
          </cell>
          <cell r="T224">
            <v>0.308</v>
          </cell>
          <cell r="U224">
            <v>0.69199999999999995</v>
          </cell>
        </row>
        <row r="225">
          <cell r="Q225">
            <v>317</v>
          </cell>
          <cell r="R225">
            <v>0</v>
          </cell>
          <cell r="S225">
            <v>0</v>
          </cell>
          <cell r="T225">
            <v>0.308</v>
          </cell>
          <cell r="U225">
            <v>0.69199999999999995</v>
          </cell>
        </row>
        <row r="226">
          <cell r="Q226">
            <v>316</v>
          </cell>
          <cell r="R226">
            <v>0</v>
          </cell>
          <cell r="S226">
            <v>0</v>
          </cell>
          <cell r="T226">
            <v>0.308</v>
          </cell>
          <cell r="U226">
            <v>0.69199999999999995</v>
          </cell>
        </row>
        <row r="227">
          <cell r="Q227">
            <v>315</v>
          </cell>
          <cell r="R227">
            <v>0</v>
          </cell>
          <cell r="S227">
            <v>0</v>
          </cell>
          <cell r="T227">
            <v>0.308</v>
          </cell>
          <cell r="U227">
            <v>0.69199999999999995</v>
          </cell>
        </row>
        <row r="228">
          <cell r="Q228">
            <v>314</v>
          </cell>
          <cell r="R228">
            <v>0</v>
          </cell>
          <cell r="S228">
            <v>0</v>
          </cell>
          <cell r="T228">
            <v>0.308</v>
          </cell>
          <cell r="U228">
            <v>0.69199999999999995</v>
          </cell>
        </row>
        <row r="229">
          <cell r="Q229">
            <v>313</v>
          </cell>
          <cell r="R229">
            <v>0</v>
          </cell>
          <cell r="S229">
            <v>0</v>
          </cell>
          <cell r="T229">
            <v>0.308</v>
          </cell>
          <cell r="U229">
            <v>0.69199999999999995</v>
          </cell>
        </row>
        <row r="230">
          <cell r="Q230">
            <v>312</v>
          </cell>
          <cell r="R230">
            <v>0</v>
          </cell>
          <cell r="S230">
            <v>0</v>
          </cell>
          <cell r="T230">
            <v>0.308</v>
          </cell>
          <cell r="U230">
            <v>0.69199999999999995</v>
          </cell>
        </row>
        <row r="231">
          <cell r="Q231">
            <v>311</v>
          </cell>
          <cell r="R231">
            <v>0</v>
          </cell>
          <cell r="S231">
            <v>0</v>
          </cell>
          <cell r="T231">
            <v>0.308</v>
          </cell>
          <cell r="U231">
            <v>0.69199999999999995</v>
          </cell>
        </row>
        <row r="232">
          <cell r="Q232">
            <v>310</v>
          </cell>
          <cell r="R232">
            <v>0</v>
          </cell>
          <cell r="S232">
            <v>0</v>
          </cell>
          <cell r="T232">
            <v>0.308</v>
          </cell>
          <cell r="U232">
            <v>0.69199999999999995</v>
          </cell>
        </row>
        <row r="233">
          <cell r="Q233">
            <v>309</v>
          </cell>
          <cell r="R233">
            <v>0</v>
          </cell>
          <cell r="S233">
            <v>0</v>
          </cell>
          <cell r="T233">
            <v>0.308</v>
          </cell>
          <cell r="U233">
            <v>0.69199999999999995</v>
          </cell>
        </row>
        <row r="234">
          <cell r="Q234">
            <v>308</v>
          </cell>
          <cell r="R234">
            <v>0</v>
          </cell>
          <cell r="S234">
            <v>0</v>
          </cell>
          <cell r="T234">
            <v>0.308</v>
          </cell>
          <cell r="U234">
            <v>0.69199999999999995</v>
          </cell>
        </row>
        <row r="235">
          <cell r="Q235">
            <v>307</v>
          </cell>
          <cell r="R235">
            <v>0</v>
          </cell>
          <cell r="S235">
            <v>0</v>
          </cell>
          <cell r="T235">
            <v>0.308</v>
          </cell>
          <cell r="U235">
            <v>0.69199999999999995</v>
          </cell>
        </row>
        <row r="236">
          <cell r="Q236">
            <v>306</v>
          </cell>
          <cell r="R236">
            <v>0</v>
          </cell>
          <cell r="S236">
            <v>0</v>
          </cell>
          <cell r="T236">
            <v>0.308</v>
          </cell>
          <cell r="U236">
            <v>0.69199999999999995</v>
          </cell>
        </row>
        <row r="237">
          <cell r="Q237">
            <v>305</v>
          </cell>
          <cell r="R237">
            <v>0</v>
          </cell>
          <cell r="S237">
            <v>0</v>
          </cell>
          <cell r="T237">
            <v>0.308</v>
          </cell>
          <cell r="U237">
            <v>0.69199999999999995</v>
          </cell>
        </row>
        <row r="238">
          <cell r="Q238">
            <v>304</v>
          </cell>
          <cell r="R238">
            <v>0</v>
          </cell>
          <cell r="S238">
            <v>0</v>
          </cell>
          <cell r="T238">
            <v>0.308</v>
          </cell>
          <cell r="U238">
            <v>0.69199999999999995</v>
          </cell>
        </row>
        <row r="239">
          <cell r="Q239">
            <v>303</v>
          </cell>
          <cell r="R239">
            <v>0</v>
          </cell>
          <cell r="S239">
            <v>0</v>
          </cell>
          <cell r="T239">
            <v>0.308</v>
          </cell>
          <cell r="U239">
            <v>0.69199999999999995</v>
          </cell>
        </row>
        <row r="240">
          <cell r="Q240">
            <v>302</v>
          </cell>
          <cell r="R240">
            <v>0</v>
          </cell>
          <cell r="S240">
            <v>0</v>
          </cell>
          <cell r="T240">
            <v>0.308</v>
          </cell>
          <cell r="U240">
            <v>0.69199999999999995</v>
          </cell>
        </row>
        <row r="241">
          <cell r="Q241">
            <v>301</v>
          </cell>
          <cell r="R241">
            <v>0</v>
          </cell>
          <cell r="S241">
            <v>0</v>
          </cell>
          <cell r="T241">
            <v>0.308</v>
          </cell>
          <cell r="U241">
            <v>0.69199999999999995</v>
          </cell>
        </row>
        <row r="242">
          <cell r="Q242">
            <v>300</v>
          </cell>
          <cell r="R242">
            <v>0</v>
          </cell>
          <cell r="S242">
            <v>0</v>
          </cell>
          <cell r="T242">
            <v>0.308</v>
          </cell>
          <cell r="U242">
            <v>0.69199999999999995</v>
          </cell>
        </row>
        <row r="243">
          <cell r="Q243">
            <v>299</v>
          </cell>
          <cell r="R243">
            <v>0</v>
          </cell>
          <cell r="S243">
            <v>0</v>
          </cell>
          <cell r="T243">
            <v>0.308</v>
          </cell>
          <cell r="U243">
            <v>0.69199999999999995</v>
          </cell>
        </row>
        <row r="244">
          <cell r="Q244">
            <v>298</v>
          </cell>
          <cell r="R244">
            <v>0</v>
          </cell>
          <cell r="S244">
            <v>0</v>
          </cell>
          <cell r="T244">
            <v>0.308</v>
          </cell>
          <cell r="U244">
            <v>0.69199999999999995</v>
          </cell>
        </row>
        <row r="245">
          <cell r="Q245">
            <v>297</v>
          </cell>
          <cell r="R245">
            <v>0</v>
          </cell>
          <cell r="S245">
            <v>0</v>
          </cell>
          <cell r="T245">
            <v>0.308</v>
          </cell>
          <cell r="U245">
            <v>0.69199999999999995</v>
          </cell>
        </row>
        <row r="246">
          <cell r="Q246">
            <v>296</v>
          </cell>
          <cell r="R246">
            <v>0</v>
          </cell>
          <cell r="S246">
            <v>0</v>
          </cell>
          <cell r="T246">
            <v>0.308</v>
          </cell>
          <cell r="U246">
            <v>0.69199999999999995</v>
          </cell>
        </row>
        <row r="247">
          <cell r="Q247">
            <v>295</v>
          </cell>
          <cell r="R247">
            <v>0</v>
          </cell>
          <cell r="S247">
            <v>0</v>
          </cell>
          <cell r="T247">
            <v>0.308</v>
          </cell>
          <cell r="U247">
            <v>0.69199999999999995</v>
          </cell>
        </row>
        <row r="248">
          <cell r="Q248">
            <v>294</v>
          </cell>
          <cell r="R248">
            <v>0</v>
          </cell>
          <cell r="S248">
            <v>0</v>
          </cell>
          <cell r="T248">
            <v>0.308</v>
          </cell>
          <cell r="U248">
            <v>0.69199999999999995</v>
          </cell>
        </row>
        <row r="249">
          <cell r="Q249">
            <v>293</v>
          </cell>
          <cell r="R249">
            <v>0</v>
          </cell>
          <cell r="S249">
            <v>0</v>
          </cell>
          <cell r="T249">
            <v>0.308</v>
          </cell>
          <cell r="U249">
            <v>0.69199999999999995</v>
          </cell>
        </row>
        <row r="250">
          <cell r="Q250">
            <v>292</v>
          </cell>
          <cell r="R250">
            <v>0</v>
          </cell>
          <cell r="S250">
            <v>0</v>
          </cell>
          <cell r="T250">
            <v>0.308</v>
          </cell>
          <cell r="U250">
            <v>0.69199999999999995</v>
          </cell>
        </row>
        <row r="251">
          <cell r="Q251">
            <v>291</v>
          </cell>
          <cell r="R251">
            <v>0</v>
          </cell>
          <cell r="S251">
            <v>0</v>
          </cell>
          <cell r="T251">
            <v>0.308</v>
          </cell>
          <cell r="U251">
            <v>0.69199999999999995</v>
          </cell>
        </row>
        <row r="252">
          <cell r="Q252">
            <v>290</v>
          </cell>
          <cell r="R252">
            <v>0</v>
          </cell>
          <cell r="S252">
            <v>0</v>
          </cell>
          <cell r="T252">
            <v>0.308</v>
          </cell>
          <cell r="U252">
            <v>0.69199999999999995</v>
          </cell>
        </row>
        <row r="253">
          <cell r="Q253">
            <v>289</v>
          </cell>
          <cell r="R253">
            <v>0</v>
          </cell>
          <cell r="S253">
            <v>0</v>
          </cell>
          <cell r="T253">
            <v>0.308</v>
          </cell>
          <cell r="U253">
            <v>0.69199999999999995</v>
          </cell>
        </row>
        <row r="254">
          <cell r="Q254">
            <v>288</v>
          </cell>
          <cell r="R254">
            <v>0</v>
          </cell>
          <cell r="S254">
            <v>0</v>
          </cell>
          <cell r="T254">
            <v>0.308</v>
          </cell>
          <cell r="U254">
            <v>0.69199999999999995</v>
          </cell>
        </row>
        <row r="255">
          <cell r="Q255">
            <v>287</v>
          </cell>
          <cell r="R255">
            <v>0</v>
          </cell>
          <cell r="S255">
            <v>0</v>
          </cell>
          <cell r="T255">
            <v>0.308</v>
          </cell>
          <cell r="U255">
            <v>0.69199999999999995</v>
          </cell>
        </row>
        <row r="256">
          <cell r="Q256">
            <v>286</v>
          </cell>
          <cell r="R256">
            <v>0</v>
          </cell>
          <cell r="S256">
            <v>0</v>
          </cell>
          <cell r="T256">
            <v>0.308</v>
          </cell>
          <cell r="U256">
            <v>0.69199999999999995</v>
          </cell>
        </row>
        <row r="257">
          <cell r="Q257">
            <v>285</v>
          </cell>
          <cell r="R257">
            <v>0</v>
          </cell>
          <cell r="S257">
            <v>0</v>
          </cell>
          <cell r="T257">
            <v>0.308</v>
          </cell>
          <cell r="U257">
            <v>0.69199999999999995</v>
          </cell>
        </row>
        <row r="258">
          <cell r="Q258">
            <v>284</v>
          </cell>
          <cell r="R258">
            <v>0</v>
          </cell>
          <cell r="S258">
            <v>0</v>
          </cell>
          <cell r="T258">
            <v>0.308</v>
          </cell>
          <cell r="U258">
            <v>0.69199999999999995</v>
          </cell>
        </row>
        <row r="259">
          <cell r="Q259">
            <v>283</v>
          </cell>
          <cell r="R259">
            <v>0</v>
          </cell>
          <cell r="S259">
            <v>0</v>
          </cell>
          <cell r="T259">
            <v>0.308</v>
          </cell>
          <cell r="U259">
            <v>0.69199999999999995</v>
          </cell>
        </row>
        <row r="260">
          <cell r="Q260">
            <v>282</v>
          </cell>
          <cell r="R260">
            <v>0</v>
          </cell>
          <cell r="S260">
            <v>0</v>
          </cell>
          <cell r="T260">
            <v>0.308</v>
          </cell>
          <cell r="U260">
            <v>0.69199999999999995</v>
          </cell>
        </row>
        <row r="261">
          <cell r="Q261">
            <v>281</v>
          </cell>
          <cell r="R261">
            <v>0</v>
          </cell>
          <cell r="S261">
            <v>0</v>
          </cell>
          <cell r="T261">
            <v>0.308</v>
          </cell>
          <cell r="U261">
            <v>0.69199999999999995</v>
          </cell>
        </row>
        <row r="262">
          <cell r="Q262">
            <v>280</v>
          </cell>
          <cell r="R262">
            <v>0</v>
          </cell>
          <cell r="S262">
            <v>0</v>
          </cell>
          <cell r="T262">
            <v>0.308</v>
          </cell>
          <cell r="U262">
            <v>0.69199999999999995</v>
          </cell>
        </row>
        <row r="263">
          <cell r="Q263">
            <v>279</v>
          </cell>
          <cell r="R263">
            <v>0</v>
          </cell>
          <cell r="S263">
            <v>0</v>
          </cell>
          <cell r="T263">
            <v>0.308</v>
          </cell>
          <cell r="U263">
            <v>0.69199999999999995</v>
          </cell>
        </row>
        <row r="264">
          <cell r="Q264">
            <v>278</v>
          </cell>
          <cell r="R264">
            <v>0</v>
          </cell>
          <cell r="S264">
            <v>0</v>
          </cell>
          <cell r="T264">
            <v>0.308</v>
          </cell>
          <cell r="U264">
            <v>0.69199999999999995</v>
          </cell>
        </row>
        <row r="265">
          <cell r="Q265">
            <v>277</v>
          </cell>
          <cell r="R265">
            <v>0</v>
          </cell>
          <cell r="S265">
            <v>0</v>
          </cell>
          <cell r="T265">
            <v>0.308</v>
          </cell>
          <cell r="U265">
            <v>0.69199999999999995</v>
          </cell>
        </row>
        <row r="266">
          <cell r="Q266">
            <v>276</v>
          </cell>
          <cell r="R266">
            <v>0</v>
          </cell>
          <cell r="S266">
            <v>0</v>
          </cell>
          <cell r="T266">
            <v>0.308</v>
          </cell>
          <cell r="U266">
            <v>0.69199999999999995</v>
          </cell>
        </row>
        <row r="267">
          <cell r="Q267">
            <v>275</v>
          </cell>
          <cell r="R267">
            <v>0</v>
          </cell>
          <cell r="S267">
            <v>0</v>
          </cell>
          <cell r="T267">
            <v>0.308</v>
          </cell>
          <cell r="U267">
            <v>0.69199999999999995</v>
          </cell>
        </row>
        <row r="268">
          <cell r="Q268">
            <v>274</v>
          </cell>
          <cell r="R268">
            <v>0</v>
          </cell>
          <cell r="S268">
            <v>0</v>
          </cell>
          <cell r="T268">
            <v>0.308</v>
          </cell>
          <cell r="U268">
            <v>0.69199999999999995</v>
          </cell>
        </row>
        <row r="269">
          <cell r="Q269">
            <v>273</v>
          </cell>
          <cell r="R269">
            <v>0</v>
          </cell>
          <cell r="S269">
            <v>0</v>
          </cell>
          <cell r="T269">
            <v>0.308</v>
          </cell>
          <cell r="U269">
            <v>0.69199999999999995</v>
          </cell>
        </row>
        <row r="270">
          <cell r="Q270">
            <v>272</v>
          </cell>
          <cell r="R270">
            <v>0</v>
          </cell>
          <cell r="S270">
            <v>0</v>
          </cell>
          <cell r="T270">
            <v>0.308</v>
          </cell>
          <cell r="U270">
            <v>0.69199999999999995</v>
          </cell>
        </row>
        <row r="271">
          <cell r="Q271">
            <v>271</v>
          </cell>
          <cell r="R271">
            <v>0</v>
          </cell>
          <cell r="S271">
            <v>0</v>
          </cell>
          <cell r="T271">
            <v>0.308</v>
          </cell>
          <cell r="U271">
            <v>0.69199999999999995</v>
          </cell>
        </row>
        <row r="272">
          <cell r="Q272">
            <v>270</v>
          </cell>
          <cell r="R272">
            <v>0</v>
          </cell>
          <cell r="S272">
            <v>0</v>
          </cell>
          <cell r="T272">
            <v>0.308</v>
          </cell>
          <cell r="U272">
            <v>0.69199999999999995</v>
          </cell>
        </row>
        <row r="273">
          <cell r="Q273">
            <v>269</v>
          </cell>
          <cell r="R273">
            <v>0</v>
          </cell>
          <cell r="S273">
            <v>0</v>
          </cell>
          <cell r="T273">
            <v>0.308</v>
          </cell>
          <cell r="U273">
            <v>0.69199999999999995</v>
          </cell>
        </row>
        <row r="274">
          <cell r="Q274">
            <v>268</v>
          </cell>
          <cell r="R274">
            <v>0</v>
          </cell>
          <cell r="S274">
            <v>0</v>
          </cell>
          <cell r="T274">
            <v>0.308</v>
          </cell>
          <cell r="U274">
            <v>0.69199999999999995</v>
          </cell>
        </row>
        <row r="275">
          <cell r="Q275">
            <v>267</v>
          </cell>
          <cell r="R275">
            <v>0</v>
          </cell>
          <cell r="S275">
            <v>0</v>
          </cell>
          <cell r="T275">
            <v>0.308</v>
          </cell>
          <cell r="U275">
            <v>0.69199999999999995</v>
          </cell>
        </row>
        <row r="276">
          <cell r="Q276">
            <v>266</v>
          </cell>
          <cell r="R276">
            <v>0</v>
          </cell>
          <cell r="S276">
            <v>0</v>
          </cell>
          <cell r="T276">
            <v>0.308</v>
          </cell>
          <cell r="U276">
            <v>0.69199999999999995</v>
          </cell>
        </row>
        <row r="277">
          <cell r="Q277">
            <v>265</v>
          </cell>
          <cell r="R277">
            <v>0</v>
          </cell>
          <cell r="S277">
            <v>0</v>
          </cell>
          <cell r="T277">
            <v>0.308</v>
          </cell>
          <cell r="U277">
            <v>0.69199999999999995</v>
          </cell>
        </row>
        <row r="278">
          <cell r="Q278">
            <v>264</v>
          </cell>
          <cell r="R278">
            <v>0</v>
          </cell>
          <cell r="S278">
            <v>0</v>
          </cell>
          <cell r="T278">
            <v>0.308</v>
          </cell>
          <cell r="U278">
            <v>0.69199999999999995</v>
          </cell>
        </row>
        <row r="279">
          <cell r="Q279">
            <v>263</v>
          </cell>
          <cell r="R279">
            <v>0</v>
          </cell>
          <cell r="S279">
            <v>0</v>
          </cell>
          <cell r="T279">
            <v>0.308</v>
          </cell>
          <cell r="U279">
            <v>0.69199999999999995</v>
          </cell>
        </row>
        <row r="280">
          <cell r="Q280">
            <v>262</v>
          </cell>
          <cell r="R280">
            <v>0</v>
          </cell>
          <cell r="S280">
            <v>0</v>
          </cell>
          <cell r="T280">
            <v>0.308</v>
          </cell>
          <cell r="U280">
            <v>0.69199999999999995</v>
          </cell>
        </row>
        <row r="281">
          <cell r="Q281">
            <v>261</v>
          </cell>
          <cell r="R281">
            <v>0</v>
          </cell>
          <cell r="S281">
            <v>0</v>
          </cell>
          <cell r="T281">
            <v>0.308</v>
          </cell>
          <cell r="U281">
            <v>0.69199999999999995</v>
          </cell>
        </row>
        <row r="282">
          <cell r="Q282">
            <v>260</v>
          </cell>
          <cell r="R282">
            <v>0</v>
          </cell>
          <cell r="S282">
            <v>0</v>
          </cell>
          <cell r="T282">
            <v>0.308</v>
          </cell>
          <cell r="U282">
            <v>0.69199999999999995</v>
          </cell>
        </row>
        <row r="283">
          <cell r="Q283">
            <v>259</v>
          </cell>
          <cell r="R283">
            <v>0</v>
          </cell>
          <cell r="S283">
            <v>0</v>
          </cell>
          <cell r="T283">
            <v>0.308</v>
          </cell>
          <cell r="U283">
            <v>0.69199999999999995</v>
          </cell>
        </row>
        <row r="284">
          <cell r="Q284">
            <v>258</v>
          </cell>
          <cell r="R284">
            <v>0</v>
          </cell>
          <cell r="S284">
            <v>0</v>
          </cell>
          <cell r="T284">
            <v>0.308</v>
          </cell>
          <cell r="U284">
            <v>0.69199999999999995</v>
          </cell>
        </row>
        <row r="285">
          <cell r="Q285">
            <v>257</v>
          </cell>
          <cell r="R285">
            <v>0</v>
          </cell>
          <cell r="S285">
            <v>0</v>
          </cell>
          <cell r="T285">
            <v>0.308</v>
          </cell>
          <cell r="U285">
            <v>0.69199999999999995</v>
          </cell>
        </row>
        <row r="286">
          <cell r="Q286">
            <v>256</v>
          </cell>
          <cell r="R286">
            <v>0</v>
          </cell>
          <cell r="S286">
            <v>0</v>
          </cell>
          <cell r="T286">
            <v>0.308</v>
          </cell>
          <cell r="U286">
            <v>0.69199999999999995</v>
          </cell>
        </row>
        <row r="287">
          <cell r="Q287">
            <v>255</v>
          </cell>
          <cell r="R287">
            <v>0</v>
          </cell>
          <cell r="S287">
            <v>0</v>
          </cell>
          <cell r="T287">
            <v>0.308</v>
          </cell>
          <cell r="U287">
            <v>0.69199999999999995</v>
          </cell>
        </row>
        <row r="288">
          <cell r="Q288">
            <v>254</v>
          </cell>
          <cell r="R288">
            <v>0</v>
          </cell>
          <cell r="S288">
            <v>0</v>
          </cell>
          <cell r="T288">
            <v>0.308</v>
          </cell>
          <cell r="U288">
            <v>0.69199999999999995</v>
          </cell>
        </row>
        <row r="289">
          <cell r="Q289">
            <v>253</v>
          </cell>
          <cell r="R289">
            <v>0</v>
          </cell>
          <cell r="S289">
            <v>0</v>
          </cell>
          <cell r="T289">
            <v>0.308</v>
          </cell>
          <cell r="U289">
            <v>0.69199999999999995</v>
          </cell>
        </row>
        <row r="290">
          <cell r="Q290">
            <v>252</v>
          </cell>
          <cell r="R290">
            <v>0</v>
          </cell>
          <cell r="S290">
            <v>0</v>
          </cell>
          <cell r="T290">
            <v>0.308</v>
          </cell>
          <cell r="U290">
            <v>0.69199999999999995</v>
          </cell>
        </row>
        <row r="291">
          <cell r="Q291">
            <v>251</v>
          </cell>
          <cell r="R291">
            <v>0</v>
          </cell>
          <cell r="S291">
            <v>0</v>
          </cell>
          <cell r="T291">
            <v>0.308</v>
          </cell>
          <cell r="U291">
            <v>0.69199999999999995</v>
          </cell>
        </row>
        <row r="292">
          <cell r="Q292">
            <v>250</v>
          </cell>
          <cell r="R292">
            <v>0</v>
          </cell>
          <cell r="S292">
            <v>0</v>
          </cell>
          <cell r="T292">
            <v>0.308</v>
          </cell>
          <cell r="U292">
            <v>0.69199999999999995</v>
          </cell>
        </row>
        <row r="293">
          <cell r="Q293">
            <v>249</v>
          </cell>
          <cell r="R293">
            <v>0</v>
          </cell>
          <cell r="S293">
            <v>0</v>
          </cell>
          <cell r="T293">
            <v>0.308</v>
          </cell>
          <cell r="U293">
            <v>0.69199999999999995</v>
          </cell>
        </row>
        <row r="294">
          <cell r="Q294">
            <v>248</v>
          </cell>
          <cell r="R294">
            <v>0</v>
          </cell>
          <cell r="S294">
            <v>0</v>
          </cell>
          <cell r="T294">
            <v>0.308</v>
          </cell>
          <cell r="U294">
            <v>0.69199999999999995</v>
          </cell>
        </row>
        <row r="295">
          <cell r="Q295">
            <v>247</v>
          </cell>
          <cell r="R295">
            <v>0</v>
          </cell>
          <cell r="S295">
            <v>0</v>
          </cell>
          <cell r="T295">
            <v>0.308</v>
          </cell>
          <cell r="U295">
            <v>0.69199999999999995</v>
          </cell>
        </row>
        <row r="296">
          <cell r="Q296">
            <v>246</v>
          </cell>
          <cell r="R296">
            <v>0</v>
          </cell>
          <cell r="S296">
            <v>0</v>
          </cell>
          <cell r="T296">
            <v>0.308</v>
          </cell>
          <cell r="U296">
            <v>0.69199999999999995</v>
          </cell>
        </row>
        <row r="297">
          <cell r="Q297">
            <v>245</v>
          </cell>
          <cell r="R297">
            <v>0</v>
          </cell>
          <cell r="S297">
            <v>0</v>
          </cell>
          <cell r="T297">
            <v>0.308</v>
          </cell>
          <cell r="U297">
            <v>0.69199999999999995</v>
          </cell>
        </row>
        <row r="298">
          <cell r="Q298">
            <v>244</v>
          </cell>
          <cell r="R298">
            <v>0</v>
          </cell>
          <cell r="S298">
            <v>0</v>
          </cell>
          <cell r="T298">
            <v>0.308</v>
          </cell>
          <cell r="U298">
            <v>0.69199999999999995</v>
          </cell>
        </row>
        <row r="299">
          <cell r="Q299">
            <v>243</v>
          </cell>
          <cell r="R299">
            <v>0</v>
          </cell>
          <cell r="S299">
            <v>0</v>
          </cell>
          <cell r="T299">
            <v>0.308</v>
          </cell>
          <cell r="U299">
            <v>0.69199999999999995</v>
          </cell>
        </row>
        <row r="300">
          <cell r="Q300">
            <v>242</v>
          </cell>
          <cell r="R300">
            <v>0</v>
          </cell>
          <cell r="S300">
            <v>0</v>
          </cell>
          <cell r="T300">
            <v>0.308</v>
          </cell>
          <cell r="U300">
            <v>0.69199999999999995</v>
          </cell>
        </row>
        <row r="301">
          <cell r="Q301">
            <v>241</v>
          </cell>
          <cell r="R301">
            <v>0</v>
          </cell>
          <cell r="S301">
            <v>0</v>
          </cell>
          <cell r="T301">
            <v>0.308</v>
          </cell>
          <cell r="U301">
            <v>0.69199999999999995</v>
          </cell>
        </row>
        <row r="302">
          <cell r="Q302">
            <v>240</v>
          </cell>
          <cell r="R302">
            <v>0</v>
          </cell>
          <cell r="S302">
            <v>0</v>
          </cell>
          <cell r="T302">
            <v>0.308</v>
          </cell>
          <cell r="U302">
            <v>0.69199999999999995</v>
          </cell>
        </row>
        <row r="303">
          <cell r="Q303">
            <v>239</v>
          </cell>
          <cell r="R303">
            <v>0</v>
          </cell>
          <cell r="S303">
            <v>0</v>
          </cell>
          <cell r="T303">
            <v>0.308</v>
          </cell>
          <cell r="U303">
            <v>0.69199999999999995</v>
          </cell>
        </row>
        <row r="304">
          <cell r="Q304">
            <v>238</v>
          </cell>
          <cell r="R304">
            <v>0</v>
          </cell>
          <cell r="S304">
            <v>0</v>
          </cell>
          <cell r="T304">
            <v>0.308</v>
          </cell>
          <cell r="U304">
            <v>0.69199999999999995</v>
          </cell>
        </row>
        <row r="305">
          <cell r="Q305">
            <v>237</v>
          </cell>
          <cell r="R305">
            <v>0</v>
          </cell>
          <cell r="S305">
            <v>0</v>
          </cell>
          <cell r="T305">
            <v>0.308</v>
          </cell>
          <cell r="U305">
            <v>0.69199999999999995</v>
          </cell>
        </row>
        <row r="306">
          <cell r="Q306">
            <v>236</v>
          </cell>
          <cell r="R306">
            <v>0</v>
          </cell>
          <cell r="S306">
            <v>0</v>
          </cell>
          <cell r="T306">
            <v>0.308</v>
          </cell>
          <cell r="U306">
            <v>0.69199999999999995</v>
          </cell>
        </row>
        <row r="307">
          <cell r="Q307">
            <v>235</v>
          </cell>
          <cell r="R307">
            <v>0</v>
          </cell>
          <cell r="S307">
            <v>0</v>
          </cell>
          <cell r="T307">
            <v>0.308</v>
          </cell>
          <cell r="U307">
            <v>0.69199999999999995</v>
          </cell>
        </row>
        <row r="308">
          <cell r="Q308">
            <v>234</v>
          </cell>
          <cell r="R308">
            <v>0</v>
          </cell>
          <cell r="S308">
            <v>0</v>
          </cell>
          <cell r="T308">
            <v>0.308</v>
          </cell>
          <cell r="U308">
            <v>0.69199999999999995</v>
          </cell>
        </row>
        <row r="309">
          <cell r="Q309">
            <v>233</v>
          </cell>
          <cell r="R309">
            <v>0</v>
          </cell>
          <cell r="S309">
            <v>0</v>
          </cell>
          <cell r="T309">
            <v>0.308</v>
          </cell>
          <cell r="U309">
            <v>0.69199999999999995</v>
          </cell>
        </row>
        <row r="310">
          <cell r="Q310">
            <v>232</v>
          </cell>
          <cell r="R310">
            <v>0</v>
          </cell>
          <cell r="S310">
            <v>0</v>
          </cell>
          <cell r="T310">
            <v>0.308</v>
          </cell>
          <cell r="U310">
            <v>0.69199999999999995</v>
          </cell>
        </row>
        <row r="311">
          <cell r="Q311">
            <v>231</v>
          </cell>
          <cell r="R311">
            <v>0</v>
          </cell>
          <cell r="S311">
            <v>0</v>
          </cell>
          <cell r="T311">
            <v>0.308</v>
          </cell>
          <cell r="U311">
            <v>0.69199999999999995</v>
          </cell>
        </row>
        <row r="312">
          <cell r="Q312">
            <v>230</v>
          </cell>
          <cell r="R312">
            <v>0</v>
          </cell>
          <cell r="S312">
            <v>0</v>
          </cell>
          <cell r="T312">
            <v>0.308</v>
          </cell>
          <cell r="U312">
            <v>0.69199999999999995</v>
          </cell>
        </row>
        <row r="313">
          <cell r="Q313">
            <v>229</v>
          </cell>
          <cell r="R313">
            <v>0</v>
          </cell>
          <cell r="S313">
            <v>0</v>
          </cell>
          <cell r="T313">
            <v>0.308</v>
          </cell>
          <cell r="U313">
            <v>0.69199999999999995</v>
          </cell>
        </row>
        <row r="314">
          <cell r="Q314">
            <v>228</v>
          </cell>
          <cell r="R314">
            <v>0</v>
          </cell>
          <cell r="S314">
            <v>0</v>
          </cell>
          <cell r="T314">
            <v>0.308</v>
          </cell>
          <cell r="U314">
            <v>0.69199999999999995</v>
          </cell>
        </row>
        <row r="315">
          <cell r="Q315">
            <v>227</v>
          </cell>
          <cell r="R315">
            <v>0</v>
          </cell>
          <cell r="S315">
            <v>0</v>
          </cell>
          <cell r="T315">
            <v>0.308</v>
          </cell>
          <cell r="U315">
            <v>0.69199999999999995</v>
          </cell>
        </row>
        <row r="316">
          <cell r="Q316">
            <v>226</v>
          </cell>
          <cell r="R316">
            <v>0</v>
          </cell>
          <cell r="S316">
            <v>0</v>
          </cell>
          <cell r="T316">
            <v>0.308</v>
          </cell>
          <cell r="U316">
            <v>0.69199999999999995</v>
          </cell>
        </row>
        <row r="317">
          <cell r="Q317">
            <v>225</v>
          </cell>
          <cell r="R317">
            <v>0</v>
          </cell>
          <cell r="S317">
            <v>0</v>
          </cell>
          <cell r="T317">
            <v>0.308</v>
          </cell>
          <cell r="U317">
            <v>0.69199999999999995</v>
          </cell>
        </row>
        <row r="318">
          <cell r="Q318">
            <v>224</v>
          </cell>
          <cell r="R318">
            <v>0</v>
          </cell>
          <cell r="S318">
            <v>0</v>
          </cell>
          <cell r="T318">
            <v>0.308</v>
          </cell>
          <cell r="U318">
            <v>0.69199999999999995</v>
          </cell>
        </row>
        <row r="319">
          <cell r="Q319">
            <v>223</v>
          </cell>
          <cell r="R319">
            <v>0</v>
          </cell>
          <cell r="S319">
            <v>0</v>
          </cell>
          <cell r="T319">
            <v>0.308</v>
          </cell>
          <cell r="U319">
            <v>0.69199999999999995</v>
          </cell>
        </row>
        <row r="320">
          <cell r="Q320">
            <v>222</v>
          </cell>
          <cell r="R320">
            <v>0</v>
          </cell>
          <cell r="S320">
            <v>0</v>
          </cell>
          <cell r="T320">
            <v>0.308</v>
          </cell>
          <cell r="U320">
            <v>0.69199999999999995</v>
          </cell>
        </row>
        <row r="321">
          <cell r="Q321">
            <v>221</v>
          </cell>
          <cell r="R321">
            <v>0</v>
          </cell>
          <cell r="S321">
            <v>0</v>
          </cell>
          <cell r="T321">
            <v>0.308</v>
          </cell>
          <cell r="U321">
            <v>0.69199999999999995</v>
          </cell>
        </row>
        <row r="322">
          <cell r="Q322">
            <v>220</v>
          </cell>
          <cell r="R322">
            <v>0</v>
          </cell>
          <cell r="S322">
            <v>0</v>
          </cell>
          <cell r="T322">
            <v>0.308</v>
          </cell>
          <cell r="U322">
            <v>0.69199999999999995</v>
          </cell>
        </row>
        <row r="323">
          <cell r="Q323">
            <v>219</v>
          </cell>
          <cell r="R323">
            <v>0</v>
          </cell>
          <cell r="S323">
            <v>0</v>
          </cell>
          <cell r="T323">
            <v>0.308</v>
          </cell>
          <cell r="U323">
            <v>0.69199999999999995</v>
          </cell>
        </row>
        <row r="324">
          <cell r="Q324">
            <v>218</v>
          </cell>
          <cell r="R324">
            <v>0</v>
          </cell>
          <cell r="S324">
            <v>0</v>
          </cell>
          <cell r="T324">
            <v>0.308</v>
          </cell>
          <cell r="U324">
            <v>0.69199999999999995</v>
          </cell>
        </row>
        <row r="325">
          <cell r="Q325">
            <v>217</v>
          </cell>
          <cell r="R325">
            <v>0</v>
          </cell>
          <cell r="S325">
            <v>0</v>
          </cell>
          <cell r="T325">
            <v>0.308</v>
          </cell>
          <cell r="U325">
            <v>0.69199999999999995</v>
          </cell>
        </row>
        <row r="326">
          <cell r="Q326">
            <v>216</v>
          </cell>
          <cell r="R326">
            <v>0</v>
          </cell>
          <cell r="S326">
            <v>0</v>
          </cell>
          <cell r="T326">
            <v>0.308</v>
          </cell>
          <cell r="U326">
            <v>0.69199999999999995</v>
          </cell>
        </row>
        <row r="327">
          <cell r="Q327">
            <v>215</v>
          </cell>
          <cell r="R327">
            <v>0</v>
          </cell>
          <cell r="S327">
            <v>0</v>
          </cell>
          <cell r="T327">
            <v>0.308</v>
          </cell>
          <cell r="U327">
            <v>0.69199999999999995</v>
          </cell>
        </row>
        <row r="328">
          <cell r="Q328">
            <v>214</v>
          </cell>
          <cell r="R328">
            <v>0</v>
          </cell>
          <cell r="S328">
            <v>0</v>
          </cell>
          <cell r="T328">
            <v>0.308</v>
          </cell>
          <cell r="U328">
            <v>0.69199999999999995</v>
          </cell>
        </row>
        <row r="329">
          <cell r="Q329">
            <v>213</v>
          </cell>
          <cell r="R329">
            <v>0</v>
          </cell>
          <cell r="S329">
            <v>0</v>
          </cell>
          <cell r="T329">
            <v>0.308</v>
          </cell>
          <cell r="U329">
            <v>0.69199999999999995</v>
          </cell>
        </row>
        <row r="330">
          <cell r="Q330">
            <v>212</v>
          </cell>
          <cell r="R330">
            <v>0</v>
          </cell>
          <cell r="S330">
            <v>0</v>
          </cell>
          <cell r="T330">
            <v>0.308</v>
          </cell>
          <cell r="U330">
            <v>0.69199999999999995</v>
          </cell>
        </row>
        <row r="331">
          <cell r="Q331">
            <v>211</v>
          </cell>
          <cell r="R331">
            <v>0</v>
          </cell>
          <cell r="S331">
            <v>0</v>
          </cell>
          <cell r="T331">
            <v>0.308</v>
          </cell>
          <cell r="U331">
            <v>0.69199999999999995</v>
          </cell>
        </row>
        <row r="332">
          <cell r="Q332">
            <v>210</v>
          </cell>
          <cell r="R332">
            <v>0</v>
          </cell>
          <cell r="S332">
            <v>0</v>
          </cell>
          <cell r="T332">
            <v>0.308</v>
          </cell>
          <cell r="U332">
            <v>0.69199999999999995</v>
          </cell>
        </row>
        <row r="333">
          <cell r="Q333">
            <v>209</v>
          </cell>
          <cell r="R333">
            <v>0</v>
          </cell>
          <cell r="S333">
            <v>0</v>
          </cell>
          <cell r="T333">
            <v>0.308</v>
          </cell>
          <cell r="U333">
            <v>0.69199999999999995</v>
          </cell>
        </row>
        <row r="334">
          <cell r="Q334">
            <v>208</v>
          </cell>
          <cell r="R334">
            <v>0</v>
          </cell>
          <cell r="S334">
            <v>0</v>
          </cell>
          <cell r="T334">
            <v>0.308</v>
          </cell>
          <cell r="U334">
            <v>0.69199999999999995</v>
          </cell>
        </row>
        <row r="335">
          <cell r="Q335">
            <v>207</v>
          </cell>
          <cell r="R335">
            <v>0</v>
          </cell>
          <cell r="S335">
            <v>0</v>
          </cell>
          <cell r="T335">
            <v>0.308</v>
          </cell>
          <cell r="U335">
            <v>0.69199999999999995</v>
          </cell>
        </row>
        <row r="336">
          <cell r="Q336">
            <v>206</v>
          </cell>
          <cell r="R336">
            <v>0</v>
          </cell>
          <cell r="S336">
            <v>0</v>
          </cell>
          <cell r="T336">
            <v>0.308</v>
          </cell>
          <cell r="U336">
            <v>0.69199999999999995</v>
          </cell>
        </row>
        <row r="337">
          <cell r="Q337">
            <v>205</v>
          </cell>
          <cell r="R337">
            <v>0</v>
          </cell>
          <cell r="S337">
            <v>0</v>
          </cell>
          <cell r="T337">
            <v>0.308</v>
          </cell>
          <cell r="U337">
            <v>0.69199999999999995</v>
          </cell>
        </row>
        <row r="338">
          <cell r="Q338">
            <v>204</v>
          </cell>
          <cell r="R338">
            <v>0</v>
          </cell>
          <cell r="S338">
            <v>0</v>
          </cell>
          <cell r="T338">
            <v>0.308</v>
          </cell>
          <cell r="U338">
            <v>0.69199999999999995</v>
          </cell>
        </row>
        <row r="339">
          <cell r="Q339">
            <v>203</v>
          </cell>
          <cell r="R339">
            <v>0</v>
          </cell>
          <cell r="S339">
            <v>0</v>
          </cell>
          <cell r="T339">
            <v>0.308</v>
          </cell>
          <cell r="U339">
            <v>0.69199999999999995</v>
          </cell>
        </row>
        <row r="340">
          <cell r="Q340">
            <v>202</v>
          </cell>
          <cell r="R340">
            <v>0</v>
          </cell>
          <cell r="S340">
            <v>0</v>
          </cell>
          <cell r="T340">
            <v>0.308</v>
          </cell>
          <cell r="U340">
            <v>0.69199999999999995</v>
          </cell>
        </row>
        <row r="341">
          <cell r="Q341">
            <v>201</v>
          </cell>
          <cell r="R341">
            <v>0</v>
          </cell>
          <cell r="S341">
            <v>0</v>
          </cell>
          <cell r="T341">
            <v>0.308</v>
          </cell>
          <cell r="U341">
            <v>0.69199999999999995</v>
          </cell>
        </row>
        <row r="342">
          <cell r="Q342">
            <v>200</v>
          </cell>
          <cell r="R342">
            <v>0</v>
          </cell>
          <cell r="S342">
            <v>0</v>
          </cell>
          <cell r="T342">
            <v>0.308</v>
          </cell>
          <cell r="U342">
            <v>0.69199999999999995</v>
          </cell>
        </row>
        <row r="343">
          <cell r="Q343">
            <v>199</v>
          </cell>
          <cell r="R343">
            <v>0</v>
          </cell>
          <cell r="S343">
            <v>0</v>
          </cell>
          <cell r="T343">
            <v>0.308</v>
          </cell>
          <cell r="U343">
            <v>0.69199999999999995</v>
          </cell>
        </row>
        <row r="344">
          <cell r="Q344">
            <v>198</v>
          </cell>
          <cell r="R344">
            <v>0</v>
          </cell>
          <cell r="S344">
            <v>0</v>
          </cell>
          <cell r="T344">
            <v>0.308</v>
          </cell>
          <cell r="U344">
            <v>0.69199999999999995</v>
          </cell>
        </row>
        <row r="345">
          <cell r="Q345">
            <v>197</v>
          </cell>
          <cell r="R345">
            <v>0</v>
          </cell>
          <cell r="S345">
            <v>0</v>
          </cell>
          <cell r="T345">
            <v>0.308</v>
          </cell>
          <cell r="U345">
            <v>0.69199999999999995</v>
          </cell>
        </row>
        <row r="346">
          <cell r="Q346">
            <v>196</v>
          </cell>
          <cell r="R346">
            <v>0</v>
          </cell>
          <cell r="S346">
            <v>0</v>
          </cell>
          <cell r="T346">
            <v>0.308</v>
          </cell>
          <cell r="U346">
            <v>0.69199999999999995</v>
          </cell>
        </row>
        <row r="347">
          <cell r="Q347">
            <v>195</v>
          </cell>
          <cell r="R347">
            <v>0</v>
          </cell>
          <cell r="S347">
            <v>0</v>
          </cell>
          <cell r="T347">
            <v>0.308</v>
          </cell>
          <cell r="U347">
            <v>0.69199999999999995</v>
          </cell>
        </row>
        <row r="348">
          <cell r="Q348">
            <v>194</v>
          </cell>
          <cell r="R348">
            <v>0</v>
          </cell>
          <cell r="S348">
            <v>0</v>
          </cell>
          <cell r="T348">
            <v>0.308</v>
          </cell>
          <cell r="U348">
            <v>0.69199999999999995</v>
          </cell>
        </row>
        <row r="349">
          <cell r="Q349">
            <v>193</v>
          </cell>
          <cell r="R349">
            <v>0</v>
          </cell>
          <cell r="S349">
            <v>0</v>
          </cell>
          <cell r="T349">
            <v>0.308</v>
          </cell>
          <cell r="U349">
            <v>0.69199999999999995</v>
          </cell>
        </row>
        <row r="350">
          <cell r="Q350">
            <v>192</v>
          </cell>
          <cell r="R350">
            <v>0</v>
          </cell>
          <cell r="S350">
            <v>0</v>
          </cell>
          <cell r="T350">
            <v>0.308</v>
          </cell>
          <cell r="U350">
            <v>0.69199999999999995</v>
          </cell>
        </row>
        <row r="351">
          <cell r="Q351">
            <v>191</v>
          </cell>
          <cell r="R351">
            <v>0</v>
          </cell>
          <cell r="S351">
            <v>0</v>
          </cell>
          <cell r="T351">
            <v>0.308</v>
          </cell>
          <cell r="U351">
            <v>0.69199999999999995</v>
          </cell>
        </row>
        <row r="352">
          <cell r="Q352">
            <v>190</v>
          </cell>
          <cell r="R352">
            <v>0</v>
          </cell>
          <cell r="S352">
            <v>0</v>
          </cell>
          <cell r="T352">
            <v>0.308</v>
          </cell>
          <cell r="U352">
            <v>0.69199999999999995</v>
          </cell>
        </row>
        <row r="353">
          <cell r="Q353">
            <v>189</v>
          </cell>
          <cell r="R353">
            <v>0</v>
          </cell>
          <cell r="S353">
            <v>0</v>
          </cell>
          <cell r="T353">
            <v>0.308</v>
          </cell>
          <cell r="U353">
            <v>0.69199999999999995</v>
          </cell>
        </row>
        <row r="354">
          <cell r="Q354">
            <v>188</v>
          </cell>
          <cell r="R354">
            <v>0</v>
          </cell>
          <cell r="S354">
            <v>0</v>
          </cell>
          <cell r="T354">
            <v>0.308</v>
          </cell>
          <cell r="U354">
            <v>0.69199999999999995</v>
          </cell>
        </row>
        <row r="355">
          <cell r="Q355">
            <v>187</v>
          </cell>
          <cell r="R355">
            <v>0</v>
          </cell>
          <cell r="S355">
            <v>0</v>
          </cell>
          <cell r="T355">
            <v>0.308</v>
          </cell>
          <cell r="U355">
            <v>0.69199999999999995</v>
          </cell>
        </row>
        <row r="356">
          <cell r="Q356">
            <v>186</v>
          </cell>
          <cell r="R356">
            <v>0</v>
          </cell>
          <cell r="S356">
            <v>0</v>
          </cell>
          <cell r="T356">
            <v>0.308</v>
          </cell>
          <cell r="U356">
            <v>0.69199999999999995</v>
          </cell>
        </row>
        <row r="357">
          <cell r="Q357">
            <v>185</v>
          </cell>
          <cell r="R357">
            <v>0</v>
          </cell>
          <cell r="S357">
            <v>0</v>
          </cell>
          <cell r="T357">
            <v>0.308</v>
          </cell>
          <cell r="U357">
            <v>0.69199999999999995</v>
          </cell>
        </row>
        <row r="358">
          <cell r="Q358">
            <v>184</v>
          </cell>
          <cell r="R358">
            <v>0</v>
          </cell>
          <cell r="S358">
            <v>0</v>
          </cell>
          <cell r="T358">
            <v>0.308</v>
          </cell>
          <cell r="U358">
            <v>0.69199999999999995</v>
          </cell>
        </row>
        <row r="359">
          <cell r="Q359">
            <v>183</v>
          </cell>
          <cell r="R359">
            <v>0</v>
          </cell>
          <cell r="S359">
            <v>0</v>
          </cell>
          <cell r="T359">
            <v>0.308</v>
          </cell>
          <cell r="U359">
            <v>0.69199999999999995</v>
          </cell>
        </row>
        <row r="360">
          <cell r="Q360">
            <v>182</v>
          </cell>
          <cell r="R360">
            <v>0</v>
          </cell>
          <cell r="S360">
            <v>0</v>
          </cell>
          <cell r="T360">
            <v>0.308</v>
          </cell>
          <cell r="U360">
            <v>0.69199999999999995</v>
          </cell>
        </row>
        <row r="361">
          <cell r="Q361">
            <v>181</v>
          </cell>
          <cell r="R361">
            <v>0</v>
          </cell>
          <cell r="S361">
            <v>0</v>
          </cell>
          <cell r="T361">
            <v>0.308</v>
          </cell>
          <cell r="U361">
            <v>0.69199999999999995</v>
          </cell>
        </row>
        <row r="362">
          <cell r="Q362">
            <v>180</v>
          </cell>
          <cell r="R362">
            <v>0</v>
          </cell>
          <cell r="S362">
            <v>0</v>
          </cell>
          <cell r="T362">
            <v>0.308</v>
          </cell>
          <cell r="U362">
            <v>0.69199999999999995</v>
          </cell>
        </row>
        <row r="363">
          <cell r="Q363">
            <v>179</v>
          </cell>
          <cell r="R363">
            <v>0</v>
          </cell>
          <cell r="S363">
            <v>0</v>
          </cell>
          <cell r="T363">
            <v>0.31916666666666665</v>
          </cell>
          <cell r="U363">
            <v>0.68083333333333329</v>
          </cell>
        </row>
        <row r="364">
          <cell r="Q364">
            <v>178</v>
          </cell>
          <cell r="R364">
            <v>0</v>
          </cell>
          <cell r="S364">
            <v>0</v>
          </cell>
          <cell r="T364">
            <v>0.33033333333333331</v>
          </cell>
          <cell r="U364">
            <v>0.66966666666666663</v>
          </cell>
        </row>
        <row r="365">
          <cell r="Q365">
            <v>177</v>
          </cell>
          <cell r="R365">
            <v>0</v>
          </cell>
          <cell r="S365">
            <v>0</v>
          </cell>
          <cell r="T365">
            <v>0.34150000000000003</v>
          </cell>
          <cell r="U365">
            <v>0.65849999999999997</v>
          </cell>
        </row>
        <row r="366">
          <cell r="Q366">
            <v>176</v>
          </cell>
          <cell r="R366">
            <v>0</v>
          </cell>
          <cell r="S366">
            <v>0</v>
          </cell>
          <cell r="T366">
            <v>0.35266666666666668</v>
          </cell>
          <cell r="U366">
            <v>0.64733333333333332</v>
          </cell>
        </row>
        <row r="367">
          <cell r="Q367">
            <v>175</v>
          </cell>
          <cell r="R367">
            <v>0</v>
          </cell>
          <cell r="S367">
            <v>0</v>
          </cell>
          <cell r="T367">
            <v>0.36383333333333334</v>
          </cell>
          <cell r="U367">
            <v>0.63616666666666666</v>
          </cell>
        </row>
        <row r="368">
          <cell r="Q368">
            <v>174</v>
          </cell>
          <cell r="R368">
            <v>0</v>
          </cell>
          <cell r="S368">
            <v>0</v>
          </cell>
          <cell r="T368">
            <v>0.375</v>
          </cell>
          <cell r="U368">
            <v>0.625</v>
          </cell>
        </row>
        <row r="369">
          <cell r="Q369">
            <v>173</v>
          </cell>
          <cell r="R369">
            <v>0</v>
          </cell>
          <cell r="S369">
            <v>0</v>
          </cell>
          <cell r="T369">
            <v>0.38616666666666666</v>
          </cell>
          <cell r="U369">
            <v>0.61383333333333334</v>
          </cell>
        </row>
        <row r="370">
          <cell r="Q370">
            <v>172</v>
          </cell>
          <cell r="R370">
            <v>0</v>
          </cell>
          <cell r="S370">
            <v>0</v>
          </cell>
          <cell r="T370">
            <v>0.39733333333333332</v>
          </cell>
          <cell r="U370">
            <v>0.60266666666666668</v>
          </cell>
        </row>
        <row r="371">
          <cell r="Q371">
            <v>171</v>
          </cell>
          <cell r="R371">
            <v>0</v>
          </cell>
          <cell r="S371">
            <v>0</v>
          </cell>
          <cell r="T371">
            <v>0.40849999999999997</v>
          </cell>
          <cell r="U371">
            <v>0.59150000000000003</v>
          </cell>
        </row>
        <row r="372">
          <cell r="Q372">
            <v>170</v>
          </cell>
          <cell r="R372">
            <v>0</v>
          </cell>
          <cell r="S372">
            <v>0</v>
          </cell>
          <cell r="T372">
            <v>0.41966666666666669</v>
          </cell>
          <cell r="U372">
            <v>0.58033333333333337</v>
          </cell>
        </row>
        <row r="373">
          <cell r="Q373">
            <v>169</v>
          </cell>
          <cell r="R373">
            <v>0</v>
          </cell>
          <cell r="S373">
            <v>0</v>
          </cell>
          <cell r="T373">
            <v>0.43083333333333335</v>
          </cell>
          <cell r="U373">
            <v>0.56916666666666671</v>
          </cell>
        </row>
        <row r="374">
          <cell r="Q374">
            <v>168</v>
          </cell>
          <cell r="R374">
            <v>0</v>
          </cell>
          <cell r="S374">
            <v>0</v>
          </cell>
          <cell r="T374">
            <v>0.442</v>
          </cell>
          <cell r="U374">
            <v>0.55800000000000005</v>
          </cell>
        </row>
        <row r="375">
          <cell r="Q375">
            <v>167</v>
          </cell>
          <cell r="R375">
            <v>0</v>
          </cell>
          <cell r="S375">
            <v>1.0833333333333333E-3</v>
          </cell>
          <cell r="T375">
            <v>0.48025000000000001</v>
          </cell>
          <cell r="U375">
            <v>0.51866666666666672</v>
          </cell>
        </row>
        <row r="376">
          <cell r="Q376">
            <v>166</v>
          </cell>
          <cell r="R376">
            <v>0</v>
          </cell>
          <cell r="S376">
            <v>2.1666666666666666E-3</v>
          </cell>
          <cell r="T376">
            <v>0.51849999999999996</v>
          </cell>
          <cell r="U376">
            <v>0.47933333333333339</v>
          </cell>
        </row>
        <row r="377">
          <cell r="Q377">
            <v>165</v>
          </cell>
          <cell r="R377">
            <v>0</v>
          </cell>
          <cell r="S377">
            <v>3.2499999999999999E-3</v>
          </cell>
          <cell r="T377">
            <v>0.55674999999999997</v>
          </cell>
          <cell r="U377">
            <v>0.44000000000000006</v>
          </cell>
        </row>
        <row r="378">
          <cell r="Q378">
            <v>164</v>
          </cell>
          <cell r="R378">
            <v>0</v>
          </cell>
          <cell r="S378">
            <v>4.3333333333333331E-3</v>
          </cell>
          <cell r="T378">
            <v>0.59499999999999997</v>
          </cell>
          <cell r="U378">
            <v>0.40066666666666673</v>
          </cell>
        </row>
        <row r="379">
          <cell r="Q379">
            <v>163</v>
          </cell>
          <cell r="R379">
            <v>0</v>
          </cell>
          <cell r="S379">
            <v>5.4166666666666669E-3</v>
          </cell>
          <cell r="T379">
            <v>0.63324999999999998</v>
          </cell>
          <cell r="U379">
            <v>0.36133333333333334</v>
          </cell>
        </row>
        <row r="380">
          <cell r="Q380">
            <v>162</v>
          </cell>
          <cell r="R380">
            <v>0</v>
          </cell>
          <cell r="S380">
            <v>6.4999999999999997E-3</v>
          </cell>
          <cell r="T380">
            <v>0.67149999999999999</v>
          </cell>
          <cell r="U380">
            <v>0.32200000000000001</v>
          </cell>
        </row>
        <row r="381">
          <cell r="Q381">
            <v>161</v>
          </cell>
          <cell r="R381">
            <v>0</v>
          </cell>
          <cell r="S381">
            <v>7.5833333333333326E-3</v>
          </cell>
          <cell r="T381">
            <v>0.70974999999999999</v>
          </cell>
          <cell r="U381">
            <v>0.28266666666666668</v>
          </cell>
        </row>
        <row r="382">
          <cell r="Q382">
            <v>160</v>
          </cell>
          <cell r="R382">
            <v>0</v>
          </cell>
          <cell r="S382">
            <v>8.6666666666666663E-3</v>
          </cell>
          <cell r="T382">
            <v>0.748</v>
          </cell>
          <cell r="U382">
            <v>0.24333333333333335</v>
          </cell>
        </row>
        <row r="383">
          <cell r="Q383">
            <v>159</v>
          </cell>
          <cell r="R383">
            <v>0</v>
          </cell>
          <cell r="S383">
            <v>9.75E-3</v>
          </cell>
          <cell r="T383">
            <v>0.78625</v>
          </cell>
          <cell r="U383">
            <v>0.20400000000000001</v>
          </cell>
        </row>
        <row r="384">
          <cell r="Q384">
            <v>158</v>
          </cell>
          <cell r="R384">
            <v>0</v>
          </cell>
          <cell r="S384">
            <v>1.0833333333333334E-2</v>
          </cell>
          <cell r="T384">
            <v>0.82450000000000001</v>
          </cell>
          <cell r="U384">
            <v>0.16466666666666668</v>
          </cell>
        </row>
        <row r="385">
          <cell r="Q385">
            <v>157</v>
          </cell>
          <cell r="R385">
            <v>0</v>
          </cell>
          <cell r="S385">
            <v>1.1916666666666666E-2</v>
          </cell>
          <cell r="T385">
            <v>0.86275000000000002</v>
          </cell>
          <cell r="U385">
            <v>0.12533333333333335</v>
          </cell>
        </row>
        <row r="386">
          <cell r="Q386">
            <v>156</v>
          </cell>
          <cell r="R386">
            <v>0</v>
          </cell>
          <cell r="S386">
            <v>1.2999999999999999E-2</v>
          </cell>
          <cell r="T386">
            <v>0.90100000000000002</v>
          </cell>
          <cell r="U386">
            <v>8.6000000000000007E-2</v>
          </cell>
        </row>
        <row r="387">
          <cell r="Q387">
            <v>155</v>
          </cell>
          <cell r="R387">
            <v>0</v>
          </cell>
          <cell r="S387">
            <v>2.0250000000000001E-2</v>
          </cell>
          <cell r="T387">
            <v>0.9009166666666667</v>
          </cell>
          <cell r="U387">
            <v>7.8833333333333339E-2</v>
          </cell>
        </row>
        <row r="388">
          <cell r="Q388">
            <v>154</v>
          </cell>
          <cell r="R388">
            <v>0</v>
          </cell>
          <cell r="S388">
            <v>2.75E-2</v>
          </cell>
          <cell r="T388">
            <v>0.90083333333333337</v>
          </cell>
          <cell r="U388">
            <v>7.166666666666667E-2</v>
          </cell>
        </row>
        <row r="389">
          <cell r="Q389">
            <v>153</v>
          </cell>
          <cell r="R389">
            <v>0</v>
          </cell>
          <cell r="S389">
            <v>3.4750000000000003E-2</v>
          </cell>
          <cell r="T389">
            <v>0.90075000000000005</v>
          </cell>
          <cell r="U389">
            <v>6.4500000000000002E-2</v>
          </cell>
        </row>
        <row r="390">
          <cell r="Q390">
            <v>152</v>
          </cell>
          <cell r="R390">
            <v>0</v>
          </cell>
          <cell r="S390">
            <v>4.2000000000000003E-2</v>
          </cell>
          <cell r="T390">
            <v>0.90066666666666673</v>
          </cell>
          <cell r="U390">
            <v>5.733333333333334E-2</v>
          </cell>
        </row>
        <row r="391">
          <cell r="Q391">
            <v>151</v>
          </cell>
          <cell r="R391">
            <v>0</v>
          </cell>
          <cell r="S391">
            <v>4.9250000000000002E-2</v>
          </cell>
          <cell r="T391">
            <v>0.9005833333333334</v>
          </cell>
          <cell r="U391">
            <v>5.0166666666666672E-2</v>
          </cell>
        </row>
        <row r="392">
          <cell r="Q392">
            <v>150</v>
          </cell>
          <cell r="R392">
            <v>0</v>
          </cell>
          <cell r="S392">
            <v>5.6500000000000002E-2</v>
          </cell>
          <cell r="T392">
            <v>0.90050000000000008</v>
          </cell>
          <cell r="U392">
            <v>4.3000000000000003E-2</v>
          </cell>
        </row>
        <row r="393">
          <cell r="Q393">
            <v>149</v>
          </cell>
          <cell r="R393">
            <v>0</v>
          </cell>
          <cell r="S393">
            <v>6.3750000000000001E-2</v>
          </cell>
          <cell r="T393">
            <v>0.90041666666666664</v>
          </cell>
          <cell r="U393">
            <v>3.5833333333333335E-2</v>
          </cell>
        </row>
        <row r="394">
          <cell r="Q394">
            <v>148</v>
          </cell>
          <cell r="R394">
            <v>0</v>
          </cell>
          <cell r="S394">
            <v>7.1000000000000008E-2</v>
          </cell>
          <cell r="T394">
            <v>0.90033333333333332</v>
          </cell>
          <cell r="U394">
            <v>2.866666666666667E-2</v>
          </cell>
        </row>
        <row r="395">
          <cell r="Q395">
            <v>147</v>
          </cell>
          <cell r="R395">
            <v>0</v>
          </cell>
          <cell r="S395">
            <v>7.825E-2</v>
          </cell>
          <cell r="T395">
            <v>0.90024999999999999</v>
          </cell>
          <cell r="U395">
            <v>2.1500000000000002E-2</v>
          </cell>
        </row>
        <row r="396">
          <cell r="Q396">
            <v>146</v>
          </cell>
          <cell r="R396">
            <v>0</v>
          </cell>
          <cell r="S396">
            <v>8.5500000000000007E-2</v>
          </cell>
          <cell r="T396">
            <v>0.90016666666666667</v>
          </cell>
          <cell r="U396">
            <v>1.4333333333333335E-2</v>
          </cell>
        </row>
        <row r="397">
          <cell r="Q397">
            <v>145</v>
          </cell>
          <cell r="R397">
            <v>0</v>
          </cell>
          <cell r="S397">
            <v>9.2749999999999999E-2</v>
          </cell>
          <cell r="T397">
            <v>0.90008333333333335</v>
          </cell>
          <cell r="U397">
            <v>7.1666666666666675E-3</v>
          </cell>
        </row>
        <row r="398">
          <cell r="Q398">
            <v>144</v>
          </cell>
          <cell r="R398">
            <v>0</v>
          </cell>
          <cell r="S398">
            <v>0.1</v>
          </cell>
          <cell r="T398">
            <v>0.9</v>
          </cell>
          <cell r="U398">
            <v>0</v>
          </cell>
        </row>
        <row r="399">
          <cell r="Q399">
            <v>143</v>
          </cell>
          <cell r="R399">
            <v>0</v>
          </cell>
          <cell r="S399">
            <v>0.10783333333333334</v>
          </cell>
          <cell r="T399">
            <v>0.89216666666666666</v>
          </cell>
          <cell r="U399">
            <v>0</v>
          </cell>
        </row>
        <row r="400">
          <cell r="Q400">
            <v>142</v>
          </cell>
          <cell r="R400">
            <v>0</v>
          </cell>
          <cell r="S400">
            <v>0.11566666666666667</v>
          </cell>
          <cell r="T400">
            <v>0.88433333333333342</v>
          </cell>
          <cell r="U400">
            <v>0</v>
          </cell>
        </row>
        <row r="401">
          <cell r="Q401">
            <v>141</v>
          </cell>
          <cell r="R401">
            <v>0</v>
          </cell>
          <cell r="S401">
            <v>0.1235</v>
          </cell>
          <cell r="T401">
            <v>0.87650000000000006</v>
          </cell>
          <cell r="U401">
            <v>0</v>
          </cell>
        </row>
        <row r="402">
          <cell r="Q402">
            <v>140</v>
          </cell>
          <cell r="R402">
            <v>0</v>
          </cell>
          <cell r="S402">
            <v>0.13133333333333333</v>
          </cell>
          <cell r="T402">
            <v>0.8686666666666667</v>
          </cell>
          <cell r="U402">
            <v>0</v>
          </cell>
        </row>
        <row r="403">
          <cell r="Q403">
            <v>139</v>
          </cell>
          <cell r="R403">
            <v>0</v>
          </cell>
          <cell r="S403">
            <v>0.13916666666666666</v>
          </cell>
          <cell r="T403">
            <v>0.86083333333333334</v>
          </cell>
          <cell r="U403">
            <v>0</v>
          </cell>
        </row>
        <row r="404">
          <cell r="Q404">
            <v>138</v>
          </cell>
          <cell r="R404">
            <v>0</v>
          </cell>
          <cell r="S404">
            <v>0.14700000000000002</v>
          </cell>
          <cell r="T404">
            <v>0.85299999999999998</v>
          </cell>
          <cell r="U404">
            <v>0</v>
          </cell>
        </row>
        <row r="405">
          <cell r="Q405">
            <v>137</v>
          </cell>
          <cell r="R405">
            <v>0</v>
          </cell>
          <cell r="S405">
            <v>0.15483333333333335</v>
          </cell>
          <cell r="T405">
            <v>0.84516666666666673</v>
          </cell>
          <cell r="U405">
            <v>0</v>
          </cell>
        </row>
        <row r="406">
          <cell r="Q406">
            <v>136</v>
          </cell>
          <cell r="R406">
            <v>0</v>
          </cell>
          <cell r="S406">
            <v>0.16266666666666668</v>
          </cell>
          <cell r="T406">
            <v>0.83733333333333337</v>
          </cell>
          <cell r="U406">
            <v>0</v>
          </cell>
        </row>
        <row r="407">
          <cell r="Q407">
            <v>135</v>
          </cell>
          <cell r="R407">
            <v>0</v>
          </cell>
          <cell r="S407">
            <v>0.17050000000000001</v>
          </cell>
          <cell r="T407">
            <v>0.82950000000000002</v>
          </cell>
          <cell r="U407">
            <v>0</v>
          </cell>
        </row>
        <row r="408">
          <cell r="Q408">
            <v>134</v>
          </cell>
          <cell r="R408">
            <v>0</v>
          </cell>
          <cell r="S408">
            <v>0.17833333333333334</v>
          </cell>
          <cell r="T408">
            <v>0.82166666666666677</v>
          </cell>
          <cell r="U408">
            <v>0</v>
          </cell>
        </row>
        <row r="409">
          <cell r="Q409">
            <v>133</v>
          </cell>
          <cell r="R409">
            <v>0</v>
          </cell>
          <cell r="S409">
            <v>0.18616666666666667</v>
          </cell>
          <cell r="T409">
            <v>0.81383333333333341</v>
          </cell>
          <cell r="U409">
            <v>0</v>
          </cell>
        </row>
        <row r="410">
          <cell r="Q410">
            <v>132</v>
          </cell>
          <cell r="R410">
            <v>0</v>
          </cell>
          <cell r="S410">
            <v>0.19400000000000001</v>
          </cell>
          <cell r="T410">
            <v>0.80600000000000005</v>
          </cell>
          <cell r="U410">
            <v>0</v>
          </cell>
        </row>
        <row r="411">
          <cell r="Q411">
            <v>131</v>
          </cell>
          <cell r="R411">
            <v>1.25E-3</v>
          </cell>
          <cell r="S411">
            <v>0.2</v>
          </cell>
          <cell r="T411">
            <v>0.79875000000000007</v>
          </cell>
          <cell r="U411">
            <v>0</v>
          </cell>
        </row>
        <row r="412">
          <cell r="Q412">
            <v>130</v>
          </cell>
          <cell r="R412">
            <v>2.5000000000000001E-3</v>
          </cell>
          <cell r="S412">
            <v>0.20600000000000002</v>
          </cell>
          <cell r="T412">
            <v>0.79150000000000009</v>
          </cell>
          <cell r="U412">
            <v>0</v>
          </cell>
        </row>
        <row r="413">
          <cell r="Q413">
            <v>129</v>
          </cell>
          <cell r="R413">
            <v>3.7499999999999999E-3</v>
          </cell>
          <cell r="S413">
            <v>0.21200000000000002</v>
          </cell>
          <cell r="T413">
            <v>0.78425</v>
          </cell>
          <cell r="U413">
            <v>0</v>
          </cell>
        </row>
        <row r="414">
          <cell r="Q414">
            <v>128</v>
          </cell>
          <cell r="R414">
            <v>5.0000000000000001E-3</v>
          </cell>
          <cell r="S414">
            <v>0.218</v>
          </cell>
          <cell r="T414">
            <v>0.77700000000000002</v>
          </cell>
          <cell r="U414">
            <v>0</v>
          </cell>
        </row>
        <row r="415">
          <cell r="Q415">
            <v>127</v>
          </cell>
          <cell r="R415">
            <v>6.2499999999999995E-3</v>
          </cell>
          <cell r="S415">
            <v>0.224</v>
          </cell>
          <cell r="T415">
            <v>0.76975000000000005</v>
          </cell>
          <cell r="U415">
            <v>0</v>
          </cell>
        </row>
        <row r="416">
          <cell r="Q416">
            <v>126</v>
          </cell>
          <cell r="R416">
            <v>7.4999999999999997E-3</v>
          </cell>
          <cell r="S416">
            <v>0.23</v>
          </cell>
          <cell r="T416">
            <v>0.76249999999999996</v>
          </cell>
          <cell r="U416">
            <v>0</v>
          </cell>
        </row>
        <row r="417">
          <cell r="Q417">
            <v>125</v>
          </cell>
          <cell r="R417">
            <v>8.7499999999999991E-3</v>
          </cell>
          <cell r="S417">
            <v>0.23600000000000002</v>
          </cell>
          <cell r="T417">
            <v>0.75524999999999998</v>
          </cell>
          <cell r="U417">
            <v>0</v>
          </cell>
        </row>
        <row r="418">
          <cell r="Q418">
            <v>124</v>
          </cell>
          <cell r="R418">
            <v>0.01</v>
          </cell>
          <cell r="S418">
            <v>0.24200000000000002</v>
          </cell>
          <cell r="T418">
            <v>0.748</v>
          </cell>
          <cell r="U418">
            <v>0</v>
          </cell>
        </row>
        <row r="419">
          <cell r="Q419">
            <v>123</v>
          </cell>
          <cell r="R419">
            <v>1.125E-2</v>
          </cell>
          <cell r="S419">
            <v>0.248</v>
          </cell>
          <cell r="T419">
            <v>0.74075000000000002</v>
          </cell>
          <cell r="U419">
            <v>0</v>
          </cell>
        </row>
        <row r="420">
          <cell r="Q420">
            <v>122</v>
          </cell>
          <cell r="R420">
            <v>1.2499999999999999E-2</v>
          </cell>
          <cell r="S420">
            <v>0.254</v>
          </cell>
          <cell r="T420">
            <v>0.73350000000000004</v>
          </cell>
          <cell r="U420">
            <v>0</v>
          </cell>
        </row>
        <row r="421">
          <cell r="Q421">
            <v>121</v>
          </cell>
          <cell r="R421">
            <v>1.375E-2</v>
          </cell>
          <cell r="S421">
            <v>0.26</v>
          </cell>
          <cell r="T421">
            <v>0.72624999999999995</v>
          </cell>
          <cell r="U421">
            <v>0</v>
          </cell>
        </row>
        <row r="422">
          <cell r="Q422">
            <v>120</v>
          </cell>
          <cell r="R422">
            <v>1.4999999999999999E-2</v>
          </cell>
          <cell r="S422">
            <v>0.26600000000000001</v>
          </cell>
          <cell r="T422">
            <v>0.71899999999999997</v>
          </cell>
          <cell r="U422">
            <v>0</v>
          </cell>
        </row>
        <row r="423">
          <cell r="Q423">
            <v>119</v>
          </cell>
          <cell r="R423">
            <v>1.6083333333333331E-2</v>
          </cell>
          <cell r="S423">
            <v>0.27074999999999999</v>
          </cell>
          <cell r="T423">
            <v>0.71316666666666662</v>
          </cell>
          <cell r="U423">
            <v>0</v>
          </cell>
        </row>
        <row r="424">
          <cell r="Q424">
            <v>118</v>
          </cell>
          <cell r="R424">
            <v>1.7166666666666667E-2</v>
          </cell>
          <cell r="S424">
            <v>0.27550000000000002</v>
          </cell>
          <cell r="T424">
            <v>0.70733333333333337</v>
          </cell>
          <cell r="U424">
            <v>0</v>
          </cell>
        </row>
        <row r="425">
          <cell r="Q425">
            <v>117</v>
          </cell>
          <cell r="R425">
            <v>1.8249999999999999E-2</v>
          </cell>
          <cell r="S425">
            <v>0.28025</v>
          </cell>
          <cell r="T425">
            <v>0.70150000000000001</v>
          </cell>
          <cell r="U425">
            <v>0</v>
          </cell>
        </row>
        <row r="426">
          <cell r="Q426">
            <v>116</v>
          </cell>
          <cell r="R426">
            <v>1.9333333333333334E-2</v>
          </cell>
          <cell r="S426">
            <v>0.28500000000000003</v>
          </cell>
          <cell r="T426">
            <v>0.69566666666666666</v>
          </cell>
          <cell r="U426">
            <v>0</v>
          </cell>
        </row>
        <row r="427">
          <cell r="Q427">
            <v>115</v>
          </cell>
          <cell r="R427">
            <v>2.0416666666666666E-2</v>
          </cell>
          <cell r="S427">
            <v>0.28975000000000001</v>
          </cell>
          <cell r="T427">
            <v>0.6898333333333333</v>
          </cell>
          <cell r="U427">
            <v>0</v>
          </cell>
        </row>
        <row r="428">
          <cell r="Q428">
            <v>114</v>
          </cell>
          <cell r="R428">
            <v>2.1499999999999998E-2</v>
          </cell>
          <cell r="S428">
            <v>0.29449999999999998</v>
          </cell>
          <cell r="T428">
            <v>0.68399999999999994</v>
          </cell>
          <cell r="U428">
            <v>0</v>
          </cell>
        </row>
        <row r="429">
          <cell r="Q429">
            <v>113</v>
          </cell>
          <cell r="R429">
            <v>2.2583333333333334E-2</v>
          </cell>
          <cell r="S429">
            <v>0.29925000000000002</v>
          </cell>
          <cell r="T429">
            <v>0.6781666666666667</v>
          </cell>
          <cell r="U429">
            <v>0</v>
          </cell>
        </row>
        <row r="430">
          <cell r="Q430">
            <v>112</v>
          </cell>
          <cell r="R430">
            <v>2.3666666666666666E-2</v>
          </cell>
          <cell r="S430">
            <v>0.30399999999999999</v>
          </cell>
          <cell r="T430">
            <v>0.67233333333333334</v>
          </cell>
          <cell r="U430">
            <v>0</v>
          </cell>
        </row>
        <row r="431">
          <cell r="Q431">
            <v>111</v>
          </cell>
          <cell r="R431">
            <v>2.4750000000000001E-2</v>
          </cell>
          <cell r="S431">
            <v>0.30875000000000002</v>
          </cell>
          <cell r="T431">
            <v>0.66649999999999998</v>
          </cell>
          <cell r="U431">
            <v>0</v>
          </cell>
        </row>
        <row r="432">
          <cell r="Q432">
            <v>110</v>
          </cell>
          <cell r="R432">
            <v>2.5833333333333333E-2</v>
          </cell>
          <cell r="S432">
            <v>0.3135</v>
          </cell>
          <cell r="T432">
            <v>0.66066666666666674</v>
          </cell>
          <cell r="U432">
            <v>0</v>
          </cell>
        </row>
        <row r="433">
          <cell r="Q433">
            <v>109</v>
          </cell>
          <cell r="R433">
            <v>2.6916666666666669E-2</v>
          </cell>
          <cell r="S433">
            <v>0.31825000000000003</v>
          </cell>
          <cell r="T433">
            <v>0.65483333333333338</v>
          </cell>
          <cell r="U433">
            <v>0</v>
          </cell>
        </row>
        <row r="434">
          <cell r="Q434">
            <v>108</v>
          </cell>
          <cell r="R434">
            <v>2.8000000000000001E-2</v>
          </cell>
          <cell r="S434">
            <v>0.32300000000000001</v>
          </cell>
          <cell r="T434">
            <v>0.64900000000000002</v>
          </cell>
          <cell r="U434">
            <v>0</v>
          </cell>
        </row>
        <row r="435">
          <cell r="Q435">
            <v>107</v>
          </cell>
          <cell r="R435">
            <v>2.9500000000000002E-2</v>
          </cell>
          <cell r="S435">
            <v>0.32650000000000001</v>
          </cell>
          <cell r="T435">
            <v>0.64400000000000002</v>
          </cell>
          <cell r="U435">
            <v>0</v>
          </cell>
        </row>
        <row r="436">
          <cell r="Q436">
            <v>106</v>
          </cell>
          <cell r="R436">
            <v>3.1E-2</v>
          </cell>
          <cell r="S436">
            <v>0.33</v>
          </cell>
          <cell r="T436">
            <v>0.63900000000000001</v>
          </cell>
          <cell r="U436">
            <v>0</v>
          </cell>
        </row>
        <row r="437">
          <cell r="Q437">
            <v>105</v>
          </cell>
          <cell r="R437">
            <v>3.2500000000000001E-2</v>
          </cell>
          <cell r="S437">
            <v>0.33350000000000002</v>
          </cell>
          <cell r="T437">
            <v>0.63400000000000001</v>
          </cell>
          <cell r="U437">
            <v>0</v>
          </cell>
        </row>
        <row r="438">
          <cell r="Q438">
            <v>104</v>
          </cell>
          <cell r="R438">
            <v>3.4000000000000002E-2</v>
          </cell>
          <cell r="S438">
            <v>0.33700000000000002</v>
          </cell>
          <cell r="T438">
            <v>0.629</v>
          </cell>
          <cell r="U438">
            <v>0</v>
          </cell>
        </row>
        <row r="439">
          <cell r="Q439">
            <v>103</v>
          </cell>
          <cell r="R439">
            <v>3.5499999999999997E-2</v>
          </cell>
          <cell r="S439">
            <v>0.34050000000000002</v>
          </cell>
          <cell r="T439">
            <v>0.624</v>
          </cell>
          <cell r="U439">
            <v>0</v>
          </cell>
        </row>
        <row r="440">
          <cell r="Q440">
            <v>102</v>
          </cell>
          <cell r="R440">
            <v>3.6999999999999998E-2</v>
          </cell>
          <cell r="S440">
            <v>0.34399999999999997</v>
          </cell>
          <cell r="T440">
            <v>0.61899999999999999</v>
          </cell>
          <cell r="U440">
            <v>0</v>
          </cell>
        </row>
        <row r="441">
          <cell r="Q441">
            <v>101</v>
          </cell>
          <cell r="R441">
            <v>3.85E-2</v>
          </cell>
          <cell r="S441">
            <v>0.34749999999999998</v>
          </cell>
          <cell r="T441">
            <v>0.61399999999999999</v>
          </cell>
          <cell r="U441">
            <v>0</v>
          </cell>
        </row>
        <row r="442">
          <cell r="Q442">
            <v>100</v>
          </cell>
          <cell r="R442">
            <v>0.04</v>
          </cell>
          <cell r="S442">
            <v>0.35099999999999998</v>
          </cell>
          <cell r="T442">
            <v>0.60899999999999999</v>
          </cell>
          <cell r="U442">
            <v>0</v>
          </cell>
        </row>
        <row r="443">
          <cell r="Q443">
            <v>99</v>
          </cell>
          <cell r="R443">
            <v>4.1500000000000002E-2</v>
          </cell>
          <cell r="S443">
            <v>0.35449999999999998</v>
          </cell>
          <cell r="T443">
            <v>0.60399999999999998</v>
          </cell>
          <cell r="U443">
            <v>0</v>
          </cell>
        </row>
        <row r="444">
          <cell r="Q444">
            <v>98</v>
          </cell>
          <cell r="R444">
            <v>4.2999999999999997E-2</v>
          </cell>
          <cell r="S444">
            <v>0.35799999999999998</v>
          </cell>
          <cell r="T444">
            <v>0.59899999999999998</v>
          </cell>
          <cell r="U444">
            <v>0</v>
          </cell>
        </row>
        <row r="445">
          <cell r="Q445">
            <v>97</v>
          </cell>
          <cell r="R445">
            <v>4.4499999999999998E-2</v>
          </cell>
          <cell r="S445">
            <v>0.36149999999999999</v>
          </cell>
          <cell r="T445">
            <v>0.59399999999999997</v>
          </cell>
          <cell r="U445">
            <v>0</v>
          </cell>
        </row>
        <row r="446">
          <cell r="Q446">
            <v>96</v>
          </cell>
          <cell r="R446">
            <v>4.5999999999999999E-2</v>
          </cell>
          <cell r="S446">
            <v>0.36499999999999999</v>
          </cell>
          <cell r="T446">
            <v>0.58899999999999997</v>
          </cell>
          <cell r="U446">
            <v>0</v>
          </cell>
        </row>
        <row r="447">
          <cell r="Q447">
            <v>95</v>
          </cell>
          <cell r="R447">
            <v>4.8416666666666663E-2</v>
          </cell>
          <cell r="S447">
            <v>0.36624999999999996</v>
          </cell>
          <cell r="T447">
            <v>0.58533333333333326</v>
          </cell>
          <cell r="U447">
            <v>0</v>
          </cell>
        </row>
        <row r="448">
          <cell r="Q448">
            <v>94</v>
          </cell>
          <cell r="R448">
            <v>5.0833333333333335E-2</v>
          </cell>
          <cell r="S448">
            <v>0.36749999999999999</v>
          </cell>
          <cell r="T448">
            <v>0.58166666666666667</v>
          </cell>
          <cell r="U448">
            <v>0</v>
          </cell>
        </row>
        <row r="449">
          <cell r="Q449">
            <v>93</v>
          </cell>
          <cell r="R449">
            <v>5.3249999999999999E-2</v>
          </cell>
          <cell r="S449">
            <v>0.36875000000000002</v>
          </cell>
          <cell r="T449">
            <v>0.57799999999999996</v>
          </cell>
          <cell r="U449">
            <v>0</v>
          </cell>
        </row>
        <row r="450">
          <cell r="Q450">
            <v>92</v>
          </cell>
          <cell r="R450">
            <v>5.5666666666666663E-2</v>
          </cell>
          <cell r="S450">
            <v>0.37</v>
          </cell>
          <cell r="T450">
            <v>0.57433333333333336</v>
          </cell>
          <cell r="U450">
            <v>0</v>
          </cell>
        </row>
        <row r="451">
          <cell r="Q451">
            <v>91</v>
          </cell>
          <cell r="R451">
            <v>5.8083333333333334E-2</v>
          </cell>
          <cell r="S451">
            <v>0.37124999999999997</v>
          </cell>
          <cell r="T451">
            <v>0.57066666666666666</v>
          </cell>
          <cell r="U451">
            <v>0</v>
          </cell>
        </row>
        <row r="452">
          <cell r="Q452">
            <v>90</v>
          </cell>
          <cell r="R452">
            <v>6.0499999999999998E-2</v>
          </cell>
          <cell r="S452">
            <v>0.3725</v>
          </cell>
          <cell r="T452">
            <v>0.56699999999999995</v>
          </cell>
          <cell r="U452">
            <v>0</v>
          </cell>
        </row>
        <row r="453">
          <cell r="Q453">
            <v>89</v>
          </cell>
          <cell r="R453">
            <v>6.2916666666666662E-2</v>
          </cell>
          <cell r="S453">
            <v>0.37375000000000003</v>
          </cell>
          <cell r="T453">
            <v>0.56333333333333335</v>
          </cell>
          <cell r="U453">
            <v>0</v>
          </cell>
        </row>
        <row r="454">
          <cell r="Q454">
            <v>88</v>
          </cell>
          <cell r="R454">
            <v>6.5333333333333327E-2</v>
          </cell>
          <cell r="S454">
            <v>0.375</v>
          </cell>
          <cell r="T454">
            <v>0.55966666666666665</v>
          </cell>
          <cell r="U454">
            <v>0</v>
          </cell>
        </row>
        <row r="455">
          <cell r="Q455">
            <v>87</v>
          </cell>
          <cell r="R455">
            <v>6.7750000000000005E-2</v>
          </cell>
          <cell r="S455">
            <v>0.37624999999999997</v>
          </cell>
          <cell r="T455">
            <v>0.55600000000000005</v>
          </cell>
          <cell r="U455">
            <v>0</v>
          </cell>
        </row>
        <row r="456">
          <cell r="Q456">
            <v>86</v>
          </cell>
          <cell r="R456">
            <v>7.0166666666666669E-2</v>
          </cell>
          <cell r="S456">
            <v>0.3775</v>
          </cell>
          <cell r="T456">
            <v>0.55233333333333334</v>
          </cell>
          <cell r="U456">
            <v>0</v>
          </cell>
        </row>
        <row r="457">
          <cell r="Q457">
            <v>85</v>
          </cell>
          <cell r="R457">
            <v>7.2583333333333333E-2</v>
          </cell>
          <cell r="S457">
            <v>0.37875000000000003</v>
          </cell>
          <cell r="T457">
            <v>0.54866666666666675</v>
          </cell>
          <cell r="U457">
            <v>0</v>
          </cell>
        </row>
        <row r="458">
          <cell r="Q458">
            <v>84</v>
          </cell>
          <cell r="R458">
            <v>7.4999999999999997E-2</v>
          </cell>
          <cell r="S458">
            <v>0.38</v>
          </cell>
          <cell r="T458">
            <v>0.54500000000000004</v>
          </cell>
          <cell r="U458">
            <v>0</v>
          </cell>
        </row>
        <row r="459">
          <cell r="Q459">
            <v>83</v>
          </cell>
          <cell r="R459">
            <v>7.825E-2</v>
          </cell>
          <cell r="S459">
            <v>0.37958333333333333</v>
          </cell>
          <cell r="T459">
            <v>0.54216666666666669</v>
          </cell>
          <cell r="U459">
            <v>0</v>
          </cell>
        </row>
        <row r="460">
          <cell r="Q460">
            <v>82</v>
          </cell>
          <cell r="R460">
            <v>8.1500000000000003E-2</v>
          </cell>
          <cell r="S460">
            <v>0.37916666666666665</v>
          </cell>
          <cell r="T460">
            <v>0.53933333333333333</v>
          </cell>
          <cell r="U460">
            <v>0</v>
          </cell>
        </row>
        <row r="461">
          <cell r="Q461">
            <v>81</v>
          </cell>
          <cell r="R461">
            <v>8.4749999999999992E-2</v>
          </cell>
          <cell r="S461">
            <v>0.37875000000000003</v>
          </cell>
          <cell r="T461">
            <v>0.53649999999999998</v>
          </cell>
          <cell r="U461">
            <v>0</v>
          </cell>
        </row>
        <row r="462">
          <cell r="Q462">
            <v>80</v>
          </cell>
          <cell r="R462">
            <v>8.7999999999999995E-2</v>
          </cell>
          <cell r="S462">
            <v>0.37833333333333335</v>
          </cell>
          <cell r="T462">
            <v>0.53366666666666673</v>
          </cell>
          <cell r="U462">
            <v>0</v>
          </cell>
        </row>
        <row r="463">
          <cell r="Q463">
            <v>79</v>
          </cell>
          <cell r="R463">
            <v>9.1249999999999998E-2</v>
          </cell>
          <cell r="S463">
            <v>0.37791666666666668</v>
          </cell>
          <cell r="T463">
            <v>0.53083333333333338</v>
          </cell>
          <cell r="U463">
            <v>0</v>
          </cell>
        </row>
        <row r="464">
          <cell r="Q464">
            <v>78</v>
          </cell>
          <cell r="R464">
            <v>9.4500000000000001E-2</v>
          </cell>
          <cell r="S464">
            <v>0.3775</v>
          </cell>
          <cell r="T464">
            <v>0.52800000000000002</v>
          </cell>
          <cell r="U464">
            <v>0</v>
          </cell>
        </row>
        <row r="465">
          <cell r="Q465">
            <v>77</v>
          </cell>
          <cell r="R465">
            <v>9.7750000000000004E-2</v>
          </cell>
          <cell r="S465">
            <v>0.37708333333333333</v>
          </cell>
          <cell r="T465">
            <v>0.52516666666666667</v>
          </cell>
          <cell r="U465">
            <v>0</v>
          </cell>
        </row>
        <row r="466">
          <cell r="Q466">
            <v>76</v>
          </cell>
          <cell r="R466">
            <v>0.10100000000000001</v>
          </cell>
          <cell r="S466">
            <v>0.37666666666666665</v>
          </cell>
          <cell r="T466">
            <v>0.52233333333333332</v>
          </cell>
          <cell r="U466">
            <v>0</v>
          </cell>
        </row>
        <row r="467">
          <cell r="Q467">
            <v>75</v>
          </cell>
          <cell r="R467">
            <v>0.10425000000000001</v>
          </cell>
          <cell r="S467">
            <v>0.37624999999999997</v>
          </cell>
          <cell r="T467">
            <v>0.51950000000000007</v>
          </cell>
          <cell r="U467">
            <v>0</v>
          </cell>
        </row>
        <row r="468">
          <cell r="Q468">
            <v>74</v>
          </cell>
          <cell r="R468">
            <v>0.1075</v>
          </cell>
          <cell r="S468">
            <v>0.37583333333333335</v>
          </cell>
          <cell r="T468">
            <v>0.51666666666666672</v>
          </cell>
          <cell r="U468">
            <v>0</v>
          </cell>
        </row>
        <row r="469">
          <cell r="Q469">
            <v>73</v>
          </cell>
          <cell r="R469">
            <v>0.11075</v>
          </cell>
          <cell r="S469">
            <v>0.37541666666666668</v>
          </cell>
          <cell r="T469">
            <v>0.51383333333333336</v>
          </cell>
          <cell r="U469">
            <v>0</v>
          </cell>
        </row>
        <row r="470">
          <cell r="Q470">
            <v>72</v>
          </cell>
          <cell r="R470">
            <v>0.114</v>
          </cell>
          <cell r="S470">
            <v>0.375</v>
          </cell>
          <cell r="T470">
            <v>0.51100000000000001</v>
          </cell>
          <cell r="U470">
            <v>0</v>
          </cell>
        </row>
        <row r="471">
          <cell r="Q471">
            <v>71</v>
          </cell>
          <cell r="R471">
            <v>0.11741666666666667</v>
          </cell>
          <cell r="S471">
            <v>0.37375000000000003</v>
          </cell>
          <cell r="T471">
            <v>0.50883333333333336</v>
          </cell>
          <cell r="U471">
            <v>0</v>
          </cell>
        </row>
        <row r="472">
          <cell r="Q472">
            <v>70</v>
          </cell>
          <cell r="R472">
            <v>0.12083333333333333</v>
          </cell>
          <cell r="S472">
            <v>0.3725</v>
          </cell>
          <cell r="T472">
            <v>0.50666666666666671</v>
          </cell>
          <cell r="U472">
            <v>0</v>
          </cell>
        </row>
        <row r="473">
          <cell r="Q473">
            <v>69</v>
          </cell>
          <cell r="R473">
            <v>0.12425</v>
          </cell>
          <cell r="S473">
            <v>0.37124999999999997</v>
          </cell>
          <cell r="T473">
            <v>0.50449999999999995</v>
          </cell>
          <cell r="U473">
            <v>0</v>
          </cell>
        </row>
        <row r="474">
          <cell r="Q474">
            <v>68</v>
          </cell>
          <cell r="R474">
            <v>0.12766666666666668</v>
          </cell>
          <cell r="S474">
            <v>0.37</v>
          </cell>
          <cell r="T474">
            <v>0.5023333333333333</v>
          </cell>
          <cell r="U474">
            <v>0</v>
          </cell>
        </row>
        <row r="475">
          <cell r="Q475">
            <v>67</v>
          </cell>
          <cell r="R475">
            <v>0.13108333333333333</v>
          </cell>
          <cell r="S475">
            <v>0.36875000000000002</v>
          </cell>
          <cell r="T475">
            <v>0.50016666666666665</v>
          </cell>
          <cell r="U475">
            <v>0</v>
          </cell>
        </row>
        <row r="476">
          <cell r="Q476">
            <v>66</v>
          </cell>
          <cell r="R476">
            <v>0.13450000000000001</v>
          </cell>
          <cell r="S476">
            <v>0.36749999999999999</v>
          </cell>
          <cell r="T476">
            <v>0.498</v>
          </cell>
          <cell r="U476">
            <v>0</v>
          </cell>
        </row>
        <row r="477">
          <cell r="Q477">
            <v>65</v>
          </cell>
          <cell r="R477">
            <v>0.13791666666666666</v>
          </cell>
          <cell r="S477">
            <v>0.36624999999999996</v>
          </cell>
          <cell r="T477">
            <v>0.49583333333333335</v>
          </cell>
          <cell r="U477">
            <v>0</v>
          </cell>
        </row>
        <row r="478">
          <cell r="Q478">
            <v>64</v>
          </cell>
          <cell r="R478">
            <v>0.14133333333333334</v>
          </cell>
          <cell r="S478">
            <v>0.36499999999999999</v>
          </cell>
          <cell r="T478">
            <v>0.49366666666666664</v>
          </cell>
          <cell r="U478">
            <v>0</v>
          </cell>
        </row>
        <row r="479">
          <cell r="Q479">
            <v>63</v>
          </cell>
          <cell r="R479">
            <v>0.14474999999999999</v>
          </cell>
          <cell r="S479">
            <v>0.36375000000000002</v>
          </cell>
          <cell r="T479">
            <v>0.49149999999999999</v>
          </cell>
          <cell r="U479">
            <v>0</v>
          </cell>
        </row>
        <row r="480">
          <cell r="Q480">
            <v>62</v>
          </cell>
          <cell r="R480">
            <v>0.14816666666666667</v>
          </cell>
          <cell r="S480">
            <v>0.36249999999999999</v>
          </cell>
          <cell r="T480">
            <v>0.48933333333333334</v>
          </cell>
          <cell r="U480">
            <v>0</v>
          </cell>
        </row>
        <row r="481">
          <cell r="Q481">
            <v>61</v>
          </cell>
          <cell r="R481">
            <v>0.15158333333333332</v>
          </cell>
          <cell r="S481">
            <v>0.36124999999999996</v>
          </cell>
          <cell r="T481">
            <v>0.48716666666666664</v>
          </cell>
          <cell r="U481">
            <v>0</v>
          </cell>
        </row>
        <row r="482">
          <cell r="Q482">
            <v>60</v>
          </cell>
          <cell r="R482">
            <v>0.155</v>
          </cell>
          <cell r="S482">
            <v>0.36</v>
          </cell>
          <cell r="T482">
            <v>0.48499999999999999</v>
          </cell>
          <cell r="U482">
            <v>0</v>
          </cell>
        </row>
        <row r="483">
          <cell r="Q483">
            <v>59</v>
          </cell>
          <cell r="R483">
            <v>0.15841666666666668</v>
          </cell>
          <cell r="S483">
            <v>0.35841666666666666</v>
          </cell>
          <cell r="T483">
            <v>0.48316666666666663</v>
          </cell>
          <cell r="U483">
            <v>0</v>
          </cell>
        </row>
        <row r="484">
          <cell r="Q484">
            <v>58</v>
          </cell>
          <cell r="R484">
            <v>0.16183333333333333</v>
          </cell>
          <cell r="S484">
            <v>0.35683333333333334</v>
          </cell>
          <cell r="T484">
            <v>0.48133333333333334</v>
          </cell>
          <cell r="U484">
            <v>0</v>
          </cell>
        </row>
        <row r="485">
          <cell r="Q485">
            <v>57</v>
          </cell>
          <cell r="R485">
            <v>0.16525000000000001</v>
          </cell>
          <cell r="S485">
            <v>0.35525000000000001</v>
          </cell>
          <cell r="T485">
            <v>0.47949999999999998</v>
          </cell>
          <cell r="U485">
            <v>0</v>
          </cell>
        </row>
        <row r="486">
          <cell r="Q486">
            <v>56</v>
          </cell>
          <cell r="R486">
            <v>0.16866666666666666</v>
          </cell>
          <cell r="S486">
            <v>0.35366666666666668</v>
          </cell>
          <cell r="T486">
            <v>0.47766666666666668</v>
          </cell>
          <cell r="U486">
            <v>0</v>
          </cell>
        </row>
        <row r="487">
          <cell r="Q487">
            <v>55</v>
          </cell>
          <cell r="R487">
            <v>0.17208333333333334</v>
          </cell>
          <cell r="S487">
            <v>0.35208333333333336</v>
          </cell>
          <cell r="T487">
            <v>0.47583333333333333</v>
          </cell>
          <cell r="U487">
            <v>0</v>
          </cell>
        </row>
        <row r="488">
          <cell r="Q488">
            <v>54</v>
          </cell>
          <cell r="R488">
            <v>0.17549999999999999</v>
          </cell>
          <cell r="S488">
            <v>0.35050000000000003</v>
          </cell>
          <cell r="T488">
            <v>0.47399999999999998</v>
          </cell>
          <cell r="U488">
            <v>0</v>
          </cell>
        </row>
        <row r="489">
          <cell r="Q489">
            <v>53</v>
          </cell>
          <cell r="R489">
            <v>0.17891666666666667</v>
          </cell>
          <cell r="S489">
            <v>0.34891666666666665</v>
          </cell>
          <cell r="T489">
            <v>0.47216666666666668</v>
          </cell>
          <cell r="U489">
            <v>0</v>
          </cell>
        </row>
        <row r="490">
          <cell r="Q490">
            <v>52</v>
          </cell>
          <cell r="R490">
            <v>0.18233333333333335</v>
          </cell>
          <cell r="S490">
            <v>0.34733333333333333</v>
          </cell>
          <cell r="T490">
            <v>0.47033333333333333</v>
          </cell>
          <cell r="U490">
            <v>0</v>
          </cell>
        </row>
        <row r="491">
          <cell r="Q491">
            <v>51</v>
          </cell>
          <cell r="R491">
            <v>0.18575</v>
          </cell>
          <cell r="S491">
            <v>0.34575</v>
          </cell>
          <cell r="T491">
            <v>0.46850000000000003</v>
          </cell>
          <cell r="U491">
            <v>0</v>
          </cell>
        </row>
        <row r="492">
          <cell r="Q492">
            <v>50</v>
          </cell>
          <cell r="R492">
            <v>0.18916666666666668</v>
          </cell>
          <cell r="S492">
            <v>0.34416666666666668</v>
          </cell>
          <cell r="T492">
            <v>0.46666666666666667</v>
          </cell>
          <cell r="U492">
            <v>0</v>
          </cell>
        </row>
        <row r="493">
          <cell r="Q493">
            <v>49</v>
          </cell>
          <cell r="R493">
            <v>0.19258333333333333</v>
          </cell>
          <cell r="S493">
            <v>0.34258333333333335</v>
          </cell>
          <cell r="T493">
            <v>0.46483333333333338</v>
          </cell>
          <cell r="U493">
            <v>0</v>
          </cell>
        </row>
        <row r="494">
          <cell r="Q494">
            <v>48</v>
          </cell>
          <cell r="R494">
            <v>0.19600000000000001</v>
          </cell>
          <cell r="S494">
            <v>0.34100000000000003</v>
          </cell>
          <cell r="T494">
            <v>0.46300000000000002</v>
          </cell>
          <cell r="U494">
            <v>0</v>
          </cell>
        </row>
        <row r="495">
          <cell r="Q495">
            <v>47</v>
          </cell>
          <cell r="R495">
            <v>0.19925000000000001</v>
          </cell>
          <cell r="S495">
            <v>0.33933333333333338</v>
          </cell>
          <cell r="T495">
            <v>0.4614166666666667</v>
          </cell>
          <cell r="U495">
            <v>0</v>
          </cell>
        </row>
        <row r="496">
          <cell r="Q496">
            <v>46</v>
          </cell>
          <cell r="R496">
            <v>0.20250000000000001</v>
          </cell>
          <cell r="S496">
            <v>0.33766666666666667</v>
          </cell>
          <cell r="T496">
            <v>0.45983333333333337</v>
          </cell>
          <cell r="U496">
            <v>0</v>
          </cell>
        </row>
        <row r="497">
          <cell r="Q497">
            <v>45</v>
          </cell>
          <cell r="R497">
            <v>0.20574999999999999</v>
          </cell>
          <cell r="S497">
            <v>0.33600000000000002</v>
          </cell>
          <cell r="T497">
            <v>0.45825000000000005</v>
          </cell>
          <cell r="U497">
            <v>0</v>
          </cell>
        </row>
        <row r="498">
          <cell r="Q498">
            <v>44</v>
          </cell>
          <cell r="R498">
            <v>0.20899999999999999</v>
          </cell>
          <cell r="S498">
            <v>0.33433333333333337</v>
          </cell>
          <cell r="T498">
            <v>0.45666666666666667</v>
          </cell>
          <cell r="U498">
            <v>0</v>
          </cell>
        </row>
        <row r="499">
          <cell r="Q499">
            <v>43</v>
          </cell>
          <cell r="R499">
            <v>0.21224999999999999</v>
          </cell>
          <cell r="S499">
            <v>0.33266666666666667</v>
          </cell>
          <cell r="T499">
            <v>0.45508333333333334</v>
          </cell>
          <cell r="U499">
            <v>0</v>
          </cell>
        </row>
        <row r="500">
          <cell r="Q500">
            <v>42</v>
          </cell>
          <cell r="R500">
            <v>0.2155</v>
          </cell>
          <cell r="S500">
            <v>0.33100000000000002</v>
          </cell>
          <cell r="T500">
            <v>0.45350000000000001</v>
          </cell>
          <cell r="U500">
            <v>0</v>
          </cell>
        </row>
        <row r="501">
          <cell r="Q501">
            <v>41</v>
          </cell>
          <cell r="R501">
            <v>0.21875</v>
          </cell>
          <cell r="S501">
            <v>0.32933333333333337</v>
          </cell>
          <cell r="T501">
            <v>0.45191666666666669</v>
          </cell>
          <cell r="U501">
            <v>0</v>
          </cell>
        </row>
        <row r="502">
          <cell r="Q502">
            <v>40</v>
          </cell>
          <cell r="R502">
            <v>0.222</v>
          </cell>
          <cell r="S502">
            <v>0.32766666666666666</v>
          </cell>
          <cell r="T502">
            <v>0.45033333333333336</v>
          </cell>
          <cell r="U502">
            <v>0</v>
          </cell>
        </row>
        <row r="503">
          <cell r="Q503">
            <v>39</v>
          </cell>
          <cell r="R503">
            <v>0.22525000000000001</v>
          </cell>
          <cell r="S503">
            <v>0.32600000000000001</v>
          </cell>
          <cell r="T503">
            <v>0.44874999999999998</v>
          </cell>
          <cell r="U503">
            <v>0</v>
          </cell>
        </row>
        <row r="504">
          <cell r="Q504">
            <v>38</v>
          </cell>
          <cell r="R504">
            <v>0.22849999999999998</v>
          </cell>
          <cell r="S504">
            <v>0.32433333333333336</v>
          </cell>
          <cell r="T504">
            <v>0.44716666666666666</v>
          </cell>
          <cell r="U504">
            <v>0</v>
          </cell>
        </row>
        <row r="505">
          <cell r="Q505">
            <v>37</v>
          </cell>
          <cell r="R505">
            <v>0.23174999999999998</v>
          </cell>
          <cell r="S505">
            <v>0.32266666666666666</v>
          </cell>
          <cell r="T505">
            <v>0.44558333333333333</v>
          </cell>
          <cell r="U505">
            <v>0</v>
          </cell>
        </row>
        <row r="506">
          <cell r="Q506">
            <v>36</v>
          </cell>
          <cell r="R506">
            <v>0.23499999999999999</v>
          </cell>
          <cell r="S506">
            <v>0.32100000000000001</v>
          </cell>
          <cell r="T506">
            <v>0.44400000000000001</v>
          </cell>
          <cell r="U506">
            <v>0</v>
          </cell>
        </row>
        <row r="507">
          <cell r="Q507">
            <v>35</v>
          </cell>
          <cell r="R507">
            <v>0.23791666666666667</v>
          </cell>
          <cell r="S507">
            <v>0.31950000000000001</v>
          </cell>
          <cell r="T507">
            <v>0.44258333333333333</v>
          </cell>
          <cell r="U507">
            <v>0</v>
          </cell>
        </row>
        <row r="508">
          <cell r="Q508">
            <v>34</v>
          </cell>
          <cell r="R508">
            <v>0.24083333333333332</v>
          </cell>
          <cell r="S508">
            <v>0.318</v>
          </cell>
          <cell r="T508">
            <v>0.44116666666666665</v>
          </cell>
          <cell r="U508">
            <v>0</v>
          </cell>
        </row>
        <row r="509">
          <cell r="Q509">
            <v>33</v>
          </cell>
          <cell r="R509">
            <v>0.24374999999999999</v>
          </cell>
          <cell r="S509">
            <v>0.3165</v>
          </cell>
          <cell r="T509">
            <v>0.43974999999999997</v>
          </cell>
          <cell r="U509">
            <v>0</v>
          </cell>
        </row>
        <row r="510">
          <cell r="Q510">
            <v>32</v>
          </cell>
          <cell r="R510">
            <v>0.24666666666666667</v>
          </cell>
          <cell r="S510">
            <v>0.315</v>
          </cell>
          <cell r="T510">
            <v>0.43833333333333335</v>
          </cell>
          <cell r="U510">
            <v>0</v>
          </cell>
        </row>
        <row r="511">
          <cell r="Q511">
            <v>31</v>
          </cell>
          <cell r="R511">
            <v>0.24958333333333332</v>
          </cell>
          <cell r="S511">
            <v>0.3135</v>
          </cell>
          <cell r="T511">
            <v>0.43691666666666668</v>
          </cell>
          <cell r="U511">
            <v>0</v>
          </cell>
        </row>
        <row r="512">
          <cell r="Q512">
            <v>30</v>
          </cell>
          <cell r="R512">
            <v>0.2525</v>
          </cell>
          <cell r="S512">
            <v>0.312</v>
          </cell>
          <cell r="T512">
            <v>0.4355</v>
          </cell>
          <cell r="U512">
            <v>0</v>
          </cell>
        </row>
        <row r="513">
          <cell r="Q513">
            <v>29</v>
          </cell>
          <cell r="R513">
            <v>0.25541666666666668</v>
          </cell>
          <cell r="S513">
            <v>0.3105</v>
          </cell>
          <cell r="T513">
            <v>0.43408333333333332</v>
          </cell>
          <cell r="U513">
            <v>0</v>
          </cell>
        </row>
        <row r="514">
          <cell r="Q514">
            <v>28</v>
          </cell>
          <cell r="R514">
            <v>0.25833333333333336</v>
          </cell>
          <cell r="S514">
            <v>0.309</v>
          </cell>
          <cell r="T514">
            <v>0.43266666666666664</v>
          </cell>
          <cell r="U514">
            <v>0</v>
          </cell>
        </row>
        <row r="515">
          <cell r="Q515">
            <v>27</v>
          </cell>
          <cell r="R515">
            <v>0.26124999999999998</v>
          </cell>
          <cell r="S515">
            <v>0.3075</v>
          </cell>
          <cell r="T515">
            <v>0.43125000000000002</v>
          </cell>
          <cell r="U515">
            <v>0</v>
          </cell>
        </row>
        <row r="516">
          <cell r="Q516">
            <v>26</v>
          </cell>
          <cell r="R516">
            <v>0.26416666666666666</v>
          </cell>
          <cell r="S516">
            <v>0.30599999999999999</v>
          </cell>
          <cell r="T516">
            <v>0.42983333333333335</v>
          </cell>
          <cell r="U516">
            <v>0</v>
          </cell>
        </row>
        <row r="517">
          <cell r="Q517">
            <v>25</v>
          </cell>
          <cell r="R517">
            <v>0.26708333333333334</v>
          </cell>
          <cell r="S517">
            <v>0.30449999999999999</v>
          </cell>
          <cell r="T517">
            <v>0.42841666666666667</v>
          </cell>
          <cell r="U517">
            <v>0</v>
          </cell>
        </row>
        <row r="518">
          <cell r="Q518">
            <v>24</v>
          </cell>
          <cell r="R518">
            <v>0.27</v>
          </cell>
          <cell r="S518">
            <v>0.30299999999999999</v>
          </cell>
          <cell r="T518">
            <v>0.42699999999999999</v>
          </cell>
          <cell r="U518">
            <v>0</v>
          </cell>
        </row>
        <row r="519">
          <cell r="Q519">
            <v>23</v>
          </cell>
          <cell r="R519">
            <v>0.27266666666666667</v>
          </cell>
          <cell r="S519">
            <v>0.30158333333333331</v>
          </cell>
          <cell r="T519">
            <v>0.42574999999999996</v>
          </cell>
          <cell r="U519">
            <v>0</v>
          </cell>
        </row>
        <row r="520">
          <cell r="Q520">
            <v>22</v>
          </cell>
          <cell r="R520">
            <v>0.27533333333333332</v>
          </cell>
          <cell r="S520">
            <v>0.30016666666666664</v>
          </cell>
          <cell r="T520">
            <v>0.42449999999999999</v>
          </cell>
          <cell r="U520">
            <v>0</v>
          </cell>
        </row>
        <row r="521">
          <cell r="Q521">
            <v>21</v>
          </cell>
          <cell r="R521">
            <v>0.27800000000000002</v>
          </cell>
          <cell r="S521">
            <v>0.29874999999999996</v>
          </cell>
          <cell r="T521">
            <v>0.42325000000000002</v>
          </cell>
          <cell r="U521">
            <v>0</v>
          </cell>
        </row>
        <row r="522">
          <cell r="Q522">
            <v>20</v>
          </cell>
          <cell r="R522">
            <v>0.28066666666666668</v>
          </cell>
          <cell r="S522">
            <v>0.29733333333333334</v>
          </cell>
          <cell r="T522">
            <v>0.42199999999999999</v>
          </cell>
          <cell r="U522">
            <v>0</v>
          </cell>
        </row>
        <row r="523">
          <cell r="Q523">
            <v>19</v>
          </cell>
          <cell r="R523">
            <v>0.28333333333333333</v>
          </cell>
          <cell r="S523">
            <v>0.29591666666666666</v>
          </cell>
          <cell r="T523">
            <v>0.42074999999999996</v>
          </cell>
          <cell r="U523">
            <v>0</v>
          </cell>
        </row>
        <row r="524">
          <cell r="Q524">
            <v>18</v>
          </cell>
          <cell r="R524">
            <v>0.28600000000000003</v>
          </cell>
          <cell r="S524">
            <v>0.29449999999999998</v>
          </cell>
          <cell r="T524">
            <v>0.41949999999999998</v>
          </cell>
          <cell r="U524">
            <v>0</v>
          </cell>
        </row>
        <row r="525">
          <cell r="Q525">
            <v>17</v>
          </cell>
          <cell r="R525">
            <v>0.28866666666666668</v>
          </cell>
          <cell r="S525">
            <v>0.29308333333333331</v>
          </cell>
          <cell r="T525">
            <v>0.41825000000000001</v>
          </cell>
          <cell r="U525">
            <v>0</v>
          </cell>
        </row>
        <row r="526">
          <cell r="Q526">
            <v>16</v>
          </cell>
          <cell r="R526">
            <v>0.29133333333333333</v>
          </cell>
          <cell r="S526">
            <v>0.29166666666666663</v>
          </cell>
          <cell r="T526">
            <v>0.41699999999999998</v>
          </cell>
          <cell r="U526">
            <v>0</v>
          </cell>
        </row>
        <row r="527">
          <cell r="Q527">
            <v>15</v>
          </cell>
          <cell r="R527">
            <v>0.29399999999999998</v>
          </cell>
          <cell r="S527">
            <v>0.29025000000000001</v>
          </cell>
          <cell r="T527">
            <v>0.41574999999999995</v>
          </cell>
          <cell r="U527">
            <v>0</v>
          </cell>
        </row>
        <row r="528">
          <cell r="Q528">
            <v>14</v>
          </cell>
          <cell r="R528">
            <v>0.29666666666666663</v>
          </cell>
          <cell r="S528">
            <v>0.28883333333333333</v>
          </cell>
          <cell r="T528">
            <v>0.41449999999999998</v>
          </cell>
          <cell r="U528">
            <v>0</v>
          </cell>
        </row>
        <row r="529">
          <cell r="Q529">
            <v>13</v>
          </cell>
          <cell r="R529">
            <v>0.29933333333333334</v>
          </cell>
          <cell r="S529">
            <v>0.28741666666666665</v>
          </cell>
          <cell r="T529">
            <v>0.41325000000000001</v>
          </cell>
          <cell r="U529">
            <v>0</v>
          </cell>
        </row>
        <row r="530">
          <cell r="Q530">
            <v>12</v>
          </cell>
          <cell r="R530">
            <v>0.30199999999999999</v>
          </cell>
          <cell r="S530">
            <v>0.28599999999999998</v>
          </cell>
          <cell r="T530">
            <v>0.41199999999999998</v>
          </cell>
          <cell r="U530">
            <v>0</v>
          </cell>
        </row>
        <row r="531">
          <cell r="Q531">
            <v>11</v>
          </cell>
          <cell r="R531">
            <v>0.30441666666666667</v>
          </cell>
          <cell r="S531">
            <v>0.28475</v>
          </cell>
          <cell r="T531">
            <v>0.41083333333333333</v>
          </cell>
          <cell r="U531">
            <v>0</v>
          </cell>
        </row>
        <row r="532">
          <cell r="Q532">
            <v>10</v>
          </cell>
          <cell r="R532">
            <v>0.30683333333333335</v>
          </cell>
          <cell r="S532">
            <v>0.28349999999999997</v>
          </cell>
          <cell r="T532">
            <v>0.40966666666666662</v>
          </cell>
          <cell r="U532">
            <v>0</v>
          </cell>
        </row>
        <row r="533">
          <cell r="Q533">
            <v>9</v>
          </cell>
          <cell r="R533">
            <v>0.30925000000000002</v>
          </cell>
          <cell r="S533">
            <v>0.28225</v>
          </cell>
          <cell r="T533">
            <v>0.40849999999999997</v>
          </cell>
          <cell r="U533">
            <v>0</v>
          </cell>
        </row>
        <row r="534">
          <cell r="Q534">
            <v>8</v>
          </cell>
          <cell r="R534">
            <v>0.31166666666666665</v>
          </cell>
          <cell r="S534">
            <v>0.28099999999999997</v>
          </cell>
          <cell r="T534">
            <v>0.40733333333333333</v>
          </cell>
          <cell r="U534">
            <v>0</v>
          </cell>
        </row>
        <row r="535">
          <cell r="Q535">
            <v>7</v>
          </cell>
          <cell r="R535">
            <v>0.31408333333333333</v>
          </cell>
          <cell r="S535">
            <v>0.27975</v>
          </cell>
          <cell r="T535">
            <v>0.40616666666666668</v>
          </cell>
          <cell r="U535">
            <v>0</v>
          </cell>
        </row>
        <row r="536">
          <cell r="Q536">
            <v>6</v>
          </cell>
          <cell r="R536">
            <v>0.3165</v>
          </cell>
          <cell r="S536">
            <v>0.27849999999999997</v>
          </cell>
          <cell r="T536">
            <v>0.40500000000000003</v>
          </cell>
          <cell r="U536">
            <v>0</v>
          </cell>
        </row>
        <row r="537">
          <cell r="Q537">
            <v>5</v>
          </cell>
          <cell r="R537">
            <v>0.31891666666666668</v>
          </cell>
          <cell r="S537">
            <v>0.27725</v>
          </cell>
          <cell r="T537">
            <v>0.40383333333333332</v>
          </cell>
          <cell r="U537">
            <v>0</v>
          </cell>
        </row>
        <row r="538">
          <cell r="Q538">
            <v>4</v>
          </cell>
          <cell r="R538">
            <v>0.32133333333333336</v>
          </cell>
          <cell r="S538">
            <v>0.27600000000000002</v>
          </cell>
          <cell r="T538">
            <v>0.40266666666666667</v>
          </cell>
          <cell r="U538">
            <v>0</v>
          </cell>
        </row>
        <row r="539">
          <cell r="Q539">
            <v>3</v>
          </cell>
          <cell r="R539">
            <v>0.32374999999999998</v>
          </cell>
          <cell r="S539">
            <v>0.27474999999999999</v>
          </cell>
          <cell r="T539">
            <v>0.40150000000000002</v>
          </cell>
          <cell r="U539">
            <v>0</v>
          </cell>
        </row>
        <row r="540">
          <cell r="Q540">
            <v>2</v>
          </cell>
          <cell r="R540">
            <v>0.32616666666666666</v>
          </cell>
          <cell r="S540">
            <v>0.27350000000000002</v>
          </cell>
          <cell r="T540">
            <v>0.40033333333333332</v>
          </cell>
          <cell r="U540">
            <v>0</v>
          </cell>
        </row>
        <row r="541">
          <cell r="Q541">
            <v>1</v>
          </cell>
          <cell r="R541">
            <v>0.32858333333333334</v>
          </cell>
          <cell r="S541">
            <v>0.27224999999999999</v>
          </cell>
          <cell r="T541">
            <v>0.39916666666666667</v>
          </cell>
          <cell r="U541">
            <v>0</v>
          </cell>
        </row>
        <row r="542">
          <cell r="Q542">
            <v>0</v>
          </cell>
          <cell r="R542">
            <v>0.33100000000000002</v>
          </cell>
          <cell r="S542">
            <v>0.27100000000000002</v>
          </cell>
          <cell r="T542">
            <v>0.39800000000000002</v>
          </cell>
          <cell r="U542">
            <v>0</v>
          </cell>
        </row>
      </sheetData>
      <sheetData sheetId="2" refreshError="1">
        <row r="2">
          <cell r="Q2">
            <v>540</v>
          </cell>
          <cell r="R2">
            <v>0</v>
          </cell>
          <cell r="S2">
            <v>0</v>
          </cell>
          <cell r="T2">
            <v>0</v>
          </cell>
          <cell r="U2">
            <v>0.99999999999999989</v>
          </cell>
        </row>
        <row r="3">
          <cell r="Q3">
            <v>539</v>
          </cell>
          <cell r="R3">
            <v>0</v>
          </cell>
          <cell r="S3">
            <v>0</v>
          </cell>
          <cell r="T3">
            <v>0</v>
          </cell>
          <cell r="U3">
            <v>0.99999999999999989</v>
          </cell>
        </row>
        <row r="4">
          <cell r="Q4">
            <v>538</v>
          </cell>
          <cell r="R4">
            <v>0</v>
          </cell>
          <cell r="S4">
            <v>0</v>
          </cell>
          <cell r="T4">
            <v>0</v>
          </cell>
          <cell r="U4">
            <v>0.99999999999999989</v>
          </cell>
        </row>
        <row r="5">
          <cell r="Q5">
            <v>537</v>
          </cell>
          <cell r="R5">
            <v>0</v>
          </cell>
          <cell r="S5">
            <v>0</v>
          </cell>
          <cell r="T5">
            <v>0</v>
          </cell>
          <cell r="U5">
            <v>0.99999999999999989</v>
          </cell>
        </row>
        <row r="6">
          <cell r="Q6">
            <v>536</v>
          </cell>
          <cell r="R6">
            <v>0</v>
          </cell>
          <cell r="S6">
            <v>0</v>
          </cell>
          <cell r="T6">
            <v>0</v>
          </cell>
          <cell r="U6">
            <v>0.99999999999999989</v>
          </cell>
        </row>
        <row r="7">
          <cell r="Q7">
            <v>535</v>
          </cell>
          <cell r="R7">
            <v>0</v>
          </cell>
          <cell r="S7">
            <v>0</v>
          </cell>
          <cell r="T7">
            <v>0</v>
          </cell>
          <cell r="U7">
            <v>0.99999999999999989</v>
          </cell>
        </row>
        <row r="8">
          <cell r="Q8">
            <v>534</v>
          </cell>
          <cell r="R8">
            <v>0</v>
          </cell>
          <cell r="S8">
            <v>0</v>
          </cell>
          <cell r="T8">
            <v>0</v>
          </cell>
          <cell r="U8">
            <v>0.99999999999999989</v>
          </cell>
        </row>
        <row r="9">
          <cell r="Q9">
            <v>533</v>
          </cell>
          <cell r="R9">
            <v>0</v>
          </cell>
          <cell r="S9">
            <v>0</v>
          </cell>
          <cell r="T9">
            <v>0</v>
          </cell>
          <cell r="U9">
            <v>0.99999999999999989</v>
          </cell>
        </row>
        <row r="10">
          <cell r="Q10">
            <v>532</v>
          </cell>
          <cell r="R10">
            <v>0</v>
          </cell>
          <cell r="S10">
            <v>0</v>
          </cell>
          <cell r="T10">
            <v>0</v>
          </cell>
          <cell r="U10">
            <v>0.99999999999999989</v>
          </cell>
        </row>
        <row r="11">
          <cell r="Q11">
            <v>531</v>
          </cell>
          <cell r="R11">
            <v>0</v>
          </cell>
          <cell r="S11">
            <v>0</v>
          </cell>
          <cell r="T11">
            <v>0</v>
          </cell>
          <cell r="U11">
            <v>0.99999999999999989</v>
          </cell>
        </row>
        <row r="12">
          <cell r="Q12">
            <v>530</v>
          </cell>
          <cell r="R12">
            <v>0</v>
          </cell>
          <cell r="S12">
            <v>0</v>
          </cell>
          <cell r="T12">
            <v>0</v>
          </cell>
          <cell r="U12">
            <v>0.99999999999999989</v>
          </cell>
        </row>
        <row r="13">
          <cell r="Q13">
            <v>529</v>
          </cell>
          <cell r="R13">
            <v>0</v>
          </cell>
          <cell r="S13">
            <v>0</v>
          </cell>
          <cell r="T13">
            <v>0</v>
          </cell>
          <cell r="U13">
            <v>0.99999999999999989</v>
          </cell>
        </row>
        <row r="14">
          <cell r="Q14">
            <v>528</v>
          </cell>
          <cell r="R14">
            <v>0</v>
          </cell>
          <cell r="S14">
            <v>0</v>
          </cell>
          <cell r="T14">
            <v>0</v>
          </cell>
          <cell r="U14">
            <v>0.99999999999999989</v>
          </cell>
        </row>
        <row r="15">
          <cell r="Q15">
            <v>527</v>
          </cell>
          <cell r="R15">
            <v>0</v>
          </cell>
          <cell r="S15">
            <v>0</v>
          </cell>
          <cell r="T15">
            <v>0</v>
          </cell>
          <cell r="U15">
            <v>0.99999999999999989</v>
          </cell>
        </row>
        <row r="16">
          <cell r="Q16">
            <v>526</v>
          </cell>
          <cell r="R16">
            <v>0</v>
          </cell>
          <cell r="S16">
            <v>0</v>
          </cell>
          <cell r="T16">
            <v>0</v>
          </cell>
          <cell r="U16">
            <v>0.99999999999999989</v>
          </cell>
        </row>
        <row r="17">
          <cell r="Q17">
            <v>525</v>
          </cell>
          <cell r="R17">
            <v>0</v>
          </cell>
          <cell r="S17">
            <v>0</v>
          </cell>
          <cell r="T17">
            <v>0</v>
          </cell>
          <cell r="U17">
            <v>0.99999999999999989</v>
          </cell>
        </row>
        <row r="18">
          <cell r="Q18">
            <v>524</v>
          </cell>
          <cell r="R18">
            <v>0</v>
          </cell>
          <cell r="S18">
            <v>0</v>
          </cell>
          <cell r="T18">
            <v>0</v>
          </cell>
          <cell r="U18">
            <v>0.99999999999999989</v>
          </cell>
        </row>
        <row r="19">
          <cell r="Q19">
            <v>523</v>
          </cell>
          <cell r="R19">
            <v>0</v>
          </cell>
          <cell r="S19">
            <v>0</v>
          </cell>
          <cell r="T19">
            <v>0</v>
          </cell>
          <cell r="U19">
            <v>0.99999999999999989</v>
          </cell>
        </row>
        <row r="20">
          <cell r="Q20">
            <v>522</v>
          </cell>
          <cell r="R20">
            <v>0</v>
          </cell>
          <cell r="S20">
            <v>0</v>
          </cell>
          <cell r="T20">
            <v>0</v>
          </cell>
          <cell r="U20">
            <v>0.99999999999999989</v>
          </cell>
        </row>
        <row r="21">
          <cell r="Q21">
            <v>521</v>
          </cell>
          <cell r="R21">
            <v>0</v>
          </cell>
          <cell r="S21">
            <v>0</v>
          </cell>
          <cell r="T21">
            <v>0</v>
          </cell>
          <cell r="U21">
            <v>0.99999999999999989</v>
          </cell>
        </row>
        <row r="22">
          <cell r="Q22">
            <v>520</v>
          </cell>
          <cell r="R22">
            <v>0</v>
          </cell>
          <cell r="S22">
            <v>0</v>
          </cell>
          <cell r="T22">
            <v>0</v>
          </cell>
          <cell r="U22">
            <v>0.99999999999999989</v>
          </cell>
        </row>
        <row r="23">
          <cell r="Q23">
            <v>519</v>
          </cell>
          <cell r="R23">
            <v>0</v>
          </cell>
          <cell r="S23">
            <v>0</v>
          </cell>
          <cell r="T23">
            <v>0</v>
          </cell>
          <cell r="U23">
            <v>0.99999999999999989</v>
          </cell>
        </row>
        <row r="24">
          <cell r="Q24">
            <v>518</v>
          </cell>
          <cell r="R24">
            <v>0</v>
          </cell>
          <cell r="S24">
            <v>0</v>
          </cell>
          <cell r="T24">
            <v>0</v>
          </cell>
          <cell r="U24">
            <v>0.99999999999999989</v>
          </cell>
        </row>
        <row r="25">
          <cell r="Q25">
            <v>517</v>
          </cell>
          <cell r="R25">
            <v>0</v>
          </cell>
          <cell r="S25">
            <v>0</v>
          </cell>
          <cell r="T25">
            <v>0</v>
          </cell>
          <cell r="U25">
            <v>0.99999999999999989</v>
          </cell>
        </row>
        <row r="26">
          <cell r="Q26">
            <v>516</v>
          </cell>
          <cell r="R26">
            <v>0</v>
          </cell>
          <cell r="S26">
            <v>0</v>
          </cell>
          <cell r="T26">
            <v>0</v>
          </cell>
          <cell r="U26">
            <v>0.99999999999999989</v>
          </cell>
        </row>
        <row r="27">
          <cell r="Q27">
            <v>515</v>
          </cell>
          <cell r="R27">
            <v>0</v>
          </cell>
          <cell r="S27">
            <v>0</v>
          </cell>
          <cell r="T27">
            <v>0</v>
          </cell>
          <cell r="U27">
            <v>0.99999999999999989</v>
          </cell>
        </row>
        <row r="28">
          <cell r="Q28">
            <v>514</v>
          </cell>
          <cell r="R28">
            <v>0</v>
          </cell>
          <cell r="S28">
            <v>0</v>
          </cell>
          <cell r="T28">
            <v>0</v>
          </cell>
          <cell r="U28">
            <v>0.99999999999999989</v>
          </cell>
        </row>
        <row r="29">
          <cell r="Q29">
            <v>513</v>
          </cell>
          <cell r="R29">
            <v>0</v>
          </cell>
          <cell r="S29">
            <v>0</v>
          </cell>
          <cell r="T29">
            <v>0</v>
          </cell>
          <cell r="U29">
            <v>0.99999999999999989</v>
          </cell>
        </row>
        <row r="30">
          <cell r="Q30">
            <v>512</v>
          </cell>
          <cell r="R30">
            <v>0</v>
          </cell>
          <cell r="S30">
            <v>0</v>
          </cell>
          <cell r="T30">
            <v>0</v>
          </cell>
          <cell r="U30">
            <v>0.99999999999999989</v>
          </cell>
        </row>
        <row r="31">
          <cell r="Q31">
            <v>511</v>
          </cell>
          <cell r="R31">
            <v>0</v>
          </cell>
          <cell r="S31">
            <v>0</v>
          </cell>
          <cell r="T31">
            <v>0</v>
          </cell>
          <cell r="U31">
            <v>0.99999999999999989</v>
          </cell>
        </row>
        <row r="32">
          <cell r="Q32">
            <v>510</v>
          </cell>
          <cell r="R32">
            <v>0</v>
          </cell>
          <cell r="S32">
            <v>0</v>
          </cell>
          <cell r="T32">
            <v>0</v>
          </cell>
          <cell r="U32">
            <v>0.99999999999999989</v>
          </cell>
        </row>
        <row r="33">
          <cell r="Q33">
            <v>509</v>
          </cell>
          <cell r="R33">
            <v>0</v>
          </cell>
          <cell r="S33">
            <v>0</v>
          </cell>
          <cell r="T33">
            <v>0</v>
          </cell>
          <cell r="U33">
            <v>0.99999999999999989</v>
          </cell>
        </row>
        <row r="34">
          <cell r="Q34">
            <v>508</v>
          </cell>
          <cell r="R34">
            <v>0</v>
          </cell>
          <cell r="S34">
            <v>0</v>
          </cell>
          <cell r="T34">
            <v>0</v>
          </cell>
          <cell r="U34">
            <v>0.99999999999999989</v>
          </cell>
        </row>
        <row r="35">
          <cell r="Q35">
            <v>507</v>
          </cell>
          <cell r="R35">
            <v>0</v>
          </cell>
          <cell r="S35">
            <v>0</v>
          </cell>
          <cell r="T35">
            <v>0</v>
          </cell>
          <cell r="U35">
            <v>0.99999999999999989</v>
          </cell>
        </row>
        <row r="36">
          <cell r="Q36">
            <v>506</v>
          </cell>
          <cell r="R36">
            <v>0</v>
          </cell>
          <cell r="S36">
            <v>0</v>
          </cell>
          <cell r="T36">
            <v>0</v>
          </cell>
          <cell r="U36">
            <v>0.99999999999999989</v>
          </cell>
        </row>
        <row r="37">
          <cell r="Q37">
            <v>505</v>
          </cell>
          <cell r="R37">
            <v>0</v>
          </cell>
          <cell r="S37">
            <v>0</v>
          </cell>
          <cell r="T37">
            <v>0</v>
          </cell>
          <cell r="U37">
            <v>0.99999999999999989</v>
          </cell>
        </row>
        <row r="38">
          <cell r="Q38">
            <v>504</v>
          </cell>
          <cell r="R38">
            <v>0</v>
          </cell>
          <cell r="S38">
            <v>0</v>
          </cell>
          <cell r="T38">
            <v>0</v>
          </cell>
          <cell r="U38">
            <v>0.99999999999999989</v>
          </cell>
        </row>
        <row r="39">
          <cell r="Q39">
            <v>503</v>
          </cell>
          <cell r="R39">
            <v>0</v>
          </cell>
          <cell r="S39">
            <v>0</v>
          </cell>
          <cell r="T39">
            <v>0</v>
          </cell>
          <cell r="U39">
            <v>0.99999999999999989</v>
          </cell>
        </row>
        <row r="40">
          <cell r="Q40">
            <v>502</v>
          </cell>
          <cell r="R40">
            <v>0</v>
          </cell>
          <cell r="S40">
            <v>0</v>
          </cell>
          <cell r="T40">
            <v>0</v>
          </cell>
          <cell r="U40">
            <v>0.99999999999999989</v>
          </cell>
        </row>
        <row r="41">
          <cell r="Q41">
            <v>501</v>
          </cell>
          <cell r="R41">
            <v>0</v>
          </cell>
          <cell r="S41">
            <v>0</v>
          </cell>
          <cell r="T41">
            <v>0</v>
          </cell>
          <cell r="U41">
            <v>0.99999999999999989</v>
          </cell>
        </row>
        <row r="42">
          <cell r="Q42">
            <v>500</v>
          </cell>
          <cell r="R42">
            <v>0</v>
          </cell>
          <cell r="S42">
            <v>0</v>
          </cell>
          <cell r="T42">
            <v>0</v>
          </cell>
          <cell r="U42">
            <v>0.99999999999999989</v>
          </cell>
        </row>
        <row r="43">
          <cell r="Q43">
            <v>499</v>
          </cell>
          <cell r="R43">
            <v>0</v>
          </cell>
          <cell r="S43">
            <v>0</v>
          </cell>
          <cell r="T43">
            <v>0</v>
          </cell>
          <cell r="U43">
            <v>0.99999999999999989</v>
          </cell>
        </row>
        <row r="44">
          <cell r="Q44">
            <v>498</v>
          </cell>
          <cell r="R44">
            <v>0</v>
          </cell>
          <cell r="S44">
            <v>0</v>
          </cell>
          <cell r="T44">
            <v>0</v>
          </cell>
          <cell r="U44">
            <v>0.99999999999999989</v>
          </cell>
        </row>
        <row r="45">
          <cell r="Q45">
            <v>497</v>
          </cell>
          <cell r="R45">
            <v>0</v>
          </cell>
          <cell r="S45">
            <v>0</v>
          </cell>
          <cell r="T45">
            <v>0</v>
          </cell>
          <cell r="U45">
            <v>0.99999999999999989</v>
          </cell>
        </row>
        <row r="46">
          <cell r="Q46">
            <v>496</v>
          </cell>
          <cell r="R46">
            <v>0</v>
          </cell>
          <cell r="S46">
            <v>0</v>
          </cell>
          <cell r="T46">
            <v>0</v>
          </cell>
          <cell r="U46">
            <v>0.99999999999999989</v>
          </cell>
        </row>
        <row r="47">
          <cell r="Q47">
            <v>495</v>
          </cell>
          <cell r="R47">
            <v>0</v>
          </cell>
          <cell r="S47">
            <v>0</v>
          </cell>
          <cell r="T47">
            <v>0</v>
          </cell>
          <cell r="U47">
            <v>0.99999999999999989</v>
          </cell>
        </row>
        <row r="48">
          <cell r="Q48">
            <v>494</v>
          </cell>
          <cell r="R48">
            <v>0</v>
          </cell>
          <cell r="S48">
            <v>0</v>
          </cell>
          <cell r="T48">
            <v>0</v>
          </cell>
          <cell r="U48">
            <v>0.99999999999999989</v>
          </cell>
        </row>
        <row r="49">
          <cell r="Q49">
            <v>493</v>
          </cell>
          <cell r="R49">
            <v>0</v>
          </cell>
          <cell r="S49">
            <v>0</v>
          </cell>
          <cell r="T49">
            <v>0</v>
          </cell>
          <cell r="U49">
            <v>0.99999999999999989</v>
          </cell>
        </row>
        <row r="50">
          <cell r="Q50">
            <v>492</v>
          </cell>
          <cell r="R50">
            <v>0</v>
          </cell>
          <cell r="S50">
            <v>0</v>
          </cell>
          <cell r="T50">
            <v>0</v>
          </cell>
          <cell r="U50">
            <v>0.99999999999999989</v>
          </cell>
        </row>
        <row r="51">
          <cell r="Q51">
            <v>491</v>
          </cell>
          <cell r="R51">
            <v>0</v>
          </cell>
          <cell r="S51">
            <v>0</v>
          </cell>
          <cell r="T51">
            <v>0</v>
          </cell>
          <cell r="U51">
            <v>0.99999999999999989</v>
          </cell>
        </row>
        <row r="52">
          <cell r="Q52">
            <v>490</v>
          </cell>
          <cell r="R52">
            <v>0</v>
          </cell>
          <cell r="S52">
            <v>0</v>
          </cell>
          <cell r="T52">
            <v>0</v>
          </cell>
          <cell r="U52">
            <v>0.99999999999999989</v>
          </cell>
        </row>
        <row r="53">
          <cell r="Q53">
            <v>489</v>
          </cell>
          <cell r="R53">
            <v>0</v>
          </cell>
          <cell r="S53">
            <v>0</v>
          </cell>
          <cell r="T53">
            <v>0</v>
          </cell>
          <cell r="U53">
            <v>0.99999999999999989</v>
          </cell>
        </row>
        <row r="54">
          <cell r="Q54">
            <v>488</v>
          </cell>
          <cell r="R54">
            <v>0</v>
          </cell>
          <cell r="S54">
            <v>0</v>
          </cell>
          <cell r="T54">
            <v>0</v>
          </cell>
          <cell r="U54">
            <v>0.99999999999999989</v>
          </cell>
        </row>
        <row r="55">
          <cell r="Q55">
            <v>487</v>
          </cell>
          <cell r="R55">
            <v>0</v>
          </cell>
          <cell r="S55">
            <v>0</v>
          </cell>
          <cell r="T55">
            <v>0</v>
          </cell>
          <cell r="U55">
            <v>0.99999999999999989</v>
          </cell>
        </row>
        <row r="56">
          <cell r="Q56">
            <v>486</v>
          </cell>
          <cell r="R56">
            <v>0</v>
          </cell>
          <cell r="S56">
            <v>0</v>
          </cell>
          <cell r="T56">
            <v>0</v>
          </cell>
          <cell r="U56">
            <v>0.99999999999999989</v>
          </cell>
        </row>
        <row r="57">
          <cell r="Q57">
            <v>485</v>
          </cell>
          <cell r="R57">
            <v>0</v>
          </cell>
          <cell r="S57">
            <v>0</v>
          </cell>
          <cell r="T57">
            <v>0</v>
          </cell>
          <cell r="U57">
            <v>0.99999999999999989</v>
          </cell>
        </row>
        <row r="58">
          <cell r="Q58">
            <v>484</v>
          </cell>
          <cell r="R58">
            <v>0</v>
          </cell>
          <cell r="S58">
            <v>0</v>
          </cell>
          <cell r="T58">
            <v>0</v>
          </cell>
          <cell r="U58">
            <v>0.99999999999999989</v>
          </cell>
        </row>
        <row r="59">
          <cell r="Q59">
            <v>483</v>
          </cell>
          <cell r="R59">
            <v>0</v>
          </cell>
          <cell r="S59">
            <v>0</v>
          </cell>
          <cell r="T59">
            <v>0</v>
          </cell>
          <cell r="U59">
            <v>0.99999999999999989</v>
          </cell>
        </row>
        <row r="60">
          <cell r="Q60">
            <v>482</v>
          </cell>
          <cell r="R60">
            <v>0</v>
          </cell>
          <cell r="S60">
            <v>0</v>
          </cell>
          <cell r="T60">
            <v>0</v>
          </cell>
          <cell r="U60">
            <v>0.99999999999999989</v>
          </cell>
        </row>
        <row r="61">
          <cell r="Q61">
            <v>481</v>
          </cell>
          <cell r="R61">
            <v>0</v>
          </cell>
          <cell r="S61">
            <v>0</v>
          </cell>
          <cell r="T61">
            <v>0</v>
          </cell>
          <cell r="U61">
            <v>0.99999999999999989</v>
          </cell>
        </row>
        <row r="62">
          <cell r="Q62">
            <v>480</v>
          </cell>
          <cell r="R62">
            <v>0</v>
          </cell>
          <cell r="S62">
            <v>0</v>
          </cell>
          <cell r="T62">
            <v>0</v>
          </cell>
          <cell r="U62">
            <v>0.99999999999999989</v>
          </cell>
        </row>
        <row r="63">
          <cell r="Q63">
            <v>479</v>
          </cell>
          <cell r="R63">
            <v>0</v>
          </cell>
          <cell r="S63">
            <v>0</v>
          </cell>
          <cell r="T63">
            <v>0</v>
          </cell>
          <cell r="U63">
            <v>0.99999999999999989</v>
          </cell>
        </row>
        <row r="64">
          <cell r="Q64">
            <v>478</v>
          </cell>
          <cell r="R64">
            <v>0</v>
          </cell>
          <cell r="S64">
            <v>0</v>
          </cell>
          <cell r="T64">
            <v>0</v>
          </cell>
          <cell r="U64">
            <v>0.99999999999999989</v>
          </cell>
        </row>
        <row r="65">
          <cell r="Q65">
            <v>477</v>
          </cell>
          <cell r="R65">
            <v>0</v>
          </cell>
          <cell r="S65">
            <v>0</v>
          </cell>
          <cell r="T65">
            <v>0</v>
          </cell>
          <cell r="U65">
            <v>0.99999999999999989</v>
          </cell>
        </row>
        <row r="66">
          <cell r="Q66">
            <v>476</v>
          </cell>
          <cell r="R66">
            <v>0</v>
          </cell>
          <cell r="S66">
            <v>0</v>
          </cell>
          <cell r="T66">
            <v>0</v>
          </cell>
          <cell r="U66">
            <v>0.99999999999999989</v>
          </cell>
        </row>
        <row r="67">
          <cell r="Q67">
            <v>475</v>
          </cell>
          <cell r="R67">
            <v>0</v>
          </cell>
          <cell r="S67">
            <v>0</v>
          </cell>
          <cell r="T67">
            <v>0</v>
          </cell>
          <cell r="U67">
            <v>0.99999999999999989</v>
          </cell>
        </row>
        <row r="68">
          <cell r="Q68">
            <v>474</v>
          </cell>
          <cell r="R68">
            <v>0</v>
          </cell>
          <cell r="S68">
            <v>0</v>
          </cell>
          <cell r="T68">
            <v>0</v>
          </cell>
          <cell r="U68">
            <v>0.99999999999999989</v>
          </cell>
        </row>
        <row r="69">
          <cell r="Q69">
            <v>473</v>
          </cell>
          <cell r="R69">
            <v>0</v>
          </cell>
          <cell r="S69">
            <v>0</v>
          </cell>
          <cell r="T69">
            <v>0</v>
          </cell>
          <cell r="U69">
            <v>0.99999999999999989</v>
          </cell>
        </row>
        <row r="70">
          <cell r="Q70">
            <v>472</v>
          </cell>
          <cell r="R70">
            <v>0</v>
          </cell>
          <cell r="S70">
            <v>0</v>
          </cell>
          <cell r="T70">
            <v>0</v>
          </cell>
          <cell r="U70">
            <v>0.99999999999999989</v>
          </cell>
        </row>
        <row r="71">
          <cell r="Q71">
            <v>471</v>
          </cell>
          <cell r="R71">
            <v>0</v>
          </cell>
          <cell r="S71">
            <v>0</v>
          </cell>
          <cell r="T71">
            <v>0</v>
          </cell>
          <cell r="U71">
            <v>0.99999999999999989</v>
          </cell>
        </row>
        <row r="72">
          <cell r="Q72">
            <v>470</v>
          </cell>
          <cell r="R72">
            <v>0</v>
          </cell>
          <cell r="S72">
            <v>0</v>
          </cell>
          <cell r="T72">
            <v>0</v>
          </cell>
          <cell r="U72">
            <v>0.99999999999999989</v>
          </cell>
        </row>
        <row r="73">
          <cell r="Q73">
            <v>469</v>
          </cell>
          <cell r="R73">
            <v>0</v>
          </cell>
          <cell r="S73">
            <v>0</v>
          </cell>
          <cell r="T73">
            <v>0</v>
          </cell>
          <cell r="U73">
            <v>0.99999999999999989</v>
          </cell>
        </row>
        <row r="74">
          <cell r="Q74">
            <v>468</v>
          </cell>
          <cell r="R74">
            <v>0</v>
          </cell>
          <cell r="S74">
            <v>0</v>
          </cell>
          <cell r="T74">
            <v>0</v>
          </cell>
          <cell r="U74">
            <v>0.99999999999999989</v>
          </cell>
        </row>
        <row r="75">
          <cell r="Q75">
            <v>467</v>
          </cell>
          <cell r="R75">
            <v>0</v>
          </cell>
          <cell r="S75">
            <v>0</v>
          </cell>
          <cell r="T75">
            <v>0</v>
          </cell>
          <cell r="U75">
            <v>0.99999999999999989</v>
          </cell>
        </row>
        <row r="76">
          <cell r="Q76">
            <v>466</v>
          </cell>
          <cell r="R76">
            <v>0</v>
          </cell>
          <cell r="S76">
            <v>0</v>
          </cell>
          <cell r="T76">
            <v>0</v>
          </cell>
          <cell r="U76">
            <v>0.99999999999999989</v>
          </cell>
        </row>
        <row r="77">
          <cell r="Q77">
            <v>465</v>
          </cell>
          <cell r="R77">
            <v>0</v>
          </cell>
          <cell r="S77">
            <v>0</v>
          </cell>
          <cell r="T77">
            <v>0</v>
          </cell>
          <cell r="U77">
            <v>0.99999999999999989</v>
          </cell>
        </row>
        <row r="78">
          <cell r="Q78">
            <v>464</v>
          </cell>
          <cell r="R78">
            <v>0</v>
          </cell>
          <cell r="S78">
            <v>0</v>
          </cell>
          <cell r="T78">
            <v>0</v>
          </cell>
          <cell r="U78">
            <v>0.99999999999999989</v>
          </cell>
        </row>
        <row r="79">
          <cell r="Q79">
            <v>463</v>
          </cell>
          <cell r="R79">
            <v>0</v>
          </cell>
          <cell r="S79">
            <v>0</v>
          </cell>
          <cell r="T79">
            <v>0</v>
          </cell>
          <cell r="U79">
            <v>0.99999999999999989</v>
          </cell>
        </row>
        <row r="80">
          <cell r="Q80">
            <v>462</v>
          </cell>
          <cell r="R80">
            <v>0</v>
          </cell>
          <cell r="S80">
            <v>0</v>
          </cell>
          <cell r="T80">
            <v>0</v>
          </cell>
          <cell r="U80">
            <v>0.99999999999999989</v>
          </cell>
        </row>
        <row r="81">
          <cell r="Q81">
            <v>461</v>
          </cell>
          <cell r="R81">
            <v>0</v>
          </cell>
          <cell r="S81">
            <v>0</v>
          </cell>
          <cell r="T81">
            <v>0</v>
          </cell>
          <cell r="U81">
            <v>0.99999999999999989</v>
          </cell>
        </row>
        <row r="82">
          <cell r="Q82">
            <v>460</v>
          </cell>
          <cell r="R82">
            <v>0</v>
          </cell>
          <cell r="S82">
            <v>0</v>
          </cell>
          <cell r="T82">
            <v>0</v>
          </cell>
          <cell r="U82">
            <v>0.99999999999999989</v>
          </cell>
        </row>
        <row r="83">
          <cell r="Q83">
            <v>459</v>
          </cell>
          <cell r="R83">
            <v>0</v>
          </cell>
          <cell r="S83">
            <v>0</v>
          </cell>
          <cell r="T83">
            <v>0</v>
          </cell>
          <cell r="U83">
            <v>0.99999999999999989</v>
          </cell>
        </row>
        <row r="84">
          <cell r="Q84">
            <v>458</v>
          </cell>
          <cell r="R84">
            <v>0</v>
          </cell>
          <cell r="S84">
            <v>0</v>
          </cell>
          <cell r="T84">
            <v>0</v>
          </cell>
          <cell r="U84">
            <v>0.99999999999999989</v>
          </cell>
        </row>
        <row r="85">
          <cell r="Q85">
            <v>457</v>
          </cell>
          <cell r="R85">
            <v>0</v>
          </cell>
          <cell r="S85">
            <v>0</v>
          </cell>
          <cell r="T85">
            <v>0</v>
          </cell>
          <cell r="U85">
            <v>0.99999999999999989</v>
          </cell>
        </row>
        <row r="86">
          <cell r="Q86">
            <v>456</v>
          </cell>
          <cell r="R86">
            <v>0</v>
          </cell>
          <cell r="S86">
            <v>0</v>
          </cell>
          <cell r="T86">
            <v>0</v>
          </cell>
          <cell r="U86">
            <v>0.99999999999999989</v>
          </cell>
        </row>
        <row r="87">
          <cell r="Q87">
            <v>455</v>
          </cell>
          <cell r="R87">
            <v>0</v>
          </cell>
          <cell r="S87">
            <v>0</v>
          </cell>
          <cell r="T87">
            <v>0</v>
          </cell>
          <cell r="U87">
            <v>0.99999999999999989</v>
          </cell>
        </row>
        <row r="88">
          <cell r="Q88">
            <v>454</v>
          </cell>
          <cell r="R88">
            <v>0</v>
          </cell>
          <cell r="S88">
            <v>0</v>
          </cell>
          <cell r="T88">
            <v>0</v>
          </cell>
          <cell r="U88">
            <v>0.99999999999999989</v>
          </cell>
        </row>
        <row r="89">
          <cell r="Q89">
            <v>453</v>
          </cell>
          <cell r="R89">
            <v>0</v>
          </cell>
          <cell r="S89">
            <v>0</v>
          </cell>
          <cell r="T89">
            <v>0</v>
          </cell>
          <cell r="U89">
            <v>0.99999999999999989</v>
          </cell>
        </row>
        <row r="90">
          <cell r="Q90">
            <v>452</v>
          </cell>
          <cell r="R90">
            <v>0</v>
          </cell>
          <cell r="S90">
            <v>0</v>
          </cell>
          <cell r="T90">
            <v>0</v>
          </cell>
          <cell r="U90">
            <v>0.99999999999999989</v>
          </cell>
        </row>
        <row r="91">
          <cell r="Q91">
            <v>451</v>
          </cell>
          <cell r="R91">
            <v>0</v>
          </cell>
          <cell r="S91">
            <v>0</v>
          </cell>
          <cell r="T91">
            <v>0</v>
          </cell>
          <cell r="U91">
            <v>0.99999999999999989</v>
          </cell>
        </row>
        <row r="92">
          <cell r="Q92">
            <v>450</v>
          </cell>
          <cell r="R92">
            <v>0</v>
          </cell>
          <cell r="S92">
            <v>0</v>
          </cell>
          <cell r="T92">
            <v>0</v>
          </cell>
          <cell r="U92">
            <v>0.99999999999999989</v>
          </cell>
        </row>
        <row r="93">
          <cell r="Q93">
            <v>449</v>
          </cell>
          <cell r="R93">
            <v>0</v>
          </cell>
          <cell r="S93">
            <v>0</v>
          </cell>
          <cell r="T93">
            <v>0</v>
          </cell>
          <cell r="U93">
            <v>0.99999999999999989</v>
          </cell>
        </row>
        <row r="94">
          <cell r="Q94">
            <v>448</v>
          </cell>
          <cell r="R94">
            <v>0</v>
          </cell>
          <cell r="S94">
            <v>0</v>
          </cell>
          <cell r="T94">
            <v>0</v>
          </cell>
          <cell r="U94">
            <v>0.99999999999999989</v>
          </cell>
        </row>
        <row r="95">
          <cell r="Q95">
            <v>447</v>
          </cell>
          <cell r="R95">
            <v>0</v>
          </cell>
          <cell r="S95">
            <v>0</v>
          </cell>
          <cell r="T95">
            <v>0</v>
          </cell>
          <cell r="U95">
            <v>0.99999999999999989</v>
          </cell>
        </row>
        <row r="96">
          <cell r="Q96">
            <v>446</v>
          </cell>
          <cell r="R96">
            <v>0</v>
          </cell>
          <cell r="S96">
            <v>0</v>
          </cell>
          <cell r="T96">
            <v>0</v>
          </cell>
          <cell r="U96">
            <v>0.99999999999999989</v>
          </cell>
        </row>
        <row r="97">
          <cell r="Q97">
            <v>445</v>
          </cell>
          <cell r="R97">
            <v>0</v>
          </cell>
          <cell r="S97">
            <v>0</v>
          </cell>
          <cell r="T97">
            <v>0</v>
          </cell>
          <cell r="U97">
            <v>0.99999999999999989</v>
          </cell>
        </row>
        <row r="98">
          <cell r="Q98">
            <v>444</v>
          </cell>
          <cell r="R98">
            <v>0</v>
          </cell>
          <cell r="S98">
            <v>0</v>
          </cell>
          <cell r="T98">
            <v>0</v>
          </cell>
          <cell r="U98">
            <v>0.99999999999999989</v>
          </cell>
        </row>
        <row r="99">
          <cell r="Q99">
            <v>443</v>
          </cell>
          <cell r="R99">
            <v>0</v>
          </cell>
          <cell r="S99">
            <v>0</v>
          </cell>
          <cell r="T99">
            <v>0</v>
          </cell>
          <cell r="U99">
            <v>0.99999999999999989</v>
          </cell>
        </row>
        <row r="100">
          <cell r="Q100">
            <v>442</v>
          </cell>
          <cell r="R100">
            <v>0</v>
          </cell>
          <cell r="S100">
            <v>0</v>
          </cell>
          <cell r="T100">
            <v>0</v>
          </cell>
          <cell r="U100">
            <v>0.99999999999999989</v>
          </cell>
        </row>
        <row r="101">
          <cell r="Q101">
            <v>441</v>
          </cell>
          <cell r="R101">
            <v>0</v>
          </cell>
          <cell r="S101">
            <v>0</v>
          </cell>
          <cell r="T101">
            <v>0</v>
          </cell>
          <cell r="U101">
            <v>0.99999999999999989</v>
          </cell>
        </row>
        <row r="102">
          <cell r="Q102">
            <v>440</v>
          </cell>
          <cell r="R102">
            <v>0</v>
          </cell>
          <cell r="S102">
            <v>0</v>
          </cell>
          <cell r="T102">
            <v>0</v>
          </cell>
          <cell r="U102">
            <v>0.99999999999999989</v>
          </cell>
        </row>
        <row r="103">
          <cell r="Q103">
            <v>439</v>
          </cell>
          <cell r="R103">
            <v>0</v>
          </cell>
          <cell r="S103">
            <v>0</v>
          </cell>
          <cell r="T103">
            <v>0</v>
          </cell>
          <cell r="U103">
            <v>0.99999999999999989</v>
          </cell>
        </row>
        <row r="104">
          <cell r="Q104">
            <v>438</v>
          </cell>
          <cell r="R104">
            <v>0</v>
          </cell>
          <cell r="S104">
            <v>0</v>
          </cell>
          <cell r="T104">
            <v>0</v>
          </cell>
          <cell r="U104">
            <v>0.99999999999999989</v>
          </cell>
        </row>
        <row r="105">
          <cell r="Q105">
            <v>437</v>
          </cell>
          <cell r="R105">
            <v>0</v>
          </cell>
          <cell r="S105">
            <v>0</v>
          </cell>
          <cell r="T105">
            <v>0</v>
          </cell>
          <cell r="U105">
            <v>0.99999999999999989</v>
          </cell>
        </row>
        <row r="106">
          <cell r="Q106">
            <v>436</v>
          </cell>
          <cell r="R106">
            <v>0</v>
          </cell>
          <cell r="S106">
            <v>0</v>
          </cell>
          <cell r="T106">
            <v>0</v>
          </cell>
          <cell r="U106">
            <v>0.99999999999999989</v>
          </cell>
        </row>
        <row r="107">
          <cell r="Q107">
            <v>435</v>
          </cell>
          <cell r="R107">
            <v>0</v>
          </cell>
          <cell r="S107">
            <v>0</v>
          </cell>
          <cell r="T107">
            <v>0</v>
          </cell>
          <cell r="U107">
            <v>0.99999999999999989</v>
          </cell>
        </row>
        <row r="108">
          <cell r="Q108">
            <v>434</v>
          </cell>
          <cell r="R108">
            <v>0</v>
          </cell>
          <cell r="S108">
            <v>0</v>
          </cell>
          <cell r="T108">
            <v>0</v>
          </cell>
          <cell r="U108">
            <v>0.99999999999999989</v>
          </cell>
        </row>
        <row r="109">
          <cell r="Q109">
            <v>433</v>
          </cell>
          <cell r="R109">
            <v>0</v>
          </cell>
          <cell r="S109">
            <v>0</v>
          </cell>
          <cell r="T109">
            <v>0</v>
          </cell>
          <cell r="U109">
            <v>0.99999999999999989</v>
          </cell>
        </row>
        <row r="110">
          <cell r="Q110">
            <v>432</v>
          </cell>
          <cell r="R110">
            <v>0</v>
          </cell>
          <cell r="S110">
            <v>0</v>
          </cell>
          <cell r="T110">
            <v>0</v>
          </cell>
          <cell r="U110">
            <v>0.99999999999999989</v>
          </cell>
        </row>
        <row r="111">
          <cell r="Q111">
            <v>431</v>
          </cell>
          <cell r="R111">
            <v>0</v>
          </cell>
          <cell r="S111">
            <v>0</v>
          </cell>
          <cell r="T111">
            <v>0</v>
          </cell>
          <cell r="U111">
            <v>0.99999999999999989</v>
          </cell>
        </row>
        <row r="112">
          <cell r="Q112">
            <v>430</v>
          </cell>
          <cell r="R112">
            <v>0</v>
          </cell>
          <cell r="S112">
            <v>0</v>
          </cell>
          <cell r="T112">
            <v>0</v>
          </cell>
          <cell r="U112">
            <v>0.99999999999999989</v>
          </cell>
        </row>
        <row r="113">
          <cell r="Q113">
            <v>429</v>
          </cell>
          <cell r="R113">
            <v>0</v>
          </cell>
          <cell r="S113">
            <v>0</v>
          </cell>
          <cell r="T113">
            <v>0</v>
          </cell>
          <cell r="U113">
            <v>0.99999999999999989</v>
          </cell>
        </row>
        <row r="114">
          <cell r="Q114">
            <v>428</v>
          </cell>
          <cell r="R114">
            <v>0</v>
          </cell>
          <cell r="S114">
            <v>0</v>
          </cell>
          <cell r="T114">
            <v>0</v>
          </cell>
          <cell r="U114">
            <v>0.99999999999999989</v>
          </cell>
        </row>
        <row r="115">
          <cell r="Q115">
            <v>427</v>
          </cell>
          <cell r="R115">
            <v>0</v>
          </cell>
          <cell r="S115">
            <v>0</v>
          </cell>
          <cell r="T115">
            <v>0</v>
          </cell>
          <cell r="U115">
            <v>0.99999999999999989</v>
          </cell>
        </row>
        <row r="116">
          <cell r="Q116">
            <v>426</v>
          </cell>
          <cell r="R116">
            <v>0</v>
          </cell>
          <cell r="S116">
            <v>0</v>
          </cell>
          <cell r="T116">
            <v>0</v>
          </cell>
          <cell r="U116">
            <v>0.99999999999999989</v>
          </cell>
        </row>
        <row r="117">
          <cell r="Q117">
            <v>425</v>
          </cell>
          <cell r="R117">
            <v>0</v>
          </cell>
          <cell r="S117">
            <v>0</v>
          </cell>
          <cell r="T117">
            <v>0</v>
          </cell>
          <cell r="U117">
            <v>0.99999999999999989</v>
          </cell>
        </row>
        <row r="118">
          <cell r="Q118">
            <v>424</v>
          </cell>
          <cell r="R118">
            <v>0</v>
          </cell>
          <cell r="S118">
            <v>0</v>
          </cell>
          <cell r="T118">
            <v>0</v>
          </cell>
          <cell r="U118">
            <v>0.99999999999999989</v>
          </cell>
        </row>
        <row r="119">
          <cell r="Q119">
            <v>423</v>
          </cell>
          <cell r="R119">
            <v>0</v>
          </cell>
          <cell r="S119">
            <v>0</v>
          </cell>
          <cell r="T119">
            <v>0</v>
          </cell>
          <cell r="U119">
            <v>0.99999999999999989</v>
          </cell>
        </row>
        <row r="120">
          <cell r="Q120">
            <v>422</v>
          </cell>
          <cell r="R120">
            <v>0</v>
          </cell>
          <cell r="S120">
            <v>0</v>
          </cell>
          <cell r="T120">
            <v>0</v>
          </cell>
          <cell r="U120">
            <v>0.99999999999999989</v>
          </cell>
        </row>
        <row r="121">
          <cell r="Q121">
            <v>421</v>
          </cell>
          <cell r="R121">
            <v>0</v>
          </cell>
          <cell r="S121">
            <v>0</v>
          </cell>
          <cell r="T121">
            <v>0</v>
          </cell>
          <cell r="U121">
            <v>0.99999999999999989</v>
          </cell>
        </row>
        <row r="122">
          <cell r="Q122">
            <v>420</v>
          </cell>
          <cell r="R122">
            <v>0</v>
          </cell>
          <cell r="S122">
            <v>0</v>
          </cell>
          <cell r="T122">
            <v>0</v>
          </cell>
          <cell r="U122">
            <v>0.99999999999999989</v>
          </cell>
        </row>
        <row r="123">
          <cell r="Q123">
            <v>419</v>
          </cell>
          <cell r="R123">
            <v>0</v>
          </cell>
          <cell r="S123">
            <v>0</v>
          </cell>
          <cell r="T123">
            <v>0</v>
          </cell>
          <cell r="U123">
            <v>0.99999999999999989</v>
          </cell>
        </row>
        <row r="124">
          <cell r="Q124">
            <v>418</v>
          </cell>
          <cell r="R124">
            <v>0</v>
          </cell>
          <cell r="S124">
            <v>0</v>
          </cell>
          <cell r="T124">
            <v>0</v>
          </cell>
          <cell r="U124">
            <v>0.99999999999999989</v>
          </cell>
        </row>
        <row r="125">
          <cell r="Q125">
            <v>417</v>
          </cell>
          <cell r="R125">
            <v>0</v>
          </cell>
          <cell r="S125">
            <v>0</v>
          </cell>
          <cell r="T125">
            <v>0</v>
          </cell>
          <cell r="U125">
            <v>0.99999999999999989</v>
          </cell>
        </row>
        <row r="126">
          <cell r="Q126">
            <v>416</v>
          </cell>
          <cell r="R126">
            <v>0</v>
          </cell>
          <cell r="S126">
            <v>0</v>
          </cell>
          <cell r="T126">
            <v>0</v>
          </cell>
          <cell r="U126">
            <v>0.99999999999999989</v>
          </cell>
        </row>
        <row r="127">
          <cell r="Q127">
            <v>415</v>
          </cell>
          <cell r="R127">
            <v>0</v>
          </cell>
          <cell r="S127">
            <v>0</v>
          </cell>
          <cell r="T127">
            <v>0</v>
          </cell>
          <cell r="U127">
            <v>0.99999999999999989</v>
          </cell>
        </row>
        <row r="128">
          <cell r="Q128">
            <v>414</v>
          </cell>
          <cell r="R128">
            <v>0</v>
          </cell>
          <cell r="S128">
            <v>0</v>
          </cell>
          <cell r="T128">
            <v>0</v>
          </cell>
          <cell r="U128">
            <v>0.99999999999999989</v>
          </cell>
        </row>
        <row r="129">
          <cell r="Q129">
            <v>413</v>
          </cell>
          <cell r="R129">
            <v>0</v>
          </cell>
          <cell r="S129">
            <v>0</v>
          </cell>
          <cell r="T129">
            <v>0</v>
          </cell>
          <cell r="U129">
            <v>0.99999999999999989</v>
          </cell>
        </row>
        <row r="130">
          <cell r="Q130">
            <v>412</v>
          </cell>
          <cell r="R130">
            <v>0</v>
          </cell>
          <cell r="S130">
            <v>0</v>
          </cell>
          <cell r="T130">
            <v>0</v>
          </cell>
          <cell r="U130">
            <v>0.99999999999999989</v>
          </cell>
        </row>
        <row r="131">
          <cell r="Q131">
            <v>411</v>
          </cell>
          <cell r="R131">
            <v>0</v>
          </cell>
          <cell r="S131">
            <v>0</v>
          </cell>
          <cell r="T131">
            <v>0</v>
          </cell>
          <cell r="U131">
            <v>0.99999999999999989</v>
          </cell>
        </row>
        <row r="132">
          <cell r="Q132">
            <v>410</v>
          </cell>
          <cell r="R132">
            <v>0</v>
          </cell>
          <cell r="S132">
            <v>0</v>
          </cell>
          <cell r="T132">
            <v>0</v>
          </cell>
          <cell r="U132">
            <v>0.99999999999999989</v>
          </cell>
        </row>
        <row r="133">
          <cell r="Q133">
            <v>409</v>
          </cell>
          <cell r="R133">
            <v>0</v>
          </cell>
          <cell r="S133">
            <v>0</v>
          </cell>
          <cell r="T133">
            <v>0</v>
          </cell>
          <cell r="U133">
            <v>0.99999999999999989</v>
          </cell>
        </row>
        <row r="134">
          <cell r="Q134">
            <v>408</v>
          </cell>
          <cell r="R134">
            <v>0</v>
          </cell>
          <cell r="S134">
            <v>0</v>
          </cell>
          <cell r="T134">
            <v>0</v>
          </cell>
          <cell r="U134">
            <v>0.99999999999999989</v>
          </cell>
        </row>
        <row r="135">
          <cell r="Q135">
            <v>407</v>
          </cell>
          <cell r="R135">
            <v>0</v>
          </cell>
          <cell r="S135">
            <v>0</v>
          </cell>
          <cell r="T135">
            <v>0</v>
          </cell>
          <cell r="U135">
            <v>0.99999999999999989</v>
          </cell>
        </row>
        <row r="136">
          <cell r="Q136">
            <v>406</v>
          </cell>
          <cell r="R136">
            <v>0</v>
          </cell>
          <cell r="S136">
            <v>0</v>
          </cell>
          <cell r="T136">
            <v>0</v>
          </cell>
          <cell r="U136">
            <v>0.99999999999999989</v>
          </cell>
        </row>
        <row r="137">
          <cell r="Q137">
            <v>405</v>
          </cell>
          <cell r="R137">
            <v>0</v>
          </cell>
          <cell r="S137">
            <v>0</v>
          </cell>
          <cell r="T137">
            <v>0</v>
          </cell>
          <cell r="U137">
            <v>0.99999999999999989</v>
          </cell>
        </row>
        <row r="138">
          <cell r="Q138">
            <v>404</v>
          </cell>
          <cell r="R138">
            <v>0</v>
          </cell>
          <cell r="S138">
            <v>0</v>
          </cell>
          <cell r="T138">
            <v>0</v>
          </cell>
          <cell r="U138">
            <v>0.99999999999999989</v>
          </cell>
        </row>
        <row r="139">
          <cell r="Q139">
            <v>403</v>
          </cell>
          <cell r="R139">
            <v>0</v>
          </cell>
          <cell r="S139">
            <v>0</v>
          </cell>
          <cell r="T139">
            <v>0</v>
          </cell>
          <cell r="U139">
            <v>0.99999999999999989</v>
          </cell>
        </row>
        <row r="140">
          <cell r="Q140">
            <v>402</v>
          </cell>
          <cell r="R140">
            <v>0</v>
          </cell>
          <cell r="S140">
            <v>0</v>
          </cell>
          <cell r="T140">
            <v>0</v>
          </cell>
          <cell r="U140">
            <v>0.99999999999999989</v>
          </cell>
        </row>
        <row r="141">
          <cell r="Q141">
            <v>401</v>
          </cell>
          <cell r="R141">
            <v>0</v>
          </cell>
          <cell r="S141">
            <v>0</v>
          </cell>
          <cell r="T141">
            <v>0</v>
          </cell>
          <cell r="U141">
            <v>0.99999999999999989</v>
          </cell>
        </row>
        <row r="142">
          <cell r="Q142">
            <v>400</v>
          </cell>
          <cell r="R142">
            <v>0</v>
          </cell>
          <cell r="S142">
            <v>0</v>
          </cell>
          <cell r="T142">
            <v>0</v>
          </cell>
          <cell r="U142">
            <v>0.99999999999999989</v>
          </cell>
        </row>
        <row r="143">
          <cell r="Q143">
            <v>399</v>
          </cell>
          <cell r="R143">
            <v>0</v>
          </cell>
          <cell r="S143">
            <v>0</v>
          </cell>
          <cell r="T143">
            <v>0</v>
          </cell>
          <cell r="U143">
            <v>0.99999999999999989</v>
          </cell>
        </row>
        <row r="144">
          <cell r="Q144">
            <v>398</v>
          </cell>
          <cell r="R144">
            <v>0</v>
          </cell>
          <cell r="S144">
            <v>0</v>
          </cell>
          <cell r="T144">
            <v>0</v>
          </cell>
          <cell r="U144">
            <v>0.99999999999999989</v>
          </cell>
        </row>
        <row r="145">
          <cell r="Q145">
            <v>397</v>
          </cell>
          <cell r="R145">
            <v>0</v>
          </cell>
          <cell r="S145">
            <v>0</v>
          </cell>
          <cell r="T145">
            <v>0</v>
          </cell>
          <cell r="U145">
            <v>0.99999999999999989</v>
          </cell>
        </row>
        <row r="146">
          <cell r="Q146">
            <v>396</v>
          </cell>
          <cell r="R146">
            <v>0</v>
          </cell>
          <cell r="S146">
            <v>0</v>
          </cell>
          <cell r="T146">
            <v>0</v>
          </cell>
          <cell r="U146">
            <v>0.99999999999999989</v>
          </cell>
        </row>
        <row r="147">
          <cell r="Q147">
            <v>395</v>
          </cell>
          <cell r="R147">
            <v>0</v>
          </cell>
          <cell r="S147">
            <v>0</v>
          </cell>
          <cell r="T147">
            <v>0</v>
          </cell>
          <cell r="U147">
            <v>0.99999999999999989</v>
          </cell>
        </row>
        <row r="148">
          <cell r="Q148">
            <v>394</v>
          </cell>
          <cell r="R148">
            <v>0</v>
          </cell>
          <cell r="S148">
            <v>0</v>
          </cell>
          <cell r="T148">
            <v>0</v>
          </cell>
          <cell r="U148">
            <v>0.99999999999999989</v>
          </cell>
        </row>
        <row r="149">
          <cell r="Q149">
            <v>393</v>
          </cell>
          <cell r="R149">
            <v>0</v>
          </cell>
          <cell r="S149">
            <v>0</v>
          </cell>
          <cell r="T149">
            <v>0</v>
          </cell>
          <cell r="U149">
            <v>0.99999999999999989</v>
          </cell>
        </row>
        <row r="150">
          <cell r="Q150">
            <v>392</v>
          </cell>
          <cell r="R150">
            <v>0</v>
          </cell>
          <cell r="S150">
            <v>0</v>
          </cell>
          <cell r="T150">
            <v>0</v>
          </cell>
          <cell r="U150">
            <v>0.99999999999999989</v>
          </cell>
        </row>
        <row r="151">
          <cell r="Q151">
            <v>391</v>
          </cell>
          <cell r="R151">
            <v>0</v>
          </cell>
          <cell r="S151">
            <v>0</v>
          </cell>
          <cell r="T151">
            <v>0</v>
          </cell>
          <cell r="U151">
            <v>0.99999999999999989</v>
          </cell>
        </row>
        <row r="152">
          <cell r="Q152">
            <v>390</v>
          </cell>
          <cell r="R152">
            <v>0</v>
          </cell>
          <cell r="S152">
            <v>0</v>
          </cell>
          <cell r="T152">
            <v>0</v>
          </cell>
          <cell r="U152">
            <v>0.99999999999999989</v>
          </cell>
        </row>
        <row r="153">
          <cell r="Q153">
            <v>389</v>
          </cell>
          <cell r="R153">
            <v>0</v>
          </cell>
          <cell r="S153">
            <v>0</v>
          </cell>
          <cell r="T153">
            <v>0</v>
          </cell>
          <cell r="U153">
            <v>0.99999999999999989</v>
          </cell>
        </row>
        <row r="154">
          <cell r="Q154">
            <v>388</v>
          </cell>
          <cell r="R154">
            <v>0</v>
          </cell>
          <cell r="S154">
            <v>0</v>
          </cell>
          <cell r="T154">
            <v>0</v>
          </cell>
          <cell r="U154">
            <v>0.99999999999999989</v>
          </cell>
        </row>
        <row r="155">
          <cell r="Q155">
            <v>387</v>
          </cell>
          <cell r="R155">
            <v>0</v>
          </cell>
          <cell r="S155">
            <v>0</v>
          </cell>
          <cell r="T155">
            <v>0</v>
          </cell>
          <cell r="U155">
            <v>0.99999999999999989</v>
          </cell>
        </row>
        <row r="156">
          <cell r="Q156">
            <v>386</v>
          </cell>
          <cell r="R156">
            <v>0</v>
          </cell>
          <cell r="S156">
            <v>0</v>
          </cell>
          <cell r="T156">
            <v>0</v>
          </cell>
          <cell r="U156">
            <v>0.99999999999999989</v>
          </cell>
        </row>
        <row r="157">
          <cell r="Q157">
            <v>385</v>
          </cell>
          <cell r="R157">
            <v>0</v>
          </cell>
          <cell r="S157">
            <v>0</v>
          </cell>
          <cell r="T157">
            <v>0</v>
          </cell>
          <cell r="U157">
            <v>0.99999999999999989</v>
          </cell>
        </row>
        <row r="158">
          <cell r="Q158">
            <v>384</v>
          </cell>
          <cell r="R158">
            <v>0</v>
          </cell>
          <cell r="S158">
            <v>0</v>
          </cell>
          <cell r="T158">
            <v>0</v>
          </cell>
          <cell r="U158">
            <v>0.99999999999999989</v>
          </cell>
        </row>
        <row r="159">
          <cell r="Q159">
            <v>383</v>
          </cell>
          <cell r="R159">
            <v>0</v>
          </cell>
          <cell r="S159">
            <v>0</v>
          </cell>
          <cell r="T159">
            <v>0</v>
          </cell>
          <cell r="U159">
            <v>0.99999999999999989</v>
          </cell>
        </row>
        <row r="160">
          <cell r="Q160">
            <v>382</v>
          </cell>
          <cell r="R160">
            <v>0</v>
          </cell>
          <cell r="S160">
            <v>0</v>
          </cell>
          <cell r="T160">
            <v>0</v>
          </cell>
          <cell r="U160">
            <v>0.99999999999999989</v>
          </cell>
        </row>
        <row r="161">
          <cell r="Q161">
            <v>381</v>
          </cell>
          <cell r="R161">
            <v>0</v>
          </cell>
          <cell r="S161">
            <v>0</v>
          </cell>
          <cell r="T161">
            <v>0</v>
          </cell>
          <cell r="U161">
            <v>0.99999999999999989</v>
          </cell>
        </row>
        <row r="162">
          <cell r="Q162">
            <v>380</v>
          </cell>
          <cell r="R162">
            <v>0</v>
          </cell>
          <cell r="S162">
            <v>0</v>
          </cell>
          <cell r="T162">
            <v>0</v>
          </cell>
          <cell r="U162">
            <v>0.99999999999999989</v>
          </cell>
        </row>
        <row r="163">
          <cell r="Q163">
            <v>379</v>
          </cell>
          <cell r="R163">
            <v>0</v>
          </cell>
          <cell r="S163">
            <v>0</v>
          </cell>
          <cell r="T163">
            <v>0</v>
          </cell>
          <cell r="U163">
            <v>0.99999999999999989</v>
          </cell>
        </row>
        <row r="164">
          <cell r="Q164">
            <v>378</v>
          </cell>
          <cell r="R164">
            <v>0</v>
          </cell>
          <cell r="S164">
            <v>0</v>
          </cell>
          <cell r="T164">
            <v>0</v>
          </cell>
          <cell r="U164">
            <v>0.99999999999999989</v>
          </cell>
        </row>
        <row r="165">
          <cell r="Q165">
            <v>377</v>
          </cell>
          <cell r="R165">
            <v>0</v>
          </cell>
          <cell r="S165">
            <v>0</v>
          </cell>
          <cell r="T165">
            <v>0</v>
          </cell>
          <cell r="U165">
            <v>0.99999999999999989</v>
          </cell>
        </row>
        <row r="166">
          <cell r="Q166">
            <v>376</v>
          </cell>
          <cell r="R166">
            <v>0</v>
          </cell>
          <cell r="S166">
            <v>0</v>
          </cell>
          <cell r="T166">
            <v>0</v>
          </cell>
          <cell r="U166">
            <v>0.99999999999999989</v>
          </cell>
        </row>
        <row r="167">
          <cell r="Q167">
            <v>375</v>
          </cell>
          <cell r="R167">
            <v>0</v>
          </cell>
          <cell r="S167">
            <v>0</v>
          </cell>
          <cell r="T167">
            <v>0</v>
          </cell>
          <cell r="U167">
            <v>0.99999999999999989</v>
          </cell>
        </row>
        <row r="168">
          <cell r="Q168">
            <v>374</v>
          </cell>
          <cell r="R168">
            <v>0</v>
          </cell>
          <cell r="S168">
            <v>0</v>
          </cell>
          <cell r="T168">
            <v>0</v>
          </cell>
          <cell r="U168">
            <v>0.99999999999999989</v>
          </cell>
        </row>
        <row r="169">
          <cell r="Q169">
            <v>373</v>
          </cell>
          <cell r="R169">
            <v>0</v>
          </cell>
          <cell r="S169">
            <v>0</v>
          </cell>
          <cell r="T169">
            <v>0</v>
          </cell>
          <cell r="U169">
            <v>0.99999999999999989</v>
          </cell>
        </row>
        <row r="170">
          <cell r="Q170">
            <v>372</v>
          </cell>
          <cell r="R170">
            <v>0</v>
          </cell>
          <cell r="S170">
            <v>0</v>
          </cell>
          <cell r="T170">
            <v>0</v>
          </cell>
          <cell r="U170">
            <v>0.99999999999999989</v>
          </cell>
        </row>
        <row r="171">
          <cell r="Q171">
            <v>371</v>
          </cell>
          <cell r="R171">
            <v>0</v>
          </cell>
          <cell r="S171">
            <v>0</v>
          </cell>
          <cell r="T171">
            <v>0</v>
          </cell>
          <cell r="U171">
            <v>0.99999999999999989</v>
          </cell>
        </row>
        <row r="172">
          <cell r="Q172">
            <v>370</v>
          </cell>
          <cell r="R172">
            <v>0</v>
          </cell>
          <cell r="S172">
            <v>0</v>
          </cell>
          <cell r="T172">
            <v>0</v>
          </cell>
          <cell r="U172">
            <v>0.99999999999999989</v>
          </cell>
        </row>
        <row r="173">
          <cell r="Q173">
            <v>369</v>
          </cell>
          <cell r="R173">
            <v>0</v>
          </cell>
          <cell r="S173">
            <v>0</v>
          </cell>
          <cell r="T173">
            <v>0</v>
          </cell>
          <cell r="U173">
            <v>0.99999999999999989</v>
          </cell>
        </row>
        <row r="174">
          <cell r="Q174">
            <v>368</v>
          </cell>
          <cell r="R174">
            <v>0</v>
          </cell>
          <cell r="S174">
            <v>0</v>
          </cell>
          <cell r="T174">
            <v>0</v>
          </cell>
          <cell r="U174">
            <v>0.99999999999999989</v>
          </cell>
        </row>
        <row r="175">
          <cell r="Q175">
            <v>367</v>
          </cell>
          <cell r="R175">
            <v>0</v>
          </cell>
          <cell r="S175">
            <v>0</v>
          </cell>
          <cell r="T175">
            <v>0</v>
          </cell>
          <cell r="U175">
            <v>0.99999999999999989</v>
          </cell>
        </row>
        <row r="176">
          <cell r="Q176">
            <v>366</v>
          </cell>
          <cell r="R176">
            <v>0</v>
          </cell>
          <cell r="S176">
            <v>0</v>
          </cell>
          <cell r="T176">
            <v>0</v>
          </cell>
          <cell r="U176">
            <v>0.99999999999999989</v>
          </cell>
        </row>
        <row r="177">
          <cell r="Q177">
            <v>365</v>
          </cell>
          <cell r="R177">
            <v>0</v>
          </cell>
          <cell r="S177">
            <v>0</v>
          </cell>
          <cell r="T177">
            <v>0</v>
          </cell>
          <cell r="U177">
            <v>0.99999999999999989</v>
          </cell>
        </row>
        <row r="178">
          <cell r="Q178">
            <v>364</v>
          </cell>
          <cell r="R178">
            <v>0</v>
          </cell>
          <cell r="S178">
            <v>0</v>
          </cell>
          <cell r="T178">
            <v>0</v>
          </cell>
          <cell r="U178">
            <v>0.99999999999999989</v>
          </cell>
        </row>
        <row r="179">
          <cell r="Q179">
            <v>363</v>
          </cell>
          <cell r="R179">
            <v>0</v>
          </cell>
          <cell r="S179">
            <v>0</v>
          </cell>
          <cell r="T179">
            <v>0</v>
          </cell>
          <cell r="U179">
            <v>0.99999999999999989</v>
          </cell>
        </row>
        <row r="180">
          <cell r="Q180">
            <v>362</v>
          </cell>
          <cell r="R180">
            <v>0</v>
          </cell>
          <cell r="S180">
            <v>0</v>
          </cell>
          <cell r="T180">
            <v>0</v>
          </cell>
          <cell r="U180">
            <v>0.99999999999999989</v>
          </cell>
        </row>
        <row r="181">
          <cell r="Q181">
            <v>361</v>
          </cell>
          <cell r="R181">
            <v>0</v>
          </cell>
          <cell r="S181">
            <v>0</v>
          </cell>
          <cell r="T181">
            <v>0</v>
          </cell>
          <cell r="U181">
            <v>0.99999999999999989</v>
          </cell>
        </row>
        <row r="182">
          <cell r="Q182">
            <v>360</v>
          </cell>
          <cell r="R182">
            <v>0</v>
          </cell>
          <cell r="S182">
            <v>0</v>
          </cell>
          <cell r="T182">
            <v>0</v>
          </cell>
          <cell r="U182">
            <v>0.99999999999999989</v>
          </cell>
        </row>
        <row r="183">
          <cell r="Q183">
            <v>359</v>
          </cell>
          <cell r="R183">
            <v>0</v>
          </cell>
          <cell r="S183">
            <v>0</v>
          </cell>
          <cell r="T183">
            <v>0</v>
          </cell>
          <cell r="U183">
            <v>0.99999999999999989</v>
          </cell>
        </row>
        <row r="184">
          <cell r="Q184">
            <v>358</v>
          </cell>
          <cell r="R184">
            <v>0</v>
          </cell>
          <cell r="S184">
            <v>0</v>
          </cell>
          <cell r="T184">
            <v>0</v>
          </cell>
          <cell r="U184">
            <v>0.99999999999999989</v>
          </cell>
        </row>
        <row r="185">
          <cell r="Q185">
            <v>357</v>
          </cell>
          <cell r="R185">
            <v>0</v>
          </cell>
          <cell r="S185">
            <v>0</v>
          </cell>
          <cell r="T185">
            <v>0</v>
          </cell>
          <cell r="U185">
            <v>0.99999999999999989</v>
          </cell>
        </row>
        <row r="186">
          <cell r="Q186">
            <v>356</v>
          </cell>
          <cell r="R186">
            <v>0</v>
          </cell>
          <cell r="S186">
            <v>0</v>
          </cell>
          <cell r="T186">
            <v>0</v>
          </cell>
          <cell r="U186">
            <v>0.99999999999999989</v>
          </cell>
        </row>
        <row r="187">
          <cell r="Q187">
            <v>355</v>
          </cell>
          <cell r="R187">
            <v>0</v>
          </cell>
          <cell r="S187">
            <v>0</v>
          </cell>
          <cell r="T187">
            <v>0</v>
          </cell>
          <cell r="U187">
            <v>0.99999999999999989</v>
          </cell>
        </row>
        <row r="188">
          <cell r="Q188">
            <v>354</v>
          </cell>
          <cell r="R188">
            <v>0</v>
          </cell>
          <cell r="S188">
            <v>0</v>
          </cell>
          <cell r="T188">
            <v>0</v>
          </cell>
          <cell r="U188">
            <v>0.99999999999999989</v>
          </cell>
        </row>
        <row r="189">
          <cell r="Q189">
            <v>353</v>
          </cell>
          <cell r="R189">
            <v>0</v>
          </cell>
          <cell r="S189">
            <v>0</v>
          </cell>
          <cell r="T189">
            <v>0</v>
          </cell>
          <cell r="U189">
            <v>0.99999999999999989</v>
          </cell>
        </row>
        <row r="190">
          <cell r="Q190">
            <v>352</v>
          </cell>
          <cell r="R190">
            <v>0</v>
          </cell>
          <cell r="S190">
            <v>0</v>
          </cell>
          <cell r="T190">
            <v>0</v>
          </cell>
          <cell r="U190">
            <v>0.99999999999999989</v>
          </cell>
        </row>
        <row r="191">
          <cell r="Q191">
            <v>351</v>
          </cell>
          <cell r="R191">
            <v>0</v>
          </cell>
          <cell r="S191">
            <v>0</v>
          </cell>
          <cell r="T191">
            <v>0</v>
          </cell>
          <cell r="U191">
            <v>0.99999999999999989</v>
          </cell>
        </row>
        <row r="192">
          <cell r="Q192">
            <v>350</v>
          </cell>
          <cell r="R192">
            <v>0</v>
          </cell>
          <cell r="S192">
            <v>0</v>
          </cell>
          <cell r="T192">
            <v>0</v>
          </cell>
          <cell r="U192">
            <v>0.99999999999999989</v>
          </cell>
        </row>
        <row r="193">
          <cell r="Q193">
            <v>349</v>
          </cell>
          <cell r="R193">
            <v>0</v>
          </cell>
          <cell r="S193">
            <v>0</v>
          </cell>
          <cell r="T193">
            <v>0</v>
          </cell>
          <cell r="U193">
            <v>0.99999999999999989</v>
          </cell>
        </row>
        <row r="194">
          <cell r="Q194">
            <v>348</v>
          </cell>
          <cell r="R194">
            <v>0</v>
          </cell>
          <cell r="S194">
            <v>0</v>
          </cell>
          <cell r="T194">
            <v>0</v>
          </cell>
          <cell r="U194">
            <v>0.99999999999999989</v>
          </cell>
        </row>
        <row r="195">
          <cell r="Q195">
            <v>347</v>
          </cell>
          <cell r="R195">
            <v>0</v>
          </cell>
          <cell r="S195">
            <v>0</v>
          </cell>
          <cell r="T195">
            <v>0</v>
          </cell>
          <cell r="U195">
            <v>0.99999999999999989</v>
          </cell>
        </row>
        <row r="196">
          <cell r="Q196">
            <v>346</v>
          </cell>
          <cell r="R196">
            <v>0</v>
          </cell>
          <cell r="S196">
            <v>0</v>
          </cell>
          <cell r="T196">
            <v>0</v>
          </cell>
          <cell r="U196">
            <v>0.99999999999999989</v>
          </cell>
        </row>
        <row r="197">
          <cell r="Q197">
            <v>345</v>
          </cell>
          <cell r="R197">
            <v>0</v>
          </cell>
          <cell r="S197">
            <v>0</v>
          </cell>
          <cell r="T197">
            <v>0</v>
          </cell>
          <cell r="U197">
            <v>0.99999999999999989</v>
          </cell>
        </row>
        <row r="198">
          <cell r="Q198">
            <v>344</v>
          </cell>
          <cell r="R198">
            <v>0</v>
          </cell>
          <cell r="S198">
            <v>0</v>
          </cell>
          <cell r="T198">
            <v>0</v>
          </cell>
          <cell r="U198">
            <v>0.99999999999999989</v>
          </cell>
        </row>
        <row r="199">
          <cell r="Q199">
            <v>343</v>
          </cell>
          <cell r="R199">
            <v>0</v>
          </cell>
          <cell r="S199">
            <v>0</v>
          </cell>
          <cell r="T199">
            <v>0</v>
          </cell>
          <cell r="U199">
            <v>0.99999999999999989</v>
          </cell>
        </row>
        <row r="200">
          <cell r="Q200">
            <v>342</v>
          </cell>
          <cell r="R200">
            <v>0</v>
          </cell>
          <cell r="S200">
            <v>0</v>
          </cell>
          <cell r="T200">
            <v>0</v>
          </cell>
          <cell r="U200">
            <v>0.99999999999999989</v>
          </cell>
        </row>
        <row r="201">
          <cell r="Q201">
            <v>341</v>
          </cell>
          <cell r="R201">
            <v>0</v>
          </cell>
          <cell r="S201">
            <v>0</v>
          </cell>
          <cell r="T201">
            <v>0</v>
          </cell>
          <cell r="U201">
            <v>0.99999999999999989</v>
          </cell>
        </row>
        <row r="202">
          <cell r="Q202">
            <v>340</v>
          </cell>
          <cell r="R202">
            <v>0</v>
          </cell>
          <cell r="S202">
            <v>0</v>
          </cell>
          <cell r="T202">
            <v>0</v>
          </cell>
          <cell r="U202">
            <v>0.99999999999999989</v>
          </cell>
        </row>
        <row r="203">
          <cell r="Q203">
            <v>339</v>
          </cell>
          <cell r="R203">
            <v>0</v>
          </cell>
          <cell r="S203">
            <v>0</v>
          </cell>
          <cell r="T203">
            <v>0</v>
          </cell>
          <cell r="U203">
            <v>0.99999999999999989</v>
          </cell>
        </row>
        <row r="204">
          <cell r="Q204">
            <v>338</v>
          </cell>
          <cell r="R204">
            <v>0</v>
          </cell>
          <cell r="S204">
            <v>0</v>
          </cell>
          <cell r="T204">
            <v>0</v>
          </cell>
          <cell r="U204">
            <v>0.99999999999999989</v>
          </cell>
        </row>
        <row r="205">
          <cell r="Q205">
            <v>337</v>
          </cell>
          <cell r="R205">
            <v>0</v>
          </cell>
          <cell r="S205">
            <v>0</v>
          </cell>
          <cell r="T205">
            <v>0</v>
          </cell>
          <cell r="U205">
            <v>0.99999999999999989</v>
          </cell>
        </row>
        <row r="206">
          <cell r="Q206">
            <v>336</v>
          </cell>
          <cell r="R206">
            <v>0</v>
          </cell>
          <cell r="S206">
            <v>0</v>
          </cell>
          <cell r="T206">
            <v>0</v>
          </cell>
          <cell r="U206">
            <v>0.99999999999999989</v>
          </cell>
        </row>
        <row r="207">
          <cell r="Q207">
            <v>335</v>
          </cell>
          <cell r="R207">
            <v>0</v>
          </cell>
          <cell r="S207">
            <v>0</v>
          </cell>
          <cell r="T207">
            <v>0</v>
          </cell>
          <cell r="U207">
            <v>0.99999999999999989</v>
          </cell>
        </row>
        <row r="208">
          <cell r="Q208">
            <v>334</v>
          </cell>
          <cell r="R208">
            <v>0</v>
          </cell>
          <cell r="S208">
            <v>0</v>
          </cell>
          <cell r="T208">
            <v>0</v>
          </cell>
          <cell r="U208">
            <v>0.99999999999999989</v>
          </cell>
        </row>
        <row r="209">
          <cell r="Q209">
            <v>333</v>
          </cell>
          <cell r="R209">
            <v>0</v>
          </cell>
          <cell r="S209">
            <v>0</v>
          </cell>
          <cell r="T209">
            <v>0</v>
          </cell>
          <cell r="U209">
            <v>0.99999999999999989</v>
          </cell>
        </row>
        <row r="210">
          <cell r="Q210">
            <v>332</v>
          </cell>
          <cell r="R210">
            <v>0</v>
          </cell>
          <cell r="S210">
            <v>0</v>
          </cell>
          <cell r="T210">
            <v>0</v>
          </cell>
          <cell r="U210">
            <v>0.99999999999999989</v>
          </cell>
        </row>
        <row r="211">
          <cell r="Q211">
            <v>331</v>
          </cell>
          <cell r="R211">
            <v>0</v>
          </cell>
          <cell r="S211">
            <v>0</v>
          </cell>
          <cell r="T211">
            <v>0</v>
          </cell>
          <cell r="U211">
            <v>0.99999999999999989</v>
          </cell>
        </row>
        <row r="212">
          <cell r="Q212">
            <v>330</v>
          </cell>
          <cell r="R212">
            <v>0</v>
          </cell>
          <cell r="S212">
            <v>0</v>
          </cell>
          <cell r="T212">
            <v>0</v>
          </cell>
          <cell r="U212">
            <v>0.99999999999999989</v>
          </cell>
        </row>
        <row r="213">
          <cell r="Q213">
            <v>329</v>
          </cell>
          <cell r="R213">
            <v>0</v>
          </cell>
          <cell r="S213">
            <v>0</v>
          </cell>
          <cell r="T213">
            <v>0</v>
          </cell>
          <cell r="U213">
            <v>0.99999999999999989</v>
          </cell>
        </row>
        <row r="214">
          <cell r="Q214">
            <v>328</v>
          </cell>
          <cell r="R214">
            <v>0</v>
          </cell>
          <cell r="S214">
            <v>0</v>
          </cell>
          <cell r="T214">
            <v>0</v>
          </cell>
          <cell r="U214">
            <v>0.99999999999999989</v>
          </cell>
        </row>
        <row r="215">
          <cell r="Q215">
            <v>327</v>
          </cell>
          <cell r="R215">
            <v>0</v>
          </cell>
          <cell r="S215">
            <v>0</v>
          </cell>
          <cell r="T215">
            <v>0</v>
          </cell>
          <cell r="U215">
            <v>0.99999999999999989</v>
          </cell>
        </row>
        <row r="216">
          <cell r="Q216">
            <v>326</v>
          </cell>
          <cell r="R216">
            <v>0</v>
          </cell>
          <cell r="S216">
            <v>0</v>
          </cell>
          <cell r="T216">
            <v>0</v>
          </cell>
          <cell r="U216">
            <v>0.99999999999999989</v>
          </cell>
        </row>
        <row r="217">
          <cell r="Q217">
            <v>325</v>
          </cell>
          <cell r="R217">
            <v>0</v>
          </cell>
          <cell r="S217">
            <v>0</v>
          </cell>
          <cell r="T217">
            <v>0</v>
          </cell>
          <cell r="U217">
            <v>0.99999999999999989</v>
          </cell>
        </row>
        <row r="218">
          <cell r="Q218">
            <v>324</v>
          </cell>
          <cell r="R218">
            <v>0</v>
          </cell>
          <cell r="S218">
            <v>0</v>
          </cell>
          <cell r="T218">
            <v>0</v>
          </cell>
          <cell r="U218">
            <v>0.99999999999999989</v>
          </cell>
        </row>
        <row r="219">
          <cell r="Q219">
            <v>323</v>
          </cell>
          <cell r="R219">
            <v>0</v>
          </cell>
          <cell r="S219">
            <v>0</v>
          </cell>
          <cell r="T219">
            <v>0</v>
          </cell>
          <cell r="U219">
            <v>0.99999999999999989</v>
          </cell>
        </row>
        <row r="220">
          <cell r="Q220">
            <v>322</v>
          </cell>
          <cell r="R220">
            <v>0</v>
          </cell>
          <cell r="S220">
            <v>0</v>
          </cell>
          <cell r="T220">
            <v>0</v>
          </cell>
          <cell r="U220">
            <v>0.99999999999999989</v>
          </cell>
        </row>
        <row r="221">
          <cell r="Q221">
            <v>321</v>
          </cell>
          <cell r="R221">
            <v>0</v>
          </cell>
          <cell r="S221">
            <v>0</v>
          </cell>
          <cell r="T221">
            <v>0</v>
          </cell>
          <cell r="U221">
            <v>0.99999999999999989</v>
          </cell>
        </row>
        <row r="222">
          <cell r="Q222">
            <v>320</v>
          </cell>
          <cell r="R222">
            <v>0</v>
          </cell>
          <cell r="S222">
            <v>0</v>
          </cell>
          <cell r="T222">
            <v>0</v>
          </cell>
          <cell r="U222">
            <v>0.99999999999999989</v>
          </cell>
        </row>
        <row r="223">
          <cell r="Q223">
            <v>319</v>
          </cell>
          <cell r="R223">
            <v>0</v>
          </cell>
          <cell r="S223">
            <v>0</v>
          </cell>
          <cell r="T223">
            <v>0</v>
          </cell>
          <cell r="U223">
            <v>0.99999999999999989</v>
          </cell>
        </row>
        <row r="224">
          <cell r="Q224">
            <v>318</v>
          </cell>
          <cell r="R224">
            <v>0</v>
          </cell>
          <cell r="S224">
            <v>0</v>
          </cell>
          <cell r="T224">
            <v>0</v>
          </cell>
          <cell r="U224">
            <v>0.99999999999999989</v>
          </cell>
        </row>
        <row r="225">
          <cell r="Q225">
            <v>317</v>
          </cell>
          <cell r="R225">
            <v>0</v>
          </cell>
          <cell r="S225">
            <v>0</v>
          </cell>
          <cell r="T225">
            <v>0</v>
          </cell>
          <cell r="U225">
            <v>0.99999999999999989</v>
          </cell>
        </row>
        <row r="226">
          <cell r="Q226">
            <v>316</v>
          </cell>
          <cell r="R226">
            <v>0</v>
          </cell>
          <cell r="S226">
            <v>0</v>
          </cell>
          <cell r="T226">
            <v>0</v>
          </cell>
          <cell r="U226">
            <v>0.99999999999999989</v>
          </cell>
        </row>
        <row r="227">
          <cell r="Q227">
            <v>315</v>
          </cell>
          <cell r="R227">
            <v>0</v>
          </cell>
          <cell r="S227">
            <v>0</v>
          </cell>
          <cell r="T227">
            <v>0</v>
          </cell>
          <cell r="U227">
            <v>0.99999999999999989</v>
          </cell>
        </row>
        <row r="228">
          <cell r="Q228">
            <v>314</v>
          </cell>
          <cell r="R228">
            <v>0</v>
          </cell>
          <cell r="S228">
            <v>0</v>
          </cell>
          <cell r="T228">
            <v>0</v>
          </cell>
          <cell r="U228">
            <v>0.99999999999999989</v>
          </cell>
        </row>
        <row r="229">
          <cell r="Q229">
            <v>313</v>
          </cell>
          <cell r="R229">
            <v>0</v>
          </cell>
          <cell r="S229">
            <v>0</v>
          </cell>
          <cell r="T229">
            <v>0</v>
          </cell>
          <cell r="U229">
            <v>0.99999999999999989</v>
          </cell>
        </row>
        <row r="230">
          <cell r="Q230">
            <v>312</v>
          </cell>
          <cell r="R230">
            <v>0</v>
          </cell>
          <cell r="S230">
            <v>0</v>
          </cell>
          <cell r="T230">
            <v>0</v>
          </cell>
          <cell r="U230">
            <v>0.99999999999999989</v>
          </cell>
        </row>
        <row r="231">
          <cell r="Q231">
            <v>311</v>
          </cell>
          <cell r="R231">
            <v>0</v>
          </cell>
          <cell r="S231">
            <v>0</v>
          </cell>
          <cell r="T231">
            <v>0</v>
          </cell>
          <cell r="U231">
            <v>0.99999999999999989</v>
          </cell>
        </row>
        <row r="232">
          <cell r="Q232">
            <v>310</v>
          </cell>
          <cell r="R232">
            <v>0</v>
          </cell>
          <cell r="S232">
            <v>0</v>
          </cell>
          <cell r="T232">
            <v>0</v>
          </cell>
          <cell r="U232">
            <v>0.99999999999999989</v>
          </cell>
        </row>
        <row r="233">
          <cell r="Q233">
            <v>309</v>
          </cell>
          <cell r="R233">
            <v>0</v>
          </cell>
          <cell r="S233">
            <v>0</v>
          </cell>
          <cell r="T233">
            <v>0</v>
          </cell>
          <cell r="U233">
            <v>0.99999999999999989</v>
          </cell>
        </row>
        <row r="234">
          <cell r="Q234">
            <v>308</v>
          </cell>
          <cell r="R234">
            <v>0</v>
          </cell>
          <cell r="S234">
            <v>0</v>
          </cell>
          <cell r="T234">
            <v>0</v>
          </cell>
          <cell r="U234">
            <v>0.99999999999999989</v>
          </cell>
        </row>
        <row r="235">
          <cell r="Q235">
            <v>307</v>
          </cell>
          <cell r="R235">
            <v>0</v>
          </cell>
          <cell r="S235">
            <v>0</v>
          </cell>
          <cell r="T235">
            <v>0</v>
          </cell>
          <cell r="U235">
            <v>0.99999999999999989</v>
          </cell>
        </row>
        <row r="236">
          <cell r="Q236">
            <v>306</v>
          </cell>
          <cell r="R236">
            <v>0</v>
          </cell>
          <cell r="S236">
            <v>0</v>
          </cell>
          <cell r="T236">
            <v>0</v>
          </cell>
          <cell r="U236">
            <v>0.99999999999999989</v>
          </cell>
        </row>
        <row r="237">
          <cell r="Q237">
            <v>305</v>
          </cell>
          <cell r="R237">
            <v>0</v>
          </cell>
          <cell r="S237">
            <v>0</v>
          </cell>
          <cell r="T237">
            <v>0</v>
          </cell>
          <cell r="U237">
            <v>0.99999999999999989</v>
          </cell>
        </row>
        <row r="238">
          <cell r="Q238">
            <v>304</v>
          </cell>
          <cell r="R238">
            <v>0</v>
          </cell>
          <cell r="S238">
            <v>0</v>
          </cell>
          <cell r="T238">
            <v>0</v>
          </cell>
          <cell r="U238">
            <v>0.99999999999999989</v>
          </cell>
        </row>
        <row r="239">
          <cell r="Q239">
            <v>303</v>
          </cell>
          <cell r="R239">
            <v>0</v>
          </cell>
          <cell r="S239">
            <v>0</v>
          </cell>
          <cell r="T239">
            <v>0</v>
          </cell>
          <cell r="U239">
            <v>0.99999999999999989</v>
          </cell>
        </row>
        <row r="240">
          <cell r="Q240">
            <v>302</v>
          </cell>
          <cell r="R240">
            <v>0</v>
          </cell>
          <cell r="S240">
            <v>0</v>
          </cell>
          <cell r="T240">
            <v>0</v>
          </cell>
          <cell r="U240">
            <v>0.99999999999999989</v>
          </cell>
        </row>
        <row r="241">
          <cell r="Q241">
            <v>301</v>
          </cell>
          <cell r="R241">
            <v>0</v>
          </cell>
          <cell r="S241">
            <v>0</v>
          </cell>
          <cell r="T241">
            <v>0</v>
          </cell>
          <cell r="U241">
            <v>0.99999999999999989</v>
          </cell>
        </row>
        <row r="242">
          <cell r="Q242">
            <v>300</v>
          </cell>
          <cell r="R242">
            <v>0</v>
          </cell>
          <cell r="S242">
            <v>0</v>
          </cell>
          <cell r="T242">
            <v>0</v>
          </cell>
          <cell r="U242">
            <v>0.99999999999999989</v>
          </cell>
        </row>
        <row r="243">
          <cell r="Q243">
            <v>299</v>
          </cell>
          <cell r="R243">
            <v>0</v>
          </cell>
          <cell r="S243">
            <v>0</v>
          </cell>
          <cell r="T243">
            <v>0</v>
          </cell>
          <cell r="U243">
            <v>0.99999999999999989</v>
          </cell>
        </row>
        <row r="244">
          <cell r="Q244">
            <v>298</v>
          </cell>
          <cell r="R244">
            <v>0</v>
          </cell>
          <cell r="S244">
            <v>0</v>
          </cell>
          <cell r="T244">
            <v>0</v>
          </cell>
          <cell r="U244">
            <v>0.99999999999999989</v>
          </cell>
        </row>
        <row r="245">
          <cell r="Q245">
            <v>297</v>
          </cell>
          <cell r="R245">
            <v>0</v>
          </cell>
          <cell r="S245">
            <v>0</v>
          </cell>
          <cell r="T245">
            <v>0</v>
          </cell>
          <cell r="U245">
            <v>0.99999999999999989</v>
          </cell>
        </row>
        <row r="246">
          <cell r="Q246">
            <v>296</v>
          </cell>
          <cell r="R246">
            <v>0</v>
          </cell>
          <cell r="S246">
            <v>0</v>
          </cell>
          <cell r="T246">
            <v>0</v>
          </cell>
          <cell r="U246">
            <v>0.99999999999999989</v>
          </cell>
        </row>
        <row r="247">
          <cell r="Q247">
            <v>295</v>
          </cell>
          <cell r="R247">
            <v>0</v>
          </cell>
          <cell r="S247">
            <v>0</v>
          </cell>
          <cell r="T247">
            <v>0</v>
          </cell>
          <cell r="U247">
            <v>0.99999999999999989</v>
          </cell>
        </row>
        <row r="248">
          <cell r="Q248">
            <v>294</v>
          </cell>
          <cell r="R248">
            <v>0</v>
          </cell>
          <cell r="S248">
            <v>0</v>
          </cell>
          <cell r="T248">
            <v>0</v>
          </cell>
          <cell r="U248">
            <v>0.99999999999999989</v>
          </cell>
        </row>
        <row r="249">
          <cell r="Q249">
            <v>293</v>
          </cell>
          <cell r="R249">
            <v>0</v>
          </cell>
          <cell r="S249">
            <v>0</v>
          </cell>
          <cell r="T249">
            <v>0</v>
          </cell>
          <cell r="U249">
            <v>0.99999999999999989</v>
          </cell>
        </row>
        <row r="250">
          <cell r="Q250">
            <v>292</v>
          </cell>
          <cell r="R250">
            <v>0</v>
          </cell>
          <cell r="S250">
            <v>0</v>
          </cell>
          <cell r="T250">
            <v>0</v>
          </cell>
          <cell r="U250">
            <v>0.99999999999999989</v>
          </cell>
        </row>
        <row r="251">
          <cell r="Q251">
            <v>291</v>
          </cell>
          <cell r="R251">
            <v>0</v>
          </cell>
          <cell r="S251">
            <v>0</v>
          </cell>
          <cell r="T251">
            <v>0</v>
          </cell>
          <cell r="U251">
            <v>0.99999999999999989</v>
          </cell>
        </row>
        <row r="252">
          <cell r="Q252">
            <v>290</v>
          </cell>
          <cell r="R252">
            <v>0</v>
          </cell>
          <cell r="S252">
            <v>0</v>
          </cell>
          <cell r="T252">
            <v>0</v>
          </cell>
          <cell r="U252">
            <v>0.99999999999999989</v>
          </cell>
        </row>
        <row r="253">
          <cell r="Q253">
            <v>289</v>
          </cell>
          <cell r="R253">
            <v>0</v>
          </cell>
          <cell r="S253">
            <v>0</v>
          </cell>
          <cell r="T253">
            <v>0</v>
          </cell>
          <cell r="U253">
            <v>0.99999999999999989</v>
          </cell>
        </row>
        <row r="254">
          <cell r="Q254">
            <v>288</v>
          </cell>
          <cell r="R254">
            <v>0</v>
          </cell>
          <cell r="S254">
            <v>0</v>
          </cell>
          <cell r="T254">
            <v>0</v>
          </cell>
          <cell r="U254">
            <v>0.99999999999999989</v>
          </cell>
        </row>
        <row r="255">
          <cell r="Q255">
            <v>287</v>
          </cell>
          <cell r="R255">
            <v>0</v>
          </cell>
          <cell r="S255">
            <v>0</v>
          </cell>
          <cell r="T255">
            <v>0</v>
          </cell>
          <cell r="U255">
            <v>0.99999999999999989</v>
          </cell>
        </row>
        <row r="256">
          <cell r="Q256">
            <v>286</v>
          </cell>
          <cell r="R256">
            <v>0</v>
          </cell>
          <cell r="S256">
            <v>0</v>
          </cell>
          <cell r="T256">
            <v>0</v>
          </cell>
          <cell r="U256">
            <v>0.99999999999999989</v>
          </cell>
        </row>
        <row r="257">
          <cell r="Q257">
            <v>285</v>
          </cell>
          <cell r="R257">
            <v>0</v>
          </cell>
          <cell r="S257">
            <v>0</v>
          </cell>
          <cell r="T257">
            <v>0</v>
          </cell>
          <cell r="U257">
            <v>0.99999999999999989</v>
          </cell>
        </row>
        <row r="258">
          <cell r="Q258">
            <v>284</v>
          </cell>
          <cell r="R258">
            <v>0</v>
          </cell>
          <cell r="S258">
            <v>0</v>
          </cell>
          <cell r="T258">
            <v>0</v>
          </cell>
          <cell r="U258">
            <v>0.99999999999999989</v>
          </cell>
        </row>
        <row r="259">
          <cell r="Q259">
            <v>283</v>
          </cell>
          <cell r="R259">
            <v>0</v>
          </cell>
          <cell r="S259">
            <v>0</v>
          </cell>
          <cell r="T259">
            <v>0</v>
          </cell>
          <cell r="U259">
            <v>0.99999999999999989</v>
          </cell>
        </row>
        <row r="260">
          <cell r="Q260">
            <v>282</v>
          </cell>
          <cell r="R260">
            <v>0</v>
          </cell>
          <cell r="S260">
            <v>0</v>
          </cell>
          <cell r="T260">
            <v>0</v>
          </cell>
          <cell r="U260">
            <v>0.99999999999999989</v>
          </cell>
        </row>
        <row r="261">
          <cell r="Q261">
            <v>281</v>
          </cell>
          <cell r="R261">
            <v>0</v>
          </cell>
          <cell r="S261">
            <v>0</v>
          </cell>
          <cell r="T261">
            <v>0</v>
          </cell>
          <cell r="U261">
            <v>0.99999999999999989</v>
          </cell>
        </row>
        <row r="262">
          <cell r="Q262">
            <v>280</v>
          </cell>
          <cell r="R262">
            <v>0</v>
          </cell>
          <cell r="S262">
            <v>0</v>
          </cell>
          <cell r="T262">
            <v>0</v>
          </cell>
          <cell r="U262">
            <v>0.99999999999999989</v>
          </cell>
        </row>
        <row r="263">
          <cell r="Q263">
            <v>279</v>
          </cell>
          <cell r="R263">
            <v>0</v>
          </cell>
          <cell r="S263">
            <v>0</v>
          </cell>
          <cell r="T263">
            <v>0</v>
          </cell>
          <cell r="U263">
            <v>0.99999999999999989</v>
          </cell>
        </row>
        <row r="264">
          <cell r="Q264">
            <v>278</v>
          </cell>
          <cell r="R264">
            <v>0</v>
          </cell>
          <cell r="S264">
            <v>0</v>
          </cell>
          <cell r="T264">
            <v>0</v>
          </cell>
          <cell r="U264">
            <v>0.99999999999999989</v>
          </cell>
        </row>
        <row r="265">
          <cell r="Q265">
            <v>277</v>
          </cell>
          <cell r="R265">
            <v>0</v>
          </cell>
          <cell r="S265">
            <v>0</v>
          </cell>
          <cell r="T265">
            <v>0</v>
          </cell>
          <cell r="U265">
            <v>0.99999999999999989</v>
          </cell>
        </row>
        <row r="266">
          <cell r="Q266">
            <v>276</v>
          </cell>
          <cell r="R266">
            <v>0</v>
          </cell>
          <cell r="S266">
            <v>0</v>
          </cell>
          <cell r="T266">
            <v>0</v>
          </cell>
          <cell r="U266">
            <v>0.99999999999999989</v>
          </cell>
        </row>
        <row r="267">
          <cell r="Q267">
            <v>275</v>
          </cell>
          <cell r="R267">
            <v>0</v>
          </cell>
          <cell r="S267">
            <v>0</v>
          </cell>
          <cell r="T267">
            <v>0</v>
          </cell>
          <cell r="U267">
            <v>0.99999999999999989</v>
          </cell>
        </row>
        <row r="268">
          <cell r="Q268">
            <v>274</v>
          </cell>
          <cell r="R268">
            <v>0</v>
          </cell>
          <cell r="S268">
            <v>0</v>
          </cell>
          <cell r="T268">
            <v>0</v>
          </cell>
          <cell r="U268">
            <v>0.99999999999999989</v>
          </cell>
        </row>
        <row r="269">
          <cell r="Q269">
            <v>273</v>
          </cell>
          <cell r="R269">
            <v>0</v>
          </cell>
          <cell r="S269">
            <v>0</v>
          </cell>
          <cell r="T269">
            <v>0</v>
          </cell>
          <cell r="U269">
            <v>0.99999999999999989</v>
          </cell>
        </row>
        <row r="270">
          <cell r="Q270">
            <v>272</v>
          </cell>
          <cell r="R270">
            <v>0</v>
          </cell>
          <cell r="S270">
            <v>0</v>
          </cell>
          <cell r="T270">
            <v>0</v>
          </cell>
          <cell r="U270">
            <v>0.99999999999999989</v>
          </cell>
        </row>
        <row r="271">
          <cell r="Q271">
            <v>271</v>
          </cell>
          <cell r="R271">
            <v>0</v>
          </cell>
          <cell r="S271">
            <v>0</v>
          </cell>
          <cell r="T271">
            <v>0</v>
          </cell>
          <cell r="U271">
            <v>0.99999999999999989</v>
          </cell>
        </row>
        <row r="272">
          <cell r="Q272">
            <v>270</v>
          </cell>
          <cell r="R272">
            <v>0</v>
          </cell>
          <cell r="S272">
            <v>0</v>
          </cell>
          <cell r="T272">
            <v>0</v>
          </cell>
          <cell r="U272">
            <v>0.99999999999999989</v>
          </cell>
        </row>
        <row r="273">
          <cell r="Q273">
            <v>269</v>
          </cell>
          <cell r="R273">
            <v>0</v>
          </cell>
          <cell r="S273">
            <v>0</v>
          </cell>
          <cell r="T273">
            <v>0</v>
          </cell>
          <cell r="U273">
            <v>0.99999999999999989</v>
          </cell>
        </row>
        <row r="274">
          <cell r="Q274">
            <v>268</v>
          </cell>
          <cell r="R274">
            <v>0</v>
          </cell>
          <cell r="S274">
            <v>0</v>
          </cell>
          <cell r="T274">
            <v>0</v>
          </cell>
          <cell r="U274">
            <v>0.99999999999999989</v>
          </cell>
        </row>
        <row r="275">
          <cell r="Q275">
            <v>267</v>
          </cell>
          <cell r="R275">
            <v>0</v>
          </cell>
          <cell r="S275">
            <v>0</v>
          </cell>
          <cell r="T275">
            <v>0</v>
          </cell>
          <cell r="U275">
            <v>0.99999999999999989</v>
          </cell>
        </row>
        <row r="276">
          <cell r="Q276">
            <v>266</v>
          </cell>
          <cell r="R276">
            <v>0</v>
          </cell>
          <cell r="S276">
            <v>0</v>
          </cell>
          <cell r="T276">
            <v>0</v>
          </cell>
          <cell r="U276">
            <v>0.99999999999999989</v>
          </cell>
        </row>
        <row r="277">
          <cell r="Q277">
            <v>265</v>
          </cell>
          <cell r="R277">
            <v>0</v>
          </cell>
          <cell r="S277">
            <v>0</v>
          </cell>
          <cell r="T277">
            <v>0</v>
          </cell>
          <cell r="U277">
            <v>0.99999999999999989</v>
          </cell>
        </row>
        <row r="278">
          <cell r="Q278">
            <v>264</v>
          </cell>
          <cell r="R278">
            <v>0</v>
          </cell>
          <cell r="S278">
            <v>0</v>
          </cell>
          <cell r="T278">
            <v>0</v>
          </cell>
          <cell r="U278">
            <v>0.99999999999999989</v>
          </cell>
        </row>
        <row r="279">
          <cell r="Q279">
            <v>263</v>
          </cell>
          <cell r="R279">
            <v>0</v>
          </cell>
          <cell r="S279">
            <v>0</v>
          </cell>
          <cell r="T279">
            <v>0</v>
          </cell>
          <cell r="U279">
            <v>0.99999999999999989</v>
          </cell>
        </row>
        <row r="280">
          <cell r="Q280">
            <v>262</v>
          </cell>
          <cell r="R280">
            <v>0</v>
          </cell>
          <cell r="S280">
            <v>0</v>
          </cell>
          <cell r="T280">
            <v>0</v>
          </cell>
          <cell r="U280">
            <v>0.99999999999999989</v>
          </cell>
        </row>
        <row r="281">
          <cell r="Q281">
            <v>261</v>
          </cell>
          <cell r="R281">
            <v>0</v>
          </cell>
          <cell r="S281">
            <v>0</v>
          </cell>
          <cell r="T281">
            <v>0</v>
          </cell>
          <cell r="U281">
            <v>0.99999999999999989</v>
          </cell>
        </row>
        <row r="282">
          <cell r="Q282">
            <v>260</v>
          </cell>
          <cell r="R282">
            <v>0</v>
          </cell>
          <cell r="S282">
            <v>0</v>
          </cell>
          <cell r="T282">
            <v>0</v>
          </cell>
          <cell r="U282">
            <v>0.99999999999999989</v>
          </cell>
        </row>
        <row r="283">
          <cell r="Q283">
            <v>259</v>
          </cell>
          <cell r="R283">
            <v>0</v>
          </cell>
          <cell r="S283">
            <v>0</v>
          </cell>
          <cell r="T283">
            <v>0</v>
          </cell>
          <cell r="U283">
            <v>0.99999999999999989</v>
          </cell>
        </row>
        <row r="284">
          <cell r="Q284">
            <v>258</v>
          </cell>
          <cell r="R284">
            <v>0</v>
          </cell>
          <cell r="S284">
            <v>0</v>
          </cell>
          <cell r="T284">
            <v>0</v>
          </cell>
          <cell r="U284">
            <v>0.99999999999999989</v>
          </cell>
        </row>
        <row r="285">
          <cell r="Q285">
            <v>257</v>
          </cell>
          <cell r="R285">
            <v>0</v>
          </cell>
          <cell r="S285">
            <v>0</v>
          </cell>
          <cell r="T285">
            <v>0</v>
          </cell>
          <cell r="U285">
            <v>0.99999999999999989</v>
          </cell>
        </row>
        <row r="286">
          <cell r="Q286">
            <v>256</v>
          </cell>
          <cell r="R286">
            <v>0</v>
          </cell>
          <cell r="S286">
            <v>0</v>
          </cell>
          <cell r="T286">
            <v>0</v>
          </cell>
          <cell r="U286">
            <v>0.99999999999999989</v>
          </cell>
        </row>
        <row r="287">
          <cell r="Q287">
            <v>255</v>
          </cell>
          <cell r="R287">
            <v>0</v>
          </cell>
          <cell r="S287">
            <v>0</v>
          </cell>
          <cell r="T287">
            <v>0</v>
          </cell>
          <cell r="U287">
            <v>0.99999999999999989</v>
          </cell>
        </row>
        <row r="288">
          <cell r="Q288">
            <v>254</v>
          </cell>
          <cell r="R288">
            <v>0</v>
          </cell>
          <cell r="S288">
            <v>0</v>
          </cell>
          <cell r="T288">
            <v>0</v>
          </cell>
          <cell r="U288">
            <v>0.99999999999999989</v>
          </cell>
        </row>
        <row r="289">
          <cell r="Q289">
            <v>253</v>
          </cell>
          <cell r="R289">
            <v>0</v>
          </cell>
          <cell r="S289">
            <v>0</v>
          </cell>
          <cell r="T289">
            <v>0</v>
          </cell>
          <cell r="U289">
            <v>0.99999999999999989</v>
          </cell>
        </row>
        <row r="290">
          <cell r="Q290">
            <v>252</v>
          </cell>
          <cell r="R290">
            <v>0</v>
          </cell>
          <cell r="S290">
            <v>0</v>
          </cell>
          <cell r="T290">
            <v>0</v>
          </cell>
          <cell r="U290">
            <v>0.99999999999999989</v>
          </cell>
        </row>
        <row r="291">
          <cell r="Q291">
            <v>251</v>
          </cell>
          <cell r="R291">
            <v>0</v>
          </cell>
          <cell r="S291">
            <v>0</v>
          </cell>
          <cell r="T291">
            <v>0</v>
          </cell>
          <cell r="U291">
            <v>0.99999999999999989</v>
          </cell>
        </row>
        <row r="292">
          <cell r="Q292">
            <v>250</v>
          </cell>
          <cell r="R292">
            <v>0</v>
          </cell>
          <cell r="S292">
            <v>0</v>
          </cell>
          <cell r="T292">
            <v>0</v>
          </cell>
          <cell r="U292">
            <v>0.99999999999999989</v>
          </cell>
        </row>
        <row r="293">
          <cell r="Q293">
            <v>249</v>
          </cell>
          <cell r="R293">
            <v>0</v>
          </cell>
          <cell r="S293">
            <v>0</v>
          </cell>
          <cell r="T293">
            <v>0</v>
          </cell>
          <cell r="U293">
            <v>0.99999999999999989</v>
          </cell>
        </row>
        <row r="294">
          <cell r="Q294">
            <v>248</v>
          </cell>
          <cell r="R294">
            <v>0</v>
          </cell>
          <cell r="S294">
            <v>0</v>
          </cell>
          <cell r="T294">
            <v>0</v>
          </cell>
          <cell r="U294">
            <v>0.99999999999999989</v>
          </cell>
        </row>
        <row r="295">
          <cell r="Q295">
            <v>247</v>
          </cell>
          <cell r="R295">
            <v>0</v>
          </cell>
          <cell r="S295">
            <v>0</v>
          </cell>
          <cell r="T295">
            <v>0</v>
          </cell>
          <cell r="U295">
            <v>0.99999999999999989</v>
          </cell>
        </row>
        <row r="296">
          <cell r="Q296">
            <v>246</v>
          </cell>
          <cell r="R296">
            <v>0</v>
          </cell>
          <cell r="S296">
            <v>0</v>
          </cell>
          <cell r="T296">
            <v>0</v>
          </cell>
          <cell r="U296">
            <v>0.99999999999999989</v>
          </cell>
        </row>
        <row r="297">
          <cell r="Q297">
            <v>245</v>
          </cell>
          <cell r="R297">
            <v>0</v>
          </cell>
          <cell r="S297">
            <v>0</v>
          </cell>
          <cell r="T297">
            <v>0</v>
          </cell>
          <cell r="U297">
            <v>0.99999999999999989</v>
          </cell>
        </row>
        <row r="298">
          <cell r="Q298">
            <v>244</v>
          </cell>
          <cell r="R298">
            <v>0</v>
          </cell>
          <cell r="S298">
            <v>0</v>
          </cell>
          <cell r="T298">
            <v>0</v>
          </cell>
          <cell r="U298">
            <v>0.99999999999999989</v>
          </cell>
        </row>
        <row r="299">
          <cell r="Q299">
            <v>243</v>
          </cell>
          <cell r="R299">
            <v>0</v>
          </cell>
          <cell r="S299">
            <v>0</v>
          </cell>
          <cell r="T299">
            <v>0</v>
          </cell>
          <cell r="U299">
            <v>0.99999999999999989</v>
          </cell>
        </row>
        <row r="300">
          <cell r="Q300">
            <v>242</v>
          </cell>
          <cell r="R300">
            <v>0</v>
          </cell>
          <cell r="S300">
            <v>0</v>
          </cell>
          <cell r="T300">
            <v>0</v>
          </cell>
          <cell r="U300">
            <v>0.99999999999999989</v>
          </cell>
        </row>
        <row r="301">
          <cell r="Q301">
            <v>241</v>
          </cell>
          <cell r="R301">
            <v>0</v>
          </cell>
          <cell r="S301">
            <v>0</v>
          </cell>
          <cell r="T301">
            <v>0</v>
          </cell>
          <cell r="U301">
            <v>0.99999999999999989</v>
          </cell>
        </row>
        <row r="302">
          <cell r="Q302">
            <v>240</v>
          </cell>
          <cell r="R302">
            <v>0</v>
          </cell>
          <cell r="S302">
            <v>0</v>
          </cell>
          <cell r="T302">
            <v>0</v>
          </cell>
          <cell r="U302">
            <v>0.99999999999999989</v>
          </cell>
        </row>
        <row r="303">
          <cell r="Q303">
            <v>239</v>
          </cell>
          <cell r="R303">
            <v>0</v>
          </cell>
          <cell r="S303">
            <v>0</v>
          </cell>
          <cell r="T303">
            <v>0</v>
          </cell>
          <cell r="U303">
            <v>0.99999999999999989</v>
          </cell>
        </row>
        <row r="304">
          <cell r="Q304">
            <v>238</v>
          </cell>
          <cell r="R304">
            <v>0</v>
          </cell>
          <cell r="S304">
            <v>0</v>
          </cell>
          <cell r="T304">
            <v>0</v>
          </cell>
          <cell r="U304">
            <v>0.99999999999999989</v>
          </cell>
        </row>
        <row r="305">
          <cell r="Q305">
            <v>237</v>
          </cell>
          <cell r="R305">
            <v>0</v>
          </cell>
          <cell r="S305">
            <v>0</v>
          </cell>
          <cell r="T305">
            <v>0</v>
          </cell>
          <cell r="U305">
            <v>0.99999999999999989</v>
          </cell>
        </row>
        <row r="306">
          <cell r="Q306">
            <v>236</v>
          </cell>
          <cell r="R306">
            <v>0</v>
          </cell>
          <cell r="S306">
            <v>0</v>
          </cell>
          <cell r="T306">
            <v>0</v>
          </cell>
          <cell r="U306">
            <v>0.99999999999999989</v>
          </cell>
        </row>
        <row r="307">
          <cell r="Q307">
            <v>235</v>
          </cell>
          <cell r="R307">
            <v>0</v>
          </cell>
          <cell r="S307">
            <v>0</v>
          </cell>
          <cell r="T307">
            <v>0</v>
          </cell>
          <cell r="U307">
            <v>0.99999999999999989</v>
          </cell>
        </row>
        <row r="308">
          <cell r="Q308">
            <v>234</v>
          </cell>
          <cell r="R308">
            <v>0</v>
          </cell>
          <cell r="S308">
            <v>0</v>
          </cell>
          <cell r="T308">
            <v>0</v>
          </cell>
          <cell r="U308">
            <v>0.99999999999999989</v>
          </cell>
        </row>
        <row r="309">
          <cell r="Q309">
            <v>233</v>
          </cell>
          <cell r="R309">
            <v>0</v>
          </cell>
          <cell r="S309">
            <v>0</v>
          </cell>
          <cell r="T309">
            <v>0</v>
          </cell>
          <cell r="U309">
            <v>0.99999999999999989</v>
          </cell>
        </row>
        <row r="310">
          <cell r="Q310">
            <v>232</v>
          </cell>
          <cell r="R310">
            <v>0</v>
          </cell>
          <cell r="S310">
            <v>0</v>
          </cell>
          <cell r="T310">
            <v>0</v>
          </cell>
          <cell r="U310">
            <v>0.99999999999999989</v>
          </cell>
        </row>
        <row r="311">
          <cell r="Q311">
            <v>231</v>
          </cell>
          <cell r="R311">
            <v>0</v>
          </cell>
          <cell r="S311">
            <v>0</v>
          </cell>
          <cell r="T311">
            <v>0</v>
          </cell>
          <cell r="U311">
            <v>0.99999999999999989</v>
          </cell>
        </row>
        <row r="312">
          <cell r="Q312">
            <v>230</v>
          </cell>
          <cell r="R312">
            <v>0</v>
          </cell>
          <cell r="S312">
            <v>0</v>
          </cell>
          <cell r="T312">
            <v>0</v>
          </cell>
          <cell r="U312">
            <v>0.99999999999999989</v>
          </cell>
        </row>
        <row r="313">
          <cell r="Q313">
            <v>229</v>
          </cell>
          <cell r="R313">
            <v>0</v>
          </cell>
          <cell r="S313">
            <v>0</v>
          </cell>
          <cell r="T313">
            <v>0</v>
          </cell>
          <cell r="U313">
            <v>0.99999999999999989</v>
          </cell>
        </row>
        <row r="314">
          <cell r="Q314">
            <v>228</v>
          </cell>
          <cell r="R314">
            <v>0</v>
          </cell>
          <cell r="S314">
            <v>0</v>
          </cell>
          <cell r="T314">
            <v>0</v>
          </cell>
          <cell r="U314">
            <v>0.99999999999999989</v>
          </cell>
        </row>
        <row r="315">
          <cell r="Q315">
            <v>227</v>
          </cell>
          <cell r="R315">
            <v>0</v>
          </cell>
          <cell r="S315">
            <v>0</v>
          </cell>
          <cell r="T315">
            <v>0</v>
          </cell>
          <cell r="U315">
            <v>0.99999999999999989</v>
          </cell>
        </row>
        <row r="316">
          <cell r="Q316">
            <v>226</v>
          </cell>
          <cell r="R316">
            <v>0</v>
          </cell>
          <cell r="S316">
            <v>0</v>
          </cell>
          <cell r="T316">
            <v>0</v>
          </cell>
          <cell r="U316">
            <v>0.99999999999999989</v>
          </cell>
        </row>
        <row r="317">
          <cell r="Q317">
            <v>225</v>
          </cell>
          <cell r="R317">
            <v>0</v>
          </cell>
          <cell r="S317">
            <v>0</v>
          </cell>
          <cell r="T317">
            <v>0</v>
          </cell>
          <cell r="U317">
            <v>0.99999999999999989</v>
          </cell>
        </row>
        <row r="318">
          <cell r="Q318">
            <v>224</v>
          </cell>
          <cell r="R318">
            <v>0</v>
          </cell>
          <cell r="S318">
            <v>0</v>
          </cell>
          <cell r="T318">
            <v>0</v>
          </cell>
          <cell r="U318">
            <v>0.99999999999999989</v>
          </cell>
        </row>
        <row r="319">
          <cell r="Q319">
            <v>223</v>
          </cell>
          <cell r="R319">
            <v>0</v>
          </cell>
          <cell r="S319">
            <v>0</v>
          </cell>
          <cell r="T319">
            <v>0</v>
          </cell>
          <cell r="U319">
            <v>0.99999999999999989</v>
          </cell>
        </row>
        <row r="320">
          <cell r="Q320">
            <v>222</v>
          </cell>
          <cell r="R320">
            <v>0</v>
          </cell>
          <cell r="S320">
            <v>0</v>
          </cell>
          <cell r="T320">
            <v>0</v>
          </cell>
          <cell r="U320">
            <v>0.99999999999999989</v>
          </cell>
        </row>
        <row r="321">
          <cell r="Q321">
            <v>221</v>
          </cell>
          <cell r="R321">
            <v>0</v>
          </cell>
          <cell r="S321">
            <v>0</v>
          </cell>
          <cell r="T321">
            <v>0</v>
          </cell>
          <cell r="U321">
            <v>0.99999999999999989</v>
          </cell>
        </row>
        <row r="322">
          <cell r="Q322">
            <v>220</v>
          </cell>
          <cell r="R322">
            <v>0</v>
          </cell>
          <cell r="S322">
            <v>0</v>
          </cell>
          <cell r="T322">
            <v>0</v>
          </cell>
          <cell r="U322">
            <v>0.99999999999999989</v>
          </cell>
        </row>
        <row r="323">
          <cell r="Q323">
            <v>219</v>
          </cell>
          <cell r="R323">
            <v>0</v>
          </cell>
          <cell r="S323">
            <v>0</v>
          </cell>
          <cell r="T323">
            <v>0</v>
          </cell>
          <cell r="U323">
            <v>0.99999999999999989</v>
          </cell>
        </row>
        <row r="324">
          <cell r="Q324">
            <v>218</v>
          </cell>
          <cell r="R324">
            <v>0</v>
          </cell>
          <cell r="S324">
            <v>0</v>
          </cell>
          <cell r="T324">
            <v>0</v>
          </cell>
          <cell r="U324">
            <v>0.99999999999999989</v>
          </cell>
        </row>
        <row r="325">
          <cell r="Q325">
            <v>217</v>
          </cell>
          <cell r="R325">
            <v>0</v>
          </cell>
          <cell r="S325">
            <v>0</v>
          </cell>
          <cell r="T325">
            <v>0</v>
          </cell>
          <cell r="U325">
            <v>0.99999999999999989</v>
          </cell>
        </row>
        <row r="326">
          <cell r="Q326">
            <v>216</v>
          </cell>
          <cell r="R326">
            <v>0</v>
          </cell>
          <cell r="S326">
            <v>0</v>
          </cell>
          <cell r="T326">
            <v>0</v>
          </cell>
          <cell r="U326">
            <v>0.99999999999999989</v>
          </cell>
        </row>
        <row r="327">
          <cell r="Q327">
            <v>215</v>
          </cell>
          <cell r="R327">
            <v>0</v>
          </cell>
          <cell r="S327">
            <v>0</v>
          </cell>
          <cell r="T327">
            <v>0</v>
          </cell>
          <cell r="U327">
            <v>0.99999999999999989</v>
          </cell>
        </row>
        <row r="328">
          <cell r="Q328">
            <v>214</v>
          </cell>
          <cell r="R328">
            <v>0</v>
          </cell>
          <cell r="S328">
            <v>0</v>
          </cell>
          <cell r="T328">
            <v>0</v>
          </cell>
          <cell r="U328">
            <v>0.99999999999999989</v>
          </cell>
        </row>
        <row r="329">
          <cell r="Q329">
            <v>213</v>
          </cell>
          <cell r="R329">
            <v>0</v>
          </cell>
          <cell r="S329">
            <v>0</v>
          </cell>
          <cell r="T329">
            <v>0</v>
          </cell>
          <cell r="U329">
            <v>0.99999999999999989</v>
          </cell>
        </row>
        <row r="330">
          <cell r="Q330">
            <v>212</v>
          </cell>
          <cell r="R330">
            <v>0</v>
          </cell>
          <cell r="S330">
            <v>0</v>
          </cell>
          <cell r="T330">
            <v>0</v>
          </cell>
          <cell r="U330">
            <v>0.99999999999999989</v>
          </cell>
        </row>
        <row r="331">
          <cell r="Q331">
            <v>211</v>
          </cell>
          <cell r="R331">
            <v>0</v>
          </cell>
          <cell r="S331">
            <v>0</v>
          </cell>
          <cell r="T331">
            <v>0</v>
          </cell>
          <cell r="U331">
            <v>0.99999999999999989</v>
          </cell>
        </row>
        <row r="332">
          <cell r="Q332">
            <v>210</v>
          </cell>
          <cell r="R332">
            <v>0</v>
          </cell>
          <cell r="S332">
            <v>0</v>
          </cell>
          <cell r="T332">
            <v>0</v>
          </cell>
          <cell r="U332">
            <v>0.99999999999999989</v>
          </cell>
        </row>
        <row r="333">
          <cell r="Q333">
            <v>209</v>
          </cell>
          <cell r="R333">
            <v>0</v>
          </cell>
          <cell r="S333">
            <v>0</v>
          </cell>
          <cell r="T333">
            <v>0</v>
          </cell>
          <cell r="U333">
            <v>0.99999999999999989</v>
          </cell>
        </row>
        <row r="334">
          <cell r="Q334">
            <v>208</v>
          </cell>
          <cell r="R334">
            <v>0</v>
          </cell>
          <cell r="S334">
            <v>0</v>
          </cell>
          <cell r="T334">
            <v>0</v>
          </cell>
          <cell r="U334">
            <v>0.99999999999999989</v>
          </cell>
        </row>
        <row r="335">
          <cell r="Q335">
            <v>207</v>
          </cell>
          <cell r="R335">
            <v>0</v>
          </cell>
          <cell r="S335">
            <v>0</v>
          </cell>
          <cell r="T335">
            <v>0</v>
          </cell>
          <cell r="U335">
            <v>0.99999999999999989</v>
          </cell>
        </row>
        <row r="336">
          <cell r="Q336">
            <v>206</v>
          </cell>
          <cell r="R336">
            <v>0</v>
          </cell>
          <cell r="S336">
            <v>0</v>
          </cell>
          <cell r="T336">
            <v>0</v>
          </cell>
          <cell r="U336">
            <v>0.99999999999999989</v>
          </cell>
        </row>
        <row r="337">
          <cell r="Q337">
            <v>205</v>
          </cell>
          <cell r="R337">
            <v>0</v>
          </cell>
          <cell r="S337">
            <v>0</v>
          </cell>
          <cell r="T337">
            <v>0</v>
          </cell>
          <cell r="U337">
            <v>0.99999999999999989</v>
          </cell>
        </row>
        <row r="338">
          <cell r="Q338">
            <v>204</v>
          </cell>
          <cell r="R338">
            <v>0</v>
          </cell>
          <cell r="S338">
            <v>0</v>
          </cell>
          <cell r="T338">
            <v>0</v>
          </cell>
          <cell r="U338">
            <v>0.99999999999999989</v>
          </cell>
        </row>
        <row r="339">
          <cell r="Q339">
            <v>203</v>
          </cell>
          <cell r="R339">
            <v>0</v>
          </cell>
          <cell r="S339">
            <v>0</v>
          </cell>
          <cell r="T339">
            <v>0</v>
          </cell>
          <cell r="U339">
            <v>0.99999999999999989</v>
          </cell>
        </row>
        <row r="340">
          <cell r="Q340">
            <v>202</v>
          </cell>
          <cell r="R340">
            <v>0</v>
          </cell>
          <cell r="S340">
            <v>0</v>
          </cell>
          <cell r="T340">
            <v>0</v>
          </cell>
          <cell r="U340">
            <v>0.99999999999999989</v>
          </cell>
        </row>
        <row r="341">
          <cell r="Q341">
            <v>201</v>
          </cell>
          <cell r="R341">
            <v>0</v>
          </cell>
          <cell r="S341">
            <v>0</v>
          </cell>
          <cell r="T341">
            <v>0</v>
          </cell>
          <cell r="U341">
            <v>0.99999999999999989</v>
          </cell>
        </row>
        <row r="342">
          <cell r="Q342">
            <v>200</v>
          </cell>
          <cell r="R342">
            <v>0</v>
          </cell>
          <cell r="S342">
            <v>0</v>
          </cell>
          <cell r="T342">
            <v>0</v>
          </cell>
          <cell r="U342">
            <v>0.99999999999999989</v>
          </cell>
        </row>
        <row r="343">
          <cell r="Q343">
            <v>199</v>
          </cell>
          <cell r="R343">
            <v>0</v>
          </cell>
          <cell r="S343">
            <v>0</v>
          </cell>
          <cell r="T343">
            <v>0</v>
          </cell>
          <cell r="U343">
            <v>0.99999999999999989</v>
          </cell>
        </row>
        <row r="344">
          <cell r="Q344">
            <v>198</v>
          </cell>
          <cell r="R344">
            <v>0</v>
          </cell>
          <cell r="S344">
            <v>0</v>
          </cell>
          <cell r="T344">
            <v>0</v>
          </cell>
          <cell r="U344">
            <v>0.99999999999999989</v>
          </cell>
        </row>
        <row r="345">
          <cell r="Q345">
            <v>197</v>
          </cell>
          <cell r="R345">
            <v>0</v>
          </cell>
          <cell r="S345">
            <v>0</v>
          </cell>
          <cell r="T345">
            <v>0</v>
          </cell>
          <cell r="U345">
            <v>0.99999999999999989</v>
          </cell>
        </row>
        <row r="346">
          <cell r="Q346">
            <v>196</v>
          </cell>
          <cell r="R346">
            <v>0</v>
          </cell>
          <cell r="S346">
            <v>0</v>
          </cell>
          <cell r="T346">
            <v>0</v>
          </cell>
          <cell r="U346">
            <v>0.99999999999999989</v>
          </cell>
        </row>
        <row r="347">
          <cell r="Q347">
            <v>195</v>
          </cell>
          <cell r="R347">
            <v>0</v>
          </cell>
          <cell r="S347">
            <v>0</v>
          </cell>
          <cell r="T347">
            <v>0</v>
          </cell>
          <cell r="U347">
            <v>0.99999999999999989</v>
          </cell>
        </row>
        <row r="348">
          <cell r="Q348">
            <v>194</v>
          </cell>
          <cell r="R348">
            <v>0</v>
          </cell>
          <cell r="S348">
            <v>0</v>
          </cell>
          <cell r="T348">
            <v>0</v>
          </cell>
          <cell r="U348">
            <v>0.99999999999999989</v>
          </cell>
        </row>
        <row r="349">
          <cell r="Q349">
            <v>193</v>
          </cell>
          <cell r="R349">
            <v>0</v>
          </cell>
          <cell r="S349">
            <v>0</v>
          </cell>
          <cell r="T349">
            <v>0</v>
          </cell>
          <cell r="U349">
            <v>0.99999999999999989</v>
          </cell>
        </row>
        <row r="350">
          <cell r="Q350">
            <v>192</v>
          </cell>
          <cell r="R350">
            <v>0</v>
          </cell>
          <cell r="S350">
            <v>0</v>
          </cell>
          <cell r="T350">
            <v>0</v>
          </cell>
          <cell r="U350">
            <v>0.99999999999999989</v>
          </cell>
        </row>
        <row r="351">
          <cell r="Q351">
            <v>191</v>
          </cell>
          <cell r="R351">
            <v>0</v>
          </cell>
          <cell r="S351">
            <v>0</v>
          </cell>
          <cell r="T351">
            <v>0</v>
          </cell>
          <cell r="U351">
            <v>0.99999999999999989</v>
          </cell>
        </row>
        <row r="352">
          <cell r="Q352">
            <v>190</v>
          </cell>
          <cell r="R352">
            <v>0</v>
          </cell>
          <cell r="S352">
            <v>0</v>
          </cell>
          <cell r="T352">
            <v>0</v>
          </cell>
          <cell r="U352">
            <v>0.99999999999999989</v>
          </cell>
        </row>
        <row r="353">
          <cell r="Q353">
            <v>189</v>
          </cell>
          <cell r="R353">
            <v>0</v>
          </cell>
          <cell r="S353">
            <v>0</v>
          </cell>
          <cell r="T353">
            <v>0</v>
          </cell>
          <cell r="U353">
            <v>0.99999999999999989</v>
          </cell>
        </row>
        <row r="354">
          <cell r="Q354">
            <v>188</v>
          </cell>
          <cell r="R354">
            <v>0</v>
          </cell>
          <cell r="S354">
            <v>0</v>
          </cell>
          <cell r="T354">
            <v>0</v>
          </cell>
          <cell r="U354">
            <v>0.99999999999999989</v>
          </cell>
        </row>
        <row r="355">
          <cell r="Q355">
            <v>187</v>
          </cell>
          <cell r="R355">
            <v>0</v>
          </cell>
          <cell r="S355">
            <v>0</v>
          </cell>
          <cell r="T355">
            <v>0</v>
          </cell>
          <cell r="U355">
            <v>0.99999999999999989</v>
          </cell>
        </row>
        <row r="356">
          <cell r="Q356">
            <v>186</v>
          </cell>
          <cell r="R356">
            <v>0</v>
          </cell>
          <cell r="S356">
            <v>0</v>
          </cell>
          <cell r="T356">
            <v>0</v>
          </cell>
          <cell r="U356">
            <v>0.99999999999999989</v>
          </cell>
        </row>
        <row r="357">
          <cell r="Q357">
            <v>185</v>
          </cell>
          <cell r="R357">
            <v>0</v>
          </cell>
          <cell r="S357">
            <v>0</v>
          </cell>
          <cell r="T357">
            <v>0</v>
          </cell>
          <cell r="U357">
            <v>0.99999999999999989</v>
          </cell>
        </row>
        <row r="358">
          <cell r="Q358">
            <v>184</v>
          </cell>
          <cell r="R358">
            <v>0</v>
          </cell>
          <cell r="S358">
            <v>0</v>
          </cell>
          <cell r="T358">
            <v>0</v>
          </cell>
          <cell r="U358">
            <v>0.99999999999999989</v>
          </cell>
        </row>
        <row r="359">
          <cell r="Q359">
            <v>183</v>
          </cell>
          <cell r="R359">
            <v>0</v>
          </cell>
          <cell r="S359">
            <v>0</v>
          </cell>
          <cell r="T359">
            <v>0</v>
          </cell>
          <cell r="U359">
            <v>0.99999999999999989</v>
          </cell>
        </row>
        <row r="360">
          <cell r="Q360">
            <v>182</v>
          </cell>
          <cell r="R360">
            <v>0</v>
          </cell>
          <cell r="S360">
            <v>0</v>
          </cell>
          <cell r="T360">
            <v>0</v>
          </cell>
          <cell r="U360">
            <v>0.99999999999999989</v>
          </cell>
        </row>
        <row r="361">
          <cell r="Q361">
            <v>181</v>
          </cell>
          <cell r="R361">
            <v>0</v>
          </cell>
          <cell r="S361">
            <v>0</v>
          </cell>
          <cell r="T361">
            <v>0</v>
          </cell>
          <cell r="U361">
            <v>0.99999999999999989</v>
          </cell>
        </row>
        <row r="362">
          <cell r="Q362">
            <v>180</v>
          </cell>
          <cell r="R362">
            <v>0</v>
          </cell>
          <cell r="S362">
            <v>0</v>
          </cell>
          <cell r="T362">
            <v>0</v>
          </cell>
          <cell r="U362">
            <v>0.99999999999999989</v>
          </cell>
        </row>
        <row r="363">
          <cell r="Q363">
            <v>179</v>
          </cell>
          <cell r="R363">
            <v>0</v>
          </cell>
          <cell r="S363">
            <v>0</v>
          </cell>
          <cell r="T363">
            <v>0</v>
          </cell>
          <cell r="U363">
            <v>0.99999999999999989</v>
          </cell>
        </row>
        <row r="364">
          <cell r="Q364">
            <v>178</v>
          </cell>
          <cell r="R364">
            <v>0</v>
          </cell>
          <cell r="S364">
            <v>0</v>
          </cell>
          <cell r="T364">
            <v>0</v>
          </cell>
          <cell r="U364">
            <v>0.99999999999999989</v>
          </cell>
        </row>
        <row r="365">
          <cell r="Q365">
            <v>177</v>
          </cell>
          <cell r="R365">
            <v>0</v>
          </cell>
          <cell r="S365">
            <v>0</v>
          </cell>
          <cell r="T365">
            <v>0</v>
          </cell>
          <cell r="U365">
            <v>0.99999999999999989</v>
          </cell>
        </row>
        <row r="366">
          <cell r="Q366">
            <v>176</v>
          </cell>
          <cell r="R366">
            <v>0</v>
          </cell>
          <cell r="S366">
            <v>0</v>
          </cell>
          <cell r="T366">
            <v>0</v>
          </cell>
          <cell r="U366">
            <v>0.99999999999999989</v>
          </cell>
        </row>
        <row r="367">
          <cell r="Q367">
            <v>175</v>
          </cell>
          <cell r="R367">
            <v>0</v>
          </cell>
          <cell r="S367">
            <v>0</v>
          </cell>
          <cell r="T367">
            <v>0</v>
          </cell>
          <cell r="U367">
            <v>0.99999999999999989</v>
          </cell>
        </row>
        <row r="368">
          <cell r="Q368">
            <v>174</v>
          </cell>
          <cell r="R368">
            <v>0</v>
          </cell>
          <cell r="S368">
            <v>0</v>
          </cell>
          <cell r="T368">
            <v>0</v>
          </cell>
          <cell r="U368">
            <v>0.99999999999999989</v>
          </cell>
        </row>
        <row r="369">
          <cell r="Q369">
            <v>173</v>
          </cell>
          <cell r="R369">
            <v>0</v>
          </cell>
          <cell r="S369">
            <v>0</v>
          </cell>
          <cell r="T369">
            <v>0</v>
          </cell>
          <cell r="U369">
            <v>0.99999999999999989</v>
          </cell>
        </row>
        <row r="370">
          <cell r="Q370">
            <v>172</v>
          </cell>
          <cell r="R370">
            <v>0</v>
          </cell>
          <cell r="S370">
            <v>0</v>
          </cell>
          <cell r="T370">
            <v>0</v>
          </cell>
          <cell r="U370">
            <v>0.99999999999999989</v>
          </cell>
        </row>
        <row r="371">
          <cell r="Q371">
            <v>171</v>
          </cell>
          <cell r="R371">
            <v>0</v>
          </cell>
          <cell r="S371">
            <v>0</v>
          </cell>
          <cell r="T371">
            <v>0</v>
          </cell>
          <cell r="U371">
            <v>0.99999999999999989</v>
          </cell>
        </row>
        <row r="372">
          <cell r="Q372">
            <v>170</v>
          </cell>
          <cell r="R372">
            <v>0</v>
          </cell>
          <cell r="S372">
            <v>0</v>
          </cell>
          <cell r="T372">
            <v>0</v>
          </cell>
          <cell r="U372">
            <v>0.99999999999999989</v>
          </cell>
        </row>
        <row r="373">
          <cell r="Q373">
            <v>169</v>
          </cell>
          <cell r="R373">
            <v>0</v>
          </cell>
          <cell r="S373">
            <v>0</v>
          </cell>
          <cell r="T373">
            <v>0</v>
          </cell>
          <cell r="U373">
            <v>0.99999999999999989</v>
          </cell>
        </row>
        <row r="374">
          <cell r="Q374">
            <v>168</v>
          </cell>
          <cell r="R374">
            <v>0</v>
          </cell>
          <cell r="S374">
            <v>0</v>
          </cell>
          <cell r="T374">
            <v>0</v>
          </cell>
          <cell r="U374">
            <v>0.99999999999999989</v>
          </cell>
        </row>
        <row r="375">
          <cell r="Q375">
            <v>167</v>
          </cell>
          <cell r="R375">
            <v>0</v>
          </cell>
          <cell r="S375">
            <v>0</v>
          </cell>
          <cell r="T375">
            <v>0</v>
          </cell>
          <cell r="U375">
            <v>0.99999999999999989</v>
          </cell>
        </row>
        <row r="376">
          <cell r="Q376">
            <v>166</v>
          </cell>
          <cell r="R376">
            <v>0</v>
          </cell>
          <cell r="S376">
            <v>0</v>
          </cell>
          <cell r="T376">
            <v>0</v>
          </cell>
          <cell r="U376">
            <v>0.99999999999999989</v>
          </cell>
        </row>
        <row r="377">
          <cell r="Q377">
            <v>165</v>
          </cell>
          <cell r="R377">
            <v>0</v>
          </cell>
          <cell r="S377">
            <v>0</v>
          </cell>
          <cell r="T377">
            <v>0</v>
          </cell>
          <cell r="U377">
            <v>0.99999999999999989</v>
          </cell>
        </row>
        <row r="378">
          <cell r="Q378">
            <v>164</v>
          </cell>
          <cell r="R378">
            <v>0</v>
          </cell>
          <cell r="S378">
            <v>0</v>
          </cell>
          <cell r="T378">
            <v>0</v>
          </cell>
          <cell r="U378">
            <v>0.99999999999999989</v>
          </cell>
        </row>
        <row r="379">
          <cell r="Q379">
            <v>163</v>
          </cell>
          <cell r="R379">
            <v>0</v>
          </cell>
          <cell r="S379">
            <v>0</v>
          </cell>
          <cell r="T379">
            <v>0</v>
          </cell>
          <cell r="U379">
            <v>0.99999999999999989</v>
          </cell>
        </row>
        <row r="380">
          <cell r="Q380">
            <v>162</v>
          </cell>
          <cell r="R380">
            <v>0</v>
          </cell>
          <cell r="S380">
            <v>0</v>
          </cell>
          <cell r="T380">
            <v>0</v>
          </cell>
          <cell r="U380">
            <v>0.99999999999999989</v>
          </cell>
        </row>
        <row r="381">
          <cell r="Q381">
            <v>161</v>
          </cell>
          <cell r="R381">
            <v>0</v>
          </cell>
          <cell r="S381">
            <v>0</v>
          </cell>
          <cell r="T381">
            <v>0</v>
          </cell>
          <cell r="U381">
            <v>0.99999999999999989</v>
          </cell>
        </row>
        <row r="382">
          <cell r="Q382">
            <v>160</v>
          </cell>
          <cell r="R382">
            <v>0</v>
          </cell>
          <cell r="S382">
            <v>0</v>
          </cell>
          <cell r="T382">
            <v>0</v>
          </cell>
          <cell r="U382">
            <v>0.99999999999999989</v>
          </cell>
        </row>
        <row r="383">
          <cell r="Q383">
            <v>159</v>
          </cell>
          <cell r="R383">
            <v>0</v>
          </cell>
          <cell r="S383">
            <v>0</v>
          </cell>
          <cell r="T383">
            <v>0</v>
          </cell>
          <cell r="U383">
            <v>0.99999999999999989</v>
          </cell>
        </row>
        <row r="384">
          <cell r="Q384">
            <v>158</v>
          </cell>
          <cell r="R384">
            <v>0</v>
          </cell>
          <cell r="S384">
            <v>0</v>
          </cell>
          <cell r="T384">
            <v>0</v>
          </cell>
          <cell r="U384">
            <v>0.99999999999999989</v>
          </cell>
        </row>
        <row r="385">
          <cell r="Q385">
            <v>157</v>
          </cell>
          <cell r="R385">
            <v>0</v>
          </cell>
          <cell r="S385">
            <v>0</v>
          </cell>
          <cell r="T385">
            <v>0</v>
          </cell>
          <cell r="U385">
            <v>0.99999999999999989</v>
          </cell>
        </row>
        <row r="386">
          <cell r="Q386">
            <v>156</v>
          </cell>
          <cell r="R386">
            <v>0</v>
          </cell>
          <cell r="S386">
            <v>0</v>
          </cell>
          <cell r="T386">
            <v>0</v>
          </cell>
          <cell r="U386">
            <v>0.99999999999999989</v>
          </cell>
        </row>
        <row r="387">
          <cell r="Q387">
            <v>155</v>
          </cell>
          <cell r="R387">
            <v>0</v>
          </cell>
          <cell r="S387">
            <v>0</v>
          </cell>
          <cell r="T387">
            <v>0</v>
          </cell>
          <cell r="U387">
            <v>0.99999999999999989</v>
          </cell>
        </row>
        <row r="388">
          <cell r="Q388">
            <v>154</v>
          </cell>
          <cell r="R388">
            <v>0</v>
          </cell>
          <cell r="S388">
            <v>0</v>
          </cell>
          <cell r="T388">
            <v>0</v>
          </cell>
          <cell r="U388">
            <v>0.99999999999999989</v>
          </cell>
        </row>
        <row r="389">
          <cell r="Q389">
            <v>153</v>
          </cell>
          <cell r="R389">
            <v>0</v>
          </cell>
          <cell r="S389">
            <v>0</v>
          </cell>
          <cell r="T389">
            <v>0</v>
          </cell>
          <cell r="U389">
            <v>0.99999999999999989</v>
          </cell>
        </row>
        <row r="390">
          <cell r="Q390">
            <v>152</v>
          </cell>
          <cell r="R390">
            <v>0</v>
          </cell>
          <cell r="S390">
            <v>0</v>
          </cell>
          <cell r="T390">
            <v>0</v>
          </cell>
          <cell r="U390">
            <v>0.99999999999999989</v>
          </cell>
        </row>
        <row r="391">
          <cell r="Q391">
            <v>151</v>
          </cell>
          <cell r="R391">
            <v>0</v>
          </cell>
          <cell r="S391">
            <v>0</v>
          </cell>
          <cell r="T391">
            <v>0</v>
          </cell>
          <cell r="U391">
            <v>0.99999999999999989</v>
          </cell>
        </row>
        <row r="392">
          <cell r="Q392">
            <v>150</v>
          </cell>
          <cell r="R392">
            <v>0</v>
          </cell>
          <cell r="S392">
            <v>0</v>
          </cell>
          <cell r="T392">
            <v>0</v>
          </cell>
          <cell r="U392">
            <v>0.99999999999999989</v>
          </cell>
        </row>
        <row r="393">
          <cell r="Q393">
            <v>149</v>
          </cell>
          <cell r="R393">
            <v>0</v>
          </cell>
          <cell r="S393">
            <v>0</v>
          </cell>
          <cell r="T393">
            <v>0</v>
          </cell>
          <cell r="U393">
            <v>0.99999999999999989</v>
          </cell>
        </row>
        <row r="394">
          <cell r="Q394">
            <v>148</v>
          </cell>
          <cell r="R394">
            <v>0</v>
          </cell>
          <cell r="S394">
            <v>0</v>
          </cell>
          <cell r="T394">
            <v>0</v>
          </cell>
          <cell r="U394">
            <v>0.99999999999999989</v>
          </cell>
        </row>
        <row r="395">
          <cell r="Q395">
            <v>147</v>
          </cell>
          <cell r="R395">
            <v>0</v>
          </cell>
          <cell r="S395">
            <v>0</v>
          </cell>
          <cell r="T395">
            <v>0</v>
          </cell>
          <cell r="U395">
            <v>0.99999999999999989</v>
          </cell>
        </row>
        <row r="396">
          <cell r="Q396">
            <v>146</v>
          </cell>
          <cell r="R396">
            <v>0</v>
          </cell>
          <cell r="S396">
            <v>0</v>
          </cell>
          <cell r="T396">
            <v>0</v>
          </cell>
          <cell r="U396">
            <v>0.99999999999999989</v>
          </cell>
        </row>
        <row r="397">
          <cell r="Q397">
            <v>145</v>
          </cell>
          <cell r="R397">
            <v>0</v>
          </cell>
          <cell r="S397">
            <v>0</v>
          </cell>
          <cell r="T397">
            <v>0</v>
          </cell>
          <cell r="U397">
            <v>0.99999999999999989</v>
          </cell>
        </row>
        <row r="398">
          <cell r="Q398">
            <v>144</v>
          </cell>
          <cell r="R398">
            <v>0</v>
          </cell>
          <cell r="S398">
            <v>0</v>
          </cell>
          <cell r="T398">
            <v>0</v>
          </cell>
          <cell r="U398">
            <v>0.99999999999999989</v>
          </cell>
        </row>
        <row r="399">
          <cell r="Q399">
            <v>143</v>
          </cell>
          <cell r="R399">
            <v>0</v>
          </cell>
          <cell r="S399">
            <v>0</v>
          </cell>
          <cell r="T399">
            <v>3.3416666666666671E-2</v>
          </cell>
          <cell r="U399">
            <v>0.96658333333333324</v>
          </cell>
        </row>
        <row r="400">
          <cell r="Q400">
            <v>142</v>
          </cell>
          <cell r="R400">
            <v>0</v>
          </cell>
          <cell r="S400">
            <v>0</v>
          </cell>
          <cell r="T400">
            <v>6.6833333333333342E-2</v>
          </cell>
          <cell r="U400">
            <v>0.93316666666666659</v>
          </cell>
        </row>
        <row r="401">
          <cell r="Q401">
            <v>141</v>
          </cell>
          <cell r="R401">
            <v>0</v>
          </cell>
          <cell r="S401">
            <v>0</v>
          </cell>
          <cell r="T401">
            <v>0.10025000000000001</v>
          </cell>
          <cell r="U401">
            <v>0.89974999999999994</v>
          </cell>
        </row>
        <row r="402">
          <cell r="Q402">
            <v>140</v>
          </cell>
          <cell r="R402">
            <v>0</v>
          </cell>
          <cell r="S402">
            <v>0</v>
          </cell>
          <cell r="T402">
            <v>0.13366666666666668</v>
          </cell>
          <cell r="U402">
            <v>0.86633333333333329</v>
          </cell>
        </row>
        <row r="403">
          <cell r="Q403">
            <v>139</v>
          </cell>
          <cell r="R403">
            <v>0</v>
          </cell>
          <cell r="S403">
            <v>0</v>
          </cell>
          <cell r="T403">
            <v>0.16708333333333333</v>
          </cell>
          <cell r="U403">
            <v>0.83291666666666664</v>
          </cell>
        </row>
        <row r="404">
          <cell r="Q404">
            <v>138</v>
          </cell>
          <cell r="R404">
            <v>0</v>
          </cell>
          <cell r="S404">
            <v>0</v>
          </cell>
          <cell r="T404">
            <v>0.20050000000000001</v>
          </cell>
          <cell r="U404">
            <v>0.79949999999999988</v>
          </cell>
        </row>
        <row r="405">
          <cell r="Q405">
            <v>137</v>
          </cell>
          <cell r="R405">
            <v>0</v>
          </cell>
          <cell r="S405">
            <v>0</v>
          </cell>
          <cell r="T405">
            <v>0.23391666666666669</v>
          </cell>
          <cell r="U405">
            <v>0.76608333333333323</v>
          </cell>
        </row>
        <row r="406">
          <cell r="Q406">
            <v>136</v>
          </cell>
          <cell r="R406">
            <v>0</v>
          </cell>
          <cell r="S406">
            <v>0</v>
          </cell>
          <cell r="T406">
            <v>0.26733333333333337</v>
          </cell>
          <cell r="U406">
            <v>0.73266666666666658</v>
          </cell>
        </row>
        <row r="407">
          <cell r="Q407">
            <v>135</v>
          </cell>
          <cell r="R407">
            <v>0</v>
          </cell>
          <cell r="S407">
            <v>0</v>
          </cell>
          <cell r="T407">
            <v>0.30075000000000002</v>
          </cell>
          <cell r="U407">
            <v>0.69924999999999993</v>
          </cell>
        </row>
        <row r="408">
          <cell r="Q408">
            <v>134</v>
          </cell>
          <cell r="R408">
            <v>0</v>
          </cell>
          <cell r="S408">
            <v>0</v>
          </cell>
          <cell r="T408">
            <v>0.33416666666666667</v>
          </cell>
          <cell r="U408">
            <v>0.66583333333333328</v>
          </cell>
        </row>
        <row r="409">
          <cell r="Q409">
            <v>133</v>
          </cell>
          <cell r="R409">
            <v>0</v>
          </cell>
          <cell r="S409">
            <v>0</v>
          </cell>
          <cell r="T409">
            <v>0.36758333333333337</v>
          </cell>
          <cell r="U409">
            <v>0.63241666666666663</v>
          </cell>
        </row>
        <row r="410">
          <cell r="Q410">
            <v>132</v>
          </cell>
          <cell r="R410">
            <v>0</v>
          </cell>
          <cell r="S410">
            <v>0</v>
          </cell>
          <cell r="T410">
            <v>0.40100000000000002</v>
          </cell>
          <cell r="U410">
            <v>0.59899999999999998</v>
          </cell>
        </row>
        <row r="411">
          <cell r="Q411">
            <v>131</v>
          </cell>
          <cell r="R411">
            <v>0</v>
          </cell>
          <cell r="S411">
            <v>0</v>
          </cell>
          <cell r="T411">
            <v>0.43325000000000002</v>
          </cell>
          <cell r="U411">
            <v>0.56674999999999998</v>
          </cell>
        </row>
        <row r="412">
          <cell r="Q412">
            <v>130</v>
          </cell>
          <cell r="R412">
            <v>0</v>
          </cell>
          <cell r="S412">
            <v>0</v>
          </cell>
          <cell r="T412">
            <v>0.46550000000000002</v>
          </cell>
          <cell r="U412">
            <v>0.53449999999999998</v>
          </cell>
        </row>
        <row r="413">
          <cell r="Q413">
            <v>129</v>
          </cell>
          <cell r="R413">
            <v>0</v>
          </cell>
          <cell r="S413">
            <v>0</v>
          </cell>
          <cell r="T413">
            <v>0.49775000000000003</v>
          </cell>
          <cell r="U413">
            <v>0.50224999999999997</v>
          </cell>
        </row>
        <row r="414">
          <cell r="Q414">
            <v>128</v>
          </cell>
          <cell r="R414">
            <v>0</v>
          </cell>
          <cell r="S414">
            <v>0</v>
          </cell>
          <cell r="T414">
            <v>0.53</v>
          </cell>
          <cell r="U414">
            <v>0.47</v>
          </cell>
        </row>
        <row r="415">
          <cell r="Q415">
            <v>127</v>
          </cell>
          <cell r="R415">
            <v>0</v>
          </cell>
          <cell r="S415">
            <v>0</v>
          </cell>
          <cell r="T415">
            <v>0.56225000000000003</v>
          </cell>
          <cell r="U415">
            <v>0.43774999999999997</v>
          </cell>
        </row>
        <row r="416">
          <cell r="Q416">
            <v>126</v>
          </cell>
          <cell r="R416">
            <v>0</v>
          </cell>
          <cell r="S416">
            <v>0</v>
          </cell>
          <cell r="T416">
            <v>0.59450000000000003</v>
          </cell>
          <cell r="U416">
            <v>0.40549999999999997</v>
          </cell>
        </row>
        <row r="417">
          <cell r="Q417">
            <v>125</v>
          </cell>
          <cell r="R417">
            <v>0</v>
          </cell>
          <cell r="S417">
            <v>0</v>
          </cell>
          <cell r="T417">
            <v>0.62675000000000003</v>
          </cell>
          <cell r="U417">
            <v>0.37324999999999997</v>
          </cell>
        </row>
        <row r="418">
          <cell r="Q418">
            <v>124</v>
          </cell>
          <cell r="R418">
            <v>0</v>
          </cell>
          <cell r="S418">
            <v>0</v>
          </cell>
          <cell r="T418">
            <v>0.65900000000000003</v>
          </cell>
          <cell r="U418">
            <v>0.34099999999999997</v>
          </cell>
        </row>
        <row r="419">
          <cell r="Q419">
            <v>123</v>
          </cell>
          <cell r="R419">
            <v>0</v>
          </cell>
          <cell r="S419">
            <v>0</v>
          </cell>
          <cell r="T419">
            <v>0.69125000000000003</v>
          </cell>
          <cell r="U419">
            <v>0.30874999999999997</v>
          </cell>
        </row>
        <row r="420">
          <cell r="Q420">
            <v>122</v>
          </cell>
          <cell r="R420">
            <v>0</v>
          </cell>
          <cell r="S420">
            <v>0</v>
          </cell>
          <cell r="T420">
            <v>0.72350000000000003</v>
          </cell>
          <cell r="U420">
            <v>0.27649999999999997</v>
          </cell>
        </row>
        <row r="421">
          <cell r="Q421">
            <v>121</v>
          </cell>
          <cell r="R421">
            <v>0</v>
          </cell>
          <cell r="S421">
            <v>0</v>
          </cell>
          <cell r="T421">
            <v>0.75575000000000003</v>
          </cell>
          <cell r="U421">
            <v>0.24424999999999999</v>
          </cell>
        </row>
        <row r="422">
          <cell r="Q422">
            <v>120</v>
          </cell>
          <cell r="R422">
            <v>0</v>
          </cell>
          <cell r="S422">
            <v>0</v>
          </cell>
          <cell r="T422">
            <v>0.78800000000000003</v>
          </cell>
          <cell r="U422">
            <v>0.21199999999999999</v>
          </cell>
        </row>
        <row r="423">
          <cell r="Q423">
            <v>119</v>
          </cell>
          <cell r="R423">
            <v>0</v>
          </cell>
          <cell r="S423">
            <v>3.5833333333333329E-3</v>
          </cell>
          <cell r="T423">
            <v>0.80208333333333337</v>
          </cell>
          <cell r="U423">
            <v>0.19433333333333333</v>
          </cell>
        </row>
        <row r="424">
          <cell r="Q424">
            <v>118</v>
          </cell>
          <cell r="R424">
            <v>0</v>
          </cell>
          <cell r="S424">
            <v>7.1666666666666658E-3</v>
          </cell>
          <cell r="T424">
            <v>0.81616666666666671</v>
          </cell>
          <cell r="U424">
            <v>0.17666666666666667</v>
          </cell>
        </row>
        <row r="425">
          <cell r="Q425">
            <v>117</v>
          </cell>
          <cell r="R425">
            <v>0</v>
          </cell>
          <cell r="S425">
            <v>1.0749999999999999E-2</v>
          </cell>
          <cell r="T425">
            <v>0.83025000000000004</v>
          </cell>
          <cell r="U425">
            <v>0.159</v>
          </cell>
        </row>
        <row r="426">
          <cell r="Q426">
            <v>116</v>
          </cell>
          <cell r="R426">
            <v>0</v>
          </cell>
          <cell r="S426">
            <v>1.4333333333333332E-2</v>
          </cell>
          <cell r="T426">
            <v>0.84433333333333338</v>
          </cell>
          <cell r="U426">
            <v>0.14133333333333334</v>
          </cell>
        </row>
        <row r="427">
          <cell r="Q427">
            <v>115</v>
          </cell>
          <cell r="R427">
            <v>0</v>
          </cell>
          <cell r="S427">
            <v>1.7916666666666664E-2</v>
          </cell>
          <cell r="T427">
            <v>0.85841666666666672</v>
          </cell>
          <cell r="U427">
            <v>0.12366666666666666</v>
          </cell>
        </row>
        <row r="428">
          <cell r="Q428">
            <v>114</v>
          </cell>
          <cell r="R428">
            <v>0</v>
          </cell>
          <cell r="S428">
            <v>2.1499999999999998E-2</v>
          </cell>
          <cell r="T428">
            <v>0.87250000000000005</v>
          </cell>
          <cell r="U428">
            <v>0.106</v>
          </cell>
        </row>
        <row r="429">
          <cell r="Q429">
            <v>113</v>
          </cell>
          <cell r="R429">
            <v>0</v>
          </cell>
          <cell r="S429">
            <v>2.5083333333333332E-2</v>
          </cell>
          <cell r="T429">
            <v>0.88658333333333328</v>
          </cell>
          <cell r="U429">
            <v>8.8333333333333333E-2</v>
          </cell>
        </row>
        <row r="430">
          <cell r="Q430">
            <v>112</v>
          </cell>
          <cell r="R430">
            <v>0</v>
          </cell>
          <cell r="S430">
            <v>2.8666666666666663E-2</v>
          </cell>
          <cell r="T430">
            <v>0.90066666666666662</v>
          </cell>
          <cell r="U430">
            <v>7.0666666666666669E-2</v>
          </cell>
        </row>
        <row r="431">
          <cell r="Q431">
            <v>111</v>
          </cell>
          <cell r="R431">
            <v>0</v>
          </cell>
          <cell r="S431">
            <v>3.2250000000000001E-2</v>
          </cell>
          <cell r="T431">
            <v>0.91474999999999995</v>
          </cell>
          <cell r="U431">
            <v>5.2999999999999999E-2</v>
          </cell>
        </row>
        <row r="432">
          <cell r="Q432">
            <v>110</v>
          </cell>
          <cell r="R432">
            <v>0</v>
          </cell>
          <cell r="S432">
            <v>3.5833333333333328E-2</v>
          </cell>
          <cell r="T432">
            <v>0.92883333333333329</v>
          </cell>
          <cell r="U432">
            <v>3.5333333333333335E-2</v>
          </cell>
        </row>
        <row r="433">
          <cell r="Q433">
            <v>109</v>
          </cell>
          <cell r="R433">
            <v>0</v>
          </cell>
          <cell r="S433">
            <v>3.9416666666666662E-2</v>
          </cell>
          <cell r="T433">
            <v>0.94291666666666663</v>
          </cell>
          <cell r="U433">
            <v>1.7666666666666667E-2</v>
          </cell>
        </row>
        <row r="434">
          <cell r="Q434">
            <v>108</v>
          </cell>
          <cell r="R434">
            <v>0</v>
          </cell>
          <cell r="S434">
            <v>4.2999999999999997E-2</v>
          </cell>
          <cell r="T434">
            <v>0.95699999999999996</v>
          </cell>
          <cell r="U434">
            <v>0</v>
          </cell>
        </row>
        <row r="435">
          <cell r="Q435">
            <v>107</v>
          </cell>
          <cell r="R435">
            <v>0</v>
          </cell>
          <cell r="S435">
            <v>4.9916666666666665E-2</v>
          </cell>
          <cell r="T435">
            <v>0.95008333333333328</v>
          </cell>
          <cell r="U435">
            <v>0</v>
          </cell>
        </row>
        <row r="436">
          <cell r="Q436">
            <v>106</v>
          </cell>
          <cell r="R436">
            <v>0</v>
          </cell>
          <cell r="S436">
            <v>5.6833333333333333E-2</v>
          </cell>
          <cell r="T436">
            <v>0.9431666666666666</v>
          </cell>
          <cell r="U436">
            <v>0</v>
          </cell>
        </row>
        <row r="437">
          <cell r="Q437">
            <v>105</v>
          </cell>
          <cell r="R437">
            <v>0</v>
          </cell>
          <cell r="S437">
            <v>6.3750000000000001E-2</v>
          </cell>
          <cell r="T437">
            <v>0.93625000000000003</v>
          </cell>
          <cell r="U437">
            <v>0</v>
          </cell>
        </row>
        <row r="438">
          <cell r="Q438">
            <v>104</v>
          </cell>
          <cell r="R438">
            <v>0</v>
          </cell>
          <cell r="S438">
            <v>7.0666666666666669E-2</v>
          </cell>
          <cell r="T438">
            <v>0.92933333333333334</v>
          </cell>
          <cell r="U438">
            <v>0</v>
          </cell>
        </row>
        <row r="439">
          <cell r="Q439">
            <v>103</v>
          </cell>
          <cell r="R439">
            <v>0</v>
          </cell>
          <cell r="S439">
            <v>7.7583333333333337E-2</v>
          </cell>
          <cell r="T439">
            <v>0.92241666666666666</v>
          </cell>
          <cell r="U439">
            <v>0</v>
          </cell>
        </row>
        <row r="440">
          <cell r="Q440">
            <v>102</v>
          </cell>
          <cell r="R440">
            <v>0</v>
          </cell>
          <cell r="S440">
            <v>8.4499999999999992E-2</v>
          </cell>
          <cell r="T440">
            <v>0.91549999999999998</v>
          </cell>
          <cell r="U440">
            <v>0</v>
          </cell>
        </row>
        <row r="441">
          <cell r="Q441">
            <v>101</v>
          </cell>
          <cell r="R441">
            <v>0</v>
          </cell>
          <cell r="S441">
            <v>9.141666666666666E-2</v>
          </cell>
          <cell r="T441">
            <v>0.9085833333333333</v>
          </cell>
          <cell r="U441">
            <v>0</v>
          </cell>
        </row>
        <row r="442">
          <cell r="Q442">
            <v>100</v>
          </cell>
          <cell r="R442">
            <v>0</v>
          </cell>
          <cell r="S442">
            <v>9.8333333333333328E-2</v>
          </cell>
          <cell r="T442">
            <v>0.90166666666666662</v>
          </cell>
          <cell r="U442">
            <v>0</v>
          </cell>
        </row>
        <row r="443">
          <cell r="Q443">
            <v>99</v>
          </cell>
          <cell r="R443">
            <v>0</v>
          </cell>
          <cell r="S443">
            <v>0.10525</v>
          </cell>
          <cell r="T443">
            <v>0.89474999999999993</v>
          </cell>
          <cell r="U443">
            <v>0</v>
          </cell>
        </row>
        <row r="444">
          <cell r="Q444">
            <v>98</v>
          </cell>
          <cell r="R444">
            <v>0</v>
          </cell>
          <cell r="S444">
            <v>0.11216666666666666</v>
          </cell>
          <cell r="T444">
            <v>0.88783333333333336</v>
          </cell>
          <cell r="U444">
            <v>0</v>
          </cell>
        </row>
        <row r="445">
          <cell r="Q445">
            <v>97</v>
          </cell>
          <cell r="R445">
            <v>0</v>
          </cell>
          <cell r="S445">
            <v>0.11908333333333333</v>
          </cell>
          <cell r="T445">
            <v>0.88091666666666668</v>
          </cell>
          <cell r="U445">
            <v>0</v>
          </cell>
        </row>
        <row r="446">
          <cell r="Q446">
            <v>96</v>
          </cell>
          <cell r="R446">
            <v>0</v>
          </cell>
          <cell r="S446">
            <v>0.126</v>
          </cell>
          <cell r="T446">
            <v>0.874</v>
          </cell>
          <cell r="U446">
            <v>0</v>
          </cell>
        </row>
        <row r="447">
          <cell r="Q447">
            <v>95</v>
          </cell>
          <cell r="R447">
            <v>0</v>
          </cell>
          <cell r="S447">
            <v>0.13191666666666668</v>
          </cell>
          <cell r="T447">
            <v>0.86808333333333332</v>
          </cell>
          <cell r="U447">
            <v>0</v>
          </cell>
        </row>
        <row r="448">
          <cell r="Q448">
            <v>94</v>
          </cell>
          <cell r="R448">
            <v>0</v>
          </cell>
          <cell r="S448">
            <v>0.13783333333333334</v>
          </cell>
          <cell r="T448">
            <v>0.86216666666666664</v>
          </cell>
          <cell r="U448">
            <v>0</v>
          </cell>
        </row>
        <row r="449">
          <cell r="Q449">
            <v>93</v>
          </cell>
          <cell r="R449">
            <v>0</v>
          </cell>
          <cell r="S449">
            <v>0.14374999999999999</v>
          </cell>
          <cell r="T449">
            <v>0.85624999999999996</v>
          </cell>
          <cell r="U449">
            <v>0</v>
          </cell>
        </row>
        <row r="450">
          <cell r="Q450">
            <v>92</v>
          </cell>
          <cell r="R450">
            <v>0</v>
          </cell>
          <cell r="S450">
            <v>0.14966666666666667</v>
          </cell>
          <cell r="T450">
            <v>0.85033333333333339</v>
          </cell>
          <cell r="U450">
            <v>0</v>
          </cell>
        </row>
        <row r="451">
          <cell r="Q451">
            <v>91</v>
          </cell>
          <cell r="R451">
            <v>0</v>
          </cell>
          <cell r="S451">
            <v>0.15558333333333335</v>
          </cell>
          <cell r="T451">
            <v>0.8444166666666667</v>
          </cell>
          <cell r="U451">
            <v>0</v>
          </cell>
        </row>
        <row r="452">
          <cell r="Q452">
            <v>90</v>
          </cell>
          <cell r="R452">
            <v>0</v>
          </cell>
          <cell r="S452">
            <v>0.1615</v>
          </cell>
          <cell r="T452">
            <v>0.83850000000000002</v>
          </cell>
          <cell r="U452">
            <v>0</v>
          </cell>
        </row>
        <row r="453">
          <cell r="Q453">
            <v>89</v>
          </cell>
          <cell r="R453">
            <v>0</v>
          </cell>
          <cell r="S453">
            <v>0.16741666666666666</v>
          </cell>
          <cell r="T453">
            <v>0.83258333333333334</v>
          </cell>
          <cell r="U453">
            <v>0</v>
          </cell>
        </row>
        <row r="454">
          <cell r="Q454">
            <v>88</v>
          </cell>
          <cell r="R454">
            <v>0</v>
          </cell>
          <cell r="S454">
            <v>0.17333333333333334</v>
          </cell>
          <cell r="T454">
            <v>0.82666666666666666</v>
          </cell>
          <cell r="U454">
            <v>0</v>
          </cell>
        </row>
        <row r="455">
          <cell r="Q455">
            <v>87</v>
          </cell>
          <cell r="R455">
            <v>0</v>
          </cell>
          <cell r="S455">
            <v>0.17925000000000002</v>
          </cell>
          <cell r="T455">
            <v>0.82075000000000009</v>
          </cell>
          <cell r="U455">
            <v>0</v>
          </cell>
        </row>
        <row r="456">
          <cell r="Q456">
            <v>86</v>
          </cell>
          <cell r="R456">
            <v>0</v>
          </cell>
          <cell r="S456">
            <v>0.18516666666666667</v>
          </cell>
          <cell r="T456">
            <v>0.81483333333333341</v>
          </cell>
          <cell r="U456">
            <v>0</v>
          </cell>
        </row>
        <row r="457">
          <cell r="Q457">
            <v>85</v>
          </cell>
          <cell r="R457">
            <v>0</v>
          </cell>
          <cell r="S457">
            <v>0.19108333333333333</v>
          </cell>
          <cell r="T457">
            <v>0.80891666666666673</v>
          </cell>
          <cell r="U457">
            <v>0</v>
          </cell>
        </row>
        <row r="458">
          <cell r="Q458">
            <v>84</v>
          </cell>
          <cell r="R458">
            <v>0</v>
          </cell>
          <cell r="S458">
            <v>0.19700000000000001</v>
          </cell>
          <cell r="T458">
            <v>0.80300000000000005</v>
          </cell>
          <cell r="U458">
            <v>0</v>
          </cell>
        </row>
        <row r="459">
          <cell r="Q459">
            <v>83</v>
          </cell>
          <cell r="R459">
            <v>1.1666666666666668E-3</v>
          </cell>
          <cell r="S459">
            <v>0.20150000000000001</v>
          </cell>
          <cell r="T459">
            <v>0.79733333333333334</v>
          </cell>
          <cell r="U459">
            <v>0</v>
          </cell>
        </row>
        <row r="460">
          <cell r="Q460">
            <v>82</v>
          </cell>
          <cell r="R460">
            <v>2.3333333333333335E-3</v>
          </cell>
          <cell r="S460">
            <v>0.20600000000000002</v>
          </cell>
          <cell r="T460">
            <v>0.79166666666666674</v>
          </cell>
          <cell r="U460">
            <v>0</v>
          </cell>
        </row>
        <row r="461">
          <cell r="Q461">
            <v>81</v>
          </cell>
          <cell r="R461">
            <v>3.5000000000000001E-3</v>
          </cell>
          <cell r="S461">
            <v>0.21050000000000002</v>
          </cell>
          <cell r="T461">
            <v>0.78600000000000003</v>
          </cell>
          <cell r="U461">
            <v>0</v>
          </cell>
        </row>
        <row r="462">
          <cell r="Q462">
            <v>80</v>
          </cell>
          <cell r="R462">
            <v>4.6666666666666671E-3</v>
          </cell>
          <cell r="S462">
            <v>0.215</v>
          </cell>
          <cell r="T462">
            <v>0.78033333333333332</v>
          </cell>
          <cell r="U462">
            <v>0</v>
          </cell>
        </row>
        <row r="463">
          <cell r="Q463">
            <v>79</v>
          </cell>
          <cell r="R463">
            <v>5.8333333333333336E-3</v>
          </cell>
          <cell r="S463">
            <v>0.2195</v>
          </cell>
          <cell r="T463">
            <v>0.77466666666666673</v>
          </cell>
          <cell r="U463">
            <v>0</v>
          </cell>
        </row>
        <row r="464">
          <cell r="Q464">
            <v>78</v>
          </cell>
          <cell r="R464">
            <v>7.0000000000000001E-3</v>
          </cell>
          <cell r="S464">
            <v>0.224</v>
          </cell>
          <cell r="T464">
            <v>0.76900000000000002</v>
          </cell>
          <cell r="U464">
            <v>0</v>
          </cell>
        </row>
        <row r="465">
          <cell r="Q465">
            <v>77</v>
          </cell>
          <cell r="R465">
            <v>8.1666666666666676E-3</v>
          </cell>
          <cell r="S465">
            <v>0.22850000000000001</v>
          </cell>
          <cell r="T465">
            <v>0.76333333333333331</v>
          </cell>
          <cell r="U465">
            <v>0</v>
          </cell>
        </row>
        <row r="466">
          <cell r="Q466">
            <v>76</v>
          </cell>
          <cell r="R466">
            <v>9.3333333333333341E-3</v>
          </cell>
          <cell r="S466">
            <v>0.23300000000000001</v>
          </cell>
          <cell r="T466">
            <v>0.75766666666666671</v>
          </cell>
          <cell r="U466">
            <v>0</v>
          </cell>
        </row>
        <row r="467">
          <cell r="Q467">
            <v>75</v>
          </cell>
          <cell r="R467">
            <v>1.0500000000000001E-2</v>
          </cell>
          <cell r="S467">
            <v>0.23749999999999999</v>
          </cell>
          <cell r="T467">
            <v>0.752</v>
          </cell>
          <cell r="U467">
            <v>0</v>
          </cell>
        </row>
        <row r="468">
          <cell r="Q468">
            <v>74</v>
          </cell>
          <cell r="R468">
            <v>1.1666666666666667E-2</v>
          </cell>
          <cell r="S468">
            <v>0.24199999999999999</v>
          </cell>
          <cell r="T468">
            <v>0.74633333333333329</v>
          </cell>
          <cell r="U468">
            <v>0</v>
          </cell>
        </row>
        <row r="469">
          <cell r="Q469">
            <v>73</v>
          </cell>
          <cell r="R469">
            <v>1.2833333333333334E-2</v>
          </cell>
          <cell r="S469">
            <v>0.2465</v>
          </cell>
          <cell r="T469">
            <v>0.7406666666666667</v>
          </cell>
          <cell r="U469">
            <v>0</v>
          </cell>
        </row>
        <row r="470">
          <cell r="Q470">
            <v>72</v>
          </cell>
          <cell r="R470">
            <v>1.4E-2</v>
          </cell>
          <cell r="S470">
            <v>0.251</v>
          </cell>
          <cell r="T470">
            <v>0.73499999999999999</v>
          </cell>
          <cell r="U470">
            <v>0</v>
          </cell>
        </row>
        <row r="471">
          <cell r="Q471">
            <v>71</v>
          </cell>
          <cell r="R471">
            <v>1.4666666666666666E-2</v>
          </cell>
          <cell r="S471">
            <v>0.25508333333333333</v>
          </cell>
          <cell r="T471">
            <v>0.73024999999999995</v>
          </cell>
          <cell r="U471">
            <v>0</v>
          </cell>
        </row>
        <row r="472">
          <cell r="Q472">
            <v>70</v>
          </cell>
          <cell r="R472">
            <v>1.5333333333333334E-2</v>
          </cell>
          <cell r="S472">
            <v>0.25916666666666666</v>
          </cell>
          <cell r="T472">
            <v>0.72550000000000003</v>
          </cell>
          <cell r="U472">
            <v>0</v>
          </cell>
        </row>
        <row r="473">
          <cell r="Q473">
            <v>69</v>
          </cell>
          <cell r="R473">
            <v>1.6E-2</v>
          </cell>
          <cell r="S473">
            <v>0.26324999999999998</v>
          </cell>
          <cell r="T473">
            <v>0.72075</v>
          </cell>
          <cell r="U473">
            <v>0</v>
          </cell>
        </row>
        <row r="474">
          <cell r="Q474">
            <v>68</v>
          </cell>
          <cell r="R474">
            <v>1.6666666666666666E-2</v>
          </cell>
          <cell r="S474">
            <v>0.26733333333333331</v>
          </cell>
          <cell r="T474">
            <v>0.71599999999999997</v>
          </cell>
          <cell r="U474">
            <v>0</v>
          </cell>
        </row>
        <row r="475">
          <cell r="Q475">
            <v>67</v>
          </cell>
          <cell r="R475">
            <v>1.7333333333333333E-2</v>
          </cell>
          <cell r="S475">
            <v>0.27141666666666664</v>
          </cell>
          <cell r="T475">
            <v>0.71125000000000005</v>
          </cell>
          <cell r="U475">
            <v>0</v>
          </cell>
        </row>
        <row r="476">
          <cell r="Q476">
            <v>66</v>
          </cell>
          <cell r="R476">
            <v>1.7999999999999999E-2</v>
          </cell>
          <cell r="S476">
            <v>0.27549999999999997</v>
          </cell>
          <cell r="T476">
            <v>0.70650000000000002</v>
          </cell>
          <cell r="U476">
            <v>0</v>
          </cell>
        </row>
        <row r="477">
          <cell r="Q477">
            <v>65</v>
          </cell>
          <cell r="R477">
            <v>1.8666666666666665E-2</v>
          </cell>
          <cell r="S477">
            <v>0.27958333333333335</v>
          </cell>
          <cell r="T477">
            <v>0.70174999999999998</v>
          </cell>
          <cell r="U477">
            <v>0</v>
          </cell>
        </row>
        <row r="478">
          <cell r="Q478">
            <v>64</v>
          </cell>
          <cell r="R478">
            <v>1.9333333333333334E-2</v>
          </cell>
          <cell r="S478">
            <v>0.28366666666666668</v>
          </cell>
          <cell r="T478">
            <v>0.69700000000000006</v>
          </cell>
          <cell r="U478">
            <v>0</v>
          </cell>
        </row>
        <row r="479">
          <cell r="Q479">
            <v>63</v>
          </cell>
          <cell r="R479">
            <v>0.02</v>
          </cell>
          <cell r="S479">
            <v>0.28775000000000001</v>
          </cell>
          <cell r="T479">
            <v>0.69225000000000003</v>
          </cell>
          <cell r="U479">
            <v>0</v>
          </cell>
        </row>
        <row r="480">
          <cell r="Q480">
            <v>62</v>
          </cell>
          <cell r="R480">
            <v>2.0666666666666667E-2</v>
          </cell>
          <cell r="S480">
            <v>0.29183333333333333</v>
          </cell>
          <cell r="T480">
            <v>0.6875</v>
          </cell>
          <cell r="U480">
            <v>0</v>
          </cell>
        </row>
        <row r="481">
          <cell r="Q481">
            <v>61</v>
          </cell>
          <cell r="R481">
            <v>2.1333333333333333E-2</v>
          </cell>
          <cell r="S481">
            <v>0.29591666666666666</v>
          </cell>
          <cell r="T481">
            <v>0.68275000000000008</v>
          </cell>
          <cell r="U481">
            <v>0</v>
          </cell>
        </row>
        <row r="482">
          <cell r="Q482">
            <v>60</v>
          </cell>
          <cell r="R482">
            <v>2.1999999999999999E-2</v>
          </cell>
          <cell r="S482">
            <v>0.3</v>
          </cell>
          <cell r="T482">
            <v>0.67800000000000005</v>
          </cell>
          <cell r="U482">
            <v>0</v>
          </cell>
        </row>
        <row r="483">
          <cell r="Q483">
            <v>59</v>
          </cell>
          <cell r="R483">
            <v>2.2916666666666665E-2</v>
          </cell>
          <cell r="S483">
            <v>0.30325000000000002</v>
          </cell>
          <cell r="T483">
            <v>0.6738333333333334</v>
          </cell>
          <cell r="U483">
            <v>0</v>
          </cell>
        </row>
        <row r="484">
          <cell r="Q484">
            <v>58</v>
          </cell>
          <cell r="R484">
            <v>2.3833333333333331E-2</v>
          </cell>
          <cell r="S484">
            <v>0.30649999999999999</v>
          </cell>
          <cell r="T484">
            <v>0.66966666666666674</v>
          </cell>
          <cell r="U484">
            <v>0</v>
          </cell>
        </row>
        <row r="485">
          <cell r="Q485">
            <v>57</v>
          </cell>
          <cell r="R485">
            <v>2.4750000000000001E-2</v>
          </cell>
          <cell r="S485">
            <v>0.30974999999999997</v>
          </cell>
          <cell r="T485">
            <v>0.66549999999999998</v>
          </cell>
          <cell r="U485">
            <v>0</v>
          </cell>
        </row>
        <row r="486">
          <cell r="Q486">
            <v>56</v>
          </cell>
          <cell r="R486">
            <v>2.5666666666666667E-2</v>
          </cell>
          <cell r="S486">
            <v>0.313</v>
          </cell>
          <cell r="T486">
            <v>0.66133333333333333</v>
          </cell>
          <cell r="U486">
            <v>0</v>
          </cell>
        </row>
        <row r="487">
          <cell r="Q487">
            <v>55</v>
          </cell>
          <cell r="R487">
            <v>2.6583333333333334E-2</v>
          </cell>
          <cell r="S487">
            <v>0.31625000000000003</v>
          </cell>
          <cell r="T487">
            <v>0.65716666666666668</v>
          </cell>
          <cell r="U487">
            <v>0</v>
          </cell>
        </row>
        <row r="488">
          <cell r="Q488">
            <v>54</v>
          </cell>
          <cell r="R488">
            <v>2.75E-2</v>
          </cell>
          <cell r="S488">
            <v>0.31950000000000001</v>
          </cell>
          <cell r="T488">
            <v>0.65300000000000002</v>
          </cell>
          <cell r="U488">
            <v>0</v>
          </cell>
        </row>
        <row r="489">
          <cell r="Q489">
            <v>53</v>
          </cell>
          <cell r="R489">
            <v>2.8416666666666666E-2</v>
          </cell>
          <cell r="S489">
            <v>0.32274999999999998</v>
          </cell>
          <cell r="T489">
            <v>0.64883333333333337</v>
          </cell>
          <cell r="U489">
            <v>0</v>
          </cell>
        </row>
        <row r="490">
          <cell r="Q490">
            <v>52</v>
          </cell>
          <cell r="R490">
            <v>2.9333333333333333E-2</v>
          </cell>
          <cell r="S490">
            <v>0.32600000000000001</v>
          </cell>
          <cell r="T490">
            <v>0.64466666666666672</v>
          </cell>
          <cell r="U490">
            <v>0</v>
          </cell>
        </row>
        <row r="491">
          <cell r="Q491">
            <v>51</v>
          </cell>
          <cell r="R491">
            <v>3.0249999999999999E-2</v>
          </cell>
          <cell r="S491">
            <v>0.32925000000000004</v>
          </cell>
          <cell r="T491">
            <v>0.64050000000000007</v>
          </cell>
          <cell r="U491">
            <v>0</v>
          </cell>
        </row>
        <row r="492">
          <cell r="Q492">
            <v>50</v>
          </cell>
          <cell r="R492">
            <v>3.1166666666666669E-2</v>
          </cell>
          <cell r="S492">
            <v>0.33250000000000002</v>
          </cell>
          <cell r="T492">
            <v>0.63633333333333331</v>
          </cell>
          <cell r="U492">
            <v>0</v>
          </cell>
        </row>
        <row r="493">
          <cell r="Q493">
            <v>49</v>
          </cell>
          <cell r="R493">
            <v>3.2083333333333332E-2</v>
          </cell>
          <cell r="S493">
            <v>0.33574999999999999</v>
          </cell>
          <cell r="T493">
            <v>0.63216666666666665</v>
          </cell>
          <cell r="U493">
            <v>0</v>
          </cell>
        </row>
        <row r="494">
          <cell r="Q494">
            <v>48</v>
          </cell>
          <cell r="R494">
            <v>3.3000000000000002E-2</v>
          </cell>
          <cell r="S494">
            <v>0.33900000000000002</v>
          </cell>
          <cell r="T494">
            <v>0.628</v>
          </cell>
          <cell r="U494">
            <v>0</v>
          </cell>
        </row>
        <row r="495">
          <cell r="Q495">
            <v>47</v>
          </cell>
          <cell r="R495">
            <v>3.4250000000000003E-2</v>
          </cell>
          <cell r="S495">
            <v>0.34133333333333338</v>
          </cell>
          <cell r="T495">
            <v>0.62441666666666662</v>
          </cell>
          <cell r="U495">
            <v>0</v>
          </cell>
        </row>
        <row r="496">
          <cell r="Q496">
            <v>46</v>
          </cell>
          <cell r="R496">
            <v>3.5500000000000004E-2</v>
          </cell>
          <cell r="S496">
            <v>0.34366666666666668</v>
          </cell>
          <cell r="T496">
            <v>0.62083333333333335</v>
          </cell>
          <cell r="U496">
            <v>0</v>
          </cell>
        </row>
        <row r="497">
          <cell r="Q497">
            <v>45</v>
          </cell>
          <cell r="R497">
            <v>3.6750000000000005E-2</v>
          </cell>
          <cell r="S497">
            <v>0.34600000000000003</v>
          </cell>
          <cell r="T497">
            <v>0.61724999999999997</v>
          </cell>
          <cell r="U497">
            <v>0</v>
          </cell>
        </row>
        <row r="498">
          <cell r="Q498">
            <v>44</v>
          </cell>
          <cell r="R498">
            <v>3.7999999999999999E-2</v>
          </cell>
          <cell r="S498">
            <v>0.34833333333333333</v>
          </cell>
          <cell r="T498">
            <v>0.61366666666666669</v>
          </cell>
          <cell r="U498">
            <v>0</v>
          </cell>
        </row>
        <row r="499">
          <cell r="Q499">
            <v>43</v>
          </cell>
          <cell r="R499">
            <v>3.925E-2</v>
          </cell>
          <cell r="S499">
            <v>0.35066666666666668</v>
          </cell>
          <cell r="T499">
            <v>0.61008333333333331</v>
          </cell>
          <cell r="U499">
            <v>0</v>
          </cell>
        </row>
        <row r="500">
          <cell r="Q500">
            <v>42</v>
          </cell>
          <cell r="R500">
            <v>4.0500000000000001E-2</v>
          </cell>
          <cell r="S500">
            <v>0.35299999999999998</v>
          </cell>
          <cell r="T500">
            <v>0.60650000000000004</v>
          </cell>
          <cell r="U500">
            <v>0</v>
          </cell>
        </row>
        <row r="501">
          <cell r="Q501">
            <v>41</v>
          </cell>
          <cell r="R501">
            <v>4.1750000000000002E-2</v>
          </cell>
          <cell r="S501">
            <v>0.35533333333333333</v>
          </cell>
          <cell r="T501">
            <v>0.60291666666666666</v>
          </cell>
          <cell r="U501">
            <v>0</v>
          </cell>
        </row>
        <row r="502">
          <cell r="Q502">
            <v>40</v>
          </cell>
          <cell r="R502">
            <v>4.3000000000000003E-2</v>
          </cell>
          <cell r="S502">
            <v>0.35766666666666669</v>
          </cell>
          <cell r="T502">
            <v>0.59933333333333327</v>
          </cell>
          <cell r="U502">
            <v>0</v>
          </cell>
        </row>
        <row r="503">
          <cell r="Q503">
            <v>39</v>
          </cell>
          <cell r="R503">
            <v>4.4249999999999998E-2</v>
          </cell>
          <cell r="S503">
            <v>0.36</v>
          </cell>
          <cell r="T503">
            <v>0.59575</v>
          </cell>
          <cell r="U503">
            <v>0</v>
          </cell>
        </row>
        <row r="504">
          <cell r="Q504">
            <v>38</v>
          </cell>
          <cell r="R504">
            <v>4.5499999999999999E-2</v>
          </cell>
          <cell r="S504">
            <v>0.36233333333333334</v>
          </cell>
          <cell r="T504">
            <v>0.59216666666666662</v>
          </cell>
          <cell r="U504">
            <v>0</v>
          </cell>
        </row>
        <row r="505">
          <cell r="Q505">
            <v>37</v>
          </cell>
          <cell r="R505">
            <v>4.675E-2</v>
          </cell>
          <cell r="S505">
            <v>0.36466666666666664</v>
          </cell>
          <cell r="T505">
            <v>0.58858333333333335</v>
          </cell>
          <cell r="U505">
            <v>0</v>
          </cell>
        </row>
        <row r="506">
          <cell r="Q506">
            <v>36</v>
          </cell>
          <cell r="R506">
            <v>4.8000000000000001E-2</v>
          </cell>
          <cell r="S506">
            <v>0.36699999999999999</v>
          </cell>
          <cell r="T506">
            <v>0.58499999999999996</v>
          </cell>
          <cell r="U506">
            <v>0</v>
          </cell>
        </row>
        <row r="507">
          <cell r="Q507">
            <v>35</v>
          </cell>
          <cell r="R507">
            <v>4.9833333333333334E-2</v>
          </cell>
          <cell r="S507">
            <v>0.36799999999999999</v>
          </cell>
          <cell r="T507">
            <v>0.58216666666666661</v>
          </cell>
          <cell r="U507">
            <v>0</v>
          </cell>
        </row>
        <row r="508">
          <cell r="Q508">
            <v>34</v>
          </cell>
          <cell r="R508">
            <v>5.1666666666666666E-2</v>
          </cell>
          <cell r="S508">
            <v>0.36899999999999999</v>
          </cell>
          <cell r="T508">
            <v>0.57933333333333326</v>
          </cell>
          <cell r="U508">
            <v>0</v>
          </cell>
        </row>
        <row r="509">
          <cell r="Q509">
            <v>33</v>
          </cell>
          <cell r="R509">
            <v>5.3500000000000006E-2</v>
          </cell>
          <cell r="S509">
            <v>0.37</v>
          </cell>
          <cell r="T509">
            <v>0.57650000000000001</v>
          </cell>
          <cell r="U509">
            <v>0</v>
          </cell>
        </row>
        <row r="510">
          <cell r="Q510">
            <v>32</v>
          </cell>
          <cell r="R510">
            <v>5.5333333333333339E-2</v>
          </cell>
          <cell r="S510">
            <v>0.371</v>
          </cell>
          <cell r="T510">
            <v>0.57366666666666666</v>
          </cell>
          <cell r="U510">
            <v>0</v>
          </cell>
        </row>
        <row r="511">
          <cell r="Q511">
            <v>31</v>
          </cell>
          <cell r="R511">
            <v>5.7166666666666671E-2</v>
          </cell>
          <cell r="S511">
            <v>0.372</v>
          </cell>
          <cell r="T511">
            <v>0.5708333333333333</v>
          </cell>
          <cell r="U511">
            <v>0</v>
          </cell>
        </row>
        <row r="512">
          <cell r="Q512">
            <v>30</v>
          </cell>
          <cell r="R512">
            <v>5.9000000000000004E-2</v>
          </cell>
          <cell r="S512">
            <v>0.373</v>
          </cell>
          <cell r="T512">
            <v>0.56800000000000006</v>
          </cell>
          <cell r="U512">
            <v>0</v>
          </cell>
        </row>
        <row r="513">
          <cell r="Q513">
            <v>29</v>
          </cell>
          <cell r="R513">
            <v>6.0833333333333336E-2</v>
          </cell>
          <cell r="S513">
            <v>0.374</v>
          </cell>
          <cell r="T513">
            <v>0.56516666666666671</v>
          </cell>
          <cell r="U513">
            <v>0</v>
          </cell>
        </row>
        <row r="514">
          <cell r="Q514">
            <v>28</v>
          </cell>
          <cell r="R514">
            <v>6.2666666666666676E-2</v>
          </cell>
          <cell r="S514">
            <v>0.375</v>
          </cell>
          <cell r="T514">
            <v>0.56233333333333335</v>
          </cell>
          <cell r="U514">
            <v>0</v>
          </cell>
        </row>
        <row r="515">
          <cell r="Q515">
            <v>27</v>
          </cell>
          <cell r="R515">
            <v>6.4500000000000002E-2</v>
          </cell>
          <cell r="S515">
            <v>0.376</v>
          </cell>
          <cell r="T515">
            <v>0.5595</v>
          </cell>
          <cell r="U515">
            <v>0</v>
          </cell>
        </row>
        <row r="516">
          <cell r="Q516">
            <v>26</v>
          </cell>
          <cell r="R516">
            <v>6.6333333333333341E-2</v>
          </cell>
          <cell r="S516">
            <v>0.377</v>
          </cell>
          <cell r="T516">
            <v>0.55666666666666664</v>
          </cell>
          <cell r="U516">
            <v>0</v>
          </cell>
        </row>
        <row r="517">
          <cell r="Q517">
            <v>25</v>
          </cell>
          <cell r="R517">
            <v>6.8166666666666667E-2</v>
          </cell>
          <cell r="S517">
            <v>0.378</v>
          </cell>
          <cell r="T517">
            <v>0.5538333333333334</v>
          </cell>
          <cell r="U517">
            <v>0</v>
          </cell>
        </row>
        <row r="518">
          <cell r="Q518">
            <v>24</v>
          </cell>
          <cell r="R518">
            <v>7.0000000000000007E-2</v>
          </cell>
          <cell r="S518">
            <v>0.379</v>
          </cell>
          <cell r="T518">
            <v>0.55100000000000005</v>
          </cell>
          <cell r="U518">
            <v>0</v>
          </cell>
        </row>
        <row r="519">
          <cell r="Q519">
            <v>23</v>
          </cell>
          <cell r="R519">
            <v>7.2250000000000009E-2</v>
          </cell>
          <cell r="S519">
            <v>0.379</v>
          </cell>
          <cell r="T519">
            <v>0.54875000000000007</v>
          </cell>
          <cell r="U519">
            <v>0</v>
          </cell>
        </row>
        <row r="520">
          <cell r="Q520">
            <v>22</v>
          </cell>
          <cell r="R520">
            <v>7.4500000000000011E-2</v>
          </cell>
          <cell r="S520">
            <v>0.379</v>
          </cell>
          <cell r="T520">
            <v>0.54649999999999999</v>
          </cell>
          <cell r="U520">
            <v>0</v>
          </cell>
        </row>
        <row r="521">
          <cell r="Q521">
            <v>21</v>
          </cell>
          <cell r="R521">
            <v>7.6750000000000013E-2</v>
          </cell>
          <cell r="S521">
            <v>0.379</v>
          </cell>
          <cell r="T521">
            <v>0.54425000000000001</v>
          </cell>
          <cell r="U521">
            <v>0</v>
          </cell>
        </row>
        <row r="522">
          <cell r="Q522">
            <v>20</v>
          </cell>
          <cell r="R522">
            <v>7.9000000000000001E-2</v>
          </cell>
          <cell r="S522">
            <v>0.379</v>
          </cell>
          <cell r="T522">
            <v>0.54200000000000004</v>
          </cell>
          <cell r="U522">
            <v>0</v>
          </cell>
        </row>
        <row r="523">
          <cell r="Q523">
            <v>19</v>
          </cell>
          <cell r="R523">
            <v>8.1250000000000003E-2</v>
          </cell>
          <cell r="S523">
            <v>0.379</v>
          </cell>
          <cell r="T523">
            <v>0.53975000000000006</v>
          </cell>
          <cell r="U523">
            <v>0</v>
          </cell>
        </row>
        <row r="524">
          <cell r="Q524">
            <v>18</v>
          </cell>
          <cell r="R524">
            <v>8.3500000000000005E-2</v>
          </cell>
          <cell r="S524">
            <v>0.379</v>
          </cell>
          <cell r="T524">
            <v>0.53750000000000009</v>
          </cell>
          <cell r="U524">
            <v>0</v>
          </cell>
        </row>
        <row r="525">
          <cell r="Q525">
            <v>17</v>
          </cell>
          <cell r="R525">
            <v>8.5750000000000007E-2</v>
          </cell>
          <cell r="S525">
            <v>0.379</v>
          </cell>
          <cell r="T525">
            <v>0.53525</v>
          </cell>
          <cell r="U525">
            <v>0</v>
          </cell>
        </row>
        <row r="526">
          <cell r="Q526">
            <v>16</v>
          </cell>
          <cell r="R526">
            <v>8.8000000000000009E-2</v>
          </cell>
          <cell r="S526">
            <v>0.379</v>
          </cell>
          <cell r="T526">
            <v>0.53300000000000003</v>
          </cell>
          <cell r="U526">
            <v>0</v>
          </cell>
        </row>
        <row r="527">
          <cell r="Q527">
            <v>15</v>
          </cell>
          <cell r="R527">
            <v>9.0249999999999997E-2</v>
          </cell>
          <cell r="S527">
            <v>0.379</v>
          </cell>
          <cell r="T527">
            <v>0.53075000000000006</v>
          </cell>
          <cell r="U527">
            <v>0</v>
          </cell>
        </row>
        <row r="528">
          <cell r="Q528">
            <v>14</v>
          </cell>
          <cell r="R528">
            <v>9.2499999999999999E-2</v>
          </cell>
          <cell r="S528">
            <v>0.379</v>
          </cell>
          <cell r="T528">
            <v>0.52849999999999997</v>
          </cell>
          <cell r="U528">
            <v>0</v>
          </cell>
        </row>
        <row r="529">
          <cell r="Q529">
            <v>13</v>
          </cell>
          <cell r="R529">
            <v>9.4750000000000001E-2</v>
          </cell>
          <cell r="S529">
            <v>0.379</v>
          </cell>
          <cell r="T529">
            <v>0.52625</v>
          </cell>
          <cell r="U529">
            <v>0</v>
          </cell>
        </row>
        <row r="530">
          <cell r="Q530">
            <v>12</v>
          </cell>
          <cell r="R530">
            <v>9.7000000000000003E-2</v>
          </cell>
          <cell r="S530">
            <v>0.379</v>
          </cell>
          <cell r="T530">
            <v>0.52400000000000002</v>
          </cell>
          <cell r="U530">
            <v>0</v>
          </cell>
        </row>
        <row r="531">
          <cell r="Q531">
            <v>11</v>
          </cell>
          <cell r="R531">
            <v>9.9583333333333329E-2</v>
          </cell>
          <cell r="S531">
            <v>0.37833333333333335</v>
          </cell>
          <cell r="T531">
            <v>0.52208333333333334</v>
          </cell>
          <cell r="U531">
            <v>0</v>
          </cell>
        </row>
        <row r="532">
          <cell r="Q532">
            <v>10</v>
          </cell>
          <cell r="R532">
            <v>0.10216666666666667</v>
          </cell>
          <cell r="S532">
            <v>0.37766666666666665</v>
          </cell>
          <cell r="T532">
            <v>0.52016666666666667</v>
          </cell>
          <cell r="U532">
            <v>0</v>
          </cell>
        </row>
        <row r="533">
          <cell r="Q533">
            <v>9</v>
          </cell>
          <cell r="R533">
            <v>0.10475000000000001</v>
          </cell>
          <cell r="S533">
            <v>0.377</v>
          </cell>
          <cell r="T533">
            <v>0.51824999999999999</v>
          </cell>
          <cell r="U533">
            <v>0</v>
          </cell>
        </row>
        <row r="534">
          <cell r="Q534">
            <v>8</v>
          </cell>
          <cell r="R534">
            <v>0.10733333333333334</v>
          </cell>
          <cell r="S534">
            <v>0.37633333333333335</v>
          </cell>
          <cell r="T534">
            <v>0.51633333333333331</v>
          </cell>
          <cell r="U534">
            <v>0</v>
          </cell>
        </row>
        <row r="535">
          <cell r="Q535">
            <v>7</v>
          </cell>
          <cell r="R535">
            <v>0.10991666666666666</v>
          </cell>
          <cell r="S535">
            <v>0.37566666666666665</v>
          </cell>
          <cell r="T535">
            <v>0.51441666666666663</v>
          </cell>
          <cell r="U535">
            <v>0</v>
          </cell>
        </row>
        <row r="536">
          <cell r="Q536">
            <v>6</v>
          </cell>
          <cell r="R536">
            <v>0.1125</v>
          </cell>
          <cell r="S536">
            <v>0.375</v>
          </cell>
          <cell r="T536">
            <v>0.51249999999999996</v>
          </cell>
          <cell r="U536">
            <v>0</v>
          </cell>
        </row>
        <row r="537">
          <cell r="Q537">
            <v>5</v>
          </cell>
          <cell r="R537">
            <v>0.11508333333333334</v>
          </cell>
          <cell r="S537">
            <v>0.37433333333333335</v>
          </cell>
          <cell r="T537">
            <v>0.51058333333333339</v>
          </cell>
          <cell r="U537">
            <v>0</v>
          </cell>
        </row>
        <row r="538">
          <cell r="Q538">
            <v>4</v>
          </cell>
          <cell r="R538">
            <v>0.11766666666666667</v>
          </cell>
          <cell r="S538">
            <v>0.37366666666666665</v>
          </cell>
          <cell r="T538">
            <v>0.50866666666666671</v>
          </cell>
          <cell r="U538">
            <v>0</v>
          </cell>
        </row>
        <row r="539">
          <cell r="Q539">
            <v>3</v>
          </cell>
          <cell r="R539">
            <v>0.12025</v>
          </cell>
          <cell r="S539">
            <v>0.373</v>
          </cell>
          <cell r="T539">
            <v>0.50675000000000003</v>
          </cell>
          <cell r="U539">
            <v>0</v>
          </cell>
        </row>
        <row r="540">
          <cell r="Q540">
            <v>2</v>
          </cell>
          <cell r="R540">
            <v>0.12283333333333334</v>
          </cell>
          <cell r="S540">
            <v>0.37233333333333335</v>
          </cell>
          <cell r="T540">
            <v>0.50483333333333336</v>
          </cell>
          <cell r="U540">
            <v>0</v>
          </cell>
        </row>
        <row r="541">
          <cell r="Q541">
            <v>1</v>
          </cell>
          <cell r="R541">
            <v>0.12541666666666668</v>
          </cell>
          <cell r="S541">
            <v>0.37166666666666665</v>
          </cell>
          <cell r="T541">
            <v>0.50291666666666668</v>
          </cell>
          <cell r="U541">
            <v>0</v>
          </cell>
        </row>
        <row r="542">
          <cell r="Q542">
            <v>0</v>
          </cell>
          <cell r="R542">
            <v>0.128</v>
          </cell>
          <cell r="S542">
            <v>0.371</v>
          </cell>
          <cell r="T542">
            <v>0.501</v>
          </cell>
          <cell r="U542">
            <v>0</v>
          </cell>
        </row>
      </sheetData>
      <sheetData sheetId="3" refreshError="1">
        <row r="1">
          <cell r="Q1" t="str">
            <v>Month</v>
          </cell>
          <cell r="R1" t="str">
            <v>Allianz Strategy Select 75</v>
          </cell>
          <cell r="S1" t="str">
            <v>Allianz Strategy Select 30</v>
          </cell>
          <cell r="T1" t="str">
            <v>Allianz Advanced Fixed Income Short Duration</v>
          </cell>
        </row>
        <row r="2">
          <cell r="Q2">
            <v>540</v>
          </cell>
          <cell r="R2">
            <v>0.77777777777777779</v>
          </cell>
          <cell r="S2">
            <v>0.22222222222222221</v>
          </cell>
          <cell r="T2">
            <v>0</v>
          </cell>
        </row>
        <row r="3">
          <cell r="Q3">
            <v>539</v>
          </cell>
          <cell r="R3">
            <v>0.77777777777777779</v>
          </cell>
          <cell r="S3">
            <v>0.22222222222222221</v>
          </cell>
          <cell r="T3">
            <v>0</v>
          </cell>
        </row>
        <row r="4">
          <cell r="Q4">
            <v>538</v>
          </cell>
          <cell r="R4">
            <v>0.77777777777777779</v>
          </cell>
          <cell r="S4">
            <v>0.22222222222222221</v>
          </cell>
          <cell r="T4">
            <v>0</v>
          </cell>
        </row>
        <row r="5">
          <cell r="Q5">
            <v>537</v>
          </cell>
          <cell r="R5">
            <v>0.77777777777777779</v>
          </cell>
          <cell r="S5">
            <v>0.22222222222222221</v>
          </cell>
          <cell r="T5">
            <v>0</v>
          </cell>
        </row>
        <row r="6">
          <cell r="Q6">
            <v>536</v>
          </cell>
          <cell r="R6">
            <v>0.77777777777777779</v>
          </cell>
          <cell r="S6">
            <v>0.22222222222222221</v>
          </cell>
          <cell r="T6">
            <v>0</v>
          </cell>
        </row>
        <row r="7">
          <cell r="Q7">
            <v>535</v>
          </cell>
          <cell r="R7">
            <v>0.77777777777777779</v>
          </cell>
          <cell r="S7">
            <v>0.22222222222222221</v>
          </cell>
          <cell r="T7">
            <v>0</v>
          </cell>
        </row>
        <row r="8">
          <cell r="Q8">
            <v>534</v>
          </cell>
          <cell r="R8">
            <v>0.77777777777777779</v>
          </cell>
          <cell r="S8">
            <v>0.22222222222222221</v>
          </cell>
          <cell r="T8">
            <v>0</v>
          </cell>
        </row>
        <row r="9">
          <cell r="Q9">
            <v>533</v>
          </cell>
          <cell r="R9">
            <v>0.77777777777777779</v>
          </cell>
          <cell r="S9">
            <v>0.22222222222222221</v>
          </cell>
          <cell r="T9">
            <v>0</v>
          </cell>
        </row>
        <row r="10">
          <cell r="Q10">
            <v>532</v>
          </cell>
          <cell r="R10">
            <v>0.77777777777777779</v>
          </cell>
          <cell r="S10">
            <v>0.22222222222222221</v>
          </cell>
          <cell r="T10">
            <v>0</v>
          </cell>
        </row>
        <row r="11">
          <cell r="Q11">
            <v>531</v>
          </cell>
          <cell r="R11">
            <v>0.77777777777777779</v>
          </cell>
          <cell r="S11">
            <v>0.22222222222222221</v>
          </cell>
          <cell r="T11">
            <v>0</v>
          </cell>
        </row>
        <row r="12">
          <cell r="Q12">
            <v>530</v>
          </cell>
          <cell r="R12">
            <v>0.77777777777777779</v>
          </cell>
          <cell r="S12">
            <v>0.22222222222222221</v>
          </cell>
          <cell r="T12">
            <v>0</v>
          </cell>
        </row>
        <row r="13">
          <cell r="Q13">
            <v>529</v>
          </cell>
          <cell r="R13">
            <v>0.77777777777777779</v>
          </cell>
          <cell r="S13">
            <v>0.22222222222222221</v>
          </cell>
          <cell r="T13">
            <v>0</v>
          </cell>
        </row>
        <row r="14">
          <cell r="Q14">
            <v>528</v>
          </cell>
          <cell r="R14">
            <v>0.77777777777777779</v>
          </cell>
          <cell r="S14">
            <v>0.22222222222222221</v>
          </cell>
          <cell r="T14">
            <v>0</v>
          </cell>
        </row>
        <row r="15">
          <cell r="Q15">
            <v>527</v>
          </cell>
          <cell r="R15">
            <v>0.77777777777777779</v>
          </cell>
          <cell r="S15">
            <v>0.22222222222222221</v>
          </cell>
          <cell r="T15">
            <v>0</v>
          </cell>
        </row>
        <row r="16">
          <cell r="Q16">
            <v>526</v>
          </cell>
          <cell r="R16">
            <v>0.77777777777777779</v>
          </cell>
          <cell r="S16">
            <v>0.22222222222222221</v>
          </cell>
          <cell r="T16">
            <v>0</v>
          </cell>
        </row>
        <row r="17">
          <cell r="Q17">
            <v>525</v>
          </cell>
          <cell r="R17">
            <v>0.77777777777777779</v>
          </cell>
          <cell r="S17">
            <v>0.22222222222222221</v>
          </cell>
          <cell r="T17">
            <v>0</v>
          </cell>
        </row>
        <row r="18">
          <cell r="Q18">
            <v>524</v>
          </cell>
          <cell r="R18">
            <v>0.77777777777777779</v>
          </cell>
          <cell r="S18">
            <v>0.22222222222222221</v>
          </cell>
          <cell r="T18">
            <v>0</v>
          </cell>
        </row>
        <row r="19">
          <cell r="Q19">
            <v>523</v>
          </cell>
          <cell r="R19">
            <v>0.77777777777777779</v>
          </cell>
          <cell r="S19">
            <v>0.22222222222222221</v>
          </cell>
          <cell r="T19">
            <v>0</v>
          </cell>
        </row>
        <row r="20">
          <cell r="Q20">
            <v>522</v>
          </cell>
          <cell r="R20">
            <v>0.77777777777777779</v>
          </cell>
          <cell r="S20">
            <v>0.22222222222222221</v>
          </cell>
          <cell r="T20">
            <v>0</v>
          </cell>
        </row>
        <row r="21">
          <cell r="Q21">
            <v>521</v>
          </cell>
          <cell r="R21">
            <v>0.77777777777777779</v>
          </cell>
          <cell r="S21">
            <v>0.22222222222222221</v>
          </cell>
          <cell r="T21">
            <v>0</v>
          </cell>
        </row>
        <row r="22">
          <cell r="Q22">
            <v>520</v>
          </cell>
          <cell r="R22">
            <v>0.77777777777777779</v>
          </cell>
          <cell r="S22">
            <v>0.22222222222222221</v>
          </cell>
          <cell r="T22">
            <v>0</v>
          </cell>
        </row>
        <row r="23">
          <cell r="Q23">
            <v>519</v>
          </cell>
          <cell r="R23">
            <v>0.77777777777777779</v>
          </cell>
          <cell r="S23">
            <v>0.22222222222222221</v>
          </cell>
          <cell r="T23">
            <v>0</v>
          </cell>
        </row>
        <row r="24">
          <cell r="Q24">
            <v>518</v>
          </cell>
          <cell r="R24">
            <v>0.77777777777777779</v>
          </cell>
          <cell r="S24">
            <v>0.22222222222222221</v>
          </cell>
          <cell r="T24">
            <v>0</v>
          </cell>
        </row>
        <row r="25">
          <cell r="Q25">
            <v>517</v>
          </cell>
          <cell r="R25">
            <v>0.77777777777777779</v>
          </cell>
          <cell r="S25">
            <v>0.22222222222222221</v>
          </cell>
          <cell r="T25">
            <v>0</v>
          </cell>
        </row>
        <row r="26">
          <cell r="Q26">
            <v>516</v>
          </cell>
          <cell r="R26">
            <v>0.77777777777777779</v>
          </cell>
          <cell r="S26">
            <v>0.22222222222222221</v>
          </cell>
          <cell r="T26">
            <v>0</v>
          </cell>
        </row>
        <row r="27">
          <cell r="Q27">
            <v>515</v>
          </cell>
          <cell r="R27">
            <v>0.77777777777777779</v>
          </cell>
          <cell r="S27">
            <v>0.22222222222222221</v>
          </cell>
          <cell r="T27">
            <v>0</v>
          </cell>
        </row>
        <row r="28">
          <cell r="Q28">
            <v>514</v>
          </cell>
          <cell r="R28">
            <v>0.77777777777777779</v>
          </cell>
          <cell r="S28">
            <v>0.22222222222222221</v>
          </cell>
          <cell r="T28">
            <v>0</v>
          </cell>
        </row>
        <row r="29">
          <cell r="Q29">
            <v>513</v>
          </cell>
          <cell r="R29">
            <v>0.77777777777777779</v>
          </cell>
          <cell r="S29">
            <v>0.22222222222222221</v>
          </cell>
          <cell r="T29">
            <v>0</v>
          </cell>
        </row>
        <row r="30">
          <cell r="Q30">
            <v>512</v>
          </cell>
          <cell r="R30">
            <v>0.77777777777777779</v>
          </cell>
          <cell r="S30">
            <v>0.22222222222222221</v>
          </cell>
          <cell r="T30">
            <v>0</v>
          </cell>
        </row>
        <row r="31">
          <cell r="Q31">
            <v>511</v>
          </cell>
          <cell r="R31">
            <v>0.77777777777777779</v>
          </cell>
          <cell r="S31">
            <v>0.22222222222222221</v>
          </cell>
          <cell r="T31">
            <v>0</v>
          </cell>
        </row>
        <row r="32">
          <cell r="Q32">
            <v>510</v>
          </cell>
          <cell r="R32">
            <v>0.77777777777777779</v>
          </cell>
          <cell r="S32">
            <v>0.22222222222222221</v>
          </cell>
          <cell r="T32">
            <v>0</v>
          </cell>
        </row>
        <row r="33">
          <cell r="Q33">
            <v>509</v>
          </cell>
          <cell r="R33">
            <v>0.77777777777777779</v>
          </cell>
          <cell r="S33">
            <v>0.22222222222222221</v>
          </cell>
          <cell r="T33">
            <v>0</v>
          </cell>
        </row>
        <row r="34">
          <cell r="Q34">
            <v>508</v>
          </cell>
          <cell r="R34">
            <v>0.77777777777777779</v>
          </cell>
          <cell r="S34">
            <v>0.22222222222222221</v>
          </cell>
          <cell r="T34">
            <v>0</v>
          </cell>
        </row>
        <row r="35">
          <cell r="Q35">
            <v>507</v>
          </cell>
          <cell r="R35">
            <v>0.77777777777777779</v>
          </cell>
          <cell r="S35">
            <v>0.22222222222222221</v>
          </cell>
          <cell r="T35">
            <v>0</v>
          </cell>
        </row>
        <row r="36">
          <cell r="Q36">
            <v>506</v>
          </cell>
          <cell r="R36">
            <v>0.77777777777777779</v>
          </cell>
          <cell r="S36">
            <v>0.22222222222222221</v>
          </cell>
          <cell r="T36">
            <v>0</v>
          </cell>
        </row>
        <row r="37">
          <cell r="Q37">
            <v>505</v>
          </cell>
          <cell r="R37">
            <v>0.77777777777777779</v>
          </cell>
          <cell r="S37">
            <v>0.22222222222222221</v>
          </cell>
          <cell r="T37">
            <v>0</v>
          </cell>
        </row>
        <row r="38">
          <cell r="Q38">
            <v>504</v>
          </cell>
          <cell r="R38">
            <v>0.77777777777777779</v>
          </cell>
          <cell r="S38">
            <v>0.22222222222222221</v>
          </cell>
          <cell r="T38">
            <v>0</v>
          </cell>
        </row>
        <row r="39">
          <cell r="Q39">
            <v>503</v>
          </cell>
          <cell r="R39">
            <v>0.77777777777777779</v>
          </cell>
          <cell r="S39">
            <v>0.22222222222222221</v>
          </cell>
          <cell r="T39">
            <v>0</v>
          </cell>
        </row>
        <row r="40">
          <cell r="Q40">
            <v>502</v>
          </cell>
          <cell r="R40">
            <v>0.77777777777777779</v>
          </cell>
          <cell r="S40">
            <v>0.22222222222222221</v>
          </cell>
          <cell r="T40">
            <v>0</v>
          </cell>
        </row>
        <row r="41">
          <cell r="Q41">
            <v>501</v>
          </cell>
          <cell r="R41">
            <v>0.77777777777777779</v>
          </cell>
          <cell r="S41">
            <v>0.22222222222222221</v>
          </cell>
          <cell r="T41">
            <v>0</v>
          </cell>
        </row>
        <row r="42">
          <cell r="Q42">
            <v>500</v>
          </cell>
          <cell r="R42">
            <v>0.77777777777777779</v>
          </cell>
          <cell r="S42">
            <v>0.22222222222222221</v>
          </cell>
          <cell r="T42">
            <v>0</v>
          </cell>
        </row>
        <row r="43">
          <cell r="Q43">
            <v>499</v>
          </cell>
          <cell r="R43">
            <v>0.77777777777777779</v>
          </cell>
          <cell r="S43">
            <v>0.22222222222222221</v>
          </cell>
          <cell r="T43">
            <v>0</v>
          </cell>
        </row>
        <row r="44">
          <cell r="Q44">
            <v>498</v>
          </cell>
          <cell r="R44">
            <v>0.77777777777777779</v>
          </cell>
          <cell r="S44">
            <v>0.22222222222222221</v>
          </cell>
          <cell r="T44">
            <v>0</v>
          </cell>
        </row>
        <row r="45">
          <cell r="Q45">
            <v>497</v>
          </cell>
          <cell r="R45">
            <v>0.77777777777777779</v>
          </cell>
          <cell r="S45">
            <v>0.22222222222222221</v>
          </cell>
          <cell r="T45">
            <v>0</v>
          </cell>
        </row>
        <row r="46">
          <cell r="Q46">
            <v>496</v>
          </cell>
          <cell r="R46">
            <v>0.77777777777777779</v>
          </cell>
          <cell r="S46">
            <v>0.22222222222222221</v>
          </cell>
          <cell r="T46">
            <v>0</v>
          </cell>
        </row>
        <row r="47">
          <cell r="Q47">
            <v>495</v>
          </cell>
          <cell r="R47">
            <v>0.77777777777777779</v>
          </cell>
          <cell r="S47">
            <v>0.22222222222222221</v>
          </cell>
          <cell r="T47">
            <v>0</v>
          </cell>
        </row>
        <row r="48">
          <cell r="Q48">
            <v>494</v>
          </cell>
          <cell r="R48">
            <v>0.77777777777777779</v>
          </cell>
          <cell r="S48">
            <v>0.22222222222222221</v>
          </cell>
          <cell r="T48">
            <v>0</v>
          </cell>
        </row>
        <row r="49">
          <cell r="Q49">
            <v>493</v>
          </cell>
          <cell r="R49">
            <v>0.77777777777777779</v>
          </cell>
          <cell r="S49">
            <v>0.22222222222222221</v>
          </cell>
          <cell r="T49">
            <v>0</v>
          </cell>
        </row>
        <row r="50">
          <cell r="Q50">
            <v>492</v>
          </cell>
          <cell r="R50">
            <v>0.77777777777777779</v>
          </cell>
          <cell r="S50">
            <v>0.22222222222222221</v>
          </cell>
          <cell r="T50">
            <v>0</v>
          </cell>
        </row>
        <row r="51">
          <cell r="Q51">
            <v>491</v>
          </cell>
          <cell r="R51">
            <v>0.77777777777777779</v>
          </cell>
          <cell r="S51">
            <v>0.22222222222222221</v>
          </cell>
          <cell r="T51">
            <v>0</v>
          </cell>
        </row>
        <row r="52">
          <cell r="Q52">
            <v>490</v>
          </cell>
          <cell r="R52">
            <v>0.77777777777777779</v>
          </cell>
          <cell r="S52">
            <v>0.22222222222222221</v>
          </cell>
          <cell r="T52">
            <v>0</v>
          </cell>
        </row>
        <row r="53">
          <cell r="Q53">
            <v>489</v>
          </cell>
          <cell r="R53">
            <v>0.77777777777777779</v>
          </cell>
          <cell r="S53">
            <v>0.22222222222222221</v>
          </cell>
          <cell r="T53">
            <v>0</v>
          </cell>
        </row>
        <row r="54">
          <cell r="Q54">
            <v>488</v>
          </cell>
          <cell r="R54">
            <v>0.77777777777777779</v>
          </cell>
          <cell r="S54">
            <v>0.22222222222222221</v>
          </cell>
          <cell r="T54">
            <v>0</v>
          </cell>
        </row>
        <row r="55">
          <cell r="Q55">
            <v>487</v>
          </cell>
          <cell r="R55">
            <v>0.77777777777777779</v>
          </cell>
          <cell r="S55">
            <v>0.22222222222222221</v>
          </cell>
          <cell r="T55">
            <v>0</v>
          </cell>
        </row>
        <row r="56">
          <cell r="Q56">
            <v>486</v>
          </cell>
          <cell r="R56">
            <v>0.77777777777777779</v>
          </cell>
          <cell r="S56">
            <v>0.22222222222222221</v>
          </cell>
          <cell r="T56">
            <v>0</v>
          </cell>
        </row>
        <row r="57">
          <cell r="Q57">
            <v>485</v>
          </cell>
          <cell r="R57">
            <v>0.77777777777777779</v>
          </cell>
          <cell r="S57">
            <v>0.22222222222222221</v>
          </cell>
          <cell r="T57">
            <v>0</v>
          </cell>
        </row>
        <row r="58">
          <cell r="Q58">
            <v>484</v>
          </cell>
          <cell r="R58">
            <v>0.77777777777777779</v>
          </cell>
          <cell r="S58">
            <v>0.22222222222222221</v>
          </cell>
          <cell r="T58">
            <v>0</v>
          </cell>
        </row>
        <row r="59">
          <cell r="Q59">
            <v>483</v>
          </cell>
          <cell r="R59">
            <v>0.77777777777777779</v>
          </cell>
          <cell r="S59">
            <v>0.22222222222222221</v>
          </cell>
          <cell r="T59">
            <v>0</v>
          </cell>
        </row>
        <row r="60">
          <cell r="Q60">
            <v>482</v>
          </cell>
          <cell r="R60">
            <v>0.77777777777777779</v>
          </cell>
          <cell r="S60">
            <v>0.22222222222222221</v>
          </cell>
          <cell r="T60">
            <v>0</v>
          </cell>
        </row>
        <row r="61">
          <cell r="Q61">
            <v>481</v>
          </cell>
          <cell r="R61">
            <v>0.77777777777777779</v>
          </cell>
          <cell r="S61">
            <v>0.22222222222222221</v>
          </cell>
          <cell r="T61">
            <v>0</v>
          </cell>
        </row>
        <row r="62">
          <cell r="Q62">
            <v>480</v>
          </cell>
          <cell r="R62">
            <v>0.77777777777777779</v>
          </cell>
          <cell r="S62">
            <v>0.22222222222222221</v>
          </cell>
          <cell r="T62">
            <v>0</v>
          </cell>
        </row>
        <row r="63">
          <cell r="Q63">
            <v>479</v>
          </cell>
          <cell r="R63">
            <v>0.77777777777777779</v>
          </cell>
          <cell r="S63">
            <v>0.22222222222222221</v>
          </cell>
          <cell r="T63">
            <v>0</v>
          </cell>
        </row>
        <row r="64">
          <cell r="Q64">
            <v>478</v>
          </cell>
          <cell r="R64">
            <v>0.77777777777777779</v>
          </cell>
          <cell r="S64">
            <v>0.22222222222222221</v>
          </cell>
          <cell r="T64">
            <v>0</v>
          </cell>
        </row>
        <row r="65">
          <cell r="Q65">
            <v>477</v>
          </cell>
          <cell r="R65">
            <v>0.77777777777777779</v>
          </cell>
          <cell r="S65">
            <v>0.22222222222222221</v>
          </cell>
          <cell r="T65">
            <v>0</v>
          </cell>
        </row>
        <row r="66">
          <cell r="Q66">
            <v>476</v>
          </cell>
          <cell r="R66">
            <v>0.77777777777777779</v>
          </cell>
          <cell r="S66">
            <v>0.22222222222222221</v>
          </cell>
          <cell r="T66">
            <v>0</v>
          </cell>
        </row>
        <row r="67">
          <cell r="Q67">
            <v>475</v>
          </cell>
          <cell r="R67">
            <v>0.77777777777777779</v>
          </cell>
          <cell r="S67">
            <v>0.22222222222222221</v>
          </cell>
          <cell r="T67">
            <v>0</v>
          </cell>
        </row>
        <row r="68">
          <cell r="Q68">
            <v>474</v>
          </cell>
          <cell r="R68">
            <v>0.77777777777777779</v>
          </cell>
          <cell r="S68">
            <v>0.22222222222222221</v>
          </cell>
          <cell r="T68">
            <v>0</v>
          </cell>
        </row>
        <row r="69">
          <cell r="Q69">
            <v>473</v>
          </cell>
          <cell r="R69">
            <v>0.77777777777777779</v>
          </cell>
          <cell r="S69">
            <v>0.22222222222222221</v>
          </cell>
          <cell r="T69">
            <v>0</v>
          </cell>
        </row>
        <row r="70">
          <cell r="Q70">
            <v>472</v>
          </cell>
          <cell r="R70">
            <v>0.77777777777777779</v>
          </cell>
          <cell r="S70">
            <v>0.22222222222222221</v>
          </cell>
          <cell r="T70">
            <v>0</v>
          </cell>
        </row>
        <row r="71">
          <cell r="Q71">
            <v>471</v>
          </cell>
          <cell r="R71">
            <v>0.77777777777777779</v>
          </cell>
          <cell r="S71">
            <v>0.22222222222222221</v>
          </cell>
          <cell r="T71">
            <v>0</v>
          </cell>
        </row>
        <row r="72">
          <cell r="Q72">
            <v>470</v>
          </cell>
          <cell r="R72">
            <v>0.77777777777777779</v>
          </cell>
          <cell r="S72">
            <v>0.22222222222222221</v>
          </cell>
          <cell r="T72">
            <v>0</v>
          </cell>
        </row>
        <row r="73">
          <cell r="Q73">
            <v>469</v>
          </cell>
          <cell r="R73">
            <v>0.77777777777777779</v>
          </cell>
          <cell r="S73">
            <v>0.22222222222222221</v>
          </cell>
          <cell r="T73">
            <v>0</v>
          </cell>
        </row>
        <row r="74">
          <cell r="Q74">
            <v>468</v>
          </cell>
          <cell r="R74">
            <v>0.77777777777777779</v>
          </cell>
          <cell r="S74">
            <v>0.22222222222222221</v>
          </cell>
          <cell r="T74">
            <v>0</v>
          </cell>
        </row>
        <row r="75">
          <cell r="Q75">
            <v>467</v>
          </cell>
          <cell r="R75">
            <v>0.77777777777777779</v>
          </cell>
          <cell r="S75">
            <v>0.22222222222222221</v>
          </cell>
          <cell r="T75">
            <v>0</v>
          </cell>
        </row>
        <row r="76">
          <cell r="Q76">
            <v>466</v>
          </cell>
          <cell r="R76">
            <v>0.77777777777777779</v>
          </cell>
          <cell r="S76">
            <v>0.22222222222222221</v>
          </cell>
          <cell r="T76">
            <v>0</v>
          </cell>
        </row>
        <row r="77">
          <cell r="Q77">
            <v>465</v>
          </cell>
          <cell r="R77">
            <v>0.77777777777777779</v>
          </cell>
          <cell r="S77">
            <v>0.22222222222222221</v>
          </cell>
          <cell r="T77">
            <v>0</v>
          </cell>
        </row>
        <row r="78">
          <cell r="Q78">
            <v>464</v>
          </cell>
          <cell r="R78">
            <v>0.77777777777777779</v>
          </cell>
          <cell r="S78">
            <v>0.22222222222222221</v>
          </cell>
          <cell r="T78">
            <v>0</v>
          </cell>
        </row>
        <row r="79">
          <cell r="Q79">
            <v>463</v>
          </cell>
          <cell r="R79">
            <v>0.77777777777777779</v>
          </cell>
          <cell r="S79">
            <v>0.22222222222222221</v>
          </cell>
          <cell r="T79">
            <v>0</v>
          </cell>
        </row>
        <row r="80">
          <cell r="Q80">
            <v>462</v>
          </cell>
          <cell r="R80">
            <v>0.77777777777777779</v>
          </cell>
          <cell r="S80">
            <v>0.22222222222222221</v>
          </cell>
          <cell r="T80">
            <v>0</v>
          </cell>
        </row>
        <row r="81">
          <cell r="Q81">
            <v>461</v>
          </cell>
          <cell r="R81">
            <v>0.77777777777777779</v>
          </cell>
          <cell r="S81">
            <v>0.22222222222222221</v>
          </cell>
          <cell r="T81">
            <v>0</v>
          </cell>
        </row>
        <row r="82">
          <cell r="Q82">
            <v>460</v>
          </cell>
          <cell r="R82">
            <v>0.77777777777777779</v>
          </cell>
          <cell r="S82">
            <v>0.22222222222222221</v>
          </cell>
          <cell r="T82">
            <v>0</v>
          </cell>
        </row>
        <row r="83">
          <cell r="Q83">
            <v>459</v>
          </cell>
          <cell r="R83">
            <v>0.77777777777777779</v>
          </cell>
          <cell r="S83">
            <v>0.22222222222222221</v>
          </cell>
          <cell r="T83">
            <v>0</v>
          </cell>
        </row>
        <row r="84">
          <cell r="Q84">
            <v>458</v>
          </cell>
          <cell r="R84">
            <v>0.77777777777777779</v>
          </cell>
          <cell r="S84">
            <v>0.22222222222222221</v>
          </cell>
          <cell r="T84">
            <v>0</v>
          </cell>
        </row>
        <row r="85">
          <cell r="Q85">
            <v>457</v>
          </cell>
          <cell r="R85">
            <v>0.77777777777777779</v>
          </cell>
          <cell r="S85">
            <v>0.22222222222222221</v>
          </cell>
          <cell r="T85">
            <v>0</v>
          </cell>
        </row>
        <row r="86">
          <cell r="Q86">
            <v>456</v>
          </cell>
          <cell r="R86">
            <v>0.77777777777777779</v>
          </cell>
          <cell r="S86">
            <v>0.22222222222222221</v>
          </cell>
          <cell r="T86">
            <v>0</v>
          </cell>
        </row>
        <row r="87">
          <cell r="Q87">
            <v>455</v>
          </cell>
          <cell r="R87">
            <v>0.77777777777777779</v>
          </cell>
          <cell r="S87">
            <v>0.22222222222222221</v>
          </cell>
          <cell r="T87">
            <v>0</v>
          </cell>
        </row>
        <row r="88">
          <cell r="Q88">
            <v>454</v>
          </cell>
          <cell r="R88">
            <v>0.77777777777777779</v>
          </cell>
          <cell r="S88">
            <v>0.22222222222222221</v>
          </cell>
          <cell r="T88">
            <v>0</v>
          </cell>
        </row>
        <row r="89">
          <cell r="Q89">
            <v>453</v>
          </cell>
          <cell r="R89">
            <v>0.77777777777777779</v>
          </cell>
          <cell r="S89">
            <v>0.22222222222222221</v>
          </cell>
          <cell r="T89">
            <v>0</v>
          </cell>
        </row>
        <row r="90">
          <cell r="Q90">
            <v>452</v>
          </cell>
          <cell r="R90">
            <v>0.77777777777777779</v>
          </cell>
          <cell r="S90">
            <v>0.22222222222222221</v>
          </cell>
          <cell r="T90">
            <v>0</v>
          </cell>
        </row>
        <row r="91">
          <cell r="Q91">
            <v>451</v>
          </cell>
          <cell r="R91">
            <v>0.77777777777777779</v>
          </cell>
          <cell r="S91">
            <v>0.22222222222222221</v>
          </cell>
          <cell r="T91">
            <v>0</v>
          </cell>
        </row>
        <row r="92">
          <cell r="Q92">
            <v>450</v>
          </cell>
          <cell r="R92">
            <v>0.77777777777777779</v>
          </cell>
          <cell r="S92">
            <v>0.22222222222222221</v>
          </cell>
          <cell r="T92">
            <v>0</v>
          </cell>
        </row>
        <row r="93">
          <cell r="Q93">
            <v>449</v>
          </cell>
          <cell r="R93">
            <v>0.77777777777777779</v>
          </cell>
          <cell r="S93">
            <v>0.22222222222222221</v>
          </cell>
          <cell r="T93">
            <v>0</v>
          </cell>
        </row>
        <row r="94">
          <cell r="Q94">
            <v>448</v>
          </cell>
          <cell r="R94">
            <v>0.77777777777777779</v>
          </cell>
          <cell r="S94">
            <v>0.22222222222222221</v>
          </cell>
          <cell r="T94">
            <v>0</v>
          </cell>
        </row>
        <row r="95">
          <cell r="Q95">
            <v>447</v>
          </cell>
          <cell r="R95">
            <v>0.77777777777777779</v>
          </cell>
          <cell r="S95">
            <v>0.22222222222222221</v>
          </cell>
          <cell r="T95">
            <v>0</v>
          </cell>
        </row>
        <row r="96">
          <cell r="Q96">
            <v>446</v>
          </cell>
          <cell r="R96">
            <v>0.77777777777777779</v>
          </cell>
          <cell r="S96">
            <v>0.22222222222222221</v>
          </cell>
          <cell r="T96">
            <v>0</v>
          </cell>
        </row>
        <row r="97">
          <cell r="Q97">
            <v>445</v>
          </cell>
          <cell r="R97">
            <v>0.77777777777777779</v>
          </cell>
          <cell r="S97">
            <v>0.22222222222222221</v>
          </cell>
          <cell r="T97">
            <v>0</v>
          </cell>
        </row>
        <row r="98">
          <cell r="Q98">
            <v>444</v>
          </cell>
          <cell r="R98">
            <v>0.77777777777777779</v>
          </cell>
          <cell r="S98">
            <v>0.22222222222222221</v>
          </cell>
          <cell r="T98">
            <v>0</v>
          </cell>
        </row>
        <row r="99">
          <cell r="Q99">
            <v>443</v>
          </cell>
          <cell r="R99">
            <v>0.77777777777777779</v>
          </cell>
          <cell r="S99">
            <v>0.22222222222222221</v>
          </cell>
          <cell r="T99">
            <v>0</v>
          </cell>
        </row>
        <row r="100">
          <cell r="Q100">
            <v>442</v>
          </cell>
          <cell r="R100">
            <v>0.77777777777777779</v>
          </cell>
          <cell r="S100">
            <v>0.22222222222222221</v>
          </cell>
          <cell r="T100">
            <v>0</v>
          </cell>
        </row>
        <row r="101">
          <cell r="Q101">
            <v>441</v>
          </cell>
          <cell r="R101">
            <v>0.77777777777777779</v>
          </cell>
          <cell r="S101">
            <v>0.22222222222222221</v>
          </cell>
          <cell r="T101">
            <v>0</v>
          </cell>
        </row>
        <row r="102">
          <cell r="Q102">
            <v>440</v>
          </cell>
          <cell r="R102">
            <v>0.77777777777777779</v>
          </cell>
          <cell r="S102">
            <v>0.22222222222222221</v>
          </cell>
          <cell r="T102">
            <v>0</v>
          </cell>
        </row>
        <row r="103">
          <cell r="Q103">
            <v>439</v>
          </cell>
          <cell r="R103">
            <v>0.77777777777777779</v>
          </cell>
          <cell r="S103">
            <v>0.22222222222222221</v>
          </cell>
          <cell r="T103">
            <v>0</v>
          </cell>
        </row>
        <row r="104">
          <cell r="Q104">
            <v>438</v>
          </cell>
          <cell r="R104">
            <v>0.77777777777777779</v>
          </cell>
          <cell r="S104">
            <v>0.22222222222222221</v>
          </cell>
          <cell r="T104">
            <v>0</v>
          </cell>
        </row>
        <row r="105">
          <cell r="Q105">
            <v>437</v>
          </cell>
          <cell r="R105">
            <v>0.77777777777777779</v>
          </cell>
          <cell r="S105">
            <v>0.22222222222222221</v>
          </cell>
          <cell r="T105">
            <v>0</v>
          </cell>
        </row>
        <row r="106">
          <cell r="Q106">
            <v>436</v>
          </cell>
          <cell r="R106">
            <v>0.77777777777777779</v>
          </cell>
          <cell r="S106">
            <v>0.22222222222222221</v>
          </cell>
          <cell r="T106">
            <v>0</v>
          </cell>
        </row>
        <row r="107">
          <cell r="Q107">
            <v>435</v>
          </cell>
          <cell r="R107">
            <v>0.77777777777777779</v>
          </cell>
          <cell r="S107">
            <v>0.22222222222222221</v>
          </cell>
          <cell r="T107">
            <v>0</v>
          </cell>
        </row>
        <row r="108">
          <cell r="Q108">
            <v>434</v>
          </cell>
          <cell r="R108">
            <v>0.77777777777777779</v>
          </cell>
          <cell r="S108">
            <v>0.22222222222222221</v>
          </cell>
          <cell r="T108">
            <v>0</v>
          </cell>
        </row>
        <row r="109">
          <cell r="Q109">
            <v>433</v>
          </cell>
          <cell r="R109">
            <v>0.77777777777777779</v>
          </cell>
          <cell r="S109">
            <v>0.22222222222222221</v>
          </cell>
          <cell r="T109">
            <v>0</v>
          </cell>
        </row>
        <row r="110">
          <cell r="Q110">
            <v>432</v>
          </cell>
          <cell r="R110">
            <v>0.77777777777777779</v>
          </cell>
          <cell r="S110">
            <v>0.22222222222222221</v>
          </cell>
          <cell r="T110">
            <v>0</v>
          </cell>
        </row>
        <row r="111">
          <cell r="Q111">
            <v>431</v>
          </cell>
          <cell r="R111">
            <v>0.77777777777777779</v>
          </cell>
          <cell r="S111">
            <v>0.22222222222222221</v>
          </cell>
          <cell r="T111">
            <v>0</v>
          </cell>
        </row>
        <row r="112">
          <cell r="Q112">
            <v>430</v>
          </cell>
          <cell r="R112">
            <v>0.77777777777777779</v>
          </cell>
          <cell r="S112">
            <v>0.22222222222222221</v>
          </cell>
          <cell r="T112">
            <v>0</v>
          </cell>
        </row>
        <row r="113">
          <cell r="Q113">
            <v>429</v>
          </cell>
          <cell r="R113">
            <v>0.77777777777777779</v>
          </cell>
          <cell r="S113">
            <v>0.22222222222222221</v>
          </cell>
          <cell r="T113">
            <v>0</v>
          </cell>
        </row>
        <row r="114">
          <cell r="Q114">
            <v>428</v>
          </cell>
          <cell r="R114">
            <v>0.77777777777777779</v>
          </cell>
          <cell r="S114">
            <v>0.22222222222222221</v>
          </cell>
          <cell r="T114">
            <v>0</v>
          </cell>
        </row>
        <row r="115">
          <cell r="Q115">
            <v>427</v>
          </cell>
          <cell r="R115">
            <v>0.77777777777777779</v>
          </cell>
          <cell r="S115">
            <v>0.22222222222222221</v>
          </cell>
          <cell r="T115">
            <v>0</v>
          </cell>
        </row>
        <row r="116">
          <cell r="Q116">
            <v>426</v>
          </cell>
          <cell r="R116">
            <v>0.77777777777777779</v>
          </cell>
          <cell r="S116">
            <v>0.22222222222222221</v>
          </cell>
          <cell r="T116">
            <v>0</v>
          </cell>
        </row>
        <row r="117">
          <cell r="Q117">
            <v>425</v>
          </cell>
          <cell r="R117">
            <v>0.77777777777777779</v>
          </cell>
          <cell r="S117">
            <v>0.22222222222222221</v>
          </cell>
          <cell r="T117">
            <v>0</v>
          </cell>
        </row>
        <row r="118">
          <cell r="Q118">
            <v>424</v>
          </cell>
          <cell r="R118">
            <v>0.77777777777777779</v>
          </cell>
          <cell r="S118">
            <v>0.22222222222222221</v>
          </cell>
          <cell r="T118">
            <v>0</v>
          </cell>
        </row>
        <row r="119">
          <cell r="Q119">
            <v>423</v>
          </cell>
          <cell r="R119">
            <v>0.77777777777777779</v>
          </cell>
          <cell r="S119">
            <v>0.22222222222222221</v>
          </cell>
          <cell r="T119">
            <v>0</v>
          </cell>
        </row>
        <row r="120">
          <cell r="Q120">
            <v>422</v>
          </cell>
          <cell r="R120">
            <v>0.77777777777777779</v>
          </cell>
          <cell r="S120">
            <v>0.22222222222222221</v>
          </cell>
          <cell r="T120">
            <v>0</v>
          </cell>
        </row>
        <row r="121">
          <cell r="Q121">
            <v>421</v>
          </cell>
          <cell r="R121">
            <v>0.77777777777777779</v>
          </cell>
          <cell r="S121">
            <v>0.22222222222222221</v>
          </cell>
          <cell r="T121">
            <v>0</v>
          </cell>
        </row>
        <row r="122">
          <cell r="Q122">
            <v>420</v>
          </cell>
          <cell r="R122">
            <v>0.77777777777777779</v>
          </cell>
          <cell r="S122">
            <v>0.22222222222222221</v>
          </cell>
          <cell r="T122">
            <v>0</v>
          </cell>
        </row>
        <row r="123">
          <cell r="Q123">
            <v>419</v>
          </cell>
          <cell r="R123">
            <v>0.77777777777777779</v>
          </cell>
          <cell r="S123">
            <v>0.22222222222222221</v>
          </cell>
          <cell r="T123">
            <v>0</v>
          </cell>
        </row>
        <row r="124">
          <cell r="Q124">
            <v>418</v>
          </cell>
          <cell r="R124">
            <v>0.77777777777777779</v>
          </cell>
          <cell r="S124">
            <v>0.22222222222222221</v>
          </cell>
          <cell r="T124">
            <v>0</v>
          </cell>
        </row>
        <row r="125">
          <cell r="Q125">
            <v>417</v>
          </cell>
          <cell r="R125">
            <v>0.77777777777777779</v>
          </cell>
          <cell r="S125">
            <v>0.22222222222222221</v>
          </cell>
          <cell r="T125">
            <v>0</v>
          </cell>
        </row>
        <row r="126">
          <cell r="Q126">
            <v>416</v>
          </cell>
          <cell r="R126">
            <v>0.77777777777777779</v>
          </cell>
          <cell r="S126">
            <v>0.22222222222222221</v>
          </cell>
          <cell r="T126">
            <v>0</v>
          </cell>
        </row>
        <row r="127">
          <cell r="Q127">
            <v>415</v>
          </cell>
          <cell r="R127">
            <v>0.77777777777777779</v>
          </cell>
          <cell r="S127">
            <v>0.22222222222222221</v>
          </cell>
          <cell r="T127">
            <v>0</v>
          </cell>
        </row>
        <row r="128">
          <cell r="Q128">
            <v>414</v>
          </cell>
          <cell r="R128">
            <v>0.77777777777777779</v>
          </cell>
          <cell r="S128">
            <v>0.22222222222222221</v>
          </cell>
          <cell r="T128">
            <v>0</v>
          </cell>
        </row>
        <row r="129">
          <cell r="Q129">
            <v>413</v>
          </cell>
          <cell r="R129">
            <v>0.77777777777777779</v>
          </cell>
          <cell r="S129">
            <v>0.22222222222222221</v>
          </cell>
          <cell r="T129">
            <v>0</v>
          </cell>
        </row>
        <row r="130">
          <cell r="Q130">
            <v>412</v>
          </cell>
          <cell r="R130">
            <v>0.77777777777777779</v>
          </cell>
          <cell r="S130">
            <v>0.22222222222222221</v>
          </cell>
          <cell r="T130">
            <v>0</v>
          </cell>
        </row>
        <row r="131">
          <cell r="Q131">
            <v>411</v>
          </cell>
          <cell r="R131">
            <v>0.77777777777777779</v>
          </cell>
          <cell r="S131">
            <v>0.22222222222222221</v>
          </cell>
          <cell r="T131">
            <v>0</v>
          </cell>
        </row>
        <row r="132">
          <cell r="Q132">
            <v>410</v>
          </cell>
          <cell r="R132">
            <v>0.77777777777777779</v>
          </cell>
          <cell r="S132">
            <v>0.22222222222222221</v>
          </cell>
          <cell r="T132">
            <v>0</v>
          </cell>
        </row>
        <row r="133">
          <cell r="Q133">
            <v>409</v>
          </cell>
          <cell r="R133">
            <v>0.77777777777777779</v>
          </cell>
          <cell r="S133">
            <v>0.22222222222222221</v>
          </cell>
          <cell r="T133">
            <v>0</v>
          </cell>
        </row>
        <row r="134">
          <cell r="Q134">
            <v>408</v>
          </cell>
          <cell r="R134">
            <v>0.77777777777777779</v>
          </cell>
          <cell r="S134">
            <v>0.22222222222222221</v>
          </cell>
          <cell r="T134">
            <v>0</v>
          </cell>
        </row>
        <row r="135">
          <cell r="Q135">
            <v>407</v>
          </cell>
          <cell r="R135">
            <v>0.77777777777777779</v>
          </cell>
          <cell r="S135">
            <v>0.22222222222222221</v>
          </cell>
          <cell r="T135">
            <v>0</v>
          </cell>
        </row>
        <row r="136">
          <cell r="Q136">
            <v>406</v>
          </cell>
          <cell r="R136">
            <v>0.77777777777777779</v>
          </cell>
          <cell r="S136">
            <v>0.22222222222222221</v>
          </cell>
          <cell r="T136">
            <v>0</v>
          </cell>
        </row>
        <row r="137">
          <cell r="Q137">
            <v>405</v>
          </cell>
          <cell r="R137">
            <v>0.77777777777777779</v>
          </cell>
          <cell r="S137">
            <v>0.22222222222222221</v>
          </cell>
          <cell r="T137">
            <v>0</v>
          </cell>
        </row>
        <row r="138">
          <cell r="Q138">
            <v>404</v>
          </cell>
          <cell r="R138">
            <v>0.77777777777777779</v>
          </cell>
          <cell r="S138">
            <v>0.22222222222222221</v>
          </cell>
          <cell r="T138">
            <v>0</v>
          </cell>
        </row>
        <row r="139">
          <cell r="Q139">
            <v>403</v>
          </cell>
          <cell r="R139">
            <v>0.77777777777777779</v>
          </cell>
          <cell r="S139">
            <v>0.22222222222222221</v>
          </cell>
          <cell r="T139">
            <v>0</v>
          </cell>
        </row>
        <row r="140">
          <cell r="Q140">
            <v>402</v>
          </cell>
          <cell r="R140">
            <v>0.77777777777777779</v>
          </cell>
          <cell r="S140">
            <v>0.22222222222222221</v>
          </cell>
          <cell r="T140">
            <v>0</v>
          </cell>
        </row>
        <row r="141">
          <cell r="Q141">
            <v>401</v>
          </cell>
          <cell r="R141">
            <v>0.77777777777777779</v>
          </cell>
          <cell r="S141">
            <v>0.22222222222222221</v>
          </cell>
          <cell r="T141">
            <v>0</v>
          </cell>
        </row>
        <row r="142">
          <cell r="Q142">
            <v>400</v>
          </cell>
          <cell r="R142">
            <v>0.77777777777777779</v>
          </cell>
          <cell r="S142">
            <v>0.22222222222222221</v>
          </cell>
          <cell r="T142">
            <v>0</v>
          </cell>
        </row>
        <row r="143">
          <cell r="Q143">
            <v>399</v>
          </cell>
          <cell r="R143">
            <v>0.77777777777777779</v>
          </cell>
          <cell r="S143">
            <v>0.22222222222222221</v>
          </cell>
          <cell r="T143">
            <v>0</v>
          </cell>
        </row>
        <row r="144">
          <cell r="Q144">
            <v>398</v>
          </cell>
          <cell r="R144">
            <v>0.77777777777777779</v>
          </cell>
          <cell r="S144">
            <v>0.22222222222222221</v>
          </cell>
          <cell r="T144">
            <v>0</v>
          </cell>
        </row>
        <row r="145">
          <cell r="Q145">
            <v>397</v>
          </cell>
          <cell r="R145">
            <v>0.77777777777777779</v>
          </cell>
          <cell r="S145">
            <v>0.22222222222222221</v>
          </cell>
          <cell r="T145">
            <v>0</v>
          </cell>
        </row>
        <row r="146">
          <cell r="Q146">
            <v>396</v>
          </cell>
          <cell r="R146">
            <v>0.77777777777777779</v>
          </cell>
          <cell r="S146">
            <v>0.22222222222222221</v>
          </cell>
          <cell r="T146">
            <v>0</v>
          </cell>
        </row>
        <row r="147">
          <cell r="Q147">
            <v>395</v>
          </cell>
          <cell r="R147">
            <v>0.77777777777777779</v>
          </cell>
          <cell r="S147">
            <v>0.22222222222222221</v>
          </cell>
          <cell r="T147">
            <v>0</v>
          </cell>
        </row>
        <row r="148">
          <cell r="Q148">
            <v>394</v>
          </cell>
          <cell r="R148">
            <v>0.77777777777777779</v>
          </cell>
          <cell r="S148">
            <v>0.22222222222222221</v>
          </cell>
          <cell r="T148">
            <v>0</v>
          </cell>
        </row>
        <row r="149">
          <cell r="Q149">
            <v>393</v>
          </cell>
          <cell r="R149">
            <v>0.77777777777777779</v>
          </cell>
          <cell r="S149">
            <v>0.22222222222222221</v>
          </cell>
          <cell r="T149">
            <v>0</v>
          </cell>
        </row>
        <row r="150">
          <cell r="Q150">
            <v>392</v>
          </cell>
          <cell r="R150">
            <v>0.77777777777777779</v>
          </cell>
          <cell r="S150">
            <v>0.22222222222222221</v>
          </cell>
          <cell r="T150">
            <v>0</v>
          </cell>
        </row>
        <row r="151">
          <cell r="Q151">
            <v>391</v>
          </cell>
          <cell r="R151">
            <v>0.77777777777777779</v>
          </cell>
          <cell r="S151">
            <v>0.22222222222222221</v>
          </cell>
          <cell r="T151">
            <v>0</v>
          </cell>
        </row>
        <row r="152">
          <cell r="Q152">
            <v>390</v>
          </cell>
          <cell r="R152">
            <v>0.77777777777777779</v>
          </cell>
          <cell r="S152">
            <v>0.22222222222222221</v>
          </cell>
          <cell r="T152">
            <v>0</v>
          </cell>
        </row>
        <row r="153">
          <cell r="Q153">
            <v>389</v>
          </cell>
          <cell r="R153">
            <v>0.77777777777777779</v>
          </cell>
          <cell r="S153">
            <v>0.22222222222222221</v>
          </cell>
          <cell r="T153">
            <v>0</v>
          </cell>
        </row>
        <row r="154">
          <cell r="Q154">
            <v>388</v>
          </cell>
          <cell r="R154">
            <v>0.77777777777777779</v>
          </cell>
          <cell r="S154">
            <v>0.22222222222222221</v>
          </cell>
          <cell r="T154">
            <v>0</v>
          </cell>
        </row>
        <row r="155">
          <cell r="Q155">
            <v>387</v>
          </cell>
          <cell r="R155">
            <v>0.77777777777777779</v>
          </cell>
          <cell r="S155">
            <v>0.22222222222222221</v>
          </cell>
          <cell r="T155">
            <v>0</v>
          </cell>
        </row>
        <row r="156">
          <cell r="Q156">
            <v>386</v>
          </cell>
          <cell r="R156">
            <v>0.77777777777777779</v>
          </cell>
          <cell r="S156">
            <v>0.22222222222222221</v>
          </cell>
          <cell r="T156">
            <v>0</v>
          </cell>
        </row>
        <row r="157">
          <cell r="Q157">
            <v>385</v>
          </cell>
          <cell r="R157">
            <v>0.77777777777777779</v>
          </cell>
          <cell r="S157">
            <v>0.22222222222222221</v>
          </cell>
          <cell r="T157">
            <v>0</v>
          </cell>
        </row>
        <row r="158">
          <cell r="Q158">
            <v>384</v>
          </cell>
          <cell r="R158">
            <v>0.77777777777777779</v>
          </cell>
          <cell r="S158">
            <v>0.22222222222222221</v>
          </cell>
          <cell r="T158">
            <v>0</v>
          </cell>
        </row>
        <row r="159">
          <cell r="Q159">
            <v>383</v>
          </cell>
          <cell r="R159">
            <v>0.77777777777777779</v>
          </cell>
          <cell r="S159">
            <v>0.22222222222222221</v>
          </cell>
          <cell r="T159">
            <v>0</v>
          </cell>
        </row>
        <row r="160">
          <cell r="Q160">
            <v>382</v>
          </cell>
          <cell r="R160">
            <v>0.77777777777777779</v>
          </cell>
          <cell r="S160">
            <v>0.22222222222222221</v>
          </cell>
          <cell r="T160">
            <v>0</v>
          </cell>
        </row>
        <row r="161">
          <cell r="Q161">
            <v>381</v>
          </cell>
          <cell r="R161">
            <v>0.77777777777777779</v>
          </cell>
          <cell r="S161">
            <v>0.22222222222222221</v>
          </cell>
          <cell r="T161">
            <v>0</v>
          </cell>
        </row>
        <row r="162">
          <cell r="Q162">
            <v>380</v>
          </cell>
          <cell r="R162">
            <v>0.77777777777777779</v>
          </cell>
          <cell r="S162">
            <v>0.22222222222222221</v>
          </cell>
          <cell r="T162">
            <v>0</v>
          </cell>
        </row>
        <row r="163">
          <cell r="Q163">
            <v>379</v>
          </cell>
          <cell r="R163">
            <v>0.77777777777777779</v>
          </cell>
          <cell r="S163">
            <v>0.22222222222222221</v>
          </cell>
          <cell r="T163">
            <v>0</v>
          </cell>
        </row>
        <row r="164">
          <cell r="Q164">
            <v>378</v>
          </cell>
          <cell r="R164">
            <v>0.77777777777777779</v>
          </cell>
          <cell r="S164">
            <v>0.22222222222222221</v>
          </cell>
          <cell r="T164">
            <v>0</v>
          </cell>
        </row>
        <row r="165">
          <cell r="Q165">
            <v>377</v>
          </cell>
          <cell r="R165">
            <v>0.77777777777777779</v>
          </cell>
          <cell r="S165">
            <v>0.22222222222222221</v>
          </cell>
          <cell r="T165">
            <v>0</v>
          </cell>
        </row>
        <row r="166">
          <cell r="Q166">
            <v>376</v>
          </cell>
          <cell r="R166">
            <v>0.77777777777777779</v>
          </cell>
          <cell r="S166">
            <v>0.22222222222222221</v>
          </cell>
          <cell r="T166">
            <v>0</v>
          </cell>
        </row>
        <row r="167">
          <cell r="Q167">
            <v>375</v>
          </cell>
          <cell r="R167">
            <v>0.77777777777777779</v>
          </cell>
          <cell r="S167">
            <v>0.22222222222222221</v>
          </cell>
          <cell r="T167">
            <v>0</v>
          </cell>
        </row>
        <row r="168">
          <cell r="Q168">
            <v>374</v>
          </cell>
          <cell r="R168">
            <v>0.77777777777777779</v>
          </cell>
          <cell r="S168">
            <v>0.22222222222222221</v>
          </cell>
          <cell r="T168">
            <v>0</v>
          </cell>
        </row>
        <row r="169">
          <cell r="Q169">
            <v>373</v>
          </cell>
          <cell r="R169">
            <v>0.77777777777777779</v>
          </cell>
          <cell r="S169">
            <v>0.22222222222222221</v>
          </cell>
          <cell r="T169">
            <v>0</v>
          </cell>
        </row>
        <row r="170">
          <cell r="Q170">
            <v>372</v>
          </cell>
          <cell r="R170">
            <v>0.77777777777777779</v>
          </cell>
          <cell r="S170">
            <v>0.22222222222222221</v>
          </cell>
          <cell r="T170">
            <v>0</v>
          </cell>
        </row>
        <row r="171">
          <cell r="Q171">
            <v>371</v>
          </cell>
          <cell r="R171">
            <v>0.77777777777777779</v>
          </cell>
          <cell r="S171">
            <v>0.22222222222222221</v>
          </cell>
          <cell r="T171">
            <v>0</v>
          </cell>
        </row>
        <row r="172">
          <cell r="Q172">
            <v>370</v>
          </cell>
          <cell r="R172">
            <v>0.77777777777777779</v>
          </cell>
          <cell r="S172">
            <v>0.22222222222222221</v>
          </cell>
          <cell r="T172">
            <v>0</v>
          </cell>
        </row>
        <row r="173">
          <cell r="Q173">
            <v>369</v>
          </cell>
          <cell r="R173">
            <v>0.77777777777777779</v>
          </cell>
          <cell r="S173">
            <v>0.22222222222222221</v>
          </cell>
          <cell r="T173">
            <v>0</v>
          </cell>
        </row>
        <row r="174">
          <cell r="Q174">
            <v>368</v>
          </cell>
          <cell r="R174">
            <v>0.77777777777777779</v>
          </cell>
          <cell r="S174">
            <v>0.22222222222222221</v>
          </cell>
          <cell r="T174">
            <v>0</v>
          </cell>
        </row>
        <row r="175">
          <cell r="Q175">
            <v>367</v>
          </cell>
          <cell r="R175">
            <v>0.77777777777777779</v>
          </cell>
          <cell r="S175">
            <v>0.22222222222222221</v>
          </cell>
          <cell r="T175">
            <v>0</v>
          </cell>
        </row>
        <row r="176">
          <cell r="Q176">
            <v>366</v>
          </cell>
          <cell r="R176">
            <v>0.77777777777777779</v>
          </cell>
          <cell r="S176">
            <v>0.22222222222222221</v>
          </cell>
          <cell r="T176">
            <v>0</v>
          </cell>
        </row>
        <row r="177">
          <cell r="Q177">
            <v>365</v>
          </cell>
          <cell r="R177">
            <v>0.77777777777777779</v>
          </cell>
          <cell r="S177">
            <v>0.22222222222222221</v>
          </cell>
          <cell r="T177">
            <v>0</v>
          </cell>
        </row>
        <row r="178">
          <cell r="Q178">
            <v>364</v>
          </cell>
          <cell r="R178">
            <v>0.77777777777777779</v>
          </cell>
          <cell r="S178">
            <v>0.22222222222222221</v>
          </cell>
          <cell r="T178">
            <v>0</v>
          </cell>
        </row>
        <row r="179">
          <cell r="Q179">
            <v>363</v>
          </cell>
          <cell r="R179">
            <v>0.77777777777777779</v>
          </cell>
          <cell r="S179">
            <v>0.22222222222222221</v>
          </cell>
          <cell r="T179">
            <v>0</v>
          </cell>
        </row>
        <row r="180">
          <cell r="Q180">
            <v>362</v>
          </cell>
          <cell r="R180">
            <v>0.77777777777777779</v>
          </cell>
          <cell r="S180">
            <v>0.22222222222222221</v>
          </cell>
          <cell r="T180">
            <v>0</v>
          </cell>
        </row>
        <row r="181">
          <cell r="Q181">
            <v>361</v>
          </cell>
          <cell r="R181">
            <v>0.77777777777777779</v>
          </cell>
          <cell r="S181">
            <v>0.22222222222222221</v>
          </cell>
          <cell r="T181">
            <v>0</v>
          </cell>
        </row>
        <row r="182">
          <cell r="Q182">
            <v>360</v>
          </cell>
          <cell r="R182">
            <v>0.77777777777777779</v>
          </cell>
          <cell r="S182">
            <v>0.22222222222222221</v>
          </cell>
          <cell r="T182">
            <v>0</v>
          </cell>
        </row>
        <row r="183">
          <cell r="Q183">
            <v>359</v>
          </cell>
          <cell r="R183">
            <v>0.77777777777777779</v>
          </cell>
          <cell r="S183">
            <v>0.22222222222222221</v>
          </cell>
          <cell r="T183">
            <v>0</v>
          </cell>
        </row>
        <row r="184">
          <cell r="Q184">
            <v>358</v>
          </cell>
          <cell r="R184">
            <v>0.77777777777777779</v>
          </cell>
          <cell r="S184">
            <v>0.22222222222222221</v>
          </cell>
          <cell r="T184">
            <v>0</v>
          </cell>
        </row>
        <row r="185">
          <cell r="Q185">
            <v>357</v>
          </cell>
          <cell r="R185">
            <v>0.77777777777777779</v>
          </cell>
          <cell r="S185">
            <v>0.22222222222222221</v>
          </cell>
          <cell r="T185">
            <v>0</v>
          </cell>
        </row>
        <row r="186">
          <cell r="Q186">
            <v>356</v>
          </cell>
          <cell r="R186">
            <v>0.77777777777777779</v>
          </cell>
          <cell r="S186">
            <v>0.22222222222222221</v>
          </cell>
          <cell r="T186">
            <v>0</v>
          </cell>
        </row>
        <row r="187">
          <cell r="Q187">
            <v>355</v>
          </cell>
          <cell r="R187">
            <v>0.77777777777777779</v>
          </cell>
          <cell r="S187">
            <v>0.22222222222222221</v>
          </cell>
          <cell r="T187">
            <v>0</v>
          </cell>
        </row>
        <row r="188">
          <cell r="Q188">
            <v>354</v>
          </cell>
          <cell r="R188">
            <v>0.77777777777777779</v>
          </cell>
          <cell r="S188">
            <v>0.22222222222222221</v>
          </cell>
          <cell r="T188">
            <v>0</v>
          </cell>
        </row>
        <row r="189">
          <cell r="Q189">
            <v>353</v>
          </cell>
          <cell r="R189">
            <v>0.77777777777777779</v>
          </cell>
          <cell r="S189">
            <v>0.22222222222222221</v>
          </cell>
          <cell r="T189">
            <v>0</v>
          </cell>
        </row>
        <row r="190">
          <cell r="Q190">
            <v>352</v>
          </cell>
          <cell r="R190">
            <v>0.77777777777777779</v>
          </cell>
          <cell r="S190">
            <v>0.22222222222222221</v>
          </cell>
          <cell r="T190">
            <v>0</v>
          </cell>
        </row>
        <row r="191">
          <cell r="Q191">
            <v>351</v>
          </cell>
          <cell r="R191">
            <v>0.77777777777777779</v>
          </cell>
          <cell r="S191">
            <v>0.22222222222222221</v>
          </cell>
          <cell r="T191">
            <v>0</v>
          </cell>
        </row>
        <row r="192">
          <cell r="Q192">
            <v>350</v>
          </cell>
          <cell r="R192">
            <v>0.77777777777777779</v>
          </cell>
          <cell r="S192">
            <v>0.22222222222222221</v>
          </cell>
          <cell r="T192">
            <v>0</v>
          </cell>
        </row>
        <row r="193">
          <cell r="Q193">
            <v>349</v>
          </cell>
          <cell r="R193">
            <v>0.77777777777777779</v>
          </cell>
          <cell r="S193">
            <v>0.22222222222222221</v>
          </cell>
          <cell r="T193">
            <v>0</v>
          </cell>
        </row>
        <row r="194">
          <cell r="Q194">
            <v>348</v>
          </cell>
          <cell r="R194">
            <v>0.77777777777777779</v>
          </cell>
          <cell r="S194">
            <v>0.22222222222222221</v>
          </cell>
          <cell r="T194">
            <v>0</v>
          </cell>
        </row>
        <row r="195">
          <cell r="Q195">
            <v>347</v>
          </cell>
          <cell r="R195">
            <v>0.77777777777777779</v>
          </cell>
          <cell r="S195">
            <v>0.22222222222222221</v>
          </cell>
          <cell r="T195">
            <v>0</v>
          </cell>
        </row>
        <row r="196">
          <cell r="Q196">
            <v>346</v>
          </cell>
          <cell r="R196">
            <v>0.77777777777777779</v>
          </cell>
          <cell r="S196">
            <v>0.22222222222222221</v>
          </cell>
          <cell r="T196">
            <v>0</v>
          </cell>
        </row>
        <row r="197">
          <cell r="Q197">
            <v>345</v>
          </cell>
          <cell r="R197">
            <v>0.77777777777777779</v>
          </cell>
          <cell r="S197">
            <v>0.22222222222222221</v>
          </cell>
          <cell r="T197">
            <v>0</v>
          </cell>
        </row>
        <row r="198">
          <cell r="Q198">
            <v>344</v>
          </cell>
          <cell r="R198">
            <v>0.77777777777777779</v>
          </cell>
          <cell r="S198">
            <v>0.22222222222222221</v>
          </cell>
          <cell r="T198">
            <v>0</v>
          </cell>
        </row>
        <row r="199">
          <cell r="Q199">
            <v>343</v>
          </cell>
          <cell r="R199">
            <v>0.77777777777777779</v>
          </cell>
          <cell r="S199">
            <v>0.22222222222222221</v>
          </cell>
          <cell r="T199">
            <v>0</v>
          </cell>
        </row>
        <row r="200">
          <cell r="Q200">
            <v>342</v>
          </cell>
          <cell r="R200">
            <v>0.77777777777777779</v>
          </cell>
          <cell r="S200">
            <v>0.22222222222222221</v>
          </cell>
          <cell r="T200">
            <v>0</v>
          </cell>
        </row>
        <row r="201">
          <cell r="Q201">
            <v>341</v>
          </cell>
          <cell r="R201">
            <v>0.77777777777777779</v>
          </cell>
          <cell r="S201">
            <v>0.22222222222222221</v>
          </cell>
          <cell r="T201">
            <v>0</v>
          </cell>
        </row>
        <row r="202">
          <cell r="Q202">
            <v>340</v>
          </cell>
          <cell r="R202">
            <v>0.77777777777777779</v>
          </cell>
          <cell r="S202">
            <v>0.22222222222222221</v>
          </cell>
          <cell r="T202">
            <v>0</v>
          </cell>
        </row>
        <row r="203">
          <cell r="Q203">
            <v>339</v>
          </cell>
          <cell r="R203">
            <v>0.77777777777777779</v>
          </cell>
          <cell r="S203">
            <v>0.22222222222222221</v>
          </cell>
          <cell r="T203">
            <v>0</v>
          </cell>
        </row>
        <row r="204">
          <cell r="Q204">
            <v>338</v>
          </cell>
          <cell r="R204">
            <v>0.77777777777777779</v>
          </cell>
          <cell r="S204">
            <v>0.22222222222222221</v>
          </cell>
          <cell r="T204">
            <v>0</v>
          </cell>
        </row>
        <row r="205">
          <cell r="Q205">
            <v>337</v>
          </cell>
          <cell r="R205">
            <v>0.77777777777777779</v>
          </cell>
          <cell r="S205">
            <v>0.22222222222222221</v>
          </cell>
          <cell r="T205">
            <v>0</v>
          </cell>
        </row>
        <row r="206">
          <cell r="Q206">
            <v>336</v>
          </cell>
          <cell r="R206">
            <v>0.77777777777777779</v>
          </cell>
          <cell r="S206">
            <v>0.22222222222222221</v>
          </cell>
          <cell r="T206">
            <v>0</v>
          </cell>
        </row>
        <row r="207">
          <cell r="Q207">
            <v>335</v>
          </cell>
          <cell r="R207">
            <v>0.77777777777777779</v>
          </cell>
          <cell r="S207">
            <v>0.22222222222222221</v>
          </cell>
          <cell r="T207">
            <v>0</v>
          </cell>
        </row>
        <row r="208">
          <cell r="Q208">
            <v>334</v>
          </cell>
          <cell r="R208">
            <v>0.77777777777777779</v>
          </cell>
          <cell r="S208">
            <v>0.22222222222222221</v>
          </cell>
          <cell r="T208">
            <v>0</v>
          </cell>
        </row>
        <row r="209">
          <cell r="Q209">
            <v>333</v>
          </cell>
          <cell r="R209">
            <v>0.77777777777777779</v>
          </cell>
          <cell r="S209">
            <v>0.22222222222222221</v>
          </cell>
          <cell r="T209">
            <v>0</v>
          </cell>
        </row>
        <row r="210">
          <cell r="Q210">
            <v>332</v>
          </cell>
          <cell r="R210">
            <v>0.77777777777777779</v>
          </cell>
          <cell r="S210">
            <v>0.22222222222222221</v>
          </cell>
          <cell r="T210">
            <v>0</v>
          </cell>
        </row>
        <row r="211">
          <cell r="Q211">
            <v>331</v>
          </cell>
          <cell r="R211">
            <v>0.77777777777777779</v>
          </cell>
          <cell r="S211">
            <v>0.22222222222222221</v>
          </cell>
          <cell r="T211">
            <v>0</v>
          </cell>
        </row>
        <row r="212">
          <cell r="Q212">
            <v>330</v>
          </cell>
          <cell r="R212">
            <v>0.77777777777777779</v>
          </cell>
          <cell r="S212">
            <v>0.22222222222222221</v>
          </cell>
          <cell r="T212">
            <v>0</v>
          </cell>
        </row>
        <row r="213">
          <cell r="Q213">
            <v>329</v>
          </cell>
          <cell r="R213">
            <v>0.77777777777777779</v>
          </cell>
          <cell r="S213">
            <v>0.22222222222222221</v>
          </cell>
          <cell r="T213">
            <v>0</v>
          </cell>
        </row>
        <row r="214">
          <cell r="Q214">
            <v>328</v>
          </cell>
          <cell r="R214">
            <v>0.77777777777777779</v>
          </cell>
          <cell r="S214">
            <v>0.22222222222222221</v>
          </cell>
          <cell r="T214">
            <v>0</v>
          </cell>
        </row>
        <row r="215">
          <cell r="Q215">
            <v>327</v>
          </cell>
          <cell r="R215">
            <v>0.77777777777777779</v>
          </cell>
          <cell r="S215">
            <v>0.22222222222222221</v>
          </cell>
          <cell r="T215">
            <v>0</v>
          </cell>
        </row>
        <row r="216">
          <cell r="Q216">
            <v>326</v>
          </cell>
          <cell r="R216">
            <v>0.77777777777777779</v>
          </cell>
          <cell r="S216">
            <v>0.22222222222222221</v>
          </cell>
          <cell r="T216">
            <v>0</v>
          </cell>
        </row>
        <row r="217">
          <cell r="Q217">
            <v>325</v>
          </cell>
          <cell r="R217">
            <v>0.77777777777777779</v>
          </cell>
          <cell r="S217">
            <v>0.22222222222222221</v>
          </cell>
          <cell r="T217">
            <v>0</v>
          </cell>
        </row>
        <row r="218">
          <cell r="Q218">
            <v>324</v>
          </cell>
          <cell r="R218">
            <v>0.77777777777777779</v>
          </cell>
          <cell r="S218">
            <v>0.22222222222222221</v>
          </cell>
          <cell r="T218">
            <v>0</v>
          </cell>
        </row>
        <row r="219">
          <cell r="Q219">
            <v>323</v>
          </cell>
          <cell r="R219">
            <v>0.77777777777777779</v>
          </cell>
          <cell r="S219">
            <v>0.22222222222222221</v>
          </cell>
          <cell r="T219">
            <v>0</v>
          </cell>
        </row>
        <row r="220">
          <cell r="Q220">
            <v>322</v>
          </cell>
          <cell r="R220">
            <v>0.77777777777777779</v>
          </cell>
          <cell r="S220">
            <v>0.22222222222222221</v>
          </cell>
          <cell r="T220">
            <v>0</v>
          </cell>
        </row>
        <row r="221">
          <cell r="Q221">
            <v>321</v>
          </cell>
          <cell r="R221">
            <v>0.77777777777777779</v>
          </cell>
          <cell r="S221">
            <v>0.22222222222222221</v>
          </cell>
          <cell r="T221">
            <v>0</v>
          </cell>
        </row>
        <row r="222">
          <cell r="Q222">
            <v>320</v>
          </cell>
          <cell r="R222">
            <v>0.77777777777777779</v>
          </cell>
          <cell r="S222">
            <v>0.22222222222222221</v>
          </cell>
          <cell r="T222">
            <v>0</v>
          </cell>
        </row>
        <row r="223">
          <cell r="Q223">
            <v>319</v>
          </cell>
          <cell r="R223">
            <v>0.77777777777777779</v>
          </cell>
          <cell r="S223">
            <v>0.22222222222222221</v>
          </cell>
          <cell r="T223">
            <v>0</v>
          </cell>
        </row>
        <row r="224">
          <cell r="Q224">
            <v>318</v>
          </cell>
          <cell r="R224">
            <v>0.77777777777777779</v>
          </cell>
          <cell r="S224">
            <v>0.22222222222222221</v>
          </cell>
          <cell r="T224">
            <v>0</v>
          </cell>
        </row>
        <row r="225">
          <cell r="Q225">
            <v>317</v>
          </cell>
          <cell r="R225">
            <v>0.77777777777777779</v>
          </cell>
          <cell r="S225">
            <v>0.22222222222222221</v>
          </cell>
          <cell r="T225">
            <v>0</v>
          </cell>
        </row>
        <row r="226">
          <cell r="Q226">
            <v>316</v>
          </cell>
          <cell r="R226">
            <v>0.77777777777777779</v>
          </cell>
          <cell r="S226">
            <v>0.22222222222222221</v>
          </cell>
          <cell r="T226">
            <v>0</v>
          </cell>
        </row>
        <row r="227">
          <cell r="Q227">
            <v>315</v>
          </cell>
          <cell r="R227">
            <v>0.77777777777777779</v>
          </cell>
          <cell r="S227">
            <v>0.22222222222222221</v>
          </cell>
          <cell r="T227">
            <v>0</v>
          </cell>
        </row>
        <row r="228">
          <cell r="Q228">
            <v>314</v>
          </cell>
          <cell r="R228">
            <v>0.77777777777777779</v>
          </cell>
          <cell r="S228">
            <v>0.22222222222222221</v>
          </cell>
          <cell r="T228">
            <v>0</v>
          </cell>
        </row>
        <row r="229">
          <cell r="Q229">
            <v>313</v>
          </cell>
          <cell r="R229">
            <v>0.77777777777777779</v>
          </cell>
          <cell r="S229">
            <v>0.22222222222222221</v>
          </cell>
          <cell r="T229">
            <v>0</v>
          </cell>
        </row>
        <row r="230">
          <cell r="Q230">
            <v>312</v>
          </cell>
          <cell r="R230">
            <v>0.77777777777777779</v>
          </cell>
          <cell r="S230">
            <v>0.22222222222222221</v>
          </cell>
          <cell r="T230">
            <v>0</v>
          </cell>
        </row>
        <row r="231">
          <cell r="Q231">
            <v>311</v>
          </cell>
          <cell r="R231">
            <v>0.77777777777777779</v>
          </cell>
          <cell r="S231">
            <v>0.22222222222222221</v>
          </cell>
          <cell r="T231">
            <v>0</v>
          </cell>
        </row>
        <row r="232">
          <cell r="Q232">
            <v>310</v>
          </cell>
          <cell r="R232">
            <v>0.77777777777777779</v>
          </cell>
          <cell r="S232">
            <v>0.22222222222222221</v>
          </cell>
          <cell r="T232">
            <v>0</v>
          </cell>
        </row>
        <row r="233">
          <cell r="Q233">
            <v>309</v>
          </cell>
          <cell r="R233">
            <v>0.77777777777777779</v>
          </cell>
          <cell r="S233">
            <v>0.22222222222222221</v>
          </cell>
          <cell r="T233">
            <v>0</v>
          </cell>
        </row>
        <row r="234">
          <cell r="Q234">
            <v>308</v>
          </cell>
          <cell r="R234">
            <v>0.77777777777777779</v>
          </cell>
          <cell r="S234">
            <v>0.22222222222222221</v>
          </cell>
          <cell r="T234">
            <v>0</v>
          </cell>
        </row>
        <row r="235">
          <cell r="Q235">
            <v>307</v>
          </cell>
          <cell r="R235">
            <v>0.77777777777777779</v>
          </cell>
          <cell r="S235">
            <v>0.22222222222222221</v>
          </cell>
          <cell r="T235">
            <v>0</v>
          </cell>
        </row>
        <row r="236">
          <cell r="Q236">
            <v>306</v>
          </cell>
          <cell r="R236">
            <v>0.77777777777777779</v>
          </cell>
          <cell r="S236">
            <v>0.22222222222222221</v>
          </cell>
          <cell r="T236">
            <v>0</v>
          </cell>
        </row>
        <row r="237">
          <cell r="Q237">
            <v>305</v>
          </cell>
          <cell r="R237">
            <v>0.77777777777777779</v>
          </cell>
          <cell r="S237">
            <v>0.22222222222222221</v>
          </cell>
          <cell r="T237">
            <v>0</v>
          </cell>
        </row>
        <row r="238">
          <cell r="Q238">
            <v>304</v>
          </cell>
          <cell r="R238">
            <v>0.77777777777777779</v>
          </cell>
          <cell r="S238">
            <v>0.22222222222222221</v>
          </cell>
          <cell r="T238">
            <v>0</v>
          </cell>
        </row>
        <row r="239">
          <cell r="Q239">
            <v>303</v>
          </cell>
          <cell r="R239">
            <v>0.77777777777777779</v>
          </cell>
          <cell r="S239">
            <v>0.22222222222222221</v>
          </cell>
          <cell r="T239">
            <v>0</v>
          </cell>
        </row>
        <row r="240">
          <cell r="Q240">
            <v>302</v>
          </cell>
          <cell r="R240">
            <v>0.77777777777777779</v>
          </cell>
          <cell r="S240">
            <v>0.22222222222222221</v>
          </cell>
          <cell r="T240">
            <v>0</v>
          </cell>
        </row>
        <row r="241">
          <cell r="Q241">
            <v>301</v>
          </cell>
          <cell r="R241">
            <v>0.77777777777777779</v>
          </cell>
          <cell r="S241">
            <v>0.22222222222222221</v>
          </cell>
          <cell r="T241">
            <v>0</v>
          </cell>
        </row>
        <row r="242">
          <cell r="Q242">
            <v>300</v>
          </cell>
          <cell r="R242">
            <v>0.77777777777777779</v>
          </cell>
          <cell r="S242">
            <v>0.22222222222222221</v>
          </cell>
          <cell r="T242">
            <v>0</v>
          </cell>
        </row>
        <row r="243">
          <cell r="Q243">
            <v>299</v>
          </cell>
          <cell r="R243">
            <v>0.77777777777777779</v>
          </cell>
          <cell r="S243">
            <v>0.22222222222222221</v>
          </cell>
          <cell r="T243">
            <v>0</v>
          </cell>
        </row>
        <row r="244">
          <cell r="Q244">
            <v>298</v>
          </cell>
          <cell r="R244">
            <v>0.77777777777777779</v>
          </cell>
          <cell r="S244">
            <v>0.22222222222222221</v>
          </cell>
          <cell r="T244">
            <v>0</v>
          </cell>
        </row>
        <row r="245">
          <cell r="Q245">
            <v>297</v>
          </cell>
          <cell r="R245">
            <v>0.77777777777777779</v>
          </cell>
          <cell r="S245">
            <v>0.22222222222222221</v>
          </cell>
          <cell r="T245">
            <v>0</v>
          </cell>
        </row>
        <row r="246">
          <cell r="Q246">
            <v>296</v>
          </cell>
          <cell r="R246">
            <v>0.77777777777777779</v>
          </cell>
          <cell r="S246">
            <v>0.22222222222222221</v>
          </cell>
          <cell r="T246">
            <v>0</v>
          </cell>
        </row>
        <row r="247">
          <cell r="Q247">
            <v>295</v>
          </cell>
          <cell r="R247">
            <v>0.77777777777777779</v>
          </cell>
          <cell r="S247">
            <v>0.22222222222222221</v>
          </cell>
          <cell r="T247">
            <v>0</v>
          </cell>
        </row>
        <row r="248">
          <cell r="Q248">
            <v>294</v>
          </cell>
          <cell r="R248">
            <v>0.77777777777777779</v>
          </cell>
          <cell r="S248">
            <v>0.22222222222222221</v>
          </cell>
          <cell r="T248">
            <v>0</v>
          </cell>
        </row>
        <row r="249">
          <cell r="Q249">
            <v>293</v>
          </cell>
          <cell r="R249">
            <v>0.77777777777777779</v>
          </cell>
          <cell r="S249">
            <v>0.22222222222222221</v>
          </cell>
          <cell r="T249">
            <v>0</v>
          </cell>
        </row>
        <row r="250">
          <cell r="Q250">
            <v>292</v>
          </cell>
          <cell r="R250">
            <v>0.77777777777777779</v>
          </cell>
          <cell r="S250">
            <v>0.22222222222222221</v>
          </cell>
          <cell r="T250">
            <v>0</v>
          </cell>
        </row>
        <row r="251">
          <cell r="Q251">
            <v>291</v>
          </cell>
          <cell r="R251">
            <v>0.77777777777777779</v>
          </cell>
          <cell r="S251">
            <v>0.22222222222222221</v>
          </cell>
          <cell r="T251">
            <v>0</v>
          </cell>
        </row>
        <row r="252">
          <cell r="Q252">
            <v>290</v>
          </cell>
          <cell r="R252">
            <v>0.77777777777777779</v>
          </cell>
          <cell r="S252">
            <v>0.22222222222222221</v>
          </cell>
          <cell r="T252">
            <v>0</v>
          </cell>
        </row>
        <row r="253">
          <cell r="Q253">
            <v>289</v>
          </cell>
          <cell r="R253">
            <v>0.77777777777777779</v>
          </cell>
          <cell r="S253">
            <v>0.22222222222222221</v>
          </cell>
          <cell r="T253">
            <v>0</v>
          </cell>
        </row>
        <row r="254">
          <cell r="Q254">
            <v>288</v>
          </cell>
          <cell r="R254">
            <v>0.77777777777777779</v>
          </cell>
          <cell r="S254">
            <v>0.22222222222222221</v>
          </cell>
          <cell r="T254">
            <v>0</v>
          </cell>
        </row>
        <row r="255">
          <cell r="Q255">
            <v>287</v>
          </cell>
          <cell r="R255">
            <v>0.77777777777777779</v>
          </cell>
          <cell r="S255">
            <v>0.22222222222222221</v>
          </cell>
          <cell r="T255">
            <v>0</v>
          </cell>
        </row>
        <row r="256">
          <cell r="Q256">
            <v>286</v>
          </cell>
          <cell r="R256">
            <v>0.77777777777777779</v>
          </cell>
          <cell r="S256">
            <v>0.22222222222222221</v>
          </cell>
          <cell r="T256">
            <v>0</v>
          </cell>
        </row>
        <row r="257">
          <cell r="Q257">
            <v>285</v>
          </cell>
          <cell r="R257">
            <v>0.77777777777777779</v>
          </cell>
          <cell r="S257">
            <v>0.22222222222222221</v>
          </cell>
          <cell r="T257">
            <v>0</v>
          </cell>
        </row>
        <row r="258">
          <cell r="Q258">
            <v>284</v>
          </cell>
          <cell r="R258">
            <v>0.77777777777777779</v>
          </cell>
          <cell r="S258">
            <v>0.22222222222222221</v>
          </cell>
          <cell r="T258">
            <v>0</v>
          </cell>
        </row>
        <row r="259">
          <cell r="Q259">
            <v>283</v>
          </cell>
          <cell r="R259">
            <v>0.77777777777777779</v>
          </cell>
          <cell r="S259">
            <v>0.22222222222222221</v>
          </cell>
          <cell r="T259">
            <v>0</v>
          </cell>
        </row>
        <row r="260">
          <cell r="Q260">
            <v>282</v>
          </cell>
          <cell r="R260">
            <v>0.77777777777777779</v>
          </cell>
          <cell r="S260">
            <v>0.22222222222222221</v>
          </cell>
          <cell r="T260">
            <v>0</v>
          </cell>
        </row>
        <row r="261">
          <cell r="Q261">
            <v>281</v>
          </cell>
          <cell r="R261">
            <v>0.77777777777777779</v>
          </cell>
          <cell r="S261">
            <v>0.22222222222222221</v>
          </cell>
          <cell r="T261">
            <v>0</v>
          </cell>
        </row>
        <row r="262">
          <cell r="Q262">
            <v>280</v>
          </cell>
          <cell r="R262">
            <v>0.77777777777777779</v>
          </cell>
          <cell r="S262">
            <v>0.22222222222222221</v>
          </cell>
          <cell r="T262">
            <v>0</v>
          </cell>
        </row>
        <row r="263">
          <cell r="Q263">
            <v>279</v>
          </cell>
          <cell r="R263">
            <v>0.77777777777777779</v>
          </cell>
          <cell r="S263">
            <v>0.22222222222222221</v>
          </cell>
          <cell r="T263">
            <v>0</v>
          </cell>
        </row>
        <row r="264">
          <cell r="Q264">
            <v>278</v>
          </cell>
          <cell r="R264">
            <v>0.77777777777777779</v>
          </cell>
          <cell r="S264">
            <v>0.22222222222222221</v>
          </cell>
          <cell r="T264">
            <v>0</v>
          </cell>
        </row>
        <row r="265">
          <cell r="Q265">
            <v>277</v>
          </cell>
          <cell r="R265">
            <v>0.77777777777777779</v>
          </cell>
          <cell r="S265">
            <v>0.22222222222222221</v>
          </cell>
          <cell r="T265">
            <v>0</v>
          </cell>
        </row>
        <row r="266">
          <cell r="Q266">
            <v>276</v>
          </cell>
          <cell r="R266">
            <v>0.77777777777777779</v>
          </cell>
          <cell r="S266">
            <v>0.22222222222222221</v>
          </cell>
          <cell r="T266">
            <v>0</v>
          </cell>
        </row>
        <row r="267">
          <cell r="Q267">
            <v>275</v>
          </cell>
          <cell r="R267">
            <v>0.77777777777777779</v>
          </cell>
          <cell r="S267">
            <v>0.22222222222222221</v>
          </cell>
          <cell r="T267">
            <v>0</v>
          </cell>
        </row>
        <row r="268">
          <cell r="Q268">
            <v>274</v>
          </cell>
          <cell r="R268">
            <v>0.77777777777777779</v>
          </cell>
          <cell r="S268">
            <v>0.22222222222222221</v>
          </cell>
          <cell r="T268">
            <v>0</v>
          </cell>
        </row>
        <row r="269">
          <cell r="Q269">
            <v>273</v>
          </cell>
          <cell r="R269">
            <v>0.77777777777777779</v>
          </cell>
          <cell r="S269">
            <v>0.22222222222222221</v>
          </cell>
          <cell r="T269">
            <v>0</v>
          </cell>
        </row>
        <row r="270">
          <cell r="Q270">
            <v>272</v>
          </cell>
          <cell r="R270">
            <v>0.77777777777777779</v>
          </cell>
          <cell r="S270">
            <v>0.22222222222222221</v>
          </cell>
          <cell r="T270">
            <v>0</v>
          </cell>
        </row>
        <row r="271">
          <cell r="Q271">
            <v>271</v>
          </cell>
          <cell r="R271">
            <v>0.77777777777777779</v>
          </cell>
          <cell r="S271">
            <v>0.22222222222222221</v>
          </cell>
          <cell r="T271">
            <v>0</v>
          </cell>
        </row>
        <row r="272">
          <cell r="Q272">
            <v>270</v>
          </cell>
          <cell r="R272">
            <v>0.77777777777777779</v>
          </cell>
          <cell r="S272">
            <v>0.22222222222222221</v>
          </cell>
          <cell r="T272">
            <v>0</v>
          </cell>
        </row>
        <row r="273">
          <cell r="Q273">
            <v>269</v>
          </cell>
          <cell r="R273">
            <v>0.77777777777777779</v>
          </cell>
          <cell r="S273">
            <v>0.22222222222222221</v>
          </cell>
          <cell r="T273">
            <v>0</v>
          </cell>
        </row>
        <row r="274">
          <cell r="Q274">
            <v>268</v>
          </cell>
          <cell r="R274">
            <v>0.77777777777777779</v>
          </cell>
          <cell r="S274">
            <v>0.22222222222222221</v>
          </cell>
          <cell r="T274">
            <v>0</v>
          </cell>
        </row>
        <row r="275">
          <cell r="Q275">
            <v>267</v>
          </cell>
          <cell r="R275">
            <v>0.77777777777777779</v>
          </cell>
          <cell r="S275">
            <v>0.22222222222222221</v>
          </cell>
          <cell r="T275">
            <v>0</v>
          </cell>
        </row>
        <row r="276">
          <cell r="Q276">
            <v>266</v>
          </cell>
          <cell r="R276">
            <v>0.77777777777777779</v>
          </cell>
          <cell r="S276">
            <v>0.22222222222222221</v>
          </cell>
          <cell r="T276">
            <v>0</v>
          </cell>
        </row>
        <row r="277">
          <cell r="Q277">
            <v>265</v>
          </cell>
          <cell r="R277">
            <v>0.77777777777777779</v>
          </cell>
          <cell r="S277">
            <v>0.22222222222222221</v>
          </cell>
          <cell r="T277">
            <v>0</v>
          </cell>
        </row>
        <row r="278">
          <cell r="Q278">
            <v>264</v>
          </cell>
          <cell r="R278">
            <v>0.77777777777777779</v>
          </cell>
          <cell r="S278">
            <v>0.22222222222222221</v>
          </cell>
          <cell r="T278">
            <v>0</v>
          </cell>
        </row>
        <row r="279">
          <cell r="Q279">
            <v>263</v>
          </cell>
          <cell r="R279">
            <v>0.77777777777777779</v>
          </cell>
          <cell r="S279">
            <v>0.22222222222222221</v>
          </cell>
          <cell r="T279">
            <v>0</v>
          </cell>
        </row>
        <row r="280">
          <cell r="Q280">
            <v>262</v>
          </cell>
          <cell r="R280">
            <v>0.77777777777777779</v>
          </cell>
          <cell r="S280">
            <v>0.22222222222222221</v>
          </cell>
          <cell r="T280">
            <v>0</v>
          </cell>
        </row>
        <row r="281">
          <cell r="Q281">
            <v>261</v>
          </cell>
          <cell r="R281">
            <v>0.77777777777777779</v>
          </cell>
          <cell r="S281">
            <v>0.22222222222222221</v>
          </cell>
          <cell r="T281">
            <v>0</v>
          </cell>
        </row>
        <row r="282">
          <cell r="Q282">
            <v>260</v>
          </cell>
          <cell r="R282">
            <v>0.77777777777777779</v>
          </cell>
          <cell r="S282">
            <v>0.22222222222222221</v>
          </cell>
          <cell r="T282">
            <v>0</v>
          </cell>
        </row>
        <row r="283">
          <cell r="Q283">
            <v>259</v>
          </cell>
          <cell r="R283">
            <v>0.77777777777777779</v>
          </cell>
          <cell r="S283">
            <v>0.22222222222222221</v>
          </cell>
          <cell r="T283">
            <v>0</v>
          </cell>
        </row>
        <row r="284">
          <cell r="Q284">
            <v>258</v>
          </cell>
          <cell r="R284">
            <v>0.77777777777777779</v>
          </cell>
          <cell r="S284">
            <v>0.22222222222222221</v>
          </cell>
          <cell r="T284">
            <v>0</v>
          </cell>
        </row>
        <row r="285">
          <cell r="Q285">
            <v>257</v>
          </cell>
          <cell r="R285">
            <v>0.77777777777777779</v>
          </cell>
          <cell r="S285">
            <v>0.22222222222222221</v>
          </cell>
          <cell r="T285">
            <v>0</v>
          </cell>
        </row>
        <row r="286">
          <cell r="Q286">
            <v>256</v>
          </cell>
          <cell r="R286">
            <v>0.77777777777777779</v>
          </cell>
          <cell r="S286">
            <v>0.22222222222222221</v>
          </cell>
          <cell r="T286">
            <v>0</v>
          </cell>
        </row>
        <row r="287">
          <cell r="Q287">
            <v>255</v>
          </cell>
          <cell r="R287">
            <v>0.77777777777777779</v>
          </cell>
          <cell r="S287">
            <v>0.22222222222222221</v>
          </cell>
          <cell r="T287">
            <v>0</v>
          </cell>
        </row>
        <row r="288">
          <cell r="Q288">
            <v>254</v>
          </cell>
          <cell r="R288">
            <v>0.77777777777777779</v>
          </cell>
          <cell r="S288">
            <v>0.22222222222222221</v>
          </cell>
          <cell r="T288">
            <v>0</v>
          </cell>
        </row>
        <row r="289">
          <cell r="Q289">
            <v>253</v>
          </cell>
          <cell r="R289">
            <v>0.77777777777777779</v>
          </cell>
          <cell r="S289">
            <v>0.22222222222222221</v>
          </cell>
          <cell r="T289">
            <v>0</v>
          </cell>
        </row>
        <row r="290">
          <cell r="Q290">
            <v>252</v>
          </cell>
          <cell r="R290">
            <v>0.77777777777777779</v>
          </cell>
          <cell r="S290">
            <v>0.22222222222222221</v>
          </cell>
          <cell r="T290">
            <v>0</v>
          </cell>
        </row>
        <row r="291">
          <cell r="Q291">
            <v>251</v>
          </cell>
          <cell r="R291">
            <v>0.77777777777777779</v>
          </cell>
          <cell r="S291">
            <v>0.22222222222222221</v>
          </cell>
          <cell r="T291">
            <v>0</v>
          </cell>
        </row>
        <row r="292">
          <cell r="Q292">
            <v>250</v>
          </cell>
          <cell r="R292">
            <v>0.77777777777777779</v>
          </cell>
          <cell r="S292">
            <v>0.22222222222222221</v>
          </cell>
          <cell r="T292">
            <v>0</v>
          </cell>
        </row>
        <row r="293">
          <cell r="Q293">
            <v>249</v>
          </cell>
          <cell r="R293">
            <v>0.77777777777777779</v>
          </cell>
          <cell r="S293">
            <v>0.22222222222222221</v>
          </cell>
          <cell r="T293">
            <v>0</v>
          </cell>
        </row>
        <row r="294">
          <cell r="Q294">
            <v>248</v>
          </cell>
          <cell r="R294">
            <v>0.77777777777777779</v>
          </cell>
          <cell r="S294">
            <v>0.22222222222222221</v>
          </cell>
          <cell r="T294">
            <v>0</v>
          </cell>
        </row>
        <row r="295">
          <cell r="Q295">
            <v>247</v>
          </cell>
          <cell r="R295">
            <v>0.77777777777777779</v>
          </cell>
          <cell r="S295">
            <v>0.22222222222222221</v>
          </cell>
          <cell r="T295">
            <v>0</v>
          </cell>
        </row>
        <row r="296">
          <cell r="Q296">
            <v>246</v>
          </cell>
          <cell r="R296">
            <v>0.77777777777777779</v>
          </cell>
          <cell r="S296">
            <v>0.22222222222222221</v>
          </cell>
          <cell r="T296">
            <v>0</v>
          </cell>
        </row>
        <row r="297">
          <cell r="Q297">
            <v>245</v>
          </cell>
          <cell r="R297">
            <v>0.77777777777777779</v>
          </cell>
          <cell r="S297">
            <v>0.22222222222222221</v>
          </cell>
          <cell r="T297">
            <v>0</v>
          </cell>
        </row>
        <row r="298">
          <cell r="Q298">
            <v>244</v>
          </cell>
          <cell r="R298">
            <v>0.77777777777777779</v>
          </cell>
          <cell r="S298">
            <v>0.22222222222222221</v>
          </cell>
          <cell r="T298">
            <v>0</v>
          </cell>
        </row>
        <row r="299">
          <cell r="Q299">
            <v>243</v>
          </cell>
          <cell r="R299">
            <v>0.77777777777777779</v>
          </cell>
          <cell r="S299">
            <v>0.22222222222222221</v>
          </cell>
          <cell r="T299">
            <v>0</v>
          </cell>
        </row>
        <row r="300">
          <cell r="Q300">
            <v>242</v>
          </cell>
          <cell r="R300">
            <v>0.77777777777777779</v>
          </cell>
          <cell r="S300">
            <v>0.22222222222222221</v>
          </cell>
          <cell r="T300">
            <v>0</v>
          </cell>
        </row>
        <row r="301">
          <cell r="Q301">
            <v>241</v>
          </cell>
          <cell r="R301">
            <v>0.77777777777777779</v>
          </cell>
          <cell r="S301">
            <v>0.22222222222222221</v>
          </cell>
          <cell r="T301">
            <v>0</v>
          </cell>
        </row>
        <row r="302">
          <cell r="Q302">
            <v>240</v>
          </cell>
          <cell r="R302">
            <v>0.77777777777777779</v>
          </cell>
          <cell r="S302">
            <v>0.22222222222222221</v>
          </cell>
          <cell r="T302">
            <v>0</v>
          </cell>
        </row>
        <row r="303">
          <cell r="Q303">
            <v>239</v>
          </cell>
          <cell r="R303">
            <v>0.77777777777777779</v>
          </cell>
          <cell r="S303">
            <v>0.22222222222222221</v>
          </cell>
          <cell r="T303">
            <v>0</v>
          </cell>
        </row>
        <row r="304">
          <cell r="Q304">
            <v>238</v>
          </cell>
          <cell r="R304">
            <v>0.77777777777777779</v>
          </cell>
          <cell r="S304">
            <v>0.22222222222222221</v>
          </cell>
          <cell r="T304">
            <v>0</v>
          </cell>
        </row>
        <row r="305">
          <cell r="Q305">
            <v>237</v>
          </cell>
          <cell r="R305">
            <v>0.77777777777777779</v>
          </cell>
          <cell r="S305">
            <v>0.22222222222222221</v>
          </cell>
          <cell r="T305">
            <v>0</v>
          </cell>
        </row>
        <row r="306">
          <cell r="Q306">
            <v>236</v>
          </cell>
          <cell r="R306">
            <v>0.77777777777777779</v>
          </cell>
          <cell r="S306">
            <v>0.22222222222222221</v>
          </cell>
          <cell r="T306">
            <v>0</v>
          </cell>
        </row>
        <row r="307">
          <cell r="Q307">
            <v>235</v>
          </cell>
          <cell r="R307">
            <v>0.77777777777777779</v>
          </cell>
          <cell r="S307">
            <v>0.22222222222222221</v>
          </cell>
          <cell r="T307">
            <v>0</v>
          </cell>
        </row>
        <row r="308">
          <cell r="Q308">
            <v>234</v>
          </cell>
          <cell r="R308">
            <v>0.77777777777777779</v>
          </cell>
          <cell r="S308">
            <v>0.22222222222222221</v>
          </cell>
          <cell r="T308">
            <v>0</v>
          </cell>
        </row>
        <row r="309">
          <cell r="Q309">
            <v>233</v>
          </cell>
          <cell r="R309">
            <v>0.77777777777777779</v>
          </cell>
          <cell r="S309">
            <v>0.22222222222222221</v>
          </cell>
          <cell r="T309">
            <v>0</v>
          </cell>
        </row>
        <row r="310">
          <cell r="Q310">
            <v>232</v>
          </cell>
          <cell r="R310">
            <v>0.77777777777777779</v>
          </cell>
          <cell r="S310">
            <v>0.22222222222222221</v>
          </cell>
          <cell r="T310">
            <v>0</v>
          </cell>
        </row>
        <row r="311">
          <cell r="Q311">
            <v>231</v>
          </cell>
          <cell r="R311">
            <v>0.77777777777777779</v>
          </cell>
          <cell r="S311">
            <v>0.22222222222222221</v>
          </cell>
          <cell r="T311">
            <v>0</v>
          </cell>
        </row>
        <row r="312">
          <cell r="Q312">
            <v>230</v>
          </cell>
          <cell r="R312">
            <v>0.77777777777777779</v>
          </cell>
          <cell r="S312">
            <v>0.22222222222222221</v>
          </cell>
          <cell r="T312">
            <v>0</v>
          </cell>
        </row>
        <row r="313">
          <cell r="Q313">
            <v>229</v>
          </cell>
          <cell r="R313">
            <v>0.77777777777777779</v>
          </cell>
          <cell r="S313">
            <v>0.22222222222222221</v>
          </cell>
          <cell r="T313">
            <v>0</v>
          </cell>
        </row>
        <row r="314">
          <cell r="Q314">
            <v>228</v>
          </cell>
          <cell r="R314">
            <v>0.77777777777777779</v>
          </cell>
          <cell r="S314">
            <v>0.22222222222222221</v>
          </cell>
          <cell r="T314">
            <v>0</v>
          </cell>
        </row>
        <row r="315">
          <cell r="Q315">
            <v>227</v>
          </cell>
          <cell r="R315">
            <v>0.77777777777777779</v>
          </cell>
          <cell r="S315">
            <v>0.22222222222222221</v>
          </cell>
          <cell r="T315">
            <v>0</v>
          </cell>
        </row>
        <row r="316">
          <cell r="Q316">
            <v>226</v>
          </cell>
          <cell r="R316">
            <v>0.77777777777777779</v>
          </cell>
          <cell r="S316">
            <v>0.22222222222222221</v>
          </cell>
          <cell r="T316">
            <v>0</v>
          </cell>
        </row>
        <row r="317">
          <cell r="Q317">
            <v>225</v>
          </cell>
          <cell r="R317">
            <v>0.77777777777777779</v>
          </cell>
          <cell r="S317">
            <v>0.22222222222222221</v>
          </cell>
          <cell r="T317">
            <v>0</v>
          </cell>
        </row>
        <row r="318">
          <cell r="Q318">
            <v>224</v>
          </cell>
          <cell r="R318">
            <v>0.77777777777777779</v>
          </cell>
          <cell r="S318">
            <v>0.22222222222222221</v>
          </cell>
          <cell r="T318">
            <v>0</v>
          </cell>
        </row>
        <row r="319">
          <cell r="Q319">
            <v>223</v>
          </cell>
          <cell r="R319">
            <v>0.77777777777777779</v>
          </cell>
          <cell r="S319">
            <v>0.22222222222222221</v>
          </cell>
          <cell r="T319">
            <v>0</v>
          </cell>
        </row>
        <row r="320">
          <cell r="Q320">
            <v>222</v>
          </cell>
          <cell r="R320">
            <v>0.77777777777777779</v>
          </cell>
          <cell r="S320">
            <v>0.22222222222222221</v>
          </cell>
          <cell r="T320">
            <v>0</v>
          </cell>
        </row>
        <row r="321">
          <cell r="Q321">
            <v>221</v>
          </cell>
          <cell r="R321">
            <v>0.77777777777777779</v>
          </cell>
          <cell r="S321">
            <v>0.22222222222222221</v>
          </cell>
          <cell r="T321">
            <v>0</v>
          </cell>
        </row>
        <row r="322">
          <cell r="Q322">
            <v>220</v>
          </cell>
          <cell r="R322">
            <v>0.77777777777777779</v>
          </cell>
          <cell r="S322">
            <v>0.22222222222222221</v>
          </cell>
          <cell r="T322">
            <v>0</v>
          </cell>
        </row>
        <row r="323">
          <cell r="Q323">
            <v>219</v>
          </cell>
          <cell r="R323">
            <v>0.77777777777777779</v>
          </cell>
          <cell r="S323">
            <v>0.22222222222222221</v>
          </cell>
          <cell r="T323">
            <v>0</v>
          </cell>
        </row>
        <row r="324">
          <cell r="Q324">
            <v>218</v>
          </cell>
          <cell r="R324">
            <v>0.77777777777777779</v>
          </cell>
          <cell r="S324">
            <v>0.22222222222222221</v>
          </cell>
          <cell r="T324">
            <v>0</v>
          </cell>
        </row>
        <row r="325">
          <cell r="Q325">
            <v>217</v>
          </cell>
          <cell r="R325">
            <v>0.77777777777777779</v>
          </cell>
          <cell r="S325">
            <v>0.22222222222222221</v>
          </cell>
          <cell r="T325">
            <v>0</v>
          </cell>
        </row>
        <row r="326">
          <cell r="Q326">
            <v>216</v>
          </cell>
          <cell r="R326">
            <v>0.77777777777777779</v>
          </cell>
          <cell r="S326">
            <v>0.22222222222222221</v>
          </cell>
          <cell r="T326">
            <v>0</v>
          </cell>
        </row>
        <row r="327">
          <cell r="Q327">
            <v>215</v>
          </cell>
          <cell r="R327">
            <v>0.77777777777777779</v>
          </cell>
          <cell r="S327">
            <v>0.22222222222222221</v>
          </cell>
          <cell r="T327">
            <v>0</v>
          </cell>
        </row>
        <row r="328">
          <cell r="Q328">
            <v>214</v>
          </cell>
          <cell r="R328">
            <v>0.77777777777777779</v>
          </cell>
          <cell r="S328">
            <v>0.22222222222222221</v>
          </cell>
          <cell r="T328">
            <v>0</v>
          </cell>
        </row>
        <row r="329">
          <cell r="Q329">
            <v>213</v>
          </cell>
          <cell r="R329">
            <v>0.77777777777777779</v>
          </cell>
          <cell r="S329">
            <v>0.22222222222222221</v>
          </cell>
          <cell r="T329">
            <v>0</v>
          </cell>
        </row>
        <row r="330">
          <cell r="Q330">
            <v>212</v>
          </cell>
          <cell r="R330">
            <v>0.77777777777777779</v>
          </cell>
          <cell r="S330">
            <v>0.22222222222222221</v>
          </cell>
          <cell r="T330">
            <v>0</v>
          </cell>
        </row>
        <row r="331">
          <cell r="Q331">
            <v>211</v>
          </cell>
          <cell r="R331">
            <v>0.77777777777777779</v>
          </cell>
          <cell r="S331">
            <v>0.22222222222222221</v>
          </cell>
          <cell r="T331">
            <v>0</v>
          </cell>
        </row>
        <row r="332">
          <cell r="Q332">
            <v>210</v>
          </cell>
          <cell r="R332">
            <v>0.77777777777777779</v>
          </cell>
          <cell r="S332">
            <v>0.22222222222222221</v>
          </cell>
          <cell r="T332">
            <v>0</v>
          </cell>
        </row>
        <row r="333">
          <cell r="Q333">
            <v>209</v>
          </cell>
          <cell r="R333">
            <v>0.77777777777777779</v>
          </cell>
          <cell r="S333">
            <v>0.22222222222222221</v>
          </cell>
          <cell r="T333">
            <v>0</v>
          </cell>
        </row>
        <row r="334">
          <cell r="Q334">
            <v>208</v>
          </cell>
          <cell r="R334">
            <v>0.77777777777777779</v>
          </cell>
          <cell r="S334">
            <v>0.22222222222222221</v>
          </cell>
          <cell r="T334">
            <v>0</v>
          </cell>
        </row>
        <row r="335">
          <cell r="Q335">
            <v>207</v>
          </cell>
          <cell r="R335">
            <v>0.77777777777777779</v>
          </cell>
          <cell r="S335">
            <v>0.22222222222222221</v>
          </cell>
          <cell r="T335">
            <v>0</v>
          </cell>
        </row>
        <row r="336">
          <cell r="Q336">
            <v>206</v>
          </cell>
          <cell r="R336">
            <v>0.77777777777777779</v>
          </cell>
          <cell r="S336">
            <v>0.22222222222222221</v>
          </cell>
          <cell r="T336">
            <v>0</v>
          </cell>
        </row>
        <row r="337">
          <cell r="Q337">
            <v>205</v>
          </cell>
          <cell r="R337">
            <v>0.77777777777777779</v>
          </cell>
          <cell r="S337">
            <v>0.22222222222222221</v>
          </cell>
          <cell r="T337">
            <v>0</v>
          </cell>
        </row>
        <row r="338">
          <cell r="Q338">
            <v>204</v>
          </cell>
          <cell r="R338">
            <v>0.77777777777777779</v>
          </cell>
          <cell r="S338">
            <v>0.22222222222222221</v>
          </cell>
          <cell r="T338">
            <v>0</v>
          </cell>
        </row>
        <row r="339">
          <cell r="Q339">
            <v>203</v>
          </cell>
          <cell r="R339">
            <v>0.77777777777777779</v>
          </cell>
          <cell r="S339">
            <v>0.22222222222222221</v>
          </cell>
          <cell r="T339">
            <v>0</v>
          </cell>
        </row>
        <row r="340">
          <cell r="Q340">
            <v>202</v>
          </cell>
          <cell r="R340">
            <v>0.77777777777777779</v>
          </cell>
          <cell r="S340">
            <v>0.22222222222222221</v>
          </cell>
          <cell r="T340">
            <v>0</v>
          </cell>
        </row>
        <row r="341">
          <cell r="Q341">
            <v>201</v>
          </cell>
          <cell r="R341">
            <v>0.77777777777777779</v>
          </cell>
          <cell r="S341">
            <v>0.22222222222222221</v>
          </cell>
          <cell r="T341">
            <v>0</v>
          </cell>
        </row>
        <row r="342">
          <cell r="Q342">
            <v>200</v>
          </cell>
          <cell r="R342">
            <v>0.77777777777777779</v>
          </cell>
          <cell r="S342">
            <v>0.22222222222222221</v>
          </cell>
          <cell r="T342">
            <v>0</v>
          </cell>
        </row>
        <row r="343">
          <cell r="Q343">
            <v>199</v>
          </cell>
          <cell r="R343">
            <v>0.77777777777777779</v>
          </cell>
          <cell r="S343">
            <v>0.22222222222222221</v>
          </cell>
          <cell r="T343">
            <v>0</v>
          </cell>
        </row>
        <row r="344">
          <cell r="Q344">
            <v>198</v>
          </cell>
          <cell r="R344">
            <v>0.77777777777777779</v>
          </cell>
          <cell r="S344">
            <v>0.22222222222222221</v>
          </cell>
          <cell r="T344">
            <v>0</v>
          </cell>
        </row>
        <row r="345">
          <cell r="Q345">
            <v>197</v>
          </cell>
          <cell r="R345">
            <v>0.77777777777777779</v>
          </cell>
          <cell r="S345">
            <v>0.22222222222222221</v>
          </cell>
          <cell r="T345">
            <v>0</v>
          </cell>
        </row>
        <row r="346">
          <cell r="Q346">
            <v>196</v>
          </cell>
          <cell r="R346">
            <v>0.77777777777777779</v>
          </cell>
          <cell r="S346">
            <v>0.22222222222222221</v>
          </cell>
          <cell r="T346">
            <v>0</v>
          </cell>
        </row>
        <row r="347">
          <cell r="Q347">
            <v>195</v>
          </cell>
          <cell r="R347">
            <v>0.77777777777777779</v>
          </cell>
          <cell r="S347">
            <v>0.22222222222222221</v>
          </cell>
          <cell r="T347">
            <v>0</v>
          </cell>
        </row>
        <row r="348">
          <cell r="Q348">
            <v>194</v>
          </cell>
          <cell r="R348">
            <v>0.77777777777777779</v>
          </cell>
          <cell r="S348">
            <v>0.22222222222222221</v>
          </cell>
          <cell r="T348">
            <v>0</v>
          </cell>
        </row>
        <row r="349">
          <cell r="Q349">
            <v>193</v>
          </cell>
          <cell r="R349">
            <v>0.77777777777777779</v>
          </cell>
          <cell r="S349">
            <v>0.22222222222222221</v>
          </cell>
          <cell r="T349">
            <v>0</v>
          </cell>
        </row>
        <row r="350">
          <cell r="Q350">
            <v>192</v>
          </cell>
          <cell r="R350">
            <v>0.69123039999999991</v>
          </cell>
          <cell r="S350">
            <v>0.30876960000000009</v>
          </cell>
          <cell r="T350">
            <v>0</v>
          </cell>
        </row>
        <row r="351">
          <cell r="Q351">
            <v>191</v>
          </cell>
          <cell r="R351">
            <v>0.69123039999999991</v>
          </cell>
          <cell r="S351">
            <v>0.30876960000000009</v>
          </cell>
          <cell r="T351">
            <v>0</v>
          </cell>
        </row>
        <row r="352">
          <cell r="Q352">
            <v>190</v>
          </cell>
          <cell r="R352">
            <v>0.69123039999999991</v>
          </cell>
          <cell r="S352">
            <v>0.30876960000000009</v>
          </cell>
          <cell r="T352">
            <v>0</v>
          </cell>
        </row>
        <row r="353">
          <cell r="Q353">
            <v>189</v>
          </cell>
          <cell r="R353">
            <v>0.69123039999999991</v>
          </cell>
          <cell r="S353">
            <v>0.30876960000000009</v>
          </cell>
          <cell r="T353">
            <v>0</v>
          </cell>
        </row>
        <row r="354">
          <cell r="Q354">
            <v>188</v>
          </cell>
          <cell r="R354">
            <v>0.69123039999999991</v>
          </cell>
          <cell r="S354">
            <v>0.30876960000000009</v>
          </cell>
          <cell r="T354">
            <v>0</v>
          </cell>
        </row>
        <row r="355">
          <cell r="Q355">
            <v>187</v>
          </cell>
          <cell r="R355">
            <v>0.69123039999999991</v>
          </cell>
          <cell r="S355">
            <v>0.30876960000000009</v>
          </cell>
          <cell r="T355">
            <v>0</v>
          </cell>
        </row>
        <row r="356">
          <cell r="Q356">
            <v>186</v>
          </cell>
          <cell r="R356">
            <v>0.69123039999999991</v>
          </cell>
          <cell r="S356">
            <v>0.30876960000000009</v>
          </cell>
          <cell r="T356">
            <v>0</v>
          </cell>
        </row>
        <row r="357">
          <cell r="Q357">
            <v>185</v>
          </cell>
          <cell r="R357">
            <v>0.69123039999999991</v>
          </cell>
          <cell r="S357">
            <v>0.30876960000000009</v>
          </cell>
          <cell r="T357">
            <v>0</v>
          </cell>
        </row>
        <row r="358">
          <cell r="Q358">
            <v>184</v>
          </cell>
          <cell r="R358">
            <v>0.69123039999999991</v>
          </cell>
          <cell r="S358">
            <v>0.30876960000000009</v>
          </cell>
          <cell r="T358">
            <v>0</v>
          </cell>
        </row>
        <row r="359">
          <cell r="Q359">
            <v>183</v>
          </cell>
          <cell r="R359">
            <v>0.69123039999999991</v>
          </cell>
          <cell r="S359">
            <v>0.30876960000000009</v>
          </cell>
          <cell r="T359">
            <v>0</v>
          </cell>
        </row>
        <row r="360">
          <cell r="Q360">
            <v>182</v>
          </cell>
          <cell r="R360">
            <v>0.69123039999999991</v>
          </cell>
          <cell r="S360">
            <v>0.30876960000000009</v>
          </cell>
          <cell r="T360">
            <v>0</v>
          </cell>
        </row>
        <row r="361">
          <cell r="Q361">
            <v>181</v>
          </cell>
          <cell r="R361">
            <v>0.69123039999999991</v>
          </cell>
          <cell r="S361">
            <v>0.30876960000000009</v>
          </cell>
          <cell r="T361">
            <v>0</v>
          </cell>
        </row>
        <row r="362">
          <cell r="Q362">
            <v>180</v>
          </cell>
          <cell r="R362">
            <v>0.52769083333333344</v>
          </cell>
          <cell r="S362">
            <v>0.47230916666666656</v>
          </cell>
          <cell r="T362">
            <v>0</v>
          </cell>
        </row>
        <row r="363">
          <cell r="Q363">
            <v>179</v>
          </cell>
          <cell r="R363">
            <v>0.52769083333333344</v>
          </cell>
          <cell r="S363">
            <v>0.47230916666666656</v>
          </cell>
          <cell r="T363">
            <v>0</v>
          </cell>
        </row>
        <row r="364">
          <cell r="Q364">
            <v>178</v>
          </cell>
          <cell r="R364">
            <v>0.52769083333333344</v>
          </cell>
          <cell r="S364">
            <v>0.47230916666666656</v>
          </cell>
          <cell r="T364">
            <v>0</v>
          </cell>
        </row>
        <row r="365">
          <cell r="Q365">
            <v>177</v>
          </cell>
          <cell r="R365">
            <v>0.52769083333333344</v>
          </cell>
          <cell r="S365">
            <v>0.47230916666666656</v>
          </cell>
          <cell r="T365">
            <v>0</v>
          </cell>
        </row>
        <row r="366">
          <cell r="Q366">
            <v>176</v>
          </cell>
          <cell r="R366">
            <v>0.52769083333333344</v>
          </cell>
          <cell r="S366">
            <v>0.47230916666666656</v>
          </cell>
          <cell r="T366">
            <v>0</v>
          </cell>
        </row>
        <row r="367">
          <cell r="Q367">
            <v>175</v>
          </cell>
          <cell r="R367">
            <v>0.52769083333333344</v>
          </cell>
          <cell r="S367">
            <v>0.47230916666666656</v>
          </cell>
          <cell r="T367">
            <v>0</v>
          </cell>
        </row>
        <row r="368">
          <cell r="Q368">
            <v>174</v>
          </cell>
          <cell r="R368">
            <v>0.52769083333333344</v>
          </cell>
          <cell r="S368">
            <v>0.47230916666666656</v>
          </cell>
          <cell r="T368">
            <v>0</v>
          </cell>
        </row>
        <row r="369">
          <cell r="Q369">
            <v>173</v>
          </cell>
          <cell r="R369">
            <v>0.52769083333333344</v>
          </cell>
          <cell r="S369">
            <v>0.47230916666666656</v>
          </cell>
          <cell r="T369">
            <v>0</v>
          </cell>
        </row>
        <row r="370">
          <cell r="Q370">
            <v>172</v>
          </cell>
          <cell r="R370">
            <v>0.52769083333333344</v>
          </cell>
          <cell r="S370">
            <v>0.47230916666666656</v>
          </cell>
          <cell r="T370">
            <v>0</v>
          </cell>
        </row>
        <row r="371">
          <cell r="Q371">
            <v>171</v>
          </cell>
          <cell r="R371">
            <v>0.52769083333333344</v>
          </cell>
          <cell r="S371">
            <v>0.47230916666666656</v>
          </cell>
          <cell r="T371">
            <v>0</v>
          </cell>
        </row>
        <row r="372">
          <cell r="Q372">
            <v>170</v>
          </cell>
          <cell r="R372">
            <v>0.52769083333333344</v>
          </cell>
          <cell r="S372">
            <v>0.47230916666666656</v>
          </cell>
          <cell r="T372">
            <v>0</v>
          </cell>
        </row>
        <row r="373">
          <cell r="Q373">
            <v>169</v>
          </cell>
          <cell r="R373">
            <v>0.52769083333333344</v>
          </cell>
          <cell r="S373">
            <v>0.47230916666666656</v>
          </cell>
          <cell r="T373">
            <v>0</v>
          </cell>
        </row>
        <row r="374">
          <cell r="Q374">
            <v>168</v>
          </cell>
          <cell r="R374">
            <v>0.40224606666666657</v>
          </cell>
          <cell r="S374">
            <v>0.59775393333333349</v>
          </cell>
          <cell r="T374">
            <v>0</v>
          </cell>
        </row>
        <row r="375">
          <cell r="Q375">
            <v>167</v>
          </cell>
          <cell r="R375">
            <v>0.40224606666666657</v>
          </cell>
          <cell r="S375">
            <v>0.59775393333333349</v>
          </cell>
          <cell r="T375">
            <v>0</v>
          </cell>
        </row>
        <row r="376">
          <cell r="Q376">
            <v>166</v>
          </cell>
          <cell r="R376">
            <v>0.40224606666666657</v>
          </cell>
          <cell r="S376">
            <v>0.59775393333333349</v>
          </cell>
          <cell r="T376">
            <v>0</v>
          </cell>
        </row>
        <row r="377">
          <cell r="Q377">
            <v>165</v>
          </cell>
          <cell r="R377">
            <v>0.40224606666666657</v>
          </cell>
          <cell r="S377">
            <v>0.59775393333333349</v>
          </cell>
          <cell r="T377">
            <v>0</v>
          </cell>
        </row>
        <row r="378">
          <cell r="Q378">
            <v>164</v>
          </cell>
          <cell r="R378">
            <v>0.40224606666666657</v>
          </cell>
          <cell r="S378">
            <v>0.59775393333333349</v>
          </cell>
          <cell r="T378">
            <v>0</v>
          </cell>
        </row>
        <row r="379">
          <cell r="Q379">
            <v>163</v>
          </cell>
          <cell r="R379">
            <v>0.40224606666666657</v>
          </cell>
          <cell r="S379">
            <v>0.59775393333333349</v>
          </cell>
          <cell r="T379">
            <v>0</v>
          </cell>
        </row>
        <row r="380">
          <cell r="Q380">
            <v>162</v>
          </cell>
          <cell r="R380">
            <v>0.40224606666666657</v>
          </cell>
          <cell r="S380">
            <v>0.59775393333333349</v>
          </cell>
          <cell r="T380">
            <v>0</v>
          </cell>
        </row>
        <row r="381">
          <cell r="Q381">
            <v>161</v>
          </cell>
          <cell r="R381">
            <v>0.40224606666666657</v>
          </cell>
          <cell r="S381">
            <v>0.59775393333333349</v>
          </cell>
          <cell r="T381">
            <v>0</v>
          </cell>
        </row>
        <row r="382">
          <cell r="Q382">
            <v>160</v>
          </cell>
          <cell r="R382">
            <v>0.40224606666666657</v>
          </cell>
          <cell r="S382">
            <v>0.59775393333333349</v>
          </cell>
          <cell r="T382">
            <v>0</v>
          </cell>
        </row>
        <row r="383">
          <cell r="Q383">
            <v>159</v>
          </cell>
          <cell r="R383">
            <v>0.40224606666666657</v>
          </cell>
          <cell r="S383">
            <v>0.59775393333333349</v>
          </cell>
          <cell r="T383">
            <v>0</v>
          </cell>
        </row>
        <row r="384">
          <cell r="Q384">
            <v>158</v>
          </cell>
          <cell r="R384">
            <v>0.40224606666666657</v>
          </cell>
          <cell r="S384">
            <v>0.59775393333333349</v>
          </cell>
          <cell r="T384">
            <v>0</v>
          </cell>
        </row>
        <row r="385">
          <cell r="Q385">
            <v>157</v>
          </cell>
          <cell r="R385">
            <v>0.40224606666666657</v>
          </cell>
          <cell r="S385">
            <v>0.59775393333333349</v>
          </cell>
          <cell r="T385">
            <v>0</v>
          </cell>
        </row>
        <row r="386">
          <cell r="Q386">
            <v>156</v>
          </cell>
          <cell r="R386">
            <v>0.31055256666666681</v>
          </cell>
          <cell r="S386">
            <v>0.68944743333333314</v>
          </cell>
          <cell r="T386">
            <v>0</v>
          </cell>
        </row>
        <row r="387">
          <cell r="Q387">
            <v>155</v>
          </cell>
          <cell r="R387">
            <v>0.31055256666666681</v>
          </cell>
          <cell r="S387">
            <v>0.68944743333333314</v>
          </cell>
          <cell r="T387">
            <v>0</v>
          </cell>
        </row>
        <row r="388">
          <cell r="Q388">
            <v>154</v>
          </cell>
          <cell r="R388">
            <v>0.31055256666666681</v>
          </cell>
          <cell r="S388">
            <v>0.68944743333333314</v>
          </cell>
          <cell r="T388">
            <v>0</v>
          </cell>
        </row>
        <row r="389">
          <cell r="Q389">
            <v>153</v>
          </cell>
          <cell r="R389">
            <v>0.31055256666666681</v>
          </cell>
          <cell r="S389">
            <v>0.68944743333333314</v>
          </cell>
          <cell r="T389">
            <v>0</v>
          </cell>
        </row>
        <row r="390">
          <cell r="Q390">
            <v>152</v>
          </cell>
          <cell r="R390">
            <v>0.31055256666666681</v>
          </cell>
          <cell r="S390">
            <v>0.68944743333333314</v>
          </cell>
          <cell r="T390">
            <v>0</v>
          </cell>
        </row>
        <row r="391">
          <cell r="Q391">
            <v>151</v>
          </cell>
          <cell r="R391">
            <v>0.31055256666666681</v>
          </cell>
          <cell r="S391">
            <v>0.68944743333333314</v>
          </cell>
          <cell r="T391">
            <v>0</v>
          </cell>
        </row>
        <row r="392">
          <cell r="Q392">
            <v>150</v>
          </cell>
          <cell r="R392">
            <v>0.31055256666666681</v>
          </cell>
          <cell r="S392">
            <v>0.68944743333333314</v>
          </cell>
          <cell r="T392">
            <v>0</v>
          </cell>
        </row>
        <row r="393">
          <cell r="Q393">
            <v>149</v>
          </cell>
          <cell r="R393">
            <v>0.31055256666666681</v>
          </cell>
          <cell r="S393">
            <v>0.68944743333333314</v>
          </cell>
          <cell r="T393">
            <v>0</v>
          </cell>
        </row>
        <row r="394">
          <cell r="Q394">
            <v>148</v>
          </cell>
          <cell r="R394">
            <v>0.31055256666666681</v>
          </cell>
          <cell r="S394">
            <v>0.68944743333333314</v>
          </cell>
          <cell r="T394">
            <v>0</v>
          </cell>
        </row>
        <row r="395">
          <cell r="Q395">
            <v>147</v>
          </cell>
          <cell r="R395">
            <v>0.31055256666666681</v>
          </cell>
          <cell r="S395">
            <v>0.68944743333333314</v>
          </cell>
          <cell r="T395">
            <v>0</v>
          </cell>
        </row>
        <row r="396">
          <cell r="Q396">
            <v>146</v>
          </cell>
          <cell r="R396">
            <v>0.31055256666666681</v>
          </cell>
          <cell r="S396">
            <v>0.68944743333333314</v>
          </cell>
          <cell r="T396">
            <v>0</v>
          </cell>
        </row>
        <row r="397">
          <cell r="Q397">
            <v>145</v>
          </cell>
          <cell r="R397">
            <v>0.31055256666666681</v>
          </cell>
          <cell r="S397">
            <v>0.68944743333333314</v>
          </cell>
          <cell r="T397">
            <v>0</v>
          </cell>
        </row>
        <row r="398">
          <cell r="Q398">
            <v>144</v>
          </cell>
          <cell r="R398">
            <v>0.23950733333333318</v>
          </cell>
          <cell r="S398">
            <v>0.76049266666666682</v>
          </cell>
          <cell r="T398">
            <v>0</v>
          </cell>
        </row>
        <row r="399">
          <cell r="Q399">
            <v>143</v>
          </cell>
          <cell r="R399">
            <v>0.23950733333333318</v>
          </cell>
          <cell r="S399">
            <v>0.76049266666666682</v>
          </cell>
          <cell r="T399">
            <v>0</v>
          </cell>
        </row>
        <row r="400">
          <cell r="Q400">
            <v>142</v>
          </cell>
          <cell r="R400">
            <v>0.23950733333333318</v>
          </cell>
          <cell r="S400">
            <v>0.76049266666666682</v>
          </cell>
          <cell r="T400">
            <v>0</v>
          </cell>
        </row>
        <row r="401">
          <cell r="Q401">
            <v>141</v>
          </cell>
          <cell r="R401">
            <v>0.23950733333333318</v>
          </cell>
          <cell r="S401">
            <v>0.76049266666666682</v>
          </cell>
          <cell r="T401">
            <v>0</v>
          </cell>
        </row>
        <row r="402">
          <cell r="Q402">
            <v>140</v>
          </cell>
          <cell r="R402">
            <v>0.23950733333333318</v>
          </cell>
          <cell r="S402">
            <v>0.76049266666666682</v>
          </cell>
          <cell r="T402">
            <v>0</v>
          </cell>
        </row>
        <row r="403">
          <cell r="Q403">
            <v>139</v>
          </cell>
          <cell r="R403">
            <v>0.23950733333333318</v>
          </cell>
          <cell r="S403">
            <v>0.76049266666666682</v>
          </cell>
          <cell r="T403">
            <v>0</v>
          </cell>
        </row>
        <row r="404">
          <cell r="Q404">
            <v>138</v>
          </cell>
          <cell r="R404">
            <v>0.23950733333333318</v>
          </cell>
          <cell r="S404">
            <v>0.76049266666666682</v>
          </cell>
          <cell r="T404">
            <v>0</v>
          </cell>
        </row>
        <row r="405">
          <cell r="Q405">
            <v>137</v>
          </cell>
          <cell r="R405">
            <v>0.23950733333333318</v>
          </cell>
          <cell r="S405">
            <v>0.76049266666666682</v>
          </cell>
          <cell r="T405">
            <v>0</v>
          </cell>
        </row>
        <row r="406">
          <cell r="Q406">
            <v>136</v>
          </cell>
          <cell r="R406">
            <v>0.23950733333333318</v>
          </cell>
          <cell r="S406">
            <v>0.76049266666666682</v>
          </cell>
          <cell r="T406">
            <v>0</v>
          </cell>
        </row>
        <row r="407">
          <cell r="Q407">
            <v>135</v>
          </cell>
          <cell r="R407">
            <v>0.23950733333333318</v>
          </cell>
          <cell r="S407">
            <v>0.76049266666666682</v>
          </cell>
          <cell r="T407">
            <v>0</v>
          </cell>
        </row>
        <row r="408">
          <cell r="Q408">
            <v>134</v>
          </cell>
          <cell r="R408">
            <v>0.23950733333333318</v>
          </cell>
          <cell r="S408">
            <v>0.76049266666666682</v>
          </cell>
          <cell r="T408">
            <v>0</v>
          </cell>
        </row>
        <row r="409">
          <cell r="Q409">
            <v>133</v>
          </cell>
          <cell r="R409">
            <v>0.23950733333333318</v>
          </cell>
          <cell r="S409">
            <v>0.76049266666666682</v>
          </cell>
          <cell r="T409">
            <v>0</v>
          </cell>
        </row>
        <row r="410">
          <cell r="Q410">
            <v>132</v>
          </cell>
          <cell r="R410">
            <v>0.17767006666666652</v>
          </cell>
          <cell r="S410">
            <v>0.82232993333333348</v>
          </cell>
          <cell r="T410">
            <v>0</v>
          </cell>
        </row>
        <row r="411">
          <cell r="Q411">
            <v>131</v>
          </cell>
          <cell r="R411">
            <v>0.17767006666666652</v>
          </cell>
          <cell r="S411">
            <v>0.82232993333333348</v>
          </cell>
          <cell r="T411">
            <v>0</v>
          </cell>
        </row>
        <row r="412">
          <cell r="Q412">
            <v>130</v>
          </cell>
          <cell r="R412">
            <v>0.17767006666666652</v>
          </cell>
          <cell r="S412">
            <v>0.82232993333333348</v>
          </cell>
          <cell r="T412">
            <v>0</v>
          </cell>
        </row>
        <row r="413">
          <cell r="Q413">
            <v>129</v>
          </cell>
          <cell r="R413">
            <v>0.17767006666666652</v>
          </cell>
          <cell r="S413">
            <v>0.82232993333333348</v>
          </cell>
          <cell r="T413">
            <v>0</v>
          </cell>
        </row>
        <row r="414">
          <cell r="Q414">
            <v>128</v>
          </cell>
          <cell r="R414">
            <v>0.17767006666666652</v>
          </cell>
          <cell r="S414">
            <v>0.82232993333333348</v>
          </cell>
          <cell r="T414">
            <v>0</v>
          </cell>
        </row>
        <row r="415">
          <cell r="Q415">
            <v>127</v>
          </cell>
          <cell r="R415">
            <v>0.17767006666666652</v>
          </cell>
          <cell r="S415">
            <v>0.82232993333333348</v>
          </cell>
          <cell r="T415">
            <v>0</v>
          </cell>
        </row>
        <row r="416">
          <cell r="Q416">
            <v>126</v>
          </cell>
          <cell r="R416">
            <v>0.17767006666666652</v>
          </cell>
          <cell r="S416">
            <v>0.82232993333333348</v>
          </cell>
          <cell r="T416">
            <v>0</v>
          </cell>
        </row>
        <row r="417">
          <cell r="Q417">
            <v>125</v>
          </cell>
          <cell r="R417">
            <v>0.17767006666666652</v>
          </cell>
          <cell r="S417">
            <v>0.82232993333333348</v>
          </cell>
          <cell r="T417">
            <v>0</v>
          </cell>
        </row>
        <row r="418">
          <cell r="Q418">
            <v>124</v>
          </cell>
          <cell r="R418">
            <v>0.17767006666666652</v>
          </cell>
          <cell r="S418">
            <v>0.82232993333333348</v>
          </cell>
          <cell r="T418">
            <v>0</v>
          </cell>
        </row>
        <row r="419">
          <cell r="Q419">
            <v>123</v>
          </cell>
          <cell r="R419">
            <v>0.17767006666666652</v>
          </cell>
          <cell r="S419">
            <v>0.82232993333333348</v>
          </cell>
          <cell r="T419">
            <v>0</v>
          </cell>
        </row>
        <row r="420">
          <cell r="Q420">
            <v>122</v>
          </cell>
          <cell r="R420">
            <v>0.17767006666666652</v>
          </cell>
          <cell r="S420">
            <v>0.82232993333333348</v>
          </cell>
          <cell r="T420">
            <v>0</v>
          </cell>
        </row>
        <row r="421">
          <cell r="Q421">
            <v>121</v>
          </cell>
          <cell r="R421">
            <v>0.17767006666666652</v>
          </cell>
          <cell r="S421">
            <v>0.82232993333333348</v>
          </cell>
          <cell r="T421">
            <v>0</v>
          </cell>
        </row>
        <row r="422">
          <cell r="Q422">
            <v>120</v>
          </cell>
          <cell r="R422">
            <v>0.1254370000000001</v>
          </cell>
          <cell r="S422">
            <v>0.87456299999999987</v>
          </cell>
          <cell r="T422">
            <v>0</v>
          </cell>
        </row>
        <row r="423">
          <cell r="Q423">
            <v>119</v>
          </cell>
          <cell r="R423">
            <v>0.1254370000000001</v>
          </cell>
          <cell r="S423">
            <v>0.87456299999999987</v>
          </cell>
          <cell r="T423">
            <v>0</v>
          </cell>
        </row>
        <row r="424">
          <cell r="Q424">
            <v>118</v>
          </cell>
          <cell r="R424">
            <v>0.1254370000000001</v>
          </cell>
          <cell r="S424">
            <v>0.87456299999999987</v>
          </cell>
          <cell r="T424">
            <v>0</v>
          </cell>
        </row>
        <row r="425">
          <cell r="Q425">
            <v>117</v>
          </cell>
          <cell r="R425">
            <v>0.1254370000000001</v>
          </cell>
          <cell r="S425">
            <v>0.87456299999999987</v>
          </cell>
          <cell r="T425">
            <v>0</v>
          </cell>
        </row>
        <row r="426">
          <cell r="Q426">
            <v>116</v>
          </cell>
          <cell r="R426">
            <v>0.1254370000000001</v>
          </cell>
          <cell r="S426">
            <v>0.87456299999999987</v>
          </cell>
          <cell r="T426">
            <v>0</v>
          </cell>
        </row>
        <row r="427">
          <cell r="Q427">
            <v>115</v>
          </cell>
          <cell r="R427">
            <v>0.1254370000000001</v>
          </cell>
          <cell r="S427">
            <v>0.87456299999999987</v>
          </cell>
          <cell r="T427">
            <v>0</v>
          </cell>
        </row>
        <row r="428">
          <cell r="Q428">
            <v>114</v>
          </cell>
          <cell r="R428">
            <v>0.1254370000000001</v>
          </cell>
          <cell r="S428">
            <v>0.87456299999999987</v>
          </cell>
          <cell r="T428">
            <v>0</v>
          </cell>
        </row>
        <row r="429">
          <cell r="Q429">
            <v>113</v>
          </cell>
          <cell r="R429">
            <v>0.1254370000000001</v>
          </cell>
          <cell r="S429">
            <v>0.87456299999999987</v>
          </cell>
          <cell r="T429">
            <v>0</v>
          </cell>
        </row>
        <row r="430">
          <cell r="Q430">
            <v>112</v>
          </cell>
          <cell r="R430">
            <v>0.1254370000000001</v>
          </cell>
          <cell r="S430">
            <v>0.87456299999999987</v>
          </cell>
          <cell r="T430">
            <v>0</v>
          </cell>
        </row>
        <row r="431">
          <cell r="Q431">
            <v>111</v>
          </cell>
          <cell r="R431">
            <v>0.1254370000000001</v>
          </cell>
          <cell r="S431">
            <v>0.87456299999999987</v>
          </cell>
          <cell r="T431">
            <v>0</v>
          </cell>
        </row>
        <row r="432">
          <cell r="Q432">
            <v>110</v>
          </cell>
          <cell r="R432">
            <v>0.1254370000000001</v>
          </cell>
          <cell r="S432">
            <v>0.87456299999999987</v>
          </cell>
          <cell r="T432">
            <v>0</v>
          </cell>
        </row>
        <row r="433">
          <cell r="Q433">
            <v>109</v>
          </cell>
          <cell r="R433">
            <v>0.1254370000000001</v>
          </cell>
          <cell r="S433">
            <v>0.87456299999999987</v>
          </cell>
          <cell r="T433">
            <v>0</v>
          </cell>
        </row>
        <row r="434">
          <cell r="Q434">
            <v>108</v>
          </cell>
          <cell r="R434">
            <v>7.969763333333349E-2</v>
          </cell>
          <cell r="S434">
            <v>0.92030236666666654</v>
          </cell>
          <cell r="T434">
            <v>0</v>
          </cell>
        </row>
        <row r="435">
          <cell r="Q435">
            <v>107</v>
          </cell>
          <cell r="R435">
            <v>7.969763333333349E-2</v>
          </cell>
          <cell r="S435">
            <v>0.92030236666666654</v>
          </cell>
          <cell r="T435">
            <v>0</v>
          </cell>
        </row>
        <row r="436">
          <cell r="Q436">
            <v>106</v>
          </cell>
          <cell r="R436">
            <v>7.969763333333349E-2</v>
          </cell>
          <cell r="S436">
            <v>0.92030236666666654</v>
          </cell>
          <cell r="T436">
            <v>0</v>
          </cell>
        </row>
        <row r="437">
          <cell r="Q437">
            <v>105</v>
          </cell>
          <cell r="R437">
            <v>7.969763333333349E-2</v>
          </cell>
          <cell r="S437">
            <v>0.92030236666666654</v>
          </cell>
          <cell r="T437">
            <v>0</v>
          </cell>
        </row>
        <row r="438">
          <cell r="Q438">
            <v>104</v>
          </cell>
          <cell r="R438">
            <v>7.969763333333349E-2</v>
          </cell>
          <cell r="S438">
            <v>0.92030236666666654</v>
          </cell>
          <cell r="T438">
            <v>0</v>
          </cell>
        </row>
        <row r="439">
          <cell r="Q439">
            <v>103</v>
          </cell>
          <cell r="R439">
            <v>7.969763333333349E-2</v>
          </cell>
          <cell r="S439">
            <v>0.92030236666666654</v>
          </cell>
          <cell r="T439">
            <v>0</v>
          </cell>
        </row>
        <row r="440">
          <cell r="Q440">
            <v>102</v>
          </cell>
          <cell r="R440">
            <v>7.969763333333349E-2</v>
          </cell>
          <cell r="S440">
            <v>0.92030236666666654</v>
          </cell>
          <cell r="T440">
            <v>0</v>
          </cell>
        </row>
        <row r="441">
          <cell r="Q441">
            <v>101</v>
          </cell>
          <cell r="R441">
            <v>7.969763333333349E-2</v>
          </cell>
          <cell r="S441">
            <v>0.92030236666666654</v>
          </cell>
          <cell r="T441">
            <v>0</v>
          </cell>
        </row>
        <row r="442">
          <cell r="Q442">
            <v>100</v>
          </cell>
          <cell r="R442">
            <v>7.969763333333349E-2</v>
          </cell>
          <cell r="S442">
            <v>0.92030236666666654</v>
          </cell>
          <cell r="T442">
            <v>0</v>
          </cell>
        </row>
        <row r="443">
          <cell r="Q443">
            <v>99</v>
          </cell>
          <cell r="R443">
            <v>7.969763333333349E-2</v>
          </cell>
          <cell r="S443">
            <v>0.92030236666666654</v>
          </cell>
          <cell r="T443">
            <v>0</v>
          </cell>
        </row>
        <row r="444">
          <cell r="Q444">
            <v>98</v>
          </cell>
          <cell r="R444">
            <v>7.969763333333349E-2</v>
          </cell>
          <cell r="S444">
            <v>0.92030236666666654</v>
          </cell>
          <cell r="T444">
            <v>0</v>
          </cell>
        </row>
        <row r="445">
          <cell r="Q445">
            <v>97</v>
          </cell>
          <cell r="R445">
            <v>7.969763333333349E-2</v>
          </cell>
          <cell r="S445">
            <v>0.92030236666666654</v>
          </cell>
          <cell r="T445">
            <v>0</v>
          </cell>
        </row>
        <row r="446">
          <cell r="Q446">
            <v>96</v>
          </cell>
          <cell r="R446">
            <v>3.8726933333333373E-2</v>
          </cell>
          <cell r="S446">
            <v>0.96127306666666668</v>
          </cell>
          <cell r="T446">
            <v>0</v>
          </cell>
        </row>
        <row r="447">
          <cell r="Q447">
            <v>95</v>
          </cell>
          <cell r="R447">
            <v>3.8726933333333373E-2</v>
          </cell>
          <cell r="S447">
            <v>0.96127306666666668</v>
          </cell>
          <cell r="T447">
            <v>0</v>
          </cell>
        </row>
        <row r="448">
          <cell r="Q448">
            <v>94</v>
          </cell>
          <cell r="R448">
            <v>3.8726933333333373E-2</v>
          </cell>
          <cell r="S448">
            <v>0.96127306666666668</v>
          </cell>
          <cell r="T448">
            <v>0</v>
          </cell>
        </row>
        <row r="449">
          <cell r="Q449">
            <v>93</v>
          </cell>
          <cell r="R449">
            <v>3.8726933333333373E-2</v>
          </cell>
          <cell r="S449">
            <v>0.96127306666666668</v>
          </cell>
          <cell r="T449">
            <v>0</v>
          </cell>
        </row>
        <row r="450">
          <cell r="Q450">
            <v>92</v>
          </cell>
          <cell r="R450">
            <v>3.8726933333333373E-2</v>
          </cell>
          <cell r="S450">
            <v>0.96127306666666668</v>
          </cell>
          <cell r="T450">
            <v>0</v>
          </cell>
        </row>
        <row r="451">
          <cell r="Q451">
            <v>91</v>
          </cell>
          <cell r="R451">
            <v>3.8726933333333373E-2</v>
          </cell>
          <cell r="S451">
            <v>0.96127306666666668</v>
          </cell>
          <cell r="T451">
            <v>0</v>
          </cell>
        </row>
        <row r="452">
          <cell r="Q452">
            <v>90</v>
          </cell>
          <cell r="R452">
            <v>3.8726933333333373E-2</v>
          </cell>
          <cell r="S452">
            <v>0.96127306666666668</v>
          </cell>
          <cell r="T452">
            <v>0</v>
          </cell>
        </row>
        <row r="453">
          <cell r="Q453">
            <v>89</v>
          </cell>
          <cell r="R453">
            <v>3.8726933333333373E-2</v>
          </cell>
          <cell r="S453">
            <v>0.96127306666666668</v>
          </cell>
          <cell r="T453">
            <v>0</v>
          </cell>
        </row>
        <row r="454">
          <cell r="Q454">
            <v>88</v>
          </cell>
          <cell r="R454">
            <v>3.8726933333333373E-2</v>
          </cell>
          <cell r="S454">
            <v>0.96127306666666668</v>
          </cell>
          <cell r="T454">
            <v>0</v>
          </cell>
        </row>
        <row r="455">
          <cell r="Q455">
            <v>87</v>
          </cell>
          <cell r="R455">
            <v>3.8726933333333373E-2</v>
          </cell>
          <cell r="S455">
            <v>0.96127306666666668</v>
          </cell>
          <cell r="T455">
            <v>0</v>
          </cell>
        </row>
        <row r="456">
          <cell r="Q456">
            <v>86</v>
          </cell>
          <cell r="R456">
            <v>3.8726933333333373E-2</v>
          </cell>
          <cell r="S456">
            <v>0.96127306666666668</v>
          </cell>
          <cell r="T456">
            <v>0</v>
          </cell>
        </row>
        <row r="457">
          <cell r="Q457">
            <v>85</v>
          </cell>
          <cell r="R457">
            <v>3.8726933333333373E-2</v>
          </cell>
          <cell r="S457">
            <v>0.96127306666666668</v>
          </cell>
          <cell r="T457">
            <v>0</v>
          </cell>
        </row>
        <row r="458">
          <cell r="Q458">
            <v>84</v>
          </cell>
          <cell r="R458">
            <v>5.0129333333333763E-3</v>
          </cell>
          <cell r="S458">
            <v>0.99498706666666659</v>
          </cell>
          <cell r="T458">
            <v>0</v>
          </cell>
        </row>
        <row r="459">
          <cell r="Q459">
            <v>83</v>
          </cell>
          <cell r="R459">
            <v>5.0129333333333763E-3</v>
          </cell>
          <cell r="S459">
            <v>0.99498706666666659</v>
          </cell>
          <cell r="T459">
            <v>0</v>
          </cell>
        </row>
        <row r="460">
          <cell r="Q460">
            <v>82</v>
          </cell>
          <cell r="R460">
            <v>5.0129333333333763E-3</v>
          </cell>
          <cell r="S460">
            <v>0.99498706666666659</v>
          </cell>
          <cell r="T460">
            <v>0</v>
          </cell>
        </row>
        <row r="461">
          <cell r="Q461">
            <v>81</v>
          </cell>
          <cell r="R461">
            <v>5.0129333333333763E-3</v>
          </cell>
          <cell r="S461">
            <v>0.99498706666666659</v>
          </cell>
          <cell r="T461">
            <v>0</v>
          </cell>
        </row>
        <row r="462">
          <cell r="Q462">
            <v>80</v>
          </cell>
          <cell r="R462">
            <v>5.0129333333333763E-3</v>
          </cell>
          <cell r="S462">
            <v>0.99498706666666659</v>
          </cell>
          <cell r="T462">
            <v>0</v>
          </cell>
        </row>
        <row r="463">
          <cell r="Q463">
            <v>79</v>
          </cell>
          <cell r="R463">
            <v>5.0129333333333763E-3</v>
          </cell>
          <cell r="S463">
            <v>0.99498706666666659</v>
          </cell>
          <cell r="T463">
            <v>0</v>
          </cell>
        </row>
        <row r="464">
          <cell r="Q464">
            <v>78</v>
          </cell>
          <cell r="R464">
            <v>5.0129333333333763E-3</v>
          </cell>
          <cell r="S464">
            <v>0.99498706666666659</v>
          </cell>
          <cell r="T464">
            <v>0</v>
          </cell>
        </row>
        <row r="465">
          <cell r="Q465">
            <v>77</v>
          </cell>
          <cell r="R465">
            <v>5.0129333333333763E-3</v>
          </cell>
          <cell r="S465">
            <v>0.99498706666666659</v>
          </cell>
          <cell r="T465">
            <v>0</v>
          </cell>
        </row>
        <row r="466">
          <cell r="Q466">
            <v>76</v>
          </cell>
          <cell r="R466">
            <v>5.0129333333333763E-3</v>
          </cell>
          <cell r="S466">
            <v>0.99498706666666659</v>
          </cell>
          <cell r="T466">
            <v>0</v>
          </cell>
        </row>
        <row r="467">
          <cell r="Q467">
            <v>75</v>
          </cell>
          <cell r="R467">
            <v>5.0129333333333763E-3</v>
          </cell>
          <cell r="S467">
            <v>0.99498706666666659</v>
          </cell>
          <cell r="T467">
            <v>0</v>
          </cell>
        </row>
        <row r="468">
          <cell r="Q468">
            <v>74</v>
          </cell>
          <cell r="R468">
            <v>5.0129333333333763E-3</v>
          </cell>
          <cell r="S468">
            <v>0.99498706666666659</v>
          </cell>
          <cell r="T468">
            <v>0</v>
          </cell>
        </row>
        <row r="469">
          <cell r="Q469">
            <v>73</v>
          </cell>
          <cell r="R469">
            <v>5.0129333333333763E-3</v>
          </cell>
          <cell r="S469">
            <v>0.99498706666666659</v>
          </cell>
          <cell r="T469">
            <v>0</v>
          </cell>
        </row>
        <row r="470">
          <cell r="Q470">
            <v>72</v>
          </cell>
          <cell r="R470">
            <v>0</v>
          </cell>
          <cell r="S470">
            <v>0.95836679999999996</v>
          </cell>
          <cell r="T470">
            <v>4.1633200000000037E-2</v>
          </cell>
        </row>
        <row r="471">
          <cell r="Q471">
            <v>71</v>
          </cell>
          <cell r="R471">
            <v>0</v>
          </cell>
          <cell r="S471">
            <v>0.95836679999999996</v>
          </cell>
          <cell r="T471">
            <v>4.1633200000000037E-2</v>
          </cell>
        </row>
        <row r="472">
          <cell r="Q472">
            <v>70</v>
          </cell>
          <cell r="R472">
            <v>0</v>
          </cell>
          <cell r="S472">
            <v>0.95836679999999996</v>
          </cell>
          <cell r="T472">
            <v>4.1633200000000037E-2</v>
          </cell>
        </row>
        <row r="473">
          <cell r="Q473">
            <v>69</v>
          </cell>
          <cell r="R473">
            <v>0</v>
          </cell>
          <cell r="S473">
            <v>0.95836679999999996</v>
          </cell>
          <cell r="T473">
            <v>4.1633200000000037E-2</v>
          </cell>
        </row>
        <row r="474">
          <cell r="Q474">
            <v>68</v>
          </cell>
          <cell r="R474">
            <v>0</v>
          </cell>
          <cell r="S474">
            <v>0.95836679999999996</v>
          </cell>
          <cell r="T474">
            <v>4.1633200000000037E-2</v>
          </cell>
        </row>
        <row r="475">
          <cell r="Q475">
            <v>67</v>
          </cell>
          <cell r="R475">
            <v>0</v>
          </cell>
          <cell r="S475">
            <v>0.95836679999999996</v>
          </cell>
          <cell r="T475">
            <v>4.1633200000000037E-2</v>
          </cell>
        </row>
        <row r="476">
          <cell r="Q476">
            <v>66</v>
          </cell>
          <cell r="R476">
            <v>0</v>
          </cell>
          <cell r="S476">
            <v>0.95836679999999996</v>
          </cell>
          <cell r="T476">
            <v>4.1633200000000037E-2</v>
          </cell>
        </row>
        <row r="477">
          <cell r="Q477">
            <v>65</v>
          </cell>
          <cell r="R477">
            <v>0</v>
          </cell>
          <cell r="S477">
            <v>0.95836679999999996</v>
          </cell>
          <cell r="T477">
            <v>4.1633200000000037E-2</v>
          </cell>
        </row>
        <row r="478">
          <cell r="Q478">
            <v>64</v>
          </cell>
          <cell r="R478">
            <v>0</v>
          </cell>
          <cell r="S478">
            <v>0.95836679999999996</v>
          </cell>
          <cell r="T478">
            <v>4.1633200000000037E-2</v>
          </cell>
        </row>
        <row r="479">
          <cell r="Q479">
            <v>63</v>
          </cell>
          <cell r="R479">
            <v>0</v>
          </cell>
          <cell r="S479">
            <v>0.95836679999999996</v>
          </cell>
          <cell r="T479">
            <v>4.1633200000000037E-2</v>
          </cell>
        </row>
        <row r="480">
          <cell r="Q480">
            <v>62</v>
          </cell>
          <cell r="R480">
            <v>0</v>
          </cell>
          <cell r="S480">
            <v>0.95836679999999996</v>
          </cell>
          <cell r="T480">
            <v>4.1633200000000037E-2</v>
          </cell>
        </row>
        <row r="481">
          <cell r="Q481">
            <v>61</v>
          </cell>
          <cell r="R481">
            <v>0</v>
          </cell>
          <cell r="S481">
            <v>0.95836679999999996</v>
          </cell>
          <cell r="T481">
            <v>4.1633200000000037E-2</v>
          </cell>
        </row>
        <row r="482">
          <cell r="Q482">
            <v>60</v>
          </cell>
          <cell r="R482">
            <v>0</v>
          </cell>
          <cell r="S482">
            <v>0.91540799999999978</v>
          </cell>
          <cell r="T482">
            <v>8.4592000000000223E-2</v>
          </cell>
        </row>
        <row r="483">
          <cell r="Q483">
            <v>59</v>
          </cell>
          <cell r="R483">
            <v>0</v>
          </cell>
          <cell r="S483">
            <v>0.91540799999999978</v>
          </cell>
          <cell r="T483">
            <v>8.4592000000000223E-2</v>
          </cell>
        </row>
        <row r="484">
          <cell r="Q484">
            <v>58</v>
          </cell>
          <cell r="R484">
            <v>0</v>
          </cell>
          <cell r="S484">
            <v>0.91540799999999978</v>
          </cell>
          <cell r="T484">
            <v>8.4592000000000223E-2</v>
          </cell>
        </row>
        <row r="485">
          <cell r="Q485">
            <v>57</v>
          </cell>
          <cell r="R485">
            <v>0</v>
          </cell>
          <cell r="S485">
            <v>0.91540799999999978</v>
          </cell>
          <cell r="T485">
            <v>8.4592000000000223E-2</v>
          </cell>
        </row>
        <row r="486">
          <cell r="Q486">
            <v>56</v>
          </cell>
          <cell r="R486">
            <v>0</v>
          </cell>
          <cell r="S486">
            <v>0.91540799999999978</v>
          </cell>
          <cell r="T486">
            <v>8.4592000000000223E-2</v>
          </cell>
        </row>
        <row r="487">
          <cell r="Q487">
            <v>55</v>
          </cell>
          <cell r="R487">
            <v>0</v>
          </cell>
          <cell r="S487">
            <v>0.91540799999999978</v>
          </cell>
          <cell r="T487">
            <v>8.4592000000000223E-2</v>
          </cell>
        </row>
        <row r="488">
          <cell r="Q488">
            <v>54</v>
          </cell>
          <cell r="R488">
            <v>0</v>
          </cell>
          <cell r="S488">
            <v>0.91540799999999978</v>
          </cell>
          <cell r="T488">
            <v>8.4592000000000223E-2</v>
          </cell>
        </row>
        <row r="489">
          <cell r="Q489">
            <v>53</v>
          </cell>
          <cell r="R489">
            <v>0</v>
          </cell>
          <cell r="S489">
            <v>0.91540799999999978</v>
          </cell>
          <cell r="T489">
            <v>8.4592000000000223E-2</v>
          </cell>
        </row>
        <row r="490">
          <cell r="Q490">
            <v>52</v>
          </cell>
          <cell r="R490">
            <v>0</v>
          </cell>
          <cell r="S490">
            <v>0.91540799999999978</v>
          </cell>
          <cell r="T490">
            <v>8.4592000000000223E-2</v>
          </cell>
        </row>
        <row r="491">
          <cell r="Q491">
            <v>51</v>
          </cell>
          <cell r="R491">
            <v>0</v>
          </cell>
          <cell r="S491">
            <v>0.91540799999999978</v>
          </cell>
          <cell r="T491">
            <v>8.4592000000000223E-2</v>
          </cell>
        </row>
        <row r="492">
          <cell r="Q492">
            <v>50</v>
          </cell>
          <cell r="R492">
            <v>0</v>
          </cell>
          <cell r="S492">
            <v>0.91540799999999978</v>
          </cell>
          <cell r="T492">
            <v>8.4592000000000223E-2</v>
          </cell>
        </row>
        <row r="493">
          <cell r="Q493">
            <v>49</v>
          </cell>
          <cell r="R493">
            <v>0</v>
          </cell>
          <cell r="S493">
            <v>0.91540799999999978</v>
          </cell>
          <cell r="T493">
            <v>8.4592000000000223E-2</v>
          </cell>
        </row>
        <row r="494">
          <cell r="Q494">
            <v>48</v>
          </cell>
          <cell r="R494">
            <v>0</v>
          </cell>
          <cell r="S494">
            <v>0.87814299999999978</v>
          </cell>
          <cell r="T494">
            <v>0.12185700000000022</v>
          </cell>
        </row>
        <row r="495">
          <cell r="Q495">
            <v>47</v>
          </cell>
          <cell r="R495">
            <v>0</v>
          </cell>
          <cell r="S495">
            <v>0.87814299999999978</v>
          </cell>
          <cell r="T495">
            <v>0.12185700000000022</v>
          </cell>
        </row>
        <row r="496">
          <cell r="Q496">
            <v>46</v>
          </cell>
          <cell r="R496">
            <v>0</v>
          </cell>
          <cell r="S496">
            <v>0.87814299999999978</v>
          </cell>
          <cell r="T496">
            <v>0.12185700000000022</v>
          </cell>
        </row>
        <row r="497">
          <cell r="Q497">
            <v>45</v>
          </cell>
          <cell r="R497">
            <v>0</v>
          </cell>
          <cell r="S497">
            <v>0.87814299999999978</v>
          </cell>
          <cell r="T497">
            <v>0.12185700000000022</v>
          </cell>
        </row>
        <row r="498">
          <cell r="Q498">
            <v>44</v>
          </cell>
          <cell r="R498">
            <v>0</v>
          </cell>
          <cell r="S498">
            <v>0.87814299999999978</v>
          </cell>
          <cell r="T498">
            <v>0.12185700000000022</v>
          </cell>
        </row>
        <row r="499">
          <cell r="Q499">
            <v>43</v>
          </cell>
          <cell r="R499">
            <v>0</v>
          </cell>
          <cell r="S499">
            <v>0.87814299999999978</v>
          </cell>
          <cell r="T499">
            <v>0.12185700000000022</v>
          </cell>
        </row>
        <row r="500">
          <cell r="Q500">
            <v>42</v>
          </cell>
          <cell r="R500">
            <v>0</v>
          </cell>
          <cell r="S500">
            <v>0.87814299999999978</v>
          </cell>
          <cell r="T500">
            <v>0.12185700000000022</v>
          </cell>
        </row>
        <row r="501">
          <cell r="Q501">
            <v>41</v>
          </cell>
          <cell r="R501">
            <v>0</v>
          </cell>
          <cell r="S501">
            <v>0.87814299999999978</v>
          </cell>
          <cell r="T501">
            <v>0.12185700000000022</v>
          </cell>
        </row>
        <row r="502">
          <cell r="Q502">
            <v>40</v>
          </cell>
          <cell r="R502">
            <v>0</v>
          </cell>
          <cell r="S502">
            <v>0.87814299999999978</v>
          </cell>
          <cell r="T502">
            <v>0.12185700000000022</v>
          </cell>
        </row>
        <row r="503">
          <cell r="Q503">
            <v>39</v>
          </cell>
          <cell r="R503">
            <v>0</v>
          </cell>
          <cell r="S503">
            <v>0.87814299999999978</v>
          </cell>
          <cell r="T503">
            <v>0.12185700000000022</v>
          </cell>
        </row>
        <row r="504">
          <cell r="Q504">
            <v>38</v>
          </cell>
          <cell r="R504">
            <v>0</v>
          </cell>
          <cell r="S504">
            <v>0.87814299999999978</v>
          </cell>
          <cell r="T504">
            <v>0.12185700000000022</v>
          </cell>
        </row>
        <row r="505">
          <cell r="Q505">
            <v>37</v>
          </cell>
          <cell r="R505">
            <v>0</v>
          </cell>
          <cell r="S505">
            <v>0.87814299999999978</v>
          </cell>
          <cell r="T505">
            <v>0.12185700000000022</v>
          </cell>
        </row>
        <row r="506">
          <cell r="Q506">
            <v>36</v>
          </cell>
          <cell r="R506">
            <v>0</v>
          </cell>
          <cell r="S506">
            <v>0.84394259999999999</v>
          </cell>
          <cell r="T506">
            <v>0.15605740000000001</v>
          </cell>
        </row>
        <row r="507">
          <cell r="Q507">
            <v>35</v>
          </cell>
          <cell r="R507">
            <v>0</v>
          </cell>
          <cell r="S507">
            <v>0.84394259999999999</v>
          </cell>
          <cell r="T507">
            <v>0.15605740000000001</v>
          </cell>
        </row>
        <row r="508">
          <cell r="Q508">
            <v>34</v>
          </cell>
          <cell r="R508">
            <v>0</v>
          </cell>
          <cell r="S508">
            <v>0.84394259999999999</v>
          </cell>
          <cell r="T508">
            <v>0.15605740000000001</v>
          </cell>
        </row>
        <row r="509">
          <cell r="Q509">
            <v>33</v>
          </cell>
          <cell r="R509">
            <v>0</v>
          </cell>
          <cell r="S509">
            <v>0.84394259999999999</v>
          </cell>
          <cell r="T509">
            <v>0.15605740000000001</v>
          </cell>
        </row>
        <row r="510">
          <cell r="Q510">
            <v>32</v>
          </cell>
          <cell r="R510">
            <v>0</v>
          </cell>
          <cell r="S510">
            <v>0.84394259999999999</v>
          </cell>
          <cell r="T510">
            <v>0.15605740000000001</v>
          </cell>
        </row>
        <row r="511">
          <cell r="Q511">
            <v>31</v>
          </cell>
          <cell r="R511">
            <v>0</v>
          </cell>
          <cell r="S511">
            <v>0.84394259999999999</v>
          </cell>
          <cell r="T511">
            <v>0.15605740000000001</v>
          </cell>
        </row>
        <row r="512">
          <cell r="Q512">
            <v>30</v>
          </cell>
          <cell r="R512">
            <v>0</v>
          </cell>
          <cell r="S512">
            <v>0.84394259999999999</v>
          </cell>
          <cell r="T512">
            <v>0.15605740000000001</v>
          </cell>
        </row>
        <row r="513">
          <cell r="Q513">
            <v>29</v>
          </cell>
          <cell r="R513">
            <v>0</v>
          </cell>
          <cell r="S513">
            <v>0.84394259999999999</v>
          </cell>
          <cell r="T513">
            <v>0.15605740000000001</v>
          </cell>
        </row>
        <row r="514">
          <cell r="Q514">
            <v>28</v>
          </cell>
          <cell r="R514">
            <v>0</v>
          </cell>
          <cell r="S514">
            <v>0.84394259999999999</v>
          </cell>
          <cell r="T514">
            <v>0.15605740000000001</v>
          </cell>
        </row>
        <row r="515">
          <cell r="Q515">
            <v>27</v>
          </cell>
          <cell r="R515">
            <v>0</v>
          </cell>
          <cell r="S515">
            <v>0.84394259999999999</v>
          </cell>
          <cell r="T515">
            <v>0.15605740000000001</v>
          </cell>
        </row>
        <row r="516">
          <cell r="Q516">
            <v>26</v>
          </cell>
          <cell r="R516">
            <v>0</v>
          </cell>
          <cell r="S516">
            <v>0.84394259999999999</v>
          </cell>
          <cell r="T516">
            <v>0.15605740000000001</v>
          </cell>
        </row>
        <row r="517">
          <cell r="Q517">
            <v>25</v>
          </cell>
          <cell r="R517">
            <v>0</v>
          </cell>
          <cell r="S517">
            <v>0.84394259999999999</v>
          </cell>
          <cell r="T517">
            <v>0.15605740000000001</v>
          </cell>
        </row>
        <row r="518">
          <cell r="Q518">
            <v>24</v>
          </cell>
          <cell r="R518">
            <v>0</v>
          </cell>
          <cell r="S518">
            <v>0.8128221000000001</v>
          </cell>
          <cell r="T518">
            <v>0.1871778999999999</v>
          </cell>
        </row>
        <row r="519">
          <cell r="Q519">
            <v>23</v>
          </cell>
          <cell r="R519">
            <v>0</v>
          </cell>
          <cell r="S519">
            <v>0.8128221000000001</v>
          </cell>
          <cell r="T519">
            <v>0.1871778999999999</v>
          </cell>
        </row>
        <row r="520">
          <cell r="Q520">
            <v>22</v>
          </cell>
          <cell r="R520">
            <v>0</v>
          </cell>
          <cell r="S520">
            <v>0.8128221000000001</v>
          </cell>
          <cell r="T520">
            <v>0.1871778999999999</v>
          </cell>
        </row>
        <row r="521">
          <cell r="Q521">
            <v>21</v>
          </cell>
          <cell r="R521">
            <v>0</v>
          </cell>
          <cell r="S521">
            <v>0.8128221000000001</v>
          </cell>
          <cell r="T521">
            <v>0.1871778999999999</v>
          </cell>
        </row>
        <row r="522">
          <cell r="Q522">
            <v>20</v>
          </cell>
          <cell r="R522">
            <v>0</v>
          </cell>
          <cell r="S522">
            <v>0.8128221000000001</v>
          </cell>
          <cell r="T522">
            <v>0.1871778999999999</v>
          </cell>
        </row>
        <row r="523">
          <cell r="Q523">
            <v>19</v>
          </cell>
          <cell r="R523">
            <v>0</v>
          </cell>
          <cell r="S523">
            <v>0.8128221000000001</v>
          </cell>
          <cell r="T523">
            <v>0.1871778999999999</v>
          </cell>
        </row>
        <row r="524">
          <cell r="Q524">
            <v>18</v>
          </cell>
          <cell r="R524">
            <v>0</v>
          </cell>
          <cell r="S524">
            <v>0.8128221000000001</v>
          </cell>
          <cell r="T524">
            <v>0.1871778999999999</v>
          </cell>
        </row>
        <row r="525">
          <cell r="Q525">
            <v>17</v>
          </cell>
          <cell r="R525">
            <v>0</v>
          </cell>
          <cell r="S525">
            <v>0.8128221000000001</v>
          </cell>
          <cell r="T525">
            <v>0.1871778999999999</v>
          </cell>
        </row>
        <row r="526">
          <cell r="Q526">
            <v>16</v>
          </cell>
          <cell r="R526">
            <v>0</v>
          </cell>
          <cell r="S526">
            <v>0.8128221000000001</v>
          </cell>
          <cell r="T526">
            <v>0.1871778999999999</v>
          </cell>
        </row>
        <row r="527">
          <cell r="Q527">
            <v>15</v>
          </cell>
          <cell r="R527">
            <v>0</v>
          </cell>
          <cell r="S527">
            <v>0.8128221000000001</v>
          </cell>
          <cell r="T527">
            <v>0.1871778999999999</v>
          </cell>
        </row>
        <row r="528">
          <cell r="Q528">
            <v>14</v>
          </cell>
          <cell r="R528">
            <v>0</v>
          </cell>
          <cell r="S528">
            <v>0.8128221000000001</v>
          </cell>
          <cell r="T528">
            <v>0.1871778999999999</v>
          </cell>
        </row>
        <row r="529">
          <cell r="Q529">
            <v>13</v>
          </cell>
          <cell r="R529">
            <v>0</v>
          </cell>
          <cell r="S529">
            <v>0.8128221000000001</v>
          </cell>
          <cell r="T529">
            <v>0.1871778999999999</v>
          </cell>
        </row>
        <row r="530">
          <cell r="Q530">
            <v>12</v>
          </cell>
          <cell r="R530">
            <v>0</v>
          </cell>
          <cell r="S530">
            <v>0.78532995000000005</v>
          </cell>
          <cell r="T530">
            <v>0.21467004999999995</v>
          </cell>
        </row>
        <row r="531">
          <cell r="Q531">
            <v>11</v>
          </cell>
          <cell r="R531">
            <v>0</v>
          </cell>
          <cell r="S531">
            <v>0.78532995000000005</v>
          </cell>
          <cell r="T531">
            <v>0.21467004999999995</v>
          </cell>
        </row>
        <row r="532">
          <cell r="Q532">
            <v>10</v>
          </cell>
          <cell r="R532">
            <v>0</v>
          </cell>
          <cell r="S532">
            <v>0.78532995000000005</v>
          </cell>
          <cell r="T532">
            <v>0.21467004999999995</v>
          </cell>
        </row>
        <row r="533">
          <cell r="Q533">
            <v>9</v>
          </cell>
          <cell r="R533">
            <v>0</v>
          </cell>
          <cell r="S533">
            <v>0.78532995000000005</v>
          </cell>
          <cell r="T533">
            <v>0.21467004999999995</v>
          </cell>
        </row>
        <row r="534">
          <cell r="Q534">
            <v>8</v>
          </cell>
          <cell r="R534">
            <v>0</v>
          </cell>
          <cell r="S534">
            <v>0.78532995000000005</v>
          </cell>
          <cell r="T534">
            <v>0.21467004999999995</v>
          </cell>
        </row>
        <row r="535">
          <cell r="Q535">
            <v>7</v>
          </cell>
          <cell r="R535">
            <v>0</v>
          </cell>
          <cell r="S535">
            <v>0.78532995000000005</v>
          </cell>
          <cell r="T535">
            <v>0.21467004999999995</v>
          </cell>
        </row>
        <row r="536">
          <cell r="Q536">
            <v>6</v>
          </cell>
          <cell r="R536">
            <v>0</v>
          </cell>
          <cell r="S536">
            <v>0.78532995000000005</v>
          </cell>
          <cell r="T536">
            <v>0.21467004999999995</v>
          </cell>
        </row>
        <row r="537">
          <cell r="Q537">
            <v>5</v>
          </cell>
          <cell r="R537">
            <v>0</v>
          </cell>
          <cell r="S537">
            <v>0.78532995000000005</v>
          </cell>
          <cell r="T537">
            <v>0.21467004999999995</v>
          </cell>
        </row>
        <row r="538">
          <cell r="Q538">
            <v>4</v>
          </cell>
          <cell r="R538">
            <v>0</v>
          </cell>
          <cell r="S538">
            <v>0.78532995000000005</v>
          </cell>
          <cell r="T538">
            <v>0.21467004999999995</v>
          </cell>
        </row>
        <row r="539">
          <cell r="Q539">
            <v>3</v>
          </cell>
          <cell r="R539">
            <v>0</v>
          </cell>
          <cell r="S539">
            <v>0.78532995000000005</v>
          </cell>
          <cell r="T539">
            <v>0.21467004999999995</v>
          </cell>
        </row>
        <row r="540">
          <cell r="Q540">
            <v>2</v>
          </cell>
          <cell r="R540">
            <v>0</v>
          </cell>
          <cell r="S540">
            <v>0.78532995000000005</v>
          </cell>
          <cell r="T540">
            <v>0.21467004999999995</v>
          </cell>
        </row>
        <row r="541">
          <cell r="Q541">
            <v>1</v>
          </cell>
          <cell r="R541">
            <v>0</v>
          </cell>
          <cell r="S541">
            <v>0.78532995000000005</v>
          </cell>
          <cell r="T541">
            <v>0.21467004999999995</v>
          </cell>
        </row>
        <row r="542">
          <cell r="Q542">
            <v>0</v>
          </cell>
          <cell r="R542">
            <v>0</v>
          </cell>
          <cell r="S542">
            <v>0.71200000000000008</v>
          </cell>
          <cell r="T542">
            <v>0.28799999999999992</v>
          </cell>
        </row>
      </sheetData>
      <sheetData sheetId="4" refreshError="1">
        <row r="1">
          <cell r="Q1" t="str">
            <v>Month</v>
          </cell>
          <cell r="R1" t="str">
            <v>Allianz Strategy Select 75</v>
          </cell>
          <cell r="S1" t="str">
            <v>Allianz Strategy Select 30</v>
          </cell>
          <cell r="T1" t="str">
            <v>Allianz Advanced Fixed Income Short Duration</v>
          </cell>
        </row>
        <row r="2">
          <cell r="Q2">
            <v>540</v>
          </cell>
          <cell r="R2">
            <v>0.88888888888888884</v>
          </cell>
          <cell r="S2">
            <v>0.11111111111111116</v>
          </cell>
          <cell r="T2">
            <v>0</v>
          </cell>
        </row>
        <row r="3">
          <cell r="Q3">
            <v>539</v>
          </cell>
          <cell r="R3">
            <v>0.88888888888888884</v>
          </cell>
          <cell r="S3">
            <v>0.11111111111111116</v>
          </cell>
          <cell r="T3">
            <v>0</v>
          </cell>
        </row>
        <row r="4">
          <cell r="Q4">
            <v>538</v>
          </cell>
          <cell r="R4">
            <v>0.88888888888888884</v>
          </cell>
          <cell r="S4">
            <v>0.11111111111111116</v>
          </cell>
          <cell r="T4">
            <v>0</v>
          </cell>
        </row>
        <row r="5">
          <cell r="Q5">
            <v>537</v>
          </cell>
          <cell r="R5">
            <v>0.88888888888888884</v>
          </cell>
          <cell r="S5">
            <v>0.11111111111111116</v>
          </cell>
          <cell r="T5">
            <v>0</v>
          </cell>
        </row>
        <row r="6">
          <cell r="Q6">
            <v>536</v>
          </cell>
          <cell r="R6">
            <v>0.88888888888888884</v>
          </cell>
          <cell r="S6">
            <v>0.11111111111111116</v>
          </cell>
          <cell r="T6">
            <v>0</v>
          </cell>
        </row>
        <row r="7">
          <cell r="Q7">
            <v>535</v>
          </cell>
          <cell r="R7">
            <v>0.88888888888888884</v>
          </cell>
          <cell r="S7">
            <v>0.11111111111111116</v>
          </cell>
          <cell r="T7">
            <v>0</v>
          </cell>
        </row>
        <row r="8">
          <cell r="Q8">
            <v>534</v>
          </cell>
          <cell r="R8">
            <v>0.88888888888888884</v>
          </cell>
          <cell r="S8">
            <v>0.11111111111111116</v>
          </cell>
          <cell r="T8">
            <v>0</v>
          </cell>
        </row>
        <row r="9">
          <cell r="Q9">
            <v>533</v>
          </cell>
          <cell r="R9">
            <v>0.88888888888888884</v>
          </cell>
          <cell r="S9">
            <v>0.11111111111111116</v>
          </cell>
          <cell r="T9">
            <v>0</v>
          </cell>
        </row>
        <row r="10">
          <cell r="Q10">
            <v>532</v>
          </cell>
          <cell r="R10">
            <v>0.88888888888888884</v>
          </cell>
          <cell r="S10">
            <v>0.11111111111111116</v>
          </cell>
          <cell r="T10">
            <v>0</v>
          </cell>
        </row>
        <row r="11">
          <cell r="Q11">
            <v>531</v>
          </cell>
          <cell r="R11">
            <v>0.88888888888888884</v>
          </cell>
          <cell r="S11">
            <v>0.11111111111111116</v>
          </cell>
          <cell r="T11">
            <v>0</v>
          </cell>
        </row>
        <row r="12">
          <cell r="Q12">
            <v>530</v>
          </cell>
          <cell r="R12">
            <v>0.88888888888888884</v>
          </cell>
          <cell r="S12">
            <v>0.11111111111111116</v>
          </cell>
          <cell r="T12">
            <v>0</v>
          </cell>
        </row>
        <row r="13">
          <cell r="Q13">
            <v>529</v>
          </cell>
          <cell r="R13">
            <v>0.88888888888888884</v>
          </cell>
          <cell r="S13">
            <v>0.11111111111111116</v>
          </cell>
          <cell r="T13">
            <v>0</v>
          </cell>
        </row>
        <row r="14">
          <cell r="Q14">
            <v>528</v>
          </cell>
          <cell r="R14">
            <v>0.88888888888888884</v>
          </cell>
          <cell r="S14">
            <v>0.11111111111111116</v>
          </cell>
          <cell r="T14">
            <v>0</v>
          </cell>
        </row>
        <row r="15">
          <cell r="Q15">
            <v>527</v>
          </cell>
          <cell r="R15">
            <v>0.88888888888888884</v>
          </cell>
          <cell r="S15">
            <v>0.11111111111111116</v>
          </cell>
          <cell r="T15">
            <v>0</v>
          </cell>
        </row>
        <row r="16">
          <cell r="Q16">
            <v>526</v>
          </cell>
          <cell r="R16">
            <v>0.88888888888888884</v>
          </cell>
          <cell r="S16">
            <v>0.11111111111111116</v>
          </cell>
          <cell r="T16">
            <v>0</v>
          </cell>
        </row>
        <row r="17">
          <cell r="Q17">
            <v>525</v>
          </cell>
          <cell r="R17">
            <v>0.88888888888888884</v>
          </cell>
          <cell r="S17">
            <v>0.11111111111111116</v>
          </cell>
          <cell r="T17">
            <v>0</v>
          </cell>
        </row>
        <row r="18">
          <cell r="Q18">
            <v>524</v>
          </cell>
          <cell r="R18">
            <v>0.88888888888888884</v>
          </cell>
          <cell r="S18">
            <v>0.11111111111111116</v>
          </cell>
          <cell r="T18">
            <v>0</v>
          </cell>
        </row>
        <row r="19">
          <cell r="Q19">
            <v>523</v>
          </cell>
          <cell r="R19">
            <v>0.88888888888888884</v>
          </cell>
          <cell r="S19">
            <v>0.11111111111111116</v>
          </cell>
          <cell r="T19">
            <v>0</v>
          </cell>
        </row>
        <row r="20">
          <cell r="Q20">
            <v>522</v>
          </cell>
          <cell r="R20">
            <v>0.88888888888888884</v>
          </cell>
          <cell r="S20">
            <v>0.11111111111111116</v>
          </cell>
          <cell r="T20">
            <v>0</v>
          </cell>
        </row>
        <row r="21">
          <cell r="Q21">
            <v>521</v>
          </cell>
          <cell r="R21">
            <v>0.88888888888888884</v>
          </cell>
          <cell r="S21">
            <v>0.11111111111111116</v>
          </cell>
          <cell r="T21">
            <v>0</v>
          </cell>
        </row>
        <row r="22">
          <cell r="Q22">
            <v>520</v>
          </cell>
          <cell r="R22">
            <v>0.88888888888888884</v>
          </cell>
          <cell r="S22">
            <v>0.11111111111111116</v>
          </cell>
          <cell r="T22">
            <v>0</v>
          </cell>
        </row>
        <row r="23">
          <cell r="Q23">
            <v>519</v>
          </cell>
          <cell r="R23">
            <v>0.88888888888888884</v>
          </cell>
          <cell r="S23">
            <v>0.11111111111111116</v>
          </cell>
          <cell r="T23">
            <v>0</v>
          </cell>
        </row>
        <row r="24">
          <cell r="Q24">
            <v>518</v>
          </cell>
          <cell r="R24">
            <v>0.88888888888888884</v>
          </cell>
          <cell r="S24">
            <v>0.11111111111111116</v>
          </cell>
          <cell r="T24">
            <v>0</v>
          </cell>
        </row>
        <row r="25">
          <cell r="Q25">
            <v>517</v>
          </cell>
          <cell r="R25">
            <v>0.88888888888888884</v>
          </cell>
          <cell r="S25">
            <v>0.11111111111111116</v>
          </cell>
          <cell r="T25">
            <v>0</v>
          </cell>
        </row>
        <row r="26">
          <cell r="Q26">
            <v>516</v>
          </cell>
          <cell r="R26">
            <v>0.88888888888888884</v>
          </cell>
          <cell r="S26">
            <v>0.11111111111111116</v>
          </cell>
          <cell r="T26">
            <v>0</v>
          </cell>
        </row>
        <row r="27">
          <cell r="Q27">
            <v>515</v>
          </cell>
          <cell r="R27">
            <v>0.88888888888888884</v>
          </cell>
          <cell r="S27">
            <v>0.11111111111111116</v>
          </cell>
          <cell r="T27">
            <v>0</v>
          </cell>
        </row>
        <row r="28">
          <cell r="Q28">
            <v>514</v>
          </cell>
          <cell r="R28">
            <v>0.88888888888888884</v>
          </cell>
          <cell r="S28">
            <v>0.11111111111111116</v>
          </cell>
          <cell r="T28">
            <v>0</v>
          </cell>
        </row>
        <row r="29">
          <cell r="Q29">
            <v>513</v>
          </cell>
          <cell r="R29">
            <v>0.88888888888888884</v>
          </cell>
          <cell r="S29">
            <v>0.11111111111111116</v>
          </cell>
          <cell r="T29">
            <v>0</v>
          </cell>
        </row>
        <row r="30">
          <cell r="Q30">
            <v>512</v>
          </cell>
          <cell r="R30">
            <v>0.88888888888888884</v>
          </cell>
          <cell r="S30">
            <v>0.11111111111111116</v>
          </cell>
          <cell r="T30">
            <v>0</v>
          </cell>
        </row>
        <row r="31">
          <cell r="Q31">
            <v>511</v>
          </cell>
          <cell r="R31">
            <v>0.88888888888888884</v>
          </cell>
          <cell r="S31">
            <v>0.11111111111111116</v>
          </cell>
          <cell r="T31">
            <v>0</v>
          </cell>
        </row>
        <row r="32">
          <cell r="Q32">
            <v>510</v>
          </cell>
          <cell r="R32">
            <v>0.88888888888888884</v>
          </cell>
          <cell r="S32">
            <v>0.11111111111111116</v>
          </cell>
          <cell r="T32">
            <v>0</v>
          </cell>
        </row>
        <row r="33">
          <cell r="Q33">
            <v>509</v>
          </cell>
          <cell r="R33">
            <v>0.88888888888888884</v>
          </cell>
          <cell r="S33">
            <v>0.11111111111111116</v>
          </cell>
          <cell r="T33">
            <v>0</v>
          </cell>
        </row>
        <row r="34">
          <cell r="Q34">
            <v>508</v>
          </cell>
          <cell r="R34">
            <v>0.88888888888888884</v>
          </cell>
          <cell r="S34">
            <v>0.11111111111111116</v>
          </cell>
          <cell r="T34">
            <v>0</v>
          </cell>
        </row>
        <row r="35">
          <cell r="Q35">
            <v>507</v>
          </cell>
          <cell r="R35">
            <v>0.88888888888888884</v>
          </cell>
          <cell r="S35">
            <v>0.11111111111111116</v>
          </cell>
          <cell r="T35">
            <v>0</v>
          </cell>
        </row>
        <row r="36">
          <cell r="Q36">
            <v>506</v>
          </cell>
          <cell r="R36">
            <v>0.88888888888888884</v>
          </cell>
          <cell r="S36">
            <v>0.11111111111111116</v>
          </cell>
          <cell r="T36">
            <v>0</v>
          </cell>
        </row>
        <row r="37">
          <cell r="Q37">
            <v>505</v>
          </cell>
          <cell r="R37">
            <v>0.88888888888888884</v>
          </cell>
          <cell r="S37">
            <v>0.11111111111111116</v>
          </cell>
          <cell r="T37">
            <v>0</v>
          </cell>
        </row>
        <row r="38">
          <cell r="Q38">
            <v>504</v>
          </cell>
          <cell r="R38">
            <v>0.88888888888888884</v>
          </cell>
          <cell r="S38">
            <v>0.11111111111111116</v>
          </cell>
          <cell r="T38">
            <v>0</v>
          </cell>
        </row>
        <row r="39">
          <cell r="Q39">
            <v>503</v>
          </cell>
          <cell r="R39">
            <v>0.88888888888888884</v>
          </cell>
          <cell r="S39">
            <v>0.11111111111111116</v>
          </cell>
          <cell r="T39">
            <v>0</v>
          </cell>
        </row>
        <row r="40">
          <cell r="Q40">
            <v>502</v>
          </cell>
          <cell r="R40">
            <v>0.88888888888888884</v>
          </cell>
          <cell r="S40">
            <v>0.11111111111111116</v>
          </cell>
          <cell r="T40">
            <v>0</v>
          </cell>
        </row>
        <row r="41">
          <cell r="Q41">
            <v>501</v>
          </cell>
          <cell r="R41">
            <v>0.88888888888888884</v>
          </cell>
          <cell r="S41">
            <v>0.11111111111111116</v>
          </cell>
          <cell r="T41">
            <v>0</v>
          </cell>
        </row>
        <row r="42">
          <cell r="Q42">
            <v>500</v>
          </cell>
          <cell r="R42">
            <v>0.88888888888888884</v>
          </cell>
          <cell r="S42">
            <v>0.11111111111111116</v>
          </cell>
          <cell r="T42">
            <v>0</v>
          </cell>
        </row>
        <row r="43">
          <cell r="Q43">
            <v>499</v>
          </cell>
          <cell r="R43">
            <v>0.88888888888888884</v>
          </cell>
          <cell r="S43">
            <v>0.11111111111111116</v>
          </cell>
          <cell r="T43">
            <v>0</v>
          </cell>
        </row>
        <row r="44">
          <cell r="Q44">
            <v>498</v>
          </cell>
          <cell r="R44">
            <v>0.88888888888888884</v>
          </cell>
          <cell r="S44">
            <v>0.11111111111111116</v>
          </cell>
          <cell r="T44">
            <v>0</v>
          </cell>
        </row>
        <row r="45">
          <cell r="Q45">
            <v>497</v>
          </cell>
          <cell r="R45">
            <v>0.88888888888888884</v>
          </cell>
          <cell r="S45">
            <v>0.11111111111111116</v>
          </cell>
          <cell r="T45">
            <v>0</v>
          </cell>
        </row>
        <row r="46">
          <cell r="Q46">
            <v>496</v>
          </cell>
          <cell r="R46">
            <v>0.88888888888888884</v>
          </cell>
          <cell r="S46">
            <v>0.11111111111111116</v>
          </cell>
          <cell r="T46">
            <v>0</v>
          </cell>
        </row>
        <row r="47">
          <cell r="Q47">
            <v>495</v>
          </cell>
          <cell r="R47">
            <v>0.88888888888888884</v>
          </cell>
          <cell r="S47">
            <v>0.11111111111111116</v>
          </cell>
          <cell r="T47">
            <v>0</v>
          </cell>
        </row>
        <row r="48">
          <cell r="Q48">
            <v>494</v>
          </cell>
          <cell r="R48">
            <v>0.88888888888888884</v>
          </cell>
          <cell r="S48">
            <v>0.11111111111111116</v>
          </cell>
          <cell r="T48">
            <v>0</v>
          </cell>
        </row>
        <row r="49">
          <cell r="Q49">
            <v>493</v>
          </cell>
          <cell r="R49">
            <v>0.88888888888888884</v>
          </cell>
          <cell r="S49">
            <v>0.11111111111111116</v>
          </cell>
          <cell r="T49">
            <v>0</v>
          </cell>
        </row>
        <row r="50">
          <cell r="Q50">
            <v>492</v>
          </cell>
          <cell r="R50">
            <v>0.88888888888888884</v>
          </cell>
          <cell r="S50">
            <v>0.11111111111111116</v>
          </cell>
          <cell r="T50">
            <v>0</v>
          </cell>
        </row>
        <row r="51">
          <cell r="Q51">
            <v>491</v>
          </cell>
          <cell r="R51">
            <v>0.88888888888888884</v>
          </cell>
          <cell r="S51">
            <v>0.11111111111111116</v>
          </cell>
          <cell r="T51">
            <v>0</v>
          </cell>
        </row>
        <row r="52">
          <cell r="Q52">
            <v>490</v>
          </cell>
          <cell r="R52">
            <v>0.88888888888888884</v>
          </cell>
          <cell r="S52">
            <v>0.11111111111111116</v>
          </cell>
          <cell r="T52">
            <v>0</v>
          </cell>
        </row>
        <row r="53">
          <cell r="Q53">
            <v>489</v>
          </cell>
          <cell r="R53">
            <v>0.88888888888888884</v>
          </cell>
          <cell r="S53">
            <v>0.11111111111111116</v>
          </cell>
          <cell r="T53">
            <v>0</v>
          </cell>
        </row>
        <row r="54">
          <cell r="Q54">
            <v>488</v>
          </cell>
          <cell r="R54">
            <v>0.88888888888888884</v>
          </cell>
          <cell r="S54">
            <v>0.11111111111111116</v>
          </cell>
          <cell r="T54">
            <v>0</v>
          </cell>
        </row>
        <row r="55">
          <cell r="Q55">
            <v>487</v>
          </cell>
          <cell r="R55">
            <v>0.88888888888888884</v>
          </cell>
          <cell r="S55">
            <v>0.11111111111111116</v>
          </cell>
          <cell r="T55">
            <v>0</v>
          </cell>
        </row>
        <row r="56">
          <cell r="Q56">
            <v>486</v>
          </cell>
          <cell r="R56">
            <v>0.88888888888888884</v>
          </cell>
          <cell r="S56">
            <v>0.11111111111111116</v>
          </cell>
          <cell r="T56">
            <v>0</v>
          </cell>
        </row>
        <row r="57">
          <cell r="Q57">
            <v>485</v>
          </cell>
          <cell r="R57">
            <v>0.88888888888888884</v>
          </cell>
          <cell r="S57">
            <v>0.11111111111111116</v>
          </cell>
          <cell r="T57">
            <v>0</v>
          </cell>
        </row>
        <row r="58">
          <cell r="Q58">
            <v>484</v>
          </cell>
          <cell r="R58">
            <v>0.88888888888888884</v>
          </cell>
          <cell r="S58">
            <v>0.11111111111111116</v>
          </cell>
          <cell r="T58">
            <v>0</v>
          </cell>
        </row>
        <row r="59">
          <cell r="Q59">
            <v>483</v>
          </cell>
          <cell r="R59">
            <v>0.88888888888888884</v>
          </cell>
          <cell r="S59">
            <v>0.11111111111111116</v>
          </cell>
          <cell r="T59">
            <v>0</v>
          </cell>
        </row>
        <row r="60">
          <cell r="Q60">
            <v>482</v>
          </cell>
          <cell r="R60">
            <v>0.88888888888888884</v>
          </cell>
          <cell r="S60">
            <v>0.11111111111111116</v>
          </cell>
          <cell r="T60">
            <v>0</v>
          </cell>
        </row>
        <row r="61">
          <cell r="Q61">
            <v>481</v>
          </cell>
          <cell r="R61">
            <v>0.88888888888888884</v>
          </cell>
          <cell r="S61">
            <v>0.11111111111111116</v>
          </cell>
          <cell r="T61">
            <v>0</v>
          </cell>
        </row>
        <row r="62">
          <cell r="Q62">
            <v>480</v>
          </cell>
          <cell r="R62">
            <v>0.88888888888888884</v>
          </cell>
          <cell r="S62">
            <v>0.11111111111111116</v>
          </cell>
          <cell r="T62">
            <v>0</v>
          </cell>
        </row>
        <row r="63">
          <cell r="Q63">
            <v>479</v>
          </cell>
          <cell r="R63">
            <v>0.88888888888888884</v>
          </cell>
          <cell r="S63">
            <v>0.11111111111111116</v>
          </cell>
          <cell r="T63">
            <v>0</v>
          </cell>
        </row>
        <row r="64">
          <cell r="Q64">
            <v>478</v>
          </cell>
          <cell r="R64">
            <v>0.88888888888888884</v>
          </cell>
          <cell r="S64">
            <v>0.11111111111111116</v>
          </cell>
          <cell r="T64">
            <v>0</v>
          </cell>
        </row>
        <row r="65">
          <cell r="Q65">
            <v>477</v>
          </cell>
          <cell r="R65">
            <v>0.88888888888888884</v>
          </cell>
          <cell r="S65">
            <v>0.11111111111111116</v>
          </cell>
          <cell r="T65">
            <v>0</v>
          </cell>
        </row>
        <row r="66">
          <cell r="Q66">
            <v>476</v>
          </cell>
          <cell r="R66">
            <v>0.88888888888888884</v>
          </cell>
          <cell r="S66">
            <v>0.11111111111111116</v>
          </cell>
          <cell r="T66">
            <v>0</v>
          </cell>
        </row>
        <row r="67">
          <cell r="Q67">
            <v>475</v>
          </cell>
          <cell r="R67">
            <v>0.88888888888888884</v>
          </cell>
          <cell r="S67">
            <v>0.11111111111111116</v>
          </cell>
          <cell r="T67">
            <v>0</v>
          </cell>
        </row>
        <row r="68">
          <cell r="Q68">
            <v>474</v>
          </cell>
          <cell r="R68">
            <v>0.88888888888888884</v>
          </cell>
          <cell r="S68">
            <v>0.11111111111111116</v>
          </cell>
          <cell r="T68">
            <v>0</v>
          </cell>
        </row>
        <row r="69">
          <cell r="Q69">
            <v>473</v>
          </cell>
          <cell r="R69">
            <v>0.88888888888888884</v>
          </cell>
          <cell r="S69">
            <v>0.11111111111111116</v>
          </cell>
          <cell r="T69">
            <v>0</v>
          </cell>
        </row>
        <row r="70">
          <cell r="Q70">
            <v>472</v>
          </cell>
          <cell r="R70">
            <v>0.88888888888888884</v>
          </cell>
          <cell r="S70">
            <v>0.11111111111111116</v>
          </cell>
          <cell r="T70">
            <v>0</v>
          </cell>
        </row>
        <row r="71">
          <cell r="Q71">
            <v>471</v>
          </cell>
          <cell r="R71">
            <v>0.88888888888888884</v>
          </cell>
          <cell r="S71">
            <v>0.11111111111111116</v>
          </cell>
          <cell r="T71">
            <v>0</v>
          </cell>
        </row>
        <row r="72">
          <cell r="Q72">
            <v>470</v>
          </cell>
          <cell r="R72">
            <v>0.88888888888888884</v>
          </cell>
          <cell r="S72">
            <v>0.11111111111111116</v>
          </cell>
          <cell r="T72">
            <v>0</v>
          </cell>
        </row>
        <row r="73">
          <cell r="Q73">
            <v>469</v>
          </cell>
          <cell r="R73">
            <v>0.88888888888888884</v>
          </cell>
          <cell r="S73">
            <v>0.11111111111111116</v>
          </cell>
          <cell r="T73">
            <v>0</v>
          </cell>
        </row>
        <row r="74">
          <cell r="Q74">
            <v>468</v>
          </cell>
          <cell r="R74">
            <v>0.88888888888888884</v>
          </cell>
          <cell r="S74">
            <v>0.11111111111111116</v>
          </cell>
          <cell r="T74">
            <v>0</v>
          </cell>
        </row>
        <row r="75">
          <cell r="Q75">
            <v>467</v>
          </cell>
          <cell r="R75">
            <v>0.88888888888888884</v>
          </cell>
          <cell r="S75">
            <v>0.11111111111111116</v>
          </cell>
          <cell r="T75">
            <v>0</v>
          </cell>
        </row>
        <row r="76">
          <cell r="Q76">
            <v>466</v>
          </cell>
          <cell r="R76">
            <v>0.88888888888888884</v>
          </cell>
          <cell r="S76">
            <v>0.11111111111111116</v>
          </cell>
          <cell r="T76">
            <v>0</v>
          </cell>
        </row>
        <row r="77">
          <cell r="Q77">
            <v>465</v>
          </cell>
          <cell r="R77">
            <v>0.88888888888888884</v>
          </cell>
          <cell r="S77">
            <v>0.11111111111111116</v>
          </cell>
          <cell r="T77">
            <v>0</v>
          </cell>
        </row>
        <row r="78">
          <cell r="Q78">
            <v>464</v>
          </cell>
          <cell r="R78">
            <v>0.88888888888888884</v>
          </cell>
          <cell r="S78">
            <v>0.11111111111111116</v>
          </cell>
          <cell r="T78">
            <v>0</v>
          </cell>
        </row>
        <row r="79">
          <cell r="Q79">
            <v>463</v>
          </cell>
          <cell r="R79">
            <v>0.88888888888888884</v>
          </cell>
          <cell r="S79">
            <v>0.11111111111111116</v>
          </cell>
          <cell r="T79">
            <v>0</v>
          </cell>
        </row>
        <row r="80">
          <cell r="Q80">
            <v>462</v>
          </cell>
          <cell r="R80">
            <v>0.88888888888888884</v>
          </cell>
          <cell r="S80">
            <v>0.11111111111111116</v>
          </cell>
          <cell r="T80">
            <v>0</v>
          </cell>
        </row>
        <row r="81">
          <cell r="Q81">
            <v>461</v>
          </cell>
          <cell r="R81">
            <v>0.88888888888888884</v>
          </cell>
          <cell r="S81">
            <v>0.11111111111111116</v>
          </cell>
          <cell r="T81">
            <v>0</v>
          </cell>
        </row>
        <row r="82">
          <cell r="Q82">
            <v>460</v>
          </cell>
          <cell r="R82">
            <v>0.88888888888888884</v>
          </cell>
          <cell r="S82">
            <v>0.11111111111111116</v>
          </cell>
          <cell r="T82">
            <v>0</v>
          </cell>
        </row>
        <row r="83">
          <cell r="Q83">
            <v>459</v>
          </cell>
          <cell r="R83">
            <v>0.88888888888888884</v>
          </cell>
          <cell r="S83">
            <v>0.11111111111111116</v>
          </cell>
          <cell r="T83">
            <v>0</v>
          </cell>
        </row>
        <row r="84">
          <cell r="Q84">
            <v>458</v>
          </cell>
          <cell r="R84">
            <v>0.88888888888888884</v>
          </cell>
          <cell r="S84">
            <v>0.11111111111111116</v>
          </cell>
          <cell r="T84">
            <v>0</v>
          </cell>
        </row>
        <row r="85">
          <cell r="Q85">
            <v>457</v>
          </cell>
          <cell r="R85">
            <v>0.88888888888888884</v>
          </cell>
          <cell r="S85">
            <v>0.11111111111111116</v>
          </cell>
          <cell r="T85">
            <v>0</v>
          </cell>
        </row>
        <row r="86">
          <cell r="Q86">
            <v>456</v>
          </cell>
          <cell r="R86">
            <v>0.88888888888888884</v>
          </cell>
          <cell r="S86">
            <v>0.11111111111111116</v>
          </cell>
          <cell r="T86">
            <v>0</v>
          </cell>
        </row>
        <row r="87">
          <cell r="Q87">
            <v>455</v>
          </cell>
          <cell r="R87">
            <v>0.88888888888888884</v>
          </cell>
          <cell r="S87">
            <v>0.11111111111111116</v>
          </cell>
          <cell r="T87">
            <v>0</v>
          </cell>
        </row>
        <row r="88">
          <cell r="Q88">
            <v>454</v>
          </cell>
          <cell r="R88">
            <v>0.88888888888888884</v>
          </cell>
          <cell r="S88">
            <v>0.11111111111111116</v>
          </cell>
          <cell r="T88">
            <v>0</v>
          </cell>
        </row>
        <row r="89">
          <cell r="Q89">
            <v>453</v>
          </cell>
          <cell r="R89">
            <v>0.88888888888888884</v>
          </cell>
          <cell r="S89">
            <v>0.11111111111111116</v>
          </cell>
          <cell r="T89">
            <v>0</v>
          </cell>
        </row>
        <row r="90">
          <cell r="Q90">
            <v>452</v>
          </cell>
          <cell r="R90">
            <v>0.88888888888888884</v>
          </cell>
          <cell r="S90">
            <v>0.11111111111111116</v>
          </cell>
          <cell r="T90">
            <v>0</v>
          </cell>
        </row>
        <row r="91">
          <cell r="Q91">
            <v>451</v>
          </cell>
          <cell r="R91">
            <v>0.88888888888888884</v>
          </cell>
          <cell r="S91">
            <v>0.11111111111111116</v>
          </cell>
          <cell r="T91">
            <v>0</v>
          </cell>
        </row>
        <row r="92">
          <cell r="Q92">
            <v>450</v>
          </cell>
          <cell r="R92">
            <v>0.88888888888888884</v>
          </cell>
          <cell r="S92">
            <v>0.11111111111111116</v>
          </cell>
          <cell r="T92">
            <v>0</v>
          </cell>
        </row>
        <row r="93">
          <cell r="Q93">
            <v>449</v>
          </cell>
          <cell r="R93">
            <v>0.88888888888888884</v>
          </cell>
          <cell r="S93">
            <v>0.11111111111111116</v>
          </cell>
          <cell r="T93">
            <v>0</v>
          </cell>
        </row>
        <row r="94">
          <cell r="Q94">
            <v>448</v>
          </cell>
          <cell r="R94">
            <v>0.88888888888888884</v>
          </cell>
          <cell r="S94">
            <v>0.11111111111111116</v>
          </cell>
          <cell r="T94">
            <v>0</v>
          </cell>
        </row>
        <row r="95">
          <cell r="Q95">
            <v>447</v>
          </cell>
          <cell r="R95">
            <v>0.88888888888888884</v>
          </cell>
          <cell r="S95">
            <v>0.11111111111111116</v>
          </cell>
          <cell r="T95">
            <v>0</v>
          </cell>
        </row>
        <row r="96">
          <cell r="Q96">
            <v>446</v>
          </cell>
          <cell r="R96">
            <v>0.88888888888888884</v>
          </cell>
          <cell r="S96">
            <v>0.11111111111111116</v>
          </cell>
          <cell r="T96">
            <v>0</v>
          </cell>
        </row>
        <row r="97">
          <cell r="Q97">
            <v>445</v>
          </cell>
          <cell r="R97">
            <v>0.88888888888888884</v>
          </cell>
          <cell r="S97">
            <v>0.11111111111111116</v>
          </cell>
          <cell r="T97">
            <v>0</v>
          </cell>
        </row>
        <row r="98">
          <cell r="Q98">
            <v>444</v>
          </cell>
          <cell r="R98">
            <v>0.88888888888888884</v>
          </cell>
          <cell r="S98">
            <v>0.11111111111111116</v>
          </cell>
          <cell r="T98">
            <v>0</v>
          </cell>
        </row>
        <row r="99">
          <cell r="Q99">
            <v>443</v>
          </cell>
          <cell r="R99">
            <v>0.88888888888888884</v>
          </cell>
          <cell r="S99">
            <v>0.11111111111111116</v>
          </cell>
          <cell r="T99">
            <v>0</v>
          </cell>
        </row>
        <row r="100">
          <cell r="Q100">
            <v>442</v>
          </cell>
          <cell r="R100">
            <v>0.88888888888888884</v>
          </cell>
          <cell r="S100">
            <v>0.11111111111111116</v>
          </cell>
          <cell r="T100">
            <v>0</v>
          </cell>
        </row>
        <row r="101">
          <cell r="Q101">
            <v>441</v>
          </cell>
          <cell r="R101">
            <v>0.88888888888888884</v>
          </cell>
          <cell r="S101">
            <v>0.11111111111111116</v>
          </cell>
          <cell r="T101">
            <v>0</v>
          </cell>
        </row>
        <row r="102">
          <cell r="Q102">
            <v>440</v>
          </cell>
          <cell r="R102">
            <v>0.88888888888888884</v>
          </cell>
          <cell r="S102">
            <v>0.11111111111111116</v>
          </cell>
          <cell r="T102">
            <v>0</v>
          </cell>
        </row>
        <row r="103">
          <cell r="Q103">
            <v>439</v>
          </cell>
          <cell r="R103">
            <v>0.88888888888888884</v>
          </cell>
          <cell r="S103">
            <v>0.11111111111111116</v>
          </cell>
          <cell r="T103">
            <v>0</v>
          </cell>
        </row>
        <row r="104">
          <cell r="Q104">
            <v>438</v>
          </cell>
          <cell r="R104">
            <v>0.88888888888888884</v>
          </cell>
          <cell r="S104">
            <v>0.11111111111111116</v>
          </cell>
          <cell r="T104">
            <v>0</v>
          </cell>
        </row>
        <row r="105">
          <cell r="Q105">
            <v>437</v>
          </cell>
          <cell r="R105">
            <v>0.88888888888888884</v>
          </cell>
          <cell r="S105">
            <v>0.11111111111111116</v>
          </cell>
          <cell r="T105">
            <v>0</v>
          </cell>
        </row>
        <row r="106">
          <cell r="Q106">
            <v>436</v>
          </cell>
          <cell r="R106">
            <v>0.88888888888888884</v>
          </cell>
          <cell r="S106">
            <v>0.11111111111111116</v>
          </cell>
          <cell r="T106">
            <v>0</v>
          </cell>
        </row>
        <row r="107">
          <cell r="Q107">
            <v>435</v>
          </cell>
          <cell r="R107">
            <v>0.88888888888888884</v>
          </cell>
          <cell r="S107">
            <v>0.11111111111111116</v>
          </cell>
          <cell r="T107">
            <v>0</v>
          </cell>
        </row>
        <row r="108">
          <cell r="Q108">
            <v>434</v>
          </cell>
          <cell r="R108">
            <v>0.88888888888888884</v>
          </cell>
          <cell r="S108">
            <v>0.11111111111111116</v>
          </cell>
          <cell r="T108">
            <v>0</v>
          </cell>
        </row>
        <row r="109">
          <cell r="Q109">
            <v>433</v>
          </cell>
          <cell r="R109">
            <v>0.88888888888888884</v>
          </cell>
          <cell r="S109">
            <v>0.11111111111111116</v>
          </cell>
          <cell r="T109">
            <v>0</v>
          </cell>
        </row>
        <row r="110">
          <cell r="Q110">
            <v>432</v>
          </cell>
          <cell r="R110">
            <v>0.88888888888888884</v>
          </cell>
          <cell r="S110">
            <v>0.11111111111111116</v>
          </cell>
          <cell r="T110">
            <v>0</v>
          </cell>
        </row>
        <row r="111">
          <cell r="Q111">
            <v>431</v>
          </cell>
          <cell r="R111">
            <v>0.88888888888888884</v>
          </cell>
          <cell r="S111">
            <v>0.11111111111111116</v>
          </cell>
          <cell r="T111">
            <v>0</v>
          </cell>
        </row>
        <row r="112">
          <cell r="Q112">
            <v>430</v>
          </cell>
          <cell r="R112">
            <v>0.88888888888888884</v>
          </cell>
          <cell r="S112">
            <v>0.11111111111111116</v>
          </cell>
          <cell r="T112">
            <v>0</v>
          </cell>
        </row>
        <row r="113">
          <cell r="Q113">
            <v>429</v>
          </cell>
          <cell r="R113">
            <v>0.88888888888888884</v>
          </cell>
          <cell r="S113">
            <v>0.11111111111111116</v>
          </cell>
          <cell r="T113">
            <v>0</v>
          </cell>
        </row>
        <row r="114">
          <cell r="Q114">
            <v>428</v>
          </cell>
          <cell r="R114">
            <v>0.88888888888888884</v>
          </cell>
          <cell r="S114">
            <v>0.11111111111111116</v>
          </cell>
          <cell r="T114">
            <v>0</v>
          </cell>
        </row>
        <row r="115">
          <cell r="Q115">
            <v>427</v>
          </cell>
          <cell r="R115">
            <v>0.88888888888888884</v>
          </cell>
          <cell r="S115">
            <v>0.11111111111111116</v>
          </cell>
          <cell r="T115">
            <v>0</v>
          </cell>
        </row>
        <row r="116">
          <cell r="Q116">
            <v>426</v>
          </cell>
          <cell r="R116">
            <v>0.88888888888888884</v>
          </cell>
          <cell r="S116">
            <v>0.11111111111111116</v>
          </cell>
          <cell r="T116">
            <v>0</v>
          </cell>
        </row>
        <row r="117">
          <cell r="Q117">
            <v>425</v>
          </cell>
          <cell r="R117">
            <v>0.88888888888888884</v>
          </cell>
          <cell r="S117">
            <v>0.11111111111111116</v>
          </cell>
          <cell r="T117">
            <v>0</v>
          </cell>
        </row>
        <row r="118">
          <cell r="Q118">
            <v>424</v>
          </cell>
          <cell r="R118">
            <v>0.88888888888888884</v>
          </cell>
          <cell r="S118">
            <v>0.11111111111111116</v>
          </cell>
          <cell r="T118">
            <v>0</v>
          </cell>
        </row>
        <row r="119">
          <cell r="Q119">
            <v>423</v>
          </cell>
          <cell r="R119">
            <v>0.88888888888888884</v>
          </cell>
          <cell r="S119">
            <v>0.11111111111111116</v>
          </cell>
          <cell r="T119">
            <v>0</v>
          </cell>
        </row>
        <row r="120">
          <cell r="Q120">
            <v>422</v>
          </cell>
          <cell r="R120">
            <v>0.88888888888888884</v>
          </cell>
          <cell r="S120">
            <v>0.11111111111111116</v>
          </cell>
          <cell r="T120">
            <v>0</v>
          </cell>
        </row>
        <row r="121">
          <cell r="Q121">
            <v>421</v>
          </cell>
          <cell r="R121">
            <v>0.88888888888888884</v>
          </cell>
          <cell r="S121">
            <v>0.11111111111111116</v>
          </cell>
          <cell r="T121">
            <v>0</v>
          </cell>
        </row>
        <row r="122">
          <cell r="Q122">
            <v>420</v>
          </cell>
          <cell r="R122">
            <v>0.88888888888888884</v>
          </cell>
          <cell r="S122">
            <v>0.11111111111111116</v>
          </cell>
          <cell r="T122">
            <v>0</v>
          </cell>
        </row>
        <row r="123">
          <cell r="Q123">
            <v>419</v>
          </cell>
          <cell r="R123">
            <v>0.88888888888888884</v>
          </cell>
          <cell r="S123">
            <v>0.11111111111111116</v>
          </cell>
          <cell r="T123">
            <v>0</v>
          </cell>
        </row>
        <row r="124">
          <cell r="Q124">
            <v>418</v>
          </cell>
          <cell r="R124">
            <v>0.88888888888888884</v>
          </cell>
          <cell r="S124">
            <v>0.11111111111111116</v>
          </cell>
          <cell r="T124">
            <v>0</v>
          </cell>
        </row>
        <row r="125">
          <cell r="Q125">
            <v>417</v>
          </cell>
          <cell r="R125">
            <v>0.88888888888888884</v>
          </cell>
          <cell r="S125">
            <v>0.11111111111111116</v>
          </cell>
          <cell r="T125">
            <v>0</v>
          </cell>
        </row>
        <row r="126">
          <cell r="Q126">
            <v>416</v>
          </cell>
          <cell r="R126">
            <v>0.88888888888888884</v>
          </cell>
          <cell r="S126">
            <v>0.11111111111111116</v>
          </cell>
          <cell r="T126">
            <v>0</v>
          </cell>
        </row>
        <row r="127">
          <cell r="Q127">
            <v>415</v>
          </cell>
          <cell r="R127">
            <v>0.88888888888888884</v>
          </cell>
          <cell r="S127">
            <v>0.11111111111111116</v>
          </cell>
          <cell r="T127">
            <v>0</v>
          </cell>
        </row>
        <row r="128">
          <cell r="Q128">
            <v>414</v>
          </cell>
          <cell r="R128">
            <v>0.88888888888888884</v>
          </cell>
          <cell r="S128">
            <v>0.11111111111111116</v>
          </cell>
          <cell r="T128">
            <v>0</v>
          </cell>
        </row>
        <row r="129">
          <cell r="Q129">
            <v>413</v>
          </cell>
          <cell r="R129">
            <v>0.88888888888888884</v>
          </cell>
          <cell r="S129">
            <v>0.11111111111111116</v>
          </cell>
          <cell r="T129">
            <v>0</v>
          </cell>
        </row>
        <row r="130">
          <cell r="Q130">
            <v>412</v>
          </cell>
          <cell r="R130">
            <v>0.88888888888888884</v>
          </cell>
          <cell r="S130">
            <v>0.11111111111111116</v>
          </cell>
          <cell r="T130">
            <v>0</v>
          </cell>
        </row>
        <row r="131">
          <cell r="Q131">
            <v>411</v>
          </cell>
          <cell r="R131">
            <v>0.88888888888888884</v>
          </cell>
          <cell r="S131">
            <v>0.11111111111111116</v>
          </cell>
          <cell r="T131">
            <v>0</v>
          </cell>
        </row>
        <row r="132">
          <cell r="Q132">
            <v>410</v>
          </cell>
          <cell r="R132">
            <v>0.88888888888888884</v>
          </cell>
          <cell r="S132">
            <v>0.11111111111111116</v>
          </cell>
          <cell r="T132">
            <v>0</v>
          </cell>
        </row>
        <row r="133">
          <cell r="Q133">
            <v>409</v>
          </cell>
          <cell r="R133">
            <v>0.88888888888888884</v>
          </cell>
          <cell r="S133">
            <v>0.11111111111111116</v>
          </cell>
          <cell r="T133">
            <v>0</v>
          </cell>
        </row>
        <row r="134">
          <cell r="Q134">
            <v>408</v>
          </cell>
          <cell r="R134">
            <v>0.88888888888888884</v>
          </cell>
          <cell r="S134">
            <v>0.11111111111111116</v>
          </cell>
          <cell r="T134">
            <v>0</v>
          </cell>
        </row>
        <row r="135">
          <cell r="Q135">
            <v>407</v>
          </cell>
          <cell r="R135">
            <v>0.88888888888888884</v>
          </cell>
          <cell r="S135">
            <v>0.11111111111111116</v>
          </cell>
          <cell r="T135">
            <v>0</v>
          </cell>
        </row>
        <row r="136">
          <cell r="Q136">
            <v>406</v>
          </cell>
          <cell r="R136">
            <v>0.88888888888888884</v>
          </cell>
          <cell r="S136">
            <v>0.11111111111111116</v>
          </cell>
          <cell r="T136">
            <v>0</v>
          </cell>
        </row>
        <row r="137">
          <cell r="Q137">
            <v>405</v>
          </cell>
          <cell r="R137">
            <v>0.88888888888888884</v>
          </cell>
          <cell r="S137">
            <v>0.11111111111111116</v>
          </cell>
          <cell r="T137">
            <v>0</v>
          </cell>
        </row>
        <row r="138">
          <cell r="Q138">
            <v>404</v>
          </cell>
          <cell r="R138">
            <v>0.88888888888888884</v>
          </cell>
          <cell r="S138">
            <v>0.11111111111111116</v>
          </cell>
          <cell r="T138">
            <v>0</v>
          </cell>
        </row>
        <row r="139">
          <cell r="Q139">
            <v>403</v>
          </cell>
          <cell r="R139">
            <v>0.88888888888888884</v>
          </cell>
          <cell r="S139">
            <v>0.11111111111111116</v>
          </cell>
          <cell r="T139">
            <v>0</v>
          </cell>
        </row>
        <row r="140">
          <cell r="Q140">
            <v>402</v>
          </cell>
          <cell r="R140">
            <v>0.88888888888888884</v>
          </cell>
          <cell r="S140">
            <v>0.11111111111111116</v>
          </cell>
          <cell r="T140">
            <v>0</v>
          </cell>
        </row>
        <row r="141">
          <cell r="Q141">
            <v>401</v>
          </cell>
          <cell r="R141">
            <v>0.88888888888888884</v>
          </cell>
          <cell r="S141">
            <v>0.11111111111111116</v>
          </cell>
          <cell r="T141">
            <v>0</v>
          </cell>
        </row>
        <row r="142">
          <cell r="Q142">
            <v>400</v>
          </cell>
          <cell r="R142">
            <v>0.88888888888888884</v>
          </cell>
          <cell r="S142">
            <v>0.11111111111111116</v>
          </cell>
          <cell r="T142">
            <v>0</v>
          </cell>
        </row>
        <row r="143">
          <cell r="Q143">
            <v>399</v>
          </cell>
          <cell r="R143">
            <v>0.88888888888888884</v>
          </cell>
          <cell r="S143">
            <v>0.11111111111111116</v>
          </cell>
          <cell r="T143">
            <v>0</v>
          </cell>
        </row>
        <row r="144">
          <cell r="Q144">
            <v>398</v>
          </cell>
          <cell r="R144">
            <v>0.88888888888888884</v>
          </cell>
          <cell r="S144">
            <v>0.11111111111111116</v>
          </cell>
          <cell r="T144">
            <v>0</v>
          </cell>
        </row>
        <row r="145">
          <cell r="Q145">
            <v>397</v>
          </cell>
          <cell r="R145">
            <v>0.88888888888888884</v>
          </cell>
          <cell r="S145">
            <v>0.11111111111111116</v>
          </cell>
          <cell r="T145">
            <v>0</v>
          </cell>
        </row>
        <row r="146">
          <cell r="Q146">
            <v>396</v>
          </cell>
          <cell r="R146">
            <v>0.88888888888888884</v>
          </cell>
          <cell r="S146">
            <v>0.11111111111111116</v>
          </cell>
          <cell r="T146">
            <v>0</v>
          </cell>
        </row>
        <row r="147">
          <cell r="Q147">
            <v>395</v>
          </cell>
          <cell r="R147">
            <v>0.88888888888888884</v>
          </cell>
          <cell r="S147">
            <v>0.11111111111111116</v>
          </cell>
          <cell r="T147">
            <v>0</v>
          </cell>
        </row>
        <row r="148">
          <cell r="Q148">
            <v>394</v>
          </cell>
          <cell r="R148">
            <v>0.88888888888888884</v>
          </cell>
          <cell r="S148">
            <v>0.11111111111111116</v>
          </cell>
          <cell r="T148">
            <v>0</v>
          </cell>
        </row>
        <row r="149">
          <cell r="Q149">
            <v>393</v>
          </cell>
          <cell r="R149">
            <v>0.88888888888888884</v>
          </cell>
          <cell r="S149">
            <v>0.11111111111111116</v>
          </cell>
          <cell r="T149">
            <v>0</v>
          </cell>
        </row>
        <row r="150">
          <cell r="Q150">
            <v>392</v>
          </cell>
          <cell r="R150">
            <v>0.88888888888888884</v>
          </cell>
          <cell r="S150">
            <v>0.11111111111111116</v>
          </cell>
          <cell r="T150">
            <v>0</v>
          </cell>
        </row>
        <row r="151">
          <cell r="Q151">
            <v>391</v>
          </cell>
          <cell r="R151">
            <v>0.88888888888888884</v>
          </cell>
          <cell r="S151">
            <v>0.11111111111111116</v>
          </cell>
          <cell r="T151">
            <v>0</v>
          </cell>
        </row>
        <row r="152">
          <cell r="Q152">
            <v>390</v>
          </cell>
          <cell r="R152">
            <v>0.88888888888888884</v>
          </cell>
          <cell r="S152">
            <v>0.11111111111111116</v>
          </cell>
          <cell r="T152">
            <v>0</v>
          </cell>
        </row>
        <row r="153">
          <cell r="Q153">
            <v>389</v>
          </cell>
          <cell r="R153">
            <v>0.88888888888888884</v>
          </cell>
          <cell r="S153">
            <v>0.11111111111111116</v>
          </cell>
          <cell r="T153">
            <v>0</v>
          </cell>
        </row>
        <row r="154">
          <cell r="Q154">
            <v>388</v>
          </cell>
          <cell r="R154">
            <v>0.88888888888888884</v>
          </cell>
          <cell r="S154">
            <v>0.11111111111111116</v>
          </cell>
          <cell r="T154">
            <v>0</v>
          </cell>
        </row>
        <row r="155">
          <cell r="Q155">
            <v>387</v>
          </cell>
          <cell r="R155">
            <v>0.88888888888888884</v>
          </cell>
          <cell r="S155">
            <v>0.11111111111111116</v>
          </cell>
          <cell r="T155">
            <v>0</v>
          </cell>
        </row>
        <row r="156">
          <cell r="Q156">
            <v>386</v>
          </cell>
          <cell r="R156">
            <v>0.88888888888888884</v>
          </cell>
          <cell r="S156">
            <v>0.11111111111111116</v>
          </cell>
          <cell r="T156">
            <v>0</v>
          </cell>
        </row>
        <row r="157">
          <cell r="Q157">
            <v>385</v>
          </cell>
          <cell r="R157">
            <v>0.88888888888888884</v>
          </cell>
          <cell r="S157">
            <v>0.11111111111111116</v>
          </cell>
          <cell r="T157">
            <v>0</v>
          </cell>
        </row>
        <row r="158">
          <cell r="Q158">
            <v>384</v>
          </cell>
          <cell r="R158">
            <v>0.88888888888888884</v>
          </cell>
          <cell r="S158">
            <v>0.11111111111111116</v>
          </cell>
          <cell r="T158">
            <v>0</v>
          </cell>
        </row>
        <row r="159">
          <cell r="Q159">
            <v>383</v>
          </cell>
          <cell r="R159">
            <v>0.88888888888888884</v>
          </cell>
          <cell r="S159">
            <v>0.11111111111111116</v>
          </cell>
          <cell r="T159">
            <v>0</v>
          </cell>
        </row>
        <row r="160">
          <cell r="Q160">
            <v>382</v>
          </cell>
          <cell r="R160">
            <v>0.88888888888888884</v>
          </cell>
          <cell r="S160">
            <v>0.11111111111111116</v>
          </cell>
          <cell r="T160">
            <v>0</v>
          </cell>
        </row>
        <row r="161">
          <cell r="Q161">
            <v>381</v>
          </cell>
          <cell r="R161">
            <v>0.88888888888888884</v>
          </cell>
          <cell r="S161">
            <v>0.11111111111111116</v>
          </cell>
          <cell r="T161">
            <v>0</v>
          </cell>
        </row>
        <row r="162">
          <cell r="Q162">
            <v>380</v>
          </cell>
          <cell r="R162">
            <v>0.88888888888888884</v>
          </cell>
          <cell r="S162">
            <v>0.11111111111111116</v>
          </cell>
          <cell r="T162">
            <v>0</v>
          </cell>
        </row>
        <row r="163">
          <cell r="Q163">
            <v>379</v>
          </cell>
          <cell r="R163">
            <v>0.88888888888888884</v>
          </cell>
          <cell r="S163">
            <v>0.11111111111111116</v>
          </cell>
          <cell r="T163">
            <v>0</v>
          </cell>
        </row>
        <row r="164">
          <cell r="Q164">
            <v>378</v>
          </cell>
          <cell r="R164">
            <v>0.88888888888888884</v>
          </cell>
          <cell r="S164">
            <v>0.11111111111111116</v>
          </cell>
          <cell r="T164">
            <v>0</v>
          </cell>
        </row>
        <row r="165">
          <cell r="Q165">
            <v>377</v>
          </cell>
          <cell r="R165">
            <v>0.88888888888888884</v>
          </cell>
          <cell r="S165">
            <v>0.11111111111111116</v>
          </cell>
          <cell r="T165">
            <v>0</v>
          </cell>
        </row>
        <row r="166">
          <cell r="Q166">
            <v>376</v>
          </cell>
          <cell r="R166">
            <v>0.88888888888888884</v>
          </cell>
          <cell r="S166">
            <v>0.11111111111111116</v>
          </cell>
          <cell r="T166">
            <v>0</v>
          </cell>
        </row>
        <row r="167">
          <cell r="Q167">
            <v>375</v>
          </cell>
          <cell r="R167">
            <v>0.88888888888888884</v>
          </cell>
          <cell r="S167">
            <v>0.11111111111111116</v>
          </cell>
          <cell r="T167">
            <v>0</v>
          </cell>
        </row>
        <row r="168">
          <cell r="Q168">
            <v>374</v>
          </cell>
          <cell r="R168">
            <v>0.88888888888888884</v>
          </cell>
          <cell r="S168">
            <v>0.11111111111111116</v>
          </cell>
          <cell r="T168">
            <v>0</v>
          </cell>
        </row>
        <row r="169">
          <cell r="Q169">
            <v>373</v>
          </cell>
          <cell r="R169">
            <v>0.88888888888888884</v>
          </cell>
          <cell r="S169">
            <v>0.11111111111111116</v>
          </cell>
          <cell r="T169">
            <v>0</v>
          </cell>
        </row>
        <row r="170">
          <cell r="Q170">
            <v>372</v>
          </cell>
          <cell r="R170">
            <v>0.88888888888888884</v>
          </cell>
          <cell r="S170">
            <v>0.11111111111111116</v>
          </cell>
          <cell r="T170">
            <v>0</v>
          </cell>
        </row>
        <row r="171">
          <cell r="Q171">
            <v>371</v>
          </cell>
          <cell r="R171">
            <v>0.88888888888888884</v>
          </cell>
          <cell r="S171">
            <v>0.11111111111111116</v>
          </cell>
          <cell r="T171">
            <v>0</v>
          </cell>
        </row>
        <row r="172">
          <cell r="Q172">
            <v>370</v>
          </cell>
          <cell r="R172">
            <v>0.88888888888888884</v>
          </cell>
          <cell r="S172">
            <v>0.11111111111111116</v>
          </cell>
          <cell r="T172">
            <v>0</v>
          </cell>
        </row>
        <row r="173">
          <cell r="Q173">
            <v>369</v>
          </cell>
          <cell r="R173">
            <v>0.88888888888888884</v>
          </cell>
          <cell r="S173">
            <v>0.11111111111111116</v>
          </cell>
          <cell r="T173">
            <v>0</v>
          </cell>
        </row>
        <row r="174">
          <cell r="Q174">
            <v>368</v>
          </cell>
          <cell r="R174">
            <v>0.88888888888888884</v>
          </cell>
          <cell r="S174">
            <v>0.11111111111111116</v>
          </cell>
          <cell r="T174">
            <v>0</v>
          </cell>
        </row>
        <row r="175">
          <cell r="Q175">
            <v>367</v>
          </cell>
          <cell r="R175">
            <v>0.88888888888888884</v>
          </cell>
          <cell r="S175">
            <v>0.11111111111111116</v>
          </cell>
          <cell r="T175">
            <v>0</v>
          </cell>
        </row>
        <row r="176">
          <cell r="Q176">
            <v>366</v>
          </cell>
          <cell r="R176">
            <v>0.88888888888888884</v>
          </cell>
          <cell r="S176">
            <v>0.11111111111111116</v>
          </cell>
          <cell r="T176">
            <v>0</v>
          </cell>
        </row>
        <row r="177">
          <cell r="Q177">
            <v>365</v>
          </cell>
          <cell r="R177">
            <v>0.88888888888888884</v>
          </cell>
          <cell r="S177">
            <v>0.11111111111111116</v>
          </cell>
          <cell r="T177">
            <v>0</v>
          </cell>
        </row>
        <row r="178">
          <cell r="Q178">
            <v>364</v>
          </cell>
          <cell r="R178">
            <v>0.88888888888888884</v>
          </cell>
          <cell r="S178">
            <v>0.11111111111111116</v>
          </cell>
          <cell r="T178">
            <v>0</v>
          </cell>
        </row>
        <row r="179">
          <cell r="Q179">
            <v>363</v>
          </cell>
          <cell r="R179">
            <v>0.88888888888888884</v>
          </cell>
          <cell r="S179">
            <v>0.11111111111111116</v>
          </cell>
          <cell r="T179">
            <v>0</v>
          </cell>
        </row>
        <row r="180">
          <cell r="Q180">
            <v>362</v>
          </cell>
          <cell r="R180">
            <v>0.88888888888888884</v>
          </cell>
          <cell r="S180">
            <v>0.11111111111111116</v>
          </cell>
          <cell r="T180">
            <v>0</v>
          </cell>
        </row>
        <row r="181">
          <cell r="Q181">
            <v>361</v>
          </cell>
          <cell r="R181">
            <v>0.88888888888888884</v>
          </cell>
          <cell r="S181">
            <v>0.11111111111111116</v>
          </cell>
          <cell r="T181">
            <v>0</v>
          </cell>
        </row>
        <row r="182">
          <cell r="Q182">
            <v>360</v>
          </cell>
          <cell r="R182">
            <v>0.88888888888888884</v>
          </cell>
          <cell r="S182">
            <v>0.11111111111111116</v>
          </cell>
          <cell r="T182">
            <v>0</v>
          </cell>
        </row>
        <row r="183">
          <cell r="Q183">
            <v>359</v>
          </cell>
          <cell r="R183">
            <v>0.88888888888888884</v>
          </cell>
          <cell r="S183">
            <v>0.11111111111111116</v>
          </cell>
          <cell r="T183">
            <v>0</v>
          </cell>
        </row>
        <row r="184">
          <cell r="Q184">
            <v>358</v>
          </cell>
          <cell r="R184">
            <v>0.88888888888888884</v>
          </cell>
          <cell r="S184">
            <v>0.11111111111111116</v>
          </cell>
          <cell r="T184">
            <v>0</v>
          </cell>
        </row>
        <row r="185">
          <cell r="Q185">
            <v>357</v>
          </cell>
          <cell r="R185">
            <v>0.88888888888888884</v>
          </cell>
          <cell r="S185">
            <v>0.11111111111111116</v>
          </cell>
          <cell r="T185">
            <v>0</v>
          </cell>
        </row>
        <row r="186">
          <cell r="Q186">
            <v>356</v>
          </cell>
          <cell r="R186">
            <v>0.88888888888888884</v>
          </cell>
          <cell r="S186">
            <v>0.11111111111111116</v>
          </cell>
          <cell r="T186">
            <v>0</v>
          </cell>
        </row>
        <row r="187">
          <cell r="Q187">
            <v>355</v>
          </cell>
          <cell r="R187">
            <v>0.88888888888888884</v>
          </cell>
          <cell r="S187">
            <v>0.11111111111111116</v>
          </cell>
          <cell r="T187">
            <v>0</v>
          </cell>
        </row>
        <row r="188">
          <cell r="Q188">
            <v>354</v>
          </cell>
          <cell r="R188">
            <v>0.88888888888888884</v>
          </cell>
          <cell r="S188">
            <v>0.11111111111111116</v>
          </cell>
          <cell r="T188">
            <v>0</v>
          </cell>
        </row>
        <row r="189">
          <cell r="Q189">
            <v>353</v>
          </cell>
          <cell r="R189">
            <v>0.88888888888888884</v>
          </cell>
          <cell r="S189">
            <v>0.11111111111111116</v>
          </cell>
          <cell r="T189">
            <v>0</v>
          </cell>
        </row>
        <row r="190">
          <cell r="Q190">
            <v>352</v>
          </cell>
          <cell r="R190">
            <v>0.88888888888888884</v>
          </cell>
          <cell r="S190">
            <v>0.11111111111111116</v>
          </cell>
          <cell r="T190">
            <v>0</v>
          </cell>
        </row>
        <row r="191">
          <cell r="Q191">
            <v>351</v>
          </cell>
          <cell r="R191">
            <v>0.88888888888888884</v>
          </cell>
          <cell r="S191">
            <v>0.11111111111111116</v>
          </cell>
          <cell r="T191">
            <v>0</v>
          </cell>
        </row>
        <row r="192">
          <cell r="Q192">
            <v>350</v>
          </cell>
          <cell r="R192">
            <v>0.88888888888888884</v>
          </cell>
          <cell r="S192">
            <v>0.11111111111111116</v>
          </cell>
          <cell r="T192">
            <v>0</v>
          </cell>
        </row>
        <row r="193">
          <cell r="Q193">
            <v>349</v>
          </cell>
          <cell r="R193">
            <v>0.88888888888888884</v>
          </cell>
          <cell r="S193">
            <v>0.11111111111111116</v>
          </cell>
          <cell r="T193">
            <v>0</v>
          </cell>
        </row>
        <row r="194">
          <cell r="Q194">
            <v>348</v>
          </cell>
          <cell r="R194">
            <v>0.88888888888888884</v>
          </cell>
          <cell r="S194">
            <v>0.11111111111111116</v>
          </cell>
          <cell r="T194">
            <v>0</v>
          </cell>
        </row>
        <row r="195">
          <cell r="Q195">
            <v>347</v>
          </cell>
          <cell r="R195">
            <v>0.88888888888888884</v>
          </cell>
          <cell r="S195">
            <v>0.11111111111111116</v>
          </cell>
          <cell r="T195">
            <v>0</v>
          </cell>
        </row>
        <row r="196">
          <cell r="Q196">
            <v>346</v>
          </cell>
          <cell r="R196">
            <v>0.88888888888888884</v>
          </cell>
          <cell r="S196">
            <v>0.11111111111111116</v>
          </cell>
          <cell r="T196">
            <v>0</v>
          </cell>
        </row>
        <row r="197">
          <cell r="Q197">
            <v>345</v>
          </cell>
          <cell r="R197">
            <v>0.88888888888888884</v>
          </cell>
          <cell r="S197">
            <v>0.11111111111111116</v>
          </cell>
          <cell r="T197">
            <v>0</v>
          </cell>
        </row>
        <row r="198">
          <cell r="Q198">
            <v>344</v>
          </cell>
          <cell r="R198">
            <v>0.88888888888888884</v>
          </cell>
          <cell r="S198">
            <v>0.11111111111111116</v>
          </cell>
          <cell r="T198">
            <v>0</v>
          </cell>
        </row>
        <row r="199">
          <cell r="Q199">
            <v>343</v>
          </cell>
          <cell r="R199">
            <v>0.88888888888888884</v>
          </cell>
          <cell r="S199">
            <v>0.11111111111111116</v>
          </cell>
          <cell r="T199">
            <v>0</v>
          </cell>
        </row>
        <row r="200">
          <cell r="Q200">
            <v>342</v>
          </cell>
          <cell r="R200">
            <v>0.88888888888888884</v>
          </cell>
          <cell r="S200">
            <v>0.11111111111111116</v>
          </cell>
          <cell r="T200">
            <v>0</v>
          </cell>
        </row>
        <row r="201">
          <cell r="Q201">
            <v>341</v>
          </cell>
          <cell r="R201">
            <v>0.88888888888888884</v>
          </cell>
          <cell r="S201">
            <v>0.11111111111111116</v>
          </cell>
          <cell r="T201">
            <v>0</v>
          </cell>
        </row>
        <row r="202">
          <cell r="Q202">
            <v>340</v>
          </cell>
          <cell r="R202">
            <v>0.88888888888888884</v>
          </cell>
          <cell r="S202">
            <v>0.11111111111111116</v>
          </cell>
          <cell r="T202">
            <v>0</v>
          </cell>
        </row>
        <row r="203">
          <cell r="Q203">
            <v>339</v>
          </cell>
          <cell r="R203">
            <v>0.88888888888888884</v>
          </cell>
          <cell r="S203">
            <v>0.11111111111111116</v>
          </cell>
          <cell r="T203">
            <v>0</v>
          </cell>
        </row>
        <row r="204">
          <cell r="Q204">
            <v>338</v>
          </cell>
          <cell r="R204">
            <v>0.88888888888888884</v>
          </cell>
          <cell r="S204">
            <v>0.11111111111111116</v>
          </cell>
          <cell r="T204">
            <v>0</v>
          </cell>
        </row>
        <row r="205">
          <cell r="Q205">
            <v>337</v>
          </cell>
          <cell r="R205">
            <v>0.88888888888888884</v>
          </cell>
          <cell r="S205">
            <v>0.11111111111111116</v>
          </cell>
          <cell r="T205">
            <v>0</v>
          </cell>
        </row>
        <row r="206">
          <cell r="Q206">
            <v>336</v>
          </cell>
          <cell r="R206">
            <v>0.88888888888888884</v>
          </cell>
          <cell r="S206">
            <v>0.11111111111111116</v>
          </cell>
          <cell r="T206">
            <v>0</v>
          </cell>
        </row>
        <row r="207">
          <cell r="Q207">
            <v>335</v>
          </cell>
          <cell r="R207">
            <v>0.88888888888888884</v>
          </cell>
          <cell r="S207">
            <v>0.11111111111111116</v>
          </cell>
          <cell r="T207">
            <v>0</v>
          </cell>
        </row>
        <row r="208">
          <cell r="Q208">
            <v>334</v>
          </cell>
          <cell r="R208">
            <v>0.88888888888888884</v>
          </cell>
          <cell r="S208">
            <v>0.11111111111111116</v>
          </cell>
          <cell r="T208">
            <v>0</v>
          </cell>
        </row>
        <row r="209">
          <cell r="Q209">
            <v>333</v>
          </cell>
          <cell r="R209">
            <v>0.88888888888888884</v>
          </cell>
          <cell r="S209">
            <v>0.11111111111111116</v>
          </cell>
          <cell r="T209">
            <v>0</v>
          </cell>
        </row>
        <row r="210">
          <cell r="Q210">
            <v>332</v>
          </cell>
          <cell r="R210">
            <v>0.88888888888888884</v>
          </cell>
          <cell r="S210">
            <v>0.11111111111111116</v>
          </cell>
          <cell r="T210">
            <v>0</v>
          </cell>
        </row>
        <row r="211">
          <cell r="Q211">
            <v>331</v>
          </cell>
          <cell r="R211">
            <v>0.88888888888888884</v>
          </cell>
          <cell r="S211">
            <v>0.11111111111111116</v>
          </cell>
          <cell r="T211">
            <v>0</v>
          </cell>
        </row>
        <row r="212">
          <cell r="Q212">
            <v>330</v>
          </cell>
          <cell r="R212">
            <v>0.88888888888888884</v>
          </cell>
          <cell r="S212">
            <v>0.11111111111111116</v>
          </cell>
          <cell r="T212">
            <v>0</v>
          </cell>
        </row>
        <row r="213">
          <cell r="Q213">
            <v>329</v>
          </cell>
          <cell r="R213">
            <v>0.88888888888888884</v>
          </cell>
          <cell r="S213">
            <v>0.11111111111111116</v>
          </cell>
          <cell r="T213">
            <v>0</v>
          </cell>
        </row>
        <row r="214">
          <cell r="Q214">
            <v>328</v>
          </cell>
          <cell r="R214">
            <v>0.88888888888888884</v>
          </cell>
          <cell r="S214">
            <v>0.11111111111111116</v>
          </cell>
          <cell r="T214">
            <v>0</v>
          </cell>
        </row>
        <row r="215">
          <cell r="Q215">
            <v>327</v>
          </cell>
          <cell r="R215">
            <v>0.88888888888888884</v>
          </cell>
          <cell r="S215">
            <v>0.11111111111111116</v>
          </cell>
          <cell r="T215">
            <v>0</v>
          </cell>
        </row>
        <row r="216">
          <cell r="Q216">
            <v>326</v>
          </cell>
          <cell r="R216">
            <v>0.88888888888888884</v>
          </cell>
          <cell r="S216">
            <v>0.11111111111111116</v>
          </cell>
          <cell r="T216">
            <v>0</v>
          </cell>
        </row>
        <row r="217">
          <cell r="Q217">
            <v>325</v>
          </cell>
          <cell r="R217">
            <v>0.88888888888888884</v>
          </cell>
          <cell r="S217">
            <v>0.11111111111111116</v>
          </cell>
          <cell r="T217">
            <v>0</v>
          </cell>
        </row>
        <row r="218">
          <cell r="Q218">
            <v>324</v>
          </cell>
          <cell r="R218">
            <v>0.88888888888888884</v>
          </cell>
          <cell r="S218">
            <v>0.11111111111111116</v>
          </cell>
          <cell r="T218">
            <v>0</v>
          </cell>
        </row>
        <row r="219">
          <cell r="Q219">
            <v>323</v>
          </cell>
          <cell r="R219">
            <v>0.88888888888888884</v>
          </cell>
          <cell r="S219">
            <v>0.11111111111111116</v>
          </cell>
          <cell r="T219">
            <v>0</v>
          </cell>
        </row>
        <row r="220">
          <cell r="Q220">
            <v>322</v>
          </cell>
          <cell r="R220">
            <v>0.88888888888888884</v>
          </cell>
          <cell r="S220">
            <v>0.11111111111111116</v>
          </cell>
          <cell r="T220">
            <v>0</v>
          </cell>
        </row>
        <row r="221">
          <cell r="Q221">
            <v>321</v>
          </cell>
          <cell r="R221">
            <v>0.88888888888888884</v>
          </cell>
          <cell r="S221">
            <v>0.11111111111111116</v>
          </cell>
          <cell r="T221">
            <v>0</v>
          </cell>
        </row>
        <row r="222">
          <cell r="Q222">
            <v>320</v>
          </cell>
          <cell r="R222">
            <v>0.88888888888888884</v>
          </cell>
          <cell r="S222">
            <v>0.11111111111111116</v>
          </cell>
          <cell r="T222">
            <v>0</v>
          </cell>
        </row>
        <row r="223">
          <cell r="Q223">
            <v>319</v>
          </cell>
          <cell r="R223">
            <v>0.88888888888888884</v>
          </cell>
          <cell r="S223">
            <v>0.11111111111111116</v>
          </cell>
          <cell r="T223">
            <v>0</v>
          </cell>
        </row>
        <row r="224">
          <cell r="Q224">
            <v>318</v>
          </cell>
          <cell r="R224">
            <v>0.88888888888888884</v>
          </cell>
          <cell r="S224">
            <v>0.11111111111111116</v>
          </cell>
          <cell r="T224">
            <v>0</v>
          </cell>
        </row>
        <row r="225">
          <cell r="Q225">
            <v>317</v>
          </cell>
          <cell r="R225">
            <v>0.88888888888888884</v>
          </cell>
          <cell r="S225">
            <v>0.11111111111111116</v>
          </cell>
          <cell r="T225">
            <v>0</v>
          </cell>
        </row>
        <row r="226">
          <cell r="Q226">
            <v>316</v>
          </cell>
          <cell r="R226">
            <v>0.88888888888888884</v>
          </cell>
          <cell r="S226">
            <v>0.11111111111111116</v>
          </cell>
          <cell r="T226">
            <v>0</v>
          </cell>
        </row>
        <row r="227">
          <cell r="Q227">
            <v>315</v>
          </cell>
          <cell r="R227">
            <v>0.88888888888888884</v>
          </cell>
          <cell r="S227">
            <v>0.11111111111111116</v>
          </cell>
          <cell r="T227">
            <v>0</v>
          </cell>
        </row>
        <row r="228">
          <cell r="Q228">
            <v>314</v>
          </cell>
          <cell r="R228">
            <v>0.88888888888888884</v>
          </cell>
          <cell r="S228">
            <v>0.11111111111111116</v>
          </cell>
          <cell r="T228">
            <v>0</v>
          </cell>
        </row>
        <row r="229">
          <cell r="Q229">
            <v>313</v>
          </cell>
          <cell r="R229">
            <v>0.88888888888888884</v>
          </cell>
          <cell r="S229">
            <v>0.11111111111111116</v>
          </cell>
          <cell r="T229">
            <v>0</v>
          </cell>
        </row>
        <row r="230">
          <cell r="Q230">
            <v>312</v>
          </cell>
          <cell r="R230">
            <v>0.88888888888888884</v>
          </cell>
          <cell r="S230">
            <v>0.11111111111111116</v>
          </cell>
          <cell r="T230">
            <v>0</v>
          </cell>
        </row>
        <row r="231">
          <cell r="Q231">
            <v>311</v>
          </cell>
          <cell r="R231">
            <v>0.88888888888888884</v>
          </cell>
          <cell r="S231">
            <v>0.11111111111111116</v>
          </cell>
          <cell r="T231">
            <v>0</v>
          </cell>
        </row>
        <row r="232">
          <cell r="Q232">
            <v>310</v>
          </cell>
          <cell r="R232">
            <v>0.88888888888888884</v>
          </cell>
          <cell r="S232">
            <v>0.11111111111111116</v>
          </cell>
          <cell r="T232">
            <v>0</v>
          </cell>
        </row>
        <row r="233">
          <cell r="Q233">
            <v>309</v>
          </cell>
          <cell r="R233">
            <v>0.88888888888888884</v>
          </cell>
          <cell r="S233">
            <v>0.11111111111111116</v>
          </cell>
          <cell r="T233">
            <v>0</v>
          </cell>
        </row>
        <row r="234">
          <cell r="Q234">
            <v>308</v>
          </cell>
          <cell r="R234">
            <v>0.88888888888888884</v>
          </cell>
          <cell r="S234">
            <v>0.11111111111111116</v>
          </cell>
          <cell r="T234">
            <v>0</v>
          </cell>
        </row>
        <row r="235">
          <cell r="Q235">
            <v>307</v>
          </cell>
          <cell r="R235">
            <v>0.88888888888888884</v>
          </cell>
          <cell r="S235">
            <v>0.11111111111111116</v>
          </cell>
          <cell r="T235">
            <v>0</v>
          </cell>
        </row>
        <row r="236">
          <cell r="Q236">
            <v>306</v>
          </cell>
          <cell r="R236">
            <v>0.88888888888888884</v>
          </cell>
          <cell r="S236">
            <v>0.11111111111111116</v>
          </cell>
          <cell r="T236">
            <v>0</v>
          </cell>
        </row>
        <row r="237">
          <cell r="Q237">
            <v>305</v>
          </cell>
          <cell r="R237">
            <v>0.88888888888888884</v>
          </cell>
          <cell r="S237">
            <v>0.11111111111111116</v>
          </cell>
          <cell r="T237">
            <v>0</v>
          </cell>
        </row>
        <row r="238">
          <cell r="Q238">
            <v>304</v>
          </cell>
          <cell r="R238">
            <v>0.88888888888888884</v>
          </cell>
          <cell r="S238">
            <v>0.11111111111111116</v>
          </cell>
          <cell r="T238">
            <v>0</v>
          </cell>
        </row>
        <row r="239">
          <cell r="Q239">
            <v>303</v>
          </cell>
          <cell r="R239">
            <v>0.88888888888888884</v>
          </cell>
          <cell r="S239">
            <v>0.11111111111111116</v>
          </cell>
          <cell r="T239">
            <v>0</v>
          </cell>
        </row>
        <row r="240">
          <cell r="Q240">
            <v>302</v>
          </cell>
          <cell r="R240">
            <v>0.88888888888888884</v>
          </cell>
          <cell r="S240">
            <v>0.11111111111111116</v>
          </cell>
          <cell r="T240">
            <v>0</v>
          </cell>
        </row>
        <row r="241">
          <cell r="Q241">
            <v>301</v>
          </cell>
          <cell r="R241">
            <v>0.88888888888888884</v>
          </cell>
          <cell r="S241">
            <v>0.11111111111111116</v>
          </cell>
          <cell r="T241">
            <v>0</v>
          </cell>
        </row>
        <row r="242">
          <cell r="Q242">
            <v>300</v>
          </cell>
          <cell r="R242">
            <v>0.88888888888888884</v>
          </cell>
          <cell r="S242">
            <v>0.11111111111111116</v>
          </cell>
          <cell r="T242">
            <v>0</v>
          </cell>
        </row>
        <row r="243">
          <cell r="Q243">
            <v>299</v>
          </cell>
          <cell r="R243">
            <v>0.88888888888888884</v>
          </cell>
          <cell r="S243">
            <v>0.11111111111111116</v>
          </cell>
          <cell r="T243">
            <v>0</v>
          </cell>
        </row>
        <row r="244">
          <cell r="Q244">
            <v>298</v>
          </cell>
          <cell r="R244">
            <v>0.88888888888888884</v>
          </cell>
          <cell r="S244">
            <v>0.11111111111111116</v>
          </cell>
          <cell r="T244">
            <v>0</v>
          </cell>
        </row>
        <row r="245">
          <cell r="Q245">
            <v>297</v>
          </cell>
          <cell r="R245">
            <v>0.88888888888888884</v>
          </cell>
          <cell r="S245">
            <v>0.11111111111111116</v>
          </cell>
          <cell r="T245">
            <v>0</v>
          </cell>
        </row>
        <row r="246">
          <cell r="Q246">
            <v>296</v>
          </cell>
          <cell r="R246">
            <v>0.88888888888888884</v>
          </cell>
          <cell r="S246">
            <v>0.11111111111111116</v>
          </cell>
          <cell r="T246">
            <v>0</v>
          </cell>
        </row>
        <row r="247">
          <cell r="Q247">
            <v>295</v>
          </cell>
          <cell r="R247">
            <v>0.88888888888888884</v>
          </cell>
          <cell r="S247">
            <v>0.11111111111111116</v>
          </cell>
          <cell r="T247">
            <v>0</v>
          </cell>
        </row>
        <row r="248">
          <cell r="Q248">
            <v>294</v>
          </cell>
          <cell r="R248">
            <v>0.88888888888888884</v>
          </cell>
          <cell r="S248">
            <v>0.11111111111111116</v>
          </cell>
          <cell r="T248">
            <v>0</v>
          </cell>
        </row>
        <row r="249">
          <cell r="Q249">
            <v>293</v>
          </cell>
          <cell r="R249">
            <v>0.88888888888888884</v>
          </cell>
          <cell r="S249">
            <v>0.11111111111111116</v>
          </cell>
          <cell r="T249">
            <v>0</v>
          </cell>
        </row>
        <row r="250">
          <cell r="Q250">
            <v>292</v>
          </cell>
          <cell r="R250">
            <v>0.88888888888888884</v>
          </cell>
          <cell r="S250">
            <v>0.11111111111111116</v>
          </cell>
          <cell r="T250">
            <v>0</v>
          </cell>
        </row>
        <row r="251">
          <cell r="Q251">
            <v>291</v>
          </cell>
          <cell r="R251">
            <v>0.88888888888888884</v>
          </cell>
          <cell r="S251">
            <v>0.11111111111111116</v>
          </cell>
          <cell r="T251">
            <v>0</v>
          </cell>
        </row>
        <row r="252">
          <cell r="Q252">
            <v>290</v>
          </cell>
          <cell r="R252">
            <v>0.88888888888888884</v>
          </cell>
          <cell r="S252">
            <v>0.11111111111111116</v>
          </cell>
          <cell r="T252">
            <v>0</v>
          </cell>
        </row>
        <row r="253">
          <cell r="Q253">
            <v>289</v>
          </cell>
          <cell r="R253">
            <v>0.88888888888888884</v>
          </cell>
          <cell r="S253">
            <v>0.11111111111111116</v>
          </cell>
          <cell r="T253">
            <v>0</v>
          </cell>
        </row>
        <row r="254">
          <cell r="Q254">
            <v>288</v>
          </cell>
          <cell r="R254">
            <v>0.88888888888888884</v>
          </cell>
          <cell r="S254">
            <v>0.11111111111111116</v>
          </cell>
          <cell r="T254">
            <v>0</v>
          </cell>
        </row>
        <row r="255">
          <cell r="Q255">
            <v>287</v>
          </cell>
          <cell r="R255">
            <v>0.88888888888888884</v>
          </cell>
          <cell r="S255">
            <v>0.11111111111111116</v>
          </cell>
          <cell r="T255">
            <v>0</v>
          </cell>
        </row>
        <row r="256">
          <cell r="Q256">
            <v>286</v>
          </cell>
          <cell r="R256">
            <v>0.88888888888888884</v>
          </cell>
          <cell r="S256">
            <v>0.11111111111111116</v>
          </cell>
          <cell r="T256">
            <v>0</v>
          </cell>
        </row>
        <row r="257">
          <cell r="Q257">
            <v>285</v>
          </cell>
          <cell r="R257">
            <v>0.88888888888888884</v>
          </cell>
          <cell r="S257">
            <v>0.11111111111111116</v>
          </cell>
          <cell r="T257">
            <v>0</v>
          </cell>
        </row>
        <row r="258">
          <cell r="Q258">
            <v>284</v>
          </cell>
          <cell r="R258">
            <v>0.88888888888888884</v>
          </cell>
          <cell r="S258">
            <v>0.11111111111111116</v>
          </cell>
          <cell r="T258">
            <v>0</v>
          </cell>
        </row>
        <row r="259">
          <cell r="Q259">
            <v>283</v>
          </cell>
          <cell r="R259">
            <v>0.88888888888888884</v>
          </cell>
          <cell r="S259">
            <v>0.11111111111111116</v>
          </cell>
          <cell r="T259">
            <v>0</v>
          </cell>
        </row>
        <row r="260">
          <cell r="Q260">
            <v>282</v>
          </cell>
          <cell r="R260">
            <v>0.88888888888888884</v>
          </cell>
          <cell r="S260">
            <v>0.11111111111111116</v>
          </cell>
          <cell r="T260">
            <v>0</v>
          </cell>
        </row>
        <row r="261">
          <cell r="Q261">
            <v>281</v>
          </cell>
          <cell r="R261">
            <v>0.88888888888888884</v>
          </cell>
          <cell r="S261">
            <v>0.11111111111111116</v>
          </cell>
          <cell r="T261">
            <v>0</v>
          </cell>
        </row>
        <row r="262">
          <cell r="Q262">
            <v>280</v>
          </cell>
          <cell r="R262">
            <v>0.88888888888888884</v>
          </cell>
          <cell r="S262">
            <v>0.11111111111111116</v>
          </cell>
          <cell r="T262">
            <v>0</v>
          </cell>
        </row>
        <row r="263">
          <cell r="Q263">
            <v>279</v>
          </cell>
          <cell r="R263">
            <v>0.88888888888888884</v>
          </cell>
          <cell r="S263">
            <v>0.11111111111111116</v>
          </cell>
          <cell r="T263">
            <v>0</v>
          </cell>
        </row>
        <row r="264">
          <cell r="Q264">
            <v>278</v>
          </cell>
          <cell r="R264">
            <v>0.88888888888888884</v>
          </cell>
          <cell r="S264">
            <v>0.11111111111111116</v>
          </cell>
          <cell r="T264">
            <v>0</v>
          </cell>
        </row>
        <row r="265">
          <cell r="Q265">
            <v>277</v>
          </cell>
          <cell r="R265">
            <v>0.88888888888888884</v>
          </cell>
          <cell r="S265">
            <v>0.11111111111111116</v>
          </cell>
          <cell r="T265">
            <v>0</v>
          </cell>
        </row>
        <row r="266">
          <cell r="Q266">
            <v>276</v>
          </cell>
          <cell r="R266">
            <v>0.88888888888888884</v>
          </cell>
          <cell r="S266">
            <v>0.11111111111111116</v>
          </cell>
          <cell r="T266">
            <v>0</v>
          </cell>
        </row>
        <row r="267">
          <cell r="Q267">
            <v>275</v>
          </cell>
          <cell r="R267">
            <v>0.88888888888888884</v>
          </cell>
          <cell r="S267">
            <v>0.11111111111111116</v>
          </cell>
          <cell r="T267">
            <v>0</v>
          </cell>
        </row>
        <row r="268">
          <cell r="Q268">
            <v>274</v>
          </cell>
          <cell r="R268">
            <v>0.88888888888888884</v>
          </cell>
          <cell r="S268">
            <v>0.11111111111111116</v>
          </cell>
          <cell r="T268">
            <v>0</v>
          </cell>
        </row>
        <row r="269">
          <cell r="Q269">
            <v>273</v>
          </cell>
          <cell r="R269">
            <v>0.88888888888888884</v>
          </cell>
          <cell r="S269">
            <v>0.11111111111111116</v>
          </cell>
          <cell r="T269">
            <v>0</v>
          </cell>
        </row>
        <row r="270">
          <cell r="Q270">
            <v>272</v>
          </cell>
          <cell r="R270">
            <v>0.88888888888888884</v>
          </cell>
          <cell r="S270">
            <v>0.11111111111111116</v>
          </cell>
          <cell r="T270">
            <v>0</v>
          </cell>
        </row>
        <row r="271">
          <cell r="Q271">
            <v>271</v>
          </cell>
          <cell r="R271">
            <v>0.88888888888888884</v>
          </cell>
          <cell r="S271">
            <v>0.11111111111111116</v>
          </cell>
          <cell r="T271">
            <v>0</v>
          </cell>
        </row>
        <row r="272">
          <cell r="Q272">
            <v>270</v>
          </cell>
          <cell r="R272">
            <v>0.88888888888888884</v>
          </cell>
          <cell r="S272">
            <v>0.11111111111111116</v>
          </cell>
          <cell r="T272">
            <v>0</v>
          </cell>
        </row>
        <row r="273">
          <cell r="Q273">
            <v>269</v>
          </cell>
          <cell r="R273">
            <v>0.88888888888888884</v>
          </cell>
          <cell r="S273">
            <v>0.11111111111111116</v>
          </cell>
          <cell r="T273">
            <v>0</v>
          </cell>
        </row>
        <row r="274">
          <cell r="Q274">
            <v>268</v>
          </cell>
          <cell r="R274">
            <v>0.88888888888888884</v>
          </cell>
          <cell r="S274">
            <v>0.11111111111111116</v>
          </cell>
          <cell r="T274">
            <v>0</v>
          </cell>
        </row>
        <row r="275">
          <cell r="Q275">
            <v>267</v>
          </cell>
          <cell r="R275">
            <v>0.88888888888888884</v>
          </cell>
          <cell r="S275">
            <v>0.11111111111111116</v>
          </cell>
          <cell r="T275">
            <v>0</v>
          </cell>
        </row>
        <row r="276">
          <cell r="Q276">
            <v>266</v>
          </cell>
          <cell r="R276">
            <v>0.88888888888888884</v>
          </cell>
          <cell r="S276">
            <v>0.11111111111111116</v>
          </cell>
          <cell r="T276">
            <v>0</v>
          </cell>
        </row>
        <row r="277">
          <cell r="Q277">
            <v>265</v>
          </cell>
          <cell r="R277">
            <v>0.88888888888888884</v>
          </cell>
          <cell r="S277">
            <v>0.11111111111111116</v>
          </cell>
          <cell r="T277">
            <v>0</v>
          </cell>
        </row>
        <row r="278">
          <cell r="Q278">
            <v>264</v>
          </cell>
          <cell r="R278">
            <v>0.88888888888888884</v>
          </cell>
          <cell r="S278">
            <v>0.11111111111111116</v>
          </cell>
          <cell r="T278">
            <v>0</v>
          </cell>
        </row>
        <row r="279">
          <cell r="Q279">
            <v>263</v>
          </cell>
          <cell r="R279">
            <v>0.88888888888888884</v>
          </cell>
          <cell r="S279">
            <v>0.11111111111111116</v>
          </cell>
          <cell r="T279">
            <v>0</v>
          </cell>
        </row>
        <row r="280">
          <cell r="Q280">
            <v>262</v>
          </cell>
          <cell r="R280">
            <v>0.88888888888888884</v>
          </cell>
          <cell r="S280">
            <v>0.11111111111111116</v>
          </cell>
          <cell r="T280">
            <v>0</v>
          </cell>
        </row>
        <row r="281">
          <cell r="Q281">
            <v>261</v>
          </cell>
          <cell r="R281">
            <v>0.88888888888888884</v>
          </cell>
          <cell r="S281">
            <v>0.11111111111111116</v>
          </cell>
          <cell r="T281">
            <v>0</v>
          </cell>
        </row>
        <row r="282">
          <cell r="Q282">
            <v>260</v>
          </cell>
          <cell r="R282">
            <v>0.88888888888888884</v>
          </cell>
          <cell r="S282">
            <v>0.11111111111111116</v>
          </cell>
          <cell r="T282">
            <v>0</v>
          </cell>
        </row>
        <row r="283">
          <cell r="Q283">
            <v>259</v>
          </cell>
          <cell r="R283">
            <v>0.88888888888888884</v>
          </cell>
          <cell r="S283">
            <v>0.11111111111111116</v>
          </cell>
          <cell r="T283">
            <v>0</v>
          </cell>
        </row>
        <row r="284">
          <cell r="Q284">
            <v>258</v>
          </cell>
          <cell r="R284">
            <v>0.88888888888888884</v>
          </cell>
          <cell r="S284">
            <v>0.11111111111111116</v>
          </cell>
          <cell r="T284">
            <v>0</v>
          </cell>
        </row>
        <row r="285">
          <cell r="Q285">
            <v>257</v>
          </cell>
          <cell r="R285">
            <v>0.88888888888888884</v>
          </cell>
          <cell r="S285">
            <v>0.11111111111111116</v>
          </cell>
          <cell r="T285">
            <v>0</v>
          </cell>
        </row>
        <row r="286">
          <cell r="Q286">
            <v>256</v>
          </cell>
          <cell r="R286">
            <v>0.88888888888888884</v>
          </cell>
          <cell r="S286">
            <v>0.11111111111111116</v>
          </cell>
          <cell r="T286">
            <v>0</v>
          </cell>
        </row>
        <row r="287">
          <cell r="Q287">
            <v>255</v>
          </cell>
          <cell r="R287">
            <v>0.88888888888888884</v>
          </cell>
          <cell r="S287">
            <v>0.11111111111111116</v>
          </cell>
          <cell r="T287">
            <v>0</v>
          </cell>
        </row>
        <row r="288">
          <cell r="Q288">
            <v>254</v>
          </cell>
          <cell r="R288">
            <v>0.88888888888888884</v>
          </cell>
          <cell r="S288">
            <v>0.11111111111111116</v>
          </cell>
          <cell r="T288">
            <v>0</v>
          </cell>
        </row>
        <row r="289">
          <cell r="Q289">
            <v>253</v>
          </cell>
          <cell r="R289">
            <v>0.88888888888888884</v>
          </cell>
          <cell r="S289">
            <v>0.11111111111111116</v>
          </cell>
          <cell r="T289">
            <v>0</v>
          </cell>
        </row>
        <row r="290">
          <cell r="Q290">
            <v>252</v>
          </cell>
          <cell r="R290">
            <v>0.88888888888888884</v>
          </cell>
          <cell r="S290">
            <v>0.11111111111111116</v>
          </cell>
          <cell r="T290">
            <v>0</v>
          </cell>
        </row>
        <row r="291">
          <cell r="Q291">
            <v>251</v>
          </cell>
          <cell r="R291">
            <v>0.88888888888888884</v>
          </cell>
          <cell r="S291">
            <v>0.11111111111111116</v>
          </cell>
          <cell r="T291">
            <v>0</v>
          </cell>
        </row>
        <row r="292">
          <cell r="Q292">
            <v>250</v>
          </cell>
          <cell r="R292">
            <v>0.88888888888888884</v>
          </cell>
          <cell r="S292">
            <v>0.11111111111111116</v>
          </cell>
          <cell r="T292">
            <v>0</v>
          </cell>
        </row>
        <row r="293">
          <cell r="Q293">
            <v>249</v>
          </cell>
          <cell r="R293">
            <v>0.88888888888888884</v>
          </cell>
          <cell r="S293">
            <v>0.11111111111111116</v>
          </cell>
          <cell r="T293">
            <v>0</v>
          </cell>
        </row>
        <row r="294">
          <cell r="Q294">
            <v>248</v>
          </cell>
          <cell r="R294">
            <v>0.88888888888888884</v>
          </cell>
          <cell r="S294">
            <v>0.11111111111111116</v>
          </cell>
          <cell r="T294">
            <v>0</v>
          </cell>
        </row>
        <row r="295">
          <cell r="Q295">
            <v>247</v>
          </cell>
          <cell r="R295">
            <v>0.88888888888888884</v>
          </cell>
          <cell r="S295">
            <v>0.11111111111111116</v>
          </cell>
          <cell r="T295">
            <v>0</v>
          </cell>
        </row>
        <row r="296">
          <cell r="Q296">
            <v>246</v>
          </cell>
          <cell r="R296">
            <v>0.88888888888888884</v>
          </cell>
          <cell r="S296">
            <v>0.11111111111111116</v>
          </cell>
          <cell r="T296">
            <v>0</v>
          </cell>
        </row>
        <row r="297">
          <cell r="Q297">
            <v>245</v>
          </cell>
          <cell r="R297">
            <v>0.88888888888888884</v>
          </cell>
          <cell r="S297">
            <v>0.11111111111111116</v>
          </cell>
          <cell r="T297">
            <v>0</v>
          </cell>
        </row>
        <row r="298">
          <cell r="Q298">
            <v>244</v>
          </cell>
          <cell r="R298">
            <v>0.88888888888888884</v>
          </cell>
          <cell r="S298">
            <v>0.11111111111111116</v>
          </cell>
          <cell r="T298">
            <v>0</v>
          </cell>
        </row>
        <row r="299">
          <cell r="Q299">
            <v>243</v>
          </cell>
          <cell r="R299">
            <v>0.88888888888888884</v>
          </cell>
          <cell r="S299">
            <v>0.11111111111111116</v>
          </cell>
          <cell r="T299">
            <v>0</v>
          </cell>
        </row>
        <row r="300">
          <cell r="Q300">
            <v>242</v>
          </cell>
          <cell r="R300">
            <v>0.88888888888888884</v>
          </cell>
          <cell r="S300">
            <v>0.11111111111111116</v>
          </cell>
          <cell r="T300">
            <v>0</v>
          </cell>
        </row>
        <row r="301">
          <cell r="Q301">
            <v>241</v>
          </cell>
          <cell r="R301">
            <v>0.88888888888888884</v>
          </cell>
          <cell r="S301">
            <v>0.11111111111111116</v>
          </cell>
          <cell r="T301">
            <v>0</v>
          </cell>
        </row>
        <row r="302">
          <cell r="Q302">
            <v>240</v>
          </cell>
          <cell r="R302">
            <v>0.88888888888888884</v>
          </cell>
          <cell r="S302">
            <v>0.11111111111111116</v>
          </cell>
          <cell r="T302">
            <v>0</v>
          </cell>
        </row>
        <row r="303">
          <cell r="Q303">
            <v>239</v>
          </cell>
          <cell r="R303">
            <v>0.88888888888888884</v>
          </cell>
          <cell r="S303">
            <v>0.11111111111111116</v>
          </cell>
          <cell r="T303">
            <v>0</v>
          </cell>
        </row>
        <row r="304">
          <cell r="Q304">
            <v>238</v>
          </cell>
          <cell r="R304">
            <v>0.88888888888888884</v>
          </cell>
          <cell r="S304">
            <v>0.11111111111111116</v>
          </cell>
          <cell r="T304">
            <v>0</v>
          </cell>
        </row>
        <row r="305">
          <cell r="Q305">
            <v>237</v>
          </cell>
          <cell r="R305">
            <v>0.88888888888888884</v>
          </cell>
          <cell r="S305">
            <v>0.11111111111111116</v>
          </cell>
          <cell r="T305">
            <v>0</v>
          </cell>
        </row>
        <row r="306">
          <cell r="Q306">
            <v>236</v>
          </cell>
          <cell r="R306">
            <v>0.88888888888888884</v>
          </cell>
          <cell r="S306">
            <v>0.11111111111111116</v>
          </cell>
          <cell r="T306">
            <v>0</v>
          </cell>
        </row>
        <row r="307">
          <cell r="Q307">
            <v>235</v>
          </cell>
          <cell r="R307">
            <v>0.88888888888888884</v>
          </cell>
          <cell r="S307">
            <v>0.11111111111111116</v>
          </cell>
          <cell r="T307">
            <v>0</v>
          </cell>
        </row>
        <row r="308">
          <cell r="Q308">
            <v>234</v>
          </cell>
          <cell r="R308">
            <v>0.88888888888888884</v>
          </cell>
          <cell r="S308">
            <v>0.11111111111111116</v>
          </cell>
          <cell r="T308">
            <v>0</v>
          </cell>
        </row>
        <row r="309">
          <cell r="Q309">
            <v>233</v>
          </cell>
          <cell r="R309">
            <v>0.88888888888888884</v>
          </cell>
          <cell r="S309">
            <v>0.11111111111111116</v>
          </cell>
          <cell r="T309">
            <v>0</v>
          </cell>
        </row>
        <row r="310">
          <cell r="Q310">
            <v>232</v>
          </cell>
          <cell r="R310">
            <v>0.88888888888888884</v>
          </cell>
          <cell r="S310">
            <v>0.11111111111111116</v>
          </cell>
          <cell r="T310">
            <v>0</v>
          </cell>
        </row>
        <row r="311">
          <cell r="Q311">
            <v>231</v>
          </cell>
          <cell r="R311">
            <v>0.88888888888888884</v>
          </cell>
          <cell r="S311">
            <v>0.11111111111111116</v>
          </cell>
          <cell r="T311">
            <v>0</v>
          </cell>
        </row>
        <row r="312">
          <cell r="Q312">
            <v>230</v>
          </cell>
          <cell r="R312">
            <v>0.88888888888888884</v>
          </cell>
          <cell r="S312">
            <v>0.11111111111111116</v>
          </cell>
          <cell r="T312">
            <v>0</v>
          </cell>
        </row>
        <row r="313">
          <cell r="Q313">
            <v>229</v>
          </cell>
          <cell r="R313">
            <v>0.88888888888888884</v>
          </cell>
          <cell r="S313">
            <v>0.11111111111111116</v>
          </cell>
          <cell r="T313">
            <v>0</v>
          </cell>
        </row>
        <row r="314">
          <cell r="Q314">
            <v>228</v>
          </cell>
          <cell r="R314">
            <v>0.88888888888888884</v>
          </cell>
          <cell r="S314">
            <v>0.11111111111111116</v>
          </cell>
          <cell r="T314">
            <v>0</v>
          </cell>
        </row>
        <row r="315">
          <cell r="Q315">
            <v>227</v>
          </cell>
          <cell r="R315">
            <v>0.88888888888888884</v>
          </cell>
          <cell r="S315">
            <v>0.11111111111111116</v>
          </cell>
          <cell r="T315">
            <v>0</v>
          </cell>
        </row>
        <row r="316">
          <cell r="Q316">
            <v>226</v>
          </cell>
          <cell r="R316">
            <v>0.88888888888888884</v>
          </cell>
          <cell r="S316">
            <v>0.11111111111111116</v>
          </cell>
          <cell r="T316">
            <v>0</v>
          </cell>
        </row>
        <row r="317">
          <cell r="Q317">
            <v>225</v>
          </cell>
          <cell r="R317">
            <v>0.88888888888888884</v>
          </cell>
          <cell r="S317">
            <v>0.11111111111111116</v>
          </cell>
          <cell r="T317">
            <v>0</v>
          </cell>
        </row>
        <row r="318">
          <cell r="Q318">
            <v>224</v>
          </cell>
          <cell r="R318">
            <v>0.88888888888888884</v>
          </cell>
          <cell r="S318">
            <v>0.11111111111111116</v>
          </cell>
          <cell r="T318">
            <v>0</v>
          </cell>
        </row>
        <row r="319">
          <cell r="Q319">
            <v>223</v>
          </cell>
          <cell r="R319">
            <v>0.88888888888888884</v>
          </cell>
          <cell r="S319">
            <v>0.11111111111111116</v>
          </cell>
          <cell r="T319">
            <v>0</v>
          </cell>
        </row>
        <row r="320">
          <cell r="Q320">
            <v>222</v>
          </cell>
          <cell r="R320">
            <v>0.88888888888888884</v>
          </cell>
          <cell r="S320">
            <v>0.11111111111111116</v>
          </cell>
          <cell r="T320">
            <v>0</v>
          </cell>
        </row>
        <row r="321">
          <cell r="Q321">
            <v>221</v>
          </cell>
          <cell r="R321">
            <v>0.88888888888888884</v>
          </cell>
          <cell r="S321">
            <v>0.11111111111111116</v>
          </cell>
          <cell r="T321">
            <v>0</v>
          </cell>
        </row>
        <row r="322">
          <cell r="Q322">
            <v>220</v>
          </cell>
          <cell r="R322">
            <v>0.88888888888888884</v>
          </cell>
          <cell r="S322">
            <v>0.11111111111111116</v>
          </cell>
          <cell r="T322">
            <v>0</v>
          </cell>
        </row>
        <row r="323">
          <cell r="Q323">
            <v>219</v>
          </cell>
          <cell r="R323">
            <v>0.88888888888888884</v>
          </cell>
          <cell r="S323">
            <v>0.11111111111111116</v>
          </cell>
          <cell r="T323">
            <v>0</v>
          </cell>
        </row>
        <row r="324">
          <cell r="Q324">
            <v>218</v>
          </cell>
          <cell r="R324">
            <v>0.88888888888888884</v>
          </cell>
          <cell r="S324">
            <v>0.11111111111111116</v>
          </cell>
          <cell r="T324">
            <v>0</v>
          </cell>
        </row>
        <row r="325">
          <cell r="Q325">
            <v>217</v>
          </cell>
          <cell r="R325">
            <v>0.88888888888888884</v>
          </cell>
          <cell r="S325">
            <v>0.11111111111111116</v>
          </cell>
          <cell r="T325">
            <v>0</v>
          </cell>
        </row>
        <row r="326">
          <cell r="Q326">
            <v>216</v>
          </cell>
          <cell r="R326">
            <v>0.88888888888888884</v>
          </cell>
          <cell r="S326">
            <v>0.11111111111111116</v>
          </cell>
          <cell r="T326">
            <v>0</v>
          </cell>
        </row>
        <row r="327">
          <cell r="Q327">
            <v>215</v>
          </cell>
          <cell r="R327">
            <v>0.88888888888888884</v>
          </cell>
          <cell r="S327">
            <v>0.11111111111111116</v>
          </cell>
          <cell r="T327">
            <v>0</v>
          </cell>
        </row>
        <row r="328">
          <cell r="Q328">
            <v>214</v>
          </cell>
          <cell r="R328">
            <v>0.88888888888888884</v>
          </cell>
          <cell r="S328">
            <v>0.11111111111111116</v>
          </cell>
          <cell r="T328">
            <v>0</v>
          </cell>
        </row>
        <row r="329">
          <cell r="Q329">
            <v>213</v>
          </cell>
          <cell r="R329">
            <v>0.88888888888888884</v>
          </cell>
          <cell r="S329">
            <v>0.11111111111111116</v>
          </cell>
          <cell r="T329">
            <v>0</v>
          </cell>
        </row>
        <row r="330">
          <cell r="Q330">
            <v>212</v>
          </cell>
          <cell r="R330">
            <v>0.88888888888888884</v>
          </cell>
          <cell r="S330">
            <v>0.11111111111111116</v>
          </cell>
          <cell r="T330">
            <v>0</v>
          </cell>
        </row>
        <row r="331">
          <cell r="Q331">
            <v>211</v>
          </cell>
          <cell r="R331">
            <v>0.88888888888888884</v>
          </cell>
          <cell r="S331">
            <v>0.11111111111111116</v>
          </cell>
          <cell r="T331">
            <v>0</v>
          </cell>
        </row>
        <row r="332">
          <cell r="Q332">
            <v>210</v>
          </cell>
          <cell r="R332">
            <v>0.88888888888888884</v>
          </cell>
          <cell r="S332">
            <v>0.11111111111111116</v>
          </cell>
          <cell r="T332">
            <v>0</v>
          </cell>
        </row>
        <row r="333">
          <cell r="Q333">
            <v>209</v>
          </cell>
          <cell r="R333">
            <v>0.88888888888888884</v>
          </cell>
          <cell r="S333">
            <v>0.11111111111111116</v>
          </cell>
          <cell r="T333">
            <v>0</v>
          </cell>
        </row>
        <row r="334">
          <cell r="Q334">
            <v>208</v>
          </cell>
          <cell r="R334">
            <v>0.88888888888888884</v>
          </cell>
          <cell r="S334">
            <v>0.11111111111111116</v>
          </cell>
          <cell r="T334">
            <v>0</v>
          </cell>
        </row>
        <row r="335">
          <cell r="Q335">
            <v>207</v>
          </cell>
          <cell r="R335">
            <v>0.88888888888888884</v>
          </cell>
          <cell r="S335">
            <v>0.11111111111111116</v>
          </cell>
          <cell r="T335">
            <v>0</v>
          </cell>
        </row>
        <row r="336">
          <cell r="Q336">
            <v>206</v>
          </cell>
          <cell r="R336">
            <v>0.88888888888888884</v>
          </cell>
          <cell r="S336">
            <v>0.11111111111111116</v>
          </cell>
          <cell r="T336">
            <v>0</v>
          </cell>
        </row>
        <row r="337">
          <cell r="Q337">
            <v>205</v>
          </cell>
          <cell r="R337">
            <v>0.88888888888888884</v>
          </cell>
          <cell r="S337">
            <v>0.11111111111111116</v>
          </cell>
          <cell r="T337">
            <v>0</v>
          </cell>
        </row>
        <row r="338">
          <cell r="Q338">
            <v>204</v>
          </cell>
          <cell r="R338">
            <v>0.88888888888888884</v>
          </cell>
          <cell r="S338">
            <v>0.11111111111111116</v>
          </cell>
          <cell r="T338">
            <v>0</v>
          </cell>
        </row>
        <row r="339">
          <cell r="Q339">
            <v>203</v>
          </cell>
          <cell r="R339">
            <v>0.88888888888888884</v>
          </cell>
          <cell r="S339">
            <v>0.11111111111111116</v>
          </cell>
          <cell r="T339">
            <v>0</v>
          </cell>
        </row>
        <row r="340">
          <cell r="Q340">
            <v>202</v>
          </cell>
          <cell r="R340">
            <v>0.88888888888888884</v>
          </cell>
          <cell r="S340">
            <v>0.11111111111111116</v>
          </cell>
          <cell r="T340">
            <v>0</v>
          </cell>
        </row>
        <row r="341">
          <cell r="Q341">
            <v>201</v>
          </cell>
          <cell r="R341">
            <v>0.88888888888888884</v>
          </cell>
          <cell r="S341">
            <v>0.11111111111111116</v>
          </cell>
          <cell r="T341">
            <v>0</v>
          </cell>
        </row>
        <row r="342">
          <cell r="Q342">
            <v>200</v>
          </cell>
          <cell r="R342">
            <v>0.88888888888888884</v>
          </cell>
          <cell r="S342">
            <v>0.11111111111111116</v>
          </cell>
          <cell r="T342">
            <v>0</v>
          </cell>
        </row>
        <row r="343">
          <cell r="Q343">
            <v>199</v>
          </cell>
          <cell r="R343">
            <v>0.88888888888888884</v>
          </cell>
          <cell r="S343">
            <v>0.11111111111111116</v>
          </cell>
          <cell r="T343">
            <v>0</v>
          </cell>
        </row>
        <row r="344">
          <cell r="Q344">
            <v>198</v>
          </cell>
          <cell r="R344">
            <v>0.88888888888888884</v>
          </cell>
          <cell r="S344">
            <v>0.11111111111111116</v>
          </cell>
          <cell r="T344">
            <v>0</v>
          </cell>
        </row>
        <row r="345">
          <cell r="Q345">
            <v>197</v>
          </cell>
          <cell r="R345">
            <v>0.88888888888888884</v>
          </cell>
          <cell r="S345">
            <v>0.11111111111111116</v>
          </cell>
          <cell r="T345">
            <v>0</v>
          </cell>
        </row>
        <row r="346">
          <cell r="Q346">
            <v>196</v>
          </cell>
          <cell r="R346">
            <v>0.88888888888888884</v>
          </cell>
          <cell r="S346">
            <v>0.11111111111111116</v>
          </cell>
          <cell r="T346">
            <v>0</v>
          </cell>
        </row>
        <row r="347">
          <cell r="Q347">
            <v>195</v>
          </cell>
          <cell r="R347">
            <v>0.88888888888888884</v>
          </cell>
          <cell r="S347">
            <v>0.11111111111111116</v>
          </cell>
          <cell r="T347">
            <v>0</v>
          </cell>
        </row>
        <row r="348">
          <cell r="Q348">
            <v>194</v>
          </cell>
          <cell r="R348">
            <v>0.88888888888888884</v>
          </cell>
          <cell r="S348">
            <v>0.11111111111111116</v>
          </cell>
          <cell r="T348">
            <v>0</v>
          </cell>
        </row>
        <row r="349">
          <cell r="Q349">
            <v>193</v>
          </cell>
          <cell r="R349">
            <v>0.88888888888888884</v>
          </cell>
          <cell r="S349">
            <v>0.11111111111111116</v>
          </cell>
          <cell r="T349">
            <v>0</v>
          </cell>
        </row>
        <row r="350">
          <cell r="Q350">
            <v>192</v>
          </cell>
          <cell r="R350">
            <v>0.88888888888888884</v>
          </cell>
          <cell r="S350">
            <v>0.11111111111111116</v>
          </cell>
          <cell r="T350">
            <v>0</v>
          </cell>
        </row>
        <row r="351">
          <cell r="Q351">
            <v>191</v>
          </cell>
          <cell r="R351">
            <v>0.88888888888888884</v>
          </cell>
          <cell r="S351">
            <v>0.11111111111111116</v>
          </cell>
          <cell r="T351">
            <v>0</v>
          </cell>
        </row>
        <row r="352">
          <cell r="Q352">
            <v>190</v>
          </cell>
          <cell r="R352">
            <v>0.88888888888888884</v>
          </cell>
          <cell r="S352">
            <v>0.11111111111111116</v>
          </cell>
          <cell r="T352">
            <v>0</v>
          </cell>
        </row>
        <row r="353">
          <cell r="Q353">
            <v>189</v>
          </cell>
          <cell r="R353">
            <v>0.88888888888888884</v>
          </cell>
          <cell r="S353">
            <v>0.11111111111111116</v>
          </cell>
          <cell r="T353">
            <v>0</v>
          </cell>
        </row>
        <row r="354">
          <cell r="Q354">
            <v>188</v>
          </cell>
          <cell r="R354">
            <v>0.88888888888888884</v>
          </cell>
          <cell r="S354">
            <v>0.11111111111111116</v>
          </cell>
          <cell r="T354">
            <v>0</v>
          </cell>
        </row>
        <row r="355">
          <cell r="Q355">
            <v>187</v>
          </cell>
          <cell r="R355">
            <v>0.88888888888888884</v>
          </cell>
          <cell r="S355">
            <v>0.11111111111111116</v>
          </cell>
          <cell r="T355">
            <v>0</v>
          </cell>
        </row>
        <row r="356">
          <cell r="Q356">
            <v>186</v>
          </cell>
          <cell r="R356">
            <v>0.88888888888888884</v>
          </cell>
          <cell r="S356">
            <v>0.11111111111111116</v>
          </cell>
          <cell r="T356">
            <v>0</v>
          </cell>
        </row>
        <row r="357">
          <cell r="Q357">
            <v>185</v>
          </cell>
          <cell r="R357">
            <v>0.88888888888888884</v>
          </cell>
          <cell r="S357">
            <v>0.11111111111111116</v>
          </cell>
          <cell r="T357">
            <v>0</v>
          </cell>
        </row>
        <row r="358">
          <cell r="Q358">
            <v>184</v>
          </cell>
          <cell r="R358">
            <v>0.88888888888888884</v>
          </cell>
          <cell r="S358">
            <v>0.11111111111111116</v>
          </cell>
          <cell r="T358">
            <v>0</v>
          </cell>
        </row>
        <row r="359">
          <cell r="Q359">
            <v>183</v>
          </cell>
          <cell r="R359">
            <v>0.88888888888888884</v>
          </cell>
          <cell r="S359">
            <v>0.11111111111111116</v>
          </cell>
          <cell r="T359">
            <v>0</v>
          </cell>
        </row>
        <row r="360">
          <cell r="Q360">
            <v>182</v>
          </cell>
          <cell r="R360">
            <v>0.88888888888888884</v>
          </cell>
          <cell r="S360">
            <v>0.11111111111111116</v>
          </cell>
          <cell r="T360">
            <v>0</v>
          </cell>
        </row>
        <row r="361">
          <cell r="Q361">
            <v>181</v>
          </cell>
          <cell r="R361">
            <v>0.88888888888888884</v>
          </cell>
          <cell r="S361">
            <v>0.11111111111111116</v>
          </cell>
          <cell r="T361">
            <v>0</v>
          </cell>
        </row>
        <row r="362">
          <cell r="Q362">
            <v>180</v>
          </cell>
          <cell r="R362">
            <v>0.88888888888888884</v>
          </cell>
          <cell r="S362">
            <v>0.11111111111111116</v>
          </cell>
          <cell r="T362">
            <v>0</v>
          </cell>
        </row>
        <row r="363">
          <cell r="Q363">
            <v>179</v>
          </cell>
          <cell r="R363">
            <v>0.88888888888888884</v>
          </cell>
          <cell r="S363">
            <v>0.11111111111111116</v>
          </cell>
          <cell r="T363">
            <v>0</v>
          </cell>
        </row>
        <row r="364">
          <cell r="Q364">
            <v>178</v>
          </cell>
          <cell r="R364">
            <v>0.88888888888888884</v>
          </cell>
          <cell r="S364">
            <v>0.11111111111111116</v>
          </cell>
          <cell r="T364">
            <v>0</v>
          </cell>
        </row>
        <row r="365">
          <cell r="Q365">
            <v>177</v>
          </cell>
          <cell r="R365">
            <v>0.88888888888888884</v>
          </cell>
          <cell r="S365">
            <v>0.11111111111111116</v>
          </cell>
          <cell r="T365">
            <v>0</v>
          </cell>
        </row>
        <row r="366">
          <cell r="Q366">
            <v>176</v>
          </cell>
          <cell r="R366">
            <v>0.88888888888888884</v>
          </cell>
          <cell r="S366">
            <v>0.11111111111111116</v>
          </cell>
          <cell r="T366">
            <v>0</v>
          </cell>
        </row>
        <row r="367">
          <cell r="Q367">
            <v>175</v>
          </cell>
          <cell r="R367">
            <v>0.88888888888888884</v>
          </cell>
          <cell r="S367">
            <v>0.11111111111111116</v>
          </cell>
          <cell r="T367">
            <v>0</v>
          </cell>
        </row>
        <row r="368">
          <cell r="Q368">
            <v>174</v>
          </cell>
          <cell r="R368">
            <v>0.88888888888888884</v>
          </cell>
          <cell r="S368">
            <v>0.11111111111111116</v>
          </cell>
          <cell r="T368">
            <v>0</v>
          </cell>
        </row>
        <row r="369">
          <cell r="Q369">
            <v>173</v>
          </cell>
          <cell r="R369">
            <v>0.88888888888888884</v>
          </cell>
          <cell r="S369">
            <v>0.11111111111111116</v>
          </cell>
          <cell r="T369">
            <v>0</v>
          </cell>
        </row>
        <row r="370">
          <cell r="Q370">
            <v>172</v>
          </cell>
          <cell r="R370">
            <v>0.88888888888888884</v>
          </cell>
          <cell r="S370">
            <v>0.11111111111111116</v>
          </cell>
          <cell r="T370">
            <v>0</v>
          </cell>
        </row>
        <row r="371">
          <cell r="Q371">
            <v>171</v>
          </cell>
          <cell r="R371">
            <v>0.88888888888888884</v>
          </cell>
          <cell r="S371">
            <v>0.11111111111111116</v>
          </cell>
          <cell r="T371">
            <v>0</v>
          </cell>
        </row>
        <row r="372">
          <cell r="Q372">
            <v>170</v>
          </cell>
          <cell r="R372">
            <v>0.88888888888888884</v>
          </cell>
          <cell r="S372">
            <v>0.11111111111111116</v>
          </cell>
          <cell r="T372">
            <v>0</v>
          </cell>
        </row>
        <row r="373">
          <cell r="Q373">
            <v>169</v>
          </cell>
          <cell r="R373">
            <v>0.88888888888888884</v>
          </cell>
          <cell r="S373">
            <v>0.11111111111111116</v>
          </cell>
          <cell r="T373">
            <v>0</v>
          </cell>
        </row>
        <row r="374">
          <cell r="Q374">
            <v>168</v>
          </cell>
          <cell r="R374">
            <v>0.88888888888888884</v>
          </cell>
          <cell r="S374">
            <v>0.11111111111111116</v>
          </cell>
          <cell r="T374">
            <v>0</v>
          </cell>
        </row>
        <row r="375">
          <cell r="Q375">
            <v>167</v>
          </cell>
          <cell r="R375">
            <v>0.88888888888888884</v>
          </cell>
          <cell r="S375">
            <v>0.11111111111111116</v>
          </cell>
          <cell r="T375">
            <v>0</v>
          </cell>
        </row>
        <row r="376">
          <cell r="Q376">
            <v>166</v>
          </cell>
          <cell r="R376">
            <v>0.88888888888888884</v>
          </cell>
          <cell r="S376">
            <v>0.11111111111111116</v>
          </cell>
          <cell r="T376">
            <v>0</v>
          </cell>
        </row>
        <row r="377">
          <cell r="Q377">
            <v>165</v>
          </cell>
          <cell r="R377">
            <v>0.88888888888888884</v>
          </cell>
          <cell r="S377">
            <v>0.11111111111111116</v>
          </cell>
          <cell r="T377">
            <v>0</v>
          </cell>
        </row>
        <row r="378">
          <cell r="Q378">
            <v>164</v>
          </cell>
          <cell r="R378">
            <v>0.88888888888888884</v>
          </cell>
          <cell r="S378">
            <v>0.11111111111111116</v>
          </cell>
          <cell r="T378">
            <v>0</v>
          </cell>
        </row>
        <row r="379">
          <cell r="Q379">
            <v>163</v>
          </cell>
          <cell r="R379">
            <v>0.88888888888888884</v>
          </cell>
          <cell r="S379">
            <v>0.11111111111111116</v>
          </cell>
          <cell r="T379">
            <v>0</v>
          </cell>
        </row>
        <row r="380">
          <cell r="Q380">
            <v>162</v>
          </cell>
          <cell r="R380">
            <v>0.88888888888888884</v>
          </cell>
          <cell r="S380">
            <v>0.11111111111111116</v>
          </cell>
          <cell r="T380">
            <v>0</v>
          </cell>
        </row>
        <row r="381">
          <cell r="Q381">
            <v>161</v>
          </cell>
          <cell r="R381">
            <v>0.88888888888888884</v>
          </cell>
          <cell r="S381">
            <v>0.11111111111111116</v>
          </cell>
          <cell r="T381">
            <v>0</v>
          </cell>
        </row>
        <row r="382">
          <cell r="Q382">
            <v>160</v>
          </cell>
          <cell r="R382">
            <v>0.88888888888888884</v>
          </cell>
          <cell r="S382">
            <v>0.11111111111111116</v>
          </cell>
          <cell r="T382">
            <v>0</v>
          </cell>
        </row>
        <row r="383">
          <cell r="Q383">
            <v>159</v>
          </cell>
          <cell r="R383">
            <v>0.88888888888888884</v>
          </cell>
          <cell r="S383">
            <v>0.11111111111111116</v>
          </cell>
          <cell r="T383">
            <v>0</v>
          </cell>
        </row>
        <row r="384">
          <cell r="Q384">
            <v>158</v>
          </cell>
          <cell r="R384">
            <v>0.88888888888888884</v>
          </cell>
          <cell r="S384">
            <v>0.11111111111111116</v>
          </cell>
          <cell r="T384">
            <v>0</v>
          </cell>
        </row>
        <row r="385">
          <cell r="Q385">
            <v>157</v>
          </cell>
          <cell r="R385">
            <v>0.88888888888888884</v>
          </cell>
          <cell r="S385">
            <v>0.11111111111111116</v>
          </cell>
          <cell r="T385">
            <v>0</v>
          </cell>
        </row>
        <row r="386">
          <cell r="Q386">
            <v>156</v>
          </cell>
          <cell r="R386">
            <v>0.88888888888888884</v>
          </cell>
          <cell r="S386">
            <v>0.11111111111111116</v>
          </cell>
          <cell r="T386">
            <v>0</v>
          </cell>
        </row>
        <row r="387">
          <cell r="Q387">
            <v>155</v>
          </cell>
          <cell r="R387">
            <v>0.88888888888888884</v>
          </cell>
          <cell r="S387">
            <v>0.11111111111111116</v>
          </cell>
          <cell r="T387">
            <v>0</v>
          </cell>
        </row>
        <row r="388">
          <cell r="Q388">
            <v>154</v>
          </cell>
          <cell r="R388">
            <v>0.88888888888888884</v>
          </cell>
          <cell r="S388">
            <v>0.11111111111111116</v>
          </cell>
          <cell r="T388">
            <v>0</v>
          </cell>
        </row>
        <row r="389">
          <cell r="Q389">
            <v>153</v>
          </cell>
          <cell r="R389">
            <v>0.88888888888888884</v>
          </cell>
          <cell r="S389">
            <v>0.11111111111111116</v>
          </cell>
          <cell r="T389">
            <v>0</v>
          </cell>
        </row>
        <row r="390">
          <cell r="Q390">
            <v>152</v>
          </cell>
          <cell r="R390">
            <v>0.88888888888888884</v>
          </cell>
          <cell r="S390">
            <v>0.11111111111111116</v>
          </cell>
          <cell r="T390">
            <v>0</v>
          </cell>
        </row>
        <row r="391">
          <cell r="Q391">
            <v>151</v>
          </cell>
          <cell r="R391">
            <v>0.88888888888888884</v>
          </cell>
          <cell r="S391">
            <v>0.11111111111111116</v>
          </cell>
          <cell r="T391">
            <v>0</v>
          </cell>
        </row>
        <row r="392">
          <cell r="Q392">
            <v>150</v>
          </cell>
          <cell r="R392">
            <v>0.88888888888888884</v>
          </cell>
          <cell r="S392">
            <v>0.11111111111111116</v>
          </cell>
          <cell r="T392">
            <v>0</v>
          </cell>
        </row>
        <row r="393">
          <cell r="Q393">
            <v>149</v>
          </cell>
          <cell r="R393">
            <v>0.88888888888888884</v>
          </cell>
          <cell r="S393">
            <v>0.11111111111111116</v>
          </cell>
          <cell r="T393">
            <v>0</v>
          </cell>
        </row>
        <row r="394">
          <cell r="Q394">
            <v>148</v>
          </cell>
          <cell r="R394">
            <v>0.88888888888888884</v>
          </cell>
          <cell r="S394">
            <v>0.11111111111111116</v>
          </cell>
          <cell r="T394">
            <v>0</v>
          </cell>
        </row>
        <row r="395">
          <cell r="Q395">
            <v>147</v>
          </cell>
          <cell r="R395">
            <v>0.88888888888888884</v>
          </cell>
          <cell r="S395">
            <v>0.11111111111111116</v>
          </cell>
          <cell r="T395">
            <v>0</v>
          </cell>
        </row>
        <row r="396">
          <cell r="Q396">
            <v>146</v>
          </cell>
          <cell r="R396">
            <v>0.88888888888888884</v>
          </cell>
          <cell r="S396">
            <v>0.11111111111111116</v>
          </cell>
          <cell r="T396">
            <v>0</v>
          </cell>
        </row>
        <row r="397">
          <cell r="Q397">
            <v>145</v>
          </cell>
          <cell r="R397">
            <v>0.88888888888888884</v>
          </cell>
          <cell r="S397">
            <v>0.11111111111111116</v>
          </cell>
          <cell r="T397">
            <v>0</v>
          </cell>
        </row>
        <row r="398">
          <cell r="Q398">
            <v>144</v>
          </cell>
          <cell r="R398">
            <v>0.74276573787409683</v>
          </cell>
          <cell r="S398">
            <v>0.25723426212590317</v>
          </cell>
          <cell r="T398">
            <v>0</v>
          </cell>
        </row>
        <row r="399">
          <cell r="Q399">
            <v>143</v>
          </cell>
          <cell r="R399">
            <v>0.74276573787409683</v>
          </cell>
          <cell r="S399">
            <v>0.25723426212590317</v>
          </cell>
          <cell r="T399">
            <v>0</v>
          </cell>
        </row>
        <row r="400">
          <cell r="Q400">
            <v>142</v>
          </cell>
          <cell r="R400">
            <v>0.74276573787409683</v>
          </cell>
          <cell r="S400">
            <v>0.25723426212590317</v>
          </cell>
          <cell r="T400">
            <v>0</v>
          </cell>
        </row>
        <row r="401">
          <cell r="Q401">
            <v>141</v>
          </cell>
          <cell r="R401">
            <v>0.74276573787409683</v>
          </cell>
          <cell r="S401">
            <v>0.25723426212590317</v>
          </cell>
          <cell r="T401">
            <v>0</v>
          </cell>
        </row>
        <row r="402">
          <cell r="Q402">
            <v>140</v>
          </cell>
          <cell r="R402">
            <v>0.74276573787409683</v>
          </cell>
          <cell r="S402">
            <v>0.25723426212590317</v>
          </cell>
          <cell r="T402">
            <v>0</v>
          </cell>
        </row>
        <row r="403">
          <cell r="Q403">
            <v>139</v>
          </cell>
          <cell r="R403">
            <v>0.74276573787409683</v>
          </cell>
          <cell r="S403">
            <v>0.25723426212590317</v>
          </cell>
          <cell r="T403">
            <v>0</v>
          </cell>
        </row>
        <row r="404">
          <cell r="Q404">
            <v>138</v>
          </cell>
          <cell r="R404">
            <v>0.74276573787409683</v>
          </cell>
          <cell r="S404">
            <v>0.25723426212590317</v>
          </cell>
          <cell r="T404">
            <v>0</v>
          </cell>
        </row>
        <row r="405">
          <cell r="Q405">
            <v>137</v>
          </cell>
          <cell r="R405">
            <v>0.74276573787409683</v>
          </cell>
          <cell r="S405">
            <v>0.25723426212590317</v>
          </cell>
          <cell r="T405">
            <v>0</v>
          </cell>
        </row>
        <row r="406">
          <cell r="Q406">
            <v>136</v>
          </cell>
          <cell r="R406">
            <v>0.74276573787409683</v>
          </cell>
          <cell r="S406">
            <v>0.25723426212590317</v>
          </cell>
          <cell r="T406">
            <v>0</v>
          </cell>
        </row>
        <row r="407">
          <cell r="Q407">
            <v>135</v>
          </cell>
          <cell r="R407">
            <v>0.74276573787409683</v>
          </cell>
          <cell r="S407">
            <v>0.25723426212590317</v>
          </cell>
          <cell r="T407">
            <v>0</v>
          </cell>
        </row>
        <row r="408">
          <cell r="Q408">
            <v>134</v>
          </cell>
          <cell r="R408">
            <v>0.74276573787409683</v>
          </cell>
          <cell r="S408">
            <v>0.25723426212590317</v>
          </cell>
          <cell r="T408">
            <v>0</v>
          </cell>
        </row>
        <row r="409">
          <cell r="Q409">
            <v>133</v>
          </cell>
          <cell r="R409">
            <v>0.74276573787409683</v>
          </cell>
          <cell r="S409">
            <v>0.25723426212590317</v>
          </cell>
          <cell r="T409">
            <v>0</v>
          </cell>
        </row>
        <row r="410">
          <cell r="Q410">
            <v>132</v>
          </cell>
          <cell r="R410">
            <v>0.62349662391272298</v>
          </cell>
          <cell r="S410">
            <v>0.37650337608727702</v>
          </cell>
          <cell r="T410">
            <v>0</v>
          </cell>
        </row>
        <row r="411">
          <cell r="Q411">
            <v>131</v>
          </cell>
          <cell r="R411">
            <v>0.62349662391272298</v>
          </cell>
          <cell r="S411">
            <v>0.37650337608727702</v>
          </cell>
          <cell r="T411">
            <v>0</v>
          </cell>
        </row>
        <row r="412">
          <cell r="Q412">
            <v>130</v>
          </cell>
          <cell r="R412">
            <v>0.62349662391272298</v>
          </cell>
          <cell r="S412">
            <v>0.37650337608727702</v>
          </cell>
          <cell r="T412">
            <v>0</v>
          </cell>
        </row>
        <row r="413">
          <cell r="Q413">
            <v>129</v>
          </cell>
          <cell r="R413">
            <v>0.62349662391272298</v>
          </cell>
          <cell r="S413">
            <v>0.37650337608727702</v>
          </cell>
          <cell r="T413">
            <v>0</v>
          </cell>
        </row>
        <row r="414">
          <cell r="Q414">
            <v>128</v>
          </cell>
          <cell r="R414">
            <v>0.62349662391272298</v>
          </cell>
          <cell r="S414">
            <v>0.37650337608727702</v>
          </cell>
          <cell r="T414">
            <v>0</v>
          </cell>
        </row>
        <row r="415">
          <cell r="Q415">
            <v>127</v>
          </cell>
          <cell r="R415">
            <v>0.62349662391272298</v>
          </cell>
          <cell r="S415">
            <v>0.37650337608727702</v>
          </cell>
          <cell r="T415">
            <v>0</v>
          </cell>
        </row>
        <row r="416">
          <cell r="Q416">
            <v>126</v>
          </cell>
          <cell r="R416">
            <v>0.62349662391272298</v>
          </cell>
          <cell r="S416">
            <v>0.37650337608727702</v>
          </cell>
          <cell r="T416">
            <v>0</v>
          </cell>
        </row>
        <row r="417">
          <cell r="Q417">
            <v>125</v>
          </cell>
          <cell r="R417">
            <v>0.62349662391272298</v>
          </cell>
          <cell r="S417">
            <v>0.37650337608727702</v>
          </cell>
          <cell r="T417">
            <v>0</v>
          </cell>
        </row>
        <row r="418">
          <cell r="Q418">
            <v>124</v>
          </cell>
          <cell r="R418">
            <v>0.62349662391272298</v>
          </cell>
          <cell r="S418">
            <v>0.37650337608727702</v>
          </cell>
          <cell r="T418">
            <v>0</v>
          </cell>
        </row>
        <row r="419">
          <cell r="Q419">
            <v>123</v>
          </cell>
          <cell r="R419">
            <v>0.62349662391272298</v>
          </cell>
          <cell r="S419">
            <v>0.37650337608727702</v>
          </cell>
          <cell r="T419">
            <v>0</v>
          </cell>
        </row>
        <row r="420">
          <cell r="Q420">
            <v>122</v>
          </cell>
          <cell r="R420">
            <v>0.62349662391272298</v>
          </cell>
          <cell r="S420">
            <v>0.37650337608727702</v>
          </cell>
          <cell r="T420">
            <v>0</v>
          </cell>
        </row>
        <row r="421">
          <cell r="Q421">
            <v>121</v>
          </cell>
          <cell r="R421">
            <v>0.62349662391272298</v>
          </cell>
          <cell r="S421">
            <v>0.37650337608727702</v>
          </cell>
          <cell r="T421">
            <v>0</v>
          </cell>
        </row>
        <row r="422">
          <cell r="Q422">
            <v>120</v>
          </cell>
          <cell r="R422">
            <v>0.50890907415597808</v>
          </cell>
          <cell r="S422">
            <v>0.49109092584402192</v>
          </cell>
          <cell r="T422">
            <v>0</v>
          </cell>
        </row>
        <row r="423">
          <cell r="Q423">
            <v>119</v>
          </cell>
          <cell r="R423">
            <v>0.50890907415597808</v>
          </cell>
          <cell r="S423">
            <v>0.49109092584402192</v>
          </cell>
          <cell r="T423">
            <v>0</v>
          </cell>
        </row>
        <row r="424">
          <cell r="Q424">
            <v>118</v>
          </cell>
          <cell r="R424">
            <v>0.50890907415597808</v>
          </cell>
          <cell r="S424">
            <v>0.49109092584402192</v>
          </cell>
          <cell r="T424">
            <v>0</v>
          </cell>
        </row>
        <row r="425">
          <cell r="Q425">
            <v>117</v>
          </cell>
          <cell r="R425">
            <v>0.50890907415597808</v>
          </cell>
          <cell r="S425">
            <v>0.49109092584402192</v>
          </cell>
          <cell r="T425">
            <v>0</v>
          </cell>
        </row>
        <row r="426">
          <cell r="Q426">
            <v>116</v>
          </cell>
          <cell r="R426">
            <v>0.50890907415597808</v>
          </cell>
          <cell r="S426">
            <v>0.49109092584402192</v>
          </cell>
          <cell r="T426">
            <v>0</v>
          </cell>
        </row>
        <row r="427">
          <cell r="Q427">
            <v>115</v>
          </cell>
          <cell r="R427">
            <v>0.50890907415597808</v>
          </cell>
          <cell r="S427">
            <v>0.49109092584402192</v>
          </cell>
          <cell r="T427">
            <v>0</v>
          </cell>
        </row>
        <row r="428">
          <cell r="Q428">
            <v>114</v>
          </cell>
          <cell r="R428">
            <v>0.50890907415597808</v>
          </cell>
          <cell r="S428">
            <v>0.49109092584402192</v>
          </cell>
          <cell r="T428">
            <v>0</v>
          </cell>
        </row>
        <row r="429">
          <cell r="Q429">
            <v>113</v>
          </cell>
          <cell r="R429">
            <v>0.50890907415597808</v>
          </cell>
          <cell r="S429">
            <v>0.49109092584402192</v>
          </cell>
          <cell r="T429">
            <v>0</v>
          </cell>
        </row>
        <row r="430">
          <cell r="Q430">
            <v>112</v>
          </cell>
          <cell r="R430">
            <v>0.50890907415597808</v>
          </cell>
          <cell r="S430">
            <v>0.49109092584402192</v>
          </cell>
          <cell r="T430">
            <v>0</v>
          </cell>
        </row>
        <row r="431">
          <cell r="Q431">
            <v>111</v>
          </cell>
          <cell r="R431">
            <v>0.50890907415597808</v>
          </cell>
          <cell r="S431">
            <v>0.49109092584402192</v>
          </cell>
          <cell r="T431">
            <v>0</v>
          </cell>
        </row>
        <row r="432">
          <cell r="Q432">
            <v>110</v>
          </cell>
          <cell r="R432">
            <v>0.50890907415597808</v>
          </cell>
          <cell r="S432">
            <v>0.49109092584402192</v>
          </cell>
          <cell r="T432">
            <v>0</v>
          </cell>
        </row>
        <row r="433">
          <cell r="Q433">
            <v>109</v>
          </cell>
          <cell r="R433">
            <v>0.50890907415597808</v>
          </cell>
          <cell r="S433">
            <v>0.49109092584402192</v>
          </cell>
          <cell r="T433">
            <v>0</v>
          </cell>
        </row>
        <row r="434">
          <cell r="Q434">
            <v>108</v>
          </cell>
          <cell r="R434">
            <v>0.41626578210231474</v>
          </cell>
          <cell r="S434">
            <v>0.5837342178976852</v>
          </cell>
          <cell r="T434">
            <v>0</v>
          </cell>
        </row>
        <row r="435">
          <cell r="Q435">
            <v>107</v>
          </cell>
          <cell r="R435">
            <v>0.41626578210231474</v>
          </cell>
          <cell r="S435">
            <v>0.5837342178976852</v>
          </cell>
          <cell r="T435">
            <v>0</v>
          </cell>
        </row>
        <row r="436">
          <cell r="Q436">
            <v>106</v>
          </cell>
          <cell r="R436">
            <v>0.41626578210231474</v>
          </cell>
          <cell r="S436">
            <v>0.5837342178976852</v>
          </cell>
          <cell r="T436">
            <v>0</v>
          </cell>
        </row>
        <row r="437">
          <cell r="Q437">
            <v>105</v>
          </cell>
          <cell r="R437">
            <v>0.41626578210231474</v>
          </cell>
          <cell r="S437">
            <v>0.5837342178976852</v>
          </cell>
          <cell r="T437">
            <v>0</v>
          </cell>
        </row>
        <row r="438">
          <cell r="Q438">
            <v>104</v>
          </cell>
          <cell r="R438">
            <v>0.41626578210231474</v>
          </cell>
          <cell r="S438">
            <v>0.5837342178976852</v>
          </cell>
          <cell r="T438">
            <v>0</v>
          </cell>
        </row>
        <row r="439">
          <cell r="Q439">
            <v>103</v>
          </cell>
          <cell r="R439">
            <v>0.41626578210231474</v>
          </cell>
          <cell r="S439">
            <v>0.5837342178976852</v>
          </cell>
          <cell r="T439">
            <v>0</v>
          </cell>
        </row>
        <row r="440">
          <cell r="Q440">
            <v>102</v>
          </cell>
          <cell r="R440">
            <v>0.41626578210231474</v>
          </cell>
          <cell r="S440">
            <v>0.5837342178976852</v>
          </cell>
          <cell r="T440">
            <v>0</v>
          </cell>
        </row>
        <row r="441">
          <cell r="Q441">
            <v>101</v>
          </cell>
          <cell r="R441">
            <v>0.41626578210231474</v>
          </cell>
          <cell r="S441">
            <v>0.5837342178976852</v>
          </cell>
          <cell r="T441">
            <v>0</v>
          </cell>
        </row>
        <row r="442">
          <cell r="Q442">
            <v>100</v>
          </cell>
          <cell r="R442">
            <v>0.41626578210231474</v>
          </cell>
          <cell r="S442">
            <v>0.5837342178976852</v>
          </cell>
          <cell r="T442">
            <v>0</v>
          </cell>
        </row>
        <row r="443">
          <cell r="Q443">
            <v>99</v>
          </cell>
          <cell r="R443">
            <v>0.41626578210231474</v>
          </cell>
          <cell r="S443">
            <v>0.5837342178976852</v>
          </cell>
          <cell r="T443">
            <v>0</v>
          </cell>
        </row>
        <row r="444">
          <cell r="Q444">
            <v>98</v>
          </cell>
          <cell r="R444">
            <v>0.41626578210231474</v>
          </cell>
          <cell r="S444">
            <v>0.5837342178976852</v>
          </cell>
          <cell r="T444">
            <v>0</v>
          </cell>
        </row>
        <row r="445">
          <cell r="Q445">
            <v>97</v>
          </cell>
          <cell r="R445">
            <v>0.41626578210231474</v>
          </cell>
          <cell r="S445">
            <v>0.5837342178976852</v>
          </cell>
          <cell r="T445">
            <v>0</v>
          </cell>
        </row>
        <row r="446">
          <cell r="Q446">
            <v>96</v>
          </cell>
          <cell r="R446">
            <v>0.33477546808196973</v>
          </cell>
          <cell r="S446">
            <v>0.66522453191803033</v>
          </cell>
          <cell r="T446">
            <v>0</v>
          </cell>
        </row>
        <row r="447">
          <cell r="Q447">
            <v>95</v>
          </cell>
          <cell r="R447">
            <v>0.33477546808196973</v>
          </cell>
          <cell r="S447">
            <v>0.66522453191803033</v>
          </cell>
          <cell r="T447">
            <v>0</v>
          </cell>
        </row>
        <row r="448">
          <cell r="Q448">
            <v>94</v>
          </cell>
          <cell r="R448">
            <v>0.33477546808196973</v>
          </cell>
          <cell r="S448">
            <v>0.66522453191803033</v>
          </cell>
          <cell r="T448">
            <v>0</v>
          </cell>
        </row>
        <row r="449">
          <cell r="Q449">
            <v>93</v>
          </cell>
          <cell r="R449">
            <v>0.33477546808196973</v>
          </cell>
          <cell r="S449">
            <v>0.66522453191803033</v>
          </cell>
          <cell r="T449">
            <v>0</v>
          </cell>
        </row>
        <row r="450">
          <cell r="Q450">
            <v>92</v>
          </cell>
          <cell r="R450">
            <v>0.33477546808196973</v>
          </cell>
          <cell r="S450">
            <v>0.66522453191803033</v>
          </cell>
          <cell r="T450">
            <v>0</v>
          </cell>
        </row>
        <row r="451">
          <cell r="Q451">
            <v>91</v>
          </cell>
          <cell r="R451">
            <v>0.33477546808196973</v>
          </cell>
          <cell r="S451">
            <v>0.66522453191803033</v>
          </cell>
          <cell r="T451">
            <v>0</v>
          </cell>
        </row>
        <row r="452">
          <cell r="Q452">
            <v>90</v>
          </cell>
          <cell r="R452">
            <v>0.33477546808196973</v>
          </cell>
          <cell r="S452">
            <v>0.66522453191803033</v>
          </cell>
          <cell r="T452">
            <v>0</v>
          </cell>
        </row>
        <row r="453">
          <cell r="Q453">
            <v>89</v>
          </cell>
          <cell r="R453">
            <v>0.33477546808196973</v>
          </cell>
          <cell r="S453">
            <v>0.66522453191803033</v>
          </cell>
          <cell r="T453">
            <v>0</v>
          </cell>
        </row>
        <row r="454">
          <cell r="Q454">
            <v>88</v>
          </cell>
          <cell r="R454">
            <v>0.33477546808196973</v>
          </cell>
          <cell r="S454">
            <v>0.66522453191803033</v>
          </cell>
          <cell r="T454">
            <v>0</v>
          </cell>
        </row>
        <row r="455">
          <cell r="Q455">
            <v>87</v>
          </cell>
          <cell r="R455">
            <v>0.33477546808196973</v>
          </cell>
          <cell r="S455">
            <v>0.66522453191803033</v>
          </cell>
          <cell r="T455">
            <v>0</v>
          </cell>
        </row>
        <row r="456">
          <cell r="Q456">
            <v>86</v>
          </cell>
          <cell r="R456">
            <v>0.33477546808196973</v>
          </cell>
          <cell r="S456">
            <v>0.66522453191803033</v>
          </cell>
          <cell r="T456">
            <v>0</v>
          </cell>
        </row>
        <row r="457">
          <cell r="Q457">
            <v>85</v>
          </cell>
          <cell r="R457">
            <v>0.33477546808196973</v>
          </cell>
          <cell r="S457">
            <v>0.66522453191803033</v>
          </cell>
          <cell r="T457">
            <v>0</v>
          </cell>
        </row>
        <row r="458">
          <cell r="Q458">
            <v>84</v>
          </cell>
          <cell r="R458">
            <v>0.26976571944567312</v>
          </cell>
          <cell r="S458">
            <v>0.73023428055432693</v>
          </cell>
          <cell r="T458">
            <v>0</v>
          </cell>
        </row>
        <row r="459">
          <cell r="Q459">
            <v>83</v>
          </cell>
          <cell r="R459">
            <v>0.26976571944567312</v>
          </cell>
          <cell r="S459">
            <v>0.73023428055432693</v>
          </cell>
          <cell r="T459">
            <v>0</v>
          </cell>
        </row>
        <row r="460">
          <cell r="Q460">
            <v>82</v>
          </cell>
          <cell r="R460">
            <v>0.26976571944567312</v>
          </cell>
          <cell r="S460">
            <v>0.73023428055432693</v>
          </cell>
          <cell r="T460">
            <v>0</v>
          </cell>
        </row>
        <row r="461">
          <cell r="Q461">
            <v>81</v>
          </cell>
          <cell r="R461">
            <v>0.26976571944567312</v>
          </cell>
          <cell r="S461">
            <v>0.73023428055432693</v>
          </cell>
          <cell r="T461">
            <v>0</v>
          </cell>
        </row>
        <row r="462">
          <cell r="Q462">
            <v>80</v>
          </cell>
          <cell r="R462">
            <v>0.26976571944567312</v>
          </cell>
          <cell r="S462">
            <v>0.73023428055432693</v>
          </cell>
          <cell r="T462">
            <v>0</v>
          </cell>
        </row>
        <row r="463">
          <cell r="Q463">
            <v>79</v>
          </cell>
          <cell r="R463">
            <v>0.26976571944567312</v>
          </cell>
          <cell r="S463">
            <v>0.73023428055432693</v>
          </cell>
          <cell r="T463">
            <v>0</v>
          </cell>
        </row>
        <row r="464">
          <cell r="Q464">
            <v>78</v>
          </cell>
          <cell r="R464">
            <v>0.26976571944567312</v>
          </cell>
          <cell r="S464">
            <v>0.73023428055432693</v>
          </cell>
          <cell r="T464">
            <v>0</v>
          </cell>
        </row>
        <row r="465">
          <cell r="Q465">
            <v>77</v>
          </cell>
          <cell r="R465">
            <v>0.26976571944567312</v>
          </cell>
          <cell r="S465">
            <v>0.73023428055432693</v>
          </cell>
          <cell r="T465">
            <v>0</v>
          </cell>
        </row>
        <row r="466">
          <cell r="Q466">
            <v>76</v>
          </cell>
          <cell r="R466">
            <v>0.26976571944567312</v>
          </cell>
          <cell r="S466">
            <v>0.73023428055432693</v>
          </cell>
          <cell r="T466">
            <v>0</v>
          </cell>
        </row>
        <row r="467">
          <cell r="Q467">
            <v>75</v>
          </cell>
          <cell r="R467">
            <v>0.26976571944567312</v>
          </cell>
          <cell r="S467">
            <v>0.73023428055432693</v>
          </cell>
          <cell r="T467">
            <v>0</v>
          </cell>
        </row>
        <row r="468">
          <cell r="Q468">
            <v>74</v>
          </cell>
          <cell r="R468">
            <v>0.26976571944567312</v>
          </cell>
          <cell r="S468">
            <v>0.73023428055432693</v>
          </cell>
          <cell r="T468">
            <v>0</v>
          </cell>
        </row>
        <row r="469">
          <cell r="Q469">
            <v>73</v>
          </cell>
          <cell r="R469">
            <v>0.26976571944567312</v>
          </cell>
          <cell r="S469">
            <v>0.73023428055432693</v>
          </cell>
          <cell r="T469">
            <v>0</v>
          </cell>
        </row>
        <row r="470">
          <cell r="Q470">
            <v>72</v>
          </cell>
          <cell r="R470">
            <v>0.2141691729323309</v>
          </cell>
          <cell r="S470">
            <v>0.78583082706766905</v>
          </cell>
          <cell r="T470">
            <v>0</v>
          </cell>
        </row>
        <row r="471">
          <cell r="Q471">
            <v>71</v>
          </cell>
          <cell r="R471">
            <v>0.2141691729323309</v>
          </cell>
          <cell r="S471">
            <v>0.78583082706766905</v>
          </cell>
          <cell r="T471">
            <v>0</v>
          </cell>
        </row>
        <row r="472">
          <cell r="Q472">
            <v>70</v>
          </cell>
          <cell r="R472">
            <v>0.2141691729323309</v>
          </cell>
          <cell r="S472">
            <v>0.78583082706766905</v>
          </cell>
          <cell r="T472">
            <v>0</v>
          </cell>
        </row>
        <row r="473">
          <cell r="Q473">
            <v>69</v>
          </cell>
          <cell r="R473">
            <v>0.2141691729323309</v>
          </cell>
          <cell r="S473">
            <v>0.78583082706766905</v>
          </cell>
          <cell r="T473">
            <v>0</v>
          </cell>
        </row>
        <row r="474">
          <cell r="Q474">
            <v>68</v>
          </cell>
          <cell r="R474">
            <v>0.2141691729323309</v>
          </cell>
          <cell r="S474">
            <v>0.78583082706766905</v>
          </cell>
          <cell r="T474">
            <v>0</v>
          </cell>
        </row>
        <row r="475">
          <cell r="Q475">
            <v>67</v>
          </cell>
          <cell r="R475">
            <v>0.2141691729323309</v>
          </cell>
          <cell r="S475">
            <v>0.78583082706766905</v>
          </cell>
          <cell r="T475">
            <v>0</v>
          </cell>
        </row>
        <row r="476">
          <cell r="Q476">
            <v>66</v>
          </cell>
          <cell r="R476">
            <v>0.2141691729323309</v>
          </cell>
          <cell r="S476">
            <v>0.78583082706766905</v>
          </cell>
          <cell r="T476">
            <v>0</v>
          </cell>
        </row>
        <row r="477">
          <cell r="Q477">
            <v>65</v>
          </cell>
          <cell r="R477">
            <v>0.2141691729323309</v>
          </cell>
          <cell r="S477">
            <v>0.78583082706766905</v>
          </cell>
          <cell r="T477">
            <v>0</v>
          </cell>
        </row>
        <row r="478">
          <cell r="Q478">
            <v>64</v>
          </cell>
          <cell r="R478">
            <v>0.2141691729323309</v>
          </cell>
          <cell r="S478">
            <v>0.78583082706766905</v>
          </cell>
          <cell r="T478">
            <v>0</v>
          </cell>
        </row>
        <row r="479">
          <cell r="Q479">
            <v>63</v>
          </cell>
          <cell r="R479">
            <v>0.2141691729323309</v>
          </cell>
          <cell r="S479">
            <v>0.78583082706766905</v>
          </cell>
          <cell r="T479">
            <v>0</v>
          </cell>
        </row>
        <row r="480">
          <cell r="Q480">
            <v>62</v>
          </cell>
          <cell r="R480">
            <v>0.2141691729323309</v>
          </cell>
          <cell r="S480">
            <v>0.78583082706766905</v>
          </cell>
          <cell r="T480">
            <v>0</v>
          </cell>
        </row>
        <row r="481">
          <cell r="Q481">
            <v>61</v>
          </cell>
          <cell r="R481">
            <v>0.2141691729323309</v>
          </cell>
          <cell r="S481">
            <v>0.78583082706766905</v>
          </cell>
          <cell r="T481">
            <v>0</v>
          </cell>
        </row>
        <row r="482">
          <cell r="Q482">
            <v>60</v>
          </cell>
          <cell r="R482">
            <v>0.16789925180598556</v>
          </cell>
          <cell r="S482">
            <v>0.83210074819401447</v>
          </cell>
          <cell r="T482">
            <v>0</v>
          </cell>
        </row>
        <row r="483">
          <cell r="Q483">
            <v>59</v>
          </cell>
          <cell r="R483">
            <v>0.16789925180598556</v>
          </cell>
          <cell r="S483">
            <v>0.83210074819401447</v>
          </cell>
          <cell r="T483">
            <v>0</v>
          </cell>
        </row>
        <row r="484">
          <cell r="Q484">
            <v>58</v>
          </cell>
          <cell r="R484">
            <v>0.16789925180598556</v>
          </cell>
          <cell r="S484">
            <v>0.83210074819401447</v>
          </cell>
          <cell r="T484">
            <v>0</v>
          </cell>
        </row>
        <row r="485">
          <cell r="Q485">
            <v>57</v>
          </cell>
          <cell r="R485">
            <v>0.16789925180598556</v>
          </cell>
          <cell r="S485">
            <v>0.83210074819401447</v>
          </cell>
          <cell r="T485">
            <v>0</v>
          </cell>
        </row>
        <row r="486">
          <cell r="Q486">
            <v>56</v>
          </cell>
          <cell r="R486">
            <v>0.16789925180598556</v>
          </cell>
          <cell r="S486">
            <v>0.83210074819401447</v>
          </cell>
          <cell r="T486">
            <v>0</v>
          </cell>
        </row>
        <row r="487">
          <cell r="Q487">
            <v>55</v>
          </cell>
          <cell r="R487">
            <v>0.16789925180598556</v>
          </cell>
          <cell r="S487">
            <v>0.83210074819401447</v>
          </cell>
          <cell r="T487">
            <v>0</v>
          </cell>
        </row>
        <row r="488">
          <cell r="Q488">
            <v>54</v>
          </cell>
          <cell r="R488">
            <v>0.16789925180598556</v>
          </cell>
          <cell r="S488">
            <v>0.83210074819401447</v>
          </cell>
          <cell r="T488">
            <v>0</v>
          </cell>
        </row>
        <row r="489">
          <cell r="Q489">
            <v>53</v>
          </cell>
          <cell r="R489">
            <v>0.16789925180598556</v>
          </cell>
          <cell r="S489">
            <v>0.83210074819401447</v>
          </cell>
          <cell r="T489">
            <v>0</v>
          </cell>
        </row>
        <row r="490">
          <cell r="Q490">
            <v>52</v>
          </cell>
          <cell r="R490">
            <v>0.16789925180598556</v>
          </cell>
          <cell r="S490">
            <v>0.83210074819401447</v>
          </cell>
          <cell r="T490">
            <v>0</v>
          </cell>
        </row>
        <row r="491">
          <cell r="Q491">
            <v>51</v>
          </cell>
          <cell r="R491">
            <v>0.16789925180598556</v>
          </cell>
          <cell r="S491">
            <v>0.83210074819401447</v>
          </cell>
          <cell r="T491">
            <v>0</v>
          </cell>
        </row>
        <row r="492">
          <cell r="Q492">
            <v>50</v>
          </cell>
          <cell r="R492">
            <v>0.16789925180598556</v>
          </cell>
          <cell r="S492">
            <v>0.83210074819401447</v>
          </cell>
          <cell r="T492">
            <v>0</v>
          </cell>
        </row>
        <row r="493">
          <cell r="Q493">
            <v>49</v>
          </cell>
          <cell r="R493">
            <v>0.16789925180598556</v>
          </cell>
          <cell r="S493">
            <v>0.83210074819401447</v>
          </cell>
          <cell r="T493">
            <v>0</v>
          </cell>
        </row>
        <row r="494">
          <cell r="Q494">
            <v>48</v>
          </cell>
          <cell r="R494">
            <v>0.12668754238537502</v>
          </cell>
          <cell r="S494">
            <v>0.87331245761462495</v>
          </cell>
          <cell r="T494">
            <v>0</v>
          </cell>
        </row>
        <row r="495">
          <cell r="Q495">
            <v>47</v>
          </cell>
          <cell r="R495">
            <v>0.12668754238537502</v>
          </cell>
          <cell r="S495">
            <v>0.87331245761462495</v>
          </cell>
          <cell r="T495">
            <v>0</v>
          </cell>
        </row>
        <row r="496">
          <cell r="Q496">
            <v>46</v>
          </cell>
          <cell r="R496">
            <v>0.12668754238537502</v>
          </cell>
          <cell r="S496">
            <v>0.87331245761462495</v>
          </cell>
          <cell r="T496">
            <v>0</v>
          </cell>
        </row>
        <row r="497">
          <cell r="Q497">
            <v>45</v>
          </cell>
          <cell r="R497">
            <v>0.12668754238537502</v>
          </cell>
          <cell r="S497">
            <v>0.87331245761462495</v>
          </cell>
          <cell r="T497">
            <v>0</v>
          </cell>
        </row>
        <row r="498">
          <cell r="Q498">
            <v>44</v>
          </cell>
          <cell r="R498">
            <v>0.12668754238537502</v>
          </cell>
          <cell r="S498">
            <v>0.87331245761462495</v>
          </cell>
          <cell r="T498">
            <v>0</v>
          </cell>
        </row>
        <row r="499">
          <cell r="Q499">
            <v>43</v>
          </cell>
          <cell r="R499">
            <v>0.12668754238537502</v>
          </cell>
          <cell r="S499">
            <v>0.87331245761462495</v>
          </cell>
          <cell r="T499">
            <v>0</v>
          </cell>
        </row>
        <row r="500">
          <cell r="Q500">
            <v>42</v>
          </cell>
          <cell r="R500">
            <v>0.12668754238537502</v>
          </cell>
          <cell r="S500">
            <v>0.87331245761462495</v>
          </cell>
          <cell r="T500">
            <v>0</v>
          </cell>
        </row>
        <row r="501">
          <cell r="Q501">
            <v>41</v>
          </cell>
          <cell r="R501">
            <v>0.12668754238537502</v>
          </cell>
          <cell r="S501">
            <v>0.87331245761462495</v>
          </cell>
          <cell r="T501">
            <v>0</v>
          </cell>
        </row>
        <row r="502">
          <cell r="Q502">
            <v>40</v>
          </cell>
          <cell r="R502">
            <v>0.12668754238537502</v>
          </cell>
          <cell r="S502">
            <v>0.87331245761462495</v>
          </cell>
          <cell r="T502">
            <v>0</v>
          </cell>
        </row>
        <row r="503">
          <cell r="Q503">
            <v>39</v>
          </cell>
          <cell r="R503">
            <v>0.12668754238537502</v>
          </cell>
          <cell r="S503">
            <v>0.87331245761462495</v>
          </cell>
          <cell r="T503">
            <v>0</v>
          </cell>
        </row>
        <row r="504">
          <cell r="Q504">
            <v>38</v>
          </cell>
          <cell r="R504">
            <v>0.12668754238537502</v>
          </cell>
          <cell r="S504">
            <v>0.87331245761462495</v>
          </cell>
          <cell r="T504">
            <v>0</v>
          </cell>
        </row>
        <row r="505">
          <cell r="Q505">
            <v>37</v>
          </cell>
          <cell r="R505">
            <v>0.12668754238537502</v>
          </cell>
          <cell r="S505">
            <v>0.87331245761462495</v>
          </cell>
          <cell r="T505">
            <v>0</v>
          </cell>
        </row>
        <row r="506">
          <cell r="Q506">
            <v>36</v>
          </cell>
          <cell r="R506">
            <v>8.989238906088752E-2</v>
          </cell>
          <cell r="S506">
            <v>0.91010761093911252</v>
          </cell>
          <cell r="T506">
            <v>0</v>
          </cell>
        </row>
        <row r="507">
          <cell r="Q507">
            <v>35</v>
          </cell>
          <cell r="R507">
            <v>8.989238906088752E-2</v>
          </cell>
          <cell r="S507">
            <v>0.91010761093911252</v>
          </cell>
          <cell r="T507">
            <v>0</v>
          </cell>
        </row>
        <row r="508">
          <cell r="Q508">
            <v>34</v>
          </cell>
          <cell r="R508">
            <v>8.989238906088752E-2</v>
          </cell>
          <cell r="S508">
            <v>0.91010761093911252</v>
          </cell>
          <cell r="T508">
            <v>0</v>
          </cell>
        </row>
        <row r="509">
          <cell r="Q509">
            <v>33</v>
          </cell>
          <cell r="R509">
            <v>8.989238906088752E-2</v>
          </cell>
          <cell r="S509">
            <v>0.91010761093911252</v>
          </cell>
          <cell r="T509">
            <v>0</v>
          </cell>
        </row>
        <row r="510">
          <cell r="Q510">
            <v>32</v>
          </cell>
          <cell r="R510">
            <v>8.989238906088752E-2</v>
          </cell>
          <cell r="S510">
            <v>0.91010761093911252</v>
          </cell>
          <cell r="T510">
            <v>0</v>
          </cell>
        </row>
        <row r="511">
          <cell r="Q511">
            <v>31</v>
          </cell>
          <cell r="R511">
            <v>8.989238906088752E-2</v>
          </cell>
          <cell r="S511">
            <v>0.91010761093911252</v>
          </cell>
          <cell r="T511">
            <v>0</v>
          </cell>
        </row>
        <row r="512">
          <cell r="Q512">
            <v>30</v>
          </cell>
          <cell r="R512">
            <v>8.989238906088752E-2</v>
          </cell>
          <cell r="S512">
            <v>0.91010761093911252</v>
          </cell>
          <cell r="T512">
            <v>0</v>
          </cell>
        </row>
        <row r="513">
          <cell r="Q513">
            <v>29</v>
          </cell>
          <cell r="R513">
            <v>8.989238906088752E-2</v>
          </cell>
          <cell r="S513">
            <v>0.91010761093911252</v>
          </cell>
          <cell r="T513">
            <v>0</v>
          </cell>
        </row>
        <row r="514">
          <cell r="Q514">
            <v>28</v>
          </cell>
          <cell r="R514">
            <v>8.989238906088752E-2</v>
          </cell>
          <cell r="S514">
            <v>0.91010761093911252</v>
          </cell>
          <cell r="T514">
            <v>0</v>
          </cell>
        </row>
        <row r="515">
          <cell r="Q515">
            <v>27</v>
          </cell>
          <cell r="R515">
            <v>8.989238906088752E-2</v>
          </cell>
          <cell r="S515">
            <v>0.91010761093911252</v>
          </cell>
          <cell r="T515">
            <v>0</v>
          </cell>
        </row>
        <row r="516">
          <cell r="Q516">
            <v>26</v>
          </cell>
          <cell r="R516">
            <v>8.989238906088752E-2</v>
          </cell>
          <cell r="S516">
            <v>0.91010761093911252</v>
          </cell>
          <cell r="T516">
            <v>0</v>
          </cell>
        </row>
        <row r="517">
          <cell r="Q517">
            <v>25</v>
          </cell>
          <cell r="R517">
            <v>8.989238906088752E-2</v>
          </cell>
          <cell r="S517">
            <v>0.91010761093911252</v>
          </cell>
          <cell r="T517">
            <v>0</v>
          </cell>
        </row>
        <row r="518">
          <cell r="Q518">
            <v>24</v>
          </cell>
          <cell r="R518">
            <v>5.6879831932772969E-2</v>
          </cell>
          <cell r="S518">
            <v>0.94312016806722698</v>
          </cell>
          <cell r="T518">
            <v>0</v>
          </cell>
        </row>
        <row r="519">
          <cell r="Q519">
            <v>23</v>
          </cell>
          <cell r="R519">
            <v>5.6879831932772969E-2</v>
          </cell>
          <cell r="S519">
            <v>0.94312016806722698</v>
          </cell>
          <cell r="T519">
            <v>0</v>
          </cell>
        </row>
        <row r="520">
          <cell r="Q520">
            <v>22</v>
          </cell>
          <cell r="R520">
            <v>5.6879831932772969E-2</v>
          </cell>
          <cell r="S520">
            <v>0.94312016806722698</v>
          </cell>
          <cell r="T520">
            <v>0</v>
          </cell>
        </row>
        <row r="521">
          <cell r="Q521">
            <v>21</v>
          </cell>
          <cell r="R521">
            <v>5.6879831932772969E-2</v>
          </cell>
          <cell r="S521">
            <v>0.94312016806722698</v>
          </cell>
          <cell r="T521">
            <v>0</v>
          </cell>
        </row>
        <row r="522">
          <cell r="Q522">
            <v>20</v>
          </cell>
          <cell r="R522">
            <v>5.6879831932772969E-2</v>
          </cell>
          <cell r="S522">
            <v>0.94312016806722698</v>
          </cell>
          <cell r="T522">
            <v>0</v>
          </cell>
        </row>
        <row r="523">
          <cell r="Q523">
            <v>19</v>
          </cell>
          <cell r="R523">
            <v>5.6879831932772969E-2</v>
          </cell>
          <cell r="S523">
            <v>0.94312016806722698</v>
          </cell>
          <cell r="T523">
            <v>0</v>
          </cell>
        </row>
        <row r="524">
          <cell r="Q524">
            <v>18</v>
          </cell>
          <cell r="R524">
            <v>5.6879831932772969E-2</v>
          </cell>
          <cell r="S524">
            <v>0.94312016806722698</v>
          </cell>
          <cell r="T524">
            <v>0</v>
          </cell>
        </row>
        <row r="525">
          <cell r="Q525">
            <v>17</v>
          </cell>
          <cell r="R525">
            <v>5.6879831932772969E-2</v>
          </cell>
          <cell r="S525">
            <v>0.94312016806722698</v>
          </cell>
          <cell r="T525">
            <v>0</v>
          </cell>
        </row>
        <row r="526">
          <cell r="Q526">
            <v>16</v>
          </cell>
          <cell r="R526">
            <v>5.6879831932772969E-2</v>
          </cell>
          <cell r="S526">
            <v>0.94312016806722698</v>
          </cell>
          <cell r="T526">
            <v>0</v>
          </cell>
        </row>
        <row r="527">
          <cell r="Q527">
            <v>15</v>
          </cell>
          <cell r="R527">
            <v>5.6879831932772969E-2</v>
          </cell>
          <cell r="S527">
            <v>0.94312016806722698</v>
          </cell>
          <cell r="T527">
            <v>0</v>
          </cell>
        </row>
        <row r="528">
          <cell r="Q528">
            <v>14</v>
          </cell>
          <cell r="R528">
            <v>5.6879831932772969E-2</v>
          </cell>
          <cell r="S528">
            <v>0.94312016806722698</v>
          </cell>
          <cell r="T528">
            <v>0</v>
          </cell>
        </row>
        <row r="529">
          <cell r="Q529">
            <v>13</v>
          </cell>
          <cell r="R529">
            <v>5.6879831932772969E-2</v>
          </cell>
          <cell r="S529">
            <v>0.94312016806722698</v>
          </cell>
          <cell r="T529">
            <v>0</v>
          </cell>
        </row>
        <row r="530">
          <cell r="Q530">
            <v>12</v>
          </cell>
          <cell r="R530">
            <v>2.7319423558897184E-2</v>
          </cell>
          <cell r="S530">
            <v>0.97268057644110284</v>
          </cell>
          <cell r="T530">
            <v>0</v>
          </cell>
        </row>
        <row r="531">
          <cell r="Q531">
            <v>11</v>
          </cell>
          <cell r="R531">
            <v>2.7319423558897184E-2</v>
          </cell>
          <cell r="S531">
            <v>0.97268057644110284</v>
          </cell>
          <cell r="T531">
            <v>0</v>
          </cell>
        </row>
        <row r="532">
          <cell r="Q532">
            <v>10</v>
          </cell>
          <cell r="R532">
            <v>2.7319423558897184E-2</v>
          </cell>
          <cell r="S532">
            <v>0.97268057644110284</v>
          </cell>
          <cell r="T532">
            <v>0</v>
          </cell>
        </row>
        <row r="533">
          <cell r="Q533">
            <v>9</v>
          </cell>
          <cell r="R533">
            <v>2.7319423558897184E-2</v>
          </cell>
          <cell r="S533">
            <v>0.97268057644110284</v>
          </cell>
          <cell r="T533">
            <v>0</v>
          </cell>
        </row>
        <row r="534">
          <cell r="Q534">
            <v>8</v>
          </cell>
          <cell r="R534">
            <v>2.7319423558897184E-2</v>
          </cell>
          <cell r="S534">
            <v>0.97268057644110284</v>
          </cell>
          <cell r="T534">
            <v>0</v>
          </cell>
        </row>
        <row r="535">
          <cell r="Q535">
            <v>7</v>
          </cell>
          <cell r="R535">
            <v>2.7319423558897184E-2</v>
          </cell>
          <cell r="S535">
            <v>0.97268057644110284</v>
          </cell>
          <cell r="T535">
            <v>0</v>
          </cell>
        </row>
        <row r="536">
          <cell r="Q536">
            <v>6</v>
          </cell>
          <cell r="R536">
            <v>2.7319423558897184E-2</v>
          </cell>
          <cell r="S536">
            <v>0.97268057644110284</v>
          </cell>
          <cell r="T536">
            <v>0</v>
          </cell>
        </row>
        <row r="537">
          <cell r="Q537">
            <v>5</v>
          </cell>
          <cell r="R537">
            <v>2.7319423558897184E-2</v>
          </cell>
          <cell r="S537">
            <v>0.97268057644110284</v>
          </cell>
          <cell r="T537">
            <v>0</v>
          </cell>
        </row>
        <row r="538">
          <cell r="Q538">
            <v>4</v>
          </cell>
          <cell r="R538">
            <v>2.7319423558897184E-2</v>
          </cell>
          <cell r="S538">
            <v>0.97268057644110284</v>
          </cell>
          <cell r="T538">
            <v>0</v>
          </cell>
        </row>
        <row r="539">
          <cell r="Q539">
            <v>3</v>
          </cell>
          <cell r="R539">
            <v>2.7319423558897184E-2</v>
          </cell>
          <cell r="S539">
            <v>0.97268057644110284</v>
          </cell>
          <cell r="T539">
            <v>0</v>
          </cell>
        </row>
        <row r="540">
          <cell r="Q540">
            <v>2</v>
          </cell>
          <cell r="R540">
            <v>2.7319423558897184E-2</v>
          </cell>
          <cell r="S540">
            <v>0.97268057644110284</v>
          </cell>
          <cell r="T540">
            <v>0</v>
          </cell>
        </row>
        <row r="541">
          <cell r="Q541">
            <v>1</v>
          </cell>
          <cell r="R541">
            <v>2.7319423558897184E-2</v>
          </cell>
          <cell r="S541">
            <v>0.97268057644110284</v>
          </cell>
          <cell r="T541">
            <v>0</v>
          </cell>
        </row>
        <row r="542">
          <cell r="Q542">
            <v>0</v>
          </cell>
          <cell r="R542">
            <v>0</v>
          </cell>
          <cell r="S542">
            <v>1</v>
          </cell>
          <cell r="T542">
            <v>0</v>
          </cell>
        </row>
      </sheetData>
      <sheetData sheetId="5" refreshError="1">
        <row r="1">
          <cell r="Q1" t="str">
            <v>Month</v>
          </cell>
          <cell r="R1" t="str">
            <v>Allianz Strategy Select 75</v>
          </cell>
          <cell r="S1" t="str">
            <v>Allianz Strategy Select 30</v>
          </cell>
          <cell r="T1" t="str">
            <v>Allianz Advanced Fixed Income Short Duration</v>
          </cell>
        </row>
        <row r="2">
          <cell r="Q2">
            <v>540</v>
          </cell>
          <cell r="R2">
            <v>0.99999997777777772</v>
          </cell>
          <cell r="S2">
            <v>2.2222222284540294E-8</v>
          </cell>
          <cell r="T2">
            <v>0</v>
          </cell>
        </row>
        <row r="3">
          <cell r="Q3">
            <v>539</v>
          </cell>
          <cell r="R3">
            <v>0.99999997777777772</v>
          </cell>
          <cell r="S3">
            <v>2.2222222284540294E-8</v>
          </cell>
          <cell r="T3">
            <v>0</v>
          </cell>
        </row>
        <row r="4">
          <cell r="Q4">
            <v>538</v>
          </cell>
          <cell r="R4">
            <v>0.99999997777777772</v>
          </cell>
          <cell r="S4">
            <v>2.2222222284540294E-8</v>
          </cell>
          <cell r="T4">
            <v>0</v>
          </cell>
        </row>
        <row r="5">
          <cell r="Q5">
            <v>537</v>
          </cell>
          <cell r="R5">
            <v>0.99999997777777772</v>
          </cell>
          <cell r="S5">
            <v>2.2222222284540294E-8</v>
          </cell>
          <cell r="T5">
            <v>0</v>
          </cell>
        </row>
        <row r="6">
          <cell r="Q6">
            <v>536</v>
          </cell>
          <cell r="R6">
            <v>0.99999997777777772</v>
          </cell>
          <cell r="S6">
            <v>2.2222222284540294E-8</v>
          </cell>
          <cell r="T6">
            <v>0</v>
          </cell>
        </row>
        <row r="7">
          <cell r="Q7">
            <v>535</v>
          </cell>
          <cell r="R7">
            <v>0.99999997777777772</v>
          </cell>
          <cell r="S7">
            <v>2.2222222284540294E-8</v>
          </cell>
          <cell r="T7">
            <v>0</v>
          </cell>
        </row>
        <row r="8">
          <cell r="Q8">
            <v>534</v>
          </cell>
          <cell r="R8">
            <v>0.99999997777777772</v>
          </cell>
          <cell r="S8">
            <v>2.2222222284540294E-8</v>
          </cell>
          <cell r="T8">
            <v>0</v>
          </cell>
        </row>
        <row r="9">
          <cell r="Q9">
            <v>533</v>
          </cell>
          <cell r="R9">
            <v>0.99999997777777772</v>
          </cell>
          <cell r="S9">
            <v>2.2222222284540294E-8</v>
          </cell>
          <cell r="T9">
            <v>0</v>
          </cell>
        </row>
        <row r="10">
          <cell r="Q10">
            <v>532</v>
          </cell>
          <cell r="R10">
            <v>0.99999997777777772</v>
          </cell>
          <cell r="S10">
            <v>2.2222222284540294E-8</v>
          </cell>
          <cell r="T10">
            <v>0</v>
          </cell>
        </row>
        <row r="11">
          <cell r="Q11">
            <v>531</v>
          </cell>
          <cell r="R11">
            <v>0.99999997777777772</v>
          </cell>
          <cell r="S11">
            <v>2.2222222284540294E-8</v>
          </cell>
          <cell r="T11">
            <v>0</v>
          </cell>
        </row>
        <row r="12">
          <cell r="Q12">
            <v>530</v>
          </cell>
          <cell r="R12">
            <v>0.99999997777777772</v>
          </cell>
          <cell r="S12">
            <v>2.2222222284540294E-8</v>
          </cell>
          <cell r="T12">
            <v>0</v>
          </cell>
        </row>
        <row r="13">
          <cell r="Q13">
            <v>529</v>
          </cell>
          <cell r="R13">
            <v>0.99999997777777772</v>
          </cell>
          <cell r="S13">
            <v>2.2222222284540294E-8</v>
          </cell>
          <cell r="T13">
            <v>0</v>
          </cell>
        </row>
        <row r="14">
          <cell r="Q14">
            <v>528</v>
          </cell>
          <cell r="R14">
            <v>0.99999997777777772</v>
          </cell>
          <cell r="S14">
            <v>2.2222222284540294E-8</v>
          </cell>
          <cell r="T14">
            <v>0</v>
          </cell>
        </row>
        <row r="15">
          <cell r="Q15">
            <v>527</v>
          </cell>
          <cell r="R15">
            <v>0.99999997777777772</v>
          </cell>
          <cell r="S15">
            <v>2.2222222284540294E-8</v>
          </cell>
          <cell r="T15">
            <v>0</v>
          </cell>
        </row>
        <row r="16">
          <cell r="Q16">
            <v>526</v>
          </cell>
          <cell r="R16">
            <v>0.99999997777777772</v>
          </cell>
          <cell r="S16">
            <v>2.2222222284540294E-8</v>
          </cell>
          <cell r="T16">
            <v>0</v>
          </cell>
        </row>
        <row r="17">
          <cell r="Q17">
            <v>525</v>
          </cell>
          <cell r="R17">
            <v>0.99999997777777772</v>
          </cell>
          <cell r="S17">
            <v>2.2222222284540294E-8</v>
          </cell>
          <cell r="T17">
            <v>0</v>
          </cell>
        </row>
        <row r="18">
          <cell r="Q18">
            <v>524</v>
          </cell>
          <cell r="R18">
            <v>0.99999997777777772</v>
          </cell>
          <cell r="S18">
            <v>2.2222222284540294E-8</v>
          </cell>
          <cell r="T18">
            <v>0</v>
          </cell>
        </row>
        <row r="19">
          <cell r="Q19">
            <v>523</v>
          </cell>
          <cell r="R19">
            <v>0.99999997777777772</v>
          </cell>
          <cell r="S19">
            <v>2.2222222284540294E-8</v>
          </cell>
          <cell r="T19">
            <v>0</v>
          </cell>
        </row>
        <row r="20">
          <cell r="Q20">
            <v>522</v>
          </cell>
          <cell r="R20">
            <v>0.99999997777777772</v>
          </cell>
          <cell r="S20">
            <v>2.2222222284540294E-8</v>
          </cell>
          <cell r="T20">
            <v>0</v>
          </cell>
        </row>
        <row r="21">
          <cell r="Q21">
            <v>521</v>
          </cell>
          <cell r="R21">
            <v>0.99999997777777772</v>
          </cell>
          <cell r="S21">
            <v>2.2222222284540294E-8</v>
          </cell>
          <cell r="T21">
            <v>0</v>
          </cell>
        </row>
        <row r="22">
          <cell r="Q22">
            <v>520</v>
          </cell>
          <cell r="R22">
            <v>0.99999997777777772</v>
          </cell>
          <cell r="S22">
            <v>2.2222222284540294E-8</v>
          </cell>
          <cell r="T22">
            <v>0</v>
          </cell>
        </row>
        <row r="23">
          <cell r="Q23">
            <v>519</v>
          </cell>
          <cell r="R23">
            <v>0.99999997777777772</v>
          </cell>
          <cell r="S23">
            <v>2.2222222284540294E-8</v>
          </cell>
          <cell r="T23">
            <v>0</v>
          </cell>
        </row>
        <row r="24">
          <cell r="Q24">
            <v>518</v>
          </cell>
          <cell r="R24">
            <v>0.99999997777777772</v>
          </cell>
          <cell r="S24">
            <v>2.2222222284540294E-8</v>
          </cell>
          <cell r="T24">
            <v>0</v>
          </cell>
        </row>
        <row r="25">
          <cell r="Q25">
            <v>517</v>
          </cell>
          <cell r="R25">
            <v>0.99999997777777772</v>
          </cell>
          <cell r="S25">
            <v>2.2222222284540294E-8</v>
          </cell>
          <cell r="T25">
            <v>0</v>
          </cell>
        </row>
        <row r="26">
          <cell r="Q26">
            <v>516</v>
          </cell>
          <cell r="R26">
            <v>0.99999997777777772</v>
          </cell>
          <cell r="S26">
            <v>2.2222222284540294E-8</v>
          </cell>
          <cell r="T26">
            <v>0</v>
          </cell>
        </row>
        <row r="27">
          <cell r="Q27">
            <v>515</v>
          </cell>
          <cell r="R27">
            <v>0.99999997777777772</v>
          </cell>
          <cell r="S27">
            <v>2.2222222284540294E-8</v>
          </cell>
          <cell r="T27">
            <v>0</v>
          </cell>
        </row>
        <row r="28">
          <cell r="Q28">
            <v>514</v>
          </cell>
          <cell r="R28">
            <v>0.99999997777777772</v>
          </cell>
          <cell r="S28">
            <v>2.2222222284540294E-8</v>
          </cell>
          <cell r="T28">
            <v>0</v>
          </cell>
        </row>
        <row r="29">
          <cell r="Q29">
            <v>513</v>
          </cell>
          <cell r="R29">
            <v>0.99999997777777772</v>
          </cell>
          <cell r="S29">
            <v>2.2222222284540294E-8</v>
          </cell>
          <cell r="T29">
            <v>0</v>
          </cell>
        </row>
        <row r="30">
          <cell r="Q30">
            <v>512</v>
          </cell>
          <cell r="R30">
            <v>0.99999997777777772</v>
          </cell>
          <cell r="S30">
            <v>2.2222222284540294E-8</v>
          </cell>
          <cell r="T30">
            <v>0</v>
          </cell>
        </row>
        <row r="31">
          <cell r="Q31">
            <v>511</v>
          </cell>
          <cell r="R31">
            <v>0.99999997777777772</v>
          </cell>
          <cell r="S31">
            <v>2.2222222284540294E-8</v>
          </cell>
          <cell r="T31">
            <v>0</v>
          </cell>
        </row>
        <row r="32">
          <cell r="Q32">
            <v>510</v>
          </cell>
          <cell r="R32">
            <v>0.99999997777777772</v>
          </cell>
          <cell r="S32">
            <v>2.2222222284540294E-8</v>
          </cell>
          <cell r="T32">
            <v>0</v>
          </cell>
        </row>
        <row r="33">
          <cell r="Q33">
            <v>509</v>
          </cell>
          <cell r="R33">
            <v>0.99999997777777772</v>
          </cell>
          <cell r="S33">
            <v>2.2222222284540294E-8</v>
          </cell>
          <cell r="T33">
            <v>0</v>
          </cell>
        </row>
        <row r="34">
          <cell r="Q34">
            <v>508</v>
          </cell>
          <cell r="R34">
            <v>0.99999997777777772</v>
          </cell>
          <cell r="S34">
            <v>2.2222222284540294E-8</v>
          </cell>
          <cell r="T34">
            <v>0</v>
          </cell>
        </row>
        <row r="35">
          <cell r="Q35">
            <v>507</v>
          </cell>
          <cell r="R35">
            <v>0.99999997777777772</v>
          </cell>
          <cell r="S35">
            <v>2.2222222284540294E-8</v>
          </cell>
          <cell r="T35">
            <v>0</v>
          </cell>
        </row>
        <row r="36">
          <cell r="Q36">
            <v>506</v>
          </cell>
          <cell r="R36">
            <v>0.99999997777777772</v>
          </cell>
          <cell r="S36">
            <v>2.2222222284540294E-8</v>
          </cell>
          <cell r="T36">
            <v>0</v>
          </cell>
        </row>
        <row r="37">
          <cell r="Q37">
            <v>505</v>
          </cell>
          <cell r="R37">
            <v>0.99999997777777772</v>
          </cell>
          <cell r="S37">
            <v>2.2222222284540294E-8</v>
          </cell>
          <cell r="T37">
            <v>0</v>
          </cell>
        </row>
        <row r="38">
          <cell r="Q38">
            <v>504</v>
          </cell>
          <cell r="R38">
            <v>0.99999997777777772</v>
          </cell>
          <cell r="S38">
            <v>2.2222222284540294E-8</v>
          </cell>
          <cell r="T38">
            <v>0</v>
          </cell>
        </row>
        <row r="39">
          <cell r="Q39">
            <v>503</v>
          </cell>
          <cell r="R39">
            <v>0.99999997777777772</v>
          </cell>
          <cell r="S39">
            <v>2.2222222284540294E-8</v>
          </cell>
          <cell r="T39">
            <v>0</v>
          </cell>
        </row>
        <row r="40">
          <cell r="Q40">
            <v>502</v>
          </cell>
          <cell r="R40">
            <v>0.99999997777777772</v>
          </cell>
          <cell r="S40">
            <v>2.2222222284540294E-8</v>
          </cell>
          <cell r="T40">
            <v>0</v>
          </cell>
        </row>
        <row r="41">
          <cell r="Q41">
            <v>501</v>
          </cell>
          <cell r="R41">
            <v>0.99999997777777772</v>
          </cell>
          <cell r="S41">
            <v>2.2222222284540294E-8</v>
          </cell>
          <cell r="T41">
            <v>0</v>
          </cell>
        </row>
        <row r="42">
          <cell r="Q42">
            <v>500</v>
          </cell>
          <cell r="R42">
            <v>0.99999997777777772</v>
          </cell>
          <cell r="S42">
            <v>2.2222222284540294E-8</v>
          </cell>
          <cell r="T42">
            <v>0</v>
          </cell>
        </row>
        <row r="43">
          <cell r="Q43">
            <v>499</v>
          </cell>
          <cell r="R43">
            <v>0.99999997777777772</v>
          </cell>
          <cell r="S43">
            <v>2.2222222284540294E-8</v>
          </cell>
          <cell r="T43">
            <v>0</v>
          </cell>
        </row>
        <row r="44">
          <cell r="Q44">
            <v>498</v>
          </cell>
          <cell r="R44">
            <v>0.99999997777777772</v>
          </cell>
          <cell r="S44">
            <v>2.2222222284540294E-8</v>
          </cell>
          <cell r="T44">
            <v>0</v>
          </cell>
        </row>
        <row r="45">
          <cell r="Q45">
            <v>497</v>
          </cell>
          <cell r="R45">
            <v>0.99999997777777772</v>
          </cell>
          <cell r="S45">
            <v>2.2222222284540294E-8</v>
          </cell>
          <cell r="T45">
            <v>0</v>
          </cell>
        </row>
        <row r="46">
          <cell r="Q46">
            <v>496</v>
          </cell>
          <cell r="R46">
            <v>0.99999997777777772</v>
          </cell>
          <cell r="S46">
            <v>2.2222222284540294E-8</v>
          </cell>
          <cell r="T46">
            <v>0</v>
          </cell>
        </row>
        <row r="47">
          <cell r="Q47">
            <v>495</v>
          </cell>
          <cell r="R47">
            <v>0.99999997777777772</v>
          </cell>
          <cell r="S47">
            <v>2.2222222284540294E-8</v>
          </cell>
          <cell r="T47">
            <v>0</v>
          </cell>
        </row>
        <row r="48">
          <cell r="Q48">
            <v>494</v>
          </cell>
          <cell r="R48">
            <v>0.99999997777777772</v>
          </cell>
          <cell r="S48">
            <v>2.2222222284540294E-8</v>
          </cell>
          <cell r="T48">
            <v>0</v>
          </cell>
        </row>
        <row r="49">
          <cell r="Q49">
            <v>493</v>
          </cell>
          <cell r="R49">
            <v>0.99999997777777772</v>
          </cell>
          <cell r="S49">
            <v>2.2222222284540294E-8</v>
          </cell>
          <cell r="T49">
            <v>0</v>
          </cell>
        </row>
        <row r="50">
          <cell r="Q50">
            <v>492</v>
          </cell>
          <cell r="R50">
            <v>0.99999997777777772</v>
          </cell>
          <cell r="S50">
            <v>2.2222222284540294E-8</v>
          </cell>
          <cell r="T50">
            <v>0</v>
          </cell>
        </row>
        <row r="51">
          <cell r="Q51">
            <v>491</v>
          </cell>
          <cell r="R51">
            <v>0.99999997777777772</v>
          </cell>
          <cell r="S51">
            <v>2.2222222284540294E-8</v>
          </cell>
          <cell r="T51">
            <v>0</v>
          </cell>
        </row>
        <row r="52">
          <cell r="Q52">
            <v>490</v>
          </cell>
          <cell r="R52">
            <v>0.99999997777777772</v>
          </cell>
          <cell r="S52">
            <v>2.2222222284540294E-8</v>
          </cell>
          <cell r="T52">
            <v>0</v>
          </cell>
        </row>
        <row r="53">
          <cell r="Q53">
            <v>489</v>
          </cell>
          <cell r="R53">
            <v>0.99999997777777772</v>
          </cell>
          <cell r="S53">
            <v>2.2222222284540294E-8</v>
          </cell>
          <cell r="T53">
            <v>0</v>
          </cell>
        </row>
        <row r="54">
          <cell r="Q54">
            <v>488</v>
          </cell>
          <cell r="R54">
            <v>0.99999997777777772</v>
          </cell>
          <cell r="S54">
            <v>2.2222222284540294E-8</v>
          </cell>
          <cell r="T54">
            <v>0</v>
          </cell>
        </row>
        <row r="55">
          <cell r="Q55">
            <v>487</v>
          </cell>
          <cell r="R55">
            <v>0.99999997777777772</v>
          </cell>
          <cell r="S55">
            <v>2.2222222284540294E-8</v>
          </cell>
          <cell r="T55">
            <v>0</v>
          </cell>
        </row>
        <row r="56">
          <cell r="Q56">
            <v>486</v>
          </cell>
          <cell r="R56">
            <v>0.99999997777777772</v>
          </cell>
          <cell r="S56">
            <v>2.2222222284540294E-8</v>
          </cell>
          <cell r="T56">
            <v>0</v>
          </cell>
        </row>
        <row r="57">
          <cell r="Q57">
            <v>485</v>
          </cell>
          <cell r="R57">
            <v>0.99999997777777772</v>
          </cell>
          <cell r="S57">
            <v>2.2222222284540294E-8</v>
          </cell>
          <cell r="T57">
            <v>0</v>
          </cell>
        </row>
        <row r="58">
          <cell r="Q58">
            <v>484</v>
          </cell>
          <cell r="R58">
            <v>0.99999997777777772</v>
          </cell>
          <cell r="S58">
            <v>2.2222222284540294E-8</v>
          </cell>
          <cell r="T58">
            <v>0</v>
          </cell>
        </row>
        <row r="59">
          <cell r="Q59">
            <v>483</v>
          </cell>
          <cell r="R59">
            <v>0.99999997777777772</v>
          </cell>
          <cell r="S59">
            <v>2.2222222284540294E-8</v>
          </cell>
          <cell r="T59">
            <v>0</v>
          </cell>
        </row>
        <row r="60">
          <cell r="Q60">
            <v>482</v>
          </cell>
          <cell r="R60">
            <v>0.99999997777777772</v>
          </cell>
          <cell r="S60">
            <v>2.2222222284540294E-8</v>
          </cell>
          <cell r="T60">
            <v>0</v>
          </cell>
        </row>
        <row r="61">
          <cell r="Q61">
            <v>481</v>
          </cell>
          <cell r="R61">
            <v>0.99999997777777772</v>
          </cell>
          <cell r="S61">
            <v>2.2222222284540294E-8</v>
          </cell>
          <cell r="T61">
            <v>0</v>
          </cell>
        </row>
        <row r="62">
          <cell r="Q62">
            <v>480</v>
          </cell>
          <cell r="R62">
            <v>0.99999997777777772</v>
          </cell>
          <cell r="S62">
            <v>2.2222222284540294E-8</v>
          </cell>
          <cell r="T62">
            <v>0</v>
          </cell>
        </row>
        <row r="63">
          <cell r="Q63">
            <v>479</v>
          </cell>
          <cell r="R63">
            <v>0.99999997777777772</v>
          </cell>
          <cell r="S63">
            <v>2.2222222284540294E-8</v>
          </cell>
          <cell r="T63">
            <v>0</v>
          </cell>
        </row>
        <row r="64">
          <cell r="Q64">
            <v>478</v>
          </cell>
          <cell r="R64">
            <v>0.99999997777777772</v>
          </cell>
          <cell r="S64">
            <v>2.2222222284540294E-8</v>
          </cell>
          <cell r="T64">
            <v>0</v>
          </cell>
        </row>
        <row r="65">
          <cell r="Q65">
            <v>477</v>
          </cell>
          <cell r="R65">
            <v>0.99999997777777772</v>
          </cell>
          <cell r="S65">
            <v>2.2222222284540294E-8</v>
          </cell>
          <cell r="T65">
            <v>0</v>
          </cell>
        </row>
        <row r="66">
          <cell r="Q66">
            <v>476</v>
          </cell>
          <cell r="R66">
            <v>0.99999997777777772</v>
          </cell>
          <cell r="S66">
            <v>2.2222222284540294E-8</v>
          </cell>
          <cell r="T66">
            <v>0</v>
          </cell>
        </row>
        <row r="67">
          <cell r="Q67">
            <v>475</v>
          </cell>
          <cell r="R67">
            <v>0.99999997777777772</v>
          </cell>
          <cell r="S67">
            <v>2.2222222284540294E-8</v>
          </cell>
          <cell r="T67">
            <v>0</v>
          </cell>
        </row>
        <row r="68">
          <cell r="Q68">
            <v>474</v>
          </cell>
          <cell r="R68">
            <v>0.99999997777777772</v>
          </cell>
          <cell r="S68">
            <v>2.2222222284540294E-8</v>
          </cell>
          <cell r="T68">
            <v>0</v>
          </cell>
        </row>
        <row r="69">
          <cell r="Q69">
            <v>473</v>
          </cell>
          <cell r="R69">
            <v>0.99999997777777772</v>
          </cell>
          <cell r="S69">
            <v>2.2222222284540294E-8</v>
          </cell>
          <cell r="T69">
            <v>0</v>
          </cell>
        </row>
        <row r="70">
          <cell r="Q70">
            <v>472</v>
          </cell>
          <cell r="R70">
            <v>0.99999997777777772</v>
          </cell>
          <cell r="S70">
            <v>2.2222222284540294E-8</v>
          </cell>
          <cell r="T70">
            <v>0</v>
          </cell>
        </row>
        <row r="71">
          <cell r="Q71">
            <v>471</v>
          </cell>
          <cell r="R71">
            <v>0.99999997777777772</v>
          </cell>
          <cell r="S71">
            <v>2.2222222284540294E-8</v>
          </cell>
          <cell r="T71">
            <v>0</v>
          </cell>
        </row>
        <row r="72">
          <cell r="Q72">
            <v>470</v>
          </cell>
          <cell r="R72">
            <v>0.99999997777777772</v>
          </cell>
          <cell r="S72">
            <v>2.2222222284540294E-8</v>
          </cell>
          <cell r="T72">
            <v>0</v>
          </cell>
        </row>
        <row r="73">
          <cell r="Q73">
            <v>469</v>
          </cell>
          <cell r="R73">
            <v>0.99999997777777772</v>
          </cell>
          <cell r="S73">
            <v>2.2222222284540294E-8</v>
          </cell>
          <cell r="T73">
            <v>0</v>
          </cell>
        </row>
        <row r="74">
          <cell r="Q74">
            <v>468</v>
          </cell>
          <cell r="R74">
            <v>0.99999997777777772</v>
          </cell>
          <cell r="S74">
            <v>2.2222222284540294E-8</v>
          </cell>
          <cell r="T74">
            <v>0</v>
          </cell>
        </row>
        <row r="75">
          <cell r="Q75">
            <v>467</v>
          </cell>
          <cell r="R75">
            <v>0.99999997777777772</v>
          </cell>
          <cell r="S75">
            <v>2.2222222284540294E-8</v>
          </cell>
          <cell r="T75">
            <v>0</v>
          </cell>
        </row>
        <row r="76">
          <cell r="Q76">
            <v>466</v>
          </cell>
          <cell r="R76">
            <v>0.99999997777777772</v>
          </cell>
          <cell r="S76">
            <v>2.2222222284540294E-8</v>
          </cell>
          <cell r="T76">
            <v>0</v>
          </cell>
        </row>
        <row r="77">
          <cell r="Q77">
            <v>465</v>
          </cell>
          <cell r="R77">
            <v>0.99999997777777772</v>
          </cell>
          <cell r="S77">
            <v>2.2222222284540294E-8</v>
          </cell>
          <cell r="T77">
            <v>0</v>
          </cell>
        </row>
        <row r="78">
          <cell r="Q78">
            <v>464</v>
          </cell>
          <cell r="R78">
            <v>0.99999997777777772</v>
          </cell>
          <cell r="S78">
            <v>2.2222222284540294E-8</v>
          </cell>
          <cell r="T78">
            <v>0</v>
          </cell>
        </row>
        <row r="79">
          <cell r="Q79">
            <v>463</v>
          </cell>
          <cell r="R79">
            <v>0.99999997777777772</v>
          </cell>
          <cell r="S79">
            <v>2.2222222284540294E-8</v>
          </cell>
          <cell r="T79">
            <v>0</v>
          </cell>
        </row>
        <row r="80">
          <cell r="Q80">
            <v>462</v>
          </cell>
          <cell r="R80">
            <v>0.99999997777777772</v>
          </cell>
          <cell r="S80">
            <v>2.2222222284540294E-8</v>
          </cell>
          <cell r="T80">
            <v>0</v>
          </cell>
        </row>
        <row r="81">
          <cell r="Q81">
            <v>461</v>
          </cell>
          <cell r="R81">
            <v>0.99999997777777772</v>
          </cell>
          <cell r="S81">
            <v>2.2222222284540294E-8</v>
          </cell>
          <cell r="T81">
            <v>0</v>
          </cell>
        </row>
        <row r="82">
          <cell r="Q82">
            <v>460</v>
          </cell>
          <cell r="R82">
            <v>0.99999997777777772</v>
          </cell>
          <cell r="S82">
            <v>2.2222222284540294E-8</v>
          </cell>
          <cell r="T82">
            <v>0</v>
          </cell>
        </row>
        <row r="83">
          <cell r="Q83">
            <v>459</v>
          </cell>
          <cell r="R83">
            <v>0.99999997777777772</v>
          </cell>
          <cell r="S83">
            <v>2.2222222284540294E-8</v>
          </cell>
          <cell r="T83">
            <v>0</v>
          </cell>
        </row>
        <row r="84">
          <cell r="Q84">
            <v>458</v>
          </cell>
          <cell r="R84">
            <v>0.99999997777777772</v>
          </cell>
          <cell r="S84">
            <v>2.2222222284540294E-8</v>
          </cell>
          <cell r="T84">
            <v>0</v>
          </cell>
        </row>
        <row r="85">
          <cell r="Q85">
            <v>457</v>
          </cell>
          <cell r="R85">
            <v>0.99999997777777772</v>
          </cell>
          <cell r="S85">
            <v>2.2222222284540294E-8</v>
          </cell>
          <cell r="T85">
            <v>0</v>
          </cell>
        </row>
        <row r="86">
          <cell r="Q86">
            <v>456</v>
          </cell>
          <cell r="R86">
            <v>0.99999997777777772</v>
          </cell>
          <cell r="S86">
            <v>2.2222222284540294E-8</v>
          </cell>
          <cell r="T86">
            <v>0</v>
          </cell>
        </row>
        <row r="87">
          <cell r="Q87">
            <v>455</v>
          </cell>
          <cell r="R87">
            <v>0.99999997777777772</v>
          </cell>
          <cell r="S87">
            <v>2.2222222284540294E-8</v>
          </cell>
          <cell r="T87">
            <v>0</v>
          </cell>
        </row>
        <row r="88">
          <cell r="Q88">
            <v>454</v>
          </cell>
          <cell r="R88">
            <v>0.99999997777777772</v>
          </cell>
          <cell r="S88">
            <v>2.2222222284540294E-8</v>
          </cell>
          <cell r="T88">
            <v>0</v>
          </cell>
        </row>
        <row r="89">
          <cell r="Q89">
            <v>453</v>
          </cell>
          <cell r="R89">
            <v>0.99999997777777772</v>
          </cell>
          <cell r="S89">
            <v>2.2222222284540294E-8</v>
          </cell>
          <cell r="T89">
            <v>0</v>
          </cell>
        </row>
        <row r="90">
          <cell r="Q90">
            <v>452</v>
          </cell>
          <cell r="R90">
            <v>0.99999997777777772</v>
          </cell>
          <cell r="S90">
            <v>2.2222222284540294E-8</v>
          </cell>
          <cell r="T90">
            <v>0</v>
          </cell>
        </row>
        <row r="91">
          <cell r="Q91">
            <v>451</v>
          </cell>
          <cell r="R91">
            <v>0.99999997777777772</v>
          </cell>
          <cell r="S91">
            <v>2.2222222284540294E-8</v>
          </cell>
          <cell r="T91">
            <v>0</v>
          </cell>
        </row>
        <row r="92">
          <cell r="Q92">
            <v>450</v>
          </cell>
          <cell r="R92">
            <v>0.99999997777777772</v>
          </cell>
          <cell r="S92">
            <v>2.2222222284540294E-8</v>
          </cell>
          <cell r="T92">
            <v>0</v>
          </cell>
        </row>
        <row r="93">
          <cell r="Q93">
            <v>449</v>
          </cell>
          <cell r="R93">
            <v>0.99999997777777772</v>
          </cell>
          <cell r="S93">
            <v>2.2222222284540294E-8</v>
          </cell>
          <cell r="T93">
            <v>0</v>
          </cell>
        </row>
        <row r="94">
          <cell r="Q94">
            <v>448</v>
          </cell>
          <cell r="R94">
            <v>0.99999997777777772</v>
          </cell>
          <cell r="S94">
            <v>2.2222222284540294E-8</v>
          </cell>
          <cell r="T94">
            <v>0</v>
          </cell>
        </row>
        <row r="95">
          <cell r="Q95">
            <v>447</v>
          </cell>
          <cell r="R95">
            <v>0.99999997777777772</v>
          </cell>
          <cell r="S95">
            <v>2.2222222284540294E-8</v>
          </cell>
          <cell r="T95">
            <v>0</v>
          </cell>
        </row>
        <row r="96">
          <cell r="Q96">
            <v>446</v>
          </cell>
          <cell r="R96">
            <v>0.99999997777777772</v>
          </cell>
          <cell r="S96">
            <v>2.2222222284540294E-8</v>
          </cell>
          <cell r="T96">
            <v>0</v>
          </cell>
        </row>
        <row r="97">
          <cell r="Q97">
            <v>445</v>
          </cell>
          <cell r="R97">
            <v>0.99999997777777772</v>
          </cell>
          <cell r="S97">
            <v>2.2222222284540294E-8</v>
          </cell>
          <cell r="T97">
            <v>0</v>
          </cell>
        </row>
        <row r="98">
          <cell r="Q98">
            <v>444</v>
          </cell>
          <cell r="R98">
            <v>0.99999997777777772</v>
          </cell>
          <cell r="S98">
            <v>2.2222222284540294E-8</v>
          </cell>
          <cell r="T98">
            <v>0</v>
          </cell>
        </row>
        <row r="99">
          <cell r="Q99">
            <v>443</v>
          </cell>
          <cell r="R99">
            <v>0.99999997777777772</v>
          </cell>
          <cell r="S99">
            <v>2.2222222284540294E-8</v>
          </cell>
          <cell r="T99">
            <v>0</v>
          </cell>
        </row>
        <row r="100">
          <cell r="Q100">
            <v>442</v>
          </cell>
          <cell r="R100">
            <v>0.99999997777777772</v>
          </cell>
          <cell r="S100">
            <v>2.2222222284540294E-8</v>
          </cell>
          <cell r="T100">
            <v>0</v>
          </cell>
        </row>
        <row r="101">
          <cell r="Q101">
            <v>441</v>
          </cell>
          <cell r="R101">
            <v>0.99999997777777772</v>
          </cell>
          <cell r="S101">
            <v>2.2222222284540294E-8</v>
          </cell>
          <cell r="T101">
            <v>0</v>
          </cell>
        </row>
        <row r="102">
          <cell r="Q102">
            <v>440</v>
          </cell>
          <cell r="R102">
            <v>0.99999997777777772</v>
          </cell>
          <cell r="S102">
            <v>2.2222222284540294E-8</v>
          </cell>
          <cell r="T102">
            <v>0</v>
          </cell>
        </row>
        <row r="103">
          <cell r="Q103">
            <v>439</v>
          </cell>
          <cell r="R103">
            <v>0.99999997777777772</v>
          </cell>
          <cell r="S103">
            <v>2.2222222284540294E-8</v>
          </cell>
          <cell r="T103">
            <v>0</v>
          </cell>
        </row>
        <row r="104">
          <cell r="Q104">
            <v>438</v>
          </cell>
          <cell r="R104">
            <v>0.99999997777777772</v>
          </cell>
          <cell r="S104">
            <v>2.2222222284540294E-8</v>
          </cell>
          <cell r="T104">
            <v>0</v>
          </cell>
        </row>
        <row r="105">
          <cell r="Q105">
            <v>437</v>
          </cell>
          <cell r="R105">
            <v>0.99999997777777772</v>
          </cell>
          <cell r="S105">
            <v>2.2222222284540294E-8</v>
          </cell>
          <cell r="T105">
            <v>0</v>
          </cell>
        </row>
        <row r="106">
          <cell r="Q106">
            <v>436</v>
          </cell>
          <cell r="R106">
            <v>0.99999997777777772</v>
          </cell>
          <cell r="S106">
            <v>2.2222222284540294E-8</v>
          </cell>
          <cell r="T106">
            <v>0</v>
          </cell>
        </row>
        <row r="107">
          <cell r="Q107">
            <v>435</v>
          </cell>
          <cell r="R107">
            <v>0.99999997777777772</v>
          </cell>
          <cell r="S107">
            <v>2.2222222284540294E-8</v>
          </cell>
          <cell r="T107">
            <v>0</v>
          </cell>
        </row>
        <row r="108">
          <cell r="Q108">
            <v>434</v>
          </cell>
          <cell r="R108">
            <v>0.99999997777777772</v>
          </cell>
          <cell r="S108">
            <v>2.2222222284540294E-8</v>
          </cell>
          <cell r="T108">
            <v>0</v>
          </cell>
        </row>
        <row r="109">
          <cell r="Q109">
            <v>433</v>
          </cell>
          <cell r="R109">
            <v>0.99999997777777772</v>
          </cell>
          <cell r="S109">
            <v>2.2222222284540294E-8</v>
          </cell>
          <cell r="T109">
            <v>0</v>
          </cell>
        </row>
        <row r="110">
          <cell r="Q110">
            <v>432</v>
          </cell>
          <cell r="R110">
            <v>0.99999997777777772</v>
          </cell>
          <cell r="S110">
            <v>2.2222222284540294E-8</v>
          </cell>
          <cell r="T110">
            <v>0</v>
          </cell>
        </row>
        <row r="111">
          <cell r="Q111">
            <v>431</v>
          </cell>
          <cell r="R111">
            <v>0.99999997777777772</v>
          </cell>
          <cell r="S111">
            <v>2.2222222284540294E-8</v>
          </cell>
          <cell r="T111">
            <v>0</v>
          </cell>
        </row>
        <row r="112">
          <cell r="Q112">
            <v>430</v>
          </cell>
          <cell r="R112">
            <v>0.99999997777777772</v>
          </cell>
          <cell r="S112">
            <v>2.2222222284540294E-8</v>
          </cell>
          <cell r="T112">
            <v>0</v>
          </cell>
        </row>
        <row r="113">
          <cell r="Q113">
            <v>429</v>
          </cell>
          <cell r="R113">
            <v>0.99999997777777772</v>
          </cell>
          <cell r="S113">
            <v>2.2222222284540294E-8</v>
          </cell>
          <cell r="T113">
            <v>0</v>
          </cell>
        </row>
        <row r="114">
          <cell r="Q114">
            <v>428</v>
          </cell>
          <cell r="R114">
            <v>0.99999997777777772</v>
          </cell>
          <cell r="S114">
            <v>2.2222222284540294E-8</v>
          </cell>
          <cell r="T114">
            <v>0</v>
          </cell>
        </row>
        <row r="115">
          <cell r="Q115">
            <v>427</v>
          </cell>
          <cell r="R115">
            <v>0.99999997777777772</v>
          </cell>
          <cell r="S115">
            <v>2.2222222284540294E-8</v>
          </cell>
          <cell r="T115">
            <v>0</v>
          </cell>
        </row>
        <row r="116">
          <cell r="Q116">
            <v>426</v>
          </cell>
          <cell r="R116">
            <v>0.99999997777777772</v>
          </cell>
          <cell r="S116">
            <v>2.2222222284540294E-8</v>
          </cell>
          <cell r="T116">
            <v>0</v>
          </cell>
        </row>
        <row r="117">
          <cell r="Q117">
            <v>425</v>
          </cell>
          <cell r="R117">
            <v>0.99999997777777772</v>
          </cell>
          <cell r="S117">
            <v>2.2222222284540294E-8</v>
          </cell>
          <cell r="T117">
            <v>0</v>
          </cell>
        </row>
        <row r="118">
          <cell r="Q118">
            <v>424</v>
          </cell>
          <cell r="R118">
            <v>0.99999997777777772</v>
          </cell>
          <cell r="S118">
            <v>2.2222222284540294E-8</v>
          </cell>
          <cell r="T118">
            <v>0</v>
          </cell>
        </row>
        <row r="119">
          <cell r="Q119">
            <v>423</v>
          </cell>
          <cell r="R119">
            <v>0.99999997777777772</v>
          </cell>
          <cell r="S119">
            <v>2.2222222284540294E-8</v>
          </cell>
          <cell r="T119">
            <v>0</v>
          </cell>
        </row>
        <row r="120">
          <cell r="Q120">
            <v>422</v>
          </cell>
          <cell r="R120">
            <v>0.99999997777777772</v>
          </cell>
          <cell r="S120">
            <v>2.2222222284540294E-8</v>
          </cell>
          <cell r="T120">
            <v>0</v>
          </cell>
        </row>
        <row r="121">
          <cell r="Q121">
            <v>421</v>
          </cell>
          <cell r="R121">
            <v>0.99999997777777772</v>
          </cell>
          <cell r="S121">
            <v>2.2222222284540294E-8</v>
          </cell>
          <cell r="T121">
            <v>0</v>
          </cell>
        </row>
        <row r="122">
          <cell r="Q122">
            <v>420</v>
          </cell>
          <cell r="R122">
            <v>0.99999997777777772</v>
          </cell>
          <cell r="S122">
            <v>2.2222222284540294E-8</v>
          </cell>
          <cell r="T122">
            <v>0</v>
          </cell>
        </row>
        <row r="123">
          <cell r="Q123">
            <v>419</v>
          </cell>
          <cell r="R123">
            <v>0.99999997777777772</v>
          </cell>
          <cell r="S123">
            <v>2.2222222284540294E-8</v>
          </cell>
          <cell r="T123">
            <v>0</v>
          </cell>
        </row>
        <row r="124">
          <cell r="Q124">
            <v>418</v>
          </cell>
          <cell r="R124">
            <v>0.99999997777777772</v>
          </cell>
          <cell r="S124">
            <v>2.2222222284540294E-8</v>
          </cell>
          <cell r="T124">
            <v>0</v>
          </cell>
        </row>
        <row r="125">
          <cell r="Q125">
            <v>417</v>
          </cell>
          <cell r="R125">
            <v>0.99999997777777772</v>
          </cell>
          <cell r="S125">
            <v>2.2222222284540294E-8</v>
          </cell>
          <cell r="T125">
            <v>0</v>
          </cell>
        </row>
        <row r="126">
          <cell r="Q126">
            <v>416</v>
          </cell>
          <cell r="R126">
            <v>0.99999997777777772</v>
          </cell>
          <cell r="S126">
            <v>2.2222222284540294E-8</v>
          </cell>
          <cell r="T126">
            <v>0</v>
          </cell>
        </row>
        <row r="127">
          <cell r="Q127">
            <v>415</v>
          </cell>
          <cell r="R127">
            <v>0.99999997777777772</v>
          </cell>
          <cell r="S127">
            <v>2.2222222284540294E-8</v>
          </cell>
          <cell r="T127">
            <v>0</v>
          </cell>
        </row>
        <row r="128">
          <cell r="Q128">
            <v>414</v>
          </cell>
          <cell r="R128">
            <v>0.99999997777777772</v>
          </cell>
          <cell r="S128">
            <v>2.2222222284540294E-8</v>
          </cell>
          <cell r="T128">
            <v>0</v>
          </cell>
        </row>
        <row r="129">
          <cell r="Q129">
            <v>413</v>
          </cell>
          <cell r="R129">
            <v>0.99999997777777772</v>
          </cell>
          <cell r="S129">
            <v>2.2222222284540294E-8</v>
          </cell>
          <cell r="T129">
            <v>0</v>
          </cell>
        </row>
        <row r="130">
          <cell r="Q130">
            <v>412</v>
          </cell>
          <cell r="R130">
            <v>0.99999997777777772</v>
          </cell>
          <cell r="S130">
            <v>2.2222222284540294E-8</v>
          </cell>
          <cell r="T130">
            <v>0</v>
          </cell>
        </row>
        <row r="131">
          <cell r="Q131">
            <v>411</v>
          </cell>
          <cell r="R131">
            <v>0.99999997777777772</v>
          </cell>
          <cell r="S131">
            <v>2.2222222284540294E-8</v>
          </cell>
          <cell r="T131">
            <v>0</v>
          </cell>
        </row>
        <row r="132">
          <cell r="Q132">
            <v>410</v>
          </cell>
          <cell r="R132">
            <v>0.99999997777777772</v>
          </cell>
          <cell r="S132">
            <v>2.2222222284540294E-8</v>
          </cell>
          <cell r="T132">
            <v>0</v>
          </cell>
        </row>
        <row r="133">
          <cell r="Q133">
            <v>409</v>
          </cell>
          <cell r="R133">
            <v>0.99999997777777772</v>
          </cell>
          <cell r="S133">
            <v>2.2222222284540294E-8</v>
          </cell>
          <cell r="T133">
            <v>0</v>
          </cell>
        </row>
        <row r="134">
          <cell r="Q134">
            <v>408</v>
          </cell>
          <cell r="R134">
            <v>0.99999997777777772</v>
          </cell>
          <cell r="S134">
            <v>2.2222222284540294E-8</v>
          </cell>
          <cell r="T134">
            <v>0</v>
          </cell>
        </row>
        <row r="135">
          <cell r="Q135">
            <v>407</v>
          </cell>
          <cell r="R135">
            <v>0.99999997777777772</v>
          </cell>
          <cell r="S135">
            <v>2.2222222284540294E-8</v>
          </cell>
          <cell r="T135">
            <v>0</v>
          </cell>
        </row>
        <row r="136">
          <cell r="Q136">
            <v>406</v>
          </cell>
          <cell r="R136">
            <v>0.99999997777777772</v>
          </cell>
          <cell r="S136">
            <v>2.2222222284540294E-8</v>
          </cell>
          <cell r="T136">
            <v>0</v>
          </cell>
        </row>
        <row r="137">
          <cell r="Q137">
            <v>405</v>
          </cell>
          <cell r="R137">
            <v>0.99999997777777772</v>
          </cell>
          <cell r="S137">
            <v>2.2222222284540294E-8</v>
          </cell>
          <cell r="T137">
            <v>0</v>
          </cell>
        </row>
        <row r="138">
          <cell r="Q138">
            <v>404</v>
          </cell>
          <cell r="R138">
            <v>0.99999997777777772</v>
          </cell>
          <cell r="S138">
            <v>2.2222222284540294E-8</v>
          </cell>
          <cell r="T138">
            <v>0</v>
          </cell>
        </row>
        <row r="139">
          <cell r="Q139">
            <v>403</v>
          </cell>
          <cell r="R139">
            <v>0.99999997777777772</v>
          </cell>
          <cell r="S139">
            <v>2.2222222284540294E-8</v>
          </cell>
          <cell r="T139">
            <v>0</v>
          </cell>
        </row>
        <row r="140">
          <cell r="Q140">
            <v>402</v>
          </cell>
          <cell r="R140">
            <v>0.99999997777777772</v>
          </cell>
          <cell r="S140">
            <v>2.2222222284540294E-8</v>
          </cell>
          <cell r="T140">
            <v>0</v>
          </cell>
        </row>
        <row r="141">
          <cell r="Q141">
            <v>401</v>
          </cell>
          <cell r="R141">
            <v>0.99999997777777772</v>
          </cell>
          <cell r="S141">
            <v>2.2222222284540294E-8</v>
          </cell>
          <cell r="T141">
            <v>0</v>
          </cell>
        </row>
        <row r="142">
          <cell r="Q142">
            <v>400</v>
          </cell>
          <cell r="R142">
            <v>0.99999997777777772</v>
          </cell>
          <cell r="S142">
            <v>2.2222222284540294E-8</v>
          </cell>
          <cell r="T142">
            <v>0</v>
          </cell>
        </row>
        <row r="143">
          <cell r="Q143">
            <v>399</v>
          </cell>
          <cell r="R143">
            <v>0.99999997777777772</v>
          </cell>
          <cell r="S143">
            <v>2.2222222284540294E-8</v>
          </cell>
          <cell r="T143">
            <v>0</v>
          </cell>
        </row>
        <row r="144">
          <cell r="Q144">
            <v>398</v>
          </cell>
          <cell r="R144">
            <v>0.99999997777777772</v>
          </cell>
          <cell r="S144">
            <v>2.2222222284540294E-8</v>
          </cell>
          <cell r="T144">
            <v>0</v>
          </cell>
        </row>
        <row r="145">
          <cell r="Q145">
            <v>397</v>
          </cell>
          <cell r="R145">
            <v>0.99999997777777772</v>
          </cell>
          <cell r="S145">
            <v>2.2222222284540294E-8</v>
          </cell>
          <cell r="T145">
            <v>0</v>
          </cell>
        </row>
        <row r="146">
          <cell r="Q146">
            <v>396</v>
          </cell>
          <cell r="R146">
            <v>0.99999997777777772</v>
          </cell>
          <cell r="S146">
            <v>2.2222222284540294E-8</v>
          </cell>
          <cell r="T146">
            <v>0</v>
          </cell>
        </row>
        <row r="147">
          <cell r="Q147">
            <v>395</v>
          </cell>
          <cell r="R147">
            <v>0.99999997777777772</v>
          </cell>
          <cell r="S147">
            <v>2.2222222284540294E-8</v>
          </cell>
          <cell r="T147">
            <v>0</v>
          </cell>
        </row>
        <row r="148">
          <cell r="Q148">
            <v>394</v>
          </cell>
          <cell r="R148">
            <v>0.99999997777777772</v>
          </cell>
          <cell r="S148">
            <v>2.2222222284540294E-8</v>
          </cell>
          <cell r="T148">
            <v>0</v>
          </cell>
        </row>
        <row r="149">
          <cell r="Q149">
            <v>393</v>
          </cell>
          <cell r="R149">
            <v>0.99999997777777772</v>
          </cell>
          <cell r="S149">
            <v>2.2222222284540294E-8</v>
          </cell>
          <cell r="T149">
            <v>0</v>
          </cell>
        </row>
        <row r="150">
          <cell r="Q150">
            <v>392</v>
          </cell>
          <cell r="R150">
            <v>0.99999997777777772</v>
          </cell>
          <cell r="S150">
            <v>2.2222222284540294E-8</v>
          </cell>
          <cell r="T150">
            <v>0</v>
          </cell>
        </row>
        <row r="151">
          <cell r="Q151">
            <v>391</v>
          </cell>
          <cell r="R151">
            <v>0.99999997777777772</v>
          </cell>
          <cell r="S151">
            <v>2.2222222284540294E-8</v>
          </cell>
          <cell r="T151">
            <v>0</v>
          </cell>
        </row>
        <row r="152">
          <cell r="Q152">
            <v>390</v>
          </cell>
          <cell r="R152">
            <v>0.99999997777777772</v>
          </cell>
          <cell r="S152">
            <v>2.2222222284540294E-8</v>
          </cell>
          <cell r="T152">
            <v>0</v>
          </cell>
        </row>
        <row r="153">
          <cell r="Q153">
            <v>389</v>
          </cell>
          <cell r="R153">
            <v>0.99999997777777772</v>
          </cell>
          <cell r="S153">
            <v>2.2222222284540294E-8</v>
          </cell>
          <cell r="T153">
            <v>0</v>
          </cell>
        </row>
        <row r="154">
          <cell r="Q154">
            <v>388</v>
          </cell>
          <cell r="R154">
            <v>0.99999997777777772</v>
          </cell>
          <cell r="S154">
            <v>2.2222222284540294E-8</v>
          </cell>
          <cell r="T154">
            <v>0</v>
          </cell>
        </row>
        <row r="155">
          <cell r="Q155">
            <v>387</v>
          </cell>
          <cell r="R155">
            <v>0.99999997777777772</v>
          </cell>
          <cell r="S155">
            <v>2.2222222284540294E-8</v>
          </cell>
          <cell r="T155">
            <v>0</v>
          </cell>
        </row>
        <row r="156">
          <cell r="Q156">
            <v>386</v>
          </cell>
          <cell r="R156">
            <v>0.99999997777777772</v>
          </cell>
          <cell r="S156">
            <v>2.2222222284540294E-8</v>
          </cell>
          <cell r="T156">
            <v>0</v>
          </cell>
        </row>
        <row r="157">
          <cell r="Q157">
            <v>385</v>
          </cell>
          <cell r="R157">
            <v>0.99999997777777772</v>
          </cell>
          <cell r="S157">
            <v>2.2222222284540294E-8</v>
          </cell>
          <cell r="T157">
            <v>0</v>
          </cell>
        </row>
        <row r="158">
          <cell r="Q158">
            <v>384</v>
          </cell>
          <cell r="R158">
            <v>0.99999997777777772</v>
          </cell>
          <cell r="S158">
            <v>2.2222222284540294E-8</v>
          </cell>
          <cell r="T158">
            <v>0</v>
          </cell>
        </row>
        <row r="159">
          <cell r="Q159">
            <v>383</v>
          </cell>
          <cell r="R159">
            <v>0.99999997777777772</v>
          </cell>
          <cell r="S159">
            <v>2.2222222284540294E-8</v>
          </cell>
          <cell r="T159">
            <v>0</v>
          </cell>
        </row>
        <row r="160">
          <cell r="Q160">
            <v>382</v>
          </cell>
          <cell r="R160">
            <v>0.99999997777777772</v>
          </cell>
          <cell r="S160">
            <v>2.2222222284540294E-8</v>
          </cell>
          <cell r="T160">
            <v>0</v>
          </cell>
        </row>
        <row r="161">
          <cell r="Q161">
            <v>381</v>
          </cell>
          <cell r="R161">
            <v>0.99999997777777772</v>
          </cell>
          <cell r="S161">
            <v>2.2222222284540294E-8</v>
          </cell>
          <cell r="T161">
            <v>0</v>
          </cell>
        </row>
        <row r="162">
          <cell r="Q162">
            <v>380</v>
          </cell>
          <cell r="R162">
            <v>0.99999997777777772</v>
          </cell>
          <cell r="S162">
            <v>2.2222222284540294E-8</v>
          </cell>
          <cell r="T162">
            <v>0</v>
          </cell>
        </row>
        <row r="163">
          <cell r="Q163">
            <v>379</v>
          </cell>
          <cell r="R163">
            <v>0.99999997777777772</v>
          </cell>
          <cell r="S163">
            <v>2.2222222284540294E-8</v>
          </cell>
          <cell r="T163">
            <v>0</v>
          </cell>
        </row>
        <row r="164">
          <cell r="Q164">
            <v>378</v>
          </cell>
          <cell r="R164">
            <v>0.99999997777777772</v>
          </cell>
          <cell r="S164">
            <v>2.2222222284540294E-8</v>
          </cell>
          <cell r="T164">
            <v>0</v>
          </cell>
        </row>
        <row r="165">
          <cell r="Q165">
            <v>377</v>
          </cell>
          <cell r="R165">
            <v>0.99999997777777772</v>
          </cell>
          <cell r="S165">
            <v>2.2222222284540294E-8</v>
          </cell>
          <cell r="T165">
            <v>0</v>
          </cell>
        </row>
        <row r="166">
          <cell r="Q166">
            <v>376</v>
          </cell>
          <cell r="R166">
            <v>0.99999997777777772</v>
          </cell>
          <cell r="S166">
            <v>2.2222222284540294E-8</v>
          </cell>
          <cell r="T166">
            <v>0</v>
          </cell>
        </row>
        <row r="167">
          <cell r="Q167">
            <v>375</v>
          </cell>
          <cell r="R167">
            <v>0.99999997777777772</v>
          </cell>
          <cell r="S167">
            <v>2.2222222284540294E-8</v>
          </cell>
          <cell r="T167">
            <v>0</v>
          </cell>
        </row>
        <row r="168">
          <cell r="Q168">
            <v>374</v>
          </cell>
          <cell r="R168">
            <v>0.99999997777777772</v>
          </cell>
          <cell r="S168">
            <v>2.2222222284540294E-8</v>
          </cell>
          <cell r="T168">
            <v>0</v>
          </cell>
        </row>
        <row r="169">
          <cell r="Q169">
            <v>373</v>
          </cell>
          <cell r="R169">
            <v>0.99999997777777772</v>
          </cell>
          <cell r="S169">
            <v>2.2222222284540294E-8</v>
          </cell>
          <cell r="T169">
            <v>0</v>
          </cell>
        </row>
        <row r="170">
          <cell r="Q170">
            <v>372</v>
          </cell>
          <cell r="R170">
            <v>0.99999997777777772</v>
          </cell>
          <cell r="S170">
            <v>2.2222222284540294E-8</v>
          </cell>
          <cell r="T170">
            <v>0</v>
          </cell>
        </row>
        <row r="171">
          <cell r="Q171">
            <v>371</v>
          </cell>
          <cell r="R171">
            <v>0.99999997777777772</v>
          </cell>
          <cell r="S171">
            <v>2.2222222284540294E-8</v>
          </cell>
          <cell r="T171">
            <v>0</v>
          </cell>
        </row>
        <row r="172">
          <cell r="Q172">
            <v>370</v>
          </cell>
          <cell r="R172">
            <v>0.99999997777777772</v>
          </cell>
          <cell r="S172">
            <v>2.2222222284540294E-8</v>
          </cell>
          <cell r="T172">
            <v>0</v>
          </cell>
        </row>
        <row r="173">
          <cell r="Q173">
            <v>369</v>
          </cell>
          <cell r="R173">
            <v>0.99999997777777772</v>
          </cell>
          <cell r="S173">
            <v>2.2222222284540294E-8</v>
          </cell>
          <cell r="T173">
            <v>0</v>
          </cell>
        </row>
        <row r="174">
          <cell r="Q174">
            <v>368</v>
          </cell>
          <cell r="R174">
            <v>0.99999997777777772</v>
          </cell>
          <cell r="S174">
            <v>2.2222222284540294E-8</v>
          </cell>
          <cell r="T174">
            <v>0</v>
          </cell>
        </row>
        <row r="175">
          <cell r="Q175">
            <v>367</v>
          </cell>
          <cell r="R175">
            <v>0.99999997777777772</v>
          </cell>
          <cell r="S175">
            <v>2.2222222284540294E-8</v>
          </cell>
          <cell r="T175">
            <v>0</v>
          </cell>
        </row>
        <row r="176">
          <cell r="Q176">
            <v>366</v>
          </cell>
          <cell r="R176">
            <v>0.99999997777777772</v>
          </cell>
          <cell r="S176">
            <v>2.2222222284540294E-8</v>
          </cell>
          <cell r="T176">
            <v>0</v>
          </cell>
        </row>
        <row r="177">
          <cell r="Q177">
            <v>365</v>
          </cell>
          <cell r="R177">
            <v>0.99999997777777772</v>
          </cell>
          <cell r="S177">
            <v>2.2222222284540294E-8</v>
          </cell>
          <cell r="T177">
            <v>0</v>
          </cell>
        </row>
        <row r="178">
          <cell r="Q178">
            <v>364</v>
          </cell>
          <cell r="R178">
            <v>0.99999997777777772</v>
          </cell>
          <cell r="S178">
            <v>2.2222222284540294E-8</v>
          </cell>
          <cell r="T178">
            <v>0</v>
          </cell>
        </row>
        <row r="179">
          <cell r="Q179">
            <v>363</v>
          </cell>
          <cell r="R179">
            <v>0.99999997777777772</v>
          </cell>
          <cell r="S179">
            <v>2.2222222284540294E-8</v>
          </cell>
          <cell r="T179">
            <v>0</v>
          </cell>
        </row>
        <row r="180">
          <cell r="Q180">
            <v>362</v>
          </cell>
          <cell r="R180">
            <v>0.99999997777777772</v>
          </cell>
          <cell r="S180">
            <v>2.2222222284540294E-8</v>
          </cell>
          <cell r="T180">
            <v>0</v>
          </cell>
        </row>
        <row r="181">
          <cell r="Q181">
            <v>361</v>
          </cell>
          <cell r="R181">
            <v>0.99999997777777772</v>
          </cell>
          <cell r="S181">
            <v>2.2222222284540294E-8</v>
          </cell>
          <cell r="T181">
            <v>0</v>
          </cell>
        </row>
        <row r="182">
          <cell r="Q182">
            <v>360</v>
          </cell>
          <cell r="R182">
            <v>0.99999997777777772</v>
          </cell>
          <cell r="S182">
            <v>2.2222222284540294E-8</v>
          </cell>
          <cell r="T182">
            <v>0</v>
          </cell>
        </row>
        <row r="183">
          <cell r="Q183">
            <v>359</v>
          </cell>
          <cell r="R183">
            <v>0.99999997777777772</v>
          </cell>
          <cell r="S183">
            <v>2.2222222284540294E-8</v>
          </cell>
          <cell r="T183">
            <v>0</v>
          </cell>
        </row>
        <row r="184">
          <cell r="Q184">
            <v>358</v>
          </cell>
          <cell r="R184">
            <v>0.99999997777777772</v>
          </cell>
          <cell r="S184">
            <v>2.2222222284540294E-8</v>
          </cell>
          <cell r="T184">
            <v>0</v>
          </cell>
        </row>
        <row r="185">
          <cell r="Q185">
            <v>357</v>
          </cell>
          <cell r="R185">
            <v>0.99999997777777772</v>
          </cell>
          <cell r="S185">
            <v>2.2222222284540294E-8</v>
          </cell>
          <cell r="T185">
            <v>0</v>
          </cell>
        </row>
        <row r="186">
          <cell r="Q186">
            <v>356</v>
          </cell>
          <cell r="R186">
            <v>0.99999997777777772</v>
          </cell>
          <cell r="S186">
            <v>2.2222222284540294E-8</v>
          </cell>
          <cell r="T186">
            <v>0</v>
          </cell>
        </row>
        <row r="187">
          <cell r="Q187">
            <v>355</v>
          </cell>
          <cell r="R187">
            <v>0.99999997777777772</v>
          </cell>
          <cell r="S187">
            <v>2.2222222284540294E-8</v>
          </cell>
          <cell r="T187">
            <v>0</v>
          </cell>
        </row>
        <row r="188">
          <cell r="Q188">
            <v>354</v>
          </cell>
          <cell r="R188">
            <v>0.99999997777777772</v>
          </cell>
          <cell r="S188">
            <v>2.2222222284540294E-8</v>
          </cell>
          <cell r="T188">
            <v>0</v>
          </cell>
        </row>
        <row r="189">
          <cell r="Q189">
            <v>353</v>
          </cell>
          <cell r="R189">
            <v>0.99999997777777772</v>
          </cell>
          <cell r="S189">
            <v>2.2222222284540294E-8</v>
          </cell>
          <cell r="T189">
            <v>0</v>
          </cell>
        </row>
        <row r="190">
          <cell r="Q190">
            <v>352</v>
          </cell>
          <cell r="R190">
            <v>0.99999997777777772</v>
          </cell>
          <cell r="S190">
            <v>2.2222222284540294E-8</v>
          </cell>
          <cell r="T190">
            <v>0</v>
          </cell>
        </row>
        <row r="191">
          <cell r="Q191">
            <v>351</v>
          </cell>
          <cell r="R191">
            <v>0.99999997777777772</v>
          </cell>
          <cell r="S191">
            <v>2.2222222284540294E-8</v>
          </cell>
          <cell r="T191">
            <v>0</v>
          </cell>
        </row>
        <row r="192">
          <cell r="Q192">
            <v>350</v>
          </cell>
          <cell r="R192">
            <v>0.99999997777777772</v>
          </cell>
          <cell r="S192">
            <v>2.2222222284540294E-8</v>
          </cell>
          <cell r="T192">
            <v>0</v>
          </cell>
        </row>
        <row r="193">
          <cell r="Q193">
            <v>349</v>
          </cell>
          <cell r="R193">
            <v>0.99999997777777772</v>
          </cell>
          <cell r="S193">
            <v>2.2222222284540294E-8</v>
          </cell>
          <cell r="T193">
            <v>0</v>
          </cell>
        </row>
        <row r="194">
          <cell r="Q194">
            <v>348</v>
          </cell>
          <cell r="R194">
            <v>0.99999997777777772</v>
          </cell>
          <cell r="S194">
            <v>2.2222222284540294E-8</v>
          </cell>
          <cell r="T194">
            <v>0</v>
          </cell>
        </row>
        <row r="195">
          <cell r="Q195">
            <v>347</v>
          </cell>
          <cell r="R195">
            <v>0.99999997777777772</v>
          </cell>
          <cell r="S195">
            <v>2.2222222284540294E-8</v>
          </cell>
          <cell r="T195">
            <v>0</v>
          </cell>
        </row>
        <row r="196">
          <cell r="Q196">
            <v>346</v>
          </cell>
          <cell r="R196">
            <v>0.99999997777777772</v>
          </cell>
          <cell r="S196">
            <v>2.2222222284540294E-8</v>
          </cell>
          <cell r="T196">
            <v>0</v>
          </cell>
        </row>
        <row r="197">
          <cell r="Q197">
            <v>345</v>
          </cell>
          <cell r="R197">
            <v>0.99999997777777772</v>
          </cell>
          <cell r="S197">
            <v>2.2222222284540294E-8</v>
          </cell>
          <cell r="T197">
            <v>0</v>
          </cell>
        </row>
        <row r="198">
          <cell r="Q198">
            <v>344</v>
          </cell>
          <cell r="R198">
            <v>0.99999997777777772</v>
          </cell>
          <cell r="S198">
            <v>2.2222222284540294E-8</v>
          </cell>
          <cell r="T198">
            <v>0</v>
          </cell>
        </row>
        <row r="199">
          <cell r="Q199">
            <v>343</v>
          </cell>
          <cell r="R199">
            <v>0.99999997777777772</v>
          </cell>
          <cell r="S199">
            <v>2.2222222284540294E-8</v>
          </cell>
          <cell r="T199">
            <v>0</v>
          </cell>
        </row>
        <row r="200">
          <cell r="Q200">
            <v>342</v>
          </cell>
          <cell r="R200">
            <v>0.99999997777777772</v>
          </cell>
          <cell r="S200">
            <v>2.2222222284540294E-8</v>
          </cell>
          <cell r="T200">
            <v>0</v>
          </cell>
        </row>
        <row r="201">
          <cell r="Q201">
            <v>341</v>
          </cell>
          <cell r="R201">
            <v>0.99999997777777772</v>
          </cell>
          <cell r="S201">
            <v>2.2222222284540294E-8</v>
          </cell>
          <cell r="T201">
            <v>0</v>
          </cell>
        </row>
        <row r="202">
          <cell r="Q202">
            <v>340</v>
          </cell>
          <cell r="R202">
            <v>0.99999997777777772</v>
          </cell>
          <cell r="S202">
            <v>2.2222222284540294E-8</v>
          </cell>
          <cell r="T202">
            <v>0</v>
          </cell>
        </row>
        <row r="203">
          <cell r="Q203">
            <v>339</v>
          </cell>
          <cell r="R203">
            <v>0.99999997777777772</v>
          </cell>
          <cell r="S203">
            <v>2.2222222284540294E-8</v>
          </cell>
          <cell r="T203">
            <v>0</v>
          </cell>
        </row>
        <row r="204">
          <cell r="Q204">
            <v>338</v>
          </cell>
          <cell r="R204">
            <v>0.99999997777777772</v>
          </cell>
          <cell r="S204">
            <v>2.2222222284540294E-8</v>
          </cell>
          <cell r="T204">
            <v>0</v>
          </cell>
        </row>
        <row r="205">
          <cell r="Q205">
            <v>337</v>
          </cell>
          <cell r="R205">
            <v>0.99999997777777772</v>
          </cell>
          <cell r="S205">
            <v>2.2222222284540294E-8</v>
          </cell>
          <cell r="T205">
            <v>0</v>
          </cell>
        </row>
        <row r="206">
          <cell r="Q206">
            <v>336</v>
          </cell>
          <cell r="R206">
            <v>0.99999997777777772</v>
          </cell>
          <cell r="S206">
            <v>2.2222222284540294E-8</v>
          </cell>
          <cell r="T206">
            <v>0</v>
          </cell>
        </row>
        <row r="207">
          <cell r="Q207">
            <v>335</v>
          </cell>
          <cell r="R207">
            <v>0.99999997777777772</v>
          </cell>
          <cell r="S207">
            <v>2.2222222284540294E-8</v>
          </cell>
          <cell r="T207">
            <v>0</v>
          </cell>
        </row>
        <row r="208">
          <cell r="Q208">
            <v>334</v>
          </cell>
          <cell r="R208">
            <v>0.99999997777777772</v>
          </cell>
          <cell r="S208">
            <v>2.2222222284540294E-8</v>
          </cell>
          <cell r="T208">
            <v>0</v>
          </cell>
        </row>
        <row r="209">
          <cell r="Q209">
            <v>333</v>
          </cell>
          <cell r="R209">
            <v>0.99999997777777772</v>
          </cell>
          <cell r="S209">
            <v>2.2222222284540294E-8</v>
          </cell>
          <cell r="T209">
            <v>0</v>
          </cell>
        </row>
        <row r="210">
          <cell r="Q210">
            <v>332</v>
          </cell>
          <cell r="R210">
            <v>0.99999997777777772</v>
          </cell>
          <cell r="S210">
            <v>2.2222222284540294E-8</v>
          </cell>
          <cell r="T210">
            <v>0</v>
          </cell>
        </row>
        <row r="211">
          <cell r="Q211">
            <v>331</v>
          </cell>
          <cell r="R211">
            <v>0.99999997777777772</v>
          </cell>
          <cell r="S211">
            <v>2.2222222284540294E-8</v>
          </cell>
          <cell r="T211">
            <v>0</v>
          </cell>
        </row>
        <row r="212">
          <cell r="Q212">
            <v>330</v>
          </cell>
          <cell r="R212">
            <v>0.99999997777777772</v>
          </cell>
          <cell r="S212">
            <v>2.2222222284540294E-8</v>
          </cell>
          <cell r="T212">
            <v>0</v>
          </cell>
        </row>
        <row r="213">
          <cell r="Q213">
            <v>329</v>
          </cell>
          <cell r="R213">
            <v>0.99999997777777772</v>
          </cell>
          <cell r="S213">
            <v>2.2222222284540294E-8</v>
          </cell>
          <cell r="T213">
            <v>0</v>
          </cell>
        </row>
        <row r="214">
          <cell r="Q214">
            <v>328</v>
          </cell>
          <cell r="R214">
            <v>0.99999997777777772</v>
          </cell>
          <cell r="S214">
            <v>2.2222222284540294E-8</v>
          </cell>
          <cell r="T214">
            <v>0</v>
          </cell>
        </row>
        <row r="215">
          <cell r="Q215">
            <v>327</v>
          </cell>
          <cell r="R215">
            <v>0.99999997777777772</v>
          </cell>
          <cell r="S215">
            <v>2.2222222284540294E-8</v>
          </cell>
          <cell r="T215">
            <v>0</v>
          </cell>
        </row>
        <row r="216">
          <cell r="Q216">
            <v>326</v>
          </cell>
          <cell r="R216">
            <v>0.99999997777777772</v>
          </cell>
          <cell r="S216">
            <v>2.2222222284540294E-8</v>
          </cell>
          <cell r="T216">
            <v>0</v>
          </cell>
        </row>
        <row r="217">
          <cell r="Q217">
            <v>325</v>
          </cell>
          <cell r="R217">
            <v>0.99999997777777772</v>
          </cell>
          <cell r="S217">
            <v>2.2222222284540294E-8</v>
          </cell>
          <cell r="T217">
            <v>0</v>
          </cell>
        </row>
        <row r="218">
          <cell r="Q218">
            <v>324</v>
          </cell>
          <cell r="R218">
            <v>0.99999997777777772</v>
          </cell>
          <cell r="S218">
            <v>2.2222222284540294E-8</v>
          </cell>
          <cell r="T218">
            <v>0</v>
          </cell>
        </row>
        <row r="219">
          <cell r="Q219">
            <v>323</v>
          </cell>
          <cell r="R219">
            <v>0.99999997777777772</v>
          </cell>
          <cell r="S219">
            <v>2.2222222284540294E-8</v>
          </cell>
          <cell r="T219">
            <v>0</v>
          </cell>
        </row>
        <row r="220">
          <cell r="Q220">
            <v>322</v>
          </cell>
          <cell r="R220">
            <v>0.99999997777777772</v>
          </cell>
          <cell r="S220">
            <v>2.2222222284540294E-8</v>
          </cell>
          <cell r="T220">
            <v>0</v>
          </cell>
        </row>
        <row r="221">
          <cell r="Q221">
            <v>321</v>
          </cell>
          <cell r="R221">
            <v>0.99999997777777772</v>
          </cell>
          <cell r="S221">
            <v>2.2222222284540294E-8</v>
          </cell>
          <cell r="T221">
            <v>0</v>
          </cell>
        </row>
        <row r="222">
          <cell r="Q222">
            <v>320</v>
          </cell>
          <cell r="R222">
            <v>0.99999997777777772</v>
          </cell>
          <cell r="S222">
            <v>2.2222222284540294E-8</v>
          </cell>
          <cell r="T222">
            <v>0</v>
          </cell>
        </row>
        <row r="223">
          <cell r="Q223">
            <v>319</v>
          </cell>
          <cell r="R223">
            <v>0.99999997777777772</v>
          </cell>
          <cell r="S223">
            <v>2.2222222284540294E-8</v>
          </cell>
          <cell r="T223">
            <v>0</v>
          </cell>
        </row>
        <row r="224">
          <cell r="Q224">
            <v>318</v>
          </cell>
          <cell r="R224">
            <v>0.99999997777777772</v>
          </cell>
          <cell r="S224">
            <v>2.2222222284540294E-8</v>
          </cell>
          <cell r="T224">
            <v>0</v>
          </cell>
        </row>
        <row r="225">
          <cell r="Q225">
            <v>317</v>
          </cell>
          <cell r="R225">
            <v>0.99999997777777772</v>
          </cell>
          <cell r="S225">
            <v>2.2222222284540294E-8</v>
          </cell>
          <cell r="T225">
            <v>0</v>
          </cell>
        </row>
        <row r="226">
          <cell r="Q226">
            <v>316</v>
          </cell>
          <cell r="R226">
            <v>0.99999997777777772</v>
          </cell>
          <cell r="S226">
            <v>2.2222222284540294E-8</v>
          </cell>
          <cell r="T226">
            <v>0</v>
          </cell>
        </row>
        <row r="227">
          <cell r="Q227">
            <v>315</v>
          </cell>
          <cell r="R227">
            <v>0.99999997777777772</v>
          </cell>
          <cell r="S227">
            <v>2.2222222284540294E-8</v>
          </cell>
          <cell r="T227">
            <v>0</v>
          </cell>
        </row>
        <row r="228">
          <cell r="Q228">
            <v>314</v>
          </cell>
          <cell r="R228">
            <v>0.99999997777777772</v>
          </cell>
          <cell r="S228">
            <v>2.2222222284540294E-8</v>
          </cell>
          <cell r="T228">
            <v>0</v>
          </cell>
        </row>
        <row r="229">
          <cell r="Q229">
            <v>313</v>
          </cell>
          <cell r="R229">
            <v>0.99999997777777772</v>
          </cell>
          <cell r="S229">
            <v>2.2222222284540294E-8</v>
          </cell>
          <cell r="T229">
            <v>0</v>
          </cell>
        </row>
        <row r="230">
          <cell r="Q230">
            <v>312</v>
          </cell>
          <cell r="R230">
            <v>0.99999997777777772</v>
          </cell>
          <cell r="S230">
            <v>2.2222222284540294E-8</v>
          </cell>
          <cell r="T230">
            <v>0</v>
          </cell>
        </row>
        <row r="231">
          <cell r="Q231">
            <v>311</v>
          </cell>
          <cell r="R231">
            <v>0.99999997777777772</v>
          </cell>
          <cell r="S231">
            <v>2.2222222284540294E-8</v>
          </cell>
          <cell r="T231">
            <v>0</v>
          </cell>
        </row>
        <row r="232">
          <cell r="Q232">
            <v>310</v>
          </cell>
          <cell r="R232">
            <v>0.99999997777777772</v>
          </cell>
          <cell r="S232">
            <v>2.2222222284540294E-8</v>
          </cell>
          <cell r="T232">
            <v>0</v>
          </cell>
        </row>
        <row r="233">
          <cell r="Q233">
            <v>309</v>
          </cell>
          <cell r="R233">
            <v>0.99999997777777772</v>
          </cell>
          <cell r="S233">
            <v>2.2222222284540294E-8</v>
          </cell>
          <cell r="T233">
            <v>0</v>
          </cell>
        </row>
        <row r="234">
          <cell r="Q234">
            <v>308</v>
          </cell>
          <cell r="R234">
            <v>0.99999997777777772</v>
          </cell>
          <cell r="S234">
            <v>2.2222222284540294E-8</v>
          </cell>
          <cell r="T234">
            <v>0</v>
          </cell>
        </row>
        <row r="235">
          <cell r="Q235">
            <v>307</v>
          </cell>
          <cell r="R235">
            <v>0.99999997777777772</v>
          </cell>
          <cell r="S235">
            <v>2.2222222284540294E-8</v>
          </cell>
          <cell r="T235">
            <v>0</v>
          </cell>
        </row>
        <row r="236">
          <cell r="Q236">
            <v>306</v>
          </cell>
          <cell r="R236">
            <v>0.99999997777777772</v>
          </cell>
          <cell r="S236">
            <v>2.2222222284540294E-8</v>
          </cell>
          <cell r="T236">
            <v>0</v>
          </cell>
        </row>
        <row r="237">
          <cell r="Q237">
            <v>305</v>
          </cell>
          <cell r="R237">
            <v>0.99999997777777772</v>
          </cell>
          <cell r="S237">
            <v>2.2222222284540294E-8</v>
          </cell>
          <cell r="T237">
            <v>0</v>
          </cell>
        </row>
        <row r="238">
          <cell r="Q238">
            <v>304</v>
          </cell>
          <cell r="R238">
            <v>0.99999997777777772</v>
          </cell>
          <cell r="S238">
            <v>2.2222222284540294E-8</v>
          </cell>
          <cell r="T238">
            <v>0</v>
          </cell>
        </row>
        <row r="239">
          <cell r="Q239">
            <v>303</v>
          </cell>
          <cell r="R239">
            <v>0.99999997777777772</v>
          </cell>
          <cell r="S239">
            <v>2.2222222284540294E-8</v>
          </cell>
          <cell r="T239">
            <v>0</v>
          </cell>
        </row>
        <row r="240">
          <cell r="Q240">
            <v>302</v>
          </cell>
          <cell r="R240">
            <v>0.99999997777777772</v>
          </cell>
          <cell r="S240">
            <v>2.2222222284540294E-8</v>
          </cell>
          <cell r="T240">
            <v>0</v>
          </cell>
        </row>
        <row r="241">
          <cell r="Q241">
            <v>301</v>
          </cell>
          <cell r="R241">
            <v>0.99999997777777772</v>
          </cell>
          <cell r="S241">
            <v>2.2222222284540294E-8</v>
          </cell>
          <cell r="T241">
            <v>0</v>
          </cell>
        </row>
        <row r="242">
          <cell r="Q242">
            <v>300</v>
          </cell>
          <cell r="R242">
            <v>0.99999997777777772</v>
          </cell>
          <cell r="S242">
            <v>2.2222222284540294E-8</v>
          </cell>
          <cell r="T242">
            <v>0</v>
          </cell>
        </row>
        <row r="243">
          <cell r="Q243">
            <v>299</v>
          </cell>
          <cell r="R243">
            <v>0.99999997777777772</v>
          </cell>
          <cell r="S243">
            <v>2.2222222284540294E-8</v>
          </cell>
          <cell r="T243">
            <v>0</v>
          </cell>
        </row>
        <row r="244">
          <cell r="Q244">
            <v>298</v>
          </cell>
          <cell r="R244">
            <v>0.99999997777777772</v>
          </cell>
          <cell r="S244">
            <v>2.2222222284540294E-8</v>
          </cell>
          <cell r="T244">
            <v>0</v>
          </cell>
        </row>
        <row r="245">
          <cell r="Q245">
            <v>297</v>
          </cell>
          <cell r="R245">
            <v>0.99999997777777772</v>
          </cell>
          <cell r="S245">
            <v>2.2222222284540294E-8</v>
          </cell>
          <cell r="T245">
            <v>0</v>
          </cell>
        </row>
        <row r="246">
          <cell r="Q246">
            <v>296</v>
          </cell>
          <cell r="R246">
            <v>0.99999997777777772</v>
          </cell>
          <cell r="S246">
            <v>2.2222222284540294E-8</v>
          </cell>
          <cell r="T246">
            <v>0</v>
          </cell>
        </row>
        <row r="247">
          <cell r="Q247">
            <v>295</v>
          </cell>
          <cell r="R247">
            <v>0.99999997777777772</v>
          </cell>
          <cell r="S247">
            <v>2.2222222284540294E-8</v>
          </cell>
          <cell r="T247">
            <v>0</v>
          </cell>
        </row>
        <row r="248">
          <cell r="Q248">
            <v>294</v>
          </cell>
          <cell r="R248">
            <v>0.99999997777777772</v>
          </cell>
          <cell r="S248">
            <v>2.2222222284540294E-8</v>
          </cell>
          <cell r="T248">
            <v>0</v>
          </cell>
        </row>
        <row r="249">
          <cell r="Q249">
            <v>293</v>
          </cell>
          <cell r="R249">
            <v>0.99999997777777772</v>
          </cell>
          <cell r="S249">
            <v>2.2222222284540294E-8</v>
          </cell>
          <cell r="T249">
            <v>0</v>
          </cell>
        </row>
        <row r="250">
          <cell r="Q250">
            <v>292</v>
          </cell>
          <cell r="R250">
            <v>0.99999997777777772</v>
          </cell>
          <cell r="S250">
            <v>2.2222222284540294E-8</v>
          </cell>
          <cell r="T250">
            <v>0</v>
          </cell>
        </row>
        <row r="251">
          <cell r="Q251">
            <v>291</v>
          </cell>
          <cell r="R251">
            <v>0.99999997777777772</v>
          </cell>
          <cell r="S251">
            <v>2.2222222284540294E-8</v>
          </cell>
          <cell r="T251">
            <v>0</v>
          </cell>
        </row>
        <row r="252">
          <cell r="Q252">
            <v>290</v>
          </cell>
          <cell r="R252">
            <v>0.99999997777777772</v>
          </cell>
          <cell r="S252">
            <v>2.2222222284540294E-8</v>
          </cell>
          <cell r="T252">
            <v>0</v>
          </cell>
        </row>
        <row r="253">
          <cell r="Q253">
            <v>289</v>
          </cell>
          <cell r="R253">
            <v>0.99999997777777772</v>
          </cell>
          <cell r="S253">
            <v>2.2222222284540294E-8</v>
          </cell>
          <cell r="T253">
            <v>0</v>
          </cell>
        </row>
        <row r="254">
          <cell r="Q254">
            <v>288</v>
          </cell>
          <cell r="R254">
            <v>0.99999997777777772</v>
          </cell>
          <cell r="S254">
            <v>2.2222222284540294E-8</v>
          </cell>
          <cell r="T254">
            <v>0</v>
          </cell>
        </row>
        <row r="255">
          <cell r="Q255">
            <v>287</v>
          </cell>
          <cell r="R255">
            <v>0.99999997777777772</v>
          </cell>
          <cell r="S255">
            <v>2.2222222284540294E-8</v>
          </cell>
          <cell r="T255">
            <v>0</v>
          </cell>
        </row>
        <row r="256">
          <cell r="Q256">
            <v>286</v>
          </cell>
          <cell r="R256">
            <v>0.99999997777777772</v>
          </cell>
          <cell r="S256">
            <v>2.2222222284540294E-8</v>
          </cell>
          <cell r="T256">
            <v>0</v>
          </cell>
        </row>
        <row r="257">
          <cell r="Q257">
            <v>285</v>
          </cell>
          <cell r="R257">
            <v>0.99999997777777772</v>
          </cell>
          <cell r="S257">
            <v>2.2222222284540294E-8</v>
          </cell>
          <cell r="T257">
            <v>0</v>
          </cell>
        </row>
        <row r="258">
          <cell r="Q258">
            <v>284</v>
          </cell>
          <cell r="R258">
            <v>0.99999997777777772</v>
          </cell>
          <cell r="S258">
            <v>2.2222222284540294E-8</v>
          </cell>
          <cell r="T258">
            <v>0</v>
          </cell>
        </row>
        <row r="259">
          <cell r="Q259">
            <v>283</v>
          </cell>
          <cell r="R259">
            <v>0.99999997777777772</v>
          </cell>
          <cell r="S259">
            <v>2.2222222284540294E-8</v>
          </cell>
          <cell r="T259">
            <v>0</v>
          </cell>
        </row>
        <row r="260">
          <cell r="Q260">
            <v>282</v>
          </cell>
          <cell r="R260">
            <v>0.99999997777777772</v>
          </cell>
          <cell r="S260">
            <v>2.2222222284540294E-8</v>
          </cell>
          <cell r="T260">
            <v>0</v>
          </cell>
        </row>
        <row r="261">
          <cell r="Q261">
            <v>281</v>
          </cell>
          <cell r="R261">
            <v>0.99999997777777772</v>
          </cell>
          <cell r="S261">
            <v>2.2222222284540294E-8</v>
          </cell>
          <cell r="T261">
            <v>0</v>
          </cell>
        </row>
        <row r="262">
          <cell r="Q262">
            <v>280</v>
          </cell>
          <cell r="R262">
            <v>0.99999997777777772</v>
          </cell>
          <cell r="S262">
            <v>2.2222222284540294E-8</v>
          </cell>
          <cell r="T262">
            <v>0</v>
          </cell>
        </row>
        <row r="263">
          <cell r="Q263">
            <v>279</v>
          </cell>
          <cell r="R263">
            <v>0.99999997777777772</v>
          </cell>
          <cell r="S263">
            <v>2.2222222284540294E-8</v>
          </cell>
          <cell r="T263">
            <v>0</v>
          </cell>
        </row>
        <row r="264">
          <cell r="Q264">
            <v>278</v>
          </cell>
          <cell r="R264">
            <v>0.99999997777777772</v>
          </cell>
          <cell r="S264">
            <v>2.2222222284540294E-8</v>
          </cell>
          <cell r="T264">
            <v>0</v>
          </cell>
        </row>
        <row r="265">
          <cell r="Q265">
            <v>277</v>
          </cell>
          <cell r="R265">
            <v>0.99999997777777772</v>
          </cell>
          <cell r="S265">
            <v>2.2222222284540294E-8</v>
          </cell>
          <cell r="T265">
            <v>0</v>
          </cell>
        </row>
        <row r="266">
          <cell r="Q266">
            <v>276</v>
          </cell>
          <cell r="R266">
            <v>0.99999997777777772</v>
          </cell>
          <cell r="S266">
            <v>2.2222222284540294E-8</v>
          </cell>
          <cell r="T266">
            <v>0</v>
          </cell>
        </row>
        <row r="267">
          <cell r="Q267">
            <v>275</v>
          </cell>
          <cell r="R267">
            <v>0.99999997777777772</v>
          </cell>
          <cell r="S267">
            <v>2.2222222284540294E-8</v>
          </cell>
          <cell r="T267">
            <v>0</v>
          </cell>
        </row>
        <row r="268">
          <cell r="Q268">
            <v>274</v>
          </cell>
          <cell r="R268">
            <v>0.99999997777777772</v>
          </cell>
          <cell r="S268">
            <v>2.2222222284540294E-8</v>
          </cell>
          <cell r="T268">
            <v>0</v>
          </cell>
        </row>
        <row r="269">
          <cell r="Q269">
            <v>273</v>
          </cell>
          <cell r="R269">
            <v>0.99999997777777772</v>
          </cell>
          <cell r="S269">
            <v>2.2222222284540294E-8</v>
          </cell>
          <cell r="T269">
            <v>0</v>
          </cell>
        </row>
        <row r="270">
          <cell r="Q270">
            <v>272</v>
          </cell>
          <cell r="R270">
            <v>0.99999997777777772</v>
          </cell>
          <cell r="S270">
            <v>2.2222222284540294E-8</v>
          </cell>
          <cell r="T270">
            <v>0</v>
          </cell>
        </row>
        <row r="271">
          <cell r="Q271">
            <v>271</v>
          </cell>
          <cell r="R271">
            <v>0.99999997777777772</v>
          </cell>
          <cell r="S271">
            <v>2.2222222284540294E-8</v>
          </cell>
          <cell r="T271">
            <v>0</v>
          </cell>
        </row>
        <row r="272">
          <cell r="Q272">
            <v>270</v>
          </cell>
          <cell r="R272">
            <v>0.99999997777777772</v>
          </cell>
          <cell r="S272">
            <v>2.2222222284540294E-8</v>
          </cell>
          <cell r="T272">
            <v>0</v>
          </cell>
        </row>
        <row r="273">
          <cell r="Q273">
            <v>269</v>
          </cell>
          <cell r="R273">
            <v>0.99999997777777772</v>
          </cell>
          <cell r="S273">
            <v>2.2222222284540294E-8</v>
          </cell>
          <cell r="T273">
            <v>0</v>
          </cell>
        </row>
        <row r="274">
          <cell r="Q274">
            <v>268</v>
          </cell>
          <cell r="R274">
            <v>0.99999997777777772</v>
          </cell>
          <cell r="S274">
            <v>2.2222222284540294E-8</v>
          </cell>
          <cell r="T274">
            <v>0</v>
          </cell>
        </row>
        <row r="275">
          <cell r="Q275">
            <v>267</v>
          </cell>
          <cell r="R275">
            <v>0.99999997777777772</v>
          </cell>
          <cell r="S275">
            <v>2.2222222284540294E-8</v>
          </cell>
          <cell r="T275">
            <v>0</v>
          </cell>
        </row>
        <row r="276">
          <cell r="Q276">
            <v>266</v>
          </cell>
          <cell r="R276">
            <v>0.99999997777777772</v>
          </cell>
          <cell r="S276">
            <v>2.2222222284540294E-8</v>
          </cell>
          <cell r="T276">
            <v>0</v>
          </cell>
        </row>
        <row r="277">
          <cell r="Q277">
            <v>265</v>
          </cell>
          <cell r="R277">
            <v>0.99999997777777772</v>
          </cell>
          <cell r="S277">
            <v>2.2222222284540294E-8</v>
          </cell>
          <cell r="T277">
            <v>0</v>
          </cell>
        </row>
        <row r="278">
          <cell r="Q278">
            <v>264</v>
          </cell>
          <cell r="R278">
            <v>0.99999997777777772</v>
          </cell>
          <cell r="S278">
            <v>2.2222222284540294E-8</v>
          </cell>
          <cell r="T278">
            <v>0</v>
          </cell>
        </row>
        <row r="279">
          <cell r="Q279">
            <v>263</v>
          </cell>
          <cell r="R279">
            <v>0.99999997777777772</v>
          </cell>
          <cell r="S279">
            <v>2.2222222284540294E-8</v>
          </cell>
          <cell r="T279">
            <v>0</v>
          </cell>
        </row>
        <row r="280">
          <cell r="Q280">
            <v>262</v>
          </cell>
          <cell r="R280">
            <v>0.99999997777777772</v>
          </cell>
          <cell r="S280">
            <v>2.2222222284540294E-8</v>
          </cell>
          <cell r="T280">
            <v>0</v>
          </cell>
        </row>
        <row r="281">
          <cell r="Q281">
            <v>261</v>
          </cell>
          <cell r="R281">
            <v>0.99999997777777772</v>
          </cell>
          <cell r="S281">
            <v>2.2222222284540294E-8</v>
          </cell>
          <cell r="T281">
            <v>0</v>
          </cell>
        </row>
        <row r="282">
          <cell r="Q282">
            <v>260</v>
          </cell>
          <cell r="R282">
            <v>0.99999997777777772</v>
          </cell>
          <cell r="S282">
            <v>2.2222222284540294E-8</v>
          </cell>
          <cell r="T282">
            <v>0</v>
          </cell>
        </row>
        <row r="283">
          <cell r="Q283">
            <v>259</v>
          </cell>
          <cell r="R283">
            <v>0.99999997777777772</v>
          </cell>
          <cell r="S283">
            <v>2.2222222284540294E-8</v>
          </cell>
          <cell r="T283">
            <v>0</v>
          </cell>
        </row>
        <row r="284">
          <cell r="Q284">
            <v>258</v>
          </cell>
          <cell r="R284">
            <v>0.99999997777777772</v>
          </cell>
          <cell r="S284">
            <v>2.2222222284540294E-8</v>
          </cell>
          <cell r="T284">
            <v>0</v>
          </cell>
        </row>
        <row r="285">
          <cell r="Q285">
            <v>257</v>
          </cell>
          <cell r="R285">
            <v>0.99999997777777772</v>
          </cell>
          <cell r="S285">
            <v>2.2222222284540294E-8</v>
          </cell>
          <cell r="T285">
            <v>0</v>
          </cell>
        </row>
        <row r="286">
          <cell r="Q286">
            <v>256</v>
          </cell>
          <cell r="R286">
            <v>0.99999997777777772</v>
          </cell>
          <cell r="S286">
            <v>2.2222222284540294E-8</v>
          </cell>
          <cell r="T286">
            <v>0</v>
          </cell>
        </row>
        <row r="287">
          <cell r="Q287">
            <v>255</v>
          </cell>
          <cell r="R287">
            <v>0.99999997777777772</v>
          </cell>
          <cell r="S287">
            <v>2.2222222284540294E-8</v>
          </cell>
          <cell r="T287">
            <v>0</v>
          </cell>
        </row>
        <row r="288">
          <cell r="Q288">
            <v>254</v>
          </cell>
          <cell r="R288">
            <v>0.99999997777777772</v>
          </cell>
          <cell r="S288">
            <v>2.2222222284540294E-8</v>
          </cell>
          <cell r="T288">
            <v>0</v>
          </cell>
        </row>
        <row r="289">
          <cell r="Q289">
            <v>253</v>
          </cell>
          <cell r="R289">
            <v>0.99999997777777772</v>
          </cell>
          <cell r="S289">
            <v>2.2222222284540294E-8</v>
          </cell>
          <cell r="T289">
            <v>0</v>
          </cell>
        </row>
        <row r="290">
          <cell r="Q290">
            <v>252</v>
          </cell>
          <cell r="R290">
            <v>0.99999997777777772</v>
          </cell>
          <cell r="S290">
            <v>2.2222222284540294E-8</v>
          </cell>
          <cell r="T290">
            <v>0</v>
          </cell>
        </row>
        <row r="291">
          <cell r="Q291">
            <v>251</v>
          </cell>
          <cell r="R291">
            <v>0.99999997777777772</v>
          </cell>
          <cell r="S291">
            <v>2.2222222284540294E-8</v>
          </cell>
          <cell r="T291">
            <v>0</v>
          </cell>
        </row>
        <row r="292">
          <cell r="Q292">
            <v>250</v>
          </cell>
          <cell r="R292">
            <v>0.99999997777777772</v>
          </cell>
          <cell r="S292">
            <v>2.2222222284540294E-8</v>
          </cell>
          <cell r="T292">
            <v>0</v>
          </cell>
        </row>
        <row r="293">
          <cell r="Q293">
            <v>249</v>
          </cell>
          <cell r="R293">
            <v>0.99999997777777772</v>
          </cell>
          <cell r="S293">
            <v>2.2222222284540294E-8</v>
          </cell>
          <cell r="T293">
            <v>0</v>
          </cell>
        </row>
        <row r="294">
          <cell r="Q294">
            <v>248</v>
          </cell>
          <cell r="R294">
            <v>0.99999997777777772</v>
          </cell>
          <cell r="S294">
            <v>2.2222222284540294E-8</v>
          </cell>
          <cell r="T294">
            <v>0</v>
          </cell>
        </row>
        <row r="295">
          <cell r="Q295">
            <v>247</v>
          </cell>
          <cell r="R295">
            <v>0.99999997777777772</v>
          </cell>
          <cell r="S295">
            <v>2.2222222284540294E-8</v>
          </cell>
          <cell r="T295">
            <v>0</v>
          </cell>
        </row>
        <row r="296">
          <cell r="Q296">
            <v>246</v>
          </cell>
          <cell r="R296">
            <v>0.99999997777777772</v>
          </cell>
          <cell r="S296">
            <v>2.2222222284540294E-8</v>
          </cell>
          <cell r="T296">
            <v>0</v>
          </cell>
        </row>
        <row r="297">
          <cell r="Q297">
            <v>245</v>
          </cell>
          <cell r="R297">
            <v>0.99999997777777772</v>
          </cell>
          <cell r="S297">
            <v>2.2222222284540294E-8</v>
          </cell>
          <cell r="T297">
            <v>0</v>
          </cell>
        </row>
        <row r="298">
          <cell r="Q298">
            <v>244</v>
          </cell>
          <cell r="R298">
            <v>0.99999997777777772</v>
          </cell>
          <cell r="S298">
            <v>2.2222222284540294E-8</v>
          </cell>
          <cell r="T298">
            <v>0</v>
          </cell>
        </row>
        <row r="299">
          <cell r="Q299">
            <v>243</v>
          </cell>
          <cell r="R299">
            <v>0.99999997777777772</v>
          </cell>
          <cell r="S299">
            <v>2.2222222284540294E-8</v>
          </cell>
          <cell r="T299">
            <v>0</v>
          </cell>
        </row>
        <row r="300">
          <cell r="Q300">
            <v>242</v>
          </cell>
          <cell r="R300">
            <v>0.99999997777777772</v>
          </cell>
          <cell r="S300">
            <v>2.2222222284540294E-8</v>
          </cell>
          <cell r="T300">
            <v>0</v>
          </cell>
        </row>
        <row r="301">
          <cell r="Q301">
            <v>241</v>
          </cell>
          <cell r="R301">
            <v>0.99999997777777772</v>
          </cell>
          <cell r="S301">
            <v>2.2222222284540294E-8</v>
          </cell>
          <cell r="T301">
            <v>0</v>
          </cell>
        </row>
        <row r="302">
          <cell r="Q302">
            <v>240</v>
          </cell>
          <cell r="R302">
            <v>0.99999997777777772</v>
          </cell>
          <cell r="S302">
            <v>2.2222222284540294E-8</v>
          </cell>
          <cell r="T302">
            <v>0</v>
          </cell>
        </row>
        <row r="303">
          <cell r="Q303">
            <v>239</v>
          </cell>
          <cell r="R303">
            <v>0.99999997777777772</v>
          </cell>
          <cell r="S303">
            <v>2.2222222284540294E-8</v>
          </cell>
          <cell r="T303">
            <v>0</v>
          </cell>
        </row>
        <row r="304">
          <cell r="Q304">
            <v>238</v>
          </cell>
          <cell r="R304">
            <v>0.99999997777777772</v>
          </cell>
          <cell r="S304">
            <v>2.2222222284540294E-8</v>
          </cell>
          <cell r="T304">
            <v>0</v>
          </cell>
        </row>
        <row r="305">
          <cell r="Q305">
            <v>237</v>
          </cell>
          <cell r="R305">
            <v>0.99999997777777772</v>
          </cell>
          <cell r="S305">
            <v>2.2222222284540294E-8</v>
          </cell>
          <cell r="T305">
            <v>0</v>
          </cell>
        </row>
        <row r="306">
          <cell r="Q306">
            <v>236</v>
          </cell>
          <cell r="R306">
            <v>0.99999997777777772</v>
          </cell>
          <cell r="S306">
            <v>2.2222222284540294E-8</v>
          </cell>
          <cell r="T306">
            <v>0</v>
          </cell>
        </row>
        <row r="307">
          <cell r="Q307">
            <v>235</v>
          </cell>
          <cell r="R307">
            <v>0.99999997777777772</v>
          </cell>
          <cell r="S307">
            <v>2.2222222284540294E-8</v>
          </cell>
          <cell r="T307">
            <v>0</v>
          </cell>
        </row>
        <row r="308">
          <cell r="Q308">
            <v>234</v>
          </cell>
          <cell r="R308">
            <v>0.99999997777777772</v>
          </cell>
          <cell r="S308">
            <v>2.2222222284540294E-8</v>
          </cell>
          <cell r="T308">
            <v>0</v>
          </cell>
        </row>
        <row r="309">
          <cell r="Q309">
            <v>233</v>
          </cell>
          <cell r="R309">
            <v>0.99999997777777772</v>
          </cell>
          <cell r="S309">
            <v>2.2222222284540294E-8</v>
          </cell>
          <cell r="T309">
            <v>0</v>
          </cell>
        </row>
        <row r="310">
          <cell r="Q310">
            <v>232</v>
          </cell>
          <cell r="R310">
            <v>0.99999997777777772</v>
          </cell>
          <cell r="S310">
            <v>2.2222222284540294E-8</v>
          </cell>
          <cell r="T310">
            <v>0</v>
          </cell>
        </row>
        <row r="311">
          <cell r="Q311">
            <v>231</v>
          </cell>
          <cell r="R311">
            <v>0.99999997777777772</v>
          </cell>
          <cell r="S311">
            <v>2.2222222284540294E-8</v>
          </cell>
          <cell r="T311">
            <v>0</v>
          </cell>
        </row>
        <row r="312">
          <cell r="Q312">
            <v>230</v>
          </cell>
          <cell r="R312">
            <v>0.99999997777777772</v>
          </cell>
          <cell r="S312">
            <v>2.2222222284540294E-8</v>
          </cell>
          <cell r="T312">
            <v>0</v>
          </cell>
        </row>
        <row r="313">
          <cell r="Q313">
            <v>229</v>
          </cell>
          <cell r="R313">
            <v>0.99999997777777772</v>
          </cell>
          <cell r="S313">
            <v>2.2222222284540294E-8</v>
          </cell>
          <cell r="T313">
            <v>0</v>
          </cell>
        </row>
        <row r="314">
          <cell r="Q314">
            <v>228</v>
          </cell>
          <cell r="R314">
            <v>0.99999997777777772</v>
          </cell>
          <cell r="S314">
            <v>2.2222222284540294E-8</v>
          </cell>
          <cell r="T314">
            <v>0</v>
          </cell>
        </row>
        <row r="315">
          <cell r="Q315">
            <v>227</v>
          </cell>
          <cell r="R315">
            <v>0.99999997777777772</v>
          </cell>
          <cell r="S315">
            <v>2.2222222284540294E-8</v>
          </cell>
          <cell r="T315">
            <v>0</v>
          </cell>
        </row>
        <row r="316">
          <cell r="Q316">
            <v>226</v>
          </cell>
          <cell r="R316">
            <v>0.99999997777777772</v>
          </cell>
          <cell r="S316">
            <v>2.2222222284540294E-8</v>
          </cell>
          <cell r="T316">
            <v>0</v>
          </cell>
        </row>
        <row r="317">
          <cell r="Q317">
            <v>225</v>
          </cell>
          <cell r="R317">
            <v>0.99999997777777772</v>
          </cell>
          <cell r="S317">
            <v>2.2222222284540294E-8</v>
          </cell>
          <cell r="T317">
            <v>0</v>
          </cell>
        </row>
        <row r="318">
          <cell r="Q318">
            <v>224</v>
          </cell>
          <cell r="R318">
            <v>0.99999997777777772</v>
          </cell>
          <cell r="S318">
            <v>2.2222222284540294E-8</v>
          </cell>
          <cell r="T318">
            <v>0</v>
          </cell>
        </row>
        <row r="319">
          <cell r="Q319">
            <v>223</v>
          </cell>
          <cell r="R319">
            <v>0.99999997777777772</v>
          </cell>
          <cell r="S319">
            <v>2.2222222284540294E-8</v>
          </cell>
          <cell r="T319">
            <v>0</v>
          </cell>
        </row>
        <row r="320">
          <cell r="Q320">
            <v>222</v>
          </cell>
          <cell r="R320">
            <v>0.99999997777777772</v>
          </cell>
          <cell r="S320">
            <v>2.2222222284540294E-8</v>
          </cell>
          <cell r="T320">
            <v>0</v>
          </cell>
        </row>
        <row r="321">
          <cell r="Q321">
            <v>221</v>
          </cell>
          <cell r="R321">
            <v>0.99999997777777772</v>
          </cell>
          <cell r="S321">
            <v>2.2222222284540294E-8</v>
          </cell>
          <cell r="T321">
            <v>0</v>
          </cell>
        </row>
        <row r="322">
          <cell r="Q322">
            <v>220</v>
          </cell>
          <cell r="R322">
            <v>0.99999997777777772</v>
          </cell>
          <cell r="S322">
            <v>2.2222222284540294E-8</v>
          </cell>
          <cell r="T322">
            <v>0</v>
          </cell>
        </row>
        <row r="323">
          <cell r="Q323">
            <v>219</v>
          </cell>
          <cell r="R323">
            <v>0.99999997777777772</v>
          </cell>
          <cell r="S323">
            <v>2.2222222284540294E-8</v>
          </cell>
          <cell r="T323">
            <v>0</v>
          </cell>
        </row>
        <row r="324">
          <cell r="Q324">
            <v>218</v>
          </cell>
          <cell r="R324">
            <v>0.99999997777777772</v>
          </cell>
          <cell r="S324">
            <v>2.2222222284540294E-8</v>
          </cell>
          <cell r="T324">
            <v>0</v>
          </cell>
        </row>
        <row r="325">
          <cell r="Q325">
            <v>217</v>
          </cell>
          <cell r="R325">
            <v>0.99999997777777772</v>
          </cell>
          <cell r="S325">
            <v>2.2222222284540294E-8</v>
          </cell>
          <cell r="T325">
            <v>0</v>
          </cell>
        </row>
        <row r="326">
          <cell r="Q326">
            <v>216</v>
          </cell>
          <cell r="R326">
            <v>0.99999997777777772</v>
          </cell>
          <cell r="S326">
            <v>2.2222222284540294E-8</v>
          </cell>
          <cell r="T326">
            <v>0</v>
          </cell>
        </row>
        <row r="327">
          <cell r="Q327">
            <v>215</v>
          </cell>
          <cell r="R327">
            <v>0.99999997777777772</v>
          </cell>
          <cell r="S327">
            <v>2.2222222284540294E-8</v>
          </cell>
          <cell r="T327">
            <v>0</v>
          </cell>
        </row>
        <row r="328">
          <cell r="Q328">
            <v>214</v>
          </cell>
          <cell r="R328">
            <v>0.99999997777777772</v>
          </cell>
          <cell r="S328">
            <v>2.2222222284540294E-8</v>
          </cell>
          <cell r="T328">
            <v>0</v>
          </cell>
        </row>
        <row r="329">
          <cell r="Q329">
            <v>213</v>
          </cell>
          <cell r="R329">
            <v>0.99999997777777772</v>
          </cell>
          <cell r="S329">
            <v>2.2222222284540294E-8</v>
          </cell>
          <cell r="T329">
            <v>0</v>
          </cell>
        </row>
        <row r="330">
          <cell r="Q330">
            <v>212</v>
          </cell>
          <cell r="R330">
            <v>0.99999997777777772</v>
          </cell>
          <cell r="S330">
            <v>2.2222222284540294E-8</v>
          </cell>
          <cell r="T330">
            <v>0</v>
          </cell>
        </row>
        <row r="331">
          <cell r="Q331">
            <v>211</v>
          </cell>
          <cell r="R331">
            <v>0.99999997777777772</v>
          </cell>
          <cell r="S331">
            <v>2.2222222284540294E-8</v>
          </cell>
          <cell r="T331">
            <v>0</v>
          </cell>
        </row>
        <row r="332">
          <cell r="Q332">
            <v>210</v>
          </cell>
          <cell r="R332">
            <v>0.99999997777777772</v>
          </cell>
          <cell r="S332">
            <v>2.2222222284540294E-8</v>
          </cell>
          <cell r="T332">
            <v>0</v>
          </cell>
        </row>
        <row r="333">
          <cell r="Q333">
            <v>209</v>
          </cell>
          <cell r="R333">
            <v>0.99999997777777772</v>
          </cell>
          <cell r="S333">
            <v>2.2222222284540294E-8</v>
          </cell>
          <cell r="T333">
            <v>0</v>
          </cell>
        </row>
        <row r="334">
          <cell r="Q334">
            <v>208</v>
          </cell>
          <cell r="R334">
            <v>0.99999997777777772</v>
          </cell>
          <cell r="S334">
            <v>2.2222222284540294E-8</v>
          </cell>
          <cell r="T334">
            <v>0</v>
          </cell>
        </row>
        <row r="335">
          <cell r="Q335">
            <v>207</v>
          </cell>
          <cell r="R335">
            <v>0.99999997777777772</v>
          </cell>
          <cell r="S335">
            <v>2.2222222284540294E-8</v>
          </cell>
          <cell r="T335">
            <v>0</v>
          </cell>
        </row>
        <row r="336">
          <cell r="Q336">
            <v>206</v>
          </cell>
          <cell r="R336">
            <v>0.99999997777777772</v>
          </cell>
          <cell r="S336">
            <v>2.2222222284540294E-8</v>
          </cell>
          <cell r="T336">
            <v>0</v>
          </cell>
        </row>
        <row r="337">
          <cell r="Q337">
            <v>205</v>
          </cell>
          <cell r="R337">
            <v>0.99999997777777772</v>
          </cell>
          <cell r="S337">
            <v>2.2222222284540294E-8</v>
          </cell>
          <cell r="T337">
            <v>0</v>
          </cell>
        </row>
        <row r="338">
          <cell r="Q338">
            <v>204</v>
          </cell>
          <cell r="R338">
            <v>0.99999997777777772</v>
          </cell>
          <cell r="S338">
            <v>2.2222222284540294E-8</v>
          </cell>
          <cell r="T338">
            <v>0</v>
          </cell>
        </row>
        <row r="339">
          <cell r="Q339">
            <v>203</v>
          </cell>
          <cell r="R339">
            <v>0.99999997777777772</v>
          </cell>
          <cell r="S339">
            <v>2.2222222284540294E-8</v>
          </cell>
          <cell r="T339">
            <v>0</v>
          </cell>
        </row>
        <row r="340">
          <cell r="Q340">
            <v>202</v>
          </cell>
          <cell r="R340">
            <v>0.99999997777777772</v>
          </cell>
          <cell r="S340">
            <v>2.2222222284540294E-8</v>
          </cell>
          <cell r="T340">
            <v>0</v>
          </cell>
        </row>
        <row r="341">
          <cell r="Q341">
            <v>201</v>
          </cell>
          <cell r="R341">
            <v>0.99999997777777772</v>
          </cell>
          <cell r="S341">
            <v>2.2222222284540294E-8</v>
          </cell>
          <cell r="T341">
            <v>0</v>
          </cell>
        </row>
        <row r="342">
          <cell r="Q342">
            <v>200</v>
          </cell>
          <cell r="R342">
            <v>0.99999997777777772</v>
          </cell>
          <cell r="S342">
            <v>2.2222222284540294E-8</v>
          </cell>
          <cell r="T342">
            <v>0</v>
          </cell>
        </row>
        <row r="343">
          <cell r="Q343">
            <v>199</v>
          </cell>
          <cell r="R343">
            <v>0.99999997777777772</v>
          </cell>
          <cell r="S343">
            <v>2.2222222284540294E-8</v>
          </cell>
          <cell r="T343">
            <v>0</v>
          </cell>
        </row>
        <row r="344">
          <cell r="Q344">
            <v>198</v>
          </cell>
          <cell r="R344">
            <v>0.99999997777777772</v>
          </cell>
          <cell r="S344">
            <v>2.2222222284540294E-8</v>
          </cell>
          <cell r="T344">
            <v>0</v>
          </cell>
        </row>
        <row r="345">
          <cell r="Q345">
            <v>197</v>
          </cell>
          <cell r="R345">
            <v>0.99999997777777772</v>
          </cell>
          <cell r="S345">
            <v>2.2222222284540294E-8</v>
          </cell>
          <cell r="T345">
            <v>0</v>
          </cell>
        </row>
        <row r="346">
          <cell r="Q346">
            <v>196</v>
          </cell>
          <cell r="R346">
            <v>0.99999997777777772</v>
          </cell>
          <cell r="S346">
            <v>2.2222222284540294E-8</v>
          </cell>
          <cell r="T346">
            <v>0</v>
          </cell>
        </row>
        <row r="347">
          <cell r="Q347">
            <v>195</v>
          </cell>
          <cell r="R347">
            <v>0.99999997777777772</v>
          </cell>
          <cell r="S347">
            <v>2.2222222284540294E-8</v>
          </cell>
          <cell r="T347">
            <v>0</v>
          </cell>
        </row>
        <row r="348">
          <cell r="Q348">
            <v>194</v>
          </cell>
          <cell r="R348">
            <v>0.99999997777777772</v>
          </cell>
          <cell r="S348">
            <v>2.2222222284540294E-8</v>
          </cell>
          <cell r="T348">
            <v>0</v>
          </cell>
        </row>
        <row r="349">
          <cell r="Q349">
            <v>193</v>
          </cell>
          <cell r="R349">
            <v>0.99999997777777772</v>
          </cell>
          <cell r="S349">
            <v>2.2222222284540294E-8</v>
          </cell>
          <cell r="T349">
            <v>0</v>
          </cell>
        </row>
        <row r="350">
          <cell r="Q350">
            <v>192</v>
          </cell>
          <cell r="R350">
            <v>0.99999997777777772</v>
          </cell>
          <cell r="S350">
            <v>2.2222222284540294E-8</v>
          </cell>
          <cell r="T350">
            <v>0</v>
          </cell>
        </row>
        <row r="351">
          <cell r="Q351">
            <v>191</v>
          </cell>
          <cell r="R351">
            <v>0.99999997777777772</v>
          </cell>
          <cell r="S351">
            <v>2.2222222284540294E-8</v>
          </cell>
          <cell r="T351">
            <v>0</v>
          </cell>
        </row>
        <row r="352">
          <cell r="Q352">
            <v>190</v>
          </cell>
          <cell r="R352">
            <v>0.99999997777777772</v>
          </cell>
          <cell r="S352">
            <v>2.2222222284540294E-8</v>
          </cell>
          <cell r="T352">
            <v>0</v>
          </cell>
        </row>
        <row r="353">
          <cell r="Q353">
            <v>189</v>
          </cell>
          <cell r="R353">
            <v>0.99999997777777772</v>
          </cell>
          <cell r="S353">
            <v>2.2222222284540294E-8</v>
          </cell>
          <cell r="T353">
            <v>0</v>
          </cell>
        </row>
        <row r="354">
          <cell r="Q354">
            <v>188</v>
          </cell>
          <cell r="R354">
            <v>0.99999997777777772</v>
          </cell>
          <cell r="S354">
            <v>2.2222222284540294E-8</v>
          </cell>
          <cell r="T354">
            <v>0</v>
          </cell>
        </row>
        <row r="355">
          <cell r="Q355">
            <v>187</v>
          </cell>
          <cell r="R355">
            <v>0.99999997777777772</v>
          </cell>
          <cell r="S355">
            <v>2.2222222284540294E-8</v>
          </cell>
          <cell r="T355">
            <v>0</v>
          </cell>
        </row>
        <row r="356">
          <cell r="Q356">
            <v>186</v>
          </cell>
          <cell r="R356">
            <v>0.99999997777777772</v>
          </cell>
          <cell r="S356">
            <v>2.2222222284540294E-8</v>
          </cell>
          <cell r="T356">
            <v>0</v>
          </cell>
        </row>
        <row r="357">
          <cell r="Q357">
            <v>185</v>
          </cell>
          <cell r="R357">
            <v>0.99999997777777772</v>
          </cell>
          <cell r="S357">
            <v>2.2222222284540294E-8</v>
          </cell>
          <cell r="T357">
            <v>0</v>
          </cell>
        </row>
        <row r="358">
          <cell r="Q358">
            <v>184</v>
          </cell>
          <cell r="R358">
            <v>0.99999997777777772</v>
          </cell>
          <cell r="S358">
            <v>2.2222222284540294E-8</v>
          </cell>
          <cell r="T358">
            <v>0</v>
          </cell>
        </row>
        <row r="359">
          <cell r="Q359">
            <v>183</v>
          </cell>
          <cell r="R359">
            <v>0.99999997777777772</v>
          </cell>
          <cell r="S359">
            <v>2.2222222284540294E-8</v>
          </cell>
          <cell r="T359">
            <v>0</v>
          </cell>
        </row>
        <row r="360">
          <cell r="Q360">
            <v>182</v>
          </cell>
          <cell r="R360">
            <v>0.99999997777777772</v>
          </cell>
          <cell r="S360">
            <v>2.2222222284540294E-8</v>
          </cell>
          <cell r="T360">
            <v>0</v>
          </cell>
        </row>
        <row r="361">
          <cell r="Q361">
            <v>181</v>
          </cell>
          <cell r="R361">
            <v>0.99999997777777772</v>
          </cell>
          <cell r="S361">
            <v>2.2222222284540294E-8</v>
          </cell>
          <cell r="T361">
            <v>0</v>
          </cell>
        </row>
        <row r="362">
          <cell r="Q362">
            <v>180</v>
          </cell>
          <cell r="R362">
            <v>0.99999997777777772</v>
          </cell>
          <cell r="S362">
            <v>2.2222222284540294E-8</v>
          </cell>
          <cell r="T362">
            <v>0</v>
          </cell>
        </row>
        <row r="363">
          <cell r="Q363">
            <v>179</v>
          </cell>
          <cell r="R363">
            <v>0.99999997777777772</v>
          </cell>
          <cell r="S363">
            <v>2.2222222284540294E-8</v>
          </cell>
          <cell r="T363">
            <v>0</v>
          </cell>
        </row>
        <row r="364">
          <cell r="Q364">
            <v>178</v>
          </cell>
          <cell r="R364">
            <v>0.99999997777777772</v>
          </cell>
          <cell r="S364">
            <v>2.2222222284540294E-8</v>
          </cell>
          <cell r="T364">
            <v>0</v>
          </cell>
        </row>
        <row r="365">
          <cell r="Q365">
            <v>177</v>
          </cell>
          <cell r="R365">
            <v>0.99999997777777772</v>
          </cell>
          <cell r="S365">
            <v>2.2222222284540294E-8</v>
          </cell>
          <cell r="T365">
            <v>0</v>
          </cell>
        </row>
        <row r="366">
          <cell r="Q366">
            <v>176</v>
          </cell>
          <cell r="R366">
            <v>0.99999997777777772</v>
          </cell>
          <cell r="S366">
            <v>2.2222222284540294E-8</v>
          </cell>
          <cell r="T366">
            <v>0</v>
          </cell>
        </row>
        <row r="367">
          <cell r="Q367">
            <v>175</v>
          </cell>
          <cell r="R367">
            <v>0.99999997777777772</v>
          </cell>
          <cell r="S367">
            <v>2.2222222284540294E-8</v>
          </cell>
          <cell r="T367">
            <v>0</v>
          </cell>
        </row>
        <row r="368">
          <cell r="Q368">
            <v>174</v>
          </cell>
          <cell r="R368">
            <v>0.99999997777777772</v>
          </cell>
          <cell r="S368">
            <v>2.2222222284540294E-8</v>
          </cell>
          <cell r="T368">
            <v>0</v>
          </cell>
        </row>
        <row r="369">
          <cell r="Q369">
            <v>173</v>
          </cell>
          <cell r="R369">
            <v>0.99999997777777772</v>
          </cell>
          <cell r="S369">
            <v>2.2222222284540294E-8</v>
          </cell>
          <cell r="T369">
            <v>0</v>
          </cell>
        </row>
        <row r="370">
          <cell r="Q370">
            <v>172</v>
          </cell>
          <cell r="R370">
            <v>0.99999997777777772</v>
          </cell>
          <cell r="S370">
            <v>2.2222222284540294E-8</v>
          </cell>
          <cell r="T370">
            <v>0</v>
          </cell>
        </row>
        <row r="371">
          <cell r="Q371">
            <v>171</v>
          </cell>
          <cell r="R371">
            <v>0.99999997777777772</v>
          </cell>
          <cell r="S371">
            <v>2.2222222284540294E-8</v>
          </cell>
          <cell r="T371">
            <v>0</v>
          </cell>
        </row>
        <row r="372">
          <cell r="Q372">
            <v>170</v>
          </cell>
          <cell r="R372">
            <v>0.99999997777777772</v>
          </cell>
          <cell r="S372">
            <v>2.2222222284540294E-8</v>
          </cell>
          <cell r="T372">
            <v>0</v>
          </cell>
        </row>
        <row r="373">
          <cell r="Q373">
            <v>169</v>
          </cell>
          <cell r="R373">
            <v>0.99999997777777772</v>
          </cell>
          <cell r="S373">
            <v>2.2222222284540294E-8</v>
          </cell>
          <cell r="T373">
            <v>0</v>
          </cell>
        </row>
        <row r="374">
          <cell r="Q374">
            <v>168</v>
          </cell>
          <cell r="R374">
            <v>0.99999997777777772</v>
          </cell>
          <cell r="S374">
            <v>2.2222222284540294E-8</v>
          </cell>
          <cell r="T374">
            <v>0</v>
          </cell>
        </row>
        <row r="375">
          <cell r="Q375">
            <v>167</v>
          </cell>
          <cell r="R375">
            <v>0.99999997777777772</v>
          </cell>
          <cell r="S375">
            <v>2.2222222284540294E-8</v>
          </cell>
          <cell r="T375">
            <v>0</v>
          </cell>
        </row>
        <row r="376">
          <cell r="Q376">
            <v>166</v>
          </cell>
          <cell r="R376">
            <v>0.99999997777777772</v>
          </cell>
          <cell r="S376">
            <v>2.2222222284540294E-8</v>
          </cell>
          <cell r="T376">
            <v>0</v>
          </cell>
        </row>
        <row r="377">
          <cell r="Q377">
            <v>165</v>
          </cell>
          <cell r="R377">
            <v>0.99999997777777772</v>
          </cell>
          <cell r="S377">
            <v>2.2222222284540294E-8</v>
          </cell>
          <cell r="T377">
            <v>0</v>
          </cell>
        </row>
        <row r="378">
          <cell r="Q378">
            <v>164</v>
          </cell>
          <cell r="R378">
            <v>0.99999997777777772</v>
          </cell>
          <cell r="S378">
            <v>2.2222222284540294E-8</v>
          </cell>
          <cell r="T378">
            <v>0</v>
          </cell>
        </row>
        <row r="379">
          <cell r="Q379">
            <v>163</v>
          </cell>
          <cell r="R379">
            <v>0.99999997777777772</v>
          </cell>
          <cell r="S379">
            <v>2.2222222284540294E-8</v>
          </cell>
          <cell r="T379">
            <v>0</v>
          </cell>
        </row>
        <row r="380">
          <cell r="Q380">
            <v>162</v>
          </cell>
          <cell r="R380">
            <v>0.99999997777777772</v>
          </cell>
          <cell r="S380">
            <v>2.2222222284540294E-8</v>
          </cell>
          <cell r="T380">
            <v>0</v>
          </cell>
        </row>
        <row r="381">
          <cell r="Q381">
            <v>161</v>
          </cell>
          <cell r="R381">
            <v>0.99999997777777772</v>
          </cell>
          <cell r="S381">
            <v>2.2222222284540294E-8</v>
          </cell>
          <cell r="T381">
            <v>0</v>
          </cell>
        </row>
        <row r="382">
          <cell r="Q382">
            <v>160</v>
          </cell>
          <cell r="R382">
            <v>0.99999997777777772</v>
          </cell>
          <cell r="S382">
            <v>2.2222222284540294E-8</v>
          </cell>
          <cell r="T382">
            <v>0</v>
          </cell>
        </row>
        <row r="383">
          <cell r="Q383">
            <v>159</v>
          </cell>
          <cell r="R383">
            <v>0.99999997777777772</v>
          </cell>
          <cell r="S383">
            <v>2.2222222284540294E-8</v>
          </cell>
          <cell r="T383">
            <v>0</v>
          </cell>
        </row>
        <row r="384">
          <cell r="Q384">
            <v>158</v>
          </cell>
          <cell r="R384">
            <v>0.99999997777777772</v>
          </cell>
          <cell r="S384">
            <v>2.2222222284540294E-8</v>
          </cell>
          <cell r="T384">
            <v>0</v>
          </cell>
        </row>
        <row r="385">
          <cell r="Q385">
            <v>157</v>
          </cell>
          <cell r="R385">
            <v>0.99999997777777772</v>
          </cell>
          <cell r="S385">
            <v>2.2222222284540294E-8</v>
          </cell>
          <cell r="T385">
            <v>0</v>
          </cell>
        </row>
        <row r="386">
          <cell r="Q386">
            <v>156</v>
          </cell>
          <cell r="R386">
            <v>0.99999997777777772</v>
          </cell>
          <cell r="S386">
            <v>2.2222222284540294E-8</v>
          </cell>
          <cell r="T386">
            <v>0</v>
          </cell>
        </row>
        <row r="387">
          <cell r="Q387">
            <v>155</v>
          </cell>
          <cell r="R387">
            <v>0.99999997777777772</v>
          </cell>
          <cell r="S387">
            <v>2.2222222284540294E-8</v>
          </cell>
          <cell r="T387">
            <v>0</v>
          </cell>
        </row>
        <row r="388">
          <cell r="Q388">
            <v>154</v>
          </cell>
          <cell r="R388">
            <v>0.99999997777777772</v>
          </cell>
          <cell r="S388">
            <v>2.2222222284540294E-8</v>
          </cell>
          <cell r="T388">
            <v>0</v>
          </cell>
        </row>
        <row r="389">
          <cell r="Q389">
            <v>153</v>
          </cell>
          <cell r="R389">
            <v>0.99999997777777772</v>
          </cell>
          <cell r="S389">
            <v>2.2222222284540294E-8</v>
          </cell>
          <cell r="T389">
            <v>0</v>
          </cell>
        </row>
        <row r="390">
          <cell r="Q390">
            <v>152</v>
          </cell>
          <cell r="R390">
            <v>0.99999997777777772</v>
          </cell>
          <cell r="S390">
            <v>2.2222222284540294E-8</v>
          </cell>
          <cell r="T390">
            <v>0</v>
          </cell>
        </row>
        <row r="391">
          <cell r="Q391">
            <v>151</v>
          </cell>
          <cell r="R391">
            <v>0.99999997777777772</v>
          </cell>
          <cell r="S391">
            <v>2.2222222284540294E-8</v>
          </cell>
          <cell r="T391">
            <v>0</v>
          </cell>
        </row>
        <row r="392">
          <cell r="Q392">
            <v>150</v>
          </cell>
          <cell r="R392">
            <v>0.99999997777777772</v>
          </cell>
          <cell r="S392">
            <v>2.2222222284540294E-8</v>
          </cell>
          <cell r="T392">
            <v>0</v>
          </cell>
        </row>
        <row r="393">
          <cell r="Q393">
            <v>149</v>
          </cell>
          <cell r="R393">
            <v>0.99999997777777772</v>
          </cell>
          <cell r="S393">
            <v>2.2222222284540294E-8</v>
          </cell>
          <cell r="T393">
            <v>0</v>
          </cell>
        </row>
        <row r="394">
          <cell r="Q394">
            <v>148</v>
          </cell>
          <cell r="R394">
            <v>0.99999997777777772</v>
          </cell>
          <cell r="S394">
            <v>2.2222222284540294E-8</v>
          </cell>
          <cell r="T394">
            <v>0</v>
          </cell>
        </row>
        <row r="395">
          <cell r="Q395">
            <v>147</v>
          </cell>
          <cell r="R395">
            <v>0.99999997777777772</v>
          </cell>
          <cell r="S395">
            <v>2.2222222284540294E-8</v>
          </cell>
          <cell r="T395">
            <v>0</v>
          </cell>
        </row>
        <row r="396">
          <cell r="Q396">
            <v>146</v>
          </cell>
          <cell r="R396">
            <v>0.99999997777777772</v>
          </cell>
          <cell r="S396">
            <v>2.2222222284540294E-8</v>
          </cell>
          <cell r="T396">
            <v>0</v>
          </cell>
        </row>
        <row r="397">
          <cell r="Q397">
            <v>145</v>
          </cell>
          <cell r="R397">
            <v>0.99999997777777772</v>
          </cell>
          <cell r="S397">
            <v>2.2222222284540294E-8</v>
          </cell>
          <cell r="T397">
            <v>0</v>
          </cell>
        </row>
        <row r="398">
          <cell r="Q398">
            <v>144</v>
          </cell>
          <cell r="R398">
            <v>0.99999997777777772</v>
          </cell>
          <cell r="S398">
            <v>2.2222222284540294E-8</v>
          </cell>
          <cell r="T398">
            <v>0</v>
          </cell>
        </row>
        <row r="399">
          <cell r="Q399">
            <v>143</v>
          </cell>
          <cell r="R399">
            <v>0.99999997777777772</v>
          </cell>
          <cell r="S399">
            <v>2.2222222284540294E-8</v>
          </cell>
          <cell r="T399">
            <v>0</v>
          </cell>
        </row>
        <row r="400">
          <cell r="Q400">
            <v>142</v>
          </cell>
          <cell r="R400">
            <v>0.99999997777777772</v>
          </cell>
          <cell r="S400">
            <v>2.2222222284540294E-8</v>
          </cell>
          <cell r="T400">
            <v>0</v>
          </cell>
        </row>
        <row r="401">
          <cell r="Q401">
            <v>141</v>
          </cell>
          <cell r="R401">
            <v>0.99999997777777772</v>
          </cell>
          <cell r="S401">
            <v>2.2222222284540294E-8</v>
          </cell>
          <cell r="T401">
            <v>0</v>
          </cell>
        </row>
        <row r="402">
          <cell r="Q402">
            <v>140</v>
          </cell>
          <cell r="R402">
            <v>0.99999997777777772</v>
          </cell>
          <cell r="S402">
            <v>2.2222222284540294E-8</v>
          </cell>
          <cell r="T402">
            <v>0</v>
          </cell>
        </row>
        <row r="403">
          <cell r="Q403">
            <v>139</v>
          </cell>
          <cell r="R403">
            <v>0.99999997777777772</v>
          </cell>
          <cell r="S403">
            <v>2.2222222284540294E-8</v>
          </cell>
          <cell r="T403">
            <v>0</v>
          </cell>
        </row>
        <row r="404">
          <cell r="Q404">
            <v>138</v>
          </cell>
          <cell r="R404">
            <v>0.99999997777777772</v>
          </cell>
          <cell r="S404">
            <v>2.2222222284540294E-8</v>
          </cell>
          <cell r="T404">
            <v>0</v>
          </cell>
        </row>
        <row r="405">
          <cell r="Q405">
            <v>137</v>
          </cell>
          <cell r="R405">
            <v>0.99999997777777772</v>
          </cell>
          <cell r="S405">
            <v>2.2222222284540294E-8</v>
          </cell>
          <cell r="T405">
            <v>0</v>
          </cell>
        </row>
        <row r="406">
          <cell r="Q406">
            <v>136</v>
          </cell>
          <cell r="R406">
            <v>0.99999997777777772</v>
          </cell>
          <cell r="S406">
            <v>2.2222222284540294E-8</v>
          </cell>
          <cell r="T406">
            <v>0</v>
          </cell>
        </row>
        <row r="407">
          <cell r="Q407">
            <v>135</v>
          </cell>
          <cell r="R407">
            <v>0.99999997777777772</v>
          </cell>
          <cell r="S407">
            <v>2.2222222284540294E-8</v>
          </cell>
          <cell r="T407">
            <v>0</v>
          </cell>
        </row>
        <row r="408">
          <cell r="Q408">
            <v>134</v>
          </cell>
          <cell r="R408">
            <v>0.99999997777777772</v>
          </cell>
          <cell r="S408">
            <v>2.2222222284540294E-8</v>
          </cell>
          <cell r="T408">
            <v>0</v>
          </cell>
        </row>
        <row r="409">
          <cell r="Q409">
            <v>133</v>
          </cell>
          <cell r="R409">
            <v>0.99999997777777772</v>
          </cell>
          <cell r="S409">
            <v>2.2222222284540294E-8</v>
          </cell>
          <cell r="T409">
            <v>0</v>
          </cell>
        </row>
        <row r="410">
          <cell r="Q410">
            <v>132</v>
          </cell>
          <cell r="R410">
            <v>0.99999997777777772</v>
          </cell>
          <cell r="S410">
            <v>2.2222222284540294E-8</v>
          </cell>
          <cell r="T410">
            <v>0</v>
          </cell>
        </row>
        <row r="411">
          <cell r="Q411">
            <v>131</v>
          </cell>
          <cell r="R411">
            <v>0.99999997777777772</v>
          </cell>
          <cell r="S411">
            <v>2.2222222284540294E-8</v>
          </cell>
          <cell r="T411">
            <v>0</v>
          </cell>
        </row>
        <row r="412">
          <cell r="Q412">
            <v>130</v>
          </cell>
          <cell r="R412">
            <v>0.99999997777777772</v>
          </cell>
          <cell r="S412">
            <v>2.2222222284540294E-8</v>
          </cell>
          <cell r="T412">
            <v>0</v>
          </cell>
        </row>
        <row r="413">
          <cell r="Q413">
            <v>129</v>
          </cell>
          <cell r="R413">
            <v>0.99999997777777772</v>
          </cell>
          <cell r="S413">
            <v>2.2222222284540294E-8</v>
          </cell>
          <cell r="T413">
            <v>0</v>
          </cell>
        </row>
        <row r="414">
          <cell r="Q414">
            <v>128</v>
          </cell>
          <cell r="R414">
            <v>0.99999997777777772</v>
          </cell>
          <cell r="S414">
            <v>2.2222222284540294E-8</v>
          </cell>
          <cell r="T414">
            <v>0</v>
          </cell>
        </row>
        <row r="415">
          <cell r="Q415">
            <v>127</v>
          </cell>
          <cell r="R415">
            <v>0.99999997777777772</v>
          </cell>
          <cell r="S415">
            <v>2.2222222284540294E-8</v>
          </cell>
          <cell r="T415">
            <v>0</v>
          </cell>
        </row>
        <row r="416">
          <cell r="Q416">
            <v>126</v>
          </cell>
          <cell r="R416">
            <v>0.99999997777777772</v>
          </cell>
          <cell r="S416">
            <v>2.2222222284540294E-8</v>
          </cell>
          <cell r="T416">
            <v>0</v>
          </cell>
        </row>
        <row r="417">
          <cell r="Q417">
            <v>125</v>
          </cell>
          <cell r="R417">
            <v>0.99999997777777772</v>
          </cell>
          <cell r="S417">
            <v>2.2222222284540294E-8</v>
          </cell>
          <cell r="T417">
            <v>0</v>
          </cell>
        </row>
        <row r="418">
          <cell r="Q418">
            <v>124</v>
          </cell>
          <cell r="R418">
            <v>0.99999997777777772</v>
          </cell>
          <cell r="S418">
            <v>2.2222222284540294E-8</v>
          </cell>
          <cell r="T418">
            <v>0</v>
          </cell>
        </row>
        <row r="419">
          <cell r="Q419">
            <v>123</v>
          </cell>
          <cell r="R419">
            <v>0.99999997777777772</v>
          </cell>
          <cell r="S419">
            <v>2.2222222284540294E-8</v>
          </cell>
          <cell r="T419">
            <v>0</v>
          </cell>
        </row>
        <row r="420">
          <cell r="Q420">
            <v>122</v>
          </cell>
          <cell r="R420">
            <v>0.99999997777777772</v>
          </cell>
          <cell r="S420">
            <v>2.2222222284540294E-8</v>
          </cell>
          <cell r="T420">
            <v>0</v>
          </cell>
        </row>
        <row r="421">
          <cell r="Q421">
            <v>121</v>
          </cell>
          <cell r="R421">
            <v>0.99999997777777772</v>
          </cell>
          <cell r="S421">
            <v>2.2222222284540294E-8</v>
          </cell>
          <cell r="T421">
            <v>0</v>
          </cell>
        </row>
        <row r="422">
          <cell r="Q422">
            <v>120</v>
          </cell>
          <cell r="R422">
            <v>0.99999997777777772</v>
          </cell>
          <cell r="S422">
            <v>2.2222222284540294E-8</v>
          </cell>
          <cell r="T422">
            <v>0</v>
          </cell>
        </row>
        <row r="423">
          <cell r="Q423">
            <v>119</v>
          </cell>
          <cell r="R423">
            <v>0.99999997777777772</v>
          </cell>
          <cell r="S423">
            <v>2.2222222284540294E-8</v>
          </cell>
          <cell r="T423">
            <v>0</v>
          </cell>
        </row>
        <row r="424">
          <cell r="Q424">
            <v>118</v>
          </cell>
          <cell r="R424">
            <v>0.99999997777777772</v>
          </cell>
          <cell r="S424">
            <v>2.2222222284540294E-8</v>
          </cell>
          <cell r="T424">
            <v>0</v>
          </cell>
        </row>
        <row r="425">
          <cell r="Q425">
            <v>117</v>
          </cell>
          <cell r="R425">
            <v>0.99999997777777772</v>
          </cell>
          <cell r="S425">
            <v>2.2222222284540294E-8</v>
          </cell>
          <cell r="T425">
            <v>0</v>
          </cell>
        </row>
        <row r="426">
          <cell r="Q426">
            <v>116</v>
          </cell>
          <cell r="R426">
            <v>0.99999997777777772</v>
          </cell>
          <cell r="S426">
            <v>2.2222222284540294E-8</v>
          </cell>
          <cell r="T426">
            <v>0</v>
          </cell>
        </row>
        <row r="427">
          <cell r="Q427">
            <v>115</v>
          </cell>
          <cell r="R427">
            <v>0.99999997777777772</v>
          </cell>
          <cell r="S427">
            <v>2.2222222284540294E-8</v>
          </cell>
          <cell r="T427">
            <v>0</v>
          </cell>
        </row>
        <row r="428">
          <cell r="Q428">
            <v>114</v>
          </cell>
          <cell r="R428">
            <v>0.99999997777777772</v>
          </cell>
          <cell r="S428">
            <v>2.2222222284540294E-8</v>
          </cell>
          <cell r="T428">
            <v>0</v>
          </cell>
        </row>
        <row r="429">
          <cell r="Q429">
            <v>113</v>
          </cell>
          <cell r="R429">
            <v>0.99999997777777772</v>
          </cell>
          <cell r="S429">
            <v>2.2222222284540294E-8</v>
          </cell>
          <cell r="T429">
            <v>0</v>
          </cell>
        </row>
        <row r="430">
          <cell r="Q430">
            <v>112</v>
          </cell>
          <cell r="R430">
            <v>0.99999997777777772</v>
          </cell>
          <cell r="S430">
            <v>2.2222222284540294E-8</v>
          </cell>
          <cell r="T430">
            <v>0</v>
          </cell>
        </row>
        <row r="431">
          <cell r="Q431">
            <v>111</v>
          </cell>
          <cell r="R431">
            <v>0.99999997777777772</v>
          </cell>
          <cell r="S431">
            <v>2.2222222284540294E-8</v>
          </cell>
          <cell r="T431">
            <v>0</v>
          </cell>
        </row>
        <row r="432">
          <cell r="Q432">
            <v>110</v>
          </cell>
          <cell r="R432">
            <v>0.99999997777777772</v>
          </cell>
          <cell r="S432">
            <v>2.2222222284540294E-8</v>
          </cell>
          <cell r="T432">
            <v>0</v>
          </cell>
        </row>
        <row r="433">
          <cell r="Q433">
            <v>109</v>
          </cell>
          <cell r="R433">
            <v>0.99999997777777772</v>
          </cell>
          <cell r="S433">
            <v>2.2222222284540294E-8</v>
          </cell>
          <cell r="T433">
            <v>0</v>
          </cell>
        </row>
        <row r="434">
          <cell r="Q434">
            <v>108</v>
          </cell>
          <cell r="R434">
            <v>0.85188519548755992</v>
          </cell>
          <cell r="S434">
            <v>0.14811480451244008</v>
          </cell>
          <cell r="T434">
            <v>0</v>
          </cell>
        </row>
        <row r="435">
          <cell r="Q435">
            <v>107</v>
          </cell>
          <cell r="R435">
            <v>0.85188519548755992</v>
          </cell>
          <cell r="S435">
            <v>0.14811480451244008</v>
          </cell>
          <cell r="T435">
            <v>0</v>
          </cell>
        </row>
        <row r="436">
          <cell r="Q436">
            <v>106</v>
          </cell>
          <cell r="R436">
            <v>0.85188519548755992</v>
          </cell>
          <cell r="S436">
            <v>0.14811480451244008</v>
          </cell>
          <cell r="T436">
            <v>0</v>
          </cell>
        </row>
        <row r="437">
          <cell r="Q437">
            <v>105</v>
          </cell>
          <cell r="R437">
            <v>0.85188519548755992</v>
          </cell>
          <cell r="S437">
            <v>0.14811480451244008</v>
          </cell>
          <cell r="T437">
            <v>0</v>
          </cell>
        </row>
        <row r="438">
          <cell r="Q438">
            <v>104</v>
          </cell>
          <cell r="R438">
            <v>0.85188519548755992</v>
          </cell>
          <cell r="S438">
            <v>0.14811480451244008</v>
          </cell>
          <cell r="T438">
            <v>0</v>
          </cell>
        </row>
        <row r="439">
          <cell r="Q439">
            <v>103</v>
          </cell>
          <cell r="R439">
            <v>0.85188519548755992</v>
          </cell>
          <cell r="S439">
            <v>0.14811480451244008</v>
          </cell>
          <cell r="T439">
            <v>0</v>
          </cell>
        </row>
        <row r="440">
          <cell r="Q440">
            <v>102</v>
          </cell>
          <cell r="R440">
            <v>0.85188519548755992</v>
          </cell>
          <cell r="S440">
            <v>0.14811480451244008</v>
          </cell>
          <cell r="T440">
            <v>0</v>
          </cell>
        </row>
        <row r="441">
          <cell r="Q441">
            <v>101</v>
          </cell>
          <cell r="R441">
            <v>0.85188519548755992</v>
          </cell>
          <cell r="S441">
            <v>0.14811480451244008</v>
          </cell>
          <cell r="T441">
            <v>0</v>
          </cell>
        </row>
        <row r="442">
          <cell r="Q442">
            <v>100</v>
          </cell>
          <cell r="R442">
            <v>0.85188519548755992</v>
          </cell>
          <cell r="S442">
            <v>0.14811480451244008</v>
          </cell>
          <cell r="T442">
            <v>0</v>
          </cell>
        </row>
        <row r="443">
          <cell r="Q443">
            <v>99</v>
          </cell>
          <cell r="R443">
            <v>0.85188519548755992</v>
          </cell>
          <cell r="S443">
            <v>0.14811480451244008</v>
          </cell>
          <cell r="T443">
            <v>0</v>
          </cell>
        </row>
        <row r="444">
          <cell r="Q444">
            <v>98</v>
          </cell>
          <cell r="R444">
            <v>0.85188519548755992</v>
          </cell>
          <cell r="S444">
            <v>0.14811480451244008</v>
          </cell>
          <cell r="T444">
            <v>0</v>
          </cell>
        </row>
        <row r="445">
          <cell r="Q445">
            <v>97</v>
          </cell>
          <cell r="R445">
            <v>0.85188519548755992</v>
          </cell>
          <cell r="S445">
            <v>0.14811480451244008</v>
          </cell>
          <cell r="T445">
            <v>0</v>
          </cell>
        </row>
        <row r="446">
          <cell r="Q446">
            <v>96</v>
          </cell>
          <cell r="R446">
            <v>0.74473410601143575</v>
          </cell>
          <cell r="S446">
            <v>0.25526589398856425</v>
          </cell>
          <cell r="T446">
            <v>0</v>
          </cell>
        </row>
        <row r="447">
          <cell r="Q447">
            <v>95</v>
          </cell>
          <cell r="R447">
            <v>0.74473410601143575</v>
          </cell>
          <cell r="S447">
            <v>0.25526589398856425</v>
          </cell>
          <cell r="T447">
            <v>0</v>
          </cell>
        </row>
        <row r="448">
          <cell r="Q448">
            <v>94</v>
          </cell>
          <cell r="R448">
            <v>0.74473410601143575</v>
          </cell>
          <cell r="S448">
            <v>0.25526589398856425</v>
          </cell>
          <cell r="T448">
            <v>0</v>
          </cell>
        </row>
        <row r="449">
          <cell r="Q449">
            <v>93</v>
          </cell>
          <cell r="R449">
            <v>0.74473410601143575</v>
          </cell>
          <cell r="S449">
            <v>0.25526589398856425</v>
          </cell>
          <cell r="T449">
            <v>0</v>
          </cell>
        </row>
        <row r="450">
          <cell r="Q450">
            <v>92</v>
          </cell>
          <cell r="R450">
            <v>0.74473410601143575</v>
          </cell>
          <cell r="S450">
            <v>0.25526589398856425</v>
          </cell>
          <cell r="T450">
            <v>0</v>
          </cell>
        </row>
        <row r="451">
          <cell r="Q451">
            <v>91</v>
          </cell>
          <cell r="R451">
            <v>0.74473410601143575</v>
          </cell>
          <cell r="S451">
            <v>0.25526589398856425</v>
          </cell>
          <cell r="T451">
            <v>0</v>
          </cell>
        </row>
        <row r="452">
          <cell r="Q452">
            <v>90</v>
          </cell>
          <cell r="R452">
            <v>0.74473410601143575</v>
          </cell>
          <cell r="S452">
            <v>0.25526589398856425</v>
          </cell>
          <cell r="T452">
            <v>0</v>
          </cell>
        </row>
        <row r="453">
          <cell r="Q453">
            <v>89</v>
          </cell>
          <cell r="R453">
            <v>0.74473410601143575</v>
          </cell>
          <cell r="S453">
            <v>0.25526589398856425</v>
          </cell>
          <cell r="T453">
            <v>0</v>
          </cell>
        </row>
        <row r="454">
          <cell r="Q454">
            <v>88</v>
          </cell>
          <cell r="R454">
            <v>0.74473410601143575</v>
          </cell>
          <cell r="S454">
            <v>0.25526589398856425</v>
          </cell>
          <cell r="T454">
            <v>0</v>
          </cell>
        </row>
        <row r="455">
          <cell r="Q455">
            <v>87</v>
          </cell>
          <cell r="R455">
            <v>0.74473410601143575</v>
          </cell>
          <cell r="S455">
            <v>0.25526589398856425</v>
          </cell>
          <cell r="T455">
            <v>0</v>
          </cell>
        </row>
        <row r="456">
          <cell r="Q456">
            <v>86</v>
          </cell>
          <cell r="R456">
            <v>0.74473410601143575</v>
          </cell>
          <cell r="S456">
            <v>0.25526589398856425</v>
          </cell>
          <cell r="T456">
            <v>0</v>
          </cell>
        </row>
        <row r="457">
          <cell r="Q457">
            <v>85</v>
          </cell>
          <cell r="R457">
            <v>0.74473410601143575</v>
          </cell>
          <cell r="S457">
            <v>0.25526589398856425</v>
          </cell>
          <cell r="T457">
            <v>0</v>
          </cell>
        </row>
        <row r="458">
          <cell r="Q458">
            <v>84</v>
          </cell>
          <cell r="R458">
            <v>0.65302498840982848</v>
          </cell>
          <cell r="S458">
            <v>0.34697501159017152</v>
          </cell>
          <cell r="T458">
            <v>0</v>
          </cell>
        </row>
        <row r="459">
          <cell r="Q459">
            <v>83</v>
          </cell>
          <cell r="R459">
            <v>0.65302498840982848</v>
          </cell>
          <cell r="S459">
            <v>0.34697501159017152</v>
          </cell>
          <cell r="T459">
            <v>0</v>
          </cell>
        </row>
        <row r="460">
          <cell r="Q460">
            <v>82</v>
          </cell>
          <cell r="R460">
            <v>0.65302498840982848</v>
          </cell>
          <cell r="S460">
            <v>0.34697501159017152</v>
          </cell>
          <cell r="T460">
            <v>0</v>
          </cell>
        </row>
        <row r="461">
          <cell r="Q461">
            <v>81</v>
          </cell>
          <cell r="R461">
            <v>0.65302498840982848</v>
          </cell>
          <cell r="S461">
            <v>0.34697501159017152</v>
          </cell>
          <cell r="T461">
            <v>0</v>
          </cell>
        </row>
        <row r="462">
          <cell r="Q462">
            <v>80</v>
          </cell>
          <cell r="R462">
            <v>0.65302498840982848</v>
          </cell>
          <cell r="S462">
            <v>0.34697501159017152</v>
          </cell>
          <cell r="T462">
            <v>0</v>
          </cell>
        </row>
        <row r="463">
          <cell r="Q463">
            <v>79</v>
          </cell>
          <cell r="R463">
            <v>0.65302498840982848</v>
          </cell>
          <cell r="S463">
            <v>0.34697501159017152</v>
          </cell>
          <cell r="T463">
            <v>0</v>
          </cell>
        </row>
        <row r="464">
          <cell r="Q464">
            <v>78</v>
          </cell>
          <cell r="R464">
            <v>0.65302498840982848</v>
          </cell>
          <cell r="S464">
            <v>0.34697501159017152</v>
          </cell>
          <cell r="T464">
            <v>0</v>
          </cell>
        </row>
        <row r="465">
          <cell r="Q465">
            <v>77</v>
          </cell>
          <cell r="R465">
            <v>0.65302498840982848</v>
          </cell>
          <cell r="S465">
            <v>0.34697501159017152</v>
          </cell>
          <cell r="T465">
            <v>0</v>
          </cell>
        </row>
        <row r="466">
          <cell r="Q466">
            <v>76</v>
          </cell>
          <cell r="R466">
            <v>0.65302498840982848</v>
          </cell>
          <cell r="S466">
            <v>0.34697501159017152</v>
          </cell>
          <cell r="T466">
            <v>0</v>
          </cell>
        </row>
        <row r="467">
          <cell r="Q467">
            <v>75</v>
          </cell>
          <cell r="R467">
            <v>0.65302498840982848</v>
          </cell>
          <cell r="S467">
            <v>0.34697501159017152</v>
          </cell>
          <cell r="T467">
            <v>0</v>
          </cell>
        </row>
        <row r="468">
          <cell r="Q468">
            <v>74</v>
          </cell>
          <cell r="R468">
            <v>0.65302498840982848</v>
          </cell>
          <cell r="S468">
            <v>0.34697501159017152</v>
          </cell>
          <cell r="T468">
            <v>0</v>
          </cell>
        </row>
        <row r="469">
          <cell r="Q469">
            <v>73</v>
          </cell>
          <cell r="R469">
            <v>0.65302498840982848</v>
          </cell>
          <cell r="S469">
            <v>0.34697501159017152</v>
          </cell>
          <cell r="T469">
            <v>0</v>
          </cell>
        </row>
        <row r="470">
          <cell r="Q470">
            <v>72</v>
          </cell>
          <cell r="R470">
            <v>0.56103497141091008</v>
          </cell>
          <cell r="S470">
            <v>0.43896502858908992</v>
          </cell>
          <cell r="T470">
            <v>0</v>
          </cell>
        </row>
        <row r="471">
          <cell r="Q471">
            <v>71</v>
          </cell>
          <cell r="R471">
            <v>0.56103497141091008</v>
          </cell>
          <cell r="S471">
            <v>0.43896502858908992</v>
          </cell>
          <cell r="T471">
            <v>0</v>
          </cell>
        </row>
        <row r="472">
          <cell r="Q472">
            <v>70</v>
          </cell>
          <cell r="R472">
            <v>0.56103497141091008</v>
          </cell>
          <cell r="S472">
            <v>0.43896502858908992</v>
          </cell>
          <cell r="T472">
            <v>0</v>
          </cell>
        </row>
        <row r="473">
          <cell r="Q473">
            <v>69</v>
          </cell>
          <cell r="R473">
            <v>0.56103497141091008</v>
          </cell>
          <cell r="S473">
            <v>0.43896502858908992</v>
          </cell>
          <cell r="T473">
            <v>0</v>
          </cell>
        </row>
        <row r="474">
          <cell r="Q474">
            <v>68</v>
          </cell>
          <cell r="R474">
            <v>0.56103497141091008</v>
          </cell>
          <cell r="S474">
            <v>0.43896502858908992</v>
          </cell>
          <cell r="T474">
            <v>0</v>
          </cell>
        </row>
        <row r="475">
          <cell r="Q475">
            <v>67</v>
          </cell>
          <cell r="R475">
            <v>0.56103497141091008</v>
          </cell>
          <cell r="S475">
            <v>0.43896502858908992</v>
          </cell>
          <cell r="T475">
            <v>0</v>
          </cell>
        </row>
        <row r="476">
          <cell r="Q476">
            <v>66</v>
          </cell>
          <cell r="R476">
            <v>0.56103497141091008</v>
          </cell>
          <cell r="S476">
            <v>0.43896502858908992</v>
          </cell>
          <cell r="T476">
            <v>0</v>
          </cell>
        </row>
        <row r="477">
          <cell r="Q477">
            <v>65</v>
          </cell>
          <cell r="R477">
            <v>0.56103497141091008</v>
          </cell>
          <cell r="S477">
            <v>0.43896502858908992</v>
          </cell>
          <cell r="T477">
            <v>0</v>
          </cell>
        </row>
        <row r="478">
          <cell r="Q478">
            <v>64</v>
          </cell>
          <cell r="R478">
            <v>0.56103497141091008</v>
          </cell>
          <cell r="S478">
            <v>0.43896502858908992</v>
          </cell>
          <cell r="T478">
            <v>0</v>
          </cell>
        </row>
        <row r="479">
          <cell r="Q479">
            <v>63</v>
          </cell>
          <cell r="R479">
            <v>0.56103497141091008</v>
          </cell>
          <cell r="S479">
            <v>0.43896502858908992</v>
          </cell>
          <cell r="T479">
            <v>0</v>
          </cell>
        </row>
        <row r="480">
          <cell r="Q480">
            <v>62</v>
          </cell>
          <cell r="R480">
            <v>0.56103497141091008</v>
          </cell>
          <cell r="S480">
            <v>0.43896502858908992</v>
          </cell>
          <cell r="T480">
            <v>0</v>
          </cell>
        </row>
        <row r="481">
          <cell r="Q481">
            <v>61</v>
          </cell>
          <cell r="R481">
            <v>0.56103497141091008</v>
          </cell>
          <cell r="S481">
            <v>0.43896502858908992</v>
          </cell>
          <cell r="T481">
            <v>0</v>
          </cell>
        </row>
        <row r="482">
          <cell r="Q482">
            <v>60</v>
          </cell>
          <cell r="R482">
            <v>0.48499710245711658</v>
          </cell>
          <cell r="S482">
            <v>0.51500289754288342</v>
          </cell>
          <cell r="T482">
            <v>0</v>
          </cell>
        </row>
        <row r="483">
          <cell r="Q483">
            <v>59</v>
          </cell>
          <cell r="R483">
            <v>0.48499710245711658</v>
          </cell>
          <cell r="S483">
            <v>0.51500289754288342</v>
          </cell>
          <cell r="T483">
            <v>0</v>
          </cell>
        </row>
        <row r="484">
          <cell r="Q484">
            <v>58</v>
          </cell>
          <cell r="R484">
            <v>0.48499710245711658</v>
          </cell>
          <cell r="S484">
            <v>0.51500289754288342</v>
          </cell>
          <cell r="T484">
            <v>0</v>
          </cell>
        </row>
        <row r="485">
          <cell r="Q485">
            <v>57</v>
          </cell>
          <cell r="R485">
            <v>0.48499710245711658</v>
          </cell>
          <cell r="S485">
            <v>0.51500289754288342</v>
          </cell>
          <cell r="T485">
            <v>0</v>
          </cell>
        </row>
        <row r="486">
          <cell r="Q486">
            <v>56</v>
          </cell>
          <cell r="R486">
            <v>0.48499710245711658</v>
          </cell>
          <cell r="S486">
            <v>0.51500289754288342</v>
          </cell>
          <cell r="T486">
            <v>0</v>
          </cell>
        </row>
        <row r="487">
          <cell r="Q487">
            <v>55</v>
          </cell>
          <cell r="R487">
            <v>0.48499710245711658</v>
          </cell>
          <cell r="S487">
            <v>0.51500289754288342</v>
          </cell>
          <cell r="T487">
            <v>0</v>
          </cell>
        </row>
        <row r="488">
          <cell r="Q488">
            <v>54</v>
          </cell>
          <cell r="R488">
            <v>0.48499710245711658</v>
          </cell>
          <cell r="S488">
            <v>0.51500289754288342</v>
          </cell>
          <cell r="T488">
            <v>0</v>
          </cell>
        </row>
        <row r="489">
          <cell r="Q489">
            <v>53</v>
          </cell>
          <cell r="R489">
            <v>0.48499710245711658</v>
          </cell>
          <cell r="S489">
            <v>0.51500289754288342</v>
          </cell>
          <cell r="T489">
            <v>0</v>
          </cell>
        </row>
        <row r="490">
          <cell r="Q490">
            <v>52</v>
          </cell>
          <cell r="R490">
            <v>0.48499710245711658</v>
          </cell>
          <cell r="S490">
            <v>0.51500289754288342</v>
          </cell>
          <cell r="T490">
            <v>0</v>
          </cell>
        </row>
        <row r="491">
          <cell r="Q491">
            <v>51</v>
          </cell>
          <cell r="R491">
            <v>0.48499710245711658</v>
          </cell>
          <cell r="S491">
            <v>0.51500289754288342</v>
          </cell>
          <cell r="T491">
            <v>0</v>
          </cell>
        </row>
        <row r="492">
          <cell r="Q492">
            <v>50</v>
          </cell>
          <cell r="R492">
            <v>0.48499710245711658</v>
          </cell>
          <cell r="S492">
            <v>0.51500289754288342</v>
          </cell>
          <cell r="T492">
            <v>0</v>
          </cell>
        </row>
        <row r="493">
          <cell r="Q493">
            <v>49</v>
          </cell>
          <cell r="R493">
            <v>0.48499710245711658</v>
          </cell>
          <cell r="S493">
            <v>0.51500289754288342</v>
          </cell>
          <cell r="T493">
            <v>0</v>
          </cell>
        </row>
        <row r="494">
          <cell r="Q494">
            <v>48</v>
          </cell>
          <cell r="R494">
            <v>0.41703296244784405</v>
          </cell>
          <cell r="S494">
            <v>0.58296703755215595</v>
          </cell>
          <cell r="T494">
            <v>0</v>
          </cell>
        </row>
        <row r="495">
          <cell r="Q495">
            <v>47</v>
          </cell>
          <cell r="R495">
            <v>0.41703296244784405</v>
          </cell>
          <cell r="S495">
            <v>0.58296703755215595</v>
          </cell>
          <cell r="T495">
            <v>0</v>
          </cell>
        </row>
        <row r="496">
          <cell r="Q496">
            <v>46</v>
          </cell>
          <cell r="R496">
            <v>0.41703296244784405</v>
          </cell>
          <cell r="S496">
            <v>0.58296703755215595</v>
          </cell>
          <cell r="T496">
            <v>0</v>
          </cell>
        </row>
        <row r="497">
          <cell r="Q497">
            <v>45</v>
          </cell>
          <cell r="R497">
            <v>0.41703296244784405</v>
          </cell>
          <cell r="S497">
            <v>0.58296703755215595</v>
          </cell>
          <cell r="T497">
            <v>0</v>
          </cell>
        </row>
        <row r="498">
          <cell r="Q498">
            <v>44</v>
          </cell>
          <cell r="R498">
            <v>0.41703296244784405</v>
          </cell>
          <cell r="S498">
            <v>0.58296703755215595</v>
          </cell>
          <cell r="T498">
            <v>0</v>
          </cell>
        </row>
        <row r="499">
          <cell r="Q499">
            <v>43</v>
          </cell>
          <cell r="R499">
            <v>0.41703296244784405</v>
          </cell>
          <cell r="S499">
            <v>0.58296703755215595</v>
          </cell>
          <cell r="T499">
            <v>0</v>
          </cell>
        </row>
        <row r="500">
          <cell r="Q500">
            <v>42</v>
          </cell>
          <cell r="R500">
            <v>0.41703296244784405</v>
          </cell>
          <cell r="S500">
            <v>0.58296703755215595</v>
          </cell>
          <cell r="T500">
            <v>0</v>
          </cell>
        </row>
        <row r="501">
          <cell r="Q501">
            <v>41</v>
          </cell>
          <cell r="R501">
            <v>0.41703296244784405</v>
          </cell>
          <cell r="S501">
            <v>0.58296703755215595</v>
          </cell>
          <cell r="T501">
            <v>0</v>
          </cell>
        </row>
        <row r="502">
          <cell r="Q502">
            <v>40</v>
          </cell>
          <cell r="R502">
            <v>0.41703296244784405</v>
          </cell>
          <cell r="S502">
            <v>0.58296703755215595</v>
          </cell>
          <cell r="T502">
            <v>0</v>
          </cell>
        </row>
        <row r="503">
          <cell r="Q503">
            <v>39</v>
          </cell>
          <cell r="R503">
            <v>0.41703296244784405</v>
          </cell>
          <cell r="S503">
            <v>0.58296703755215595</v>
          </cell>
          <cell r="T503">
            <v>0</v>
          </cell>
        </row>
        <row r="504">
          <cell r="Q504">
            <v>38</v>
          </cell>
          <cell r="R504">
            <v>0.41703296244784405</v>
          </cell>
          <cell r="S504">
            <v>0.58296703755215595</v>
          </cell>
          <cell r="T504">
            <v>0</v>
          </cell>
        </row>
        <row r="505">
          <cell r="Q505">
            <v>37</v>
          </cell>
          <cell r="R505">
            <v>0.41703296244784405</v>
          </cell>
          <cell r="S505">
            <v>0.58296703755215595</v>
          </cell>
          <cell r="T505">
            <v>0</v>
          </cell>
        </row>
        <row r="506">
          <cell r="Q506">
            <v>36</v>
          </cell>
          <cell r="R506">
            <v>0.35678616906196864</v>
          </cell>
          <cell r="S506">
            <v>0.64321383093803131</v>
          </cell>
          <cell r="T506">
            <v>0</v>
          </cell>
        </row>
        <row r="507">
          <cell r="Q507">
            <v>35</v>
          </cell>
          <cell r="R507">
            <v>0.35678616906196864</v>
          </cell>
          <cell r="S507">
            <v>0.64321383093803131</v>
          </cell>
          <cell r="T507">
            <v>0</v>
          </cell>
        </row>
        <row r="508">
          <cell r="Q508">
            <v>34</v>
          </cell>
          <cell r="R508">
            <v>0.35678616906196864</v>
          </cell>
          <cell r="S508">
            <v>0.64321383093803131</v>
          </cell>
          <cell r="T508">
            <v>0</v>
          </cell>
        </row>
        <row r="509">
          <cell r="Q509">
            <v>33</v>
          </cell>
          <cell r="R509">
            <v>0.35678616906196864</v>
          </cell>
          <cell r="S509">
            <v>0.64321383093803131</v>
          </cell>
          <cell r="T509">
            <v>0</v>
          </cell>
        </row>
        <row r="510">
          <cell r="Q510">
            <v>32</v>
          </cell>
          <cell r="R510">
            <v>0.35678616906196864</v>
          </cell>
          <cell r="S510">
            <v>0.64321383093803131</v>
          </cell>
          <cell r="T510">
            <v>0</v>
          </cell>
        </row>
        <row r="511">
          <cell r="Q511">
            <v>31</v>
          </cell>
          <cell r="R511">
            <v>0.35678616906196864</v>
          </cell>
          <cell r="S511">
            <v>0.64321383093803131</v>
          </cell>
          <cell r="T511">
            <v>0</v>
          </cell>
        </row>
        <row r="512">
          <cell r="Q512">
            <v>30</v>
          </cell>
          <cell r="R512">
            <v>0.35678616906196864</v>
          </cell>
          <cell r="S512">
            <v>0.64321383093803131</v>
          </cell>
          <cell r="T512">
            <v>0</v>
          </cell>
        </row>
        <row r="513">
          <cell r="Q513">
            <v>29</v>
          </cell>
          <cell r="R513">
            <v>0.35678616906196864</v>
          </cell>
          <cell r="S513">
            <v>0.64321383093803131</v>
          </cell>
          <cell r="T513">
            <v>0</v>
          </cell>
        </row>
        <row r="514">
          <cell r="Q514">
            <v>28</v>
          </cell>
          <cell r="R514">
            <v>0.35678616906196864</v>
          </cell>
          <cell r="S514">
            <v>0.64321383093803131</v>
          </cell>
          <cell r="T514">
            <v>0</v>
          </cell>
        </row>
        <row r="515">
          <cell r="Q515">
            <v>27</v>
          </cell>
          <cell r="R515">
            <v>0.35678616906196864</v>
          </cell>
          <cell r="S515">
            <v>0.64321383093803131</v>
          </cell>
          <cell r="T515">
            <v>0</v>
          </cell>
        </row>
        <row r="516">
          <cell r="Q516">
            <v>26</v>
          </cell>
          <cell r="R516">
            <v>0.35678616906196864</v>
          </cell>
          <cell r="S516">
            <v>0.64321383093803131</v>
          </cell>
          <cell r="T516">
            <v>0</v>
          </cell>
        </row>
        <row r="517">
          <cell r="Q517">
            <v>25</v>
          </cell>
          <cell r="R517">
            <v>0.35678616906196864</v>
          </cell>
          <cell r="S517">
            <v>0.64321383093803131</v>
          </cell>
          <cell r="T517">
            <v>0</v>
          </cell>
        </row>
        <row r="518">
          <cell r="Q518">
            <v>24</v>
          </cell>
          <cell r="R518">
            <v>0.30576447226085629</v>
          </cell>
          <cell r="S518">
            <v>0.69423552773914365</v>
          </cell>
          <cell r="T518">
            <v>0</v>
          </cell>
        </row>
        <row r="519">
          <cell r="Q519">
            <v>23</v>
          </cell>
          <cell r="R519">
            <v>0.30576447226085629</v>
          </cell>
          <cell r="S519">
            <v>0.69423552773914365</v>
          </cell>
          <cell r="T519">
            <v>0</v>
          </cell>
        </row>
        <row r="520">
          <cell r="Q520">
            <v>22</v>
          </cell>
          <cell r="R520">
            <v>0.30576447226085629</v>
          </cell>
          <cell r="S520">
            <v>0.69423552773914365</v>
          </cell>
          <cell r="T520">
            <v>0</v>
          </cell>
        </row>
        <row r="521">
          <cell r="Q521">
            <v>21</v>
          </cell>
          <cell r="R521">
            <v>0.30576447226085629</v>
          </cell>
          <cell r="S521">
            <v>0.69423552773914365</v>
          </cell>
          <cell r="T521">
            <v>0</v>
          </cell>
        </row>
        <row r="522">
          <cell r="Q522">
            <v>20</v>
          </cell>
          <cell r="R522">
            <v>0.30576447226085629</v>
          </cell>
          <cell r="S522">
            <v>0.69423552773914365</v>
          </cell>
          <cell r="T522">
            <v>0</v>
          </cell>
        </row>
        <row r="523">
          <cell r="Q523">
            <v>19</v>
          </cell>
          <cell r="R523">
            <v>0.30576447226085629</v>
          </cell>
          <cell r="S523">
            <v>0.69423552773914365</v>
          </cell>
          <cell r="T523">
            <v>0</v>
          </cell>
        </row>
        <row r="524">
          <cell r="Q524">
            <v>18</v>
          </cell>
          <cell r="R524">
            <v>0.30576447226085629</v>
          </cell>
          <cell r="S524">
            <v>0.69423552773914365</v>
          </cell>
          <cell r="T524">
            <v>0</v>
          </cell>
        </row>
        <row r="525">
          <cell r="Q525">
            <v>17</v>
          </cell>
          <cell r="R525">
            <v>0.30576447226085629</v>
          </cell>
          <cell r="S525">
            <v>0.69423552773914365</v>
          </cell>
          <cell r="T525">
            <v>0</v>
          </cell>
        </row>
        <row r="526">
          <cell r="Q526">
            <v>16</v>
          </cell>
          <cell r="R526">
            <v>0.30576447226085629</v>
          </cell>
          <cell r="S526">
            <v>0.69423552773914365</v>
          </cell>
          <cell r="T526">
            <v>0</v>
          </cell>
        </row>
        <row r="527">
          <cell r="Q527">
            <v>15</v>
          </cell>
          <cell r="R527">
            <v>0.30576447226085629</v>
          </cell>
          <cell r="S527">
            <v>0.69423552773914365</v>
          </cell>
          <cell r="T527">
            <v>0</v>
          </cell>
        </row>
        <row r="528">
          <cell r="Q528">
            <v>14</v>
          </cell>
          <cell r="R528">
            <v>0.30576447226085629</v>
          </cell>
          <cell r="S528">
            <v>0.69423552773914365</v>
          </cell>
          <cell r="T528">
            <v>0</v>
          </cell>
        </row>
        <row r="529">
          <cell r="Q529">
            <v>13</v>
          </cell>
          <cell r="R529">
            <v>0.30576447226085629</v>
          </cell>
          <cell r="S529">
            <v>0.69423552773914365</v>
          </cell>
          <cell r="T529">
            <v>0</v>
          </cell>
        </row>
        <row r="530">
          <cell r="Q530">
            <v>12</v>
          </cell>
          <cell r="R530">
            <v>0.26205703523412166</v>
          </cell>
          <cell r="S530">
            <v>0.7379429647658784</v>
          </cell>
          <cell r="T530">
            <v>0</v>
          </cell>
        </row>
        <row r="531">
          <cell r="Q531">
            <v>11</v>
          </cell>
          <cell r="R531">
            <v>0.26205703523412166</v>
          </cell>
          <cell r="S531">
            <v>0.7379429647658784</v>
          </cell>
          <cell r="T531">
            <v>0</v>
          </cell>
        </row>
        <row r="532">
          <cell r="Q532">
            <v>10</v>
          </cell>
          <cell r="R532">
            <v>0.26205703523412166</v>
          </cell>
          <cell r="S532">
            <v>0.7379429647658784</v>
          </cell>
          <cell r="T532">
            <v>0</v>
          </cell>
        </row>
        <row r="533">
          <cell r="Q533">
            <v>9</v>
          </cell>
          <cell r="R533">
            <v>0.26205703523412166</v>
          </cell>
          <cell r="S533">
            <v>0.7379429647658784</v>
          </cell>
          <cell r="T533">
            <v>0</v>
          </cell>
        </row>
        <row r="534">
          <cell r="Q534">
            <v>8</v>
          </cell>
          <cell r="R534">
            <v>0.26205703523412166</v>
          </cell>
          <cell r="S534">
            <v>0.7379429647658784</v>
          </cell>
          <cell r="T534">
            <v>0</v>
          </cell>
        </row>
        <row r="535">
          <cell r="Q535">
            <v>7</v>
          </cell>
          <cell r="R535">
            <v>0.26205703523412166</v>
          </cell>
          <cell r="S535">
            <v>0.7379429647658784</v>
          </cell>
          <cell r="T535">
            <v>0</v>
          </cell>
        </row>
        <row r="536">
          <cell r="Q536">
            <v>6</v>
          </cell>
          <cell r="R536">
            <v>0.26205703523412166</v>
          </cell>
          <cell r="S536">
            <v>0.7379429647658784</v>
          </cell>
          <cell r="T536">
            <v>0</v>
          </cell>
        </row>
        <row r="537">
          <cell r="Q537">
            <v>5</v>
          </cell>
          <cell r="R537">
            <v>0.26205703523412166</v>
          </cell>
          <cell r="S537">
            <v>0.7379429647658784</v>
          </cell>
          <cell r="T537">
            <v>0</v>
          </cell>
        </row>
        <row r="538">
          <cell r="Q538">
            <v>4</v>
          </cell>
          <cell r="R538">
            <v>0.26205703523412166</v>
          </cell>
          <cell r="S538">
            <v>0.7379429647658784</v>
          </cell>
          <cell r="T538">
            <v>0</v>
          </cell>
        </row>
        <row r="539">
          <cell r="Q539">
            <v>3</v>
          </cell>
          <cell r="R539">
            <v>0.26205703523412166</v>
          </cell>
          <cell r="S539">
            <v>0.7379429647658784</v>
          </cell>
          <cell r="T539">
            <v>0</v>
          </cell>
        </row>
        <row r="540">
          <cell r="Q540">
            <v>2</v>
          </cell>
          <cell r="R540">
            <v>0.26205703523412166</v>
          </cell>
          <cell r="S540">
            <v>0.7379429647658784</v>
          </cell>
          <cell r="T540">
            <v>0</v>
          </cell>
        </row>
        <row r="541">
          <cell r="Q541">
            <v>1</v>
          </cell>
          <cell r="R541">
            <v>0.26205703523412166</v>
          </cell>
          <cell r="S541">
            <v>0.7379429647658784</v>
          </cell>
          <cell r="T541">
            <v>0</v>
          </cell>
        </row>
        <row r="542">
          <cell r="Q542">
            <v>0</v>
          </cell>
          <cell r="R542">
            <v>0.22222222222222229</v>
          </cell>
          <cell r="S542">
            <v>0.77777777777777768</v>
          </cell>
          <cell r="T542">
            <v>0</v>
          </cell>
        </row>
      </sheetData>
      <sheetData sheetId="6" refreshError="1">
        <row r="1">
          <cell r="Q1" t="str">
            <v>Month</v>
          </cell>
          <cell r="R1" t="str">
            <v>Allianz Advanced Fixed Income Short Duration</v>
          </cell>
          <cell r="S1" t="str">
            <v>Allianz Dynamic Multi Asset Strategy SRI 15</v>
          </cell>
          <cell r="T1" t="str">
            <v>Allianz Dynamic Multi Asset Strategy SRI 75</v>
          </cell>
          <cell r="U1" t="str">
            <v>Allianz Best Styles Global Equity SRI</v>
          </cell>
          <cell r="V1" t="str">
            <v>Allianz Strategy Select 75</v>
          </cell>
          <cell r="W1" t="str">
            <v>Allianz Strategy Select 50</v>
          </cell>
          <cell r="X1" t="str">
            <v>Allianz Strategy Select 30</v>
          </cell>
        </row>
        <row r="2">
          <cell r="Q2">
            <v>540</v>
          </cell>
          <cell r="R2">
            <v>0</v>
          </cell>
          <cell r="S2">
            <v>0</v>
          </cell>
          <cell r="T2">
            <v>0.308</v>
          </cell>
          <cell r="U2">
            <v>0.69199999999999995</v>
          </cell>
          <cell r="V2">
            <v>0</v>
          </cell>
          <cell r="W2">
            <v>0</v>
          </cell>
          <cell r="X2">
            <v>0</v>
          </cell>
        </row>
        <row r="3">
          <cell r="Q3">
            <v>539</v>
          </cell>
          <cell r="R3">
            <v>0</v>
          </cell>
          <cell r="S3">
            <v>0</v>
          </cell>
          <cell r="T3">
            <v>0.308</v>
          </cell>
          <cell r="U3">
            <v>0.69199999999999995</v>
          </cell>
          <cell r="V3">
            <v>0</v>
          </cell>
          <cell r="W3">
            <v>0</v>
          </cell>
          <cell r="X3">
            <v>0</v>
          </cell>
        </row>
        <row r="4">
          <cell r="Q4">
            <v>538</v>
          </cell>
          <cell r="R4">
            <v>0</v>
          </cell>
          <cell r="S4">
            <v>0</v>
          </cell>
          <cell r="T4">
            <v>0.308</v>
          </cell>
          <cell r="U4">
            <v>0.69199999999999995</v>
          </cell>
          <cell r="V4">
            <v>0</v>
          </cell>
          <cell r="W4">
            <v>0</v>
          </cell>
          <cell r="X4">
            <v>0</v>
          </cell>
        </row>
        <row r="5">
          <cell r="Q5">
            <v>537</v>
          </cell>
          <cell r="R5">
            <v>0</v>
          </cell>
          <cell r="S5">
            <v>0</v>
          </cell>
          <cell r="T5">
            <v>0.308</v>
          </cell>
          <cell r="U5">
            <v>0.69199999999999995</v>
          </cell>
          <cell r="V5">
            <v>0</v>
          </cell>
          <cell r="W5">
            <v>0</v>
          </cell>
          <cell r="X5">
            <v>0</v>
          </cell>
        </row>
        <row r="6">
          <cell r="Q6">
            <v>536</v>
          </cell>
          <cell r="R6">
            <v>0</v>
          </cell>
          <cell r="S6">
            <v>0</v>
          </cell>
          <cell r="T6">
            <v>0.308</v>
          </cell>
          <cell r="U6">
            <v>0.69199999999999995</v>
          </cell>
          <cell r="V6">
            <v>0</v>
          </cell>
          <cell r="W6">
            <v>0</v>
          </cell>
          <cell r="X6">
            <v>0</v>
          </cell>
        </row>
        <row r="7">
          <cell r="Q7">
            <v>535</v>
          </cell>
          <cell r="R7">
            <v>0</v>
          </cell>
          <cell r="S7">
            <v>0</v>
          </cell>
          <cell r="T7">
            <v>0.308</v>
          </cell>
          <cell r="U7">
            <v>0.69199999999999995</v>
          </cell>
          <cell r="V7">
            <v>0</v>
          </cell>
          <cell r="W7">
            <v>0</v>
          </cell>
          <cell r="X7">
            <v>0</v>
          </cell>
        </row>
        <row r="8">
          <cell r="Q8">
            <v>534</v>
          </cell>
          <cell r="R8">
            <v>0</v>
          </cell>
          <cell r="S8">
            <v>0</v>
          </cell>
          <cell r="T8">
            <v>0.308</v>
          </cell>
          <cell r="U8">
            <v>0.69199999999999995</v>
          </cell>
          <cell r="V8">
            <v>0</v>
          </cell>
          <cell r="W8">
            <v>0</v>
          </cell>
          <cell r="X8">
            <v>0</v>
          </cell>
        </row>
        <row r="9">
          <cell r="Q9">
            <v>533</v>
          </cell>
          <cell r="R9">
            <v>0</v>
          </cell>
          <cell r="S9">
            <v>0</v>
          </cell>
          <cell r="T9">
            <v>0.308</v>
          </cell>
          <cell r="U9">
            <v>0.69199999999999995</v>
          </cell>
          <cell r="V9">
            <v>0</v>
          </cell>
          <cell r="W9">
            <v>0</v>
          </cell>
          <cell r="X9">
            <v>0</v>
          </cell>
        </row>
        <row r="10">
          <cell r="Q10">
            <v>532</v>
          </cell>
          <cell r="R10">
            <v>0</v>
          </cell>
          <cell r="S10">
            <v>0</v>
          </cell>
          <cell r="T10">
            <v>0.308</v>
          </cell>
          <cell r="U10">
            <v>0.69199999999999995</v>
          </cell>
          <cell r="V10">
            <v>0</v>
          </cell>
          <cell r="W10">
            <v>0</v>
          </cell>
          <cell r="X10">
            <v>0</v>
          </cell>
        </row>
        <row r="11">
          <cell r="Q11">
            <v>531</v>
          </cell>
          <cell r="R11">
            <v>0</v>
          </cell>
          <cell r="S11">
            <v>0</v>
          </cell>
          <cell r="T11">
            <v>0.308</v>
          </cell>
          <cell r="U11">
            <v>0.69199999999999995</v>
          </cell>
          <cell r="V11">
            <v>0</v>
          </cell>
          <cell r="W11">
            <v>0</v>
          </cell>
          <cell r="X11">
            <v>0</v>
          </cell>
        </row>
        <row r="12">
          <cell r="Q12">
            <v>530</v>
          </cell>
          <cell r="R12">
            <v>0</v>
          </cell>
          <cell r="S12">
            <v>0</v>
          </cell>
          <cell r="T12">
            <v>0.308</v>
          </cell>
          <cell r="U12">
            <v>0.69199999999999995</v>
          </cell>
          <cell r="V12">
            <v>0</v>
          </cell>
          <cell r="W12">
            <v>0</v>
          </cell>
          <cell r="X12">
            <v>0</v>
          </cell>
        </row>
        <row r="13">
          <cell r="Q13">
            <v>529</v>
          </cell>
          <cell r="R13">
            <v>0</v>
          </cell>
          <cell r="S13">
            <v>0</v>
          </cell>
          <cell r="T13">
            <v>0.308</v>
          </cell>
          <cell r="U13">
            <v>0.69199999999999995</v>
          </cell>
          <cell r="V13">
            <v>0</v>
          </cell>
          <cell r="W13">
            <v>0</v>
          </cell>
          <cell r="X13">
            <v>0</v>
          </cell>
        </row>
        <row r="14">
          <cell r="Q14">
            <v>528</v>
          </cell>
          <cell r="R14">
            <v>0</v>
          </cell>
          <cell r="S14">
            <v>0</v>
          </cell>
          <cell r="T14">
            <v>0.308</v>
          </cell>
          <cell r="U14">
            <v>0.69199999999999995</v>
          </cell>
          <cell r="V14">
            <v>0</v>
          </cell>
          <cell r="W14">
            <v>0</v>
          </cell>
          <cell r="X14">
            <v>0</v>
          </cell>
        </row>
        <row r="15">
          <cell r="Q15">
            <v>527</v>
          </cell>
          <cell r="R15">
            <v>0</v>
          </cell>
          <cell r="S15">
            <v>0</v>
          </cell>
          <cell r="T15">
            <v>0.308</v>
          </cell>
          <cell r="U15">
            <v>0.69199999999999995</v>
          </cell>
          <cell r="V15">
            <v>0</v>
          </cell>
          <cell r="W15">
            <v>0</v>
          </cell>
          <cell r="X15">
            <v>0</v>
          </cell>
        </row>
        <row r="16">
          <cell r="Q16">
            <v>526</v>
          </cell>
          <cell r="R16">
            <v>0</v>
          </cell>
          <cell r="S16">
            <v>0</v>
          </cell>
          <cell r="T16">
            <v>0.308</v>
          </cell>
          <cell r="U16">
            <v>0.69199999999999995</v>
          </cell>
          <cell r="V16">
            <v>0</v>
          </cell>
          <cell r="W16">
            <v>0</v>
          </cell>
          <cell r="X16">
            <v>0</v>
          </cell>
        </row>
        <row r="17">
          <cell r="Q17">
            <v>525</v>
          </cell>
          <cell r="R17">
            <v>0</v>
          </cell>
          <cell r="S17">
            <v>0</v>
          </cell>
          <cell r="T17">
            <v>0.308</v>
          </cell>
          <cell r="U17">
            <v>0.69199999999999995</v>
          </cell>
          <cell r="V17">
            <v>0</v>
          </cell>
          <cell r="W17">
            <v>0</v>
          </cell>
          <cell r="X17">
            <v>0</v>
          </cell>
        </row>
        <row r="18">
          <cell r="Q18">
            <v>524</v>
          </cell>
          <cell r="R18">
            <v>0</v>
          </cell>
          <cell r="S18">
            <v>0</v>
          </cell>
          <cell r="T18">
            <v>0.308</v>
          </cell>
          <cell r="U18">
            <v>0.69199999999999995</v>
          </cell>
          <cell r="V18">
            <v>0</v>
          </cell>
          <cell r="W18">
            <v>0</v>
          </cell>
          <cell r="X18">
            <v>0</v>
          </cell>
        </row>
        <row r="19">
          <cell r="Q19">
            <v>523</v>
          </cell>
          <cell r="R19">
            <v>0</v>
          </cell>
          <cell r="S19">
            <v>0</v>
          </cell>
          <cell r="T19">
            <v>0.308</v>
          </cell>
          <cell r="U19">
            <v>0.69199999999999995</v>
          </cell>
          <cell r="V19">
            <v>0</v>
          </cell>
          <cell r="W19">
            <v>0</v>
          </cell>
          <cell r="X19">
            <v>0</v>
          </cell>
        </row>
        <row r="20">
          <cell r="Q20">
            <v>522</v>
          </cell>
          <cell r="R20">
            <v>0</v>
          </cell>
          <cell r="S20">
            <v>0</v>
          </cell>
          <cell r="T20">
            <v>0.308</v>
          </cell>
          <cell r="U20">
            <v>0.69199999999999995</v>
          </cell>
          <cell r="V20">
            <v>0</v>
          </cell>
          <cell r="W20">
            <v>0</v>
          </cell>
          <cell r="X20">
            <v>0</v>
          </cell>
        </row>
        <row r="21">
          <cell r="Q21">
            <v>521</v>
          </cell>
          <cell r="R21">
            <v>0</v>
          </cell>
          <cell r="S21">
            <v>0</v>
          </cell>
          <cell r="T21">
            <v>0.308</v>
          </cell>
          <cell r="U21">
            <v>0.69199999999999995</v>
          </cell>
          <cell r="V21">
            <v>0</v>
          </cell>
          <cell r="W21">
            <v>0</v>
          </cell>
          <cell r="X21">
            <v>0</v>
          </cell>
        </row>
        <row r="22">
          <cell r="Q22">
            <v>520</v>
          </cell>
          <cell r="R22">
            <v>0</v>
          </cell>
          <cell r="S22">
            <v>0</v>
          </cell>
          <cell r="T22">
            <v>0.308</v>
          </cell>
          <cell r="U22">
            <v>0.69199999999999995</v>
          </cell>
          <cell r="V22">
            <v>0</v>
          </cell>
          <cell r="W22">
            <v>0</v>
          </cell>
          <cell r="X22">
            <v>0</v>
          </cell>
        </row>
        <row r="23">
          <cell r="Q23">
            <v>519</v>
          </cell>
          <cell r="R23">
            <v>0</v>
          </cell>
          <cell r="S23">
            <v>0</v>
          </cell>
          <cell r="T23">
            <v>0.308</v>
          </cell>
          <cell r="U23">
            <v>0.69199999999999995</v>
          </cell>
          <cell r="V23">
            <v>0</v>
          </cell>
          <cell r="W23">
            <v>0</v>
          </cell>
          <cell r="X23">
            <v>0</v>
          </cell>
        </row>
        <row r="24">
          <cell r="Q24">
            <v>518</v>
          </cell>
          <cell r="R24">
            <v>0</v>
          </cell>
          <cell r="S24">
            <v>0</v>
          </cell>
          <cell r="T24">
            <v>0.308</v>
          </cell>
          <cell r="U24">
            <v>0.69199999999999995</v>
          </cell>
          <cell r="V24">
            <v>0</v>
          </cell>
          <cell r="W24">
            <v>0</v>
          </cell>
          <cell r="X24">
            <v>0</v>
          </cell>
        </row>
        <row r="25">
          <cell r="Q25">
            <v>517</v>
          </cell>
          <cell r="R25">
            <v>0</v>
          </cell>
          <cell r="S25">
            <v>0</v>
          </cell>
          <cell r="T25">
            <v>0.308</v>
          </cell>
          <cell r="U25">
            <v>0.69199999999999995</v>
          </cell>
          <cell r="V25">
            <v>0</v>
          </cell>
          <cell r="W25">
            <v>0</v>
          </cell>
          <cell r="X25">
            <v>0</v>
          </cell>
        </row>
        <row r="26">
          <cell r="Q26">
            <v>516</v>
          </cell>
          <cell r="R26">
            <v>0</v>
          </cell>
          <cell r="S26">
            <v>0</v>
          </cell>
          <cell r="T26">
            <v>0.308</v>
          </cell>
          <cell r="U26">
            <v>0.69199999999999995</v>
          </cell>
          <cell r="V26">
            <v>0</v>
          </cell>
          <cell r="W26">
            <v>0</v>
          </cell>
          <cell r="X26">
            <v>0</v>
          </cell>
        </row>
        <row r="27">
          <cell r="Q27">
            <v>515</v>
          </cell>
          <cell r="R27">
            <v>0</v>
          </cell>
          <cell r="S27">
            <v>0</v>
          </cell>
          <cell r="T27">
            <v>0.308</v>
          </cell>
          <cell r="U27">
            <v>0.69199999999999995</v>
          </cell>
          <cell r="V27">
            <v>0</v>
          </cell>
          <cell r="W27">
            <v>0</v>
          </cell>
          <cell r="X27">
            <v>0</v>
          </cell>
        </row>
        <row r="28">
          <cell r="Q28">
            <v>514</v>
          </cell>
          <cell r="R28">
            <v>0</v>
          </cell>
          <cell r="S28">
            <v>0</v>
          </cell>
          <cell r="T28">
            <v>0.308</v>
          </cell>
          <cell r="U28">
            <v>0.69199999999999995</v>
          </cell>
          <cell r="V28">
            <v>0</v>
          </cell>
          <cell r="W28">
            <v>0</v>
          </cell>
          <cell r="X28">
            <v>0</v>
          </cell>
        </row>
        <row r="29">
          <cell r="Q29">
            <v>513</v>
          </cell>
          <cell r="R29">
            <v>0</v>
          </cell>
          <cell r="S29">
            <v>0</v>
          </cell>
          <cell r="T29">
            <v>0.308</v>
          </cell>
          <cell r="U29">
            <v>0.69199999999999995</v>
          </cell>
          <cell r="V29">
            <v>0</v>
          </cell>
          <cell r="W29">
            <v>0</v>
          </cell>
          <cell r="X29">
            <v>0</v>
          </cell>
        </row>
        <row r="30">
          <cell r="Q30">
            <v>512</v>
          </cell>
          <cell r="R30">
            <v>0</v>
          </cell>
          <cell r="S30">
            <v>0</v>
          </cell>
          <cell r="T30">
            <v>0.308</v>
          </cell>
          <cell r="U30">
            <v>0.69199999999999995</v>
          </cell>
          <cell r="V30">
            <v>0</v>
          </cell>
          <cell r="W30">
            <v>0</v>
          </cell>
          <cell r="X30">
            <v>0</v>
          </cell>
        </row>
        <row r="31">
          <cell r="Q31">
            <v>511</v>
          </cell>
          <cell r="R31">
            <v>0</v>
          </cell>
          <cell r="S31">
            <v>0</v>
          </cell>
          <cell r="T31">
            <v>0.308</v>
          </cell>
          <cell r="U31">
            <v>0.69199999999999995</v>
          </cell>
          <cell r="V31">
            <v>0</v>
          </cell>
          <cell r="W31">
            <v>0</v>
          </cell>
          <cell r="X31">
            <v>0</v>
          </cell>
        </row>
        <row r="32">
          <cell r="Q32">
            <v>510</v>
          </cell>
          <cell r="R32">
            <v>0</v>
          </cell>
          <cell r="S32">
            <v>0</v>
          </cell>
          <cell r="T32">
            <v>0.308</v>
          </cell>
          <cell r="U32">
            <v>0.69199999999999995</v>
          </cell>
          <cell r="V32">
            <v>0</v>
          </cell>
          <cell r="W32">
            <v>0</v>
          </cell>
          <cell r="X32">
            <v>0</v>
          </cell>
        </row>
        <row r="33">
          <cell r="Q33">
            <v>509</v>
          </cell>
          <cell r="R33">
            <v>0</v>
          </cell>
          <cell r="S33">
            <v>0</v>
          </cell>
          <cell r="T33">
            <v>0.308</v>
          </cell>
          <cell r="U33">
            <v>0.69199999999999995</v>
          </cell>
          <cell r="V33">
            <v>0</v>
          </cell>
          <cell r="W33">
            <v>0</v>
          </cell>
          <cell r="X33">
            <v>0</v>
          </cell>
        </row>
        <row r="34">
          <cell r="Q34">
            <v>508</v>
          </cell>
          <cell r="R34">
            <v>0</v>
          </cell>
          <cell r="S34">
            <v>0</v>
          </cell>
          <cell r="T34">
            <v>0.308</v>
          </cell>
          <cell r="U34">
            <v>0.69199999999999995</v>
          </cell>
          <cell r="V34">
            <v>0</v>
          </cell>
          <cell r="W34">
            <v>0</v>
          </cell>
          <cell r="X34">
            <v>0</v>
          </cell>
        </row>
        <row r="35">
          <cell r="Q35">
            <v>507</v>
          </cell>
          <cell r="R35">
            <v>0</v>
          </cell>
          <cell r="S35">
            <v>0</v>
          </cell>
          <cell r="T35">
            <v>0.308</v>
          </cell>
          <cell r="U35">
            <v>0.69199999999999995</v>
          </cell>
          <cell r="V35">
            <v>0</v>
          </cell>
          <cell r="W35">
            <v>0</v>
          </cell>
          <cell r="X35">
            <v>0</v>
          </cell>
        </row>
        <row r="36">
          <cell r="Q36">
            <v>506</v>
          </cell>
          <cell r="R36">
            <v>0</v>
          </cell>
          <cell r="S36">
            <v>0</v>
          </cell>
          <cell r="T36">
            <v>0.308</v>
          </cell>
          <cell r="U36">
            <v>0.69199999999999995</v>
          </cell>
          <cell r="V36">
            <v>0</v>
          </cell>
          <cell r="W36">
            <v>0</v>
          </cell>
          <cell r="X36">
            <v>0</v>
          </cell>
        </row>
        <row r="37">
          <cell r="Q37">
            <v>505</v>
          </cell>
          <cell r="R37">
            <v>0</v>
          </cell>
          <cell r="S37">
            <v>0</v>
          </cell>
          <cell r="T37">
            <v>0.308</v>
          </cell>
          <cell r="U37">
            <v>0.69199999999999995</v>
          </cell>
          <cell r="V37">
            <v>0</v>
          </cell>
          <cell r="W37">
            <v>0</v>
          </cell>
          <cell r="X37">
            <v>0</v>
          </cell>
        </row>
        <row r="38">
          <cell r="Q38">
            <v>504</v>
          </cell>
          <cell r="R38">
            <v>0</v>
          </cell>
          <cell r="S38">
            <v>0</v>
          </cell>
          <cell r="T38">
            <v>0.308</v>
          </cell>
          <cell r="U38">
            <v>0.69199999999999995</v>
          </cell>
          <cell r="V38">
            <v>0</v>
          </cell>
          <cell r="W38">
            <v>0</v>
          </cell>
          <cell r="X38">
            <v>0</v>
          </cell>
        </row>
        <row r="39">
          <cell r="Q39">
            <v>503</v>
          </cell>
          <cell r="R39">
            <v>0</v>
          </cell>
          <cell r="S39">
            <v>0</v>
          </cell>
          <cell r="T39">
            <v>0.308</v>
          </cell>
          <cell r="U39">
            <v>0.69199999999999995</v>
          </cell>
          <cell r="V39">
            <v>0</v>
          </cell>
          <cell r="W39">
            <v>0</v>
          </cell>
          <cell r="X39">
            <v>0</v>
          </cell>
        </row>
        <row r="40">
          <cell r="Q40">
            <v>502</v>
          </cell>
          <cell r="R40">
            <v>0</v>
          </cell>
          <cell r="S40">
            <v>0</v>
          </cell>
          <cell r="T40">
            <v>0.308</v>
          </cell>
          <cell r="U40">
            <v>0.69199999999999995</v>
          </cell>
          <cell r="V40">
            <v>0</v>
          </cell>
          <cell r="W40">
            <v>0</v>
          </cell>
          <cell r="X40">
            <v>0</v>
          </cell>
        </row>
        <row r="41">
          <cell r="Q41">
            <v>501</v>
          </cell>
          <cell r="R41">
            <v>0</v>
          </cell>
          <cell r="S41">
            <v>0</v>
          </cell>
          <cell r="T41">
            <v>0.308</v>
          </cell>
          <cell r="U41">
            <v>0.69199999999999995</v>
          </cell>
          <cell r="V41">
            <v>0</v>
          </cell>
          <cell r="W41">
            <v>0</v>
          </cell>
          <cell r="X41">
            <v>0</v>
          </cell>
        </row>
        <row r="42">
          <cell r="Q42">
            <v>500</v>
          </cell>
          <cell r="R42">
            <v>0</v>
          </cell>
          <cell r="S42">
            <v>0</v>
          </cell>
          <cell r="T42">
            <v>0.308</v>
          </cell>
          <cell r="U42">
            <v>0.69199999999999995</v>
          </cell>
          <cell r="V42">
            <v>0</v>
          </cell>
          <cell r="W42">
            <v>0</v>
          </cell>
          <cell r="X42">
            <v>0</v>
          </cell>
        </row>
        <row r="43">
          <cell r="Q43">
            <v>499</v>
          </cell>
          <cell r="R43">
            <v>0</v>
          </cell>
          <cell r="S43">
            <v>0</v>
          </cell>
          <cell r="T43">
            <v>0.308</v>
          </cell>
          <cell r="U43">
            <v>0.69199999999999995</v>
          </cell>
          <cell r="V43">
            <v>0</v>
          </cell>
          <cell r="W43">
            <v>0</v>
          </cell>
          <cell r="X43">
            <v>0</v>
          </cell>
        </row>
        <row r="44">
          <cell r="Q44">
            <v>498</v>
          </cell>
          <cell r="R44">
            <v>0</v>
          </cell>
          <cell r="S44">
            <v>0</v>
          </cell>
          <cell r="T44">
            <v>0.308</v>
          </cell>
          <cell r="U44">
            <v>0.69199999999999995</v>
          </cell>
          <cell r="V44">
            <v>0</v>
          </cell>
          <cell r="W44">
            <v>0</v>
          </cell>
          <cell r="X44">
            <v>0</v>
          </cell>
        </row>
        <row r="45">
          <cell r="Q45">
            <v>497</v>
          </cell>
          <cell r="R45">
            <v>0</v>
          </cell>
          <cell r="S45">
            <v>0</v>
          </cell>
          <cell r="T45">
            <v>0.308</v>
          </cell>
          <cell r="U45">
            <v>0.69199999999999995</v>
          </cell>
          <cell r="V45">
            <v>0</v>
          </cell>
          <cell r="W45">
            <v>0</v>
          </cell>
          <cell r="X45">
            <v>0</v>
          </cell>
        </row>
        <row r="46">
          <cell r="Q46">
            <v>496</v>
          </cell>
          <cell r="R46">
            <v>0</v>
          </cell>
          <cell r="S46">
            <v>0</v>
          </cell>
          <cell r="T46">
            <v>0.308</v>
          </cell>
          <cell r="U46">
            <v>0.69199999999999995</v>
          </cell>
          <cell r="V46">
            <v>0</v>
          </cell>
          <cell r="W46">
            <v>0</v>
          </cell>
          <cell r="X46">
            <v>0</v>
          </cell>
        </row>
        <row r="47">
          <cell r="Q47">
            <v>495</v>
          </cell>
          <cell r="R47">
            <v>0</v>
          </cell>
          <cell r="S47">
            <v>0</v>
          </cell>
          <cell r="T47">
            <v>0.308</v>
          </cell>
          <cell r="U47">
            <v>0.69199999999999995</v>
          </cell>
          <cell r="V47">
            <v>0</v>
          </cell>
          <cell r="W47">
            <v>0</v>
          </cell>
          <cell r="X47">
            <v>0</v>
          </cell>
        </row>
        <row r="48">
          <cell r="Q48">
            <v>494</v>
          </cell>
          <cell r="R48">
            <v>0</v>
          </cell>
          <cell r="S48">
            <v>0</v>
          </cell>
          <cell r="T48">
            <v>0.308</v>
          </cell>
          <cell r="U48">
            <v>0.69199999999999995</v>
          </cell>
          <cell r="V48">
            <v>0</v>
          </cell>
          <cell r="W48">
            <v>0</v>
          </cell>
          <cell r="X48">
            <v>0</v>
          </cell>
        </row>
        <row r="49">
          <cell r="Q49">
            <v>493</v>
          </cell>
          <cell r="R49">
            <v>0</v>
          </cell>
          <cell r="S49">
            <v>0</v>
          </cell>
          <cell r="T49">
            <v>0.308</v>
          </cell>
          <cell r="U49">
            <v>0.69199999999999995</v>
          </cell>
          <cell r="V49">
            <v>0</v>
          </cell>
          <cell r="W49">
            <v>0</v>
          </cell>
          <cell r="X49">
            <v>0</v>
          </cell>
        </row>
        <row r="50">
          <cell r="Q50">
            <v>492</v>
          </cell>
          <cell r="R50">
            <v>0</v>
          </cell>
          <cell r="S50">
            <v>0</v>
          </cell>
          <cell r="T50">
            <v>0.308</v>
          </cell>
          <cell r="U50">
            <v>0.69199999999999995</v>
          </cell>
          <cell r="V50">
            <v>0</v>
          </cell>
          <cell r="W50">
            <v>0</v>
          </cell>
          <cell r="X50">
            <v>0</v>
          </cell>
        </row>
        <row r="51">
          <cell r="Q51">
            <v>491</v>
          </cell>
          <cell r="R51">
            <v>0</v>
          </cell>
          <cell r="S51">
            <v>0</v>
          </cell>
          <cell r="T51">
            <v>0.308</v>
          </cell>
          <cell r="U51">
            <v>0.69199999999999995</v>
          </cell>
          <cell r="V51">
            <v>0</v>
          </cell>
          <cell r="W51">
            <v>0</v>
          </cell>
          <cell r="X51">
            <v>0</v>
          </cell>
        </row>
        <row r="52">
          <cell r="Q52">
            <v>490</v>
          </cell>
          <cell r="R52">
            <v>0</v>
          </cell>
          <cell r="S52">
            <v>0</v>
          </cell>
          <cell r="T52">
            <v>0.308</v>
          </cell>
          <cell r="U52">
            <v>0.69199999999999995</v>
          </cell>
          <cell r="V52">
            <v>0</v>
          </cell>
          <cell r="W52">
            <v>0</v>
          </cell>
          <cell r="X52">
            <v>0</v>
          </cell>
        </row>
        <row r="53">
          <cell r="Q53">
            <v>489</v>
          </cell>
          <cell r="R53">
            <v>0</v>
          </cell>
          <cell r="S53">
            <v>0</v>
          </cell>
          <cell r="T53">
            <v>0.308</v>
          </cell>
          <cell r="U53">
            <v>0.69199999999999995</v>
          </cell>
          <cell r="V53">
            <v>0</v>
          </cell>
          <cell r="W53">
            <v>0</v>
          </cell>
          <cell r="X53">
            <v>0</v>
          </cell>
        </row>
        <row r="54">
          <cell r="Q54">
            <v>488</v>
          </cell>
          <cell r="R54">
            <v>0</v>
          </cell>
          <cell r="S54">
            <v>0</v>
          </cell>
          <cell r="T54">
            <v>0.308</v>
          </cell>
          <cell r="U54">
            <v>0.69199999999999995</v>
          </cell>
          <cell r="V54">
            <v>0</v>
          </cell>
          <cell r="W54">
            <v>0</v>
          </cell>
          <cell r="X54">
            <v>0</v>
          </cell>
        </row>
        <row r="55">
          <cell r="Q55">
            <v>487</v>
          </cell>
          <cell r="R55">
            <v>0</v>
          </cell>
          <cell r="S55">
            <v>0</v>
          </cell>
          <cell r="T55">
            <v>0.308</v>
          </cell>
          <cell r="U55">
            <v>0.69199999999999995</v>
          </cell>
          <cell r="V55">
            <v>0</v>
          </cell>
          <cell r="W55">
            <v>0</v>
          </cell>
          <cell r="X55">
            <v>0</v>
          </cell>
        </row>
        <row r="56">
          <cell r="Q56">
            <v>486</v>
          </cell>
          <cell r="R56">
            <v>0</v>
          </cell>
          <cell r="S56">
            <v>0</v>
          </cell>
          <cell r="T56">
            <v>0.308</v>
          </cell>
          <cell r="U56">
            <v>0.69199999999999995</v>
          </cell>
          <cell r="V56">
            <v>0</v>
          </cell>
          <cell r="W56">
            <v>0</v>
          </cell>
          <cell r="X56">
            <v>0</v>
          </cell>
        </row>
        <row r="57">
          <cell r="Q57">
            <v>485</v>
          </cell>
          <cell r="R57">
            <v>0</v>
          </cell>
          <cell r="S57">
            <v>0</v>
          </cell>
          <cell r="T57">
            <v>0.308</v>
          </cell>
          <cell r="U57">
            <v>0.69199999999999995</v>
          </cell>
          <cell r="V57">
            <v>0</v>
          </cell>
          <cell r="W57">
            <v>0</v>
          </cell>
          <cell r="X57">
            <v>0</v>
          </cell>
        </row>
        <row r="58">
          <cell r="Q58">
            <v>484</v>
          </cell>
          <cell r="R58">
            <v>0</v>
          </cell>
          <cell r="S58">
            <v>0</v>
          </cell>
          <cell r="T58">
            <v>0.308</v>
          </cell>
          <cell r="U58">
            <v>0.69199999999999995</v>
          </cell>
          <cell r="V58">
            <v>0</v>
          </cell>
          <cell r="W58">
            <v>0</v>
          </cell>
          <cell r="X58">
            <v>0</v>
          </cell>
        </row>
        <row r="59">
          <cell r="Q59">
            <v>483</v>
          </cell>
          <cell r="R59">
            <v>0</v>
          </cell>
          <cell r="S59">
            <v>0</v>
          </cell>
          <cell r="T59">
            <v>0.308</v>
          </cell>
          <cell r="U59">
            <v>0.69199999999999995</v>
          </cell>
          <cell r="V59">
            <v>0</v>
          </cell>
          <cell r="W59">
            <v>0</v>
          </cell>
          <cell r="X59">
            <v>0</v>
          </cell>
        </row>
        <row r="60">
          <cell r="Q60">
            <v>482</v>
          </cell>
          <cell r="R60">
            <v>0</v>
          </cell>
          <cell r="S60">
            <v>0</v>
          </cell>
          <cell r="T60">
            <v>0.308</v>
          </cell>
          <cell r="U60">
            <v>0.69199999999999995</v>
          </cell>
          <cell r="V60">
            <v>0</v>
          </cell>
          <cell r="W60">
            <v>0</v>
          </cell>
          <cell r="X60">
            <v>0</v>
          </cell>
        </row>
        <row r="61">
          <cell r="Q61">
            <v>481</v>
          </cell>
          <cell r="R61">
            <v>0</v>
          </cell>
          <cell r="S61">
            <v>0</v>
          </cell>
          <cell r="T61">
            <v>0.308</v>
          </cell>
          <cell r="U61">
            <v>0.69199999999999995</v>
          </cell>
          <cell r="V61">
            <v>0</v>
          </cell>
          <cell r="W61">
            <v>0</v>
          </cell>
          <cell r="X61">
            <v>0</v>
          </cell>
        </row>
        <row r="62">
          <cell r="Q62">
            <v>480</v>
          </cell>
          <cell r="R62">
            <v>0</v>
          </cell>
          <cell r="S62">
            <v>0</v>
          </cell>
          <cell r="T62">
            <v>0.308</v>
          </cell>
          <cell r="U62">
            <v>0.69199999999999995</v>
          </cell>
          <cell r="V62">
            <v>0</v>
          </cell>
          <cell r="W62">
            <v>0</v>
          </cell>
          <cell r="X62">
            <v>0</v>
          </cell>
        </row>
        <row r="63">
          <cell r="Q63">
            <v>479</v>
          </cell>
          <cell r="R63">
            <v>0</v>
          </cell>
          <cell r="S63">
            <v>0</v>
          </cell>
          <cell r="T63">
            <v>0.308</v>
          </cell>
          <cell r="U63">
            <v>0.69199999999999995</v>
          </cell>
          <cell r="V63">
            <v>0</v>
          </cell>
          <cell r="W63">
            <v>0</v>
          </cell>
          <cell r="X63">
            <v>0</v>
          </cell>
        </row>
        <row r="64">
          <cell r="Q64">
            <v>478</v>
          </cell>
          <cell r="R64">
            <v>0</v>
          </cell>
          <cell r="S64">
            <v>0</v>
          </cell>
          <cell r="T64">
            <v>0.308</v>
          </cell>
          <cell r="U64">
            <v>0.69199999999999995</v>
          </cell>
          <cell r="V64">
            <v>0</v>
          </cell>
          <cell r="W64">
            <v>0</v>
          </cell>
          <cell r="X64">
            <v>0</v>
          </cell>
        </row>
        <row r="65">
          <cell r="Q65">
            <v>477</v>
          </cell>
          <cell r="R65">
            <v>0</v>
          </cell>
          <cell r="S65">
            <v>0</v>
          </cell>
          <cell r="T65">
            <v>0.308</v>
          </cell>
          <cell r="U65">
            <v>0.69199999999999995</v>
          </cell>
          <cell r="V65">
            <v>0</v>
          </cell>
          <cell r="W65">
            <v>0</v>
          </cell>
          <cell r="X65">
            <v>0</v>
          </cell>
        </row>
        <row r="66">
          <cell r="Q66">
            <v>476</v>
          </cell>
          <cell r="R66">
            <v>0</v>
          </cell>
          <cell r="S66">
            <v>0</v>
          </cell>
          <cell r="T66">
            <v>0.308</v>
          </cell>
          <cell r="U66">
            <v>0.69199999999999995</v>
          </cell>
          <cell r="V66">
            <v>0</v>
          </cell>
          <cell r="W66">
            <v>0</v>
          </cell>
          <cell r="X66">
            <v>0</v>
          </cell>
        </row>
        <row r="67">
          <cell r="Q67">
            <v>475</v>
          </cell>
          <cell r="R67">
            <v>0</v>
          </cell>
          <cell r="S67">
            <v>0</v>
          </cell>
          <cell r="T67">
            <v>0.308</v>
          </cell>
          <cell r="U67">
            <v>0.69199999999999995</v>
          </cell>
          <cell r="V67">
            <v>0</v>
          </cell>
          <cell r="W67">
            <v>0</v>
          </cell>
          <cell r="X67">
            <v>0</v>
          </cell>
        </row>
        <row r="68">
          <cell r="Q68">
            <v>474</v>
          </cell>
          <cell r="R68">
            <v>0</v>
          </cell>
          <cell r="S68">
            <v>0</v>
          </cell>
          <cell r="T68">
            <v>0.308</v>
          </cell>
          <cell r="U68">
            <v>0.69199999999999995</v>
          </cell>
          <cell r="V68">
            <v>0</v>
          </cell>
          <cell r="W68">
            <v>0</v>
          </cell>
          <cell r="X68">
            <v>0</v>
          </cell>
        </row>
        <row r="69">
          <cell r="Q69">
            <v>473</v>
          </cell>
          <cell r="R69">
            <v>0</v>
          </cell>
          <cell r="S69">
            <v>0</v>
          </cell>
          <cell r="T69">
            <v>0.308</v>
          </cell>
          <cell r="U69">
            <v>0.69199999999999995</v>
          </cell>
          <cell r="V69">
            <v>0</v>
          </cell>
          <cell r="W69">
            <v>0</v>
          </cell>
          <cell r="X69">
            <v>0</v>
          </cell>
        </row>
        <row r="70">
          <cell r="Q70">
            <v>472</v>
          </cell>
          <cell r="R70">
            <v>0</v>
          </cell>
          <cell r="S70">
            <v>0</v>
          </cell>
          <cell r="T70">
            <v>0.308</v>
          </cell>
          <cell r="U70">
            <v>0.69199999999999995</v>
          </cell>
          <cell r="V70">
            <v>0</v>
          </cell>
          <cell r="W70">
            <v>0</v>
          </cell>
          <cell r="X70">
            <v>0</v>
          </cell>
        </row>
        <row r="71">
          <cell r="Q71">
            <v>471</v>
          </cell>
          <cell r="R71">
            <v>0</v>
          </cell>
          <cell r="S71">
            <v>0</v>
          </cell>
          <cell r="T71">
            <v>0.308</v>
          </cell>
          <cell r="U71">
            <v>0.69199999999999995</v>
          </cell>
          <cell r="V71">
            <v>0</v>
          </cell>
          <cell r="W71">
            <v>0</v>
          </cell>
          <cell r="X71">
            <v>0</v>
          </cell>
        </row>
        <row r="72">
          <cell r="Q72">
            <v>470</v>
          </cell>
          <cell r="R72">
            <v>0</v>
          </cell>
          <cell r="S72">
            <v>0</v>
          </cell>
          <cell r="T72">
            <v>0.308</v>
          </cell>
          <cell r="U72">
            <v>0.69199999999999995</v>
          </cell>
          <cell r="V72">
            <v>0</v>
          </cell>
          <cell r="W72">
            <v>0</v>
          </cell>
          <cell r="X72">
            <v>0</v>
          </cell>
        </row>
        <row r="73">
          <cell r="Q73">
            <v>469</v>
          </cell>
          <cell r="R73">
            <v>0</v>
          </cell>
          <cell r="S73">
            <v>0</v>
          </cell>
          <cell r="T73">
            <v>0.308</v>
          </cell>
          <cell r="U73">
            <v>0.69199999999999995</v>
          </cell>
          <cell r="V73">
            <v>0</v>
          </cell>
          <cell r="W73">
            <v>0</v>
          </cell>
          <cell r="X73">
            <v>0</v>
          </cell>
        </row>
        <row r="74">
          <cell r="Q74">
            <v>468</v>
          </cell>
          <cell r="R74">
            <v>0</v>
          </cell>
          <cell r="S74">
            <v>0</v>
          </cell>
          <cell r="T74">
            <v>0.308</v>
          </cell>
          <cell r="U74">
            <v>0.69199999999999995</v>
          </cell>
          <cell r="V74">
            <v>0</v>
          </cell>
          <cell r="W74">
            <v>0</v>
          </cell>
          <cell r="X74">
            <v>0</v>
          </cell>
        </row>
        <row r="75">
          <cell r="Q75">
            <v>467</v>
          </cell>
          <cell r="R75">
            <v>0</v>
          </cell>
          <cell r="S75">
            <v>0</v>
          </cell>
          <cell r="T75">
            <v>0.308</v>
          </cell>
          <cell r="U75">
            <v>0.69199999999999995</v>
          </cell>
          <cell r="V75">
            <v>0</v>
          </cell>
          <cell r="W75">
            <v>0</v>
          </cell>
          <cell r="X75">
            <v>0</v>
          </cell>
        </row>
        <row r="76">
          <cell r="Q76">
            <v>466</v>
          </cell>
          <cell r="R76">
            <v>0</v>
          </cell>
          <cell r="S76">
            <v>0</v>
          </cell>
          <cell r="T76">
            <v>0.308</v>
          </cell>
          <cell r="U76">
            <v>0.69199999999999995</v>
          </cell>
          <cell r="V76">
            <v>0</v>
          </cell>
          <cell r="W76">
            <v>0</v>
          </cell>
          <cell r="X76">
            <v>0</v>
          </cell>
        </row>
        <row r="77">
          <cell r="Q77">
            <v>465</v>
          </cell>
          <cell r="R77">
            <v>0</v>
          </cell>
          <cell r="S77">
            <v>0</v>
          </cell>
          <cell r="T77">
            <v>0.308</v>
          </cell>
          <cell r="U77">
            <v>0.69199999999999995</v>
          </cell>
          <cell r="V77">
            <v>0</v>
          </cell>
          <cell r="W77">
            <v>0</v>
          </cell>
          <cell r="X77">
            <v>0</v>
          </cell>
        </row>
        <row r="78">
          <cell r="Q78">
            <v>464</v>
          </cell>
          <cell r="R78">
            <v>0</v>
          </cell>
          <cell r="S78">
            <v>0</v>
          </cell>
          <cell r="T78">
            <v>0.308</v>
          </cell>
          <cell r="U78">
            <v>0.69199999999999995</v>
          </cell>
          <cell r="V78">
            <v>0</v>
          </cell>
          <cell r="W78">
            <v>0</v>
          </cell>
          <cell r="X78">
            <v>0</v>
          </cell>
        </row>
        <row r="79">
          <cell r="Q79">
            <v>463</v>
          </cell>
          <cell r="R79">
            <v>0</v>
          </cell>
          <cell r="S79">
            <v>0</v>
          </cell>
          <cell r="T79">
            <v>0.308</v>
          </cell>
          <cell r="U79">
            <v>0.69199999999999995</v>
          </cell>
          <cell r="V79">
            <v>0</v>
          </cell>
          <cell r="W79">
            <v>0</v>
          </cell>
          <cell r="X79">
            <v>0</v>
          </cell>
        </row>
        <row r="80">
          <cell r="Q80">
            <v>462</v>
          </cell>
          <cell r="R80">
            <v>0</v>
          </cell>
          <cell r="S80">
            <v>0</v>
          </cell>
          <cell r="T80">
            <v>0.308</v>
          </cell>
          <cell r="U80">
            <v>0.69199999999999995</v>
          </cell>
          <cell r="V80">
            <v>0</v>
          </cell>
          <cell r="W80">
            <v>0</v>
          </cell>
          <cell r="X80">
            <v>0</v>
          </cell>
        </row>
        <row r="81">
          <cell r="Q81">
            <v>461</v>
          </cell>
          <cell r="R81">
            <v>0</v>
          </cell>
          <cell r="S81">
            <v>0</v>
          </cell>
          <cell r="T81">
            <v>0.308</v>
          </cell>
          <cell r="U81">
            <v>0.69199999999999995</v>
          </cell>
          <cell r="V81">
            <v>0</v>
          </cell>
          <cell r="W81">
            <v>0</v>
          </cell>
          <cell r="X81">
            <v>0</v>
          </cell>
        </row>
        <row r="82">
          <cell r="Q82">
            <v>460</v>
          </cell>
          <cell r="R82">
            <v>0</v>
          </cell>
          <cell r="S82">
            <v>0</v>
          </cell>
          <cell r="T82">
            <v>0.308</v>
          </cell>
          <cell r="U82">
            <v>0.69199999999999995</v>
          </cell>
          <cell r="V82">
            <v>0</v>
          </cell>
          <cell r="W82">
            <v>0</v>
          </cell>
          <cell r="X82">
            <v>0</v>
          </cell>
        </row>
        <row r="83">
          <cell r="Q83">
            <v>459</v>
          </cell>
          <cell r="R83">
            <v>0</v>
          </cell>
          <cell r="S83">
            <v>0</v>
          </cell>
          <cell r="T83">
            <v>0.308</v>
          </cell>
          <cell r="U83">
            <v>0.69199999999999995</v>
          </cell>
          <cell r="V83">
            <v>0</v>
          </cell>
          <cell r="W83">
            <v>0</v>
          </cell>
          <cell r="X83">
            <v>0</v>
          </cell>
        </row>
        <row r="84">
          <cell r="Q84">
            <v>458</v>
          </cell>
          <cell r="R84">
            <v>0</v>
          </cell>
          <cell r="S84">
            <v>0</v>
          </cell>
          <cell r="T84">
            <v>0.308</v>
          </cell>
          <cell r="U84">
            <v>0.69199999999999995</v>
          </cell>
          <cell r="V84">
            <v>0</v>
          </cell>
          <cell r="W84">
            <v>0</v>
          </cell>
          <cell r="X84">
            <v>0</v>
          </cell>
        </row>
        <row r="85">
          <cell r="Q85">
            <v>457</v>
          </cell>
          <cell r="R85">
            <v>0</v>
          </cell>
          <cell r="S85">
            <v>0</v>
          </cell>
          <cell r="T85">
            <v>0.308</v>
          </cell>
          <cell r="U85">
            <v>0.69199999999999995</v>
          </cell>
          <cell r="V85">
            <v>0</v>
          </cell>
          <cell r="W85">
            <v>0</v>
          </cell>
          <cell r="X85">
            <v>0</v>
          </cell>
        </row>
        <row r="86">
          <cell r="Q86">
            <v>456</v>
          </cell>
          <cell r="R86">
            <v>0</v>
          </cell>
          <cell r="S86">
            <v>0</v>
          </cell>
          <cell r="T86">
            <v>0.308</v>
          </cell>
          <cell r="U86">
            <v>0.69199999999999995</v>
          </cell>
          <cell r="V86">
            <v>0</v>
          </cell>
          <cell r="W86">
            <v>0</v>
          </cell>
          <cell r="X86">
            <v>0</v>
          </cell>
        </row>
        <row r="87">
          <cell r="Q87">
            <v>455</v>
          </cell>
          <cell r="R87">
            <v>0</v>
          </cell>
          <cell r="S87">
            <v>0</v>
          </cell>
          <cell r="T87">
            <v>0.308</v>
          </cell>
          <cell r="U87">
            <v>0.69199999999999995</v>
          </cell>
          <cell r="V87">
            <v>0</v>
          </cell>
          <cell r="W87">
            <v>0</v>
          </cell>
          <cell r="X87">
            <v>0</v>
          </cell>
        </row>
        <row r="88">
          <cell r="Q88">
            <v>454</v>
          </cell>
          <cell r="R88">
            <v>0</v>
          </cell>
          <cell r="S88">
            <v>0</v>
          </cell>
          <cell r="T88">
            <v>0.308</v>
          </cell>
          <cell r="U88">
            <v>0.69199999999999995</v>
          </cell>
          <cell r="V88">
            <v>0</v>
          </cell>
          <cell r="W88">
            <v>0</v>
          </cell>
          <cell r="X88">
            <v>0</v>
          </cell>
        </row>
        <row r="89">
          <cell r="Q89">
            <v>453</v>
          </cell>
          <cell r="R89">
            <v>0</v>
          </cell>
          <cell r="S89">
            <v>0</v>
          </cell>
          <cell r="T89">
            <v>0.308</v>
          </cell>
          <cell r="U89">
            <v>0.69199999999999995</v>
          </cell>
          <cell r="V89">
            <v>0</v>
          </cell>
          <cell r="W89">
            <v>0</v>
          </cell>
          <cell r="X89">
            <v>0</v>
          </cell>
        </row>
        <row r="90">
          <cell r="Q90">
            <v>452</v>
          </cell>
          <cell r="R90">
            <v>0</v>
          </cell>
          <cell r="S90">
            <v>0</v>
          </cell>
          <cell r="T90">
            <v>0.308</v>
          </cell>
          <cell r="U90">
            <v>0.69199999999999995</v>
          </cell>
          <cell r="V90">
            <v>0</v>
          </cell>
          <cell r="W90">
            <v>0</v>
          </cell>
          <cell r="X90">
            <v>0</v>
          </cell>
        </row>
        <row r="91">
          <cell r="Q91">
            <v>451</v>
          </cell>
          <cell r="R91">
            <v>0</v>
          </cell>
          <cell r="S91">
            <v>0</v>
          </cell>
          <cell r="T91">
            <v>0.308</v>
          </cell>
          <cell r="U91">
            <v>0.69199999999999995</v>
          </cell>
          <cell r="V91">
            <v>0</v>
          </cell>
          <cell r="W91">
            <v>0</v>
          </cell>
          <cell r="X91">
            <v>0</v>
          </cell>
        </row>
        <row r="92">
          <cell r="Q92">
            <v>450</v>
          </cell>
          <cell r="R92">
            <v>0</v>
          </cell>
          <cell r="S92">
            <v>0</v>
          </cell>
          <cell r="T92">
            <v>0.308</v>
          </cell>
          <cell r="U92">
            <v>0.69199999999999995</v>
          </cell>
          <cell r="V92">
            <v>0</v>
          </cell>
          <cell r="W92">
            <v>0</v>
          </cell>
          <cell r="X92">
            <v>0</v>
          </cell>
        </row>
        <row r="93">
          <cell r="Q93">
            <v>449</v>
          </cell>
          <cell r="R93">
            <v>0</v>
          </cell>
          <cell r="S93">
            <v>0</v>
          </cell>
          <cell r="T93">
            <v>0.308</v>
          </cell>
          <cell r="U93">
            <v>0.69199999999999995</v>
          </cell>
          <cell r="V93">
            <v>0</v>
          </cell>
          <cell r="W93">
            <v>0</v>
          </cell>
          <cell r="X93">
            <v>0</v>
          </cell>
        </row>
        <row r="94">
          <cell r="Q94">
            <v>448</v>
          </cell>
          <cell r="R94">
            <v>0</v>
          </cell>
          <cell r="S94">
            <v>0</v>
          </cell>
          <cell r="T94">
            <v>0.308</v>
          </cell>
          <cell r="U94">
            <v>0.69199999999999995</v>
          </cell>
          <cell r="V94">
            <v>0</v>
          </cell>
          <cell r="W94">
            <v>0</v>
          </cell>
          <cell r="X94">
            <v>0</v>
          </cell>
        </row>
        <row r="95">
          <cell r="Q95">
            <v>447</v>
          </cell>
          <cell r="R95">
            <v>0</v>
          </cell>
          <cell r="S95">
            <v>0</v>
          </cell>
          <cell r="T95">
            <v>0.308</v>
          </cell>
          <cell r="U95">
            <v>0.69199999999999995</v>
          </cell>
          <cell r="V95">
            <v>0</v>
          </cell>
          <cell r="W95">
            <v>0</v>
          </cell>
          <cell r="X95">
            <v>0</v>
          </cell>
        </row>
        <row r="96">
          <cell r="Q96">
            <v>446</v>
          </cell>
          <cell r="R96">
            <v>0</v>
          </cell>
          <cell r="S96">
            <v>0</v>
          </cell>
          <cell r="T96">
            <v>0.308</v>
          </cell>
          <cell r="U96">
            <v>0.69199999999999995</v>
          </cell>
          <cell r="V96">
            <v>0</v>
          </cell>
          <cell r="W96">
            <v>0</v>
          </cell>
          <cell r="X96">
            <v>0</v>
          </cell>
        </row>
        <row r="97">
          <cell r="Q97">
            <v>445</v>
          </cell>
          <cell r="R97">
            <v>0</v>
          </cell>
          <cell r="S97">
            <v>0</v>
          </cell>
          <cell r="T97">
            <v>0.308</v>
          </cell>
          <cell r="U97">
            <v>0.69199999999999995</v>
          </cell>
          <cell r="V97">
            <v>0</v>
          </cell>
          <cell r="W97">
            <v>0</v>
          </cell>
          <cell r="X97">
            <v>0</v>
          </cell>
        </row>
        <row r="98">
          <cell r="Q98">
            <v>444</v>
          </cell>
          <cell r="R98">
            <v>0</v>
          </cell>
          <cell r="S98">
            <v>0</v>
          </cell>
          <cell r="T98">
            <v>0.308</v>
          </cell>
          <cell r="U98">
            <v>0.69199999999999995</v>
          </cell>
          <cell r="V98">
            <v>0</v>
          </cell>
          <cell r="W98">
            <v>0</v>
          </cell>
          <cell r="X98">
            <v>0</v>
          </cell>
        </row>
        <row r="99">
          <cell r="Q99">
            <v>443</v>
          </cell>
          <cell r="R99">
            <v>0</v>
          </cell>
          <cell r="S99">
            <v>0</v>
          </cell>
          <cell r="T99">
            <v>0.308</v>
          </cell>
          <cell r="U99">
            <v>0.69199999999999995</v>
          </cell>
          <cell r="V99">
            <v>0</v>
          </cell>
          <cell r="W99">
            <v>0</v>
          </cell>
          <cell r="X99">
            <v>0</v>
          </cell>
        </row>
        <row r="100">
          <cell r="Q100">
            <v>442</v>
          </cell>
          <cell r="R100">
            <v>0</v>
          </cell>
          <cell r="S100">
            <v>0</v>
          </cell>
          <cell r="T100">
            <v>0.308</v>
          </cell>
          <cell r="U100">
            <v>0.69199999999999995</v>
          </cell>
          <cell r="V100">
            <v>0</v>
          </cell>
          <cell r="W100">
            <v>0</v>
          </cell>
          <cell r="X100">
            <v>0</v>
          </cell>
        </row>
        <row r="101">
          <cell r="Q101">
            <v>441</v>
          </cell>
          <cell r="R101">
            <v>0</v>
          </cell>
          <cell r="S101">
            <v>0</v>
          </cell>
          <cell r="T101">
            <v>0.308</v>
          </cell>
          <cell r="U101">
            <v>0.69199999999999995</v>
          </cell>
          <cell r="V101">
            <v>0</v>
          </cell>
          <cell r="W101">
            <v>0</v>
          </cell>
          <cell r="X101">
            <v>0</v>
          </cell>
        </row>
        <row r="102">
          <cell r="Q102">
            <v>440</v>
          </cell>
          <cell r="R102">
            <v>0</v>
          </cell>
          <cell r="S102">
            <v>0</v>
          </cell>
          <cell r="T102">
            <v>0.308</v>
          </cell>
          <cell r="U102">
            <v>0.69199999999999995</v>
          </cell>
          <cell r="V102">
            <v>0</v>
          </cell>
          <cell r="W102">
            <v>0</v>
          </cell>
          <cell r="X102">
            <v>0</v>
          </cell>
        </row>
        <row r="103">
          <cell r="Q103">
            <v>439</v>
          </cell>
          <cell r="R103">
            <v>0</v>
          </cell>
          <cell r="S103">
            <v>0</v>
          </cell>
          <cell r="T103">
            <v>0.308</v>
          </cell>
          <cell r="U103">
            <v>0.69199999999999995</v>
          </cell>
          <cell r="V103">
            <v>0</v>
          </cell>
          <cell r="W103">
            <v>0</v>
          </cell>
          <cell r="X103">
            <v>0</v>
          </cell>
        </row>
        <row r="104">
          <cell r="Q104">
            <v>438</v>
          </cell>
          <cell r="R104">
            <v>0</v>
          </cell>
          <cell r="S104">
            <v>0</v>
          </cell>
          <cell r="T104">
            <v>0.308</v>
          </cell>
          <cell r="U104">
            <v>0.69199999999999995</v>
          </cell>
          <cell r="V104">
            <v>0</v>
          </cell>
          <cell r="W104">
            <v>0</v>
          </cell>
          <cell r="X104">
            <v>0</v>
          </cell>
        </row>
        <row r="105">
          <cell r="Q105">
            <v>437</v>
          </cell>
          <cell r="R105">
            <v>0</v>
          </cell>
          <cell r="S105">
            <v>0</v>
          </cell>
          <cell r="T105">
            <v>0.308</v>
          </cell>
          <cell r="U105">
            <v>0.69199999999999995</v>
          </cell>
          <cell r="V105">
            <v>0</v>
          </cell>
          <cell r="W105">
            <v>0</v>
          </cell>
          <cell r="X105">
            <v>0</v>
          </cell>
        </row>
        <row r="106">
          <cell r="Q106">
            <v>436</v>
          </cell>
          <cell r="R106">
            <v>0</v>
          </cell>
          <cell r="S106">
            <v>0</v>
          </cell>
          <cell r="T106">
            <v>0.308</v>
          </cell>
          <cell r="U106">
            <v>0.69199999999999995</v>
          </cell>
          <cell r="V106">
            <v>0</v>
          </cell>
          <cell r="W106">
            <v>0</v>
          </cell>
          <cell r="X106">
            <v>0</v>
          </cell>
        </row>
        <row r="107">
          <cell r="Q107">
            <v>435</v>
          </cell>
          <cell r="R107">
            <v>0</v>
          </cell>
          <cell r="S107">
            <v>0</v>
          </cell>
          <cell r="T107">
            <v>0.308</v>
          </cell>
          <cell r="U107">
            <v>0.69199999999999995</v>
          </cell>
          <cell r="V107">
            <v>0</v>
          </cell>
          <cell r="W107">
            <v>0</v>
          </cell>
          <cell r="X107">
            <v>0</v>
          </cell>
        </row>
        <row r="108">
          <cell r="Q108">
            <v>434</v>
          </cell>
          <cell r="R108">
            <v>0</v>
          </cell>
          <cell r="S108">
            <v>0</v>
          </cell>
          <cell r="T108">
            <v>0.308</v>
          </cell>
          <cell r="U108">
            <v>0.69199999999999995</v>
          </cell>
          <cell r="V108">
            <v>0</v>
          </cell>
          <cell r="W108">
            <v>0</v>
          </cell>
          <cell r="X108">
            <v>0</v>
          </cell>
        </row>
        <row r="109">
          <cell r="Q109">
            <v>433</v>
          </cell>
          <cell r="R109">
            <v>0</v>
          </cell>
          <cell r="S109">
            <v>0</v>
          </cell>
          <cell r="T109">
            <v>0.308</v>
          </cell>
          <cell r="U109">
            <v>0.69199999999999995</v>
          </cell>
          <cell r="V109">
            <v>0</v>
          </cell>
          <cell r="W109">
            <v>0</v>
          </cell>
          <cell r="X109">
            <v>0</v>
          </cell>
        </row>
        <row r="110">
          <cell r="Q110">
            <v>432</v>
          </cell>
          <cell r="R110">
            <v>0</v>
          </cell>
          <cell r="S110">
            <v>0</v>
          </cell>
          <cell r="T110">
            <v>0.308</v>
          </cell>
          <cell r="U110">
            <v>0.69199999999999995</v>
          </cell>
          <cell r="V110">
            <v>0</v>
          </cell>
          <cell r="W110">
            <v>0</v>
          </cell>
          <cell r="X110">
            <v>0</v>
          </cell>
        </row>
        <row r="111">
          <cell r="Q111">
            <v>431</v>
          </cell>
          <cell r="R111">
            <v>0</v>
          </cell>
          <cell r="S111">
            <v>0</v>
          </cell>
          <cell r="T111">
            <v>0.308</v>
          </cell>
          <cell r="U111">
            <v>0.69199999999999995</v>
          </cell>
          <cell r="V111">
            <v>0</v>
          </cell>
          <cell r="W111">
            <v>0</v>
          </cell>
          <cell r="X111">
            <v>0</v>
          </cell>
        </row>
        <row r="112">
          <cell r="Q112">
            <v>430</v>
          </cell>
          <cell r="R112">
            <v>0</v>
          </cell>
          <cell r="S112">
            <v>0</v>
          </cell>
          <cell r="T112">
            <v>0.308</v>
          </cell>
          <cell r="U112">
            <v>0.69199999999999995</v>
          </cell>
          <cell r="V112">
            <v>0</v>
          </cell>
          <cell r="W112">
            <v>0</v>
          </cell>
          <cell r="X112">
            <v>0</v>
          </cell>
        </row>
        <row r="113">
          <cell r="Q113">
            <v>429</v>
          </cell>
          <cell r="R113">
            <v>0</v>
          </cell>
          <cell r="S113">
            <v>0</v>
          </cell>
          <cell r="T113">
            <v>0.308</v>
          </cell>
          <cell r="U113">
            <v>0.69199999999999995</v>
          </cell>
          <cell r="V113">
            <v>0</v>
          </cell>
          <cell r="W113">
            <v>0</v>
          </cell>
          <cell r="X113">
            <v>0</v>
          </cell>
        </row>
        <row r="114">
          <cell r="Q114">
            <v>428</v>
          </cell>
          <cell r="R114">
            <v>0</v>
          </cell>
          <cell r="S114">
            <v>0</v>
          </cell>
          <cell r="T114">
            <v>0.308</v>
          </cell>
          <cell r="U114">
            <v>0.69199999999999995</v>
          </cell>
          <cell r="V114">
            <v>0</v>
          </cell>
          <cell r="W114">
            <v>0</v>
          </cell>
          <cell r="X114">
            <v>0</v>
          </cell>
        </row>
        <row r="115">
          <cell r="Q115">
            <v>427</v>
          </cell>
          <cell r="R115">
            <v>0</v>
          </cell>
          <cell r="S115">
            <v>0</v>
          </cell>
          <cell r="T115">
            <v>0.308</v>
          </cell>
          <cell r="U115">
            <v>0.69199999999999995</v>
          </cell>
          <cell r="V115">
            <v>0</v>
          </cell>
          <cell r="W115">
            <v>0</v>
          </cell>
          <cell r="X115">
            <v>0</v>
          </cell>
        </row>
        <row r="116">
          <cell r="Q116">
            <v>426</v>
          </cell>
          <cell r="R116">
            <v>0</v>
          </cell>
          <cell r="S116">
            <v>0</v>
          </cell>
          <cell r="T116">
            <v>0.308</v>
          </cell>
          <cell r="U116">
            <v>0.69199999999999995</v>
          </cell>
          <cell r="V116">
            <v>0</v>
          </cell>
          <cell r="W116">
            <v>0</v>
          </cell>
          <cell r="X116">
            <v>0</v>
          </cell>
        </row>
        <row r="117">
          <cell r="Q117">
            <v>425</v>
          </cell>
          <cell r="R117">
            <v>0</v>
          </cell>
          <cell r="S117">
            <v>0</v>
          </cell>
          <cell r="T117">
            <v>0.308</v>
          </cell>
          <cell r="U117">
            <v>0.69199999999999995</v>
          </cell>
          <cell r="V117">
            <v>0</v>
          </cell>
          <cell r="W117">
            <v>0</v>
          </cell>
          <cell r="X117">
            <v>0</v>
          </cell>
        </row>
        <row r="118">
          <cell r="Q118">
            <v>424</v>
          </cell>
          <cell r="R118">
            <v>0</v>
          </cell>
          <cell r="S118">
            <v>0</v>
          </cell>
          <cell r="T118">
            <v>0.308</v>
          </cell>
          <cell r="U118">
            <v>0.69199999999999995</v>
          </cell>
          <cell r="V118">
            <v>0</v>
          </cell>
          <cell r="W118">
            <v>0</v>
          </cell>
          <cell r="X118">
            <v>0</v>
          </cell>
        </row>
        <row r="119">
          <cell r="Q119">
            <v>423</v>
          </cell>
          <cell r="R119">
            <v>0</v>
          </cell>
          <cell r="S119">
            <v>0</v>
          </cell>
          <cell r="T119">
            <v>0.308</v>
          </cell>
          <cell r="U119">
            <v>0.69199999999999995</v>
          </cell>
          <cell r="V119">
            <v>0</v>
          </cell>
          <cell r="W119">
            <v>0</v>
          </cell>
          <cell r="X119">
            <v>0</v>
          </cell>
        </row>
        <row r="120">
          <cell r="Q120">
            <v>422</v>
          </cell>
          <cell r="R120">
            <v>0</v>
          </cell>
          <cell r="S120">
            <v>0</v>
          </cell>
          <cell r="T120">
            <v>0.308</v>
          </cell>
          <cell r="U120">
            <v>0.69199999999999995</v>
          </cell>
          <cell r="V120">
            <v>0</v>
          </cell>
          <cell r="W120">
            <v>0</v>
          </cell>
          <cell r="X120">
            <v>0</v>
          </cell>
        </row>
        <row r="121">
          <cell r="Q121">
            <v>421</v>
          </cell>
          <cell r="R121">
            <v>0</v>
          </cell>
          <cell r="S121">
            <v>0</v>
          </cell>
          <cell r="T121">
            <v>0.308</v>
          </cell>
          <cell r="U121">
            <v>0.69199999999999995</v>
          </cell>
          <cell r="V121">
            <v>0</v>
          </cell>
          <cell r="W121">
            <v>0</v>
          </cell>
          <cell r="X121">
            <v>0</v>
          </cell>
        </row>
        <row r="122">
          <cell r="Q122">
            <v>420</v>
          </cell>
          <cell r="R122">
            <v>0</v>
          </cell>
          <cell r="S122">
            <v>0</v>
          </cell>
          <cell r="T122">
            <v>0.308</v>
          </cell>
          <cell r="U122">
            <v>0.69199999999999995</v>
          </cell>
          <cell r="V122">
            <v>0</v>
          </cell>
          <cell r="W122">
            <v>0</v>
          </cell>
          <cell r="X122">
            <v>0</v>
          </cell>
        </row>
        <row r="123">
          <cell r="Q123">
            <v>419</v>
          </cell>
          <cell r="R123">
            <v>0</v>
          </cell>
          <cell r="S123">
            <v>0</v>
          </cell>
          <cell r="T123">
            <v>0.308</v>
          </cell>
          <cell r="U123">
            <v>0.69199999999999995</v>
          </cell>
          <cell r="V123">
            <v>0</v>
          </cell>
          <cell r="W123">
            <v>0</v>
          </cell>
          <cell r="X123">
            <v>0</v>
          </cell>
        </row>
        <row r="124">
          <cell r="Q124">
            <v>418</v>
          </cell>
          <cell r="R124">
            <v>0</v>
          </cell>
          <cell r="S124">
            <v>0</v>
          </cell>
          <cell r="T124">
            <v>0.308</v>
          </cell>
          <cell r="U124">
            <v>0.69199999999999995</v>
          </cell>
          <cell r="V124">
            <v>0</v>
          </cell>
          <cell r="W124">
            <v>0</v>
          </cell>
          <cell r="X124">
            <v>0</v>
          </cell>
        </row>
        <row r="125">
          <cell r="Q125">
            <v>417</v>
          </cell>
          <cell r="R125">
            <v>0</v>
          </cell>
          <cell r="S125">
            <v>0</v>
          </cell>
          <cell r="T125">
            <v>0.308</v>
          </cell>
          <cell r="U125">
            <v>0.69199999999999995</v>
          </cell>
          <cell r="V125">
            <v>0</v>
          </cell>
          <cell r="W125">
            <v>0</v>
          </cell>
          <cell r="X125">
            <v>0</v>
          </cell>
        </row>
        <row r="126">
          <cell r="Q126">
            <v>416</v>
          </cell>
          <cell r="R126">
            <v>0</v>
          </cell>
          <cell r="S126">
            <v>0</v>
          </cell>
          <cell r="T126">
            <v>0.308</v>
          </cell>
          <cell r="U126">
            <v>0.69199999999999995</v>
          </cell>
          <cell r="V126">
            <v>0</v>
          </cell>
          <cell r="W126">
            <v>0</v>
          </cell>
          <cell r="X126">
            <v>0</v>
          </cell>
        </row>
        <row r="127">
          <cell r="Q127">
            <v>415</v>
          </cell>
          <cell r="R127">
            <v>0</v>
          </cell>
          <cell r="S127">
            <v>0</v>
          </cell>
          <cell r="T127">
            <v>0.308</v>
          </cell>
          <cell r="U127">
            <v>0.69199999999999995</v>
          </cell>
          <cell r="V127">
            <v>0</v>
          </cell>
          <cell r="W127">
            <v>0</v>
          </cell>
          <cell r="X127">
            <v>0</v>
          </cell>
        </row>
        <row r="128">
          <cell r="Q128">
            <v>414</v>
          </cell>
          <cell r="R128">
            <v>0</v>
          </cell>
          <cell r="S128">
            <v>0</v>
          </cell>
          <cell r="T128">
            <v>0.308</v>
          </cell>
          <cell r="U128">
            <v>0.69199999999999995</v>
          </cell>
          <cell r="V128">
            <v>0</v>
          </cell>
          <cell r="W128">
            <v>0</v>
          </cell>
          <cell r="X128">
            <v>0</v>
          </cell>
        </row>
        <row r="129">
          <cell r="Q129">
            <v>413</v>
          </cell>
          <cell r="R129">
            <v>0</v>
          </cell>
          <cell r="S129">
            <v>0</v>
          </cell>
          <cell r="T129">
            <v>0.308</v>
          </cell>
          <cell r="U129">
            <v>0.69199999999999995</v>
          </cell>
          <cell r="V129">
            <v>0</v>
          </cell>
          <cell r="W129">
            <v>0</v>
          </cell>
          <cell r="X129">
            <v>0</v>
          </cell>
        </row>
        <row r="130">
          <cell r="Q130">
            <v>412</v>
          </cell>
          <cell r="R130">
            <v>0</v>
          </cell>
          <cell r="S130">
            <v>0</v>
          </cell>
          <cell r="T130">
            <v>0.308</v>
          </cell>
          <cell r="U130">
            <v>0.69199999999999995</v>
          </cell>
          <cell r="V130">
            <v>0</v>
          </cell>
          <cell r="W130">
            <v>0</v>
          </cell>
          <cell r="X130">
            <v>0</v>
          </cell>
        </row>
        <row r="131">
          <cell r="Q131">
            <v>411</v>
          </cell>
          <cell r="R131">
            <v>0</v>
          </cell>
          <cell r="S131">
            <v>0</v>
          </cell>
          <cell r="T131">
            <v>0.308</v>
          </cell>
          <cell r="U131">
            <v>0.69199999999999995</v>
          </cell>
          <cell r="V131">
            <v>0</v>
          </cell>
          <cell r="W131">
            <v>0</v>
          </cell>
          <cell r="X131">
            <v>0</v>
          </cell>
        </row>
        <row r="132">
          <cell r="Q132">
            <v>410</v>
          </cell>
          <cell r="R132">
            <v>0</v>
          </cell>
          <cell r="S132">
            <v>0</v>
          </cell>
          <cell r="T132">
            <v>0.308</v>
          </cell>
          <cell r="U132">
            <v>0.69199999999999995</v>
          </cell>
          <cell r="V132">
            <v>0</v>
          </cell>
          <cell r="W132">
            <v>0</v>
          </cell>
          <cell r="X132">
            <v>0</v>
          </cell>
        </row>
        <row r="133">
          <cell r="Q133">
            <v>409</v>
          </cell>
          <cell r="R133">
            <v>0</v>
          </cell>
          <cell r="S133">
            <v>0</v>
          </cell>
          <cell r="T133">
            <v>0.308</v>
          </cell>
          <cell r="U133">
            <v>0.69199999999999995</v>
          </cell>
          <cell r="V133">
            <v>0</v>
          </cell>
          <cell r="W133">
            <v>0</v>
          </cell>
          <cell r="X133">
            <v>0</v>
          </cell>
        </row>
        <row r="134">
          <cell r="Q134">
            <v>408</v>
          </cell>
          <cell r="R134">
            <v>0</v>
          </cell>
          <cell r="S134">
            <v>0</v>
          </cell>
          <cell r="T134">
            <v>0.308</v>
          </cell>
          <cell r="U134">
            <v>0.69199999999999995</v>
          </cell>
          <cell r="V134">
            <v>0</v>
          </cell>
          <cell r="W134">
            <v>0</v>
          </cell>
          <cell r="X134">
            <v>0</v>
          </cell>
        </row>
        <row r="135">
          <cell r="Q135">
            <v>407</v>
          </cell>
          <cell r="R135">
            <v>0</v>
          </cell>
          <cell r="S135">
            <v>0</v>
          </cell>
          <cell r="T135">
            <v>0.308</v>
          </cell>
          <cell r="U135">
            <v>0.69199999999999995</v>
          </cell>
          <cell r="V135">
            <v>0</v>
          </cell>
          <cell r="W135">
            <v>0</v>
          </cell>
          <cell r="X135">
            <v>0</v>
          </cell>
        </row>
        <row r="136">
          <cell r="Q136">
            <v>406</v>
          </cell>
          <cell r="R136">
            <v>0</v>
          </cell>
          <cell r="S136">
            <v>0</v>
          </cell>
          <cell r="T136">
            <v>0.308</v>
          </cell>
          <cell r="U136">
            <v>0.69199999999999995</v>
          </cell>
          <cell r="V136">
            <v>0</v>
          </cell>
          <cell r="W136">
            <v>0</v>
          </cell>
          <cell r="X136">
            <v>0</v>
          </cell>
        </row>
        <row r="137">
          <cell r="Q137">
            <v>405</v>
          </cell>
          <cell r="R137">
            <v>0</v>
          </cell>
          <cell r="S137">
            <v>0</v>
          </cell>
          <cell r="T137">
            <v>0.308</v>
          </cell>
          <cell r="U137">
            <v>0.69199999999999995</v>
          </cell>
          <cell r="V137">
            <v>0</v>
          </cell>
          <cell r="W137">
            <v>0</v>
          </cell>
          <cell r="X137">
            <v>0</v>
          </cell>
        </row>
        <row r="138">
          <cell r="Q138">
            <v>404</v>
          </cell>
          <cell r="R138">
            <v>0</v>
          </cell>
          <cell r="S138">
            <v>0</v>
          </cell>
          <cell r="T138">
            <v>0.308</v>
          </cell>
          <cell r="U138">
            <v>0.69199999999999995</v>
          </cell>
          <cell r="V138">
            <v>0</v>
          </cell>
          <cell r="W138">
            <v>0</v>
          </cell>
          <cell r="X138">
            <v>0</v>
          </cell>
        </row>
        <row r="139">
          <cell r="Q139">
            <v>403</v>
          </cell>
          <cell r="R139">
            <v>0</v>
          </cell>
          <cell r="S139">
            <v>0</v>
          </cell>
          <cell r="T139">
            <v>0.308</v>
          </cell>
          <cell r="U139">
            <v>0.69199999999999995</v>
          </cell>
          <cell r="V139">
            <v>0</v>
          </cell>
          <cell r="W139">
            <v>0</v>
          </cell>
          <cell r="X139">
            <v>0</v>
          </cell>
        </row>
        <row r="140">
          <cell r="Q140">
            <v>402</v>
          </cell>
          <cell r="R140">
            <v>0</v>
          </cell>
          <cell r="S140">
            <v>0</v>
          </cell>
          <cell r="T140">
            <v>0.308</v>
          </cell>
          <cell r="U140">
            <v>0.69199999999999995</v>
          </cell>
          <cell r="V140">
            <v>0</v>
          </cell>
          <cell r="W140">
            <v>0</v>
          </cell>
          <cell r="X140">
            <v>0</v>
          </cell>
        </row>
        <row r="141">
          <cell r="Q141">
            <v>401</v>
          </cell>
          <cell r="R141">
            <v>0</v>
          </cell>
          <cell r="S141">
            <v>0</v>
          </cell>
          <cell r="T141">
            <v>0.308</v>
          </cell>
          <cell r="U141">
            <v>0.69199999999999995</v>
          </cell>
          <cell r="V141">
            <v>0</v>
          </cell>
          <cell r="W141">
            <v>0</v>
          </cell>
          <cell r="X141">
            <v>0</v>
          </cell>
        </row>
        <row r="142">
          <cell r="Q142">
            <v>400</v>
          </cell>
          <cell r="R142">
            <v>0</v>
          </cell>
          <cell r="S142">
            <v>0</v>
          </cell>
          <cell r="T142">
            <v>0.308</v>
          </cell>
          <cell r="U142">
            <v>0.69199999999999995</v>
          </cell>
          <cell r="V142">
            <v>0</v>
          </cell>
          <cell r="W142">
            <v>0</v>
          </cell>
          <cell r="X142">
            <v>0</v>
          </cell>
        </row>
        <row r="143">
          <cell r="Q143">
            <v>399</v>
          </cell>
          <cell r="R143">
            <v>0</v>
          </cell>
          <cell r="S143">
            <v>0</v>
          </cell>
          <cell r="T143">
            <v>0.308</v>
          </cell>
          <cell r="U143">
            <v>0.69199999999999995</v>
          </cell>
          <cell r="V143">
            <v>0</v>
          </cell>
          <cell r="W143">
            <v>0</v>
          </cell>
          <cell r="X143">
            <v>0</v>
          </cell>
        </row>
        <row r="144">
          <cell r="Q144">
            <v>398</v>
          </cell>
          <cell r="R144">
            <v>0</v>
          </cell>
          <cell r="S144">
            <v>0</v>
          </cell>
          <cell r="T144">
            <v>0.308</v>
          </cell>
          <cell r="U144">
            <v>0.69199999999999995</v>
          </cell>
          <cell r="V144">
            <v>0</v>
          </cell>
          <cell r="W144">
            <v>0</v>
          </cell>
          <cell r="X144">
            <v>0</v>
          </cell>
        </row>
        <row r="145">
          <cell r="Q145">
            <v>397</v>
          </cell>
          <cell r="R145">
            <v>0</v>
          </cell>
          <cell r="S145">
            <v>0</v>
          </cell>
          <cell r="T145">
            <v>0.308</v>
          </cell>
          <cell r="U145">
            <v>0.69199999999999995</v>
          </cell>
          <cell r="V145">
            <v>0</v>
          </cell>
          <cell r="W145">
            <v>0</v>
          </cell>
          <cell r="X145">
            <v>0</v>
          </cell>
        </row>
        <row r="146">
          <cell r="Q146">
            <v>396</v>
          </cell>
          <cell r="R146">
            <v>0</v>
          </cell>
          <cell r="S146">
            <v>0</v>
          </cell>
          <cell r="T146">
            <v>0.308</v>
          </cell>
          <cell r="U146">
            <v>0.69199999999999995</v>
          </cell>
          <cell r="V146">
            <v>0</v>
          </cell>
          <cell r="W146">
            <v>0</v>
          </cell>
          <cell r="X146">
            <v>0</v>
          </cell>
        </row>
        <row r="147">
          <cell r="Q147">
            <v>395</v>
          </cell>
          <cell r="R147">
            <v>0</v>
          </cell>
          <cell r="S147">
            <v>0</v>
          </cell>
          <cell r="T147">
            <v>0.308</v>
          </cell>
          <cell r="U147">
            <v>0.69199999999999995</v>
          </cell>
          <cell r="V147">
            <v>0</v>
          </cell>
          <cell r="W147">
            <v>0</v>
          </cell>
          <cell r="X147">
            <v>0</v>
          </cell>
        </row>
        <row r="148">
          <cell r="Q148">
            <v>394</v>
          </cell>
          <cell r="R148">
            <v>0</v>
          </cell>
          <cell r="S148">
            <v>0</v>
          </cell>
          <cell r="T148">
            <v>0.308</v>
          </cell>
          <cell r="U148">
            <v>0.69199999999999995</v>
          </cell>
          <cell r="V148">
            <v>0</v>
          </cell>
          <cell r="W148">
            <v>0</v>
          </cell>
          <cell r="X148">
            <v>0</v>
          </cell>
        </row>
        <row r="149">
          <cell r="Q149">
            <v>393</v>
          </cell>
          <cell r="R149">
            <v>0</v>
          </cell>
          <cell r="S149">
            <v>0</v>
          </cell>
          <cell r="T149">
            <v>0.308</v>
          </cell>
          <cell r="U149">
            <v>0.69199999999999995</v>
          </cell>
          <cell r="V149">
            <v>0</v>
          </cell>
          <cell r="W149">
            <v>0</v>
          </cell>
          <cell r="X149">
            <v>0</v>
          </cell>
        </row>
        <row r="150">
          <cell r="Q150">
            <v>392</v>
          </cell>
          <cell r="R150">
            <v>0</v>
          </cell>
          <cell r="S150">
            <v>0</v>
          </cell>
          <cell r="T150">
            <v>0.308</v>
          </cell>
          <cell r="U150">
            <v>0.69199999999999995</v>
          </cell>
          <cell r="V150">
            <v>0</v>
          </cell>
          <cell r="W150">
            <v>0</v>
          </cell>
          <cell r="X150">
            <v>0</v>
          </cell>
        </row>
        <row r="151">
          <cell r="Q151">
            <v>391</v>
          </cell>
          <cell r="R151">
            <v>0</v>
          </cell>
          <cell r="S151">
            <v>0</v>
          </cell>
          <cell r="T151">
            <v>0.308</v>
          </cell>
          <cell r="U151">
            <v>0.69199999999999995</v>
          </cell>
          <cell r="V151">
            <v>0</v>
          </cell>
          <cell r="W151">
            <v>0</v>
          </cell>
          <cell r="X151">
            <v>0</v>
          </cell>
        </row>
        <row r="152">
          <cell r="Q152">
            <v>390</v>
          </cell>
          <cell r="R152">
            <v>0</v>
          </cell>
          <cell r="S152">
            <v>0</v>
          </cell>
          <cell r="T152">
            <v>0.308</v>
          </cell>
          <cell r="U152">
            <v>0.69199999999999995</v>
          </cell>
          <cell r="V152">
            <v>0</v>
          </cell>
          <cell r="W152">
            <v>0</v>
          </cell>
          <cell r="X152">
            <v>0</v>
          </cell>
        </row>
        <row r="153">
          <cell r="Q153">
            <v>389</v>
          </cell>
          <cell r="R153">
            <v>0</v>
          </cell>
          <cell r="S153">
            <v>0</v>
          </cell>
          <cell r="T153">
            <v>0.308</v>
          </cell>
          <cell r="U153">
            <v>0.69199999999999995</v>
          </cell>
          <cell r="V153">
            <v>0</v>
          </cell>
          <cell r="W153">
            <v>0</v>
          </cell>
          <cell r="X153">
            <v>0</v>
          </cell>
        </row>
        <row r="154">
          <cell r="Q154">
            <v>388</v>
          </cell>
          <cell r="R154">
            <v>0</v>
          </cell>
          <cell r="S154">
            <v>0</v>
          </cell>
          <cell r="T154">
            <v>0.308</v>
          </cell>
          <cell r="U154">
            <v>0.69199999999999995</v>
          </cell>
          <cell r="V154">
            <v>0</v>
          </cell>
          <cell r="W154">
            <v>0</v>
          </cell>
          <cell r="X154">
            <v>0</v>
          </cell>
        </row>
        <row r="155">
          <cell r="Q155">
            <v>387</v>
          </cell>
          <cell r="R155">
            <v>0</v>
          </cell>
          <cell r="S155">
            <v>0</v>
          </cell>
          <cell r="T155">
            <v>0.308</v>
          </cell>
          <cell r="U155">
            <v>0.69199999999999995</v>
          </cell>
          <cell r="V155">
            <v>0</v>
          </cell>
          <cell r="W155">
            <v>0</v>
          </cell>
          <cell r="X155">
            <v>0</v>
          </cell>
        </row>
        <row r="156">
          <cell r="Q156">
            <v>386</v>
          </cell>
          <cell r="R156">
            <v>0</v>
          </cell>
          <cell r="S156">
            <v>0</v>
          </cell>
          <cell r="T156">
            <v>0.308</v>
          </cell>
          <cell r="U156">
            <v>0.69199999999999995</v>
          </cell>
          <cell r="V156">
            <v>0</v>
          </cell>
          <cell r="W156">
            <v>0</v>
          </cell>
          <cell r="X156">
            <v>0</v>
          </cell>
        </row>
        <row r="157">
          <cell r="Q157">
            <v>385</v>
          </cell>
          <cell r="R157">
            <v>0</v>
          </cell>
          <cell r="S157">
            <v>0</v>
          </cell>
          <cell r="T157">
            <v>0.308</v>
          </cell>
          <cell r="U157">
            <v>0.69199999999999995</v>
          </cell>
          <cell r="V157">
            <v>0</v>
          </cell>
          <cell r="W157">
            <v>0</v>
          </cell>
          <cell r="X157">
            <v>0</v>
          </cell>
        </row>
        <row r="158">
          <cell r="Q158">
            <v>384</v>
          </cell>
          <cell r="R158">
            <v>0</v>
          </cell>
          <cell r="S158">
            <v>0</v>
          </cell>
          <cell r="T158">
            <v>0.308</v>
          </cell>
          <cell r="U158">
            <v>0.69199999999999995</v>
          </cell>
          <cell r="V158">
            <v>0</v>
          </cell>
          <cell r="W158">
            <v>0</v>
          </cell>
          <cell r="X158">
            <v>0</v>
          </cell>
        </row>
        <row r="159">
          <cell r="Q159">
            <v>383</v>
          </cell>
          <cell r="R159">
            <v>0</v>
          </cell>
          <cell r="S159">
            <v>0</v>
          </cell>
          <cell r="T159">
            <v>0.308</v>
          </cell>
          <cell r="U159">
            <v>0.69199999999999995</v>
          </cell>
          <cell r="V159">
            <v>0</v>
          </cell>
          <cell r="W159">
            <v>0</v>
          </cell>
          <cell r="X159">
            <v>0</v>
          </cell>
        </row>
        <row r="160">
          <cell r="Q160">
            <v>382</v>
          </cell>
          <cell r="R160">
            <v>0</v>
          </cell>
          <cell r="S160">
            <v>0</v>
          </cell>
          <cell r="T160">
            <v>0.308</v>
          </cell>
          <cell r="U160">
            <v>0.69199999999999995</v>
          </cell>
          <cell r="V160">
            <v>0</v>
          </cell>
          <cell r="W160">
            <v>0</v>
          </cell>
          <cell r="X160">
            <v>0</v>
          </cell>
        </row>
        <row r="161">
          <cell r="Q161">
            <v>381</v>
          </cell>
          <cell r="R161">
            <v>0</v>
          </cell>
          <cell r="S161">
            <v>0</v>
          </cell>
          <cell r="T161">
            <v>0.308</v>
          </cell>
          <cell r="U161">
            <v>0.69199999999999995</v>
          </cell>
          <cell r="V161">
            <v>0</v>
          </cell>
          <cell r="W161">
            <v>0</v>
          </cell>
          <cell r="X161">
            <v>0</v>
          </cell>
        </row>
        <row r="162">
          <cell r="Q162">
            <v>380</v>
          </cell>
          <cell r="R162">
            <v>0</v>
          </cell>
          <cell r="S162">
            <v>0</v>
          </cell>
          <cell r="T162">
            <v>0.308</v>
          </cell>
          <cell r="U162">
            <v>0.69199999999999995</v>
          </cell>
          <cell r="V162">
            <v>0</v>
          </cell>
          <cell r="W162">
            <v>0</v>
          </cell>
          <cell r="X162">
            <v>0</v>
          </cell>
        </row>
        <row r="163">
          <cell r="Q163">
            <v>379</v>
          </cell>
          <cell r="R163">
            <v>0</v>
          </cell>
          <cell r="S163">
            <v>0</v>
          </cell>
          <cell r="T163">
            <v>0.308</v>
          </cell>
          <cell r="U163">
            <v>0.69199999999999995</v>
          </cell>
          <cell r="V163">
            <v>0</v>
          </cell>
          <cell r="W163">
            <v>0</v>
          </cell>
          <cell r="X163">
            <v>0</v>
          </cell>
        </row>
        <row r="164">
          <cell r="Q164">
            <v>378</v>
          </cell>
          <cell r="R164">
            <v>0</v>
          </cell>
          <cell r="S164">
            <v>0</v>
          </cell>
          <cell r="T164">
            <v>0.308</v>
          </cell>
          <cell r="U164">
            <v>0.69199999999999995</v>
          </cell>
          <cell r="V164">
            <v>0</v>
          </cell>
          <cell r="W164">
            <v>0</v>
          </cell>
          <cell r="X164">
            <v>0</v>
          </cell>
        </row>
        <row r="165">
          <cell r="Q165">
            <v>377</v>
          </cell>
          <cell r="R165">
            <v>0</v>
          </cell>
          <cell r="S165">
            <v>0</v>
          </cell>
          <cell r="T165">
            <v>0.308</v>
          </cell>
          <cell r="U165">
            <v>0.69199999999999995</v>
          </cell>
          <cell r="V165">
            <v>0</v>
          </cell>
          <cell r="W165">
            <v>0</v>
          </cell>
          <cell r="X165">
            <v>0</v>
          </cell>
        </row>
        <row r="166">
          <cell r="Q166">
            <v>376</v>
          </cell>
          <cell r="R166">
            <v>0</v>
          </cell>
          <cell r="S166">
            <v>0</v>
          </cell>
          <cell r="T166">
            <v>0.308</v>
          </cell>
          <cell r="U166">
            <v>0.69199999999999995</v>
          </cell>
          <cell r="V166">
            <v>0</v>
          </cell>
          <cell r="W166">
            <v>0</v>
          </cell>
          <cell r="X166">
            <v>0</v>
          </cell>
        </row>
        <row r="167">
          <cell r="Q167">
            <v>375</v>
          </cell>
          <cell r="R167">
            <v>0</v>
          </cell>
          <cell r="S167">
            <v>0</v>
          </cell>
          <cell r="T167">
            <v>0.308</v>
          </cell>
          <cell r="U167">
            <v>0.69199999999999995</v>
          </cell>
          <cell r="V167">
            <v>0</v>
          </cell>
          <cell r="W167">
            <v>0</v>
          </cell>
          <cell r="X167">
            <v>0</v>
          </cell>
        </row>
        <row r="168">
          <cell r="Q168">
            <v>374</v>
          </cell>
          <cell r="R168">
            <v>0</v>
          </cell>
          <cell r="S168">
            <v>0</v>
          </cell>
          <cell r="T168">
            <v>0.308</v>
          </cell>
          <cell r="U168">
            <v>0.69199999999999995</v>
          </cell>
          <cell r="V168">
            <v>0</v>
          </cell>
          <cell r="W168">
            <v>0</v>
          </cell>
          <cell r="X168">
            <v>0</v>
          </cell>
        </row>
        <row r="169">
          <cell r="Q169">
            <v>373</v>
          </cell>
          <cell r="R169">
            <v>0</v>
          </cell>
          <cell r="S169">
            <v>0</v>
          </cell>
          <cell r="T169">
            <v>0.308</v>
          </cell>
          <cell r="U169">
            <v>0.69199999999999995</v>
          </cell>
          <cell r="V169">
            <v>0</v>
          </cell>
          <cell r="W169">
            <v>0</v>
          </cell>
          <cell r="X169">
            <v>0</v>
          </cell>
        </row>
        <row r="170">
          <cell r="Q170">
            <v>372</v>
          </cell>
          <cell r="R170">
            <v>0</v>
          </cell>
          <cell r="S170">
            <v>0</v>
          </cell>
          <cell r="T170">
            <v>0.308</v>
          </cell>
          <cell r="U170">
            <v>0.69199999999999995</v>
          </cell>
          <cell r="V170">
            <v>0</v>
          </cell>
          <cell r="W170">
            <v>0</v>
          </cell>
          <cell r="X170">
            <v>0</v>
          </cell>
        </row>
        <row r="171">
          <cell r="Q171">
            <v>371</v>
          </cell>
          <cell r="R171">
            <v>0</v>
          </cell>
          <cell r="S171">
            <v>0</v>
          </cell>
          <cell r="T171">
            <v>0.308</v>
          </cell>
          <cell r="U171">
            <v>0.69199999999999995</v>
          </cell>
          <cell r="V171">
            <v>0</v>
          </cell>
          <cell r="W171">
            <v>0</v>
          </cell>
          <cell r="X171">
            <v>0</v>
          </cell>
        </row>
        <row r="172">
          <cell r="Q172">
            <v>370</v>
          </cell>
          <cell r="R172">
            <v>0</v>
          </cell>
          <cell r="S172">
            <v>0</v>
          </cell>
          <cell r="T172">
            <v>0.308</v>
          </cell>
          <cell r="U172">
            <v>0.69199999999999995</v>
          </cell>
          <cell r="V172">
            <v>0</v>
          </cell>
          <cell r="W172">
            <v>0</v>
          </cell>
          <cell r="X172">
            <v>0</v>
          </cell>
        </row>
        <row r="173">
          <cell r="Q173">
            <v>369</v>
          </cell>
          <cell r="R173">
            <v>0</v>
          </cell>
          <cell r="S173">
            <v>0</v>
          </cell>
          <cell r="T173">
            <v>0.308</v>
          </cell>
          <cell r="U173">
            <v>0.69199999999999995</v>
          </cell>
          <cell r="V173">
            <v>0</v>
          </cell>
          <cell r="W173">
            <v>0</v>
          </cell>
          <cell r="X173">
            <v>0</v>
          </cell>
        </row>
        <row r="174">
          <cell r="Q174">
            <v>368</v>
          </cell>
          <cell r="R174">
            <v>0</v>
          </cell>
          <cell r="S174">
            <v>0</v>
          </cell>
          <cell r="T174">
            <v>0.308</v>
          </cell>
          <cell r="U174">
            <v>0.69199999999999995</v>
          </cell>
          <cell r="V174">
            <v>0</v>
          </cell>
          <cell r="W174">
            <v>0</v>
          </cell>
          <cell r="X174">
            <v>0</v>
          </cell>
        </row>
        <row r="175">
          <cell r="Q175">
            <v>367</v>
          </cell>
          <cell r="R175">
            <v>0</v>
          </cell>
          <cell r="S175">
            <v>0</v>
          </cell>
          <cell r="T175">
            <v>0.308</v>
          </cell>
          <cell r="U175">
            <v>0.69199999999999995</v>
          </cell>
          <cell r="V175">
            <v>0</v>
          </cell>
          <cell r="W175">
            <v>0</v>
          </cell>
          <cell r="X175">
            <v>0</v>
          </cell>
        </row>
        <row r="176">
          <cell r="Q176">
            <v>366</v>
          </cell>
          <cell r="R176">
            <v>0</v>
          </cell>
          <cell r="S176">
            <v>0</v>
          </cell>
          <cell r="T176">
            <v>0.308</v>
          </cell>
          <cell r="U176">
            <v>0.69199999999999995</v>
          </cell>
          <cell r="V176">
            <v>0</v>
          </cell>
          <cell r="W176">
            <v>0</v>
          </cell>
          <cell r="X176">
            <v>0</v>
          </cell>
        </row>
        <row r="177">
          <cell r="Q177">
            <v>365</v>
          </cell>
          <cell r="R177">
            <v>0</v>
          </cell>
          <cell r="S177">
            <v>0</v>
          </cell>
          <cell r="T177">
            <v>0.308</v>
          </cell>
          <cell r="U177">
            <v>0.69199999999999995</v>
          </cell>
          <cell r="V177">
            <v>0</v>
          </cell>
          <cell r="W177">
            <v>0</v>
          </cell>
          <cell r="X177">
            <v>0</v>
          </cell>
        </row>
        <row r="178">
          <cell r="Q178">
            <v>364</v>
          </cell>
          <cell r="R178">
            <v>0</v>
          </cell>
          <cell r="S178">
            <v>0</v>
          </cell>
          <cell r="T178">
            <v>0.308</v>
          </cell>
          <cell r="U178">
            <v>0.69199999999999995</v>
          </cell>
          <cell r="V178">
            <v>0</v>
          </cell>
          <cell r="W178">
            <v>0</v>
          </cell>
          <cell r="X178">
            <v>0</v>
          </cell>
        </row>
        <row r="179">
          <cell r="Q179">
            <v>363</v>
          </cell>
          <cell r="R179">
            <v>0</v>
          </cell>
          <cell r="S179">
            <v>0</v>
          </cell>
          <cell r="T179">
            <v>0.308</v>
          </cell>
          <cell r="U179">
            <v>0.69199999999999995</v>
          </cell>
          <cell r="V179">
            <v>0</v>
          </cell>
          <cell r="W179">
            <v>0</v>
          </cell>
          <cell r="X179">
            <v>0</v>
          </cell>
        </row>
        <row r="180">
          <cell r="Q180">
            <v>362</v>
          </cell>
          <cell r="R180">
            <v>0</v>
          </cell>
          <cell r="S180">
            <v>0</v>
          </cell>
          <cell r="T180">
            <v>0.308</v>
          </cell>
          <cell r="U180">
            <v>0.69199999999999995</v>
          </cell>
          <cell r="V180">
            <v>0</v>
          </cell>
          <cell r="W180">
            <v>0</v>
          </cell>
          <cell r="X180">
            <v>0</v>
          </cell>
        </row>
        <row r="181">
          <cell r="Q181">
            <v>361</v>
          </cell>
          <cell r="R181">
            <v>0</v>
          </cell>
          <cell r="S181">
            <v>0</v>
          </cell>
          <cell r="T181">
            <v>0.308</v>
          </cell>
          <cell r="U181">
            <v>0.69199999999999995</v>
          </cell>
          <cell r="V181">
            <v>0</v>
          </cell>
          <cell r="W181">
            <v>0</v>
          </cell>
          <cell r="X181">
            <v>0</v>
          </cell>
        </row>
        <row r="182">
          <cell r="Q182">
            <v>360</v>
          </cell>
          <cell r="R182">
            <v>0</v>
          </cell>
          <cell r="S182">
            <v>0</v>
          </cell>
          <cell r="T182">
            <v>0.308</v>
          </cell>
          <cell r="U182">
            <v>0.69199999999999995</v>
          </cell>
          <cell r="V182">
            <v>0</v>
          </cell>
          <cell r="W182">
            <v>0</v>
          </cell>
          <cell r="X182">
            <v>0</v>
          </cell>
        </row>
        <row r="183">
          <cell r="Q183">
            <v>359</v>
          </cell>
          <cell r="R183">
            <v>0</v>
          </cell>
          <cell r="S183">
            <v>0</v>
          </cell>
          <cell r="T183">
            <v>0.308</v>
          </cell>
          <cell r="U183">
            <v>0.69199999999999995</v>
          </cell>
          <cell r="V183">
            <v>0</v>
          </cell>
          <cell r="W183">
            <v>0</v>
          </cell>
          <cell r="X183">
            <v>0</v>
          </cell>
        </row>
        <row r="184">
          <cell r="Q184">
            <v>358</v>
          </cell>
          <cell r="R184">
            <v>0</v>
          </cell>
          <cell r="S184">
            <v>0</v>
          </cell>
          <cell r="T184">
            <v>0.308</v>
          </cell>
          <cell r="U184">
            <v>0.69199999999999995</v>
          </cell>
          <cell r="V184">
            <v>0</v>
          </cell>
          <cell r="W184">
            <v>0</v>
          </cell>
          <cell r="X184">
            <v>0</v>
          </cell>
        </row>
        <row r="185">
          <cell r="Q185">
            <v>357</v>
          </cell>
          <cell r="R185">
            <v>0</v>
          </cell>
          <cell r="S185">
            <v>0</v>
          </cell>
          <cell r="T185">
            <v>0.308</v>
          </cell>
          <cell r="U185">
            <v>0.69199999999999995</v>
          </cell>
          <cell r="V185">
            <v>0</v>
          </cell>
          <cell r="W185">
            <v>0</v>
          </cell>
          <cell r="X185">
            <v>0</v>
          </cell>
        </row>
        <row r="186">
          <cell r="Q186">
            <v>356</v>
          </cell>
          <cell r="R186">
            <v>0</v>
          </cell>
          <cell r="S186">
            <v>0</v>
          </cell>
          <cell r="T186">
            <v>0.308</v>
          </cell>
          <cell r="U186">
            <v>0.69199999999999995</v>
          </cell>
          <cell r="V186">
            <v>0</v>
          </cell>
          <cell r="W186">
            <v>0</v>
          </cell>
          <cell r="X186">
            <v>0</v>
          </cell>
        </row>
        <row r="187">
          <cell r="Q187">
            <v>355</v>
          </cell>
          <cell r="R187">
            <v>0</v>
          </cell>
          <cell r="S187">
            <v>0</v>
          </cell>
          <cell r="T187">
            <v>0.308</v>
          </cell>
          <cell r="U187">
            <v>0.69199999999999995</v>
          </cell>
          <cell r="V187">
            <v>0</v>
          </cell>
          <cell r="W187">
            <v>0</v>
          </cell>
          <cell r="X187">
            <v>0</v>
          </cell>
        </row>
        <row r="188">
          <cell r="Q188">
            <v>354</v>
          </cell>
          <cell r="R188">
            <v>0</v>
          </cell>
          <cell r="S188">
            <v>0</v>
          </cell>
          <cell r="T188">
            <v>0.308</v>
          </cell>
          <cell r="U188">
            <v>0.69199999999999995</v>
          </cell>
          <cell r="V188">
            <v>0</v>
          </cell>
          <cell r="W188">
            <v>0</v>
          </cell>
          <cell r="X188">
            <v>0</v>
          </cell>
        </row>
        <row r="189">
          <cell r="Q189">
            <v>353</v>
          </cell>
          <cell r="R189">
            <v>0</v>
          </cell>
          <cell r="S189">
            <v>0</v>
          </cell>
          <cell r="T189">
            <v>0.308</v>
          </cell>
          <cell r="U189">
            <v>0.69199999999999995</v>
          </cell>
          <cell r="V189">
            <v>0</v>
          </cell>
          <cell r="W189">
            <v>0</v>
          </cell>
          <cell r="X189">
            <v>0</v>
          </cell>
        </row>
        <row r="190">
          <cell r="Q190">
            <v>352</v>
          </cell>
          <cell r="R190">
            <v>0</v>
          </cell>
          <cell r="S190">
            <v>0</v>
          </cell>
          <cell r="T190">
            <v>0.308</v>
          </cell>
          <cell r="U190">
            <v>0.69199999999999995</v>
          </cell>
          <cell r="V190">
            <v>0</v>
          </cell>
          <cell r="W190">
            <v>0</v>
          </cell>
          <cell r="X190">
            <v>0</v>
          </cell>
        </row>
        <row r="191">
          <cell r="Q191">
            <v>351</v>
          </cell>
          <cell r="R191">
            <v>0</v>
          </cell>
          <cell r="S191">
            <v>0</v>
          </cell>
          <cell r="T191">
            <v>0.308</v>
          </cell>
          <cell r="U191">
            <v>0.69199999999999995</v>
          </cell>
          <cell r="V191">
            <v>0</v>
          </cell>
          <cell r="W191">
            <v>0</v>
          </cell>
          <cell r="X191">
            <v>0</v>
          </cell>
        </row>
        <row r="192">
          <cell r="Q192">
            <v>350</v>
          </cell>
          <cell r="R192">
            <v>0</v>
          </cell>
          <cell r="S192">
            <v>0</v>
          </cell>
          <cell r="T192">
            <v>0.308</v>
          </cell>
          <cell r="U192">
            <v>0.69199999999999995</v>
          </cell>
          <cell r="V192">
            <v>0</v>
          </cell>
          <cell r="W192">
            <v>0</v>
          </cell>
          <cell r="X192">
            <v>0</v>
          </cell>
        </row>
        <row r="193">
          <cell r="Q193">
            <v>349</v>
          </cell>
          <cell r="R193">
            <v>0</v>
          </cell>
          <cell r="S193">
            <v>0</v>
          </cell>
          <cell r="T193">
            <v>0.308</v>
          </cell>
          <cell r="U193">
            <v>0.69199999999999995</v>
          </cell>
          <cell r="V193">
            <v>0</v>
          </cell>
          <cell r="W193">
            <v>0</v>
          </cell>
          <cell r="X193">
            <v>0</v>
          </cell>
        </row>
        <row r="194">
          <cell r="Q194">
            <v>348</v>
          </cell>
          <cell r="R194">
            <v>0</v>
          </cell>
          <cell r="S194">
            <v>0</v>
          </cell>
          <cell r="T194">
            <v>0.308</v>
          </cell>
          <cell r="U194">
            <v>0.69199999999999995</v>
          </cell>
          <cell r="V194">
            <v>0</v>
          </cell>
          <cell r="W194">
            <v>0</v>
          </cell>
          <cell r="X194">
            <v>0</v>
          </cell>
        </row>
        <row r="195">
          <cell r="Q195">
            <v>347</v>
          </cell>
          <cell r="R195">
            <v>0</v>
          </cell>
          <cell r="S195">
            <v>0</v>
          </cell>
          <cell r="T195">
            <v>0.308</v>
          </cell>
          <cell r="U195">
            <v>0.69199999999999995</v>
          </cell>
          <cell r="V195">
            <v>0</v>
          </cell>
          <cell r="W195">
            <v>0</v>
          </cell>
          <cell r="X195">
            <v>0</v>
          </cell>
        </row>
        <row r="196">
          <cell r="Q196">
            <v>346</v>
          </cell>
          <cell r="R196">
            <v>0</v>
          </cell>
          <cell r="S196">
            <v>0</v>
          </cell>
          <cell r="T196">
            <v>0.308</v>
          </cell>
          <cell r="U196">
            <v>0.69199999999999995</v>
          </cell>
          <cell r="V196">
            <v>0</v>
          </cell>
          <cell r="W196">
            <v>0</v>
          </cell>
          <cell r="X196">
            <v>0</v>
          </cell>
        </row>
        <row r="197">
          <cell r="Q197">
            <v>345</v>
          </cell>
          <cell r="R197">
            <v>0</v>
          </cell>
          <cell r="S197">
            <v>0</v>
          </cell>
          <cell r="T197">
            <v>0.308</v>
          </cell>
          <cell r="U197">
            <v>0.69199999999999995</v>
          </cell>
          <cell r="V197">
            <v>0</v>
          </cell>
          <cell r="W197">
            <v>0</v>
          </cell>
          <cell r="X197">
            <v>0</v>
          </cell>
        </row>
        <row r="198">
          <cell r="Q198">
            <v>344</v>
          </cell>
          <cell r="R198">
            <v>0</v>
          </cell>
          <cell r="S198">
            <v>0</v>
          </cell>
          <cell r="T198">
            <v>0.308</v>
          </cell>
          <cell r="U198">
            <v>0.69199999999999995</v>
          </cell>
          <cell r="V198">
            <v>0</v>
          </cell>
          <cell r="W198">
            <v>0</v>
          </cell>
          <cell r="X198">
            <v>0</v>
          </cell>
        </row>
        <row r="199">
          <cell r="Q199">
            <v>343</v>
          </cell>
          <cell r="R199">
            <v>0</v>
          </cell>
          <cell r="S199">
            <v>0</v>
          </cell>
          <cell r="T199">
            <v>0.308</v>
          </cell>
          <cell r="U199">
            <v>0.69199999999999995</v>
          </cell>
          <cell r="V199">
            <v>0</v>
          </cell>
          <cell r="W199">
            <v>0</v>
          </cell>
          <cell r="X199">
            <v>0</v>
          </cell>
        </row>
        <row r="200">
          <cell r="Q200">
            <v>342</v>
          </cell>
          <cell r="R200">
            <v>0</v>
          </cell>
          <cell r="S200">
            <v>0</v>
          </cell>
          <cell r="T200">
            <v>0.308</v>
          </cell>
          <cell r="U200">
            <v>0.69199999999999995</v>
          </cell>
          <cell r="V200">
            <v>0</v>
          </cell>
          <cell r="W200">
            <v>0</v>
          </cell>
          <cell r="X200">
            <v>0</v>
          </cell>
        </row>
        <row r="201">
          <cell r="Q201">
            <v>341</v>
          </cell>
          <cell r="R201">
            <v>0</v>
          </cell>
          <cell r="S201">
            <v>0</v>
          </cell>
          <cell r="T201">
            <v>0.308</v>
          </cell>
          <cell r="U201">
            <v>0.69199999999999995</v>
          </cell>
          <cell r="V201">
            <v>0</v>
          </cell>
          <cell r="W201">
            <v>0</v>
          </cell>
          <cell r="X201">
            <v>0</v>
          </cell>
        </row>
        <row r="202">
          <cell r="Q202">
            <v>340</v>
          </cell>
          <cell r="R202">
            <v>0</v>
          </cell>
          <cell r="S202">
            <v>0</v>
          </cell>
          <cell r="T202">
            <v>0.308</v>
          </cell>
          <cell r="U202">
            <v>0.69199999999999995</v>
          </cell>
          <cell r="V202">
            <v>0</v>
          </cell>
          <cell r="W202">
            <v>0</v>
          </cell>
          <cell r="X202">
            <v>0</v>
          </cell>
        </row>
        <row r="203">
          <cell r="Q203">
            <v>339</v>
          </cell>
          <cell r="R203">
            <v>0</v>
          </cell>
          <cell r="S203">
            <v>0</v>
          </cell>
          <cell r="T203">
            <v>0.308</v>
          </cell>
          <cell r="U203">
            <v>0.69199999999999995</v>
          </cell>
          <cell r="V203">
            <v>0</v>
          </cell>
          <cell r="W203">
            <v>0</v>
          </cell>
          <cell r="X203">
            <v>0</v>
          </cell>
        </row>
        <row r="204">
          <cell r="Q204">
            <v>338</v>
          </cell>
          <cell r="R204">
            <v>0</v>
          </cell>
          <cell r="S204">
            <v>0</v>
          </cell>
          <cell r="T204">
            <v>0.308</v>
          </cell>
          <cell r="U204">
            <v>0.69199999999999995</v>
          </cell>
          <cell r="V204">
            <v>0</v>
          </cell>
          <cell r="W204">
            <v>0</v>
          </cell>
          <cell r="X204">
            <v>0</v>
          </cell>
        </row>
        <row r="205">
          <cell r="Q205">
            <v>337</v>
          </cell>
          <cell r="R205">
            <v>0</v>
          </cell>
          <cell r="S205">
            <v>0</v>
          </cell>
          <cell r="T205">
            <v>0.308</v>
          </cell>
          <cell r="U205">
            <v>0.69199999999999995</v>
          </cell>
          <cell r="V205">
            <v>0</v>
          </cell>
          <cell r="W205">
            <v>0</v>
          </cell>
          <cell r="X205">
            <v>0</v>
          </cell>
        </row>
        <row r="206">
          <cell r="Q206">
            <v>336</v>
          </cell>
          <cell r="R206">
            <v>0</v>
          </cell>
          <cell r="S206">
            <v>0</v>
          </cell>
          <cell r="T206">
            <v>0.308</v>
          </cell>
          <cell r="U206">
            <v>0.69199999999999995</v>
          </cell>
          <cell r="V206">
            <v>0</v>
          </cell>
          <cell r="W206">
            <v>0</v>
          </cell>
          <cell r="X206">
            <v>0</v>
          </cell>
        </row>
        <row r="207">
          <cell r="Q207">
            <v>335</v>
          </cell>
          <cell r="R207">
            <v>0</v>
          </cell>
          <cell r="S207">
            <v>0</v>
          </cell>
          <cell r="T207">
            <v>0.308</v>
          </cell>
          <cell r="U207">
            <v>0.69199999999999995</v>
          </cell>
          <cell r="V207">
            <v>0</v>
          </cell>
          <cell r="W207">
            <v>0</v>
          </cell>
          <cell r="X207">
            <v>0</v>
          </cell>
        </row>
        <row r="208">
          <cell r="Q208">
            <v>334</v>
          </cell>
          <cell r="R208">
            <v>0</v>
          </cell>
          <cell r="S208">
            <v>0</v>
          </cell>
          <cell r="T208">
            <v>0.308</v>
          </cell>
          <cell r="U208">
            <v>0.69199999999999995</v>
          </cell>
          <cell r="V208">
            <v>0</v>
          </cell>
          <cell r="W208">
            <v>0</v>
          </cell>
          <cell r="X208">
            <v>0</v>
          </cell>
        </row>
        <row r="209">
          <cell r="Q209">
            <v>333</v>
          </cell>
          <cell r="R209">
            <v>0</v>
          </cell>
          <cell r="S209">
            <v>0</v>
          </cell>
          <cell r="T209">
            <v>0.308</v>
          </cell>
          <cell r="U209">
            <v>0.69199999999999995</v>
          </cell>
          <cell r="V209">
            <v>0</v>
          </cell>
          <cell r="W209">
            <v>0</v>
          </cell>
          <cell r="X209">
            <v>0</v>
          </cell>
        </row>
        <row r="210">
          <cell r="Q210">
            <v>332</v>
          </cell>
          <cell r="R210">
            <v>0</v>
          </cell>
          <cell r="S210">
            <v>0</v>
          </cell>
          <cell r="T210">
            <v>0.308</v>
          </cell>
          <cell r="U210">
            <v>0.69199999999999995</v>
          </cell>
          <cell r="V210">
            <v>0</v>
          </cell>
          <cell r="W210">
            <v>0</v>
          </cell>
          <cell r="X210">
            <v>0</v>
          </cell>
        </row>
        <row r="211">
          <cell r="Q211">
            <v>331</v>
          </cell>
          <cell r="R211">
            <v>0</v>
          </cell>
          <cell r="S211">
            <v>0</v>
          </cell>
          <cell r="T211">
            <v>0.308</v>
          </cell>
          <cell r="U211">
            <v>0.69199999999999995</v>
          </cell>
          <cell r="V211">
            <v>0</v>
          </cell>
          <cell r="W211">
            <v>0</v>
          </cell>
          <cell r="X211">
            <v>0</v>
          </cell>
        </row>
        <row r="212">
          <cell r="Q212">
            <v>330</v>
          </cell>
          <cell r="R212">
            <v>0</v>
          </cell>
          <cell r="S212">
            <v>0</v>
          </cell>
          <cell r="T212">
            <v>0.308</v>
          </cell>
          <cell r="U212">
            <v>0.69199999999999995</v>
          </cell>
          <cell r="V212">
            <v>0</v>
          </cell>
          <cell r="W212">
            <v>0</v>
          </cell>
          <cell r="X212">
            <v>0</v>
          </cell>
        </row>
        <row r="213">
          <cell r="Q213">
            <v>329</v>
          </cell>
          <cell r="R213">
            <v>0</v>
          </cell>
          <cell r="S213">
            <v>0</v>
          </cell>
          <cell r="T213">
            <v>0.308</v>
          </cell>
          <cell r="U213">
            <v>0.69199999999999995</v>
          </cell>
          <cell r="V213">
            <v>0</v>
          </cell>
          <cell r="W213">
            <v>0</v>
          </cell>
          <cell r="X213">
            <v>0</v>
          </cell>
        </row>
        <row r="214">
          <cell r="Q214">
            <v>328</v>
          </cell>
          <cell r="R214">
            <v>0</v>
          </cell>
          <cell r="S214">
            <v>0</v>
          </cell>
          <cell r="T214">
            <v>0.308</v>
          </cell>
          <cell r="U214">
            <v>0.69199999999999995</v>
          </cell>
          <cell r="V214">
            <v>0</v>
          </cell>
          <cell r="W214">
            <v>0</v>
          </cell>
          <cell r="X214">
            <v>0</v>
          </cell>
        </row>
        <row r="215">
          <cell r="Q215">
            <v>327</v>
          </cell>
          <cell r="R215">
            <v>0</v>
          </cell>
          <cell r="S215">
            <v>0</v>
          </cell>
          <cell r="T215">
            <v>0.308</v>
          </cell>
          <cell r="U215">
            <v>0.69199999999999995</v>
          </cell>
          <cell r="V215">
            <v>0</v>
          </cell>
          <cell r="W215">
            <v>0</v>
          </cell>
          <cell r="X215">
            <v>0</v>
          </cell>
        </row>
        <row r="216">
          <cell r="Q216">
            <v>326</v>
          </cell>
          <cell r="R216">
            <v>0</v>
          </cell>
          <cell r="S216">
            <v>0</v>
          </cell>
          <cell r="T216">
            <v>0.308</v>
          </cell>
          <cell r="U216">
            <v>0.69199999999999995</v>
          </cell>
          <cell r="V216">
            <v>0</v>
          </cell>
          <cell r="W216">
            <v>0</v>
          </cell>
          <cell r="X216">
            <v>0</v>
          </cell>
        </row>
        <row r="217">
          <cell r="Q217">
            <v>325</v>
          </cell>
          <cell r="R217">
            <v>0</v>
          </cell>
          <cell r="S217">
            <v>0</v>
          </cell>
          <cell r="T217">
            <v>0.308</v>
          </cell>
          <cell r="U217">
            <v>0.69199999999999995</v>
          </cell>
          <cell r="V217">
            <v>0</v>
          </cell>
          <cell r="W217">
            <v>0</v>
          </cell>
          <cell r="X217">
            <v>0</v>
          </cell>
        </row>
        <row r="218">
          <cell r="Q218">
            <v>324</v>
          </cell>
          <cell r="R218">
            <v>0</v>
          </cell>
          <cell r="S218">
            <v>0</v>
          </cell>
          <cell r="T218">
            <v>0.308</v>
          </cell>
          <cell r="U218">
            <v>0.69199999999999995</v>
          </cell>
          <cell r="V218">
            <v>0</v>
          </cell>
          <cell r="W218">
            <v>0</v>
          </cell>
          <cell r="X218">
            <v>0</v>
          </cell>
        </row>
        <row r="219">
          <cell r="Q219">
            <v>323</v>
          </cell>
          <cell r="R219">
            <v>0</v>
          </cell>
          <cell r="S219">
            <v>0</v>
          </cell>
          <cell r="T219">
            <v>0.308</v>
          </cell>
          <cell r="U219">
            <v>0.69199999999999995</v>
          </cell>
          <cell r="V219">
            <v>0</v>
          </cell>
          <cell r="W219">
            <v>0</v>
          </cell>
          <cell r="X219">
            <v>0</v>
          </cell>
        </row>
        <row r="220">
          <cell r="Q220">
            <v>322</v>
          </cell>
          <cell r="R220">
            <v>0</v>
          </cell>
          <cell r="S220">
            <v>0</v>
          </cell>
          <cell r="T220">
            <v>0.308</v>
          </cell>
          <cell r="U220">
            <v>0.69199999999999995</v>
          </cell>
          <cell r="V220">
            <v>0</v>
          </cell>
          <cell r="W220">
            <v>0</v>
          </cell>
          <cell r="X220">
            <v>0</v>
          </cell>
        </row>
        <row r="221">
          <cell r="Q221">
            <v>321</v>
          </cell>
          <cell r="R221">
            <v>0</v>
          </cell>
          <cell r="S221">
            <v>0</v>
          </cell>
          <cell r="T221">
            <v>0.308</v>
          </cell>
          <cell r="U221">
            <v>0.69199999999999995</v>
          </cell>
          <cell r="V221">
            <v>0</v>
          </cell>
          <cell r="W221">
            <v>0</v>
          </cell>
          <cell r="X221">
            <v>0</v>
          </cell>
        </row>
        <row r="222">
          <cell r="Q222">
            <v>320</v>
          </cell>
          <cell r="R222">
            <v>0</v>
          </cell>
          <cell r="S222">
            <v>0</v>
          </cell>
          <cell r="T222">
            <v>0.308</v>
          </cell>
          <cell r="U222">
            <v>0.69199999999999995</v>
          </cell>
          <cell r="V222">
            <v>0</v>
          </cell>
          <cell r="W222">
            <v>0</v>
          </cell>
          <cell r="X222">
            <v>0</v>
          </cell>
        </row>
        <row r="223">
          <cell r="Q223">
            <v>319</v>
          </cell>
          <cell r="R223">
            <v>0</v>
          </cell>
          <cell r="S223">
            <v>0</v>
          </cell>
          <cell r="T223">
            <v>0.308</v>
          </cell>
          <cell r="U223">
            <v>0.69199999999999995</v>
          </cell>
          <cell r="V223">
            <v>0</v>
          </cell>
          <cell r="W223">
            <v>0</v>
          </cell>
          <cell r="X223">
            <v>0</v>
          </cell>
        </row>
        <row r="224">
          <cell r="Q224">
            <v>318</v>
          </cell>
          <cell r="R224">
            <v>0</v>
          </cell>
          <cell r="S224">
            <v>0</v>
          </cell>
          <cell r="T224">
            <v>0.308</v>
          </cell>
          <cell r="U224">
            <v>0.69199999999999995</v>
          </cell>
          <cell r="V224">
            <v>0</v>
          </cell>
          <cell r="W224">
            <v>0</v>
          </cell>
          <cell r="X224">
            <v>0</v>
          </cell>
        </row>
        <row r="225">
          <cell r="Q225">
            <v>317</v>
          </cell>
          <cell r="R225">
            <v>0</v>
          </cell>
          <cell r="S225">
            <v>0</v>
          </cell>
          <cell r="T225">
            <v>0.308</v>
          </cell>
          <cell r="U225">
            <v>0.69199999999999995</v>
          </cell>
          <cell r="V225">
            <v>0</v>
          </cell>
          <cell r="W225">
            <v>0</v>
          </cell>
          <cell r="X225">
            <v>0</v>
          </cell>
        </row>
        <row r="226">
          <cell r="Q226">
            <v>316</v>
          </cell>
          <cell r="R226">
            <v>0</v>
          </cell>
          <cell r="S226">
            <v>0</v>
          </cell>
          <cell r="T226">
            <v>0.308</v>
          </cell>
          <cell r="U226">
            <v>0.69199999999999995</v>
          </cell>
          <cell r="V226">
            <v>0</v>
          </cell>
          <cell r="W226">
            <v>0</v>
          </cell>
          <cell r="X226">
            <v>0</v>
          </cell>
        </row>
        <row r="227">
          <cell r="Q227">
            <v>315</v>
          </cell>
          <cell r="R227">
            <v>0</v>
          </cell>
          <cell r="S227">
            <v>0</v>
          </cell>
          <cell r="T227">
            <v>0.308</v>
          </cell>
          <cell r="U227">
            <v>0.69199999999999995</v>
          </cell>
          <cell r="V227">
            <v>0</v>
          </cell>
          <cell r="W227">
            <v>0</v>
          </cell>
          <cell r="X227">
            <v>0</v>
          </cell>
        </row>
        <row r="228">
          <cell r="Q228">
            <v>314</v>
          </cell>
          <cell r="R228">
            <v>0</v>
          </cell>
          <cell r="S228">
            <v>0</v>
          </cell>
          <cell r="T228">
            <v>0.308</v>
          </cell>
          <cell r="U228">
            <v>0.69199999999999995</v>
          </cell>
          <cell r="V228">
            <v>0</v>
          </cell>
          <cell r="W228">
            <v>0</v>
          </cell>
          <cell r="X228">
            <v>0</v>
          </cell>
        </row>
        <row r="229">
          <cell r="Q229">
            <v>313</v>
          </cell>
          <cell r="R229">
            <v>0</v>
          </cell>
          <cell r="S229">
            <v>0</v>
          </cell>
          <cell r="T229">
            <v>0.308</v>
          </cell>
          <cell r="U229">
            <v>0.69199999999999995</v>
          </cell>
          <cell r="V229">
            <v>0</v>
          </cell>
          <cell r="W229">
            <v>0</v>
          </cell>
          <cell r="X229">
            <v>0</v>
          </cell>
        </row>
        <row r="230">
          <cell r="Q230">
            <v>312</v>
          </cell>
          <cell r="R230">
            <v>0</v>
          </cell>
          <cell r="S230">
            <v>0</v>
          </cell>
          <cell r="T230">
            <v>0.308</v>
          </cell>
          <cell r="U230">
            <v>0.69199999999999995</v>
          </cell>
          <cell r="V230">
            <v>0</v>
          </cell>
          <cell r="W230">
            <v>0</v>
          </cell>
          <cell r="X230">
            <v>0</v>
          </cell>
        </row>
        <row r="231">
          <cell r="Q231">
            <v>311</v>
          </cell>
          <cell r="R231">
            <v>0</v>
          </cell>
          <cell r="S231">
            <v>0</v>
          </cell>
          <cell r="T231">
            <v>0.308</v>
          </cell>
          <cell r="U231">
            <v>0.69199999999999995</v>
          </cell>
          <cell r="V231">
            <v>0</v>
          </cell>
          <cell r="W231">
            <v>0</v>
          </cell>
          <cell r="X231">
            <v>0</v>
          </cell>
        </row>
        <row r="232">
          <cell r="Q232">
            <v>310</v>
          </cell>
          <cell r="R232">
            <v>0</v>
          </cell>
          <cell r="S232">
            <v>0</v>
          </cell>
          <cell r="T232">
            <v>0.308</v>
          </cell>
          <cell r="U232">
            <v>0.69199999999999995</v>
          </cell>
          <cell r="V232">
            <v>0</v>
          </cell>
          <cell r="W232">
            <v>0</v>
          </cell>
          <cell r="X232">
            <v>0</v>
          </cell>
        </row>
        <row r="233">
          <cell r="Q233">
            <v>309</v>
          </cell>
          <cell r="R233">
            <v>0</v>
          </cell>
          <cell r="S233">
            <v>0</v>
          </cell>
          <cell r="T233">
            <v>0.308</v>
          </cell>
          <cell r="U233">
            <v>0.69199999999999995</v>
          </cell>
          <cell r="V233">
            <v>0</v>
          </cell>
          <cell r="W233">
            <v>0</v>
          </cell>
          <cell r="X233">
            <v>0</v>
          </cell>
        </row>
        <row r="234">
          <cell r="Q234">
            <v>308</v>
          </cell>
          <cell r="R234">
            <v>0</v>
          </cell>
          <cell r="S234">
            <v>0</v>
          </cell>
          <cell r="T234">
            <v>0.308</v>
          </cell>
          <cell r="U234">
            <v>0.69199999999999995</v>
          </cell>
          <cell r="V234">
            <v>0</v>
          </cell>
          <cell r="W234">
            <v>0</v>
          </cell>
          <cell r="X234">
            <v>0</v>
          </cell>
        </row>
        <row r="235">
          <cell r="Q235">
            <v>307</v>
          </cell>
          <cell r="R235">
            <v>0</v>
          </cell>
          <cell r="S235">
            <v>0</v>
          </cell>
          <cell r="T235">
            <v>0.308</v>
          </cell>
          <cell r="U235">
            <v>0.69199999999999995</v>
          </cell>
          <cell r="V235">
            <v>0</v>
          </cell>
          <cell r="W235">
            <v>0</v>
          </cell>
          <cell r="X235">
            <v>0</v>
          </cell>
        </row>
        <row r="236">
          <cell r="Q236">
            <v>306</v>
          </cell>
          <cell r="R236">
            <v>0</v>
          </cell>
          <cell r="S236">
            <v>0</v>
          </cell>
          <cell r="T236">
            <v>0.308</v>
          </cell>
          <cell r="U236">
            <v>0.69199999999999995</v>
          </cell>
          <cell r="V236">
            <v>0</v>
          </cell>
          <cell r="W236">
            <v>0</v>
          </cell>
          <cell r="X236">
            <v>0</v>
          </cell>
        </row>
        <row r="237">
          <cell r="Q237">
            <v>305</v>
          </cell>
          <cell r="R237">
            <v>0</v>
          </cell>
          <cell r="S237">
            <v>0</v>
          </cell>
          <cell r="T237">
            <v>0.308</v>
          </cell>
          <cell r="U237">
            <v>0.69199999999999995</v>
          </cell>
          <cell r="V237">
            <v>0</v>
          </cell>
          <cell r="W237">
            <v>0</v>
          </cell>
          <cell r="X237">
            <v>0</v>
          </cell>
        </row>
        <row r="238">
          <cell r="Q238">
            <v>304</v>
          </cell>
          <cell r="R238">
            <v>0</v>
          </cell>
          <cell r="S238">
            <v>0</v>
          </cell>
          <cell r="T238">
            <v>0.308</v>
          </cell>
          <cell r="U238">
            <v>0.69199999999999995</v>
          </cell>
          <cell r="V238">
            <v>0</v>
          </cell>
          <cell r="W238">
            <v>0</v>
          </cell>
          <cell r="X238">
            <v>0</v>
          </cell>
        </row>
        <row r="239">
          <cell r="Q239">
            <v>303</v>
          </cell>
          <cell r="R239">
            <v>0</v>
          </cell>
          <cell r="S239">
            <v>0</v>
          </cell>
          <cell r="T239">
            <v>0.308</v>
          </cell>
          <cell r="U239">
            <v>0.69199999999999995</v>
          </cell>
          <cell r="V239">
            <v>0</v>
          </cell>
          <cell r="W239">
            <v>0</v>
          </cell>
          <cell r="X239">
            <v>0</v>
          </cell>
        </row>
        <row r="240">
          <cell r="Q240">
            <v>302</v>
          </cell>
          <cell r="R240">
            <v>0</v>
          </cell>
          <cell r="S240">
            <v>0</v>
          </cell>
          <cell r="T240">
            <v>0.308</v>
          </cell>
          <cell r="U240">
            <v>0.69199999999999995</v>
          </cell>
          <cell r="V240">
            <v>0</v>
          </cell>
          <cell r="W240">
            <v>0</v>
          </cell>
          <cell r="X240">
            <v>0</v>
          </cell>
        </row>
        <row r="241">
          <cell r="Q241">
            <v>301</v>
          </cell>
          <cell r="R241">
            <v>0</v>
          </cell>
          <cell r="S241">
            <v>0</v>
          </cell>
          <cell r="T241">
            <v>0.308</v>
          </cell>
          <cell r="U241">
            <v>0.69199999999999995</v>
          </cell>
          <cell r="V241">
            <v>0</v>
          </cell>
          <cell r="W241">
            <v>0</v>
          </cell>
          <cell r="X241">
            <v>0</v>
          </cell>
        </row>
        <row r="242">
          <cell r="Q242">
            <v>300</v>
          </cell>
          <cell r="R242">
            <v>0</v>
          </cell>
          <cell r="S242">
            <v>0</v>
          </cell>
          <cell r="T242">
            <v>0.308</v>
          </cell>
          <cell r="U242">
            <v>0.69199999999999995</v>
          </cell>
          <cell r="V242">
            <v>0</v>
          </cell>
          <cell r="W242">
            <v>0</v>
          </cell>
          <cell r="X242">
            <v>0</v>
          </cell>
        </row>
        <row r="243">
          <cell r="Q243">
            <v>299</v>
          </cell>
          <cell r="R243">
            <v>0</v>
          </cell>
          <cell r="S243">
            <v>0</v>
          </cell>
          <cell r="T243">
            <v>0.308</v>
          </cell>
          <cell r="U243">
            <v>0.69199999999999995</v>
          </cell>
          <cell r="V243">
            <v>0</v>
          </cell>
          <cell r="W243">
            <v>0</v>
          </cell>
          <cell r="X243">
            <v>0</v>
          </cell>
        </row>
        <row r="244">
          <cell r="Q244">
            <v>298</v>
          </cell>
          <cell r="R244">
            <v>0</v>
          </cell>
          <cell r="S244">
            <v>0</v>
          </cell>
          <cell r="T244">
            <v>0.308</v>
          </cell>
          <cell r="U244">
            <v>0.69199999999999995</v>
          </cell>
          <cell r="V244">
            <v>0</v>
          </cell>
          <cell r="W244">
            <v>0</v>
          </cell>
          <cell r="X244">
            <v>0</v>
          </cell>
        </row>
        <row r="245">
          <cell r="Q245">
            <v>297</v>
          </cell>
          <cell r="R245">
            <v>0</v>
          </cell>
          <cell r="S245">
            <v>0</v>
          </cell>
          <cell r="T245">
            <v>0.308</v>
          </cell>
          <cell r="U245">
            <v>0.69199999999999995</v>
          </cell>
          <cell r="V245">
            <v>0</v>
          </cell>
          <cell r="W245">
            <v>0</v>
          </cell>
          <cell r="X245">
            <v>0</v>
          </cell>
        </row>
        <row r="246">
          <cell r="Q246">
            <v>296</v>
          </cell>
          <cell r="R246">
            <v>0</v>
          </cell>
          <cell r="S246">
            <v>0</v>
          </cell>
          <cell r="T246">
            <v>0.308</v>
          </cell>
          <cell r="U246">
            <v>0.69199999999999995</v>
          </cell>
          <cell r="V246">
            <v>0</v>
          </cell>
          <cell r="W246">
            <v>0</v>
          </cell>
          <cell r="X246">
            <v>0</v>
          </cell>
        </row>
        <row r="247">
          <cell r="Q247">
            <v>295</v>
          </cell>
          <cell r="R247">
            <v>0</v>
          </cell>
          <cell r="S247">
            <v>0</v>
          </cell>
          <cell r="T247">
            <v>0.308</v>
          </cell>
          <cell r="U247">
            <v>0.69199999999999995</v>
          </cell>
          <cell r="V247">
            <v>0</v>
          </cell>
          <cell r="W247">
            <v>0</v>
          </cell>
          <cell r="X247">
            <v>0</v>
          </cell>
        </row>
        <row r="248">
          <cell r="Q248">
            <v>294</v>
          </cell>
          <cell r="R248">
            <v>0</v>
          </cell>
          <cell r="S248">
            <v>0</v>
          </cell>
          <cell r="T248">
            <v>0.308</v>
          </cell>
          <cell r="U248">
            <v>0.69199999999999995</v>
          </cell>
          <cell r="V248">
            <v>0</v>
          </cell>
          <cell r="W248">
            <v>0</v>
          </cell>
          <cell r="X248">
            <v>0</v>
          </cell>
        </row>
        <row r="249">
          <cell r="Q249">
            <v>293</v>
          </cell>
          <cell r="R249">
            <v>0</v>
          </cell>
          <cell r="S249">
            <v>0</v>
          </cell>
          <cell r="T249">
            <v>0.308</v>
          </cell>
          <cell r="U249">
            <v>0.69199999999999995</v>
          </cell>
          <cell r="V249">
            <v>0</v>
          </cell>
          <cell r="W249">
            <v>0</v>
          </cell>
          <cell r="X249">
            <v>0</v>
          </cell>
        </row>
        <row r="250">
          <cell r="Q250">
            <v>292</v>
          </cell>
          <cell r="R250">
            <v>0</v>
          </cell>
          <cell r="S250">
            <v>0</v>
          </cell>
          <cell r="T250">
            <v>0.308</v>
          </cell>
          <cell r="U250">
            <v>0.69199999999999995</v>
          </cell>
          <cell r="V250">
            <v>0</v>
          </cell>
          <cell r="W250">
            <v>0</v>
          </cell>
          <cell r="X250">
            <v>0</v>
          </cell>
        </row>
        <row r="251">
          <cell r="Q251">
            <v>291</v>
          </cell>
          <cell r="R251">
            <v>0</v>
          </cell>
          <cell r="S251">
            <v>0</v>
          </cell>
          <cell r="T251">
            <v>0.308</v>
          </cell>
          <cell r="U251">
            <v>0.69199999999999995</v>
          </cell>
          <cell r="V251">
            <v>0</v>
          </cell>
          <cell r="W251">
            <v>0</v>
          </cell>
          <cell r="X251">
            <v>0</v>
          </cell>
        </row>
        <row r="252">
          <cell r="Q252">
            <v>290</v>
          </cell>
          <cell r="R252">
            <v>0</v>
          </cell>
          <cell r="S252">
            <v>0</v>
          </cell>
          <cell r="T252">
            <v>0.308</v>
          </cell>
          <cell r="U252">
            <v>0.69199999999999995</v>
          </cell>
          <cell r="V252">
            <v>0</v>
          </cell>
          <cell r="W252">
            <v>0</v>
          </cell>
          <cell r="X252">
            <v>0</v>
          </cell>
        </row>
        <row r="253">
          <cell r="Q253">
            <v>289</v>
          </cell>
          <cell r="R253">
            <v>0</v>
          </cell>
          <cell r="S253">
            <v>0</v>
          </cell>
          <cell r="T253">
            <v>0.308</v>
          </cell>
          <cell r="U253">
            <v>0.69199999999999995</v>
          </cell>
          <cell r="V253">
            <v>0</v>
          </cell>
          <cell r="W253">
            <v>0</v>
          </cell>
          <cell r="X253">
            <v>0</v>
          </cell>
        </row>
        <row r="254">
          <cell r="Q254">
            <v>288</v>
          </cell>
          <cell r="R254">
            <v>0</v>
          </cell>
          <cell r="S254">
            <v>0</v>
          </cell>
          <cell r="T254">
            <v>0.308</v>
          </cell>
          <cell r="U254">
            <v>0.69199999999999995</v>
          </cell>
          <cell r="V254">
            <v>0</v>
          </cell>
          <cell r="W254">
            <v>0</v>
          </cell>
          <cell r="X254">
            <v>0</v>
          </cell>
        </row>
        <row r="255">
          <cell r="Q255">
            <v>287</v>
          </cell>
          <cell r="R255">
            <v>0</v>
          </cell>
          <cell r="S255">
            <v>0</v>
          </cell>
          <cell r="T255">
            <v>0.308</v>
          </cell>
          <cell r="U255">
            <v>0.69199999999999995</v>
          </cell>
          <cell r="V255">
            <v>0</v>
          </cell>
          <cell r="W255">
            <v>0</v>
          </cell>
          <cell r="X255">
            <v>0</v>
          </cell>
        </row>
        <row r="256">
          <cell r="Q256">
            <v>286</v>
          </cell>
          <cell r="R256">
            <v>0</v>
          </cell>
          <cell r="S256">
            <v>0</v>
          </cell>
          <cell r="T256">
            <v>0.308</v>
          </cell>
          <cell r="U256">
            <v>0.69199999999999995</v>
          </cell>
          <cell r="V256">
            <v>0</v>
          </cell>
          <cell r="W256">
            <v>0</v>
          </cell>
          <cell r="X256">
            <v>0</v>
          </cell>
        </row>
        <row r="257">
          <cell r="Q257">
            <v>285</v>
          </cell>
          <cell r="R257">
            <v>0</v>
          </cell>
          <cell r="S257">
            <v>0</v>
          </cell>
          <cell r="T257">
            <v>0.308</v>
          </cell>
          <cell r="U257">
            <v>0.69199999999999995</v>
          </cell>
          <cell r="V257">
            <v>0</v>
          </cell>
          <cell r="W257">
            <v>0</v>
          </cell>
          <cell r="X257">
            <v>0</v>
          </cell>
        </row>
        <row r="258">
          <cell r="Q258">
            <v>284</v>
          </cell>
          <cell r="R258">
            <v>0</v>
          </cell>
          <cell r="S258">
            <v>0</v>
          </cell>
          <cell r="T258">
            <v>0.308</v>
          </cell>
          <cell r="U258">
            <v>0.69199999999999995</v>
          </cell>
          <cell r="V258">
            <v>0</v>
          </cell>
          <cell r="W258">
            <v>0</v>
          </cell>
          <cell r="X258">
            <v>0</v>
          </cell>
        </row>
        <row r="259">
          <cell r="Q259">
            <v>283</v>
          </cell>
          <cell r="R259">
            <v>0</v>
          </cell>
          <cell r="S259">
            <v>0</v>
          </cell>
          <cell r="T259">
            <v>0.308</v>
          </cell>
          <cell r="U259">
            <v>0.69199999999999995</v>
          </cell>
          <cell r="V259">
            <v>0</v>
          </cell>
          <cell r="W259">
            <v>0</v>
          </cell>
          <cell r="X259">
            <v>0</v>
          </cell>
        </row>
        <row r="260">
          <cell r="Q260">
            <v>282</v>
          </cell>
          <cell r="R260">
            <v>0</v>
          </cell>
          <cell r="S260">
            <v>0</v>
          </cell>
          <cell r="T260">
            <v>0.308</v>
          </cell>
          <cell r="U260">
            <v>0.69199999999999995</v>
          </cell>
          <cell r="V260">
            <v>0</v>
          </cell>
          <cell r="W260">
            <v>0</v>
          </cell>
          <cell r="X260">
            <v>0</v>
          </cell>
        </row>
        <row r="261">
          <cell r="Q261">
            <v>281</v>
          </cell>
          <cell r="R261">
            <v>0</v>
          </cell>
          <cell r="S261">
            <v>0</v>
          </cell>
          <cell r="T261">
            <v>0.308</v>
          </cell>
          <cell r="U261">
            <v>0.69199999999999995</v>
          </cell>
          <cell r="V261">
            <v>0</v>
          </cell>
          <cell r="W261">
            <v>0</v>
          </cell>
          <cell r="X261">
            <v>0</v>
          </cell>
        </row>
        <row r="262">
          <cell r="Q262">
            <v>280</v>
          </cell>
          <cell r="R262">
            <v>0</v>
          </cell>
          <cell r="S262">
            <v>0</v>
          </cell>
          <cell r="T262">
            <v>0.308</v>
          </cell>
          <cell r="U262">
            <v>0.69199999999999995</v>
          </cell>
          <cell r="V262">
            <v>0</v>
          </cell>
          <cell r="W262">
            <v>0</v>
          </cell>
          <cell r="X262">
            <v>0</v>
          </cell>
        </row>
        <row r="263">
          <cell r="Q263">
            <v>279</v>
          </cell>
          <cell r="R263">
            <v>0</v>
          </cell>
          <cell r="S263">
            <v>0</v>
          </cell>
          <cell r="T263">
            <v>0.308</v>
          </cell>
          <cell r="U263">
            <v>0.69199999999999995</v>
          </cell>
          <cell r="V263">
            <v>0</v>
          </cell>
          <cell r="W263">
            <v>0</v>
          </cell>
          <cell r="X263">
            <v>0</v>
          </cell>
        </row>
        <row r="264">
          <cell r="Q264">
            <v>278</v>
          </cell>
          <cell r="R264">
            <v>0</v>
          </cell>
          <cell r="S264">
            <v>0</v>
          </cell>
          <cell r="T264">
            <v>0.308</v>
          </cell>
          <cell r="U264">
            <v>0.69199999999999995</v>
          </cell>
          <cell r="V264">
            <v>0</v>
          </cell>
          <cell r="W264">
            <v>0</v>
          </cell>
          <cell r="X264">
            <v>0</v>
          </cell>
        </row>
        <row r="265">
          <cell r="Q265">
            <v>277</v>
          </cell>
          <cell r="R265">
            <v>0</v>
          </cell>
          <cell r="S265">
            <v>0</v>
          </cell>
          <cell r="T265">
            <v>0.308</v>
          </cell>
          <cell r="U265">
            <v>0.69199999999999995</v>
          </cell>
          <cell r="V265">
            <v>0</v>
          </cell>
          <cell r="W265">
            <v>0</v>
          </cell>
          <cell r="X265">
            <v>0</v>
          </cell>
        </row>
        <row r="266">
          <cell r="Q266">
            <v>276</v>
          </cell>
          <cell r="R266">
            <v>0</v>
          </cell>
          <cell r="S266">
            <v>0</v>
          </cell>
          <cell r="T266">
            <v>0.308</v>
          </cell>
          <cell r="U266">
            <v>0.69199999999999995</v>
          </cell>
          <cell r="V266">
            <v>0</v>
          </cell>
          <cell r="W266">
            <v>0</v>
          </cell>
          <cell r="X266">
            <v>0</v>
          </cell>
        </row>
        <row r="267">
          <cell r="Q267">
            <v>275</v>
          </cell>
          <cell r="R267">
            <v>0</v>
          </cell>
          <cell r="S267">
            <v>0</v>
          </cell>
          <cell r="T267">
            <v>0.308</v>
          </cell>
          <cell r="U267">
            <v>0.69199999999999995</v>
          </cell>
          <cell r="V267">
            <v>0</v>
          </cell>
          <cell r="W267">
            <v>0</v>
          </cell>
          <cell r="X267">
            <v>0</v>
          </cell>
        </row>
        <row r="268">
          <cell r="Q268">
            <v>274</v>
          </cell>
          <cell r="R268">
            <v>0</v>
          </cell>
          <cell r="S268">
            <v>0</v>
          </cell>
          <cell r="T268">
            <v>0.308</v>
          </cell>
          <cell r="U268">
            <v>0.69199999999999995</v>
          </cell>
          <cell r="V268">
            <v>0</v>
          </cell>
          <cell r="W268">
            <v>0</v>
          </cell>
          <cell r="X268">
            <v>0</v>
          </cell>
        </row>
        <row r="269">
          <cell r="Q269">
            <v>273</v>
          </cell>
          <cell r="R269">
            <v>0</v>
          </cell>
          <cell r="S269">
            <v>0</v>
          </cell>
          <cell r="T269">
            <v>0.308</v>
          </cell>
          <cell r="U269">
            <v>0.69199999999999995</v>
          </cell>
          <cell r="V269">
            <v>0</v>
          </cell>
          <cell r="W269">
            <v>0</v>
          </cell>
          <cell r="X269">
            <v>0</v>
          </cell>
        </row>
        <row r="270">
          <cell r="Q270">
            <v>272</v>
          </cell>
          <cell r="R270">
            <v>0</v>
          </cell>
          <cell r="S270">
            <v>0</v>
          </cell>
          <cell r="T270">
            <v>0.308</v>
          </cell>
          <cell r="U270">
            <v>0.69199999999999995</v>
          </cell>
          <cell r="V270">
            <v>0</v>
          </cell>
          <cell r="W270">
            <v>0</v>
          </cell>
          <cell r="X270">
            <v>0</v>
          </cell>
        </row>
        <row r="271">
          <cell r="Q271">
            <v>271</v>
          </cell>
          <cell r="R271">
            <v>0</v>
          </cell>
          <cell r="S271">
            <v>0</v>
          </cell>
          <cell r="T271">
            <v>0.308</v>
          </cell>
          <cell r="U271">
            <v>0.69199999999999995</v>
          </cell>
          <cell r="V271">
            <v>0</v>
          </cell>
          <cell r="W271">
            <v>0</v>
          </cell>
          <cell r="X271">
            <v>0</v>
          </cell>
        </row>
        <row r="272">
          <cell r="Q272">
            <v>270</v>
          </cell>
          <cell r="R272">
            <v>0</v>
          </cell>
          <cell r="S272">
            <v>0</v>
          </cell>
          <cell r="T272">
            <v>0.308</v>
          </cell>
          <cell r="U272">
            <v>0.69199999999999995</v>
          </cell>
          <cell r="V272">
            <v>0</v>
          </cell>
          <cell r="W272">
            <v>0</v>
          </cell>
          <cell r="X272">
            <v>0</v>
          </cell>
        </row>
        <row r="273">
          <cell r="Q273">
            <v>269</v>
          </cell>
          <cell r="R273">
            <v>0</v>
          </cell>
          <cell r="S273">
            <v>0</v>
          </cell>
          <cell r="T273">
            <v>0.308</v>
          </cell>
          <cell r="U273">
            <v>0.69199999999999995</v>
          </cell>
          <cell r="V273">
            <v>0</v>
          </cell>
          <cell r="W273">
            <v>0</v>
          </cell>
          <cell r="X273">
            <v>0</v>
          </cell>
        </row>
        <row r="274">
          <cell r="Q274">
            <v>268</v>
          </cell>
          <cell r="R274">
            <v>0</v>
          </cell>
          <cell r="S274">
            <v>0</v>
          </cell>
          <cell r="T274">
            <v>0.308</v>
          </cell>
          <cell r="U274">
            <v>0.69199999999999995</v>
          </cell>
          <cell r="V274">
            <v>0</v>
          </cell>
          <cell r="W274">
            <v>0</v>
          </cell>
          <cell r="X274">
            <v>0</v>
          </cell>
        </row>
        <row r="275">
          <cell r="Q275">
            <v>267</v>
          </cell>
          <cell r="R275">
            <v>0</v>
          </cell>
          <cell r="S275">
            <v>0</v>
          </cell>
          <cell r="T275">
            <v>0.308</v>
          </cell>
          <cell r="U275">
            <v>0.69199999999999995</v>
          </cell>
          <cell r="V275">
            <v>0</v>
          </cell>
          <cell r="W275">
            <v>0</v>
          </cell>
          <cell r="X275">
            <v>0</v>
          </cell>
        </row>
        <row r="276">
          <cell r="Q276">
            <v>266</v>
          </cell>
          <cell r="R276">
            <v>0</v>
          </cell>
          <cell r="S276">
            <v>0</v>
          </cell>
          <cell r="T276">
            <v>0.308</v>
          </cell>
          <cell r="U276">
            <v>0.69199999999999995</v>
          </cell>
          <cell r="V276">
            <v>0</v>
          </cell>
          <cell r="W276">
            <v>0</v>
          </cell>
          <cell r="X276">
            <v>0</v>
          </cell>
        </row>
        <row r="277">
          <cell r="Q277">
            <v>265</v>
          </cell>
          <cell r="R277">
            <v>0</v>
          </cell>
          <cell r="S277">
            <v>0</v>
          </cell>
          <cell r="T277">
            <v>0.308</v>
          </cell>
          <cell r="U277">
            <v>0.69199999999999995</v>
          </cell>
          <cell r="V277">
            <v>0</v>
          </cell>
          <cell r="W277">
            <v>0</v>
          </cell>
          <cell r="X277">
            <v>0</v>
          </cell>
        </row>
        <row r="278">
          <cell r="Q278">
            <v>264</v>
          </cell>
          <cell r="R278">
            <v>0</v>
          </cell>
          <cell r="S278">
            <v>0</v>
          </cell>
          <cell r="T278">
            <v>0.308</v>
          </cell>
          <cell r="U278">
            <v>0.69199999999999995</v>
          </cell>
          <cell r="V278">
            <v>0</v>
          </cell>
          <cell r="W278">
            <v>0</v>
          </cell>
          <cell r="X278">
            <v>0</v>
          </cell>
        </row>
        <row r="279">
          <cell r="Q279">
            <v>263</v>
          </cell>
          <cell r="R279">
            <v>0</v>
          </cell>
          <cell r="S279">
            <v>0</v>
          </cell>
          <cell r="T279">
            <v>0.308</v>
          </cell>
          <cell r="U279">
            <v>0.69199999999999995</v>
          </cell>
          <cell r="V279">
            <v>0</v>
          </cell>
          <cell r="W279">
            <v>0</v>
          </cell>
          <cell r="X279">
            <v>0</v>
          </cell>
        </row>
        <row r="280">
          <cell r="Q280">
            <v>262</v>
          </cell>
          <cell r="R280">
            <v>0</v>
          </cell>
          <cell r="S280">
            <v>0</v>
          </cell>
          <cell r="T280">
            <v>0.308</v>
          </cell>
          <cell r="U280">
            <v>0.69199999999999995</v>
          </cell>
          <cell r="V280">
            <v>0</v>
          </cell>
          <cell r="W280">
            <v>0</v>
          </cell>
          <cell r="X280">
            <v>0</v>
          </cell>
        </row>
        <row r="281">
          <cell r="Q281">
            <v>261</v>
          </cell>
          <cell r="R281">
            <v>0</v>
          </cell>
          <cell r="S281">
            <v>0</v>
          </cell>
          <cell r="T281">
            <v>0.308</v>
          </cell>
          <cell r="U281">
            <v>0.69199999999999995</v>
          </cell>
          <cell r="V281">
            <v>0</v>
          </cell>
          <cell r="W281">
            <v>0</v>
          </cell>
          <cell r="X281">
            <v>0</v>
          </cell>
        </row>
        <row r="282">
          <cell r="Q282">
            <v>260</v>
          </cell>
          <cell r="R282">
            <v>0</v>
          </cell>
          <cell r="S282">
            <v>0</v>
          </cell>
          <cell r="T282">
            <v>0.308</v>
          </cell>
          <cell r="U282">
            <v>0.69199999999999995</v>
          </cell>
          <cell r="V282">
            <v>0</v>
          </cell>
          <cell r="W282">
            <v>0</v>
          </cell>
          <cell r="X282">
            <v>0</v>
          </cell>
        </row>
        <row r="283">
          <cell r="Q283">
            <v>259</v>
          </cell>
          <cell r="R283">
            <v>0</v>
          </cell>
          <cell r="S283">
            <v>0</v>
          </cell>
          <cell r="T283">
            <v>0.308</v>
          </cell>
          <cell r="U283">
            <v>0.69199999999999995</v>
          </cell>
          <cell r="V283">
            <v>0</v>
          </cell>
          <cell r="W283">
            <v>0</v>
          </cell>
          <cell r="X283">
            <v>0</v>
          </cell>
        </row>
        <row r="284">
          <cell r="Q284">
            <v>258</v>
          </cell>
          <cell r="R284">
            <v>0</v>
          </cell>
          <cell r="S284">
            <v>0</v>
          </cell>
          <cell r="T284">
            <v>0.308</v>
          </cell>
          <cell r="U284">
            <v>0.69199999999999995</v>
          </cell>
          <cell r="V284">
            <v>0</v>
          </cell>
          <cell r="W284">
            <v>0</v>
          </cell>
          <cell r="X284">
            <v>0</v>
          </cell>
        </row>
        <row r="285">
          <cell r="Q285">
            <v>257</v>
          </cell>
          <cell r="R285">
            <v>0</v>
          </cell>
          <cell r="S285">
            <v>0</v>
          </cell>
          <cell r="T285">
            <v>0.308</v>
          </cell>
          <cell r="U285">
            <v>0.69199999999999995</v>
          </cell>
          <cell r="V285">
            <v>0</v>
          </cell>
          <cell r="W285">
            <v>0</v>
          </cell>
          <cell r="X285">
            <v>0</v>
          </cell>
        </row>
        <row r="286">
          <cell r="Q286">
            <v>256</v>
          </cell>
          <cell r="R286">
            <v>0</v>
          </cell>
          <cell r="S286">
            <v>0</v>
          </cell>
          <cell r="T286">
            <v>0.308</v>
          </cell>
          <cell r="U286">
            <v>0.69199999999999995</v>
          </cell>
          <cell r="V286">
            <v>0</v>
          </cell>
          <cell r="W286">
            <v>0</v>
          </cell>
          <cell r="X286">
            <v>0</v>
          </cell>
        </row>
        <row r="287">
          <cell r="Q287">
            <v>255</v>
          </cell>
          <cell r="R287">
            <v>0</v>
          </cell>
          <cell r="S287">
            <v>0</v>
          </cell>
          <cell r="T287">
            <v>0.308</v>
          </cell>
          <cell r="U287">
            <v>0.69199999999999995</v>
          </cell>
          <cell r="V287">
            <v>0</v>
          </cell>
          <cell r="W287">
            <v>0</v>
          </cell>
          <cell r="X287">
            <v>0</v>
          </cell>
        </row>
        <row r="288">
          <cell r="Q288">
            <v>254</v>
          </cell>
          <cell r="R288">
            <v>0</v>
          </cell>
          <cell r="S288">
            <v>0</v>
          </cell>
          <cell r="T288">
            <v>0.308</v>
          </cell>
          <cell r="U288">
            <v>0.69199999999999995</v>
          </cell>
          <cell r="V288">
            <v>0</v>
          </cell>
          <cell r="W288">
            <v>0</v>
          </cell>
          <cell r="X288">
            <v>0</v>
          </cell>
        </row>
        <row r="289">
          <cell r="Q289">
            <v>253</v>
          </cell>
          <cell r="R289">
            <v>0</v>
          </cell>
          <cell r="S289">
            <v>0</v>
          </cell>
          <cell r="T289">
            <v>0.308</v>
          </cell>
          <cell r="U289">
            <v>0.69199999999999995</v>
          </cell>
          <cell r="V289">
            <v>0</v>
          </cell>
          <cell r="W289">
            <v>0</v>
          </cell>
          <cell r="X289">
            <v>0</v>
          </cell>
        </row>
        <row r="290">
          <cell r="Q290">
            <v>252</v>
          </cell>
          <cell r="R290">
            <v>0</v>
          </cell>
          <cell r="S290">
            <v>0</v>
          </cell>
          <cell r="T290">
            <v>0.308</v>
          </cell>
          <cell r="U290">
            <v>0.69199999999999995</v>
          </cell>
          <cell r="V290">
            <v>0</v>
          </cell>
          <cell r="W290">
            <v>0</v>
          </cell>
          <cell r="X290">
            <v>0</v>
          </cell>
        </row>
        <row r="291">
          <cell r="Q291">
            <v>251</v>
          </cell>
          <cell r="R291">
            <v>0</v>
          </cell>
          <cell r="S291">
            <v>0</v>
          </cell>
          <cell r="T291">
            <v>0.308</v>
          </cell>
          <cell r="U291">
            <v>0.69199999999999995</v>
          </cell>
          <cell r="V291">
            <v>0</v>
          </cell>
          <cell r="W291">
            <v>0</v>
          </cell>
          <cell r="X291">
            <v>0</v>
          </cell>
        </row>
        <row r="292">
          <cell r="Q292">
            <v>250</v>
          </cell>
          <cell r="R292">
            <v>0</v>
          </cell>
          <cell r="S292">
            <v>0</v>
          </cell>
          <cell r="T292">
            <v>0.308</v>
          </cell>
          <cell r="U292">
            <v>0.69199999999999995</v>
          </cell>
          <cell r="V292">
            <v>0</v>
          </cell>
          <cell r="W292">
            <v>0</v>
          </cell>
          <cell r="X292">
            <v>0</v>
          </cell>
        </row>
        <row r="293">
          <cell r="Q293">
            <v>249</v>
          </cell>
          <cell r="R293">
            <v>0</v>
          </cell>
          <cell r="S293">
            <v>0</v>
          </cell>
          <cell r="T293">
            <v>0.308</v>
          </cell>
          <cell r="U293">
            <v>0.69199999999999995</v>
          </cell>
          <cell r="V293">
            <v>0</v>
          </cell>
          <cell r="W293">
            <v>0</v>
          </cell>
          <cell r="X293">
            <v>0</v>
          </cell>
        </row>
        <row r="294">
          <cell r="Q294">
            <v>248</v>
          </cell>
          <cell r="R294">
            <v>0</v>
          </cell>
          <cell r="S294">
            <v>0</v>
          </cell>
          <cell r="T294">
            <v>0.308</v>
          </cell>
          <cell r="U294">
            <v>0.69199999999999995</v>
          </cell>
          <cell r="V294">
            <v>0</v>
          </cell>
          <cell r="W294">
            <v>0</v>
          </cell>
          <cell r="X294">
            <v>0</v>
          </cell>
        </row>
        <row r="295">
          <cell r="Q295">
            <v>247</v>
          </cell>
          <cell r="R295">
            <v>0</v>
          </cell>
          <cell r="S295">
            <v>0</v>
          </cell>
          <cell r="T295">
            <v>0.308</v>
          </cell>
          <cell r="U295">
            <v>0.69199999999999995</v>
          </cell>
          <cell r="V295">
            <v>0</v>
          </cell>
          <cell r="W295">
            <v>0</v>
          </cell>
          <cell r="X295">
            <v>0</v>
          </cell>
        </row>
        <row r="296">
          <cell r="Q296">
            <v>246</v>
          </cell>
          <cell r="R296">
            <v>0</v>
          </cell>
          <cell r="S296">
            <v>0</v>
          </cell>
          <cell r="T296">
            <v>0.308</v>
          </cell>
          <cell r="U296">
            <v>0.69199999999999995</v>
          </cell>
          <cell r="V296">
            <v>0</v>
          </cell>
          <cell r="W296">
            <v>0</v>
          </cell>
          <cell r="X296">
            <v>0</v>
          </cell>
        </row>
        <row r="297">
          <cell r="Q297">
            <v>245</v>
          </cell>
          <cell r="R297">
            <v>0</v>
          </cell>
          <cell r="S297">
            <v>0</v>
          </cell>
          <cell r="T297">
            <v>0.308</v>
          </cell>
          <cell r="U297">
            <v>0.69199999999999995</v>
          </cell>
          <cell r="V297">
            <v>0</v>
          </cell>
          <cell r="W297">
            <v>0</v>
          </cell>
          <cell r="X297">
            <v>0</v>
          </cell>
        </row>
        <row r="298">
          <cell r="Q298">
            <v>244</v>
          </cell>
          <cell r="R298">
            <v>0</v>
          </cell>
          <cell r="S298">
            <v>0</v>
          </cell>
          <cell r="T298">
            <v>0.308</v>
          </cell>
          <cell r="U298">
            <v>0.69199999999999995</v>
          </cell>
          <cell r="V298">
            <v>0</v>
          </cell>
          <cell r="W298">
            <v>0</v>
          </cell>
          <cell r="X298">
            <v>0</v>
          </cell>
        </row>
        <row r="299">
          <cell r="Q299">
            <v>243</v>
          </cell>
          <cell r="R299">
            <v>0</v>
          </cell>
          <cell r="S299">
            <v>0</v>
          </cell>
          <cell r="T299">
            <v>0.308</v>
          </cell>
          <cell r="U299">
            <v>0.69199999999999995</v>
          </cell>
          <cell r="V299">
            <v>0</v>
          </cell>
          <cell r="W299">
            <v>0</v>
          </cell>
          <cell r="X299">
            <v>0</v>
          </cell>
        </row>
        <row r="300">
          <cell r="Q300">
            <v>242</v>
          </cell>
          <cell r="R300">
            <v>0</v>
          </cell>
          <cell r="S300">
            <v>0</v>
          </cell>
          <cell r="T300">
            <v>0.308</v>
          </cell>
          <cell r="U300">
            <v>0.69199999999999995</v>
          </cell>
          <cell r="V300">
            <v>0</v>
          </cell>
          <cell r="W300">
            <v>0</v>
          </cell>
          <cell r="X300">
            <v>0</v>
          </cell>
        </row>
        <row r="301">
          <cell r="Q301">
            <v>241</v>
          </cell>
          <cell r="R301">
            <v>0</v>
          </cell>
          <cell r="S301">
            <v>0</v>
          </cell>
          <cell r="T301">
            <v>0.308</v>
          </cell>
          <cell r="U301">
            <v>0.69199999999999995</v>
          </cell>
          <cell r="V301">
            <v>0</v>
          </cell>
          <cell r="W301">
            <v>0</v>
          </cell>
          <cell r="X301">
            <v>0</v>
          </cell>
        </row>
        <row r="302">
          <cell r="Q302">
            <v>240</v>
          </cell>
          <cell r="R302">
            <v>0</v>
          </cell>
          <cell r="S302">
            <v>0</v>
          </cell>
          <cell r="T302">
            <v>0.308</v>
          </cell>
          <cell r="U302">
            <v>0.69199999999999995</v>
          </cell>
          <cell r="V302">
            <v>0</v>
          </cell>
          <cell r="W302">
            <v>0</v>
          </cell>
          <cell r="X302">
            <v>0</v>
          </cell>
        </row>
        <row r="303">
          <cell r="Q303">
            <v>239</v>
          </cell>
          <cell r="R303">
            <v>0</v>
          </cell>
          <cell r="S303">
            <v>0</v>
          </cell>
          <cell r="T303">
            <v>0.308</v>
          </cell>
          <cell r="U303">
            <v>0.69199999999999995</v>
          </cell>
          <cell r="V303">
            <v>0</v>
          </cell>
          <cell r="W303">
            <v>0</v>
          </cell>
          <cell r="X303">
            <v>0</v>
          </cell>
        </row>
        <row r="304">
          <cell r="Q304">
            <v>238</v>
          </cell>
          <cell r="R304">
            <v>0</v>
          </cell>
          <cell r="S304">
            <v>0</v>
          </cell>
          <cell r="T304">
            <v>0.308</v>
          </cell>
          <cell r="U304">
            <v>0.69199999999999995</v>
          </cell>
          <cell r="V304">
            <v>0</v>
          </cell>
          <cell r="W304">
            <v>0</v>
          </cell>
          <cell r="X304">
            <v>0</v>
          </cell>
        </row>
        <row r="305">
          <cell r="Q305">
            <v>237</v>
          </cell>
          <cell r="R305">
            <v>0</v>
          </cell>
          <cell r="S305">
            <v>0</v>
          </cell>
          <cell r="T305">
            <v>0.308</v>
          </cell>
          <cell r="U305">
            <v>0.69199999999999995</v>
          </cell>
          <cell r="V305">
            <v>0</v>
          </cell>
          <cell r="W305">
            <v>0</v>
          </cell>
          <cell r="X305">
            <v>0</v>
          </cell>
        </row>
        <row r="306">
          <cell r="Q306">
            <v>236</v>
          </cell>
          <cell r="R306">
            <v>0</v>
          </cell>
          <cell r="S306">
            <v>0</v>
          </cell>
          <cell r="T306">
            <v>0.308</v>
          </cell>
          <cell r="U306">
            <v>0.69199999999999995</v>
          </cell>
          <cell r="V306">
            <v>0</v>
          </cell>
          <cell r="W306">
            <v>0</v>
          </cell>
          <cell r="X306">
            <v>0</v>
          </cell>
        </row>
        <row r="307">
          <cell r="Q307">
            <v>235</v>
          </cell>
          <cell r="R307">
            <v>0</v>
          </cell>
          <cell r="S307">
            <v>0</v>
          </cell>
          <cell r="T307">
            <v>0.308</v>
          </cell>
          <cell r="U307">
            <v>0.69199999999999995</v>
          </cell>
          <cell r="V307">
            <v>0</v>
          </cell>
          <cell r="W307">
            <v>0</v>
          </cell>
          <cell r="X307">
            <v>0</v>
          </cell>
        </row>
        <row r="308">
          <cell r="Q308">
            <v>234</v>
          </cell>
          <cell r="R308">
            <v>0</v>
          </cell>
          <cell r="S308">
            <v>0</v>
          </cell>
          <cell r="T308">
            <v>0.308</v>
          </cell>
          <cell r="U308">
            <v>0.69199999999999995</v>
          </cell>
          <cell r="V308">
            <v>0</v>
          </cell>
          <cell r="W308">
            <v>0</v>
          </cell>
          <cell r="X308">
            <v>0</v>
          </cell>
        </row>
        <row r="309">
          <cell r="Q309">
            <v>233</v>
          </cell>
          <cell r="R309">
            <v>0</v>
          </cell>
          <cell r="S309">
            <v>0</v>
          </cell>
          <cell r="T309">
            <v>0.308</v>
          </cell>
          <cell r="U309">
            <v>0.69199999999999995</v>
          </cell>
          <cell r="V309">
            <v>0</v>
          </cell>
          <cell r="W309">
            <v>0</v>
          </cell>
          <cell r="X309">
            <v>0</v>
          </cell>
        </row>
        <row r="310">
          <cell r="Q310">
            <v>232</v>
          </cell>
          <cell r="R310">
            <v>0</v>
          </cell>
          <cell r="S310">
            <v>0</v>
          </cell>
          <cell r="T310">
            <v>0.308</v>
          </cell>
          <cell r="U310">
            <v>0.69199999999999995</v>
          </cell>
          <cell r="V310">
            <v>0</v>
          </cell>
          <cell r="W310">
            <v>0</v>
          </cell>
          <cell r="X310">
            <v>0</v>
          </cell>
        </row>
        <row r="311">
          <cell r="Q311">
            <v>231</v>
          </cell>
          <cell r="R311">
            <v>0</v>
          </cell>
          <cell r="S311">
            <v>0</v>
          </cell>
          <cell r="T311">
            <v>0.308</v>
          </cell>
          <cell r="U311">
            <v>0.69199999999999995</v>
          </cell>
          <cell r="V311">
            <v>0</v>
          </cell>
          <cell r="W311">
            <v>0</v>
          </cell>
          <cell r="X311">
            <v>0</v>
          </cell>
        </row>
        <row r="312">
          <cell r="Q312">
            <v>230</v>
          </cell>
          <cell r="R312">
            <v>0</v>
          </cell>
          <cell r="S312">
            <v>0</v>
          </cell>
          <cell r="T312">
            <v>0.308</v>
          </cell>
          <cell r="U312">
            <v>0.69199999999999995</v>
          </cell>
          <cell r="V312">
            <v>0</v>
          </cell>
          <cell r="W312">
            <v>0</v>
          </cell>
          <cell r="X312">
            <v>0</v>
          </cell>
        </row>
        <row r="313">
          <cell r="Q313">
            <v>229</v>
          </cell>
          <cell r="R313">
            <v>0</v>
          </cell>
          <cell r="S313">
            <v>0</v>
          </cell>
          <cell r="T313">
            <v>0.308</v>
          </cell>
          <cell r="U313">
            <v>0.69199999999999995</v>
          </cell>
          <cell r="V313">
            <v>0</v>
          </cell>
          <cell r="W313">
            <v>0</v>
          </cell>
          <cell r="X313">
            <v>0</v>
          </cell>
        </row>
        <row r="314">
          <cell r="Q314">
            <v>228</v>
          </cell>
          <cell r="R314">
            <v>0</v>
          </cell>
          <cell r="S314">
            <v>0</v>
          </cell>
          <cell r="T314">
            <v>0.308</v>
          </cell>
          <cell r="U314">
            <v>0.69199999999999995</v>
          </cell>
          <cell r="V314">
            <v>0</v>
          </cell>
          <cell r="W314">
            <v>0</v>
          </cell>
          <cell r="X314">
            <v>0</v>
          </cell>
        </row>
        <row r="315">
          <cell r="Q315">
            <v>227</v>
          </cell>
          <cell r="R315">
            <v>0</v>
          </cell>
          <cell r="S315">
            <v>0</v>
          </cell>
          <cell r="T315">
            <v>0.308</v>
          </cell>
          <cell r="U315">
            <v>0.69199999999999995</v>
          </cell>
          <cell r="V315">
            <v>0</v>
          </cell>
          <cell r="W315">
            <v>0</v>
          </cell>
          <cell r="X315">
            <v>0</v>
          </cell>
        </row>
        <row r="316">
          <cell r="Q316">
            <v>226</v>
          </cell>
          <cell r="R316">
            <v>0</v>
          </cell>
          <cell r="S316">
            <v>0</v>
          </cell>
          <cell r="T316">
            <v>0.308</v>
          </cell>
          <cell r="U316">
            <v>0.69199999999999995</v>
          </cell>
          <cell r="V316">
            <v>0</v>
          </cell>
          <cell r="W316">
            <v>0</v>
          </cell>
          <cell r="X316">
            <v>0</v>
          </cell>
        </row>
        <row r="317">
          <cell r="Q317">
            <v>225</v>
          </cell>
          <cell r="R317">
            <v>0</v>
          </cell>
          <cell r="S317">
            <v>0</v>
          </cell>
          <cell r="T317">
            <v>0.308</v>
          </cell>
          <cell r="U317">
            <v>0.69199999999999995</v>
          </cell>
          <cell r="V317">
            <v>0</v>
          </cell>
          <cell r="W317">
            <v>0</v>
          </cell>
          <cell r="X317">
            <v>0</v>
          </cell>
        </row>
        <row r="318">
          <cell r="Q318">
            <v>224</v>
          </cell>
          <cell r="R318">
            <v>0</v>
          </cell>
          <cell r="S318">
            <v>0</v>
          </cell>
          <cell r="T318">
            <v>0.308</v>
          </cell>
          <cell r="U318">
            <v>0.69199999999999995</v>
          </cell>
          <cell r="V318">
            <v>0</v>
          </cell>
          <cell r="W318">
            <v>0</v>
          </cell>
          <cell r="X318">
            <v>0</v>
          </cell>
        </row>
        <row r="319">
          <cell r="Q319">
            <v>223</v>
          </cell>
          <cell r="R319">
            <v>0</v>
          </cell>
          <cell r="S319">
            <v>0</v>
          </cell>
          <cell r="T319">
            <v>0.308</v>
          </cell>
          <cell r="U319">
            <v>0.69199999999999995</v>
          </cell>
          <cell r="V319">
            <v>0</v>
          </cell>
          <cell r="W319">
            <v>0</v>
          </cell>
          <cell r="X319">
            <v>0</v>
          </cell>
        </row>
        <row r="320">
          <cell r="Q320">
            <v>222</v>
          </cell>
          <cell r="R320">
            <v>0</v>
          </cell>
          <cell r="S320">
            <v>0</v>
          </cell>
          <cell r="T320">
            <v>0.308</v>
          </cell>
          <cell r="U320">
            <v>0.69199999999999995</v>
          </cell>
          <cell r="V320">
            <v>0</v>
          </cell>
          <cell r="W320">
            <v>0</v>
          </cell>
          <cell r="X320">
            <v>0</v>
          </cell>
        </row>
        <row r="321">
          <cell r="Q321">
            <v>221</v>
          </cell>
          <cell r="R321">
            <v>0</v>
          </cell>
          <cell r="S321">
            <v>0</v>
          </cell>
          <cell r="T321">
            <v>0.308</v>
          </cell>
          <cell r="U321">
            <v>0.69199999999999995</v>
          </cell>
          <cell r="V321">
            <v>0</v>
          </cell>
          <cell r="W321">
            <v>0</v>
          </cell>
          <cell r="X321">
            <v>0</v>
          </cell>
        </row>
        <row r="322">
          <cell r="Q322">
            <v>220</v>
          </cell>
          <cell r="R322">
            <v>0</v>
          </cell>
          <cell r="S322">
            <v>0</v>
          </cell>
          <cell r="T322">
            <v>0.308</v>
          </cell>
          <cell r="U322">
            <v>0.69199999999999995</v>
          </cell>
          <cell r="V322">
            <v>0</v>
          </cell>
          <cell r="W322">
            <v>0</v>
          </cell>
          <cell r="X322">
            <v>0</v>
          </cell>
        </row>
        <row r="323">
          <cell r="Q323">
            <v>219</v>
          </cell>
          <cell r="R323">
            <v>0</v>
          </cell>
          <cell r="S323">
            <v>0</v>
          </cell>
          <cell r="T323">
            <v>0.308</v>
          </cell>
          <cell r="U323">
            <v>0.69199999999999995</v>
          </cell>
          <cell r="V323">
            <v>0</v>
          </cell>
          <cell r="W323">
            <v>0</v>
          </cell>
          <cell r="X323">
            <v>0</v>
          </cell>
        </row>
        <row r="324">
          <cell r="Q324">
            <v>218</v>
          </cell>
          <cell r="R324">
            <v>0</v>
          </cell>
          <cell r="S324">
            <v>0</v>
          </cell>
          <cell r="T324">
            <v>0.308</v>
          </cell>
          <cell r="U324">
            <v>0.69199999999999995</v>
          </cell>
          <cell r="V324">
            <v>0</v>
          </cell>
          <cell r="W324">
            <v>0</v>
          </cell>
          <cell r="X324">
            <v>0</v>
          </cell>
        </row>
        <row r="325">
          <cell r="Q325">
            <v>217</v>
          </cell>
          <cell r="R325">
            <v>0</v>
          </cell>
          <cell r="S325">
            <v>0</v>
          </cell>
          <cell r="T325">
            <v>0.308</v>
          </cell>
          <cell r="U325">
            <v>0.69199999999999995</v>
          </cell>
          <cell r="V325">
            <v>0</v>
          </cell>
          <cell r="W325">
            <v>0</v>
          </cell>
          <cell r="X325">
            <v>0</v>
          </cell>
        </row>
        <row r="326">
          <cell r="Q326">
            <v>216</v>
          </cell>
          <cell r="R326">
            <v>0</v>
          </cell>
          <cell r="S326">
            <v>0</v>
          </cell>
          <cell r="T326">
            <v>0.308</v>
          </cell>
          <cell r="U326">
            <v>0.69199999999999995</v>
          </cell>
          <cell r="V326">
            <v>0</v>
          </cell>
          <cell r="W326">
            <v>0</v>
          </cell>
          <cell r="X326">
            <v>0</v>
          </cell>
        </row>
        <row r="327">
          <cell r="Q327">
            <v>215</v>
          </cell>
          <cell r="R327">
            <v>0</v>
          </cell>
          <cell r="S327">
            <v>0</v>
          </cell>
          <cell r="T327">
            <v>0.308</v>
          </cell>
          <cell r="U327">
            <v>0.69199999999999995</v>
          </cell>
          <cell r="V327">
            <v>0</v>
          </cell>
          <cell r="W327">
            <v>0</v>
          </cell>
          <cell r="X327">
            <v>0</v>
          </cell>
        </row>
        <row r="328">
          <cell r="Q328">
            <v>214</v>
          </cell>
          <cell r="R328">
            <v>0</v>
          </cell>
          <cell r="S328">
            <v>0</v>
          </cell>
          <cell r="T328">
            <v>0.308</v>
          </cell>
          <cell r="U328">
            <v>0.69199999999999995</v>
          </cell>
          <cell r="V328">
            <v>0</v>
          </cell>
          <cell r="W328">
            <v>0</v>
          </cell>
          <cell r="X328">
            <v>0</v>
          </cell>
        </row>
        <row r="329">
          <cell r="Q329">
            <v>213</v>
          </cell>
          <cell r="R329">
            <v>0</v>
          </cell>
          <cell r="S329">
            <v>0</v>
          </cell>
          <cell r="T329">
            <v>0.308</v>
          </cell>
          <cell r="U329">
            <v>0.69199999999999995</v>
          </cell>
          <cell r="V329">
            <v>0</v>
          </cell>
          <cell r="W329">
            <v>0</v>
          </cell>
          <cell r="X329">
            <v>0</v>
          </cell>
        </row>
        <row r="330">
          <cell r="Q330">
            <v>212</v>
          </cell>
          <cell r="R330">
            <v>0</v>
          </cell>
          <cell r="S330">
            <v>0</v>
          </cell>
          <cell r="T330">
            <v>0.308</v>
          </cell>
          <cell r="U330">
            <v>0.69199999999999995</v>
          </cell>
          <cell r="V330">
            <v>0</v>
          </cell>
          <cell r="W330">
            <v>0</v>
          </cell>
          <cell r="X330">
            <v>0</v>
          </cell>
        </row>
        <row r="331">
          <cell r="Q331">
            <v>211</v>
          </cell>
          <cell r="R331">
            <v>0</v>
          </cell>
          <cell r="S331">
            <v>0</v>
          </cell>
          <cell r="T331">
            <v>0.308</v>
          </cell>
          <cell r="U331">
            <v>0.69199999999999995</v>
          </cell>
          <cell r="V331">
            <v>0</v>
          </cell>
          <cell r="W331">
            <v>0</v>
          </cell>
          <cell r="X331">
            <v>0</v>
          </cell>
        </row>
        <row r="332">
          <cell r="Q332">
            <v>210</v>
          </cell>
          <cell r="R332">
            <v>0</v>
          </cell>
          <cell r="S332">
            <v>0</v>
          </cell>
          <cell r="T332">
            <v>0.308</v>
          </cell>
          <cell r="U332">
            <v>0.69199999999999995</v>
          </cell>
          <cell r="V332">
            <v>0</v>
          </cell>
          <cell r="W332">
            <v>0</v>
          </cell>
          <cell r="X332">
            <v>0</v>
          </cell>
        </row>
        <row r="333">
          <cell r="Q333">
            <v>209</v>
          </cell>
          <cell r="R333">
            <v>0</v>
          </cell>
          <cell r="S333">
            <v>0</v>
          </cell>
          <cell r="T333">
            <v>0.308</v>
          </cell>
          <cell r="U333">
            <v>0.69199999999999995</v>
          </cell>
          <cell r="V333">
            <v>0</v>
          </cell>
          <cell r="W333">
            <v>0</v>
          </cell>
          <cell r="X333">
            <v>0</v>
          </cell>
        </row>
        <row r="334">
          <cell r="Q334">
            <v>208</v>
          </cell>
          <cell r="R334">
            <v>0</v>
          </cell>
          <cell r="S334">
            <v>0</v>
          </cell>
          <cell r="T334">
            <v>0.308</v>
          </cell>
          <cell r="U334">
            <v>0.69199999999999995</v>
          </cell>
          <cell r="V334">
            <v>0</v>
          </cell>
          <cell r="W334">
            <v>0</v>
          </cell>
          <cell r="X334">
            <v>0</v>
          </cell>
        </row>
        <row r="335">
          <cell r="Q335">
            <v>207</v>
          </cell>
          <cell r="R335">
            <v>0</v>
          </cell>
          <cell r="S335">
            <v>0</v>
          </cell>
          <cell r="T335">
            <v>0.308</v>
          </cell>
          <cell r="U335">
            <v>0.69199999999999995</v>
          </cell>
          <cell r="V335">
            <v>0</v>
          </cell>
          <cell r="W335">
            <v>0</v>
          </cell>
          <cell r="X335">
            <v>0</v>
          </cell>
        </row>
        <row r="336">
          <cell r="Q336">
            <v>206</v>
          </cell>
          <cell r="R336">
            <v>0</v>
          </cell>
          <cell r="S336">
            <v>0</v>
          </cell>
          <cell r="T336">
            <v>0.308</v>
          </cell>
          <cell r="U336">
            <v>0.69199999999999995</v>
          </cell>
          <cell r="V336">
            <v>0</v>
          </cell>
          <cell r="W336">
            <v>0</v>
          </cell>
          <cell r="X336">
            <v>0</v>
          </cell>
        </row>
        <row r="337">
          <cell r="Q337">
            <v>205</v>
          </cell>
          <cell r="R337">
            <v>0</v>
          </cell>
          <cell r="S337">
            <v>0</v>
          </cell>
          <cell r="T337">
            <v>0.308</v>
          </cell>
          <cell r="U337">
            <v>0.69199999999999995</v>
          </cell>
          <cell r="V337">
            <v>0</v>
          </cell>
          <cell r="W337">
            <v>0</v>
          </cell>
          <cell r="X337">
            <v>0</v>
          </cell>
        </row>
        <row r="338">
          <cell r="Q338">
            <v>204</v>
          </cell>
          <cell r="R338">
            <v>0</v>
          </cell>
          <cell r="S338">
            <v>0</v>
          </cell>
          <cell r="T338">
            <v>0.308</v>
          </cell>
          <cell r="U338">
            <v>0.69199999999999995</v>
          </cell>
          <cell r="V338">
            <v>0</v>
          </cell>
          <cell r="W338">
            <v>0</v>
          </cell>
          <cell r="X338">
            <v>0</v>
          </cell>
        </row>
        <row r="339">
          <cell r="Q339">
            <v>203</v>
          </cell>
          <cell r="R339">
            <v>0</v>
          </cell>
          <cell r="S339">
            <v>0</v>
          </cell>
          <cell r="T339">
            <v>0.308</v>
          </cell>
          <cell r="U339">
            <v>0.69199999999999995</v>
          </cell>
          <cell r="V339">
            <v>0</v>
          </cell>
          <cell r="W339">
            <v>0</v>
          </cell>
          <cell r="X339">
            <v>0</v>
          </cell>
        </row>
        <row r="340">
          <cell r="Q340">
            <v>202</v>
          </cell>
          <cell r="R340">
            <v>0</v>
          </cell>
          <cell r="S340">
            <v>0</v>
          </cell>
          <cell r="T340">
            <v>0.308</v>
          </cell>
          <cell r="U340">
            <v>0.69199999999999995</v>
          </cell>
          <cell r="V340">
            <v>0</v>
          </cell>
          <cell r="W340">
            <v>0</v>
          </cell>
          <cell r="X340">
            <v>0</v>
          </cell>
        </row>
        <row r="341">
          <cell r="Q341">
            <v>201</v>
          </cell>
          <cell r="R341">
            <v>0</v>
          </cell>
          <cell r="S341">
            <v>0</v>
          </cell>
          <cell r="T341">
            <v>0.308</v>
          </cell>
          <cell r="U341">
            <v>0.69199999999999995</v>
          </cell>
          <cell r="V341">
            <v>0</v>
          </cell>
          <cell r="W341">
            <v>0</v>
          </cell>
          <cell r="X341">
            <v>0</v>
          </cell>
        </row>
        <row r="342">
          <cell r="Q342">
            <v>200</v>
          </cell>
          <cell r="R342">
            <v>0</v>
          </cell>
          <cell r="S342">
            <v>0</v>
          </cell>
          <cell r="T342">
            <v>0.308</v>
          </cell>
          <cell r="U342">
            <v>0.69199999999999995</v>
          </cell>
          <cell r="V342">
            <v>0</v>
          </cell>
          <cell r="W342">
            <v>0</v>
          </cell>
          <cell r="X342">
            <v>0</v>
          </cell>
        </row>
        <row r="343">
          <cell r="Q343">
            <v>199</v>
          </cell>
          <cell r="R343">
            <v>0</v>
          </cell>
          <cell r="S343">
            <v>0</v>
          </cell>
          <cell r="T343">
            <v>0.308</v>
          </cell>
          <cell r="U343">
            <v>0.69199999999999995</v>
          </cell>
          <cell r="V343">
            <v>0</v>
          </cell>
          <cell r="W343">
            <v>0</v>
          </cell>
          <cell r="X343">
            <v>0</v>
          </cell>
        </row>
        <row r="344">
          <cell r="Q344">
            <v>198</v>
          </cell>
          <cell r="R344">
            <v>0</v>
          </cell>
          <cell r="S344">
            <v>0</v>
          </cell>
          <cell r="T344">
            <v>0.308</v>
          </cell>
          <cell r="U344">
            <v>0.69199999999999995</v>
          </cell>
          <cell r="V344">
            <v>0</v>
          </cell>
          <cell r="W344">
            <v>0</v>
          </cell>
          <cell r="X344">
            <v>0</v>
          </cell>
        </row>
        <row r="345">
          <cell r="Q345">
            <v>197</v>
          </cell>
          <cell r="R345">
            <v>0</v>
          </cell>
          <cell r="S345">
            <v>0</v>
          </cell>
          <cell r="T345">
            <v>0.308</v>
          </cell>
          <cell r="U345">
            <v>0.69199999999999995</v>
          </cell>
          <cell r="V345">
            <v>0</v>
          </cell>
          <cell r="W345">
            <v>0</v>
          </cell>
          <cell r="X345">
            <v>0</v>
          </cell>
        </row>
        <row r="346">
          <cell r="Q346">
            <v>196</v>
          </cell>
          <cell r="R346">
            <v>0</v>
          </cell>
          <cell r="S346">
            <v>0</v>
          </cell>
          <cell r="T346">
            <v>0.308</v>
          </cell>
          <cell r="U346">
            <v>0.69199999999999995</v>
          </cell>
          <cell r="V346">
            <v>0</v>
          </cell>
          <cell r="W346">
            <v>0</v>
          </cell>
          <cell r="X346">
            <v>0</v>
          </cell>
        </row>
        <row r="347">
          <cell r="Q347">
            <v>195</v>
          </cell>
          <cell r="R347">
            <v>0</v>
          </cell>
          <cell r="S347">
            <v>0</v>
          </cell>
          <cell r="T347">
            <v>0.308</v>
          </cell>
          <cell r="U347">
            <v>0.69199999999999995</v>
          </cell>
          <cell r="V347">
            <v>0</v>
          </cell>
          <cell r="W347">
            <v>0</v>
          </cell>
          <cell r="X347">
            <v>0</v>
          </cell>
        </row>
        <row r="348">
          <cell r="Q348">
            <v>194</v>
          </cell>
          <cell r="R348">
            <v>0</v>
          </cell>
          <cell r="S348">
            <v>0</v>
          </cell>
          <cell r="T348">
            <v>0.308</v>
          </cell>
          <cell r="U348">
            <v>0.69199999999999995</v>
          </cell>
          <cell r="V348">
            <v>0</v>
          </cell>
          <cell r="W348">
            <v>0</v>
          </cell>
          <cell r="X348">
            <v>0</v>
          </cell>
        </row>
        <row r="349">
          <cell r="Q349">
            <v>193</v>
          </cell>
          <cell r="R349">
            <v>0</v>
          </cell>
          <cell r="S349">
            <v>0</v>
          </cell>
          <cell r="T349">
            <v>0.308</v>
          </cell>
          <cell r="U349">
            <v>0.69199999999999995</v>
          </cell>
          <cell r="V349">
            <v>0</v>
          </cell>
          <cell r="W349">
            <v>0</v>
          </cell>
          <cell r="X349">
            <v>0</v>
          </cell>
        </row>
        <row r="350">
          <cell r="Q350">
            <v>192</v>
          </cell>
          <cell r="R350">
            <v>0</v>
          </cell>
          <cell r="S350">
            <v>0</v>
          </cell>
          <cell r="T350">
            <v>0.308</v>
          </cell>
          <cell r="U350">
            <v>0.69199999999999995</v>
          </cell>
          <cell r="V350">
            <v>0</v>
          </cell>
          <cell r="W350">
            <v>0</v>
          </cell>
          <cell r="X350">
            <v>0</v>
          </cell>
        </row>
        <row r="351">
          <cell r="Q351">
            <v>191</v>
          </cell>
          <cell r="R351">
            <v>0</v>
          </cell>
          <cell r="S351">
            <v>0</v>
          </cell>
          <cell r="T351">
            <v>0.308</v>
          </cell>
          <cell r="U351">
            <v>0.69199999999999995</v>
          </cell>
          <cell r="V351">
            <v>0</v>
          </cell>
          <cell r="W351">
            <v>0</v>
          </cell>
          <cell r="X351">
            <v>0</v>
          </cell>
        </row>
        <row r="352">
          <cell r="Q352">
            <v>190</v>
          </cell>
          <cell r="R352">
            <v>0</v>
          </cell>
          <cell r="S352">
            <v>0</v>
          </cell>
          <cell r="T352">
            <v>0.308</v>
          </cell>
          <cell r="U352">
            <v>0.69199999999999995</v>
          </cell>
          <cell r="V352">
            <v>0</v>
          </cell>
          <cell r="W352">
            <v>0</v>
          </cell>
          <cell r="X352">
            <v>0</v>
          </cell>
        </row>
        <row r="353">
          <cell r="Q353">
            <v>189</v>
          </cell>
          <cell r="R353">
            <v>0</v>
          </cell>
          <cell r="S353">
            <v>0</v>
          </cell>
          <cell r="T353">
            <v>0.308</v>
          </cell>
          <cell r="U353">
            <v>0.69199999999999995</v>
          </cell>
          <cell r="V353">
            <v>0</v>
          </cell>
          <cell r="W353">
            <v>0</v>
          </cell>
          <cell r="X353">
            <v>0</v>
          </cell>
        </row>
        <row r="354">
          <cell r="Q354">
            <v>188</v>
          </cell>
          <cell r="R354">
            <v>0</v>
          </cell>
          <cell r="S354">
            <v>0</v>
          </cell>
          <cell r="T354">
            <v>0.308</v>
          </cell>
          <cell r="U354">
            <v>0.69199999999999995</v>
          </cell>
          <cell r="V354">
            <v>0</v>
          </cell>
          <cell r="W354">
            <v>0</v>
          </cell>
          <cell r="X354">
            <v>0</v>
          </cell>
        </row>
        <row r="355">
          <cell r="Q355">
            <v>187</v>
          </cell>
          <cell r="R355">
            <v>0</v>
          </cell>
          <cell r="S355">
            <v>0</v>
          </cell>
          <cell r="T355">
            <v>0.308</v>
          </cell>
          <cell r="U355">
            <v>0.69199999999999995</v>
          </cell>
          <cell r="V355">
            <v>0</v>
          </cell>
          <cell r="W355">
            <v>0</v>
          </cell>
          <cell r="X355">
            <v>0</v>
          </cell>
        </row>
        <row r="356">
          <cell r="Q356">
            <v>186</v>
          </cell>
          <cell r="R356">
            <v>0</v>
          </cell>
          <cell r="S356">
            <v>0</v>
          </cell>
          <cell r="T356">
            <v>0.308</v>
          </cell>
          <cell r="U356">
            <v>0.69199999999999995</v>
          </cell>
          <cell r="V356">
            <v>0</v>
          </cell>
          <cell r="W356">
            <v>0</v>
          </cell>
          <cell r="X356">
            <v>0</v>
          </cell>
        </row>
        <row r="357">
          <cell r="Q357">
            <v>185</v>
          </cell>
          <cell r="R357">
            <v>0</v>
          </cell>
          <cell r="S357">
            <v>0</v>
          </cell>
          <cell r="T357">
            <v>0.308</v>
          </cell>
          <cell r="U357">
            <v>0.69199999999999995</v>
          </cell>
          <cell r="V357">
            <v>0</v>
          </cell>
          <cell r="W357">
            <v>0</v>
          </cell>
          <cell r="X357">
            <v>0</v>
          </cell>
        </row>
        <row r="358">
          <cell r="Q358">
            <v>184</v>
          </cell>
          <cell r="R358">
            <v>0</v>
          </cell>
          <cell r="S358">
            <v>0</v>
          </cell>
          <cell r="T358">
            <v>0.308</v>
          </cell>
          <cell r="U358">
            <v>0.69199999999999995</v>
          </cell>
          <cell r="V358">
            <v>0</v>
          </cell>
          <cell r="W358">
            <v>0</v>
          </cell>
          <cell r="X358">
            <v>0</v>
          </cell>
        </row>
        <row r="359">
          <cell r="Q359">
            <v>183</v>
          </cell>
          <cell r="R359">
            <v>0</v>
          </cell>
          <cell r="S359">
            <v>0</v>
          </cell>
          <cell r="T359">
            <v>0.308</v>
          </cell>
          <cell r="U359">
            <v>0.69199999999999995</v>
          </cell>
          <cell r="V359">
            <v>0</v>
          </cell>
          <cell r="W359">
            <v>0</v>
          </cell>
          <cell r="X359">
            <v>0</v>
          </cell>
        </row>
        <row r="360">
          <cell r="Q360">
            <v>182</v>
          </cell>
          <cell r="R360">
            <v>0</v>
          </cell>
          <cell r="S360">
            <v>0</v>
          </cell>
          <cell r="T360">
            <v>0.308</v>
          </cell>
          <cell r="U360">
            <v>0.69199999999999995</v>
          </cell>
          <cell r="V360">
            <v>0</v>
          </cell>
          <cell r="W360">
            <v>0</v>
          </cell>
          <cell r="X360">
            <v>0</v>
          </cell>
        </row>
        <row r="361">
          <cell r="Q361">
            <v>181</v>
          </cell>
          <cell r="R361">
            <v>0</v>
          </cell>
          <cell r="S361">
            <v>0</v>
          </cell>
          <cell r="T361">
            <v>0.308</v>
          </cell>
          <cell r="U361">
            <v>0.69199999999999995</v>
          </cell>
          <cell r="V361">
            <v>0</v>
          </cell>
          <cell r="W361">
            <v>0</v>
          </cell>
          <cell r="X361">
            <v>0</v>
          </cell>
        </row>
        <row r="362">
          <cell r="Q362">
            <v>180</v>
          </cell>
          <cell r="R362">
            <v>0</v>
          </cell>
          <cell r="S362">
            <v>0</v>
          </cell>
          <cell r="T362">
            <v>0.308</v>
          </cell>
          <cell r="U362">
            <v>0.69199999999999995</v>
          </cell>
          <cell r="V362">
            <v>0</v>
          </cell>
          <cell r="W362">
            <v>0</v>
          </cell>
          <cell r="X362">
            <v>0</v>
          </cell>
        </row>
        <row r="363">
          <cell r="Q363">
            <v>179</v>
          </cell>
          <cell r="R363">
            <v>0</v>
          </cell>
          <cell r="S363">
            <v>0</v>
          </cell>
          <cell r="T363">
            <v>0.31916666666666665</v>
          </cell>
          <cell r="U363">
            <v>0.68083333333333329</v>
          </cell>
          <cell r="V363">
            <v>0</v>
          </cell>
          <cell r="W363">
            <v>0</v>
          </cell>
          <cell r="X363">
            <v>0</v>
          </cell>
        </row>
        <row r="364">
          <cell r="Q364">
            <v>178</v>
          </cell>
          <cell r="R364">
            <v>0</v>
          </cell>
          <cell r="S364">
            <v>0</v>
          </cell>
          <cell r="T364">
            <v>0.33033333333333331</v>
          </cell>
          <cell r="U364">
            <v>0.66966666666666663</v>
          </cell>
          <cell r="V364">
            <v>0</v>
          </cell>
          <cell r="W364">
            <v>0</v>
          </cell>
          <cell r="X364">
            <v>0</v>
          </cell>
        </row>
        <row r="365">
          <cell r="Q365">
            <v>177</v>
          </cell>
          <cell r="R365">
            <v>0</v>
          </cell>
          <cell r="S365">
            <v>0</v>
          </cell>
          <cell r="T365">
            <v>0.34150000000000003</v>
          </cell>
          <cell r="U365">
            <v>0.65849999999999997</v>
          </cell>
          <cell r="V365">
            <v>0</v>
          </cell>
          <cell r="W365">
            <v>0</v>
          </cell>
          <cell r="X365">
            <v>0</v>
          </cell>
        </row>
        <row r="366">
          <cell r="Q366">
            <v>176</v>
          </cell>
          <cell r="R366">
            <v>0</v>
          </cell>
          <cell r="S366">
            <v>0</v>
          </cell>
          <cell r="T366">
            <v>0.35266666666666668</v>
          </cell>
          <cell r="U366">
            <v>0.64733333333333332</v>
          </cell>
          <cell r="V366">
            <v>0</v>
          </cell>
          <cell r="W366">
            <v>0</v>
          </cell>
          <cell r="X366">
            <v>0</v>
          </cell>
        </row>
        <row r="367">
          <cell r="Q367">
            <v>175</v>
          </cell>
          <cell r="R367">
            <v>0</v>
          </cell>
          <cell r="S367">
            <v>0</v>
          </cell>
          <cell r="T367">
            <v>0.36383333333333334</v>
          </cell>
          <cell r="U367">
            <v>0.63616666666666666</v>
          </cell>
          <cell r="V367">
            <v>0</v>
          </cell>
          <cell r="W367">
            <v>0</v>
          </cell>
          <cell r="X367">
            <v>0</v>
          </cell>
        </row>
        <row r="368">
          <cell r="Q368">
            <v>174</v>
          </cell>
          <cell r="R368">
            <v>0</v>
          </cell>
          <cell r="S368">
            <v>0</v>
          </cell>
          <cell r="T368">
            <v>0.375</v>
          </cell>
          <cell r="U368">
            <v>0.625</v>
          </cell>
          <cell r="V368">
            <v>0</v>
          </cell>
          <cell r="W368">
            <v>0</v>
          </cell>
          <cell r="X368">
            <v>0</v>
          </cell>
        </row>
        <row r="369">
          <cell r="Q369">
            <v>173</v>
          </cell>
          <cell r="R369">
            <v>0</v>
          </cell>
          <cell r="S369">
            <v>0</v>
          </cell>
          <cell r="T369">
            <v>0.38616666666666666</v>
          </cell>
          <cell r="U369">
            <v>0.61383333333333334</v>
          </cell>
          <cell r="V369">
            <v>0</v>
          </cell>
          <cell r="W369">
            <v>0</v>
          </cell>
          <cell r="X369">
            <v>0</v>
          </cell>
        </row>
        <row r="370">
          <cell r="Q370">
            <v>172</v>
          </cell>
          <cell r="R370">
            <v>0</v>
          </cell>
          <cell r="S370">
            <v>0</v>
          </cell>
          <cell r="T370">
            <v>0.39733333333333332</v>
          </cell>
          <cell r="U370">
            <v>0.60266666666666668</v>
          </cell>
          <cell r="V370">
            <v>0</v>
          </cell>
          <cell r="W370">
            <v>0</v>
          </cell>
          <cell r="X370">
            <v>0</v>
          </cell>
        </row>
        <row r="371">
          <cell r="Q371">
            <v>171</v>
          </cell>
          <cell r="R371">
            <v>0</v>
          </cell>
          <cell r="S371">
            <v>0</v>
          </cell>
          <cell r="T371">
            <v>0.40849999999999997</v>
          </cell>
          <cell r="U371">
            <v>0.59150000000000003</v>
          </cell>
          <cell r="V371">
            <v>0</v>
          </cell>
          <cell r="W371">
            <v>0</v>
          </cell>
          <cell r="X371">
            <v>0</v>
          </cell>
        </row>
        <row r="372">
          <cell r="Q372">
            <v>170</v>
          </cell>
          <cell r="R372">
            <v>0</v>
          </cell>
          <cell r="S372">
            <v>0</v>
          </cell>
          <cell r="T372">
            <v>0.41966666666666669</v>
          </cell>
          <cell r="U372">
            <v>0.58033333333333337</v>
          </cell>
          <cell r="V372">
            <v>0</v>
          </cell>
          <cell r="W372">
            <v>0</v>
          </cell>
          <cell r="X372">
            <v>0</v>
          </cell>
        </row>
        <row r="373">
          <cell r="Q373">
            <v>169</v>
          </cell>
          <cell r="R373">
            <v>0</v>
          </cell>
          <cell r="S373">
            <v>0</v>
          </cell>
          <cell r="T373">
            <v>0.43083333333333335</v>
          </cell>
          <cell r="U373">
            <v>0.56916666666666671</v>
          </cell>
          <cell r="V373">
            <v>0</v>
          </cell>
          <cell r="W373">
            <v>0</v>
          </cell>
          <cell r="X373">
            <v>0</v>
          </cell>
        </row>
        <row r="374">
          <cell r="Q374">
            <v>168</v>
          </cell>
          <cell r="R374">
            <v>0</v>
          </cell>
          <cell r="S374">
            <v>0</v>
          </cell>
          <cell r="T374">
            <v>0.442</v>
          </cell>
          <cell r="U374">
            <v>0.55800000000000005</v>
          </cell>
          <cell r="V374">
            <v>0</v>
          </cell>
          <cell r="W374">
            <v>0</v>
          </cell>
          <cell r="X374">
            <v>0</v>
          </cell>
        </row>
        <row r="375">
          <cell r="Q375">
            <v>167</v>
          </cell>
          <cell r="R375">
            <v>0</v>
          </cell>
          <cell r="S375">
            <v>1.0833333333333333E-3</v>
          </cell>
          <cell r="T375">
            <v>0.48025000000000001</v>
          </cell>
          <cell r="U375">
            <v>0.51866666666666672</v>
          </cell>
          <cell r="V375">
            <v>0</v>
          </cell>
          <cell r="W375">
            <v>0</v>
          </cell>
          <cell r="X375">
            <v>0</v>
          </cell>
        </row>
        <row r="376">
          <cell r="Q376">
            <v>166</v>
          </cell>
          <cell r="R376">
            <v>0</v>
          </cell>
          <cell r="S376">
            <v>2.1666666666666666E-3</v>
          </cell>
          <cell r="T376">
            <v>0.51849999999999996</v>
          </cell>
          <cell r="U376">
            <v>0.47933333333333339</v>
          </cell>
          <cell r="V376">
            <v>0</v>
          </cell>
          <cell r="W376">
            <v>0</v>
          </cell>
          <cell r="X376">
            <v>0</v>
          </cell>
        </row>
        <row r="377">
          <cell r="Q377">
            <v>165</v>
          </cell>
          <cell r="R377">
            <v>0</v>
          </cell>
          <cell r="S377">
            <v>3.2499999999999999E-3</v>
          </cell>
          <cell r="T377">
            <v>0.55674999999999997</v>
          </cell>
          <cell r="U377">
            <v>0.44000000000000006</v>
          </cell>
          <cell r="V377">
            <v>0</v>
          </cell>
          <cell r="W377">
            <v>0</v>
          </cell>
          <cell r="X377">
            <v>0</v>
          </cell>
        </row>
        <row r="378">
          <cell r="Q378">
            <v>164</v>
          </cell>
          <cell r="R378">
            <v>0</v>
          </cell>
          <cell r="S378">
            <v>4.3333333333333331E-3</v>
          </cell>
          <cell r="T378">
            <v>0.59499999999999997</v>
          </cell>
          <cell r="U378">
            <v>0.40066666666666673</v>
          </cell>
          <cell r="V378">
            <v>0</v>
          </cell>
          <cell r="W378">
            <v>0</v>
          </cell>
          <cell r="X378">
            <v>0</v>
          </cell>
        </row>
        <row r="379">
          <cell r="Q379">
            <v>163</v>
          </cell>
          <cell r="R379">
            <v>0</v>
          </cell>
          <cell r="S379">
            <v>5.4166666666666669E-3</v>
          </cell>
          <cell r="T379">
            <v>0.63324999999999998</v>
          </cell>
          <cell r="U379">
            <v>0.36133333333333334</v>
          </cell>
          <cell r="V379">
            <v>0</v>
          </cell>
          <cell r="W379">
            <v>0</v>
          </cell>
          <cell r="X379">
            <v>0</v>
          </cell>
        </row>
        <row r="380">
          <cell r="Q380">
            <v>162</v>
          </cell>
          <cell r="R380">
            <v>0</v>
          </cell>
          <cell r="S380">
            <v>6.4999999999999997E-3</v>
          </cell>
          <cell r="T380">
            <v>0.67149999999999999</v>
          </cell>
          <cell r="U380">
            <v>0.32200000000000001</v>
          </cell>
          <cell r="V380">
            <v>0</v>
          </cell>
          <cell r="W380">
            <v>0</v>
          </cell>
          <cell r="X380">
            <v>0</v>
          </cell>
        </row>
        <row r="381">
          <cell r="Q381">
            <v>161</v>
          </cell>
          <cell r="R381">
            <v>0</v>
          </cell>
          <cell r="S381">
            <v>7.5833333333333326E-3</v>
          </cell>
          <cell r="T381">
            <v>0.70974999999999999</v>
          </cell>
          <cell r="U381">
            <v>0.28266666666666668</v>
          </cell>
          <cell r="V381">
            <v>0</v>
          </cell>
          <cell r="W381">
            <v>0</v>
          </cell>
          <cell r="X381">
            <v>0</v>
          </cell>
        </row>
        <row r="382">
          <cell r="Q382">
            <v>160</v>
          </cell>
          <cell r="R382">
            <v>0</v>
          </cell>
          <cell r="S382">
            <v>8.6666666666666663E-3</v>
          </cell>
          <cell r="T382">
            <v>0.748</v>
          </cell>
          <cell r="U382">
            <v>0.24333333333333335</v>
          </cell>
          <cell r="V382">
            <v>0</v>
          </cell>
          <cell r="W382">
            <v>0</v>
          </cell>
          <cell r="X382">
            <v>0</v>
          </cell>
        </row>
        <row r="383">
          <cell r="Q383">
            <v>159</v>
          </cell>
          <cell r="R383">
            <v>0</v>
          </cell>
          <cell r="S383">
            <v>9.75E-3</v>
          </cell>
          <cell r="T383">
            <v>0.78625</v>
          </cell>
          <cell r="U383">
            <v>0.20400000000000001</v>
          </cell>
          <cell r="V383">
            <v>0</v>
          </cell>
          <cell r="W383">
            <v>0</v>
          </cell>
          <cell r="X383">
            <v>0</v>
          </cell>
        </row>
        <row r="384">
          <cell r="Q384">
            <v>158</v>
          </cell>
          <cell r="R384">
            <v>0</v>
          </cell>
          <cell r="S384">
            <v>1.0833333333333334E-2</v>
          </cell>
          <cell r="T384">
            <v>0.82450000000000001</v>
          </cell>
          <cell r="U384">
            <v>0.16466666666666668</v>
          </cell>
          <cell r="V384">
            <v>0</v>
          </cell>
          <cell r="W384">
            <v>0</v>
          </cell>
          <cell r="X384">
            <v>0</v>
          </cell>
        </row>
        <row r="385">
          <cell r="Q385">
            <v>157</v>
          </cell>
          <cell r="R385">
            <v>0</v>
          </cell>
          <cell r="S385">
            <v>1.1916666666666666E-2</v>
          </cell>
          <cell r="T385">
            <v>0.86275000000000002</v>
          </cell>
          <cell r="U385">
            <v>0.12533333333333335</v>
          </cell>
          <cell r="V385">
            <v>0</v>
          </cell>
          <cell r="W385">
            <v>0</v>
          </cell>
          <cell r="X385">
            <v>0</v>
          </cell>
        </row>
        <row r="386">
          <cell r="Q386">
            <v>156</v>
          </cell>
          <cell r="R386">
            <v>0</v>
          </cell>
          <cell r="S386">
            <v>1.2999999999999999E-2</v>
          </cell>
          <cell r="T386">
            <v>0.90100000000000002</v>
          </cell>
          <cell r="U386">
            <v>8.6000000000000007E-2</v>
          </cell>
          <cell r="V386">
            <v>0</v>
          </cell>
          <cell r="W386">
            <v>0</v>
          </cell>
          <cell r="X386">
            <v>0</v>
          </cell>
        </row>
        <row r="387">
          <cell r="Q387">
            <v>155</v>
          </cell>
          <cell r="R387">
            <v>0</v>
          </cell>
          <cell r="S387">
            <v>2.0250000000000001E-2</v>
          </cell>
          <cell r="T387">
            <v>0.9009166666666667</v>
          </cell>
          <cell r="U387">
            <v>7.8833333333333339E-2</v>
          </cell>
          <cell r="V387">
            <v>0</v>
          </cell>
          <cell r="W387">
            <v>0</v>
          </cell>
          <cell r="X387">
            <v>0</v>
          </cell>
        </row>
        <row r="388">
          <cell r="Q388">
            <v>154</v>
          </cell>
          <cell r="R388">
            <v>0</v>
          </cell>
          <cell r="S388">
            <v>2.75E-2</v>
          </cell>
          <cell r="T388">
            <v>0.90083333333333337</v>
          </cell>
          <cell r="U388">
            <v>7.166666666666667E-2</v>
          </cell>
          <cell r="V388">
            <v>0</v>
          </cell>
          <cell r="W388">
            <v>0</v>
          </cell>
          <cell r="X388">
            <v>0</v>
          </cell>
        </row>
        <row r="389">
          <cell r="Q389">
            <v>153</v>
          </cell>
          <cell r="R389">
            <v>0</v>
          </cell>
          <cell r="S389">
            <v>3.4750000000000003E-2</v>
          </cell>
          <cell r="T389">
            <v>0.90075000000000005</v>
          </cell>
          <cell r="U389">
            <v>6.4500000000000002E-2</v>
          </cell>
          <cell r="V389">
            <v>0</v>
          </cell>
          <cell r="W389">
            <v>0</v>
          </cell>
          <cell r="X389">
            <v>0</v>
          </cell>
        </row>
        <row r="390">
          <cell r="Q390">
            <v>152</v>
          </cell>
          <cell r="R390">
            <v>0</v>
          </cell>
          <cell r="S390">
            <v>4.2000000000000003E-2</v>
          </cell>
          <cell r="T390">
            <v>0.90066666666666673</v>
          </cell>
          <cell r="U390">
            <v>5.733333333333334E-2</v>
          </cell>
          <cell r="V390">
            <v>0</v>
          </cell>
          <cell r="W390">
            <v>0</v>
          </cell>
          <cell r="X390">
            <v>0</v>
          </cell>
        </row>
        <row r="391">
          <cell r="Q391">
            <v>151</v>
          </cell>
          <cell r="R391">
            <v>0</v>
          </cell>
          <cell r="S391">
            <v>4.9250000000000002E-2</v>
          </cell>
          <cell r="T391">
            <v>0.9005833333333334</v>
          </cell>
          <cell r="U391">
            <v>5.0166666666666672E-2</v>
          </cell>
          <cell r="V391">
            <v>0</v>
          </cell>
          <cell r="W391">
            <v>0</v>
          </cell>
          <cell r="X391">
            <v>0</v>
          </cell>
        </row>
        <row r="392">
          <cell r="Q392">
            <v>150</v>
          </cell>
          <cell r="R392">
            <v>0</v>
          </cell>
          <cell r="S392">
            <v>5.6500000000000002E-2</v>
          </cell>
          <cell r="T392">
            <v>0.90050000000000008</v>
          </cell>
          <cell r="U392">
            <v>4.3000000000000003E-2</v>
          </cell>
          <cell r="V392">
            <v>0</v>
          </cell>
          <cell r="W392">
            <v>0</v>
          </cell>
          <cell r="X392">
            <v>0</v>
          </cell>
        </row>
        <row r="393">
          <cell r="Q393">
            <v>149</v>
          </cell>
          <cell r="R393">
            <v>0</v>
          </cell>
          <cell r="S393">
            <v>6.3750000000000001E-2</v>
          </cell>
          <cell r="T393">
            <v>0.90041666666666664</v>
          </cell>
          <cell r="U393">
            <v>3.5833333333333335E-2</v>
          </cell>
          <cell r="V393">
            <v>0</v>
          </cell>
          <cell r="W393">
            <v>0</v>
          </cell>
          <cell r="X393">
            <v>0</v>
          </cell>
        </row>
        <row r="394">
          <cell r="Q394">
            <v>148</v>
          </cell>
          <cell r="R394">
            <v>0</v>
          </cell>
          <cell r="S394">
            <v>7.1000000000000008E-2</v>
          </cell>
          <cell r="T394">
            <v>0.90033333333333332</v>
          </cell>
          <cell r="U394">
            <v>2.866666666666667E-2</v>
          </cell>
          <cell r="V394">
            <v>0</v>
          </cell>
          <cell r="W394">
            <v>0</v>
          </cell>
          <cell r="X394">
            <v>0</v>
          </cell>
        </row>
        <row r="395">
          <cell r="Q395">
            <v>147</v>
          </cell>
          <cell r="R395">
            <v>0</v>
          </cell>
          <cell r="S395">
            <v>7.825E-2</v>
          </cell>
          <cell r="T395">
            <v>0.90024999999999999</v>
          </cell>
          <cell r="U395">
            <v>2.1500000000000002E-2</v>
          </cell>
          <cell r="V395">
            <v>0</v>
          </cell>
          <cell r="W395">
            <v>0</v>
          </cell>
          <cell r="X395">
            <v>0</v>
          </cell>
        </row>
        <row r="396">
          <cell r="Q396">
            <v>146</v>
          </cell>
          <cell r="R396">
            <v>0</v>
          </cell>
          <cell r="S396">
            <v>8.5500000000000007E-2</v>
          </cell>
          <cell r="T396">
            <v>0.90016666666666667</v>
          </cell>
          <cell r="U396">
            <v>1.4333333333333335E-2</v>
          </cell>
          <cell r="V396">
            <v>0</v>
          </cell>
          <cell r="W396">
            <v>0</v>
          </cell>
          <cell r="X396">
            <v>0</v>
          </cell>
        </row>
        <row r="397">
          <cell r="Q397">
            <v>145</v>
          </cell>
          <cell r="R397">
            <v>0</v>
          </cell>
          <cell r="S397">
            <v>9.2749999999999999E-2</v>
          </cell>
          <cell r="T397">
            <v>0.90008333333333335</v>
          </cell>
          <cell r="U397">
            <v>7.1666666666666675E-3</v>
          </cell>
          <cell r="V397">
            <v>0</v>
          </cell>
          <cell r="W397">
            <v>0</v>
          </cell>
          <cell r="X397">
            <v>0</v>
          </cell>
        </row>
        <row r="398">
          <cell r="Q398">
            <v>144</v>
          </cell>
          <cell r="R398">
            <v>0</v>
          </cell>
          <cell r="S398">
            <v>0.1</v>
          </cell>
          <cell r="T398">
            <v>0.9</v>
          </cell>
          <cell r="U398">
            <v>0</v>
          </cell>
          <cell r="V398">
            <v>0</v>
          </cell>
          <cell r="W398">
            <v>0</v>
          </cell>
          <cell r="X398">
            <v>0</v>
          </cell>
        </row>
        <row r="399">
          <cell r="Q399">
            <v>143</v>
          </cell>
          <cell r="R399">
            <v>0</v>
          </cell>
          <cell r="S399">
            <v>0.10783333333333334</v>
          </cell>
          <cell r="T399">
            <v>0.89216666666666666</v>
          </cell>
          <cell r="U399">
            <v>0</v>
          </cell>
          <cell r="V399">
            <v>0</v>
          </cell>
          <cell r="W399">
            <v>0</v>
          </cell>
          <cell r="X399">
            <v>0</v>
          </cell>
        </row>
        <row r="400">
          <cell r="Q400">
            <v>142</v>
          </cell>
          <cell r="R400">
            <v>0</v>
          </cell>
          <cell r="S400">
            <v>0.11566666666666667</v>
          </cell>
          <cell r="T400">
            <v>0.88433333333333342</v>
          </cell>
          <cell r="U400">
            <v>0</v>
          </cell>
          <cell r="V400">
            <v>0</v>
          </cell>
          <cell r="W400">
            <v>0</v>
          </cell>
          <cell r="X400">
            <v>0</v>
          </cell>
        </row>
        <row r="401">
          <cell r="Q401">
            <v>141</v>
          </cell>
          <cell r="R401">
            <v>0</v>
          </cell>
          <cell r="S401">
            <v>0.1235</v>
          </cell>
          <cell r="T401">
            <v>0.87650000000000006</v>
          </cell>
          <cell r="U401">
            <v>0</v>
          </cell>
          <cell r="V401">
            <v>0</v>
          </cell>
          <cell r="W401">
            <v>0</v>
          </cell>
          <cell r="X401">
            <v>0</v>
          </cell>
        </row>
        <row r="402">
          <cell r="Q402">
            <v>140</v>
          </cell>
          <cell r="R402">
            <v>0</v>
          </cell>
          <cell r="S402">
            <v>0.13133333333333333</v>
          </cell>
          <cell r="T402">
            <v>0.8686666666666667</v>
          </cell>
          <cell r="U402">
            <v>0</v>
          </cell>
          <cell r="V402">
            <v>0</v>
          </cell>
          <cell r="W402">
            <v>0</v>
          </cell>
          <cell r="X402">
            <v>0</v>
          </cell>
        </row>
        <row r="403">
          <cell r="Q403">
            <v>139</v>
          </cell>
          <cell r="R403">
            <v>0</v>
          </cell>
          <cell r="S403">
            <v>0.13916666666666666</v>
          </cell>
          <cell r="T403">
            <v>0.86083333333333334</v>
          </cell>
          <cell r="U403">
            <v>0</v>
          </cell>
          <cell r="V403">
            <v>0</v>
          </cell>
          <cell r="W403">
            <v>0</v>
          </cell>
          <cell r="X403">
            <v>0</v>
          </cell>
        </row>
        <row r="404">
          <cell r="Q404">
            <v>138</v>
          </cell>
          <cell r="R404">
            <v>0</v>
          </cell>
          <cell r="S404">
            <v>0.14700000000000002</v>
          </cell>
          <cell r="T404">
            <v>0.85299999999999998</v>
          </cell>
          <cell r="U404">
            <v>0</v>
          </cell>
          <cell r="V404">
            <v>0</v>
          </cell>
          <cell r="W404">
            <v>0</v>
          </cell>
          <cell r="X404">
            <v>0</v>
          </cell>
        </row>
        <row r="405">
          <cell r="Q405">
            <v>137</v>
          </cell>
          <cell r="R405">
            <v>0</v>
          </cell>
          <cell r="S405">
            <v>0.15483333333333335</v>
          </cell>
          <cell r="T405">
            <v>0.84516666666666673</v>
          </cell>
          <cell r="U405">
            <v>0</v>
          </cell>
          <cell r="V405">
            <v>0</v>
          </cell>
          <cell r="W405">
            <v>0</v>
          </cell>
          <cell r="X405">
            <v>0</v>
          </cell>
        </row>
        <row r="406">
          <cell r="Q406">
            <v>136</v>
          </cell>
          <cell r="R406">
            <v>0</v>
          </cell>
          <cell r="S406">
            <v>0.16266666666666668</v>
          </cell>
          <cell r="T406">
            <v>0.83733333333333337</v>
          </cell>
          <cell r="U406">
            <v>0</v>
          </cell>
          <cell r="V406">
            <v>0</v>
          </cell>
          <cell r="W406">
            <v>0</v>
          </cell>
          <cell r="X406">
            <v>0</v>
          </cell>
        </row>
        <row r="407">
          <cell r="Q407">
            <v>135</v>
          </cell>
          <cell r="R407">
            <v>0</v>
          </cell>
          <cell r="S407">
            <v>0.17050000000000001</v>
          </cell>
          <cell r="T407">
            <v>0.82950000000000002</v>
          </cell>
          <cell r="U407">
            <v>0</v>
          </cell>
          <cell r="V407">
            <v>0</v>
          </cell>
          <cell r="W407">
            <v>0</v>
          </cell>
          <cell r="X407">
            <v>0</v>
          </cell>
        </row>
        <row r="408">
          <cell r="Q408">
            <v>134</v>
          </cell>
          <cell r="R408">
            <v>0</v>
          </cell>
          <cell r="S408">
            <v>0.17833333333333334</v>
          </cell>
          <cell r="T408">
            <v>0.82166666666666677</v>
          </cell>
          <cell r="U408">
            <v>0</v>
          </cell>
          <cell r="V408">
            <v>0</v>
          </cell>
          <cell r="W408">
            <v>0</v>
          </cell>
          <cell r="X408">
            <v>0</v>
          </cell>
        </row>
        <row r="409">
          <cell r="Q409">
            <v>133</v>
          </cell>
          <cell r="R409">
            <v>0</v>
          </cell>
          <cell r="S409">
            <v>0.18616666666666667</v>
          </cell>
          <cell r="T409">
            <v>0.81383333333333341</v>
          </cell>
          <cell r="U409">
            <v>0</v>
          </cell>
          <cell r="V409">
            <v>0</v>
          </cell>
          <cell r="W409">
            <v>0</v>
          </cell>
          <cell r="X409">
            <v>0</v>
          </cell>
        </row>
        <row r="410">
          <cell r="Q410">
            <v>132</v>
          </cell>
          <cell r="R410">
            <v>0</v>
          </cell>
          <cell r="S410">
            <v>0.19400000000000001</v>
          </cell>
          <cell r="T410">
            <v>0.80600000000000005</v>
          </cell>
          <cell r="U410">
            <v>0</v>
          </cell>
          <cell r="V410">
            <v>0</v>
          </cell>
          <cell r="W410">
            <v>0</v>
          </cell>
          <cell r="X410">
            <v>0</v>
          </cell>
        </row>
        <row r="411">
          <cell r="Q411">
            <v>131</v>
          </cell>
          <cell r="R411">
            <v>1.25E-3</v>
          </cell>
          <cell r="S411">
            <v>0.2</v>
          </cell>
          <cell r="T411">
            <v>0.79875000000000007</v>
          </cell>
          <cell r="U411">
            <v>0</v>
          </cell>
          <cell r="V411">
            <v>0</v>
          </cell>
          <cell r="W411">
            <v>0</v>
          </cell>
          <cell r="X411">
            <v>0</v>
          </cell>
        </row>
        <row r="412">
          <cell r="Q412">
            <v>130</v>
          </cell>
          <cell r="R412">
            <v>2.5000000000000001E-3</v>
          </cell>
          <cell r="S412">
            <v>0.20600000000000002</v>
          </cell>
          <cell r="T412">
            <v>0.79150000000000009</v>
          </cell>
          <cell r="U412">
            <v>0</v>
          </cell>
          <cell r="V412">
            <v>0</v>
          </cell>
          <cell r="W412">
            <v>0</v>
          </cell>
          <cell r="X412">
            <v>0</v>
          </cell>
        </row>
        <row r="413">
          <cell r="Q413">
            <v>129</v>
          </cell>
          <cell r="R413">
            <v>3.7499999999999999E-3</v>
          </cell>
          <cell r="S413">
            <v>0.21200000000000002</v>
          </cell>
          <cell r="T413">
            <v>0.78425</v>
          </cell>
          <cell r="U413">
            <v>0</v>
          </cell>
          <cell r="V413">
            <v>0</v>
          </cell>
          <cell r="W413">
            <v>0</v>
          </cell>
          <cell r="X413">
            <v>0</v>
          </cell>
        </row>
        <row r="414">
          <cell r="Q414">
            <v>128</v>
          </cell>
          <cell r="R414">
            <v>5.0000000000000001E-3</v>
          </cell>
          <cell r="S414">
            <v>0.218</v>
          </cell>
          <cell r="T414">
            <v>0.77700000000000002</v>
          </cell>
          <cell r="U414">
            <v>0</v>
          </cell>
          <cell r="V414">
            <v>0</v>
          </cell>
          <cell r="W414">
            <v>0</v>
          </cell>
          <cell r="X414">
            <v>0</v>
          </cell>
        </row>
        <row r="415">
          <cell r="Q415">
            <v>127</v>
          </cell>
          <cell r="R415">
            <v>6.2499999999999995E-3</v>
          </cell>
          <cell r="S415">
            <v>0.224</v>
          </cell>
          <cell r="T415">
            <v>0.76975000000000005</v>
          </cell>
          <cell r="U415">
            <v>0</v>
          </cell>
          <cell r="V415">
            <v>0</v>
          </cell>
          <cell r="W415">
            <v>0</v>
          </cell>
          <cell r="X415">
            <v>0</v>
          </cell>
        </row>
        <row r="416">
          <cell r="Q416">
            <v>126</v>
          </cell>
          <cell r="R416">
            <v>7.4999999999999997E-3</v>
          </cell>
          <cell r="S416">
            <v>0.23</v>
          </cell>
          <cell r="T416">
            <v>0.76249999999999996</v>
          </cell>
          <cell r="U416">
            <v>0</v>
          </cell>
          <cell r="V416">
            <v>0</v>
          </cell>
          <cell r="W416">
            <v>0</v>
          </cell>
          <cell r="X416">
            <v>0</v>
          </cell>
        </row>
        <row r="417">
          <cell r="Q417">
            <v>125</v>
          </cell>
          <cell r="R417">
            <v>8.7499999999999991E-3</v>
          </cell>
          <cell r="S417">
            <v>0.23600000000000002</v>
          </cell>
          <cell r="T417">
            <v>0.75524999999999998</v>
          </cell>
          <cell r="U417">
            <v>0</v>
          </cell>
          <cell r="V417">
            <v>0</v>
          </cell>
          <cell r="W417">
            <v>0</v>
          </cell>
          <cell r="X417">
            <v>0</v>
          </cell>
        </row>
        <row r="418">
          <cell r="Q418">
            <v>124</v>
          </cell>
          <cell r="R418">
            <v>0.01</v>
          </cell>
          <cell r="S418">
            <v>0.24200000000000002</v>
          </cell>
          <cell r="T418">
            <v>0.748</v>
          </cell>
          <cell r="U418">
            <v>0</v>
          </cell>
          <cell r="V418">
            <v>0</v>
          </cell>
          <cell r="W418">
            <v>0</v>
          </cell>
          <cell r="X418">
            <v>0</v>
          </cell>
        </row>
        <row r="419">
          <cell r="Q419">
            <v>123</v>
          </cell>
          <cell r="R419">
            <v>1.125E-2</v>
          </cell>
          <cell r="S419">
            <v>0.248</v>
          </cell>
          <cell r="T419">
            <v>0.74075000000000002</v>
          </cell>
          <cell r="U419">
            <v>0</v>
          </cell>
          <cell r="V419">
            <v>0</v>
          </cell>
          <cell r="W419">
            <v>0</v>
          </cell>
          <cell r="X419">
            <v>0</v>
          </cell>
        </row>
        <row r="420">
          <cell r="Q420">
            <v>122</v>
          </cell>
          <cell r="R420">
            <v>1.2499999999999999E-2</v>
          </cell>
          <cell r="S420">
            <v>0.254</v>
          </cell>
          <cell r="T420">
            <v>0.73350000000000004</v>
          </cell>
          <cell r="U420">
            <v>0</v>
          </cell>
          <cell r="V420">
            <v>0</v>
          </cell>
          <cell r="W420">
            <v>0</v>
          </cell>
          <cell r="X420">
            <v>0</v>
          </cell>
        </row>
        <row r="421">
          <cell r="Q421">
            <v>121</v>
          </cell>
          <cell r="R421">
            <v>1.375E-2</v>
          </cell>
          <cell r="S421">
            <v>0.26</v>
          </cell>
          <cell r="T421">
            <v>0.72624999999999995</v>
          </cell>
          <cell r="U421">
            <v>0</v>
          </cell>
          <cell r="V421">
            <v>0</v>
          </cell>
          <cell r="W421">
            <v>0</v>
          </cell>
          <cell r="X421">
            <v>0</v>
          </cell>
        </row>
        <row r="422">
          <cell r="Q422">
            <v>120</v>
          </cell>
          <cell r="R422">
            <v>1.4999999999999999E-2</v>
          </cell>
          <cell r="S422">
            <v>0.26600000000000001</v>
          </cell>
          <cell r="T422">
            <v>0.71899999999999997</v>
          </cell>
          <cell r="U422">
            <v>0</v>
          </cell>
          <cell r="V422">
            <v>0</v>
          </cell>
          <cell r="W422">
            <v>0</v>
          </cell>
          <cell r="X422">
            <v>0</v>
          </cell>
        </row>
        <row r="423">
          <cell r="Q423">
            <v>119</v>
          </cell>
          <cell r="R423">
            <v>1.6083333333333331E-2</v>
          </cell>
          <cell r="S423">
            <v>0.27074999999999999</v>
          </cell>
          <cell r="T423">
            <v>0.71316666666666662</v>
          </cell>
          <cell r="U423">
            <v>0</v>
          </cell>
          <cell r="V423">
            <v>0</v>
          </cell>
          <cell r="W423">
            <v>0</v>
          </cell>
          <cell r="X423">
            <v>0</v>
          </cell>
        </row>
        <row r="424">
          <cell r="Q424">
            <v>118</v>
          </cell>
          <cell r="R424">
            <v>1.7166666666666667E-2</v>
          </cell>
          <cell r="S424">
            <v>0.27550000000000002</v>
          </cell>
          <cell r="T424">
            <v>0.70733333333333337</v>
          </cell>
          <cell r="U424">
            <v>0</v>
          </cell>
          <cell r="V424">
            <v>0</v>
          </cell>
          <cell r="W424">
            <v>0</v>
          </cell>
          <cell r="X424">
            <v>0</v>
          </cell>
        </row>
        <row r="425">
          <cell r="Q425">
            <v>117</v>
          </cell>
          <cell r="R425">
            <v>1.8249999999999999E-2</v>
          </cell>
          <cell r="S425">
            <v>0.28025</v>
          </cell>
          <cell r="T425">
            <v>0.70150000000000001</v>
          </cell>
          <cell r="U425">
            <v>0</v>
          </cell>
          <cell r="V425">
            <v>0</v>
          </cell>
          <cell r="W425">
            <v>0</v>
          </cell>
          <cell r="X425">
            <v>0</v>
          </cell>
        </row>
        <row r="426">
          <cell r="Q426">
            <v>116</v>
          </cell>
          <cell r="R426">
            <v>1.9333333333333334E-2</v>
          </cell>
          <cell r="S426">
            <v>0.28500000000000003</v>
          </cell>
          <cell r="T426">
            <v>0.69566666666666666</v>
          </cell>
          <cell r="U426">
            <v>0</v>
          </cell>
          <cell r="V426">
            <v>0</v>
          </cell>
          <cell r="W426">
            <v>0</v>
          </cell>
          <cell r="X426">
            <v>0</v>
          </cell>
        </row>
        <row r="427">
          <cell r="Q427">
            <v>115</v>
          </cell>
          <cell r="R427">
            <v>2.0416666666666666E-2</v>
          </cell>
          <cell r="S427">
            <v>0.28975000000000001</v>
          </cell>
          <cell r="T427">
            <v>0.6898333333333333</v>
          </cell>
          <cell r="U427">
            <v>0</v>
          </cell>
          <cell r="V427">
            <v>0</v>
          </cell>
          <cell r="W427">
            <v>0</v>
          </cell>
          <cell r="X427">
            <v>0</v>
          </cell>
        </row>
        <row r="428">
          <cell r="Q428">
            <v>114</v>
          </cell>
          <cell r="R428">
            <v>2.1499999999999998E-2</v>
          </cell>
          <cell r="S428">
            <v>0.29449999999999998</v>
          </cell>
          <cell r="T428">
            <v>0.68399999999999994</v>
          </cell>
          <cell r="U428">
            <v>0</v>
          </cell>
          <cell r="V428">
            <v>0</v>
          </cell>
          <cell r="W428">
            <v>0</v>
          </cell>
          <cell r="X428">
            <v>0</v>
          </cell>
        </row>
        <row r="429">
          <cell r="Q429">
            <v>113</v>
          </cell>
          <cell r="R429">
            <v>2.2583333333333334E-2</v>
          </cell>
          <cell r="S429">
            <v>0.29925000000000002</v>
          </cell>
          <cell r="T429">
            <v>0.6781666666666667</v>
          </cell>
          <cell r="U429">
            <v>0</v>
          </cell>
          <cell r="V429">
            <v>0</v>
          </cell>
          <cell r="W429">
            <v>0</v>
          </cell>
          <cell r="X429">
            <v>0</v>
          </cell>
        </row>
        <row r="430">
          <cell r="Q430">
            <v>112</v>
          </cell>
          <cell r="R430">
            <v>2.3666666666666666E-2</v>
          </cell>
          <cell r="S430">
            <v>0.30399999999999999</v>
          </cell>
          <cell r="T430">
            <v>0.67233333333333334</v>
          </cell>
          <cell r="U430">
            <v>0</v>
          </cell>
          <cell r="V430">
            <v>0</v>
          </cell>
          <cell r="W430">
            <v>0</v>
          </cell>
          <cell r="X430">
            <v>0</v>
          </cell>
        </row>
        <row r="431">
          <cell r="Q431">
            <v>111</v>
          </cell>
          <cell r="R431">
            <v>2.4750000000000001E-2</v>
          </cell>
          <cell r="S431">
            <v>0.30875000000000002</v>
          </cell>
          <cell r="T431">
            <v>0.66649999999999998</v>
          </cell>
          <cell r="U431">
            <v>0</v>
          </cell>
          <cell r="V431">
            <v>0</v>
          </cell>
          <cell r="W431">
            <v>0</v>
          </cell>
          <cell r="X431">
            <v>0</v>
          </cell>
        </row>
        <row r="432">
          <cell r="Q432">
            <v>110</v>
          </cell>
          <cell r="R432">
            <v>2.5833333333333333E-2</v>
          </cell>
          <cell r="S432">
            <v>0.3135</v>
          </cell>
          <cell r="T432">
            <v>0.66066666666666674</v>
          </cell>
          <cell r="U432">
            <v>0</v>
          </cell>
          <cell r="V432">
            <v>0</v>
          </cell>
          <cell r="W432">
            <v>0</v>
          </cell>
          <cell r="X432">
            <v>0</v>
          </cell>
        </row>
        <row r="433">
          <cell r="Q433">
            <v>109</v>
          </cell>
          <cell r="R433">
            <v>2.6916666666666669E-2</v>
          </cell>
          <cell r="S433">
            <v>0.31825000000000003</v>
          </cell>
          <cell r="T433">
            <v>0.65483333333333338</v>
          </cell>
          <cell r="U433">
            <v>0</v>
          </cell>
          <cell r="V433">
            <v>0</v>
          </cell>
          <cell r="W433">
            <v>0</v>
          </cell>
          <cell r="X433">
            <v>0</v>
          </cell>
        </row>
        <row r="434">
          <cell r="Q434">
            <v>108</v>
          </cell>
          <cell r="R434">
            <v>2.8000000000000001E-2</v>
          </cell>
          <cell r="S434">
            <v>0.32300000000000001</v>
          </cell>
          <cell r="T434">
            <v>0.64900000000000002</v>
          </cell>
          <cell r="U434">
            <v>0</v>
          </cell>
          <cell r="V434">
            <v>0</v>
          </cell>
          <cell r="W434">
            <v>0</v>
          </cell>
          <cell r="X434">
            <v>0</v>
          </cell>
        </row>
        <row r="435">
          <cell r="Q435">
            <v>107</v>
          </cell>
          <cell r="R435">
            <v>2.9500000000000002E-2</v>
          </cell>
          <cell r="S435">
            <v>0.32650000000000001</v>
          </cell>
          <cell r="T435">
            <v>0.64400000000000002</v>
          </cell>
          <cell r="U435">
            <v>0</v>
          </cell>
          <cell r="V435">
            <v>0</v>
          </cell>
          <cell r="W435">
            <v>0</v>
          </cell>
          <cell r="X435">
            <v>0</v>
          </cell>
        </row>
        <row r="436">
          <cell r="Q436">
            <v>106</v>
          </cell>
          <cell r="R436">
            <v>3.1E-2</v>
          </cell>
          <cell r="S436">
            <v>0.33</v>
          </cell>
          <cell r="T436">
            <v>0.63900000000000001</v>
          </cell>
          <cell r="U436">
            <v>0</v>
          </cell>
          <cell r="V436">
            <v>0</v>
          </cell>
          <cell r="W436">
            <v>0</v>
          </cell>
          <cell r="X436">
            <v>0</v>
          </cell>
        </row>
        <row r="437">
          <cell r="Q437">
            <v>105</v>
          </cell>
          <cell r="R437">
            <v>3.2500000000000001E-2</v>
          </cell>
          <cell r="S437">
            <v>0.33350000000000002</v>
          </cell>
          <cell r="T437">
            <v>0.63400000000000001</v>
          </cell>
          <cell r="U437">
            <v>0</v>
          </cell>
          <cell r="V437">
            <v>0</v>
          </cell>
          <cell r="W437">
            <v>0</v>
          </cell>
          <cell r="X437">
            <v>0</v>
          </cell>
        </row>
        <row r="438">
          <cell r="Q438">
            <v>104</v>
          </cell>
          <cell r="R438">
            <v>3.4000000000000002E-2</v>
          </cell>
          <cell r="S438">
            <v>0.33700000000000002</v>
          </cell>
          <cell r="T438">
            <v>0.629</v>
          </cell>
          <cell r="U438">
            <v>0</v>
          </cell>
          <cell r="V438">
            <v>0</v>
          </cell>
          <cell r="W438">
            <v>0</v>
          </cell>
          <cell r="X438">
            <v>0</v>
          </cell>
        </row>
        <row r="439">
          <cell r="Q439">
            <v>103</v>
          </cell>
          <cell r="R439">
            <v>3.5499999999999997E-2</v>
          </cell>
          <cell r="S439">
            <v>0.34050000000000002</v>
          </cell>
          <cell r="T439">
            <v>0.624</v>
          </cell>
          <cell r="U439">
            <v>0</v>
          </cell>
          <cell r="V439">
            <v>0</v>
          </cell>
          <cell r="W439">
            <v>0</v>
          </cell>
          <cell r="X439">
            <v>0</v>
          </cell>
        </row>
        <row r="440">
          <cell r="Q440">
            <v>102</v>
          </cell>
          <cell r="R440">
            <v>3.6999999999999998E-2</v>
          </cell>
          <cell r="S440">
            <v>0.34399999999999997</v>
          </cell>
          <cell r="T440">
            <v>0.61899999999999999</v>
          </cell>
          <cell r="U440">
            <v>0</v>
          </cell>
          <cell r="V440">
            <v>0</v>
          </cell>
          <cell r="W440">
            <v>0</v>
          </cell>
          <cell r="X440">
            <v>0</v>
          </cell>
        </row>
        <row r="441">
          <cell r="Q441">
            <v>101</v>
          </cell>
          <cell r="R441">
            <v>3.85E-2</v>
          </cell>
          <cell r="S441">
            <v>0.34749999999999998</v>
          </cell>
          <cell r="T441">
            <v>0.61399999999999999</v>
          </cell>
          <cell r="U441">
            <v>0</v>
          </cell>
          <cell r="V441">
            <v>0</v>
          </cell>
          <cell r="W441">
            <v>0</v>
          </cell>
          <cell r="X441">
            <v>0</v>
          </cell>
        </row>
        <row r="442">
          <cell r="Q442">
            <v>100</v>
          </cell>
          <cell r="R442">
            <v>0.04</v>
          </cell>
          <cell r="S442">
            <v>0.35099999999999998</v>
          </cell>
          <cell r="T442">
            <v>0.60899999999999999</v>
          </cell>
          <cell r="U442">
            <v>0</v>
          </cell>
          <cell r="V442">
            <v>0</v>
          </cell>
          <cell r="W442">
            <v>0</v>
          </cell>
          <cell r="X442">
            <v>0</v>
          </cell>
        </row>
        <row r="443">
          <cell r="Q443">
            <v>99</v>
          </cell>
          <cell r="R443">
            <v>4.1500000000000002E-2</v>
          </cell>
          <cell r="S443">
            <v>0.35449999999999998</v>
          </cell>
          <cell r="T443">
            <v>0.60399999999999998</v>
          </cell>
          <cell r="U443">
            <v>0</v>
          </cell>
          <cell r="V443">
            <v>0</v>
          </cell>
          <cell r="W443">
            <v>0</v>
          </cell>
          <cell r="X443">
            <v>0</v>
          </cell>
        </row>
        <row r="444">
          <cell r="Q444">
            <v>98</v>
          </cell>
          <cell r="R444">
            <v>4.2999999999999997E-2</v>
          </cell>
          <cell r="S444">
            <v>0.35799999999999998</v>
          </cell>
          <cell r="T444">
            <v>0.59899999999999998</v>
          </cell>
          <cell r="U444">
            <v>0</v>
          </cell>
          <cell r="V444">
            <v>0</v>
          </cell>
          <cell r="W444">
            <v>0</v>
          </cell>
          <cell r="X444">
            <v>0</v>
          </cell>
        </row>
        <row r="445">
          <cell r="Q445">
            <v>97</v>
          </cell>
          <cell r="R445">
            <v>4.4499999999999998E-2</v>
          </cell>
          <cell r="S445">
            <v>0.36149999999999999</v>
          </cell>
          <cell r="T445">
            <v>0.59399999999999997</v>
          </cell>
          <cell r="U445">
            <v>0</v>
          </cell>
          <cell r="V445">
            <v>0</v>
          </cell>
          <cell r="W445">
            <v>0</v>
          </cell>
          <cell r="X445">
            <v>0</v>
          </cell>
        </row>
        <row r="446">
          <cell r="Q446">
            <v>96</v>
          </cell>
          <cell r="R446">
            <v>0</v>
          </cell>
          <cell r="S446">
            <v>0</v>
          </cell>
          <cell r="T446">
            <v>0</v>
          </cell>
          <cell r="U446">
            <v>0</v>
          </cell>
          <cell r="V446">
            <v>0</v>
          </cell>
          <cell r="W446">
            <v>1</v>
          </cell>
          <cell r="X446">
            <v>0</v>
          </cell>
        </row>
        <row r="447">
          <cell r="Q447">
            <v>95</v>
          </cell>
          <cell r="R447">
            <v>0</v>
          </cell>
          <cell r="S447">
            <v>0</v>
          </cell>
          <cell r="T447">
            <v>0</v>
          </cell>
          <cell r="U447">
            <v>0</v>
          </cell>
          <cell r="V447">
            <v>0</v>
          </cell>
          <cell r="W447">
            <v>1</v>
          </cell>
          <cell r="X447">
            <v>0</v>
          </cell>
        </row>
        <row r="448">
          <cell r="Q448">
            <v>94</v>
          </cell>
          <cell r="R448">
            <v>0</v>
          </cell>
          <cell r="S448">
            <v>0</v>
          </cell>
          <cell r="T448">
            <v>0</v>
          </cell>
          <cell r="U448">
            <v>0</v>
          </cell>
          <cell r="V448">
            <v>0</v>
          </cell>
          <cell r="W448">
            <v>1</v>
          </cell>
          <cell r="X448">
            <v>0</v>
          </cell>
        </row>
        <row r="449">
          <cell r="Q449">
            <v>93</v>
          </cell>
          <cell r="R449">
            <v>0</v>
          </cell>
          <cell r="S449">
            <v>0</v>
          </cell>
          <cell r="T449">
            <v>0</v>
          </cell>
          <cell r="U449">
            <v>0</v>
          </cell>
          <cell r="V449">
            <v>0</v>
          </cell>
          <cell r="W449">
            <v>1</v>
          </cell>
          <cell r="X449">
            <v>0</v>
          </cell>
        </row>
        <row r="450">
          <cell r="Q450">
            <v>92</v>
          </cell>
          <cell r="R450">
            <v>0</v>
          </cell>
          <cell r="S450">
            <v>0</v>
          </cell>
          <cell r="T450">
            <v>0</v>
          </cell>
          <cell r="U450">
            <v>0</v>
          </cell>
          <cell r="V450">
            <v>0</v>
          </cell>
          <cell r="W450">
            <v>1</v>
          </cell>
          <cell r="X450">
            <v>0</v>
          </cell>
        </row>
        <row r="451">
          <cell r="Q451">
            <v>91</v>
          </cell>
          <cell r="R451">
            <v>0</v>
          </cell>
          <cell r="S451">
            <v>0</v>
          </cell>
          <cell r="T451">
            <v>0</v>
          </cell>
          <cell r="U451">
            <v>0</v>
          </cell>
          <cell r="V451">
            <v>0</v>
          </cell>
          <cell r="W451">
            <v>1</v>
          </cell>
          <cell r="X451">
            <v>0</v>
          </cell>
        </row>
        <row r="452">
          <cell r="Q452">
            <v>90</v>
          </cell>
          <cell r="R452">
            <v>0</v>
          </cell>
          <cell r="S452">
            <v>0</v>
          </cell>
          <cell r="T452">
            <v>0</v>
          </cell>
          <cell r="U452">
            <v>0</v>
          </cell>
          <cell r="V452">
            <v>0</v>
          </cell>
          <cell r="W452">
            <v>1</v>
          </cell>
          <cell r="X452">
            <v>0</v>
          </cell>
        </row>
        <row r="453">
          <cell r="Q453">
            <v>89</v>
          </cell>
          <cell r="R453">
            <v>0</v>
          </cell>
          <cell r="S453">
            <v>0</v>
          </cell>
          <cell r="T453">
            <v>0</v>
          </cell>
          <cell r="U453">
            <v>0</v>
          </cell>
          <cell r="V453">
            <v>0</v>
          </cell>
          <cell r="W453">
            <v>1</v>
          </cell>
          <cell r="X453">
            <v>0</v>
          </cell>
        </row>
        <row r="454">
          <cell r="Q454">
            <v>88</v>
          </cell>
          <cell r="R454">
            <v>0</v>
          </cell>
          <cell r="S454">
            <v>0</v>
          </cell>
          <cell r="T454">
            <v>0</v>
          </cell>
          <cell r="U454">
            <v>0</v>
          </cell>
          <cell r="V454">
            <v>0</v>
          </cell>
          <cell r="W454">
            <v>1</v>
          </cell>
          <cell r="X454">
            <v>0</v>
          </cell>
        </row>
        <row r="455">
          <cell r="Q455">
            <v>87</v>
          </cell>
          <cell r="R455">
            <v>0</v>
          </cell>
          <cell r="S455">
            <v>0</v>
          </cell>
          <cell r="T455">
            <v>0</v>
          </cell>
          <cell r="U455">
            <v>0</v>
          </cell>
          <cell r="V455">
            <v>0</v>
          </cell>
          <cell r="W455">
            <v>1</v>
          </cell>
          <cell r="X455">
            <v>0</v>
          </cell>
        </row>
        <row r="456">
          <cell r="Q456">
            <v>86</v>
          </cell>
          <cell r="R456">
            <v>0</v>
          </cell>
          <cell r="S456">
            <v>0</v>
          </cell>
          <cell r="T456">
            <v>0</v>
          </cell>
          <cell r="U456">
            <v>0</v>
          </cell>
          <cell r="V456">
            <v>0</v>
          </cell>
          <cell r="W456">
            <v>1</v>
          </cell>
          <cell r="X456">
            <v>0</v>
          </cell>
        </row>
        <row r="457">
          <cell r="Q457">
            <v>85</v>
          </cell>
          <cell r="R457">
            <v>0</v>
          </cell>
          <cell r="S457">
            <v>0</v>
          </cell>
          <cell r="T457">
            <v>0</v>
          </cell>
          <cell r="U457">
            <v>0</v>
          </cell>
          <cell r="V457">
            <v>0</v>
          </cell>
          <cell r="W457">
            <v>1</v>
          </cell>
          <cell r="X457">
            <v>0</v>
          </cell>
        </row>
        <row r="458">
          <cell r="Q458">
            <v>84</v>
          </cell>
          <cell r="R458">
            <v>0</v>
          </cell>
          <cell r="S458">
            <v>0</v>
          </cell>
          <cell r="T458">
            <v>0</v>
          </cell>
          <cell r="U458">
            <v>0</v>
          </cell>
          <cell r="V458">
            <v>0</v>
          </cell>
          <cell r="W458">
            <v>0.875</v>
          </cell>
          <cell r="X458">
            <v>0.125</v>
          </cell>
        </row>
        <row r="459">
          <cell r="Q459">
            <v>83</v>
          </cell>
          <cell r="R459">
            <v>0</v>
          </cell>
          <cell r="S459">
            <v>0</v>
          </cell>
          <cell r="T459">
            <v>0</v>
          </cell>
          <cell r="U459">
            <v>0</v>
          </cell>
          <cell r="V459">
            <v>0</v>
          </cell>
          <cell r="W459">
            <v>0.875</v>
          </cell>
          <cell r="X459">
            <v>0.125</v>
          </cell>
        </row>
        <row r="460">
          <cell r="Q460">
            <v>82</v>
          </cell>
          <cell r="R460">
            <v>0</v>
          </cell>
          <cell r="S460">
            <v>0</v>
          </cell>
          <cell r="T460">
            <v>0</v>
          </cell>
          <cell r="U460">
            <v>0</v>
          </cell>
          <cell r="V460">
            <v>0</v>
          </cell>
          <cell r="W460">
            <v>0.875</v>
          </cell>
          <cell r="X460">
            <v>0.125</v>
          </cell>
        </row>
        <row r="461">
          <cell r="Q461">
            <v>81</v>
          </cell>
          <cell r="R461">
            <v>0</v>
          </cell>
          <cell r="S461">
            <v>0</v>
          </cell>
          <cell r="T461">
            <v>0</v>
          </cell>
          <cell r="U461">
            <v>0</v>
          </cell>
          <cell r="V461">
            <v>0</v>
          </cell>
          <cell r="W461">
            <v>0.875</v>
          </cell>
          <cell r="X461">
            <v>0.125</v>
          </cell>
        </row>
        <row r="462">
          <cell r="Q462">
            <v>80</v>
          </cell>
          <cell r="R462">
            <v>0</v>
          </cell>
          <cell r="S462">
            <v>0</v>
          </cell>
          <cell r="T462">
            <v>0</v>
          </cell>
          <cell r="U462">
            <v>0</v>
          </cell>
          <cell r="V462">
            <v>0</v>
          </cell>
          <cell r="W462">
            <v>0.875</v>
          </cell>
          <cell r="X462">
            <v>0.125</v>
          </cell>
        </row>
        <row r="463">
          <cell r="Q463">
            <v>79</v>
          </cell>
          <cell r="R463">
            <v>0</v>
          </cell>
          <cell r="S463">
            <v>0</v>
          </cell>
          <cell r="T463">
            <v>0</v>
          </cell>
          <cell r="U463">
            <v>0</v>
          </cell>
          <cell r="V463">
            <v>0</v>
          </cell>
          <cell r="W463">
            <v>0.875</v>
          </cell>
          <cell r="X463">
            <v>0.125</v>
          </cell>
        </row>
        <row r="464">
          <cell r="Q464">
            <v>78</v>
          </cell>
          <cell r="R464">
            <v>0</v>
          </cell>
          <cell r="S464">
            <v>0</v>
          </cell>
          <cell r="T464">
            <v>0</v>
          </cell>
          <cell r="U464">
            <v>0</v>
          </cell>
          <cell r="V464">
            <v>0</v>
          </cell>
          <cell r="W464">
            <v>0.875</v>
          </cell>
          <cell r="X464">
            <v>0.125</v>
          </cell>
        </row>
        <row r="465">
          <cell r="Q465">
            <v>77</v>
          </cell>
          <cell r="R465">
            <v>0</v>
          </cell>
          <cell r="S465">
            <v>0</v>
          </cell>
          <cell r="T465">
            <v>0</v>
          </cell>
          <cell r="U465">
            <v>0</v>
          </cell>
          <cell r="V465">
            <v>0</v>
          </cell>
          <cell r="W465">
            <v>0.875</v>
          </cell>
          <cell r="X465">
            <v>0.125</v>
          </cell>
        </row>
        <row r="466">
          <cell r="Q466">
            <v>76</v>
          </cell>
          <cell r="R466">
            <v>0</v>
          </cell>
          <cell r="S466">
            <v>0</v>
          </cell>
          <cell r="T466">
            <v>0</v>
          </cell>
          <cell r="U466">
            <v>0</v>
          </cell>
          <cell r="V466">
            <v>0</v>
          </cell>
          <cell r="W466">
            <v>0.875</v>
          </cell>
          <cell r="X466">
            <v>0.125</v>
          </cell>
        </row>
        <row r="467">
          <cell r="Q467">
            <v>75</v>
          </cell>
          <cell r="R467">
            <v>0</v>
          </cell>
          <cell r="S467">
            <v>0</v>
          </cell>
          <cell r="T467">
            <v>0</v>
          </cell>
          <cell r="U467">
            <v>0</v>
          </cell>
          <cell r="V467">
            <v>0</v>
          </cell>
          <cell r="W467">
            <v>0.875</v>
          </cell>
          <cell r="X467">
            <v>0.125</v>
          </cell>
        </row>
        <row r="468">
          <cell r="Q468">
            <v>74</v>
          </cell>
          <cell r="R468">
            <v>0</v>
          </cell>
          <cell r="S468">
            <v>0</v>
          </cell>
          <cell r="T468">
            <v>0</v>
          </cell>
          <cell r="U468">
            <v>0</v>
          </cell>
          <cell r="V468">
            <v>0</v>
          </cell>
          <cell r="W468">
            <v>0.875</v>
          </cell>
          <cell r="X468">
            <v>0.125</v>
          </cell>
        </row>
        <row r="469">
          <cell r="Q469">
            <v>73</v>
          </cell>
          <cell r="R469">
            <v>0</v>
          </cell>
          <cell r="S469">
            <v>0</v>
          </cell>
          <cell r="T469">
            <v>0</v>
          </cell>
          <cell r="U469">
            <v>0</v>
          </cell>
          <cell r="V469">
            <v>0</v>
          </cell>
          <cell r="W469">
            <v>0.875</v>
          </cell>
          <cell r="X469">
            <v>0.125</v>
          </cell>
        </row>
        <row r="470">
          <cell r="Q470">
            <v>72</v>
          </cell>
          <cell r="R470">
            <v>0</v>
          </cell>
          <cell r="S470">
            <v>0</v>
          </cell>
          <cell r="T470">
            <v>0</v>
          </cell>
          <cell r="U470">
            <v>0</v>
          </cell>
          <cell r="V470">
            <v>0</v>
          </cell>
          <cell r="W470">
            <v>0.75</v>
          </cell>
          <cell r="X470">
            <v>0.25</v>
          </cell>
        </row>
        <row r="471">
          <cell r="Q471">
            <v>71</v>
          </cell>
          <cell r="R471">
            <v>0</v>
          </cell>
          <cell r="S471">
            <v>0</v>
          </cell>
          <cell r="T471">
            <v>0</v>
          </cell>
          <cell r="U471">
            <v>0</v>
          </cell>
          <cell r="V471">
            <v>0</v>
          </cell>
          <cell r="W471">
            <v>0.75</v>
          </cell>
          <cell r="X471">
            <v>0.25</v>
          </cell>
        </row>
        <row r="472">
          <cell r="Q472">
            <v>70</v>
          </cell>
          <cell r="R472">
            <v>0</v>
          </cell>
          <cell r="S472">
            <v>0</v>
          </cell>
          <cell r="T472">
            <v>0</v>
          </cell>
          <cell r="U472">
            <v>0</v>
          </cell>
          <cell r="V472">
            <v>0</v>
          </cell>
          <cell r="W472">
            <v>0.75</v>
          </cell>
          <cell r="X472">
            <v>0.25</v>
          </cell>
        </row>
        <row r="473">
          <cell r="Q473">
            <v>69</v>
          </cell>
          <cell r="R473">
            <v>0</v>
          </cell>
          <cell r="S473">
            <v>0</v>
          </cell>
          <cell r="T473">
            <v>0</v>
          </cell>
          <cell r="U473">
            <v>0</v>
          </cell>
          <cell r="V473">
            <v>0</v>
          </cell>
          <cell r="W473">
            <v>0.75</v>
          </cell>
          <cell r="X473">
            <v>0.25</v>
          </cell>
        </row>
        <row r="474">
          <cell r="Q474">
            <v>68</v>
          </cell>
          <cell r="R474">
            <v>0</v>
          </cell>
          <cell r="S474">
            <v>0</v>
          </cell>
          <cell r="T474">
            <v>0</v>
          </cell>
          <cell r="U474">
            <v>0</v>
          </cell>
          <cell r="V474">
            <v>0</v>
          </cell>
          <cell r="W474">
            <v>0.75</v>
          </cell>
          <cell r="X474">
            <v>0.25</v>
          </cell>
        </row>
        <row r="475">
          <cell r="Q475">
            <v>67</v>
          </cell>
          <cell r="R475">
            <v>0</v>
          </cell>
          <cell r="S475">
            <v>0</v>
          </cell>
          <cell r="T475">
            <v>0</v>
          </cell>
          <cell r="U475">
            <v>0</v>
          </cell>
          <cell r="V475">
            <v>0</v>
          </cell>
          <cell r="W475">
            <v>0.75</v>
          </cell>
          <cell r="X475">
            <v>0.25</v>
          </cell>
        </row>
        <row r="476">
          <cell r="Q476">
            <v>66</v>
          </cell>
          <cell r="R476">
            <v>0</v>
          </cell>
          <cell r="S476">
            <v>0</v>
          </cell>
          <cell r="T476">
            <v>0</v>
          </cell>
          <cell r="U476">
            <v>0</v>
          </cell>
          <cell r="V476">
            <v>0</v>
          </cell>
          <cell r="W476">
            <v>0.75</v>
          </cell>
          <cell r="X476">
            <v>0.25</v>
          </cell>
        </row>
        <row r="477">
          <cell r="Q477">
            <v>65</v>
          </cell>
          <cell r="R477">
            <v>0</v>
          </cell>
          <cell r="S477">
            <v>0</v>
          </cell>
          <cell r="T477">
            <v>0</v>
          </cell>
          <cell r="U477">
            <v>0</v>
          </cell>
          <cell r="V477">
            <v>0</v>
          </cell>
          <cell r="W477">
            <v>0.75</v>
          </cell>
          <cell r="X477">
            <v>0.25</v>
          </cell>
        </row>
        <row r="478">
          <cell r="Q478">
            <v>64</v>
          </cell>
          <cell r="R478">
            <v>0</v>
          </cell>
          <cell r="S478">
            <v>0</v>
          </cell>
          <cell r="T478">
            <v>0</v>
          </cell>
          <cell r="U478">
            <v>0</v>
          </cell>
          <cell r="V478">
            <v>0</v>
          </cell>
          <cell r="W478">
            <v>0.75</v>
          </cell>
          <cell r="X478">
            <v>0.25</v>
          </cell>
        </row>
        <row r="479">
          <cell r="Q479">
            <v>63</v>
          </cell>
          <cell r="R479">
            <v>0</v>
          </cell>
          <cell r="S479">
            <v>0</v>
          </cell>
          <cell r="T479">
            <v>0</v>
          </cell>
          <cell r="U479">
            <v>0</v>
          </cell>
          <cell r="V479">
            <v>0</v>
          </cell>
          <cell r="W479">
            <v>0.75</v>
          </cell>
          <cell r="X479">
            <v>0.25</v>
          </cell>
        </row>
        <row r="480">
          <cell r="Q480">
            <v>62</v>
          </cell>
          <cell r="R480">
            <v>0</v>
          </cell>
          <cell r="S480">
            <v>0</v>
          </cell>
          <cell r="T480">
            <v>0</v>
          </cell>
          <cell r="U480">
            <v>0</v>
          </cell>
          <cell r="V480">
            <v>0</v>
          </cell>
          <cell r="W480">
            <v>0.75</v>
          </cell>
          <cell r="X480">
            <v>0.25</v>
          </cell>
        </row>
        <row r="481">
          <cell r="Q481">
            <v>61</v>
          </cell>
          <cell r="R481">
            <v>0</v>
          </cell>
          <cell r="S481">
            <v>0</v>
          </cell>
          <cell r="T481">
            <v>0</v>
          </cell>
          <cell r="U481">
            <v>0</v>
          </cell>
          <cell r="V481">
            <v>0</v>
          </cell>
          <cell r="W481">
            <v>0.75</v>
          </cell>
          <cell r="X481">
            <v>0.25</v>
          </cell>
        </row>
        <row r="482">
          <cell r="Q482">
            <v>60</v>
          </cell>
          <cell r="R482">
            <v>0</v>
          </cell>
          <cell r="S482">
            <v>0</v>
          </cell>
          <cell r="T482">
            <v>0</v>
          </cell>
          <cell r="U482">
            <v>0</v>
          </cell>
          <cell r="V482">
            <v>0</v>
          </cell>
          <cell r="W482">
            <v>0.625</v>
          </cell>
          <cell r="X482">
            <v>0.375</v>
          </cell>
        </row>
        <row r="483">
          <cell r="Q483">
            <v>59</v>
          </cell>
          <cell r="R483">
            <v>0</v>
          </cell>
          <cell r="S483">
            <v>0</v>
          </cell>
          <cell r="T483">
            <v>0</v>
          </cell>
          <cell r="U483">
            <v>0</v>
          </cell>
          <cell r="V483">
            <v>0</v>
          </cell>
          <cell r="W483">
            <v>0.625</v>
          </cell>
          <cell r="X483">
            <v>0.375</v>
          </cell>
        </row>
        <row r="484">
          <cell r="Q484">
            <v>58</v>
          </cell>
          <cell r="R484">
            <v>0</v>
          </cell>
          <cell r="S484">
            <v>0</v>
          </cell>
          <cell r="T484">
            <v>0</v>
          </cell>
          <cell r="U484">
            <v>0</v>
          </cell>
          <cell r="V484">
            <v>0</v>
          </cell>
          <cell r="W484">
            <v>0.625</v>
          </cell>
          <cell r="X484">
            <v>0.375</v>
          </cell>
        </row>
        <row r="485">
          <cell r="Q485">
            <v>57</v>
          </cell>
          <cell r="R485">
            <v>0</v>
          </cell>
          <cell r="S485">
            <v>0</v>
          </cell>
          <cell r="T485">
            <v>0</v>
          </cell>
          <cell r="U485">
            <v>0</v>
          </cell>
          <cell r="V485">
            <v>0</v>
          </cell>
          <cell r="W485">
            <v>0.625</v>
          </cell>
          <cell r="X485">
            <v>0.375</v>
          </cell>
        </row>
        <row r="486">
          <cell r="Q486">
            <v>56</v>
          </cell>
          <cell r="R486">
            <v>0</v>
          </cell>
          <cell r="S486">
            <v>0</v>
          </cell>
          <cell r="T486">
            <v>0</v>
          </cell>
          <cell r="U486">
            <v>0</v>
          </cell>
          <cell r="V486">
            <v>0</v>
          </cell>
          <cell r="W486">
            <v>0.625</v>
          </cell>
          <cell r="X486">
            <v>0.375</v>
          </cell>
        </row>
        <row r="487">
          <cell r="Q487">
            <v>55</v>
          </cell>
          <cell r="R487">
            <v>0</v>
          </cell>
          <cell r="S487">
            <v>0</v>
          </cell>
          <cell r="T487">
            <v>0</v>
          </cell>
          <cell r="U487">
            <v>0</v>
          </cell>
          <cell r="V487">
            <v>0</v>
          </cell>
          <cell r="W487">
            <v>0.625</v>
          </cell>
          <cell r="X487">
            <v>0.375</v>
          </cell>
        </row>
        <row r="488">
          <cell r="Q488">
            <v>54</v>
          </cell>
          <cell r="R488">
            <v>0</v>
          </cell>
          <cell r="S488">
            <v>0</v>
          </cell>
          <cell r="T488">
            <v>0</v>
          </cell>
          <cell r="U488">
            <v>0</v>
          </cell>
          <cell r="V488">
            <v>0</v>
          </cell>
          <cell r="W488">
            <v>0.625</v>
          </cell>
          <cell r="X488">
            <v>0.375</v>
          </cell>
        </row>
        <row r="489">
          <cell r="Q489">
            <v>53</v>
          </cell>
          <cell r="R489">
            <v>0</v>
          </cell>
          <cell r="S489">
            <v>0</v>
          </cell>
          <cell r="T489">
            <v>0</v>
          </cell>
          <cell r="U489">
            <v>0</v>
          </cell>
          <cell r="V489">
            <v>0</v>
          </cell>
          <cell r="W489">
            <v>0.625</v>
          </cell>
          <cell r="X489">
            <v>0.375</v>
          </cell>
        </row>
        <row r="490">
          <cell r="Q490">
            <v>52</v>
          </cell>
          <cell r="R490">
            <v>0</v>
          </cell>
          <cell r="S490">
            <v>0</v>
          </cell>
          <cell r="T490">
            <v>0</v>
          </cell>
          <cell r="U490">
            <v>0</v>
          </cell>
          <cell r="V490">
            <v>0</v>
          </cell>
          <cell r="W490">
            <v>0.625</v>
          </cell>
          <cell r="X490">
            <v>0.375</v>
          </cell>
        </row>
        <row r="491">
          <cell r="Q491">
            <v>51</v>
          </cell>
          <cell r="R491">
            <v>0</v>
          </cell>
          <cell r="S491">
            <v>0</v>
          </cell>
          <cell r="T491">
            <v>0</v>
          </cell>
          <cell r="U491">
            <v>0</v>
          </cell>
          <cell r="V491">
            <v>0</v>
          </cell>
          <cell r="W491">
            <v>0.625</v>
          </cell>
          <cell r="X491">
            <v>0.375</v>
          </cell>
        </row>
        <row r="492">
          <cell r="Q492">
            <v>50</v>
          </cell>
          <cell r="R492">
            <v>0</v>
          </cell>
          <cell r="S492">
            <v>0</v>
          </cell>
          <cell r="T492">
            <v>0</v>
          </cell>
          <cell r="U492">
            <v>0</v>
          </cell>
          <cell r="V492">
            <v>0</v>
          </cell>
          <cell r="W492">
            <v>0.625</v>
          </cell>
          <cell r="X492">
            <v>0.375</v>
          </cell>
        </row>
        <row r="493">
          <cell r="Q493">
            <v>49</v>
          </cell>
          <cell r="R493">
            <v>0</v>
          </cell>
          <cell r="S493">
            <v>0</v>
          </cell>
          <cell r="T493">
            <v>0</v>
          </cell>
          <cell r="U493">
            <v>0</v>
          </cell>
          <cell r="V493">
            <v>0</v>
          </cell>
          <cell r="W493">
            <v>0.625</v>
          </cell>
          <cell r="X493">
            <v>0.375</v>
          </cell>
        </row>
        <row r="494">
          <cell r="Q494">
            <v>48</v>
          </cell>
          <cell r="R494">
            <v>0</v>
          </cell>
          <cell r="S494">
            <v>0</v>
          </cell>
          <cell r="T494">
            <v>0</v>
          </cell>
          <cell r="U494">
            <v>0</v>
          </cell>
          <cell r="V494">
            <v>0</v>
          </cell>
          <cell r="W494">
            <v>0.5</v>
          </cell>
          <cell r="X494">
            <v>0.5</v>
          </cell>
        </row>
        <row r="495">
          <cell r="Q495">
            <v>47</v>
          </cell>
          <cell r="R495">
            <v>0</v>
          </cell>
          <cell r="S495">
            <v>0</v>
          </cell>
          <cell r="T495">
            <v>0</v>
          </cell>
          <cell r="U495">
            <v>0</v>
          </cell>
          <cell r="V495">
            <v>0</v>
          </cell>
          <cell r="W495">
            <v>0.5</v>
          </cell>
          <cell r="X495">
            <v>0.5</v>
          </cell>
        </row>
        <row r="496">
          <cell r="Q496">
            <v>46</v>
          </cell>
          <cell r="R496">
            <v>0</v>
          </cell>
          <cell r="S496">
            <v>0</v>
          </cell>
          <cell r="T496">
            <v>0</v>
          </cell>
          <cell r="U496">
            <v>0</v>
          </cell>
          <cell r="V496">
            <v>0</v>
          </cell>
          <cell r="W496">
            <v>0.5</v>
          </cell>
          <cell r="X496">
            <v>0.5</v>
          </cell>
        </row>
        <row r="497">
          <cell r="Q497">
            <v>45</v>
          </cell>
          <cell r="R497">
            <v>0</v>
          </cell>
          <cell r="S497">
            <v>0</v>
          </cell>
          <cell r="T497">
            <v>0</v>
          </cell>
          <cell r="U497">
            <v>0</v>
          </cell>
          <cell r="V497">
            <v>0</v>
          </cell>
          <cell r="W497">
            <v>0.5</v>
          </cell>
          <cell r="X497">
            <v>0.5</v>
          </cell>
        </row>
        <row r="498">
          <cell r="Q498">
            <v>44</v>
          </cell>
          <cell r="R498">
            <v>0</v>
          </cell>
          <cell r="S498">
            <v>0</v>
          </cell>
          <cell r="T498">
            <v>0</v>
          </cell>
          <cell r="U498">
            <v>0</v>
          </cell>
          <cell r="V498">
            <v>0</v>
          </cell>
          <cell r="W498">
            <v>0.5</v>
          </cell>
          <cell r="X498">
            <v>0.5</v>
          </cell>
        </row>
        <row r="499">
          <cell r="Q499">
            <v>43</v>
          </cell>
          <cell r="R499">
            <v>0</v>
          </cell>
          <cell r="S499">
            <v>0</v>
          </cell>
          <cell r="T499">
            <v>0</v>
          </cell>
          <cell r="U499">
            <v>0</v>
          </cell>
          <cell r="V499">
            <v>0</v>
          </cell>
          <cell r="W499">
            <v>0.5</v>
          </cell>
          <cell r="X499">
            <v>0.5</v>
          </cell>
        </row>
        <row r="500">
          <cell r="Q500">
            <v>42</v>
          </cell>
          <cell r="R500">
            <v>0</v>
          </cell>
          <cell r="S500">
            <v>0</v>
          </cell>
          <cell r="T500">
            <v>0</v>
          </cell>
          <cell r="U500">
            <v>0</v>
          </cell>
          <cell r="V500">
            <v>0</v>
          </cell>
          <cell r="W500">
            <v>0.5</v>
          </cell>
          <cell r="X500">
            <v>0.5</v>
          </cell>
        </row>
        <row r="501">
          <cell r="Q501">
            <v>41</v>
          </cell>
          <cell r="R501">
            <v>0</v>
          </cell>
          <cell r="S501">
            <v>0</v>
          </cell>
          <cell r="T501">
            <v>0</v>
          </cell>
          <cell r="U501">
            <v>0</v>
          </cell>
          <cell r="V501">
            <v>0</v>
          </cell>
          <cell r="W501">
            <v>0.5</v>
          </cell>
          <cell r="X501">
            <v>0.5</v>
          </cell>
        </row>
        <row r="502">
          <cell r="Q502">
            <v>40</v>
          </cell>
          <cell r="R502">
            <v>0</v>
          </cell>
          <cell r="S502">
            <v>0</v>
          </cell>
          <cell r="T502">
            <v>0</v>
          </cell>
          <cell r="U502">
            <v>0</v>
          </cell>
          <cell r="V502">
            <v>0</v>
          </cell>
          <cell r="W502">
            <v>0.5</v>
          </cell>
          <cell r="X502">
            <v>0.5</v>
          </cell>
        </row>
        <row r="503">
          <cell r="Q503">
            <v>39</v>
          </cell>
          <cell r="R503">
            <v>0</v>
          </cell>
          <cell r="S503">
            <v>0</v>
          </cell>
          <cell r="T503">
            <v>0</v>
          </cell>
          <cell r="U503">
            <v>0</v>
          </cell>
          <cell r="V503">
            <v>0</v>
          </cell>
          <cell r="W503">
            <v>0.5</v>
          </cell>
          <cell r="X503">
            <v>0.5</v>
          </cell>
        </row>
        <row r="504">
          <cell r="Q504">
            <v>38</v>
          </cell>
          <cell r="R504">
            <v>0</v>
          </cell>
          <cell r="S504">
            <v>0</v>
          </cell>
          <cell r="T504">
            <v>0</v>
          </cell>
          <cell r="U504">
            <v>0</v>
          </cell>
          <cell r="V504">
            <v>0</v>
          </cell>
          <cell r="W504">
            <v>0.5</v>
          </cell>
          <cell r="X504">
            <v>0.5</v>
          </cell>
        </row>
        <row r="505">
          <cell r="Q505">
            <v>37</v>
          </cell>
          <cell r="R505">
            <v>0</v>
          </cell>
          <cell r="S505">
            <v>0</v>
          </cell>
          <cell r="T505">
            <v>0</v>
          </cell>
          <cell r="U505">
            <v>0</v>
          </cell>
          <cell r="V505">
            <v>0</v>
          </cell>
          <cell r="W505">
            <v>0.5</v>
          </cell>
          <cell r="X505">
            <v>0.5</v>
          </cell>
        </row>
        <row r="506">
          <cell r="Q506">
            <v>36</v>
          </cell>
          <cell r="R506">
            <v>0</v>
          </cell>
          <cell r="S506">
            <v>0</v>
          </cell>
          <cell r="T506">
            <v>0</v>
          </cell>
          <cell r="U506">
            <v>0</v>
          </cell>
          <cell r="V506">
            <v>0</v>
          </cell>
          <cell r="W506">
            <v>0.375</v>
          </cell>
          <cell r="X506">
            <v>0.625</v>
          </cell>
        </row>
        <row r="507">
          <cell r="Q507">
            <v>35</v>
          </cell>
          <cell r="R507">
            <v>0</v>
          </cell>
          <cell r="S507">
            <v>0</v>
          </cell>
          <cell r="T507">
            <v>0</v>
          </cell>
          <cell r="U507">
            <v>0</v>
          </cell>
          <cell r="V507">
            <v>0</v>
          </cell>
          <cell r="W507">
            <v>0.375</v>
          </cell>
          <cell r="X507">
            <v>0.625</v>
          </cell>
        </row>
        <row r="508">
          <cell r="Q508">
            <v>34</v>
          </cell>
          <cell r="R508">
            <v>0</v>
          </cell>
          <cell r="S508">
            <v>0</v>
          </cell>
          <cell r="T508">
            <v>0</v>
          </cell>
          <cell r="U508">
            <v>0</v>
          </cell>
          <cell r="V508">
            <v>0</v>
          </cell>
          <cell r="W508">
            <v>0.375</v>
          </cell>
          <cell r="X508">
            <v>0.625</v>
          </cell>
        </row>
        <row r="509">
          <cell r="Q509">
            <v>33</v>
          </cell>
          <cell r="R509">
            <v>0</v>
          </cell>
          <cell r="S509">
            <v>0</v>
          </cell>
          <cell r="T509">
            <v>0</v>
          </cell>
          <cell r="U509">
            <v>0</v>
          </cell>
          <cell r="V509">
            <v>0</v>
          </cell>
          <cell r="W509">
            <v>0.375</v>
          </cell>
          <cell r="X509">
            <v>0.625</v>
          </cell>
        </row>
        <row r="510">
          <cell r="Q510">
            <v>32</v>
          </cell>
          <cell r="R510">
            <v>0</v>
          </cell>
          <cell r="S510">
            <v>0</v>
          </cell>
          <cell r="T510">
            <v>0</v>
          </cell>
          <cell r="U510">
            <v>0</v>
          </cell>
          <cell r="V510">
            <v>0</v>
          </cell>
          <cell r="W510">
            <v>0.375</v>
          </cell>
          <cell r="X510">
            <v>0.625</v>
          </cell>
        </row>
        <row r="511">
          <cell r="Q511">
            <v>31</v>
          </cell>
          <cell r="R511">
            <v>0</v>
          </cell>
          <cell r="S511">
            <v>0</v>
          </cell>
          <cell r="T511">
            <v>0</v>
          </cell>
          <cell r="U511">
            <v>0</v>
          </cell>
          <cell r="V511">
            <v>0</v>
          </cell>
          <cell r="W511">
            <v>0.375</v>
          </cell>
          <cell r="X511">
            <v>0.625</v>
          </cell>
        </row>
        <row r="512">
          <cell r="Q512">
            <v>30</v>
          </cell>
          <cell r="R512">
            <v>0</v>
          </cell>
          <cell r="S512">
            <v>0</v>
          </cell>
          <cell r="T512">
            <v>0</v>
          </cell>
          <cell r="U512">
            <v>0</v>
          </cell>
          <cell r="V512">
            <v>0</v>
          </cell>
          <cell r="W512">
            <v>0.375</v>
          </cell>
          <cell r="X512">
            <v>0.625</v>
          </cell>
        </row>
        <row r="513">
          <cell r="Q513">
            <v>29</v>
          </cell>
          <cell r="R513">
            <v>0</v>
          </cell>
          <cell r="S513">
            <v>0</v>
          </cell>
          <cell r="T513">
            <v>0</v>
          </cell>
          <cell r="U513">
            <v>0</v>
          </cell>
          <cell r="V513">
            <v>0</v>
          </cell>
          <cell r="W513">
            <v>0.375</v>
          </cell>
          <cell r="X513">
            <v>0.625</v>
          </cell>
        </row>
        <row r="514">
          <cell r="Q514">
            <v>28</v>
          </cell>
          <cell r="R514">
            <v>0</v>
          </cell>
          <cell r="S514">
            <v>0</v>
          </cell>
          <cell r="T514">
            <v>0</v>
          </cell>
          <cell r="U514">
            <v>0</v>
          </cell>
          <cell r="V514">
            <v>0</v>
          </cell>
          <cell r="W514">
            <v>0.375</v>
          </cell>
          <cell r="X514">
            <v>0.625</v>
          </cell>
        </row>
        <row r="515">
          <cell r="Q515">
            <v>27</v>
          </cell>
          <cell r="R515">
            <v>0</v>
          </cell>
          <cell r="S515">
            <v>0</v>
          </cell>
          <cell r="T515">
            <v>0</v>
          </cell>
          <cell r="U515">
            <v>0</v>
          </cell>
          <cell r="V515">
            <v>0</v>
          </cell>
          <cell r="W515">
            <v>0.375</v>
          </cell>
          <cell r="X515">
            <v>0.625</v>
          </cell>
        </row>
        <row r="516">
          <cell r="Q516">
            <v>26</v>
          </cell>
          <cell r="R516">
            <v>0</v>
          </cell>
          <cell r="S516">
            <v>0</v>
          </cell>
          <cell r="T516">
            <v>0</v>
          </cell>
          <cell r="U516">
            <v>0</v>
          </cell>
          <cell r="V516">
            <v>0</v>
          </cell>
          <cell r="W516">
            <v>0.375</v>
          </cell>
          <cell r="X516">
            <v>0.625</v>
          </cell>
        </row>
        <row r="517">
          <cell r="Q517">
            <v>25</v>
          </cell>
          <cell r="R517">
            <v>0</v>
          </cell>
          <cell r="S517">
            <v>0</v>
          </cell>
          <cell r="T517">
            <v>0</v>
          </cell>
          <cell r="U517">
            <v>0</v>
          </cell>
          <cell r="V517">
            <v>0</v>
          </cell>
          <cell r="W517">
            <v>0.375</v>
          </cell>
          <cell r="X517">
            <v>0.625</v>
          </cell>
        </row>
        <row r="518">
          <cell r="Q518">
            <v>24</v>
          </cell>
          <cell r="R518">
            <v>0</v>
          </cell>
          <cell r="S518">
            <v>0</v>
          </cell>
          <cell r="T518">
            <v>0</v>
          </cell>
          <cell r="U518">
            <v>0</v>
          </cell>
          <cell r="V518">
            <v>0</v>
          </cell>
          <cell r="W518">
            <v>0.25</v>
          </cell>
          <cell r="X518">
            <v>0.75</v>
          </cell>
        </row>
        <row r="519">
          <cell r="Q519">
            <v>23</v>
          </cell>
          <cell r="R519">
            <v>0</v>
          </cell>
          <cell r="S519">
            <v>0</v>
          </cell>
          <cell r="T519">
            <v>0</v>
          </cell>
          <cell r="U519">
            <v>0</v>
          </cell>
          <cell r="V519">
            <v>0</v>
          </cell>
          <cell r="W519">
            <v>0.25</v>
          </cell>
          <cell r="X519">
            <v>0.75</v>
          </cell>
        </row>
        <row r="520">
          <cell r="Q520">
            <v>22</v>
          </cell>
          <cell r="R520">
            <v>0</v>
          </cell>
          <cell r="S520">
            <v>0</v>
          </cell>
          <cell r="T520">
            <v>0</v>
          </cell>
          <cell r="U520">
            <v>0</v>
          </cell>
          <cell r="V520">
            <v>0</v>
          </cell>
          <cell r="W520">
            <v>0.25</v>
          </cell>
          <cell r="X520">
            <v>0.75</v>
          </cell>
        </row>
        <row r="521">
          <cell r="Q521">
            <v>21</v>
          </cell>
          <cell r="R521">
            <v>0</v>
          </cell>
          <cell r="S521">
            <v>0</v>
          </cell>
          <cell r="T521">
            <v>0</v>
          </cell>
          <cell r="U521">
            <v>0</v>
          </cell>
          <cell r="V521">
            <v>0</v>
          </cell>
          <cell r="W521">
            <v>0.25</v>
          </cell>
          <cell r="X521">
            <v>0.75</v>
          </cell>
        </row>
        <row r="522">
          <cell r="Q522">
            <v>20</v>
          </cell>
          <cell r="R522">
            <v>0</v>
          </cell>
          <cell r="S522">
            <v>0</v>
          </cell>
          <cell r="T522">
            <v>0</v>
          </cell>
          <cell r="U522">
            <v>0</v>
          </cell>
          <cell r="V522">
            <v>0</v>
          </cell>
          <cell r="W522">
            <v>0.25</v>
          </cell>
          <cell r="X522">
            <v>0.75</v>
          </cell>
        </row>
        <row r="523">
          <cell r="Q523">
            <v>19</v>
          </cell>
          <cell r="R523">
            <v>0</v>
          </cell>
          <cell r="S523">
            <v>0</v>
          </cell>
          <cell r="T523">
            <v>0</v>
          </cell>
          <cell r="U523">
            <v>0</v>
          </cell>
          <cell r="V523">
            <v>0</v>
          </cell>
          <cell r="W523">
            <v>0.25</v>
          </cell>
          <cell r="X523">
            <v>0.75</v>
          </cell>
        </row>
        <row r="524">
          <cell r="Q524">
            <v>18</v>
          </cell>
          <cell r="R524">
            <v>0</v>
          </cell>
          <cell r="S524">
            <v>0</v>
          </cell>
          <cell r="T524">
            <v>0</v>
          </cell>
          <cell r="U524">
            <v>0</v>
          </cell>
          <cell r="V524">
            <v>0</v>
          </cell>
          <cell r="W524">
            <v>0.25</v>
          </cell>
          <cell r="X524">
            <v>0.75</v>
          </cell>
        </row>
        <row r="525">
          <cell r="Q525">
            <v>17</v>
          </cell>
          <cell r="R525">
            <v>0</v>
          </cell>
          <cell r="S525">
            <v>0</v>
          </cell>
          <cell r="T525">
            <v>0</v>
          </cell>
          <cell r="U525">
            <v>0</v>
          </cell>
          <cell r="V525">
            <v>0</v>
          </cell>
          <cell r="W525">
            <v>0.25</v>
          </cell>
          <cell r="X525">
            <v>0.75</v>
          </cell>
        </row>
        <row r="526">
          <cell r="Q526">
            <v>16</v>
          </cell>
          <cell r="R526">
            <v>0</v>
          </cell>
          <cell r="S526">
            <v>0</v>
          </cell>
          <cell r="T526">
            <v>0</v>
          </cell>
          <cell r="U526">
            <v>0</v>
          </cell>
          <cell r="V526">
            <v>0</v>
          </cell>
          <cell r="W526">
            <v>0.25</v>
          </cell>
          <cell r="X526">
            <v>0.75</v>
          </cell>
        </row>
        <row r="527">
          <cell r="Q527">
            <v>15</v>
          </cell>
          <cell r="R527">
            <v>0</v>
          </cell>
          <cell r="S527">
            <v>0</v>
          </cell>
          <cell r="T527">
            <v>0</v>
          </cell>
          <cell r="U527">
            <v>0</v>
          </cell>
          <cell r="V527">
            <v>0</v>
          </cell>
          <cell r="W527">
            <v>0.25</v>
          </cell>
          <cell r="X527">
            <v>0.75</v>
          </cell>
        </row>
        <row r="528">
          <cell r="Q528">
            <v>14</v>
          </cell>
          <cell r="R528">
            <v>0</v>
          </cell>
          <cell r="S528">
            <v>0</v>
          </cell>
          <cell r="T528">
            <v>0</v>
          </cell>
          <cell r="U528">
            <v>0</v>
          </cell>
          <cell r="V528">
            <v>0</v>
          </cell>
          <cell r="W528">
            <v>0.25</v>
          </cell>
          <cell r="X528">
            <v>0.75</v>
          </cell>
        </row>
        <row r="529">
          <cell r="Q529">
            <v>13</v>
          </cell>
          <cell r="R529">
            <v>0</v>
          </cell>
          <cell r="S529">
            <v>0</v>
          </cell>
          <cell r="T529">
            <v>0</v>
          </cell>
          <cell r="U529">
            <v>0</v>
          </cell>
          <cell r="V529">
            <v>0</v>
          </cell>
          <cell r="W529">
            <v>0.25</v>
          </cell>
          <cell r="X529">
            <v>0.75</v>
          </cell>
        </row>
        <row r="530">
          <cell r="Q530">
            <v>12</v>
          </cell>
          <cell r="R530">
            <v>0</v>
          </cell>
          <cell r="S530">
            <v>0</v>
          </cell>
          <cell r="T530">
            <v>0</v>
          </cell>
          <cell r="U530">
            <v>0</v>
          </cell>
          <cell r="V530">
            <v>0</v>
          </cell>
          <cell r="W530">
            <v>0.125</v>
          </cell>
          <cell r="X530">
            <v>0.875</v>
          </cell>
        </row>
        <row r="531">
          <cell r="Q531">
            <v>11</v>
          </cell>
          <cell r="R531">
            <v>0</v>
          </cell>
          <cell r="S531">
            <v>0</v>
          </cell>
          <cell r="T531">
            <v>0</v>
          </cell>
          <cell r="U531">
            <v>0</v>
          </cell>
          <cell r="V531">
            <v>0</v>
          </cell>
          <cell r="W531">
            <v>0.125</v>
          </cell>
          <cell r="X531">
            <v>0.875</v>
          </cell>
        </row>
        <row r="532">
          <cell r="Q532">
            <v>10</v>
          </cell>
          <cell r="R532">
            <v>0</v>
          </cell>
          <cell r="S532">
            <v>0</v>
          </cell>
          <cell r="T532">
            <v>0</v>
          </cell>
          <cell r="U532">
            <v>0</v>
          </cell>
          <cell r="V532">
            <v>0</v>
          </cell>
          <cell r="W532">
            <v>0.125</v>
          </cell>
          <cell r="X532">
            <v>0.875</v>
          </cell>
        </row>
        <row r="533">
          <cell r="Q533">
            <v>9</v>
          </cell>
          <cell r="R533">
            <v>0</v>
          </cell>
          <cell r="S533">
            <v>0</v>
          </cell>
          <cell r="T533">
            <v>0</v>
          </cell>
          <cell r="U533">
            <v>0</v>
          </cell>
          <cell r="V533">
            <v>0</v>
          </cell>
          <cell r="W533">
            <v>0.125</v>
          </cell>
          <cell r="X533">
            <v>0.875</v>
          </cell>
        </row>
        <row r="534">
          <cell r="Q534">
            <v>8</v>
          </cell>
          <cell r="R534">
            <v>0</v>
          </cell>
          <cell r="S534">
            <v>0</v>
          </cell>
          <cell r="T534">
            <v>0</v>
          </cell>
          <cell r="U534">
            <v>0</v>
          </cell>
          <cell r="V534">
            <v>0</v>
          </cell>
          <cell r="W534">
            <v>0.125</v>
          </cell>
          <cell r="X534">
            <v>0.875</v>
          </cell>
        </row>
        <row r="535">
          <cell r="Q535">
            <v>7</v>
          </cell>
          <cell r="R535">
            <v>0</v>
          </cell>
          <cell r="S535">
            <v>0</v>
          </cell>
          <cell r="T535">
            <v>0</v>
          </cell>
          <cell r="U535">
            <v>0</v>
          </cell>
          <cell r="V535">
            <v>0</v>
          </cell>
          <cell r="W535">
            <v>0.125</v>
          </cell>
          <cell r="X535">
            <v>0.875</v>
          </cell>
        </row>
        <row r="536">
          <cell r="Q536">
            <v>6</v>
          </cell>
          <cell r="R536">
            <v>0</v>
          </cell>
          <cell r="S536">
            <v>0</v>
          </cell>
          <cell r="T536">
            <v>0</v>
          </cell>
          <cell r="U536">
            <v>0</v>
          </cell>
          <cell r="V536">
            <v>0</v>
          </cell>
          <cell r="W536">
            <v>0.125</v>
          </cell>
          <cell r="X536">
            <v>0.875</v>
          </cell>
        </row>
        <row r="537">
          <cell r="Q537">
            <v>5</v>
          </cell>
          <cell r="R537">
            <v>0</v>
          </cell>
          <cell r="S537">
            <v>0</v>
          </cell>
          <cell r="T537">
            <v>0</v>
          </cell>
          <cell r="U537">
            <v>0</v>
          </cell>
          <cell r="V537">
            <v>0</v>
          </cell>
          <cell r="W537">
            <v>0.125</v>
          </cell>
          <cell r="X537">
            <v>0.875</v>
          </cell>
        </row>
        <row r="538">
          <cell r="Q538">
            <v>4</v>
          </cell>
          <cell r="R538">
            <v>0</v>
          </cell>
          <cell r="S538">
            <v>0</v>
          </cell>
          <cell r="T538">
            <v>0</v>
          </cell>
          <cell r="U538">
            <v>0</v>
          </cell>
          <cell r="V538">
            <v>0</v>
          </cell>
          <cell r="W538">
            <v>0.125</v>
          </cell>
          <cell r="X538">
            <v>0.875</v>
          </cell>
        </row>
        <row r="539">
          <cell r="Q539">
            <v>3</v>
          </cell>
          <cell r="R539">
            <v>0</v>
          </cell>
          <cell r="S539">
            <v>0</v>
          </cell>
          <cell r="T539">
            <v>0</v>
          </cell>
          <cell r="U539">
            <v>0</v>
          </cell>
          <cell r="V539">
            <v>0</v>
          </cell>
          <cell r="W539">
            <v>0.125</v>
          </cell>
          <cell r="X539">
            <v>0.875</v>
          </cell>
        </row>
        <row r="540">
          <cell r="Q540">
            <v>2</v>
          </cell>
          <cell r="R540">
            <v>0</v>
          </cell>
          <cell r="S540">
            <v>0</v>
          </cell>
          <cell r="T540">
            <v>0</v>
          </cell>
          <cell r="U540">
            <v>0</v>
          </cell>
          <cell r="V540">
            <v>0</v>
          </cell>
          <cell r="W540">
            <v>0.125</v>
          </cell>
          <cell r="X540">
            <v>0.875</v>
          </cell>
        </row>
        <row r="541">
          <cell r="Q541">
            <v>1</v>
          </cell>
          <cell r="R541">
            <v>0</v>
          </cell>
          <cell r="S541">
            <v>0</v>
          </cell>
          <cell r="T541">
            <v>0</v>
          </cell>
          <cell r="U541">
            <v>0</v>
          </cell>
          <cell r="V541">
            <v>0</v>
          </cell>
          <cell r="W541">
            <v>0.125</v>
          </cell>
          <cell r="X541">
            <v>0.875</v>
          </cell>
        </row>
        <row r="542">
          <cell r="Q542">
            <v>0</v>
          </cell>
          <cell r="R542">
            <v>0</v>
          </cell>
          <cell r="S542">
            <v>0</v>
          </cell>
          <cell r="T542">
            <v>0</v>
          </cell>
          <cell r="U542">
            <v>0</v>
          </cell>
          <cell r="V542">
            <v>0</v>
          </cell>
          <cell r="W542">
            <v>0</v>
          </cell>
          <cell r="X542">
            <v>1</v>
          </cell>
        </row>
      </sheetData>
      <sheetData sheetId="7" refreshError="1">
        <row r="1">
          <cell r="Q1" t="str">
            <v>Month</v>
          </cell>
          <cell r="R1" t="str">
            <v>Allianz Strategy Select 75</v>
          </cell>
          <cell r="S1" t="str">
            <v>Allianz Strategy Select 30</v>
          </cell>
          <cell r="T1" t="str">
            <v>Allianz Advanced Fixed Income Short Duration</v>
          </cell>
        </row>
        <row r="2">
          <cell r="Q2">
            <v>540</v>
          </cell>
          <cell r="R2">
            <v>0.88888888888888884</v>
          </cell>
          <cell r="S2">
            <v>0.11111111111111116</v>
          </cell>
          <cell r="T2">
            <v>0</v>
          </cell>
          <cell r="U2">
            <v>0</v>
          </cell>
          <cell r="V2">
            <v>0</v>
          </cell>
          <cell r="W2">
            <v>0</v>
          </cell>
        </row>
        <row r="3">
          <cell r="Q3">
            <v>539</v>
          </cell>
          <cell r="R3">
            <v>0.88888888888888884</v>
          </cell>
          <cell r="S3">
            <v>0.11111111111111116</v>
          </cell>
          <cell r="T3">
            <v>0</v>
          </cell>
          <cell r="U3">
            <v>0</v>
          </cell>
          <cell r="V3">
            <v>0</v>
          </cell>
          <cell r="W3">
            <v>0</v>
          </cell>
        </row>
        <row r="4">
          <cell r="Q4">
            <v>538</v>
          </cell>
          <cell r="R4">
            <v>0.88888888888888884</v>
          </cell>
          <cell r="S4">
            <v>0.11111111111111116</v>
          </cell>
          <cell r="T4">
            <v>0</v>
          </cell>
          <cell r="U4">
            <v>0</v>
          </cell>
          <cell r="V4">
            <v>0</v>
          </cell>
          <cell r="W4">
            <v>0</v>
          </cell>
        </row>
        <row r="5">
          <cell r="Q5">
            <v>537</v>
          </cell>
          <cell r="R5">
            <v>0.88888888888888884</v>
          </cell>
          <cell r="S5">
            <v>0.11111111111111116</v>
          </cell>
          <cell r="T5">
            <v>0</v>
          </cell>
          <cell r="U5">
            <v>0</v>
          </cell>
          <cell r="V5">
            <v>0</v>
          </cell>
          <cell r="W5">
            <v>0</v>
          </cell>
        </row>
        <row r="6">
          <cell r="Q6">
            <v>536</v>
          </cell>
          <cell r="R6">
            <v>0.88888888888888884</v>
          </cell>
          <cell r="S6">
            <v>0.11111111111111116</v>
          </cell>
          <cell r="T6">
            <v>0</v>
          </cell>
          <cell r="U6">
            <v>0</v>
          </cell>
          <cell r="V6">
            <v>0</v>
          </cell>
          <cell r="W6">
            <v>0</v>
          </cell>
        </row>
        <row r="7">
          <cell r="Q7">
            <v>535</v>
          </cell>
          <cell r="R7">
            <v>0.88888888888888884</v>
          </cell>
          <cell r="S7">
            <v>0.11111111111111116</v>
          </cell>
          <cell r="T7">
            <v>0</v>
          </cell>
          <cell r="U7">
            <v>0</v>
          </cell>
          <cell r="V7">
            <v>0</v>
          </cell>
          <cell r="W7">
            <v>0</v>
          </cell>
        </row>
        <row r="8">
          <cell r="Q8">
            <v>534</v>
          </cell>
          <cell r="R8">
            <v>0.88888888888888884</v>
          </cell>
          <cell r="S8">
            <v>0.11111111111111116</v>
          </cell>
          <cell r="T8">
            <v>0</v>
          </cell>
          <cell r="U8">
            <v>0</v>
          </cell>
          <cell r="V8">
            <v>0</v>
          </cell>
          <cell r="W8">
            <v>0</v>
          </cell>
        </row>
        <row r="9">
          <cell r="Q9">
            <v>533</v>
          </cell>
          <cell r="R9">
            <v>0.88888888888888884</v>
          </cell>
          <cell r="S9">
            <v>0.11111111111111116</v>
          </cell>
          <cell r="T9">
            <v>0</v>
          </cell>
          <cell r="U9">
            <v>0</v>
          </cell>
          <cell r="V9">
            <v>0</v>
          </cell>
          <cell r="W9">
            <v>0</v>
          </cell>
        </row>
        <row r="10">
          <cell r="Q10">
            <v>532</v>
          </cell>
          <cell r="R10">
            <v>0.88888888888888884</v>
          </cell>
          <cell r="S10">
            <v>0.11111111111111116</v>
          </cell>
          <cell r="T10">
            <v>0</v>
          </cell>
          <cell r="U10">
            <v>0</v>
          </cell>
          <cell r="V10">
            <v>0</v>
          </cell>
          <cell r="W10">
            <v>0</v>
          </cell>
        </row>
        <row r="11">
          <cell r="Q11">
            <v>531</v>
          </cell>
          <cell r="R11">
            <v>0.88888888888888884</v>
          </cell>
          <cell r="S11">
            <v>0.11111111111111116</v>
          </cell>
          <cell r="T11">
            <v>0</v>
          </cell>
          <cell r="U11">
            <v>0</v>
          </cell>
          <cell r="V11">
            <v>0</v>
          </cell>
          <cell r="W11">
            <v>0</v>
          </cell>
        </row>
        <row r="12">
          <cell r="Q12">
            <v>530</v>
          </cell>
          <cell r="R12">
            <v>0.88888888888888884</v>
          </cell>
          <cell r="S12">
            <v>0.11111111111111116</v>
          </cell>
          <cell r="T12">
            <v>0</v>
          </cell>
          <cell r="U12">
            <v>0</v>
          </cell>
          <cell r="V12">
            <v>0</v>
          </cell>
          <cell r="W12">
            <v>0</v>
          </cell>
        </row>
        <row r="13">
          <cell r="Q13">
            <v>529</v>
          </cell>
          <cell r="R13">
            <v>0.88888888888888884</v>
          </cell>
          <cell r="S13">
            <v>0.11111111111111116</v>
          </cell>
          <cell r="T13">
            <v>0</v>
          </cell>
          <cell r="U13">
            <v>0</v>
          </cell>
          <cell r="V13">
            <v>0</v>
          </cell>
          <cell r="W13">
            <v>0</v>
          </cell>
        </row>
        <row r="14">
          <cell r="Q14">
            <v>528</v>
          </cell>
          <cell r="R14">
            <v>0.88888888888888884</v>
          </cell>
          <cell r="S14">
            <v>0.11111111111111116</v>
          </cell>
          <cell r="T14">
            <v>0</v>
          </cell>
          <cell r="U14">
            <v>0</v>
          </cell>
          <cell r="V14">
            <v>0</v>
          </cell>
          <cell r="W14">
            <v>0</v>
          </cell>
        </row>
        <row r="15">
          <cell r="Q15">
            <v>527</v>
          </cell>
          <cell r="R15">
            <v>0.88888888888888884</v>
          </cell>
          <cell r="S15">
            <v>0.11111111111111116</v>
          </cell>
          <cell r="T15">
            <v>0</v>
          </cell>
          <cell r="U15">
            <v>0</v>
          </cell>
          <cell r="V15">
            <v>0</v>
          </cell>
          <cell r="W15">
            <v>0</v>
          </cell>
        </row>
        <row r="16">
          <cell r="Q16">
            <v>526</v>
          </cell>
          <cell r="R16">
            <v>0.88888888888888884</v>
          </cell>
          <cell r="S16">
            <v>0.11111111111111116</v>
          </cell>
          <cell r="T16">
            <v>0</v>
          </cell>
          <cell r="U16">
            <v>0</v>
          </cell>
          <cell r="V16">
            <v>0</v>
          </cell>
          <cell r="W16">
            <v>0</v>
          </cell>
        </row>
        <row r="17">
          <cell r="Q17">
            <v>525</v>
          </cell>
          <cell r="R17">
            <v>0.88888888888888884</v>
          </cell>
          <cell r="S17">
            <v>0.11111111111111116</v>
          </cell>
          <cell r="T17">
            <v>0</v>
          </cell>
          <cell r="U17">
            <v>0</v>
          </cell>
          <cell r="V17">
            <v>0</v>
          </cell>
          <cell r="W17">
            <v>0</v>
          </cell>
        </row>
        <row r="18">
          <cell r="Q18">
            <v>524</v>
          </cell>
          <cell r="R18">
            <v>0.88888888888888884</v>
          </cell>
          <cell r="S18">
            <v>0.11111111111111116</v>
          </cell>
          <cell r="T18">
            <v>0</v>
          </cell>
          <cell r="U18">
            <v>0</v>
          </cell>
          <cell r="V18">
            <v>0</v>
          </cell>
          <cell r="W18">
            <v>0</v>
          </cell>
        </row>
        <row r="19">
          <cell r="Q19">
            <v>523</v>
          </cell>
          <cell r="R19">
            <v>0.88888888888888884</v>
          </cell>
          <cell r="S19">
            <v>0.11111111111111116</v>
          </cell>
          <cell r="T19">
            <v>0</v>
          </cell>
          <cell r="U19">
            <v>0</v>
          </cell>
          <cell r="V19">
            <v>0</v>
          </cell>
          <cell r="W19">
            <v>0</v>
          </cell>
        </row>
        <row r="20">
          <cell r="Q20">
            <v>522</v>
          </cell>
          <cell r="R20">
            <v>0.88888888888888884</v>
          </cell>
          <cell r="S20">
            <v>0.11111111111111116</v>
          </cell>
          <cell r="T20">
            <v>0</v>
          </cell>
          <cell r="U20">
            <v>0</v>
          </cell>
          <cell r="V20">
            <v>0</v>
          </cell>
          <cell r="W20">
            <v>0</v>
          </cell>
        </row>
        <row r="21">
          <cell r="Q21">
            <v>521</v>
          </cell>
          <cell r="R21">
            <v>0.88888888888888884</v>
          </cell>
          <cell r="S21">
            <v>0.11111111111111116</v>
          </cell>
          <cell r="T21">
            <v>0</v>
          </cell>
          <cell r="U21">
            <v>0</v>
          </cell>
          <cell r="V21">
            <v>0</v>
          </cell>
          <cell r="W21">
            <v>0</v>
          </cell>
        </row>
        <row r="22">
          <cell r="Q22">
            <v>520</v>
          </cell>
          <cell r="R22">
            <v>0.88888888888888884</v>
          </cell>
          <cell r="S22">
            <v>0.11111111111111116</v>
          </cell>
          <cell r="T22">
            <v>0</v>
          </cell>
          <cell r="U22">
            <v>0</v>
          </cell>
          <cell r="V22">
            <v>0</v>
          </cell>
          <cell r="W22">
            <v>0</v>
          </cell>
        </row>
        <row r="23">
          <cell r="Q23">
            <v>519</v>
          </cell>
          <cell r="R23">
            <v>0.88888888888888884</v>
          </cell>
          <cell r="S23">
            <v>0.11111111111111116</v>
          </cell>
          <cell r="T23">
            <v>0</v>
          </cell>
          <cell r="U23">
            <v>0</v>
          </cell>
          <cell r="V23">
            <v>0</v>
          </cell>
          <cell r="W23">
            <v>0</v>
          </cell>
        </row>
        <row r="24">
          <cell r="Q24">
            <v>518</v>
          </cell>
          <cell r="R24">
            <v>0.88888888888888884</v>
          </cell>
          <cell r="S24">
            <v>0.11111111111111116</v>
          </cell>
          <cell r="T24">
            <v>0</v>
          </cell>
          <cell r="U24">
            <v>0</v>
          </cell>
          <cell r="V24">
            <v>0</v>
          </cell>
          <cell r="W24">
            <v>0</v>
          </cell>
        </row>
        <row r="25">
          <cell r="Q25">
            <v>517</v>
          </cell>
          <cell r="R25">
            <v>0.88888888888888884</v>
          </cell>
          <cell r="S25">
            <v>0.11111111111111116</v>
          </cell>
          <cell r="T25">
            <v>0</v>
          </cell>
          <cell r="U25">
            <v>0</v>
          </cell>
          <cell r="V25">
            <v>0</v>
          </cell>
          <cell r="W25">
            <v>0</v>
          </cell>
        </row>
        <row r="26">
          <cell r="Q26">
            <v>516</v>
          </cell>
          <cell r="R26">
            <v>0.88888888888888884</v>
          </cell>
          <cell r="S26">
            <v>0.11111111111111116</v>
          </cell>
          <cell r="T26">
            <v>0</v>
          </cell>
          <cell r="U26">
            <v>0</v>
          </cell>
          <cell r="V26">
            <v>0</v>
          </cell>
          <cell r="W26">
            <v>0</v>
          </cell>
        </row>
        <row r="27">
          <cell r="Q27">
            <v>515</v>
          </cell>
          <cell r="R27">
            <v>0.88888888888888884</v>
          </cell>
          <cell r="S27">
            <v>0.11111111111111116</v>
          </cell>
          <cell r="T27">
            <v>0</v>
          </cell>
          <cell r="U27">
            <v>0</v>
          </cell>
          <cell r="V27">
            <v>0</v>
          </cell>
          <cell r="W27">
            <v>0</v>
          </cell>
        </row>
        <row r="28">
          <cell r="Q28">
            <v>514</v>
          </cell>
          <cell r="R28">
            <v>0.88888888888888884</v>
          </cell>
          <cell r="S28">
            <v>0.11111111111111116</v>
          </cell>
          <cell r="T28">
            <v>0</v>
          </cell>
          <cell r="U28">
            <v>0</v>
          </cell>
          <cell r="V28">
            <v>0</v>
          </cell>
          <cell r="W28">
            <v>0</v>
          </cell>
        </row>
        <row r="29">
          <cell r="Q29">
            <v>513</v>
          </cell>
          <cell r="R29">
            <v>0.88888888888888884</v>
          </cell>
          <cell r="S29">
            <v>0.11111111111111116</v>
          </cell>
          <cell r="T29">
            <v>0</v>
          </cell>
          <cell r="U29">
            <v>0</v>
          </cell>
          <cell r="V29">
            <v>0</v>
          </cell>
          <cell r="W29">
            <v>0</v>
          </cell>
        </row>
        <row r="30">
          <cell r="Q30">
            <v>512</v>
          </cell>
          <cell r="R30">
            <v>0.88888888888888884</v>
          </cell>
          <cell r="S30">
            <v>0.11111111111111116</v>
          </cell>
          <cell r="T30">
            <v>0</v>
          </cell>
          <cell r="U30">
            <v>0</v>
          </cell>
          <cell r="V30">
            <v>0</v>
          </cell>
          <cell r="W30">
            <v>0</v>
          </cell>
        </row>
        <row r="31">
          <cell r="Q31">
            <v>511</v>
          </cell>
          <cell r="R31">
            <v>0.88888888888888884</v>
          </cell>
          <cell r="S31">
            <v>0.11111111111111116</v>
          </cell>
          <cell r="T31">
            <v>0</v>
          </cell>
          <cell r="U31">
            <v>0</v>
          </cell>
          <cell r="V31">
            <v>0</v>
          </cell>
          <cell r="W31">
            <v>0</v>
          </cell>
        </row>
        <row r="32">
          <cell r="Q32">
            <v>510</v>
          </cell>
          <cell r="R32">
            <v>0.88888888888888884</v>
          </cell>
          <cell r="S32">
            <v>0.11111111111111116</v>
          </cell>
          <cell r="T32">
            <v>0</v>
          </cell>
          <cell r="U32">
            <v>0</v>
          </cell>
          <cell r="V32">
            <v>0</v>
          </cell>
          <cell r="W32">
            <v>0</v>
          </cell>
        </row>
        <row r="33">
          <cell r="Q33">
            <v>509</v>
          </cell>
          <cell r="R33">
            <v>0.88888888888888884</v>
          </cell>
          <cell r="S33">
            <v>0.11111111111111116</v>
          </cell>
          <cell r="T33">
            <v>0</v>
          </cell>
          <cell r="U33">
            <v>0</v>
          </cell>
          <cell r="V33">
            <v>0</v>
          </cell>
          <cell r="W33">
            <v>0</v>
          </cell>
        </row>
        <row r="34">
          <cell r="Q34">
            <v>508</v>
          </cell>
          <cell r="R34">
            <v>0.88888888888888884</v>
          </cell>
          <cell r="S34">
            <v>0.11111111111111116</v>
          </cell>
          <cell r="T34">
            <v>0</v>
          </cell>
          <cell r="U34">
            <v>0</v>
          </cell>
          <cell r="V34">
            <v>0</v>
          </cell>
          <cell r="W34">
            <v>0</v>
          </cell>
        </row>
        <row r="35">
          <cell r="Q35">
            <v>507</v>
          </cell>
          <cell r="R35">
            <v>0.88888888888888884</v>
          </cell>
          <cell r="S35">
            <v>0.11111111111111116</v>
          </cell>
          <cell r="T35">
            <v>0</v>
          </cell>
          <cell r="U35">
            <v>0</v>
          </cell>
          <cell r="V35">
            <v>0</v>
          </cell>
          <cell r="W35">
            <v>0</v>
          </cell>
        </row>
        <row r="36">
          <cell r="Q36">
            <v>506</v>
          </cell>
          <cell r="R36">
            <v>0.88888888888888884</v>
          </cell>
          <cell r="S36">
            <v>0.11111111111111116</v>
          </cell>
          <cell r="T36">
            <v>0</v>
          </cell>
          <cell r="U36">
            <v>0</v>
          </cell>
          <cell r="V36">
            <v>0</v>
          </cell>
          <cell r="W36">
            <v>0</v>
          </cell>
        </row>
        <row r="37">
          <cell r="Q37">
            <v>505</v>
          </cell>
          <cell r="R37">
            <v>0.88888888888888884</v>
          </cell>
          <cell r="S37">
            <v>0.11111111111111116</v>
          </cell>
          <cell r="T37">
            <v>0</v>
          </cell>
          <cell r="U37">
            <v>0</v>
          </cell>
          <cell r="V37">
            <v>0</v>
          </cell>
          <cell r="W37">
            <v>0</v>
          </cell>
        </row>
        <row r="38">
          <cell r="Q38">
            <v>504</v>
          </cell>
          <cell r="R38">
            <v>0.88888888888888884</v>
          </cell>
          <cell r="S38">
            <v>0.11111111111111116</v>
          </cell>
          <cell r="T38">
            <v>0</v>
          </cell>
          <cell r="U38">
            <v>0</v>
          </cell>
          <cell r="V38">
            <v>0</v>
          </cell>
          <cell r="W38">
            <v>0</v>
          </cell>
        </row>
        <row r="39">
          <cell r="Q39">
            <v>503</v>
          </cell>
          <cell r="R39">
            <v>0.88888888888888884</v>
          </cell>
          <cell r="S39">
            <v>0.11111111111111116</v>
          </cell>
          <cell r="T39">
            <v>0</v>
          </cell>
          <cell r="U39">
            <v>0</v>
          </cell>
          <cell r="V39">
            <v>0</v>
          </cell>
          <cell r="W39">
            <v>0</v>
          </cell>
        </row>
        <row r="40">
          <cell r="Q40">
            <v>502</v>
          </cell>
          <cell r="R40">
            <v>0.88888888888888884</v>
          </cell>
          <cell r="S40">
            <v>0.11111111111111116</v>
          </cell>
          <cell r="T40">
            <v>0</v>
          </cell>
          <cell r="U40">
            <v>0</v>
          </cell>
          <cell r="V40">
            <v>0</v>
          </cell>
          <cell r="W40">
            <v>0</v>
          </cell>
        </row>
        <row r="41">
          <cell r="Q41">
            <v>501</v>
          </cell>
          <cell r="R41">
            <v>0.88888888888888884</v>
          </cell>
          <cell r="S41">
            <v>0.11111111111111116</v>
          </cell>
          <cell r="T41">
            <v>0</v>
          </cell>
          <cell r="U41">
            <v>0</v>
          </cell>
          <cell r="V41">
            <v>0</v>
          </cell>
          <cell r="W41">
            <v>0</v>
          </cell>
        </row>
        <row r="42">
          <cell r="Q42">
            <v>500</v>
          </cell>
          <cell r="R42">
            <v>0.88888888888888884</v>
          </cell>
          <cell r="S42">
            <v>0.11111111111111116</v>
          </cell>
          <cell r="T42">
            <v>0</v>
          </cell>
          <cell r="U42">
            <v>0</v>
          </cell>
          <cell r="V42">
            <v>0</v>
          </cell>
          <cell r="W42">
            <v>0</v>
          </cell>
        </row>
        <row r="43">
          <cell r="Q43">
            <v>499</v>
          </cell>
          <cell r="R43">
            <v>0.88888888888888884</v>
          </cell>
          <cell r="S43">
            <v>0.11111111111111116</v>
          </cell>
          <cell r="T43">
            <v>0</v>
          </cell>
          <cell r="U43">
            <v>0</v>
          </cell>
          <cell r="V43">
            <v>0</v>
          </cell>
          <cell r="W43">
            <v>0</v>
          </cell>
        </row>
        <row r="44">
          <cell r="Q44">
            <v>498</v>
          </cell>
          <cell r="R44">
            <v>0.88888888888888884</v>
          </cell>
          <cell r="S44">
            <v>0.11111111111111116</v>
          </cell>
          <cell r="T44">
            <v>0</v>
          </cell>
          <cell r="U44">
            <v>0</v>
          </cell>
          <cell r="V44">
            <v>0</v>
          </cell>
          <cell r="W44">
            <v>0</v>
          </cell>
        </row>
        <row r="45">
          <cell r="Q45">
            <v>497</v>
          </cell>
          <cell r="R45">
            <v>0.88888888888888884</v>
          </cell>
          <cell r="S45">
            <v>0.11111111111111116</v>
          </cell>
          <cell r="T45">
            <v>0</v>
          </cell>
          <cell r="U45">
            <v>0</v>
          </cell>
          <cell r="V45">
            <v>0</v>
          </cell>
          <cell r="W45">
            <v>0</v>
          </cell>
        </row>
        <row r="46">
          <cell r="Q46">
            <v>496</v>
          </cell>
          <cell r="R46">
            <v>0.88888888888888884</v>
          </cell>
          <cell r="S46">
            <v>0.11111111111111116</v>
          </cell>
          <cell r="T46">
            <v>0</v>
          </cell>
          <cell r="U46">
            <v>0</v>
          </cell>
          <cell r="V46">
            <v>0</v>
          </cell>
          <cell r="W46">
            <v>0</v>
          </cell>
        </row>
        <row r="47">
          <cell r="Q47">
            <v>495</v>
          </cell>
          <cell r="R47">
            <v>0.88888888888888884</v>
          </cell>
          <cell r="S47">
            <v>0.11111111111111116</v>
          </cell>
          <cell r="T47">
            <v>0</v>
          </cell>
          <cell r="U47">
            <v>0</v>
          </cell>
          <cell r="V47">
            <v>0</v>
          </cell>
          <cell r="W47">
            <v>0</v>
          </cell>
        </row>
        <row r="48">
          <cell r="Q48">
            <v>494</v>
          </cell>
          <cell r="R48">
            <v>0.88888888888888884</v>
          </cell>
          <cell r="S48">
            <v>0.11111111111111116</v>
          </cell>
          <cell r="T48">
            <v>0</v>
          </cell>
          <cell r="U48">
            <v>0</v>
          </cell>
          <cell r="V48">
            <v>0</v>
          </cell>
          <cell r="W48">
            <v>0</v>
          </cell>
        </row>
        <row r="49">
          <cell r="Q49">
            <v>493</v>
          </cell>
          <cell r="R49">
            <v>0.88888888888888884</v>
          </cell>
          <cell r="S49">
            <v>0.11111111111111116</v>
          </cell>
          <cell r="T49">
            <v>0</v>
          </cell>
          <cell r="U49">
            <v>0</v>
          </cell>
          <cell r="V49">
            <v>0</v>
          </cell>
          <cell r="W49">
            <v>0</v>
          </cell>
        </row>
        <row r="50">
          <cell r="Q50">
            <v>492</v>
          </cell>
          <cell r="R50">
            <v>0.88888888888888884</v>
          </cell>
          <cell r="S50">
            <v>0.11111111111111116</v>
          </cell>
          <cell r="T50">
            <v>0</v>
          </cell>
          <cell r="U50">
            <v>0</v>
          </cell>
          <cell r="V50">
            <v>0</v>
          </cell>
          <cell r="W50">
            <v>0</v>
          </cell>
        </row>
        <row r="51">
          <cell r="Q51">
            <v>491</v>
          </cell>
          <cell r="R51">
            <v>0.88888888888888884</v>
          </cell>
          <cell r="S51">
            <v>0.11111111111111116</v>
          </cell>
          <cell r="T51">
            <v>0</v>
          </cell>
          <cell r="U51">
            <v>0</v>
          </cell>
          <cell r="V51">
            <v>0</v>
          </cell>
          <cell r="W51">
            <v>0</v>
          </cell>
        </row>
        <row r="52">
          <cell r="Q52">
            <v>490</v>
          </cell>
          <cell r="R52">
            <v>0.88888888888888884</v>
          </cell>
          <cell r="S52">
            <v>0.11111111111111116</v>
          </cell>
          <cell r="T52">
            <v>0</v>
          </cell>
          <cell r="U52">
            <v>0</v>
          </cell>
          <cell r="V52">
            <v>0</v>
          </cell>
          <cell r="W52">
            <v>0</v>
          </cell>
        </row>
        <row r="53">
          <cell r="Q53">
            <v>489</v>
          </cell>
          <cell r="R53">
            <v>0.88888888888888884</v>
          </cell>
          <cell r="S53">
            <v>0.11111111111111116</v>
          </cell>
          <cell r="T53">
            <v>0</v>
          </cell>
          <cell r="U53">
            <v>0</v>
          </cell>
          <cell r="V53">
            <v>0</v>
          </cell>
          <cell r="W53">
            <v>0</v>
          </cell>
        </row>
        <row r="54">
          <cell r="Q54">
            <v>488</v>
          </cell>
          <cell r="R54">
            <v>0.88888888888888884</v>
          </cell>
          <cell r="S54">
            <v>0.11111111111111116</v>
          </cell>
          <cell r="T54">
            <v>0</v>
          </cell>
          <cell r="U54">
            <v>0</v>
          </cell>
          <cell r="V54">
            <v>0</v>
          </cell>
          <cell r="W54">
            <v>0</v>
          </cell>
        </row>
        <row r="55">
          <cell r="Q55">
            <v>487</v>
          </cell>
          <cell r="R55">
            <v>0.88888888888888884</v>
          </cell>
          <cell r="S55">
            <v>0.11111111111111116</v>
          </cell>
          <cell r="T55">
            <v>0</v>
          </cell>
          <cell r="U55">
            <v>0</v>
          </cell>
          <cell r="V55">
            <v>0</v>
          </cell>
          <cell r="W55">
            <v>0</v>
          </cell>
        </row>
        <row r="56">
          <cell r="Q56">
            <v>486</v>
          </cell>
          <cell r="R56">
            <v>0.88888888888888884</v>
          </cell>
          <cell r="S56">
            <v>0.11111111111111116</v>
          </cell>
          <cell r="T56">
            <v>0</v>
          </cell>
          <cell r="U56">
            <v>0</v>
          </cell>
          <cell r="V56">
            <v>0</v>
          </cell>
          <cell r="W56">
            <v>0</v>
          </cell>
        </row>
        <row r="57">
          <cell r="Q57">
            <v>485</v>
          </cell>
          <cell r="R57">
            <v>0.88888888888888884</v>
          </cell>
          <cell r="S57">
            <v>0.11111111111111116</v>
          </cell>
          <cell r="T57">
            <v>0</v>
          </cell>
          <cell r="U57">
            <v>0</v>
          </cell>
          <cell r="V57">
            <v>0</v>
          </cell>
          <cell r="W57">
            <v>0</v>
          </cell>
        </row>
        <row r="58">
          <cell r="Q58">
            <v>484</v>
          </cell>
          <cell r="R58">
            <v>0.88888888888888884</v>
          </cell>
          <cell r="S58">
            <v>0.11111111111111116</v>
          </cell>
          <cell r="T58">
            <v>0</v>
          </cell>
          <cell r="U58">
            <v>0</v>
          </cell>
          <cell r="V58">
            <v>0</v>
          </cell>
          <cell r="W58">
            <v>0</v>
          </cell>
        </row>
        <row r="59">
          <cell r="Q59">
            <v>483</v>
          </cell>
          <cell r="R59">
            <v>0.88888888888888884</v>
          </cell>
          <cell r="S59">
            <v>0.11111111111111116</v>
          </cell>
          <cell r="T59">
            <v>0</v>
          </cell>
          <cell r="U59">
            <v>0</v>
          </cell>
          <cell r="V59">
            <v>0</v>
          </cell>
          <cell r="W59">
            <v>0</v>
          </cell>
        </row>
        <row r="60">
          <cell r="Q60">
            <v>482</v>
          </cell>
          <cell r="R60">
            <v>0.88888888888888884</v>
          </cell>
          <cell r="S60">
            <v>0.11111111111111116</v>
          </cell>
          <cell r="T60">
            <v>0</v>
          </cell>
          <cell r="U60">
            <v>0</v>
          </cell>
          <cell r="V60">
            <v>0</v>
          </cell>
          <cell r="W60">
            <v>0</v>
          </cell>
        </row>
        <row r="61">
          <cell r="Q61">
            <v>481</v>
          </cell>
          <cell r="R61">
            <v>0.88888888888888884</v>
          </cell>
          <cell r="S61">
            <v>0.11111111111111116</v>
          </cell>
          <cell r="T61">
            <v>0</v>
          </cell>
          <cell r="U61">
            <v>0</v>
          </cell>
          <cell r="V61">
            <v>0</v>
          </cell>
          <cell r="W61">
            <v>0</v>
          </cell>
        </row>
        <row r="62">
          <cell r="Q62">
            <v>480</v>
          </cell>
          <cell r="R62">
            <v>0.88888888888888884</v>
          </cell>
          <cell r="S62">
            <v>0.11111111111111116</v>
          </cell>
          <cell r="T62">
            <v>0</v>
          </cell>
          <cell r="U62">
            <v>0</v>
          </cell>
          <cell r="V62">
            <v>0</v>
          </cell>
          <cell r="W62">
            <v>0</v>
          </cell>
        </row>
        <row r="63">
          <cell r="Q63">
            <v>479</v>
          </cell>
          <cell r="R63">
            <v>0.88888888888888884</v>
          </cell>
          <cell r="S63">
            <v>0.11111111111111116</v>
          </cell>
          <cell r="T63">
            <v>0</v>
          </cell>
          <cell r="U63">
            <v>0</v>
          </cell>
          <cell r="V63">
            <v>0</v>
          </cell>
          <cell r="W63">
            <v>0</v>
          </cell>
        </row>
        <row r="64">
          <cell r="Q64">
            <v>478</v>
          </cell>
          <cell r="R64">
            <v>0.88888888888888884</v>
          </cell>
          <cell r="S64">
            <v>0.11111111111111116</v>
          </cell>
          <cell r="T64">
            <v>0</v>
          </cell>
          <cell r="U64">
            <v>0</v>
          </cell>
          <cell r="V64">
            <v>0</v>
          </cell>
          <cell r="W64">
            <v>0</v>
          </cell>
        </row>
        <row r="65">
          <cell r="Q65">
            <v>477</v>
          </cell>
          <cell r="R65">
            <v>0.88888888888888884</v>
          </cell>
          <cell r="S65">
            <v>0.11111111111111116</v>
          </cell>
          <cell r="T65">
            <v>0</v>
          </cell>
          <cell r="U65">
            <v>0</v>
          </cell>
          <cell r="V65">
            <v>0</v>
          </cell>
          <cell r="W65">
            <v>0</v>
          </cell>
        </row>
        <row r="66">
          <cell r="Q66">
            <v>476</v>
          </cell>
          <cell r="R66">
            <v>0.88888888888888884</v>
          </cell>
          <cell r="S66">
            <v>0.11111111111111116</v>
          </cell>
          <cell r="T66">
            <v>0</v>
          </cell>
          <cell r="U66">
            <v>0</v>
          </cell>
          <cell r="V66">
            <v>0</v>
          </cell>
          <cell r="W66">
            <v>0</v>
          </cell>
        </row>
        <row r="67">
          <cell r="Q67">
            <v>475</v>
          </cell>
          <cell r="R67">
            <v>0.88888888888888884</v>
          </cell>
          <cell r="S67">
            <v>0.11111111111111116</v>
          </cell>
          <cell r="T67">
            <v>0</v>
          </cell>
          <cell r="U67">
            <v>0</v>
          </cell>
          <cell r="V67">
            <v>0</v>
          </cell>
          <cell r="W67">
            <v>0</v>
          </cell>
        </row>
        <row r="68">
          <cell r="Q68">
            <v>474</v>
          </cell>
          <cell r="R68">
            <v>0.88888888888888884</v>
          </cell>
          <cell r="S68">
            <v>0.11111111111111116</v>
          </cell>
          <cell r="T68">
            <v>0</v>
          </cell>
          <cell r="U68">
            <v>0</v>
          </cell>
          <cell r="V68">
            <v>0</v>
          </cell>
          <cell r="W68">
            <v>0</v>
          </cell>
        </row>
        <row r="69">
          <cell r="Q69">
            <v>473</v>
          </cell>
          <cell r="R69">
            <v>0.88888888888888884</v>
          </cell>
          <cell r="S69">
            <v>0.11111111111111116</v>
          </cell>
          <cell r="T69">
            <v>0</v>
          </cell>
          <cell r="U69">
            <v>0</v>
          </cell>
          <cell r="V69">
            <v>0</v>
          </cell>
          <cell r="W69">
            <v>0</v>
          </cell>
        </row>
        <row r="70">
          <cell r="Q70">
            <v>472</v>
          </cell>
          <cell r="R70">
            <v>0.88888888888888884</v>
          </cell>
          <cell r="S70">
            <v>0.11111111111111116</v>
          </cell>
          <cell r="T70">
            <v>0</v>
          </cell>
          <cell r="U70">
            <v>0</v>
          </cell>
          <cell r="V70">
            <v>0</v>
          </cell>
          <cell r="W70">
            <v>0</v>
          </cell>
        </row>
        <row r="71">
          <cell r="Q71">
            <v>471</v>
          </cell>
          <cell r="R71">
            <v>0.88888888888888884</v>
          </cell>
          <cell r="S71">
            <v>0.11111111111111116</v>
          </cell>
          <cell r="T71">
            <v>0</v>
          </cell>
          <cell r="U71">
            <v>0</v>
          </cell>
          <cell r="V71">
            <v>0</v>
          </cell>
          <cell r="W71">
            <v>0</v>
          </cell>
        </row>
        <row r="72">
          <cell r="Q72">
            <v>470</v>
          </cell>
          <cell r="R72">
            <v>0.88888888888888884</v>
          </cell>
          <cell r="S72">
            <v>0.11111111111111116</v>
          </cell>
          <cell r="T72">
            <v>0</v>
          </cell>
          <cell r="U72">
            <v>0</v>
          </cell>
          <cell r="V72">
            <v>0</v>
          </cell>
          <cell r="W72">
            <v>0</v>
          </cell>
        </row>
        <row r="73">
          <cell r="Q73">
            <v>469</v>
          </cell>
          <cell r="R73">
            <v>0.88888888888888884</v>
          </cell>
          <cell r="S73">
            <v>0.11111111111111116</v>
          </cell>
          <cell r="T73">
            <v>0</v>
          </cell>
          <cell r="U73">
            <v>0</v>
          </cell>
          <cell r="V73">
            <v>0</v>
          </cell>
          <cell r="W73">
            <v>0</v>
          </cell>
        </row>
        <row r="74">
          <cell r="Q74">
            <v>468</v>
          </cell>
          <cell r="R74">
            <v>0.88888888888888884</v>
          </cell>
          <cell r="S74">
            <v>0.11111111111111116</v>
          </cell>
          <cell r="T74">
            <v>0</v>
          </cell>
          <cell r="U74">
            <v>0</v>
          </cell>
          <cell r="V74">
            <v>0</v>
          </cell>
          <cell r="W74">
            <v>0</v>
          </cell>
        </row>
        <row r="75">
          <cell r="Q75">
            <v>467</v>
          </cell>
          <cell r="R75">
            <v>0.88888888888888884</v>
          </cell>
          <cell r="S75">
            <v>0.11111111111111116</v>
          </cell>
          <cell r="T75">
            <v>0</v>
          </cell>
          <cell r="U75">
            <v>0</v>
          </cell>
          <cell r="V75">
            <v>0</v>
          </cell>
          <cell r="W75">
            <v>0</v>
          </cell>
        </row>
        <row r="76">
          <cell r="Q76">
            <v>466</v>
          </cell>
          <cell r="R76">
            <v>0.88888888888888884</v>
          </cell>
          <cell r="S76">
            <v>0.11111111111111116</v>
          </cell>
          <cell r="T76">
            <v>0</v>
          </cell>
          <cell r="U76">
            <v>0</v>
          </cell>
          <cell r="V76">
            <v>0</v>
          </cell>
          <cell r="W76">
            <v>0</v>
          </cell>
        </row>
        <row r="77">
          <cell r="Q77">
            <v>465</v>
          </cell>
          <cell r="R77">
            <v>0.88888888888888884</v>
          </cell>
          <cell r="S77">
            <v>0.11111111111111116</v>
          </cell>
          <cell r="T77">
            <v>0</v>
          </cell>
          <cell r="U77">
            <v>0</v>
          </cell>
          <cell r="V77">
            <v>0</v>
          </cell>
          <cell r="W77">
            <v>0</v>
          </cell>
        </row>
        <row r="78">
          <cell r="Q78">
            <v>464</v>
          </cell>
          <cell r="R78">
            <v>0.88888888888888884</v>
          </cell>
          <cell r="S78">
            <v>0.11111111111111116</v>
          </cell>
          <cell r="T78">
            <v>0</v>
          </cell>
          <cell r="U78">
            <v>0</v>
          </cell>
          <cell r="V78">
            <v>0</v>
          </cell>
          <cell r="W78">
            <v>0</v>
          </cell>
        </row>
        <row r="79">
          <cell r="Q79">
            <v>463</v>
          </cell>
          <cell r="R79">
            <v>0.88888888888888884</v>
          </cell>
          <cell r="S79">
            <v>0.11111111111111116</v>
          </cell>
          <cell r="T79">
            <v>0</v>
          </cell>
          <cell r="U79">
            <v>0</v>
          </cell>
          <cell r="V79">
            <v>0</v>
          </cell>
          <cell r="W79">
            <v>0</v>
          </cell>
        </row>
        <row r="80">
          <cell r="Q80">
            <v>462</v>
          </cell>
          <cell r="R80">
            <v>0.88888888888888884</v>
          </cell>
          <cell r="S80">
            <v>0.11111111111111116</v>
          </cell>
          <cell r="T80">
            <v>0</v>
          </cell>
          <cell r="U80">
            <v>0</v>
          </cell>
          <cell r="V80">
            <v>0</v>
          </cell>
          <cell r="W80">
            <v>0</v>
          </cell>
        </row>
        <row r="81">
          <cell r="Q81">
            <v>461</v>
          </cell>
          <cell r="R81">
            <v>0.88888888888888884</v>
          </cell>
          <cell r="S81">
            <v>0.11111111111111116</v>
          </cell>
          <cell r="T81">
            <v>0</v>
          </cell>
          <cell r="U81">
            <v>0</v>
          </cell>
          <cell r="V81">
            <v>0</v>
          </cell>
          <cell r="W81">
            <v>0</v>
          </cell>
        </row>
        <row r="82">
          <cell r="Q82">
            <v>460</v>
          </cell>
          <cell r="R82">
            <v>0.88888888888888884</v>
          </cell>
          <cell r="S82">
            <v>0.11111111111111116</v>
          </cell>
          <cell r="T82">
            <v>0</v>
          </cell>
          <cell r="U82">
            <v>0</v>
          </cell>
          <cell r="V82">
            <v>0</v>
          </cell>
          <cell r="W82">
            <v>0</v>
          </cell>
        </row>
        <row r="83">
          <cell r="Q83">
            <v>459</v>
          </cell>
          <cell r="R83">
            <v>0.88888888888888884</v>
          </cell>
          <cell r="S83">
            <v>0.11111111111111116</v>
          </cell>
          <cell r="T83">
            <v>0</v>
          </cell>
          <cell r="U83">
            <v>0</v>
          </cell>
          <cell r="V83">
            <v>0</v>
          </cell>
          <cell r="W83">
            <v>0</v>
          </cell>
        </row>
        <row r="84">
          <cell r="Q84">
            <v>458</v>
          </cell>
          <cell r="R84">
            <v>0.88888888888888884</v>
          </cell>
          <cell r="S84">
            <v>0.11111111111111116</v>
          </cell>
          <cell r="T84">
            <v>0</v>
          </cell>
          <cell r="U84">
            <v>0</v>
          </cell>
          <cell r="V84">
            <v>0</v>
          </cell>
          <cell r="W84">
            <v>0</v>
          </cell>
        </row>
        <row r="85">
          <cell r="Q85">
            <v>457</v>
          </cell>
          <cell r="R85">
            <v>0.88888888888888884</v>
          </cell>
          <cell r="S85">
            <v>0.11111111111111116</v>
          </cell>
          <cell r="T85">
            <v>0</v>
          </cell>
          <cell r="U85">
            <v>0</v>
          </cell>
          <cell r="V85">
            <v>0</v>
          </cell>
          <cell r="W85">
            <v>0</v>
          </cell>
        </row>
        <row r="86">
          <cell r="Q86">
            <v>456</v>
          </cell>
          <cell r="R86">
            <v>0.88888888888888884</v>
          </cell>
          <cell r="S86">
            <v>0.11111111111111116</v>
          </cell>
          <cell r="T86">
            <v>0</v>
          </cell>
          <cell r="U86">
            <v>0</v>
          </cell>
          <cell r="V86">
            <v>0</v>
          </cell>
          <cell r="W86">
            <v>0</v>
          </cell>
        </row>
        <row r="87">
          <cell r="Q87">
            <v>455</v>
          </cell>
          <cell r="R87">
            <v>0.88888888888888884</v>
          </cell>
          <cell r="S87">
            <v>0.11111111111111116</v>
          </cell>
          <cell r="T87">
            <v>0</v>
          </cell>
          <cell r="U87">
            <v>0</v>
          </cell>
          <cell r="V87">
            <v>0</v>
          </cell>
          <cell r="W87">
            <v>0</v>
          </cell>
        </row>
        <row r="88">
          <cell r="Q88">
            <v>454</v>
          </cell>
          <cell r="R88">
            <v>0.88888888888888884</v>
          </cell>
          <cell r="S88">
            <v>0.11111111111111116</v>
          </cell>
          <cell r="T88">
            <v>0</v>
          </cell>
          <cell r="U88">
            <v>0</v>
          </cell>
          <cell r="V88">
            <v>0</v>
          </cell>
          <cell r="W88">
            <v>0</v>
          </cell>
        </row>
        <row r="89">
          <cell r="Q89">
            <v>453</v>
          </cell>
          <cell r="R89">
            <v>0.88888888888888884</v>
          </cell>
          <cell r="S89">
            <v>0.11111111111111116</v>
          </cell>
          <cell r="T89">
            <v>0</v>
          </cell>
          <cell r="U89">
            <v>0</v>
          </cell>
          <cell r="V89">
            <v>0</v>
          </cell>
          <cell r="W89">
            <v>0</v>
          </cell>
        </row>
        <row r="90">
          <cell r="Q90">
            <v>452</v>
          </cell>
          <cell r="R90">
            <v>0.88888888888888884</v>
          </cell>
          <cell r="S90">
            <v>0.11111111111111116</v>
          </cell>
          <cell r="T90">
            <v>0</v>
          </cell>
          <cell r="U90">
            <v>0</v>
          </cell>
          <cell r="V90">
            <v>0</v>
          </cell>
          <cell r="W90">
            <v>0</v>
          </cell>
        </row>
        <row r="91">
          <cell r="Q91">
            <v>451</v>
          </cell>
          <cell r="R91">
            <v>0.88888888888888884</v>
          </cell>
          <cell r="S91">
            <v>0.11111111111111116</v>
          </cell>
          <cell r="T91">
            <v>0</v>
          </cell>
          <cell r="U91">
            <v>0</v>
          </cell>
          <cell r="V91">
            <v>0</v>
          </cell>
          <cell r="W91">
            <v>0</v>
          </cell>
        </row>
        <row r="92">
          <cell r="Q92">
            <v>450</v>
          </cell>
          <cell r="R92">
            <v>0.88888888888888884</v>
          </cell>
          <cell r="S92">
            <v>0.11111111111111116</v>
          </cell>
          <cell r="T92">
            <v>0</v>
          </cell>
          <cell r="U92">
            <v>0</v>
          </cell>
          <cell r="V92">
            <v>0</v>
          </cell>
          <cell r="W92">
            <v>0</v>
          </cell>
        </row>
        <row r="93">
          <cell r="Q93">
            <v>449</v>
          </cell>
          <cell r="R93">
            <v>0.88888888888888884</v>
          </cell>
          <cell r="S93">
            <v>0.11111111111111116</v>
          </cell>
          <cell r="T93">
            <v>0</v>
          </cell>
          <cell r="U93">
            <v>0</v>
          </cell>
          <cell r="V93">
            <v>0</v>
          </cell>
          <cell r="W93">
            <v>0</v>
          </cell>
        </row>
        <row r="94">
          <cell r="Q94">
            <v>448</v>
          </cell>
          <cell r="R94">
            <v>0.88888888888888884</v>
          </cell>
          <cell r="S94">
            <v>0.11111111111111116</v>
          </cell>
          <cell r="T94">
            <v>0</v>
          </cell>
          <cell r="U94">
            <v>0</v>
          </cell>
          <cell r="V94">
            <v>0</v>
          </cell>
          <cell r="W94">
            <v>0</v>
          </cell>
        </row>
        <row r="95">
          <cell r="Q95">
            <v>447</v>
          </cell>
          <cell r="R95">
            <v>0.88888888888888884</v>
          </cell>
          <cell r="S95">
            <v>0.11111111111111116</v>
          </cell>
          <cell r="T95">
            <v>0</v>
          </cell>
          <cell r="U95">
            <v>0</v>
          </cell>
          <cell r="V95">
            <v>0</v>
          </cell>
          <cell r="W95">
            <v>0</v>
          </cell>
        </row>
        <row r="96">
          <cell r="Q96">
            <v>446</v>
          </cell>
          <cell r="R96">
            <v>0.88888888888888884</v>
          </cell>
          <cell r="S96">
            <v>0.11111111111111116</v>
          </cell>
          <cell r="T96">
            <v>0</v>
          </cell>
          <cell r="U96">
            <v>0</v>
          </cell>
          <cell r="V96">
            <v>0</v>
          </cell>
          <cell r="W96">
            <v>0</v>
          </cell>
        </row>
        <row r="97">
          <cell r="Q97">
            <v>445</v>
          </cell>
          <cell r="R97">
            <v>0.88888888888888884</v>
          </cell>
          <cell r="S97">
            <v>0.11111111111111116</v>
          </cell>
          <cell r="T97">
            <v>0</v>
          </cell>
          <cell r="U97">
            <v>0</v>
          </cell>
          <cell r="V97">
            <v>0</v>
          </cell>
          <cell r="W97">
            <v>0</v>
          </cell>
        </row>
        <row r="98">
          <cell r="Q98">
            <v>444</v>
          </cell>
          <cell r="R98">
            <v>0.88888888888888884</v>
          </cell>
          <cell r="S98">
            <v>0.11111111111111116</v>
          </cell>
          <cell r="T98">
            <v>0</v>
          </cell>
          <cell r="U98">
            <v>0</v>
          </cell>
          <cell r="V98">
            <v>0</v>
          </cell>
          <cell r="W98">
            <v>0</v>
          </cell>
        </row>
        <row r="99">
          <cell r="Q99">
            <v>443</v>
          </cell>
          <cell r="R99">
            <v>0.88888888888888884</v>
          </cell>
          <cell r="S99">
            <v>0.11111111111111116</v>
          </cell>
          <cell r="T99">
            <v>0</v>
          </cell>
          <cell r="U99">
            <v>0</v>
          </cell>
          <cell r="V99">
            <v>0</v>
          </cell>
          <cell r="W99">
            <v>0</v>
          </cell>
        </row>
        <row r="100">
          <cell r="Q100">
            <v>442</v>
          </cell>
          <cell r="R100">
            <v>0.88888888888888884</v>
          </cell>
          <cell r="S100">
            <v>0.11111111111111116</v>
          </cell>
          <cell r="T100">
            <v>0</v>
          </cell>
          <cell r="U100">
            <v>0</v>
          </cell>
          <cell r="V100">
            <v>0</v>
          </cell>
          <cell r="W100">
            <v>0</v>
          </cell>
        </row>
        <row r="101">
          <cell r="Q101">
            <v>441</v>
          </cell>
          <cell r="R101">
            <v>0.88888888888888884</v>
          </cell>
          <cell r="S101">
            <v>0.11111111111111116</v>
          </cell>
          <cell r="T101">
            <v>0</v>
          </cell>
          <cell r="U101">
            <v>0</v>
          </cell>
          <cell r="V101">
            <v>0</v>
          </cell>
          <cell r="W101">
            <v>0</v>
          </cell>
        </row>
        <row r="102">
          <cell r="Q102">
            <v>440</v>
          </cell>
          <cell r="R102">
            <v>0.88888888888888884</v>
          </cell>
          <cell r="S102">
            <v>0.11111111111111116</v>
          </cell>
          <cell r="T102">
            <v>0</v>
          </cell>
          <cell r="U102">
            <v>0</v>
          </cell>
          <cell r="V102">
            <v>0</v>
          </cell>
          <cell r="W102">
            <v>0</v>
          </cell>
        </row>
        <row r="103">
          <cell r="Q103">
            <v>439</v>
          </cell>
          <cell r="R103">
            <v>0.88888888888888884</v>
          </cell>
          <cell r="S103">
            <v>0.11111111111111116</v>
          </cell>
          <cell r="T103">
            <v>0</v>
          </cell>
          <cell r="U103">
            <v>0</v>
          </cell>
          <cell r="V103">
            <v>0</v>
          </cell>
          <cell r="W103">
            <v>0</v>
          </cell>
        </row>
        <row r="104">
          <cell r="Q104">
            <v>438</v>
          </cell>
          <cell r="R104">
            <v>0.88888888888888884</v>
          </cell>
          <cell r="S104">
            <v>0.11111111111111116</v>
          </cell>
          <cell r="T104">
            <v>0</v>
          </cell>
          <cell r="U104">
            <v>0</v>
          </cell>
          <cell r="V104">
            <v>0</v>
          </cell>
          <cell r="W104">
            <v>0</v>
          </cell>
        </row>
        <row r="105">
          <cell r="Q105">
            <v>437</v>
          </cell>
          <cell r="R105">
            <v>0.88888888888888884</v>
          </cell>
          <cell r="S105">
            <v>0.11111111111111116</v>
          </cell>
          <cell r="T105">
            <v>0</v>
          </cell>
          <cell r="U105">
            <v>0</v>
          </cell>
          <cell r="V105">
            <v>0</v>
          </cell>
          <cell r="W105">
            <v>0</v>
          </cell>
        </row>
        <row r="106">
          <cell r="Q106">
            <v>436</v>
          </cell>
          <cell r="R106">
            <v>0.88888888888888884</v>
          </cell>
          <cell r="S106">
            <v>0.11111111111111116</v>
          </cell>
          <cell r="T106">
            <v>0</v>
          </cell>
          <cell r="U106">
            <v>0</v>
          </cell>
          <cell r="V106">
            <v>0</v>
          </cell>
          <cell r="W106">
            <v>0</v>
          </cell>
        </row>
        <row r="107">
          <cell r="Q107">
            <v>435</v>
          </cell>
          <cell r="R107">
            <v>0.88888888888888884</v>
          </cell>
          <cell r="S107">
            <v>0.11111111111111116</v>
          </cell>
          <cell r="T107">
            <v>0</v>
          </cell>
          <cell r="U107">
            <v>0</v>
          </cell>
          <cell r="V107">
            <v>0</v>
          </cell>
          <cell r="W107">
            <v>0</v>
          </cell>
        </row>
        <row r="108">
          <cell r="Q108">
            <v>434</v>
          </cell>
          <cell r="R108">
            <v>0.88888888888888884</v>
          </cell>
          <cell r="S108">
            <v>0.11111111111111116</v>
          </cell>
          <cell r="T108">
            <v>0</v>
          </cell>
          <cell r="U108">
            <v>0</v>
          </cell>
          <cell r="V108">
            <v>0</v>
          </cell>
          <cell r="W108">
            <v>0</v>
          </cell>
        </row>
        <row r="109">
          <cell r="Q109">
            <v>433</v>
          </cell>
          <cell r="R109">
            <v>0.88888888888888884</v>
          </cell>
          <cell r="S109">
            <v>0.11111111111111116</v>
          </cell>
          <cell r="T109">
            <v>0</v>
          </cell>
          <cell r="U109">
            <v>0</v>
          </cell>
          <cell r="V109">
            <v>0</v>
          </cell>
          <cell r="W109">
            <v>0</v>
          </cell>
        </row>
        <row r="110">
          <cell r="Q110">
            <v>432</v>
          </cell>
          <cell r="R110">
            <v>0.88888888888888884</v>
          </cell>
          <cell r="S110">
            <v>0.11111111111111116</v>
          </cell>
          <cell r="T110">
            <v>0</v>
          </cell>
          <cell r="U110">
            <v>0</v>
          </cell>
          <cell r="V110">
            <v>0</v>
          </cell>
          <cell r="W110">
            <v>0</v>
          </cell>
        </row>
        <row r="111">
          <cell r="Q111">
            <v>431</v>
          </cell>
          <cell r="R111">
            <v>0.88888888888888884</v>
          </cell>
          <cell r="S111">
            <v>0.11111111111111116</v>
          </cell>
          <cell r="T111">
            <v>0</v>
          </cell>
          <cell r="U111">
            <v>0</v>
          </cell>
          <cell r="V111">
            <v>0</v>
          </cell>
          <cell r="W111">
            <v>0</v>
          </cell>
        </row>
        <row r="112">
          <cell r="Q112">
            <v>430</v>
          </cell>
          <cell r="R112">
            <v>0.88888888888888884</v>
          </cell>
          <cell r="S112">
            <v>0.11111111111111116</v>
          </cell>
          <cell r="T112">
            <v>0</v>
          </cell>
          <cell r="U112">
            <v>0</v>
          </cell>
          <cell r="V112">
            <v>0</v>
          </cell>
          <cell r="W112">
            <v>0</v>
          </cell>
        </row>
        <row r="113">
          <cell r="Q113">
            <v>429</v>
          </cell>
          <cell r="R113">
            <v>0.88888888888888884</v>
          </cell>
          <cell r="S113">
            <v>0.11111111111111116</v>
          </cell>
          <cell r="T113">
            <v>0</v>
          </cell>
          <cell r="U113">
            <v>0</v>
          </cell>
          <cell r="V113">
            <v>0</v>
          </cell>
          <cell r="W113">
            <v>0</v>
          </cell>
        </row>
        <row r="114">
          <cell r="Q114">
            <v>428</v>
          </cell>
          <cell r="R114">
            <v>0.88888888888888884</v>
          </cell>
          <cell r="S114">
            <v>0.11111111111111116</v>
          </cell>
          <cell r="T114">
            <v>0</v>
          </cell>
          <cell r="U114">
            <v>0</v>
          </cell>
          <cell r="V114">
            <v>0</v>
          </cell>
          <cell r="W114">
            <v>0</v>
          </cell>
        </row>
        <row r="115">
          <cell r="Q115">
            <v>427</v>
          </cell>
          <cell r="R115">
            <v>0.88888888888888884</v>
          </cell>
          <cell r="S115">
            <v>0.11111111111111116</v>
          </cell>
          <cell r="T115">
            <v>0</v>
          </cell>
          <cell r="U115">
            <v>0</v>
          </cell>
          <cell r="V115">
            <v>0</v>
          </cell>
          <cell r="W115">
            <v>0</v>
          </cell>
        </row>
        <row r="116">
          <cell r="Q116">
            <v>426</v>
          </cell>
          <cell r="R116">
            <v>0.88888888888888884</v>
          </cell>
          <cell r="S116">
            <v>0.11111111111111116</v>
          </cell>
          <cell r="T116">
            <v>0</v>
          </cell>
          <cell r="U116">
            <v>0</v>
          </cell>
          <cell r="V116">
            <v>0</v>
          </cell>
          <cell r="W116">
            <v>0</v>
          </cell>
        </row>
        <row r="117">
          <cell r="Q117">
            <v>425</v>
          </cell>
          <cell r="R117">
            <v>0.88888888888888884</v>
          </cell>
          <cell r="S117">
            <v>0.11111111111111116</v>
          </cell>
          <cell r="T117">
            <v>0</v>
          </cell>
          <cell r="U117">
            <v>0</v>
          </cell>
          <cell r="V117">
            <v>0</v>
          </cell>
          <cell r="W117">
            <v>0</v>
          </cell>
        </row>
        <row r="118">
          <cell r="Q118">
            <v>424</v>
          </cell>
          <cell r="R118">
            <v>0.88888888888888884</v>
          </cell>
          <cell r="S118">
            <v>0.11111111111111116</v>
          </cell>
          <cell r="T118">
            <v>0</v>
          </cell>
          <cell r="U118">
            <v>0</v>
          </cell>
          <cell r="V118">
            <v>0</v>
          </cell>
          <cell r="W118">
            <v>0</v>
          </cell>
        </row>
        <row r="119">
          <cell r="Q119">
            <v>423</v>
          </cell>
          <cell r="R119">
            <v>0.88888888888888884</v>
          </cell>
          <cell r="S119">
            <v>0.11111111111111116</v>
          </cell>
          <cell r="T119">
            <v>0</v>
          </cell>
          <cell r="U119">
            <v>0</v>
          </cell>
          <cell r="V119">
            <v>0</v>
          </cell>
          <cell r="W119">
            <v>0</v>
          </cell>
        </row>
        <row r="120">
          <cell r="Q120">
            <v>422</v>
          </cell>
          <cell r="R120">
            <v>0.88888888888888884</v>
          </cell>
          <cell r="S120">
            <v>0.11111111111111116</v>
          </cell>
          <cell r="T120">
            <v>0</v>
          </cell>
          <cell r="U120">
            <v>0</v>
          </cell>
          <cell r="V120">
            <v>0</v>
          </cell>
          <cell r="W120">
            <v>0</v>
          </cell>
        </row>
        <row r="121">
          <cell r="Q121">
            <v>421</v>
          </cell>
          <cell r="R121">
            <v>0.88888888888888884</v>
          </cell>
          <cell r="S121">
            <v>0.11111111111111116</v>
          </cell>
          <cell r="T121">
            <v>0</v>
          </cell>
          <cell r="U121">
            <v>0</v>
          </cell>
          <cell r="V121">
            <v>0</v>
          </cell>
          <cell r="W121">
            <v>0</v>
          </cell>
        </row>
        <row r="122">
          <cell r="Q122">
            <v>420</v>
          </cell>
          <cell r="R122">
            <v>0.88888888888888884</v>
          </cell>
          <cell r="S122">
            <v>0.11111111111111116</v>
          </cell>
          <cell r="T122">
            <v>0</v>
          </cell>
          <cell r="U122">
            <v>0</v>
          </cell>
          <cell r="V122">
            <v>0</v>
          </cell>
          <cell r="W122">
            <v>0</v>
          </cell>
        </row>
        <row r="123">
          <cell r="Q123">
            <v>419</v>
          </cell>
          <cell r="R123">
            <v>0.88888888888888884</v>
          </cell>
          <cell r="S123">
            <v>0.11111111111111116</v>
          </cell>
          <cell r="T123">
            <v>0</v>
          </cell>
          <cell r="U123">
            <v>0</v>
          </cell>
          <cell r="V123">
            <v>0</v>
          </cell>
          <cell r="W123">
            <v>0</v>
          </cell>
        </row>
        <row r="124">
          <cell r="Q124">
            <v>418</v>
          </cell>
          <cell r="R124">
            <v>0.88888888888888884</v>
          </cell>
          <cell r="S124">
            <v>0.11111111111111116</v>
          </cell>
          <cell r="T124">
            <v>0</v>
          </cell>
          <cell r="U124">
            <v>0</v>
          </cell>
          <cell r="V124">
            <v>0</v>
          </cell>
          <cell r="W124">
            <v>0</v>
          </cell>
        </row>
        <row r="125">
          <cell r="Q125">
            <v>417</v>
          </cell>
          <cell r="R125">
            <v>0.88888888888888884</v>
          </cell>
          <cell r="S125">
            <v>0.11111111111111116</v>
          </cell>
          <cell r="T125">
            <v>0</v>
          </cell>
          <cell r="U125">
            <v>0</v>
          </cell>
          <cell r="V125">
            <v>0</v>
          </cell>
          <cell r="W125">
            <v>0</v>
          </cell>
        </row>
        <row r="126">
          <cell r="Q126">
            <v>416</v>
          </cell>
          <cell r="R126">
            <v>0.88888888888888884</v>
          </cell>
          <cell r="S126">
            <v>0.11111111111111116</v>
          </cell>
          <cell r="T126">
            <v>0</v>
          </cell>
          <cell r="U126">
            <v>0</v>
          </cell>
          <cell r="V126">
            <v>0</v>
          </cell>
          <cell r="W126">
            <v>0</v>
          </cell>
        </row>
        <row r="127">
          <cell r="Q127">
            <v>415</v>
          </cell>
          <cell r="R127">
            <v>0.88888888888888884</v>
          </cell>
          <cell r="S127">
            <v>0.11111111111111116</v>
          </cell>
          <cell r="T127">
            <v>0</v>
          </cell>
          <cell r="U127">
            <v>0</v>
          </cell>
          <cell r="V127">
            <v>0</v>
          </cell>
          <cell r="W127">
            <v>0</v>
          </cell>
        </row>
        <row r="128">
          <cell r="Q128">
            <v>414</v>
          </cell>
          <cell r="R128">
            <v>0.88888888888888884</v>
          </cell>
          <cell r="S128">
            <v>0.11111111111111116</v>
          </cell>
          <cell r="T128">
            <v>0</v>
          </cell>
          <cell r="U128">
            <v>0</v>
          </cell>
          <cell r="V128">
            <v>0</v>
          </cell>
          <cell r="W128">
            <v>0</v>
          </cell>
        </row>
        <row r="129">
          <cell r="Q129">
            <v>413</v>
          </cell>
          <cell r="R129">
            <v>0.88888888888888884</v>
          </cell>
          <cell r="S129">
            <v>0.11111111111111116</v>
          </cell>
          <cell r="T129">
            <v>0</v>
          </cell>
          <cell r="U129">
            <v>0</v>
          </cell>
          <cell r="V129">
            <v>0</v>
          </cell>
          <cell r="W129">
            <v>0</v>
          </cell>
        </row>
        <row r="130">
          <cell r="Q130">
            <v>412</v>
          </cell>
          <cell r="R130">
            <v>0.88888888888888884</v>
          </cell>
          <cell r="S130">
            <v>0.11111111111111116</v>
          </cell>
          <cell r="T130">
            <v>0</v>
          </cell>
          <cell r="U130">
            <v>0</v>
          </cell>
          <cell r="V130">
            <v>0</v>
          </cell>
          <cell r="W130">
            <v>0</v>
          </cell>
        </row>
        <row r="131">
          <cell r="Q131">
            <v>411</v>
          </cell>
          <cell r="R131">
            <v>0.88888888888888884</v>
          </cell>
          <cell r="S131">
            <v>0.11111111111111116</v>
          </cell>
          <cell r="T131">
            <v>0</v>
          </cell>
          <cell r="U131">
            <v>0</v>
          </cell>
          <cell r="V131">
            <v>0</v>
          </cell>
          <cell r="W131">
            <v>0</v>
          </cell>
        </row>
        <row r="132">
          <cell r="Q132">
            <v>410</v>
          </cell>
          <cell r="R132">
            <v>0.88888888888888884</v>
          </cell>
          <cell r="S132">
            <v>0.11111111111111116</v>
          </cell>
          <cell r="T132">
            <v>0</v>
          </cell>
          <cell r="U132">
            <v>0</v>
          </cell>
          <cell r="V132">
            <v>0</v>
          </cell>
          <cell r="W132">
            <v>0</v>
          </cell>
        </row>
        <row r="133">
          <cell r="Q133">
            <v>409</v>
          </cell>
          <cell r="R133">
            <v>0.88888888888888884</v>
          </cell>
          <cell r="S133">
            <v>0.11111111111111116</v>
          </cell>
          <cell r="T133">
            <v>0</v>
          </cell>
          <cell r="U133">
            <v>0</v>
          </cell>
          <cell r="V133">
            <v>0</v>
          </cell>
          <cell r="W133">
            <v>0</v>
          </cell>
        </row>
        <row r="134">
          <cell r="Q134">
            <v>408</v>
          </cell>
          <cell r="R134">
            <v>0.88888888888888884</v>
          </cell>
          <cell r="S134">
            <v>0.11111111111111116</v>
          </cell>
          <cell r="T134">
            <v>0</v>
          </cell>
          <cell r="U134">
            <v>0</v>
          </cell>
          <cell r="V134">
            <v>0</v>
          </cell>
          <cell r="W134">
            <v>0</v>
          </cell>
        </row>
        <row r="135">
          <cell r="Q135">
            <v>407</v>
          </cell>
          <cell r="R135">
            <v>0.88888888888888884</v>
          </cell>
          <cell r="S135">
            <v>0.11111111111111116</v>
          </cell>
          <cell r="T135">
            <v>0</v>
          </cell>
          <cell r="U135">
            <v>0</v>
          </cell>
          <cell r="V135">
            <v>0</v>
          </cell>
          <cell r="W135">
            <v>0</v>
          </cell>
        </row>
        <row r="136">
          <cell r="Q136">
            <v>406</v>
          </cell>
          <cell r="R136">
            <v>0.88888888888888884</v>
          </cell>
          <cell r="S136">
            <v>0.11111111111111116</v>
          </cell>
          <cell r="T136">
            <v>0</v>
          </cell>
          <cell r="U136">
            <v>0</v>
          </cell>
          <cell r="V136">
            <v>0</v>
          </cell>
          <cell r="W136">
            <v>0</v>
          </cell>
        </row>
        <row r="137">
          <cell r="Q137">
            <v>405</v>
          </cell>
          <cell r="R137">
            <v>0.88888888888888884</v>
          </cell>
          <cell r="S137">
            <v>0.11111111111111116</v>
          </cell>
          <cell r="T137">
            <v>0</v>
          </cell>
          <cell r="U137">
            <v>0</v>
          </cell>
          <cell r="V137">
            <v>0</v>
          </cell>
          <cell r="W137">
            <v>0</v>
          </cell>
        </row>
        <row r="138">
          <cell r="Q138">
            <v>404</v>
          </cell>
          <cell r="R138">
            <v>0.88888888888888884</v>
          </cell>
          <cell r="S138">
            <v>0.11111111111111116</v>
          </cell>
          <cell r="T138">
            <v>0</v>
          </cell>
          <cell r="U138">
            <v>0</v>
          </cell>
          <cell r="V138">
            <v>0</v>
          </cell>
          <cell r="W138">
            <v>0</v>
          </cell>
        </row>
        <row r="139">
          <cell r="Q139">
            <v>403</v>
          </cell>
          <cell r="R139">
            <v>0.88888888888888884</v>
          </cell>
          <cell r="S139">
            <v>0.11111111111111116</v>
          </cell>
          <cell r="T139">
            <v>0</v>
          </cell>
          <cell r="U139">
            <v>0</v>
          </cell>
          <cell r="V139">
            <v>0</v>
          </cell>
          <cell r="W139">
            <v>0</v>
          </cell>
        </row>
        <row r="140">
          <cell r="Q140">
            <v>402</v>
          </cell>
          <cell r="R140">
            <v>0.88888888888888884</v>
          </cell>
          <cell r="S140">
            <v>0.11111111111111116</v>
          </cell>
          <cell r="T140">
            <v>0</v>
          </cell>
          <cell r="U140">
            <v>0</v>
          </cell>
          <cell r="V140">
            <v>0</v>
          </cell>
          <cell r="W140">
            <v>0</v>
          </cell>
        </row>
        <row r="141">
          <cell r="Q141">
            <v>401</v>
          </cell>
          <cell r="R141">
            <v>0.88888888888888884</v>
          </cell>
          <cell r="S141">
            <v>0.11111111111111116</v>
          </cell>
          <cell r="T141">
            <v>0</v>
          </cell>
          <cell r="U141">
            <v>0</v>
          </cell>
          <cell r="V141">
            <v>0</v>
          </cell>
          <cell r="W141">
            <v>0</v>
          </cell>
        </row>
        <row r="142">
          <cell r="Q142">
            <v>400</v>
          </cell>
          <cell r="R142">
            <v>0.88888888888888884</v>
          </cell>
          <cell r="S142">
            <v>0.11111111111111116</v>
          </cell>
          <cell r="T142">
            <v>0</v>
          </cell>
          <cell r="U142">
            <v>0</v>
          </cell>
          <cell r="V142">
            <v>0</v>
          </cell>
          <cell r="W142">
            <v>0</v>
          </cell>
        </row>
        <row r="143">
          <cell r="Q143">
            <v>399</v>
          </cell>
          <cell r="R143">
            <v>0.88888888888888884</v>
          </cell>
          <cell r="S143">
            <v>0.11111111111111116</v>
          </cell>
          <cell r="T143">
            <v>0</v>
          </cell>
          <cell r="U143">
            <v>0</v>
          </cell>
          <cell r="V143">
            <v>0</v>
          </cell>
          <cell r="W143">
            <v>0</v>
          </cell>
        </row>
        <row r="144">
          <cell r="Q144">
            <v>398</v>
          </cell>
          <cell r="R144">
            <v>0.88888888888888884</v>
          </cell>
          <cell r="S144">
            <v>0.11111111111111116</v>
          </cell>
          <cell r="T144">
            <v>0</v>
          </cell>
          <cell r="U144">
            <v>0</v>
          </cell>
          <cell r="V144">
            <v>0</v>
          </cell>
          <cell r="W144">
            <v>0</v>
          </cell>
        </row>
        <row r="145">
          <cell r="Q145">
            <v>397</v>
          </cell>
          <cell r="R145">
            <v>0.88888888888888884</v>
          </cell>
          <cell r="S145">
            <v>0.11111111111111116</v>
          </cell>
          <cell r="T145">
            <v>0</v>
          </cell>
          <cell r="U145">
            <v>0</v>
          </cell>
          <cell r="V145">
            <v>0</v>
          </cell>
          <cell r="W145">
            <v>0</v>
          </cell>
        </row>
        <row r="146">
          <cell r="Q146">
            <v>396</v>
          </cell>
          <cell r="R146">
            <v>0.88888888888888884</v>
          </cell>
          <cell r="S146">
            <v>0.11111111111111116</v>
          </cell>
          <cell r="T146">
            <v>0</v>
          </cell>
          <cell r="U146">
            <v>0</v>
          </cell>
          <cell r="V146">
            <v>0</v>
          </cell>
          <cell r="W146">
            <v>0</v>
          </cell>
        </row>
        <row r="147">
          <cell r="Q147">
            <v>395</v>
          </cell>
          <cell r="R147">
            <v>0.88888888888888884</v>
          </cell>
          <cell r="S147">
            <v>0.11111111111111116</v>
          </cell>
          <cell r="T147">
            <v>0</v>
          </cell>
          <cell r="U147">
            <v>0</v>
          </cell>
          <cell r="V147">
            <v>0</v>
          </cell>
          <cell r="W147">
            <v>0</v>
          </cell>
        </row>
        <row r="148">
          <cell r="Q148">
            <v>394</v>
          </cell>
          <cell r="R148">
            <v>0.88888888888888884</v>
          </cell>
          <cell r="S148">
            <v>0.11111111111111116</v>
          </cell>
          <cell r="T148">
            <v>0</v>
          </cell>
          <cell r="U148">
            <v>0</v>
          </cell>
          <cell r="V148">
            <v>0</v>
          </cell>
          <cell r="W148">
            <v>0</v>
          </cell>
        </row>
        <row r="149">
          <cell r="Q149">
            <v>393</v>
          </cell>
          <cell r="R149">
            <v>0.88888888888888884</v>
          </cell>
          <cell r="S149">
            <v>0.11111111111111116</v>
          </cell>
          <cell r="T149">
            <v>0</v>
          </cell>
          <cell r="U149">
            <v>0</v>
          </cell>
          <cell r="V149">
            <v>0</v>
          </cell>
          <cell r="W149">
            <v>0</v>
          </cell>
        </row>
        <row r="150">
          <cell r="Q150">
            <v>392</v>
          </cell>
          <cell r="R150">
            <v>0.88888888888888884</v>
          </cell>
          <cell r="S150">
            <v>0.11111111111111116</v>
          </cell>
          <cell r="T150">
            <v>0</v>
          </cell>
          <cell r="U150">
            <v>0</v>
          </cell>
          <cell r="V150">
            <v>0</v>
          </cell>
          <cell r="W150">
            <v>0</v>
          </cell>
        </row>
        <row r="151">
          <cell r="Q151">
            <v>391</v>
          </cell>
          <cell r="R151">
            <v>0.88888888888888884</v>
          </cell>
          <cell r="S151">
            <v>0.11111111111111116</v>
          </cell>
          <cell r="T151">
            <v>0</v>
          </cell>
          <cell r="U151">
            <v>0</v>
          </cell>
          <cell r="V151">
            <v>0</v>
          </cell>
          <cell r="W151">
            <v>0</v>
          </cell>
        </row>
        <row r="152">
          <cell r="Q152">
            <v>390</v>
          </cell>
          <cell r="R152">
            <v>0.88888888888888884</v>
          </cell>
          <cell r="S152">
            <v>0.11111111111111116</v>
          </cell>
          <cell r="T152">
            <v>0</v>
          </cell>
          <cell r="U152">
            <v>0</v>
          </cell>
          <cell r="V152">
            <v>0</v>
          </cell>
          <cell r="W152">
            <v>0</v>
          </cell>
        </row>
        <row r="153">
          <cell r="Q153">
            <v>389</v>
          </cell>
          <cell r="R153">
            <v>0.88888888888888884</v>
          </cell>
          <cell r="S153">
            <v>0.11111111111111116</v>
          </cell>
          <cell r="T153">
            <v>0</v>
          </cell>
          <cell r="U153">
            <v>0</v>
          </cell>
          <cell r="V153">
            <v>0</v>
          </cell>
          <cell r="W153">
            <v>0</v>
          </cell>
        </row>
        <row r="154">
          <cell r="Q154">
            <v>388</v>
          </cell>
          <cell r="R154">
            <v>0.88888888888888884</v>
          </cell>
          <cell r="S154">
            <v>0.11111111111111116</v>
          </cell>
          <cell r="T154">
            <v>0</v>
          </cell>
          <cell r="U154">
            <v>0</v>
          </cell>
          <cell r="V154">
            <v>0</v>
          </cell>
          <cell r="W154">
            <v>0</v>
          </cell>
        </row>
        <row r="155">
          <cell r="Q155">
            <v>387</v>
          </cell>
          <cell r="R155">
            <v>0.88888888888888884</v>
          </cell>
          <cell r="S155">
            <v>0.11111111111111116</v>
          </cell>
          <cell r="T155">
            <v>0</v>
          </cell>
          <cell r="U155">
            <v>0</v>
          </cell>
          <cell r="V155">
            <v>0</v>
          </cell>
          <cell r="W155">
            <v>0</v>
          </cell>
        </row>
        <row r="156">
          <cell r="Q156">
            <v>386</v>
          </cell>
          <cell r="R156">
            <v>0.88888888888888884</v>
          </cell>
          <cell r="S156">
            <v>0.11111111111111116</v>
          </cell>
          <cell r="T156">
            <v>0</v>
          </cell>
          <cell r="U156">
            <v>0</v>
          </cell>
          <cell r="V156">
            <v>0</v>
          </cell>
          <cell r="W156">
            <v>0</v>
          </cell>
        </row>
        <row r="157">
          <cell r="Q157">
            <v>385</v>
          </cell>
          <cell r="R157">
            <v>0.88888888888888884</v>
          </cell>
          <cell r="S157">
            <v>0.11111111111111116</v>
          </cell>
          <cell r="T157">
            <v>0</v>
          </cell>
          <cell r="U157">
            <v>0</v>
          </cell>
          <cell r="V157">
            <v>0</v>
          </cell>
          <cell r="W157">
            <v>0</v>
          </cell>
        </row>
        <row r="158">
          <cell r="Q158">
            <v>384</v>
          </cell>
          <cell r="R158">
            <v>0.88888888888888884</v>
          </cell>
          <cell r="S158">
            <v>0.11111111111111116</v>
          </cell>
          <cell r="T158">
            <v>0</v>
          </cell>
          <cell r="U158">
            <v>0</v>
          </cell>
          <cell r="V158">
            <v>0</v>
          </cell>
          <cell r="W158">
            <v>0</v>
          </cell>
        </row>
        <row r="159">
          <cell r="Q159">
            <v>383</v>
          </cell>
          <cell r="R159">
            <v>0.88888888888888884</v>
          </cell>
          <cell r="S159">
            <v>0.11111111111111116</v>
          </cell>
          <cell r="T159">
            <v>0</v>
          </cell>
          <cell r="U159">
            <v>0</v>
          </cell>
          <cell r="V159">
            <v>0</v>
          </cell>
          <cell r="W159">
            <v>0</v>
          </cell>
        </row>
        <row r="160">
          <cell r="Q160">
            <v>382</v>
          </cell>
          <cell r="R160">
            <v>0.88888888888888884</v>
          </cell>
          <cell r="S160">
            <v>0.11111111111111116</v>
          </cell>
          <cell r="T160">
            <v>0</v>
          </cell>
          <cell r="U160">
            <v>0</v>
          </cell>
          <cell r="V160">
            <v>0</v>
          </cell>
          <cell r="W160">
            <v>0</v>
          </cell>
        </row>
        <row r="161">
          <cell r="Q161">
            <v>381</v>
          </cell>
          <cell r="R161">
            <v>0.88888888888888884</v>
          </cell>
          <cell r="S161">
            <v>0.11111111111111116</v>
          </cell>
          <cell r="T161">
            <v>0</v>
          </cell>
          <cell r="U161">
            <v>0</v>
          </cell>
          <cell r="V161">
            <v>0</v>
          </cell>
          <cell r="W161">
            <v>0</v>
          </cell>
        </row>
        <row r="162">
          <cell r="Q162">
            <v>380</v>
          </cell>
          <cell r="R162">
            <v>0.88888888888888884</v>
          </cell>
          <cell r="S162">
            <v>0.11111111111111116</v>
          </cell>
          <cell r="T162">
            <v>0</v>
          </cell>
          <cell r="U162">
            <v>0</v>
          </cell>
          <cell r="V162">
            <v>0</v>
          </cell>
          <cell r="W162">
            <v>0</v>
          </cell>
        </row>
        <row r="163">
          <cell r="Q163">
            <v>379</v>
          </cell>
          <cell r="R163">
            <v>0.88888888888888884</v>
          </cell>
          <cell r="S163">
            <v>0.11111111111111116</v>
          </cell>
          <cell r="T163">
            <v>0</v>
          </cell>
          <cell r="U163">
            <v>0</v>
          </cell>
          <cell r="V163">
            <v>0</v>
          </cell>
          <cell r="W163">
            <v>0</v>
          </cell>
        </row>
        <row r="164">
          <cell r="Q164">
            <v>378</v>
          </cell>
          <cell r="R164">
            <v>0.88888888888888884</v>
          </cell>
          <cell r="S164">
            <v>0.11111111111111116</v>
          </cell>
          <cell r="T164">
            <v>0</v>
          </cell>
          <cell r="U164">
            <v>0</v>
          </cell>
          <cell r="V164">
            <v>0</v>
          </cell>
          <cell r="W164">
            <v>0</v>
          </cell>
        </row>
        <row r="165">
          <cell r="Q165">
            <v>377</v>
          </cell>
          <cell r="R165">
            <v>0.88888888888888884</v>
          </cell>
          <cell r="S165">
            <v>0.11111111111111116</v>
          </cell>
          <cell r="T165">
            <v>0</v>
          </cell>
          <cell r="U165">
            <v>0</v>
          </cell>
          <cell r="V165">
            <v>0</v>
          </cell>
          <cell r="W165">
            <v>0</v>
          </cell>
        </row>
        <row r="166">
          <cell r="Q166">
            <v>376</v>
          </cell>
          <cell r="R166">
            <v>0.88888888888888884</v>
          </cell>
          <cell r="S166">
            <v>0.11111111111111116</v>
          </cell>
          <cell r="T166">
            <v>0</v>
          </cell>
          <cell r="U166">
            <v>0</v>
          </cell>
          <cell r="V166">
            <v>0</v>
          </cell>
          <cell r="W166">
            <v>0</v>
          </cell>
        </row>
        <row r="167">
          <cell r="Q167">
            <v>375</v>
          </cell>
          <cell r="R167">
            <v>0.88888888888888884</v>
          </cell>
          <cell r="S167">
            <v>0.11111111111111116</v>
          </cell>
          <cell r="T167">
            <v>0</v>
          </cell>
          <cell r="U167">
            <v>0</v>
          </cell>
          <cell r="V167">
            <v>0</v>
          </cell>
          <cell r="W167">
            <v>0</v>
          </cell>
        </row>
        <row r="168">
          <cell r="Q168">
            <v>374</v>
          </cell>
          <cell r="R168">
            <v>0.88888888888888884</v>
          </cell>
          <cell r="S168">
            <v>0.11111111111111116</v>
          </cell>
          <cell r="T168">
            <v>0</v>
          </cell>
          <cell r="U168">
            <v>0</v>
          </cell>
          <cell r="V168">
            <v>0</v>
          </cell>
          <cell r="W168">
            <v>0</v>
          </cell>
        </row>
        <row r="169">
          <cell r="Q169">
            <v>373</v>
          </cell>
          <cell r="R169">
            <v>0.88888888888888884</v>
          </cell>
          <cell r="S169">
            <v>0.11111111111111116</v>
          </cell>
          <cell r="T169">
            <v>0</v>
          </cell>
          <cell r="U169">
            <v>0</v>
          </cell>
          <cell r="V169">
            <v>0</v>
          </cell>
          <cell r="W169">
            <v>0</v>
          </cell>
        </row>
        <row r="170">
          <cell r="Q170">
            <v>372</v>
          </cell>
          <cell r="R170">
            <v>0.88888888888888884</v>
          </cell>
          <cell r="S170">
            <v>0.11111111111111116</v>
          </cell>
          <cell r="T170">
            <v>0</v>
          </cell>
          <cell r="U170">
            <v>0</v>
          </cell>
          <cell r="V170">
            <v>0</v>
          </cell>
          <cell r="W170">
            <v>0</v>
          </cell>
        </row>
        <row r="171">
          <cell r="Q171">
            <v>371</v>
          </cell>
          <cell r="R171">
            <v>0.88888888888888884</v>
          </cell>
          <cell r="S171">
            <v>0.11111111111111116</v>
          </cell>
          <cell r="T171">
            <v>0</v>
          </cell>
          <cell r="U171">
            <v>0</v>
          </cell>
          <cell r="V171">
            <v>0</v>
          </cell>
          <cell r="W171">
            <v>0</v>
          </cell>
        </row>
        <row r="172">
          <cell r="Q172">
            <v>370</v>
          </cell>
          <cell r="R172">
            <v>0.88888888888888884</v>
          </cell>
          <cell r="S172">
            <v>0.11111111111111116</v>
          </cell>
          <cell r="T172">
            <v>0</v>
          </cell>
          <cell r="U172">
            <v>0</v>
          </cell>
          <cell r="V172">
            <v>0</v>
          </cell>
          <cell r="W172">
            <v>0</v>
          </cell>
        </row>
        <row r="173">
          <cell r="Q173">
            <v>369</v>
          </cell>
          <cell r="R173">
            <v>0.88888888888888884</v>
          </cell>
          <cell r="S173">
            <v>0.11111111111111116</v>
          </cell>
          <cell r="T173">
            <v>0</v>
          </cell>
          <cell r="U173">
            <v>0</v>
          </cell>
          <cell r="V173">
            <v>0</v>
          </cell>
          <cell r="W173">
            <v>0</v>
          </cell>
        </row>
        <row r="174">
          <cell r="Q174">
            <v>368</v>
          </cell>
          <cell r="R174">
            <v>0.88888888888888884</v>
          </cell>
          <cell r="S174">
            <v>0.11111111111111116</v>
          </cell>
          <cell r="T174">
            <v>0</v>
          </cell>
          <cell r="U174">
            <v>0</v>
          </cell>
          <cell r="V174">
            <v>0</v>
          </cell>
          <cell r="W174">
            <v>0</v>
          </cell>
        </row>
        <row r="175">
          <cell r="Q175">
            <v>367</v>
          </cell>
          <cell r="R175">
            <v>0.88888888888888884</v>
          </cell>
          <cell r="S175">
            <v>0.11111111111111116</v>
          </cell>
          <cell r="T175">
            <v>0</v>
          </cell>
          <cell r="U175">
            <v>0</v>
          </cell>
          <cell r="V175">
            <v>0</v>
          </cell>
          <cell r="W175">
            <v>0</v>
          </cell>
        </row>
        <row r="176">
          <cell r="Q176">
            <v>366</v>
          </cell>
          <cell r="R176">
            <v>0.88888888888888884</v>
          </cell>
          <cell r="S176">
            <v>0.11111111111111116</v>
          </cell>
          <cell r="T176">
            <v>0</v>
          </cell>
          <cell r="U176">
            <v>0</v>
          </cell>
          <cell r="V176">
            <v>0</v>
          </cell>
          <cell r="W176">
            <v>0</v>
          </cell>
        </row>
        <row r="177">
          <cell r="Q177">
            <v>365</v>
          </cell>
          <cell r="R177">
            <v>0.88888888888888884</v>
          </cell>
          <cell r="S177">
            <v>0.11111111111111116</v>
          </cell>
          <cell r="T177">
            <v>0</v>
          </cell>
          <cell r="U177">
            <v>0</v>
          </cell>
          <cell r="V177">
            <v>0</v>
          </cell>
          <cell r="W177">
            <v>0</v>
          </cell>
        </row>
        <row r="178">
          <cell r="Q178">
            <v>364</v>
          </cell>
          <cell r="R178">
            <v>0.88888888888888884</v>
          </cell>
          <cell r="S178">
            <v>0.11111111111111116</v>
          </cell>
          <cell r="T178">
            <v>0</v>
          </cell>
          <cell r="U178">
            <v>0</v>
          </cell>
          <cell r="V178">
            <v>0</v>
          </cell>
          <cell r="W178">
            <v>0</v>
          </cell>
        </row>
        <row r="179">
          <cell r="Q179">
            <v>363</v>
          </cell>
          <cell r="R179">
            <v>0.88888888888888884</v>
          </cell>
          <cell r="S179">
            <v>0.11111111111111116</v>
          </cell>
          <cell r="T179">
            <v>0</v>
          </cell>
          <cell r="U179">
            <v>0</v>
          </cell>
          <cell r="V179">
            <v>0</v>
          </cell>
          <cell r="W179">
            <v>0</v>
          </cell>
        </row>
        <row r="180">
          <cell r="Q180">
            <v>362</v>
          </cell>
          <cell r="R180">
            <v>0.88888888888888884</v>
          </cell>
          <cell r="S180">
            <v>0.11111111111111116</v>
          </cell>
          <cell r="T180">
            <v>0</v>
          </cell>
          <cell r="U180">
            <v>0</v>
          </cell>
          <cell r="V180">
            <v>0</v>
          </cell>
          <cell r="W180">
            <v>0</v>
          </cell>
        </row>
        <row r="181">
          <cell r="Q181">
            <v>361</v>
          </cell>
          <cell r="R181">
            <v>0.88888888888888884</v>
          </cell>
          <cell r="S181">
            <v>0.11111111111111116</v>
          </cell>
          <cell r="T181">
            <v>0</v>
          </cell>
          <cell r="U181">
            <v>0</v>
          </cell>
          <cell r="V181">
            <v>0</v>
          </cell>
          <cell r="W181">
            <v>0</v>
          </cell>
        </row>
        <row r="182">
          <cell r="Q182">
            <v>360</v>
          </cell>
          <cell r="R182">
            <v>0.88888888888888884</v>
          </cell>
          <cell r="S182">
            <v>0.11111111111111116</v>
          </cell>
          <cell r="T182">
            <v>0</v>
          </cell>
          <cell r="U182">
            <v>0</v>
          </cell>
          <cell r="V182">
            <v>0</v>
          </cell>
          <cell r="W182">
            <v>0</v>
          </cell>
        </row>
        <row r="183">
          <cell r="Q183">
            <v>359</v>
          </cell>
          <cell r="R183">
            <v>0.88888888888888884</v>
          </cell>
          <cell r="S183">
            <v>0.11111111111111116</v>
          </cell>
          <cell r="T183">
            <v>0</v>
          </cell>
          <cell r="U183">
            <v>0</v>
          </cell>
          <cell r="V183">
            <v>0</v>
          </cell>
          <cell r="W183">
            <v>0</v>
          </cell>
        </row>
        <row r="184">
          <cell r="Q184">
            <v>358</v>
          </cell>
          <cell r="R184">
            <v>0.88888888888888884</v>
          </cell>
          <cell r="S184">
            <v>0.11111111111111116</v>
          </cell>
          <cell r="T184">
            <v>0</v>
          </cell>
          <cell r="U184">
            <v>0</v>
          </cell>
          <cell r="V184">
            <v>0</v>
          </cell>
          <cell r="W184">
            <v>0</v>
          </cell>
        </row>
        <row r="185">
          <cell r="Q185">
            <v>357</v>
          </cell>
          <cell r="R185">
            <v>0.88888888888888884</v>
          </cell>
          <cell r="S185">
            <v>0.11111111111111116</v>
          </cell>
          <cell r="T185">
            <v>0</v>
          </cell>
          <cell r="U185">
            <v>0</v>
          </cell>
          <cell r="V185">
            <v>0</v>
          </cell>
          <cell r="W185">
            <v>0</v>
          </cell>
        </row>
        <row r="186">
          <cell r="Q186">
            <v>356</v>
          </cell>
          <cell r="R186">
            <v>0.88888888888888884</v>
          </cell>
          <cell r="S186">
            <v>0.11111111111111116</v>
          </cell>
          <cell r="T186">
            <v>0</v>
          </cell>
          <cell r="U186">
            <v>0</v>
          </cell>
          <cell r="V186">
            <v>0</v>
          </cell>
          <cell r="W186">
            <v>0</v>
          </cell>
        </row>
        <row r="187">
          <cell r="Q187">
            <v>355</v>
          </cell>
          <cell r="R187">
            <v>0.88888888888888884</v>
          </cell>
          <cell r="S187">
            <v>0.11111111111111116</v>
          </cell>
          <cell r="T187">
            <v>0</v>
          </cell>
          <cell r="U187">
            <v>0</v>
          </cell>
          <cell r="V187">
            <v>0</v>
          </cell>
          <cell r="W187">
            <v>0</v>
          </cell>
        </row>
        <row r="188">
          <cell r="Q188">
            <v>354</v>
          </cell>
          <cell r="R188">
            <v>0.88888888888888884</v>
          </cell>
          <cell r="S188">
            <v>0.11111111111111116</v>
          </cell>
          <cell r="T188">
            <v>0</v>
          </cell>
          <cell r="U188">
            <v>0</v>
          </cell>
          <cell r="V188">
            <v>0</v>
          </cell>
          <cell r="W188">
            <v>0</v>
          </cell>
        </row>
        <row r="189">
          <cell r="Q189">
            <v>353</v>
          </cell>
          <cell r="R189">
            <v>0.88888888888888884</v>
          </cell>
          <cell r="S189">
            <v>0.11111111111111116</v>
          </cell>
          <cell r="T189">
            <v>0</v>
          </cell>
          <cell r="U189">
            <v>0</v>
          </cell>
          <cell r="V189">
            <v>0</v>
          </cell>
          <cell r="W189">
            <v>0</v>
          </cell>
        </row>
        <row r="190">
          <cell r="Q190">
            <v>352</v>
          </cell>
          <cell r="R190">
            <v>0.88888888888888884</v>
          </cell>
          <cell r="S190">
            <v>0.11111111111111116</v>
          </cell>
          <cell r="T190">
            <v>0</v>
          </cell>
          <cell r="U190">
            <v>0</v>
          </cell>
          <cell r="V190">
            <v>0</v>
          </cell>
          <cell r="W190">
            <v>0</v>
          </cell>
        </row>
        <row r="191">
          <cell r="Q191">
            <v>351</v>
          </cell>
          <cell r="R191">
            <v>0.88888888888888884</v>
          </cell>
          <cell r="S191">
            <v>0.11111111111111116</v>
          </cell>
          <cell r="T191">
            <v>0</v>
          </cell>
          <cell r="U191">
            <v>0</v>
          </cell>
          <cell r="V191">
            <v>0</v>
          </cell>
          <cell r="W191">
            <v>0</v>
          </cell>
        </row>
        <row r="192">
          <cell r="Q192">
            <v>350</v>
          </cell>
          <cell r="R192">
            <v>0.88888888888888884</v>
          </cell>
          <cell r="S192">
            <v>0.11111111111111116</v>
          </cell>
          <cell r="T192">
            <v>0</v>
          </cell>
          <cell r="U192">
            <v>0</v>
          </cell>
          <cell r="V192">
            <v>0</v>
          </cell>
          <cell r="W192">
            <v>0</v>
          </cell>
        </row>
        <row r="193">
          <cell r="Q193">
            <v>349</v>
          </cell>
          <cell r="R193">
            <v>0.88888888888888884</v>
          </cell>
          <cell r="S193">
            <v>0.11111111111111116</v>
          </cell>
          <cell r="T193">
            <v>0</v>
          </cell>
          <cell r="U193">
            <v>0</v>
          </cell>
          <cell r="V193">
            <v>0</v>
          </cell>
          <cell r="W193">
            <v>0</v>
          </cell>
        </row>
        <row r="194">
          <cell r="Q194">
            <v>348</v>
          </cell>
          <cell r="R194">
            <v>0.88888888888888884</v>
          </cell>
          <cell r="S194">
            <v>0.11111111111111116</v>
          </cell>
          <cell r="T194">
            <v>0</v>
          </cell>
          <cell r="U194">
            <v>0</v>
          </cell>
          <cell r="V194">
            <v>0</v>
          </cell>
          <cell r="W194">
            <v>0</v>
          </cell>
        </row>
        <row r="195">
          <cell r="Q195">
            <v>347</v>
          </cell>
          <cell r="R195">
            <v>0.88888888888888884</v>
          </cell>
          <cell r="S195">
            <v>0.11111111111111116</v>
          </cell>
          <cell r="T195">
            <v>0</v>
          </cell>
          <cell r="U195">
            <v>0</v>
          </cell>
          <cell r="V195">
            <v>0</v>
          </cell>
          <cell r="W195">
            <v>0</v>
          </cell>
        </row>
        <row r="196">
          <cell r="Q196">
            <v>346</v>
          </cell>
          <cell r="R196">
            <v>0.88888888888888884</v>
          </cell>
          <cell r="S196">
            <v>0.11111111111111116</v>
          </cell>
          <cell r="T196">
            <v>0</v>
          </cell>
          <cell r="U196">
            <v>0</v>
          </cell>
          <cell r="V196">
            <v>0</v>
          </cell>
          <cell r="W196">
            <v>0</v>
          </cell>
        </row>
        <row r="197">
          <cell r="Q197">
            <v>345</v>
          </cell>
          <cell r="R197">
            <v>0.88888888888888884</v>
          </cell>
          <cell r="S197">
            <v>0.11111111111111116</v>
          </cell>
          <cell r="T197">
            <v>0</v>
          </cell>
          <cell r="U197">
            <v>0</v>
          </cell>
          <cell r="V197">
            <v>0</v>
          </cell>
          <cell r="W197">
            <v>0</v>
          </cell>
        </row>
        <row r="198">
          <cell r="Q198">
            <v>344</v>
          </cell>
          <cell r="R198">
            <v>0.88888888888888884</v>
          </cell>
          <cell r="S198">
            <v>0.11111111111111116</v>
          </cell>
          <cell r="T198">
            <v>0</v>
          </cell>
          <cell r="U198">
            <v>0</v>
          </cell>
          <cell r="V198">
            <v>0</v>
          </cell>
          <cell r="W198">
            <v>0</v>
          </cell>
        </row>
        <row r="199">
          <cell r="Q199">
            <v>343</v>
          </cell>
          <cell r="R199">
            <v>0.88888888888888884</v>
          </cell>
          <cell r="S199">
            <v>0.11111111111111116</v>
          </cell>
          <cell r="T199">
            <v>0</v>
          </cell>
          <cell r="U199">
            <v>0</v>
          </cell>
          <cell r="V199">
            <v>0</v>
          </cell>
          <cell r="W199">
            <v>0</v>
          </cell>
        </row>
        <row r="200">
          <cell r="Q200">
            <v>342</v>
          </cell>
          <cell r="R200">
            <v>0.88888888888888884</v>
          </cell>
          <cell r="S200">
            <v>0.11111111111111116</v>
          </cell>
          <cell r="T200">
            <v>0</v>
          </cell>
          <cell r="U200">
            <v>0</v>
          </cell>
          <cell r="V200">
            <v>0</v>
          </cell>
          <cell r="W200">
            <v>0</v>
          </cell>
        </row>
        <row r="201">
          <cell r="Q201">
            <v>341</v>
          </cell>
          <cell r="R201">
            <v>0.88888888888888884</v>
          </cell>
          <cell r="S201">
            <v>0.11111111111111116</v>
          </cell>
          <cell r="T201">
            <v>0</v>
          </cell>
          <cell r="U201">
            <v>0</v>
          </cell>
          <cell r="V201">
            <v>0</v>
          </cell>
          <cell r="W201">
            <v>0</v>
          </cell>
        </row>
        <row r="202">
          <cell r="Q202">
            <v>340</v>
          </cell>
          <cell r="R202">
            <v>0.88888888888888884</v>
          </cell>
          <cell r="S202">
            <v>0.11111111111111116</v>
          </cell>
          <cell r="T202">
            <v>0</v>
          </cell>
          <cell r="U202">
            <v>0</v>
          </cell>
          <cell r="V202">
            <v>0</v>
          </cell>
          <cell r="W202">
            <v>0</v>
          </cell>
        </row>
        <row r="203">
          <cell r="Q203">
            <v>339</v>
          </cell>
          <cell r="R203">
            <v>0.88888888888888884</v>
          </cell>
          <cell r="S203">
            <v>0.11111111111111116</v>
          </cell>
          <cell r="T203">
            <v>0</v>
          </cell>
          <cell r="U203">
            <v>0</v>
          </cell>
          <cell r="V203">
            <v>0</v>
          </cell>
          <cell r="W203">
            <v>0</v>
          </cell>
        </row>
        <row r="204">
          <cell r="Q204">
            <v>338</v>
          </cell>
          <cell r="R204">
            <v>0.88888888888888884</v>
          </cell>
          <cell r="S204">
            <v>0.11111111111111116</v>
          </cell>
          <cell r="T204">
            <v>0</v>
          </cell>
          <cell r="U204">
            <v>0</v>
          </cell>
          <cell r="V204">
            <v>0</v>
          </cell>
          <cell r="W204">
            <v>0</v>
          </cell>
        </row>
        <row r="205">
          <cell r="Q205">
            <v>337</v>
          </cell>
          <cell r="R205">
            <v>0.88888888888888884</v>
          </cell>
          <cell r="S205">
            <v>0.11111111111111116</v>
          </cell>
          <cell r="T205">
            <v>0</v>
          </cell>
          <cell r="U205">
            <v>0</v>
          </cell>
          <cell r="V205">
            <v>0</v>
          </cell>
          <cell r="W205">
            <v>0</v>
          </cell>
        </row>
        <row r="206">
          <cell r="Q206">
            <v>336</v>
          </cell>
          <cell r="R206">
            <v>0.88888888888888884</v>
          </cell>
          <cell r="S206">
            <v>0.11111111111111116</v>
          </cell>
          <cell r="T206">
            <v>0</v>
          </cell>
          <cell r="U206">
            <v>0</v>
          </cell>
          <cell r="V206">
            <v>0</v>
          </cell>
          <cell r="W206">
            <v>0</v>
          </cell>
        </row>
        <row r="207">
          <cell r="Q207">
            <v>335</v>
          </cell>
          <cell r="R207">
            <v>0.88888888888888884</v>
          </cell>
          <cell r="S207">
            <v>0.11111111111111116</v>
          </cell>
          <cell r="T207">
            <v>0</v>
          </cell>
          <cell r="U207">
            <v>0</v>
          </cell>
          <cell r="V207">
            <v>0</v>
          </cell>
          <cell r="W207">
            <v>0</v>
          </cell>
        </row>
        <row r="208">
          <cell r="Q208">
            <v>334</v>
          </cell>
          <cell r="R208">
            <v>0.88888888888888884</v>
          </cell>
          <cell r="S208">
            <v>0.11111111111111116</v>
          </cell>
          <cell r="T208">
            <v>0</v>
          </cell>
          <cell r="U208">
            <v>0</v>
          </cell>
          <cell r="V208">
            <v>0</v>
          </cell>
          <cell r="W208">
            <v>0</v>
          </cell>
        </row>
        <row r="209">
          <cell r="Q209">
            <v>333</v>
          </cell>
          <cell r="R209">
            <v>0.88888888888888884</v>
          </cell>
          <cell r="S209">
            <v>0.11111111111111116</v>
          </cell>
          <cell r="T209">
            <v>0</v>
          </cell>
          <cell r="U209">
            <v>0</v>
          </cell>
          <cell r="V209">
            <v>0</v>
          </cell>
          <cell r="W209">
            <v>0</v>
          </cell>
        </row>
        <row r="210">
          <cell r="Q210">
            <v>332</v>
          </cell>
          <cell r="R210">
            <v>0.88888888888888884</v>
          </cell>
          <cell r="S210">
            <v>0.11111111111111116</v>
          </cell>
          <cell r="T210">
            <v>0</v>
          </cell>
          <cell r="U210">
            <v>0</v>
          </cell>
          <cell r="V210">
            <v>0</v>
          </cell>
          <cell r="W210">
            <v>0</v>
          </cell>
        </row>
        <row r="211">
          <cell r="Q211">
            <v>331</v>
          </cell>
          <cell r="R211">
            <v>0.88888888888888884</v>
          </cell>
          <cell r="S211">
            <v>0.11111111111111116</v>
          </cell>
          <cell r="T211">
            <v>0</v>
          </cell>
          <cell r="U211">
            <v>0</v>
          </cell>
          <cell r="V211">
            <v>0</v>
          </cell>
          <cell r="W211">
            <v>0</v>
          </cell>
        </row>
        <row r="212">
          <cell r="Q212">
            <v>330</v>
          </cell>
          <cell r="R212">
            <v>0.88888888888888884</v>
          </cell>
          <cell r="S212">
            <v>0.11111111111111116</v>
          </cell>
          <cell r="T212">
            <v>0</v>
          </cell>
          <cell r="U212">
            <v>0</v>
          </cell>
          <cell r="V212">
            <v>0</v>
          </cell>
          <cell r="W212">
            <v>0</v>
          </cell>
        </row>
        <row r="213">
          <cell r="Q213">
            <v>329</v>
          </cell>
          <cell r="R213">
            <v>0.88888888888888884</v>
          </cell>
          <cell r="S213">
            <v>0.11111111111111116</v>
          </cell>
          <cell r="T213">
            <v>0</v>
          </cell>
          <cell r="U213">
            <v>0</v>
          </cell>
          <cell r="V213">
            <v>0</v>
          </cell>
          <cell r="W213">
            <v>0</v>
          </cell>
        </row>
        <row r="214">
          <cell r="Q214">
            <v>328</v>
          </cell>
          <cell r="R214">
            <v>0.88888888888888884</v>
          </cell>
          <cell r="S214">
            <v>0.11111111111111116</v>
          </cell>
          <cell r="T214">
            <v>0</v>
          </cell>
          <cell r="U214">
            <v>0</v>
          </cell>
          <cell r="V214">
            <v>0</v>
          </cell>
          <cell r="W214">
            <v>0</v>
          </cell>
        </row>
        <row r="215">
          <cell r="Q215">
            <v>327</v>
          </cell>
          <cell r="R215">
            <v>0.88888888888888884</v>
          </cell>
          <cell r="S215">
            <v>0.11111111111111116</v>
          </cell>
          <cell r="T215">
            <v>0</v>
          </cell>
          <cell r="U215">
            <v>0</v>
          </cell>
          <cell r="V215">
            <v>0</v>
          </cell>
          <cell r="W215">
            <v>0</v>
          </cell>
        </row>
        <row r="216">
          <cell r="Q216">
            <v>326</v>
          </cell>
          <cell r="R216">
            <v>0.88888888888888884</v>
          </cell>
          <cell r="S216">
            <v>0.11111111111111116</v>
          </cell>
          <cell r="T216">
            <v>0</v>
          </cell>
          <cell r="U216">
            <v>0</v>
          </cell>
          <cell r="V216">
            <v>0</v>
          </cell>
          <cell r="W216">
            <v>0</v>
          </cell>
        </row>
        <row r="217">
          <cell r="Q217">
            <v>325</v>
          </cell>
          <cell r="R217">
            <v>0.88888888888888884</v>
          </cell>
          <cell r="S217">
            <v>0.11111111111111116</v>
          </cell>
          <cell r="T217">
            <v>0</v>
          </cell>
          <cell r="U217">
            <v>0</v>
          </cell>
          <cell r="V217">
            <v>0</v>
          </cell>
          <cell r="W217">
            <v>0</v>
          </cell>
        </row>
        <row r="218">
          <cell r="Q218">
            <v>324</v>
          </cell>
          <cell r="R218">
            <v>0.88888888888888884</v>
          </cell>
          <cell r="S218">
            <v>0.11111111111111116</v>
          </cell>
          <cell r="T218">
            <v>0</v>
          </cell>
          <cell r="U218">
            <v>0</v>
          </cell>
          <cell r="V218">
            <v>0</v>
          </cell>
          <cell r="W218">
            <v>0</v>
          </cell>
        </row>
        <row r="219">
          <cell r="Q219">
            <v>323</v>
          </cell>
          <cell r="R219">
            <v>0.88888888888888884</v>
          </cell>
          <cell r="S219">
            <v>0.11111111111111116</v>
          </cell>
          <cell r="T219">
            <v>0</v>
          </cell>
          <cell r="U219">
            <v>0</v>
          </cell>
          <cell r="V219">
            <v>0</v>
          </cell>
          <cell r="W219">
            <v>0</v>
          </cell>
        </row>
        <row r="220">
          <cell r="Q220">
            <v>322</v>
          </cell>
          <cell r="R220">
            <v>0.88888888888888884</v>
          </cell>
          <cell r="S220">
            <v>0.11111111111111116</v>
          </cell>
          <cell r="T220">
            <v>0</v>
          </cell>
          <cell r="U220">
            <v>0</v>
          </cell>
          <cell r="V220">
            <v>0</v>
          </cell>
          <cell r="W220">
            <v>0</v>
          </cell>
        </row>
        <row r="221">
          <cell r="Q221">
            <v>321</v>
          </cell>
          <cell r="R221">
            <v>0.88888888888888884</v>
          </cell>
          <cell r="S221">
            <v>0.11111111111111116</v>
          </cell>
          <cell r="T221">
            <v>0</v>
          </cell>
          <cell r="U221">
            <v>0</v>
          </cell>
          <cell r="V221">
            <v>0</v>
          </cell>
          <cell r="W221">
            <v>0</v>
          </cell>
        </row>
        <row r="222">
          <cell r="Q222">
            <v>320</v>
          </cell>
          <cell r="R222">
            <v>0.88888888888888884</v>
          </cell>
          <cell r="S222">
            <v>0.11111111111111116</v>
          </cell>
          <cell r="T222">
            <v>0</v>
          </cell>
          <cell r="U222">
            <v>0</v>
          </cell>
          <cell r="V222">
            <v>0</v>
          </cell>
          <cell r="W222">
            <v>0</v>
          </cell>
        </row>
        <row r="223">
          <cell r="Q223">
            <v>319</v>
          </cell>
          <cell r="R223">
            <v>0.88888888888888884</v>
          </cell>
          <cell r="S223">
            <v>0.11111111111111116</v>
          </cell>
          <cell r="T223">
            <v>0</v>
          </cell>
          <cell r="U223">
            <v>0</v>
          </cell>
          <cell r="V223">
            <v>0</v>
          </cell>
          <cell r="W223">
            <v>0</v>
          </cell>
        </row>
        <row r="224">
          <cell r="Q224">
            <v>318</v>
          </cell>
          <cell r="R224">
            <v>0.88888888888888884</v>
          </cell>
          <cell r="S224">
            <v>0.11111111111111116</v>
          </cell>
          <cell r="T224">
            <v>0</v>
          </cell>
          <cell r="U224">
            <v>0</v>
          </cell>
          <cell r="V224">
            <v>0</v>
          </cell>
          <cell r="W224">
            <v>0</v>
          </cell>
        </row>
        <row r="225">
          <cell r="Q225">
            <v>317</v>
          </cell>
          <cell r="R225">
            <v>0.88888888888888884</v>
          </cell>
          <cell r="S225">
            <v>0.11111111111111116</v>
          </cell>
          <cell r="T225">
            <v>0</v>
          </cell>
          <cell r="U225">
            <v>0</v>
          </cell>
          <cell r="V225">
            <v>0</v>
          </cell>
          <cell r="W225">
            <v>0</v>
          </cell>
        </row>
        <row r="226">
          <cell r="Q226">
            <v>316</v>
          </cell>
          <cell r="R226">
            <v>0.88888888888888884</v>
          </cell>
          <cell r="S226">
            <v>0.11111111111111116</v>
          </cell>
          <cell r="T226">
            <v>0</v>
          </cell>
          <cell r="U226">
            <v>0</v>
          </cell>
          <cell r="V226">
            <v>0</v>
          </cell>
          <cell r="W226">
            <v>0</v>
          </cell>
        </row>
        <row r="227">
          <cell r="Q227">
            <v>315</v>
          </cell>
          <cell r="R227">
            <v>0.88888888888888884</v>
          </cell>
          <cell r="S227">
            <v>0.11111111111111116</v>
          </cell>
          <cell r="T227">
            <v>0</v>
          </cell>
          <cell r="U227">
            <v>0</v>
          </cell>
          <cell r="V227">
            <v>0</v>
          </cell>
          <cell r="W227">
            <v>0</v>
          </cell>
        </row>
        <row r="228">
          <cell r="Q228">
            <v>314</v>
          </cell>
          <cell r="R228">
            <v>0.88888888888888884</v>
          </cell>
          <cell r="S228">
            <v>0.11111111111111116</v>
          </cell>
          <cell r="T228">
            <v>0</v>
          </cell>
          <cell r="U228">
            <v>0</v>
          </cell>
          <cell r="V228">
            <v>0</v>
          </cell>
          <cell r="W228">
            <v>0</v>
          </cell>
        </row>
        <row r="229">
          <cell r="Q229">
            <v>313</v>
          </cell>
          <cell r="R229">
            <v>0.88888888888888884</v>
          </cell>
          <cell r="S229">
            <v>0.11111111111111116</v>
          </cell>
          <cell r="T229">
            <v>0</v>
          </cell>
          <cell r="U229">
            <v>0</v>
          </cell>
          <cell r="V229">
            <v>0</v>
          </cell>
          <cell r="W229">
            <v>0</v>
          </cell>
        </row>
        <row r="230">
          <cell r="Q230">
            <v>312</v>
          </cell>
          <cell r="R230">
            <v>0.88888888888888884</v>
          </cell>
          <cell r="S230">
            <v>0.11111111111111116</v>
          </cell>
          <cell r="T230">
            <v>0</v>
          </cell>
          <cell r="U230">
            <v>0</v>
          </cell>
          <cell r="V230">
            <v>0</v>
          </cell>
          <cell r="W230">
            <v>0</v>
          </cell>
        </row>
        <row r="231">
          <cell r="Q231">
            <v>311</v>
          </cell>
          <cell r="R231">
            <v>0.88888888888888884</v>
          </cell>
          <cell r="S231">
            <v>0.11111111111111116</v>
          </cell>
          <cell r="T231">
            <v>0</v>
          </cell>
          <cell r="U231">
            <v>0</v>
          </cell>
          <cell r="V231">
            <v>0</v>
          </cell>
          <cell r="W231">
            <v>0</v>
          </cell>
        </row>
        <row r="232">
          <cell r="Q232">
            <v>310</v>
          </cell>
          <cell r="R232">
            <v>0.88888888888888884</v>
          </cell>
          <cell r="S232">
            <v>0.11111111111111116</v>
          </cell>
          <cell r="T232">
            <v>0</v>
          </cell>
          <cell r="U232">
            <v>0</v>
          </cell>
          <cell r="V232">
            <v>0</v>
          </cell>
          <cell r="W232">
            <v>0</v>
          </cell>
        </row>
        <row r="233">
          <cell r="Q233">
            <v>309</v>
          </cell>
          <cell r="R233">
            <v>0.88888888888888884</v>
          </cell>
          <cell r="S233">
            <v>0.11111111111111116</v>
          </cell>
          <cell r="T233">
            <v>0</v>
          </cell>
          <cell r="U233">
            <v>0</v>
          </cell>
          <cell r="V233">
            <v>0</v>
          </cell>
          <cell r="W233">
            <v>0</v>
          </cell>
        </row>
        <row r="234">
          <cell r="Q234">
            <v>308</v>
          </cell>
          <cell r="R234">
            <v>0.88888888888888884</v>
          </cell>
          <cell r="S234">
            <v>0.11111111111111116</v>
          </cell>
          <cell r="T234">
            <v>0</v>
          </cell>
          <cell r="U234">
            <v>0</v>
          </cell>
          <cell r="V234">
            <v>0</v>
          </cell>
          <cell r="W234">
            <v>0</v>
          </cell>
        </row>
        <row r="235">
          <cell r="Q235">
            <v>307</v>
          </cell>
          <cell r="R235">
            <v>0.88888888888888884</v>
          </cell>
          <cell r="S235">
            <v>0.11111111111111116</v>
          </cell>
          <cell r="T235">
            <v>0</v>
          </cell>
          <cell r="U235">
            <v>0</v>
          </cell>
          <cell r="V235">
            <v>0</v>
          </cell>
          <cell r="W235">
            <v>0</v>
          </cell>
        </row>
        <row r="236">
          <cell r="Q236">
            <v>306</v>
          </cell>
          <cell r="R236">
            <v>0.88888888888888884</v>
          </cell>
          <cell r="S236">
            <v>0.11111111111111116</v>
          </cell>
          <cell r="T236">
            <v>0</v>
          </cell>
          <cell r="U236">
            <v>0</v>
          </cell>
          <cell r="V236">
            <v>0</v>
          </cell>
          <cell r="W236">
            <v>0</v>
          </cell>
        </row>
        <row r="237">
          <cell r="Q237">
            <v>305</v>
          </cell>
          <cell r="R237">
            <v>0.88888888888888884</v>
          </cell>
          <cell r="S237">
            <v>0.11111111111111116</v>
          </cell>
          <cell r="T237">
            <v>0</v>
          </cell>
          <cell r="U237">
            <v>0</v>
          </cell>
          <cell r="V237">
            <v>0</v>
          </cell>
          <cell r="W237">
            <v>0</v>
          </cell>
        </row>
        <row r="238">
          <cell r="Q238">
            <v>304</v>
          </cell>
          <cell r="R238">
            <v>0.88888888888888884</v>
          </cell>
          <cell r="S238">
            <v>0.11111111111111116</v>
          </cell>
          <cell r="T238">
            <v>0</v>
          </cell>
          <cell r="U238">
            <v>0</v>
          </cell>
          <cell r="V238">
            <v>0</v>
          </cell>
          <cell r="W238">
            <v>0</v>
          </cell>
        </row>
        <row r="239">
          <cell r="Q239">
            <v>303</v>
          </cell>
          <cell r="R239">
            <v>0.88888888888888884</v>
          </cell>
          <cell r="S239">
            <v>0.11111111111111116</v>
          </cell>
          <cell r="T239">
            <v>0</v>
          </cell>
          <cell r="U239">
            <v>0</v>
          </cell>
          <cell r="V239">
            <v>0</v>
          </cell>
          <cell r="W239">
            <v>0</v>
          </cell>
        </row>
        <row r="240">
          <cell r="Q240">
            <v>302</v>
          </cell>
          <cell r="R240">
            <v>0.88888888888888884</v>
          </cell>
          <cell r="S240">
            <v>0.11111111111111116</v>
          </cell>
          <cell r="T240">
            <v>0</v>
          </cell>
          <cell r="U240">
            <v>0</v>
          </cell>
          <cell r="V240">
            <v>0</v>
          </cell>
          <cell r="W240">
            <v>0</v>
          </cell>
        </row>
        <row r="241">
          <cell r="Q241">
            <v>301</v>
          </cell>
          <cell r="R241">
            <v>0.88888888888888884</v>
          </cell>
          <cell r="S241">
            <v>0.11111111111111116</v>
          </cell>
          <cell r="T241">
            <v>0</v>
          </cell>
          <cell r="U241">
            <v>0</v>
          </cell>
          <cell r="V241">
            <v>0</v>
          </cell>
          <cell r="W241">
            <v>0</v>
          </cell>
        </row>
        <row r="242">
          <cell r="Q242">
            <v>300</v>
          </cell>
          <cell r="R242">
            <v>0.88888888888888884</v>
          </cell>
          <cell r="S242">
            <v>0.11111111111111116</v>
          </cell>
          <cell r="T242">
            <v>0</v>
          </cell>
          <cell r="U242">
            <v>0</v>
          </cell>
          <cell r="V242">
            <v>0</v>
          </cell>
          <cell r="W242">
            <v>0</v>
          </cell>
        </row>
        <row r="243">
          <cell r="Q243">
            <v>299</v>
          </cell>
          <cell r="R243">
            <v>0.88888888888888884</v>
          </cell>
          <cell r="S243">
            <v>0.11111111111111116</v>
          </cell>
          <cell r="T243">
            <v>0</v>
          </cell>
          <cell r="U243">
            <v>0</v>
          </cell>
          <cell r="V243">
            <v>0</v>
          </cell>
          <cell r="W243">
            <v>0</v>
          </cell>
        </row>
        <row r="244">
          <cell r="Q244">
            <v>298</v>
          </cell>
          <cell r="R244">
            <v>0.88888888888888884</v>
          </cell>
          <cell r="S244">
            <v>0.11111111111111116</v>
          </cell>
          <cell r="T244">
            <v>0</v>
          </cell>
          <cell r="U244">
            <v>0</v>
          </cell>
          <cell r="V244">
            <v>0</v>
          </cell>
          <cell r="W244">
            <v>0</v>
          </cell>
        </row>
        <row r="245">
          <cell r="Q245">
            <v>297</v>
          </cell>
          <cell r="R245">
            <v>0.88888888888888884</v>
          </cell>
          <cell r="S245">
            <v>0.11111111111111116</v>
          </cell>
          <cell r="T245">
            <v>0</v>
          </cell>
          <cell r="U245">
            <v>0</v>
          </cell>
          <cell r="V245">
            <v>0</v>
          </cell>
          <cell r="W245">
            <v>0</v>
          </cell>
        </row>
        <row r="246">
          <cell r="Q246">
            <v>296</v>
          </cell>
          <cell r="R246">
            <v>0.88888888888888884</v>
          </cell>
          <cell r="S246">
            <v>0.11111111111111116</v>
          </cell>
          <cell r="T246">
            <v>0</v>
          </cell>
          <cell r="U246">
            <v>0</v>
          </cell>
          <cell r="V246">
            <v>0</v>
          </cell>
          <cell r="W246">
            <v>0</v>
          </cell>
        </row>
        <row r="247">
          <cell r="Q247">
            <v>295</v>
          </cell>
          <cell r="R247">
            <v>0.88888888888888884</v>
          </cell>
          <cell r="S247">
            <v>0.11111111111111116</v>
          </cell>
          <cell r="T247">
            <v>0</v>
          </cell>
          <cell r="U247">
            <v>0</v>
          </cell>
          <cell r="V247">
            <v>0</v>
          </cell>
          <cell r="W247">
            <v>0</v>
          </cell>
        </row>
        <row r="248">
          <cell r="Q248">
            <v>294</v>
          </cell>
          <cell r="R248">
            <v>0.88888888888888884</v>
          </cell>
          <cell r="S248">
            <v>0.11111111111111116</v>
          </cell>
          <cell r="T248">
            <v>0</v>
          </cell>
          <cell r="U248">
            <v>0</v>
          </cell>
          <cell r="V248">
            <v>0</v>
          </cell>
          <cell r="W248">
            <v>0</v>
          </cell>
        </row>
        <row r="249">
          <cell r="Q249">
            <v>293</v>
          </cell>
          <cell r="R249">
            <v>0.88888888888888884</v>
          </cell>
          <cell r="S249">
            <v>0.11111111111111116</v>
          </cell>
          <cell r="T249">
            <v>0</v>
          </cell>
          <cell r="U249">
            <v>0</v>
          </cell>
          <cell r="V249">
            <v>0</v>
          </cell>
          <cell r="W249">
            <v>0</v>
          </cell>
        </row>
        <row r="250">
          <cell r="Q250">
            <v>292</v>
          </cell>
          <cell r="R250">
            <v>0.88888888888888884</v>
          </cell>
          <cell r="S250">
            <v>0.11111111111111116</v>
          </cell>
          <cell r="T250">
            <v>0</v>
          </cell>
          <cell r="U250">
            <v>0</v>
          </cell>
          <cell r="V250">
            <v>0</v>
          </cell>
          <cell r="W250">
            <v>0</v>
          </cell>
        </row>
        <row r="251">
          <cell r="Q251">
            <v>291</v>
          </cell>
          <cell r="R251">
            <v>0.88888888888888884</v>
          </cell>
          <cell r="S251">
            <v>0.11111111111111116</v>
          </cell>
          <cell r="T251">
            <v>0</v>
          </cell>
          <cell r="U251">
            <v>0</v>
          </cell>
          <cell r="V251">
            <v>0</v>
          </cell>
          <cell r="W251">
            <v>0</v>
          </cell>
        </row>
        <row r="252">
          <cell r="Q252">
            <v>290</v>
          </cell>
          <cell r="R252">
            <v>0.88888888888888884</v>
          </cell>
          <cell r="S252">
            <v>0.11111111111111116</v>
          </cell>
          <cell r="T252">
            <v>0</v>
          </cell>
          <cell r="U252">
            <v>0</v>
          </cell>
          <cell r="V252">
            <v>0</v>
          </cell>
          <cell r="W252">
            <v>0</v>
          </cell>
        </row>
        <row r="253">
          <cell r="Q253">
            <v>289</v>
          </cell>
          <cell r="R253">
            <v>0.88888888888888884</v>
          </cell>
          <cell r="S253">
            <v>0.11111111111111116</v>
          </cell>
          <cell r="T253">
            <v>0</v>
          </cell>
          <cell r="U253">
            <v>0</v>
          </cell>
          <cell r="V253">
            <v>0</v>
          </cell>
          <cell r="W253">
            <v>0</v>
          </cell>
        </row>
        <row r="254">
          <cell r="Q254">
            <v>288</v>
          </cell>
          <cell r="R254">
            <v>0.88888888888888884</v>
          </cell>
          <cell r="S254">
            <v>0.11111111111111116</v>
          </cell>
          <cell r="T254">
            <v>0</v>
          </cell>
          <cell r="U254">
            <v>0</v>
          </cell>
          <cell r="V254">
            <v>0</v>
          </cell>
          <cell r="W254">
            <v>0</v>
          </cell>
        </row>
        <row r="255">
          <cell r="Q255">
            <v>287</v>
          </cell>
          <cell r="R255">
            <v>0.88888888888888884</v>
          </cell>
          <cell r="S255">
            <v>0.11111111111111116</v>
          </cell>
          <cell r="T255">
            <v>0</v>
          </cell>
          <cell r="U255">
            <v>0</v>
          </cell>
          <cell r="V255">
            <v>0</v>
          </cell>
          <cell r="W255">
            <v>0</v>
          </cell>
        </row>
        <row r="256">
          <cell r="Q256">
            <v>286</v>
          </cell>
          <cell r="R256">
            <v>0.88888888888888884</v>
          </cell>
          <cell r="S256">
            <v>0.11111111111111116</v>
          </cell>
          <cell r="T256">
            <v>0</v>
          </cell>
          <cell r="U256">
            <v>0</v>
          </cell>
          <cell r="V256">
            <v>0</v>
          </cell>
          <cell r="W256">
            <v>0</v>
          </cell>
        </row>
        <row r="257">
          <cell r="Q257">
            <v>285</v>
          </cell>
          <cell r="R257">
            <v>0.88888888888888884</v>
          </cell>
          <cell r="S257">
            <v>0.11111111111111116</v>
          </cell>
          <cell r="T257">
            <v>0</v>
          </cell>
          <cell r="U257">
            <v>0</v>
          </cell>
          <cell r="V257">
            <v>0</v>
          </cell>
          <cell r="W257">
            <v>0</v>
          </cell>
        </row>
        <row r="258">
          <cell r="Q258">
            <v>284</v>
          </cell>
          <cell r="R258">
            <v>0.88888888888888884</v>
          </cell>
          <cell r="S258">
            <v>0.11111111111111116</v>
          </cell>
          <cell r="T258">
            <v>0</v>
          </cell>
          <cell r="U258">
            <v>0</v>
          </cell>
          <cell r="V258">
            <v>0</v>
          </cell>
          <cell r="W258">
            <v>0</v>
          </cell>
        </row>
        <row r="259">
          <cell r="Q259">
            <v>283</v>
          </cell>
          <cell r="R259">
            <v>0.88888888888888884</v>
          </cell>
          <cell r="S259">
            <v>0.11111111111111116</v>
          </cell>
          <cell r="T259">
            <v>0</v>
          </cell>
          <cell r="U259">
            <v>0</v>
          </cell>
          <cell r="V259">
            <v>0</v>
          </cell>
          <cell r="W259">
            <v>0</v>
          </cell>
        </row>
        <row r="260">
          <cell r="Q260">
            <v>282</v>
          </cell>
          <cell r="R260">
            <v>0.88888888888888884</v>
          </cell>
          <cell r="S260">
            <v>0.11111111111111116</v>
          </cell>
          <cell r="T260">
            <v>0</v>
          </cell>
          <cell r="U260">
            <v>0</v>
          </cell>
          <cell r="V260">
            <v>0</v>
          </cell>
          <cell r="W260">
            <v>0</v>
          </cell>
        </row>
        <row r="261">
          <cell r="Q261">
            <v>281</v>
          </cell>
          <cell r="R261">
            <v>0.88888888888888884</v>
          </cell>
          <cell r="S261">
            <v>0.11111111111111116</v>
          </cell>
          <cell r="T261">
            <v>0</v>
          </cell>
          <cell r="U261">
            <v>0</v>
          </cell>
          <cell r="V261">
            <v>0</v>
          </cell>
          <cell r="W261">
            <v>0</v>
          </cell>
        </row>
        <row r="262">
          <cell r="Q262">
            <v>280</v>
          </cell>
          <cell r="R262">
            <v>0.88888888888888884</v>
          </cell>
          <cell r="S262">
            <v>0.11111111111111116</v>
          </cell>
          <cell r="T262">
            <v>0</v>
          </cell>
          <cell r="U262">
            <v>0</v>
          </cell>
          <cell r="V262">
            <v>0</v>
          </cell>
          <cell r="W262">
            <v>0</v>
          </cell>
        </row>
        <row r="263">
          <cell r="Q263">
            <v>279</v>
          </cell>
          <cell r="R263">
            <v>0.88888888888888884</v>
          </cell>
          <cell r="S263">
            <v>0.11111111111111116</v>
          </cell>
          <cell r="T263">
            <v>0</v>
          </cell>
          <cell r="U263">
            <v>0</v>
          </cell>
          <cell r="V263">
            <v>0</v>
          </cell>
          <cell r="W263">
            <v>0</v>
          </cell>
        </row>
        <row r="264">
          <cell r="Q264">
            <v>278</v>
          </cell>
          <cell r="R264">
            <v>0.88888888888888884</v>
          </cell>
          <cell r="S264">
            <v>0.11111111111111116</v>
          </cell>
          <cell r="T264">
            <v>0</v>
          </cell>
          <cell r="U264">
            <v>0</v>
          </cell>
          <cell r="V264">
            <v>0</v>
          </cell>
          <cell r="W264">
            <v>0</v>
          </cell>
        </row>
        <row r="265">
          <cell r="Q265">
            <v>277</v>
          </cell>
          <cell r="R265">
            <v>0.88888888888888884</v>
          </cell>
          <cell r="S265">
            <v>0.11111111111111116</v>
          </cell>
          <cell r="T265">
            <v>0</v>
          </cell>
          <cell r="U265">
            <v>0</v>
          </cell>
          <cell r="V265">
            <v>0</v>
          </cell>
          <cell r="W265">
            <v>0</v>
          </cell>
        </row>
        <row r="266">
          <cell r="Q266">
            <v>276</v>
          </cell>
          <cell r="R266">
            <v>0.88888888888888884</v>
          </cell>
          <cell r="S266">
            <v>0.11111111111111116</v>
          </cell>
          <cell r="T266">
            <v>0</v>
          </cell>
          <cell r="U266">
            <v>0</v>
          </cell>
          <cell r="V266">
            <v>0</v>
          </cell>
          <cell r="W266">
            <v>0</v>
          </cell>
        </row>
        <row r="267">
          <cell r="Q267">
            <v>275</v>
          </cell>
          <cell r="R267">
            <v>0.88888888888888884</v>
          </cell>
          <cell r="S267">
            <v>0.11111111111111116</v>
          </cell>
          <cell r="T267">
            <v>0</v>
          </cell>
          <cell r="U267">
            <v>0</v>
          </cell>
          <cell r="V267">
            <v>0</v>
          </cell>
          <cell r="W267">
            <v>0</v>
          </cell>
        </row>
        <row r="268">
          <cell r="Q268">
            <v>274</v>
          </cell>
          <cell r="R268">
            <v>0.88888888888888884</v>
          </cell>
          <cell r="S268">
            <v>0.11111111111111116</v>
          </cell>
          <cell r="T268">
            <v>0</v>
          </cell>
          <cell r="U268">
            <v>0</v>
          </cell>
          <cell r="V268">
            <v>0</v>
          </cell>
          <cell r="W268">
            <v>0</v>
          </cell>
        </row>
        <row r="269">
          <cell r="Q269">
            <v>273</v>
          </cell>
          <cell r="R269">
            <v>0.88888888888888884</v>
          </cell>
          <cell r="S269">
            <v>0.11111111111111116</v>
          </cell>
          <cell r="T269">
            <v>0</v>
          </cell>
          <cell r="U269">
            <v>0</v>
          </cell>
          <cell r="V269">
            <v>0</v>
          </cell>
          <cell r="W269">
            <v>0</v>
          </cell>
        </row>
        <row r="270">
          <cell r="Q270">
            <v>272</v>
          </cell>
          <cell r="R270">
            <v>0.88888888888888884</v>
          </cell>
          <cell r="S270">
            <v>0.11111111111111116</v>
          </cell>
          <cell r="T270">
            <v>0</v>
          </cell>
          <cell r="U270">
            <v>0</v>
          </cell>
          <cell r="V270">
            <v>0</v>
          </cell>
          <cell r="W270">
            <v>0</v>
          </cell>
        </row>
        <row r="271">
          <cell r="Q271">
            <v>271</v>
          </cell>
          <cell r="R271">
            <v>0.88888888888888884</v>
          </cell>
          <cell r="S271">
            <v>0.11111111111111116</v>
          </cell>
          <cell r="T271">
            <v>0</v>
          </cell>
          <cell r="U271">
            <v>0</v>
          </cell>
          <cell r="V271">
            <v>0</v>
          </cell>
          <cell r="W271">
            <v>0</v>
          </cell>
        </row>
        <row r="272">
          <cell r="Q272">
            <v>270</v>
          </cell>
          <cell r="R272">
            <v>0.88888888888888884</v>
          </cell>
          <cell r="S272">
            <v>0.11111111111111116</v>
          </cell>
          <cell r="T272">
            <v>0</v>
          </cell>
          <cell r="U272">
            <v>0</v>
          </cell>
          <cell r="V272">
            <v>0</v>
          </cell>
          <cell r="W272">
            <v>0</v>
          </cell>
        </row>
        <row r="273">
          <cell r="Q273">
            <v>269</v>
          </cell>
          <cell r="R273">
            <v>0.88888888888888884</v>
          </cell>
          <cell r="S273">
            <v>0.11111111111111116</v>
          </cell>
          <cell r="T273">
            <v>0</v>
          </cell>
          <cell r="U273">
            <v>0</v>
          </cell>
          <cell r="V273">
            <v>0</v>
          </cell>
          <cell r="W273">
            <v>0</v>
          </cell>
        </row>
        <row r="274">
          <cell r="Q274">
            <v>268</v>
          </cell>
          <cell r="R274">
            <v>0.88888888888888884</v>
          </cell>
          <cell r="S274">
            <v>0.11111111111111116</v>
          </cell>
          <cell r="T274">
            <v>0</v>
          </cell>
          <cell r="U274">
            <v>0</v>
          </cell>
          <cell r="V274">
            <v>0</v>
          </cell>
          <cell r="W274">
            <v>0</v>
          </cell>
        </row>
        <row r="275">
          <cell r="Q275">
            <v>267</v>
          </cell>
          <cell r="R275">
            <v>0.88888888888888884</v>
          </cell>
          <cell r="S275">
            <v>0.11111111111111116</v>
          </cell>
          <cell r="T275">
            <v>0</v>
          </cell>
          <cell r="U275">
            <v>0</v>
          </cell>
          <cell r="V275">
            <v>0</v>
          </cell>
          <cell r="W275">
            <v>0</v>
          </cell>
        </row>
        <row r="276">
          <cell r="Q276">
            <v>266</v>
          </cell>
          <cell r="R276">
            <v>0.88888888888888884</v>
          </cell>
          <cell r="S276">
            <v>0.11111111111111116</v>
          </cell>
          <cell r="T276">
            <v>0</v>
          </cell>
          <cell r="U276">
            <v>0</v>
          </cell>
          <cell r="V276">
            <v>0</v>
          </cell>
          <cell r="W276">
            <v>0</v>
          </cell>
        </row>
        <row r="277">
          <cell r="Q277">
            <v>265</v>
          </cell>
          <cell r="R277">
            <v>0.88888888888888884</v>
          </cell>
          <cell r="S277">
            <v>0.11111111111111116</v>
          </cell>
          <cell r="T277">
            <v>0</v>
          </cell>
          <cell r="U277">
            <v>0</v>
          </cell>
          <cell r="V277">
            <v>0</v>
          </cell>
          <cell r="W277">
            <v>0</v>
          </cell>
        </row>
        <row r="278">
          <cell r="Q278">
            <v>264</v>
          </cell>
          <cell r="R278">
            <v>0.88888888888888884</v>
          </cell>
          <cell r="S278">
            <v>0.11111111111111116</v>
          </cell>
          <cell r="T278">
            <v>0</v>
          </cell>
          <cell r="U278">
            <v>0</v>
          </cell>
          <cell r="V278">
            <v>0</v>
          </cell>
          <cell r="W278">
            <v>0</v>
          </cell>
        </row>
        <row r="279">
          <cell r="Q279">
            <v>263</v>
          </cell>
          <cell r="R279">
            <v>0.88888888888888884</v>
          </cell>
          <cell r="S279">
            <v>0.11111111111111116</v>
          </cell>
          <cell r="T279">
            <v>0</v>
          </cell>
          <cell r="U279">
            <v>0</v>
          </cell>
          <cell r="V279">
            <v>0</v>
          </cell>
          <cell r="W279">
            <v>0</v>
          </cell>
        </row>
        <row r="280">
          <cell r="Q280">
            <v>262</v>
          </cell>
          <cell r="R280">
            <v>0.88888888888888884</v>
          </cell>
          <cell r="S280">
            <v>0.11111111111111116</v>
          </cell>
          <cell r="T280">
            <v>0</v>
          </cell>
          <cell r="U280">
            <v>0</v>
          </cell>
          <cell r="V280">
            <v>0</v>
          </cell>
          <cell r="W280">
            <v>0</v>
          </cell>
        </row>
        <row r="281">
          <cell r="Q281">
            <v>261</v>
          </cell>
          <cell r="R281">
            <v>0.88888888888888884</v>
          </cell>
          <cell r="S281">
            <v>0.11111111111111116</v>
          </cell>
          <cell r="T281">
            <v>0</v>
          </cell>
          <cell r="U281">
            <v>0</v>
          </cell>
          <cell r="V281">
            <v>0</v>
          </cell>
          <cell r="W281">
            <v>0</v>
          </cell>
        </row>
        <row r="282">
          <cell r="Q282">
            <v>260</v>
          </cell>
          <cell r="R282">
            <v>0.88888888888888884</v>
          </cell>
          <cell r="S282">
            <v>0.11111111111111116</v>
          </cell>
          <cell r="T282">
            <v>0</v>
          </cell>
          <cell r="U282">
            <v>0</v>
          </cell>
          <cell r="V282">
            <v>0</v>
          </cell>
          <cell r="W282">
            <v>0</v>
          </cell>
        </row>
        <row r="283">
          <cell r="Q283">
            <v>259</v>
          </cell>
          <cell r="R283">
            <v>0.88888888888888884</v>
          </cell>
          <cell r="S283">
            <v>0.11111111111111116</v>
          </cell>
          <cell r="T283">
            <v>0</v>
          </cell>
          <cell r="U283">
            <v>0</v>
          </cell>
          <cell r="V283">
            <v>0</v>
          </cell>
          <cell r="W283">
            <v>0</v>
          </cell>
        </row>
        <row r="284">
          <cell r="Q284">
            <v>258</v>
          </cell>
          <cell r="R284">
            <v>0.88888888888888884</v>
          </cell>
          <cell r="S284">
            <v>0.11111111111111116</v>
          </cell>
          <cell r="T284">
            <v>0</v>
          </cell>
          <cell r="U284">
            <v>0</v>
          </cell>
          <cell r="V284">
            <v>0</v>
          </cell>
          <cell r="W284">
            <v>0</v>
          </cell>
        </row>
        <row r="285">
          <cell r="Q285">
            <v>257</v>
          </cell>
          <cell r="R285">
            <v>0.88888888888888884</v>
          </cell>
          <cell r="S285">
            <v>0.11111111111111116</v>
          </cell>
          <cell r="T285">
            <v>0</v>
          </cell>
          <cell r="U285">
            <v>0</v>
          </cell>
          <cell r="V285">
            <v>0</v>
          </cell>
          <cell r="W285">
            <v>0</v>
          </cell>
        </row>
        <row r="286">
          <cell r="Q286">
            <v>256</v>
          </cell>
          <cell r="R286">
            <v>0.88888888888888884</v>
          </cell>
          <cell r="S286">
            <v>0.11111111111111116</v>
          </cell>
          <cell r="T286">
            <v>0</v>
          </cell>
          <cell r="U286">
            <v>0</v>
          </cell>
          <cell r="V286">
            <v>0</v>
          </cell>
          <cell r="W286">
            <v>0</v>
          </cell>
        </row>
        <row r="287">
          <cell r="Q287">
            <v>255</v>
          </cell>
          <cell r="R287">
            <v>0.88888888888888884</v>
          </cell>
          <cell r="S287">
            <v>0.11111111111111116</v>
          </cell>
          <cell r="T287">
            <v>0</v>
          </cell>
          <cell r="U287">
            <v>0</v>
          </cell>
          <cell r="V287">
            <v>0</v>
          </cell>
          <cell r="W287">
            <v>0</v>
          </cell>
        </row>
        <row r="288">
          <cell r="Q288">
            <v>254</v>
          </cell>
          <cell r="R288">
            <v>0.88888888888888884</v>
          </cell>
          <cell r="S288">
            <v>0.11111111111111116</v>
          </cell>
          <cell r="T288">
            <v>0</v>
          </cell>
          <cell r="U288">
            <v>0</v>
          </cell>
          <cell r="V288">
            <v>0</v>
          </cell>
          <cell r="W288">
            <v>0</v>
          </cell>
        </row>
        <row r="289">
          <cell r="Q289">
            <v>253</v>
          </cell>
          <cell r="R289">
            <v>0.88888888888888884</v>
          </cell>
          <cell r="S289">
            <v>0.11111111111111116</v>
          </cell>
          <cell r="T289">
            <v>0</v>
          </cell>
          <cell r="U289">
            <v>0</v>
          </cell>
          <cell r="V289">
            <v>0</v>
          </cell>
          <cell r="W289">
            <v>0</v>
          </cell>
        </row>
        <row r="290">
          <cell r="Q290">
            <v>252</v>
          </cell>
          <cell r="R290">
            <v>0.88888888888888884</v>
          </cell>
          <cell r="S290">
            <v>0.11111111111111116</v>
          </cell>
          <cell r="T290">
            <v>0</v>
          </cell>
          <cell r="U290">
            <v>0</v>
          </cell>
          <cell r="V290">
            <v>0</v>
          </cell>
          <cell r="W290">
            <v>0</v>
          </cell>
        </row>
        <row r="291">
          <cell r="Q291">
            <v>251</v>
          </cell>
          <cell r="R291">
            <v>0.88888888888888884</v>
          </cell>
          <cell r="S291">
            <v>0.11111111111111116</v>
          </cell>
          <cell r="T291">
            <v>0</v>
          </cell>
          <cell r="U291">
            <v>0</v>
          </cell>
          <cell r="V291">
            <v>0</v>
          </cell>
          <cell r="W291">
            <v>0</v>
          </cell>
        </row>
        <row r="292">
          <cell r="Q292">
            <v>250</v>
          </cell>
          <cell r="R292">
            <v>0.88888888888888884</v>
          </cell>
          <cell r="S292">
            <v>0.11111111111111116</v>
          </cell>
          <cell r="T292">
            <v>0</v>
          </cell>
          <cell r="U292">
            <v>0</v>
          </cell>
          <cell r="V292">
            <v>0</v>
          </cell>
          <cell r="W292">
            <v>0</v>
          </cell>
        </row>
        <row r="293">
          <cell r="Q293">
            <v>249</v>
          </cell>
          <cell r="R293">
            <v>0.88888888888888884</v>
          </cell>
          <cell r="S293">
            <v>0.11111111111111116</v>
          </cell>
          <cell r="T293">
            <v>0</v>
          </cell>
          <cell r="U293">
            <v>0</v>
          </cell>
          <cell r="V293">
            <v>0</v>
          </cell>
          <cell r="W293">
            <v>0</v>
          </cell>
        </row>
        <row r="294">
          <cell r="Q294">
            <v>248</v>
          </cell>
          <cell r="R294">
            <v>0.88888888888888884</v>
          </cell>
          <cell r="S294">
            <v>0.11111111111111116</v>
          </cell>
          <cell r="T294">
            <v>0</v>
          </cell>
          <cell r="U294">
            <v>0</v>
          </cell>
          <cell r="V294">
            <v>0</v>
          </cell>
          <cell r="W294">
            <v>0</v>
          </cell>
        </row>
        <row r="295">
          <cell r="Q295">
            <v>247</v>
          </cell>
          <cell r="R295">
            <v>0.88888888888888884</v>
          </cell>
          <cell r="S295">
            <v>0.11111111111111116</v>
          </cell>
          <cell r="T295">
            <v>0</v>
          </cell>
          <cell r="U295">
            <v>0</v>
          </cell>
          <cell r="V295">
            <v>0</v>
          </cell>
          <cell r="W295">
            <v>0</v>
          </cell>
        </row>
        <row r="296">
          <cell r="Q296">
            <v>246</v>
          </cell>
          <cell r="R296">
            <v>0.88888888888888884</v>
          </cell>
          <cell r="S296">
            <v>0.11111111111111116</v>
          </cell>
          <cell r="T296">
            <v>0</v>
          </cell>
          <cell r="U296">
            <v>0</v>
          </cell>
          <cell r="V296">
            <v>0</v>
          </cell>
          <cell r="W296">
            <v>0</v>
          </cell>
        </row>
        <row r="297">
          <cell r="Q297">
            <v>245</v>
          </cell>
          <cell r="R297">
            <v>0.88888888888888884</v>
          </cell>
          <cell r="S297">
            <v>0.11111111111111116</v>
          </cell>
          <cell r="T297">
            <v>0</v>
          </cell>
          <cell r="U297">
            <v>0</v>
          </cell>
          <cell r="V297">
            <v>0</v>
          </cell>
          <cell r="W297">
            <v>0</v>
          </cell>
        </row>
        <row r="298">
          <cell r="Q298">
            <v>244</v>
          </cell>
          <cell r="R298">
            <v>0.88888888888888884</v>
          </cell>
          <cell r="S298">
            <v>0.11111111111111116</v>
          </cell>
          <cell r="T298">
            <v>0</v>
          </cell>
          <cell r="U298">
            <v>0</v>
          </cell>
          <cell r="V298">
            <v>0</v>
          </cell>
          <cell r="W298">
            <v>0</v>
          </cell>
        </row>
        <row r="299">
          <cell r="Q299">
            <v>243</v>
          </cell>
          <cell r="R299">
            <v>0.88888888888888884</v>
          </cell>
          <cell r="S299">
            <v>0.11111111111111116</v>
          </cell>
          <cell r="T299">
            <v>0</v>
          </cell>
          <cell r="U299">
            <v>0</v>
          </cell>
          <cell r="V299">
            <v>0</v>
          </cell>
          <cell r="W299">
            <v>0</v>
          </cell>
        </row>
        <row r="300">
          <cell r="Q300">
            <v>242</v>
          </cell>
          <cell r="R300">
            <v>0.88888888888888884</v>
          </cell>
          <cell r="S300">
            <v>0.11111111111111116</v>
          </cell>
          <cell r="T300">
            <v>0</v>
          </cell>
          <cell r="U300">
            <v>0</v>
          </cell>
          <cell r="V300">
            <v>0</v>
          </cell>
          <cell r="W300">
            <v>0</v>
          </cell>
        </row>
        <row r="301">
          <cell r="Q301">
            <v>241</v>
          </cell>
          <cell r="R301">
            <v>0.88888888888888884</v>
          </cell>
          <cell r="S301">
            <v>0.11111111111111116</v>
          </cell>
          <cell r="T301">
            <v>0</v>
          </cell>
          <cell r="U301">
            <v>0</v>
          </cell>
          <cell r="V301">
            <v>0</v>
          </cell>
          <cell r="W301">
            <v>0</v>
          </cell>
        </row>
        <row r="302">
          <cell r="Q302">
            <v>240</v>
          </cell>
          <cell r="R302">
            <v>0.88888888888888884</v>
          </cell>
          <cell r="S302">
            <v>0.11111111111111116</v>
          </cell>
          <cell r="T302">
            <v>0</v>
          </cell>
          <cell r="U302">
            <v>0</v>
          </cell>
          <cell r="V302">
            <v>0</v>
          </cell>
          <cell r="W302">
            <v>0</v>
          </cell>
        </row>
        <row r="303">
          <cell r="Q303">
            <v>239</v>
          </cell>
          <cell r="R303">
            <v>0.88888888888888884</v>
          </cell>
          <cell r="S303">
            <v>0.11111111111111116</v>
          </cell>
          <cell r="T303">
            <v>0</v>
          </cell>
          <cell r="U303">
            <v>0</v>
          </cell>
          <cell r="V303">
            <v>0</v>
          </cell>
          <cell r="W303">
            <v>0</v>
          </cell>
        </row>
        <row r="304">
          <cell r="Q304">
            <v>238</v>
          </cell>
          <cell r="R304">
            <v>0.88888888888888884</v>
          </cell>
          <cell r="S304">
            <v>0.11111111111111116</v>
          </cell>
          <cell r="T304">
            <v>0</v>
          </cell>
          <cell r="U304">
            <v>0</v>
          </cell>
          <cell r="V304">
            <v>0</v>
          </cell>
          <cell r="W304">
            <v>0</v>
          </cell>
        </row>
        <row r="305">
          <cell r="Q305">
            <v>237</v>
          </cell>
          <cell r="R305">
            <v>0.88888888888888884</v>
          </cell>
          <cell r="S305">
            <v>0.11111111111111116</v>
          </cell>
          <cell r="T305">
            <v>0</v>
          </cell>
          <cell r="U305">
            <v>0</v>
          </cell>
          <cell r="V305">
            <v>0</v>
          </cell>
          <cell r="W305">
            <v>0</v>
          </cell>
        </row>
        <row r="306">
          <cell r="Q306">
            <v>236</v>
          </cell>
          <cell r="R306">
            <v>0.88888888888888884</v>
          </cell>
          <cell r="S306">
            <v>0.11111111111111116</v>
          </cell>
          <cell r="T306">
            <v>0</v>
          </cell>
          <cell r="U306">
            <v>0</v>
          </cell>
          <cell r="V306">
            <v>0</v>
          </cell>
          <cell r="W306">
            <v>0</v>
          </cell>
        </row>
        <row r="307">
          <cell r="Q307">
            <v>235</v>
          </cell>
          <cell r="R307">
            <v>0.88888888888888884</v>
          </cell>
          <cell r="S307">
            <v>0.11111111111111116</v>
          </cell>
          <cell r="T307">
            <v>0</v>
          </cell>
          <cell r="U307">
            <v>0</v>
          </cell>
          <cell r="V307">
            <v>0</v>
          </cell>
          <cell r="W307">
            <v>0</v>
          </cell>
        </row>
        <row r="308">
          <cell r="Q308">
            <v>234</v>
          </cell>
          <cell r="R308">
            <v>0.88888888888888884</v>
          </cell>
          <cell r="S308">
            <v>0.11111111111111116</v>
          </cell>
          <cell r="T308">
            <v>0</v>
          </cell>
          <cell r="U308">
            <v>0</v>
          </cell>
          <cell r="V308">
            <v>0</v>
          </cell>
          <cell r="W308">
            <v>0</v>
          </cell>
        </row>
        <row r="309">
          <cell r="Q309">
            <v>233</v>
          </cell>
          <cell r="R309">
            <v>0.88888888888888884</v>
          </cell>
          <cell r="S309">
            <v>0.11111111111111116</v>
          </cell>
          <cell r="T309">
            <v>0</v>
          </cell>
          <cell r="U309">
            <v>0</v>
          </cell>
          <cell r="V309">
            <v>0</v>
          </cell>
          <cell r="W309">
            <v>0</v>
          </cell>
        </row>
        <row r="310">
          <cell r="Q310">
            <v>232</v>
          </cell>
          <cell r="R310">
            <v>0.88888888888888884</v>
          </cell>
          <cell r="S310">
            <v>0.11111111111111116</v>
          </cell>
          <cell r="T310">
            <v>0</v>
          </cell>
          <cell r="U310">
            <v>0</v>
          </cell>
          <cell r="V310">
            <v>0</v>
          </cell>
          <cell r="W310">
            <v>0</v>
          </cell>
        </row>
        <row r="311">
          <cell r="Q311">
            <v>231</v>
          </cell>
          <cell r="R311">
            <v>0.88888888888888884</v>
          </cell>
          <cell r="S311">
            <v>0.11111111111111116</v>
          </cell>
          <cell r="T311">
            <v>0</v>
          </cell>
          <cell r="U311">
            <v>0</v>
          </cell>
          <cell r="V311">
            <v>0</v>
          </cell>
          <cell r="W311">
            <v>0</v>
          </cell>
        </row>
        <row r="312">
          <cell r="Q312">
            <v>230</v>
          </cell>
          <cell r="R312">
            <v>0.88888888888888884</v>
          </cell>
          <cell r="S312">
            <v>0.11111111111111116</v>
          </cell>
          <cell r="T312">
            <v>0</v>
          </cell>
          <cell r="U312">
            <v>0</v>
          </cell>
          <cell r="V312">
            <v>0</v>
          </cell>
          <cell r="W312">
            <v>0</v>
          </cell>
        </row>
        <row r="313">
          <cell r="Q313">
            <v>229</v>
          </cell>
          <cell r="R313">
            <v>0.88888888888888884</v>
          </cell>
          <cell r="S313">
            <v>0.11111111111111116</v>
          </cell>
          <cell r="T313">
            <v>0</v>
          </cell>
          <cell r="U313">
            <v>0</v>
          </cell>
          <cell r="V313">
            <v>0</v>
          </cell>
          <cell r="W313">
            <v>0</v>
          </cell>
        </row>
        <row r="314">
          <cell r="Q314">
            <v>228</v>
          </cell>
          <cell r="R314">
            <v>0.88888888888888884</v>
          </cell>
          <cell r="S314">
            <v>0.11111111111111116</v>
          </cell>
          <cell r="T314">
            <v>0</v>
          </cell>
          <cell r="U314">
            <v>0</v>
          </cell>
          <cell r="V314">
            <v>0</v>
          </cell>
          <cell r="W314">
            <v>0</v>
          </cell>
        </row>
        <row r="315">
          <cell r="Q315">
            <v>227</v>
          </cell>
          <cell r="R315">
            <v>0.88888888888888884</v>
          </cell>
          <cell r="S315">
            <v>0.11111111111111116</v>
          </cell>
          <cell r="T315">
            <v>0</v>
          </cell>
          <cell r="U315">
            <v>0</v>
          </cell>
          <cell r="V315">
            <v>0</v>
          </cell>
          <cell r="W315">
            <v>0</v>
          </cell>
        </row>
        <row r="316">
          <cell r="Q316">
            <v>226</v>
          </cell>
          <cell r="R316">
            <v>0.88888888888888884</v>
          </cell>
          <cell r="S316">
            <v>0.11111111111111116</v>
          </cell>
          <cell r="T316">
            <v>0</v>
          </cell>
          <cell r="U316">
            <v>0</v>
          </cell>
          <cell r="V316">
            <v>0</v>
          </cell>
          <cell r="W316">
            <v>0</v>
          </cell>
        </row>
        <row r="317">
          <cell r="Q317">
            <v>225</v>
          </cell>
          <cell r="R317">
            <v>0.88888888888888884</v>
          </cell>
          <cell r="S317">
            <v>0.11111111111111116</v>
          </cell>
          <cell r="T317">
            <v>0</v>
          </cell>
          <cell r="U317">
            <v>0</v>
          </cell>
          <cell r="V317">
            <v>0</v>
          </cell>
          <cell r="W317">
            <v>0</v>
          </cell>
        </row>
        <row r="318">
          <cell r="Q318">
            <v>224</v>
          </cell>
          <cell r="R318">
            <v>0.88888888888888884</v>
          </cell>
          <cell r="S318">
            <v>0.11111111111111116</v>
          </cell>
          <cell r="T318">
            <v>0</v>
          </cell>
          <cell r="U318">
            <v>0</v>
          </cell>
          <cell r="V318">
            <v>0</v>
          </cell>
          <cell r="W318">
            <v>0</v>
          </cell>
        </row>
        <row r="319">
          <cell r="Q319">
            <v>223</v>
          </cell>
          <cell r="R319">
            <v>0.88888888888888884</v>
          </cell>
          <cell r="S319">
            <v>0.11111111111111116</v>
          </cell>
          <cell r="T319">
            <v>0</v>
          </cell>
          <cell r="U319">
            <v>0</v>
          </cell>
          <cell r="V319">
            <v>0</v>
          </cell>
          <cell r="W319">
            <v>0</v>
          </cell>
        </row>
        <row r="320">
          <cell r="Q320">
            <v>222</v>
          </cell>
          <cell r="R320">
            <v>0.88888888888888884</v>
          </cell>
          <cell r="S320">
            <v>0.11111111111111116</v>
          </cell>
          <cell r="T320">
            <v>0</v>
          </cell>
          <cell r="U320">
            <v>0</v>
          </cell>
          <cell r="V320">
            <v>0</v>
          </cell>
          <cell r="W320">
            <v>0</v>
          </cell>
        </row>
        <row r="321">
          <cell r="Q321">
            <v>221</v>
          </cell>
          <cell r="R321">
            <v>0.88888888888888884</v>
          </cell>
          <cell r="S321">
            <v>0.11111111111111116</v>
          </cell>
          <cell r="T321">
            <v>0</v>
          </cell>
          <cell r="U321">
            <v>0</v>
          </cell>
          <cell r="V321">
            <v>0</v>
          </cell>
          <cell r="W321">
            <v>0</v>
          </cell>
        </row>
        <row r="322">
          <cell r="Q322">
            <v>220</v>
          </cell>
          <cell r="R322">
            <v>0.88888888888888884</v>
          </cell>
          <cell r="S322">
            <v>0.11111111111111116</v>
          </cell>
          <cell r="T322">
            <v>0</v>
          </cell>
          <cell r="U322">
            <v>0</v>
          </cell>
          <cell r="V322">
            <v>0</v>
          </cell>
          <cell r="W322">
            <v>0</v>
          </cell>
        </row>
        <row r="323">
          <cell r="Q323">
            <v>219</v>
          </cell>
          <cell r="R323">
            <v>0.88888888888888884</v>
          </cell>
          <cell r="S323">
            <v>0.11111111111111116</v>
          </cell>
          <cell r="T323">
            <v>0</v>
          </cell>
          <cell r="U323">
            <v>0</v>
          </cell>
          <cell r="V323">
            <v>0</v>
          </cell>
          <cell r="W323">
            <v>0</v>
          </cell>
        </row>
        <row r="324">
          <cell r="Q324">
            <v>218</v>
          </cell>
          <cell r="R324">
            <v>0.88888888888888884</v>
          </cell>
          <cell r="S324">
            <v>0.11111111111111116</v>
          </cell>
          <cell r="T324">
            <v>0</v>
          </cell>
          <cell r="U324">
            <v>0</v>
          </cell>
          <cell r="V324">
            <v>0</v>
          </cell>
          <cell r="W324">
            <v>0</v>
          </cell>
        </row>
        <row r="325">
          <cell r="Q325">
            <v>217</v>
          </cell>
          <cell r="R325">
            <v>0.88888888888888884</v>
          </cell>
          <cell r="S325">
            <v>0.11111111111111116</v>
          </cell>
          <cell r="T325">
            <v>0</v>
          </cell>
          <cell r="U325">
            <v>0</v>
          </cell>
          <cell r="V325">
            <v>0</v>
          </cell>
          <cell r="W325">
            <v>0</v>
          </cell>
        </row>
        <row r="326">
          <cell r="Q326">
            <v>216</v>
          </cell>
          <cell r="R326">
            <v>0.88888888888888884</v>
          </cell>
          <cell r="S326">
            <v>0.11111111111111116</v>
          </cell>
          <cell r="T326">
            <v>0</v>
          </cell>
          <cell r="U326">
            <v>0</v>
          </cell>
          <cell r="V326">
            <v>0</v>
          </cell>
          <cell r="W326">
            <v>0</v>
          </cell>
        </row>
        <row r="327">
          <cell r="Q327">
            <v>215</v>
          </cell>
          <cell r="R327">
            <v>0.88888888888888884</v>
          </cell>
          <cell r="S327">
            <v>0.11111111111111116</v>
          </cell>
          <cell r="T327">
            <v>0</v>
          </cell>
          <cell r="U327">
            <v>0</v>
          </cell>
          <cell r="V327">
            <v>0</v>
          </cell>
          <cell r="W327">
            <v>0</v>
          </cell>
        </row>
        <row r="328">
          <cell r="Q328">
            <v>214</v>
          </cell>
          <cell r="R328">
            <v>0.88888888888888884</v>
          </cell>
          <cell r="S328">
            <v>0.11111111111111116</v>
          </cell>
          <cell r="T328">
            <v>0</v>
          </cell>
          <cell r="U328">
            <v>0</v>
          </cell>
          <cell r="V328">
            <v>0</v>
          </cell>
          <cell r="W328">
            <v>0</v>
          </cell>
        </row>
        <row r="329">
          <cell r="Q329">
            <v>213</v>
          </cell>
          <cell r="R329">
            <v>0.88888888888888884</v>
          </cell>
          <cell r="S329">
            <v>0.11111111111111116</v>
          </cell>
          <cell r="T329">
            <v>0</v>
          </cell>
          <cell r="U329">
            <v>0</v>
          </cell>
          <cell r="V329">
            <v>0</v>
          </cell>
          <cell r="W329">
            <v>0</v>
          </cell>
        </row>
        <row r="330">
          <cell r="Q330">
            <v>212</v>
          </cell>
          <cell r="R330">
            <v>0.88888888888888884</v>
          </cell>
          <cell r="S330">
            <v>0.11111111111111116</v>
          </cell>
          <cell r="T330">
            <v>0</v>
          </cell>
          <cell r="U330">
            <v>0</v>
          </cell>
          <cell r="V330">
            <v>0</v>
          </cell>
          <cell r="W330">
            <v>0</v>
          </cell>
        </row>
        <row r="331">
          <cell r="Q331">
            <v>211</v>
          </cell>
          <cell r="R331">
            <v>0.88888888888888884</v>
          </cell>
          <cell r="S331">
            <v>0.11111111111111116</v>
          </cell>
          <cell r="T331">
            <v>0</v>
          </cell>
          <cell r="U331">
            <v>0</v>
          </cell>
          <cell r="V331">
            <v>0</v>
          </cell>
          <cell r="W331">
            <v>0</v>
          </cell>
        </row>
        <row r="332">
          <cell r="Q332">
            <v>210</v>
          </cell>
          <cell r="R332">
            <v>0.88888888888888884</v>
          </cell>
          <cell r="S332">
            <v>0.11111111111111116</v>
          </cell>
          <cell r="T332">
            <v>0</v>
          </cell>
          <cell r="U332">
            <v>0</v>
          </cell>
          <cell r="V332">
            <v>0</v>
          </cell>
          <cell r="W332">
            <v>0</v>
          </cell>
        </row>
        <row r="333">
          <cell r="Q333">
            <v>209</v>
          </cell>
          <cell r="R333">
            <v>0.88888888888888884</v>
          </cell>
          <cell r="S333">
            <v>0.11111111111111116</v>
          </cell>
          <cell r="T333">
            <v>0</v>
          </cell>
          <cell r="U333">
            <v>0</v>
          </cell>
          <cell r="V333">
            <v>0</v>
          </cell>
          <cell r="W333">
            <v>0</v>
          </cell>
        </row>
        <row r="334">
          <cell r="Q334">
            <v>208</v>
          </cell>
          <cell r="R334">
            <v>0.88888888888888884</v>
          </cell>
          <cell r="S334">
            <v>0.11111111111111116</v>
          </cell>
          <cell r="T334">
            <v>0</v>
          </cell>
          <cell r="U334">
            <v>0</v>
          </cell>
          <cell r="V334">
            <v>0</v>
          </cell>
          <cell r="W334">
            <v>0</v>
          </cell>
        </row>
        <row r="335">
          <cell r="Q335">
            <v>207</v>
          </cell>
          <cell r="R335">
            <v>0.88888888888888884</v>
          </cell>
          <cell r="S335">
            <v>0.11111111111111116</v>
          </cell>
          <cell r="T335">
            <v>0</v>
          </cell>
          <cell r="U335">
            <v>0</v>
          </cell>
          <cell r="V335">
            <v>0</v>
          </cell>
          <cell r="W335">
            <v>0</v>
          </cell>
        </row>
        <row r="336">
          <cell r="Q336">
            <v>206</v>
          </cell>
          <cell r="R336">
            <v>0.88888888888888884</v>
          </cell>
          <cell r="S336">
            <v>0.11111111111111116</v>
          </cell>
          <cell r="T336">
            <v>0</v>
          </cell>
          <cell r="U336">
            <v>0</v>
          </cell>
          <cell r="V336">
            <v>0</v>
          </cell>
          <cell r="W336">
            <v>0</v>
          </cell>
        </row>
        <row r="337">
          <cell r="Q337">
            <v>205</v>
          </cell>
          <cell r="R337">
            <v>0.88888888888888884</v>
          </cell>
          <cell r="S337">
            <v>0.11111111111111116</v>
          </cell>
          <cell r="T337">
            <v>0</v>
          </cell>
          <cell r="U337">
            <v>0</v>
          </cell>
          <cell r="V337">
            <v>0</v>
          </cell>
          <cell r="W337">
            <v>0</v>
          </cell>
        </row>
        <row r="338">
          <cell r="Q338">
            <v>204</v>
          </cell>
          <cell r="R338">
            <v>0.88888888888888884</v>
          </cell>
          <cell r="S338">
            <v>0.11111111111111116</v>
          </cell>
          <cell r="T338">
            <v>0</v>
          </cell>
          <cell r="U338">
            <v>0</v>
          </cell>
          <cell r="V338">
            <v>0</v>
          </cell>
          <cell r="W338">
            <v>0</v>
          </cell>
        </row>
        <row r="339">
          <cell r="Q339">
            <v>203</v>
          </cell>
          <cell r="R339">
            <v>0.88888888888888884</v>
          </cell>
          <cell r="S339">
            <v>0.11111111111111116</v>
          </cell>
          <cell r="T339">
            <v>0</v>
          </cell>
          <cell r="U339">
            <v>0</v>
          </cell>
          <cell r="V339">
            <v>0</v>
          </cell>
          <cell r="W339">
            <v>0</v>
          </cell>
        </row>
        <row r="340">
          <cell r="Q340">
            <v>202</v>
          </cell>
          <cell r="R340">
            <v>0.88888888888888884</v>
          </cell>
          <cell r="S340">
            <v>0.11111111111111116</v>
          </cell>
          <cell r="T340">
            <v>0</v>
          </cell>
          <cell r="U340">
            <v>0</v>
          </cell>
          <cell r="V340">
            <v>0</v>
          </cell>
          <cell r="W340">
            <v>0</v>
          </cell>
        </row>
        <row r="341">
          <cell r="Q341">
            <v>201</v>
          </cell>
          <cell r="R341">
            <v>0.88888888888888884</v>
          </cell>
          <cell r="S341">
            <v>0.11111111111111116</v>
          </cell>
          <cell r="T341">
            <v>0</v>
          </cell>
          <cell r="U341">
            <v>0</v>
          </cell>
          <cell r="V341">
            <v>0</v>
          </cell>
          <cell r="W341">
            <v>0</v>
          </cell>
        </row>
        <row r="342">
          <cell r="Q342">
            <v>200</v>
          </cell>
          <cell r="R342">
            <v>0.88888888888888884</v>
          </cell>
          <cell r="S342">
            <v>0.11111111111111116</v>
          </cell>
          <cell r="T342">
            <v>0</v>
          </cell>
          <cell r="U342">
            <v>0</v>
          </cell>
          <cell r="V342">
            <v>0</v>
          </cell>
          <cell r="W342">
            <v>0</v>
          </cell>
        </row>
        <row r="343">
          <cell r="Q343">
            <v>199</v>
          </cell>
          <cell r="R343">
            <v>0.88888888888888884</v>
          </cell>
          <cell r="S343">
            <v>0.11111111111111116</v>
          </cell>
          <cell r="T343">
            <v>0</v>
          </cell>
          <cell r="U343">
            <v>0</v>
          </cell>
          <cell r="V343">
            <v>0</v>
          </cell>
          <cell r="W343">
            <v>0</v>
          </cell>
        </row>
        <row r="344">
          <cell r="Q344">
            <v>198</v>
          </cell>
          <cell r="R344">
            <v>0.88888888888888884</v>
          </cell>
          <cell r="S344">
            <v>0.11111111111111116</v>
          </cell>
          <cell r="T344">
            <v>0</v>
          </cell>
          <cell r="U344">
            <v>0</v>
          </cell>
          <cell r="V344">
            <v>0</v>
          </cell>
          <cell r="W344">
            <v>0</v>
          </cell>
        </row>
        <row r="345">
          <cell r="Q345">
            <v>197</v>
          </cell>
          <cell r="R345">
            <v>0.88888888888888884</v>
          </cell>
          <cell r="S345">
            <v>0.11111111111111116</v>
          </cell>
          <cell r="T345">
            <v>0</v>
          </cell>
          <cell r="U345">
            <v>0</v>
          </cell>
          <cell r="V345">
            <v>0</v>
          </cell>
          <cell r="W345">
            <v>0</v>
          </cell>
        </row>
        <row r="346">
          <cell r="Q346">
            <v>196</v>
          </cell>
          <cell r="R346">
            <v>0.88888888888888884</v>
          </cell>
          <cell r="S346">
            <v>0.11111111111111116</v>
          </cell>
          <cell r="T346">
            <v>0</v>
          </cell>
          <cell r="U346">
            <v>0</v>
          </cell>
          <cell r="V346">
            <v>0</v>
          </cell>
          <cell r="W346">
            <v>0</v>
          </cell>
        </row>
        <row r="347">
          <cell r="Q347">
            <v>195</v>
          </cell>
          <cell r="R347">
            <v>0.88888888888888884</v>
          </cell>
          <cell r="S347">
            <v>0.11111111111111116</v>
          </cell>
          <cell r="T347">
            <v>0</v>
          </cell>
          <cell r="U347">
            <v>0</v>
          </cell>
          <cell r="V347">
            <v>0</v>
          </cell>
          <cell r="W347">
            <v>0</v>
          </cell>
        </row>
        <row r="348">
          <cell r="Q348">
            <v>194</v>
          </cell>
          <cell r="R348">
            <v>0.88888888888888884</v>
          </cell>
          <cell r="S348">
            <v>0.11111111111111116</v>
          </cell>
          <cell r="T348">
            <v>0</v>
          </cell>
          <cell r="U348">
            <v>0</v>
          </cell>
          <cell r="V348">
            <v>0</v>
          </cell>
          <cell r="W348">
            <v>0</v>
          </cell>
        </row>
        <row r="349">
          <cell r="Q349">
            <v>193</v>
          </cell>
          <cell r="R349">
            <v>0.88888888888888884</v>
          </cell>
          <cell r="S349">
            <v>0.11111111111111116</v>
          </cell>
          <cell r="T349">
            <v>0</v>
          </cell>
          <cell r="U349">
            <v>0</v>
          </cell>
          <cell r="V349">
            <v>0</v>
          </cell>
          <cell r="W349">
            <v>0</v>
          </cell>
        </row>
        <row r="350">
          <cell r="Q350">
            <v>192</v>
          </cell>
          <cell r="R350">
            <v>0.88888888888888884</v>
          </cell>
          <cell r="S350">
            <v>0.11111111111111116</v>
          </cell>
          <cell r="T350">
            <v>0</v>
          </cell>
          <cell r="U350">
            <v>0</v>
          </cell>
          <cell r="V350">
            <v>0</v>
          </cell>
          <cell r="W350">
            <v>0</v>
          </cell>
        </row>
        <row r="351">
          <cell r="Q351">
            <v>191</v>
          </cell>
          <cell r="R351">
            <v>0.88888888888888884</v>
          </cell>
          <cell r="S351">
            <v>0.11111111111111116</v>
          </cell>
          <cell r="T351">
            <v>0</v>
          </cell>
          <cell r="U351">
            <v>0</v>
          </cell>
          <cell r="V351">
            <v>0</v>
          </cell>
          <cell r="W351">
            <v>0</v>
          </cell>
        </row>
        <row r="352">
          <cell r="Q352">
            <v>190</v>
          </cell>
          <cell r="R352">
            <v>0.88888888888888884</v>
          </cell>
          <cell r="S352">
            <v>0.11111111111111116</v>
          </cell>
          <cell r="T352">
            <v>0</v>
          </cell>
          <cell r="U352">
            <v>0</v>
          </cell>
          <cell r="V352">
            <v>0</v>
          </cell>
          <cell r="W352">
            <v>0</v>
          </cell>
        </row>
        <row r="353">
          <cell r="Q353">
            <v>189</v>
          </cell>
          <cell r="R353">
            <v>0.88888888888888884</v>
          </cell>
          <cell r="S353">
            <v>0.11111111111111116</v>
          </cell>
          <cell r="T353">
            <v>0</v>
          </cell>
          <cell r="U353">
            <v>0</v>
          </cell>
          <cell r="V353">
            <v>0</v>
          </cell>
          <cell r="W353">
            <v>0</v>
          </cell>
        </row>
        <row r="354">
          <cell r="Q354">
            <v>188</v>
          </cell>
          <cell r="R354">
            <v>0.88888888888888884</v>
          </cell>
          <cell r="S354">
            <v>0.11111111111111116</v>
          </cell>
          <cell r="T354">
            <v>0</v>
          </cell>
          <cell r="U354">
            <v>0</v>
          </cell>
          <cell r="V354">
            <v>0</v>
          </cell>
          <cell r="W354">
            <v>0</v>
          </cell>
        </row>
        <row r="355">
          <cell r="Q355">
            <v>187</v>
          </cell>
          <cell r="R355">
            <v>0.88888888888888884</v>
          </cell>
          <cell r="S355">
            <v>0.11111111111111116</v>
          </cell>
          <cell r="T355">
            <v>0</v>
          </cell>
          <cell r="U355">
            <v>0</v>
          </cell>
          <cell r="V355">
            <v>0</v>
          </cell>
          <cell r="W355">
            <v>0</v>
          </cell>
        </row>
        <row r="356">
          <cell r="Q356">
            <v>186</v>
          </cell>
          <cell r="R356">
            <v>0.88888888888888884</v>
          </cell>
          <cell r="S356">
            <v>0.11111111111111116</v>
          </cell>
          <cell r="T356">
            <v>0</v>
          </cell>
          <cell r="U356">
            <v>0</v>
          </cell>
          <cell r="V356">
            <v>0</v>
          </cell>
          <cell r="W356">
            <v>0</v>
          </cell>
        </row>
        <row r="357">
          <cell r="Q357">
            <v>185</v>
          </cell>
          <cell r="R357">
            <v>0.88888888888888884</v>
          </cell>
          <cell r="S357">
            <v>0.11111111111111116</v>
          </cell>
          <cell r="T357">
            <v>0</v>
          </cell>
          <cell r="U357">
            <v>0</v>
          </cell>
          <cell r="V357">
            <v>0</v>
          </cell>
          <cell r="W357">
            <v>0</v>
          </cell>
        </row>
        <row r="358">
          <cell r="Q358">
            <v>184</v>
          </cell>
          <cell r="R358">
            <v>0.88888888888888884</v>
          </cell>
          <cell r="S358">
            <v>0.11111111111111116</v>
          </cell>
          <cell r="T358">
            <v>0</v>
          </cell>
          <cell r="U358">
            <v>0</v>
          </cell>
          <cell r="V358">
            <v>0</v>
          </cell>
          <cell r="W358">
            <v>0</v>
          </cell>
        </row>
        <row r="359">
          <cell r="Q359">
            <v>183</v>
          </cell>
          <cell r="R359">
            <v>0.88888888888888884</v>
          </cell>
          <cell r="S359">
            <v>0.11111111111111116</v>
          </cell>
          <cell r="T359">
            <v>0</v>
          </cell>
          <cell r="U359">
            <v>0</v>
          </cell>
          <cell r="V359">
            <v>0</v>
          </cell>
          <cell r="W359">
            <v>0</v>
          </cell>
        </row>
        <row r="360">
          <cell r="Q360">
            <v>182</v>
          </cell>
          <cell r="R360">
            <v>0.88888888888888884</v>
          </cell>
          <cell r="S360">
            <v>0.11111111111111116</v>
          </cell>
          <cell r="T360">
            <v>0</v>
          </cell>
          <cell r="U360">
            <v>0</v>
          </cell>
          <cell r="V360">
            <v>0</v>
          </cell>
          <cell r="W360">
            <v>0</v>
          </cell>
        </row>
        <row r="361">
          <cell r="Q361">
            <v>181</v>
          </cell>
          <cell r="R361">
            <v>0.88888888888888884</v>
          </cell>
          <cell r="S361">
            <v>0.11111111111111116</v>
          </cell>
          <cell r="T361">
            <v>0</v>
          </cell>
          <cell r="U361">
            <v>0</v>
          </cell>
          <cell r="V361">
            <v>0</v>
          </cell>
          <cell r="W361">
            <v>0</v>
          </cell>
        </row>
        <row r="362">
          <cell r="Q362">
            <v>180</v>
          </cell>
          <cell r="R362">
            <v>0.88888888888888884</v>
          </cell>
          <cell r="S362">
            <v>0.11111111111111116</v>
          </cell>
          <cell r="T362">
            <v>0</v>
          </cell>
          <cell r="U362">
            <v>0</v>
          </cell>
          <cell r="V362">
            <v>0</v>
          </cell>
          <cell r="W362">
            <v>0</v>
          </cell>
        </row>
        <row r="363">
          <cell r="Q363">
            <v>179</v>
          </cell>
          <cell r="R363">
            <v>0.88888888888888884</v>
          </cell>
          <cell r="S363">
            <v>0.11111111111111116</v>
          </cell>
          <cell r="T363">
            <v>0</v>
          </cell>
          <cell r="U363">
            <v>0</v>
          </cell>
          <cell r="V363">
            <v>0</v>
          </cell>
          <cell r="W363">
            <v>0</v>
          </cell>
        </row>
        <row r="364">
          <cell r="Q364">
            <v>178</v>
          </cell>
          <cell r="R364">
            <v>0.88888888888888884</v>
          </cell>
          <cell r="S364">
            <v>0.11111111111111116</v>
          </cell>
          <cell r="T364">
            <v>0</v>
          </cell>
          <cell r="U364">
            <v>0</v>
          </cell>
          <cell r="V364">
            <v>0</v>
          </cell>
          <cell r="W364">
            <v>0</v>
          </cell>
        </row>
        <row r="365">
          <cell r="Q365">
            <v>177</v>
          </cell>
          <cell r="R365">
            <v>0.88888888888888884</v>
          </cell>
          <cell r="S365">
            <v>0.11111111111111116</v>
          </cell>
          <cell r="T365">
            <v>0</v>
          </cell>
          <cell r="U365">
            <v>0</v>
          </cell>
          <cell r="V365">
            <v>0</v>
          </cell>
          <cell r="W365">
            <v>0</v>
          </cell>
        </row>
        <row r="366">
          <cell r="Q366">
            <v>176</v>
          </cell>
          <cell r="R366">
            <v>0.88888888888888884</v>
          </cell>
          <cell r="S366">
            <v>0.11111111111111116</v>
          </cell>
          <cell r="T366">
            <v>0</v>
          </cell>
          <cell r="U366">
            <v>0</v>
          </cell>
          <cell r="V366">
            <v>0</v>
          </cell>
          <cell r="W366">
            <v>0</v>
          </cell>
        </row>
        <row r="367">
          <cell r="Q367">
            <v>175</v>
          </cell>
          <cell r="R367">
            <v>0.88888888888888884</v>
          </cell>
          <cell r="S367">
            <v>0.11111111111111116</v>
          </cell>
          <cell r="T367">
            <v>0</v>
          </cell>
          <cell r="U367">
            <v>0</v>
          </cell>
          <cell r="V367">
            <v>0</v>
          </cell>
          <cell r="W367">
            <v>0</v>
          </cell>
        </row>
        <row r="368">
          <cell r="Q368">
            <v>174</v>
          </cell>
          <cell r="R368">
            <v>0.88888888888888884</v>
          </cell>
          <cell r="S368">
            <v>0.11111111111111116</v>
          </cell>
          <cell r="T368">
            <v>0</v>
          </cell>
          <cell r="U368">
            <v>0</v>
          </cell>
          <cell r="V368">
            <v>0</v>
          </cell>
          <cell r="W368">
            <v>0</v>
          </cell>
        </row>
        <row r="369">
          <cell r="Q369">
            <v>173</v>
          </cell>
          <cell r="R369">
            <v>0.88888888888888884</v>
          </cell>
          <cell r="S369">
            <v>0.11111111111111116</v>
          </cell>
          <cell r="T369">
            <v>0</v>
          </cell>
          <cell r="U369">
            <v>0</v>
          </cell>
          <cell r="V369">
            <v>0</v>
          </cell>
          <cell r="W369">
            <v>0</v>
          </cell>
        </row>
        <row r="370">
          <cell r="Q370">
            <v>172</v>
          </cell>
          <cell r="R370">
            <v>0.88888888888888884</v>
          </cell>
          <cell r="S370">
            <v>0.11111111111111116</v>
          </cell>
          <cell r="T370">
            <v>0</v>
          </cell>
          <cell r="U370">
            <v>0</v>
          </cell>
          <cell r="V370">
            <v>0</v>
          </cell>
          <cell r="W370">
            <v>0</v>
          </cell>
        </row>
        <row r="371">
          <cell r="Q371">
            <v>171</v>
          </cell>
          <cell r="R371">
            <v>0.88888888888888884</v>
          </cell>
          <cell r="S371">
            <v>0.11111111111111116</v>
          </cell>
          <cell r="T371">
            <v>0</v>
          </cell>
          <cell r="U371">
            <v>0</v>
          </cell>
          <cell r="V371">
            <v>0</v>
          </cell>
          <cell r="W371">
            <v>0</v>
          </cell>
        </row>
        <row r="372">
          <cell r="Q372">
            <v>170</v>
          </cell>
          <cell r="R372">
            <v>0.88888888888888884</v>
          </cell>
          <cell r="S372">
            <v>0.11111111111111116</v>
          </cell>
          <cell r="T372">
            <v>0</v>
          </cell>
          <cell r="U372">
            <v>0</v>
          </cell>
          <cell r="V372">
            <v>0</v>
          </cell>
          <cell r="W372">
            <v>0</v>
          </cell>
        </row>
        <row r="373">
          <cell r="Q373">
            <v>169</v>
          </cell>
          <cell r="R373">
            <v>0.88888888888888884</v>
          </cell>
          <cell r="S373">
            <v>0.11111111111111116</v>
          </cell>
          <cell r="T373">
            <v>0</v>
          </cell>
          <cell r="U373">
            <v>0</v>
          </cell>
          <cell r="V373">
            <v>0</v>
          </cell>
          <cell r="W373">
            <v>0</v>
          </cell>
        </row>
        <row r="374">
          <cell r="Q374">
            <v>168</v>
          </cell>
          <cell r="R374">
            <v>0.88888888888888884</v>
          </cell>
          <cell r="S374">
            <v>0.11111111111111116</v>
          </cell>
          <cell r="T374">
            <v>0</v>
          </cell>
          <cell r="U374">
            <v>0</v>
          </cell>
          <cell r="V374">
            <v>0</v>
          </cell>
          <cell r="W374">
            <v>0</v>
          </cell>
        </row>
        <row r="375">
          <cell r="Q375">
            <v>167</v>
          </cell>
          <cell r="R375">
            <v>0.88888888888888884</v>
          </cell>
          <cell r="S375">
            <v>0.11111111111111116</v>
          </cell>
          <cell r="T375">
            <v>0</v>
          </cell>
          <cell r="U375">
            <v>0</v>
          </cell>
          <cell r="V375">
            <v>0</v>
          </cell>
          <cell r="W375">
            <v>0</v>
          </cell>
        </row>
        <row r="376">
          <cell r="Q376">
            <v>166</v>
          </cell>
          <cell r="R376">
            <v>0.88888888888888884</v>
          </cell>
          <cell r="S376">
            <v>0.11111111111111116</v>
          </cell>
          <cell r="T376">
            <v>0</v>
          </cell>
          <cell r="U376">
            <v>0</v>
          </cell>
          <cell r="V376">
            <v>0</v>
          </cell>
          <cell r="W376">
            <v>0</v>
          </cell>
        </row>
        <row r="377">
          <cell r="Q377">
            <v>165</v>
          </cell>
          <cell r="R377">
            <v>0.88888888888888884</v>
          </cell>
          <cell r="S377">
            <v>0.11111111111111116</v>
          </cell>
          <cell r="T377">
            <v>0</v>
          </cell>
          <cell r="U377">
            <v>0</v>
          </cell>
          <cell r="V377">
            <v>0</v>
          </cell>
          <cell r="W377">
            <v>0</v>
          </cell>
        </row>
        <row r="378">
          <cell r="Q378">
            <v>164</v>
          </cell>
          <cell r="R378">
            <v>0.88888888888888884</v>
          </cell>
          <cell r="S378">
            <v>0.11111111111111116</v>
          </cell>
          <cell r="T378">
            <v>0</v>
          </cell>
          <cell r="U378">
            <v>0</v>
          </cell>
          <cell r="V378">
            <v>0</v>
          </cell>
          <cell r="W378">
            <v>0</v>
          </cell>
        </row>
        <row r="379">
          <cell r="Q379">
            <v>163</v>
          </cell>
          <cell r="R379">
            <v>0.88888888888888884</v>
          </cell>
          <cell r="S379">
            <v>0.11111111111111116</v>
          </cell>
          <cell r="T379">
            <v>0</v>
          </cell>
          <cell r="U379">
            <v>0</v>
          </cell>
          <cell r="V379">
            <v>0</v>
          </cell>
          <cell r="W379">
            <v>0</v>
          </cell>
        </row>
        <row r="380">
          <cell r="Q380">
            <v>162</v>
          </cell>
          <cell r="R380">
            <v>0.88888888888888884</v>
          </cell>
          <cell r="S380">
            <v>0.11111111111111116</v>
          </cell>
          <cell r="T380">
            <v>0</v>
          </cell>
          <cell r="U380">
            <v>0</v>
          </cell>
          <cell r="V380">
            <v>0</v>
          </cell>
          <cell r="W380">
            <v>0</v>
          </cell>
        </row>
        <row r="381">
          <cell r="Q381">
            <v>161</v>
          </cell>
          <cell r="R381">
            <v>0.88888888888888884</v>
          </cell>
          <cell r="S381">
            <v>0.11111111111111116</v>
          </cell>
          <cell r="T381">
            <v>0</v>
          </cell>
          <cell r="U381">
            <v>0</v>
          </cell>
          <cell r="V381">
            <v>0</v>
          </cell>
          <cell r="W381">
            <v>0</v>
          </cell>
        </row>
        <row r="382">
          <cell r="Q382">
            <v>160</v>
          </cell>
          <cell r="R382">
            <v>0.88888888888888884</v>
          </cell>
          <cell r="S382">
            <v>0.11111111111111116</v>
          </cell>
          <cell r="T382">
            <v>0</v>
          </cell>
          <cell r="U382">
            <v>0</v>
          </cell>
          <cell r="V382">
            <v>0</v>
          </cell>
          <cell r="W382">
            <v>0</v>
          </cell>
        </row>
        <row r="383">
          <cell r="Q383">
            <v>159</v>
          </cell>
          <cell r="R383">
            <v>0.88888888888888884</v>
          </cell>
          <cell r="S383">
            <v>0.11111111111111116</v>
          </cell>
          <cell r="T383">
            <v>0</v>
          </cell>
          <cell r="U383">
            <v>0</v>
          </cell>
          <cell r="V383">
            <v>0</v>
          </cell>
          <cell r="W383">
            <v>0</v>
          </cell>
        </row>
        <row r="384">
          <cell r="Q384">
            <v>158</v>
          </cell>
          <cell r="R384">
            <v>0.88888888888888884</v>
          </cell>
          <cell r="S384">
            <v>0.11111111111111116</v>
          </cell>
          <cell r="T384">
            <v>0</v>
          </cell>
          <cell r="U384">
            <v>0</v>
          </cell>
          <cell r="V384">
            <v>0</v>
          </cell>
          <cell r="W384">
            <v>0</v>
          </cell>
        </row>
        <row r="385">
          <cell r="Q385">
            <v>157</v>
          </cell>
          <cell r="R385">
            <v>0.88888888888888884</v>
          </cell>
          <cell r="S385">
            <v>0.11111111111111116</v>
          </cell>
          <cell r="T385">
            <v>0</v>
          </cell>
          <cell r="U385">
            <v>0</v>
          </cell>
          <cell r="V385">
            <v>0</v>
          </cell>
          <cell r="W385">
            <v>0</v>
          </cell>
        </row>
        <row r="386">
          <cell r="Q386">
            <v>156</v>
          </cell>
          <cell r="R386">
            <v>0.88888888888888884</v>
          </cell>
          <cell r="S386">
            <v>0.11111111111111116</v>
          </cell>
          <cell r="T386">
            <v>0</v>
          </cell>
          <cell r="U386">
            <v>0</v>
          </cell>
          <cell r="V386">
            <v>0</v>
          </cell>
          <cell r="W386">
            <v>0</v>
          </cell>
        </row>
        <row r="387">
          <cell r="Q387">
            <v>155</v>
          </cell>
          <cell r="R387">
            <v>0.87671195963765614</v>
          </cell>
          <cell r="S387">
            <v>0.12328804036234382</v>
          </cell>
          <cell r="T387">
            <v>0</v>
          </cell>
          <cell r="U387">
            <v>0</v>
          </cell>
          <cell r="V387">
            <v>0</v>
          </cell>
          <cell r="W387">
            <v>0</v>
          </cell>
        </row>
        <row r="388">
          <cell r="Q388">
            <v>154</v>
          </cell>
          <cell r="R388">
            <v>0.86453503038642354</v>
          </cell>
          <cell r="S388">
            <v>0.13546496961357649</v>
          </cell>
          <cell r="T388">
            <v>0</v>
          </cell>
          <cell r="U388">
            <v>0</v>
          </cell>
          <cell r="V388">
            <v>0</v>
          </cell>
          <cell r="W388">
            <v>0</v>
          </cell>
        </row>
        <row r="389">
          <cell r="Q389">
            <v>153</v>
          </cell>
          <cell r="R389">
            <v>0.85235810113519084</v>
          </cell>
          <cell r="S389">
            <v>0.14764189886480916</v>
          </cell>
          <cell r="T389">
            <v>0</v>
          </cell>
          <cell r="U389">
            <v>0</v>
          </cell>
          <cell r="V389">
            <v>0</v>
          </cell>
          <cell r="W389">
            <v>0</v>
          </cell>
        </row>
        <row r="390">
          <cell r="Q390">
            <v>152</v>
          </cell>
          <cell r="R390">
            <v>0.84018117188395813</v>
          </cell>
          <cell r="S390">
            <v>0.15981882811604184</v>
          </cell>
          <cell r="T390">
            <v>0</v>
          </cell>
          <cell r="U390">
            <v>0</v>
          </cell>
          <cell r="V390">
            <v>0</v>
          </cell>
          <cell r="W390">
            <v>0</v>
          </cell>
        </row>
        <row r="391">
          <cell r="Q391">
            <v>151</v>
          </cell>
          <cell r="R391">
            <v>0.82800424263272554</v>
          </cell>
          <cell r="S391">
            <v>0.17199575736727449</v>
          </cell>
          <cell r="T391">
            <v>0</v>
          </cell>
          <cell r="U391">
            <v>0</v>
          </cell>
          <cell r="V391">
            <v>0</v>
          </cell>
          <cell r="W391">
            <v>0</v>
          </cell>
        </row>
        <row r="392">
          <cell r="Q392">
            <v>150</v>
          </cell>
          <cell r="R392">
            <v>0.81582731338149284</v>
          </cell>
          <cell r="S392">
            <v>0.18417268661850716</v>
          </cell>
          <cell r="T392">
            <v>0</v>
          </cell>
          <cell r="U392">
            <v>0</v>
          </cell>
          <cell r="V392">
            <v>0</v>
          </cell>
          <cell r="W392">
            <v>0</v>
          </cell>
        </row>
        <row r="393">
          <cell r="Q393">
            <v>149</v>
          </cell>
          <cell r="R393">
            <v>0.80365038413026013</v>
          </cell>
          <cell r="S393">
            <v>0.19634961586973984</v>
          </cell>
          <cell r="T393">
            <v>0</v>
          </cell>
          <cell r="U393">
            <v>0</v>
          </cell>
          <cell r="V393">
            <v>0</v>
          </cell>
          <cell r="W393">
            <v>0</v>
          </cell>
        </row>
        <row r="394">
          <cell r="Q394">
            <v>148</v>
          </cell>
          <cell r="R394">
            <v>0.79147345487902754</v>
          </cell>
          <cell r="S394">
            <v>0.20852654512097249</v>
          </cell>
          <cell r="T394">
            <v>0</v>
          </cell>
          <cell r="U394">
            <v>0</v>
          </cell>
          <cell r="V394">
            <v>0</v>
          </cell>
          <cell r="W394">
            <v>0</v>
          </cell>
        </row>
        <row r="395">
          <cell r="Q395">
            <v>147</v>
          </cell>
          <cell r="R395">
            <v>0.77929652562779483</v>
          </cell>
          <cell r="S395">
            <v>0.22070347437220517</v>
          </cell>
          <cell r="T395">
            <v>0</v>
          </cell>
          <cell r="U395">
            <v>0</v>
          </cell>
          <cell r="V395">
            <v>0</v>
          </cell>
          <cell r="W395">
            <v>0</v>
          </cell>
        </row>
        <row r="396">
          <cell r="Q396">
            <v>146</v>
          </cell>
          <cell r="R396">
            <v>0.76711959637656213</v>
          </cell>
          <cell r="S396">
            <v>0.23288040362343784</v>
          </cell>
          <cell r="T396">
            <v>0</v>
          </cell>
          <cell r="U396">
            <v>0</v>
          </cell>
          <cell r="V396">
            <v>0</v>
          </cell>
          <cell r="W396">
            <v>0</v>
          </cell>
        </row>
        <row r="397">
          <cell r="Q397">
            <v>145</v>
          </cell>
          <cell r="R397">
            <v>0.75494266712532954</v>
          </cell>
          <cell r="S397">
            <v>0.24505733287467049</v>
          </cell>
          <cell r="T397">
            <v>0</v>
          </cell>
          <cell r="U397">
            <v>0</v>
          </cell>
          <cell r="V397">
            <v>0</v>
          </cell>
          <cell r="W397">
            <v>0</v>
          </cell>
        </row>
        <row r="398">
          <cell r="Q398">
            <v>144</v>
          </cell>
          <cell r="R398">
            <v>0.74276573787409683</v>
          </cell>
          <cell r="S398">
            <v>0.25723426212590317</v>
          </cell>
          <cell r="T398">
            <v>0</v>
          </cell>
          <cell r="U398">
            <v>0</v>
          </cell>
          <cell r="V398">
            <v>0</v>
          </cell>
          <cell r="W398">
            <v>0</v>
          </cell>
        </row>
        <row r="399">
          <cell r="Q399">
            <v>143</v>
          </cell>
          <cell r="R399">
            <v>0.73282664504398232</v>
          </cell>
          <cell r="S399">
            <v>0.26717335495601768</v>
          </cell>
          <cell r="T399">
            <v>0</v>
          </cell>
          <cell r="U399">
            <v>0</v>
          </cell>
          <cell r="V399">
            <v>0</v>
          </cell>
          <cell r="W399">
            <v>0</v>
          </cell>
        </row>
        <row r="400">
          <cell r="Q400">
            <v>142</v>
          </cell>
          <cell r="R400">
            <v>0.7228875522138678</v>
          </cell>
          <cell r="S400">
            <v>0.27711244778613214</v>
          </cell>
          <cell r="T400">
            <v>0</v>
          </cell>
          <cell r="U400">
            <v>0</v>
          </cell>
          <cell r="V400">
            <v>0</v>
          </cell>
          <cell r="W400">
            <v>0</v>
          </cell>
        </row>
        <row r="401">
          <cell r="Q401">
            <v>141</v>
          </cell>
          <cell r="R401">
            <v>0.7129484593837534</v>
          </cell>
          <cell r="S401">
            <v>0.2870515406162466</v>
          </cell>
          <cell r="T401">
            <v>0</v>
          </cell>
          <cell r="U401">
            <v>0</v>
          </cell>
          <cell r="V401">
            <v>0</v>
          </cell>
          <cell r="W401">
            <v>0</v>
          </cell>
        </row>
        <row r="402">
          <cell r="Q402">
            <v>140</v>
          </cell>
          <cell r="R402">
            <v>0.70300936655363888</v>
          </cell>
          <cell r="S402">
            <v>0.29699063344636112</v>
          </cell>
          <cell r="T402">
            <v>0</v>
          </cell>
          <cell r="U402">
            <v>0</v>
          </cell>
          <cell r="V402">
            <v>0</v>
          </cell>
          <cell r="W402">
            <v>0</v>
          </cell>
        </row>
        <row r="403">
          <cell r="Q403">
            <v>139</v>
          </cell>
          <cell r="R403">
            <v>0.69307027372352437</v>
          </cell>
          <cell r="S403">
            <v>0.30692972627647563</v>
          </cell>
          <cell r="T403">
            <v>0</v>
          </cell>
          <cell r="U403">
            <v>0</v>
          </cell>
          <cell r="V403">
            <v>0</v>
          </cell>
          <cell r="W403">
            <v>0</v>
          </cell>
        </row>
        <row r="404">
          <cell r="Q404">
            <v>138</v>
          </cell>
          <cell r="R404">
            <v>0.68313118089340996</v>
          </cell>
          <cell r="S404">
            <v>0.31686881910659009</v>
          </cell>
          <cell r="T404">
            <v>0</v>
          </cell>
          <cell r="U404">
            <v>0</v>
          </cell>
          <cell r="V404">
            <v>0</v>
          </cell>
          <cell r="W404">
            <v>0</v>
          </cell>
        </row>
        <row r="405">
          <cell r="Q405">
            <v>137</v>
          </cell>
          <cell r="R405">
            <v>0.67319208806329545</v>
          </cell>
          <cell r="S405">
            <v>0.32680791193670455</v>
          </cell>
          <cell r="T405">
            <v>0</v>
          </cell>
          <cell r="U405">
            <v>0</v>
          </cell>
          <cell r="V405">
            <v>0</v>
          </cell>
          <cell r="W405">
            <v>0</v>
          </cell>
        </row>
        <row r="406">
          <cell r="Q406">
            <v>136</v>
          </cell>
          <cell r="R406">
            <v>0.66325299523318093</v>
          </cell>
          <cell r="S406">
            <v>0.33674700476681907</v>
          </cell>
          <cell r="T406">
            <v>0</v>
          </cell>
          <cell r="U406">
            <v>0</v>
          </cell>
          <cell r="V406">
            <v>0</v>
          </cell>
          <cell r="W406">
            <v>0</v>
          </cell>
        </row>
        <row r="407">
          <cell r="Q407">
            <v>135</v>
          </cell>
          <cell r="R407">
            <v>0.65331390240306642</v>
          </cell>
          <cell r="S407">
            <v>0.34668609759693358</v>
          </cell>
          <cell r="T407">
            <v>0</v>
          </cell>
          <cell r="U407">
            <v>0</v>
          </cell>
          <cell r="V407">
            <v>0</v>
          </cell>
          <cell r="W407">
            <v>0</v>
          </cell>
        </row>
        <row r="408">
          <cell r="Q408">
            <v>134</v>
          </cell>
          <cell r="R408">
            <v>0.6433748095729519</v>
          </cell>
          <cell r="S408">
            <v>0.35662519042704804</v>
          </cell>
          <cell r="T408">
            <v>0</v>
          </cell>
          <cell r="U408">
            <v>0</v>
          </cell>
          <cell r="V408">
            <v>0</v>
          </cell>
          <cell r="W408">
            <v>0</v>
          </cell>
        </row>
        <row r="409">
          <cell r="Q409">
            <v>133</v>
          </cell>
          <cell r="R409">
            <v>0.6334357167428375</v>
          </cell>
          <cell r="S409">
            <v>0.3665642832571625</v>
          </cell>
          <cell r="T409">
            <v>0</v>
          </cell>
          <cell r="U409">
            <v>0</v>
          </cell>
          <cell r="V409">
            <v>0</v>
          </cell>
          <cell r="W409">
            <v>0</v>
          </cell>
        </row>
        <row r="410">
          <cell r="Q410">
            <v>132</v>
          </cell>
          <cell r="R410">
            <v>0.62349662391272298</v>
          </cell>
          <cell r="S410">
            <v>0.37650337608727702</v>
          </cell>
          <cell r="T410">
            <v>0</v>
          </cell>
          <cell r="U410">
            <v>0</v>
          </cell>
          <cell r="V410">
            <v>0</v>
          </cell>
          <cell r="W410">
            <v>0</v>
          </cell>
        </row>
        <row r="411">
          <cell r="Q411">
            <v>131</v>
          </cell>
          <cell r="R411">
            <v>0.61394766143299428</v>
          </cell>
          <cell r="S411">
            <v>0.38605233856700577</v>
          </cell>
          <cell r="T411">
            <v>0</v>
          </cell>
          <cell r="U411">
            <v>0</v>
          </cell>
          <cell r="V411">
            <v>0</v>
          </cell>
          <cell r="W411">
            <v>0</v>
          </cell>
        </row>
        <row r="412">
          <cell r="Q412">
            <v>130</v>
          </cell>
          <cell r="R412">
            <v>0.60439869895326548</v>
          </cell>
          <cell r="S412">
            <v>0.39560130104673452</v>
          </cell>
          <cell r="T412">
            <v>0</v>
          </cell>
          <cell r="U412">
            <v>0</v>
          </cell>
          <cell r="V412">
            <v>0</v>
          </cell>
          <cell r="W412">
            <v>0</v>
          </cell>
        </row>
        <row r="413">
          <cell r="Q413">
            <v>129</v>
          </cell>
          <cell r="R413">
            <v>0.59484973647353678</v>
          </cell>
          <cell r="S413">
            <v>0.40515026352646322</v>
          </cell>
          <cell r="T413">
            <v>0</v>
          </cell>
          <cell r="U413">
            <v>0</v>
          </cell>
          <cell r="V413">
            <v>0</v>
          </cell>
          <cell r="W413">
            <v>0</v>
          </cell>
        </row>
        <row r="414">
          <cell r="Q414">
            <v>128</v>
          </cell>
          <cell r="R414">
            <v>0.58530077399380798</v>
          </cell>
          <cell r="S414">
            <v>0.41469922600619197</v>
          </cell>
          <cell r="T414">
            <v>0</v>
          </cell>
          <cell r="U414">
            <v>0</v>
          </cell>
          <cell r="V414">
            <v>0</v>
          </cell>
          <cell r="W414">
            <v>0</v>
          </cell>
        </row>
        <row r="415">
          <cell r="Q415">
            <v>127</v>
          </cell>
          <cell r="R415">
            <v>0.57575181151407928</v>
          </cell>
          <cell r="S415">
            <v>0.42424818848592072</v>
          </cell>
          <cell r="T415">
            <v>0</v>
          </cell>
          <cell r="U415">
            <v>0</v>
          </cell>
          <cell r="V415">
            <v>0</v>
          </cell>
          <cell r="W415">
            <v>0</v>
          </cell>
        </row>
        <row r="416">
          <cell r="Q416">
            <v>126</v>
          </cell>
          <cell r="R416">
            <v>0.56620284903435047</v>
          </cell>
          <cell r="S416">
            <v>0.43379715096564947</v>
          </cell>
          <cell r="T416">
            <v>0</v>
          </cell>
          <cell r="U416">
            <v>0</v>
          </cell>
          <cell r="V416">
            <v>0</v>
          </cell>
          <cell r="W416">
            <v>0</v>
          </cell>
        </row>
        <row r="417">
          <cell r="Q417">
            <v>125</v>
          </cell>
          <cell r="R417">
            <v>0.55665388655462178</v>
          </cell>
          <cell r="S417">
            <v>0.44334611344537822</v>
          </cell>
          <cell r="T417">
            <v>0</v>
          </cell>
          <cell r="U417">
            <v>0</v>
          </cell>
          <cell r="V417">
            <v>0</v>
          </cell>
          <cell r="W417">
            <v>0</v>
          </cell>
        </row>
        <row r="418">
          <cell r="Q418">
            <v>124</v>
          </cell>
          <cell r="R418">
            <v>0.54710492407489308</v>
          </cell>
          <cell r="S418">
            <v>0.45289507592510697</v>
          </cell>
          <cell r="T418">
            <v>0</v>
          </cell>
          <cell r="U418">
            <v>0</v>
          </cell>
          <cell r="V418">
            <v>0</v>
          </cell>
          <cell r="W418">
            <v>0</v>
          </cell>
        </row>
        <row r="419">
          <cell r="Q419">
            <v>123</v>
          </cell>
          <cell r="R419">
            <v>0.53755596159516428</v>
          </cell>
          <cell r="S419">
            <v>0.46244403840483572</v>
          </cell>
          <cell r="T419">
            <v>0</v>
          </cell>
          <cell r="U419">
            <v>0</v>
          </cell>
          <cell r="V419">
            <v>0</v>
          </cell>
          <cell r="W419">
            <v>0</v>
          </cell>
        </row>
        <row r="420">
          <cell r="Q420">
            <v>122</v>
          </cell>
          <cell r="R420">
            <v>0.52800699911543558</v>
          </cell>
          <cell r="S420">
            <v>0.47199300088456442</v>
          </cell>
          <cell r="T420">
            <v>0</v>
          </cell>
          <cell r="U420">
            <v>0</v>
          </cell>
          <cell r="V420">
            <v>0</v>
          </cell>
          <cell r="W420">
            <v>0</v>
          </cell>
        </row>
        <row r="421">
          <cell r="Q421">
            <v>121</v>
          </cell>
          <cell r="R421">
            <v>0.51845803663570678</v>
          </cell>
          <cell r="S421">
            <v>0.48154196336429317</v>
          </cell>
          <cell r="T421">
            <v>0</v>
          </cell>
          <cell r="U421">
            <v>0</v>
          </cell>
          <cell r="V421">
            <v>0</v>
          </cell>
          <cell r="W421">
            <v>0</v>
          </cell>
        </row>
        <row r="422">
          <cell r="Q422">
            <v>120</v>
          </cell>
          <cell r="R422">
            <v>0.50890907415597808</v>
          </cell>
          <cell r="S422">
            <v>0.49109092584402192</v>
          </cell>
          <cell r="T422">
            <v>0</v>
          </cell>
          <cell r="U422">
            <v>0</v>
          </cell>
          <cell r="V422">
            <v>0</v>
          </cell>
          <cell r="W422">
            <v>0</v>
          </cell>
        </row>
        <row r="423">
          <cell r="Q423">
            <v>119</v>
          </cell>
          <cell r="R423">
            <v>0.50118879981817277</v>
          </cell>
          <cell r="S423">
            <v>0.49881120018182717</v>
          </cell>
          <cell r="T423">
            <v>0</v>
          </cell>
          <cell r="U423">
            <v>0</v>
          </cell>
          <cell r="V423">
            <v>0</v>
          </cell>
          <cell r="W423">
            <v>0</v>
          </cell>
        </row>
        <row r="424">
          <cell r="Q424">
            <v>118</v>
          </cell>
          <cell r="R424">
            <v>0.49346852548036751</v>
          </cell>
          <cell r="S424">
            <v>0.50653147451963243</v>
          </cell>
          <cell r="T424">
            <v>0</v>
          </cell>
          <cell r="U424">
            <v>0</v>
          </cell>
          <cell r="V424">
            <v>0</v>
          </cell>
          <cell r="W424">
            <v>0</v>
          </cell>
        </row>
        <row r="425">
          <cell r="Q425">
            <v>117</v>
          </cell>
          <cell r="R425">
            <v>0.48574825114256226</v>
          </cell>
          <cell r="S425">
            <v>0.51425174885743774</v>
          </cell>
          <cell r="T425">
            <v>0</v>
          </cell>
          <cell r="U425">
            <v>0</v>
          </cell>
          <cell r="V425">
            <v>0</v>
          </cell>
          <cell r="W425">
            <v>0</v>
          </cell>
        </row>
        <row r="426">
          <cell r="Q426">
            <v>116</v>
          </cell>
          <cell r="R426">
            <v>0.47802797680475695</v>
          </cell>
          <cell r="S426">
            <v>0.52197202319524305</v>
          </cell>
          <cell r="T426">
            <v>0</v>
          </cell>
          <cell r="U426">
            <v>0</v>
          </cell>
          <cell r="V426">
            <v>0</v>
          </cell>
          <cell r="W426">
            <v>0</v>
          </cell>
        </row>
        <row r="427">
          <cell r="Q427">
            <v>115</v>
          </cell>
          <cell r="R427">
            <v>0.47030770246695169</v>
          </cell>
          <cell r="S427">
            <v>0.52969229753304825</v>
          </cell>
          <cell r="T427">
            <v>0</v>
          </cell>
          <cell r="U427">
            <v>0</v>
          </cell>
          <cell r="V427">
            <v>0</v>
          </cell>
          <cell r="W427">
            <v>0</v>
          </cell>
        </row>
        <row r="428">
          <cell r="Q428">
            <v>114</v>
          </cell>
          <cell r="R428">
            <v>0.46258742812914644</v>
          </cell>
          <cell r="S428">
            <v>0.53741257187085356</v>
          </cell>
          <cell r="T428">
            <v>0</v>
          </cell>
          <cell r="U428">
            <v>0</v>
          </cell>
          <cell r="V428">
            <v>0</v>
          </cell>
          <cell r="W428">
            <v>0</v>
          </cell>
        </row>
        <row r="429">
          <cell r="Q429">
            <v>113</v>
          </cell>
          <cell r="R429">
            <v>0.45486715379134113</v>
          </cell>
          <cell r="S429">
            <v>0.54513284620865887</v>
          </cell>
          <cell r="T429">
            <v>0</v>
          </cell>
          <cell r="U429">
            <v>0</v>
          </cell>
          <cell r="V429">
            <v>0</v>
          </cell>
          <cell r="W429">
            <v>0</v>
          </cell>
        </row>
        <row r="430">
          <cell r="Q430">
            <v>112</v>
          </cell>
          <cell r="R430">
            <v>0.44714687945353587</v>
          </cell>
          <cell r="S430">
            <v>0.55285312054646407</v>
          </cell>
          <cell r="T430">
            <v>0</v>
          </cell>
          <cell r="U430">
            <v>0</v>
          </cell>
          <cell r="V430">
            <v>0</v>
          </cell>
          <cell r="W430">
            <v>0</v>
          </cell>
        </row>
        <row r="431">
          <cell r="Q431">
            <v>111</v>
          </cell>
          <cell r="R431">
            <v>0.43942660511573056</v>
          </cell>
          <cell r="S431">
            <v>0.56057339488426938</v>
          </cell>
          <cell r="T431">
            <v>0</v>
          </cell>
          <cell r="U431">
            <v>0</v>
          </cell>
          <cell r="V431">
            <v>0</v>
          </cell>
          <cell r="W431">
            <v>0</v>
          </cell>
        </row>
        <row r="432">
          <cell r="Q432">
            <v>110</v>
          </cell>
          <cell r="R432">
            <v>0.43170633077792531</v>
          </cell>
          <cell r="S432">
            <v>0.56829366922207469</v>
          </cell>
          <cell r="T432">
            <v>0</v>
          </cell>
          <cell r="U432">
            <v>0</v>
          </cell>
          <cell r="V432">
            <v>0</v>
          </cell>
          <cell r="W432">
            <v>0</v>
          </cell>
        </row>
        <row r="433">
          <cell r="Q433">
            <v>109</v>
          </cell>
          <cell r="R433">
            <v>0.42398605644012</v>
          </cell>
          <cell r="S433">
            <v>0.57601394355987989</v>
          </cell>
          <cell r="T433">
            <v>0</v>
          </cell>
          <cell r="U433">
            <v>0</v>
          </cell>
          <cell r="V433">
            <v>0</v>
          </cell>
          <cell r="W433">
            <v>0</v>
          </cell>
        </row>
        <row r="434">
          <cell r="Q434">
            <v>108</v>
          </cell>
          <cell r="R434">
            <v>0.41626578210231474</v>
          </cell>
          <cell r="S434">
            <v>0.5837342178976852</v>
          </cell>
          <cell r="T434">
            <v>0</v>
          </cell>
          <cell r="U434">
            <v>0</v>
          </cell>
          <cell r="V434">
            <v>0</v>
          </cell>
          <cell r="W434">
            <v>0</v>
          </cell>
        </row>
        <row r="435">
          <cell r="Q435">
            <v>107</v>
          </cell>
          <cell r="R435">
            <v>0.40947492260061935</v>
          </cell>
          <cell r="S435">
            <v>0.59052507739938065</v>
          </cell>
          <cell r="T435">
            <v>0</v>
          </cell>
          <cell r="U435">
            <v>0</v>
          </cell>
          <cell r="V435">
            <v>0</v>
          </cell>
          <cell r="W435">
            <v>0</v>
          </cell>
        </row>
        <row r="436">
          <cell r="Q436">
            <v>106</v>
          </cell>
          <cell r="R436">
            <v>0.40268406309892391</v>
          </cell>
          <cell r="S436">
            <v>0.59731593690107609</v>
          </cell>
          <cell r="T436">
            <v>0</v>
          </cell>
          <cell r="U436">
            <v>0</v>
          </cell>
          <cell r="V436">
            <v>0</v>
          </cell>
          <cell r="W436">
            <v>0</v>
          </cell>
        </row>
        <row r="437">
          <cell r="Q437">
            <v>105</v>
          </cell>
          <cell r="R437">
            <v>0.39589320359722846</v>
          </cell>
          <cell r="S437">
            <v>0.60410679640277154</v>
          </cell>
          <cell r="T437">
            <v>0</v>
          </cell>
          <cell r="U437">
            <v>0</v>
          </cell>
          <cell r="V437">
            <v>0</v>
          </cell>
          <cell r="W437">
            <v>0</v>
          </cell>
        </row>
        <row r="438">
          <cell r="Q438">
            <v>104</v>
          </cell>
          <cell r="R438">
            <v>0.38910234409553307</v>
          </cell>
          <cell r="S438">
            <v>0.61089765590446687</v>
          </cell>
          <cell r="T438">
            <v>0</v>
          </cell>
          <cell r="U438">
            <v>0</v>
          </cell>
          <cell r="V438">
            <v>0</v>
          </cell>
          <cell r="W438">
            <v>0</v>
          </cell>
        </row>
        <row r="439">
          <cell r="Q439">
            <v>103</v>
          </cell>
          <cell r="R439">
            <v>0.38231148459383768</v>
          </cell>
          <cell r="S439">
            <v>0.61768851540616232</v>
          </cell>
          <cell r="T439">
            <v>0</v>
          </cell>
          <cell r="U439">
            <v>0</v>
          </cell>
          <cell r="V439">
            <v>0</v>
          </cell>
          <cell r="W439">
            <v>0</v>
          </cell>
        </row>
        <row r="440">
          <cell r="Q440">
            <v>102</v>
          </cell>
          <cell r="R440">
            <v>0.37552062509214224</v>
          </cell>
          <cell r="S440">
            <v>0.62447937490785776</v>
          </cell>
          <cell r="T440">
            <v>0</v>
          </cell>
          <cell r="U440">
            <v>0</v>
          </cell>
          <cell r="V440">
            <v>0</v>
          </cell>
          <cell r="W440">
            <v>0</v>
          </cell>
        </row>
        <row r="441">
          <cell r="Q441">
            <v>101</v>
          </cell>
          <cell r="R441">
            <v>0.36872976559044679</v>
          </cell>
          <cell r="S441">
            <v>0.63127023440955321</v>
          </cell>
          <cell r="T441">
            <v>0</v>
          </cell>
          <cell r="U441">
            <v>0</v>
          </cell>
          <cell r="V441">
            <v>0</v>
          </cell>
          <cell r="W441">
            <v>0</v>
          </cell>
        </row>
        <row r="442">
          <cell r="Q442">
            <v>100</v>
          </cell>
          <cell r="R442">
            <v>0.3619389060887514</v>
          </cell>
          <cell r="S442">
            <v>0.63806109391124866</v>
          </cell>
          <cell r="T442">
            <v>0</v>
          </cell>
          <cell r="U442">
            <v>0</v>
          </cell>
          <cell r="V442">
            <v>0</v>
          </cell>
          <cell r="W442">
            <v>0</v>
          </cell>
        </row>
        <row r="443">
          <cell r="Q443">
            <v>99</v>
          </cell>
          <cell r="R443">
            <v>0.35514804658705601</v>
          </cell>
          <cell r="S443">
            <v>0.64485195341294399</v>
          </cell>
          <cell r="T443">
            <v>0</v>
          </cell>
          <cell r="U443">
            <v>0</v>
          </cell>
          <cell r="V443">
            <v>0</v>
          </cell>
          <cell r="W443">
            <v>0</v>
          </cell>
        </row>
        <row r="444">
          <cell r="Q444">
            <v>98</v>
          </cell>
          <cell r="R444">
            <v>0.34835718708536056</v>
          </cell>
          <cell r="S444">
            <v>0.65164281291463944</v>
          </cell>
          <cell r="T444">
            <v>0</v>
          </cell>
          <cell r="U444">
            <v>0</v>
          </cell>
          <cell r="V444">
            <v>0</v>
          </cell>
          <cell r="W444">
            <v>0</v>
          </cell>
        </row>
        <row r="445">
          <cell r="Q445">
            <v>97</v>
          </cell>
          <cell r="R445">
            <v>0.34156632758366512</v>
          </cell>
          <cell r="S445">
            <v>0.65843367241633488</v>
          </cell>
          <cell r="T445">
            <v>0</v>
          </cell>
          <cell r="U445">
            <v>0</v>
          </cell>
          <cell r="V445">
            <v>0</v>
          </cell>
          <cell r="W445">
            <v>0</v>
          </cell>
        </row>
        <row r="446">
          <cell r="Q446">
            <v>96</v>
          </cell>
          <cell r="R446">
            <v>0.33477546808196973</v>
          </cell>
          <cell r="S446">
            <v>0.66522453191803033</v>
          </cell>
          <cell r="T446">
            <v>0</v>
          </cell>
          <cell r="U446">
            <v>0</v>
          </cell>
          <cell r="V446">
            <v>0</v>
          </cell>
          <cell r="W446">
            <v>0</v>
          </cell>
        </row>
        <row r="447">
          <cell r="Q447">
            <v>95</v>
          </cell>
          <cell r="R447">
            <v>0.32935798902894503</v>
          </cell>
          <cell r="S447">
            <v>0.67064201097105502</v>
          </cell>
          <cell r="T447">
            <v>0</v>
          </cell>
          <cell r="U447">
            <v>0</v>
          </cell>
          <cell r="V447">
            <v>0</v>
          </cell>
          <cell r="W447">
            <v>0</v>
          </cell>
        </row>
        <row r="448">
          <cell r="Q448">
            <v>94</v>
          </cell>
          <cell r="R448">
            <v>0.32394050997592028</v>
          </cell>
          <cell r="S448">
            <v>0.67605949002407972</v>
          </cell>
          <cell r="T448">
            <v>0</v>
          </cell>
          <cell r="U448">
            <v>0</v>
          </cell>
          <cell r="V448">
            <v>0</v>
          </cell>
          <cell r="W448">
            <v>0</v>
          </cell>
        </row>
        <row r="449">
          <cell r="Q449">
            <v>93</v>
          </cell>
          <cell r="R449">
            <v>0.31852303092289558</v>
          </cell>
          <cell r="S449">
            <v>0.68147696907710453</v>
          </cell>
          <cell r="T449">
            <v>0</v>
          </cell>
          <cell r="U449">
            <v>0</v>
          </cell>
          <cell r="V449">
            <v>0</v>
          </cell>
          <cell r="W449">
            <v>0</v>
          </cell>
        </row>
        <row r="450">
          <cell r="Q450">
            <v>92</v>
          </cell>
          <cell r="R450">
            <v>0.31310555186987088</v>
          </cell>
          <cell r="S450">
            <v>0.68689444813012923</v>
          </cell>
          <cell r="T450">
            <v>0</v>
          </cell>
          <cell r="U450">
            <v>0</v>
          </cell>
          <cell r="V450">
            <v>0</v>
          </cell>
          <cell r="W450">
            <v>0</v>
          </cell>
        </row>
        <row r="451">
          <cell r="Q451">
            <v>91</v>
          </cell>
          <cell r="R451">
            <v>0.30768807281684613</v>
          </cell>
          <cell r="S451">
            <v>0.69231192718315393</v>
          </cell>
          <cell r="T451">
            <v>0</v>
          </cell>
          <cell r="U451">
            <v>0</v>
          </cell>
          <cell r="V451">
            <v>0</v>
          </cell>
          <cell r="W451">
            <v>0</v>
          </cell>
        </row>
        <row r="452">
          <cell r="Q452">
            <v>90</v>
          </cell>
          <cell r="R452">
            <v>0.30227059376382143</v>
          </cell>
          <cell r="S452">
            <v>0.69772940623617863</v>
          </cell>
          <cell r="T452">
            <v>0</v>
          </cell>
          <cell r="U452">
            <v>0</v>
          </cell>
          <cell r="V452">
            <v>0</v>
          </cell>
          <cell r="W452">
            <v>0</v>
          </cell>
        </row>
        <row r="453">
          <cell r="Q453">
            <v>89</v>
          </cell>
          <cell r="R453">
            <v>0.29685311471079673</v>
          </cell>
          <cell r="S453">
            <v>0.70314688528920333</v>
          </cell>
          <cell r="T453">
            <v>0</v>
          </cell>
          <cell r="U453">
            <v>0</v>
          </cell>
          <cell r="V453">
            <v>0</v>
          </cell>
          <cell r="W453">
            <v>0</v>
          </cell>
        </row>
        <row r="454">
          <cell r="Q454">
            <v>88</v>
          </cell>
          <cell r="R454">
            <v>0.29143563565777197</v>
          </cell>
          <cell r="S454">
            <v>0.70856436434222803</v>
          </cell>
          <cell r="T454">
            <v>0</v>
          </cell>
          <cell r="U454">
            <v>0</v>
          </cell>
          <cell r="V454">
            <v>0</v>
          </cell>
          <cell r="W454">
            <v>0</v>
          </cell>
        </row>
        <row r="455">
          <cell r="Q455">
            <v>87</v>
          </cell>
          <cell r="R455">
            <v>0.28601815660474728</v>
          </cell>
          <cell r="S455">
            <v>0.71398184339525272</v>
          </cell>
          <cell r="T455">
            <v>0</v>
          </cell>
          <cell r="U455">
            <v>0</v>
          </cell>
          <cell r="V455">
            <v>0</v>
          </cell>
          <cell r="W455">
            <v>0</v>
          </cell>
        </row>
        <row r="456">
          <cell r="Q456">
            <v>86</v>
          </cell>
          <cell r="R456">
            <v>0.28060067755172258</v>
          </cell>
          <cell r="S456">
            <v>0.71939932244827753</v>
          </cell>
          <cell r="T456">
            <v>0</v>
          </cell>
          <cell r="U456">
            <v>0</v>
          </cell>
          <cell r="V456">
            <v>0</v>
          </cell>
          <cell r="W456">
            <v>0</v>
          </cell>
        </row>
        <row r="457">
          <cell r="Q457">
            <v>85</v>
          </cell>
          <cell r="R457">
            <v>0.27518319849869782</v>
          </cell>
          <cell r="S457">
            <v>0.72481680150130223</v>
          </cell>
          <cell r="T457">
            <v>0</v>
          </cell>
          <cell r="U457">
            <v>0</v>
          </cell>
          <cell r="V457">
            <v>0</v>
          </cell>
          <cell r="W457">
            <v>0</v>
          </cell>
        </row>
        <row r="458">
          <cell r="Q458">
            <v>84</v>
          </cell>
          <cell r="R458">
            <v>0.26976571944567312</v>
          </cell>
          <cell r="S458">
            <v>0.73023428055432693</v>
          </cell>
          <cell r="T458">
            <v>0</v>
          </cell>
          <cell r="U458">
            <v>0</v>
          </cell>
          <cell r="V458">
            <v>0</v>
          </cell>
          <cell r="W458">
            <v>0</v>
          </cell>
        </row>
        <row r="459">
          <cell r="Q459">
            <v>83</v>
          </cell>
          <cell r="R459">
            <v>0.26513267390289463</v>
          </cell>
          <cell r="S459">
            <v>0.73486732609710548</v>
          </cell>
          <cell r="T459">
            <v>0</v>
          </cell>
          <cell r="U459">
            <v>0</v>
          </cell>
          <cell r="V459">
            <v>0</v>
          </cell>
          <cell r="W459">
            <v>0</v>
          </cell>
        </row>
        <row r="460">
          <cell r="Q460">
            <v>82</v>
          </cell>
          <cell r="R460">
            <v>0.26049962836011609</v>
          </cell>
          <cell r="S460">
            <v>0.73950037163988391</v>
          </cell>
          <cell r="T460">
            <v>0</v>
          </cell>
          <cell r="U460">
            <v>0</v>
          </cell>
          <cell r="V460">
            <v>0</v>
          </cell>
          <cell r="W460">
            <v>0</v>
          </cell>
        </row>
        <row r="461">
          <cell r="Q461">
            <v>81</v>
          </cell>
          <cell r="R461">
            <v>0.25586658281733754</v>
          </cell>
          <cell r="S461">
            <v>0.74413341718266246</v>
          </cell>
          <cell r="T461">
            <v>0</v>
          </cell>
          <cell r="U461">
            <v>0</v>
          </cell>
          <cell r="V461">
            <v>0</v>
          </cell>
          <cell r="W461">
            <v>0</v>
          </cell>
        </row>
        <row r="462">
          <cell r="Q462">
            <v>80</v>
          </cell>
          <cell r="R462">
            <v>0.25123353727455905</v>
          </cell>
          <cell r="S462">
            <v>0.74876646272544101</v>
          </cell>
          <cell r="T462">
            <v>0</v>
          </cell>
          <cell r="U462">
            <v>0</v>
          </cell>
          <cell r="V462">
            <v>0</v>
          </cell>
          <cell r="W462">
            <v>0</v>
          </cell>
        </row>
        <row r="463">
          <cell r="Q463">
            <v>79</v>
          </cell>
          <cell r="R463">
            <v>0.24660049173178053</v>
          </cell>
          <cell r="S463">
            <v>0.75339950826821944</v>
          </cell>
          <cell r="T463">
            <v>0</v>
          </cell>
          <cell r="U463">
            <v>0</v>
          </cell>
          <cell r="V463">
            <v>0</v>
          </cell>
          <cell r="W463">
            <v>0</v>
          </cell>
        </row>
        <row r="464">
          <cell r="Q464">
            <v>78</v>
          </cell>
          <cell r="R464">
            <v>0.24196744618900201</v>
          </cell>
          <cell r="S464">
            <v>0.75803255381099799</v>
          </cell>
          <cell r="T464">
            <v>0</v>
          </cell>
          <cell r="U464">
            <v>0</v>
          </cell>
          <cell r="V464">
            <v>0</v>
          </cell>
          <cell r="W464">
            <v>0</v>
          </cell>
        </row>
        <row r="465">
          <cell r="Q465">
            <v>77</v>
          </cell>
          <cell r="R465">
            <v>0.23733440064622349</v>
          </cell>
          <cell r="S465">
            <v>0.76266559935377654</v>
          </cell>
          <cell r="T465">
            <v>0</v>
          </cell>
          <cell r="U465">
            <v>0</v>
          </cell>
          <cell r="V465">
            <v>0</v>
          </cell>
          <cell r="W465">
            <v>0</v>
          </cell>
        </row>
        <row r="466">
          <cell r="Q466">
            <v>76</v>
          </cell>
          <cell r="R466">
            <v>0.23270135510344497</v>
          </cell>
          <cell r="S466">
            <v>0.76729864489655497</v>
          </cell>
          <cell r="T466">
            <v>0</v>
          </cell>
          <cell r="U466">
            <v>0</v>
          </cell>
          <cell r="V466">
            <v>0</v>
          </cell>
          <cell r="W466">
            <v>0</v>
          </cell>
        </row>
        <row r="467">
          <cell r="Q467">
            <v>75</v>
          </cell>
          <cell r="R467">
            <v>0.22806830956066645</v>
          </cell>
          <cell r="S467">
            <v>0.77193169043933352</v>
          </cell>
          <cell r="T467">
            <v>0</v>
          </cell>
          <cell r="U467">
            <v>0</v>
          </cell>
          <cell r="V467">
            <v>0</v>
          </cell>
          <cell r="W467">
            <v>0</v>
          </cell>
        </row>
        <row r="468">
          <cell r="Q468">
            <v>74</v>
          </cell>
          <cell r="R468">
            <v>0.22343526401788794</v>
          </cell>
          <cell r="S468">
            <v>0.77656473598211206</v>
          </cell>
          <cell r="T468">
            <v>0</v>
          </cell>
          <cell r="U468">
            <v>0</v>
          </cell>
          <cell r="V468">
            <v>0</v>
          </cell>
          <cell r="W468">
            <v>0</v>
          </cell>
        </row>
        <row r="469">
          <cell r="Q469">
            <v>73</v>
          </cell>
          <cell r="R469">
            <v>0.21880221847510942</v>
          </cell>
          <cell r="S469">
            <v>0.7811977815248905</v>
          </cell>
          <cell r="T469">
            <v>0</v>
          </cell>
          <cell r="U469">
            <v>0</v>
          </cell>
          <cell r="V469">
            <v>0</v>
          </cell>
          <cell r="W469">
            <v>0</v>
          </cell>
        </row>
        <row r="470">
          <cell r="Q470">
            <v>72</v>
          </cell>
          <cell r="R470">
            <v>0.2141691729323309</v>
          </cell>
          <cell r="S470">
            <v>0.78583082706766905</v>
          </cell>
          <cell r="T470">
            <v>0</v>
          </cell>
          <cell r="U470">
            <v>0</v>
          </cell>
          <cell r="V470">
            <v>0</v>
          </cell>
          <cell r="W470">
            <v>0</v>
          </cell>
        </row>
        <row r="471">
          <cell r="Q471">
            <v>71</v>
          </cell>
          <cell r="R471">
            <v>0.21031334617180211</v>
          </cell>
          <cell r="S471">
            <v>0.7896866538281978</v>
          </cell>
          <cell r="T471">
            <v>0</v>
          </cell>
          <cell r="U471">
            <v>0</v>
          </cell>
          <cell r="V471">
            <v>0</v>
          </cell>
          <cell r="W471">
            <v>0</v>
          </cell>
        </row>
        <row r="472">
          <cell r="Q472">
            <v>70</v>
          </cell>
          <cell r="R472">
            <v>0.20645751941127333</v>
          </cell>
          <cell r="S472">
            <v>0.79354248058872656</v>
          </cell>
          <cell r="T472">
            <v>0</v>
          </cell>
          <cell r="U472">
            <v>0</v>
          </cell>
          <cell r="V472">
            <v>0</v>
          </cell>
          <cell r="W472">
            <v>0</v>
          </cell>
        </row>
        <row r="473">
          <cell r="Q473">
            <v>69</v>
          </cell>
          <cell r="R473">
            <v>0.20260169265074457</v>
          </cell>
          <cell r="S473">
            <v>0.79739830734925543</v>
          </cell>
          <cell r="T473">
            <v>0</v>
          </cell>
          <cell r="U473">
            <v>0</v>
          </cell>
          <cell r="V473">
            <v>0</v>
          </cell>
          <cell r="W473">
            <v>0</v>
          </cell>
        </row>
        <row r="474">
          <cell r="Q474">
            <v>68</v>
          </cell>
          <cell r="R474">
            <v>0.19874586589021578</v>
          </cell>
          <cell r="S474">
            <v>0.80125413410978419</v>
          </cell>
          <cell r="T474">
            <v>0</v>
          </cell>
          <cell r="U474">
            <v>0</v>
          </cell>
          <cell r="V474">
            <v>0</v>
          </cell>
          <cell r="W474">
            <v>0</v>
          </cell>
        </row>
        <row r="475">
          <cell r="Q475">
            <v>67</v>
          </cell>
          <cell r="R475">
            <v>0.194890039129687</v>
          </cell>
          <cell r="S475">
            <v>0.80510996087031295</v>
          </cell>
          <cell r="T475">
            <v>0</v>
          </cell>
          <cell r="U475">
            <v>0</v>
          </cell>
          <cell r="V475">
            <v>0</v>
          </cell>
          <cell r="W475">
            <v>0</v>
          </cell>
        </row>
        <row r="476">
          <cell r="Q476">
            <v>66</v>
          </cell>
          <cell r="R476">
            <v>0.19103421236915824</v>
          </cell>
          <cell r="S476">
            <v>0.80896578763084181</v>
          </cell>
          <cell r="T476">
            <v>0</v>
          </cell>
          <cell r="U476">
            <v>0</v>
          </cell>
          <cell r="V476">
            <v>0</v>
          </cell>
          <cell r="W476">
            <v>0</v>
          </cell>
        </row>
        <row r="477">
          <cell r="Q477">
            <v>65</v>
          </cell>
          <cell r="R477">
            <v>0.18717838560862946</v>
          </cell>
          <cell r="S477">
            <v>0.81282161439137057</v>
          </cell>
          <cell r="T477">
            <v>0</v>
          </cell>
          <cell r="U477">
            <v>0</v>
          </cell>
          <cell r="V477">
            <v>0</v>
          </cell>
          <cell r="W477">
            <v>0</v>
          </cell>
        </row>
        <row r="478">
          <cell r="Q478">
            <v>64</v>
          </cell>
          <cell r="R478">
            <v>0.18332255884810067</v>
          </cell>
          <cell r="S478">
            <v>0.81667744115189933</v>
          </cell>
          <cell r="T478">
            <v>0</v>
          </cell>
          <cell r="U478">
            <v>0</v>
          </cell>
          <cell r="V478">
            <v>0</v>
          </cell>
          <cell r="W478">
            <v>0</v>
          </cell>
        </row>
        <row r="479">
          <cell r="Q479">
            <v>63</v>
          </cell>
          <cell r="R479">
            <v>0.17946673208757188</v>
          </cell>
          <cell r="S479">
            <v>0.82053326791242809</v>
          </cell>
          <cell r="T479">
            <v>0</v>
          </cell>
          <cell r="U479">
            <v>0</v>
          </cell>
          <cell r="V479">
            <v>0</v>
          </cell>
          <cell r="W479">
            <v>0</v>
          </cell>
        </row>
        <row r="480">
          <cell r="Q480">
            <v>62</v>
          </cell>
          <cell r="R480">
            <v>0.1756109053270431</v>
          </cell>
          <cell r="S480">
            <v>0.82438909467295685</v>
          </cell>
          <cell r="T480">
            <v>0</v>
          </cell>
          <cell r="U480">
            <v>0</v>
          </cell>
          <cell r="V480">
            <v>0</v>
          </cell>
          <cell r="W480">
            <v>0</v>
          </cell>
        </row>
        <row r="481">
          <cell r="Q481">
            <v>61</v>
          </cell>
          <cell r="R481">
            <v>0.17175507856651434</v>
          </cell>
          <cell r="S481">
            <v>0.82824492143348571</v>
          </cell>
          <cell r="T481">
            <v>0</v>
          </cell>
          <cell r="U481">
            <v>0</v>
          </cell>
          <cell r="V481">
            <v>0</v>
          </cell>
          <cell r="W481">
            <v>0</v>
          </cell>
        </row>
        <row r="482">
          <cell r="Q482">
            <v>60</v>
          </cell>
          <cell r="R482">
            <v>0.16789925180598556</v>
          </cell>
          <cell r="S482">
            <v>0.83210074819401447</v>
          </cell>
          <cell r="T482">
            <v>0</v>
          </cell>
          <cell r="U482">
            <v>0</v>
          </cell>
          <cell r="V482">
            <v>0</v>
          </cell>
          <cell r="W482">
            <v>0</v>
          </cell>
        </row>
        <row r="483">
          <cell r="Q483">
            <v>59</v>
          </cell>
          <cell r="R483">
            <v>0.16446494268760134</v>
          </cell>
          <cell r="S483">
            <v>0.83553505731239863</v>
          </cell>
          <cell r="T483">
            <v>0</v>
          </cell>
          <cell r="U483">
            <v>0</v>
          </cell>
          <cell r="V483">
            <v>0</v>
          </cell>
          <cell r="W483">
            <v>0</v>
          </cell>
        </row>
        <row r="484">
          <cell r="Q484">
            <v>58</v>
          </cell>
          <cell r="R484">
            <v>0.16103063356921712</v>
          </cell>
          <cell r="S484">
            <v>0.8389693664307829</v>
          </cell>
          <cell r="T484">
            <v>0</v>
          </cell>
          <cell r="U484">
            <v>0</v>
          </cell>
          <cell r="V484">
            <v>0</v>
          </cell>
          <cell r="W484">
            <v>0</v>
          </cell>
        </row>
        <row r="485">
          <cell r="Q485">
            <v>57</v>
          </cell>
          <cell r="R485">
            <v>0.15759632445083294</v>
          </cell>
          <cell r="S485">
            <v>0.84240367554916706</v>
          </cell>
          <cell r="T485">
            <v>0</v>
          </cell>
          <cell r="U485">
            <v>0</v>
          </cell>
          <cell r="V485">
            <v>0</v>
          </cell>
          <cell r="W485">
            <v>0</v>
          </cell>
        </row>
        <row r="486">
          <cell r="Q486">
            <v>56</v>
          </cell>
          <cell r="R486">
            <v>0.15416201533244872</v>
          </cell>
          <cell r="S486">
            <v>0.84583798466755133</v>
          </cell>
          <cell r="T486">
            <v>0</v>
          </cell>
          <cell r="U486">
            <v>0</v>
          </cell>
          <cell r="V486">
            <v>0</v>
          </cell>
          <cell r="W486">
            <v>0</v>
          </cell>
        </row>
        <row r="487">
          <cell r="Q487">
            <v>55</v>
          </cell>
          <cell r="R487">
            <v>0.15072770621406451</v>
          </cell>
          <cell r="S487">
            <v>0.84927229378593549</v>
          </cell>
          <cell r="T487">
            <v>0</v>
          </cell>
          <cell r="U487">
            <v>0</v>
          </cell>
          <cell r="V487">
            <v>0</v>
          </cell>
          <cell r="W487">
            <v>0</v>
          </cell>
        </row>
        <row r="488">
          <cell r="Q488">
            <v>54</v>
          </cell>
          <cell r="R488">
            <v>0.14729339709568029</v>
          </cell>
          <cell r="S488">
            <v>0.85270660290431977</v>
          </cell>
          <cell r="T488">
            <v>0</v>
          </cell>
          <cell r="U488">
            <v>0</v>
          </cell>
          <cell r="V488">
            <v>0</v>
          </cell>
          <cell r="W488">
            <v>0</v>
          </cell>
        </row>
        <row r="489">
          <cell r="Q489">
            <v>53</v>
          </cell>
          <cell r="R489">
            <v>0.14385908797729607</v>
          </cell>
          <cell r="S489">
            <v>0.85614091202270393</v>
          </cell>
          <cell r="T489">
            <v>0</v>
          </cell>
          <cell r="U489">
            <v>0</v>
          </cell>
          <cell r="V489">
            <v>0</v>
          </cell>
          <cell r="W489">
            <v>0</v>
          </cell>
        </row>
        <row r="490">
          <cell r="Q490">
            <v>52</v>
          </cell>
          <cell r="R490">
            <v>0.14042477885891186</v>
          </cell>
          <cell r="S490">
            <v>0.85957522114108809</v>
          </cell>
          <cell r="T490">
            <v>0</v>
          </cell>
          <cell r="U490">
            <v>0</v>
          </cell>
          <cell r="V490">
            <v>0</v>
          </cell>
          <cell r="W490">
            <v>0</v>
          </cell>
        </row>
        <row r="491">
          <cell r="Q491">
            <v>51</v>
          </cell>
          <cell r="R491">
            <v>0.13699046974052764</v>
          </cell>
          <cell r="S491">
            <v>0.86300953025947236</v>
          </cell>
          <cell r="T491">
            <v>0</v>
          </cell>
          <cell r="U491">
            <v>0</v>
          </cell>
          <cell r="V491">
            <v>0</v>
          </cell>
          <cell r="W491">
            <v>0</v>
          </cell>
        </row>
        <row r="492">
          <cell r="Q492">
            <v>50</v>
          </cell>
          <cell r="R492">
            <v>0.13355616062214345</v>
          </cell>
          <cell r="S492">
            <v>0.86644383937785652</v>
          </cell>
          <cell r="T492">
            <v>0</v>
          </cell>
          <cell r="U492">
            <v>0</v>
          </cell>
          <cell r="V492">
            <v>0</v>
          </cell>
          <cell r="W492">
            <v>0</v>
          </cell>
        </row>
        <row r="493">
          <cell r="Q493">
            <v>49</v>
          </cell>
          <cell r="R493">
            <v>0.13012185150375924</v>
          </cell>
          <cell r="S493">
            <v>0.86987814849624079</v>
          </cell>
          <cell r="T493">
            <v>0</v>
          </cell>
          <cell r="U493">
            <v>0</v>
          </cell>
          <cell r="V493">
            <v>0</v>
          </cell>
          <cell r="W493">
            <v>0</v>
          </cell>
        </row>
        <row r="494">
          <cell r="Q494">
            <v>48</v>
          </cell>
          <cell r="R494">
            <v>0.12668754238537502</v>
          </cell>
          <cell r="S494">
            <v>0.87331245761462495</v>
          </cell>
          <cell r="T494">
            <v>0</v>
          </cell>
          <cell r="U494">
            <v>0</v>
          </cell>
          <cell r="V494">
            <v>0</v>
          </cell>
          <cell r="W494">
            <v>0</v>
          </cell>
        </row>
        <row r="495">
          <cell r="Q495">
            <v>47</v>
          </cell>
          <cell r="R495">
            <v>0.1236212796083344</v>
          </cell>
          <cell r="S495">
            <v>0.87637872039166553</v>
          </cell>
          <cell r="T495">
            <v>0</v>
          </cell>
          <cell r="U495">
            <v>0</v>
          </cell>
          <cell r="V495">
            <v>0</v>
          </cell>
          <cell r="W495">
            <v>0</v>
          </cell>
        </row>
        <row r="496">
          <cell r="Q496">
            <v>46</v>
          </cell>
          <cell r="R496">
            <v>0.12055501683129377</v>
          </cell>
          <cell r="S496">
            <v>0.87944498316870623</v>
          </cell>
          <cell r="T496">
            <v>0</v>
          </cell>
          <cell r="U496">
            <v>0</v>
          </cell>
          <cell r="V496">
            <v>0</v>
          </cell>
          <cell r="W496">
            <v>0</v>
          </cell>
        </row>
        <row r="497">
          <cell r="Q497">
            <v>45</v>
          </cell>
          <cell r="R497">
            <v>0.11748875405425314</v>
          </cell>
          <cell r="S497">
            <v>0.88251124594574681</v>
          </cell>
          <cell r="T497">
            <v>0</v>
          </cell>
          <cell r="U497">
            <v>0</v>
          </cell>
          <cell r="V497">
            <v>0</v>
          </cell>
          <cell r="W497">
            <v>0</v>
          </cell>
        </row>
        <row r="498">
          <cell r="Q498">
            <v>44</v>
          </cell>
          <cell r="R498">
            <v>0.11442249127721252</v>
          </cell>
          <cell r="S498">
            <v>0.88557750872278751</v>
          </cell>
          <cell r="T498">
            <v>0</v>
          </cell>
          <cell r="U498">
            <v>0</v>
          </cell>
          <cell r="V498">
            <v>0</v>
          </cell>
          <cell r="W498">
            <v>0</v>
          </cell>
        </row>
        <row r="499">
          <cell r="Q499">
            <v>43</v>
          </cell>
          <cell r="R499">
            <v>0.11135622850017189</v>
          </cell>
          <cell r="S499">
            <v>0.88864377149982809</v>
          </cell>
          <cell r="T499">
            <v>0</v>
          </cell>
          <cell r="U499">
            <v>0</v>
          </cell>
          <cell r="V499">
            <v>0</v>
          </cell>
          <cell r="W499">
            <v>0</v>
          </cell>
        </row>
        <row r="500">
          <cell r="Q500">
            <v>42</v>
          </cell>
          <cell r="R500">
            <v>0.10828996572313127</v>
          </cell>
          <cell r="S500">
            <v>0.89171003427686868</v>
          </cell>
          <cell r="T500">
            <v>0</v>
          </cell>
          <cell r="U500">
            <v>0</v>
          </cell>
          <cell r="V500">
            <v>0</v>
          </cell>
          <cell r="W500">
            <v>0</v>
          </cell>
        </row>
        <row r="501">
          <cell r="Q501">
            <v>41</v>
          </cell>
          <cell r="R501">
            <v>0.10522370294609065</v>
          </cell>
          <cell r="S501">
            <v>0.89477629705390938</v>
          </cell>
          <cell r="T501">
            <v>0</v>
          </cell>
          <cell r="U501">
            <v>0</v>
          </cell>
          <cell r="V501">
            <v>0</v>
          </cell>
          <cell r="W501">
            <v>0</v>
          </cell>
        </row>
        <row r="502">
          <cell r="Q502">
            <v>40</v>
          </cell>
          <cell r="R502">
            <v>0.10215744016905003</v>
          </cell>
          <cell r="S502">
            <v>0.89784255983094996</v>
          </cell>
          <cell r="T502">
            <v>0</v>
          </cell>
          <cell r="U502">
            <v>0</v>
          </cell>
          <cell r="V502">
            <v>0</v>
          </cell>
          <cell r="W502">
            <v>0</v>
          </cell>
        </row>
        <row r="503">
          <cell r="Q503">
            <v>39</v>
          </cell>
          <cell r="R503">
            <v>9.90911773920094E-2</v>
          </cell>
          <cell r="S503">
            <v>0.90090882260799066</v>
          </cell>
          <cell r="T503">
            <v>0</v>
          </cell>
          <cell r="U503">
            <v>0</v>
          </cell>
          <cell r="V503">
            <v>0</v>
          </cell>
          <cell r="W503">
            <v>0</v>
          </cell>
        </row>
        <row r="504">
          <cell r="Q504">
            <v>38</v>
          </cell>
          <cell r="R504">
            <v>9.6024914614968773E-2</v>
          </cell>
          <cell r="S504">
            <v>0.90397508538503124</v>
          </cell>
          <cell r="T504">
            <v>0</v>
          </cell>
          <cell r="U504">
            <v>0</v>
          </cell>
          <cell r="V504">
            <v>0</v>
          </cell>
          <cell r="W504">
            <v>0</v>
          </cell>
        </row>
        <row r="505">
          <cell r="Q505">
            <v>37</v>
          </cell>
          <cell r="R505">
            <v>9.2958651837928147E-2</v>
          </cell>
          <cell r="S505">
            <v>0.90704134816207194</v>
          </cell>
          <cell r="T505">
            <v>0</v>
          </cell>
          <cell r="U505">
            <v>0</v>
          </cell>
          <cell r="V505">
            <v>0</v>
          </cell>
          <cell r="W505">
            <v>0</v>
          </cell>
        </row>
        <row r="506">
          <cell r="Q506">
            <v>36</v>
          </cell>
          <cell r="R506">
            <v>8.989238906088752E-2</v>
          </cell>
          <cell r="S506">
            <v>0.91010761093911252</v>
          </cell>
          <cell r="T506">
            <v>0</v>
          </cell>
          <cell r="U506">
            <v>0</v>
          </cell>
          <cell r="V506">
            <v>0</v>
          </cell>
          <cell r="W506">
            <v>0</v>
          </cell>
        </row>
        <row r="507">
          <cell r="Q507">
            <v>35</v>
          </cell>
          <cell r="R507">
            <v>8.7141342633544644E-2</v>
          </cell>
          <cell r="S507">
            <v>0.91285865736645544</v>
          </cell>
          <cell r="T507">
            <v>0</v>
          </cell>
          <cell r="U507">
            <v>0</v>
          </cell>
          <cell r="V507">
            <v>0</v>
          </cell>
          <cell r="W507">
            <v>0</v>
          </cell>
        </row>
        <row r="508">
          <cell r="Q508">
            <v>34</v>
          </cell>
          <cell r="R508">
            <v>8.4390296206201768E-2</v>
          </cell>
          <cell r="S508">
            <v>0.91560970379379825</v>
          </cell>
          <cell r="T508">
            <v>0</v>
          </cell>
          <cell r="U508">
            <v>0</v>
          </cell>
          <cell r="V508">
            <v>0</v>
          </cell>
          <cell r="W508">
            <v>0</v>
          </cell>
        </row>
        <row r="509">
          <cell r="Q509">
            <v>33</v>
          </cell>
          <cell r="R509">
            <v>8.1639249778858877E-2</v>
          </cell>
          <cell r="S509">
            <v>0.91836075022114116</v>
          </cell>
          <cell r="T509">
            <v>0</v>
          </cell>
          <cell r="U509">
            <v>0</v>
          </cell>
          <cell r="V509">
            <v>0</v>
          </cell>
          <cell r="W509">
            <v>0</v>
          </cell>
        </row>
        <row r="510">
          <cell r="Q510">
            <v>32</v>
          </cell>
          <cell r="R510">
            <v>7.8888203351516001E-2</v>
          </cell>
          <cell r="S510">
            <v>0.92111179664848397</v>
          </cell>
          <cell r="T510">
            <v>0</v>
          </cell>
          <cell r="U510">
            <v>0</v>
          </cell>
          <cell r="V510">
            <v>0</v>
          </cell>
          <cell r="W510">
            <v>0</v>
          </cell>
        </row>
        <row r="511">
          <cell r="Q511">
            <v>31</v>
          </cell>
          <cell r="R511">
            <v>7.6137156924173124E-2</v>
          </cell>
          <cell r="S511">
            <v>0.92386284307582689</v>
          </cell>
          <cell r="T511">
            <v>0</v>
          </cell>
          <cell r="U511">
            <v>0</v>
          </cell>
          <cell r="V511">
            <v>0</v>
          </cell>
          <cell r="W511">
            <v>0</v>
          </cell>
        </row>
        <row r="512">
          <cell r="Q512">
            <v>30</v>
          </cell>
          <cell r="R512">
            <v>7.3386110496830248E-2</v>
          </cell>
          <cell r="S512">
            <v>0.9266138895031697</v>
          </cell>
          <cell r="T512">
            <v>0</v>
          </cell>
          <cell r="U512">
            <v>0</v>
          </cell>
          <cell r="V512">
            <v>0</v>
          </cell>
          <cell r="W512">
            <v>0</v>
          </cell>
        </row>
        <row r="513">
          <cell r="Q513">
            <v>29</v>
          </cell>
          <cell r="R513">
            <v>7.0635064069487372E-2</v>
          </cell>
          <cell r="S513">
            <v>0.92936493593051261</v>
          </cell>
          <cell r="T513">
            <v>0</v>
          </cell>
          <cell r="U513">
            <v>0</v>
          </cell>
          <cell r="V513">
            <v>0</v>
          </cell>
          <cell r="W513">
            <v>0</v>
          </cell>
        </row>
        <row r="514">
          <cell r="Q514">
            <v>28</v>
          </cell>
          <cell r="R514">
            <v>6.7884017642144481E-2</v>
          </cell>
          <cell r="S514">
            <v>0.93211598235785553</v>
          </cell>
          <cell r="T514">
            <v>0</v>
          </cell>
          <cell r="U514">
            <v>0</v>
          </cell>
          <cell r="V514">
            <v>0</v>
          </cell>
          <cell r="W514">
            <v>0</v>
          </cell>
        </row>
        <row r="515">
          <cell r="Q515">
            <v>27</v>
          </cell>
          <cell r="R515">
            <v>6.5132971214801605E-2</v>
          </cell>
          <cell r="S515">
            <v>0.93486702878519834</v>
          </cell>
          <cell r="T515">
            <v>0</v>
          </cell>
          <cell r="U515">
            <v>0</v>
          </cell>
          <cell r="V515">
            <v>0</v>
          </cell>
          <cell r="W515">
            <v>0</v>
          </cell>
        </row>
        <row r="516">
          <cell r="Q516">
            <v>26</v>
          </cell>
          <cell r="R516">
            <v>6.2381924787458728E-2</v>
          </cell>
          <cell r="S516">
            <v>0.93761807521254126</v>
          </cell>
          <cell r="T516">
            <v>0</v>
          </cell>
          <cell r="U516">
            <v>0</v>
          </cell>
          <cell r="V516">
            <v>0</v>
          </cell>
          <cell r="W516">
            <v>0</v>
          </cell>
        </row>
        <row r="517">
          <cell r="Q517">
            <v>25</v>
          </cell>
          <cell r="R517">
            <v>5.9630878360115845E-2</v>
          </cell>
          <cell r="S517">
            <v>0.94036912163988406</v>
          </cell>
          <cell r="T517">
            <v>0</v>
          </cell>
          <cell r="U517">
            <v>0</v>
          </cell>
          <cell r="V517">
            <v>0</v>
          </cell>
          <cell r="W517">
            <v>0</v>
          </cell>
        </row>
        <row r="518">
          <cell r="Q518">
            <v>24</v>
          </cell>
          <cell r="R518">
            <v>5.6879831932772969E-2</v>
          </cell>
          <cell r="S518">
            <v>0.94312016806722698</v>
          </cell>
          <cell r="T518">
            <v>0</v>
          </cell>
          <cell r="U518">
            <v>0</v>
          </cell>
          <cell r="V518">
            <v>0</v>
          </cell>
          <cell r="W518">
            <v>0</v>
          </cell>
        </row>
        <row r="519">
          <cell r="Q519">
            <v>23</v>
          </cell>
          <cell r="R519">
            <v>5.4416464568283321E-2</v>
          </cell>
          <cell r="S519">
            <v>0.94558353543171658</v>
          </cell>
          <cell r="T519">
            <v>0</v>
          </cell>
          <cell r="U519">
            <v>0</v>
          </cell>
          <cell r="V519">
            <v>0</v>
          </cell>
          <cell r="W519">
            <v>0</v>
          </cell>
        </row>
        <row r="520">
          <cell r="Q520">
            <v>22</v>
          </cell>
          <cell r="R520">
            <v>5.1953097203793673E-2</v>
          </cell>
          <cell r="S520">
            <v>0.94804690279620629</v>
          </cell>
          <cell r="T520">
            <v>0</v>
          </cell>
          <cell r="U520">
            <v>0</v>
          </cell>
          <cell r="V520">
            <v>0</v>
          </cell>
          <cell r="W520">
            <v>0</v>
          </cell>
        </row>
        <row r="521">
          <cell r="Q521">
            <v>21</v>
          </cell>
          <cell r="R521">
            <v>4.9489729839304025E-2</v>
          </cell>
          <cell r="S521">
            <v>0.950510270160696</v>
          </cell>
          <cell r="T521">
            <v>0</v>
          </cell>
          <cell r="U521">
            <v>0</v>
          </cell>
          <cell r="V521">
            <v>0</v>
          </cell>
          <cell r="W521">
            <v>0</v>
          </cell>
        </row>
        <row r="522">
          <cell r="Q522">
            <v>20</v>
          </cell>
          <cell r="R522">
            <v>4.702636247481437E-2</v>
          </cell>
          <cell r="S522">
            <v>0.9529736375251856</v>
          </cell>
          <cell r="T522">
            <v>0</v>
          </cell>
          <cell r="U522">
            <v>0</v>
          </cell>
          <cell r="V522">
            <v>0</v>
          </cell>
          <cell r="W522">
            <v>0</v>
          </cell>
        </row>
        <row r="523">
          <cell r="Q523">
            <v>19</v>
          </cell>
          <cell r="R523">
            <v>4.4562995110324723E-2</v>
          </cell>
          <cell r="S523">
            <v>0.9554370048896752</v>
          </cell>
          <cell r="T523">
            <v>0</v>
          </cell>
          <cell r="U523">
            <v>0</v>
          </cell>
          <cell r="V523">
            <v>0</v>
          </cell>
          <cell r="W523">
            <v>0</v>
          </cell>
        </row>
        <row r="524">
          <cell r="Q524">
            <v>18</v>
          </cell>
          <cell r="R524">
            <v>4.2099627745835075E-2</v>
          </cell>
          <cell r="S524">
            <v>0.95790037225416491</v>
          </cell>
          <cell r="T524">
            <v>0</v>
          </cell>
          <cell r="U524">
            <v>0</v>
          </cell>
          <cell r="V524">
            <v>0</v>
          </cell>
          <cell r="W524">
            <v>0</v>
          </cell>
        </row>
        <row r="525">
          <cell r="Q525">
            <v>17</v>
          </cell>
          <cell r="R525">
            <v>3.9636260381345427E-2</v>
          </cell>
          <cell r="S525">
            <v>0.96036373961865462</v>
          </cell>
          <cell r="T525">
            <v>0</v>
          </cell>
          <cell r="U525">
            <v>0</v>
          </cell>
          <cell r="V525">
            <v>0</v>
          </cell>
          <cell r="W525">
            <v>0</v>
          </cell>
        </row>
        <row r="526">
          <cell r="Q526">
            <v>16</v>
          </cell>
          <cell r="R526">
            <v>3.7172893016855779E-2</v>
          </cell>
          <cell r="S526">
            <v>0.96282710698314422</v>
          </cell>
          <cell r="T526">
            <v>0</v>
          </cell>
          <cell r="U526">
            <v>0</v>
          </cell>
          <cell r="V526">
            <v>0</v>
          </cell>
          <cell r="W526">
            <v>0</v>
          </cell>
        </row>
        <row r="527">
          <cell r="Q527">
            <v>15</v>
          </cell>
          <cell r="R527">
            <v>3.4709525652366131E-2</v>
          </cell>
          <cell r="S527">
            <v>0.96529047434763382</v>
          </cell>
          <cell r="T527">
            <v>0</v>
          </cell>
          <cell r="U527">
            <v>0</v>
          </cell>
          <cell r="V527">
            <v>0</v>
          </cell>
          <cell r="W527">
            <v>0</v>
          </cell>
        </row>
        <row r="528">
          <cell r="Q528">
            <v>14</v>
          </cell>
          <cell r="R528">
            <v>3.2246158287876484E-2</v>
          </cell>
          <cell r="S528">
            <v>0.96775384171212353</v>
          </cell>
          <cell r="T528">
            <v>0</v>
          </cell>
          <cell r="U528">
            <v>0</v>
          </cell>
          <cell r="V528">
            <v>0</v>
          </cell>
          <cell r="W528">
            <v>0</v>
          </cell>
        </row>
        <row r="529">
          <cell r="Q529">
            <v>13</v>
          </cell>
          <cell r="R529">
            <v>2.9782790923386832E-2</v>
          </cell>
          <cell r="S529">
            <v>0.97021720907661324</v>
          </cell>
          <cell r="T529">
            <v>0</v>
          </cell>
          <cell r="U529">
            <v>0</v>
          </cell>
          <cell r="V529">
            <v>0</v>
          </cell>
          <cell r="W529">
            <v>0</v>
          </cell>
        </row>
        <row r="530">
          <cell r="Q530">
            <v>12</v>
          </cell>
          <cell r="R530">
            <v>2.7319423558897184E-2</v>
          </cell>
          <cell r="S530">
            <v>0.97268057644110284</v>
          </cell>
          <cell r="T530">
            <v>0</v>
          </cell>
          <cell r="U530">
            <v>0</v>
          </cell>
          <cell r="V530">
            <v>0</v>
          </cell>
          <cell r="W530">
            <v>0</v>
          </cell>
        </row>
        <row r="531">
          <cell r="Q531">
            <v>11</v>
          </cell>
          <cell r="R531">
            <v>2.5042804928989085E-2</v>
          </cell>
          <cell r="S531">
            <v>0.97495719507101097</v>
          </cell>
          <cell r="T531">
            <v>0</v>
          </cell>
          <cell r="U531">
            <v>0</v>
          </cell>
          <cell r="V531">
            <v>0</v>
          </cell>
          <cell r="W531">
            <v>0</v>
          </cell>
        </row>
        <row r="532">
          <cell r="Q532">
            <v>10</v>
          </cell>
          <cell r="R532">
            <v>2.2766186299080986E-2</v>
          </cell>
          <cell r="S532">
            <v>0.977233813700919</v>
          </cell>
          <cell r="T532">
            <v>0</v>
          </cell>
          <cell r="U532">
            <v>0</v>
          </cell>
          <cell r="V532">
            <v>0</v>
          </cell>
          <cell r="W532">
            <v>0</v>
          </cell>
        </row>
        <row r="533">
          <cell r="Q533">
            <v>9</v>
          </cell>
          <cell r="R533">
            <v>2.0489567669172887E-2</v>
          </cell>
          <cell r="S533">
            <v>0.97951043233082713</v>
          </cell>
          <cell r="T533">
            <v>0</v>
          </cell>
          <cell r="U533">
            <v>0</v>
          </cell>
          <cell r="V533">
            <v>0</v>
          </cell>
          <cell r="W533">
            <v>0</v>
          </cell>
        </row>
        <row r="534">
          <cell r="Q534">
            <v>8</v>
          </cell>
          <cell r="R534">
            <v>1.8212949039264788E-2</v>
          </cell>
          <cell r="S534">
            <v>0.98178705096073526</v>
          </cell>
          <cell r="T534">
            <v>0</v>
          </cell>
          <cell r="U534">
            <v>0</v>
          </cell>
          <cell r="V534">
            <v>0</v>
          </cell>
          <cell r="W534">
            <v>0</v>
          </cell>
        </row>
        <row r="535">
          <cell r="Q535">
            <v>7</v>
          </cell>
          <cell r="R535">
            <v>1.5936330409356689E-2</v>
          </cell>
          <cell r="S535">
            <v>0.98406366959064329</v>
          </cell>
          <cell r="T535">
            <v>0</v>
          </cell>
          <cell r="U535">
            <v>0</v>
          </cell>
          <cell r="V535">
            <v>0</v>
          </cell>
          <cell r="W535">
            <v>0</v>
          </cell>
        </row>
        <row r="536">
          <cell r="Q536">
            <v>6</v>
          </cell>
          <cell r="R536">
            <v>1.3659711779448592E-2</v>
          </cell>
          <cell r="S536">
            <v>0.98634028822055142</v>
          </cell>
          <cell r="T536">
            <v>0</v>
          </cell>
          <cell r="U536">
            <v>0</v>
          </cell>
          <cell r="V536">
            <v>0</v>
          </cell>
          <cell r="W536">
            <v>0</v>
          </cell>
        </row>
        <row r="537">
          <cell r="Q537">
            <v>5</v>
          </cell>
          <cell r="R537">
            <v>1.1383093149540493E-2</v>
          </cell>
          <cell r="S537">
            <v>0.98861690685045955</v>
          </cell>
          <cell r="T537">
            <v>0</v>
          </cell>
          <cell r="U537">
            <v>0</v>
          </cell>
          <cell r="V537">
            <v>0</v>
          </cell>
          <cell r="W537">
            <v>0</v>
          </cell>
        </row>
        <row r="538">
          <cell r="Q538">
            <v>4</v>
          </cell>
          <cell r="R538">
            <v>9.1064745196323942E-3</v>
          </cell>
          <cell r="S538">
            <v>0.99089352548036758</v>
          </cell>
          <cell r="T538">
            <v>0</v>
          </cell>
          <cell r="U538">
            <v>0</v>
          </cell>
          <cell r="V538">
            <v>0</v>
          </cell>
          <cell r="W538">
            <v>0</v>
          </cell>
        </row>
        <row r="539">
          <cell r="Q539">
            <v>3</v>
          </cell>
          <cell r="R539">
            <v>6.8298558897242961E-3</v>
          </cell>
          <cell r="S539">
            <v>0.99317014411027571</v>
          </cell>
          <cell r="T539">
            <v>0</v>
          </cell>
          <cell r="U539">
            <v>0</v>
          </cell>
          <cell r="V539">
            <v>0</v>
          </cell>
          <cell r="W539">
            <v>0</v>
          </cell>
        </row>
        <row r="540">
          <cell r="Q540">
            <v>2</v>
          </cell>
          <cell r="R540">
            <v>4.5532372598161971E-3</v>
          </cell>
          <cell r="S540">
            <v>0.99544676274018384</v>
          </cell>
          <cell r="T540">
            <v>0</v>
          </cell>
          <cell r="U540">
            <v>0</v>
          </cell>
          <cell r="V540">
            <v>0</v>
          </cell>
          <cell r="W540">
            <v>0</v>
          </cell>
        </row>
        <row r="541">
          <cell r="Q541">
            <v>1</v>
          </cell>
          <cell r="R541">
            <v>2.2766186299080986E-3</v>
          </cell>
          <cell r="S541">
            <v>0.99772338137009187</v>
          </cell>
          <cell r="T541">
            <v>0</v>
          </cell>
          <cell r="U541">
            <v>0</v>
          </cell>
          <cell r="V541">
            <v>0</v>
          </cell>
          <cell r="W541">
            <v>0</v>
          </cell>
        </row>
        <row r="542">
          <cell r="Q542">
            <v>0</v>
          </cell>
          <cell r="R542">
            <v>0</v>
          </cell>
          <cell r="S542">
            <v>1</v>
          </cell>
          <cell r="T542">
            <v>0</v>
          </cell>
          <cell r="U542">
            <v>0</v>
          </cell>
          <cell r="V542">
            <v>0</v>
          </cell>
          <cell r="W542">
            <v>0</v>
          </cell>
        </row>
      </sheetData>
      <sheetData sheetId="8" refreshError="1">
        <row r="1">
          <cell r="Q1" t="str">
            <v>Month</v>
          </cell>
          <cell r="R1" t="str">
            <v>Allianz Strategy Select 75</v>
          </cell>
          <cell r="S1" t="str">
            <v>Allianz Strategy Select 30</v>
          </cell>
          <cell r="T1" t="str">
            <v>Allianz Advanced Fixed Income Short Duration</v>
          </cell>
        </row>
        <row r="2">
          <cell r="Q2">
            <v>540</v>
          </cell>
          <cell r="R2">
            <v>0.77777777777777779</v>
          </cell>
          <cell r="S2">
            <v>0.22222222222222221</v>
          </cell>
          <cell r="T2">
            <v>0</v>
          </cell>
        </row>
        <row r="3">
          <cell r="Q3">
            <v>539</v>
          </cell>
          <cell r="R3">
            <v>0.77777777777777779</v>
          </cell>
          <cell r="S3">
            <v>0.22222222222222221</v>
          </cell>
          <cell r="T3">
            <v>0</v>
          </cell>
        </row>
        <row r="4">
          <cell r="Q4">
            <v>538</v>
          </cell>
          <cell r="R4">
            <v>0.77777777777777779</v>
          </cell>
          <cell r="S4">
            <v>0.22222222222222221</v>
          </cell>
          <cell r="T4">
            <v>0</v>
          </cell>
        </row>
        <row r="5">
          <cell r="Q5">
            <v>537</v>
          </cell>
          <cell r="R5">
            <v>0.77777777777777779</v>
          </cell>
          <cell r="S5">
            <v>0.22222222222222221</v>
          </cell>
          <cell r="T5">
            <v>0</v>
          </cell>
        </row>
        <row r="6">
          <cell r="Q6">
            <v>536</v>
          </cell>
          <cell r="R6">
            <v>0.77777777777777779</v>
          </cell>
          <cell r="S6">
            <v>0.22222222222222221</v>
          </cell>
          <cell r="T6">
            <v>0</v>
          </cell>
        </row>
        <row r="7">
          <cell r="Q7">
            <v>535</v>
          </cell>
          <cell r="R7">
            <v>0.77777777777777779</v>
          </cell>
          <cell r="S7">
            <v>0.22222222222222221</v>
          </cell>
          <cell r="T7">
            <v>0</v>
          </cell>
        </row>
        <row r="8">
          <cell r="Q8">
            <v>534</v>
          </cell>
          <cell r="R8">
            <v>0.77777777777777779</v>
          </cell>
          <cell r="S8">
            <v>0.22222222222222221</v>
          </cell>
          <cell r="T8">
            <v>0</v>
          </cell>
        </row>
        <row r="9">
          <cell r="Q9">
            <v>533</v>
          </cell>
          <cell r="R9">
            <v>0.77777777777777779</v>
          </cell>
          <cell r="S9">
            <v>0.22222222222222221</v>
          </cell>
          <cell r="T9">
            <v>0</v>
          </cell>
        </row>
        <row r="10">
          <cell r="Q10">
            <v>532</v>
          </cell>
          <cell r="R10">
            <v>0.77777777777777779</v>
          </cell>
          <cell r="S10">
            <v>0.22222222222222221</v>
          </cell>
          <cell r="T10">
            <v>0</v>
          </cell>
        </row>
        <row r="11">
          <cell r="Q11">
            <v>531</v>
          </cell>
          <cell r="R11">
            <v>0.77777777777777779</v>
          </cell>
          <cell r="S11">
            <v>0.22222222222222221</v>
          </cell>
          <cell r="T11">
            <v>0</v>
          </cell>
        </row>
        <row r="12">
          <cell r="Q12">
            <v>530</v>
          </cell>
          <cell r="R12">
            <v>0.77777777777777779</v>
          </cell>
          <cell r="S12">
            <v>0.22222222222222221</v>
          </cell>
          <cell r="T12">
            <v>0</v>
          </cell>
        </row>
        <row r="13">
          <cell r="Q13">
            <v>529</v>
          </cell>
          <cell r="R13">
            <v>0.77777777777777779</v>
          </cell>
          <cell r="S13">
            <v>0.22222222222222221</v>
          </cell>
          <cell r="T13">
            <v>0</v>
          </cell>
        </row>
        <row r="14">
          <cell r="Q14">
            <v>528</v>
          </cell>
          <cell r="R14">
            <v>0.77777777777777779</v>
          </cell>
          <cell r="S14">
            <v>0.22222222222222221</v>
          </cell>
          <cell r="T14">
            <v>0</v>
          </cell>
        </row>
        <row r="15">
          <cell r="Q15">
            <v>527</v>
          </cell>
          <cell r="R15">
            <v>0.77777777777777779</v>
          </cell>
          <cell r="S15">
            <v>0.22222222222222221</v>
          </cell>
          <cell r="T15">
            <v>0</v>
          </cell>
        </row>
        <row r="16">
          <cell r="Q16">
            <v>526</v>
          </cell>
          <cell r="R16">
            <v>0.77777777777777779</v>
          </cell>
          <cell r="S16">
            <v>0.22222222222222221</v>
          </cell>
          <cell r="T16">
            <v>0</v>
          </cell>
        </row>
        <row r="17">
          <cell r="Q17">
            <v>525</v>
          </cell>
          <cell r="R17">
            <v>0.77777777777777779</v>
          </cell>
          <cell r="S17">
            <v>0.22222222222222221</v>
          </cell>
          <cell r="T17">
            <v>0</v>
          </cell>
        </row>
        <row r="18">
          <cell r="Q18">
            <v>524</v>
          </cell>
          <cell r="R18">
            <v>0.77777777777777779</v>
          </cell>
          <cell r="S18">
            <v>0.22222222222222221</v>
          </cell>
          <cell r="T18">
            <v>0</v>
          </cell>
        </row>
        <row r="19">
          <cell r="Q19">
            <v>523</v>
          </cell>
          <cell r="R19">
            <v>0.77777777777777779</v>
          </cell>
          <cell r="S19">
            <v>0.22222222222222221</v>
          </cell>
          <cell r="T19">
            <v>0</v>
          </cell>
        </row>
        <row r="20">
          <cell r="Q20">
            <v>522</v>
          </cell>
          <cell r="R20">
            <v>0.77777777777777779</v>
          </cell>
          <cell r="S20">
            <v>0.22222222222222221</v>
          </cell>
          <cell r="T20">
            <v>0</v>
          </cell>
        </row>
        <row r="21">
          <cell r="Q21">
            <v>521</v>
          </cell>
          <cell r="R21">
            <v>0.77777777777777779</v>
          </cell>
          <cell r="S21">
            <v>0.22222222222222221</v>
          </cell>
          <cell r="T21">
            <v>0</v>
          </cell>
        </row>
        <row r="22">
          <cell r="Q22">
            <v>520</v>
          </cell>
          <cell r="R22">
            <v>0.77777777777777779</v>
          </cell>
          <cell r="S22">
            <v>0.22222222222222221</v>
          </cell>
          <cell r="T22">
            <v>0</v>
          </cell>
        </row>
        <row r="23">
          <cell r="Q23">
            <v>519</v>
          </cell>
          <cell r="R23">
            <v>0.77777777777777779</v>
          </cell>
          <cell r="S23">
            <v>0.22222222222222221</v>
          </cell>
          <cell r="T23">
            <v>0</v>
          </cell>
        </row>
        <row r="24">
          <cell r="Q24">
            <v>518</v>
          </cell>
          <cell r="R24">
            <v>0.77777777777777779</v>
          </cell>
          <cell r="S24">
            <v>0.22222222222222221</v>
          </cell>
          <cell r="T24">
            <v>0</v>
          </cell>
        </row>
        <row r="25">
          <cell r="Q25">
            <v>517</v>
          </cell>
          <cell r="R25">
            <v>0.77777777777777779</v>
          </cell>
          <cell r="S25">
            <v>0.22222222222222221</v>
          </cell>
          <cell r="T25">
            <v>0</v>
          </cell>
        </row>
        <row r="26">
          <cell r="Q26">
            <v>516</v>
          </cell>
          <cell r="R26">
            <v>0.77777777777777779</v>
          </cell>
          <cell r="S26">
            <v>0.22222222222222221</v>
          </cell>
          <cell r="T26">
            <v>0</v>
          </cell>
        </row>
        <row r="27">
          <cell r="Q27">
            <v>515</v>
          </cell>
          <cell r="R27">
            <v>0.77777777777777779</v>
          </cell>
          <cell r="S27">
            <v>0.22222222222222221</v>
          </cell>
          <cell r="T27">
            <v>0</v>
          </cell>
        </row>
        <row r="28">
          <cell r="Q28">
            <v>514</v>
          </cell>
          <cell r="R28">
            <v>0.77777777777777779</v>
          </cell>
          <cell r="S28">
            <v>0.22222222222222221</v>
          </cell>
          <cell r="T28">
            <v>0</v>
          </cell>
        </row>
        <row r="29">
          <cell r="Q29">
            <v>513</v>
          </cell>
          <cell r="R29">
            <v>0.77777777777777779</v>
          </cell>
          <cell r="S29">
            <v>0.22222222222222221</v>
          </cell>
          <cell r="T29">
            <v>0</v>
          </cell>
        </row>
        <row r="30">
          <cell r="Q30">
            <v>512</v>
          </cell>
          <cell r="R30">
            <v>0.77777777777777779</v>
          </cell>
          <cell r="S30">
            <v>0.22222222222222221</v>
          </cell>
          <cell r="T30">
            <v>0</v>
          </cell>
        </row>
        <row r="31">
          <cell r="Q31">
            <v>511</v>
          </cell>
          <cell r="R31">
            <v>0.77777777777777779</v>
          </cell>
          <cell r="S31">
            <v>0.22222222222222221</v>
          </cell>
          <cell r="T31">
            <v>0</v>
          </cell>
        </row>
        <row r="32">
          <cell r="Q32">
            <v>510</v>
          </cell>
          <cell r="R32">
            <v>0.77777777777777779</v>
          </cell>
          <cell r="S32">
            <v>0.22222222222222221</v>
          </cell>
          <cell r="T32">
            <v>0</v>
          </cell>
        </row>
        <row r="33">
          <cell r="Q33">
            <v>509</v>
          </cell>
          <cell r="R33">
            <v>0.77777777777777779</v>
          </cell>
          <cell r="S33">
            <v>0.22222222222222221</v>
          </cell>
          <cell r="T33">
            <v>0</v>
          </cell>
        </row>
        <row r="34">
          <cell r="Q34">
            <v>508</v>
          </cell>
          <cell r="R34">
            <v>0.77777777777777779</v>
          </cell>
          <cell r="S34">
            <v>0.22222222222222221</v>
          </cell>
          <cell r="T34">
            <v>0</v>
          </cell>
        </row>
        <row r="35">
          <cell r="Q35">
            <v>507</v>
          </cell>
          <cell r="R35">
            <v>0.77777777777777779</v>
          </cell>
          <cell r="S35">
            <v>0.22222222222222221</v>
          </cell>
          <cell r="T35">
            <v>0</v>
          </cell>
        </row>
        <row r="36">
          <cell r="Q36">
            <v>506</v>
          </cell>
          <cell r="R36">
            <v>0.77777777777777779</v>
          </cell>
          <cell r="S36">
            <v>0.22222222222222221</v>
          </cell>
          <cell r="T36">
            <v>0</v>
          </cell>
        </row>
        <row r="37">
          <cell r="Q37">
            <v>505</v>
          </cell>
          <cell r="R37">
            <v>0.77777777777777779</v>
          </cell>
          <cell r="S37">
            <v>0.22222222222222221</v>
          </cell>
          <cell r="T37">
            <v>0</v>
          </cell>
        </row>
        <row r="38">
          <cell r="Q38">
            <v>504</v>
          </cell>
          <cell r="R38">
            <v>0.77777777777777779</v>
          </cell>
          <cell r="S38">
            <v>0.22222222222222221</v>
          </cell>
          <cell r="T38">
            <v>0</v>
          </cell>
        </row>
        <row r="39">
          <cell r="Q39">
            <v>503</v>
          </cell>
          <cell r="R39">
            <v>0.77777777777777779</v>
          </cell>
          <cell r="S39">
            <v>0.22222222222222221</v>
          </cell>
          <cell r="T39">
            <v>0</v>
          </cell>
        </row>
        <row r="40">
          <cell r="Q40">
            <v>502</v>
          </cell>
          <cell r="R40">
            <v>0.77777777777777779</v>
          </cell>
          <cell r="S40">
            <v>0.22222222222222221</v>
          </cell>
          <cell r="T40">
            <v>0</v>
          </cell>
        </row>
        <row r="41">
          <cell r="Q41">
            <v>501</v>
          </cell>
          <cell r="R41">
            <v>0.77777777777777779</v>
          </cell>
          <cell r="S41">
            <v>0.22222222222222221</v>
          </cell>
          <cell r="T41">
            <v>0</v>
          </cell>
        </row>
        <row r="42">
          <cell r="Q42">
            <v>500</v>
          </cell>
          <cell r="R42">
            <v>0.77777777777777779</v>
          </cell>
          <cell r="S42">
            <v>0.22222222222222221</v>
          </cell>
          <cell r="T42">
            <v>0</v>
          </cell>
        </row>
        <row r="43">
          <cell r="Q43">
            <v>499</v>
          </cell>
          <cell r="R43">
            <v>0.77777777777777779</v>
          </cell>
          <cell r="S43">
            <v>0.22222222222222221</v>
          </cell>
          <cell r="T43">
            <v>0</v>
          </cell>
        </row>
        <row r="44">
          <cell r="Q44">
            <v>498</v>
          </cell>
          <cell r="R44">
            <v>0.77777777777777779</v>
          </cell>
          <cell r="S44">
            <v>0.22222222222222221</v>
          </cell>
          <cell r="T44">
            <v>0</v>
          </cell>
        </row>
        <row r="45">
          <cell r="Q45">
            <v>497</v>
          </cell>
          <cell r="R45">
            <v>0.77777777777777779</v>
          </cell>
          <cell r="S45">
            <v>0.22222222222222221</v>
          </cell>
          <cell r="T45">
            <v>0</v>
          </cell>
        </row>
        <row r="46">
          <cell r="Q46">
            <v>496</v>
          </cell>
          <cell r="R46">
            <v>0.77777777777777779</v>
          </cell>
          <cell r="S46">
            <v>0.22222222222222221</v>
          </cell>
          <cell r="T46">
            <v>0</v>
          </cell>
        </row>
        <row r="47">
          <cell r="Q47">
            <v>495</v>
          </cell>
          <cell r="R47">
            <v>0.77777777777777779</v>
          </cell>
          <cell r="S47">
            <v>0.22222222222222221</v>
          </cell>
          <cell r="T47">
            <v>0</v>
          </cell>
        </row>
        <row r="48">
          <cell r="Q48">
            <v>494</v>
          </cell>
          <cell r="R48">
            <v>0.77777777777777779</v>
          </cell>
          <cell r="S48">
            <v>0.22222222222222221</v>
          </cell>
          <cell r="T48">
            <v>0</v>
          </cell>
        </row>
        <row r="49">
          <cell r="Q49">
            <v>493</v>
          </cell>
          <cell r="R49">
            <v>0.77777777777777779</v>
          </cell>
          <cell r="S49">
            <v>0.22222222222222221</v>
          </cell>
          <cell r="T49">
            <v>0</v>
          </cell>
        </row>
        <row r="50">
          <cell r="Q50">
            <v>492</v>
          </cell>
          <cell r="R50">
            <v>0.77777777777777779</v>
          </cell>
          <cell r="S50">
            <v>0.22222222222222221</v>
          </cell>
          <cell r="T50">
            <v>0</v>
          </cell>
        </row>
        <row r="51">
          <cell r="Q51">
            <v>491</v>
          </cell>
          <cell r="R51">
            <v>0.77777777777777779</v>
          </cell>
          <cell r="S51">
            <v>0.22222222222222221</v>
          </cell>
          <cell r="T51">
            <v>0</v>
          </cell>
        </row>
        <row r="52">
          <cell r="Q52">
            <v>490</v>
          </cell>
          <cell r="R52">
            <v>0.77777777777777779</v>
          </cell>
          <cell r="S52">
            <v>0.22222222222222221</v>
          </cell>
          <cell r="T52">
            <v>0</v>
          </cell>
        </row>
        <row r="53">
          <cell r="Q53">
            <v>489</v>
          </cell>
          <cell r="R53">
            <v>0.77777777777777779</v>
          </cell>
          <cell r="S53">
            <v>0.22222222222222221</v>
          </cell>
          <cell r="T53">
            <v>0</v>
          </cell>
        </row>
        <row r="54">
          <cell r="Q54">
            <v>488</v>
          </cell>
          <cell r="R54">
            <v>0.77777777777777779</v>
          </cell>
          <cell r="S54">
            <v>0.22222222222222221</v>
          </cell>
          <cell r="T54">
            <v>0</v>
          </cell>
        </row>
        <row r="55">
          <cell r="Q55">
            <v>487</v>
          </cell>
          <cell r="R55">
            <v>0.77777777777777779</v>
          </cell>
          <cell r="S55">
            <v>0.22222222222222221</v>
          </cell>
          <cell r="T55">
            <v>0</v>
          </cell>
        </row>
        <row r="56">
          <cell r="Q56">
            <v>486</v>
          </cell>
          <cell r="R56">
            <v>0.77777777777777779</v>
          </cell>
          <cell r="S56">
            <v>0.22222222222222221</v>
          </cell>
          <cell r="T56">
            <v>0</v>
          </cell>
        </row>
        <row r="57">
          <cell r="Q57">
            <v>485</v>
          </cell>
          <cell r="R57">
            <v>0.77777777777777779</v>
          </cell>
          <cell r="S57">
            <v>0.22222222222222221</v>
          </cell>
          <cell r="T57">
            <v>0</v>
          </cell>
        </row>
        <row r="58">
          <cell r="Q58">
            <v>484</v>
          </cell>
          <cell r="R58">
            <v>0.77777777777777779</v>
          </cell>
          <cell r="S58">
            <v>0.22222222222222221</v>
          </cell>
          <cell r="T58">
            <v>0</v>
          </cell>
        </row>
        <row r="59">
          <cell r="Q59">
            <v>483</v>
          </cell>
          <cell r="R59">
            <v>0.77777777777777779</v>
          </cell>
          <cell r="S59">
            <v>0.22222222222222221</v>
          </cell>
          <cell r="T59">
            <v>0</v>
          </cell>
        </row>
        <row r="60">
          <cell r="Q60">
            <v>482</v>
          </cell>
          <cell r="R60">
            <v>0.77777777777777779</v>
          </cell>
          <cell r="S60">
            <v>0.22222222222222221</v>
          </cell>
          <cell r="T60">
            <v>0</v>
          </cell>
        </row>
        <row r="61">
          <cell r="Q61">
            <v>481</v>
          </cell>
          <cell r="R61">
            <v>0.77777777777777779</v>
          </cell>
          <cell r="S61">
            <v>0.22222222222222221</v>
          </cell>
          <cell r="T61">
            <v>0</v>
          </cell>
        </row>
        <row r="62">
          <cell r="Q62">
            <v>480</v>
          </cell>
          <cell r="R62">
            <v>0.77777777777777779</v>
          </cell>
          <cell r="S62">
            <v>0.22222222222222221</v>
          </cell>
          <cell r="T62">
            <v>0</v>
          </cell>
        </row>
        <row r="63">
          <cell r="Q63">
            <v>479</v>
          </cell>
          <cell r="R63">
            <v>0.77777777777777779</v>
          </cell>
          <cell r="S63">
            <v>0.22222222222222221</v>
          </cell>
          <cell r="T63">
            <v>0</v>
          </cell>
        </row>
        <row r="64">
          <cell r="Q64">
            <v>478</v>
          </cell>
          <cell r="R64">
            <v>0.77777777777777779</v>
          </cell>
          <cell r="S64">
            <v>0.22222222222222221</v>
          </cell>
          <cell r="T64">
            <v>0</v>
          </cell>
        </row>
        <row r="65">
          <cell r="Q65">
            <v>477</v>
          </cell>
          <cell r="R65">
            <v>0.77777777777777779</v>
          </cell>
          <cell r="S65">
            <v>0.22222222222222221</v>
          </cell>
          <cell r="T65">
            <v>0</v>
          </cell>
        </row>
        <row r="66">
          <cell r="Q66">
            <v>476</v>
          </cell>
          <cell r="R66">
            <v>0.77777777777777779</v>
          </cell>
          <cell r="S66">
            <v>0.22222222222222221</v>
          </cell>
          <cell r="T66">
            <v>0</v>
          </cell>
        </row>
        <row r="67">
          <cell r="Q67">
            <v>475</v>
          </cell>
          <cell r="R67">
            <v>0.77777777777777779</v>
          </cell>
          <cell r="S67">
            <v>0.22222222222222221</v>
          </cell>
          <cell r="T67">
            <v>0</v>
          </cell>
        </row>
        <row r="68">
          <cell r="Q68">
            <v>474</v>
          </cell>
          <cell r="R68">
            <v>0.77777777777777779</v>
          </cell>
          <cell r="S68">
            <v>0.22222222222222221</v>
          </cell>
          <cell r="T68">
            <v>0</v>
          </cell>
        </row>
        <row r="69">
          <cell r="Q69">
            <v>473</v>
          </cell>
          <cell r="R69">
            <v>0.77777777777777779</v>
          </cell>
          <cell r="S69">
            <v>0.22222222222222221</v>
          </cell>
          <cell r="T69">
            <v>0</v>
          </cell>
        </row>
        <row r="70">
          <cell r="Q70">
            <v>472</v>
          </cell>
          <cell r="R70">
            <v>0.77777777777777779</v>
          </cell>
          <cell r="S70">
            <v>0.22222222222222221</v>
          </cell>
          <cell r="T70">
            <v>0</v>
          </cell>
        </row>
        <row r="71">
          <cell r="Q71">
            <v>471</v>
          </cell>
          <cell r="R71">
            <v>0.77777777777777779</v>
          </cell>
          <cell r="S71">
            <v>0.22222222222222221</v>
          </cell>
          <cell r="T71">
            <v>0</v>
          </cell>
        </row>
        <row r="72">
          <cell r="Q72">
            <v>470</v>
          </cell>
          <cell r="R72">
            <v>0.77777777777777779</v>
          </cell>
          <cell r="S72">
            <v>0.22222222222222221</v>
          </cell>
          <cell r="T72">
            <v>0</v>
          </cell>
        </row>
        <row r="73">
          <cell r="Q73">
            <v>469</v>
          </cell>
          <cell r="R73">
            <v>0.77777777777777779</v>
          </cell>
          <cell r="S73">
            <v>0.22222222222222221</v>
          </cell>
          <cell r="T73">
            <v>0</v>
          </cell>
        </row>
        <row r="74">
          <cell r="Q74">
            <v>468</v>
          </cell>
          <cell r="R74">
            <v>0.77777777777777779</v>
          </cell>
          <cell r="S74">
            <v>0.22222222222222221</v>
          </cell>
          <cell r="T74">
            <v>0</v>
          </cell>
        </row>
        <row r="75">
          <cell r="Q75">
            <v>467</v>
          </cell>
          <cell r="R75">
            <v>0.77777777777777779</v>
          </cell>
          <cell r="S75">
            <v>0.22222222222222221</v>
          </cell>
          <cell r="T75">
            <v>0</v>
          </cell>
        </row>
        <row r="76">
          <cell r="Q76">
            <v>466</v>
          </cell>
          <cell r="R76">
            <v>0.77777777777777779</v>
          </cell>
          <cell r="S76">
            <v>0.22222222222222221</v>
          </cell>
          <cell r="T76">
            <v>0</v>
          </cell>
        </row>
        <row r="77">
          <cell r="Q77">
            <v>465</v>
          </cell>
          <cell r="R77">
            <v>0.77777777777777779</v>
          </cell>
          <cell r="S77">
            <v>0.22222222222222221</v>
          </cell>
          <cell r="T77">
            <v>0</v>
          </cell>
        </row>
        <row r="78">
          <cell r="Q78">
            <v>464</v>
          </cell>
          <cell r="R78">
            <v>0.77777777777777779</v>
          </cell>
          <cell r="S78">
            <v>0.22222222222222221</v>
          </cell>
          <cell r="T78">
            <v>0</v>
          </cell>
        </row>
        <row r="79">
          <cell r="Q79">
            <v>463</v>
          </cell>
          <cell r="R79">
            <v>0.77777777777777779</v>
          </cell>
          <cell r="S79">
            <v>0.22222222222222221</v>
          </cell>
          <cell r="T79">
            <v>0</v>
          </cell>
        </row>
        <row r="80">
          <cell r="Q80">
            <v>462</v>
          </cell>
          <cell r="R80">
            <v>0.77777777777777779</v>
          </cell>
          <cell r="S80">
            <v>0.22222222222222221</v>
          </cell>
          <cell r="T80">
            <v>0</v>
          </cell>
        </row>
        <row r="81">
          <cell r="Q81">
            <v>461</v>
          </cell>
          <cell r="R81">
            <v>0.77777777777777779</v>
          </cell>
          <cell r="S81">
            <v>0.22222222222222221</v>
          </cell>
          <cell r="T81">
            <v>0</v>
          </cell>
        </row>
        <row r="82">
          <cell r="Q82">
            <v>460</v>
          </cell>
          <cell r="R82">
            <v>0.77777777777777779</v>
          </cell>
          <cell r="S82">
            <v>0.22222222222222221</v>
          </cell>
          <cell r="T82">
            <v>0</v>
          </cell>
        </row>
        <row r="83">
          <cell r="Q83">
            <v>459</v>
          </cell>
          <cell r="R83">
            <v>0.77777777777777779</v>
          </cell>
          <cell r="S83">
            <v>0.22222222222222221</v>
          </cell>
          <cell r="T83">
            <v>0</v>
          </cell>
        </row>
        <row r="84">
          <cell r="Q84">
            <v>458</v>
          </cell>
          <cell r="R84">
            <v>0.77777777777777779</v>
          </cell>
          <cell r="S84">
            <v>0.22222222222222221</v>
          </cell>
          <cell r="T84">
            <v>0</v>
          </cell>
        </row>
        <row r="85">
          <cell r="Q85">
            <v>457</v>
          </cell>
          <cell r="R85">
            <v>0.77777777777777779</v>
          </cell>
          <cell r="S85">
            <v>0.22222222222222221</v>
          </cell>
          <cell r="T85">
            <v>0</v>
          </cell>
        </row>
        <row r="86">
          <cell r="Q86">
            <v>456</v>
          </cell>
          <cell r="R86">
            <v>0.77777777777777779</v>
          </cell>
          <cell r="S86">
            <v>0.22222222222222221</v>
          </cell>
          <cell r="T86">
            <v>0</v>
          </cell>
        </row>
        <row r="87">
          <cell r="Q87">
            <v>455</v>
          </cell>
          <cell r="R87">
            <v>0.77777777777777779</v>
          </cell>
          <cell r="S87">
            <v>0.22222222222222221</v>
          </cell>
          <cell r="T87">
            <v>0</v>
          </cell>
        </row>
        <row r="88">
          <cell r="Q88">
            <v>454</v>
          </cell>
          <cell r="R88">
            <v>0.77777777777777779</v>
          </cell>
          <cell r="S88">
            <v>0.22222222222222221</v>
          </cell>
          <cell r="T88">
            <v>0</v>
          </cell>
        </row>
        <row r="89">
          <cell r="Q89">
            <v>453</v>
          </cell>
          <cell r="R89">
            <v>0.77777777777777779</v>
          </cell>
          <cell r="S89">
            <v>0.22222222222222221</v>
          </cell>
          <cell r="T89">
            <v>0</v>
          </cell>
        </row>
        <row r="90">
          <cell r="Q90">
            <v>452</v>
          </cell>
          <cell r="R90">
            <v>0.77777777777777779</v>
          </cell>
          <cell r="S90">
            <v>0.22222222222222221</v>
          </cell>
          <cell r="T90">
            <v>0</v>
          </cell>
        </row>
        <row r="91">
          <cell r="Q91">
            <v>451</v>
          </cell>
          <cell r="R91">
            <v>0.77777777777777779</v>
          </cell>
          <cell r="S91">
            <v>0.22222222222222221</v>
          </cell>
          <cell r="T91">
            <v>0</v>
          </cell>
        </row>
        <row r="92">
          <cell r="Q92">
            <v>450</v>
          </cell>
          <cell r="R92">
            <v>0.77777777777777779</v>
          </cell>
          <cell r="S92">
            <v>0.22222222222222221</v>
          </cell>
          <cell r="T92">
            <v>0</v>
          </cell>
        </row>
        <row r="93">
          <cell r="Q93">
            <v>449</v>
          </cell>
          <cell r="R93">
            <v>0.77777777777777779</v>
          </cell>
          <cell r="S93">
            <v>0.22222222222222221</v>
          </cell>
          <cell r="T93">
            <v>0</v>
          </cell>
        </row>
        <row r="94">
          <cell r="Q94">
            <v>448</v>
          </cell>
          <cell r="R94">
            <v>0.77777777777777779</v>
          </cell>
          <cell r="S94">
            <v>0.22222222222222221</v>
          </cell>
          <cell r="T94">
            <v>0</v>
          </cell>
        </row>
        <row r="95">
          <cell r="Q95">
            <v>447</v>
          </cell>
          <cell r="R95">
            <v>0.77777777777777779</v>
          </cell>
          <cell r="S95">
            <v>0.22222222222222221</v>
          </cell>
          <cell r="T95">
            <v>0</v>
          </cell>
        </row>
        <row r="96">
          <cell r="Q96">
            <v>446</v>
          </cell>
          <cell r="R96">
            <v>0.77777777777777779</v>
          </cell>
          <cell r="S96">
            <v>0.22222222222222221</v>
          </cell>
          <cell r="T96">
            <v>0</v>
          </cell>
        </row>
        <row r="97">
          <cell r="Q97">
            <v>445</v>
          </cell>
          <cell r="R97">
            <v>0.77777777777777779</v>
          </cell>
          <cell r="S97">
            <v>0.22222222222222221</v>
          </cell>
          <cell r="T97">
            <v>0</v>
          </cell>
        </row>
        <row r="98">
          <cell r="Q98">
            <v>444</v>
          </cell>
          <cell r="R98">
            <v>0.77777777777777779</v>
          </cell>
          <cell r="S98">
            <v>0.22222222222222221</v>
          </cell>
          <cell r="T98">
            <v>0</v>
          </cell>
        </row>
        <row r="99">
          <cell r="Q99">
            <v>443</v>
          </cell>
          <cell r="R99">
            <v>0.77777777777777779</v>
          </cell>
          <cell r="S99">
            <v>0.22222222222222221</v>
          </cell>
          <cell r="T99">
            <v>0</v>
          </cell>
        </row>
        <row r="100">
          <cell r="Q100">
            <v>442</v>
          </cell>
          <cell r="R100">
            <v>0.77777777777777779</v>
          </cell>
          <cell r="S100">
            <v>0.22222222222222221</v>
          </cell>
          <cell r="T100">
            <v>0</v>
          </cell>
        </row>
        <row r="101">
          <cell r="Q101">
            <v>441</v>
          </cell>
          <cell r="R101">
            <v>0.77777777777777779</v>
          </cell>
          <cell r="S101">
            <v>0.22222222222222221</v>
          </cell>
          <cell r="T101">
            <v>0</v>
          </cell>
        </row>
        <row r="102">
          <cell r="Q102">
            <v>440</v>
          </cell>
          <cell r="R102">
            <v>0.77777777777777779</v>
          </cell>
          <cell r="S102">
            <v>0.22222222222222221</v>
          </cell>
          <cell r="T102">
            <v>0</v>
          </cell>
        </row>
        <row r="103">
          <cell r="Q103">
            <v>439</v>
          </cell>
          <cell r="R103">
            <v>0.77777777777777779</v>
          </cell>
          <cell r="S103">
            <v>0.22222222222222221</v>
          </cell>
          <cell r="T103">
            <v>0</v>
          </cell>
        </row>
        <row r="104">
          <cell r="Q104">
            <v>438</v>
          </cell>
          <cell r="R104">
            <v>0.77777777777777779</v>
          </cell>
          <cell r="S104">
            <v>0.22222222222222221</v>
          </cell>
          <cell r="T104">
            <v>0</v>
          </cell>
        </row>
        <row r="105">
          <cell r="Q105">
            <v>437</v>
          </cell>
          <cell r="R105">
            <v>0.77777777777777779</v>
          </cell>
          <cell r="S105">
            <v>0.22222222222222221</v>
          </cell>
          <cell r="T105">
            <v>0</v>
          </cell>
        </row>
        <row r="106">
          <cell r="Q106">
            <v>436</v>
          </cell>
          <cell r="R106">
            <v>0.77777777777777779</v>
          </cell>
          <cell r="S106">
            <v>0.22222222222222221</v>
          </cell>
          <cell r="T106">
            <v>0</v>
          </cell>
        </row>
        <row r="107">
          <cell r="Q107">
            <v>435</v>
          </cell>
          <cell r="R107">
            <v>0.77777777777777779</v>
          </cell>
          <cell r="S107">
            <v>0.22222222222222221</v>
          </cell>
          <cell r="T107">
            <v>0</v>
          </cell>
        </row>
        <row r="108">
          <cell r="Q108">
            <v>434</v>
          </cell>
          <cell r="R108">
            <v>0.77777777777777779</v>
          </cell>
          <cell r="S108">
            <v>0.22222222222222221</v>
          </cell>
          <cell r="T108">
            <v>0</v>
          </cell>
        </row>
        <row r="109">
          <cell r="Q109">
            <v>433</v>
          </cell>
          <cell r="R109">
            <v>0.77777777777777779</v>
          </cell>
          <cell r="S109">
            <v>0.22222222222222221</v>
          </cell>
          <cell r="T109">
            <v>0</v>
          </cell>
        </row>
        <row r="110">
          <cell r="Q110">
            <v>432</v>
          </cell>
          <cell r="R110">
            <v>0.77777777777777779</v>
          </cell>
          <cell r="S110">
            <v>0.22222222222222221</v>
          </cell>
          <cell r="T110">
            <v>0</v>
          </cell>
        </row>
        <row r="111">
          <cell r="Q111">
            <v>431</v>
          </cell>
          <cell r="R111">
            <v>0.77777777777777779</v>
          </cell>
          <cell r="S111">
            <v>0.22222222222222221</v>
          </cell>
          <cell r="T111">
            <v>0</v>
          </cell>
        </row>
        <row r="112">
          <cell r="Q112">
            <v>430</v>
          </cell>
          <cell r="R112">
            <v>0.77777777777777779</v>
          </cell>
          <cell r="S112">
            <v>0.22222222222222221</v>
          </cell>
          <cell r="T112">
            <v>0</v>
          </cell>
        </row>
        <row r="113">
          <cell r="Q113">
            <v>429</v>
          </cell>
          <cell r="R113">
            <v>0.77777777777777779</v>
          </cell>
          <cell r="S113">
            <v>0.22222222222222221</v>
          </cell>
          <cell r="T113">
            <v>0</v>
          </cell>
        </row>
        <row r="114">
          <cell r="Q114">
            <v>428</v>
          </cell>
          <cell r="R114">
            <v>0.77777777777777779</v>
          </cell>
          <cell r="S114">
            <v>0.22222222222222221</v>
          </cell>
          <cell r="T114">
            <v>0</v>
          </cell>
        </row>
        <row r="115">
          <cell r="Q115">
            <v>427</v>
          </cell>
          <cell r="R115">
            <v>0.77777777777777779</v>
          </cell>
          <cell r="S115">
            <v>0.22222222222222221</v>
          </cell>
          <cell r="T115">
            <v>0</v>
          </cell>
        </row>
        <row r="116">
          <cell r="Q116">
            <v>426</v>
          </cell>
          <cell r="R116">
            <v>0.77777777777777779</v>
          </cell>
          <cell r="S116">
            <v>0.22222222222222221</v>
          </cell>
          <cell r="T116">
            <v>0</v>
          </cell>
        </row>
        <row r="117">
          <cell r="Q117">
            <v>425</v>
          </cell>
          <cell r="R117">
            <v>0.77777777777777779</v>
          </cell>
          <cell r="S117">
            <v>0.22222222222222221</v>
          </cell>
          <cell r="T117">
            <v>0</v>
          </cell>
        </row>
        <row r="118">
          <cell r="Q118">
            <v>424</v>
          </cell>
          <cell r="R118">
            <v>0.77777777777777779</v>
          </cell>
          <cell r="S118">
            <v>0.22222222222222221</v>
          </cell>
          <cell r="T118">
            <v>0</v>
          </cell>
        </row>
        <row r="119">
          <cell r="Q119">
            <v>423</v>
          </cell>
          <cell r="R119">
            <v>0.77777777777777779</v>
          </cell>
          <cell r="S119">
            <v>0.22222222222222221</v>
          </cell>
          <cell r="T119">
            <v>0</v>
          </cell>
        </row>
        <row r="120">
          <cell r="Q120">
            <v>422</v>
          </cell>
          <cell r="R120">
            <v>0.77777777777777779</v>
          </cell>
          <cell r="S120">
            <v>0.22222222222222221</v>
          </cell>
          <cell r="T120">
            <v>0</v>
          </cell>
        </row>
        <row r="121">
          <cell r="Q121">
            <v>421</v>
          </cell>
          <cell r="R121">
            <v>0.77777777777777779</v>
          </cell>
          <cell r="S121">
            <v>0.22222222222222221</v>
          </cell>
          <cell r="T121">
            <v>0</v>
          </cell>
        </row>
        <row r="122">
          <cell r="Q122">
            <v>420</v>
          </cell>
          <cell r="R122">
            <v>0.77777777777777779</v>
          </cell>
          <cell r="S122">
            <v>0.22222222222222221</v>
          </cell>
          <cell r="T122">
            <v>0</v>
          </cell>
        </row>
        <row r="123">
          <cell r="Q123">
            <v>419</v>
          </cell>
          <cell r="R123">
            <v>0.77777777777777779</v>
          </cell>
          <cell r="S123">
            <v>0.22222222222222221</v>
          </cell>
          <cell r="T123">
            <v>0</v>
          </cell>
        </row>
        <row r="124">
          <cell r="Q124">
            <v>418</v>
          </cell>
          <cell r="R124">
            <v>0.77777777777777779</v>
          </cell>
          <cell r="S124">
            <v>0.22222222222222221</v>
          </cell>
          <cell r="T124">
            <v>0</v>
          </cell>
        </row>
        <row r="125">
          <cell r="Q125">
            <v>417</v>
          </cell>
          <cell r="R125">
            <v>0.77777777777777779</v>
          </cell>
          <cell r="S125">
            <v>0.22222222222222221</v>
          </cell>
          <cell r="T125">
            <v>0</v>
          </cell>
        </row>
        <row r="126">
          <cell r="Q126">
            <v>416</v>
          </cell>
          <cell r="R126">
            <v>0.77777777777777779</v>
          </cell>
          <cell r="S126">
            <v>0.22222222222222221</v>
          </cell>
          <cell r="T126">
            <v>0</v>
          </cell>
        </row>
        <row r="127">
          <cell r="Q127">
            <v>415</v>
          </cell>
          <cell r="R127">
            <v>0.77777777777777779</v>
          </cell>
          <cell r="S127">
            <v>0.22222222222222221</v>
          </cell>
          <cell r="T127">
            <v>0</v>
          </cell>
        </row>
        <row r="128">
          <cell r="Q128">
            <v>414</v>
          </cell>
          <cell r="R128">
            <v>0.77777777777777779</v>
          </cell>
          <cell r="S128">
            <v>0.22222222222222221</v>
          </cell>
          <cell r="T128">
            <v>0</v>
          </cell>
        </row>
        <row r="129">
          <cell r="Q129">
            <v>413</v>
          </cell>
          <cell r="R129">
            <v>0.77777777777777779</v>
          </cell>
          <cell r="S129">
            <v>0.22222222222222221</v>
          </cell>
          <cell r="T129">
            <v>0</v>
          </cell>
        </row>
        <row r="130">
          <cell r="Q130">
            <v>412</v>
          </cell>
          <cell r="R130">
            <v>0.77777777777777779</v>
          </cell>
          <cell r="S130">
            <v>0.22222222222222221</v>
          </cell>
          <cell r="T130">
            <v>0</v>
          </cell>
        </row>
        <row r="131">
          <cell r="Q131">
            <v>411</v>
          </cell>
          <cell r="R131">
            <v>0.77777777777777779</v>
          </cell>
          <cell r="S131">
            <v>0.22222222222222221</v>
          </cell>
          <cell r="T131">
            <v>0</v>
          </cell>
        </row>
        <row r="132">
          <cell r="Q132">
            <v>410</v>
          </cell>
          <cell r="R132">
            <v>0.77777777777777779</v>
          </cell>
          <cell r="S132">
            <v>0.22222222222222221</v>
          </cell>
          <cell r="T132">
            <v>0</v>
          </cell>
        </row>
        <row r="133">
          <cell r="Q133">
            <v>409</v>
          </cell>
          <cell r="R133">
            <v>0.77777777777777779</v>
          </cell>
          <cell r="S133">
            <v>0.22222222222222221</v>
          </cell>
          <cell r="T133">
            <v>0</v>
          </cell>
        </row>
        <row r="134">
          <cell r="Q134">
            <v>408</v>
          </cell>
          <cell r="R134">
            <v>0.77777777777777779</v>
          </cell>
          <cell r="S134">
            <v>0.22222222222222221</v>
          </cell>
          <cell r="T134">
            <v>0</v>
          </cell>
        </row>
        <row r="135">
          <cell r="Q135">
            <v>407</v>
          </cell>
          <cell r="R135">
            <v>0.77777777777777779</v>
          </cell>
          <cell r="S135">
            <v>0.22222222222222221</v>
          </cell>
          <cell r="T135">
            <v>0</v>
          </cell>
        </row>
        <row r="136">
          <cell r="Q136">
            <v>406</v>
          </cell>
          <cell r="R136">
            <v>0.77777777777777779</v>
          </cell>
          <cell r="S136">
            <v>0.22222222222222221</v>
          </cell>
          <cell r="T136">
            <v>0</v>
          </cell>
        </row>
        <row r="137">
          <cell r="Q137">
            <v>405</v>
          </cell>
          <cell r="R137">
            <v>0.77777777777777779</v>
          </cell>
          <cell r="S137">
            <v>0.22222222222222221</v>
          </cell>
          <cell r="T137">
            <v>0</v>
          </cell>
        </row>
        <row r="138">
          <cell r="Q138">
            <v>404</v>
          </cell>
          <cell r="R138">
            <v>0.77777777777777779</v>
          </cell>
          <cell r="S138">
            <v>0.22222222222222221</v>
          </cell>
          <cell r="T138">
            <v>0</v>
          </cell>
        </row>
        <row r="139">
          <cell r="Q139">
            <v>403</v>
          </cell>
          <cell r="R139">
            <v>0.77777777777777779</v>
          </cell>
          <cell r="S139">
            <v>0.22222222222222221</v>
          </cell>
          <cell r="T139">
            <v>0</v>
          </cell>
        </row>
        <row r="140">
          <cell r="Q140">
            <v>402</v>
          </cell>
          <cell r="R140">
            <v>0.77777777777777779</v>
          </cell>
          <cell r="S140">
            <v>0.22222222222222221</v>
          </cell>
          <cell r="T140">
            <v>0</v>
          </cell>
        </row>
        <row r="141">
          <cell r="Q141">
            <v>401</v>
          </cell>
          <cell r="R141">
            <v>0.77777777777777779</v>
          </cell>
          <cell r="S141">
            <v>0.22222222222222221</v>
          </cell>
          <cell r="T141">
            <v>0</v>
          </cell>
        </row>
        <row r="142">
          <cell r="Q142">
            <v>400</v>
          </cell>
          <cell r="R142">
            <v>0.77777777777777779</v>
          </cell>
          <cell r="S142">
            <v>0.22222222222222221</v>
          </cell>
          <cell r="T142">
            <v>0</v>
          </cell>
        </row>
        <row r="143">
          <cell r="Q143">
            <v>399</v>
          </cell>
          <cell r="R143">
            <v>0.77777777777777779</v>
          </cell>
          <cell r="S143">
            <v>0.22222222222222221</v>
          </cell>
          <cell r="T143">
            <v>0</v>
          </cell>
        </row>
        <row r="144">
          <cell r="Q144">
            <v>398</v>
          </cell>
          <cell r="R144">
            <v>0.77777777777777779</v>
          </cell>
          <cell r="S144">
            <v>0.22222222222222221</v>
          </cell>
          <cell r="T144">
            <v>0</v>
          </cell>
        </row>
        <row r="145">
          <cell r="Q145">
            <v>397</v>
          </cell>
          <cell r="R145">
            <v>0.77777777777777779</v>
          </cell>
          <cell r="S145">
            <v>0.22222222222222221</v>
          </cell>
          <cell r="T145">
            <v>0</v>
          </cell>
        </row>
        <row r="146">
          <cell r="Q146">
            <v>396</v>
          </cell>
          <cell r="R146">
            <v>0.77777777777777779</v>
          </cell>
          <cell r="S146">
            <v>0.22222222222222221</v>
          </cell>
          <cell r="T146">
            <v>0</v>
          </cell>
        </row>
        <row r="147">
          <cell r="Q147">
            <v>395</v>
          </cell>
          <cell r="R147">
            <v>0.77777777777777779</v>
          </cell>
          <cell r="S147">
            <v>0.22222222222222221</v>
          </cell>
          <cell r="T147">
            <v>0</v>
          </cell>
        </row>
        <row r="148">
          <cell r="Q148">
            <v>394</v>
          </cell>
          <cell r="R148">
            <v>0.77777777777777779</v>
          </cell>
          <cell r="S148">
            <v>0.22222222222222221</v>
          </cell>
          <cell r="T148">
            <v>0</v>
          </cell>
        </row>
        <row r="149">
          <cell r="Q149">
            <v>393</v>
          </cell>
          <cell r="R149">
            <v>0.77777777777777779</v>
          </cell>
          <cell r="S149">
            <v>0.22222222222222221</v>
          </cell>
          <cell r="T149">
            <v>0</v>
          </cell>
        </row>
        <row r="150">
          <cell r="Q150">
            <v>392</v>
          </cell>
          <cell r="R150">
            <v>0.77777777777777779</v>
          </cell>
          <cell r="S150">
            <v>0.22222222222222221</v>
          </cell>
          <cell r="T150">
            <v>0</v>
          </cell>
        </row>
        <row r="151">
          <cell r="Q151">
            <v>391</v>
          </cell>
          <cell r="R151">
            <v>0.77777777777777779</v>
          </cell>
          <cell r="S151">
            <v>0.22222222222222221</v>
          </cell>
          <cell r="T151">
            <v>0</v>
          </cell>
        </row>
        <row r="152">
          <cell r="Q152">
            <v>390</v>
          </cell>
          <cell r="R152">
            <v>0.77777777777777779</v>
          </cell>
          <cell r="S152">
            <v>0.22222222222222221</v>
          </cell>
          <cell r="T152">
            <v>0</v>
          </cell>
        </row>
        <row r="153">
          <cell r="Q153">
            <v>389</v>
          </cell>
          <cell r="R153">
            <v>0.77777777777777779</v>
          </cell>
          <cell r="S153">
            <v>0.22222222222222221</v>
          </cell>
          <cell r="T153">
            <v>0</v>
          </cell>
        </row>
        <row r="154">
          <cell r="Q154">
            <v>388</v>
          </cell>
          <cell r="R154">
            <v>0.77777777777777779</v>
          </cell>
          <cell r="S154">
            <v>0.22222222222222221</v>
          </cell>
          <cell r="T154">
            <v>0</v>
          </cell>
        </row>
        <row r="155">
          <cell r="Q155">
            <v>387</v>
          </cell>
          <cell r="R155">
            <v>0.77777777777777779</v>
          </cell>
          <cell r="S155">
            <v>0.22222222222222221</v>
          </cell>
          <cell r="T155">
            <v>0</v>
          </cell>
        </row>
        <row r="156">
          <cell r="Q156">
            <v>386</v>
          </cell>
          <cell r="R156">
            <v>0.77777777777777779</v>
          </cell>
          <cell r="S156">
            <v>0.22222222222222221</v>
          </cell>
          <cell r="T156">
            <v>0</v>
          </cell>
        </row>
        <row r="157">
          <cell r="Q157">
            <v>385</v>
          </cell>
          <cell r="R157">
            <v>0.77777777777777779</v>
          </cell>
          <cell r="S157">
            <v>0.22222222222222221</v>
          </cell>
          <cell r="T157">
            <v>0</v>
          </cell>
        </row>
        <row r="158">
          <cell r="Q158">
            <v>384</v>
          </cell>
          <cell r="R158">
            <v>0.77777777777777779</v>
          </cell>
          <cell r="S158">
            <v>0.22222222222222221</v>
          </cell>
          <cell r="T158">
            <v>0</v>
          </cell>
        </row>
        <row r="159">
          <cell r="Q159">
            <v>383</v>
          </cell>
          <cell r="R159">
            <v>0.77777777777777779</v>
          </cell>
          <cell r="S159">
            <v>0.22222222222222221</v>
          </cell>
          <cell r="T159">
            <v>0</v>
          </cell>
        </row>
        <row r="160">
          <cell r="Q160">
            <v>382</v>
          </cell>
          <cell r="R160">
            <v>0.77777777777777779</v>
          </cell>
          <cell r="S160">
            <v>0.22222222222222221</v>
          </cell>
          <cell r="T160">
            <v>0</v>
          </cell>
        </row>
        <row r="161">
          <cell r="Q161">
            <v>381</v>
          </cell>
          <cell r="R161">
            <v>0.77777777777777779</v>
          </cell>
          <cell r="S161">
            <v>0.22222222222222221</v>
          </cell>
          <cell r="T161">
            <v>0</v>
          </cell>
        </row>
        <row r="162">
          <cell r="Q162">
            <v>380</v>
          </cell>
          <cell r="R162">
            <v>0.77777777777777779</v>
          </cell>
          <cell r="S162">
            <v>0.22222222222222221</v>
          </cell>
          <cell r="T162">
            <v>0</v>
          </cell>
        </row>
        <row r="163">
          <cell r="Q163">
            <v>379</v>
          </cell>
          <cell r="R163">
            <v>0.77777777777777779</v>
          </cell>
          <cell r="S163">
            <v>0.22222222222222221</v>
          </cell>
          <cell r="T163">
            <v>0</v>
          </cell>
        </row>
        <row r="164">
          <cell r="Q164">
            <v>378</v>
          </cell>
          <cell r="R164">
            <v>0.77777777777777779</v>
          </cell>
          <cell r="S164">
            <v>0.22222222222222221</v>
          </cell>
          <cell r="T164">
            <v>0</v>
          </cell>
        </row>
        <row r="165">
          <cell r="Q165">
            <v>377</v>
          </cell>
          <cell r="R165">
            <v>0.77777777777777779</v>
          </cell>
          <cell r="S165">
            <v>0.22222222222222221</v>
          </cell>
          <cell r="T165">
            <v>0</v>
          </cell>
        </row>
        <row r="166">
          <cell r="Q166">
            <v>376</v>
          </cell>
          <cell r="R166">
            <v>0.77777777777777779</v>
          </cell>
          <cell r="S166">
            <v>0.22222222222222221</v>
          </cell>
          <cell r="T166">
            <v>0</v>
          </cell>
        </row>
        <row r="167">
          <cell r="Q167">
            <v>375</v>
          </cell>
          <cell r="R167">
            <v>0.77777777777777779</v>
          </cell>
          <cell r="S167">
            <v>0.22222222222222221</v>
          </cell>
          <cell r="T167">
            <v>0</v>
          </cell>
        </row>
        <row r="168">
          <cell r="Q168">
            <v>374</v>
          </cell>
          <cell r="R168">
            <v>0.77777777777777779</v>
          </cell>
          <cell r="S168">
            <v>0.22222222222222221</v>
          </cell>
          <cell r="T168">
            <v>0</v>
          </cell>
        </row>
        <row r="169">
          <cell r="Q169">
            <v>373</v>
          </cell>
          <cell r="R169">
            <v>0.77777777777777779</v>
          </cell>
          <cell r="S169">
            <v>0.22222222222222221</v>
          </cell>
          <cell r="T169">
            <v>0</v>
          </cell>
        </row>
        <row r="170">
          <cell r="Q170">
            <v>372</v>
          </cell>
          <cell r="R170">
            <v>0.77777777777777779</v>
          </cell>
          <cell r="S170">
            <v>0.22222222222222221</v>
          </cell>
          <cell r="T170">
            <v>0</v>
          </cell>
        </row>
        <row r="171">
          <cell r="Q171">
            <v>371</v>
          </cell>
          <cell r="R171">
            <v>0.77777777777777779</v>
          </cell>
          <cell r="S171">
            <v>0.22222222222222221</v>
          </cell>
          <cell r="T171">
            <v>0</v>
          </cell>
        </row>
        <row r="172">
          <cell r="Q172">
            <v>370</v>
          </cell>
          <cell r="R172">
            <v>0.77777777777777779</v>
          </cell>
          <cell r="S172">
            <v>0.22222222222222221</v>
          </cell>
          <cell r="T172">
            <v>0</v>
          </cell>
        </row>
        <row r="173">
          <cell r="Q173">
            <v>369</v>
          </cell>
          <cell r="R173">
            <v>0.77777777777777779</v>
          </cell>
          <cell r="S173">
            <v>0.22222222222222221</v>
          </cell>
          <cell r="T173">
            <v>0</v>
          </cell>
        </row>
        <row r="174">
          <cell r="Q174">
            <v>368</v>
          </cell>
          <cell r="R174">
            <v>0.77777777777777779</v>
          </cell>
          <cell r="S174">
            <v>0.22222222222222221</v>
          </cell>
          <cell r="T174">
            <v>0</v>
          </cell>
        </row>
        <row r="175">
          <cell r="Q175">
            <v>367</v>
          </cell>
          <cell r="R175">
            <v>0.77777777777777779</v>
          </cell>
          <cell r="S175">
            <v>0.22222222222222221</v>
          </cell>
          <cell r="T175">
            <v>0</v>
          </cell>
        </row>
        <row r="176">
          <cell r="Q176">
            <v>366</v>
          </cell>
          <cell r="R176">
            <v>0.77777777777777779</v>
          </cell>
          <cell r="S176">
            <v>0.22222222222222221</v>
          </cell>
          <cell r="T176">
            <v>0</v>
          </cell>
        </row>
        <row r="177">
          <cell r="Q177">
            <v>365</v>
          </cell>
          <cell r="R177">
            <v>0.77777777777777779</v>
          </cell>
          <cell r="S177">
            <v>0.22222222222222221</v>
          </cell>
          <cell r="T177">
            <v>0</v>
          </cell>
        </row>
        <row r="178">
          <cell r="Q178">
            <v>364</v>
          </cell>
          <cell r="R178">
            <v>0.77777777777777779</v>
          </cell>
          <cell r="S178">
            <v>0.22222222222222221</v>
          </cell>
          <cell r="T178">
            <v>0</v>
          </cell>
        </row>
        <row r="179">
          <cell r="Q179">
            <v>363</v>
          </cell>
          <cell r="R179">
            <v>0.77777777777777779</v>
          </cell>
          <cell r="S179">
            <v>0.22222222222222221</v>
          </cell>
          <cell r="T179">
            <v>0</v>
          </cell>
        </row>
        <row r="180">
          <cell r="Q180">
            <v>362</v>
          </cell>
          <cell r="R180">
            <v>0.77777777777777779</v>
          </cell>
          <cell r="S180">
            <v>0.22222222222222221</v>
          </cell>
          <cell r="T180">
            <v>0</v>
          </cell>
        </row>
        <row r="181">
          <cell r="Q181">
            <v>361</v>
          </cell>
          <cell r="R181">
            <v>0.77777777777777779</v>
          </cell>
          <cell r="S181">
            <v>0.22222222222222221</v>
          </cell>
          <cell r="T181">
            <v>0</v>
          </cell>
        </row>
        <row r="182">
          <cell r="Q182">
            <v>360</v>
          </cell>
          <cell r="R182">
            <v>0.77777777777777779</v>
          </cell>
          <cell r="S182">
            <v>0.22222222222222221</v>
          </cell>
          <cell r="T182">
            <v>0</v>
          </cell>
        </row>
        <row r="183">
          <cell r="Q183">
            <v>359</v>
          </cell>
          <cell r="R183">
            <v>0.77777777777777779</v>
          </cell>
          <cell r="S183">
            <v>0.22222222222222221</v>
          </cell>
          <cell r="T183">
            <v>0</v>
          </cell>
        </row>
        <row r="184">
          <cell r="Q184">
            <v>358</v>
          </cell>
          <cell r="R184">
            <v>0.77777777777777779</v>
          </cell>
          <cell r="S184">
            <v>0.22222222222222221</v>
          </cell>
          <cell r="T184">
            <v>0</v>
          </cell>
        </row>
        <row r="185">
          <cell r="Q185">
            <v>357</v>
          </cell>
          <cell r="R185">
            <v>0.77777777777777779</v>
          </cell>
          <cell r="S185">
            <v>0.22222222222222221</v>
          </cell>
          <cell r="T185">
            <v>0</v>
          </cell>
        </row>
        <row r="186">
          <cell r="Q186">
            <v>356</v>
          </cell>
          <cell r="R186">
            <v>0.77777777777777779</v>
          </cell>
          <cell r="S186">
            <v>0.22222222222222221</v>
          </cell>
          <cell r="T186">
            <v>0</v>
          </cell>
        </row>
        <row r="187">
          <cell r="Q187">
            <v>355</v>
          </cell>
          <cell r="R187">
            <v>0.77777777777777779</v>
          </cell>
          <cell r="S187">
            <v>0.22222222222222221</v>
          </cell>
          <cell r="T187">
            <v>0</v>
          </cell>
        </row>
        <row r="188">
          <cell r="Q188">
            <v>354</v>
          </cell>
          <cell r="R188">
            <v>0.77777777777777779</v>
          </cell>
          <cell r="S188">
            <v>0.22222222222222221</v>
          </cell>
          <cell r="T188">
            <v>0</v>
          </cell>
        </row>
        <row r="189">
          <cell r="Q189">
            <v>353</v>
          </cell>
          <cell r="R189">
            <v>0.77777777777777779</v>
          </cell>
          <cell r="S189">
            <v>0.22222222222222221</v>
          </cell>
          <cell r="T189">
            <v>0</v>
          </cell>
        </row>
        <row r="190">
          <cell r="Q190">
            <v>352</v>
          </cell>
          <cell r="R190">
            <v>0.77777777777777779</v>
          </cell>
          <cell r="S190">
            <v>0.22222222222222221</v>
          </cell>
          <cell r="T190">
            <v>0</v>
          </cell>
        </row>
        <row r="191">
          <cell r="Q191">
            <v>351</v>
          </cell>
          <cell r="R191">
            <v>0.77777777777777779</v>
          </cell>
          <cell r="S191">
            <v>0.22222222222222221</v>
          </cell>
          <cell r="T191">
            <v>0</v>
          </cell>
        </row>
        <row r="192">
          <cell r="Q192">
            <v>350</v>
          </cell>
          <cell r="R192">
            <v>0.77777777777777779</v>
          </cell>
          <cell r="S192">
            <v>0.22222222222222221</v>
          </cell>
          <cell r="T192">
            <v>0</v>
          </cell>
        </row>
        <row r="193">
          <cell r="Q193">
            <v>349</v>
          </cell>
          <cell r="R193">
            <v>0.77777777777777779</v>
          </cell>
          <cell r="S193">
            <v>0.22222222222222221</v>
          </cell>
          <cell r="T193">
            <v>0</v>
          </cell>
        </row>
        <row r="194">
          <cell r="Q194">
            <v>348</v>
          </cell>
          <cell r="R194">
            <v>0.77777777777777779</v>
          </cell>
          <cell r="S194">
            <v>0.22222222222222221</v>
          </cell>
          <cell r="T194">
            <v>0</v>
          </cell>
        </row>
        <row r="195">
          <cell r="Q195">
            <v>347</v>
          </cell>
          <cell r="R195">
            <v>0.77777777777777779</v>
          </cell>
          <cell r="S195">
            <v>0.22222222222222221</v>
          </cell>
          <cell r="T195">
            <v>0</v>
          </cell>
        </row>
        <row r="196">
          <cell r="Q196">
            <v>346</v>
          </cell>
          <cell r="R196">
            <v>0.77777777777777779</v>
          </cell>
          <cell r="S196">
            <v>0.22222222222222221</v>
          </cell>
          <cell r="T196">
            <v>0</v>
          </cell>
        </row>
        <row r="197">
          <cell r="Q197">
            <v>345</v>
          </cell>
          <cell r="R197">
            <v>0.77777777777777779</v>
          </cell>
          <cell r="S197">
            <v>0.22222222222222221</v>
          </cell>
          <cell r="T197">
            <v>0</v>
          </cell>
        </row>
        <row r="198">
          <cell r="Q198">
            <v>344</v>
          </cell>
          <cell r="R198">
            <v>0.77777777777777779</v>
          </cell>
          <cell r="S198">
            <v>0.22222222222222221</v>
          </cell>
          <cell r="T198">
            <v>0</v>
          </cell>
        </row>
        <row r="199">
          <cell r="Q199">
            <v>343</v>
          </cell>
          <cell r="R199">
            <v>0.77777777777777779</v>
          </cell>
          <cell r="S199">
            <v>0.22222222222222221</v>
          </cell>
          <cell r="T199">
            <v>0</v>
          </cell>
        </row>
        <row r="200">
          <cell r="Q200">
            <v>342</v>
          </cell>
          <cell r="R200">
            <v>0.77777777777777779</v>
          </cell>
          <cell r="S200">
            <v>0.22222222222222221</v>
          </cell>
          <cell r="T200">
            <v>0</v>
          </cell>
        </row>
        <row r="201">
          <cell r="Q201">
            <v>341</v>
          </cell>
          <cell r="R201">
            <v>0.77777777777777779</v>
          </cell>
          <cell r="S201">
            <v>0.22222222222222221</v>
          </cell>
          <cell r="T201">
            <v>0</v>
          </cell>
        </row>
        <row r="202">
          <cell r="Q202">
            <v>340</v>
          </cell>
          <cell r="R202">
            <v>0.77777777777777779</v>
          </cell>
          <cell r="S202">
            <v>0.22222222222222221</v>
          </cell>
          <cell r="T202">
            <v>0</v>
          </cell>
        </row>
        <row r="203">
          <cell r="Q203">
            <v>339</v>
          </cell>
          <cell r="R203">
            <v>0.77777777777777779</v>
          </cell>
          <cell r="S203">
            <v>0.22222222222222221</v>
          </cell>
          <cell r="T203">
            <v>0</v>
          </cell>
        </row>
        <row r="204">
          <cell r="Q204">
            <v>338</v>
          </cell>
          <cell r="R204">
            <v>0.77777777777777779</v>
          </cell>
          <cell r="S204">
            <v>0.22222222222222221</v>
          </cell>
          <cell r="T204">
            <v>0</v>
          </cell>
        </row>
        <row r="205">
          <cell r="Q205">
            <v>337</v>
          </cell>
          <cell r="R205">
            <v>0.77777777777777779</v>
          </cell>
          <cell r="S205">
            <v>0.22222222222222221</v>
          </cell>
          <cell r="T205">
            <v>0</v>
          </cell>
        </row>
        <row r="206">
          <cell r="Q206">
            <v>336</v>
          </cell>
          <cell r="R206">
            <v>0.77777777777777779</v>
          </cell>
          <cell r="S206">
            <v>0.22222222222222221</v>
          </cell>
          <cell r="T206">
            <v>0</v>
          </cell>
        </row>
        <row r="207">
          <cell r="Q207">
            <v>335</v>
          </cell>
          <cell r="R207">
            <v>0.77777777777777779</v>
          </cell>
          <cell r="S207">
            <v>0.22222222222222221</v>
          </cell>
          <cell r="T207">
            <v>0</v>
          </cell>
        </row>
        <row r="208">
          <cell r="Q208">
            <v>334</v>
          </cell>
          <cell r="R208">
            <v>0.77777777777777779</v>
          </cell>
          <cell r="S208">
            <v>0.22222222222222221</v>
          </cell>
          <cell r="T208">
            <v>0</v>
          </cell>
        </row>
        <row r="209">
          <cell r="Q209">
            <v>333</v>
          </cell>
          <cell r="R209">
            <v>0.77777777777777779</v>
          </cell>
          <cell r="S209">
            <v>0.22222222222222221</v>
          </cell>
          <cell r="T209">
            <v>0</v>
          </cell>
        </row>
        <row r="210">
          <cell r="Q210">
            <v>332</v>
          </cell>
          <cell r="R210">
            <v>0.77777777777777779</v>
          </cell>
          <cell r="S210">
            <v>0.22222222222222221</v>
          </cell>
          <cell r="T210">
            <v>0</v>
          </cell>
        </row>
        <row r="211">
          <cell r="Q211">
            <v>331</v>
          </cell>
          <cell r="R211">
            <v>0.77777777777777779</v>
          </cell>
          <cell r="S211">
            <v>0.22222222222222221</v>
          </cell>
          <cell r="T211">
            <v>0</v>
          </cell>
        </row>
        <row r="212">
          <cell r="Q212">
            <v>330</v>
          </cell>
          <cell r="R212">
            <v>0.77777777777777779</v>
          </cell>
          <cell r="S212">
            <v>0.22222222222222221</v>
          </cell>
          <cell r="T212">
            <v>0</v>
          </cell>
        </row>
        <row r="213">
          <cell r="Q213">
            <v>329</v>
          </cell>
          <cell r="R213">
            <v>0.77777777777777779</v>
          </cell>
          <cell r="S213">
            <v>0.22222222222222221</v>
          </cell>
          <cell r="T213">
            <v>0</v>
          </cell>
        </row>
        <row r="214">
          <cell r="Q214">
            <v>328</v>
          </cell>
          <cell r="R214">
            <v>0.77777777777777779</v>
          </cell>
          <cell r="S214">
            <v>0.22222222222222221</v>
          </cell>
          <cell r="T214">
            <v>0</v>
          </cell>
        </row>
        <row r="215">
          <cell r="Q215">
            <v>327</v>
          </cell>
          <cell r="R215">
            <v>0.77777777777777779</v>
          </cell>
          <cell r="S215">
            <v>0.22222222222222221</v>
          </cell>
          <cell r="T215">
            <v>0</v>
          </cell>
        </row>
        <row r="216">
          <cell r="Q216">
            <v>326</v>
          </cell>
          <cell r="R216">
            <v>0.77777777777777779</v>
          </cell>
          <cell r="S216">
            <v>0.22222222222222221</v>
          </cell>
          <cell r="T216">
            <v>0</v>
          </cell>
        </row>
        <row r="217">
          <cell r="Q217">
            <v>325</v>
          </cell>
          <cell r="R217">
            <v>0.77777777777777779</v>
          </cell>
          <cell r="S217">
            <v>0.22222222222222221</v>
          </cell>
          <cell r="T217">
            <v>0</v>
          </cell>
        </row>
        <row r="218">
          <cell r="Q218">
            <v>324</v>
          </cell>
          <cell r="R218">
            <v>0.77777777777777779</v>
          </cell>
          <cell r="S218">
            <v>0.22222222222222221</v>
          </cell>
          <cell r="T218">
            <v>0</v>
          </cell>
        </row>
        <row r="219">
          <cell r="Q219">
            <v>323</v>
          </cell>
          <cell r="R219">
            <v>0.77777777777777779</v>
          </cell>
          <cell r="S219">
            <v>0.22222222222222221</v>
          </cell>
          <cell r="T219">
            <v>0</v>
          </cell>
        </row>
        <row r="220">
          <cell r="Q220">
            <v>322</v>
          </cell>
          <cell r="R220">
            <v>0.77777777777777779</v>
          </cell>
          <cell r="S220">
            <v>0.22222222222222221</v>
          </cell>
          <cell r="T220">
            <v>0</v>
          </cell>
        </row>
        <row r="221">
          <cell r="Q221">
            <v>321</v>
          </cell>
          <cell r="R221">
            <v>0.77777777777777779</v>
          </cell>
          <cell r="S221">
            <v>0.22222222222222221</v>
          </cell>
          <cell r="T221">
            <v>0</v>
          </cell>
        </row>
        <row r="222">
          <cell r="Q222">
            <v>320</v>
          </cell>
          <cell r="R222">
            <v>0.77777777777777779</v>
          </cell>
          <cell r="S222">
            <v>0.22222222222222221</v>
          </cell>
          <cell r="T222">
            <v>0</v>
          </cell>
        </row>
        <row r="223">
          <cell r="Q223">
            <v>319</v>
          </cell>
          <cell r="R223">
            <v>0.77777777777777779</v>
          </cell>
          <cell r="S223">
            <v>0.22222222222222221</v>
          </cell>
          <cell r="T223">
            <v>0</v>
          </cell>
        </row>
        <row r="224">
          <cell r="Q224">
            <v>318</v>
          </cell>
          <cell r="R224">
            <v>0.77777777777777779</v>
          </cell>
          <cell r="S224">
            <v>0.22222222222222221</v>
          </cell>
          <cell r="T224">
            <v>0</v>
          </cell>
        </row>
        <row r="225">
          <cell r="Q225">
            <v>317</v>
          </cell>
          <cell r="R225">
            <v>0.77777777777777779</v>
          </cell>
          <cell r="S225">
            <v>0.22222222222222221</v>
          </cell>
          <cell r="T225">
            <v>0</v>
          </cell>
        </row>
        <row r="226">
          <cell r="Q226">
            <v>316</v>
          </cell>
          <cell r="R226">
            <v>0.77777777777777779</v>
          </cell>
          <cell r="S226">
            <v>0.22222222222222221</v>
          </cell>
          <cell r="T226">
            <v>0</v>
          </cell>
        </row>
        <row r="227">
          <cell r="Q227">
            <v>315</v>
          </cell>
          <cell r="R227">
            <v>0.77777777777777779</v>
          </cell>
          <cell r="S227">
            <v>0.22222222222222221</v>
          </cell>
          <cell r="T227">
            <v>0</v>
          </cell>
        </row>
        <row r="228">
          <cell r="Q228">
            <v>314</v>
          </cell>
          <cell r="R228">
            <v>0.77777777777777779</v>
          </cell>
          <cell r="S228">
            <v>0.22222222222222221</v>
          </cell>
          <cell r="T228">
            <v>0</v>
          </cell>
        </row>
        <row r="229">
          <cell r="Q229">
            <v>313</v>
          </cell>
          <cell r="R229">
            <v>0.77777777777777779</v>
          </cell>
          <cell r="S229">
            <v>0.22222222222222221</v>
          </cell>
          <cell r="T229">
            <v>0</v>
          </cell>
        </row>
        <row r="230">
          <cell r="Q230">
            <v>312</v>
          </cell>
          <cell r="R230">
            <v>0.77777777777777779</v>
          </cell>
          <cell r="S230">
            <v>0.22222222222222221</v>
          </cell>
          <cell r="T230">
            <v>0</v>
          </cell>
        </row>
        <row r="231">
          <cell r="Q231">
            <v>311</v>
          </cell>
          <cell r="R231">
            <v>0.77777777777777779</v>
          </cell>
          <cell r="S231">
            <v>0.22222222222222221</v>
          </cell>
          <cell r="T231">
            <v>0</v>
          </cell>
        </row>
        <row r="232">
          <cell r="Q232">
            <v>310</v>
          </cell>
          <cell r="R232">
            <v>0.77777777777777779</v>
          </cell>
          <cell r="S232">
            <v>0.22222222222222221</v>
          </cell>
          <cell r="T232">
            <v>0</v>
          </cell>
        </row>
        <row r="233">
          <cell r="Q233">
            <v>309</v>
          </cell>
          <cell r="R233">
            <v>0.77777777777777779</v>
          </cell>
          <cell r="S233">
            <v>0.22222222222222221</v>
          </cell>
          <cell r="T233">
            <v>0</v>
          </cell>
        </row>
        <row r="234">
          <cell r="Q234">
            <v>308</v>
          </cell>
          <cell r="R234">
            <v>0.77777777777777779</v>
          </cell>
          <cell r="S234">
            <v>0.22222222222222221</v>
          </cell>
          <cell r="T234">
            <v>0</v>
          </cell>
        </row>
        <row r="235">
          <cell r="Q235">
            <v>307</v>
          </cell>
          <cell r="R235">
            <v>0.77777777777777779</v>
          </cell>
          <cell r="S235">
            <v>0.22222222222222221</v>
          </cell>
          <cell r="T235">
            <v>0</v>
          </cell>
        </row>
        <row r="236">
          <cell r="Q236">
            <v>306</v>
          </cell>
          <cell r="R236">
            <v>0.77777777777777779</v>
          </cell>
          <cell r="S236">
            <v>0.22222222222222221</v>
          </cell>
          <cell r="T236">
            <v>0</v>
          </cell>
        </row>
        <row r="237">
          <cell r="Q237">
            <v>305</v>
          </cell>
          <cell r="R237">
            <v>0.77777777777777779</v>
          </cell>
          <cell r="S237">
            <v>0.22222222222222221</v>
          </cell>
          <cell r="T237">
            <v>0</v>
          </cell>
        </row>
        <row r="238">
          <cell r="Q238">
            <v>304</v>
          </cell>
          <cell r="R238">
            <v>0.77777777777777779</v>
          </cell>
          <cell r="S238">
            <v>0.22222222222222221</v>
          </cell>
          <cell r="T238">
            <v>0</v>
          </cell>
        </row>
        <row r="239">
          <cell r="Q239">
            <v>303</v>
          </cell>
          <cell r="R239">
            <v>0.77777777777777779</v>
          </cell>
          <cell r="S239">
            <v>0.22222222222222221</v>
          </cell>
          <cell r="T239">
            <v>0</v>
          </cell>
        </row>
        <row r="240">
          <cell r="Q240">
            <v>302</v>
          </cell>
          <cell r="R240">
            <v>0.77777777777777779</v>
          </cell>
          <cell r="S240">
            <v>0.22222222222222221</v>
          </cell>
          <cell r="T240">
            <v>0</v>
          </cell>
        </row>
        <row r="241">
          <cell r="Q241">
            <v>301</v>
          </cell>
          <cell r="R241">
            <v>0.77777777777777779</v>
          </cell>
          <cell r="S241">
            <v>0.22222222222222221</v>
          </cell>
          <cell r="T241">
            <v>0</v>
          </cell>
        </row>
        <row r="242">
          <cell r="Q242">
            <v>300</v>
          </cell>
          <cell r="R242">
            <v>0.77777777777777779</v>
          </cell>
          <cell r="S242">
            <v>0.22222222222222221</v>
          </cell>
          <cell r="T242">
            <v>0</v>
          </cell>
        </row>
        <row r="243">
          <cell r="Q243">
            <v>299</v>
          </cell>
          <cell r="R243">
            <v>0.77777777777777779</v>
          </cell>
          <cell r="S243">
            <v>0.22222222222222221</v>
          </cell>
          <cell r="T243">
            <v>0</v>
          </cell>
        </row>
        <row r="244">
          <cell r="Q244">
            <v>298</v>
          </cell>
          <cell r="R244">
            <v>0.77777777777777779</v>
          </cell>
          <cell r="S244">
            <v>0.22222222222222221</v>
          </cell>
          <cell r="T244">
            <v>0</v>
          </cell>
        </row>
        <row r="245">
          <cell r="Q245">
            <v>297</v>
          </cell>
          <cell r="R245">
            <v>0.77777777777777779</v>
          </cell>
          <cell r="S245">
            <v>0.22222222222222221</v>
          </cell>
          <cell r="T245">
            <v>0</v>
          </cell>
        </row>
        <row r="246">
          <cell r="Q246">
            <v>296</v>
          </cell>
          <cell r="R246">
            <v>0.77777777777777779</v>
          </cell>
          <cell r="S246">
            <v>0.22222222222222221</v>
          </cell>
          <cell r="T246">
            <v>0</v>
          </cell>
        </row>
        <row r="247">
          <cell r="Q247">
            <v>295</v>
          </cell>
          <cell r="R247">
            <v>0.77777777777777779</v>
          </cell>
          <cell r="S247">
            <v>0.22222222222222221</v>
          </cell>
          <cell r="T247">
            <v>0</v>
          </cell>
        </row>
        <row r="248">
          <cell r="Q248">
            <v>294</v>
          </cell>
          <cell r="R248">
            <v>0.77777777777777779</v>
          </cell>
          <cell r="S248">
            <v>0.22222222222222221</v>
          </cell>
          <cell r="T248">
            <v>0</v>
          </cell>
        </row>
        <row r="249">
          <cell r="Q249">
            <v>293</v>
          </cell>
          <cell r="R249">
            <v>0.77777777777777779</v>
          </cell>
          <cell r="S249">
            <v>0.22222222222222221</v>
          </cell>
          <cell r="T249">
            <v>0</v>
          </cell>
        </row>
        <row r="250">
          <cell r="Q250">
            <v>292</v>
          </cell>
          <cell r="R250">
            <v>0.77777777777777779</v>
          </cell>
          <cell r="S250">
            <v>0.22222222222222221</v>
          </cell>
          <cell r="T250">
            <v>0</v>
          </cell>
        </row>
        <row r="251">
          <cell r="Q251">
            <v>291</v>
          </cell>
          <cell r="R251">
            <v>0.77777777777777779</v>
          </cell>
          <cell r="S251">
            <v>0.22222222222222221</v>
          </cell>
          <cell r="T251">
            <v>0</v>
          </cell>
        </row>
        <row r="252">
          <cell r="Q252">
            <v>290</v>
          </cell>
          <cell r="R252">
            <v>0.77777777777777779</v>
          </cell>
          <cell r="S252">
            <v>0.22222222222222221</v>
          </cell>
          <cell r="T252">
            <v>0</v>
          </cell>
        </row>
        <row r="253">
          <cell r="Q253">
            <v>289</v>
          </cell>
          <cell r="R253">
            <v>0.77777777777777779</v>
          </cell>
          <cell r="S253">
            <v>0.22222222222222221</v>
          </cell>
          <cell r="T253">
            <v>0</v>
          </cell>
        </row>
        <row r="254">
          <cell r="Q254">
            <v>288</v>
          </cell>
          <cell r="R254">
            <v>0.77777777777777779</v>
          </cell>
          <cell r="S254">
            <v>0.22222222222222221</v>
          </cell>
          <cell r="T254">
            <v>0</v>
          </cell>
        </row>
        <row r="255">
          <cell r="Q255">
            <v>287</v>
          </cell>
          <cell r="R255">
            <v>0.77777777777777779</v>
          </cell>
          <cell r="S255">
            <v>0.22222222222222221</v>
          </cell>
          <cell r="T255">
            <v>0</v>
          </cell>
        </row>
        <row r="256">
          <cell r="Q256">
            <v>286</v>
          </cell>
          <cell r="R256">
            <v>0.77777777777777779</v>
          </cell>
          <cell r="S256">
            <v>0.22222222222222221</v>
          </cell>
          <cell r="T256">
            <v>0</v>
          </cell>
        </row>
        <row r="257">
          <cell r="Q257">
            <v>285</v>
          </cell>
          <cell r="R257">
            <v>0.77777777777777779</v>
          </cell>
          <cell r="S257">
            <v>0.22222222222222221</v>
          </cell>
          <cell r="T257">
            <v>0</v>
          </cell>
        </row>
        <row r="258">
          <cell r="Q258">
            <v>284</v>
          </cell>
          <cell r="R258">
            <v>0.77777777777777779</v>
          </cell>
          <cell r="S258">
            <v>0.22222222222222221</v>
          </cell>
          <cell r="T258">
            <v>0</v>
          </cell>
        </row>
        <row r="259">
          <cell r="Q259">
            <v>283</v>
          </cell>
          <cell r="R259">
            <v>0.77777777777777779</v>
          </cell>
          <cell r="S259">
            <v>0.22222222222222221</v>
          </cell>
          <cell r="T259">
            <v>0</v>
          </cell>
        </row>
        <row r="260">
          <cell r="Q260">
            <v>282</v>
          </cell>
          <cell r="R260">
            <v>0.77777777777777779</v>
          </cell>
          <cell r="S260">
            <v>0.22222222222222221</v>
          </cell>
          <cell r="T260">
            <v>0</v>
          </cell>
        </row>
        <row r="261">
          <cell r="Q261">
            <v>281</v>
          </cell>
          <cell r="R261">
            <v>0.77777777777777779</v>
          </cell>
          <cell r="S261">
            <v>0.22222222222222221</v>
          </cell>
          <cell r="T261">
            <v>0</v>
          </cell>
        </row>
        <row r="262">
          <cell r="Q262">
            <v>280</v>
          </cell>
          <cell r="R262">
            <v>0.77777777777777779</v>
          </cell>
          <cell r="S262">
            <v>0.22222222222222221</v>
          </cell>
          <cell r="T262">
            <v>0</v>
          </cell>
        </row>
        <row r="263">
          <cell r="Q263">
            <v>279</v>
          </cell>
          <cell r="R263">
            <v>0.77777777777777779</v>
          </cell>
          <cell r="S263">
            <v>0.22222222222222221</v>
          </cell>
          <cell r="T263">
            <v>0</v>
          </cell>
        </row>
        <row r="264">
          <cell r="Q264">
            <v>278</v>
          </cell>
          <cell r="R264">
            <v>0.77777777777777779</v>
          </cell>
          <cell r="S264">
            <v>0.22222222222222221</v>
          </cell>
          <cell r="T264">
            <v>0</v>
          </cell>
        </row>
        <row r="265">
          <cell r="Q265">
            <v>277</v>
          </cell>
          <cell r="R265">
            <v>0.77777777777777779</v>
          </cell>
          <cell r="S265">
            <v>0.22222222222222221</v>
          </cell>
          <cell r="T265">
            <v>0</v>
          </cell>
        </row>
        <row r="266">
          <cell r="Q266">
            <v>276</v>
          </cell>
          <cell r="R266">
            <v>0.77777777777777779</v>
          </cell>
          <cell r="S266">
            <v>0.22222222222222221</v>
          </cell>
          <cell r="T266">
            <v>0</v>
          </cell>
        </row>
        <row r="267">
          <cell r="Q267">
            <v>275</v>
          </cell>
          <cell r="R267">
            <v>0.77777777777777779</v>
          </cell>
          <cell r="S267">
            <v>0.22222222222222221</v>
          </cell>
          <cell r="T267">
            <v>0</v>
          </cell>
        </row>
        <row r="268">
          <cell r="Q268">
            <v>274</v>
          </cell>
          <cell r="R268">
            <v>0.77777777777777779</v>
          </cell>
          <cell r="S268">
            <v>0.22222222222222221</v>
          </cell>
          <cell r="T268">
            <v>0</v>
          </cell>
        </row>
        <row r="269">
          <cell r="Q269">
            <v>273</v>
          </cell>
          <cell r="R269">
            <v>0.77777777777777779</v>
          </cell>
          <cell r="S269">
            <v>0.22222222222222221</v>
          </cell>
          <cell r="T269">
            <v>0</v>
          </cell>
        </row>
        <row r="270">
          <cell r="Q270">
            <v>272</v>
          </cell>
          <cell r="R270">
            <v>0.77777777777777779</v>
          </cell>
          <cell r="S270">
            <v>0.22222222222222221</v>
          </cell>
          <cell r="T270">
            <v>0</v>
          </cell>
        </row>
        <row r="271">
          <cell r="Q271">
            <v>271</v>
          </cell>
          <cell r="R271">
            <v>0.77777777777777779</v>
          </cell>
          <cell r="S271">
            <v>0.22222222222222221</v>
          </cell>
          <cell r="T271">
            <v>0</v>
          </cell>
        </row>
        <row r="272">
          <cell r="Q272">
            <v>270</v>
          </cell>
          <cell r="R272">
            <v>0.77777777777777779</v>
          </cell>
          <cell r="S272">
            <v>0.22222222222222221</v>
          </cell>
          <cell r="T272">
            <v>0</v>
          </cell>
        </row>
        <row r="273">
          <cell r="Q273">
            <v>269</v>
          </cell>
          <cell r="R273">
            <v>0.77777777777777779</v>
          </cell>
          <cell r="S273">
            <v>0.22222222222222221</v>
          </cell>
          <cell r="T273">
            <v>0</v>
          </cell>
        </row>
        <row r="274">
          <cell r="Q274">
            <v>268</v>
          </cell>
          <cell r="R274">
            <v>0.77777777777777779</v>
          </cell>
          <cell r="S274">
            <v>0.22222222222222221</v>
          </cell>
          <cell r="T274">
            <v>0</v>
          </cell>
        </row>
        <row r="275">
          <cell r="Q275">
            <v>267</v>
          </cell>
          <cell r="R275">
            <v>0.77777777777777779</v>
          </cell>
          <cell r="S275">
            <v>0.22222222222222221</v>
          </cell>
          <cell r="T275">
            <v>0</v>
          </cell>
        </row>
        <row r="276">
          <cell r="Q276">
            <v>266</v>
          </cell>
          <cell r="R276">
            <v>0.77777777777777779</v>
          </cell>
          <cell r="S276">
            <v>0.22222222222222221</v>
          </cell>
          <cell r="T276">
            <v>0</v>
          </cell>
        </row>
        <row r="277">
          <cell r="Q277">
            <v>265</v>
          </cell>
          <cell r="R277">
            <v>0.77777777777777779</v>
          </cell>
          <cell r="S277">
            <v>0.22222222222222221</v>
          </cell>
          <cell r="T277">
            <v>0</v>
          </cell>
        </row>
        <row r="278">
          <cell r="Q278">
            <v>264</v>
          </cell>
          <cell r="R278">
            <v>0.77777777777777779</v>
          </cell>
          <cell r="S278">
            <v>0.22222222222222221</v>
          </cell>
          <cell r="T278">
            <v>0</v>
          </cell>
        </row>
        <row r="279">
          <cell r="Q279">
            <v>263</v>
          </cell>
          <cell r="R279">
            <v>0.77777777777777779</v>
          </cell>
          <cell r="S279">
            <v>0.22222222222222221</v>
          </cell>
          <cell r="T279">
            <v>0</v>
          </cell>
        </row>
        <row r="280">
          <cell r="Q280">
            <v>262</v>
          </cell>
          <cell r="R280">
            <v>0.77777777777777779</v>
          </cell>
          <cell r="S280">
            <v>0.22222222222222221</v>
          </cell>
          <cell r="T280">
            <v>0</v>
          </cell>
        </row>
        <row r="281">
          <cell r="Q281">
            <v>261</v>
          </cell>
          <cell r="R281">
            <v>0.77777777777777779</v>
          </cell>
          <cell r="S281">
            <v>0.22222222222222221</v>
          </cell>
          <cell r="T281">
            <v>0</v>
          </cell>
        </row>
        <row r="282">
          <cell r="Q282">
            <v>260</v>
          </cell>
          <cell r="R282">
            <v>0.77777777777777779</v>
          </cell>
          <cell r="S282">
            <v>0.22222222222222221</v>
          </cell>
          <cell r="T282">
            <v>0</v>
          </cell>
        </row>
        <row r="283">
          <cell r="Q283">
            <v>259</v>
          </cell>
          <cell r="R283">
            <v>0.77777777777777779</v>
          </cell>
          <cell r="S283">
            <v>0.22222222222222221</v>
          </cell>
          <cell r="T283">
            <v>0</v>
          </cell>
        </row>
        <row r="284">
          <cell r="Q284">
            <v>258</v>
          </cell>
          <cell r="R284">
            <v>0.77777777777777779</v>
          </cell>
          <cell r="S284">
            <v>0.22222222222222221</v>
          </cell>
          <cell r="T284">
            <v>0</v>
          </cell>
        </row>
        <row r="285">
          <cell r="Q285">
            <v>257</v>
          </cell>
          <cell r="R285">
            <v>0.77777777777777779</v>
          </cell>
          <cell r="S285">
            <v>0.22222222222222221</v>
          </cell>
          <cell r="T285">
            <v>0</v>
          </cell>
        </row>
        <row r="286">
          <cell r="Q286">
            <v>256</v>
          </cell>
          <cell r="R286">
            <v>0.77777777777777779</v>
          </cell>
          <cell r="S286">
            <v>0.22222222222222221</v>
          </cell>
          <cell r="T286">
            <v>0</v>
          </cell>
        </row>
        <row r="287">
          <cell r="Q287">
            <v>255</v>
          </cell>
          <cell r="R287">
            <v>0.77777777777777779</v>
          </cell>
          <cell r="S287">
            <v>0.22222222222222221</v>
          </cell>
          <cell r="T287">
            <v>0</v>
          </cell>
        </row>
        <row r="288">
          <cell r="Q288">
            <v>254</v>
          </cell>
          <cell r="R288">
            <v>0.77777777777777779</v>
          </cell>
          <cell r="S288">
            <v>0.22222222222222221</v>
          </cell>
          <cell r="T288">
            <v>0</v>
          </cell>
        </row>
        <row r="289">
          <cell r="Q289">
            <v>253</v>
          </cell>
          <cell r="R289">
            <v>0.77777777777777779</v>
          </cell>
          <cell r="S289">
            <v>0.22222222222222221</v>
          </cell>
          <cell r="T289">
            <v>0</v>
          </cell>
        </row>
        <row r="290">
          <cell r="Q290">
            <v>252</v>
          </cell>
          <cell r="R290">
            <v>0.77777777777777779</v>
          </cell>
          <cell r="S290">
            <v>0.22222222222222221</v>
          </cell>
          <cell r="T290">
            <v>0</v>
          </cell>
        </row>
        <row r="291">
          <cell r="Q291">
            <v>251</v>
          </cell>
          <cell r="R291">
            <v>0.77777777777777779</v>
          </cell>
          <cell r="S291">
            <v>0.22222222222222221</v>
          </cell>
          <cell r="T291">
            <v>0</v>
          </cell>
        </row>
        <row r="292">
          <cell r="Q292">
            <v>250</v>
          </cell>
          <cell r="R292">
            <v>0.77777777777777779</v>
          </cell>
          <cell r="S292">
            <v>0.22222222222222221</v>
          </cell>
          <cell r="T292">
            <v>0</v>
          </cell>
        </row>
        <row r="293">
          <cell r="Q293">
            <v>249</v>
          </cell>
          <cell r="R293">
            <v>0.77777777777777779</v>
          </cell>
          <cell r="S293">
            <v>0.22222222222222221</v>
          </cell>
          <cell r="T293">
            <v>0</v>
          </cell>
        </row>
        <row r="294">
          <cell r="Q294">
            <v>248</v>
          </cell>
          <cell r="R294">
            <v>0.77777777777777779</v>
          </cell>
          <cell r="S294">
            <v>0.22222222222222221</v>
          </cell>
          <cell r="T294">
            <v>0</v>
          </cell>
        </row>
        <row r="295">
          <cell r="Q295">
            <v>247</v>
          </cell>
          <cell r="R295">
            <v>0.77777777777777779</v>
          </cell>
          <cell r="S295">
            <v>0.22222222222222221</v>
          </cell>
          <cell r="T295">
            <v>0</v>
          </cell>
        </row>
        <row r="296">
          <cell r="Q296">
            <v>246</v>
          </cell>
          <cell r="R296">
            <v>0.77777777777777779</v>
          </cell>
          <cell r="S296">
            <v>0.22222222222222221</v>
          </cell>
          <cell r="T296">
            <v>0</v>
          </cell>
        </row>
        <row r="297">
          <cell r="Q297">
            <v>245</v>
          </cell>
          <cell r="R297">
            <v>0.77777777777777779</v>
          </cell>
          <cell r="S297">
            <v>0.22222222222222221</v>
          </cell>
          <cell r="T297">
            <v>0</v>
          </cell>
        </row>
        <row r="298">
          <cell r="Q298">
            <v>244</v>
          </cell>
          <cell r="R298">
            <v>0.77777777777777779</v>
          </cell>
          <cell r="S298">
            <v>0.22222222222222221</v>
          </cell>
          <cell r="T298">
            <v>0</v>
          </cell>
        </row>
        <row r="299">
          <cell r="Q299">
            <v>243</v>
          </cell>
          <cell r="R299">
            <v>0.77777777777777779</v>
          </cell>
          <cell r="S299">
            <v>0.22222222222222221</v>
          </cell>
          <cell r="T299">
            <v>0</v>
          </cell>
        </row>
        <row r="300">
          <cell r="Q300">
            <v>242</v>
          </cell>
          <cell r="R300">
            <v>0.77777777777777779</v>
          </cell>
          <cell r="S300">
            <v>0.22222222222222221</v>
          </cell>
          <cell r="T300">
            <v>0</v>
          </cell>
        </row>
        <row r="301">
          <cell r="Q301">
            <v>241</v>
          </cell>
          <cell r="R301">
            <v>0.77777777777777779</v>
          </cell>
          <cell r="S301">
            <v>0.22222222222222221</v>
          </cell>
          <cell r="T301">
            <v>0</v>
          </cell>
        </row>
        <row r="302">
          <cell r="Q302">
            <v>240</v>
          </cell>
          <cell r="R302">
            <v>0.77777777777777779</v>
          </cell>
          <cell r="S302">
            <v>0.22222222222222221</v>
          </cell>
          <cell r="T302">
            <v>0</v>
          </cell>
        </row>
        <row r="303">
          <cell r="Q303">
            <v>239</v>
          </cell>
          <cell r="R303">
            <v>0.77777777777777779</v>
          </cell>
          <cell r="S303">
            <v>0.22222222222222221</v>
          </cell>
          <cell r="T303">
            <v>0</v>
          </cell>
        </row>
        <row r="304">
          <cell r="Q304">
            <v>238</v>
          </cell>
          <cell r="R304">
            <v>0.77777777777777779</v>
          </cell>
          <cell r="S304">
            <v>0.22222222222222221</v>
          </cell>
          <cell r="T304">
            <v>0</v>
          </cell>
        </row>
        <row r="305">
          <cell r="Q305">
            <v>237</v>
          </cell>
          <cell r="R305">
            <v>0.77777777777777779</v>
          </cell>
          <cell r="S305">
            <v>0.22222222222222221</v>
          </cell>
          <cell r="T305">
            <v>0</v>
          </cell>
        </row>
        <row r="306">
          <cell r="Q306">
            <v>236</v>
          </cell>
          <cell r="R306">
            <v>0.77777777777777779</v>
          </cell>
          <cell r="S306">
            <v>0.22222222222222221</v>
          </cell>
          <cell r="T306">
            <v>0</v>
          </cell>
        </row>
        <row r="307">
          <cell r="Q307">
            <v>235</v>
          </cell>
          <cell r="R307">
            <v>0.77777777777777779</v>
          </cell>
          <cell r="S307">
            <v>0.22222222222222221</v>
          </cell>
          <cell r="T307">
            <v>0</v>
          </cell>
        </row>
        <row r="308">
          <cell r="Q308">
            <v>234</v>
          </cell>
          <cell r="R308">
            <v>0.77777777777777779</v>
          </cell>
          <cell r="S308">
            <v>0.22222222222222221</v>
          </cell>
          <cell r="T308">
            <v>0</v>
          </cell>
        </row>
        <row r="309">
          <cell r="Q309">
            <v>233</v>
          </cell>
          <cell r="R309">
            <v>0.77777777777777779</v>
          </cell>
          <cell r="S309">
            <v>0.22222222222222221</v>
          </cell>
          <cell r="T309">
            <v>0</v>
          </cell>
        </row>
        <row r="310">
          <cell r="Q310">
            <v>232</v>
          </cell>
          <cell r="R310">
            <v>0.77777777777777779</v>
          </cell>
          <cell r="S310">
            <v>0.22222222222222221</v>
          </cell>
          <cell r="T310">
            <v>0</v>
          </cell>
        </row>
        <row r="311">
          <cell r="Q311">
            <v>231</v>
          </cell>
          <cell r="R311">
            <v>0.77777777777777779</v>
          </cell>
          <cell r="S311">
            <v>0.22222222222222221</v>
          </cell>
          <cell r="T311">
            <v>0</v>
          </cell>
        </row>
        <row r="312">
          <cell r="Q312">
            <v>230</v>
          </cell>
          <cell r="R312">
            <v>0.77777777777777779</v>
          </cell>
          <cell r="S312">
            <v>0.22222222222222221</v>
          </cell>
          <cell r="T312">
            <v>0</v>
          </cell>
        </row>
        <row r="313">
          <cell r="Q313">
            <v>229</v>
          </cell>
          <cell r="R313">
            <v>0.77777777777777779</v>
          </cell>
          <cell r="S313">
            <v>0.22222222222222221</v>
          </cell>
          <cell r="T313">
            <v>0</v>
          </cell>
        </row>
        <row r="314">
          <cell r="Q314">
            <v>228</v>
          </cell>
          <cell r="R314">
            <v>0.77777777777777779</v>
          </cell>
          <cell r="S314">
            <v>0.22222222222222221</v>
          </cell>
          <cell r="T314">
            <v>0</v>
          </cell>
        </row>
        <row r="315">
          <cell r="Q315">
            <v>227</v>
          </cell>
          <cell r="R315">
            <v>0.77777777777777779</v>
          </cell>
          <cell r="S315">
            <v>0.22222222222222221</v>
          </cell>
          <cell r="T315">
            <v>0</v>
          </cell>
        </row>
        <row r="316">
          <cell r="Q316">
            <v>226</v>
          </cell>
          <cell r="R316">
            <v>0.77777777777777779</v>
          </cell>
          <cell r="S316">
            <v>0.22222222222222221</v>
          </cell>
          <cell r="T316">
            <v>0</v>
          </cell>
        </row>
        <row r="317">
          <cell r="Q317">
            <v>225</v>
          </cell>
          <cell r="R317">
            <v>0.77777777777777779</v>
          </cell>
          <cell r="S317">
            <v>0.22222222222222221</v>
          </cell>
          <cell r="T317">
            <v>0</v>
          </cell>
        </row>
        <row r="318">
          <cell r="Q318">
            <v>224</v>
          </cell>
          <cell r="R318">
            <v>0.77777777777777779</v>
          </cell>
          <cell r="S318">
            <v>0.22222222222222221</v>
          </cell>
          <cell r="T318">
            <v>0</v>
          </cell>
        </row>
        <row r="319">
          <cell r="Q319">
            <v>223</v>
          </cell>
          <cell r="R319">
            <v>0.77777777777777779</v>
          </cell>
          <cell r="S319">
            <v>0.22222222222222221</v>
          </cell>
          <cell r="T319">
            <v>0</v>
          </cell>
        </row>
        <row r="320">
          <cell r="Q320">
            <v>222</v>
          </cell>
          <cell r="R320">
            <v>0.77777777777777779</v>
          </cell>
          <cell r="S320">
            <v>0.22222222222222221</v>
          </cell>
          <cell r="T320">
            <v>0</v>
          </cell>
        </row>
        <row r="321">
          <cell r="Q321">
            <v>221</v>
          </cell>
          <cell r="R321">
            <v>0.77777777777777779</v>
          </cell>
          <cell r="S321">
            <v>0.22222222222222221</v>
          </cell>
          <cell r="T321">
            <v>0</v>
          </cell>
        </row>
        <row r="322">
          <cell r="Q322">
            <v>220</v>
          </cell>
          <cell r="R322">
            <v>0.77777777777777779</v>
          </cell>
          <cell r="S322">
            <v>0.22222222222222221</v>
          </cell>
          <cell r="T322">
            <v>0</v>
          </cell>
        </row>
        <row r="323">
          <cell r="Q323">
            <v>219</v>
          </cell>
          <cell r="R323">
            <v>0.77777777777777779</v>
          </cell>
          <cell r="S323">
            <v>0.22222222222222221</v>
          </cell>
          <cell r="T323">
            <v>0</v>
          </cell>
        </row>
        <row r="324">
          <cell r="Q324">
            <v>218</v>
          </cell>
          <cell r="R324">
            <v>0.77777777777777779</v>
          </cell>
          <cell r="S324">
            <v>0.22222222222222221</v>
          </cell>
          <cell r="T324">
            <v>0</v>
          </cell>
        </row>
        <row r="325">
          <cell r="Q325">
            <v>217</v>
          </cell>
          <cell r="R325">
            <v>0.77777777777777779</v>
          </cell>
          <cell r="S325">
            <v>0.22222222222222221</v>
          </cell>
          <cell r="T325">
            <v>0</v>
          </cell>
        </row>
        <row r="326">
          <cell r="Q326">
            <v>216</v>
          </cell>
          <cell r="R326">
            <v>0.77777777777777779</v>
          </cell>
          <cell r="S326">
            <v>0.22222222222222221</v>
          </cell>
          <cell r="T326">
            <v>0</v>
          </cell>
        </row>
        <row r="327">
          <cell r="Q327">
            <v>215</v>
          </cell>
          <cell r="R327">
            <v>0.77777777777777779</v>
          </cell>
          <cell r="S327">
            <v>0.22222222222222221</v>
          </cell>
          <cell r="T327">
            <v>0</v>
          </cell>
        </row>
        <row r="328">
          <cell r="Q328">
            <v>214</v>
          </cell>
          <cell r="R328">
            <v>0.77777777777777779</v>
          </cell>
          <cell r="S328">
            <v>0.22222222222222221</v>
          </cell>
          <cell r="T328">
            <v>0</v>
          </cell>
        </row>
        <row r="329">
          <cell r="Q329">
            <v>213</v>
          </cell>
          <cell r="R329">
            <v>0.77777777777777779</v>
          </cell>
          <cell r="S329">
            <v>0.22222222222222221</v>
          </cell>
          <cell r="T329">
            <v>0</v>
          </cell>
        </row>
        <row r="330">
          <cell r="Q330">
            <v>212</v>
          </cell>
          <cell r="R330">
            <v>0.77777777777777779</v>
          </cell>
          <cell r="S330">
            <v>0.22222222222222221</v>
          </cell>
          <cell r="T330">
            <v>0</v>
          </cell>
        </row>
        <row r="331">
          <cell r="Q331">
            <v>211</v>
          </cell>
          <cell r="R331">
            <v>0.77777777777777779</v>
          </cell>
          <cell r="S331">
            <v>0.22222222222222221</v>
          </cell>
          <cell r="T331">
            <v>0</v>
          </cell>
        </row>
        <row r="332">
          <cell r="Q332">
            <v>210</v>
          </cell>
          <cell r="R332">
            <v>0.77777777777777779</v>
          </cell>
          <cell r="S332">
            <v>0.22222222222222221</v>
          </cell>
          <cell r="T332">
            <v>0</v>
          </cell>
        </row>
        <row r="333">
          <cell r="Q333">
            <v>209</v>
          </cell>
          <cell r="R333">
            <v>0.77777777777777779</v>
          </cell>
          <cell r="S333">
            <v>0.22222222222222221</v>
          </cell>
          <cell r="T333">
            <v>0</v>
          </cell>
        </row>
        <row r="334">
          <cell r="Q334">
            <v>208</v>
          </cell>
          <cell r="R334">
            <v>0.77777777777777779</v>
          </cell>
          <cell r="S334">
            <v>0.22222222222222221</v>
          </cell>
          <cell r="T334">
            <v>0</v>
          </cell>
        </row>
        <row r="335">
          <cell r="Q335">
            <v>207</v>
          </cell>
          <cell r="R335">
            <v>0.77777777777777779</v>
          </cell>
          <cell r="S335">
            <v>0.22222222222222221</v>
          </cell>
          <cell r="T335">
            <v>0</v>
          </cell>
        </row>
        <row r="336">
          <cell r="Q336">
            <v>206</v>
          </cell>
          <cell r="R336">
            <v>0.77777777777777779</v>
          </cell>
          <cell r="S336">
            <v>0.22222222222222221</v>
          </cell>
          <cell r="T336">
            <v>0</v>
          </cell>
        </row>
        <row r="337">
          <cell r="Q337">
            <v>205</v>
          </cell>
          <cell r="R337">
            <v>0.77777777777777779</v>
          </cell>
          <cell r="S337">
            <v>0.22222222222222221</v>
          </cell>
          <cell r="T337">
            <v>0</v>
          </cell>
        </row>
        <row r="338">
          <cell r="Q338">
            <v>204</v>
          </cell>
          <cell r="R338">
            <v>0.77777777777777779</v>
          </cell>
          <cell r="S338">
            <v>0.22222222222222221</v>
          </cell>
          <cell r="T338">
            <v>0</v>
          </cell>
        </row>
        <row r="339">
          <cell r="Q339">
            <v>203</v>
          </cell>
          <cell r="R339">
            <v>0.77056549629629634</v>
          </cell>
          <cell r="S339">
            <v>0.22943450370370369</v>
          </cell>
          <cell r="T339">
            <v>0</v>
          </cell>
        </row>
        <row r="340">
          <cell r="Q340">
            <v>202</v>
          </cell>
          <cell r="R340">
            <v>0.76335321481481477</v>
          </cell>
          <cell r="S340">
            <v>0.2366467851851852</v>
          </cell>
          <cell r="T340">
            <v>0</v>
          </cell>
        </row>
        <row r="341">
          <cell r="Q341">
            <v>201</v>
          </cell>
          <cell r="R341">
            <v>0.75614093333333332</v>
          </cell>
          <cell r="S341">
            <v>0.24385906666666668</v>
          </cell>
          <cell r="T341">
            <v>0</v>
          </cell>
        </row>
        <row r="342">
          <cell r="Q342">
            <v>200</v>
          </cell>
          <cell r="R342">
            <v>0.74892865185185187</v>
          </cell>
          <cell r="S342">
            <v>0.25107134814814819</v>
          </cell>
          <cell r="T342">
            <v>0</v>
          </cell>
        </row>
        <row r="343">
          <cell r="Q343">
            <v>199</v>
          </cell>
          <cell r="R343">
            <v>0.7417163703703703</v>
          </cell>
          <cell r="S343">
            <v>0.25828362962962964</v>
          </cell>
          <cell r="T343">
            <v>0</v>
          </cell>
        </row>
        <row r="344">
          <cell r="Q344">
            <v>198</v>
          </cell>
          <cell r="R344">
            <v>0.73450408888888885</v>
          </cell>
          <cell r="S344">
            <v>0.26549591111111115</v>
          </cell>
          <cell r="T344">
            <v>0</v>
          </cell>
        </row>
        <row r="345">
          <cell r="Q345">
            <v>197</v>
          </cell>
          <cell r="R345">
            <v>0.7272918074074074</v>
          </cell>
          <cell r="S345">
            <v>0.27270819259259266</v>
          </cell>
          <cell r="T345">
            <v>0</v>
          </cell>
        </row>
        <row r="346">
          <cell r="Q346">
            <v>196</v>
          </cell>
          <cell r="R346">
            <v>0.72007952592592583</v>
          </cell>
          <cell r="S346">
            <v>0.27992047407407411</v>
          </cell>
          <cell r="T346">
            <v>0</v>
          </cell>
        </row>
        <row r="347">
          <cell r="Q347">
            <v>195</v>
          </cell>
          <cell r="R347">
            <v>0.71286724444444438</v>
          </cell>
          <cell r="S347">
            <v>0.28713275555555562</v>
          </cell>
          <cell r="T347">
            <v>0</v>
          </cell>
        </row>
        <row r="348">
          <cell r="Q348">
            <v>194</v>
          </cell>
          <cell r="R348">
            <v>0.70565496296296293</v>
          </cell>
          <cell r="S348">
            <v>0.29434503703703713</v>
          </cell>
          <cell r="T348">
            <v>0</v>
          </cell>
        </row>
        <row r="349">
          <cell r="Q349">
            <v>193</v>
          </cell>
          <cell r="R349">
            <v>0.69844268148148136</v>
          </cell>
          <cell r="S349">
            <v>0.30155731851851858</v>
          </cell>
          <cell r="T349">
            <v>0</v>
          </cell>
        </row>
        <row r="350">
          <cell r="Q350">
            <v>192</v>
          </cell>
          <cell r="R350">
            <v>0.69123039999999991</v>
          </cell>
          <cell r="S350">
            <v>0.30876960000000009</v>
          </cell>
          <cell r="T350">
            <v>0</v>
          </cell>
        </row>
        <row r="351">
          <cell r="Q351">
            <v>191</v>
          </cell>
          <cell r="R351">
            <v>0.67760210277777766</v>
          </cell>
          <cell r="S351">
            <v>0.32239789722222228</v>
          </cell>
          <cell r="T351">
            <v>0</v>
          </cell>
        </row>
        <row r="352">
          <cell r="Q352">
            <v>190</v>
          </cell>
          <cell r="R352">
            <v>0.66397380555555552</v>
          </cell>
          <cell r="S352">
            <v>0.33602619444444448</v>
          </cell>
          <cell r="T352">
            <v>0</v>
          </cell>
        </row>
        <row r="353">
          <cell r="Q353">
            <v>189</v>
          </cell>
          <cell r="R353">
            <v>0.65034550833333327</v>
          </cell>
          <cell r="S353">
            <v>0.34965449166666673</v>
          </cell>
          <cell r="T353">
            <v>0</v>
          </cell>
        </row>
        <row r="354">
          <cell r="Q354">
            <v>188</v>
          </cell>
          <cell r="R354">
            <v>0.63671721111111113</v>
          </cell>
          <cell r="S354">
            <v>0.36328278888888893</v>
          </cell>
          <cell r="T354">
            <v>0</v>
          </cell>
        </row>
        <row r="355">
          <cell r="Q355">
            <v>187</v>
          </cell>
          <cell r="R355">
            <v>0.62308891388888887</v>
          </cell>
          <cell r="S355">
            <v>0.37691108611111113</v>
          </cell>
          <cell r="T355">
            <v>0</v>
          </cell>
        </row>
        <row r="356">
          <cell r="Q356">
            <v>186</v>
          </cell>
          <cell r="R356">
            <v>0.60946061666666673</v>
          </cell>
          <cell r="S356">
            <v>0.39053938333333332</v>
          </cell>
          <cell r="T356">
            <v>0</v>
          </cell>
        </row>
        <row r="357">
          <cell r="Q357">
            <v>185</v>
          </cell>
          <cell r="R357">
            <v>0.59583231944444448</v>
          </cell>
          <cell r="S357">
            <v>0.40416768055555552</v>
          </cell>
          <cell r="T357">
            <v>0</v>
          </cell>
        </row>
        <row r="358">
          <cell r="Q358">
            <v>184</v>
          </cell>
          <cell r="R358">
            <v>0.58220402222222223</v>
          </cell>
          <cell r="S358">
            <v>0.41779597777777772</v>
          </cell>
          <cell r="T358">
            <v>0</v>
          </cell>
        </row>
        <row r="359">
          <cell r="Q359">
            <v>183</v>
          </cell>
          <cell r="R359">
            <v>0.56857572500000009</v>
          </cell>
          <cell r="S359">
            <v>0.43142427499999991</v>
          </cell>
          <cell r="T359">
            <v>0</v>
          </cell>
        </row>
        <row r="360">
          <cell r="Q360">
            <v>182</v>
          </cell>
          <cell r="R360">
            <v>0.55494742777777784</v>
          </cell>
          <cell r="S360">
            <v>0.44505257222222216</v>
          </cell>
          <cell r="T360">
            <v>0</v>
          </cell>
        </row>
        <row r="361">
          <cell r="Q361">
            <v>181</v>
          </cell>
          <cell r="R361">
            <v>0.54131913055555569</v>
          </cell>
          <cell r="S361">
            <v>0.45868086944444436</v>
          </cell>
          <cell r="T361">
            <v>0</v>
          </cell>
        </row>
        <row r="362">
          <cell r="Q362">
            <v>180</v>
          </cell>
          <cell r="R362">
            <v>0.52769083333333344</v>
          </cell>
          <cell r="S362">
            <v>0.47230916666666656</v>
          </cell>
          <cell r="T362">
            <v>0</v>
          </cell>
        </row>
        <row r="363">
          <cell r="Q363">
            <v>179</v>
          </cell>
          <cell r="R363">
            <v>0.5172371027777779</v>
          </cell>
          <cell r="S363">
            <v>0.48276289722222215</v>
          </cell>
          <cell r="T363">
            <v>0</v>
          </cell>
        </row>
        <row r="364">
          <cell r="Q364">
            <v>178</v>
          </cell>
          <cell r="R364">
            <v>0.50678337222222225</v>
          </cell>
          <cell r="S364">
            <v>0.49321662777777769</v>
          </cell>
          <cell r="T364">
            <v>0</v>
          </cell>
        </row>
        <row r="365">
          <cell r="Q365">
            <v>177</v>
          </cell>
          <cell r="R365">
            <v>0.49632964166666671</v>
          </cell>
          <cell r="S365">
            <v>0.50367035833333329</v>
          </cell>
          <cell r="T365">
            <v>0</v>
          </cell>
        </row>
        <row r="366">
          <cell r="Q366">
            <v>176</v>
          </cell>
          <cell r="R366">
            <v>0.48587591111111117</v>
          </cell>
          <cell r="S366">
            <v>0.51412408888888883</v>
          </cell>
          <cell r="T366">
            <v>0</v>
          </cell>
        </row>
        <row r="367">
          <cell r="Q367">
            <v>175</v>
          </cell>
          <cell r="R367">
            <v>0.47542218055555557</v>
          </cell>
          <cell r="S367">
            <v>0.52457781944444448</v>
          </cell>
          <cell r="T367">
            <v>0</v>
          </cell>
        </row>
        <row r="368">
          <cell r="Q368">
            <v>174</v>
          </cell>
          <cell r="R368">
            <v>0.46496844999999998</v>
          </cell>
          <cell r="S368">
            <v>0.53503155000000002</v>
          </cell>
          <cell r="T368">
            <v>0</v>
          </cell>
        </row>
        <row r="369">
          <cell r="Q369">
            <v>173</v>
          </cell>
          <cell r="R369">
            <v>0.45451471944444444</v>
          </cell>
          <cell r="S369">
            <v>0.54548528055555556</v>
          </cell>
          <cell r="T369">
            <v>0</v>
          </cell>
        </row>
        <row r="370">
          <cell r="Q370">
            <v>172</v>
          </cell>
          <cell r="R370">
            <v>0.44406098888888884</v>
          </cell>
          <cell r="S370">
            <v>0.55593901111111121</v>
          </cell>
          <cell r="T370">
            <v>0</v>
          </cell>
        </row>
        <row r="371">
          <cell r="Q371">
            <v>171</v>
          </cell>
          <cell r="R371">
            <v>0.4336072583333333</v>
          </cell>
          <cell r="S371">
            <v>0.56639274166666675</v>
          </cell>
          <cell r="T371">
            <v>0</v>
          </cell>
        </row>
        <row r="372">
          <cell r="Q372">
            <v>170</v>
          </cell>
          <cell r="R372">
            <v>0.4231535277777777</v>
          </cell>
          <cell r="S372">
            <v>0.5768464722222223</v>
          </cell>
          <cell r="T372">
            <v>0</v>
          </cell>
        </row>
        <row r="373">
          <cell r="Q373">
            <v>169</v>
          </cell>
          <cell r="R373">
            <v>0.41269979722222216</v>
          </cell>
          <cell r="S373">
            <v>0.58730020277777795</v>
          </cell>
          <cell r="T373">
            <v>0</v>
          </cell>
        </row>
        <row r="374">
          <cell r="Q374">
            <v>168</v>
          </cell>
          <cell r="R374">
            <v>0.40224606666666657</v>
          </cell>
          <cell r="S374">
            <v>0.59775393333333349</v>
          </cell>
          <cell r="T374">
            <v>0</v>
          </cell>
        </row>
        <row r="375">
          <cell r="Q375">
            <v>167</v>
          </cell>
          <cell r="R375">
            <v>0.3946049416666666</v>
          </cell>
          <cell r="S375">
            <v>0.6053950583333334</v>
          </cell>
          <cell r="T375">
            <v>0</v>
          </cell>
        </row>
        <row r="376">
          <cell r="Q376">
            <v>166</v>
          </cell>
          <cell r="R376">
            <v>0.38696381666666663</v>
          </cell>
          <cell r="S376">
            <v>0.61303618333333343</v>
          </cell>
          <cell r="T376">
            <v>0</v>
          </cell>
        </row>
        <row r="377">
          <cell r="Q377">
            <v>165</v>
          </cell>
          <cell r="R377">
            <v>0.37932269166666666</v>
          </cell>
          <cell r="S377">
            <v>0.62067730833333346</v>
          </cell>
          <cell r="T377">
            <v>0</v>
          </cell>
        </row>
        <row r="378">
          <cell r="Q378">
            <v>164</v>
          </cell>
          <cell r="R378">
            <v>0.37168156666666663</v>
          </cell>
          <cell r="S378">
            <v>0.62831843333333337</v>
          </cell>
          <cell r="T378">
            <v>0</v>
          </cell>
        </row>
        <row r="379">
          <cell r="Q379">
            <v>163</v>
          </cell>
          <cell r="R379">
            <v>0.36404044166666666</v>
          </cell>
          <cell r="S379">
            <v>0.63595955833333329</v>
          </cell>
          <cell r="T379">
            <v>0</v>
          </cell>
        </row>
        <row r="380">
          <cell r="Q380">
            <v>162</v>
          </cell>
          <cell r="R380">
            <v>0.35639931666666669</v>
          </cell>
          <cell r="S380">
            <v>0.64360068333333331</v>
          </cell>
          <cell r="T380">
            <v>0</v>
          </cell>
        </row>
        <row r="381">
          <cell r="Q381">
            <v>161</v>
          </cell>
          <cell r="R381">
            <v>0.34875819166666672</v>
          </cell>
          <cell r="S381">
            <v>0.65124180833333334</v>
          </cell>
          <cell r="T381">
            <v>0</v>
          </cell>
        </row>
        <row r="382">
          <cell r="Q382">
            <v>160</v>
          </cell>
          <cell r="R382">
            <v>0.34111706666666675</v>
          </cell>
          <cell r="S382">
            <v>0.65888293333333325</v>
          </cell>
          <cell r="T382">
            <v>0</v>
          </cell>
        </row>
        <row r="383">
          <cell r="Q383">
            <v>159</v>
          </cell>
          <cell r="R383">
            <v>0.33347594166666672</v>
          </cell>
          <cell r="S383">
            <v>0.66652405833333317</v>
          </cell>
          <cell r="T383">
            <v>0</v>
          </cell>
        </row>
        <row r="384">
          <cell r="Q384">
            <v>158</v>
          </cell>
          <cell r="R384">
            <v>0.32583481666666675</v>
          </cell>
          <cell r="S384">
            <v>0.6741651833333332</v>
          </cell>
          <cell r="T384">
            <v>0</v>
          </cell>
        </row>
        <row r="385">
          <cell r="Q385">
            <v>157</v>
          </cell>
          <cell r="R385">
            <v>0.31819369166666678</v>
          </cell>
          <cell r="S385">
            <v>0.68180630833333322</v>
          </cell>
          <cell r="T385">
            <v>0</v>
          </cell>
        </row>
        <row r="386">
          <cell r="Q386">
            <v>156</v>
          </cell>
          <cell r="R386">
            <v>0.31055256666666681</v>
          </cell>
          <cell r="S386">
            <v>0.68944743333333314</v>
          </cell>
          <cell r="T386">
            <v>0</v>
          </cell>
        </row>
        <row r="387">
          <cell r="Q387">
            <v>155</v>
          </cell>
          <cell r="R387">
            <v>0.30463213055555566</v>
          </cell>
          <cell r="S387">
            <v>0.69536786944444429</v>
          </cell>
          <cell r="T387">
            <v>0</v>
          </cell>
        </row>
        <row r="388">
          <cell r="Q388">
            <v>154</v>
          </cell>
          <cell r="R388">
            <v>0.29871169444444456</v>
          </cell>
          <cell r="S388">
            <v>0.70128830555555544</v>
          </cell>
          <cell r="T388">
            <v>0</v>
          </cell>
        </row>
        <row r="389">
          <cell r="Q389">
            <v>153</v>
          </cell>
          <cell r="R389">
            <v>0.29279125833333342</v>
          </cell>
          <cell r="S389">
            <v>0.70720874166666658</v>
          </cell>
          <cell r="T389">
            <v>0</v>
          </cell>
        </row>
        <row r="390">
          <cell r="Q390">
            <v>152</v>
          </cell>
          <cell r="R390">
            <v>0.28687082222222227</v>
          </cell>
          <cell r="S390">
            <v>0.71312917777777773</v>
          </cell>
          <cell r="T390">
            <v>0</v>
          </cell>
        </row>
        <row r="391">
          <cell r="Q391">
            <v>151</v>
          </cell>
          <cell r="R391">
            <v>0.28095038611111112</v>
          </cell>
          <cell r="S391">
            <v>0.71904961388888888</v>
          </cell>
          <cell r="T391">
            <v>0</v>
          </cell>
        </row>
        <row r="392">
          <cell r="Q392">
            <v>150</v>
          </cell>
          <cell r="R392">
            <v>0.27502994999999997</v>
          </cell>
          <cell r="S392">
            <v>0.72497005000000003</v>
          </cell>
          <cell r="T392">
            <v>0</v>
          </cell>
        </row>
        <row r="393">
          <cell r="Q393">
            <v>149</v>
          </cell>
          <cell r="R393">
            <v>0.26910951388888887</v>
          </cell>
          <cell r="S393">
            <v>0.73089048611111107</v>
          </cell>
          <cell r="T393">
            <v>0</v>
          </cell>
        </row>
        <row r="394">
          <cell r="Q394">
            <v>148</v>
          </cell>
          <cell r="R394">
            <v>0.26318907777777772</v>
          </cell>
          <cell r="S394">
            <v>0.73681092222222222</v>
          </cell>
          <cell r="T394">
            <v>0</v>
          </cell>
        </row>
        <row r="395">
          <cell r="Q395">
            <v>147</v>
          </cell>
          <cell r="R395">
            <v>0.25726864166666658</v>
          </cell>
          <cell r="S395">
            <v>0.74273135833333337</v>
          </cell>
          <cell r="T395">
            <v>0</v>
          </cell>
        </row>
        <row r="396">
          <cell r="Q396">
            <v>146</v>
          </cell>
          <cell r="R396">
            <v>0.25134820555555548</v>
          </cell>
          <cell r="S396">
            <v>0.74865179444444452</v>
          </cell>
          <cell r="T396">
            <v>0</v>
          </cell>
        </row>
        <row r="397">
          <cell r="Q397">
            <v>145</v>
          </cell>
          <cell r="R397">
            <v>0.24542776944444433</v>
          </cell>
          <cell r="S397">
            <v>0.75457223055555567</v>
          </cell>
          <cell r="T397">
            <v>0</v>
          </cell>
        </row>
        <row r="398">
          <cell r="Q398">
            <v>144</v>
          </cell>
          <cell r="R398">
            <v>0.23950733333333318</v>
          </cell>
          <cell r="S398">
            <v>0.76049266666666682</v>
          </cell>
          <cell r="T398">
            <v>0</v>
          </cell>
        </row>
        <row r="399">
          <cell r="Q399">
            <v>143</v>
          </cell>
          <cell r="R399">
            <v>0.23435422777777762</v>
          </cell>
          <cell r="S399">
            <v>0.76564577222222241</v>
          </cell>
          <cell r="T399">
            <v>0</v>
          </cell>
        </row>
        <row r="400">
          <cell r="Q400">
            <v>142</v>
          </cell>
          <cell r="R400">
            <v>0.22920112222222208</v>
          </cell>
          <cell r="S400">
            <v>0.77079887777777789</v>
          </cell>
          <cell r="T400">
            <v>0</v>
          </cell>
        </row>
        <row r="401">
          <cell r="Q401">
            <v>141</v>
          </cell>
          <cell r="R401">
            <v>0.22404801666666652</v>
          </cell>
          <cell r="S401">
            <v>0.77595198333333348</v>
          </cell>
          <cell r="T401">
            <v>0</v>
          </cell>
        </row>
        <row r="402">
          <cell r="Q402">
            <v>140</v>
          </cell>
          <cell r="R402">
            <v>0.21889491111111095</v>
          </cell>
          <cell r="S402">
            <v>0.78110508888888908</v>
          </cell>
          <cell r="T402">
            <v>0</v>
          </cell>
        </row>
        <row r="403">
          <cell r="Q403">
            <v>139</v>
          </cell>
          <cell r="R403">
            <v>0.21374180555555541</v>
          </cell>
          <cell r="S403">
            <v>0.78625819444444456</v>
          </cell>
          <cell r="T403">
            <v>0</v>
          </cell>
        </row>
        <row r="404">
          <cell r="Q404">
            <v>138</v>
          </cell>
          <cell r="R404">
            <v>0.20858869999999985</v>
          </cell>
          <cell r="S404">
            <v>0.79141130000000015</v>
          </cell>
          <cell r="T404">
            <v>0</v>
          </cell>
        </row>
        <row r="405">
          <cell r="Q405">
            <v>137</v>
          </cell>
          <cell r="R405">
            <v>0.20343559444444428</v>
          </cell>
          <cell r="S405">
            <v>0.79656440555555574</v>
          </cell>
          <cell r="T405">
            <v>0</v>
          </cell>
        </row>
        <row r="406">
          <cell r="Q406">
            <v>136</v>
          </cell>
          <cell r="R406">
            <v>0.19828248888888875</v>
          </cell>
          <cell r="S406">
            <v>0.80171751111111123</v>
          </cell>
          <cell r="T406">
            <v>0</v>
          </cell>
        </row>
        <row r="407">
          <cell r="Q407">
            <v>135</v>
          </cell>
          <cell r="R407">
            <v>0.19312938333333318</v>
          </cell>
          <cell r="S407">
            <v>0.80687061666666682</v>
          </cell>
          <cell r="T407">
            <v>0</v>
          </cell>
        </row>
        <row r="408">
          <cell r="Q408">
            <v>134</v>
          </cell>
          <cell r="R408">
            <v>0.18797627777777762</v>
          </cell>
          <cell r="S408">
            <v>0.81202372222222241</v>
          </cell>
          <cell r="T408">
            <v>0</v>
          </cell>
        </row>
        <row r="409">
          <cell r="Q409">
            <v>133</v>
          </cell>
          <cell r="R409">
            <v>0.18282317222222208</v>
          </cell>
          <cell r="S409">
            <v>0.81717682777777789</v>
          </cell>
          <cell r="T409">
            <v>0</v>
          </cell>
        </row>
        <row r="410">
          <cell r="Q410">
            <v>132</v>
          </cell>
          <cell r="R410">
            <v>0.17767006666666652</v>
          </cell>
          <cell r="S410">
            <v>0.82232993333333348</v>
          </cell>
          <cell r="T410">
            <v>0</v>
          </cell>
        </row>
        <row r="411">
          <cell r="Q411">
            <v>131</v>
          </cell>
          <cell r="R411">
            <v>0.17331731111111098</v>
          </cell>
          <cell r="S411">
            <v>0.82668268888888896</v>
          </cell>
          <cell r="T411">
            <v>0</v>
          </cell>
        </row>
        <row r="412">
          <cell r="Q412">
            <v>130</v>
          </cell>
          <cell r="R412">
            <v>0.16896455555555545</v>
          </cell>
          <cell r="S412">
            <v>0.83103544444444455</v>
          </cell>
          <cell r="T412">
            <v>0</v>
          </cell>
        </row>
        <row r="413">
          <cell r="Q413">
            <v>129</v>
          </cell>
          <cell r="R413">
            <v>0.16461179999999992</v>
          </cell>
          <cell r="S413">
            <v>0.83538820000000014</v>
          </cell>
          <cell r="T413">
            <v>0</v>
          </cell>
        </row>
        <row r="414">
          <cell r="Q414">
            <v>128</v>
          </cell>
          <cell r="R414">
            <v>0.16025904444444439</v>
          </cell>
          <cell r="S414">
            <v>0.83974095555555561</v>
          </cell>
          <cell r="T414">
            <v>0</v>
          </cell>
        </row>
        <row r="415">
          <cell r="Q415">
            <v>127</v>
          </cell>
          <cell r="R415">
            <v>0.15590628888888886</v>
          </cell>
          <cell r="S415">
            <v>0.84409371111111109</v>
          </cell>
          <cell r="T415">
            <v>0</v>
          </cell>
        </row>
        <row r="416">
          <cell r="Q416">
            <v>126</v>
          </cell>
          <cell r="R416">
            <v>0.15155353333333332</v>
          </cell>
          <cell r="S416">
            <v>0.84844646666666668</v>
          </cell>
          <cell r="T416">
            <v>0</v>
          </cell>
        </row>
        <row r="417">
          <cell r="Q417">
            <v>125</v>
          </cell>
          <cell r="R417">
            <v>0.14720077777777776</v>
          </cell>
          <cell r="S417">
            <v>0.85279922222222226</v>
          </cell>
          <cell r="T417">
            <v>0</v>
          </cell>
        </row>
        <row r="418">
          <cell r="Q418">
            <v>124</v>
          </cell>
          <cell r="R418">
            <v>0.14284802222222223</v>
          </cell>
          <cell r="S418">
            <v>0.85715197777777774</v>
          </cell>
          <cell r="T418">
            <v>0</v>
          </cell>
        </row>
        <row r="419">
          <cell r="Q419">
            <v>123</v>
          </cell>
          <cell r="R419">
            <v>0.1384952666666667</v>
          </cell>
          <cell r="S419">
            <v>0.86150473333333322</v>
          </cell>
          <cell r="T419">
            <v>0</v>
          </cell>
        </row>
        <row r="420">
          <cell r="Q420">
            <v>122</v>
          </cell>
          <cell r="R420">
            <v>0.13414251111111117</v>
          </cell>
          <cell r="S420">
            <v>0.8658574888888888</v>
          </cell>
          <cell r="T420">
            <v>0</v>
          </cell>
        </row>
        <row r="421">
          <cell r="Q421">
            <v>121</v>
          </cell>
          <cell r="R421">
            <v>0.12978975555555564</v>
          </cell>
          <cell r="S421">
            <v>0.87021024444444439</v>
          </cell>
          <cell r="T421">
            <v>0</v>
          </cell>
        </row>
        <row r="422">
          <cell r="Q422">
            <v>120</v>
          </cell>
          <cell r="R422">
            <v>0.1254370000000001</v>
          </cell>
          <cell r="S422">
            <v>0.87456299999999987</v>
          </cell>
          <cell r="T422">
            <v>0</v>
          </cell>
        </row>
        <row r="423">
          <cell r="Q423">
            <v>119</v>
          </cell>
          <cell r="R423">
            <v>0.12162538611111122</v>
          </cell>
          <cell r="S423">
            <v>0.87837461388888871</v>
          </cell>
          <cell r="T423">
            <v>0</v>
          </cell>
        </row>
        <row r="424">
          <cell r="Q424">
            <v>118</v>
          </cell>
          <cell r="R424">
            <v>0.11781377222222233</v>
          </cell>
          <cell r="S424">
            <v>0.88218622777777767</v>
          </cell>
          <cell r="T424">
            <v>0</v>
          </cell>
        </row>
        <row r="425">
          <cell r="Q425">
            <v>117</v>
          </cell>
          <cell r="R425">
            <v>0.11400215833333345</v>
          </cell>
          <cell r="S425">
            <v>0.88599784166666651</v>
          </cell>
          <cell r="T425">
            <v>0</v>
          </cell>
        </row>
        <row r="426">
          <cell r="Q426">
            <v>116</v>
          </cell>
          <cell r="R426">
            <v>0.11019054444444457</v>
          </cell>
          <cell r="S426">
            <v>0.88980945555555546</v>
          </cell>
          <cell r="T426">
            <v>0</v>
          </cell>
        </row>
        <row r="427">
          <cell r="Q427">
            <v>115</v>
          </cell>
          <cell r="R427">
            <v>0.10637893055555568</v>
          </cell>
          <cell r="S427">
            <v>0.8936210694444443</v>
          </cell>
          <cell r="T427">
            <v>0</v>
          </cell>
        </row>
        <row r="428">
          <cell r="Q428">
            <v>114</v>
          </cell>
          <cell r="R428">
            <v>0.1025673166666668</v>
          </cell>
          <cell r="S428">
            <v>0.89743268333333326</v>
          </cell>
          <cell r="T428">
            <v>0</v>
          </cell>
        </row>
        <row r="429">
          <cell r="Q429">
            <v>113</v>
          </cell>
          <cell r="R429">
            <v>9.8755702777777912E-2</v>
          </cell>
          <cell r="S429">
            <v>0.9012442972222221</v>
          </cell>
          <cell r="T429">
            <v>0</v>
          </cell>
        </row>
        <row r="430">
          <cell r="Q430">
            <v>112</v>
          </cell>
          <cell r="R430">
            <v>9.4944088888889028E-2</v>
          </cell>
          <cell r="S430">
            <v>0.90505591111111094</v>
          </cell>
          <cell r="T430">
            <v>0</v>
          </cell>
        </row>
        <row r="431">
          <cell r="Q431">
            <v>111</v>
          </cell>
          <cell r="R431">
            <v>9.1132475000000143E-2</v>
          </cell>
          <cell r="S431">
            <v>0.9088675249999999</v>
          </cell>
          <cell r="T431">
            <v>0</v>
          </cell>
        </row>
        <row r="432">
          <cell r="Q432">
            <v>110</v>
          </cell>
          <cell r="R432">
            <v>8.7320861111111259E-2</v>
          </cell>
          <cell r="S432">
            <v>0.91267913888888874</v>
          </cell>
          <cell r="T432">
            <v>0</v>
          </cell>
        </row>
        <row r="433">
          <cell r="Q433">
            <v>109</v>
          </cell>
          <cell r="R433">
            <v>8.3509247222222374E-2</v>
          </cell>
          <cell r="S433">
            <v>0.9164907527777777</v>
          </cell>
          <cell r="T433">
            <v>0</v>
          </cell>
        </row>
        <row r="434">
          <cell r="Q434">
            <v>108</v>
          </cell>
          <cell r="R434">
            <v>7.969763333333349E-2</v>
          </cell>
          <cell r="S434">
            <v>0.92030236666666654</v>
          </cell>
          <cell r="T434">
            <v>0</v>
          </cell>
        </row>
        <row r="435">
          <cell r="Q435">
            <v>107</v>
          </cell>
          <cell r="R435">
            <v>7.6283408333333483E-2</v>
          </cell>
          <cell r="S435">
            <v>0.92371659166666653</v>
          </cell>
          <cell r="T435">
            <v>0</v>
          </cell>
        </row>
        <row r="436">
          <cell r="Q436">
            <v>106</v>
          </cell>
          <cell r="R436">
            <v>7.2869183333333476E-2</v>
          </cell>
          <cell r="S436">
            <v>0.92713081666666652</v>
          </cell>
          <cell r="T436">
            <v>0</v>
          </cell>
        </row>
        <row r="437">
          <cell r="Q437">
            <v>105</v>
          </cell>
          <cell r="R437">
            <v>6.9454958333333455E-2</v>
          </cell>
          <cell r="S437">
            <v>0.93054504166666652</v>
          </cell>
          <cell r="T437">
            <v>0</v>
          </cell>
        </row>
        <row r="438">
          <cell r="Q438">
            <v>104</v>
          </cell>
          <cell r="R438">
            <v>6.6040733333333448E-2</v>
          </cell>
          <cell r="S438">
            <v>0.93395926666666662</v>
          </cell>
          <cell r="T438">
            <v>0</v>
          </cell>
        </row>
        <row r="439">
          <cell r="Q439">
            <v>103</v>
          </cell>
          <cell r="R439">
            <v>6.2626508333333442E-2</v>
          </cell>
          <cell r="S439">
            <v>0.93737349166666661</v>
          </cell>
          <cell r="T439">
            <v>0</v>
          </cell>
        </row>
        <row r="440">
          <cell r="Q440">
            <v>102</v>
          </cell>
          <cell r="R440">
            <v>5.9212283333333435E-2</v>
          </cell>
          <cell r="S440">
            <v>0.94078771666666661</v>
          </cell>
          <cell r="T440">
            <v>0</v>
          </cell>
        </row>
        <row r="441">
          <cell r="Q441">
            <v>101</v>
          </cell>
          <cell r="R441">
            <v>5.5798058333333421E-2</v>
          </cell>
          <cell r="S441">
            <v>0.9442019416666666</v>
          </cell>
          <cell r="T441">
            <v>0</v>
          </cell>
        </row>
        <row r="442">
          <cell r="Q442">
            <v>100</v>
          </cell>
          <cell r="R442">
            <v>5.2383833333333414E-2</v>
          </cell>
          <cell r="S442">
            <v>0.94761616666666659</v>
          </cell>
          <cell r="T442">
            <v>0</v>
          </cell>
        </row>
        <row r="443">
          <cell r="Q443">
            <v>99</v>
          </cell>
          <cell r="R443">
            <v>4.89696083333334E-2</v>
          </cell>
          <cell r="S443">
            <v>0.9510303916666667</v>
          </cell>
          <cell r="T443">
            <v>0</v>
          </cell>
        </row>
        <row r="444">
          <cell r="Q444">
            <v>98</v>
          </cell>
          <cell r="R444">
            <v>4.5555383333333394E-2</v>
          </cell>
          <cell r="S444">
            <v>0.95444461666666669</v>
          </cell>
          <cell r="T444">
            <v>0</v>
          </cell>
        </row>
        <row r="445">
          <cell r="Q445">
            <v>97</v>
          </cell>
          <cell r="R445">
            <v>4.214115833333338E-2</v>
          </cell>
          <cell r="S445">
            <v>0.95785884166666668</v>
          </cell>
          <cell r="T445">
            <v>0</v>
          </cell>
        </row>
        <row r="446">
          <cell r="Q446">
            <v>96</v>
          </cell>
          <cell r="R446">
            <v>3.8726933333333373E-2</v>
          </cell>
          <cell r="S446">
            <v>0.96127306666666668</v>
          </cell>
          <cell r="T446">
            <v>0</v>
          </cell>
        </row>
        <row r="447">
          <cell r="Q447">
            <v>95</v>
          </cell>
          <cell r="R447">
            <v>3.5917433333333373E-2</v>
          </cell>
          <cell r="S447">
            <v>0.9640825666666667</v>
          </cell>
          <cell r="T447">
            <v>0</v>
          </cell>
        </row>
        <row r="448">
          <cell r="Q448">
            <v>94</v>
          </cell>
          <cell r="R448">
            <v>3.3107933333333374E-2</v>
          </cell>
          <cell r="S448">
            <v>0.96689206666666672</v>
          </cell>
          <cell r="T448">
            <v>0</v>
          </cell>
        </row>
        <row r="449">
          <cell r="Q449">
            <v>93</v>
          </cell>
          <cell r="R449">
            <v>3.0298433333333374E-2</v>
          </cell>
          <cell r="S449">
            <v>0.96970156666666663</v>
          </cell>
          <cell r="T449">
            <v>0</v>
          </cell>
        </row>
        <row r="450">
          <cell r="Q450">
            <v>92</v>
          </cell>
          <cell r="R450">
            <v>2.7488933333333375E-2</v>
          </cell>
          <cell r="S450">
            <v>0.97251106666666665</v>
          </cell>
          <cell r="T450">
            <v>0</v>
          </cell>
        </row>
        <row r="451">
          <cell r="Q451">
            <v>91</v>
          </cell>
          <cell r="R451">
            <v>2.4679433333333375E-2</v>
          </cell>
          <cell r="S451">
            <v>0.97532056666666667</v>
          </cell>
          <cell r="T451">
            <v>0</v>
          </cell>
        </row>
        <row r="452">
          <cell r="Q452">
            <v>90</v>
          </cell>
          <cell r="R452">
            <v>2.1869933333333376E-2</v>
          </cell>
          <cell r="S452">
            <v>0.97813006666666658</v>
          </cell>
          <cell r="T452">
            <v>0</v>
          </cell>
        </row>
        <row r="453">
          <cell r="Q453">
            <v>89</v>
          </cell>
          <cell r="R453">
            <v>1.9060433333333376E-2</v>
          </cell>
          <cell r="S453">
            <v>0.9809395666666666</v>
          </cell>
          <cell r="T453">
            <v>0</v>
          </cell>
        </row>
        <row r="454">
          <cell r="Q454">
            <v>88</v>
          </cell>
          <cell r="R454">
            <v>1.6250933333333377E-2</v>
          </cell>
          <cell r="S454">
            <v>0.98374906666666662</v>
          </cell>
          <cell r="T454">
            <v>0</v>
          </cell>
        </row>
        <row r="455">
          <cell r="Q455">
            <v>87</v>
          </cell>
          <cell r="R455">
            <v>1.3441433333333376E-2</v>
          </cell>
          <cell r="S455">
            <v>0.98655856666666664</v>
          </cell>
          <cell r="T455">
            <v>0</v>
          </cell>
        </row>
        <row r="456">
          <cell r="Q456">
            <v>86</v>
          </cell>
          <cell r="R456">
            <v>1.0631933333333376E-2</v>
          </cell>
          <cell r="S456">
            <v>0.98936806666666666</v>
          </cell>
          <cell r="T456">
            <v>0</v>
          </cell>
        </row>
        <row r="457">
          <cell r="Q457">
            <v>85</v>
          </cell>
          <cell r="R457">
            <v>7.8224333333333767E-3</v>
          </cell>
          <cell r="S457">
            <v>0.99217756666666657</v>
          </cell>
          <cell r="T457">
            <v>0</v>
          </cell>
        </row>
        <row r="458">
          <cell r="Q458">
            <v>84</v>
          </cell>
          <cell r="R458">
            <v>5.0129333333333763E-3</v>
          </cell>
          <cell r="S458">
            <v>0.99498706666666659</v>
          </cell>
          <cell r="T458">
            <v>0</v>
          </cell>
        </row>
        <row r="459">
          <cell r="Q459">
            <v>83</v>
          </cell>
          <cell r="R459">
            <v>4.5951888888889287E-3</v>
          </cell>
          <cell r="S459">
            <v>0.99193537777777774</v>
          </cell>
          <cell r="T459">
            <v>3.4694333333333363E-3</v>
          </cell>
        </row>
        <row r="460">
          <cell r="Q460">
            <v>82</v>
          </cell>
          <cell r="R460">
            <v>4.1774444444444801E-3</v>
          </cell>
          <cell r="S460">
            <v>0.98888368888888878</v>
          </cell>
          <cell r="T460">
            <v>6.9388666666666725E-3</v>
          </cell>
        </row>
        <row r="461">
          <cell r="Q461">
            <v>81</v>
          </cell>
          <cell r="R461">
            <v>3.7597000000000325E-3</v>
          </cell>
          <cell r="S461">
            <v>0.98583199999999993</v>
          </cell>
          <cell r="T461">
            <v>1.0408300000000009E-2</v>
          </cell>
        </row>
        <row r="462">
          <cell r="Q462">
            <v>80</v>
          </cell>
          <cell r="R462">
            <v>3.3419555555555844E-3</v>
          </cell>
          <cell r="S462">
            <v>0.98278031111111108</v>
          </cell>
          <cell r="T462">
            <v>1.3877733333333345E-2</v>
          </cell>
        </row>
        <row r="463">
          <cell r="Q463">
            <v>79</v>
          </cell>
          <cell r="R463">
            <v>2.9242111111111363E-3</v>
          </cell>
          <cell r="S463">
            <v>0.97972862222222212</v>
          </cell>
          <cell r="T463">
            <v>1.7347166666666681E-2</v>
          </cell>
        </row>
        <row r="464">
          <cell r="Q464">
            <v>78</v>
          </cell>
          <cell r="R464">
            <v>2.5064666666666882E-3</v>
          </cell>
          <cell r="S464">
            <v>0.97667693333333327</v>
          </cell>
          <cell r="T464">
            <v>2.0816600000000018E-2</v>
          </cell>
        </row>
        <row r="465">
          <cell r="Q465">
            <v>77</v>
          </cell>
          <cell r="R465">
            <v>2.0887222222222401E-3</v>
          </cell>
          <cell r="S465">
            <v>0.97362524444444443</v>
          </cell>
          <cell r="T465">
            <v>2.4286033333333356E-2</v>
          </cell>
        </row>
        <row r="466">
          <cell r="Q466">
            <v>76</v>
          </cell>
          <cell r="R466">
            <v>1.6709777777777922E-3</v>
          </cell>
          <cell r="S466">
            <v>0.97057355555555547</v>
          </cell>
          <cell r="T466">
            <v>2.775546666666669E-2</v>
          </cell>
        </row>
        <row r="467">
          <cell r="Q467">
            <v>75</v>
          </cell>
          <cell r="R467">
            <v>1.2532333333333441E-3</v>
          </cell>
          <cell r="S467">
            <v>0.96752186666666662</v>
          </cell>
          <cell r="T467">
            <v>3.1224900000000028E-2</v>
          </cell>
        </row>
        <row r="468">
          <cell r="Q468">
            <v>74</v>
          </cell>
          <cell r="R468">
            <v>8.3548888888889609E-4</v>
          </cell>
          <cell r="S468">
            <v>0.96447017777777777</v>
          </cell>
          <cell r="T468">
            <v>3.4694333333333362E-2</v>
          </cell>
        </row>
        <row r="469">
          <cell r="Q469">
            <v>73</v>
          </cell>
          <cell r="R469">
            <v>4.1774444444444805E-4</v>
          </cell>
          <cell r="S469">
            <v>0.96141848888888881</v>
          </cell>
          <cell r="T469">
            <v>3.8163766666666703E-2</v>
          </cell>
        </row>
        <row r="470">
          <cell r="Q470">
            <v>72</v>
          </cell>
          <cell r="R470">
            <v>0</v>
          </cell>
          <cell r="S470">
            <v>0.95836679999999996</v>
          </cell>
          <cell r="T470">
            <v>4.1633200000000037E-2</v>
          </cell>
        </row>
        <row r="471">
          <cell r="Q471">
            <v>71</v>
          </cell>
          <cell r="R471">
            <v>0</v>
          </cell>
          <cell r="S471">
            <v>0.95478689999999999</v>
          </cell>
          <cell r="T471">
            <v>4.5213100000000055E-2</v>
          </cell>
        </row>
        <row r="472">
          <cell r="Q472">
            <v>70</v>
          </cell>
          <cell r="R472">
            <v>0</v>
          </cell>
          <cell r="S472">
            <v>0.95120699999999991</v>
          </cell>
          <cell r="T472">
            <v>4.8793000000000065E-2</v>
          </cell>
        </row>
        <row r="473">
          <cell r="Q473">
            <v>69</v>
          </cell>
          <cell r="R473">
            <v>0</v>
          </cell>
          <cell r="S473">
            <v>0.94762709999999994</v>
          </cell>
          <cell r="T473">
            <v>5.2372900000000083E-2</v>
          </cell>
        </row>
        <row r="474">
          <cell r="Q474">
            <v>68</v>
          </cell>
          <cell r="R474">
            <v>0</v>
          </cell>
          <cell r="S474">
            <v>0.94404719999999986</v>
          </cell>
          <cell r="T474">
            <v>5.5952800000000101E-2</v>
          </cell>
        </row>
        <row r="475">
          <cell r="Q475">
            <v>67</v>
          </cell>
          <cell r="R475">
            <v>0</v>
          </cell>
          <cell r="S475">
            <v>0.9404672999999999</v>
          </cell>
          <cell r="T475">
            <v>5.9532700000000112E-2</v>
          </cell>
        </row>
        <row r="476">
          <cell r="Q476">
            <v>66</v>
          </cell>
          <cell r="R476">
            <v>0</v>
          </cell>
          <cell r="S476">
            <v>0.93688739999999981</v>
          </cell>
          <cell r="T476">
            <v>6.311260000000013E-2</v>
          </cell>
        </row>
        <row r="477">
          <cell r="Q477">
            <v>65</v>
          </cell>
          <cell r="R477">
            <v>0</v>
          </cell>
          <cell r="S477">
            <v>0.93330749999999985</v>
          </cell>
          <cell r="T477">
            <v>6.6692500000000141E-2</v>
          </cell>
        </row>
        <row r="478">
          <cell r="Q478">
            <v>64</v>
          </cell>
          <cell r="R478">
            <v>0</v>
          </cell>
          <cell r="S478">
            <v>0.92972759999999988</v>
          </cell>
          <cell r="T478">
            <v>7.0272400000000165E-2</v>
          </cell>
        </row>
        <row r="479">
          <cell r="Q479">
            <v>63</v>
          </cell>
          <cell r="R479">
            <v>0</v>
          </cell>
          <cell r="S479">
            <v>0.9261476999999998</v>
          </cell>
          <cell r="T479">
            <v>7.3852300000000176E-2</v>
          </cell>
        </row>
        <row r="480">
          <cell r="Q480">
            <v>62</v>
          </cell>
          <cell r="R480">
            <v>0</v>
          </cell>
          <cell r="S480">
            <v>0.92256779999999983</v>
          </cell>
          <cell r="T480">
            <v>7.7432200000000187E-2</v>
          </cell>
        </row>
        <row r="481">
          <cell r="Q481">
            <v>61</v>
          </cell>
          <cell r="R481">
            <v>0</v>
          </cell>
          <cell r="S481">
            <v>0.91898789999999975</v>
          </cell>
          <cell r="T481">
            <v>8.1012100000000212E-2</v>
          </cell>
        </row>
        <row r="482">
          <cell r="Q482">
            <v>60</v>
          </cell>
          <cell r="R482">
            <v>0</v>
          </cell>
          <cell r="S482">
            <v>0.91540799999999978</v>
          </cell>
          <cell r="T482">
            <v>8.4592000000000223E-2</v>
          </cell>
        </row>
        <row r="483">
          <cell r="Q483">
            <v>59</v>
          </cell>
          <cell r="R483">
            <v>0</v>
          </cell>
          <cell r="S483">
            <v>0.91230258333333314</v>
          </cell>
          <cell r="T483">
            <v>8.7697416666666889E-2</v>
          </cell>
        </row>
        <row r="484">
          <cell r="Q484">
            <v>58</v>
          </cell>
          <cell r="R484">
            <v>0</v>
          </cell>
          <cell r="S484">
            <v>0.9091971666666665</v>
          </cell>
          <cell r="T484">
            <v>9.0802833333333555E-2</v>
          </cell>
        </row>
        <row r="485">
          <cell r="Q485">
            <v>57</v>
          </cell>
          <cell r="R485">
            <v>0</v>
          </cell>
          <cell r="S485">
            <v>0.90609174999999975</v>
          </cell>
          <cell r="T485">
            <v>9.3908250000000221E-2</v>
          </cell>
        </row>
        <row r="486">
          <cell r="Q486">
            <v>56</v>
          </cell>
          <cell r="R486">
            <v>0</v>
          </cell>
          <cell r="S486">
            <v>0.90298633333333311</v>
          </cell>
          <cell r="T486">
            <v>9.7013666666666887E-2</v>
          </cell>
        </row>
        <row r="487">
          <cell r="Q487">
            <v>55</v>
          </cell>
          <cell r="R487">
            <v>0</v>
          </cell>
          <cell r="S487">
            <v>0.89988091666666647</v>
          </cell>
          <cell r="T487">
            <v>0.10011908333333355</v>
          </cell>
        </row>
        <row r="488">
          <cell r="Q488">
            <v>54</v>
          </cell>
          <cell r="R488">
            <v>0</v>
          </cell>
          <cell r="S488">
            <v>0.89677549999999973</v>
          </cell>
          <cell r="T488">
            <v>0.10322450000000022</v>
          </cell>
        </row>
        <row r="489">
          <cell r="Q489">
            <v>53</v>
          </cell>
          <cell r="R489">
            <v>0</v>
          </cell>
          <cell r="S489">
            <v>0.89367008333333309</v>
          </cell>
          <cell r="T489">
            <v>0.10632991666666688</v>
          </cell>
        </row>
        <row r="490">
          <cell r="Q490">
            <v>52</v>
          </cell>
          <cell r="R490">
            <v>0</v>
          </cell>
          <cell r="S490">
            <v>0.89056466666666645</v>
          </cell>
          <cell r="T490">
            <v>0.10943533333333355</v>
          </cell>
        </row>
        <row r="491">
          <cell r="Q491">
            <v>51</v>
          </cell>
          <cell r="R491">
            <v>0</v>
          </cell>
          <cell r="S491">
            <v>0.88745924999999981</v>
          </cell>
          <cell r="T491">
            <v>0.11254075000000022</v>
          </cell>
        </row>
        <row r="492">
          <cell r="Q492">
            <v>50</v>
          </cell>
          <cell r="R492">
            <v>0</v>
          </cell>
          <cell r="S492">
            <v>0.88435383333333317</v>
          </cell>
          <cell r="T492">
            <v>0.11564616666666688</v>
          </cell>
        </row>
        <row r="493">
          <cell r="Q493">
            <v>49</v>
          </cell>
          <cell r="R493">
            <v>0</v>
          </cell>
          <cell r="S493">
            <v>0.88124841666666642</v>
          </cell>
          <cell r="T493">
            <v>0.11875158333333355</v>
          </cell>
        </row>
        <row r="494">
          <cell r="Q494">
            <v>48</v>
          </cell>
          <cell r="R494">
            <v>0</v>
          </cell>
          <cell r="S494">
            <v>0.87814299999999978</v>
          </cell>
          <cell r="T494">
            <v>0.12185700000000022</v>
          </cell>
        </row>
        <row r="495">
          <cell r="Q495">
            <v>47</v>
          </cell>
          <cell r="R495">
            <v>0</v>
          </cell>
          <cell r="S495">
            <v>0.87529296666666645</v>
          </cell>
          <cell r="T495">
            <v>0.12470703333333354</v>
          </cell>
        </row>
        <row r="496">
          <cell r="Q496">
            <v>46</v>
          </cell>
          <cell r="R496">
            <v>0</v>
          </cell>
          <cell r="S496">
            <v>0.87244293333333311</v>
          </cell>
          <cell r="T496">
            <v>0.12755706666666686</v>
          </cell>
        </row>
        <row r="497">
          <cell r="Q497">
            <v>45</v>
          </cell>
          <cell r="R497">
            <v>0</v>
          </cell>
          <cell r="S497">
            <v>0.86959289999999978</v>
          </cell>
          <cell r="T497">
            <v>0.13040710000000016</v>
          </cell>
        </row>
        <row r="498">
          <cell r="Q498">
            <v>44</v>
          </cell>
          <cell r="R498">
            <v>0</v>
          </cell>
          <cell r="S498">
            <v>0.86674286666666656</v>
          </cell>
          <cell r="T498">
            <v>0.13325713333333347</v>
          </cell>
        </row>
        <row r="499">
          <cell r="Q499">
            <v>43</v>
          </cell>
          <cell r="R499">
            <v>0</v>
          </cell>
          <cell r="S499">
            <v>0.86389283333333322</v>
          </cell>
          <cell r="T499">
            <v>0.13610716666666681</v>
          </cell>
        </row>
        <row r="500">
          <cell r="Q500">
            <v>42</v>
          </cell>
          <cell r="R500">
            <v>0</v>
          </cell>
          <cell r="S500">
            <v>0.86104279999999989</v>
          </cell>
          <cell r="T500">
            <v>0.13895720000000011</v>
          </cell>
        </row>
        <row r="501">
          <cell r="Q501">
            <v>41</v>
          </cell>
          <cell r="R501">
            <v>0</v>
          </cell>
          <cell r="S501">
            <v>0.85819276666666655</v>
          </cell>
          <cell r="T501">
            <v>0.14180723333333342</v>
          </cell>
        </row>
        <row r="502">
          <cell r="Q502">
            <v>40</v>
          </cell>
          <cell r="R502">
            <v>0</v>
          </cell>
          <cell r="S502">
            <v>0.85534273333333322</v>
          </cell>
          <cell r="T502">
            <v>0.14465726666666676</v>
          </cell>
        </row>
        <row r="503">
          <cell r="Q503">
            <v>39</v>
          </cell>
          <cell r="R503">
            <v>0</v>
          </cell>
          <cell r="S503">
            <v>0.85249269999999999</v>
          </cell>
          <cell r="T503">
            <v>0.14750730000000006</v>
          </cell>
        </row>
        <row r="504">
          <cell r="Q504">
            <v>38</v>
          </cell>
          <cell r="R504">
            <v>0</v>
          </cell>
          <cell r="S504">
            <v>0.84964266666666666</v>
          </cell>
          <cell r="T504">
            <v>0.15035733333333337</v>
          </cell>
        </row>
        <row r="505">
          <cell r="Q505">
            <v>37</v>
          </cell>
          <cell r="R505">
            <v>0</v>
          </cell>
          <cell r="S505">
            <v>0.84679263333333332</v>
          </cell>
          <cell r="T505">
            <v>0.15320736666666671</v>
          </cell>
        </row>
        <row r="506">
          <cell r="Q506">
            <v>36</v>
          </cell>
          <cell r="R506">
            <v>0</v>
          </cell>
          <cell r="S506">
            <v>0.84394259999999999</v>
          </cell>
          <cell r="T506">
            <v>0.15605740000000001</v>
          </cell>
        </row>
        <row r="507">
          <cell r="Q507">
            <v>35</v>
          </cell>
          <cell r="R507">
            <v>0</v>
          </cell>
          <cell r="S507">
            <v>0.84134922499999998</v>
          </cell>
          <cell r="T507">
            <v>0.15865077499999999</v>
          </cell>
        </row>
        <row r="508">
          <cell r="Q508">
            <v>34</v>
          </cell>
          <cell r="R508">
            <v>0</v>
          </cell>
          <cell r="S508">
            <v>0.83875584999999997</v>
          </cell>
          <cell r="T508">
            <v>0.16124415</v>
          </cell>
        </row>
        <row r="509">
          <cell r="Q509">
            <v>33</v>
          </cell>
          <cell r="R509">
            <v>0</v>
          </cell>
          <cell r="S509">
            <v>0.83616247500000007</v>
          </cell>
          <cell r="T509">
            <v>0.16383752499999998</v>
          </cell>
        </row>
        <row r="510">
          <cell r="Q510">
            <v>32</v>
          </cell>
          <cell r="R510">
            <v>0</v>
          </cell>
          <cell r="S510">
            <v>0.83356910000000006</v>
          </cell>
          <cell r="T510">
            <v>0.16643089999999996</v>
          </cell>
        </row>
        <row r="511">
          <cell r="Q511">
            <v>31</v>
          </cell>
          <cell r="R511">
            <v>0</v>
          </cell>
          <cell r="S511">
            <v>0.83097572500000005</v>
          </cell>
          <cell r="T511">
            <v>0.16902427499999997</v>
          </cell>
        </row>
        <row r="512">
          <cell r="Q512">
            <v>30</v>
          </cell>
          <cell r="R512">
            <v>0</v>
          </cell>
          <cell r="S512">
            <v>0.82838235000000005</v>
          </cell>
          <cell r="T512">
            <v>0.17161764999999995</v>
          </cell>
        </row>
        <row r="513">
          <cell r="Q513">
            <v>29</v>
          </cell>
          <cell r="R513">
            <v>0</v>
          </cell>
          <cell r="S513">
            <v>0.82578897500000004</v>
          </cell>
          <cell r="T513">
            <v>0.17421102499999994</v>
          </cell>
        </row>
        <row r="514">
          <cell r="Q514">
            <v>28</v>
          </cell>
          <cell r="R514">
            <v>0</v>
          </cell>
          <cell r="S514">
            <v>0.82319560000000003</v>
          </cell>
          <cell r="T514">
            <v>0.17680439999999994</v>
          </cell>
        </row>
        <row r="515">
          <cell r="Q515">
            <v>27</v>
          </cell>
          <cell r="R515">
            <v>0</v>
          </cell>
          <cell r="S515">
            <v>0.82060222500000002</v>
          </cell>
          <cell r="T515">
            <v>0.17939777499999993</v>
          </cell>
        </row>
        <row r="516">
          <cell r="Q516">
            <v>26</v>
          </cell>
          <cell r="R516">
            <v>0</v>
          </cell>
          <cell r="S516">
            <v>0.81800885000000012</v>
          </cell>
          <cell r="T516">
            <v>0.18199114999999991</v>
          </cell>
        </row>
        <row r="517">
          <cell r="Q517">
            <v>25</v>
          </cell>
          <cell r="R517">
            <v>0</v>
          </cell>
          <cell r="S517">
            <v>0.81541547500000011</v>
          </cell>
          <cell r="T517">
            <v>0.18458452499999992</v>
          </cell>
        </row>
        <row r="518">
          <cell r="Q518">
            <v>24</v>
          </cell>
          <cell r="R518">
            <v>0</v>
          </cell>
          <cell r="S518">
            <v>0.8128221000000001</v>
          </cell>
          <cell r="T518">
            <v>0.1871778999999999</v>
          </cell>
        </row>
        <row r="519">
          <cell r="Q519">
            <v>23</v>
          </cell>
          <cell r="R519">
            <v>0</v>
          </cell>
          <cell r="S519">
            <v>0.81053108750000014</v>
          </cell>
          <cell r="T519">
            <v>0.18946891249999989</v>
          </cell>
        </row>
        <row r="520">
          <cell r="Q520">
            <v>22</v>
          </cell>
          <cell r="R520">
            <v>0</v>
          </cell>
          <cell r="S520">
            <v>0.80824007500000006</v>
          </cell>
          <cell r="T520">
            <v>0.19175992499999991</v>
          </cell>
        </row>
        <row r="521">
          <cell r="Q521">
            <v>21</v>
          </cell>
          <cell r="R521">
            <v>0</v>
          </cell>
          <cell r="S521">
            <v>0.80594906250000009</v>
          </cell>
          <cell r="T521">
            <v>0.19405093749999991</v>
          </cell>
        </row>
        <row r="522">
          <cell r="Q522">
            <v>20</v>
          </cell>
          <cell r="R522">
            <v>0</v>
          </cell>
          <cell r="S522">
            <v>0.80365805000000012</v>
          </cell>
          <cell r="T522">
            <v>0.1963419499999999</v>
          </cell>
        </row>
        <row r="523">
          <cell r="Q523">
            <v>19</v>
          </cell>
          <cell r="R523">
            <v>0</v>
          </cell>
          <cell r="S523">
            <v>0.80136703750000005</v>
          </cell>
          <cell r="T523">
            <v>0.19863296249999993</v>
          </cell>
        </row>
        <row r="524">
          <cell r="Q524">
            <v>18</v>
          </cell>
          <cell r="R524">
            <v>0</v>
          </cell>
          <cell r="S524">
            <v>0.79907602500000008</v>
          </cell>
          <cell r="T524">
            <v>0.20092397499999992</v>
          </cell>
        </row>
        <row r="525">
          <cell r="Q525">
            <v>17</v>
          </cell>
          <cell r="R525">
            <v>0</v>
          </cell>
          <cell r="S525">
            <v>0.79678501250000011</v>
          </cell>
          <cell r="T525">
            <v>0.20321498749999992</v>
          </cell>
        </row>
        <row r="526">
          <cell r="Q526">
            <v>16</v>
          </cell>
          <cell r="R526">
            <v>0</v>
          </cell>
          <cell r="S526">
            <v>0.79449400000000003</v>
          </cell>
          <cell r="T526">
            <v>0.20550599999999994</v>
          </cell>
        </row>
        <row r="527">
          <cell r="Q527">
            <v>15</v>
          </cell>
          <cell r="R527">
            <v>0</v>
          </cell>
          <cell r="S527">
            <v>0.79220298750000007</v>
          </cell>
          <cell r="T527">
            <v>0.20779701249999993</v>
          </cell>
        </row>
        <row r="528">
          <cell r="Q528">
            <v>14</v>
          </cell>
          <cell r="R528">
            <v>0</v>
          </cell>
          <cell r="S528">
            <v>0.7899119750000001</v>
          </cell>
          <cell r="T528">
            <v>0.21008802499999993</v>
          </cell>
        </row>
        <row r="529">
          <cell r="Q529">
            <v>13</v>
          </cell>
          <cell r="R529">
            <v>0</v>
          </cell>
          <cell r="S529">
            <v>0.78762096250000002</v>
          </cell>
          <cell r="T529">
            <v>0.21237903749999995</v>
          </cell>
        </row>
        <row r="530">
          <cell r="Q530">
            <v>12</v>
          </cell>
          <cell r="R530">
            <v>0</v>
          </cell>
          <cell r="S530">
            <v>0.78532995000000005</v>
          </cell>
          <cell r="T530">
            <v>0.21467004999999995</v>
          </cell>
        </row>
        <row r="531">
          <cell r="Q531">
            <v>11</v>
          </cell>
          <cell r="R531">
            <v>0</v>
          </cell>
          <cell r="S531">
            <v>0.77921912083333345</v>
          </cell>
          <cell r="T531">
            <v>0.22078087916666661</v>
          </cell>
        </row>
        <row r="532">
          <cell r="Q532">
            <v>10</v>
          </cell>
          <cell r="R532">
            <v>0</v>
          </cell>
          <cell r="S532">
            <v>0.77310829166666672</v>
          </cell>
          <cell r="T532">
            <v>0.22689170833333328</v>
          </cell>
        </row>
        <row r="533">
          <cell r="Q533">
            <v>9</v>
          </cell>
          <cell r="R533">
            <v>0</v>
          </cell>
          <cell r="S533">
            <v>0.7669974625</v>
          </cell>
          <cell r="T533">
            <v>0.23300253749999994</v>
          </cell>
        </row>
        <row r="534">
          <cell r="Q534">
            <v>8</v>
          </cell>
          <cell r="R534">
            <v>0</v>
          </cell>
          <cell r="S534">
            <v>0.7608866333333334</v>
          </cell>
          <cell r="T534">
            <v>0.2391133666666666</v>
          </cell>
        </row>
        <row r="535">
          <cell r="Q535">
            <v>7</v>
          </cell>
          <cell r="R535">
            <v>0</v>
          </cell>
          <cell r="S535">
            <v>0.75477580416666679</v>
          </cell>
          <cell r="T535">
            <v>0.24522419583333327</v>
          </cell>
        </row>
        <row r="536">
          <cell r="Q536">
            <v>6</v>
          </cell>
          <cell r="R536">
            <v>0</v>
          </cell>
          <cell r="S536">
            <v>0.74866497500000007</v>
          </cell>
          <cell r="T536">
            <v>0.25133502499999993</v>
          </cell>
        </row>
        <row r="537">
          <cell r="Q537">
            <v>5</v>
          </cell>
          <cell r="R537">
            <v>0</v>
          </cell>
          <cell r="S537">
            <v>0.74255414583333335</v>
          </cell>
          <cell r="T537">
            <v>0.2574458541666666</v>
          </cell>
        </row>
        <row r="538">
          <cell r="Q538">
            <v>4</v>
          </cell>
          <cell r="R538">
            <v>0</v>
          </cell>
          <cell r="S538">
            <v>0.73644331666666674</v>
          </cell>
          <cell r="T538">
            <v>0.26355668333333326</v>
          </cell>
        </row>
        <row r="539">
          <cell r="Q539">
            <v>3</v>
          </cell>
          <cell r="R539">
            <v>0</v>
          </cell>
          <cell r="S539">
            <v>0.73033248750000013</v>
          </cell>
          <cell r="T539">
            <v>0.26966751249999993</v>
          </cell>
        </row>
        <row r="540">
          <cell r="Q540">
            <v>2</v>
          </cell>
          <cell r="R540">
            <v>0</v>
          </cell>
          <cell r="S540">
            <v>0.72422165833333341</v>
          </cell>
          <cell r="T540">
            <v>0.27577834166666659</v>
          </cell>
        </row>
        <row r="541">
          <cell r="Q541">
            <v>1</v>
          </cell>
          <cell r="R541">
            <v>0</v>
          </cell>
          <cell r="S541">
            <v>0.71811082916666669</v>
          </cell>
          <cell r="T541">
            <v>0.28188917083333326</v>
          </cell>
        </row>
        <row r="542">
          <cell r="Q542">
            <v>0</v>
          </cell>
          <cell r="R542">
            <v>0</v>
          </cell>
          <cell r="S542">
            <v>0.71200000000000008</v>
          </cell>
          <cell r="T542">
            <v>0.28799999999999992</v>
          </cell>
        </row>
      </sheetData>
      <sheetData sheetId="9" refreshError="1">
        <row r="1">
          <cell r="Q1" t="str">
            <v>Month</v>
          </cell>
          <cell r="R1" t="str">
            <v>Allianz Strategy Select 75</v>
          </cell>
          <cell r="S1" t="str">
            <v>Allianz Strategy Select 30</v>
          </cell>
          <cell r="T1" t="str">
            <v>Allianz Advanced Fixed Income Short Duration</v>
          </cell>
        </row>
        <row r="2">
          <cell r="Q2">
            <v>540</v>
          </cell>
          <cell r="R2">
            <v>0.88888888888888884</v>
          </cell>
          <cell r="S2">
            <v>0.11111111111111116</v>
          </cell>
          <cell r="T2">
            <v>0</v>
          </cell>
        </row>
        <row r="3">
          <cell r="Q3">
            <v>539</v>
          </cell>
          <cell r="R3">
            <v>0.88888888888888884</v>
          </cell>
          <cell r="S3">
            <v>0.11111111111111116</v>
          </cell>
          <cell r="T3">
            <v>0</v>
          </cell>
        </row>
        <row r="4">
          <cell r="Q4">
            <v>538</v>
          </cell>
          <cell r="R4">
            <v>0.88888888888888884</v>
          </cell>
          <cell r="S4">
            <v>0.11111111111111116</v>
          </cell>
          <cell r="T4">
            <v>0</v>
          </cell>
        </row>
        <row r="5">
          <cell r="Q5">
            <v>537</v>
          </cell>
          <cell r="R5">
            <v>0.88888888888888884</v>
          </cell>
          <cell r="S5">
            <v>0.11111111111111116</v>
          </cell>
          <cell r="T5">
            <v>0</v>
          </cell>
        </row>
        <row r="6">
          <cell r="Q6">
            <v>536</v>
          </cell>
          <cell r="R6">
            <v>0.88888888888888884</v>
          </cell>
          <cell r="S6">
            <v>0.11111111111111116</v>
          </cell>
          <cell r="T6">
            <v>0</v>
          </cell>
        </row>
        <row r="7">
          <cell r="Q7">
            <v>535</v>
          </cell>
          <cell r="R7">
            <v>0.88888888888888884</v>
          </cell>
          <cell r="S7">
            <v>0.11111111111111116</v>
          </cell>
          <cell r="T7">
            <v>0</v>
          </cell>
        </row>
        <row r="8">
          <cell r="Q8">
            <v>534</v>
          </cell>
          <cell r="R8">
            <v>0.88888888888888884</v>
          </cell>
          <cell r="S8">
            <v>0.11111111111111116</v>
          </cell>
          <cell r="T8">
            <v>0</v>
          </cell>
        </row>
        <row r="9">
          <cell r="Q9">
            <v>533</v>
          </cell>
          <cell r="R9">
            <v>0.88888888888888884</v>
          </cell>
          <cell r="S9">
            <v>0.11111111111111116</v>
          </cell>
          <cell r="T9">
            <v>0</v>
          </cell>
        </row>
        <row r="10">
          <cell r="Q10">
            <v>532</v>
          </cell>
          <cell r="R10">
            <v>0.88888888888888884</v>
          </cell>
          <cell r="S10">
            <v>0.11111111111111116</v>
          </cell>
          <cell r="T10">
            <v>0</v>
          </cell>
        </row>
        <row r="11">
          <cell r="Q11">
            <v>531</v>
          </cell>
          <cell r="R11">
            <v>0.88888888888888884</v>
          </cell>
          <cell r="S11">
            <v>0.11111111111111116</v>
          </cell>
          <cell r="T11">
            <v>0</v>
          </cell>
        </row>
        <row r="12">
          <cell r="Q12">
            <v>530</v>
          </cell>
          <cell r="R12">
            <v>0.88888888888888884</v>
          </cell>
          <cell r="S12">
            <v>0.11111111111111116</v>
          </cell>
          <cell r="T12">
            <v>0</v>
          </cell>
        </row>
        <row r="13">
          <cell r="Q13">
            <v>529</v>
          </cell>
          <cell r="R13">
            <v>0.88888888888888884</v>
          </cell>
          <cell r="S13">
            <v>0.11111111111111116</v>
          </cell>
          <cell r="T13">
            <v>0</v>
          </cell>
        </row>
        <row r="14">
          <cell r="Q14">
            <v>528</v>
          </cell>
          <cell r="R14">
            <v>0.88888888888888884</v>
          </cell>
          <cell r="S14">
            <v>0.11111111111111116</v>
          </cell>
          <cell r="T14">
            <v>0</v>
          </cell>
        </row>
        <row r="15">
          <cell r="Q15">
            <v>527</v>
          </cell>
          <cell r="R15">
            <v>0.88888888888888884</v>
          </cell>
          <cell r="S15">
            <v>0.11111111111111116</v>
          </cell>
          <cell r="T15">
            <v>0</v>
          </cell>
        </row>
        <row r="16">
          <cell r="Q16">
            <v>526</v>
          </cell>
          <cell r="R16">
            <v>0.88888888888888884</v>
          </cell>
          <cell r="S16">
            <v>0.11111111111111116</v>
          </cell>
          <cell r="T16">
            <v>0</v>
          </cell>
        </row>
        <row r="17">
          <cell r="Q17">
            <v>525</v>
          </cell>
          <cell r="R17">
            <v>0.88888888888888884</v>
          </cell>
          <cell r="S17">
            <v>0.11111111111111116</v>
          </cell>
          <cell r="T17">
            <v>0</v>
          </cell>
        </row>
        <row r="18">
          <cell r="Q18">
            <v>524</v>
          </cell>
          <cell r="R18">
            <v>0.88888888888888884</v>
          </cell>
          <cell r="S18">
            <v>0.11111111111111116</v>
          </cell>
          <cell r="T18">
            <v>0</v>
          </cell>
        </row>
        <row r="19">
          <cell r="Q19">
            <v>523</v>
          </cell>
          <cell r="R19">
            <v>0.88888888888888884</v>
          </cell>
          <cell r="S19">
            <v>0.11111111111111116</v>
          </cell>
          <cell r="T19">
            <v>0</v>
          </cell>
        </row>
        <row r="20">
          <cell r="Q20">
            <v>522</v>
          </cell>
          <cell r="R20">
            <v>0.88888888888888884</v>
          </cell>
          <cell r="S20">
            <v>0.11111111111111116</v>
          </cell>
          <cell r="T20">
            <v>0</v>
          </cell>
        </row>
        <row r="21">
          <cell r="Q21">
            <v>521</v>
          </cell>
          <cell r="R21">
            <v>0.88888888888888884</v>
          </cell>
          <cell r="S21">
            <v>0.11111111111111116</v>
          </cell>
          <cell r="T21">
            <v>0</v>
          </cell>
        </row>
        <row r="22">
          <cell r="Q22">
            <v>520</v>
          </cell>
          <cell r="R22">
            <v>0.88888888888888884</v>
          </cell>
          <cell r="S22">
            <v>0.11111111111111116</v>
          </cell>
          <cell r="T22">
            <v>0</v>
          </cell>
        </row>
        <row r="23">
          <cell r="Q23">
            <v>519</v>
          </cell>
          <cell r="R23">
            <v>0.88888888888888884</v>
          </cell>
          <cell r="S23">
            <v>0.11111111111111116</v>
          </cell>
          <cell r="T23">
            <v>0</v>
          </cell>
        </row>
        <row r="24">
          <cell r="Q24">
            <v>518</v>
          </cell>
          <cell r="R24">
            <v>0.88888888888888884</v>
          </cell>
          <cell r="S24">
            <v>0.11111111111111116</v>
          </cell>
          <cell r="T24">
            <v>0</v>
          </cell>
        </row>
        <row r="25">
          <cell r="Q25">
            <v>517</v>
          </cell>
          <cell r="R25">
            <v>0.88888888888888884</v>
          </cell>
          <cell r="S25">
            <v>0.11111111111111116</v>
          </cell>
          <cell r="T25">
            <v>0</v>
          </cell>
        </row>
        <row r="26">
          <cell r="Q26">
            <v>516</v>
          </cell>
          <cell r="R26">
            <v>0.88888888888888884</v>
          </cell>
          <cell r="S26">
            <v>0.11111111111111116</v>
          </cell>
          <cell r="T26">
            <v>0</v>
          </cell>
        </row>
        <row r="27">
          <cell r="Q27">
            <v>515</v>
          </cell>
          <cell r="R27">
            <v>0.88888888888888884</v>
          </cell>
          <cell r="S27">
            <v>0.11111111111111116</v>
          </cell>
          <cell r="T27">
            <v>0</v>
          </cell>
        </row>
        <row r="28">
          <cell r="Q28">
            <v>514</v>
          </cell>
          <cell r="R28">
            <v>0.88888888888888884</v>
          </cell>
          <cell r="S28">
            <v>0.11111111111111116</v>
          </cell>
          <cell r="T28">
            <v>0</v>
          </cell>
        </row>
        <row r="29">
          <cell r="Q29">
            <v>513</v>
          </cell>
          <cell r="R29">
            <v>0.88888888888888884</v>
          </cell>
          <cell r="S29">
            <v>0.11111111111111116</v>
          </cell>
          <cell r="T29">
            <v>0</v>
          </cell>
        </row>
        <row r="30">
          <cell r="Q30">
            <v>512</v>
          </cell>
          <cell r="R30">
            <v>0.88888888888888884</v>
          </cell>
          <cell r="S30">
            <v>0.11111111111111116</v>
          </cell>
          <cell r="T30">
            <v>0</v>
          </cell>
        </row>
        <row r="31">
          <cell r="Q31">
            <v>511</v>
          </cell>
          <cell r="R31">
            <v>0.88888888888888884</v>
          </cell>
          <cell r="S31">
            <v>0.11111111111111116</v>
          </cell>
          <cell r="T31">
            <v>0</v>
          </cell>
        </row>
        <row r="32">
          <cell r="Q32">
            <v>510</v>
          </cell>
          <cell r="R32">
            <v>0.88888888888888884</v>
          </cell>
          <cell r="S32">
            <v>0.11111111111111116</v>
          </cell>
          <cell r="T32">
            <v>0</v>
          </cell>
        </row>
        <row r="33">
          <cell r="Q33">
            <v>509</v>
          </cell>
          <cell r="R33">
            <v>0.88888888888888884</v>
          </cell>
          <cell r="S33">
            <v>0.11111111111111116</v>
          </cell>
          <cell r="T33">
            <v>0</v>
          </cell>
        </row>
        <row r="34">
          <cell r="Q34">
            <v>508</v>
          </cell>
          <cell r="R34">
            <v>0.88888888888888884</v>
          </cell>
          <cell r="S34">
            <v>0.11111111111111116</v>
          </cell>
          <cell r="T34">
            <v>0</v>
          </cell>
        </row>
        <row r="35">
          <cell r="Q35">
            <v>507</v>
          </cell>
          <cell r="R35">
            <v>0.88888888888888884</v>
          </cell>
          <cell r="S35">
            <v>0.11111111111111116</v>
          </cell>
          <cell r="T35">
            <v>0</v>
          </cell>
        </row>
        <row r="36">
          <cell r="Q36">
            <v>506</v>
          </cell>
          <cell r="R36">
            <v>0.88888888888888884</v>
          </cell>
          <cell r="S36">
            <v>0.11111111111111116</v>
          </cell>
          <cell r="T36">
            <v>0</v>
          </cell>
        </row>
        <row r="37">
          <cell r="Q37">
            <v>505</v>
          </cell>
          <cell r="R37">
            <v>0.88888888888888884</v>
          </cell>
          <cell r="S37">
            <v>0.11111111111111116</v>
          </cell>
          <cell r="T37">
            <v>0</v>
          </cell>
        </row>
        <row r="38">
          <cell r="Q38">
            <v>504</v>
          </cell>
          <cell r="R38">
            <v>0.88888888888888884</v>
          </cell>
          <cell r="S38">
            <v>0.11111111111111116</v>
          </cell>
          <cell r="T38">
            <v>0</v>
          </cell>
        </row>
        <row r="39">
          <cell r="Q39">
            <v>503</v>
          </cell>
          <cell r="R39">
            <v>0.88888888888888884</v>
          </cell>
          <cell r="S39">
            <v>0.11111111111111116</v>
          </cell>
          <cell r="T39">
            <v>0</v>
          </cell>
        </row>
        <row r="40">
          <cell r="Q40">
            <v>502</v>
          </cell>
          <cell r="R40">
            <v>0.88888888888888884</v>
          </cell>
          <cell r="S40">
            <v>0.11111111111111116</v>
          </cell>
          <cell r="T40">
            <v>0</v>
          </cell>
        </row>
        <row r="41">
          <cell r="Q41">
            <v>501</v>
          </cell>
          <cell r="R41">
            <v>0.88888888888888884</v>
          </cell>
          <cell r="S41">
            <v>0.11111111111111116</v>
          </cell>
          <cell r="T41">
            <v>0</v>
          </cell>
        </row>
        <row r="42">
          <cell r="Q42">
            <v>500</v>
          </cell>
          <cell r="R42">
            <v>0.88888888888888884</v>
          </cell>
          <cell r="S42">
            <v>0.11111111111111116</v>
          </cell>
          <cell r="T42">
            <v>0</v>
          </cell>
        </row>
        <row r="43">
          <cell r="Q43">
            <v>499</v>
          </cell>
          <cell r="R43">
            <v>0.88888888888888884</v>
          </cell>
          <cell r="S43">
            <v>0.11111111111111116</v>
          </cell>
          <cell r="T43">
            <v>0</v>
          </cell>
        </row>
        <row r="44">
          <cell r="Q44">
            <v>498</v>
          </cell>
          <cell r="R44">
            <v>0.88888888888888884</v>
          </cell>
          <cell r="S44">
            <v>0.11111111111111116</v>
          </cell>
          <cell r="T44">
            <v>0</v>
          </cell>
        </row>
        <row r="45">
          <cell r="Q45">
            <v>497</v>
          </cell>
          <cell r="R45">
            <v>0.88888888888888884</v>
          </cell>
          <cell r="S45">
            <v>0.11111111111111116</v>
          </cell>
          <cell r="T45">
            <v>0</v>
          </cell>
        </row>
        <row r="46">
          <cell r="Q46">
            <v>496</v>
          </cell>
          <cell r="R46">
            <v>0.88888888888888884</v>
          </cell>
          <cell r="S46">
            <v>0.11111111111111116</v>
          </cell>
          <cell r="T46">
            <v>0</v>
          </cell>
        </row>
        <row r="47">
          <cell r="Q47">
            <v>495</v>
          </cell>
          <cell r="R47">
            <v>0.88888888888888884</v>
          </cell>
          <cell r="S47">
            <v>0.11111111111111116</v>
          </cell>
          <cell r="T47">
            <v>0</v>
          </cell>
        </row>
        <row r="48">
          <cell r="Q48">
            <v>494</v>
          </cell>
          <cell r="R48">
            <v>0.88888888888888884</v>
          </cell>
          <cell r="S48">
            <v>0.11111111111111116</v>
          </cell>
          <cell r="T48">
            <v>0</v>
          </cell>
        </row>
        <row r="49">
          <cell r="Q49">
            <v>493</v>
          </cell>
          <cell r="R49">
            <v>0.88888888888888884</v>
          </cell>
          <cell r="S49">
            <v>0.11111111111111116</v>
          </cell>
          <cell r="T49">
            <v>0</v>
          </cell>
        </row>
        <row r="50">
          <cell r="Q50">
            <v>492</v>
          </cell>
          <cell r="R50">
            <v>0.88888888888888884</v>
          </cell>
          <cell r="S50">
            <v>0.11111111111111116</v>
          </cell>
          <cell r="T50">
            <v>0</v>
          </cell>
        </row>
        <row r="51">
          <cell r="Q51">
            <v>491</v>
          </cell>
          <cell r="R51">
            <v>0.88888888888888884</v>
          </cell>
          <cell r="S51">
            <v>0.11111111111111116</v>
          </cell>
          <cell r="T51">
            <v>0</v>
          </cell>
        </row>
        <row r="52">
          <cell r="Q52">
            <v>490</v>
          </cell>
          <cell r="R52">
            <v>0.88888888888888884</v>
          </cell>
          <cell r="S52">
            <v>0.11111111111111116</v>
          </cell>
          <cell r="T52">
            <v>0</v>
          </cell>
        </row>
        <row r="53">
          <cell r="Q53">
            <v>489</v>
          </cell>
          <cell r="R53">
            <v>0.88888888888888884</v>
          </cell>
          <cell r="S53">
            <v>0.11111111111111116</v>
          </cell>
          <cell r="T53">
            <v>0</v>
          </cell>
        </row>
        <row r="54">
          <cell r="Q54">
            <v>488</v>
          </cell>
          <cell r="R54">
            <v>0.88888888888888884</v>
          </cell>
          <cell r="S54">
            <v>0.11111111111111116</v>
          </cell>
          <cell r="T54">
            <v>0</v>
          </cell>
        </row>
        <row r="55">
          <cell r="Q55">
            <v>487</v>
          </cell>
          <cell r="R55">
            <v>0.88888888888888884</v>
          </cell>
          <cell r="S55">
            <v>0.11111111111111116</v>
          </cell>
          <cell r="T55">
            <v>0</v>
          </cell>
        </row>
        <row r="56">
          <cell r="Q56">
            <v>486</v>
          </cell>
          <cell r="R56">
            <v>0.88888888888888884</v>
          </cell>
          <cell r="S56">
            <v>0.11111111111111116</v>
          </cell>
          <cell r="T56">
            <v>0</v>
          </cell>
        </row>
        <row r="57">
          <cell r="Q57">
            <v>485</v>
          </cell>
          <cell r="R57">
            <v>0.88888888888888884</v>
          </cell>
          <cell r="S57">
            <v>0.11111111111111116</v>
          </cell>
          <cell r="T57">
            <v>0</v>
          </cell>
        </row>
        <row r="58">
          <cell r="Q58">
            <v>484</v>
          </cell>
          <cell r="R58">
            <v>0.88888888888888884</v>
          </cell>
          <cell r="S58">
            <v>0.11111111111111116</v>
          </cell>
          <cell r="T58">
            <v>0</v>
          </cell>
        </row>
        <row r="59">
          <cell r="Q59">
            <v>483</v>
          </cell>
          <cell r="R59">
            <v>0.88888888888888884</v>
          </cell>
          <cell r="S59">
            <v>0.11111111111111116</v>
          </cell>
          <cell r="T59">
            <v>0</v>
          </cell>
        </row>
        <row r="60">
          <cell r="Q60">
            <v>482</v>
          </cell>
          <cell r="R60">
            <v>0.88888888888888884</v>
          </cell>
          <cell r="S60">
            <v>0.11111111111111116</v>
          </cell>
          <cell r="T60">
            <v>0</v>
          </cell>
        </row>
        <row r="61">
          <cell r="Q61">
            <v>481</v>
          </cell>
          <cell r="R61">
            <v>0.88888888888888884</v>
          </cell>
          <cell r="S61">
            <v>0.11111111111111116</v>
          </cell>
          <cell r="T61">
            <v>0</v>
          </cell>
        </row>
        <row r="62">
          <cell r="Q62">
            <v>480</v>
          </cell>
          <cell r="R62">
            <v>0.88888888888888884</v>
          </cell>
          <cell r="S62">
            <v>0.11111111111111116</v>
          </cell>
          <cell r="T62">
            <v>0</v>
          </cell>
        </row>
        <row r="63">
          <cell r="Q63">
            <v>479</v>
          </cell>
          <cell r="R63">
            <v>0.88888888888888884</v>
          </cell>
          <cell r="S63">
            <v>0.11111111111111116</v>
          </cell>
          <cell r="T63">
            <v>0</v>
          </cell>
        </row>
        <row r="64">
          <cell r="Q64">
            <v>478</v>
          </cell>
          <cell r="R64">
            <v>0.88888888888888884</v>
          </cell>
          <cell r="S64">
            <v>0.11111111111111116</v>
          </cell>
          <cell r="T64">
            <v>0</v>
          </cell>
        </row>
        <row r="65">
          <cell r="Q65">
            <v>477</v>
          </cell>
          <cell r="R65">
            <v>0.88888888888888884</v>
          </cell>
          <cell r="S65">
            <v>0.11111111111111116</v>
          </cell>
          <cell r="T65">
            <v>0</v>
          </cell>
        </row>
        <row r="66">
          <cell r="Q66">
            <v>476</v>
          </cell>
          <cell r="R66">
            <v>0.88888888888888884</v>
          </cell>
          <cell r="S66">
            <v>0.11111111111111116</v>
          </cell>
          <cell r="T66">
            <v>0</v>
          </cell>
        </row>
        <row r="67">
          <cell r="Q67">
            <v>475</v>
          </cell>
          <cell r="R67">
            <v>0.88888888888888884</v>
          </cell>
          <cell r="S67">
            <v>0.11111111111111116</v>
          </cell>
          <cell r="T67">
            <v>0</v>
          </cell>
        </row>
        <row r="68">
          <cell r="Q68">
            <v>474</v>
          </cell>
          <cell r="R68">
            <v>0.88888888888888884</v>
          </cell>
          <cell r="S68">
            <v>0.11111111111111116</v>
          </cell>
          <cell r="T68">
            <v>0</v>
          </cell>
        </row>
        <row r="69">
          <cell r="Q69">
            <v>473</v>
          </cell>
          <cell r="R69">
            <v>0.88888888888888884</v>
          </cell>
          <cell r="S69">
            <v>0.11111111111111116</v>
          </cell>
          <cell r="T69">
            <v>0</v>
          </cell>
        </row>
        <row r="70">
          <cell r="Q70">
            <v>472</v>
          </cell>
          <cell r="R70">
            <v>0.88888888888888884</v>
          </cell>
          <cell r="S70">
            <v>0.11111111111111116</v>
          </cell>
          <cell r="T70">
            <v>0</v>
          </cell>
        </row>
        <row r="71">
          <cell r="Q71">
            <v>471</v>
          </cell>
          <cell r="R71">
            <v>0.88888888888888884</v>
          </cell>
          <cell r="S71">
            <v>0.11111111111111116</v>
          </cell>
          <cell r="T71">
            <v>0</v>
          </cell>
        </row>
        <row r="72">
          <cell r="Q72">
            <v>470</v>
          </cell>
          <cell r="R72">
            <v>0.88888888888888884</v>
          </cell>
          <cell r="S72">
            <v>0.11111111111111116</v>
          </cell>
          <cell r="T72">
            <v>0</v>
          </cell>
        </row>
        <row r="73">
          <cell r="Q73">
            <v>469</v>
          </cell>
          <cell r="R73">
            <v>0.88888888888888884</v>
          </cell>
          <cell r="S73">
            <v>0.11111111111111116</v>
          </cell>
          <cell r="T73">
            <v>0</v>
          </cell>
        </row>
        <row r="74">
          <cell r="Q74">
            <v>468</v>
          </cell>
          <cell r="R74">
            <v>0.88888888888888884</v>
          </cell>
          <cell r="S74">
            <v>0.11111111111111116</v>
          </cell>
          <cell r="T74">
            <v>0</v>
          </cell>
        </row>
        <row r="75">
          <cell r="Q75">
            <v>467</v>
          </cell>
          <cell r="R75">
            <v>0.88888888888888884</v>
          </cell>
          <cell r="S75">
            <v>0.11111111111111116</v>
          </cell>
          <cell r="T75">
            <v>0</v>
          </cell>
        </row>
        <row r="76">
          <cell r="Q76">
            <v>466</v>
          </cell>
          <cell r="R76">
            <v>0.88888888888888884</v>
          </cell>
          <cell r="S76">
            <v>0.11111111111111116</v>
          </cell>
          <cell r="T76">
            <v>0</v>
          </cell>
        </row>
        <row r="77">
          <cell r="Q77">
            <v>465</v>
          </cell>
          <cell r="R77">
            <v>0.88888888888888884</v>
          </cell>
          <cell r="S77">
            <v>0.11111111111111116</v>
          </cell>
          <cell r="T77">
            <v>0</v>
          </cell>
        </row>
        <row r="78">
          <cell r="Q78">
            <v>464</v>
          </cell>
          <cell r="R78">
            <v>0.88888888888888884</v>
          </cell>
          <cell r="S78">
            <v>0.11111111111111116</v>
          </cell>
          <cell r="T78">
            <v>0</v>
          </cell>
        </row>
        <row r="79">
          <cell r="Q79">
            <v>463</v>
          </cell>
          <cell r="R79">
            <v>0.88888888888888884</v>
          </cell>
          <cell r="S79">
            <v>0.11111111111111116</v>
          </cell>
          <cell r="T79">
            <v>0</v>
          </cell>
        </row>
        <row r="80">
          <cell r="Q80">
            <v>462</v>
          </cell>
          <cell r="R80">
            <v>0.88888888888888884</v>
          </cell>
          <cell r="S80">
            <v>0.11111111111111116</v>
          </cell>
          <cell r="T80">
            <v>0</v>
          </cell>
        </row>
        <row r="81">
          <cell r="Q81">
            <v>461</v>
          </cell>
          <cell r="R81">
            <v>0.88888888888888884</v>
          </cell>
          <cell r="S81">
            <v>0.11111111111111116</v>
          </cell>
          <cell r="T81">
            <v>0</v>
          </cell>
        </row>
        <row r="82">
          <cell r="Q82">
            <v>460</v>
          </cell>
          <cell r="R82">
            <v>0.88888888888888884</v>
          </cell>
          <cell r="S82">
            <v>0.11111111111111116</v>
          </cell>
          <cell r="T82">
            <v>0</v>
          </cell>
        </row>
        <row r="83">
          <cell r="Q83">
            <v>459</v>
          </cell>
          <cell r="R83">
            <v>0.88888888888888884</v>
          </cell>
          <cell r="S83">
            <v>0.11111111111111116</v>
          </cell>
          <cell r="T83">
            <v>0</v>
          </cell>
        </row>
        <row r="84">
          <cell r="Q84">
            <v>458</v>
          </cell>
          <cell r="R84">
            <v>0.88888888888888884</v>
          </cell>
          <cell r="S84">
            <v>0.11111111111111116</v>
          </cell>
          <cell r="T84">
            <v>0</v>
          </cell>
        </row>
        <row r="85">
          <cell r="Q85">
            <v>457</v>
          </cell>
          <cell r="R85">
            <v>0.88888888888888884</v>
          </cell>
          <cell r="S85">
            <v>0.11111111111111116</v>
          </cell>
          <cell r="T85">
            <v>0</v>
          </cell>
        </row>
        <row r="86">
          <cell r="Q86">
            <v>456</v>
          </cell>
          <cell r="R86">
            <v>0.88888888888888884</v>
          </cell>
          <cell r="S86">
            <v>0.11111111111111116</v>
          </cell>
          <cell r="T86">
            <v>0</v>
          </cell>
        </row>
        <row r="87">
          <cell r="Q87">
            <v>455</v>
          </cell>
          <cell r="R87">
            <v>0.88888888888888884</v>
          </cell>
          <cell r="S87">
            <v>0.11111111111111116</v>
          </cell>
          <cell r="T87">
            <v>0</v>
          </cell>
        </row>
        <row r="88">
          <cell r="Q88">
            <v>454</v>
          </cell>
          <cell r="R88">
            <v>0.88888888888888884</v>
          </cell>
          <cell r="S88">
            <v>0.11111111111111116</v>
          </cell>
          <cell r="T88">
            <v>0</v>
          </cell>
        </row>
        <row r="89">
          <cell r="Q89">
            <v>453</v>
          </cell>
          <cell r="R89">
            <v>0.88888888888888884</v>
          </cell>
          <cell r="S89">
            <v>0.11111111111111116</v>
          </cell>
          <cell r="T89">
            <v>0</v>
          </cell>
        </row>
        <row r="90">
          <cell r="Q90">
            <v>452</v>
          </cell>
          <cell r="R90">
            <v>0.88888888888888884</v>
          </cell>
          <cell r="S90">
            <v>0.11111111111111116</v>
          </cell>
          <cell r="T90">
            <v>0</v>
          </cell>
        </row>
        <row r="91">
          <cell r="Q91">
            <v>451</v>
          </cell>
          <cell r="R91">
            <v>0.88888888888888884</v>
          </cell>
          <cell r="S91">
            <v>0.11111111111111116</v>
          </cell>
          <cell r="T91">
            <v>0</v>
          </cell>
        </row>
        <row r="92">
          <cell r="Q92">
            <v>450</v>
          </cell>
          <cell r="R92">
            <v>0.88888888888888884</v>
          </cell>
          <cell r="S92">
            <v>0.11111111111111116</v>
          </cell>
          <cell r="T92">
            <v>0</v>
          </cell>
        </row>
        <row r="93">
          <cell r="Q93">
            <v>449</v>
          </cell>
          <cell r="R93">
            <v>0.88888888888888884</v>
          </cell>
          <cell r="S93">
            <v>0.11111111111111116</v>
          </cell>
          <cell r="T93">
            <v>0</v>
          </cell>
        </row>
        <row r="94">
          <cell r="Q94">
            <v>448</v>
          </cell>
          <cell r="R94">
            <v>0.88888888888888884</v>
          </cell>
          <cell r="S94">
            <v>0.11111111111111116</v>
          </cell>
          <cell r="T94">
            <v>0</v>
          </cell>
        </row>
        <row r="95">
          <cell r="Q95">
            <v>447</v>
          </cell>
          <cell r="R95">
            <v>0.88888888888888884</v>
          </cell>
          <cell r="S95">
            <v>0.11111111111111116</v>
          </cell>
          <cell r="T95">
            <v>0</v>
          </cell>
        </row>
        <row r="96">
          <cell r="Q96">
            <v>446</v>
          </cell>
          <cell r="R96">
            <v>0.88888888888888884</v>
          </cell>
          <cell r="S96">
            <v>0.11111111111111116</v>
          </cell>
          <cell r="T96">
            <v>0</v>
          </cell>
        </row>
        <row r="97">
          <cell r="Q97">
            <v>445</v>
          </cell>
          <cell r="R97">
            <v>0.88888888888888884</v>
          </cell>
          <cell r="S97">
            <v>0.11111111111111116</v>
          </cell>
          <cell r="T97">
            <v>0</v>
          </cell>
        </row>
        <row r="98">
          <cell r="Q98">
            <v>444</v>
          </cell>
          <cell r="R98">
            <v>0.88888888888888884</v>
          </cell>
          <cell r="S98">
            <v>0.11111111111111116</v>
          </cell>
          <cell r="T98">
            <v>0</v>
          </cell>
        </row>
        <row r="99">
          <cell r="Q99">
            <v>443</v>
          </cell>
          <cell r="R99">
            <v>0.88888888888888884</v>
          </cell>
          <cell r="S99">
            <v>0.11111111111111116</v>
          </cell>
          <cell r="T99">
            <v>0</v>
          </cell>
        </row>
        <row r="100">
          <cell r="Q100">
            <v>442</v>
          </cell>
          <cell r="R100">
            <v>0.88888888888888884</v>
          </cell>
          <cell r="S100">
            <v>0.11111111111111116</v>
          </cell>
          <cell r="T100">
            <v>0</v>
          </cell>
        </row>
        <row r="101">
          <cell r="Q101">
            <v>441</v>
          </cell>
          <cell r="R101">
            <v>0.88888888888888884</v>
          </cell>
          <cell r="S101">
            <v>0.11111111111111116</v>
          </cell>
          <cell r="T101">
            <v>0</v>
          </cell>
        </row>
        <row r="102">
          <cell r="Q102">
            <v>440</v>
          </cell>
          <cell r="R102">
            <v>0.88888888888888884</v>
          </cell>
          <cell r="S102">
            <v>0.11111111111111116</v>
          </cell>
          <cell r="T102">
            <v>0</v>
          </cell>
        </row>
        <row r="103">
          <cell r="Q103">
            <v>439</v>
          </cell>
          <cell r="R103">
            <v>0.88888888888888884</v>
          </cell>
          <cell r="S103">
            <v>0.11111111111111116</v>
          </cell>
          <cell r="T103">
            <v>0</v>
          </cell>
        </row>
        <row r="104">
          <cell r="Q104">
            <v>438</v>
          </cell>
          <cell r="R104">
            <v>0.88888888888888884</v>
          </cell>
          <cell r="S104">
            <v>0.11111111111111116</v>
          </cell>
          <cell r="T104">
            <v>0</v>
          </cell>
        </row>
        <row r="105">
          <cell r="Q105">
            <v>437</v>
          </cell>
          <cell r="R105">
            <v>0.88888888888888884</v>
          </cell>
          <cell r="S105">
            <v>0.11111111111111116</v>
          </cell>
          <cell r="T105">
            <v>0</v>
          </cell>
        </row>
        <row r="106">
          <cell r="Q106">
            <v>436</v>
          </cell>
          <cell r="R106">
            <v>0.88888888888888884</v>
          </cell>
          <cell r="S106">
            <v>0.11111111111111116</v>
          </cell>
          <cell r="T106">
            <v>0</v>
          </cell>
        </row>
        <row r="107">
          <cell r="Q107">
            <v>435</v>
          </cell>
          <cell r="R107">
            <v>0.88888888888888884</v>
          </cell>
          <cell r="S107">
            <v>0.11111111111111116</v>
          </cell>
          <cell r="T107">
            <v>0</v>
          </cell>
        </row>
        <row r="108">
          <cell r="Q108">
            <v>434</v>
          </cell>
          <cell r="R108">
            <v>0.88888888888888884</v>
          </cell>
          <cell r="S108">
            <v>0.11111111111111116</v>
          </cell>
          <cell r="T108">
            <v>0</v>
          </cell>
        </row>
        <row r="109">
          <cell r="Q109">
            <v>433</v>
          </cell>
          <cell r="R109">
            <v>0.88888888888888884</v>
          </cell>
          <cell r="S109">
            <v>0.11111111111111116</v>
          </cell>
          <cell r="T109">
            <v>0</v>
          </cell>
        </row>
        <row r="110">
          <cell r="Q110">
            <v>432</v>
          </cell>
          <cell r="R110">
            <v>0.88888888888888884</v>
          </cell>
          <cell r="S110">
            <v>0.11111111111111116</v>
          </cell>
          <cell r="T110">
            <v>0</v>
          </cell>
        </row>
        <row r="111">
          <cell r="Q111">
            <v>431</v>
          </cell>
          <cell r="R111">
            <v>0.88888888888888884</v>
          </cell>
          <cell r="S111">
            <v>0.11111111111111116</v>
          </cell>
          <cell r="T111">
            <v>0</v>
          </cell>
        </row>
        <row r="112">
          <cell r="Q112">
            <v>430</v>
          </cell>
          <cell r="R112">
            <v>0.88888888888888884</v>
          </cell>
          <cell r="S112">
            <v>0.11111111111111116</v>
          </cell>
          <cell r="T112">
            <v>0</v>
          </cell>
        </row>
        <row r="113">
          <cell r="Q113">
            <v>429</v>
          </cell>
          <cell r="R113">
            <v>0.88888888888888884</v>
          </cell>
          <cell r="S113">
            <v>0.11111111111111116</v>
          </cell>
          <cell r="T113">
            <v>0</v>
          </cell>
        </row>
        <row r="114">
          <cell r="Q114">
            <v>428</v>
          </cell>
          <cell r="R114">
            <v>0.88888888888888884</v>
          </cell>
          <cell r="S114">
            <v>0.11111111111111116</v>
          </cell>
          <cell r="T114">
            <v>0</v>
          </cell>
        </row>
        <row r="115">
          <cell r="Q115">
            <v>427</v>
          </cell>
          <cell r="R115">
            <v>0.88888888888888884</v>
          </cell>
          <cell r="S115">
            <v>0.11111111111111116</v>
          </cell>
          <cell r="T115">
            <v>0</v>
          </cell>
        </row>
        <row r="116">
          <cell r="Q116">
            <v>426</v>
          </cell>
          <cell r="R116">
            <v>0.88888888888888884</v>
          </cell>
          <cell r="S116">
            <v>0.11111111111111116</v>
          </cell>
          <cell r="T116">
            <v>0</v>
          </cell>
        </row>
        <row r="117">
          <cell r="Q117">
            <v>425</v>
          </cell>
          <cell r="R117">
            <v>0.88888888888888884</v>
          </cell>
          <cell r="S117">
            <v>0.11111111111111116</v>
          </cell>
          <cell r="T117">
            <v>0</v>
          </cell>
        </row>
        <row r="118">
          <cell r="Q118">
            <v>424</v>
          </cell>
          <cell r="R118">
            <v>0.88888888888888884</v>
          </cell>
          <cell r="S118">
            <v>0.11111111111111116</v>
          </cell>
          <cell r="T118">
            <v>0</v>
          </cell>
        </row>
        <row r="119">
          <cell r="Q119">
            <v>423</v>
          </cell>
          <cell r="R119">
            <v>0.88888888888888884</v>
          </cell>
          <cell r="S119">
            <v>0.11111111111111116</v>
          </cell>
          <cell r="T119">
            <v>0</v>
          </cell>
        </row>
        <row r="120">
          <cell r="Q120">
            <v>422</v>
          </cell>
          <cell r="R120">
            <v>0.88888888888888884</v>
          </cell>
          <cell r="S120">
            <v>0.11111111111111116</v>
          </cell>
          <cell r="T120">
            <v>0</v>
          </cell>
        </row>
        <row r="121">
          <cell r="Q121">
            <v>421</v>
          </cell>
          <cell r="R121">
            <v>0.88888888888888884</v>
          </cell>
          <cell r="S121">
            <v>0.11111111111111116</v>
          </cell>
          <cell r="T121">
            <v>0</v>
          </cell>
        </row>
        <row r="122">
          <cell r="Q122">
            <v>420</v>
          </cell>
          <cell r="R122">
            <v>0.88888888888888884</v>
          </cell>
          <cell r="S122">
            <v>0.11111111111111116</v>
          </cell>
          <cell r="T122">
            <v>0</v>
          </cell>
        </row>
        <row r="123">
          <cell r="Q123">
            <v>419</v>
          </cell>
          <cell r="R123">
            <v>0.88888888888888884</v>
          </cell>
          <cell r="S123">
            <v>0.11111111111111116</v>
          </cell>
          <cell r="T123">
            <v>0</v>
          </cell>
        </row>
        <row r="124">
          <cell r="Q124">
            <v>418</v>
          </cell>
          <cell r="R124">
            <v>0.88888888888888884</v>
          </cell>
          <cell r="S124">
            <v>0.11111111111111116</v>
          </cell>
          <cell r="T124">
            <v>0</v>
          </cell>
        </row>
        <row r="125">
          <cell r="Q125">
            <v>417</v>
          </cell>
          <cell r="R125">
            <v>0.88888888888888884</v>
          </cell>
          <cell r="S125">
            <v>0.11111111111111116</v>
          </cell>
          <cell r="T125">
            <v>0</v>
          </cell>
        </row>
        <row r="126">
          <cell r="Q126">
            <v>416</v>
          </cell>
          <cell r="R126">
            <v>0.88888888888888884</v>
          </cell>
          <cell r="S126">
            <v>0.11111111111111116</v>
          </cell>
          <cell r="T126">
            <v>0</v>
          </cell>
        </row>
        <row r="127">
          <cell r="Q127">
            <v>415</v>
          </cell>
          <cell r="R127">
            <v>0.88888888888888884</v>
          </cell>
          <cell r="S127">
            <v>0.11111111111111116</v>
          </cell>
          <cell r="T127">
            <v>0</v>
          </cell>
        </row>
        <row r="128">
          <cell r="Q128">
            <v>414</v>
          </cell>
          <cell r="R128">
            <v>0.88888888888888884</v>
          </cell>
          <cell r="S128">
            <v>0.11111111111111116</v>
          </cell>
          <cell r="T128">
            <v>0</v>
          </cell>
        </row>
        <row r="129">
          <cell r="Q129">
            <v>413</v>
          </cell>
          <cell r="R129">
            <v>0.88888888888888884</v>
          </cell>
          <cell r="S129">
            <v>0.11111111111111116</v>
          </cell>
          <cell r="T129">
            <v>0</v>
          </cell>
        </row>
        <row r="130">
          <cell r="Q130">
            <v>412</v>
          </cell>
          <cell r="R130">
            <v>0.88888888888888884</v>
          </cell>
          <cell r="S130">
            <v>0.11111111111111116</v>
          </cell>
          <cell r="T130">
            <v>0</v>
          </cell>
        </row>
        <row r="131">
          <cell r="Q131">
            <v>411</v>
          </cell>
          <cell r="R131">
            <v>0.88888888888888884</v>
          </cell>
          <cell r="S131">
            <v>0.11111111111111116</v>
          </cell>
          <cell r="T131">
            <v>0</v>
          </cell>
        </row>
        <row r="132">
          <cell r="Q132">
            <v>410</v>
          </cell>
          <cell r="R132">
            <v>0.88888888888888884</v>
          </cell>
          <cell r="S132">
            <v>0.11111111111111116</v>
          </cell>
          <cell r="T132">
            <v>0</v>
          </cell>
        </row>
        <row r="133">
          <cell r="Q133">
            <v>409</v>
          </cell>
          <cell r="R133">
            <v>0.88888888888888884</v>
          </cell>
          <cell r="S133">
            <v>0.11111111111111116</v>
          </cell>
          <cell r="T133">
            <v>0</v>
          </cell>
        </row>
        <row r="134">
          <cell r="Q134">
            <v>408</v>
          </cell>
          <cell r="R134">
            <v>0.88888888888888884</v>
          </cell>
          <cell r="S134">
            <v>0.11111111111111116</v>
          </cell>
          <cell r="T134">
            <v>0</v>
          </cell>
        </row>
        <row r="135">
          <cell r="Q135">
            <v>407</v>
          </cell>
          <cell r="R135">
            <v>0.88888888888888884</v>
          </cell>
          <cell r="S135">
            <v>0.11111111111111116</v>
          </cell>
          <cell r="T135">
            <v>0</v>
          </cell>
        </row>
        <row r="136">
          <cell r="Q136">
            <v>406</v>
          </cell>
          <cell r="R136">
            <v>0.88888888888888884</v>
          </cell>
          <cell r="S136">
            <v>0.11111111111111116</v>
          </cell>
          <cell r="T136">
            <v>0</v>
          </cell>
        </row>
        <row r="137">
          <cell r="Q137">
            <v>405</v>
          </cell>
          <cell r="R137">
            <v>0.88888888888888884</v>
          </cell>
          <cell r="S137">
            <v>0.11111111111111116</v>
          </cell>
          <cell r="T137">
            <v>0</v>
          </cell>
        </row>
        <row r="138">
          <cell r="Q138">
            <v>404</v>
          </cell>
          <cell r="R138">
            <v>0.88888888888888884</v>
          </cell>
          <cell r="S138">
            <v>0.11111111111111116</v>
          </cell>
          <cell r="T138">
            <v>0</v>
          </cell>
        </row>
        <row r="139">
          <cell r="Q139">
            <v>403</v>
          </cell>
          <cell r="R139">
            <v>0.88888888888888884</v>
          </cell>
          <cell r="S139">
            <v>0.11111111111111116</v>
          </cell>
          <cell r="T139">
            <v>0</v>
          </cell>
        </row>
        <row r="140">
          <cell r="Q140">
            <v>402</v>
          </cell>
          <cell r="R140">
            <v>0.88888888888888884</v>
          </cell>
          <cell r="S140">
            <v>0.11111111111111116</v>
          </cell>
          <cell r="T140">
            <v>0</v>
          </cell>
        </row>
        <row r="141">
          <cell r="Q141">
            <v>401</v>
          </cell>
          <cell r="R141">
            <v>0.88888888888888884</v>
          </cell>
          <cell r="S141">
            <v>0.11111111111111116</v>
          </cell>
          <cell r="T141">
            <v>0</v>
          </cell>
        </row>
        <row r="142">
          <cell r="Q142">
            <v>400</v>
          </cell>
          <cell r="R142">
            <v>0.88888888888888884</v>
          </cell>
          <cell r="S142">
            <v>0.11111111111111116</v>
          </cell>
          <cell r="T142">
            <v>0</v>
          </cell>
        </row>
        <row r="143">
          <cell r="Q143">
            <v>399</v>
          </cell>
          <cell r="R143">
            <v>0.88888888888888884</v>
          </cell>
          <cell r="S143">
            <v>0.11111111111111116</v>
          </cell>
          <cell r="T143">
            <v>0</v>
          </cell>
        </row>
        <row r="144">
          <cell r="Q144">
            <v>398</v>
          </cell>
          <cell r="R144">
            <v>0.88888888888888884</v>
          </cell>
          <cell r="S144">
            <v>0.11111111111111116</v>
          </cell>
          <cell r="T144">
            <v>0</v>
          </cell>
        </row>
        <row r="145">
          <cell r="Q145">
            <v>397</v>
          </cell>
          <cell r="R145">
            <v>0.88888888888888884</v>
          </cell>
          <cell r="S145">
            <v>0.11111111111111116</v>
          </cell>
          <cell r="T145">
            <v>0</v>
          </cell>
        </row>
        <row r="146">
          <cell r="Q146">
            <v>396</v>
          </cell>
          <cell r="R146">
            <v>0.88888888888888884</v>
          </cell>
          <cell r="S146">
            <v>0.11111111111111116</v>
          </cell>
          <cell r="T146">
            <v>0</v>
          </cell>
        </row>
        <row r="147">
          <cell r="Q147">
            <v>395</v>
          </cell>
          <cell r="R147">
            <v>0.88888888888888884</v>
          </cell>
          <cell r="S147">
            <v>0.11111111111111116</v>
          </cell>
          <cell r="T147">
            <v>0</v>
          </cell>
        </row>
        <row r="148">
          <cell r="Q148">
            <v>394</v>
          </cell>
          <cell r="R148">
            <v>0.88888888888888884</v>
          </cell>
          <cell r="S148">
            <v>0.11111111111111116</v>
          </cell>
          <cell r="T148">
            <v>0</v>
          </cell>
        </row>
        <row r="149">
          <cell r="Q149">
            <v>393</v>
          </cell>
          <cell r="R149">
            <v>0.88888888888888884</v>
          </cell>
          <cell r="S149">
            <v>0.11111111111111116</v>
          </cell>
          <cell r="T149">
            <v>0</v>
          </cell>
        </row>
        <row r="150">
          <cell r="Q150">
            <v>392</v>
          </cell>
          <cell r="R150">
            <v>0.88888888888888884</v>
          </cell>
          <cell r="S150">
            <v>0.11111111111111116</v>
          </cell>
          <cell r="T150">
            <v>0</v>
          </cell>
        </row>
        <row r="151">
          <cell r="Q151">
            <v>391</v>
          </cell>
          <cell r="R151">
            <v>0.88888888888888884</v>
          </cell>
          <cell r="S151">
            <v>0.11111111111111116</v>
          </cell>
          <cell r="T151">
            <v>0</v>
          </cell>
        </row>
        <row r="152">
          <cell r="Q152">
            <v>390</v>
          </cell>
          <cell r="R152">
            <v>0.88888888888888884</v>
          </cell>
          <cell r="S152">
            <v>0.11111111111111116</v>
          </cell>
          <cell r="T152">
            <v>0</v>
          </cell>
        </row>
        <row r="153">
          <cell r="Q153">
            <v>389</v>
          </cell>
          <cell r="R153">
            <v>0.88888888888888884</v>
          </cell>
          <cell r="S153">
            <v>0.11111111111111116</v>
          </cell>
          <cell r="T153">
            <v>0</v>
          </cell>
        </row>
        <row r="154">
          <cell r="Q154">
            <v>388</v>
          </cell>
          <cell r="R154">
            <v>0.88888888888888884</v>
          </cell>
          <cell r="S154">
            <v>0.11111111111111116</v>
          </cell>
          <cell r="T154">
            <v>0</v>
          </cell>
        </row>
        <row r="155">
          <cell r="Q155">
            <v>387</v>
          </cell>
          <cell r="R155">
            <v>0.88888888888888884</v>
          </cell>
          <cell r="S155">
            <v>0.11111111111111116</v>
          </cell>
          <cell r="T155">
            <v>0</v>
          </cell>
        </row>
        <row r="156">
          <cell r="Q156">
            <v>386</v>
          </cell>
          <cell r="R156">
            <v>0.88888888888888884</v>
          </cell>
          <cell r="S156">
            <v>0.11111111111111116</v>
          </cell>
          <cell r="T156">
            <v>0</v>
          </cell>
        </row>
        <row r="157">
          <cell r="Q157">
            <v>385</v>
          </cell>
          <cell r="R157">
            <v>0.88888888888888884</v>
          </cell>
          <cell r="S157">
            <v>0.11111111111111116</v>
          </cell>
          <cell r="T157">
            <v>0</v>
          </cell>
        </row>
        <row r="158">
          <cell r="Q158">
            <v>384</v>
          </cell>
          <cell r="R158">
            <v>0.88888888888888884</v>
          </cell>
          <cell r="S158">
            <v>0.11111111111111116</v>
          </cell>
          <cell r="T158">
            <v>0</v>
          </cell>
        </row>
        <row r="159">
          <cell r="Q159">
            <v>383</v>
          </cell>
          <cell r="R159">
            <v>0.88888888888888884</v>
          </cell>
          <cell r="S159">
            <v>0.11111111111111116</v>
          </cell>
          <cell r="T159">
            <v>0</v>
          </cell>
        </row>
        <row r="160">
          <cell r="Q160">
            <v>382</v>
          </cell>
          <cell r="R160">
            <v>0.88888888888888884</v>
          </cell>
          <cell r="S160">
            <v>0.11111111111111116</v>
          </cell>
          <cell r="T160">
            <v>0</v>
          </cell>
        </row>
        <row r="161">
          <cell r="Q161">
            <v>381</v>
          </cell>
          <cell r="R161">
            <v>0.88888888888888884</v>
          </cell>
          <cell r="S161">
            <v>0.11111111111111116</v>
          </cell>
          <cell r="T161">
            <v>0</v>
          </cell>
        </row>
        <row r="162">
          <cell r="Q162">
            <v>380</v>
          </cell>
          <cell r="R162">
            <v>0.88888888888888884</v>
          </cell>
          <cell r="S162">
            <v>0.11111111111111116</v>
          </cell>
          <cell r="T162">
            <v>0</v>
          </cell>
        </row>
        <row r="163">
          <cell r="Q163">
            <v>379</v>
          </cell>
          <cell r="R163">
            <v>0.88888888888888884</v>
          </cell>
          <cell r="S163">
            <v>0.11111111111111116</v>
          </cell>
          <cell r="T163">
            <v>0</v>
          </cell>
        </row>
        <row r="164">
          <cell r="Q164">
            <v>378</v>
          </cell>
          <cell r="R164">
            <v>0.88888888888888884</v>
          </cell>
          <cell r="S164">
            <v>0.11111111111111116</v>
          </cell>
          <cell r="T164">
            <v>0</v>
          </cell>
        </row>
        <row r="165">
          <cell r="Q165">
            <v>377</v>
          </cell>
          <cell r="R165">
            <v>0.88888888888888884</v>
          </cell>
          <cell r="S165">
            <v>0.11111111111111116</v>
          </cell>
          <cell r="T165">
            <v>0</v>
          </cell>
        </row>
        <row r="166">
          <cell r="Q166">
            <v>376</v>
          </cell>
          <cell r="R166">
            <v>0.88888888888888884</v>
          </cell>
          <cell r="S166">
            <v>0.11111111111111116</v>
          </cell>
          <cell r="T166">
            <v>0</v>
          </cell>
        </row>
        <row r="167">
          <cell r="Q167">
            <v>375</v>
          </cell>
          <cell r="R167">
            <v>0.88888888888888884</v>
          </cell>
          <cell r="S167">
            <v>0.11111111111111116</v>
          </cell>
          <cell r="T167">
            <v>0</v>
          </cell>
        </row>
        <row r="168">
          <cell r="Q168">
            <v>374</v>
          </cell>
          <cell r="R168">
            <v>0.88888888888888884</v>
          </cell>
          <cell r="S168">
            <v>0.11111111111111116</v>
          </cell>
          <cell r="T168">
            <v>0</v>
          </cell>
        </row>
        <row r="169">
          <cell r="Q169">
            <v>373</v>
          </cell>
          <cell r="R169">
            <v>0.88888888888888884</v>
          </cell>
          <cell r="S169">
            <v>0.11111111111111116</v>
          </cell>
          <cell r="T169">
            <v>0</v>
          </cell>
        </row>
        <row r="170">
          <cell r="Q170">
            <v>372</v>
          </cell>
          <cell r="R170">
            <v>0.88888888888888884</v>
          </cell>
          <cell r="S170">
            <v>0.11111111111111116</v>
          </cell>
          <cell r="T170">
            <v>0</v>
          </cell>
        </row>
        <row r="171">
          <cell r="Q171">
            <v>371</v>
          </cell>
          <cell r="R171">
            <v>0.88888888888888884</v>
          </cell>
          <cell r="S171">
            <v>0.11111111111111116</v>
          </cell>
          <cell r="T171">
            <v>0</v>
          </cell>
        </row>
        <row r="172">
          <cell r="Q172">
            <v>370</v>
          </cell>
          <cell r="R172">
            <v>0.88888888888888884</v>
          </cell>
          <cell r="S172">
            <v>0.11111111111111116</v>
          </cell>
          <cell r="T172">
            <v>0</v>
          </cell>
        </row>
        <row r="173">
          <cell r="Q173">
            <v>369</v>
          </cell>
          <cell r="R173">
            <v>0.88888888888888884</v>
          </cell>
          <cell r="S173">
            <v>0.11111111111111116</v>
          </cell>
          <cell r="T173">
            <v>0</v>
          </cell>
        </row>
        <row r="174">
          <cell r="Q174">
            <v>368</v>
          </cell>
          <cell r="R174">
            <v>0.88888888888888884</v>
          </cell>
          <cell r="S174">
            <v>0.11111111111111116</v>
          </cell>
          <cell r="T174">
            <v>0</v>
          </cell>
        </row>
        <row r="175">
          <cell r="Q175">
            <v>367</v>
          </cell>
          <cell r="R175">
            <v>0.88888888888888884</v>
          </cell>
          <cell r="S175">
            <v>0.11111111111111116</v>
          </cell>
          <cell r="T175">
            <v>0</v>
          </cell>
        </row>
        <row r="176">
          <cell r="Q176">
            <v>366</v>
          </cell>
          <cell r="R176">
            <v>0.88888888888888884</v>
          </cell>
          <cell r="S176">
            <v>0.11111111111111116</v>
          </cell>
          <cell r="T176">
            <v>0</v>
          </cell>
        </row>
        <row r="177">
          <cell r="Q177">
            <v>365</v>
          </cell>
          <cell r="R177">
            <v>0.88888888888888884</v>
          </cell>
          <cell r="S177">
            <v>0.11111111111111116</v>
          </cell>
          <cell r="T177">
            <v>0</v>
          </cell>
        </row>
        <row r="178">
          <cell r="Q178">
            <v>364</v>
          </cell>
          <cell r="R178">
            <v>0.88888888888888884</v>
          </cell>
          <cell r="S178">
            <v>0.11111111111111116</v>
          </cell>
          <cell r="T178">
            <v>0</v>
          </cell>
        </row>
        <row r="179">
          <cell r="Q179">
            <v>363</v>
          </cell>
          <cell r="R179">
            <v>0.88888888888888884</v>
          </cell>
          <cell r="S179">
            <v>0.11111111111111116</v>
          </cell>
          <cell r="T179">
            <v>0</v>
          </cell>
        </row>
        <row r="180">
          <cell r="Q180">
            <v>362</v>
          </cell>
          <cell r="R180">
            <v>0.88888888888888884</v>
          </cell>
          <cell r="S180">
            <v>0.11111111111111116</v>
          </cell>
          <cell r="T180">
            <v>0</v>
          </cell>
        </row>
        <row r="181">
          <cell r="Q181">
            <v>361</v>
          </cell>
          <cell r="R181">
            <v>0.88888888888888884</v>
          </cell>
          <cell r="S181">
            <v>0.11111111111111116</v>
          </cell>
          <cell r="T181">
            <v>0</v>
          </cell>
        </row>
        <row r="182">
          <cell r="Q182">
            <v>360</v>
          </cell>
          <cell r="R182">
            <v>0.88888888888888884</v>
          </cell>
          <cell r="S182">
            <v>0.11111111111111116</v>
          </cell>
          <cell r="T182">
            <v>0</v>
          </cell>
        </row>
        <row r="183">
          <cell r="Q183">
            <v>359</v>
          </cell>
          <cell r="R183">
            <v>0.88888888888888884</v>
          </cell>
          <cell r="S183">
            <v>0.11111111111111116</v>
          </cell>
          <cell r="T183">
            <v>0</v>
          </cell>
        </row>
        <row r="184">
          <cell r="Q184">
            <v>358</v>
          </cell>
          <cell r="R184">
            <v>0.88888888888888884</v>
          </cell>
          <cell r="S184">
            <v>0.11111111111111116</v>
          </cell>
          <cell r="T184">
            <v>0</v>
          </cell>
        </row>
        <row r="185">
          <cell r="Q185">
            <v>357</v>
          </cell>
          <cell r="R185">
            <v>0.88888888888888884</v>
          </cell>
          <cell r="S185">
            <v>0.11111111111111116</v>
          </cell>
          <cell r="T185">
            <v>0</v>
          </cell>
        </row>
        <row r="186">
          <cell r="Q186">
            <v>356</v>
          </cell>
          <cell r="R186">
            <v>0.88888888888888884</v>
          </cell>
          <cell r="S186">
            <v>0.11111111111111116</v>
          </cell>
          <cell r="T186">
            <v>0</v>
          </cell>
        </row>
        <row r="187">
          <cell r="Q187">
            <v>355</v>
          </cell>
          <cell r="R187">
            <v>0.88888888888888884</v>
          </cell>
          <cell r="S187">
            <v>0.11111111111111116</v>
          </cell>
          <cell r="T187">
            <v>0</v>
          </cell>
        </row>
        <row r="188">
          <cell r="Q188">
            <v>354</v>
          </cell>
          <cell r="R188">
            <v>0.88888888888888884</v>
          </cell>
          <cell r="S188">
            <v>0.11111111111111116</v>
          </cell>
          <cell r="T188">
            <v>0</v>
          </cell>
        </row>
        <row r="189">
          <cell r="Q189">
            <v>353</v>
          </cell>
          <cell r="R189">
            <v>0.88888888888888884</v>
          </cell>
          <cell r="S189">
            <v>0.11111111111111116</v>
          </cell>
          <cell r="T189">
            <v>0</v>
          </cell>
        </row>
        <row r="190">
          <cell r="Q190">
            <v>352</v>
          </cell>
          <cell r="R190">
            <v>0.88888888888888884</v>
          </cell>
          <cell r="S190">
            <v>0.11111111111111116</v>
          </cell>
          <cell r="T190">
            <v>0</v>
          </cell>
        </row>
        <row r="191">
          <cell r="Q191">
            <v>351</v>
          </cell>
          <cell r="R191">
            <v>0.88888888888888884</v>
          </cell>
          <cell r="S191">
            <v>0.11111111111111116</v>
          </cell>
          <cell r="T191">
            <v>0</v>
          </cell>
        </row>
        <row r="192">
          <cell r="Q192">
            <v>350</v>
          </cell>
          <cell r="R192">
            <v>0.88888888888888884</v>
          </cell>
          <cell r="S192">
            <v>0.11111111111111116</v>
          </cell>
          <cell r="T192">
            <v>0</v>
          </cell>
        </row>
        <row r="193">
          <cell r="Q193">
            <v>349</v>
          </cell>
          <cell r="R193">
            <v>0.88888888888888884</v>
          </cell>
          <cell r="S193">
            <v>0.11111111111111116</v>
          </cell>
          <cell r="T193">
            <v>0</v>
          </cell>
        </row>
        <row r="194">
          <cell r="Q194">
            <v>348</v>
          </cell>
          <cell r="R194">
            <v>0.88888888888888884</v>
          </cell>
          <cell r="S194">
            <v>0.11111111111111116</v>
          </cell>
          <cell r="T194">
            <v>0</v>
          </cell>
        </row>
        <row r="195">
          <cell r="Q195">
            <v>347</v>
          </cell>
          <cell r="R195">
            <v>0.88888888888888884</v>
          </cell>
          <cell r="S195">
            <v>0.11111111111111116</v>
          </cell>
          <cell r="T195">
            <v>0</v>
          </cell>
        </row>
        <row r="196">
          <cell r="Q196">
            <v>346</v>
          </cell>
          <cell r="R196">
            <v>0.88888888888888884</v>
          </cell>
          <cell r="S196">
            <v>0.11111111111111116</v>
          </cell>
          <cell r="T196">
            <v>0</v>
          </cell>
        </row>
        <row r="197">
          <cell r="Q197">
            <v>345</v>
          </cell>
          <cell r="R197">
            <v>0.88888888888888884</v>
          </cell>
          <cell r="S197">
            <v>0.11111111111111116</v>
          </cell>
          <cell r="T197">
            <v>0</v>
          </cell>
        </row>
        <row r="198">
          <cell r="Q198">
            <v>344</v>
          </cell>
          <cell r="R198">
            <v>0.88888888888888884</v>
          </cell>
          <cell r="S198">
            <v>0.11111111111111116</v>
          </cell>
          <cell r="T198">
            <v>0</v>
          </cell>
        </row>
        <row r="199">
          <cell r="Q199">
            <v>343</v>
          </cell>
          <cell r="R199">
            <v>0.88888888888888884</v>
          </cell>
          <cell r="S199">
            <v>0.11111111111111116</v>
          </cell>
          <cell r="T199">
            <v>0</v>
          </cell>
        </row>
        <row r="200">
          <cell r="Q200">
            <v>342</v>
          </cell>
          <cell r="R200">
            <v>0.88888888888888884</v>
          </cell>
          <cell r="S200">
            <v>0.11111111111111116</v>
          </cell>
          <cell r="T200">
            <v>0</v>
          </cell>
        </row>
        <row r="201">
          <cell r="Q201">
            <v>341</v>
          </cell>
          <cell r="R201">
            <v>0.88888888888888884</v>
          </cell>
          <cell r="S201">
            <v>0.11111111111111116</v>
          </cell>
          <cell r="T201">
            <v>0</v>
          </cell>
        </row>
        <row r="202">
          <cell r="Q202">
            <v>340</v>
          </cell>
          <cell r="R202">
            <v>0.88888888888888884</v>
          </cell>
          <cell r="S202">
            <v>0.11111111111111116</v>
          </cell>
          <cell r="T202">
            <v>0</v>
          </cell>
        </row>
        <row r="203">
          <cell r="Q203">
            <v>339</v>
          </cell>
          <cell r="R203">
            <v>0.88888888888888884</v>
          </cell>
          <cell r="S203">
            <v>0.11111111111111116</v>
          </cell>
          <cell r="T203">
            <v>0</v>
          </cell>
        </row>
        <row r="204">
          <cell r="Q204">
            <v>338</v>
          </cell>
          <cell r="R204">
            <v>0.88888888888888884</v>
          </cell>
          <cell r="S204">
            <v>0.11111111111111116</v>
          </cell>
          <cell r="T204">
            <v>0</v>
          </cell>
        </row>
        <row r="205">
          <cell r="Q205">
            <v>337</v>
          </cell>
          <cell r="R205">
            <v>0.88888888888888884</v>
          </cell>
          <cell r="S205">
            <v>0.11111111111111116</v>
          </cell>
          <cell r="T205">
            <v>0</v>
          </cell>
        </row>
        <row r="206">
          <cell r="Q206">
            <v>336</v>
          </cell>
          <cell r="R206">
            <v>0.88888888888888884</v>
          </cell>
          <cell r="S206">
            <v>0.11111111111111116</v>
          </cell>
          <cell r="T206">
            <v>0</v>
          </cell>
        </row>
        <row r="207">
          <cell r="Q207">
            <v>335</v>
          </cell>
          <cell r="R207">
            <v>0.88888888888888884</v>
          </cell>
          <cell r="S207">
            <v>0.11111111111111116</v>
          </cell>
          <cell r="T207">
            <v>0</v>
          </cell>
        </row>
        <row r="208">
          <cell r="Q208">
            <v>334</v>
          </cell>
          <cell r="R208">
            <v>0.88888888888888884</v>
          </cell>
          <cell r="S208">
            <v>0.11111111111111116</v>
          </cell>
          <cell r="T208">
            <v>0</v>
          </cell>
        </row>
        <row r="209">
          <cell r="Q209">
            <v>333</v>
          </cell>
          <cell r="R209">
            <v>0.88888888888888884</v>
          </cell>
          <cell r="S209">
            <v>0.11111111111111116</v>
          </cell>
          <cell r="T209">
            <v>0</v>
          </cell>
        </row>
        <row r="210">
          <cell r="Q210">
            <v>332</v>
          </cell>
          <cell r="R210">
            <v>0.88888888888888884</v>
          </cell>
          <cell r="S210">
            <v>0.11111111111111116</v>
          </cell>
          <cell r="T210">
            <v>0</v>
          </cell>
        </row>
        <row r="211">
          <cell r="Q211">
            <v>331</v>
          </cell>
          <cell r="R211">
            <v>0.88888888888888884</v>
          </cell>
          <cell r="S211">
            <v>0.11111111111111116</v>
          </cell>
          <cell r="T211">
            <v>0</v>
          </cell>
        </row>
        <row r="212">
          <cell r="Q212">
            <v>330</v>
          </cell>
          <cell r="R212">
            <v>0.88888888888888884</v>
          </cell>
          <cell r="S212">
            <v>0.11111111111111116</v>
          </cell>
          <cell r="T212">
            <v>0</v>
          </cell>
        </row>
        <row r="213">
          <cell r="Q213">
            <v>329</v>
          </cell>
          <cell r="R213">
            <v>0.88888888888888884</v>
          </cell>
          <cell r="S213">
            <v>0.11111111111111116</v>
          </cell>
          <cell r="T213">
            <v>0</v>
          </cell>
        </row>
        <row r="214">
          <cell r="Q214">
            <v>328</v>
          </cell>
          <cell r="R214">
            <v>0.88888888888888884</v>
          </cell>
          <cell r="S214">
            <v>0.11111111111111116</v>
          </cell>
          <cell r="T214">
            <v>0</v>
          </cell>
        </row>
        <row r="215">
          <cell r="Q215">
            <v>327</v>
          </cell>
          <cell r="R215">
            <v>0.88888888888888884</v>
          </cell>
          <cell r="S215">
            <v>0.11111111111111116</v>
          </cell>
          <cell r="T215">
            <v>0</v>
          </cell>
        </row>
        <row r="216">
          <cell r="Q216">
            <v>326</v>
          </cell>
          <cell r="R216">
            <v>0.88888888888888884</v>
          </cell>
          <cell r="S216">
            <v>0.11111111111111116</v>
          </cell>
          <cell r="T216">
            <v>0</v>
          </cell>
        </row>
        <row r="217">
          <cell r="Q217">
            <v>325</v>
          </cell>
          <cell r="R217">
            <v>0.88888888888888884</v>
          </cell>
          <cell r="S217">
            <v>0.11111111111111116</v>
          </cell>
          <cell r="T217">
            <v>0</v>
          </cell>
        </row>
        <row r="218">
          <cell r="Q218">
            <v>324</v>
          </cell>
          <cell r="R218">
            <v>0.88888888888888884</v>
          </cell>
          <cell r="S218">
            <v>0.11111111111111116</v>
          </cell>
          <cell r="T218">
            <v>0</v>
          </cell>
        </row>
        <row r="219">
          <cell r="Q219">
            <v>323</v>
          </cell>
          <cell r="R219">
            <v>0.88888888888888884</v>
          </cell>
          <cell r="S219">
            <v>0.11111111111111116</v>
          </cell>
          <cell r="T219">
            <v>0</v>
          </cell>
        </row>
        <row r="220">
          <cell r="Q220">
            <v>322</v>
          </cell>
          <cell r="R220">
            <v>0.88888888888888884</v>
          </cell>
          <cell r="S220">
            <v>0.11111111111111116</v>
          </cell>
          <cell r="T220">
            <v>0</v>
          </cell>
        </row>
        <row r="221">
          <cell r="Q221">
            <v>321</v>
          </cell>
          <cell r="R221">
            <v>0.88888888888888884</v>
          </cell>
          <cell r="S221">
            <v>0.11111111111111116</v>
          </cell>
          <cell r="T221">
            <v>0</v>
          </cell>
        </row>
        <row r="222">
          <cell r="Q222">
            <v>320</v>
          </cell>
          <cell r="R222">
            <v>0.88888888888888884</v>
          </cell>
          <cell r="S222">
            <v>0.11111111111111116</v>
          </cell>
          <cell r="T222">
            <v>0</v>
          </cell>
        </row>
        <row r="223">
          <cell r="Q223">
            <v>319</v>
          </cell>
          <cell r="R223">
            <v>0.88888888888888884</v>
          </cell>
          <cell r="S223">
            <v>0.11111111111111116</v>
          </cell>
          <cell r="T223">
            <v>0</v>
          </cell>
        </row>
        <row r="224">
          <cell r="Q224">
            <v>318</v>
          </cell>
          <cell r="R224">
            <v>0.88888888888888884</v>
          </cell>
          <cell r="S224">
            <v>0.11111111111111116</v>
          </cell>
          <cell r="T224">
            <v>0</v>
          </cell>
        </row>
        <row r="225">
          <cell r="Q225">
            <v>317</v>
          </cell>
          <cell r="R225">
            <v>0.88888888888888884</v>
          </cell>
          <cell r="S225">
            <v>0.11111111111111116</v>
          </cell>
          <cell r="T225">
            <v>0</v>
          </cell>
        </row>
        <row r="226">
          <cell r="Q226">
            <v>316</v>
          </cell>
          <cell r="R226">
            <v>0.88888888888888884</v>
          </cell>
          <cell r="S226">
            <v>0.11111111111111116</v>
          </cell>
          <cell r="T226">
            <v>0</v>
          </cell>
        </row>
        <row r="227">
          <cell r="Q227">
            <v>315</v>
          </cell>
          <cell r="R227">
            <v>0.88888888888888884</v>
          </cell>
          <cell r="S227">
            <v>0.11111111111111116</v>
          </cell>
          <cell r="T227">
            <v>0</v>
          </cell>
        </row>
        <row r="228">
          <cell r="Q228">
            <v>314</v>
          </cell>
          <cell r="R228">
            <v>0.88888888888888884</v>
          </cell>
          <cell r="S228">
            <v>0.11111111111111116</v>
          </cell>
          <cell r="T228">
            <v>0</v>
          </cell>
        </row>
        <row r="229">
          <cell r="Q229">
            <v>313</v>
          </cell>
          <cell r="R229">
            <v>0.88888888888888884</v>
          </cell>
          <cell r="S229">
            <v>0.11111111111111116</v>
          </cell>
          <cell r="T229">
            <v>0</v>
          </cell>
        </row>
        <row r="230">
          <cell r="Q230">
            <v>312</v>
          </cell>
          <cell r="R230">
            <v>0.88888888888888884</v>
          </cell>
          <cell r="S230">
            <v>0.11111111111111116</v>
          </cell>
          <cell r="T230">
            <v>0</v>
          </cell>
        </row>
        <row r="231">
          <cell r="Q231">
            <v>311</v>
          </cell>
          <cell r="R231">
            <v>0.88888888888888884</v>
          </cell>
          <cell r="S231">
            <v>0.11111111111111116</v>
          </cell>
          <cell r="T231">
            <v>0</v>
          </cell>
        </row>
        <row r="232">
          <cell r="Q232">
            <v>310</v>
          </cell>
          <cell r="R232">
            <v>0.88888888888888884</v>
          </cell>
          <cell r="S232">
            <v>0.11111111111111116</v>
          </cell>
          <cell r="T232">
            <v>0</v>
          </cell>
        </row>
        <row r="233">
          <cell r="Q233">
            <v>309</v>
          </cell>
          <cell r="R233">
            <v>0.88888888888888884</v>
          </cell>
          <cell r="S233">
            <v>0.11111111111111116</v>
          </cell>
          <cell r="T233">
            <v>0</v>
          </cell>
        </row>
        <row r="234">
          <cell r="Q234">
            <v>308</v>
          </cell>
          <cell r="R234">
            <v>0.88888888888888884</v>
          </cell>
          <cell r="S234">
            <v>0.11111111111111116</v>
          </cell>
          <cell r="T234">
            <v>0</v>
          </cell>
        </row>
        <row r="235">
          <cell r="Q235">
            <v>307</v>
          </cell>
          <cell r="R235">
            <v>0.88888888888888884</v>
          </cell>
          <cell r="S235">
            <v>0.11111111111111116</v>
          </cell>
          <cell r="T235">
            <v>0</v>
          </cell>
        </row>
        <row r="236">
          <cell r="Q236">
            <v>306</v>
          </cell>
          <cell r="R236">
            <v>0.88888888888888884</v>
          </cell>
          <cell r="S236">
            <v>0.11111111111111116</v>
          </cell>
          <cell r="T236">
            <v>0</v>
          </cell>
        </row>
        <row r="237">
          <cell r="Q237">
            <v>305</v>
          </cell>
          <cell r="R237">
            <v>0.88888888888888884</v>
          </cell>
          <cell r="S237">
            <v>0.11111111111111116</v>
          </cell>
          <cell r="T237">
            <v>0</v>
          </cell>
        </row>
        <row r="238">
          <cell r="Q238">
            <v>304</v>
          </cell>
          <cell r="R238">
            <v>0.88888888888888884</v>
          </cell>
          <cell r="S238">
            <v>0.11111111111111116</v>
          </cell>
          <cell r="T238">
            <v>0</v>
          </cell>
        </row>
        <row r="239">
          <cell r="Q239">
            <v>303</v>
          </cell>
          <cell r="R239">
            <v>0.88888888888888884</v>
          </cell>
          <cell r="S239">
            <v>0.11111111111111116</v>
          </cell>
          <cell r="T239">
            <v>0</v>
          </cell>
        </row>
        <row r="240">
          <cell r="Q240">
            <v>302</v>
          </cell>
          <cell r="R240">
            <v>0.88888888888888884</v>
          </cell>
          <cell r="S240">
            <v>0.11111111111111116</v>
          </cell>
          <cell r="T240">
            <v>0</v>
          </cell>
        </row>
        <row r="241">
          <cell r="Q241">
            <v>301</v>
          </cell>
          <cell r="R241">
            <v>0.88888888888888884</v>
          </cell>
          <cell r="S241">
            <v>0.11111111111111116</v>
          </cell>
          <cell r="T241">
            <v>0</v>
          </cell>
        </row>
        <row r="242">
          <cell r="Q242">
            <v>300</v>
          </cell>
          <cell r="R242">
            <v>0.88888888888888884</v>
          </cell>
          <cell r="S242">
            <v>0.11111111111111116</v>
          </cell>
          <cell r="T242">
            <v>0</v>
          </cell>
        </row>
        <row r="243">
          <cell r="Q243">
            <v>299</v>
          </cell>
          <cell r="R243">
            <v>0.88888888888888884</v>
          </cell>
          <cell r="S243">
            <v>0.11111111111111116</v>
          </cell>
          <cell r="T243">
            <v>0</v>
          </cell>
        </row>
        <row r="244">
          <cell r="Q244">
            <v>298</v>
          </cell>
          <cell r="R244">
            <v>0.88888888888888884</v>
          </cell>
          <cell r="S244">
            <v>0.11111111111111116</v>
          </cell>
          <cell r="T244">
            <v>0</v>
          </cell>
        </row>
        <row r="245">
          <cell r="Q245">
            <v>297</v>
          </cell>
          <cell r="R245">
            <v>0.88888888888888884</v>
          </cell>
          <cell r="S245">
            <v>0.11111111111111116</v>
          </cell>
          <cell r="T245">
            <v>0</v>
          </cell>
        </row>
        <row r="246">
          <cell r="Q246">
            <v>296</v>
          </cell>
          <cell r="R246">
            <v>0.88888888888888884</v>
          </cell>
          <cell r="S246">
            <v>0.11111111111111116</v>
          </cell>
          <cell r="T246">
            <v>0</v>
          </cell>
        </row>
        <row r="247">
          <cell r="Q247">
            <v>295</v>
          </cell>
          <cell r="R247">
            <v>0.88888888888888884</v>
          </cell>
          <cell r="S247">
            <v>0.11111111111111116</v>
          </cell>
          <cell r="T247">
            <v>0</v>
          </cell>
        </row>
        <row r="248">
          <cell r="Q248">
            <v>294</v>
          </cell>
          <cell r="R248">
            <v>0.88888888888888884</v>
          </cell>
          <cell r="S248">
            <v>0.11111111111111116</v>
          </cell>
          <cell r="T248">
            <v>0</v>
          </cell>
        </row>
        <row r="249">
          <cell r="Q249">
            <v>293</v>
          </cell>
          <cell r="R249">
            <v>0.88888888888888884</v>
          </cell>
          <cell r="S249">
            <v>0.11111111111111116</v>
          </cell>
          <cell r="T249">
            <v>0</v>
          </cell>
        </row>
        <row r="250">
          <cell r="Q250">
            <v>292</v>
          </cell>
          <cell r="R250">
            <v>0.88888888888888884</v>
          </cell>
          <cell r="S250">
            <v>0.11111111111111116</v>
          </cell>
          <cell r="T250">
            <v>0</v>
          </cell>
        </row>
        <row r="251">
          <cell r="Q251">
            <v>291</v>
          </cell>
          <cell r="R251">
            <v>0.88888888888888884</v>
          </cell>
          <cell r="S251">
            <v>0.11111111111111116</v>
          </cell>
          <cell r="T251">
            <v>0</v>
          </cell>
        </row>
        <row r="252">
          <cell r="Q252">
            <v>290</v>
          </cell>
          <cell r="R252">
            <v>0.88888888888888884</v>
          </cell>
          <cell r="S252">
            <v>0.11111111111111116</v>
          </cell>
          <cell r="T252">
            <v>0</v>
          </cell>
        </row>
        <row r="253">
          <cell r="Q253">
            <v>289</v>
          </cell>
          <cell r="R253">
            <v>0.88888888888888884</v>
          </cell>
          <cell r="S253">
            <v>0.11111111111111116</v>
          </cell>
          <cell r="T253">
            <v>0</v>
          </cell>
        </row>
        <row r="254">
          <cell r="Q254">
            <v>288</v>
          </cell>
          <cell r="R254">
            <v>0.88888888888888884</v>
          </cell>
          <cell r="S254">
            <v>0.11111111111111116</v>
          </cell>
          <cell r="T254">
            <v>0</v>
          </cell>
        </row>
        <row r="255">
          <cell r="Q255">
            <v>287</v>
          </cell>
          <cell r="R255">
            <v>0.88888888888888884</v>
          </cell>
          <cell r="S255">
            <v>0.11111111111111116</v>
          </cell>
          <cell r="T255">
            <v>0</v>
          </cell>
        </row>
        <row r="256">
          <cell r="Q256">
            <v>286</v>
          </cell>
          <cell r="R256">
            <v>0.88888888888888884</v>
          </cell>
          <cell r="S256">
            <v>0.11111111111111116</v>
          </cell>
          <cell r="T256">
            <v>0</v>
          </cell>
        </row>
        <row r="257">
          <cell r="Q257">
            <v>285</v>
          </cell>
          <cell r="R257">
            <v>0.88888888888888884</v>
          </cell>
          <cell r="S257">
            <v>0.11111111111111116</v>
          </cell>
          <cell r="T257">
            <v>0</v>
          </cell>
        </row>
        <row r="258">
          <cell r="Q258">
            <v>284</v>
          </cell>
          <cell r="R258">
            <v>0.88888888888888884</v>
          </cell>
          <cell r="S258">
            <v>0.11111111111111116</v>
          </cell>
          <cell r="T258">
            <v>0</v>
          </cell>
        </row>
        <row r="259">
          <cell r="Q259">
            <v>283</v>
          </cell>
          <cell r="R259">
            <v>0.88888888888888884</v>
          </cell>
          <cell r="S259">
            <v>0.11111111111111116</v>
          </cell>
          <cell r="T259">
            <v>0</v>
          </cell>
        </row>
        <row r="260">
          <cell r="Q260">
            <v>282</v>
          </cell>
          <cell r="R260">
            <v>0.88888888888888884</v>
          </cell>
          <cell r="S260">
            <v>0.11111111111111116</v>
          </cell>
          <cell r="T260">
            <v>0</v>
          </cell>
        </row>
        <row r="261">
          <cell r="Q261">
            <v>281</v>
          </cell>
          <cell r="R261">
            <v>0.88888888888888884</v>
          </cell>
          <cell r="S261">
            <v>0.11111111111111116</v>
          </cell>
          <cell r="T261">
            <v>0</v>
          </cell>
        </row>
        <row r="262">
          <cell r="Q262">
            <v>280</v>
          </cell>
          <cell r="R262">
            <v>0.88888888888888884</v>
          </cell>
          <cell r="S262">
            <v>0.11111111111111116</v>
          </cell>
          <cell r="T262">
            <v>0</v>
          </cell>
        </row>
        <row r="263">
          <cell r="Q263">
            <v>279</v>
          </cell>
          <cell r="R263">
            <v>0.88888888888888884</v>
          </cell>
          <cell r="S263">
            <v>0.11111111111111116</v>
          </cell>
          <cell r="T263">
            <v>0</v>
          </cell>
        </row>
        <row r="264">
          <cell r="Q264">
            <v>278</v>
          </cell>
          <cell r="R264">
            <v>0.88888888888888884</v>
          </cell>
          <cell r="S264">
            <v>0.11111111111111116</v>
          </cell>
          <cell r="T264">
            <v>0</v>
          </cell>
        </row>
        <row r="265">
          <cell r="Q265">
            <v>277</v>
          </cell>
          <cell r="R265">
            <v>0.88888888888888884</v>
          </cell>
          <cell r="S265">
            <v>0.11111111111111116</v>
          </cell>
          <cell r="T265">
            <v>0</v>
          </cell>
        </row>
        <row r="266">
          <cell r="Q266">
            <v>276</v>
          </cell>
          <cell r="R266">
            <v>0.88888888888888884</v>
          </cell>
          <cell r="S266">
            <v>0.11111111111111116</v>
          </cell>
          <cell r="T266">
            <v>0</v>
          </cell>
        </row>
        <row r="267">
          <cell r="Q267">
            <v>275</v>
          </cell>
          <cell r="R267">
            <v>0.88888888888888884</v>
          </cell>
          <cell r="S267">
            <v>0.11111111111111116</v>
          </cell>
          <cell r="T267">
            <v>0</v>
          </cell>
        </row>
        <row r="268">
          <cell r="Q268">
            <v>274</v>
          </cell>
          <cell r="R268">
            <v>0.88888888888888884</v>
          </cell>
          <cell r="S268">
            <v>0.11111111111111116</v>
          </cell>
          <cell r="T268">
            <v>0</v>
          </cell>
        </row>
        <row r="269">
          <cell r="Q269">
            <v>273</v>
          </cell>
          <cell r="R269">
            <v>0.88888888888888884</v>
          </cell>
          <cell r="S269">
            <v>0.11111111111111116</v>
          </cell>
          <cell r="T269">
            <v>0</v>
          </cell>
        </row>
        <row r="270">
          <cell r="Q270">
            <v>272</v>
          </cell>
          <cell r="R270">
            <v>0.88888888888888884</v>
          </cell>
          <cell r="S270">
            <v>0.11111111111111116</v>
          </cell>
          <cell r="T270">
            <v>0</v>
          </cell>
        </row>
        <row r="271">
          <cell r="Q271">
            <v>271</v>
          </cell>
          <cell r="R271">
            <v>0.88888888888888884</v>
          </cell>
          <cell r="S271">
            <v>0.11111111111111116</v>
          </cell>
          <cell r="T271">
            <v>0</v>
          </cell>
        </row>
        <row r="272">
          <cell r="Q272">
            <v>270</v>
          </cell>
          <cell r="R272">
            <v>0.88888888888888884</v>
          </cell>
          <cell r="S272">
            <v>0.11111111111111116</v>
          </cell>
          <cell r="T272">
            <v>0</v>
          </cell>
        </row>
        <row r="273">
          <cell r="Q273">
            <v>269</v>
          </cell>
          <cell r="R273">
            <v>0.88888888888888884</v>
          </cell>
          <cell r="S273">
            <v>0.11111111111111116</v>
          </cell>
          <cell r="T273">
            <v>0</v>
          </cell>
        </row>
        <row r="274">
          <cell r="Q274">
            <v>268</v>
          </cell>
          <cell r="R274">
            <v>0.88888888888888884</v>
          </cell>
          <cell r="S274">
            <v>0.11111111111111116</v>
          </cell>
          <cell r="T274">
            <v>0</v>
          </cell>
        </row>
        <row r="275">
          <cell r="Q275">
            <v>267</v>
          </cell>
          <cell r="R275">
            <v>0.88888888888888884</v>
          </cell>
          <cell r="S275">
            <v>0.11111111111111116</v>
          </cell>
          <cell r="T275">
            <v>0</v>
          </cell>
        </row>
        <row r="276">
          <cell r="Q276">
            <v>266</v>
          </cell>
          <cell r="R276">
            <v>0.88888888888888884</v>
          </cell>
          <cell r="S276">
            <v>0.11111111111111116</v>
          </cell>
          <cell r="T276">
            <v>0</v>
          </cell>
        </row>
        <row r="277">
          <cell r="Q277">
            <v>265</v>
          </cell>
          <cell r="R277">
            <v>0.88888888888888884</v>
          </cell>
          <cell r="S277">
            <v>0.11111111111111116</v>
          </cell>
          <cell r="T277">
            <v>0</v>
          </cell>
        </row>
        <row r="278">
          <cell r="Q278">
            <v>264</v>
          </cell>
          <cell r="R278">
            <v>0.88888888888888884</v>
          </cell>
          <cell r="S278">
            <v>0.11111111111111116</v>
          </cell>
          <cell r="T278">
            <v>0</v>
          </cell>
        </row>
        <row r="279">
          <cell r="Q279">
            <v>263</v>
          </cell>
          <cell r="R279">
            <v>0.88888888888888884</v>
          </cell>
          <cell r="S279">
            <v>0.11111111111111116</v>
          </cell>
          <cell r="T279">
            <v>0</v>
          </cell>
        </row>
        <row r="280">
          <cell r="Q280">
            <v>262</v>
          </cell>
          <cell r="R280">
            <v>0.88888888888888884</v>
          </cell>
          <cell r="S280">
            <v>0.11111111111111116</v>
          </cell>
          <cell r="T280">
            <v>0</v>
          </cell>
        </row>
        <row r="281">
          <cell r="Q281">
            <v>261</v>
          </cell>
          <cell r="R281">
            <v>0.88888888888888884</v>
          </cell>
          <cell r="S281">
            <v>0.11111111111111116</v>
          </cell>
          <cell r="T281">
            <v>0</v>
          </cell>
        </row>
        <row r="282">
          <cell r="Q282">
            <v>260</v>
          </cell>
          <cell r="R282">
            <v>0.88888888888888884</v>
          </cell>
          <cell r="S282">
            <v>0.11111111111111116</v>
          </cell>
          <cell r="T282">
            <v>0</v>
          </cell>
        </row>
        <row r="283">
          <cell r="Q283">
            <v>259</v>
          </cell>
          <cell r="R283">
            <v>0.88888888888888884</v>
          </cell>
          <cell r="S283">
            <v>0.11111111111111116</v>
          </cell>
          <cell r="T283">
            <v>0</v>
          </cell>
        </row>
        <row r="284">
          <cell r="Q284">
            <v>258</v>
          </cell>
          <cell r="R284">
            <v>0.88888888888888884</v>
          </cell>
          <cell r="S284">
            <v>0.11111111111111116</v>
          </cell>
          <cell r="T284">
            <v>0</v>
          </cell>
        </row>
        <row r="285">
          <cell r="Q285">
            <v>257</v>
          </cell>
          <cell r="R285">
            <v>0.88888888888888884</v>
          </cell>
          <cell r="S285">
            <v>0.11111111111111116</v>
          </cell>
          <cell r="T285">
            <v>0</v>
          </cell>
        </row>
        <row r="286">
          <cell r="Q286">
            <v>256</v>
          </cell>
          <cell r="R286">
            <v>0.88888888888888884</v>
          </cell>
          <cell r="S286">
            <v>0.11111111111111116</v>
          </cell>
          <cell r="T286">
            <v>0</v>
          </cell>
        </row>
        <row r="287">
          <cell r="Q287">
            <v>255</v>
          </cell>
          <cell r="R287">
            <v>0.88888888888888884</v>
          </cell>
          <cell r="S287">
            <v>0.11111111111111116</v>
          </cell>
          <cell r="T287">
            <v>0</v>
          </cell>
        </row>
        <row r="288">
          <cell r="Q288">
            <v>254</v>
          </cell>
          <cell r="R288">
            <v>0.88888888888888884</v>
          </cell>
          <cell r="S288">
            <v>0.11111111111111116</v>
          </cell>
          <cell r="T288">
            <v>0</v>
          </cell>
        </row>
        <row r="289">
          <cell r="Q289">
            <v>253</v>
          </cell>
          <cell r="R289">
            <v>0.88888888888888884</v>
          </cell>
          <cell r="S289">
            <v>0.11111111111111116</v>
          </cell>
          <cell r="T289">
            <v>0</v>
          </cell>
        </row>
        <row r="290">
          <cell r="Q290">
            <v>252</v>
          </cell>
          <cell r="R290">
            <v>0.88888888888888884</v>
          </cell>
          <cell r="S290">
            <v>0.11111111111111116</v>
          </cell>
          <cell r="T290">
            <v>0</v>
          </cell>
        </row>
        <row r="291">
          <cell r="Q291">
            <v>251</v>
          </cell>
          <cell r="R291">
            <v>0.88888888888888884</v>
          </cell>
          <cell r="S291">
            <v>0.11111111111111116</v>
          </cell>
          <cell r="T291">
            <v>0</v>
          </cell>
        </row>
        <row r="292">
          <cell r="Q292">
            <v>250</v>
          </cell>
          <cell r="R292">
            <v>0.88888888888888884</v>
          </cell>
          <cell r="S292">
            <v>0.11111111111111116</v>
          </cell>
          <cell r="T292">
            <v>0</v>
          </cell>
        </row>
        <row r="293">
          <cell r="Q293">
            <v>249</v>
          </cell>
          <cell r="R293">
            <v>0.88888888888888884</v>
          </cell>
          <cell r="S293">
            <v>0.11111111111111116</v>
          </cell>
          <cell r="T293">
            <v>0</v>
          </cell>
        </row>
        <row r="294">
          <cell r="Q294">
            <v>248</v>
          </cell>
          <cell r="R294">
            <v>0.88888888888888884</v>
          </cell>
          <cell r="S294">
            <v>0.11111111111111116</v>
          </cell>
          <cell r="T294">
            <v>0</v>
          </cell>
        </row>
        <row r="295">
          <cell r="Q295">
            <v>247</v>
          </cell>
          <cell r="R295">
            <v>0.88888888888888884</v>
          </cell>
          <cell r="S295">
            <v>0.11111111111111116</v>
          </cell>
          <cell r="T295">
            <v>0</v>
          </cell>
        </row>
        <row r="296">
          <cell r="Q296">
            <v>246</v>
          </cell>
          <cell r="R296">
            <v>0.88888888888888884</v>
          </cell>
          <cell r="S296">
            <v>0.11111111111111116</v>
          </cell>
          <cell r="T296">
            <v>0</v>
          </cell>
        </row>
        <row r="297">
          <cell r="Q297">
            <v>245</v>
          </cell>
          <cell r="R297">
            <v>0.88888888888888884</v>
          </cell>
          <cell r="S297">
            <v>0.11111111111111116</v>
          </cell>
          <cell r="T297">
            <v>0</v>
          </cell>
        </row>
        <row r="298">
          <cell r="Q298">
            <v>244</v>
          </cell>
          <cell r="R298">
            <v>0.88888888888888884</v>
          </cell>
          <cell r="S298">
            <v>0.11111111111111116</v>
          </cell>
          <cell r="T298">
            <v>0</v>
          </cell>
        </row>
        <row r="299">
          <cell r="Q299">
            <v>243</v>
          </cell>
          <cell r="R299">
            <v>0.88888888888888884</v>
          </cell>
          <cell r="S299">
            <v>0.11111111111111116</v>
          </cell>
          <cell r="T299">
            <v>0</v>
          </cell>
        </row>
        <row r="300">
          <cell r="Q300">
            <v>242</v>
          </cell>
          <cell r="R300">
            <v>0.88888888888888884</v>
          </cell>
          <cell r="S300">
            <v>0.11111111111111116</v>
          </cell>
          <cell r="T300">
            <v>0</v>
          </cell>
        </row>
        <row r="301">
          <cell r="Q301">
            <v>241</v>
          </cell>
          <cell r="R301">
            <v>0.88888888888888884</v>
          </cell>
          <cell r="S301">
            <v>0.11111111111111116</v>
          </cell>
          <cell r="T301">
            <v>0</v>
          </cell>
        </row>
        <row r="302">
          <cell r="Q302">
            <v>240</v>
          </cell>
          <cell r="R302">
            <v>0.88888888888888884</v>
          </cell>
          <cell r="S302">
            <v>0.11111111111111116</v>
          </cell>
          <cell r="T302">
            <v>0</v>
          </cell>
        </row>
        <row r="303">
          <cell r="Q303">
            <v>239</v>
          </cell>
          <cell r="R303">
            <v>0.88888888888888884</v>
          </cell>
          <cell r="S303">
            <v>0.11111111111111116</v>
          </cell>
          <cell r="T303">
            <v>0</v>
          </cell>
        </row>
        <row r="304">
          <cell r="Q304">
            <v>238</v>
          </cell>
          <cell r="R304">
            <v>0.88888888888888884</v>
          </cell>
          <cell r="S304">
            <v>0.11111111111111116</v>
          </cell>
          <cell r="T304">
            <v>0</v>
          </cell>
        </row>
        <row r="305">
          <cell r="Q305">
            <v>237</v>
          </cell>
          <cell r="R305">
            <v>0.88888888888888884</v>
          </cell>
          <cell r="S305">
            <v>0.11111111111111116</v>
          </cell>
          <cell r="T305">
            <v>0</v>
          </cell>
        </row>
        <row r="306">
          <cell r="Q306">
            <v>236</v>
          </cell>
          <cell r="R306">
            <v>0.88888888888888884</v>
          </cell>
          <cell r="S306">
            <v>0.11111111111111116</v>
          </cell>
          <cell r="T306">
            <v>0</v>
          </cell>
        </row>
        <row r="307">
          <cell r="Q307">
            <v>235</v>
          </cell>
          <cell r="R307">
            <v>0.88888888888888884</v>
          </cell>
          <cell r="S307">
            <v>0.11111111111111116</v>
          </cell>
          <cell r="T307">
            <v>0</v>
          </cell>
        </row>
        <row r="308">
          <cell r="Q308">
            <v>234</v>
          </cell>
          <cell r="R308">
            <v>0.88888888888888884</v>
          </cell>
          <cell r="S308">
            <v>0.11111111111111116</v>
          </cell>
          <cell r="T308">
            <v>0</v>
          </cell>
        </row>
        <row r="309">
          <cell r="Q309">
            <v>233</v>
          </cell>
          <cell r="R309">
            <v>0.88888888888888884</v>
          </cell>
          <cell r="S309">
            <v>0.11111111111111116</v>
          </cell>
          <cell r="T309">
            <v>0</v>
          </cell>
        </row>
        <row r="310">
          <cell r="Q310">
            <v>232</v>
          </cell>
          <cell r="R310">
            <v>0.88888888888888884</v>
          </cell>
          <cell r="S310">
            <v>0.11111111111111116</v>
          </cell>
          <cell r="T310">
            <v>0</v>
          </cell>
        </row>
        <row r="311">
          <cell r="Q311">
            <v>231</v>
          </cell>
          <cell r="R311">
            <v>0.88888888888888884</v>
          </cell>
          <cell r="S311">
            <v>0.11111111111111116</v>
          </cell>
          <cell r="T311">
            <v>0</v>
          </cell>
        </row>
        <row r="312">
          <cell r="Q312">
            <v>230</v>
          </cell>
          <cell r="R312">
            <v>0.88888888888888884</v>
          </cell>
          <cell r="S312">
            <v>0.11111111111111116</v>
          </cell>
          <cell r="T312">
            <v>0</v>
          </cell>
        </row>
        <row r="313">
          <cell r="Q313">
            <v>229</v>
          </cell>
          <cell r="R313">
            <v>0.88888888888888884</v>
          </cell>
          <cell r="S313">
            <v>0.11111111111111116</v>
          </cell>
          <cell r="T313">
            <v>0</v>
          </cell>
        </row>
        <row r="314">
          <cell r="Q314">
            <v>228</v>
          </cell>
          <cell r="R314">
            <v>0.88888888888888884</v>
          </cell>
          <cell r="S314">
            <v>0.11111111111111116</v>
          </cell>
          <cell r="T314">
            <v>0</v>
          </cell>
        </row>
        <row r="315">
          <cell r="Q315">
            <v>227</v>
          </cell>
          <cell r="R315">
            <v>0.88888888888888884</v>
          </cell>
          <cell r="S315">
            <v>0.11111111111111116</v>
          </cell>
          <cell r="T315">
            <v>0</v>
          </cell>
        </row>
        <row r="316">
          <cell r="Q316">
            <v>226</v>
          </cell>
          <cell r="R316">
            <v>0.88888888888888884</v>
          </cell>
          <cell r="S316">
            <v>0.11111111111111116</v>
          </cell>
          <cell r="T316">
            <v>0</v>
          </cell>
        </row>
        <row r="317">
          <cell r="Q317">
            <v>225</v>
          </cell>
          <cell r="R317">
            <v>0.88888888888888884</v>
          </cell>
          <cell r="S317">
            <v>0.11111111111111116</v>
          </cell>
          <cell r="T317">
            <v>0</v>
          </cell>
        </row>
        <row r="318">
          <cell r="Q318">
            <v>224</v>
          </cell>
          <cell r="R318">
            <v>0.88888888888888884</v>
          </cell>
          <cell r="S318">
            <v>0.11111111111111116</v>
          </cell>
          <cell r="T318">
            <v>0</v>
          </cell>
        </row>
        <row r="319">
          <cell r="Q319">
            <v>223</v>
          </cell>
          <cell r="R319">
            <v>0.88888888888888884</v>
          </cell>
          <cell r="S319">
            <v>0.11111111111111116</v>
          </cell>
          <cell r="T319">
            <v>0</v>
          </cell>
        </row>
        <row r="320">
          <cell r="Q320">
            <v>222</v>
          </cell>
          <cell r="R320">
            <v>0.88888888888888884</v>
          </cell>
          <cell r="S320">
            <v>0.11111111111111116</v>
          </cell>
          <cell r="T320">
            <v>0</v>
          </cell>
        </row>
        <row r="321">
          <cell r="Q321">
            <v>221</v>
          </cell>
          <cell r="R321">
            <v>0.88888888888888884</v>
          </cell>
          <cell r="S321">
            <v>0.11111111111111116</v>
          </cell>
          <cell r="T321">
            <v>0</v>
          </cell>
        </row>
        <row r="322">
          <cell r="Q322">
            <v>220</v>
          </cell>
          <cell r="R322">
            <v>0.88888888888888884</v>
          </cell>
          <cell r="S322">
            <v>0.11111111111111116</v>
          </cell>
          <cell r="T322">
            <v>0</v>
          </cell>
        </row>
        <row r="323">
          <cell r="Q323">
            <v>219</v>
          </cell>
          <cell r="R323">
            <v>0.88888888888888884</v>
          </cell>
          <cell r="S323">
            <v>0.11111111111111116</v>
          </cell>
          <cell r="T323">
            <v>0</v>
          </cell>
        </row>
        <row r="324">
          <cell r="Q324">
            <v>218</v>
          </cell>
          <cell r="R324">
            <v>0.88888888888888884</v>
          </cell>
          <cell r="S324">
            <v>0.11111111111111116</v>
          </cell>
          <cell r="T324">
            <v>0</v>
          </cell>
        </row>
        <row r="325">
          <cell r="Q325">
            <v>217</v>
          </cell>
          <cell r="R325">
            <v>0.88888888888888884</v>
          </cell>
          <cell r="S325">
            <v>0.11111111111111116</v>
          </cell>
          <cell r="T325">
            <v>0</v>
          </cell>
        </row>
        <row r="326">
          <cell r="Q326">
            <v>216</v>
          </cell>
          <cell r="R326">
            <v>0.88888888888888884</v>
          </cell>
          <cell r="S326">
            <v>0.11111111111111116</v>
          </cell>
          <cell r="T326">
            <v>0</v>
          </cell>
        </row>
        <row r="327">
          <cell r="Q327">
            <v>215</v>
          </cell>
          <cell r="R327">
            <v>0.88888888888888884</v>
          </cell>
          <cell r="S327">
            <v>0.11111111111111116</v>
          </cell>
          <cell r="T327">
            <v>0</v>
          </cell>
        </row>
        <row r="328">
          <cell r="Q328">
            <v>214</v>
          </cell>
          <cell r="R328">
            <v>0.88888888888888884</v>
          </cell>
          <cell r="S328">
            <v>0.11111111111111116</v>
          </cell>
          <cell r="T328">
            <v>0</v>
          </cell>
        </row>
        <row r="329">
          <cell r="Q329">
            <v>213</v>
          </cell>
          <cell r="R329">
            <v>0.88888888888888884</v>
          </cell>
          <cell r="S329">
            <v>0.11111111111111116</v>
          </cell>
          <cell r="T329">
            <v>0</v>
          </cell>
        </row>
        <row r="330">
          <cell r="Q330">
            <v>212</v>
          </cell>
          <cell r="R330">
            <v>0.88888888888888884</v>
          </cell>
          <cell r="S330">
            <v>0.11111111111111116</v>
          </cell>
          <cell r="T330">
            <v>0</v>
          </cell>
        </row>
        <row r="331">
          <cell r="Q331">
            <v>211</v>
          </cell>
          <cell r="R331">
            <v>0.88888888888888884</v>
          </cell>
          <cell r="S331">
            <v>0.11111111111111116</v>
          </cell>
          <cell r="T331">
            <v>0</v>
          </cell>
        </row>
        <row r="332">
          <cell r="Q332">
            <v>210</v>
          </cell>
          <cell r="R332">
            <v>0.88888888888888884</v>
          </cell>
          <cell r="S332">
            <v>0.11111111111111116</v>
          </cell>
          <cell r="T332">
            <v>0</v>
          </cell>
        </row>
        <row r="333">
          <cell r="Q333">
            <v>209</v>
          </cell>
          <cell r="R333">
            <v>0.88888888888888884</v>
          </cell>
          <cell r="S333">
            <v>0.11111111111111116</v>
          </cell>
          <cell r="T333">
            <v>0</v>
          </cell>
        </row>
        <row r="334">
          <cell r="Q334">
            <v>208</v>
          </cell>
          <cell r="R334">
            <v>0.88888888888888884</v>
          </cell>
          <cell r="S334">
            <v>0.11111111111111116</v>
          </cell>
          <cell r="T334">
            <v>0</v>
          </cell>
        </row>
        <row r="335">
          <cell r="Q335">
            <v>207</v>
          </cell>
          <cell r="R335">
            <v>0.88888888888888884</v>
          </cell>
          <cell r="S335">
            <v>0.11111111111111116</v>
          </cell>
          <cell r="T335">
            <v>0</v>
          </cell>
        </row>
        <row r="336">
          <cell r="Q336">
            <v>206</v>
          </cell>
          <cell r="R336">
            <v>0.88888888888888884</v>
          </cell>
          <cell r="S336">
            <v>0.11111111111111116</v>
          </cell>
          <cell r="T336">
            <v>0</v>
          </cell>
        </row>
        <row r="337">
          <cell r="Q337">
            <v>205</v>
          </cell>
          <cell r="R337">
            <v>0.88888888888888884</v>
          </cell>
          <cell r="S337">
            <v>0.11111111111111116</v>
          </cell>
          <cell r="T337">
            <v>0</v>
          </cell>
        </row>
        <row r="338">
          <cell r="Q338">
            <v>204</v>
          </cell>
          <cell r="R338">
            <v>0.88888888888888884</v>
          </cell>
          <cell r="S338">
            <v>0.11111111111111116</v>
          </cell>
          <cell r="T338">
            <v>0</v>
          </cell>
        </row>
        <row r="339">
          <cell r="Q339">
            <v>203</v>
          </cell>
          <cell r="R339">
            <v>0.88888888888888884</v>
          </cell>
          <cell r="S339">
            <v>0.11111111111111116</v>
          </cell>
          <cell r="T339">
            <v>0</v>
          </cell>
        </row>
        <row r="340">
          <cell r="Q340">
            <v>202</v>
          </cell>
          <cell r="R340">
            <v>0.88888888888888884</v>
          </cell>
          <cell r="S340">
            <v>0.11111111111111116</v>
          </cell>
          <cell r="T340">
            <v>0</v>
          </cell>
        </row>
        <row r="341">
          <cell r="Q341">
            <v>201</v>
          </cell>
          <cell r="R341">
            <v>0.88888888888888884</v>
          </cell>
          <cell r="S341">
            <v>0.11111111111111116</v>
          </cell>
          <cell r="T341">
            <v>0</v>
          </cell>
        </row>
        <row r="342">
          <cell r="Q342">
            <v>200</v>
          </cell>
          <cell r="R342">
            <v>0.88888888888888884</v>
          </cell>
          <cell r="S342">
            <v>0.11111111111111116</v>
          </cell>
          <cell r="T342">
            <v>0</v>
          </cell>
        </row>
        <row r="343">
          <cell r="Q343">
            <v>199</v>
          </cell>
          <cell r="R343">
            <v>0.88888888888888884</v>
          </cell>
          <cell r="S343">
            <v>0.11111111111111116</v>
          </cell>
          <cell r="T343">
            <v>0</v>
          </cell>
        </row>
        <row r="344">
          <cell r="Q344">
            <v>198</v>
          </cell>
          <cell r="R344">
            <v>0.88888888888888884</v>
          </cell>
          <cell r="S344">
            <v>0.11111111111111116</v>
          </cell>
          <cell r="T344">
            <v>0</v>
          </cell>
        </row>
        <row r="345">
          <cell r="Q345">
            <v>197</v>
          </cell>
          <cell r="R345">
            <v>0.88888888888888884</v>
          </cell>
          <cell r="S345">
            <v>0.11111111111111116</v>
          </cell>
          <cell r="T345">
            <v>0</v>
          </cell>
        </row>
        <row r="346">
          <cell r="Q346">
            <v>196</v>
          </cell>
          <cell r="R346">
            <v>0.88888888888888884</v>
          </cell>
          <cell r="S346">
            <v>0.11111111111111116</v>
          </cell>
          <cell r="T346">
            <v>0</v>
          </cell>
        </row>
        <row r="347">
          <cell r="Q347">
            <v>195</v>
          </cell>
          <cell r="R347">
            <v>0.88888888888888884</v>
          </cell>
          <cell r="S347">
            <v>0.11111111111111116</v>
          </cell>
          <cell r="T347">
            <v>0</v>
          </cell>
        </row>
        <row r="348">
          <cell r="Q348">
            <v>194</v>
          </cell>
          <cell r="R348">
            <v>0.88888888888888884</v>
          </cell>
          <cell r="S348">
            <v>0.11111111111111116</v>
          </cell>
          <cell r="T348">
            <v>0</v>
          </cell>
        </row>
        <row r="349">
          <cell r="Q349">
            <v>193</v>
          </cell>
          <cell r="R349">
            <v>0.88888888888888884</v>
          </cell>
          <cell r="S349">
            <v>0.11111111111111116</v>
          </cell>
          <cell r="T349">
            <v>0</v>
          </cell>
        </row>
        <row r="350">
          <cell r="Q350">
            <v>192</v>
          </cell>
          <cell r="R350">
            <v>0.88888888888888884</v>
          </cell>
          <cell r="S350">
            <v>0.11111111111111116</v>
          </cell>
          <cell r="T350">
            <v>0</v>
          </cell>
        </row>
        <row r="351">
          <cell r="Q351">
            <v>191</v>
          </cell>
          <cell r="R351">
            <v>0.88888888888888884</v>
          </cell>
          <cell r="S351">
            <v>0.11111111111111116</v>
          </cell>
          <cell r="T351">
            <v>0</v>
          </cell>
        </row>
        <row r="352">
          <cell r="Q352">
            <v>190</v>
          </cell>
          <cell r="R352">
            <v>0.88888888888888884</v>
          </cell>
          <cell r="S352">
            <v>0.11111111111111116</v>
          </cell>
          <cell r="T352">
            <v>0</v>
          </cell>
        </row>
        <row r="353">
          <cell r="Q353">
            <v>189</v>
          </cell>
          <cell r="R353">
            <v>0.88888888888888884</v>
          </cell>
          <cell r="S353">
            <v>0.11111111111111116</v>
          </cell>
          <cell r="T353">
            <v>0</v>
          </cell>
        </row>
        <row r="354">
          <cell r="Q354">
            <v>188</v>
          </cell>
          <cell r="R354">
            <v>0.88888888888888884</v>
          </cell>
          <cell r="S354">
            <v>0.11111111111111116</v>
          </cell>
          <cell r="T354">
            <v>0</v>
          </cell>
        </row>
        <row r="355">
          <cell r="Q355">
            <v>187</v>
          </cell>
          <cell r="R355">
            <v>0.88888888888888884</v>
          </cell>
          <cell r="S355">
            <v>0.11111111111111116</v>
          </cell>
          <cell r="T355">
            <v>0</v>
          </cell>
        </row>
        <row r="356">
          <cell r="Q356">
            <v>186</v>
          </cell>
          <cell r="R356">
            <v>0.88888888888888884</v>
          </cell>
          <cell r="S356">
            <v>0.11111111111111116</v>
          </cell>
          <cell r="T356">
            <v>0</v>
          </cell>
        </row>
        <row r="357">
          <cell r="Q357">
            <v>185</v>
          </cell>
          <cell r="R357">
            <v>0.88888888888888884</v>
          </cell>
          <cell r="S357">
            <v>0.11111111111111116</v>
          </cell>
          <cell r="T357">
            <v>0</v>
          </cell>
        </row>
        <row r="358">
          <cell r="Q358">
            <v>184</v>
          </cell>
          <cell r="R358">
            <v>0.88888888888888884</v>
          </cell>
          <cell r="S358">
            <v>0.11111111111111116</v>
          </cell>
          <cell r="T358">
            <v>0</v>
          </cell>
        </row>
        <row r="359">
          <cell r="Q359">
            <v>183</v>
          </cell>
          <cell r="R359">
            <v>0.88888888888888884</v>
          </cell>
          <cell r="S359">
            <v>0.11111111111111116</v>
          </cell>
          <cell r="T359">
            <v>0</v>
          </cell>
        </row>
        <row r="360">
          <cell r="Q360">
            <v>182</v>
          </cell>
          <cell r="R360">
            <v>0.88888888888888884</v>
          </cell>
          <cell r="S360">
            <v>0.11111111111111116</v>
          </cell>
          <cell r="T360">
            <v>0</v>
          </cell>
        </row>
        <row r="361">
          <cell r="Q361">
            <v>181</v>
          </cell>
          <cell r="R361">
            <v>0.88888888888888884</v>
          </cell>
          <cell r="S361">
            <v>0.11111111111111116</v>
          </cell>
          <cell r="T361">
            <v>0</v>
          </cell>
        </row>
        <row r="362">
          <cell r="Q362">
            <v>180</v>
          </cell>
          <cell r="R362">
            <v>0.88888888888888884</v>
          </cell>
          <cell r="S362">
            <v>0.11111111111111116</v>
          </cell>
          <cell r="T362">
            <v>0</v>
          </cell>
        </row>
        <row r="363">
          <cell r="Q363">
            <v>179</v>
          </cell>
          <cell r="R363">
            <v>0.88888888888888884</v>
          </cell>
          <cell r="S363">
            <v>0.11111111111111116</v>
          </cell>
          <cell r="T363">
            <v>0</v>
          </cell>
        </row>
        <row r="364">
          <cell r="Q364">
            <v>178</v>
          </cell>
          <cell r="R364">
            <v>0.88888888888888884</v>
          </cell>
          <cell r="S364">
            <v>0.11111111111111116</v>
          </cell>
          <cell r="T364">
            <v>0</v>
          </cell>
        </row>
        <row r="365">
          <cell r="Q365">
            <v>177</v>
          </cell>
          <cell r="R365">
            <v>0.88888888888888884</v>
          </cell>
          <cell r="S365">
            <v>0.11111111111111116</v>
          </cell>
          <cell r="T365">
            <v>0</v>
          </cell>
        </row>
        <row r="366">
          <cell r="Q366">
            <v>176</v>
          </cell>
          <cell r="R366">
            <v>0.88888888888888884</v>
          </cell>
          <cell r="S366">
            <v>0.11111111111111116</v>
          </cell>
          <cell r="T366">
            <v>0</v>
          </cell>
        </row>
        <row r="367">
          <cell r="Q367">
            <v>175</v>
          </cell>
          <cell r="R367">
            <v>0.88888888888888884</v>
          </cell>
          <cell r="S367">
            <v>0.11111111111111116</v>
          </cell>
          <cell r="T367">
            <v>0</v>
          </cell>
        </row>
        <row r="368">
          <cell r="Q368">
            <v>174</v>
          </cell>
          <cell r="R368">
            <v>0.88888888888888884</v>
          </cell>
          <cell r="S368">
            <v>0.11111111111111116</v>
          </cell>
          <cell r="T368">
            <v>0</v>
          </cell>
        </row>
        <row r="369">
          <cell r="Q369">
            <v>173</v>
          </cell>
          <cell r="R369">
            <v>0.88888888888888884</v>
          </cell>
          <cell r="S369">
            <v>0.11111111111111116</v>
          </cell>
          <cell r="T369">
            <v>0</v>
          </cell>
        </row>
        <row r="370">
          <cell r="Q370">
            <v>172</v>
          </cell>
          <cell r="R370">
            <v>0.88888888888888884</v>
          </cell>
          <cell r="S370">
            <v>0.11111111111111116</v>
          </cell>
          <cell r="T370">
            <v>0</v>
          </cell>
        </row>
        <row r="371">
          <cell r="Q371">
            <v>171</v>
          </cell>
          <cell r="R371">
            <v>0.88888888888888884</v>
          </cell>
          <cell r="S371">
            <v>0.11111111111111116</v>
          </cell>
          <cell r="T371">
            <v>0</v>
          </cell>
        </row>
        <row r="372">
          <cell r="Q372">
            <v>170</v>
          </cell>
          <cell r="R372">
            <v>0.88888888888888884</v>
          </cell>
          <cell r="S372">
            <v>0.11111111111111116</v>
          </cell>
          <cell r="T372">
            <v>0</v>
          </cell>
        </row>
        <row r="373">
          <cell r="Q373">
            <v>169</v>
          </cell>
          <cell r="R373">
            <v>0.88888888888888884</v>
          </cell>
          <cell r="S373">
            <v>0.11111111111111116</v>
          </cell>
          <cell r="T373">
            <v>0</v>
          </cell>
        </row>
        <row r="374">
          <cell r="Q374">
            <v>168</v>
          </cell>
          <cell r="R374">
            <v>0.88888888888888884</v>
          </cell>
          <cell r="S374">
            <v>0.11111111111111116</v>
          </cell>
          <cell r="T374">
            <v>0</v>
          </cell>
        </row>
        <row r="375">
          <cell r="Q375">
            <v>167</v>
          </cell>
          <cell r="R375">
            <v>0.88888888888888884</v>
          </cell>
          <cell r="S375">
            <v>0.11111111111111116</v>
          </cell>
          <cell r="T375">
            <v>0</v>
          </cell>
        </row>
        <row r="376">
          <cell r="Q376">
            <v>166</v>
          </cell>
          <cell r="R376">
            <v>0.88888888888888884</v>
          </cell>
          <cell r="S376">
            <v>0.11111111111111116</v>
          </cell>
          <cell r="T376">
            <v>0</v>
          </cell>
        </row>
        <row r="377">
          <cell r="Q377">
            <v>165</v>
          </cell>
          <cell r="R377">
            <v>0.88888888888888884</v>
          </cell>
          <cell r="S377">
            <v>0.11111111111111116</v>
          </cell>
          <cell r="T377">
            <v>0</v>
          </cell>
        </row>
        <row r="378">
          <cell r="Q378">
            <v>164</v>
          </cell>
          <cell r="R378">
            <v>0.88888888888888884</v>
          </cell>
          <cell r="S378">
            <v>0.11111111111111116</v>
          </cell>
          <cell r="T378">
            <v>0</v>
          </cell>
        </row>
        <row r="379">
          <cell r="Q379">
            <v>163</v>
          </cell>
          <cell r="R379">
            <v>0.88888888888888884</v>
          </cell>
          <cell r="S379">
            <v>0.11111111111111116</v>
          </cell>
          <cell r="T379">
            <v>0</v>
          </cell>
        </row>
        <row r="380">
          <cell r="Q380">
            <v>162</v>
          </cell>
          <cell r="R380">
            <v>0.88888888888888884</v>
          </cell>
          <cell r="S380">
            <v>0.11111111111111116</v>
          </cell>
          <cell r="T380">
            <v>0</v>
          </cell>
        </row>
        <row r="381">
          <cell r="Q381">
            <v>161</v>
          </cell>
          <cell r="R381">
            <v>0.88888888888888884</v>
          </cell>
          <cell r="S381">
            <v>0.11111111111111116</v>
          </cell>
          <cell r="T381">
            <v>0</v>
          </cell>
        </row>
        <row r="382">
          <cell r="Q382">
            <v>160</v>
          </cell>
          <cell r="R382">
            <v>0.88888888888888884</v>
          </cell>
          <cell r="S382">
            <v>0.11111111111111116</v>
          </cell>
          <cell r="T382">
            <v>0</v>
          </cell>
        </row>
        <row r="383">
          <cell r="Q383">
            <v>159</v>
          </cell>
          <cell r="R383">
            <v>0.88888888888888884</v>
          </cell>
          <cell r="S383">
            <v>0.11111111111111116</v>
          </cell>
          <cell r="T383">
            <v>0</v>
          </cell>
        </row>
        <row r="384">
          <cell r="Q384">
            <v>158</v>
          </cell>
          <cell r="R384">
            <v>0.88888888888888884</v>
          </cell>
          <cell r="S384">
            <v>0.11111111111111116</v>
          </cell>
          <cell r="T384">
            <v>0</v>
          </cell>
        </row>
        <row r="385">
          <cell r="Q385">
            <v>157</v>
          </cell>
          <cell r="R385">
            <v>0.88888888888888884</v>
          </cell>
          <cell r="S385">
            <v>0.11111111111111116</v>
          </cell>
          <cell r="T385">
            <v>0</v>
          </cell>
        </row>
        <row r="386">
          <cell r="Q386">
            <v>156</v>
          </cell>
          <cell r="R386">
            <v>0.88888888888888884</v>
          </cell>
          <cell r="S386">
            <v>0.11111111111111116</v>
          </cell>
          <cell r="T386">
            <v>0</v>
          </cell>
        </row>
        <row r="387">
          <cell r="Q387">
            <v>155</v>
          </cell>
          <cell r="R387">
            <v>0.87671195963765614</v>
          </cell>
          <cell r="S387">
            <v>0.12328804036234382</v>
          </cell>
          <cell r="T387">
            <v>0</v>
          </cell>
        </row>
        <row r="388">
          <cell r="Q388">
            <v>154</v>
          </cell>
          <cell r="R388">
            <v>0.86453503038642354</v>
          </cell>
          <cell r="S388">
            <v>0.13546496961357649</v>
          </cell>
          <cell r="T388">
            <v>0</v>
          </cell>
        </row>
        <row r="389">
          <cell r="Q389">
            <v>153</v>
          </cell>
          <cell r="R389">
            <v>0.85235810113519084</v>
          </cell>
          <cell r="S389">
            <v>0.14764189886480916</v>
          </cell>
          <cell r="T389">
            <v>0</v>
          </cell>
        </row>
        <row r="390">
          <cell r="Q390">
            <v>152</v>
          </cell>
          <cell r="R390">
            <v>0.84018117188395813</v>
          </cell>
          <cell r="S390">
            <v>0.15981882811604184</v>
          </cell>
          <cell r="T390">
            <v>0</v>
          </cell>
        </row>
        <row r="391">
          <cell r="Q391">
            <v>151</v>
          </cell>
          <cell r="R391">
            <v>0.82800424263272554</v>
          </cell>
          <cell r="S391">
            <v>0.17199575736727449</v>
          </cell>
          <cell r="T391">
            <v>0</v>
          </cell>
        </row>
        <row r="392">
          <cell r="Q392">
            <v>150</v>
          </cell>
          <cell r="R392">
            <v>0.81582731338149284</v>
          </cell>
          <cell r="S392">
            <v>0.18417268661850716</v>
          </cell>
          <cell r="T392">
            <v>0</v>
          </cell>
        </row>
        <row r="393">
          <cell r="Q393">
            <v>149</v>
          </cell>
          <cell r="R393">
            <v>0.80365038413026013</v>
          </cell>
          <cell r="S393">
            <v>0.19634961586973984</v>
          </cell>
          <cell r="T393">
            <v>0</v>
          </cell>
        </row>
        <row r="394">
          <cell r="Q394">
            <v>148</v>
          </cell>
          <cell r="R394">
            <v>0.79147345487902754</v>
          </cell>
          <cell r="S394">
            <v>0.20852654512097249</v>
          </cell>
          <cell r="T394">
            <v>0</v>
          </cell>
        </row>
        <row r="395">
          <cell r="Q395">
            <v>147</v>
          </cell>
          <cell r="R395">
            <v>0.77929652562779483</v>
          </cell>
          <cell r="S395">
            <v>0.22070347437220517</v>
          </cell>
          <cell r="T395">
            <v>0</v>
          </cell>
        </row>
        <row r="396">
          <cell r="Q396">
            <v>146</v>
          </cell>
          <cell r="R396">
            <v>0.76711959637656213</v>
          </cell>
          <cell r="S396">
            <v>0.23288040362343784</v>
          </cell>
          <cell r="T396">
            <v>0</v>
          </cell>
        </row>
        <row r="397">
          <cell r="Q397">
            <v>145</v>
          </cell>
          <cell r="R397">
            <v>0.75494266712532954</v>
          </cell>
          <cell r="S397">
            <v>0.24505733287467049</v>
          </cell>
          <cell r="T397">
            <v>0</v>
          </cell>
        </row>
        <row r="398">
          <cell r="Q398">
            <v>144</v>
          </cell>
          <cell r="R398">
            <v>0.74276573787409683</v>
          </cell>
          <cell r="S398">
            <v>0.25723426212590317</v>
          </cell>
          <cell r="T398">
            <v>0</v>
          </cell>
        </row>
        <row r="399">
          <cell r="Q399">
            <v>143</v>
          </cell>
          <cell r="R399">
            <v>0.73282664504398232</v>
          </cell>
          <cell r="S399">
            <v>0.26717335495601768</v>
          </cell>
          <cell r="T399">
            <v>0</v>
          </cell>
        </row>
        <row r="400">
          <cell r="Q400">
            <v>142</v>
          </cell>
          <cell r="R400">
            <v>0.7228875522138678</v>
          </cell>
          <cell r="S400">
            <v>0.27711244778613214</v>
          </cell>
          <cell r="T400">
            <v>0</v>
          </cell>
        </row>
        <row r="401">
          <cell r="Q401">
            <v>141</v>
          </cell>
          <cell r="R401">
            <v>0.7129484593837534</v>
          </cell>
          <cell r="S401">
            <v>0.2870515406162466</v>
          </cell>
          <cell r="T401">
            <v>0</v>
          </cell>
        </row>
        <row r="402">
          <cell r="Q402">
            <v>140</v>
          </cell>
          <cell r="R402">
            <v>0.70300936655363888</v>
          </cell>
          <cell r="S402">
            <v>0.29699063344636112</v>
          </cell>
          <cell r="T402">
            <v>0</v>
          </cell>
        </row>
        <row r="403">
          <cell r="Q403">
            <v>139</v>
          </cell>
          <cell r="R403">
            <v>0.69307027372352437</v>
          </cell>
          <cell r="S403">
            <v>0.30692972627647563</v>
          </cell>
          <cell r="T403">
            <v>0</v>
          </cell>
        </row>
        <row r="404">
          <cell r="Q404">
            <v>138</v>
          </cell>
          <cell r="R404">
            <v>0.68313118089340996</v>
          </cell>
          <cell r="S404">
            <v>0.31686881910659009</v>
          </cell>
          <cell r="T404">
            <v>0</v>
          </cell>
        </row>
        <row r="405">
          <cell r="Q405">
            <v>137</v>
          </cell>
          <cell r="R405">
            <v>0.67319208806329545</v>
          </cell>
          <cell r="S405">
            <v>0.32680791193670455</v>
          </cell>
          <cell r="T405">
            <v>0</v>
          </cell>
        </row>
        <row r="406">
          <cell r="Q406">
            <v>136</v>
          </cell>
          <cell r="R406">
            <v>0.66325299523318093</v>
          </cell>
          <cell r="S406">
            <v>0.33674700476681907</v>
          </cell>
          <cell r="T406">
            <v>0</v>
          </cell>
        </row>
        <row r="407">
          <cell r="Q407">
            <v>135</v>
          </cell>
          <cell r="R407">
            <v>0.65331390240306642</v>
          </cell>
          <cell r="S407">
            <v>0.34668609759693358</v>
          </cell>
          <cell r="T407">
            <v>0</v>
          </cell>
        </row>
        <row r="408">
          <cell r="Q408">
            <v>134</v>
          </cell>
          <cell r="R408">
            <v>0.6433748095729519</v>
          </cell>
          <cell r="S408">
            <v>0.35662519042704804</v>
          </cell>
          <cell r="T408">
            <v>0</v>
          </cell>
        </row>
        <row r="409">
          <cell r="Q409">
            <v>133</v>
          </cell>
          <cell r="R409">
            <v>0.6334357167428375</v>
          </cell>
          <cell r="S409">
            <v>0.3665642832571625</v>
          </cell>
          <cell r="T409">
            <v>0</v>
          </cell>
        </row>
        <row r="410">
          <cell r="Q410">
            <v>132</v>
          </cell>
          <cell r="R410">
            <v>0.62349662391272298</v>
          </cell>
          <cell r="S410">
            <v>0.37650337608727702</v>
          </cell>
          <cell r="T410">
            <v>0</v>
          </cell>
        </row>
        <row r="411">
          <cell r="Q411">
            <v>131</v>
          </cell>
          <cell r="R411">
            <v>0.61394766143299428</v>
          </cell>
          <cell r="S411">
            <v>0.38605233856700577</v>
          </cell>
          <cell r="T411">
            <v>0</v>
          </cell>
        </row>
        <row r="412">
          <cell r="Q412">
            <v>130</v>
          </cell>
          <cell r="R412">
            <v>0.60439869895326548</v>
          </cell>
          <cell r="S412">
            <v>0.39560130104673452</v>
          </cell>
          <cell r="T412">
            <v>0</v>
          </cell>
        </row>
        <row r="413">
          <cell r="Q413">
            <v>129</v>
          </cell>
          <cell r="R413">
            <v>0.59484973647353678</v>
          </cell>
          <cell r="S413">
            <v>0.40515026352646322</v>
          </cell>
          <cell r="T413">
            <v>0</v>
          </cell>
        </row>
        <row r="414">
          <cell r="Q414">
            <v>128</v>
          </cell>
          <cell r="R414">
            <v>0.58530077399380798</v>
          </cell>
          <cell r="S414">
            <v>0.41469922600619197</v>
          </cell>
          <cell r="T414">
            <v>0</v>
          </cell>
        </row>
        <row r="415">
          <cell r="Q415">
            <v>127</v>
          </cell>
          <cell r="R415">
            <v>0.57575181151407928</v>
          </cell>
          <cell r="S415">
            <v>0.42424818848592072</v>
          </cell>
          <cell r="T415">
            <v>0</v>
          </cell>
        </row>
        <row r="416">
          <cell r="Q416">
            <v>126</v>
          </cell>
          <cell r="R416">
            <v>0.56620284903435047</v>
          </cell>
          <cell r="S416">
            <v>0.43379715096564947</v>
          </cell>
          <cell r="T416">
            <v>0</v>
          </cell>
        </row>
        <row r="417">
          <cell r="Q417">
            <v>125</v>
          </cell>
          <cell r="R417">
            <v>0.55665388655462178</v>
          </cell>
          <cell r="S417">
            <v>0.44334611344537822</v>
          </cell>
          <cell r="T417">
            <v>0</v>
          </cell>
        </row>
        <row r="418">
          <cell r="Q418">
            <v>124</v>
          </cell>
          <cell r="R418">
            <v>0.54710492407489308</v>
          </cell>
          <cell r="S418">
            <v>0.45289507592510697</v>
          </cell>
          <cell r="T418">
            <v>0</v>
          </cell>
        </row>
        <row r="419">
          <cell r="Q419">
            <v>123</v>
          </cell>
          <cell r="R419">
            <v>0.53755596159516428</v>
          </cell>
          <cell r="S419">
            <v>0.46244403840483572</v>
          </cell>
          <cell r="T419">
            <v>0</v>
          </cell>
        </row>
        <row r="420">
          <cell r="Q420">
            <v>122</v>
          </cell>
          <cell r="R420">
            <v>0.52800699911543558</v>
          </cell>
          <cell r="S420">
            <v>0.47199300088456442</v>
          </cell>
          <cell r="T420">
            <v>0</v>
          </cell>
        </row>
        <row r="421">
          <cell r="Q421">
            <v>121</v>
          </cell>
          <cell r="R421">
            <v>0.51845803663570678</v>
          </cell>
          <cell r="S421">
            <v>0.48154196336429317</v>
          </cell>
          <cell r="T421">
            <v>0</v>
          </cell>
        </row>
        <row r="422">
          <cell r="Q422">
            <v>120</v>
          </cell>
          <cell r="R422">
            <v>0.50890907415597808</v>
          </cell>
          <cell r="S422">
            <v>0.49109092584402192</v>
          </cell>
          <cell r="T422">
            <v>0</v>
          </cell>
        </row>
        <row r="423">
          <cell r="Q423">
            <v>119</v>
          </cell>
          <cell r="R423">
            <v>0.50118879981817277</v>
          </cell>
          <cell r="S423">
            <v>0.49881120018182717</v>
          </cell>
          <cell r="T423">
            <v>0</v>
          </cell>
        </row>
        <row r="424">
          <cell r="Q424">
            <v>118</v>
          </cell>
          <cell r="R424">
            <v>0.49346852548036751</v>
          </cell>
          <cell r="S424">
            <v>0.50653147451963243</v>
          </cell>
          <cell r="T424">
            <v>0</v>
          </cell>
        </row>
        <row r="425">
          <cell r="Q425">
            <v>117</v>
          </cell>
          <cell r="R425">
            <v>0.48574825114256226</v>
          </cell>
          <cell r="S425">
            <v>0.51425174885743774</v>
          </cell>
          <cell r="T425">
            <v>0</v>
          </cell>
        </row>
        <row r="426">
          <cell r="Q426">
            <v>116</v>
          </cell>
          <cell r="R426">
            <v>0.47802797680475695</v>
          </cell>
          <cell r="S426">
            <v>0.52197202319524305</v>
          </cell>
          <cell r="T426">
            <v>0</v>
          </cell>
        </row>
        <row r="427">
          <cell r="Q427">
            <v>115</v>
          </cell>
          <cell r="R427">
            <v>0.47030770246695169</v>
          </cell>
          <cell r="S427">
            <v>0.52969229753304825</v>
          </cell>
          <cell r="T427">
            <v>0</v>
          </cell>
        </row>
        <row r="428">
          <cell r="Q428">
            <v>114</v>
          </cell>
          <cell r="R428">
            <v>0.46258742812914644</v>
          </cell>
          <cell r="S428">
            <v>0.53741257187085356</v>
          </cell>
          <cell r="T428">
            <v>0</v>
          </cell>
        </row>
        <row r="429">
          <cell r="Q429">
            <v>113</v>
          </cell>
          <cell r="R429">
            <v>0.45486715379134113</v>
          </cell>
          <cell r="S429">
            <v>0.54513284620865887</v>
          </cell>
          <cell r="T429">
            <v>0</v>
          </cell>
        </row>
        <row r="430">
          <cell r="Q430">
            <v>112</v>
          </cell>
          <cell r="R430">
            <v>0.44714687945353587</v>
          </cell>
          <cell r="S430">
            <v>0.55285312054646407</v>
          </cell>
          <cell r="T430">
            <v>0</v>
          </cell>
        </row>
        <row r="431">
          <cell r="Q431">
            <v>111</v>
          </cell>
          <cell r="R431">
            <v>0.43942660511573056</v>
          </cell>
          <cell r="S431">
            <v>0.56057339488426938</v>
          </cell>
          <cell r="T431">
            <v>0</v>
          </cell>
        </row>
        <row r="432">
          <cell r="Q432">
            <v>110</v>
          </cell>
          <cell r="R432">
            <v>0.43170633077792531</v>
          </cell>
          <cell r="S432">
            <v>0.56829366922207469</v>
          </cell>
          <cell r="T432">
            <v>0</v>
          </cell>
        </row>
        <row r="433">
          <cell r="Q433">
            <v>109</v>
          </cell>
          <cell r="R433">
            <v>0.42398605644012</v>
          </cell>
          <cell r="S433">
            <v>0.57601394355987989</v>
          </cell>
          <cell r="T433">
            <v>0</v>
          </cell>
        </row>
        <row r="434">
          <cell r="Q434">
            <v>108</v>
          </cell>
          <cell r="R434">
            <v>0.41626578210231474</v>
          </cell>
          <cell r="S434">
            <v>0.5837342178976852</v>
          </cell>
          <cell r="T434">
            <v>0</v>
          </cell>
        </row>
        <row r="435">
          <cell r="Q435">
            <v>107</v>
          </cell>
          <cell r="R435">
            <v>0.40947492260061935</v>
          </cell>
          <cell r="S435">
            <v>0.59052507739938065</v>
          </cell>
          <cell r="T435">
            <v>0</v>
          </cell>
        </row>
        <row r="436">
          <cell r="Q436">
            <v>106</v>
          </cell>
          <cell r="R436">
            <v>0.40268406309892391</v>
          </cell>
          <cell r="S436">
            <v>0.59731593690107609</v>
          </cell>
          <cell r="T436">
            <v>0</v>
          </cell>
        </row>
        <row r="437">
          <cell r="Q437">
            <v>105</v>
          </cell>
          <cell r="R437">
            <v>0.39589320359722846</v>
          </cell>
          <cell r="S437">
            <v>0.60410679640277154</v>
          </cell>
          <cell r="T437">
            <v>0</v>
          </cell>
        </row>
        <row r="438">
          <cell r="Q438">
            <v>104</v>
          </cell>
          <cell r="R438">
            <v>0.38910234409553307</v>
          </cell>
          <cell r="S438">
            <v>0.61089765590446687</v>
          </cell>
          <cell r="T438">
            <v>0</v>
          </cell>
        </row>
        <row r="439">
          <cell r="Q439">
            <v>103</v>
          </cell>
          <cell r="R439">
            <v>0.38231148459383768</v>
          </cell>
          <cell r="S439">
            <v>0.61768851540616232</v>
          </cell>
          <cell r="T439">
            <v>0</v>
          </cell>
        </row>
        <row r="440">
          <cell r="Q440">
            <v>102</v>
          </cell>
          <cell r="R440">
            <v>0.37552062509214224</v>
          </cell>
          <cell r="S440">
            <v>0.62447937490785776</v>
          </cell>
          <cell r="T440">
            <v>0</v>
          </cell>
        </row>
        <row r="441">
          <cell r="Q441">
            <v>101</v>
          </cell>
          <cell r="R441">
            <v>0.36872976559044679</v>
          </cell>
          <cell r="S441">
            <v>0.63127023440955321</v>
          </cell>
          <cell r="T441">
            <v>0</v>
          </cell>
        </row>
        <row r="442">
          <cell r="Q442">
            <v>100</v>
          </cell>
          <cell r="R442">
            <v>0.3619389060887514</v>
          </cell>
          <cell r="S442">
            <v>0.63806109391124866</v>
          </cell>
          <cell r="T442">
            <v>0</v>
          </cell>
        </row>
        <row r="443">
          <cell r="Q443">
            <v>99</v>
          </cell>
          <cell r="R443">
            <v>0.35514804658705601</v>
          </cell>
          <cell r="S443">
            <v>0.64485195341294399</v>
          </cell>
          <cell r="T443">
            <v>0</v>
          </cell>
        </row>
        <row r="444">
          <cell r="Q444">
            <v>98</v>
          </cell>
          <cell r="R444">
            <v>0.34835718708536056</v>
          </cell>
          <cell r="S444">
            <v>0.65164281291463944</v>
          </cell>
          <cell r="T444">
            <v>0</v>
          </cell>
        </row>
        <row r="445">
          <cell r="Q445">
            <v>97</v>
          </cell>
          <cell r="R445">
            <v>0.34156632758366512</v>
          </cell>
          <cell r="S445">
            <v>0.65843367241633488</v>
          </cell>
          <cell r="T445">
            <v>0</v>
          </cell>
        </row>
        <row r="446">
          <cell r="Q446">
            <v>96</v>
          </cell>
          <cell r="R446">
            <v>0.33477546808196973</v>
          </cell>
          <cell r="S446">
            <v>0.66522453191803033</v>
          </cell>
          <cell r="T446">
            <v>0</v>
          </cell>
        </row>
        <row r="447">
          <cell r="Q447">
            <v>95</v>
          </cell>
          <cell r="R447">
            <v>0.32935798902894503</v>
          </cell>
          <cell r="S447">
            <v>0.67064201097105502</v>
          </cell>
          <cell r="T447">
            <v>0</v>
          </cell>
        </row>
        <row r="448">
          <cell r="Q448">
            <v>94</v>
          </cell>
          <cell r="R448">
            <v>0.32394050997592028</v>
          </cell>
          <cell r="S448">
            <v>0.67605949002407972</v>
          </cell>
          <cell r="T448">
            <v>0</v>
          </cell>
        </row>
        <row r="449">
          <cell r="Q449">
            <v>93</v>
          </cell>
          <cell r="R449">
            <v>0.31852303092289558</v>
          </cell>
          <cell r="S449">
            <v>0.68147696907710453</v>
          </cell>
          <cell r="T449">
            <v>0</v>
          </cell>
        </row>
        <row r="450">
          <cell r="Q450">
            <v>92</v>
          </cell>
          <cell r="R450">
            <v>0.31310555186987088</v>
          </cell>
          <cell r="S450">
            <v>0.68689444813012923</v>
          </cell>
          <cell r="T450">
            <v>0</v>
          </cell>
        </row>
        <row r="451">
          <cell r="Q451">
            <v>91</v>
          </cell>
          <cell r="R451">
            <v>0.30768807281684613</v>
          </cell>
          <cell r="S451">
            <v>0.69231192718315393</v>
          </cell>
          <cell r="T451">
            <v>0</v>
          </cell>
        </row>
        <row r="452">
          <cell r="Q452">
            <v>90</v>
          </cell>
          <cell r="R452">
            <v>0.30227059376382143</v>
          </cell>
          <cell r="S452">
            <v>0.69772940623617863</v>
          </cell>
          <cell r="T452">
            <v>0</v>
          </cell>
        </row>
        <row r="453">
          <cell r="Q453">
            <v>89</v>
          </cell>
          <cell r="R453">
            <v>0.29685311471079673</v>
          </cell>
          <cell r="S453">
            <v>0.70314688528920333</v>
          </cell>
          <cell r="T453">
            <v>0</v>
          </cell>
        </row>
        <row r="454">
          <cell r="Q454">
            <v>88</v>
          </cell>
          <cell r="R454">
            <v>0.29143563565777197</v>
          </cell>
          <cell r="S454">
            <v>0.70856436434222803</v>
          </cell>
          <cell r="T454">
            <v>0</v>
          </cell>
        </row>
        <row r="455">
          <cell r="Q455">
            <v>87</v>
          </cell>
          <cell r="R455">
            <v>0.28601815660474728</v>
          </cell>
          <cell r="S455">
            <v>0.71398184339525272</v>
          </cell>
          <cell r="T455">
            <v>0</v>
          </cell>
        </row>
        <row r="456">
          <cell r="Q456">
            <v>86</v>
          </cell>
          <cell r="R456">
            <v>0.28060067755172258</v>
          </cell>
          <cell r="S456">
            <v>0.71939932244827753</v>
          </cell>
          <cell r="T456">
            <v>0</v>
          </cell>
        </row>
        <row r="457">
          <cell r="Q457">
            <v>85</v>
          </cell>
          <cell r="R457">
            <v>0.27518319849869782</v>
          </cell>
          <cell r="S457">
            <v>0.72481680150130223</v>
          </cell>
          <cell r="T457">
            <v>0</v>
          </cell>
        </row>
        <row r="458">
          <cell r="Q458">
            <v>84</v>
          </cell>
          <cell r="R458">
            <v>0.26976571944567312</v>
          </cell>
          <cell r="S458">
            <v>0.73023428055432693</v>
          </cell>
          <cell r="T458">
            <v>0</v>
          </cell>
        </row>
        <row r="459">
          <cell r="Q459">
            <v>83</v>
          </cell>
          <cell r="R459">
            <v>0.26513267390289463</v>
          </cell>
          <cell r="S459">
            <v>0.73486732609710548</v>
          </cell>
          <cell r="T459">
            <v>0</v>
          </cell>
        </row>
        <row r="460">
          <cell r="Q460">
            <v>82</v>
          </cell>
          <cell r="R460">
            <v>0.26049962836011609</v>
          </cell>
          <cell r="S460">
            <v>0.73950037163988391</v>
          </cell>
          <cell r="T460">
            <v>0</v>
          </cell>
        </row>
        <row r="461">
          <cell r="Q461">
            <v>81</v>
          </cell>
          <cell r="R461">
            <v>0.25586658281733754</v>
          </cell>
          <cell r="S461">
            <v>0.74413341718266246</v>
          </cell>
          <cell r="T461">
            <v>0</v>
          </cell>
        </row>
        <row r="462">
          <cell r="Q462">
            <v>80</v>
          </cell>
          <cell r="R462">
            <v>0.25123353727455905</v>
          </cell>
          <cell r="S462">
            <v>0.74876646272544101</v>
          </cell>
          <cell r="T462">
            <v>0</v>
          </cell>
        </row>
        <row r="463">
          <cell r="Q463">
            <v>79</v>
          </cell>
          <cell r="R463">
            <v>0.24660049173178053</v>
          </cell>
          <cell r="S463">
            <v>0.75339950826821944</v>
          </cell>
          <cell r="T463">
            <v>0</v>
          </cell>
        </row>
        <row r="464">
          <cell r="Q464">
            <v>78</v>
          </cell>
          <cell r="R464">
            <v>0.24196744618900201</v>
          </cell>
          <cell r="S464">
            <v>0.75803255381099799</v>
          </cell>
          <cell r="T464">
            <v>0</v>
          </cell>
        </row>
        <row r="465">
          <cell r="Q465">
            <v>77</v>
          </cell>
          <cell r="R465">
            <v>0.23733440064622349</v>
          </cell>
          <cell r="S465">
            <v>0.76266559935377654</v>
          </cell>
          <cell r="T465">
            <v>0</v>
          </cell>
        </row>
        <row r="466">
          <cell r="Q466">
            <v>76</v>
          </cell>
          <cell r="R466">
            <v>0.23270135510344497</v>
          </cell>
          <cell r="S466">
            <v>0.76729864489655497</v>
          </cell>
          <cell r="T466">
            <v>0</v>
          </cell>
        </row>
        <row r="467">
          <cell r="Q467">
            <v>75</v>
          </cell>
          <cell r="R467">
            <v>0.22806830956066645</v>
          </cell>
          <cell r="S467">
            <v>0.77193169043933352</v>
          </cell>
          <cell r="T467">
            <v>0</v>
          </cell>
        </row>
        <row r="468">
          <cell r="Q468">
            <v>74</v>
          </cell>
          <cell r="R468">
            <v>0.22343526401788794</v>
          </cell>
          <cell r="S468">
            <v>0.77656473598211206</v>
          </cell>
          <cell r="T468">
            <v>0</v>
          </cell>
        </row>
        <row r="469">
          <cell r="Q469">
            <v>73</v>
          </cell>
          <cell r="R469">
            <v>0.21880221847510942</v>
          </cell>
          <cell r="S469">
            <v>0.7811977815248905</v>
          </cell>
          <cell r="T469">
            <v>0</v>
          </cell>
        </row>
        <row r="470">
          <cell r="Q470">
            <v>72</v>
          </cell>
          <cell r="R470">
            <v>0.2141691729323309</v>
          </cell>
          <cell r="S470">
            <v>0.78583082706766905</v>
          </cell>
          <cell r="T470">
            <v>0</v>
          </cell>
        </row>
        <row r="471">
          <cell r="Q471">
            <v>71</v>
          </cell>
          <cell r="R471">
            <v>0.21031334617180211</v>
          </cell>
          <cell r="S471">
            <v>0.7896866538281978</v>
          </cell>
          <cell r="T471">
            <v>0</v>
          </cell>
        </row>
        <row r="472">
          <cell r="Q472">
            <v>70</v>
          </cell>
          <cell r="R472">
            <v>0.20645751941127333</v>
          </cell>
          <cell r="S472">
            <v>0.79354248058872656</v>
          </cell>
          <cell r="T472">
            <v>0</v>
          </cell>
        </row>
        <row r="473">
          <cell r="Q473">
            <v>69</v>
          </cell>
          <cell r="R473">
            <v>0.20260169265074457</v>
          </cell>
          <cell r="S473">
            <v>0.79739830734925543</v>
          </cell>
          <cell r="T473">
            <v>0</v>
          </cell>
        </row>
        <row r="474">
          <cell r="Q474">
            <v>68</v>
          </cell>
          <cell r="R474">
            <v>0.19874586589021578</v>
          </cell>
          <cell r="S474">
            <v>0.80125413410978419</v>
          </cell>
          <cell r="T474">
            <v>0</v>
          </cell>
        </row>
        <row r="475">
          <cell r="Q475">
            <v>67</v>
          </cell>
          <cell r="R475">
            <v>0.194890039129687</v>
          </cell>
          <cell r="S475">
            <v>0.80510996087031295</v>
          </cell>
          <cell r="T475">
            <v>0</v>
          </cell>
        </row>
        <row r="476">
          <cell r="Q476">
            <v>66</v>
          </cell>
          <cell r="R476">
            <v>0.19103421236915824</v>
          </cell>
          <cell r="S476">
            <v>0.80896578763084181</v>
          </cell>
          <cell r="T476">
            <v>0</v>
          </cell>
        </row>
        <row r="477">
          <cell r="Q477">
            <v>65</v>
          </cell>
          <cell r="R477">
            <v>0.18717838560862946</v>
          </cell>
          <cell r="S477">
            <v>0.81282161439137057</v>
          </cell>
          <cell r="T477">
            <v>0</v>
          </cell>
        </row>
        <row r="478">
          <cell r="Q478">
            <v>64</v>
          </cell>
          <cell r="R478">
            <v>0.18332255884810067</v>
          </cell>
          <cell r="S478">
            <v>0.81667744115189933</v>
          </cell>
          <cell r="T478">
            <v>0</v>
          </cell>
        </row>
        <row r="479">
          <cell r="Q479">
            <v>63</v>
          </cell>
          <cell r="R479">
            <v>0.17946673208757188</v>
          </cell>
          <cell r="S479">
            <v>0.82053326791242809</v>
          </cell>
          <cell r="T479">
            <v>0</v>
          </cell>
        </row>
        <row r="480">
          <cell r="Q480">
            <v>62</v>
          </cell>
          <cell r="R480">
            <v>0.1756109053270431</v>
          </cell>
          <cell r="S480">
            <v>0.82438909467295685</v>
          </cell>
          <cell r="T480">
            <v>0</v>
          </cell>
        </row>
        <row r="481">
          <cell r="Q481">
            <v>61</v>
          </cell>
          <cell r="R481">
            <v>0.17175507856651434</v>
          </cell>
          <cell r="S481">
            <v>0.82824492143348571</v>
          </cell>
          <cell r="T481">
            <v>0</v>
          </cell>
        </row>
        <row r="482">
          <cell r="Q482">
            <v>60</v>
          </cell>
          <cell r="R482">
            <v>0.16789925180598556</v>
          </cell>
          <cell r="S482">
            <v>0.83210074819401447</v>
          </cell>
          <cell r="T482">
            <v>0</v>
          </cell>
        </row>
        <row r="483">
          <cell r="Q483">
            <v>59</v>
          </cell>
          <cell r="R483">
            <v>0.16446494268760134</v>
          </cell>
          <cell r="S483">
            <v>0.83553505731239863</v>
          </cell>
          <cell r="T483">
            <v>0</v>
          </cell>
        </row>
        <row r="484">
          <cell r="Q484">
            <v>58</v>
          </cell>
          <cell r="R484">
            <v>0.16103063356921712</v>
          </cell>
          <cell r="S484">
            <v>0.8389693664307829</v>
          </cell>
          <cell r="T484">
            <v>0</v>
          </cell>
        </row>
        <row r="485">
          <cell r="Q485">
            <v>57</v>
          </cell>
          <cell r="R485">
            <v>0.15759632445083294</v>
          </cell>
          <cell r="S485">
            <v>0.84240367554916706</v>
          </cell>
          <cell r="T485">
            <v>0</v>
          </cell>
        </row>
        <row r="486">
          <cell r="Q486">
            <v>56</v>
          </cell>
          <cell r="R486">
            <v>0.15416201533244872</v>
          </cell>
          <cell r="S486">
            <v>0.84583798466755133</v>
          </cell>
          <cell r="T486">
            <v>0</v>
          </cell>
        </row>
        <row r="487">
          <cell r="Q487">
            <v>55</v>
          </cell>
          <cell r="R487">
            <v>0.15072770621406451</v>
          </cell>
          <cell r="S487">
            <v>0.84927229378593549</v>
          </cell>
          <cell r="T487">
            <v>0</v>
          </cell>
        </row>
        <row r="488">
          <cell r="Q488">
            <v>54</v>
          </cell>
          <cell r="R488">
            <v>0.14729339709568029</v>
          </cell>
          <cell r="S488">
            <v>0.85270660290431977</v>
          </cell>
          <cell r="T488">
            <v>0</v>
          </cell>
        </row>
        <row r="489">
          <cell r="Q489">
            <v>53</v>
          </cell>
          <cell r="R489">
            <v>0.14385908797729607</v>
          </cell>
          <cell r="S489">
            <v>0.85614091202270393</v>
          </cell>
          <cell r="T489">
            <v>0</v>
          </cell>
        </row>
        <row r="490">
          <cell r="Q490">
            <v>52</v>
          </cell>
          <cell r="R490">
            <v>0.14042477885891186</v>
          </cell>
          <cell r="S490">
            <v>0.85957522114108809</v>
          </cell>
          <cell r="T490">
            <v>0</v>
          </cell>
        </row>
        <row r="491">
          <cell r="Q491">
            <v>51</v>
          </cell>
          <cell r="R491">
            <v>0.13699046974052764</v>
          </cell>
          <cell r="S491">
            <v>0.86300953025947236</v>
          </cell>
          <cell r="T491">
            <v>0</v>
          </cell>
        </row>
        <row r="492">
          <cell r="Q492">
            <v>50</v>
          </cell>
          <cell r="R492">
            <v>0.13355616062214345</v>
          </cell>
          <cell r="S492">
            <v>0.86644383937785652</v>
          </cell>
          <cell r="T492">
            <v>0</v>
          </cell>
        </row>
        <row r="493">
          <cell r="Q493">
            <v>49</v>
          </cell>
          <cell r="R493">
            <v>0.13012185150375924</v>
          </cell>
          <cell r="S493">
            <v>0.86987814849624079</v>
          </cell>
          <cell r="T493">
            <v>0</v>
          </cell>
        </row>
        <row r="494">
          <cell r="Q494">
            <v>48</v>
          </cell>
          <cell r="R494">
            <v>0.12668754238537502</v>
          </cell>
          <cell r="S494">
            <v>0.87331245761462495</v>
          </cell>
          <cell r="T494">
            <v>0</v>
          </cell>
        </row>
        <row r="495">
          <cell r="Q495">
            <v>47</v>
          </cell>
          <cell r="R495">
            <v>0.1236212796083344</v>
          </cell>
          <cell r="S495">
            <v>0.87637872039166553</v>
          </cell>
          <cell r="T495">
            <v>0</v>
          </cell>
        </row>
        <row r="496">
          <cell r="Q496">
            <v>46</v>
          </cell>
          <cell r="R496">
            <v>0.12055501683129377</v>
          </cell>
          <cell r="S496">
            <v>0.87944498316870623</v>
          </cell>
          <cell r="T496">
            <v>0</v>
          </cell>
        </row>
        <row r="497">
          <cell r="Q497">
            <v>45</v>
          </cell>
          <cell r="R497">
            <v>0.11748875405425314</v>
          </cell>
          <cell r="S497">
            <v>0.88251124594574681</v>
          </cell>
          <cell r="T497">
            <v>0</v>
          </cell>
        </row>
        <row r="498">
          <cell r="Q498">
            <v>44</v>
          </cell>
          <cell r="R498">
            <v>0.11442249127721252</v>
          </cell>
          <cell r="S498">
            <v>0.88557750872278751</v>
          </cell>
          <cell r="T498">
            <v>0</v>
          </cell>
        </row>
        <row r="499">
          <cell r="Q499">
            <v>43</v>
          </cell>
          <cell r="R499">
            <v>0.11135622850017189</v>
          </cell>
          <cell r="S499">
            <v>0.88864377149982809</v>
          </cell>
          <cell r="T499">
            <v>0</v>
          </cell>
        </row>
        <row r="500">
          <cell r="Q500">
            <v>42</v>
          </cell>
          <cell r="R500">
            <v>0.10828996572313127</v>
          </cell>
          <cell r="S500">
            <v>0.89171003427686868</v>
          </cell>
          <cell r="T500">
            <v>0</v>
          </cell>
        </row>
        <row r="501">
          <cell r="Q501">
            <v>41</v>
          </cell>
          <cell r="R501">
            <v>0.10522370294609065</v>
          </cell>
          <cell r="S501">
            <v>0.89477629705390938</v>
          </cell>
          <cell r="T501">
            <v>0</v>
          </cell>
        </row>
        <row r="502">
          <cell r="Q502">
            <v>40</v>
          </cell>
          <cell r="R502">
            <v>0.10215744016905003</v>
          </cell>
          <cell r="S502">
            <v>0.89784255983094996</v>
          </cell>
          <cell r="T502">
            <v>0</v>
          </cell>
        </row>
        <row r="503">
          <cell r="Q503">
            <v>39</v>
          </cell>
          <cell r="R503">
            <v>9.90911773920094E-2</v>
          </cell>
          <cell r="S503">
            <v>0.90090882260799066</v>
          </cell>
          <cell r="T503">
            <v>0</v>
          </cell>
        </row>
        <row r="504">
          <cell r="Q504">
            <v>38</v>
          </cell>
          <cell r="R504">
            <v>9.6024914614968773E-2</v>
          </cell>
          <cell r="S504">
            <v>0.90397508538503124</v>
          </cell>
          <cell r="T504">
            <v>0</v>
          </cell>
        </row>
        <row r="505">
          <cell r="Q505">
            <v>37</v>
          </cell>
          <cell r="R505">
            <v>9.2958651837928147E-2</v>
          </cell>
          <cell r="S505">
            <v>0.90704134816207194</v>
          </cell>
          <cell r="T505">
            <v>0</v>
          </cell>
        </row>
        <row r="506">
          <cell r="Q506">
            <v>36</v>
          </cell>
          <cell r="R506">
            <v>8.989238906088752E-2</v>
          </cell>
          <cell r="S506">
            <v>0.91010761093911252</v>
          </cell>
          <cell r="T506">
            <v>0</v>
          </cell>
        </row>
        <row r="507">
          <cell r="Q507">
            <v>35</v>
          </cell>
          <cell r="R507">
            <v>8.7141342633544644E-2</v>
          </cell>
          <cell r="S507">
            <v>0.91285865736645544</v>
          </cell>
          <cell r="T507">
            <v>0</v>
          </cell>
        </row>
        <row r="508">
          <cell r="Q508">
            <v>34</v>
          </cell>
          <cell r="R508">
            <v>8.4390296206201768E-2</v>
          </cell>
          <cell r="S508">
            <v>0.91560970379379825</v>
          </cell>
          <cell r="T508">
            <v>0</v>
          </cell>
        </row>
        <row r="509">
          <cell r="Q509">
            <v>33</v>
          </cell>
          <cell r="R509">
            <v>8.1639249778858877E-2</v>
          </cell>
          <cell r="S509">
            <v>0.91836075022114116</v>
          </cell>
          <cell r="T509">
            <v>0</v>
          </cell>
        </row>
        <row r="510">
          <cell r="Q510">
            <v>32</v>
          </cell>
          <cell r="R510">
            <v>7.8888203351516001E-2</v>
          </cell>
          <cell r="S510">
            <v>0.92111179664848397</v>
          </cell>
          <cell r="T510">
            <v>0</v>
          </cell>
        </row>
        <row r="511">
          <cell r="Q511">
            <v>31</v>
          </cell>
          <cell r="R511">
            <v>7.6137156924173124E-2</v>
          </cell>
          <cell r="S511">
            <v>0.92386284307582689</v>
          </cell>
          <cell r="T511">
            <v>0</v>
          </cell>
        </row>
        <row r="512">
          <cell r="Q512">
            <v>30</v>
          </cell>
          <cell r="R512">
            <v>7.3386110496830248E-2</v>
          </cell>
          <cell r="S512">
            <v>0.9266138895031697</v>
          </cell>
          <cell r="T512">
            <v>0</v>
          </cell>
        </row>
        <row r="513">
          <cell r="Q513">
            <v>29</v>
          </cell>
          <cell r="R513">
            <v>7.0635064069487372E-2</v>
          </cell>
          <cell r="S513">
            <v>0.92936493593051261</v>
          </cell>
          <cell r="T513">
            <v>0</v>
          </cell>
        </row>
        <row r="514">
          <cell r="Q514">
            <v>28</v>
          </cell>
          <cell r="R514">
            <v>6.7884017642144481E-2</v>
          </cell>
          <cell r="S514">
            <v>0.93211598235785553</v>
          </cell>
          <cell r="T514">
            <v>0</v>
          </cell>
        </row>
        <row r="515">
          <cell r="Q515">
            <v>27</v>
          </cell>
          <cell r="R515">
            <v>6.5132971214801605E-2</v>
          </cell>
          <cell r="S515">
            <v>0.93486702878519834</v>
          </cell>
          <cell r="T515">
            <v>0</v>
          </cell>
        </row>
        <row r="516">
          <cell r="Q516">
            <v>26</v>
          </cell>
          <cell r="R516">
            <v>6.2381924787458728E-2</v>
          </cell>
          <cell r="S516">
            <v>0.93761807521254126</v>
          </cell>
          <cell r="T516">
            <v>0</v>
          </cell>
        </row>
        <row r="517">
          <cell r="Q517">
            <v>25</v>
          </cell>
          <cell r="R517">
            <v>5.9630878360115845E-2</v>
          </cell>
          <cell r="S517">
            <v>0.94036912163988406</v>
          </cell>
          <cell r="T517">
            <v>0</v>
          </cell>
        </row>
        <row r="518">
          <cell r="Q518">
            <v>24</v>
          </cell>
          <cell r="R518">
            <v>5.6879831932772969E-2</v>
          </cell>
          <cell r="S518">
            <v>0.94312016806722698</v>
          </cell>
          <cell r="T518">
            <v>0</v>
          </cell>
        </row>
        <row r="519">
          <cell r="Q519">
            <v>23</v>
          </cell>
          <cell r="R519">
            <v>5.4416464568283321E-2</v>
          </cell>
          <cell r="S519">
            <v>0.94558353543171658</v>
          </cell>
          <cell r="T519">
            <v>0</v>
          </cell>
        </row>
        <row r="520">
          <cell r="Q520">
            <v>22</v>
          </cell>
          <cell r="R520">
            <v>5.1953097203793673E-2</v>
          </cell>
          <cell r="S520">
            <v>0.94804690279620629</v>
          </cell>
          <cell r="T520">
            <v>0</v>
          </cell>
        </row>
        <row r="521">
          <cell r="Q521">
            <v>21</v>
          </cell>
          <cell r="R521">
            <v>4.9489729839304025E-2</v>
          </cell>
          <cell r="S521">
            <v>0.950510270160696</v>
          </cell>
          <cell r="T521">
            <v>0</v>
          </cell>
        </row>
        <row r="522">
          <cell r="Q522">
            <v>20</v>
          </cell>
          <cell r="R522">
            <v>4.702636247481437E-2</v>
          </cell>
          <cell r="S522">
            <v>0.9529736375251856</v>
          </cell>
          <cell r="T522">
            <v>0</v>
          </cell>
        </row>
        <row r="523">
          <cell r="Q523">
            <v>19</v>
          </cell>
          <cell r="R523">
            <v>4.4562995110324723E-2</v>
          </cell>
          <cell r="S523">
            <v>0.9554370048896752</v>
          </cell>
          <cell r="T523">
            <v>0</v>
          </cell>
        </row>
        <row r="524">
          <cell r="Q524">
            <v>18</v>
          </cell>
          <cell r="R524">
            <v>4.2099627745835075E-2</v>
          </cell>
          <cell r="S524">
            <v>0.95790037225416491</v>
          </cell>
          <cell r="T524">
            <v>0</v>
          </cell>
        </row>
        <row r="525">
          <cell r="Q525">
            <v>17</v>
          </cell>
          <cell r="R525">
            <v>3.9636260381345427E-2</v>
          </cell>
          <cell r="S525">
            <v>0.96036373961865462</v>
          </cell>
          <cell r="T525">
            <v>0</v>
          </cell>
        </row>
        <row r="526">
          <cell r="Q526">
            <v>16</v>
          </cell>
          <cell r="R526">
            <v>3.7172893016855779E-2</v>
          </cell>
          <cell r="S526">
            <v>0.96282710698314422</v>
          </cell>
          <cell r="T526">
            <v>0</v>
          </cell>
        </row>
        <row r="527">
          <cell r="Q527">
            <v>15</v>
          </cell>
          <cell r="R527">
            <v>3.4709525652366131E-2</v>
          </cell>
          <cell r="S527">
            <v>0.96529047434763382</v>
          </cell>
          <cell r="T527">
            <v>0</v>
          </cell>
        </row>
        <row r="528">
          <cell r="Q528">
            <v>14</v>
          </cell>
          <cell r="R528">
            <v>3.2246158287876484E-2</v>
          </cell>
          <cell r="S528">
            <v>0.96775384171212353</v>
          </cell>
          <cell r="T528">
            <v>0</v>
          </cell>
        </row>
        <row r="529">
          <cell r="Q529">
            <v>13</v>
          </cell>
          <cell r="R529">
            <v>2.9782790923386832E-2</v>
          </cell>
          <cell r="S529">
            <v>0.97021720907661324</v>
          </cell>
          <cell r="T529">
            <v>0</v>
          </cell>
        </row>
        <row r="530">
          <cell r="Q530">
            <v>12</v>
          </cell>
          <cell r="R530">
            <v>2.7319423558897184E-2</v>
          </cell>
          <cell r="S530">
            <v>0.97268057644110284</v>
          </cell>
          <cell r="T530">
            <v>0</v>
          </cell>
        </row>
        <row r="531">
          <cell r="Q531">
            <v>11</v>
          </cell>
          <cell r="R531">
            <v>2.5042804928989085E-2</v>
          </cell>
          <cell r="S531">
            <v>0.97495719507101097</v>
          </cell>
          <cell r="T531">
            <v>0</v>
          </cell>
        </row>
        <row r="532">
          <cell r="Q532">
            <v>10</v>
          </cell>
          <cell r="R532">
            <v>2.2766186299080986E-2</v>
          </cell>
          <cell r="S532">
            <v>0.977233813700919</v>
          </cell>
          <cell r="T532">
            <v>0</v>
          </cell>
        </row>
        <row r="533">
          <cell r="Q533">
            <v>9</v>
          </cell>
          <cell r="R533">
            <v>2.0489567669172887E-2</v>
          </cell>
          <cell r="S533">
            <v>0.97951043233082713</v>
          </cell>
          <cell r="T533">
            <v>0</v>
          </cell>
        </row>
        <row r="534">
          <cell r="Q534">
            <v>8</v>
          </cell>
          <cell r="R534">
            <v>1.8212949039264788E-2</v>
          </cell>
          <cell r="S534">
            <v>0.98178705096073526</v>
          </cell>
          <cell r="T534">
            <v>0</v>
          </cell>
        </row>
        <row r="535">
          <cell r="Q535">
            <v>7</v>
          </cell>
          <cell r="R535">
            <v>1.5936330409356689E-2</v>
          </cell>
          <cell r="S535">
            <v>0.98406366959064329</v>
          </cell>
          <cell r="T535">
            <v>0</v>
          </cell>
        </row>
        <row r="536">
          <cell r="Q536">
            <v>6</v>
          </cell>
          <cell r="R536">
            <v>1.3659711779448592E-2</v>
          </cell>
          <cell r="S536">
            <v>0.98634028822055142</v>
          </cell>
          <cell r="T536">
            <v>0</v>
          </cell>
        </row>
        <row r="537">
          <cell r="Q537">
            <v>5</v>
          </cell>
          <cell r="R537">
            <v>1.1383093149540493E-2</v>
          </cell>
          <cell r="S537">
            <v>0.98861690685045955</v>
          </cell>
          <cell r="T537">
            <v>0</v>
          </cell>
        </row>
        <row r="538">
          <cell r="Q538">
            <v>4</v>
          </cell>
          <cell r="R538">
            <v>9.1064745196323942E-3</v>
          </cell>
          <cell r="S538">
            <v>0.99089352548036758</v>
          </cell>
          <cell r="T538">
            <v>0</v>
          </cell>
        </row>
        <row r="539">
          <cell r="Q539">
            <v>3</v>
          </cell>
          <cell r="R539">
            <v>6.8298558897242961E-3</v>
          </cell>
          <cell r="S539">
            <v>0.99317014411027571</v>
          </cell>
          <cell r="T539">
            <v>0</v>
          </cell>
        </row>
        <row r="540">
          <cell r="Q540">
            <v>2</v>
          </cell>
          <cell r="R540">
            <v>4.5532372598161971E-3</v>
          </cell>
          <cell r="S540">
            <v>0.99544676274018384</v>
          </cell>
          <cell r="T540">
            <v>0</v>
          </cell>
        </row>
        <row r="541">
          <cell r="Q541">
            <v>1</v>
          </cell>
          <cell r="R541">
            <v>2.2766186299080986E-3</v>
          </cell>
          <cell r="S541">
            <v>0.99772338137009187</v>
          </cell>
          <cell r="T541">
            <v>0</v>
          </cell>
        </row>
        <row r="542">
          <cell r="Q542">
            <v>0</v>
          </cell>
          <cell r="R542">
            <v>0</v>
          </cell>
          <cell r="S542">
            <v>1</v>
          </cell>
          <cell r="T542">
            <v>0</v>
          </cell>
        </row>
      </sheetData>
      <sheetData sheetId="10" refreshError="1">
        <row r="1">
          <cell r="Q1" t="str">
            <v>Month</v>
          </cell>
          <cell r="R1" t="str">
            <v>Allianz Strategy Select 75</v>
          </cell>
          <cell r="S1" t="str">
            <v>Allianz Strategy Select 30</v>
          </cell>
          <cell r="T1" t="str">
            <v>Allianz Advanced Fixed Income Short Duration</v>
          </cell>
        </row>
        <row r="2">
          <cell r="Q2">
            <v>540</v>
          </cell>
          <cell r="R2">
            <v>0.99999997777777772</v>
          </cell>
          <cell r="S2">
            <v>2.2222222284540294E-8</v>
          </cell>
          <cell r="T2">
            <v>0</v>
          </cell>
        </row>
        <row r="3">
          <cell r="Q3">
            <v>539</v>
          </cell>
          <cell r="R3">
            <v>0.99999997777777772</v>
          </cell>
          <cell r="S3">
            <v>2.2222222284540294E-8</v>
          </cell>
          <cell r="T3">
            <v>0</v>
          </cell>
        </row>
        <row r="4">
          <cell r="Q4">
            <v>538</v>
          </cell>
          <cell r="R4">
            <v>0.99999997777777772</v>
          </cell>
          <cell r="S4">
            <v>2.2222222284540294E-8</v>
          </cell>
          <cell r="T4">
            <v>0</v>
          </cell>
        </row>
        <row r="5">
          <cell r="Q5">
            <v>537</v>
          </cell>
          <cell r="R5">
            <v>0.99999997777777772</v>
          </cell>
          <cell r="S5">
            <v>2.2222222284540294E-8</v>
          </cell>
          <cell r="T5">
            <v>0</v>
          </cell>
        </row>
        <row r="6">
          <cell r="Q6">
            <v>536</v>
          </cell>
          <cell r="R6">
            <v>0.99999997777777772</v>
          </cell>
          <cell r="S6">
            <v>2.2222222284540294E-8</v>
          </cell>
          <cell r="T6">
            <v>0</v>
          </cell>
        </row>
        <row r="7">
          <cell r="Q7">
            <v>535</v>
          </cell>
          <cell r="R7">
            <v>0.99999997777777772</v>
          </cell>
          <cell r="S7">
            <v>2.2222222284540294E-8</v>
          </cell>
          <cell r="T7">
            <v>0</v>
          </cell>
        </row>
        <row r="8">
          <cell r="Q8">
            <v>534</v>
          </cell>
          <cell r="R8">
            <v>0.99999997777777772</v>
          </cell>
          <cell r="S8">
            <v>2.2222222284540294E-8</v>
          </cell>
          <cell r="T8">
            <v>0</v>
          </cell>
        </row>
        <row r="9">
          <cell r="Q9">
            <v>533</v>
          </cell>
          <cell r="R9">
            <v>0.99999997777777772</v>
          </cell>
          <cell r="S9">
            <v>2.2222222284540294E-8</v>
          </cell>
          <cell r="T9">
            <v>0</v>
          </cell>
        </row>
        <row r="10">
          <cell r="Q10">
            <v>532</v>
          </cell>
          <cell r="R10">
            <v>0.99999997777777772</v>
          </cell>
          <cell r="S10">
            <v>2.2222222284540294E-8</v>
          </cell>
          <cell r="T10">
            <v>0</v>
          </cell>
        </row>
        <row r="11">
          <cell r="Q11">
            <v>531</v>
          </cell>
          <cell r="R11">
            <v>0.99999997777777772</v>
          </cell>
          <cell r="S11">
            <v>2.2222222284540294E-8</v>
          </cell>
          <cell r="T11">
            <v>0</v>
          </cell>
        </row>
        <row r="12">
          <cell r="Q12">
            <v>530</v>
          </cell>
          <cell r="R12">
            <v>0.99999997777777772</v>
          </cell>
          <cell r="S12">
            <v>2.2222222284540294E-8</v>
          </cell>
          <cell r="T12">
            <v>0</v>
          </cell>
        </row>
        <row r="13">
          <cell r="Q13">
            <v>529</v>
          </cell>
          <cell r="R13">
            <v>0.99999997777777772</v>
          </cell>
          <cell r="S13">
            <v>2.2222222284540294E-8</v>
          </cell>
          <cell r="T13">
            <v>0</v>
          </cell>
        </row>
        <row r="14">
          <cell r="Q14">
            <v>528</v>
          </cell>
          <cell r="R14">
            <v>0.99999997777777772</v>
          </cell>
          <cell r="S14">
            <v>2.2222222284540294E-8</v>
          </cell>
          <cell r="T14">
            <v>0</v>
          </cell>
        </row>
        <row r="15">
          <cell r="Q15">
            <v>527</v>
          </cell>
          <cell r="R15">
            <v>0.99999997777777772</v>
          </cell>
          <cell r="S15">
            <v>2.2222222284540294E-8</v>
          </cell>
          <cell r="T15">
            <v>0</v>
          </cell>
        </row>
        <row r="16">
          <cell r="Q16">
            <v>526</v>
          </cell>
          <cell r="R16">
            <v>0.99999997777777772</v>
          </cell>
          <cell r="S16">
            <v>2.2222222284540294E-8</v>
          </cell>
          <cell r="T16">
            <v>0</v>
          </cell>
        </row>
        <row r="17">
          <cell r="Q17">
            <v>525</v>
          </cell>
          <cell r="R17">
            <v>0.99999997777777772</v>
          </cell>
          <cell r="S17">
            <v>2.2222222284540294E-8</v>
          </cell>
          <cell r="T17">
            <v>0</v>
          </cell>
        </row>
        <row r="18">
          <cell r="Q18">
            <v>524</v>
          </cell>
          <cell r="R18">
            <v>0.99999997777777772</v>
          </cell>
          <cell r="S18">
            <v>2.2222222284540294E-8</v>
          </cell>
          <cell r="T18">
            <v>0</v>
          </cell>
        </row>
        <row r="19">
          <cell r="Q19">
            <v>523</v>
          </cell>
          <cell r="R19">
            <v>0.99999997777777772</v>
          </cell>
          <cell r="S19">
            <v>2.2222222284540294E-8</v>
          </cell>
          <cell r="T19">
            <v>0</v>
          </cell>
        </row>
        <row r="20">
          <cell r="Q20">
            <v>522</v>
          </cell>
          <cell r="R20">
            <v>0.99999997777777772</v>
          </cell>
          <cell r="S20">
            <v>2.2222222284540294E-8</v>
          </cell>
          <cell r="T20">
            <v>0</v>
          </cell>
        </row>
        <row r="21">
          <cell r="Q21">
            <v>521</v>
          </cell>
          <cell r="R21">
            <v>0.99999997777777772</v>
          </cell>
          <cell r="S21">
            <v>2.2222222284540294E-8</v>
          </cell>
          <cell r="T21">
            <v>0</v>
          </cell>
        </row>
        <row r="22">
          <cell r="Q22">
            <v>520</v>
          </cell>
          <cell r="R22">
            <v>0.99999997777777772</v>
          </cell>
          <cell r="S22">
            <v>2.2222222284540294E-8</v>
          </cell>
          <cell r="T22">
            <v>0</v>
          </cell>
        </row>
        <row r="23">
          <cell r="Q23">
            <v>519</v>
          </cell>
          <cell r="R23">
            <v>0.99999997777777772</v>
          </cell>
          <cell r="S23">
            <v>2.2222222284540294E-8</v>
          </cell>
          <cell r="T23">
            <v>0</v>
          </cell>
        </row>
        <row r="24">
          <cell r="Q24">
            <v>518</v>
          </cell>
          <cell r="R24">
            <v>0.99999997777777772</v>
          </cell>
          <cell r="S24">
            <v>2.2222222284540294E-8</v>
          </cell>
          <cell r="T24">
            <v>0</v>
          </cell>
        </row>
        <row r="25">
          <cell r="Q25">
            <v>517</v>
          </cell>
          <cell r="R25">
            <v>0.99999997777777772</v>
          </cell>
          <cell r="S25">
            <v>2.2222222284540294E-8</v>
          </cell>
          <cell r="T25">
            <v>0</v>
          </cell>
        </row>
        <row r="26">
          <cell r="Q26">
            <v>516</v>
          </cell>
          <cell r="R26">
            <v>0.99999997777777772</v>
          </cell>
          <cell r="S26">
            <v>2.2222222284540294E-8</v>
          </cell>
          <cell r="T26">
            <v>0</v>
          </cell>
        </row>
        <row r="27">
          <cell r="Q27">
            <v>515</v>
          </cell>
          <cell r="R27">
            <v>0.99999997777777772</v>
          </cell>
          <cell r="S27">
            <v>2.2222222284540294E-8</v>
          </cell>
          <cell r="T27">
            <v>0</v>
          </cell>
        </row>
        <row r="28">
          <cell r="Q28">
            <v>514</v>
          </cell>
          <cell r="R28">
            <v>0.99999997777777772</v>
          </cell>
          <cell r="S28">
            <v>2.2222222284540294E-8</v>
          </cell>
          <cell r="T28">
            <v>0</v>
          </cell>
        </row>
        <row r="29">
          <cell r="Q29">
            <v>513</v>
          </cell>
          <cell r="R29">
            <v>0.99999997777777772</v>
          </cell>
          <cell r="S29">
            <v>2.2222222284540294E-8</v>
          </cell>
          <cell r="T29">
            <v>0</v>
          </cell>
        </row>
        <row r="30">
          <cell r="Q30">
            <v>512</v>
          </cell>
          <cell r="R30">
            <v>0.99999997777777772</v>
          </cell>
          <cell r="S30">
            <v>2.2222222284540294E-8</v>
          </cell>
          <cell r="T30">
            <v>0</v>
          </cell>
        </row>
        <row r="31">
          <cell r="Q31">
            <v>511</v>
          </cell>
          <cell r="R31">
            <v>0.99999997777777772</v>
          </cell>
          <cell r="S31">
            <v>2.2222222284540294E-8</v>
          </cell>
          <cell r="T31">
            <v>0</v>
          </cell>
        </row>
        <row r="32">
          <cell r="Q32">
            <v>510</v>
          </cell>
          <cell r="R32">
            <v>0.99999997777777772</v>
          </cell>
          <cell r="S32">
            <v>2.2222222284540294E-8</v>
          </cell>
          <cell r="T32">
            <v>0</v>
          </cell>
        </row>
        <row r="33">
          <cell r="Q33">
            <v>509</v>
          </cell>
          <cell r="R33">
            <v>0.99999997777777772</v>
          </cell>
          <cell r="S33">
            <v>2.2222222284540294E-8</v>
          </cell>
          <cell r="T33">
            <v>0</v>
          </cell>
        </row>
        <row r="34">
          <cell r="Q34">
            <v>508</v>
          </cell>
          <cell r="R34">
            <v>0.99999997777777772</v>
          </cell>
          <cell r="S34">
            <v>2.2222222284540294E-8</v>
          </cell>
          <cell r="T34">
            <v>0</v>
          </cell>
        </row>
        <row r="35">
          <cell r="Q35">
            <v>507</v>
          </cell>
          <cell r="R35">
            <v>0.99999997777777772</v>
          </cell>
          <cell r="S35">
            <v>2.2222222284540294E-8</v>
          </cell>
          <cell r="T35">
            <v>0</v>
          </cell>
        </row>
        <row r="36">
          <cell r="Q36">
            <v>506</v>
          </cell>
          <cell r="R36">
            <v>0.99999997777777772</v>
          </cell>
          <cell r="S36">
            <v>2.2222222284540294E-8</v>
          </cell>
          <cell r="T36">
            <v>0</v>
          </cell>
        </row>
        <row r="37">
          <cell r="Q37">
            <v>505</v>
          </cell>
          <cell r="R37">
            <v>0.99999997777777772</v>
          </cell>
          <cell r="S37">
            <v>2.2222222284540294E-8</v>
          </cell>
          <cell r="T37">
            <v>0</v>
          </cell>
        </row>
        <row r="38">
          <cell r="Q38">
            <v>504</v>
          </cell>
          <cell r="R38">
            <v>0.99999997777777772</v>
          </cell>
          <cell r="S38">
            <v>2.2222222284540294E-8</v>
          </cell>
          <cell r="T38">
            <v>0</v>
          </cell>
        </row>
        <row r="39">
          <cell r="Q39">
            <v>503</v>
          </cell>
          <cell r="R39">
            <v>0.99999997777777772</v>
          </cell>
          <cell r="S39">
            <v>2.2222222284540294E-8</v>
          </cell>
          <cell r="T39">
            <v>0</v>
          </cell>
        </row>
        <row r="40">
          <cell r="Q40">
            <v>502</v>
          </cell>
          <cell r="R40">
            <v>0.99999997777777772</v>
          </cell>
          <cell r="S40">
            <v>2.2222222284540294E-8</v>
          </cell>
          <cell r="T40">
            <v>0</v>
          </cell>
        </row>
        <row r="41">
          <cell r="Q41">
            <v>501</v>
          </cell>
          <cell r="R41">
            <v>0.99999997777777772</v>
          </cell>
          <cell r="S41">
            <v>2.2222222284540294E-8</v>
          </cell>
          <cell r="T41">
            <v>0</v>
          </cell>
        </row>
        <row r="42">
          <cell r="Q42">
            <v>500</v>
          </cell>
          <cell r="R42">
            <v>0.99999997777777772</v>
          </cell>
          <cell r="S42">
            <v>2.2222222284540294E-8</v>
          </cell>
          <cell r="T42">
            <v>0</v>
          </cell>
        </row>
        <row r="43">
          <cell r="Q43">
            <v>499</v>
          </cell>
          <cell r="R43">
            <v>0.99999997777777772</v>
          </cell>
          <cell r="S43">
            <v>2.2222222284540294E-8</v>
          </cell>
          <cell r="T43">
            <v>0</v>
          </cell>
        </row>
        <row r="44">
          <cell r="Q44">
            <v>498</v>
          </cell>
          <cell r="R44">
            <v>0.99999997777777772</v>
          </cell>
          <cell r="S44">
            <v>2.2222222284540294E-8</v>
          </cell>
          <cell r="T44">
            <v>0</v>
          </cell>
        </row>
        <row r="45">
          <cell r="Q45">
            <v>497</v>
          </cell>
          <cell r="R45">
            <v>0.99999997777777772</v>
          </cell>
          <cell r="S45">
            <v>2.2222222284540294E-8</v>
          </cell>
          <cell r="T45">
            <v>0</v>
          </cell>
        </row>
        <row r="46">
          <cell r="Q46">
            <v>496</v>
          </cell>
          <cell r="R46">
            <v>0.99999997777777772</v>
          </cell>
          <cell r="S46">
            <v>2.2222222284540294E-8</v>
          </cell>
          <cell r="T46">
            <v>0</v>
          </cell>
        </row>
        <row r="47">
          <cell r="Q47">
            <v>495</v>
          </cell>
          <cell r="R47">
            <v>0.99999997777777772</v>
          </cell>
          <cell r="S47">
            <v>2.2222222284540294E-8</v>
          </cell>
          <cell r="T47">
            <v>0</v>
          </cell>
        </row>
        <row r="48">
          <cell r="Q48">
            <v>494</v>
          </cell>
          <cell r="R48">
            <v>0.99999997777777772</v>
          </cell>
          <cell r="S48">
            <v>2.2222222284540294E-8</v>
          </cell>
          <cell r="T48">
            <v>0</v>
          </cell>
        </row>
        <row r="49">
          <cell r="Q49">
            <v>493</v>
          </cell>
          <cell r="R49">
            <v>0.99999997777777772</v>
          </cell>
          <cell r="S49">
            <v>2.2222222284540294E-8</v>
          </cell>
          <cell r="T49">
            <v>0</v>
          </cell>
        </row>
        <row r="50">
          <cell r="Q50">
            <v>492</v>
          </cell>
          <cell r="R50">
            <v>0.99999997777777772</v>
          </cell>
          <cell r="S50">
            <v>2.2222222284540294E-8</v>
          </cell>
          <cell r="T50">
            <v>0</v>
          </cell>
        </row>
        <row r="51">
          <cell r="Q51">
            <v>491</v>
          </cell>
          <cell r="R51">
            <v>0.99999997777777772</v>
          </cell>
          <cell r="S51">
            <v>2.2222222284540294E-8</v>
          </cell>
          <cell r="T51">
            <v>0</v>
          </cell>
        </row>
        <row r="52">
          <cell r="Q52">
            <v>490</v>
          </cell>
          <cell r="R52">
            <v>0.99999997777777772</v>
          </cell>
          <cell r="S52">
            <v>2.2222222284540294E-8</v>
          </cell>
          <cell r="T52">
            <v>0</v>
          </cell>
        </row>
        <row r="53">
          <cell r="Q53">
            <v>489</v>
          </cell>
          <cell r="R53">
            <v>0.99999997777777772</v>
          </cell>
          <cell r="S53">
            <v>2.2222222284540294E-8</v>
          </cell>
          <cell r="T53">
            <v>0</v>
          </cell>
        </row>
        <row r="54">
          <cell r="Q54">
            <v>488</v>
          </cell>
          <cell r="R54">
            <v>0.99999997777777772</v>
          </cell>
          <cell r="S54">
            <v>2.2222222284540294E-8</v>
          </cell>
          <cell r="T54">
            <v>0</v>
          </cell>
        </row>
        <row r="55">
          <cell r="Q55">
            <v>487</v>
          </cell>
          <cell r="R55">
            <v>0.99999997777777772</v>
          </cell>
          <cell r="S55">
            <v>2.2222222284540294E-8</v>
          </cell>
          <cell r="T55">
            <v>0</v>
          </cell>
        </row>
        <row r="56">
          <cell r="Q56">
            <v>486</v>
          </cell>
          <cell r="R56">
            <v>0.99999997777777772</v>
          </cell>
          <cell r="S56">
            <v>2.2222222284540294E-8</v>
          </cell>
          <cell r="T56">
            <v>0</v>
          </cell>
        </row>
        <row r="57">
          <cell r="Q57">
            <v>485</v>
          </cell>
          <cell r="R57">
            <v>0.99999997777777772</v>
          </cell>
          <cell r="S57">
            <v>2.2222222284540294E-8</v>
          </cell>
          <cell r="T57">
            <v>0</v>
          </cell>
        </row>
        <row r="58">
          <cell r="Q58">
            <v>484</v>
          </cell>
          <cell r="R58">
            <v>0.99999997777777772</v>
          </cell>
          <cell r="S58">
            <v>2.2222222284540294E-8</v>
          </cell>
          <cell r="T58">
            <v>0</v>
          </cell>
        </row>
        <row r="59">
          <cell r="Q59">
            <v>483</v>
          </cell>
          <cell r="R59">
            <v>0.99999997777777772</v>
          </cell>
          <cell r="S59">
            <v>2.2222222284540294E-8</v>
          </cell>
          <cell r="T59">
            <v>0</v>
          </cell>
        </row>
        <row r="60">
          <cell r="Q60">
            <v>482</v>
          </cell>
          <cell r="R60">
            <v>0.99999997777777772</v>
          </cell>
          <cell r="S60">
            <v>2.2222222284540294E-8</v>
          </cell>
          <cell r="T60">
            <v>0</v>
          </cell>
        </row>
        <row r="61">
          <cell r="Q61">
            <v>481</v>
          </cell>
          <cell r="R61">
            <v>0.99999997777777772</v>
          </cell>
          <cell r="S61">
            <v>2.2222222284540294E-8</v>
          </cell>
          <cell r="T61">
            <v>0</v>
          </cell>
        </row>
        <row r="62">
          <cell r="Q62">
            <v>480</v>
          </cell>
          <cell r="R62">
            <v>0.99999997777777772</v>
          </cell>
          <cell r="S62">
            <v>2.2222222284540294E-8</v>
          </cell>
          <cell r="T62">
            <v>0</v>
          </cell>
        </row>
        <row r="63">
          <cell r="Q63">
            <v>479</v>
          </cell>
          <cell r="R63">
            <v>0.99999997777777772</v>
          </cell>
          <cell r="S63">
            <v>2.2222222284540294E-8</v>
          </cell>
          <cell r="T63">
            <v>0</v>
          </cell>
        </row>
        <row r="64">
          <cell r="Q64">
            <v>478</v>
          </cell>
          <cell r="R64">
            <v>0.99999997777777772</v>
          </cell>
          <cell r="S64">
            <v>2.2222222284540294E-8</v>
          </cell>
          <cell r="T64">
            <v>0</v>
          </cell>
        </row>
        <row r="65">
          <cell r="Q65">
            <v>477</v>
          </cell>
          <cell r="R65">
            <v>0.99999997777777772</v>
          </cell>
          <cell r="S65">
            <v>2.2222222284540294E-8</v>
          </cell>
          <cell r="T65">
            <v>0</v>
          </cell>
        </row>
        <row r="66">
          <cell r="Q66">
            <v>476</v>
          </cell>
          <cell r="R66">
            <v>0.99999997777777772</v>
          </cell>
          <cell r="S66">
            <v>2.2222222284540294E-8</v>
          </cell>
          <cell r="T66">
            <v>0</v>
          </cell>
        </row>
        <row r="67">
          <cell r="Q67">
            <v>475</v>
          </cell>
          <cell r="R67">
            <v>0.99999997777777772</v>
          </cell>
          <cell r="S67">
            <v>2.2222222284540294E-8</v>
          </cell>
          <cell r="T67">
            <v>0</v>
          </cell>
        </row>
        <row r="68">
          <cell r="Q68">
            <v>474</v>
          </cell>
          <cell r="R68">
            <v>0.99999997777777772</v>
          </cell>
          <cell r="S68">
            <v>2.2222222284540294E-8</v>
          </cell>
          <cell r="T68">
            <v>0</v>
          </cell>
        </row>
        <row r="69">
          <cell r="Q69">
            <v>473</v>
          </cell>
          <cell r="R69">
            <v>0.99999997777777772</v>
          </cell>
          <cell r="S69">
            <v>2.2222222284540294E-8</v>
          </cell>
          <cell r="T69">
            <v>0</v>
          </cell>
        </row>
        <row r="70">
          <cell r="Q70">
            <v>472</v>
          </cell>
          <cell r="R70">
            <v>0.99999997777777772</v>
          </cell>
          <cell r="S70">
            <v>2.2222222284540294E-8</v>
          </cell>
          <cell r="T70">
            <v>0</v>
          </cell>
        </row>
        <row r="71">
          <cell r="Q71">
            <v>471</v>
          </cell>
          <cell r="R71">
            <v>0.99999997777777772</v>
          </cell>
          <cell r="S71">
            <v>2.2222222284540294E-8</v>
          </cell>
          <cell r="T71">
            <v>0</v>
          </cell>
        </row>
        <row r="72">
          <cell r="Q72">
            <v>470</v>
          </cell>
          <cell r="R72">
            <v>0.99999997777777772</v>
          </cell>
          <cell r="S72">
            <v>2.2222222284540294E-8</v>
          </cell>
          <cell r="T72">
            <v>0</v>
          </cell>
        </row>
        <row r="73">
          <cell r="Q73">
            <v>469</v>
          </cell>
          <cell r="R73">
            <v>0.99999997777777772</v>
          </cell>
          <cell r="S73">
            <v>2.2222222284540294E-8</v>
          </cell>
          <cell r="T73">
            <v>0</v>
          </cell>
        </row>
        <row r="74">
          <cell r="Q74">
            <v>468</v>
          </cell>
          <cell r="R74">
            <v>0.99999997777777772</v>
          </cell>
          <cell r="S74">
            <v>2.2222222284540294E-8</v>
          </cell>
          <cell r="T74">
            <v>0</v>
          </cell>
        </row>
        <row r="75">
          <cell r="Q75">
            <v>467</v>
          </cell>
          <cell r="R75">
            <v>0.99999997777777772</v>
          </cell>
          <cell r="S75">
            <v>2.2222222284540294E-8</v>
          </cell>
          <cell r="T75">
            <v>0</v>
          </cell>
        </row>
        <row r="76">
          <cell r="Q76">
            <v>466</v>
          </cell>
          <cell r="R76">
            <v>0.99999997777777772</v>
          </cell>
          <cell r="S76">
            <v>2.2222222284540294E-8</v>
          </cell>
          <cell r="T76">
            <v>0</v>
          </cell>
        </row>
        <row r="77">
          <cell r="Q77">
            <v>465</v>
          </cell>
          <cell r="R77">
            <v>0.99999997777777772</v>
          </cell>
          <cell r="S77">
            <v>2.2222222284540294E-8</v>
          </cell>
          <cell r="T77">
            <v>0</v>
          </cell>
        </row>
        <row r="78">
          <cell r="Q78">
            <v>464</v>
          </cell>
          <cell r="R78">
            <v>0.99999997777777772</v>
          </cell>
          <cell r="S78">
            <v>2.2222222284540294E-8</v>
          </cell>
          <cell r="T78">
            <v>0</v>
          </cell>
        </row>
        <row r="79">
          <cell r="Q79">
            <v>463</v>
          </cell>
          <cell r="R79">
            <v>0.99999997777777772</v>
          </cell>
          <cell r="S79">
            <v>2.2222222284540294E-8</v>
          </cell>
          <cell r="T79">
            <v>0</v>
          </cell>
        </row>
        <row r="80">
          <cell r="Q80">
            <v>462</v>
          </cell>
          <cell r="R80">
            <v>0.99999997777777772</v>
          </cell>
          <cell r="S80">
            <v>2.2222222284540294E-8</v>
          </cell>
          <cell r="T80">
            <v>0</v>
          </cell>
        </row>
        <row r="81">
          <cell r="Q81">
            <v>461</v>
          </cell>
          <cell r="R81">
            <v>0.99999997777777772</v>
          </cell>
          <cell r="S81">
            <v>2.2222222284540294E-8</v>
          </cell>
          <cell r="T81">
            <v>0</v>
          </cell>
        </row>
        <row r="82">
          <cell r="Q82">
            <v>460</v>
          </cell>
          <cell r="R82">
            <v>0.99999997777777772</v>
          </cell>
          <cell r="S82">
            <v>2.2222222284540294E-8</v>
          </cell>
          <cell r="T82">
            <v>0</v>
          </cell>
        </row>
        <row r="83">
          <cell r="Q83">
            <v>459</v>
          </cell>
          <cell r="R83">
            <v>0.99999997777777772</v>
          </cell>
          <cell r="S83">
            <v>2.2222222284540294E-8</v>
          </cell>
          <cell r="T83">
            <v>0</v>
          </cell>
        </row>
        <row r="84">
          <cell r="Q84">
            <v>458</v>
          </cell>
          <cell r="R84">
            <v>0.99999997777777772</v>
          </cell>
          <cell r="S84">
            <v>2.2222222284540294E-8</v>
          </cell>
          <cell r="T84">
            <v>0</v>
          </cell>
        </row>
        <row r="85">
          <cell r="Q85">
            <v>457</v>
          </cell>
          <cell r="R85">
            <v>0.99999997777777772</v>
          </cell>
          <cell r="S85">
            <v>2.2222222284540294E-8</v>
          </cell>
          <cell r="T85">
            <v>0</v>
          </cell>
        </row>
        <row r="86">
          <cell r="Q86">
            <v>456</v>
          </cell>
          <cell r="R86">
            <v>0.99999997777777772</v>
          </cell>
          <cell r="S86">
            <v>2.2222222284540294E-8</v>
          </cell>
          <cell r="T86">
            <v>0</v>
          </cell>
        </row>
        <row r="87">
          <cell r="Q87">
            <v>455</v>
          </cell>
          <cell r="R87">
            <v>0.99999997777777772</v>
          </cell>
          <cell r="S87">
            <v>2.2222222284540294E-8</v>
          </cell>
          <cell r="T87">
            <v>0</v>
          </cell>
        </row>
        <row r="88">
          <cell r="Q88">
            <v>454</v>
          </cell>
          <cell r="R88">
            <v>0.99999997777777772</v>
          </cell>
          <cell r="S88">
            <v>2.2222222284540294E-8</v>
          </cell>
          <cell r="T88">
            <v>0</v>
          </cell>
        </row>
        <row r="89">
          <cell r="Q89">
            <v>453</v>
          </cell>
          <cell r="R89">
            <v>0.99999997777777772</v>
          </cell>
          <cell r="S89">
            <v>2.2222222284540294E-8</v>
          </cell>
          <cell r="T89">
            <v>0</v>
          </cell>
        </row>
        <row r="90">
          <cell r="Q90">
            <v>452</v>
          </cell>
          <cell r="R90">
            <v>0.99999997777777772</v>
          </cell>
          <cell r="S90">
            <v>2.2222222284540294E-8</v>
          </cell>
          <cell r="T90">
            <v>0</v>
          </cell>
        </row>
        <row r="91">
          <cell r="Q91">
            <v>451</v>
          </cell>
          <cell r="R91">
            <v>0.99999997777777772</v>
          </cell>
          <cell r="S91">
            <v>2.2222222284540294E-8</v>
          </cell>
          <cell r="T91">
            <v>0</v>
          </cell>
        </row>
        <row r="92">
          <cell r="Q92">
            <v>450</v>
          </cell>
          <cell r="R92">
            <v>0.99999997777777772</v>
          </cell>
          <cell r="S92">
            <v>2.2222222284540294E-8</v>
          </cell>
          <cell r="T92">
            <v>0</v>
          </cell>
        </row>
        <row r="93">
          <cell r="Q93">
            <v>449</v>
          </cell>
          <cell r="R93">
            <v>0.99999997777777772</v>
          </cell>
          <cell r="S93">
            <v>2.2222222284540294E-8</v>
          </cell>
          <cell r="T93">
            <v>0</v>
          </cell>
        </row>
        <row r="94">
          <cell r="Q94">
            <v>448</v>
          </cell>
          <cell r="R94">
            <v>0.99999997777777772</v>
          </cell>
          <cell r="S94">
            <v>2.2222222284540294E-8</v>
          </cell>
          <cell r="T94">
            <v>0</v>
          </cell>
        </row>
        <row r="95">
          <cell r="Q95">
            <v>447</v>
          </cell>
          <cell r="R95">
            <v>0.99999997777777772</v>
          </cell>
          <cell r="S95">
            <v>2.2222222284540294E-8</v>
          </cell>
          <cell r="T95">
            <v>0</v>
          </cell>
        </row>
        <row r="96">
          <cell r="Q96">
            <v>446</v>
          </cell>
          <cell r="R96">
            <v>0.99999997777777772</v>
          </cell>
          <cell r="S96">
            <v>2.2222222284540294E-8</v>
          </cell>
          <cell r="T96">
            <v>0</v>
          </cell>
        </row>
        <row r="97">
          <cell r="Q97">
            <v>445</v>
          </cell>
          <cell r="R97">
            <v>0.99999997777777772</v>
          </cell>
          <cell r="S97">
            <v>2.2222222284540294E-8</v>
          </cell>
          <cell r="T97">
            <v>0</v>
          </cell>
        </row>
        <row r="98">
          <cell r="Q98">
            <v>444</v>
          </cell>
          <cell r="R98">
            <v>0.99999997777777772</v>
          </cell>
          <cell r="S98">
            <v>2.2222222284540294E-8</v>
          </cell>
          <cell r="T98">
            <v>0</v>
          </cell>
        </row>
        <row r="99">
          <cell r="Q99">
            <v>443</v>
          </cell>
          <cell r="R99">
            <v>0.99999997777777772</v>
          </cell>
          <cell r="S99">
            <v>2.2222222284540294E-8</v>
          </cell>
          <cell r="T99">
            <v>0</v>
          </cell>
        </row>
        <row r="100">
          <cell r="Q100">
            <v>442</v>
          </cell>
          <cell r="R100">
            <v>0.99999997777777772</v>
          </cell>
          <cell r="S100">
            <v>2.2222222284540294E-8</v>
          </cell>
          <cell r="T100">
            <v>0</v>
          </cell>
        </row>
        <row r="101">
          <cell r="Q101">
            <v>441</v>
          </cell>
          <cell r="R101">
            <v>0.99999997777777772</v>
          </cell>
          <cell r="S101">
            <v>2.2222222284540294E-8</v>
          </cell>
          <cell r="T101">
            <v>0</v>
          </cell>
        </row>
        <row r="102">
          <cell r="Q102">
            <v>440</v>
          </cell>
          <cell r="R102">
            <v>0.99999997777777772</v>
          </cell>
          <cell r="S102">
            <v>2.2222222284540294E-8</v>
          </cell>
          <cell r="T102">
            <v>0</v>
          </cell>
        </row>
        <row r="103">
          <cell r="Q103">
            <v>439</v>
          </cell>
          <cell r="R103">
            <v>0.99999997777777772</v>
          </cell>
          <cell r="S103">
            <v>2.2222222284540294E-8</v>
          </cell>
          <cell r="T103">
            <v>0</v>
          </cell>
        </row>
        <row r="104">
          <cell r="Q104">
            <v>438</v>
          </cell>
          <cell r="R104">
            <v>0.99999997777777772</v>
          </cell>
          <cell r="S104">
            <v>2.2222222284540294E-8</v>
          </cell>
          <cell r="T104">
            <v>0</v>
          </cell>
        </row>
        <row r="105">
          <cell r="Q105">
            <v>437</v>
          </cell>
          <cell r="R105">
            <v>0.99999997777777772</v>
          </cell>
          <cell r="S105">
            <v>2.2222222284540294E-8</v>
          </cell>
          <cell r="T105">
            <v>0</v>
          </cell>
        </row>
        <row r="106">
          <cell r="Q106">
            <v>436</v>
          </cell>
          <cell r="R106">
            <v>0.99999997777777772</v>
          </cell>
          <cell r="S106">
            <v>2.2222222284540294E-8</v>
          </cell>
          <cell r="T106">
            <v>0</v>
          </cell>
        </row>
        <row r="107">
          <cell r="Q107">
            <v>435</v>
          </cell>
          <cell r="R107">
            <v>0.99999997777777772</v>
          </cell>
          <cell r="S107">
            <v>2.2222222284540294E-8</v>
          </cell>
          <cell r="T107">
            <v>0</v>
          </cell>
        </row>
        <row r="108">
          <cell r="Q108">
            <v>434</v>
          </cell>
          <cell r="R108">
            <v>0.99999997777777772</v>
          </cell>
          <cell r="S108">
            <v>2.2222222284540294E-8</v>
          </cell>
          <cell r="T108">
            <v>0</v>
          </cell>
        </row>
        <row r="109">
          <cell r="Q109">
            <v>433</v>
          </cell>
          <cell r="R109">
            <v>0.99999997777777772</v>
          </cell>
          <cell r="S109">
            <v>2.2222222284540294E-8</v>
          </cell>
          <cell r="T109">
            <v>0</v>
          </cell>
        </row>
        <row r="110">
          <cell r="Q110">
            <v>432</v>
          </cell>
          <cell r="R110">
            <v>0.99999997777777772</v>
          </cell>
          <cell r="S110">
            <v>2.2222222284540294E-8</v>
          </cell>
          <cell r="T110">
            <v>0</v>
          </cell>
        </row>
        <row r="111">
          <cell r="Q111">
            <v>431</v>
          </cell>
          <cell r="R111">
            <v>0.99999997777777772</v>
          </cell>
          <cell r="S111">
            <v>2.2222222284540294E-8</v>
          </cell>
          <cell r="T111">
            <v>0</v>
          </cell>
        </row>
        <row r="112">
          <cell r="Q112">
            <v>430</v>
          </cell>
          <cell r="R112">
            <v>0.99999997777777772</v>
          </cell>
          <cell r="S112">
            <v>2.2222222284540294E-8</v>
          </cell>
          <cell r="T112">
            <v>0</v>
          </cell>
        </row>
        <row r="113">
          <cell r="Q113">
            <v>429</v>
          </cell>
          <cell r="R113">
            <v>0.99999997777777772</v>
          </cell>
          <cell r="S113">
            <v>2.2222222284540294E-8</v>
          </cell>
          <cell r="T113">
            <v>0</v>
          </cell>
        </row>
        <row r="114">
          <cell r="Q114">
            <v>428</v>
          </cell>
          <cell r="R114">
            <v>0.99999997777777772</v>
          </cell>
          <cell r="S114">
            <v>2.2222222284540294E-8</v>
          </cell>
          <cell r="T114">
            <v>0</v>
          </cell>
        </row>
        <row r="115">
          <cell r="Q115">
            <v>427</v>
          </cell>
          <cell r="R115">
            <v>0.99999997777777772</v>
          </cell>
          <cell r="S115">
            <v>2.2222222284540294E-8</v>
          </cell>
          <cell r="T115">
            <v>0</v>
          </cell>
        </row>
        <row r="116">
          <cell r="Q116">
            <v>426</v>
          </cell>
          <cell r="R116">
            <v>0.99999997777777772</v>
          </cell>
          <cell r="S116">
            <v>2.2222222284540294E-8</v>
          </cell>
          <cell r="T116">
            <v>0</v>
          </cell>
        </row>
        <row r="117">
          <cell r="Q117">
            <v>425</v>
          </cell>
          <cell r="R117">
            <v>0.99999997777777772</v>
          </cell>
          <cell r="S117">
            <v>2.2222222284540294E-8</v>
          </cell>
          <cell r="T117">
            <v>0</v>
          </cell>
        </row>
        <row r="118">
          <cell r="Q118">
            <v>424</v>
          </cell>
          <cell r="R118">
            <v>0.99999997777777772</v>
          </cell>
          <cell r="S118">
            <v>2.2222222284540294E-8</v>
          </cell>
          <cell r="T118">
            <v>0</v>
          </cell>
        </row>
        <row r="119">
          <cell r="Q119">
            <v>423</v>
          </cell>
          <cell r="R119">
            <v>0.99999997777777772</v>
          </cell>
          <cell r="S119">
            <v>2.2222222284540294E-8</v>
          </cell>
          <cell r="T119">
            <v>0</v>
          </cell>
        </row>
        <row r="120">
          <cell r="Q120">
            <v>422</v>
          </cell>
          <cell r="R120">
            <v>0.99999997777777772</v>
          </cell>
          <cell r="S120">
            <v>2.2222222284540294E-8</v>
          </cell>
          <cell r="T120">
            <v>0</v>
          </cell>
        </row>
        <row r="121">
          <cell r="Q121">
            <v>421</v>
          </cell>
          <cell r="R121">
            <v>0.99999997777777772</v>
          </cell>
          <cell r="S121">
            <v>2.2222222284540294E-8</v>
          </cell>
          <cell r="T121">
            <v>0</v>
          </cell>
        </row>
        <row r="122">
          <cell r="Q122">
            <v>420</v>
          </cell>
          <cell r="R122">
            <v>0.99999997777777772</v>
          </cell>
          <cell r="S122">
            <v>2.2222222284540294E-8</v>
          </cell>
          <cell r="T122">
            <v>0</v>
          </cell>
        </row>
        <row r="123">
          <cell r="Q123">
            <v>419</v>
          </cell>
          <cell r="R123">
            <v>0.99999997777777772</v>
          </cell>
          <cell r="S123">
            <v>2.2222222284540294E-8</v>
          </cell>
          <cell r="T123">
            <v>0</v>
          </cell>
        </row>
        <row r="124">
          <cell r="Q124">
            <v>418</v>
          </cell>
          <cell r="R124">
            <v>0.99999997777777772</v>
          </cell>
          <cell r="S124">
            <v>2.2222222284540294E-8</v>
          </cell>
          <cell r="T124">
            <v>0</v>
          </cell>
        </row>
        <row r="125">
          <cell r="Q125">
            <v>417</v>
          </cell>
          <cell r="R125">
            <v>0.99999997777777772</v>
          </cell>
          <cell r="S125">
            <v>2.2222222284540294E-8</v>
          </cell>
          <cell r="T125">
            <v>0</v>
          </cell>
        </row>
        <row r="126">
          <cell r="Q126">
            <v>416</v>
          </cell>
          <cell r="R126">
            <v>0.99999997777777772</v>
          </cell>
          <cell r="S126">
            <v>2.2222222284540294E-8</v>
          </cell>
          <cell r="T126">
            <v>0</v>
          </cell>
        </row>
        <row r="127">
          <cell r="Q127">
            <v>415</v>
          </cell>
          <cell r="R127">
            <v>0.99999997777777772</v>
          </cell>
          <cell r="S127">
            <v>2.2222222284540294E-8</v>
          </cell>
          <cell r="T127">
            <v>0</v>
          </cell>
        </row>
        <row r="128">
          <cell r="Q128">
            <v>414</v>
          </cell>
          <cell r="R128">
            <v>0.99999997777777772</v>
          </cell>
          <cell r="S128">
            <v>2.2222222284540294E-8</v>
          </cell>
          <cell r="T128">
            <v>0</v>
          </cell>
        </row>
        <row r="129">
          <cell r="Q129">
            <v>413</v>
          </cell>
          <cell r="R129">
            <v>0.99999997777777772</v>
          </cell>
          <cell r="S129">
            <v>2.2222222284540294E-8</v>
          </cell>
          <cell r="T129">
            <v>0</v>
          </cell>
        </row>
        <row r="130">
          <cell r="Q130">
            <v>412</v>
          </cell>
          <cell r="R130">
            <v>0.99999997777777772</v>
          </cell>
          <cell r="S130">
            <v>2.2222222284540294E-8</v>
          </cell>
          <cell r="T130">
            <v>0</v>
          </cell>
        </row>
        <row r="131">
          <cell r="Q131">
            <v>411</v>
          </cell>
          <cell r="R131">
            <v>0.99999997777777772</v>
          </cell>
          <cell r="S131">
            <v>2.2222222284540294E-8</v>
          </cell>
          <cell r="T131">
            <v>0</v>
          </cell>
        </row>
        <row r="132">
          <cell r="Q132">
            <v>410</v>
          </cell>
          <cell r="R132">
            <v>0.99999997777777772</v>
          </cell>
          <cell r="S132">
            <v>2.2222222284540294E-8</v>
          </cell>
          <cell r="T132">
            <v>0</v>
          </cell>
        </row>
        <row r="133">
          <cell r="Q133">
            <v>409</v>
          </cell>
          <cell r="R133">
            <v>0.99999997777777772</v>
          </cell>
          <cell r="S133">
            <v>2.2222222284540294E-8</v>
          </cell>
          <cell r="T133">
            <v>0</v>
          </cell>
        </row>
        <row r="134">
          <cell r="Q134">
            <v>408</v>
          </cell>
          <cell r="R134">
            <v>0.99999997777777772</v>
          </cell>
          <cell r="S134">
            <v>2.2222222284540294E-8</v>
          </cell>
          <cell r="T134">
            <v>0</v>
          </cell>
        </row>
        <row r="135">
          <cell r="Q135">
            <v>407</v>
          </cell>
          <cell r="R135">
            <v>0.99999997777777772</v>
          </cell>
          <cell r="S135">
            <v>2.2222222284540294E-8</v>
          </cell>
          <cell r="T135">
            <v>0</v>
          </cell>
        </row>
        <row r="136">
          <cell r="Q136">
            <v>406</v>
          </cell>
          <cell r="R136">
            <v>0.99999997777777772</v>
          </cell>
          <cell r="S136">
            <v>2.2222222284540294E-8</v>
          </cell>
          <cell r="T136">
            <v>0</v>
          </cell>
        </row>
        <row r="137">
          <cell r="Q137">
            <v>405</v>
          </cell>
          <cell r="R137">
            <v>0.99999997777777772</v>
          </cell>
          <cell r="S137">
            <v>2.2222222284540294E-8</v>
          </cell>
          <cell r="T137">
            <v>0</v>
          </cell>
        </row>
        <row r="138">
          <cell r="Q138">
            <v>404</v>
          </cell>
          <cell r="R138">
            <v>0.99999997777777772</v>
          </cell>
          <cell r="S138">
            <v>2.2222222284540294E-8</v>
          </cell>
          <cell r="T138">
            <v>0</v>
          </cell>
        </row>
        <row r="139">
          <cell r="Q139">
            <v>403</v>
          </cell>
          <cell r="R139">
            <v>0.99999997777777772</v>
          </cell>
          <cell r="S139">
            <v>2.2222222284540294E-8</v>
          </cell>
          <cell r="T139">
            <v>0</v>
          </cell>
        </row>
        <row r="140">
          <cell r="Q140">
            <v>402</v>
          </cell>
          <cell r="R140">
            <v>0.99999997777777772</v>
          </cell>
          <cell r="S140">
            <v>2.2222222284540294E-8</v>
          </cell>
          <cell r="T140">
            <v>0</v>
          </cell>
        </row>
        <row r="141">
          <cell r="Q141">
            <v>401</v>
          </cell>
          <cell r="R141">
            <v>0.99999997777777772</v>
          </cell>
          <cell r="S141">
            <v>2.2222222284540294E-8</v>
          </cell>
          <cell r="T141">
            <v>0</v>
          </cell>
        </row>
        <row r="142">
          <cell r="Q142">
            <v>400</v>
          </cell>
          <cell r="R142">
            <v>0.99999997777777772</v>
          </cell>
          <cell r="S142">
            <v>2.2222222284540294E-8</v>
          </cell>
          <cell r="T142">
            <v>0</v>
          </cell>
        </row>
        <row r="143">
          <cell r="Q143">
            <v>399</v>
          </cell>
          <cell r="R143">
            <v>0.99999997777777772</v>
          </cell>
          <cell r="S143">
            <v>2.2222222284540294E-8</v>
          </cell>
          <cell r="T143">
            <v>0</v>
          </cell>
        </row>
        <row r="144">
          <cell r="Q144">
            <v>398</v>
          </cell>
          <cell r="R144">
            <v>0.99999997777777772</v>
          </cell>
          <cell r="S144">
            <v>2.2222222284540294E-8</v>
          </cell>
          <cell r="T144">
            <v>0</v>
          </cell>
        </row>
        <row r="145">
          <cell r="Q145">
            <v>397</v>
          </cell>
          <cell r="R145">
            <v>0.99999997777777772</v>
          </cell>
          <cell r="S145">
            <v>2.2222222284540294E-8</v>
          </cell>
          <cell r="T145">
            <v>0</v>
          </cell>
        </row>
        <row r="146">
          <cell r="Q146">
            <v>396</v>
          </cell>
          <cell r="R146">
            <v>0.99999997777777772</v>
          </cell>
          <cell r="S146">
            <v>2.2222222284540294E-8</v>
          </cell>
          <cell r="T146">
            <v>0</v>
          </cell>
        </row>
        <row r="147">
          <cell r="Q147">
            <v>395</v>
          </cell>
          <cell r="R147">
            <v>0.99999997777777772</v>
          </cell>
          <cell r="S147">
            <v>2.2222222284540294E-8</v>
          </cell>
          <cell r="T147">
            <v>0</v>
          </cell>
        </row>
        <row r="148">
          <cell r="Q148">
            <v>394</v>
          </cell>
          <cell r="R148">
            <v>0.99999997777777772</v>
          </cell>
          <cell r="S148">
            <v>2.2222222284540294E-8</v>
          </cell>
          <cell r="T148">
            <v>0</v>
          </cell>
        </row>
        <row r="149">
          <cell r="Q149">
            <v>393</v>
          </cell>
          <cell r="R149">
            <v>0.99999997777777772</v>
          </cell>
          <cell r="S149">
            <v>2.2222222284540294E-8</v>
          </cell>
          <cell r="T149">
            <v>0</v>
          </cell>
        </row>
        <row r="150">
          <cell r="Q150">
            <v>392</v>
          </cell>
          <cell r="R150">
            <v>0.99999997777777772</v>
          </cell>
          <cell r="S150">
            <v>2.2222222284540294E-8</v>
          </cell>
          <cell r="T150">
            <v>0</v>
          </cell>
        </row>
        <row r="151">
          <cell r="Q151">
            <v>391</v>
          </cell>
          <cell r="R151">
            <v>0.99999997777777772</v>
          </cell>
          <cell r="S151">
            <v>2.2222222284540294E-8</v>
          </cell>
          <cell r="T151">
            <v>0</v>
          </cell>
        </row>
        <row r="152">
          <cell r="Q152">
            <v>390</v>
          </cell>
          <cell r="R152">
            <v>0.99999997777777772</v>
          </cell>
          <cell r="S152">
            <v>2.2222222284540294E-8</v>
          </cell>
          <cell r="T152">
            <v>0</v>
          </cell>
        </row>
        <row r="153">
          <cell r="Q153">
            <v>389</v>
          </cell>
          <cell r="R153">
            <v>0.99999997777777772</v>
          </cell>
          <cell r="S153">
            <v>2.2222222284540294E-8</v>
          </cell>
          <cell r="T153">
            <v>0</v>
          </cell>
        </row>
        <row r="154">
          <cell r="Q154">
            <v>388</v>
          </cell>
          <cell r="R154">
            <v>0.99999997777777772</v>
          </cell>
          <cell r="S154">
            <v>2.2222222284540294E-8</v>
          </cell>
          <cell r="T154">
            <v>0</v>
          </cell>
        </row>
        <row r="155">
          <cell r="Q155">
            <v>387</v>
          </cell>
          <cell r="R155">
            <v>0.99999997777777772</v>
          </cell>
          <cell r="S155">
            <v>2.2222222284540294E-8</v>
          </cell>
          <cell r="T155">
            <v>0</v>
          </cell>
        </row>
        <row r="156">
          <cell r="Q156">
            <v>386</v>
          </cell>
          <cell r="R156">
            <v>0.99999997777777772</v>
          </cell>
          <cell r="S156">
            <v>2.2222222284540294E-8</v>
          </cell>
          <cell r="T156">
            <v>0</v>
          </cell>
        </row>
        <row r="157">
          <cell r="Q157">
            <v>385</v>
          </cell>
          <cell r="R157">
            <v>0.99999997777777772</v>
          </cell>
          <cell r="S157">
            <v>2.2222222284540294E-8</v>
          </cell>
          <cell r="T157">
            <v>0</v>
          </cell>
        </row>
        <row r="158">
          <cell r="Q158">
            <v>384</v>
          </cell>
          <cell r="R158">
            <v>0.99999997777777772</v>
          </cell>
          <cell r="S158">
            <v>2.2222222284540294E-8</v>
          </cell>
          <cell r="T158">
            <v>0</v>
          </cell>
        </row>
        <row r="159">
          <cell r="Q159">
            <v>383</v>
          </cell>
          <cell r="R159">
            <v>0.99999997777777772</v>
          </cell>
          <cell r="S159">
            <v>2.2222222284540294E-8</v>
          </cell>
          <cell r="T159">
            <v>0</v>
          </cell>
        </row>
        <row r="160">
          <cell r="Q160">
            <v>382</v>
          </cell>
          <cell r="R160">
            <v>0.99999997777777772</v>
          </cell>
          <cell r="S160">
            <v>2.2222222284540294E-8</v>
          </cell>
          <cell r="T160">
            <v>0</v>
          </cell>
        </row>
        <row r="161">
          <cell r="Q161">
            <v>381</v>
          </cell>
          <cell r="R161">
            <v>0.99999997777777772</v>
          </cell>
          <cell r="S161">
            <v>2.2222222284540294E-8</v>
          </cell>
          <cell r="T161">
            <v>0</v>
          </cell>
        </row>
        <row r="162">
          <cell r="Q162">
            <v>380</v>
          </cell>
          <cell r="R162">
            <v>0.99999997777777772</v>
          </cell>
          <cell r="S162">
            <v>2.2222222284540294E-8</v>
          </cell>
          <cell r="T162">
            <v>0</v>
          </cell>
        </row>
        <row r="163">
          <cell r="Q163">
            <v>379</v>
          </cell>
          <cell r="R163">
            <v>0.99999997777777772</v>
          </cell>
          <cell r="S163">
            <v>2.2222222284540294E-8</v>
          </cell>
          <cell r="T163">
            <v>0</v>
          </cell>
        </row>
        <row r="164">
          <cell r="Q164">
            <v>378</v>
          </cell>
          <cell r="R164">
            <v>0.99999997777777772</v>
          </cell>
          <cell r="S164">
            <v>2.2222222284540294E-8</v>
          </cell>
          <cell r="T164">
            <v>0</v>
          </cell>
        </row>
        <row r="165">
          <cell r="Q165">
            <v>377</v>
          </cell>
          <cell r="R165">
            <v>0.99999997777777772</v>
          </cell>
          <cell r="S165">
            <v>2.2222222284540294E-8</v>
          </cell>
          <cell r="T165">
            <v>0</v>
          </cell>
        </row>
        <row r="166">
          <cell r="Q166">
            <v>376</v>
          </cell>
          <cell r="R166">
            <v>0.99999997777777772</v>
          </cell>
          <cell r="S166">
            <v>2.2222222284540294E-8</v>
          </cell>
          <cell r="T166">
            <v>0</v>
          </cell>
        </row>
        <row r="167">
          <cell r="Q167">
            <v>375</v>
          </cell>
          <cell r="R167">
            <v>0.99999997777777772</v>
          </cell>
          <cell r="S167">
            <v>2.2222222284540294E-8</v>
          </cell>
          <cell r="T167">
            <v>0</v>
          </cell>
        </row>
        <row r="168">
          <cell r="Q168">
            <v>374</v>
          </cell>
          <cell r="R168">
            <v>0.99999997777777772</v>
          </cell>
          <cell r="S168">
            <v>2.2222222284540294E-8</v>
          </cell>
          <cell r="T168">
            <v>0</v>
          </cell>
        </row>
        <row r="169">
          <cell r="Q169">
            <v>373</v>
          </cell>
          <cell r="R169">
            <v>0.99999997777777772</v>
          </cell>
          <cell r="S169">
            <v>2.2222222284540294E-8</v>
          </cell>
          <cell r="T169">
            <v>0</v>
          </cell>
        </row>
        <row r="170">
          <cell r="Q170">
            <v>372</v>
          </cell>
          <cell r="R170">
            <v>0.99999997777777772</v>
          </cell>
          <cell r="S170">
            <v>2.2222222284540294E-8</v>
          </cell>
          <cell r="T170">
            <v>0</v>
          </cell>
        </row>
        <row r="171">
          <cell r="Q171">
            <v>371</v>
          </cell>
          <cell r="R171">
            <v>0.99999997777777772</v>
          </cell>
          <cell r="S171">
            <v>2.2222222284540294E-8</v>
          </cell>
          <cell r="T171">
            <v>0</v>
          </cell>
        </row>
        <row r="172">
          <cell r="Q172">
            <v>370</v>
          </cell>
          <cell r="R172">
            <v>0.99999997777777772</v>
          </cell>
          <cell r="S172">
            <v>2.2222222284540294E-8</v>
          </cell>
          <cell r="T172">
            <v>0</v>
          </cell>
        </row>
        <row r="173">
          <cell r="Q173">
            <v>369</v>
          </cell>
          <cell r="R173">
            <v>0.99999997777777772</v>
          </cell>
          <cell r="S173">
            <v>2.2222222284540294E-8</v>
          </cell>
          <cell r="T173">
            <v>0</v>
          </cell>
        </row>
        <row r="174">
          <cell r="Q174">
            <v>368</v>
          </cell>
          <cell r="R174">
            <v>0.99999997777777772</v>
          </cell>
          <cell r="S174">
            <v>2.2222222284540294E-8</v>
          </cell>
          <cell r="T174">
            <v>0</v>
          </cell>
        </row>
        <row r="175">
          <cell r="Q175">
            <v>367</v>
          </cell>
          <cell r="R175">
            <v>0.99999997777777772</v>
          </cell>
          <cell r="S175">
            <v>2.2222222284540294E-8</v>
          </cell>
          <cell r="T175">
            <v>0</v>
          </cell>
        </row>
        <row r="176">
          <cell r="Q176">
            <v>366</v>
          </cell>
          <cell r="R176">
            <v>0.99999997777777772</v>
          </cell>
          <cell r="S176">
            <v>2.2222222284540294E-8</v>
          </cell>
          <cell r="T176">
            <v>0</v>
          </cell>
        </row>
        <row r="177">
          <cell r="Q177">
            <v>365</v>
          </cell>
          <cell r="R177">
            <v>0.99999997777777772</v>
          </cell>
          <cell r="S177">
            <v>2.2222222284540294E-8</v>
          </cell>
          <cell r="T177">
            <v>0</v>
          </cell>
        </row>
        <row r="178">
          <cell r="Q178">
            <v>364</v>
          </cell>
          <cell r="R178">
            <v>0.99999997777777772</v>
          </cell>
          <cell r="S178">
            <v>2.2222222284540294E-8</v>
          </cell>
          <cell r="T178">
            <v>0</v>
          </cell>
        </row>
        <row r="179">
          <cell r="Q179">
            <v>363</v>
          </cell>
          <cell r="R179">
            <v>0.99999997777777772</v>
          </cell>
          <cell r="S179">
            <v>2.2222222284540294E-8</v>
          </cell>
          <cell r="T179">
            <v>0</v>
          </cell>
        </row>
        <row r="180">
          <cell r="Q180">
            <v>362</v>
          </cell>
          <cell r="R180">
            <v>0.99999997777777772</v>
          </cell>
          <cell r="S180">
            <v>2.2222222284540294E-8</v>
          </cell>
          <cell r="T180">
            <v>0</v>
          </cell>
        </row>
        <row r="181">
          <cell r="Q181">
            <v>361</v>
          </cell>
          <cell r="R181">
            <v>0.99999997777777772</v>
          </cell>
          <cell r="S181">
            <v>2.2222222284540294E-8</v>
          </cell>
          <cell r="T181">
            <v>0</v>
          </cell>
        </row>
        <row r="182">
          <cell r="Q182">
            <v>360</v>
          </cell>
          <cell r="R182">
            <v>0.99999997777777772</v>
          </cell>
          <cell r="S182">
            <v>2.2222222284540294E-8</v>
          </cell>
          <cell r="T182">
            <v>0</v>
          </cell>
        </row>
        <row r="183">
          <cell r="Q183">
            <v>359</v>
          </cell>
          <cell r="R183">
            <v>0.99999997777777772</v>
          </cell>
          <cell r="S183">
            <v>2.2222222284540294E-8</v>
          </cell>
          <cell r="T183">
            <v>0</v>
          </cell>
        </row>
        <row r="184">
          <cell r="Q184">
            <v>358</v>
          </cell>
          <cell r="R184">
            <v>0.99999997777777772</v>
          </cell>
          <cell r="S184">
            <v>2.2222222284540294E-8</v>
          </cell>
          <cell r="T184">
            <v>0</v>
          </cell>
        </row>
        <row r="185">
          <cell r="Q185">
            <v>357</v>
          </cell>
          <cell r="R185">
            <v>0.99999997777777772</v>
          </cell>
          <cell r="S185">
            <v>2.2222222284540294E-8</v>
          </cell>
          <cell r="T185">
            <v>0</v>
          </cell>
        </row>
        <row r="186">
          <cell r="Q186">
            <v>356</v>
          </cell>
          <cell r="R186">
            <v>0.99999997777777772</v>
          </cell>
          <cell r="S186">
            <v>2.2222222284540294E-8</v>
          </cell>
          <cell r="T186">
            <v>0</v>
          </cell>
        </row>
        <row r="187">
          <cell r="Q187">
            <v>355</v>
          </cell>
          <cell r="R187">
            <v>0.99999997777777772</v>
          </cell>
          <cell r="S187">
            <v>2.2222222284540294E-8</v>
          </cell>
          <cell r="T187">
            <v>0</v>
          </cell>
        </row>
        <row r="188">
          <cell r="Q188">
            <v>354</v>
          </cell>
          <cell r="R188">
            <v>0.99999997777777772</v>
          </cell>
          <cell r="S188">
            <v>2.2222222284540294E-8</v>
          </cell>
          <cell r="T188">
            <v>0</v>
          </cell>
        </row>
        <row r="189">
          <cell r="Q189">
            <v>353</v>
          </cell>
          <cell r="R189">
            <v>0.99999997777777772</v>
          </cell>
          <cell r="S189">
            <v>2.2222222284540294E-8</v>
          </cell>
          <cell r="T189">
            <v>0</v>
          </cell>
        </row>
        <row r="190">
          <cell r="Q190">
            <v>352</v>
          </cell>
          <cell r="R190">
            <v>0.99999997777777772</v>
          </cell>
          <cell r="S190">
            <v>2.2222222284540294E-8</v>
          </cell>
          <cell r="T190">
            <v>0</v>
          </cell>
        </row>
        <row r="191">
          <cell r="Q191">
            <v>351</v>
          </cell>
          <cell r="R191">
            <v>0.99999997777777772</v>
          </cell>
          <cell r="S191">
            <v>2.2222222284540294E-8</v>
          </cell>
          <cell r="T191">
            <v>0</v>
          </cell>
        </row>
        <row r="192">
          <cell r="Q192">
            <v>350</v>
          </cell>
          <cell r="R192">
            <v>0.99999997777777772</v>
          </cell>
          <cell r="S192">
            <v>2.2222222284540294E-8</v>
          </cell>
          <cell r="T192">
            <v>0</v>
          </cell>
        </row>
        <row r="193">
          <cell r="Q193">
            <v>349</v>
          </cell>
          <cell r="R193">
            <v>0.99999997777777772</v>
          </cell>
          <cell r="S193">
            <v>2.2222222284540294E-8</v>
          </cell>
          <cell r="T193">
            <v>0</v>
          </cell>
        </row>
        <row r="194">
          <cell r="Q194">
            <v>348</v>
          </cell>
          <cell r="R194">
            <v>0.99999997777777772</v>
          </cell>
          <cell r="S194">
            <v>2.2222222284540294E-8</v>
          </cell>
          <cell r="T194">
            <v>0</v>
          </cell>
        </row>
        <row r="195">
          <cell r="Q195">
            <v>347</v>
          </cell>
          <cell r="R195">
            <v>0.99999997777777772</v>
          </cell>
          <cell r="S195">
            <v>2.2222222284540294E-8</v>
          </cell>
          <cell r="T195">
            <v>0</v>
          </cell>
        </row>
        <row r="196">
          <cell r="Q196">
            <v>346</v>
          </cell>
          <cell r="R196">
            <v>0.99999997777777772</v>
          </cell>
          <cell r="S196">
            <v>2.2222222284540294E-8</v>
          </cell>
          <cell r="T196">
            <v>0</v>
          </cell>
        </row>
        <row r="197">
          <cell r="Q197">
            <v>345</v>
          </cell>
          <cell r="R197">
            <v>0.99999997777777772</v>
          </cell>
          <cell r="S197">
            <v>2.2222222284540294E-8</v>
          </cell>
          <cell r="T197">
            <v>0</v>
          </cell>
        </row>
        <row r="198">
          <cell r="Q198">
            <v>344</v>
          </cell>
          <cell r="R198">
            <v>0.99999997777777772</v>
          </cell>
          <cell r="S198">
            <v>2.2222222284540294E-8</v>
          </cell>
          <cell r="T198">
            <v>0</v>
          </cell>
        </row>
        <row r="199">
          <cell r="Q199">
            <v>343</v>
          </cell>
          <cell r="R199">
            <v>0.99999997777777772</v>
          </cell>
          <cell r="S199">
            <v>2.2222222284540294E-8</v>
          </cell>
          <cell r="T199">
            <v>0</v>
          </cell>
        </row>
        <row r="200">
          <cell r="Q200">
            <v>342</v>
          </cell>
          <cell r="R200">
            <v>0.99999997777777772</v>
          </cell>
          <cell r="S200">
            <v>2.2222222284540294E-8</v>
          </cell>
          <cell r="T200">
            <v>0</v>
          </cell>
        </row>
        <row r="201">
          <cell r="Q201">
            <v>341</v>
          </cell>
          <cell r="R201">
            <v>0.99999997777777772</v>
          </cell>
          <cell r="S201">
            <v>2.2222222284540294E-8</v>
          </cell>
          <cell r="T201">
            <v>0</v>
          </cell>
        </row>
        <row r="202">
          <cell r="Q202">
            <v>340</v>
          </cell>
          <cell r="R202">
            <v>0.99999997777777772</v>
          </cell>
          <cell r="S202">
            <v>2.2222222284540294E-8</v>
          </cell>
          <cell r="T202">
            <v>0</v>
          </cell>
        </row>
        <row r="203">
          <cell r="Q203">
            <v>339</v>
          </cell>
          <cell r="R203">
            <v>0.99999997777777772</v>
          </cell>
          <cell r="S203">
            <v>2.2222222284540294E-8</v>
          </cell>
          <cell r="T203">
            <v>0</v>
          </cell>
        </row>
        <row r="204">
          <cell r="Q204">
            <v>338</v>
          </cell>
          <cell r="R204">
            <v>0.99999997777777772</v>
          </cell>
          <cell r="S204">
            <v>2.2222222284540294E-8</v>
          </cell>
          <cell r="T204">
            <v>0</v>
          </cell>
        </row>
        <row r="205">
          <cell r="Q205">
            <v>337</v>
          </cell>
          <cell r="R205">
            <v>0.99999997777777772</v>
          </cell>
          <cell r="S205">
            <v>2.2222222284540294E-8</v>
          </cell>
          <cell r="T205">
            <v>0</v>
          </cell>
        </row>
        <row r="206">
          <cell r="Q206">
            <v>336</v>
          </cell>
          <cell r="R206">
            <v>0.99999997777777772</v>
          </cell>
          <cell r="S206">
            <v>2.2222222284540294E-8</v>
          </cell>
          <cell r="T206">
            <v>0</v>
          </cell>
        </row>
        <row r="207">
          <cell r="Q207">
            <v>335</v>
          </cell>
          <cell r="R207">
            <v>0.99999997777777772</v>
          </cell>
          <cell r="S207">
            <v>2.2222222284540294E-8</v>
          </cell>
          <cell r="T207">
            <v>0</v>
          </cell>
        </row>
        <row r="208">
          <cell r="Q208">
            <v>334</v>
          </cell>
          <cell r="R208">
            <v>0.99999997777777772</v>
          </cell>
          <cell r="S208">
            <v>2.2222222284540294E-8</v>
          </cell>
          <cell r="T208">
            <v>0</v>
          </cell>
        </row>
        <row r="209">
          <cell r="Q209">
            <v>333</v>
          </cell>
          <cell r="R209">
            <v>0.99999997777777772</v>
          </cell>
          <cell r="S209">
            <v>2.2222222284540294E-8</v>
          </cell>
          <cell r="T209">
            <v>0</v>
          </cell>
        </row>
        <row r="210">
          <cell r="Q210">
            <v>332</v>
          </cell>
          <cell r="R210">
            <v>0.99999997777777772</v>
          </cell>
          <cell r="S210">
            <v>2.2222222284540294E-8</v>
          </cell>
          <cell r="T210">
            <v>0</v>
          </cell>
        </row>
        <row r="211">
          <cell r="Q211">
            <v>331</v>
          </cell>
          <cell r="R211">
            <v>0.99999997777777772</v>
          </cell>
          <cell r="S211">
            <v>2.2222222284540294E-8</v>
          </cell>
          <cell r="T211">
            <v>0</v>
          </cell>
        </row>
        <row r="212">
          <cell r="Q212">
            <v>330</v>
          </cell>
          <cell r="R212">
            <v>0.99999997777777772</v>
          </cell>
          <cell r="S212">
            <v>2.2222222284540294E-8</v>
          </cell>
          <cell r="T212">
            <v>0</v>
          </cell>
        </row>
        <row r="213">
          <cell r="Q213">
            <v>329</v>
          </cell>
          <cell r="R213">
            <v>0.99999997777777772</v>
          </cell>
          <cell r="S213">
            <v>2.2222222284540294E-8</v>
          </cell>
          <cell r="T213">
            <v>0</v>
          </cell>
        </row>
        <row r="214">
          <cell r="Q214">
            <v>328</v>
          </cell>
          <cell r="R214">
            <v>0.99999997777777772</v>
          </cell>
          <cell r="S214">
            <v>2.2222222284540294E-8</v>
          </cell>
          <cell r="T214">
            <v>0</v>
          </cell>
        </row>
        <row r="215">
          <cell r="Q215">
            <v>327</v>
          </cell>
          <cell r="R215">
            <v>0.99999997777777772</v>
          </cell>
          <cell r="S215">
            <v>2.2222222284540294E-8</v>
          </cell>
          <cell r="T215">
            <v>0</v>
          </cell>
        </row>
        <row r="216">
          <cell r="Q216">
            <v>326</v>
          </cell>
          <cell r="R216">
            <v>0.99999997777777772</v>
          </cell>
          <cell r="S216">
            <v>2.2222222284540294E-8</v>
          </cell>
          <cell r="T216">
            <v>0</v>
          </cell>
        </row>
        <row r="217">
          <cell r="Q217">
            <v>325</v>
          </cell>
          <cell r="R217">
            <v>0.99999997777777772</v>
          </cell>
          <cell r="S217">
            <v>2.2222222284540294E-8</v>
          </cell>
          <cell r="T217">
            <v>0</v>
          </cell>
        </row>
        <row r="218">
          <cell r="Q218">
            <v>324</v>
          </cell>
          <cell r="R218">
            <v>0.99999997777777772</v>
          </cell>
          <cell r="S218">
            <v>2.2222222284540294E-8</v>
          </cell>
          <cell r="T218">
            <v>0</v>
          </cell>
        </row>
        <row r="219">
          <cell r="Q219">
            <v>323</v>
          </cell>
          <cell r="R219">
            <v>0.99999997777777772</v>
          </cell>
          <cell r="S219">
            <v>2.2222222284540294E-8</v>
          </cell>
          <cell r="T219">
            <v>0</v>
          </cell>
        </row>
        <row r="220">
          <cell r="Q220">
            <v>322</v>
          </cell>
          <cell r="R220">
            <v>0.99999997777777772</v>
          </cell>
          <cell r="S220">
            <v>2.2222222284540294E-8</v>
          </cell>
          <cell r="T220">
            <v>0</v>
          </cell>
        </row>
        <row r="221">
          <cell r="Q221">
            <v>321</v>
          </cell>
          <cell r="R221">
            <v>0.99999997777777772</v>
          </cell>
          <cell r="S221">
            <v>2.2222222284540294E-8</v>
          </cell>
          <cell r="T221">
            <v>0</v>
          </cell>
        </row>
        <row r="222">
          <cell r="Q222">
            <v>320</v>
          </cell>
          <cell r="R222">
            <v>0.99999997777777772</v>
          </cell>
          <cell r="S222">
            <v>2.2222222284540294E-8</v>
          </cell>
          <cell r="T222">
            <v>0</v>
          </cell>
        </row>
        <row r="223">
          <cell r="Q223">
            <v>319</v>
          </cell>
          <cell r="R223">
            <v>0.99999997777777772</v>
          </cell>
          <cell r="S223">
            <v>2.2222222284540294E-8</v>
          </cell>
          <cell r="T223">
            <v>0</v>
          </cell>
        </row>
        <row r="224">
          <cell r="Q224">
            <v>318</v>
          </cell>
          <cell r="R224">
            <v>0.99999997777777772</v>
          </cell>
          <cell r="S224">
            <v>2.2222222284540294E-8</v>
          </cell>
          <cell r="T224">
            <v>0</v>
          </cell>
        </row>
        <row r="225">
          <cell r="Q225">
            <v>317</v>
          </cell>
          <cell r="R225">
            <v>0.99999997777777772</v>
          </cell>
          <cell r="S225">
            <v>2.2222222284540294E-8</v>
          </cell>
          <cell r="T225">
            <v>0</v>
          </cell>
        </row>
        <row r="226">
          <cell r="Q226">
            <v>316</v>
          </cell>
          <cell r="R226">
            <v>0.99999997777777772</v>
          </cell>
          <cell r="S226">
            <v>2.2222222284540294E-8</v>
          </cell>
          <cell r="T226">
            <v>0</v>
          </cell>
        </row>
        <row r="227">
          <cell r="Q227">
            <v>315</v>
          </cell>
          <cell r="R227">
            <v>0.99999997777777772</v>
          </cell>
          <cell r="S227">
            <v>2.2222222284540294E-8</v>
          </cell>
          <cell r="T227">
            <v>0</v>
          </cell>
        </row>
        <row r="228">
          <cell r="Q228">
            <v>314</v>
          </cell>
          <cell r="R228">
            <v>0.99999997777777772</v>
          </cell>
          <cell r="S228">
            <v>2.2222222284540294E-8</v>
          </cell>
          <cell r="T228">
            <v>0</v>
          </cell>
        </row>
        <row r="229">
          <cell r="Q229">
            <v>313</v>
          </cell>
          <cell r="R229">
            <v>0.99999997777777772</v>
          </cell>
          <cell r="S229">
            <v>2.2222222284540294E-8</v>
          </cell>
          <cell r="T229">
            <v>0</v>
          </cell>
        </row>
        <row r="230">
          <cell r="Q230">
            <v>312</v>
          </cell>
          <cell r="R230">
            <v>0.99999997777777772</v>
          </cell>
          <cell r="S230">
            <v>2.2222222284540294E-8</v>
          </cell>
          <cell r="T230">
            <v>0</v>
          </cell>
        </row>
        <row r="231">
          <cell r="Q231">
            <v>311</v>
          </cell>
          <cell r="R231">
            <v>0.99999997777777772</v>
          </cell>
          <cell r="S231">
            <v>2.2222222284540294E-8</v>
          </cell>
          <cell r="T231">
            <v>0</v>
          </cell>
        </row>
        <row r="232">
          <cell r="Q232">
            <v>310</v>
          </cell>
          <cell r="R232">
            <v>0.99999997777777772</v>
          </cell>
          <cell r="S232">
            <v>2.2222222284540294E-8</v>
          </cell>
          <cell r="T232">
            <v>0</v>
          </cell>
        </row>
        <row r="233">
          <cell r="Q233">
            <v>309</v>
          </cell>
          <cell r="R233">
            <v>0.99999997777777772</v>
          </cell>
          <cell r="S233">
            <v>2.2222222284540294E-8</v>
          </cell>
          <cell r="T233">
            <v>0</v>
          </cell>
        </row>
        <row r="234">
          <cell r="Q234">
            <v>308</v>
          </cell>
          <cell r="R234">
            <v>0.99999997777777772</v>
          </cell>
          <cell r="S234">
            <v>2.2222222284540294E-8</v>
          </cell>
          <cell r="T234">
            <v>0</v>
          </cell>
        </row>
        <row r="235">
          <cell r="Q235">
            <v>307</v>
          </cell>
          <cell r="R235">
            <v>0.99999997777777772</v>
          </cell>
          <cell r="S235">
            <v>2.2222222284540294E-8</v>
          </cell>
          <cell r="T235">
            <v>0</v>
          </cell>
        </row>
        <row r="236">
          <cell r="Q236">
            <v>306</v>
          </cell>
          <cell r="R236">
            <v>0.99999997777777772</v>
          </cell>
          <cell r="S236">
            <v>2.2222222284540294E-8</v>
          </cell>
          <cell r="T236">
            <v>0</v>
          </cell>
        </row>
        <row r="237">
          <cell r="Q237">
            <v>305</v>
          </cell>
          <cell r="R237">
            <v>0.99999997777777772</v>
          </cell>
          <cell r="S237">
            <v>2.2222222284540294E-8</v>
          </cell>
          <cell r="T237">
            <v>0</v>
          </cell>
        </row>
        <row r="238">
          <cell r="Q238">
            <v>304</v>
          </cell>
          <cell r="R238">
            <v>0.99999997777777772</v>
          </cell>
          <cell r="S238">
            <v>2.2222222284540294E-8</v>
          </cell>
          <cell r="T238">
            <v>0</v>
          </cell>
        </row>
        <row r="239">
          <cell r="Q239">
            <v>303</v>
          </cell>
          <cell r="R239">
            <v>0.99999997777777772</v>
          </cell>
          <cell r="S239">
            <v>2.2222222284540294E-8</v>
          </cell>
          <cell r="T239">
            <v>0</v>
          </cell>
        </row>
        <row r="240">
          <cell r="Q240">
            <v>302</v>
          </cell>
          <cell r="R240">
            <v>0.99999997777777772</v>
          </cell>
          <cell r="S240">
            <v>2.2222222284540294E-8</v>
          </cell>
          <cell r="T240">
            <v>0</v>
          </cell>
        </row>
        <row r="241">
          <cell r="Q241">
            <v>301</v>
          </cell>
          <cell r="R241">
            <v>0.99999997777777772</v>
          </cell>
          <cell r="S241">
            <v>2.2222222284540294E-8</v>
          </cell>
          <cell r="T241">
            <v>0</v>
          </cell>
        </row>
        <row r="242">
          <cell r="Q242">
            <v>300</v>
          </cell>
          <cell r="R242">
            <v>0.99999997777777772</v>
          </cell>
          <cell r="S242">
            <v>2.2222222284540294E-8</v>
          </cell>
          <cell r="T242">
            <v>0</v>
          </cell>
        </row>
        <row r="243">
          <cell r="Q243">
            <v>299</v>
          </cell>
          <cell r="R243">
            <v>0.99999997777777772</v>
          </cell>
          <cell r="S243">
            <v>2.2222222284540294E-8</v>
          </cell>
          <cell r="T243">
            <v>0</v>
          </cell>
        </row>
        <row r="244">
          <cell r="Q244">
            <v>298</v>
          </cell>
          <cell r="R244">
            <v>0.99999997777777772</v>
          </cell>
          <cell r="S244">
            <v>2.2222222284540294E-8</v>
          </cell>
          <cell r="T244">
            <v>0</v>
          </cell>
        </row>
        <row r="245">
          <cell r="Q245">
            <v>297</v>
          </cell>
          <cell r="R245">
            <v>0.99999997777777772</v>
          </cell>
          <cell r="S245">
            <v>2.2222222284540294E-8</v>
          </cell>
          <cell r="T245">
            <v>0</v>
          </cell>
        </row>
        <row r="246">
          <cell r="Q246">
            <v>296</v>
          </cell>
          <cell r="R246">
            <v>0.99999997777777772</v>
          </cell>
          <cell r="S246">
            <v>2.2222222284540294E-8</v>
          </cell>
          <cell r="T246">
            <v>0</v>
          </cell>
        </row>
        <row r="247">
          <cell r="Q247">
            <v>295</v>
          </cell>
          <cell r="R247">
            <v>0.99999997777777772</v>
          </cell>
          <cell r="S247">
            <v>2.2222222284540294E-8</v>
          </cell>
          <cell r="T247">
            <v>0</v>
          </cell>
        </row>
        <row r="248">
          <cell r="Q248">
            <v>294</v>
          </cell>
          <cell r="R248">
            <v>0.99999997777777772</v>
          </cell>
          <cell r="S248">
            <v>2.2222222284540294E-8</v>
          </cell>
          <cell r="T248">
            <v>0</v>
          </cell>
        </row>
        <row r="249">
          <cell r="Q249">
            <v>293</v>
          </cell>
          <cell r="R249">
            <v>0.99999997777777772</v>
          </cell>
          <cell r="S249">
            <v>2.2222222284540294E-8</v>
          </cell>
          <cell r="T249">
            <v>0</v>
          </cell>
        </row>
        <row r="250">
          <cell r="Q250">
            <v>292</v>
          </cell>
          <cell r="R250">
            <v>0.99999997777777772</v>
          </cell>
          <cell r="S250">
            <v>2.2222222284540294E-8</v>
          </cell>
          <cell r="T250">
            <v>0</v>
          </cell>
        </row>
        <row r="251">
          <cell r="Q251">
            <v>291</v>
          </cell>
          <cell r="R251">
            <v>0.99999997777777772</v>
          </cell>
          <cell r="S251">
            <v>2.2222222284540294E-8</v>
          </cell>
          <cell r="T251">
            <v>0</v>
          </cell>
        </row>
        <row r="252">
          <cell r="Q252">
            <v>290</v>
          </cell>
          <cell r="R252">
            <v>0.99999997777777772</v>
          </cell>
          <cell r="S252">
            <v>2.2222222284540294E-8</v>
          </cell>
          <cell r="T252">
            <v>0</v>
          </cell>
        </row>
        <row r="253">
          <cell r="Q253">
            <v>289</v>
          </cell>
          <cell r="R253">
            <v>0.99999997777777772</v>
          </cell>
          <cell r="S253">
            <v>2.2222222284540294E-8</v>
          </cell>
          <cell r="T253">
            <v>0</v>
          </cell>
        </row>
        <row r="254">
          <cell r="Q254">
            <v>288</v>
          </cell>
          <cell r="R254">
            <v>0.99999997777777772</v>
          </cell>
          <cell r="S254">
            <v>2.2222222284540294E-8</v>
          </cell>
          <cell r="T254">
            <v>0</v>
          </cell>
        </row>
        <row r="255">
          <cell r="Q255">
            <v>287</v>
          </cell>
          <cell r="R255">
            <v>0.99999997777777772</v>
          </cell>
          <cell r="S255">
            <v>2.2222222284540294E-8</v>
          </cell>
          <cell r="T255">
            <v>0</v>
          </cell>
        </row>
        <row r="256">
          <cell r="Q256">
            <v>286</v>
          </cell>
          <cell r="R256">
            <v>0.99999997777777772</v>
          </cell>
          <cell r="S256">
            <v>2.2222222284540294E-8</v>
          </cell>
          <cell r="T256">
            <v>0</v>
          </cell>
        </row>
        <row r="257">
          <cell r="Q257">
            <v>285</v>
          </cell>
          <cell r="R257">
            <v>0.99999997777777772</v>
          </cell>
          <cell r="S257">
            <v>2.2222222284540294E-8</v>
          </cell>
          <cell r="T257">
            <v>0</v>
          </cell>
        </row>
        <row r="258">
          <cell r="Q258">
            <v>284</v>
          </cell>
          <cell r="R258">
            <v>0.99999997777777772</v>
          </cell>
          <cell r="S258">
            <v>2.2222222284540294E-8</v>
          </cell>
          <cell r="T258">
            <v>0</v>
          </cell>
        </row>
        <row r="259">
          <cell r="Q259">
            <v>283</v>
          </cell>
          <cell r="R259">
            <v>0.99999997777777772</v>
          </cell>
          <cell r="S259">
            <v>2.2222222284540294E-8</v>
          </cell>
          <cell r="T259">
            <v>0</v>
          </cell>
        </row>
        <row r="260">
          <cell r="Q260">
            <v>282</v>
          </cell>
          <cell r="R260">
            <v>0.99999997777777772</v>
          </cell>
          <cell r="S260">
            <v>2.2222222284540294E-8</v>
          </cell>
          <cell r="T260">
            <v>0</v>
          </cell>
        </row>
        <row r="261">
          <cell r="Q261">
            <v>281</v>
          </cell>
          <cell r="R261">
            <v>0.99999997777777772</v>
          </cell>
          <cell r="S261">
            <v>2.2222222284540294E-8</v>
          </cell>
          <cell r="T261">
            <v>0</v>
          </cell>
        </row>
        <row r="262">
          <cell r="Q262">
            <v>280</v>
          </cell>
          <cell r="R262">
            <v>0.99999997777777772</v>
          </cell>
          <cell r="S262">
            <v>2.2222222284540294E-8</v>
          </cell>
          <cell r="T262">
            <v>0</v>
          </cell>
        </row>
        <row r="263">
          <cell r="Q263">
            <v>279</v>
          </cell>
          <cell r="R263">
            <v>0.99999997777777772</v>
          </cell>
          <cell r="S263">
            <v>2.2222222284540294E-8</v>
          </cell>
          <cell r="T263">
            <v>0</v>
          </cell>
        </row>
        <row r="264">
          <cell r="Q264">
            <v>278</v>
          </cell>
          <cell r="R264">
            <v>0.99999997777777772</v>
          </cell>
          <cell r="S264">
            <v>2.2222222284540294E-8</v>
          </cell>
          <cell r="T264">
            <v>0</v>
          </cell>
        </row>
        <row r="265">
          <cell r="Q265">
            <v>277</v>
          </cell>
          <cell r="R265">
            <v>0.99999997777777772</v>
          </cell>
          <cell r="S265">
            <v>2.2222222284540294E-8</v>
          </cell>
          <cell r="T265">
            <v>0</v>
          </cell>
        </row>
        <row r="266">
          <cell r="Q266">
            <v>276</v>
          </cell>
          <cell r="R266">
            <v>0.99999997777777772</v>
          </cell>
          <cell r="S266">
            <v>2.2222222284540294E-8</v>
          </cell>
          <cell r="T266">
            <v>0</v>
          </cell>
        </row>
        <row r="267">
          <cell r="Q267">
            <v>275</v>
          </cell>
          <cell r="R267">
            <v>0.99999997777777772</v>
          </cell>
          <cell r="S267">
            <v>2.2222222284540294E-8</v>
          </cell>
          <cell r="T267">
            <v>0</v>
          </cell>
        </row>
        <row r="268">
          <cell r="Q268">
            <v>274</v>
          </cell>
          <cell r="R268">
            <v>0.99999997777777772</v>
          </cell>
          <cell r="S268">
            <v>2.2222222284540294E-8</v>
          </cell>
          <cell r="T268">
            <v>0</v>
          </cell>
        </row>
        <row r="269">
          <cell r="Q269">
            <v>273</v>
          </cell>
          <cell r="R269">
            <v>0.99999997777777772</v>
          </cell>
          <cell r="S269">
            <v>2.2222222284540294E-8</v>
          </cell>
          <cell r="T269">
            <v>0</v>
          </cell>
        </row>
        <row r="270">
          <cell r="Q270">
            <v>272</v>
          </cell>
          <cell r="R270">
            <v>0.99999997777777772</v>
          </cell>
          <cell r="S270">
            <v>2.2222222284540294E-8</v>
          </cell>
          <cell r="T270">
            <v>0</v>
          </cell>
        </row>
        <row r="271">
          <cell r="Q271">
            <v>271</v>
          </cell>
          <cell r="R271">
            <v>0.99999997777777772</v>
          </cell>
          <cell r="S271">
            <v>2.2222222284540294E-8</v>
          </cell>
          <cell r="T271">
            <v>0</v>
          </cell>
        </row>
        <row r="272">
          <cell r="Q272">
            <v>270</v>
          </cell>
          <cell r="R272">
            <v>0.99999997777777772</v>
          </cell>
          <cell r="S272">
            <v>2.2222222284540294E-8</v>
          </cell>
          <cell r="T272">
            <v>0</v>
          </cell>
        </row>
        <row r="273">
          <cell r="Q273">
            <v>269</v>
          </cell>
          <cell r="R273">
            <v>0.99999997777777772</v>
          </cell>
          <cell r="S273">
            <v>2.2222222284540294E-8</v>
          </cell>
          <cell r="T273">
            <v>0</v>
          </cell>
        </row>
        <row r="274">
          <cell r="Q274">
            <v>268</v>
          </cell>
          <cell r="R274">
            <v>0.99999997777777772</v>
          </cell>
          <cell r="S274">
            <v>2.2222222284540294E-8</v>
          </cell>
          <cell r="T274">
            <v>0</v>
          </cell>
        </row>
        <row r="275">
          <cell r="Q275">
            <v>267</v>
          </cell>
          <cell r="R275">
            <v>0.99999997777777772</v>
          </cell>
          <cell r="S275">
            <v>2.2222222284540294E-8</v>
          </cell>
          <cell r="T275">
            <v>0</v>
          </cell>
        </row>
        <row r="276">
          <cell r="Q276">
            <v>266</v>
          </cell>
          <cell r="R276">
            <v>0.99999997777777772</v>
          </cell>
          <cell r="S276">
            <v>2.2222222284540294E-8</v>
          </cell>
          <cell r="T276">
            <v>0</v>
          </cell>
        </row>
        <row r="277">
          <cell r="Q277">
            <v>265</v>
          </cell>
          <cell r="R277">
            <v>0.99999997777777772</v>
          </cell>
          <cell r="S277">
            <v>2.2222222284540294E-8</v>
          </cell>
          <cell r="T277">
            <v>0</v>
          </cell>
        </row>
        <row r="278">
          <cell r="Q278">
            <v>264</v>
          </cell>
          <cell r="R278">
            <v>0.99999997777777772</v>
          </cell>
          <cell r="S278">
            <v>2.2222222284540294E-8</v>
          </cell>
          <cell r="T278">
            <v>0</v>
          </cell>
        </row>
        <row r="279">
          <cell r="Q279">
            <v>263</v>
          </cell>
          <cell r="R279">
            <v>0.99999997777777772</v>
          </cell>
          <cell r="S279">
            <v>2.2222222284540294E-8</v>
          </cell>
          <cell r="T279">
            <v>0</v>
          </cell>
        </row>
        <row r="280">
          <cell r="Q280">
            <v>262</v>
          </cell>
          <cell r="R280">
            <v>0.99999997777777772</v>
          </cell>
          <cell r="S280">
            <v>2.2222222284540294E-8</v>
          </cell>
          <cell r="T280">
            <v>0</v>
          </cell>
        </row>
        <row r="281">
          <cell r="Q281">
            <v>261</v>
          </cell>
          <cell r="R281">
            <v>0.99999997777777772</v>
          </cell>
          <cell r="S281">
            <v>2.2222222284540294E-8</v>
          </cell>
          <cell r="T281">
            <v>0</v>
          </cell>
        </row>
        <row r="282">
          <cell r="Q282">
            <v>260</v>
          </cell>
          <cell r="R282">
            <v>0.99999997777777772</v>
          </cell>
          <cell r="S282">
            <v>2.2222222284540294E-8</v>
          </cell>
          <cell r="T282">
            <v>0</v>
          </cell>
        </row>
        <row r="283">
          <cell r="Q283">
            <v>259</v>
          </cell>
          <cell r="R283">
            <v>0.99999997777777772</v>
          </cell>
          <cell r="S283">
            <v>2.2222222284540294E-8</v>
          </cell>
          <cell r="T283">
            <v>0</v>
          </cell>
        </row>
        <row r="284">
          <cell r="Q284">
            <v>258</v>
          </cell>
          <cell r="R284">
            <v>0.99999997777777772</v>
          </cell>
          <cell r="S284">
            <v>2.2222222284540294E-8</v>
          </cell>
          <cell r="T284">
            <v>0</v>
          </cell>
        </row>
        <row r="285">
          <cell r="Q285">
            <v>257</v>
          </cell>
          <cell r="R285">
            <v>0.99999997777777772</v>
          </cell>
          <cell r="S285">
            <v>2.2222222284540294E-8</v>
          </cell>
          <cell r="T285">
            <v>0</v>
          </cell>
        </row>
        <row r="286">
          <cell r="Q286">
            <v>256</v>
          </cell>
          <cell r="R286">
            <v>0.99999997777777772</v>
          </cell>
          <cell r="S286">
            <v>2.2222222284540294E-8</v>
          </cell>
          <cell r="T286">
            <v>0</v>
          </cell>
        </row>
        <row r="287">
          <cell r="Q287">
            <v>255</v>
          </cell>
          <cell r="R287">
            <v>0.99999997777777772</v>
          </cell>
          <cell r="S287">
            <v>2.2222222284540294E-8</v>
          </cell>
          <cell r="T287">
            <v>0</v>
          </cell>
        </row>
        <row r="288">
          <cell r="Q288">
            <v>254</v>
          </cell>
          <cell r="R288">
            <v>0.99999997777777772</v>
          </cell>
          <cell r="S288">
            <v>2.2222222284540294E-8</v>
          </cell>
          <cell r="T288">
            <v>0</v>
          </cell>
        </row>
        <row r="289">
          <cell r="Q289">
            <v>253</v>
          </cell>
          <cell r="R289">
            <v>0.99999997777777772</v>
          </cell>
          <cell r="S289">
            <v>2.2222222284540294E-8</v>
          </cell>
          <cell r="T289">
            <v>0</v>
          </cell>
        </row>
        <row r="290">
          <cell r="Q290">
            <v>252</v>
          </cell>
          <cell r="R290">
            <v>0.99999997777777772</v>
          </cell>
          <cell r="S290">
            <v>2.2222222284540294E-8</v>
          </cell>
          <cell r="T290">
            <v>0</v>
          </cell>
        </row>
        <row r="291">
          <cell r="Q291">
            <v>251</v>
          </cell>
          <cell r="R291">
            <v>0.99999997777777772</v>
          </cell>
          <cell r="S291">
            <v>2.2222222284540294E-8</v>
          </cell>
          <cell r="T291">
            <v>0</v>
          </cell>
        </row>
        <row r="292">
          <cell r="Q292">
            <v>250</v>
          </cell>
          <cell r="R292">
            <v>0.99999997777777772</v>
          </cell>
          <cell r="S292">
            <v>2.2222222284540294E-8</v>
          </cell>
          <cell r="T292">
            <v>0</v>
          </cell>
        </row>
        <row r="293">
          <cell r="Q293">
            <v>249</v>
          </cell>
          <cell r="R293">
            <v>0.99999997777777772</v>
          </cell>
          <cell r="S293">
            <v>2.2222222284540294E-8</v>
          </cell>
          <cell r="T293">
            <v>0</v>
          </cell>
        </row>
        <row r="294">
          <cell r="Q294">
            <v>248</v>
          </cell>
          <cell r="R294">
            <v>0.99999997777777772</v>
          </cell>
          <cell r="S294">
            <v>2.2222222284540294E-8</v>
          </cell>
          <cell r="T294">
            <v>0</v>
          </cell>
        </row>
        <row r="295">
          <cell r="Q295">
            <v>247</v>
          </cell>
          <cell r="R295">
            <v>0.99999997777777772</v>
          </cell>
          <cell r="S295">
            <v>2.2222222284540294E-8</v>
          </cell>
          <cell r="T295">
            <v>0</v>
          </cell>
        </row>
        <row r="296">
          <cell r="Q296">
            <v>246</v>
          </cell>
          <cell r="R296">
            <v>0.99999997777777772</v>
          </cell>
          <cell r="S296">
            <v>2.2222222284540294E-8</v>
          </cell>
          <cell r="T296">
            <v>0</v>
          </cell>
        </row>
        <row r="297">
          <cell r="Q297">
            <v>245</v>
          </cell>
          <cell r="R297">
            <v>0.99999997777777772</v>
          </cell>
          <cell r="S297">
            <v>2.2222222284540294E-8</v>
          </cell>
          <cell r="T297">
            <v>0</v>
          </cell>
        </row>
        <row r="298">
          <cell r="Q298">
            <v>244</v>
          </cell>
          <cell r="R298">
            <v>0.99999997777777772</v>
          </cell>
          <cell r="S298">
            <v>2.2222222284540294E-8</v>
          </cell>
          <cell r="T298">
            <v>0</v>
          </cell>
        </row>
        <row r="299">
          <cell r="Q299">
            <v>243</v>
          </cell>
          <cell r="R299">
            <v>0.99999997777777772</v>
          </cell>
          <cell r="S299">
            <v>2.2222222284540294E-8</v>
          </cell>
          <cell r="T299">
            <v>0</v>
          </cell>
        </row>
        <row r="300">
          <cell r="Q300">
            <v>242</v>
          </cell>
          <cell r="R300">
            <v>0.99999997777777772</v>
          </cell>
          <cell r="S300">
            <v>2.2222222284540294E-8</v>
          </cell>
          <cell r="T300">
            <v>0</v>
          </cell>
        </row>
        <row r="301">
          <cell r="Q301">
            <v>241</v>
          </cell>
          <cell r="R301">
            <v>0.99999997777777772</v>
          </cell>
          <cell r="S301">
            <v>2.2222222284540294E-8</v>
          </cell>
          <cell r="T301">
            <v>0</v>
          </cell>
        </row>
        <row r="302">
          <cell r="Q302">
            <v>240</v>
          </cell>
          <cell r="R302">
            <v>0.99999997777777772</v>
          </cell>
          <cell r="S302">
            <v>2.2222222284540294E-8</v>
          </cell>
          <cell r="T302">
            <v>0</v>
          </cell>
        </row>
        <row r="303">
          <cell r="Q303">
            <v>239</v>
          </cell>
          <cell r="R303">
            <v>0.99999997777777772</v>
          </cell>
          <cell r="S303">
            <v>2.2222222284540294E-8</v>
          </cell>
          <cell r="T303">
            <v>0</v>
          </cell>
        </row>
        <row r="304">
          <cell r="Q304">
            <v>238</v>
          </cell>
          <cell r="R304">
            <v>0.99999997777777772</v>
          </cell>
          <cell r="S304">
            <v>2.2222222284540294E-8</v>
          </cell>
          <cell r="T304">
            <v>0</v>
          </cell>
        </row>
        <row r="305">
          <cell r="Q305">
            <v>237</v>
          </cell>
          <cell r="R305">
            <v>0.99999997777777772</v>
          </cell>
          <cell r="S305">
            <v>2.2222222284540294E-8</v>
          </cell>
          <cell r="T305">
            <v>0</v>
          </cell>
        </row>
        <row r="306">
          <cell r="Q306">
            <v>236</v>
          </cell>
          <cell r="R306">
            <v>0.99999997777777772</v>
          </cell>
          <cell r="S306">
            <v>2.2222222284540294E-8</v>
          </cell>
          <cell r="T306">
            <v>0</v>
          </cell>
        </row>
        <row r="307">
          <cell r="Q307">
            <v>235</v>
          </cell>
          <cell r="R307">
            <v>0.99999997777777772</v>
          </cell>
          <cell r="S307">
            <v>2.2222222284540294E-8</v>
          </cell>
          <cell r="T307">
            <v>0</v>
          </cell>
        </row>
        <row r="308">
          <cell r="Q308">
            <v>234</v>
          </cell>
          <cell r="R308">
            <v>0.99999997777777772</v>
          </cell>
          <cell r="S308">
            <v>2.2222222284540294E-8</v>
          </cell>
          <cell r="T308">
            <v>0</v>
          </cell>
        </row>
        <row r="309">
          <cell r="Q309">
            <v>233</v>
          </cell>
          <cell r="R309">
            <v>0.99999997777777772</v>
          </cell>
          <cell r="S309">
            <v>2.2222222284540294E-8</v>
          </cell>
          <cell r="T309">
            <v>0</v>
          </cell>
        </row>
        <row r="310">
          <cell r="Q310">
            <v>232</v>
          </cell>
          <cell r="R310">
            <v>0.99999997777777772</v>
          </cell>
          <cell r="S310">
            <v>2.2222222284540294E-8</v>
          </cell>
          <cell r="T310">
            <v>0</v>
          </cell>
        </row>
        <row r="311">
          <cell r="Q311">
            <v>231</v>
          </cell>
          <cell r="R311">
            <v>0.99999997777777772</v>
          </cell>
          <cell r="S311">
            <v>2.2222222284540294E-8</v>
          </cell>
          <cell r="T311">
            <v>0</v>
          </cell>
        </row>
        <row r="312">
          <cell r="Q312">
            <v>230</v>
          </cell>
          <cell r="R312">
            <v>0.99999997777777772</v>
          </cell>
          <cell r="S312">
            <v>2.2222222284540294E-8</v>
          </cell>
          <cell r="T312">
            <v>0</v>
          </cell>
        </row>
        <row r="313">
          <cell r="Q313">
            <v>229</v>
          </cell>
          <cell r="R313">
            <v>0.99999997777777772</v>
          </cell>
          <cell r="S313">
            <v>2.2222222284540294E-8</v>
          </cell>
          <cell r="T313">
            <v>0</v>
          </cell>
        </row>
        <row r="314">
          <cell r="Q314">
            <v>228</v>
          </cell>
          <cell r="R314">
            <v>0.99999997777777772</v>
          </cell>
          <cell r="S314">
            <v>2.2222222284540294E-8</v>
          </cell>
          <cell r="T314">
            <v>0</v>
          </cell>
        </row>
        <row r="315">
          <cell r="Q315">
            <v>227</v>
          </cell>
          <cell r="R315">
            <v>0.99999997777777772</v>
          </cell>
          <cell r="S315">
            <v>2.2222222284540294E-8</v>
          </cell>
          <cell r="T315">
            <v>0</v>
          </cell>
        </row>
        <row r="316">
          <cell r="Q316">
            <v>226</v>
          </cell>
          <cell r="R316">
            <v>0.99999997777777772</v>
          </cell>
          <cell r="S316">
            <v>2.2222222284540294E-8</v>
          </cell>
          <cell r="T316">
            <v>0</v>
          </cell>
        </row>
        <row r="317">
          <cell r="Q317">
            <v>225</v>
          </cell>
          <cell r="R317">
            <v>0.99999997777777772</v>
          </cell>
          <cell r="S317">
            <v>2.2222222284540294E-8</v>
          </cell>
          <cell r="T317">
            <v>0</v>
          </cell>
        </row>
        <row r="318">
          <cell r="Q318">
            <v>224</v>
          </cell>
          <cell r="R318">
            <v>0.99999997777777772</v>
          </cell>
          <cell r="S318">
            <v>2.2222222284540294E-8</v>
          </cell>
          <cell r="T318">
            <v>0</v>
          </cell>
        </row>
        <row r="319">
          <cell r="Q319">
            <v>223</v>
          </cell>
          <cell r="R319">
            <v>0.99999997777777772</v>
          </cell>
          <cell r="S319">
            <v>2.2222222284540294E-8</v>
          </cell>
          <cell r="T319">
            <v>0</v>
          </cell>
        </row>
        <row r="320">
          <cell r="Q320">
            <v>222</v>
          </cell>
          <cell r="R320">
            <v>0.99999997777777772</v>
          </cell>
          <cell r="S320">
            <v>2.2222222284540294E-8</v>
          </cell>
          <cell r="T320">
            <v>0</v>
          </cell>
        </row>
        <row r="321">
          <cell r="Q321">
            <v>221</v>
          </cell>
          <cell r="R321">
            <v>0.99999997777777772</v>
          </cell>
          <cell r="S321">
            <v>2.2222222284540294E-8</v>
          </cell>
          <cell r="T321">
            <v>0</v>
          </cell>
        </row>
        <row r="322">
          <cell r="Q322">
            <v>220</v>
          </cell>
          <cell r="R322">
            <v>0.99999997777777772</v>
          </cell>
          <cell r="S322">
            <v>2.2222222284540294E-8</v>
          </cell>
          <cell r="T322">
            <v>0</v>
          </cell>
        </row>
        <row r="323">
          <cell r="Q323">
            <v>219</v>
          </cell>
          <cell r="R323">
            <v>0.99999997777777772</v>
          </cell>
          <cell r="S323">
            <v>2.2222222284540294E-8</v>
          </cell>
          <cell r="T323">
            <v>0</v>
          </cell>
        </row>
        <row r="324">
          <cell r="Q324">
            <v>218</v>
          </cell>
          <cell r="R324">
            <v>0.99999997777777772</v>
          </cell>
          <cell r="S324">
            <v>2.2222222284540294E-8</v>
          </cell>
          <cell r="T324">
            <v>0</v>
          </cell>
        </row>
        <row r="325">
          <cell r="Q325">
            <v>217</v>
          </cell>
          <cell r="R325">
            <v>0.99999997777777772</v>
          </cell>
          <cell r="S325">
            <v>2.2222222284540294E-8</v>
          </cell>
          <cell r="T325">
            <v>0</v>
          </cell>
        </row>
        <row r="326">
          <cell r="Q326">
            <v>216</v>
          </cell>
          <cell r="R326">
            <v>0.99999997777777772</v>
          </cell>
          <cell r="S326">
            <v>2.2222222284540294E-8</v>
          </cell>
          <cell r="T326">
            <v>0</v>
          </cell>
        </row>
        <row r="327">
          <cell r="Q327">
            <v>215</v>
          </cell>
          <cell r="R327">
            <v>0.99999997777777772</v>
          </cell>
          <cell r="S327">
            <v>2.2222222284540294E-8</v>
          </cell>
          <cell r="T327">
            <v>0</v>
          </cell>
        </row>
        <row r="328">
          <cell r="Q328">
            <v>214</v>
          </cell>
          <cell r="R328">
            <v>0.99999997777777772</v>
          </cell>
          <cell r="S328">
            <v>2.2222222284540294E-8</v>
          </cell>
          <cell r="T328">
            <v>0</v>
          </cell>
        </row>
        <row r="329">
          <cell r="Q329">
            <v>213</v>
          </cell>
          <cell r="R329">
            <v>0.99999997777777772</v>
          </cell>
          <cell r="S329">
            <v>2.2222222284540294E-8</v>
          </cell>
          <cell r="T329">
            <v>0</v>
          </cell>
        </row>
        <row r="330">
          <cell r="Q330">
            <v>212</v>
          </cell>
          <cell r="R330">
            <v>0.99999997777777772</v>
          </cell>
          <cell r="S330">
            <v>2.2222222284540294E-8</v>
          </cell>
          <cell r="T330">
            <v>0</v>
          </cell>
        </row>
        <row r="331">
          <cell r="Q331">
            <v>211</v>
          </cell>
          <cell r="R331">
            <v>0.99999997777777772</v>
          </cell>
          <cell r="S331">
            <v>2.2222222284540294E-8</v>
          </cell>
          <cell r="T331">
            <v>0</v>
          </cell>
        </row>
        <row r="332">
          <cell r="Q332">
            <v>210</v>
          </cell>
          <cell r="R332">
            <v>0.99999997777777772</v>
          </cell>
          <cell r="S332">
            <v>2.2222222284540294E-8</v>
          </cell>
          <cell r="T332">
            <v>0</v>
          </cell>
        </row>
        <row r="333">
          <cell r="Q333">
            <v>209</v>
          </cell>
          <cell r="R333">
            <v>0.99999997777777772</v>
          </cell>
          <cell r="S333">
            <v>2.2222222284540294E-8</v>
          </cell>
          <cell r="T333">
            <v>0</v>
          </cell>
        </row>
        <row r="334">
          <cell r="Q334">
            <v>208</v>
          </cell>
          <cell r="R334">
            <v>0.99999997777777772</v>
          </cell>
          <cell r="S334">
            <v>2.2222222284540294E-8</v>
          </cell>
          <cell r="T334">
            <v>0</v>
          </cell>
        </row>
        <row r="335">
          <cell r="Q335">
            <v>207</v>
          </cell>
          <cell r="R335">
            <v>0.99999997777777772</v>
          </cell>
          <cell r="S335">
            <v>2.2222222284540294E-8</v>
          </cell>
          <cell r="T335">
            <v>0</v>
          </cell>
        </row>
        <row r="336">
          <cell r="Q336">
            <v>206</v>
          </cell>
          <cell r="R336">
            <v>0.99999997777777772</v>
          </cell>
          <cell r="S336">
            <v>2.2222222284540294E-8</v>
          </cell>
          <cell r="T336">
            <v>0</v>
          </cell>
        </row>
        <row r="337">
          <cell r="Q337">
            <v>205</v>
          </cell>
          <cell r="R337">
            <v>0.99999997777777772</v>
          </cell>
          <cell r="S337">
            <v>2.2222222284540294E-8</v>
          </cell>
          <cell r="T337">
            <v>0</v>
          </cell>
        </row>
        <row r="338">
          <cell r="Q338">
            <v>204</v>
          </cell>
          <cell r="R338">
            <v>0.99999997777777772</v>
          </cell>
          <cell r="S338">
            <v>2.2222222284540294E-8</v>
          </cell>
          <cell r="T338">
            <v>0</v>
          </cell>
        </row>
        <row r="339">
          <cell r="Q339">
            <v>203</v>
          </cell>
          <cell r="R339">
            <v>0.99999997777777772</v>
          </cell>
          <cell r="S339">
            <v>2.2222222284540294E-8</v>
          </cell>
          <cell r="T339">
            <v>0</v>
          </cell>
        </row>
        <row r="340">
          <cell r="Q340">
            <v>202</v>
          </cell>
          <cell r="R340">
            <v>0.99999997777777772</v>
          </cell>
          <cell r="S340">
            <v>2.2222222284540294E-8</v>
          </cell>
          <cell r="T340">
            <v>0</v>
          </cell>
        </row>
        <row r="341">
          <cell r="Q341">
            <v>201</v>
          </cell>
          <cell r="R341">
            <v>0.99999997777777772</v>
          </cell>
          <cell r="S341">
            <v>2.2222222284540294E-8</v>
          </cell>
          <cell r="T341">
            <v>0</v>
          </cell>
        </row>
        <row r="342">
          <cell r="Q342">
            <v>200</v>
          </cell>
          <cell r="R342">
            <v>0.99999997777777772</v>
          </cell>
          <cell r="S342">
            <v>2.2222222284540294E-8</v>
          </cell>
          <cell r="T342">
            <v>0</v>
          </cell>
        </row>
        <row r="343">
          <cell r="Q343">
            <v>199</v>
          </cell>
          <cell r="R343">
            <v>0.99999997777777772</v>
          </cell>
          <cell r="S343">
            <v>2.2222222284540294E-8</v>
          </cell>
          <cell r="T343">
            <v>0</v>
          </cell>
        </row>
        <row r="344">
          <cell r="Q344">
            <v>198</v>
          </cell>
          <cell r="R344">
            <v>0.99999997777777772</v>
          </cell>
          <cell r="S344">
            <v>2.2222222284540294E-8</v>
          </cell>
          <cell r="T344">
            <v>0</v>
          </cell>
        </row>
        <row r="345">
          <cell r="Q345">
            <v>197</v>
          </cell>
          <cell r="R345">
            <v>0.99999997777777772</v>
          </cell>
          <cell r="S345">
            <v>2.2222222284540294E-8</v>
          </cell>
          <cell r="T345">
            <v>0</v>
          </cell>
        </row>
        <row r="346">
          <cell r="Q346">
            <v>196</v>
          </cell>
          <cell r="R346">
            <v>0.99999997777777772</v>
          </cell>
          <cell r="S346">
            <v>2.2222222284540294E-8</v>
          </cell>
          <cell r="T346">
            <v>0</v>
          </cell>
        </row>
        <row r="347">
          <cell r="Q347">
            <v>195</v>
          </cell>
          <cell r="R347">
            <v>0.99999997777777772</v>
          </cell>
          <cell r="S347">
            <v>2.2222222284540294E-8</v>
          </cell>
          <cell r="T347">
            <v>0</v>
          </cell>
        </row>
        <row r="348">
          <cell r="Q348">
            <v>194</v>
          </cell>
          <cell r="R348">
            <v>0.99999997777777772</v>
          </cell>
          <cell r="S348">
            <v>2.2222222284540294E-8</v>
          </cell>
          <cell r="T348">
            <v>0</v>
          </cell>
        </row>
        <row r="349">
          <cell r="Q349">
            <v>193</v>
          </cell>
          <cell r="R349">
            <v>0.99999997777777772</v>
          </cell>
          <cell r="S349">
            <v>2.2222222284540294E-8</v>
          </cell>
          <cell r="T349">
            <v>0</v>
          </cell>
        </row>
        <row r="350">
          <cell r="Q350">
            <v>192</v>
          </cell>
          <cell r="R350">
            <v>0.99999997777777772</v>
          </cell>
          <cell r="S350">
            <v>2.2222222284540294E-8</v>
          </cell>
          <cell r="T350">
            <v>0</v>
          </cell>
        </row>
        <row r="351">
          <cell r="Q351">
            <v>191</v>
          </cell>
          <cell r="R351">
            <v>0.99999997777777772</v>
          </cell>
          <cell r="S351">
            <v>2.2222222284540294E-8</v>
          </cell>
          <cell r="T351">
            <v>0</v>
          </cell>
        </row>
        <row r="352">
          <cell r="Q352">
            <v>190</v>
          </cell>
          <cell r="R352">
            <v>0.99999997777777772</v>
          </cell>
          <cell r="S352">
            <v>2.2222222284540294E-8</v>
          </cell>
          <cell r="T352">
            <v>0</v>
          </cell>
        </row>
        <row r="353">
          <cell r="Q353">
            <v>189</v>
          </cell>
          <cell r="R353">
            <v>0.99999997777777772</v>
          </cell>
          <cell r="S353">
            <v>2.2222222284540294E-8</v>
          </cell>
          <cell r="T353">
            <v>0</v>
          </cell>
        </row>
        <row r="354">
          <cell r="Q354">
            <v>188</v>
          </cell>
          <cell r="R354">
            <v>0.99999997777777772</v>
          </cell>
          <cell r="S354">
            <v>2.2222222284540294E-8</v>
          </cell>
          <cell r="T354">
            <v>0</v>
          </cell>
        </row>
        <row r="355">
          <cell r="Q355">
            <v>187</v>
          </cell>
          <cell r="R355">
            <v>0.99999997777777772</v>
          </cell>
          <cell r="S355">
            <v>2.2222222284540294E-8</v>
          </cell>
          <cell r="T355">
            <v>0</v>
          </cell>
        </row>
        <row r="356">
          <cell r="Q356">
            <v>186</v>
          </cell>
          <cell r="R356">
            <v>0.99999997777777772</v>
          </cell>
          <cell r="S356">
            <v>2.2222222284540294E-8</v>
          </cell>
          <cell r="T356">
            <v>0</v>
          </cell>
        </row>
        <row r="357">
          <cell r="Q357">
            <v>185</v>
          </cell>
          <cell r="R357">
            <v>0.99999997777777772</v>
          </cell>
          <cell r="S357">
            <v>2.2222222284540294E-8</v>
          </cell>
          <cell r="T357">
            <v>0</v>
          </cell>
        </row>
        <row r="358">
          <cell r="Q358">
            <v>184</v>
          </cell>
          <cell r="R358">
            <v>0.99999997777777772</v>
          </cell>
          <cell r="S358">
            <v>2.2222222284540294E-8</v>
          </cell>
          <cell r="T358">
            <v>0</v>
          </cell>
        </row>
        <row r="359">
          <cell r="Q359">
            <v>183</v>
          </cell>
          <cell r="R359">
            <v>0.99999997777777772</v>
          </cell>
          <cell r="S359">
            <v>2.2222222284540294E-8</v>
          </cell>
          <cell r="T359">
            <v>0</v>
          </cell>
        </row>
        <row r="360">
          <cell r="Q360">
            <v>182</v>
          </cell>
          <cell r="R360">
            <v>0.99999997777777772</v>
          </cell>
          <cell r="S360">
            <v>2.2222222284540294E-8</v>
          </cell>
          <cell r="T360">
            <v>0</v>
          </cell>
        </row>
        <row r="361">
          <cell r="Q361">
            <v>181</v>
          </cell>
          <cell r="R361">
            <v>0.99999997777777772</v>
          </cell>
          <cell r="S361">
            <v>2.2222222284540294E-8</v>
          </cell>
          <cell r="T361">
            <v>0</v>
          </cell>
        </row>
        <row r="362">
          <cell r="Q362">
            <v>180</v>
          </cell>
          <cell r="R362">
            <v>0.99999997777777772</v>
          </cell>
          <cell r="S362">
            <v>2.2222222284540294E-8</v>
          </cell>
          <cell r="T362">
            <v>0</v>
          </cell>
        </row>
        <row r="363">
          <cell r="Q363">
            <v>179</v>
          </cell>
          <cell r="R363">
            <v>0.99999997777777772</v>
          </cell>
          <cell r="S363">
            <v>2.2222222284540294E-8</v>
          </cell>
          <cell r="T363">
            <v>0</v>
          </cell>
        </row>
        <row r="364">
          <cell r="Q364">
            <v>178</v>
          </cell>
          <cell r="R364">
            <v>0.99999997777777772</v>
          </cell>
          <cell r="S364">
            <v>2.2222222284540294E-8</v>
          </cell>
          <cell r="T364">
            <v>0</v>
          </cell>
        </row>
        <row r="365">
          <cell r="Q365">
            <v>177</v>
          </cell>
          <cell r="R365">
            <v>0.99999997777777772</v>
          </cell>
          <cell r="S365">
            <v>2.2222222284540294E-8</v>
          </cell>
          <cell r="T365">
            <v>0</v>
          </cell>
        </row>
        <row r="366">
          <cell r="Q366">
            <v>176</v>
          </cell>
          <cell r="R366">
            <v>0.99999997777777772</v>
          </cell>
          <cell r="S366">
            <v>2.2222222284540294E-8</v>
          </cell>
          <cell r="T366">
            <v>0</v>
          </cell>
        </row>
        <row r="367">
          <cell r="Q367">
            <v>175</v>
          </cell>
          <cell r="R367">
            <v>0.99999997777777772</v>
          </cell>
          <cell r="S367">
            <v>2.2222222284540294E-8</v>
          </cell>
          <cell r="T367">
            <v>0</v>
          </cell>
        </row>
        <row r="368">
          <cell r="Q368">
            <v>174</v>
          </cell>
          <cell r="R368">
            <v>0.99999997777777772</v>
          </cell>
          <cell r="S368">
            <v>2.2222222284540294E-8</v>
          </cell>
          <cell r="T368">
            <v>0</v>
          </cell>
        </row>
        <row r="369">
          <cell r="Q369">
            <v>173</v>
          </cell>
          <cell r="R369">
            <v>0.99999997777777772</v>
          </cell>
          <cell r="S369">
            <v>2.2222222284540294E-8</v>
          </cell>
          <cell r="T369">
            <v>0</v>
          </cell>
        </row>
        <row r="370">
          <cell r="Q370">
            <v>172</v>
          </cell>
          <cell r="R370">
            <v>0.99999997777777772</v>
          </cell>
          <cell r="S370">
            <v>2.2222222284540294E-8</v>
          </cell>
          <cell r="T370">
            <v>0</v>
          </cell>
        </row>
        <row r="371">
          <cell r="Q371">
            <v>171</v>
          </cell>
          <cell r="R371">
            <v>0.99999997777777772</v>
          </cell>
          <cell r="S371">
            <v>2.2222222284540294E-8</v>
          </cell>
          <cell r="T371">
            <v>0</v>
          </cell>
        </row>
        <row r="372">
          <cell r="Q372">
            <v>170</v>
          </cell>
          <cell r="R372">
            <v>0.99999997777777772</v>
          </cell>
          <cell r="S372">
            <v>2.2222222284540294E-8</v>
          </cell>
          <cell r="T372">
            <v>0</v>
          </cell>
        </row>
        <row r="373">
          <cell r="Q373">
            <v>169</v>
          </cell>
          <cell r="R373">
            <v>0.99999997777777772</v>
          </cell>
          <cell r="S373">
            <v>2.2222222284540294E-8</v>
          </cell>
          <cell r="T373">
            <v>0</v>
          </cell>
        </row>
        <row r="374">
          <cell r="Q374">
            <v>168</v>
          </cell>
          <cell r="R374">
            <v>0.99999997777777772</v>
          </cell>
          <cell r="S374">
            <v>2.2222222284540294E-8</v>
          </cell>
          <cell r="T374">
            <v>0</v>
          </cell>
        </row>
        <row r="375">
          <cell r="Q375">
            <v>167</v>
          </cell>
          <cell r="R375">
            <v>0.99999997777777772</v>
          </cell>
          <cell r="S375">
            <v>2.2222222284540294E-8</v>
          </cell>
          <cell r="T375">
            <v>0</v>
          </cell>
        </row>
        <row r="376">
          <cell r="Q376">
            <v>166</v>
          </cell>
          <cell r="R376">
            <v>0.99999997777777772</v>
          </cell>
          <cell r="S376">
            <v>2.2222222284540294E-8</v>
          </cell>
          <cell r="T376">
            <v>0</v>
          </cell>
        </row>
        <row r="377">
          <cell r="Q377">
            <v>165</v>
          </cell>
          <cell r="R377">
            <v>0.99999997777777772</v>
          </cell>
          <cell r="S377">
            <v>2.2222222284540294E-8</v>
          </cell>
          <cell r="T377">
            <v>0</v>
          </cell>
        </row>
        <row r="378">
          <cell r="Q378">
            <v>164</v>
          </cell>
          <cell r="R378">
            <v>0.99999997777777772</v>
          </cell>
          <cell r="S378">
            <v>2.2222222284540294E-8</v>
          </cell>
          <cell r="T378">
            <v>0</v>
          </cell>
        </row>
        <row r="379">
          <cell r="Q379">
            <v>163</v>
          </cell>
          <cell r="R379">
            <v>0.99999997777777772</v>
          </cell>
          <cell r="S379">
            <v>2.2222222284540294E-8</v>
          </cell>
          <cell r="T379">
            <v>0</v>
          </cell>
        </row>
        <row r="380">
          <cell r="Q380">
            <v>162</v>
          </cell>
          <cell r="R380">
            <v>0.99999997777777772</v>
          </cell>
          <cell r="S380">
            <v>2.2222222284540294E-8</v>
          </cell>
          <cell r="T380">
            <v>0</v>
          </cell>
        </row>
        <row r="381">
          <cell r="Q381">
            <v>161</v>
          </cell>
          <cell r="R381">
            <v>0.99999997777777772</v>
          </cell>
          <cell r="S381">
            <v>2.2222222284540294E-8</v>
          </cell>
          <cell r="T381">
            <v>0</v>
          </cell>
        </row>
        <row r="382">
          <cell r="Q382">
            <v>160</v>
          </cell>
          <cell r="R382">
            <v>0.99999997777777772</v>
          </cell>
          <cell r="S382">
            <v>2.2222222284540294E-8</v>
          </cell>
          <cell r="T382">
            <v>0</v>
          </cell>
        </row>
        <row r="383">
          <cell r="Q383">
            <v>159</v>
          </cell>
          <cell r="R383">
            <v>0.99999997777777772</v>
          </cell>
          <cell r="S383">
            <v>2.2222222284540294E-8</v>
          </cell>
          <cell r="T383">
            <v>0</v>
          </cell>
        </row>
        <row r="384">
          <cell r="Q384">
            <v>158</v>
          </cell>
          <cell r="R384">
            <v>0.99999997777777772</v>
          </cell>
          <cell r="S384">
            <v>2.2222222284540294E-8</v>
          </cell>
          <cell r="T384">
            <v>0</v>
          </cell>
        </row>
        <row r="385">
          <cell r="Q385">
            <v>157</v>
          </cell>
          <cell r="R385">
            <v>0.99999997777777772</v>
          </cell>
          <cell r="S385">
            <v>2.2222222284540294E-8</v>
          </cell>
          <cell r="T385">
            <v>0</v>
          </cell>
        </row>
        <row r="386">
          <cell r="Q386">
            <v>156</v>
          </cell>
          <cell r="R386">
            <v>0.99999997777777772</v>
          </cell>
          <cell r="S386">
            <v>2.2222222284540294E-8</v>
          </cell>
          <cell r="T386">
            <v>0</v>
          </cell>
        </row>
        <row r="387">
          <cell r="Q387">
            <v>155</v>
          </cell>
          <cell r="R387">
            <v>0.99999997777777772</v>
          </cell>
          <cell r="S387">
            <v>2.2222222284540294E-8</v>
          </cell>
          <cell r="T387">
            <v>0</v>
          </cell>
        </row>
        <row r="388">
          <cell r="Q388">
            <v>154</v>
          </cell>
          <cell r="R388">
            <v>0.99999997777777772</v>
          </cell>
          <cell r="S388">
            <v>2.2222222284540294E-8</v>
          </cell>
          <cell r="T388">
            <v>0</v>
          </cell>
        </row>
        <row r="389">
          <cell r="Q389">
            <v>153</v>
          </cell>
          <cell r="R389">
            <v>0.99999997777777772</v>
          </cell>
          <cell r="S389">
            <v>2.2222222284540294E-8</v>
          </cell>
          <cell r="T389">
            <v>0</v>
          </cell>
        </row>
        <row r="390">
          <cell r="Q390">
            <v>152</v>
          </cell>
          <cell r="R390">
            <v>0.99999997777777772</v>
          </cell>
          <cell r="S390">
            <v>2.2222222284540294E-8</v>
          </cell>
          <cell r="T390">
            <v>0</v>
          </cell>
        </row>
        <row r="391">
          <cell r="Q391">
            <v>151</v>
          </cell>
          <cell r="R391">
            <v>0.99999997777777772</v>
          </cell>
          <cell r="S391">
            <v>2.2222222284540294E-8</v>
          </cell>
          <cell r="T391">
            <v>0</v>
          </cell>
        </row>
        <row r="392">
          <cell r="Q392">
            <v>150</v>
          </cell>
          <cell r="R392">
            <v>0.99999997777777772</v>
          </cell>
          <cell r="S392">
            <v>2.2222222284540294E-8</v>
          </cell>
          <cell r="T392">
            <v>0</v>
          </cell>
        </row>
        <row r="393">
          <cell r="Q393">
            <v>149</v>
          </cell>
          <cell r="R393">
            <v>0.99999997777777772</v>
          </cell>
          <cell r="S393">
            <v>2.2222222284540294E-8</v>
          </cell>
          <cell r="T393">
            <v>0</v>
          </cell>
        </row>
        <row r="394">
          <cell r="Q394">
            <v>148</v>
          </cell>
          <cell r="R394">
            <v>0.99999997777777772</v>
          </cell>
          <cell r="S394">
            <v>2.2222222284540294E-8</v>
          </cell>
          <cell r="T394">
            <v>0</v>
          </cell>
        </row>
        <row r="395">
          <cell r="Q395">
            <v>147</v>
          </cell>
          <cell r="R395">
            <v>0.99999997777777772</v>
          </cell>
          <cell r="S395">
            <v>2.2222222284540294E-8</v>
          </cell>
          <cell r="T395">
            <v>0</v>
          </cell>
        </row>
        <row r="396">
          <cell r="Q396">
            <v>146</v>
          </cell>
          <cell r="R396">
            <v>0.99999997777777772</v>
          </cell>
          <cell r="S396">
            <v>2.2222222284540294E-8</v>
          </cell>
          <cell r="T396">
            <v>0</v>
          </cell>
        </row>
        <row r="397">
          <cell r="Q397">
            <v>145</v>
          </cell>
          <cell r="R397">
            <v>0.99999997777777772</v>
          </cell>
          <cell r="S397">
            <v>2.2222222284540294E-8</v>
          </cell>
          <cell r="T397">
            <v>0</v>
          </cell>
        </row>
        <row r="398">
          <cell r="Q398">
            <v>144</v>
          </cell>
          <cell r="R398">
            <v>0.99999997777777772</v>
          </cell>
          <cell r="S398">
            <v>2.2222222284540294E-8</v>
          </cell>
          <cell r="T398">
            <v>0</v>
          </cell>
        </row>
        <row r="399">
          <cell r="Q399">
            <v>143</v>
          </cell>
          <cell r="R399">
            <v>0.99999997777777772</v>
          </cell>
          <cell r="S399">
            <v>2.2222222284540294E-8</v>
          </cell>
          <cell r="T399">
            <v>0</v>
          </cell>
        </row>
        <row r="400">
          <cell r="Q400">
            <v>142</v>
          </cell>
          <cell r="R400">
            <v>0.99999997777777772</v>
          </cell>
          <cell r="S400">
            <v>2.2222222284540294E-8</v>
          </cell>
          <cell r="T400">
            <v>0</v>
          </cell>
        </row>
        <row r="401">
          <cell r="Q401">
            <v>141</v>
          </cell>
          <cell r="R401">
            <v>0.99999997777777772</v>
          </cell>
          <cell r="S401">
            <v>2.2222222284540294E-8</v>
          </cell>
          <cell r="T401">
            <v>0</v>
          </cell>
        </row>
        <row r="402">
          <cell r="Q402">
            <v>140</v>
          </cell>
          <cell r="R402">
            <v>0.99999997777777772</v>
          </cell>
          <cell r="S402">
            <v>2.2222222284540294E-8</v>
          </cell>
          <cell r="T402">
            <v>0</v>
          </cell>
        </row>
        <row r="403">
          <cell r="Q403">
            <v>139</v>
          </cell>
          <cell r="R403">
            <v>0.99999997777777772</v>
          </cell>
          <cell r="S403">
            <v>2.2222222284540294E-8</v>
          </cell>
          <cell r="T403">
            <v>0</v>
          </cell>
        </row>
        <row r="404">
          <cell r="Q404">
            <v>138</v>
          </cell>
          <cell r="R404">
            <v>0.99999997777777772</v>
          </cell>
          <cell r="S404">
            <v>2.2222222284540294E-8</v>
          </cell>
          <cell r="T404">
            <v>0</v>
          </cell>
        </row>
        <row r="405">
          <cell r="Q405">
            <v>137</v>
          </cell>
          <cell r="R405">
            <v>0.99999997777777772</v>
          </cell>
          <cell r="S405">
            <v>2.2222222284540294E-8</v>
          </cell>
          <cell r="T405">
            <v>0</v>
          </cell>
        </row>
        <row r="406">
          <cell r="Q406">
            <v>136</v>
          </cell>
          <cell r="R406">
            <v>0.99999997777777772</v>
          </cell>
          <cell r="S406">
            <v>2.2222222284540294E-8</v>
          </cell>
          <cell r="T406">
            <v>0</v>
          </cell>
        </row>
        <row r="407">
          <cell r="Q407">
            <v>135</v>
          </cell>
          <cell r="R407">
            <v>0.99999997777777772</v>
          </cell>
          <cell r="S407">
            <v>2.2222222284540294E-8</v>
          </cell>
          <cell r="T407">
            <v>0</v>
          </cell>
        </row>
        <row r="408">
          <cell r="Q408">
            <v>134</v>
          </cell>
          <cell r="R408">
            <v>0.99999997777777772</v>
          </cell>
          <cell r="S408">
            <v>2.2222222284540294E-8</v>
          </cell>
          <cell r="T408">
            <v>0</v>
          </cell>
        </row>
        <row r="409">
          <cell r="Q409">
            <v>133</v>
          </cell>
          <cell r="R409">
            <v>0.99999997777777772</v>
          </cell>
          <cell r="S409">
            <v>2.2222222284540294E-8</v>
          </cell>
          <cell r="T409">
            <v>0</v>
          </cell>
        </row>
        <row r="410">
          <cell r="Q410">
            <v>132</v>
          </cell>
          <cell r="R410">
            <v>0.99999997777777772</v>
          </cell>
          <cell r="S410">
            <v>2.2222222284540294E-8</v>
          </cell>
          <cell r="T410">
            <v>0</v>
          </cell>
        </row>
        <row r="411">
          <cell r="Q411">
            <v>131</v>
          </cell>
          <cell r="R411">
            <v>0.99999997777777772</v>
          </cell>
          <cell r="S411">
            <v>2.2222222284540294E-8</v>
          </cell>
          <cell r="T411">
            <v>0</v>
          </cell>
        </row>
        <row r="412">
          <cell r="Q412">
            <v>130</v>
          </cell>
          <cell r="R412">
            <v>0.99999997777777772</v>
          </cell>
          <cell r="S412">
            <v>2.2222222284540294E-8</v>
          </cell>
          <cell r="T412">
            <v>0</v>
          </cell>
        </row>
        <row r="413">
          <cell r="Q413">
            <v>129</v>
          </cell>
          <cell r="R413">
            <v>0.99999997777777772</v>
          </cell>
          <cell r="S413">
            <v>2.2222222284540294E-8</v>
          </cell>
          <cell r="T413">
            <v>0</v>
          </cell>
        </row>
        <row r="414">
          <cell r="Q414">
            <v>128</v>
          </cell>
          <cell r="R414">
            <v>0.99999997777777772</v>
          </cell>
          <cell r="S414">
            <v>2.2222222284540294E-8</v>
          </cell>
          <cell r="T414">
            <v>0</v>
          </cell>
        </row>
        <row r="415">
          <cell r="Q415">
            <v>127</v>
          </cell>
          <cell r="R415">
            <v>0.99999997777777772</v>
          </cell>
          <cell r="S415">
            <v>2.2222222284540294E-8</v>
          </cell>
          <cell r="T415">
            <v>0</v>
          </cell>
        </row>
        <row r="416">
          <cell r="Q416">
            <v>126</v>
          </cell>
          <cell r="R416">
            <v>0.99999997777777772</v>
          </cell>
          <cell r="S416">
            <v>2.2222222284540294E-8</v>
          </cell>
          <cell r="T416">
            <v>0</v>
          </cell>
        </row>
        <row r="417">
          <cell r="Q417">
            <v>125</v>
          </cell>
          <cell r="R417">
            <v>0.99999997777777772</v>
          </cell>
          <cell r="S417">
            <v>2.2222222284540294E-8</v>
          </cell>
          <cell r="T417">
            <v>0</v>
          </cell>
        </row>
        <row r="418">
          <cell r="Q418">
            <v>124</v>
          </cell>
          <cell r="R418">
            <v>0.99999997777777772</v>
          </cell>
          <cell r="S418">
            <v>2.2222222284540294E-8</v>
          </cell>
          <cell r="T418">
            <v>0</v>
          </cell>
        </row>
        <row r="419">
          <cell r="Q419">
            <v>123</v>
          </cell>
          <cell r="R419">
            <v>0.99999997777777772</v>
          </cell>
          <cell r="S419">
            <v>2.2222222284540294E-8</v>
          </cell>
          <cell r="T419">
            <v>0</v>
          </cell>
        </row>
        <row r="420">
          <cell r="Q420">
            <v>122</v>
          </cell>
          <cell r="R420">
            <v>0.99999997777777772</v>
          </cell>
          <cell r="S420">
            <v>2.2222222284540294E-8</v>
          </cell>
          <cell r="T420">
            <v>0</v>
          </cell>
        </row>
        <row r="421">
          <cell r="Q421">
            <v>121</v>
          </cell>
          <cell r="R421">
            <v>0.99999997777777772</v>
          </cell>
          <cell r="S421">
            <v>2.2222222284540294E-8</v>
          </cell>
          <cell r="T421">
            <v>0</v>
          </cell>
        </row>
        <row r="422">
          <cell r="Q422">
            <v>120</v>
          </cell>
          <cell r="R422">
            <v>0.99999997777777772</v>
          </cell>
          <cell r="S422">
            <v>2.2222222284540294E-8</v>
          </cell>
          <cell r="T422">
            <v>0</v>
          </cell>
        </row>
        <row r="423">
          <cell r="Q423">
            <v>119</v>
          </cell>
          <cell r="R423">
            <v>0.98765707925359292</v>
          </cell>
          <cell r="S423">
            <v>1.2342920746407101E-2</v>
          </cell>
          <cell r="T423">
            <v>0</v>
          </cell>
        </row>
        <row r="424">
          <cell r="Q424">
            <v>118</v>
          </cell>
          <cell r="R424">
            <v>0.97531418072940812</v>
          </cell>
          <cell r="S424">
            <v>2.4685819270591918E-2</v>
          </cell>
          <cell r="T424">
            <v>0</v>
          </cell>
        </row>
        <row r="425">
          <cell r="Q425">
            <v>117</v>
          </cell>
          <cell r="R425">
            <v>0.96297128220522321</v>
          </cell>
          <cell r="S425">
            <v>3.7028717794776733E-2</v>
          </cell>
          <cell r="T425">
            <v>0</v>
          </cell>
        </row>
        <row r="426">
          <cell r="Q426">
            <v>116</v>
          </cell>
          <cell r="R426">
            <v>0.95062838368103841</v>
          </cell>
          <cell r="S426">
            <v>4.9371616318961552E-2</v>
          </cell>
          <cell r="T426">
            <v>0</v>
          </cell>
        </row>
        <row r="427">
          <cell r="Q427">
            <v>115</v>
          </cell>
          <cell r="R427">
            <v>0.93828548515685362</v>
          </cell>
          <cell r="S427">
            <v>6.1714514843146363E-2</v>
          </cell>
          <cell r="T427">
            <v>0</v>
          </cell>
        </row>
        <row r="428">
          <cell r="Q428">
            <v>114</v>
          </cell>
          <cell r="R428">
            <v>0.92594258663266882</v>
          </cell>
          <cell r="S428">
            <v>7.4057413367331182E-2</v>
          </cell>
          <cell r="T428">
            <v>0</v>
          </cell>
        </row>
        <row r="429">
          <cell r="Q429">
            <v>113</v>
          </cell>
          <cell r="R429">
            <v>0.91359968810848402</v>
          </cell>
          <cell r="S429">
            <v>8.6400311891515993E-2</v>
          </cell>
          <cell r="T429">
            <v>0</v>
          </cell>
        </row>
        <row r="430">
          <cell r="Q430">
            <v>112</v>
          </cell>
          <cell r="R430">
            <v>0.90125678958429922</v>
          </cell>
          <cell r="S430">
            <v>9.8743210415700819E-2</v>
          </cell>
          <cell r="T430">
            <v>0</v>
          </cell>
        </row>
        <row r="431">
          <cell r="Q431">
            <v>111</v>
          </cell>
          <cell r="R431">
            <v>0.88891389106011443</v>
          </cell>
          <cell r="S431">
            <v>0.11108610893988563</v>
          </cell>
          <cell r="T431">
            <v>0</v>
          </cell>
        </row>
        <row r="432">
          <cell r="Q432">
            <v>110</v>
          </cell>
          <cell r="R432">
            <v>0.87657099253592952</v>
          </cell>
          <cell r="S432">
            <v>0.12342900746407044</v>
          </cell>
          <cell r="T432">
            <v>0</v>
          </cell>
        </row>
        <row r="433">
          <cell r="Q433">
            <v>109</v>
          </cell>
          <cell r="R433">
            <v>0.86422809401174472</v>
          </cell>
          <cell r="S433">
            <v>0.13577190598825525</v>
          </cell>
          <cell r="T433">
            <v>0</v>
          </cell>
        </row>
        <row r="434">
          <cell r="Q434">
            <v>108</v>
          </cell>
          <cell r="R434">
            <v>0.85188519548755992</v>
          </cell>
          <cell r="S434">
            <v>0.14811480451244008</v>
          </cell>
          <cell r="T434">
            <v>0</v>
          </cell>
        </row>
        <row r="435">
          <cell r="Q435">
            <v>107</v>
          </cell>
          <cell r="R435">
            <v>0.84295593803121627</v>
          </cell>
          <cell r="S435">
            <v>0.15704406196878376</v>
          </cell>
          <cell r="T435">
            <v>0</v>
          </cell>
        </row>
        <row r="436">
          <cell r="Q436">
            <v>106</v>
          </cell>
          <cell r="R436">
            <v>0.83402668057487261</v>
          </cell>
          <cell r="S436">
            <v>0.16597331942512744</v>
          </cell>
          <cell r="T436">
            <v>0</v>
          </cell>
        </row>
        <row r="437">
          <cell r="Q437">
            <v>105</v>
          </cell>
          <cell r="R437">
            <v>0.82509742311852885</v>
          </cell>
          <cell r="S437">
            <v>0.17490257688147112</v>
          </cell>
          <cell r="T437">
            <v>0</v>
          </cell>
        </row>
        <row r="438">
          <cell r="Q438">
            <v>104</v>
          </cell>
          <cell r="R438">
            <v>0.8161681656621852</v>
          </cell>
          <cell r="S438">
            <v>0.1838318343378148</v>
          </cell>
          <cell r="T438">
            <v>0</v>
          </cell>
        </row>
        <row r="439">
          <cell r="Q439">
            <v>103</v>
          </cell>
          <cell r="R439">
            <v>0.80723890820584154</v>
          </cell>
          <cell r="S439">
            <v>0.19276109179415848</v>
          </cell>
          <cell r="T439">
            <v>0</v>
          </cell>
        </row>
        <row r="440">
          <cell r="Q440">
            <v>102</v>
          </cell>
          <cell r="R440">
            <v>0.79830965074949778</v>
          </cell>
          <cell r="S440">
            <v>0.20169034925050217</v>
          </cell>
          <cell r="T440">
            <v>0</v>
          </cell>
        </row>
        <row r="441">
          <cell r="Q441">
            <v>101</v>
          </cell>
          <cell r="R441">
            <v>0.78938039329315413</v>
          </cell>
          <cell r="S441">
            <v>0.21061960670684585</v>
          </cell>
          <cell r="T441">
            <v>0</v>
          </cell>
        </row>
        <row r="442">
          <cell r="Q442">
            <v>100</v>
          </cell>
          <cell r="R442">
            <v>0.78045113583681047</v>
          </cell>
          <cell r="S442">
            <v>0.21954886416318953</v>
          </cell>
          <cell r="T442">
            <v>0</v>
          </cell>
        </row>
        <row r="443">
          <cell r="Q443">
            <v>99</v>
          </cell>
          <cell r="R443">
            <v>0.77152187838046682</v>
          </cell>
          <cell r="S443">
            <v>0.22847812161953321</v>
          </cell>
          <cell r="T443">
            <v>0</v>
          </cell>
        </row>
        <row r="444">
          <cell r="Q444">
            <v>98</v>
          </cell>
          <cell r="R444">
            <v>0.76259262092412317</v>
          </cell>
          <cell r="S444">
            <v>0.23740737907587689</v>
          </cell>
          <cell r="T444">
            <v>0</v>
          </cell>
        </row>
        <row r="445">
          <cell r="Q445">
            <v>97</v>
          </cell>
          <cell r="R445">
            <v>0.7536633634677794</v>
          </cell>
          <cell r="S445">
            <v>0.24633663653222057</v>
          </cell>
          <cell r="T445">
            <v>0</v>
          </cell>
        </row>
        <row r="446">
          <cell r="Q446">
            <v>96</v>
          </cell>
          <cell r="R446">
            <v>0.74473410601143575</v>
          </cell>
          <cell r="S446">
            <v>0.25526589398856425</v>
          </cell>
          <cell r="T446">
            <v>0</v>
          </cell>
        </row>
        <row r="447">
          <cell r="Q447">
            <v>95</v>
          </cell>
          <cell r="R447">
            <v>0.73709167954463517</v>
          </cell>
          <cell r="S447">
            <v>0.26290832045536483</v>
          </cell>
          <cell r="T447">
            <v>0</v>
          </cell>
        </row>
        <row r="448">
          <cell r="Q448">
            <v>94</v>
          </cell>
          <cell r="R448">
            <v>0.72944925307783448</v>
          </cell>
          <cell r="S448">
            <v>0.27055074692216546</v>
          </cell>
          <cell r="T448">
            <v>0</v>
          </cell>
        </row>
        <row r="449">
          <cell r="Q449">
            <v>93</v>
          </cell>
          <cell r="R449">
            <v>0.7218068266110339</v>
          </cell>
          <cell r="S449">
            <v>0.2781931733889661</v>
          </cell>
          <cell r="T449">
            <v>0</v>
          </cell>
        </row>
        <row r="450">
          <cell r="Q450">
            <v>92</v>
          </cell>
          <cell r="R450">
            <v>0.71416440014423332</v>
          </cell>
          <cell r="S450">
            <v>0.28583559985576668</v>
          </cell>
          <cell r="T450">
            <v>0</v>
          </cell>
        </row>
        <row r="451">
          <cell r="Q451">
            <v>91</v>
          </cell>
          <cell r="R451">
            <v>0.70652197367743275</v>
          </cell>
          <cell r="S451">
            <v>0.29347802632256725</v>
          </cell>
          <cell r="T451">
            <v>0</v>
          </cell>
        </row>
        <row r="452">
          <cell r="Q452">
            <v>90</v>
          </cell>
          <cell r="R452">
            <v>0.69887954721063217</v>
          </cell>
          <cell r="S452">
            <v>0.30112045278936789</v>
          </cell>
          <cell r="T452">
            <v>0</v>
          </cell>
        </row>
        <row r="453">
          <cell r="Q453">
            <v>89</v>
          </cell>
          <cell r="R453">
            <v>0.69123712074383148</v>
          </cell>
          <cell r="S453">
            <v>0.30876287925616852</v>
          </cell>
          <cell r="T453">
            <v>0</v>
          </cell>
        </row>
        <row r="454">
          <cell r="Q454">
            <v>88</v>
          </cell>
          <cell r="R454">
            <v>0.6835946942770309</v>
          </cell>
          <cell r="S454">
            <v>0.3164053057229691</v>
          </cell>
          <cell r="T454">
            <v>0</v>
          </cell>
        </row>
        <row r="455">
          <cell r="Q455">
            <v>87</v>
          </cell>
          <cell r="R455">
            <v>0.67595226781023032</v>
          </cell>
          <cell r="S455">
            <v>0.32404773218976968</v>
          </cell>
          <cell r="T455">
            <v>0</v>
          </cell>
        </row>
        <row r="456">
          <cell r="Q456">
            <v>86</v>
          </cell>
          <cell r="R456">
            <v>0.66830984134342963</v>
          </cell>
          <cell r="S456">
            <v>0.33169015865657031</v>
          </cell>
          <cell r="T456">
            <v>0</v>
          </cell>
        </row>
        <row r="457">
          <cell r="Q457">
            <v>85</v>
          </cell>
          <cell r="R457">
            <v>0.66066741487662906</v>
          </cell>
          <cell r="S457">
            <v>0.33933258512337094</v>
          </cell>
          <cell r="T457">
            <v>0</v>
          </cell>
        </row>
        <row r="458">
          <cell r="Q458">
            <v>84</v>
          </cell>
          <cell r="R458">
            <v>0.65302498840982848</v>
          </cell>
          <cell r="S458">
            <v>0.34697501159017152</v>
          </cell>
          <cell r="T458">
            <v>0</v>
          </cell>
        </row>
        <row r="459">
          <cell r="Q459">
            <v>83</v>
          </cell>
          <cell r="R459">
            <v>0.64535915365991858</v>
          </cell>
          <cell r="S459">
            <v>0.35464084634008142</v>
          </cell>
          <cell r="T459">
            <v>0</v>
          </cell>
        </row>
        <row r="460">
          <cell r="Q460">
            <v>82</v>
          </cell>
          <cell r="R460">
            <v>0.63769331891000869</v>
          </cell>
          <cell r="S460">
            <v>0.36230668108999126</v>
          </cell>
          <cell r="T460">
            <v>0</v>
          </cell>
        </row>
        <row r="461">
          <cell r="Q461">
            <v>81</v>
          </cell>
          <cell r="R461">
            <v>0.63002748416009891</v>
          </cell>
          <cell r="S461">
            <v>0.36997251583990109</v>
          </cell>
          <cell r="T461">
            <v>0</v>
          </cell>
        </row>
        <row r="462">
          <cell r="Q462">
            <v>80</v>
          </cell>
          <cell r="R462">
            <v>0.62236164941018901</v>
          </cell>
          <cell r="S462">
            <v>0.37763835058981099</v>
          </cell>
          <cell r="T462">
            <v>0</v>
          </cell>
        </row>
        <row r="463">
          <cell r="Q463">
            <v>79</v>
          </cell>
          <cell r="R463">
            <v>0.61469581466027912</v>
          </cell>
          <cell r="S463">
            <v>0.38530418533972088</v>
          </cell>
          <cell r="T463">
            <v>0</v>
          </cell>
        </row>
        <row r="464">
          <cell r="Q464">
            <v>78</v>
          </cell>
          <cell r="R464">
            <v>0.60702997991036933</v>
          </cell>
          <cell r="S464">
            <v>0.39297002008963072</v>
          </cell>
          <cell r="T464">
            <v>0</v>
          </cell>
        </row>
        <row r="465">
          <cell r="Q465">
            <v>77</v>
          </cell>
          <cell r="R465">
            <v>0.59936414516045944</v>
          </cell>
          <cell r="S465">
            <v>0.40063585483954056</v>
          </cell>
          <cell r="T465">
            <v>0</v>
          </cell>
        </row>
        <row r="466">
          <cell r="Q466">
            <v>76</v>
          </cell>
          <cell r="R466">
            <v>0.59169831041054954</v>
          </cell>
          <cell r="S466">
            <v>0.40830168958945046</v>
          </cell>
          <cell r="T466">
            <v>0</v>
          </cell>
        </row>
        <row r="467">
          <cell r="Q467">
            <v>75</v>
          </cell>
          <cell r="R467">
            <v>0.58403247566063965</v>
          </cell>
          <cell r="S467">
            <v>0.41596752433936035</v>
          </cell>
          <cell r="T467">
            <v>0</v>
          </cell>
        </row>
        <row r="468">
          <cell r="Q468">
            <v>74</v>
          </cell>
          <cell r="R468">
            <v>0.57636664091072976</v>
          </cell>
          <cell r="S468">
            <v>0.42363335908927019</v>
          </cell>
          <cell r="T468">
            <v>0</v>
          </cell>
        </row>
        <row r="469">
          <cell r="Q469">
            <v>73</v>
          </cell>
          <cell r="R469">
            <v>0.56870080616081997</v>
          </cell>
          <cell r="S469">
            <v>0.43129919383918003</v>
          </cell>
          <cell r="T469">
            <v>0</v>
          </cell>
        </row>
        <row r="470">
          <cell r="Q470">
            <v>72</v>
          </cell>
          <cell r="R470">
            <v>0.56103497141091008</v>
          </cell>
          <cell r="S470">
            <v>0.43896502858908992</v>
          </cell>
          <cell r="T470">
            <v>0</v>
          </cell>
        </row>
        <row r="471">
          <cell r="Q471">
            <v>71</v>
          </cell>
          <cell r="R471">
            <v>0.55469848233142727</v>
          </cell>
          <cell r="S471">
            <v>0.44530151766857273</v>
          </cell>
          <cell r="T471">
            <v>0</v>
          </cell>
        </row>
        <row r="472">
          <cell r="Q472">
            <v>70</v>
          </cell>
          <cell r="R472">
            <v>0.54836199325194446</v>
          </cell>
          <cell r="S472">
            <v>0.45163800674805549</v>
          </cell>
          <cell r="T472">
            <v>0</v>
          </cell>
        </row>
        <row r="473">
          <cell r="Q473">
            <v>69</v>
          </cell>
          <cell r="R473">
            <v>0.54202550417246176</v>
          </cell>
          <cell r="S473">
            <v>0.4579744958275383</v>
          </cell>
          <cell r="T473">
            <v>0</v>
          </cell>
        </row>
        <row r="474">
          <cell r="Q474">
            <v>68</v>
          </cell>
          <cell r="R474">
            <v>0.53568901509297895</v>
          </cell>
          <cell r="S474">
            <v>0.46431098490702111</v>
          </cell>
          <cell r="T474">
            <v>0</v>
          </cell>
        </row>
        <row r="475">
          <cell r="Q475">
            <v>67</v>
          </cell>
          <cell r="R475">
            <v>0.52935252601349614</v>
          </cell>
          <cell r="S475">
            <v>0.47064747398650386</v>
          </cell>
          <cell r="T475">
            <v>0</v>
          </cell>
        </row>
        <row r="476">
          <cell r="Q476">
            <v>66</v>
          </cell>
          <cell r="R476">
            <v>0.52301603693401333</v>
          </cell>
          <cell r="S476">
            <v>0.47698396306598667</v>
          </cell>
          <cell r="T476">
            <v>0</v>
          </cell>
        </row>
        <row r="477">
          <cell r="Q477">
            <v>65</v>
          </cell>
          <cell r="R477">
            <v>0.51667954785453052</v>
          </cell>
          <cell r="S477">
            <v>0.48332045214546948</v>
          </cell>
          <cell r="T477">
            <v>0</v>
          </cell>
        </row>
        <row r="478">
          <cell r="Q478">
            <v>64</v>
          </cell>
          <cell r="R478">
            <v>0.51034305877504771</v>
          </cell>
          <cell r="S478">
            <v>0.48965694122495224</v>
          </cell>
          <cell r="T478">
            <v>0</v>
          </cell>
        </row>
        <row r="479">
          <cell r="Q479">
            <v>63</v>
          </cell>
          <cell r="R479">
            <v>0.5040065696955649</v>
          </cell>
          <cell r="S479">
            <v>0.49599343030443505</v>
          </cell>
          <cell r="T479">
            <v>0</v>
          </cell>
        </row>
        <row r="480">
          <cell r="Q480">
            <v>62</v>
          </cell>
          <cell r="R480">
            <v>0.49767008061608214</v>
          </cell>
          <cell r="S480">
            <v>0.5023299193839178</v>
          </cell>
          <cell r="T480">
            <v>0</v>
          </cell>
        </row>
        <row r="481">
          <cell r="Q481">
            <v>61</v>
          </cell>
          <cell r="R481">
            <v>0.49133359153659939</v>
          </cell>
          <cell r="S481">
            <v>0.50866640846340061</v>
          </cell>
          <cell r="T481">
            <v>0</v>
          </cell>
        </row>
        <row r="482">
          <cell r="Q482">
            <v>60</v>
          </cell>
          <cell r="R482">
            <v>0.48499710245711658</v>
          </cell>
          <cell r="S482">
            <v>0.51500289754288342</v>
          </cell>
          <cell r="T482">
            <v>0</v>
          </cell>
        </row>
        <row r="483">
          <cell r="Q483">
            <v>59</v>
          </cell>
          <cell r="R483">
            <v>0.47933342412301055</v>
          </cell>
          <cell r="S483">
            <v>0.5206665758769895</v>
          </cell>
          <cell r="T483">
            <v>0</v>
          </cell>
        </row>
        <row r="484">
          <cell r="Q484">
            <v>58</v>
          </cell>
          <cell r="R484">
            <v>0.47366974578890447</v>
          </cell>
          <cell r="S484">
            <v>0.52633025421109547</v>
          </cell>
          <cell r="T484">
            <v>0</v>
          </cell>
        </row>
        <row r="485">
          <cell r="Q485">
            <v>57</v>
          </cell>
          <cell r="R485">
            <v>0.46800606745479845</v>
          </cell>
          <cell r="S485">
            <v>0.53199393254520155</v>
          </cell>
          <cell r="T485">
            <v>0</v>
          </cell>
        </row>
        <row r="486">
          <cell r="Q486">
            <v>56</v>
          </cell>
          <cell r="R486">
            <v>0.46234238912069242</v>
          </cell>
          <cell r="S486">
            <v>0.53765761087930763</v>
          </cell>
          <cell r="T486">
            <v>0</v>
          </cell>
        </row>
        <row r="487">
          <cell r="Q487">
            <v>55</v>
          </cell>
          <cell r="R487">
            <v>0.45667871078658634</v>
          </cell>
          <cell r="S487">
            <v>0.54332128921341361</v>
          </cell>
          <cell r="T487">
            <v>0</v>
          </cell>
        </row>
        <row r="488">
          <cell r="Q488">
            <v>54</v>
          </cell>
          <cell r="R488">
            <v>0.45101503245248031</v>
          </cell>
          <cell r="S488">
            <v>0.54898496754751969</v>
          </cell>
          <cell r="T488">
            <v>0</v>
          </cell>
        </row>
        <row r="489">
          <cell r="Q489">
            <v>53</v>
          </cell>
          <cell r="R489">
            <v>0.44535135411837429</v>
          </cell>
          <cell r="S489">
            <v>0.55464864588162577</v>
          </cell>
          <cell r="T489">
            <v>0</v>
          </cell>
        </row>
        <row r="490">
          <cell r="Q490">
            <v>52</v>
          </cell>
          <cell r="R490">
            <v>0.43968767578426821</v>
          </cell>
          <cell r="S490">
            <v>0.56031232421573174</v>
          </cell>
          <cell r="T490">
            <v>0</v>
          </cell>
        </row>
        <row r="491">
          <cell r="Q491">
            <v>51</v>
          </cell>
          <cell r="R491">
            <v>0.43402399745016218</v>
          </cell>
          <cell r="S491">
            <v>0.56597600254983782</v>
          </cell>
          <cell r="T491">
            <v>0</v>
          </cell>
        </row>
        <row r="492">
          <cell r="Q492">
            <v>50</v>
          </cell>
          <cell r="R492">
            <v>0.42836031911605615</v>
          </cell>
          <cell r="S492">
            <v>0.5716396808839439</v>
          </cell>
          <cell r="T492">
            <v>0</v>
          </cell>
        </row>
        <row r="493">
          <cell r="Q493">
            <v>49</v>
          </cell>
          <cell r="R493">
            <v>0.42269664078195007</v>
          </cell>
          <cell r="S493">
            <v>0.57730335921804987</v>
          </cell>
          <cell r="T493">
            <v>0</v>
          </cell>
        </row>
        <row r="494">
          <cell r="Q494">
            <v>48</v>
          </cell>
          <cell r="R494">
            <v>0.41703296244784405</v>
          </cell>
          <cell r="S494">
            <v>0.58296703755215595</v>
          </cell>
          <cell r="T494">
            <v>0</v>
          </cell>
        </row>
        <row r="495">
          <cell r="Q495">
            <v>47</v>
          </cell>
          <cell r="R495">
            <v>0.41201239633235442</v>
          </cell>
          <cell r="S495">
            <v>0.58798760366764558</v>
          </cell>
          <cell r="T495">
            <v>0</v>
          </cell>
        </row>
        <row r="496">
          <cell r="Q496">
            <v>46</v>
          </cell>
          <cell r="R496">
            <v>0.4069918302168648</v>
          </cell>
          <cell r="S496">
            <v>0.5930081697831352</v>
          </cell>
          <cell r="T496">
            <v>0</v>
          </cell>
        </row>
        <row r="497">
          <cell r="Q497">
            <v>45</v>
          </cell>
          <cell r="R497">
            <v>0.40197126410137518</v>
          </cell>
          <cell r="S497">
            <v>0.59802873589862482</v>
          </cell>
          <cell r="T497">
            <v>0</v>
          </cell>
        </row>
        <row r="498">
          <cell r="Q498">
            <v>44</v>
          </cell>
          <cell r="R498">
            <v>0.39695069798588556</v>
          </cell>
          <cell r="S498">
            <v>0.60304930201411444</v>
          </cell>
          <cell r="T498">
            <v>0</v>
          </cell>
        </row>
        <row r="499">
          <cell r="Q499">
            <v>43</v>
          </cell>
          <cell r="R499">
            <v>0.39193013187039594</v>
          </cell>
          <cell r="S499">
            <v>0.60806986812960406</v>
          </cell>
          <cell r="T499">
            <v>0</v>
          </cell>
        </row>
        <row r="500">
          <cell r="Q500">
            <v>42</v>
          </cell>
          <cell r="R500">
            <v>0.38690956575490631</v>
          </cell>
          <cell r="S500">
            <v>0.61309043424509357</v>
          </cell>
          <cell r="T500">
            <v>0</v>
          </cell>
        </row>
        <row r="501">
          <cell r="Q501">
            <v>41</v>
          </cell>
          <cell r="R501">
            <v>0.38188899963941675</v>
          </cell>
          <cell r="S501">
            <v>0.6181110003605832</v>
          </cell>
          <cell r="T501">
            <v>0</v>
          </cell>
        </row>
        <row r="502">
          <cell r="Q502">
            <v>40</v>
          </cell>
          <cell r="R502">
            <v>0.37686843352392713</v>
          </cell>
          <cell r="S502">
            <v>0.62313156647607282</v>
          </cell>
          <cell r="T502">
            <v>0</v>
          </cell>
        </row>
        <row r="503">
          <cell r="Q503">
            <v>39</v>
          </cell>
          <cell r="R503">
            <v>0.3718478674084375</v>
          </cell>
          <cell r="S503">
            <v>0.62815213259156244</v>
          </cell>
          <cell r="T503">
            <v>0</v>
          </cell>
        </row>
        <row r="504">
          <cell r="Q504">
            <v>38</v>
          </cell>
          <cell r="R504">
            <v>0.36682730129294788</v>
          </cell>
          <cell r="S504">
            <v>0.63317269870705206</v>
          </cell>
          <cell r="T504">
            <v>0</v>
          </cell>
        </row>
        <row r="505">
          <cell r="Q505">
            <v>37</v>
          </cell>
          <cell r="R505">
            <v>0.36180673517745826</v>
          </cell>
          <cell r="S505">
            <v>0.63819326482254168</v>
          </cell>
          <cell r="T505">
            <v>0</v>
          </cell>
        </row>
        <row r="506">
          <cell r="Q506">
            <v>36</v>
          </cell>
          <cell r="R506">
            <v>0.35678616906196864</v>
          </cell>
          <cell r="S506">
            <v>0.64321383093803131</v>
          </cell>
          <cell r="T506">
            <v>0</v>
          </cell>
        </row>
        <row r="507">
          <cell r="Q507">
            <v>35</v>
          </cell>
          <cell r="R507">
            <v>0.35253436099520929</v>
          </cell>
          <cell r="S507">
            <v>0.64746563900479071</v>
          </cell>
          <cell r="T507">
            <v>0</v>
          </cell>
        </row>
        <row r="508">
          <cell r="Q508">
            <v>34</v>
          </cell>
          <cell r="R508">
            <v>0.3482825529284499</v>
          </cell>
          <cell r="S508">
            <v>0.65171744707154999</v>
          </cell>
          <cell r="T508">
            <v>0</v>
          </cell>
        </row>
        <row r="509">
          <cell r="Q509">
            <v>33</v>
          </cell>
          <cell r="R509">
            <v>0.34403074486169055</v>
          </cell>
          <cell r="S509">
            <v>0.65596925513830939</v>
          </cell>
          <cell r="T509">
            <v>0</v>
          </cell>
        </row>
        <row r="510">
          <cell r="Q510">
            <v>32</v>
          </cell>
          <cell r="R510">
            <v>0.33977893679493121</v>
          </cell>
          <cell r="S510">
            <v>0.66022106320506879</v>
          </cell>
          <cell r="T510">
            <v>0</v>
          </cell>
        </row>
        <row r="511">
          <cell r="Q511">
            <v>31</v>
          </cell>
          <cell r="R511">
            <v>0.33552712872817181</v>
          </cell>
          <cell r="S511">
            <v>0.66447287127182808</v>
          </cell>
          <cell r="T511">
            <v>0</v>
          </cell>
        </row>
        <row r="512">
          <cell r="Q512">
            <v>30</v>
          </cell>
          <cell r="R512">
            <v>0.33127532066141246</v>
          </cell>
          <cell r="S512">
            <v>0.66872467933858748</v>
          </cell>
          <cell r="T512">
            <v>0</v>
          </cell>
        </row>
        <row r="513">
          <cell r="Q513">
            <v>29</v>
          </cell>
          <cell r="R513">
            <v>0.32702351259465312</v>
          </cell>
          <cell r="S513">
            <v>0.67297648740534688</v>
          </cell>
          <cell r="T513">
            <v>0</v>
          </cell>
        </row>
        <row r="514">
          <cell r="Q514">
            <v>28</v>
          </cell>
          <cell r="R514">
            <v>0.32277170452789372</v>
          </cell>
          <cell r="S514">
            <v>0.67722829547210617</v>
          </cell>
          <cell r="T514">
            <v>0</v>
          </cell>
        </row>
        <row r="515">
          <cell r="Q515">
            <v>27</v>
          </cell>
          <cell r="R515">
            <v>0.31851989646113438</v>
          </cell>
          <cell r="S515">
            <v>0.68148010353886557</v>
          </cell>
          <cell r="T515">
            <v>0</v>
          </cell>
        </row>
        <row r="516">
          <cell r="Q516">
            <v>26</v>
          </cell>
          <cell r="R516">
            <v>0.31426808839437503</v>
          </cell>
          <cell r="S516">
            <v>0.68573191160562497</v>
          </cell>
          <cell r="T516">
            <v>0</v>
          </cell>
        </row>
        <row r="517">
          <cell r="Q517">
            <v>25</v>
          </cell>
          <cell r="R517">
            <v>0.31001628032761563</v>
          </cell>
          <cell r="S517">
            <v>0.68998371967238425</v>
          </cell>
          <cell r="T517">
            <v>0</v>
          </cell>
        </row>
        <row r="518">
          <cell r="Q518">
            <v>24</v>
          </cell>
          <cell r="R518">
            <v>0.30576447226085629</v>
          </cell>
          <cell r="S518">
            <v>0.69423552773914365</v>
          </cell>
          <cell r="T518">
            <v>0</v>
          </cell>
        </row>
        <row r="519">
          <cell r="Q519">
            <v>23</v>
          </cell>
          <cell r="R519">
            <v>0.30212218584196171</v>
          </cell>
          <cell r="S519">
            <v>0.69787781415803818</v>
          </cell>
          <cell r="T519">
            <v>0</v>
          </cell>
        </row>
        <row r="520">
          <cell r="Q520">
            <v>22</v>
          </cell>
          <cell r="R520">
            <v>0.29847989942306719</v>
          </cell>
          <cell r="S520">
            <v>0.70152010057693281</v>
          </cell>
          <cell r="T520">
            <v>0</v>
          </cell>
        </row>
        <row r="521">
          <cell r="Q521">
            <v>21</v>
          </cell>
          <cell r="R521">
            <v>0.29483761300417266</v>
          </cell>
          <cell r="S521">
            <v>0.70516238699582734</v>
          </cell>
          <cell r="T521">
            <v>0</v>
          </cell>
        </row>
        <row r="522">
          <cell r="Q522">
            <v>20</v>
          </cell>
          <cell r="R522">
            <v>0.29119532658527808</v>
          </cell>
          <cell r="S522">
            <v>0.70880467341472186</v>
          </cell>
          <cell r="T522">
            <v>0</v>
          </cell>
        </row>
        <row r="523">
          <cell r="Q523">
            <v>19</v>
          </cell>
          <cell r="R523">
            <v>0.2875530401663835</v>
          </cell>
          <cell r="S523">
            <v>0.7124469598336165</v>
          </cell>
          <cell r="T523">
            <v>0</v>
          </cell>
        </row>
        <row r="524">
          <cell r="Q524">
            <v>18</v>
          </cell>
          <cell r="R524">
            <v>0.28391075374748898</v>
          </cell>
          <cell r="S524">
            <v>0.71608924625251102</v>
          </cell>
          <cell r="T524">
            <v>0</v>
          </cell>
        </row>
        <row r="525">
          <cell r="Q525">
            <v>17</v>
          </cell>
          <cell r="R525">
            <v>0.28026846732859445</v>
          </cell>
          <cell r="S525">
            <v>0.71973153267140555</v>
          </cell>
          <cell r="T525">
            <v>0</v>
          </cell>
        </row>
        <row r="526">
          <cell r="Q526">
            <v>16</v>
          </cell>
          <cell r="R526">
            <v>0.27662618090969987</v>
          </cell>
          <cell r="S526">
            <v>0.72337381909030019</v>
          </cell>
          <cell r="T526">
            <v>0</v>
          </cell>
        </row>
        <row r="527">
          <cell r="Q527">
            <v>15</v>
          </cell>
          <cell r="R527">
            <v>0.27298389449080529</v>
          </cell>
          <cell r="S527">
            <v>0.72701610550919471</v>
          </cell>
          <cell r="T527">
            <v>0</v>
          </cell>
        </row>
        <row r="528">
          <cell r="Q528">
            <v>14</v>
          </cell>
          <cell r="R528">
            <v>0.26934160807191077</v>
          </cell>
          <cell r="S528">
            <v>0.73065839192808923</v>
          </cell>
          <cell r="T528">
            <v>0</v>
          </cell>
        </row>
        <row r="529">
          <cell r="Q529">
            <v>13</v>
          </cell>
          <cell r="R529">
            <v>0.26569932165301624</v>
          </cell>
          <cell r="S529">
            <v>0.73430067834698387</v>
          </cell>
          <cell r="T529">
            <v>0</v>
          </cell>
        </row>
        <row r="530">
          <cell r="Q530">
            <v>12</v>
          </cell>
          <cell r="R530">
            <v>0.26205703523412166</v>
          </cell>
          <cell r="S530">
            <v>0.7379429647658784</v>
          </cell>
          <cell r="T530">
            <v>0</v>
          </cell>
        </row>
        <row r="531">
          <cell r="Q531">
            <v>11</v>
          </cell>
          <cell r="R531">
            <v>0.25873746748313003</v>
          </cell>
          <cell r="S531">
            <v>0.74126253251687002</v>
          </cell>
          <cell r="T531">
            <v>0</v>
          </cell>
        </row>
        <row r="532">
          <cell r="Q532">
            <v>10</v>
          </cell>
          <cell r="R532">
            <v>0.25541789973213841</v>
          </cell>
          <cell r="S532">
            <v>0.74458210026786165</v>
          </cell>
          <cell r="T532">
            <v>0</v>
          </cell>
        </row>
        <row r="533">
          <cell r="Q533">
            <v>9</v>
          </cell>
          <cell r="R533">
            <v>0.25209833198114684</v>
          </cell>
          <cell r="S533">
            <v>0.74790166801885327</v>
          </cell>
          <cell r="T533">
            <v>0</v>
          </cell>
        </row>
        <row r="534">
          <cell r="Q534">
            <v>8</v>
          </cell>
          <cell r="R534">
            <v>0.24877876423015521</v>
          </cell>
          <cell r="S534">
            <v>0.75122123576984479</v>
          </cell>
          <cell r="T534">
            <v>0</v>
          </cell>
        </row>
        <row r="535">
          <cell r="Q535">
            <v>7</v>
          </cell>
          <cell r="R535">
            <v>0.24545919647916359</v>
          </cell>
          <cell r="S535">
            <v>0.75454080352083641</v>
          </cell>
          <cell r="T535">
            <v>0</v>
          </cell>
        </row>
        <row r="536">
          <cell r="Q536">
            <v>6</v>
          </cell>
          <cell r="R536">
            <v>0.24213962872817196</v>
          </cell>
          <cell r="S536">
            <v>0.75786037127182804</v>
          </cell>
          <cell r="T536">
            <v>0</v>
          </cell>
        </row>
        <row r="537">
          <cell r="Q537">
            <v>5</v>
          </cell>
          <cell r="R537">
            <v>0.23882006097718037</v>
          </cell>
          <cell r="S537">
            <v>0.76117993902281966</v>
          </cell>
          <cell r="T537">
            <v>0</v>
          </cell>
        </row>
        <row r="538">
          <cell r="Q538">
            <v>4</v>
          </cell>
          <cell r="R538">
            <v>0.23550049322618874</v>
          </cell>
          <cell r="S538">
            <v>0.76449950677381129</v>
          </cell>
          <cell r="T538">
            <v>0</v>
          </cell>
        </row>
        <row r="539">
          <cell r="Q539">
            <v>3</v>
          </cell>
          <cell r="R539">
            <v>0.23218092547519714</v>
          </cell>
          <cell r="S539">
            <v>0.7678190745248028</v>
          </cell>
          <cell r="T539">
            <v>0</v>
          </cell>
        </row>
        <row r="540">
          <cell r="Q540">
            <v>2</v>
          </cell>
          <cell r="R540">
            <v>0.22886135772420552</v>
          </cell>
          <cell r="S540">
            <v>0.77113864227579443</v>
          </cell>
          <cell r="T540">
            <v>0</v>
          </cell>
        </row>
        <row r="541">
          <cell r="Q541">
            <v>1</v>
          </cell>
          <cell r="R541">
            <v>0.22554178997321392</v>
          </cell>
          <cell r="S541">
            <v>0.77445821002678605</v>
          </cell>
          <cell r="T541">
            <v>0</v>
          </cell>
        </row>
        <row r="542">
          <cell r="Q542">
            <v>0</v>
          </cell>
          <cell r="R542">
            <v>0.22222222222222229</v>
          </cell>
          <cell r="S542">
            <v>0.77777777777777768</v>
          </cell>
          <cell r="T542">
            <v>0</v>
          </cell>
        </row>
      </sheetData>
    </sheetDataSet>
  </externalBook>
</externalLink>
</file>

<file path=xl/persons/person.xml><?xml version="1.0" encoding="utf-8"?>
<personList xmlns="http://schemas.microsoft.com/office/spreadsheetml/2018/threadedcomments" xmlns:x="http://schemas.openxmlformats.org/spreadsheetml/2006/main">
  <person displayName="Gannon, Hugh (Allianz Global Life)" id="{5F5B8DBB-8B73-4091-94BD-013A487FCEDD}" userId="S::hugh.gannon@allianzgloballife.com::42bc41ad-9187-4281-993e-77398532300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B437" dT="2025-04-25T10:47:27.60" personId="{5F5B8DBB-8B73-4091-94BD-013A487FCEDD}" id="{6FDDF746-0DE2-4528-A496-6F34559A94CF}">
    <text>Added correct linear interpolation from LifeCycle to Autopilot here</text>
  </threadedComment>
</ThreadedComments>
</file>

<file path=xl/worksheets/_rels/sheet3.xml.rels><?xml version="1.0" encoding="UTF-8" standalone="yes"?>
<Relationships xmlns="http://schemas.openxmlformats.org/package/2006/relationships"><Relationship Id="rId2" Type="http://schemas.openxmlformats.org/officeDocument/2006/relationships/hyperlink" Target="file://C:\..\..\..\..\..\..\..\..\..\..\..\..\..\..\..\..\..\..\..\..\..\..\..\..\..\..\..\..\..\..\..\..\..\..\..\..\..\..\..\..\..\..\..\..\..\..\..\..\..\..\..\..\..\..\..\..\..\..\..\..\..\..\..\..\..\..\..\..\..\..\..\..\..\..\..\..\..\:x:\r\teams\IE0055-5232174\Shared%20Documents\Product%20Workstream\Customer%20Documentation\AGL%20historic%20TERs%20and%20Calc%20or%20TER%20Ranges.xlsx?d=w6eb858c0d17b477485ecf53e14955d79&amp;csf=1&amp;web=1&amp;e=V6Xy8p" TargetMode="External"/><Relationship Id="rId1" Type="http://schemas.openxmlformats.org/officeDocument/2006/relationships/hyperlink" Target="https://web.actuaries.ie/sites/default/files/asp/ASP%20PRSA-2/ASP%20PRSA-2%20V1.14%20final.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pensionplanetinteractive.ie/ppi/public/pensionChoicePersonalDetails.action"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cso.ie/en/releasesandpublications/ep/p-elcq/earningsandlabourcostsq22025finalq32025preliminaryestimates/" TargetMode="External"/><Relationship Id="rId3" Type="http://schemas.openxmlformats.org/officeDocument/2006/relationships/hyperlink" Target="https://www.cso.ie/en/releasesandpublications/ep/p-elcq/earningsandlabourcostsq12024finalq22024preliminaryestimates/" TargetMode="External"/><Relationship Id="rId7" Type="http://schemas.openxmlformats.org/officeDocument/2006/relationships/hyperlink" Target="https://www.cso.ie/en/releasesandpublications/ep/p-elcq/earningsandlabourcostsq12025finalq22025preliminaryestimates/" TargetMode="External"/><Relationship Id="rId2" Type="http://schemas.openxmlformats.org/officeDocument/2006/relationships/hyperlink" Target="https://www.cso.ie/en/releasesandpublications/ep/p-elcq/earningsandlabourcostsq22024finalq32024preliminaryestimates/" TargetMode="External"/><Relationship Id="rId1" Type="http://schemas.openxmlformats.org/officeDocument/2006/relationships/hyperlink" Target="https://www.cso.ie/en/releasesandpublications/ep/p-elcq/earningsandlabourcostsq42023finalq12024preliminaryestimates/" TargetMode="External"/><Relationship Id="rId6" Type="http://schemas.openxmlformats.org/officeDocument/2006/relationships/hyperlink" Target="https://www.cso.ie/en/releasesandpublications/ep/p-elcq/earningsandlabourcostsq42024finalq12025preliminaryestimates/" TargetMode="External"/><Relationship Id="rId5" Type="http://schemas.openxmlformats.org/officeDocument/2006/relationships/hyperlink" Target="https://www.citizensinformation.ie/en/social-welfare/older-and-retired-people/state-pension-non-contributory/" TargetMode="External"/><Relationship Id="rId10" Type="http://schemas.openxmlformats.org/officeDocument/2006/relationships/drawing" Target="../drawings/drawing2.xml"/><Relationship Id="rId4" Type="http://schemas.openxmlformats.org/officeDocument/2006/relationships/hyperlink" Target="https://www.cso.ie/en/releasesandpublications/ep/p-elcq/earningsandlabourcostsq32023finalq42023preliminaryestimates/" TargetMode="External"/><Relationship Id="rId9" Type="http://schemas.openxmlformats.org/officeDocument/2006/relationships/hyperlink" Target="https://www.cso.ie/en/releasesandpublications/ep/p-elcq/earningsandlabourcostsq32024finalq42024preliminaryestimate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6E722-E3BE-4C07-AF20-C7201CC923DD}">
  <dimension ref="C3:G12"/>
  <sheetViews>
    <sheetView workbookViewId="0">
      <selection activeCell="K11" sqref="K11"/>
    </sheetView>
  </sheetViews>
  <sheetFormatPr defaultRowHeight="15"/>
  <cols>
    <col min="3" max="3" width="10.42578125" bestFit="1" customWidth="1"/>
    <col min="5" max="5" width="23" bestFit="1" customWidth="1"/>
    <col min="6" max="6" width="15.140625" bestFit="1" customWidth="1"/>
    <col min="7" max="7" width="16.28515625" customWidth="1"/>
  </cols>
  <sheetData>
    <row r="3" spans="3:7">
      <c r="C3" s="260" t="s">
        <v>0</v>
      </c>
      <c r="D3" s="260" t="s">
        <v>1</v>
      </c>
      <c r="E3" s="260" t="s">
        <v>2</v>
      </c>
      <c r="F3" s="260" t="s">
        <v>3</v>
      </c>
      <c r="G3" s="260" t="s">
        <v>4</v>
      </c>
    </row>
    <row r="4" spans="3:7">
      <c r="C4" s="261">
        <v>45806</v>
      </c>
      <c r="D4" s="117" t="s">
        <v>5</v>
      </c>
      <c r="E4" s="117" t="s">
        <v>6</v>
      </c>
      <c r="F4" s="117" t="s">
        <v>7</v>
      </c>
      <c r="G4" s="117" t="s">
        <v>8</v>
      </c>
    </row>
    <row r="5" spans="3:7">
      <c r="C5" s="261">
        <v>45814</v>
      </c>
      <c r="D5" s="117" t="s">
        <v>9</v>
      </c>
      <c r="E5" s="117" t="s">
        <v>10</v>
      </c>
      <c r="F5" s="117" t="s">
        <v>8</v>
      </c>
      <c r="G5" s="117"/>
    </row>
    <row r="6" spans="3:7">
      <c r="C6" s="261">
        <v>45819</v>
      </c>
      <c r="D6" s="117" t="s">
        <v>11</v>
      </c>
      <c r="E6" s="117" t="s">
        <v>6</v>
      </c>
      <c r="F6" s="117" t="s">
        <v>7</v>
      </c>
      <c r="G6" s="117" t="s">
        <v>8</v>
      </c>
    </row>
    <row r="7" spans="3:7">
      <c r="C7" s="261">
        <v>46000</v>
      </c>
      <c r="D7" s="117" t="s">
        <v>12</v>
      </c>
      <c r="E7" s="117" t="s">
        <v>13</v>
      </c>
      <c r="F7" s="117" t="s">
        <v>7</v>
      </c>
      <c r="G7" s="117" t="s">
        <v>8</v>
      </c>
    </row>
    <row r="8" spans="3:7" ht="45">
      <c r="C8" s="261">
        <v>46080</v>
      </c>
      <c r="D8" s="117" t="s">
        <v>14</v>
      </c>
      <c r="E8" s="116" t="s">
        <v>15</v>
      </c>
      <c r="F8" s="117" t="s">
        <v>7</v>
      </c>
      <c r="G8" s="117"/>
    </row>
    <row r="9" spans="3:7" ht="45">
      <c r="C9" s="261">
        <v>46080</v>
      </c>
      <c r="D9" s="117" t="s">
        <v>16</v>
      </c>
      <c r="E9" s="116" t="s">
        <v>17</v>
      </c>
      <c r="F9" s="117" t="s">
        <v>7</v>
      </c>
      <c r="G9" s="117"/>
    </row>
    <row r="10" spans="3:7" ht="30">
      <c r="C10" s="279">
        <v>46080</v>
      </c>
      <c r="D10" s="280" t="s">
        <v>18</v>
      </c>
      <c r="E10" s="281" t="s">
        <v>19</v>
      </c>
      <c r="F10" s="280" t="s">
        <v>7</v>
      </c>
      <c r="G10" s="280"/>
    </row>
    <row r="11" spans="3:7">
      <c r="C11" s="279">
        <v>46080</v>
      </c>
      <c r="D11" s="280" t="s">
        <v>20</v>
      </c>
      <c r="E11" s="281" t="s">
        <v>21</v>
      </c>
      <c r="F11" s="280" t="s">
        <v>7</v>
      </c>
      <c r="G11" s="280" t="s">
        <v>8</v>
      </c>
    </row>
    <row r="12" spans="3:7" ht="30">
      <c r="C12" s="279">
        <v>46141</v>
      </c>
      <c r="D12" s="280" t="s">
        <v>22</v>
      </c>
      <c r="E12" s="281" t="s">
        <v>23</v>
      </c>
      <c r="F12" s="280" t="s">
        <v>7</v>
      </c>
      <c r="G12" s="28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06C64-DFE9-47A6-803A-774076297390}">
  <dimension ref="A1:I28"/>
  <sheetViews>
    <sheetView workbookViewId="0">
      <selection activeCell="A2" sqref="A2"/>
    </sheetView>
  </sheetViews>
  <sheetFormatPr defaultColWidth="9.140625" defaultRowHeight="15"/>
  <cols>
    <col min="1" max="1" width="25.140625" customWidth="1"/>
    <col min="2" max="2" width="30.7109375" customWidth="1"/>
    <col min="3" max="3" width="85.28515625" bestFit="1" customWidth="1"/>
    <col min="4" max="4" width="25.5703125" customWidth="1"/>
    <col min="5" max="5" width="8.85546875" bestFit="1" customWidth="1"/>
    <col min="6" max="6" width="45" customWidth="1"/>
  </cols>
  <sheetData>
    <row r="1" spans="1:3">
      <c r="A1" t="s">
        <v>24</v>
      </c>
    </row>
    <row r="3" spans="1:3">
      <c r="A3" s="216" t="s">
        <v>25</v>
      </c>
      <c r="B3" s="216" t="s">
        <v>25</v>
      </c>
      <c r="C3" s="216" t="s">
        <v>26</v>
      </c>
    </row>
    <row r="4" spans="1:3">
      <c r="B4" s="217"/>
      <c r="C4" s="218" t="s">
        <v>27</v>
      </c>
    </row>
    <row r="5" spans="1:3">
      <c r="B5" s="219"/>
      <c r="C5" s="218" t="s">
        <v>28</v>
      </c>
    </row>
    <row r="6" spans="1:3">
      <c r="B6" s="220"/>
      <c r="C6" s="218" t="s">
        <v>29</v>
      </c>
    </row>
    <row r="7" spans="1:3" ht="16.899999999999999" customHeight="1">
      <c r="B7" s="221"/>
      <c r="C7" s="222" t="s">
        <v>30</v>
      </c>
    </row>
    <row r="8" spans="1:3">
      <c r="B8" s="223"/>
      <c r="C8" s="224" t="s">
        <v>31</v>
      </c>
    </row>
    <row r="9" spans="1:3">
      <c r="B9" s="225"/>
      <c r="C9" s="224" t="s">
        <v>32</v>
      </c>
    </row>
    <row r="10" spans="1:3">
      <c r="B10" s="117"/>
      <c r="C10" s="224" t="s">
        <v>33</v>
      </c>
    </row>
    <row r="11" spans="1:3">
      <c r="B11" s="226"/>
      <c r="C11" s="227"/>
    </row>
    <row r="14" spans="1:3">
      <c r="A14" s="216" t="s">
        <v>34</v>
      </c>
      <c r="B14" s="216" t="s">
        <v>35</v>
      </c>
      <c r="C14" s="216" t="s">
        <v>26</v>
      </c>
    </row>
    <row r="15" spans="1:3">
      <c r="B15" s="228">
        <v>1</v>
      </c>
      <c r="C15" s="229" t="s">
        <v>36</v>
      </c>
    </row>
    <row r="16" spans="1:3">
      <c r="C16" s="230"/>
    </row>
    <row r="18" spans="1:9">
      <c r="A18" s="216" t="s">
        <v>37</v>
      </c>
      <c r="B18" s="216" t="s">
        <v>38</v>
      </c>
      <c r="C18" s="216" t="s">
        <v>26</v>
      </c>
      <c r="D18" s="216" t="s">
        <v>39</v>
      </c>
    </row>
    <row r="19" spans="1:9" ht="60">
      <c r="B19" s="231" t="s">
        <v>24</v>
      </c>
      <c r="C19" s="232" t="s">
        <v>40</v>
      </c>
      <c r="D19" s="234" t="str">
        <f>B19</f>
        <v>Overview</v>
      </c>
      <c r="I19" s="233"/>
    </row>
    <row r="20" spans="1:9" ht="75">
      <c r="B20" s="231" t="s">
        <v>41</v>
      </c>
      <c r="C20" s="232" t="s">
        <v>42</v>
      </c>
      <c r="D20" s="234" t="str">
        <f>B20</f>
        <v>Parameters</v>
      </c>
    </row>
    <row r="21" spans="1:9" ht="30">
      <c r="B21" s="231" t="s">
        <v>43</v>
      </c>
      <c r="C21" s="232" t="s">
        <v>44</v>
      </c>
      <c r="D21" s="234" t="str">
        <f>B21</f>
        <v>Mortality Table</v>
      </c>
    </row>
    <row r="22" spans="1:9">
      <c r="B22" s="231" t="s">
        <v>45</v>
      </c>
      <c r="C22" s="232" t="s">
        <v>46</v>
      </c>
      <c r="D22" s="234" t="str">
        <f t="shared" ref="D22:D28" si="0">B22</f>
        <v>Irish Life Quote</v>
      </c>
    </row>
    <row r="23" spans="1:9" ht="75">
      <c r="B23" s="231" t="s">
        <v>47</v>
      </c>
      <c r="C23" s="232" t="s">
        <v>48</v>
      </c>
      <c r="D23" s="234" t="str">
        <f t="shared" si="0"/>
        <v>Investment Strategies</v>
      </c>
    </row>
    <row r="24" spans="1:9" ht="30">
      <c r="B24" s="231" t="s">
        <v>49</v>
      </c>
      <c r="C24" s="116" t="s">
        <v>50</v>
      </c>
      <c r="D24" s="234" t="str">
        <f t="shared" si="0"/>
        <v>SRP</v>
      </c>
    </row>
    <row r="25" spans="1:9" ht="30">
      <c r="B25" s="231" t="s">
        <v>51</v>
      </c>
      <c r="C25" s="116" t="s">
        <v>52</v>
      </c>
      <c r="D25" s="234" t="str">
        <f t="shared" si="0"/>
        <v>Investment Strategy Funds</v>
      </c>
    </row>
    <row r="26" spans="1:9" ht="30">
      <c r="B26" s="231" t="s">
        <v>53</v>
      </c>
      <c r="C26" s="116" t="s">
        <v>54</v>
      </c>
      <c r="D26" s="234" t="str">
        <f t="shared" si="0"/>
        <v>Fund Based Charges Text</v>
      </c>
    </row>
    <row r="27" spans="1:9">
      <c r="B27" s="231" t="s">
        <v>55</v>
      </c>
      <c r="C27" s="116" t="s">
        <v>56</v>
      </c>
      <c r="D27" s="234" t="str">
        <f t="shared" si="0"/>
        <v>Initial SRP doc Inputs</v>
      </c>
    </row>
    <row r="28" spans="1:9">
      <c r="B28" s="231" t="s">
        <v>57</v>
      </c>
      <c r="C28" s="116" t="s">
        <v>58</v>
      </c>
      <c r="D28" s="234" t="str">
        <f t="shared" si="0"/>
        <v>InForce SRP doc Inputs</v>
      </c>
    </row>
  </sheetData>
  <hyperlinks>
    <hyperlink ref="D19" location="Overview!A1" display="Overview!A1" xr:uid="{32A674D1-6A2A-45F1-A22E-4052812D3250}"/>
    <hyperlink ref="D20" location="'Product Parameters'!A1" display="'Product Parameters'!A1" xr:uid="{713BBBC7-43ED-41BA-AF55-63D6D9C299EC}"/>
    <hyperlink ref="D21" location="'Mortality Table'!A1" display="'Mortality Table'!A1" xr:uid="{01CE9F9B-7838-46E9-B9C1-3D68B939F6E9}"/>
    <hyperlink ref="D22" location="'Irish Life Quote'!A1" display="'Irish Life Quote'!A1" xr:uid="{D07C65E2-B9EA-40E2-A11D-9718B89F173F}"/>
    <hyperlink ref="D23" location="'Investment Strategies'!A1" display="'Investment Strategies'!A1" xr:uid="{029738DA-EA02-4E20-927C-1C82F32D271B}"/>
    <hyperlink ref="D24" location="SRP!A1" display="SRP!A1" xr:uid="{F5BBEC6D-1A47-4A88-B718-F38951E3B52D}"/>
    <hyperlink ref="D25" location="'Investment Strategy Funds'!A1" display="'Investment Strategy Funds'!A1" xr:uid="{1676101F-0947-4ED2-B9FE-3C285C610DE8}"/>
    <hyperlink ref="D26" location="'Fund Based Charges Text'!A1" display="'Fund Based Charges Text'!A1" xr:uid="{17140D38-4C21-44E3-A82D-FCFEAF558A69}"/>
    <hyperlink ref="D27" location="'Initial SRP doc inputs'!A1" display="'Initial SRP doc inputs'!A1" xr:uid="{94EAEA6F-6C87-4901-AEDC-5BD23F5BEC6C}"/>
    <hyperlink ref="D28" location="'InForce SRP doc inputs'!A1" display="'InForce SRP doc inputs'!A1" xr:uid="{9975E032-A2C8-4F56-AED4-7401AE3F138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17A45-4EE9-41C4-9D50-3B734DD84D7D}">
  <sheetPr codeName="Sheet5"/>
  <dimension ref="C4:L68"/>
  <sheetViews>
    <sheetView zoomScaleNormal="100" workbookViewId="0">
      <selection activeCell="I42" sqref="I42"/>
    </sheetView>
  </sheetViews>
  <sheetFormatPr defaultColWidth="9.140625" defaultRowHeight="12.75"/>
  <cols>
    <col min="1" max="2" width="9.140625" style="161"/>
    <col min="3" max="3" width="40.28515625" style="161" bestFit="1" customWidth="1"/>
    <col min="4" max="5" width="21.7109375" style="161" bestFit="1" customWidth="1"/>
    <col min="6" max="6" width="18.7109375" style="161" customWidth="1"/>
    <col min="7" max="7" width="40.28515625" style="161" bestFit="1" customWidth="1"/>
    <col min="8" max="8" width="22.42578125" style="161" customWidth="1"/>
    <col min="9" max="9" width="18.5703125" style="161" customWidth="1"/>
    <col min="10" max="10" width="16.7109375" style="161" customWidth="1"/>
    <col min="11" max="11" width="40.28515625" style="161" bestFit="1" customWidth="1"/>
    <col min="12" max="12" width="14.140625" style="161" bestFit="1" customWidth="1"/>
    <col min="13" max="13" width="9.140625" style="161"/>
    <col min="14" max="14" width="17.85546875" style="161" bestFit="1" customWidth="1"/>
    <col min="15" max="15" width="15.7109375" style="161" customWidth="1"/>
    <col min="16" max="16" width="22.7109375" style="161" customWidth="1"/>
    <col min="17" max="17" width="17.140625" style="161" customWidth="1"/>
    <col min="18" max="16384" width="9.140625" style="161"/>
  </cols>
  <sheetData>
    <row r="4" spans="3:10" ht="13.5" thickBot="1"/>
    <row r="5" spans="3:10" ht="13.5" thickBot="1">
      <c r="C5" s="187"/>
      <c r="D5" s="187"/>
      <c r="E5" s="187"/>
      <c r="F5" s="289" t="s">
        <v>59</v>
      </c>
      <c r="G5" s="289"/>
      <c r="H5" s="289"/>
      <c r="I5" s="187"/>
      <c r="J5" s="187"/>
    </row>
    <row r="6" spans="3:10" ht="13.5" thickBot="1">
      <c r="C6" s="188" t="s">
        <v>60</v>
      </c>
      <c r="D6" s="189" t="s">
        <v>61</v>
      </c>
      <c r="E6" s="189"/>
      <c r="F6" s="189" t="s">
        <v>62</v>
      </c>
      <c r="G6" s="189" t="s">
        <v>63</v>
      </c>
      <c r="H6" s="189" t="s">
        <v>64</v>
      </c>
      <c r="I6" s="190" t="s">
        <v>65</v>
      </c>
      <c r="J6" s="191" t="s">
        <v>66</v>
      </c>
    </row>
    <row r="7" spans="3:10" ht="38.25" customHeight="1">
      <c r="C7" s="146" t="s">
        <v>67</v>
      </c>
      <c r="D7" s="147" t="s">
        <v>68</v>
      </c>
      <c r="E7" s="148" t="str">
        <f>C7&amp;"_"&amp;D7</f>
        <v>A_1. Non-Standard</v>
      </c>
      <c r="F7" s="149">
        <v>0</v>
      </c>
      <c r="G7" s="150" t="s">
        <v>69</v>
      </c>
      <c r="H7" s="151">
        <v>7.4999999999999997E-3</v>
      </c>
      <c r="I7" s="151">
        <v>1.15E-2</v>
      </c>
      <c r="J7" s="152" t="s">
        <v>70</v>
      </c>
    </row>
    <row r="8" spans="3:10" ht="38.25" customHeight="1">
      <c r="C8" s="153" t="s">
        <v>67</v>
      </c>
      <c r="D8" s="268" t="s">
        <v>71</v>
      </c>
      <c r="E8" s="269" t="str">
        <f>C8&amp;"_"&amp;D8</f>
        <v>A_2. Non-Standard</v>
      </c>
      <c r="F8" s="270">
        <v>0.01</v>
      </c>
      <c r="G8" s="271" t="s">
        <v>72</v>
      </c>
      <c r="H8" s="272">
        <v>6.0000000000000001E-3</v>
      </c>
      <c r="I8" s="272">
        <v>1.15E-2</v>
      </c>
      <c r="J8" s="154" t="s">
        <v>70</v>
      </c>
    </row>
    <row r="9" spans="3:10" ht="38.25" customHeight="1">
      <c r="C9" s="153" t="s">
        <v>67</v>
      </c>
      <c r="D9" s="268" t="s">
        <v>73</v>
      </c>
      <c r="E9" s="269" t="str">
        <f t="shared" ref="E9:E21" si="0">C9&amp;"_"&amp;D9</f>
        <v>A_3. Non-Standard</v>
      </c>
      <c r="F9" s="270">
        <v>0.02</v>
      </c>
      <c r="G9" s="271" t="s">
        <v>74</v>
      </c>
      <c r="H9" s="272">
        <v>5.0000000000000001E-3</v>
      </c>
      <c r="I9" s="272">
        <v>1.15E-2</v>
      </c>
      <c r="J9" s="154" t="s">
        <v>70</v>
      </c>
    </row>
    <row r="10" spans="3:10" ht="38.25" customHeight="1">
      <c r="C10" s="153" t="s">
        <v>67</v>
      </c>
      <c r="D10" s="268" t="s">
        <v>75</v>
      </c>
      <c r="E10" s="269" t="str">
        <f t="shared" si="0"/>
        <v>A_4. Non-Standard</v>
      </c>
      <c r="F10" s="270">
        <v>0.03</v>
      </c>
      <c r="G10" s="271" t="s">
        <v>76</v>
      </c>
      <c r="H10" s="272">
        <v>3.5000000000000001E-3</v>
      </c>
      <c r="I10" s="272">
        <v>1.15E-2</v>
      </c>
      <c r="J10" s="154" t="s">
        <v>70</v>
      </c>
    </row>
    <row r="11" spans="3:10" ht="38.25" customHeight="1">
      <c r="C11" s="153" t="s">
        <v>67</v>
      </c>
      <c r="D11" s="268" t="s">
        <v>77</v>
      </c>
      <c r="E11" s="269" t="str">
        <f t="shared" ref="E11" si="1">C11&amp;"_"&amp;D11</f>
        <v>A_5. Non-Standard</v>
      </c>
      <c r="F11" s="270">
        <v>0.04</v>
      </c>
      <c r="G11" s="271" t="s">
        <v>78</v>
      </c>
      <c r="H11" s="272">
        <v>2.5000000000000001E-3</v>
      </c>
      <c r="I11" s="272">
        <v>1.15E-2</v>
      </c>
      <c r="J11" s="154" t="s">
        <v>70</v>
      </c>
    </row>
    <row r="12" spans="3:10" ht="38.25" customHeight="1">
      <c r="C12" s="153" t="s">
        <v>79</v>
      </c>
      <c r="D12" s="268" t="s">
        <v>68</v>
      </c>
      <c r="E12" s="269" t="str">
        <f t="shared" si="0"/>
        <v>B_1. Non-Standard</v>
      </c>
      <c r="F12" s="270">
        <v>0</v>
      </c>
      <c r="G12" s="270">
        <v>0</v>
      </c>
      <c r="H12" s="272">
        <v>5.0000000000000001E-3</v>
      </c>
      <c r="I12" s="272">
        <v>8.9999999999999993E-3</v>
      </c>
      <c r="J12" s="154" t="s">
        <v>80</v>
      </c>
    </row>
    <row r="13" spans="3:10" ht="38.25" customHeight="1">
      <c r="C13" s="153" t="s">
        <v>79</v>
      </c>
      <c r="D13" s="268" t="s">
        <v>71</v>
      </c>
      <c r="E13" s="269" t="str">
        <f t="shared" si="0"/>
        <v>B_2. Non-Standard</v>
      </c>
      <c r="F13" s="270">
        <v>0.01</v>
      </c>
      <c r="G13" s="271" t="s">
        <v>72</v>
      </c>
      <c r="H13" s="272">
        <v>3.5000000000000001E-3</v>
      </c>
      <c r="I13" s="272">
        <v>8.9999999999999993E-3</v>
      </c>
      <c r="J13" s="154" t="s">
        <v>80</v>
      </c>
    </row>
    <row r="14" spans="3:10" ht="38.25" customHeight="1">
      <c r="C14" s="153" t="s">
        <v>79</v>
      </c>
      <c r="D14" s="268" t="s">
        <v>73</v>
      </c>
      <c r="E14" s="269" t="str">
        <f t="shared" si="0"/>
        <v>B_3. Non-Standard</v>
      </c>
      <c r="F14" s="270">
        <v>3.5000000000000003E-2</v>
      </c>
      <c r="G14" s="271" t="s">
        <v>74</v>
      </c>
      <c r="H14" s="272">
        <v>2.5000000000000001E-3</v>
      </c>
      <c r="I14" s="272">
        <v>8.9999999999999993E-3</v>
      </c>
      <c r="J14" s="154" t="s">
        <v>80</v>
      </c>
    </row>
    <row r="15" spans="3:10" ht="38.25" customHeight="1">
      <c r="C15" s="153" t="s">
        <v>79</v>
      </c>
      <c r="D15" s="268" t="s">
        <v>75</v>
      </c>
      <c r="E15" s="269" t="str">
        <f t="shared" ref="E15:E16" si="2">C15&amp;"_"&amp;D15</f>
        <v>B_4. Non-Standard</v>
      </c>
      <c r="F15" s="270">
        <v>0.03</v>
      </c>
      <c r="G15" s="271" t="s">
        <v>76</v>
      </c>
      <c r="H15" s="272">
        <v>1E-3</v>
      </c>
      <c r="I15" s="272">
        <v>8.9999999999999993E-3</v>
      </c>
      <c r="J15" s="154" t="s">
        <v>70</v>
      </c>
    </row>
    <row r="16" spans="3:10" ht="38.25" customHeight="1">
      <c r="C16" s="153" t="s">
        <v>79</v>
      </c>
      <c r="D16" s="268" t="s">
        <v>77</v>
      </c>
      <c r="E16" s="269" t="str">
        <f t="shared" si="2"/>
        <v>B_5. Non-Standard</v>
      </c>
      <c r="F16" s="270">
        <v>0.04</v>
      </c>
      <c r="G16" s="271" t="s">
        <v>78</v>
      </c>
      <c r="H16" s="272">
        <v>0</v>
      </c>
      <c r="I16" s="272">
        <v>8.9999999999999993E-3</v>
      </c>
      <c r="J16" s="154" t="s">
        <v>70</v>
      </c>
    </row>
    <row r="17" spans="3:10" ht="38.25" customHeight="1">
      <c r="C17" s="153" t="s">
        <v>81</v>
      </c>
      <c r="D17" s="268" t="s">
        <v>68</v>
      </c>
      <c r="E17" s="269" t="str">
        <f t="shared" si="0"/>
        <v>C_1. Non-Standard</v>
      </c>
      <c r="F17" s="270">
        <v>0</v>
      </c>
      <c r="G17" s="270">
        <v>0</v>
      </c>
      <c r="H17" s="272">
        <v>2.5000000000000001E-3</v>
      </c>
      <c r="I17" s="272">
        <v>6.4999999999999997E-3</v>
      </c>
      <c r="J17" s="154" t="s">
        <v>82</v>
      </c>
    </row>
    <row r="18" spans="3:10" ht="38.25" customHeight="1">
      <c r="C18" s="153" t="s">
        <v>81</v>
      </c>
      <c r="D18" s="268" t="s">
        <v>71</v>
      </c>
      <c r="E18" s="269" t="str">
        <f t="shared" si="0"/>
        <v>C_2. Non-Standard</v>
      </c>
      <c r="F18" s="270">
        <v>0.01</v>
      </c>
      <c r="G18" s="271" t="s">
        <v>72</v>
      </c>
      <c r="H18" s="272">
        <v>1.1999999999999999E-3</v>
      </c>
      <c r="I18" s="272">
        <v>6.4999999999999997E-3</v>
      </c>
      <c r="J18" s="154" t="s">
        <v>82</v>
      </c>
    </row>
    <row r="19" spans="3:10" ht="38.25" customHeight="1">
      <c r="C19" s="153" t="s">
        <v>81</v>
      </c>
      <c r="D19" s="268" t="s">
        <v>73</v>
      </c>
      <c r="E19" s="269" t="str">
        <f t="shared" si="0"/>
        <v>C_3. Non-Standard</v>
      </c>
      <c r="F19" s="270">
        <v>0.02</v>
      </c>
      <c r="G19" s="271" t="s">
        <v>74</v>
      </c>
      <c r="H19" s="270">
        <v>0</v>
      </c>
      <c r="I19" s="272">
        <v>6.4999999999999997E-3</v>
      </c>
      <c r="J19" s="154" t="s">
        <v>82</v>
      </c>
    </row>
    <row r="20" spans="3:10" ht="39" customHeight="1">
      <c r="C20" s="153" t="s">
        <v>83</v>
      </c>
      <c r="D20" s="268" t="s">
        <v>68</v>
      </c>
      <c r="E20" s="269" t="str">
        <f t="shared" si="0"/>
        <v>D_1. Non-Standard</v>
      </c>
      <c r="F20" s="270">
        <v>0</v>
      </c>
      <c r="G20" s="270">
        <v>0</v>
      </c>
      <c r="H20" s="272">
        <v>0</v>
      </c>
      <c r="I20" s="272">
        <v>4.0000000000000001E-3</v>
      </c>
      <c r="J20" s="154" t="s">
        <v>84</v>
      </c>
    </row>
    <row r="21" spans="3:10" ht="38.25" customHeight="1">
      <c r="C21" s="153" t="s">
        <v>85</v>
      </c>
      <c r="D21" s="268" t="s">
        <v>86</v>
      </c>
      <c r="E21" s="269" t="str">
        <f t="shared" si="0"/>
        <v>E_1. Standard</v>
      </c>
      <c r="F21" s="270">
        <v>0</v>
      </c>
      <c r="G21" s="270">
        <v>0</v>
      </c>
      <c r="H21" s="272">
        <v>2.5000000000000001E-3</v>
      </c>
      <c r="I21" s="272">
        <v>7.0000000000000001E-3</v>
      </c>
      <c r="J21" s="154"/>
    </row>
    <row r="22" spans="3:10" ht="38.25" customHeight="1">
      <c r="C22" s="153" t="s">
        <v>85</v>
      </c>
      <c r="D22" s="268" t="s">
        <v>87</v>
      </c>
      <c r="E22" s="269" t="str">
        <f t="shared" ref="E22:E23" si="3">C22&amp;"_"&amp;D22</f>
        <v>E_2. Standard</v>
      </c>
      <c r="F22" s="270">
        <v>0.01</v>
      </c>
      <c r="G22" s="271" t="s">
        <v>72</v>
      </c>
      <c r="H22" s="272">
        <v>1.1999999999999999E-3</v>
      </c>
      <c r="I22" s="272">
        <v>7.0000000000000001E-3</v>
      </c>
      <c r="J22" s="154"/>
    </row>
    <row r="23" spans="3:10" ht="38.25" customHeight="1">
      <c r="C23" s="153" t="s">
        <v>85</v>
      </c>
      <c r="D23" s="268" t="s">
        <v>88</v>
      </c>
      <c r="E23" s="269" t="str">
        <f t="shared" si="3"/>
        <v>E_3. Standard</v>
      </c>
      <c r="F23" s="270">
        <v>0.02</v>
      </c>
      <c r="G23" s="271" t="s">
        <v>74</v>
      </c>
      <c r="H23" s="270">
        <v>0</v>
      </c>
      <c r="I23" s="272">
        <v>7.0000000000000001E-3</v>
      </c>
      <c r="J23" s="154"/>
    </row>
    <row r="24" spans="3:10" ht="38.25" customHeight="1">
      <c r="C24" s="153" t="s">
        <v>89</v>
      </c>
      <c r="D24" s="268" t="s">
        <v>68</v>
      </c>
      <c r="E24" s="269" t="str">
        <f>C24&amp;"_"&amp;D24</f>
        <v>F_1. Non-Standard</v>
      </c>
      <c r="F24" s="270">
        <v>0</v>
      </c>
      <c r="G24" s="271" t="s">
        <v>69</v>
      </c>
      <c r="H24" s="272">
        <v>0.01</v>
      </c>
      <c r="I24" s="272">
        <v>1.4E-2</v>
      </c>
      <c r="J24" s="154"/>
    </row>
    <row r="25" spans="3:10" ht="38.25" customHeight="1">
      <c r="C25" s="153" t="s">
        <v>89</v>
      </c>
      <c r="D25" s="268" t="s">
        <v>71</v>
      </c>
      <c r="E25" s="269" t="str">
        <f>C25&amp;"_"&amp;D25</f>
        <v>F_2. Non-Standard</v>
      </c>
      <c r="F25" s="270">
        <v>0.01</v>
      </c>
      <c r="G25" s="271" t="s">
        <v>72</v>
      </c>
      <c r="H25" s="272">
        <v>8.5000000000000006E-3</v>
      </c>
      <c r="I25" s="272">
        <v>1.4E-2</v>
      </c>
      <c r="J25" s="154"/>
    </row>
    <row r="26" spans="3:10" ht="38.25" customHeight="1">
      <c r="C26" s="153" t="s">
        <v>89</v>
      </c>
      <c r="D26" s="268" t="s">
        <v>73</v>
      </c>
      <c r="E26" s="269" t="str">
        <f t="shared" ref="E26:E28" si="4">C26&amp;"_"&amp;D26</f>
        <v>F_3. Non-Standard</v>
      </c>
      <c r="F26" s="270">
        <v>0.02</v>
      </c>
      <c r="G26" s="271" t="s">
        <v>74</v>
      </c>
      <c r="H26" s="272">
        <v>7.4999999999999997E-3</v>
      </c>
      <c r="I26" s="272">
        <v>1.4E-2</v>
      </c>
      <c r="J26" s="154"/>
    </row>
    <row r="27" spans="3:10" ht="38.25" customHeight="1">
      <c r="C27" s="153" t="s">
        <v>89</v>
      </c>
      <c r="D27" s="268" t="s">
        <v>75</v>
      </c>
      <c r="E27" s="269" t="str">
        <f t="shared" si="4"/>
        <v>F_4. Non-Standard</v>
      </c>
      <c r="F27" s="270">
        <v>0.03</v>
      </c>
      <c r="G27" s="271" t="s">
        <v>76</v>
      </c>
      <c r="H27" s="272">
        <v>6.0000000000000001E-3</v>
      </c>
      <c r="I27" s="272">
        <v>1.4E-2</v>
      </c>
      <c r="J27" s="154"/>
    </row>
    <row r="28" spans="3:10" ht="38.25" customHeight="1" thickBot="1">
      <c r="C28" s="155" t="s">
        <v>89</v>
      </c>
      <c r="D28" s="156" t="s">
        <v>77</v>
      </c>
      <c r="E28" s="157" t="str">
        <f t="shared" si="4"/>
        <v>F_5. Non-Standard</v>
      </c>
      <c r="F28" s="158">
        <v>0.04</v>
      </c>
      <c r="G28" s="159" t="s">
        <v>78</v>
      </c>
      <c r="H28" s="160">
        <v>5.0000000000000001E-3</v>
      </c>
      <c r="I28" s="160">
        <v>1.4E-2</v>
      </c>
      <c r="J28" s="273"/>
    </row>
    <row r="31" spans="3:10">
      <c r="C31" s="192" t="s">
        <v>90</v>
      </c>
      <c r="D31" s="192" t="s">
        <v>91</v>
      </c>
      <c r="G31" s="192" t="s">
        <v>92</v>
      </c>
      <c r="H31" s="192" t="s">
        <v>91</v>
      </c>
    </row>
    <row r="32" spans="3:10">
      <c r="C32" s="162" t="s">
        <v>93</v>
      </c>
      <c r="D32" s="163">
        <v>0.02</v>
      </c>
      <c r="G32" s="164" t="s">
        <v>94</v>
      </c>
      <c r="H32" s="167">
        <v>0.02</v>
      </c>
    </row>
    <row r="33" spans="3:12" ht="13.5" thickBot="1">
      <c r="C33" s="165" t="s">
        <v>95</v>
      </c>
      <c r="D33" s="166">
        <v>0</v>
      </c>
      <c r="G33" s="168" t="s">
        <v>96</v>
      </c>
      <c r="H33" s="169">
        <v>0</v>
      </c>
    </row>
    <row r="34" spans="3:12" ht="15">
      <c r="C34"/>
      <c r="D34"/>
      <c r="G34"/>
      <c r="H34"/>
    </row>
    <row r="35" spans="3:12" ht="15">
      <c r="C35" s="144"/>
      <c r="D35" s="145"/>
      <c r="G35"/>
      <c r="H35"/>
    </row>
    <row r="39" spans="3:12" ht="13.5" thickBot="1">
      <c r="C39" s="192" t="s">
        <v>97</v>
      </c>
    </row>
    <row r="40" spans="3:12" ht="13.5" thickBot="1">
      <c r="C40" s="185" t="s">
        <v>98</v>
      </c>
      <c r="D40" s="184" t="s">
        <v>99</v>
      </c>
      <c r="G40" s="192" t="s">
        <v>100</v>
      </c>
    </row>
    <row r="41" spans="3:12">
      <c r="C41" s="185" t="s">
        <v>101</v>
      </c>
      <c r="D41" s="181">
        <v>6.4999999999999997E-3</v>
      </c>
      <c r="G41" s="174" t="s">
        <v>102</v>
      </c>
      <c r="H41" s="173">
        <v>7.1999999999999995E-2</v>
      </c>
      <c r="I41" s="161">
        <f>H41*0.75+H42*0.25</f>
        <v>6.4624999999999988E-2</v>
      </c>
      <c r="J41" s="161" t="s">
        <v>103</v>
      </c>
      <c r="K41" s="171"/>
      <c r="L41" s="172"/>
    </row>
    <row r="42" spans="3:12" ht="15">
      <c r="C42" s="185" t="s">
        <v>104</v>
      </c>
      <c r="D42" s="181">
        <v>7.4999999999999997E-3</v>
      </c>
      <c r="G42" s="174" t="s">
        <v>105</v>
      </c>
      <c r="H42" s="175">
        <v>4.2500000000000003E-2</v>
      </c>
      <c r="J42" s="242" t="s">
        <v>106</v>
      </c>
      <c r="K42" s="171"/>
      <c r="L42" s="172"/>
    </row>
    <row r="43" spans="3:12" ht="13.5" thickBot="1">
      <c r="C43" s="186" t="s">
        <v>107</v>
      </c>
      <c r="D43" s="170">
        <v>8.5000000000000006E-3</v>
      </c>
      <c r="G43" s="176" t="s">
        <v>108</v>
      </c>
      <c r="H43" s="177">
        <v>3.2000000000000001E-2</v>
      </c>
      <c r="K43" s="171"/>
      <c r="L43" s="172"/>
    </row>
    <row r="45" spans="3:12">
      <c r="E45" s="161" t="s">
        <v>109</v>
      </c>
    </row>
    <row r="46" spans="3:12" ht="15.75" thickBot="1">
      <c r="C46" s="192" t="s">
        <v>110</v>
      </c>
      <c r="E46" s="242" t="s">
        <v>111</v>
      </c>
      <c r="K46" s="192" t="s">
        <v>112</v>
      </c>
    </row>
    <row r="47" spans="3:12" ht="13.5" thickBot="1">
      <c r="C47" s="192" t="s">
        <v>113</v>
      </c>
      <c r="D47" s="192" t="s">
        <v>114</v>
      </c>
      <c r="E47" s="192" t="s">
        <v>115</v>
      </c>
      <c r="F47" s="192" t="s">
        <v>116</v>
      </c>
      <c r="G47" s="192" t="s">
        <v>117</v>
      </c>
      <c r="H47" s="192" t="s">
        <v>118</v>
      </c>
      <c r="I47" s="192" t="s">
        <v>119</v>
      </c>
      <c r="K47" s="186" t="s">
        <v>113</v>
      </c>
      <c r="L47" s="178" t="s">
        <v>120</v>
      </c>
    </row>
    <row r="48" spans="3:12">
      <c r="C48" s="179" t="s">
        <v>101</v>
      </c>
      <c r="D48" s="180" t="s">
        <v>121</v>
      </c>
      <c r="E48" s="274">
        <v>2.5000000000000001E-3</v>
      </c>
      <c r="F48" s="181" t="s">
        <v>122</v>
      </c>
      <c r="G48" s="181" t="s">
        <v>69</v>
      </c>
      <c r="H48" s="181" t="s">
        <v>69</v>
      </c>
      <c r="I48" s="181">
        <v>2.5000000000000001E-3</v>
      </c>
      <c r="J48" s="250"/>
      <c r="K48" s="179" t="s">
        <v>101</v>
      </c>
      <c r="L48" s="193">
        <f>0.3*H41+0.7*H42</f>
        <v>5.1349999999999993E-2</v>
      </c>
    </row>
    <row r="49" spans="3:12">
      <c r="C49" s="179" t="s">
        <v>104</v>
      </c>
      <c r="D49" s="180" t="s">
        <v>123</v>
      </c>
      <c r="E49" s="275">
        <v>2.5000000000000001E-3</v>
      </c>
      <c r="F49" s="181" t="s">
        <v>122</v>
      </c>
      <c r="G49" s="181" t="s">
        <v>69</v>
      </c>
      <c r="H49" s="181" t="s">
        <v>69</v>
      </c>
      <c r="I49" s="181">
        <v>2.5000000000000001E-3</v>
      </c>
      <c r="J49" s="250"/>
      <c r="K49" s="179" t="s">
        <v>104</v>
      </c>
      <c r="L49" s="193">
        <f>0.5*H41+0.5*H42</f>
        <v>5.7249999999999995E-2</v>
      </c>
    </row>
    <row r="50" spans="3:12">
      <c r="C50" s="179" t="s">
        <v>107</v>
      </c>
      <c r="D50" s="180" t="s">
        <v>124</v>
      </c>
      <c r="E50" s="275">
        <v>2.5000000000000001E-3</v>
      </c>
      <c r="F50" s="181" t="s">
        <v>122</v>
      </c>
      <c r="G50" s="181" t="s">
        <v>69</v>
      </c>
      <c r="H50" s="181" t="s">
        <v>69</v>
      </c>
      <c r="I50" s="181">
        <v>2.5000000000000001E-3</v>
      </c>
      <c r="J50" s="250"/>
      <c r="K50" s="179" t="s">
        <v>107</v>
      </c>
      <c r="L50" s="193">
        <f>0.75*H41+0.25*H42</f>
        <v>6.4624999999999988E-2</v>
      </c>
    </row>
    <row r="51" spans="3:12">
      <c r="C51" s="179" t="s">
        <v>125</v>
      </c>
      <c r="D51" s="180" t="s">
        <v>126</v>
      </c>
      <c r="E51" s="275">
        <f>H51</f>
        <v>5.0000000000000001E-3</v>
      </c>
      <c r="F51" s="181" t="s">
        <v>127</v>
      </c>
      <c r="G51" s="181">
        <v>4.3E-3</v>
      </c>
      <c r="H51" s="181">
        <v>5.0000000000000001E-3</v>
      </c>
      <c r="I51" s="181">
        <v>4.4999999999999997E-3</v>
      </c>
      <c r="J51" s="250"/>
      <c r="K51" s="179" t="s">
        <v>125</v>
      </c>
      <c r="L51" s="193">
        <f>H41</f>
        <v>7.1999999999999995E-2</v>
      </c>
    </row>
    <row r="52" spans="3:12">
      <c r="C52" s="179" t="s">
        <v>128</v>
      </c>
      <c r="D52" s="180" t="s">
        <v>129</v>
      </c>
      <c r="E52" s="275">
        <f t="shared" ref="E52:E56" si="5">H52</f>
        <v>2.3999999999999998E-3</v>
      </c>
      <c r="F52" s="181" t="s">
        <v>127</v>
      </c>
      <c r="G52" s="181">
        <v>2.2000000000000001E-3</v>
      </c>
      <c r="H52" s="181">
        <v>2.3999999999999998E-3</v>
      </c>
      <c r="I52" s="181">
        <v>2.2000000000000001E-3</v>
      </c>
      <c r="J52" s="250"/>
      <c r="K52" s="179" t="s">
        <v>128</v>
      </c>
      <c r="L52" s="193">
        <f>$H$42</f>
        <v>4.2500000000000003E-2</v>
      </c>
    </row>
    <row r="53" spans="3:12">
      <c r="C53" s="179" t="s">
        <v>130</v>
      </c>
      <c r="D53" s="180" t="s">
        <v>131</v>
      </c>
      <c r="E53" s="275">
        <f t="shared" si="5"/>
        <v>2.8000000000000004E-3</v>
      </c>
      <c r="F53" s="181" t="s">
        <v>127</v>
      </c>
      <c r="G53" s="181">
        <v>2.5999999999999999E-3</v>
      </c>
      <c r="H53" s="181">
        <v>2.8000000000000004E-3</v>
      </c>
      <c r="I53" s="181">
        <v>2.7000000000000001E-3</v>
      </c>
      <c r="J53" s="250"/>
      <c r="K53" s="179" t="s">
        <v>130</v>
      </c>
      <c r="L53" s="193">
        <f>$H$42</f>
        <v>4.2500000000000003E-2</v>
      </c>
    </row>
    <row r="54" spans="3:12">
      <c r="C54" s="179" t="s">
        <v>132</v>
      </c>
      <c r="D54" s="180" t="s">
        <v>133</v>
      </c>
      <c r="E54" s="275">
        <f t="shared" si="5"/>
        <v>7.1999999999999998E-3</v>
      </c>
      <c r="F54" s="181" t="s">
        <v>127</v>
      </c>
      <c r="G54" s="181">
        <v>5.7999999999999996E-3</v>
      </c>
      <c r="H54" s="181">
        <v>7.1999999999999998E-3</v>
      </c>
      <c r="I54" s="181">
        <v>6.4999999999999997E-3</v>
      </c>
      <c r="J54" s="250"/>
      <c r="K54" s="179" t="s">
        <v>132</v>
      </c>
      <c r="L54" s="193">
        <f>0.75*H41+0.25*H42</f>
        <v>6.4624999999999988E-2</v>
      </c>
    </row>
    <row r="55" spans="3:12">
      <c r="C55" s="179" t="s">
        <v>134</v>
      </c>
      <c r="D55" s="180" t="s">
        <v>135</v>
      </c>
      <c r="E55" s="275">
        <f t="shared" si="5"/>
        <v>6.7000000000000002E-3</v>
      </c>
      <c r="F55" s="181" t="s">
        <v>127</v>
      </c>
      <c r="G55" s="181">
        <v>5.3E-3</v>
      </c>
      <c r="H55" s="181">
        <v>6.7000000000000002E-3</v>
      </c>
      <c r="I55" s="181">
        <v>5.8999999999999999E-3</v>
      </c>
      <c r="J55" s="250"/>
      <c r="K55" s="179" t="s">
        <v>134</v>
      </c>
      <c r="L55" s="193">
        <f>0.5*H41+0.5*H42</f>
        <v>5.7249999999999995E-2</v>
      </c>
    </row>
    <row r="56" spans="3:12">
      <c r="C56" s="179" t="s">
        <v>136</v>
      </c>
      <c r="D56" s="180" t="s">
        <v>137</v>
      </c>
      <c r="E56" s="275">
        <f t="shared" si="5"/>
        <v>5.8999999999999999E-3</v>
      </c>
      <c r="F56" s="181" t="s">
        <v>127</v>
      </c>
      <c r="G56" s="181">
        <v>4.4999999999999997E-3</v>
      </c>
      <c r="H56" s="181">
        <v>5.8999999999999999E-3</v>
      </c>
      <c r="I56" s="181">
        <v>4.8999999999999998E-3</v>
      </c>
      <c r="J56" s="250"/>
      <c r="K56" s="179" t="s">
        <v>136</v>
      </c>
      <c r="L56" s="193">
        <f>0.15*H41+0.85*H42</f>
        <v>4.6925000000000001E-2</v>
      </c>
    </row>
    <row r="57" spans="3:12">
      <c r="C57" s="179" t="s">
        <v>138</v>
      </c>
      <c r="D57" s="180" t="s">
        <v>139</v>
      </c>
      <c r="E57" s="277">
        <v>5.0000000000000001E-4</v>
      </c>
      <c r="F57" s="181" t="s">
        <v>122</v>
      </c>
      <c r="G57" s="181" t="s">
        <v>69</v>
      </c>
      <c r="H57" s="181" t="s">
        <v>69</v>
      </c>
      <c r="I57" s="181">
        <v>5.0000000000000001E-4</v>
      </c>
      <c r="J57" s="250"/>
      <c r="K57" s="179" t="s">
        <v>138</v>
      </c>
      <c r="L57" s="193">
        <f>H41*1+H42*0+H43*0</f>
        <v>7.1999999999999995E-2</v>
      </c>
    </row>
    <row r="58" spans="3:12">
      <c r="C58" s="179" t="s">
        <v>140</v>
      </c>
      <c r="D58" s="180" t="s">
        <v>141</v>
      </c>
      <c r="E58" s="277">
        <v>1.5E-3</v>
      </c>
      <c r="F58" s="181" t="s">
        <v>122</v>
      </c>
      <c r="G58" s="181" t="s">
        <v>69</v>
      </c>
      <c r="H58" s="181" t="s">
        <v>69</v>
      </c>
      <c r="I58" s="181">
        <v>1.5E-3</v>
      </c>
      <c r="J58" s="250"/>
      <c r="K58" s="179" t="s">
        <v>140</v>
      </c>
      <c r="L58" s="193">
        <f>H41*1+H42*0+H43*0</f>
        <v>7.1999999999999995E-2</v>
      </c>
    </row>
    <row r="59" spans="3:12">
      <c r="C59" s="179" t="s">
        <v>142</v>
      </c>
      <c r="D59" s="180" t="s">
        <v>143</v>
      </c>
      <c r="E59" s="277">
        <v>8.9999999999999998E-4</v>
      </c>
      <c r="F59" s="181" t="s">
        <v>122</v>
      </c>
      <c r="G59" s="181" t="s">
        <v>69</v>
      </c>
      <c r="H59" s="181" t="s">
        <v>69</v>
      </c>
      <c r="I59" s="181">
        <v>8.9999999999999998E-4</v>
      </c>
      <c r="J59" s="250"/>
      <c r="K59" s="179" t="s">
        <v>142</v>
      </c>
      <c r="L59" s="193">
        <f>H41*1+H42*0+H43*0</f>
        <v>7.1999999999999995E-2</v>
      </c>
    </row>
    <row r="60" spans="3:12" ht="13.5" thickBot="1">
      <c r="C60" s="182" t="s">
        <v>144</v>
      </c>
      <c r="D60" s="183" t="s">
        <v>145</v>
      </c>
      <c r="E60" s="276">
        <v>1.8E-3</v>
      </c>
      <c r="F60" s="170" t="s">
        <v>127</v>
      </c>
      <c r="G60" s="170">
        <v>1.6000000000000001E-3</v>
      </c>
      <c r="H60" s="170">
        <v>1.8E-3</v>
      </c>
      <c r="I60" s="170">
        <v>1.6000000000000001E-3</v>
      </c>
      <c r="J60" s="250"/>
      <c r="K60" s="182" t="s">
        <v>144</v>
      </c>
      <c r="L60" s="194">
        <f>$H$43</f>
        <v>3.2000000000000001E-2</v>
      </c>
    </row>
    <row r="61" spans="3:12">
      <c r="E61" s="161" t="s">
        <v>146</v>
      </c>
      <c r="G61" s="161" t="s">
        <v>147</v>
      </c>
      <c r="I61" s="161" t="s">
        <v>148</v>
      </c>
    </row>
    <row r="62" spans="3:12">
      <c r="E62" s="161" t="s">
        <v>149</v>
      </c>
      <c r="G62" s="250"/>
      <c r="H62" s="250"/>
      <c r="I62" s="250"/>
    </row>
    <row r="63" spans="3:12">
      <c r="G63" s="250"/>
      <c r="H63" s="250"/>
    </row>
    <row r="64" spans="3:12">
      <c r="G64" s="250"/>
      <c r="H64" s="250"/>
    </row>
    <row r="65" spans="7:8">
      <c r="G65" s="250"/>
      <c r="H65" s="250"/>
    </row>
    <row r="66" spans="7:8">
      <c r="G66" s="250"/>
      <c r="H66" s="250"/>
    </row>
    <row r="67" spans="7:8">
      <c r="G67" s="250"/>
      <c r="H67" s="250"/>
    </row>
    <row r="68" spans="7:8">
      <c r="G68" s="250"/>
      <c r="H68" s="250"/>
    </row>
  </sheetData>
  <mergeCells count="1">
    <mergeCell ref="F5:H5"/>
  </mergeCells>
  <hyperlinks>
    <hyperlink ref="J42" r:id="rId1" display="https://web.actuaries.ie/sites/default/files/asp/ASP PRSA-2/ASP PRSA-2 V1.14 final.pdf" xr:uid="{103B88D8-A1DF-45E0-B475-557FF4AF59DA}"/>
    <hyperlink ref="E46" r:id="rId2" display="../../../../../../../../:x:/r/teams/IE0055-5232174/Shared Documents/Product Workstream/Customer Documentation/AGL historic TERs and Calc or TER Ranges.xlsx?d=w6eb858c0d17b477485ecf53e14955d79&amp;csf=1&amp;web=1&amp;e=V6Xy8p" xr:uid="{3FF8CBB0-FC51-49AE-8770-35FC2AC02AE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E84F5-466C-48BD-ADB4-4A8D16EAA2F8}">
  <sheetPr codeName="Sheet9"/>
  <dimension ref="A2:E153"/>
  <sheetViews>
    <sheetView workbookViewId="0"/>
  </sheetViews>
  <sheetFormatPr defaultColWidth="9.140625" defaultRowHeight="13.5"/>
  <cols>
    <col min="1" max="1" width="18.42578125" style="1" customWidth="1"/>
    <col min="2" max="5" width="22.5703125" style="1" customWidth="1"/>
    <col min="6" max="16384" width="9.140625" style="1"/>
  </cols>
  <sheetData>
    <row r="2" spans="1:5">
      <c r="B2" s="2"/>
      <c r="C2" s="2"/>
      <c r="D2" s="19">
        <f>SRP_Male_qx_adj</f>
        <v>0.42</v>
      </c>
      <c r="E2" s="19">
        <f>SRP_Female_qx_adj</f>
        <v>0.5</v>
      </c>
    </row>
    <row r="4" spans="1:5">
      <c r="A4" s="5" t="s">
        <v>150</v>
      </c>
      <c r="B4" s="6" t="s">
        <v>151</v>
      </c>
      <c r="C4" s="6" t="s">
        <v>152</v>
      </c>
      <c r="D4" s="6" t="s">
        <v>153</v>
      </c>
      <c r="E4" s="6" t="s">
        <v>154</v>
      </c>
    </row>
    <row r="5" spans="1:5">
      <c r="A5" s="7">
        <v>0</v>
      </c>
      <c r="B5" s="235">
        <v>0</v>
      </c>
      <c r="C5" s="235">
        <v>0</v>
      </c>
      <c r="D5" s="12">
        <f>B5*D$2</f>
        <v>0</v>
      </c>
      <c r="E5" s="12">
        <f>C5*E$2</f>
        <v>0</v>
      </c>
    </row>
    <row r="6" spans="1:5">
      <c r="A6" s="7">
        <v>16</v>
      </c>
      <c r="B6" s="235">
        <v>0</v>
      </c>
      <c r="C6" s="235">
        <v>0</v>
      </c>
      <c r="D6" s="12">
        <f t="shared" ref="D6:D69" si="0">B6*D$2</f>
        <v>0</v>
      </c>
      <c r="E6" s="12">
        <f t="shared" ref="E6:E69" si="1">C6*E$2</f>
        <v>0</v>
      </c>
    </row>
    <row r="7" spans="1:5">
      <c r="A7" s="7">
        <v>17</v>
      </c>
      <c r="B7" s="235">
        <v>0</v>
      </c>
      <c r="C7" s="235">
        <v>0</v>
      </c>
      <c r="D7" s="12">
        <f t="shared" si="0"/>
        <v>0</v>
      </c>
      <c r="E7" s="12">
        <f t="shared" si="1"/>
        <v>0</v>
      </c>
    </row>
    <row r="8" spans="1:5">
      <c r="A8" s="7">
        <v>18</v>
      </c>
      <c r="B8" s="235">
        <v>0</v>
      </c>
      <c r="C8" s="235">
        <v>0</v>
      </c>
      <c r="D8" s="12">
        <f t="shared" si="0"/>
        <v>0</v>
      </c>
      <c r="E8" s="12">
        <f t="shared" si="1"/>
        <v>0</v>
      </c>
    </row>
    <row r="9" spans="1:5">
      <c r="A9" s="7">
        <v>19</v>
      </c>
      <c r="B9" s="235">
        <v>0</v>
      </c>
      <c r="C9" s="235">
        <v>0</v>
      </c>
      <c r="D9" s="12">
        <f t="shared" si="0"/>
        <v>0</v>
      </c>
      <c r="E9" s="12">
        <f t="shared" si="1"/>
        <v>0</v>
      </c>
    </row>
    <row r="10" spans="1:5">
      <c r="A10" s="7">
        <v>20</v>
      </c>
      <c r="B10" s="236">
        <v>1.0300000000000001E-3</v>
      </c>
      <c r="C10" s="236">
        <v>3.3E-4</v>
      </c>
      <c r="D10" s="12">
        <f t="shared" si="0"/>
        <v>4.3260000000000005E-4</v>
      </c>
      <c r="E10" s="12">
        <f t="shared" si="1"/>
        <v>1.65E-4</v>
      </c>
    </row>
    <row r="11" spans="1:5">
      <c r="A11" s="7">
        <v>21</v>
      </c>
      <c r="B11" s="236">
        <v>1.09E-3</v>
      </c>
      <c r="C11" s="236">
        <v>3.1E-4</v>
      </c>
      <c r="D11" s="13">
        <f t="shared" si="0"/>
        <v>4.5780000000000001E-4</v>
      </c>
      <c r="E11" s="13">
        <f t="shared" si="1"/>
        <v>1.55E-4</v>
      </c>
    </row>
    <row r="12" spans="1:5">
      <c r="A12" s="7">
        <v>22</v>
      </c>
      <c r="B12" s="236">
        <v>1.1299999999999999E-3</v>
      </c>
      <c r="C12" s="236">
        <v>2.9999999999999997E-4</v>
      </c>
      <c r="D12" s="13">
        <f t="shared" si="0"/>
        <v>4.7459999999999994E-4</v>
      </c>
      <c r="E12" s="13">
        <f t="shared" si="1"/>
        <v>1.4999999999999999E-4</v>
      </c>
    </row>
    <row r="13" spans="1:5">
      <c r="A13" s="7">
        <v>23</v>
      </c>
      <c r="B13" s="236">
        <v>1.1199999999999999E-3</v>
      </c>
      <c r="C13" s="236">
        <v>2.9999999999999997E-4</v>
      </c>
      <c r="D13" s="13">
        <f t="shared" si="0"/>
        <v>4.7039999999999994E-4</v>
      </c>
      <c r="E13" s="13">
        <f t="shared" si="1"/>
        <v>1.4999999999999999E-4</v>
      </c>
    </row>
    <row r="14" spans="1:5">
      <c r="A14" s="7">
        <v>24</v>
      </c>
      <c r="B14" s="236">
        <v>1.07E-3</v>
      </c>
      <c r="C14" s="236">
        <v>3.1E-4</v>
      </c>
      <c r="D14" s="13">
        <f t="shared" si="0"/>
        <v>4.4939999999999997E-4</v>
      </c>
      <c r="E14" s="13">
        <f t="shared" si="1"/>
        <v>1.55E-4</v>
      </c>
    </row>
    <row r="15" spans="1:5">
      <c r="A15" s="7">
        <v>25</v>
      </c>
      <c r="B15" s="236">
        <v>1.01E-3</v>
      </c>
      <c r="C15" s="236">
        <v>3.1E-4</v>
      </c>
      <c r="D15" s="13">
        <f t="shared" si="0"/>
        <v>4.2420000000000001E-4</v>
      </c>
      <c r="E15" s="13">
        <f t="shared" si="1"/>
        <v>1.55E-4</v>
      </c>
    </row>
    <row r="16" spans="1:5">
      <c r="A16" s="7">
        <v>26</v>
      </c>
      <c r="B16" s="236">
        <v>9.5E-4</v>
      </c>
      <c r="C16" s="236">
        <v>3.2000000000000003E-4</v>
      </c>
      <c r="D16" s="13">
        <f t="shared" si="0"/>
        <v>3.9899999999999999E-4</v>
      </c>
      <c r="E16" s="13">
        <f t="shared" si="1"/>
        <v>1.6000000000000001E-4</v>
      </c>
    </row>
    <row r="17" spans="1:5">
      <c r="A17" s="7">
        <v>27</v>
      </c>
      <c r="B17" s="236">
        <v>9.2000000000000003E-4</v>
      </c>
      <c r="C17" s="236">
        <v>3.3E-4</v>
      </c>
      <c r="D17" s="13">
        <f t="shared" si="0"/>
        <v>3.8640000000000001E-4</v>
      </c>
      <c r="E17" s="13">
        <f t="shared" si="1"/>
        <v>1.65E-4</v>
      </c>
    </row>
    <row r="18" spans="1:5">
      <c r="A18" s="7">
        <v>28</v>
      </c>
      <c r="B18" s="236">
        <v>9.2000000000000003E-4</v>
      </c>
      <c r="C18" s="236">
        <v>3.4000000000000002E-4</v>
      </c>
      <c r="D18" s="13">
        <f t="shared" si="0"/>
        <v>3.8640000000000001E-4</v>
      </c>
      <c r="E18" s="13">
        <f t="shared" si="1"/>
        <v>1.7000000000000001E-4</v>
      </c>
    </row>
    <row r="19" spans="1:5">
      <c r="A19" s="7">
        <v>29</v>
      </c>
      <c r="B19" s="236">
        <v>9.3999999999999997E-4</v>
      </c>
      <c r="C19" s="236">
        <v>3.5E-4</v>
      </c>
      <c r="D19" s="13">
        <f t="shared" si="0"/>
        <v>3.9479999999999995E-4</v>
      </c>
      <c r="E19" s="13">
        <f t="shared" si="1"/>
        <v>1.75E-4</v>
      </c>
    </row>
    <row r="20" spans="1:5">
      <c r="A20" s="7">
        <v>30</v>
      </c>
      <c r="B20" s="236">
        <v>9.7000000000000005E-4</v>
      </c>
      <c r="C20" s="236">
        <v>3.6000000000000002E-4</v>
      </c>
      <c r="D20" s="13">
        <f t="shared" si="0"/>
        <v>4.0739999999999998E-4</v>
      </c>
      <c r="E20" s="13">
        <f t="shared" si="1"/>
        <v>1.8000000000000001E-4</v>
      </c>
    </row>
    <row r="21" spans="1:5">
      <c r="A21" s="7">
        <v>31</v>
      </c>
      <c r="B21" s="236">
        <v>1.01E-3</v>
      </c>
      <c r="C21" s="236">
        <v>3.8000000000000002E-4</v>
      </c>
      <c r="D21" s="13">
        <f t="shared" si="0"/>
        <v>4.2420000000000001E-4</v>
      </c>
      <c r="E21" s="13">
        <f t="shared" si="1"/>
        <v>1.9000000000000001E-4</v>
      </c>
    </row>
    <row r="22" spans="1:5">
      <c r="A22" s="7">
        <v>32</v>
      </c>
      <c r="B22" s="236">
        <v>1.0399999999999999E-3</v>
      </c>
      <c r="C22" s="236">
        <v>4.0000000000000002E-4</v>
      </c>
      <c r="D22" s="13">
        <f t="shared" si="0"/>
        <v>4.3679999999999994E-4</v>
      </c>
      <c r="E22" s="13">
        <f t="shared" si="1"/>
        <v>2.0000000000000001E-4</v>
      </c>
    </row>
    <row r="23" spans="1:5">
      <c r="A23" s="7">
        <v>33</v>
      </c>
      <c r="B23" s="236">
        <v>1.0499999999999999E-3</v>
      </c>
      <c r="C23" s="236">
        <v>4.2999999999999999E-4</v>
      </c>
      <c r="D23" s="13">
        <f t="shared" si="0"/>
        <v>4.4099999999999993E-4</v>
      </c>
      <c r="E23" s="13">
        <f t="shared" si="1"/>
        <v>2.1499999999999999E-4</v>
      </c>
    </row>
    <row r="24" spans="1:5">
      <c r="A24" s="7">
        <v>34</v>
      </c>
      <c r="B24" s="236">
        <v>1.0499999999999999E-3</v>
      </c>
      <c r="C24" s="236">
        <v>4.6000000000000001E-4</v>
      </c>
      <c r="D24" s="13">
        <f t="shared" si="0"/>
        <v>4.4099999999999993E-4</v>
      </c>
      <c r="E24" s="13">
        <f t="shared" si="1"/>
        <v>2.3000000000000001E-4</v>
      </c>
    </row>
    <row r="25" spans="1:5">
      <c r="A25" s="7">
        <v>35</v>
      </c>
      <c r="B25" s="236">
        <v>1.0499999999999999E-3</v>
      </c>
      <c r="C25" s="236">
        <v>4.8999999999999998E-4</v>
      </c>
      <c r="D25" s="13">
        <f t="shared" si="0"/>
        <v>4.4099999999999993E-4</v>
      </c>
      <c r="E25" s="13">
        <f t="shared" si="1"/>
        <v>2.4499999999999999E-4</v>
      </c>
    </row>
    <row r="26" spans="1:5">
      <c r="A26" s="7">
        <v>36</v>
      </c>
      <c r="B26" s="236">
        <v>1.07E-3</v>
      </c>
      <c r="C26" s="236">
        <v>5.4000000000000001E-4</v>
      </c>
      <c r="D26" s="13">
        <f t="shared" si="0"/>
        <v>4.4939999999999997E-4</v>
      </c>
      <c r="E26" s="13">
        <f t="shared" si="1"/>
        <v>2.7E-4</v>
      </c>
    </row>
    <row r="27" spans="1:5">
      <c r="A27" s="7">
        <v>37</v>
      </c>
      <c r="B27" s="236">
        <v>1.1199999999999999E-3</v>
      </c>
      <c r="C27" s="236">
        <v>5.9000000000000003E-4</v>
      </c>
      <c r="D27" s="13">
        <f t="shared" si="0"/>
        <v>4.7039999999999994E-4</v>
      </c>
      <c r="E27" s="13">
        <f t="shared" si="1"/>
        <v>2.9500000000000001E-4</v>
      </c>
    </row>
    <row r="28" spans="1:5">
      <c r="A28" s="7">
        <v>38</v>
      </c>
      <c r="B28" s="236">
        <v>1.2099999999999999E-3</v>
      </c>
      <c r="C28" s="236">
        <v>6.4999999999999997E-4</v>
      </c>
      <c r="D28" s="13">
        <f t="shared" si="0"/>
        <v>5.0819999999999999E-4</v>
      </c>
      <c r="E28" s="13">
        <f t="shared" si="1"/>
        <v>3.2499999999999999E-4</v>
      </c>
    </row>
    <row r="29" spans="1:5">
      <c r="A29" s="7">
        <v>39</v>
      </c>
      <c r="B29" s="236">
        <v>1.31E-3</v>
      </c>
      <c r="C29" s="236">
        <v>7.2000000000000005E-4</v>
      </c>
      <c r="D29" s="13">
        <f t="shared" si="0"/>
        <v>5.5019999999999993E-4</v>
      </c>
      <c r="E29" s="13">
        <f t="shared" si="1"/>
        <v>3.6000000000000002E-4</v>
      </c>
    </row>
    <row r="30" spans="1:5">
      <c r="A30" s="7">
        <v>40</v>
      </c>
      <c r="B30" s="236">
        <v>1.4400000000000001E-3</v>
      </c>
      <c r="C30" s="236">
        <v>8.0000000000000004E-4</v>
      </c>
      <c r="D30" s="13">
        <f t="shared" si="0"/>
        <v>6.0480000000000006E-4</v>
      </c>
      <c r="E30" s="13">
        <f t="shared" si="1"/>
        <v>4.0000000000000002E-4</v>
      </c>
    </row>
    <row r="31" spans="1:5">
      <c r="A31" s="7">
        <v>41</v>
      </c>
      <c r="B31" s="236">
        <v>1.58E-3</v>
      </c>
      <c r="C31" s="236">
        <v>8.8999999999999995E-4</v>
      </c>
      <c r="D31" s="13">
        <f t="shared" si="0"/>
        <v>6.6359999999999998E-4</v>
      </c>
      <c r="E31" s="13">
        <f t="shared" si="1"/>
        <v>4.4499999999999997E-4</v>
      </c>
    </row>
    <row r="32" spans="1:5">
      <c r="A32" s="7">
        <v>42</v>
      </c>
      <c r="B32" s="236">
        <v>1.73E-3</v>
      </c>
      <c r="C32" s="236">
        <v>1.01E-3</v>
      </c>
      <c r="D32" s="13">
        <f t="shared" si="0"/>
        <v>7.2659999999999999E-4</v>
      </c>
      <c r="E32" s="13">
        <f t="shared" si="1"/>
        <v>5.0500000000000002E-4</v>
      </c>
    </row>
    <row r="33" spans="1:5">
      <c r="A33" s="7">
        <v>43</v>
      </c>
      <c r="B33" s="236">
        <v>1.8799999999999999E-3</v>
      </c>
      <c r="C33" s="236">
        <v>1.15E-3</v>
      </c>
      <c r="D33" s="13">
        <f t="shared" si="0"/>
        <v>7.8959999999999989E-4</v>
      </c>
      <c r="E33" s="13">
        <f t="shared" si="1"/>
        <v>5.7499999999999999E-4</v>
      </c>
    </row>
    <row r="34" spans="1:5">
      <c r="A34" s="7">
        <v>44</v>
      </c>
      <c r="B34" s="236">
        <v>2.0400000000000001E-3</v>
      </c>
      <c r="C34" s="236">
        <v>1.32E-3</v>
      </c>
      <c r="D34" s="13">
        <f t="shared" si="0"/>
        <v>8.5680000000000001E-4</v>
      </c>
      <c r="E34" s="13">
        <f t="shared" si="1"/>
        <v>6.6E-4</v>
      </c>
    </row>
    <row r="35" spans="1:5">
      <c r="A35" s="7">
        <v>45</v>
      </c>
      <c r="B35" s="236">
        <v>2.2200000000000002E-3</v>
      </c>
      <c r="C35" s="236">
        <v>1.5E-3</v>
      </c>
      <c r="D35" s="13">
        <f t="shared" si="0"/>
        <v>9.324E-4</v>
      </c>
      <c r="E35" s="13">
        <f t="shared" si="1"/>
        <v>7.5000000000000002E-4</v>
      </c>
    </row>
    <row r="36" spans="1:5">
      <c r="A36" s="7">
        <v>46</v>
      </c>
      <c r="B36" s="236">
        <v>2.4199999999999998E-3</v>
      </c>
      <c r="C36" s="236">
        <v>1.6900000000000001E-3</v>
      </c>
      <c r="D36" s="13">
        <f t="shared" si="0"/>
        <v>1.0164E-3</v>
      </c>
      <c r="E36" s="13">
        <f t="shared" si="1"/>
        <v>8.4500000000000005E-4</v>
      </c>
    </row>
    <row r="37" spans="1:5">
      <c r="A37" s="7">
        <v>47</v>
      </c>
      <c r="B37" s="236">
        <v>2.65E-3</v>
      </c>
      <c r="C37" s="236">
        <v>1.8699999999999999E-3</v>
      </c>
      <c r="D37" s="13">
        <f t="shared" si="0"/>
        <v>1.1130000000000001E-3</v>
      </c>
      <c r="E37" s="13">
        <f t="shared" si="1"/>
        <v>9.3499999999999996E-4</v>
      </c>
    </row>
    <row r="38" spans="1:5">
      <c r="A38" s="7">
        <v>48</v>
      </c>
      <c r="B38" s="236">
        <v>2.9099999999999998E-3</v>
      </c>
      <c r="C38" s="236">
        <v>2.0200000000000001E-3</v>
      </c>
      <c r="D38" s="13">
        <f t="shared" si="0"/>
        <v>1.2221999999999999E-3</v>
      </c>
      <c r="E38" s="13">
        <f t="shared" si="1"/>
        <v>1.01E-3</v>
      </c>
    </row>
    <row r="39" spans="1:5">
      <c r="A39" s="7">
        <v>49</v>
      </c>
      <c r="B39" s="236">
        <v>3.2000000000000002E-3</v>
      </c>
      <c r="C39" s="236">
        <v>2.1700000000000001E-3</v>
      </c>
      <c r="D39" s="13">
        <f t="shared" si="0"/>
        <v>1.3439999999999999E-3</v>
      </c>
      <c r="E39" s="13">
        <f t="shared" si="1"/>
        <v>1.085E-3</v>
      </c>
    </row>
    <row r="40" spans="1:5">
      <c r="A40" s="7">
        <v>50</v>
      </c>
      <c r="B40" s="236">
        <v>3.5100000000000001E-3</v>
      </c>
      <c r="C40" s="236">
        <v>2.32E-3</v>
      </c>
      <c r="D40" s="13">
        <f t="shared" si="0"/>
        <v>1.4741999999999999E-3</v>
      </c>
      <c r="E40" s="13">
        <f t="shared" si="1"/>
        <v>1.16E-3</v>
      </c>
    </row>
    <row r="41" spans="1:5">
      <c r="A41" s="7">
        <v>51</v>
      </c>
      <c r="B41" s="236">
        <v>3.8600000000000001E-3</v>
      </c>
      <c r="C41" s="236">
        <v>2.49E-3</v>
      </c>
      <c r="D41" s="13">
        <f t="shared" si="0"/>
        <v>1.6211999999999999E-3</v>
      </c>
      <c r="E41" s="13">
        <f t="shared" si="1"/>
        <v>1.245E-3</v>
      </c>
    </row>
    <row r="42" spans="1:5">
      <c r="A42" s="7">
        <v>52</v>
      </c>
      <c r="B42" s="236">
        <v>4.2399999999999998E-3</v>
      </c>
      <c r="C42" s="236">
        <v>2.7100000000000002E-3</v>
      </c>
      <c r="D42" s="13">
        <f t="shared" si="0"/>
        <v>1.7807999999999999E-3</v>
      </c>
      <c r="E42" s="13">
        <f t="shared" si="1"/>
        <v>1.3550000000000001E-3</v>
      </c>
    </row>
    <row r="43" spans="1:5">
      <c r="A43" s="7">
        <v>53</v>
      </c>
      <c r="B43" s="236">
        <v>4.6299999999999996E-3</v>
      </c>
      <c r="C43" s="236">
        <v>2.9499999999999999E-3</v>
      </c>
      <c r="D43" s="13">
        <f t="shared" si="0"/>
        <v>1.9445999999999997E-3</v>
      </c>
      <c r="E43" s="13">
        <f t="shared" si="1"/>
        <v>1.475E-3</v>
      </c>
    </row>
    <row r="44" spans="1:5">
      <c r="A44" s="7">
        <v>54</v>
      </c>
      <c r="B44" s="236">
        <v>5.0499999999999998E-3</v>
      </c>
      <c r="C44" s="236">
        <v>3.2299999999999998E-3</v>
      </c>
      <c r="D44" s="13">
        <f t="shared" si="0"/>
        <v>2.1209999999999996E-3</v>
      </c>
      <c r="E44" s="13">
        <f t="shared" si="1"/>
        <v>1.6149999999999999E-3</v>
      </c>
    </row>
    <row r="45" spans="1:5">
      <c r="A45" s="7">
        <v>55</v>
      </c>
      <c r="B45" s="236">
        <v>5.5100000000000001E-3</v>
      </c>
      <c r="C45" s="236">
        <v>3.5300000000000002E-3</v>
      </c>
      <c r="D45" s="13">
        <f t="shared" si="0"/>
        <v>2.3141999999999998E-3</v>
      </c>
      <c r="E45" s="13">
        <f t="shared" si="1"/>
        <v>1.7650000000000001E-3</v>
      </c>
    </row>
    <row r="46" spans="1:5">
      <c r="A46" s="7">
        <v>56</v>
      </c>
      <c r="B46" s="236">
        <v>6.0299999999999998E-3</v>
      </c>
      <c r="C46" s="236">
        <v>3.8800000000000002E-3</v>
      </c>
      <c r="D46" s="13">
        <f t="shared" si="0"/>
        <v>2.5325999999999999E-3</v>
      </c>
      <c r="E46" s="13">
        <f t="shared" si="1"/>
        <v>1.9400000000000001E-3</v>
      </c>
    </row>
    <row r="47" spans="1:5">
      <c r="A47" s="7">
        <v>57</v>
      </c>
      <c r="B47" s="236">
        <v>6.6499999999999997E-3</v>
      </c>
      <c r="C47" s="236">
        <v>4.2599999999999999E-3</v>
      </c>
      <c r="D47" s="13">
        <f t="shared" si="0"/>
        <v>2.7929999999999999E-3</v>
      </c>
      <c r="E47" s="13">
        <f t="shared" si="1"/>
        <v>2.1299999999999999E-3</v>
      </c>
    </row>
    <row r="48" spans="1:5">
      <c r="A48" s="7">
        <v>58</v>
      </c>
      <c r="B48" s="236">
        <v>7.3600000000000002E-3</v>
      </c>
      <c r="C48" s="236">
        <v>4.6800000000000001E-3</v>
      </c>
      <c r="D48" s="13">
        <f t="shared" si="0"/>
        <v>3.0912000000000001E-3</v>
      </c>
      <c r="E48" s="13">
        <f t="shared" si="1"/>
        <v>2.3400000000000001E-3</v>
      </c>
    </row>
    <row r="49" spans="1:5">
      <c r="A49" s="7">
        <v>59</v>
      </c>
      <c r="B49" s="236">
        <v>8.1499999999999993E-3</v>
      </c>
      <c r="C49" s="236">
        <v>5.1399999999999996E-3</v>
      </c>
      <c r="D49" s="13">
        <f t="shared" si="0"/>
        <v>3.4229999999999994E-3</v>
      </c>
      <c r="E49" s="13">
        <f t="shared" si="1"/>
        <v>2.5699999999999998E-3</v>
      </c>
    </row>
    <row r="50" spans="1:5">
      <c r="A50" s="7">
        <v>60</v>
      </c>
      <c r="B50" s="236">
        <v>9.0200000000000002E-3</v>
      </c>
      <c r="C50" s="236">
        <v>5.64E-3</v>
      </c>
      <c r="D50" s="13">
        <f t="shared" si="0"/>
        <v>3.7883999999999999E-3</v>
      </c>
      <c r="E50" s="13">
        <f t="shared" si="1"/>
        <v>2.82E-3</v>
      </c>
    </row>
    <row r="51" spans="1:5">
      <c r="A51" s="7">
        <v>61</v>
      </c>
      <c r="B51" s="236">
        <v>9.9900000000000006E-3</v>
      </c>
      <c r="C51" s="236">
        <v>6.1999999999999998E-3</v>
      </c>
      <c r="D51" s="13">
        <f t="shared" si="0"/>
        <v>4.1958000000000004E-3</v>
      </c>
      <c r="E51" s="13">
        <f t="shared" si="1"/>
        <v>3.0999999999999999E-3</v>
      </c>
    </row>
    <row r="52" spans="1:5">
      <c r="A52" s="7">
        <v>62</v>
      </c>
      <c r="B52" s="236">
        <v>1.107E-2</v>
      </c>
      <c r="C52" s="236">
        <v>6.8100000000000001E-3</v>
      </c>
      <c r="D52" s="13">
        <f t="shared" si="0"/>
        <v>4.6493999999999997E-3</v>
      </c>
      <c r="E52" s="13">
        <f t="shared" si="1"/>
        <v>3.405E-3</v>
      </c>
    </row>
    <row r="53" spans="1:5">
      <c r="A53" s="7">
        <v>63</v>
      </c>
      <c r="B53" s="236">
        <v>1.222E-2</v>
      </c>
      <c r="C53" s="236">
        <v>7.45E-3</v>
      </c>
      <c r="D53" s="13">
        <f t="shared" si="0"/>
        <v>5.1323999999999996E-3</v>
      </c>
      <c r="E53" s="13">
        <f t="shared" si="1"/>
        <v>3.725E-3</v>
      </c>
    </row>
    <row r="54" spans="1:5">
      <c r="A54" s="7">
        <v>64</v>
      </c>
      <c r="B54" s="236">
        <v>1.3429999999999999E-2</v>
      </c>
      <c r="C54" s="236">
        <v>8.1200000000000005E-3</v>
      </c>
      <c r="D54" s="13">
        <f t="shared" si="0"/>
        <v>5.6405999999999991E-3</v>
      </c>
      <c r="E54" s="13">
        <f t="shared" si="1"/>
        <v>4.0600000000000002E-3</v>
      </c>
    </row>
    <row r="55" spans="1:5">
      <c r="A55" s="7">
        <v>65</v>
      </c>
      <c r="B55" s="236">
        <v>1.478E-2</v>
      </c>
      <c r="C55" s="236">
        <v>8.8699999999999994E-3</v>
      </c>
      <c r="D55" s="13">
        <f t="shared" si="0"/>
        <v>6.2075999999999998E-3</v>
      </c>
      <c r="E55" s="13">
        <f t="shared" si="1"/>
        <v>4.4349999999999997E-3</v>
      </c>
    </row>
    <row r="56" spans="1:5">
      <c r="A56" s="7">
        <v>66</v>
      </c>
      <c r="B56" s="236">
        <v>1.6330000000000001E-2</v>
      </c>
      <c r="C56" s="236">
        <v>9.7300000000000008E-3</v>
      </c>
      <c r="D56" s="13">
        <f t="shared" si="0"/>
        <v>6.8586000000000003E-3</v>
      </c>
      <c r="E56" s="13">
        <f t="shared" si="1"/>
        <v>4.8650000000000004E-3</v>
      </c>
    </row>
    <row r="57" spans="1:5">
      <c r="A57" s="7">
        <v>67</v>
      </c>
      <c r="B57" s="236">
        <v>1.8149999999999999E-2</v>
      </c>
      <c r="C57" s="236">
        <v>1.078E-2</v>
      </c>
      <c r="D57" s="13">
        <f t="shared" si="0"/>
        <v>7.6229999999999996E-3</v>
      </c>
      <c r="E57" s="13">
        <f t="shared" si="1"/>
        <v>5.3899999999999998E-3</v>
      </c>
    </row>
    <row r="58" spans="1:5">
      <c r="A58" s="7">
        <v>68</v>
      </c>
      <c r="B58" s="236">
        <v>2.0230000000000001E-2</v>
      </c>
      <c r="C58" s="236">
        <v>1.201E-2</v>
      </c>
      <c r="D58" s="13">
        <f t="shared" si="0"/>
        <v>8.4966E-3</v>
      </c>
      <c r="E58" s="13">
        <f t="shared" si="1"/>
        <v>6.0049999999999999E-3</v>
      </c>
    </row>
    <row r="59" spans="1:5">
      <c r="A59" s="7">
        <v>69</v>
      </c>
      <c r="B59" s="236">
        <v>2.2540000000000001E-2</v>
      </c>
      <c r="C59" s="236">
        <v>1.338E-2</v>
      </c>
      <c r="D59" s="13">
        <f t="shared" si="0"/>
        <v>9.4668000000000009E-3</v>
      </c>
      <c r="E59" s="13">
        <f t="shared" si="1"/>
        <v>6.6899999999999998E-3</v>
      </c>
    </row>
    <row r="60" spans="1:5">
      <c r="A60" s="7">
        <v>70</v>
      </c>
      <c r="B60" s="236">
        <v>2.513E-2</v>
      </c>
      <c r="C60" s="236">
        <v>1.4919999999999999E-2</v>
      </c>
      <c r="D60" s="13">
        <f t="shared" si="0"/>
        <v>1.0554599999999999E-2</v>
      </c>
      <c r="E60" s="13">
        <f t="shared" si="1"/>
        <v>7.4599999999999996E-3</v>
      </c>
    </row>
    <row r="61" spans="1:5">
      <c r="A61" s="7">
        <v>71</v>
      </c>
      <c r="B61" s="236">
        <v>2.8039999999999999E-2</v>
      </c>
      <c r="C61" s="236">
        <v>1.6650000000000002E-2</v>
      </c>
      <c r="D61" s="13">
        <f t="shared" si="0"/>
        <v>1.1776799999999999E-2</v>
      </c>
      <c r="E61" s="13">
        <f t="shared" si="1"/>
        <v>8.3250000000000008E-3</v>
      </c>
    </row>
    <row r="62" spans="1:5">
      <c r="A62" s="7">
        <v>72</v>
      </c>
      <c r="B62" s="236">
        <v>3.1329999999999997E-2</v>
      </c>
      <c r="C62" s="236">
        <v>1.8589999999999999E-2</v>
      </c>
      <c r="D62" s="13">
        <f t="shared" si="0"/>
        <v>1.3158599999999998E-2</v>
      </c>
      <c r="E62" s="13">
        <f t="shared" si="1"/>
        <v>9.2949999999999994E-3</v>
      </c>
    </row>
    <row r="63" spans="1:5">
      <c r="A63" s="7">
        <v>73</v>
      </c>
      <c r="B63" s="236">
        <v>3.5000000000000003E-2</v>
      </c>
      <c r="C63" s="236">
        <v>2.061E-2</v>
      </c>
      <c r="D63" s="13">
        <f t="shared" si="0"/>
        <v>1.4700000000000001E-2</v>
      </c>
      <c r="E63" s="13">
        <f t="shared" si="1"/>
        <v>1.0305E-2</v>
      </c>
    </row>
    <row r="64" spans="1:5">
      <c r="A64" s="7">
        <v>74</v>
      </c>
      <c r="B64" s="236">
        <v>3.9030000000000002E-2</v>
      </c>
      <c r="C64" s="236">
        <v>2.2700000000000001E-2</v>
      </c>
      <c r="D64" s="13">
        <f t="shared" si="0"/>
        <v>1.63926E-2</v>
      </c>
      <c r="E64" s="13">
        <f t="shared" si="1"/>
        <v>1.1350000000000001E-2</v>
      </c>
    </row>
    <row r="65" spans="1:5">
      <c r="A65" s="7">
        <v>75</v>
      </c>
      <c r="B65" s="236">
        <v>4.3520000000000003E-2</v>
      </c>
      <c r="C65" s="236">
        <v>2.5090000000000001E-2</v>
      </c>
      <c r="D65" s="13">
        <f t="shared" si="0"/>
        <v>1.82784E-2</v>
      </c>
      <c r="E65" s="13">
        <f t="shared" si="1"/>
        <v>1.2545000000000001E-2</v>
      </c>
    </row>
    <row r="66" spans="1:5">
      <c r="A66" s="7">
        <v>76</v>
      </c>
      <c r="B66" s="236">
        <v>4.8570000000000002E-2</v>
      </c>
      <c r="C66" s="236">
        <v>2.802E-2</v>
      </c>
      <c r="D66" s="13">
        <f t="shared" si="0"/>
        <v>2.0399400000000002E-2</v>
      </c>
      <c r="E66" s="13">
        <f t="shared" si="1"/>
        <v>1.401E-2</v>
      </c>
    </row>
    <row r="67" spans="1:5">
      <c r="A67" s="7">
        <v>77</v>
      </c>
      <c r="B67" s="236">
        <v>5.4289999999999998E-2</v>
      </c>
      <c r="C67" s="236">
        <v>3.1780000000000003E-2</v>
      </c>
      <c r="D67" s="13">
        <f t="shared" si="0"/>
        <v>2.2801799999999997E-2</v>
      </c>
      <c r="E67" s="13">
        <f t="shared" si="1"/>
        <v>1.5890000000000001E-2</v>
      </c>
    </row>
    <row r="68" spans="1:5">
      <c r="A68" s="7">
        <v>78</v>
      </c>
      <c r="B68" s="236">
        <v>6.0850000000000001E-2</v>
      </c>
      <c r="C68" s="236">
        <v>3.6549999999999999E-2</v>
      </c>
      <c r="D68" s="13">
        <f t="shared" si="0"/>
        <v>2.5557E-2</v>
      </c>
      <c r="E68" s="13">
        <f t="shared" si="1"/>
        <v>1.8275E-2</v>
      </c>
    </row>
    <row r="69" spans="1:5">
      <c r="A69" s="7">
        <v>79</v>
      </c>
      <c r="B69" s="236">
        <v>6.8309999999999996E-2</v>
      </c>
      <c r="C69" s="236">
        <v>4.2279999999999998E-2</v>
      </c>
      <c r="D69" s="13">
        <f t="shared" si="0"/>
        <v>2.8690199999999996E-2</v>
      </c>
      <c r="E69" s="13">
        <f t="shared" si="1"/>
        <v>2.1139999999999999E-2</v>
      </c>
    </row>
    <row r="70" spans="1:5">
      <c r="A70" s="7">
        <v>80</v>
      </c>
      <c r="B70" s="236">
        <v>7.6560000000000003E-2</v>
      </c>
      <c r="C70" s="236">
        <v>4.8849999999999998E-2</v>
      </c>
      <c r="D70" s="13">
        <f t="shared" ref="D70:D108" si="2">B70*D$2</f>
        <v>3.2155200000000002E-2</v>
      </c>
      <c r="E70" s="13">
        <f t="shared" ref="E70:E109" si="3">C70*E$2</f>
        <v>2.4424999999999999E-2</v>
      </c>
    </row>
    <row r="71" spans="1:5">
      <c r="A71" s="7">
        <v>81</v>
      </c>
      <c r="B71" s="236">
        <v>8.5500000000000007E-2</v>
      </c>
      <c r="C71" s="236">
        <v>5.6129999999999999E-2</v>
      </c>
      <c r="D71" s="13">
        <f t="shared" si="2"/>
        <v>3.5910000000000004E-2</v>
      </c>
      <c r="E71" s="13">
        <f t="shared" si="3"/>
        <v>2.8065E-2</v>
      </c>
    </row>
    <row r="72" spans="1:5">
      <c r="A72" s="7">
        <v>82</v>
      </c>
      <c r="B72" s="236">
        <v>9.4960000000000003E-2</v>
      </c>
      <c r="C72" s="236">
        <v>6.3950000000000007E-2</v>
      </c>
      <c r="D72" s="13">
        <f t="shared" si="2"/>
        <v>3.9883200000000001E-2</v>
      </c>
      <c r="E72" s="13">
        <f t="shared" si="3"/>
        <v>3.1975000000000003E-2</v>
      </c>
    </row>
    <row r="73" spans="1:5">
      <c r="A73" s="7">
        <v>83</v>
      </c>
      <c r="B73" s="236">
        <v>0.10508000000000001</v>
      </c>
      <c r="C73" s="236">
        <v>7.2489999999999999E-2</v>
      </c>
      <c r="D73" s="13">
        <f t="shared" si="2"/>
        <v>4.4133600000000002E-2</v>
      </c>
      <c r="E73" s="13">
        <f t="shared" si="3"/>
        <v>3.6244999999999999E-2</v>
      </c>
    </row>
    <row r="74" spans="1:5">
      <c r="A74" s="7">
        <v>84</v>
      </c>
      <c r="B74" s="236">
        <v>0.11605</v>
      </c>
      <c r="C74" s="236">
        <v>8.1979999999999997E-2</v>
      </c>
      <c r="D74" s="13">
        <f t="shared" si="2"/>
        <v>4.8741E-2</v>
      </c>
      <c r="E74" s="13">
        <f t="shared" si="3"/>
        <v>4.0989999999999999E-2</v>
      </c>
    </row>
    <row r="75" spans="1:5">
      <c r="A75" s="7">
        <v>85</v>
      </c>
      <c r="B75" s="236">
        <v>0.12783</v>
      </c>
      <c r="C75" s="236">
        <v>9.2329999999999995E-2</v>
      </c>
      <c r="D75" s="13">
        <f t="shared" si="2"/>
        <v>5.3688599999999996E-2</v>
      </c>
      <c r="E75" s="13">
        <f t="shared" si="3"/>
        <v>4.6164999999999998E-2</v>
      </c>
    </row>
    <row r="76" spans="1:5">
      <c r="A76" s="7">
        <v>86</v>
      </c>
      <c r="B76" s="236">
        <v>0.14030000000000001</v>
      </c>
      <c r="C76" s="236">
        <v>0.10342999999999999</v>
      </c>
      <c r="D76" s="13">
        <f t="shared" si="2"/>
        <v>5.8925999999999999E-2</v>
      </c>
      <c r="E76" s="13">
        <f t="shared" si="3"/>
        <v>5.1714999999999997E-2</v>
      </c>
    </row>
    <row r="77" spans="1:5">
      <c r="A77" s="7">
        <v>87</v>
      </c>
      <c r="B77" s="236">
        <v>0.15334999999999999</v>
      </c>
      <c r="C77" s="236">
        <v>0.11512</v>
      </c>
      <c r="D77" s="13">
        <f t="shared" si="2"/>
        <v>6.4406999999999992E-2</v>
      </c>
      <c r="E77" s="13">
        <f t="shared" si="3"/>
        <v>5.756E-2</v>
      </c>
    </row>
    <row r="78" spans="1:5">
      <c r="A78" s="7">
        <v>88</v>
      </c>
      <c r="B78" s="236">
        <v>0.16714999999999999</v>
      </c>
      <c r="C78" s="236">
        <v>0.12762999999999999</v>
      </c>
      <c r="D78" s="13">
        <f t="shared" si="2"/>
        <v>7.0202999999999988E-2</v>
      </c>
      <c r="E78" s="13">
        <f t="shared" si="3"/>
        <v>6.3814999999999997E-2</v>
      </c>
    </row>
    <row r="79" spans="1:5">
      <c r="A79" s="7">
        <v>89</v>
      </c>
      <c r="B79" s="236">
        <v>0.18167</v>
      </c>
      <c r="C79" s="236">
        <v>0.1409</v>
      </c>
      <c r="D79" s="13">
        <f t="shared" si="2"/>
        <v>7.6301399999999991E-2</v>
      </c>
      <c r="E79" s="13">
        <f t="shared" si="3"/>
        <v>7.0449999999999999E-2</v>
      </c>
    </row>
    <row r="80" spans="1:5">
      <c r="A80" s="7">
        <v>90</v>
      </c>
      <c r="B80" s="236">
        <v>0.19689000000000001</v>
      </c>
      <c r="C80" s="236">
        <v>0.15493000000000001</v>
      </c>
      <c r="D80" s="13">
        <f t="shared" si="2"/>
        <v>8.2693799999999998E-2</v>
      </c>
      <c r="E80" s="13">
        <f t="shared" si="3"/>
        <v>7.7465000000000006E-2</v>
      </c>
    </row>
    <row r="81" spans="1:5">
      <c r="A81" s="7">
        <v>91</v>
      </c>
      <c r="B81" s="236">
        <v>0.21282000000000001</v>
      </c>
      <c r="C81" s="236">
        <v>0.16972000000000001</v>
      </c>
      <c r="D81" s="13">
        <f t="shared" si="2"/>
        <v>8.9384400000000003E-2</v>
      </c>
      <c r="E81" s="13">
        <f t="shared" si="3"/>
        <v>8.4860000000000005E-2</v>
      </c>
    </row>
    <row r="82" spans="1:5">
      <c r="A82" s="7">
        <v>92</v>
      </c>
      <c r="B82" s="236">
        <v>0.22946</v>
      </c>
      <c r="C82" s="236">
        <v>0.18526999999999999</v>
      </c>
      <c r="D82" s="13">
        <f t="shared" si="2"/>
        <v>9.6373199999999992E-2</v>
      </c>
      <c r="E82" s="13">
        <f t="shared" si="3"/>
        <v>9.2634999999999995E-2</v>
      </c>
    </row>
    <row r="83" spans="1:5">
      <c r="A83" s="7">
        <v>93</v>
      </c>
      <c r="B83" s="236">
        <v>0.24679999999999999</v>
      </c>
      <c r="C83" s="236">
        <v>0.20158000000000001</v>
      </c>
      <c r="D83" s="13">
        <f t="shared" si="2"/>
        <v>0.103656</v>
      </c>
      <c r="E83" s="13">
        <f t="shared" si="3"/>
        <v>0.10079</v>
      </c>
    </row>
    <row r="84" spans="1:5">
      <c r="A84" s="7">
        <v>94</v>
      </c>
      <c r="B84" s="236">
        <v>0.26485999999999998</v>
      </c>
      <c r="C84" s="236">
        <v>0.21865000000000001</v>
      </c>
      <c r="D84" s="13">
        <f t="shared" si="2"/>
        <v>0.11124119999999998</v>
      </c>
      <c r="E84" s="13">
        <f t="shared" si="3"/>
        <v>0.10932500000000001</v>
      </c>
    </row>
    <row r="85" spans="1:5">
      <c r="A85" s="7">
        <v>95</v>
      </c>
      <c r="B85" s="236">
        <v>0.28362999999999999</v>
      </c>
      <c r="C85" s="236">
        <v>0.23648</v>
      </c>
      <c r="D85" s="13">
        <f t="shared" si="2"/>
        <v>0.1191246</v>
      </c>
      <c r="E85" s="13">
        <f t="shared" si="3"/>
        <v>0.11824</v>
      </c>
    </row>
    <row r="86" spans="1:5">
      <c r="A86" s="7">
        <v>96</v>
      </c>
      <c r="B86" s="236">
        <v>0.30309999999999998</v>
      </c>
      <c r="C86" s="236">
        <v>0.25507000000000002</v>
      </c>
      <c r="D86" s="13">
        <f t="shared" si="2"/>
        <v>0.127302</v>
      </c>
      <c r="E86" s="13">
        <f t="shared" si="3"/>
        <v>0.12753500000000001</v>
      </c>
    </row>
    <row r="87" spans="1:5">
      <c r="A87" s="7">
        <v>97</v>
      </c>
      <c r="B87" s="236">
        <v>0.32328000000000001</v>
      </c>
      <c r="C87" s="236">
        <v>0.27440999999999999</v>
      </c>
      <c r="D87" s="13">
        <f t="shared" si="2"/>
        <v>0.1357776</v>
      </c>
      <c r="E87" s="13">
        <f t="shared" si="3"/>
        <v>0.13720499999999999</v>
      </c>
    </row>
    <row r="88" spans="1:5">
      <c r="A88" s="7">
        <v>98</v>
      </c>
      <c r="B88" s="236">
        <v>0.34416999999999998</v>
      </c>
      <c r="C88" s="236">
        <v>0.29452</v>
      </c>
      <c r="D88" s="13">
        <f t="shared" si="2"/>
        <v>0.1445514</v>
      </c>
      <c r="E88" s="13">
        <f t="shared" si="3"/>
        <v>0.14726</v>
      </c>
    </row>
    <row r="89" spans="1:5">
      <c r="A89" s="7">
        <v>99</v>
      </c>
      <c r="B89" s="236">
        <v>0.36576999999999998</v>
      </c>
      <c r="C89" s="236">
        <v>0.31539</v>
      </c>
      <c r="D89" s="13">
        <f t="shared" si="2"/>
        <v>0.15362339999999999</v>
      </c>
      <c r="E89" s="13">
        <f t="shared" si="3"/>
        <v>0.157695</v>
      </c>
    </row>
    <row r="90" spans="1:5">
      <c r="A90" s="7">
        <v>100</v>
      </c>
      <c r="B90" s="236">
        <v>0.38807999999999998</v>
      </c>
      <c r="C90" s="236">
        <v>0.33701999999999999</v>
      </c>
      <c r="D90" s="13">
        <f t="shared" si="2"/>
        <v>0.16299359999999999</v>
      </c>
      <c r="E90" s="13">
        <f t="shared" si="3"/>
        <v>0.16850999999999999</v>
      </c>
    </row>
    <row r="91" spans="1:5">
      <c r="A91" s="7">
        <v>101</v>
      </c>
      <c r="B91" s="236">
        <v>0.41110000000000002</v>
      </c>
      <c r="C91" s="236">
        <v>0.3594</v>
      </c>
      <c r="D91" s="13">
        <f t="shared" si="2"/>
        <v>0.17266200000000001</v>
      </c>
      <c r="E91" s="13">
        <f t="shared" si="3"/>
        <v>0.1797</v>
      </c>
    </row>
    <row r="92" spans="1:5">
      <c r="A92" s="7">
        <v>102</v>
      </c>
      <c r="B92" s="236">
        <v>0.43482999999999999</v>
      </c>
      <c r="C92" s="236">
        <v>0.38255</v>
      </c>
      <c r="D92" s="13">
        <f t="shared" si="2"/>
        <v>0.1826286</v>
      </c>
      <c r="E92" s="13">
        <f t="shared" si="3"/>
        <v>0.191275</v>
      </c>
    </row>
    <row r="93" spans="1:5">
      <c r="A93" s="7">
        <v>103</v>
      </c>
      <c r="B93" s="236">
        <v>0.45926</v>
      </c>
      <c r="C93" s="236">
        <v>0.40644999999999998</v>
      </c>
      <c r="D93" s="13">
        <f t="shared" si="2"/>
        <v>0.19288919999999998</v>
      </c>
      <c r="E93" s="13">
        <f t="shared" si="3"/>
        <v>0.20322499999999999</v>
      </c>
    </row>
    <row r="94" spans="1:5">
      <c r="A94" s="7">
        <v>104</v>
      </c>
      <c r="B94" s="236">
        <v>0.48441000000000001</v>
      </c>
      <c r="C94" s="236">
        <v>0.43112</v>
      </c>
      <c r="D94" s="13">
        <f t="shared" si="2"/>
        <v>0.2034522</v>
      </c>
      <c r="E94" s="13">
        <f t="shared" si="3"/>
        <v>0.21556</v>
      </c>
    </row>
    <row r="95" spans="1:5">
      <c r="A95" s="7">
        <v>105</v>
      </c>
      <c r="B95" s="236">
        <v>0.51026000000000005</v>
      </c>
      <c r="C95" s="236">
        <v>0.45654</v>
      </c>
      <c r="D95" s="13">
        <f t="shared" si="2"/>
        <v>0.21430920000000001</v>
      </c>
      <c r="E95" s="13">
        <f t="shared" si="3"/>
        <v>0.22827</v>
      </c>
    </row>
    <row r="96" spans="1:5">
      <c r="A96" s="7">
        <v>106</v>
      </c>
      <c r="B96" s="236">
        <v>0.51026000000000005</v>
      </c>
      <c r="C96" s="236">
        <v>0.45654</v>
      </c>
      <c r="D96" s="13">
        <f t="shared" si="2"/>
        <v>0.21430920000000001</v>
      </c>
      <c r="E96" s="13">
        <f t="shared" si="3"/>
        <v>0.22827</v>
      </c>
    </row>
    <row r="97" spans="1:5">
      <c r="A97" s="7">
        <v>107</v>
      </c>
      <c r="B97" s="236">
        <v>0.51026000000000005</v>
      </c>
      <c r="C97" s="236">
        <v>0.45654</v>
      </c>
      <c r="D97" s="13">
        <f t="shared" si="2"/>
        <v>0.21430920000000001</v>
      </c>
      <c r="E97" s="13">
        <f t="shared" si="3"/>
        <v>0.22827</v>
      </c>
    </row>
    <row r="98" spans="1:5">
      <c r="A98" s="7">
        <v>108</v>
      </c>
      <c r="B98" s="236">
        <v>0.51026000000000005</v>
      </c>
      <c r="C98" s="236">
        <v>0.45654</v>
      </c>
      <c r="D98" s="13">
        <f t="shared" si="2"/>
        <v>0.21430920000000001</v>
      </c>
      <c r="E98" s="13">
        <f t="shared" si="3"/>
        <v>0.22827</v>
      </c>
    </row>
    <row r="99" spans="1:5">
      <c r="A99" s="7">
        <v>109</v>
      </c>
      <c r="B99" s="236">
        <v>0.51026000000000005</v>
      </c>
      <c r="C99" s="236">
        <v>0.45654</v>
      </c>
      <c r="D99" s="13">
        <f t="shared" si="2"/>
        <v>0.21430920000000001</v>
      </c>
      <c r="E99" s="13">
        <f t="shared" si="3"/>
        <v>0.22827</v>
      </c>
    </row>
    <row r="100" spans="1:5">
      <c r="A100" s="7">
        <v>110</v>
      </c>
      <c r="B100" s="236">
        <v>0.51026000000000005</v>
      </c>
      <c r="C100" s="236">
        <v>0.45654</v>
      </c>
      <c r="D100" s="13">
        <f t="shared" si="2"/>
        <v>0.21430920000000001</v>
      </c>
      <c r="E100" s="13">
        <f t="shared" si="3"/>
        <v>0.22827</v>
      </c>
    </row>
    <row r="101" spans="1:5">
      <c r="A101" s="7">
        <v>111</v>
      </c>
      <c r="B101" s="236">
        <v>0.51026000000000005</v>
      </c>
      <c r="C101" s="236">
        <v>0.45654</v>
      </c>
      <c r="D101" s="13">
        <f t="shared" si="2"/>
        <v>0.21430920000000001</v>
      </c>
      <c r="E101" s="13">
        <f t="shared" si="3"/>
        <v>0.22827</v>
      </c>
    </row>
    <row r="102" spans="1:5">
      <c r="A102" s="7">
        <v>112</v>
      </c>
      <c r="B102" s="236">
        <v>0.51026000000000005</v>
      </c>
      <c r="C102" s="236">
        <v>0.45654</v>
      </c>
      <c r="D102" s="13">
        <f t="shared" si="2"/>
        <v>0.21430920000000001</v>
      </c>
      <c r="E102" s="13">
        <f t="shared" si="3"/>
        <v>0.22827</v>
      </c>
    </row>
    <row r="103" spans="1:5">
      <c r="A103" s="7">
        <v>113</v>
      </c>
      <c r="B103" s="236">
        <v>0.51026000000000005</v>
      </c>
      <c r="C103" s="236">
        <v>0.45654</v>
      </c>
      <c r="D103" s="13">
        <f t="shared" si="2"/>
        <v>0.21430920000000001</v>
      </c>
      <c r="E103" s="13">
        <f t="shared" si="3"/>
        <v>0.22827</v>
      </c>
    </row>
    <row r="104" spans="1:5">
      <c r="A104" s="7">
        <v>114</v>
      </c>
      <c r="B104" s="236">
        <v>0.51026000000000005</v>
      </c>
      <c r="C104" s="236">
        <v>0.45654</v>
      </c>
      <c r="D104" s="13">
        <f t="shared" si="2"/>
        <v>0.21430920000000001</v>
      </c>
      <c r="E104" s="13">
        <f t="shared" si="3"/>
        <v>0.22827</v>
      </c>
    </row>
    <row r="105" spans="1:5">
      <c r="A105" s="7">
        <v>115</v>
      </c>
      <c r="B105" s="236">
        <v>0.51026000000000005</v>
      </c>
      <c r="C105" s="236">
        <v>0.45654</v>
      </c>
      <c r="D105" s="13">
        <f t="shared" si="2"/>
        <v>0.21430920000000001</v>
      </c>
      <c r="E105" s="13">
        <f t="shared" si="3"/>
        <v>0.22827</v>
      </c>
    </row>
    <row r="106" spans="1:5">
      <c r="A106" s="7">
        <v>116</v>
      </c>
      <c r="B106" s="236">
        <v>0.51026000000000005</v>
      </c>
      <c r="C106" s="236">
        <v>0.45654</v>
      </c>
      <c r="D106" s="13">
        <f t="shared" si="2"/>
        <v>0.21430920000000001</v>
      </c>
      <c r="E106" s="13">
        <f t="shared" si="3"/>
        <v>0.22827</v>
      </c>
    </row>
    <row r="107" spans="1:5">
      <c r="A107" s="7">
        <v>117</v>
      </c>
      <c r="B107" s="236">
        <v>0.51026000000000005</v>
      </c>
      <c r="C107" s="236">
        <v>0.45654</v>
      </c>
      <c r="D107" s="13">
        <f t="shared" si="2"/>
        <v>0.21430920000000001</v>
      </c>
      <c r="E107" s="13">
        <f t="shared" si="3"/>
        <v>0.22827</v>
      </c>
    </row>
    <row r="108" spans="1:5">
      <c r="A108" s="7">
        <v>118</v>
      </c>
      <c r="B108" s="236">
        <v>0.51026000000000005</v>
      </c>
      <c r="C108" s="236">
        <v>0.45654</v>
      </c>
      <c r="D108" s="13">
        <f t="shared" si="2"/>
        <v>0.21430920000000001</v>
      </c>
      <c r="E108" s="13">
        <f t="shared" si="3"/>
        <v>0.22827</v>
      </c>
    </row>
    <row r="109" spans="1:5">
      <c r="A109" s="7">
        <v>119</v>
      </c>
      <c r="B109" s="236">
        <v>0.51026000000000005</v>
      </c>
      <c r="C109" s="236">
        <v>0.45654</v>
      </c>
      <c r="D109" s="13">
        <f>B109*D$2</f>
        <v>0.21430920000000001</v>
      </c>
      <c r="E109" s="13">
        <f t="shared" si="3"/>
        <v>0.22827</v>
      </c>
    </row>
    <row r="110" spans="1:5">
      <c r="A110" s="7">
        <v>120</v>
      </c>
      <c r="B110" s="236">
        <v>1</v>
      </c>
      <c r="C110" s="236">
        <v>1</v>
      </c>
      <c r="D110" s="130">
        <v>1</v>
      </c>
      <c r="E110" s="130">
        <v>1</v>
      </c>
    </row>
    <row r="111" spans="1:5">
      <c r="A111" s="7">
        <f>A110+1</f>
        <v>121</v>
      </c>
      <c r="B111" s="235">
        <v>1</v>
      </c>
      <c r="C111" s="235">
        <v>1</v>
      </c>
      <c r="D111" s="130">
        <v>1</v>
      </c>
      <c r="E111" s="130">
        <v>1</v>
      </c>
    </row>
    <row r="112" spans="1:5">
      <c r="A112" s="7">
        <f t="shared" ref="A112:A153" si="4">A111+1</f>
        <v>122</v>
      </c>
      <c r="B112" s="235">
        <v>1</v>
      </c>
      <c r="C112" s="235">
        <v>1</v>
      </c>
      <c r="D112" s="130">
        <v>1</v>
      </c>
      <c r="E112" s="130">
        <v>1</v>
      </c>
    </row>
    <row r="113" spans="1:5">
      <c r="A113" s="7">
        <f t="shared" si="4"/>
        <v>123</v>
      </c>
      <c r="B113" s="235">
        <v>1</v>
      </c>
      <c r="C113" s="235">
        <v>1</v>
      </c>
      <c r="D113" s="130">
        <v>1</v>
      </c>
      <c r="E113" s="130">
        <v>1</v>
      </c>
    </row>
    <row r="114" spans="1:5">
      <c r="A114" s="7">
        <f t="shared" si="4"/>
        <v>124</v>
      </c>
      <c r="B114" s="235">
        <v>1</v>
      </c>
      <c r="C114" s="235">
        <v>1</v>
      </c>
      <c r="D114" s="130">
        <v>1</v>
      </c>
      <c r="E114" s="130">
        <v>1</v>
      </c>
    </row>
    <row r="115" spans="1:5">
      <c r="A115" s="7">
        <f t="shared" si="4"/>
        <v>125</v>
      </c>
      <c r="B115" s="235">
        <v>1</v>
      </c>
      <c r="C115" s="235">
        <v>1</v>
      </c>
      <c r="D115" s="130">
        <v>1</v>
      </c>
      <c r="E115" s="130">
        <v>1</v>
      </c>
    </row>
    <row r="116" spans="1:5">
      <c r="A116" s="7">
        <f t="shared" si="4"/>
        <v>126</v>
      </c>
      <c r="B116" s="235">
        <v>1</v>
      </c>
      <c r="C116" s="235">
        <v>1</v>
      </c>
      <c r="D116" s="130">
        <v>1</v>
      </c>
      <c r="E116" s="130">
        <v>1</v>
      </c>
    </row>
    <row r="117" spans="1:5">
      <c r="A117" s="7">
        <f t="shared" si="4"/>
        <v>127</v>
      </c>
      <c r="B117" s="235">
        <v>1</v>
      </c>
      <c r="C117" s="235">
        <v>1</v>
      </c>
      <c r="D117" s="130">
        <v>1</v>
      </c>
      <c r="E117" s="130">
        <v>1</v>
      </c>
    </row>
    <row r="118" spans="1:5">
      <c r="A118" s="7">
        <f t="shared" si="4"/>
        <v>128</v>
      </c>
      <c r="B118" s="235">
        <v>1</v>
      </c>
      <c r="C118" s="235">
        <v>1</v>
      </c>
      <c r="D118" s="130">
        <v>1</v>
      </c>
      <c r="E118" s="130">
        <v>1</v>
      </c>
    </row>
    <row r="119" spans="1:5">
      <c r="A119" s="7">
        <f t="shared" si="4"/>
        <v>129</v>
      </c>
      <c r="B119" s="235">
        <v>1</v>
      </c>
      <c r="C119" s="235">
        <v>1</v>
      </c>
      <c r="D119" s="130">
        <v>1</v>
      </c>
      <c r="E119" s="130">
        <v>1</v>
      </c>
    </row>
    <row r="120" spans="1:5">
      <c r="A120" s="7">
        <f t="shared" si="4"/>
        <v>130</v>
      </c>
      <c r="B120" s="235">
        <v>1</v>
      </c>
      <c r="C120" s="235">
        <v>1</v>
      </c>
      <c r="D120" s="130">
        <v>1</v>
      </c>
      <c r="E120" s="130">
        <v>1</v>
      </c>
    </row>
    <row r="121" spans="1:5">
      <c r="A121" s="7">
        <f t="shared" si="4"/>
        <v>131</v>
      </c>
      <c r="B121" s="235">
        <v>1</v>
      </c>
      <c r="C121" s="235">
        <v>1</v>
      </c>
      <c r="D121" s="130">
        <v>1</v>
      </c>
      <c r="E121" s="130">
        <v>1</v>
      </c>
    </row>
    <row r="122" spans="1:5">
      <c r="A122" s="7">
        <f t="shared" si="4"/>
        <v>132</v>
      </c>
      <c r="B122" s="235">
        <v>1</v>
      </c>
      <c r="C122" s="235">
        <v>1</v>
      </c>
      <c r="D122" s="130">
        <v>1</v>
      </c>
      <c r="E122" s="130">
        <v>1</v>
      </c>
    </row>
    <row r="123" spans="1:5">
      <c r="A123" s="7">
        <f t="shared" si="4"/>
        <v>133</v>
      </c>
      <c r="B123" s="235">
        <v>1</v>
      </c>
      <c r="C123" s="235">
        <v>1</v>
      </c>
      <c r="D123" s="130">
        <v>1</v>
      </c>
      <c r="E123" s="130">
        <v>1</v>
      </c>
    </row>
    <row r="124" spans="1:5">
      <c r="A124" s="7">
        <f t="shared" si="4"/>
        <v>134</v>
      </c>
      <c r="B124" s="235">
        <v>1</v>
      </c>
      <c r="C124" s="235">
        <v>1</v>
      </c>
      <c r="D124" s="130">
        <v>1</v>
      </c>
      <c r="E124" s="130">
        <v>1</v>
      </c>
    </row>
    <row r="125" spans="1:5">
      <c r="A125" s="7">
        <f t="shared" si="4"/>
        <v>135</v>
      </c>
      <c r="B125" s="235">
        <v>1</v>
      </c>
      <c r="C125" s="235">
        <v>1</v>
      </c>
      <c r="D125" s="130">
        <v>1</v>
      </c>
      <c r="E125" s="130">
        <v>1</v>
      </c>
    </row>
    <row r="126" spans="1:5">
      <c r="A126" s="7">
        <f t="shared" si="4"/>
        <v>136</v>
      </c>
      <c r="B126" s="235">
        <v>1</v>
      </c>
      <c r="C126" s="235">
        <v>1</v>
      </c>
      <c r="D126" s="130">
        <v>1</v>
      </c>
      <c r="E126" s="130">
        <v>1</v>
      </c>
    </row>
    <row r="127" spans="1:5">
      <c r="A127" s="7">
        <f t="shared" si="4"/>
        <v>137</v>
      </c>
      <c r="B127" s="235">
        <v>1</v>
      </c>
      <c r="C127" s="235">
        <v>1</v>
      </c>
      <c r="D127" s="130">
        <v>1</v>
      </c>
      <c r="E127" s="130">
        <v>1</v>
      </c>
    </row>
    <row r="128" spans="1:5">
      <c r="A128" s="7">
        <f t="shared" si="4"/>
        <v>138</v>
      </c>
      <c r="B128" s="235">
        <v>1</v>
      </c>
      <c r="C128" s="235">
        <v>1</v>
      </c>
      <c r="D128" s="130">
        <v>1</v>
      </c>
      <c r="E128" s="130">
        <v>1</v>
      </c>
    </row>
    <row r="129" spans="1:5">
      <c r="A129" s="7">
        <f t="shared" si="4"/>
        <v>139</v>
      </c>
      <c r="B129" s="235">
        <v>1</v>
      </c>
      <c r="C129" s="235">
        <v>1</v>
      </c>
      <c r="D129" s="130">
        <v>1</v>
      </c>
      <c r="E129" s="130">
        <v>1</v>
      </c>
    </row>
    <row r="130" spans="1:5">
      <c r="A130" s="7">
        <f t="shared" si="4"/>
        <v>140</v>
      </c>
      <c r="B130" s="235">
        <v>1</v>
      </c>
      <c r="C130" s="235">
        <v>1</v>
      </c>
      <c r="D130" s="130">
        <v>1</v>
      </c>
      <c r="E130" s="130">
        <v>1</v>
      </c>
    </row>
    <row r="131" spans="1:5">
      <c r="A131" s="7">
        <f t="shared" si="4"/>
        <v>141</v>
      </c>
      <c r="B131" s="235">
        <v>1</v>
      </c>
      <c r="C131" s="235">
        <v>1</v>
      </c>
      <c r="D131" s="130">
        <v>1</v>
      </c>
      <c r="E131" s="130">
        <v>1</v>
      </c>
    </row>
    <row r="132" spans="1:5">
      <c r="A132" s="7">
        <f t="shared" si="4"/>
        <v>142</v>
      </c>
      <c r="B132" s="235">
        <v>1</v>
      </c>
      <c r="C132" s="235">
        <v>1</v>
      </c>
      <c r="D132" s="130">
        <v>1</v>
      </c>
      <c r="E132" s="130">
        <v>1</v>
      </c>
    </row>
    <row r="133" spans="1:5">
      <c r="A133" s="7">
        <f t="shared" si="4"/>
        <v>143</v>
      </c>
      <c r="B133" s="235">
        <v>1</v>
      </c>
      <c r="C133" s="235">
        <v>1</v>
      </c>
      <c r="D133" s="130">
        <v>1</v>
      </c>
      <c r="E133" s="130">
        <v>1</v>
      </c>
    </row>
    <row r="134" spans="1:5">
      <c r="A134" s="7">
        <f t="shared" si="4"/>
        <v>144</v>
      </c>
      <c r="B134" s="235">
        <v>1</v>
      </c>
      <c r="C134" s="235">
        <v>1</v>
      </c>
      <c r="D134" s="130">
        <v>1</v>
      </c>
      <c r="E134" s="130">
        <v>1</v>
      </c>
    </row>
    <row r="135" spans="1:5">
      <c r="A135" s="7">
        <f t="shared" si="4"/>
        <v>145</v>
      </c>
      <c r="B135" s="235">
        <v>1</v>
      </c>
      <c r="C135" s="235">
        <v>1</v>
      </c>
      <c r="D135" s="130">
        <v>1</v>
      </c>
      <c r="E135" s="130">
        <v>1</v>
      </c>
    </row>
    <row r="136" spans="1:5">
      <c r="A136" s="7">
        <f t="shared" si="4"/>
        <v>146</v>
      </c>
      <c r="B136" s="235">
        <v>1</v>
      </c>
      <c r="C136" s="235">
        <v>1</v>
      </c>
      <c r="D136" s="130">
        <v>1</v>
      </c>
      <c r="E136" s="130">
        <v>1</v>
      </c>
    </row>
    <row r="137" spans="1:5">
      <c r="A137" s="7">
        <f t="shared" si="4"/>
        <v>147</v>
      </c>
      <c r="B137" s="235">
        <v>1</v>
      </c>
      <c r="C137" s="235">
        <v>1</v>
      </c>
      <c r="D137" s="130">
        <v>1</v>
      </c>
      <c r="E137" s="130">
        <v>1</v>
      </c>
    </row>
    <row r="138" spans="1:5">
      <c r="A138" s="7">
        <f t="shared" si="4"/>
        <v>148</v>
      </c>
      <c r="B138" s="235">
        <v>1</v>
      </c>
      <c r="C138" s="235">
        <v>1</v>
      </c>
      <c r="D138" s="130">
        <v>1</v>
      </c>
      <c r="E138" s="130">
        <v>1</v>
      </c>
    </row>
    <row r="139" spans="1:5">
      <c r="A139" s="7">
        <f t="shared" si="4"/>
        <v>149</v>
      </c>
      <c r="B139" s="235">
        <v>1</v>
      </c>
      <c r="C139" s="235">
        <v>1</v>
      </c>
      <c r="D139" s="130">
        <v>1</v>
      </c>
      <c r="E139" s="130">
        <v>1</v>
      </c>
    </row>
    <row r="140" spans="1:5">
      <c r="A140" s="7">
        <f t="shared" si="4"/>
        <v>150</v>
      </c>
      <c r="B140" s="235">
        <v>1</v>
      </c>
      <c r="C140" s="235">
        <v>1</v>
      </c>
      <c r="D140" s="130">
        <v>1</v>
      </c>
      <c r="E140" s="130">
        <v>1</v>
      </c>
    </row>
    <row r="141" spans="1:5">
      <c r="A141" s="7">
        <f t="shared" si="4"/>
        <v>151</v>
      </c>
      <c r="B141" s="235">
        <v>1</v>
      </c>
      <c r="C141" s="235">
        <v>1</v>
      </c>
      <c r="D141" s="130">
        <v>1</v>
      </c>
      <c r="E141" s="130">
        <v>1</v>
      </c>
    </row>
    <row r="142" spans="1:5">
      <c r="A142" s="7">
        <f t="shared" si="4"/>
        <v>152</v>
      </c>
      <c r="B142" s="235">
        <v>1</v>
      </c>
      <c r="C142" s="235">
        <v>1</v>
      </c>
      <c r="D142" s="130">
        <v>1</v>
      </c>
      <c r="E142" s="130">
        <v>1</v>
      </c>
    </row>
    <row r="143" spans="1:5">
      <c r="A143" s="7">
        <f t="shared" si="4"/>
        <v>153</v>
      </c>
      <c r="B143" s="235">
        <v>1</v>
      </c>
      <c r="C143" s="235">
        <v>1</v>
      </c>
      <c r="D143" s="130">
        <v>1</v>
      </c>
      <c r="E143" s="130">
        <v>1</v>
      </c>
    </row>
    <row r="144" spans="1:5">
      <c r="A144" s="7">
        <f t="shared" si="4"/>
        <v>154</v>
      </c>
      <c r="B144" s="235">
        <v>1</v>
      </c>
      <c r="C144" s="235">
        <v>1</v>
      </c>
      <c r="D144" s="130">
        <v>1</v>
      </c>
      <c r="E144" s="130">
        <v>1</v>
      </c>
    </row>
    <row r="145" spans="1:5">
      <c r="A145" s="7">
        <f t="shared" si="4"/>
        <v>155</v>
      </c>
      <c r="B145" s="235">
        <v>1</v>
      </c>
      <c r="C145" s="235">
        <v>1</v>
      </c>
      <c r="D145" s="130">
        <v>1</v>
      </c>
      <c r="E145" s="130">
        <v>1</v>
      </c>
    </row>
    <row r="146" spans="1:5">
      <c r="A146" s="7">
        <f t="shared" si="4"/>
        <v>156</v>
      </c>
      <c r="B146" s="235">
        <v>1</v>
      </c>
      <c r="C146" s="235">
        <v>1</v>
      </c>
      <c r="D146" s="130">
        <v>1</v>
      </c>
      <c r="E146" s="130">
        <v>1</v>
      </c>
    </row>
    <row r="147" spans="1:5">
      <c r="A147" s="7">
        <f t="shared" si="4"/>
        <v>157</v>
      </c>
      <c r="B147" s="235">
        <v>1</v>
      </c>
      <c r="C147" s="235">
        <v>1</v>
      </c>
      <c r="D147" s="130">
        <v>1</v>
      </c>
      <c r="E147" s="130">
        <v>1</v>
      </c>
    </row>
    <row r="148" spans="1:5">
      <c r="A148" s="7">
        <f t="shared" si="4"/>
        <v>158</v>
      </c>
      <c r="B148" s="235">
        <v>1</v>
      </c>
      <c r="C148" s="235">
        <v>1</v>
      </c>
      <c r="D148" s="130">
        <v>1</v>
      </c>
      <c r="E148" s="130">
        <v>1</v>
      </c>
    </row>
    <row r="149" spans="1:5">
      <c r="A149" s="7">
        <f t="shared" si="4"/>
        <v>159</v>
      </c>
      <c r="B149" s="235">
        <v>1</v>
      </c>
      <c r="C149" s="235">
        <v>1</v>
      </c>
      <c r="D149" s="130">
        <v>1</v>
      </c>
      <c r="E149" s="130">
        <v>1</v>
      </c>
    </row>
    <row r="150" spans="1:5">
      <c r="A150" s="7">
        <f t="shared" si="4"/>
        <v>160</v>
      </c>
      <c r="B150" s="235">
        <v>1</v>
      </c>
      <c r="C150" s="235">
        <v>1</v>
      </c>
      <c r="D150" s="130">
        <v>1</v>
      </c>
      <c r="E150" s="130">
        <v>1</v>
      </c>
    </row>
    <row r="151" spans="1:5">
      <c r="A151" s="7">
        <f t="shared" si="4"/>
        <v>161</v>
      </c>
      <c r="B151" s="235">
        <v>1</v>
      </c>
      <c r="C151" s="235">
        <v>1</v>
      </c>
      <c r="D151" s="130">
        <v>1</v>
      </c>
      <c r="E151" s="130">
        <v>1</v>
      </c>
    </row>
    <row r="152" spans="1:5">
      <c r="A152" s="7">
        <f t="shared" si="4"/>
        <v>162</v>
      </c>
      <c r="B152" s="235">
        <v>1</v>
      </c>
      <c r="C152" s="235">
        <v>1</v>
      </c>
      <c r="D152" s="130">
        <v>1</v>
      </c>
      <c r="E152" s="130">
        <v>1</v>
      </c>
    </row>
    <row r="153" spans="1:5">
      <c r="A153" s="7">
        <f t="shared" si="4"/>
        <v>163</v>
      </c>
      <c r="B153" s="235">
        <v>1</v>
      </c>
      <c r="C153" s="235">
        <v>1</v>
      </c>
      <c r="D153" s="130">
        <v>1</v>
      </c>
      <c r="E153" s="130">
        <v>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ED981-1D34-4818-8EE5-7614CED9CD87}">
  <sheetPr codeName="Sheet10"/>
  <dimension ref="B1:T9"/>
  <sheetViews>
    <sheetView workbookViewId="0"/>
  </sheetViews>
  <sheetFormatPr defaultRowHeight="15"/>
  <cols>
    <col min="19" max="19" width="16.140625" bestFit="1" customWidth="1"/>
  </cols>
  <sheetData>
    <row r="1" spans="2:20">
      <c r="B1" s="242" t="s">
        <v>155</v>
      </c>
    </row>
    <row r="8" spans="2:20">
      <c r="S8" t="s">
        <v>156</v>
      </c>
      <c r="T8" s="30">
        <v>5.1290000000000002E-2</v>
      </c>
    </row>
    <row r="9" spans="2:20">
      <c r="S9" t="s">
        <v>157</v>
      </c>
      <c r="T9">
        <f>12/T8</f>
        <v>233.96373562097872</v>
      </c>
    </row>
  </sheetData>
  <hyperlinks>
    <hyperlink ref="B1" r:id="rId1" xr:uid="{282F22F5-545B-4F29-B97B-90E9A4096AF6}"/>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1233B-41F1-4678-B70D-20FEC84984CB}">
  <sheetPr codeName="Sheet8"/>
  <dimension ref="A1:BP1629"/>
  <sheetViews>
    <sheetView topLeftCell="A4" workbookViewId="0">
      <selection activeCell="I6" sqref="I6"/>
    </sheetView>
  </sheetViews>
  <sheetFormatPr defaultRowHeight="15"/>
  <cols>
    <col min="1" max="1" width="8.42578125" bestFit="1" customWidth="1"/>
    <col min="2" max="2" width="13.140625" bestFit="1" customWidth="1"/>
    <col min="3" max="3" width="24" bestFit="1" customWidth="1"/>
    <col min="4" max="4" width="14.140625" bestFit="1" customWidth="1"/>
    <col min="5" max="5" width="11.28515625" customWidth="1"/>
    <col min="6" max="6" width="10.85546875" customWidth="1"/>
    <col min="7" max="7" width="12.140625" customWidth="1"/>
    <col min="8" max="8" width="11.140625" customWidth="1"/>
    <col min="9" max="9" width="12.140625" style="195" bestFit="1" customWidth="1"/>
    <col min="13" max="13" width="10.140625" customWidth="1"/>
    <col min="14" max="14" width="10.5703125" customWidth="1"/>
    <col min="17" max="17" width="9.140625" style="43"/>
    <col min="19" max="19" width="14.140625" customWidth="1"/>
    <col min="20" max="20" width="24" bestFit="1" customWidth="1"/>
    <col min="21" max="21" width="14.140625" bestFit="1" customWidth="1"/>
    <col min="23" max="23" width="12" bestFit="1" customWidth="1"/>
    <col min="25" max="25" width="12.140625" style="195" bestFit="1" customWidth="1"/>
    <col min="26" max="26" width="10.28515625" customWidth="1"/>
    <col min="27" max="27" width="10" customWidth="1"/>
    <col min="29" max="29" width="10.140625" customWidth="1"/>
    <col min="30" max="30" width="10.5703125" customWidth="1"/>
    <col min="33" max="33" width="9.140625" style="43"/>
    <col min="35" max="35" width="14.140625" customWidth="1"/>
    <col min="36" max="36" width="24" bestFit="1" customWidth="1"/>
    <col min="37" max="37" width="14.140625" bestFit="1" customWidth="1"/>
    <col min="38" max="38" width="11" bestFit="1" customWidth="1"/>
    <col min="39" max="39" width="12" bestFit="1" customWidth="1"/>
    <col min="41" max="41" width="12.140625" style="195" bestFit="1" customWidth="1"/>
    <col min="42" max="42" width="10.28515625" customWidth="1"/>
    <col min="43" max="43" width="10" customWidth="1"/>
    <col min="45" max="45" width="10.140625" customWidth="1"/>
    <col min="46" max="46" width="10.5703125" customWidth="1"/>
    <col min="49" max="49" width="9.140625" style="43"/>
    <col min="51" max="51" width="13.5703125" bestFit="1" customWidth="1"/>
    <col min="52" max="52" width="21.42578125" bestFit="1" customWidth="1"/>
    <col min="53" max="53" width="27" bestFit="1" customWidth="1"/>
    <col min="54" max="56" width="9.28515625" bestFit="1" customWidth="1"/>
    <col min="57" max="57" width="7.5703125" bestFit="1" customWidth="1"/>
    <col min="58" max="59" width="9.28515625" bestFit="1" customWidth="1"/>
    <col min="61" max="61" width="13.28515625" style="195" bestFit="1" customWidth="1"/>
    <col min="64" max="64" width="10.7109375" customWidth="1"/>
    <col min="65" max="65" width="10.140625" customWidth="1"/>
    <col min="66" max="66" width="10.5703125" customWidth="1"/>
  </cols>
  <sheetData>
    <row r="1" spans="1:68" ht="15.75" thickBot="1">
      <c r="D1" s="40" t="s">
        <v>158</v>
      </c>
      <c r="E1" s="75">
        <f>VLOOKUP(E$4,Rates_of_Return,2,FALSE)</f>
        <v>4.2500000000000003E-2</v>
      </c>
      <c r="F1" s="75">
        <f>VLOOKUP(F$4,Rates_of_Return,2,FALSE)</f>
        <v>4.6925000000000001E-2</v>
      </c>
      <c r="G1" s="75">
        <f>VLOOKUP(G$4,Rates_of_Return,2,FALSE)</f>
        <v>6.4624999999999988E-2</v>
      </c>
      <c r="H1" s="75">
        <f>VLOOKUP(H$4,Rates_of_Return,2,FALSE)</f>
        <v>7.1999999999999995E-2</v>
      </c>
      <c r="U1" s="40" t="s">
        <v>158</v>
      </c>
      <c r="V1" s="75">
        <f>VLOOKUP(V$4,Rates_of_Return,2,FALSE)</f>
        <v>6.4624999999999988E-2</v>
      </c>
      <c r="W1" s="75">
        <f>VLOOKUP(W$4,Rates_of_Return,2,FALSE)</f>
        <v>5.1349999999999993E-2</v>
      </c>
      <c r="X1" s="75">
        <f>VLOOKUP(X$4,Rates_of_Return,2,FALSE)</f>
        <v>4.2500000000000003E-2</v>
      </c>
      <c r="AK1" s="40" t="s">
        <v>158</v>
      </c>
      <c r="AL1" s="75">
        <f>VLOOKUP(AL$4,Rates_of_Return,2,FALSE)</f>
        <v>6.4624999999999988E-2</v>
      </c>
      <c r="AM1" s="75">
        <f>VLOOKUP(AM$4,Rates_of_Return,2,FALSE)</f>
        <v>5.1349999999999993E-2</v>
      </c>
      <c r="AN1" s="75">
        <f>VLOOKUP(AN$4,Rates_of_Return,2,FALSE)</f>
        <v>4.2500000000000003E-2</v>
      </c>
      <c r="BA1" s="40" t="s">
        <v>158</v>
      </c>
      <c r="BB1" s="75">
        <f t="shared" ref="BB1:BH1" si="0">VLOOKUP(BB$4,Rates_of_Return,2,FALSE)</f>
        <v>4.2500000000000003E-2</v>
      </c>
      <c r="BC1" s="75">
        <f t="shared" si="0"/>
        <v>4.6925000000000001E-2</v>
      </c>
      <c r="BD1" s="75">
        <f t="shared" si="0"/>
        <v>6.4624999999999988E-2</v>
      </c>
      <c r="BE1" s="75">
        <f t="shared" si="0"/>
        <v>7.1999999999999995E-2</v>
      </c>
      <c r="BF1" s="75">
        <f t="shared" si="0"/>
        <v>6.4624999999999988E-2</v>
      </c>
      <c r="BG1" s="75">
        <f t="shared" si="0"/>
        <v>5.7249999999999995E-2</v>
      </c>
      <c r="BH1" s="75">
        <f t="shared" si="0"/>
        <v>5.1349999999999993E-2</v>
      </c>
    </row>
    <row r="2" spans="1:68" ht="15.75" thickBot="1">
      <c r="D2" s="73" t="s">
        <v>159</v>
      </c>
      <c r="E2" s="75">
        <f t="shared" ref="E2:H2" si="1">VLOOKUP(E$4,External_Man_Chrge,3,FALSE)</f>
        <v>2.3999999999999998E-3</v>
      </c>
      <c r="F2" s="75">
        <f t="shared" si="1"/>
        <v>5.8999999999999999E-3</v>
      </c>
      <c r="G2" s="75">
        <f t="shared" si="1"/>
        <v>7.1999999999999998E-3</v>
      </c>
      <c r="H2" s="75">
        <f t="shared" si="1"/>
        <v>5.0000000000000001E-3</v>
      </c>
      <c r="U2" s="73" t="s">
        <v>159</v>
      </c>
      <c r="V2" s="75">
        <f t="shared" ref="V2:X2" si="2">VLOOKUP(V$4,External_Man_Chrge,3,FALSE)</f>
        <v>2.5000000000000001E-3</v>
      </c>
      <c r="W2" s="75">
        <f t="shared" si="2"/>
        <v>2.5000000000000001E-3</v>
      </c>
      <c r="X2" s="75">
        <f t="shared" si="2"/>
        <v>2.3999999999999998E-3</v>
      </c>
      <c r="AK2" s="73" t="s">
        <v>159</v>
      </c>
      <c r="AL2" s="75">
        <f t="shared" ref="AL2:AN2" si="3">VLOOKUP(AL$4,External_Man_Chrge,3,FALSE)</f>
        <v>2.5000000000000001E-3</v>
      </c>
      <c r="AM2" s="75">
        <f t="shared" si="3"/>
        <v>2.5000000000000001E-3</v>
      </c>
      <c r="AN2" s="75">
        <f t="shared" si="3"/>
        <v>2.3999999999999998E-3</v>
      </c>
      <c r="BA2" s="73" t="s">
        <v>159</v>
      </c>
      <c r="BB2" s="75">
        <f t="shared" ref="BB2:BH2" si="4">VLOOKUP(BB$4,External_Man_Chrge,3,FALSE)</f>
        <v>2.3999999999999998E-3</v>
      </c>
      <c r="BC2" s="75">
        <f t="shared" si="4"/>
        <v>5.8999999999999999E-3</v>
      </c>
      <c r="BD2" s="75">
        <f t="shared" si="4"/>
        <v>7.1999999999999998E-3</v>
      </c>
      <c r="BE2" s="75">
        <f t="shared" si="4"/>
        <v>5.0000000000000001E-3</v>
      </c>
      <c r="BF2" s="75">
        <f t="shared" si="4"/>
        <v>2.5000000000000001E-3</v>
      </c>
      <c r="BG2" s="75">
        <f t="shared" si="4"/>
        <v>2.5000000000000001E-3</v>
      </c>
      <c r="BH2" s="75">
        <f t="shared" si="4"/>
        <v>2.5000000000000001E-3</v>
      </c>
    </row>
    <row r="3" spans="1:68" ht="15.75" thickBot="1">
      <c r="A3" s="290" t="s">
        <v>160</v>
      </c>
      <c r="B3" s="290"/>
      <c r="D3" s="73" t="s">
        <v>161</v>
      </c>
      <c r="E3" s="75">
        <f t="shared" ref="E3:H3" si="5">IFERROR(VLOOKUP(E$4,Gtee_Chrge,2,FALSE),)</f>
        <v>0</v>
      </c>
      <c r="F3" s="75">
        <f t="shared" si="5"/>
        <v>0</v>
      </c>
      <c r="G3" s="75">
        <f t="shared" si="5"/>
        <v>0</v>
      </c>
      <c r="H3" s="75">
        <f t="shared" si="5"/>
        <v>0</v>
      </c>
      <c r="U3" s="73" t="s">
        <v>161</v>
      </c>
      <c r="V3" s="75">
        <f t="shared" ref="V3:X3" si="6">IFERROR(VLOOKUP(V$4,Gtee_Chrge,2,FALSE),)</f>
        <v>8.5000000000000006E-3</v>
      </c>
      <c r="W3" s="75">
        <f t="shared" si="6"/>
        <v>6.4999999999999997E-3</v>
      </c>
      <c r="X3" s="75">
        <f t="shared" si="6"/>
        <v>0</v>
      </c>
      <c r="AB3" s="41"/>
      <c r="AH3" s="290" t="s">
        <v>162</v>
      </c>
      <c r="AI3" s="290"/>
      <c r="AK3" s="73" t="s">
        <v>161</v>
      </c>
      <c r="AL3" s="75">
        <f t="shared" ref="AL3:AN3" si="7">IFERROR(VLOOKUP(AL$4,Gtee_Chrge,2,FALSE),)</f>
        <v>8.5000000000000006E-3</v>
      </c>
      <c r="AM3" s="75">
        <f t="shared" si="7"/>
        <v>6.4999999999999997E-3</v>
      </c>
      <c r="AN3" s="75">
        <f t="shared" si="7"/>
        <v>0</v>
      </c>
      <c r="AR3" s="41"/>
      <c r="BA3" s="73" t="s">
        <v>161</v>
      </c>
      <c r="BB3" s="75">
        <f t="shared" ref="BB3:BH3" si="8">IFERROR(VLOOKUP(BB$4,Gtee_Chrge,2,FALSE),)</f>
        <v>0</v>
      </c>
      <c r="BC3" s="75">
        <f t="shared" si="8"/>
        <v>0</v>
      </c>
      <c r="BD3" s="75">
        <f t="shared" si="8"/>
        <v>0</v>
      </c>
      <c r="BE3" s="75">
        <f t="shared" si="8"/>
        <v>0</v>
      </c>
      <c r="BF3" s="75">
        <f t="shared" si="8"/>
        <v>8.5000000000000006E-3</v>
      </c>
      <c r="BG3" s="75">
        <f t="shared" si="8"/>
        <v>7.4999999999999997E-3</v>
      </c>
      <c r="BH3" s="75">
        <f t="shared" si="8"/>
        <v>6.4999999999999997E-3</v>
      </c>
    </row>
    <row r="4" spans="1:68" ht="129.75" customHeight="1">
      <c r="A4" s="37" t="s">
        <v>163</v>
      </c>
      <c r="B4" s="37" t="s">
        <v>164</v>
      </c>
      <c r="C4" s="37"/>
      <c r="D4" s="38" t="s">
        <v>165</v>
      </c>
      <c r="E4" s="38" t="s">
        <v>128</v>
      </c>
      <c r="F4" s="38" t="s">
        <v>136</v>
      </c>
      <c r="G4" s="38" t="s">
        <v>132</v>
      </c>
      <c r="H4" s="38" t="s">
        <v>125</v>
      </c>
      <c r="J4" s="38" t="s">
        <v>166</v>
      </c>
      <c r="K4" s="38" t="s">
        <v>167</v>
      </c>
      <c r="L4" s="38" t="s">
        <v>168</v>
      </c>
      <c r="M4" s="38" t="s">
        <v>169</v>
      </c>
      <c r="N4" s="38" t="s">
        <v>170</v>
      </c>
      <c r="O4" s="38" t="s">
        <v>171</v>
      </c>
      <c r="P4" s="38" t="s">
        <v>172</v>
      </c>
      <c r="Q4" s="44"/>
      <c r="R4" s="38" t="s">
        <v>173</v>
      </c>
      <c r="S4" s="38" t="s">
        <v>164</v>
      </c>
      <c r="T4" s="38"/>
      <c r="U4" s="38" t="s">
        <v>165</v>
      </c>
      <c r="V4" s="38" t="str">
        <f>'[2]AP Balanced'!R$1</f>
        <v>Allianz Strategy Select 75</v>
      </c>
      <c r="W4" s="38" t="str">
        <f>'[2]AP Balanced'!S$1</f>
        <v>Allianz Strategy Select 30</v>
      </c>
      <c r="X4" s="38" t="str">
        <f>'[2]AP Balanced'!T$1</f>
        <v>Allianz Advanced Fixed Income Short Duration</v>
      </c>
      <c r="Z4" s="38" t="s">
        <v>166</v>
      </c>
      <c r="AA4" s="38" t="s">
        <v>167</v>
      </c>
      <c r="AB4" s="38" t="s">
        <v>168</v>
      </c>
      <c r="AC4" s="38" t="s">
        <v>169</v>
      </c>
      <c r="AD4" s="38" t="s">
        <v>170</v>
      </c>
      <c r="AE4" s="38" t="s">
        <v>171</v>
      </c>
      <c r="AF4" s="38" t="s">
        <v>172</v>
      </c>
      <c r="AH4" s="38" t="s">
        <v>173</v>
      </c>
      <c r="AI4" s="38" t="s">
        <v>164</v>
      </c>
      <c r="AJ4" s="38"/>
      <c r="AK4" s="38" t="s">
        <v>165</v>
      </c>
      <c r="AL4" s="38" t="str">
        <f>[2]Standard_Balanced!R$1</f>
        <v>Allianz Strategy Select 75</v>
      </c>
      <c r="AM4" s="38" t="str">
        <f>[2]Standard_Balanced!S$1</f>
        <v>Allianz Strategy Select 30</v>
      </c>
      <c r="AN4" s="38" t="str">
        <f>[2]Standard_Balanced!T$1</f>
        <v>Allianz Advanced Fixed Income Short Duration</v>
      </c>
      <c r="AP4" s="38" t="s">
        <v>166</v>
      </c>
      <c r="AQ4" s="38" t="s">
        <v>167</v>
      </c>
      <c r="AR4" s="38" t="s">
        <v>168</v>
      </c>
      <c r="AS4" s="38" t="s">
        <v>169</v>
      </c>
      <c r="AT4" s="38" t="s">
        <v>170</v>
      </c>
      <c r="AU4" s="38" t="s">
        <v>171</v>
      </c>
      <c r="AV4" s="38" t="s">
        <v>172</v>
      </c>
      <c r="AX4" s="38" t="s">
        <v>173</v>
      </c>
      <c r="AY4" s="38" t="s">
        <v>164</v>
      </c>
      <c r="AZ4" s="38"/>
      <c r="BA4" t="s">
        <v>174</v>
      </c>
      <c r="BB4" s="38" t="str">
        <f>'[2]NonStandard DIS'!R$1</f>
        <v>Allianz Advanced Fixed Income Short Duration</v>
      </c>
      <c r="BC4" s="38" t="str">
        <f>'[2]NonStandard DIS'!S$1</f>
        <v>Allianz Dynamic Multi Asset Strategy SRI 15</v>
      </c>
      <c r="BD4" s="38" t="str">
        <f>'[2]NonStandard DIS'!T$1</f>
        <v>Allianz Dynamic Multi Asset Strategy SRI 75</v>
      </c>
      <c r="BE4" s="38" t="str">
        <f>'[2]NonStandard DIS'!U$1</f>
        <v>Allianz Best Styles Global Equity SRI</v>
      </c>
      <c r="BF4" s="38" t="str">
        <f>'[2]NonStandard DIS'!V$1</f>
        <v>Allianz Strategy Select 75</v>
      </c>
      <c r="BG4" s="38" t="str">
        <f>'[2]NonStandard DIS'!W$1</f>
        <v>Allianz Strategy Select 50</v>
      </c>
      <c r="BH4" s="38" t="str">
        <f>'[2]NonStandard DIS'!X$1</f>
        <v>Allianz Strategy Select 30</v>
      </c>
      <c r="BI4" s="196"/>
      <c r="BJ4" s="38" t="s">
        <v>166</v>
      </c>
      <c r="BK4" s="38" t="s">
        <v>167</v>
      </c>
      <c r="BL4" s="38" t="s">
        <v>168</v>
      </c>
      <c r="BM4" s="38" t="s">
        <v>169</v>
      </c>
      <c r="BN4" s="38" t="s">
        <v>170</v>
      </c>
      <c r="BO4" s="38" t="s">
        <v>171</v>
      </c>
      <c r="BP4" s="38" t="s">
        <v>172</v>
      </c>
    </row>
    <row r="5" spans="1:68">
      <c r="A5" t="s">
        <v>175</v>
      </c>
      <c r="B5" t="s">
        <v>176</v>
      </c>
      <c r="C5" s="197" t="str">
        <f t="shared" ref="C5:C16" si="9">A5&amp;"_"&amp;B5&amp;"_"&amp;D5</f>
        <v>Lifecycle_Balanced_540</v>
      </c>
      <c r="D5">
        <v>540</v>
      </c>
      <c r="E5">
        <f>VLOOKUP($D5,'[2]LC Balanced'!$Q$2:$U$542,2,FALSE)</f>
        <v>0</v>
      </c>
      <c r="F5">
        <f>VLOOKUP($D5,'[2]LC Balanced'!$Q$2:$U$542,3,FALSE)</f>
        <v>0.14899999999999999</v>
      </c>
      <c r="G5">
        <f>VLOOKUP($D5,'[2]LC Balanced'!$Q$2:$U$542,4,FALSE)</f>
        <v>0.85099999999999998</v>
      </c>
      <c r="H5">
        <f>VLOOKUP($D5,'[2]LC Balanced'!$Q$2:$U$542,5,FALSE)</f>
        <v>0</v>
      </c>
      <c r="I5" s="77">
        <f t="shared" ref="I5:I68" si="10">SUM(E5:H5)</f>
        <v>1</v>
      </c>
      <c r="J5" s="77">
        <f t="shared" ref="J5:J68" si="11">SUMPRODUCT($E$1:$H$1,E5:H5)</f>
        <v>6.1987699999999986E-2</v>
      </c>
      <c r="K5" s="77">
        <f t="shared" ref="K5:K16" si="12">(1+J5)^(1/12)-1</f>
        <v>5.024442123284345E-3</v>
      </c>
      <c r="L5" s="76">
        <v>0</v>
      </c>
      <c r="M5" s="77">
        <f>IF($L5=0,0,SUMPRODUCT($E$3:$H$3,E5:H5))</f>
        <v>0</v>
      </c>
      <c r="N5" s="77">
        <f>1-(1-M5)^(1/12)</f>
        <v>0</v>
      </c>
      <c r="O5" s="77">
        <f>SUMPRODUCT($E$2:$H$2,E5:H5)</f>
        <v>7.0062999999999992E-3</v>
      </c>
      <c r="P5" s="77">
        <f>1-(1-O5)^(1/12)</f>
        <v>5.85741666996209E-4</v>
      </c>
      <c r="Q5" s="44"/>
      <c r="R5" t="s">
        <v>177</v>
      </c>
      <c r="S5" t="s">
        <v>176</v>
      </c>
      <c r="T5" s="197" t="str">
        <f t="shared" ref="T5:T16" si="13">R5&amp;"_"&amp;S5&amp;"_"&amp;U5</f>
        <v>Autopilot_Balanced_540</v>
      </c>
      <c r="U5">
        <v>540</v>
      </c>
      <c r="V5">
        <f>VLOOKUP($U5,'[2]AP Balanced'!$Q$1:$T$542,2,FALSE)</f>
        <v>0.77777777777777779</v>
      </c>
      <c r="W5">
        <f>VLOOKUP($U5,'[2]AP Balanced'!$Q$1:$T$542,3,FALSE)</f>
        <v>0.22222222222222221</v>
      </c>
      <c r="X5">
        <f>VLOOKUP($U5,'[2]AP Balanced'!$Q$1:$T$542,4,FALSE)</f>
        <v>0</v>
      </c>
      <c r="Y5" s="77">
        <f t="shared" ref="Y5:Y16" si="14">SUM(V5:X5)</f>
        <v>1</v>
      </c>
      <c r="Z5" s="77">
        <f t="shared" ref="Z5:Z16" si="15">SUMPRODUCT($V$1:$X$1,V5:X5)</f>
        <v>6.1674999999999987E-2</v>
      </c>
      <c r="AA5" s="77">
        <f t="shared" ref="AA5:AA16" si="16">(1+Z5)^(1/12)-1</f>
        <v>4.9997781870025904E-3</v>
      </c>
      <c r="AB5" s="79">
        <v>1</v>
      </c>
      <c r="AC5" s="77">
        <f>IF($AB5=0,0,SUMPRODUCT($V$3:$X$3,V5:X5))</f>
        <v>8.0555555555555554E-3</v>
      </c>
      <c r="AD5" s="77">
        <f t="shared" ref="AD5:AF68" si="17">1-(1-AC5)^(1/12)</f>
        <v>6.7378764057135498E-4</v>
      </c>
      <c r="AE5" s="77">
        <f>SUMPRODUCT($V$2:$X$2,V5:X5)</f>
        <v>2.5000000000000001E-3</v>
      </c>
      <c r="AF5" s="77">
        <f t="shared" si="17"/>
        <v>2.0857243058891584E-4</v>
      </c>
      <c r="AH5" t="s">
        <v>175</v>
      </c>
      <c r="AI5" t="s">
        <v>176</v>
      </c>
      <c r="AJ5" s="197" t="str">
        <f t="shared" ref="AJ5:AJ21" si="18">AH5&amp;"_"&amp;AI5&amp;"_"&amp;AK5</f>
        <v>Lifecycle_Balanced_540</v>
      </c>
      <c r="AK5">
        <v>540</v>
      </c>
      <c r="AL5">
        <f>VLOOKUP($U5,[2]Standard_Balanced!$Q$1:$T$542,2,FALSE)</f>
        <v>0.77777777777777779</v>
      </c>
      <c r="AM5">
        <f>VLOOKUP($U5,[2]Standard_Balanced!$Q$1:$T$542,3,FALSE)</f>
        <v>0.22222222222222221</v>
      </c>
      <c r="AN5">
        <f>VLOOKUP($U5,[2]Standard_Balanced!$Q$1:$T$542,4,FALSE)</f>
        <v>0</v>
      </c>
      <c r="AO5" s="77">
        <f t="shared" ref="AO5:AO21" si="19">SUM(AL5:AN5)</f>
        <v>1</v>
      </c>
      <c r="AP5" s="77">
        <f>SUMPRODUCT($AL$1:$AN$1,AL5:AN5)</f>
        <v>6.1674999999999987E-2</v>
      </c>
      <c r="AQ5" s="77">
        <f t="shared" ref="AQ5:AQ21" si="20">(1+AP5)^(1/12)-1</f>
        <v>4.9997781870025904E-3</v>
      </c>
      <c r="AR5" s="79">
        <v>0</v>
      </c>
      <c r="AS5" s="77">
        <f>IF(AR5=0,0,SUMPRODUCT($AL$3:$AN$3,AL5:AN5))</f>
        <v>0</v>
      </c>
      <c r="AT5" s="77">
        <f t="shared" ref="AT5" si="21">1-(1-AS5)^(1/12)</f>
        <v>0</v>
      </c>
      <c r="AU5" s="77">
        <f>SUMPRODUCT($AL$2:$AN$2,AL5:AN5)</f>
        <v>2.5000000000000001E-3</v>
      </c>
      <c r="AV5" s="77">
        <f t="shared" ref="AV5" si="22">1-(1-AU5)^(1/12)</f>
        <v>2.0857243058891584E-4</v>
      </c>
      <c r="AX5" t="s">
        <v>178</v>
      </c>
      <c r="AY5" t="s">
        <v>160</v>
      </c>
      <c r="AZ5" s="197" t="str">
        <f t="shared" ref="AZ5:AZ16" si="23">AX5&amp;"_"&amp;AY5&amp;"_"&amp;BA5</f>
        <v>DIS_Non-Standard_540</v>
      </c>
      <c r="BA5">
        <v>540</v>
      </c>
      <c r="BB5">
        <f>VLOOKUP($BA5,'[2]NonStandard DIS'!$Q$1:$X$542,2,FALSE)</f>
        <v>0</v>
      </c>
      <c r="BC5">
        <f>VLOOKUP($BA5,'[2]NonStandard DIS'!$Q$1:$X$542,3,FALSE)</f>
        <v>0</v>
      </c>
      <c r="BD5">
        <f>VLOOKUP($BA5,'[2]NonStandard DIS'!$Q$1:$X$542,4,FALSE)</f>
        <v>0.308</v>
      </c>
      <c r="BE5">
        <f>VLOOKUP($BA5,'[2]NonStandard DIS'!$Q$1:$X$542,5,FALSE)</f>
        <v>0.69199999999999995</v>
      </c>
      <c r="BF5">
        <f>VLOOKUP($BA5,'[2]NonStandard DIS'!$Q$1:$X$542,6,FALSE)</f>
        <v>0</v>
      </c>
      <c r="BG5">
        <f>VLOOKUP($BA5,'[2]NonStandard DIS'!$Q$1:$X$542,7,FALSE)</f>
        <v>0</v>
      </c>
      <c r="BH5">
        <f>VLOOKUP($BA5,'[2]NonStandard DIS'!$Q$1:$X$542,8,FALSE)</f>
        <v>0</v>
      </c>
      <c r="BI5" s="77">
        <f t="shared" ref="BI5:BI68" si="24">SUM(BB5:BH5)</f>
        <v>1</v>
      </c>
      <c r="BJ5" s="77">
        <f t="shared" ref="BJ5:BJ68" si="25">SUMPRODUCT($BB$1:$BH$1,BB5:BH5)</f>
        <v>6.9728499999999985E-2</v>
      </c>
      <c r="BK5" s="77">
        <f t="shared" ref="BK5:BK16" si="26">(1+BJ5)^(1/12)-1</f>
        <v>5.632878498097682E-3</v>
      </c>
      <c r="BL5" s="79">
        <v>0</v>
      </c>
      <c r="BM5" s="77">
        <f>IF(BL5=0,0,SUMPRODUCT($BB$3:$BH$3,BB5:BH5))</f>
        <v>0</v>
      </c>
      <c r="BN5" s="77">
        <f>(1+BM5)^(1/12)-1</f>
        <v>0</v>
      </c>
      <c r="BO5" s="77">
        <f>SUMPRODUCT($BB$2:$BH$2,BB5:BH5)</f>
        <v>5.6775999999999997E-3</v>
      </c>
      <c r="BP5" s="77">
        <f>(1+BO5)^(1/12)-1</f>
        <v>4.7190657760731725E-4</v>
      </c>
    </row>
    <row r="6" spans="1:68">
      <c r="A6" t="s">
        <v>175</v>
      </c>
      <c r="B6" t="s">
        <v>176</v>
      </c>
      <c r="C6" s="197" t="str">
        <f t="shared" si="9"/>
        <v>Lifecycle_Balanced_539</v>
      </c>
      <c r="D6">
        <v>539</v>
      </c>
      <c r="E6">
        <f>VLOOKUP($D6,'[2]LC Balanced'!$Q$2:$U$542,2,FALSE)</f>
        <v>0</v>
      </c>
      <c r="F6">
        <f>VLOOKUP($D6,'[2]LC Balanced'!$Q$2:$U$542,3,FALSE)</f>
        <v>0.14899999999999999</v>
      </c>
      <c r="G6">
        <f>VLOOKUP($D6,'[2]LC Balanced'!$Q$2:$U$542,4,FALSE)</f>
        <v>0.85099999999999998</v>
      </c>
      <c r="H6">
        <f>VLOOKUP($D6,'[2]LC Balanced'!$Q$2:$U$542,5,FALSE)</f>
        <v>0</v>
      </c>
      <c r="I6" s="77">
        <f t="shared" si="10"/>
        <v>1</v>
      </c>
      <c r="J6" s="77">
        <f t="shared" si="11"/>
        <v>6.1987699999999986E-2</v>
      </c>
      <c r="K6" s="77">
        <f t="shared" si="12"/>
        <v>5.024442123284345E-3</v>
      </c>
      <c r="L6" s="76">
        <v>0</v>
      </c>
      <c r="M6" s="77">
        <f t="shared" ref="M6:M69" si="27">IF($L6=0,0,SUMPRODUCT($E$3:$H$3,E6:H6))</f>
        <v>0</v>
      </c>
      <c r="N6" s="77">
        <f t="shared" ref="N6:N69" si="28">1-(1-M6)^(1/12)</f>
        <v>0</v>
      </c>
      <c r="O6" s="77">
        <f t="shared" ref="O6:O69" si="29">SUMPRODUCT($E$2:$H$2,E6:H6)</f>
        <v>7.0062999999999992E-3</v>
      </c>
      <c r="P6" s="77">
        <f t="shared" ref="P6:P69" si="30">1-(1-O6)^(1/12)</f>
        <v>5.85741666996209E-4</v>
      </c>
      <c r="Q6" s="44"/>
      <c r="R6" t="s">
        <v>177</v>
      </c>
      <c r="S6" t="s">
        <v>176</v>
      </c>
      <c r="T6" s="197" t="str">
        <f t="shared" si="13"/>
        <v>Autopilot_Balanced_539</v>
      </c>
      <c r="U6">
        <v>539</v>
      </c>
      <c r="V6">
        <f>VLOOKUP($U6,'[2]AP Balanced'!$Q$1:$T$542,2,FALSE)</f>
        <v>0.77777777777777779</v>
      </c>
      <c r="W6">
        <f>VLOOKUP($U6,'[2]AP Balanced'!$Q$1:$T$542,3,FALSE)</f>
        <v>0.22222222222222221</v>
      </c>
      <c r="X6">
        <f>VLOOKUP($U6,'[2]AP Balanced'!$Q$1:$T$542,4,FALSE)</f>
        <v>0</v>
      </c>
      <c r="Y6" s="77">
        <f t="shared" si="14"/>
        <v>1</v>
      </c>
      <c r="Z6" s="77">
        <f t="shared" si="15"/>
        <v>6.1674999999999987E-2</v>
      </c>
      <c r="AA6" s="77">
        <f t="shared" si="16"/>
        <v>4.9997781870025904E-3</v>
      </c>
      <c r="AB6" s="79">
        <v>1</v>
      </c>
      <c r="AC6" s="77">
        <f t="shared" ref="AC6:AC69" si="31">IF($AB6=0,0,SUMPRODUCT($V$3:$X$3,V6:X6))</f>
        <v>8.0555555555555554E-3</v>
      </c>
      <c r="AD6" s="77">
        <f t="shared" si="17"/>
        <v>6.7378764057135498E-4</v>
      </c>
      <c r="AE6" s="77">
        <f t="shared" ref="AE6:AE69" si="32">SUMPRODUCT($V$2:$X$2,V6:X6)</f>
        <v>2.5000000000000001E-3</v>
      </c>
      <c r="AF6" s="77">
        <f t="shared" si="17"/>
        <v>2.0857243058891584E-4</v>
      </c>
      <c r="AH6" t="s">
        <v>175</v>
      </c>
      <c r="AI6" t="s">
        <v>176</v>
      </c>
      <c r="AJ6" s="197" t="str">
        <f t="shared" si="18"/>
        <v>Lifecycle_Balanced_539</v>
      </c>
      <c r="AK6">
        <v>539</v>
      </c>
      <c r="AL6">
        <f>VLOOKUP($U6,[2]Standard_Balanced!$Q$1:$T$542,2,FALSE)</f>
        <v>0.77777777777777779</v>
      </c>
      <c r="AM6">
        <f>VLOOKUP($U6,[2]Standard_Balanced!$Q$1:$T$542,3,FALSE)</f>
        <v>0.22222222222222221</v>
      </c>
      <c r="AN6">
        <f>VLOOKUP($U6,[2]Standard_Balanced!$Q$1:$T$542,4,FALSE)</f>
        <v>0</v>
      </c>
      <c r="AO6" s="77">
        <f t="shared" si="19"/>
        <v>1</v>
      </c>
      <c r="AP6" s="77">
        <f t="shared" ref="AP6:AP69" si="33">SUMPRODUCT($AL$1:$AN$1,AL6:AN6)</f>
        <v>6.1674999999999987E-2</v>
      </c>
      <c r="AQ6" s="77">
        <f t="shared" si="20"/>
        <v>4.9997781870025904E-3</v>
      </c>
      <c r="AR6" s="79">
        <v>0</v>
      </c>
      <c r="AS6" s="77">
        <f t="shared" ref="AS6:AS69" si="34">IF(AR6=0,0,SUMPRODUCT($AL$3:$AN$3,AL6:AN6))</f>
        <v>0</v>
      </c>
      <c r="AT6" s="77">
        <f t="shared" ref="AT6" si="35">1-(1-AS6)^(1/12)</f>
        <v>0</v>
      </c>
      <c r="AU6" s="77">
        <f t="shared" ref="AU6:AU69" si="36">SUMPRODUCT($AL$2:$AN$2,AL6:AN6)</f>
        <v>2.5000000000000001E-3</v>
      </c>
      <c r="AV6" s="77">
        <f t="shared" ref="AV6" si="37">1-(1-AU6)^(1/12)</f>
        <v>2.0857243058891584E-4</v>
      </c>
      <c r="AX6" t="s">
        <v>178</v>
      </c>
      <c r="AY6" t="s">
        <v>160</v>
      </c>
      <c r="AZ6" s="197" t="str">
        <f t="shared" si="23"/>
        <v>DIS_Non-Standard_539</v>
      </c>
      <c r="BA6">
        <v>539</v>
      </c>
      <c r="BB6">
        <f>VLOOKUP($BA6,'[2]NonStandard DIS'!$Q$1:$X$542,2,FALSE)</f>
        <v>0</v>
      </c>
      <c r="BC6">
        <f>VLOOKUP($BA6,'[2]NonStandard DIS'!$Q$1:$X$542,3,FALSE)</f>
        <v>0</v>
      </c>
      <c r="BD6">
        <f>VLOOKUP($BA6,'[2]NonStandard DIS'!$Q$1:$X$542,4,FALSE)</f>
        <v>0.308</v>
      </c>
      <c r="BE6">
        <f>VLOOKUP($BA6,'[2]NonStandard DIS'!$Q$1:$X$542,5,FALSE)</f>
        <v>0.69199999999999995</v>
      </c>
      <c r="BF6">
        <f>VLOOKUP($BA6,'[2]NonStandard DIS'!$Q$1:$X$542,6,FALSE)</f>
        <v>0</v>
      </c>
      <c r="BG6">
        <f>VLOOKUP($BA6,'[2]NonStandard DIS'!$Q$1:$X$542,7,FALSE)</f>
        <v>0</v>
      </c>
      <c r="BH6">
        <f>VLOOKUP($BA6,'[2]NonStandard DIS'!$Q$1:$X$542,8,FALSE)</f>
        <v>0</v>
      </c>
      <c r="BI6" s="77">
        <f t="shared" si="24"/>
        <v>1</v>
      </c>
      <c r="BJ6" s="77">
        <f t="shared" si="25"/>
        <v>6.9728499999999985E-2</v>
      </c>
      <c r="BK6" s="77">
        <f t="shared" si="26"/>
        <v>5.632878498097682E-3</v>
      </c>
      <c r="BL6" s="79">
        <v>0</v>
      </c>
      <c r="BM6" s="77">
        <f t="shared" ref="BM6:BM69" si="38">IF(BL6=0,0,SUMPRODUCT($BB$3:$BH$3,BB6:BH6))</f>
        <v>0</v>
      </c>
      <c r="BN6" s="77">
        <f t="shared" ref="BN6:BN69" si="39">(1+BM6)^(1/12)-1</f>
        <v>0</v>
      </c>
      <c r="BO6" s="77">
        <f t="shared" ref="BO6:BO69" si="40">SUMPRODUCT($BB$2:$BH$2,BB6:BH6)</f>
        <v>5.6775999999999997E-3</v>
      </c>
      <c r="BP6" s="77">
        <f t="shared" ref="BP6:BP69" si="41">(1+BO6)^(1/12)-1</f>
        <v>4.7190657760731725E-4</v>
      </c>
    </row>
    <row r="7" spans="1:68">
      <c r="A7" t="s">
        <v>175</v>
      </c>
      <c r="B7" t="s">
        <v>176</v>
      </c>
      <c r="C7" s="197" t="str">
        <f t="shared" si="9"/>
        <v>Lifecycle_Balanced_538</v>
      </c>
      <c r="D7">
        <v>538</v>
      </c>
      <c r="E7">
        <f>VLOOKUP($D7,'[2]LC Balanced'!$Q$2:$U$542,2,FALSE)</f>
        <v>0</v>
      </c>
      <c r="F7">
        <f>VLOOKUP($D7,'[2]LC Balanced'!$Q$2:$U$542,3,FALSE)</f>
        <v>0.14899999999999999</v>
      </c>
      <c r="G7">
        <f>VLOOKUP($D7,'[2]LC Balanced'!$Q$2:$U$542,4,FALSE)</f>
        <v>0.85099999999999998</v>
      </c>
      <c r="H7">
        <f>VLOOKUP($D7,'[2]LC Balanced'!$Q$2:$U$542,5,FALSE)</f>
        <v>0</v>
      </c>
      <c r="I7" s="77">
        <f t="shared" si="10"/>
        <v>1</v>
      </c>
      <c r="J7" s="77">
        <f t="shared" si="11"/>
        <v>6.1987699999999986E-2</v>
      </c>
      <c r="K7" s="77">
        <f t="shared" si="12"/>
        <v>5.024442123284345E-3</v>
      </c>
      <c r="L7" s="76">
        <v>0</v>
      </c>
      <c r="M7" s="77">
        <f t="shared" si="27"/>
        <v>0</v>
      </c>
      <c r="N7" s="77">
        <f t="shared" si="28"/>
        <v>0</v>
      </c>
      <c r="O7" s="77">
        <f t="shared" si="29"/>
        <v>7.0062999999999992E-3</v>
      </c>
      <c r="P7" s="77">
        <f t="shared" si="30"/>
        <v>5.85741666996209E-4</v>
      </c>
      <c r="Q7" s="44"/>
      <c r="R7" t="s">
        <v>177</v>
      </c>
      <c r="S7" t="s">
        <v>176</v>
      </c>
      <c r="T7" s="197" t="str">
        <f t="shared" si="13"/>
        <v>Autopilot_Balanced_538</v>
      </c>
      <c r="U7">
        <v>538</v>
      </c>
      <c r="V7">
        <f>VLOOKUP($U7,'[2]AP Balanced'!$Q$1:$T$542,2,FALSE)</f>
        <v>0.77777777777777779</v>
      </c>
      <c r="W7">
        <f>VLOOKUP($U7,'[2]AP Balanced'!$Q$1:$T$542,3,FALSE)</f>
        <v>0.22222222222222221</v>
      </c>
      <c r="X7">
        <f>VLOOKUP($U7,'[2]AP Balanced'!$Q$1:$T$542,4,FALSE)</f>
        <v>0</v>
      </c>
      <c r="Y7" s="77">
        <f t="shared" si="14"/>
        <v>1</v>
      </c>
      <c r="Z7" s="77">
        <f t="shared" si="15"/>
        <v>6.1674999999999987E-2</v>
      </c>
      <c r="AA7" s="77">
        <f t="shared" si="16"/>
        <v>4.9997781870025904E-3</v>
      </c>
      <c r="AB7" s="79">
        <v>1</v>
      </c>
      <c r="AC7" s="77">
        <f t="shared" si="31"/>
        <v>8.0555555555555554E-3</v>
      </c>
      <c r="AD7" s="77">
        <f t="shared" si="17"/>
        <v>6.7378764057135498E-4</v>
      </c>
      <c r="AE7" s="77">
        <f t="shared" si="32"/>
        <v>2.5000000000000001E-3</v>
      </c>
      <c r="AF7" s="77">
        <f t="shared" si="17"/>
        <v>2.0857243058891584E-4</v>
      </c>
      <c r="AH7" t="s">
        <v>175</v>
      </c>
      <c r="AI7" t="s">
        <v>176</v>
      </c>
      <c r="AJ7" s="197" t="str">
        <f t="shared" si="18"/>
        <v>Lifecycle_Balanced_538</v>
      </c>
      <c r="AK7">
        <v>538</v>
      </c>
      <c r="AL7">
        <f>VLOOKUP($U7,[2]Standard_Balanced!$Q$1:$T$542,2,FALSE)</f>
        <v>0.77777777777777779</v>
      </c>
      <c r="AM7">
        <f>VLOOKUP($U7,[2]Standard_Balanced!$Q$1:$T$542,3,FALSE)</f>
        <v>0.22222222222222221</v>
      </c>
      <c r="AN7">
        <f>VLOOKUP($U7,[2]Standard_Balanced!$Q$1:$T$542,4,FALSE)</f>
        <v>0</v>
      </c>
      <c r="AO7" s="77">
        <f t="shared" si="19"/>
        <v>1</v>
      </c>
      <c r="AP7" s="77">
        <f t="shared" si="33"/>
        <v>6.1674999999999987E-2</v>
      </c>
      <c r="AQ7" s="77">
        <f t="shared" si="20"/>
        <v>4.9997781870025904E-3</v>
      </c>
      <c r="AR7" s="79">
        <v>0</v>
      </c>
      <c r="AS7" s="77">
        <f t="shared" si="34"/>
        <v>0</v>
      </c>
      <c r="AT7" s="77">
        <f t="shared" ref="AT7" si="42">1-(1-AS7)^(1/12)</f>
        <v>0</v>
      </c>
      <c r="AU7" s="77">
        <f t="shared" si="36"/>
        <v>2.5000000000000001E-3</v>
      </c>
      <c r="AV7" s="77">
        <f t="shared" ref="AV7" si="43">1-(1-AU7)^(1/12)</f>
        <v>2.0857243058891584E-4</v>
      </c>
      <c r="AX7" t="s">
        <v>178</v>
      </c>
      <c r="AY7" t="s">
        <v>160</v>
      </c>
      <c r="AZ7" s="197" t="str">
        <f t="shared" si="23"/>
        <v>DIS_Non-Standard_538</v>
      </c>
      <c r="BA7">
        <v>538</v>
      </c>
      <c r="BB7">
        <f>VLOOKUP($BA7,'[2]NonStandard DIS'!$Q$1:$X$542,2,FALSE)</f>
        <v>0</v>
      </c>
      <c r="BC7">
        <f>VLOOKUP($BA7,'[2]NonStandard DIS'!$Q$1:$X$542,3,FALSE)</f>
        <v>0</v>
      </c>
      <c r="BD7">
        <f>VLOOKUP($BA7,'[2]NonStandard DIS'!$Q$1:$X$542,4,FALSE)</f>
        <v>0.308</v>
      </c>
      <c r="BE7">
        <f>VLOOKUP($BA7,'[2]NonStandard DIS'!$Q$1:$X$542,5,FALSE)</f>
        <v>0.69199999999999995</v>
      </c>
      <c r="BF7">
        <f>VLOOKUP($BA7,'[2]NonStandard DIS'!$Q$1:$X$542,6,FALSE)</f>
        <v>0</v>
      </c>
      <c r="BG7">
        <f>VLOOKUP($BA7,'[2]NonStandard DIS'!$Q$1:$X$542,7,FALSE)</f>
        <v>0</v>
      </c>
      <c r="BH7">
        <f>VLOOKUP($BA7,'[2]NonStandard DIS'!$Q$1:$X$542,8,FALSE)</f>
        <v>0</v>
      </c>
      <c r="BI7" s="77">
        <f t="shared" si="24"/>
        <v>1</v>
      </c>
      <c r="BJ7" s="77">
        <f t="shared" si="25"/>
        <v>6.9728499999999985E-2</v>
      </c>
      <c r="BK7" s="77">
        <f t="shared" si="26"/>
        <v>5.632878498097682E-3</v>
      </c>
      <c r="BL7" s="79">
        <v>0</v>
      </c>
      <c r="BM7" s="77">
        <f t="shared" si="38"/>
        <v>0</v>
      </c>
      <c r="BN7" s="77">
        <f t="shared" si="39"/>
        <v>0</v>
      </c>
      <c r="BO7" s="77">
        <f t="shared" si="40"/>
        <v>5.6775999999999997E-3</v>
      </c>
      <c r="BP7" s="77">
        <f t="shared" si="41"/>
        <v>4.7190657760731725E-4</v>
      </c>
    </row>
    <row r="8" spans="1:68">
      <c r="A8" t="s">
        <v>175</v>
      </c>
      <c r="B8" t="s">
        <v>176</v>
      </c>
      <c r="C8" s="197" t="str">
        <f t="shared" si="9"/>
        <v>Lifecycle_Balanced_537</v>
      </c>
      <c r="D8">
        <v>537</v>
      </c>
      <c r="E8">
        <f>VLOOKUP($D8,'[2]LC Balanced'!$Q$2:$U$542,2,FALSE)</f>
        <v>0</v>
      </c>
      <c r="F8">
        <f>VLOOKUP($D8,'[2]LC Balanced'!$Q$2:$U$542,3,FALSE)</f>
        <v>0.14899999999999999</v>
      </c>
      <c r="G8">
        <f>VLOOKUP($D8,'[2]LC Balanced'!$Q$2:$U$542,4,FALSE)</f>
        <v>0.85099999999999998</v>
      </c>
      <c r="H8">
        <f>VLOOKUP($D8,'[2]LC Balanced'!$Q$2:$U$542,5,FALSE)</f>
        <v>0</v>
      </c>
      <c r="I8" s="77">
        <f t="shared" si="10"/>
        <v>1</v>
      </c>
      <c r="J8" s="77">
        <f t="shared" si="11"/>
        <v>6.1987699999999986E-2</v>
      </c>
      <c r="K8" s="77">
        <f t="shared" si="12"/>
        <v>5.024442123284345E-3</v>
      </c>
      <c r="L8" s="76">
        <v>0</v>
      </c>
      <c r="M8" s="77">
        <f t="shared" si="27"/>
        <v>0</v>
      </c>
      <c r="N8" s="77">
        <f t="shared" si="28"/>
        <v>0</v>
      </c>
      <c r="O8" s="77">
        <f t="shared" si="29"/>
        <v>7.0062999999999992E-3</v>
      </c>
      <c r="P8" s="77">
        <f t="shared" si="30"/>
        <v>5.85741666996209E-4</v>
      </c>
      <c r="Q8" s="44"/>
      <c r="R8" t="s">
        <v>177</v>
      </c>
      <c r="S8" t="s">
        <v>176</v>
      </c>
      <c r="T8" s="197" t="str">
        <f t="shared" si="13"/>
        <v>Autopilot_Balanced_537</v>
      </c>
      <c r="U8">
        <v>537</v>
      </c>
      <c r="V8">
        <f>VLOOKUP($U8,'[2]AP Balanced'!$Q$1:$T$542,2,FALSE)</f>
        <v>0.77777777777777779</v>
      </c>
      <c r="W8">
        <f>VLOOKUP($U8,'[2]AP Balanced'!$Q$1:$T$542,3,FALSE)</f>
        <v>0.22222222222222221</v>
      </c>
      <c r="X8">
        <f>VLOOKUP($U8,'[2]AP Balanced'!$Q$1:$T$542,4,FALSE)</f>
        <v>0</v>
      </c>
      <c r="Y8" s="77">
        <f t="shared" si="14"/>
        <v>1</v>
      </c>
      <c r="Z8" s="77">
        <f t="shared" si="15"/>
        <v>6.1674999999999987E-2</v>
      </c>
      <c r="AA8" s="77">
        <f t="shared" si="16"/>
        <v>4.9997781870025904E-3</v>
      </c>
      <c r="AB8" s="79">
        <v>1</v>
      </c>
      <c r="AC8" s="77">
        <f t="shared" si="31"/>
        <v>8.0555555555555554E-3</v>
      </c>
      <c r="AD8" s="77">
        <f t="shared" si="17"/>
        <v>6.7378764057135498E-4</v>
      </c>
      <c r="AE8" s="77">
        <f t="shared" si="32"/>
        <v>2.5000000000000001E-3</v>
      </c>
      <c r="AF8" s="77">
        <f t="shared" si="17"/>
        <v>2.0857243058891584E-4</v>
      </c>
      <c r="AH8" t="s">
        <v>175</v>
      </c>
      <c r="AI8" t="s">
        <v>176</v>
      </c>
      <c r="AJ8" s="197" t="str">
        <f t="shared" si="18"/>
        <v>Lifecycle_Balanced_537</v>
      </c>
      <c r="AK8">
        <v>537</v>
      </c>
      <c r="AL8">
        <f>VLOOKUP($U8,[2]Standard_Balanced!$Q$1:$T$542,2,FALSE)</f>
        <v>0.77777777777777779</v>
      </c>
      <c r="AM8">
        <f>VLOOKUP($U8,[2]Standard_Balanced!$Q$1:$T$542,3,FALSE)</f>
        <v>0.22222222222222221</v>
      </c>
      <c r="AN8">
        <f>VLOOKUP($U8,[2]Standard_Balanced!$Q$1:$T$542,4,FALSE)</f>
        <v>0</v>
      </c>
      <c r="AO8" s="77">
        <f t="shared" si="19"/>
        <v>1</v>
      </c>
      <c r="AP8" s="77">
        <f t="shared" si="33"/>
        <v>6.1674999999999987E-2</v>
      </c>
      <c r="AQ8" s="77">
        <f t="shared" si="20"/>
        <v>4.9997781870025904E-3</v>
      </c>
      <c r="AR8" s="79">
        <v>0</v>
      </c>
      <c r="AS8" s="77">
        <f t="shared" si="34"/>
        <v>0</v>
      </c>
      <c r="AT8" s="77">
        <f t="shared" ref="AT8" si="44">1-(1-AS8)^(1/12)</f>
        <v>0</v>
      </c>
      <c r="AU8" s="77">
        <f t="shared" si="36"/>
        <v>2.5000000000000001E-3</v>
      </c>
      <c r="AV8" s="77">
        <f t="shared" ref="AV8" si="45">1-(1-AU8)^(1/12)</f>
        <v>2.0857243058891584E-4</v>
      </c>
      <c r="AX8" t="s">
        <v>178</v>
      </c>
      <c r="AY8" t="s">
        <v>160</v>
      </c>
      <c r="AZ8" s="197" t="str">
        <f t="shared" si="23"/>
        <v>DIS_Non-Standard_537</v>
      </c>
      <c r="BA8">
        <v>537</v>
      </c>
      <c r="BB8">
        <f>VLOOKUP($BA8,'[2]NonStandard DIS'!$Q$1:$X$542,2,FALSE)</f>
        <v>0</v>
      </c>
      <c r="BC8">
        <f>VLOOKUP($BA8,'[2]NonStandard DIS'!$Q$1:$X$542,3,FALSE)</f>
        <v>0</v>
      </c>
      <c r="BD8">
        <f>VLOOKUP($BA8,'[2]NonStandard DIS'!$Q$1:$X$542,4,FALSE)</f>
        <v>0.308</v>
      </c>
      <c r="BE8">
        <f>VLOOKUP($BA8,'[2]NonStandard DIS'!$Q$1:$X$542,5,FALSE)</f>
        <v>0.69199999999999995</v>
      </c>
      <c r="BF8">
        <f>VLOOKUP($BA8,'[2]NonStandard DIS'!$Q$1:$X$542,6,FALSE)</f>
        <v>0</v>
      </c>
      <c r="BG8">
        <f>VLOOKUP($BA8,'[2]NonStandard DIS'!$Q$1:$X$542,7,FALSE)</f>
        <v>0</v>
      </c>
      <c r="BH8">
        <f>VLOOKUP($BA8,'[2]NonStandard DIS'!$Q$1:$X$542,8,FALSE)</f>
        <v>0</v>
      </c>
      <c r="BI8" s="77">
        <f t="shared" si="24"/>
        <v>1</v>
      </c>
      <c r="BJ8" s="77">
        <f t="shared" si="25"/>
        <v>6.9728499999999985E-2</v>
      </c>
      <c r="BK8" s="77">
        <f t="shared" si="26"/>
        <v>5.632878498097682E-3</v>
      </c>
      <c r="BL8" s="79">
        <v>0</v>
      </c>
      <c r="BM8" s="77">
        <f t="shared" si="38"/>
        <v>0</v>
      </c>
      <c r="BN8" s="77">
        <f t="shared" si="39"/>
        <v>0</v>
      </c>
      <c r="BO8" s="77">
        <f t="shared" si="40"/>
        <v>5.6775999999999997E-3</v>
      </c>
      <c r="BP8" s="77">
        <f t="shared" si="41"/>
        <v>4.7190657760731725E-4</v>
      </c>
    </row>
    <row r="9" spans="1:68">
      <c r="A9" t="s">
        <v>175</v>
      </c>
      <c r="B9" t="s">
        <v>176</v>
      </c>
      <c r="C9" s="197" t="str">
        <f t="shared" si="9"/>
        <v>Lifecycle_Balanced_536</v>
      </c>
      <c r="D9">
        <v>536</v>
      </c>
      <c r="E9">
        <f>VLOOKUP($D9,'[2]LC Balanced'!$Q$2:$U$542,2,FALSE)</f>
        <v>0</v>
      </c>
      <c r="F9">
        <f>VLOOKUP($D9,'[2]LC Balanced'!$Q$2:$U$542,3,FALSE)</f>
        <v>0.14899999999999999</v>
      </c>
      <c r="G9">
        <f>VLOOKUP($D9,'[2]LC Balanced'!$Q$2:$U$542,4,FALSE)</f>
        <v>0.85099999999999998</v>
      </c>
      <c r="H9">
        <f>VLOOKUP($D9,'[2]LC Balanced'!$Q$2:$U$542,5,FALSE)</f>
        <v>0</v>
      </c>
      <c r="I9" s="77">
        <f t="shared" si="10"/>
        <v>1</v>
      </c>
      <c r="J9" s="77">
        <f t="shared" si="11"/>
        <v>6.1987699999999986E-2</v>
      </c>
      <c r="K9" s="77">
        <f t="shared" si="12"/>
        <v>5.024442123284345E-3</v>
      </c>
      <c r="L9" s="76">
        <v>0</v>
      </c>
      <c r="M9" s="77">
        <f t="shared" si="27"/>
        <v>0</v>
      </c>
      <c r="N9" s="77">
        <f t="shared" si="28"/>
        <v>0</v>
      </c>
      <c r="O9" s="77">
        <f t="shared" si="29"/>
        <v>7.0062999999999992E-3</v>
      </c>
      <c r="P9" s="77">
        <f t="shared" si="30"/>
        <v>5.85741666996209E-4</v>
      </c>
      <c r="Q9" s="44"/>
      <c r="R9" t="s">
        <v>177</v>
      </c>
      <c r="S9" t="s">
        <v>176</v>
      </c>
      <c r="T9" s="197" t="str">
        <f t="shared" si="13"/>
        <v>Autopilot_Balanced_536</v>
      </c>
      <c r="U9">
        <v>536</v>
      </c>
      <c r="V9">
        <f>VLOOKUP($U9,'[2]AP Balanced'!$Q$1:$T$542,2,FALSE)</f>
        <v>0.77777777777777779</v>
      </c>
      <c r="W9">
        <f>VLOOKUP($U9,'[2]AP Balanced'!$Q$1:$T$542,3,FALSE)</f>
        <v>0.22222222222222221</v>
      </c>
      <c r="X9">
        <f>VLOOKUP($U9,'[2]AP Balanced'!$Q$1:$T$542,4,FALSE)</f>
        <v>0</v>
      </c>
      <c r="Y9" s="77">
        <f t="shared" si="14"/>
        <v>1</v>
      </c>
      <c r="Z9" s="77">
        <f t="shared" si="15"/>
        <v>6.1674999999999987E-2</v>
      </c>
      <c r="AA9" s="77">
        <f t="shared" si="16"/>
        <v>4.9997781870025904E-3</v>
      </c>
      <c r="AB9" s="79">
        <v>1</v>
      </c>
      <c r="AC9" s="77">
        <f t="shared" si="31"/>
        <v>8.0555555555555554E-3</v>
      </c>
      <c r="AD9" s="77">
        <f t="shared" si="17"/>
        <v>6.7378764057135498E-4</v>
      </c>
      <c r="AE9" s="77">
        <f t="shared" si="32"/>
        <v>2.5000000000000001E-3</v>
      </c>
      <c r="AF9" s="77">
        <f t="shared" si="17"/>
        <v>2.0857243058891584E-4</v>
      </c>
      <c r="AH9" t="s">
        <v>175</v>
      </c>
      <c r="AI9" t="s">
        <v>176</v>
      </c>
      <c r="AJ9" s="197" t="str">
        <f t="shared" si="18"/>
        <v>Lifecycle_Balanced_536</v>
      </c>
      <c r="AK9">
        <v>536</v>
      </c>
      <c r="AL9">
        <f>VLOOKUP($U9,[2]Standard_Balanced!$Q$1:$T$542,2,FALSE)</f>
        <v>0.77777777777777779</v>
      </c>
      <c r="AM9">
        <f>VLOOKUP($U9,[2]Standard_Balanced!$Q$1:$T$542,3,FALSE)</f>
        <v>0.22222222222222221</v>
      </c>
      <c r="AN9">
        <f>VLOOKUP($U9,[2]Standard_Balanced!$Q$1:$T$542,4,FALSE)</f>
        <v>0</v>
      </c>
      <c r="AO9" s="77">
        <f t="shared" si="19"/>
        <v>1</v>
      </c>
      <c r="AP9" s="77">
        <f t="shared" si="33"/>
        <v>6.1674999999999987E-2</v>
      </c>
      <c r="AQ9" s="77">
        <f t="shared" si="20"/>
        <v>4.9997781870025904E-3</v>
      </c>
      <c r="AR9" s="79">
        <v>0</v>
      </c>
      <c r="AS9" s="77">
        <f t="shared" si="34"/>
        <v>0</v>
      </c>
      <c r="AT9" s="77">
        <f t="shared" ref="AT9" si="46">1-(1-AS9)^(1/12)</f>
        <v>0</v>
      </c>
      <c r="AU9" s="77">
        <f t="shared" si="36"/>
        <v>2.5000000000000001E-3</v>
      </c>
      <c r="AV9" s="77">
        <f t="shared" ref="AV9" si="47">1-(1-AU9)^(1/12)</f>
        <v>2.0857243058891584E-4</v>
      </c>
      <c r="AX9" t="s">
        <v>178</v>
      </c>
      <c r="AY9" t="s">
        <v>160</v>
      </c>
      <c r="AZ9" s="197" t="str">
        <f t="shared" si="23"/>
        <v>DIS_Non-Standard_536</v>
      </c>
      <c r="BA9">
        <v>536</v>
      </c>
      <c r="BB9">
        <f>VLOOKUP($BA9,'[2]NonStandard DIS'!$Q$1:$X$542,2,FALSE)</f>
        <v>0</v>
      </c>
      <c r="BC9">
        <f>VLOOKUP($BA9,'[2]NonStandard DIS'!$Q$1:$X$542,3,FALSE)</f>
        <v>0</v>
      </c>
      <c r="BD9">
        <f>VLOOKUP($BA9,'[2]NonStandard DIS'!$Q$1:$X$542,4,FALSE)</f>
        <v>0.308</v>
      </c>
      <c r="BE9">
        <f>VLOOKUP($BA9,'[2]NonStandard DIS'!$Q$1:$X$542,5,FALSE)</f>
        <v>0.69199999999999995</v>
      </c>
      <c r="BF9">
        <f>VLOOKUP($BA9,'[2]NonStandard DIS'!$Q$1:$X$542,6,FALSE)</f>
        <v>0</v>
      </c>
      <c r="BG9">
        <f>VLOOKUP($BA9,'[2]NonStandard DIS'!$Q$1:$X$542,7,FALSE)</f>
        <v>0</v>
      </c>
      <c r="BH9">
        <f>VLOOKUP($BA9,'[2]NonStandard DIS'!$Q$1:$X$542,8,FALSE)</f>
        <v>0</v>
      </c>
      <c r="BI9" s="77">
        <f t="shared" si="24"/>
        <v>1</v>
      </c>
      <c r="BJ9" s="77">
        <f t="shared" si="25"/>
        <v>6.9728499999999985E-2</v>
      </c>
      <c r="BK9" s="77">
        <f t="shared" si="26"/>
        <v>5.632878498097682E-3</v>
      </c>
      <c r="BL9" s="79">
        <v>0</v>
      </c>
      <c r="BM9" s="77">
        <f t="shared" si="38"/>
        <v>0</v>
      </c>
      <c r="BN9" s="77">
        <f t="shared" si="39"/>
        <v>0</v>
      </c>
      <c r="BO9" s="77">
        <f t="shared" si="40"/>
        <v>5.6775999999999997E-3</v>
      </c>
      <c r="BP9" s="77">
        <f t="shared" si="41"/>
        <v>4.7190657760731725E-4</v>
      </c>
    </row>
    <row r="10" spans="1:68">
      <c r="A10" t="s">
        <v>175</v>
      </c>
      <c r="B10" t="s">
        <v>176</v>
      </c>
      <c r="C10" s="197" t="str">
        <f t="shared" si="9"/>
        <v>Lifecycle_Balanced_535</v>
      </c>
      <c r="D10">
        <v>535</v>
      </c>
      <c r="E10">
        <f>VLOOKUP($D10,'[2]LC Balanced'!$Q$2:$U$542,2,FALSE)</f>
        <v>0</v>
      </c>
      <c r="F10">
        <f>VLOOKUP($D10,'[2]LC Balanced'!$Q$2:$U$542,3,FALSE)</f>
        <v>0.14899999999999999</v>
      </c>
      <c r="G10">
        <f>VLOOKUP($D10,'[2]LC Balanced'!$Q$2:$U$542,4,FALSE)</f>
        <v>0.85099999999999998</v>
      </c>
      <c r="H10">
        <f>VLOOKUP($D10,'[2]LC Balanced'!$Q$2:$U$542,5,FALSE)</f>
        <v>0</v>
      </c>
      <c r="I10" s="77">
        <f t="shared" si="10"/>
        <v>1</v>
      </c>
      <c r="J10" s="77">
        <f t="shared" si="11"/>
        <v>6.1987699999999986E-2</v>
      </c>
      <c r="K10" s="77">
        <f t="shared" si="12"/>
        <v>5.024442123284345E-3</v>
      </c>
      <c r="L10" s="76">
        <v>0</v>
      </c>
      <c r="M10" s="77">
        <f t="shared" si="27"/>
        <v>0</v>
      </c>
      <c r="N10" s="77">
        <f t="shared" si="28"/>
        <v>0</v>
      </c>
      <c r="O10" s="77">
        <f t="shared" si="29"/>
        <v>7.0062999999999992E-3</v>
      </c>
      <c r="P10" s="77">
        <f t="shared" si="30"/>
        <v>5.85741666996209E-4</v>
      </c>
      <c r="Q10" s="44"/>
      <c r="R10" t="s">
        <v>177</v>
      </c>
      <c r="S10" t="s">
        <v>176</v>
      </c>
      <c r="T10" s="197" t="str">
        <f t="shared" si="13"/>
        <v>Autopilot_Balanced_535</v>
      </c>
      <c r="U10">
        <v>535</v>
      </c>
      <c r="V10">
        <f>VLOOKUP($U10,'[2]AP Balanced'!$Q$1:$T$542,2,FALSE)</f>
        <v>0.77777777777777779</v>
      </c>
      <c r="W10">
        <f>VLOOKUP($U10,'[2]AP Balanced'!$Q$1:$T$542,3,FALSE)</f>
        <v>0.22222222222222221</v>
      </c>
      <c r="X10">
        <f>VLOOKUP($U10,'[2]AP Balanced'!$Q$1:$T$542,4,FALSE)</f>
        <v>0</v>
      </c>
      <c r="Y10" s="77">
        <f t="shared" si="14"/>
        <v>1</v>
      </c>
      <c r="Z10" s="77">
        <f t="shared" si="15"/>
        <v>6.1674999999999987E-2</v>
      </c>
      <c r="AA10" s="77">
        <f t="shared" si="16"/>
        <v>4.9997781870025904E-3</v>
      </c>
      <c r="AB10" s="79">
        <v>1</v>
      </c>
      <c r="AC10" s="77">
        <f t="shared" si="31"/>
        <v>8.0555555555555554E-3</v>
      </c>
      <c r="AD10" s="77">
        <f t="shared" si="17"/>
        <v>6.7378764057135498E-4</v>
      </c>
      <c r="AE10" s="77">
        <f t="shared" si="32"/>
        <v>2.5000000000000001E-3</v>
      </c>
      <c r="AF10" s="77">
        <f t="shared" si="17"/>
        <v>2.0857243058891584E-4</v>
      </c>
      <c r="AH10" t="s">
        <v>175</v>
      </c>
      <c r="AI10" t="s">
        <v>176</v>
      </c>
      <c r="AJ10" s="197" t="str">
        <f t="shared" si="18"/>
        <v>Lifecycle_Balanced_535</v>
      </c>
      <c r="AK10">
        <v>535</v>
      </c>
      <c r="AL10">
        <f>VLOOKUP($U10,[2]Standard_Balanced!$Q$1:$T$542,2,FALSE)</f>
        <v>0.77777777777777779</v>
      </c>
      <c r="AM10">
        <f>VLOOKUP($U10,[2]Standard_Balanced!$Q$1:$T$542,3,FALSE)</f>
        <v>0.22222222222222221</v>
      </c>
      <c r="AN10">
        <f>VLOOKUP($U10,[2]Standard_Balanced!$Q$1:$T$542,4,FALSE)</f>
        <v>0</v>
      </c>
      <c r="AO10" s="77">
        <f t="shared" si="19"/>
        <v>1</v>
      </c>
      <c r="AP10" s="77">
        <f t="shared" si="33"/>
        <v>6.1674999999999987E-2</v>
      </c>
      <c r="AQ10" s="77">
        <f t="shared" si="20"/>
        <v>4.9997781870025904E-3</v>
      </c>
      <c r="AR10" s="79">
        <v>0</v>
      </c>
      <c r="AS10" s="77">
        <f t="shared" si="34"/>
        <v>0</v>
      </c>
      <c r="AT10" s="77">
        <f t="shared" ref="AT10" si="48">1-(1-AS10)^(1/12)</f>
        <v>0</v>
      </c>
      <c r="AU10" s="77">
        <f t="shared" si="36"/>
        <v>2.5000000000000001E-3</v>
      </c>
      <c r="AV10" s="77">
        <f t="shared" ref="AV10" si="49">1-(1-AU10)^(1/12)</f>
        <v>2.0857243058891584E-4</v>
      </c>
      <c r="AX10" t="s">
        <v>178</v>
      </c>
      <c r="AY10" t="s">
        <v>160</v>
      </c>
      <c r="AZ10" s="197" t="str">
        <f t="shared" si="23"/>
        <v>DIS_Non-Standard_535</v>
      </c>
      <c r="BA10">
        <v>535</v>
      </c>
      <c r="BB10">
        <f>VLOOKUP($BA10,'[2]NonStandard DIS'!$Q$1:$X$542,2,FALSE)</f>
        <v>0</v>
      </c>
      <c r="BC10">
        <f>VLOOKUP($BA10,'[2]NonStandard DIS'!$Q$1:$X$542,3,FALSE)</f>
        <v>0</v>
      </c>
      <c r="BD10">
        <f>VLOOKUP($BA10,'[2]NonStandard DIS'!$Q$1:$X$542,4,FALSE)</f>
        <v>0.308</v>
      </c>
      <c r="BE10">
        <f>VLOOKUP($BA10,'[2]NonStandard DIS'!$Q$1:$X$542,5,FALSE)</f>
        <v>0.69199999999999995</v>
      </c>
      <c r="BF10">
        <f>VLOOKUP($BA10,'[2]NonStandard DIS'!$Q$1:$X$542,6,FALSE)</f>
        <v>0</v>
      </c>
      <c r="BG10">
        <f>VLOOKUP($BA10,'[2]NonStandard DIS'!$Q$1:$X$542,7,FALSE)</f>
        <v>0</v>
      </c>
      <c r="BH10">
        <f>VLOOKUP($BA10,'[2]NonStandard DIS'!$Q$1:$X$542,8,FALSE)</f>
        <v>0</v>
      </c>
      <c r="BI10" s="77">
        <f t="shared" si="24"/>
        <v>1</v>
      </c>
      <c r="BJ10" s="77">
        <f t="shared" si="25"/>
        <v>6.9728499999999985E-2</v>
      </c>
      <c r="BK10" s="77">
        <f t="shared" si="26"/>
        <v>5.632878498097682E-3</v>
      </c>
      <c r="BL10" s="79">
        <v>0</v>
      </c>
      <c r="BM10" s="77">
        <f t="shared" si="38"/>
        <v>0</v>
      </c>
      <c r="BN10" s="77">
        <f t="shared" si="39"/>
        <v>0</v>
      </c>
      <c r="BO10" s="77">
        <f t="shared" si="40"/>
        <v>5.6775999999999997E-3</v>
      </c>
      <c r="BP10" s="77">
        <f t="shared" si="41"/>
        <v>4.7190657760731725E-4</v>
      </c>
    </row>
    <row r="11" spans="1:68">
      <c r="A11" t="s">
        <v>175</v>
      </c>
      <c r="B11" t="s">
        <v>176</v>
      </c>
      <c r="C11" s="197" t="str">
        <f t="shared" si="9"/>
        <v>Lifecycle_Balanced_534</v>
      </c>
      <c r="D11">
        <v>534</v>
      </c>
      <c r="E11">
        <f>VLOOKUP($D11,'[2]LC Balanced'!$Q$2:$U$542,2,FALSE)</f>
        <v>0</v>
      </c>
      <c r="F11">
        <f>VLOOKUP($D11,'[2]LC Balanced'!$Q$2:$U$542,3,FALSE)</f>
        <v>0.14899999999999999</v>
      </c>
      <c r="G11">
        <f>VLOOKUP($D11,'[2]LC Balanced'!$Q$2:$U$542,4,FALSE)</f>
        <v>0.85099999999999998</v>
      </c>
      <c r="H11">
        <f>VLOOKUP($D11,'[2]LC Balanced'!$Q$2:$U$542,5,FALSE)</f>
        <v>0</v>
      </c>
      <c r="I11" s="77">
        <f t="shared" si="10"/>
        <v>1</v>
      </c>
      <c r="J11" s="77">
        <f t="shared" si="11"/>
        <v>6.1987699999999986E-2</v>
      </c>
      <c r="K11" s="77">
        <f t="shared" si="12"/>
        <v>5.024442123284345E-3</v>
      </c>
      <c r="L11" s="76">
        <v>0</v>
      </c>
      <c r="M11" s="77">
        <f t="shared" si="27"/>
        <v>0</v>
      </c>
      <c r="N11" s="77">
        <f t="shared" si="28"/>
        <v>0</v>
      </c>
      <c r="O11" s="77">
        <f t="shared" si="29"/>
        <v>7.0062999999999992E-3</v>
      </c>
      <c r="P11" s="77">
        <f t="shared" si="30"/>
        <v>5.85741666996209E-4</v>
      </c>
      <c r="Q11" s="44"/>
      <c r="R11" t="s">
        <v>177</v>
      </c>
      <c r="S11" t="s">
        <v>176</v>
      </c>
      <c r="T11" s="197" t="str">
        <f t="shared" si="13"/>
        <v>Autopilot_Balanced_534</v>
      </c>
      <c r="U11">
        <v>534</v>
      </c>
      <c r="V11">
        <f>VLOOKUP($U11,'[2]AP Balanced'!$Q$1:$T$542,2,FALSE)</f>
        <v>0.77777777777777779</v>
      </c>
      <c r="W11">
        <f>VLOOKUP($U11,'[2]AP Balanced'!$Q$1:$T$542,3,FALSE)</f>
        <v>0.22222222222222221</v>
      </c>
      <c r="X11">
        <f>VLOOKUP($U11,'[2]AP Balanced'!$Q$1:$T$542,4,FALSE)</f>
        <v>0</v>
      </c>
      <c r="Y11" s="77">
        <f t="shared" si="14"/>
        <v>1</v>
      </c>
      <c r="Z11" s="77">
        <f t="shared" si="15"/>
        <v>6.1674999999999987E-2</v>
      </c>
      <c r="AA11" s="77">
        <f t="shared" si="16"/>
        <v>4.9997781870025904E-3</v>
      </c>
      <c r="AB11" s="79">
        <v>1</v>
      </c>
      <c r="AC11" s="77">
        <f t="shared" si="31"/>
        <v>8.0555555555555554E-3</v>
      </c>
      <c r="AD11" s="77">
        <f t="shared" si="17"/>
        <v>6.7378764057135498E-4</v>
      </c>
      <c r="AE11" s="77">
        <f t="shared" si="32"/>
        <v>2.5000000000000001E-3</v>
      </c>
      <c r="AF11" s="77">
        <f t="shared" si="17"/>
        <v>2.0857243058891584E-4</v>
      </c>
      <c r="AH11" t="s">
        <v>175</v>
      </c>
      <c r="AI11" t="s">
        <v>176</v>
      </c>
      <c r="AJ11" s="197" t="str">
        <f t="shared" si="18"/>
        <v>Lifecycle_Balanced_534</v>
      </c>
      <c r="AK11">
        <v>534</v>
      </c>
      <c r="AL11">
        <f>VLOOKUP($U11,[2]Standard_Balanced!$Q$1:$T$542,2,FALSE)</f>
        <v>0.77777777777777779</v>
      </c>
      <c r="AM11">
        <f>VLOOKUP($U11,[2]Standard_Balanced!$Q$1:$T$542,3,FALSE)</f>
        <v>0.22222222222222221</v>
      </c>
      <c r="AN11">
        <f>VLOOKUP($U11,[2]Standard_Balanced!$Q$1:$T$542,4,FALSE)</f>
        <v>0</v>
      </c>
      <c r="AO11" s="77">
        <f t="shared" si="19"/>
        <v>1</v>
      </c>
      <c r="AP11" s="77">
        <f t="shared" si="33"/>
        <v>6.1674999999999987E-2</v>
      </c>
      <c r="AQ11" s="77">
        <f t="shared" si="20"/>
        <v>4.9997781870025904E-3</v>
      </c>
      <c r="AR11" s="79">
        <v>0</v>
      </c>
      <c r="AS11" s="77">
        <f t="shared" si="34"/>
        <v>0</v>
      </c>
      <c r="AT11" s="77">
        <f t="shared" ref="AT11" si="50">1-(1-AS11)^(1/12)</f>
        <v>0</v>
      </c>
      <c r="AU11" s="77">
        <f t="shared" si="36"/>
        <v>2.5000000000000001E-3</v>
      </c>
      <c r="AV11" s="77">
        <f t="shared" ref="AV11" si="51">1-(1-AU11)^(1/12)</f>
        <v>2.0857243058891584E-4</v>
      </c>
      <c r="AX11" t="s">
        <v>178</v>
      </c>
      <c r="AY11" t="s">
        <v>160</v>
      </c>
      <c r="AZ11" s="197" t="str">
        <f t="shared" si="23"/>
        <v>DIS_Non-Standard_534</v>
      </c>
      <c r="BA11">
        <v>534</v>
      </c>
      <c r="BB11">
        <f>VLOOKUP($BA11,'[2]NonStandard DIS'!$Q$1:$X$542,2,FALSE)</f>
        <v>0</v>
      </c>
      <c r="BC11">
        <f>VLOOKUP($BA11,'[2]NonStandard DIS'!$Q$1:$X$542,3,FALSE)</f>
        <v>0</v>
      </c>
      <c r="BD11">
        <f>VLOOKUP($BA11,'[2]NonStandard DIS'!$Q$1:$X$542,4,FALSE)</f>
        <v>0.308</v>
      </c>
      <c r="BE11">
        <f>VLOOKUP($BA11,'[2]NonStandard DIS'!$Q$1:$X$542,5,FALSE)</f>
        <v>0.69199999999999995</v>
      </c>
      <c r="BF11">
        <f>VLOOKUP($BA11,'[2]NonStandard DIS'!$Q$1:$X$542,6,FALSE)</f>
        <v>0</v>
      </c>
      <c r="BG11">
        <f>VLOOKUP($BA11,'[2]NonStandard DIS'!$Q$1:$X$542,7,FALSE)</f>
        <v>0</v>
      </c>
      <c r="BH11">
        <f>VLOOKUP($BA11,'[2]NonStandard DIS'!$Q$1:$X$542,8,FALSE)</f>
        <v>0</v>
      </c>
      <c r="BI11" s="77">
        <f t="shared" si="24"/>
        <v>1</v>
      </c>
      <c r="BJ11" s="77">
        <f t="shared" si="25"/>
        <v>6.9728499999999985E-2</v>
      </c>
      <c r="BK11" s="77">
        <f t="shared" si="26"/>
        <v>5.632878498097682E-3</v>
      </c>
      <c r="BL11" s="79">
        <v>0</v>
      </c>
      <c r="BM11" s="77">
        <f t="shared" si="38"/>
        <v>0</v>
      </c>
      <c r="BN11" s="77">
        <f t="shared" si="39"/>
        <v>0</v>
      </c>
      <c r="BO11" s="77">
        <f t="shared" si="40"/>
        <v>5.6775999999999997E-3</v>
      </c>
      <c r="BP11" s="77">
        <f t="shared" si="41"/>
        <v>4.7190657760731725E-4</v>
      </c>
    </row>
    <row r="12" spans="1:68">
      <c r="A12" t="s">
        <v>175</v>
      </c>
      <c r="B12" t="s">
        <v>176</v>
      </c>
      <c r="C12" s="197" t="str">
        <f t="shared" si="9"/>
        <v>Lifecycle_Balanced_533</v>
      </c>
      <c r="D12">
        <v>533</v>
      </c>
      <c r="E12">
        <f>VLOOKUP($D12,'[2]LC Balanced'!$Q$2:$U$542,2,FALSE)</f>
        <v>0</v>
      </c>
      <c r="F12">
        <f>VLOOKUP($D12,'[2]LC Balanced'!$Q$2:$U$542,3,FALSE)</f>
        <v>0.14899999999999999</v>
      </c>
      <c r="G12">
        <f>VLOOKUP($D12,'[2]LC Balanced'!$Q$2:$U$542,4,FALSE)</f>
        <v>0.85099999999999998</v>
      </c>
      <c r="H12">
        <f>VLOOKUP($D12,'[2]LC Balanced'!$Q$2:$U$542,5,FALSE)</f>
        <v>0</v>
      </c>
      <c r="I12" s="77">
        <f t="shared" si="10"/>
        <v>1</v>
      </c>
      <c r="J12" s="77">
        <f t="shared" si="11"/>
        <v>6.1987699999999986E-2</v>
      </c>
      <c r="K12" s="77">
        <f t="shared" si="12"/>
        <v>5.024442123284345E-3</v>
      </c>
      <c r="L12" s="76">
        <v>0</v>
      </c>
      <c r="M12" s="77">
        <f t="shared" si="27"/>
        <v>0</v>
      </c>
      <c r="N12" s="77">
        <f t="shared" si="28"/>
        <v>0</v>
      </c>
      <c r="O12" s="77">
        <f t="shared" si="29"/>
        <v>7.0062999999999992E-3</v>
      </c>
      <c r="P12" s="77">
        <f t="shared" si="30"/>
        <v>5.85741666996209E-4</v>
      </c>
      <c r="Q12" s="44"/>
      <c r="R12" t="s">
        <v>177</v>
      </c>
      <c r="S12" t="s">
        <v>176</v>
      </c>
      <c r="T12" s="197" t="str">
        <f t="shared" si="13"/>
        <v>Autopilot_Balanced_533</v>
      </c>
      <c r="U12">
        <v>533</v>
      </c>
      <c r="V12">
        <f>VLOOKUP($U12,'[2]AP Balanced'!$Q$1:$T$542,2,FALSE)</f>
        <v>0.77777777777777779</v>
      </c>
      <c r="W12">
        <f>VLOOKUP($U12,'[2]AP Balanced'!$Q$1:$T$542,3,FALSE)</f>
        <v>0.22222222222222221</v>
      </c>
      <c r="X12">
        <f>VLOOKUP($U12,'[2]AP Balanced'!$Q$1:$T$542,4,FALSE)</f>
        <v>0</v>
      </c>
      <c r="Y12" s="77">
        <f t="shared" si="14"/>
        <v>1</v>
      </c>
      <c r="Z12" s="77">
        <f t="shared" si="15"/>
        <v>6.1674999999999987E-2</v>
      </c>
      <c r="AA12" s="77">
        <f t="shared" si="16"/>
        <v>4.9997781870025904E-3</v>
      </c>
      <c r="AB12" s="79">
        <v>1</v>
      </c>
      <c r="AC12" s="77">
        <f t="shared" si="31"/>
        <v>8.0555555555555554E-3</v>
      </c>
      <c r="AD12" s="77">
        <f t="shared" si="17"/>
        <v>6.7378764057135498E-4</v>
      </c>
      <c r="AE12" s="77">
        <f t="shared" si="32"/>
        <v>2.5000000000000001E-3</v>
      </c>
      <c r="AF12" s="77">
        <f t="shared" si="17"/>
        <v>2.0857243058891584E-4</v>
      </c>
      <c r="AH12" t="s">
        <v>175</v>
      </c>
      <c r="AI12" t="s">
        <v>176</v>
      </c>
      <c r="AJ12" s="197" t="str">
        <f t="shared" si="18"/>
        <v>Lifecycle_Balanced_533</v>
      </c>
      <c r="AK12">
        <v>533</v>
      </c>
      <c r="AL12">
        <f>VLOOKUP($U12,[2]Standard_Balanced!$Q$1:$T$542,2,FALSE)</f>
        <v>0.77777777777777779</v>
      </c>
      <c r="AM12">
        <f>VLOOKUP($U12,[2]Standard_Balanced!$Q$1:$T$542,3,FALSE)</f>
        <v>0.22222222222222221</v>
      </c>
      <c r="AN12">
        <f>VLOOKUP($U12,[2]Standard_Balanced!$Q$1:$T$542,4,FALSE)</f>
        <v>0</v>
      </c>
      <c r="AO12" s="77">
        <f t="shared" si="19"/>
        <v>1</v>
      </c>
      <c r="AP12" s="77">
        <f t="shared" si="33"/>
        <v>6.1674999999999987E-2</v>
      </c>
      <c r="AQ12" s="77">
        <f t="shared" si="20"/>
        <v>4.9997781870025904E-3</v>
      </c>
      <c r="AR12" s="79">
        <v>0</v>
      </c>
      <c r="AS12" s="77">
        <f t="shared" si="34"/>
        <v>0</v>
      </c>
      <c r="AT12" s="77">
        <f t="shared" ref="AT12" si="52">1-(1-AS12)^(1/12)</f>
        <v>0</v>
      </c>
      <c r="AU12" s="77">
        <f t="shared" si="36"/>
        <v>2.5000000000000001E-3</v>
      </c>
      <c r="AV12" s="77">
        <f t="shared" ref="AV12" si="53">1-(1-AU12)^(1/12)</f>
        <v>2.0857243058891584E-4</v>
      </c>
      <c r="AX12" t="s">
        <v>178</v>
      </c>
      <c r="AY12" t="s">
        <v>160</v>
      </c>
      <c r="AZ12" s="197" t="str">
        <f t="shared" si="23"/>
        <v>DIS_Non-Standard_533</v>
      </c>
      <c r="BA12">
        <v>533</v>
      </c>
      <c r="BB12">
        <f>VLOOKUP($BA12,'[2]NonStandard DIS'!$Q$1:$X$542,2,FALSE)</f>
        <v>0</v>
      </c>
      <c r="BC12">
        <f>VLOOKUP($BA12,'[2]NonStandard DIS'!$Q$1:$X$542,3,FALSE)</f>
        <v>0</v>
      </c>
      <c r="BD12">
        <f>VLOOKUP($BA12,'[2]NonStandard DIS'!$Q$1:$X$542,4,FALSE)</f>
        <v>0.308</v>
      </c>
      <c r="BE12">
        <f>VLOOKUP($BA12,'[2]NonStandard DIS'!$Q$1:$X$542,5,FALSE)</f>
        <v>0.69199999999999995</v>
      </c>
      <c r="BF12">
        <f>VLOOKUP($BA12,'[2]NonStandard DIS'!$Q$1:$X$542,6,FALSE)</f>
        <v>0</v>
      </c>
      <c r="BG12">
        <f>VLOOKUP($BA12,'[2]NonStandard DIS'!$Q$1:$X$542,7,FALSE)</f>
        <v>0</v>
      </c>
      <c r="BH12">
        <f>VLOOKUP($BA12,'[2]NonStandard DIS'!$Q$1:$X$542,8,FALSE)</f>
        <v>0</v>
      </c>
      <c r="BI12" s="77">
        <f t="shared" si="24"/>
        <v>1</v>
      </c>
      <c r="BJ12" s="77">
        <f t="shared" si="25"/>
        <v>6.9728499999999985E-2</v>
      </c>
      <c r="BK12" s="77">
        <f t="shared" si="26"/>
        <v>5.632878498097682E-3</v>
      </c>
      <c r="BL12" s="79">
        <v>0</v>
      </c>
      <c r="BM12" s="77">
        <f t="shared" si="38"/>
        <v>0</v>
      </c>
      <c r="BN12" s="77">
        <f t="shared" si="39"/>
        <v>0</v>
      </c>
      <c r="BO12" s="77">
        <f t="shared" si="40"/>
        <v>5.6775999999999997E-3</v>
      </c>
      <c r="BP12" s="77">
        <f t="shared" si="41"/>
        <v>4.7190657760731725E-4</v>
      </c>
    </row>
    <row r="13" spans="1:68">
      <c r="A13" t="s">
        <v>175</v>
      </c>
      <c r="B13" t="s">
        <v>176</v>
      </c>
      <c r="C13" s="197" t="str">
        <f t="shared" si="9"/>
        <v>Lifecycle_Balanced_532</v>
      </c>
      <c r="D13">
        <v>532</v>
      </c>
      <c r="E13">
        <f>VLOOKUP($D13,'[2]LC Balanced'!$Q$2:$U$542,2,FALSE)</f>
        <v>0</v>
      </c>
      <c r="F13">
        <f>VLOOKUP($D13,'[2]LC Balanced'!$Q$2:$U$542,3,FALSE)</f>
        <v>0.14899999999999999</v>
      </c>
      <c r="G13">
        <f>VLOOKUP($D13,'[2]LC Balanced'!$Q$2:$U$542,4,FALSE)</f>
        <v>0.85099999999999998</v>
      </c>
      <c r="H13">
        <f>VLOOKUP($D13,'[2]LC Balanced'!$Q$2:$U$542,5,FALSE)</f>
        <v>0</v>
      </c>
      <c r="I13" s="77">
        <f t="shared" si="10"/>
        <v>1</v>
      </c>
      <c r="J13" s="77">
        <f t="shared" si="11"/>
        <v>6.1987699999999986E-2</v>
      </c>
      <c r="K13" s="77">
        <f t="shared" si="12"/>
        <v>5.024442123284345E-3</v>
      </c>
      <c r="L13" s="76">
        <v>0</v>
      </c>
      <c r="M13" s="77">
        <f t="shared" si="27"/>
        <v>0</v>
      </c>
      <c r="N13" s="77">
        <f t="shared" si="28"/>
        <v>0</v>
      </c>
      <c r="O13" s="77">
        <f t="shared" si="29"/>
        <v>7.0062999999999992E-3</v>
      </c>
      <c r="P13" s="77">
        <f t="shared" si="30"/>
        <v>5.85741666996209E-4</v>
      </c>
      <c r="Q13" s="44"/>
      <c r="R13" t="s">
        <v>177</v>
      </c>
      <c r="S13" t="s">
        <v>176</v>
      </c>
      <c r="T13" s="197" t="str">
        <f t="shared" si="13"/>
        <v>Autopilot_Balanced_532</v>
      </c>
      <c r="U13">
        <v>532</v>
      </c>
      <c r="V13">
        <f>VLOOKUP($U13,'[2]AP Balanced'!$Q$1:$T$542,2,FALSE)</f>
        <v>0.77777777777777779</v>
      </c>
      <c r="W13">
        <f>VLOOKUP($U13,'[2]AP Balanced'!$Q$1:$T$542,3,FALSE)</f>
        <v>0.22222222222222221</v>
      </c>
      <c r="X13">
        <f>VLOOKUP($U13,'[2]AP Balanced'!$Q$1:$T$542,4,FALSE)</f>
        <v>0</v>
      </c>
      <c r="Y13" s="77">
        <f t="shared" si="14"/>
        <v>1</v>
      </c>
      <c r="Z13" s="77">
        <f t="shared" si="15"/>
        <v>6.1674999999999987E-2</v>
      </c>
      <c r="AA13" s="77">
        <f t="shared" si="16"/>
        <v>4.9997781870025904E-3</v>
      </c>
      <c r="AB13" s="79">
        <v>1</v>
      </c>
      <c r="AC13" s="77">
        <f t="shared" si="31"/>
        <v>8.0555555555555554E-3</v>
      </c>
      <c r="AD13" s="77">
        <f t="shared" si="17"/>
        <v>6.7378764057135498E-4</v>
      </c>
      <c r="AE13" s="77">
        <f t="shared" si="32"/>
        <v>2.5000000000000001E-3</v>
      </c>
      <c r="AF13" s="77">
        <f t="shared" si="17"/>
        <v>2.0857243058891584E-4</v>
      </c>
      <c r="AH13" t="s">
        <v>175</v>
      </c>
      <c r="AI13" t="s">
        <v>176</v>
      </c>
      <c r="AJ13" s="197" t="str">
        <f t="shared" si="18"/>
        <v>Lifecycle_Balanced_532</v>
      </c>
      <c r="AK13">
        <v>532</v>
      </c>
      <c r="AL13">
        <f>VLOOKUP($U13,[2]Standard_Balanced!$Q$1:$T$542,2,FALSE)</f>
        <v>0.77777777777777779</v>
      </c>
      <c r="AM13">
        <f>VLOOKUP($U13,[2]Standard_Balanced!$Q$1:$T$542,3,FALSE)</f>
        <v>0.22222222222222221</v>
      </c>
      <c r="AN13">
        <f>VLOOKUP($U13,[2]Standard_Balanced!$Q$1:$T$542,4,FALSE)</f>
        <v>0</v>
      </c>
      <c r="AO13" s="77">
        <f t="shared" si="19"/>
        <v>1</v>
      </c>
      <c r="AP13" s="77">
        <f t="shared" si="33"/>
        <v>6.1674999999999987E-2</v>
      </c>
      <c r="AQ13" s="77">
        <f t="shared" si="20"/>
        <v>4.9997781870025904E-3</v>
      </c>
      <c r="AR13" s="79">
        <v>0</v>
      </c>
      <c r="AS13" s="77">
        <f t="shared" si="34"/>
        <v>0</v>
      </c>
      <c r="AT13" s="77">
        <f t="shared" ref="AT13" si="54">1-(1-AS13)^(1/12)</f>
        <v>0</v>
      </c>
      <c r="AU13" s="77">
        <f t="shared" si="36"/>
        <v>2.5000000000000001E-3</v>
      </c>
      <c r="AV13" s="77">
        <f t="shared" ref="AV13" si="55">1-(1-AU13)^(1/12)</f>
        <v>2.0857243058891584E-4</v>
      </c>
      <c r="AX13" t="s">
        <v>178</v>
      </c>
      <c r="AY13" t="s">
        <v>160</v>
      </c>
      <c r="AZ13" s="197" t="str">
        <f t="shared" si="23"/>
        <v>DIS_Non-Standard_532</v>
      </c>
      <c r="BA13">
        <v>532</v>
      </c>
      <c r="BB13">
        <f>VLOOKUP($BA13,'[2]NonStandard DIS'!$Q$1:$X$542,2,FALSE)</f>
        <v>0</v>
      </c>
      <c r="BC13">
        <f>VLOOKUP($BA13,'[2]NonStandard DIS'!$Q$1:$X$542,3,FALSE)</f>
        <v>0</v>
      </c>
      <c r="BD13">
        <f>VLOOKUP($BA13,'[2]NonStandard DIS'!$Q$1:$X$542,4,FALSE)</f>
        <v>0.308</v>
      </c>
      <c r="BE13">
        <f>VLOOKUP($BA13,'[2]NonStandard DIS'!$Q$1:$X$542,5,FALSE)</f>
        <v>0.69199999999999995</v>
      </c>
      <c r="BF13">
        <f>VLOOKUP($BA13,'[2]NonStandard DIS'!$Q$1:$X$542,6,FALSE)</f>
        <v>0</v>
      </c>
      <c r="BG13">
        <f>VLOOKUP($BA13,'[2]NonStandard DIS'!$Q$1:$X$542,7,FALSE)</f>
        <v>0</v>
      </c>
      <c r="BH13">
        <f>VLOOKUP($BA13,'[2]NonStandard DIS'!$Q$1:$X$542,8,FALSE)</f>
        <v>0</v>
      </c>
      <c r="BI13" s="77">
        <f t="shared" si="24"/>
        <v>1</v>
      </c>
      <c r="BJ13" s="77">
        <f t="shared" si="25"/>
        <v>6.9728499999999985E-2</v>
      </c>
      <c r="BK13" s="77">
        <f t="shared" si="26"/>
        <v>5.632878498097682E-3</v>
      </c>
      <c r="BL13" s="79">
        <v>0</v>
      </c>
      <c r="BM13" s="77">
        <f t="shared" si="38"/>
        <v>0</v>
      </c>
      <c r="BN13" s="77">
        <f t="shared" si="39"/>
        <v>0</v>
      </c>
      <c r="BO13" s="77">
        <f t="shared" si="40"/>
        <v>5.6775999999999997E-3</v>
      </c>
      <c r="BP13" s="77">
        <f t="shared" si="41"/>
        <v>4.7190657760731725E-4</v>
      </c>
    </row>
    <row r="14" spans="1:68">
      <c r="A14" t="s">
        <v>175</v>
      </c>
      <c r="B14" t="s">
        <v>176</v>
      </c>
      <c r="C14" s="197" t="str">
        <f t="shared" si="9"/>
        <v>Lifecycle_Balanced_531</v>
      </c>
      <c r="D14">
        <v>531</v>
      </c>
      <c r="E14">
        <f>VLOOKUP($D14,'[2]LC Balanced'!$Q$2:$U$542,2,FALSE)</f>
        <v>0</v>
      </c>
      <c r="F14">
        <f>VLOOKUP($D14,'[2]LC Balanced'!$Q$2:$U$542,3,FALSE)</f>
        <v>0.14899999999999999</v>
      </c>
      <c r="G14">
        <f>VLOOKUP($D14,'[2]LC Balanced'!$Q$2:$U$542,4,FALSE)</f>
        <v>0.85099999999999998</v>
      </c>
      <c r="H14">
        <f>VLOOKUP($D14,'[2]LC Balanced'!$Q$2:$U$542,5,FALSE)</f>
        <v>0</v>
      </c>
      <c r="I14" s="77">
        <f t="shared" si="10"/>
        <v>1</v>
      </c>
      <c r="J14" s="77">
        <f t="shared" si="11"/>
        <v>6.1987699999999986E-2</v>
      </c>
      <c r="K14" s="77">
        <f t="shared" si="12"/>
        <v>5.024442123284345E-3</v>
      </c>
      <c r="L14" s="76">
        <v>0</v>
      </c>
      <c r="M14" s="77">
        <f t="shared" si="27"/>
        <v>0</v>
      </c>
      <c r="N14" s="77">
        <f t="shared" si="28"/>
        <v>0</v>
      </c>
      <c r="O14" s="77">
        <f t="shared" si="29"/>
        <v>7.0062999999999992E-3</v>
      </c>
      <c r="P14" s="77">
        <f t="shared" si="30"/>
        <v>5.85741666996209E-4</v>
      </c>
      <c r="Q14" s="44"/>
      <c r="R14" t="s">
        <v>177</v>
      </c>
      <c r="S14" t="s">
        <v>176</v>
      </c>
      <c r="T14" s="197" t="str">
        <f t="shared" si="13"/>
        <v>Autopilot_Balanced_531</v>
      </c>
      <c r="U14">
        <v>531</v>
      </c>
      <c r="V14">
        <f>VLOOKUP($U14,'[2]AP Balanced'!$Q$1:$T$542,2,FALSE)</f>
        <v>0.77777777777777779</v>
      </c>
      <c r="W14">
        <f>VLOOKUP($U14,'[2]AP Balanced'!$Q$1:$T$542,3,FALSE)</f>
        <v>0.22222222222222221</v>
      </c>
      <c r="X14">
        <f>VLOOKUP($U14,'[2]AP Balanced'!$Q$1:$T$542,4,FALSE)</f>
        <v>0</v>
      </c>
      <c r="Y14" s="77">
        <f t="shared" si="14"/>
        <v>1</v>
      </c>
      <c r="Z14" s="77">
        <f t="shared" si="15"/>
        <v>6.1674999999999987E-2</v>
      </c>
      <c r="AA14" s="77">
        <f t="shared" si="16"/>
        <v>4.9997781870025904E-3</v>
      </c>
      <c r="AB14" s="79">
        <v>1</v>
      </c>
      <c r="AC14" s="77">
        <f t="shared" si="31"/>
        <v>8.0555555555555554E-3</v>
      </c>
      <c r="AD14" s="77">
        <f t="shared" si="17"/>
        <v>6.7378764057135498E-4</v>
      </c>
      <c r="AE14" s="77">
        <f t="shared" si="32"/>
        <v>2.5000000000000001E-3</v>
      </c>
      <c r="AF14" s="77">
        <f t="shared" si="17"/>
        <v>2.0857243058891584E-4</v>
      </c>
      <c r="AH14" t="s">
        <v>175</v>
      </c>
      <c r="AI14" t="s">
        <v>176</v>
      </c>
      <c r="AJ14" s="197" t="str">
        <f t="shared" si="18"/>
        <v>Lifecycle_Balanced_531</v>
      </c>
      <c r="AK14">
        <v>531</v>
      </c>
      <c r="AL14">
        <f>VLOOKUP($U14,[2]Standard_Balanced!$Q$1:$T$542,2,FALSE)</f>
        <v>0.77777777777777779</v>
      </c>
      <c r="AM14">
        <f>VLOOKUP($U14,[2]Standard_Balanced!$Q$1:$T$542,3,FALSE)</f>
        <v>0.22222222222222221</v>
      </c>
      <c r="AN14">
        <f>VLOOKUP($U14,[2]Standard_Balanced!$Q$1:$T$542,4,FALSE)</f>
        <v>0</v>
      </c>
      <c r="AO14" s="77">
        <f t="shared" si="19"/>
        <v>1</v>
      </c>
      <c r="AP14" s="77">
        <f t="shared" si="33"/>
        <v>6.1674999999999987E-2</v>
      </c>
      <c r="AQ14" s="77">
        <f t="shared" si="20"/>
        <v>4.9997781870025904E-3</v>
      </c>
      <c r="AR14" s="79">
        <v>0</v>
      </c>
      <c r="AS14" s="77">
        <f t="shared" si="34"/>
        <v>0</v>
      </c>
      <c r="AT14" s="77">
        <f t="shared" ref="AT14" si="56">1-(1-AS14)^(1/12)</f>
        <v>0</v>
      </c>
      <c r="AU14" s="77">
        <f t="shared" si="36"/>
        <v>2.5000000000000001E-3</v>
      </c>
      <c r="AV14" s="77">
        <f t="shared" ref="AV14" si="57">1-(1-AU14)^(1/12)</f>
        <v>2.0857243058891584E-4</v>
      </c>
      <c r="AX14" t="s">
        <v>178</v>
      </c>
      <c r="AY14" t="s">
        <v>160</v>
      </c>
      <c r="AZ14" s="197" t="str">
        <f t="shared" si="23"/>
        <v>DIS_Non-Standard_531</v>
      </c>
      <c r="BA14">
        <v>531</v>
      </c>
      <c r="BB14">
        <f>VLOOKUP($BA14,'[2]NonStandard DIS'!$Q$1:$X$542,2,FALSE)</f>
        <v>0</v>
      </c>
      <c r="BC14">
        <f>VLOOKUP($BA14,'[2]NonStandard DIS'!$Q$1:$X$542,3,FALSE)</f>
        <v>0</v>
      </c>
      <c r="BD14">
        <f>VLOOKUP($BA14,'[2]NonStandard DIS'!$Q$1:$X$542,4,FALSE)</f>
        <v>0.308</v>
      </c>
      <c r="BE14">
        <f>VLOOKUP($BA14,'[2]NonStandard DIS'!$Q$1:$X$542,5,FALSE)</f>
        <v>0.69199999999999995</v>
      </c>
      <c r="BF14">
        <f>VLOOKUP($BA14,'[2]NonStandard DIS'!$Q$1:$X$542,6,FALSE)</f>
        <v>0</v>
      </c>
      <c r="BG14">
        <f>VLOOKUP($BA14,'[2]NonStandard DIS'!$Q$1:$X$542,7,FALSE)</f>
        <v>0</v>
      </c>
      <c r="BH14">
        <f>VLOOKUP($BA14,'[2]NonStandard DIS'!$Q$1:$X$542,8,FALSE)</f>
        <v>0</v>
      </c>
      <c r="BI14" s="77">
        <f t="shared" si="24"/>
        <v>1</v>
      </c>
      <c r="BJ14" s="77">
        <f t="shared" si="25"/>
        <v>6.9728499999999985E-2</v>
      </c>
      <c r="BK14" s="77">
        <f t="shared" si="26"/>
        <v>5.632878498097682E-3</v>
      </c>
      <c r="BL14" s="79">
        <v>0</v>
      </c>
      <c r="BM14" s="77">
        <f t="shared" si="38"/>
        <v>0</v>
      </c>
      <c r="BN14" s="77">
        <f t="shared" si="39"/>
        <v>0</v>
      </c>
      <c r="BO14" s="77">
        <f t="shared" si="40"/>
        <v>5.6775999999999997E-3</v>
      </c>
      <c r="BP14" s="77">
        <f t="shared" si="41"/>
        <v>4.7190657760731725E-4</v>
      </c>
    </row>
    <row r="15" spans="1:68">
      <c r="A15" t="s">
        <v>175</v>
      </c>
      <c r="B15" t="s">
        <v>176</v>
      </c>
      <c r="C15" s="197" t="str">
        <f t="shared" si="9"/>
        <v>Lifecycle_Balanced_530</v>
      </c>
      <c r="D15">
        <v>530</v>
      </c>
      <c r="E15">
        <f>VLOOKUP($D15,'[2]LC Balanced'!$Q$2:$U$542,2,FALSE)</f>
        <v>0</v>
      </c>
      <c r="F15">
        <f>VLOOKUP($D15,'[2]LC Balanced'!$Q$2:$U$542,3,FALSE)</f>
        <v>0.14899999999999999</v>
      </c>
      <c r="G15">
        <f>VLOOKUP($D15,'[2]LC Balanced'!$Q$2:$U$542,4,FALSE)</f>
        <v>0.85099999999999998</v>
      </c>
      <c r="H15">
        <f>VLOOKUP($D15,'[2]LC Balanced'!$Q$2:$U$542,5,FALSE)</f>
        <v>0</v>
      </c>
      <c r="I15" s="77">
        <f t="shared" si="10"/>
        <v>1</v>
      </c>
      <c r="J15" s="77">
        <f t="shared" si="11"/>
        <v>6.1987699999999986E-2</v>
      </c>
      <c r="K15" s="77">
        <f t="shared" si="12"/>
        <v>5.024442123284345E-3</v>
      </c>
      <c r="L15" s="76">
        <v>0</v>
      </c>
      <c r="M15" s="77">
        <f t="shared" si="27"/>
        <v>0</v>
      </c>
      <c r="N15" s="77">
        <f t="shared" si="28"/>
        <v>0</v>
      </c>
      <c r="O15" s="77">
        <f t="shared" si="29"/>
        <v>7.0062999999999992E-3</v>
      </c>
      <c r="P15" s="77">
        <f t="shared" si="30"/>
        <v>5.85741666996209E-4</v>
      </c>
      <c r="Q15" s="44"/>
      <c r="R15" t="s">
        <v>177</v>
      </c>
      <c r="S15" t="s">
        <v>176</v>
      </c>
      <c r="T15" s="197" t="str">
        <f t="shared" si="13"/>
        <v>Autopilot_Balanced_530</v>
      </c>
      <c r="U15">
        <v>530</v>
      </c>
      <c r="V15">
        <f>VLOOKUP($U15,'[2]AP Balanced'!$Q$1:$T$542,2,FALSE)</f>
        <v>0.77777777777777779</v>
      </c>
      <c r="W15">
        <f>VLOOKUP($U15,'[2]AP Balanced'!$Q$1:$T$542,3,FALSE)</f>
        <v>0.22222222222222221</v>
      </c>
      <c r="X15">
        <f>VLOOKUP($U15,'[2]AP Balanced'!$Q$1:$T$542,4,FALSE)</f>
        <v>0</v>
      </c>
      <c r="Y15" s="77">
        <f t="shared" si="14"/>
        <v>1</v>
      </c>
      <c r="Z15" s="77">
        <f t="shared" si="15"/>
        <v>6.1674999999999987E-2</v>
      </c>
      <c r="AA15" s="77">
        <f t="shared" si="16"/>
        <v>4.9997781870025904E-3</v>
      </c>
      <c r="AB15" s="79">
        <v>1</v>
      </c>
      <c r="AC15" s="77">
        <f t="shared" si="31"/>
        <v>8.0555555555555554E-3</v>
      </c>
      <c r="AD15" s="77">
        <f t="shared" si="17"/>
        <v>6.7378764057135498E-4</v>
      </c>
      <c r="AE15" s="77">
        <f t="shared" si="32"/>
        <v>2.5000000000000001E-3</v>
      </c>
      <c r="AF15" s="77">
        <f t="shared" si="17"/>
        <v>2.0857243058891584E-4</v>
      </c>
      <c r="AH15" t="s">
        <v>175</v>
      </c>
      <c r="AI15" t="s">
        <v>176</v>
      </c>
      <c r="AJ15" s="197" t="str">
        <f t="shared" si="18"/>
        <v>Lifecycle_Balanced_530</v>
      </c>
      <c r="AK15">
        <v>530</v>
      </c>
      <c r="AL15">
        <f>VLOOKUP($U15,[2]Standard_Balanced!$Q$1:$T$542,2,FALSE)</f>
        <v>0.77777777777777779</v>
      </c>
      <c r="AM15">
        <f>VLOOKUP($U15,[2]Standard_Balanced!$Q$1:$T$542,3,FALSE)</f>
        <v>0.22222222222222221</v>
      </c>
      <c r="AN15">
        <f>VLOOKUP($U15,[2]Standard_Balanced!$Q$1:$T$542,4,FALSE)</f>
        <v>0</v>
      </c>
      <c r="AO15" s="77">
        <f t="shared" si="19"/>
        <v>1</v>
      </c>
      <c r="AP15" s="77">
        <f t="shared" si="33"/>
        <v>6.1674999999999987E-2</v>
      </c>
      <c r="AQ15" s="77">
        <f t="shared" si="20"/>
        <v>4.9997781870025904E-3</v>
      </c>
      <c r="AR15" s="79">
        <v>0</v>
      </c>
      <c r="AS15" s="77">
        <f t="shared" si="34"/>
        <v>0</v>
      </c>
      <c r="AT15" s="77">
        <f t="shared" ref="AT15" si="58">1-(1-AS15)^(1/12)</f>
        <v>0</v>
      </c>
      <c r="AU15" s="77">
        <f t="shared" si="36"/>
        <v>2.5000000000000001E-3</v>
      </c>
      <c r="AV15" s="77">
        <f t="shared" ref="AV15" si="59">1-(1-AU15)^(1/12)</f>
        <v>2.0857243058891584E-4</v>
      </c>
      <c r="AX15" t="s">
        <v>178</v>
      </c>
      <c r="AY15" t="s">
        <v>160</v>
      </c>
      <c r="AZ15" s="197" t="str">
        <f t="shared" si="23"/>
        <v>DIS_Non-Standard_530</v>
      </c>
      <c r="BA15">
        <v>530</v>
      </c>
      <c r="BB15">
        <f>VLOOKUP($BA15,'[2]NonStandard DIS'!$Q$1:$X$542,2,FALSE)</f>
        <v>0</v>
      </c>
      <c r="BC15">
        <f>VLOOKUP($BA15,'[2]NonStandard DIS'!$Q$1:$X$542,3,FALSE)</f>
        <v>0</v>
      </c>
      <c r="BD15">
        <f>VLOOKUP($BA15,'[2]NonStandard DIS'!$Q$1:$X$542,4,FALSE)</f>
        <v>0.308</v>
      </c>
      <c r="BE15">
        <f>VLOOKUP($BA15,'[2]NonStandard DIS'!$Q$1:$X$542,5,FALSE)</f>
        <v>0.69199999999999995</v>
      </c>
      <c r="BF15">
        <f>VLOOKUP($BA15,'[2]NonStandard DIS'!$Q$1:$X$542,6,FALSE)</f>
        <v>0</v>
      </c>
      <c r="BG15">
        <f>VLOOKUP($BA15,'[2]NonStandard DIS'!$Q$1:$X$542,7,FALSE)</f>
        <v>0</v>
      </c>
      <c r="BH15">
        <f>VLOOKUP($BA15,'[2]NonStandard DIS'!$Q$1:$X$542,8,FALSE)</f>
        <v>0</v>
      </c>
      <c r="BI15" s="77">
        <f t="shared" si="24"/>
        <v>1</v>
      </c>
      <c r="BJ15" s="77">
        <f t="shared" si="25"/>
        <v>6.9728499999999985E-2</v>
      </c>
      <c r="BK15" s="77">
        <f t="shared" si="26"/>
        <v>5.632878498097682E-3</v>
      </c>
      <c r="BL15" s="79">
        <v>0</v>
      </c>
      <c r="BM15" s="77">
        <f t="shared" si="38"/>
        <v>0</v>
      </c>
      <c r="BN15" s="77">
        <f t="shared" si="39"/>
        <v>0</v>
      </c>
      <c r="BO15" s="77">
        <f t="shared" si="40"/>
        <v>5.6775999999999997E-3</v>
      </c>
      <c r="BP15" s="77">
        <f t="shared" si="41"/>
        <v>4.7190657760731725E-4</v>
      </c>
    </row>
    <row r="16" spans="1:68">
      <c r="A16" t="s">
        <v>175</v>
      </c>
      <c r="B16" t="s">
        <v>176</v>
      </c>
      <c r="C16" s="197" t="str">
        <f t="shared" si="9"/>
        <v>Lifecycle_Balanced_529</v>
      </c>
      <c r="D16">
        <v>529</v>
      </c>
      <c r="E16">
        <f>VLOOKUP($D16,'[2]LC Balanced'!$Q$2:$U$542,2,FALSE)</f>
        <v>0</v>
      </c>
      <c r="F16">
        <f>VLOOKUP($D16,'[2]LC Balanced'!$Q$2:$U$542,3,FALSE)</f>
        <v>0.14899999999999999</v>
      </c>
      <c r="G16">
        <f>VLOOKUP($D16,'[2]LC Balanced'!$Q$2:$U$542,4,FALSE)</f>
        <v>0.85099999999999998</v>
      </c>
      <c r="H16">
        <f>VLOOKUP($D16,'[2]LC Balanced'!$Q$2:$U$542,5,FALSE)</f>
        <v>0</v>
      </c>
      <c r="I16" s="77">
        <f t="shared" si="10"/>
        <v>1</v>
      </c>
      <c r="J16" s="77">
        <f t="shared" si="11"/>
        <v>6.1987699999999986E-2</v>
      </c>
      <c r="K16" s="77">
        <f t="shared" si="12"/>
        <v>5.024442123284345E-3</v>
      </c>
      <c r="L16" s="76">
        <v>0</v>
      </c>
      <c r="M16" s="77">
        <f t="shared" si="27"/>
        <v>0</v>
      </c>
      <c r="N16" s="77">
        <f t="shared" si="28"/>
        <v>0</v>
      </c>
      <c r="O16" s="77">
        <f t="shared" si="29"/>
        <v>7.0062999999999992E-3</v>
      </c>
      <c r="P16" s="77">
        <f t="shared" si="30"/>
        <v>5.85741666996209E-4</v>
      </c>
      <c r="Q16" s="44"/>
      <c r="R16" t="s">
        <v>177</v>
      </c>
      <c r="S16" t="s">
        <v>176</v>
      </c>
      <c r="T16" s="197" t="str">
        <f t="shared" si="13"/>
        <v>Autopilot_Balanced_529</v>
      </c>
      <c r="U16">
        <v>529</v>
      </c>
      <c r="V16">
        <f>VLOOKUP($U16,'[2]AP Balanced'!$Q$1:$T$542,2,FALSE)</f>
        <v>0.77777777777777779</v>
      </c>
      <c r="W16">
        <f>VLOOKUP($U16,'[2]AP Balanced'!$Q$1:$T$542,3,FALSE)</f>
        <v>0.22222222222222221</v>
      </c>
      <c r="X16">
        <f>VLOOKUP($U16,'[2]AP Balanced'!$Q$1:$T$542,4,FALSE)</f>
        <v>0</v>
      </c>
      <c r="Y16" s="77">
        <f t="shared" si="14"/>
        <v>1</v>
      </c>
      <c r="Z16" s="77">
        <f t="shared" si="15"/>
        <v>6.1674999999999987E-2</v>
      </c>
      <c r="AA16" s="77">
        <f t="shared" si="16"/>
        <v>4.9997781870025904E-3</v>
      </c>
      <c r="AB16" s="79">
        <v>1</v>
      </c>
      <c r="AC16" s="77">
        <f t="shared" si="31"/>
        <v>8.0555555555555554E-3</v>
      </c>
      <c r="AD16" s="77">
        <f t="shared" si="17"/>
        <v>6.7378764057135498E-4</v>
      </c>
      <c r="AE16" s="77">
        <f t="shared" si="32"/>
        <v>2.5000000000000001E-3</v>
      </c>
      <c r="AF16" s="77">
        <f t="shared" si="17"/>
        <v>2.0857243058891584E-4</v>
      </c>
      <c r="AH16" t="s">
        <v>175</v>
      </c>
      <c r="AI16" t="s">
        <v>176</v>
      </c>
      <c r="AJ16" s="197" t="str">
        <f t="shared" si="18"/>
        <v>Lifecycle_Balanced_529</v>
      </c>
      <c r="AK16">
        <v>529</v>
      </c>
      <c r="AL16">
        <f>VLOOKUP($U16,[2]Standard_Balanced!$Q$1:$T$542,2,FALSE)</f>
        <v>0.77777777777777779</v>
      </c>
      <c r="AM16">
        <f>VLOOKUP($U16,[2]Standard_Balanced!$Q$1:$T$542,3,FALSE)</f>
        <v>0.22222222222222221</v>
      </c>
      <c r="AN16">
        <f>VLOOKUP($U16,[2]Standard_Balanced!$Q$1:$T$542,4,FALSE)</f>
        <v>0</v>
      </c>
      <c r="AO16" s="77">
        <f t="shared" si="19"/>
        <v>1</v>
      </c>
      <c r="AP16" s="77">
        <f t="shared" si="33"/>
        <v>6.1674999999999987E-2</v>
      </c>
      <c r="AQ16" s="77">
        <f t="shared" si="20"/>
        <v>4.9997781870025904E-3</v>
      </c>
      <c r="AR16" s="79">
        <v>0</v>
      </c>
      <c r="AS16" s="77">
        <f t="shared" si="34"/>
        <v>0</v>
      </c>
      <c r="AT16" s="77">
        <f t="shared" ref="AT16" si="60">1-(1-AS16)^(1/12)</f>
        <v>0</v>
      </c>
      <c r="AU16" s="77">
        <f t="shared" si="36"/>
        <v>2.5000000000000001E-3</v>
      </c>
      <c r="AV16" s="77">
        <f t="shared" ref="AV16" si="61">1-(1-AU16)^(1/12)</f>
        <v>2.0857243058891584E-4</v>
      </c>
      <c r="AX16" t="s">
        <v>178</v>
      </c>
      <c r="AY16" t="s">
        <v>160</v>
      </c>
      <c r="AZ16" s="197" t="str">
        <f t="shared" si="23"/>
        <v>DIS_Non-Standard_529</v>
      </c>
      <c r="BA16">
        <v>529</v>
      </c>
      <c r="BB16">
        <f>VLOOKUP($BA16,'[2]NonStandard DIS'!$Q$1:$X$542,2,FALSE)</f>
        <v>0</v>
      </c>
      <c r="BC16">
        <f>VLOOKUP($BA16,'[2]NonStandard DIS'!$Q$1:$X$542,3,FALSE)</f>
        <v>0</v>
      </c>
      <c r="BD16">
        <f>VLOOKUP($BA16,'[2]NonStandard DIS'!$Q$1:$X$542,4,FALSE)</f>
        <v>0.308</v>
      </c>
      <c r="BE16">
        <f>VLOOKUP($BA16,'[2]NonStandard DIS'!$Q$1:$X$542,5,FALSE)</f>
        <v>0.69199999999999995</v>
      </c>
      <c r="BF16">
        <f>VLOOKUP($BA16,'[2]NonStandard DIS'!$Q$1:$X$542,6,FALSE)</f>
        <v>0</v>
      </c>
      <c r="BG16">
        <f>VLOOKUP($BA16,'[2]NonStandard DIS'!$Q$1:$X$542,7,FALSE)</f>
        <v>0</v>
      </c>
      <c r="BH16">
        <f>VLOOKUP($BA16,'[2]NonStandard DIS'!$Q$1:$X$542,8,FALSE)</f>
        <v>0</v>
      </c>
      <c r="BI16" s="77">
        <f t="shared" si="24"/>
        <v>1</v>
      </c>
      <c r="BJ16" s="77">
        <f t="shared" si="25"/>
        <v>6.9728499999999985E-2</v>
      </c>
      <c r="BK16" s="77">
        <f t="shared" si="26"/>
        <v>5.632878498097682E-3</v>
      </c>
      <c r="BL16" s="79">
        <v>0</v>
      </c>
      <c r="BM16" s="77">
        <f t="shared" si="38"/>
        <v>0</v>
      </c>
      <c r="BN16" s="77">
        <f t="shared" si="39"/>
        <v>0</v>
      </c>
      <c r="BO16" s="77">
        <f t="shared" si="40"/>
        <v>5.6775999999999997E-3</v>
      </c>
      <c r="BP16" s="77">
        <f t="shared" si="41"/>
        <v>4.7190657760731725E-4</v>
      </c>
    </row>
    <row r="17" spans="1:68">
      <c r="A17" t="s">
        <v>175</v>
      </c>
      <c r="B17" t="s">
        <v>176</v>
      </c>
      <c r="C17" s="197" t="str">
        <f t="shared" ref="C17:C21" si="62">A17&amp;"_"&amp;B17&amp;"_"&amp;D17</f>
        <v>Lifecycle_Balanced_528</v>
      </c>
      <c r="D17">
        <v>528</v>
      </c>
      <c r="E17">
        <f>VLOOKUP($D17,'[2]LC Balanced'!$Q$2:$U$542,2,FALSE)</f>
        <v>0</v>
      </c>
      <c r="F17">
        <f>VLOOKUP($D17,'[2]LC Balanced'!$Q$2:$U$542,3,FALSE)</f>
        <v>0.14899999999999999</v>
      </c>
      <c r="G17">
        <f>VLOOKUP($D17,'[2]LC Balanced'!$Q$2:$U$542,4,FALSE)</f>
        <v>0.85099999999999998</v>
      </c>
      <c r="H17">
        <f>VLOOKUP($D17,'[2]LC Balanced'!$Q$2:$U$542,5,FALSE)</f>
        <v>0</v>
      </c>
      <c r="I17" s="77">
        <f t="shared" si="10"/>
        <v>1</v>
      </c>
      <c r="J17" s="77">
        <f t="shared" si="11"/>
        <v>6.1987699999999986E-2</v>
      </c>
      <c r="K17" s="77">
        <f t="shared" ref="K17:K21" si="63">(1+J17)^(1/12)-1</f>
        <v>5.024442123284345E-3</v>
      </c>
      <c r="L17" s="76">
        <v>0</v>
      </c>
      <c r="M17" s="77">
        <f t="shared" si="27"/>
        <v>0</v>
      </c>
      <c r="N17" s="77">
        <f t="shared" si="28"/>
        <v>0</v>
      </c>
      <c r="O17" s="77">
        <f t="shared" si="29"/>
        <v>7.0062999999999992E-3</v>
      </c>
      <c r="P17" s="77">
        <f t="shared" si="30"/>
        <v>5.85741666996209E-4</v>
      </c>
      <c r="Q17" s="44"/>
      <c r="R17" t="s">
        <v>177</v>
      </c>
      <c r="S17" t="s">
        <v>176</v>
      </c>
      <c r="T17" s="197" t="str">
        <f t="shared" ref="T17:T21" si="64">R17&amp;"_"&amp;S17&amp;"_"&amp;U17</f>
        <v>Autopilot_Balanced_528</v>
      </c>
      <c r="U17">
        <v>528</v>
      </c>
      <c r="V17">
        <f>VLOOKUP($U17,'[2]AP Balanced'!$Q$1:$T$542,2,FALSE)</f>
        <v>0.77777777777777779</v>
      </c>
      <c r="W17">
        <f>VLOOKUP($U17,'[2]AP Balanced'!$Q$1:$T$542,3,FALSE)</f>
        <v>0.22222222222222221</v>
      </c>
      <c r="X17">
        <f>VLOOKUP($U17,'[2]AP Balanced'!$Q$1:$T$542,4,FALSE)</f>
        <v>0</v>
      </c>
      <c r="Y17" s="77">
        <f t="shared" ref="Y17:Y21" si="65">SUM(V17:X17)</f>
        <v>1</v>
      </c>
      <c r="Z17" s="77">
        <f t="shared" ref="Z17:Z21" si="66">SUMPRODUCT($V$1:$X$1,V17:X17)</f>
        <v>6.1674999999999987E-2</v>
      </c>
      <c r="AA17" s="77">
        <f t="shared" ref="AA17:AA21" si="67">(1+Z17)^(1/12)-1</f>
        <v>4.9997781870025904E-3</v>
      </c>
      <c r="AB17" s="79">
        <v>1</v>
      </c>
      <c r="AC17" s="77">
        <f t="shared" si="31"/>
        <v>8.0555555555555554E-3</v>
      </c>
      <c r="AD17" s="77">
        <f t="shared" si="17"/>
        <v>6.7378764057135498E-4</v>
      </c>
      <c r="AE17" s="77">
        <f t="shared" si="32"/>
        <v>2.5000000000000001E-3</v>
      </c>
      <c r="AF17" s="77">
        <f t="shared" si="17"/>
        <v>2.0857243058891584E-4</v>
      </c>
      <c r="AH17" t="s">
        <v>175</v>
      </c>
      <c r="AI17" t="s">
        <v>176</v>
      </c>
      <c r="AJ17" s="197" t="str">
        <f t="shared" si="18"/>
        <v>Lifecycle_Balanced_528</v>
      </c>
      <c r="AK17">
        <v>528</v>
      </c>
      <c r="AL17">
        <f>VLOOKUP($U17,[2]Standard_Balanced!$Q$1:$T$542,2,FALSE)</f>
        <v>0.77777777777777779</v>
      </c>
      <c r="AM17">
        <f>VLOOKUP($U17,[2]Standard_Balanced!$Q$1:$T$542,3,FALSE)</f>
        <v>0.22222222222222221</v>
      </c>
      <c r="AN17">
        <f>VLOOKUP($U17,[2]Standard_Balanced!$Q$1:$T$542,4,FALSE)</f>
        <v>0</v>
      </c>
      <c r="AO17" s="77">
        <f t="shared" si="19"/>
        <v>1</v>
      </c>
      <c r="AP17" s="77">
        <f t="shared" si="33"/>
        <v>6.1674999999999987E-2</v>
      </c>
      <c r="AQ17" s="77">
        <f t="shared" si="20"/>
        <v>4.9997781870025904E-3</v>
      </c>
      <c r="AR17" s="79">
        <v>0</v>
      </c>
      <c r="AS17" s="77">
        <f t="shared" si="34"/>
        <v>0</v>
      </c>
      <c r="AT17" s="77">
        <f t="shared" ref="AT17" si="68">1-(1-AS17)^(1/12)</f>
        <v>0</v>
      </c>
      <c r="AU17" s="77">
        <f t="shared" si="36"/>
        <v>2.5000000000000001E-3</v>
      </c>
      <c r="AV17" s="77">
        <f t="shared" ref="AV17" si="69">1-(1-AU17)^(1/12)</f>
        <v>2.0857243058891584E-4</v>
      </c>
      <c r="AX17" t="s">
        <v>178</v>
      </c>
      <c r="AY17" t="s">
        <v>160</v>
      </c>
      <c r="AZ17" s="197" t="str">
        <f t="shared" ref="AZ17:AZ21" si="70">AX17&amp;"_"&amp;AY17&amp;"_"&amp;BA17</f>
        <v>DIS_Non-Standard_528</v>
      </c>
      <c r="BA17">
        <v>528</v>
      </c>
      <c r="BB17">
        <f>VLOOKUP($BA17,'[2]NonStandard DIS'!$Q$1:$X$542,2,FALSE)</f>
        <v>0</v>
      </c>
      <c r="BC17">
        <f>VLOOKUP($BA17,'[2]NonStandard DIS'!$Q$1:$X$542,3,FALSE)</f>
        <v>0</v>
      </c>
      <c r="BD17">
        <f>VLOOKUP($BA17,'[2]NonStandard DIS'!$Q$1:$X$542,4,FALSE)</f>
        <v>0.308</v>
      </c>
      <c r="BE17">
        <f>VLOOKUP($BA17,'[2]NonStandard DIS'!$Q$1:$X$542,5,FALSE)</f>
        <v>0.69199999999999995</v>
      </c>
      <c r="BF17">
        <f>VLOOKUP($BA17,'[2]NonStandard DIS'!$Q$1:$X$542,6,FALSE)</f>
        <v>0</v>
      </c>
      <c r="BG17">
        <f>VLOOKUP($BA17,'[2]NonStandard DIS'!$Q$1:$X$542,7,FALSE)</f>
        <v>0</v>
      </c>
      <c r="BH17">
        <f>VLOOKUP($BA17,'[2]NonStandard DIS'!$Q$1:$X$542,8,FALSE)</f>
        <v>0</v>
      </c>
      <c r="BI17" s="77">
        <f t="shared" si="24"/>
        <v>1</v>
      </c>
      <c r="BJ17" s="77">
        <f t="shared" si="25"/>
        <v>6.9728499999999985E-2</v>
      </c>
      <c r="BK17" s="77">
        <f t="shared" ref="BK17:BK21" si="71">(1+BJ17)^(1/12)-1</f>
        <v>5.632878498097682E-3</v>
      </c>
      <c r="BL17" s="79">
        <v>0</v>
      </c>
      <c r="BM17" s="77">
        <f t="shared" si="38"/>
        <v>0</v>
      </c>
      <c r="BN17" s="77">
        <f t="shared" si="39"/>
        <v>0</v>
      </c>
      <c r="BO17" s="77">
        <f t="shared" si="40"/>
        <v>5.6775999999999997E-3</v>
      </c>
      <c r="BP17" s="77">
        <f t="shared" si="41"/>
        <v>4.7190657760731725E-4</v>
      </c>
    </row>
    <row r="18" spans="1:68">
      <c r="A18" t="s">
        <v>175</v>
      </c>
      <c r="B18" t="s">
        <v>176</v>
      </c>
      <c r="C18" s="197" t="str">
        <f t="shared" si="62"/>
        <v>Lifecycle_Balanced_527</v>
      </c>
      <c r="D18">
        <v>527</v>
      </c>
      <c r="E18">
        <f>VLOOKUP($D18,'[2]LC Balanced'!$Q$2:$U$542,2,FALSE)</f>
        <v>0</v>
      </c>
      <c r="F18">
        <f>VLOOKUP($D18,'[2]LC Balanced'!$Q$2:$U$542,3,FALSE)</f>
        <v>0.14899999999999999</v>
      </c>
      <c r="G18">
        <f>VLOOKUP($D18,'[2]LC Balanced'!$Q$2:$U$542,4,FALSE)</f>
        <v>0.85099999999999998</v>
      </c>
      <c r="H18">
        <f>VLOOKUP($D18,'[2]LC Balanced'!$Q$2:$U$542,5,FALSE)</f>
        <v>0</v>
      </c>
      <c r="I18" s="77">
        <f t="shared" si="10"/>
        <v>1</v>
      </c>
      <c r="J18" s="77">
        <f t="shared" si="11"/>
        <v>6.1987699999999986E-2</v>
      </c>
      <c r="K18" s="77">
        <f t="shared" si="63"/>
        <v>5.024442123284345E-3</v>
      </c>
      <c r="L18" s="76">
        <v>0</v>
      </c>
      <c r="M18" s="77">
        <f t="shared" si="27"/>
        <v>0</v>
      </c>
      <c r="N18" s="77">
        <f t="shared" si="28"/>
        <v>0</v>
      </c>
      <c r="O18" s="77">
        <f t="shared" si="29"/>
        <v>7.0062999999999992E-3</v>
      </c>
      <c r="P18" s="77">
        <f t="shared" si="30"/>
        <v>5.85741666996209E-4</v>
      </c>
      <c r="Q18" s="44"/>
      <c r="R18" t="s">
        <v>177</v>
      </c>
      <c r="S18" t="s">
        <v>176</v>
      </c>
      <c r="T18" s="197" t="str">
        <f t="shared" si="64"/>
        <v>Autopilot_Balanced_527</v>
      </c>
      <c r="U18">
        <v>527</v>
      </c>
      <c r="V18">
        <f>VLOOKUP($U18,'[2]AP Balanced'!$Q$1:$T$542,2,FALSE)</f>
        <v>0.77777777777777779</v>
      </c>
      <c r="W18">
        <f>VLOOKUP($U18,'[2]AP Balanced'!$Q$1:$T$542,3,FALSE)</f>
        <v>0.22222222222222221</v>
      </c>
      <c r="X18">
        <f>VLOOKUP($U18,'[2]AP Balanced'!$Q$1:$T$542,4,FALSE)</f>
        <v>0</v>
      </c>
      <c r="Y18" s="77">
        <f t="shared" si="65"/>
        <v>1</v>
      </c>
      <c r="Z18" s="77">
        <f t="shared" si="66"/>
        <v>6.1674999999999987E-2</v>
      </c>
      <c r="AA18" s="77">
        <f t="shared" si="67"/>
        <v>4.9997781870025904E-3</v>
      </c>
      <c r="AB18" s="79">
        <v>1</v>
      </c>
      <c r="AC18" s="77">
        <f t="shared" si="31"/>
        <v>8.0555555555555554E-3</v>
      </c>
      <c r="AD18" s="77">
        <f t="shared" si="17"/>
        <v>6.7378764057135498E-4</v>
      </c>
      <c r="AE18" s="77">
        <f t="shared" si="32"/>
        <v>2.5000000000000001E-3</v>
      </c>
      <c r="AF18" s="77">
        <f t="shared" si="17"/>
        <v>2.0857243058891584E-4</v>
      </c>
      <c r="AH18" t="s">
        <v>175</v>
      </c>
      <c r="AI18" t="s">
        <v>176</v>
      </c>
      <c r="AJ18" s="197" t="str">
        <f t="shared" si="18"/>
        <v>Lifecycle_Balanced_527</v>
      </c>
      <c r="AK18">
        <v>527</v>
      </c>
      <c r="AL18">
        <f>VLOOKUP($U18,[2]Standard_Balanced!$Q$1:$T$542,2,FALSE)</f>
        <v>0.77777777777777779</v>
      </c>
      <c r="AM18">
        <f>VLOOKUP($U18,[2]Standard_Balanced!$Q$1:$T$542,3,FALSE)</f>
        <v>0.22222222222222221</v>
      </c>
      <c r="AN18">
        <f>VLOOKUP($U18,[2]Standard_Balanced!$Q$1:$T$542,4,FALSE)</f>
        <v>0</v>
      </c>
      <c r="AO18" s="77">
        <f t="shared" si="19"/>
        <v>1</v>
      </c>
      <c r="AP18" s="77">
        <f t="shared" si="33"/>
        <v>6.1674999999999987E-2</v>
      </c>
      <c r="AQ18" s="77">
        <f t="shared" si="20"/>
        <v>4.9997781870025904E-3</v>
      </c>
      <c r="AR18" s="79">
        <v>0</v>
      </c>
      <c r="AS18" s="77">
        <f t="shared" si="34"/>
        <v>0</v>
      </c>
      <c r="AT18" s="77">
        <f t="shared" ref="AT18" si="72">1-(1-AS18)^(1/12)</f>
        <v>0</v>
      </c>
      <c r="AU18" s="77">
        <f t="shared" si="36"/>
        <v>2.5000000000000001E-3</v>
      </c>
      <c r="AV18" s="77">
        <f t="shared" ref="AV18" si="73">1-(1-AU18)^(1/12)</f>
        <v>2.0857243058891584E-4</v>
      </c>
      <c r="AX18" t="s">
        <v>178</v>
      </c>
      <c r="AY18" t="s">
        <v>160</v>
      </c>
      <c r="AZ18" s="197" t="str">
        <f t="shared" si="70"/>
        <v>DIS_Non-Standard_527</v>
      </c>
      <c r="BA18">
        <v>527</v>
      </c>
      <c r="BB18">
        <f>VLOOKUP($BA18,'[2]NonStandard DIS'!$Q$1:$X$542,2,FALSE)</f>
        <v>0</v>
      </c>
      <c r="BC18">
        <f>VLOOKUP($BA18,'[2]NonStandard DIS'!$Q$1:$X$542,3,FALSE)</f>
        <v>0</v>
      </c>
      <c r="BD18">
        <f>VLOOKUP($BA18,'[2]NonStandard DIS'!$Q$1:$X$542,4,FALSE)</f>
        <v>0.308</v>
      </c>
      <c r="BE18">
        <f>VLOOKUP($BA18,'[2]NonStandard DIS'!$Q$1:$X$542,5,FALSE)</f>
        <v>0.69199999999999995</v>
      </c>
      <c r="BF18">
        <f>VLOOKUP($BA18,'[2]NonStandard DIS'!$Q$1:$X$542,6,FALSE)</f>
        <v>0</v>
      </c>
      <c r="BG18">
        <f>VLOOKUP($BA18,'[2]NonStandard DIS'!$Q$1:$X$542,7,FALSE)</f>
        <v>0</v>
      </c>
      <c r="BH18">
        <f>VLOOKUP($BA18,'[2]NonStandard DIS'!$Q$1:$X$542,8,FALSE)</f>
        <v>0</v>
      </c>
      <c r="BI18" s="77">
        <f t="shared" si="24"/>
        <v>1</v>
      </c>
      <c r="BJ18" s="77">
        <f t="shared" si="25"/>
        <v>6.9728499999999985E-2</v>
      </c>
      <c r="BK18" s="77">
        <f t="shared" si="71"/>
        <v>5.632878498097682E-3</v>
      </c>
      <c r="BL18" s="79">
        <v>0</v>
      </c>
      <c r="BM18" s="77">
        <f t="shared" si="38"/>
        <v>0</v>
      </c>
      <c r="BN18" s="77">
        <f t="shared" si="39"/>
        <v>0</v>
      </c>
      <c r="BO18" s="77">
        <f t="shared" si="40"/>
        <v>5.6775999999999997E-3</v>
      </c>
      <c r="BP18" s="77">
        <f t="shared" si="41"/>
        <v>4.7190657760731725E-4</v>
      </c>
    </row>
    <row r="19" spans="1:68">
      <c r="A19" t="s">
        <v>175</v>
      </c>
      <c r="B19" t="s">
        <v>176</v>
      </c>
      <c r="C19" s="197" t="str">
        <f t="shared" si="62"/>
        <v>Lifecycle_Balanced_526</v>
      </c>
      <c r="D19">
        <v>526</v>
      </c>
      <c r="E19">
        <f>VLOOKUP($D19,'[2]LC Balanced'!$Q$2:$U$542,2,FALSE)</f>
        <v>0</v>
      </c>
      <c r="F19">
        <f>VLOOKUP($D19,'[2]LC Balanced'!$Q$2:$U$542,3,FALSE)</f>
        <v>0.14899999999999999</v>
      </c>
      <c r="G19">
        <f>VLOOKUP($D19,'[2]LC Balanced'!$Q$2:$U$542,4,FALSE)</f>
        <v>0.85099999999999998</v>
      </c>
      <c r="H19">
        <f>VLOOKUP($D19,'[2]LC Balanced'!$Q$2:$U$542,5,FALSE)</f>
        <v>0</v>
      </c>
      <c r="I19" s="77">
        <f t="shared" si="10"/>
        <v>1</v>
      </c>
      <c r="J19" s="77">
        <f t="shared" si="11"/>
        <v>6.1987699999999986E-2</v>
      </c>
      <c r="K19" s="77">
        <f t="shared" si="63"/>
        <v>5.024442123284345E-3</v>
      </c>
      <c r="L19" s="76">
        <v>0</v>
      </c>
      <c r="M19" s="77">
        <f t="shared" si="27"/>
        <v>0</v>
      </c>
      <c r="N19" s="77">
        <f t="shared" si="28"/>
        <v>0</v>
      </c>
      <c r="O19" s="77">
        <f t="shared" si="29"/>
        <v>7.0062999999999992E-3</v>
      </c>
      <c r="P19" s="77">
        <f t="shared" si="30"/>
        <v>5.85741666996209E-4</v>
      </c>
      <c r="Q19" s="44"/>
      <c r="R19" t="s">
        <v>177</v>
      </c>
      <c r="S19" t="s">
        <v>176</v>
      </c>
      <c r="T19" s="197" t="str">
        <f t="shared" si="64"/>
        <v>Autopilot_Balanced_526</v>
      </c>
      <c r="U19">
        <v>526</v>
      </c>
      <c r="V19">
        <f>VLOOKUP($U19,'[2]AP Balanced'!$Q$1:$T$542,2,FALSE)</f>
        <v>0.77777777777777779</v>
      </c>
      <c r="W19">
        <f>VLOOKUP($U19,'[2]AP Balanced'!$Q$1:$T$542,3,FALSE)</f>
        <v>0.22222222222222221</v>
      </c>
      <c r="X19">
        <f>VLOOKUP($U19,'[2]AP Balanced'!$Q$1:$T$542,4,FALSE)</f>
        <v>0</v>
      </c>
      <c r="Y19" s="77">
        <f t="shared" si="65"/>
        <v>1</v>
      </c>
      <c r="Z19" s="77">
        <f t="shared" si="66"/>
        <v>6.1674999999999987E-2</v>
      </c>
      <c r="AA19" s="77">
        <f t="shared" si="67"/>
        <v>4.9997781870025904E-3</v>
      </c>
      <c r="AB19" s="79">
        <v>1</v>
      </c>
      <c r="AC19" s="77">
        <f t="shared" si="31"/>
        <v>8.0555555555555554E-3</v>
      </c>
      <c r="AD19" s="77">
        <f t="shared" si="17"/>
        <v>6.7378764057135498E-4</v>
      </c>
      <c r="AE19" s="77">
        <f t="shared" si="32"/>
        <v>2.5000000000000001E-3</v>
      </c>
      <c r="AF19" s="77">
        <f t="shared" si="17"/>
        <v>2.0857243058891584E-4</v>
      </c>
      <c r="AH19" t="s">
        <v>175</v>
      </c>
      <c r="AI19" t="s">
        <v>176</v>
      </c>
      <c r="AJ19" s="197" t="str">
        <f t="shared" si="18"/>
        <v>Lifecycle_Balanced_526</v>
      </c>
      <c r="AK19">
        <v>526</v>
      </c>
      <c r="AL19">
        <f>VLOOKUP($U19,[2]Standard_Balanced!$Q$1:$T$542,2,FALSE)</f>
        <v>0.77777777777777779</v>
      </c>
      <c r="AM19">
        <f>VLOOKUP($U19,[2]Standard_Balanced!$Q$1:$T$542,3,FALSE)</f>
        <v>0.22222222222222221</v>
      </c>
      <c r="AN19">
        <f>VLOOKUP($U19,[2]Standard_Balanced!$Q$1:$T$542,4,FALSE)</f>
        <v>0</v>
      </c>
      <c r="AO19" s="77">
        <f t="shared" si="19"/>
        <v>1</v>
      </c>
      <c r="AP19" s="77">
        <f t="shared" si="33"/>
        <v>6.1674999999999987E-2</v>
      </c>
      <c r="AQ19" s="77">
        <f t="shared" si="20"/>
        <v>4.9997781870025904E-3</v>
      </c>
      <c r="AR19" s="79">
        <v>0</v>
      </c>
      <c r="AS19" s="77">
        <f t="shared" si="34"/>
        <v>0</v>
      </c>
      <c r="AT19" s="77">
        <f t="shared" ref="AT19" si="74">1-(1-AS19)^(1/12)</f>
        <v>0</v>
      </c>
      <c r="AU19" s="77">
        <f t="shared" si="36"/>
        <v>2.5000000000000001E-3</v>
      </c>
      <c r="AV19" s="77">
        <f t="shared" ref="AV19" si="75">1-(1-AU19)^(1/12)</f>
        <v>2.0857243058891584E-4</v>
      </c>
      <c r="AX19" t="s">
        <v>178</v>
      </c>
      <c r="AY19" t="s">
        <v>160</v>
      </c>
      <c r="AZ19" s="197" t="str">
        <f t="shared" si="70"/>
        <v>DIS_Non-Standard_526</v>
      </c>
      <c r="BA19">
        <v>526</v>
      </c>
      <c r="BB19">
        <f>VLOOKUP($BA19,'[2]NonStandard DIS'!$Q$1:$X$542,2,FALSE)</f>
        <v>0</v>
      </c>
      <c r="BC19">
        <f>VLOOKUP($BA19,'[2]NonStandard DIS'!$Q$1:$X$542,3,FALSE)</f>
        <v>0</v>
      </c>
      <c r="BD19">
        <f>VLOOKUP($BA19,'[2]NonStandard DIS'!$Q$1:$X$542,4,FALSE)</f>
        <v>0.308</v>
      </c>
      <c r="BE19">
        <f>VLOOKUP($BA19,'[2]NonStandard DIS'!$Q$1:$X$542,5,FALSE)</f>
        <v>0.69199999999999995</v>
      </c>
      <c r="BF19">
        <f>VLOOKUP($BA19,'[2]NonStandard DIS'!$Q$1:$X$542,6,FALSE)</f>
        <v>0</v>
      </c>
      <c r="BG19">
        <f>VLOOKUP($BA19,'[2]NonStandard DIS'!$Q$1:$X$542,7,FALSE)</f>
        <v>0</v>
      </c>
      <c r="BH19">
        <f>VLOOKUP($BA19,'[2]NonStandard DIS'!$Q$1:$X$542,8,FALSE)</f>
        <v>0</v>
      </c>
      <c r="BI19" s="77">
        <f t="shared" si="24"/>
        <v>1</v>
      </c>
      <c r="BJ19" s="77">
        <f t="shared" si="25"/>
        <v>6.9728499999999985E-2</v>
      </c>
      <c r="BK19" s="77">
        <f t="shared" si="71"/>
        <v>5.632878498097682E-3</v>
      </c>
      <c r="BL19" s="79">
        <v>0</v>
      </c>
      <c r="BM19" s="77">
        <f t="shared" si="38"/>
        <v>0</v>
      </c>
      <c r="BN19" s="77">
        <f t="shared" si="39"/>
        <v>0</v>
      </c>
      <c r="BO19" s="77">
        <f t="shared" si="40"/>
        <v>5.6775999999999997E-3</v>
      </c>
      <c r="BP19" s="77">
        <f t="shared" si="41"/>
        <v>4.7190657760731725E-4</v>
      </c>
    </row>
    <row r="20" spans="1:68">
      <c r="A20" t="s">
        <v>175</v>
      </c>
      <c r="B20" t="s">
        <v>176</v>
      </c>
      <c r="C20" s="197" t="str">
        <f t="shared" si="62"/>
        <v>Lifecycle_Balanced_525</v>
      </c>
      <c r="D20">
        <v>525</v>
      </c>
      <c r="E20">
        <f>VLOOKUP($D20,'[2]LC Balanced'!$Q$2:$U$542,2,FALSE)</f>
        <v>0</v>
      </c>
      <c r="F20">
        <f>VLOOKUP($D20,'[2]LC Balanced'!$Q$2:$U$542,3,FALSE)</f>
        <v>0.14899999999999999</v>
      </c>
      <c r="G20">
        <f>VLOOKUP($D20,'[2]LC Balanced'!$Q$2:$U$542,4,FALSE)</f>
        <v>0.85099999999999998</v>
      </c>
      <c r="H20">
        <f>VLOOKUP($D20,'[2]LC Balanced'!$Q$2:$U$542,5,FALSE)</f>
        <v>0</v>
      </c>
      <c r="I20" s="77">
        <f t="shared" si="10"/>
        <v>1</v>
      </c>
      <c r="J20" s="77">
        <f t="shared" si="11"/>
        <v>6.1987699999999986E-2</v>
      </c>
      <c r="K20" s="77">
        <f t="shared" si="63"/>
        <v>5.024442123284345E-3</v>
      </c>
      <c r="L20" s="76">
        <v>0</v>
      </c>
      <c r="M20" s="77">
        <f t="shared" si="27"/>
        <v>0</v>
      </c>
      <c r="N20" s="77">
        <f t="shared" si="28"/>
        <v>0</v>
      </c>
      <c r="O20" s="77">
        <f t="shared" si="29"/>
        <v>7.0062999999999992E-3</v>
      </c>
      <c r="P20" s="77">
        <f t="shared" si="30"/>
        <v>5.85741666996209E-4</v>
      </c>
      <c r="Q20" s="44"/>
      <c r="R20" t="s">
        <v>177</v>
      </c>
      <c r="S20" t="s">
        <v>176</v>
      </c>
      <c r="T20" s="197" t="str">
        <f t="shared" si="64"/>
        <v>Autopilot_Balanced_525</v>
      </c>
      <c r="U20">
        <v>525</v>
      </c>
      <c r="V20">
        <f>VLOOKUP($U20,'[2]AP Balanced'!$Q$1:$T$542,2,FALSE)</f>
        <v>0.77777777777777779</v>
      </c>
      <c r="W20">
        <f>VLOOKUP($U20,'[2]AP Balanced'!$Q$1:$T$542,3,FALSE)</f>
        <v>0.22222222222222221</v>
      </c>
      <c r="X20">
        <f>VLOOKUP($U20,'[2]AP Balanced'!$Q$1:$T$542,4,FALSE)</f>
        <v>0</v>
      </c>
      <c r="Y20" s="77">
        <f t="shared" si="65"/>
        <v>1</v>
      </c>
      <c r="Z20" s="77">
        <f t="shared" si="66"/>
        <v>6.1674999999999987E-2</v>
      </c>
      <c r="AA20" s="77">
        <f t="shared" si="67"/>
        <v>4.9997781870025904E-3</v>
      </c>
      <c r="AB20" s="79">
        <v>1</v>
      </c>
      <c r="AC20" s="77">
        <f t="shared" si="31"/>
        <v>8.0555555555555554E-3</v>
      </c>
      <c r="AD20" s="77">
        <f t="shared" si="17"/>
        <v>6.7378764057135498E-4</v>
      </c>
      <c r="AE20" s="77">
        <f t="shared" si="32"/>
        <v>2.5000000000000001E-3</v>
      </c>
      <c r="AF20" s="77">
        <f t="shared" si="17"/>
        <v>2.0857243058891584E-4</v>
      </c>
      <c r="AH20" t="s">
        <v>175</v>
      </c>
      <c r="AI20" t="s">
        <v>176</v>
      </c>
      <c r="AJ20" s="197" t="str">
        <f t="shared" si="18"/>
        <v>Lifecycle_Balanced_525</v>
      </c>
      <c r="AK20">
        <v>525</v>
      </c>
      <c r="AL20">
        <f>VLOOKUP($U20,[2]Standard_Balanced!$Q$1:$T$542,2,FALSE)</f>
        <v>0.77777777777777779</v>
      </c>
      <c r="AM20">
        <f>VLOOKUP($U20,[2]Standard_Balanced!$Q$1:$T$542,3,FALSE)</f>
        <v>0.22222222222222221</v>
      </c>
      <c r="AN20">
        <f>VLOOKUP($U20,[2]Standard_Balanced!$Q$1:$T$542,4,FALSE)</f>
        <v>0</v>
      </c>
      <c r="AO20" s="77">
        <f t="shared" si="19"/>
        <v>1</v>
      </c>
      <c r="AP20" s="77">
        <f t="shared" si="33"/>
        <v>6.1674999999999987E-2</v>
      </c>
      <c r="AQ20" s="77">
        <f t="shared" si="20"/>
        <v>4.9997781870025904E-3</v>
      </c>
      <c r="AR20" s="79">
        <v>0</v>
      </c>
      <c r="AS20" s="77">
        <f t="shared" si="34"/>
        <v>0</v>
      </c>
      <c r="AT20" s="77">
        <f t="shared" ref="AT20" si="76">1-(1-AS20)^(1/12)</f>
        <v>0</v>
      </c>
      <c r="AU20" s="77">
        <f t="shared" si="36"/>
        <v>2.5000000000000001E-3</v>
      </c>
      <c r="AV20" s="77">
        <f t="shared" ref="AV20" si="77">1-(1-AU20)^(1/12)</f>
        <v>2.0857243058891584E-4</v>
      </c>
      <c r="AX20" t="s">
        <v>178</v>
      </c>
      <c r="AY20" t="s">
        <v>160</v>
      </c>
      <c r="AZ20" s="197" t="str">
        <f t="shared" si="70"/>
        <v>DIS_Non-Standard_525</v>
      </c>
      <c r="BA20">
        <v>525</v>
      </c>
      <c r="BB20">
        <f>VLOOKUP($BA20,'[2]NonStandard DIS'!$Q$1:$X$542,2,FALSE)</f>
        <v>0</v>
      </c>
      <c r="BC20">
        <f>VLOOKUP($BA20,'[2]NonStandard DIS'!$Q$1:$X$542,3,FALSE)</f>
        <v>0</v>
      </c>
      <c r="BD20">
        <f>VLOOKUP($BA20,'[2]NonStandard DIS'!$Q$1:$X$542,4,FALSE)</f>
        <v>0.308</v>
      </c>
      <c r="BE20">
        <f>VLOOKUP($BA20,'[2]NonStandard DIS'!$Q$1:$X$542,5,FALSE)</f>
        <v>0.69199999999999995</v>
      </c>
      <c r="BF20">
        <f>VLOOKUP($BA20,'[2]NonStandard DIS'!$Q$1:$X$542,6,FALSE)</f>
        <v>0</v>
      </c>
      <c r="BG20">
        <f>VLOOKUP($BA20,'[2]NonStandard DIS'!$Q$1:$X$542,7,FALSE)</f>
        <v>0</v>
      </c>
      <c r="BH20">
        <f>VLOOKUP($BA20,'[2]NonStandard DIS'!$Q$1:$X$542,8,FALSE)</f>
        <v>0</v>
      </c>
      <c r="BI20" s="77">
        <f t="shared" si="24"/>
        <v>1</v>
      </c>
      <c r="BJ20" s="77">
        <f t="shared" si="25"/>
        <v>6.9728499999999985E-2</v>
      </c>
      <c r="BK20" s="77">
        <f t="shared" si="71"/>
        <v>5.632878498097682E-3</v>
      </c>
      <c r="BL20" s="79">
        <v>0</v>
      </c>
      <c r="BM20" s="77">
        <f t="shared" si="38"/>
        <v>0</v>
      </c>
      <c r="BN20" s="77">
        <f t="shared" si="39"/>
        <v>0</v>
      </c>
      <c r="BO20" s="77">
        <f t="shared" si="40"/>
        <v>5.6775999999999997E-3</v>
      </c>
      <c r="BP20" s="77">
        <f t="shared" si="41"/>
        <v>4.7190657760731725E-4</v>
      </c>
    </row>
    <row r="21" spans="1:68">
      <c r="A21" t="s">
        <v>175</v>
      </c>
      <c r="B21" t="s">
        <v>176</v>
      </c>
      <c r="C21" s="197" t="str">
        <f t="shared" si="62"/>
        <v>Lifecycle_Balanced_524</v>
      </c>
      <c r="D21">
        <v>524</v>
      </c>
      <c r="E21">
        <f>VLOOKUP($D21,'[2]LC Balanced'!$Q$2:$U$542,2,FALSE)</f>
        <v>0</v>
      </c>
      <c r="F21">
        <f>VLOOKUP($D21,'[2]LC Balanced'!$Q$2:$U$542,3,FALSE)</f>
        <v>0.14899999999999999</v>
      </c>
      <c r="G21">
        <f>VLOOKUP($D21,'[2]LC Balanced'!$Q$2:$U$542,4,FALSE)</f>
        <v>0.85099999999999998</v>
      </c>
      <c r="H21">
        <f>VLOOKUP($D21,'[2]LC Balanced'!$Q$2:$U$542,5,FALSE)</f>
        <v>0</v>
      </c>
      <c r="I21" s="77">
        <f t="shared" si="10"/>
        <v>1</v>
      </c>
      <c r="J21" s="77">
        <f t="shared" si="11"/>
        <v>6.1987699999999986E-2</v>
      </c>
      <c r="K21" s="77">
        <f t="shared" si="63"/>
        <v>5.024442123284345E-3</v>
      </c>
      <c r="L21" s="76">
        <v>0</v>
      </c>
      <c r="M21" s="77">
        <f t="shared" si="27"/>
        <v>0</v>
      </c>
      <c r="N21" s="77">
        <f t="shared" si="28"/>
        <v>0</v>
      </c>
      <c r="O21" s="77">
        <f t="shared" si="29"/>
        <v>7.0062999999999992E-3</v>
      </c>
      <c r="P21" s="77">
        <f t="shared" si="30"/>
        <v>5.85741666996209E-4</v>
      </c>
      <c r="Q21" s="44"/>
      <c r="R21" t="s">
        <v>177</v>
      </c>
      <c r="S21" t="s">
        <v>176</v>
      </c>
      <c r="T21" s="197" t="str">
        <f t="shared" si="64"/>
        <v>Autopilot_Balanced_524</v>
      </c>
      <c r="U21">
        <v>524</v>
      </c>
      <c r="V21">
        <f>VLOOKUP($U21,'[2]AP Balanced'!$Q$1:$T$542,2,FALSE)</f>
        <v>0.77777777777777779</v>
      </c>
      <c r="W21">
        <f>VLOOKUP($U21,'[2]AP Balanced'!$Q$1:$T$542,3,FALSE)</f>
        <v>0.22222222222222221</v>
      </c>
      <c r="X21">
        <f>VLOOKUP($U21,'[2]AP Balanced'!$Q$1:$T$542,4,FALSE)</f>
        <v>0</v>
      </c>
      <c r="Y21" s="77">
        <f t="shared" si="65"/>
        <v>1</v>
      </c>
      <c r="Z21" s="77">
        <f t="shared" si="66"/>
        <v>6.1674999999999987E-2</v>
      </c>
      <c r="AA21" s="77">
        <f t="shared" si="67"/>
        <v>4.9997781870025904E-3</v>
      </c>
      <c r="AB21" s="79">
        <v>1</v>
      </c>
      <c r="AC21" s="77">
        <f t="shared" si="31"/>
        <v>8.0555555555555554E-3</v>
      </c>
      <c r="AD21" s="77">
        <f t="shared" si="17"/>
        <v>6.7378764057135498E-4</v>
      </c>
      <c r="AE21" s="77">
        <f t="shared" si="32"/>
        <v>2.5000000000000001E-3</v>
      </c>
      <c r="AF21" s="77">
        <f t="shared" si="17"/>
        <v>2.0857243058891584E-4</v>
      </c>
      <c r="AH21" t="s">
        <v>175</v>
      </c>
      <c r="AI21" t="s">
        <v>176</v>
      </c>
      <c r="AJ21" s="197" t="str">
        <f t="shared" si="18"/>
        <v>Lifecycle_Balanced_524</v>
      </c>
      <c r="AK21">
        <v>524</v>
      </c>
      <c r="AL21">
        <f>VLOOKUP($U21,[2]Standard_Balanced!$Q$1:$T$542,2,FALSE)</f>
        <v>0.77777777777777779</v>
      </c>
      <c r="AM21">
        <f>VLOOKUP($U21,[2]Standard_Balanced!$Q$1:$T$542,3,FALSE)</f>
        <v>0.22222222222222221</v>
      </c>
      <c r="AN21">
        <f>VLOOKUP($U21,[2]Standard_Balanced!$Q$1:$T$542,4,FALSE)</f>
        <v>0</v>
      </c>
      <c r="AO21" s="77">
        <f t="shared" si="19"/>
        <v>1</v>
      </c>
      <c r="AP21" s="77">
        <f t="shared" si="33"/>
        <v>6.1674999999999987E-2</v>
      </c>
      <c r="AQ21" s="77">
        <f t="shared" si="20"/>
        <v>4.9997781870025904E-3</v>
      </c>
      <c r="AR21" s="79">
        <v>0</v>
      </c>
      <c r="AS21" s="77">
        <f t="shared" si="34"/>
        <v>0</v>
      </c>
      <c r="AT21" s="77">
        <f t="shared" ref="AT21" si="78">1-(1-AS21)^(1/12)</f>
        <v>0</v>
      </c>
      <c r="AU21" s="77">
        <f t="shared" si="36"/>
        <v>2.5000000000000001E-3</v>
      </c>
      <c r="AV21" s="77">
        <f t="shared" ref="AV21" si="79">1-(1-AU21)^(1/12)</f>
        <v>2.0857243058891584E-4</v>
      </c>
      <c r="AX21" t="s">
        <v>178</v>
      </c>
      <c r="AY21" t="s">
        <v>160</v>
      </c>
      <c r="AZ21" s="197" t="str">
        <f t="shared" si="70"/>
        <v>DIS_Non-Standard_524</v>
      </c>
      <c r="BA21">
        <v>524</v>
      </c>
      <c r="BB21">
        <f>VLOOKUP($BA21,'[2]NonStandard DIS'!$Q$1:$X$542,2,FALSE)</f>
        <v>0</v>
      </c>
      <c r="BC21">
        <f>VLOOKUP($BA21,'[2]NonStandard DIS'!$Q$1:$X$542,3,FALSE)</f>
        <v>0</v>
      </c>
      <c r="BD21">
        <f>VLOOKUP($BA21,'[2]NonStandard DIS'!$Q$1:$X$542,4,FALSE)</f>
        <v>0.308</v>
      </c>
      <c r="BE21">
        <f>VLOOKUP($BA21,'[2]NonStandard DIS'!$Q$1:$X$542,5,FALSE)</f>
        <v>0.69199999999999995</v>
      </c>
      <c r="BF21">
        <f>VLOOKUP($BA21,'[2]NonStandard DIS'!$Q$1:$X$542,6,FALSE)</f>
        <v>0</v>
      </c>
      <c r="BG21">
        <f>VLOOKUP($BA21,'[2]NonStandard DIS'!$Q$1:$X$542,7,FALSE)</f>
        <v>0</v>
      </c>
      <c r="BH21">
        <f>VLOOKUP($BA21,'[2]NonStandard DIS'!$Q$1:$X$542,8,FALSE)</f>
        <v>0</v>
      </c>
      <c r="BI21" s="77">
        <f t="shared" si="24"/>
        <v>1</v>
      </c>
      <c r="BJ21" s="77">
        <f t="shared" si="25"/>
        <v>6.9728499999999985E-2</v>
      </c>
      <c r="BK21" s="77">
        <f t="shared" si="71"/>
        <v>5.632878498097682E-3</v>
      </c>
      <c r="BL21" s="79">
        <v>0</v>
      </c>
      <c r="BM21" s="77">
        <f t="shared" si="38"/>
        <v>0</v>
      </c>
      <c r="BN21" s="77">
        <f t="shared" si="39"/>
        <v>0</v>
      </c>
      <c r="BO21" s="77">
        <f t="shared" si="40"/>
        <v>5.6775999999999997E-3</v>
      </c>
      <c r="BP21" s="77">
        <f t="shared" si="41"/>
        <v>4.7190657760731725E-4</v>
      </c>
    </row>
    <row r="22" spans="1:68">
      <c r="A22" t="s">
        <v>175</v>
      </c>
      <c r="B22" t="s">
        <v>176</v>
      </c>
      <c r="C22" s="197" t="str">
        <f>A22&amp;"_"&amp;B22&amp;"_"&amp;D22</f>
        <v>Lifecycle_Balanced_523</v>
      </c>
      <c r="D22">
        <v>523</v>
      </c>
      <c r="E22">
        <f>VLOOKUP($D22,'[2]LC Balanced'!$Q$2:$U$542,2,FALSE)</f>
        <v>0</v>
      </c>
      <c r="F22">
        <f>VLOOKUP($D22,'[2]LC Balanced'!$Q$2:$U$542,3,FALSE)</f>
        <v>0.14899999999999999</v>
      </c>
      <c r="G22">
        <f>VLOOKUP($D22,'[2]LC Balanced'!$Q$2:$U$542,4,FALSE)</f>
        <v>0.85099999999999998</v>
      </c>
      <c r="H22">
        <f>VLOOKUP($D22,'[2]LC Balanced'!$Q$2:$U$542,5,FALSE)</f>
        <v>0</v>
      </c>
      <c r="I22" s="77">
        <f t="shared" si="10"/>
        <v>1</v>
      </c>
      <c r="J22" s="77">
        <f t="shared" si="11"/>
        <v>6.1987699999999986E-2</v>
      </c>
      <c r="K22" s="77">
        <f>(1+J22)^(1/12)-1</f>
        <v>5.024442123284345E-3</v>
      </c>
      <c r="L22" s="76">
        <v>0</v>
      </c>
      <c r="M22" s="77">
        <f t="shared" si="27"/>
        <v>0</v>
      </c>
      <c r="N22" s="77">
        <f t="shared" si="28"/>
        <v>0</v>
      </c>
      <c r="O22" s="77">
        <f t="shared" si="29"/>
        <v>7.0062999999999992E-3</v>
      </c>
      <c r="P22" s="77">
        <f t="shared" si="30"/>
        <v>5.85741666996209E-4</v>
      </c>
      <c r="R22" t="s">
        <v>177</v>
      </c>
      <c r="S22" t="s">
        <v>176</v>
      </c>
      <c r="T22" s="197" t="str">
        <f>R22&amp;"_"&amp;S22&amp;"_"&amp;U22</f>
        <v>Autopilot_Balanced_523</v>
      </c>
      <c r="U22">
        <v>523</v>
      </c>
      <c r="V22">
        <f>VLOOKUP($U22,'[2]AP Balanced'!$Q$1:$T$542,2,FALSE)</f>
        <v>0.77777777777777779</v>
      </c>
      <c r="W22">
        <f>VLOOKUP($U22,'[2]AP Balanced'!$Q$1:$T$542,3,FALSE)</f>
        <v>0.22222222222222221</v>
      </c>
      <c r="X22">
        <f>VLOOKUP($U22,'[2]AP Balanced'!$Q$1:$T$542,4,FALSE)</f>
        <v>0</v>
      </c>
      <c r="Y22" s="77">
        <f>SUM(V22:X22)</f>
        <v>1</v>
      </c>
      <c r="Z22" s="77">
        <f>SUMPRODUCT($V$1:$X$1,V22:X22)</f>
        <v>6.1674999999999987E-2</v>
      </c>
      <c r="AA22" s="77">
        <f>(1+Z22)^(1/12)-1</f>
        <v>4.9997781870025904E-3</v>
      </c>
      <c r="AB22" s="79">
        <v>1</v>
      </c>
      <c r="AC22" s="77">
        <f t="shared" si="31"/>
        <v>8.0555555555555554E-3</v>
      </c>
      <c r="AD22" s="77">
        <f t="shared" si="17"/>
        <v>6.7378764057135498E-4</v>
      </c>
      <c r="AE22" s="77">
        <f t="shared" si="32"/>
        <v>2.5000000000000001E-3</v>
      </c>
      <c r="AF22" s="77">
        <f t="shared" si="17"/>
        <v>2.0857243058891584E-4</v>
      </c>
      <c r="AH22" t="s">
        <v>175</v>
      </c>
      <c r="AI22" t="s">
        <v>176</v>
      </c>
      <c r="AJ22" s="197" t="str">
        <f>AH22&amp;"_"&amp;AI22&amp;"_"&amp;AK22</f>
        <v>Lifecycle_Balanced_523</v>
      </c>
      <c r="AK22">
        <v>523</v>
      </c>
      <c r="AL22">
        <f>VLOOKUP($U22,[2]Standard_Balanced!$Q$1:$T$542,2,FALSE)</f>
        <v>0.77777777777777779</v>
      </c>
      <c r="AM22">
        <f>VLOOKUP($U22,[2]Standard_Balanced!$Q$1:$T$542,3,FALSE)</f>
        <v>0.22222222222222221</v>
      </c>
      <c r="AN22">
        <f>VLOOKUP($U22,[2]Standard_Balanced!$Q$1:$T$542,4,FALSE)</f>
        <v>0</v>
      </c>
      <c r="AO22" s="77">
        <f>SUM(AL22:AN22)</f>
        <v>1</v>
      </c>
      <c r="AP22" s="77">
        <f t="shared" si="33"/>
        <v>6.1674999999999987E-2</v>
      </c>
      <c r="AQ22" s="77">
        <f>(1+AP22)^(1/12)-1</f>
        <v>4.9997781870025904E-3</v>
      </c>
      <c r="AR22" s="79">
        <v>0</v>
      </c>
      <c r="AS22" s="77">
        <f t="shared" si="34"/>
        <v>0</v>
      </c>
      <c r="AT22" s="77">
        <f t="shared" ref="AT22" si="80">1-(1-AS22)^(1/12)</f>
        <v>0</v>
      </c>
      <c r="AU22" s="77">
        <f t="shared" si="36"/>
        <v>2.5000000000000001E-3</v>
      </c>
      <c r="AV22" s="77">
        <f t="shared" ref="AV22" si="81">1-(1-AU22)^(1/12)</f>
        <v>2.0857243058891584E-4</v>
      </c>
      <c r="AX22" t="s">
        <v>178</v>
      </c>
      <c r="AY22" t="s">
        <v>160</v>
      </c>
      <c r="AZ22" s="197" t="str">
        <f>AX22&amp;"_"&amp;AY22&amp;"_"&amp;BA22</f>
        <v>DIS_Non-Standard_523</v>
      </c>
      <c r="BA22">
        <v>523</v>
      </c>
      <c r="BB22">
        <f>VLOOKUP($BA22,'[2]NonStandard DIS'!$Q$1:$X$542,2,FALSE)</f>
        <v>0</v>
      </c>
      <c r="BC22">
        <f>VLOOKUP($BA22,'[2]NonStandard DIS'!$Q$1:$X$542,3,FALSE)</f>
        <v>0</v>
      </c>
      <c r="BD22">
        <f>VLOOKUP($BA22,'[2]NonStandard DIS'!$Q$1:$X$542,4,FALSE)</f>
        <v>0.308</v>
      </c>
      <c r="BE22">
        <f>VLOOKUP($BA22,'[2]NonStandard DIS'!$Q$1:$X$542,5,FALSE)</f>
        <v>0.69199999999999995</v>
      </c>
      <c r="BF22">
        <f>VLOOKUP($BA22,'[2]NonStandard DIS'!$Q$1:$X$542,6,FALSE)</f>
        <v>0</v>
      </c>
      <c r="BG22">
        <f>VLOOKUP($BA22,'[2]NonStandard DIS'!$Q$1:$X$542,7,FALSE)</f>
        <v>0</v>
      </c>
      <c r="BH22">
        <f>VLOOKUP($BA22,'[2]NonStandard DIS'!$Q$1:$X$542,8,FALSE)</f>
        <v>0</v>
      </c>
      <c r="BI22" s="77">
        <f t="shared" si="24"/>
        <v>1</v>
      </c>
      <c r="BJ22" s="77">
        <f t="shared" si="25"/>
        <v>6.9728499999999985E-2</v>
      </c>
      <c r="BK22" s="77">
        <f>(1+BJ22)^(1/12)-1</f>
        <v>5.632878498097682E-3</v>
      </c>
      <c r="BL22" s="79">
        <v>0</v>
      </c>
      <c r="BM22" s="77">
        <f t="shared" si="38"/>
        <v>0</v>
      </c>
      <c r="BN22" s="77">
        <f t="shared" si="39"/>
        <v>0</v>
      </c>
      <c r="BO22" s="77">
        <f t="shared" si="40"/>
        <v>5.6775999999999997E-3</v>
      </c>
      <c r="BP22" s="77">
        <f t="shared" si="41"/>
        <v>4.7190657760731725E-4</v>
      </c>
    </row>
    <row r="23" spans="1:68">
      <c r="A23" t="s">
        <v>175</v>
      </c>
      <c r="B23" t="s">
        <v>176</v>
      </c>
      <c r="C23" s="197" t="str">
        <f t="shared" ref="C23:C86" si="82">A23&amp;"_"&amp;B23&amp;"_"&amp;D23</f>
        <v>Lifecycle_Balanced_522</v>
      </c>
      <c r="D23">
        <v>522</v>
      </c>
      <c r="E23">
        <f>VLOOKUP($D23,'[2]LC Balanced'!$Q$2:$U$542,2,FALSE)</f>
        <v>0</v>
      </c>
      <c r="F23">
        <f>VLOOKUP($D23,'[2]LC Balanced'!$Q$2:$U$542,3,FALSE)</f>
        <v>0.14899999999999999</v>
      </c>
      <c r="G23">
        <f>VLOOKUP($D23,'[2]LC Balanced'!$Q$2:$U$542,4,FALSE)</f>
        <v>0.85099999999999998</v>
      </c>
      <c r="H23">
        <f>VLOOKUP($D23,'[2]LC Balanced'!$Q$2:$U$542,5,FALSE)</f>
        <v>0</v>
      </c>
      <c r="I23" s="77">
        <f t="shared" si="10"/>
        <v>1</v>
      </c>
      <c r="J23" s="77">
        <f t="shared" si="11"/>
        <v>6.1987699999999986E-2</v>
      </c>
      <c r="K23" s="77">
        <f t="shared" ref="K23:K62" si="83">(1+J23)^(1/12)-1</f>
        <v>5.024442123284345E-3</v>
      </c>
      <c r="L23" s="76">
        <v>0</v>
      </c>
      <c r="M23" s="77">
        <f t="shared" si="27"/>
        <v>0</v>
      </c>
      <c r="N23" s="77">
        <f t="shared" si="28"/>
        <v>0</v>
      </c>
      <c r="O23" s="77">
        <f t="shared" si="29"/>
        <v>7.0062999999999992E-3</v>
      </c>
      <c r="P23" s="77">
        <f t="shared" si="30"/>
        <v>5.85741666996209E-4</v>
      </c>
      <c r="R23" t="s">
        <v>177</v>
      </c>
      <c r="S23" t="s">
        <v>176</v>
      </c>
      <c r="T23" s="197" t="str">
        <f t="shared" ref="T23:T86" si="84">R23&amp;"_"&amp;S23&amp;"_"&amp;U23</f>
        <v>Autopilot_Balanced_522</v>
      </c>
      <c r="U23">
        <v>522</v>
      </c>
      <c r="V23">
        <f>VLOOKUP($U23,'[2]AP Balanced'!$Q$1:$T$542,2,FALSE)</f>
        <v>0.77777777777777779</v>
      </c>
      <c r="W23">
        <f>VLOOKUP($U23,'[2]AP Balanced'!$Q$1:$T$542,3,FALSE)</f>
        <v>0.22222222222222221</v>
      </c>
      <c r="X23">
        <f>VLOOKUP($U23,'[2]AP Balanced'!$Q$1:$T$542,4,FALSE)</f>
        <v>0</v>
      </c>
      <c r="Y23" s="77">
        <f t="shared" ref="Y23:Y86" si="85">SUM(V23:X23)</f>
        <v>1</v>
      </c>
      <c r="Z23" s="77">
        <f t="shared" ref="Z23:Z62" si="86">SUMPRODUCT($V$1:$X$1,V23:X23)</f>
        <v>6.1674999999999987E-2</v>
      </c>
      <c r="AA23" s="77">
        <f t="shared" ref="AA23:AA86" si="87">(1+Z23)^(1/12)-1</f>
        <v>4.9997781870025904E-3</v>
      </c>
      <c r="AB23" s="79">
        <v>1</v>
      </c>
      <c r="AC23" s="77">
        <f t="shared" si="31"/>
        <v>8.0555555555555554E-3</v>
      </c>
      <c r="AD23" s="77">
        <f t="shared" si="17"/>
        <v>6.7378764057135498E-4</v>
      </c>
      <c r="AE23" s="77">
        <f t="shared" si="32"/>
        <v>2.5000000000000001E-3</v>
      </c>
      <c r="AF23" s="77">
        <f t="shared" si="17"/>
        <v>2.0857243058891584E-4</v>
      </c>
      <c r="AH23" t="s">
        <v>175</v>
      </c>
      <c r="AI23" t="s">
        <v>176</v>
      </c>
      <c r="AJ23" s="197" t="str">
        <f t="shared" ref="AJ23:AJ86" si="88">AH23&amp;"_"&amp;AI23&amp;"_"&amp;AK23</f>
        <v>Lifecycle_Balanced_522</v>
      </c>
      <c r="AK23">
        <v>522</v>
      </c>
      <c r="AL23">
        <f>VLOOKUP($U23,[2]Standard_Balanced!$Q$1:$T$542,2,FALSE)</f>
        <v>0.77777777777777779</v>
      </c>
      <c r="AM23">
        <f>VLOOKUP($U23,[2]Standard_Balanced!$Q$1:$T$542,3,FALSE)</f>
        <v>0.22222222222222221</v>
      </c>
      <c r="AN23">
        <f>VLOOKUP($U23,[2]Standard_Balanced!$Q$1:$T$542,4,FALSE)</f>
        <v>0</v>
      </c>
      <c r="AO23" s="77">
        <f t="shared" ref="AO23:AO62" si="89">SUM(AL23:AN23)</f>
        <v>1</v>
      </c>
      <c r="AP23" s="77">
        <f t="shared" si="33"/>
        <v>6.1674999999999987E-2</v>
      </c>
      <c r="AQ23" s="77">
        <f t="shared" ref="AQ23:AQ86" si="90">(1+AP23)^(1/12)-1</f>
        <v>4.9997781870025904E-3</v>
      </c>
      <c r="AR23" s="79">
        <v>0</v>
      </c>
      <c r="AS23" s="77">
        <f t="shared" si="34"/>
        <v>0</v>
      </c>
      <c r="AT23" s="77">
        <f t="shared" ref="AT23" si="91">1-(1-AS23)^(1/12)</f>
        <v>0</v>
      </c>
      <c r="AU23" s="77">
        <f t="shared" si="36"/>
        <v>2.5000000000000001E-3</v>
      </c>
      <c r="AV23" s="77">
        <f t="shared" ref="AV23" si="92">1-(1-AU23)^(1/12)</f>
        <v>2.0857243058891584E-4</v>
      </c>
      <c r="AX23" t="s">
        <v>178</v>
      </c>
      <c r="AY23" t="s">
        <v>160</v>
      </c>
      <c r="AZ23" s="197" t="str">
        <f t="shared" ref="AZ23:AZ86" si="93">AX23&amp;"_"&amp;AY23&amp;"_"&amp;BA23</f>
        <v>DIS_Non-Standard_522</v>
      </c>
      <c r="BA23">
        <v>522</v>
      </c>
      <c r="BB23">
        <f>VLOOKUP($BA23,'[2]NonStandard DIS'!$Q$1:$X$542,2,FALSE)</f>
        <v>0</v>
      </c>
      <c r="BC23">
        <f>VLOOKUP($BA23,'[2]NonStandard DIS'!$Q$1:$X$542,3,FALSE)</f>
        <v>0</v>
      </c>
      <c r="BD23">
        <f>VLOOKUP($BA23,'[2]NonStandard DIS'!$Q$1:$X$542,4,FALSE)</f>
        <v>0.308</v>
      </c>
      <c r="BE23">
        <f>VLOOKUP($BA23,'[2]NonStandard DIS'!$Q$1:$X$542,5,FALSE)</f>
        <v>0.69199999999999995</v>
      </c>
      <c r="BF23">
        <f>VLOOKUP($BA23,'[2]NonStandard DIS'!$Q$1:$X$542,6,FALSE)</f>
        <v>0</v>
      </c>
      <c r="BG23">
        <f>VLOOKUP($BA23,'[2]NonStandard DIS'!$Q$1:$X$542,7,FALSE)</f>
        <v>0</v>
      </c>
      <c r="BH23">
        <f>VLOOKUP($BA23,'[2]NonStandard DIS'!$Q$1:$X$542,8,FALSE)</f>
        <v>0</v>
      </c>
      <c r="BI23" s="77">
        <f t="shared" si="24"/>
        <v>1</v>
      </c>
      <c r="BJ23" s="77">
        <f t="shared" si="25"/>
        <v>6.9728499999999985E-2</v>
      </c>
      <c r="BK23" s="77">
        <f t="shared" ref="BK23:BK62" si="94">(1+BJ23)^(1/12)-1</f>
        <v>5.632878498097682E-3</v>
      </c>
      <c r="BL23" s="79">
        <v>0</v>
      </c>
      <c r="BM23" s="77">
        <f t="shared" si="38"/>
        <v>0</v>
      </c>
      <c r="BN23" s="77">
        <f t="shared" si="39"/>
        <v>0</v>
      </c>
      <c r="BO23" s="77">
        <f t="shared" si="40"/>
        <v>5.6775999999999997E-3</v>
      </c>
      <c r="BP23" s="77">
        <f t="shared" si="41"/>
        <v>4.7190657760731725E-4</v>
      </c>
    </row>
    <row r="24" spans="1:68">
      <c r="A24" t="s">
        <v>175</v>
      </c>
      <c r="B24" t="s">
        <v>176</v>
      </c>
      <c r="C24" s="197" t="str">
        <f t="shared" si="82"/>
        <v>Lifecycle_Balanced_521</v>
      </c>
      <c r="D24">
        <v>521</v>
      </c>
      <c r="E24">
        <f>VLOOKUP($D24,'[2]LC Balanced'!$Q$2:$U$542,2,FALSE)</f>
        <v>0</v>
      </c>
      <c r="F24">
        <f>VLOOKUP($D24,'[2]LC Balanced'!$Q$2:$U$542,3,FALSE)</f>
        <v>0.14899999999999999</v>
      </c>
      <c r="G24">
        <f>VLOOKUP($D24,'[2]LC Balanced'!$Q$2:$U$542,4,FALSE)</f>
        <v>0.85099999999999998</v>
      </c>
      <c r="H24">
        <f>VLOOKUP($D24,'[2]LC Balanced'!$Q$2:$U$542,5,FALSE)</f>
        <v>0</v>
      </c>
      <c r="I24" s="77">
        <f t="shared" si="10"/>
        <v>1</v>
      </c>
      <c r="J24" s="77">
        <f t="shared" si="11"/>
        <v>6.1987699999999986E-2</v>
      </c>
      <c r="K24" s="77">
        <f t="shared" si="83"/>
        <v>5.024442123284345E-3</v>
      </c>
      <c r="L24" s="76">
        <v>0</v>
      </c>
      <c r="M24" s="77">
        <f t="shared" si="27"/>
        <v>0</v>
      </c>
      <c r="N24" s="77">
        <f t="shared" si="28"/>
        <v>0</v>
      </c>
      <c r="O24" s="77">
        <f t="shared" si="29"/>
        <v>7.0062999999999992E-3</v>
      </c>
      <c r="P24" s="77">
        <f t="shared" si="30"/>
        <v>5.85741666996209E-4</v>
      </c>
      <c r="R24" t="s">
        <v>177</v>
      </c>
      <c r="S24" t="s">
        <v>176</v>
      </c>
      <c r="T24" s="197" t="str">
        <f t="shared" si="84"/>
        <v>Autopilot_Balanced_521</v>
      </c>
      <c r="U24">
        <v>521</v>
      </c>
      <c r="V24">
        <f>VLOOKUP($U24,'[2]AP Balanced'!$Q$1:$T$542,2,FALSE)</f>
        <v>0.77777777777777779</v>
      </c>
      <c r="W24">
        <f>VLOOKUP($U24,'[2]AP Balanced'!$Q$1:$T$542,3,FALSE)</f>
        <v>0.22222222222222221</v>
      </c>
      <c r="X24">
        <f>VLOOKUP($U24,'[2]AP Balanced'!$Q$1:$T$542,4,FALSE)</f>
        <v>0</v>
      </c>
      <c r="Y24" s="77">
        <f t="shared" si="85"/>
        <v>1</v>
      </c>
      <c r="Z24" s="77">
        <f t="shared" si="86"/>
        <v>6.1674999999999987E-2</v>
      </c>
      <c r="AA24" s="77">
        <f t="shared" si="87"/>
        <v>4.9997781870025904E-3</v>
      </c>
      <c r="AB24" s="79">
        <v>1</v>
      </c>
      <c r="AC24" s="77">
        <f t="shared" si="31"/>
        <v>8.0555555555555554E-3</v>
      </c>
      <c r="AD24" s="77">
        <f t="shared" si="17"/>
        <v>6.7378764057135498E-4</v>
      </c>
      <c r="AE24" s="77">
        <f t="shared" si="32"/>
        <v>2.5000000000000001E-3</v>
      </c>
      <c r="AF24" s="77">
        <f t="shared" si="17"/>
        <v>2.0857243058891584E-4</v>
      </c>
      <c r="AH24" t="s">
        <v>175</v>
      </c>
      <c r="AI24" t="s">
        <v>176</v>
      </c>
      <c r="AJ24" s="197" t="str">
        <f t="shared" si="88"/>
        <v>Lifecycle_Balanced_521</v>
      </c>
      <c r="AK24">
        <v>521</v>
      </c>
      <c r="AL24">
        <f>VLOOKUP($U24,[2]Standard_Balanced!$Q$1:$T$542,2,FALSE)</f>
        <v>0.77777777777777779</v>
      </c>
      <c r="AM24">
        <f>VLOOKUP($U24,[2]Standard_Balanced!$Q$1:$T$542,3,FALSE)</f>
        <v>0.22222222222222221</v>
      </c>
      <c r="AN24">
        <f>VLOOKUP($U24,[2]Standard_Balanced!$Q$1:$T$542,4,FALSE)</f>
        <v>0</v>
      </c>
      <c r="AO24" s="77">
        <f t="shared" si="89"/>
        <v>1</v>
      </c>
      <c r="AP24" s="77">
        <f t="shared" si="33"/>
        <v>6.1674999999999987E-2</v>
      </c>
      <c r="AQ24" s="77">
        <f t="shared" si="90"/>
        <v>4.9997781870025904E-3</v>
      </c>
      <c r="AR24" s="79">
        <v>0</v>
      </c>
      <c r="AS24" s="77">
        <f t="shared" si="34"/>
        <v>0</v>
      </c>
      <c r="AT24" s="77">
        <f t="shared" ref="AT24" si="95">1-(1-AS24)^(1/12)</f>
        <v>0</v>
      </c>
      <c r="AU24" s="77">
        <f t="shared" si="36"/>
        <v>2.5000000000000001E-3</v>
      </c>
      <c r="AV24" s="77">
        <f t="shared" ref="AV24" si="96">1-(1-AU24)^(1/12)</f>
        <v>2.0857243058891584E-4</v>
      </c>
      <c r="AX24" t="s">
        <v>178</v>
      </c>
      <c r="AY24" t="s">
        <v>160</v>
      </c>
      <c r="AZ24" s="197" t="str">
        <f t="shared" si="93"/>
        <v>DIS_Non-Standard_521</v>
      </c>
      <c r="BA24">
        <v>521</v>
      </c>
      <c r="BB24">
        <f>VLOOKUP($BA24,'[2]NonStandard DIS'!$Q$1:$X$542,2,FALSE)</f>
        <v>0</v>
      </c>
      <c r="BC24">
        <f>VLOOKUP($BA24,'[2]NonStandard DIS'!$Q$1:$X$542,3,FALSE)</f>
        <v>0</v>
      </c>
      <c r="BD24">
        <f>VLOOKUP($BA24,'[2]NonStandard DIS'!$Q$1:$X$542,4,FALSE)</f>
        <v>0.308</v>
      </c>
      <c r="BE24">
        <f>VLOOKUP($BA24,'[2]NonStandard DIS'!$Q$1:$X$542,5,FALSE)</f>
        <v>0.69199999999999995</v>
      </c>
      <c r="BF24">
        <f>VLOOKUP($BA24,'[2]NonStandard DIS'!$Q$1:$X$542,6,FALSE)</f>
        <v>0</v>
      </c>
      <c r="BG24">
        <f>VLOOKUP($BA24,'[2]NonStandard DIS'!$Q$1:$X$542,7,FALSE)</f>
        <v>0</v>
      </c>
      <c r="BH24">
        <f>VLOOKUP($BA24,'[2]NonStandard DIS'!$Q$1:$X$542,8,FALSE)</f>
        <v>0</v>
      </c>
      <c r="BI24" s="77">
        <f t="shared" si="24"/>
        <v>1</v>
      </c>
      <c r="BJ24" s="77">
        <f t="shared" si="25"/>
        <v>6.9728499999999985E-2</v>
      </c>
      <c r="BK24" s="77">
        <f t="shared" si="94"/>
        <v>5.632878498097682E-3</v>
      </c>
      <c r="BL24" s="79">
        <v>0</v>
      </c>
      <c r="BM24" s="77">
        <f t="shared" si="38"/>
        <v>0</v>
      </c>
      <c r="BN24" s="77">
        <f t="shared" si="39"/>
        <v>0</v>
      </c>
      <c r="BO24" s="77">
        <f t="shared" si="40"/>
        <v>5.6775999999999997E-3</v>
      </c>
      <c r="BP24" s="77">
        <f t="shared" si="41"/>
        <v>4.7190657760731725E-4</v>
      </c>
    </row>
    <row r="25" spans="1:68">
      <c r="A25" t="s">
        <v>175</v>
      </c>
      <c r="B25" t="s">
        <v>176</v>
      </c>
      <c r="C25" s="197" t="str">
        <f t="shared" si="82"/>
        <v>Lifecycle_Balanced_520</v>
      </c>
      <c r="D25">
        <v>520</v>
      </c>
      <c r="E25">
        <f>VLOOKUP($D25,'[2]LC Balanced'!$Q$2:$U$542,2,FALSE)</f>
        <v>0</v>
      </c>
      <c r="F25">
        <f>VLOOKUP($D25,'[2]LC Balanced'!$Q$2:$U$542,3,FALSE)</f>
        <v>0.14899999999999999</v>
      </c>
      <c r="G25">
        <f>VLOOKUP($D25,'[2]LC Balanced'!$Q$2:$U$542,4,FALSE)</f>
        <v>0.85099999999999998</v>
      </c>
      <c r="H25">
        <f>VLOOKUP($D25,'[2]LC Balanced'!$Q$2:$U$542,5,FALSE)</f>
        <v>0</v>
      </c>
      <c r="I25" s="77">
        <f t="shared" si="10"/>
        <v>1</v>
      </c>
      <c r="J25" s="77">
        <f t="shared" si="11"/>
        <v>6.1987699999999986E-2</v>
      </c>
      <c r="K25" s="77">
        <f t="shared" si="83"/>
        <v>5.024442123284345E-3</v>
      </c>
      <c r="L25" s="76">
        <v>0</v>
      </c>
      <c r="M25" s="77">
        <f t="shared" si="27"/>
        <v>0</v>
      </c>
      <c r="N25" s="77">
        <f t="shared" si="28"/>
        <v>0</v>
      </c>
      <c r="O25" s="77">
        <f t="shared" si="29"/>
        <v>7.0062999999999992E-3</v>
      </c>
      <c r="P25" s="77">
        <f t="shared" si="30"/>
        <v>5.85741666996209E-4</v>
      </c>
      <c r="R25" t="s">
        <v>177</v>
      </c>
      <c r="S25" t="s">
        <v>176</v>
      </c>
      <c r="T25" s="197" t="str">
        <f t="shared" si="84"/>
        <v>Autopilot_Balanced_520</v>
      </c>
      <c r="U25">
        <v>520</v>
      </c>
      <c r="V25">
        <f>VLOOKUP($U25,'[2]AP Balanced'!$Q$1:$T$542,2,FALSE)</f>
        <v>0.77777777777777779</v>
      </c>
      <c r="W25">
        <f>VLOOKUP($U25,'[2]AP Balanced'!$Q$1:$T$542,3,FALSE)</f>
        <v>0.22222222222222221</v>
      </c>
      <c r="X25">
        <f>VLOOKUP($U25,'[2]AP Balanced'!$Q$1:$T$542,4,FALSE)</f>
        <v>0</v>
      </c>
      <c r="Y25" s="77">
        <f t="shared" si="85"/>
        <v>1</v>
      </c>
      <c r="Z25" s="77">
        <f t="shared" si="86"/>
        <v>6.1674999999999987E-2</v>
      </c>
      <c r="AA25" s="77">
        <f t="shared" si="87"/>
        <v>4.9997781870025904E-3</v>
      </c>
      <c r="AB25" s="79">
        <v>1</v>
      </c>
      <c r="AC25" s="77">
        <f t="shared" si="31"/>
        <v>8.0555555555555554E-3</v>
      </c>
      <c r="AD25" s="77">
        <f t="shared" si="17"/>
        <v>6.7378764057135498E-4</v>
      </c>
      <c r="AE25" s="77">
        <f t="shared" si="32"/>
        <v>2.5000000000000001E-3</v>
      </c>
      <c r="AF25" s="77">
        <f t="shared" si="17"/>
        <v>2.0857243058891584E-4</v>
      </c>
      <c r="AH25" t="s">
        <v>175</v>
      </c>
      <c r="AI25" t="s">
        <v>176</v>
      </c>
      <c r="AJ25" s="197" t="str">
        <f t="shared" si="88"/>
        <v>Lifecycle_Balanced_520</v>
      </c>
      <c r="AK25">
        <v>520</v>
      </c>
      <c r="AL25">
        <f>VLOOKUP($U25,[2]Standard_Balanced!$Q$1:$T$542,2,FALSE)</f>
        <v>0.77777777777777779</v>
      </c>
      <c r="AM25">
        <f>VLOOKUP($U25,[2]Standard_Balanced!$Q$1:$T$542,3,FALSE)</f>
        <v>0.22222222222222221</v>
      </c>
      <c r="AN25">
        <f>VLOOKUP($U25,[2]Standard_Balanced!$Q$1:$T$542,4,FALSE)</f>
        <v>0</v>
      </c>
      <c r="AO25" s="77">
        <f t="shared" si="89"/>
        <v>1</v>
      </c>
      <c r="AP25" s="77">
        <f t="shared" si="33"/>
        <v>6.1674999999999987E-2</v>
      </c>
      <c r="AQ25" s="77">
        <f t="shared" si="90"/>
        <v>4.9997781870025904E-3</v>
      </c>
      <c r="AR25" s="79">
        <v>0</v>
      </c>
      <c r="AS25" s="77">
        <f t="shared" si="34"/>
        <v>0</v>
      </c>
      <c r="AT25" s="77">
        <f t="shared" ref="AT25" si="97">1-(1-AS25)^(1/12)</f>
        <v>0</v>
      </c>
      <c r="AU25" s="77">
        <f t="shared" si="36"/>
        <v>2.5000000000000001E-3</v>
      </c>
      <c r="AV25" s="77">
        <f t="shared" ref="AV25" si="98">1-(1-AU25)^(1/12)</f>
        <v>2.0857243058891584E-4</v>
      </c>
      <c r="AX25" t="s">
        <v>178</v>
      </c>
      <c r="AY25" t="s">
        <v>160</v>
      </c>
      <c r="AZ25" s="197" t="str">
        <f t="shared" si="93"/>
        <v>DIS_Non-Standard_520</v>
      </c>
      <c r="BA25">
        <v>520</v>
      </c>
      <c r="BB25">
        <f>VLOOKUP($BA25,'[2]NonStandard DIS'!$Q$1:$X$542,2,FALSE)</f>
        <v>0</v>
      </c>
      <c r="BC25">
        <f>VLOOKUP($BA25,'[2]NonStandard DIS'!$Q$1:$X$542,3,FALSE)</f>
        <v>0</v>
      </c>
      <c r="BD25">
        <f>VLOOKUP($BA25,'[2]NonStandard DIS'!$Q$1:$X$542,4,FALSE)</f>
        <v>0.308</v>
      </c>
      <c r="BE25">
        <f>VLOOKUP($BA25,'[2]NonStandard DIS'!$Q$1:$X$542,5,FALSE)</f>
        <v>0.69199999999999995</v>
      </c>
      <c r="BF25">
        <f>VLOOKUP($BA25,'[2]NonStandard DIS'!$Q$1:$X$542,6,FALSE)</f>
        <v>0</v>
      </c>
      <c r="BG25">
        <f>VLOOKUP($BA25,'[2]NonStandard DIS'!$Q$1:$X$542,7,FALSE)</f>
        <v>0</v>
      </c>
      <c r="BH25">
        <f>VLOOKUP($BA25,'[2]NonStandard DIS'!$Q$1:$X$542,8,FALSE)</f>
        <v>0</v>
      </c>
      <c r="BI25" s="77">
        <f t="shared" si="24"/>
        <v>1</v>
      </c>
      <c r="BJ25" s="77">
        <f t="shared" si="25"/>
        <v>6.9728499999999985E-2</v>
      </c>
      <c r="BK25" s="77">
        <f t="shared" si="94"/>
        <v>5.632878498097682E-3</v>
      </c>
      <c r="BL25" s="79">
        <v>0</v>
      </c>
      <c r="BM25" s="77">
        <f t="shared" si="38"/>
        <v>0</v>
      </c>
      <c r="BN25" s="77">
        <f t="shared" si="39"/>
        <v>0</v>
      </c>
      <c r="BO25" s="77">
        <f t="shared" si="40"/>
        <v>5.6775999999999997E-3</v>
      </c>
      <c r="BP25" s="77">
        <f t="shared" si="41"/>
        <v>4.7190657760731725E-4</v>
      </c>
    </row>
    <row r="26" spans="1:68">
      <c r="A26" t="s">
        <v>175</v>
      </c>
      <c r="B26" t="s">
        <v>176</v>
      </c>
      <c r="C26" s="197" t="str">
        <f t="shared" si="82"/>
        <v>Lifecycle_Balanced_519</v>
      </c>
      <c r="D26">
        <v>519</v>
      </c>
      <c r="E26">
        <f>VLOOKUP($D26,'[2]LC Balanced'!$Q$2:$U$542,2,FALSE)</f>
        <v>0</v>
      </c>
      <c r="F26">
        <f>VLOOKUP($D26,'[2]LC Balanced'!$Q$2:$U$542,3,FALSE)</f>
        <v>0.14899999999999999</v>
      </c>
      <c r="G26">
        <f>VLOOKUP($D26,'[2]LC Balanced'!$Q$2:$U$542,4,FALSE)</f>
        <v>0.85099999999999998</v>
      </c>
      <c r="H26">
        <f>VLOOKUP($D26,'[2]LC Balanced'!$Q$2:$U$542,5,FALSE)</f>
        <v>0</v>
      </c>
      <c r="I26" s="77">
        <f t="shared" si="10"/>
        <v>1</v>
      </c>
      <c r="J26" s="77">
        <f t="shared" si="11"/>
        <v>6.1987699999999986E-2</v>
      </c>
      <c r="K26" s="77">
        <f t="shared" si="83"/>
        <v>5.024442123284345E-3</v>
      </c>
      <c r="L26" s="76">
        <v>0</v>
      </c>
      <c r="M26" s="77">
        <f t="shared" si="27"/>
        <v>0</v>
      </c>
      <c r="N26" s="77">
        <f t="shared" si="28"/>
        <v>0</v>
      </c>
      <c r="O26" s="77">
        <f t="shared" si="29"/>
        <v>7.0062999999999992E-3</v>
      </c>
      <c r="P26" s="77">
        <f t="shared" si="30"/>
        <v>5.85741666996209E-4</v>
      </c>
      <c r="R26" t="s">
        <v>177</v>
      </c>
      <c r="S26" t="s">
        <v>176</v>
      </c>
      <c r="T26" s="197" t="str">
        <f t="shared" si="84"/>
        <v>Autopilot_Balanced_519</v>
      </c>
      <c r="U26">
        <v>519</v>
      </c>
      <c r="V26">
        <f>VLOOKUP($U26,'[2]AP Balanced'!$Q$1:$T$542,2,FALSE)</f>
        <v>0.77777777777777779</v>
      </c>
      <c r="W26">
        <f>VLOOKUP($U26,'[2]AP Balanced'!$Q$1:$T$542,3,FALSE)</f>
        <v>0.22222222222222221</v>
      </c>
      <c r="X26">
        <f>VLOOKUP($U26,'[2]AP Balanced'!$Q$1:$T$542,4,FALSE)</f>
        <v>0</v>
      </c>
      <c r="Y26" s="77">
        <f t="shared" si="85"/>
        <v>1</v>
      </c>
      <c r="Z26" s="77">
        <f t="shared" si="86"/>
        <v>6.1674999999999987E-2</v>
      </c>
      <c r="AA26" s="77">
        <f t="shared" si="87"/>
        <v>4.9997781870025904E-3</v>
      </c>
      <c r="AB26" s="79">
        <v>1</v>
      </c>
      <c r="AC26" s="77">
        <f t="shared" si="31"/>
        <v>8.0555555555555554E-3</v>
      </c>
      <c r="AD26" s="77">
        <f t="shared" si="17"/>
        <v>6.7378764057135498E-4</v>
      </c>
      <c r="AE26" s="77">
        <f t="shared" si="32"/>
        <v>2.5000000000000001E-3</v>
      </c>
      <c r="AF26" s="77">
        <f t="shared" si="17"/>
        <v>2.0857243058891584E-4</v>
      </c>
      <c r="AH26" t="s">
        <v>175</v>
      </c>
      <c r="AI26" t="s">
        <v>176</v>
      </c>
      <c r="AJ26" s="197" t="str">
        <f t="shared" si="88"/>
        <v>Lifecycle_Balanced_519</v>
      </c>
      <c r="AK26">
        <v>519</v>
      </c>
      <c r="AL26">
        <f>VLOOKUP($U26,[2]Standard_Balanced!$Q$1:$T$542,2,FALSE)</f>
        <v>0.77777777777777779</v>
      </c>
      <c r="AM26">
        <f>VLOOKUP($U26,[2]Standard_Balanced!$Q$1:$T$542,3,FALSE)</f>
        <v>0.22222222222222221</v>
      </c>
      <c r="AN26">
        <f>VLOOKUP($U26,[2]Standard_Balanced!$Q$1:$T$542,4,FALSE)</f>
        <v>0</v>
      </c>
      <c r="AO26" s="77">
        <f t="shared" si="89"/>
        <v>1</v>
      </c>
      <c r="AP26" s="77">
        <f t="shared" si="33"/>
        <v>6.1674999999999987E-2</v>
      </c>
      <c r="AQ26" s="77">
        <f t="shared" si="90"/>
        <v>4.9997781870025904E-3</v>
      </c>
      <c r="AR26" s="79">
        <v>0</v>
      </c>
      <c r="AS26" s="77">
        <f t="shared" si="34"/>
        <v>0</v>
      </c>
      <c r="AT26" s="77">
        <f t="shared" ref="AT26" si="99">1-(1-AS26)^(1/12)</f>
        <v>0</v>
      </c>
      <c r="AU26" s="77">
        <f t="shared" si="36"/>
        <v>2.5000000000000001E-3</v>
      </c>
      <c r="AV26" s="77">
        <f t="shared" ref="AV26" si="100">1-(1-AU26)^(1/12)</f>
        <v>2.0857243058891584E-4</v>
      </c>
      <c r="AX26" t="s">
        <v>178</v>
      </c>
      <c r="AY26" t="s">
        <v>160</v>
      </c>
      <c r="AZ26" s="197" t="str">
        <f t="shared" si="93"/>
        <v>DIS_Non-Standard_519</v>
      </c>
      <c r="BA26">
        <v>519</v>
      </c>
      <c r="BB26">
        <f>VLOOKUP($BA26,'[2]NonStandard DIS'!$Q$1:$X$542,2,FALSE)</f>
        <v>0</v>
      </c>
      <c r="BC26">
        <f>VLOOKUP($BA26,'[2]NonStandard DIS'!$Q$1:$X$542,3,FALSE)</f>
        <v>0</v>
      </c>
      <c r="BD26">
        <f>VLOOKUP($BA26,'[2]NonStandard DIS'!$Q$1:$X$542,4,FALSE)</f>
        <v>0.308</v>
      </c>
      <c r="BE26">
        <f>VLOOKUP($BA26,'[2]NonStandard DIS'!$Q$1:$X$542,5,FALSE)</f>
        <v>0.69199999999999995</v>
      </c>
      <c r="BF26">
        <f>VLOOKUP($BA26,'[2]NonStandard DIS'!$Q$1:$X$542,6,FALSE)</f>
        <v>0</v>
      </c>
      <c r="BG26">
        <f>VLOOKUP($BA26,'[2]NonStandard DIS'!$Q$1:$X$542,7,FALSE)</f>
        <v>0</v>
      </c>
      <c r="BH26">
        <f>VLOOKUP($BA26,'[2]NonStandard DIS'!$Q$1:$X$542,8,FALSE)</f>
        <v>0</v>
      </c>
      <c r="BI26" s="77">
        <f t="shared" si="24"/>
        <v>1</v>
      </c>
      <c r="BJ26" s="77">
        <f t="shared" si="25"/>
        <v>6.9728499999999985E-2</v>
      </c>
      <c r="BK26" s="77">
        <f t="shared" si="94"/>
        <v>5.632878498097682E-3</v>
      </c>
      <c r="BL26" s="79">
        <v>0</v>
      </c>
      <c r="BM26" s="77">
        <f t="shared" si="38"/>
        <v>0</v>
      </c>
      <c r="BN26" s="77">
        <f t="shared" si="39"/>
        <v>0</v>
      </c>
      <c r="BO26" s="77">
        <f t="shared" si="40"/>
        <v>5.6775999999999997E-3</v>
      </c>
      <c r="BP26" s="77">
        <f t="shared" si="41"/>
        <v>4.7190657760731725E-4</v>
      </c>
    </row>
    <row r="27" spans="1:68">
      <c r="A27" t="s">
        <v>175</v>
      </c>
      <c r="B27" t="s">
        <v>176</v>
      </c>
      <c r="C27" s="197" t="str">
        <f t="shared" si="82"/>
        <v>Lifecycle_Balanced_518</v>
      </c>
      <c r="D27">
        <v>518</v>
      </c>
      <c r="E27">
        <f>VLOOKUP($D27,'[2]LC Balanced'!$Q$2:$U$542,2,FALSE)</f>
        <v>0</v>
      </c>
      <c r="F27">
        <f>VLOOKUP($D27,'[2]LC Balanced'!$Q$2:$U$542,3,FALSE)</f>
        <v>0.14899999999999999</v>
      </c>
      <c r="G27">
        <f>VLOOKUP($D27,'[2]LC Balanced'!$Q$2:$U$542,4,FALSE)</f>
        <v>0.85099999999999998</v>
      </c>
      <c r="H27">
        <f>VLOOKUP($D27,'[2]LC Balanced'!$Q$2:$U$542,5,FALSE)</f>
        <v>0</v>
      </c>
      <c r="I27" s="77">
        <f t="shared" si="10"/>
        <v>1</v>
      </c>
      <c r="J27" s="77">
        <f t="shared" si="11"/>
        <v>6.1987699999999986E-2</v>
      </c>
      <c r="K27" s="77">
        <f t="shared" si="83"/>
        <v>5.024442123284345E-3</v>
      </c>
      <c r="L27" s="76">
        <v>0</v>
      </c>
      <c r="M27" s="77">
        <f t="shared" si="27"/>
        <v>0</v>
      </c>
      <c r="N27" s="77">
        <f t="shared" si="28"/>
        <v>0</v>
      </c>
      <c r="O27" s="77">
        <f t="shared" si="29"/>
        <v>7.0062999999999992E-3</v>
      </c>
      <c r="P27" s="77">
        <f t="shared" si="30"/>
        <v>5.85741666996209E-4</v>
      </c>
      <c r="R27" t="s">
        <v>177</v>
      </c>
      <c r="S27" t="s">
        <v>176</v>
      </c>
      <c r="T27" s="197" t="str">
        <f t="shared" si="84"/>
        <v>Autopilot_Balanced_518</v>
      </c>
      <c r="U27">
        <v>518</v>
      </c>
      <c r="V27">
        <f>VLOOKUP($U27,'[2]AP Balanced'!$Q$1:$T$542,2,FALSE)</f>
        <v>0.77777777777777779</v>
      </c>
      <c r="W27">
        <f>VLOOKUP($U27,'[2]AP Balanced'!$Q$1:$T$542,3,FALSE)</f>
        <v>0.22222222222222221</v>
      </c>
      <c r="X27">
        <f>VLOOKUP($U27,'[2]AP Balanced'!$Q$1:$T$542,4,FALSE)</f>
        <v>0</v>
      </c>
      <c r="Y27" s="77">
        <f t="shared" si="85"/>
        <v>1</v>
      </c>
      <c r="Z27" s="77">
        <f t="shared" si="86"/>
        <v>6.1674999999999987E-2</v>
      </c>
      <c r="AA27" s="77">
        <f t="shared" si="87"/>
        <v>4.9997781870025904E-3</v>
      </c>
      <c r="AB27" s="79">
        <v>1</v>
      </c>
      <c r="AC27" s="77">
        <f t="shared" si="31"/>
        <v>8.0555555555555554E-3</v>
      </c>
      <c r="AD27" s="77">
        <f t="shared" si="17"/>
        <v>6.7378764057135498E-4</v>
      </c>
      <c r="AE27" s="77">
        <f t="shared" si="32"/>
        <v>2.5000000000000001E-3</v>
      </c>
      <c r="AF27" s="77">
        <f t="shared" si="17"/>
        <v>2.0857243058891584E-4</v>
      </c>
      <c r="AH27" t="s">
        <v>175</v>
      </c>
      <c r="AI27" t="s">
        <v>176</v>
      </c>
      <c r="AJ27" s="197" t="str">
        <f t="shared" si="88"/>
        <v>Lifecycle_Balanced_518</v>
      </c>
      <c r="AK27">
        <v>518</v>
      </c>
      <c r="AL27">
        <f>VLOOKUP($U27,[2]Standard_Balanced!$Q$1:$T$542,2,FALSE)</f>
        <v>0.77777777777777779</v>
      </c>
      <c r="AM27">
        <f>VLOOKUP($U27,[2]Standard_Balanced!$Q$1:$T$542,3,FALSE)</f>
        <v>0.22222222222222221</v>
      </c>
      <c r="AN27">
        <f>VLOOKUP($U27,[2]Standard_Balanced!$Q$1:$T$542,4,FALSE)</f>
        <v>0</v>
      </c>
      <c r="AO27" s="77">
        <f t="shared" si="89"/>
        <v>1</v>
      </c>
      <c r="AP27" s="77">
        <f t="shared" si="33"/>
        <v>6.1674999999999987E-2</v>
      </c>
      <c r="AQ27" s="77">
        <f t="shared" si="90"/>
        <v>4.9997781870025904E-3</v>
      </c>
      <c r="AR27" s="79">
        <v>0</v>
      </c>
      <c r="AS27" s="77">
        <f t="shared" si="34"/>
        <v>0</v>
      </c>
      <c r="AT27" s="77">
        <f t="shared" ref="AT27" si="101">1-(1-AS27)^(1/12)</f>
        <v>0</v>
      </c>
      <c r="AU27" s="77">
        <f t="shared" si="36"/>
        <v>2.5000000000000001E-3</v>
      </c>
      <c r="AV27" s="77">
        <f t="shared" ref="AV27" si="102">1-(1-AU27)^(1/12)</f>
        <v>2.0857243058891584E-4</v>
      </c>
      <c r="AX27" t="s">
        <v>178</v>
      </c>
      <c r="AY27" t="s">
        <v>160</v>
      </c>
      <c r="AZ27" s="197" t="str">
        <f t="shared" si="93"/>
        <v>DIS_Non-Standard_518</v>
      </c>
      <c r="BA27">
        <v>518</v>
      </c>
      <c r="BB27">
        <f>VLOOKUP($BA27,'[2]NonStandard DIS'!$Q$1:$X$542,2,FALSE)</f>
        <v>0</v>
      </c>
      <c r="BC27">
        <f>VLOOKUP($BA27,'[2]NonStandard DIS'!$Q$1:$X$542,3,FALSE)</f>
        <v>0</v>
      </c>
      <c r="BD27">
        <f>VLOOKUP($BA27,'[2]NonStandard DIS'!$Q$1:$X$542,4,FALSE)</f>
        <v>0.308</v>
      </c>
      <c r="BE27">
        <f>VLOOKUP($BA27,'[2]NonStandard DIS'!$Q$1:$X$542,5,FALSE)</f>
        <v>0.69199999999999995</v>
      </c>
      <c r="BF27">
        <f>VLOOKUP($BA27,'[2]NonStandard DIS'!$Q$1:$X$542,6,FALSE)</f>
        <v>0</v>
      </c>
      <c r="BG27">
        <f>VLOOKUP($BA27,'[2]NonStandard DIS'!$Q$1:$X$542,7,FALSE)</f>
        <v>0</v>
      </c>
      <c r="BH27">
        <f>VLOOKUP($BA27,'[2]NonStandard DIS'!$Q$1:$X$542,8,FALSE)</f>
        <v>0</v>
      </c>
      <c r="BI27" s="77">
        <f t="shared" si="24"/>
        <v>1</v>
      </c>
      <c r="BJ27" s="77">
        <f t="shared" si="25"/>
        <v>6.9728499999999985E-2</v>
      </c>
      <c r="BK27" s="77">
        <f t="shared" si="94"/>
        <v>5.632878498097682E-3</v>
      </c>
      <c r="BL27" s="79">
        <v>0</v>
      </c>
      <c r="BM27" s="77">
        <f t="shared" si="38"/>
        <v>0</v>
      </c>
      <c r="BN27" s="77">
        <f t="shared" si="39"/>
        <v>0</v>
      </c>
      <c r="BO27" s="77">
        <f t="shared" si="40"/>
        <v>5.6775999999999997E-3</v>
      </c>
      <c r="BP27" s="77">
        <f t="shared" si="41"/>
        <v>4.7190657760731725E-4</v>
      </c>
    </row>
    <row r="28" spans="1:68">
      <c r="A28" t="s">
        <v>175</v>
      </c>
      <c r="B28" t="s">
        <v>176</v>
      </c>
      <c r="C28" s="197" t="str">
        <f t="shared" si="82"/>
        <v>Lifecycle_Balanced_517</v>
      </c>
      <c r="D28">
        <v>517</v>
      </c>
      <c r="E28">
        <f>VLOOKUP($D28,'[2]LC Balanced'!$Q$2:$U$542,2,FALSE)</f>
        <v>0</v>
      </c>
      <c r="F28">
        <f>VLOOKUP($D28,'[2]LC Balanced'!$Q$2:$U$542,3,FALSE)</f>
        <v>0.14899999999999999</v>
      </c>
      <c r="G28">
        <f>VLOOKUP($D28,'[2]LC Balanced'!$Q$2:$U$542,4,FALSE)</f>
        <v>0.85099999999999998</v>
      </c>
      <c r="H28">
        <f>VLOOKUP($D28,'[2]LC Balanced'!$Q$2:$U$542,5,FALSE)</f>
        <v>0</v>
      </c>
      <c r="I28" s="77">
        <f t="shared" si="10"/>
        <v>1</v>
      </c>
      <c r="J28" s="77">
        <f t="shared" si="11"/>
        <v>6.1987699999999986E-2</v>
      </c>
      <c r="K28" s="77">
        <f t="shared" si="83"/>
        <v>5.024442123284345E-3</v>
      </c>
      <c r="L28" s="76">
        <v>0</v>
      </c>
      <c r="M28" s="77">
        <f t="shared" si="27"/>
        <v>0</v>
      </c>
      <c r="N28" s="77">
        <f t="shared" si="28"/>
        <v>0</v>
      </c>
      <c r="O28" s="77">
        <f t="shared" si="29"/>
        <v>7.0062999999999992E-3</v>
      </c>
      <c r="P28" s="77">
        <f t="shared" si="30"/>
        <v>5.85741666996209E-4</v>
      </c>
      <c r="R28" t="s">
        <v>177</v>
      </c>
      <c r="S28" t="s">
        <v>176</v>
      </c>
      <c r="T28" s="197" t="str">
        <f t="shared" si="84"/>
        <v>Autopilot_Balanced_517</v>
      </c>
      <c r="U28">
        <v>517</v>
      </c>
      <c r="V28">
        <f>VLOOKUP($U28,'[2]AP Balanced'!$Q$1:$T$542,2,FALSE)</f>
        <v>0.77777777777777779</v>
      </c>
      <c r="W28">
        <f>VLOOKUP($U28,'[2]AP Balanced'!$Q$1:$T$542,3,FALSE)</f>
        <v>0.22222222222222221</v>
      </c>
      <c r="X28">
        <f>VLOOKUP($U28,'[2]AP Balanced'!$Q$1:$T$542,4,FALSE)</f>
        <v>0</v>
      </c>
      <c r="Y28" s="77">
        <f t="shared" si="85"/>
        <v>1</v>
      </c>
      <c r="Z28" s="77">
        <f t="shared" si="86"/>
        <v>6.1674999999999987E-2</v>
      </c>
      <c r="AA28" s="77">
        <f t="shared" si="87"/>
        <v>4.9997781870025904E-3</v>
      </c>
      <c r="AB28" s="79">
        <v>1</v>
      </c>
      <c r="AC28" s="77">
        <f t="shared" si="31"/>
        <v>8.0555555555555554E-3</v>
      </c>
      <c r="AD28" s="77">
        <f t="shared" si="17"/>
        <v>6.7378764057135498E-4</v>
      </c>
      <c r="AE28" s="77">
        <f t="shared" si="32"/>
        <v>2.5000000000000001E-3</v>
      </c>
      <c r="AF28" s="77">
        <f t="shared" si="17"/>
        <v>2.0857243058891584E-4</v>
      </c>
      <c r="AH28" t="s">
        <v>175</v>
      </c>
      <c r="AI28" t="s">
        <v>176</v>
      </c>
      <c r="AJ28" s="197" t="str">
        <f t="shared" si="88"/>
        <v>Lifecycle_Balanced_517</v>
      </c>
      <c r="AK28">
        <v>517</v>
      </c>
      <c r="AL28">
        <f>VLOOKUP($U28,[2]Standard_Balanced!$Q$1:$T$542,2,FALSE)</f>
        <v>0.77777777777777779</v>
      </c>
      <c r="AM28">
        <f>VLOOKUP($U28,[2]Standard_Balanced!$Q$1:$T$542,3,FALSE)</f>
        <v>0.22222222222222221</v>
      </c>
      <c r="AN28">
        <f>VLOOKUP($U28,[2]Standard_Balanced!$Q$1:$T$542,4,FALSE)</f>
        <v>0</v>
      </c>
      <c r="AO28" s="77">
        <f t="shared" si="89"/>
        <v>1</v>
      </c>
      <c r="AP28" s="77">
        <f t="shared" si="33"/>
        <v>6.1674999999999987E-2</v>
      </c>
      <c r="AQ28" s="77">
        <f t="shared" si="90"/>
        <v>4.9997781870025904E-3</v>
      </c>
      <c r="AR28" s="79">
        <v>0</v>
      </c>
      <c r="AS28" s="77">
        <f t="shared" si="34"/>
        <v>0</v>
      </c>
      <c r="AT28" s="77">
        <f t="shared" ref="AT28" si="103">1-(1-AS28)^(1/12)</f>
        <v>0</v>
      </c>
      <c r="AU28" s="77">
        <f t="shared" si="36"/>
        <v>2.5000000000000001E-3</v>
      </c>
      <c r="AV28" s="77">
        <f t="shared" ref="AV28" si="104">1-(1-AU28)^(1/12)</f>
        <v>2.0857243058891584E-4</v>
      </c>
      <c r="AX28" t="s">
        <v>178</v>
      </c>
      <c r="AY28" t="s">
        <v>160</v>
      </c>
      <c r="AZ28" s="197" t="str">
        <f t="shared" si="93"/>
        <v>DIS_Non-Standard_517</v>
      </c>
      <c r="BA28">
        <v>517</v>
      </c>
      <c r="BB28">
        <f>VLOOKUP($BA28,'[2]NonStandard DIS'!$Q$1:$X$542,2,FALSE)</f>
        <v>0</v>
      </c>
      <c r="BC28">
        <f>VLOOKUP($BA28,'[2]NonStandard DIS'!$Q$1:$X$542,3,FALSE)</f>
        <v>0</v>
      </c>
      <c r="BD28">
        <f>VLOOKUP($BA28,'[2]NonStandard DIS'!$Q$1:$X$542,4,FALSE)</f>
        <v>0.308</v>
      </c>
      <c r="BE28">
        <f>VLOOKUP($BA28,'[2]NonStandard DIS'!$Q$1:$X$542,5,FALSE)</f>
        <v>0.69199999999999995</v>
      </c>
      <c r="BF28">
        <f>VLOOKUP($BA28,'[2]NonStandard DIS'!$Q$1:$X$542,6,FALSE)</f>
        <v>0</v>
      </c>
      <c r="BG28">
        <f>VLOOKUP($BA28,'[2]NonStandard DIS'!$Q$1:$X$542,7,FALSE)</f>
        <v>0</v>
      </c>
      <c r="BH28">
        <f>VLOOKUP($BA28,'[2]NonStandard DIS'!$Q$1:$X$542,8,FALSE)</f>
        <v>0</v>
      </c>
      <c r="BI28" s="77">
        <f t="shared" si="24"/>
        <v>1</v>
      </c>
      <c r="BJ28" s="77">
        <f t="shared" si="25"/>
        <v>6.9728499999999985E-2</v>
      </c>
      <c r="BK28" s="77">
        <f t="shared" si="94"/>
        <v>5.632878498097682E-3</v>
      </c>
      <c r="BL28" s="79">
        <v>0</v>
      </c>
      <c r="BM28" s="77">
        <f t="shared" si="38"/>
        <v>0</v>
      </c>
      <c r="BN28" s="77">
        <f t="shared" si="39"/>
        <v>0</v>
      </c>
      <c r="BO28" s="77">
        <f t="shared" si="40"/>
        <v>5.6775999999999997E-3</v>
      </c>
      <c r="BP28" s="77">
        <f t="shared" si="41"/>
        <v>4.7190657760731725E-4</v>
      </c>
    </row>
    <row r="29" spans="1:68">
      <c r="A29" t="s">
        <v>175</v>
      </c>
      <c r="B29" t="s">
        <v>176</v>
      </c>
      <c r="C29" s="197" t="str">
        <f t="shared" si="82"/>
        <v>Lifecycle_Balanced_516</v>
      </c>
      <c r="D29">
        <v>516</v>
      </c>
      <c r="E29">
        <f>VLOOKUP($D29,'[2]LC Balanced'!$Q$2:$U$542,2,FALSE)</f>
        <v>0</v>
      </c>
      <c r="F29">
        <f>VLOOKUP($D29,'[2]LC Balanced'!$Q$2:$U$542,3,FALSE)</f>
        <v>0.14899999999999999</v>
      </c>
      <c r="G29">
        <f>VLOOKUP($D29,'[2]LC Balanced'!$Q$2:$U$542,4,FALSE)</f>
        <v>0.85099999999999998</v>
      </c>
      <c r="H29">
        <f>VLOOKUP($D29,'[2]LC Balanced'!$Q$2:$U$542,5,FALSE)</f>
        <v>0</v>
      </c>
      <c r="I29" s="77">
        <f t="shared" si="10"/>
        <v>1</v>
      </c>
      <c r="J29" s="77">
        <f t="shared" si="11"/>
        <v>6.1987699999999986E-2</v>
      </c>
      <c r="K29" s="77">
        <f t="shared" si="83"/>
        <v>5.024442123284345E-3</v>
      </c>
      <c r="L29" s="76">
        <v>0</v>
      </c>
      <c r="M29" s="77">
        <f t="shared" si="27"/>
        <v>0</v>
      </c>
      <c r="N29" s="77">
        <f t="shared" si="28"/>
        <v>0</v>
      </c>
      <c r="O29" s="77">
        <f t="shared" si="29"/>
        <v>7.0062999999999992E-3</v>
      </c>
      <c r="P29" s="77">
        <f t="shared" si="30"/>
        <v>5.85741666996209E-4</v>
      </c>
      <c r="R29" t="s">
        <v>177</v>
      </c>
      <c r="S29" t="s">
        <v>176</v>
      </c>
      <c r="T29" s="197" t="str">
        <f t="shared" si="84"/>
        <v>Autopilot_Balanced_516</v>
      </c>
      <c r="U29">
        <v>516</v>
      </c>
      <c r="V29">
        <f>VLOOKUP($U29,'[2]AP Balanced'!$Q$1:$T$542,2,FALSE)</f>
        <v>0.77777777777777779</v>
      </c>
      <c r="W29">
        <f>VLOOKUP($U29,'[2]AP Balanced'!$Q$1:$T$542,3,FALSE)</f>
        <v>0.22222222222222221</v>
      </c>
      <c r="X29">
        <f>VLOOKUP($U29,'[2]AP Balanced'!$Q$1:$T$542,4,FALSE)</f>
        <v>0</v>
      </c>
      <c r="Y29" s="77">
        <f t="shared" si="85"/>
        <v>1</v>
      </c>
      <c r="Z29" s="77">
        <f t="shared" si="86"/>
        <v>6.1674999999999987E-2</v>
      </c>
      <c r="AA29" s="77">
        <f t="shared" si="87"/>
        <v>4.9997781870025904E-3</v>
      </c>
      <c r="AB29" s="79">
        <v>1</v>
      </c>
      <c r="AC29" s="77">
        <f t="shared" si="31"/>
        <v>8.0555555555555554E-3</v>
      </c>
      <c r="AD29" s="77">
        <f t="shared" si="17"/>
        <v>6.7378764057135498E-4</v>
      </c>
      <c r="AE29" s="77">
        <f t="shared" si="32"/>
        <v>2.5000000000000001E-3</v>
      </c>
      <c r="AF29" s="77">
        <f t="shared" si="17"/>
        <v>2.0857243058891584E-4</v>
      </c>
      <c r="AH29" t="s">
        <v>175</v>
      </c>
      <c r="AI29" t="s">
        <v>176</v>
      </c>
      <c r="AJ29" s="197" t="str">
        <f t="shared" si="88"/>
        <v>Lifecycle_Balanced_516</v>
      </c>
      <c r="AK29">
        <v>516</v>
      </c>
      <c r="AL29">
        <f>VLOOKUP($U29,[2]Standard_Balanced!$Q$1:$T$542,2,FALSE)</f>
        <v>0.77777777777777779</v>
      </c>
      <c r="AM29">
        <f>VLOOKUP($U29,[2]Standard_Balanced!$Q$1:$T$542,3,FALSE)</f>
        <v>0.22222222222222221</v>
      </c>
      <c r="AN29">
        <f>VLOOKUP($U29,[2]Standard_Balanced!$Q$1:$T$542,4,FALSE)</f>
        <v>0</v>
      </c>
      <c r="AO29" s="77">
        <f t="shared" si="89"/>
        <v>1</v>
      </c>
      <c r="AP29" s="77">
        <f t="shared" si="33"/>
        <v>6.1674999999999987E-2</v>
      </c>
      <c r="AQ29" s="77">
        <f t="shared" si="90"/>
        <v>4.9997781870025904E-3</v>
      </c>
      <c r="AR29" s="79">
        <v>0</v>
      </c>
      <c r="AS29" s="77">
        <f t="shared" si="34"/>
        <v>0</v>
      </c>
      <c r="AT29" s="77">
        <f t="shared" ref="AT29" si="105">1-(1-AS29)^(1/12)</f>
        <v>0</v>
      </c>
      <c r="AU29" s="77">
        <f t="shared" si="36"/>
        <v>2.5000000000000001E-3</v>
      </c>
      <c r="AV29" s="77">
        <f t="shared" ref="AV29" si="106">1-(1-AU29)^(1/12)</f>
        <v>2.0857243058891584E-4</v>
      </c>
      <c r="AX29" t="s">
        <v>178</v>
      </c>
      <c r="AY29" t="s">
        <v>160</v>
      </c>
      <c r="AZ29" s="197" t="str">
        <f t="shared" si="93"/>
        <v>DIS_Non-Standard_516</v>
      </c>
      <c r="BA29">
        <v>516</v>
      </c>
      <c r="BB29">
        <f>VLOOKUP($BA29,'[2]NonStandard DIS'!$Q$1:$X$542,2,FALSE)</f>
        <v>0</v>
      </c>
      <c r="BC29">
        <f>VLOOKUP($BA29,'[2]NonStandard DIS'!$Q$1:$X$542,3,FALSE)</f>
        <v>0</v>
      </c>
      <c r="BD29">
        <f>VLOOKUP($BA29,'[2]NonStandard DIS'!$Q$1:$X$542,4,FALSE)</f>
        <v>0.308</v>
      </c>
      <c r="BE29">
        <f>VLOOKUP($BA29,'[2]NonStandard DIS'!$Q$1:$X$542,5,FALSE)</f>
        <v>0.69199999999999995</v>
      </c>
      <c r="BF29">
        <f>VLOOKUP($BA29,'[2]NonStandard DIS'!$Q$1:$X$542,6,FALSE)</f>
        <v>0</v>
      </c>
      <c r="BG29">
        <f>VLOOKUP($BA29,'[2]NonStandard DIS'!$Q$1:$X$542,7,FALSE)</f>
        <v>0</v>
      </c>
      <c r="BH29">
        <f>VLOOKUP($BA29,'[2]NonStandard DIS'!$Q$1:$X$542,8,FALSE)</f>
        <v>0</v>
      </c>
      <c r="BI29" s="77">
        <f t="shared" si="24"/>
        <v>1</v>
      </c>
      <c r="BJ29" s="77">
        <f t="shared" si="25"/>
        <v>6.9728499999999985E-2</v>
      </c>
      <c r="BK29" s="77">
        <f t="shared" si="94"/>
        <v>5.632878498097682E-3</v>
      </c>
      <c r="BL29" s="79">
        <v>0</v>
      </c>
      <c r="BM29" s="77">
        <f t="shared" si="38"/>
        <v>0</v>
      </c>
      <c r="BN29" s="77">
        <f t="shared" si="39"/>
        <v>0</v>
      </c>
      <c r="BO29" s="77">
        <f t="shared" si="40"/>
        <v>5.6775999999999997E-3</v>
      </c>
      <c r="BP29" s="77">
        <f t="shared" si="41"/>
        <v>4.7190657760731725E-4</v>
      </c>
    </row>
    <row r="30" spans="1:68">
      <c r="A30" t="s">
        <v>175</v>
      </c>
      <c r="B30" t="s">
        <v>176</v>
      </c>
      <c r="C30" s="197" t="str">
        <f t="shared" si="82"/>
        <v>Lifecycle_Balanced_515</v>
      </c>
      <c r="D30">
        <v>515</v>
      </c>
      <c r="E30">
        <f>VLOOKUP($D30,'[2]LC Balanced'!$Q$2:$U$542,2,FALSE)</f>
        <v>0</v>
      </c>
      <c r="F30">
        <f>VLOOKUP($D30,'[2]LC Balanced'!$Q$2:$U$542,3,FALSE)</f>
        <v>0.14899999999999999</v>
      </c>
      <c r="G30">
        <f>VLOOKUP($D30,'[2]LC Balanced'!$Q$2:$U$542,4,FALSE)</f>
        <v>0.85099999999999998</v>
      </c>
      <c r="H30">
        <f>VLOOKUP($D30,'[2]LC Balanced'!$Q$2:$U$542,5,FALSE)</f>
        <v>0</v>
      </c>
      <c r="I30" s="77">
        <f t="shared" si="10"/>
        <v>1</v>
      </c>
      <c r="J30" s="77">
        <f t="shared" si="11"/>
        <v>6.1987699999999986E-2</v>
      </c>
      <c r="K30" s="77">
        <f t="shared" si="83"/>
        <v>5.024442123284345E-3</v>
      </c>
      <c r="L30" s="76">
        <v>0</v>
      </c>
      <c r="M30" s="77">
        <f t="shared" si="27"/>
        <v>0</v>
      </c>
      <c r="N30" s="77">
        <f t="shared" si="28"/>
        <v>0</v>
      </c>
      <c r="O30" s="77">
        <f t="shared" si="29"/>
        <v>7.0062999999999992E-3</v>
      </c>
      <c r="P30" s="77">
        <f t="shared" si="30"/>
        <v>5.85741666996209E-4</v>
      </c>
      <c r="R30" t="s">
        <v>177</v>
      </c>
      <c r="S30" t="s">
        <v>176</v>
      </c>
      <c r="T30" s="197" t="str">
        <f t="shared" si="84"/>
        <v>Autopilot_Balanced_515</v>
      </c>
      <c r="U30">
        <v>515</v>
      </c>
      <c r="V30">
        <f>VLOOKUP($U30,'[2]AP Balanced'!$Q$1:$T$542,2,FALSE)</f>
        <v>0.77777777777777779</v>
      </c>
      <c r="W30">
        <f>VLOOKUP($U30,'[2]AP Balanced'!$Q$1:$T$542,3,FALSE)</f>
        <v>0.22222222222222221</v>
      </c>
      <c r="X30">
        <f>VLOOKUP($U30,'[2]AP Balanced'!$Q$1:$T$542,4,FALSE)</f>
        <v>0</v>
      </c>
      <c r="Y30" s="77">
        <f t="shared" si="85"/>
        <v>1</v>
      </c>
      <c r="Z30" s="77">
        <f t="shared" si="86"/>
        <v>6.1674999999999987E-2</v>
      </c>
      <c r="AA30" s="77">
        <f t="shared" si="87"/>
        <v>4.9997781870025904E-3</v>
      </c>
      <c r="AB30" s="79">
        <v>1</v>
      </c>
      <c r="AC30" s="77">
        <f t="shared" si="31"/>
        <v>8.0555555555555554E-3</v>
      </c>
      <c r="AD30" s="77">
        <f t="shared" si="17"/>
        <v>6.7378764057135498E-4</v>
      </c>
      <c r="AE30" s="77">
        <f t="shared" si="32"/>
        <v>2.5000000000000001E-3</v>
      </c>
      <c r="AF30" s="77">
        <f t="shared" si="17"/>
        <v>2.0857243058891584E-4</v>
      </c>
      <c r="AH30" t="s">
        <v>175</v>
      </c>
      <c r="AI30" t="s">
        <v>176</v>
      </c>
      <c r="AJ30" s="197" t="str">
        <f t="shared" si="88"/>
        <v>Lifecycle_Balanced_515</v>
      </c>
      <c r="AK30">
        <v>515</v>
      </c>
      <c r="AL30">
        <f>VLOOKUP($U30,[2]Standard_Balanced!$Q$1:$T$542,2,FALSE)</f>
        <v>0.77777777777777779</v>
      </c>
      <c r="AM30">
        <f>VLOOKUP($U30,[2]Standard_Balanced!$Q$1:$T$542,3,FALSE)</f>
        <v>0.22222222222222221</v>
      </c>
      <c r="AN30">
        <f>VLOOKUP($U30,[2]Standard_Balanced!$Q$1:$T$542,4,FALSE)</f>
        <v>0</v>
      </c>
      <c r="AO30" s="77">
        <f t="shared" si="89"/>
        <v>1</v>
      </c>
      <c r="AP30" s="77">
        <f t="shared" si="33"/>
        <v>6.1674999999999987E-2</v>
      </c>
      <c r="AQ30" s="77">
        <f t="shared" si="90"/>
        <v>4.9997781870025904E-3</v>
      </c>
      <c r="AR30" s="79">
        <v>0</v>
      </c>
      <c r="AS30" s="77">
        <f t="shared" si="34"/>
        <v>0</v>
      </c>
      <c r="AT30" s="77">
        <f t="shared" ref="AT30" si="107">1-(1-AS30)^(1/12)</f>
        <v>0</v>
      </c>
      <c r="AU30" s="77">
        <f t="shared" si="36"/>
        <v>2.5000000000000001E-3</v>
      </c>
      <c r="AV30" s="77">
        <f t="shared" ref="AV30" si="108">1-(1-AU30)^(1/12)</f>
        <v>2.0857243058891584E-4</v>
      </c>
      <c r="AX30" t="s">
        <v>178</v>
      </c>
      <c r="AY30" t="s">
        <v>160</v>
      </c>
      <c r="AZ30" s="197" t="str">
        <f t="shared" si="93"/>
        <v>DIS_Non-Standard_515</v>
      </c>
      <c r="BA30">
        <v>515</v>
      </c>
      <c r="BB30">
        <f>VLOOKUP($BA30,'[2]NonStandard DIS'!$Q$1:$X$542,2,FALSE)</f>
        <v>0</v>
      </c>
      <c r="BC30">
        <f>VLOOKUP($BA30,'[2]NonStandard DIS'!$Q$1:$X$542,3,FALSE)</f>
        <v>0</v>
      </c>
      <c r="BD30">
        <f>VLOOKUP($BA30,'[2]NonStandard DIS'!$Q$1:$X$542,4,FALSE)</f>
        <v>0.308</v>
      </c>
      <c r="BE30">
        <f>VLOOKUP($BA30,'[2]NonStandard DIS'!$Q$1:$X$542,5,FALSE)</f>
        <v>0.69199999999999995</v>
      </c>
      <c r="BF30">
        <f>VLOOKUP($BA30,'[2]NonStandard DIS'!$Q$1:$X$542,6,FALSE)</f>
        <v>0</v>
      </c>
      <c r="BG30">
        <f>VLOOKUP($BA30,'[2]NonStandard DIS'!$Q$1:$X$542,7,FALSE)</f>
        <v>0</v>
      </c>
      <c r="BH30">
        <f>VLOOKUP($BA30,'[2]NonStandard DIS'!$Q$1:$X$542,8,FALSE)</f>
        <v>0</v>
      </c>
      <c r="BI30" s="77">
        <f t="shared" si="24"/>
        <v>1</v>
      </c>
      <c r="BJ30" s="77">
        <f t="shared" si="25"/>
        <v>6.9728499999999985E-2</v>
      </c>
      <c r="BK30" s="77">
        <f t="shared" si="94"/>
        <v>5.632878498097682E-3</v>
      </c>
      <c r="BL30" s="79">
        <v>0</v>
      </c>
      <c r="BM30" s="77">
        <f t="shared" si="38"/>
        <v>0</v>
      </c>
      <c r="BN30" s="77">
        <f t="shared" si="39"/>
        <v>0</v>
      </c>
      <c r="BO30" s="77">
        <f t="shared" si="40"/>
        <v>5.6775999999999997E-3</v>
      </c>
      <c r="BP30" s="77">
        <f t="shared" si="41"/>
        <v>4.7190657760731725E-4</v>
      </c>
    </row>
    <row r="31" spans="1:68">
      <c r="A31" t="s">
        <v>175</v>
      </c>
      <c r="B31" t="s">
        <v>176</v>
      </c>
      <c r="C31" s="197" t="str">
        <f t="shared" si="82"/>
        <v>Lifecycle_Balanced_514</v>
      </c>
      <c r="D31">
        <v>514</v>
      </c>
      <c r="E31">
        <f>VLOOKUP($D31,'[2]LC Balanced'!$Q$2:$U$542,2,FALSE)</f>
        <v>0</v>
      </c>
      <c r="F31">
        <f>VLOOKUP($D31,'[2]LC Balanced'!$Q$2:$U$542,3,FALSE)</f>
        <v>0.14899999999999999</v>
      </c>
      <c r="G31">
        <f>VLOOKUP($D31,'[2]LC Balanced'!$Q$2:$U$542,4,FALSE)</f>
        <v>0.85099999999999998</v>
      </c>
      <c r="H31">
        <f>VLOOKUP($D31,'[2]LC Balanced'!$Q$2:$U$542,5,FALSE)</f>
        <v>0</v>
      </c>
      <c r="I31" s="77">
        <f t="shared" si="10"/>
        <v>1</v>
      </c>
      <c r="J31" s="77">
        <f t="shared" si="11"/>
        <v>6.1987699999999986E-2</v>
      </c>
      <c r="K31" s="77">
        <f t="shared" si="83"/>
        <v>5.024442123284345E-3</v>
      </c>
      <c r="L31" s="76">
        <v>0</v>
      </c>
      <c r="M31" s="77">
        <f t="shared" si="27"/>
        <v>0</v>
      </c>
      <c r="N31" s="77">
        <f t="shared" si="28"/>
        <v>0</v>
      </c>
      <c r="O31" s="77">
        <f t="shared" si="29"/>
        <v>7.0062999999999992E-3</v>
      </c>
      <c r="P31" s="77">
        <f t="shared" si="30"/>
        <v>5.85741666996209E-4</v>
      </c>
      <c r="R31" t="s">
        <v>177</v>
      </c>
      <c r="S31" t="s">
        <v>176</v>
      </c>
      <c r="T31" s="197" t="str">
        <f t="shared" si="84"/>
        <v>Autopilot_Balanced_514</v>
      </c>
      <c r="U31">
        <v>514</v>
      </c>
      <c r="V31">
        <f>VLOOKUP($U31,'[2]AP Balanced'!$Q$1:$T$542,2,FALSE)</f>
        <v>0.77777777777777779</v>
      </c>
      <c r="W31">
        <f>VLOOKUP($U31,'[2]AP Balanced'!$Q$1:$T$542,3,FALSE)</f>
        <v>0.22222222222222221</v>
      </c>
      <c r="X31">
        <f>VLOOKUP($U31,'[2]AP Balanced'!$Q$1:$T$542,4,FALSE)</f>
        <v>0</v>
      </c>
      <c r="Y31" s="77">
        <f t="shared" si="85"/>
        <v>1</v>
      </c>
      <c r="Z31" s="77">
        <f t="shared" si="86"/>
        <v>6.1674999999999987E-2</v>
      </c>
      <c r="AA31" s="77">
        <f t="shared" si="87"/>
        <v>4.9997781870025904E-3</v>
      </c>
      <c r="AB31" s="79">
        <v>1</v>
      </c>
      <c r="AC31" s="77">
        <f t="shared" si="31"/>
        <v>8.0555555555555554E-3</v>
      </c>
      <c r="AD31" s="77">
        <f t="shared" si="17"/>
        <v>6.7378764057135498E-4</v>
      </c>
      <c r="AE31" s="77">
        <f t="shared" si="32"/>
        <v>2.5000000000000001E-3</v>
      </c>
      <c r="AF31" s="77">
        <f t="shared" si="17"/>
        <v>2.0857243058891584E-4</v>
      </c>
      <c r="AH31" t="s">
        <v>175</v>
      </c>
      <c r="AI31" t="s">
        <v>176</v>
      </c>
      <c r="AJ31" s="197" t="str">
        <f t="shared" si="88"/>
        <v>Lifecycle_Balanced_514</v>
      </c>
      <c r="AK31">
        <v>514</v>
      </c>
      <c r="AL31">
        <f>VLOOKUP($U31,[2]Standard_Balanced!$Q$1:$T$542,2,FALSE)</f>
        <v>0.77777777777777779</v>
      </c>
      <c r="AM31">
        <f>VLOOKUP($U31,[2]Standard_Balanced!$Q$1:$T$542,3,FALSE)</f>
        <v>0.22222222222222221</v>
      </c>
      <c r="AN31">
        <f>VLOOKUP($U31,[2]Standard_Balanced!$Q$1:$T$542,4,FALSE)</f>
        <v>0</v>
      </c>
      <c r="AO31" s="77">
        <f t="shared" si="89"/>
        <v>1</v>
      </c>
      <c r="AP31" s="77">
        <f t="shared" si="33"/>
        <v>6.1674999999999987E-2</v>
      </c>
      <c r="AQ31" s="77">
        <f t="shared" si="90"/>
        <v>4.9997781870025904E-3</v>
      </c>
      <c r="AR31" s="79">
        <v>0</v>
      </c>
      <c r="AS31" s="77">
        <f t="shared" si="34"/>
        <v>0</v>
      </c>
      <c r="AT31" s="77">
        <f t="shared" ref="AT31" si="109">1-(1-AS31)^(1/12)</f>
        <v>0</v>
      </c>
      <c r="AU31" s="77">
        <f t="shared" si="36"/>
        <v>2.5000000000000001E-3</v>
      </c>
      <c r="AV31" s="77">
        <f t="shared" ref="AV31" si="110">1-(1-AU31)^(1/12)</f>
        <v>2.0857243058891584E-4</v>
      </c>
      <c r="AX31" t="s">
        <v>178</v>
      </c>
      <c r="AY31" t="s">
        <v>160</v>
      </c>
      <c r="AZ31" s="197" t="str">
        <f t="shared" si="93"/>
        <v>DIS_Non-Standard_514</v>
      </c>
      <c r="BA31">
        <v>514</v>
      </c>
      <c r="BB31">
        <f>VLOOKUP($BA31,'[2]NonStandard DIS'!$Q$1:$X$542,2,FALSE)</f>
        <v>0</v>
      </c>
      <c r="BC31">
        <f>VLOOKUP($BA31,'[2]NonStandard DIS'!$Q$1:$X$542,3,FALSE)</f>
        <v>0</v>
      </c>
      <c r="BD31">
        <f>VLOOKUP($BA31,'[2]NonStandard DIS'!$Q$1:$X$542,4,FALSE)</f>
        <v>0.308</v>
      </c>
      <c r="BE31">
        <f>VLOOKUP($BA31,'[2]NonStandard DIS'!$Q$1:$X$542,5,FALSE)</f>
        <v>0.69199999999999995</v>
      </c>
      <c r="BF31">
        <f>VLOOKUP($BA31,'[2]NonStandard DIS'!$Q$1:$X$542,6,FALSE)</f>
        <v>0</v>
      </c>
      <c r="BG31">
        <f>VLOOKUP($BA31,'[2]NonStandard DIS'!$Q$1:$X$542,7,FALSE)</f>
        <v>0</v>
      </c>
      <c r="BH31">
        <f>VLOOKUP($BA31,'[2]NonStandard DIS'!$Q$1:$X$542,8,FALSE)</f>
        <v>0</v>
      </c>
      <c r="BI31" s="77">
        <f t="shared" si="24"/>
        <v>1</v>
      </c>
      <c r="BJ31" s="77">
        <f t="shared" si="25"/>
        <v>6.9728499999999985E-2</v>
      </c>
      <c r="BK31" s="77">
        <f t="shared" si="94"/>
        <v>5.632878498097682E-3</v>
      </c>
      <c r="BL31" s="79">
        <v>0</v>
      </c>
      <c r="BM31" s="77">
        <f t="shared" si="38"/>
        <v>0</v>
      </c>
      <c r="BN31" s="77">
        <f t="shared" si="39"/>
        <v>0</v>
      </c>
      <c r="BO31" s="77">
        <f t="shared" si="40"/>
        <v>5.6775999999999997E-3</v>
      </c>
      <c r="BP31" s="77">
        <f t="shared" si="41"/>
        <v>4.7190657760731725E-4</v>
      </c>
    </row>
    <row r="32" spans="1:68">
      <c r="A32" t="s">
        <v>175</v>
      </c>
      <c r="B32" t="s">
        <v>176</v>
      </c>
      <c r="C32" s="197" t="str">
        <f t="shared" si="82"/>
        <v>Lifecycle_Balanced_513</v>
      </c>
      <c r="D32">
        <v>513</v>
      </c>
      <c r="E32">
        <f>VLOOKUP($D32,'[2]LC Balanced'!$Q$2:$U$542,2,FALSE)</f>
        <v>0</v>
      </c>
      <c r="F32">
        <f>VLOOKUP($D32,'[2]LC Balanced'!$Q$2:$U$542,3,FALSE)</f>
        <v>0.14899999999999999</v>
      </c>
      <c r="G32">
        <f>VLOOKUP($D32,'[2]LC Balanced'!$Q$2:$U$542,4,FALSE)</f>
        <v>0.85099999999999998</v>
      </c>
      <c r="H32">
        <f>VLOOKUP($D32,'[2]LC Balanced'!$Q$2:$U$542,5,FALSE)</f>
        <v>0</v>
      </c>
      <c r="I32" s="77">
        <f t="shared" si="10"/>
        <v>1</v>
      </c>
      <c r="J32" s="77">
        <f t="shared" si="11"/>
        <v>6.1987699999999986E-2</v>
      </c>
      <c r="K32" s="77">
        <f t="shared" si="83"/>
        <v>5.024442123284345E-3</v>
      </c>
      <c r="L32" s="76">
        <v>0</v>
      </c>
      <c r="M32" s="77">
        <f t="shared" si="27"/>
        <v>0</v>
      </c>
      <c r="N32" s="77">
        <f t="shared" si="28"/>
        <v>0</v>
      </c>
      <c r="O32" s="77">
        <f t="shared" si="29"/>
        <v>7.0062999999999992E-3</v>
      </c>
      <c r="P32" s="77">
        <f t="shared" si="30"/>
        <v>5.85741666996209E-4</v>
      </c>
      <c r="R32" t="s">
        <v>177</v>
      </c>
      <c r="S32" t="s">
        <v>176</v>
      </c>
      <c r="T32" s="197" t="str">
        <f t="shared" si="84"/>
        <v>Autopilot_Balanced_513</v>
      </c>
      <c r="U32">
        <v>513</v>
      </c>
      <c r="V32">
        <f>VLOOKUP($U32,'[2]AP Balanced'!$Q$1:$T$542,2,FALSE)</f>
        <v>0.77777777777777779</v>
      </c>
      <c r="W32">
        <f>VLOOKUP($U32,'[2]AP Balanced'!$Q$1:$T$542,3,FALSE)</f>
        <v>0.22222222222222221</v>
      </c>
      <c r="X32">
        <f>VLOOKUP($U32,'[2]AP Balanced'!$Q$1:$T$542,4,FALSE)</f>
        <v>0</v>
      </c>
      <c r="Y32" s="77">
        <f t="shared" si="85"/>
        <v>1</v>
      </c>
      <c r="Z32" s="77">
        <f t="shared" si="86"/>
        <v>6.1674999999999987E-2</v>
      </c>
      <c r="AA32" s="77">
        <f t="shared" si="87"/>
        <v>4.9997781870025904E-3</v>
      </c>
      <c r="AB32" s="79">
        <v>1</v>
      </c>
      <c r="AC32" s="77">
        <f t="shared" si="31"/>
        <v>8.0555555555555554E-3</v>
      </c>
      <c r="AD32" s="77">
        <f t="shared" si="17"/>
        <v>6.7378764057135498E-4</v>
      </c>
      <c r="AE32" s="77">
        <f t="shared" si="32"/>
        <v>2.5000000000000001E-3</v>
      </c>
      <c r="AF32" s="77">
        <f t="shared" si="17"/>
        <v>2.0857243058891584E-4</v>
      </c>
      <c r="AH32" t="s">
        <v>175</v>
      </c>
      <c r="AI32" t="s">
        <v>176</v>
      </c>
      <c r="AJ32" s="197" t="str">
        <f t="shared" si="88"/>
        <v>Lifecycle_Balanced_513</v>
      </c>
      <c r="AK32">
        <v>513</v>
      </c>
      <c r="AL32">
        <f>VLOOKUP($U32,[2]Standard_Balanced!$Q$1:$T$542,2,FALSE)</f>
        <v>0.77777777777777779</v>
      </c>
      <c r="AM32">
        <f>VLOOKUP($U32,[2]Standard_Balanced!$Q$1:$T$542,3,FALSE)</f>
        <v>0.22222222222222221</v>
      </c>
      <c r="AN32">
        <f>VLOOKUP($U32,[2]Standard_Balanced!$Q$1:$T$542,4,FALSE)</f>
        <v>0</v>
      </c>
      <c r="AO32" s="77">
        <f t="shared" si="89"/>
        <v>1</v>
      </c>
      <c r="AP32" s="77">
        <f t="shared" si="33"/>
        <v>6.1674999999999987E-2</v>
      </c>
      <c r="AQ32" s="77">
        <f t="shared" si="90"/>
        <v>4.9997781870025904E-3</v>
      </c>
      <c r="AR32" s="79">
        <v>0</v>
      </c>
      <c r="AS32" s="77">
        <f t="shared" si="34"/>
        <v>0</v>
      </c>
      <c r="AT32" s="77">
        <f t="shared" ref="AT32" si="111">1-(1-AS32)^(1/12)</f>
        <v>0</v>
      </c>
      <c r="AU32" s="77">
        <f t="shared" si="36"/>
        <v>2.5000000000000001E-3</v>
      </c>
      <c r="AV32" s="77">
        <f t="shared" ref="AV32" si="112">1-(1-AU32)^(1/12)</f>
        <v>2.0857243058891584E-4</v>
      </c>
      <c r="AX32" t="s">
        <v>178</v>
      </c>
      <c r="AY32" t="s">
        <v>160</v>
      </c>
      <c r="AZ32" s="197" t="str">
        <f t="shared" si="93"/>
        <v>DIS_Non-Standard_513</v>
      </c>
      <c r="BA32">
        <v>513</v>
      </c>
      <c r="BB32">
        <f>VLOOKUP($BA32,'[2]NonStandard DIS'!$Q$1:$X$542,2,FALSE)</f>
        <v>0</v>
      </c>
      <c r="BC32">
        <f>VLOOKUP($BA32,'[2]NonStandard DIS'!$Q$1:$X$542,3,FALSE)</f>
        <v>0</v>
      </c>
      <c r="BD32">
        <f>VLOOKUP($BA32,'[2]NonStandard DIS'!$Q$1:$X$542,4,FALSE)</f>
        <v>0.308</v>
      </c>
      <c r="BE32">
        <f>VLOOKUP($BA32,'[2]NonStandard DIS'!$Q$1:$X$542,5,FALSE)</f>
        <v>0.69199999999999995</v>
      </c>
      <c r="BF32">
        <f>VLOOKUP($BA32,'[2]NonStandard DIS'!$Q$1:$X$542,6,FALSE)</f>
        <v>0</v>
      </c>
      <c r="BG32">
        <f>VLOOKUP($BA32,'[2]NonStandard DIS'!$Q$1:$X$542,7,FALSE)</f>
        <v>0</v>
      </c>
      <c r="BH32">
        <f>VLOOKUP($BA32,'[2]NonStandard DIS'!$Q$1:$X$542,8,FALSE)</f>
        <v>0</v>
      </c>
      <c r="BI32" s="77">
        <f t="shared" si="24"/>
        <v>1</v>
      </c>
      <c r="BJ32" s="77">
        <f t="shared" si="25"/>
        <v>6.9728499999999985E-2</v>
      </c>
      <c r="BK32" s="77">
        <f t="shared" si="94"/>
        <v>5.632878498097682E-3</v>
      </c>
      <c r="BL32" s="79">
        <v>0</v>
      </c>
      <c r="BM32" s="77">
        <f t="shared" si="38"/>
        <v>0</v>
      </c>
      <c r="BN32" s="77">
        <f t="shared" si="39"/>
        <v>0</v>
      </c>
      <c r="BO32" s="77">
        <f t="shared" si="40"/>
        <v>5.6775999999999997E-3</v>
      </c>
      <c r="BP32" s="77">
        <f t="shared" si="41"/>
        <v>4.7190657760731725E-4</v>
      </c>
    </row>
    <row r="33" spans="1:68">
      <c r="A33" t="s">
        <v>175</v>
      </c>
      <c r="B33" t="s">
        <v>176</v>
      </c>
      <c r="C33" s="197" t="str">
        <f t="shared" si="82"/>
        <v>Lifecycle_Balanced_512</v>
      </c>
      <c r="D33">
        <v>512</v>
      </c>
      <c r="E33">
        <f>VLOOKUP($D33,'[2]LC Balanced'!$Q$2:$U$542,2,FALSE)</f>
        <v>0</v>
      </c>
      <c r="F33">
        <f>VLOOKUP($D33,'[2]LC Balanced'!$Q$2:$U$542,3,FALSE)</f>
        <v>0.14899999999999999</v>
      </c>
      <c r="G33">
        <f>VLOOKUP($D33,'[2]LC Balanced'!$Q$2:$U$542,4,FALSE)</f>
        <v>0.85099999999999998</v>
      </c>
      <c r="H33">
        <f>VLOOKUP($D33,'[2]LC Balanced'!$Q$2:$U$542,5,FALSE)</f>
        <v>0</v>
      </c>
      <c r="I33" s="77">
        <f t="shared" si="10"/>
        <v>1</v>
      </c>
      <c r="J33" s="77">
        <f t="shared" si="11"/>
        <v>6.1987699999999986E-2</v>
      </c>
      <c r="K33" s="77">
        <f t="shared" si="83"/>
        <v>5.024442123284345E-3</v>
      </c>
      <c r="L33" s="76">
        <v>0</v>
      </c>
      <c r="M33" s="77">
        <f t="shared" si="27"/>
        <v>0</v>
      </c>
      <c r="N33" s="77">
        <f t="shared" si="28"/>
        <v>0</v>
      </c>
      <c r="O33" s="77">
        <f t="shared" si="29"/>
        <v>7.0062999999999992E-3</v>
      </c>
      <c r="P33" s="77">
        <f t="shared" si="30"/>
        <v>5.85741666996209E-4</v>
      </c>
      <c r="R33" t="s">
        <v>177</v>
      </c>
      <c r="S33" t="s">
        <v>176</v>
      </c>
      <c r="T33" s="197" t="str">
        <f t="shared" si="84"/>
        <v>Autopilot_Balanced_512</v>
      </c>
      <c r="U33">
        <v>512</v>
      </c>
      <c r="V33">
        <f>VLOOKUP($U33,'[2]AP Balanced'!$Q$1:$T$542,2,FALSE)</f>
        <v>0.77777777777777779</v>
      </c>
      <c r="W33">
        <f>VLOOKUP($U33,'[2]AP Balanced'!$Q$1:$T$542,3,FALSE)</f>
        <v>0.22222222222222221</v>
      </c>
      <c r="X33">
        <f>VLOOKUP($U33,'[2]AP Balanced'!$Q$1:$T$542,4,FALSE)</f>
        <v>0</v>
      </c>
      <c r="Y33" s="77">
        <f t="shared" si="85"/>
        <v>1</v>
      </c>
      <c r="Z33" s="77">
        <f t="shared" si="86"/>
        <v>6.1674999999999987E-2</v>
      </c>
      <c r="AA33" s="77">
        <f t="shared" si="87"/>
        <v>4.9997781870025904E-3</v>
      </c>
      <c r="AB33" s="79">
        <v>1</v>
      </c>
      <c r="AC33" s="77">
        <f t="shared" si="31"/>
        <v>8.0555555555555554E-3</v>
      </c>
      <c r="AD33" s="77">
        <f t="shared" si="17"/>
        <v>6.7378764057135498E-4</v>
      </c>
      <c r="AE33" s="77">
        <f t="shared" si="32"/>
        <v>2.5000000000000001E-3</v>
      </c>
      <c r="AF33" s="77">
        <f t="shared" si="17"/>
        <v>2.0857243058891584E-4</v>
      </c>
      <c r="AH33" t="s">
        <v>175</v>
      </c>
      <c r="AI33" t="s">
        <v>176</v>
      </c>
      <c r="AJ33" s="197" t="str">
        <f t="shared" si="88"/>
        <v>Lifecycle_Balanced_512</v>
      </c>
      <c r="AK33">
        <v>512</v>
      </c>
      <c r="AL33">
        <f>VLOOKUP($U33,[2]Standard_Balanced!$Q$1:$T$542,2,FALSE)</f>
        <v>0.77777777777777779</v>
      </c>
      <c r="AM33">
        <f>VLOOKUP($U33,[2]Standard_Balanced!$Q$1:$T$542,3,FALSE)</f>
        <v>0.22222222222222221</v>
      </c>
      <c r="AN33">
        <f>VLOOKUP($U33,[2]Standard_Balanced!$Q$1:$T$542,4,FALSE)</f>
        <v>0</v>
      </c>
      <c r="AO33" s="77">
        <f t="shared" si="89"/>
        <v>1</v>
      </c>
      <c r="AP33" s="77">
        <f t="shared" si="33"/>
        <v>6.1674999999999987E-2</v>
      </c>
      <c r="AQ33" s="77">
        <f t="shared" si="90"/>
        <v>4.9997781870025904E-3</v>
      </c>
      <c r="AR33" s="79">
        <v>0</v>
      </c>
      <c r="AS33" s="77">
        <f t="shared" si="34"/>
        <v>0</v>
      </c>
      <c r="AT33" s="77">
        <f t="shared" ref="AT33" si="113">1-(1-AS33)^(1/12)</f>
        <v>0</v>
      </c>
      <c r="AU33" s="77">
        <f t="shared" si="36"/>
        <v>2.5000000000000001E-3</v>
      </c>
      <c r="AV33" s="77">
        <f t="shared" ref="AV33" si="114">1-(1-AU33)^(1/12)</f>
        <v>2.0857243058891584E-4</v>
      </c>
      <c r="AX33" t="s">
        <v>178</v>
      </c>
      <c r="AY33" t="s">
        <v>160</v>
      </c>
      <c r="AZ33" s="197" t="str">
        <f t="shared" si="93"/>
        <v>DIS_Non-Standard_512</v>
      </c>
      <c r="BA33">
        <v>512</v>
      </c>
      <c r="BB33">
        <f>VLOOKUP($BA33,'[2]NonStandard DIS'!$Q$1:$X$542,2,FALSE)</f>
        <v>0</v>
      </c>
      <c r="BC33">
        <f>VLOOKUP($BA33,'[2]NonStandard DIS'!$Q$1:$X$542,3,FALSE)</f>
        <v>0</v>
      </c>
      <c r="BD33">
        <f>VLOOKUP($BA33,'[2]NonStandard DIS'!$Q$1:$X$542,4,FALSE)</f>
        <v>0.308</v>
      </c>
      <c r="BE33">
        <f>VLOOKUP($BA33,'[2]NonStandard DIS'!$Q$1:$X$542,5,FALSE)</f>
        <v>0.69199999999999995</v>
      </c>
      <c r="BF33">
        <f>VLOOKUP($BA33,'[2]NonStandard DIS'!$Q$1:$X$542,6,FALSE)</f>
        <v>0</v>
      </c>
      <c r="BG33">
        <f>VLOOKUP($BA33,'[2]NonStandard DIS'!$Q$1:$X$542,7,FALSE)</f>
        <v>0</v>
      </c>
      <c r="BH33">
        <f>VLOOKUP($BA33,'[2]NonStandard DIS'!$Q$1:$X$542,8,FALSE)</f>
        <v>0</v>
      </c>
      <c r="BI33" s="77">
        <f t="shared" si="24"/>
        <v>1</v>
      </c>
      <c r="BJ33" s="77">
        <f t="shared" si="25"/>
        <v>6.9728499999999985E-2</v>
      </c>
      <c r="BK33" s="77">
        <f t="shared" si="94"/>
        <v>5.632878498097682E-3</v>
      </c>
      <c r="BL33" s="79">
        <v>0</v>
      </c>
      <c r="BM33" s="77">
        <f t="shared" si="38"/>
        <v>0</v>
      </c>
      <c r="BN33" s="77">
        <f t="shared" si="39"/>
        <v>0</v>
      </c>
      <c r="BO33" s="77">
        <f t="shared" si="40"/>
        <v>5.6775999999999997E-3</v>
      </c>
      <c r="BP33" s="77">
        <f t="shared" si="41"/>
        <v>4.7190657760731725E-4</v>
      </c>
    </row>
    <row r="34" spans="1:68">
      <c r="A34" t="s">
        <v>175</v>
      </c>
      <c r="B34" t="s">
        <v>176</v>
      </c>
      <c r="C34" s="197" t="str">
        <f t="shared" si="82"/>
        <v>Lifecycle_Balanced_511</v>
      </c>
      <c r="D34">
        <v>511</v>
      </c>
      <c r="E34">
        <f>VLOOKUP($D34,'[2]LC Balanced'!$Q$2:$U$542,2,FALSE)</f>
        <v>0</v>
      </c>
      <c r="F34">
        <f>VLOOKUP($D34,'[2]LC Balanced'!$Q$2:$U$542,3,FALSE)</f>
        <v>0.14899999999999999</v>
      </c>
      <c r="G34">
        <f>VLOOKUP($D34,'[2]LC Balanced'!$Q$2:$U$542,4,FALSE)</f>
        <v>0.85099999999999998</v>
      </c>
      <c r="H34">
        <f>VLOOKUP($D34,'[2]LC Balanced'!$Q$2:$U$542,5,FALSE)</f>
        <v>0</v>
      </c>
      <c r="I34" s="77">
        <f t="shared" si="10"/>
        <v>1</v>
      </c>
      <c r="J34" s="77">
        <f t="shared" si="11"/>
        <v>6.1987699999999986E-2</v>
      </c>
      <c r="K34" s="77">
        <f t="shared" si="83"/>
        <v>5.024442123284345E-3</v>
      </c>
      <c r="L34" s="76">
        <v>0</v>
      </c>
      <c r="M34" s="77">
        <f t="shared" si="27"/>
        <v>0</v>
      </c>
      <c r="N34" s="77">
        <f t="shared" si="28"/>
        <v>0</v>
      </c>
      <c r="O34" s="77">
        <f t="shared" si="29"/>
        <v>7.0062999999999992E-3</v>
      </c>
      <c r="P34" s="77">
        <f t="shared" si="30"/>
        <v>5.85741666996209E-4</v>
      </c>
      <c r="R34" t="s">
        <v>177</v>
      </c>
      <c r="S34" t="s">
        <v>176</v>
      </c>
      <c r="T34" s="197" t="str">
        <f t="shared" si="84"/>
        <v>Autopilot_Balanced_511</v>
      </c>
      <c r="U34">
        <v>511</v>
      </c>
      <c r="V34">
        <f>VLOOKUP($U34,'[2]AP Balanced'!$Q$1:$T$542,2,FALSE)</f>
        <v>0.77777777777777779</v>
      </c>
      <c r="W34">
        <f>VLOOKUP($U34,'[2]AP Balanced'!$Q$1:$T$542,3,FALSE)</f>
        <v>0.22222222222222221</v>
      </c>
      <c r="X34">
        <f>VLOOKUP($U34,'[2]AP Balanced'!$Q$1:$T$542,4,FALSE)</f>
        <v>0</v>
      </c>
      <c r="Y34" s="77">
        <f t="shared" si="85"/>
        <v>1</v>
      </c>
      <c r="Z34" s="77">
        <f t="shared" si="86"/>
        <v>6.1674999999999987E-2</v>
      </c>
      <c r="AA34" s="77">
        <f t="shared" si="87"/>
        <v>4.9997781870025904E-3</v>
      </c>
      <c r="AB34" s="79">
        <v>1</v>
      </c>
      <c r="AC34" s="77">
        <f t="shared" si="31"/>
        <v>8.0555555555555554E-3</v>
      </c>
      <c r="AD34" s="77">
        <f t="shared" si="17"/>
        <v>6.7378764057135498E-4</v>
      </c>
      <c r="AE34" s="77">
        <f t="shared" si="32"/>
        <v>2.5000000000000001E-3</v>
      </c>
      <c r="AF34" s="77">
        <f t="shared" si="17"/>
        <v>2.0857243058891584E-4</v>
      </c>
      <c r="AH34" t="s">
        <v>175</v>
      </c>
      <c r="AI34" t="s">
        <v>176</v>
      </c>
      <c r="AJ34" s="197" t="str">
        <f t="shared" si="88"/>
        <v>Lifecycle_Balanced_511</v>
      </c>
      <c r="AK34">
        <v>511</v>
      </c>
      <c r="AL34">
        <f>VLOOKUP($U34,[2]Standard_Balanced!$Q$1:$T$542,2,FALSE)</f>
        <v>0.77777777777777779</v>
      </c>
      <c r="AM34">
        <f>VLOOKUP($U34,[2]Standard_Balanced!$Q$1:$T$542,3,FALSE)</f>
        <v>0.22222222222222221</v>
      </c>
      <c r="AN34">
        <f>VLOOKUP($U34,[2]Standard_Balanced!$Q$1:$T$542,4,FALSE)</f>
        <v>0</v>
      </c>
      <c r="AO34" s="77">
        <f t="shared" si="89"/>
        <v>1</v>
      </c>
      <c r="AP34" s="77">
        <f t="shared" si="33"/>
        <v>6.1674999999999987E-2</v>
      </c>
      <c r="AQ34" s="77">
        <f t="shared" si="90"/>
        <v>4.9997781870025904E-3</v>
      </c>
      <c r="AR34" s="79">
        <v>0</v>
      </c>
      <c r="AS34" s="77">
        <f t="shared" si="34"/>
        <v>0</v>
      </c>
      <c r="AT34" s="77">
        <f t="shared" ref="AT34" si="115">1-(1-AS34)^(1/12)</f>
        <v>0</v>
      </c>
      <c r="AU34" s="77">
        <f t="shared" si="36"/>
        <v>2.5000000000000001E-3</v>
      </c>
      <c r="AV34" s="77">
        <f t="shared" ref="AV34" si="116">1-(1-AU34)^(1/12)</f>
        <v>2.0857243058891584E-4</v>
      </c>
      <c r="AX34" t="s">
        <v>178</v>
      </c>
      <c r="AY34" t="s">
        <v>160</v>
      </c>
      <c r="AZ34" s="197" t="str">
        <f t="shared" si="93"/>
        <v>DIS_Non-Standard_511</v>
      </c>
      <c r="BA34">
        <v>511</v>
      </c>
      <c r="BB34">
        <f>VLOOKUP($BA34,'[2]NonStandard DIS'!$Q$1:$X$542,2,FALSE)</f>
        <v>0</v>
      </c>
      <c r="BC34">
        <f>VLOOKUP($BA34,'[2]NonStandard DIS'!$Q$1:$X$542,3,FALSE)</f>
        <v>0</v>
      </c>
      <c r="BD34">
        <f>VLOOKUP($BA34,'[2]NonStandard DIS'!$Q$1:$X$542,4,FALSE)</f>
        <v>0.308</v>
      </c>
      <c r="BE34">
        <f>VLOOKUP($BA34,'[2]NonStandard DIS'!$Q$1:$X$542,5,FALSE)</f>
        <v>0.69199999999999995</v>
      </c>
      <c r="BF34">
        <f>VLOOKUP($BA34,'[2]NonStandard DIS'!$Q$1:$X$542,6,FALSE)</f>
        <v>0</v>
      </c>
      <c r="BG34">
        <f>VLOOKUP($BA34,'[2]NonStandard DIS'!$Q$1:$X$542,7,FALSE)</f>
        <v>0</v>
      </c>
      <c r="BH34">
        <f>VLOOKUP($BA34,'[2]NonStandard DIS'!$Q$1:$X$542,8,FALSE)</f>
        <v>0</v>
      </c>
      <c r="BI34" s="77">
        <f t="shared" si="24"/>
        <v>1</v>
      </c>
      <c r="BJ34" s="77">
        <f t="shared" si="25"/>
        <v>6.9728499999999985E-2</v>
      </c>
      <c r="BK34" s="77">
        <f t="shared" si="94"/>
        <v>5.632878498097682E-3</v>
      </c>
      <c r="BL34" s="79">
        <v>0</v>
      </c>
      <c r="BM34" s="77">
        <f t="shared" si="38"/>
        <v>0</v>
      </c>
      <c r="BN34" s="77">
        <f t="shared" si="39"/>
        <v>0</v>
      </c>
      <c r="BO34" s="77">
        <f t="shared" si="40"/>
        <v>5.6775999999999997E-3</v>
      </c>
      <c r="BP34" s="77">
        <f t="shared" si="41"/>
        <v>4.7190657760731725E-4</v>
      </c>
    </row>
    <row r="35" spans="1:68">
      <c r="A35" t="s">
        <v>175</v>
      </c>
      <c r="B35" t="s">
        <v>176</v>
      </c>
      <c r="C35" s="197" t="str">
        <f t="shared" si="82"/>
        <v>Lifecycle_Balanced_510</v>
      </c>
      <c r="D35">
        <v>510</v>
      </c>
      <c r="E35">
        <f>VLOOKUP($D35,'[2]LC Balanced'!$Q$2:$U$542,2,FALSE)</f>
        <v>0</v>
      </c>
      <c r="F35">
        <f>VLOOKUP($D35,'[2]LC Balanced'!$Q$2:$U$542,3,FALSE)</f>
        <v>0.14899999999999999</v>
      </c>
      <c r="G35">
        <f>VLOOKUP($D35,'[2]LC Balanced'!$Q$2:$U$542,4,FALSE)</f>
        <v>0.85099999999999998</v>
      </c>
      <c r="H35">
        <f>VLOOKUP($D35,'[2]LC Balanced'!$Q$2:$U$542,5,FALSE)</f>
        <v>0</v>
      </c>
      <c r="I35" s="77">
        <f t="shared" si="10"/>
        <v>1</v>
      </c>
      <c r="J35" s="77">
        <f t="shared" si="11"/>
        <v>6.1987699999999986E-2</v>
      </c>
      <c r="K35" s="77">
        <f t="shared" si="83"/>
        <v>5.024442123284345E-3</v>
      </c>
      <c r="L35" s="76">
        <v>0</v>
      </c>
      <c r="M35" s="77">
        <f t="shared" si="27"/>
        <v>0</v>
      </c>
      <c r="N35" s="77">
        <f t="shared" si="28"/>
        <v>0</v>
      </c>
      <c r="O35" s="77">
        <f t="shared" si="29"/>
        <v>7.0062999999999992E-3</v>
      </c>
      <c r="P35" s="77">
        <f t="shared" si="30"/>
        <v>5.85741666996209E-4</v>
      </c>
      <c r="R35" t="s">
        <v>177</v>
      </c>
      <c r="S35" t="s">
        <v>176</v>
      </c>
      <c r="T35" s="197" t="str">
        <f t="shared" si="84"/>
        <v>Autopilot_Balanced_510</v>
      </c>
      <c r="U35">
        <v>510</v>
      </c>
      <c r="V35">
        <f>VLOOKUP($U35,'[2]AP Balanced'!$Q$1:$T$542,2,FALSE)</f>
        <v>0.77777777777777779</v>
      </c>
      <c r="W35">
        <f>VLOOKUP($U35,'[2]AP Balanced'!$Q$1:$T$542,3,FALSE)</f>
        <v>0.22222222222222221</v>
      </c>
      <c r="X35">
        <f>VLOOKUP($U35,'[2]AP Balanced'!$Q$1:$T$542,4,FALSE)</f>
        <v>0</v>
      </c>
      <c r="Y35" s="77">
        <f t="shared" si="85"/>
        <v>1</v>
      </c>
      <c r="Z35" s="77">
        <f t="shared" si="86"/>
        <v>6.1674999999999987E-2</v>
      </c>
      <c r="AA35" s="77">
        <f t="shared" si="87"/>
        <v>4.9997781870025904E-3</v>
      </c>
      <c r="AB35" s="79">
        <v>1</v>
      </c>
      <c r="AC35" s="77">
        <f t="shared" si="31"/>
        <v>8.0555555555555554E-3</v>
      </c>
      <c r="AD35" s="77">
        <f t="shared" si="17"/>
        <v>6.7378764057135498E-4</v>
      </c>
      <c r="AE35" s="77">
        <f t="shared" si="32"/>
        <v>2.5000000000000001E-3</v>
      </c>
      <c r="AF35" s="77">
        <f t="shared" si="17"/>
        <v>2.0857243058891584E-4</v>
      </c>
      <c r="AH35" t="s">
        <v>175</v>
      </c>
      <c r="AI35" t="s">
        <v>176</v>
      </c>
      <c r="AJ35" s="197" t="str">
        <f t="shared" si="88"/>
        <v>Lifecycle_Balanced_510</v>
      </c>
      <c r="AK35">
        <v>510</v>
      </c>
      <c r="AL35">
        <f>VLOOKUP($U35,[2]Standard_Balanced!$Q$1:$T$542,2,FALSE)</f>
        <v>0.77777777777777779</v>
      </c>
      <c r="AM35">
        <f>VLOOKUP($U35,[2]Standard_Balanced!$Q$1:$T$542,3,FALSE)</f>
        <v>0.22222222222222221</v>
      </c>
      <c r="AN35">
        <f>VLOOKUP($U35,[2]Standard_Balanced!$Q$1:$T$542,4,FALSE)</f>
        <v>0</v>
      </c>
      <c r="AO35" s="77">
        <f t="shared" si="89"/>
        <v>1</v>
      </c>
      <c r="AP35" s="77">
        <f t="shared" si="33"/>
        <v>6.1674999999999987E-2</v>
      </c>
      <c r="AQ35" s="77">
        <f t="shared" si="90"/>
        <v>4.9997781870025904E-3</v>
      </c>
      <c r="AR35" s="79">
        <v>0</v>
      </c>
      <c r="AS35" s="77">
        <f t="shared" si="34"/>
        <v>0</v>
      </c>
      <c r="AT35" s="77">
        <f t="shared" ref="AT35" si="117">1-(1-AS35)^(1/12)</f>
        <v>0</v>
      </c>
      <c r="AU35" s="77">
        <f t="shared" si="36"/>
        <v>2.5000000000000001E-3</v>
      </c>
      <c r="AV35" s="77">
        <f t="shared" ref="AV35" si="118">1-(1-AU35)^(1/12)</f>
        <v>2.0857243058891584E-4</v>
      </c>
      <c r="AX35" t="s">
        <v>178</v>
      </c>
      <c r="AY35" t="s">
        <v>160</v>
      </c>
      <c r="AZ35" s="197" t="str">
        <f t="shared" si="93"/>
        <v>DIS_Non-Standard_510</v>
      </c>
      <c r="BA35">
        <v>510</v>
      </c>
      <c r="BB35">
        <f>VLOOKUP($BA35,'[2]NonStandard DIS'!$Q$1:$X$542,2,FALSE)</f>
        <v>0</v>
      </c>
      <c r="BC35">
        <f>VLOOKUP($BA35,'[2]NonStandard DIS'!$Q$1:$X$542,3,FALSE)</f>
        <v>0</v>
      </c>
      <c r="BD35">
        <f>VLOOKUP($BA35,'[2]NonStandard DIS'!$Q$1:$X$542,4,FALSE)</f>
        <v>0.308</v>
      </c>
      <c r="BE35">
        <f>VLOOKUP($BA35,'[2]NonStandard DIS'!$Q$1:$X$542,5,FALSE)</f>
        <v>0.69199999999999995</v>
      </c>
      <c r="BF35">
        <f>VLOOKUP($BA35,'[2]NonStandard DIS'!$Q$1:$X$542,6,FALSE)</f>
        <v>0</v>
      </c>
      <c r="BG35">
        <f>VLOOKUP($BA35,'[2]NonStandard DIS'!$Q$1:$X$542,7,FALSE)</f>
        <v>0</v>
      </c>
      <c r="BH35">
        <f>VLOOKUP($BA35,'[2]NonStandard DIS'!$Q$1:$X$542,8,FALSE)</f>
        <v>0</v>
      </c>
      <c r="BI35" s="77">
        <f t="shared" si="24"/>
        <v>1</v>
      </c>
      <c r="BJ35" s="77">
        <f t="shared" si="25"/>
        <v>6.9728499999999985E-2</v>
      </c>
      <c r="BK35" s="77">
        <f t="shared" si="94"/>
        <v>5.632878498097682E-3</v>
      </c>
      <c r="BL35" s="79">
        <v>0</v>
      </c>
      <c r="BM35" s="77">
        <f t="shared" si="38"/>
        <v>0</v>
      </c>
      <c r="BN35" s="77">
        <f t="shared" si="39"/>
        <v>0</v>
      </c>
      <c r="BO35" s="77">
        <f t="shared" si="40"/>
        <v>5.6775999999999997E-3</v>
      </c>
      <c r="BP35" s="77">
        <f t="shared" si="41"/>
        <v>4.7190657760731725E-4</v>
      </c>
    </row>
    <row r="36" spans="1:68">
      <c r="A36" t="s">
        <v>175</v>
      </c>
      <c r="B36" t="s">
        <v>176</v>
      </c>
      <c r="C36" s="197" t="str">
        <f t="shared" si="82"/>
        <v>Lifecycle_Balanced_509</v>
      </c>
      <c r="D36">
        <v>509</v>
      </c>
      <c r="E36">
        <f>VLOOKUP($D36,'[2]LC Balanced'!$Q$2:$U$542,2,FALSE)</f>
        <v>0</v>
      </c>
      <c r="F36">
        <f>VLOOKUP($D36,'[2]LC Balanced'!$Q$2:$U$542,3,FALSE)</f>
        <v>0.14899999999999999</v>
      </c>
      <c r="G36">
        <f>VLOOKUP($D36,'[2]LC Balanced'!$Q$2:$U$542,4,FALSE)</f>
        <v>0.85099999999999998</v>
      </c>
      <c r="H36">
        <f>VLOOKUP($D36,'[2]LC Balanced'!$Q$2:$U$542,5,FALSE)</f>
        <v>0</v>
      </c>
      <c r="I36" s="77">
        <f t="shared" si="10"/>
        <v>1</v>
      </c>
      <c r="J36" s="77">
        <f t="shared" si="11"/>
        <v>6.1987699999999986E-2</v>
      </c>
      <c r="K36" s="77">
        <f t="shared" si="83"/>
        <v>5.024442123284345E-3</v>
      </c>
      <c r="L36" s="76">
        <v>0</v>
      </c>
      <c r="M36" s="77">
        <f t="shared" si="27"/>
        <v>0</v>
      </c>
      <c r="N36" s="77">
        <f t="shared" si="28"/>
        <v>0</v>
      </c>
      <c r="O36" s="77">
        <f t="shared" si="29"/>
        <v>7.0062999999999992E-3</v>
      </c>
      <c r="P36" s="77">
        <f t="shared" si="30"/>
        <v>5.85741666996209E-4</v>
      </c>
      <c r="R36" t="s">
        <v>177</v>
      </c>
      <c r="S36" t="s">
        <v>176</v>
      </c>
      <c r="T36" s="197" t="str">
        <f t="shared" si="84"/>
        <v>Autopilot_Balanced_509</v>
      </c>
      <c r="U36">
        <v>509</v>
      </c>
      <c r="V36">
        <f>VLOOKUP($U36,'[2]AP Balanced'!$Q$1:$T$542,2,FALSE)</f>
        <v>0.77777777777777779</v>
      </c>
      <c r="W36">
        <f>VLOOKUP($U36,'[2]AP Balanced'!$Q$1:$T$542,3,FALSE)</f>
        <v>0.22222222222222221</v>
      </c>
      <c r="X36">
        <f>VLOOKUP($U36,'[2]AP Balanced'!$Q$1:$T$542,4,FALSE)</f>
        <v>0</v>
      </c>
      <c r="Y36" s="77">
        <f t="shared" si="85"/>
        <v>1</v>
      </c>
      <c r="Z36" s="77">
        <f t="shared" si="86"/>
        <v>6.1674999999999987E-2</v>
      </c>
      <c r="AA36" s="77">
        <f t="shared" si="87"/>
        <v>4.9997781870025904E-3</v>
      </c>
      <c r="AB36" s="79">
        <v>1</v>
      </c>
      <c r="AC36" s="77">
        <f t="shared" si="31"/>
        <v>8.0555555555555554E-3</v>
      </c>
      <c r="AD36" s="77">
        <f t="shared" si="17"/>
        <v>6.7378764057135498E-4</v>
      </c>
      <c r="AE36" s="77">
        <f t="shared" si="32"/>
        <v>2.5000000000000001E-3</v>
      </c>
      <c r="AF36" s="77">
        <f t="shared" si="17"/>
        <v>2.0857243058891584E-4</v>
      </c>
      <c r="AH36" t="s">
        <v>175</v>
      </c>
      <c r="AI36" t="s">
        <v>176</v>
      </c>
      <c r="AJ36" s="197" t="str">
        <f t="shared" si="88"/>
        <v>Lifecycle_Balanced_509</v>
      </c>
      <c r="AK36">
        <v>509</v>
      </c>
      <c r="AL36">
        <f>VLOOKUP($U36,[2]Standard_Balanced!$Q$1:$T$542,2,FALSE)</f>
        <v>0.77777777777777779</v>
      </c>
      <c r="AM36">
        <f>VLOOKUP($U36,[2]Standard_Balanced!$Q$1:$T$542,3,FALSE)</f>
        <v>0.22222222222222221</v>
      </c>
      <c r="AN36">
        <f>VLOOKUP($U36,[2]Standard_Balanced!$Q$1:$T$542,4,FALSE)</f>
        <v>0</v>
      </c>
      <c r="AO36" s="77">
        <f t="shared" si="89"/>
        <v>1</v>
      </c>
      <c r="AP36" s="77">
        <f t="shared" si="33"/>
        <v>6.1674999999999987E-2</v>
      </c>
      <c r="AQ36" s="77">
        <f t="shared" si="90"/>
        <v>4.9997781870025904E-3</v>
      </c>
      <c r="AR36" s="79">
        <v>0</v>
      </c>
      <c r="AS36" s="77">
        <f t="shared" si="34"/>
        <v>0</v>
      </c>
      <c r="AT36" s="77">
        <f t="shared" ref="AT36" si="119">1-(1-AS36)^(1/12)</f>
        <v>0</v>
      </c>
      <c r="AU36" s="77">
        <f t="shared" si="36"/>
        <v>2.5000000000000001E-3</v>
      </c>
      <c r="AV36" s="77">
        <f t="shared" ref="AV36" si="120">1-(1-AU36)^(1/12)</f>
        <v>2.0857243058891584E-4</v>
      </c>
      <c r="AX36" t="s">
        <v>178</v>
      </c>
      <c r="AY36" t="s">
        <v>160</v>
      </c>
      <c r="AZ36" s="197" t="str">
        <f t="shared" si="93"/>
        <v>DIS_Non-Standard_509</v>
      </c>
      <c r="BA36">
        <v>509</v>
      </c>
      <c r="BB36">
        <f>VLOOKUP($BA36,'[2]NonStandard DIS'!$Q$1:$X$542,2,FALSE)</f>
        <v>0</v>
      </c>
      <c r="BC36">
        <f>VLOOKUP($BA36,'[2]NonStandard DIS'!$Q$1:$X$542,3,FALSE)</f>
        <v>0</v>
      </c>
      <c r="BD36">
        <f>VLOOKUP($BA36,'[2]NonStandard DIS'!$Q$1:$X$542,4,FALSE)</f>
        <v>0.308</v>
      </c>
      <c r="BE36">
        <f>VLOOKUP($BA36,'[2]NonStandard DIS'!$Q$1:$X$542,5,FALSE)</f>
        <v>0.69199999999999995</v>
      </c>
      <c r="BF36">
        <f>VLOOKUP($BA36,'[2]NonStandard DIS'!$Q$1:$X$542,6,FALSE)</f>
        <v>0</v>
      </c>
      <c r="BG36">
        <f>VLOOKUP($BA36,'[2]NonStandard DIS'!$Q$1:$X$542,7,FALSE)</f>
        <v>0</v>
      </c>
      <c r="BH36">
        <f>VLOOKUP($BA36,'[2]NonStandard DIS'!$Q$1:$X$542,8,FALSE)</f>
        <v>0</v>
      </c>
      <c r="BI36" s="77">
        <f t="shared" si="24"/>
        <v>1</v>
      </c>
      <c r="BJ36" s="77">
        <f t="shared" si="25"/>
        <v>6.9728499999999985E-2</v>
      </c>
      <c r="BK36" s="77">
        <f t="shared" si="94"/>
        <v>5.632878498097682E-3</v>
      </c>
      <c r="BL36" s="79">
        <v>0</v>
      </c>
      <c r="BM36" s="77">
        <f t="shared" si="38"/>
        <v>0</v>
      </c>
      <c r="BN36" s="77">
        <f t="shared" si="39"/>
        <v>0</v>
      </c>
      <c r="BO36" s="77">
        <f t="shared" si="40"/>
        <v>5.6775999999999997E-3</v>
      </c>
      <c r="BP36" s="77">
        <f t="shared" si="41"/>
        <v>4.7190657760731725E-4</v>
      </c>
    </row>
    <row r="37" spans="1:68">
      <c r="A37" t="s">
        <v>175</v>
      </c>
      <c r="B37" t="s">
        <v>176</v>
      </c>
      <c r="C37" s="197" t="str">
        <f t="shared" si="82"/>
        <v>Lifecycle_Balanced_508</v>
      </c>
      <c r="D37">
        <v>508</v>
      </c>
      <c r="E37">
        <f>VLOOKUP($D37,'[2]LC Balanced'!$Q$2:$U$542,2,FALSE)</f>
        <v>0</v>
      </c>
      <c r="F37">
        <f>VLOOKUP($D37,'[2]LC Balanced'!$Q$2:$U$542,3,FALSE)</f>
        <v>0.14899999999999999</v>
      </c>
      <c r="G37">
        <f>VLOOKUP($D37,'[2]LC Balanced'!$Q$2:$U$542,4,FALSE)</f>
        <v>0.85099999999999998</v>
      </c>
      <c r="H37">
        <f>VLOOKUP($D37,'[2]LC Balanced'!$Q$2:$U$542,5,FALSE)</f>
        <v>0</v>
      </c>
      <c r="I37" s="77">
        <f t="shared" si="10"/>
        <v>1</v>
      </c>
      <c r="J37" s="77">
        <f t="shared" si="11"/>
        <v>6.1987699999999986E-2</v>
      </c>
      <c r="K37" s="77">
        <f t="shared" si="83"/>
        <v>5.024442123284345E-3</v>
      </c>
      <c r="L37" s="76">
        <v>0</v>
      </c>
      <c r="M37" s="77">
        <f t="shared" si="27"/>
        <v>0</v>
      </c>
      <c r="N37" s="77">
        <f t="shared" si="28"/>
        <v>0</v>
      </c>
      <c r="O37" s="77">
        <f t="shared" si="29"/>
        <v>7.0062999999999992E-3</v>
      </c>
      <c r="P37" s="77">
        <f t="shared" si="30"/>
        <v>5.85741666996209E-4</v>
      </c>
      <c r="R37" t="s">
        <v>177</v>
      </c>
      <c r="S37" t="s">
        <v>176</v>
      </c>
      <c r="T37" s="197" t="str">
        <f t="shared" si="84"/>
        <v>Autopilot_Balanced_508</v>
      </c>
      <c r="U37">
        <v>508</v>
      </c>
      <c r="V37">
        <f>VLOOKUP($U37,'[2]AP Balanced'!$Q$1:$T$542,2,FALSE)</f>
        <v>0.77777777777777779</v>
      </c>
      <c r="W37">
        <f>VLOOKUP($U37,'[2]AP Balanced'!$Q$1:$T$542,3,FALSE)</f>
        <v>0.22222222222222221</v>
      </c>
      <c r="X37">
        <f>VLOOKUP($U37,'[2]AP Balanced'!$Q$1:$T$542,4,FALSE)</f>
        <v>0</v>
      </c>
      <c r="Y37" s="77">
        <f t="shared" si="85"/>
        <v>1</v>
      </c>
      <c r="Z37" s="77">
        <f t="shared" si="86"/>
        <v>6.1674999999999987E-2</v>
      </c>
      <c r="AA37" s="77">
        <f t="shared" si="87"/>
        <v>4.9997781870025904E-3</v>
      </c>
      <c r="AB37" s="79">
        <v>1</v>
      </c>
      <c r="AC37" s="77">
        <f t="shared" si="31"/>
        <v>8.0555555555555554E-3</v>
      </c>
      <c r="AD37" s="77">
        <f t="shared" si="17"/>
        <v>6.7378764057135498E-4</v>
      </c>
      <c r="AE37" s="77">
        <f t="shared" si="32"/>
        <v>2.5000000000000001E-3</v>
      </c>
      <c r="AF37" s="77">
        <f t="shared" si="17"/>
        <v>2.0857243058891584E-4</v>
      </c>
      <c r="AH37" t="s">
        <v>175</v>
      </c>
      <c r="AI37" t="s">
        <v>176</v>
      </c>
      <c r="AJ37" s="197" t="str">
        <f t="shared" si="88"/>
        <v>Lifecycle_Balanced_508</v>
      </c>
      <c r="AK37">
        <v>508</v>
      </c>
      <c r="AL37">
        <f>VLOOKUP($U37,[2]Standard_Balanced!$Q$1:$T$542,2,FALSE)</f>
        <v>0.77777777777777779</v>
      </c>
      <c r="AM37">
        <f>VLOOKUP($U37,[2]Standard_Balanced!$Q$1:$T$542,3,FALSE)</f>
        <v>0.22222222222222221</v>
      </c>
      <c r="AN37">
        <f>VLOOKUP($U37,[2]Standard_Balanced!$Q$1:$T$542,4,FALSE)</f>
        <v>0</v>
      </c>
      <c r="AO37" s="77">
        <f t="shared" si="89"/>
        <v>1</v>
      </c>
      <c r="AP37" s="77">
        <f t="shared" si="33"/>
        <v>6.1674999999999987E-2</v>
      </c>
      <c r="AQ37" s="77">
        <f t="shared" si="90"/>
        <v>4.9997781870025904E-3</v>
      </c>
      <c r="AR37" s="79">
        <v>0</v>
      </c>
      <c r="AS37" s="77">
        <f t="shared" si="34"/>
        <v>0</v>
      </c>
      <c r="AT37" s="77">
        <f t="shared" ref="AT37" si="121">1-(1-AS37)^(1/12)</f>
        <v>0</v>
      </c>
      <c r="AU37" s="77">
        <f t="shared" si="36"/>
        <v>2.5000000000000001E-3</v>
      </c>
      <c r="AV37" s="77">
        <f t="shared" ref="AV37" si="122">1-(1-AU37)^(1/12)</f>
        <v>2.0857243058891584E-4</v>
      </c>
      <c r="AX37" t="s">
        <v>178</v>
      </c>
      <c r="AY37" t="s">
        <v>160</v>
      </c>
      <c r="AZ37" s="197" t="str">
        <f t="shared" si="93"/>
        <v>DIS_Non-Standard_508</v>
      </c>
      <c r="BA37">
        <v>508</v>
      </c>
      <c r="BB37">
        <f>VLOOKUP($BA37,'[2]NonStandard DIS'!$Q$1:$X$542,2,FALSE)</f>
        <v>0</v>
      </c>
      <c r="BC37">
        <f>VLOOKUP($BA37,'[2]NonStandard DIS'!$Q$1:$X$542,3,FALSE)</f>
        <v>0</v>
      </c>
      <c r="BD37">
        <f>VLOOKUP($BA37,'[2]NonStandard DIS'!$Q$1:$X$542,4,FALSE)</f>
        <v>0.308</v>
      </c>
      <c r="BE37">
        <f>VLOOKUP($BA37,'[2]NonStandard DIS'!$Q$1:$X$542,5,FALSE)</f>
        <v>0.69199999999999995</v>
      </c>
      <c r="BF37">
        <f>VLOOKUP($BA37,'[2]NonStandard DIS'!$Q$1:$X$542,6,FALSE)</f>
        <v>0</v>
      </c>
      <c r="BG37">
        <f>VLOOKUP($BA37,'[2]NonStandard DIS'!$Q$1:$X$542,7,FALSE)</f>
        <v>0</v>
      </c>
      <c r="BH37">
        <f>VLOOKUP($BA37,'[2]NonStandard DIS'!$Q$1:$X$542,8,FALSE)</f>
        <v>0</v>
      </c>
      <c r="BI37" s="77">
        <f t="shared" si="24"/>
        <v>1</v>
      </c>
      <c r="BJ37" s="77">
        <f t="shared" si="25"/>
        <v>6.9728499999999985E-2</v>
      </c>
      <c r="BK37" s="77">
        <f t="shared" si="94"/>
        <v>5.632878498097682E-3</v>
      </c>
      <c r="BL37" s="79">
        <v>0</v>
      </c>
      <c r="BM37" s="77">
        <f t="shared" si="38"/>
        <v>0</v>
      </c>
      <c r="BN37" s="77">
        <f t="shared" si="39"/>
        <v>0</v>
      </c>
      <c r="BO37" s="77">
        <f t="shared" si="40"/>
        <v>5.6775999999999997E-3</v>
      </c>
      <c r="BP37" s="77">
        <f t="shared" si="41"/>
        <v>4.7190657760731725E-4</v>
      </c>
    </row>
    <row r="38" spans="1:68">
      <c r="A38" t="s">
        <v>175</v>
      </c>
      <c r="B38" t="s">
        <v>176</v>
      </c>
      <c r="C38" s="197" t="str">
        <f t="shared" si="82"/>
        <v>Lifecycle_Balanced_507</v>
      </c>
      <c r="D38">
        <v>507</v>
      </c>
      <c r="E38">
        <f>VLOOKUP($D38,'[2]LC Balanced'!$Q$2:$U$542,2,FALSE)</f>
        <v>0</v>
      </c>
      <c r="F38">
        <f>VLOOKUP($D38,'[2]LC Balanced'!$Q$2:$U$542,3,FALSE)</f>
        <v>0.14899999999999999</v>
      </c>
      <c r="G38">
        <f>VLOOKUP($D38,'[2]LC Balanced'!$Q$2:$U$542,4,FALSE)</f>
        <v>0.85099999999999998</v>
      </c>
      <c r="H38">
        <f>VLOOKUP($D38,'[2]LC Balanced'!$Q$2:$U$542,5,FALSE)</f>
        <v>0</v>
      </c>
      <c r="I38" s="77">
        <f t="shared" si="10"/>
        <v>1</v>
      </c>
      <c r="J38" s="77">
        <f t="shared" si="11"/>
        <v>6.1987699999999986E-2</v>
      </c>
      <c r="K38" s="77">
        <f t="shared" si="83"/>
        <v>5.024442123284345E-3</v>
      </c>
      <c r="L38" s="76">
        <v>0</v>
      </c>
      <c r="M38" s="77">
        <f t="shared" si="27"/>
        <v>0</v>
      </c>
      <c r="N38" s="77">
        <f t="shared" si="28"/>
        <v>0</v>
      </c>
      <c r="O38" s="77">
        <f t="shared" si="29"/>
        <v>7.0062999999999992E-3</v>
      </c>
      <c r="P38" s="77">
        <f t="shared" si="30"/>
        <v>5.85741666996209E-4</v>
      </c>
      <c r="R38" t="s">
        <v>177</v>
      </c>
      <c r="S38" t="s">
        <v>176</v>
      </c>
      <c r="T38" s="197" t="str">
        <f t="shared" si="84"/>
        <v>Autopilot_Balanced_507</v>
      </c>
      <c r="U38">
        <v>507</v>
      </c>
      <c r="V38">
        <f>VLOOKUP($U38,'[2]AP Balanced'!$Q$1:$T$542,2,FALSE)</f>
        <v>0.77777777777777779</v>
      </c>
      <c r="W38">
        <f>VLOOKUP($U38,'[2]AP Balanced'!$Q$1:$T$542,3,FALSE)</f>
        <v>0.22222222222222221</v>
      </c>
      <c r="X38">
        <f>VLOOKUP($U38,'[2]AP Balanced'!$Q$1:$T$542,4,FALSE)</f>
        <v>0</v>
      </c>
      <c r="Y38" s="77">
        <f t="shared" si="85"/>
        <v>1</v>
      </c>
      <c r="Z38" s="77">
        <f t="shared" si="86"/>
        <v>6.1674999999999987E-2</v>
      </c>
      <c r="AA38" s="77">
        <f t="shared" si="87"/>
        <v>4.9997781870025904E-3</v>
      </c>
      <c r="AB38" s="79">
        <v>1</v>
      </c>
      <c r="AC38" s="77">
        <f t="shared" si="31"/>
        <v>8.0555555555555554E-3</v>
      </c>
      <c r="AD38" s="77">
        <f t="shared" si="17"/>
        <v>6.7378764057135498E-4</v>
      </c>
      <c r="AE38" s="77">
        <f t="shared" si="32"/>
        <v>2.5000000000000001E-3</v>
      </c>
      <c r="AF38" s="77">
        <f t="shared" si="17"/>
        <v>2.0857243058891584E-4</v>
      </c>
      <c r="AH38" t="s">
        <v>175</v>
      </c>
      <c r="AI38" t="s">
        <v>176</v>
      </c>
      <c r="AJ38" s="197" t="str">
        <f t="shared" si="88"/>
        <v>Lifecycle_Balanced_507</v>
      </c>
      <c r="AK38">
        <v>507</v>
      </c>
      <c r="AL38">
        <f>VLOOKUP($U38,[2]Standard_Balanced!$Q$1:$T$542,2,FALSE)</f>
        <v>0.77777777777777779</v>
      </c>
      <c r="AM38">
        <f>VLOOKUP($U38,[2]Standard_Balanced!$Q$1:$T$542,3,FALSE)</f>
        <v>0.22222222222222221</v>
      </c>
      <c r="AN38">
        <f>VLOOKUP($U38,[2]Standard_Balanced!$Q$1:$T$542,4,FALSE)</f>
        <v>0</v>
      </c>
      <c r="AO38" s="77">
        <f t="shared" si="89"/>
        <v>1</v>
      </c>
      <c r="AP38" s="77">
        <f t="shared" si="33"/>
        <v>6.1674999999999987E-2</v>
      </c>
      <c r="AQ38" s="77">
        <f t="shared" si="90"/>
        <v>4.9997781870025904E-3</v>
      </c>
      <c r="AR38" s="79">
        <v>0</v>
      </c>
      <c r="AS38" s="77">
        <f t="shared" si="34"/>
        <v>0</v>
      </c>
      <c r="AT38" s="77">
        <f t="shared" ref="AT38" si="123">1-(1-AS38)^(1/12)</f>
        <v>0</v>
      </c>
      <c r="AU38" s="77">
        <f t="shared" si="36"/>
        <v>2.5000000000000001E-3</v>
      </c>
      <c r="AV38" s="77">
        <f t="shared" ref="AV38" si="124">1-(1-AU38)^(1/12)</f>
        <v>2.0857243058891584E-4</v>
      </c>
      <c r="AX38" t="s">
        <v>178</v>
      </c>
      <c r="AY38" t="s">
        <v>160</v>
      </c>
      <c r="AZ38" s="197" t="str">
        <f t="shared" si="93"/>
        <v>DIS_Non-Standard_507</v>
      </c>
      <c r="BA38">
        <v>507</v>
      </c>
      <c r="BB38">
        <f>VLOOKUP($BA38,'[2]NonStandard DIS'!$Q$1:$X$542,2,FALSE)</f>
        <v>0</v>
      </c>
      <c r="BC38">
        <f>VLOOKUP($BA38,'[2]NonStandard DIS'!$Q$1:$X$542,3,FALSE)</f>
        <v>0</v>
      </c>
      <c r="BD38">
        <f>VLOOKUP($BA38,'[2]NonStandard DIS'!$Q$1:$X$542,4,FALSE)</f>
        <v>0.308</v>
      </c>
      <c r="BE38">
        <f>VLOOKUP($BA38,'[2]NonStandard DIS'!$Q$1:$X$542,5,FALSE)</f>
        <v>0.69199999999999995</v>
      </c>
      <c r="BF38">
        <f>VLOOKUP($BA38,'[2]NonStandard DIS'!$Q$1:$X$542,6,FALSE)</f>
        <v>0</v>
      </c>
      <c r="BG38">
        <f>VLOOKUP($BA38,'[2]NonStandard DIS'!$Q$1:$X$542,7,FALSE)</f>
        <v>0</v>
      </c>
      <c r="BH38">
        <f>VLOOKUP($BA38,'[2]NonStandard DIS'!$Q$1:$X$542,8,FALSE)</f>
        <v>0</v>
      </c>
      <c r="BI38" s="77">
        <f t="shared" si="24"/>
        <v>1</v>
      </c>
      <c r="BJ38" s="77">
        <f t="shared" si="25"/>
        <v>6.9728499999999985E-2</v>
      </c>
      <c r="BK38" s="77">
        <f t="shared" si="94"/>
        <v>5.632878498097682E-3</v>
      </c>
      <c r="BL38" s="79">
        <v>0</v>
      </c>
      <c r="BM38" s="77">
        <f t="shared" si="38"/>
        <v>0</v>
      </c>
      <c r="BN38" s="77">
        <f t="shared" si="39"/>
        <v>0</v>
      </c>
      <c r="BO38" s="77">
        <f t="shared" si="40"/>
        <v>5.6775999999999997E-3</v>
      </c>
      <c r="BP38" s="77">
        <f t="shared" si="41"/>
        <v>4.7190657760731725E-4</v>
      </c>
    </row>
    <row r="39" spans="1:68">
      <c r="A39" t="s">
        <v>175</v>
      </c>
      <c r="B39" t="s">
        <v>176</v>
      </c>
      <c r="C39" s="197" t="str">
        <f t="shared" si="82"/>
        <v>Lifecycle_Balanced_506</v>
      </c>
      <c r="D39">
        <v>506</v>
      </c>
      <c r="E39">
        <f>VLOOKUP($D39,'[2]LC Balanced'!$Q$2:$U$542,2,FALSE)</f>
        <v>0</v>
      </c>
      <c r="F39">
        <f>VLOOKUP($D39,'[2]LC Balanced'!$Q$2:$U$542,3,FALSE)</f>
        <v>0.14899999999999999</v>
      </c>
      <c r="G39">
        <f>VLOOKUP($D39,'[2]LC Balanced'!$Q$2:$U$542,4,FALSE)</f>
        <v>0.85099999999999998</v>
      </c>
      <c r="H39">
        <f>VLOOKUP($D39,'[2]LC Balanced'!$Q$2:$U$542,5,FALSE)</f>
        <v>0</v>
      </c>
      <c r="I39" s="77">
        <f t="shared" si="10"/>
        <v>1</v>
      </c>
      <c r="J39" s="77">
        <f t="shared" si="11"/>
        <v>6.1987699999999986E-2</v>
      </c>
      <c r="K39" s="77">
        <f t="shared" si="83"/>
        <v>5.024442123284345E-3</v>
      </c>
      <c r="L39" s="76">
        <v>0</v>
      </c>
      <c r="M39" s="77">
        <f t="shared" si="27"/>
        <v>0</v>
      </c>
      <c r="N39" s="77">
        <f t="shared" si="28"/>
        <v>0</v>
      </c>
      <c r="O39" s="77">
        <f t="shared" si="29"/>
        <v>7.0062999999999992E-3</v>
      </c>
      <c r="P39" s="77">
        <f t="shared" si="30"/>
        <v>5.85741666996209E-4</v>
      </c>
      <c r="R39" t="s">
        <v>177</v>
      </c>
      <c r="S39" t="s">
        <v>176</v>
      </c>
      <c r="T39" s="197" t="str">
        <f t="shared" si="84"/>
        <v>Autopilot_Balanced_506</v>
      </c>
      <c r="U39">
        <v>506</v>
      </c>
      <c r="V39">
        <f>VLOOKUP($U39,'[2]AP Balanced'!$Q$1:$T$542,2,FALSE)</f>
        <v>0.77777777777777779</v>
      </c>
      <c r="W39">
        <f>VLOOKUP($U39,'[2]AP Balanced'!$Q$1:$T$542,3,FALSE)</f>
        <v>0.22222222222222221</v>
      </c>
      <c r="X39">
        <f>VLOOKUP($U39,'[2]AP Balanced'!$Q$1:$T$542,4,FALSE)</f>
        <v>0</v>
      </c>
      <c r="Y39" s="77">
        <f t="shared" si="85"/>
        <v>1</v>
      </c>
      <c r="Z39" s="77">
        <f t="shared" si="86"/>
        <v>6.1674999999999987E-2</v>
      </c>
      <c r="AA39" s="77">
        <f t="shared" si="87"/>
        <v>4.9997781870025904E-3</v>
      </c>
      <c r="AB39" s="79">
        <v>1</v>
      </c>
      <c r="AC39" s="77">
        <f t="shared" si="31"/>
        <v>8.0555555555555554E-3</v>
      </c>
      <c r="AD39" s="77">
        <f t="shared" si="17"/>
        <v>6.7378764057135498E-4</v>
      </c>
      <c r="AE39" s="77">
        <f t="shared" si="32"/>
        <v>2.5000000000000001E-3</v>
      </c>
      <c r="AF39" s="77">
        <f t="shared" si="17"/>
        <v>2.0857243058891584E-4</v>
      </c>
      <c r="AH39" t="s">
        <v>175</v>
      </c>
      <c r="AI39" t="s">
        <v>176</v>
      </c>
      <c r="AJ39" s="197" t="str">
        <f t="shared" si="88"/>
        <v>Lifecycle_Balanced_506</v>
      </c>
      <c r="AK39">
        <v>506</v>
      </c>
      <c r="AL39">
        <f>VLOOKUP($U39,[2]Standard_Balanced!$Q$1:$T$542,2,FALSE)</f>
        <v>0.77777777777777779</v>
      </c>
      <c r="AM39">
        <f>VLOOKUP($U39,[2]Standard_Balanced!$Q$1:$T$542,3,FALSE)</f>
        <v>0.22222222222222221</v>
      </c>
      <c r="AN39">
        <f>VLOOKUP($U39,[2]Standard_Balanced!$Q$1:$T$542,4,FALSE)</f>
        <v>0</v>
      </c>
      <c r="AO39" s="77">
        <f t="shared" si="89"/>
        <v>1</v>
      </c>
      <c r="AP39" s="77">
        <f t="shared" si="33"/>
        <v>6.1674999999999987E-2</v>
      </c>
      <c r="AQ39" s="77">
        <f t="shared" si="90"/>
        <v>4.9997781870025904E-3</v>
      </c>
      <c r="AR39" s="79">
        <v>0</v>
      </c>
      <c r="AS39" s="77">
        <f t="shared" si="34"/>
        <v>0</v>
      </c>
      <c r="AT39" s="77">
        <f t="shared" ref="AT39" si="125">1-(1-AS39)^(1/12)</f>
        <v>0</v>
      </c>
      <c r="AU39" s="77">
        <f t="shared" si="36"/>
        <v>2.5000000000000001E-3</v>
      </c>
      <c r="AV39" s="77">
        <f t="shared" ref="AV39" si="126">1-(1-AU39)^(1/12)</f>
        <v>2.0857243058891584E-4</v>
      </c>
      <c r="AX39" t="s">
        <v>178</v>
      </c>
      <c r="AY39" t="s">
        <v>160</v>
      </c>
      <c r="AZ39" s="197" t="str">
        <f t="shared" si="93"/>
        <v>DIS_Non-Standard_506</v>
      </c>
      <c r="BA39">
        <v>506</v>
      </c>
      <c r="BB39">
        <f>VLOOKUP($BA39,'[2]NonStandard DIS'!$Q$1:$X$542,2,FALSE)</f>
        <v>0</v>
      </c>
      <c r="BC39">
        <f>VLOOKUP($BA39,'[2]NonStandard DIS'!$Q$1:$X$542,3,FALSE)</f>
        <v>0</v>
      </c>
      <c r="BD39">
        <f>VLOOKUP($BA39,'[2]NonStandard DIS'!$Q$1:$X$542,4,FALSE)</f>
        <v>0.308</v>
      </c>
      <c r="BE39">
        <f>VLOOKUP($BA39,'[2]NonStandard DIS'!$Q$1:$X$542,5,FALSE)</f>
        <v>0.69199999999999995</v>
      </c>
      <c r="BF39">
        <f>VLOOKUP($BA39,'[2]NonStandard DIS'!$Q$1:$X$542,6,FALSE)</f>
        <v>0</v>
      </c>
      <c r="BG39">
        <f>VLOOKUP($BA39,'[2]NonStandard DIS'!$Q$1:$X$542,7,FALSE)</f>
        <v>0</v>
      </c>
      <c r="BH39">
        <f>VLOOKUP($BA39,'[2]NonStandard DIS'!$Q$1:$X$542,8,FALSE)</f>
        <v>0</v>
      </c>
      <c r="BI39" s="77">
        <f t="shared" si="24"/>
        <v>1</v>
      </c>
      <c r="BJ39" s="77">
        <f t="shared" si="25"/>
        <v>6.9728499999999985E-2</v>
      </c>
      <c r="BK39" s="77">
        <f t="shared" si="94"/>
        <v>5.632878498097682E-3</v>
      </c>
      <c r="BL39" s="79">
        <v>0</v>
      </c>
      <c r="BM39" s="77">
        <f t="shared" si="38"/>
        <v>0</v>
      </c>
      <c r="BN39" s="77">
        <f t="shared" si="39"/>
        <v>0</v>
      </c>
      <c r="BO39" s="77">
        <f t="shared" si="40"/>
        <v>5.6775999999999997E-3</v>
      </c>
      <c r="BP39" s="77">
        <f t="shared" si="41"/>
        <v>4.7190657760731725E-4</v>
      </c>
    </row>
    <row r="40" spans="1:68">
      <c r="A40" t="s">
        <v>175</v>
      </c>
      <c r="B40" t="s">
        <v>176</v>
      </c>
      <c r="C40" s="197" t="str">
        <f t="shared" si="82"/>
        <v>Lifecycle_Balanced_505</v>
      </c>
      <c r="D40">
        <v>505</v>
      </c>
      <c r="E40">
        <f>VLOOKUP($D40,'[2]LC Balanced'!$Q$2:$U$542,2,FALSE)</f>
        <v>0</v>
      </c>
      <c r="F40">
        <f>VLOOKUP($D40,'[2]LC Balanced'!$Q$2:$U$542,3,FALSE)</f>
        <v>0.14899999999999999</v>
      </c>
      <c r="G40">
        <f>VLOOKUP($D40,'[2]LC Balanced'!$Q$2:$U$542,4,FALSE)</f>
        <v>0.85099999999999998</v>
      </c>
      <c r="H40">
        <f>VLOOKUP($D40,'[2]LC Balanced'!$Q$2:$U$542,5,FALSE)</f>
        <v>0</v>
      </c>
      <c r="I40" s="77">
        <f t="shared" si="10"/>
        <v>1</v>
      </c>
      <c r="J40" s="77">
        <f t="shared" si="11"/>
        <v>6.1987699999999986E-2</v>
      </c>
      <c r="K40" s="77">
        <f t="shared" si="83"/>
        <v>5.024442123284345E-3</v>
      </c>
      <c r="L40" s="76">
        <v>0</v>
      </c>
      <c r="M40" s="77">
        <f t="shared" si="27"/>
        <v>0</v>
      </c>
      <c r="N40" s="77">
        <f t="shared" si="28"/>
        <v>0</v>
      </c>
      <c r="O40" s="77">
        <f t="shared" si="29"/>
        <v>7.0062999999999992E-3</v>
      </c>
      <c r="P40" s="77">
        <f t="shared" si="30"/>
        <v>5.85741666996209E-4</v>
      </c>
      <c r="R40" t="s">
        <v>177</v>
      </c>
      <c r="S40" t="s">
        <v>176</v>
      </c>
      <c r="T40" s="197" t="str">
        <f t="shared" si="84"/>
        <v>Autopilot_Balanced_505</v>
      </c>
      <c r="U40">
        <v>505</v>
      </c>
      <c r="V40">
        <f>VLOOKUP($U40,'[2]AP Balanced'!$Q$1:$T$542,2,FALSE)</f>
        <v>0.77777777777777779</v>
      </c>
      <c r="W40">
        <f>VLOOKUP($U40,'[2]AP Balanced'!$Q$1:$T$542,3,FALSE)</f>
        <v>0.22222222222222221</v>
      </c>
      <c r="X40">
        <f>VLOOKUP($U40,'[2]AP Balanced'!$Q$1:$T$542,4,FALSE)</f>
        <v>0</v>
      </c>
      <c r="Y40" s="77">
        <f t="shared" si="85"/>
        <v>1</v>
      </c>
      <c r="Z40" s="77">
        <f t="shared" si="86"/>
        <v>6.1674999999999987E-2</v>
      </c>
      <c r="AA40" s="77">
        <f t="shared" si="87"/>
        <v>4.9997781870025904E-3</v>
      </c>
      <c r="AB40" s="79">
        <v>1</v>
      </c>
      <c r="AC40" s="77">
        <f t="shared" si="31"/>
        <v>8.0555555555555554E-3</v>
      </c>
      <c r="AD40" s="77">
        <f t="shared" si="17"/>
        <v>6.7378764057135498E-4</v>
      </c>
      <c r="AE40" s="77">
        <f t="shared" si="32"/>
        <v>2.5000000000000001E-3</v>
      </c>
      <c r="AF40" s="77">
        <f t="shared" si="17"/>
        <v>2.0857243058891584E-4</v>
      </c>
      <c r="AH40" t="s">
        <v>175</v>
      </c>
      <c r="AI40" t="s">
        <v>176</v>
      </c>
      <c r="AJ40" s="197" t="str">
        <f t="shared" si="88"/>
        <v>Lifecycle_Balanced_505</v>
      </c>
      <c r="AK40">
        <v>505</v>
      </c>
      <c r="AL40">
        <f>VLOOKUP($U40,[2]Standard_Balanced!$Q$1:$T$542,2,FALSE)</f>
        <v>0.77777777777777779</v>
      </c>
      <c r="AM40">
        <f>VLOOKUP($U40,[2]Standard_Balanced!$Q$1:$T$542,3,FALSE)</f>
        <v>0.22222222222222221</v>
      </c>
      <c r="AN40">
        <f>VLOOKUP($U40,[2]Standard_Balanced!$Q$1:$T$542,4,FALSE)</f>
        <v>0</v>
      </c>
      <c r="AO40" s="77">
        <f t="shared" si="89"/>
        <v>1</v>
      </c>
      <c r="AP40" s="77">
        <f t="shared" si="33"/>
        <v>6.1674999999999987E-2</v>
      </c>
      <c r="AQ40" s="77">
        <f t="shared" si="90"/>
        <v>4.9997781870025904E-3</v>
      </c>
      <c r="AR40" s="79">
        <v>0</v>
      </c>
      <c r="AS40" s="77">
        <f t="shared" si="34"/>
        <v>0</v>
      </c>
      <c r="AT40" s="77">
        <f t="shared" ref="AT40" si="127">1-(1-AS40)^(1/12)</f>
        <v>0</v>
      </c>
      <c r="AU40" s="77">
        <f t="shared" si="36"/>
        <v>2.5000000000000001E-3</v>
      </c>
      <c r="AV40" s="77">
        <f t="shared" ref="AV40" si="128">1-(1-AU40)^(1/12)</f>
        <v>2.0857243058891584E-4</v>
      </c>
      <c r="AX40" t="s">
        <v>178</v>
      </c>
      <c r="AY40" t="s">
        <v>160</v>
      </c>
      <c r="AZ40" s="197" t="str">
        <f t="shared" si="93"/>
        <v>DIS_Non-Standard_505</v>
      </c>
      <c r="BA40">
        <v>505</v>
      </c>
      <c r="BB40">
        <f>VLOOKUP($BA40,'[2]NonStandard DIS'!$Q$1:$X$542,2,FALSE)</f>
        <v>0</v>
      </c>
      <c r="BC40">
        <f>VLOOKUP($BA40,'[2]NonStandard DIS'!$Q$1:$X$542,3,FALSE)</f>
        <v>0</v>
      </c>
      <c r="BD40">
        <f>VLOOKUP($BA40,'[2]NonStandard DIS'!$Q$1:$X$542,4,FALSE)</f>
        <v>0.308</v>
      </c>
      <c r="BE40">
        <f>VLOOKUP($BA40,'[2]NonStandard DIS'!$Q$1:$X$542,5,FALSE)</f>
        <v>0.69199999999999995</v>
      </c>
      <c r="BF40">
        <f>VLOOKUP($BA40,'[2]NonStandard DIS'!$Q$1:$X$542,6,FALSE)</f>
        <v>0</v>
      </c>
      <c r="BG40">
        <f>VLOOKUP($BA40,'[2]NonStandard DIS'!$Q$1:$X$542,7,FALSE)</f>
        <v>0</v>
      </c>
      <c r="BH40">
        <f>VLOOKUP($BA40,'[2]NonStandard DIS'!$Q$1:$X$542,8,FALSE)</f>
        <v>0</v>
      </c>
      <c r="BI40" s="77">
        <f t="shared" si="24"/>
        <v>1</v>
      </c>
      <c r="BJ40" s="77">
        <f t="shared" si="25"/>
        <v>6.9728499999999985E-2</v>
      </c>
      <c r="BK40" s="77">
        <f t="shared" si="94"/>
        <v>5.632878498097682E-3</v>
      </c>
      <c r="BL40" s="79">
        <v>0</v>
      </c>
      <c r="BM40" s="77">
        <f t="shared" si="38"/>
        <v>0</v>
      </c>
      <c r="BN40" s="77">
        <f t="shared" si="39"/>
        <v>0</v>
      </c>
      <c r="BO40" s="77">
        <f t="shared" si="40"/>
        <v>5.6775999999999997E-3</v>
      </c>
      <c r="BP40" s="77">
        <f t="shared" si="41"/>
        <v>4.7190657760731725E-4</v>
      </c>
    </row>
    <row r="41" spans="1:68">
      <c r="A41" t="s">
        <v>175</v>
      </c>
      <c r="B41" t="s">
        <v>176</v>
      </c>
      <c r="C41" s="197" t="str">
        <f t="shared" si="82"/>
        <v>Lifecycle_Balanced_504</v>
      </c>
      <c r="D41">
        <v>504</v>
      </c>
      <c r="E41">
        <f>VLOOKUP($D41,'[2]LC Balanced'!$Q$2:$U$542,2,FALSE)</f>
        <v>0</v>
      </c>
      <c r="F41">
        <f>VLOOKUP($D41,'[2]LC Balanced'!$Q$2:$U$542,3,FALSE)</f>
        <v>0.14899999999999999</v>
      </c>
      <c r="G41">
        <f>VLOOKUP($D41,'[2]LC Balanced'!$Q$2:$U$542,4,FALSE)</f>
        <v>0.85099999999999998</v>
      </c>
      <c r="H41">
        <f>VLOOKUP($D41,'[2]LC Balanced'!$Q$2:$U$542,5,FALSE)</f>
        <v>0</v>
      </c>
      <c r="I41" s="77">
        <f t="shared" si="10"/>
        <v>1</v>
      </c>
      <c r="J41" s="77">
        <f t="shared" si="11"/>
        <v>6.1987699999999986E-2</v>
      </c>
      <c r="K41" s="77">
        <f t="shared" si="83"/>
        <v>5.024442123284345E-3</v>
      </c>
      <c r="L41" s="76">
        <v>0</v>
      </c>
      <c r="M41" s="77">
        <f t="shared" si="27"/>
        <v>0</v>
      </c>
      <c r="N41" s="77">
        <f t="shared" si="28"/>
        <v>0</v>
      </c>
      <c r="O41" s="77">
        <f t="shared" si="29"/>
        <v>7.0062999999999992E-3</v>
      </c>
      <c r="P41" s="77">
        <f t="shared" si="30"/>
        <v>5.85741666996209E-4</v>
      </c>
      <c r="R41" t="s">
        <v>177</v>
      </c>
      <c r="S41" t="s">
        <v>176</v>
      </c>
      <c r="T41" s="197" t="str">
        <f t="shared" si="84"/>
        <v>Autopilot_Balanced_504</v>
      </c>
      <c r="U41">
        <v>504</v>
      </c>
      <c r="V41">
        <f>VLOOKUP($U41,'[2]AP Balanced'!$Q$1:$T$542,2,FALSE)</f>
        <v>0.77777777777777779</v>
      </c>
      <c r="W41">
        <f>VLOOKUP($U41,'[2]AP Balanced'!$Q$1:$T$542,3,FALSE)</f>
        <v>0.22222222222222221</v>
      </c>
      <c r="X41">
        <f>VLOOKUP($U41,'[2]AP Balanced'!$Q$1:$T$542,4,FALSE)</f>
        <v>0</v>
      </c>
      <c r="Y41" s="77">
        <f t="shared" si="85"/>
        <v>1</v>
      </c>
      <c r="Z41" s="77">
        <f t="shared" si="86"/>
        <v>6.1674999999999987E-2</v>
      </c>
      <c r="AA41" s="77">
        <f t="shared" si="87"/>
        <v>4.9997781870025904E-3</v>
      </c>
      <c r="AB41" s="79">
        <v>1</v>
      </c>
      <c r="AC41" s="77">
        <f t="shared" si="31"/>
        <v>8.0555555555555554E-3</v>
      </c>
      <c r="AD41" s="77">
        <f t="shared" si="17"/>
        <v>6.7378764057135498E-4</v>
      </c>
      <c r="AE41" s="77">
        <f t="shared" si="32"/>
        <v>2.5000000000000001E-3</v>
      </c>
      <c r="AF41" s="77">
        <f t="shared" si="17"/>
        <v>2.0857243058891584E-4</v>
      </c>
      <c r="AH41" t="s">
        <v>175</v>
      </c>
      <c r="AI41" t="s">
        <v>176</v>
      </c>
      <c r="AJ41" s="197" t="str">
        <f t="shared" si="88"/>
        <v>Lifecycle_Balanced_504</v>
      </c>
      <c r="AK41">
        <v>504</v>
      </c>
      <c r="AL41">
        <f>VLOOKUP($U41,[2]Standard_Balanced!$Q$1:$T$542,2,FALSE)</f>
        <v>0.77777777777777779</v>
      </c>
      <c r="AM41">
        <f>VLOOKUP($U41,[2]Standard_Balanced!$Q$1:$T$542,3,FALSE)</f>
        <v>0.22222222222222221</v>
      </c>
      <c r="AN41">
        <f>VLOOKUP($U41,[2]Standard_Balanced!$Q$1:$T$542,4,FALSE)</f>
        <v>0</v>
      </c>
      <c r="AO41" s="77">
        <f t="shared" si="89"/>
        <v>1</v>
      </c>
      <c r="AP41" s="77">
        <f t="shared" si="33"/>
        <v>6.1674999999999987E-2</v>
      </c>
      <c r="AQ41" s="77">
        <f t="shared" si="90"/>
        <v>4.9997781870025904E-3</v>
      </c>
      <c r="AR41" s="79">
        <v>0</v>
      </c>
      <c r="AS41" s="77">
        <f t="shared" si="34"/>
        <v>0</v>
      </c>
      <c r="AT41" s="77">
        <f t="shared" ref="AT41" si="129">1-(1-AS41)^(1/12)</f>
        <v>0</v>
      </c>
      <c r="AU41" s="77">
        <f t="shared" si="36"/>
        <v>2.5000000000000001E-3</v>
      </c>
      <c r="AV41" s="77">
        <f t="shared" ref="AV41" si="130">1-(1-AU41)^(1/12)</f>
        <v>2.0857243058891584E-4</v>
      </c>
      <c r="AX41" t="s">
        <v>178</v>
      </c>
      <c r="AY41" t="s">
        <v>160</v>
      </c>
      <c r="AZ41" s="197" t="str">
        <f t="shared" si="93"/>
        <v>DIS_Non-Standard_504</v>
      </c>
      <c r="BA41">
        <v>504</v>
      </c>
      <c r="BB41">
        <f>VLOOKUP($BA41,'[2]NonStandard DIS'!$Q$1:$X$542,2,FALSE)</f>
        <v>0</v>
      </c>
      <c r="BC41">
        <f>VLOOKUP($BA41,'[2]NonStandard DIS'!$Q$1:$X$542,3,FALSE)</f>
        <v>0</v>
      </c>
      <c r="BD41">
        <f>VLOOKUP($BA41,'[2]NonStandard DIS'!$Q$1:$X$542,4,FALSE)</f>
        <v>0.308</v>
      </c>
      <c r="BE41">
        <f>VLOOKUP($BA41,'[2]NonStandard DIS'!$Q$1:$X$542,5,FALSE)</f>
        <v>0.69199999999999995</v>
      </c>
      <c r="BF41">
        <f>VLOOKUP($BA41,'[2]NonStandard DIS'!$Q$1:$X$542,6,FALSE)</f>
        <v>0</v>
      </c>
      <c r="BG41">
        <f>VLOOKUP($BA41,'[2]NonStandard DIS'!$Q$1:$X$542,7,FALSE)</f>
        <v>0</v>
      </c>
      <c r="BH41">
        <f>VLOOKUP($BA41,'[2]NonStandard DIS'!$Q$1:$X$542,8,FALSE)</f>
        <v>0</v>
      </c>
      <c r="BI41" s="77">
        <f t="shared" si="24"/>
        <v>1</v>
      </c>
      <c r="BJ41" s="77">
        <f t="shared" si="25"/>
        <v>6.9728499999999985E-2</v>
      </c>
      <c r="BK41" s="77">
        <f t="shared" si="94"/>
        <v>5.632878498097682E-3</v>
      </c>
      <c r="BL41" s="79">
        <v>0</v>
      </c>
      <c r="BM41" s="77">
        <f t="shared" si="38"/>
        <v>0</v>
      </c>
      <c r="BN41" s="77">
        <f t="shared" si="39"/>
        <v>0</v>
      </c>
      <c r="BO41" s="77">
        <f t="shared" si="40"/>
        <v>5.6775999999999997E-3</v>
      </c>
      <c r="BP41" s="77">
        <f t="shared" si="41"/>
        <v>4.7190657760731725E-4</v>
      </c>
    </row>
    <row r="42" spans="1:68">
      <c r="A42" t="s">
        <v>175</v>
      </c>
      <c r="B42" t="s">
        <v>176</v>
      </c>
      <c r="C42" s="197" t="str">
        <f t="shared" si="82"/>
        <v>Lifecycle_Balanced_503</v>
      </c>
      <c r="D42">
        <v>503</v>
      </c>
      <c r="E42">
        <f>VLOOKUP($D42,'[2]LC Balanced'!$Q$2:$U$542,2,FALSE)</f>
        <v>0</v>
      </c>
      <c r="F42">
        <f>VLOOKUP($D42,'[2]LC Balanced'!$Q$2:$U$542,3,FALSE)</f>
        <v>0.14899999999999999</v>
      </c>
      <c r="G42">
        <f>VLOOKUP($D42,'[2]LC Balanced'!$Q$2:$U$542,4,FALSE)</f>
        <v>0.85099999999999998</v>
      </c>
      <c r="H42">
        <f>VLOOKUP($D42,'[2]LC Balanced'!$Q$2:$U$542,5,FALSE)</f>
        <v>0</v>
      </c>
      <c r="I42" s="77">
        <f t="shared" si="10"/>
        <v>1</v>
      </c>
      <c r="J42" s="77">
        <f t="shared" si="11"/>
        <v>6.1987699999999986E-2</v>
      </c>
      <c r="K42" s="77">
        <f t="shared" si="83"/>
        <v>5.024442123284345E-3</v>
      </c>
      <c r="L42" s="76">
        <v>0</v>
      </c>
      <c r="M42" s="77">
        <f t="shared" si="27"/>
        <v>0</v>
      </c>
      <c r="N42" s="77">
        <f t="shared" si="28"/>
        <v>0</v>
      </c>
      <c r="O42" s="77">
        <f t="shared" si="29"/>
        <v>7.0062999999999992E-3</v>
      </c>
      <c r="P42" s="77">
        <f t="shared" si="30"/>
        <v>5.85741666996209E-4</v>
      </c>
      <c r="R42" t="s">
        <v>177</v>
      </c>
      <c r="S42" t="s">
        <v>176</v>
      </c>
      <c r="T42" s="197" t="str">
        <f t="shared" si="84"/>
        <v>Autopilot_Balanced_503</v>
      </c>
      <c r="U42">
        <v>503</v>
      </c>
      <c r="V42">
        <f>VLOOKUP($U42,'[2]AP Balanced'!$Q$1:$T$542,2,FALSE)</f>
        <v>0.77777777777777779</v>
      </c>
      <c r="W42">
        <f>VLOOKUP($U42,'[2]AP Balanced'!$Q$1:$T$542,3,FALSE)</f>
        <v>0.22222222222222221</v>
      </c>
      <c r="X42">
        <f>VLOOKUP($U42,'[2]AP Balanced'!$Q$1:$T$542,4,FALSE)</f>
        <v>0</v>
      </c>
      <c r="Y42" s="77">
        <f t="shared" si="85"/>
        <v>1</v>
      </c>
      <c r="Z42" s="77">
        <f t="shared" si="86"/>
        <v>6.1674999999999987E-2</v>
      </c>
      <c r="AA42" s="77">
        <f t="shared" si="87"/>
        <v>4.9997781870025904E-3</v>
      </c>
      <c r="AB42" s="79">
        <v>1</v>
      </c>
      <c r="AC42" s="77">
        <f t="shared" si="31"/>
        <v>8.0555555555555554E-3</v>
      </c>
      <c r="AD42" s="77">
        <f t="shared" si="17"/>
        <v>6.7378764057135498E-4</v>
      </c>
      <c r="AE42" s="77">
        <f t="shared" si="32"/>
        <v>2.5000000000000001E-3</v>
      </c>
      <c r="AF42" s="77">
        <f t="shared" si="17"/>
        <v>2.0857243058891584E-4</v>
      </c>
      <c r="AH42" t="s">
        <v>175</v>
      </c>
      <c r="AI42" t="s">
        <v>176</v>
      </c>
      <c r="AJ42" s="197" t="str">
        <f t="shared" si="88"/>
        <v>Lifecycle_Balanced_503</v>
      </c>
      <c r="AK42">
        <v>503</v>
      </c>
      <c r="AL42">
        <f>VLOOKUP($U42,[2]Standard_Balanced!$Q$1:$T$542,2,FALSE)</f>
        <v>0.77777777777777779</v>
      </c>
      <c r="AM42">
        <f>VLOOKUP($U42,[2]Standard_Balanced!$Q$1:$T$542,3,FALSE)</f>
        <v>0.22222222222222221</v>
      </c>
      <c r="AN42">
        <f>VLOOKUP($U42,[2]Standard_Balanced!$Q$1:$T$542,4,FALSE)</f>
        <v>0</v>
      </c>
      <c r="AO42" s="77">
        <f t="shared" si="89"/>
        <v>1</v>
      </c>
      <c r="AP42" s="77">
        <f t="shared" si="33"/>
        <v>6.1674999999999987E-2</v>
      </c>
      <c r="AQ42" s="77">
        <f t="shared" si="90"/>
        <v>4.9997781870025904E-3</v>
      </c>
      <c r="AR42" s="79">
        <v>0</v>
      </c>
      <c r="AS42" s="77">
        <f t="shared" si="34"/>
        <v>0</v>
      </c>
      <c r="AT42" s="77">
        <f t="shared" ref="AT42" si="131">1-(1-AS42)^(1/12)</f>
        <v>0</v>
      </c>
      <c r="AU42" s="77">
        <f t="shared" si="36"/>
        <v>2.5000000000000001E-3</v>
      </c>
      <c r="AV42" s="77">
        <f t="shared" ref="AV42" si="132">1-(1-AU42)^(1/12)</f>
        <v>2.0857243058891584E-4</v>
      </c>
      <c r="AX42" t="s">
        <v>178</v>
      </c>
      <c r="AY42" t="s">
        <v>160</v>
      </c>
      <c r="AZ42" s="197" t="str">
        <f t="shared" si="93"/>
        <v>DIS_Non-Standard_503</v>
      </c>
      <c r="BA42">
        <v>503</v>
      </c>
      <c r="BB42">
        <f>VLOOKUP($BA42,'[2]NonStandard DIS'!$Q$1:$X$542,2,FALSE)</f>
        <v>0</v>
      </c>
      <c r="BC42">
        <f>VLOOKUP($BA42,'[2]NonStandard DIS'!$Q$1:$X$542,3,FALSE)</f>
        <v>0</v>
      </c>
      <c r="BD42">
        <f>VLOOKUP($BA42,'[2]NonStandard DIS'!$Q$1:$X$542,4,FALSE)</f>
        <v>0.308</v>
      </c>
      <c r="BE42">
        <f>VLOOKUP($BA42,'[2]NonStandard DIS'!$Q$1:$X$542,5,FALSE)</f>
        <v>0.69199999999999995</v>
      </c>
      <c r="BF42">
        <f>VLOOKUP($BA42,'[2]NonStandard DIS'!$Q$1:$X$542,6,FALSE)</f>
        <v>0</v>
      </c>
      <c r="BG42">
        <f>VLOOKUP($BA42,'[2]NonStandard DIS'!$Q$1:$X$542,7,FALSE)</f>
        <v>0</v>
      </c>
      <c r="BH42">
        <f>VLOOKUP($BA42,'[2]NonStandard DIS'!$Q$1:$X$542,8,FALSE)</f>
        <v>0</v>
      </c>
      <c r="BI42" s="77">
        <f t="shared" si="24"/>
        <v>1</v>
      </c>
      <c r="BJ42" s="77">
        <f t="shared" si="25"/>
        <v>6.9728499999999985E-2</v>
      </c>
      <c r="BK42" s="77">
        <f t="shared" si="94"/>
        <v>5.632878498097682E-3</v>
      </c>
      <c r="BL42" s="79">
        <v>0</v>
      </c>
      <c r="BM42" s="77">
        <f t="shared" si="38"/>
        <v>0</v>
      </c>
      <c r="BN42" s="77">
        <f t="shared" si="39"/>
        <v>0</v>
      </c>
      <c r="BO42" s="77">
        <f t="shared" si="40"/>
        <v>5.6775999999999997E-3</v>
      </c>
      <c r="BP42" s="77">
        <f t="shared" si="41"/>
        <v>4.7190657760731725E-4</v>
      </c>
    </row>
    <row r="43" spans="1:68">
      <c r="A43" t="s">
        <v>175</v>
      </c>
      <c r="B43" t="s">
        <v>176</v>
      </c>
      <c r="C43" s="197" t="str">
        <f t="shared" si="82"/>
        <v>Lifecycle_Balanced_502</v>
      </c>
      <c r="D43">
        <v>502</v>
      </c>
      <c r="E43">
        <f>VLOOKUP($D43,'[2]LC Balanced'!$Q$2:$U$542,2,FALSE)</f>
        <v>0</v>
      </c>
      <c r="F43">
        <f>VLOOKUP($D43,'[2]LC Balanced'!$Q$2:$U$542,3,FALSE)</f>
        <v>0.14899999999999999</v>
      </c>
      <c r="G43">
        <f>VLOOKUP($D43,'[2]LC Balanced'!$Q$2:$U$542,4,FALSE)</f>
        <v>0.85099999999999998</v>
      </c>
      <c r="H43">
        <f>VLOOKUP($D43,'[2]LC Balanced'!$Q$2:$U$542,5,FALSE)</f>
        <v>0</v>
      </c>
      <c r="I43" s="77">
        <f t="shared" si="10"/>
        <v>1</v>
      </c>
      <c r="J43" s="77">
        <f t="shared" si="11"/>
        <v>6.1987699999999986E-2</v>
      </c>
      <c r="K43" s="77">
        <f t="shared" si="83"/>
        <v>5.024442123284345E-3</v>
      </c>
      <c r="L43" s="76">
        <v>0</v>
      </c>
      <c r="M43" s="77">
        <f t="shared" si="27"/>
        <v>0</v>
      </c>
      <c r="N43" s="77">
        <f t="shared" si="28"/>
        <v>0</v>
      </c>
      <c r="O43" s="77">
        <f t="shared" si="29"/>
        <v>7.0062999999999992E-3</v>
      </c>
      <c r="P43" s="77">
        <f t="shared" si="30"/>
        <v>5.85741666996209E-4</v>
      </c>
      <c r="R43" t="s">
        <v>177</v>
      </c>
      <c r="S43" t="s">
        <v>176</v>
      </c>
      <c r="T43" s="197" t="str">
        <f t="shared" si="84"/>
        <v>Autopilot_Balanced_502</v>
      </c>
      <c r="U43">
        <v>502</v>
      </c>
      <c r="V43">
        <f>VLOOKUP($U43,'[2]AP Balanced'!$Q$1:$T$542,2,FALSE)</f>
        <v>0.77777777777777779</v>
      </c>
      <c r="W43">
        <f>VLOOKUP($U43,'[2]AP Balanced'!$Q$1:$T$542,3,FALSE)</f>
        <v>0.22222222222222221</v>
      </c>
      <c r="X43">
        <f>VLOOKUP($U43,'[2]AP Balanced'!$Q$1:$T$542,4,FALSE)</f>
        <v>0</v>
      </c>
      <c r="Y43" s="77">
        <f t="shared" si="85"/>
        <v>1</v>
      </c>
      <c r="Z43" s="77">
        <f t="shared" si="86"/>
        <v>6.1674999999999987E-2</v>
      </c>
      <c r="AA43" s="77">
        <f t="shared" si="87"/>
        <v>4.9997781870025904E-3</v>
      </c>
      <c r="AB43" s="79">
        <v>1</v>
      </c>
      <c r="AC43" s="77">
        <f t="shared" si="31"/>
        <v>8.0555555555555554E-3</v>
      </c>
      <c r="AD43" s="77">
        <f t="shared" si="17"/>
        <v>6.7378764057135498E-4</v>
      </c>
      <c r="AE43" s="77">
        <f t="shared" si="32"/>
        <v>2.5000000000000001E-3</v>
      </c>
      <c r="AF43" s="77">
        <f t="shared" si="17"/>
        <v>2.0857243058891584E-4</v>
      </c>
      <c r="AH43" t="s">
        <v>175</v>
      </c>
      <c r="AI43" t="s">
        <v>176</v>
      </c>
      <c r="AJ43" s="197" t="str">
        <f t="shared" si="88"/>
        <v>Lifecycle_Balanced_502</v>
      </c>
      <c r="AK43">
        <v>502</v>
      </c>
      <c r="AL43">
        <f>VLOOKUP($U43,[2]Standard_Balanced!$Q$1:$T$542,2,FALSE)</f>
        <v>0.77777777777777779</v>
      </c>
      <c r="AM43">
        <f>VLOOKUP($U43,[2]Standard_Balanced!$Q$1:$T$542,3,FALSE)</f>
        <v>0.22222222222222221</v>
      </c>
      <c r="AN43">
        <f>VLOOKUP($U43,[2]Standard_Balanced!$Q$1:$T$542,4,FALSE)</f>
        <v>0</v>
      </c>
      <c r="AO43" s="77">
        <f t="shared" si="89"/>
        <v>1</v>
      </c>
      <c r="AP43" s="77">
        <f t="shared" si="33"/>
        <v>6.1674999999999987E-2</v>
      </c>
      <c r="AQ43" s="77">
        <f t="shared" si="90"/>
        <v>4.9997781870025904E-3</v>
      </c>
      <c r="AR43" s="79">
        <v>0</v>
      </c>
      <c r="AS43" s="77">
        <f t="shared" si="34"/>
        <v>0</v>
      </c>
      <c r="AT43" s="77">
        <f t="shared" ref="AT43" si="133">1-(1-AS43)^(1/12)</f>
        <v>0</v>
      </c>
      <c r="AU43" s="77">
        <f t="shared" si="36"/>
        <v>2.5000000000000001E-3</v>
      </c>
      <c r="AV43" s="77">
        <f t="shared" ref="AV43" si="134">1-(1-AU43)^(1/12)</f>
        <v>2.0857243058891584E-4</v>
      </c>
      <c r="AX43" t="s">
        <v>178</v>
      </c>
      <c r="AY43" t="s">
        <v>160</v>
      </c>
      <c r="AZ43" s="197" t="str">
        <f t="shared" si="93"/>
        <v>DIS_Non-Standard_502</v>
      </c>
      <c r="BA43">
        <v>502</v>
      </c>
      <c r="BB43">
        <f>VLOOKUP($BA43,'[2]NonStandard DIS'!$Q$1:$X$542,2,FALSE)</f>
        <v>0</v>
      </c>
      <c r="BC43">
        <f>VLOOKUP($BA43,'[2]NonStandard DIS'!$Q$1:$X$542,3,FALSE)</f>
        <v>0</v>
      </c>
      <c r="BD43">
        <f>VLOOKUP($BA43,'[2]NonStandard DIS'!$Q$1:$X$542,4,FALSE)</f>
        <v>0.308</v>
      </c>
      <c r="BE43">
        <f>VLOOKUP($BA43,'[2]NonStandard DIS'!$Q$1:$X$542,5,FALSE)</f>
        <v>0.69199999999999995</v>
      </c>
      <c r="BF43">
        <f>VLOOKUP($BA43,'[2]NonStandard DIS'!$Q$1:$X$542,6,FALSE)</f>
        <v>0</v>
      </c>
      <c r="BG43">
        <f>VLOOKUP($BA43,'[2]NonStandard DIS'!$Q$1:$X$542,7,FALSE)</f>
        <v>0</v>
      </c>
      <c r="BH43">
        <f>VLOOKUP($BA43,'[2]NonStandard DIS'!$Q$1:$X$542,8,FALSE)</f>
        <v>0</v>
      </c>
      <c r="BI43" s="77">
        <f t="shared" si="24"/>
        <v>1</v>
      </c>
      <c r="BJ43" s="77">
        <f t="shared" si="25"/>
        <v>6.9728499999999985E-2</v>
      </c>
      <c r="BK43" s="77">
        <f t="shared" si="94"/>
        <v>5.632878498097682E-3</v>
      </c>
      <c r="BL43" s="79">
        <v>0</v>
      </c>
      <c r="BM43" s="77">
        <f t="shared" si="38"/>
        <v>0</v>
      </c>
      <c r="BN43" s="77">
        <f t="shared" si="39"/>
        <v>0</v>
      </c>
      <c r="BO43" s="77">
        <f t="shared" si="40"/>
        <v>5.6775999999999997E-3</v>
      </c>
      <c r="BP43" s="77">
        <f t="shared" si="41"/>
        <v>4.7190657760731725E-4</v>
      </c>
    </row>
    <row r="44" spans="1:68">
      <c r="A44" t="s">
        <v>175</v>
      </c>
      <c r="B44" t="s">
        <v>176</v>
      </c>
      <c r="C44" s="197" t="str">
        <f t="shared" si="82"/>
        <v>Lifecycle_Balanced_501</v>
      </c>
      <c r="D44">
        <v>501</v>
      </c>
      <c r="E44">
        <f>VLOOKUP($D44,'[2]LC Balanced'!$Q$2:$U$542,2,FALSE)</f>
        <v>0</v>
      </c>
      <c r="F44">
        <f>VLOOKUP($D44,'[2]LC Balanced'!$Q$2:$U$542,3,FALSE)</f>
        <v>0.14899999999999999</v>
      </c>
      <c r="G44">
        <f>VLOOKUP($D44,'[2]LC Balanced'!$Q$2:$U$542,4,FALSE)</f>
        <v>0.85099999999999998</v>
      </c>
      <c r="H44">
        <f>VLOOKUP($D44,'[2]LC Balanced'!$Q$2:$U$542,5,FALSE)</f>
        <v>0</v>
      </c>
      <c r="I44" s="77">
        <f t="shared" si="10"/>
        <v>1</v>
      </c>
      <c r="J44" s="77">
        <f t="shared" si="11"/>
        <v>6.1987699999999986E-2</v>
      </c>
      <c r="K44" s="77">
        <f t="shared" si="83"/>
        <v>5.024442123284345E-3</v>
      </c>
      <c r="L44" s="76">
        <v>0</v>
      </c>
      <c r="M44" s="77">
        <f t="shared" si="27"/>
        <v>0</v>
      </c>
      <c r="N44" s="77">
        <f t="shared" si="28"/>
        <v>0</v>
      </c>
      <c r="O44" s="77">
        <f t="shared" si="29"/>
        <v>7.0062999999999992E-3</v>
      </c>
      <c r="P44" s="77">
        <f t="shared" si="30"/>
        <v>5.85741666996209E-4</v>
      </c>
      <c r="R44" t="s">
        <v>177</v>
      </c>
      <c r="S44" t="s">
        <v>176</v>
      </c>
      <c r="T44" s="197" t="str">
        <f t="shared" si="84"/>
        <v>Autopilot_Balanced_501</v>
      </c>
      <c r="U44">
        <v>501</v>
      </c>
      <c r="V44">
        <f>VLOOKUP($U44,'[2]AP Balanced'!$Q$1:$T$542,2,FALSE)</f>
        <v>0.77777777777777779</v>
      </c>
      <c r="W44">
        <f>VLOOKUP($U44,'[2]AP Balanced'!$Q$1:$T$542,3,FALSE)</f>
        <v>0.22222222222222221</v>
      </c>
      <c r="X44">
        <f>VLOOKUP($U44,'[2]AP Balanced'!$Q$1:$T$542,4,FALSE)</f>
        <v>0</v>
      </c>
      <c r="Y44" s="77">
        <f t="shared" si="85"/>
        <v>1</v>
      </c>
      <c r="Z44" s="77">
        <f t="shared" si="86"/>
        <v>6.1674999999999987E-2</v>
      </c>
      <c r="AA44" s="77">
        <f t="shared" si="87"/>
        <v>4.9997781870025904E-3</v>
      </c>
      <c r="AB44" s="79">
        <v>1</v>
      </c>
      <c r="AC44" s="77">
        <f t="shared" si="31"/>
        <v>8.0555555555555554E-3</v>
      </c>
      <c r="AD44" s="77">
        <f t="shared" si="17"/>
        <v>6.7378764057135498E-4</v>
      </c>
      <c r="AE44" s="77">
        <f t="shared" si="32"/>
        <v>2.5000000000000001E-3</v>
      </c>
      <c r="AF44" s="77">
        <f t="shared" si="17"/>
        <v>2.0857243058891584E-4</v>
      </c>
      <c r="AH44" t="s">
        <v>175</v>
      </c>
      <c r="AI44" t="s">
        <v>176</v>
      </c>
      <c r="AJ44" s="197" t="str">
        <f t="shared" si="88"/>
        <v>Lifecycle_Balanced_501</v>
      </c>
      <c r="AK44">
        <v>501</v>
      </c>
      <c r="AL44">
        <f>VLOOKUP($U44,[2]Standard_Balanced!$Q$1:$T$542,2,FALSE)</f>
        <v>0.77777777777777779</v>
      </c>
      <c r="AM44">
        <f>VLOOKUP($U44,[2]Standard_Balanced!$Q$1:$T$542,3,FALSE)</f>
        <v>0.22222222222222221</v>
      </c>
      <c r="AN44">
        <f>VLOOKUP($U44,[2]Standard_Balanced!$Q$1:$T$542,4,FALSE)</f>
        <v>0</v>
      </c>
      <c r="AO44" s="77">
        <f t="shared" si="89"/>
        <v>1</v>
      </c>
      <c r="AP44" s="77">
        <f t="shared" si="33"/>
        <v>6.1674999999999987E-2</v>
      </c>
      <c r="AQ44" s="77">
        <f t="shared" si="90"/>
        <v>4.9997781870025904E-3</v>
      </c>
      <c r="AR44" s="79">
        <v>0</v>
      </c>
      <c r="AS44" s="77">
        <f t="shared" si="34"/>
        <v>0</v>
      </c>
      <c r="AT44" s="77">
        <f t="shared" ref="AT44" si="135">1-(1-AS44)^(1/12)</f>
        <v>0</v>
      </c>
      <c r="AU44" s="77">
        <f t="shared" si="36"/>
        <v>2.5000000000000001E-3</v>
      </c>
      <c r="AV44" s="77">
        <f t="shared" ref="AV44" si="136">1-(1-AU44)^(1/12)</f>
        <v>2.0857243058891584E-4</v>
      </c>
      <c r="AX44" t="s">
        <v>178</v>
      </c>
      <c r="AY44" t="s">
        <v>160</v>
      </c>
      <c r="AZ44" s="197" t="str">
        <f t="shared" si="93"/>
        <v>DIS_Non-Standard_501</v>
      </c>
      <c r="BA44">
        <v>501</v>
      </c>
      <c r="BB44">
        <f>VLOOKUP($BA44,'[2]NonStandard DIS'!$Q$1:$X$542,2,FALSE)</f>
        <v>0</v>
      </c>
      <c r="BC44">
        <f>VLOOKUP($BA44,'[2]NonStandard DIS'!$Q$1:$X$542,3,FALSE)</f>
        <v>0</v>
      </c>
      <c r="BD44">
        <f>VLOOKUP($BA44,'[2]NonStandard DIS'!$Q$1:$X$542,4,FALSE)</f>
        <v>0.308</v>
      </c>
      <c r="BE44">
        <f>VLOOKUP($BA44,'[2]NonStandard DIS'!$Q$1:$X$542,5,FALSE)</f>
        <v>0.69199999999999995</v>
      </c>
      <c r="BF44">
        <f>VLOOKUP($BA44,'[2]NonStandard DIS'!$Q$1:$X$542,6,FALSE)</f>
        <v>0</v>
      </c>
      <c r="BG44">
        <f>VLOOKUP($BA44,'[2]NonStandard DIS'!$Q$1:$X$542,7,FALSE)</f>
        <v>0</v>
      </c>
      <c r="BH44">
        <f>VLOOKUP($BA44,'[2]NonStandard DIS'!$Q$1:$X$542,8,FALSE)</f>
        <v>0</v>
      </c>
      <c r="BI44" s="77">
        <f t="shared" si="24"/>
        <v>1</v>
      </c>
      <c r="BJ44" s="77">
        <f t="shared" si="25"/>
        <v>6.9728499999999985E-2</v>
      </c>
      <c r="BK44" s="77">
        <f t="shared" si="94"/>
        <v>5.632878498097682E-3</v>
      </c>
      <c r="BL44" s="79">
        <v>0</v>
      </c>
      <c r="BM44" s="77">
        <f t="shared" si="38"/>
        <v>0</v>
      </c>
      <c r="BN44" s="77">
        <f t="shared" si="39"/>
        <v>0</v>
      </c>
      <c r="BO44" s="77">
        <f t="shared" si="40"/>
        <v>5.6775999999999997E-3</v>
      </c>
      <c r="BP44" s="77">
        <f t="shared" si="41"/>
        <v>4.7190657760731725E-4</v>
      </c>
    </row>
    <row r="45" spans="1:68">
      <c r="A45" t="s">
        <v>175</v>
      </c>
      <c r="B45" t="s">
        <v>176</v>
      </c>
      <c r="C45" s="197" t="str">
        <f t="shared" si="82"/>
        <v>Lifecycle_Balanced_500</v>
      </c>
      <c r="D45">
        <v>500</v>
      </c>
      <c r="E45">
        <f>VLOOKUP($D45,'[2]LC Balanced'!$Q$2:$U$542,2,FALSE)</f>
        <v>0</v>
      </c>
      <c r="F45">
        <f>VLOOKUP($D45,'[2]LC Balanced'!$Q$2:$U$542,3,FALSE)</f>
        <v>0.14899999999999999</v>
      </c>
      <c r="G45">
        <f>VLOOKUP($D45,'[2]LC Balanced'!$Q$2:$U$542,4,FALSE)</f>
        <v>0.85099999999999998</v>
      </c>
      <c r="H45">
        <f>VLOOKUP($D45,'[2]LC Balanced'!$Q$2:$U$542,5,FALSE)</f>
        <v>0</v>
      </c>
      <c r="I45" s="77">
        <f t="shared" si="10"/>
        <v>1</v>
      </c>
      <c r="J45" s="77">
        <f t="shared" si="11"/>
        <v>6.1987699999999986E-2</v>
      </c>
      <c r="K45" s="77">
        <f t="shared" si="83"/>
        <v>5.024442123284345E-3</v>
      </c>
      <c r="L45" s="76">
        <v>0</v>
      </c>
      <c r="M45" s="77">
        <f t="shared" si="27"/>
        <v>0</v>
      </c>
      <c r="N45" s="77">
        <f t="shared" si="28"/>
        <v>0</v>
      </c>
      <c r="O45" s="77">
        <f t="shared" si="29"/>
        <v>7.0062999999999992E-3</v>
      </c>
      <c r="P45" s="77">
        <f t="shared" si="30"/>
        <v>5.85741666996209E-4</v>
      </c>
      <c r="R45" t="s">
        <v>177</v>
      </c>
      <c r="S45" t="s">
        <v>176</v>
      </c>
      <c r="T45" s="197" t="str">
        <f t="shared" si="84"/>
        <v>Autopilot_Balanced_500</v>
      </c>
      <c r="U45">
        <v>500</v>
      </c>
      <c r="V45">
        <f>VLOOKUP($U45,'[2]AP Balanced'!$Q$1:$T$542,2,FALSE)</f>
        <v>0.77777777777777779</v>
      </c>
      <c r="W45">
        <f>VLOOKUP($U45,'[2]AP Balanced'!$Q$1:$T$542,3,FALSE)</f>
        <v>0.22222222222222221</v>
      </c>
      <c r="X45">
        <f>VLOOKUP($U45,'[2]AP Balanced'!$Q$1:$T$542,4,FALSE)</f>
        <v>0</v>
      </c>
      <c r="Y45" s="77">
        <f t="shared" si="85"/>
        <v>1</v>
      </c>
      <c r="Z45" s="77">
        <f t="shared" si="86"/>
        <v>6.1674999999999987E-2</v>
      </c>
      <c r="AA45" s="77">
        <f t="shared" si="87"/>
        <v>4.9997781870025904E-3</v>
      </c>
      <c r="AB45" s="79">
        <v>1</v>
      </c>
      <c r="AC45" s="77">
        <f t="shared" si="31"/>
        <v>8.0555555555555554E-3</v>
      </c>
      <c r="AD45" s="77">
        <f t="shared" si="17"/>
        <v>6.7378764057135498E-4</v>
      </c>
      <c r="AE45" s="77">
        <f t="shared" si="32"/>
        <v>2.5000000000000001E-3</v>
      </c>
      <c r="AF45" s="77">
        <f t="shared" si="17"/>
        <v>2.0857243058891584E-4</v>
      </c>
      <c r="AH45" t="s">
        <v>175</v>
      </c>
      <c r="AI45" t="s">
        <v>176</v>
      </c>
      <c r="AJ45" s="197" t="str">
        <f t="shared" si="88"/>
        <v>Lifecycle_Balanced_500</v>
      </c>
      <c r="AK45">
        <v>500</v>
      </c>
      <c r="AL45">
        <f>VLOOKUP($U45,[2]Standard_Balanced!$Q$1:$T$542,2,FALSE)</f>
        <v>0.77777777777777779</v>
      </c>
      <c r="AM45">
        <f>VLOOKUP($U45,[2]Standard_Balanced!$Q$1:$T$542,3,FALSE)</f>
        <v>0.22222222222222221</v>
      </c>
      <c r="AN45">
        <f>VLOOKUP($U45,[2]Standard_Balanced!$Q$1:$T$542,4,FALSE)</f>
        <v>0</v>
      </c>
      <c r="AO45" s="77">
        <f t="shared" si="89"/>
        <v>1</v>
      </c>
      <c r="AP45" s="77">
        <f t="shared" si="33"/>
        <v>6.1674999999999987E-2</v>
      </c>
      <c r="AQ45" s="77">
        <f t="shared" si="90"/>
        <v>4.9997781870025904E-3</v>
      </c>
      <c r="AR45" s="79">
        <v>0</v>
      </c>
      <c r="AS45" s="77">
        <f t="shared" si="34"/>
        <v>0</v>
      </c>
      <c r="AT45" s="77">
        <f t="shared" ref="AT45" si="137">1-(1-AS45)^(1/12)</f>
        <v>0</v>
      </c>
      <c r="AU45" s="77">
        <f t="shared" si="36"/>
        <v>2.5000000000000001E-3</v>
      </c>
      <c r="AV45" s="77">
        <f t="shared" ref="AV45" si="138">1-(1-AU45)^(1/12)</f>
        <v>2.0857243058891584E-4</v>
      </c>
      <c r="AX45" t="s">
        <v>178</v>
      </c>
      <c r="AY45" t="s">
        <v>160</v>
      </c>
      <c r="AZ45" s="197" t="str">
        <f t="shared" si="93"/>
        <v>DIS_Non-Standard_500</v>
      </c>
      <c r="BA45">
        <v>500</v>
      </c>
      <c r="BB45">
        <f>VLOOKUP($BA45,'[2]NonStandard DIS'!$Q$1:$X$542,2,FALSE)</f>
        <v>0</v>
      </c>
      <c r="BC45">
        <f>VLOOKUP($BA45,'[2]NonStandard DIS'!$Q$1:$X$542,3,FALSE)</f>
        <v>0</v>
      </c>
      <c r="BD45">
        <f>VLOOKUP($BA45,'[2]NonStandard DIS'!$Q$1:$X$542,4,FALSE)</f>
        <v>0.308</v>
      </c>
      <c r="BE45">
        <f>VLOOKUP($BA45,'[2]NonStandard DIS'!$Q$1:$X$542,5,FALSE)</f>
        <v>0.69199999999999995</v>
      </c>
      <c r="BF45">
        <f>VLOOKUP($BA45,'[2]NonStandard DIS'!$Q$1:$X$542,6,FALSE)</f>
        <v>0</v>
      </c>
      <c r="BG45">
        <f>VLOOKUP($BA45,'[2]NonStandard DIS'!$Q$1:$X$542,7,FALSE)</f>
        <v>0</v>
      </c>
      <c r="BH45">
        <f>VLOOKUP($BA45,'[2]NonStandard DIS'!$Q$1:$X$542,8,FALSE)</f>
        <v>0</v>
      </c>
      <c r="BI45" s="77">
        <f t="shared" si="24"/>
        <v>1</v>
      </c>
      <c r="BJ45" s="77">
        <f t="shared" si="25"/>
        <v>6.9728499999999985E-2</v>
      </c>
      <c r="BK45" s="77">
        <f t="shared" si="94"/>
        <v>5.632878498097682E-3</v>
      </c>
      <c r="BL45" s="79">
        <v>0</v>
      </c>
      <c r="BM45" s="77">
        <f t="shared" si="38"/>
        <v>0</v>
      </c>
      <c r="BN45" s="77">
        <f t="shared" si="39"/>
        <v>0</v>
      </c>
      <c r="BO45" s="77">
        <f t="shared" si="40"/>
        <v>5.6775999999999997E-3</v>
      </c>
      <c r="BP45" s="77">
        <f t="shared" si="41"/>
        <v>4.7190657760731725E-4</v>
      </c>
    </row>
    <row r="46" spans="1:68">
      <c r="A46" t="s">
        <v>175</v>
      </c>
      <c r="B46" t="s">
        <v>176</v>
      </c>
      <c r="C46" s="197" t="str">
        <f t="shared" si="82"/>
        <v>Lifecycle_Balanced_499</v>
      </c>
      <c r="D46">
        <v>499</v>
      </c>
      <c r="E46">
        <f>VLOOKUP($D46,'[2]LC Balanced'!$Q$2:$U$542,2,FALSE)</f>
        <v>0</v>
      </c>
      <c r="F46">
        <f>VLOOKUP($D46,'[2]LC Balanced'!$Q$2:$U$542,3,FALSE)</f>
        <v>0.14899999999999999</v>
      </c>
      <c r="G46">
        <f>VLOOKUP($D46,'[2]LC Balanced'!$Q$2:$U$542,4,FALSE)</f>
        <v>0.85099999999999998</v>
      </c>
      <c r="H46">
        <f>VLOOKUP($D46,'[2]LC Balanced'!$Q$2:$U$542,5,FALSE)</f>
        <v>0</v>
      </c>
      <c r="I46" s="77">
        <f t="shared" si="10"/>
        <v>1</v>
      </c>
      <c r="J46" s="77">
        <f t="shared" si="11"/>
        <v>6.1987699999999986E-2</v>
      </c>
      <c r="K46" s="77">
        <f t="shared" si="83"/>
        <v>5.024442123284345E-3</v>
      </c>
      <c r="L46" s="76">
        <v>0</v>
      </c>
      <c r="M46" s="77">
        <f t="shared" si="27"/>
        <v>0</v>
      </c>
      <c r="N46" s="77">
        <f t="shared" si="28"/>
        <v>0</v>
      </c>
      <c r="O46" s="77">
        <f t="shared" si="29"/>
        <v>7.0062999999999992E-3</v>
      </c>
      <c r="P46" s="77">
        <f t="shared" si="30"/>
        <v>5.85741666996209E-4</v>
      </c>
      <c r="R46" t="s">
        <v>177</v>
      </c>
      <c r="S46" t="s">
        <v>176</v>
      </c>
      <c r="T46" s="197" t="str">
        <f t="shared" si="84"/>
        <v>Autopilot_Balanced_499</v>
      </c>
      <c r="U46">
        <v>499</v>
      </c>
      <c r="V46">
        <f>VLOOKUP($U46,'[2]AP Balanced'!$Q$1:$T$542,2,FALSE)</f>
        <v>0.77777777777777779</v>
      </c>
      <c r="W46">
        <f>VLOOKUP($U46,'[2]AP Balanced'!$Q$1:$T$542,3,FALSE)</f>
        <v>0.22222222222222221</v>
      </c>
      <c r="X46">
        <f>VLOOKUP($U46,'[2]AP Balanced'!$Q$1:$T$542,4,FALSE)</f>
        <v>0</v>
      </c>
      <c r="Y46" s="77">
        <f t="shared" si="85"/>
        <v>1</v>
      </c>
      <c r="Z46" s="77">
        <f t="shared" si="86"/>
        <v>6.1674999999999987E-2</v>
      </c>
      <c r="AA46" s="77">
        <f t="shared" si="87"/>
        <v>4.9997781870025904E-3</v>
      </c>
      <c r="AB46" s="79">
        <v>1</v>
      </c>
      <c r="AC46" s="77">
        <f t="shared" si="31"/>
        <v>8.0555555555555554E-3</v>
      </c>
      <c r="AD46" s="77">
        <f t="shared" si="17"/>
        <v>6.7378764057135498E-4</v>
      </c>
      <c r="AE46" s="77">
        <f t="shared" si="32"/>
        <v>2.5000000000000001E-3</v>
      </c>
      <c r="AF46" s="77">
        <f t="shared" si="17"/>
        <v>2.0857243058891584E-4</v>
      </c>
      <c r="AH46" t="s">
        <v>175</v>
      </c>
      <c r="AI46" t="s">
        <v>176</v>
      </c>
      <c r="AJ46" s="197" t="str">
        <f t="shared" si="88"/>
        <v>Lifecycle_Balanced_499</v>
      </c>
      <c r="AK46">
        <v>499</v>
      </c>
      <c r="AL46">
        <f>VLOOKUP($U46,[2]Standard_Balanced!$Q$1:$T$542,2,FALSE)</f>
        <v>0.77777777777777779</v>
      </c>
      <c r="AM46">
        <f>VLOOKUP($U46,[2]Standard_Balanced!$Q$1:$T$542,3,FALSE)</f>
        <v>0.22222222222222221</v>
      </c>
      <c r="AN46">
        <f>VLOOKUP($U46,[2]Standard_Balanced!$Q$1:$T$542,4,FALSE)</f>
        <v>0</v>
      </c>
      <c r="AO46" s="77">
        <f t="shared" si="89"/>
        <v>1</v>
      </c>
      <c r="AP46" s="77">
        <f t="shared" si="33"/>
        <v>6.1674999999999987E-2</v>
      </c>
      <c r="AQ46" s="77">
        <f t="shared" si="90"/>
        <v>4.9997781870025904E-3</v>
      </c>
      <c r="AR46" s="79">
        <v>0</v>
      </c>
      <c r="AS46" s="77">
        <f t="shared" si="34"/>
        <v>0</v>
      </c>
      <c r="AT46" s="77">
        <f t="shared" ref="AT46" si="139">1-(1-AS46)^(1/12)</f>
        <v>0</v>
      </c>
      <c r="AU46" s="77">
        <f t="shared" si="36"/>
        <v>2.5000000000000001E-3</v>
      </c>
      <c r="AV46" s="77">
        <f t="shared" ref="AV46" si="140">1-(1-AU46)^(1/12)</f>
        <v>2.0857243058891584E-4</v>
      </c>
      <c r="AX46" t="s">
        <v>178</v>
      </c>
      <c r="AY46" t="s">
        <v>160</v>
      </c>
      <c r="AZ46" s="197" t="str">
        <f t="shared" si="93"/>
        <v>DIS_Non-Standard_499</v>
      </c>
      <c r="BA46">
        <v>499</v>
      </c>
      <c r="BB46">
        <f>VLOOKUP($BA46,'[2]NonStandard DIS'!$Q$1:$X$542,2,FALSE)</f>
        <v>0</v>
      </c>
      <c r="BC46">
        <f>VLOOKUP($BA46,'[2]NonStandard DIS'!$Q$1:$X$542,3,FALSE)</f>
        <v>0</v>
      </c>
      <c r="BD46">
        <f>VLOOKUP($BA46,'[2]NonStandard DIS'!$Q$1:$X$542,4,FALSE)</f>
        <v>0.308</v>
      </c>
      <c r="BE46">
        <f>VLOOKUP($BA46,'[2]NonStandard DIS'!$Q$1:$X$542,5,FALSE)</f>
        <v>0.69199999999999995</v>
      </c>
      <c r="BF46">
        <f>VLOOKUP($BA46,'[2]NonStandard DIS'!$Q$1:$X$542,6,FALSE)</f>
        <v>0</v>
      </c>
      <c r="BG46">
        <f>VLOOKUP($BA46,'[2]NonStandard DIS'!$Q$1:$X$542,7,FALSE)</f>
        <v>0</v>
      </c>
      <c r="BH46">
        <f>VLOOKUP($BA46,'[2]NonStandard DIS'!$Q$1:$X$542,8,FALSE)</f>
        <v>0</v>
      </c>
      <c r="BI46" s="77">
        <f t="shared" si="24"/>
        <v>1</v>
      </c>
      <c r="BJ46" s="77">
        <f t="shared" si="25"/>
        <v>6.9728499999999985E-2</v>
      </c>
      <c r="BK46" s="77">
        <f t="shared" si="94"/>
        <v>5.632878498097682E-3</v>
      </c>
      <c r="BL46" s="79">
        <v>0</v>
      </c>
      <c r="BM46" s="77">
        <f t="shared" si="38"/>
        <v>0</v>
      </c>
      <c r="BN46" s="77">
        <f t="shared" si="39"/>
        <v>0</v>
      </c>
      <c r="BO46" s="77">
        <f t="shared" si="40"/>
        <v>5.6775999999999997E-3</v>
      </c>
      <c r="BP46" s="77">
        <f t="shared" si="41"/>
        <v>4.7190657760731725E-4</v>
      </c>
    </row>
    <row r="47" spans="1:68">
      <c r="A47" t="s">
        <v>175</v>
      </c>
      <c r="B47" t="s">
        <v>176</v>
      </c>
      <c r="C47" s="197" t="str">
        <f t="shared" si="82"/>
        <v>Lifecycle_Balanced_498</v>
      </c>
      <c r="D47">
        <v>498</v>
      </c>
      <c r="E47">
        <f>VLOOKUP($D47,'[2]LC Balanced'!$Q$2:$U$542,2,FALSE)</f>
        <v>0</v>
      </c>
      <c r="F47">
        <f>VLOOKUP($D47,'[2]LC Balanced'!$Q$2:$U$542,3,FALSE)</f>
        <v>0.14899999999999999</v>
      </c>
      <c r="G47">
        <f>VLOOKUP($D47,'[2]LC Balanced'!$Q$2:$U$542,4,FALSE)</f>
        <v>0.85099999999999998</v>
      </c>
      <c r="H47">
        <f>VLOOKUP($D47,'[2]LC Balanced'!$Q$2:$U$542,5,FALSE)</f>
        <v>0</v>
      </c>
      <c r="I47" s="77">
        <f t="shared" si="10"/>
        <v>1</v>
      </c>
      <c r="J47" s="77">
        <f t="shared" si="11"/>
        <v>6.1987699999999986E-2</v>
      </c>
      <c r="K47" s="77">
        <f t="shared" si="83"/>
        <v>5.024442123284345E-3</v>
      </c>
      <c r="L47" s="76">
        <v>0</v>
      </c>
      <c r="M47" s="77">
        <f t="shared" si="27"/>
        <v>0</v>
      </c>
      <c r="N47" s="77">
        <f t="shared" si="28"/>
        <v>0</v>
      </c>
      <c r="O47" s="77">
        <f t="shared" si="29"/>
        <v>7.0062999999999992E-3</v>
      </c>
      <c r="P47" s="77">
        <f t="shared" si="30"/>
        <v>5.85741666996209E-4</v>
      </c>
      <c r="R47" t="s">
        <v>177</v>
      </c>
      <c r="S47" t="s">
        <v>176</v>
      </c>
      <c r="T47" s="197" t="str">
        <f t="shared" si="84"/>
        <v>Autopilot_Balanced_498</v>
      </c>
      <c r="U47">
        <v>498</v>
      </c>
      <c r="V47">
        <f>VLOOKUP($U47,'[2]AP Balanced'!$Q$1:$T$542,2,FALSE)</f>
        <v>0.77777777777777779</v>
      </c>
      <c r="W47">
        <f>VLOOKUP($U47,'[2]AP Balanced'!$Q$1:$T$542,3,FALSE)</f>
        <v>0.22222222222222221</v>
      </c>
      <c r="X47">
        <f>VLOOKUP($U47,'[2]AP Balanced'!$Q$1:$T$542,4,FALSE)</f>
        <v>0</v>
      </c>
      <c r="Y47" s="77">
        <f t="shared" si="85"/>
        <v>1</v>
      </c>
      <c r="Z47" s="77">
        <f t="shared" si="86"/>
        <v>6.1674999999999987E-2</v>
      </c>
      <c r="AA47" s="77">
        <f t="shared" si="87"/>
        <v>4.9997781870025904E-3</v>
      </c>
      <c r="AB47" s="79">
        <v>1</v>
      </c>
      <c r="AC47" s="77">
        <f t="shared" si="31"/>
        <v>8.0555555555555554E-3</v>
      </c>
      <c r="AD47" s="77">
        <f t="shared" si="17"/>
        <v>6.7378764057135498E-4</v>
      </c>
      <c r="AE47" s="77">
        <f t="shared" si="32"/>
        <v>2.5000000000000001E-3</v>
      </c>
      <c r="AF47" s="77">
        <f t="shared" si="17"/>
        <v>2.0857243058891584E-4</v>
      </c>
      <c r="AH47" t="s">
        <v>175</v>
      </c>
      <c r="AI47" t="s">
        <v>176</v>
      </c>
      <c r="AJ47" s="197" t="str">
        <f t="shared" si="88"/>
        <v>Lifecycle_Balanced_498</v>
      </c>
      <c r="AK47">
        <v>498</v>
      </c>
      <c r="AL47">
        <f>VLOOKUP($U47,[2]Standard_Balanced!$Q$1:$T$542,2,FALSE)</f>
        <v>0.77777777777777779</v>
      </c>
      <c r="AM47">
        <f>VLOOKUP($U47,[2]Standard_Balanced!$Q$1:$T$542,3,FALSE)</f>
        <v>0.22222222222222221</v>
      </c>
      <c r="AN47">
        <f>VLOOKUP($U47,[2]Standard_Balanced!$Q$1:$T$542,4,FALSE)</f>
        <v>0</v>
      </c>
      <c r="AO47" s="77">
        <f t="shared" si="89"/>
        <v>1</v>
      </c>
      <c r="AP47" s="77">
        <f t="shared" si="33"/>
        <v>6.1674999999999987E-2</v>
      </c>
      <c r="AQ47" s="77">
        <f t="shared" si="90"/>
        <v>4.9997781870025904E-3</v>
      </c>
      <c r="AR47" s="79">
        <v>0</v>
      </c>
      <c r="AS47" s="77">
        <f t="shared" si="34"/>
        <v>0</v>
      </c>
      <c r="AT47" s="77">
        <f t="shared" ref="AT47" si="141">1-(1-AS47)^(1/12)</f>
        <v>0</v>
      </c>
      <c r="AU47" s="77">
        <f t="shared" si="36"/>
        <v>2.5000000000000001E-3</v>
      </c>
      <c r="AV47" s="77">
        <f t="shared" ref="AV47" si="142">1-(1-AU47)^(1/12)</f>
        <v>2.0857243058891584E-4</v>
      </c>
      <c r="AX47" t="s">
        <v>178</v>
      </c>
      <c r="AY47" t="s">
        <v>160</v>
      </c>
      <c r="AZ47" s="197" t="str">
        <f t="shared" si="93"/>
        <v>DIS_Non-Standard_498</v>
      </c>
      <c r="BA47">
        <v>498</v>
      </c>
      <c r="BB47">
        <f>VLOOKUP($BA47,'[2]NonStandard DIS'!$Q$1:$X$542,2,FALSE)</f>
        <v>0</v>
      </c>
      <c r="BC47">
        <f>VLOOKUP($BA47,'[2]NonStandard DIS'!$Q$1:$X$542,3,FALSE)</f>
        <v>0</v>
      </c>
      <c r="BD47">
        <f>VLOOKUP($BA47,'[2]NonStandard DIS'!$Q$1:$X$542,4,FALSE)</f>
        <v>0.308</v>
      </c>
      <c r="BE47">
        <f>VLOOKUP($BA47,'[2]NonStandard DIS'!$Q$1:$X$542,5,FALSE)</f>
        <v>0.69199999999999995</v>
      </c>
      <c r="BF47">
        <f>VLOOKUP($BA47,'[2]NonStandard DIS'!$Q$1:$X$542,6,FALSE)</f>
        <v>0</v>
      </c>
      <c r="BG47">
        <f>VLOOKUP($BA47,'[2]NonStandard DIS'!$Q$1:$X$542,7,FALSE)</f>
        <v>0</v>
      </c>
      <c r="BH47">
        <f>VLOOKUP($BA47,'[2]NonStandard DIS'!$Q$1:$X$542,8,FALSE)</f>
        <v>0</v>
      </c>
      <c r="BI47" s="77">
        <f t="shared" si="24"/>
        <v>1</v>
      </c>
      <c r="BJ47" s="77">
        <f t="shared" si="25"/>
        <v>6.9728499999999985E-2</v>
      </c>
      <c r="BK47" s="77">
        <f t="shared" si="94"/>
        <v>5.632878498097682E-3</v>
      </c>
      <c r="BL47" s="79">
        <v>0</v>
      </c>
      <c r="BM47" s="77">
        <f t="shared" si="38"/>
        <v>0</v>
      </c>
      <c r="BN47" s="77">
        <f t="shared" si="39"/>
        <v>0</v>
      </c>
      <c r="BO47" s="77">
        <f t="shared" si="40"/>
        <v>5.6775999999999997E-3</v>
      </c>
      <c r="BP47" s="77">
        <f t="shared" si="41"/>
        <v>4.7190657760731725E-4</v>
      </c>
    </row>
    <row r="48" spans="1:68">
      <c r="A48" t="s">
        <v>175</v>
      </c>
      <c r="B48" t="s">
        <v>176</v>
      </c>
      <c r="C48" s="197" t="str">
        <f t="shared" si="82"/>
        <v>Lifecycle_Balanced_497</v>
      </c>
      <c r="D48">
        <v>497</v>
      </c>
      <c r="E48">
        <f>VLOOKUP($D48,'[2]LC Balanced'!$Q$2:$U$542,2,FALSE)</f>
        <v>0</v>
      </c>
      <c r="F48">
        <f>VLOOKUP($D48,'[2]LC Balanced'!$Q$2:$U$542,3,FALSE)</f>
        <v>0.14899999999999999</v>
      </c>
      <c r="G48">
        <f>VLOOKUP($D48,'[2]LC Balanced'!$Q$2:$U$542,4,FALSE)</f>
        <v>0.85099999999999998</v>
      </c>
      <c r="H48">
        <f>VLOOKUP($D48,'[2]LC Balanced'!$Q$2:$U$542,5,FALSE)</f>
        <v>0</v>
      </c>
      <c r="I48" s="77">
        <f t="shared" si="10"/>
        <v>1</v>
      </c>
      <c r="J48" s="77">
        <f t="shared" si="11"/>
        <v>6.1987699999999986E-2</v>
      </c>
      <c r="K48" s="77">
        <f t="shared" si="83"/>
        <v>5.024442123284345E-3</v>
      </c>
      <c r="L48" s="76">
        <v>0</v>
      </c>
      <c r="M48" s="77">
        <f t="shared" si="27"/>
        <v>0</v>
      </c>
      <c r="N48" s="77">
        <f t="shared" si="28"/>
        <v>0</v>
      </c>
      <c r="O48" s="77">
        <f t="shared" si="29"/>
        <v>7.0062999999999992E-3</v>
      </c>
      <c r="P48" s="77">
        <f t="shared" si="30"/>
        <v>5.85741666996209E-4</v>
      </c>
      <c r="R48" t="s">
        <v>177</v>
      </c>
      <c r="S48" t="s">
        <v>176</v>
      </c>
      <c r="T48" s="197" t="str">
        <f t="shared" si="84"/>
        <v>Autopilot_Balanced_497</v>
      </c>
      <c r="U48">
        <v>497</v>
      </c>
      <c r="V48">
        <f>VLOOKUP($U48,'[2]AP Balanced'!$Q$1:$T$542,2,FALSE)</f>
        <v>0.77777777777777779</v>
      </c>
      <c r="W48">
        <f>VLOOKUP($U48,'[2]AP Balanced'!$Q$1:$T$542,3,FALSE)</f>
        <v>0.22222222222222221</v>
      </c>
      <c r="X48">
        <f>VLOOKUP($U48,'[2]AP Balanced'!$Q$1:$T$542,4,FALSE)</f>
        <v>0</v>
      </c>
      <c r="Y48" s="77">
        <f t="shared" si="85"/>
        <v>1</v>
      </c>
      <c r="Z48" s="77">
        <f t="shared" si="86"/>
        <v>6.1674999999999987E-2</v>
      </c>
      <c r="AA48" s="77">
        <f t="shared" si="87"/>
        <v>4.9997781870025904E-3</v>
      </c>
      <c r="AB48" s="79">
        <v>1</v>
      </c>
      <c r="AC48" s="77">
        <f t="shared" si="31"/>
        <v>8.0555555555555554E-3</v>
      </c>
      <c r="AD48" s="77">
        <f t="shared" si="17"/>
        <v>6.7378764057135498E-4</v>
      </c>
      <c r="AE48" s="77">
        <f t="shared" si="32"/>
        <v>2.5000000000000001E-3</v>
      </c>
      <c r="AF48" s="77">
        <f t="shared" si="17"/>
        <v>2.0857243058891584E-4</v>
      </c>
      <c r="AH48" t="s">
        <v>175</v>
      </c>
      <c r="AI48" t="s">
        <v>176</v>
      </c>
      <c r="AJ48" s="197" t="str">
        <f t="shared" si="88"/>
        <v>Lifecycle_Balanced_497</v>
      </c>
      <c r="AK48">
        <v>497</v>
      </c>
      <c r="AL48">
        <f>VLOOKUP($U48,[2]Standard_Balanced!$Q$1:$T$542,2,FALSE)</f>
        <v>0.77777777777777779</v>
      </c>
      <c r="AM48">
        <f>VLOOKUP($U48,[2]Standard_Balanced!$Q$1:$T$542,3,FALSE)</f>
        <v>0.22222222222222221</v>
      </c>
      <c r="AN48">
        <f>VLOOKUP($U48,[2]Standard_Balanced!$Q$1:$T$542,4,FALSE)</f>
        <v>0</v>
      </c>
      <c r="AO48" s="77">
        <f t="shared" si="89"/>
        <v>1</v>
      </c>
      <c r="AP48" s="77">
        <f t="shared" si="33"/>
        <v>6.1674999999999987E-2</v>
      </c>
      <c r="AQ48" s="77">
        <f t="shared" si="90"/>
        <v>4.9997781870025904E-3</v>
      </c>
      <c r="AR48" s="79">
        <v>0</v>
      </c>
      <c r="AS48" s="77">
        <f t="shared" si="34"/>
        <v>0</v>
      </c>
      <c r="AT48" s="77">
        <f t="shared" ref="AT48" si="143">1-(1-AS48)^(1/12)</f>
        <v>0</v>
      </c>
      <c r="AU48" s="77">
        <f t="shared" si="36"/>
        <v>2.5000000000000001E-3</v>
      </c>
      <c r="AV48" s="77">
        <f t="shared" ref="AV48" si="144">1-(1-AU48)^(1/12)</f>
        <v>2.0857243058891584E-4</v>
      </c>
      <c r="AX48" t="s">
        <v>178</v>
      </c>
      <c r="AY48" t="s">
        <v>160</v>
      </c>
      <c r="AZ48" s="197" t="str">
        <f t="shared" si="93"/>
        <v>DIS_Non-Standard_497</v>
      </c>
      <c r="BA48">
        <v>497</v>
      </c>
      <c r="BB48">
        <f>VLOOKUP($BA48,'[2]NonStandard DIS'!$Q$1:$X$542,2,FALSE)</f>
        <v>0</v>
      </c>
      <c r="BC48">
        <f>VLOOKUP($BA48,'[2]NonStandard DIS'!$Q$1:$X$542,3,FALSE)</f>
        <v>0</v>
      </c>
      <c r="BD48">
        <f>VLOOKUP($BA48,'[2]NonStandard DIS'!$Q$1:$X$542,4,FALSE)</f>
        <v>0.308</v>
      </c>
      <c r="BE48">
        <f>VLOOKUP($BA48,'[2]NonStandard DIS'!$Q$1:$X$542,5,FALSE)</f>
        <v>0.69199999999999995</v>
      </c>
      <c r="BF48">
        <f>VLOOKUP($BA48,'[2]NonStandard DIS'!$Q$1:$X$542,6,FALSE)</f>
        <v>0</v>
      </c>
      <c r="BG48">
        <f>VLOOKUP($BA48,'[2]NonStandard DIS'!$Q$1:$X$542,7,FALSE)</f>
        <v>0</v>
      </c>
      <c r="BH48">
        <f>VLOOKUP($BA48,'[2]NonStandard DIS'!$Q$1:$X$542,8,FALSE)</f>
        <v>0</v>
      </c>
      <c r="BI48" s="77">
        <f t="shared" si="24"/>
        <v>1</v>
      </c>
      <c r="BJ48" s="77">
        <f t="shared" si="25"/>
        <v>6.9728499999999985E-2</v>
      </c>
      <c r="BK48" s="77">
        <f t="shared" si="94"/>
        <v>5.632878498097682E-3</v>
      </c>
      <c r="BL48" s="79">
        <v>0</v>
      </c>
      <c r="BM48" s="77">
        <f t="shared" si="38"/>
        <v>0</v>
      </c>
      <c r="BN48" s="77">
        <f t="shared" si="39"/>
        <v>0</v>
      </c>
      <c r="BO48" s="77">
        <f t="shared" si="40"/>
        <v>5.6775999999999997E-3</v>
      </c>
      <c r="BP48" s="77">
        <f t="shared" si="41"/>
        <v>4.7190657760731725E-4</v>
      </c>
    </row>
    <row r="49" spans="1:68">
      <c r="A49" t="s">
        <v>175</v>
      </c>
      <c r="B49" t="s">
        <v>176</v>
      </c>
      <c r="C49" s="197" t="str">
        <f t="shared" si="82"/>
        <v>Lifecycle_Balanced_496</v>
      </c>
      <c r="D49">
        <v>496</v>
      </c>
      <c r="E49">
        <f>VLOOKUP($D49,'[2]LC Balanced'!$Q$2:$U$542,2,FALSE)</f>
        <v>0</v>
      </c>
      <c r="F49">
        <f>VLOOKUP($D49,'[2]LC Balanced'!$Q$2:$U$542,3,FALSE)</f>
        <v>0.14899999999999999</v>
      </c>
      <c r="G49">
        <f>VLOOKUP($D49,'[2]LC Balanced'!$Q$2:$U$542,4,FALSE)</f>
        <v>0.85099999999999998</v>
      </c>
      <c r="H49">
        <f>VLOOKUP($D49,'[2]LC Balanced'!$Q$2:$U$542,5,FALSE)</f>
        <v>0</v>
      </c>
      <c r="I49" s="77">
        <f t="shared" si="10"/>
        <v>1</v>
      </c>
      <c r="J49" s="77">
        <f t="shared" si="11"/>
        <v>6.1987699999999986E-2</v>
      </c>
      <c r="K49" s="77">
        <f t="shared" si="83"/>
        <v>5.024442123284345E-3</v>
      </c>
      <c r="L49" s="76">
        <v>0</v>
      </c>
      <c r="M49" s="77">
        <f t="shared" si="27"/>
        <v>0</v>
      </c>
      <c r="N49" s="77">
        <f t="shared" si="28"/>
        <v>0</v>
      </c>
      <c r="O49" s="77">
        <f t="shared" si="29"/>
        <v>7.0062999999999992E-3</v>
      </c>
      <c r="P49" s="77">
        <f t="shared" si="30"/>
        <v>5.85741666996209E-4</v>
      </c>
      <c r="R49" t="s">
        <v>177</v>
      </c>
      <c r="S49" t="s">
        <v>176</v>
      </c>
      <c r="T49" s="197" t="str">
        <f t="shared" si="84"/>
        <v>Autopilot_Balanced_496</v>
      </c>
      <c r="U49">
        <v>496</v>
      </c>
      <c r="V49">
        <f>VLOOKUP($U49,'[2]AP Balanced'!$Q$1:$T$542,2,FALSE)</f>
        <v>0.77777777777777779</v>
      </c>
      <c r="W49">
        <f>VLOOKUP($U49,'[2]AP Balanced'!$Q$1:$T$542,3,FALSE)</f>
        <v>0.22222222222222221</v>
      </c>
      <c r="X49">
        <f>VLOOKUP($U49,'[2]AP Balanced'!$Q$1:$T$542,4,FALSE)</f>
        <v>0</v>
      </c>
      <c r="Y49" s="77">
        <f t="shared" si="85"/>
        <v>1</v>
      </c>
      <c r="Z49" s="77">
        <f t="shared" si="86"/>
        <v>6.1674999999999987E-2</v>
      </c>
      <c r="AA49" s="77">
        <f t="shared" si="87"/>
        <v>4.9997781870025904E-3</v>
      </c>
      <c r="AB49" s="79">
        <v>1</v>
      </c>
      <c r="AC49" s="77">
        <f t="shared" si="31"/>
        <v>8.0555555555555554E-3</v>
      </c>
      <c r="AD49" s="77">
        <f t="shared" si="17"/>
        <v>6.7378764057135498E-4</v>
      </c>
      <c r="AE49" s="77">
        <f t="shared" si="32"/>
        <v>2.5000000000000001E-3</v>
      </c>
      <c r="AF49" s="77">
        <f t="shared" si="17"/>
        <v>2.0857243058891584E-4</v>
      </c>
      <c r="AH49" t="s">
        <v>175</v>
      </c>
      <c r="AI49" t="s">
        <v>176</v>
      </c>
      <c r="AJ49" s="197" t="str">
        <f t="shared" si="88"/>
        <v>Lifecycle_Balanced_496</v>
      </c>
      <c r="AK49">
        <v>496</v>
      </c>
      <c r="AL49">
        <f>VLOOKUP($U49,[2]Standard_Balanced!$Q$1:$T$542,2,FALSE)</f>
        <v>0.77777777777777779</v>
      </c>
      <c r="AM49">
        <f>VLOOKUP($U49,[2]Standard_Balanced!$Q$1:$T$542,3,FALSE)</f>
        <v>0.22222222222222221</v>
      </c>
      <c r="AN49">
        <f>VLOOKUP($U49,[2]Standard_Balanced!$Q$1:$T$542,4,FALSE)</f>
        <v>0</v>
      </c>
      <c r="AO49" s="77">
        <f t="shared" si="89"/>
        <v>1</v>
      </c>
      <c r="AP49" s="77">
        <f t="shared" si="33"/>
        <v>6.1674999999999987E-2</v>
      </c>
      <c r="AQ49" s="77">
        <f t="shared" si="90"/>
        <v>4.9997781870025904E-3</v>
      </c>
      <c r="AR49" s="79">
        <v>0</v>
      </c>
      <c r="AS49" s="77">
        <f t="shared" si="34"/>
        <v>0</v>
      </c>
      <c r="AT49" s="77">
        <f t="shared" ref="AT49" si="145">1-(1-AS49)^(1/12)</f>
        <v>0</v>
      </c>
      <c r="AU49" s="77">
        <f t="shared" si="36"/>
        <v>2.5000000000000001E-3</v>
      </c>
      <c r="AV49" s="77">
        <f t="shared" ref="AV49" si="146">1-(1-AU49)^(1/12)</f>
        <v>2.0857243058891584E-4</v>
      </c>
      <c r="AX49" t="s">
        <v>178</v>
      </c>
      <c r="AY49" t="s">
        <v>160</v>
      </c>
      <c r="AZ49" s="197" t="str">
        <f t="shared" si="93"/>
        <v>DIS_Non-Standard_496</v>
      </c>
      <c r="BA49">
        <v>496</v>
      </c>
      <c r="BB49">
        <f>VLOOKUP($BA49,'[2]NonStandard DIS'!$Q$1:$X$542,2,FALSE)</f>
        <v>0</v>
      </c>
      <c r="BC49">
        <f>VLOOKUP($BA49,'[2]NonStandard DIS'!$Q$1:$X$542,3,FALSE)</f>
        <v>0</v>
      </c>
      <c r="BD49">
        <f>VLOOKUP($BA49,'[2]NonStandard DIS'!$Q$1:$X$542,4,FALSE)</f>
        <v>0.308</v>
      </c>
      <c r="BE49">
        <f>VLOOKUP($BA49,'[2]NonStandard DIS'!$Q$1:$X$542,5,FALSE)</f>
        <v>0.69199999999999995</v>
      </c>
      <c r="BF49">
        <f>VLOOKUP($BA49,'[2]NonStandard DIS'!$Q$1:$X$542,6,FALSE)</f>
        <v>0</v>
      </c>
      <c r="BG49">
        <f>VLOOKUP($BA49,'[2]NonStandard DIS'!$Q$1:$X$542,7,FALSE)</f>
        <v>0</v>
      </c>
      <c r="BH49">
        <f>VLOOKUP($BA49,'[2]NonStandard DIS'!$Q$1:$X$542,8,FALSE)</f>
        <v>0</v>
      </c>
      <c r="BI49" s="77">
        <f t="shared" si="24"/>
        <v>1</v>
      </c>
      <c r="BJ49" s="77">
        <f t="shared" si="25"/>
        <v>6.9728499999999985E-2</v>
      </c>
      <c r="BK49" s="77">
        <f t="shared" si="94"/>
        <v>5.632878498097682E-3</v>
      </c>
      <c r="BL49" s="79">
        <v>0</v>
      </c>
      <c r="BM49" s="77">
        <f t="shared" si="38"/>
        <v>0</v>
      </c>
      <c r="BN49" s="77">
        <f t="shared" si="39"/>
        <v>0</v>
      </c>
      <c r="BO49" s="77">
        <f t="shared" si="40"/>
        <v>5.6775999999999997E-3</v>
      </c>
      <c r="BP49" s="77">
        <f t="shared" si="41"/>
        <v>4.7190657760731725E-4</v>
      </c>
    </row>
    <row r="50" spans="1:68">
      <c r="A50" t="s">
        <v>175</v>
      </c>
      <c r="B50" t="s">
        <v>176</v>
      </c>
      <c r="C50" s="197" t="str">
        <f t="shared" si="82"/>
        <v>Lifecycle_Balanced_495</v>
      </c>
      <c r="D50">
        <v>495</v>
      </c>
      <c r="E50">
        <f>VLOOKUP($D50,'[2]LC Balanced'!$Q$2:$U$542,2,FALSE)</f>
        <v>0</v>
      </c>
      <c r="F50">
        <f>VLOOKUP($D50,'[2]LC Balanced'!$Q$2:$U$542,3,FALSE)</f>
        <v>0.14899999999999999</v>
      </c>
      <c r="G50">
        <f>VLOOKUP($D50,'[2]LC Balanced'!$Q$2:$U$542,4,FALSE)</f>
        <v>0.85099999999999998</v>
      </c>
      <c r="H50">
        <f>VLOOKUP($D50,'[2]LC Balanced'!$Q$2:$U$542,5,FALSE)</f>
        <v>0</v>
      </c>
      <c r="I50" s="77">
        <f t="shared" si="10"/>
        <v>1</v>
      </c>
      <c r="J50" s="77">
        <f t="shared" si="11"/>
        <v>6.1987699999999986E-2</v>
      </c>
      <c r="K50" s="77">
        <f t="shared" si="83"/>
        <v>5.024442123284345E-3</v>
      </c>
      <c r="L50" s="76">
        <v>0</v>
      </c>
      <c r="M50" s="77">
        <f t="shared" si="27"/>
        <v>0</v>
      </c>
      <c r="N50" s="77">
        <f t="shared" si="28"/>
        <v>0</v>
      </c>
      <c r="O50" s="77">
        <f t="shared" si="29"/>
        <v>7.0062999999999992E-3</v>
      </c>
      <c r="P50" s="77">
        <f t="shared" si="30"/>
        <v>5.85741666996209E-4</v>
      </c>
      <c r="R50" t="s">
        <v>177</v>
      </c>
      <c r="S50" t="s">
        <v>176</v>
      </c>
      <c r="T50" s="197" t="str">
        <f t="shared" si="84"/>
        <v>Autopilot_Balanced_495</v>
      </c>
      <c r="U50">
        <v>495</v>
      </c>
      <c r="V50">
        <f>VLOOKUP($U50,'[2]AP Balanced'!$Q$1:$T$542,2,FALSE)</f>
        <v>0.77777777777777779</v>
      </c>
      <c r="W50">
        <f>VLOOKUP($U50,'[2]AP Balanced'!$Q$1:$T$542,3,FALSE)</f>
        <v>0.22222222222222221</v>
      </c>
      <c r="X50">
        <f>VLOOKUP($U50,'[2]AP Balanced'!$Q$1:$T$542,4,FALSE)</f>
        <v>0</v>
      </c>
      <c r="Y50" s="77">
        <f t="shared" si="85"/>
        <v>1</v>
      </c>
      <c r="Z50" s="77">
        <f t="shared" si="86"/>
        <v>6.1674999999999987E-2</v>
      </c>
      <c r="AA50" s="77">
        <f t="shared" si="87"/>
        <v>4.9997781870025904E-3</v>
      </c>
      <c r="AB50" s="79">
        <v>1</v>
      </c>
      <c r="AC50" s="77">
        <f t="shared" si="31"/>
        <v>8.0555555555555554E-3</v>
      </c>
      <c r="AD50" s="77">
        <f t="shared" si="17"/>
        <v>6.7378764057135498E-4</v>
      </c>
      <c r="AE50" s="77">
        <f t="shared" si="32"/>
        <v>2.5000000000000001E-3</v>
      </c>
      <c r="AF50" s="77">
        <f t="shared" si="17"/>
        <v>2.0857243058891584E-4</v>
      </c>
      <c r="AH50" t="s">
        <v>175</v>
      </c>
      <c r="AI50" t="s">
        <v>176</v>
      </c>
      <c r="AJ50" s="197" t="str">
        <f t="shared" si="88"/>
        <v>Lifecycle_Balanced_495</v>
      </c>
      <c r="AK50">
        <v>495</v>
      </c>
      <c r="AL50">
        <f>VLOOKUP($U50,[2]Standard_Balanced!$Q$1:$T$542,2,FALSE)</f>
        <v>0.77777777777777779</v>
      </c>
      <c r="AM50">
        <f>VLOOKUP($U50,[2]Standard_Balanced!$Q$1:$T$542,3,FALSE)</f>
        <v>0.22222222222222221</v>
      </c>
      <c r="AN50">
        <f>VLOOKUP($U50,[2]Standard_Balanced!$Q$1:$T$542,4,FALSE)</f>
        <v>0</v>
      </c>
      <c r="AO50" s="77">
        <f t="shared" si="89"/>
        <v>1</v>
      </c>
      <c r="AP50" s="77">
        <f t="shared" si="33"/>
        <v>6.1674999999999987E-2</v>
      </c>
      <c r="AQ50" s="77">
        <f t="shared" si="90"/>
        <v>4.9997781870025904E-3</v>
      </c>
      <c r="AR50" s="79">
        <v>0</v>
      </c>
      <c r="AS50" s="77">
        <f t="shared" si="34"/>
        <v>0</v>
      </c>
      <c r="AT50" s="77">
        <f t="shared" ref="AT50" si="147">1-(1-AS50)^(1/12)</f>
        <v>0</v>
      </c>
      <c r="AU50" s="77">
        <f t="shared" si="36"/>
        <v>2.5000000000000001E-3</v>
      </c>
      <c r="AV50" s="77">
        <f t="shared" ref="AV50" si="148">1-(1-AU50)^(1/12)</f>
        <v>2.0857243058891584E-4</v>
      </c>
      <c r="AX50" t="s">
        <v>178</v>
      </c>
      <c r="AY50" t="s">
        <v>160</v>
      </c>
      <c r="AZ50" s="197" t="str">
        <f t="shared" si="93"/>
        <v>DIS_Non-Standard_495</v>
      </c>
      <c r="BA50">
        <v>495</v>
      </c>
      <c r="BB50">
        <f>VLOOKUP($BA50,'[2]NonStandard DIS'!$Q$1:$X$542,2,FALSE)</f>
        <v>0</v>
      </c>
      <c r="BC50">
        <f>VLOOKUP($BA50,'[2]NonStandard DIS'!$Q$1:$X$542,3,FALSE)</f>
        <v>0</v>
      </c>
      <c r="BD50">
        <f>VLOOKUP($BA50,'[2]NonStandard DIS'!$Q$1:$X$542,4,FALSE)</f>
        <v>0.308</v>
      </c>
      <c r="BE50">
        <f>VLOOKUP($BA50,'[2]NonStandard DIS'!$Q$1:$X$542,5,FALSE)</f>
        <v>0.69199999999999995</v>
      </c>
      <c r="BF50">
        <f>VLOOKUP($BA50,'[2]NonStandard DIS'!$Q$1:$X$542,6,FALSE)</f>
        <v>0</v>
      </c>
      <c r="BG50">
        <f>VLOOKUP($BA50,'[2]NonStandard DIS'!$Q$1:$X$542,7,FALSE)</f>
        <v>0</v>
      </c>
      <c r="BH50">
        <f>VLOOKUP($BA50,'[2]NonStandard DIS'!$Q$1:$X$542,8,FALSE)</f>
        <v>0</v>
      </c>
      <c r="BI50" s="77">
        <f t="shared" si="24"/>
        <v>1</v>
      </c>
      <c r="BJ50" s="77">
        <f t="shared" si="25"/>
        <v>6.9728499999999985E-2</v>
      </c>
      <c r="BK50" s="77">
        <f t="shared" si="94"/>
        <v>5.632878498097682E-3</v>
      </c>
      <c r="BL50" s="79">
        <v>0</v>
      </c>
      <c r="BM50" s="77">
        <f t="shared" si="38"/>
        <v>0</v>
      </c>
      <c r="BN50" s="77">
        <f t="shared" si="39"/>
        <v>0</v>
      </c>
      <c r="BO50" s="77">
        <f t="shared" si="40"/>
        <v>5.6775999999999997E-3</v>
      </c>
      <c r="BP50" s="77">
        <f t="shared" si="41"/>
        <v>4.7190657760731725E-4</v>
      </c>
    </row>
    <row r="51" spans="1:68">
      <c r="A51" t="s">
        <v>175</v>
      </c>
      <c r="B51" t="s">
        <v>176</v>
      </c>
      <c r="C51" s="197" t="str">
        <f t="shared" si="82"/>
        <v>Lifecycle_Balanced_494</v>
      </c>
      <c r="D51">
        <v>494</v>
      </c>
      <c r="E51">
        <f>VLOOKUP($D51,'[2]LC Balanced'!$Q$2:$U$542,2,FALSE)</f>
        <v>0</v>
      </c>
      <c r="F51">
        <f>VLOOKUP($D51,'[2]LC Balanced'!$Q$2:$U$542,3,FALSE)</f>
        <v>0.14899999999999999</v>
      </c>
      <c r="G51">
        <f>VLOOKUP($D51,'[2]LC Balanced'!$Q$2:$U$542,4,FALSE)</f>
        <v>0.85099999999999998</v>
      </c>
      <c r="H51">
        <f>VLOOKUP($D51,'[2]LC Balanced'!$Q$2:$U$542,5,FALSE)</f>
        <v>0</v>
      </c>
      <c r="I51" s="77">
        <f t="shared" si="10"/>
        <v>1</v>
      </c>
      <c r="J51" s="77">
        <f t="shared" si="11"/>
        <v>6.1987699999999986E-2</v>
      </c>
      <c r="K51" s="77">
        <f t="shared" si="83"/>
        <v>5.024442123284345E-3</v>
      </c>
      <c r="L51" s="76">
        <v>0</v>
      </c>
      <c r="M51" s="77">
        <f t="shared" si="27"/>
        <v>0</v>
      </c>
      <c r="N51" s="77">
        <f t="shared" si="28"/>
        <v>0</v>
      </c>
      <c r="O51" s="77">
        <f t="shared" si="29"/>
        <v>7.0062999999999992E-3</v>
      </c>
      <c r="P51" s="77">
        <f t="shared" si="30"/>
        <v>5.85741666996209E-4</v>
      </c>
      <c r="R51" t="s">
        <v>177</v>
      </c>
      <c r="S51" t="s">
        <v>176</v>
      </c>
      <c r="T51" s="197" t="str">
        <f t="shared" si="84"/>
        <v>Autopilot_Balanced_494</v>
      </c>
      <c r="U51">
        <v>494</v>
      </c>
      <c r="V51">
        <f>VLOOKUP($U51,'[2]AP Balanced'!$Q$1:$T$542,2,FALSE)</f>
        <v>0.77777777777777779</v>
      </c>
      <c r="W51">
        <f>VLOOKUP($U51,'[2]AP Balanced'!$Q$1:$T$542,3,FALSE)</f>
        <v>0.22222222222222221</v>
      </c>
      <c r="X51">
        <f>VLOOKUP($U51,'[2]AP Balanced'!$Q$1:$T$542,4,FALSE)</f>
        <v>0</v>
      </c>
      <c r="Y51" s="77">
        <f t="shared" si="85"/>
        <v>1</v>
      </c>
      <c r="Z51" s="77">
        <f t="shared" si="86"/>
        <v>6.1674999999999987E-2</v>
      </c>
      <c r="AA51" s="77">
        <f t="shared" si="87"/>
        <v>4.9997781870025904E-3</v>
      </c>
      <c r="AB51" s="79">
        <v>1</v>
      </c>
      <c r="AC51" s="77">
        <f t="shared" si="31"/>
        <v>8.0555555555555554E-3</v>
      </c>
      <c r="AD51" s="77">
        <f t="shared" si="17"/>
        <v>6.7378764057135498E-4</v>
      </c>
      <c r="AE51" s="77">
        <f t="shared" si="32"/>
        <v>2.5000000000000001E-3</v>
      </c>
      <c r="AF51" s="77">
        <f t="shared" si="17"/>
        <v>2.0857243058891584E-4</v>
      </c>
      <c r="AH51" t="s">
        <v>175</v>
      </c>
      <c r="AI51" t="s">
        <v>176</v>
      </c>
      <c r="AJ51" s="197" t="str">
        <f t="shared" si="88"/>
        <v>Lifecycle_Balanced_494</v>
      </c>
      <c r="AK51">
        <v>494</v>
      </c>
      <c r="AL51">
        <f>VLOOKUP($U51,[2]Standard_Balanced!$Q$1:$T$542,2,FALSE)</f>
        <v>0.77777777777777779</v>
      </c>
      <c r="AM51">
        <f>VLOOKUP($U51,[2]Standard_Balanced!$Q$1:$T$542,3,FALSE)</f>
        <v>0.22222222222222221</v>
      </c>
      <c r="AN51">
        <f>VLOOKUP($U51,[2]Standard_Balanced!$Q$1:$T$542,4,FALSE)</f>
        <v>0</v>
      </c>
      <c r="AO51" s="77">
        <f t="shared" si="89"/>
        <v>1</v>
      </c>
      <c r="AP51" s="77">
        <f t="shared" si="33"/>
        <v>6.1674999999999987E-2</v>
      </c>
      <c r="AQ51" s="77">
        <f t="shared" si="90"/>
        <v>4.9997781870025904E-3</v>
      </c>
      <c r="AR51" s="79">
        <v>0</v>
      </c>
      <c r="AS51" s="77">
        <f t="shared" si="34"/>
        <v>0</v>
      </c>
      <c r="AT51" s="77">
        <f t="shared" ref="AT51" si="149">1-(1-AS51)^(1/12)</f>
        <v>0</v>
      </c>
      <c r="AU51" s="77">
        <f t="shared" si="36"/>
        <v>2.5000000000000001E-3</v>
      </c>
      <c r="AV51" s="77">
        <f t="shared" ref="AV51" si="150">1-(1-AU51)^(1/12)</f>
        <v>2.0857243058891584E-4</v>
      </c>
      <c r="AX51" t="s">
        <v>178</v>
      </c>
      <c r="AY51" t="s">
        <v>160</v>
      </c>
      <c r="AZ51" s="197" t="str">
        <f t="shared" si="93"/>
        <v>DIS_Non-Standard_494</v>
      </c>
      <c r="BA51">
        <v>494</v>
      </c>
      <c r="BB51">
        <f>VLOOKUP($BA51,'[2]NonStandard DIS'!$Q$1:$X$542,2,FALSE)</f>
        <v>0</v>
      </c>
      <c r="BC51">
        <f>VLOOKUP($BA51,'[2]NonStandard DIS'!$Q$1:$X$542,3,FALSE)</f>
        <v>0</v>
      </c>
      <c r="BD51">
        <f>VLOOKUP($BA51,'[2]NonStandard DIS'!$Q$1:$X$542,4,FALSE)</f>
        <v>0.308</v>
      </c>
      <c r="BE51">
        <f>VLOOKUP($BA51,'[2]NonStandard DIS'!$Q$1:$X$542,5,FALSE)</f>
        <v>0.69199999999999995</v>
      </c>
      <c r="BF51">
        <f>VLOOKUP($BA51,'[2]NonStandard DIS'!$Q$1:$X$542,6,FALSE)</f>
        <v>0</v>
      </c>
      <c r="BG51">
        <f>VLOOKUP($BA51,'[2]NonStandard DIS'!$Q$1:$X$542,7,FALSE)</f>
        <v>0</v>
      </c>
      <c r="BH51">
        <f>VLOOKUP($BA51,'[2]NonStandard DIS'!$Q$1:$X$542,8,FALSE)</f>
        <v>0</v>
      </c>
      <c r="BI51" s="77">
        <f t="shared" si="24"/>
        <v>1</v>
      </c>
      <c r="BJ51" s="77">
        <f t="shared" si="25"/>
        <v>6.9728499999999985E-2</v>
      </c>
      <c r="BK51" s="77">
        <f t="shared" si="94"/>
        <v>5.632878498097682E-3</v>
      </c>
      <c r="BL51" s="79">
        <v>0</v>
      </c>
      <c r="BM51" s="77">
        <f t="shared" si="38"/>
        <v>0</v>
      </c>
      <c r="BN51" s="77">
        <f t="shared" si="39"/>
        <v>0</v>
      </c>
      <c r="BO51" s="77">
        <f t="shared" si="40"/>
        <v>5.6775999999999997E-3</v>
      </c>
      <c r="BP51" s="77">
        <f t="shared" si="41"/>
        <v>4.7190657760731725E-4</v>
      </c>
    </row>
    <row r="52" spans="1:68">
      <c r="A52" t="s">
        <v>175</v>
      </c>
      <c r="B52" t="s">
        <v>176</v>
      </c>
      <c r="C52" s="197" t="str">
        <f t="shared" si="82"/>
        <v>Lifecycle_Balanced_493</v>
      </c>
      <c r="D52">
        <v>493</v>
      </c>
      <c r="E52">
        <f>VLOOKUP($D52,'[2]LC Balanced'!$Q$2:$U$542,2,FALSE)</f>
        <v>0</v>
      </c>
      <c r="F52">
        <f>VLOOKUP($D52,'[2]LC Balanced'!$Q$2:$U$542,3,FALSE)</f>
        <v>0.14899999999999999</v>
      </c>
      <c r="G52">
        <f>VLOOKUP($D52,'[2]LC Balanced'!$Q$2:$U$542,4,FALSE)</f>
        <v>0.85099999999999998</v>
      </c>
      <c r="H52">
        <f>VLOOKUP($D52,'[2]LC Balanced'!$Q$2:$U$542,5,FALSE)</f>
        <v>0</v>
      </c>
      <c r="I52" s="77">
        <f t="shared" si="10"/>
        <v>1</v>
      </c>
      <c r="J52" s="77">
        <f t="shared" si="11"/>
        <v>6.1987699999999986E-2</v>
      </c>
      <c r="K52" s="77">
        <f t="shared" si="83"/>
        <v>5.024442123284345E-3</v>
      </c>
      <c r="L52" s="76">
        <v>0</v>
      </c>
      <c r="M52" s="77">
        <f t="shared" si="27"/>
        <v>0</v>
      </c>
      <c r="N52" s="77">
        <f t="shared" si="28"/>
        <v>0</v>
      </c>
      <c r="O52" s="77">
        <f t="shared" si="29"/>
        <v>7.0062999999999992E-3</v>
      </c>
      <c r="P52" s="77">
        <f t="shared" si="30"/>
        <v>5.85741666996209E-4</v>
      </c>
      <c r="R52" t="s">
        <v>177</v>
      </c>
      <c r="S52" t="s">
        <v>176</v>
      </c>
      <c r="T52" s="197" t="str">
        <f t="shared" si="84"/>
        <v>Autopilot_Balanced_493</v>
      </c>
      <c r="U52">
        <v>493</v>
      </c>
      <c r="V52">
        <f>VLOOKUP($U52,'[2]AP Balanced'!$Q$1:$T$542,2,FALSE)</f>
        <v>0.77777777777777779</v>
      </c>
      <c r="W52">
        <f>VLOOKUP($U52,'[2]AP Balanced'!$Q$1:$T$542,3,FALSE)</f>
        <v>0.22222222222222221</v>
      </c>
      <c r="X52">
        <f>VLOOKUP($U52,'[2]AP Balanced'!$Q$1:$T$542,4,FALSE)</f>
        <v>0</v>
      </c>
      <c r="Y52" s="77">
        <f t="shared" si="85"/>
        <v>1</v>
      </c>
      <c r="Z52" s="77">
        <f t="shared" si="86"/>
        <v>6.1674999999999987E-2</v>
      </c>
      <c r="AA52" s="77">
        <f t="shared" si="87"/>
        <v>4.9997781870025904E-3</v>
      </c>
      <c r="AB52" s="79">
        <v>1</v>
      </c>
      <c r="AC52" s="77">
        <f t="shared" si="31"/>
        <v>8.0555555555555554E-3</v>
      </c>
      <c r="AD52" s="77">
        <f t="shared" si="17"/>
        <v>6.7378764057135498E-4</v>
      </c>
      <c r="AE52" s="77">
        <f t="shared" si="32"/>
        <v>2.5000000000000001E-3</v>
      </c>
      <c r="AF52" s="77">
        <f t="shared" si="17"/>
        <v>2.0857243058891584E-4</v>
      </c>
      <c r="AH52" t="s">
        <v>175</v>
      </c>
      <c r="AI52" t="s">
        <v>176</v>
      </c>
      <c r="AJ52" s="197" t="str">
        <f t="shared" si="88"/>
        <v>Lifecycle_Balanced_493</v>
      </c>
      <c r="AK52">
        <v>493</v>
      </c>
      <c r="AL52">
        <f>VLOOKUP($U52,[2]Standard_Balanced!$Q$1:$T$542,2,FALSE)</f>
        <v>0.77777777777777779</v>
      </c>
      <c r="AM52">
        <f>VLOOKUP($U52,[2]Standard_Balanced!$Q$1:$T$542,3,FALSE)</f>
        <v>0.22222222222222221</v>
      </c>
      <c r="AN52">
        <f>VLOOKUP($U52,[2]Standard_Balanced!$Q$1:$T$542,4,FALSE)</f>
        <v>0</v>
      </c>
      <c r="AO52" s="77">
        <f t="shared" si="89"/>
        <v>1</v>
      </c>
      <c r="AP52" s="77">
        <f t="shared" si="33"/>
        <v>6.1674999999999987E-2</v>
      </c>
      <c r="AQ52" s="77">
        <f t="shared" si="90"/>
        <v>4.9997781870025904E-3</v>
      </c>
      <c r="AR52" s="79">
        <v>0</v>
      </c>
      <c r="AS52" s="77">
        <f t="shared" si="34"/>
        <v>0</v>
      </c>
      <c r="AT52" s="77">
        <f t="shared" ref="AT52" si="151">1-(1-AS52)^(1/12)</f>
        <v>0</v>
      </c>
      <c r="AU52" s="77">
        <f t="shared" si="36"/>
        <v>2.5000000000000001E-3</v>
      </c>
      <c r="AV52" s="77">
        <f t="shared" ref="AV52" si="152">1-(1-AU52)^(1/12)</f>
        <v>2.0857243058891584E-4</v>
      </c>
      <c r="AX52" t="s">
        <v>178</v>
      </c>
      <c r="AY52" t="s">
        <v>160</v>
      </c>
      <c r="AZ52" s="197" t="str">
        <f t="shared" si="93"/>
        <v>DIS_Non-Standard_493</v>
      </c>
      <c r="BA52">
        <v>493</v>
      </c>
      <c r="BB52">
        <f>VLOOKUP($BA52,'[2]NonStandard DIS'!$Q$1:$X$542,2,FALSE)</f>
        <v>0</v>
      </c>
      <c r="BC52">
        <f>VLOOKUP($BA52,'[2]NonStandard DIS'!$Q$1:$X$542,3,FALSE)</f>
        <v>0</v>
      </c>
      <c r="BD52">
        <f>VLOOKUP($BA52,'[2]NonStandard DIS'!$Q$1:$X$542,4,FALSE)</f>
        <v>0.308</v>
      </c>
      <c r="BE52">
        <f>VLOOKUP($BA52,'[2]NonStandard DIS'!$Q$1:$X$542,5,FALSE)</f>
        <v>0.69199999999999995</v>
      </c>
      <c r="BF52">
        <f>VLOOKUP($BA52,'[2]NonStandard DIS'!$Q$1:$X$542,6,FALSE)</f>
        <v>0</v>
      </c>
      <c r="BG52">
        <f>VLOOKUP($BA52,'[2]NonStandard DIS'!$Q$1:$X$542,7,FALSE)</f>
        <v>0</v>
      </c>
      <c r="BH52">
        <f>VLOOKUP($BA52,'[2]NonStandard DIS'!$Q$1:$X$542,8,FALSE)</f>
        <v>0</v>
      </c>
      <c r="BI52" s="77">
        <f t="shared" si="24"/>
        <v>1</v>
      </c>
      <c r="BJ52" s="77">
        <f t="shared" si="25"/>
        <v>6.9728499999999985E-2</v>
      </c>
      <c r="BK52" s="77">
        <f t="shared" si="94"/>
        <v>5.632878498097682E-3</v>
      </c>
      <c r="BL52" s="79">
        <v>0</v>
      </c>
      <c r="BM52" s="77">
        <f t="shared" si="38"/>
        <v>0</v>
      </c>
      <c r="BN52" s="77">
        <f t="shared" si="39"/>
        <v>0</v>
      </c>
      <c r="BO52" s="77">
        <f t="shared" si="40"/>
        <v>5.6775999999999997E-3</v>
      </c>
      <c r="BP52" s="77">
        <f t="shared" si="41"/>
        <v>4.7190657760731725E-4</v>
      </c>
    </row>
    <row r="53" spans="1:68">
      <c r="A53" t="s">
        <v>175</v>
      </c>
      <c r="B53" t="s">
        <v>176</v>
      </c>
      <c r="C53" s="197" t="str">
        <f t="shared" si="82"/>
        <v>Lifecycle_Balanced_492</v>
      </c>
      <c r="D53">
        <v>492</v>
      </c>
      <c r="E53">
        <f>VLOOKUP($D53,'[2]LC Balanced'!$Q$2:$U$542,2,FALSE)</f>
        <v>0</v>
      </c>
      <c r="F53">
        <f>VLOOKUP($D53,'[2]LC Balanced'!$Q$2:$U$542,3,FALSE)</f>
        <v>0.14899999999999999</v>
      </c>
      <c r="G53">
        <f>VLOOKUP($D53,'[2]LC Balanced'!$Q$2:$U$542,4,FALSE)</f>
        <v>0.85099999999999998</v>
      </c>
      <c r="H53">
        <f>VLOOKUP($D53,'[2]LC Balanced'!$Q$2:$U$542,5,FALSE)</f>
        <v>0</v>
      </c>
      <c r="I53" s="77">
        <f t="shared" si="10"/>
        <v>1</v>
      </c>
      <c r="J53" s="77">
        <f t="shared" si="11"/>
        <v>6.1987699999999986E-2</v>
      </c>
      <c r="K53" s="77">
        <f t="shared" si="83"/>
        <v>5.024442123284345E-3</v>
      </c>
      <c r="L53" s="76">
        <v>0</v>
      </c>
      <c r="M53" s="77">
        <f t="shared" si="27"/>
        <v>0</v>
      </c>
      <c r="N53" s="77">
        <f t="shared" si="28"/>
        <v>0</v>
      </c>
      <c r="O53" s="77">
        <f t="shared" si="29"/>
        <v>7.0062999999999992E-3</v>
      </c>
      <c r="P53" s="77">
        <f t="shared" si="30"/>
        <v>5.85741666996209E-4</v>
      </c>
      <c r="R53" t="s">
        <v>177</v>
      </c>
      <c r="S53" t="s">
        <v>176</v>
      </c>
      <c r="T53" s="197" t="str">
        <f t="shared" si="84"/>
        <v>Autopilot_Balanced_492</v>
      </c>
      <c r="U53">
        <v>492</v>
      </c>
      <c r="V53">
        <f>VLOOKUP($U53,'[2]AP Balanced'!$Q$1:$T$542,2,FALSE)</f>
        <v>0.77777777777777779</v>
      </c>
      <c r="W53">
        <f>VLOOKUP($U53,'[2]AP Balanced'!$Q$1:$T$542,3,FALSE)</f>
        <v>0.22222222222222221</v>
      </c>
      <c r="X53">
        <f>VLOOKUP($U53,'[2]AP Balanced'!$Q$1:$T$542,4,FALSE)</f>
        <v>0</v>
      </c>
      <c r="Y53" s="77">
        <f t="shared" si="85"/>
        <v>1</v>
      </c>
      <c r="Z53" s="77">
        <f t="shared" si="86"/>
        <v>6.1674999999999987E-2</v>
      </c>
      <c r="AA53" s="77">
        <f t="shared" si="87"/>
        <v>4.9997781870025904E-3</v>
      </c>
      <c r="AB53" s="79">
        <v>1</v>
      </c>
      <c r="AC53" s="77">
        <f t="shared" si="31"/>
        <v>8.0555555555555554E-3</v>
      </c>
      <c r="AD53" s="77">
        <f t="shared" si="17"/>
        <v>6.7378764057135498E-4</v>
      </c>
      <c r="AE53" s="77">
        <f t="shared" si="32"/>
        <v>2.5000000000000001E-3</v>
      </c>
      <c r="AF53" s="77">
        <f t="shared" si="17"/>
        <v>2.0857243058891584E-4</v>
      </c>
      <c r="AH53" t="s">
        <v>175</v>
      </c>
      <c r="AI53" t="s">
        <v>176</v>
      </c>
      <c r="AJ53" s="197" t="str">
        <f t="shared" si="88"/>
        <v>Lifecycle_Balanced_492</v>
      </c>
      <c r="AK53">
        <v>492</v>
      </c>
      <c r="AL53">
        <f>VLOOKUP($U53,[2]Standard_Balanced!$Q$1:$T$542,2,FALSE)</f>
        <v>0.77777777777777779</v>
      </c>
      <c r="AM53">
        <f>VLOOKUP($U53,[2]Standard_Balanced!$Q$1:$T$542,3,FALSE)</f>
        <v>0.22222222222222221</v>
      </c>
      <c r="AN53">
        <f>VLOOKUP($U53,[2]Standard_Balanced!$Q$1:$T$542,4,FALSE)</f>
        <v>0</v>
      </c>
      <c r="AO53" s="77">
        <f t="shared" si="89"/>
        <v>1</v>
      </c>
      <c r="AP53" s="77">
        <f t="shared" si="33"/>
        <v>6.1674999999999987E-2</v>
      </c>
      <c r="AQ53" s="77">
        <f t="shared" si="90"/>
        <v>4.9997781870025904E-3</v>
      </c>
      <c r="AR53" s="79">
        <v>0</v>
      </c>
      <c r="AS53" s="77">
        <f t="shared" si="34"/>
        <v>0</v>
      </c>
      <c r="AT53" s="77">
        <f t="shared" ref="AT53" si="153">1-(1-AS53)^(1/12)</f>
        <v>0</v>
      </c>
      <c r="AU53" s="77">
        <f t="shared" si="36"/>
        <v>2.5000000000000001E-3</v>
      </c>
      <c r="AV53" s="77">
        <f t="shared" ref="AV53" si="154">1-(1-AU53)^(1/12)</f>
        <v>2.0857243058891584E-4</v>
      </c>
      <c r="AX53" t="s">
        <v>178</v>
      </c>
      <c r="AY53" t="s">
        <v>160</v>
      </c>
      <c r="AZ53" s="197" t="str">
        <f t="shared" si="93"/>
        <v>DIS_Non-Standard_492</v>
      </c>
      <c r="BA53">
        <v>492</v>
      </c>
      <c r="BB53">
        <f>VLOOKUP($BA53,'[2]NonStandard DIS'!$Q$1:$X$542,2,FALSE)</f>
        <v>0</v>
      </c>
      <c r="BC53">
        <f>VLOOKUP($BA53,'[2]NonStandard DIS'!$Q$1:$X$542,3,FALSE)</f>
        <v>0</v>
      </c>
      <c r="BD53">
        <f>VLOOKUP($BA53,'[2]NonStandard DIS'!$Q$1:$X$542,4,FALSE)</f>
        <v>0.308</v>
      </c>
      <c r="BE53">
        <f>VLOOKUP($BA53,'[2]NonStandard DIS'!$Q$1:$X$542,5,FALSE)</f>
        <v>0.69199999999999995</v>
      </c>
      <c r="BF53">
        <f>VLOOKUP($BA53,'[2]NonStandard DIS'!$Q$1:$X$542,6,FALSE)</f>
        <v>0</v>
      </c>
      <c r="BG53">
        <f>VLOOKUP($BA53,'[2]NonStandard DIS'!$Q$1:$X$542,7,FALSE)</f>
        <v>0</v>
      </c>
      <c r="BH53">
        <f>VLOOKUP($BA53,'[2]NonStandard DIS'!$Q$1:$X$542,8,FALSE)</f>
        <v>0</v>
      </c>
      <c r="BI53" s="77">
        <f t="shared" si="24"/>
        <v>1</v>
      </c>
      <c r="BJ53" s="77">
        <f t="shared" si="25"/>
        <v>6.9728499999999985E-2</v>
      </c>
      <c r="BK53" s="77">
        <f t="shared" si="94"/>
        <v>5.632878498097682E-3</v>
      </c>
      <c r="BL53" s="79">
        <v>0</v>
      </c>
      <c r="BM53" s="77">
        <f t="shared" si="38"/>
        <v>0</v>
      </c>
      <c r="BN53" s="77">
        <f t="shared" si="39"/>
        <v>0</v>
      </c>
      <c r="BO53" s="77">
        <f t="shared" si="40"/>
        <v>5.6775999999999997E-3</v>
      </c>
      <c r="BP53" s="77">
        <f t="shared" si="41"/>
        <v>4.7190657760731725E-4</v>
      </c>
    </row>
    <row r="54" spans="1:68">
      <c r="A54" t="s">
        <v>175</v>
      </c>
      <c r="B54" t="s">
        <v>176</v>
      </c>
      <c r="C54" s="197" t="str">
        <f t="shared" si="82"/>
        <v>Lifecycle_Balanced_491</v>
      </c>
      <c r="D54">
        <v>491</v>
      </c>
      <c r="E54">
        <f>VLOOKUP($D54,'[2]LC Balanced'!$Q$2:$U$542,2,FALSE)</f>
        <v>0</v>
      </c>
      <c r="F54">
        <f>VLOOKUP($D54,'[2]LC Balanced'!$Q$2:$U$542,3,FALSE)</f>
        <v>0.14899999999999999</v>
      </c>
      <c r="G54">
        <f>VLOOKUP($D54,'[2]LC Balanced'!$Q$2:$U$542,4,FALSE)</f>
        <v>0.85099999999999998</v>
      </c>
      <c r="H54">
        <f>VLOOKUP($D54,'[2]LC Balanced'!$Q$2:$U$542,5,FALSE)</f>
        <v>0</v>
      </c>
      <c r="I54" s="77">
        <f t="shared" si="10"/>
        <v>1</v>
      </c>
      <c r="J54" s="77">
        <f t="shared" si="11"/>
        <v>6.1987699999999986E-2</v>
      </c>
      <c r="K54" s="77">
        <f t="shared" si="83"/>
        <v>5.024442123284345E-3</v>
      </c>
      <c r="L54" s="76">
        <v>0</v>
      </c>
      <c r="M54" s="77">
        <f t="shared" si="27"/>
        <v>0</v>
      </c>
      <c r="N54" s="77">
        <f t="shared" si="28"/>
        <v>0</v>
      </c>
      <c r="O54" s="77">
        <f t="shared" si="29"/>
        <v>7.0062999999999992E-3</v>
      </c>
      <c r="P54" s="77">
        <f t="shared" si="30"/>
        <v>5.85741666996209E-4</v>
      </c>
      <c r="R54" t="s">
        <v>177</v>
      </c>
      <c r="S54" t="s">
        <v>176</v>
      </c>
      <c r="T54" s="197" t="str">
        <f t="shared" si="84"/>
        <v>Autopilot_Balanced_491</v>
      </c>
      <c r="U54">
        <v>491</v>
      </c>
      <c r="V54">
        <f>VLOOKUP($U54,'[2]AP Balanced'!$Q$1:$T$542,2,FALSE)</f>
        <v>0.77777777777777779</v>
      </c>
      <c r="W54">
        <f>VLOOKUP($U54,'[2]AP Balanced'!$Q$1:$T$542,3,FALSE)</f>
        <v>0.22222222222222221</v>
      </c>
      <c r="X54">
        <f>VLOOKUP($U54,'[2]AP Balanced'!$Q$1:$T$542,4,FALSE)</f>
        <v>0</v>
      </c>
      <c r="Y54" s="77">
        <f t="shared" si="85"/>
        <v>1</v>
      </c>
      <c r="Z54" s="77">
        <f t="shared" si="86"/>
        <v>6.1674999999999987E-2</v>
      </c>
      <c r="AA54" s="77">
        <f t="shared" si="87"/>
        <v>4.9997781870025904E-3</v>
      </c>
      <c r="AB54" s="79">
        <v>1</v>
      </c>
      <c r="AC54" s="77">
        <f t="shared" si="31"/>
        <v>8.0555555555555554E-3</v>
      </c>
      <c r="AD54" s="77">
        <f t="shared" si="17"/>
        <v>6.7378764057135498E-4</v>
      </c>
      <c r="AE54" s="77">
        <f t="shared" si="32"/>
        <v>2.5000000000000001E-3</v>
      </c>
      <c r="AF54" s="77">
        <f t="shared" si="17"/>
        <v>2.0857243058891584E-4</v>
      </c>
      <c r="AH54" t="s">
        <v>175</v>
      </c>
      <c r="AI54" t="s">
        <v>176</v>
      </c>
      <c r="AJ54" s="197" t="str">
        <f t="shared" si="88"/>
        <v>Lifecycle_Balanced_491</v>
      </c>
      <c r="AK54">
        <v>491</v>
      </c>
      <c r="AL54">
        <f>VLOOKUP($U54,[2]Standard_Balanced!$Q$1:$T$542,2,FALSE)</f>
        <v>0.77777777777777779</v>
      </c>
      <c r="AM54">
        <f>VLOOKUP($U54,[2]Standard_Balanced!$Q$1:$T$542,3,FALSE)</f>
        <v>0.22222222222222221</v>
      </c>
      <c r="AN54">
        <f>VLOOKUP($U54,[2]Standard_Balanced!$Q$1:$T$542,4,FALSE)</f>
        <v>0</v>
      </c>
      <c r="AO54" s="77">
        <f t="shared" si="89"/>
        <v>1</v>
      </c>
      <c r="AP54" s="77">
        <f t="shared" si="33"/>
        <v>6.1674999999999987E-2</v>
      </c>
      <c r="AQ54" s="77">
        <f t="shared" si="90"/>
        <v>4.9997781870025904E-3</v>
      </c>
      <c r="AR54" s="79">
        <v>0</v>
      </c>
      <c r="AS54" s="77">
        <f t="shared" si="34"/>
        <v>0</v>
      </c>
      <c r="AT54" s="77">
        <f t="shared" ref="AT54" si="155">1-(1-AS54)^(1/12)</f>
        <v>0</v>
      </c>
      <c r="AU54" s="77">
        <f t="shared" si="36"/>
        <v>2.5000000000000001E-3</v>
      </c>
      <c r="AV54" s="77">
        <f t="shared" ref="AV54" si="156">1-(1-AU54)^(1/12)</f>
        <v>2.0857243058891584E-4</v>
      </c>
      <c r="AX54" t="s">
        <v>178</v>
      </c>
      <c r="AY54" t="s">
        <v>160</v>
      </c>
      <c r="AZ54" s="197" t="str">
        <f t="shared" si="93"/>
        <v>DIS_Non-Standard_491</v>
      </c>
      <c r="BA54">
        <v>491</v>
      </c>
      <c r="BB54">
        <f>VLOOKUP($BA54,'[2]NonStandard DIS'!$Q$1:$X$542,2,FALSE)</f>
        <v>0</v>
      </c>
      <c r="BC54">
        <f>VLOOKUP($BA54,'[2]NonStandard DIS'!$Q$1:$X$542,3,FALSE)</f>
        <v>0</v>
      </c>
      <c r="BD54">
        <f>VLOOKUP($BA54,'[2]NonStandard DIS'!$Q$1:$X$542,4,FALSE)</f>
        <v>0.308</v>
      </c>
      <c r="BE54">
        <f>VLOOKUP($BA54,'[2]NonStandard DIS'!$Q$1:$X$542,5,FALSE)</f>
        <v>0.69199999999999995</v>
      </c>
      <c r="BF54">
        <f>VLOOKUP($BA54,'[2]NonStandard DIS'!$Q$1:$X$542,6,FALSE)</f>
        <v>0</v>
      </c>
      <c r="BG54">
        <f>VLOOKUP($BA54,'[2]NonStandard DIS'!$Q$1:$X$542,7,FALSE)</f>
        <v>0</v>
      </c>
      <c r="BH54">
        <f>VLOOKUP($BA54,'[2]NonStandard DIS'!$Q$1:$X$542,8,FALSE)</f>
        <v>0</v>
      </c>
      <c r="BI54" s="77">
        <f t="shared" si="24"/>
        <v>1</v>
      </c>
      <c r="BJ54" s="77">
        <f t="shared" si="25"/>
        <v>6.9728499999999985E-2</v>
      </c>
      <c r="BK54" s="77">
        <f t="shared" si="94"/>
        <v>5.632878498097682E-3</v>
      </c>
      <c r="BL54" s="79">
        <v>0</v>
      </c>
      <c r="BM54" s="77">
        <f t="shared" si="38"/>
        <v>0</v>
      </c>
      <c r="BN54" s="77">
        <f t="shared" si="39"/>
        <v>0</v>
      </c>
      <c r="BO54" s="77">
        <f t="shared" si="40"/>
        <v>5.6775999999999997E-3</v>
      </c>
      <c r="BP54" s="77">
        <f t="shared" si="41"/>
        <v>4.7190657760731725E-4</v>
      </c>
    </row>
    <row r="55" spans="1:68">
      <c r="A55" t="s">
        <v>175</v>
      </c>
      <c r="B55" t="s">
        <v>176</v>
      </c>
      <c r="C55" s="197" t="str">
        <f t="shared" si="82"/>
        <v>Lifecycle_Balanced_490</v>
      </c>
      <c r="D55">
        <v>490</v>
      </c>
      <c r="E55">
        <f>VLOOKUP($D55,'[2]LC Balanced'!$Q$2:$U$542,2,FALSE)</f>
        <v>0</v>
      </c>
      <c r="F55">
        <f>VLOOKUP($D55,'[2]LC Balanced'!$Q$2:$U$542,3,FALSE)</f>
        <v>0.14899999999999999</v>
      </c>
      <c r="G55">
        <f>VLOOKUP($D55,'[2]LC Balanced'!$Q$2:$U$542,4,FALSE)</f>
        <v>0.85099999999999998</v>
      </c>
      <c r="H55">
        <f>VLOOKUP($D55,'[2]LC Balanced'!$Q$2:$U$542,5,FALSE)</f>
        <v>0</v>
      </c>
      <c r="I55" s="77">
        <f t="shared" si="10"/>
        <v>1</v>
      </c>
      <c r="J55" s="77">
        <f t="shared" si="11"/>
        <v>6.1987699999999986E-2</v>
      </c>
      <c r="K55" s="77">
        <f t="shared" si="83"/>
        <v>5.024442123284345E-3</v>
      </c>
      <c r="L55" s="76">
        <v>0</v>
      </c>
      <c r="M55" s="77">
        <f t="shared" si="27"/>
        <v>0</v>
      </c>
      <c r="N55" s="77">
        <f t="shared" si="28"/>
        <v>0</v>
      </c>
      <c r="O55" s="77">
        <f t="shared" si="29"/>
        <v>7.0062999999999992E-3</v>
      </c>
      <c r="P55" s="77">
        <f t="shared" si="30"/>
        <v>5.85741666996209E-4</v>
      </c>
      <c r="R55" t="s">
        <v>177</v>
      </c>
      <c r="S55" t="s">
        <v>176</v>
      </c>
      <c r="T55" s="197" t="str">
        <f t="shared" si="84"/>
        <v>Autopilot_Balanced_490</v>
      </c>
      <c r="U55">
        <v>490</v>
      </c>
      <c r="V55">
        <f>VLOOKUP($U55,'[2]AP Balanced'!$Q$1:$T$542,2,FALSE)</f>
        <v>0.77777777777777779</v>
      </c>
      <c r="W55">
        <f>VLOOKUP($U55,'[2]AP Balanced'!$Q$1:$T$542,3,FALSE)</f>
        <v>0.22222222222222221</v>
      </c>
      <c r="X55">
        <f>VLOOKUP($U55,'[2]AP Balanced'!$Q$1:$T$542,4,FALSE)</f>
        <v>0</v>
      </c>
      <c r="Y55" s="77">
        <f t="shared" si="85"/>
        <v>1</v>
      </c>
      <c r="Z55" s="77">
        <f t="shared" si="86"/>
        <v>6.1674999999999987E-2</v>
      </c>
      <c r="AA55" s="77">
        <f t="shared" si="87"/>
        <v>4.9997781870025904E-3</v>
      </c>
      <c r="AB55" s="79">
        <v>1</v>
      </c>
      <c r="AC55" s="77">
        <f t="shared" si="31"/>
        <v>8.0555555555555554E-3</v>
      </c>
      <c r="AD55" s="77">
        <f t="shared" si="17"/>
        <v>6.7378764057135498E-4</v>
      </c>
      <c r="AE55" s="77">
        <f t="shared" si="32"/>
        <v>2.5000000000000001E-3</v>
      </c>
      <c r="AF55" s="77">
        <f t="shared" si="17"/>
        <v>2.0857243058891584E-4</v>
      </c>
      <c r="AH55" t="s">
        <v>175</v>
      </c>
      <c r="AI55" t="s">
        <v>176</v>
      </c>
      <c r="AJ55" s="197" t="str">
        <f t="shared" si="88"/>
        <v>Lifecycle_Balanced_490</v>
      </c>
      <c r="AK55">
        <v>490</v>
      </c>
      <c r="AL55">
        <f>VLOOKUP($U55,[2]Standard_Balanced!$Q$1:$T$542,2,FALSE)</f>
        <v>0.77777777777777779</v>
      </c>
      <c r="AM55">
        <f>VLOOKUP($U55,[2]Standard_Balanced!$Q$1:$T$542,3,FALSE)</f>
        <v>0.22222222222222221</v>
      </c>
      <c r="AN55">
        <f>VLOOKUP($U55,[2]Standard_Balanced!$Q$1:$T$542,4,FALSE)</f>
        <v>0</v>
      </c>
      <c r="AO55" s="77">
        <f t="shared" si="89"/>
        <v>1</v>
      </c>
      <c r="AP55" s="77">
        <f t="shared" si="33"/>
        <v>6.1674999999999987E-2</v>
      </c>
      <c r="AQ55" s="77">
        <f t="shared" si="90"/>
        <v>4.9997781870025904E-3</v>
      </c>
      <c r="AR55" s="79">
        <v>0</v>
      </c>
      <c r="AS55" s="77">
        <f t="shared" si="34"/>
        <v>0</v>
      </c>
      <c r="AT55" s="77">
        <f t="shared" ref="AT55" si="157">1-(1-AS55)^(1/12)</f>
        <v>0</v>
      </c>
      <c r="AU55" s="77">
        <f t="shared" si="36"/>
        <v>2.5000000000000001E-3</v>
      </c>
      <c r="AV55" s="77">
        <f t="shared" ref="AV55" si="158">1-(1-AU55)^(1/12)</f>
        <v>2.0857243058891584E-4</v>
      </c>
      <c r="AX55" t="s">
        <v>178</v>
      </c>
      <c r="AY55" t="s">
        <v>160</v>
      </c>
      <c r="AZ55" s="197" t="str">
        <f t="shared" si="93"/>
        <v>DIS_Non-Standard_490</v>
      </c>
      <c r="BA55">
        <v>490</v>
      </c>
      <c r="BB55">
        <f>VLOOKUP($BA55,'[2]NonStandard DIS'!$Q$1:$X$542,2,FALSE)</f>
        <v>0</v>
      </c>
      <c r="BC55">
        <f>VLOOKUP($BA55,'[2]NonStandard DIS'!$Q$1:$X$542,3,FALSE)</f>
        <v>0</v>
      </c>
      <c r="BD55">
        <f>VLOOKUP($BA55,'[2]NonStandard DIS'!$Q$1:$X$542,4,FALSE)</f>
        <v>0.308</v>
      </c>
      <c r="BE55">
        <f>VLOOKUP($BA55,'[2]NonStandard DIS'!$Q$1:$X$542,5,FALSE)</f>
        <v>0.69199999999999995</v>
      </c>
      <c r="BF55">
        <f>VLOOKUP($BA55,'[2]NonStandard DIS'!$Q$1:$X$542,6,FALSE)</f>
        <v>0</v>
      </c>
      <c r="BG55">
        <f>VLOOKUP($BA55,'[2]NonStandard DIS'!$Q$1:$X$542,7,FALSE)</f>
        <v>0</v>
      </c>
      <c r="BH55">
        <f>VLOOKUP($BA55,'[2]NonStandard DIS'!$Q$1:$X$542,8,FALSE)</f>
        <v>0</v>
      </c>
      <c r="BI55" s="77">
        <f t="shared" si="24"/>
        <v>1</v>
      </c>
      <c r="BJ55" s="77">
        <f t="shared" si="25"/>
        <v>6.9728499999999985E-2</v>
      </c>
      <c r="BK55" s="77">
        <f t="shared" si="94"/>
        <v>5.632878498097682E-3</v>
      </c>
      <c r="BL55" s="79">
        <v>0</v>
      </c>
      <c r="BM55" s="77">
        <f t="shared" si="38"/>
        <v>0</v>
      </c>
      <c r="BN55" s="77">
        <f t="shared" si="39"/>
        <v>0</v>
      </c>
      <c r="BO55" s="77">
        <f t="shared" si="40"/>
        <v>5.6775999999999997E-3</v>
      </c>
      <c r="BP55" s="77">
        <f t="shared" si="41"/>
        <v>4.7190657760731725E-4</v>
      </c>
    </row>
    <row r="56" spans="1:68">
      <c r="A56" t="s">
        <v>175</v>
      </c>
      <c r="B56" t="s">
        <v>176</v>
      </c>
      <c r="C56" s="197" t="str">
        <f t="shared" si="82"/>
        <v>Lifecycle_Balanced_489</v>
      </c>
      <c r="D56">
        <v>489</v>
      </c>
      <c r="E56">
        <f>VLOOKUP($D56,'[2]LC Balanced'!$Q$2:$U$542,2,FALSE)</f>
        <v>0</v>
      </c>
      <c r="F56">
        <f>VLOOKUP($D56,'[2]LC Balanced'!$Q$2:$U$542,3,FALSE)</f>
        <v>0.14899999999999999</v>
      </c>
      <c r="G56">
        <f>VLOOKUP($D56,'[2]LC Balanced'!$Q$2:$U$542,4,FALSE)</f>
        <v>0.85099999999999998</v>
      </c>
      <c r="H56">
        <f>VLOOKUP($D56,'[2]LC Balanced'!$Q$2:$U$542,5,FALSE)</f>
        <v>0</v>
      </c>
      <c r="I56" s="77">
        <f t="shared" si="10"/>
        <v>1</v>
      </c>
      <c r="J56" s="77">
        <f t="shared" si="11"/>
        <v>6.1987699999999986E-2</v>
      </c>
      <c r="K56" s="77">
        <f t="shared" si="83"/>
        <v>5.024442123284345E-3</v>
      </c>
      <c r="L56" s="76">
        <v>0</v>
      </c>
      <c r="M56" s="77">
        <f t="shared" si="27"/>
        <v>0</v>
      </c>
      <c r="N56" s="77">
        <f t="shared" si="28"/>
        <v>0</v>
      </c>
      <c r="O56" s="77">
        <f t="shared" si="29"/>
        <v>7.0062999999999992E-3</v>
      </c>
      <c r="P56" s="77">
        <f t="shared" si="30"/>
        <v>5.85741666996209E-4</v>
      </c>
      <c r="R56" t="s">
        <v>177</v>
      </c>
      <c r="S56" t="s">
        <v>176</v>
      </c>
      <c r="T56" s="197" t="str">
        <f t="shared" si="84"/>
        <v>Autopilot_Balanced_489</v>
      </c>
      <c r="U56">
        <v>489</v>
      </c>
      <c r="V56">
        <f>VLOOKUP($U56,'[2]AP Balanced'!$Q$1:$T$542,2,FALSE)</f>
        <v>0.77777777777777779</v>
      </c>
      <c r="W56">
        <f>VLOOKUP($U56,'[2]AP Balanced'!$Q$1:$T$542,3,FALSE)</f>
        <v>0.22222222222222221</v>
      </c>
      <c r="X56">
        <f>VLOOKUP($U56,'[2]AP Balanced'!$Q$1:$T$542,4,FALSE)</f>
        <v>0</v>
      </c>
      <c r="Y56" s="77">
        <f t="shared" si="85"/>
        <v>1</v>
      </c>
      <c r="Z56" s="77">
        <f t="shared" si="86"/>
        <v>6.1674999999999987E-2</v>
      </c>
      <c r="AA56" s="77">
        <f t="shared" si="87"/>
        <v>4.9997781870025904E-3</v>
      </c>
      <c r="AB56" s="79">
        <v>1</v>
      </c>
      <c r="AC56" s="77">
        <f t="shared" si="31"/>
        <v>8.0555555555555554E-3</v>
      </c>
      <c r="AD56" s="77">
        <f t="shared" si="17"/>
        <v>6.7378764057135498E-4</v>
      </c>
      <c r="AE56" s="77">
        <f t="shared" si="32"/>
        <v>2.5000000000000001E-3</v>
      </c>
      <c r="AF56" s="77">
        <f t="shared" si="17"/>
        <v>2.0857243058891584E-4</v>
      </c>
      <c r="AH56" t="s">
        <v>175</v>
      </c>
      <c r="AI56" t="s">
        <v>176</v>
      </c>
      <c r="AJ56" s="197" t="str">
        <f t="shared" si="88"/>
        <v>Lifecycle_Balanced_489</v>
      </c>
      <c r="AK56">
        <v>489</v>
      </c>
      <c r="AL56">
        <f>VLOOKUP($U56,[2]Standard_Balanced!$Q$1:$T$542,2,FALSE)</f>
        <v>0.77777777777777779</v>
      </c>
      <c r="AM56">
        <f>VLOOKUP($U56,[2]Standard_Balanced!$Q$1:$T$542,3,FALSE)</f>
        <v>0.22222222222222221</v>
      </c>
      <c r="AN56">
        <f>VLOOKUP($U56,[2]Standard_Balanced!$Q$1:$T$542,4,FALSE)</f>
        <v>0</v>
      </c>
      <c r="AO56" s="77">
        <f t="shared" si="89"/>
        <v>1</v>
      </c>
      <c r="AP56" s="77">
        <f t="shared" si="33"/>
        <v>6.1674999999999987E-2</v>
      </c>
      <c r="AQ56" s="77">
        <f t="shared" si="90"/>
        <v>4.9997781870025904E-3</v>
      </c>
      <c r="AR56" s="79">
        <v>0</v>
      </c>
      <c r="AS56" s="77">
        <f t="shared" si="34"/>
        <v>0</v>
      </c>
      <c r="AT56" s="77">
        <f t="shared" ref="AT56" si="159">1-(1-AS56)^(1/12)</f>
        <v>0</v>
      </c>
      <c r="AU56" s="77">
        <f t="shared" si="36"/>
        <v>2.5000000000000001E-3</v>
      </c>
      <c r="AV56" s="77">
        <f t="shared" ref="AV56" si="160">1-(1-AU56)^(1/12)</f>
        <v>2.0857243058891584E-4</v>
      </c>
      <c r="AX56" t="s">
        <v>178</v>
      </c>
      <c r="AY56" t="s">
        <v>160</v>
      </c>
      <c r="AZ56" s="197" t="str">
        <f t="shared" si="93"/>
        <v>DIS_Non-Standard_489</v>
      </c>
      <c r="BA56">
        <v>489</v>
      </c>
      <c r="BB56">
        <f>VLOOKUP($BA56,'[2]NonStandard DIS'!$Q$1:$X$542,2,FALSE)</f>
        <v>0</v>
      </c>
      <c r="BC56">
        <f>VLOOKUP($BA56,'[2]NonStandard DIS'!$Q$1:$X$542,3,FALSE)</f>
        <v>0</v>
      </c>
      <c r="BD56">
        <f>VLOOKUP($BA56,'[2]NonStandard DIS'!$Q$1:$X$542,4,FALSE)</f>
        <v>0.308</v>
      </c>
      <c r="BE56">
        <f>VLOOKUP($BA56,'[2]NonStandard DIS'!$Q$1:$X$542,5,FALSE)</f>
        <v>0.69199999999999995</v>
      </c>
      <c r="BF56">
        <f>VLOOKUP($BA56,'[2]NonStandard DIS'!$Q$1:$X$542,6,FALSE)</f>
        <v>0</v>
      </c>
      <c r="BG56">
        <f>VLOOKUP($BA56,'[2]NonStandard DIS'!$Q$1:$X$542,7,FALSE)</f>
        <v>0</v>
      </c>
      <c r="BH56">
        <f>VLOOKUP($BA56,'[2]NonStandard DIS'!$Q$1:$X$542,8,FALSE)</f>
        <v>0</v>
      </c>
      <c r="BI56" s="77">
        <f t="shared" si="24"/>
        <v>1</v>
      </c>
      <c r="BJ56" s="77">
        <f t="shared" si="25"/>
        <v>6.9728499999999985E-2</v>
      </c>
      <c r="BK56" s="77">
        <f t="shared" si="94"/>
        <v>5.632878498097682E-3</v>
      </c>
      <c r="BL56" s="79">
        <v>0</v>
      </c>
      <c r="BM56" s="77">
        <f t="shared" si="38"/>
        <v>0</v>
      </c>
      <c r="BN56" s="77">
        <f t="shared" si="39"/>
        <v>0</v>
      </c>
      <c r="BO56" s="77">
        <f t="shared" si="40"/>
        <v>5.6775999999999997E-3</v>
      </c>
      <c r="BP56" s="77">
        <f t="shared" si="41"/>
        <v>4.7190657760731725E-4</v>
      </c>
    </row>
    <row r="57" spans="1:68">
      <c r="A57" t="s">
        <v>175</v>
      </c>
      <c r="B57" t="s">
        <v>176</v>
      </c>
      <c r="C57" s="197" t="str">
        <f t="shared" si="82"/>
        <v>Lifecycle_Balanced_488</v>
      </c>
      <c r="D57">
        <v>488</v>
      </c>
      <c r="E57">
        <f>VLOOKUP($D57,'[2]LC Balanced'!$Q$2:$U$542,2,FALSE)</f>
        <v>0</v>
      </c>
      <c r="F57">
        <f>VLOOKUP($D57,'[2]LC Balanced'!$Q$2:$U$542,3,FALSE)</f>
        <v>0.14899999999999999</v>
      </c>
      <c r="G57">
        <f>VLOOKUP($D57,'[2]LC Balanced'!$Q$2:$U$542,4,FALSE)</f>
        <v>0.85099999999999998</v>
      </c>
      <c r="H57">
        <f>VLOOKUP($D57,'[2]LC Balanced'!$Q$2:$U$542,5,FALSE)</f>
        <v>0</v>
      </c>
      <c r="I57" s="77">
        <f t="shared" si="10"/>
        <v>1</v>
      </c>
      <c r="J57" s="77">
        <f t="shared" si="11"/>
        <v>6.1987699999999986E-2</v>
      </c>
      <c r="K57" s="77">
        <f t="shared" si="83"/>
        <v>5.024442123284345E-3</v>
      </c>
      <c r="L57" s="76">
        <v>0</v>
      </c>
      <c r="M57" s="77">
        <f t="shared" si="27"/>
        <v>0</v>
      </c>
      <c r="N57" s="77">
        <f t="shared" si="28"/>
        <v>0</v>
      </c>
      <c r="O57" s="77">
        <f t="shared" si="29"/>
        <v>7.0062999999999992E-3</v>
      </c>
      <c r="P57" s="77">
        <f t="shared" si="30"/>
        <v>5.85741666996209E-4</v>
      </c>
      <c r="R57" t="s">
        <v>177</v>
      </c>
      <c r="S57" t="s">
        <v>176</v>
      </c>
      <c r="T57" s="197" t="str">
        <f t="shared" si="84"/>
        <v>Autopilot_Balanced_488</v>
      </c>
      <c r="U57">
        <v>488</v>
      </c>
      <c r="V57">
        <f>VLOOKUP($U57,'[2]AP Balanced'!$Q$1:$T$542,2,FALSE)</f>
        <v>0.77777777777777779</v>
      </c>
      <c r="W57">
        <f>VLOOKUP($U57,'[2]AP Balanced'!$Q$1:$T$542,3,FALSE)</f>
        <v>0.22222222222222221</v>
      </c>
      <c r="X57">
        <f>VLOOKUP($U57,'[2]AP Balanced'!$Q$1:$T$542,4,FALSE)</f>
        <v>0</v>
      </c>
      <c r="Y57" s="77">
        <f t="shared" si="85"/>
        <v>1</v>
      </c>
      <c r="Z57" s="77">
        <f t="shared" si="86"/>
        <v>6.1674999999999987E-2</v>
      </c>
      <c r="AA57" s="77">
        <f t="shared" si="87"/>
        <v>4.9997781870025904E-3</v>
      </c>
      <c r="AB57" s="79">
        <v>1</v>
      </c>
      <c r="AC57" s="77">
        <f t="shared" si="31"/>
        <v>8.0555555555555554E-3</v>
      </c>
      <c r="AD57" s="77">
        <f t="shared" si="17"/>
        <v>6.7378764057135498E-4</v>
      </c>
      <c r="AE57" s="77">
        <f t="shared" si="32"/>
        <v>2.5000000000000001E-3</v>
      </c>
      <c r="AF57" s="77">
        <f t="shared" si="17"/>
        <v>2.0857243058891584E-4</v>
      </c>
      <c r="AH57" t="s">
        <v>175</v>
      </c>
      <c r="AI57" t="s">
        <v>176</v>
      </c>
      <c r="AJ57" s="197" t="str">
        <f t="shared" si="88"/>
        <v>Lifecycle_Balanced_488</v>
      </c>
      <c r="AK57">
        <v>488</v>
      </c>
      <c r="AL57">
        <f>VLOOKUP($U57,[2]Standard_Balanced!$Q$1:$T$542,2,FALSE)</f>
        <v>0.77777777777777779</v>
      </c>
      <c r="AM57">
        <f>VLOOKUP($U57,[2]Standard_Balanced!$Q$1:$T$542,3,FALSE)</f>
        <v>0.22222222222222221</v>
      </c>
      <c r="AN57">
        <f>VLOOKUP($U57,[2]Standard_Balanced!$Q$1:$T$542,4,FALSE)</f>
        <v>0</v>
      </c>
      <c r="AO57" s="77">
        <f t="shared" si="89"/>
        <v>1</v>
      </c>
      <c r="AP57" s="77">
        <f t="shared" si="33"/>
        <v>6.1674999999999987E-2</v>
      </c>
      <c r="AQ57" s="77">
        <f t="shared" si="90"/>
        <v>4.9997781870025904E-3</v>
      </c>
      <c r="AR57" s="79">
        <v>0</v>
      </c>
      <c r="AS57" s="77">
        <f t="shared" si="34"/>
        <v>0</v>
      </c>
      <c r="AT57" s="77">
        <f t="shared" ref="AT57" si="161">1-(1-AS57)^(1/12)</f>
        <v>0</v>
      </c>
      <c r="AU57" s="77">
        <f t="shared" si="36"/>
        <v>2.5000000000000001E-3</v>
      </c>
      <c r="AV57" s="77">
        <f t="shared" ref="AV57" si="162">1-(1-AU57)^(1/12)</f>
        <v>2.0857243058891584E-4</v>
      </c>
      <c r="AX57" t="s">
        <v>178</v>
      </c>
      <c r="AY57" t="s">
        <v>160</v>
      </c>
      <c r="AZ57" s="197" t="str">
        <f t="shared" si="93"/>
        <v>DIS_Non-Standard_488</v>
      </c>
      <c r="BA57">
        <v>488</v>
      </c>
      <c r="BB57">
        <f>VLOOKUP($BA57,'[2]NonStandard DIS'!$Q$1:$X$542,2,FALSE)</f>
        <v>0</v>
      </c>
      <c r="BC57">
        <f>VLOOKUP($BA57,'[2]NonStandard DIS'!$Q$1:$X$542,3,FALSE)</f>
        <v>0</v>
      </c>
      <c r="BD57">
        <f>VLOOKUP($BA57,'[2]NonStandard DIS'!$Q$1:$X$542,4,FALSE)</f>
        <v>0.308</v>
      </c>
      <c r="BE57">
        <f>VLOOKUP($BA57,'[2]NonStandard DIS'!$Q$1:$X$542,5,FALSE)</f>
        <v>0.69199999999999995</v>
      </c>
      <c r="BF57">
        <f>VLOOKUP($BA57,'[2]NonStandard DIS'!$Q$1:$X$542,6,FALSE)</f>
        <v>0</v>
      </c>
      <c r="BG57">
        <f>VLOOKUP($BA57,'[2]NonStandard DIS'!$Q$1:$X$542,7,FALSE)</f>
        <v>0</v>
      </c>
      <c r="BH57">
        <f>VLOOKUP($BA57,'[2]NonStandard DIS'!$Q$1:$X$542,8,FALSE)</f>
        <v>0</v>
      </c>
      <c r="BI57" s="77">
        <f t="shared" si="24"/>
        <v>1</v>
      </c>
      <c r="BJ57" s="77">
        <f t="shared" si="25"/>
        <v>6.9728499999999985E-2</v>
      </c>
      <c r="BK57" s="77">
        <f t="shared" si="94"/>
        <v>5.632878498097682E-3</v>
      </c>
      <c r="BL57" s="79">
        <v>0</v>
      </c>
      <c r="BM57" s="77">
        <f t="shared" si="38"/>
        <v>0</v>
      </c>
      <c r="BN57" s="77">
        <f t="shared" si="39"/>
        <v>0</v>
      </c>
      <c r="BO57" s="77">
        <f t="shared" si="40"/>
        <v>5.6775999999999997E-3</v>
      </c>
      <c r="BP57" s="77">
        <f t="shared" si="41"/>
        <v>4.7190657760731725E-4</v>
      </c>
    </row>
    <row r="58" spans="1:68">
      <c r="A58" t="s">
        <v>175</v>
      </c>
      <c r="B58" t="s">
        <v>176</v>
      </c>
      <c r="C58" s="197" t="str">
        <f t="shared" si="82"/>
        <v>Lifecycle_Balanced_487</v>
      </c>
      <c r="D58">
        <v>487</v>
      </c>
      <c r="E58">
        <f>VLOOKUP($D58,'[2]LC Balanced'!$Q$2:$U$542,2,FALSE)</f>
        <v>0</v>
      </c>
      <c r="F58">
        <f>VLOOKUP($D58,'[2]LC Balanced'!$Q$2:$U$542,3,FALSE)</f>
        <v>0.14899999999999999</v>
      </c>
      <c r="G58">
        <f>VLOOKUP($D58,'[2]LC Balanced'!$Q$2:$U$542,4,FALSE)</f>
        <v>0.85099999999999998</v>
      </c>
      <c r="H58">
        <f>VLOOKUP($D58,'[2]LC Balanced'!$Q$2:$U$542,5,FALSE)</f>
        <v>0</v>
      </c>
      <c r="I58" s="77">
        <f t="shared" si="10"/>
        <v>1</v>
      </c>
      <c r="J58" s="77">
        <f t="shared" si="11"/>
        <v>6.1987699999999986E-2</v>
      </c>
      <c r="K58" s="77">
        <f t="shared" si="83"/>
        <v>5.024442123284345E-3</v>
      </c>
      <c r="L58" s="76">
        <v>0</v>
      </c>
      <c r="M58" s="77">
        <f t="shared" si="27"/>
        <v>0</v>
      </c>
      <c r="N58" s="77">
        <f t="shared" si="28"/>
        <v>0</v>
      </c>
      <c r="O58" s="77">
        <f t="shared" si="29"/>
        <v>7.0062999999999992E-3</v>
      </c>
      <c r="P58" s="77">
        <f t="shared" si="30"/>
        <v>5.85741666996209E-4</v>
      </c>
      <c r="R58" t="s">
        <v>177</v>
      </c>
      <c r="S58" t="s">
        <v>176</v>
      </c>
      <c r="T58" s="197" t="str">
        <f t="shared" si="84"/>
        <v>Autopilot_Balanced_487</v>
      </c>
      <c r="U58">
        <v>487</v>
      </c>
      <c r="V58">
        <f>VLOOKUP($U58,'[2]AP Balanced'!$Q$1:$T$542,2,FALSE)</f>
        <v>0.77777777777777779</v>
      </c>
      <c r="W58">
        <f>VLOOKUP($U58,'[2]AP Balanced'!$Q$1:$T$542,3,FALSE)</f>
        <v>0.22222222222222221</v>
      </c>
      <c r="X58">
        <f>VLOOKUP($U58,'[2]AP Balanced'!$Q$1:$T$542,4,FALSE)</f>
        <v>0</v>
      </c>
      <c r="Y58" s="77">
        <f t="shared" si="85"/>
        <v>1</v>
      </c>
      <c r="Z58" s="77">
        <f t="shared" si="86"/>
        <v>6.1674999999999987E-2</v>
      </c>
      <c r="AA58" s="77">
        <f t="shared" si="87"/>
        <v>4.9997781870025904E-3</v>
      </c>
      <c r="AB58" s="79">
        <v>1</v>
      </c>
      <c r="AC58" s="77">
        <f t="shared" si="31"/>
        <v>8.0555555555555554E-3</v>
      </c>
      <c r="AD58" s="77">
        <f t="shared" si="17"/>
        <v>6.7378764057135498E-4</v>
      </c>
      <c r="AE58" s="77">
        <f t="shared" si="32"/>
        <v>2.5000000000000001E-3</v>
      </c>
      <c r="AF58" s="77">
        <f t="shared" si="17"/>
        <v>2.0857243058891584E-4</v>
      </c>
      <c r="AH58" t="s">
        <v>175</v>
      </c>
      <c r="AI58" t="s">
        <v>176</v>
      </c>
      <c r="AJ58" s="197" t="str">
        <f t="shared" si="88"/>
        <v>Lifecycle_Balanced_487</v>
      </c>
      <c r="AK58">
        <v>487</v>
      </c>
      <c r="AL58">
        <f>VLOOKUP($U58,[2]Standard_Balanced!$Q$1:$T$542,2,FALSE)</f>
        <v>0.77777777777777779</v>
      </c>
      <c r="AM58">
        <f>VLOOKUP($U58,[2]Standard_Balanced!$Q$1:$T$542,3,FALSE)</f>
        <v>0.22222222222222221</v>
      </c>
      <c r="AN58">
        <f>VLOOKUP($U58,[2]Standard_Balanced!$Q$1:$T$542,4,FALSE)</f>
        <v>0</v>
      </c>
      <c r="AO58" s="77">
        <f t="shared" si="89"/>
        <v>1</v>
      </c>
      <c r="AP58" s="77">
        <f t="shared" si="33"/>
        <v>6.1674999999999987E-2</v>
      </c>
      <c r="AQ58" s="77">
        <f t="shared" si="90"/>
        <v>4.9997781870025904E-3</v>
      </c>
      <c r="AR58" s="79">
        <v>0</v>
      </c>
      <c r="AS58" s="77">
        <f t="shared" si="34"/>
        <v>0</v>
      </c>
      <c r="AT58" s="77">
        <f t="shared" ref="AT58" si="163">1-(1-AS58)^(1/12)</f>
        <v>0</v>
      </c>
      <c r="AU58" s="77">
        <f t="shared" si="36"/>
        <v>2.5000000000000001E-3</v>
      </c>
      <c r="AV58" s="77">
        <f t="shared" ref="AV58" si="164">1-(1-AU58)^(1/12)</f>
        <v>2.0857243058891584E-4</v>
      </c>
      <c r="AX58" t="s">
        <v>178</v>
      </c>
      <c r="AY58" t="s">
        <v>160</v>
      </c>
      <c r="AZ58" s="197" t="str">
        <f t="shared" si="93"/>
        <v>DIS_Non-Standard_487</v>
      </c>
      <c r="BA58">
        <v>487</v>
      </c>
      <c r="BB58">
        <f>VLOOKUP($BA58,'[2]NonStandard DIS'!$Q$1:$X$542,2,FALSE)</f>
        <v>0</v>
      </c>
      <c r="BC58">
        <f>VLOOKUP($BA58,'[2]NonStandard DIS'!$Q$1:$X$542,3,FALSE)</f>
        <v>0</v>
      </c>
      <c r="BD58">
        <f>VLOOKUP($BA58,'[2]NonStandard DIS'!$Q$1:$X$542,4,FALSE)</f>
        <v>0.308</v>
      </c>
      <c r="BE58">
        <f>VLOOKUP($BA58,'[2]NonStandard DIS'!$Q$1:$X$542,5,FALSE)</f>
        <v>0.69199999999999995</v>
      </c>
      <c r="BF58">
        <f>VLOOKUP($BA58,'[2]NonStandard DIS'!$Q$1:$X$542,6,FALSE)</f>
        <v>0</v>
      </c>
      <c r="BG58">
        <f>VLOOKUP($BA58,'[2]NonStandard DIS'!$Q$1:$X$542,7,FALSE)</f>
        <v>0</v>
      </c>
      <c r="BH58">
        <f>VLOOKUP($BA58,'[2]NonStandard DIS'!$Q$1:$X$542,8,FALSE)</f>
        <v>0</v>
      </c>
      <c r="BI58" s="77">
        <f t="shared" si="24"/>
        <v>1</v>
      </c>
      <c r="BJ58" s="77">
        <f t="shared" si="25"/>
        <v>6.9728499999999985E-2</v>
      </c>
      <c r="BK58" s="77">
        <f t="shared" si="94"/>
        <v>5.632878498097682E-3</v>
      </c>
      <c r="BL58" s="79">
        <v>0</v>
      </c>
      <c r="BM58" s="77">
        <f t="shared" si="38"/>
        <v>0</v>
      </c>
      <c r="BN58" s="77">
        <f t="shared" si="39"/>
        <v>0</v>
      </c>
      <c r="BO58" s="77">
        <f t="shared" si="40"/>
        <v>5.6775999999999997E-3</v>
      </c>
      <c r="BP58" s="77">
        <f t="shared" si="41"/>
        <v>4.7190657760731725E-4</v>
      </c>
    </row>
    <row r="59" spans="1:68">
      <c r="A59" t="s">
        <v>175</v>
      </c>
      <c r="B59" t="s">
        <v>176</v>
      </c>
      <c r="C59" s="197" t="str">
        <f t="shared" si="82"/>
        <v>Lifecycle_Balanced_486</v>
      </c>
      <c r="D59">
        <v>486</v>
      </c>
      <c r="E59">
        <f>VLOOKUP($D59,'[2]LC Balanced'!$Q$2:$U$542,2,FALSE)</f>
        <v>0</v>
      </c>
      <c r="F59">
        <f>VLOOKUP($D59,'[2]LC Balanced'!$Q$2:$U$542,3,FALSE)</f>
        <v>0.14899999999999999</v>
      </c>
      <c r="G59">
        <f>VLOOKUP($D59,'[2]LC Balanced'!$Q$2:$U$542,4,FALSE)</f>
        <v>0.85099999999999998</v>
      </c>
      <c r="H59">
        <f>VLOOKUP($D59,'[2]LC Balanced'!$Q$2:$U$542,5,FALSE)</f>
        <v>0</v>
      </c>
      <c r="I59" s="77">
        <f t="shared" si="10"/>
        <v>1</v>
      </c>
      <c r="J59" s="77">
        <f t="shared" si="11"/>
        <v>6.1987699999999986E-2</v>
      </c>
      <c r="K59" s="77">
        <f t="shared" si="83"/>
        <v>5.024442123284345E-3</v>
      </c>
      <c r="L59" s="76">
        <v>0</v>
      </c>
      <c r="M59" s="77">
        <f t="shared" si="27"/>
        <v>0</v>
      </c>
      <c r="N59" s="77">
        <f t="shared" si="28"/>
        <v>0</v>
      </c>
      <c r="O59" s="77">
        <f t="shared" si="29"/>
        <v>7.0062999999999992E-3</v>
      </c>
      <c r="P59" s="77">
        <f t="shared" si="30"/>
        <v>5.85741666996209E-4</v>
      </c>
      <c r="R59" t="s">
        <v>177</v>
      </c>
      <c r="S59" t="s">
        <v>176</v>
      </c>
      <c r="T59" s="197" t="str">
        <f t="shared" si="84"/>
        <v>Autopilot_Balanced_486</v>
      </c>
      <c r="U59">
        <v>486</v>
      </c>
      <c r="V59">
        <f>VLOOKUP($U59,'[2]AP Balanced'!$Q$1:$T$542,2,FALSE)</f>
        <v>0.77777777777777779</v>
      </c>
      <c r="W59">
        <f>VLOOKUP($U59,'[2]AP Balanced'!$Q$1:$T$542,3,FALSE)</f>
        <v>0.22222222222222221</v>
      </c>
      <c r="X59">
        <f>VLOOKUP($U59,'[2]AP Balanced'!$Q$1:$T$542,4,FALSE)</f>
        <v>0</v>
      </c>
      <c r="Y59" s="77">
        <f t="shared" si="85"/>
        <v>1</v>
      </c>
      <c r="Z59" s="77">
        <f t="shared" si="86"/>
        <v>6.1674999999999987E-2</v>
      </c>
      <c r="AA59" s="77">
        <f t="shared" si="87"/>
        <v>4.9997781870025904E-3</v>
      </c>
      <c r="AB59" s="79">
        <v>1</v>
      </c>
      <c r="AC59" s="77">
        <f t="shared" si="31"/>
        <v>8.0555555555555554E-3</v>
      </c>
      <c r="AD59" s="77">
        <f t="shared" si="17"/>
        <v>6.7378764057135498E-4</v>
      </c>
      <c r="AE59" s="77">
        <f t="shared" si="32"/>
        <v>2.5000000000000001E-3</v>
      </c>
      <c r="AF59" s="77">
        <f t="shared" si="17"/>
        <v>2.0857243058891584E-4</v>
      </c>
      <c r="AH59" t="s">
        <v>175</v>
      </c>
      <c r="AI59" t="s">
        <v>176</v>
      </c>
      <c r="AJ59" s="197" t="str">
        <f t="shared" si="88"/>
        <v>Lifecycle_Balanced_486</v>
      </c>
      <c r="AK59">
        <v>486</v>
      </c>
      <c r="AL59">
        <f>VLOOKUP($U59,[2]Standard_Balanced!$Q$1:$T$542,2,FALSE)</f>
        <v>0.77777777777777779</v>
      </c>
      <c r="AM59">
        <f>VLOOKUP($U59,[2]Standard_Balanced!$Q$1:$T$542,3,FALSE)</f>
        <v>0.22222222222222221</v>
      </c>
      <c r="AN59">
        <f>VLOOKUP($U59,[2]Standard_Balanced!$Q$1:$T$542,4,FALSE)</f>
        <v>0</v>
      </c>
      <c r="AO59" s="77">
        <f t="shared" si="89"/>
        <v>1</v>
      </c>
      <c r="AP59" s="77">
        <f t="shared" si="33"/>
        <v>6.1674999999999987E-2</v>
      </c>
      <c r="AQ59" s="77">
        <f t="shared" si="90"/>
        <v>4.9997781870025904E-3</v>
      </c>
      <c r="AR59" s="79">
        <v>0</v>
      </c>
      <c r="AS59" s="77">
        <f t="shared" si="34"/>
        <v>0</v>
      </c>
      <c r="AT59" s="77">
        <f t="shared" ref="AT59" si="165">1-(1-AS59)^(1/12)</f>
        <v>0</v>
      </c>
      <c r="AU59" s="77">
        <f t="shared" si="36"/>
        <v>2.5000000000000001E-3</v>
      </c>
      <c r="AV59" s="77">
        <f t="shared" ref="AV59" si="166">1-(1-AU59)^(1/12)</f>
        <v>2.0857243058891584E-4</v>
      </c>
      <c r="AX59" t="s">
        <v>178</v>
      </c>
      <c r="AY59" t="s">
        <v>160</v>
      </c>
      <c r="AZ59" s="197" t="str">
        <f t="shared" si="93"/>
        <v>DIS_Non-Standard_486</v>
      </c>
      <c r="BA59">
        <v>486</v>
      </c>
      <c r="BB59">
        <f>VLOOKUP($BA59,'[2]NonStandard DIS'!$Q$1:$X$542,2,FALSE)</f>
        <v>0</v>
      </c>
      <c r="BC59">
        <f>VLOOKUP($BA59,'[2]NonStandard DIS'!$Q$1:$X$542,3,FALSE)</f>
        <v>0</v>
      </c>
      <c r="BD59">
        <f>VLOOKUP($BA59,'[2]NonStandard DIS'!$Q$1:$X$542,4,FALSE)</f>
        <v>0.308</v>
      </c>
      <c r="BE59">
        <f>VLOOKUP($BA59,'[2]NonStandard DIS'!$Q$1:$X$542,5,FALSE)</f>
        <v>0.69199999999999995</v>
      </c>
      <c r="BF59">
        <f>VLOOKUP($BA59,'[2]NonStandard DIS'!$Q$1:$X$542,6,FALSE)</f>
        <v>0</v>
      </c>
      <c r="BG59">
        <f>VLOOKUP($BA59,'[2]NonStandard DIS'!$Q$1:$X$542,7,FALSE)</f>
        <v>0</v>
      </c>
      <c r="BH59">
        <f>VLOOKUP($BA59,'[2]NonStandard DIS'!$Q$1:$X$542,8,FALSE)</f>
        <v>0</v>
      </c>
      <c r="BI59" s="77">
        <f t="shared" si="24"/>
        <v>1</v>
      </c>
      <c r="BJ59" s="77">
        <f t="shared" si="25"/>
        <v>6.9728499999999985E-2</v>
      </c>
      <c r="BK59" s="77">
        <f t="shared" si="94"/>
        <v>5.632878498097682E-3</v>
      </c>
      <c r="BL59" s="79">
        <v>0</v>
      </c>
      <c r="BM59" s="77">
        <f t="shared" si="38"/>
        <v>0</v>
      </c>
      <c r="BN59" s="77">
        <f t="shared" si="39"/>
        <v>0</v>
      </c>
      <c r="BO59" s="77">
        <f t="shared" si="40"/>
        <v>5.6775999999999997E-3</v>
      </c>
      <c r="BP59" s="77">
        <f t="shared" si="41"/>
        <v>4.7190657760731725E-4</v>
      </c>
    </row>
    <row r="60" spans="1:68">
      <c r="A60" t="s">
        <v>175</v>
      </c>
      <c r="B60" t="s">
        <v>176</v>
      </c>
      <c r="C60" s="197" t="str">
        <f t="shared" si="82"/>
        <v>Lifecycle_Balanced_485</v>
      </c>
      <c r="D60">
        <v>485</v>
      </c>
      <c r="E60">
        <f>VLOOKUP($D60,'[2]LC Balanced'!$Q$2:$U$542,2,FALSE)</f>
        <v>0</v>
      </c>
      <c r="F60">
        <f>VLOOKUP($D60,'[2]LC Balanced'!$Q$2:$U$542,3,FALSE)</f>
        <v>0.14899999999999999</v>
      </c>
      <c r="G60">
        <f>VLOOKUP($D60,'[2]LC Balanced'!$Q$2:$U$542,4,FALSE)</f>
        <v>0.85099999999999998</v>
      </c>
      <c r="H60">
        <f>VLOOKUP($D60,'[2]LC Balanced'!$Q$2:$U$542,5,FALSE)</f>
        <v>0</v>
      </c>
      <c r="I60" s="77">
        <f t="shared" si="10"/>
        <v>1</v>
      </c>
      <c r="J60" s="77">
        <f t="shared" si="11"/>
        <v>6.1987699999999986E-2</v>
      </c>
      <c r="K60" s="77">
        <f t="shared" si="83"/>
        <v>5.024442123284345E-3</v>
      </c>
      <c r="L60" s="76">
        <v>0</v>
      </c>
      <c r="M60" s="77">
        <f t="shared" si="27"/>
        <v>0</v>
      </c>
      <c r="N60" s="77">
        <f t="shared" si="28"/>
        <v>0</v>
      </c>
      <c r="O60" s="77">
        <f t="shared" si="29"/>
        <v>7.0062999999999992E-3</v>
      </c>
      <c r="P60" s="77">
        <f t="shared" si="30"/>
        <v>5.85741666996209E-4</v>
      </c>
      <c r="R60" t="s">
        <v>177</v>
      </c>
      <c r="S60" t="s">
        <v>176</v>
      </c>
      <c r="T60" s="197" t="str">
        <f t="shared" si="84"/>
        <v>Autopilot_Balanced_485</v>
      </c>
      <c r="U60">
        <v>485</v>
      </c>
      <c r="V60">
        <f>VLOOKUP($U60,'[2]AP Balanced'!$Q$1:$T$542,2,FALSE)</f>
        <v>0.77777777777777779</v>
      </c>
      <c r="W60">
        <f>VLOOKUP($U60,'[2]AP Balanced'!$Q$1:$T$542,3,FALSE)</f>
        <v>0.22222222222222221</v>
      </c>
      <c r="X60">
        <f>VLOOKUP($U60,'[2]AP Balanced'!$Q$1:$T$542,4,FALSE)</f>
        <v>0</v>
      </c>
      <c r="Y60" s="77">
        <f t="shared" si="85"/>
        <v>1</v>
      </c>
      <c r="Z60" s="77">
        <f t="shared" si="86"/>
        <v>6.1674999999999987E-2</v>
      </c>
      <c r="AA60" s="77">
        <f t="shared" si="87"/>
        <v>4.9997781870025904E-3</v>
      </c>
      <c r="AB60" s="79">
        <v>1</v>
      </c>
      <c r="AC60" s="77">
        <f t="shared" si="31"/>
        <v>8.0555555555555554E-3</v>
      </c>
      <c r="AD60" s="77">
        <f t="shared" si="17"/>
        <v>6.7378764057135498E-4</v>
      </c>
      <c r="AE60" s="77">
        <f t="shared" si="32"/>
        <v>2.5000000000000001E-3</v>
      </c>
      <c r="AF60" s="77">
        <f t="shared" si="17"/>
        <v>2.0857243058891584E-4</v>
      </c>
      <c r="AH60" t="s">
        <v>175</v>
      </c>
      <c r="AI60" t="s">
        <v>176</v>
      </c>
      <c r="AJ60" s="197" t="str">
        <f t="shared" si="88"/>
        <v>Lifecycle_Balanced_485</v>
      </c>
      <c r="AK60">
        <v>485</v>
      </c>
      <c r="AL60">
        <f>VLOOKUP($U60,[2]Standard_Balanced!$Q$1:$T$542,2,FALSE)</f>
        <v>0.77777777777777779</v>
      </c>
      <c r="AM60">
        <f>VLOOKUP($U60,[2]Standard_Balanced!$Q$1:$T$542,3,FALSE)</f>
        <v>0.22222222222222221</v>
      </c>
      <c r="AN60">
        <f>VLOOKUP($U60,[2]Standard_Balanced!$Q$1:$T$542,4,FALSE)</f>
        <v>0</v>
      </c>
      <c r="AO60" s="77">
        <f t="shared" si="89"/>
        <v>1</v>
      </c>
      <c r="AP60" s="77">
        <f t="shared" si="33"/>
        <v>6.1674999999999987E-2</v>
      </c>
      <c r="AQ60" s="77">
        <f t="shared" si="90"/>
        <v>4.9997781870025904E-3</v>
      </c>
      <c r="AR60" s="79">
        <v>0</v>
      </c>
      <c r="AS60" s="77">
        <f t="shared" si="34"/>
        <v>0</v>
      </c>
      <c r="AT60" s="77">
        <f t="shared" ref="AT60" si="167">1-(1-AS60)^(1/12)</f>
        <v>0</v>
      </c>
      <c r="AU60" s="77">
        <f t="shared" si="36"/>
        <v>2.5000000000000001E-3</v>
      </c>
      <c r="AV60" s="77">
        <f t="shared" ref="AV60" si="168">1-(1-AU60)^(1/12)</f>
        <v>2.0857243058891584E-4</v>
      </c>
      <c r="AX60" t="s">
        <v>178</v>
      </c>
      <c r="AY60" t="s">
        <v>160</v>
      </c>
      <c r="AZ60" s="197" t="str">
        <f t="shared" si="93"/>
        <v>DIS_Non-Standard_485</v>
      </c>
      <c r="BA60">
        <v>485</v>
      </c>
      <c r="BB60">
        <f>VLOOKUP($BA60,'[2]NonStandard DIS'!$Q$1:$X$542,2,FALSE)</f>
        <v>0</v>
      </c>
      <c r="BC60">
        <f>VLOOKUP($BA60,'[2]NonStandard DIS'!$Q$1:$X$542,3,FALSE)</f>
        <v>0</v>
      </c>
      <c r="BD60">
        <f>VLOOKUP($BA60,'[2]NonStandard DIS'!$Q$1:$X$542,4,FALSE)</f>
        <v>0.308</v>
      </c>
      <c r="BE60">
        <f>VLOOKUP($BA60,'[2]NonStandard DIS'!$Q$1:$X$542,5,FALSE)</f>
        <v>0.69199999999999995</v>
      </c>
      <c r="BF60">
        <f>VLOOKUP($BA60,'[2]NonStandard DIS'!$Q$1:$X$542,6,FALSE)</f>
        <v>0</v>
      </c>
      <c r="BG60">
        <f>VLOOKUP($BA60,'[2]NonStandard DIS'!$Q$1:$X$542,7,FALSE)</f>
        <v>0</v>
      </c>
      <c r="BH60">
        <f>VLOOKUP($BA60,'[2]NonStandard DIS'!$Q$1:$X$542,8,FALSE)</f>
        <v>0</v>
      </c>
      <c r="BI60" s="77">
        <f t="shared" si="24"/>
        <v>1</v>
      </c>
      <c r="BJ60" s="77">
        <f t="shared" si="25"/>
        <v>6.9728499999999985E-2</v>
      </c>
      <c r="BK60" s="77">
        <f t="shared" si="94"/>
        <v>5.632878498097682E-3</v>
      </c>
      <c r="BL60" s="79">
        <v>0</v>
      </c>
      <c r="BM60" s="77">
        <f t="shared" si="38"/>
        <v>0</v>
      </c>
      <c r="BN60" s="77">
        <f t="shared" si="39"/>
        <v>0</v>
      </c>
      <c r="BO60" s="77">
        <f t="shared" si="40"/>
        <v>5.6775999999999997E-3</v>
      </c>
      <c r="BP60" s="77">
        <f t="shared" si="41"/>
        <v>4.7190657760731725E-4</v>
      </c>
    </row>
    <row r="61" spans="1:68">
      <c r="A61" t="s">
        <v>175</v>
      </c>
      <c r="B61" t="s">
        <v>176</v>
      </c>
      <c r="C61" s="197" t="str">
        <f t="shared" si="82"/>
        <v>Lifecycle_Balanced_484</v>
      </c>
      <c r="D61">
        <v>484</v>
      </c>
      <c r="E61">
        <f>VLOOKUP($D61,'[2]LC Balanced'!$Q$2:$U$542,2,FALSE)</f>
        <v>0</v>
      </c>
      <c r="F61">
        <f>VLOOKUP($D61,'[2]LC Balanced'!$Q$2:$U$542,3,FALSE)</f>
        <v>0.14899999999999999</v>
      </c>
      <c r="G61">
        <f>VLOOKUP($D61,'[2]LC Balanced'!$Q$2:$U$542,4,FALSE)</f>
        <v>0.85099999999999998</v>
      </c>
      <c r="H61">
        <f>VLOOKUP($D61,'[2]LC Balanced'!$Q$2:$U$542,5,FALSE)</f>
        <v>0</v>
      </c>
      <c r="I61" s="77">
        <f t="shared" si="10"/>
        <v>1</v>
      </c>
      <c r="J61" s="77">
        <f t="shared" si="11"/>
        <v>6.1987699999999986E-2</v>
      </c>
      <c r="K61" s="77">
        <f t="shared" si="83"/>
        <v>5.024442123284345E-3</v>
      </c>
      <c r="L61" s="76">
        <v>0</v>
      </c>
      <c r="M61" s="77">
        <f t="shared" si="27"/>
        <v>0</v>
      </c>
      <c r="N61" s="77">
        <f t="shared" si="28"/>
        <v>0</v>
      </c>
      <c r="O61" s="77">
        <f t="shared" si="29"/>
        <v>7.0062999999999992E-3</v>
      </c>
      <c r="P61" s="77">
        <f t="shared" si="30"/>
        <v>5.85741666996209E-4</v>
      </c>
      <c r="R61" t="s">
        <v>177</v>
      </c>
      <c r="S61" t="s">
        <v>176</v>
      </c>
      <c r="T61" s="197" t="str">
        <f t="shared" si="84"/>
        <v>Autopilot_Balanced_484</v>
      </c>
      <c r="U61">
        <v>484</v>
      </c>
      <c r="V61">
        <f>VLOOKUP($U61,'[2]AP Balanced'!$Q$1:$T$542,2,FALSE)</f>
        <v>0.77777777777777779</v>
      </c>
      <c r="W61">
        <f>VLOOKUP($U61,'[2]AP Balanced'!$Q$1:$T$542,3,FALSE)</f>
        <v>0.22222222222222221</v>
      </c>
      <c r="X61">
        <f>VLOOKUP($U61,'[2]AP Balanced'!$Q$1:$T$542,4,FALSE)</f>
        <v>0</v>
      </c>
      <c r="Y61" s="77">
        <f t="shared" si="85"/>
        <v>1</v>
      </c>
      <c r="Z61" s="77">
        <f t="shared" si="86"/>
        <v>6.1674999999999987E-2</v>
      </c>
      <c r="AA61" s="77">
        <f t="shared" si="87"/>
        <v>4.9997781870025904E-3</v>
      </c>
      <c r="AB61" s="79">
        <v>1</v>
      </c>
      <c r="AC61" s="77">
        <f t="shared" si="31"/>
        <v>8.0555555555555554E-3</v>
      </c>
      <c r="AD61" s="77">
        <f t="shared" si="17"/>
        <v>6.7378764057135498E-4</v>
      </c>
      <c r="AE61" s="77">
        <f t="shared" si="32"/>
        <v>2.5000000000000001E-3</v>
      </c>
      <c r="AF61" s="77">
        <f t="shared" si="17"/>
        <v>2.0857243058891584E-4</v>
      </c>
      <c r="AH61" t="s">
        <v>175</v>
      </c>
      <c r="AI61" t="s">
        <v>176</v>
      </c>
      <c r="AJ61" s="197" t="str">
        <f t="shared" si="88"/>
        <v>Lifecycle_Balanced_484</v>
      </c>
      <c r="AK61">
        <v>484</v>
      </c>
      <c r="AL61">
        <f>VLOOKUP($U61,[2]Standard_Balanced!$Q$1:$T$542,2,FALSE)</f>
        <v>0.77777777777777779</v>
      </c>
      <c r="AM61">
        <f>VLOOKUP($U61,[2]Standard_Balanced!$Q$1:$T$542,3,FALSE)</f>
        <v>0.22222222222222221</v>
      </c>
      <c r="AN61">
        <f>VLOOKUP($U61,[2]Standard_Balanced!$Q$1:$T$542,4,FALSE)</f>
        <v>0</v>
      </c>
      <c r="AO61" s="77">
        <f t="shared" si="89"/>
        <v>1</v>
      </c>
      <c r="AP61" s="77">
        <f t="shared" si="33"/>
        <v>6.1674999999999987E-2</v>
      </c>
      <c r="AQ61" s="77">
        <f t="shared" si="90"/>
        <v>4.9997781870025904E-3</v>
      </c>
      <c r="AR61" s="79">
        <v>0</v>
      </c>
      <c r="AS61" s="77">
        <f t="shared" si="34"/>
        <v>0</v>
      </c>
      <c r="AT61" s="77">
        <f t="shared" ref="AT61" si="169">1-(1-AS61)^(1/12)</f>
        <v>0</v>
      </c>
      <c r="AU61" s="77">
        <f t="shared" si="36"/>
        <v>2.5000000000000001E-3</v>
      </c>
      <c r="AV61" s="77">
        <f t="shared" ref="AV61" si="170">1-(1-AU61)^(1/12)</f>
        <v>2.0857243058891584E-4</v>
      </c>
      <c r="AX61" t="s">
        <v>178</v>
      </c>
      <c r="AY61" t="s">
        <v>160</v>
      </c>
      <c r="AZ61" s="197" t="str">
        <f t="shared" si="93"/>
        <v>DIS_Non-Standard_484</v>
      </c>
      <c r="BA61">
        <v>484</v>
      </c>
      <c r="BB61">
        <f>VLOOKUP($BA61,'[2]NonStandard DIS'!$Q$1:$X$542,2,FALSE)</f>
        <v>0</v>
      </c>
      <c r="BC61">
        <f>VLOOKUP($BA61,'[2]NonStandard DIS'!$Q$1:$X$542,3,FALSE)</f>
        <v>0</v>
      </c>
      <c r="BD61">
        <f>VLOOKUP($BA61,'[2]NonStandard DIS'!$Q$1:$X$542,4,FALSE)</f>
        <v>0.308</v>
      </c>
      <c r="BE61">
        <f>VLOOKUP($BA61,'[2]NonStandard DIS'!$Q$1:$X$542,5,FALSE)</f>
        <v>0.69199999999999995</v>
      </c>
      <c r="BF61">
        <f>VLOOKUP($BA61,'[2]NonStandard DIS'!$Q$1:$X$542,6,FALSE)</f>
        <v>0</v>
      </c>
      <c r="BG61">
        <f>VLOOKUP($BA61,'[2]NonStandard DIS'!$Q$1:$X$542,7,FALSE)</f>
        <v>0</v>
      </c>
      <c r="BH61">
        <f>VLOOKUP($BA61,'[2]NonStandard DIS'!$Q$1:$X$542,8,FALSE)</f>
        <v>0</v>
      </c>
      <c r="BI61" s="77">
        <f t="shared" si="24"/>
        <v>1</v>
      </c>
      <c r="BJ61" s="77">
        <f t="shared" si="25"/>
        <v>6.9728499999999985E-2</v>
      </c>
      <c r="BK61" s="77">
        <f t="shared" si="94"/>
        <v>5.632878498097682E-3</v>
      </c>
      <c r="BL61" s="79">
        <v>0</v>
      </c>
      <c r="BM61" s="77">
        <f t="shared" si="38"/>
        <v>0</v>
      </c>
      <c r="BN61" s="77">
        <f t="shared" si="39"/>
        <v>0</v>
      </c>
      <c r="BO61" s="77">
        <f t="shared" si="40"/>
        <v>5.6775999999999997E-3</v>
      </c>
      <c r="BP61" s="77">
        <f t="shared" si="41"/>
        <v>4.7190657760731725E-4</v>
      </c>
    </row>
    <row r="62" spans="1:68">
      <c r="A62" t="s">
        <v>175</v>
      </c>
      <c r="B62" t="s">
        <v>176</v>
      </c>
      <c r="C62" s="197" t="str">
        <f t="shared" si="82"/>
        <v>Lifecycle_Balanced_483</v>
      </c>
      <c r="D62">
        <v>483</v>
      </c>
      <c r="E62">
        <f>VLOOKUP($D62,'[2]LC Balanced'!$Q$2:$U$542,2,FALSE)</f>
        <v>0</v>
      </c>
      <c r="F62">
        <f>VLOOKUP($D62,'[2]LC Balanced'!$Q$2:$U$542,3,FALSE)</f>
        <v>0.14899999999999999</v>
      </c>
      <c r="G62">
        <f>VLOOKUP($D62,'[2]LC Balanced'!$Q$2:$U$542,4,FALSE)</f>
        <v>0.85099999999999998</v>
      </c>
      <c r="H62">
        <f>VLOOKUP($D62,'[2]LC Balanced'!$Q$2:$U$542,5,FALSE)</f>
        <v>0</v>
      </c>
      <c r="I62" s="77">
        <f t="shared" si="10"/>
        <v>1</v>
      </c>
      <c r="J62" s="77">
        <f t="shared" si="11"/>
        <v>6.1987699999999986E-2</v>
      </c>
      <c r="K62" s="77">
        <f t="shared" si="83"/>
        <v>5.024442123284345E-3</v>
      </c>
      <c r="L62" s="76">
        <v>0</v>
      </c>
      <c r="M62" s="77">
        <f t="shared" si="27"/>
        <v>0</v>
      </c>
      <c r="N62" s="77">
        <f t="shared" si="28"/>
        <v>0</v>
      </c>
      <c r="O62" s="77">
        <f t="shared" si="29"/>
        <v>7.0062999999999992E-3</v>
      </c>
      <c r="P62" s="77">
        <f t="shared" si="30"/>
        <v>5.85741666996209E-4</v>
      </c>
      <c r="R62" t="s">
        <v>177</v>
      </c>
      <c r="S62" t="s">
        <v>176</v>
      </c>
      <c r="T62" s="197" t="str">
        <f t="shared" si="84"/>
        <v>Autopilot_Balanced_483</v>
      </c>
      <c r="U62">
        <v>483</v>
      </c>
      <c r="V62">
        <f>VLOOKUP($U62,'[2]AP Balanced'!$Q$1:$T$542,2,FALSE)</f>
        <v>0.77777777777777779</v>
      </c>
      <c r="W62">
        <f>VLOOKUP($U62,'[2]AP Balanced'!$Q$1:$T$542,3,FALSE)</f>
        <v>0.22222222222222221</v>
      </c>
      <c r="X62">
        <f>VLOOKUP($U62,'[2]AP Balanced'!$Q$1:$T$542,4,FALSE)</f>
        <v>0</v>
      </c>
      <c r="Y62" s="77">
        <f t="shared" si="85"/>
        <v>1</v>
      </c>
      <c r="Z62" s="77">
        <f t="shared" si="86"/>
        <v>6.1674999999999987E-2</v>
      </c>
      <c r="AA62" s="77">
        <f t="shared" si="87"/>
        <v>4.9997781870025904E-3</v>
      </c>
      <c r="AB62" s="79">
        <v>1</v>
      </c>
      <c r="AC62" s="77">
        <f t="shared" si="31"/>
        <v>8.0555555555555554E-3</v>
      </c>
      <c r="AD62" s="77">
        <f t="shared" si="17"/>
        <v>6.7378764057135498E-4</v>
      </c>
      <c r="AE62" s="77">
        <f t="shared" si="32"/>
        <v>2.5000000000000001E-3</v>
      </c>
      <c r="AF62" s="77">
        <f t="shared" si="17"/>
        <v>2.0857243058891584E-4</v>
      </c>
      <c r="AH62" t="s">
        <v>175</v>
      </c>
      <c r="AI62" t="s">
        <v>176</v>
      </c>
      <c r="AJ62" s="197" t="str">
        <f t="shared" si="88"/>
        <v>Lifecycle_Balanced_483</v>
      </c>
      <c r="AK62">
        <v>483</v>
      </c>
      <c r="AL62">
        <f>VLOOKUP($U62,[2]Standard_Balanced!$Q$1:$T$542,2,FALSE)</f>
        <v>0.77777777777777779</v>
      </c>
      <c r="AM62">
        <f>VLOOKUP($U62,[2]Standard_Balanced!$Q$1:$T$542,3,FALSE)</f>
        <v>0.22222222222222221</v>
      </c>
      <c r="AN62">
        <f>VLOOKUP($U62,[2]Standard_Balanced!$Q$1:$T$542,4,FALSE)</f>
        <v>0</v>
      </c>
      <c r="AO62" s="77">
        <f t="shared" si="89"/>
        <v>1</v>
      </c>
      <c r="AP62" s="77">
        <f t="shared" si="33"/>
        <v>6.1674999999999987E-2</v>
      </c>
      <c r="AQ62" s="77">
        <f t="shared" si="90"/>
        <v>4.9997781870025904E-3</v>
      </c>
      <c r="AR62" s="79">
        <v>0</v>
      </c>
      <c r="AS62" s="77">
        <f t="shared" si="34"/>
        <v>0</v>
      </c>
      <c r="AT62" s="77">
        <f t="shared" ref="AT62" si="171">1-(1-AS62)^(1/12)</f>
        <v>0</v>
      </c>
      <c r="AU62" s="77">
        <f t="shared" si="36"/>
        <v>2.5000000000000001E-3</v>
      </c>
      <c r="AV62" s="77">
        <f t="shared" ref="AV62" si="172">1-(1-AU62)^(1/12)</f>
        <v>2.0857243058891584E-4</v>
      </c>
      <c r="AX62" t="s">
        <v>178</v>
      </c>
      <c r="AY62" t="s">
        <v>160</v>
      </c>
      <c r="AZ62" s="197" t="str">
        <f t="shared" si="93"/>
        <v>DIS_Non-Standard_483</v>
      </c>
      <c r="BA62">
        <v>483</v>
      </c>
      <c r="BB62">
        <f>VLOOKUP($BA62,'[2]NonStandard DIS'!$Q$1:$X$542,2,FALSE)</f>
        <v>0</v>
      </c>
      <c r="BC62">
        <f>VLOOKUP($BA62,'[2]NonStandard DIS'!$Q$1:$X$542,3,FALSE)</f>
        <v>0</v>
      </c>
      <c r="BD62">
        <f>VLOOKUP($BA62,'[2]NonStandard DIS'!$Q$1:$X$542,4,FALSE)</f>
        <v>0.308</v>
      </c>
      <c r="BE62">
        <f>VLOOKUP($BA62,'[2]NonStandard DIS'!$Q$1:$X$542,5,FALSE)</f>
        <v>0.69199999999999995</v>
      </c>
      <c r="BF62">
        <f>VLOOKUP($BA62,'[2]NonStandard DIS'!$Q$1:$X$542,6,FALSE)</f>
        <v>0</v>
      </c>
      <c r="BG62">
        <f>VLOOKUP($BA62,'[2]NonStandard DIS'!$Q$1:$X$542,7,FALSE)</f>
        <v>0</v>
      </c>
      <c r="BH62">
        <f>VLOOKUP($BA62,'[2]NonStandard DIS'!$Q$1:$X$542,8,FALSE)</f>
        <v>0</v>
      </c>
      <c r="BI62" s="77">
        <f t="shared" si="24"/>
        <v>1</v>
      </c>
      <c r="BJ62" s="77">
        <f t="shared" si="25"/>
        <v>6.9728499999999985E-2</v>
      </c>
      <c r="BK62" s="77">
        <f t="shared" si="94"/>
        <v>5.632878498097682E-3</v>
      </c>
      <c r="BL62" s="79">
        <v>0</v>
      </c>
      <c r="BM62" s="77">
        <f t="shared" si="38"/>
        <v>0</v>
      </c>
      <c r="BN62" s="77">
        <f t="shared" si="39"/>
        <v>0</v>
      </c>
      <c r="BO62" s="77">
        <f t="shared" si="40"/>
        <v>5.6775999999999997E-3</v>
      </c>
      <c r="BP62" s="77">
        <f t="shared" si="41"/>
        <v>4.7190657760731725E-4</v>
      </c>
    </row>
    <row r="63" spans="1:68">
      <c r="A63" t="s">
        <v>175</v>
      </c>
      <c r="B63" t="s">
        <v>176</v>
      </c>
      <c r="C63" s="197" t="str">
        <f t="shared" si="82"/>
        <v>Lifecycle_Balanced_482</v>
      </c>
      <c r="D63">
        <v>482</v>
      </c>
      <c r="E63">
        <f>VLOOKUP($D63,'[2]LC Balanced'!$Q$2:$U$542,2,FALSE)</f>
        <v>0</v>
      </c>
      <c r="F63">
        <f>VLOOKUP($D63,'[2]LC Balanced'!$Q$2:$U$542,3,FALSE)</f>
        <v>0.14899999999999999</v>
      </c>
      <c r="G63">
        <f>VLOOKUP($D63,'[2]LC Balanced'!$Q$2:$U$542,4,FALSE)</f>
        <v>0.85099999999999998</v>
      </c>
      <c r="H63">
        <f>VLOOKUP($D63,'[2]LC Balanced'!$Q$2:$U$542,5,FALSE)</f>
        <v>0</v>
      </c>
      <c r="I63" s="77">
        <f t="shared" si="10"/>
        <v>1</v>
      </c>
      <c r="J63" s="77">
        <f t="shared" si="11"/>
        <v>6.1987699999999986E-2</v>
      </c>
      <c r="K63" s="77">
        <f t="shared" ref="K63" si="173">(1+J63)^(1/12)-1</f>
        <v>5.024442123284345E-3</v>
      </c>
      <c r="L63" s="76">
        <v>0</v>
      </c>
      <c r="M63" s="77">
        <f t="shared" si="27"/>
        <v>0</v>
      </c>
      <c r="N63" s="77">
        <f t="shared" si="28"/>
        <v>0</v>
      </c>
      <c r="O63" s="77">
        <f t="shared" si="29"/>
        <v>7.0062999999999992E-3</v>
      </c>
      <c r="P63" s="77">
        <f t="shared" si="30"/>
        <v>5.85741666996209E-4</v>
      </c>
      <c r="R63" t="s">
        <v>177</v>
      </c>
      <c r="S63" t="s">
        <v>176</v>
      </c>
      <c r="T63" s="197" t="str">
        <f t="shared" si="84"/>
        <v>Autopilot_Balanced_482</v>
      </c>
      <c r="U63">
        <v>482</v>
      </c>
      <c r="V63">
        <f>VLOOKUP($U63,'[2]AP Balanced'!$Q$1:$T$542,2,FALSE)</f>
        <v>0.77777777777777779</v>
      </c>
      <c r="W63">
        <f>VLOOKUP($U63,'[2]AP Balanced'!$Q$1:$T$542,3,FALSE)</f>
        <v>0.22222222222222221</v>
      </c>
      <c r="X63">
        <f>VLOOKUP($U63,'[2]AP Balanced'!$Q$1:$T$542,4,FALSE)</f>
        <v>0</v>
      </c>
      <c r="Y63" s="77">
        <f t="shared" ref="Y63" si="174">SUM(V63:X63)</f>
        <v>1</v>
      </c>
      <c r="Z63" s="77">
        <f t="shared" ref="Z63" si="175">SUMPRODUCT($V$1:$X$1,V63:X63)</f>
        <v>6.1674999999999987E-2</v>
      </c>
      <c r="AA63" s="77">
        <f t="shared" ref="AA63" si="176">(1+Z63)^(1/12)-1</f>
        <v>4.9997781870025904E-3</v>
      </c>
      <c r="AB63" s="79">
        <v>1</v>
      </c>
      <c r="AC63" s="77">
        <f t="shared" si="31"/>
        <v>8.0555555555555554E-3</v>
      </c>
      <c r="AD63" s="77">
        <f t="shared" si="17"/>
        <v>6.7378764057135498E-4</v>
      </c>
      <c r="AE63" s="77">
        <f t="shared" si="32"/>
        <v>2.5000000000000001E-3</v>
      </c>
      <c r="AF63" s="77">
        <f t="shared" si="17"/>
        <v>2.0857243058891584E-4</v>
      </c>
      <c r="AH63" t="s">
        <v>175</v>
      </c>
      <c r="AI63" t="s">
        <v>176</v>
      </c>
      <c r="AJ63" s="197" t="str">
        <f t="shared" si="88"/>
        <v>Lifecycle_Balanced_482</v>
      </c>
      <c r="AK63">
        <v>482</v>
      </c>
      <c r="AL63">
        <f>VLOOKUP($U63,[2]Standard_Balanced!$Q$1:$T$542,2,FALSE)</f>
        <v>0.77777777777777779</v>
      </c>
      <c r="AM63">
        <f>VLOOKUP($U63,[2]Standard_Balanced!$Q$1:$T$542,3,FALSE)</f>
        <v>0.22222222222222221</v>
      </c>
      <c r="AN63">
        <f>VLOOKUP($U63,[2]Standard_Balanced!$Q$1:$T$542,4,FALSE)</f>
        <v>0</v>
      </c>
      <c r="AO63" s="77">
        <f t="shared" ref="AO63" si="177">SUM(AL63:AN63)</f>
        <v>1</v>
      </c>
      <c r="AP63" s="77">
        <f t="shared" si="33"/>
        <v>6.1674999999999987E-2</v>
      </c>
      <c r="AQ63" s="77">
        <f t="shared" si="90"/>
        <v>4.9997781870025904E-3</v>
      </c>
      <c r="AR63" s="79">
        <v>0</v>
      </c>
      <c r="AS63" s="77">
        <f t="shared" si="34"/>
        <v>0</v>
      </c>
      <c r="AT63" s="77">
        <f t="shared" ref="AT63" si="178">1-(1-AS63)^(1/12)</f>
        <v>0</v>
      </c>
      <c r="AU63" s="77">
        <f t="shared" si="36"/>
        <v>2.5000000000000001E-3</v>
      </c>
      <c r="AV63" s="77">
        <f t="shared" ref="AV63" si="179">1-(1-AU63)^(1/12)</f>
        <v>2.0857243058891584E-4</v>
      </c>
      <c r="AX63" t="s">
        <v>178</v>
      </c>
      <c r="AY63" t="s">
        <v>160</v>
      </c>
      <c r="AZ63" s="197" t="str">
        <f t="shared" si="93"/>
        <v>DIS_Non-Standard_482</v>
      </c>
      <c r="BA63">
        <v>482</v>
      </c>
      <c r="BB63">
        <f>VLOOKUP($BA63,'[2]NonStandard DIS'!$Q$1:$X$542,2,FALSE)</f>
        <v>0</v>
      </c>
      <c r="BC63">
        <f>VLOOKUP($BA63,'[2]NonStandard DIS'!$Q$1:$X$542,3,FALSE)</f>
        <v>0</v>
      </c>
      <c r="BD63">
        <f>VLOOKUP($BA63,'[2]NonStandard DIS'!$Q$1:$X$542,4,FALSE)</f>
        <v>0.308</v>
      </c>
      <c r="BE63">
        <f>VLOOKUP($BA63,'[2]NonStandard DIS'!$Q$1:$X$542,5,FALSE)</f>
        <v>0.69199999999999995</v>
      </c>
      <c r="BF63">
        <f>VLOOKUP($BA63,'[2]NonStandard DIS'!$Q$1:$X$542,6,FALSE)</f>
        <v>0</v>
      </c>
      <c r="BG63">
        <f>VLOOKUP($BA63,'[2]NonStandard DIS'!$Q$1:$X$542,7,FALSE)</f>
        <v>0</v>
      </c>
      <c r="BH63">
        <f>VLOOKUP($BA63,'[2]NonStandard DIS'!$Q$1:$X$542,8,FALSE)</f>
        <v>0</v>
      </c>
      <c r="BI63" s="77">
        <f t="shared" si="24"/>
        <v>1</v>
      </c>
      <c r="BJ63" s="77">
        <f t="shared" si="25"/>
        <v>6.9728499999999985E-2</v>
      </c>
      <c r="BK63" s="77">
        <f t="shared" ref="BK63:BK126" si="180">(1+BJ63)^(1/12)-1</f>
        <v>5.632878498097682E-3</v>
      </c>
      <c r="BL63" s="79">
        <v>0</v>
      </c>
      <c r="BM63" s="77">
        <f t="shared" si="38"/>
        <v>0</v>
      </c>
      <c r="BN63" s="77">
        <f t="shared" si="39"/>
        <v>0</v>
      </c>
      <c r="BO63" s="77">
        <f t="shared" si="40"/>
        <v>5.6775999999999997E-3</v>
      </c>
      <c r="BP63" s="77">
        <f t="shared" si="41"/>
        <v>4.7190657760731725E-4</v>
      </c>
    </row>
    <row r="64" spans="1:68">
      <c r="A64" t="s">
        <v>175</v>
      </c>
      <c r="B64" t="s">
        <v>176</v>
      </c>
      <c r="C64" s="197" t="str">
        <f t="shared" si="82"/>
        <v>Lifecycle_Balanced_481</v>
      </c>
      <c r="D64">
        <v>481</v>
      </c>
      <c r="E64">
        <f>VLOOKUP($D64,'[2]LC Balanced'!$Q$2:$U$542,2,FALSE)</f>
        <v>0</v>
      </c>
      <c r="F64">
        <f>VLOOKUP($D64,'[2]LC Balanced'!$Q$2:$U$542,3,FALSE)</f>
        <v>0.14899999999999999</v>
      </c>
      <c r="G64">
        <f>VLOOKUP($D64,'[2]LC Balanced'!$Q$2:$U$542,4,FALSE)</f>
        <v>0.85099999999999998</v>
      </c>
      <c r="H64">
        <f>VLOOKUP($D64,'[2]LC Balanced'!$Q$2:$U$542,5,FALSE)</f>
        <v>0</v>
      </c>
      <c r="I64" s="77">
        <f t="shared" si="10"/>
        <v>1</v>
      </c>
      <c r="J64" s="77">
        <f t="shared" si="11"/>
        <v>6.1987699999999986E-2</v>
      </c>
      <c r="K64" s="77">
        <f>(1+J64)^(1/12)-1</f>
        <v>5.024442123284345E-3</v>
      </c>
      <c r="L64" s="76">
        <v>0</v>
      </c>
      <c r="M64" s="77">
        <f t="shared" si="27"/>
        <v>0</v>
      </c>
      <c r="N64" s="77">
        <f t="shared" si="28"/>
        <v>0</v>
      </c>
      <c r="O64" s="77">
        <f t="shared" si="29"/>
        <v>7.0062999999999992E-3</v>
      </c>
      <c r="P64" s="77">
        <f t="shared" si="30"/>
        <v>5.85741666996209E-4</v>
      </c>
      <c r="R64" t="s">
        <v>177</v>
      </c>
      <c r="S64" t="s">
        <v>176</v>
      </c>
      <c r="T64" s="197" t="str">
        <f t="shared" si="84"/>
        <v>Autopilot_Balanced_481</v>
      </c>
      <c r="U64">
        <v>481</v>
      </c>
      <c r="V64">
        <f>VLOOKUP($U64,'[2]AP Balanced'!$Q$1:$T$542,2,FALSE)</f>
        <v>0.77777777777777779</v>
      </c>
      <c r="W64">
        <f>VLOOKUP($U64,'[2]AP Balanced'!$Q$1:$T$542,3,FALSE)</f>
        <v>0.22222222222222221</v>
      </c>
      <c r="X64">
        <f>VLOOKUP($U64,'[2]AP Balanced'!$Q$1:$T$542,4,FALSE)</f>
        <v>0</v>
      </c>
      <c r="Y64" s="77">
        <f t="shared" si="85"/>
        <v>1</v>
      </c>
      <c r="Z64" s="77">
        <f t="shared" ref="Z64:Z104" si="181">SUMPRODUCT($V$1:$X$1,V64:X64)</f>
        <v>6.1674999999999987E-2</v>
      </c>
      <c r="AA64" s="77">
        <f t="shared" si="87"/>
        <v>4.9997781870025904E-3</v>
      </c>
      <c r="AB64" s="79">
        <v>1</v>
      </c>
      <c r="AC64" s="77">
        <f t="shared" si="31"/>
        <v>8.0555555555555554E-3</v>
      </c>
      <c r="AD64" s="77">
        <f t="shared" si="17"/>
        <v>6.7378764057135498E-4</v>
      </c>
      <c r="AE64" s="77">
        <f t="shared" si="32"/>
        <v>2.5000000000000001E-3</v>
      </c>
      <c r="AF64" s="77">
        <f t="shared" si="17"/>
        <v>2.0857243058891584E-4</v>
      </c>
      <c r="AH64" t="s">
        <v>175</v>
      </c>
      <c r="AI64" t="s">
        <v>176</v>
      </c>
      <c r="AJ64" s="197" t="str">
        <f t="shared" si="88"/>
        <v>Lifecycle_Balanced_481</v>
      </c>
      <c r="AK64">
        <v>481</v>
      </c>
      <c r="AL64">
        <f>VLOOKUP($U64,[2]Standard_Balanced!$Q$1:$T$542,2,FALSE)</f>
        <v>0.77777777777777779</v>
      </c>
      <c r="AM64">
        <f>VLOOKUP($U64,[2]Standard_Balanced!$Q$1:$T$542,3,FALSE)</f>
        <v>0.22222222222222221</v>
      </c>
      <c r="AN64">
        <f>VLOOKUP($U64,[2]Standard_Balanced!$Q$1:$T$542,4,FALSE)</f>
        <v>0</v>
      </c>
      <c r="AO64" s="77">
        <f t="shared" ref="AO64:AO127" si="182">SUM(AL64:AN64)</f>
        <v>1</v>
      </c>
      <c r="AP64" s="77">
        <f t="shared" si="33"/>
        <v>6.1674999999999987E-2</v>
      </c>
      <c r="AQ64" s="77">
        <f t="shared" si="90"/>
        <v>4.9997781870025904E-3</v>
      </c>
      <c r="AR64" s="79">
        <v>0</v>
      </c>
      <c r="AS64" s="77">
        <f t="shared" si="34"/>
        <v>0</v>
      </c>
      <c r="AT64" s="77">
        <f t="shared" ref="AT64" si="183">1-(1-AS64)^(1/12)</f>
        <v>0</v>
      </c>
      <c r="AU64" s="77">
        <f t="shared" si="36"/>
        <v>2.5000000000000001E-3</v>
      </c>
      <c r="AV64" s="77">
        <f t="shared" ref="AV64" si="184">1-(1-AU64)^(1/12)</f>
        <v>2.0857243058891584E-4</v>
      </c>
      <c r="AX64" t="s">
        <v>178</v>
      </c>
      <c r="AY64" t="s">
        <v>160</v>
      </c>
      <c r="AZ64" s="197" t="str">
        <f t="shared" si="93"/>
        <v>DIS_Non-Standard_481</v>
      </c>
      <c r="BA64">
        <v>481</v>
      </c>
      <c r="BB64">
        <f>VLOOKUP($BA64,'[2]NonStandard DIS'!$Q$1:$X$542,2,FALSE)</f>
        <v>0</v>
      </c>
      <c r="BC64">
        <f>VLOOKUP($BA64,'[2]NonStandard DIS'!$Q$1:$X$542,3,FALSE)</f>
        <v>0</v>
      </c>
      <c r="BD64">
        <f>VLOOKUP($BA64,'[2]NonStandard DIS'!$Q$1:$X$542,4,FALSE)</f>
        <v>0.308</v>
      </c>
      <c r="BE64">
        <f>VLOOKUP($BA64,'[2]NonStandard DIS'!$Q$1:$X$542,5,FALSE)</f>
        <v>0.69199999999999995</v>
      </c>
      <c r="BF64">
        <f>VLOOKUP($BA64,'[2]NonStandard DIS'!$Q$1:$X$542,6,FALSE)</f>
        <v>0</v>
      </c>
      <c r="BG64">
        <f>VLOOKUP($BA64,'[2]NonStandard DIS'!$Q$1:$X$542,7,FALSE)</f>
        <v>0</v>
      </c>
      <c r="BH64">
        <f>VLOOKUP($BA64,'[2]NonStandard DIS'!$Q$1:$X$542,8,FALSE)</f>
        <v>0</v>
      </c>
      <c r="BI64" s="77">
        <f t="shared" si="24"/>
        <v>1</v>
      </c>
      <c r="BJ64" s="77">
        <f t="shared" si="25"/>
        <v>6.9728499999999985E-2</v>
      </c>
      <c r="BK64" s="77">
        <f t="shared" si="180"/>
        <v>5.632878498097682E-3</v>
      </c>
      <c r="BL64" s="79">
        <v>0</v>
      </c>
      <c r="BM64" s="77">
        <f t="shared" si="38"/>
        <v>0</v>
      </c>
      <c r="BN64" s="77">
        <f t="shared" si="39"/>
        <v>0</v>
      </c>
      <c r="BO64" s="77">
        <f t="shared" si="40"/>
        <v>5.6775999999999997E-3</v>
      </c>
      <c r="BP64" s="77">
        <f t="shared" si="41"/>
        <v>4.7190657760731725E-4</v>
      </c>
    </row>
    <row r="65" spans="1:68">
      <c r="A65" t="s">
        <v>175</v>
      </c>
      <c r="B65" t="s">
        <v>176</v>
      </c>
      <c r="C65" s="197" t="str">
        <f t="shared" si="82"/>
        <v>Lifecycle_Balanced_480</v>
      </c>
      <c r="D65">
        <v>480</v>
      </c>
      <c r="E65">
        <f>VLOOKUP($D65,'[2]LC Balanced'!$Q$2:$U$542,2,FALSE)</f>
        <v>0</v>
      </c>
      <c r="F65">
        <f>VLOOKUP($D65,'[2]LC Balanced'!$Q$2:$U$542,3,FALSE)</f>
        <v>0.14899999999999999</v>
      </c>
      <c r="G65">
        <f>VLOOKUP($D65,'[2]LC Balanced'!$Q$2:$U$542,4,FALSE)</f>
        <v>0.85099999999999998</v>
      </c>
      <c r="H65">
        <f>VLOOKUP($D65,'[2]LC Balanced'!$Q$2:$U$542,5,FALSE)</f>
        <v>0</v>
      </c>
      <c r="I65" s="77">
        <f t="shared" si="10"/>
        <v>1</v>
      </c>
      <c r="J65" s="77">
        <f t="shared" si="11"/>
        <v>6.1987699999999986E-2</v>
      </c>
      <c r="K65" s="77">
        <f t="shared" ref="K65:K128" si="185">(1+J65)^(1/12)-1</f>
        <v>5.024442123284345E-3</v>
      </c>
      <c r="L65" s="76">
        <v>0</v>
      </c>
      <c r="M65" s="77">
        <f t="shared" si="27"/>
        <v>0</v>
      </c>
      <c r="N65" s="77">
        <f t="shared" si="28"/>
        <v>0</v>
      </c>
      <c r="O65" s="77">
        <f t="shared" si="29"/>
        <v>7.0062999999999992E-3</v>
      </c>
      <c r="P65" s="77">
        <f t="shared" si="30"/>
        <v>5.85741666996209E-4</v>
      </c>
      <c r="R65" t="s">
        <v>177</v>
      </c>
      <c r="S65" t="s">
        <v>176</v>
      </c>
      <c r="T65" s="197" t="str">
        <f t="shared" si="84"/>
        <v>Autopilot_Balanced_480</v>
      </c>
      <c r="U65">
        <v>480</v>
      </c>
      <c r="V65">
        <f>VLOOKUP($U65,'[2]AP Balanced'!$Q$1:$T$542,2,FALSE)</f>
        <v>0.77777777777777779</v>
      </c>
      <c r="W65">
        <f>VLOOKUP($U65,'[2]AP Balanced'!$Q$1:$T$542,3,FALSE)</f>
        <v>0.22222222222222221</v>
      </c>
      <c r="X65">
        <f>VLOOKUP($U65,'[2]AP Balanced'!$Q$1:$T$542,4,FALSE)</f>
        <v>0</v>
      </c>
      <c r="Y65" s="77">
        <f t="shared" si="85"/>
        <v>1</v>
      </c>
      <c r="Z65" s="77">
        <f t="shared" si="181"/>
        <v>6.1674999999999987E-2</v>
      </c>
      <c r="AA65" s="77">
        <f t="shared" si="87"/>
        <v>4.9997781870025904E-3</v>
      </c>
      <c r="AB65" s="79">
        <v>1</v>
      </c>
      <c r="AC65" s="77">
        <f t="shared" si="31"/>
        <v>8.0555555555555554E-3</v>
      </c>
      <c r="AD65" s="77">
        <f t="shared" si="17"/>
        <v>6.7378764057135498E-4</v>
      </c>
      <c r="AE65" s="77">
        <f t="shared" si="32"/>
        <v>2.5000000000000001E-3</v>
      </c>
      <c r="AF65" s="77">
        <f t="shared" si="17"/>
        <v>2.0857243058891584E-4</v>
      </c>
      <c r="AH65" t="s">
        <v>175</v>
      </c>
      <c r="AI65" t="s">
        <v>176</v>
      </c>
      <c r="AJ65" s="197" t="str">
        <f t="shared" si="88"/>
        <v>Lifecycle_Balanced_480</v>
      </c>
      <c r="AK65">
        <v>480</v>
      </c>
      <c r="AL65">
        <f>VLOOKUP($U65,[2]Standard_Balanced!$Q$1:$T$542,2,FALSE)</f>
        <v>0.77777777777777779</v>
      </c>
      <c r="AM65">
        <f>VLOOKUP($U65,[2]Standard_Balanced!$Q$1:$T$542,3,FALSE)</f>
        <v>0.22222222222222221</v>
      </c>
      <c r="AN65">
        <f>VLOOKUP($U65,[2]Standard_Balanced!$Q$1:$T$542,4,FALSE)</f>
        <v>0</v>
      </c>
      <c r="AO65" s="77">
        <f t="shared" si="182"/>
        <v>1</v>
      </c>
      <c r="AP65" s="77">
        <f t="shared" si="33"/>
        <v>6.1674999999999987E-2</v>
      </c>
      <c r="AQ65" s="77">
        <f t="shared" si="90"/>
        <v>4.9997781870025904E-3</v>
      </c>
      <c r="AR65" s="79">
        <v>0</v>
      </c>
      <c r="AS65" s="77">
        <f t="shared" si="34"/>
        <v>0</v>
      </c>
      <c r="AT65" s="77">
        <f t="shared" ref="AT65" si="186">1-(1-AS65)^(1/12)</f>
        <v>0</v>
      </c>
      <c r="AU65" s="77">
        <f t="shared" si="36"/>
        <v>2.5000000000000001E-3</v>
      </c>
      <c r="AV65" s="77">
        <f t="shared" ref="AV65" si="187">1-(1-AU65)^(1/12)</f>
        <v>2.0857243058891584E-4</v>
      </c>
      <c r="AX65" t="s">
        <v>178</v>
      </c>
      <c r="AY65" t="s">
        <v>160</v>
      </c>
      <c r="AZ65" s="197" t="str">
        <f t="shared" si="93"/>
        <v>DIS_Non-Standard_480</v>
      </c>
      <c r="BA65">
        <v>480</v>
      </c>
      <c r="BB65">
        <f>VLOOKUP($BA65,'[2]NonStandard DIS'!$Q$1:$X$542,2,FALSE)</f>
        <v>0</v>
      </c>
      <c r="BC65">
        <f>VLOOKUP($BA65,'[2]NonStandard DIS'!$Q$1:$X$542,3,FALSE)</f>
        <v>0</v>
      </c>
      <c r="BD65">
        <f>VLOOKUP($BA65,'[2]NonStandard DIS'!$Q$1:$X$542,4,FALSE)</f>
        <v>0.308</v>
      </c>
      <c r="BE65">
        <f>VLOOKUP($BA65,'[2]NonStandard DIS'!$Q$1:$X$542,5,FALSE)</f>
        <v>0.69199999999999995</v>
      </c>
      <c r="BF65">
        <f>VLOOKUP($BA65,'[2]NonStandard DIS'!$Q$1:$X$542,6,FALSE)</f>
        <v>0</v>
      </c>
      <c r="BG65">
        <f>VLOOKUP($BA65,'[2]NonStandard DIS'!$Q$1:$X$542,7,FALSE)</f>
        <v>0</v>
      </c>
      <c r="BH65">
        <f>VLOOKUP($BA65,'[2]NonStandard DIS'!$Q$1:$X$542,8,FALSE)</f>
        <v>0</v>
      </c>
      <c r="BI65" s="77">
        <f t="shared" si="24"/>
        <v>1</v>
      </c>
      <c r="BJ65" s="77">
        <f t="shared" si="25"/>
        <v>6.9728499999999985E-2</v>
      </c>
      <c r="BK65" s="77">
        <f t="shared" si="180"/>
        <v>5.632878498097682E-3</v>
      </c>
      <c r="BL65" s="79">
        <v>0</v>
      </c>
      <c r="BM65" s="77">
        <f t="shared" si="38"/>
        <v>0</v>
      </c>
      <c r="BN65" s="77">
        <f t="shared" si="39"/>
        <v>0</v>
      </c>
      <c r="BO65" s="77">
        <f t="shared" si="40"/>
        <v>5.6775999999999997E-3</v>
      </c>
      <c r="BP65" s="77">
        <f t="shared" si="41"/>
        <v>4.7190657760731725E-4</v>
      </c>
    </row>
    <row r="66" spans="1:68">
      <c r="A66" t="s">
        <v>175</v>
      </c>
      <c r="B66" t="s">
        <v>176</v>
      </c>
      <c r="C66" s="197" t="str">
        <f t="shared" si="82"/>
        <v>Lifecycle_Balanced_479</v>
      </c>
      <c r="D66">
        <v>479</v>
      </c>
      <c r="E66">
        <f>VLOOKUP($D66,'[2]LC Balanced'!$Q$2:$U$542,2,FALSE)</f>
        <v>0</v>
      </c>
      <c r="F66">
        <f>VLOOKUP($D66,'[2]LC Balanced'!$Q$2:$U$542,3,FALSE)</f>
        <v>0.14899999999999999</v>
      </c>
      <c r="G66">
        <f>VLOOKUP($D66,'[2]LC Balanced'!$Q$2:$U$542,4,FALSE)</f>
        <v>0.85099999999999998</v>
      </c>
      <c r="H66">
        <f>VLOOKUP($D66,'[2]LC Balanced'!$Q$2:$U$542,5,FALSE)</f>
        <v>0</v>
      </c>
      <c r="I66" s="77">
        <f t="shared" si="10"/>
        <v>1</v>
      </c>
      <c r="J66" s="77">
        <f t="shared" si="11"/>
        <v>6.1987699999999986E-2</v>
      </c>
      <c r="K66" s="77">
        <f t="shared" si="185"/>
        <v>5.024442123284345E-3</v>
      </c>
      <c r="L66" s="76">
        <v>0</v>
      </c>
      <c r="M66" s="77">
        <f t="shared" si="27"/>
        <v>0</v>
      </c>
      <c r="N66" s="77">
        <f t="shared" si="28"/>
        <v>0</v>
      </c>
      <c r="O66" s="77">
        <f t="shared" si="29"/>
        <v>7.0062999999999992E-3</v>
      </c>
      <c r="P66" s="77">
        <f t="shared" si="30"/>
        <v>5.85741666996209E-4</v>
      </c>
      <c r="R66" t="s">
        <v>177</v>
      </c>
      <c r="S66" t="s">
        <v>176</v>
      </c>
      <c r="T66" s="197" t="str">
        <f t="shared" si="84"/>
        <v>Autopilot_Balanced_479</v>
      </c>
      <c r="U66">
        <v>479</v>
      </c>
      <c r="V66">
        <f>VLOOKUP($U66,'[2]AP Balanced'!$Q$1:$T$542,2,FALSE)</f>
        <v>0.77777777777777779</v>
      </c>
      <c r="W66">
        <f>VLOOKUP($U66,'[2]AP Balanced'!$Q$1:$T$542,3,FALSE)</f>
        <v>0.22222222222222221</v>
      </c>
      <c r="X66">
        <f>VLOOKUP($U66,'[2]AP Balanced'!$Q$1:$T$542,4,FALSE)</f>
        <v>0</v>
      </c>
      <c r="Y66" s="77">
        <f t="shared" si="85"/>
        <v>1</v>
      </c>
      <c r="Z66" s="77">
        <f t="shared" si="181"/>
        <v>6.1674999999999987E-2</v>
      </c>
      <c r="AA66" s="77">
        <f t="shared" si="87"/>
        <v>4.9997781870025904E-3</v>
      </c>
      <c r="AB66" s="79">
        <v>1</v>
      </c>
      <c r="AC66" s="77">
        <f t="shared" si="31"/>
        <v>8.0555555555555554E-3</v>
      </c>
      <c r="AD66" s="77">
        <f t="shared" si="17"/>
        <v>6.7378764057135498E-4</v>
      </c>
      <c r="AE66" s="77">
        <f t="shared" si="32"/>
        <v>2.5000000000000001E-3</v>
      </c>
      <c r="AF66" s="77">
        <f t="shared" si="17"/>
        <v>2.0857243058891584E-4</v>
      </c>
      <c r="AH66" t="s">
        <v>175</v>
      </c>
      <c r="AI66" t="s">
        <v>176</v>
      </c>
      <c r="AJ66" s="197" t="str">
        <f t="shared" si="88"/>
        <v>Lifecycle_Balanced_479</v>
      </c>
      <c r="AK66">
        <v>479</v>
      </c>
      <c r="AL66">
        <f>VLOOKUP($U66,[2]Standard_Balanced!$Q$1:$T$542,2,FALSE)</f>
        <v>0.77777777777777779</v>
      </c>
      <c r="AM66">
        <f>VLOOKUP($U66,[2]Standard_Balanced!$Q$1:$T$542,3,FALSE)</f>
        <v>0.22222222222222221</v>
      </c>
      <c r="AN66">
        <f>VLOOKUP($U66,[2]Standard_Balanced!$Q$1:$T$542,4,FALSE)</f>
        <v>0</v>
      </c>
      <c r="AO66" s="77">
        <f t="shared" si="182"/>
        <v>1</v>
      </c>
      <c r="AP66" s="77">
        <f t="shared" si="33"/>
        <v>6.1674999999999987E-2</v>
      </c>
      <c r="AQ66" s="77">
        <f t="shared" si="90"/>
        <v>4.9997781870025904E-3</v>
      </c>
      <c r="AR66" s="79">
        <v>0</v>
      </c>
      <c r="AS66" s="77">
        <f t="shared" si="34"/>
        <v>0</v>
      </c>
      <c r="AT66" s="77">
        <f t="shared" ref="AT66" si="188">1-(1-AS66)^(1/12)</f>
        <v>0</v>
      </c>
      <c r="AU66" s="77">
        <f t="shared" si="36"/>
        <v>2.5000000000000001E-3</v>
      </c>
      <c r="AV66" s="77">
        <f t="shared" ref="AV66" si="189">1-(1-AU66)^(1/12)</f>
        <v>2.0857243058891584E-4</v>
      </c>
      <c r="AX66" t="s">
        <v>178</v>
      </c>
      <c r="AY66" t="s">
        <v>160</v>
      </c>
      <c r="AZ66" s="197" t="str">
        <f t="shared" si="93"/>
        <v>DIS_Non-Standard_479</v>
      </c>
      <c r="BA66">
        <v>479</v>
      </c>
      <c r="BB66">
        <f>VLOOKUP($BA66,'[2]NonStandard DIS'!$Q$1:$X$542,2,FALSE)</f>
        <v>0</v>
      </c>
      <c r="BC66">
        <f>VLOOKUP($BA66,'[2]NonStandard DIS'!$Q$1:$X$542,3,FALSE)</f>
        <v>0</v>
      </c>
      <c r="BD66">
        <f>VLOOKUP($BA66,'[2]NonStandard DIS'!$Q$1:$X$542,4,FALSE)</f>
        <v>0.308</v>
      </c>
      <c r="BE66">
        <f>VLOOKUP($BA66,'[2]NonStandard DIS'!$Q$1:$X$542,5,FALSE)</f>
        <v>0.69199999999999995</v>
      </c>
      <c r="BF66">
        <f>VLOOKUP($BA66,'[2]NonStandard DIS'!$Q$1:$X$542,6,FALSE)</f>
        <v>0</v>
      </c>
      <c r="BG66">
        <f>VLOOKUP($BA66,'[2]NonStandard DIS'!$Q$1:$X$542,7,FALSE)</f>
        <v>0</v>
      </c>
      <c r="BH66">
        <f>VLOOKUP($BA66,'[2]NonStandard DIS'!$Q$1:$X$542,8,FALSE)</f>
        <v>0</v>
      </c>
      <c r="BI66" s="77">
        <f t="shared" si="24"/>
        <v>1</v>
      </c>
      <c r="BJ66" s="77">
        <f t="shared" si="25"/>
        <v>6.9728499999999985E-2</v>
      </c>
      <c r="BK66" s="77">
        <f t="shared" si="180"/>
        <v>5.632878498097682E-3</v>
      </c>
      <c r="BL66" s="79">
        <v>0</v>
      </c>
      <c r="BM66" s="77">
        <f t="shared" si="38"/>
        <v>0</v>
      </c>
      <c r="BN66" s="77">
        <f t="shared" si="39"/>
        <v>0</v>
      </c>
      <c r="BO66" s="77">
        <f t="shared" si="40"/>
        <v>5.6775999999999997E-3</v>
      </c>
      <c r="BP66" s="77">
        <f t="shared" si="41"/>
        <v>4.7190657760731725E-4</v>
      </c>
    </row>
    <row r="67" spans="1:68">
      <c r="A67" t="s">
        <v>175</v>
      </c>
      <c r="B67" t="s">
        <v>176</v>
      </c>
      <c r="C67" s="197" t="str">
        <f t="shared" si="82"/>
        <v>Lifecycle_Balanced_478</v>
      </c>
      <c r="D67">
        <v>478</v>
      </c>
      <c r="E67">
        <f>VLOOKUP($D67,'[2]LC Balanced'!$Q$2:$U$542,2,FALSE)</f>
        <v>0</v>
      </c>
      <c r="F67">
        <f>VLOOKUP($D67,'[2]LC Balanced'!$Q$2:$U$542,3,FALSE)</f>
        <v>0.14899999999999999</v>
      </c>
      <c r="G67">
        <f>VLOOKUP($D67,'[2]LC Balanced'!$Q$2:$U$542,4,FALSE)</f>
        <v>0.85099999999999998</v>
      </c>
      <c r="H67">
        <f>VLOOKUP($D67,'[2]LC Balanced'!$Q$2:$U$542,5,FALSE)</f>
        <v>0</v>
      </c>
      <c r="I67" s="77">
        <f t="shared" si="10"/>
        <v>1</v>
      </c>
      <c r="J67" s="77">
        <f t="shared" si="11"/>
        <v>6.1987699999999986E-2</v>
      </c>
      <c r="K67" s="77">
        <f t="shared" si="185"/>
        <v>5.024442123284345E-3</v>
      </c>
      <c r="L67" s="76">
        <v>0</v>
      </c>
      <c r="M67" s="77">
        <f t="shared" si="27"/>
        <v>0</v>
      </c>
      <c r="N67" s="77">
        <f t="shared" si="28"/>
        <v>0</v>
      </c>
      <c r="O67" s="77">
        <f t="shared" si="29"/>
        <v>7.0062999999999992E-3</v>
      </c>
      <c r="P67" s="77">
        <f t="shared" si="30"/>
        <v>5.85741666996209E-4</v>
      </c>
      <c r="R67" t="s">
        <v>177</v>
      </c>
      <c r="S67" t="s">
        <v>176</v>
      </c>
      <c r="T67" s="197" t="str">
        <f t="shared" si="84"/>
        <v>Autopilot_Balanced_478</v>
      </c>
      <c r="U67">
        <v>478</v>
      </c>
      <c r="V67">
        <f>VLOOKUP($U67,'[2]AP Balanced'!$Q$1:$T$542,2,FALSE)</f>
        <v>0.77777777777777779</v>
      </c>
      <c r="W67">
        <f>VLOOKUP($U67,'[2]AP Balanced'!$Q$1:$T$542,3,FALSE)</f>
        <v>0.22222222222222221</v>
      </c>
      <c r="X67">
        <f>VLOOKUP($U67,'[2]AP Balanced'!$Q$1:$T$542,4,FALSE)</f>
        <v>0</v>
      </c>
      <c r="Y67" s="77">
        <f t="shared" si="85"/>
        <v>1</v>
      </c>
      <c r="Z67" s="77">
        <f t="shared" si="181"/>
        <v>6.1674999999999987E-2</v>
      </c>
      <c r="AA67" s="77">
        <f t="shared" si="87"/>
        <v>4.9997781870025904E-3</v>
      </c>
      <c r="AB67" s="79">
        <v>1</v>
      </c>
      <c r="AC67" s="77">
        <f t="shared" si="31"/>
        <v>8.0555555555555554E-3</v>
      </c>
      <c r="AD67" s="77">
        <f t="shared" si="17"/>
        <v>6.7378764057135498E-4</v>
      </c>
      <c r="AE67" s="77">
        <f t="shared" si="32"/>
        <v>2.5000000000000001E-3</v>
      </c>
      <c r="AF67" s="77">
        <f t="shared" si="17"/>
        <v>2.0857243058891584E-4</v>
      </c>
      <c r="AH67" t="s">
        <v>175</v>
      </c>
      <c r="AI67" t="s">
        <v>176</v>
      </c>
      <c r="AJ67" s="197" t="str">
        <f t="shared" si="88"/>
        <v>Lifecycle_Balanced_478</v>
      </c>
      <c r="AK67">
        <v>478</v>
      </c>
      <c r="AL67">
        <f>VLOOKUP($U67,[2]Standard_Balanced!$Q$1:$T$542,2,FALSE)</f>
        <v>0.77777777777777779</v>
      </c>
      <c r="AM67">
        <f>VLOOKUP($U67,[2]Standard_Balanced!$Q$1:$T$542,3,FALSE)</f>
        <v>0.22222222222222221</v>
      </c>
      <c r="AN67">
        <f>VLOOKUP($U67,[2]Standard_Balanced!$Q$1:$T$542,4,FALSE)</f>
        <v>0</v>
      </c>
      <c r="AO67" s="77">
        <f t="shared" si="182"/>
        <v>1</v>
      </c>
      <c r="AP67" s="77">
        <f t="shared" si="33"/>
        <v>6.1674999999999987E-2</v>
      </c>
      <c r="AQ67" s="77">
        <f t="shared" si="90"/>
        <v>4.9997781870025904E-3</v>
      </c>
      <c r="AR67" s="79">
        <v>0</v>
      </c>
      <c r="AS67" s="77">
        <f t="shared" si="34"/>
        <v>0</v>
      </c>
      <c r="AT67" s="77">
        <f t="shared" ref="AT67" si="190">1-(1-AS67)^(1/12)</f>
        <v>0</v>
      </c>
      <c r="AU67" s="77">
        <f t="shared" si="36"/>
        <v>2.5000000000000001E-3</v>
      </c>
      <c r="AV67" s="77">
        <f t="shared" ref="AV67" si="191">1-(1-AU67)^(1/12)</f>
        <v>2.0857243058891584E-4</v>
      </c>
      <c r="AX67" t="s">
        <v>178</v>
      </c>
      <c r="AY67" t="s">
        <v>160</v>
      </c>
      <c r="AZ67" s="197" t="str">
        <f t="shared" si="93"/>
        <v>DIS_Non-Standard_478</v>
      </c>
      <c r="BA67">
        <v>478</v>
      </c>
      <c r="BB67">
        <f>VLOOKUP($BA67,'[2]NonStandard DIS'!$Q$1:$X$542,2,FALSE)</f>
        <v>0</v>
      </c>
      <c r="BC67">
        <f>VLOOKUP($BA67,'[2]NonStandard DIS'!$Q$1:$X$542,3,FALSE)</f>
        <v>0</v>
      </c>
      <c r="BD67">
        <f>VLOOKUP($BA67,'[2]NonStandard DIS'!$Q$1:$X$542,4,FALSE)</f>
        <v>0.308</v>
      </c>
      <c r="BE67">
        <f>VLOOKUP($BA67,'[2]NonStandard DIS'!$Q$1:$X$542,5,FALSE)</f>
        <v>0.69199999999999995</v>
      </c>
      <c r="BF67">
        <f>VLOOKUP($BA67,'[2]NonStandard DIS'!$Q$1:$X$542,6,FALSE)</f>
        <v>0</v>
      </c>
      <c r="BG67">
        <f>VLOOKUP($BA67,'[2]NonStandard DIS'!$Q$1:$X$542,7,FALSE)</f>
        <v>0</v>
      </c>
      <c r="BH67">
        <f>VLOOKUP($BA67,'[2]NonStandard DIS'!$Q$1:$X$542,8,FALSE)</f>
        <v>0</v>
      </c>
      <c r="BI67" s="77">
        <f t="shared" si="24"/>
        <v>1</v>
      </c>
      <c r="BJ67" s="77">
        <f t="shared" si="25"/>
        <v>6.9728499999999985E-2</v>
      </c>
      <c r="BK67" s="77">
        <f t="shared" si="180"/>
        <v>5.632878498097682E-3</v>
      </c>
      <c r="BL67" s="79">
        <v>0</v>
      </c>
      <c r="BM67" s="77">
        <f t="shared" si="38"/>
        <v>0</v>
      </c>
      <c r="BN67" s="77">
        <f t="shared" si="39"/>
        <v>0</v>
      </c>
      <c r="BO67" s="77">
        <f t="shared" si="40"/>
        <v>5.6775999999999997E-3</v>
      </c>
      <c r="BP67" s="77">
        <f t="shared" si="41"/>
        <v>4.7190657760731725E-4</v>
      </c>
    </row>
    <row r="68" spans="1:68">
      <c r="A68" t="s">
        <v>175</v>
      </c>
      <c r="B68" t="s">
        <v>176</v>
      </c>
      <c r="C68" s="197" t="str">
        <f t="shared" si="82"/>
        <v>Lifecycle_Balanced_477</v>
      </c>
      <c r="D68">
        <v>477</v>
      </c>
      <c r="E68">
        <f>VLOOKUP($D68,'[2]LC Balanced'!$Q$2:$U$542,2,FALSE)</f>
        <v>0</v>
      </c>
      <c r="F68">
        <f>VLOOKUP($D68,'[2]LC Balanced'!$Q$2:$U$542,3,FALSE)</f>
        <v>0.14899999999999999</v>
      </c>
      <c r="G68">
        <f>VLOOKUP($D68,'[2]LC Balanced'!$Q$2:$U$542,4,FALSE)</f>
        <v>0.85099999999999998</v>
      </c>
      <c r="H68">
        <f>VLOOKUP($D68,'[2]LC Balanced'!$Q$2:$U$542,5,FALSE)</f>
        <v>0</v>
      </c>
      <c r="I68" s="77">
        <f t="shared" si="10"/>
        <v>1</v>
      </c>
      <c r="J68" s="77">
        <f t="shared" si="11"/>
        <v>6.1987699999999986E-2</v>
      </c>
      <c r="K68" s="77">
        <f t="shared" si="185"/>
        <v>5.024442123284345E-3</v>
      </c>
      <c r="L68" s="76">
        <v>0</v>
      </c>
      <c r="M68" s="77">
        <f t="shared" si="27"/>
        <v>0</v>
      </c>
      <c r="N68" s="77">
        <f t="shared" si="28"/>
        <v>0</v>
      </c>
      <c r="O68" s="77">
        <f t="shared" si="29"/>
        <v>7.0062999999999992E-3</v>
      </c>
      <c r="P68" s="77">
        <f t="shared" si="30"/>
        <v>5.85741666996209E-4</v>
      </c>
      <c r="R68" t="s">
        <v>177</v>
      </c>
      <c r="S68" t="s">
        <v>176</v>
      </c>
      <c r="T68" s="197" t="str">
        <f t="shared" si="84"/>
        <v>Autopilot_Balanced_477</v>
      </c>
      <c r="U68">
        <v>477</v>
      </c>
      <c r="V68">
        <f>VLOOKUP($U68,'[2]AP Balanced'!$Q$1:$T$542,2,FALSE)</f>
        <v>0.77777777777777779</v>
      </c>
      <c r="W68">
        <f>VLOOKUP($U68,'[2]AP Balanced'!$Q$1:$T$542,3,FALSE)</f>
        <v>0.22222222222222221</v>
      </c>
      <c r="X68">
        <f>VLOOKUP($U68,'[2]AP Balanced'!$Q$1:$T$542,4,FALSE)</f>
        <v>0</v>
      </c>
      <c r="Y68" s="77">
        <f t="shared" si="85"/>
        <v>1</v>
      </c>
      <c r="Z68" s="77">
        <f t="shared" si="181"/>
        <v>6.1674999999999987E-2</v>
      </c>
      <c r="AA68" s="77">
        <f t="shared" si="87"/>
        <v>4.9997781870025904E-3</v>
      </c>
      <c r="AB68" s="79">
        <v>1</v>
      </c>
      <c r="AC68" s="77">
        <f t="shared" si="31"/>
        <v>8.0555555555555554E-3</v>
      </c>
      <c r="AD68" s="77">
        <f t="shared" si="17"/>
        <v>6.7378764057135498E-4</v>
      </c>
      <c r="AE68" s="77">
        <f t="shared" si="32"/>
        <v>2.5000000000000001E-3</v>
      </c>
      <c r="AF68" s="77">
        <f t="shared" si="17"/>
        <v>2.0857243058891584E-4</v>
      </c>
      <c r="AH68" t="s">
        <v>175</v>
      </c>
      <c r="AI68" t="s">
        <v>176</v>
      </c>
      <c r="AJ68" s="197" t="str">
        <f t="shared" si="88"/>
        <v>Lifecycle_Balanced_477</v>
      </c>
      <c r="AK68">
        <v>477</v>
      </c>
      <c r="AL68">
        <f>VLOOKUP($U68,[2]Standard_Balanced!$Q$1:$T$542,2,FALSE)</f>
        <v>0.77777777777777779</v>
      </c>
      <c r="AM68">
        <f>VLOOKUP($U68,[2]Standard_Balanced!$Q$1:$T$542,3,FALSE)</f>
        <v>0.22222222222222221</v>
      </c>
      <c r="AN68">
        <f>VLOOKUP($U68,[2]Standard_Balanced!$Q$1:$T$542,4,FALSE)</f>
        <v>0</v>
      </c>
      <c r="AO68" s="77">
        <f t="shared" si="182"/>
        <v>1</v>
      </c>
      <c r="AP68" s="77">
        <f t="shared" si="33"/>
        <v>6.1674999999999987E-2</v>
      </c>
      <c r="AQ68" s="77">
        <f t="shared" si="90"/>
        <v>4.9997781870025904E-3</v>
      </c>
      <c r="AR68" s="79">
        <v>0</v>
      </c>
      <c r="AS68" s="77">
        <f t="shared" si="34"/>
        <v>0</v>
      </c>
      <c r="AT68" s="77">
        <f t="shared" ref="AT68" si="192">1-(1-AS68)^(1/12)</f>
        <v>0</v>
      </c>
      <c r="AU68" s="77">
        <f t="shared" si="36"/>
        <v>2.5000000000000001E-3</v>
      </c>
      <c r="AV68" s="77">
        <f t="shared" ref="AV68" si="193">1-(1-AU68)^(1/12)</f>
        <v>2.0857243058891584E-4</v>
      </c>
      <c r="AX68" t="s">
        <v>178</v>
      </c>
      <c r="AY68" t="s">
        <v>160</v>
      </c>
      <c r="AZ68" s="197" t="str">
        <f t="shared" si="93"/>
        <v>DIS_Non-Standard_477</v>
      </c>
      <c r="BA68">
        <v>477</v>
      </c>
      <c r="BB68">
        <f>VLOOKUP($BA68,'[2]NonStandard DIS'!$Q$1:$X$542,2,FALSE)</f>
        <v>0</v>
      </c>
      <c r="BC68">
        <f>VLOOKUP($BA68,'[2]NonStandard DIS'!$Q$1:$X$542,3,FALSE)</f>
        <v>0</v>
      </c>
      <c r="BD68">
        <f>VLOOKUP($BA68,'[2]NonStandard DIS'!$Q$1:$X$542,4,FALSE)</f>
        <v>0.308</v>
      </c>
      <c r="BE68">
        <f>VLOOKUP($BA68,'[2]NonStandard DIS'!$Q$1:$X$542,5,FALSE)</f>
        <v>0.69199999999999995</v>
      </c>
      <c r="BF68">
        <f>VLOOKUP($BA68,'[2]NonStandard DIS'!$Q$1:$X$542,6,FALSE)</f>
        <v>0</v>
      </c>
      <c r="BG68">
        <f>VLOOKUP($BA68,'[2]NonStandard DIS'!$Q$1:$X$542,7,FALSE)</f>
        <v>0</v>
      </c>
      <c r="BH68">
        <f>VLOOKUP($BA68,'[2]NonStandard DIS'!$Q$1:$X$542,8,FALSE)</f>
        <v>0</v>
      </c>
      <c r="BI68" s="77">
        <f t="shared" si="24"/>
        <v>1</v>
      </c>
      <c r="BJ68" s="77">
        <f t="shared" si="25"/>
        <v>6.9728499999999985E-2</v>
      </c>
      <c r="BK68" s="77">
        <f t="shared" si="180"/>
        <v>5.632878498097682E-3</v>
      </c>
      <c r="BL68" s="79">
        <v>0</v>
      </c>
      <c r="BM68" s="77">
        <f t="shared" si="38"/>
        <v>0</v>
      </c>
      <c r="BN68" s="77">
        <f t="shared" si="39"/>
        <v>0</v>
      </c>
      <c r="BO68" s="77">
        <f t="shared" si="40"/>
        <v>5.6775999999999997E-3</v>
      </c>
      <c r="BP68" s="77">
        <f t="shared" si="41"/>
        <v>4.7190657760731725E-4</v>
      </c>
    </row>
    <row r="69" spans="1:68">
      <c r="A69" t="s">
        <v>175</v>
      </c>
      <c r="B69" t="s">
        <v>176</v>
      </c>
      <c r="C69" s="197" t="str">
        <f t="shared" si="82"/>
        <v>Lifecycle_Balanced_476</v>
      </c>
      <c r="D69">
        <v>476</v>
      </c>
      <c r="E69">
        <f>VLOOKUP($D69,'[2]LC Balanced'!$Q$2:$U$542,2,FALSE)</f>
        <v>0</v>
      </c>
      <c r="F69">
        <f>VLOOKUP($D69,'[2]LC Balanced'!$Q$2:$U$542,3,FALSE)</f>
        <v>0.14899999999999999</v>
      </c>
      <c r="G69">
        <f>VLOOKUP($D69,'[2]LC Balanced'!$Q$2:$U$542,4,FALSE)</f>
        <v>0.85099999999999998</v>
      </c>
      <c r="H69">
        <f>VLOOKUP($D69,'[2]LC Balanced'!$Q$2:$U$542,5,FALSE)</f>
        <v>0</v>
      </c>
      <c r="I69" s="77">
        <f t="shared" ref="I69:I132" si="194">SUM(E69:H69)</f>
        <v>1</v>
      </c>
      <c r="J69" s="77">
        <f t="shared" ref="J69:J132" si="195">SUMPRODUCT($E$1:$H$1,E69:H69)</f>
        <v>6.1987699999999986E-2</v>
      </c>
      <c r="K69" s="77">
        <f t="shared" si="185"/>
        <v>5.024442123284345E-3</v>
      </c>
      <c r="L69" s="76">
        <v>0</v>
      </c>
      <c r="M69" s="77">
        <f t="shared" si="27"/>
        <v>0</v>
      </c>
      <c r="N69" s="77">
        <f t="shared" si="28"/>
        <v>0</v>
      </c>
      <c r="O69" s="77">
        <f t="shared" si="29"/>
        <v>7.0062999999999992E-3</v>
      </c>
      <c r="P69" s="77">
        <f t="shared" si="30"/>
        <v>5.85741666996209E-4</v>
      </c>
      <c r="R69" t="s">
        <v>177</v>
      </c>
      <c r="S69" t="s">
        <v>176</v>
      </c>
      <c r="T69" s="197" t="str">
        <f t="shared" si="84"/>
        <v>Autopilot_Balanced_476</v>
      </c>
      <c r="U69">
        <v>476</v>
      </c>
      <c r="V69">
        <f>VLOOKUP($U69,'[2]AP Balanced'!$Q$1:$T$542,2,FALSE)</f>
        <v>0.77777777777777779</v>
      </c>
      <c r="W69">
        <f>VLOOKUP($U69,'[2]AP Balanced'!$Q$1:$T$542,3,FALSE)</f>
        <v>0.22222222222222221</v>
      </c>
      <c r="X69">
        <f>VLOOKUP($U69,'[2]AP Balanced'!$Q$1:$T$542,4,FALSE)</f>
        <v>0</v>
      </c>
      <c r="Y69" s="77">
        <f t="shared" si="85"/>
        <v>1</v>
      </c>
      <c r="Z69" s="77">
        <f t="shared" si="181"/>
        <v>6.1674999999999987E-2</v>
      </c>
      <c r="AA69" s="77">
        <f t="shared" si="87"/>
        <v>4.9997781870025904E-3</v>
      </c>
      <c r="AB69" s="79">
        <v>1</v>
      </c>
      <c r="AC69" s="77">
        <f t="shared" si="31"/>
        <v>8.0555555555555554E-3</v>
      </c>
      <c r="AD69" s="77">
        <f t="shared" ref="AD69:AF132" si="196">1-(1-AC69)^(1/12)</f>
        <v>6.7378764057135498E-4</v>
      </c>
      <c r="AE69" s="77">
        <f t="shared" si="32"/>
        <v>2.5000000000000001E-3</v>
      </c>
      <c r="AF69" s="77">
        <f t="shared" si="196"/>
        <v>2.0857243058891584E-4</v>
      </c>
      <c r="AH69" t="s">
        <v>175</v>
      </c>
      <c r="AI69" t="s">
        <v>176</v>
      </c>
      <c r="AJ69" s="197" t="str">
        <f t="shared" si="88"/>
        <v>Lifecycle_Balanced_476</v>
      </c>
      <c r="AK69">
        <v>476</v>
      </c>
      <c r="AL69">
        <f>VLOOKUP($U69,[2]Standard_Balanced!$Q$1:$T$542,2,FALSE)</f>
        <v>0.77777777777777779</v>
      </c>
      <c r="AM69">
        <f>VLOOKUP($U69,[2]Standard_Balanced!$Q$1:$T$542,3,FALSE)</f>
        <v>0.22222222222222221</v>
      </c>
      <c r="AN69">
        <f>VLOOKUP($U69,[2]Standard_Balanced!$Q$1:$T$542,4,FALSE)</f>
        <v>0</v>
      </c>
      <c r="AO69" s="77">
        <f t="shared" si="182"/>
        <v>1</v>
      </c>
      <c r="AP69" s="77">
        <f t="shared" si="33"/>
        <v>6.1674999999999987E-2</v>
      </c>
      <c r="AQ69" s="77">
        <f t="shared" si="90"/>
        <v>4.9997781870025904E-3</v>
      </c>
      <c r="AR69" s="79">
        <v>0</v>
      </c>
      <c r="AS69" s="77">
        <f t="shared" si="34"/>
        <v>0</v>
      </c>
      <c r="AT69" s="77">
        <f t="shared" ref="AT69" si="197">1-(1-AS69)^(1/12)</f>
        <v>0</v>
      </c>
      <c r="AU69" s="77">
        <f t="shared" si="36"/>
        <v>2.5000000000000001E-3</v>
      </c>
      <c r="AV69" s="77">
        <f t="shared" ref="AV69" si="198">1-(1-AU69)^(1/12)</f>
        <v>2.0857243058891584E-4</v>
      </c>
      <c r="AX69" t="s">
        <v>178</v>
      </c>
      <c r="AY69" t="s">
        <v>160</v>
      </c>
      <c r="AZ69" s="197" t="str">
        <f t="shared" si="93"/>
        <v>DIS_Non-Standard_476</v>
      </c>
      <c r="BA69">
        <v>476</v>
      </c>
      <c r="BB69">
        <f>VLOOKUP($BA69,'[2]NonStandard DIS'!$Q$1:$X$542,2,FALSE)</f>
        <v>0</v>
      </c>
      <c r="BC69">
        <f>VLOOKUP($BA69,'[2]NonStandard DIS'!$Q$1:$X$542,3,FALSE)</f>
        <v>0</v>
      </c>
      <c r="BD69">
        <f>VLOOKUP($BA69,'[2]NonStandard DIS'!$Q$1:$X$542,4,FALSE)</f>
        <v>0.308</v>
      </c>
      <c r="BE69">
        <f>VLOOKUP($BA69,'[2]NonStandard DIS'!$Q$1:$X$542,5,FALSE)</f>
        <v>0.69199999999999995</v>
      </c>
      <c r="BF69">
        <f>VLOOKUP($BA69,'[2]NonStandard DIS'!$Q$1:$X$542,6,FALSE)</f>
        <v>0</v>
      </c>
      <c r="BG69">
        <f>VLOOKUP($BA69,'[2]NonStandard DIS'!$Q$1:$X$542,7,FALSE)</f>
        <v>0</v>
      </c>
      <c r="BH69">
        <f>VLOOKUP($BA69,'[2]NonStandard DIS'!$Q$1:$X$542,8,FALSE)</f>
        <v>0</v>
      </c>
      <c r="BI69" s="77">
        <f t="shared" ref="BI69:BI132" si="199">SUM(BB69:BH69)</f>
        <v>1</v>
      </c>
      <c r="BJ69" s="77">
        <f t="shared" ref="BJ69:BJ132" si="200">SUMPRODUCT($BB$1:$BH$1,BB69:BH69)</f>
        <v>6.9728499999999985E-2</v>
      </c>
      <c r="BK69" s="77">
        <f t="shared" si="180"/>
        <v>5.632878498097682E-3</v>
      </c>
      <c r="BL69" s="79">
        <v>0</v>
      </c>
      <c r="BM69" s="77">
        <f t="shared" si="38"/>
        <v>0</v>
      </c>
      <c r="BN69" s="77">
        <f t="shared" si="39"/>
        <v>0</v>
      </c>
      <c r="BO69" s="77">
        <f t="shared" si="40"/>
        <v>5.6775999999999997E-3</v>
      </c>
      <c r="BP69" s="77">
        <f t="shared" si="41"/>
        <v>4.7190657760731725E-4</v>
      </c>
    </row>
    <row r="70" spans="1:68">
      <c r="A70" t="s">
        <v>175</v>
      </c>
      <c r="B70" t="s">
        <v>176</v>
      </c>
      <c r="C70" s="197" t="str">
        <f t="shared" si="82"/>
        <v>Lifecycle_Balanced_475</v>
      </c>
      <c r="D70">
        <v>475</v>
      </c>
      <c r="E70">
        <f>VLOOKUP($D70,'[2]LC Balanced'!$Q$2:$U$542,2,FALSE)</f>
        <v>0</v>
      </c>
      <c r="F70">
        <f>VLOOKUP($D70,'[2]LC Balanced'!$Q$2:$U$542,3,FALSE)</f>
        <v>0.14899999999999999</v>
      </c>
      <c r="G70">
        <f>VLOOKUP($D70,'[2]LC Balanced'!$Q$2:$U$542,4,FALSE)</f>
        <v>0.85099999999999998</v>
      </c>
      <c r="H70">
        <f>VLOOKUP($D70,'[2]LC Balanced'!$Q$2:$U$542,5,FALSE)</f>
        <v>0</v>
      </c>
      <c r="I70" s="77">
        <f t="shared" si="194"/>
        <v>1</v>
      </c>
      <c r="J70" s="77">
        <f t="shared" si="195"/>
        <v>6.1987699999999986E-2</v>
      </c>
      <c r="K70" s="77">
        <f t="shared" si="185"/>
        <v>5.024442123284345E-3</v>
      </c>
      <c r="L70" s="76">
        <v>0</v>
      </c>
      <c r="M70" s="77">
        <f t="shared" ref="M70:M133" si="201">IF($L70=0,0,SUMPRODUCT($E$3:$H$3,E70:H70))</f>
        <v>0</v>
      </c>
      <c r="N70" s="77">
        <f t="shared" ref="N70:N133" si="202">1-(1-M70)^(1/12)</f>
        <v>0</v>
      </c>
      <c r="O70" s="77">
        <f t="shared" ref="O70:O133" si="203">SUMPRODUCT($E$2:$H$2,E70:H70)</f>
        <v>7.0062999999999992E-3</v>
      </c>
      <c r="P70" s="77">
        <f t="shared" ref="P70:P133" si="204">1-(1-O70)^(1/12)</f>
        <v>5.85741666996209E-4</v>
      </c>
      <c r="R70" t="s">
        <v>177</v>
      </c>
      <c r="S70" t="s">
        <v>176</v>
      </c>
      <c r="T70" s="197" t="str">
        <f t="shared" si="84"/>
        <v>Autopilot_Balanced_475</v>
      </c>
      <c r="U70">
        <v>475</v>
      </c>
      <c r="V70">
        <f>VLOOKUP($U70,'[2]AP Balanced'!$Q$1:$T$542,2,FALSE)</f>
        <v>0.77777777777777779</v>
      </c>
      <c r="W70">
        <f>VLOOKUP($U70,'[2]AP Balanced'!$Q$1:$T$542,3,FALSE)</f>
        <v>0.22222222222222221</v>
      </c>
      <c r="X70">
        <f>VLOOKUP($U70,'[2]AP Balanced'!$Q$1:$T$542,4,FALSE)</f>
        <v>0</v>
      </c>
      <c r="Y70" s="77">
        <f t="shared" si="85"/>
        <v>1</v>
      </c>
      <c r="Z70" s="77">
        <f t="shared" si="181"/>
        <v>6.1674999999999987E-2</v>
      </c>
      <c r="AA70" s="77">
        <f t="shared" si="87"/>
        <v>4.9997781870025904E-3</v>
      </c>
      <c r="AB70" s="79">
        <v>1</v>
      </c>
      <c r="AC70" s="77">
        <f t="shared" ref="AC70:AC133" si="205">IF($AB70=0,0,SUMPRODUCT($V$3:$X$3,V70:X70))</f>
        <v>8.0555555555555554E-3</v>
      </c>
      <c r="AD70" s="77">
        <f t="shared" si="196"/>
        <v>6.7378764057135498E-4</v>
      </c>
      <c r="AE70" s="77">
        <f t="shared" ref="AE70:AE133" si="206">SUMPRODUCT($V$2:$X$2,V70:X70)</f>
        <v>2.5000000000000001E-3</v>
      </c>
      <c r="AF70" s="77">
        <f t="shared" si="196"/>
        <v>2.0857243058891584E-4</v>
      </c>
      <c r="AH70" t="s">
        <v>175</v>
      </c>
      <c r="AI70" t="s">
        <v>176</v>
      </c>
      <c r="AJ70" s="197" t="str">
        <f t="shared" si="88"/>
        <v>Lifecycle_Balanced_475</v>
      </c>
      <c r="AK70">
        <v>475</v>
      </c>
      <c r="AL70">
        <f>VLOOKUP($U70,[2]Standard_Balanced!$Q$1:$T$542,2,FALSE)</f>
        <v>0.77777777777777779</v>
      </c>
      <c r="AM70">
        <f>VLOOKUP($U70,[2]Standard_Balanced!$Q$1:$T$542,3,FALSE)</f>
        <v>0.22222222222222221</v>
      </c>
      <c r="AN70">
        <f>VLOOKUP($U70,[2]Standard_Balanced!$Q$1:$T$542,4,FALSE)</f>
        <v>0</v>
      </c>
      <c r="AO70" s="77">
        <f t="shared" si="182"/>
        <v>1</v>
      </c>
      <c r="AP70" s="77">
        <f t="shared" ref="AP70:AP133" si="207">SUMPRODUCT($AL$1:$AN$1,AL70:AN70)</f>
        <v>6.1674999999999987E-2</v>
      </c>
      <c r="AQ70" s="77">
        <f t="shared" si="90"/>
        <v>4.9997781870025904E-3</v>
      </c>
      <c r="AR70" s="79">
        <v>0</v>
      </c>
      <c r="AS70" s="77">
        <f t="shared" ref="AS70:AS133" si="208">IF(AR70=0,0,SUMPRODUCT($AL$3:$AN$3,AL70:AN70))</f>
        <v>0</v>
      </c>
      <c r="AT70" s="77">
        <f t="shared" ref="AT70" si="209">1-(1-AS70)^(1/12)</f>
        <v>0</v>
      </c>
      <c r="AU70" s="77">
        <f t="shared" ref="AU70:AU133" si="210">SUMPRODUCT($AL$2:$AN$2,AL70:AN70)</f>
        <v>2.5000000000000001E-3</v>
      </c>
      <c r="AV70" s="77">
        <f t="shared" ref="AV70" si="211">1-(1-AU70)^(1/12)</f>
        <v>2.0857243058891584E-4</v>
      </c>
      <c r="AX70" t="s">
        <v>178</v>
      </c>
      <c r="AY70" t="s">
        <v>160</v>
      </c>
      <c r="AZ70" s="197" t="str">
        <f t="shared" si="93"/>
        <v>DIS_Non-Standard_475</v>
      </c>
      <c r="BA70">
        <v>475</v>
      </c>
      <c r="BB70">
        <f>VLOOKUP($BA70,'[2]NonStandard DIS'!$Q$1:$X$542,2,FALSE)</f>
        <v>0</v>
      </c>
      <c r="BC70">
        <f>VLOOKUP($BA70,'[2]NonStandard DIS'!$Q$1:$X$542,3,FALSE)</f>
        <v>0</v>
      </c>
      <c r="BD70">
        <f>VLOOKUP($BA70,'[2]NonStandard DIS'!$Q$1:$X$542,4,FALSE)</f>
        <v>0.308</v>
      </c>
      <c r="BE70">
        <f>VLOOKUP($BA70,'[2]NonStandard DIS'!$Q$1:$X$542,5,FALSE)</f>
        <v>0.69199999999999995</v>
      </c>
      <c r="BF70">
        <f>VLOOKUP($BA70,'[2]NonStandard DIS'!$Q$1:$X$542,6,FALSE)</f>
        <v>0</v>
      </c>
      <c r="BG70">
        <f>VLOOKUP($BA70,'[2]NonStandard DIS'!$Q$1:$X$542,7,FALSE)</f>
        <v>0</v>
      </c>
      <c r="BH70">
        <f>VLOOKUP($BA70,'[2]NonStandard DIS'!$Q$1:$X$542,8,FALSE)</f>
        <v>0</v>
      </c>
      <c r="BI70" s="77">
        <f t="shared" si="199"/>
        <v>1</v>
      </c>
      <c r="BJ70" s="77">
        <f t="shared" si="200"/>
        <v>6.9728499999999985E-2</v>
      </c>
      <c r="BK70" s="77">
        <f t="shared" si="180"/>
        <v>5.632878498097682E-3</v>
      </c>
      <c r="BL70" s="79">
        <v>0</v>
      </c>
      <c r="BM70" s="77">
        <f t="shared" ref="BM70:BM133" si="212">IF(BL70=0,0,SUMPRODUCT($BB$3:$BH$3,BB70:BH70))</f>
        <v>0</v>
      </c>
      <c r="BN70" s="77">
        <f t="shared" ref="BN70:BN133" si="213">(1+BM70)^(1/12)-1</f>
        <v>0</v>
      </c>
      <c r="BO70" s="77">
        <f t="shared" ref="BO70:BO133" si="214">SUMPRODUCT($BB$2:$BH$2,BB70:BH70)</f>
        <v>5.6775999999999997E-3</v>
      </c>
      <c r="BP70" s="77">
        <f t="shared" ref="BP70:BP133" si="215">(1+BO70)^(1/12)-1</f>
        <v>4.7190657760731725E-4</v>
      </c>
    </row>
    <row r="71" spans="1:68">
      <c r="A71" t="s">
        <v>175</v>
      </c>
      <c r="B71" t="s">
        <v>176</v>
      </c>
      <c r="C71" s="197" t="str">
        <f t="shared" si="82"/>
        <v>Lifecycle_Balanced_474</v>
      </c>
      <c r="D71">
        <v>474</v>
      </c>
      <c r="E71">
        <f>VLOOKUP($D71,'[2]LC Balanced'!$Q$2:$U$542,2,FALSE)</f>
        <v>0</v>
      </c>
      <c r="F71">
        <f>VLOOKUP($D71,'[2]LC Balanced'!$Q$2:$U$542,3,FALSE)</f>
        <v>0.14899999999999999</v>
      </c>
      <c r="G71">
        <f>VLOOKUP($D71,'[2]LC Balanced'!$Q$2:$U$542,4,FALSE)</f>
        <v>0.85099999999999998</v>
      </c>
      <c r="H71">
        <f>VLOOKUP($D71,'[2]LC Balanced'!$Q$2:$U$542,5,FALSE)</f>
        <v>0</v>
      </c>
      <c r="I71" s="77">
        <f t="shared" si="194"/>
        <v>1</v>
      </c>
      <c r="J71" s="77">
        <f t="shared" si="195"/>
        <v>6.1987699999999986E-2</v>
      </c>
      <c r="K71" s="77">
        <f t="shared" si="185"/>
        <v>5.024442123284345E-3</v>
      </c>
      <c r="L71" s="76">
        <v>0</v>
      </c>
      <c r="M71" s="77">
        <f t="shared" si="201"/>
        <v>0</v>
      </c>
      <c r="N71" s="77">
        <f t="shared" si="202"/>
        <v>0</v>
      </c>
      <c r="O71" s="77">
        <f t="shared" si="203"/>
        <v>7.0062999999999992E-3</v>
      </c>
      <c r="P71" s="77">
        <f t="shared" si="204"/>
        <v>5.85741666996209E-4</v>
      </c>
      <c r="R71" t="s">
        <v>177</v>
      </c>
      <c r="S71" t="s">
        <v>176</v>
      </c>
      <c r="T71" s="197" t="str">
        <f t="shared" si="84"/>
        <v>Autopilot_Balanced_474</v>
      </c>
      <c r="U71">
        <v>474</v>
      </c>
      <c r="V71">
        <f>VLOOKUP($U71,'[2]AP Balanced'!$Q$1:$T$542,2,FALSE)</f>
        <v>0.77777777777777779</v>
      </c>
      <c r="W71">
        <f>VLOOKUP($U71,'[2]AP Balanced'!$Q$1:$T$542,3,FALSE)</f>
        <v>0.22222222222222221</v>
      </c>
      <c r="X71">
        <f>VLOOKUP($U71,'[2]AP Balanced'!$Q$1:$T$542,4,FALSE)</f>
        <v>0</v>
      </c>
      <c r="Y71" s="77">
        <f t="shared" si="85"/>
        <v>1</v>
      </c>
      <c r="Z71" s="77">
        <f t="shared" si="181"/>
        <v>6.1674999999999987E-2</v>
      </c>
      <c r="AA71" s="77">
        <f t="shared" si="87"/>
        <v>4.9997781870025904E-3</v>
      </c>
      <c r="AB71" s="79">
        <v>1</v>
      </c>
      <c r="AC71" s="77">
        <f t="shared" si="205"/>
        <v>8.0555555555555554E-3</v>
      </c>
      <c r="AD71" s="77">
        <f t="shared" si="196"/>
        <v>6.7378764057135498E-4</v>
      </c>
      <c r="AE71" s="77">
        <f t="shared" si="206"/>
        <v>2.5000000000000001E-3</v>
      </c>
      <c r="AF71" s="77">
        <f t="shared" si="196"/>
        <v>2.0857243058891584E-4</v>
      </c>
      <c r="AH71" t="s">
        <v>175</v>
      </c>
      <c r="AI71" t="s">
        <v>176</v>
      </c>
      <c r="AJ71" s="197" t="str">
        <f t="shared" si="88"/>
        <v>Lifecycle_Balanced_474</v>
      </c>
      <c r="AK71">
        <v>474</v>
      </c>
      <c r="AL71">
        <f>VLOOKUP($U71,[2]Standard_Balanced!$Q$1:$T$542,2,FALSE)</f>
        <v>0.77777777777777779</v>
      </c>
      <c r="AM71">
        <f>VLOOKUP($U71,[2]Standard_Balanced!$Q$1:$T$542,3,FALSE)</f>
        <v>0.22222222222222221</v>
      </c>
      <c r="AN71">
        <f>VLOOKUP($U71,[2]Standard_Balanced!$Q$1:$T$542,4,FALSE)</f>
        <v>0</v>
      </c>
      <c r="AO71" s="77">
        <f t="shared" si="182"/>
        <v>1</v>
      </c>
      <c r="AP71" s="77">
        <f t="shared" si="207"/>
        <v>6.1674999999999987E-2</v>
      </c>
      <c r="AQ71" s="77">
        <f t="shared" si="90"/>
        <v>4.9997781870025904E-3</v>
      </c>
      <c r="AR71" s="79">
        <v>0</v>
      </c>
      <c r="AS71" s="77">
        <f t="shared" si="208"/>
        <v>0</v>
      </c>
      <c r="AT71" s="77">
        <f t="shared" ref="AT71" si="216">1-(1-AS71)^(1/12)</f>
        <v>0</v>
      </c>
      <c r="AU71" s="77">
        <f t="shared" si="210"/>
        <v>2.5000000000000001E-3</v>
      </c>
      <c r="AV71" s="77">
        <f t="shared" ref="AV71" si="217">1-(1-AU71)^(1/12)</f>
        <v>2.0857243058891584E-4</v>
      </c>
      <c r="AX71" t="s">
        <v>178</v>
      </c>
      <c r="AY71" t="s">
        <v>160</v>
      </c>
      <c r="AZ71" s="197" t="str">
        <f t="shared" si="93"/>
        <v>DIS_Non-Standard_474</v>
      </c>
      <c r="BA71">
        <v>474</v>
      </c>
      <c r="BB71">
        <f>VLOOKUP($BA71,'[2]NonStandard DIS'!$Q$1:$X$542,2,FALSE)</f>
        <v>0</v>
      </c>
      <c r="BC71">
        <f>VLOOKUP($BA71,'[2]NonStandard DIS'!$Q$1:$X$542,3,FALSE)</f>
        <v>0</v>
      </c>
      <c r="BD71">
        <f>VLOOKUP($BA71,'[2]NonStandard DIS'!$Q$1:$X$542,4,FALSE)</f>
        <v>0.308</v>
      </c>
      <c r="BE71">
        <f>VLOOKUP($BA71,'[2]NonStandard DIS'!$Q$1:$X$542,5,FALSE)</f>
        <v>0.69199999999999995</v>
      </c>
      <c r="BF71">
        <f>VLOOKUP($BA71,'[2]NonStandard DIS'!$Q$1:$X$542,6,FALSE)</f>
        <v>0</v>
      </c>
      <c r="BG71">
        <f>VLOOKUP($BA71,'[2]NonStandard DIS'!$Q$1:$X$542,7,FALSE)</f>
        <v>0</v>
      </c>
      <c r="BH71">
        <f>VLOOKUP($BA71,'[2]NonStandard DIS'!$Q$1:$X$542,8,FALSE)</f>
        <v>0</v>
      </c>
      <c r="BI71" s="77">
        <f t="shared" si="199"/>
        <v>1</v>
      </c>
      <c r="BJ71" s="77">
        <f t="shared" si="200"/>
        <v>6.9728499999999985E-2</v>
      </c>
      <c r="BK71" s="77">
        <f t="shared" si="180"/>
        <v>5.632878498097682E-3</v>
      </c>
      <c r="BL71" s="79">
        <v>0</v>
      </c>
      <c r="BM71" s="77">
        <f t="shared" si="212"/>
        <v>0</v>
      </c>
      <c r="BN71" s="77">
        <f t="shared" si="213"/>
        <v>0</v>
      </c>
      <c r="BO71" s="77">
        <f t="shared" si="214"/>
        <v>5.6775999999999997E-3</v>
      </c>
      <c r="BP71" s="77">
        <f t="shared" si="215"/>
        <v>4.7190657760731725E-4</v>
      </c>
    </row>
    <row r="72" spans="1:68">
      <c r="A72" t="s">
        <v>175</v>
      </c>
      <c r="B72" t="s">
        <v>176</v>
      </c>
      <c r="C72" s="197" t="str">
        <f t="shared" si="82"/>
        <v>Lifecycle_Balanced_473</v>
      </c>
      <c r="D72">
        <v>473</v>
      </c>
      <c r="E72">
        <f>VLOOKUP($D72,'[2]LC Balanced'!$Q$2:$U$542,2,FALSE)</f>
        <v>0</v>
      </c>
      <c r="F72">
        <f>VLOOKUP($D72,'[2]LC Balanced'!$Q$2:$U$542,3,FALSE)</f>
        <v>0.14899999999999999</v>
      </c>
      <c r="G72">
        <f>VLOOKUP($D72,'[2]LC Balanced'!$Q$2:$U$542,4,FALSE)</f>
        <v>0.85099999999999998</v>
      </c>
      <c r="H72">
        <f>VLOOKUP($D72,'[2]LC Balanced'!$Q$2:$U$542,5,FALSE)</f>
        <v>0</v>
      </c>
      <c r="I72" s="77">
        <f t="shared" si="194"/>
        <v>1</v>
      </c>
      <c r="J72" s="77">
        <f t="shared" si="195"/>
        <v>6.1987699999999986E-2</v>
      </c>
      <c r="K72" s="77">
        <f t="shared" si="185"/>
        <v>5.024442123284345E-3</v>
      </c>
      <c r="L72" s="76">
        <v>0</v>
      </c>
      <c r="M72" s="77">
        <f t="shared" si="201"/>
        <v>0</v>
      </c>
      <c r="N72" s="77">
        <f t="shared" si="202"/>
        <v>0</v>
      </c>
      <c r="O72" s="77">
        <f t="shared" si="203"/>
        <v>7.0062999999999992E-3</v>
      </c>
      <c r="P72" s="77">
        <f t="shared" si="204"/>
        <v>5.85741666996209E-4</v>
      </c>
      <c r="R72" t="s">
        <v>177</v>
      </c>
      <c r="S72" t="s">
        <v>176</v>
      </c>
      <c r="T72" s="197" t="str">
        <f t="shared" si="84"/>
        <v>Autopilot_Balanced_473</v>
      </c>
      <c r="U72">
        <v>473</v>
      </c>
      <c r="V72">
        <f>VLOOKUP($U72,'[2]AP Balanced'!$Q$1:$T$542,2,FALSE)</f>
        <v>0.77777777777777779</v>
      </c>
      <c r="W72">
        <f>VLOOKUP($U72,'[2]AP Balanced'!$Q$1:$T$542,3,FALSE)</f>
        <v>0.22222222222222221</v>
      </c>
      <c r="X72">
        <f>VLOOKUP($U72,'[2]AP Balanced'!$Q$1:$T$542,4,FALSE)</f>
        <v>0</v>
      </c>
      <c r="Y72" s="77">
        <f t="shared" si="85"/>
        <v>1</v>
      </c>
      <c r="Z72" s="77">
        <f t="shared" si="181"/>
        <v>6.1674999999999987E-2</v>
      </c>
      <c r="AA72" s="77">
        <f t="shared" si="87"/>
        <v>4.9997781870025904E-3</v>
      </c>
      <c r="AB72" s="79">
        <v>1</v>
      </c>
      <c r="AC72" s="77">
        <f t="shared" si="205"/>
        <v>8.0555555555555554E-3</v>
      </c>
      <c r="AD72" s="77">
        <f t="shared" si="196"/>
        <v>6.7378764057135498E-4</v>
      </c>
      <c r="AE72" s="77">
        <f t="shared" si="206"/>
        <v>2.5000000000000001E-3</v>
      </c>
      <c r="AF72" s="77">
        <f t="shared" si="196"/>
        <v>2.0857243058891584E-4</v>
      </c>
      <c r="AH72" t="s">
        <v>175</v>
      </c>
      <c r="AI72" t="s">
        <v>176</v>
      </c>
      <c r="AJ72" s="197" t="str">
        <f t="shared" si="88"/>
        <v>Lifecycle_Balanced_473</v>
      </c>
      <c r="AK72">
        <v>473</v>
      </c>
      <c r="AL72">
        <f>VLOOKUP($U72,[2]Standard_Balanced!$Q$1:$T$542,2,FALSE)</f>
        <v>0.77777777777777779</v>
      </c>
      <c r="AM72">
        <f>VLOOKUP($U72,[2]Standard_Balanced!$Q$1:$T$542,3,FALSE)</f>
        <v>0.22222222222222221</v>
      </c>
      <c r="AN72">
        <f>VLOOKUP($U72,[2]Standard_Balanced!$Q$1:$T$542,4,FALSE)</f>
        <v>0</v>
      </c>
      <c r="AO72" s="77">
        <f t="shared" si="182"/>
        <v>1</v>
      </c>
      <c r="AP72" s="77">
        <f t="shared" si="207"/>
        <v>6.1674999999999987E-2</v>
      </c>
      <c r="AQ72" s="77">
        <f t="shared" si="90"/>
        <v>4.9997781870025904E-3</v>
      </c>
      <c r="AR72" s="79">
        <v>0</v>
      </c>
      <c r="AS72" s="77">
        <f t="shared" si="208"/>
        <v>0</v>
      </c>
      <c r="AT72" s="77">
        <f t="shared" ref="AT72" si="218">1-(1-AS72)^(1/12)</f>
        <v>0</v>
      </c>
      <c r="AU72" s="77">
        <f t="shared" si="210"/>
        <v>2.5000000000000001E-3</v>
      </c>
      <c r="AV72" s="77">
        <f t="shared" ref="AV72" si="219">1-(1-AU72)^(1/12)</f>
        <v>2.0857243058891584E-4</v>
      </c>
      <c r="AX72" t="s">
        <v>178</v>
      </c>
      <c r="AY72" t="s">
        <v>160</v>
      </c>
      <c r="AZ72" s="197" t="str">
        <f t="shared" si="93"/>
        <v>DIS_Non-Standard_473</v>
      </c>
      <c r="BA72">
        <v>473</v>
      </c>
      <c r="BB72">
        <f>VLOOKUP($BA72,'[2]NonStandard DIS'!$Q$1:$X$542,2,FALSE)</f>
        <v>0</v>
      </c>
      <c r="BC72">
        <f>VLOOKUP($BA72,'[2]NonStandard DIS'!$Q$1:$X$542,3,FALSE)</f>
        <v>0</v>
      </c>
      <c r="BD72">
        <f>VLOOKUP($BA72,'[2]NonStandard DIS'!$Q$1:$X$542,4,FALSE)</f>
        <v>0.308</v>
      </c>
      <c r="BE72">
        <f>VLOOKUP($BA72,'[2]NonStandard DIS'!$Q$1:$X$542,5,FALSE)</f>
        <v>0.69199999999999995</v>
      </c>
      <c r="BF72">
        <f>VLOOKUP($BA72,'[2]NonStandard DIS'!$Q$1:$X$542,6,FALSE)</f>
        <v>0</v>
      </c>
      <c r="BG72">
        <f>VLOOKUP($BA72,'[2]NonStandard DIS'!$Q$1:$X$542,7,FALSE)</f>
        <v>0</v>
      </c>
      <c r="BH72">
        <f>VLOOKUP($BA72,'[2]NonStandard DIS'!$Q$1:$X$542,8,FALSE)</f>
        <v>0</v>
      </c>
      <c r="BI72" s="77">
        <f t="shared" si="199"/>
        <v>1</v>
      </c>
      <c r="BJ72" s="77">
        <f t="shared" si="200"/>
        <v>6.9728499999999985E-2</v>
      </c>
      <c r="BK72" s="77">
        <f t="shared" si="180"/>
        <v>5.632878498097682E-3</v>
      </c>
      <c r="BL72" s="79">
        <v>0</v>
      </c>
      <c r="BM72" s="77">
        <f t="shared" si="212"/>
        <v>0</v>
      </c>
      <c r="BN72" s="77">
        <f t="shared" si="213"/>
        <v>0</v>
      </c>
      <c r="BO72" s="77">
        <f t="shared" si="214"/>
        <v>5.6775999999999997E-3</v>
      </c>
      <c r="BP72" s="77">
        <f t="shared" si="215"/>
        <v>4.7190657760731725E-4</v>
      </c>
    </row>
    <row r="73" spans="1:68">
      <c r="A73" t="s">
        <v>175</v>
      </c>
      <c r="B73" t="s">
        <v>176</v>
      </c>
      <c r="C73" s="197" t="str">
        <f t="shared" si="82"/>
        <v>Lifecycle_Balanced_472</v>
      </c>
      <c r="D73">
        <v>472</v>
      </c>
      <c r="E73">
        <f>VLOOKUP($D73,'[2]LC Balanced'!$Q$2:$U$542,2,FALSE)</f>
        <v>0</v>
      </c>
      <c r="F73">
        <f>VLOOKUP($D73,'[2]LC Balanced'!$Q$2:$U$542,3,FALSE)</f>
        <v>0.14899999999999999</v>
      </c>
      <c r="G73">
        <f>VLOOKUP($D73,'[2]LC Balanced'!$Q$2:$U$542,4,FALSE)</f>
        <v>0.85099999999999998</v>
      </c>
      <c r="H73">
        <f>VLOOKUP($D73,'[2]LC Balanced'!$Q$2:$U$542,5,FALSE)</f>
        <v>0</v>
      </c>
      <c r="I73" s="77">
        <f t="shared" si="194"/>
        <v>1</v>
      </c>
      <c r="J73" s="77">
        <f t="shared" si="195"/>
        <v>6.1987699999999986E-2</v>
      </c>
      <c r="K73" s="77">
        <f t="shared" si="185"/>
        <v>5.024442123284345E-3</v>
      </c>
      <c r="L73" s="76">
        <v>0</v>
      </c>
      <c r="M73" s="77">
        <f t="shared" si="201"/>
        <v>0</v>
      </c>
      <c r="N73" s="77">
        <f t="shared" si="202"/>
        <v>0</v>
      </c>
      <c r="O73" s="77">
        <f t="shared" si="203"/>
        <v>7.0062999999999992E-3</v>
      </c>
      <c r="P73" s="77">
        <f t="shared" si="204"/>
        <v>5.85741666996209E-4</v>
      </c>
      <c r="R73" t="s">
        <v>177</v>
      </c>
      <c r="S73" t="s">
        <v>176</v>
      </c>
      <c r="T73" s="197" t="str">
        <f t="shared" si="84"/>
        <v>Autopilot_Balanced_472</v>
      </c>
      <c r="U73">
        <v>472</v>
      </c>
      <c r="V73">
        <f>VLOOKUP($U73,'[2]AP Balanced'!$Q$1:$T$542,2,FALSE)</f>
        <v>0.77777777777777779</v>
      </c>
      <c r="W73">
        <f>VLOOKUP($U73,'[2]AP Balanced'!$Q$1:$T$542,3,FALSE)</f>
        <v>0.22222222222222221</v>
      </c>
      <c r="X73">
        <f>VLOOKUP($U73,'[2]AP Balanced'!$Q$1:$T$542,4,FALSE)</f>
        <v>0</v>
      </c>
      <c r="Y73" s="77">
        <f t="shared" si="85"/>
        <v>1</v>
      </c>
      <c r="Z73" s="77">
        <f t="shared" si="181"/>
        <v>6.1674999999999987E-2</v>
      </c>
      <c r="AA73" s="77">
        <f t="shared" si="87"/>
        <v>4.9997781870025904E-3</v>
      </c>
      <c r="AB73" s="79">
        <v>1</v>
      </c>
      <c r="AC73" s="77">
        <f t="shared" si="205"/>
        <v>8.0555555555555554E-3</v>
      </c>
      <c r="AD73" s="77">
        <f t="shared" si="196"/>
        <v>6.7378764057135498E-4</v>
      </c>
      <c r="AE73" s="77">
        <f t="shared" si="206"/>
        <v>2.5000000000000001E-3</v>
      </c>
      <c r="AF73" s="77">
        <f t="shared" si="196"/>
        <v>2.0857243058891584E-4</v>
      </c>
      <c r="AH73" t="s">
        <v>175</v>
      </c>
      <c r="AI73" t="s">
        <v>176</v>
      </c>
      <c r="AJ73" s="197" t="str">
        <f t="shared" si="88"/>
        <v>Lifecycle_Balanced_472</v>
      </c>
      <c r="AK73">
        <v>472</v>
      </c>
      <c r="AL73">
        <f>VLOOKUP($U73,[2]Standard_Balanced!$Q$1:$T$542,2,FALSE)</f>
        <v>0.77777777777777779</v>
      </c>
      <c r="AM73">
        <f>VLOOKUP($U73,[2]Standard_Balanced!$Q$1:$T$542,3,FALSE)</f>
        <v>0.22222222222222221</v>
      </c>
      <c r="AN73">
        <f>VLOOKUP($U73,[2]Standard_Balanced!$Q$1:$T$542,4,FALSE)</f>
        <v>0</v>
      </c>
      <c r="AO73" s="77">
        <f t="shared" si="182"/>
        <v>1</v>
      </c>
      <c r="AP73" s="77">
        <f t="shared" si="207"/>
        <v>6.1674999999999987E-2</v>
      </c>
      <c r="AQ73" s="77">
        <f t="shared" si="90"/>
        <v>4.9997781870025904E-3</v>
      </c>
      <c r="AR73" s="79">
        <v>0</v>
      </c>
      <c r="AS73" s="77">
        <f t="shared" si="208"/>
        <v>0</v>
      </c>
      <c r="AT73" s="77">
        <f t="shared" ref="AT73" si="220">1-(1-AS73)^(1/12)</f>
        <v>0</v>
      </c>
      <c r="AU73" s="77">
        <f t="shared" si="210"/>
        <v>2.5000000000000001E-3</v>
      </c>
      <c r="AV73" s="77">
        <f t="shared" ref="AV73" si="221">1-(1-AU73)^(1/12)</f>
        <v>2.0857243058891584E-4</v>
      </c>
      <c r="AX73" t="s">
        <v>178</v>
      </c>
      <c r="AY73" t="s">
        <v>160</v>
      </c>
      <c r="AZ73" s="197" t="str">
        <f t="shared" si="93"/>
        <v>DIS_Non-Standard_472</v>
      </c>
      <c r="BA73">
        <v>472</v>
      </c>
      <c r="BB73">
        <f>VLOOKUP($BA73,'[2]NonStandard DIS'!$Q$1:$X$542,2,FALSE)</f>
        <v>0</v>
      </c>
      <c r="BC73">
        <f>VLOOKUP($BA73,'[2]NonStandard DIS'!$Q$1:$X$542,3,FALSE)</f>
        <v>0</v>
      </c>
      <c r="BD73">
        <f>VLOOKUP($BA73,'[2]NonStandard DIS'!$Q$1:$X$542,4,FALSE)</f>
        <v>0.308</v>
      </c>
      <c r="BE73">
        <f>VLOOKUP($BA73,'[2]NonStandard DIS'!$Q$1:$X$542,5,FALSE)</f>
        <v>0.69199999999999995</v>
      </c>
      <c r="BF73">
        <f>VLOOKUP($BA73,'[2]NonStandard DIS'!$Q$1:$X$542,6,FALSE)</f>
        <v>0</v>
      </c>
      <c r="BG73">
        <f>VLOOKUP($BA73,'[2]NonStandard DIS'!$Q$1:$X$542,7,FALSE)</f>
        <v>0</v>
      </c>
      <c r="BH73">
        <f>VLOOKUP($BA73,'[2]NonStandard DIS'!$Q$1:$X$542,8,FALSE)</f>
        <v>0</v>
      </c>
      <c r="BI73" s="77">
        <f t="shared" si="199"/>
        <v>1</v>
      </c>
      <c r="BJ73" s="77">
        <f t="shared" si="200"/>
        <v>6.9728499999999985E-2</v>
      </c>
      <c r="BK73" s="77">
        <f t="shared" si="180"/>
        <v>5.632878498097682E-3</v>
      </c>
      <c r="BL73" s="79">
        <v>0</v>
      </c>
      <c r="BM73" s="77">
        <f t="shared" si="212"/>
        <v>0</v>
      </c>
      <c r="BN73" s="77">
        <f t="shared" si="213"/>
        <v>0</v>
      </c>
      <c r="BO73" s="77">
        <f t="shared" si="214"/>
        <v>5.6775999999999997E-3</v>
      </c>
      <c r="BP73" s="77">
        <f t="shared" si="215"/>
        <v>4.7190657760731725E-4</v>
      </c>
    </row>
    <row r="74" spans="1:68">
      <c r="A74" t="s">
        <v>175</v>
      </c>
      <c r="B74" t="s">
        <v>176</v>
      </c>
      <c r="C74" s="197" t="str">
        <f t="shared" si="82"/>
        <v>Lifecycle_Balanced_471</v>
      </c>
      <c r="D74">
        <v>471</v>
      </c>
      <c r="E74">
        <f>VLOOKUP($D74,'[2]LC Balanced'!$Q$2:$U$542,2,FALSE)</f>
        <v>0</v>
      </c>
      <c r="F74">
        <f>VLOOKUP($D74,'[2]LC Balanced'!$Q$2:$U$542,3,FALSE)</f>
        <v>0.14899999999999999</v>
      </c>
      <c r="G74">
        <f>VLOOKUP($D74,'[2]LC Balanced'!$Q$2:$U$542,4,FALSE)</f>
        <v>0.85099999999999998</v>
      </c>
      <c r="H74">
        <f>VLOOKUP($D74,'[2]LC Balanced'!$Q$2:$U$542,5,FALSE)</f>
        <v>0</v>
      </c>
      <c r="I74" s="77">
        <f t="shared" si="194"/>
        <v>1</v>
      </c>
      <c r="J74" s="77">
        <f t="shared" si="195"/>
        <v>6.1987699999999986E-2</v>
      </c>
      <c r="K74" s="77">
        <f t="shared" si="185"/>
        <v>5.024442123284345E-3</v>
      </c>
      <c r="L74" s="76">
        <v>0</v>
      </c>
      <c r="M74" s="77">
        <f t="shared" si="201"/>
        <v>0</v>
      </c>
      <c r="N74" s="77">
        <f t="shared" si="202"/>
        <v>0</v>
      </c>
      <c r="O74" s="77">
        <f t="shared" si="203"/>
        <v>7.0062999999999992E-3</v>
      </c>
      <c r="P74" s="77">
        <f t="shared" si="204"/>
        <v>5.85741666996209E-4</v>
      </c>
      <c r="R74" t="s">
        <v>177</v>
      </c>
      <c r="S74" t="s">
        <v>176</v>
      </c>
      <c r="T74" s="197" t="str">
        <f t="shared" si="84"/>
        <v>Autopilot_Balanced_471</v>
      </c>
      <c r="U74">
        <v>471</v>
      </c>
      <c r="V74">
        <f>VLOOKUP($U74,'[2]AP Balanced'!$Q$1:$T$542,2,FALSE)</f>
        <v>0.77777777777777779</v>
      </c>
      <c r="W74">
        <f>VLOOKUP($U74,'[2]AP Balanced'!$Q$1:$T$542,3,FALSE)</f>
        <v>0.22222222222222221</v>
      </c>
      <c r="X74">
        <f>VLOOKUP($U74,'[2]AP Balanced'!$Q$1:$T$542,4,FALSE)</f>
        <v>0</v>
      </c>
      <c r="Y74" s="77">
        <f t="shared" si="85"/>
        <v>1</v>
      </c>
      <c r="Z74" s="77">
        <f t="shared" si="181"/>
        <v>6.1674999999999987E-2</v>
      </c>
      <c r="AA74" s="77">
        <f t="shared" si="87"/>
        <v>4.9997781870025904E-3</v>
      </c>
      <c r="AB74" s="79">
        <v>1</v>
      </c>
      <c r="AC74" s="77">
        <f t="shared" si="205"/>
        <v>8.0555555555555554E-3</v>
      </c>
      <c r="AD74" s="77">
        <f t="shared" si="196"/>
        <v>6.7378764057135498E-4</v>
      </c>
      <c r="AE74" s="77">
        <f t="shared" si="206"/>
        <v>2.5000000000000001E-3</v>
      </c>
      <c r="AF74" s="77">
        <f t="shared" si="196"/>
        <v>2.0857243058891584E-4</v>
      </c>
      <c r="AH74" t="s">
        <v>175</v>
      </c>
      <c r="AI74" t="s">
        <v>176</v>
      </c>
      <c r="AJ74" s="197" t="str">
        <f t="shared" si="88"/>
        <v>Lifecycle_Balanced_471</v>
      </c>
      <c r="AK74">
        <v>471</v>
      </c>
      <c r="AL74">
        <f>VLOOKUP($U74,[2]Standard_Balanced!$Q$1:$T$542,2,FALSE)</f>
        <v>0.77777777777777779</v>
      </c>
      <c r="AM74">
        <f>VLOOKUP($U74,[2]Standard_Balanced!$Q$1:$T$542,3,FALSE)</f>
        <v>0.22222222222222221</v>
      </c>
      <c r="AN74">
        <f>VLOOKUP($U74,[2]Standard_Balanced!$Q$1:$T$542,4,FALSE)</f>
        <v>0</v>
      </c>
      <c r="AO74" s="77">
        <f t="shared" si="182"/>
        <v>1</v>
      </c>
      <c r="AP74" s="77">
        <f t="shared" si="207"/>
        <v>6.1674999999999987E-2</v>
      </c>
      <c r="AQ74" s="77">
        <f t="shared" si="90"/>
        <v>4.9997781870025904E-3</v>
      </c>
      <c r="AR74" s="79">
        <v>0</v>
      </c>
      <c r="AS74" s="77">
        <f t="shared" si="208"/>
        <v>0</v>
      </c>
      <c r="AT74" s="77">
        <f t="shared" ref="AT74" si="222">1-(1-AS74)^(1/12)</f>
        <v>0</v>
      </c>
      <c r="AU74" s="77">
        <f t="shared" si="210"/>
        <v>2.5000000000000001E-3</v>
      </c>
      <c r="AV74" s="77">
        <f t="shared" ref="AV74" si="223">1-(1-AU74)^(1/12)</f>
        <v>2.0857243058891584E-4</v>
      </c>
      <c r="AX74" t="s">
        <v>178</v>
      </c>
      <c r="AY74" t="s">
        <v>160</v>
      </c>
      <c r="AZ74" s="197" t="str">
        <f t="shared" si="93"/>
        <v>DIS_Non-Standard_471</v>
      </c>
      <c r="BA74">
        <v>471</v>
      </c>
      <c r="BB74">
        <f>VLOOKUP($BA74,'[2]NonStandard DIS'!$Q$1:$X$542,2,FALSE)</f>
        <v>0</v>
      </c>
      <c r="BC74">
        <f>VLOOKUP($BA74,'[2]NonStandard DIS'!$Q$1:$X$542,3,FALSE)</f>
        <v>0</v>
      </c>
      <c r="BD74">
        <f>VLOOKUP($BA74,'[2]NonStandard DIS'!$Q$1:$X$542,4,FALSE)</f>
        <v>0.308</v>
      </c>
      <c r="BE74">
        <f>VLOOKUP($BA74,'[2]NonStandard DIS'!$Q$1:$X$542,5,FALSE)</f>
        <v>0.69199999999999995</v>
      </c>
      <c r="BF74">
        <f>VLOOKUP($BA74,'[2]NonStandard DIS'!$Q$1:$X$542,6,FALSE)</f>
        <v>0</v>
      </c>
      <c r="BG74">
        <f>VLOOKUP($BA74,'[2]NonStandard DIS'!$Q$1:$X$542,7,FALSE)</f>
        <v>0</v>
      </c>
      <c r="BH74">
        <f>VLOOKUP($BA74,'[2]NonStandard DIS'!$Q$1:$X$542,8,FALSE)</f>
        <v>0</v>
      </c>
      <c r="BI74" s="77">
        <f t="shared" si="199"/>
        <v>1</v>
      </c>
      <c r="BJ74" s="77">
        <f t="shared" si="200"/>
        <v>6.9728499999999985E-2</v>
      </c>
      <c r="BK74" s="77">
        <f t="shared" si="180"/>
        <v>5.632878498097682E-3</v>
      </c>
      <c r="BL74" s="79">
        <v>0</v>
      </c>
      <c r="BM74" s="77">
        <f t="shared" si="212"/>
        <v>0</v>
      </c>
      <c r="BN74" s="77">
        <f t="shared" si="213"/>
        <v>0</v>
      </c>
      <c r="BO74" s="77">
        <f t="shared" si="214"/>
        <v>5.6775999999999997E-3</v>
      </c>
      <c r="BP74" s="77">
        <f t="shared" si="215"/>
        <v>4.7190657760731725E-4</v>
      </c>
    </row>
    <row r="75" spans="1:68">
      <c r="A75" t="s">
        <v>175</v>
      </c>
      <c r="B75" t="s">
        <v>176</v>
      </c>
      <c r="C75" s="197" t="str">
        <f t="shared" si="82"/>
        <v>Lifecycle_Balanced_470</v>
      </c>
      <c r="D75">
        <v>470</v>
      </c>
      <c r="E75">
        <f>VLOOKUP($D75,'[2]LC Balanced'!$Q$2:$U$542,2,FALSE)</f>
        <v>0</v>
      </c>
      <c r="F75">
        <f>VLOOKUP($D75,'[2]LC Balanced'!$Q$2:$U$542,3,FALSE)</f>
        <v>0.14899999999999999</v>
      </c>
      <c r="G75">
        <f>VLOOKUP($D75,'[2]LC Balanced'!$Q$2:$U$542,4,FALSE)</f>
        <v>0.85099999999999998</v>
      </c>
      <c r="H75">
        <f>VLOOKUP($D75,'[2]LC Balanced'!$Q$2:$U$542,5,FALSE)</f>
        <v>0</v>
      </c>
      <c r="I75" s="77">
        <f t="shared" si="194"/>
        <v>1</v>
      </c>
      <c r="J75" s="77">
        <f t="shared" si="195"/>
        <v>6.1987699999999986E-2</v>
      </c>
      <c r="K75" s="77">
        <f t="shared" si="185"/>
        <v>5.024442123284345E-3</v>
      </c>
      <c r="L75" s="76">
        <v>0</v>
      </c>
      <c r="M75" s="77">
        <f t="shared" si="201"/>
        <v>0</v>
      </c>
      <c r="N75" s="77">
        <f t="shared" si="202"/>
        <v>0</v>
      </c>
      <c r="O75" s="77">
        <f t="shared" si="203"/>
        <v>7.0062999999999992E-3</v>
      </c>
      <c r="P75" s="77">
        <f t="shared" si="204"/>
        <v>5.85741666996209E-4</v>
      </c>
      <c r="R75" t="s">
        <v>177</v>
      </c>
      <c r="S75" t="s">
        <v>176</v>
      </c>
      <c r="T75" s="197" t="str">
        <f t="shared" si="84"/>
        <v>Autopilot_Balanced_470</v>
      </c>
      <c r="U75">
        <v>470</v>
      </c>
      <c r="V75">
        <f>VLOOKUP($U75,'[2]AP Balanced'!$Q$1:$T$542,2,FALSE)</f>
        <v>0.77777777777777779</v>
      </c>
      <c r="W75">
        <f>VLOOKUP($U75,'[2]AP Balanced'!$Q$1:$T$542,3,FALSE)</f>
        <v>0.22222222222222221</v>
      </c>
      <c r="X75">
        <f>VLOOKUP($U75,'[2]AP Balanced'!$Q$1:$T$542,4,FALSE)</f>
        <v>0</v>
      </c>
      <c r="Y75" s="77">
        <f t="shared" si="85"/>
        <v>1</v>
      </c>
      <c r="Z75" s="77">
        <f t="shared" si="181"/>
        <v>6.1674999999999987E-2</v>
      </c>
      <c r="AA75" s="77">
        <f t="shared" si="87"/>
        <v>4.9997781870025904E-3</v>
      </c>
      <c r="AB75" s="79">
        <v>1</v>
      </c>
      <c r="AC75" s="77">
        <f t="shared" si="205"/>
        <v>8.0555555555555554E-3</v>
      </c>
      <c r="AD75" s="77">
        <f t="shared" si="196"/>
        <v>6.7378764057135498E-4</v>
      </c>
      <c r="AE75" s="77">
        <f t="shared" si="206"/>
        <v>2.5000000000000001E-3</v>
      </c>
      <c r="AF75" s="77">
        <f t="shared" si="196"/>
        <v>2.0857243058891584E-4</v>
      </c>
      <c r="AH75" t="s">
        <v>175</v>
      </c>
      <c r="AI75" t="s">
        <v>176</v>
      </c>
      <c r="AJ75" s="197" t="str">
        <f t="shared" si="88"/>
        <v>Lifecycle_Balanced_470</v>
      </c>
      <c r="AK75">
        <v>470</v>
      </c>
      <c r="AL75">
        <f>VLOOKUP($U75,[2]Standard_Balanced!$Q$1:$T$542,2,FALSE)</f>
        <v>0.77777777777777779</v>
      </c>
      <c r="AM75">
        <f>VLOOKUP($U75,[2]Standard_Balanced!$Q$1:$T$542,3,FALSE)</f>
        <v>0.22222222222222221</v>
      </c>
      <c r="AN75">
        <f>VLOOKUP($U75,[2]Standard_Balanced!$Q$1:$T$542,4,FALSE)</f>
        <v>0</v>
      </c>
      <c r="AO75" s="77">
        <f t="shared" si="182"/>
        <v>1</v>
      </c>
      <c r="AP75" s="77">
        <f t="shared" si="207"/>
        <v>6.1674999999999987E-2</v>
      </c>
      <c r="AQ75" s="77">
        <f t="shared" si="90"/>
        <v>4.9997781870025904E-3</v>
      </c>
      <c r="AR75" s="79">
        <v>0</v>
      </c>
      <c r="AS75" s="77">
        <f t="shared" si="208"/>
        <v>0</v>
      </c>
      <c r="AT75" s="77">
        <f t="shared" ref="AT75" si="224">1-(1-AS75)^(1/12)</f>
        <v>0</v>
      </c>
      <c r="AU75" s="77">
        <f t="shared" si="210"/>
        <v>2.5000000000000001E-3</v>
      </c>
      <c r="AV75" s="77">
        <f t="shared" ref="AV75" si="225">1-(1-AU75)^(1/12)</f>
        <v>2.0857243058891584E-4</v>
      </c>
      <c r="AX75" t="s">
        <v>178</v>
      </c>
      <c r="AY75" t="s">
        <v>160</v>
      </c>
      <c r="AZ75" s="197" t="str">
        <f t="shared" si="93"/>
        <v>DIS_Non-Standard_470</v>
      </c>
      <c r="BA75">
        <v>470</v>
      </c>
      <c r="BB75">
        <f>VLOOKUP($BA75,'[2]NonStandard DIS'!$Q$1:$X$542,2,FALSE)</f>
        <v>0</v>
      </c>
      <c r="BC75">
        <f>VLOOKUP($BA75,'[2]NonStandard DIS'!$Q$1:$X$542,3,FALSE)</f>
        <v>0</v>
      </c>
      <c r="BD75">
        <f>VLOOKUP($BA75,'[2]NonStandard DIS'!$Q$1:$X$542,4,FALSE)</f>
        <v>0.308</v>
      </c>
      <c r="BE75">
        <f>VLOOKUP($BA75,'[2]NonStandard DIS'!$Q$1:$X$542,5,FALSE)</f>
        <v>0.69199999999999995</v>
      </c>
      <c r="BF75">
        <f>VLOOKUP($BA75,'[2]NonStandard DIS'!$Q$1:$X$542,6,FALSE)</f>
        <v>0</v>
      </c>
      <c r="BG75">
        <f>VLOOKUP($BA75,'[2]NonStandard DIS'!$Q$1:$X$542,7,FALSE)</f>
        <v>0</v>
      </c>
      <c r="BH75">
        <f>VLOOKUP($BA75,'[2]NonStandard DIS'!$Q$1:$X$542,8,FALSE)</f>
        <v>0</v>
      </c>
      <c r="BI75" s="77">
        <f t="shared" si="199"/>
        <v>1</v>
      </c>
      <c r="BJ75" s="77">
        <f t="shared" si="200"/>
        <v>6.9728499999999985E-2</v>
      </c>
      <c r="BK75" s="77">
        <f t="shared" si="180"/>
        <v>5.632878498097682E-3</v>
      </c>
      <c r="BL75" s="79">
        <v>0</v>
      </c>
      <c r="BM75" s="77">
        <f t="shared" si="212"/>
        <v>0</v>
      </c>
      <c r="BN75" s="77">
        <f t="shared" si="213"/>
        <v>0</v>
      </c>
      <c r="BO75" s="77">
        <f t="shared" si="214"/>
        <v>5.6775999999999997E-3</v>
      </c>
      <c r="BP75" s="77">
        <f t="shared" si="215"/>
        <v>4.7190657760731725E-4</v>
      </c>
    </row>
    <row r="76" spans="1:68">
      <c r="A76" t="s">
        <v>175</v>
      </c>
      <c r="B76" t="s">
        <v>176</v>
      </c>
      <c r="C76" s="197" t="str">
        <f t="shared" si="82"/>
        <v>Lifecycle_Balanced_469</v>
      </c>
      <c r="D76">
        <v>469</v>
      </c>
      <c r="E76">
        <f>VLOOKUP($D76,'[2]LC Balanced'!$Q$2:$U$542,2,FALSE)</f>
        <v>0</v>
      </c>
      <c r="F76">
        <f>VLOOKUP($D76,'[2]LC Balanced'!$Q$2:$U$542,3,FALSE)</f>
        <v>0.14899999999999999</v>
      </c>
      <c r="G76">
        <f>VLOOKUP($D76,'[2]LC Balanced'!$Q$2:$U$542,4,FALSE)</f>
        <v>0.85099999999999998</v>
      </c>
      <c r="H76">
        <f>VLOOKUP($D76,'[2]LC Balanced'!$Q$2:$U$542,5,FALSE)</f>
        <v>0</v>
      </c>
      <c r="I76" s="77">
        <f t="shared" si="194"/>
        <v>1</v>
      </c>
      <c r="J76" s="77">
        <f t="shared" si="195"/>
        <v>6.1987699999999986E-2</v>
      </c>
      <c r="K76" s="77">
        <f t="shared" si="185"/>
        <v>5.024442123284345E-3</v>
      </c>
      <c r="L76" s="76">
        <v>0</v>
      </c>
      <c r="M76" s="77">
        <f t="shared" si="201"/>
        <v>0</v>
      </c>
      <c r="N76" s="77">
        <f t="shared" si="202"/>
        <v>0</v>
      </c>
      <c r="O76" s="77">
        <f t="shared" si="203"/>
        <v>7.0062999999999992E-3</v>
      </c>
      <c r="P76" s="77">
        <f t="shared" si="204"/>
        <v>5.85741666996209E-4</v>
      </c>
      <c r="R76" t="s">
        <v>177</v>
      </c>
      <c r="S76" t="s">
        <v>176</v>
      </c>
      <c r="T76" s="197" t="str">
        <f t="shared" si="84"/>
        <v>Autopilot_Balanced_469</v>
      </c>
      <c r="U76">
        <v>469</v>
      </c>
      <c r="V76">
        <f>VLOOKUP($U76,'[2]AP Balanced'!$Q$1:$T$542,2,FALSE)</f>
        <v>0.77777777777777779</v>
      </c>
      <c r="W76">
        <f>VLOOKUP($U76,'[2]AP Balanced'!$Q$1:$T$542,3,FALSE)</f>
        <v>0.22222222222222221</v>
      </c>
      <c r="X76">
        <f>VLOOKUP($U76,'[2]AP Balanced'!$Q$1:$T$542,4,FALSE)</f>
        <v>0</v>
      </c>
      <c r="Y76" s="77">
        <f t="shared" si="85"/>
        <v>1</v>
      </c>
      <c r="Z76" s="77">
        <f t="shared" si="181"/>
        <v>6.1674999999999987E-2</v>
      </c>
      <c r="AA76" s="77">
        <f t="shared" si="87"/>
        <v>4.9997781870025904E-3</v>
      </c>
      <c r="AB76" s="79">
        <v>1</v>
      </c>
      <c r="AC76" s="77">
        <f t="shared" si="205"/>
        <v>8.0555555555555554E-3</v>
      </c>
      <c r="AD76" s="77">
        <f t="shared" si="196"/>
        <v>6.7378764057135498E-4</v>
      </c>
      <c r="AE76" s="77">
        <f t="shared" si="206"/>
        <v>2.5000000000000001E-3</v>
      </c>
      <c r="AF76" s="77">
        <f t="shared" si="196"/>
        <v>2.0857243058891584E-4</v>
      </c>
      <c r="AH76" t="s">
        <v>175</v>
      </c>
      <c r="AI76" t="s">
        <v>176</v>
      </c>
      <c r="AJ76" s="197" t="str">
        <f t="shared" si="88"/>
        <v>Lifecycle_Balanced_469</v>
      </c>
      <c r="AK76">
        <v>469</v>
      </c>
      <c r="AL76">
        <f>VLOOKUP($U76,[2]Standard_Balanced!$Q$1:$T$542,2,FALSE)</f>
        <v>0.77777777777777779</v>
      </c>
      <c r="AM76">
        <f>VLOOKUP($U76,[2]Standard_Balanced!$Q$1:$T$542,3,FALSE)</f>
        <v>0.22222222222222221</v>
      </c>
      <c r="AN76">
        <f>VLOOKUP($U76,[2]Standard_Balanced!$Q$1:$T$542,4,FALSE)</f>
        <v>0</v>
      </c>
      <c r="AO76" s="77">
        <f t="shared" si="182"/>
        <v>1</v>
      </c>
      <c r="AP76" s="77">
        <f t="shared" si="207"/>
        <v>6.1674999999999987E-2</v>
      </c>
      <c r="AQ76" s="77">
        <f t="shared" si="90"/>
        <v>4.9997781870025904E-3</v>
      </c>
      <c r="AR76" s="79">
        <v>0</v>
      </c>
      <c r="AS76" s="77">
        <f t="shared" si="208"/>
        <v>0</v>
      </c>
      <c r="AT76" s="77">
        <f t="shared" ref="AT76" si="226">1-(1-AS76)^(1/12)</f>
        <v>0</v>
      </c>
      <c r="AU76" s="77">
        <f t="shared" si="210"/>
        <v>2.5000000000000001E-3</v>
      </c>
      <c r="AV76" s="77">
        <f t="shared" ref="AV76" si="227">1-(1-AU76)^(1/12)</f>
        <v>2.0857243058891584E-4</v>
      </c>
      <c r="AX76" t="s">
        <v>178</v>
      </c>
      <c r="AY76" t="s">
        <v>160</v>
      </c>
      <c r="AZ76" s="197" t="str">
        <f t="shared" si="93"/>
        <v>DIS_Non-Standard_469</v>
      </c>
      <c r="BA76">
        <v>469</v>
      </c>
      <c r="BB76">
        <f>VLOOKUP($BA76,'[2]NonStandard DIS'!$Q$1:$X$542,2,FALSE)</f>
        <v>0</v>
      </c>
      <c r="BC76">
        <f>VLOOKUP($BA76,'[2]NonStandard DIS'!$Q$1:$X$542,3,FALSE)</f>
        <v>0</v>
      </c>
      <c r="BD76">
        <f>VLOOKUP($BA76,'[2]NonStandard DIS'!$Q$1:$X$542,4,FALSE)</f>
        <v>0.308</v>
      </c>
      <c r="BE76">
        <f>VLOOKUP($BA76,'[2]NonStandard DIS'!$Q$1:$X$542,5,FALSE)</f>
        <v>0.69199999999999995</v>
      </c>
      <c r="BF76">
        <f>VLOOKUP($BA76,'[2]NonStandard DIS'!$Q$1:$X$542,6,FALSE)</f>
        <v>0</v>
      </c>
      <c r="BG76">
        <f>VLOOKUP($BA76,'[2]NonStandard DIS'!$Q$1:$X$542,7,FALSE)</f>
        <v>0</v>
      </c>
      <c r="BH76">
        <f>VLOOKUP($BA76,'[2]NonStandard DIS'!$Q$1:$X$542,8,FALSE)</f>
        <v>0</v>
      </c>
      <c r="BI76" s="77">
        <f t="shared" si="199"/>
        <v>1</v>
      </c>
      <c r="BJ76" s="77">
        <f t="shared" si="200"/>
        <v>6.9728499999999985E-2</v>
      </c>
      <c r="BK76" s="77">
        <f t="shared" si="180"/>
        <v>5.632878498097682E-3</v>
      </c>
      <c r="BL76" s="79">
        <v>0</v>
      </c>
      <c r="BM76" s="77">
        <f t="shared" si="212"/>
        <v>0</v>
      </c>
      <c r="BN76" s="77">
        <f t="shared" si="213"/>
        <v>0</v>
      </c>
      <c r="BO76" s="77">
        <f t="shared" si="214"/>
        <v>5.6775999999999997E-3</v>
      </c>
      <c r="BP76" s="77">
        <f t="shared" si="215"/>
        <v>4.7190657760731725E-4</v>
      </c>
    </row>
    <row r="77" spans="1:68">
      <c r="A77" t="s">
        <v>175</v>
      </c>
      <c r="B77" t="s">
        <v>176</v>
      </c>
      <c r="C77" s="197" t="str">
        <f t="shared" si="82"/>
        <v>Lifecycle_Balanced_468</v>
      </c>
      <c r="D77">
        <v>468</v>
      </c>
      <c r="E77">
        <f>VLOOKUP($D77,'[2]LC Balanced'!$Q$2:$U$542,2,FALSE)</f>
        <v>0</v>
      </c>
      <c r="F77">
        <f>VLOOKUP($D77,'[2]LC Balanced'!$Q$2:$U$542,3,FALSE)</f>
        <v>0.14899999999999999</v>
      </c>
      <c r="G77">
        <f>VLOOKUP($D77,'[2]LC Balanced'!$Q$2:$U$542,4,FALSE)</f>
        <v>0.85099999999999998</v>
      </c>
      <c r="H77">
        <f>VLOOKUP($D77,'[2]LC Balanced'!$Q$2:$U$542,5,FALSE)</f>
        <v>0</v>
      </c>
      <c r="I77" s="77">
        <f t="shared" si="194"/>
        <v>1</v>
      </c>
      <c r="J77" s="77">
        <f t="shared" si="195"/>
        <v>6.1987699999999986E-2</v>
      </c>
      <c r="K77" s="77">
        <f t="shared" si="185"/>
        <v>5.024442123284345E-3</v>
      </c>
      <c r="L77" s="76">
        <v>0</v>
      </c>
      <c r="M77" s="77">
        <f t="shared" si="201"/>
        <v>0</v>
      </c>
      <c r="N77" s="77">
        <f t="shared" si="202"/>
        <v>0</v>
      </c>
      <c r="O77" s="77">
        <f t="shared" si="203"/>
        <v>7.0062999999999992E-3</v>
      </c>
      <c r="P77" s="77">
        <f t="shared" si="204"/>
        <v>5.85741666996209E-4</v>
      </c>
      <c r="R77" t="s">
        <v>177</v>
      </c>
      <c r="S77" t="s">
        <v>176</v>
      </c>
      <c r="T77" s="197" t="str">
        <f t="shared" si="84"/>
        <v>Autopilot_Balanced_468</v>
      </c>
      <c r="U77">
        <v>468</v>
      </c>
      <c r="V77">
        <f>VLOOKUP($U77,'[2]AP Balanced'!$Q$1:$T$542,2,FALSE)</f>
        <v>0.77777777777777779</v>
      </c>
      <c r="W77">
        <f>VLOOKUP($U77,'[2]AP Balanced'!$Q$1:$T$542,3,FALSE)</f>
        <v>0.22222222222222221</v>
      </c>
      <c r="X77">
        <f>VLOOKUP($U77,'[2]AP Balanced'!$Q$1:$T$542,4,FALSE)</f>
        <v>0</v>
      </c>
      <c r="Y77" s="77">
        <f t="shared" si="85"/>
        <v>1</v>
      </c>
      <c r="Z77" s="77">
        <f t="shared" si="181"/>
        <v>6.1674999999999987E-2</v>
      </c>
      <c r="AA77" s="77">
        <f t="shared" si="87"/>
        <v>4.9997781870025904E-3</v>
      </c>
      <c r="AB77" s="79">
        <v>1</v>
      </c>
      <c r="AC77" s="77">
        <f t="shared" si="205"/>
        <v>8.0555555555555554E-3</v>
      </c>
      <c r="AD77" s="77">
        <f t="shared" si="196"/>
        <v>6.7378764057135498E-4</v>
      </c>
      <c r="AE77" s="77">
        <f t="shared" si="206"/>
        <v>2.5000000000000001E-3</v>
      </c>
      <c r="AF77" s="77">
        <f t="shared" si="196"/>
        <v>2.0857243058891584E-4</v>
      </c>
      <c r="AH77" t="s">
        <v>175</v>
      </c>
      <c r="AI77" t="s">
        <v>176</v>
      </c>
      <c r="AJ77" s="197" t="str">
        <f t="shared" si="88"/>
        <v>Lifecycle_Balanced_468</v>
      </c>
      <c r="AK77">
        <v>468</v>
      </c>
      <c r="AL77">
        <f>VLOOKUP($U77,[2]Standard_Balanced!$Q$1:$T$542,2,FALSE)</f>
        <v>0.77777777777777779</v>
      </c>
      <c r="AM77">
        <f>VLOOKUP($U77,[2]Standard_Balanced!$Q$1:$T$542,3,FALSE)</f>
        <v>0.22222222222222221</v>
      </c>
      <c r="AN77">
        <f>VLOOKUP($U77,[2]Standard_Balanced!$Q$1:$T$542,4,FALSE)</f>
        <v>0</v>
      </c>
      <c r="AO77" s="77">
        <f t="shared" si="182"/>
        <v>1</v>
      </c>
      <c r="AP77" s="77">
        <f t="shared" si="207"/>
        <v>6.1674999999999987E-2</v>
      </c>
      <c r="AQ77" s="77">
        <f t="shared" si="90"/>
        <v>4.9997781870025904E-3</v>
      </c>
      <c r="AR77" s="79">
        <v>0</v>
      </c>
      <c r="AS77" s="77">
        <f t="shared" si="208"/>
        <v>0</v>
      </c>
      <c r="AT77" s="77">
        <f t="shared" ref="AT77" si="228">1-(1-AS77)^(1/12)</f>
        <v>0</v>
      </c>
      <c r="AU77" s="77">
        <f t="shared" si="210"/>
        <v>2.5000000000000001E-3</v>
      </c>
      <c r="AV77" s="77">
        <f t="shared" ref="AV77" si="229">1-(1-AU77)^(1/12)</f>
        <v>2.0857243058891584E-4</v>
      </c>
      <c r="AX77" t="s">
        <v>178</v>
      </c>
      <c r="AY77" t="s">
        <v>160</v>
      </c>
      <c r="AZ77" s="197" t="str">
        <f t="shared" si="93"/>
        <v>DIS_Non-Standard_468</v>
      </c>
      <c r="BA77">
        <v>468</v>
      </c>
      <c r="BB77">
        <f>VLOOKUP($BA77,'[2]NonStandard DIS'!$Q$1:$X$542,2,FALSE)</f>
        <v>0</v>
      </c>
      <c r="BC77">
        <f>VLOOKUP($BA77,'[2]NonStandard DIS'!$Q$1:$X$542,3,FALSE)</f>
        <v>0</v>
      </c>
      <c r="BD77">
        <f>VLOOKUP($BA77,'[2]NonStandard DIS'!$Q$1:$X$542,4,FALSE)</f>
        <v>0.308</v>
      </c>
      <c r="BE77">
        <f>VLOOKUP($BA77,'[2]NonStandard DIS'!$Q$1:$X$542,5,FALSE)</f>
        <v>0.69199999999999995</v>
      </c>
      <c r="BF77">
        <f>VLOOKUP($BA77,'[2]NonStandard DIS'!$Q$1:$X$542,6,FALSE)</f>
        <v>0</v>
      </c>
      <c r="BG77">
        <f>VLOOKUP($BA77,'[2]NonStandard DIS'!$Q$1:$X$542,7,FALSE)</f>
        <v>0</v>
      </c>
      <c r="BH77">
        <f>VLOOKUP($BA77,'[2]NonStandard DIS'!$Q$1:$X$542,8,FALSE)</f>
        <v>0</v>
      </c>
      <c r="BI77" s="77">
        <f t="shared" si="199"/>
        <v>1</v>
      </c>
      <c r="BJ77" s="77">
        <f t="shared" si="200"/>
        <v>6.9728499999999985E-2</v>
      </c>
      <c r="BK77" s="77">
        <f t="shared" si="180"/>
        <v>5.632878498097682E-3</v>
      </c>
      <c r="BL77" s="79">
        <v>0</v>
      </c>
      <c r="BM77" s="77">
        <f t="shared" si="212"/>
        <v>0</v>
      </c>
      <c r="BN77" s="77">
        <f t="shared" si="213"/>
        <v>0</v>
      </c>
      <c r="BO77" s="77">
        <f t="shared" si="214"/>
        <v>5.6775999999999997E-3</v>
      </c>
      <c r="BP77" s="77">
        <f t="shared" si="215"/>
        <v>4.7190657760731725E-4</v>
      </c>
    </row>
    <row r="78" spans="1:68">
      <c r="A78" t="s">
        <v>175</v>
      </c>
      <c r="B78" t="s">
        <v>176</v>
      </c>
      <c r="C78" s="197" t="str">
        <f t="shared" si="82"/>
        <v>Lifecycle_Balanced_467</v>
      </c>
      <c r="D78">
        <v>467</v>
      </c>
      <c r="E78">
        <f>VLOOKUP($D78,'[2]LC Balanced'!$Q$2:$U$542,2,FALSE)</f>
        <v>0</v>
      </c>
      <c r="F78">
        <f>VLOOKUP($D78,'[2]LC Balanced'!$Q$2:$U$542,3,FALSE)</f>
        <v>0.14899999999999999</v>
      </c>
      <c r="G78">
        <f>VLOOKUP($D78,'[2]LC Balanced'!$Q$2:$U$542,4,FALSE)</f>
        <v>0.85099999999999998</v>
      </c>
      <c r="H78">
        <f>VLOOKUP($D78,'[2]LC Balanced'!$Q$2:$U$542,5,FALSE)</f>
        <v>0</v>
      </c>
      <c r="I78" s="77">
        <f t="shared" si="194"/>
        <v>1</v>
      </c>
      <c r="J78" s="77">
        <f t="shared" si="195"/>
        <v>6.1987699999999986E-2</v>
      </c>
      <c r="K78" s="77">
        <f t="shared" si="185"/>
        <v>5.024442123284345E-3</v>
      </c>
      <c r="L78" s="76">
        <v>0</v>
      </c>
      <c r="M78" s="77">
        <f t="shared" si="201"/>
        <v>0</v>
      </c>
      <c r="N78" s="77">
        <f t="shared" si="202"/>
        <v>0</v>
      </c>
      <c r="O78" s="77">
        <f t="shared" si="203"/>
        <v>7.0062999999999992E-3</v>
      </c>
      <c r="P78" s="77">
        <f t="shared" si="204"/>
        <v>5.85741666996209E-4</v>
      </c>
      <c r="R78" t="s">
        <v>177</v>
      </c>
      <c r="S78" t="s">
        <v>176</v>
      </c>
      <c r="T78" s="197" t="str">
        <f t="shared" si="84"/>
        <v>Autopilot_Balanced_467</v>
      </c>
      <c r="U78">
        <v>467</v>
      </c>
      <c r="V78">
        <f>VLOOKUP($U78,'[2]AP Balanced'!$Q$1:$T$542,2,FALSE)</f>
        <v>0.77777777777777779</v>
      </c>
      <c r="W78">
        <f>VLOOKUP($U78,'[2]AP Balanced'!$Q$1:$T$542,3,FALSE)</f>
        <v>0.22222222222222221</v>
      </c>
      <c r="X78">
        <f>VLOOKUP($U78,'[2]AP Balanced'!$Q$1:$T$542,4,FALSE)</f>
        <v>0</v>
      </c>
      <c r="Y78" s="77">
        <f t="shared" si="85"/>
        <v>1</v>
      </c>
      <c r="Z78" s="77">
        <f t="shared" si="181"/>
        <v>6.1674999999999987E-2</v>
      </c>
      <c r="AA78" s="77">
        <f t="shared" si="87"/>
        <v>4.9997781870025904E-3</v>
      </c>
      <c r="AB78" s="79">
        <v>1</v>
      </c>
      <c r="AC78" s="77">
        <f t="shared" si="205"/>
        <v>8.0555555555555554E-3</v>
      </c>
      <c r="AD78" s="77">
        <f t="shared" si="196"/>
        <v>6.7378764057135498E-4</v>
      </c>
      <c r="AE78" s="77">
        <f t="shared" si="206"/>
        <v>2.5000000000000001E-3</v>
      </c>
      <c r="AF78" s="77">
        <f t="shared" si="196"/>
        <v>2.0857243058891584E-4</v>
      </c>
      <c r="AH78" t="s">
        <v>175</v>
      </c>
      <c r="AI78" t="s">
        <v>176</v>
      </c>
      <c r="AJ78" s="197" t="str">
        <f t="shared" si="88"/>
        <v>Lifecycle_Balanced_467</v>
      </c>
      <c r="AK78">
        <v>467</v>
      </c>
      <c r="AL78">
        <f>VLOOKUP($U78,[2]Standard_Balanced!$Q$1:$T$542,2,FALSE)</f>
        <v>0.77777777777777779</v>
      </c>
      <c r="AM78">
        <f>VLOOKUP($U78,[2]Standard_Balanced!$Q$1:$T$542,3,FALSE)</f>
        <v>0.22222222222222221</v>
      </c>
      <c r="AN78">
        <f>VLOOKUP($U78,[2]Standard_Balanced!$Q$1:$T$542,4,FALSE)</f>
        <v>0</v>
      </c>
      <c r="AO78" s="77">
        <f t="shared" si="182"/>
        <v>1</v>
      </c>
      <c r="AP78" s="77">
        <f t="shared" si="207"/>
        <v>6.1674999999999987E-2</v>
      </c>
      <c r="AQ78" s="77">
        <f t="shared" si="90"/>
        <v>4.9997781870025904E-3</v>
      </c>
      <c r="AR78" s="79">
        <v>0</v>
      </c>
      <c r="AS78" s="77">
        <f t="shared" si="208"/>
        <v>0</v>
      </c>
      <c r="AT78" s="77">
        <f t="shared" ref="AT78" si="230">1-(1-AS78)^(1/12)</f>
        <v>0</v>
      </c>
      <c r="AU78" s="77">
        <f t="shared" si="210"/>
        <v>2.5000000000000001E-3</v>
      </c>
      <c r="AV78" s="77">
        <f t="shared" ref="AV78" si="231">1-(1-AU78)^(1/12)</f>
        <v>2.0857243058891584E-4</v>
      </c>
      <c r="AX78" t="s">
        <v>178</v>
      </c>
      <c r="AY78" t="s">
        <v>160</v>
      </c>
      <c r="AZ78" s="197" t="str">
        <f t="shared" si="93"/>
        <v>DIS_Non-Standard_467</v>
      </c>
      <c r="BA78">
        <v>467</v>
      </c>
      <c r="BB78">
        <f>VLOOKUP($BA78,'[2]NonStandard DIS'!$Q$1:$X$542,2,FALSE)</f>
        <v>0</v>
      </c>
      <c r="BC78">
        <f>VLOOKUP($BA78,'[2]NonStandard DIS'!$Q$1:$X$542,3,FALSE)</f>
        <v>0</v>
      </c>
      <c r="BD78">
        <f>VLOOKUP($BA78,'[2]NonStandard DIS'!$Q$1:$X$542,4,FALSE)</f>
        <v>0.308</v>
      </c>
      <c r="BE78">
        <f>VLOOKUP($BA78,'[2]NonStandard DIS'!$Q$1:$X$542,5,FALSE)</f>
        <v>0.69199999999999995</v>
      </c>
      <c r="BF78">
        <f>VLOOKUP($BA78,'[2]NonStandard DIS'!$Q$1:$X$542,6,FALSE)</f>
        <v>0</v>
      </c>
      <c r="BG78">
        <f>VLOOKUP($BA78,'[2]NonStandard DIS'!$Q$1:$X$542,7,FALSE)</f>
        <v>0</v>
      </c>
      <c r="BH78">
        <f>VLOOKUP($BA78,'[2]NonStandard DIS'!$Q$1:$X$542,8,FALSE)</f>
        <v>0</v>
      </c>
      <c r="BI78" s="77">
        <f t="shared" si="199"/>
        <v>1</v>
      </c>
      <c r="BJ78" s="77">
        <f t="shared" si="200"/>
        <v>6.9728499999999985E-2</v>
      </c>
      <c r="BK78" s="77">
        <f t="shared" si="180"/>
        <v>5.632878498097682E-3</v>
      </c>
      <c r="BL78" s="79">
        <v>0</v>
      </c>
      <c r="BM78" s="77">
        <f t="shared" si="212"/>
        <v>0</v>
      </c>
      <c r="BN78" s="77">
        <f t="shared" si="213"/>
        <v>0</v>
      </c>
      <c r="BO78" s="77">
        <f t="shared" si="214"/>
        <v>5.6775999999999997E-3</v>
      </c>
      <c r="BP78" s="77">
        <f t="shared" si="215"/>
        <v>4.7190657760731725E-4</v>
      </c>
    </row>
    <row r="79" spans="1:68">
      <c r="A79" t="s">
        <v>175</v>
      </c>
      <c r="B79" t="s">
        <v>176</v>
      </c>
      <c r="C79" s="197" t="str">
        <f t="shared" si="82"/>
        <v>Lifecycle_Balanced_466</v>
      </c>
      <c r="D79">
        <v>466</v>
      </c>
      <c r="E79">
        <f>VLOOKUP($D79,'[2]LC Balanced'!$Q$2:$U$542,2,FALSE)</f>
        <v>0</v>
      </c>
      <c r="F79">
        <f>VLOOKUP($D79,'[2]LC Balanced'!$Q$2:$U$542,3,FALSE)</f>
        <v>0.14899999999999999</v>
      </c>
      <c r="G79">
        <f>VLOOKUP($D79,'[2]LC Balanced'!$Q$2:$U$542,4,FALSE)</f>
        <v>0.85099999999999998</v>
      </c>
      <c r="H79">
        <f>VLOOKUP($D79,'[2]LC Balanced'!$Q$2:$U$542,5,FALSE)</f>
        <v>0</v>
      </c>
      <c r="I79" s="77">
        <f t="shared" si="194"/>
        <v>1</v>
      </c>
      <c r="J79" s="77">
        <f t="shared" si="195"/>
        <v>6.1987699999999986E-2</v>
      </c>
      <c r="K79" s="77">
        <f t="shared" si="185"/>
        <v>5.024442123284345E-3</v>
      </c>
      <c r="L79" s="76">
        <v>0</v>
      </c>
      <c r="M79" s="77">
        <f t="shared" si="201"/>
        <v>0</v>
      </c>
      <c r="N79" s="77">
        <f t="shared" si="202"/>
        <v>0</v>
      </c>
      <c r="O79" s="77">
        <f t="shared" si="203"/>
        <v>7.0062999999999992E-3</v>
      </c>
      <c r="P79" s="77">
        <f t="shared" si="204"/>
        <v>5.85741666996209E-4</v>
      </c>
      <c r="R79" t="s">
        <v>177</v>
      </c>
      <c r="S79" t="s">
        <v>176</v>
      </c>
      <c r="T79" s="197" t="str">
        <f t="shared" si="84"/>
        <v>Autopilot_Balanced_466</v>
      </c>
      <c r="U79">
        <v>466</v>
      </c>
      <c r="V79">
        <f>VLOOKUP($U79,'[2]AP Balanced'!$Q$1:$T$542,2,FALSE)</f>
        <v>0.77777777777777779</v>
      </c>
      <c r="W79">
        <f>VLOOKUP($U79,'[2]AP Balanced'!$Q$1:$T$542,3,FALSE)</f>
        <v>0.22222222222222221</v>
      </c>
      <c r="X79">
        <f>VLOOKUP($U79,'[2]AP Balanced'!$Q$1:$T$542,4,FALSE)</f>
        <v>0</v>
      </c>
      <c r="Y79" s="77">
        <f t="shared" si="85"/>
        <v>1</v>
      </c>
      <c r="Z79" s="77">
        <f t="shared" si="181"/>
        <v>6.1674999999999987E-2</v>
      </c>
      <c r="AA79" s="77">
        <f t="shared" si="87"/>
        <v>4.9997781870025904E-3</v>
      </c>
      <c r="AB79" s="79">
        <v>1</v>
      </c>
      <c r="AC79" s="77">
        <f t="shared" si="205"/>
        <v>8.0555555555555554E-3</v>
      </c>
      <c r="AD79" s="77">
        <f t="shared" si="196"/>
        <v>6.7378764057135498E-4</v>
      </c>
      <c r="AE79" s="77">
        <f t="shared" si="206"/>
        <v>2.5000000000000001E-3</v>
      </c>
      <c r="AF79" s="77">
        <f t="shared" si="196"/>
        <v>2.0857243058891584E-4</v>
      </c>
      <c r="AH79" t="s">
        <v>175</v>
      </c>
      <c r="AI79" t="s">
        <v>176</v>
      </c>
      <c r="AJ79" s="197" t="str">
        <f t="shared" si="88"/>
        <v>Lifecycle_Balanced_466</v>
      </c>
      <c r="AK79">
        <v>466</v>
      </c>
      <c r="AL79">
        <f>VLOOKUP($U79,[2]Standard_Balanced!$Q$1:$T$542,2,FALSE)</f>
        <v>0.77777777777777779</v>
      </c>
      <c r="AM79">
        <f>VLOOKUP($U79,[2]Standard_Balanced!$Q$1:$T$542,3,FALSE)</f>
        <v>0.22222222222222221</v>
      </c>
      <c r="AN79">
        <f>VLOOKUP($U79,[2]Standard_Balanced!$Q$1:$T$542,4,FALSE)</f>
        <v>0</v>
      </c>
      <c r="AO79" s="77">
        <f t="shared" si="182"/>
        <v>1</v>
      </c>
      <c r="AP79" s="77">
        <f t="shared" si="207"/>
        <v>6.1674999999999987E-2</v>
      </c>
      <c r="AQ79" s="77">
        <f t="shared" si="90"/>
        <v>4.9997781870025904E-3</v>
      </c>
      <c r="AR79" s="79">
        <v>0</v>
      </c>
      <c r="AS79" s="77">
        <f t="shared" si="208"/>
        <v>0</v>
      </c>
      <c r="AT79" s="77">
        <f t="shared" ref="AT79" si="232">1-(1-AS79)^(1/12)</f>
        <v>0</v>
      </c>
      <c r="AU79" s="77">
        <f t="shared" si="210"/>
        <v>2.5000000000000001E-3</v>
      </c>
      <c r="AV79" s="77">
        <f t="shared" ref="AV79" si="233">1-(1-AU79)^(1/12)</f>
        <v>2.0857243058891584E-4</v>
      </c>
      <c r="AX79" t="s">
        <v>178</v>
      </c>
      <c r="AY79" t="s">
        <v>160</v>
      </c>
      <c r="AZ79" s="197" t="str">
        <f t="shared" si="93"/>
        <v>DIS_Non-Standard_466</v>
      </c>
      <c r="BA79">
        <v>466</v>
      </c>
      <c r="BB79">
        <f>VLOOKUP($BA79,'[2]NonStandard DIS'!$Q$1:$X$542,2,FALSE)</f>
        <v>0</v>
      </c>
      <c r="BC79">
        <f>VLOOKUP($BA79,'[2]NonStandard DIS'!$Q$1:$X$542,3,FALSE)</f>
        <v>0</v>
      </c>
      <c r="BD79">
        <f>VLOOKUP($BA79,'[2]NonStandard DIS'!$Q$1:$X$542,4,FALSE)</f>
        <v>0.308</v>
      </c>
      <c r="BE79">
        <f>VLOOKUP($BA79,'[2]NonStandard DIS'!$Q$1:$X$542,5,FALSE)</f>
        <v>0.69199999999999995</v>
      </c>
      <c r="BF79">
        <f>VLOOKUP($BA79,'[2]NonStandard DIS'!$Q$1:$X$542,6,FALSE)</f>
        <v>0</v>
      </c>
      <c r="BG79">
        <f>VLOOKUP($BA79,'[2]NonStandard DIS'!$Q$1:$X$542,7,FALSE)</f>
        <v>0</v>
      </c>
      <c r="BH79">
        <f>VLOOKUP($BA79,'[2]NonStandard DIS'!$Q$1:$X$542,8,FALSE)</f>
        <v>0</v>
      </c>
      <c r="BI79" s="77">
        <f t="shared" si="199"/>
        <v>1</v>
      </c>
      <c r="BJ79" s="77">
        <f t="shared" si="200"/>
        <v>6.9728499999999985E-2</v>
      </c>
      <c r="BK79" s="77">
        <f t="shared" si="180"/>
        <v>5.632878498097682E-3</v>
      </c>
      <c r="BL79" s="79">
        <v>0</v>
      </c>
      <c r="BM79" s="77">
        <f t="shared" si="212"/>
        <v>0</v>
      </c>
      <c r="BN79" s="77">
        <f t="shared" si="213"/>
        <v>0</v>
      </c>
      <c r="BO79" s="77">
        <f t="shared" si="214"/>
        <v>5.6775999999999997E-3</v>
      </c>
      <c r="BP79" s="77">
        <f t="shared" si="215"/>
        <v>4.7190657760731725E-4</v>
      </c>
    </row>
    <row r="80" spans="1:68">
      <c r="A80" t="s">
        <v>175</v>
      </c>
      <c r="B80" t="s">
        <v>176</v>
      </c>
      <c r="C80" s="197" t="str">
        <f t="shared" si="82"/>
        <v>Lifecycle_Balanced_465</v>
      </c>
      <c r="D80">
        <v>465</v>
      </c>
      <c r="E80">
        <f>VLOOKUP($D80,'[2]LC Balanced'!$Q$2:$U$542,2,FALSE)</f>
        <v>0</v>
      </c>
      <c r="F80">
        <f>VLOOKUP($D80,'[2]LC Balanced'!$Q$2:$U$542,3,FALSE)</f>
        <v>0.14899999999999999</v>
      </c>
      <c r="G80">
        <f>VLOOKUP($D80,'[2]LC Balanced'!$Q$2:$U$542,4,FALSE)</f>
        <v>0.85099999999999998</v>
      </c>
      <c r="H80">
        <f>VLOOKUP($D80,'[2]LC Balanced'!$Q$2:$U$542,5,FALSE)</f>
        <v>0</v>
      </c>
      <c r="I80" s="77">
        <f t="shared" si="194"/>
        <v>1</v>
      </c>
      <c r="J80" s="77">
        <f t="shared" si="195"/>
        <v>6.1987699999999986E-2</v>
      </c>
      <c r="K80" s="77">
        <f t="shared" si="185"/>
        <v>5.024442123284345E-3</v>
      </c>
      <c r="L80" s="76">
        <v>0</v>
      </c>
      <c r="M80" s="77">
        <f t="shared" si="201"/>
        <v>0</v>
      </c>
      <c r="N80" s="77">
        <f t="shared" si="202"/>
        <v>0</v>
      </c>
      <c r="O80" s="77">
        <f t="shared" si="203"/>
        <v>7.0062999999999992E-3</v>
      </c>
      <c r="P80" s="77">
        <f t="shared" si="204"/>
        <v>5.85741666996209E-4</v>
      </c>
      <c r="R80" t="s">
        <v>177</v>
      </c>
      <c r="S80" t="s">
        <v>176</v>
      </c>
      <c r="T80" s="197" t="str">
        <f t="shared" si="84"/>
        <v>Autopilot_Balanced_465</v>
      </c>
      <c r="U80">
        <v>465</v>
      </c>
      <c r="V80">
        <f>VLOOKUP($U80,'[2]AP Balanced'!$Q$1:$T$542,2,FALSE)</f>
        <v>0.77777777777777779</v>
      </c>
      <c r="W80">
        <f>VLOOKUP($U80,'[2]AP Balanced'!$Q$1:$T$542,3,FALSE)</f>
        <v>0.22222222222222221</v>
      </c>
      <c r="X80">
        <f>VLOOKUP($U80,'[2]AP Balanced'!$Q$1:$T$542,4,FALSE)</f>
        <v>0</v>
      </c>
      <c r="Y80" s="77">
        <f t="shared" si="85"/>
        <v>1</v>
      </c>
      <c r="Z80" s="77">
        <f t="shared" si="181"/>
        <v>6.1674999999999987E-2</v>
      </c>
      <c r="AA80" s="77">
        <f t="shared" si="87"/>
        <v>4.9997781870025904E-3</v>
      </c>
      <c r="AB80" s="79">
        <v>1</v>
      </c>
      <c r="AC80" s="77">
        <f t="shared" si="205"/>
        <v>8.0555555555555554E-3</v>
      </c>
      <c r="AD80" s="77">
        <f t="shared" si="196"/>
        <v>6.7378764057135498E-4</v>
      </c>
      <c r="AE80" s="77">
        <f t="shared" si="206"/>
        <v>2.5000000000000001E-3</v>
      </c>
      <c r="AF80" s="77">
        <f t="shared" si="196"/>
        <v>2.0857243058891584E-4</v>
      </c>
      <c r="AH80" t="s">
        <v>175</v>
      </c>
      <c r="AI80" t="s">
        <v>176</v>
      </c>
      <c r="AJ80" s="197" t="str">
        <f t="shared" si="88"/>
        <v>Lifecycle_Balanced_465</v>
      </c>
      <c r="AK80">
        <v>465</v>
      </c>
      <c r="AL80">
        <f>VLOOKUP($U80,[2]Standard_Balanced!$Q$1:$T$542,2,FALSE)</f>
        <v>0.77777777777777779</v>
      </c>
      <c r="AM80">
        <f>VLOOKUP($U80,[2]Standard_Balanced!$Q$1:$T$542,3,FALSE)</f>
        <v>0.22222222222222221</v>
      </c>
      <c r="AN80">
        <f>VLOOKUP($U80,[2]Standard_Balanced!$Q$1:$T$542,4,FALSE)</f>
        <v>0</v>
      </c>
      <c r="AO80" s="77">
        <f t="shared" si="182"/>
        <v>1</v>
      </c>
      <c r="AP80" s="77">
        <f t="shared" si="207"/>
        <v>6.1674999999999987E-2</v>
      </c>
      <c r="AQ80" s="77">
        <f t="shared" si="90"/>
        <v>4.9997781870025904E-3</v>
      </c>
      <c r="AR80" s="79">
        <v>0</v>
      </c>
      <c r="AS80" s="77">
        <f t="shared" si="208"/>
        <v>0</v>
      </c>
      <c r="AT80" s="77">
        <f t="shared" ref="AT80" si="234">1-(1-AS80)^(1/12)</f>
        <v>0</v>
      </c>
      <c r="AU80" s="77">
        <f t="shared" si="210"/>
        <v>2.5000000000000001E-3</v>
      </c>
      <c r="AV80" s="77">
        <f t="shared" ref="AV80" si="235">1-(1-AU80)^(1/12)</f>
        <v>2.0857243058891584E-4</v>
      </c>
      <c r="AX80" t="s">
        <v>178</v>
      </c>
      <c r="AY80" t="s">
        <v>160</v>
      </c>
      <c r="AZ80" s="197" t="str">
        <f t="shared" si="93"/>
        <v>DIS_Non-Standard_465</v>
      </c>
      <c r="BA80">
        <v>465</v>
      </c>
      <c r="BB80">
        <f>VLOOKUP($BA80,'[2]NonStandard DIS'!$Q$1:$X$542,2,FALSE)</f>
        <v>0</v>
      </c>
      <c r="BC80">
        <f>VLOOKUP($BA80,'[2]NonStandard DIS'!$Q$1:$X$542,3,FALSE)</f>
        <v>0</v>
      </c>
      <c r="BD80">
        <f>VLOOKUP($BA80,'[2]NonStandard DIS'!$Q$1:$X$542,4,FALSE)</f>
        <v>0.308</v>
      </c>
      <c r="BE80">
        <f>VLOOKUP($BA80,'[2]NonStandard DIS'!$Q$1:$X$542,5,FALSE)</f>
        <v>0.69199999999999995</v>
      </c>
      <c r="BF80">
        <f>VLOOKUP($BA80,'[2]NonStandard DIS'!$Q$1:$X$542,6,FALSE)</f>
        <v>0</v>
      </c>
      <c r="BG80">
        <f>VLOOKUP($BA80,'[2]NonStandard DIS'!$Q$1:$X$542,7,FALSE)</f>
        <v>0</v>
      </c>
      <c r="BH80">
        <f>VLOOKUP($BA80,'[2]NonStandard DIS'!$Q$1:$X$542,8,FALSE)</f>
        <v>0</v>
      </c>
      <c r="BI80" s="77">
        <f t="shared" si="199"/>
        <v>1</v>
      </c>
      <c r="BJ80" s="77">
        <f t="shared" si="200"/>
        <v>6.9728499999999985E-2</v>
      </c>
      <c r="BK80" s="77">
        <f t="shared" si="180"/>
        <v>5.632878498097682E-3</v>
      </c>
      <c r="BL80" s="79">
        <v>0</v>
      </c>
      <c r="BM80" s="77">
        <f t="shared" si="212"/>
        <v>0</v>
      </c>
      <c r="BN80" s="77">
        <f t="shared" si="213"/>
        <v>0</v>
      </c>
      <c r="BO80" s="77">
        <f t="shared" si="214"/>
        <v>5.6775999999999997E-3</v>
      </c>
      <c r="BP80" s="77">
        <f t="shared" si="215"/>
        <v>4.7190657760731725E-4</v>
      </c>
    </row>
    <row r="81" spans="1:68">
      <c r="A81" t="s">
        <v>175</v>
      </c>
      <c r="B81" t="s">
        <v>176</v>
      </c>
      <c r="C81" s="197" t="str">
        <f t="shared" si="82"/>
        <v>Lifecycle_Balanced_464</v>
      </c>
      <c r="D81">
        <v>464</v>
      </c>
      <c r="E81">
        <f>VLOOKUP($D81,'[2]LC Balanced'!$Q$2:$U$542,2,FALSE)</f>
        <v>0</v>
      </c>
      <c r="F81">
        <f>VLOOKUP($D81,'[2]LC Balanced'!$Q$2:$U$542,3,FALSE)</f>
        <v>0.14899999999999999</v>
      </c>
      <c r="G81">
        <f>VLOOKUP($D81,'[2]LC Balanced'!$Q$2:$U$542,4,FALSE)</f>
        <v>0.85099999999999998</v>
      </c>
      <c r="H81">
        <f>VLOOKUP($D81,'[2]LC Balanced'!$Q$2:$U$542,5,FALSE)</f>
        <v>0</v>
      </c>
      <c r="I81" s="77">
        <f t="shared" si="194"/>
        <v>1</v>
      </c>
      <c r="J81" s="77">
        <f t="shared" si="195"/>
        <v>6.1987699999999986E-2</v>
      </c>
      <c r="K81" s="77">
        <f t="shared" si="185"/>
        <v>5.024442123284345E-3</v>
      </c>
      <c r="L81" s="76">
        <v>0</v>
      </c>
      <c r="M81" s="77">
        <f t="shared" si="201"/>
        <v>0</v>
      </c>
      <c r="N81" s="77">
        <f t="shared" si="202"/>
        <v>0</v>
      </c>
      <c r="O81" s="77">
        <f t="shared" si="203"/>
        <v>7.0062999999999992E-3</v>
      </c>
      <c r="P81" s="77">
        <f t="shared" si="204"/>
        <v>5.85741666996209E-4</v>
      </c>
      <c r="R81" t="s">
        <v>177</v>
      </c>
      <c r="S81" t="s">
        <v>176</v>
      </c>
      <c r="T81" s="197" t="str">
        <f t="shared" si="84"/>
        <v>Autopilot_Balanced_464</v>
      </c>
      <c r="U81">
        <v>464</v>
      </c>
      <c r="V81">
        <f>VLOOKUP($U81,'[2]AP Balanced'!$Q$1:$T$542,2,FALSE)</f>
        <v>0.77777777777777779</v>
      </c>
      <c r="W81">
        <f>VLOOKUP($U81,'[2]AP Balanced'!$Q$1:$T$542,3,FALSE)</f>
        <v>0.22222222222222221</v>
      </c>
      <c r="X81">
        <f>VLOOKUP($U81,'[2]AP Balanced'!$Q$1:$T$542,4,FALSE)</f>
        <v>0</v>
      </c>
      <c r="Y81" s="77">
        <f t="shared" si="85"/>
        <v>1</v>
      </c>
      <c r="Z81" s="77">
        <f t="shared" si="181"/>
        <v>6.1674999999999987E-2</v>
      </c>
      <c r="AA81" s="77">
        <f t="shared" si="87"/>
        <v>4.9997781870025904E-3</v>
      </c>
      <c r="AB81" s="79">
        <v>1</v>
      </c>
      <c r="AC81" s="77">
        <f t="shared" si="205"/>
        <v>8.0555555555555554E-3</v>
      </c>
      <c r="AD81" s="77">
        <f t="shared" si="196"/>
        <v>6.7378764057135498E-4</v>
      </c>
      <c r="AE81" s="77">
        <f t="shared" si="206"/>
        <v>2.5000000000000001E-3</v>
      </c>
      <c r="AF81" s="77">
        <f t="shared" si="196"/>
        <v>2.0857243058891584E-4</v>
      </c>
      <c r="AH81" t="s">
        <v>175</v>
      </c>
      <c r="AI81" t="s">
        <v>176</v>
      </c>
      <c r="AJ81" s="197" t="str">
        <f t="shared" si="88"/>
        <v>Lifecycle_Balanced_464</v>
      </c>
      <c r="AK81">
        <v>464</v>
      </c>
      <c r="AL81">
        <f>VLOOKUP($U81,[2]Standard_Balanced!$Q$1:$T$542,2,FALSE)</f>
        <v>0.77777777777777779</v>
      </c>
      <c r="AM81">
        <f>VLOOKUP($U81,[2]Standard_Balanced!$Q$1:$T$542,3,FALSE)</f>
        <v>0.22222222222222221</v>
      </c>
      <c r="AN81">
        <f>VLOOKUP($U81,[2]Standard_Balanced!$Q$1:$T$542,4,FALSE)</f>
        <v>0</v>
      </c>
      <c r="AO81" s="77">
        <f t="shared" si="182"/>
        <v>1</v>
      </c>
      <c r="AP81" s="77">
        <f t="shared" si="207"/>
        <v>6.1674999999999987E-2</v>
      </c>
      <c r="AQ81" s="77">
        <f t="shared" si="90"/>
        <v>4.9997781870025904E-3</v>
      </c>
      <c r="AR81" s="79">
        <v>0</v>
      </c>
      <c r="AS81" s="77">
        <f t="shared" si="208"/>
        <v>0</v>
      </c>
      <c r="AT81" s="77">
        <f t="shared" ref="AT81" si="236">1-(1-AS81)^(1/12)</f>
        <v>0</v>
      </c>
      <c r="AU81" s="77">
        <f t="shared" si="210"/>
        <v>2.5000000000000001E-3</v>
      </c>
      <c r="AV81" s="77">
        <f t="shared" ref="AV81" si="237">1-(1-AU81)^(1/12)</f>
        <v>2.0857243058891584E-4</v>
      </c>
      <c r="AX81" t="s">
        <v>178</v>
      </c>
      <c r="AY81" t="s">
        <v>160</v>
      </c>
      <c r="AZ81" s="197" t="str">
        <f t="shared" si="93"/>
        <v>DIS_Non-Standard_464</v>
      </c>
      <c r="BA81">
        <v>464</v>
      </c>
      <c r="BB81">
        <f>VLOOKUP($BA81,'[2]NonStandard DIS'!$Q$1:$X$542,2,FALSE)</f>
        <v>0</v>
      </c>
      <c r="BC81">
        <f>VLOOKUP($BA81,'[2]NonStandard DIS'!$Q$1:$X$542,3,FALSE)</f>
        <v>0</v>
      </c>
      <c r="BD81">
        <f>VLOOKUP($BA81,'[2]NonStandard DIS'!$Q$1:$X$542,4,FALSE)</f>
        <v>0.308</v>
      </c>
      <c r="BE81">
        <f>VLOOKUP($BA81,'[2]NonStandard DIS'!$Q$1:$X$542,5,FALSE)</f>
        <v>0.69199999999999995</v>
      </c>
      <c r="BF81">
        <f>VLOOKUP($BA81,'[2]NonStandard DIS'!$Q$1:$X$542,6,FALSE)</f>
        <v>0</v>
      </c>
      <c r="BG81">
        <f>VLOOKUP($BA81,'[2]NonStandard DIS'!$Q$1:$X$542,7,FALSE)</f>
        <v>0</v>
      </c>
      <c r="BH81">
        <f>VLOOKUP($BA81,'[2]NonStandard DIS'!$Q$1:$X$542,8,FALSE)</f>
        <v>0</v>
      </c>
      <c r="BI81" s="77">
        <f t="shared" si="199"/>
        <v>1</v>
      </c>
      <c r="BJ81" s="77">
        <f t="shared" si="200"/>
        <v>6.9728499999999985E-2</v>
      </c>
      <c r="BK81" s="77">
        <f t="shared" si="180"/>
        <v>5.632878498097682E-3</v>
      </c>
      <c r="BL81" s="79">
        <v>0</v>
      </c>
      <c r="BM81" s="77">
        <f t="shared" si="212"/>
        <v>0</v>
      </c>
      <c r="BN81" s="77">
        <f t="shared" si="213"/>
        <v>0</v>
      </c>
      <c r="BO81" s="77">
        <f t="shared" si="214"/>
        <v>5.6775999999999997E-3</v>
      </c>
      <c r="BP81" s="77">
        <f t="shared" si="215"/>
        <v>4.7190657760731725E-4</v>
      </c>
    </row>
    <row r="82" spans="1:68">
      <c r="A82" t="s">
        <v>175</v>
      </c>
      <c r="B82" t="s">
        <v>176</v>
      </c>
      <c r="C82" s="197" t="str">
        <f t="shared" si="82"/>
        <v>Lifecycle_Balanced_463</v>
      </c>
      <c r="D82">
        <v>463</v>
      </c>
      <c r="E82">
        <f>VLOOKUP($D82,'[2]LC Balanced'!$Q$2:$U$542,2,FALSE)</f>
        <v>0</v>
      </c>
      <c r="F82">
        <f>VLOOKUP($D82,'[2]LC Balanced'!$Q$2:$U$542,3,FALSE)</f>
        <v>0.14899999999999999</v>
      </c>
      <c r="G82">
        <f>VLOOKUP($D82,'[2]LC Balanced'!$Q$2:$U$542,4,FALSE)</f>
        <v>0.85099999999999998</v>
      </c>
      <c r="H82">
        <f>VLOOKUP($D82,'[2]LC Balanced'!$Q$2:$U$542,5,FALSE)</f>
        <v>0</v>
      </c>
      <c r="I82" s="77">
        <f t="shared" si="194"/>
        <v>1</v>
      </c>
      <c r="J82" s="77">
        <f t="shared" si="195"/>
        <v>6.1987699999999986E-2</v>
      </c>
      <c r="K82" s="77">
        <f t="shared" si="185"/>
        <v>5.024442123284345E-3</v>
      </c>
      <c r="L82" s="76">
        <v>0</v>
      </c>
      <c r="M82" s="77">
        <f t="shared" si="201"/>
        <v>0</v>
      </c>
      <c r="N82" s="77">
        <f t="shared" si="202"/>
        <v>0</v>
      </c>
      <c r="O82" s="77">
        <f t="shared" si="203"/>
        <v>7.0062999999999992E-3</v>
      </c>
      <c r="P82" s="77">
        <f t="shared" si="204"/>
        <v>5.85741666996209E-4</v>
      </c>
      <c r="R82" t="s">
        <v>177</v>
      </c>
      <c r="S82" t="s">
        <v>176</v>
      </c>
      <c r="T82" s="197" t="str">
        <f t="shared" si="84"/>
        <v>Autopilot_Balanced_463</v>
      </c>
      <c r="U82">
        <v>463</v>
      </c>
      <c r="V82">
        <f>VLOOKUP($U82,'[2]AP Balanced'!$Q$1:$T$542,2,FALSE)</f>
        <v>0.77777777777777779</v>
      </c>
      <c r="W82">
        <f>VLOOKUP($U82,'[2]AP Balanced'!$Q$1:$T$542,3,FALSE)</f>
        <v>0.22222222222222221</v>
      </c>
      <c r="X82">
        <f>VLOOKUP($U82,'[2]AP Balanced'!$Q$1:$T$542,4,FALSE)</f>
        <v>0</v>
      </c>
      <c r="Y82" s="77">
        <f t="shared" si="85"/>
        <v>1</v>
      </c>
      <c r="Z82" s="77">
        <f t="shared" si="181"/>
        <v>6.1674999999999987E-2</v>
      </c>
      <c r="AA82" s="77">
        <f t="shared" si="87"/>
        <v>4.9997781870025904E-3</v>
      </c>
      <c r="AB82" s="79">
        <v>1</v>
      </c>
      <c r="AC82" s="77">
        <f t="shared" si="205"/>
        <v>8.0555555555555554E-3</v>
      </c>
      <c r="AD82" s="77">
        <f t="shared" si="196"/>
        <v>6.7378764057135498E-4</v>
      </c>
      <c r="AE82" s="77">
        <f t="shared" si="206"/>
        <v>2.5000000000000001E-3</v>
      </c>
      <c r="AF82" s="77">
        <f t="shared" si="196"/>
        <v>2.0857243058891584E-4</v>
      </c>
      <c r="AH82" t="s">
        <v>175</v>
      </c>
      <c r="AI82" t="s">
        <v>176</v>
      </c>
      <c r="AJ82" s="197" t="str">
        <f t="shared" si="88"/>
        <v>Lifecycle_Balanced_463</v>
      </c>
      <c r="AK82">
        <v>463</v>
      </c>
      <c r="AL82">
        <f>VLOOKUP($U82,[2]Standard_Balanced!$Q$1:$T$542,2,FALSE)</f>
        <v>0.77777777777777779</v>
      </c>
      <c r="AM82">
        <f>VLOOKUP($U82,[2]Standard_Balanced!$Q$1:$T$542,3,FALSE)</f>
        <v>0.22222222222222221</v>
      </c>
      <c r="AN82">
        <f>VLOOKUP($U82,[2]Standard_Balanced!$Q$1:$T$542,4,FALSE)</f>
        <v>0</v>
      </c>
      <c r="AO82" s="77">
        <f t="shared" si="182"/>
        <v>1</v>
      </c>
      <c r="AP82" s="77">
        <f t="shared" si="207"/>
        <v>6.1674999999999987E-2</v>
      </c>
      <c r="AQ82" s="77">
        <f t="shared" si="90"/>
        <v>4.9997781870025904E-3</v>
      </c>
      <c r="AR82" s="79">
        <v>0</v>
      </c>
      <c r="AS82" s="77">
        <f t="shared" si="208"/>
        <v>0</v>
      </c>
      <c r="AT82" s="77">
        <f t="shared" ref="AT82" si="238">1-(1-AS82)^(1/12)</f>
        <v>0</v>
      </c>
      <c r="AU82" s="77">
        <f t="shared" si="210"/>
        <v>2.5000000000000001E-3</v>
      </c>
      <c r="AV82" s="77">
        <f t="shared" ref="AV82" si="239">1-(1-AU82)^(1/12)</f>
        <v>2.0857243058891584E-4</v>
      </c>
      <c r="AX82" t="s">
        <v>178</v>
      </c>
      <c r="AY82" t="s">
        <v>160</v>
      </c>
      <c r="AZ82" s="197" t="str">
        <f t="shared" si="93"/>
        <v>DIS_Non-Standard_463</v>
      </c>
      <c r="BA82">
        <v>463</v>
      </c>
      <c r="BB82">
        <f>VLOOKUP($BA82,'[2]NonStandard DIS'!$Q$1:$X$542,2,FALSE)</f>
        <v>0</v>
      </c>
      <c r="BC82">
        <f>VLOOKUP($BA82,'[2]NonStandard DIS'!$Q$1:$X$542,3,FALSE)</f>
        <v>0</v>
      </c>
      <c r="BD82">
        <f>VLOOKUP($BA82,'[2]NonStandard DIS'!$Q$1:$X$542,4,FALSE)</f>
        <v>0.308</v>
      </c>
      <c r="BE82">
        <f>VLOOKUP($BA82,'[2]NonStandard DIS'!$Q$1:$X$542,5,FALSE)</f>
        <v>0.69199999999999995</v>
      </c>
      <c r="BF82">
        <f>VLOOKUP($BA82,'[2]NonStandard DIS'!$Q$1:$X$542,6,FALSE)</f>
        <v>0</v>
      </c>
      <c r="BG82">
        <f>VLOOKUP($BA82,'[2]NonStandard DIS'!$Q$1:$X$542,7,FALSE)</f>
        <v>0</v>
      </c>
      <c r="BH82">
        <f>VLOOKUP($BA82,'[2]NonStandard DIS'!$Q$1:$X$542,8,FALSE)</f>
        <v>0</v>
      </c>
      <c r="BI82" s="77">
        <f t="shared" si="199"/>
        <v>1</v>
      </c>
      <c r="BJ82" s="77">
        <f t="shared" si="200"/>
        <v>6.9728499999999985E-2</v>
      </c>
      <c r="BK82" s="77">
        <f t="shared" si="180"/>
        <v>5.632878498097682E-3</v>
      </c>
      <c r="BL82" s="79">
        <v>0</v>
      </c>
      <c r="BM82" s="77">
        <f t="shared" si="212"/>
        <v>0</v>
      </c>
      <c r="BN82" s="77">
        <f t="shared" si="213"/>
        <v>0</v>
      </c>
      <c r="BO82" s="77">
        <f t="shared" si="214"/>
        <v>5.6775999999999997E-3</v>
      </c>
      <c r="BP82" s="77">
        <f t="shared" si="215"/>
        <v>4.7190657760731725E-4</v>
      </c>
    </row>
    <row r="83" spans="1:68">
      <c r="A83" t="s">
        <v>175</v>
      </c>
      <c r="B83" t="s">
        <v>176</v>
      </c>
      <c r="C83" s="197" t="str">
        <f t="shared" si="82"/>
        <v>Lifecycle_Balanced_462</v>
      </c>
      <c r="D83">
        <v>462</v>
      </c>
      <c r="E83">
        <f>VLOOKUP($D83,'[2]LC Balanced'!$Q$2:$U$542,2,FALSE)</f>
        <v>0</v>
      </c>
      <c r="F83">
        <f>VLOOKUP($D83,'[2]LC Balanced'!$Q$2:$U$542,3,FALSE)</f>
        <v>0.14899999999999999</v>
      </c>
      <c r="G83">
        <f>VLOOKUP($D83,'[2]LC Balanced'!$Q$2:$U$542,4,FALSE)</f>
        <v>0.85099999999999998</v>
      </c>
      <c r="H83">
        <f>VLOOKUP($D83,'[2]LC Balanced'!$Q$2:$U$542,5,FALSE)</f>
        <v>0</v>
      </c>
      <c r="I83" s="77">
        <f t="shared" si="194"/>
        <v>1</v>
      </c>
      <c r="J83" s="77">
        <f t="shared" si="195"/>
        <v>6.1987699999999986E-2</v>
      </c>
      <c r="K83" s="77">
        <f t="shared" si="185"/>
        <v>5.024442123284345E-3</v>
      </c>
      <c r="L83" s="76">
        <v>0</v>
      </c>
      <c r="M83" s="77">
        <f t="shared" si="201"/>
        <v>0</v>
      </c>
      <c r="N83" s="77">
        <f t="shared" si="202"/>
        <v>0</v>
      </c>
      <c r="O83" s="77">
        <f t="shared" si="203"/>
        <v>7.0062999999999992E-3</v>
      </c>
      <c r="P83" s="77">
        <f t="shared" si="204"/>
        <v>5.85741666996209E-4</v>
      </c>
      <c r="R83" t="s">
        <v>177</v>
      </c>
      <c r="S83" t="s">
        <v>176</v>
      </c>
      <c r="T83" s="197" t="str">
        <f t="shared" si="84"/>
        <v>Autopilot_Balanced_462</v>
      </c>
      <c r="U83">
        <v>462</v>
      </c>
      <c r="V83">
        <f>VLOOKUP($U83,'[2]AP Balanced'!$Q$1:$T$542,2,FALSE)</f>
        <v>0.77777777777777779</v>
      </c>
      <c r="W83">
        <f>VLOOKUP($U83,'[2]AP Balanced'!$Q$1:$T$542,3,FALSE)</f>
        <v>0.22222222222222221</v>
      </c>
      <c r="X83">
        <f>VLOOKUP($U83,'[2]AP Balanced'!$Q$1:$T$542,4,FALSE)</f>
        <v>0</v>
      </c>
      <c r="Y83" s="77">
        <f t="shared" si="85"/>
        <v>1</v>
      </c>
      <c r="Z83" s="77">
        <f t="shared" si="181"/>
        <v>6.1674999999999987E-2</v>
      </c>
      <c r="AA83" s="77">
        <f t="shared" si="87"/>
        <v>4.9997781870025904E-3</v>
      </c>
      <c r="AB83" s="79">
        <v>1</v>
      </c>
      <c r="AC83" s="77">
        <f t="shared" si="205"/>
        <v>8.0555555555555554E-3</v>
      </c>
      <c r="AD83" s="77">
        <f t="shared" si="196"/>
        <v>6.7378764057135498E-4</v>
      </c>
      <c r="AE83" s="77">
        <f t="shared" si="206"/>
        <v>2.5000000000000001E-3</v>
      </c>
      <c r="AF83" s="77">
        <f t="shared" si="196"/>
        <v>2.0857243058891584E-4</v>
      </c>
      <c r="AH83" t="s">
        <v>175</v>
      </c>
      <c r="AI83" t="s">
        <v>176</v>
      </c>
      <c r="AJ83" s="197" t="str">
        <f t="shared" si="88"/>
        <v>Lifecycle_Balanced_462</v>
      </c>
      <c r="AK83">
        <v>462</v>
      </c>
      <c r="AL83">
        <f>VLOOKUP($U83,[2]Standard_Balanced!$Q$1:$T$542,2,FALSE)</f>
        <v>0.77777777777777779</v>
      </c>
      <c r="AM83">
        <f>VLOOKUP($U83,[2]Standard_Balanced!$Q$1:$T$542,3,FALSE)</f>
        <v>0.22222222222222221</v>
      </c>
      <c r="AN83">
        <f>VLOOKUP($U83,[2]Standard_Balanced!$Q$1:$T$542,4,FALSE)</f>
        <v>0</v>
      </c>
      <c r="AO83" s="77">
        <f t="shared" si="182"/>
        <v>1</v>
      </c>
      <c r="AP83" s="77">
        <f t="shared" si="207"/>
        <v>6.1674999999999987E-2</v>
      </c>
      <c r="AQ83" s="77">
        <f t="shared" si="90"/>
        <v>4.9997781870025904E-3</v>
      </c>
      <c r="AR83" s="79">
        <v>0</v>
      </c>
      <c r="AS83" s="77">
        <f t="shared" si="208"/>
        <v>0</v>
      </c>
      <c r="AT83" s="77">
        <f t="shared" ref="AT83" si="240">1-(1-AS83)^(1/12)</f>
        <v>0</v>
      </c>
      <c r="AU83" s="77">
        <f t="shared" si="210"/>
        <v>2.5000000000000001E-3</v>
      </c>
      <c r="AV83" s="77">
        <f t="shared" ref="AV83" si="241">1-(1-AU83)^(1/12)</f>
        <v>2.0857243058891584E-4</v>
      </c>
      <c r="AX83" t="s">
        <v>178</v>
      </c>
      <c r="AY83" t="s">
        <v>160</v>
      </c>
      <c r="AZ83" s="197" t="str">
        <f t="shared" si="93"/>
        <v>DIS_Non-Standard_462</v>
      </c>
      <c r="BA83">
        <v>462</v>
      </c>
      <c r="BB83">
        <f>VLOOKUP($BA83,'[2]NonStandard DIS'!$Q$1:$X$542,2,FALSE)</f>
        <v>0</v>
      </c>
      <c r="BC83">
        <f>VLOOKUP($BA83,'[2]NonStandard DIS'!$Q$1:$X$542,3,FALSE)</f>
        <v>0</v>
      </c>
      <c r="BD83">
        <f>VLOOKUP($BA83,'[2]NonStandard DIS'!$Q$1:$X$542,4,FALSE)</f>
        <v>0.308</v>
      </c>
      <c r="BE83">
        <f>VLOOKUP($BA83,'[2]NonStandard DIS'!$Q$1:$X$542,5,FALSE)</f>
        <v>0.69199999999999995</v>
      </c>
      <c r="BF83">
        <f>VLOOKUP($BA83,'[2]NonStandard DIS'!$Q$1:$X$542,6,FALSE)</f>
        <v>0</v>
      </c>
      <c r="BG83">
        <f>VLOOKUP($BA83,'[2]NonStandard DIS'!$Q$1:$X$542,7,FALSE)</f>
        <v>0</v>
      </c>
      <c r="BH83">
        <f>VLOOKUP($BA83,'[2]NonStandard DIS'!$Q$1:$X$542,8,FALSE)</f>
        <v>0</v>
      </c>
      <c r="BI83" s="77">
        <f t="shared" si="199"/>
        <v>1</v>
      </c>
      <c r="BJ83" s="77">
        <f t="shared" si="200"/>
        <v>6.9728499999999985E-2</v>
      </c>
      <c r="BK83" s="77">
        <f t="shared" si="180"/>
        <v>5.632878498097682E-3</v>
      </c>
      <c r="BL83" s="79">
        <v>0</v>
      </c>
      <c r="BM83" s="77">
        <f t="shared" si="212"/>
        <v>0</v>
      </c>
      <c r="BN83" s="77">
        <f t="shared" si="213"/>
        <v>0</v>
      </c>
      <c r="BO83" s="77">
        <f t="shared" si="214"/>
        <v>5.6775999999999997E-3</v>
      </c>
      <c r="BP83" s="77">
        <f t="shared" si="215"/>
        <v>4.7190657760731725E-4</v>
      </c>
    </row>
    <row r="84" spans="1:68">
      <c r="A84" t="s">
        <v>175</v>
      </c>
      <c r="B84" t="s">
        <v>176</v>
      </c>
      <c r="C84" s="197" t="str">
        <f t="shared" si="82"/>
        <v>Lifecycle_Balanced_461</v>
      </c>
      <c r="D84">
        <v>461</v>
      </c>
      <c r="E84">
        <f>VLOOKUP($D84,'[2]LC Balanced'!$Q$2:$U$542,2,FALSE)</f>
        <v>0</v>
      </c>
      <c r="F84">
        <f>VLOOKUP($D84,'[2]LC Balanced'!$Q$2:$U$542,3,FALSE)</f>
        <v>0.14899999999999999</v>
      </c>
      <c r="G84">
        <f>VLOOKUP($D84,'[2]LC Balanced'!$Q$2:$U$542,4,FALSE)</f>
        <v>0.85099999999999998</v>
      </c>
      <c r="H84">
        <f>VLOOKUP($D84,'[2]LC Balanced'!$Q$2:$U$542,5,FALSE)</f>
        <v>0</v>
      </c>
      <c r="I84" s="77">
        <f t="shared" si="194"/>
        <v>1</v>
      </c>
      <c r="J84" s="77">
        <f t="shared" si="195"/>
        <v>6.1987699999999986E-2</v>
      </c>
      <c r="K84" s="77">
        <f t="shared" si="185"/>
        <v>5.024442123284345E-3</v>
      </c>
      <c r="L84" s="76">
        <v>0</v>
      </c>
      <c r="M84" s="77">
        <f t="shared" si="201"/>
        <v>0</v>
      </c>
      <c r="N84" s="77">
        <f t="shared" si="202"/>
        <v>0</v>
      </c>
      <c r="O84" s="77">
        <f t="shared" si="203"/>
        <v>7.0062999999999992E-3</v>
      </c>
      <c r="P84" s="77">
        <f t="shared" si="204"/>
        <v>5.85741666996209E-4</v>
      </c>
      <c r="R84" t="s">
        <v>177</v>
      </c>
      <c r="S84" t="s">
        <v>176</v>
      </c>
      <c r="T84" s="197" t="str">
        <f t="shared" si="84"/>
        <v>Autopilot_Balanced_461</v>
      </c>
      <c r="U84">
        <v>461</v>
      </c>
      <c r="V84">
        <f>VLOOKUP($U84,'[2]AP Balanced'!$Q$1:$T$542,2,FALSE)</f>
        <v>0.77777777777777779</v>
      </c>
      <c r="W84">
        <f>VLOOKUP($U84,'[2]AP Balanced'!$Q$1:$T$542,3,FALSE)</f>
        <v>0.22222222222222221</v>
      </c>
      <c r="X84">
        <f>VLOOKUP($U84,'[2]AP Balanced'!$Q$1:$T$542,4,FALSE)</f>
        <v>0</v>
      </c>
      <c r="Y84" s="77">
        <f t="shared" si="85"/>
        <v>1</v>
      </c>
      <c r="Z84" s="77">
        <f t="shared" si="181"/>
        <v>6.1674999999999987E-2</v>
      </c>
      <c r="AA84" s="77">
        <f t="shared" si="87"/>
        <v>4.9997781870025904E-3</v>
      </c>
      <c r="AB84" s="79">
        <v>1</v>
      </c>
      <c r="AC84" s="77">
        <f t="shared" si="205"/>
        <v>8.0555555555555554E-3</v>
      </c>
      <c r="AD84" s="77">
        <f t="shared" si="196"/>
        <v>6.7378764057135498E-4</v>
      </c>
      <c r="AE84" s="77">
        <f t="shared" si="206"/>
        <v>2.5000000000000001E-3</v>
      </c>
      <c r="AF84" s="77">
        <f t="shared" si="196"/>
        <v>2.0857243058891584E-4</v>
      </c>
      <c r="AH84" t="s">
        <v>175</v>
      </c>
      <c r="AI84" t="s">
        <v>176</v>
      </c>
      <c r="AJ84" s="197" t="str">
        <f t="shared" si="88"/>
        <v>Lifecycle_Balanced_461</v>
      </c>
      <c r="AK84">
        <v>461</v>
      </c>
      <c r="AL84">
        <f>VLOOKUP($U84,[2]Standard_Balanced!$Q$1:$T$542,2,FALSE)</f>
        <v>0.77777777777777779</v>
      </c>
      <c r="AM84">
        <f>VLOOKUP($U84,[2]Standard_Balanced!$Q$1:$T$542,3,FALSE)</f>
        <v>0.22222222222222221</v>
      </c>
      <c r="AN84">
        <f>VLOOKUP($U84,[2]Standard_Balanced!$Q$1:$T$542,4,FALSE)</f>
        <v>0</v>
      </c>
      <c r="AO84" s="77">
        <f t="shared" si="182"/>
        <v>1</v>
      </c>
      <c r="AP84" s="77">
        <f t="shared" si="207"/>
        <v>6.1674999999999987E-2</v>
      </c>
      <c r="AQ84" s="77">
        <f t="shared" si="90"/>
        <v>4.9997781870025904E-3</v>
      </c>
      <c r="AR84" s="79">
        <v>0</v>
      </c>
      <c r="AS84" s="77">
        <f t="shared" si="208"/>
        <v>0</v>
      </c>
      <c r="AT84" s="77">
        <f t="shared" ref="AT84" si="242">1-(1-AS84)^(1/12)</f>
        <v>0</v>
      </c>
      <c r="AU84" s="77">
        <f t="shared" si="210"/>
        <v>2.5000000000000001E-3</v>
      </c>
      <c r="AV84" s="77">
        <f t="shared" ref="AV84" si="243">1-(1-AU84)^(1/12)</f>
        <v>2.0857243058891584E-4</v>
      </c>
      <c r="AX84" t="s">
        <v>178</v>
      </c>
      <c r="AY84" t="s">
        <v>160</v>
      </c>
      <c r="AZ84" s="197" t="str">
        <f t="shared" si="93"/>
        <v>DIS_Non-Standard_461</v>
      </c>
      <c r="BA84">
        <v>461</v>
      </c>
      <c r="BB84">
        <f>VLOOKUP($BA84,'[2]NonStandard DIS'!$Q$1:$X$542,2,FALSE)</f>
        <v>0</v>
      </c>
      <c r="BC84">
        <f>VLOOKUP($BA84,'[2]NonStandard DIS'!$Q$1:$X$542,3,FALSE)</f>
        <v>0</v>
      </c>
      <c r="BD84">
        <f>VLOOKUP($BA84,'[2]NonStandard DIS'!$Q$1:$X$542,4,FALSE)</f>
        <v>0.308</v>
      </c>
      <c r="BE84">
        <f>VLOOKUP($BA84,'[2]NonStandard DIS'!$Q$1:$X$542,5,FALSE)</f>
        <v>0.69199999999999995</v>
      </c>
      <c r="BF84">
        <f>VLOOKUP($BA84,'[2]NonStandard DIS'!$Q$1:$X$542,6,FALSE)</f>
        <v>0</v>
      </c>
      <c r="BG84">
        <f>VLOOKUP($BA84,'[2]NonStandard DIS'!$Q$1:$X$542,7,FALSE)</f>
        <v>0</v>
      </c>
      <c r="BH84">
        <f>VLOOKUP($BA84,'[2]NonStandard DIS'!$Q$1:$X$542,8,FALSE)</f>
        <v>0</v>
      </c>
      <c r="BI84" s="77">
        <f t="shared" si="199"/>
        <v>1</v>
      </c>
      <c r="BJ84" s="77">
        <f t="shared" si="200"/>
        <v>6.9728499999999985E-2</v>
      </c>
      <c r="BK84" s="77">
        <f t="shared" si="180"/>
        <v>5.632878498097682E-3</v>
      </c>
      <c r="BL84" s="79">
        <v>0</v>
      </c>
      <c r="BM84" s="77">
        <f t="shared" si="212"/>
        <v>0</v>
      </c>
      <c r="BN84" s="77">
        <f t="shared" si="213"/>
        <v>0</v>
      </c>
      <c r="BO84" s="77">
        <f t="shared" si="214"/>
        <v>5.6775999999999997E-3</v>
      </c>
      <c r="BP84" s="77">
        <f t="shared" si="215"/>
        <v>4.7190657760731725E-4</v>
      </c>
    </row>
    <row r="85" spans="1:68">
      <c r="A85" t="s">
        <v>175</v>
      </c>
      <c r="B85" t="s">
        <v>176</v>
      </c>
      <c r="C85" s="197" t="str">
        <f t="shared" si="82"/>
        <v>Lifecycle_Balanced_460</v>
      </c>
      <c r="D85">
        <v>460</v>
      </c>
      <c r="E85">
        <f>VLOOKUP($D85,'[2]LC Balanced'!$Q$2:$U$542,2,FALSE)</f>
        <v>0</v>
      </c>
      <c r="F85">
        <f>VLOOKUP($D85,'[2]LC Balanced'!$Q$2:$U$542,3,FALSE)</f>
        <v>0.14899999999999999</v>
      </c>
      <c r="G85">
        <f>VLOOKUP($D85,'[2]LC Balanced'!$Q$2:$U$542,4,FALSE)</f>
        <v>0.85099999999999998</v>
      </c>
      <c r="H85">
        <f>VLOOKUP($D85,'[2]LC Balanced'!$Q$2:$U$542,5,FALSE)</f>
        <v>0</v>
      </c>
      <c r="I85" s="77">
        <f t="shared" si="194"/>
        <v>1</v>
      </c>
      <c r="J85" s="77">
        <f t="shared" si="195"/>
        <v>6.1987699999999986E-2</v>
      </c>
      <c r="K85" s="77">
        <f t="shared" si="185"/>
        <v>5.024442123284345E-3</v>
      </c>
      <c r="L85" s="76">
        <v>0</v>
      </c>
      <c r="M85" s="77">
        <f t="shared" si="201"/>
        <v>0</v>
      </c>
      <c r="N85" s="77">
        <f t="shared" si="202"/>
        <v>0</v>
      </c>
      <c r="O85" s="77">
        <f t="shared" si="203"/>
        <v>7.0062999999999992E-3</v>
      </c>
      <c r="P85" s="77">
        <f t="shared" si="204"/>
        <v>5.85741666996209E-4</v>
      </c>
      <c r="R85" t="s">
        <v>177</v>
      </c>
      <c r="S85" t="s">
        <v>176</v>
      </c>
      <c r="T85" s="197" t="str">
        <f t="shared" si="84"/>
        <v>Autopilot_Balanced_460</v>
      </c>
      <c r="U85">
        <v>460</v>
      </c>
      <c r="V85">
        <f>VLOOKUP($U85,'[2]AP Balanced'!$Q$1:$T$542,2,FALSE)</f>
        <v>0.77777777777777779</v>
      </c>
      <c r="W85">
        <f>VLOOKUP($U85,'[2]AP Balanced'!$Q$1:$T$542,3,FALSE)</f>
        <v>0.22222222222222221</v>
      </c>
      <c r="X85">
        <f>VLOOKUP($U85,'[2]AP Balanced'!$Q$1:$T$542,4,FALSE)</f>
        <v>0</v>
      </c>
      <c r="Y85" s="77">
        <f t="shared" si="85"/>
        <v>1</v>
      </c>
      <c r="Z85" s="77">
        <f t="shared" si="181"/>
        <v>6.1674999999999987E-2</v>
      </c>
      <c r="AA85" s="77">
        <f t="shared" si="87"/>
        <v>4.9997781870025904E-3</v>
      </c>
      <c r="AB85" s="79">
        <v>1</v>
      </c>
      <c r="AC85" s="77">
        <f t="shared" si="205"/>
        <v>8.0555555555555554E-3</v>
      </c>
      <c r="AD85" s="77">
        <f t="shared" si="196"/>
        <v>6.7378764057135498E-4</v>
      </c>
      <c r="AE85" s="77">
        <f t="shared" si="206"/>
        <v>2.5000000000000001E-3</v>
      </c>
      <c r="AF85" s="77">
        <f t="shared" si="196"/>
        <v>2.0857243058891584E-4</v>
      </c>
      <c r="AH85" t="s">
        <v>175</v>
      </c>
      <c r="AI85" t="s">
        <v>176</v>
      </c>
      <c r="AJ85" s="197" t="str">
        <f t="shared" si="88"/>
        <v>Lifecycle_Balanced_460</v>
      </c>
      <c r="AK85">
        <v>460</v>
      </c>
      <c r="AL85">
        <f>VLOOKUP($U85,[2]Standard_Balanced!$Q$1:$T$542,2,FALSE)</f>
        <v>0.77777777777777779</v>
      </c>
      <c r="AM85">
        <f>VLOOKUP($U85,[2]Standard_Balanced!$Q$1:$T$542,3,FALSE)</f>
        <v>0.22222222222222221</v>
      </c>
      <c r="AN85">
        <f>VLOOKUP($U85,[2]Standard_Balanced!$Q$1:$T$542,4,FALSE)</f>
        <v>0</v>
      </c>
      <c r="AO85" s="77">
        <f t="shared" si="182"/>
        <v>1</v>
      </c>
      <c r="AP85" s="77">
        <f t="shared" si="207"/>
        <v>6.1674999999999987E-2</v>
      </c>
      <c r="AQ85" s="77">
        <f t="shared" si="90"/>
        <v>4.9997781870025904E-3</v>
      </c>
      <c r="AR85" s="79">
        <v>0</v>
      </c>
      <c r="AS85" s="77">
        <f t="shared" si="208"/>
        <v>0</v>
      </c>
      <c r="AT85" s="77">
        <f t="shared" ref="AT85" si="244">1-(1-AS85)^(1/12)</f>
        <v>0</v>
      </c>
      <c r="AU85" s="77">
        <f t="shared" si="210"/>
        <v>2.5000000000000001E-3</v>
      </c>
      <c r="AV85" s="77">
        <f t="shared" ref="AV85" si="245">1-(1-AU85)^(1/12)</f>
        <v>2.0857243058891584E-4</v>
      </c>
      <c r="AX85" t="s">
        <v>178</v>
      </c>
      <c r="AY85" t="s">
        <v>160</v>
      </c>
      <c r="AZ85" s="197" t="str">
        <f t="shared" si="93"/>
        <v>DIS_Non-Standard_460</v>
      </c>
      <c r="BA85">
        <v>460</v>
      </c>
      <c r="BB85">
        <f>VLOOKUP($BA85,'[2]NonStandard DIS'!$Q$1:$X$542,2,FALSE)</f>
        <v>0</v>
      </c>
      <c r="BC85">
        <f>VLOOKUP($BA85,'[2]NonStandard DIS'!$Q$1:$X$542,3,FALSE)</f>
        <v>0</v>
      </c>
      <c r="BD85">
        <f>VLOOKUP($BA85,'[2]NonStandard DIS'!$Q$1:$X$542,4,FALSE)</f>
        <v>0.308</v>
      </c>
      <c r="BE85">
        <f>VLOOKUP($BA85,'[2]NonStandard DIS'!$Q$1:$X$542,5,FALSE)</f>
        <v>0.69199999999999995</v>
      </c>
      <c r="BF85">
        <f>VLOOKUP($BA85,'[2]NonStandard DIS'!$Q$1:$X$542,6,FALSE)</f>
        <v>0</v>
      </c>
      <c r="BG85">
        <f>VLOOKUP($BA85,'[2]NonStandard DIS'!$Q$1:$X$542,7,FALSE)</f>
        <v>0</v>
      </c>
      <c r="BH85">
        <f>VLOOKUP($BA85,'[2]NonStandard DIS'!$Q$1:$X$542,8,FALSE)</f>
        <v>0</v>
      </c>
      <c r="BI85" s="77">
        <f t="shared" si="199"/>
        <v>1</v>
      </c>
      <c r="BJ85" s="77">
        <f t="shared" si="200"/>
        <v>6.9728499999999985E-2</v>
      </c>
      <c r="BK85" s="77">
        <f t="shared" si="180"/>
        <v>5.632878498097682E-3</v>
      </c>
      <c r="BL85" s="79">
        <v>0</v>
      </c>
      <c r="BM85" s="77">
        <f t="shared" si="212"/>
        <v>0</v>
      </c>
      <c r="BN85" s="77">
        <f t="shared" si="213"/>
        <v>0</v>
      </c>
      <c r="BO85" s="77">
        <f t="shared" si="214"/>
        <v>5.6775999999999997E-3</v>
      </c>
      <c r="BP85" s="77">
        <f t="shared" si="215"/>
        <v>4.7190657760731725E-4</v>
      </c>
    </row>
    <row r="86" spans="1:68">
      <c r="A86" t="s">
        <v>175</v>
      </c>
      <c r="B86" t="s">
        <v>176</v>
      </c>
      <c r="C86" s="197" t="str">
        <f t="shared" si="82"/>
        <v>Lifecycle_Balanced_459</v>
      </c>
      <c r="D86">
        <v>459</v>
      </c>
      <c r="E86">
        <f>VLOOKUP($D86,'[2]LC Balanced'!$Q$2:$U$542,2,FALSE)</f>
        <v>0</v>
      </c>
      <c r="F86">
        <f>VLOOKUP($D86,'[2]LC Balanced'!$Q$2:$U$542,3,FALSE)</f>
        <v>0.14899999999999999</v>
      </c>
      <c r="G86">
        <f>VLOOKUP($D86,'[2]LC Balanced'!$Q$2:$U$542,4,FALSE)</f>
        <v>0.85099999999999998</v>
      </c>
      <c r="H86">
        <f>VLOOKUP($D86,'[2]LC Balanced'!$Q$2:$U$542,5,FALSE)</f>
        <v>0</v>
      </c>
      <c r="I86" s="77">
        <f t="shared" si="194"/>
        <v>1</v>
      </c>
      <c r="J86" s="77">
        <f t="shared" si="195"/>
        <v>6.1987699999999986E-2</v>
      </c>
      <c r="K86" s="77">
        <f t="shared" si="185"/>
        <v>5.024442123284345E-3</v>
      </c>
      <c r="L86" s="76">
        <v>0</v>
      </c>
      <c r="M86" s="77">
        <f t="shared" si="201"/>
        <v>0</v>
      </c>
      <c r="N86" s="77">
        <f t="shared" si="202"/>
        <v>0</v>
      </c>
      <c r="O86" s="77">
        <f t="shared" si="203"/>
        <v>7.0062999999999992E-3</v>
      </c>
      <c r="P86" s="77">
        <f t="shared" si="204"/>
        <v>5.85741666996209E-4</v>
      </c>
      <c r="R86" t="s">
        <v>177</v>
      </c>
      <c r="S86" t="s">
        <v>176</v>
      </c>
      <c r="T86" s="197" t="str">
        <f t="shared" si="84"/>
        <v>Autopilot_Balanced_459</v>
      </c>
      <c r="U86">
        <v>459</v>
      </c>
      <c r="V86">
        <f>VLOOKUP($U86,'[2]AP Balanced'!$Q$1:$T$542,2,FALSE)</f>
        <v>0.77777777777777779</v>
      </c>
      <c r="W86">
        <f>VLOOKUP($U86,'[2]AP Balanced'!$Q$1:$T$542,3,FALSE)</f>
        <v>0.22222222222222221</v>
      </c>
      <c r="X86">
        <f>VLOOKUP($U86,'[2]AP Balanced'!$Q$1:$T$542,4,FALSE)</f>
        <v>0</v>
      </c>
      <c r="Y86" s="77">
        <f t="shared" si="85"/>
        <v>1</v>
      </c>
      <c r="Z86" s="77">
        <f t="shared" si="181"/>
        <v>6.1674999999999987E-2</v>
      </c>
      <c r="AA86" s="77">
        <f t="shared" si="87"/>
        <v>4.9997781870025904E-3</v>
      </c>
      <c r="AB86" s="79">
        <v>1</v>
      </c>
      <c r="AC86" s="77">
        <f t="shared" si="205"/>
        <v>8.0555555555555554E-3</v>
      </c>
      <c r="AD86" s="77">
        <f t="shared" si="196"/>
        <v>6.7378764057135498E-4</v>
      </c>
      <c r="AE86" s="77">
        <f t="shared" si="206"/>
        <v>2.5000000000000001E-3</v>
      </c>
      <c r="AF86" s="77">
        <f t="shared" si="196"/>
        <v>2.0857243058891584E-4</v>
      </c>
      <c r="AH86" t="s">
        <v>175</v>
      </c>
      <c r="AI86" t="s">
        <v>176</v>
      </c>
      <c r="AJ86" s="197" t="str">
        <f t="shared" si="88"/>
        <v>Lifecycle_Balanced_459</v>
      </c>
      <c r="AK86">
        <v>459</v>
      </c>
      <c r="AL86">
        <f>VLOOKUP($U86,[2]Standard_Balanced!$Q$1:$T$542,2,FALSE)</f>
        <v>0.77777777777777779</v>
      </c>
      <c r="AM86">
        <f>VLOOKUP($U86,[2]Standard_Balanced!$Q$1:$T$542,3,FALSE)</f>
        <v>0.22222222222222221</v>
      </c>
      <c r="AN86">
        <f>VLOOKUP($U86,[2]Standard_Balanced!$Q$1:$T$542,4,FALSE)</f>
        <v>0</v>
      </c>
      <c r="AO86" s="77">
        <f t="shared" si="182"/>
        <v>1</v>
      </c>
      <c r="AP86" s="77">
        <f t="shared" si="207"/>
        <v>6.1674999999999987E-2</v>
      </c>
      <c r="AQ86" s="77">
        <f t="shared" si="90"/>
        <v>4.9997781870025904E-3</v>
      </c>
      <c r="AR86" s="79">
        <v>0</v>
      </c>
      <c r="AS86" s="77">
        <f t="shared" si="208"/>
        <v>0</v>
      </c>
      <c r="AT86" s="77">
        <f t="shared" ref="AT86" si="246">1-(1-AS86)^(1/12)</f>
        <v>0</v>
      </c>
      <c r="AU86" s="77">
        <f t="shared" si="210"/>
        <v>2.5000000000000001E-3</v>
      </c>
      <c r="AV86" s="77">
        <f t="shared" ref="AV86" si="247">1-(1-AU86)^(1/12)</f>
        <v>2.0857243058891584E-4</v>
      </c>
      <c r="AX86" t="s">
        <v>178</v>
      </c>
      <c r="AY86" t="s">
        <v>160</v>
      </c>
      <c r="AZ86" s="197" t="str">
        <f t="shared" si="93"/>
        <v>DIS_Non-Standard_459</v>
      </c>
      <c r="BA86">
        <v>459</v>
      </c>
      <c r="BB86">
        <f>VLOOKUP($BA86,'[2]NonStandard DIS'!$Q$1:$X$542,2,FALSE)</f>
        <v>0</v>
      </c>
      <c r="BC86">
        <f>VLOOKUP($BA86,'[2]NonStandard DIS'!$Q$1:$X$542,3,FALSE)</f>
        <v>0</v>
      </c>
      <c r="BD86">
        <f>VLOOKUP($BA86,'[2]NonStandard DIS'!$Q$1:$X$542,4,FALSE)</f>
        <v>0.308</v>
      </c>
      <c r="BE86">
        <f>VLOOKUP($BA86,'[2]NonStandard DIS'!$Q$1:$X$542,5,FALSE)</f>
        <v>0.69199999999999995</v>
      </c>
      <c r="BF86">
        <f>VLOOKUP($BA86,'[2]NonStandard DIS'!$Q$1:$X$542,6,FALSE)</f>
        <v>0</v>
      </c>
      <c r="BG86">
        <f>VLOOKUP($BA86,'[2]NonStandard DIS'!$Q$1:$X$542,7,FALSE)</f>
        <v>0</v>
      </c>
      <c r="BH86">
        <f>VLOOKUP($BA86,'[2]NonStandard DIS'!$Q$1:$X$542,8,FALSE)</f>
        <v>0</v>
      </c>
      <c r="BI86" s="77">
        <f t="shared" si="199"/>
        <v>1</v>
      </c>
      <c r="BJ86" s="77">
        <f t="shared" si="200"/>
        <v>6.9728499999999985E-2</v>
      </c>
      <c r="BK86" s="77">
        <f t="shared" si="180"/>
        <v>5.632878498097682E-3</v>
      </c>
      <c r="BL86" s="79">
        <v>0</v>
      </c>
      <c r="BM86" s="77">
        <f t="shared" si="212"/>
        <v>0</v>
      </c>
      <c r="BN86" s="77">
        <f t="shared" si="213"/>
        <v>0</v>
      </c>
      <c r="BO86" s="77">
        <f t="shared" si="214"/>
        <v>5.6775999999999997E-3</v>
      </c>
      <c r="BP86" s="77">
        <f t="shared" si="215"/>
        <v>4.7190657760731725E-4</v>
      </c>
    </row>
    <row r="87" spans="1:68">
      <c r="A87" t="s">
        <v>175</v>
      </c>
      <c r="B87" t="s">
        <v>176</v>
      </c>
      <c r="C87" s="197" t="str">
        <f t="shared" ref="C87:C150" si="248">A87&amp;"_"&amp;B87&amp;"_"&amp;D87</f>
        <v>Lifecycle_Balanced_458</v>
      </c>
      <c r="D87">
        <v>458</v>
      </c>
      <c r="E87">
        <f>VLOOKUP($D87,'[2]LC Balanced'!$Q$2:$U$542,2,FALSE)</f>
        <v>0</v>
      </c>
      <c r="F87">
        <f>VLOOKUP($D87,'[2]LC Balanced'!$Q$2:$U$542,3,FALSE)</f>
        <v>0.14899999999999999</v>
      </c>
      <c r="G87">
        <f>VLOOKUP($D87,'[2]LC Balanced'!$Q$2:$U$542,4,FALSE)</f>
        <v>0.85099999999999998</v>
      </c>
      <c r="H87">
        <f>VLOOKUP($D87,'[2]LC Balanced'!$Q$2:$U$542,5,FALSE)</f>
        <v>0</v>
      </c>
      <c r="I87" s="77">
        <f t="shared" si="194"/>
        <v>1</v>
      </c>
      <c r="J87" s="77">
        <f t="shared" si="195"/>
        <v>6.1987699999999986E-2</v>
      </c>
      <c r="K87" s="77">
        <f t="shared" si="185"/>
        <v>5.024442123284345E-3</v>
      </c>
      <c r="L87" s="76">
        <v>0</v>
      </c>
      <c r="M87" s="77">
        <f t="shared" si="201"/>
        <v>0</v>
      </c>
      <c r="N87" s="77">
        <f t="shared" si="202"/>
        <v>0</v>
      </c>
      <c r="O87" s="77">
        <f t="shared" si="203"/>
        <v>7.0062999999999992E-3</v>
      </c>
      <c r="P87" s="77">
        <f t="shared" si="204"/>
        <v>5.85741666996209E-4</v>
      </c>
      <c r="R87" t="s">
        <v>177</v>
      </c>
      <c r="S87" t="s">
        <v>176</v>
      </c>
      <c r="T87" s="197" t="str">
        <f t="shared" ref="T87:T105" si="249">R87&amp;"_"&amp;S87&amp;"_"&amp;U87</f>
        <v>Autopilot_Balanced_458</v>
      </c>
      <c r="U87">
        <v>458</v>
      </c>
      <c r="V87">
        <f>VLOOKUP($U87,'[2]AP Balanced'!$Q$1:$T$542,2,FALSE)</f>
        <v>0.77777777777777779</v>
      </c>
      <c r="W87">
        <f>VLOOKUP($U87,'[2]AP Balanced'!$Q$1:$T$542,3,FALSE)</f>
        <v>0.22222222222222221</v>
      </c>
      <c r="X87">
        <f>VLOOKUP($U87,'[2]AP Balanced'!$Q$1:$T$542,4,FALSE)</f>
        <v>0</v>
      </c>
      <c r="Y87" s="77">
        <f t="shared" ref="Y87:Y150" si="250">SUM(V87:X87)</f>
        <v>1</v>
      </c>
      <c r="Z87" s="77">
        <f t="shared" si="181"/>
        <v>6.1674999999999987E-2</v>
      </c>
      <c r="AA87" s="77">
        <f t="shared" ref="AA87:AA104" si="251">(1+Z87)^(1/12)-1</f>
        <v>4.9997781870025904E-3</v>
      </c>
      <c r="AB87" s="79">
        <v>1</v>
      </c>
      <c r="AC87" s="77">
        <f t="shared" si="205"/>
        <v>8.0555555555555554E-3</v>
      </c>
      <c r="AD87" s="77">
        <f t="shared" si="196"/>
        <v>6.7378764057135498E-4</v>
      </c>
      <c r="AE87" s="77">
        <f t="shared" si="206"/>
        <v>2.5000000000000001E-3</v>
      </c>
      <c r="AF87" s="77">
        <f t="shared" si="196"/>
        <v>2.0857243058891584E-4</v>
      </c>
      <c r="AH87" t="s">
        <v>175</v>
      </c>
      <c r="AI87" t="s">
        <v>176</v>
      </c>
      <c r="AJ87" s="197" t="str">
        <f t="shared" ref="AJ87:AJ150" si="252">AH87&amp;"_"&amp;AI87&amp;"_"&amp;AK87</f>
        <v>Lifecycle_Balanced_458</v>
      </c>
      <c r="AK87">
        <v>458</v>
      </c>
      <c r="AL87">
        <f>VLOOKUP($U87,[2]Standard_Balanced!$Q$1:$T$542,2,FALSE)</f>
        <v>0.77777777777777779</v>
      </c>
      <c r="AM87">
        <f>VLOOKUP($U87,[2]Standard_Balanced!$Q$1:$T$542,3,FALSE)</f>
        <v>0.22222222222222221</v>
      </c>
      <c r="AN87">
        <f>VLOOKUP($U87,[2]Standard_Balanced!$Q$1:$T$542,4,FALSE)</f>
        <v>0</v>
      </c>
      <c r="AO87" s="77">
        <f t="shared" si="182"/>
        <v>1</v>
      </c>
      <c r="AP87" s="77">
        <f t="shared" si="207"/>
        <v>6.1674999999999987E-2</v>
      </c>
      <c r="AQ87" s="77">
        <f t="shared" ref="AQ87:AQ150" si="253">(1+AP87)^(1/12)-1</f>
        <v>4.9997781870025904E-3</v>
      </c>
      <c r="AR87" s="79">
        <v>0</v>
      </c>
      <c r="AS87" s="77">
        <f t="shared" si="208"/>
        <v>0</v>
      </c>
      <c r="AT87" s="77">
        <f t="shared" ref="AT87" si="254">1-(1-AS87)^(1/12)</f>
        <v>0</v>
      </c>
      <c r="AU87" s="77">
        <f t="shared" si="210"/>
        <v>2.5000000000000001E-3</v>
      </c>
      <c r="AV87" s="77">
        <f t="shared" ref="AV87" si="255">1-(1-AU87)^(1/12)</f>
        <v>2.0857243058891584E-4</v>
      </c>
      <c r="AX87" t="s">
        <v>178</v>
      </c>
      <c r="AY87" t="s">
        <v>160</v>
      </c>
      <c r="AZ87" s="197" t="str">
        <f t="shared" ref="AZ87:AZ150" si="256">AX87&amp;"_"&amp;AY87&amp;"_"&amp;BA87</f>
        <v>DIS_Non-Standard_458</v>
      </c>
      <c r="BA87">
        <v>458</v>
      </c>
      <c r="BB87">
        <f>VLOOKUP($BA87,'[2]NonStandard DIS'!$Q$1:$X$542,2,FALSE)</f>
        <v>0</v>
      </c>
      <c r="BC87">
        <f>VLOOKUP($BA87,'[2]NonStandard DIS'!$Q$1:$X$542,3,FALSE)</f>
        <v>0</v>
      </c>
      <c r="BD87">
        <f>VLOOKUP($BA87,'[2]NonStandard DIS'!$Q$1:$X$542,4,FALSE)</f>
        <v>0.308</v>
      </c>
      <c r="BE87">
        <f>VLOOKUP($BA87,'[2]NonStandard DIS'!$Q$1:$X$542,5,FALSE)</f>
        <v>0.69199999999999995</v>
      </c>
      <c r="BF87">
        <f>VLOOKUP($BA87,'[2]NonStandard DIS'!$Q$1:$X$542,6,FALSE)</f>
        <v>0</v>
      </c>
      <c r="BG87">
        <f>VLOOKUP($BA87,'[2]NonStandard DIS'!$Q$1:$X$542,7,FALSE)</f>
        <v>0</v>
      </c>
      <c r="BH87">
        <f>VLOOKUP($BA87,'[2]NonStandard DIS'!$Q$1:$X$542,8,FALSE)</f>
        <v>0</v>
      </c>
      <c r="BI87" s="77">
        <f t="shared" si="199"/>
        <v>1</v>
      </c>
      <c r="BJ87" s="77">
        <f t="shared" si="200"/>
        <v>6.9728499999999985E-2</v>
      </c>
      <c r="BK87" s="77">
        <f t="shared" si="180"/>
        <v>5.632878498097682E-3</v>
      </c>
      <c r="BL87" s="79">
        <v>0</v>
      </c>
      <c r="BM87" s="77">
        <f t="shared" si="212"/>
        <v>0</v>
      </c>
      <c r="BN87" s="77">
        <f t="shared" si="213"/>
        <v>0</v>
      </c>
      <c r="BO87" s="77">
        <f t="shared" si="214"/>
        <v>5.6775999999999997E-3</v>
      </c>
      <c r="BP87" s="77">
        <f t="shared" si="215"/>
        <v>4.7190657760731725E-4</v>
      </c>
    </row>
    <row r="88" spans="1:68">
      <c r="A88" t="s">
        <v>175</v>
      </c>
      <c r="B88" t="s">
        <v>176</v>
      </c>
      <c r="C88" s="197" t="str">
        <f t="shared" si="248"/>
        <v>Lifecycle_Balanced_457</v>
      </c>
      <c r="D88">
        <v>457</v>
      </c>
      <c r="E88">
        <f>VLOOKUP($D88,'[2]LC Balanced'!$Q$2:$U$542,2,FALSE)</f>
        <v>0</v>
      </c>
      <c r="F88">
        <f>VLOOKUP($D88,'[2]LC Balanced'!$Q$2:$U$542,3,FALSE)</f>
        <v>0.14899999999999999</v>
      </c>
      <c r="G88">
        <f>VLOOKUP($D88,'[2]LC Balanced'!$Q$2:$U$542,4,FALSE)</f>
        <v>0.85099999999999998</v>
      </c>
      <c r="H88">
        <f>VLOOKUP($D88,'[2]LC Balanced'!$Q$2:$U$542,5,FALSE)</f>
        <v>0</v>
      </c>
      <c r="I88" s="77">
        <f t="shared" si="194"/>
        <v>1</v>
      </c>
      <c r="J88" s="77">
        <f t="shared" si="195"/>
        <v>6.1987699999999986E-2</v>
      </c>
      <c r="K88" s="77">
        <f t="shared" si="185"/>
        <v>5.024442123284345E-3</v>
      </c>
      <c r="L88" s="76">
        <v>0</v>
      </c>
      <c r="M88" s="77">
        <f t="shared" si="201"/>
        <v>0</v>
      </c>
      <c r="N88" s="77">
        <f t="shared" si="202"/>
        <v>0</v>
      </c>
      <c r="O88" s="77">
        <f t="shared" si="203"/>
        <v>7.0062999999999992E-3</v>
      </c>
      <c r="P88" s="77">
        <f t="shared" si="204"/>
        <v>5.85741666996209E-4</v>
      </c>
      <c r="R88" t="s">
        <v>177</v>
      </c>
      <c r="S88" t="s">
        <v>176</v>
      </c>
      <c r="T88" s="197" t="str">
        <f t="shared" si="249"/>
        <v>Autopilot_Balanced_457</v>
      </c>
      <c r="U88">
        <v>457</v>
      </c>
      <c r="V88">
        <f>VLOOKUP($U88,'[2]AP Balanced'!$Q$1:$T$542,2,FALSE)</f>
        <v>0.77777777777777779</v>
      </c>
      <c r="W88">
        <f>VLOOKUP($U88,'[2]AP Balanced'!$Q$1:$T$542,3,FALSE)</f>
        <v>0.22222222222222221</v>
      </c>
      <c r="X88">
        <f>VLOOKUP($U88,'[2]AP Balanced'!$Q$1:$T$542,4,FALSE)</f>
        <v>0</v>
      </c>
      <c r="Y88" s="77">
        <f t="shared" si="250"/>
        <v>1</v>
      </c>
      <c r="Z88" s="77">
        <f t="shared" si="181"/>
        <v>6.1674999999999987E-2</v>
      </c>
      <c r="AA88" s="77">
        <f t="shared" si="251"/>
        <v>4.9997781870025904E-3</v>
      </c>
      <c r="AB88" s="79">
        <v>1</v>
      </c>
      <c r="AC88" s="77">
        <f t="shared" si="205"/>
        <v>8.0555555555555554E-3</v>
      </c>
      <c r="AD88" s="77">
        <f t="shared" si="196"/>
        <v>6.7378764057135498E-4</v>
      </c>
      <c r="AE88" s="77">
        <f t="shared" si="206"/>
        <v>2.5000000000000001E-3</v>
      </c>
      <c r="AF88" s="77">
        <f t="shared" si="196"/>
        <v>2.0857243058891584E-4</v>
      </c>
      <c r="AH88" t="s">
        <v>175</v>
      </c>
      <c r="AI88" t="s">
        <v>176</v>
      </c>
      <c r="AJ88" s="197" t="str">
        <f t="shared" si="252"/>
        <v>Lifecycle_Balanced_457</v>
      </c>
      <c r="AK88">
        <v>457</v>
      </c>
      <c r="AL88">
        <f>VLOOKUP($U88,[2]Standard_Balanced!$Q$1:$T$542,2,FALSE)</f>
        <v>0.77777777777777779</v>
      </c>
      <c r="AM88">
        <f>VLOOKUP($U88,[2]Standard_Balanced!$Q$1:$T$542,3,FALSE)</f>
        <v>0.22222222222222221</v>
      </c>
      <c r="AN88">
        <f>VLOOKUP($U88,[2]Standard_Balanced!$Q$1:$T$542,4,FALSE)</f>
        <v>0</v>
      </c>
      <c r="AO88" s="77">
        <f t="shared" si="182"/>
        <v>1</v>
      </c>
      <c r="AP88" s="77">
        <f t="shared" si="207"/>
        <v>6.1674999999999987E-2</v>
      </c>
      <c r="AQ88" s="77">
        <f t="shared" si="253"/>
        <v>4.9997781870025904E-3</v>
      </c>
      <c r="AR88" s="79">
        <v>0</v>
      </c>
      <c r="AS88" s="77">
        <f t="shared" si="208"/>
        <v>0</v>
      </c>
      <c r="AT88" s="77">
        <f t="shared" ref="AT88" si="257">1-(1-AS88)^(1/12)</f>
        <v>0</v>
      </c>
      <c r="AU88" s="77">
        <f t="shared" si="210"/>
        <v>2.5000000000000001E-3</v>
      </c>
      <c r="AV88" s="77">
        <f t="shared" ref="AV88" si="258">1-(1-AU88)^(1/12)</f>
        <v>2.0857243058891584E-4</v>
      </c>
      <c r="AX88" t="s">
        <v>178</v>
      </c>
      <c r="AY88" t="s">
        <v>160</v>
      </c>
      <c r="AZ88" s="197" t="str">
        <f t="shared" si="256"/>
        <v>DIS_Non-Standard_457</v>
      </c>
      <c r="BA88">
        <v>457</v>
      </c>
      <c r="BB88">
        <f>VLOOKUP($BA88,'[2]NonStandard DIS'!$Q$1:$X$542,2,FALSE)</f>
        <v>0</v>
      </c>
      <c r="BC88">
        <f>VLOOKUP($BA88,'[2]NonStandard DIS'!$Q$1:$X$542,3,FALSE)</f>
        <v>0</v>
      </c>
      <c r="BD88">
        <f>VLOOKUP($BA88,'[2]NonStandard DIS'!$Q$1:$X$542,4,FALSE)</f>
        <v>0.308</v>
      </c>
      <c r="BE88">
        <f>VLOOKUP($BA88,'[2]NonStandard DIS'!$Q$1:$X$542,5,FALSE)</f>
        <v>0.69199999999999995</v>
      </c>
      <c r="BF88">
        <f>VLOOKUP($BA88,'[2]NonStandard DIS'!$Q$1:$X$542,6,FALSE)</f>
        <v>0</v>
      </c>
      <c r="BG88">
        <f>VLOOKUP($BA88,'[2]NonStandard DIS'!$Q$1:$X$542,7,FALSE)</f>
        <v>0</v>
      </c>
      <c r="BH88">
        <f>VLOOKUP($BA88,'[2]NonStandard DIS'!$Q$1:$X$542,8,FALSE)</f>
        <v>0</v>
      </c>
      <c r="BI88" s="77">
        <f t="shared" si="199"/>
        <v>1</v>
      </c>
      <c r="BJ88" s="77">
        <f t="shared" si="200"/>
        <v>6.9728499999999985E-2</v>
      </c>
      <c r="BK88" s="77">
        <f t="shared" si="180"/>
        <v>5.632878498097682E-3</v>
      </c>
      <c r="BL88" s="79">
        <v>0</v>
      </c>
      <c r="BM88" s="77">
        <f t="shared" si="212"/>
        <v>0</v>
      </c>
      <c r="BN88" s="77">
        <f t="shared" si="213"/>
        <v>0</v>
      </c>
      <c r="BO88" s="77">
        <f t="shared" si="214"/>
        <v>5.6775999999999997E-3</v>
      </c>
      <c r="BP88" s="77">
        <f t="shared" si="215"/>
        <v>4.7190657760731725E-4</v>
      </c>
    </row>
    <row r="89" spans="1:68">
      <c r="A89" t="s">
        <v>175</v>
      </c>
      <c r="B89" t="s">
        <v>176</v>
      </c>
      <c r="C89" s="197" t="str">
        <f t="shared" si="248"/>
        <v>Lifecycle_Balanced_456</v>
      </c>
      <c r="D89">
        <v>456</v>
      </c>
      <c r="E89">
        <f>VLOOKUP($D89,'[2]LC Balanced'!$Q$2:$U$542,2,FALSE)</f>
        <v>0</v>
      </c>
      <c r="F89">
        <f>VLOOKUP($D89,'[2]LC Balanced'!$Q$2:$U$542,3,FALSE)</f>
        <v>0.14899999999999999</v>
      </c>
      <c r="G89">
        <f>VLOOKUP($D89,'[2]LC Balanced'!$Q$2:$U$542,4,FALSE)</f>
        <v>0.85099999999999998</v>
      </c>
      <c r="H89">
        <f>VLOOKUP($D89,'[2]LC Balanced'!$Q$2:$U$542,5,FALSE)</f>
        <v>0</v>
      </c>
      <c r="I89" s="77">
        <f t="shared" si="194"/>
        <v>1</v>
      </c>
      <c r="J89" s="77">
        <f t="shared" si="195"/>
        <v>6.1987699999999986E-2</v>
      </c>
      <c r="K89" s="77">
        <f t="shared" si="185"/>
        <v>5.024442123284345E-3</v>
      </c>
      <c r="L89" s="76">
        <v>0</v>
      </c>
      <c r="M89" s="77">
        <f t="shared" si="201"/>
        <v>0</v>
      </c>
      <c r="N89" s="77">
        <f t="shared" si="202"/>
        <v>0</v>
      </c>
      <c r="O89" s="77">
        <f t="shared" si="203"/>
        <v>7.0062999999999992E-3</v>
      </c>
      <c r="P89" s="77">
        <f t="shared" si="204"/>
        <v>5.85741666996209E-4</v>
      </c>
      <c r="R89" t="s">
        <v>177</v>
      </c>
      <c r="S89" t="s">
        <v>176</v>
      </c>
      <c r="T89" s="197" t="str">
        <f t="shared" si="249"/>
        <v>Autopilot_Balanced_456</v>
      </c>
      <c r="U89">
        <v>456</v>
      </c>
      <c r="V89">
        <f>VLOOKUP($U89,'[2]AP Balanced'!$Q$1:$T$542,2,FALSE)</f>
        <v>0.77777777777777779</v>
      </c>
      <c r="W89">
        <f>VLOOKUP($U89,'[2]AP Balanced'!$Q$1:$T$542,3,FALSE)</f>
        <v>0.22222222222222221</v>
      </c>
      <c r="X89">
        <f>VLOOKUP($U89,'[2]AP Balanced'!$Q$1:$T$542,4,FALSE)</f>
        <v>0</v>
      </c>
      <c r="Y89" s="77">
        <f t="shared" si="250"/>
        <v>1</v>
      </c>
      <c r="Z89" s="77">
        <f t="shared" si="181"/>
        <v>6.1674999999999987E-2</v>
      </c>
      <c r="AA89" s="77">
        <f t="shared" si="251"/>
        <v>4.9997781870025904E-3</v>
      </c>
      <c r="AB89" s="79">
        <v>1</v>
      </c>
      <c r="AC89" s="77">
        <f t="shared" si="205"/>
        <v>8.0555555555555554E-3</v>
      </c>
      <c r="AD89" s="77">
        <f t="shared" si="196"/>
        <v>6.7378764057135498E-4</v>
      </c>
      <c r="AE89" s="77">
        <f t="shared" si="206"/>
        <v>2.5000000000000001E-3</v>
      </c>
      <c r="AF89" s="77">
        <f t="shared" si="196"/>
        <v>2.0857243058891584E-4</v>
      </c>
      <c r="AH89" t="s">
        <v>175</v>
      </c>
      <c r="AI89" t="s">
        <v>176</v>
      </c>
      <c r="AJ89" s="197" t="str">
        <f t="shared" si="252"/>
        <v>Lifecycle_Balanced_456</v>
      </c>
      <c r="AK89">
        <v>456</v>
      </c>
      <c r="AL89">
        <f>VLOOKUP($U89,[2]Standard_Balanced!$Q$1:$T$542,2,FALSE)</f>
        <v>0.77777777777777779</v>
      </c>
      <c r="AM89">
        <f>VLOOKUP($U89,[2]Standard_Balanced!$Q$1:$T$542,3,FALSE)</f>
        <v>0.22222222222222221</v>
      </c>
      <c r="AN89">
        <f>VLOOKUP($U89,[2]Standard_Balanced!$Q$1:$T$542,4,FALSE)</f>
        <v>0</v>
      </c>
      <c r="AO89" s="77">
        <f t="shared" si="182"/>
        <v>1</v>
      </c>
      <c r="AP89" s="77">
        <f t="shared" si="207"/>
        <v>6.1674999999999987E-2</v>
      </c>
      <c r="AQ89" s="77">
        <f t="shared" si="253"/>
        <v>4.9997781870025904E-3</v>
      </c>
      <c r="AR89" s="79">
        <v>0</v>
      </c>
      <c r="AS89" s="77">
        <f t="shared" si="208"/>
        <v>0</v>
      </c>
      <c r="AT89" s="77">
        <f t="shared" ref="AT89" si="259">1-(1-AS89)^(1/12)</f>
        <v>0</v>
      </c>
      <c r="AU89" s="77">
        <f t="shared" si="210"/>
        <v>2.5000000000000001E-3</v>
      </c>
      <c r="AV89" s="77">
        <f t="shared" ref="AV89" si="260">1-(1-AU89)^(1/12)</f>
        <v>2.0857243058891584E-4</v>
      </c>
      <c r="AX89" t="s">
        <v>178</v>
      </c>
      <c r="AY89" t="s">
        <v>160</v>
      </c>
      <c r="AZ89" s="197" t="str">
        <f t="shared" si="256"/>
        <v>DIS_Non-Standard_456</v>
      </c>
      <c r="BA89">
        <v>456</v>
      </c>
      <c r="BB89">
        <f>VLOOKUP($BA89,'[2]NonStandard DIS'!$Q$1:$X$542,2,FALSE)</f>
        <v>0</v>
      </c>
      <c r="BC89">
        <f>VLOOKUP($BA89,'[2]NonStandard DIS'!$Q$1:$X$542,3,FALSE)</f>
        <v>0</v>
      </c>
      <c r="BD89">
        <f>VLOOKUP($BA89,'[2]NonStandard DIS'!$Q$1:$X$542,4,FALSE)</f>
        <v>0.308</v>
      </c>
      <c r="BE89">
        <f>VLOOKUP($BA89,'[2]NonStandard DIS'!$Q$1:$X$542,5,FALSE)</f>
        <v>0.69199999999999995</v>
      </c>
      <c r="BF89">
        <f>VLOOKUP($BA89,'[2]NonStandard DIS'!$Q$1:$X$542,6,FALSE)</f>
        <v>0</v>
      </c>
      <c r="BG89">
        <f>VLOOKUP($BA89,'[2]NonStandard DIS'!$Q$1:$X$542,7,FALSE)</f>
        <v>0</v>
      </c>
      <c r="BH89">
        <f>VLOOKUP($BA89,'[2]NonStandard DIS'!$Q$1:$X$542,8,FALSE)</f>
        <v>0</v>
      </c>
      <c r="BI89" s="77">
        <f t="shared" si="199"/>
        <v>1</v>
      </c>
      <c r="BJ89" s="77">
        <f t="shared" si="200"/>
        <v>6.9728499999999985E-2</v>
      </c>
      <c r="BK89" s="77">
        <f t="shared" si="180"/>
        <v>5.632878498097682E-3</v>
      </c>
      <c r="BL89" s="79">
        <v>0</v>
      </c>
      <c r="BM89" s="77">
        <f t="shared" si="212"/>
        <v>0</v>
      </c>
      <c r="BN89" s="77">
        <f t="shared" si="213"/>
        <v>0</v>
      </c>
      <c r="BO89" s="77">
        <f t="shared" si="214"/>
        <v>5.6775999999999997E-3</v>
      </c>
      <c r="BP89" s="77">
        <f t="shared" si="215"/>
        <v>4.7190657760731725E-4</v>
      </c>
    </row>
    <row r="90" spans="1:68">
      <c r="A90" t="s">
        <v>175</v>
      </c>
      <c r="B90" t="s">
        <v>176</v>
      </c>
      <c r="C90" s="197" t="str">
        <f t="shared" si="248"/>
        <v>Lifecycle_Balanced_455</v>
      </c>
      <c r="D90">
        <v>455</v>
      </c>
      <c r="E90">
        <f>VLOOKUP($D90,'[2]LC Balanced'!$Q$2:$U$542,2,FALSE)</f>
        <v>0</v>
      </c>
      <c r="F90">
        <f>VLOOKUP($D90,'[2]LC Balanced'!$Q$2:$U$542,3,FALSE)</f>
        <v>0.14899999999999999</v>
      </c>
      <c r="G90">
        <f>VLOOKUP($D90,'[2]LC Balanced'!$Q$2:$U$542,4,FALSE)</f>
        <v>0.85099999999999998</v>
      </c>
      <c r="H90">
        <f>VLOOKUP($D90,'[2]LC Balanced'!$Q$2:$U$542,5,FALSE)</f>
        <v>0</v>
      </c>
      <c r="I90" s="77">
        <f t="shared" si="194"/>
        <v>1</v>
      </c>
      <c r="J90" s="77">
        <f t="shared" si="195"/>
        <v>6.1987699999999986E-2</v>
      </c>
      <c r="K90" s="77">
        <f t="shared" si="185"/>
        <v>5.024442123284345E-3</v>
      </c>
      <c r="L90" s="76">
        <v>0</v>
      </c>
      <c r="M90" s="77">
        <f t="shared" si="201"/>
        <v>0</v>
      </c>
      <c r="N90" s="77">
        <f t="shared" si="202"/>
        <v>0</v>
      </c>
      <c r="O90" s="77">
        <f t="shared" si="203"/>
        <v>7.0062999999999992E-3</v>
      </c>
      <c r="P90" s="77">
        <f t="shared" si="204"/>
        <v>5.85741666996209E-4</v>
      </c>
      <c r="R90" t="s">
        <v>177</v>
      </c>
      <c r="S90" t="s">
        <v>176</v>
      </c>
      <c r="T90" s="197" t="str">
        <f t="shared" si="249"/>
        <v>Autopilot_Balanced_455</v>
      </c>
      <c r="U90">
        <v>455</v>
      </c>
      <c r="V90">
        <f>VLOOKUP($U90,'[2]AP Balanced'!$Q$1:$T$542,2,FALSE)</f>
        <v>0.77777777777777779</v>
      </c>
      <c r="W90">
        <f>VLOOKUP($U90,'[2]AP Balanced'!$Q$1:$T$542,3,FALSE)</f>
        <v>0.22222222222222221</v>
      </c>
      <c r="X90">
        <f>VLOOKUP($U90,'[2]AP Balanced'!$Q$1:$T$542,4,FALSE)</f>
        <v>0</v>
      </c>
      <c r="Y90" s="77">
        <f t="shared" si="250"/>
        <v>1</v>
      </c>
      <c r="Z90" s="77">
        <f t="shared" si="181"/>
        <v>6.1674999999999987E-2</v>
      </c>
      <c r="AA90" s="77">
        <f t="shared" si="251"/>
        <v>4.9997781870025904E-3</v>
      </c>
      <c r="AB90" s="79">
        <v>1</v>
      </c>
      <c r="AC90" s="77">
        <f t="shared" si="205"/>
        <v>8.0555555555555554E-3</v>
      </c>
      <c r="AD90" s="77">
        <f t="shared" si="196"/>
        <v>6.7378764057135498E-4</v>
      </c>
      <c r="AE90" s="77">
        <f t="shared" si="206"/>
        <v>2.5000000000000001E-3</v>
      </c>
      <c r="AF90" s="77">
        <f t="shared" si="196"/>
        <v>2.0857243058891584E-4</v>
      </c>
      <c r="AH90" t="s">
        <v>175</v>
      </c>
      <c r="AI90" t="s">
        <v>176</v>
      </c>
      <c r="AJ90" s="197" t="str">
        <f t="shared" si="252"/>
        <v>Lifecycle_Balanced_455</v>
      </c>
      <c r="AK90">
        <v>455</v>
      </c>
      <c r="AL90">
        <f>VLOOKUP($U90,[2]Standard_Balanced!$Q$1:$T$542,2,FALSE)</f>
        <v>0.77777777777777779</v>
      </c>
      <c r="AM90">
        <f>VLOOKUP($U90,[2]Standard_Balanced!$Q$1:$T$542,3,FALSE)</f>
        <v>0.22222222222222221</v>
      </c>
      <c r="AN90">
        <f>VLOOKUP($U90,[2]Standard_Balanced!$Q$1:$T$542,4,FALSE)</f>
        <v>0</v>
      </c>
      <c r="AO90" s="77">
        <f t="shared" si="182"/>
        <v>1</v>
      </c>
      <c r="AP90" s="77">
        <f t="shared" si="207"/>
        <v>6.1674999999999987E-2</v>
      </c>
      <c r="AQ90" s="77">
        <f t="shared" si="253"/>
        <v>4.9997781870025904E-3</v>
      </c>
      <c r="AR90" s="79">
        <v>0</v>
      </c>
      <c r="AS90" s="77">
        <f t="shared" si="208"/>
        <v>0</v>
      </c>
      <c r="AT90" s="77">
        <f t="shared" ref="AT90" si="261">1-(1-AS90)^(1/12)</f>
        <v>0</v>
      </c>
      <c r="AU90" s="77">
        <f t="shared" si="210"/>
        <v>2.5000000000000001E-3</v>
      </c>
      <c r="AV90" s="77">
        <f t="shared" ref="AV90" si="262">1-(1-AU90)^(1/12)</f>
        <v>2.0857243058891584E-4</v>
      </c>
      <c r="AX90" t="s">
        <v>178</v>
      </c>
      <c r="AY90" t="s">
        <v>160</v>
      </c>
      <c r="AZ90" s="197" t="str">
        <f t="shared" si="256"/>
        <v>DIS_Non-Standard_455</v>
      </c>
      <c r="BA90">
        <v>455</v>
      </c>
      <c r="BB90">
        <f>VLOOKUP($BA90,'[2]NonStandard DIS'!$Q$1:$X$542,2,FALSE)</f>
        <v>0</v>
      </c>
      <c r="BC90">
        <f>VLOOKUP($BA90,'[2]NonStandard DIS'!$Q$1:$X$542,3,FALSE)</f>
        <v>0</v>
      </c>
      <c r="BD90">
        <f>VLOOKUP($BA90,'[2]NonStandard DIS'!$Q$1:$X$542,4,FALSE)</f>
        <v>0.308</v>
      </c>
      <c r="BE90">
        <f>VLOOKUP($BA90,'[2]NonStandard DIS'!$Q$1:$X$542,5,FALSE)</f>
        <v>0.69199999999999995</v>
      </c>
      <c r="BF90">
        <f>VLOOKUP($BA90,'[2]NonStandard DIS'!$Q$1:$X$542,6,FALSE)</f>
        <v>0</v>
      </c>
      <c r="BG90">
        <f>VLOOKUP($BA90,'[2]NonStandard DIS'!$Q$1:$X$542,7,FALSE)</f>
        <v>0</v>
      </c>
      <c r="BH90">
        <f>VLOOKUP($BA90,'[2]NonStandard DIS'!$Q$1:$X$542,8,FALSE)</f>
        <v>0</v>
      </c>
      <c r="BI90" s="77">
        <f t="shared" si="199"/>
        <v>1</v>
      </c>
      <c r="BJ90" s="77">
        <f t="shared" si="200"/>
        <v>6.9728499999999985E-2</v>
      </c>
      <c r="BK90" s="77">
        <f t="shared" si="180"/>
        <v>5.632878498097682E-3</v>
      </c>
      <c r="BL90" s="79">
        <v>0</v>
      </c>
      <c r="BM90" s="77">
        <f t="shared" si="212"/>
        <v>0</v>
      </c>
      <c r="BN90" s="77">
        <f t="shared" si="213"/>
        <v>0</v>
      </c>
      <c r="BO90" s="77">
        <f t="shared" si="214"/>
        <v>5.6775999999999997E-3</v>
      </c>
      <c r="BP90" s="77">
        <f t="shared" si="215"/>
        <v>4.7190657760731725E-4</v>
      </c>
    </row>
    <row r="91" spans="1:68">
      <c r="A91" t="s">
        <v>175</v>
      </c>
      <c r="B91" t="s">
        <v>176</v>
      </c>
      <c r="C91" s="197" t="str">
        <f t="shared" si="248"/>
        <v>Lifecycle_Balanced_454</v>
      </c>
      <c r="D91">
        <v>454</v>
      </c>
      <c r="E91">
        <f>VLOOKUP($D91,'[2]LC Balanced'!$Q$2:$U$542,2,FALSE)</f>
        <v>0</v>
      </c>
      <c r="F91">
        <f>VLOOKUP($D91,'[2]LC Balanced'!$Q$2:$U$542,3,FALSE)</f>
        <v>0.14899999999999999</v>
      </c>
      <c r="G91">
        <f>VLOOKUP($D91,'[2]LC Balanced'!$Q$2:$U$542,4,FALSE)</f>
        <v>0.85099999999999998</v>
      </c>
      <c r="H91">
        <f>VLOOKUP($D91,'[2]LC Balanced'!$Q$2:$U$542,5,FALSE)</f>
        <v>0</v>
      </c>
      <c r="I91" s="77">
        <f t="shared" si="194"/>
        <v>1</v>
      </c>
      <c r="J91" s="77">
        <f t="shared" si="195"/>
        <v>6.1987699999999986E-2</v>
      </c>
      <c r="K91" s="77">
        <f t="shared" si="185"/>
        <v>5.024442123284345E-3</v>
      </c>
      <c r="L91" s="76">
        <v>0</v>
      </c>
      <c r="M91" s="77">
        <f t="shared" si="201"/>
        <v>0</v>
      </c>
      <c r="N91" s="77">
        <f t="shared" si="202"/>
        <v>0</v>
      </c>
      <c r="O91" s="77">
        <f t="shared" si="203"/>
        <v>7.0062999999999992E-3</v>
      </c>
      <c r="P91" s="77">
        <f t="shared" si="204"/>
        <v>5.85741666996209E-4</v>
      </c>
      <c r="R91" t="s">
        <v>177</v>
      </c>
      <c r="S91" t="s">
        <v>176</v>
      </c>
      <c r="T91" s="197" t="str">
        <f t="shared" si="249"/>
        <v>Autopilot_Balanced_454</v>
      </c>
      <c r="U91">
        <v>454</v>
      </c>
      <c r="V91">
        <f>VLOOKUP($U91,'[2]AP Balanced'!$Q$1:$T$542,2,FALSE)</f>
        <v>0.77777777777777779</v>
      </c>
      <c r="W91">
        <f>VLOOKUP($U91,'[2]AP Balanced'!$Q$1:$T$542,3,FALSE)</f>
        <v>0.22222222222222221</v>
      </c>
      <c r="X91">
        <f>VLOOKUP($U91,'[2]AP Balanced'!$Q$1:$T$542,4,FALSE)</f>
        <v>0</v>
      </c>
      <c r="Y91" s="77">
        <f t="shared" si="250"/>
        <v>1</v>
      </c>
      <c r="Z91" s="77">
        <f t="shared" si="181"/>
        <v>6.1674999999999987E-2</v>
      </c>
      <c r="AA91" s="77">
        <f t="shared" si="251"/>
        <v>4.9997781870025904E-3</v>
      </c>
      <c r="AB91" s="79">
        <v>1</v>
      </c>
      <c r="AC91" s="77">
        <f t="shared" si="205"/>
        <v>8.0555555555555554E-3</v>
      </c>
      <c r="AD91" s="77">
        <f t="shared" si="196"/>
        <v>6.7378764057135498E-4</v>
      </c>
      <c r="AE91" s="77">
        <f t="shared" si="206"/>
        <v>2.5000000000000001E-3</v>
      </c>
      <c r="AF91" s="77">
        <f t="shared" si="196"/>
        <v>2.0857243058891584E-4</v>
      </c>
      <c r="AH91" t="s">
        <v>175</v>
      </c>
      <c r="AI91" t="s">
        <v>176</v>
      </c>
      <c r="AJ91" s="197" t="str">
        <f t="shared" si="252"/>
        <v>Lifecycle_Balanced_454</v>
      </c>
      <c r="AK91">
        <v>454</v>
      </c>
      <c r="AL91">
        <f>VLOOKUP($U91,[2]Standard_Balanced!$Q$1:$T$542,2,FALSE)</f>
        <v>0.77777777777777779</v>
      </c>
      <c r="AM91">
        <f>VLOOKUP($U91,[2]Standard_Balanced!$Q$1:$T$542,3,FALSE)</f>
        <v>0.22222222222222221</v>
      </c>
      <c r="AN91">
        <f>VLOOKUP($U91,[2]Standard_Balanced!$Q$1:$T$542,4,FALSE)</f>
        <v>0</v>
      </c>
      <c r="AO91" s="77">
        <f t="shared" si="182"/>
        <v>1</v>
      </c>
      <c r="AP91" s="77">
        <f t="shared" si="207"/>
        <v>6.1674999999999987E-2</v>
      </c>
      <c r="AQ91" s="77">
        <f t="shared" si="253"/>
        <v>4.9997781870025904E-3</v>
      </c>
      <c r="AR91" s="79">
        <v>0</v>
      </c>
      <c r="AS91" s="77">
        <f t="shared" si="208"/>
        <v>0</v>
      </c>
      <c r="AT91" s="77">
        <f t="shared" ref="AT91" si="263">1-(1-AS91)^(1/12)</f>
        <v>0</v>
      </c>
      <c r="AU91" s="77">
        <f t="shared" si="210"/>
        <v>2.5000000000000001E-3</v>
      </c>
      <c r="AV91" s="77">
        <f t="shared" ref="AV91" si="264">1-(1-AU91)^(1/12)</f>
        <v>2.0857243058891584E-4</v>
      </c>
      <c r="AX91" t="s">
        <v>178</v>
      </c>
      <c r="AY91" t="s">
        <v>160</v>
      </c>
      <c r="AZ91" s="197" t="str">
        <f t="shared" si="256"/>
        <v>DIS_Non-Standard_454</v>
      </c>
      <c r="BA91">
        <v>454</v>
      </c>
      <c r="BB91">
        <f>VLOOKUP($BA91,'[2]NonStandard DIS'!$Q$1:$X$542,2,FALSE)</f>
        <v>0</v>
      </c>
      <c r="BC91">
        <f>VLOOKUP($BA91,'[2]NonStandard DIS'!$Q$1:$X$542,3,FALSE)</f>
        <v>0</v>
      </c>
      <c r="BD91">
        <f>VLOOKUP($BA91,'[2]NonStandard DIS'!$Q$1:$X$542,4,FALSE)</f>
        <v>0.308</v>
      </c>
      <c r="BE91">
        <f>VLOOKUP($BA91,'[2]NonStandard DIS'!$Q$1:$X$542,5,FALSE)</f>
        <v>0.69199999999999995</v>
      </c>
      <c r="BF91">
        <f>VLOOKUP($BA91,'[2]NonStandard DIS'!$Q$1:$X$542,6,FALSE)</f>
        <v>0</v>
      </c>
      <c r="BG91">
        <f>VLOOKUP($BA91,'[2]NonStandard DIS'!$Q$1:$X$542,7,FALSE)</f>
        <v>0</v>
      </c>
      <c r="BH91">
        <f>VLOOKUP($BA91,'[2]NonStandard DIS'!$Q$1:$X$542,8,FALSE)</f>
        <v>0</v>
      </c>
      <c r="BI91" s="77">
        <f t="shared" si="199"/>
        <v>1</v>
      </c>
      <c r="BJ91" s="77">
        <f t="shared" si="200"/>
        <v>6.9728499999999985E-2</v>
      </c>
      <c r="BK91" s="77">
        <f t="shared" si="180"/>
        <v>5.632878498097682E-3</v>
      </c>
      <c r="BL91" s="79">
        <v>0</v>
      </c>
      <c r="BM91" s="77">
        <f t="shared" si="212"/>
        <v>0</v>
      </c>
      <c r="BN91" s="77">
        <f t="shared" si="213"/>
        <v>0</v>
      </c>
      <c r="BO91" s="77">
        <f t="shared" si="214"/>
        <v>5.6775999999999997E-3</v>
      </c>
      <c r="BP91" s="77">
        <f t="shared" si="215"/>
        <v>4.7190657760731725E-4</v>
      </c>
    </row>
    <row r="92" spans="1:68">
      <c r="A92" t="s">
        <v>175</v>
      </c>
      <c r="B92" t="s">
        <v>176</v>
      </c>
      <c r="C92" s="197" t="str">
        <f t="shared" si="248"/>
        <v>Lifecycle_Balanced_453</v>
      </c>
      <c r="D92">
        <v>453</v>
      </c>
      <c r="E92">
        <f>VLOOKUP($D92,'[2]LC Balanced'!$Q$2:$U$542,2,FALSE)</f>
        <v>0</v>
      </c>
      <c r="F92">
        <f>VLOOKUP($D92,'[2]LC Balanced'!$Q$2:$U$542,3,FALSE)</f>
        <v>0.14899999999999999</v>
      </c>
      <c r="G92">
        <f>VLOOKUP($D92,'[2]LC Balanced'!$Q$2:$U$542,4,FALSE)</f>
        <v>0.85099999999999998</v>
      </c>
      <c r="H92">
        <f>VLOOKUP($D92,'[2]LC Balanced'!$Q$2:$U$542,5,FALSE)</f>
        <v>0</v>
      </c>
      <c r="I92" s="77">
        <f t="shared" si="194"/>
        <v>1</v>
      </c>
      <c r="J92" s="77">
        <f t="shared" si="195"/>
        <v>6.1987699999999986E-2</v>
      </c>
      <c r="K92" s="77">
        <f t="shared" si="185"/>
        <v>5.024442123284345E-3</v>
      </c>
      <c r="L92" s="76">
        <v>0</v>
      </c>
      <c r="M92" s="77">
        <f t="shared" si="201"/>
        <v>0</v>
      </c>
      <c r="N92" s="77">
        <f t="shared" si="202"/>
        <v>0</v>
      </c>
      <c r="O92" s="77">
        <f t="shared" si="203"/>
        <v>7.0062999999999992E-3</v>
      </c>
      <c r="P92" s="77">
        <f t="shared" si="204"/>
        <v>5.85741666996209E-4</v>
      </c>
      <c r="R92" t="s">
        <v>177</v>
      </c>
      <c r="S92" t="s">
        <v>176</v>
      </c>
      <c r="T92" s="197" t="str">
        <f t="shared" si="249"/>
        <v>Autopilot_Balanced_453</v>
      </c>
      <c r="U92">
        <v>453</v>
      </c>
      <c r="V92">
        <f>VLOOKUP($U92,'[2]AP Balanced'!$Q$1:$T$542,2,FALSE)</f>
        <v>0.77777777777777779</v>
      </c>
      <c r="W92">
        <f>VLOOKUP($U92,'[2]AP Balanced'!$Q$1:$T$542,3,FALSE)</f>
        <v>0.22222222222222221</v>
      </c>
      <c r="X92">
        <f>VLOOKUP($U92,'[2]AP Balanced'!$Q$1:$T$542,4,FALSE)</f>
        <v>0</v>
      </c>
      <c r="Y92" s="77">
        <f t="shared" si="250"/>
        <v>1</v>
      </c>
      <c r="Z92" s="77">
        <f t="shared" si="181"/>
        <v>6.1674999999999987E-2</v>
      </c>
      <c r="AA92" s="77">
        <f t="shared" si="251"/>
        <v>4.9997781870025904E-3</v>
      </c>
      <c r="AB92" s="79">
        <v>1</v>
      </c>
      <c r="AC92" s="77">
        <f t="shared" si="205"/>
        <v>8.0555555555555554E-3</v>
      </c>
      <c r="AD92" s="77">
        <f t="shared" si="196"/>
        <v>6.7378764057135498E-4</v>
      </c>
      <c r="AE92" s="77">
        <f t="shared" si="206"/>
        <v>2.5000000000000001E-3</v>
      </c>
      <c r="AF92" s="77">
        <f t="shared" si="196"/>
        <v>2.0857243058891584E-4</v>
      </c>
      <c r="AH92" t="s">
        <v>175</v>
      </c>
      <c r="AI92" t="s">
        <v>176</v>
      </c>
      <c r="AJ92" s="197" t="str">
        <f t="shared" si="252"/>
        <v>Lifecycle_Balanced_453</v>
      </c>
      <c r="AK92">
        <v>453</v>
      </c>
      <c r="AL92">
        <f>VLOOKUP($U92,[2]Standard_Balanced!$Q$1:$T$542,2,FALSE)</f>
        <v>0.77777777777777779</v>
      </c>
      <c r="AM92">
        <f>VLOOKUP($U92,[2]Standard_Balanced!$Q$1:$T$542,3,FALSE)</f>
        <v>0.22222222222222221</v>
      </c>
      <c r="AN92">
        <f>VLOOKUP($U92,[2]Standard_Balanced!$Q$1:$T$542,4,FALSE)</f>
        <v>0</v>
      </c>
      <c r="AO92" s="77">
        <f t="shared" si="182"/>
        <v>1</v>
      </c>
      <c r="AP92" s="77">
        <f t="shared" si="207"/>
        <v>6.1674999999999987E-2</v>
      </c>
      <c r="AQ92" s="77">
        <f t="shared" si="253"/>
        <v>4.9997781870025904E-3</v>
      </c>
      <c r="AR92" s="79">
        <v>0</v>
      </c>
      <c r="AS92" s="77">
        <f t="shared" si="208"/>
        <v>0</v>
      </c>
      <c r="AT92" s="77">
        <f t="shared" ref="AT92" si="265">1-(1-AS92)^(1/12)</f>
        <v>0</v>
      </c>
      <c r="AU92" s="77">
        <f t="shared" si="210"/>
        <v>2.5000000000000001E-3</v>
      </c>
      <c r="AV92" s="77">
        <f t="shared" ref="AV92" si="266">1-(1-AU92)^(1/12)</f>
        <v>2.0857243058891584E-4</v>
      </c>
      <c r="AX92" t="s">
        <v>178</v>
      </c>
      <c r="AY92" t="s">
        <v>160</v>
      </c>
      <c r="AZ92" s="197" t="str">
        <f t="shared" si="256"/>
        <v>DIS_Non-Standard_453</v>
      </c>
      <c r="BA92">
        <v>453</v>
      </c>
      <c r="BB92">
        <f>VLOOKUP($BA92,'[2]NonStandard DIS'!$Q$1:$X$542,2,FALSE)</f>
        <v>0</v>
      </c>
      <c r="BC92">
        <f>VLOOKUP($BA92,'[2]NonStandard DIS'!$Q$1:$X$542,3,FALSE)</f>
        <v>0</v>
      </c>
      <c r="BD92">
        <f>VLOOKUP($BA92,'[2]NonStandard DIS'!$Q$1:$X$542,4,FALSE)</f>
        <v>0.308</v>
      </c>
      <c r="BE92">
        <f>VLOOKUP($BA92,'[2]NonStandard DIS'!$Q$1:$X$542,5,FALSE)</f>
        <v>0.69199999999999995</v>
      </c>
      <c r="BF92">
        <f>VLOOKUP($BA92,'[2]NonStandard DIS'!$Q$1:$X$542,6,FALSE)</f>
        <v>0</v>
      </c>
      <c r="BG92">
        <f>VLOOKUP($BA92,'[2]NonStandard DIS'!$Q$1:$X$542,7,FALSE)</f>
        <v>0</v>
      </c>
      <c r="BH92">
        <f>VLOOKUP($BA92,'[2]NonStandard DIS'!$Q$1:$X$542,8,FALSE)</f>
        <v>0</v>
      </c>
      <c r="BI92" s="77">
        <f t="shared" si="199"/>
        <v>1</v>
      </c>
      <c r="BJ92" s="77">
        <f t="shared" si="200"/>
        <v>6.9728499999999985E-2</v>
      </c>
      <c r="BK92" s="77">
        <f t="shared" si="180"/>
        <v>5.632878498097682E-3</v>
      </c>
      <c r="BL92" s="79">
        <v>0</v>
      </c>
      <c r="BM92" s="77">
        <f t="shared" si="212"/>
        <v>0</v>
      </c>
      <c r="BN92" s="77">
        <f t="shared" si="213"/>
        <v>0</v>
      </c>
      <c r="BO92" s="77">
        <f t="shared" si="214"/>
        <v>5.6775999999999997E-3</v>
      </c>
      <c r="BP92" s="77">
        <f t="shared" si="215"/>
        <v>4.7190657760731725E-4</v>
      </c>
    </row>
    <row r="93" spans="1:68">
      <c r="A93" t="s">
        <v>175</v>
      </c>
      <c r="B93" t="s">
        <v>176</v>
      </c>
      <c r="C93" s="197" t="str">
        <f t="shared" si="248"/>
        <v>Lifecycle_Balanced_452</v>
      </c>
      <c r="D93">
        <v>452</v>
      </c>
      <c r="E93">
        <f>VLOOKUP($D93,'[2]LC Balanced'!$Q$2:$U$542,2,FALSE)</f>
        <v>0</v>
      </c>
      <c r="F93">
        <f>VLOOKUP($D93,'[2]LC Balanced'!$Q$2:$U$542,3,FALSE)</f>
        <v>0.14899999999999999</v>
      </c>
      <c r="G93">
        <f>VLOOKUP($D93,'[2]LC Balanced'!$Q$2:$U$542,4,FALSE)</f>
        <v>0.85099999999999998</v>
      </c>
      <c r="H93">
        <f>VLOOKUP($D93,'[2]LC Balanced'!$Q$2:$U$542,5,FALSE)</f>
        <v>0</v>
      </c>
      <c r="I93" s="77">
        <f t="shared" si="194"/>
        <v>1</v>
      </c>
      <c r="J93" s="77">
        <f t="shared" si="195"/>
        <v>6.1987699999999986E-2</v>
      </c>
      <c r="K93" s="77">
        <f t="shared" si="185"/>
        <v>5.024442123284345E-3</v>
      </c>
      <c r="L93" s="76">
        <v>0</v>
      </c>
      <c r="M93" s="77">
        <f t="shared" si="201"/>
        <v>0</v>
      </c>
      <c r="N93" s="77">
        <f t="shared" si="202"/>
        <v>0</v>
      </c>
      <c r="O93" s="77">
        <f t="shared" si="203"/>
        <v>7.0062999999999992E-3</v>
      </c>
      <c r="P93" s="77">
        <f t="shared" si="204"/>
        <v>5.85741666996209E-4</v>
      </c>
      <c r="R93" t="s">
        <v>177</v>
      </c>
      <c r="S93" t="s">
        <v>176</v>
      </c>
      <c r="T93" s="197" t="str">
        <f t="shared" si="249"/>
        <v>Autopilot_Balanced_452</v>
      </c>
      <c r="U93">
        <v>452</v>
      </c>
      <c r="V93">
        <f>VLOOKUP($U93,'[2]AP Balanced'!$Q$1:$T$542,2,FALSE)</f>
        <v>0.77777777777777779</v>
      </c>
      <c r="W93">
        <f>VLOOKUP($U93,'[2]AP Balanced'!$Q$1:$T$542,3,FALSE)</f>
        <v>0.22222222222222221</v>
      </c>
      <c r="X93">
        <f>VLOOKUP($U93,'[2]AP Balanced'!$Q$1:$T$542,4,FALSE)</f>
        <v>0</v>
      </c>
      <c r="Y93" s="77">
        <f t="shared" si="250"/>
        <v>1</v>
      </c>
      <c r="Z93" s="77">
        <f t="shared" si="181"/>
        <v>6.1674999999999987E-2</v>
      </c>
      <c r="AA93" s="77">
        <f t="shared" si="251"/>
        <v>4.9997781870025904E-3</v>
      </c>
      <c r="AB93" s="79">
        <v>1</v>
      </c>
      <c r="AC93" s="77">
        <f t="shared" si="205"/>
        <v>8.0555555555555554E-3</v>
      </c>
      <c r="AD93" s="77">
        <f t="shared" si="196"/>
        <v>6.7378764057135498E-4</v>
      </c>
      <c r="AE93" s="77">
        <f t="shared" si="206"/>
        <v>2.5000000000000001E-3</v>
      </c>
      <c r="AF93" s="77">
        <f t="shared" si="196"/>
        <v>2.0857243058891584E-4</v>
      </c>
      <c r="AH93" t="s">
        <v>175</v>
      </c>
      <c r="AI93" t="s">
        <v>176</v>
      </c>
      <c r="AJ93" s="197" t="str">
        <f t="shared" si="252"/>
        <v>Lifecycle_Balanced_452</v>
      </c>
      <c r="AK93">
        <v>452</v>
      </c>
      <c r="AL93">
        <f>VLOOKUP($U93,[2]Standard_Balanced!$Q$1:$T$542,2,FALSE)</f>
        <v>0.77777777777777779</v>
      </c>
      <c r="AM93">
        <f>VLOOKUP($U93,[2]Standard_Balanced!$Q$1:$T$542,3,FALSE)</f>
        <v>0.22222222222222221</v>
      </c>
      <c r="AN93">
        <f>VLOOKUP($U93,[2]Standard_Balanced!$Q$1:$T$542,4,FALSE)</f>
        <v>0</v>
      </c>
      <c r="AO93" s="77">
        <f t="shared" si="182"/>
        <v>1</v>
      </c>
      <c r="AP93" s="77">
        <f t="shared" si="207"/>
        <v>6.1674999999999987E-2</v>
      </c>
      <c r="AQ93" s="77">
        <f t="shared" si="253"/>
        <v>4.9997781870025904E-3</v>
      </c>
      <c r="AR93" s="79">
        <v>0</v>
      </c>
      <c r="AS93" s="77">
        <f t="shared" si="208"/>
        <v>0</v>
      </c>
      <c r="AT93" s="77">
        <f t="shared" ref="AT93" si="267">1-(1-AS93)^(1/12)</f>
        <v>0</v>
      </c>
      <c r="AU93" s="77">
        <f t="shared" si="210"/>
        <v>2.5000000000000001E-3</v>
      </c>
      <c r="AV93" s="77">
        <f t="shared" ref="AV93" si="268">1-(1-AU93)^(1/12)</f>
        <v>2.0857243058891584E-4</v>
      </c>
      <c r="AX93" t="s">
        <v>178</v>
      </c>
      <c r="AY93" t="s">
        <v>160</v>
      </c>
      <c r="AZ93" s="197" t="str">
        <f t="shared" si="256"/>
        <v>DIS_Non-Standard_452</v>
      </c>
      <c r="BA93">
        <v>452</v>
      </c>
      <c r="BB93">
        <f>VLOOKUP($BA93,'[2]NonStandard DIS'!$Q$1:$X$542,2,FALSE)</f>
        <v>0</v>
      </c>
      <c r="BC93">
        <f>VLOOKUP($BA93,'[2]NonStandard DIS'!$Q$1:$X$542,3,FALSE)</f>
        <v>0</v>
      </c>
      <c r="BD93">
        <f>VLOOKUP($BA93,'[2]NonStandard DIS'!$Q$1:$X$542,4,FALSE)</f>
        <v>0.308</v>
      </c>
      <c r="BE93">
        <f>VLOOKUP($BA93,'[2]NonStandard DIS'!$Q$1:$X$542,5,FALSE)</f>
        <v>0.69199999999999995</v>
      </c>
      <c r="BF93">
        <f>VLOOKUP($BA93,'[2]NonStandard DIS'!$Q$1:$X$542,6,FALSE)</f>
        <v>0</v>
      </c>
      <c r="BG93">
        <f>VLOOKUP($BA93,'[2]NonStandard DIS'!$Q$1:$X$542,7,FALSE)</f>
        <v>0</v>
      </c>
      <c r="BH93">
        <f>VLOOKUP($BA93,'[2]NonStandard DIS'!$Q$1:$X$542,8,FALSE)</f>
        <v>0</v>
      </c>
      <c r="BI93" s="77">
        <f t="shared" si="199"/>
        <v>1</v>
      </c>
      <c r="BJ93" s="77">
        <f t="shared" si="200"/>
        <v>6.9728499999999985E-2</v>
      </c>
      <c r="BK93" s="77">
        <f t="shared" si="180"/>
        <v>5.632878498097682E-3</v>
      </c>
      <c r="BL93" s="79">
        <v>0</v>
      </c>
      <c r="BM93" s="77">
        <f t="shared" si="212"/>
        <v>0</v>
      </c>
      <c r="BN93" s="77">
        <f t="shared" si="213"/>
        <v>0</v>
      </c>
      <c r="BO93" s="77">
        <f t="shared" si="214"/>
        <v>5.6775999999999997E-3</v>
      </c>
      <c r="BP93" s="77">
        <f t="shared" si="215"/>
        <v>4.7190657760731725E-4</v>
      </c>
    </row>
    <row r="94" spans="1:68">
      <c r="A94" t="s">
        <v>175</v>
      </c>
      <c r="B94" t="s">
        <v>176</v>
      </c>
      <c r="C94" s="197" t="str">
        <f t="shared" si="248"/>
        <v>Lifecycle_Balanced_451</v>
      </c>
      <c r="D94">
        <v>451</v>
      </c>
      <c r="E94">
        <f>VLOOKUP($D94,'[2]LC Balanced'!$Q$2:$U$542,2,FALSE)</f>
        <v>0</v>
      </c>
      <c r="F94">
        <f>VLOOKUP($D94,'[2]LC Balanced'!$Q$2:$U$542,3,FALSE)</f>
        <v>0.14899999999999999</v>
      </c>
      <c r="G94">
        <f>VLOOKUP($D94,'[2]LC Balanced'!$Q$2:$U$542,4,FALSE)</f>
        <v>0.85099999999999998</v>
      </c>
      <c r="H94">
        <f>VLOOKUP($D94,'[2]LC Balanced'!$Q$2:$U$542,5,FALSE)</f>
        <v>0</v>
      </c>
      <c r="I94" s="77">
        <f t="shared" si="194"/>
        <v>1</v>
      </c>
      <c r="J94" s="77">
        <f t="shared" si="195"/>
        <v>6.1987699999999986E-2</v>
      </c>
      <c r="K94" s="77">
        <f t="shared" si="185"/>
        <v>5.024442123284345E-3</v>
      </c>
      <c r="L94" s="76">
        <v>0</v>
      </c>
      <c r="M94" s="77">
        <f t="shared" si="201"/>
        <v>0</v>
      </c>
      <c r="N94" s="77">
        <f t="shared" si="202"/>
        <v>0</v>
      </c>
      <c r="O94" s="77">
        <f t="shared" si="203"/>
        <v>7.0062999999999992E-3</v>
      </c>
      <c r="P94" s="77">
        <f t="shared" si="204"/>
        <v>5.85741666996209E-4</v>
      </c>
      <c r="R94" t="s">
        <v>177</v>
      </c>
      <c r="S94" t="s">
        <v>176</v>
      </c>
      <c r="T94" s="197" t="str">
        <f t="shared" si="249"/>
        <v>Autopilot_Balanced_451</v>
      </c>
      <c r="U94">
        <v>451</v>
      </c>
      <c r="V94">
        <f>VLOOKUP($U94,'[2]AP Balanced'!$Q$1:$T$542,2,FALSE)</f>
        <v>0.77777777777777779</v>
      </c>
      <c r="W94">
        <f>VLOOKUP($U94,'[2]AP Balanced'!$Q$1:$T$542,3,FALSE)</f>
        <v>0.22222222222222221</v>
      </c>
      <c r="X94">
        <f>VLOOKUP($U94,'[2]AP Balanced'!$Q$1:$T$542,4,FALSE)</f>
        <v>0</v>
      </c>
      <c r="Y94" s="77">
        <f t="shared" si="250"/>
        <v>1</v>
      </c>
      <c r="Z94" s="77">
        <f t="shared" si="181"/>
        <v>6.1674999999999987E-2</v>
      </c>
      <c r="AA94" s="77">
        <f t="shared" si="251"/>
        <v>4.9997781870025904E-3</v>
      </c>
      <c r="AB94" s="79">
        <v>1</v>
      </c>
      <c r="AC94" s="77">
        <f t="shared" si="205"/>
        <v>8.0555555555555554E-3</v>
      </c>
      <c r="AD94" s="77">
        <f t="shared" si="196"/>
        <v>6.7378764057135498E-4</v>
      </c>
      <c r="AE94" s="77">
        <f t="shared" si="206"/>
        <v>2.5000000000000001E-3</v>
      </c>
      <c r="AF94" s="77">
        <f t="shared" si="196"/>
        <v>2.0857243058891584E-4</v>
      </c>
      <c r="AH94" t="s">
        <v>175</v>
      </c>
      <c r="AI94" t="s">
        <v>176</v>
      </c>
      <c r="AJ94" s="197" t="str">
        <f t="shared" si="252"/>
        <v>Lifecycle_Balanced_451</v>
      </c>
      <c r="AK94">
        <v>451</v>
      </c>
      <c r="AL94">
        <f>VLOOKUP($U94,[2]Standard_Balanced!$Q$1:$T$542,2,FALSE)</f>
        <v>0.77777777777777779</v>
      </c>
      <c r="AM94">
        <f>VLOOKUP($U94,[2]Standard_Balanced!$Q$1:$T$542,3,FALSE)</f>
        <v>0.22222222222222221</v>
      </c>
      <c r="AN94">
        <f>VLOOKUP($U94,[2]Standard_Balanced!$Q$1:$T$542,4,FALSE)</f>
        <v>0</v>
      </c>
      <c r="AO94" s="77">
        <f t="shared" si="182"/>
        <v>1</v>
      </c>
      <c r="AP94" s="77">
        <f t="shared" si="207"/>
        <v>6.1674999999999987E-2</v>
      </c>
      <c r="AQ94" s="77">
        <f t="shared" si="253"/>
        <v>4.9997781870025904E-3</v>
      </c>
      <c r="AR94" s="79">
        <v>0</v>
      </c>
      <c r="AS94" s="77">
        <f t="shared" si="208"/>
        <v>0</v>
      </c>
      <c r="AT94" s="77">
        <f t="shared" ref="AT94" si="269">1-(1-AS94)^(1/12)</f>
        <v>0</v>
      </c>
      <c r="AU94" s="77">
        <f t="shared" si="210"/>
        <v>2.5000000000000001E-3</v>
      </c>
      <c r="AV94" s="77">
        <f t="shared" ref="AV94" si="270">1-(1-AU94)^(1/12)</f>
        <v>2.0857243058891584E-4</v>
      </c>
      <c r="AX94" t="s">
        <v>178</v>
      </c>
      <c r="AY94" t="s">
        <v>160</v>
      </c>
      <c r="AZ94" s="197" t="str">
        <f t="shared" si="256"/>
        <v>DIS_Non-Standard_451</v>
      </c>
      <c r="BA94">
        <v>451</v>
      </c>
      <c r="BB94">
        <f>VLOOKUP($BA94,'[2]NonStandard DIS'!$Q$1:$X$542,2,FALSE)</f>
        <v>0</v>
      </c>
      <c r="BC94">
        <f>VLOOKUP($BA94,'[2]NonStandard DIS'!$Q$1:$X$542,3,FALSE)</f>
        <v>0</v>
      </c>
      <c r="BD94">
        <f>VLOOKUP($BA94,'[2]NonStandard DIS'!$Q$1:$X$542,4,FALSE)</f>
        <v>0.308</v>
      </c>
      <c r="BE94">
        <f>VLOOKUP($BA94,'[2]NonStandard DIS'!$Q$1:$X$542,5,FALSE)</f>
        <v>0.69199999999999995</v>
      </c>
      <c r="BF94">
        <f>VLOOKUP($BA94,'[2]NonStandard DIS'!$Q$1:$X$542,6,FALSE)</f>
        <v>0</v>
      </c>
      <c r="BG94">
        <f>VLOOKUP($BA94,'[2]NonStandard DIS'!$Q$1:$X$542,7,FALSE)</f>
        <v>0</v>
      </c>
      <c r="BH94">
        <f>VLOOKUP($BA94,'[2]NonStandard DIS'!$Q$1:$X$542,8,FALSE)</f>
        <v>0</v>
      </c>
      <c r="BI94" s="77">
        <f t="shared" si="199"/>
        <v>1</v>
      </c>
      <c r="BJ94" s="77">
        <f t="shared" si="200"/>
        <v>6.9728499999999985E-2</v>
      </c>
      <c r="BK94" s="77">
        <f t="shared" si="180"/>
        <v>5.632878498097682E-3</v>
      </c>
      <c r="BL94" s="79">
        <v>0</v>
      </c>
      <c r="BM94" s="77">
        <f t="shared" si="212"/>
        <v>0</v>
      </c>
      <c r="BN94" s="77">
        <f t="shared" si="213"/>
        <v>0</v>
      </c>
      <c r="BO94" s="77">
        <f t="shared" si="214"/>
        <v>5.6775999999999997E-3</v>
      </c>
      <c r="BP94" s="77">
        <f t="shared" si="215"/>
        <v>4.7190657760731725E-4</v>
      </c>
    </row>
    <row r="95" spans="1:68">
      <c r="A95" t="s">
        <v>175</v>
      </c>
      <c r="B95" t="s">
        <v>176</v>
      </c>
      <c r="C95" s="197" t="str">
        <f t="shared" si="248"/>
        <v>Lifecycle_Balanced_450</v>
      </c>
      <c r="D95">
        <v>450</v>
      </c>
      <c r="E95">
        <f>VLOOKUP($D95,'[2]LC Balanced'!$Q$2:$U$542,2,FALSE)</f>
        <v>0</v>
      </c>
      <c r="F95">
        <f>VLOOKUP($D95,'[2]LC Balanced'!$Q$2:$U$542,3,FALSE)</f>
        <v>0.14899999999999999</v>
      </c>
      <c r="G95">
        <f>VLOOKUP($D95,'[2]LC Balanced'!$Q$2:$U$542,4,FALSE)</f>
        <v>0.85099999999999998</v>
      </c>
      <c r="H95">
        <f>VLOOKUP($D95,'[2]LC Balanced'!$Q$2:$U$542,5,FALSE)</f>
        <v>0</v>
      </c>
      <c r="I95" s="77">
        <f t="shared" si="194"/>
        <v>1</v>
      </c>
      <c r="J95" s="77">
        <f t="shared" si="195"/>
        <v>6.1987699999999986E-2</v>
      </c>
      <c r="K95" s="77">
        <f t="shared" si="185"/>
        <v>5.024442123284345E-3</v>
      </c>
      <c r="L95" s="76">
        <v>0</v>
      </c>
      <c r="M95" s="77">
        <f t="shared" si="201"/>
        <v>0</v>
      </c>
      <c r="N95" s="77">
        <f t="shared" si="202"/>
        <v>0</v>
      </c>
      <c r="O95" s="77">
        <f t="shared" si="203"/>
        <v>7.0062999999999992E-3</v>
      </c>
      <c r="P95" s="77">
        <f t="shared" si="204"/>
        <v>5.85741666996209E-4</v>
      </c>
      <c r="R95" t="s">
        <v>177</v>
      </c>
      <c r="S95" t="s">
        <v>176</v>
      </c>
      <c r="T95" s="197" t="str">
        <f t="shared" si="249"/>
        <v>Autopilot_Balanced_450</v>
      </c>
      <c r="U95">
        <v>450</v>
      </c>
      <c r="V95">
        <f>VLOOKUP($U95,'[2]AP Balanced'!$Q$1:$T$542,2,FALSE)</f>
        <v>0.77777777777777779</v>
      </c>
      <c r="W95">
        <f>VLOOKUP($U95,'[2]AP Balanced'!$Q$1:$T$542,3,FALSE)</f>
        <v>0.22222222222222221</v>
      </c>
      <c r="X95">
        <f>VLOOKUP($U95,'[2]AP Balanced'!$Q$1:$T$542,4,FALSE)</f>
        <v>0</v>
      </c>
      <c r="Y95" s="77">
        <f t="shared" si="250"/>
        <v>1</v>
      </c>
      <c r="Z95" s="77">
        <f t="shared" si="181"/>
        <v>6.1674999999999987E-2</v>
      </c>
      <c r="AA95" s="77">
        <f t="shared" si="251"/>
        <v>4.9997781870025904E-3</v>
      </c>
      <c r="AB95" s="79">
        <v>1</v>
      </c>
      <c r="AC95" s="77">
        <f t="shared" si="205"/>
        <v>8.0555555555555554E-3</v>
      </c>
      <c r="AD95" s="77">
        <f t="shared" si="196"/>
        <v>6.7378764057135498E-4</v>
      </c>
      <c r="AE95" s="77">
        <f t="shared" si="206"/>
        <v>2.5000000000000001E-3</v>
      </c>
      <c r="AF95" s="77">
        <f t="shared" si="196"/>
        <v>2.0857243058891584E-4</v>
      </c>
      <c r="AH95" t="s">
        <v>175</v>
      </c>
      <c r="AI95" t="s">
        <v>176</v>
      </c>
      <c r="AJ95" s="197" t="str">
        <f t="shared" si="252"/>
        <v>Lifecycle_Balanced_450</v>
      </c>
      <c r="AK95">
        <v>450</v>
      </c>
      <c r="AL95">
        <f>VLOOKUP($U95,[2]Standard_Balanced!$Q$1:$T$542,2,FALSE)</f>
        <v>0.77777777777777779</v>
      </c>
      <c r="AM95">
        <f>VLOOKUP($U95,[2]Standard_Balanced!$Q$1:$T$542,3,FALSE)</f>
        <v>0.22222222222222221</v>
      </c>
      <c r="AN95">
        <f>VLOOKUP($U95,[2]Standard_Balanced!$Q$1:$T$542,4,FALSE)</f>
        <v>0</v>
      </c>
      <c r="AO95" s="77">
        <f t="shared" si="182"/>
        <v>1</v>
      </c>
      <c r="AP95" s="77">
        <f t="shared" si="207"/>
        <v>6.1674999999999987E-2</v>
      </c>
      <c r="AQ95" s="77">
        <f t="shared" si="253"/>
        <v>4.9997781870025904E-3</v>
      </c>
      <c r="AR95" s="79">
        <v>0</v>
      </c>
      <c r="AS95" s="77">
        <f t="shared" si="208"/>
        <v>0</v>
      </c>
      <c r="AT95" s="77">
        <f t="shared" ref="AT95" si="271">1-(1-AS95)^(1/12)</f>
        <v>0</v>
      </c>
      <c r="AU95" s="77">
        <f t="shared" si="210"/>
        <v>2.5000000000000001E-3</v>
      </c>
      <c r="AV95" s="77">
        <f t="shared" ref="AV95" si="272">1-(1-AU95)^(1/12)</f>
        <v>2.0857243058891584E-4</v>
      </c>
      <c r="AX95" t="s">
        <v>178</v>
      </c>
      <c r="AY95" t="s">
        <v>160</v>
      </c>
      <c r="AZ95" s="197" t="str">
        <f t="shared" si="256"/>
        <v>DIS_Non-Standard_450</v>
      </c>
      <c r="BA95">
        <v>450</v>
      </c>
      <c r="BB95">
        <f>VLOOKUP($BA95,'[2]NonStandard DIS'!$Q$1:$X$542,2,FALSE)</f>
        <v>0</v>
      </c>
      <c r="BC95">
        <f>VLOOKUP($BA95,'[2]NonStandard DIS'!$Q$1:$X$542,3,FALSE)</f>
        <v>0</v>
      </c>
      <c r="BD95">
        <f>VLOOKUP($BA95,'[2]NonStandard DIS'!$Q$1:$X$542,4,FALSE)</f>
        <v>0.308</v>
      </c>
      <c r="BE95">
        <f>VLOOKUP($BA95,'[2]NonStandard DIS'!$Q$1:$X$542,5,FALSE)</f>
        <v>0.69199999999999995</v>
      </c>
      <c r="BF95">
        <f>VLOOKUP($BA95,'[2]NonStandard DIS'!$Q$1:$X$542,6,FALSE)</f>
        <v>0</v>
      </c>
      <c r="BG95">
        <f>VLOOKUP($BA95,'[2]NonStandard DIS'!$Q$1:$X$542,7,FALSE)</f>
        <v>0</v>
      </c>
      <c r="BH95">
        <f>VLOOKUP($BA95,'[2]NonStandard DIS'!$Q$1:$X$542,8,FALSE)</f>
        <v>0</v>
      </c>
      <c r="BI95" s="77">
        <f t="shared" si="199"/>
        <v>1</v>
      </c>
      <c r="BJ95" s="77">
        <f t="shared" si="200"/>
        <v>6.9728499999999985E-2</v>
      </c>
      <c r="BK95" s="77">
        <f t="shared" si="180"/>
        <v>5.632878498097682E-3</v>
      </c>
      <c r="BL95" s="79">
        <v>0</v>
      </c>
      <c r="BM95" s="77">
        <f t="shared" si="212"/>
        <v>0</v>
      </c>
      <c r="BN95" s="77">
        <f t="shared" si="213"/>
        <v>0</v>
      </c>
      <c r="BO95" s="77">
        <f t="shared" si="214"/>
        <v>5.6775999999999997E-3</v>
      </c>
      <c r="BP95" s="77">
        <f t="shared" si="215"/>
        <v>4.7190657760731725E-4</v>
      </c>
    </row>
    <row r="96" spans="1:68">
      <c r="A96" t="s">
        <v>175</v>
      </c>
      <c r="B96" t="s">
        <v>176</v>
      </c>
      <c r="C96" s="197" t="str">
        <f t="shared" si="248"/>
        <v>Lifecycle_Balanced_449</v>
      </c>
      <c r="D96">
        <v>449</v>
      </c>
      <c r="E96">
        <f>VLOOKUP($D96,'[2]LC Balanced'!$Q$2:$U$542,2,FALSE)</f>
        <v>0</v>
      </c>
      <c r="F96">
        <f>VLOOKUP($D96,'[2]LC Balanced'!$Q$2:$U$542,3,FALSE)</f>
        <v>0.14899999999999999</v>
      </c>
      <c r="G96">
        <f>VLOOKUP($D96,'[2]LC Balanced'!$Q$2:$U$542,4,FALSE)</f>
        <v>0.85099999999999998</v>
      </c>
      <c r="H96">
        <f>VLOOKUP($D96,'[2]LC Balanced'!$Q$2:$U$542,5,FALSE)</f>
        <v>0</v>
      </c>
      <c r="I96" s="77">
        <f t="shared" si="194"/>
        <v>1</v>
      </c>
      <c r="J96" s="77">
        <f t="shared" si="195"/>
        <v>6.1987699999999986E-2</v>
      </c>
      <c r="K96" s="77">
        <f t="shared" si="185"/>
        <v>5.024442123284345E-3</v>
      </c>
      <c r="L96" s="76">
        <v>0</v>
      </c>
      <c r="M96" s="77">
        <f t="shared" si="201"/>
        <v>0</v>
      </c>
      <c r="N96" s="77">
        <f t="shared" si="202"/>
        <v>0</v>
      </c>
      <c r="O96" s="77">
        <f t="shared" si="203"/>
        <v>7.0062999999999992E-3</v>
      </c>
      <c r="P96" s="77">
        <f t="shared" si="204"/>
        <v>5.85741666996209E-4</v>
      </c>
      <c r="R96" t="s">
        <v>177</v>
      </c>
      <c r="S96" t="s">
        <v>176</v>
      </c>
      <c r="T96" s="197" t="str">
        <f t="shared" si="249"/>
        <v>Autopilot_Balanced_449</v>
      </c>
      <c r="U96">
        <v>449</v>
      </c>
      <c r="V96">
        <f>VLOOKUP($U96,'[2]AP Balanced'!$Q$1:$T$542,2,FALSE)</f>
        <v>0.77777777777777779</v>
      </c>
      <c r="W96">
        <f>VLOOKUP($U96,'[2]AP Balanced'!$Q$1:$T$542,3,FALSE)</f>
        <v>0.22222222222222221</v>
      </c>
      <c r="X96">
        <f>VLOOKUP($U96,'[2]AP Balanced'!$Q$1:$T$542,4,FALSE)</f>
        <v>0</v>
      </c>
      <c r="Y96" s="77">
        <f t="shared" si="250"/>
        <v>1</v>
      </c>
      <c r="Z96" s="77">
        <f t="shared" si="181"/>
        <v>6.1674999999999987E-2</v>
      </c>
      <c r="AA96" s="77">
        <f t="shared" si="251"/>
        <v>4.9997781870025904E-3</v>
      </c>
      <c r="AB96" s="79">
        <v>1</v>
      </c>
      <c r="AC96" s="77">
        <f t="shared" si="205"/>
        <v>8.0555555555555554E-3</v>
      </c>
      <c r="AD96" s="77">
        <f t="shared" si="196"/>
        <v>6.7378764057135498E-4</v>
      </c>
      <c r="AE96" s="77">
        <f t="shared" si="206"/>
        <v>2.5000000000000001E-3</v>
      </c>
      <c r="AF96" s="77">
        <f t="shared" si="196"/>
        <v>2.0857243058891584E-4</v>
      </c>
      <c r="AH96" t="s">
        <v>175</v>
      </c>
      <c r="AI96" t="s">
        <v>176</v>
      </c>
      <c r="AJ96" s="197" t="str">
        <f t="shared" si="252"/>
        <v>Lifecycle_Balanced_449</v>
      </c>
      <c r="AK96">
        <v>449</v>
      </c>
      <c r="AL96">
        <f>VLOOKUP($U96,[2]Standard_Balanced!$Q$1:$T$542,2,FALSE)</f>
        <v>0.77777777777777779</v>
      </c>
      <c r="AM96">
        <f>VLOOKUP($U96,[2]Standard_Balanced!$Q$1:$T$542,3,FALSE)</f>
        <v>0.22222222222222221</v>
      </c>
      <c r="AN96">
        <f>VLOOKUP($U96,[2]Standard_Balanced!$Q$1:$T$542,4,FALSE)</f>
        <v>0</v>
      </c>
      <c r="AO96" s="77">
        <f t="shared" si="182"/>
        <v>1</v>
      </c>
      <c r="AP96" s="77">
        <f t="shared" si="207"/>
        <v>6.1674999999999987E-2</v>
      </c>
      <c r="AQ96" s="77">
        <f t="shared" si="253"/>
        <v>4.9997781870025904E-3</v>
      </c>
      <c r="AR96" s="79">
        <v>0</v>
      </c>
      <c r="AS96" s="77">
        <f t="shared" si="208"/>
        <v>0</v>
      </c>
      <c r="AT96" s="77">
        <f t="shared" ref="AT96" si="273">1-(1-AS96)^(1/12)</f>
        <v>0</v>
      </c>
      <c r="AU96" s="77">
        <f t="shared" si="210"/>
        <v>2.5000000000000001E-3</v>
      </c>
      <c r="AV96" s="77">
        <f t="shared" ref="AV96" si="274">1-(1-AU96)^(1/12)</f>
        <v>2.0857243058891584E-4</v>
      </c>
      <c r="AX96" t="s">
        <v>178</v>
      </c>
      <c r="AY96" t="s">
        <v>160</v>
      </c>
      <c r="AZ96" s="197" t="str">
        <f t="shared" si="256"/>
        <v>DIS_Non-Standard_449</v>
      </c>
      <c r="BA96">
        <v>449</v>
      </c>
      <c r="BB96">
        <f>VLOOKUP($BA96,'[2]NonStandard DIS'!$Q$1:$X$542,2,FALSE)</f>
        <v>0</v>
      </c>
      <c r="BC96">
        <f>VLOOKUP($BA96,'[2]NonStandard DIS'!$Q$1:$X$542,3,FALSE)</f>
        <v>0</v>
      </c>
      <c r="BD96">
        <f>VLOOKUP($BA96,'[2]NonStandard DIS'!$Q$1:$X$542,4,FALSE)</f>
        <v>0.308</v>
      </c>
      <c r="BE96">
        <f>VLOOKUP($BA96,'[2]NonStandard DIS'!$Q$1:$X$542,5,FALSE)</f>
        <v>0.69199999999999995</v>
      </c>
      <c r="BF96">
        <f>VLOOKUP($BA96,'[2]NonStandard DIS'!$Q$1:$X$542,6,FALSE)</f>
        <v>0</v>
      </c>
      <c r="BG96">
        <f>VLOOKUP($BA96,'[2]NonStandard DIS'!$Q$1:$X$542,7,FALSE)</f>
        <v>0</v>
      </c>
      <c r="BH96">
        <f>VLOOKUP($BA96,'[2]NonStandard DIS'!$Q$1:$X$542,8,FALSE)</f>
        <v>0</v>
      </c>
      <c r="BI96" s="77">
        <f t="shared" si="199"/>
        <v>1</v>
      </c>
      <c r="BJ96" s="77">
        <f t="shared" si="200"/>
        <v>6.9728499999999985E-2</v>
      </c>
      <c r="BK96" s="77">
        <f t="shared" si="180"/>
        <v>5.632878498097682E-3</v>
      </c>
      <c r="BL96" s="79">
        <v>0</v>
      </c>
      <c r="BM96" s="77">
        <f t="shared" si="212"/>
        <v>0</v>
      </c>
      <c r="BN96" s="77">
        <f t="shared" si="213"/>
        <v>0</v>
      </c>
      <c r="BO96" s="77">
        <f t="shared" si="214"/>
        <v>5.6775999999999997E-3</v>
      </c>
      <c r="BP96" s="77">
        <f t="shared" si="215"/>
        <v>4.7190657760731725E-4</v>
      </c>
    </row>
    <row r="97" spans="1:68">
      <c r="A97" t="s">
        <v>175</v>
      </c>
      <c r="B97" t="s">
        <v>176</v>
      </c>
      <c r="C97" s="197" t="str">
        <f t="shared" si="248"/>
        <v>Lifecycle_Balanced_448</v>
      </c>
      <c r="D97">
        <v>448</v>
      </c>
      <c r="E97">
        <f>VLOOKUP($D97,'[2]LC Balanced'!$Q$2:$U$542,2,FALSE)</f>
        <v>0</v>
      </c>
      <c r="F97">
        <f>VLOOKUP($D97,'[2]LC Balanced'!$Q$2:$U$542,3,FALSE)</f>
        <v>0.14899999999999999</v>
      </c>
      <c r="G97">
        <f>VLOOKUP($D97,'[2]LC Balanced'!$Q$2:$U$542,4,FALSE)</f>
        <v>0.85099999999999998</v>
      </c>
      <c r="H97">
        <f>VLOOKUP($D97,'[2]LC Balanced'!$Q$2:$U$542,5,FALSE)</f>
        <v>0</v>
      </c>
      <c r="I97" s="77">
        <f t="shared" si="194"/>
        <v>1</v>
      </c>
      <c r="J97" s="77">
        <f t="shared" si="195"/>
        <v>6.1987699999999986E-2</v>
      </c>
      <c r="K97" s="77">
        <f t="shared" si="185"/>
        <v>5.024442123284345E-3</v>
      </c>
      <c r="L97" s="76">
        <v>0</v>
      </c>
      <c r="M97" s="77">
        <f t="shared" si="201"/>
        <v>0</v>
      </c>
      <c r="N97" s="77">
        <f t="shared" si="202"/>
        <v>0</v>
      </c>
      <c r="O97" s="77">
        <f t="shared" si="203"/>
        <v>7.0062999999999992E-3</v>
      </c>
      <c r="P97" s="77">
        <f t="shared" si="204"/>
        <v>5.85741666996209E-4</v>
      </c>
      <c r="R97" t="s">
        <v>177</v>
      </c>
      <c r="S97" t="s">
        <v>176</v>
      </c>
      <c r="T97" s="197" t="str">
        <f t="shared" si="249"/>
        <v>Autopilot_Balanced_448</v>
      </c>
      <c r="U97">
        <v>448</v>
      </c>
      <c r="V97">
        <f>VLOOKUP($U97,'[2]AP Balanced'!$Q$1:$T$542,2,FALSE)</f>
        <v>0.77777777777777779</v>
      </c>
      <c r="W97">
        <f>VLOOKUP($U97,'[2]AP Balanced'!$Q$1:$T$542,3,FALSE)</f>
        <v>0.22222222222222221</v>
      </c>
      <c r="X97">
        <f>VLOOKUP($U97,'[2]AP Balanced'!$Q$1:$T$542,4,FALSE)</f>
        <v>0</v>
      </c>
      <c r="Y97" s="77">
        <f t="shared" si="250"/>
        <v>1</v>
      </c>
      <c r="Z97" s="77">
        <f t="shared" si="181"/>
        <v>6.1674999999999987E-2</v>
      </c>
      <c r="AA97" s="77">
        <f t="shared" si="251"/>
        <v>4.9997781870025904E-3</v>
      </c>
      <c r="AB97" s="79">
        <v>1</v>
      </c>
      <c r="AC97" s="77">
        <f t="shared" si="205"/>
        <v>8.0555555555555554E-3</v>
      </c>
      <c r="AD97" s="77">
        <f t="shared" si="196"/>
        <v>6.7378764057135498E-4</v>
      </c>
      <c r="AE97" s="77">
        <f t="shared" si="206"/>
        <v>2.5000000000000001E-3</v>
      </c>
      <c r="AF97" s="77">
        <f t="shared" si="196"/>
        <v>2.0857243058891584E-4</v>
      </c>
      <c r="AH97" t="s">
        <v>175</v>
      </c>
      <c r="AI97" t="s">
        <v>176</v>
      </c>
      <c r="AJ97" s="197" t="str">
        <f t="shared" si="252"/>
        <v>Lifecycle_Balanced_448</v>
      </c>
      <c r="AK97">
        <v>448</v>
      </c>
      <c r="AL97">
        <f>VLOOKUP($U97,[2]Standard_Balanced!$Q$1:$T$542,2,FALSE)</f>
        <v>0.77777777777777779</v>
      </c>
      <c r="AM97">
        <f>VLOOKUP($U97,[2]Standard_Balanced!$Q$1:$T$542,3,FALSE)</f>
        <v>0.22222222222222221</v>
      </c>
      <c r="AN97">
        <f>VLOOKUP($U97,[2]Standard_Balanced!$Q$1:$T$542,4,FALSE)</f>
        <v>0</v>
      </c>
      <c r="AO97" s="77">
        <f t="shared" si="182"/>
        <v>1</v>
      </c>
      <c r="AP97" s="77">
        <f t="shared" si="207"/>
        <v>6.1674999999999987E-2</v>
      </c>
      <c r="AQ97" s="77">
        <f t="shared" si="253"/>
        <v>4.9997781870025904E-3</v>
      </c>
      <c r="AR97" s="79">
        <v>0</v>
      </c>
      <c r="AS97" s="77">
        <f t="shared" si="208"/>
        <v>0</v>
      </c>
      <c r="AT97" s="77">
        <f t="shared" ref="AT97" si="275">1-(1-AS97)^(1/12)</f>
        <v>0</v>
      </c>
      <c r="AU97" s="77">
        <f t="shared" si="210"/>
        <v>2.5000000000000001E-3</v>
      </c>
      <c r="AV97" s="77">
        <f t="shared" ref="AV97" si="276">1-(1-AU97)^(1/12)</f>
        <v>2.0857243058891584E-4</v>
      </c>
      <c r="AX97" t="s">
        <v>178</v>
      </c>
      <c r="AY97" t="s">
        <v>160</v>
      </c>
      <c r="AZ97" s="197" t="str">
        <f t="shared" si="256"/>
        <v>DIS_Non-Standard_448</v>
      </c>
      <c r="BA97">
        <v>448</v>
      </c>
      <c r="BB97">
        <f>VLOOKUP($BA97,'[2]NonStandard DIS'!$Q$1:$X$542,2,FALSE)</f>
        <v>0</v>
      </c>
      <c r="BC97">
        <f>VLOOKUP($BA97,'[2]NonStandard DIS'!$Q$1:$X$542,3,FALSE)</f>
        <v>0</v>
      </c>
      <c r="BD97">
        <f>VLOOKUP($BA97,'[2]NonStandard DIS'!$Q$1:$X$542,4,FALSE)</f>
        <v>0.308</v>
      </c>
      <c r="BE97">
        <f>VLOOKUP($BA97,'[2]NonStandard DIS'!$Q$1:$X$542,5,FALSE)</f>
        <v>0.69199999999999995</v>
      </c>
      <c r="BF97">
        <f>VLOOKUP($BA97,'[2]NonStandard DIS'!$Q$1:$X$542,6,FALSE)</f>
        <v>0</v>
      </c>
      <c r="BG97">
        <f>VLOOKUP($BA97,'[2]NonStandard DIS'!$Q$1:$X$542,7,FALSE)</f>
        <v>0</v>
      </c>
      <c r="BH97">
        <f>VLOOKUP($BA97,'[2]NonStandard DIS'!$Q$1:$X$542,8,FALSE)</f>
        <v>0</v>
      </c>
      <c r="BI97" s="77">
        <f t="shared" si="199"/>
        <v>1</v>
      </c>
      <c r="BJ97" s="77">
        <f t="shared" si="200"/>
        <v>6.9728499999999985E-2</v>
      </c>
      <c r="BK97" s="77">
        <f t="shared" si="180"/>
        <v>5.632878498097682E-3</v>
      </c>
      <c r="BL97" s="79">
        <v>0</v>
      </c>
      <c r="BM97" s="77">
        <f t="shared" si="212"/>
        <v>0</v>
      </c>
      <c r="BN97" s="77">
        <f t="shared" si="213"/>
        <v>0</v>
      </c>
      <c r="BO97" s="77">
        <f t="shared" si="214"/>
        <v>5.6775999999999997E-3</v>
      </c>
      <c r="BP97" s="77">
        <f t="shared" si="215"/>
        <v>4.7190657760731725E-4</v>
      </c>
    </row>
    <row r="98" spans="1:68">
      <c r="A98" t="s">
        <v>175</v>
      </c>
      <c r="B98" t="s">
        <v>176</v>
      </c>
      <c r="C98" s="197" t="str">
        <f t="shared" si="248"/>
        <v>Lifecycle_Balanced_447</v>
      </c>
      <c r="D98">
        <v>447</v>
      </c>
      <c r="E98">
        <f>VLOOKUP($D98,'[2]LC Balanced'!$Q$2:$U$542,2,FALSE)</f>
        <v>0</v>
      </c>
      <c r="F98">
        <f>VLOOKUP($D98,'[2]LC Balanced'!$Q$2:$U$542,3,FALSE)</f>
        <v>0.14899999999999999</v>
      </c>
      <c r="G98">
        <f>VLOOKUP($D98,'[2]LC Balanced'!$Q$2:$U$542,4,FALSE)</f>
        <v>0.85099999999999998</v>
      </c>
      <c r="H98">
        <f>VLOOKUP($D98,'[2]LC Balanced'!$Q$2:$U$542,5,FALSE)</f>
        <v>0</v>
      </c>
      <c r="I98" s="77">
        <f t="shared" si="194"/>
        <v>1</v>
      </c>
      <c r="J98" s="77">
        <f t="shared" si="195"/>
        <v>6.1987699999999986E-2</v>
      </c>
      <c r="K98" s="77">
        <f t="shared" si="185"/>
        <v>5.024442123284345E-3</v>
      </c>
      <c r="L98" s="76">
        <v>0</v>
      </c>
      <c r="M98" s="77">
        <f t="shared" si="201"/>
        <v>0</v>
      </c>
      <c r="N98" s="77">
        <f t="shared" si="202"/>
        <v>0</v>
      </c>
      <c r="O98" s="77">
        <f t="shared" si="203"/>
        <v>7.0062999999999992E-3</v>
      </c>
      <c r="P98" s="77">
        <f t="shared" si="204"/>
        <v>5.85741666996209E-4</v>
      </c>
      <c r="R98" t="s">
        <v>177</v>
      </c>
      <c r="S98" t="s">
        <v>176</v>
      </c>
      <c r="T98" s="197" t="str">
        <f t="shared" si="249"/>
        <v>Autopilot_Balanced_447</v>
      </c>
      <c r="U98">
        <v>447</v>
      </c>
      <c r="V98">
        <f>VLOOKUP($U98,'[2]AP Balanced'!$Q$1:$T$542,2,FALSE)</f>
        <v>0.77777777777777779</v>
      </c>
      <c r="W98">
        <f>VLOOKUP($U98,'[2]AP Balanced'!$Q$1:$T$542,3,FALSE)</f>
        <v>0.22222222222222221</v>
      </c>
      <c r="X98">
        <f>VLOOKUP($U98,'[2]AP Balanced'!$Q$1:$T$542,4,FALSE)</f>
        <v>0</v>
      </c>
      <c r="Y98" s="77">
        <f t="shared" si="250"/>
        <v>1</v>
      </c>
      <c r="Z98" s="77">
        <f t="shared" si="181"/>
        <v>6.1674999999999987E-2</v>
      </c>
      <c r="AA98" s="77">
        <f t="shared" si="251"/>
        <v>4.9997781870025904E-3</v>
      </c>
      <c r="AB98" s="79">
        <v>1</v>
      </c>
      <c r="AC98" s="77">
        <f t="shared" si="205"/>
        <v>8.0555555555555554E-3</v>
      </c>
      <c r="AD98" s="77">
        <f t="shared" si="196"/>
        <v>6.7378764057135498E-4</v>
      </c>
      <c r="AE98" s="77">
        <f t="shared" si="206"/>
        <v>2.5000000000000001E-3</v>
      </c>
      <c r="AF98" s="77">
        <f t="shared" si="196"/>
        <v>2.0857243058891584E-4</v>
      </c>
      <c r="AH98" t="s">
        <v>175</v>
      </c>
      <c r="AI98" t="s">
        <v>176</v>
      </c>
      <c r="AJ98" s="197" t="str">
        <f t="shared" si="252"/>
        <v>Lifecycle_Balanced_447</v>
      </c>
      <c r="AK98">
        <v>447</v>
      </c>
      <c r="AL98">
        <f>VLOOKUP($U98,[2]Standard_Balanced!$Q$1:$T$542,2,FALSE)</f>
        <v>0.77777777777777779</v>
      </c>
      <c r="AM98">
        <f>VLOOKUP($U98,[2]Standard_Balanced!$Q$1:$T$542,3,FALSE)</f>
        <v>0.22222222222222221</v>
      </c>
      <c r="AN98">
        <f>VLOOKUP($U98,[2]Standard_Balanced!$Q$1:$T$542,4,FALSE)</f>
        <v>0</v>
      </c>
      <c r="AO98" s="77">
        <f t="shared" si="182"/>
        <v>1</v>
      </c>
      <c r="AP98" s="77">
        <f t="shared" si="207"/>
        <v>6.1674999999999987E-2</v>
      </c>
      <c r="AQ98" s="77">
        <f t="shared" si="253"/>
        <v>4.9997781870025904E-3</v>
      </c>
      <c r="AR98" s="79">
        <v>0</v>
      </c>
      <c r="AS98" s="77">
        <f t="shared" si="208"/>
        <v>0</v>
      </c>
      <c r="AT98" s="77">
        <f t="shared" ref="AT98" si="277">1-(1-AS98)^(1/12)</f>
        <v>0</v>
      </c>
      <c r="AU98" s="77">
        <f t="shared" si="210"/>
        <v>2.5000000000000001E-3</v>
      </c>
      <c r="AV98" s="77">
        <f t="shared" ref="AV98" si="278">1-(1-AU98)^(1/12)</f>
        <v>2.0857243058891584E-4</v>
      </c>
      <c r="AX98" t="s">
        <v>178</v>
      </c>
      <c r="AY98" t="s">
        <v>160</v>
      </c>
      <c r="AZ98" s="197" t="str">
        <f t="shared" si="256"/>
        <v>DIS_Non-Standard_447</v>
      </c>
      <c r="BA98">
        <v>447</v>
      </c>
      <c r="BB98">
        <f>VLOOKUP($BA98,'[2]NonStandard DIS'!$Q$1:$X$542,2,FALSE)</f>
        <v>0</v>
      </c>
      <c r="BC98">
        <f>VLOOKUP($BA98,'[2]NonStandard DIS'!$Q$1:$X$542,3,FALSE)</f>
        <v>0</v>
      </c>
      <c r="BD98">
        <f>VLOOKUP($BA98,'[2]NonStandard DIS'!$Q$1:$X$542,4,FALSE)</f>
        <v>0.308</v>
      </c>
      <c r="BE98">
        <f>VLOOKUP($BA98,'[2]NonStandard DIS'!$Q$1:$X$542,5,FALSE)</f>
        <v>0.69199999999999995</v>
      </c>
      <c r="BF98">
        <f>VLOOKUP($BA98,'[2]NonStandard DIS'!$Q$1:$X$542,6,FALSE)</f>
        <v>0</v>
      </c>
      <c r="BG98">
        <f>VLOOKUP($BA98,'[2]NonStandard DIS'!$Q$1:$X$542,7,FALSE)</f>
        <v>0</v>
      </c>
      <c r="BH98">
        <f>VLOOKUP($BA98,'[2]NonStandard DIS'!$Q$1:$X$542,8,FALSE)</f>
        <v>0</v>
      </c>
      <c r="BI98" s="77">
        <f t="shared" si="199"/>
        <v>1</v>
      </c>
      <c r="BJ98" s="77">
        <f t="shared" si="200"/>
        <v>6.9728499999999985E-2</v>
      </c>
      <c r="BK98" s="77">
        <f t="shared" si="180"/>
        <v>5.632878498097682E-3</v>
      </c>
      <c r="BL98" s="79">
        <v>0</v>
      </c>
      <c r="BM98" s="77">
        <f t="shared" si="212"/>
        <v>0</v>
      </c>
      <c r="BN98" s="77">
        <f t="shared" si="213"/>
        <v>0</v>
      </c>
      <c r="BO98" s="77">
        <f t="shared" si="214"/>
        <v>5.6775999999999997E-3</v>
      </c>
      <c r="BP98" s="77">
        <f t="shared" si="215"/>
        <v>4.7190657760731725E-4</v>
      </c>
    </row>
    <row r="99" spans="1:68">
      <c r="A99" t="s">
        <v>175</v>
      </c>
      <c r="B99" t="s">
        <v>176</v>
      </c>
      <c r="C99" s="197" t="str">
        <f t="shared" si="248"/>
        <v>Lifecycle_Balanced_446</v>
      </c>
      <c r="D99">
        <v>446</v>
      </c>
      <c r="E99">
        <f>VLOOKUP($D99,'[2]LC Balanced'!$Q$2:$U$542,2,FALSE)</f>
        <v>0</v>
      </c>
      <c r="F99">
        <f>VLOOKUP($D99,'[2]LC Balanced'!$Q$2:$U$542,3,FALSE)</f>
        <v>0.14899999999999999</v>
      </c>
      <c r="G99">
        <f>VLOOKUP($D99,'[2]LC Balanced'!$Q$2:$U$542,4,FALSE)</f>
        <v>0.85099999999999998</v>
      </c>
      <c r="H99">
        <f>VLOOKUP($D99,'[2]LC Balanced'!$Q$2:$U$542,5,FALSE)</f>
        <v>0</v>
      </c>
      <c r="I99" s="77">
        <f t="shared" si="194"/>
        <v>1</v>
      </c>
      <c r="J99" s="77">
        <f t="shared" si="195"/>
        <v>6.1987699999999986E-2</v>
      </c>
      <c r="K99" s="77">
        <f t="shared" si="185"/>
        <v>5.024442123284345E-3</v>
      </c>
      <c r="L99" s="76">
        <v>0</v>
      </c>
      <c r="M99" s="77">
        <f t="shared" si="201"/>
        <v>0</v>
      </c>
      <c r="N99" s="77">
        <f t="shared" si="202"/>
        <v>0</v>
      </c>
      <c r="O99" s="77">
        <f t="shared" si="203"/>
        <v>7.0062999999999992E-3</v>
      </c>
      <c r="P99" s="77">
        <f t="shared" si="204"/>
        <v>5.85741666996209E-4</v>
      </c>
      <c r="R99" t="s">
        <v>177</v>
      </c>
      <c r="S99" t="s">
        <v>176</v>
      </c>
      <c r="T99" s="197" t="str">
        <f t="shared" si="249"/>
        <v>Autopilot_Balanced_446</v>
      </c>
      <c r="U99">
        <v>446</v>
      </c>
      <c r="V99">
        <f>VLOOKUP($U99,'[2]AP Balanced'!$Q$1:$T$542,2,FALSE)</f>
        <v>0.77777777777777779</v>
      </c>
      <c r="W99">
        <f>VLOOKUP($U99,'[2]AP Balanced'!$Q$1:$T$542,3,FALSE)</f>
        <v>0.22222222222222221</v>
      </c>
      <c r="X99">
        <f>VLOOKUP($U99,'[2]AP Balanced'!$Q$1:$T$542,4,FALSE)</f>
        <v>0</v>
      </c>
      <c r="Y99" s="77">
        <f t="shared" si="250"/>
        <v>1</v>
      </c>
      <c r="Z99" s="77">
        <f t="shared" si="181"/>
        <v>6.1674999999999987E-2</v>
      </c>
      <c r="AA99" s="77">
        <f t="shared" si="251"/>
        <v>4.9997781870025904E-3</v>
      </c>
      <c r="AB99" s="79">
        <v>1</v>
      </c>
      <c r="AC99" s="77">
        <f t="shared" si="205"/>
        <v>8.0555555555555554E-3</v>
      </c>
      <c r="AD99" s="77">
        <f t="shared" si="196"/>
        <v>6.7378764057135498E-4</v>
      </c>
      <c r="AE99" s="77">
        <f t="shared" si="206"/>
        <v>2.5000000000000001E-3</v>
      </c>
      <c r="AF99" s="77">
        <f t="shared" si="196"/>
        <v>2.0857243058891584E-4</v>
      </c>
      <c r="AH99" t="s">
        <v>175</v>
      </c>
      <c r="AI99" t="s">
        <v>176</v>
      </c>
      <c r="AJ99" s="197" t="str">
        <f t="shared" si="252"/>
        <v>Lifecycle_Balanced_446</v>
      </c>
      <c r="AK99">
        <v>446</v>
      </c>
      <c r="AL99">
        <f>VLOOKUP($U99,[2]Standard_Balanced!$Q$1:$T$542,2,FALSE)</f>
        <v>0.77777777777777779</v>
      </c>
      <c r="AM99">
        <f>VLOOKUP($U99,[2]Standard_Balanced!$Q$1:$T$542,3,FALSE)</f>
        <v>0.22222222222222221</v>
      </c>
      <c r="AN99">
        <f>VLOOKUP($U99,[2]Standard_Balanced!$Q$1:$T$542,4,FALSE)</f>
        <v>0</v>
      </c>
      <c r="AO99" s="77">
        <f t="shared" si="182"/>
        <v>1</v>
      </c>
      <c r="AP99" s="77">
        <f t="shared" si="207"/>
        <v>6.1674999999999987E-2</v>
      </c>
      <c r="AQ99" s="77">
        <f t="shared" si="253"/>
        <v>4.9997781870025904E-3</v>
      </c>
      <c r="AR99" s="79">
        <v>0</v>
      </c>
      <c r="AS99" s="77">
        <f t="shared" si="208"/>
        <v>0</v>
      </c>
      <c r="AT99" s="77">
        <f t="shared" ref="AT99" si="279">1-(1-AS99)^(1/12)</f>
        <v>0</v>
      </c>
      <c r="AU99" s="77">
        <f t="shared" si="210"/>
        <v>2.5000000000000001E-3</v>
      </c>
      <c r="AV99" s="77">
        <f t="shared" ref="AV99" si="280">1-(1-AU99)^(1/12)</f>
        <v>2.0857243058891584E-4</v>
      </c>
      <c r="AX99" t="s">
        <v>178</v>
      </c>
      <c r="AY99" t="s">
        <v>160</v>
      </c>
      <c r="AZ99" s="197" t="str">
        <f t="shared" si="256"/>
        <v>DIS_Non-Standard_446</v>
      </c>
      <c r="BA99">
        <v>446</v>
      </c>
      <c r="BB99">
        <f>VLOOKUP($BA99,'[2]NonStandard DIS'!$Q$1:$X$542,2,FALSE)</f>
        <v>0</v>
      </c>
      <c r="BC99">
        <f>VLOOKUP($BA99,'[2]NonStandard DIS'!$Q$1:$X$542,3,FALSE)</f>
        <v>0</v>
      </c>
      <c r="BD99">
        <f>VLOOKUP($BA99,'[2]NonStandard DIS'!$Q$1:$X$542,4,FALSE)</f>
        <v>0.308</v>
      </c>
      <c r="BE99">
        <f>VLOOKUP($BA99,'[2]NonStandard DIS'!$Q$1:$X$542,5,FALSE)</f>
        <v>0.69199999999999995</v>
      </c>
      <c r="BF99">
        <f>VLOOKUP($BA99,'[2]NonStandard DIS'!$Q$1:$X$542,6,FALSE)</f>
        <v>0</v>
      </c>
      <c r="BG99">
        <f>VLOOKUP($BA99,'[2]NonStandard DIS'!$Q$1:$X$542,7,FALSE)</f>
        <v>0</v>
      </c>
      <c r="BH99">
        <f>VLOOKUP($BA99,'[2]NonStandard DIS'!$Q$1:$X$542,8,FALSE)</f>
        <v>0</v>
      </c>
      <c r="BI99" s="77">
        <f t="shared" si="199"/>
        <v>1</v>
      </c>
      <c r="BJ99" s="77">
        <f t="shared" si="200"/>
        <v>6.9728499999999985E-2</v>
      </c>
      <c r="BK99" s="77">
        <f t="shared" si="180"/>
        <v>5.632878498097682E-3</v>
      </c>
      <c r="BL99" s="79">
        <v>0</v>
      </c>
      <c r="BM99" s="77">
        <f t="shared" si="212"/>
        <v>0</v>
      </c>
      <c r="BN99" s="77">
        <f t="shared" si="213"/>
        <v>0</v>
      </c>
      <c r="BO99" s="77">
        <f t="shared" si="214"/>
        <v>5.6775999999999997E-3</v>
      </c>
      <c r="BP99" s="77">
        <f t="shared" si="215"/>
        <v>4.7190657760731725E-4</v>
      </c>
    </row>
    <row r="100" spans="1:68">
      <c r="A100" t="s">
        <v>175</v>
      </c>
      <c r="B100" t="s">
        <v>176</v>
      </c>
      <c r="C100" s="197" t="str">
        <f t="shared" si="248"/>
        <v>Lifecycle_Balanced_445</v>
      </c>
      <c r="D100">
        <v>445</v>
      </c>
      <c r="E100">
        <f>VLOOKUP($D100,'[2]LC Balanced'!$Q$2:$U$542,2,FALSE)</f>
        <v>0</v>
      </c>
      <c r="F100">
        <f>VLOOKUP($D100,'[2]LC Balanced'!$Q$2:$U$542,3,FALSE)</f>
        <v>0.14899999999999999</v>
      </c>
      <c r="G100">
        <f>VLOOKUP($D100,'[2]LC Balanced'!$Q$2:$U$542,4,FALSE)</f>
        <v>0.85099999999999998</v>
      </c>
      <c r="H100">
        <f>VLOOKUP($D100,'[2]LC Balanced'!$Q$2:$U$542,5,FALSE)</f>
        <v>0</v>
      </c>
      <c r="I100" s="77">
        <f t="shared" si="194"/>
        <v>1</v>
      </c>
      <c r="J100" s="77">
        <f t="shared" si="195"/>
        <v>6.1987699999999986E-2</v>
      </c>
      <c r="K100" s="77">
        <f t="shared" si="185"/>
        <v>5.024442123284345E-3</v>
      </c>
      <c r="L100" s="76">
        <v>0</v>
      </c>
      <c r="M100" s="77">
        <f t="shared" si="201"/>
        <v>0</v>
      </c>
      <c r="N100" s="77">
        <f t="shared" si="202"/>
        <v>0</v>
      </c>
      <c r="O100" s="77">
        <f t="shared" si="203"/>
        <v>7.0062999999999992E-3</v>
      </c>
      <c r="P100" s="77">
        <f t="shared" si="204"/>
        <v>5.85741666996209E-4</v>
      </c>
      <c r="R100" t="s">
        <v>177</v>
      </c>
      <c r="S100" t="s">
        <v>176</v>
      </c>
      <c r="T100" s="197" t="str">
        <f t="shared" si="249"/>
        <v>Autopilot_Balanced_445</v>
      </c>
      <c r="U100">
        <v>445</v>
      </c>
      <c r="V100">
        <f>VLOOKUP($U100,'[2]AP Balanced'!$Q$1:$T$542,2,FALSE)</f>
        <v>0.77777777777777779</v>
      </c>
      <c r="W100">
        <f>VLOOKUP($U100,'[2]AP Balanced'!$Q$1:$T$542,3,FALSE)</f>
        <v>0.22222222222222221</v>
      </c>
      <c r="X100">
        <f>VLOOKUP($U100,'[2]AP Balanced'!$Q$1:$T$542,4,FALSE)</f>
        <v>0</v>
      </c>
      <c r="Y100" s="77">
        <f t="shared" si="250"/>
        <v>1</v>
      </c>
      <c r="Z100" s="77">
        <f t="shared" si="181"/>
        <v>6.1674999999999987E-2</v>
      </c>
      <c r="AA100" s="77">
        <f t="shared" si="251"/>
        <v>4.9997781870025904E-3</v>
      </c>
      <c r="AB100" s="79">
        <v>1</v>
      </c>
      <c r="AC100" s="77">
        <f t="shared" si="205"/>
        <v>8.0555555555555554E-3</v>
      </c>
      <c r="AD100" s="77">
        <f t="shared" si="196"/>
        <v>6.7378764057135498E-4</v>
      </c>
      <c r="AE100" s="77">
        <f t="shared" si="206"/>
        <v>2.5000000000000001E-3</v>
      </c>
      <c r="AF100" s="77">
        <f t="shared" si="196"/>
        <v>2.0857243058891584E-4</v>
      </c>
      <c r="AH100" t="s">
        <v>175</v>
      </c>
      <c r="AI100" t="s">
        <v>176</v>
      </c>
      <c r="AJ100" s="197" t="str">
        <f t="shared" si="252"/>
        <v>Lifecycle_Balanced_445</v>
      </c>
      <c r="AK100">
        <v>445</v>
      </c>
      <c r="AL100">
        <f>VLOOKUP($U100,[2]Standard_Balanced!$Q$1:$T$542,2,FALSE)</f>
        <v>0.77777777777777779</v>
      </c>
      <c r="AM100">
        <f>VLOOKUP($U100,[2]Standard_Balanced!$Q$1:$T$542,3,FALSE)</f>
        <v>0.22222222222222221</v>
      </c>
      <c r="AN100">
        <f>VLOOKUP($U100,[2]Standard_Balanced!$Q$1:$T$542,4,FALSE)</f>
        <v>0</v>
      </c>
      <c r="AO100" s="77">
        <f t="shared" si="182"/>
        <v>1</v>
      </c>
      <c r="AP100" s="77">
        <f t="shared" si="207"/>
        <v>6.1674999999999987E-2</v>
      </c>
      <c r="AQ100" s="77">
        <f t="shared" si="253"/>
        <v>4.9997781870025904E-3</v>
      </c>
      <c r="AR100" s="79">
        <v>0</v>
      </c>
      <c r="AS100" s="77">
        <f t="shared" si="208"/>
        <v>0</v>
      </c>
      <c r="AT100" s="77">
        <f t="shared" ref="AT100" si="281">1-(1-AS100)^(1/12)</f>
        <v>0</v>
      </c>
      <c r="AU100" s="77">
        <f t="shared" si="210"/>
        <v>2.5000000000000001E-3</v>
      </c>
      <c r="AV100" s="77">
        <f t="shared" ref="AV100" si="282">1-(1-AU100)^(1/12)</f>
        <v>2.0857243058891584E-4</v>
      </c>
      <c r="AX100" t="s">
        <v>178</v>
      </c>
      <c r="AY100" t="s">
        <v>160</v>
      </c>
      <c r="AZ100" s="197" t="str">
        <f t="shared" si="256"/>
        <v>DIS_Non-Standard_445</v>
      </c>
      <c r="BA100">
        <v>445</v>
      </c>
      <c r="BB100">
        <f>VLOOKUP($BA100,'[2]NonStandard DIS'!$Q$1:$X$542,2,FALSE)</f>
        <v>0</v>
      </c>
      <c r="BC100">
        <f>VLOOKUP($BA100,'[2]NonStandard DIS'!$Q$1:$X$542,3,FALSE)</f>
        <v>0</v>
      </c>
      <c r="BD100">
        <f>VLOOKUP($BA100,'[2]NonStandard DIS'!$Q$1:$X$542,4,FALSE)</f>
        <v>0.308</v>
      </c>
      <c r="BE100">
        <f>VLOOKUP($BA100,'[2]NonStandard DIS'!$Q$1:$X$542,5,FALSE)</f>
        <v>0.69199999999999995</v>
      </c>
      <c r="BF100">
        <f>VLOOKUP($BA100,'[2]NonStandard DIS'!$Q$1:$X$542,6,FALSE)</f>
        <v>0</v>
      </c>
      <c r="BG100">
        <f>VLOOKUP($BA100,'[2]NonStandard DIS'!$Q$1:$X$542,7,FALSE)</f>
        <v>0</v>
      </c>
      <c r="BH100">
        <f>VLOOKUP($BA100,'[2]NonStandard DIS'!$Q$1:$X$542,8,FALSE)</f>
        <v>0</v>
      </c>
      <c r="BI100" s="77">
        <f t="shared" si="199"/>
        <v>1</v>
      </c>
      <c r="BJ100" s="77">
        <f t="shared" si="200"/>
        <v>6.9728499999999985E-2</v>
      </c>
      <c r="BK100" s="77">
        <f t="shared" si="180"/>
        <v>5.632878498097682E-3</v>
      </c>
      <c r="BL100" s="79">
        <v>0</v>
      </c>
      <c r="BM100" s="77">
        <f t="shared" si="212"/>
        <v>0</v>
      </c>
      <c r="BN100" s="77">
        <f t="shared" si="213"/>
        <v>0</v>
      </c>
      <c r="BO100" s="77">
        <f t="shared" si="214"/>
        <v>5.6775999999999997E-3</v>
      </c>
      <c r="BP100" s="77">
        <f t="shared" si="215"/>
        <v>4.7190657760731725E-4</v>
      </c>
    </row>
    <row r="101" spans="1:68">
      <c r="A101" t="s">
        <v>175</v>
      </c>
      <c r="B101" t="s">
        <v>176</v>
      </c>
      <c r="C101" s="197" t="str">
        <f t="shared" si="248"/>
        <v>Lifecycle_Balanced_444</v>
      </c>
      <c r="D101">
        <v>444</v>
      </c>
      <c r="E101">
        <f>VLOOKUP($D101,'[2]LC Balanced'!$Q$2:$U$542,2,FALSE)</f>
        <v>0</v>
      </c>
      <c r="F101">
        <f>VLOOKUP($D101,'[2]LC Balanced'!$Q$2:$U$542,3,FALSE)</f>
        <v>0.14899999999999999</v>
      </c>
      <c r="G101">
        <f>VLOOKUP($D101,'[2]LC Balanced'!$Q$2:$U$542,4,FALSE)</f>
        <v>0.85099999999999998</v>
      </c>
      <c r="H101">
        <f>VLOOKUP($D101,'[2]LC Balanced'!$Q$2:$U$542,5,FALSE)</f>
        <v>0</v>
      </c>
      <c r="I101" s="77">
        <f t="shared" si="194"/>
        <v>1</v>
      </c>
      <c r="J101" s="77">
        <f t="shared" si="195"/>
        <v>6.1987699999999986E-2</v>
      </c>
      <c r="K101" s="77">
        <f t="shared" si="185"/>
        <v>5.024442123284345E-3</v>
      </c>
      <c r="L101" s="76">
        <v>0</v>
      </c>
      <c r="M101" s="77">
        <f t="shared" si="201"/>
        <v>0</v>
      </c>
      <c r="N101" s="77">
        <f t="shared" si="202"/>
        <v>0</v>
      </c>
      <c r="O101" s="77">
        <f t="shared" si="203"/>
        <v>7.0062999999999992E-3</v>
      </c>
      <c r="P101" s="77">
        <f t="shared" si="204"/>
        <v>5.85741666996209E-4</v>
      </c>
      <c r="R101" t="s">
        <v>177</v>
      </c>
      <c r="S101" t="s">
        <v>176</v>
      </c>
      <c r="T101" s="197" t="str">
        <f t="shared" si="249"/>
        <v>Autopilot_Balanced_444</v>
      </c>
      <c r="U101">
        <v>444</v>
      </c>
      <c r="V101">
        <f>VLOOKUP($U101,'[2]AP Balanced'!$Q$1:$T$542,2,FALSE)</f>
        <v>0.77777777777777779</v>
      </c>
      <c r="W101">
        <f>VLOOKUP($U101,'[2]AP Balanced'!$Q$1:$T$542,3,FALSE)</f>
        <v>0.22222222222222221</v>
      </c>
      <c r="X101">
        <f>VLOOKUP($U101,'[2]AP Balanced'!$Q$1:$T$542,4,FALSE)</f>
        <v>0</v>
      </c>
      <c r="Y101" s="77">
        <f t="shared" si="250"/>
        <v>1</v>
      </c>
      <c r="Z101" s="77">
        <f t="shared" si="181"/>
        <v>6.1674999999999987E-2</v>
      </c>
      <c r="AA101" s="77">
        <f t="shared" si="251"/>
        <v>4.9997781870025904E-3</v>
      </c>
      <c r="AB101" s="79">
        <v>1</v>
      </c>
      <c r="AC101" s="77">
        <f t="shared" si="205"/>
        <v>8.0555555555555554E-3</v>
      </c>
      <c r="AD101" s="77">
        <f t="shared" si="196"/>
        <v>6.7378764057135498E-4</v>
      </c>
      <c r="AE101" s="77">
        <f t="shared" si="206"/>
        <v>2.5000000000000001E-3</v>
      </c>
      <c r="AF101" s="77">
        <f t="shared" si="196"/>
        <v>2.0857243058891584E-4</v>
      </c>
      <c r="AH101" t="s">
        <v>175</v>
      </c>
      <c r="AI101" t="s">
        <v>176</v>
      </c>
      <c r="AJ101" s="197" t="str">
        <f t="shared" si="252"/>
        <v>Lifecycle_Balanced_444</v>
      </c>
      <c r="AK101">
        <v>444</v>
      </c>
      <c r="AL101">
        <f>VLOOKUP($U101,[2]Standard_Balanced!$Q$1:$T$542,2,FALSE)</f>
        <v>0.77777777777777779</v>
      </c>
      <c r="AM101">
        <f>VLOOKUP($U101,[2]Standard_Balanced!$Q$1:$T$542,3,FALSE)</f>
        <v>0.22222222222222221</v>
      </c>
      <c r="AN101">
        <f>VLOOKUP($U101,[2]Standard_Balanced!$Q$1:$T$542,4,FALSE)</f>
        <v>0</v>
      </c>
      <c r="AO101" s="77">
        <f t="shared" si="182"/>
        <v>1</v>
      </c>
      <c r="AP101" s="77">
        <f t="shared" si="207"/>
        <v>6.1674999999999987E-2</v>
      </c>
      <c r="AQ101" s="77">
        <f t="shared" si="253"/>
        <v>4.9997781870025904E-3</v>
      </c>
      <c r="AR101" s="79">
        <v>0</v>
      </c>
      <c r="AS101" s="77">
        <f t="shared" si="208"/>
        <v>0</v>
      </c>
      <c r="AT101" s="77">
        <f t="shared" ref="AT101" si="283">1-(1-AS101)^(1/12)</f>
        <v>0</v>
      </c>
      <c r="AU101" s="77">
        <f t="shared" si="210"/>
        <v>2.5000000000000001E-3</v>
      </c>
      <c r="AV101" s="77">
        <f t="shared" ref="AV101" si="284">1-(1-AU101)^(1/12)</f>
        <v>2.0857243058891584E-4</v>
      </c>
      <c r="AX101" t="s">
        <v>178</v>
      </c>
      <c r="AY101" t="s">
        <v>160</v>
      </c>
      <c r="AZ101" s="197" t="str">
        <f t="shared" si="256"/>
        <v>DIS_Non-Standard_444</v>
      </c>
      <c r="BA101">
        <v>444</v>
      </c>
      <c r="BB101">
        <f>VLOOKUP($BA101,'[2]NonStandard DIS'!$Q$1:$X$542,2,FALSE)</f>
        <v>0</v>
      </c>
      <c r="BC101">
        <f>VLOOKUP($BA101,'[2]NonStandard DIS'!$Q$1:$X$542,3,FALSE)</f>
        <v>0</v>
      </c>
      <c r="BD101">
        <f>VLOOKUP($BA101,'[2]NonStandard DIS'!$Q$1:$X$542,4,FALSE)</f>
        <v>0.308</v>
      </c>
      <c r="BE101">
        <f>VLOOKUP($BA101,'[2]NonStandard DIS'!$Q$1:$X$542,5,FALSE)</f>
        <v>0.69199999999999995</v>
      </c>
      <c r="BF101">
        <f>VLOOKUP($BA101,'[2]NonStandard DIS'!$Q$1:$X$542,6,FALSE)</f>
        <v>0</v>
      </c>
      <c r="BG101">
        <f>VLOOKUP($BA101,'[2]NonStandard DIS'!$Q$1:$X$542,7,FALSE)</f>
        <v>0</v>
      </c>
      <c r="BH101">
        <f>VLOOKUP($BA101,'[2]NonStandard DIS'!$Q$1:$X$542,8,FALSE)</f>
        <v>0</v>
      </c>
      <c r="BI101" s="77">
        <f t="shared" si="199"/>
        <v>1</v>
      </c>
      <c r="BJ101" s="77">
        <f t="shared" si="200"/>
        <v>6.9728499999999985E-2</v>
      </c>
      <c r="BK101" s="77">
        <f t="shared" si="180"/>
        <v>5.632878498097682E-3</v>
      </c>
      <c r="BL101" s="79">
        <v>0</v>
      </c>
      <c r="BM101" s="77">
        <f t="shared" si="212"/>
        <v>0</v>
      </c>
      <c r="BN101" s="77">
        <f t="shared" si="213"/>
        <v>0</v>
      </c>
      <c r="BO101" s="77">
        <f t="shared" si="214"/>
        <v>5.6775999999999997E-3</v>
      </c>
      <c r="BP101" s="77">
        <f t="shared" si="215"/>
        <v>4.7190657760731725E-4</v>
      </c>
    </row>
    <row r="102" spans="1:68">
      <c r="A102" t="s">
        <v>175</v>
      </c>
      <c r="B102" t="s">
        <v>176</v>
      </c>
      <c r="C102" s="197" t="str">
        <f t="shared" si="248"/>
        <v>Lifecycle_Balanced_443</v>
      </c>
      <c r="D102">
        <v>443</v>
      </c>
      <c r="E102">
        <f>VLOOKUP($D102,'[2]LC Balanced'!$Q$2:$U$542,2,FALSE)</f>
        <v>0</v>
      </c>
      <c r="F102">
        <f>VLOOKUP($D102,'[2]LC Balanced'!$Q$2:$U$542,3,FALSE)</f>
        <v>0.14899999999999999</v>
      </c>
      <c r="G102">
        <f>VLOOKUP($D102,'[2]LC Balanced'!$Q$2:$U$542,4,FALSE)</f>
        <v>0.85099999999999998</v>
      </c>
      <c r="H102">
        <f>VLOOKUP($D102,'[2]LC Balanced'!$Q$2:$U$542,5,FALSE)</f>
        <v>0</v>
      </c>
      <c r="I102" s="77">
        <f t="shared" si="194"/>
        <v>1</v>
      </c>
      <c r="J102" s="77">
        <f t="shared" si="195"/>
        <v>6.1987699999999986E-2</v>
      </c>
      <c r="K102" s="77">
        <f t="shared" si="185"/>
        <v>5.024442123284345E-3</v>
      </c>
      <c r="L102" s="76">
        <v>0</v>
      </c>
      <c r="M102" s="77">
        <f t="shared" si="201"/>
        <v>0</v>
      </c>
      <c r="N102" s="77">
        <f t="shared" si="202"/>
        <v>0</v>
      </c>
      <c r="O102" s="77">
        <f t="shared" si="203"/>
        <v>7.0062999999999992E-3</v>
      </c>
      <c r="P102" s="77">
        <f t="shared" si="204"/>
        <v>5.85741666996209E-4</v>
      </c>
      <c r="R102" t="s">
        <v>177</v>
      </c>
      <c r="S102" t="s">
        <v>176</v>
      </c>
      <c r="T102" s="197" t="str">
        <f t="shared" si="249"/>
        <v>Autopilot_Balanced_443</v>
      </c>
      <c r="U102">
        <v>443</v>
      </c>
      <c r="V102">
        <f>VLOOKUP($U102,'[2]AP Balanced'!$Q$1:$T$542,2,FALSE)</f>
        <v>0.77777777777777779</v>
      </c>
      <c r="W102">
        <f>VLOOKUP($U102,'[2]AP Balanced'!$Q$1:$T$542,3,FALSE)</f>
        <v>0.22222222222222221</v>
      </c>
      <c r="X102">
        <f>VLOOKUP($U102,'[2]AP Balanced'!$Q$1:$T$542,4,FALSE)</f>
        <v>0</v>
      </c>
      <c r="Y102" s="77">
        <f t="shared" si="250"/>
        <v>1</v>
      </c>
      <c r="Z102" s="77">
        <f t="shared" si="181"/>
        <v>6.1674999999999987E-2</v>
      </c>
      <c r="AA102" s="77">
        <f t="shared" si="251"/>
        <v>4.9997781870025904E-3</v>
      </c>
      <c r="AB102" s="79">
        <v>1</v>
      </c>
      <c r="AC102" s="77">
        <f t="shared" si="205"/>
        <v>8.0555555555555554E-3</v>
      </c>
      <c r="AD102" s="77">
        <f t="shared" si="196"/>
        <v>6.7378764057135498E-4</v>
      </c>
      <c r="AE102" s="77">
        <f t="shared" si="206"/>
        <v>2.5000000000000001E-3</v>
      </c>
      <c r="AF102" s="77">
        <f t="shared" si="196"/>
        <v>2.0857243058891584E-4</v>
      </c>
      <c r="AH102" t="s">
        <v>175</v>
      </c>
      <c r="AI102" t="s">
        <v>176</v>
      </c>
      <c r="AJ102" s="197" t="str">
        <f t="shared" si="252"/>
        <v>Lifecycle_Balanced_443</v>
      </c>
      <c r="AK102">
        <v>443</v>
      </c>
      <c r="AL102">
        <f>VLOOKUP($U102,[2]Standard_Balanced!$Q$1:$T$542,2,FALSE)</f>
        <v>0.77777777777777779</v>
      </c>
      <c r="AM102">
        <f>VLOOKUP($U102,[2]Standard_Balanced!$Q$1:$T$542,3,FALSE)</f>
        <v>0.22222222222222221</v>
      </c>
      <c r="AN102">
        <f>VLOOKUP($U102,[2]Standard_Balanced!$Q$1:$T$542,4,FALSE)</f>
        <v>0</v>
      </c>
      <c r="AO102" s="77">
        <f t="shared" si="182"/>
        <v>1</v>
      </c>
      <c r="AP102" s="77">
        <f t="shared" si="207"/>
        <v>6.1674999999999987E-2</v>
      </c>
      <c r="AQ102" s="77">
        <f t="shared" si="253"/>
        <v>4.9997781870025904E-3</v>
      </c>
      <c r="AR102" s="79">
        <v>0</v>
      </c>
      <c r="AS102" s="77">
        <f t="shared" si="208"/>
        <v>0</v>
      </c>
      <c r="AT102" s="77">
        <f t="shared" ref="AT102" si="285">1-(1-AS102)^(1/12)</f>
        <v>0</v>
      </c>
      <c r="AU102" s="77">
        <f t="shared" si="210"/>
        <v>2.5000000000000001E-3</v>
      </c>
      <c r="AV102" s="77">
        <f t="shared" ref="AV102" si="286">1-(1-AU102)^(1/12)</f>
        <v>2.0857243058891584E-4</v>
      </c>
      <c r="AX102" t="s">
        <v>178</v>
      </c>
      <c r="AY102" t="s">
        <v>160</v>
      </c>
      <c r="AZ102" s="197" t="str">
        <f t="shared" si="256"/>
        <v>DIS_Non-Standard_443</v>
      </c>
      <c r="BA102">
        <v>443</v>
      </c>
      <c r="BB102">
        <f>VLOOKUP($BA102,'[2]NonStandard DIS'!$Q$1:$X$542,2,FALSE)</f>
        <v>0</v>
      </c>
      <c r="BC102">
        <f>VLOOKUP($BA102,'[2]NonStandard DIS'!$Q$1:$X$542,3,FALSE)</f>
        <v>0</v>
      </c>
      <c r="BD102">
        <f>VLOOKUP($BA102,'[2]NonStandard DIS'!$Q$1:$X$542,4,FALSE)</f>
        <v>0.308</v>
      </c>
      <c r="BE102">
        <f>VLOOKUP($BA102,'[2]NonStandard DIS'!$Q$1:$X$542,5,FALSE)</f>
        <v>0.69199999999999995</v>
      </c>
      <c r="BF102">
        <f>VLOOKUP($BA102,'[2]NonStandard DIS'!$Q$1:$X$542,6,FALSE)</f>
        <v>0</v>
      </c>
      <c r="BG102">
        <f>VLOOKUP($BA102,'[2]NonStandard DIS'!$Q$1:$X$542,7,FALSE)</f>
        <v>0</v>
      </c>
      <c r="BH102">
        <f>VLOOKUP($BA102,'[2]NonStandard DIS'!$Q$1:$X$542,8,FALSE)</f>
        <v>0</v>
      </c>
      <c r="BI102" s="77">
        <f t="shared" si="199"/>
        <v>1</v>
      </c>
      <c r="BJ102" s="77">
        <f t="shared" si="200"/>
        <v>6.9728499999999985E-2</v>
      </c>
      <c r="BK102" s="77">
        <f t="shared" si="180"/>
        <v>5.632878498097682E-3</v>
      </c>
      <c r="BL102" s="79">
        <v>0</v>
      </c>
      <c r="BM102" s="77">
        <f t="shared" si="212"/>
        <v>0</v>
      </c>
      <c r="BN102" s="77">
        <f t="shared" si="213"/>
        <v>0</v>
      </c>
      <c r="BO102" s="77">
        <f t="shared" si="214"/>
        <v>5.6775999999999997E-3</v>
      </c>
      <c r="BP102" s="77">
        <f t="shared" si="215"/>
        <v>4.7190657760731725E-4</v>
      </c>
    </row>
    <row r="103" spans="1:68">
      <c r="A103" t="s">
        <v>175</v>
      </c>
      <c r="B103" t="s">
        <v>176</v>
      </c>
      <c r="C103" s="197" t="str">
        <f t="shared" si="248"/>
        <v>Lifecycle_Balanced_442</v>
      </c>
      <c r="D103">
        <v>442</v>
      </c>
      <c r="E103">
        <f>VLOOKUP($D103,'[2]LC Balanced'!$Q$2:$U$542,2,FALSE)</f>
        <v>0</v>
      </c>
      <c r="F103">
        <f>VLOOKUP($D103,'[2]LC Balanced'!$Q$2:$U$542,3,FALSE)</f>
        <v>0.14899999999999999</v>
      </c>
      <c r="G103">
        <f>VLOOKUP($D103,'[2]LC Balanced'!$Q$2:$U$542,4,FALSE)</f>
        <v>0.85099999999999998</v>
      </c>
      <c r="H103">
        <f>VLOOKUP($D103,'[2]LC Balanced'!$Q$2:$U$542,5,FALSE)</f>
        <v>0</v>
      </c>
      <c r="I103" s="77">
        <f t="shared" si="194"/>
        <v>1</v>
      </c>
      <c r="J103" s="77">
        <f t="shared" si="195"/>
        <v>6.1987699999999986E-2</v>
      </c>
      <c r="K103" s="77">
        <f t="shared" si="185"/>
        <v>5.024442123284345E-3</v>
      </c>
      <c r="L103" s="76">
        <v>0</v>
      </c>
      <c r="M103" s="77">
        <f t="shared" si="201"/>
        <v>0</v>
      </c>
      <c r="N103" s="77">
        <f t="shared" si="202"/>
        <v>0</v>
      </c>
      <c r="O103" s="77">
        <f t="shared" si="203"/>
        <v>7.0062999999999992E-3</v>
      </c>
      <c r="P103" s="77">
        <f t="shared" si="204"/>
        <v>5.85741666996209E-4</v>
      </c>
      <c r="R103" t="s">
        <v>177</v>
      </c>
      <c r="S103" t="s">
        <v>176</v>
      </c>
      <c r="T103" s="197" t="str">
        <f t="shared" si="249"/>
        <v>Autopilot_Balanced_442</v>
      </c>
      <c r="U103">
        <v>442</v>
      </c>
      <c r="V103">
        <f>VLOOKUP($U103,'[2]AP Balanced'!$Q$1:$T$542,2,FALSE)</f>
        <v>0.77777777777777779</v>
      </c>
      <c r="W103">
        <f>VLOOKUP($U103,'[2]AP Balanced'!$Q$1:$T$542,3,FALSE)</f>
        <v>0.22222222222222221</v>
      </c>
      <c r="X103">
        <f>VLOOKUP($U103,'[2]AP Balanced'!$Q$1:$T$542,4,FALSE)</f>
        <v>0</v>
      </c>
      <c r="Y103" s="77">
        <f t="shared" si="250"/>
        <v>1</v>
      </c>
      <c r="Z103" s="77">
        <f t="shared" si="181"/>
        <v>6.1674999999999987E-2</v>
      </c>
      <c r="AA103" s="77">
        <f t="shared" si="251"/>
        <v>4.9997781870025904E-3</v>
      </c>
      <c r="AB103" s="79">
        <v>1</v>
      </c>
      <c r="AC103" s="77">
        <f t="shared" si="205"/>
        <v>8.0555555555555554E-3</v>
      </c>
      <c r="AD103" s="77">
        <f t="shared" si="196"/>
        <v>6.7378764057135498E-4</v>
      </c>
      <c r="AE103" s="77">
        <f t="shared" si="206"/>
        <v>2.5000000000000001E-3</v>
      </c>
      <c r="AF103" s="77">
        <f t="shared" si="196"/>
        <v>2.0857243058891584E-4</v>
      </c>
      <c r="AH103" t="s">
        <v>175</v>
      </c>
      <c r="AI103" t="s">
        <v>176</v>
      </c>
      <c r="AJ103" s="197" t="str">
        <f t="shared" si="252"/>
        <v>Lifecycle_Balanced_442</v>
      </c>
      <c r="AK103">
        <v>442</v>
      </c>
      <c r="AL103">
        <f>VLOOKUP($U103,[2]Standard_Balanced!$Q$1:$T$542,2,FALSE)</f>
        <v>0.77777777777777779</v>
      </c>
      <c r="AM103">
        <f>VLOOKUP($U103,[2]Standard_Balanced!$Q$1:$T$542,3,FALSE)</f>
        <v>0.22222222222222221</v>
      </c>
      <c r="AN103">
        <f>VLOOKUP($U103,[2]Standard_Balanced!$Q$1:$T$542,4,FALSE)</f>
        <v>0</v>
      </c>
      <c r="AO103" s="77">
        <f t="shared" si="182"/>
        <v>1</v>
      </c>
      <c r="AP103" s="77">
        <f t="shared" si="207"/>
        <v>6.1674999999999987E-2</v>
      </c>
      <c r="AQ103" s="77">
        <f t="shared" si="253"/>
        <v>4.9997781870025904E-3</v>
      </c>
      <c r="AR103" s="79">
        <v>0</v>
      </c>
      <c r="AS103" s="77">
        <f t="shared" si="208"/>
        <v>0</v>
      </c>
      <c r="AT103" s="77">
        <f t="shared" ref="AT103" si="287">1-(1-AS103)^(1/12)</f>
        <v>0</v>
      </c>
      <c r="AU103" s="77">
        <f t="shared" si="210"/>
        <v>2.5000000000000001E-3</v>
      </c>
      <c r="AV103" s="77">
        <f t="shared" ref="AV103" si="288">1-(1-AU103)^(1/12)</f>
        <v>2.0857243058891584E-4</v>
      </c>
      <c r="AX103" t="s">
        <v>178</v>
      </c>
      <c r="AY103" t="s">
        <v>160</v>
      </c>
      <c r="AZ103" s="197" t="str">
        <f t="shared" si="256"/>
        <v>DIS_Non-Standard_442</v>
      </c>
      <c r="BA103">
        <v>442</v>
      </c>
      <c r="BB103">
        <f>VLOOKUP($BA103,'[2]NonStandard DIS'!$Q$1:$X$542,2,FALSE)</f>
        <v>0</v>
      </c>
      <c r="BC103">
        <f>VLOOKUP($BA103,'[2]NonStandard DIS'!$Q$1:$X$542,3,FALSE)</f>
        <v>0</v>
      </c>
      <c r="BD103">
        <f>VLOOKUP($BA103,'[2]NonStandard DIS'!$Q$1:$X$542,4,FALSE)</f>
        <v>0.308</v>
      </c>
      <c r="BE103">
        <f>VLOOKUP($BA103,'[2]NonStandard DIS'!$Q$1:$X$542,5,FALSE)</f>
        <v>0.69199999999999995</v>
      </c>
      <c r="BF103">
        <f>VLOOKUP($BA103,'[2]NonStandard DIS'!$Q$1:$X$542,6,FALSE)</f>
        <v>0</v>
      </c>
      <c r="BG103">
        <f>VLOOKUP($BA103,'[2]NonStandard DIS'!$Q$1:$X$542,7,FALSE)</f>
        <v>0</v>
      </c>
      <c r="BH103">
        <f>VLOOKUP($BA103,'[2]NonStandard DIS'!$Q$1:$X$542,8,FALSE)</f>
        <v>0</v>
      </c>
      <c r="BI103" s="77">
        <f t="shared" si="199"/>
        <v>1</v>
      </c>
      <c r="BJ103" s="77">
        <f t="shared" si="200"/>
        <v>6.9728499999999985E-2</v>
      </c>
      <c r="BK103" s="77">
        <f t="shared" si="180"/>
        <v>5.632878498097682E-3</v>
      </c>
      <c r="BL103" s="79">
        <v>0</v>
      </c>
      <c r="BM103" s="77">
        <f t="shared" si="212"/>
        <v>0</v>
      </c>
      <c r="BN103" s="77">
        <f t="shared" si="213"/>
        <v>0</v>
      </c>
      <c r="BO103" s="77">
        <f t="shared" si="214"/>
        <v>5.6775999999999997E-3</v>
      </c>
      <c r="BP103" s="77">
        <f t="shared" si="215"/>
        <v>4.7190657760731725E-4</v>
      </c>
    </row>
    <row r="104" spans="1:68">
      <c r="A104" t="s">
        <v>175</v>
      </c>
      <c r="B104" t="s">
        <v>176</v>
      </c>
      <c r="C104" s="197" t="str">
        <f t="shared" si="248"/>
        <v>Lifecycle_Balanced_441</v>
      </c>
      <c r="D104">
        <v>441</v>
      </c>
      <c r="E104">
        <f>VLOOKUP($D104,'[2]LC Balanced'!$Q$2:$U$542,2,FALSE)</f>
        <v>0</v>
      </c>
      <c r="F104">
        <f>VLOOKUP($D104,'[2]LC Balanced'!$Q$2:$U$542,3,FALSE)</f>
        <v>0.14899999999999999</v>
      </c>
      <c r="G104">
        <f>VLOOKUP($D104,'[2]LC Balanced'!$Q$2:$U$542,4,FALSE)</f>
        <v>0.85099999999999998</v>
      </c>
      <c r="H104">
        <f>VLOOKUP($D104,'[2]LC Balanced'!$Q$2:$U$542,5,FALSE)</f>
        <v>0</v>
      </c>
      <c r="I104" s="77">
        <f t="shared" si="194"/>
        <v>1</v>
      </c>
      <c r="J104" s="77">
        <f t="shared" si="195"/>
        <v>6.1987699999999986E-2</v>
      </c>
      <c r="K104" s="77">
        <f t="shared" si="185"/>
        <v>5.024442123284345E-3</v>
      </c>
      <c r="L104" s="76">
        <v>0</v>
      </c>
      <c r="M104" s="77">
        <f t="shared" si="201"/>
        <v>0</v>
      </c>
      <c r="N104" s="77">
        <f t="shared" si="202"/>
        <v>0</v>
      </c>
      <c r="O104" s="77">
        <f t="shared" si="203"/>
        <v>7.0062999999999992E-3</v>
      </c>
      <c r="P104" s="77">
        <f t="shared" si="204"/>
        <v>5.85741666996209E-4</v>
      </c>
      <c r="R104" t="s">
        <v>177</v>
      </c>
      <c r="S104" t="s">
        <v>176</v>
      </c>
      <c r="T104" s="197" t="str">
        <f t="shared" si="249"/>
        <v>Autopilot_Balanced_441</v>
      </c>
      <c r="U104">
        <v>441</v>
      </c>
      <c r="V104">
        <f>VLOOKUP($U104,'[2]AP Balanced'!$Q$1:$T$542,2,FALSE)</f>
        <v>0.77777777777777779</v>
      </c>
      <c r="W104">
        <f>VLOOKUP($U104,'[2]AP Balanced'!$Q$1:$T$542,3,FALSE)</f>
        <v>0.22222222222222221</v>
      </c>
      <c r="X104">
        <f>VLOOKUP($U104,'[2]AP Balanced'!$Q$1:$T$542,4,FALSE)</f>
        <v>0</v>
      </c>
      <c r="Y104" s="77">
        <f t="shared" si="250"/>
        <v>1</v>
      </c>
      <c r="Z104" s="77">
        <f t="shared" si="181"/>
        <v>6.1674999999999987E-2</v>
      </c>
      <c r="AA104" s="77">
        <f t="shared" si="251"/>
        <v>4.9997781870025904E-3</v>
      </c>
      <c r="AB104" s="79">
        <v>1</v>
      </c>
      <c r="AC104" s="77">
        <f t="shared" si="205"/>
        <v>8.0555555555555554E-3</v>
      </c>
      <c r="AD104" s="77">
        <f t="shared" si="196"/>
        <v>6.7378764057135498E-4</v>
      </c>
      <c r="AE104" s="77">
        <f t="shared" si="206"/>
        <v>2.5000000000000001E-3</v>
      </c>
      <c r="AF104" s="77">
        <f t="shared" si="196"/>
        <v>2.0857243058891584E-4</v>
      </c>
      <c r="AH104" t="s">
        <v>175</v>
      </c>
      <c r="AI104" t="s">
        <v>176</v>
      </c>
      <c r="AJ104" s="197" t="str">
        <f t="shared" si="252"/>
        <v>Lifecycle_Balanced_441</v>
      </c>
      <c r="AK104">
        <v>441</v>
      </c>
      <c r="AL104">
        <f>VLOOKUP($U104,[2]Standard_Balanced!$Q$1:$T$542,2,FALSE)</f>
        <v>0.77777777777777779</v>
      </c>
      <c r="AM104">
        <f>VLOOKUP($U104,[2]Standard_Balanced!$Q$1:$T$542,3,FALSE)</f>
        <v>0.22222222222222221</v>
      </c>
      <c r="AN104">
        <f>VLOOKUP($U104,[2]Standard_Balanced!$Q$1:$T$542,4,FALSE)</f>
        <v>0</v>
      </c>
      <c r="AO104" s="77">
        <f t="shared" si="182"/>
        <v>1</v>
      </c>
      <c r="AP104" s="77">
        <f t="shared" si="207"/>
        <v>6.1674999999999987E-2</v>
      </c>
      <c r="AQ104" s="77">
        <f t="shared" si="253"/>
        <v>4.9997781870025904E-3</v>
      </c>
      <c r="AR104" s="79">
        <v>0</v>
      </c>
      <c r="AS104" s="77">
        <f t="shared" si="208"/>
        <v>0</v>
      </c>
      <c r="AT104" s="77">
        <f t="shared" ref="AT104" si="289">1-(1-AS104)^(1/12)</f>
        <v>0</v>
      </c>
      <c r="AU104" s="77">
        <f t="shared" si="210"/>
        <v>2.5000000000000001E-3</v>
      </c>
      <c r="AV104" s="77">
        <f t="shared" ref="AV104" si="290">1-(1-AU104)^(1/12)</f>
        <v>2.0857243058891584E-4</v>
      </c>
      <c r="AX104" t="s">
        <v>178</v>
      </c>
      <c r="AY104" t="s">
        <v>160</v>
      </c>
      <c r="AZ104" s="197" t="str">
        <f t="shared" si="256"/>
        <v>DIS_Non-Standard_441</v>
      </c>
      <c r="BA104">
        <v>441</v>
      </c>
      <c r="BB104">
        <f>VLOOKUP($BA104,'[2]NonStandard DIS'!$Q$1:$X$542,2,FALSE)</f>
        <v>0</v>
      </c>
      <c r="BC104">
        <f>VLOOKUP($BA104,'[2]NonStandard DIS'!$Q$1:$X$542,3,FALSE)</f>
        <v>0</v>
      </c>
      <c r="BD104">
        <f>VLOOKUP($BA104,'[2]NonStandard DIS'!$Q$1:$X$542,4,FALSE)</f>
        <v>0.308</v>
      </c>
      <c r="BE104">
        <f>VLOOKUP($BA104,'[2]NonStandard DIS'!$Q$1:$X$542,5,FALSE)</f>
        <v>0.69199999999999995</v>
      </c>
      <c r="BF104">
        <f>VLOOKUP($BA104,'[2]NonStandard DIS'!$Q$1:$X$542,6,FALSE)</f>
        <v>0</v>
      </c>
      <c r="BG104">
        <f>VLOOKUP($BA104,'[2]NonStandard DIS'!$Q$1:$X$542,7,FALSE)</f>
        <v>0</v>
      </c>
      <c r="BH104">
        <f>VLOOKUP($BA104,'[2]NonStandard DIS'!$Q$1:$X$542,8,FALSE)</f>
        <v>0</v>
      </c>
      <c r="BI104" s="77">
        <f t="shared" si="199"/>
        <v>1</v>
      </c>
      <c r="BJ104" s="77">
        <f t="shared" si="200"/>
        <v>6.9728499999999985E-2</v>
      </c>
      <c r="BK104" s="77">
        <f t="shared" si="180"/>
        <v>5.632878498097682E-3</v>
      </c>
      <c r="BL104" s="79">
        <v>0</v>
      </c>
      <c r="BM104" s="77">
        <f t="shared" si="212"/>
        <v>0</v>
      </c>
      <c r="BN104" s="77">
        <f t="shared" si="213"/>
        <v>0</v>
      </c>
      <c r="BO104" s="77">
        <f t="shared" si="214"/>
        <v>5.6775999999999997E-3</v>
      </c>
      <c r="BP104" s="77">
        <f t="shared" si="215"/>
        <v>4.7190657760731725E-4</v>
      </c>
    </row>
    <row r="105" spans="1:68">
      <c r="A105" t="s">
        <v>175</v>
      </c>
      <c r="B105" t="s">
        <v>176</v>
      </c>
      <c r="C105" s="197" t="str">
        <f t="shared" si="248"/>
        <v>Lifecycle_Balanced_440</v>
      </c>
      <c r="D105">
        <v>440</v>
      </c>
      <c r="E105">
        <f>VLOOKUP($D105,'[2]LC Balanced'!$Q$2:$U$542,2,FALSE)</f>
        <v>0</v>
      </c>
      <c r="F105">
        <f>VLOOKUP($D105,'[2]LC Balanced'!$Q$2:$U$542,3,FALSE)</f>
        <v>0.14899999999999999</v>
      </c>
      <c r="G105">
        <f>VLOOKUP($D105,'[2]LC Balanced'!$Q$2:$U$542,4,FALSE)</f>
        <v>0.85099999999999998</v>
      </c>
      <c r="H105">
        <f>VLOOKUP($D105,'[2]LC Balanced'!$Q$2:$U$542,5,FALSE)</f>
        <v>0</v>
      </c>
      <c r="I105" s="77">
        <f t="shared" si="194"/>
        <v>1</v>
      </c>
      <c r="J105" s="77">
        <f t="shared" si="195"/>
        <v>6.1987699999999986E-2</v>
      </c>
      <c r="K105" s="77">
        <f t="shared" ref="K105" si="291">(1+J105)^(1/12)-1</f>
        <v>5.024442123284345E-3</v>
      </c>
      <c r="L105" s="76">
        <v>0</v>
      </c>
      <c r="M105" s="77">
        <f t="shared" si="201"/>
        <v>0</v>
      </c>
      <c r="N105" s="77">
        <f t="shared" si="202"/>
        <v>0</v>
      </c>
      <c r="O105" s="77">
        <f t="shared" si="203"/>
        <v>7.0062999999999992E-3</v>
      </c>
      <c r="P105" s="77">
        <f t="shared" si="204"/>
        <v>5.85741666996209E-4</v>
      </c>
      <c r="R105" t="s">
        <v>177</v>
      </c>
      <c r="S105" t="s">
        <v>176</v>
      </c>
      <c r="T105" s="197" t="str">
        <f t="shared" si="249"/>
        <v>Autopilot_Balanced_440</v>
      </c>
      <c r="U105">
        <v>440</v>
      </c>
      <c r="V105">
        <f>VLOOKUP($U105,'[2]AP Balanced'!$Q$1:$T$542,2,FALSE)</f>
        <v>0.77777777777777779</v>
      </c>
      <c r="W105">
        <f>VLOOKUP($U105,'[2]AP Balanced'!$Q$1:$T$542,3,FALSE)</f>
        <v>0.22222222222222221</v>
      </c>
      <c r="X105">
        <f>VLOOKUP($U105,'[2]AP Balanced'!$Q$1:$T$542,4,FALSE)</f>
        <v>0</v>
      </c>
      <c r="Y105" s="77">
        <f t="shared" si="250"/>
        <v>1</v>
      </c>
      <c r="Z105" s="77">
        <f t="shared" ref="Z105" si="292">SUMPRODUCT($V$1:$X$1,V105:X105)</f>
        <v>6.1674999999999987E-2</v>
      </c>
      <c r="AA105" s="77">
        <f t="shared" ref="AA105" si="293">(1+Z105)^(1/12)-1</f>
        <v>4.9997781870025904E-3</v>
      </c>
      <c r="AB105" s="79">
        <v>1</v>
      </c>
      <c r="AC105" s="77">
        <f t="shared" si="205"/>
        <v>8.0555555555555554E-3</v>
      </c>
      <c r="AD105" s="77">
        <f t="shared" si="196"/>
        <v>6.7378764057135498E-4</v>
      </c>
      <c r="AE105" s="77">
        <f t="shared" si="206"/>
        <v>2.5000000000000001E-3</v>
      </c>
      <c r="AF105" s="77">
        <f t="shared" si="196"/>
        <v>2.0857243058891584E-4</v>
      </c>
      <c r="AH105" t="s">
        <v>175</v>
      </c>
      <c r="AI105" t="s">
        <v>176</v>
      </c>
      <c r="AJ105" s="197" t="str">
        <f t="shared" si="252"/>
        <v>Lifecycle_Balanced_440</v>
      </c>
      <c r="AK105">
        <v>440</v>
      </c>
      <c r="AL105">
        <f>VLOOKUP($U105,[2]Standard_Balanced!$Q$1:$T$542,2,FALSE)</f>
        <v>0.77777777777777779</v>
      </c>
      <c r="AM105">
        <f>VLOOKUP($U105,[2]Standard_Balanced!$Q$1:$T$542,3,FALSE)</f>
        <v>0.22222222222222221</v>
      </c>
      <c r="AN105">
        <f>VLOOKUP($U105,[2]Standard_Balanced!$Q$1:$T$542,4,FALSE)</f>
        <v>0</v>
      </c>
      <c r="AO105" s="77">
        <f t="shared" si="182"/>
        <v>1</v>
      </c>
      <c r="AP105" s="77">
        <f t="shared" si="207"/>
        <v>6.1674999999999987E-2</v>
      </c>
      <c r="AQ105" s="77">
        <f t="shared" si="253"/>
        <v>4.9997781870025904E-3</v>
      </c>
      <c r="AR105" s="79">
        <v>0</v>
      </c>
      <c r="AS105" s="77">
        <f t="shared" si="208"/>
        <v>0</v>
      </c>
      <c r="AT105" s="77">
        <f t="shared" ref="AT105" si="294">1-(1-AS105)^(1/12)</f>
        <v>0</v>
      </c>
      <c r="AU105" s="77">
        <f t="shared" si="210"/>
        <v>2.5000000000000001E-3</v>
      </c>
      <c r="AV105" s="77">
        <f t="shared" ref="AV105" si="295">1-(1-AU105)^(1/12)</f>
        <v>2.0857243058891584E-4</v>
      </c>
      <c r="AX105" t="s">
        <v>178</v>
      </c>
      <c r="AY105" t="s">
        <v>160</v>
      </c>
      <c r="AZ105" s="197" t="str">
        <f t="shared" si="256"/>
        <v>DIS_Non-Standard_440</v>
      </c>
      <c r="BA105">
        <v>440</v>
      </c>
      <c r="BB105">
        <f>VLOOKUP($BA105,'[2]NonStandard DIS'!$Q$1:$X$542,2,FALSE)</f>
        <v>0</v>
      </c>
      <c r="BC105">
        <f>VLOOKUP($BA105,'[2]NonStandard DIS'!$Q$1:$X$542,3,FALSE)</f>
        <v>0</v>
      </c>
      <c r="BD105">
        <f>VLOOKUP($BA105,'[2]NonStandard DIS'!$Q$1:$X$542,4,FALSE)</f>
        <v>0.308</v>
      </c>
      <c r="BE105">
        <f>VLOOKUP($BA105,'[2]NonStandard DIS'!$Q$1:$X$542,5,FALSE)</f>
        <v>0.69199999999999995</v>
      </c>
      <c r="BF105">
        <f>VLOOKUP($BA105,'[2]NonStandard DIS'!$Q$1:$X$542,6,FALSE)</f>
        <v>0</v>
      </c>
      <c r="BG105">
        <f>VLOOKUP($BA105,'[2]NonStandard DIS'!$Q$1:$X$542,7,FALSE)</f>
        <v>0</v>
      </c>
      <c r="BH105">
        <f>VLOOKUP($BA105,'[2]NonStandard DIS'!$Q$1:$X$542,8,FALSE)</f>
        <v>0</v>
      </c>
      <c r="BI105" s="77">
        <f t="shared" si="199"/>
        <v>1</v>
      </c>
      <c r="BJ105" s="77">
        <f t="shared" si="200"/>
        <v>6.9728499999999985E-2</v>
      </c>
      <c r="BK105" s="77">
        <f t="shared" si="180"/>
        <v>5.632878498097682E-3</v>
      </c>
      <c r="BL105" s="79">
        <v>0</v>
      </c>
      <c r="BM105" s="77">
        <f t="shared" si="212"/>
        <v>0</v>
      </c>
      <c r="BN105" s="77">
        <f t="shared" si="213"/>
        <v>0</v>
      </c>
      <c r="BO105" s="77">
        <f t="shared" si="214"/>
        <v>5.6775999999999997E-3</v>
      </c>
      <c r="BP105" s="77">
        <f t="shared" si="215"/>
        <v>4.7190657760731725E-4</v>
      </c>
    </row>
    <row r="106" spans="1:68">
      <c r="A106" t="s">
        <v>175</v>
      </c>
      <c r="B106" t="s">
        <v>176</v>
      </c>
      <c r="C106" s="197" t="str">
        <f t="shared" si="248"/>
        <v>Lifecycle_Balanced_439</v>
      </c>
      <c r="D106">
        <v>439</v>
      </c>
      <c r="E106">
        <f>VLOOKUP($D106,'[2]LC Balanced'!$Q$2:$U$542,2,FALSE)</f>
        <v>0</v>
      </c>
      <c r="F106">
        <f>VLOOKUP($D106,'[2]LC Balanced'!$Q$2:$U$542,3,FALSE)</f>
        <v>0.14899999999999999</v>
      </c>
      <c r="G106">
        <f>VLOOKUP($D106,'[2]LC Balanced'!$Q$2:$U$542,4,FALSE)</f>
        <v>0.85099999999999998</v>
      </c>
      <c r="H106">
        <f>VLOOKUP($D106,'[2]LC Balanced'!$Q$2:$U$542,5,FALSE)</f>
        <v>0</v>
      </c>
      <c r="I106" s="77">
        <f t="shared" si="194"/>
        <v>1</v>
      </c>
      <c r="J106" s="77">
        <f t="shared" si="195"/>
        <v>6.1987699999999986E-2</v>
      </c>
      <c r="K106" s="77">
        <f t="shared" si="185"/>
        <v>5.024442123284345E-3</v>
      </c>
      <c r="L106" s="76">
        <v>0</v>
      </c>
      <c r="M106" s="77">
        <f t="shared" si="201"/>
        <v>0</v>
      </c>
      <c r="N106" s="77">
        <f t="shared" si="202"/>
        <v>0</v>
      </c>
      <c r="O106" s="77">
        <f t="shared" si="203"/>
        <v>7.0062999999999992E-3</v>
      </c>
      <c r="P106" s="77">
        <f t="shared" si="204"/>
        <v>5.85741666996209E-4</v>
      </c>
      <c r="R106" t="s">
        <v>177</v>
      </c>
      <c r="S106" t="s">
        <v>176</v>
      </c>
      <c r="T106" s="197" t="str">
        <f t="shared" ref="T106:T169" si="296">R106&amp;"_"&amp;S106&amp;"_"&amp;U106</f>
        <v>Autopilot_Balanced_439</v>
      </c>
      <c r="U106">
        <v>439</v>
      </c>
      <c r="V106">
        <f>VLOOKUP($U106,'[2]AP Balanced'!$Q$1:$T$542,2,FALSE)</f>
        <v>0.77777777777777779</v>
      </c>
      <c r="W106">
        <f>VLOOKUP($U106,'[2]AP Balanced'!$Q$1:$T$542,3,FALSE)</f>
        <v>0.22222222222222221</v>
      </c>
      <c r="X106">
        <f>VLOOKUP($U106,'[2]AP Balanced'!$Q$1:$T$542,4,FALSE)</f>
        <v>0</v>
      </c>
      <c r="Y106" s="77">
        <f t="shared" si="250"/>
        <v>1</v>
      </c>
      <c r="Z106" s="77">
        <f t="shared" ref="Z106:Z146" si="297">SUMPRODUCT($V$1:$X$1,V106:X106)</f>
        <v>6.1674999999999987E-2</v>
      </c>
      <c r="AA106" s="77">
        <f t="shared" ref="AA106:AA146" si="298">(1+Z106)^(1/12)-1</f>
        <v>4.9997781870025904E-3</v>
      </c>
      <c r="AB106" s="79">
        <v>1</v>
      </c>
      <c r="AC106" s="77">
        <f t="shared" si="205"/>
        <v>8.0555555555555554E-3</v>
      </c>
      <c r="AD106" s="77">
        <f t="shared" si="196"/>
        <v>6.7378764057135498E-4</v>
      </c>
      <c r="AE106" s="77">
        <f t="shared" si="206"/>
        <v>2.5000000000000001E-3</v>
      </c>
      <c r="AF106" s="77">
        <f t="shared" si="196"/>
        <v>2.0857243058891584E-4</v>
      </c>
      <c r="AH106" t="s">
        <v>175</v>
      </c>
      <c r="AI106" t="s">
        <v>176</v>
      </c>
      <c r="AJ106" s="197" t="str">
        <f t="shared" si="252"/>
        <v>Lifecycle_Balanced_439</v>
      </c>
      <c r="AK106">
        <v>439</v>
      </c>
      <c r="AL106">
        <f>VLOOKUP($U106,[2]Standard_Balanced!$Q$1:$T$542,2,FALSE)</f>
        <v>0.77777777777777779</v>
      </c>
      <c r="AM106">
        <f>VLOOKUP($U106,[2]Standard_Balanced!$Q$1:$T$542,3,FALSE)</f>
        <v>0.22222222222222221</v>
      </c>
      <c r="AN106">
        <f>VLOOKUP($U106,[2]Standard_Balanced!$Q$1:$T$542,4,FALSE)</f>
        <v>0</v>
      </c>
      <c r="AO106" s="77">
        <f t="shared" si="182"/>
        <v>1</v>
      </c>
      <c r="AP106" s="77">
        <f t="shared" si="207"/>
        <v>6.1674999999999987E-2</v>
      </c>
      <c r="AQ106" s="77">
        <f t="shared" si="253"/>
        <v>4.9997781870025904E-3</v>
      </c>
      <c r="AR106" s="79">
        <v>0</v>
      </c>
      <c r="AS106" s="77">
        <f t="shared" si="208"/>
        <v>0</v>
      </c>
      <c r="AT106" s="77">
        <f t="shared" ref="AT106" si="299">1-(1-AS106)^(1/12)</f>
        <v>0</v>
      </c>
      <c r="AU106" s="77">
        <f t="shared" si="210"/>
        <v>2.5000000000000001E-3</v>
      </c>
      <c r="AV106" s="77">
        <f t="shared" ref="AV106" si="300">1-(1-AU106)^(1/12)</f>
        <v>2.0857243058891584E-4</v>
      </c>
      <c r="AX106" t="s">
        <v>178</v>
      </c>
      <c r="AY106" t="s">
        <v>160</v>
      </c>
      <c r="AZ106" s="197" t="str">
        <f t="shared" si="256"/>
        <v>DIS_Non-Standard_439</v>
      </c>
      <c r="BA106">
        <v>439</v>
      </c>
      <c r="BB106">
        <f>VLOOKUP($BA106,'[2]NonStandard DIS'!$Q$1:$X$542,2,FALSE)</f>
        <v>0</v>
      </c>
      <c r="BC106">
        <f>VLOOKUP($BA106,'[2]NonStandard DIS'!$Q$1:$X$542,3,FALSE)</f>
        <v>0</v>
      </c>
      <c r="BD106">
        <f>VLOOKUP($BA106,'[2]NonStandard DIS'!$Q$1:$X$542,4,FALSE)</f>
        <v>0.308</v>
      </c>
      <c r="BE106">
        <f>VLOOKUP($BA106,'[2]NonStandard DIS'!$Q$1:$X$542,5,FALSE)</f>
        <v>0.69199999999999995</v>
      </c>
      <c r="BF106">
        <f>VLOOKUP($BA106,'[2]NonStandard DIS'!$Q$1:$X$542,6,FALSE)</f>
        <v>0</v>
      </c>
      <c r="BG106">
        <f>VLOOKUP($BA106,'[2]NonStandard DIS'!$Q$1:$X$542,7,FALSE)</f>
        <v>0</v>
      </c>
      <c r="BH106">
        <f>VLOOKUP($BA106,'[2]NonStandard DIS'!$Q$1:$X$542,8,FALSE)</f>
        <v>0</v>
      </c>
      <c r="BI106" s="77">
        <f t="shared" si="199"/>
        <v>1</v>
      </c>
      <c r="BJ106" s="77">
        <f t="shared" si="200"/>
        <v>6.9728499999999985E-2</v>
      </c>
      <c r="BK106" s="77">
        <f t="shared" si="180"/>
        <v>5.632878498097682E-3</v>
      </c>
      <c r="BL106" s="79">
        <v>0</v>
      </c>
      <c r="BM106" s="77">
        <f t="shared" si="212"/>
        <v>0</v>
      </c>
      <c r="BN106" s="77">
        <f t="shared" si="213"/>
        <v>0</v>
      </c>
      <c r="BO106" s="77">
        <f t="shared" si="214"/>
        <v>5.6775999999999997E-3</v>
      </c>
      <c r="BP106" s="77">
        <f t="shared" si="215"/>
        <v>4.7190657760731725E-4</v>
      </c>
    </row>
    <row r="107" spans="1:68">
      <c r="A107" t="s">
        <v>175</v>
      </c>
      <c r="B107" t="s">
        <v>176</v>
      </c>
      <c r="C107" s="197" t="str">
        <f t="shared" si="248"/>
        <v>Lifecycle_Balanced_438</v>
      </c>
      <c r="D107">
        <v>438</v>
      </c>
      <c r="E107">
        <f>VLOOKUP($D107,'[2]LC Balanced'!$Q$2:$U$542,2,FALSE)</f>
        <v>0</v>
      </c>
      <c r="F107">
        <f>VLOOKUP($D107,'[2]LC Balanced'!$Q$2:$U$542,3,FALSE)</f>
        <v>0.14899999999999999</v>
      </c>
      <c r="G107">
        <f>VLOOKUP($D107,'[2]LC Balanced'!$Q$2:$U$542,4,FALSE)</f>
        <v>0.85099999999999998</v>
      </c>
      <c r="H107">
        <f>VLOOKUP($D107,'[2]LC Balanced'!$Q$2:$U$542,5,FALSE)</f>
        <v>0</v>
      </c>
      <c r="I107" s="77">
        <f t="shared" si="194"/>
        <v>1</v>
      </c>
      <c r="J107" s="77">
        <f t="shared" si="195"/>
        <v>6.1987699999999986E-2</v>
      </c>
      <c r="K107" s="77">
        <f t="shared" si="185"/>
        <v>5.024442123284345E-3</v>
      </c>
      <c r="L107" s="76">
        <v>0</v>
      </c>
      <c r="M107" s="77">
        <f t="shared" si="201"/>
        <v>0</v>
      </c>
      <c r="N107" s="77">
        <f t="shared" si="202"/>
        <v>0</v>
      </c>
      <c r="O107" s="77">
        <f t="shared" si="203"/>
        <v>7.0062999999999992E-3</v>
      </c>
      <c r="P107" s="77">
        <f t="shared" si="204"/>
        <v>5.85741666996209E-4</v>
      </c>
      <c r="R107" t="s">
        <v>177</v>
      </c>
      <c r="S107" t="s">
        <v>176</v>
      </c>
      <c r="T107" s="197" t="str">
        <f t="shared" si="296"/>
        <v>Autopilot_Balanced_438</v>
      </c>
      <c r="U107">
        <v>438</v>
      </c>
      <c r="V107">
        <f>VLOOKUP($U107,'[2]AP Balanced'!$Q$1:$T$542,2,FALSE)</f>
        <v>0.77777777777777779</v>
      </c>
      <c r="W107">
        <f>VLOOKUP($U107,'[2]AP Balanced'!$Q$1:$T$542,3,FALSE)</f>
        <v>0.22222222222222221</v>
      </c>
      <c r="X107">
        <f>VLOOKUP($U107,'[2]AP Balanced'!$Q$1:$T$542,4,FALSE)</f>
        <v>0</v>
      </c>
      <c r="Y107" s="77">
        <f t="shared" si="250"/>
        <v>1</v>
      </c>
      <c r="Z107" s="77">
        <f t="shared" si="297"/>
        <v>6.1674999999999987E-2</v>
      </c>
      <c r="AA107" s="77">
        <f t="shared" si="298"/>
        <v>4.9997781870025904E-3</v>
      </c>
      <c r="AB107" s="79">
        <v>1</v>
      </c>
      <c r="AC107" s="77">
        <f t="shared" si="205"/>
        <v>8.0555555555555554E-3</v>
      </c>
      <c r="AD107" s="77">
        <f t="shared" si="196"/>
        <v>6.7378764057135498E-4</v>
      </c>
      <c r="AE107" s="77">
        <f t="shared" si="206"/>
        <v>2.5000000000000001E-3</v>
      </c>
      <c r="AF107" s="77">
        <f t="shared" si="196"/>
        <v>2.0857243058891584E-4</v>
      </c>
      <c r="AH107" t="s">
        <v>175</v>
      </c>
      <c r="AI107" t="s">
        <v>176</v>
      </c>
      <c r="AJ107" s="197" t="str">
        <f t="shared" si="252"/>
        <v>Lifecycle_Balanced_438</v>
      </c>
      <c r="AK107">
        <v>438</v>
      </c>
      <c r="AL107">
        <f>VLOOKUP($U107,[2]Standard_Balanced!$Q$1:$T$542,2,FALSE)</f>
        <v>0.77777777777777779</v>
      </c>
      <c r="AM107">
        <f>VLOOKUP($U107,[2]Standard_Balanced!$Q$1:$T$542,3,FALSE)</f>
        <v>0.22222222222222221</v>
      </c>
      <c r="AN107">
        <f>VLOOKUP($U107,[2]Standard_Balanced!$Q$1:$T$542,4,FALSE)</f>
        <v>0</v>
      </c>
      <c r="AO107" s="77">
        <f t="shared" si="182"/>
        <v>1</v>
      </c>
      <c r="AP107" s="77">
        <f t="shared" si="207"/>
        <v>6.1674999999999987E-2</v>
      </c>
      <c r="AQ107" s="77">
        <f t="shared" si="253"/>
        <v>4.9997781870025904E-3</v>
      </c>
      <c r="AR107" s="79">
        <v>0</v>
      </c>
      <c r="AS107" s="77">
        <f t="shared" si="208"/>
        <v>0</v>
      </c>
      <c r="AT107" s="77">
        <f t="shared" ref="AT107" si="301">1-(1-AS107)^(1/12)</f>
        <v>0</v>
      </c>
      <c r="AU107" s="77">
        <f t="shared" si="210"/>
        <v>2.5000000000000001E-3</v>
      </c>
      <c r="AV107" s="77">
        <f t="shared" ref="AV107" si="302">1-(1-AU107)^(1/12)</f>
        <v>2.0857243058891584E-4</v>
      </c>
      <c r="AX107" t="s">
        <v>178</v>
      </c>
      <c r="AY107" t="s">
        <v>160</v>
      </c>
      <c r="AZ107" s="197" t="str">
        <f t="shared" si="256"/>
        <v>DIS_Non-Standard_438</v>
      </c>
      <c r="BA107">
        <v>438</v>
      </c>
      <c r="BB107">
        <f>VLOOKUP($BA107,'[2]NonStandard DIS'!$Q$1:$X$542,2,FALSE)</f>
        <v>0</v>
      </c>
      <c r="BC107">
        <f>VLOOKUP($BA107,'[2]NonStandard DIS'!$Q$1:$X$542,3,FALSE)</f>
        <v>0</v>
      </c>
      <c r="BD107">
        <f>VLOOKUP($BA107,'[2]NonStandard DIS'!$Q$1:$X$542,4,FALSE)</f>
        <v>0.308</v>
      </c>
      <c r="BE107">
        <f>VLOOKUP($BA107,'[2]NonStandard DIS'!$Q$1:$X$542,5,FALSE)</f>
        <v>0.69199999999999995</v>
      </c>
      <c r="BF107">
        <f>VLOOKUP($BA107,'[2]NonStandard DIS'!$Q$1:$X$542,6,FALSE)</f>
        <v>0</v>
      </c>
      <c r="BG107">
        <f>VLOOKUP($BA107,'[2]NonStandard DIS'!$Q$1:$X$542,7,FALSE)</f>
        <v>0</v>
      </c>
      <c r="BH107">
        <f>VLOOKUP($BA107,'[2]NonStandard DIS'!$Q$1:$X$542,8,FALSE)</f>
        <v>0</v>
      </c>
      <c r="BI107" s="77">
        <f t="shared" si="199"/>
        <v>1</v>
      </c>
      <c r="BJ107" s="77">
        <f t="shared" si="200"/>
        <v>6.9728499999999985E-2</v>
      </c>
      <c r="BK107" s="77">
        <f t="shared" si="180"/>
        <v>5.632878498097682E-3</v>
      </c>
      <c r="BL107" s="79">
        <v>0</v>
      </c>
      <c r="BM107" s="77">
        <f t="shared" si="212"/>
        <v>0</v>
      </c>
      <c r="BN107" s="77">
        <f t="shared" si="213"/>
        <v>0</v>
      </c>
      <c r="BO107" s="77">
        <f t="shared" si="214"/>
        <v>5.6775999999999997E-3</v>
      </c>
      <c r="BP107" s="77">
        <f t="shared" si="215"/>
        <v>4.7190657760731725E-4</v>
      </c>
    </row>
    <row r="108" spans="1:68">
      <c r="A108" t="s">
        <v>175</v>
      </c>
      <c r="B108" t="s">
        <v>176</v>
      </c>
      <c r="C108" s="197" t="str">
        <f t="shared" si="248"/>
        <v>Lifecycle_Balanced_437</v>
      </c>
      <c r="D108">
        <v>437</v>
      </c>
      <c r="E108">
        <f>VLOOKUP($D108,'[2]LC Balanced'!$Q$2:$U$542,2,FALSE)</f>
        <v>0</v>
      </c>
      <c r="F108">
        <f>VLOOKUP($D108,'[2]LC Balanced'!$Q$2:$U$542,3,FALSE)</f>
        <v>0.14899999999999999</v>
      </c>
      <c r="G108">
        <f>VLOOKUP($D108,'[2]LC Balanced'!$Q$2:$U$542,4,FALSE)</f>
        <v>0.85099999999999998</v>
      </c>
      <c r="H108">
        <f>VLOOKUP($D108,'[2]LC Balanced'!$Q$2:$U$542,5,FALSE)</f>
        <v>0</v>
      </c>
      <c r="I108" s="77">
        <f t="shared" si="194"/>
        <v>1</v>
      </c>
      <c r="J108" s="77">
        <f t="shared" si="195"/>
        <v>6.1987699999999986E-2</v>
      </c>
      <c r="K108" s="77">
        <f t="shared" si="185"/>
        <v>5.024442123284345E-3</v>
      </c>
      <c r="L108" s="76">
        <v>0</v>
      </c>
      <c r="M108" s="77">
        <f t="shared" si="201"/>
        <v>0</v>
      </c>
      <c r="N108" s="77">
        <f t="shared" si="202"/>
        <v>0</v>
      </c>
      <c r="O108" s="77">
        <f t="shared" si="203"/>
        <v>7.0062999999999992E-3</v>
      </c>
      <c r="P108" s="77">
        <f t="shared" si="204"/>
        <v>5.85741666996209E-4</v>
      </c>
      <c r="R108" t="s">
        <v>177</v>
      </c>
      <c r="S108" t="s">
        <v>176</v>
      </c>
      <c r="T108" s="197" t="str">
        <f t="shared" si="296"/>
        <v>Autopilot_Balanced_437</v>
      </c>
      <c r="U108">
        <v>437</v>
      </c>
      <c r="V108">
        <f>VLOOKUP($U108,'[2]AP Balanced'!$Q$1:$T$542,2,FALSE)</f>
        <v>0.77777777777777779</v>
      </c>
      <c r="W108">
        <f>VLOOKUP($U108,'[2]AP Balanced'!$Q$1:$T$542,3,FALSE)</f>
        <v>0.22222222222222221</v>
      </c>
      <c r="X108">
        <f>VLOOKUP($U108,'[2]AP Balanced'!$Q$1:$T$542,4,FALSE)</f>
        <v>0</v>
      </c>
      <c r="Y108" s="77">
        <f t="shared" si="250"/>
        <v>1</v>
      </c>
      <c r="Z108" s="77">
        <f t="shared" si="297"/>
        <v>6.1674999999999987E-2</v>
      </c>
      <c r="AA108" s="77">
        <f t="shared" si="298"/>
        <v>4.9997781870025904E-3</v>
      </c>
      <c r="AB108" s="79">
        <v>1</v>
      </c>
      <c r="AC108" s="77">
        <f t="shared" si="205"/>
        <v>8.0555555555555554E-3</v>
      </c>
      <c r="AD108" s="77">
        <f t="shared" si="196"/>
        <v>6.7378764057135498E-4</v>
      </c>
      <c r="AE108" s="77">
        <f t="shared" si="206"/>
        <v>2.5000000000000001E-3</v>
      </c>
      <c r="AF108" s="77">
        <f t="shared" si="196"/>
        <v>2.0857243058891584E-4</v>
      </c>
      <c r="AH108" t="s">
        <v>175</v>
      </c>
      <c r="AI108" t="s">
        <v>176</v>
      </c>
      <c r="AJ108" s="197" t="str">
        <f t="shared" si="252"/>
        <v>Lifecycle_Balanced_437</v>
      </c>
      <c r="AK108">
        <v>437</v>
      </c>
      <c r="AL108">
        <f>VLOOKUP($U108,[2]Standard_Balanced!$Q$1:$T$542,2,FALSE)</f>
        <v>0.77777777777777779</v>
      </c>
      <c r="AM108">
        <f>VLOOKUP($U108,[2]Standard_Balanced!$Q$1:$T$542,3,FALSE)</f>
        <v>0.22222222222222221</v>
      </c>
      <c r="AN108">
        <f>VLOOKUP($U108,[2]Standard_Balanced!$Q$1:$T$542,4,FALSE)</f>
        <v>0</v>
      </c>
      <c r="AO108" s="77">
        <f t="shared" si="182"/>
        <v>1</v>
      </c>
      <c r="AP108" s="77">
        <f t="shared" si="207"/>
        <v>6.1674999999999987E-2</v>
      </c>
      <c r="AQ108" s="77">
        <f t="shared" si="253"/>
        <v>4.9997781870025904E-3</v>
      </c>
      <c r="AR108" s="79">
        <v>0</v>
      </c>
      <c r="AS108" s="77">
        <f t="shared" si="208"/>
        <v>0</v>
      </c>
      <c r="AT108" s="77">
        <f t="shared" ref="AT108" si="303">1-(1-AS108)^(1/12)</f>
        <v>0</v>
      </c>
      <c r="AU108" s="77">
        <f t="shared" si="210"/>
        <v>2.5000000000000001E-3</v>
      </c>
      <c r="AV108" s="77">
        <f t="shared" ref="AV108" si="304">1-(1-AU108)^(1/12)</f>
        <v>2.0857243058891584E-4</v>
      </c>
      <c r="AX108" t="s">
        <v>178</v>
      </c>
      <c r="AY108" t="s">
        <v>160</v>
      </c>
      <c r="AZ108" s="197" t="str">
        <f t="shared" si="256"/>
        <v>DIS_Non-Standard_437</v>
      </c>
      <c r="BA108">
        <v>437</v>
      </c>
      <c r="BB108">
        <f>VLOOKUP($BA108,'[2]NonStandard DIS'!$Q$1:$X$542,2,FALSE)</f>
        <v>0</v>
      </c>
      <c r="BC108">
        <f>VLOOKUP($BA108,'[2]NonStandard DIS'!$Q$1:$X$542,3,FALSE)</f>
        <v>0</v>
      </c>
      <c r="BD108">
        <f>VLOOKUP($BA108,'[2]NonStandard DIS'!$Q$1:$X$542,4,FALSE)</f>
        <v>0.308</v>
      </c>
      <c r="BE108">
        <f>VLOOKUP($BA108,'[2]NonStandard DIS'!$Q$1:$X$542,5,FALSE)</f>
        <v>0.69199999999999995</v>
      </c>
      <c r="BF108">
        <f>VLOOKUP($BA108,'[2]NonStandard DIS'!$Q$1:$X$542,6,FALSE)</f>
        <v>0</v>
      </c>
      <c r="BG108">
        <f>VLOOKUP($BA108,'[2]NonStandard DIS'!$Q$1:$X$542,7,FALSE)</f>
        <v>0</v>
      </c>
      <c r="BH108">
        <f>VLOOKUP($BA108,'[2]NonStandard DIS'!$Q$1:$X$542,8,FALSE)</f>
        <v>0</v>
      </c>
      <c r="BI108" s="77">
        <f t="shared" si="199"/>
        <v>1</v>
      </c>
      <c r="BJ108" s="77">
        <f t="shared" si="200"/>
        <v>6.9728499999999985E-2</v>
      </c>
      <c r="BK108" s="77">
        <f t="shared" si="180"/>
        <v>5.632878498097682E-3</v>
      </c>
      <c r="BL108" s="79">
        <v>0</v>
      </c>
      <c r="BM108" s="77">
        <f t="shared" si="212"/>
        <v>0</v>
      </c>
      <c r="BN108" s="77">
        <f t="shared" si="213"/>
        <v>0</v>
      </c>
      <c r="BO108" s="77">
        <f t="shared" si="214"/>
        <v>5.6775999999999997E-3</v>
      </c>
      <c r="BP108" s="77">
        <f t="shared" si="215"/>
        <v>4.7190657760731725E-4</v>
      </c>
    </row>
    <row r="109" spans="1:68">
      <c r="A109" t="s">
        <v>175</v>
      </c>
      <c r="B109" t="s">
        <v>176</v>
      </c>
      <c r="C109" s="197" t="str">
        <f t="shared" si="248"/>
        <v>Lifecycle_Balanced_436</v>
      </c>
      <c r="D109">
        <v>436</v>
      </c>
      <c r="E109">
        <f>VLOOKUP($D109,'[2]LC Balanced'!$Q$2:$U$542,2,FALSE)</f>
        <v>0</v>
      </c>
      <c r="F109">
        <f>VLOOKUP($D109,'[2]LC Balanced'!$Q$2:$U$542,3,FALSE)</f>
        <v>0.14899999999999999</v>
      </c>
      <c r="G109">
        <f>VLOOKUP($D109,'[2]LC Balanced'!$Q$2:$U$542,4,FALSE)</f>
        <v>0.85099999999999998</v>
      </c>
      <c r="H109">
        <f>VLOOKUP($D109,'[2]LC Balanced'!$Q$2:$U$542,5,FALSE)</f>
        <v>0</v>
      </c>
      <c r="I109" s="77">
        <f t="shared" si="194"/>
        <v>1</v>
      </c>
      <c r="J109" s="77">
        <f t="shared" si="195"/>
        <v>6.1987699999999986E-2</v>
      </c>
      <c r="K109" s="77">
        <f t="shared" si="185"/>
        <v>5.024442123284345E-3</v>
      </c>
      <c r="L109" s="76">
        <v>0</v>
      </c>
      <c r="M109" s="77">
        <f t="shared" si="201"/>
        <v>0</v>
      </c>
      <c r="N109" s="77">
        <f t="shared" si="202"/>
        <v>0</v>
      </c>
      <c r="O109" s="77">
        <f t="shared" si="203"/>
        <v>7.0062999999999992E-3</v>
      </c>
      <c r="P109" s="77">
        <f t="shared" si="204"/>
        <v>5.85741666996209E-4</v>
      </c>
      <c r="R109" t="s">
        <v>177</v>
      </c>
      <c r="S109" t="s">
        <v>176</v>
      </c>
      <c r="T109" s="197" t="str">
        <f t="shared" si="296"/>
        <v>Autopilot_Balanced_436</v>
      </c>
      <c r="U109">
        <v>436</v>
      </c>
      <c r="V109">
        <f>VLOOKUP($U109,'[2]AP Balanced'!$Q$1:$T$542,2,FALSE)</f>
        <v>0.77777777777777779</v>
      </c>
      <c r="W109">
        <f>VLOOKUP($U109,'[2]AP Balanced'!$Q$1:$T$542,3,FALSE)</f>
        <v>0.22222222222222221</v>
      </c>
      <c r="X109">
        <f>VLOOKUP($U109,'[2]AP Balanced'!$Q$1:$T$542,4,FALSE)</f>
        <v>0</v>
      </c>
      <c r="Y109" s="77">
        <f t="shared" si="250"/>
        <v>1</v>
      </c>
      <c r="Z109" s="77">
        <f t="shared" si="297"/>
        <v>6.1674999999999987E-2</v>
      </c>
      <c r="AA109" s="77">
        <f t="shared" si="298"/>
        <v>4.9997781870025904E-3</v>
      </c>
      <c r="AB109" s="79">
        <v>1</v>
      </c>
      <c r="AC109" s="77">
        <f t="shared" si="205"/>
        <v>8.0555555555555554E-3</v>
      </c>
      <c r="AD109" s="77">
        <f t="shared" si="196"/>
        <v>6.7378764057135498E-4</v>
      </c>
      <c r="AE109" s="77">
        <f t="shared" si="206"/>
        <v>2.5000000000000001E-3</v>
      </c>
      <c r="AF109" s="77">
        <f t="shared" si="196"/>
        <v>2.0857243058891584E-4</v>
      </c>
      <c r="AH109" t="s">
        <v>175</v>
      </c>
      <c r="AI109" t="s">
        <v>176</v>
      </c>
      <c r="AJ109" s="197" t="str">
        <f t="shared" si="252"/>
        <v>Lifecycle_Balanced_436</v>
      </c>
      <c r="AK109">
        <v>436</v>
      </c>
      <c r="AL109">
        <f>VLOOKUP($U109,[2]Standard_Balanced!$Q$1:$T$542,2,FALSE)</f>
        <v>0.77777777777777779</v>
      </c>
      <c r="AM109">
        <f>VLOOKUP($U109,[2]Standard_Balanced!$Q$1:$T$542,3,FALSE)</f>
        <v>0.22222222222222221</v>
      </c>
      <c r="AN109">
        <f>VLOOKUP($U109,[2]Standard_Balanced!$Q$1:$T$542,4,FALSE)</f>
        <v>0</v>
      </c>
      <c r="AO109" s="77">
        <f t="shared" si="182"/>
        <v>1</v>
      </c>
      <c r="AP109" s="77">
        <f t="shared" si="207"/>
        <v>6.1674999999999987E-2</v>
      </c>
      <c r="AQ109" s="77">
        <f t="shared" si="253"/>
        <v>4.9997781870025904E-3</v>
      </c>
      <c r="AR109" s="79">
        <v>0</v>
      </c>
      <c r="AS109" s="77">
        <f t="shared" si="208"/>
        <v>0</v>
      </c>
      <c r="AT109" s="77">
        <f t="shared" ref="AT109" si="305">1-(1-AS109)^(1/12)</f>
        <v>0</v>
      </c>
      <c r="AU109" s="77">
        <f t="shared" si="210"/>
        <v>2.5000000000000001E-3</v>
      </c>
      <c r="AV109" s="77">
        <f t="shared" ref="AV109" si="306">1-(1-AU109)^(1/12)</f>
        <v>2.0857243058891584E-4</v>
      </c>
      <c r="AX109" t="s">
        <v>178</v>
      </c>
      <c r="AY109" t="s">
        <v>160</v>
      </c>
      <c r="AZ109" s="197" t="str">
        <f t="shared" si="256"/>
        <v>DIS_Non-Standard_436</v>
      </c>
      <c r="BA109">
        <v>436</v>
      </c>
      <c r="BB109">
        <f>VLOOKUP($BA109,'[2]NonStandard DIS'!$Q$1:$X$542,2,FALSE)</f>
        <v>0</v>
      </c>
      <c r="BC109">
        <f>VLOOKUP($BA109,'[2]NonStandard DIS'!$Q$1:$X$542,3,FALSE)</f>
        <v>0</v>
      </c>
      <c r="BD109">
        <f>VLOOKUP($BA109,'[2]NonStandard DIS'!$Q$1:$X$542,4,FALSE)</f>
        <v>0.308</v>
      </c>
      <c r="BE109">
        <f>VLOOKUP($BA109,'[2]NonStandard DIS'!$Q$1:$X$542,5,FALSE)</f>
        <v>0.69199999999999995</v>
      </c>
      <c r="BF109">
        <f>VLOOKUP($BA109,'[2]NonStandard DIS'!$Q$1:$X$542,6,FALSE)</f>
        <v>0</v>
      </c>
      <c r="BG109">
        <f>VLOOKUP($BA109,'[2]NonStandard DIS'!$Q$1:$X$542,7,FALSE)</f>
        <v>0</v>
      </c>
      <c r="BH109">
        <f>VLOOKUP($BA109,'[2]NonStandard DIS'!$Q$1:$X$542,8,FALSE)</f>
        <v>0</v>
      </c>
      <c r="BI109" s="77">
        <f t="shared" si="199"/>
        <v>1</v>
      </c>
      <c r="BJ109" s="77">
        <f t="shared" si="200"/>
        <v>6.9728499999999985E-2</v>
      </c>
      <c r="BK109" s="77">
        <f t="shared" si="180"/>
        <v>5.632878498097682E-3</v>
      </c>
      <c r="BL109" s="79">
        <v>0</v>
      </c>
      <c r="BM109" s="77">
        <f t="shared" si="212"/>
        <v>0</v>
      </c>
      <c r="BN109" s="77">
        <f t="shared" si="213"/>
        <v>0</v>
      </c>
      <c r="BO109" s="77">
        <f t="shared" si="214"/>
        <v>5.6775999999999997E-3</v>
      </c>
      <c r="BP109" s="77">
        <f t="shared" si="215"/>
        <v>4.7190657760731725E-4</v>
      </c>
    </row>
    <row r="110" spans="1:68">
      <c r="A110" t="s">
        <v>175</v>
      </c>
      <c r="B110" t="s">
        <v>176</v>
      </c>
      <c r="C110" s="197" t="str">
        <f t="shared" si="248"/>
        <v>Lifecycle_Balanced_435</v>
      </c>
      <c r="D110">
        <v>435</v>
      </c>
      <c r="E110">
        <f>VLOOKUP($D110,'[2]LC Balanced'!$Q$2:$U$542,2,FALSE)</f>
        <v>0</v>
      </c>
      <c r="F110">
        <f>VLOOKUP($D110,'[2]LC Balanced'!$Q$2:$U$542,3,FALSE)</f>
        <v>0.14899999999999999</v>
      </c>
      <c r="G110">
        <f>VLOOKUP($D110,'[2]LC Balanced'!$Q$2:$U$542,4,FALSE)</f>
        <v>0.85099999999999998</v>
      </c>
      <c r="H110">
        <f>VLOOKUP($D110,'[2]LC Balanced'!$Q$2:$U$542,5,FALSE)</f>
        <v>0</v>
      </c>
      <c r="I110" s="77">
        <f t="shared" si="194"/>
        <v>1</v>
      </c>
      <c r="J110" s="77">
        <f t="shared" si="195"/>
        <v>6.1987699999999986E-2</v>
      </c>
      <c r="K110" s="77">
        <f t="shared" si="185"/>
        <v>5.024442123284345E-3</v>
      </c>
      <c r="L110" s="76">
        <v>0</v>
      </c>
      <c r="M110" s="77">
        <f t="shared" si="201"/>
        <v>0</v>
      </c>
      <c r="N110" s="77">
        <f t="shared" si="202"/>
        <v>0</v>
      </c>
      <c r="O110" s="77">
        <f t="shared" si="203"/>
        <v>7.0062999999999992E-3</v>
      </c>
      <c r="P110" s="77">
        <f t="shared" si="204"/>
        <v>5.85741666996209E-4</v>
      </c>
      <c r="R110" t="s">
        <v>177</v>
      </c>
      <c r="S110" t="s">
        <v>176</v>
      </c>
      <c r="T110" s="197" t="str">
        <f t="shared" si="296"/>
        <v>Autopilot_Balanced_435</v>
      </c>
      <c r="U110">
        <v>435</v>
      </c>
      <c r="V110">
        <f>VLOOKUP($U110,'[2]AP Balanced'!$Q$1:$T$542,2,FALSE)</f>
        <v>0.77777777777777779</v>
      </c>
      <c r="W110">
        <f>VLOOKUP($U110,'[2]AP Balanced'!$Q$1:$T$542,3,FALSE)</f>
        <v>0.22222222222222221</v>
      </c>
      <c r="X110">
        <f>VLOOKUP($U110,'[2]AP Balanced'!$Q$1:$T$542,4,FALSE)</f>
        <v>0</v>
      </c>
      <c r="Y110" s="77">
        <f t="shared" si="250"/>
        <v>1</v>
      </c>
      <c r="Z110" s="77">
        <f t="shared" si="297"/>
        <v>6.1674999999999987E-2</v>
      </c>
      <c r="AA110" s="77">
        <f t="shared" si="298"/>
        <v>4.9997781870025904E-3</v>
      </c>
      <c r="AB110" s="79">
        <v>1</v>
      </c>
      <c r="AC110" s="77">
        <f t="shared" si="205"/>
        <v>8.0555555555555554E-3</v>
      </c>
      <c r="AD110" s="77">
        <f t="shared" si="196"/>
        <v>6.7378764057135498E-4</v>
      </c>
      <c r="AE110" s="77">
        <f t="shared" si="206"/>
        <v>2.5000000000000001E-3</v>
      </c>
      <c r="AF110" s="77">
        <f t="shared" si="196"/>
        <v>2.0857243058891584E-4</v>
      </c>
      <c r="AH110" t="s">
        <v>175</v>
      </c>
      <c r="AI110" t="s">
        <v>176</v>
      </c>
      <c r="AJ110" s="197" t="str">
        <f t="shared" si="252"/>
        <v>Lifecycle_Balanced_435</v>
      </c>
      <c r="AK110">
        <v>435</v>
      </c>
      <c r="AL110">
        <f>VLOOKUP($U110,[2]Standard_Balanced!$Q$1:$T$542,2,FALSE)</f>
        <v>0.77777777777777779</v>
      </c>
      <c r="AM110">
        <f>VLOOKUP($U110,[2]Standard_Balanced!$Q$1:$T$542,3,FALSE)</f>
        <v>0.22222222222222221</v>
      </c>
      <c r="AN110">
        <f>VLOOKUP($U110,[2]Standard_Balanced!$Q$1:$T$542,4,FALSE)</f>
        <v>0</v>
      </c>
      <c r="AO110" s="77">
        <f t="shared" si="182"/>
        <v>1</v>
      </c>
      <c r="AP110" s="77">
        <f t="shared" si="207"/>
        <v>6.1674999999999987E-2</v>
      </c>
      <c r="AQ110" s="77">
        <f t="shared" si="253"/>
        <v>4.9997781870025904E-3</v>
      </c>
      <c r="AR110" s="79">
        <v>0</v>
      </c>
      <c r="AS110" s="77">
        <f t="shared" si="208"/>
        <v>0</v>
      </c>
      <c r="AT110" s="77">
        <f t="shared" ref="AT110" si="307">1-(1-AS110)^(1/12)</f>
        <v>0</v>
      </c>
      <c r="AU110" s="77">
        <f t="shared" si="210"/>
        <v>2.5000000000000001E-3</v>
      </c>
      <c r="AV110" s="77">
        <f t="shared" ref="AV110" si="308">1-(1-AU110)^(1/12)</f>
        <v>2.0857243058891584E-4</v>
      </c>
      <c r="AX110" t="s">
        <v>178</v>
      </c>
      <c r="AY110" t="s">
        <v>160</v>
      </c>
      <c r="AZ110" s="197" t="str">
        <f t="shared" si="256"/>
        <v>DIS_Non-Standard_435</v>
      </c>
      <c r="BA110">
        <v>435</v>
      </c>
      <c r="BB110">
        <f>VLOOKUP($BA110,'[2]NonStandard DIS'!$Q$1:$X$542,2,FALSE)</f>
        <v>0</v>
      </c>
      <c r="BC110">
        <f>VLOOKUP($BA110,'[2]NonStandard DIS'!$Q$1:$X$542,3,FALSE)</f>
        <v>0</v>
      </c>
      <c r="BD110">
        <f>VLOOKUP($BA110,'[2]NonStandard DIS'!$Q$1:$X$542,4,FALSE)</f>
        <v>0.308</v>
      </c>
      <c r="BE110">
        <f>VLOOKUP($BA110,'[2]NonStandard DIS'!$Q$1:$X$542,5,FALSE)</f>
        <v>0.69199999999999995</v>
      </c>
      <c r="BF110">
        <f>VLOOKUP($BA110,'[2]NonStandard DIS'!$Q$1:$X$542,6,FALSE)</f>
        <v>0</v>
      </c>
      <c r="BG110">
        <f>VLOOKUP($BA110,'[2]NonStandard DIS'!$Q$1:$X$542,7,FALSE)</f>
        <v>0</v>
      </c>
      <c r="BH110">
        <f>VLOOKUP($BA110,'[2]NonStandard DIS'!$Q$1:$X$542,8,FALSE)</f>
        <v>0</v>
      </c>
      <c r="BI110" s="77">
        <f t="shared" si="199"/>
        <v>1</v>
      </c>
      <c r="BJ110" s="77">
        <f t="shared" si="200"/>
        <v>6.9728499999999985E-2</v>
      </c>
      <c r="BK110" s="77">
        <f t="shared" si="180"/>
        <v>5.632878498097682E-3</v>
      </c>
      <c r="BL110" s="79">
        <v>0</v>
      </c>
      <c r="BM110" s="77">
        <f t="shared" si="212"/>
        <v>0</v>
      </c>
      <c r="BN110" s="77">
        <f t="shared" si="213"/>
        <v>0</v>
      </c>
      <c r="BO110" s="77">
        <f t="shared" si="214"/>
        <v>5.6775999999999997E-3</v>
      </c>
      <c r="BP110" s="77">
        <f t="shared" si="215"/>
        <v>4.7190657760731725E-4</v>
      </c>
    </row>
    <row r="111" spans="1:68">
      <c r="A111" t="s">
        <v>175</v>
      </c>
      <c r="B111" t="s">
        <v>176</v>
      </c>
      <c r="C111" s="197" t="str">
        <f t="shared" si="248"/>
        <v>Lifecycle_Balanced_434</v>
      </c>
      <c r="D111">
        <v>434</v>
      </c>
      <c r="E111">
        <f>VLOOKUP($D111,'[2]LC Balanced'!$Q$2:$U$542,2,FALSE)</f>
        <v>0</v>
      </c>
      <c r="F111">
        <f>VLOOKUP($D111,'[2]LC Balanced'!$Q$2:$U$542,3,FALSE)</f>
        <v>0.14899999999999999</v>
      </c>
      <c r="G111">
        <f>VLOOKUP($D111,'[2]LC Balanced'!$Q$2:$U$542,4,FALSE)</f>
        <v>0.85099999999999998</v>
      </c>
      <c r="H111">
        <f>VLOOKUP($D111,'[2]LC Balanced'!$Q$2:$U$542,5,FALSE)</f>
        <v>0</v>
      </c>
      <c r="I111" s="77">
        <f t="shared" si="194"/>
        <v>1</v>
      </c>
      <c r="J111" s="77">
        <f t="shared" si="195"/>
        <v>6.1987699999999986E-2</v>
      </c>
      <c r="K111" s="77">
        <f t="shared" si="185"/>
        <v>5.024442123284345E-3</v>
      </c>
      <c r="L111" s="76">
        <v>0</v>
      </c>
      <c r="M111" s="77">
        <f t="shared" si="201"/>
        <v>0</v>
      </c>
      <c r="N111" s="77">
        <f t="shared" si="202"/>
        <v>0</v>
      </c>
      <c r="O111" s="77">
        <f t="shared" si="203"/>
        <v>7.0062999999999992E-3</v>
      </c>
      <c r="P111" s="77">
        <f t="shared" si="204"/>
        <v>5.85741666996209E-4</v>
      </c>
      <c r="R111" t="s">
        <v>177</v>
      </c>
      <c r="S111" t="s">
        <v>176</v>
      </c>
      <c r="T111" s="197" t="str">
        <f t="shared" si="296"/>
        <v>Autopilot_Balanced_434</v>
      </c>
      <c r="U111">
        <v>434</v>
      </c>
      <c r="V111">
        <f>VLOOKUP($U111,'[2]AP Balanced'!$Q$1:$T$542,2,FALSE)</f>
        <v>0.77777777777777779</v>
      </c>
      <c r="W111">
        <f>VLOOKUP($U111,'[2]AP Balanced'!$Q$1:$T$542,3,FALSE)</f>
        <v>0.22222222222222221</v>
      </c>
      <c r="X111">
        <f>VLOOKUP($U111,'[2]AP Balanced'!$Q$1:$T$542,4,FALSE)</f>
        <v>0</v>
      </c>
      <c r="Y111" s="77">
        <f t="shared" si="250"/>
        <v>1</v>
      </c>
      <c r="Z111" s="77">
        <f t="shared" si="297"/>
        <v>6.1674999999999987E-2</v>
      </c>
      <c r="AA111" s="77">
        <f t="shared" si="298"/>
        <v>4.9997781870025904E-3</v>
      </c>
      <c r="AB111" s="79">
        <v>1</v>
      </c>
      <c r="AC111" s="77">
        <f t="shared" si="205"/>
        <v>8.0555555555555554E-3</v>
      </c>
      <c r="AD111" s="77">
        <f t="shared" si="196"/>
        <v>6.7378764057135498E-4</v>
      </c>
      <c r="AE111" s="77">
        <f t="shared" si="206"/>
        <v>2.5000000000000001E-3</v>
      </c>
      <c r="AF111" s="77">
        <f t="shared" si="196"/>
        <v>2.0857243058891584E-4</v>
      </c>
      <c r="AH111" t="s">
        <v>175</v>
      </c>
      <c r="AI111" t="s">
        <v>176</v>
      </c>
      <c r="AJ111" s="197" t="str">
        <f t="shared" si="252"/>
        <v>Lifecycle_Balanced_434</v>
      </c>
      <c r="AK111">
        <v>434</v>
      </c>
      <c r="AL111">
        <f>VLOOKUP($U111,[2]Standard_Balanced!$Q$1:$T$542,2,FALSE)</f>
        <v>0.77777777777777779</v>
      </c>
      <c r="AM111">
        <f>VLOOKUP($U111,[2]Standard_Balanced!$Q$1:$T$542,3,FALSE)</f>
        <v>0.22222222222222221</v>
      </c>
      <c r="AN111">
        <f>VLOOKUP($U111,[2]Standard_Balanced!$Q$1:$T$542,4,FALSE)</f>
        <v>0</v>
      </c>
      <c r="AO111" s="77">
        <f t="shared" si="182"/>
        <v>1</v>
      </c>
      <c r="AP111" s="77">
        <f t="shared" si="207"/>
        <v>6.1674999999999987E-2</v>
      </c>
      <c r="AQ111" s="77">
        <f t="shared" si="253"/>
        <v>4.9997781870025904E-3</v>
      </c>
      <c r="AR111" s="79">
        <v>0</v>
      </c>
      <c r="AS111" s="77">
        <f t="shared" si="208"/>
        <v>0</v>
      </c>
      <c r="AT111" s="77">
        <f t="shared" ref="AT111" si="309">1-(1-AS111)^(1/12)</f>
        <v>0</v>
      </c>
      <c r="AU111" s="77">
        <f t="shared" si="210"/>
        <v>2.5000000000000001E-3</v>
      </c>
      <c r="AV111" s="77">
        <f t="shared" ref="AV111" si="310">1-(1-AU111)^(1/12)</f>
        <v>2.0857243058891584E-4</v>
      </c>
      <c r="AX111" t="s">
        <v>178</v>
      </c>
      <c r="AY111" t="s">
        <v>160</v>
      </c>
      <c r="AZ111" s="197" t="str">
        <f t="shared" si="256"/>
        <v>DIS_Non-Standard_434</v>
      </c>
      <c r="BA111">
        <v>434</v>
      </c>
      <c r="BB111">
        <f>VLOOKUP($BA111,'[2]NonStandard DIS'!$Q$1:$X$542,2,FALSE)</f>
        <v>0</v>
      </c>
      <c r="BC111">
        <f>VLOOKUP($BA111,'[2]NonStandard DIS'!$Q$1:$X$542,3,FALSE)</f>
        <v>0</v>
      </c>
      <c r="BD111">
        <f>VLOOKUP($BA111,'[2]NonStandard DIS'!$Q$1:$X$542,4,FALSE)</f>
        <v>0.308</v>
      </c>
      <c r="BE111">
        <f>VLOOKUP($BA111,'[2]NonStandard DIS'!$Q$1:$X$542,5,FALSE)</f>
        <v>0.69199999999999995</v>
      </c>
      <c r="BF111">
        <f>VLOOKUP($BA111,'[2]NonStandard DIS'!$Q$1:$X$542,6,FALSE)</f>
        <v>0</v>
      </c>
      <c r="BG111">
        <f>VLOOKUP($BA111,'[2]NonStandard DIS'!$Q$1:$X$542,7,FALSE)</f>
        <v>0</v>
      </c>
      <c r="BH111">
        <f>VLOOKUP($BA111,'[2]NonStandard DIS'!$Q$1:$X$542,8,FALSE)</f>
        <v>0</v>
      </c>
      <c r="BI111" s="77">
        <f t="shared" si="199"/>
        <v>1</v>
      </c>
      <c r="BJ111" s="77">
        <f t="shared" si="200"/>
        <v>6.9728499999999985E-2</v>
      </c>
      <c r="BK111" s="77">
        <f t="shared" si="180"/>
        <v>5.632878498097682E-3</v>
      </c>
      <c r="BL111" s="79">
        <v>0</v>
      </c>
      <c r="BM111" s="77">
        <f t="shared" si="212"/>
        <v>0</v>
      </c>
      <c r="BN111" s="77">
        <f t="shared" si="213"/>
        <v>0</v>
      </c>
      <c r="BO111" s="77">
        <f t="shared" si="214"/>
        <v>5.6775999999999997E-3</v>
      </c>
      <c r="BP111" s="77">
        <f t="shared" si="215"/>
        <v>4.7190657760731725E-4</v>
      </c>
    </row>
    <row r="112" spans="1:68">
      <c r="A112" t="s">
        <v>175</v>
      </c>
      <c r="B112" t="s">
        <v>176</v>
      </c>
      <c r="C112" s="197" t="str">
        <f t="shared" si="248"/>
        <v>Lifecycle_Balanced_433</v>
      </c>
      <c r="D112">
        <v>433</v>
      </c>
      <c r="E112">
        <f>VLOOKUP($D112,'[2]LC Balanced'!$Q$2:$U$542,2,FALSE)</f>
        <v>0</v>
      </c>
      <c r="F112">
        <f>VLOOKUP($D112,'[2]LC Balanced'!$Q$2:$U$542,3,FALSE)</f>
        <v>0.14899999999999999</v>
      </c>
      <c r="G112">
        <f>VLOOKUP($D112,'[2]LC Balanced'!$Q$2:$U$542,4,FALSE)</f>
        <v>0.85099999999999998</v>
      </c>
      <c r="H112">
        <f>VLOOKUP($D112,'[2]LC Balanced'!$Q$2:$U$542,5,FALSE)</f>
        <v>0</v>
      </c>
      <c r="I112" s="77">
        <f t="shared" si="194"/>
        <v>1</v>
      </c>
      <c r="J112" s="77">
        <f t="shared" si="195"/>
        <v>6.1987699999999986E-2</v>
      </c>
      <c r="K112" s="77">
        <f t="shared" si="185"/>
        <v>5.024442123284345E-3</v>
      </c>
      <c r="L112" s="76">
        <v>0</v>
      </c>
      <c r="M112" s="77">
        <f t="shared" si="201"/>
        <v>0</v>
      </c>
      <c r="N112" s="77">
        <f t="shared" si="202"/>
        <v>0</v>
      </c>
      <c r="O112" s="77">
        <f t="shared" si="203"/>
        <v>7.0062999999999992E-3</v>
      </c>
      <c r="P112" s="77">
        <f t="shared" si="204"/>
        <v>5.85741666996209E-4</v>
      </c>
      <c r="R112" t="s">
        <v>177</v>
      </c>
      <c r="S112" t="s">
        <v>176</v>
      </c>
      <c r="T112" s="197" t="str">
        <f t="shared" si="296"/>
        <v>Autopilot_Balanced_433</v>
      </c>
      <c r="U112">
        <v>433</v>
      </c>
      <c r="V112">
        <f>VLOOKUP($U112,'[2]AP Balanced'!$Q$1:$T$542,2,FALSE)</f>
        <v>0.77777777777777779</v>
      </c>
      <c r="W112">
        <f>VLOOKUP($U112,'[2]AP Balanced'!$Q$1:$T$542,3,FALSE)</f>
        <v>0.22222222222222221</v>
      </c>
      <c r="X112">
        <f>VLOOKUP($U112,'[2]AP Balanced'!$Q$1:$T$542,4,FALSE)</f>
        <v>0</v>
      </c>
      <c r="Y112" s="77">
        <f t="shared" si="250"/>
        <v>1</v>
      </c>
      <c r="Z112" s="77">
        <f t="shared" si="297"/>
        <v>6.1674999999999987E-2</v>
      </c>
      <c r="AA112" s="77">
        <f t="shared" si="298"/>
        <v>4.9997781870025904E-3</v>
      </c>
      <c r="AB112" s="79">
        <v>1</v>
      </c>
      <c r="AC112" s="77">
        <f t="shared" si="205"/>
        <v>8.0555555555555554E-3</v>
      </c>
      <c r="AD112" s="77">
        <f t="shared" si="196"/>
        <v>6.7378764057135498E-4</v>
      </c>
      <c r="AE112" s="77">
        <f t="shared" si="206"/>
        <v>2.5000000000000001E-3</v>
      </c>
      <c r="AF112" s="77">
        <f t="shared" si="196"/>
        <v>2.0857243058891584E-4</v>
      </c>
      <c r="AH112" t="s">
        <v>175</v>
      </c>
      <c r="AI112" t="s">
        <v>176</v>
      </c>
      <c r="AJ112" s="197" t="str">
        <f t="shared" si="252"/>
        <v>Lifecycle_Balanced_433</v>
      </c>
      <c r="AK112">
        <v>433</v>
      </c>
      <c r="AL112">
        <f>VLOOKUP($U112,[2]Standard_Balanced!$Q$1:$T$542,2,FALSE)</f>
        <v>0.77777777777777779</v>
      </c>
      <c r="AM112">
        <f>VLOOKUP($U112,[2]Standard_Balanced!$Q$1:$T$542,3,FALSE)</f>
        <v>0.22222222222222221</v>
      </c>
      <c r="AN112">
        <f>VLOOKUP($U112,[2]Standard_Balanced!$Q$1:$T$542,4,FALSE)</f>
        <v>0</v>
      </c>
      <c r="AO112" s="77">
        <f t="shared" si="182"/>
        <v>1</v>
      </c>
      <c r="AP112" s="77">
        <f t="shared" si="207"/>
        <v>6.1674999999999987E-2</v>
      </c>
      <c r="AQ112" s="77">
        <f t="shared" si="253"/>
        <v>4.9997781870025904E-3</v>
      </c>
      <c r="AR112" s="79">
        <v>0</v>
      </c>
      <c r="AS112" s="77">
        <f t="shared" si="208"/>
        <v>0</v>
      </c>
      <c r="AT112" s="77">
        <f t="shared" ref="AT112" si="311">1-(1-AS112)^(1/12)</f>
        <v>0</v>
      </c>
      <c r="AU112" s="77">
        <f t="shared" si="210"/>
        <v>2.5000000000000001E-3</v>
      </c>
      <c r="AV112" s="77">
        <f t="shared" ref="AV112" si="312">1-(1-AU112)^(1/12)</f>
        <v>2.0857243058891584E-4</v>
      </c>
      <c r="AX112" t="s">
        <v>178</v>
      </c>
      <c r="AY112" t="s">
        <v>160</v>
      </c>
      <c r="AZ112" s="197" t="str">
        <f t="shared" si="256"/>
        <v>DIS_Non-Standard_433</v>
      </c>
      <c r="BA112">
        <v>433</v>
      </c>
      <c r="BB112">
        <f>VLOOKUP($BA112,'[2]NonStandard DIS'!$Q$1:$X$542,2,FALSE)</f>
        <v>0</v>
      </c>
      <c r="BC112">
        <f>VLOOKUP($BA112,'[2]NonStandard DIS'!$Q$1:$X$542,3,FALSE)</f>
        <v>0</v>
      </c>
      <c r="BD112">
        <f>VLOOKUP($BA112,'[2]NonStandard DIS'!$Q$1:$X$542,4,FALSE)</f>
        <v>0.308</v>
      </c>
      <c r="BE112">
        <f>VLOOKUP($BA112,'[2]NonStandard DIS'!$Q$1:$X$542,5,FALSE)</f>
        <v>0.69199999999999995</v>
      </c>
      <c r="BF112">
        <f>VLOOKUP($BA112,'[2]NonStandard DIS'!$Q$1:$X$542,6,FALSE)</f>
        <v>0</v>
      </c>
      <c r="BG112">
        <f>VLOOKUP($BA112,'[2]NonStandard DIS'!$Q$1:$X$542,7,FALSE)</f>
        <v>0</v>
      </c>
      <c r="BH112">
        <f>VLOOKUP($BA112,'[2]NonStandard DIS'!$Q$1:$X$542,8,FALSE)</f>
        <v>0</v>
      </c>
      <c r="BI112" s="77">
        <f t="shared" si="199"/>
        <v>1</v>
      </c>
      <c r="BJ112" s="77">
        <f t="shared" si="200"/>
        <v>6.9728499999999985E-2</v>
      </c>
      <c r="BK112" s="77">
        <f t="shared" si="180"/>
        <v>5.632878498097682E-3</v>
      </c>
      <c r="BL112" s="79">
        <v>0</v>
      </c>
      <c r="BM112" s="77">
        <f t="shared" si="212"/>
        <v>0</v>
      </c>
      <c r="BN112" s="77">
        <f t="shared" si="213"/>
        <v>0</v>
      </c>
      <c r="BO112" s="77">
        <f t="shared" si="214"/>
        <v>5.6775999999999997E-3</v>
      </c>
      <c r="BP112" s="77">
        <f t="shared" si="215"/>
        <v>4.7190657760731725E-4</v>
      </c>
    </row>
    <row r="113" spans="1:68">
      <c r="A113" t="s">
        <v>175</v>
      </c>
      <c r="B113" t="s">
        <v>176</v>
      </c>
      <c r="C113" s="197" t="str">
        <f t="shared" si="248"/>
        <v>Lifecycle_Balanced_432</v>
      </c>
      <c r="D113">
        <v>432</v>
      </c>
      <c r="E113">
        <f>VLOOKUP($D113,'[2]LC Balanced'!$Q$2:$U$542,2,FALSE)</f>
        <v>0</v>
      </c>
      <c r="F113">
        <f>VLOOKUP($D113,'[2]LC Balanced'!$Q$2:$U$542,3,FALSE)</f>
        <v>0.14899999999999999</v>
      </c>
      <c r="G113">
        <f>VLOOKUP($D113,'[2]LC Balanced'!$Q$2:$U$542,4,FALSE)</f>
        <v>0.85099999999999998</v>
      </c>
      <c r="H113">
        <f>VLOOKUP($D113,'[2]LC Balanced'!$Q$2:$U$542,5,FALSE)</f>
        <v>0</v>
      </c>
      <c r="I113" s="77">
        <f t="shared" si="194"/>
        <v>1</v>
      </c>
      <c r="J113" s="77">
        <f t="shared" si="195"/>
        <v>6.1987699999999986E-2</v>
      </c>
      <c r="K113" s="77">
        <f t="shared" si="185"/>
        <v>5.024442123284345E-3</v>
      </c>
      <c r="L113" s="76">
        <v>0</v>
      </c>
      <c r="M113" s="77">
        <f t="shared" si="201"/>
        <v>0</v>
      </c>
      <c r="N113" s="77">
        <f t="shared" si="202"/>
        <v>0</v>
      </c>
      <c r="O113" s="77">
        <f t="shared" si="203"/>
        <v>7.0062999999999992E-3</v>
      </c>
      <c r="P113" s="77">
        <f t="shared" si="204"/>
        <v>5.85741666996209E-4</v>
      </c>
      <c r="R113" t="s">
        <v>177</v>
      </c>
      <c r="S113" t="s">
        <v>176</v>
      </c>
      <c r="T113" s="197" t="str">
        <f t="shared" si="296"/>
        <v>Autopilot_Balanced_432</v>
      </c>
      <c r="U113">
        <v>432</v>
      </c>
      <c r="V113">
        <f>VLOOKUP($U113,'[2]AP Balanced'!$Q$1:$T$542,2,FALSE)</f>
        <v>0.77777777777777779</v>
      </c>
      <c r="W113">
        <f>VLOOKUP($U113,'[2]AP Balanced'!$Q$1:$T$542,3,FALSE)</f>
        <v>0.22222222222222221</v>
      </c>
      <c r="X113">
        <f>VLOOKUP($U113,'[2]AP Balanced'!$Q$1:$T$542,4,FALSE)</f>
        <v>0</v>
      </c>
      <c r="Y113" s="77">
        <f t="shared" si="250"/>
        <v>1</v>
      </c>
      <c r="Z113" s="77">
        <f t="shared" si="297"/>
        <v>6.1674999999999987E-2</v>
      </c>
      <c r="AA113" s="77">
        <f t="shared" si="298"/>
        <v>4.9997781870025904E-3</v>
      </c>
      <c r="AB113" s="79">
        <v>1</v>
      </c>
      <c r="AC113" s="77">
        <f t="shared" si="205"/>
        <v>8.0555555555555554E-3</v>
      </c>
      <c r="AD113" s="77">
        <f t="shared" si="196"/>
        <v>6.7378764057135498E-4</v>
      </c>
      <c r="AE113" s="77">
        <f t="shared" si="206"/>
        <v>2.5000000000000001E-3</v>
      </c>
      <c r="AF113" s="77">
        <f t="shared" si="196"/>
        <v>2.0857243058891584E-4</v>
      </c>
      <c r="AH113" t="s">
        <v>175</v>
      </c>
      <c r="AI113" t="s">
        <v>176</v>
      </c>
      <c r="AJ113" s="197" t="str">
        <f t="shared" si="252"/>
        <v>Lifecycle_Balanced_432</v>
      </c>
      <c r="AK113">
        <v>432</v>
      </c>
      <c r="AL113">
        <f>VLOOKUP($U113,[2]Standard_Balanced!$Q$1:$T$542,2,FALSE)</f>
        <v>0.77777777777777779</v>
      </c>
      <c r="AM113">
        <f>VLOOKUP($U113,[2]Standard_Balanced!$Q$1:$T$542,3,FALSE)</f>
        <v>0.22222222222222221</v>
      </c>
      <c r="AN113">
        <f>VLOOKUP($U113,[2]Standard_Balanced!$Q$1:$T$542,4,FALSE)</f>
        <v>0</v>
      </c>
      <c r="AO113" s="77">
        <f t="shared" si="182"/>
        <v>1</v>
      </c>
      <c r="AP113" s="77">
        <f t="shared" si="207"/>
        <v>6.1674999999999987E-2</v>
      </c>
      <c r="AQ113" s="77">
        <f t="shared" si="253"/>
        <v>4.9997781870025904E-3</v>
      </c>
      <c r="AR113" s="79">
        <v>0</v>
      </c>
      <c r="AS113" s="77">
        <f t="shared" si="208"/>
        <v>0</v>
      </c>
      <c r="AT113" s="77">
        <f t="shared" ref="AT113" si="313">1-(1-AS113)^(1/12)</f>
        <v>0</v>
      </c>
      <c r="AU113" s="77">
        <f t="shared" si="210"/>
        <v>2.5000000000000001E-3</v>
      </c>
      <c r="AV113" s="77">
        <f t="shared" ref="AV113" si="314">1-(1-AU113)^(1/12)</f>
        <v>2.0857243058891584E-4</v>
      </c>
      <c r="AX113" t="s">
        <v>178</v>
      </c>
      <c r="AY113" t="s">
        <v>160</v>
      </c>
      <c r="AZ113" s="197" t="str">
        <f t="shared" si="256"/>
        <v>DIS_Non-Standard_432</v>
      </c>
      <c r="BA113">
        <v>432</v>
      </c>
      <c r="BB113">
        <f>VLOOKUP($BA113,'[2]NonStandard DIS'!$Q$1:$X$542,2,FALSE)</f>
        <v>0</v>
      </c>
      <c r="BC113">
        <f>VLOOKUP($BA113,'[2]NonStandard DIS'!$Q$1:$X$542,3,FALSE)</f>
        <v>0</v>
      </c>
      <c r="BD113">
        <f>VLOOKUP($BA113,'[2]NonStandard DIS'!$Q$1:$X$542,4,FALSE)</f>
        <v>0.308</v>
      </c>
      <c r="BE113">
        <f>VLOOKUP($BA113,'[2]NonStandard DIS'!$Q$1:$X$542,5,FALSE)</f>
        <v>0.69199999999999995</v>
      </c>
      <c r="BF113">
        <f>VLOOKUP($BA113,'[2]NonStandard DIS'!$Q$1:$X$542,6,FALSE)</f>
        <v>0</v>
      </c>
      <c r="BG113">
        <f>VLOOKUP($BA113,'[2]NonStandard DIS'!$Q$1:$X$542,7,FALSE)</f>
        <v>0</v>
      </c>
      <c r="BH113">
        <f>VLOOKUP($BA113,'[2]NonStandard DIS'!$Q$1:$X$542,8,FALSE)</f>
        <v>0</v>
      </c>
      <c r="BI113" s="77">
        <f t="shared" si="199"/>
        <v>1</v>
      </c>
      <c r="BJ113" s="77">
        <f t="shared" si="200"/>
        <v>6.9728499999999985E-2</v>
      </c>
      <c r="BK113" s="77">
        <f t="shared" si="180"/>
        <v>5.632878498097682E-3</v>
      </c>
      <c r="BL113" s="79">
        <v>0</v>
      </c>
      <c r="BM113" s="77">
        <f t="shared" si="212"/>
        <v>0</v>
      </c>
      <c r="BN113" s="77">
        <f t="shared" si="213"/>
        <v>0</v>
      </c>
      <c r="BO113" s="77">
        <f t="shared" si="214"/>
        <v>5.6775999999999997E-3</v>
      </c>
      <c r="BP113" s="77">
        <f t="shared" si="215"/>
        <v>4.7190657760731725E-4</v>
      </c>
    </row>
    <row r="114" spans="1:68">
      <c r="A114" t="s">
        <v>175</v>
      </c>
      <c r="B114" t="s">
        <v>176</v>
      </c>
      <c r="C114" s="197" t="str">
        <f t="shared" si="248"/>
        <v>Lifecycle_Balanced_431</v>
      </c>
      <c r="D114">
        <v>431</v>
      </c>
      <c r="E114">
        <f>VLOOKUP($D114,'[2]LC Balanced'!$Q$2:$U$542,2,FALSE)</f>
        <v>0</v>
      </c>
      <c r="F114">
        <f>VLOOKUP($D114,'[2]LC Balanced'!$Q$2:$U$542,3,FALSE)</f>
        <v>0.14899999999999999</v>
      </c>
      <c r="G114">
        <f>VLOOKUP($D114,'[2]LC Balanced'!$Q$2:$U$542,4,FALSE)</f>
        <v>0.85099999999999998</v>
      </c>
      <c r="H114">
        <f>VLOOKUP($D114,'[2]LC Balanced'!$Q$2:$U$542,5,FALSE)</f>
        <v>0</v>
      </c>
      <c r="I114" s="77">
        <f t="shared" si="194"/>
        <v>1</v>
      </c>
      <c r="J114" s="77">
        <f t="shared" si="195"/>
        <v>6.1987699999999986E-2</v>
      </c>
      <c r="K114" s="77">
        <f t="shared" si="185"/>
        <v>5.024442123284345E-3</v>
      </c>
      <c r="L114" s="76">
        <v>0</v>
      </c>
      <c r="M114" s="77">
        <f t="shared" si="201"/>
        <v>0</v>
      </c>
      <c r="N114" s="77">
        <f t="shared" si="202"/>
        <v>0</v>
      </c>
      <c r="O114" s="77">
        <f t="shared" si="203"/>
        <v>7.0062999999999992E-3</v>
      </c>
      <c r="P114" s="77">
        <f t="shared" si="204"/>
        <v>5.85741666996209E-4</v>
      </c>
      <c r="R114" t="s">
        <v>177</v>
      </c>
      <c r="S114" t="s">
        <v>176</v>
      </c>
      <c r="T114" s="197" t="str">
        <f t="shared" si="296"/>
        <v>Autopilot_Balanced_431</v>
      </c>
      <c r="U114">
        <v>431</v>
      </c>
      <c r="V114">
        <f>VLOOKUP($U114,'[2]AP Balanced'!$Q$1:$T$542,2,FALSE)</f>
        <v>0.77777777777777779</v>
      </c>
      <c r="W114">
        <f>VLOOKUP($U114,'[2]AP Balanced'!$Q$1:$T$542,3,FALSE)</f>
        <v>0.22222222222222221</v>
      </c>
      <c r="X114">
        <f>VLOOKUP($U114,'[2]AP Balanced'!$Q$1:$T$542,4,FALSE)</f>
        <v>0</v>
      </c>
      <c r="Y114" s="77">
        <f t="shared" si="250"/>
        <v>1</v>
      </c>
      <c r="Z114" s="77">
        <f t="shared" si="297"/>
        <v>6.1674999999999987E-2</v>
      </c>
      <c r="AA114" s="77">
        <f t="shared" si="298"/>
        <v>4.9997781870025904E-3</v>
      </c>
      <c r="AB114" s="79">
        <v>1</v>
      </c>
      <c r="AC114" s="77">
        <f t="shared" si="205"/>
        <v>8.0555555555555554E-3</v>
      </c>
      <c r="AD114" s="77">
        <f t="shared" si="196"/>
        <v>6.7378764057135498E-4</v>
      </c>
      <c r="AE114" s="77">
        <f t="shared" si="206"/>
        <v>2.5000000000000001E-3</v>
      </c>
      <c r="AF114" s="77">
        <f t="shared" si="196"/>
        <v>2.0857243058891584E-4</v>
      </c>
      <c r="AH114" t="s">
        <v>175</v>
      </c>
      <c r="AI114" t="s">
        <v>176</v>
      </c>
      <c r="AJ114" s="197" t="str">
        <f t="shared" si="252"/>
        <v>Lifecycle_Balanced_431</v>
      </c>
      <c r="AK114">
        <v>431</v>
      </c>
      <c r="AL114">
        <f>VLOOKUP($U114,[2]Standard_Balanced!$Q$1:$T$542,2,FALSE)</f>
        <v>0.77777777777777779</v>
      </c>
      <c r="AM114">
        <f>VLOOKUP($U114,[2]Standard_Balanced!$Q$1:$T$542,3,FALSE)</f>
        <v>0.22222222222222221</v>
      </c>
      <c r="AN114">
        <f>VLOOKUP($U114,[2]Standard_Balanced!$Q$1:$T$542,4,FALSE)</f>
        <v>0</v>
      </c>
      <c r="AO114" s="77">
        <f t="shared" si="182"/>
        <v>1</v>
      </c>
      <c r="AP114" s="77">
        <f t="shared" si="207"/>
        <v>6.1674999999999987E-2</v>
      </c>
      <c r="AQ114" s="77">
        <f t="shared" si="253"/>
        <v>4.9997781870025904E-3</v>
      </c>
      <c r="AR114" s="79">
        <v>0</v>
      </c>
      <c r="AS114" s="77">
        <f t="shared" si="208"/>
        <v>0</v>
      </c>
      <c r="AT114" s="77">
        <f t="shared" ref="AT114" si="315">1-(1-AS114)^(1/12)</f>
        <v>0</v>
      </c>
      <c r="AU114" s="77">
        <f t="shared" si="210"/>
        <v>2.5000000000000001E-3</v>
      </c>
      <c r="AV114" s="77">
        <f t="shared" ref="AV114" si="316">1-(1-AU114)^(1/12)</f>
        <v>2.0857243058891584E-4</v>
      </c>
      <c r="AX114" t="s">
        <v>178</v>
      </c>
      <c r="AY114" t="s">
        <v>160</v>
      </c>
      <c r="AZ114" s="197" t="str">
        <f t="shared" si="256"/>
        <v>DIS_Non-Standard_431</v>
      </c>
      <c r="BA114">
        <v>431</v>
      </c>
      <c r="BB114">
        <f>VLOOKUP($BA114,'[2]NonStandard DIS'!$Q$1:$X$542,2,FALSE)</f>
        <v>0</v>
      </c>
      <c r="BC114">
        <f>VLOOKUP($BA114,'[2]NonStandard DIS'!$Q$1:$X$542,3,FALSE)</f>
        <v>0</v>
      </c>
      <c r="BD114">
        <f>VLOOKUP($BA114,'[2]NonStandard DIS'!$Q$1:$X$542,4,FALSE)</f>
        <v>0.308</v>
      </c>
      <c r="BE114">
        <f>VLOOKUP($BA114,'[2]NonStandard DIS'!$Q$1:$X$542,5,FALSE)</f>
        <v>0.69199999999999995</v>
      </c>
      <c r="BF114">
        <f>VLOOKUP($BA114,'[2]NonStandard DIS'!$Q$1:$X$542,6,FALSE)</f>
        <v>0</v>
      </c>
      <c r="BG114">
        <f>VLOOKUP($BA114,'[2]NonStandard DIS'!$Q$1:$X$542,7,FALSE)</f>
        <v>0</v>
      </c>
      <c r="BH114">
        <f>VLOOKUP($BA114,'[2]NonStandard DIS'!$Q$1:$X$542,8,FALSE)</f>
        <v>0</v>
      </c>
      <c r="BI114" s="77">
        <f t="shared" si="199"/>
        <v>1</v>
      </c>
      <c r="BJ114" s="77">
        <f t="shared" si="200"/>
        <v>6.9728499999999985E-2</v>
      </c>
      <c r="BK114" s="77">
        <f t="shared" si="180"/>
        <v>5.632878498097682E-3</v>
      </c>
      <c r="BL114" s="79">
        <v>0</v>
      </c>
      <c r="BM114" s="77">
        <f t="shared" si="212"/>
        <v>0</v>
      </c>
      <c r="BN114" s="77">
        <f t="shared" si="213"/>
        <v>0</v>
      </c>
      <c r="BO114" s="77">
        <f t="shared" si="214"/>
        <v>5.6775999999999997E-3</v>
      </c>
      <c r="BP114" s="77">
        <f t="shared" si="215"/>
        <v>4.7190657760731725E-4</v>
      </c>
    </row>
    <row r="115" spans="1:68">
      <c r="A115" t="s">
        <v>175</v>
      </c>
      <c r="B115" t="s">
        <v>176</v>
      </c>
      <c r="C115" s="197" t="str">
        <f t="shared" si="248"/>
        <v>Lifecycle_Balanced_430</v>
      </c>
      <c r="D115">
        <v>430</v>
      </c>
      <c r="E115">
        <f>VLOOKUP($D115,'[2]LC Balanced'!$Q$2:$U$542,2,FALSE)</f>
        <v>0</v>
      </c>
      <c r="F115">
        <f>VLOOKUP($D115,'[2]LC Balanced'!$Q$2:$U$542,3,FALSE)</f>
        <v>0.14899999999999999</v>
      </c>
      <c r="G115">
        <f>VLOOKUP($D115,'[2]LC Balanced'!$Q$2:$U$542,4,FALSE)</f>
        <v>0.85099999999999998</v>
      </c>
      <c r="H115">
        <f>VLOOKUP($D115,'[2]LC Balanced'!$Q$2:$U$542,5,FALSE)</f>
        <v>0</v>
      </c>
      <c r="I115" s="77">
        <f t="shared" si="194"/>
        <v>1</v>
      </c>
      <c r="J115" s="77">
        <f t="shared" si="195"/>
        <v>6.1987699999999986E-2</v>
      </c>
      <c r="K115" s="77">
        <f t="shared" si="185"/>
        <v>5.024442123284345E-3</v>
      </c>
      <c r="L115" s="76">
        <v>0</v>
      </c>
      <c r="M115" s="77">
        <f t="shared" si="201"/>
        <v>0</v>
      </c>
      <c r="N115" s="77">
        <f t="shared" si="202"/>
        <v>0</v>
      </c>
      <c r="O115" s="77">
        <f t="shared" si="203"/>
        <v>7.0062999999999992E-3</v>
      </c>
      <c r="P115" s="77">
        <f t="shared" si="204"/>
        <v>5.85741666996209E-4</v>
      </c>
      <c r="R115" t="s">
        <v>177</v>
      </c>
      <c r="S115" t="s">
        <v>176</v>
      </c>
      <c r="T115" s="197" t="str">
        <f t="shared" si="296"/>
        <v>Autopilot_Balanced_430</v>
      </c>
      <c r="U115">
        <v>430</v>
      </c>
      <c r="V115">
        <f>VLOOKUP($U115,'[2]AP Balanced'!$Q$1:$T$542,2,FALSE)</f>
        <v>0.77777777777777779</v>
      </c>
      <c r="W115">
        <f>VLOOKUP($U115,'[2]AP Balanced'!$Q$1:$T$542,3,FALSE)</f>
        <v>0.22222222222222221</v>
      </c>
      <c r="X115">
        <f>VLOOKUP($U115,'[2]AP Balanced'!$Q$1:$T$542,4,FALSE)</f>
        <v>0</v>
      </c>
      <c r="Y115" s="77">
        <f t="shared" si="250"/>
        <v>1</v>
      </c>
      <c r="Z115" s="77">
        <f t="shared" si="297"/>
        <v>6.1674999999999987E-2</v>
      </c>
      <c r="AA115" s="77">
        <f t="shared" si="298"/>
        <v>4.9997781870025904E-3</v>
      </c>
      <c r="AB115" s="79">
        <v>1</v>
      </c>
      <c r="AC115" s="77">
        <f t="shared" si="205"/>
        <v>8.0555555555555554E-3</v>
      </c>
      <c r="AD115" s="77">
        <f t="shared" si="196"/>
        <v>6.7378764057135498E-4</v>
      </c>
      <c r="AE115" s="77">
        <f t="shared" si="206"/>
        <v>2.5000000000000001E-3</v>
      </c>
      <c r="AF115" s="77">
        <f t="shared" si="196"/>
        <v>2.0857243058891584E-4</v>
      </c>
      <c r="AH115" t="s">
        <v>175</v>
      </c>
      <c r="AI115" t="s">
        <v>176</v>
      </c>
      <c r="AJ115" s="197" t="str">
        <f t="shared" si="252"/>
        <v>Lifecycle_Balanced_430</v>
      </c>
      <c r="AK115">
        <v>430</v>
      </c>
      <c r="AL115">
        <f>VLOOKUP($U115,[2]Standard_Balanced!$Q$1:$T$542,2,FALSE)</f>
        <v>0.77777777777777779</v>
      </c>
      <c r="AM115">
        <f>VLOOKUP($U115,[2]Standard_Balanced!$Q$1:$T$542,3,FALSE)</f>
        <v>0.22222222222222221</v>
      </c>
      <c r="AN115">
        <f>VLOOKUP($U115,[2]Standard_Balanced!$Q$1:$T$542,4,FALSE)</f>
        <v>0</v>
      </c>
      <c r="AO115" s="77">
        <f t="shared" si="182"/>
        <v>1</v>
      </c>
      <c r="AP115" s="77">
        <f t="shared" si="207"/>
        <v>6.1674999999999987E-2</v>
      </c>
      <c r="AQ115" s="77">
        <f t="shared" si="253"/>
        <v>4.9997781870025904E-3</v>
      </c>
      <c r="AR115" s="79">
        <v>0</v>
      </c>
      <c r="AS115" s="77">
        <f t="shared" si="208"/>
        <v>0</v>
      </c>
      <c r="AT115" s="77">
        <f t="shared" ref="AT115" si="317">1-(1-AS115)^(1/12)</f>
        <v>0</v>
      </c>
      <c r="AU115" s="77">
        <f t="shared" si="210"/>
        <v>2.5000000000000001E-3</v>
      </c>
      <c r="AV115" s="77">
        <f t="shared" ref="AV115" si="318">1-(1-AU115)^(1/12)</f>
        <v>2.0857243058891584E-4</v>
      </c>
      <c r="AX115" t="s">
        <v>178</v>
      </c>
      <c r="AY115" t="s">
        <v>160</v>
      </c>
      <c r="AZ115" s="197" t="str">
        <f t="shared" si="256"/>
        <v>DIS_Non-Standard_430</v>
      </c>
      <c r="BA115">
        <v>430</v>
      </c>
      <c r="BB115">
        <f>VLOOKUP($BA115,'[2]NonStandard DIS'!$Q$1:$X$542,2,FALSE)</f>
        <v>0</v>
      </c>
      <c r="BC115">
        <f>VLOOKUP($BA115,'[2]NonStandard DIS'!$Q$1:$X$542,3,FALSE)</f>
        <v>0</v>
      </c>
      <c r="BD115">
        <f>VLOOKUP($BA115,'[2]NonStandard DIS'!$Q$1:$X$542,4,FALSE)</f>
        <v>0.308</v>
      </c>
      <c r="BE115">
        <f>VLOOKUP($BA115,'[2]NonStandard DIS'!$Q$1:$X$542,5,FALSE)</f>
        <v>0.69199999999999995</v>
      </c>
      <c r="BF115">
        <f>VLOOKUP($BA115,'[2]NonStandard DIS'!$Q$1:$X$542,6,FALSE)</f>
        <v>0</v>
      </c>
      <c r="BG115">
        <f>VLOOKUP($BA115,'[2]NonStandard DIS'!$Q$1:$X$542,7,FALSE)</f>
        <v>0</v>
      </c>
      <c r="BH115">
        <f>VLOOKUP($BA115,'[2]NonStandard DIS'!$Q$1:$X$542,8,FALSE)</f>
        <v>0</v>
      </c>
      <c r="BI115" s="77">
        <f t="shared" si="199"/>
        <v>1</v>
      </c>
      <c r="BJ115" s="77">
        <f t="shared" si="200"/>
        <v>6.9728499999999985E-2</v>
      </c>
      <c r="BK115" s="77">
        <f t="shared" si="180"/>
        <v>5.632878498097682E-3</v>
      </c>
      <c r="BL115" s="79">
        <v>0</v>
      </c>
      <c r="BM115" s="77">
        <f t="shared" si="212"/>
        <v>0</v>
      </c>
      <c r="BN115" s="77">
        <f t="shared" si="213"/>
        <v>0</v>
      </c>
      <c r="BO115" s="77">
        <f t="shared" si="214"/>
        <v>5.6775999999999997E-3</v>
      </c>
      <c r="BP115" s="77">
        <f t="shared" si="215"/>
        <v>4.7190657760731725E-4</v>
      </c>
    </row>
    <row r="116" spans="1:68">
      <c r="A116" t="s">
        <v>175</v>
      </c>
      <c r="B116" t="s">
        <v>176</v>
      </c>
      <c r="C116" s="197" t="str">
        <f t="shared" si="248"/>
        <v>Lifecycle_Balanced_429</v>
      </c>
      <c r="D116">
        <v>429</v>
      </c>
      <c r="E116">
        <f>VLOOKUP($D116,'[2]LC Balanced'!$Q$2:$U$542,2,FALSE)</f>
        <v>0</v>
      </c>
      <c r="F116">
        <f>VLOOKUP($D116,'[2]LC Balanced'!$Q$2:$U$542,3,FALSE)</f>
        <v>0.14899999999999999</v>
      </c>
      <c r="G116">
        <f>VLOOKUP($D116,'[2]LC Balanced'!$Q$2:$U$542,4,FALSE)</f>
        <v>0.85099999999999998</v>
      </c>
      <c r="H116">
        <f>VLOOKUP($D116,'[2]LC Balanced'!$Q$2:$U$542,5,FALSE)</f>
        <v>0</v>
      </c>
      <c r="I116" s="77">
        <f t="shared" si="194"/>
        <v>1</v>
      </c>
      <c r="J116" s="77">
        <f t="shared" si="195"/>
        <v>6.1987699999999986E-2</v>
      </c>
      <c r="K116" s="77">
        <f t="shared" si="185"/>
        <v>5.024442123284345E-3</v>
      </c>
      <c r="L116" s="76">
        <v>0</v>
      </c>
      <c r="M116" s="77">
        <f t="shared" si="201"/>
        <v>0</v>
      </c>
      <c r="N116" s="77">
        <f t="shared" si="202"/>
        <v>0</v>
      </c>
      <c r="O116" s="77">
        <f t="shared" si="203"/>
        <v>7.0062999999999992E-3</v>
      </c>
      <c r="P116" s="77">
        <f t="shared" si="204"/>
        <v>5.85741666996209E-4</v>
      </c>
      <c r="R116" t="s">
        <v>177</v>
      </c>
      <c r="S116" t="s">
        <v>176</v>
      </c>
      <c r="T116" s="197" t="str">
        <f t="shared" si="296"/>
        <v>Autopilot_Balanced_429</v>
      </c>
      <c r="U116">
        <v>429</v>
      </c>
      <c r="V116">
        <f>VLOOKUP($U116,'[2]AP Balanced'!$Q$1:$T$542,2,FALSE)</f>
        <v>0.77777777777777779</v>
      </c>
      <c r="W116">
        <f>VLOOKUP($U116,'[2]AP Balanced'!$Q$1:$T$542,3,FALSE)</f>
        <v>0.22222222222222221</v>
      </c>
      <c r="X116">
        <f>VLOOKUP($U116,'[2]AP Balanced'!$Q$1:$T$542,4,FALSE)</f>
        <v>0</v>
      </c>
      <c r="Y116" s="77">
        <f t="shared" si="250"/>
        <v>1</v>
      </c>
      <c r="Z116" s="77">
        <f t="shared" si="297"/>
        <v>6.1674999999999987E-2</v>
      </c>
      <c r="AA116" s="77">
        <f t="shared" si="298"/>
        <v>4.9997781870025904E-3</v>
      </c>
      <c r="AB116" s="79">
        <v>1</v>
      </c>
      <c r="AC116" s="77">
        <f t="shared" si="205"/>
        <v>8.0555555555555554E-3</v>
      </c>
      <c r="AD116" s="77">
        <f t="shared" si="196"/>
        <v>6.7378764057135498E-4</v>
      </c>
      <c r="AE116" s="77">
        <f t="shared" si="206"/>
        <v>2.5000000000000001E-3</v>
      </c>
      <c r="AF116" s="77">
        <f t="shared" si="196"/>
        <v>2.0857243058891584E-4</v>
      </c>
      <c r="AH116" t="s">
        <v>175</v>
      </c>
      <c r="AI116" t="s">
        <v>176</v>
      </c>
      <c r="AJ116" s="197" t="str">
        <f t="shared" si="252"/>
        <v>Lifecycle_Balanced_429</v>
      </c>
      <c r="AK116">
        <v>429</v>
      </c>
      <c r="AL116">
        <f>VLOOKUP($U116,[2]Standard_Balanced!$Q$1:$T$542,2,FALSE)</f>
        <v>0.77777777777777779</v>
      </c>
      <c r="AM116">
        <f>VLOOKUP($U116,[2]Standard_Balanced!$Q$1:$T$542,3,FALSE)</f>
        <v>0.22222222222222221</v>
      </c>
      <c r="AN116">
        <f>VLOOKUP($U116,[2]Standard_Balanced!$Q$1:$T$542,4,FALSE)</f>
        <v>0</v>
      </c>
      <c r="AO116" s="77">
        <f t="shared" si="182"/>
        <v>1</v>
      </c>
      <c r="AP116" s="77">
        <f t="shared" si="207"/>
        <v>6.1674999999999987E-2</v>
      </c>
      <c r="AQ116" s="77">
        <f t="shared" si="253"/>
        <v>4.9997781870025904E-3</v>
      </c>
      <c r="AR116" s="79">
        <v>0</v>
      </c>
      <c r="AS116" s="77">
        <f t="shared" si="208"/>
        <v>0</v>
      </c>
      <c r="AT116" s="77">
        <f t="shared" ref="AT116" si="319">1-(1-AS116)^(1/12)</f>
        <v>0</v>
      </c>
      <c r="AU116" s="77">
        <f t="shared" si="210"/>
        <v>2.5000000000000001E-3</v>
      </c>
      <c r="AV116" s="77">
        <f t="shared" ref="AV116" si="320">1-(1-AU116)^(1/12)</f>
        <v>2.0857243058891584E-4</v>
      </c>
      <c r="AX116" t="s">
        <v>178</v>
      </c>
      <c r="AY116" t="s">
        <v>160</v>
      </c>
      <c r="AZ116" s="197" t="str">
        <f t="shared" si="256"/>
        <v>DIS_Non-Standard_429</v>
      </c>
      <c r="BA116">
        <v>429</v>
      </c>
      <c r="BB116">
        <f>VLOOKUP($BA116,'[2]NonStandard DIS'!$Q$1:$X$542,2,FALSE)</f>
        <v>0</v>
      </c>
      <c r="BC116">
        <f>VLOOKUP($BA116,'[2]NonStandard DIS'!$Q$1:$X$542,3,FALSE)</f>
        <v>0</v>
      </c>
      <c r="BD116">
        <f>VLOOKUP($BA116,'[2]NonStandard DIS'!$Q$1:$X$542,4,FALSE)</f>
        <v>0.308</v>
      </c>
      <c r="BE116">
        <f>VLOOKUP($BA116,'[2]NonStandard DIS'!$Q$1:$X$542,5,FALSE)</f>
        <v>0.69199999999999995</v>
      </c>
      <c r="BF116">
        <f>VLOOKUP($BA116,'[2]NonStandard DIS'!$Q$1:$X$542,6,FALSE)</f>
        <v>0</v>
      </c>
      <c r="BG116">
        <f>VLOOKUP($BA116,'[2]NonStandard DIS'!$Q$1:$X$542,7,FALSE)</f>
        <v>0</v>
      </c>
      <c r="BH116">
        <f>VLOOKUP($BA116,'[2]NonStandard DIS'!$Q$1:$X$542,8,FALSE)</f>
        <v>0</v>
      </c>
      <c r="BI116" s="77">
        <f t="shared" si="199"/>
        <v>1</v>
      </c>
      <c r="BJ116" s="77">
        <f t="shared" si="200"/>
        <v>6.9728499999999985E-2</v>
      </c>
      <c r="BK116" s="77">
        <f t="shared" si="180"/>
        <v>5.632878498097682E-3</v>
      </c>
      <c r="BL116" s="79">
        <v>0</v>
      </c>
      <c r="BM116" s="77">
        <f t="shared" si="212"/>
        <v>0</v>
      </c>
      <c r="BN116" s="77">
        <f t="shared" si="213"/>
        <v>0</v>
      </c>
      <c r="BO116" s="77">
        <f t="shared" si="214"/>
        <v>5.6775999999999997E-3</v>
      </c>
      <c r="BP116" s="77">
        <f t="shared" si="215"/>
        <v>4.7190657760731725E-4</v>
      </c>
    </row>
    <row r="117" spans="1:68">
      <c r="A117" t="s">
        <v>175</v>
      </c>
      <c r="B117" t="s">
        <v>176</v>
      </c>
      <c r="C117" s="197" t="str">
        <f t="shared" si="248"/>
        <v>Lifecycle_Balanced_428</v>
      </c>
      <c r="D117">
        <v>428</v>
      </c>
      <c r="E117">
        <f>VLOOKUP($D117,'[2]LC Balanced'!$Q$2:$U$542,2,FALSE)</f>
        <v>0</v>
      </c>
      <c r="F117">
        <f>VLOOKUP($D117,'[2]LC Balanced'!$Q$2:$U$542,3,FALSE)</f>
        <v>0.14899999999999999</v>
      </c>
      <c r="G117">
        <f>VLOOKUP($D117,'[2]LC Balanced'!$Q$2:$U$542,4,FALSE)</f>
        <v>0.85099999999999998</v>
      </c>
      <c r="H117">
        <f>VLOOKUP($D117,'[2]LC Balanced'!$Q$2:$U$542,5,FALSE)</f>
        <v>0</v>
      </c>
      <c r="I117" s="77">
        <f t="shared" si="194"/>
        <v>1</v>
      </c>
      <c r="J117" s="77">
        <f t="shared" si="195"/>
        <v>6.1987699999999986E-2</v>
      </c>
      <c r="K117" s="77">
        <f t="shared" si="185"/>
        <v>5.024442123284345E-3</v>
      </c>
      <c r="L117" s="76">
        <v>0</v>
      </c>
      <c r="M117" s="77">
        <f t="shared" si="201"/>
        <v>0</v>
      </c>
      <c r="N117" s="77">
        <f t="shared" si="202"/>
        <v>0</v>
      </c>
      <c r="O117" s="77">
        <f t="shared" si="203"/>
        <v>7.0062999999999992E-3</v>
      </c>
      <c r="P117" s="77">
        <f t="shared" si="204"/>
        <v>5.85741666996209E-4</v>
      </c>
      <c r="R117" t="s">
        <v>177</v>
      </c>
      <c r="S117" t="s">
        <v>176</v>
      </c>
      <c r="T117" s="197" t="str">
        <f t="shared" si="296"/>
        <v>Autopilot_Balanced_428</v>
      </c>
      <c r="U117">
        <v>428</v>
      </c>
      <c r="V117">
        <f>VLOOKUP($U117,'[2]AP Balanced'!$Q$1:$T$542,2,FALSE)</f>
        <v>0.77777777777777779</v>
      </c>
      <c r="W117">
        <f>VLOOKUP($U117,'[2]AP Balanced'!$Q$1:$T$542,3,FALSE)</f>
        <v>0.22222222222222221</v>
      </c>
      <c r="X117">
        <f>VLOOKUP($U117,'[2]AP Balanced'!$Q$1:$T$542,4,FALSE)</f>
        <v>0</v>
      </c>
      <c r="Y117" s="77">
        <f t="shared" si="250"/>
        <v>1</v>
      </c>
      <c r="Z117" s="77">
        <f t="shared" si="297"/>
        <v>6.1674999999999987E-2</v>
      </c>
      <c r="AA117" s="77">
        <f t="shared" si="298"/>
        <v>4.9997781870025904E-3</v>
      </c>
      <c r="AB117" s="79">
        <v>1</v>
      </c>
      <c r="AC117" s="77">
        <f t="shared" si="205"/>
        <v>8.0555555555555554E-3</v>
      </c>
      <c r="AD117" s="77">
        <f t="shared" si="196"/>
        <v>6.7378764057135498E-4</v>
      </c>
      <c r="AE117" s="77">
        <f t="shared" si="206"/>
        <v>2.5000000000000001E-3</v>
      </c>
      <c r="AF117" s="77">
        <f t="shared" si="196"/>
        <v>2.0857243058891584E-4</v>
      </c>
      <c r="AH117" t="s">
        <v>175</v>
      </c>
      <c r="AI117" t="s">
        <v>176</v>
      </c>
      <c r="AJ117" s="197" t="str">
        <f t="shared" si="252"/>
        <v>Lifecycle_Balanced_428</v>
      </c>
      <c r="AK117">
        <v>428</v>
      </c>
      <c r="AL117">
        <f>VLOOKUP($U117,[2]Standard_Balanced!$Q$1:$T$542,2,FALSE)</f>
        <v>0.77777777777777779</v>
      </c>
      <c r="AM117">
        <f>VLOOKUP($U117,[2]Standard_Balanced!$Q$1:$T$542,3,FALSE)</f>
        <v>0.22222222222222221</v>
      </c>
      <c r="AN117">
        <f>VLOOKUP($U117,[2]Standard_Balanced!$Q$1:$T$542,4,FALSE)</f>
        <v>0</v>
      </c>
      <c r="AO117" s="77">
        <f t="shared" si="182"/>
        <v>1</v>
      </c>
      <c r="AP117" s="77">
        <f t="shared" si="207"/>
        <v>6.1674999999999987E-2</v>
      </c>
      <c r="AQ117" s="77">
        <f t="shared" si="253"/>
        <v>4.9997781870025904E-3</v>
      </c>
      <c r="AR117" s="79">
        <v>0</v>
      </c>
      <c r="AS117" s="77">
        <f t="shared" si="208"/>
        <v>0</v>
      </c>
      <c r="AT117" s="77">
        <f t="shared" ref="AT117" si="321">1-(1-AS117)^(1/12)</f>
        <v>0</v>
      </c>
      <c r="AU117" s="77">
        <f t="shared" si="210"/>
        <v>2.5000000000000001E-3</v>
      </c>
      <c r="AV117" s="77">
        <f t="shared" ref="AV117" si="322">1-(1-AU117)^(1/12)</f>
        <v>2.0857243058891584E-4</v>
      </c>
      <c r="AX117" t="s">
        <v>178</v>
      </c>
      <c r="AY117" t="s">
        <v>160</v>
      </c>
      <c r="AZ117" s="197" t="str">
        <f t="shared" si="256"/>
        <v>DIS_Non-Standard_428</v>
      </c>
      <c r="BA117">
        <v>428</v>
      </c>
      <c r="BB117">
        <f>VLOOKUP($BA117,'[2]NonStandard DIS'!$Q$1:$X$542,2,FALSE)</f>
        <v>0</v>
      </c>
      <c r="BC117">
        <f>VLOOKUP($BA117,'[2]NonStandard DIS'!$Q$1:$X$542,3,FALSE)</f>
        <v>0</v>
      </c>
      <c r="BD117">
        <f>VLOOKUP($BA117,'[2]NonStandard DIS'!$Q$1:$X$542,4,FALSE)</f>
        <v>0.308</v>
      </c>
      <c r="BE117">
        <f>VLOOKUP($BA117,'[2]NonStandard DIS'!$Q$1:$X$542,5,FALSE)</f>
        <v>0.69199999999999995</v>
      </c>
      <c r="BF117">
        <f>VLOOKUP($BA117,'[2]NonStandard DIS'!$Q$1:$X$542,6,FALSE)</f>
        <v>0</v>
      </c>
      <c r="BG117">
        <f>VLOOKUP($BA117,'[2]NonStandard DIS'!$Q$1:$X$542,7,FALSE)</f>
        <v>0</v>
      </c>
      <c r="BH117">
        <f>VLOOKUP($BA117,'[2]NonStandard DIS'!$Q$1:$X$542,8,FALSE)</f>
        <v>0</v>
      </c>
      <c r="BI117" s="77">
        <f t="shared" si="199"/>
        <v>1</v>
      </c>
      <c r="BJ117" s="77">
        <f t="shared" si="200"/>
        <v>6.9728499999999985E-2</v>
      </c>
      <c r="BK117" s="77">
        <f t="shared" si="180"/>
        <v>5.632878498097682E-3</v>
      </c>
      <c r="BL117" s="79">
        <v>0</v>
      </c>
      <c r="BM117" s="77">
        <f t="shared" si="212"/>
        <v>0</v>
      </c>
      <c r="BN117" s="77">
        <f t="shared" si="213"/>
        <v>0</v>
      </c>
      <c r="BO117" s="77">
        <f t="shared" si="214"/>
        <v>5.6775999999999997E-3</v>
      </c>
      <c r="BP117" s="77">
        <f t="shared" si="215"/>
        <v>4.7190657760731725E-4</v>
      </c>
    </row>
    <row r="118" spans="1:68">
      <c r="A118" t="s">
        <v>175</v>
      </c>
      <c r="B118" t="s">
        <v>176</v>
      </c>
      <c r="C118" s="197" t="str">
        <f t="shared" si="248"/>
        <v>Lifecycle_Balanced_427</v>
      </c>
      <c r="D118">
        <v>427</v>
      </c>
      <c r="E118">
        <f>VLOOKUP($D118,'[2]LC Balanced'!$Q$2:$U$542,2,FALSE)</f>
        <v>0</v>
      </c>
      <c r="F118">
        <f>VLOOKUP($D118,'[2]LC Balanced'!$Q$2:$U$542,3,FALSE)</f>
        <v>0.14899999999999999</v>
      </c>
      <c r="G118">
        <f>VLOOKUP($D118,'[2]LC Balanced'!$Q$2:$U$542,4,FALSE)</f>
        <v>0.85099999999999998</v>
      </c>
      <c r="H118">
        <f>VLOOKUP($D118,'[2]LC Balanced'!$Q$2:$U$542,5,FALSE)</f>
        <v>0</v>
      </c>
      <c r="I118" s="77">
        <f t="shared" si="194"/>
        <v>1</v>
      </c>
      <c r="J118" s="77">
        <f t="shared" si="195"/>
        <v>6.1987699999999986E-2</v>
      </c>
      <c r="K118" s="77">
        <f t="shared" si="185"/>
        <v>5.024442123284345E-3</v>
      </c>
      <c r="L118" s="76">
        <v>0</v>
      </c>
      <c r="M118" s="77">
        <f t="shared" si="201"/>
        <v>0</v>
      </c>
      <c r="N118" s="77">
        <f t="shared" si="202"/>
        <v>0</v>
      </c>
      <c r="O118" s="77">
        <f t="shared" si="203"/>
        <v>7.0062999999999992E-3</v>
      </c>
      <c r="P118" s="77">
        <f t="shared" si="204"/>
        <v>5.85741666996209E-4</v>
      </c>
      <c r="R118" t="s">
        <v>177</v>
      </c>
      <c r="S118" t="s">
        <v>176</v>
      </c>
      <c r="T118" s="197" t="str">
        <f t="shared" si="296"/>
        <v>Autopilot_Balanced_427</v>
      </c>
      <c r="U118">
        <v>427</v>
      </c>
      <c r="V118">
        <f>VLOOKUP($U118,'[2]AP Balanced'!$Q$1:$T$542,2,FALSE)</f>
        <v>0.77777777777777779</v>
      </c>
      <c r="W118">
        <f>VLOOKUP($U118,'[2]AP Balanced'!$Q$1:$T$542,3,FALSE)</f>
        <v>0.22222222222222221</v>
      </c>
      <c r="X118">
        <f>VLOOKUP($U118,'[2]AP Balanced'!$Q$1:$T$542,4,FALSE)</f>
        <v>0</v>
      </c>
      <c r="Y118" s="77">
        <f t="shared" si="250"/>
        <v>1</v>
      </c>
      <c r="Z118" s="77">
        <f t="shared" si="297"/>
        <v>6.1674999999999987E-2</v>
      </c>
      <c r="AA118" s="77">
        <f t="shared" si="298"/>
        <v>4.9997781870025904E-3</v>
      </c>
      <c r="AB118" s="79">
        <v>1</v>
      </c>
      <c r="AC118" s="77">
        <f t="shared" si="205"/>
        <v>8.0555555555555554E-3</v>
      </c>
      <c r="AD118" s="77">
        <f t="shared" si="196"/>
        <v>6.7378764057135498E-4</v>
      </c>
      <c r="AE118" s="77">
        <f t="shared" si="206"/>
        <v>2.5000000000000001E-3</v>
      </c>
      <c r="AF118" s="77">
        <f t="shared" si="196"/>
        <v>2.0857243058891584E-4</v>
      </c>
      <c r="AH118" t="s">
        <v>175</v>
      </c>
      <c r="AI118" t="s">
        <v>176</v>
      </c>
      <c r="AJ118" s="197" t="str">
        <f t="shared" si="252"/>
        <v>Lifecycle_Balanced_427</v>
      </c>
      <c r="AK118">
        <v>427</v>
      </c>
      <c r="AL118">
        <f>VLOOKUP($U118,[2]Standard_Balanced!$Q$1:$T$542,2,FALSE)</f>
        <v>0.77777777777777779</v>
      </c>
      <c r="AM118">
        <f>VLOOKUP($U118,[2]Standard_Balanced!$Q$1:$T$542,3,FALSE)</f>
        <v>0.22222222222222221</v>
      </c>
      <c r="AN118">
        <f>VLOOKUP($U118,[2]Standard_Balanced!$Q$1:$T$542,4,FALSE)</f>
        <v>0</v>
      </c>
      <c r="AO118" s="77">
        <f t="shared" si="182"/>
        <v>1</v>
      </c>
      <c r="AP118" s="77">
        <f t="shared" si="207"/>
        <v>6.1674999999999987E-2</v>
      </c>
      <c r="AQ118" s="77">
        <f t="shared" si="253"/>
        <v>4.9997781870025904E-3</v>
      </c>
      <c r="AR118" s="79">
        <v>0</v>
      </c>
      <c r="AS118" s="77">
        <f t="shared" si="208"/>
        <v>0</v>
      </c>
      <c r="AT118" s="77">
        <f t="shared" ref="AT118" si="323">1-(1-AS118)^(1/12)</f>
        <v>0</v>
      </c>
      <c r="AU118" s="77">
        <f t="shared" si="210"/>
        <v>2.5000000000000001E-3</v>
      </c>
      <c r="AV118" s="77">
        <f t="shared" ref="AV118" si="324">1-(1-AU118)^(1/12)</f>
        <v>2.0857243058891584E-4</v>
      </c>
      <c r="AX118" t="s">
        <v>178</v>
      </c>
      <c r="AY118" t="s">
        <v>160</v>
      </c>
      <c r="AZ118" s="197" t="str">
        <f t="shared" si="256"/>
        <v>DIS_Non-Standard_427</v>
      </c>
      <c r="BA118">
        <v>427</v>
      </c>
      <c r="BB118">
        <f>VLOOKUP($BA118,'[2]NonStandard DIS'!$Q$1:$X$542,2,FALSE)</f>
        <v>0</v>
      </c>
      <c r="BC118">
        <f>VLOOKUP($BA118,'[2]NonStandard DIS'!$Q$1:$X$542,3,FALSE)</f>
        <v>0</v>
      </c>
      <c r="BD118">
        <f>VLOOKUP($BA118,'[2]NonStandard DIS'!$Q$1:$X$542,4,FALSE)</f>
        <v>0.308</v>
      </c>
      <c r="BE118">
        <f>VLOOKUP($BA118,'[2]NonStandard DIS'!$Q$1:$X$542,5,FALSE)</f>
        <v>0.69199999999999995</v>
      </c>
      <c r="BF118">
        <f>VLOOKUP($BA118,'[2]NonStandard DIS'!$Q$1:$X$542,6,FALSE)</f>
        <v>0</v>
      </c>
      <c r="BG118">
        <f>VLOOKUP($BA118,'[2]NonStandard DIS'!$Q$1:$X$542,7,FALSE)</f>
        <v>0</v>
      </c>
      <c r="BH118">
        <f>VLOOKUP($BA118,'[2]NonStandard DIS'!$Q$1:$X$542,8,FALSE)</f>
        <v>0</v>
      </c>
      <c r="BI118" s="77">
        <f t="shared" si="199"/>
        <v>1</v>
      </c>
      <c r="BJ118" s="77">
        <f t="shared" si="200"/>
        <v>6.9728499999999985E-2</v>
      </c>
      <c r="BK118" s="77">
        <f t="shared" si="180"/>
        <v>5.632878498097682E-3</v>
      </c>
      <c r="BL118" s="79">
        <v>0</v>
      </c>
      <c r="BM118" s="77">
        <f t="shared" si="212"/>
        <v>0</v>
      </c>
      <c r="BN118" s="77">
        <f t="shared" si="213"/>
        <v>0</v>
      </c>
      <c r="BO118" s="77">
        <f t="shared" si="214"/>
        <v>5.6775999999999997E-3</v>
      </c>
      <c r="BP118" s="77">
        <f t="shared" si="215"/>
        <v>4.7190657760731725E-4</v>
      </c>
    </row>
    <row r="119" spans="1:68">
      <c r="A119" t="s">
        <v>175</v>
      </c>
      <c r="B119" t="s">
        <v>176</v>
      </c>
      <c r="C119" s="197" t="str">
        <f t="shared" si="248"/>
        <v>Lifecycle_Balanced_426</v>
      </c>
      <c r="D119">
        <v>426</v>
      </c>
      <c r="E119">
        <f>VLOOKUP($D119,'[2]LC Balanced'!$Q$2:$U$542,2,FALSE)</f>
        <v>0</v>
      </c>
      <c r="F119">
        <f>VLOOKUP($D119,'[2]LC Balanced'!$Q$2:$U$542,3,FALSE)</f>
        <v>0.14899999999999999</v>
      </c>
      <c r="G119">
        <f>VLOOKUP($D119,'[2]LC Balanced'!$Q$2:$U$542,4,FALSE)</f>
        <v>0.85099999999999998</v>
      </c>
      <c r="H119">
        <f>VLOOKUP($D119,'[2]LC Balanced'!$Q$2:$U$542,5,FALSE)</f>
        <v>0</v>
      </c>
      <c r="I119" s="77">
        <f t="shared" si="194"/>
        <v>1</v>
      </c>
      <c r="J119" s="77">
        <f t="shared" si="195"/>
        <v>6.1987699999999986E-2</v>
      </c>
      <c r="K119" s="77">
        <f t="shared" si="185"/>
        <v>5.024442123284345E-3</v>
      </c>
      <c r="L119" s="76">
        <v>0</v>
      </c>
      <c r="M119" s="77">
        <f t="shared" si="201"/>
        <v>0</v>
      </c>
      <c r="N119" s="77">
        <f t="shared" si="202"/>
        <v>0</v>
      </c>
      <c r="O119" s="77">
        <f t="shared" si="203"/>
        <v>7.0062999999999992E-3</v>
      </c>
      <c r="P119" s="77">
        <f t="shared" si="204"/>
        <v>5.85741666996209E-4</v>
      </c>
      <c r="R119" t="s">
        <v>177</v>
      </c>
      <c r="S119" t="s">
        <v>176</v>
      </c>
      <c r="T119" s="197" t="str">
        <f t="shared" si="296"/>
        <v>Autopilot_Balanced_426</v>
      </c>
      <c r="U119">
        <v>426</v>
      </c>
      <c r="V119">
        <f>VLOOKUP($U119,'[2]AP Balanced'!$Q$1:$T$542,2,FALSE)</f>
        <v>0.77777777777777779</v>
      </c>
      <c r="W119">
        <f>VLOOKUP($U119,'[2]AP Balanced'!$Q$1:$T$542,3,FALSE)</f>
        <v>0.22222222222222221</v>
      </c>
      <c r="X119">
        <f>VLOOKUP($U119,'[2]AP Balanced'!$Q$1:$T$542,4,FALSE)</f>
        <v>0</v>
      </c>
      <c r="Y119" s="77">
        <f t="shared" si="250"/>
        <v>1</v>
      </c>
      <c r="Z119" s="77">
        <f t="shared" si="297"/>
        <v>6.1674999999999987E-2</v>
      </c>
      <c r="AA119" s="77">
        <f t="shared" si="298"/>
        <v>4.9997781870025904E-3</v>
      </c>
      <c r="AB119" s="79">
        <v>1</v>
      </c>
      <c r="AC119" s="77">
        <f t="shared" si="205"/>
        <v>8.0555555555555554E-3</v>
      </c>
      <c r="AD119" s="77">
        <f t="shared" si="196"/>
        <v>6.7378764057135498E-4</v>
      </c>
      <c r="AE119" s="77">
        <f t="shared" si="206"/>
        <v>2.5000000000000001E-3</v>
      </c>
      <c r="AF119" s="77">
        <f t="shared" si="196"/>
        <v>2.0857243058891584E-4</v>
      </c>
      <c r="AH119" t="s">
        <v>175</v>
      </c>
      <c r="AI119" t="s">
        <v>176</v>
      </c>
      <c r="AJ119" s="197" t="str">
        <f t="shared" si="252"/>
        <v>Lifecycle_Balanced_426</v>
      </c>
      <c r="AK119">
        <v>426</v>
      </c>
      <c r="AL119">
        <f>VLOOKUP($U119,[2]Standard_Balanced!$Q$1:$T$542,2,FALSE)</f>
        <v>0.77777777777777779</v>
      </c>
      <c r="AM119">
        <f>VLOOKUP($U119,[2]Standard_Balanced!$Q$1:$T$542,3,FALSE)</f>
        <v>0.22222222222222221</v>
      </c>
      <c r="AN119">
        <f>VLOOKUP($U119,[2]Standard_Balanced!$Q$1:$T$542,4,FALSE)</f>
        <v>0</v>
      </c>
      <c r="AO119" s="77">
        <f t="shared" si="182"/>
        <v>1</v>
      </c>
      <c r="AP119" s="77">
        <f t="shared" si="207"/>
        <v>6.1674999999999987E-2</v>
      </c>
      <c r="AQ119" s="77">
        <f t="shared" si="253"/>
        <v>4.9997781870025904E-3</v>
      </c>
      <c r="AR119" s="79">
        <v>0</v>
      </c>
      <c r="AS119" s="77">
        <f t="shared" si="208"/>
        <v>0</v>
      </c>
      <c r="AT119" s="77">
        <f t="shared" ref="AT119" si="325">1-(1-AS119)^(1/12)</f>
        <v>0</v>
      </c>
      <c r="AU119" s="77">
        <f t="shared" si="210"/>
        <v>2.5000000000000001E-3</v>
      </c>
      <c r="AV119" s="77">
        <f t="shared" ref="AV119" si="326">1-(1-AU119)^(1/12)</f>
        <v>2.0857243058891584E-4</v>
      </c>
      <c r="AX119" t="s">
        <v>178</v>
      </c>
      <c r="AY119" t="s">
        <v>160</v>
      </c>
      <c r="AZ119" s="197" t="str">
        <f t="shared" si="256"/>
        <v>DIS_Non-Standard_426</v>
      </c>
      <c r="BA119">
        <v>426</v>
      </c>
      <c r="BB119">
        <f>VLOOKUP($BA119,'[2]NonStandard DIS'!$Q$1:$X$542,2,FALSE)</f>
        <v>0</v>
      </c>
      <c r="BC119">
        <f>VLOOKUP($BA119,'[2]NonStandard DIS'!$Q$1:$X$542,3,FALSE)</f>
        <v>0</v>
      </c>
      <c r="BD119">
        <f>VLOOKUP($BA119,'[2]NonStandard DIS'!$Q$1:$X$542,4,FALSE)</f>
        <v>0.308</v>
      </c>
      <c r="BE119">
        <f>VLOOKUP($BA119,'[2]NonStandard DIS'!$Q$1:$X$542,5,FALSE)</f>
        <v>0.69199999999999995</v>
      </c>
      <c r="BF119">
        <f>VLOOKUP($BA119,'[2]NonStandard DIS'!$Q$1:$X$542,6,FALSE)</f>
        <v>0</v>
      </c>
      <c r="BG119">
        <f>VLOOKUP($BA119,'[2]NonStandard DIS'!$Q$1:$X$542,7,FALSE)</f>
        <v>0</v>
      </c>
      <c r="BH119">
        <f>VLOOKUP($BA119,'[2]NonStandard DIS'!$Q$1:$X$542,8,FALSE)</f>
        <v>0</v>
      </c>
      <c r="BI119" s="77">
        <f t="shared" si="199"/>
        <v>1</v>
      </c>
      <c r="BJ119" s="77">
        <f t="shared" si="200"/>
        <v>6.9728499999999985E-2</v>
      </c>
      <c r="BK119" s="77">
        <f t="shared" si="180"/>
        <v>5.632878498097682E-3</v>
      </c>
      <c r="BL119" s="79">
        <v>0</v>
      </c>
      <c r="BM119" s="77">
        <f t="shared" si="212"/>
        <v>0</v>
      </c>
      <c r="BN119" s="77">
        <f t="shared" si="213"/>
        <v>0</v>
      </c>
      <c r="BO119" s="77">
        <f t="shared" si="214"/>
        <v>5.6775999999999997E-3</v>
      </c>
      <c r="BP119" s="77">
        <f t="shared" si="215"/>
        <v>4.7190657760731725E-4</v>
      </c>
    </row>
    <row r="120" spans="1:68">
      <c r="A120" t="s">
        <v>175</v>
      </c>
      <c r="B120" t="s">
        <v>176</v>
      </c>
      <c r="C120" s="197" t="str">
        <f t="shared" si="248"/>
        <v>Lifecycle_Balanced_425</v>
      </c>
      <c r="D120">
        <v>425</v>
      </c>
      <c r="E120">
        <f>VLOOKUP($D120,'[2]LC Balanced'!$Q$2:$U$542,2,FALSE)</f>
        <v>0</v>
      </c>
      <c r="F120">
        <f>VLOOKUP($D120,'[2]LC Balanced'!$Q$2:$U$542,3,FALSE)</f>
        <v>0.14899999999999999</v>
      </c>
      <c r="G120">
        <f>VLOOKUP($D120,'[2]LC Balanced'!$Q$2:$U$542,4,FALSE)</f>
        <v>0.85099999999999998</v>
      </c>
      <c r="H120">
        <f>VLOOKUP($D120,'[2]LC Balanced'!$Q$2:$U$542,5,FALSE)</f>
        <v>0</v>
      </c>
      <c r="I120" s="77">
        <f t="shared" si="194"/>
        <v>1</v>
      </c>
      <c r="J120" s="77">
        <f t="shared" si="195"/>
        <v>6.1987699999999986E-2</v>
      </c>
      <c r="K120" s="77">
        <f t="shared" si="185"/>
        <v>5.024442123284345E-3</v>
      </c>
      <c r="L120" s="76">
        <v>0</v>
      </c>
      <c r="M120" s="77">
        <f t="shared" si="201"/>
        <v>0</v>
      </c>
      <c r="N120" s="77">
        <f t="shared" si="202"/>
        <v>0</v>
      </c>
      <c r="O120" s="77">
        <f t="shared" si="203"/>
        <v>7.0062999999999992E-3</v>
      </c>
      <c r="P120" s="77">
        <f t="shared" si="204"/>
        <v>5.85741666996209E-4</v>
      </c>
      <c r="R120" t="s">
        <v>177</v>
      </c>
      <c r="S120" t="s">
        <v>176</v>
      </c>
      <c r="T120" s="197" t="str">
        <f t="shared" si="296"/>
        <v>Autopilot_Balanced_425</v>
      </c>
      <c r="U120">
        <v>425</v>
      </c>
      <c r="V120">
        <f>VLOOKUP($U120,'[2]AP Balanced'!$Q$1:$T$542,2,FALSE)</f>
        <v>0.77777777777777779</v>
      </c>
      <c r="W120">
        <f>VLOOKUP($U120,'[2]AP Balanced'!$Q$1:$T$542,3,FALSE)</f>
        <v>0.22222222222222221</v>
      </c>
      <c r="X120">
        <f>VLOOKUP($U120,'[2]AP Balanced'!$Q$1:$T$542,4,FALSE)</f>
        <v>0</v>
      </c>
      <c r="Y120" s="77">
        <f t="shared" si="250"/>
        <v>1</v>
      </c>
      <c r="Z120" s="77">
        <f t="shared" si="297"/>
        <v>6.1674999999999987E-2</v>
      </c>
      <c r="AA120" s="77">
        <f t="shared" si="298"/>
        <v>4.9997781870025904E-3</v>
      </c>
      <c r="AB120" s="79">
        <v>1</v>
      </c>
      <c r="AC120" s="77">
        <f t="shared" si="205"/>
        <v>8.0555555555555554E-3</v>
      </c>
      <c r="AD120" s="77">
        <f t="shared" si="196"/>
        <v>6.7378764057135498E-4</v>
      </c>
      <c r="AE120" s="77">
        <f t="shared" si="206"/>
        <v>2.5000000000000001E-3</v>
      </c>
      <c r="AF120" s="77">
        <f t="shared" si="196"/>
        <v>2.0857243058891584E-4</v>
      </c>
      <c r="AH120" t="s">
        <v>175</v>
      </c>
      <c r="AI120" t="s">
        <v>176</v>
      </c>
      <c r="AJ120" s="197" t="str">
        <f t="shared" si="252"/>
        <v>Lifecycle_Balanced_425</v>
      </c>
      <c r="AK120">
        <v>425</v>
      </c>
      <c r="AL120">
        <f>VLOOKUP($U120,[2]Standard_Balanced!$Q$1:$T$542,2,FALSE)</f>
        <v>0.77777777777777779</v>
      </c>
      <c r="AM120">
        <f>VLOOKUP($U120,[2]Standard_Balanced!$Q$1:$T$542,3,FALSE)</f>
        <v>0.22222222222222221</v>
      </c>
      <c r="AN120">
        <f>VLOOKUP($U120,[2]Standard_Balanced!$Q$1:$T$542,4,FALSE)</f>
        <v>0</v>
      </c>
      <c r="AO120" s="77">
        <f t="shared" si="182"/>
        <v>1</v>
      </c>
      <c r="AP120" s="77">
        <f t="shared" si="207"/>
        <v>6.1674999999999987E-2</v>
      </c>
      <c r="AQ120" s="77">
        <f t="shared" si="253"/>
        <v>4.9997781870025904E-3</v>
      </c>
      <c r="AR120" s="79">
        <v>0</v>
      </c>
      <c r="AS120" s="77">
        <f t="shared" si="208"/>
        <v>0</v>
      </c>
      <c r="AT120" s="77">
        <f t="shared" ref="AT120" si="327">1-(1-AS120)^(1/12)</f>
        <v>0</v>
      </c>
      <c r="AU120" s="77">
        <f t="shared" si="210"/>
        <v>2.5000000000000001E-3</v>
      </c>
      <c r="AV120" s="77">
        <f t="shared" ref="AV120" si="328">1-(1-AU120)^(1/12)</f>
        <v>2.0857243058891584E-4</v>
      </c>
      <c r="AX120" t="s">
        <v>178</v>
      </c>
      <c r="AY120" t="s">
        <v>160</v>
      </c>
      <c r="AZ120" s="197" t="str">
        <f t="shared" si="256"/>
        <v>DIS_Non-Standard_425</v>
      </c>
      <c r="BA120">
        <v>425</v>
      </c>
      <c r="BB120">
        <f>VLOOKUP($BA120,'[2]NonStandard DIS'!$Q$1:$X$542,2,FALSE)</f>
        <v>0</v>
      </c>
      <c r="BC120">
        <f>VLOOKUP($BA120,'[2]NonStandard DIS'!$Q$1:$X$542,3,FALSE)</f>
        <v>0</v>
      </c>
      <c r="BD120">
        <f>VLOOKUP($BA120,'[2]NonStandard DIS'!$Q$1:$X$542,4,FALSE)</f>
        <v>0.308</v>
      </c>
      <c r="BE120">
        <f>VLOOKUP($BA120,'[2]NonStandard DIS'!$Q$1:$X$542,5,FALSE)</f>
        <v>0.69199999999999995</v>
      </c>
      <c r="BF120">
        <f>VLOOKUP($BA120,'[2]NonStandard DIS'!$Q$1:$X$542,6,FALSE)</f>
        <v>0</v>
      </c>
      <c r="BG120">
        <f>VLOOKUP($BA120,'[2]NonStandard DIS'!$Q$1:$X$542,7,FALSE)</f>
        <v>0</v>
      </c>
      <c r="BH120">
        <f>VLOOKUP($BA120,'[2]NonStandard DIS'!$Q$1:$X$542,8,FALSE)</f>
        <v>0</v>
      </c>
      <c r="BI120" s="77">
        <f t="shared" si="199"/>
        <v>1</v>
      </c>
      <c r="BJ120" s="77">
        <f t="shared" si="200"/>
        <v>6.9728499999999985E-2</v>
      </c>
      <c r="BK120" s="77">
        <f t="shared" si="180"/>
        <v>5.632878498097682E-3</v>
      </c>
      <c r="BL120" s="79">
        <v>0</v>
      </c>
      <c r="BM120" s="77">
        <f t="shared" si="212"/>
        <v>0</v>
      </c>
      <c r="BN120" s="77">
        <f t="shared" si="213"/>
        <v>0</v>
      </c>
      <c r="BO120" s="77">
        <f t="shared" si="214"/>
        <v>5.6775999999999997E-3</v>
      </c>
      <c r="BP120" s="77">
        <f t="shared" si="215"/>
        <v>4.7190657760731725E-4</v>
      </c>
    </row>
    <row r="121" spans="1:68">
      <c r="A121" t="s">
        <v>175</v>
      </c>
      <c r="B121" t="s">
        <v>176</v>
      </c>
      <c r="C121" s="197" t="str">
        <f t="shared" si="248"/>
        <v>Lifecycle_Balanced_424</v>
      </c>
      <c r="D121">
        <v>424</v>
      </c>
      <c r="E121">
        <f>VLOOKUP($D121,'[2]LC Balanced'!$Q$2:$U$542,2,FALSE)</f>
        <v>0</v>
      </c>
      <c r="F121">
        <f>VLOOKUP($D121,'[2]LC Balanced'!$Q$2:$U$542,3,FALSE)</f>
        <v>0.14899999999999999</v>
      </c>
      <c r="G121">
        <f>VLOOKUP($D121,'[2]LC Balanced'!$Q$2:$U$542,4,FALSE)</f>
        <v>0.85099999999999998</v>
      </c>
      <c r="H121">
        <f>VLOOKUP($D121,'[2]LC Balanced'!$Q$2:$U$542,5,FALSE)</f>
        <v>0</v>
      </c>
      <c r="I121" s="77">
        <f t="shared" si="194"/>
        <v>1</v>
      </c>
      <c r="J121" s="77">
        <f t="shared" si="195"/>
        <v>6.1987699999999986E-2</v>
      </c>
      <c r="K121" s="77">
        <f t="shared" si="185"/>
        <v>5.024442123284345E-3</v>
      </c>
      <c r="L121" s="76">
        <v>0</v>
      </c>
      <c r="M121" s="77">
        <f t="shared" si="201"/>
        <v>0</v>
      </c>
      <c r="N121" s="77">
        <f t="shared" si="202"/>
        <v>0</v>
      </c>
      <c r="O121" s="77">
        <f t="shared" si="203"/>
        <v>7.0062999999999992E-3</v>
      </c>
      <c r="P121" s="77">
        <f t="shared" si="204"/>
        <v>5.85741666996209E-4</v>
      </c>
      <c r="R121" t="s">
        <v>177</v>
      </c>
      <c r="S121" t="s">
        <v>176</v>
      </c>
      <c r="T121" s="197" t="str">
        <f t="shared" si="296"/>
        <v>Autopilot_Balanced_424</v>
      </c>
      <c r="U121">
        <v>424</v>
      </c>
      <c r="V121">
        <f>VLOOKUP($U121,'[2]AP Balanced'!$Q$1:$T$542,2,FALSE)</f>
        <v>0.77777777777777779</v>
      </c>
      <c r="W121">
        <f>VLOOKUP($U121,'[2]AP Balanced'!$Q$1:$T$542,3,FALSE)</f>
        <v>0.22222222222222221</v>
      </c>
      <c r="X121">
        <f>VLOOKUP($U121,'[2]AP Balanced'!$Q$1:$T$542,4,FALSE)</f>
        <v>0</v>
      </c>
      <c r="Y121" s="77">
        <f t="shared" si="250"/>
        <v>1</v>
      </c>
      <c r="Z121" s="77">
        <f t="shared" si="297"/>
        <v>6.1674999999999987E-2</v>
      </c>
      <c r="AA121" s="77">
        <f t="shared" si="298"/>
        <v>4.9997781870025904E-3</v>
      </c>
      <c r="AB121" s="79">
        <v>1</v>
      </c>
      <c r="AC121" s="77">
        <f t="shared" si="205"/>
        <v>8.0555555555555554E-3</v>
      </c>
      <c r="AD121" s="77">
        <f t="shared" si="196"/>
        <v>6.7378764057135498E-4</v>
      </c>
      <c r="AE121" s="77">
        <f t="shared" si="206"/>
        <v>2.5000000000000001E-3</v>
      </c>
      <c r="AF121" s="77">
        <f t="shared" si="196"/>
        <v>2.0857243058891584E-4</v>
      </c>
      <c r="AH121" t="s">
        <v>175</v>
      </c>
      <c r="AI121" t="s">
        <v>176</v>
      </c>
      <c r="AJ121" s="197" t="str">
        <f t="shared" si="252"/>
        <v>Lifecycle_Balanced_424</v>
      </c>
      <c r="AK121">
        <v>424</v>
      </c>
      <c r="AL121">
        <f>VLOOKUP($U121,[2]Standard_Balanced!$Q$1:$T$542,2,FALSE)</f>
        <v>0.77777777777777779</v>
      </c>
      <c r="AM121">
        <f>VLOOKUP($U121,[2]Standard_Balanced!$Q$1:$T$542,3,FALSE)</f>
        <v>0.22222222222222221</v>
      </c>
      <c r="AN121">
        <f>VLOOKUP($U121,[2]Standard_Balanced!$Q$1:$T$542,4,FALSE)</f>
        <v>0</v>
      </c>
      <c r="AO121" s="77">
        <f t="shared" si="182"/>
        <v>1</v>
      </c>
      <c r="AP121" s="77">
        <f t="shared" si="207"/>
        <v>6.1674999999999987E-2</v>
      </c>
      <c r="AQ121" s="77">
        <f t="shared" si="253"/>
        <v>4.9997781870025904E-3</v>
      </c>
      <c r="AR121" s="79">
        <v>0</v>
      </c>
      <c r="AS121" s="77">
        <f t="shared" si="208"/>
        <v>0</v>
      </c>
      <c r="AT121" s="77">
        <f t="shared" ref="AT121" si="329">1-(1-AS121)^(1/12)</f>
        <v>0</v>
      </c>
      <c r="AU121" s="77">
        <f t="shared" si="210"/>
        <v>2.5000000000000001E-3</v>
      </c>
      <c r="AV121" s="77">
        <f t="shared" ref="AV121" si="330">1-(1-AU121)^(1/12)</f>
        <v>2.0857243058891584E-4</v>
      </c>
      <c r="AX121" t="s">
        <v>178</v>
      </c>
      <c r="AY121" t="s">
        <v>160</v>
      </c>
      <c r="AZ121" s="197" t="str">
        <f t="shared" si="256"/>
        <v>DIS_Non-Standard_424</v>
      </c>
      <c r="BA121">
        <v>424</v>
      </c>
      <c r="BB121">
        <f>VLOOKUP($BA121,'[2]NonStandard DIS'!$Q$1:$X$542,2,FALSE)</f>
        <v>0</v>
      </c>
      <c r="BC121">
        <f>VLOOKUP($BA121,'[2]NonStandard DIS'!$Q$1:$X$542,3,FALSE)</f>
        <v>0</v>
      </c>
      <c r="BD121">
        <f>VLOOKUP($BA121,'[2]NonStandard DIS'!$Q$1:$X$542,4,FALSE)</f>
        <v>0.308</v>
      </c>
      <c r="BE121">
        <f>VLOOKUP($BA121,'[2]NonStandard DIS'!$Q$1:$X$542,5,FALSE)</f>
        <v>0.69199999999999995</v>
      </c>
      <c r="BF121">
        <f>VLOOKUP($BA121,'[2]NonStandard DIS'!$Q$1:$X$542,6,FALSE)</f>
        <v>0</v>
      </c>
      <c r="BG121">
        <f>VLOOKUP($BA121,'[2]NonStandard DIS'!$Q$1:$X$542,7,FALSE)</f>
        <v>0</v>
      </c>
      <c r="BH121">
        <f>VLOOKUP($BA121,'[2]NonStandard DIS'!$Q$1:$X$542,8,FALSE)</f>
        <v>0</v>
      </c>
      <c r="BI121" s="77">
        <f t="shared" si="199"/>
        <v>1</v>
      </c>
      <c r="BJ121" s="77">
        <f t="shared" si="200"/>
        <v>6.9728499999999985E-2</v>
      </c>
      <c r="BK121" s="77">
        <f t="shared" si="180"/>
        <v>5.632878498097682E-3</v>
      </c>
      <c r="BL121" s="79">
        <v>0</v>
      </c>
      <c r="BM121" s="77">
        <f t="shared" si="212"/>
        <v>0</v>
      </c>
      <c r="BN121" s="77">
        <f t="shared" si="213"/>
        <v>0</v>
      </c>
      <c r="BO121" s="77">
        <f t="shared" si="214"/>
        <v>5.6775999999999997E-3</v>
      </c>
      <c r="BP121" s="77">
        <f t="shared" si="215"/>
        <v>4.7190657760731725E-4</v>
      </c>
    </row>
    <row r="122" spans="1:68">
      <c r="A122" t="s">
        <v>175</v>
      </c>
      <c r="B122" t="s">
        <v>176</v>
      </c>
      <c r="C122" s="197" t="str">
        <f t="shared" si="248"/>
        <v>Lifecycle_Balanced_423</v>
      </c>
      <c r="D122">
        <v>423</v>
      </c>
      <c r="E122">
        <f>VLOOKUP($D122,'[2]LC Balanced'!$Q$2:$U$542,2,FALSE)</f>
        <v>0</v>
      </c>
      <c r="F122">
        <f>VLOOKUP($D122,'[2]LC Balanced'!$Q$2:$U$542,3,FALSE)</f>
        <v>0.14899999999999999</v>
      </c>
      <c r="G122">
        <f>VLOOKUP($D122,'[2]LC Balanced'!$Q$2:$U$542,4,FALSE)</f>
        <v>0.85099999999999998</v>
      </c>
      <c r="H122">
        <f>VLOOKUP($D122,'[2]LC Balanced'!$Q$2:$U$542,5,FALSE)</f>
        <v>0</v>
      </c>
      <c r="I122" s="77">
        <f t="shared" si="194"/>
        <v>1</v>
      </c>
      <c r="J122" s="77">
        <f t="shared" si="195"/>
        <v>6.1987699999999986E-2</v>
      </c>
      <c r="K122" s="77">
        <f t="shared" si="185"/>
        <v>5.024442123284345E-3</v>
      </c>
      <c r="L122" s="76">
        <v>0</v>
      </c>
      <c r="M122" s="77">
        <f t="shared" si="201"/>
        <v>0</v>
      </c>
      <c r="N122" s="77">
        <f t="shared" si="202"/>
        <v>0</v>
      </c>
      <c r="O122" s="77">
        <f t="shared" si="203"/>
        <v>7.0062999999999992E-3</v>
      </c>
      <c r="P122" s="77">
        <f t="shared" si="204"/>
        <v>5.85741666996209E-4</v>
      </c>
      <c r="R122" t="s">
        <v>177</v>
      </c>
      <c r="S122" t="s">
        <v>176</v>
      </c>
      <c r="T122" s="197" t="str">
        <f t="shared" si="296"/>
        <v>Autopilot_Balanced_423</v>
      </c>
      <c r="U122">
        <v>423</v>
      </c>
      <c r="V122">
        <f>VLOOKUP($U122,'[2]AP Balanced'!$Q$1:$T$542,2,FALSE)</f>
        <v>0.77777777777777779</v>
      </c>
      <c r="W122">
        <f>VLOOKUP($U122,'[2]AP Balanced'!$Q$1:$T$542,3,FALSE)</f>
        <v>0.22222222222222221</v>
      </c>
      <c r="X122">
        <f>VLOOKUP($U122,'[2]AP Balanced'!$Q$1:$T$542,4,FALSE)</f>
        <v>0</v>
      </c>
      <c r="Y122" s="77">
        <f t="shared" si="250"/>
        <v>1</v>
      </c>
      <c r="Z122" s="77">
        <f t="shared" si="297"/>
        <v>6.1674999999999987E-2</v>
      </c>
      <c r="AA122" s="77">
        <f t="shared" si="298"/>
        <v>4.9997781870025904E-3</v>
      </c>
      <c r="AB122" s="79">
        <v>1</v>
      </c>
      <c r="AC122" s="77">
        <f t="shared" si="205"/>
        <v>8.0555555555555554E-3</v>
      </c>
      <c r="AD122" s="77">
        <f t="shared" si="196"/>
        <v>6.7378764057135498E-4</v>
      </c>
      <c r="AE122" s="77">
        <f t="shared" si="206"/>
        <v>2.5000000000000001E-3</v>
      </c>
      <c r="AF122" s="77">
        <f t="shared" si="196"/>
        <v>2.0857243058891584E-4</v>
      </c>
      <c r="AH122" t="s">
        <v>175</v>
      </c>
      <c r="AI122" t="s">
        <v>176</v>
      </c>
      <c r="AJ122" s="197" t="str">
        <f t="shared" si="252"/>
        <v>Lifecycle_Balanced_423</v>
      </c>
      <c r="AK122">
        <v>423</v>
      </c>
      <c r="AL122">
        <f>VLOOKUP($U122,[2]Standard_Balanced!$Q$1:$T$542,2,FALSE)</f>
        <v>0.77777777777777779</v>
      </c>
      <c r="AM122">
        <f>VLOOKUP($U122,[2]Standard_Balanced!$Q$1:$T$542,3,FALSE)</f>
        <v>0.22222222222222221</v>
      </c>
      <c r="AN122">
        <f>VLOOKUP($U122,[2]Standard_Balanced!$Q$1:$T$542,4,FALSE)</f>
        <v>0</v>
      </c>
      <c r="AO122" s="77">
        <f t="shared" si="182"/>
        <v>1</v>
      </c>
      <c r="AP122" s="77">
        <f t="shared" si="207"/>
        <v>6.1674999999999987E-2</v>
      </c>
      <c r="AQ122" s="77">
        <f t="shared" si="253"/>
        <v>4.9997781870025904E-3</v>
      </c>
      <c r="AR122" s="79">
        <v>0</v>
      </c>
      <c r="AS122" s="77">
        <f t="shared" si="208"/>
        <v>0</v>
      </c>
      <c r="AT122" s="77">
        <f t="shared" ref="AT122" si="331">1-(1-AS122)^(1/12)</f>
        <v>0</v>
      </c>
      <c r="AU122" s="77">
        <f t="shared" si="210"/>
        <v>2.5000000000000001E-3</v>
      </c>
      <c r="AV122" s="77">
        <f t="shared" ref="AV122" si="332">1-(1-AU122)^(1/12)</f>
        <v>2.0857243058891584E-4</v>
      </c>
      <c r="AX122" t="s">
        <v>178</v>
      </c>
      <c r="AY122" t="s">
        <v>160</v>
      </c>
      <c r="AZ122" s="197" t="str">
        <f t="shared" si="256"/>
        <v>DIS_Non-Standard_423</v>
      </c>
      <c r="BA122">
        <v>423</v>
      </c>
      <c r="BB122">
        <f>VLOOKUP($BA122,'[2]NonStandard DIS'!$Q$1:$X$542,2,FALSE)</f>
        <v>0</v>
      </c>
      <c r="BC122">
        <f>VLOOKUP($BA122,'[2]NonStandard DIS'!$Q$1:$X$542,3,FALSE)</f>
        <v>0</v>
      </c>
      <c r="BD122">
        <f>VLOOKUP($BA122,'[2]NonStandard DIS'!$Q$1:$X$542,4,FALSE)</f>
        <v>0.308</v>
      </c>
      <c r="BE122">
        <f>VLOOKUP($BA122,'[2]NonStandard DIS'!$Q$1:$X$542,5,FALSE)</f>
        <v>0.69199999999999995</v>
      </c>
      <c r="BF122">
        <f>VLOOKUP($BA122,'[2]NonStandard DIS'!$Q$1:$X$542,6,FALSE)</f>
        <v>0</v>
      </c>
      <c r="BG122">
        <f>VLOOKUP($BA122,'[2]NonStandard DIS'!$Q$1:$X$542,7,FALSE)</f>
        <v>0</v>
      </c>
      <c r="BH122">
        <f>VLOOKUP($BA122,'[2]NonStandard DIS'!$Q$1:$X$542,8,FALSE)</f>
        <v>0</v>
      </c>
      <c r="BI122" s="77">
        <f t="shared" si="199"/>
        <v>1</v>
      </c>
      <c r="BJ122" s="77">
        <f t="shared" si="200"/>
        <v>6.9728499999999985E-2</v>
      </c>
      <c r="BK122" s="77">
        <f t="shared" si="180"/>
        <v>5.632878498097682E-3</v>
      </c>
      <c r="BL122" s="79">
        <v>0</v>
      </c>
      <c r="BM122" s="77">
        <f t="shared" si="212"/>
        <v>0</v>
      </c>
      <c r="BN122" s="77">
        <f t="shared" si="213"/>
        <v>0</v>
      </c>
      <c r="BO122" s="77">
        <f t="shared" si="214"/>
        <v>5.6775999999999997E-3</v>
      </c>
      <c r="BP122" s="77">
        <f t="shared" si="215"/>
        <v>4.7190657760731725E-4</v>
      </c>
    </row>
    <row r="123" spans="1:68">
      <c r="A123" t="s">
        <v>175</v>
      </c>
      <c r="B123" t="s">
        <v>176</v>
      </c>
      <c r="C123" s="197" t="str">
        <f t="shared" si="248"/>
        <v>Lifecycle_Balanced_422</v>
      </c>
      <c r="D123">
        <v>422</v>
      </c>
      <c r="E123">
        <f>VLOOKUP($D123,'[2]LC Balanced'!$Q$2:$U$542,2,FALSE)</f>
        <v>0</v>
      </c>
      <c r="F123">
        <f>VLOOKUP($D123,'[2]LC Balanced'!$Q$2:$U$542,3,FALSE)</f>
        <v>0.14899999999999999</v>
      </c>
      <c r="G123">
        <f>VLOOKUP($D123,'[2]LC Balanced'!$Q$2:$U$542,4,FALSE)</f>
        <v>0.85099999999999998</v>
      </c>
      <c r="H123">
        <f>VLOOKUP($D123,'[2]LC Balanced'!$Q$2:$U$542,5,FALSE)</f>
        <v>0</v>
      </c>
      <c r="I123" s="77">
        <f t="shared" si="194"/>
        <v>1</v>
      </c>
      <c r="J123" s="77">
        <f t="shared" si="195"/>
        <v>6.1987699999999986E-2</v>
      </c>
      <c r="K123" s="77">
        <f t="shared" si="185"/>
        <v>5.024442123284345E-3</v>
      </c>
      <c r="L123" s="76">
        <v>0</v>
      </c>
      <c r="M123" s="77">
        <f t="shared" si="201"/>
        <v>0</v>
      </c>
      <c r="N123" s="77">
        <f t="shared" si="202"/>
        <v>0</v>
      </c>
      <c r="O123" s="77">
        <f t="shared" si="203"/>
        <v>7.0062999999999992E-3</v>
      </c>
      <c r="P123" s="77">
        <f t="shared" si="204"/>
        <v>5.85741666996209E-4</v>
      </c>
      <c r="R123" t="s">
        <v>177</v>
      </c>
      <c r="S123" t="s">
        <v>176</v>
      </c>
      <c r="T123" s="197" t="str">
        <f t="shared" si="296"/>
        <v>Autopilot_Balanced_422</v>
      </c>
      <c r="U123">
        <v>422</v>
      </c>
      <c r="V123">
        <f>VLOOKUP($U123,'[2]AP Balanced'!$Q$1:$T$542,2,FALSE)</f>
        <v>0.77777777777777779</v>
      </c>
      <c r="W123">
        <f>VLOOKUP($U123,'[2]AP Balanced'!$Q$1:$T$542,3,FALSE)</f>
        <v>0.22222222222222221</v>
      </c>
      <c r="X123">
        <f>VLOOKUP($U123,'[2]AP Balanced'!$Q$1:$T$542,4,FALSE)</f>
        <v>0</v>
      </c>
      <c r="Y123" s="77">
        <f t="shared" si="250"/>
        <v>1</v>
      </c>
      <c r="Z123" s="77">
        <f t="shared" si="297"/>
        <v>6.1674999999999987E-2</v>
      </c>
      <c r="AA123" s="77">
        <f t="shared" si="298"/>
        <v>4.9997781870025904E-3</v>
      </c>
      <c r="AB123" s="79">
        <v>1</v>
      </c>
      <c r="AC123" s="77">
        <f t="shared" si="205"/>
        <v>8.0555555555555554E-3</v>
      </c>
      <c r="AD123" s="77">
        <f t="shared" si="196"/>
        <v>6.7378764057135498E-4</v>
      </c>
      <c r="AE123" s="77">
        <f t="shared" si="206"/>
        <v>2.5000000000000001E-3</v>
      </c>
      <c r="AF123" s="77">
        <f t="shared" si="196"/>
        <v>2.0857243058891584E-4</v>
      </c>
      <c r="AH123" t="s">
        <v>175</v>
      </c>
      <c r="AI123" t="s">
        <v>176</v>
      </c>
      <c r="AJ123" s="197" t="str">
        <f t="shared" si="252"/>
        <v>Lifecycle_Balanced_422</v>
      </c>
      <c r="AK123">
        <v>422</v>
      </c>
      <c r="AL123">
        <f>VLOOKUP($U123,[2]Standard_Balanced!$Q$1:$T$542,2,FALSE)</f>
        <v>0.77777777777777779</v>
      </c>
      <c r="AM123">
        <f>VLOOKUP($U123,[2]Standard_Balanced!$Q$1:$T$542,3,FALSE)</f>
        <v>0.22222222222222221</v>
      </c>
      <c r="AN123">
        <f>VLOOKUP($U123,[2]Standard_Balanced!$Q$1:$T$542,4,FALSE)</f>
        <v>0</v>
      </c>
      <c r="AO123" s="77">
        <f t="shared" si="182"/>
        <v>1</v>
      </c>
      <c r="AP123" s="77">
        <f t="shared" si="207"/>
        <v>6.1674999999999987E-2</v>
      </c>
      <c r="AQ123" s="77">
        <f t="shared" si="253"/>
        <v>4.9997781870025904E-3</v>
      </c>
      <c r="AR123" s="79">
        <v>0</v>
      </c>
      <c r="AS123" s="77">
        <f t="shared" si="208"/>
        <v>0</v>
      </c>
      <c r="AT123" s="77">
        <f t="shared" ref="AT123" si="333">1-(1-AS123)^(1/12)</f>
        <v>0</v>
      </c>
      <c r="AU123" s="77">
        <f t="shared" si="210"/>
        <v>2.5000000000000001E-3</v>
      </c>
      <c r="AV123" s="77">
        <f t="shared" ref="AV123" si="334">1-(1-AU123)^(1/12)</f>
        <v>2.0857243058891584E-4</v>
      </c>
      <c r="AX123" t="s">
        <v>178</v>
      </c>
      <c r="AY123" t="s">
        <v>160</v>
      </c>
      <c r="AZ123" s="197" t="str">
        <f t="shared" si="256"/>
        <v>DIS_Non-Standard_422</v>
      </c>
      <c r="BA123">
        <v>422</v>
      </c>
      <c r="BB123">
        <f>VLOOKUP($BA123,'[2]NonStandard DIS'!$Q$1:$X$542,2,FALSE)</f>
        <v>0</v>
      </c>
      <c r="BC123">
        <f>VLOOKUP($BA123,'[2]NonStandard DIS'!$Q$1:$X$542,3,FALSE)</f>
        <v>0</v>
      </c>
      <c r="BD123">
        <f>VLOOKUP($BA123,'[2]NonStandard DIS'!$Q$1:$X$542,4,FALSE)</f>
        <v>0.308</v>
      </c>
      <c r="BE123">
        <f>VLOOKUP($BA123,'[2]NonStandard DIS'!$Q$1:$X$542,5,FALSE)</f>
        <v>0.69199999999999995</v>
      </c>
      <c r="BF123">
        <f>VLOOKUP($BA123,'[2]NonStandard DIS'!$Q$1:$X$542,6,FALSE)</f>
        <v>0</v>
      </c>
      <c r="BG123">
        <f>VLOOKUP($BA123,'[2]NonStandard DIS'!$Q$1:$X$542,7,FALSE)</f>
        <v>0</v>
      </c>
      <c r="BH123">
        <f>VLOOKUP($BA123,'[2]NonStandard DIS'!$Q$1:$X$542,8,FALSE)</f>
        <v>0</v>
      </c>
      <c r="BI123" s="77">
        <f t="shared" si="199"/>
        <v>1</v>
      </c>
      <c r="BJ123" s="77">
        <f t="shared" si="200"/>
        <v>6.9728499999999985E-2</v>
      </c>
      <c r="BK123" s="77">
        <f t="shared" si="180"/>
        <v>5.632878498097682E-3</v>
      </c>
      <c r="BL123" s="79">
        <v>0</v>
      </c>
      <c r="BM123" s="77">
        <f t="shared" si="212"/>
        <v>0</v>
      </c>
      <c r="BN123" s="77">
        <f t="shared" si="213"/>
        <v>0</v>
      </c>
      <c r="BO123" s="77">
        <f t="shared" si="214"/>
        <v>5.6775999999999997E-3</v>
      </c>
      <c r="BP123" s="77">
        <f t="shared" si="215"/>
        <v>4.7190657760731725E-4</v>
      </c>
    </row>
    <row r="124" spans="1:68">
      <c r="A124" t="s">
        <v>175</v>
      </c>
      <c r="B124" t="s">
        <v>176</v>
      </c>
      <c r="C124" s="197" t="str">
        <f t="shared" si="248"/>
        <v>Lifecycle_Balanced_421</v>
      </c>
      <c r="D124">
        <v>421</v>
      </c>
      <c r="E124">
        <f>VLOOKUP($D124,'[2]LC Balanced'!$Q$2:$U$542,2,FALSE)</f>
        <v>0</v>
      </c>
      <c r="F124">
        <f>VLOOKUP($D124,'[2]LC Balanced'!$Q$2:$U$542,3,FALSE)</f>
        <v>0.14899999999999999</v>
      </c>
      <c r="G124">
        <f>VLOOKUP($D124,'[2]LC Balanced'!$Q$2:$U$542,4,FALSE)</f>
        <v>0.85099999999999998</v>
      </c>
      <c r="H124">
        <f>VLOOKUP($D124,'[2]LC Balanced'!$Q$2:$U$542,5,FALSE)</f>
        <v>0</v>
      </c>
      <c r="I124" s="77">
        <f t="shared" si="194"/>
        <v>1</v>
      </c>
      <c r="J124" s="77">
        <f t="shared" si="195"/>
        <v>6.1987699999999986E-2</v>
      </c>
      <c r="K124" s="77">
        <f t="shared" si="185"/>
        <v>5.024442123284345E-3</v>
      </c>
      <c r="L124" s="76">
        <v>0</v>
      </c>
      <c r="M124" s="77">
        <f t="shared" si="201"/>
        <v>0</v>
      </c>
      <c r="N124" s="77">
        <f t="shared" si="202"/>
        <v>0</v>
      </c>
      <c r="O124" s="77">
        <f t="shared" si="203"/>
        <v>7.0062999999999992E-3</v>
      </c>
      <c r="P124" s="77">
        <f t="shared" si="204"/>
        <v>5.85741666996209E-4</v>
      </c>
      <c r="R124" t="s">
        <v>177</v>
      </c>
      <c r="S124" t="s">
        <v>176</v>
      </c>
      <c r="T124" s="197" t="str">
        <f t="shared" si="296"/>
        <v>Autopilot_Balanced_421</v>
      </c>
      <c r="U124">
        <v>421</v>
      </c>
      <c r="V124">
        <f>VLOOKUP($U124,'[2]AP Balanced'!$Q$1:$T$542,2,FALSE)</f>
        <v>0.77777777777777779</v>
      </c>
      <c r="W124">
        <f>VLOOKUP($U124,'[2]AP Balanced'!$Q$1:$T$542,3,FALSE)</f>
        <v>0.22222222222222221</v>
      </c>
      <c r="X124">
        <f>VLOOKUP($U124,'[2]AP Balanced'!$Q$1:$T$542,4,FALSE)</f>
        <v>0</v>
      </c>
      <c r="Y124" s="77">
        <f t="shared" si="250"/>
        <v>1</v>
      </c>
      <c r="Z124" s="77">
        <f t="shared" si="297"/>
        <v>6.1674999999999987E-2</v>
      </c>
      <c r="AA124" s="77">
        <f t="shared" si="298"/>
        <v>4.9997781870025904E-3</v>
      </c>
      <c r="AB124" s="79">
        <v>1</v>
      </c>
      <c r="AC124" s="77">
        <f t="shared" si="205"/>
        <v>8.0555555555555554E-3</v>
      </c>
      <c r="AD124" s="77">
        <f t="shared" si="196"/>
        <v>6.7378764057135498E-4</v>
      </c>
      <c r="AE124" s="77">
        <f t="shared" si="206"/>
        <v>2.5000000000000001E-3</v>
      </c>
      <c r="AF124" s="77">
        <f t="shared" si="196"/>
        <v>2.0857243058891584E-4</v>
      </c>
      <c r="AH124" t="s">
        <v>175</v>
      </c>
      <c r="AI124" t="s">
        <v>176</v>
      </c>
      <c r="AJ124" s="197" t="str">
        <f t="shared" si="252"/>
        <v>Lifecycle_Balanced_421</v>
      </c>
      <c r="AK124">
        <v>421</v>
      </c>
      <c r="AL124">
        <f>VLOOKUP($U124,[2]Standard_Balanced!$Q$1:$T$542,2,FALSE)</f>
        <v>0.77777777777777779</v>
      </c>
      <c r="AM124">
        <f>VLOOKUP($U124,[2]Standard_Balanced!$Q$1:$T$542,3,FALSE)</f>
        <v>0.22222222222222221</v>
      </c>
      <c r="AN124">
        <f>VLOOKUP($U124,[2]Standard_Balanced!$Q$1:$T$542,4,FALSE)</f>
        <v>0</v>
      </c>
      <c r="AO124" s="77">
        <f t="shared" si="182"/>
        <v>1</v>
      </c>
      <c r="AP124" s="77">
        <f t="shared" si="207"/>
        <v>6.1674999999999987E-2</v>
      </c>
      <c r="AQ124" s="77">
        <f t="shared" si="253"/>
        <v>4.9997781870025904E-3</v>
      </c>
      <c r="AR124" s="79">
        <v>0</v>
      </c>
      <c r="AS124" s="77">
        <f t="shared" si="208"/>
        <v>0</v>
      </c>
      <c r="AT124" s="77">
        <f t="shared" ref="AT124" si="335">1-(1-AS124)^(1/12)</f>
        <v>0</v>
      </c>
      <c r="AU124" s="77">
        <f t="shared" si="210"/>
        <v>2.5000000000000001E-3</v>
      </c>
      <c r="AV124" s="77">
        <f t="shared" ref="AV124" si="336">1-(1-AU124)^(1/12)</f>
        <v>2.0857243058891584E-4</v>
      </c>
      <c r="AX124" t="s">
        <v>178</v>
      </c>
      <c r="AY124" t="s">
        <v>160</v>
      </c>
      <c r="AZ124" s="197" t="str">
        <f t="shared" si="256"/>
        <v>DIS_Non-Standard_421</v>
      </c>
      <c r="BA124">
        <v>421</v>
      </c>
      <c r="BB124">
        <f>VLOOKUP($BA124,'[2]NonStandard DIS'!$Q$1:$X$542,2,FALSE)</f>
        <v>0</v>
      </c>
      <c r="BC124">
        <f>VLOOKUP($BA124,'[2]NonStandard DIS'!$Q$1:$X$542,3,FALSE)</f>
        <v>0</v>
      </c>
      <c r="BD124">
        <f>VLOOKUP($BA124,'[2]NonStandard DIS'!$Q$1:$X$542,4,FALSE)</f>
        <v>0.308</v>
      </c>
      <c r="BE124">
        <f>VLOOKUP($BA124,'[2]NonStandard DIS'!$Q$1:$X$542,5,FALSE)</f>
        <v>0.69199999999999995</v>
      </c>
      <c r="BF124">
        <f>VLOOKUP($BA124,'[2]NonStandard DIS'!$Q$1:$X$542,6,FALSE)</f>
        <v>0</v>
      </c>
      <c r="BG124">
        <f>VLOOKUP($BA124,'[2]NonStandard DIS'!$Q$1:$X$542,7,FALSE)</f>
        <v>0</v>
      </c>
      <c r="BH124">
        <f>VLOOKUP($BA124,'[2]NonStandard DIS'!$Q$1:$X$542,8,FALSE)</f>
        <v>0</v>
      </c>
      <c r="BI124" s="77">
        <f t="shared" si="199"/>
        <v>1</v>
      </c>
      <c r="BJ124" s="77">
        <f t="shared" si="200"/>
        <v>6.9728499999999985E-2</v>
      </c>
      <c r="BK124" s="77">
        <f t="shared" si="180"/>
        <v>5.632878498097682E-3</v>
      </c>
      <c r="BL124" s="79">
        <v>0</v>
      </c>
      <c r="BM124" s="77">
        <f t="shared" si="212"/>
        <v>0</v>
      </c>
      <c r="BN124" s="77">
        <f t="shared" si="213"/>
        <v>0</v>
      </c>
      <c r="BO124" s="77">
        <f t="shared" si="214"/>
        <v>5.6775999999999997E-3</v>
      </c>
      <c r="BP124" s="77">
        <f t="shared" si="215"/>
        <v>4.7190657760731725E-4</v>
      </c>
    </row>
    <row r="125" spans="1:68">
      <c r="A125" t="s">
        <v>175</v>
      </c>
      <c r="B125" t="s">
        <v>176</v>
      </c>
      <c r="C125" s="197" t="str">
        <f t="shared" si="248"/>
        <v>Lifecycle_Balanced_420</v>
      </c>
      <c r="D125">
        <v>420</v>
      </c>
      <c r="E125">
        <f>VLOOKUP($D125,'[2]LC Balanced'!$Q$2:$U$542,2,FALSE)</f>
        <v>0</v>
      </c>
      <c r="F125">
        <f>VLOOKUP($D125,'[2]LC Balanced'!$Q$2:$U$542,3,FALSE)</f>
        <v>0.14899999999999999</v>
      </c>
      <c r="G125">
        <f>VLOOKUP($D125,'[2]LC Balanced'!$Q$2:$U$542,4,FALSE)</f>
        <v>0.85099999999999998</v>
      </c>
      <c r="H125">
        <f>VLOOKUP($D125,'[2]LC Balanced'!$Q$2:$U$542,5,FALSE)</f>
        <v>0</v>
      </c>
      <c r="I125" s="77">
        <f t="shared" si="194"/>
        <v>1</v>
      </c>
      <c r="J125" s="77">
        <f t="shared" si="195"/>
        <v>6.1987699999999986E-2</v>
      </c>
      <c r="K125" s="77">
        <f t="shared" si="185"/>
        <v>5.024442123284345E-3</v>
      </c>
      <c r="L125" s="76">
        <v>0</v>
      </c>
      <c r="M125" s="77">
        <f t="shared" si="201"/>
        <v>0</v>
      </c>
      <c r="N125" s="77">
        <f t="shared" si="202"/>
        <v>0</v>
      </c>
      <c r="O125" s="77">
        <f t="shared" si="203"/>
        <v>7.0062999999999992E-3</v>
      </c>
      <c r="P125" s="77">
        <f t="shared" si="204"/>
        <v>5.85741666996209E-4</v>
      </c>
      <c r="R125" t="s">
        <v>177</v>
      </c>
      <c r="S125" t="s">
        <v>176</v>
      </c>
      <c r="T125" s="197" t="str">
        <f t="shared" si="296"/>
        <v>Autopilot_Balanced_420</v>
      </c>
      <c r="U125">
        <v>420</v>
      </c>
      <c r="V125">
        <f>VLOOKUP($U125,'[2]AP Balanced'!$Q$1:$T$542,2,FALSE)</f>
        <v>0.77777777777777779</v>
      </c>
      <c r="W125">
        <f>VLOOKUP($U125,'[2]AP Balanced'!$Q$1:$T$542,3,FALSE)</f>
        <v>0.22222222222222221</v>
      </c>
      <c r="X125">
        <f>VLOOKUP($U125,'[2]AP Balanced'!$Q$1:$T$542,4,FALSE)</f>
        <v>0</v>
      </c>
      <c r="Y125" s="77">
        <f t="shared" si="250"/>
        <v>1</v>
      </c>
      <c r="Z125" s="77">
        <f t="shared" si="297"/>
        <v>6.1674999999999987E-2</v>
      </c>
      <c r="AA125" s="77">
        <f t="shared" si="298"/>
        <v>4.9997781870025904E-3</v>
      </c>
      <c r="AB125" s="79">
        <v>1</v>
      </c>
      <c r="AC125" s="77">
        <f t="shared" si="205"/>
        <v>8.0555555555555554E-3</v>
      </c>
      <c r="AD125" s="77">
        <f t="shared" si="196"/>
        <v>6.7378764057135498E-4</v>
      </c>
      <c r="AE125" s="77">
        <f t="shared" si="206"/>
        <v>2.5000000000000001E-3</v>
      </c>
      <c r="AF125" s="77">
        <f t="shared" si="196"/>
        <v>2.0857243058891584E-4</v>
      </c>
      <c r="AH125" t="s">
        <v>175</v>
      </c>
      <c r="AI125" t="s">
        <v>176</v>
      </c>
      <c r="AJ125" s="197" t="str">
        <f t="shared" si="252"/>
        <v>Lifecycle_Balanced_420</v>
      </c>
      <c r="AK125">
        <v>420</v>
      </c>
      <c r="AL125">
        <f>VLOOKUP($U125,[2]Standard_Balanced!$Q$1:$T$542,2,FALSE)</f>
        <v>0.77777777777777779</v>
      </c>
      <c r="AM125">
        <f>VLOOKUP($U125,[2]Standard_Balanced!$Q$1:$T$542,3,FALSE)</f>
        <v>0.22222222222222221</v>
      </c>
      <c r="AN125">
        <f>VLOOKUP($U125,[2]Standard_Balanced!$Q$1:$T$542,4,FALSE)</f>
        <v>0</v>
      </c>
      <c r="AO125" s="77">
        <f t="shared" si="182"/>
        <v>1</v>
      </c>
      <c r="AP125" s="77">
        <f t="shared" si="207"/>
        <v>6.1674999999999987E-2</v>
      </c>
      <c r="AQ125" s="77">
        <f t="shared" si="253"/>
        <v>4.9997781870025904E-3</v>
      </c>
      <c r="AR125" s="79">
        <v>0</v>
      </c>
      <c r="AS125" s="77">
        <f t="shared" si="208"/>
        <v>0</v>
      </c>
      <c r="AT125" s="77">
        <f t="shared" ref="AT125" si="337">1-(1-AS125)^(1/12)</f>
        <v>0</v>
      </c>
      <c r="AU125" s="77">
        <f t="shared" si="210"/>
        <v>2.5000000000000001E-3</v>
      </c>
      <c r="AV125" s="77">
        <f t="shared" ref="AV125" si="338">1-(1-AU125)^(1/12)</f>
        <v>2.0857243058891584E-4</v>
      </c>
      <c r="AX125" t="s">
        <v>178</v>
      </c>
      <c r="AY125" t="s">
        <v>160</v>
      </c>
      <c r="AZ125" s="197" t="str">
        <f t="shared" si="256"/>
        <v>DIS_Non-Standard_420</v>
      </c>
      <c r="BA125">
        <v>420</v>
      </c>
      <c r="BB125">
        <f>VLOOKUP($BA125,'[2]NonStandard DIS'!$Q$1:$X$542,2,FALSE)</f>
        <v>0</v>
      </c>
      <c r="BC125">
        <f>VLOOKUP($BA125,'[2]NonStandard DIS'!$Q$1:$X$542,3,FALSE)</f>
        <v>0</v>
      </c>
      <c r="BD125">
        <f>VLOOKUP($BA125,'[2]NonStandard DIS'!$Q$1:$X$542,4,FALSE)</f>
        <v>0.308</v>
      </c>
      <c r="BE125">
        <f>VLOOKUP($BA125,'[2]NonStandard DIS'!$Q$1:$X$542,5,FALSE)</f>
        <v>0.69199999999999995</v>
      </c>
      <c r="BF125">
        <f>VLOOKUP($BA125,'[2]NonStandard DIS'!$Q$1:$X$542,6,FALSE)</f>
        <v>0</v>
      </c>
      <c r="BG125">
        <f>VLOOKUP($BA125,'[2]NonStandard DIS'!$Q$1:$X$542,7,FALSE)</f>
        <v>0</v>
      </c>
      <c r="BH125">
        <f>VLOOKUP($BA125,'[2]NonStandard DIS'!$Q$1:$X$542,8,FALSE)</f>
        <v>0</v>
      </c>
      <c r="BI125" s="77">
        <f t="shared" si="199"/>
        <v>1</v>
      </c>
      <c r="BJ125" s="77">
        <f t="shared" si="200"/>
        <v>6.9728499999999985E-2</v>
      </c>
      <c r="BK125" s="77">
        <f t="shared" si="180"/>
        <v>5.632878498097682E-3</v>
      </c>
      <c r="BL125" s="79">
        <v>0</v>
      </c>
      <c r="BM125" s="77">
        <f t="shared" si="212"/>
        <v>0</v>
      </c>
      <c r="BN125" s="77">
        <f t="shared" si="213"/>
        <v>0</v>
      </c>
      <c r="BO125" s="77">
        <f t="shared" si="214"/>
        <v>5.6775999999999997E-3</v>
      </c>
      <c r="BP125" s="77">
        <f t="shared" si="215"/>
        <v>4.7190657760731725E-4</v>
      </c>
    </row>
    <row r="126" spans="1:68">
      <c r="A126" t="s">
        <v>175</v>
      </c>
      <c r="B126" t="s">
        <v>176</v>
      </c>
      <c r="C126" s="197" t="str">
        <f t="shared" si="248"/>
        <v>Lifecycle_Balanced_419</v>
      </c>
      <c r="D126">
        <v>419</v>
      </c>
      <c r="E126">
        <f>VLOOKUP($D126,'[2]LC Balanced'!$Q$2:$U$542,2,FALSE)</f>
        <v>0</v>
      </c>
      <c r="F126">
        <f>VLOOKUP($D126,'[2]LC Balanced'!$Q$2:$U$542,3,FALSE)</f>
        <v>0.14899999999999999</v>
      </c>
      <c r="G126">
        <f>VLOOKUP($D126,'[2]LC Balanced'!$Q$2:$U$542,4,FALSE)</f>
        <v>0.85099999999999998</v>
      </c>
      <c r="H126">
        <f>VLOOKUP($D126,'[2]LC Balanced'!$Q$2:$U$542,5,FALSE)</f>
        <v>0</v>
      </c>
      <c r="I126" s="77">
        <f t="shared" si="194"/>
        <v>1</v>
      </c>
      <c r="J126" s="77">
        <f t="shared" si="195"/>
        <v>6.1987699999999986E-2</v>
      </c>
      <c r="K126" s="77">
        <f t="shared" si="185"/>
        <v>5.024442123284345E-3</v>
      </c>
      <c r="L126" s="76">
        <v>0</v>
      </c>
      <c r="M126" s="77">
        <f t="shared" si="201"/>
        <v>0</v>
      </c>
      <c r="N126" s="77">
        <f t="shared" si="202"/>
        <v>0</v>
      </c>
      <c r="O126" s="77">
        <f t="shared" si="203"/>
        <v>7.0062999999999992E-3</v>
      </c>
      <c r="P126" s="77">
        <f t="shared" si="204"/>
        <v>5.85741666996209E-4</v>
      </c>
      <c r="R126" t="s">
        <v>177</v>
      </c>
      <c r="S126" t="s">
        <v>176</v>
      </c>
      <c r="T126" s="197" t="str">
        <f t="shared" si="296"/>
        <v>Autopilot_Balanced_419</v>
      </c>
      <c r="U126">
        <v>419</v>
      </c>
      <c r="V126">
        <f>VLOOKUP($U126,'[2]AP Balanced'!$Q$1:$T$542,2,FALSE)</f>
        <v>0.77777777777777779</v>
      </c>
      <c r="W126">
        <f>VLOOKUP($U126,'[2]AP Balanced'!$Q$1:$T$542,3,FALSE)</f>
        <v>0.22222222222222221</v>
      </c>
      <c r="X126">
        <f>VLOOKUP($U126,'[2]AP Balanced'!$Q$1:$T$542,4,FALSE)</f>
        <v>0</v>
      </c>
      <c r="Y126" s="77">
        <f t="shared" si="250"/>
        <v>1</v>
      </c>
      <c r="Z126" s="77">
        <f t="shared" si="297"/>
        <v>6.1674999999999987E-2</v>
      </c>
      <c r="AA126" s="77">
        <f t="shared" si="298"/>
        <v>4.9997781870025904E-3</v>
      </c>
      <c r="AB126" s="79">
        <v>1</v>
      </c>
      <c r="AC126" s="77">
        <f t="shared" si="205"/>
        <v>8.0555555555555554E-3</v>
      </c>
      <c r="AD126" s="77">
        <f t="shared" si="196"/>
        <v>6.7378764057135498E-4</v>
      </c>
      <c r="AE126" s="77">
        <f t="shared" si="206"/>
        <v>2.5000000000000001E-3</v>
      </c>
      <c r="AF126" s="77">
        <f t="shared" si="196"/>
        <v>2.0857243058891584E-4</v>
      </c>
      <c r="AH126" t="s">
        <v>175</v>
      </c>
      <c r="AI126" t="s">
        <v>176</v>
      </c>
      <c r="AJ126" s="197" t="str">
        <f t="shared" si="252"/>
        <v>Lifecycle_Balanced_419</v>
      </c>
      <c r="AK126">
        <v>419</v>
      </c>
      <c r="AL126">
        <f>VLOOKUP($U126,[2]Standard_Balanced!$Q$1:$T$542,2,FALSE)</f>
        <v>0.77777777777777779</v>
      </c>
      <c r="AM126">
        <f>VLOOKUP($U126,[2]Standard_Balanced!$Q$1:$T$542,3,FALSE)</f>
        <v>0.22222222222222221</v>
      </c>
      <c r="AN126">
        <f>VLOOKUP($U126,[2]Standard_Balanced!$Q$1:$T$542,4,FALSE)</f>
        <v>0</v>
      </c>
      <c r="AO126" s="77">
        <f t="shared" si="182"/>
        <v>1</v>
      </c>
      <c r="AP126" s="77">
        <f t="shared" si="207"/>
        <v>6.1674999999999987E-2</v>
      </c>
      <c r="AQ126" s="77">
        <f t="shared" si="253"/>
        <v>4.9997781870025904E-3</v>
      </c>
      <c r="AR126" s="79">
        <v>0</v>
      </c>
      <c r="AS126" s="77">
        <f t="shared" si="208"/>
        <v>0</v>
      </c>
      <c r="AT126" s="77">
        <f t="shared" ref="AT126" si="339">1-(1-AS126)^(1/12)</f>
        <v>0</v>
      </c>
      <c r="AU126" s="77">
        <f t="shared" si="210"/>
        <v>2.5000000000000001E-3</v>
      </c>
      <c r="AV126" s="77">
        <f t="shared" ref="AV126" si="340">1-(1-AU126)^(1/12)</f>
        <v>2.0857243058891584E-4</v>
      </c>
      <c r="AX126" t="s">
        <v>178</v>
      </c>
      <c r="AY126" t="s">
        <v>160</v>
      </c>
      <c r="AZ126" s="197" t="str">
        <f t="shared" si="256"/>
        <v>DIS_Non-Standard_419</v>
      </c>
      <c r="BA126">
        <v>419</v>
      </c>
      <c r="BB126">
        <f>VLOOKUP($BA126,'[2]NonStandard DIS'!$Q$1:$X$542,2,FALSE)</f>
        <v>0</v>
      </c>
      <c r="BC126">
        <f>VLOOKUP($BA126,'[2]NonStandard DIS'!$Q$1:$X$542,3,FALSE)</f>
        <v>0</v>
      </c>
      <c r="BD126">
        <f>VLOOKUP($BA126,'[2]NonStandard DIS'!$Q$1:$X$542,4,FALSE)</f>
        <v>0.308</v>
      </c>
      <c r="BE126">
        <f>VLOOKUP($BA126,'[2]NonStandard DIS'!$Q$1:$X$542,5,FALSE)</f>
        <v>0.69199999999999995</v>
      </c>
      <c r="BF126">
        <f>VLOOKUP($BA126,'[2]NonStandard DIS'!$Q$1:$X$542,6,FALSE)</f>
        <v>0</v>
      </c>
      <c r="BG126">
        <f>VLOOKUP($BA126,'[2]NonStandard DIS'!$Q$1:$X$542,7,FALSE)</f>
        <v>0</v>
      </c>
      <c r="BH126">
        <f>VLOOKUP($BA126,'[2]NonStandard DIS'!$Q$1:$X$542,8,FALSE)</f>
        <v>0</v>
      </c>
      <c r="BI126" s="77">
        <f t="shared" si="199"/>
        <v>1</v>
      </c>
      <c r="BJ126" s="77">
        <f t="shared" si="200"/>
        <v>6.9728499999999985E-2</v>
      </c>
      <c r="BK126" s="77">
        <f t="shared" si="180"/>
        <v>5.632878498097682E-3</v>
      </c>
      <c r="BL126" s="79">
        <v>0</v>
      </c>
      <c r="BM126" s="77">
        <f t="shared" si="212"/>
        <v>0</v>
      </c>
      <c r="BN126" s="77">
        <f t="shared" si="213"/>
        <v>0</v>
      </c>
      <c r="BO126" s="77">
        <f t="shared" si="214"/>
        <v>5.6775999999999997E-3</v>
      </c>
      <c r="BP126" s="77">
        <f t="shared" si="215"/>
        <v>4.7190657760731725E-4</v>
      </c>
    </row>
    <row r="127" spans="1:68">
      <c r="A127" t="s">
        <v>175</v>
      </c>
      <c r="B127" t="s">
        <v>176</v>
      </c>
      <c r="C127" s="197" t="str">
        <f t="shared" si="248"/>
        <v>Lifecycle_Balanced_418</v>
      </c>
      <c r="D127">
        <v>418</v>
      </c>
      <c r="E127">
        <f>VLOOKUP($D127,'[2]LC Balanced'!$Q$2:$U$542,2,FALSE)</f>
        <v>0</v>
      </c>
      <c r="F127">
        <f>VLOOKUP($D127,'[2]LC Balanced'!$Q$2:$U$542,3,FALSE)</f>
        <v>0.14899999999999999</v>
      </c>
      <c r="G127">
        <f>VLOOKUP($D127,'[2]LC Balanced'!$Q$2:$U$542,4,FALSE)</f>
        <v>0.85099999999999998</v>
      </c>
      <c r="H127">
        <f>VLOOKUP($D127,'[2]LC Balanced'!$Q$2:$U$542,5,FALSE)</f>
        <v>0</v>
      </c>
      <c r="I127" s="77">
        <f t="shared" si="194"/>
        <v>1</v>
      </c>
      <c r="J127" s="77">
        <f t="shared" si="195"/>
        <v>6.1987699999999986E-2</v>
      </c>
      <c r="K127" s="77">
        <f t="shared" si="185"/>
        <v>5.024442123284345E-3</v>
      </c>
      <c r="L127" s="76">
        <v>0</v>
      </c>
      <c r="M127" s="77">
        <f t="shared" si="201"/>
        <v>0</v>
      </c>
      <c r="N127" s="77">
        <f t="shared" si="202"/>
        <v>0</v>
      </c>
      <c r="O127" s="77">
        <f t="shared" si="203"/>
        <v>7.0062999999999992E-3</v>
      </c>
      <c r="P127" s="77">
        <f t="shared" si="204"/>
        <v>5.85741666996209E-4</v>
      </c>
      <c r="R127" t="s">
        <v>177</v>
      </c>
      <c r="S127" t="s">
        <v>176</v>
      </c>
      <c r="T127" s="197" t="str">
        <f t="shared" si="296"/>
        <v>Autopilot_Balanced_418</v>
      </c>
      <c r="U127">
        <v>418</v>
      </c>
      <c r="V127">
        <f>VLOOKUP($U127,'[2]AP Balanced'!$Q$1:$T$542,2,FALSE)</f>
        <v>0.77777777777777779</v>
      </c>
      <c r="W127">
        <f>VLOOKUP($U127,'[2]AP Balanced'!$Q$1:$T$542,3,FALSE)</f>
        <v>0.22222222222222221</v>
      </c>
      <c r="X127">
        <f>VLOOKUP($U127,'[2]AP Balanced'!$Q$1:$T$542,4,FALSE)</f>
        <v>0</v>
      </c>
      <c r="Y127" s="77">
        <f t="shared" si="250"/>
        <v>1</v>
      </c>
      <c r="Z127" s="77">
        <f t="shared" si="297"/>
        <v>6.1674999999999987E-2</v>
      </c>
      <c r="AA127" s="77">
        <f t="shared" si="298"/>
        <v>4.9997781870025904E-3</v>
      </c>
      <c r="AB127" s="79">
        <v>1</v>
      </c>
      <c r="AC127" s="77">
        <f t="shared" si="205"/>
        <v>8.0555555555555554E-3</v>
      </c>
      <c r="AD127" s="77">
        <f t="shared" si="196"/>
        <v>6.7378764057135498E-4</v>
      </c>
      <c r="AE127" s="77">
        <f t="shared" si="206"/>
        <v>2.5000000000000001E-3</v>
      </c>
      <c r="AF127" s="77">
        <f t="shared" si="196"/>
        <v>2.0857243058891584E-4</v>
      </c>
      <c r="AH127" t="s">
        <v>175</v>
      </c>
      <c r="AI127" t="s">
        <v>176</v>
      </c>
      <c r="AJ127" s="197" t="str">
        <f t="shared" si="252"/>
        <v>Lifecycle_Balanced_418</v>
      </c>
      <c r="AK127">
        <v>418</v>
      </c>
      <c r="AL127">
        <f>VLOOKUP($U127,[2]Standard_Balanced!$Q$1:$T$542,2,FALSE)</f>
        <v>0.77777777777777779</v>
      </c>
      <c r="AM127">
        <f>VLOOKUP($U127,[2]Standard_Balanced!$Q$1:$T$542,3,FALSE)</f>
        <v>0.22222222222222221</v>
      </c>
      <c r="AN127">
        <f>VLOOKUP($U127,[2]Standard_Balanced!$Q$1:$T$542,4,FALSE)</f>
        <v>0</v>
      </c>
      <c r="AO127" s="77">
        <f t="shared" si="182"/>
        <v>1</v>
      </c>
      <c r="AP127" s="77">
        <f t="shared" si="207"/>
        <v>6.1674999999999987E-2</v>
      </c>
      <c r="AQ127" s="77">
        <f t="shared" si="253"/>
        <v>4.9997781870025904E-3</v>
      </c>
      <c r="AR127" s="79">
        <v>0</v>
      </c>
      <c r="AS127" s="77">
        <f t="shared" si="208"/>
        <v>0</v>
      </c>
      <c r="AT127" s="77">
        <f t="shared" ref="AT127" si="341">1-(1-AS127)^(1/12)</f>
        <v>0</v>
      </c>
      <c r="AU127" s="77">
        <f t="shared" si="210"/>
        <v>2.5000000000000001E-3</v>
      </c>
      <c r="AV127" s="77">
        <f t="shared" ref="AV127" si="342">1-(1-AU127)^(1/12)</f>
        <v>2.0857243058891584E-4</v>
      </c>
      <c r="AX127" t="s">
        <v>178</v>
      </c>
      <c r="AY127" t="s">
        <v>160</v>
      </c>
      <c r="AZ127" s="197" t="str">
        <f t="shared" si="256"/>
        <v>DIS_Non-Standard_418</v>
      </c>
      <c r="BA127">
        <v>418</v>
      </c>
      <c r="BB127">
        <f>VLOOKUP($BA127,'[2]NonStandard DIS'!$Q$1:$X$542,2,FALSE)</f>
        <v>0</v>
      </c>
      <c r="BC127">
        <f>VLOOKUP($BA127,'[2]NonStandard DIS'!$Q$1:$X$542,3,FALSE)</f>
        <v>0</v>
      </c>
      <c r="BD127">
        <f>VLOOKUP($BA127,'[2]NonStandard DIS'!$Q$1:$X$542,4,FALSE)</f>
        <v>0.308</v>
      </c>
      <c r="BE127">
        <f>VLOOKUP($BA127,'[2]NonStandard DIS'!$Q$1:$X$542,5,FALSE)</f>
        <v>0.69199999999999995</v>
      </c>
      <c r="BF127">
        <f>VLOOKUP($BA127,'[2]NonStandard DIS'!$Q$1:$X$542,6,FALSE)</f>
        <v>0</v>
      </c>
      <c r="BG127">
        <f>VLOOKUP($BA127,'[2]NonStandard DIS'!$Q$1:$X$542,7,FALSE)</f>
        <v>0</v>
      </c>
      <c r="BH127">
        <f>VLOOKUP($BA127,'[2]NonStandard DIS'!$Q$1:$X$542,8,FALSE)</f>
        <v>0</v>
      </c>
      <c r="BI127" s="77">
        <f t="shared" si="199"/>
        <v>1</v>
      </c>
      <c r="BJ127" s="77">
        <f t="shared" si="200"/>
        <v>6.9728499999999985E-2</v>
      </c>
      <c r="BK127" s="77">
        <f t="shared" ref="BK127:BK190" si="343">(1+BJ127)^(1/12)-1</f>
        <v>5.632878498097682E-3</v>
      </c>
      <c r="BL127" s="79">
        <v>0</v>
      </c>
      <c r="BM127" s="77">
        <f t="shared" si="212"/>
        <v>0</v>
      </c>
      <c r="BN127" s="77">
        <f t="shared" si="213"/>
        <v>0</v>
      </c>
      <c r="BO127" s="77">
        <f t="shared" si="214"/>
        <v>5.6775999999999997E-3</v>
      </c>
      <c r="BP127" s="77">
        <f t="shared" si="215"/>
        <v>4.7190657760731725E-4</v>
      </c>
    </row>
    <row r="128" spans="1:68">
      <c r="A128" t="s">
        <v>175</v>
      </c>
      <c r="B128" t="s">
        <v>176</v>
      </c>
      <c r="C128" s="197" t="str">
        <f t="shared" si="248"/>
        <v>Lifecycle_Balanced_417</v>
      </c>
      <c r="D128">
        <v>417</v>
      </c>
      <c r="E128">
        <f>VLOOKUP($D128,'[2]LC Balanced'!$Q$2:$U$542,2,FALSE)</f>
        <v>0</v>
      </c>
      <c r="F128">
        <f>VLOOKUP($D128,'[2]LC Balanced'!$Q$2:$U$542,3,FALSE)</f>
        <v>0.14899999999999999</v>
      </c>
      <c r="G128">
        <f>VLOOKUP($D128,'[2]LC Balanced'!$Q$2:$U$542,4,FALSE)</f>
        <v>0.85099999999999998</v>
      </c>
      <c r="H128">
        <f>VLOOKUP($D128,'[2]LC Balanced'!$Q$2:$U$542,5,FALSE)</f>
        <v>0</v>
      </c>
      <c r="I128" s="77">
        <f t="shared" si="194"/>
        <v>1</v>
      </c>
      <c r="J128" s="77">
        <f t="shared" si="195"/>
        <v>6.1987699999999986E-2</v>
      </c>
      <c r="K128" s="77">
        <f t="shared" si="185"/>
        <v>5.024442123284345E-3</v>
      </c>
      <c r="L128" s="76">
        <v>0</v>
      </c>
      <c r="M128" s="77">
        <f t="shared" si="201"/>
        <v>0</v>
      </c>
      <c r="N128" s="77">
        <f t="shared" si="202"/>
        <v>0</v>
      </c>
      <c r="O128" s="77">
        <f t="shared" si="203"/>
        <v>7.0062999999999992E-3</v>
      </c>
      <c r="P128" s="77">
        <f t="shared" si="204"/>
        <v>5.85741666996209E-4</v>
      </c>
      <c r="R128" t="s">
        <v>177</v>
      </c>
      <c r="S128" t="s">
        <v>176</v>
      </c>
      <c r="T128" s="197" t="str">
        <f t="shared" si="296"/>
        <v>Autopilot_Balanced_417</v>
      </c>
      <c r="U128">
        <v>417</v>
      </c>
      <c r="V128">
        <f>VLOOKUP($U128,'[2]AP Balanced'!$Q$1:$T$542,2,FALSE)</f>
        <v>0.77777777777777779</v>
      </c>
      <c r="W128">
        <f>VLOOKUP($U128,'[2]AP Balanced'!$Q$1:$T$542,3,FALSE)</f>
        <v>0.22222222222222221</v>
      </c>
      <c r="X128">
        <f>VLOOKUP($U128,'[2]AP Balanced'!$Q$1:$T$542,4,FALSE)</f>
        <v>0</v>
      </c>
      <c r="Y128" s="77">
        <f t="shared" si="250"/>
        <v>1</v>
      </c>
      <c r="Z128" s="77">
        <f t="shared" si="297"/>
        <v>6.1674999999999987E-2</v>
      </c>
      <c r="AA128" s="77">
        <f t="shared" si="298"/>
        <v>4.9997781870025904E-3</v>
      </c>
      <c r="AB128" s="79">
        <v>1</v>
      </c>
      <c r="AC128" s="77">
        <f t="shared" si="205"/>
        <v>8.0555555555555554E-3</v>
      </c>
      <c r="AD128" s="77">
        <f t="shared" si="196"/>
        <v>6.7378764057135498E-4</v>
      </c>
      <c r="AE128" s="77">
        <f t="shared" si="206"/>
        <v>2.5000000000000001E-3</v>
      </c>
      <c r="AF128" s="77">
        <f t="shared" si="196"/>
        <v>2.0857243058891584E-4</v>
      </c>
      <c r="AH128" t="s">
        <v>175</v>
      </c>
      <c r="AI128" t="s">
        <v>176</v>
      </c>
      <c r="AJ128" s="197" t="str">
        <f t="shared" si="252"/>
        <v>Lifecycle_Balanced_417</v>
      </c>
      <c r="AK128">
        <v>417</v>
      </c>
      <c r="AL128">
        <f>VLOOKUP($U128,[2]Standard_Balanced!$Q$1:$T$542,2,FALSE)</f>
        <v>0.77777777777777779</v>
      </c>
      <c r="AM128">
        <f>VLOOKUP($U128,[2]Standard_Balanced!$Q$1:$T$542,3,FALSE)</f>
        <v>0.22222222222222221</v>
      </c>
      <c r="AN128">
        <f>VLOOKUP($U128,[2]Standard_Balanced!$Q$1:$T$542,4,FALSE)</f>
        <v>0</v>
      </c>
      <c r="AO128" s="77">
        <f t="shared" ref="AO128:AO191" si="344">SUM(AL128:AN128)</f>
        <v>1</v>
      </c>
      <c r="AP128" s="77">
        <f t="shared" si="207"/>
        <v>6.1674999999999987E-2</v>
      </c>
      <c r="AQ128" s="77">
        <f t="shared" si="253"/>
        <v>4.9997781870025904E-3</v>
      </c>
      <c r="AR128" s="79">
        <v>0</v>
      </c>
      <c r="AS128" s="77">
        <f t="shared" si="208"/>
        <v>0</v>
      </c>
      <c r="AT128" s="77">
        <f t="shared" ref="AT128" si="345">1-(1-AS128)^(1/12)</f>
        <v>0</v>
      </c>
      <c r="AU128" s="77">
        <f t="shared" si="210"/>
        <v>2.5000000000000001E-3</v>
      </c>
      <c r="AV128" s="77">
        <f t="shared" ref="AV128" si="346">1-(1-AU128)^(1/12)</f>
        <v>2.0857243058891584E-4</v>
      </c>
      <c r="AX128" t="s">
        <v>178</v>
      </c>
      <c r="AY128" t="s">
        <v>160</v>
      </c>
      <c r="AZ128" s="197" t="str">
        <f t="shared" si="256"/>
        <v>DIS_Non-Standard_417</v>
      </c>
      <c r="BA128">
        <v>417</v>
      </c>
      <c r="BB128">
        <f>VLOOKUP($BA128,'[2]NonStandard DIS'!$Q$1:$X$542,2,FALSE)</f>
        <v>0</v>
      </c>
      <c r="BC128">
        <f>VLOOKUP($BA128,'[2]NonStandard DIS'!$Q$1:$X$542,3,FALSE)</f>
        <v>0</v>
      </c>
      <c r="BD128">
        <f>VLOOKUP($BA128,'[2]NonStandard DIS'!$Q$1:$X$542,4,FALSE)</f>
        <v>0.308</v>
      </c>
      <c r="BE128">
        <f>VLOOKUP($BA128,'[2]NonStandard DIS'!$Q$1:$X$542,5,FALSE)</f>
        <v>0.69199999999999995</v>
      </c>
      <c r="BF128">
        <f>VLOOKUP($BA128,'[2]NonStandard DIS'!$Q$1:$X$542,6,FALSE)</f>
        <v>0</v>
      </c>
      <c r="BG128">
        <f>VLOOKUP($BA128,'[2]NonStandard DIS'!$Q$1:$X$542,7,FALSE)</f>
        <v>0</v>
      </c>
      <c r="BH128">
        <f>VLOOKUP($BA128,'[2]NonStandard DIS'!$Q$1:$X$542,8,FALSE)</f>
        <v>0</v>
      </c>
      <c r="BI128" s="77">
        <f t="shared" si="199"/>
        <v>1</v>
      </c>
      <c r="BJ128" s="77">
        <f t="shared" si="200"/>
        <v>6.9728499999999985E-2</v>
      </c>
      <c r="BK128" s="77">
        <f t="shared" si="343"/>
        <v>5.632878498097682E-3</v>
      </c>
      <c r="BL128" s="79">
        <v>0</v>
      </c>
      <c r="BM128" s="77">
        <f t="shared" si="212"/>
        <v>0</v>
      </c>
      <c r="BN128" s="77">
        <f t="shared" si="213"/>
        <v>0</v>
      </c>
      <c r="BO128" s="77">
        <f t="shared" si="214"/>
        <v>5.6775999999999997E-3</v>
      </c>
      <c r="BP128" s="77">
        <f t="shared" si="215"/>
        <v>4.7190657760731725E-4</v>
      </c>
    </row>
    <row r="129" spans="1:68">
      <c r="A129" t="s">
        <v>175</v>
      </c>
      <c r="B129" t="s">
        <v>176</v>
      </c>
      <c r="C129" s="197" t="str">
        <f t="shared" si="248"/>
        <v>Lifecycle_Balanced_416</v>
      </c>
      <c r="D129">
        <v>416</v>
      </c>
      <c r="E129">
        <f>VLOOKUP($D129,'[2]LC Balanced'!$Q$2:$U$542,2,FALSE)</f>
        <v>0</v>
      </c>
      <c r="F129">
        <f>VLOOKUP($D129,'[2]LC Balanced'!$Q$2:$U$542,3,FALSE)</f>
        <v>0.14899999999999999</v>
      </c>
      <c r="G129">
        <f>VLOOKUP($D129,'[2]LC Balanced'!$Q$2:$U$542,4,FALSE)</f>
        <v>0.85099999999999998</v>
      </c>
      <c r="H129">
        <f>VLOOKUP($D129,'[2]LC Balanced'!$Q$2:$U$542,5,FALSE)</f>
        <v>0</v>
      </c>
      <c r="I129" s="77">
        <f t="shared" si="194"/>
        <v>1</v>
      </c>
      <c r="J129" s="77">
        <f t="shared" si="195"/>
        <v>6.1987699999999986E-2</v>
      </c>
      <c r="K129" s="77">
        <f t="shared" ref="K129:K192" si="347">(1+J129)^(1/12)-1</f>
        <v>5.024442123284345E-3</v>
      </c>
      <c r="L129" s="76">
        <v>0</v>
      </c>
      <c r="M129" s="77">
        <f t="shared" si="201"/>
        <v>0</v>
      </c>
      <c r="N129" s="77">
        <f t="shared" si="202"/>
        <v>0</v>
      </c>
      <c r="O129" s="77">
        <f t="shared" si="203"/>
        <v>7.0062999999999992E-3</v>
      </c>
      <c r="P129" s="77">
        <f t="shared" si="204"/>
        <v>5.85741666996209E-4</v>
      </c>
      <c r="R129" t="s">
        <v>177</v>
      </c>
      <c r="S129" t="s">
        <v>176</v>
      </c>
      <c r="T129" s="197" t="str">
        <f t="shared" si="296"/>
        <v>Autopilot_Balanced_416</v>
      </c>
      <c r="U129">
        <v>416</v>
      </c>
      <c r="V129">
        <f>VLOOKUP($U129,'[2]AP Balanced'!$Q$1:$T$542,2,FALSE)</f>
        <v>0.77777777777777779</v>
      </c>
      <c r="W129">
        <f>VLOOKUP($U129,'[2]AP Balanced'!$Q$1:$T$542,3,FALSE)</f>
        <v>0.22222222222222221</v>
      </c>
      <c r="X129">
        <f>VLOOKUP($U129,'[2]AP Balanced'!$Q$1:$T$542,4,FALSE)</f>
        <v>0</v>
      </c>
      <c r="Y129" s="77">
        <f t="shared" si="250"/>
        <v>1</v>
      </c>
      <c r="Z129" s="77">
        <f t="shared" si="297"/>
        <v>6.1674999999999987E-2</v>
      </c>
      <c r="AA129" s="77">
        <f t="shared" si="298"/>
        <v>4.9997781870025904E-3</v>
      </c>
      <c r="AB129" s="79">
        <v>1</v>
      </c>
      <c r="AC129" s="77">
        <f t="shared" si="205"/>
        <v>8.0555555555555554E-3</v>
      </c>
      <c r="AD129" s="77">
        <f t="shared" si="196"/>
        <v>6.7378764057135498E-4</v>
      </c>
      <c r="AE129" s="77">
        <f t="shared" si="206"/>
        <v>2.5000000000000001E-3</v>
      </c>
      <c r="AF129" s="77">
        <f t="shared" si="196"/>
        <v>2.0857243058891584E-4</v>
      </c>
      <c r="AH129" t="s">
        <v>175</v>
      </c>
      <c r="AI129" t="s">
        <v>176</v>
      </c>
      <c r="AJ129" s="197" t="str">
        <f t="shared" si="252"/>
        <v>Lifecycle_Balanced_416</v>
      </c>
      <c r="AK129">
        <v>416</v>
      </c>
      <c r="AL129">
        <f>VLOOKUP($U129,[2]Standard_Balanced!$Q$1:$T$542,2,FALSE)</f>
        <v>0.77777777777777779</v>
      </c>
      <c r="AM129">
        <f>VLOOKUP($U129,[2]Standard_Balanced!$Q$1:$T$542,3,FALSE)</f>
        <v>0.22222222222222221</v>
      </c>
      <c r="AN129">
        <f>VLOOKUP($U129,[2]Standard_Balanced!$Q$1:$T$542,4,FALSE)</f>
        <v>0</v>
      </c>
      <c r="AO129" s="77">
        <f t="shared" si="344"/>
        <v>1</v>
      </c>
      <c r="AP129" s="77">
        <f t="shared" si="207"/>
        <v>6.1674999999999987E-2</v>
      </c>
      <c r="AQ129" s="77">
        <f t="shared" si="253"/>
        <v>4.9997781870025904E-3</v>
      </c>
      <c r="AR129" s="79">
        <v>0</v>
      </c>
      <c r="AS129" s="77">
        <f t="shared" si="208"/>
        <v>0</v>
      </c>
      <c r="AT129" s="77">
        <f t="shared" ref="AT129" si="348">1-(1-AS129)^(1/12)</f>
        <v>0</v>
      </c>
      <c r="AU129" s="77">
        <f t="shared" si="210"/>
        <v>2.5000000000000001E-3</v>
      </c>
      <c r="AV129" s="77">
        <f t="shared" ref="AV129" si="349">1-(1-AU129)^(1/12)</f>
        <v>2.0857243058891584E-4</v>
      </c>
      <c r="AX129" t="s">
        <v>178</v>
      </c>
      <c r="AY129" t="s">
        <v>160</v>
      </c>
      <c r="AZ129" s="197" t="str">
        <f t="shared" si="256"/>
        <v>DIS_Non-Standard_416</v>
      </c>
      <c r="BA129">
        <v>416</v>
      </c>
      <c r="BB129">
        <f>VLOOKUP($BA129,'[2]NonStandard DIS'!$Q$1:$X$542,2,FALSE)</f>
        <v>0</v>
      </c>
      <c r="BC129">
        <f>VLOOKUP($BA129,'[2]NonStandard DIS'!$Q$1:$X$542,3,FALSE)</f>
        <v>0</v>
      </c>
      <c r="BD129">
        <f>VLOOKUP($BA129,'[2]NonStandard DIS'!$Q$1:$X$542,4,FALSE)</f>
        <v>0.308</v>
      </c>
      <c r="BE129">
        <f>VLOOKUP($BA129,'[2]NonStandard DIS'!$Q$1:$X$542,5,FALSE)</f>
        <v>0.69199999999999995</v>
      </c>
      <c r="BF129">
        <f>VLOOKUP($BA129,'[2]NonStandard DIS'!$Q$1:$X$542,6,FALSE)</f>
        <v>0</v>
      </c>
      <c r="BG129">
        <f>VLOOKUP($BA129,'[2]NonStandard DIS'!$Q$1:$X$542,7,FALSE)</f>
        <v>0</v>
      </c>
      <c r="BH129">
        <f>VLOOKUP($BA129,'[2]NonStandard DIS'!$Q$1:$X$542,8,FALSE)</f>
        <v>0</v>
      </c>
      <c r="BI129" s="77">
        <f t="shared" si="199"/>
        <v>1</v>
      </c>
      <c r="BJ129" s="77">
        <f t="shared" si="200"/>
        <v>6.9728499999999985E-2</v>
      </c>
      <c r="BK129" s="77">
        <f t="shared" si="343"/>
        <v>5.632878498097682E-3</v>
      </c>
      <c r="BL129" s="79">
        <v>0</v>
      </c>
      <c r="BM129" s="77">
        <f t="shared" si="212"/>
        <v>0</v>
      </c>
      <c r="BN129" s="77">
        <f t="shared" si="213"/>
        <v>0</v>
      </c>
      <c r="BO129" s="77">
        <f t="shared" si="214"/>
        <v>5.6775999999999997E-3</v>
      </c>
      <c r="BP129" s="77">
        <f t="shared" si="215"/>
        <v>4.7190657760731725E-4</v>
      </c>
    </row>
    <row r="130" spans="1:68">
      <c r="A130" t="s">
        <v>175</v>
      </c>
      <c r="B130" t="s">
        <v>176</v>
      </c>
      <c r="C130" s="197" t="str">
        <f t="shared" si="248"/>
        <v>Lifecycle_Balanced_415</v>
      </c>
      <c r="D130">
        <v>415</v>
      </c>
      <c r="E130">
        <f>VLOOKUP($D130,'[2]LC Balanced'!$Q$2:$U$542,2,FALSE)</f>
        <v>0</v>
      </c>
      <c r="F130">
        <f>VLOOKUP($D130,'[2]LC Balanced'!$Q$2:$U$542,3,FALSE)</f>
        <v>0.14899999999999999</v>
      </c>
      <c r="G130">
        <f>VLOOKUP($D130,'[2]LC Balanced'!$Q$2:$U$542,4,FALSE)</f>
        <v>0.85099999999999998</v>
      </c>
      <c r="H130">
        <f>VLOOKUP($D130,'[2]LC Balanced'!$Q$2:$U$542,5,FALSE)</f>
        <v>0</v>
      </c>
      <c r="I130" s="77">
        <f t="shared" si="194"/>
        <v>1</v>
      </c>
      <c r="J130" s="77">
        <f t="shared" si="195"/>
        <v>6.1987699999999986E-2</v>
      </c>
      <c r="K130" s="77">
        <f t="shared" si="347"/>
        <v>5.024442123284345E-3</v>
      </c>
      <c r="L130" s="76">
        <v>0</v>
      </c>
      <c r="M130" s="77">
        <f t="shared" si="201"/>
        <v>0</v>
      </c>
      <c r="N130" s="77">
        <f t="shared" si="202"/>
        <v>0</v>
      </c>
      <c r="O130" s="77">
        <f t="shared" si="203"/>
        <v>7.0062999999999992E-3</v>
      </c>
      <c r="P130" s="77">
        <f t="shared" si="204"/>
        <v>5.85741666996209E-4</v>
      </c>
      <c r="R130" t="s">
        <v>177</v>
      </c>
      <c r="S130" t="s">
        <v>176</v>
      </c>
      <c r="T130" s="197" t="str">
        <f t="shared" si="296"/>
        <v>Autopilot_Balanced_415</v>
      </c>
      <c r="U130">
        <v>415</v>
      </c>
      <c r="V130">
        <f>VLOOKUP($U130,'[2]AP Balanced'!$Q$1:$T$542,2,FALSE)</f>
        <v>0.77777777777777779</v>
      </c>
      <c r="W130">
        <f>VLOOKUP($U130,'[2]AP Balanced'!$Q$1:$T$542,3,FALSE)</f>
        <v>0.22222222222222221</v>
      </c>
      <c r="X130">
        <f>VLOOKUP($U130,'[2]AP Balanced'!$Q$1:$T$542,4,FALSE)</f>
        <v>0</v>
      </c>
      <c r="Y130" s="77">
        <f t="shared" si="250"/>
        <v>1</v>
      </c>
      <c r="Z130" s="77">
        <f t="shared" si="297"/>
        <v>6.1674999999999987E-2</v>
      </c>
      <c r="AA130" s="77">
        <f t="shared" si="298"/>
        <v>4.9997781870025904E-3</v>
      </c>
      <c r="AB130" s="79">
        <v>1</v>
      </c>
      <c r="AC130" s="77">
        <f t="shared" si="205"/>
        <v>8.0555555555555554E-3</v>
      </c>
      <c r="AD130" s="77">
        <f t="shared" si="196"/>
        <v>6.7378764057135498E-4</v>
      </c>
      <c r="AE130" s="77">
        <f t="shared" si="206"/>
        <v>2.5000000000000001E-3</v>
      </c>
      <c r="AF130" s="77">
        <f t="shared" si="196"/>
        <v>2.0857243058891584E-4</v>
      </c>
      <c r="AH130" t="s">
        <v>175</v>
      </c>
      <c r="AI130" t="s">
        <v>176</v>
      </c>
      <c r="AJ130" s="197" t="str">
        <f t="shared" si="252"/>
        <v>Lifecycle_Balanced_415</v>
      </c>
      <c r="AK130">
        <v>415</v>
      </c>
      <c r="AL130">
        <f>VLOOKUP($U130,[2]Standard_Balanced!$Q$1:$T$542,2,FALSE)</f>
        <v>0.77777777777777779</v>
      </c>
      <c r="AM130">
        <f>VLOOKUP($U130,[2]Standard_Balanced!$Q$1:$T$542,3,FALSE)</f>
        <v>0.22222222222222221</v>
      </c>
      <c r="AN130">
        <f>VLOOKUP($U130,[2]Standard_Balanced!$Q$1:$T$542,4,FALSE)</f>
        <v>0</v>
      </c>
      <c r="AO130" s="77">
        <f t="shared" si="344"/>
        <v>1</v>
      </c>
      <c r="AP130" s="77">
        <f t="shared" si="207"/>
        <v>6.1674999999999987E-2</v>
      </c>
      <c r="AQ130" s="77">
        <f t="shared" si="253"/>
        <v>4.9997781870025904E-3</v>
      </c>
      <c r="AR130" s="79">
        <v>0</v>
      </c>
      <c r="AS130" s="77">
        <f t="shared" si="208"/>
        <v>0</v>
      </c>
      <c r="AT130" s="77">
        <f t="shared" ref="AT130" si="350">1-(1-AS130)^(1/12)</f>
        <v>0</v>
      </c>
      <c r="AU130" s="77">
        <f t="shared" si="210"/>
        <v>2.5000000000000001E-3</v>
      </c>
      <c r="AV130" s="77">
        <f t="shared" ref="AV130" si="351">1-(1-AU130)^(1/12)</f>
        <v>2.0857243058891584E-4</v>
      </c>
      <c r="AX130" t="s">
        <v>178</v>
      </c>
      <c r="AY130" t="s">
        <v>160</v>
      </c>
      <c r="AZ130" s="197" t="str">
        <f t="shared" si="256"/>
        <v>DIS_Non-Standard_415</v>
      </c>
      <c r="BA130">
        <v>415</v>
      </c>
      <c r="BB130">
        <f>VLOOKUP($BA130,'[2]NonStandard DIS'!$Q$1:$X$542,2,FALSE)</f>
        <v>0</v>
      </c>
      <c r="BC130">
        <f>VLOOKUP($BA130,'[2]NonStandard DIS'!$Q$1:$X$542,3,FALSE)</f>
        <v>0</v>
      </c>
      <c r="BD130">
        <f>VLOOKUP($BA130,'[2]NonStandard DIS'!$Q$1:$X$542,4,FALSE)</f>
        <v>0.308</v>
      </c>
      <c r="BE130">
        <f>VLOOKUP($BA130,'[2]NonStandard DIS'!$Q$1:$X$542,5,FALSE)</f>
        <v>0.69199999999999995</v>
      </c>
      <c r="BF130">
        <f>VLOOKUP($BA130,'[2]NonStandard DIS'!$Q$1:$X$542,6,FALSE)</f>
        <v>0</v>
      </c>
      <c r="BG130">
        <f>VLOOKUP($BA130,'[2]NonStandard DIS'!$Q$1:$X$542,7,FALSE)</f>
        <v>0</v>
      </c>
      <c r="BH130">
        <f>VLOOKUP($BA130,'[2]NonStandard DIS'!$Q$1:$X$542,8,FALSE)</f>
        <v>0</v>
      </c>
      <c r="BI130" s="77">
        <f t="shared" si="199"/>
        <v>1</v>
      </c>
      <c r="BJ130" s="77">
        <f t="shared" si="200"/>
        <v>6.9728499999999985E-2</v>
      </c>
      <c r="BK130" s="77">
        <f t="shared" si="343"/>
        <v>5.632878498097682E-3</v>
      </c>
      <c r="BL130" s="79">
        <v>0</v>
      </c>
      <c r="BM130" s="77">
        <f t="shared" si="212"/>
        <v>0</v>
      </c>
      <c r="BN130" s="77">
        <f t="shared" si="213"/>
        <v>0</v>
      </c>
      <c r="BO130" s="77">
        <f t="shared" si="214"/>
        <v>5.6775999999999997E-3</v>
      </c>
      <c r="BP130" s="77">
        <f t="shared" si="215"/>
        <v>4.7190657760731725E-4</v>
      </c>
    </row>
    <row r="131" spans="1:68">
      <c r="A131" t="s">
        <v>175</v>
      </c>
      <c r="B131" t="s">
        <v>176</v>
      </c>
      <c r="C131" s="197" t="str">
        <f t="shared" si="248"/>
        <v>Lifecycle_Balanced_414</v>
      </c>
      <c r="D131">
        <v>414</v>
      </c>
      <c r="E131">
        <f>VLOOKUP($D131,'[2]LC Balanced'!$Q$2:$U$542,2,FALSE)</f>
        <v>0</v>
      </c>
      <c r="F131">
        <f>VLOOKUP($D131,'[2]LC Balanced'!$Q$2:$U$542,3,FALSE)</f>
        <v>0.14899999999999999</v>
      </c>
      <c r="G131">
        <f>VLOOKUP($D131,'[2]LC Balanced'!$Q$2:$U$542,4,FALSE)</f>
        <v>0.85099999999999998</v>
      </c>
      <c r="H131">
        <f>VLOOKUP($D131,'[2]LC Balanced'!$Q$2:$U$542,5,FALSE)</f>
        <v>0</v>
      </c>
      <c r="I131" s="77">
        <f t="shared" si="194"/>
        <v>1</v>
      </c>
      <c r="J131" s="77">
        <f t="shared" si="195"/>
        <v>6.1987699999999986E-2</v>
      </c>
      <c r="K131" s="77">
        <f t="shared" si="347"/>
        <v>5.024442123284345E-3</v>
      </c>
      <c r="L131" s="76">
        <v>0</v>
      </c>
      <c r="M131" s="77">
        <f t="shared" si="201"/>
        <v>0</v>
      </c>
      <c r="N131" s="77">
        <f t="shared" si="202"/>
        <v>0</v>
      </c>
      <c r="O131" s="77">
        <f t="shared" si="203"/>
        <v>7.0062999999999992E-3</v>
      </c>
      <c r="P131" s="77">
        <f t="shared" si="204"/>
        <v>5.85741666996209E-4</v>
      </c>
      <c r="R131" t="s">
        <v>177</v>
      </c>
      <c r="S131" t="s">
        <v>176</v>
      </c>
      <c r="T131" s="197" t="str">
        <f t="shared" si="296"/>
        <v>Autopilot_Balanced_414</v>
      </c>
      <c r="U131">
        <v>414</v>
      </c>
      <c r="V131">
        <f>VLOOKUP($U131,'[2]AP Balanced'!$Q$1:$T$542,2,FALSE)</f>
        <v>0.77777777777777779</v>
      </c>
      <c r="W131">
        <f>VLOOKUP($U131,'[2]AP Balanced'!$Q$1:$T$542,3,FALSE)</f>
        <v>0.22222222222222221</v>
      </c>
      <c r="X131">
        <f>VLOOKUP($U131,'[2]AP Balanced'!$Q$1:$T$542,4,FALSE)</f>
        <v>0</v>
      </c>
      <c r="Y131" s="77">
        <f t="shared" si="250"/>
        <v>1</v>
      </c>
      <c r="Z131" s="77">
        <f t="shared" si="297"/>
        <v>6.1674999999999987E-2</v>
      </c>
      <c r="AA131" s="77">
        <f t="shared" si="298"/>
        <v>4.9997781870025904E-3</v>
      </c>
      <c r="AB131" s="79">
        <v>1</v>
      </c>
      <c r="AC131" s="77">
        <f t="shared" si="205"/>
        <v>8.0555555555555554E-3</v>
      </c>
      <c r="AD131" s="77">
        <f t="shared" si="196"/>
        <v>6.7378764057135498E-4</v>
      </c>
      <c r="AE131" s="77">
        <f t="shared" si="206"/>
        <v>2.5000000000000001E-3</v>
      </c>
      <c r="AF131" s="77">
        <f t="shared" si="196"/>
        <v>2.0857243058891584E-4</v>
      </c>
      <c r="AH131" t="s">
        <v>175</v>
      </c>
      <c r="AI131" t="s">
        <v>176</v>
      </c>
      <c r="AJ131" s="197" t="str">
        <f t="shared" si="252"/>
        <v>Lifecycle_Balanced_414</v>
      </c>
      <c r="AK131">
        <v>414</v>
      </c>
      <c r="AL131">
        <f>VLOOKUP($U131,[2]Standard_Balanced!$Q$1:$T$542,2,FALSE)</f>
        <v>0.77777777777777779</v>
      </c>
      <c r="AM131">
        <f>VLOOKUP($U131,[2]Standard_Balanced!$Q$1:$T$542,3,FALSE)</f>
        <v>0.22222222222222221</v>
      </c>
      <c r="AN131">
        <f>VLOOKUP($U131,[2]Standard_Balanced!$Q$1:$T$542,4,FALSE)</f>
        <v>0</v>
      </c>
      <c r="AO131" s="77">
        <f t="shared" si="344"/>
        <v>1</v>
      </c>
      <c r="AP131" s="77">
        <f t="shared" si="207"/>
        <v>6.1674999999999987E-2</v>
      </c>
      <c r="AQ131" s="77">
        <f t="shared" si="253"/>
        <v>4.9997781870025904E-3</v>
      </c>
      <c r="AR131" s="79">
        <v>0</v>
      </c>
      <c r="AS131" s="77">
        <f t="shared" si="208"/>
        <v>0</v>
      </c>
      <c r="AT131" s="77">
        <f t="shared" ref="AT131" si="352">1-(1-AS131)^(1/12)</f>
        <v>0</v>
      </c>
      <c r="AU131" s="77">
        <f t="shared" si="210"/>
        <v>2.5000000000000001E-3</v>
      </c>
      <c r="AV131" s="77">
        <f t="shared" ref="AV131" si="353">1-(1-AU131)^(1/12)</f>
        <v>2.0857243058891584E-4</v>
      </c>
      <c r="AX131" t="s">
        <v>178</v>
      </c>
      <c r="AY131" t="s">
        <v>160</v>
      </c>
      <c r="AZ131" s="197" t="str">
        <f t="shared" si="256"/>
        <v>DIS_Non-Standard_414</v>
      </c>
      <c r="BA131">
        <v>414</v>
      </c>
      <c r="BB131">
        <f>VLOOKUP($BA131,'[2]NonStandard DIS'!$Q$1:$X$542,2,FALSE)</f>
        <v>0</v>
      </c>
      <c r="BC131">
        <f>VLOOKUP($BA131,'[2]NonStandard DIS'!$Q$1:$X$542,3,FALSE)</f>
        <v>0</v>
      </c>
      <c r="BD131">
        <f>VLOOKUP($BA131,'[2]NonStandard DIS'!$Q$1:$X$542,4,FALSE)</f>
        <v>0.308</v>
      </c>
      <c r="BE131">
        <f>VLOOKUP($BA131,'[2]NonStandard DIS'!$Q$1:$X$542,5,FALSE)</f>
        <v>0.69199999999999995</v>
      </c>
      <c r="BF131">
        <f>VLOOKUP($BA131,'[2]NonStandard DIS'!$Q$1:$X$542,6,FALSE)</f>
        <v>0</v>
      </c>
      <c r="BG131">
        <f>VLOOKUP($BA131,'[2]NonStandard DIS'!$Q$1:$X$542,7,FALSE)</f>
        <v>0</v>
      </c>
      <c r="BH131">
        <f>VLOOKUP($BA131,'[2]NonStandard DIS'!$Q$1:$X$542,8,FALSE)</f>
        <v>0</v>
      </c>
      <c r="BI131" s="77">
        <f t="shared" si="199"/>
        <v>1</v>
      </c>
      <c r="BJ131" s="77">
        <f t="shared" si="200"/>
        <v>6.9728499999999985E-2</v>
      </c>
      <c r="BK131" s="77">
        <f t="shared" si="343"/>
        <v>5.632878498097682E-3</v>
      </c>
      <c r="BL131" s="79">
        <v>0</v>
      </c>
      <c r="BM131" s="77">
        <f t="shared" si="212"/>
        <v>0</v>
      </c>
      <c r="BN131" s="77">
        <f t="shared" si="213"/>
        <v>0</v>
      </c>
      <c r="BO131" s="77">
        <f t="shared" si="214"/>
        <v>5.6775999999999997E-3</v>
      </c>
      <c r="BP131" s="77">
        <f t="shared" si="215"/>
        <v>4.7190657760731725E-4</v>
      </c>
    </row>
    <row r="132" spans="1:68">
      <c r="A132" t="s">
        <v>175</v>
      </c>
      <c r="B132" t="s">
        <v>176</v>
      </c>
      <c r="C132" s="197" t="str">
        <f t="shared" si="248"/>
        <v>Lifecycle_Balanced_413</v>
      </c>
      <c r="D132">
        <v>413</v>
      </c>
      <c r="E132">
        <f>VLOOKUP($D132,'[2]LC Balanced'!$Q$2:$U$542,2,FALSE)</f>
        <v>0</v>
      </c>
      <c r="F132">
        <f>VLOOKUP($D132,'[2]LC Balanced'!$Q$2:$U$542,3,FALSE)</f>
        <v>0.14899999999999999</v>
      </c>
      <c r="G132">
        <f>VLOOKUP($D132,'[2]LC Balanced'!$Q$2:$U$542,4,FALSE)</f>
        <v>0.85099999999999998</v>
      </c>
      <c r="H132">
        <f>VLOOKUP($D132,'[2]LC Balanced'!$Q$2:$U$542,5,FALSE)</f>
        <v>0</v>
      </c>
      <c r="I132" s="77">
        <f t="shared" si="194"/>
        <v>1</v>
      </c>
      <c r="J132" s="77">
        <f t="shared" si="195"/>
        <v>6.1987699999999986E-2</v>
      </c>
      <c r="K132" s="77">
        <f t="shared" si="347"/>
        <v>5.024442123284345E-3</v>
      </c>
      <c r="L132" s="76">
        <v>0</v>
      </c>
      <c r="M132" s="77">
        <f t="shared" si="201"/>
        <v>0</v>
      </c>
      <c r="N132" s="77">
        <f t="shared" si="202"/>
        <v>0</v>
      </c>
      <c r="O132" s="77">
        <f t="shared" si="203"/>
        <v>7.0062999999999992E-3</v>
      </c>
      <c r="P132" s="77">
        <f t="shared" si="204"/>
        <v>5.85741666996209E-4</v>
      </c>
      <c r="R132" t="s">
        <v>177</v>
      </c>
      <c r="S132" t="s">
        <v>176</v>
      </c>
      <c r="T132" s="197" t="str">
        <f t="shared" si="296"/>
        <v>Autopilot_Balanced_413</v>
      </c>
      <c r="U132">
        <v>413</v>
      </c>
      <c r="V132">
        <f>VLOOKUP($U132,'[2]AP Balanced'!$Q$1:$T$542,2,FALSE)</f>
        <v>0.77777777777777779</v>
      </c>
      <c r="W132">
        <f>VLOOKUP($U132,'[2]AP Balanced'!$Q$1:$T$542,3,FALSE)</f>
        <v>0.22222222222222221</v>
      </c>
      <c r="X132">
        <f>VLOOKUP($U132,'[2]AP Balanced'!$Q$1:$T$542,4,FALSE)</f>
        <v>0</v>
      </c>
      <c r="Y132" s="77">
        <f t="shared" si="250"/>
        <v>1</v>
      </c>
      <c r="Z132" s="77">
        <f t="shared" si="297"/>
        <v>6.1674999999999987E-2</v>
      </c>
      <c r="AA132" s="77">
        <f t="shared" si="298"/>
        <v>4.9997781870025904E-3</v>
      </c>
      <c r="AB132" s="79">
        <v>1</v>
      </c>
      <c r="AC132" s="77">
        <f t="shared" si="205"/>
        <v>8.0555555555555554E-3</v>
      </c>
      <c r="AD132" s="77">
        <f t="shared" si="196"/>
        <v>6.7378764057135498E-4</v>
      </c>
      <c r="AE132" s="77">
        <f t="shared" si="206"/>
        <v>2.5000000000000001E-3</v>
      </c>
      <c r="AF132" s="77">
        <f t="shared" si="196"/>
        <v>2.0857243058891584E-4</v>
      </c>
      <c r="AH132" t="s">
        <v>175</v>
      </c>
      <c r="AI132" t="s">
        <v>176</v>
      </c>
      <c r="AJ132" s="197" t="str">
        <f t="shared" si="252"/>
        <v>Lifecycle_Balanced_413</v>
      </c>
      <c r="AK132">
        <v>413</v>
      </c>
      <c r="AL132">
        <f>VLOOKUP($U132,[2]Standard_Balanced!$Q$1:$T$542,2,FALSE)</f>
        <v>0.77777777777777779</v>
      </c>
      <c r="AM132">
        <f>VLOOKUP($U132,[2]Standard_Balanced!$Q$1:$T$542,3,FALSE)</f>
        <v>0.22222222222222221</v>
      </c>
      <c r="AN132">
        <f>VLOOKUP($U132,[2]Standard_Balanced!$Q$1:$T$542,4,FALSE)</f>
        <v>0</v>
      </c>
      <c r="AO132" s="77">
        <f t="shared" si="344"/>
        <v>1</v>
      </c>
      <c r="AP132" s="77">
        <f t="shared" si="207"/>
        <v>6.1674999999999987E-2</v>
      </c>
      <c r="AQ132" s="77">
        <f t="shared" si="253"/>
        <v>4.9997781870025904E-3</v>
      </c>
      <c r="AR132" s="79">
        <v>0</v>
      </c>
      <c r="AS132" s="77">
        <f t="shared" si="208"/>
        <v>0</v>
      </c>
      <c r="AT132" s="77">
        <f t="shared" ref="AT132" si="354">1-(1-AS132)^(1/12)</f>
        <v>0</v>
      </c>
      <c r="AU132" s="77">
        <f t="shared" si="210"/>
        <v>2.5000000000000001E-3</v>
      </c>
      <c r="AV132" s="77">
        <f t="shared" ref="AV132" si="355">1-(1-AU132)^(1/12)</f>
        <v>2.0857243058891584E-4</v>
      </c>
      <c r="AX132" t="s">
        <v>178</v>
      </c>
      <c r="AY132" t="s">
        <v>160</v>
      </c>
      <c r="AZ132" s="197" t="str">
        <f t="shared" si="256"/>
        <v>DIS_Non-Standard_413</v>
      </c>
      <c r="BA132">
        <v>413</v>
      </c>
      <c r="BB132">
        <f>VLOOKUP($BA132,'[2]NonStandard DIS'!$Q$1:$X$542,2,FALSE)</f>
        <v>0</v>
      </c>
      <c r="BC132">
        <f>VLOOKUP($BA132,'[2]NonStandard DIS'!$Q$1:$X$542,3,FALSE)</f>
        <v>0</v>
      </c>
      <c r="BD132">
        <f>VLOOKUP($BA132,'[2]NonStandard DIS'!$Q$1:$X$542,4,FALSE)</f>
        <v>0.308</v>
      </c>
      <c r="BE132">
        <f>VLOOKUP($BA132,'[2]NonStandard DIS'!$Q$1:$X$542,5,FALSE)</f>
        <v>0.69199999999999995</v>
      </c>
      <c r="BF132">
        <f>VLOOKUP($BA132,'[2]NonStandard DIS'!$Q$1:$X$542,6,FALSE)</f>
        <v>0</v>
      </c>
      <c r="BG132">
        <f>VLOOKUP($BA132,'[2]NonStandard DIS'!$Q$1:$X$542,7,FALSE)</f>
        <v>0</v>
      </c>
      <c r="BH132">
        <f>VLOOKUP($BA132,'[2]NonStandard DIS'!$Q$1:$X$542,8,FALSE)</f>
        <v>0</v>
      </c>
      <c r="BI132" s="77">
        <f t="shared" si="199"/>
        <v>1</v>
      </c>
      <c r="BJ132" s="77">
        <f t="shared" si="200"/>
        <v>6.9728499999999985E-2</v>
      </c>
      <c r="BK132" s="77">
        <f t="shared" si="343"/>
        <v>5.632878498097682E-3</v>
      </c>
      <c r="BL132" s="79">
        <v>0</v>
      </c>
      <c r="BM132" s="77">
        <f t="shared" si="212"/>
        <v>0</v>
      </c>
      <c r="BN132" s="77">
        <f t="shared" si="213"/>
        <v>0</v>
      </c>
      <c r="BO132" s="77">
        <f t="shared" si="214"/>
        <v>5.6775999999999997E-3</v>
      </c>
      <c r="BP132" s="77">
        <f t="shared" si="215"/>
        <v>4.7190657760731725E-4</v>
      </c>
    </row>
    <row r="133" spans="1:68">
      <c r="A133" t="s">
        <v>175</v>
      </c>
      <c r="B133" t="s">
        <v>176</v>
      </c>
      <c r="C133" s="197" t="str">
        <f t="shared" si="248"/>
        <v>Lifecycle_Balanced_412</v>
      </c>
      <c r="D133">
        <v>412</v>
      </c>
      <c r="E133">
        <f>VLOOKUP($D133,'[2]LC Balanced'!$Q$2:$U$542,2,FALSE)</f>
        <v>0</v>
      </c>
      <c r="F133">
        <f>VLOOKUP($D133,'[2]LC Balanced'!$Q$2:$U$542,3,FALSE)</f>
        <v>0.14899999999999999</v>
      </c>
      <c r="G133">
        <f>VLOOKUP($D133,'[2]LC Balanced'!$Q$2:$U$542,4,FALSE)</f>
        <v>0.85099999999999998</v>
      </c>
      <c r="H133">
        <f>VLOOKUP($D133,'[2]LC Balanced'!$Q$2:$U$542,5,FALSE)</f>
        <v>0</v>
      </c>
      <c r="I133" s="77">
        <f t="shared" ref="I133:I196" si="356">SUM(E133:H133)</f>
        <v>1</v>
      </c>
      <c r="J133" s="77">
        <f t="shared" ref="J133:J196" si="357">SUMPRODUCT($E$1:$H$1,E133:H133)</f>
        <v>6.1987699999999986E-2</v>
      </c>
      <c r="K133" s="77">
        <f t="shared" si="347"/>
        <v>5.024442123284345E-3</v>
      </c>
      <c r="L133" s="76">
        <v>0</v>
      </c>
      <c r="M133" s="77">
        <f t="shared" si="201"/>
        <v>0</v>
      </c>
      <c r="N133" s="77">
        <f t="shared" si="202"/>
        <v>0</v>
      </c>
      <c r="O133" s="77">
        <f t="shared" si="203"/>
        <v>7.0062999999999992E-3</v>
      </c>
      <c r="P133" s="77">
        <f t="shared" si="204"/>
        <v>5.85741666996209E-4</v>
      </c>
      <c r="R133" t="s">
        <v>177</v>
      </c>
      <c r="S133" t="s">
        <v>176</v>
      </c>
      <c r="T133" s="197" t="str">
        <f t="shared" si="296"/>
        <v>Autopilot_Balanced_412</v>
      </c>
      <c r="U133">
        <v>412</v>
      </c>
      <c r="V133">
        <f>VLOOKUP($U133,'[2]AP Balanced'!$Q$1:$T$542,2,FALSE)</f>
        <v>0.77777777777777779</v>
      </c>
      <c r="W133">
        <f>VLOOKUP($U133,'[2]AP Balanced'!$Q$1:$T$542,3,FALSE)</f>
        <v>0.22222222222222221</v>
      </c>
      <c r="X133">
        <f>VLOOKUP($U133,'[2]AP Balanced'!$Q$1:$T$542,4,FALSE)</f>
        <v>0</v>
      </c>
      <c r="Y133" s="77">
        <f t="shared" si="250"/>
        <v>1</v>
      </c>
      <c r="Z133" s="77">
        <f t="shared" si="297"/>
        <v>6.1674999999999987E-2</v>
      </c>
      <c r="AA133" s="77">
        <f t="shared" si="298"/>
        <v>4.9997781870025904E-3</v>
      </c>
      <c r="AB133" s="79">
        <v>1</v>
      </c>
      <c r="AC133" s="77">
        <f t="shared" si="205"/>
        <v>8.0555555555555554E-3</v>
      </c>
      <c r="AD133" s="77">
        <f t="shared" ref="AD133:AF196" si="358">1-(1-AC133)^(1/12)</f>
        <v>6.7378764057135498E-4</v>
      </c>
      <c r="AE133" s="77">
        <f t="shared" si="206"/>
        <v>2.5000000000000001E-3</v>
      </c>
      <c r="AF133" s="77">
        <f t="shared" si="358"/>
        <v>2.0857243058891584E-4</v>
      </c>
      <c r="AH133" t="s">
        <v>175</v>
      </c>
      <c r="AI133" t="s">
        <v>176</v>
      </c>
      <c r="AJ133" s="197" t="str">
        <f t="shared" si="252"/>
        <v>Lifecycle_Balanced_412</v>
      </c>
      <c r="AK133">
        <v>412</v>
      </c>
      <c r="AL133">
        <f>VLOOKUP($U133,[2]Standard_Balanced!$Q$1:$T$542,2,FALSE)</f>
        <v>0.77777777777777779</v>
      </c>
      <c r="AM133">
        <f>VLOOKUP($U133,[2]Standard_Balanced!$Q$1:$T$542,3,FALSE)</f>
        <v>0.22222222222222221</v>
      </c>
      <c r="AN133">
        <f>VLOOKUP($U133,[2]Standard_Balanced!$Q$1:$T$542,4,FALSE)</f>
        <v>0</v>
      </c>
      <c r="AO133" s="77">
        <f t="shared" si="344"/>
        <v>1</v>
      </c>
      <c r="AP133" s="77">
        <f t="shared" si="207"/>
        <v>6.1674999999999987E-2</v>
      </c>
      <c r="AQ133" s="77">
        <f t="shared" si="253"/>
        <v>4.9997781870025904E-3</v>
      </c>
      <c r="AR133" s="79">
        <v>0</v>
      </c>
      <c r="AS133" s="77">
        <f t="shared" si="208"/>
        <v>0</v>
      </c>
      <c r="AT133" s="77">
        <f t="shared" ref="AT133" si="359">1-(1-AS133)^(1/12)</f>
        <v>0</v>
      </c>
      <c r="AU133" s="77">
        <f t="shared" si="210"/>
        <v>2.5000000000000001E-3</v>
      </c>
      <c r="AV133" s="77">
        <f t="shared" ref="AV133" si="360">1-(1-AU133)^(1/12)</f>
        <v>2.0857243058891584E-4</v>
      </c>
      <c r="AX133" t="s">
        <v>178</v>
      </c>
      <c r="AY133" t="s">
        <v>160</v>
      </c>
      <c r="AZ133" s="197" t="str">
        <f t="shared" si="256"/>
        <v>DIS_Non-Standard_412</v>
      </c>
      <c r="BA133">
        <v>412</v>
      </c>
      <c r="BB133">
        <f>VLOOKUP($BA133,'[2]NonStandard DIS'!$Q$1:$X$542,2,FALSE)</f>
        <v>0</v>
      </c>
      <c r="BC133">
        <f>VLOOKUP($BA133,'[2]NonStandard DIS'!$Q$1:$X$542,3,FALSE)</f>
        <v>0</v>
      </c>
      <c r="BD133">
        <f>VLOOKUP($BA133,'[2]NonStandard DIS'!$Q$1:$X$542,4,FALSE)</f>
        <v>0.308</v>
      </c>
      <c r="BE133">
        <f>VLOOKUP($BA133,'[2]NonStandard DIS'!$Q$1:$X$542,5,FALSE)</f>
        <v>0.69199999999999995</v>
      </c>
      <c r="BF133">
        <f>VLOOKUP($BA133,'[2]NonStandard DIS'!$Q$1:$X$542,6,FALSE)</f>
        <v>0</v>
      </c>
      <c r="BG133">
        <f>VLOOKUP($BA133,'[2]NonStandard DIS'!$Q$1:$X$542,7,FALSE)</f>
        <v>0</v>
      </c>
      <c r="BH133">
        <f>VLOOKUP($BA133,'[2]NonStandard DIS'!$Q$1:$X$542,8,FALSE)</f>
        <v>0</v>
      </c>
      <c r="BI133" s="77">
        <f t="shared" ref="BI133:BI196" si="361">SUM(BB133:BH133)</f>
        <v>1</v>
      </c>
      <c r="BJ133" s="77">
        <f t="shared" ref="BJ133:BJ196" si="362">SUMPRODUCT($BB$1:$BH$1,BB133:BH133)</f>
        <v>6.9728499999999985E-2</v>
      </c>
      <c r="BK133" s="77">
        <f t="shared" si="343"/>
        <v>5.632878498097682E-3</v>
      </c>
      <c r="BL133" s="79">
        <v>0</v>
      </c>
      <c r="BM133" s="77">
        <f t="shared" si="212"/>
        <v>0</v>
      </c>
      <c r="BN133" s="77">
        <f t="shared" si="213"/>
        <v>0</v>
      </c>
      <c r="BO133" s="77">
        <f t="shared" si="214"/>
        <v>5.6775999999999997E-3</v>
      </c>
      <c r="BP133" s="77">
        <f t="shared" si="215"/>
        <v>4.7190657760731725E-4</v>
      </c>
    </row>
    <row r="134" spans="1:68">
      <c r="A134" t="s">
        <v>175</v>
      </c>
      <c r="B134" t="s">
        <v>176</v>
      </c>
      <c r="C134" s="197" t="str">
        <f t="shared" si="248"/>
        <v>Lifecycle_Balanced_411</v>
      </c>
      <c r="D134">
        <v>411</v>
      </c>
      <c r="E134">
        <f>VLOOKUP($D134,'[2]LC Balanced'!$Q$2:$U$542,2,FALSE)</f>
        <v>0</v>
      </c>
      <c r="F134">
        <f>VLOOKUP($D134,'[2]LC Balanced'!$Q$2:$U$542,3,FALSE)</f>
        <v>0.14899999999999999</v>
      </c>
      <c r="G134">
        <f>VLOOKUP($D134,'[2]LC Balanced'!$Q$2:$U$542,4,FALSE)</f>
        <v>0.85099999999999998</v>
      </c>
      <c r="H134">
        <f>VLOOKUP($D134,'[2]LC Balanced'!$Q$2:$U$542,5,FALSE)</f>
        <v>0</v>
      </c>
      <c r="I134" s="77">
        <f t="shared" si="356"/>
        <v>1</v>
      </c>
      <c r="J134" s="77">
        <f t="shared" si="357"/>
        <v>6.1987699999999986E-2</v>
      </c>
      <c r="K134" s="77">
        <f t="shared" si="347"/>
        <v>5.024442123284345E-3</v>
      </c>
      <c r="L134" s="76">
        <v>0</v>
      </c>
      <c r="M134" s="77">
        <f t="shared" ref="M134:M197" si="363">IF($L134=0,0,SUMPRODUCT($E$3:$H$3,E134:H134))</f>
        <v>0</v>
      </c>
      <c r="N134" s="77">
        <f t="shared" ref="N134:N197" si="364">1-(1-M134)^(1/12)</f>
        <v>0</v>
      </c>
      <c r="O134" s="77">
        <f t="shared" ref="O134:O197" si="365">SUMPRODUCT($E$2:$H$2,E134:H134)</f>
        <v>7.0062999999999992E-3</v>
      </c>
      <c r="P134" s="77">
        <f t="shared" ref="P134:P197" si="366">1-(1-O134)^(1/12)</f>
        <v>5.85741666996209E-4</v>
      </c>
      <c r="R134" t="s">
        <v>177</v>
      </c>
      <c r="S134" t="s">
        <v>176</v>
      </c>
      <c r="T134" s="197" t="str">
        <f t="shared" si="296"/>
        <v>Autopilot_Balanced_411</v>
      </c>
      <c r="U134">
        <v>411</v>
      </c>
      <c r="V134">
        <f>VLOOKUP($U134,'[2]AP Balanced'!$Q$1:$T$542,2,FALSE)</f>
        <v>0.77777777777777779</v>
      </c>
      <c r="W134">
        <f>VLOOKUP($U134,'[2]AP Balanced'!$Q$1:$T$542,3,FALSE)</f>
        <v>0.22222222222222221</v>
      </c>
      <c r="X134">
        <f>VLOOKUP($U134,'[2]AP Balanced'!$Q$1:$T$542,4,FALSE)</f>
        <v>0</v>
      </c>
      <c r="Y134" s="77">
        <f t="shared" si="250"/>
        <v>1</v>
      </c>
      <c r="Z134" s="77">
        <f t="shared" si="297"/>
        <v>6.1674999999999987E-2</v>
      </c>
      <c r="AA134" s="77">
        <f t="shared" si="298"/>
        <v>4.9997781870025904E-3</v>
      </c>
      <c r="AB134" s="79">
        <v>1</v>
      </c>
      <c r="AC134" s="77">
        <f t="shared" ref="AC134:AC197" si="367">IF($AB134=0,0,SUMPRODUCT($V$3:$X$3,V134:X134))</f>
        <v>8.0555555555555554E-3</v>
      </c>
      <c r="AD134" s="77">
        <f t="shared" si="358"/>
        <v>6.7378764057135498E-4</v>
      </c>
      <c r="AE134" s="77">
        <f t="shared" ref="AE134:AE197" si="368">SUMPRODUCT($V$2:$X$2,V134:X134)</f>
        <v>2.5000000000000001E-3</v>
      </c>
      <c r="AF134" s="77">
        <f t="shared" si="358"/>
        <v>2.0857243058891584E-4</v>
      </c>
      <c r="AH134" t="s">
        <v>175</v>
      </c>
      <c r="AI134" t="s">
        <v>176</v>
      </c>
      <c r="AJ134" s="197" t="str">
        <f t="shared" si="252"/>
        <v>Lifecycle_Balanced_411</v>
      </c>
      <c r="AK134">
        <v>411</v>
      </c>
      <c r="AL134">
        <f>VLOOKUP($U134,[2]Standard_Balanced!$Q$1:$T$542,2,FALSE)</f>
        <v>0.77777777777777779</v>
      </c>
      <c r="AM134">
        <f>VLOOKUP($U134,[2]Standard_Balanced!$Q$1:$T$542,3,FALSE)</f>
        <v>0.22222222222222221</v>
      </c>
      <c r="AN134">
        <f>VLOOKUP($U134,[2]Standard_Balanced!$Q$1:$T$542,4,FALSE)</f>
        <v>0</v>
      </c>
      <c r="AO134" s="77">
        <f t="shared" si="344"/>
        <v>1</v>
      </c>
      <c r="AP134" s="77">
        <f t="shared" ref="AP134:AP197" si="369">SUMPRODUCT($AL$1:$AN$1,AL134:AN134)</f>
        <v>6.1674999999999987E-2</v>
      </c>
      <c r="AQ134" s="77">
        <f t="shared" si="253"/>
        <v>4.9997781870025904E-3</v>
      </c>
      <c r="AR134" s="79">
        <v>0</v>
      </c>
      <c r="AS134" s="77">
        <f t="shared" ref="AS134:AS197" si="370">IF(AR134=0,0,SUMPRODUCT($AL$3:$AN$3,AL134:AN134))</f>
        <v>0</v>
      </c>
      <c r="AT134" s="77">
        <f t="shared" ref="AT134" si="371">1-(1-AS134)^(1/12)</f>
        <v>0</v>
      </c>
      <c r="AU134" s="77">
        <f t="shared" ref="AU134:AU197" si="372">SUMPRODUCT($AL$2:$AN$2,AL134:AN134)</f>
        <v>2.5000000000000001E-3</v>
      </c>
      <c r="AV134" s="77">
        <f t="shared" ref="AV134" si="373">1-(1-AU134)^(1/12)</f>
        <v>2.0857243058891584E-4</v>
      </c>
      <c r="AX134" t="s">
        <v>178</v>
      </c>
      <c r="AY134" t="s">
        <v>160</v>
      </c>
      <c r="AZ134" s="197" t="str">
        <f t="shared" si="256"/>
        <v>DIS_Non-Standard_411</v>
      </c>
      <c r="BA134">
        <v>411</v>
      </c>
      <c r="BB134">
        <f>VLOOKUP($BA134,'[2]NonStandard DIS'!$Q$1:$X$542,2,FALSE)</f>
        <v>0</v>
      </c>
      <c r="BC134">
        <f>VLOOKUP($BA134,'[2]NonStandard DIS'!$Q$1:$X$542,3,FALSE)</f>
        <v>0</v>
      </c>
      <c r="BD134">
        <f>VLOOKUP($BA134,'[2]NonStandard DIS'!$Q$1:$X$542,4,FALSE)</f>
        <v>0.308</v>
      </c>
      <c r="BE134">
        <f>VLOOKUP($BA134,'[2]NonStandard DIS'!$Q$1:$X$542,5,FALSE)</f>
        <v>0.69199999999999995</v>
      </c>
      <c r="BF134">
        <f>VLOOKUP($BA134,'[2]NonStandard DIS'!$Q$1:$X$542,6,FALSE)</f>
        <v>0</v>
      </c>
      <c r="BG134">
        <f>VLOOKUP($BA134,'[2]NonStandard DIS'!$Q$1:$X$542,7,FALSE)</f>
        <v>0</v>
      </c>
      <c r="BH134">
        <f>VLOOKUP($BA134,'[2]NonStandard DIS'!$Q$1:$X$542,8,FALSE)</f>
        <v>0</v>
      </c>
      <c r="BI134" s="77">
        <f t="shared" si="361"/>
        <v>1</v>
      </c>
      <c r="BJ134" s="77">
        <f t="shared" si="362"/>
        <v>6.9728499999999985E-2</v>
      </c>
      <c r="BK134" s="77">
        <f t="shared" si="343"/>
        <v>5.632878498097682E-3</v>
      </c>
      <c r="BL134" s="79">
        <v>0</v>
      </c>
      <c r="BM134" s="77">
        <f t="shared" ref="BM134:BM197" si="374">IF(BL134=0,0,SUMPRODUCT($BB$3:$BH$3,BB134:BH134))</f>
        <v>0</v>
      </c>
      <c r="BN134" s="77">
        <f t="shared" ref="BN134:BN197" si="375">(1+BM134)^(1/12)-1</f>
        <v>0</v>
      </c>
      <c r="BO134" s="77">
        <f t="shared" ref="BO134:BO197" si="376">SUMPRODUCT($BB$2:$BH$2,BB134:BH134)</f>
        <v>5.6775999999999997E-3</v>
      </c>
      <c r="BP134" s="77">
        <f t="shared" ref="BP134:BP197" si="377">(1+BO134)^(1/12)-1</f>
        <v>4.7190657760731725E-4</v>
      </c>
    </row>
    <row r="135" spans="1:68">
      <c r="A135" t="s">
        <v>175</v>
      </c>
      <c r="B135" t="s">
        <v>176</v>
      </c>
      <c r="C135" s="197" t="str">
        <f t="shared" si="248"/>
        <v>Lifecycle_Balanced_410</v>
      </c>
      <c r="D135">
        <v>410</v>
      </c>
      <c r="E135">
        <f>VLOOKUP($D135,'[2]LC Balanced'!$Q$2:$U$542,2,FALSE)</f>
        <v>0</v>
      </c>
      <c r="F135">
        <f>VLOOKUP($D135,'[2]LC Balanced'!$Q$2:$U$542,3,FALSE)</f>
        <v>0.14899999999999999</v>
      </c>
      <c r="G135">
        <f>VLOOKUP($D135,'[2]LC Balanced'!$Q$2:$U$542,4,FALSE)</f>
        <v>0.85099999999999998</v>
      </c>
      <c r="H135">
        <f>VLOOKUP($D135,'[2]LC Balanced'!$Q$2:$U$542,5,FALSE)</f>
        <v>0</v>
      </c>
      <c r="I135" s="77">
        <f t="shared" si="356"/>
        <v>1</v>
      </c>
      <c r="J135" s="77">
        <f t="shared" si="357"/>
        <v>6.1987699999999986E-2</v>
      </c>
      <c r="K135" s="77">
        <f t="shared" si="347"/>
        <v>5.024442123284345E-3</v>
      </c>
      <c r="L135" s="76">
        <v>0</v>
      </c>
      <c r="M135" s="77">
        <f t="shared" si="363"/>
        <v>0</v>
      </c>
      <c r="N135" s="77">
        <f t="shared" si="364"/>
        <v>0</v>
      </c>
      <c r="O135" s="77">
        <f t="shared" si="365"/>
        <v>7.0062999999999992E-3</v>
      </c>
      <c r="P135" s="77">
        <f t="shared" si="366"/>
        <v>5.85741666996209E-4</v>
      </c>
      <c r="R135" t="s">
        <v>177</v>
      </c>
      <c r="S135" t="s">
        <v>176</v>
      </c>
      <c r="T135" s="197" t="str">
        <f t="shared" si="296"/>
        <v>Autopilot_Balanced_410</v>
      </c>
      <c r="U135">
        <v>410</v>
      </c>
      <c r="V135">
        <f>VLOOKUP($U135,'[2]AP Balanced'!$Q$1:$T$542,2,FALSE)</f>
        <v>0.77777777777777779</v>
      </c>
      <c r="W135">
        <f>VLOOKUP($U135,'[2]AP Balanced'!$Q$1:$T$542,3,FALSE)</f>
        <v>0.22222222222222221</v>
      </c>
      <c r="X135">
        <f>VLOOKUP($U135,'[2]AP Balanced'!$Q$1:$T$542,4,FALSE)</f>
        <v>0</v>
      </c>
      <c r="Y135" s="77">
        <f t="shared" si="250"/>
        <v>1</v>
      </c>
      <c r="Z135" s="77">
        <f t="shared" si="297"/>
        <v>6.1674999999999987E-2</v>
      </c>
      <c r="AA135" s="77">
        <f t="shared" si="298"/>
        <v>4.9997781870025904E-3</v>
      </c>
      <c r="AB135" s="79">
        <v>1</v>
      </c>
      <c r="AC135" s="77">
        <f t="shared" si="367"/>
        <v>8.0555555555555554E-3</v>
      </c>
      <c r="AD135" s="77">
        <f t="shared" si="358"/>
        <v>6.7378764057135498E-4</v>
      </c>
      <c r="AE135" s="77">
        <f t="shared" si="368"/>
        <v>2.5000000000000001E-3</v>
      </c>
      <c r="AF135" s="77">
        <f t="shared" si="358"/>
        <v>2.0857243058891584E-4</v>
      </c>
      <c r="AH135" t="s">
        <v>175</v>
      </c>
      <c r="AI135" t="s">
        <v>176</v>
      </c>
      <c r="AJ135" s="197" t="str">
        <f t="shared" si="252"/>
        <v>Lifecycle_Balanced_410</v>
      </c>
      <c r="AK135">
        <v>410</v>
      </c>
      <c r="AL135">
        <f>VLOOKUP($U135,[2]Standard_Balanced!$Q$1:$T$542,2,FALSE)</f>
        <v>0.77777777777777779</v>
      </c>
      <c r="AM135">
        <f>VLOOKUP($U135,[2]Standard_Balanced!$Q$1:$T$542,3,FALSE)</f>
        <v>0.22222222222222221</v>
      </c>
      <c r="AN135">
        <f>VLOOKUP($U135,[2]Standard_Balanced!$Q$1:$T$542,4,FALSE)</f>
        <v>0</v>
      </c>
      <c r="AO135" s="77">
        <f t="shared" si="344"/>
        <v>1</v>
      </c>
      <c r="AP135" s="77">
        <f t="shared" si="369"/>
        <v>6.1674999999999987E-2</v>
      </c>
      <c r="AQ135" s="77">
        <f t="shared" si="253"/>
        <v>4.9997781870025904E-3</v>
      </c>
      <c r="AR135" s="79">
        <v>0</v>
      </c>
      <c r="AS135" s="77">
        <f t="shared" si="370"/>
        <v>0</v>
      </c>
      <c r="AT135" s="77">
        <f t="shared" ref="AT135" si="378">1-(1-AS135)^(1/12)</f>
        <v>0</v>
      </c>
      <c r="AU135" s="77">
        <f t="shared" si="372"/>
        <v>2.5000000000000001E-3</v>
      </c>
      <c r="AV135" s="77">
        <f t="shared" ref="AV135" si="379">1-(1-AU135)^(1/12)</f>
        <v>2.0857243058891584E-4</v>
      </c>
      <c r="AX135" t="s">
        <v>178</v>
      </c>
      <c r="AY135" t="s">
        <v>160</v>
      </c>
      <c r="AZ135" s="197" t="str">
        <f t="shared" si="256"/>
        <v>DIS_Non-Standard_410</v>
      </c>
      <c r="BA135">
        <v>410</v>
      </c>
      <c r="BB135">
        <f>VLOOKUP($BA135,'[2]NonStandard DIS'!$Q$1:$X$542,2,FALSE)</f>
        <v>0</v>
      </c>
      <c r="BC135">
        <f>VLOOKUP($BA135,'[2]NonStandard DIS'!$Q$1:$X$542,3,FALSE)</f>
        <v>0</v>
      </c>
      <c r="BD135">
        <f>VLOOKUP($BA135,'[2]NonStandard DIS'!$Q$1:$X$542,4,FALSE)</f>
        <v>0.308</v>
      </c>
      <c r="BE135">
        <f>VLOOKUP($BA135,'[2]NonStandard DIS'!$Q$1:$X$542,5,FALSE)</f>
        <v>0.69199999999999995</v>
      </c>
      <c r="BF135">
        <f>VLOOKUP($BA135,'[2]NonStandard DIS'!$Q$1:$X$542,6,FALSE)</f>
        <v>0</v>
      </c>
      <c r="BG135">
        <f>VLOOKUP($BA135,'[2]NonStandard DIS'!$Q$1:$X$542,7,FALSE)</f>
        <v>0</v>
      </c>
      <c r="BH135">
        <f>VLOOKUP($BA135,'[2]NonStandard DIS'!$Q$1:$X$542,8,FALSE)</f>
        <v>0</v>
      </c>
      <c r="BI135" s="77">
        <f t="shared" si="361"/>
        <v>1</v>
      </c>
      <c r="BJ135" s="77">
        <f t="shared" si="362"/>
        <v>6.9728499999999985E-2</v>
      </c>
      <c r="BK135" s="77">
        <f t="shared" si="343"/>
        <v>5.632878498097682E-3</v>
      </c>
      <c r="BL135" s="79">
        <v>0</v>
      </c>
      <c r="BM135" s="77">
        <f t="shared" si="374"/>
        <v>0</v>
      </c>
      <c r="BN135" s="77">
        <f t="shared" si="375"/>
        <v>0</v>
      </c>
      <c r="BO135" s="77">
        <f t="shared" si="376"/>
        <v>5.6775999999999997E-3</v>
      </c>
      <c r="BP135" s="77">
        <f t="shared" si="377"/>
        <v>4.7190657760731725E-4</v>
      </c>
    </row>
    <row r="136" spans="1:68">
      <c r="A136" t="s">
        <v>175</v>
      </c>
      <c r="B136" t="s">
        <v>176</v>
      </c>
      <c r="C136" s="197" t="str">
        <f t="shared" si="248"/>
        <v>Lifecycle_Balanced_409</v>
      </c>
      <c r="D136">
        <v>409</v>
      </c>
      <c r="E136">
        <f>VLOOKUP($D136,'[2]LC Balanced'!$Q$2:$U$542,2,FALSE)</f>
        <v>0</v>
      </c>
      <c r="F136">
        <f>VLOOKUP($D136,'[2]LC Balanced'!$Q$2:$U$542,3,FALSE)</f>
        <v>0.14899999999999999</v>
      </c>
      <c r="G136">
        <f>VLOOKUP($D136,'[2]LC Balanced'!$Q$2:$U$542,4,FALSE)</f>
        <v>0.85099999999999998</v>
      </c>
      <c r="H136">
        <f>VLOOKUP($D136,'[2]LC Balanced'!$Q$2:$U$542,5,FALSE)</f>
        <v>0</v>
      </c>
      <c r="I136" s="77">
        <f t="shared" si="356"/>
        <v>1</v>
      </c>
      <c r="J136" s="77">
        <f t="shared" si="357"/>
        <v>6.1987699999999986E-2</v>
      </c>
      <c r="K136" s="77">
        <f t="shared" si="347"/>
        <v>5.024442123284345E-3</v>
      </c>
      <c r="L136" s="76">
        <v>0</v>
      </c>
      <c r="M136" s="77">
        <f t="shared" si="363"/>
        <v>0</v>
      </c>
      <c r="N136" s="77">
        <f t="shared" si="364"/>
        <v>0</v>
      </c>
      <c r="O136" s="77">
        <f t="shared" si="365"/>
        <v>7.0062999999999992E-3</v>
      </c>
      <c r="P136" s="77">
        <f t="shared" si="366"/>
        <v>5.85741666996209E-4</v>
      </c>
      <c r="R136" t="s">
        <v>177</v>
      </c>
      <c r="S136" t="s">
        <v>176</v>
      </c>
      <c r="T136" s="197" t="str">
        <f t="shared" si="296"/>
        <v>Autopilot_Balanced_409</v>
      </c>
      <c r="U136">
        <v>409</v>
      </c>
      <c r="V136">
        <f>VLOOKUP($U136,'[2]AP Balanced'!$Q$1:$T$542,2,FALSE)</f>
        <v>0.77777777777777779</v>
      </c>
      <c r="W136">
        <f>VLOOKUP($U136,'[2]AP Balanced'!$Q$1:$T$542,3,FALSE)</f>
        <v>0.22222222222222221</v>
      </c>
      <c r="X136">
        <f>VLOOKUP($U136,'[2]AP Balanced'!$Q$1:$T$542,4,FALSE)</f>
        <v>0</v>
      </c>
      <c r="Y136" s="77">
        <f t="shared" si="250"/>
        <v>1</v>
      </c>
      <c r="Z136" s="77">
        <f t="shared" si="297"/>
        <v>6.1674999999999987E-2</v>
      </c>
      <c r="AA136" s="77">
        <f t="shared" si="298"/>
        <v>4.9997781870025904E-3</v>
      </c>
      <c r="AB136" s="79">
        <v>1</v>
      </c>
      <c r="AC136" s="77">
        <f t="shared" si="367"/>
        <v>8.0555555555555554E-3</v>
      </c>
      <c r="AD136" s="77">
        <f t="shared" si="358"/>
        <v>6.7378764057135498E-4</v>
      </c>
      <c r="AE136" s="77">
        <f t="shared" si="368"/>
        <v>2.5000000000000001E-3</v>
      </c>
      <c r="AF136" s="77">
        <f t="shared" si="358"/>
        <v>2.0857243058891584E-4</v>
      </c>
      <c r="AH136" t="s">
        <v>175</v>
      </c>
      <c r="AI136" t="s">
        <v>176</v>
      </c>
      <c r="AJ136" s="197" t="str">
        <f t="shared" si="252"/>
        <v>Lifecycle_Balanced_409</v>
      </c>
      <c r="AK136">
        <v>409</v>
      </c>
      <c r="AL136">
        <f>VLOOKUP($U136,[2]Standard_Balanced!$Q$1:$T$542,2,FALSE)</f>
        <v>0.77777777777777779</v>
      </c>
      <c r="AM136">
        <f>VLOOKUP($U136,[2]Standard_Balanced!$Q$1:$T$542,3,FALSE)</f>
        <v>0.22222222222222221</v>
      </c>
      <c r="AN136">
        <f>VLOOKUP($U136,[2]Standard_Balanced!$Q$1:$T$542,4,FALSE)</f>
        <v>0</v>
      </c>
      <c r="AO136" s="77">
        <f t="shared" si="344"/>
        <v>1</v>
      </c>
      <c r="AP136" s="77">
        <f t="shared" si="369"/>
        <v>6.1674999999999987E-2</v>
      </c>
      <c r="AQ136" s="77">
        <f t="shared" si="253"/>
        <v>4.9997781870025904E-3</v>
      </c>
      <c r="AR136" s="79">
        <v>0</v>
      </c>
      <c r="AS136" s="77">
        <f t="shared" si="370"/>
        <v>0</v>
      </c>
      <c r="AT136" s="77">
        <f t="shared" ref="AT136" si="380">1-(1-AS136)^(1/12)</f>
        <v>0</v>
      </c>
      <c r="AU136" s="77">
        <f t="shared" si="372"/>
        <v>2.5000000000000001E-3</v>
      </c>
      <c r="AV136" s="77">
        <f t="shared" ref="AV136" si="381">1-(1-AU136)^(1/12)</f>
        <v>2.0857243058891584E-4</v>
      </c>
      <c r="AX136" t="s">
        <v>178</v>
      </c>
      <c r="AY136" t="s">
        <v>160</v>
      </c>
      <c r="AZ136" s="197" t="str">
        <f t="shared" si="256"/>
        <v>DIS_Non-Standard_409</v>
      </c>
      <c r="BA136">
        <v>409</v>
      </c>
      <c r="BB136">
        <f>VLOOKUP($BA136,'[2]NonStandard DIS'!$Q$1:$X$542,2,FALSE)</f>
        <v>0</v>
      </c>
      <c r="BC136">
        <f>VLOOKUP($BA136,'[2]NonStandard DIS'!$Q$1:$X$542,3,FALSE)</f>
        <v>0</v>
      </c>
      <c r="BD136">
        <f>VLOOKUP($BA136,'[2]NonStandard DIS'!$Q$1:$X$542,4,FALSE)</f>
        <v>0.308</v>
      </c>
      <c r="BE136">
        <f>VLOOKUP($BA136,'[2]NonStandard DIS'!$Q$1:$X$542,5,FALSE)</f>
        <v>0.69199999999999995</v>
      </c>
      <c r="BF136">
        <f>VLOOKUP($BA136,'[2]NonStandard DIS'!$Q$1:$X$542,6,FALSE)</f>
        <v>0</v>
      </c>
      <c r="BG136">
        <f>VLOOKUP($BA136,'[2]NonStandard DIS'!$Q$1:$X$542,7,FALSE)</f>
        <v>0</v>
      </c>
      <c r="BH136">
        <f>VLOOKUP($BA136,'[2]NonStandard DIS'!$Q$1:$X$542,8,FALSE)</f>
        <v>0</v>
      </c>
      <c r="BI136" s="77">
        <f t="shared" si="361"/>
        <v>1</v>
      </c>
      <c r="BJ136" s="77">
        <f t="shared" si="362"/>
        <v>6.9728499999999985E-2</v>
      </c>
      <c r="BK136" s="77">
        <f t="shared" si="343"/>
        <v>5.632878498097682E-3</v>
      </c>
      <c r="BL136" s="79">
        <v>0</v>
      </c>
      <c r="BM136" s="77">
        <f t="shared" si="374"/>
        <v>0</v>
      </c>
      <c r="BN136" s="77">
        <f t="shared" si="375"/>
        <v>0</v>
      </c>
      <c r="BO136" s="77">
        <f t="shared" si="376"/>
        <v>5.6775999999999997E-3</v>
      </c>
      <c r="BP136" s="77">
        <f t="shared" si="377"/>
        <v>4.7190657760731725E-4</v>
      </c>
    </row>
    <row r="137" spans="1:68">
      <c r="A137" t="s">
        <v>175</v>
      </c>
      <c r="B137" t="s">
        <v>176</v>
      </c>
      <c r="C137" s="197" t="str">
        <f t="shared" si="248"/>
        <v>Lifecycle_Balanced_408</v>
      </c>
      <c r="D137">
        <v>408</v>
      </c>
      <c r="E137">
        <f>VLOOKUP($D137,'[2]LC Balanced'!$Q$2:$U$542,2,FALSE)</f>
        <v>0</v>
      </c>
      <c r="F137">
        <f>VLOOKUP($D137,'[2]LC Balanced'!$Q$2:$U$542,3,FALSE)</f>
        <v>0.14899999999999999</v>
      </c>
      <c r="G137">
        <f>VLOOKUP($D137,'[2]LC Balanced'!$Q$2:$U$542,4,FALSE)</f>
        <v>0.85099999999999998</v>
      </c>
      <c r="H137">
        <f>VLOOKUP($D137,'[2]LC Balanced'!$Q$2:$U$542,5,FALSE)</f>
        <v>0</v>
      </c>
      <c r="I137" s="77">
        <f t="shared" si="356"/>
        <v>1</v>
      </c>
      <c r="J137" s="77">
        <f t="shared" si="357"/>
        <v>6.1987699999999986E-2</v>
      </c>
      <c r="K137" s="77">
        <f t="shared" si="347"/>
        <v>5.024442123284345E-3</v>
      </c>
      <c r="L137" s="76">
        <v>0</v>
      </c>
      <c r="M137" s="77">
        <f t="shared" si="363"/>
        <v>0</v>
      </c>
      <c r="N137" s="77">
        <f t="shared" si="364"/>
        <v>0</v>
      </c>
      <c r="O137" s="77">
        <f t="shared" si="365"/>
        <v>7.0062999999999992E-3</v>
      </c>
      <c r="P137" s="77">
        <f t="shared" si="366"/>
        <v>5.85741666996209E-4</v>
      </c>
      <c r="R137" t="s">
        <v>177</v>
      </c>
      <c r="S137" t="s">
        <v>176</v>
      </c>
      <c r="T137" s="197" t="str">
        <f t="shared" si="296"/>
        <v>Autopilot_Balanced_408</v>
      </c>
      <c r="U137">
        <v>408</v>
      </c>
      <c r="V137">
        <f>VLOOKUP($U137,'[2]AP Balanced'!$Q$1:$T$542,2,FALSE)</f>
        <v>0.77777777777777779</v>
      </c>
      <c r="W137">
        <f>VLOOKUP($U137,'[2]AP Balanced'!$Q$1:$T$542,3,FALSE)</f>
        <v>0.22222222222222221</v>
      </c>
      <c r="X137">
        <f>VLOOKUP($U137,'[2]AP Balanced'!$Q$1:$T$542,4,FALSE)</f>
        <v>0</v>
      </c>
      <c r="Y137" s="77">
        <f t="shared" si="250"/>
        <v>1</v>
      </c>
      <c r="Z137" s="77">
        <f t="shared" si="297"/>
        <v>6.1674999999999987E-2</v>
      </c>
      <c r="AA137" s="77">
        <f t="shared" si="298"/>
        <v>4.9997781870025904E-3</v>
      </c>
      <c r="AB137" s="79">
        <v>1</v>
      </c>
      <c r="AC137" s="77">
        <f t="shared" si="367"/>
        <v>8.0555555555555554E-3</v>
      </c>
      <c r="AD137" s="77">
        <f t="shared" si="358"/>
        <v>6.7378764057135498E-4</v>
      </c>
      <c r="AE137" s="77">
        <f t="shared" si="368"/>
        <v>2.5000000000000001E-3</v>
      </c>
      <c r="AF137" s="77">
        <f t="shared" si="358"/>
        <v>2.0857243058891584E-4</v>
      </c>
      <c r="AH137" t="s">
        <v>175</v>
      </c>
      <c r="AI137" t="s">
        <v>176</v>
      </c>
      <c r="AJ137" s="197" t="str">
        <f t="shared" si="252"/>
        <v>Lifecycle_Balanced_408</v>
      </c>
      <c r="AK137">
        <v>408</v>
      </c>
      <c r="AL137">
        <f>VLOOKUP($U137,[2]Standard_Balanced!$Q$1:$T$542,2,FALSE)</f>
        <v>0.77777777777777779</v>
      </c>
      <c r="AM137">
        <f>VLOOKUP($U137,[2]Standard_Balanced!$Q$1:$T$542,3,FALSE)</f>
        <v>0.22222222222222221</v>
      </c>
      <c r="AN137">
        <f>VLOOKUP($U137,[2]Standard_Balanced!$Q$1:$T$542,4,FALSE)</f>
        <v>0</v>
      </c>
      <c r="AO137" s="77">
        <f t="shared" si="344"/>
        <v>1</v>
      </c>
      <c r="AP137" s="77">
        <f t="shared" si="369"/>
        <v>6.1674999999999987E-2</v>
      </c>
      <c r="AQ137" s="77">
        <f t="shared" si="253"/>
        <v>4.9997781870025904E-3</v>
      </c>
      <c r="AR137" s="79">
        <v>0</v>
      </c>
      <c r="AS137" s="77">
        <f t="shared" si="370"/>
        <v>0</v>
      </c>
      <c r="AT137" s="77">
        <f t="shared" ref="AT137" si="382">1-(1-AS137)^(1/12)</f>
        <v>0</v>
      </c>
      <c r="AU137" s="77">
        <f t="shared" si="372"/>
        <v>2.5000000000000001E-3</v>
      </c>
      <c r="AV137" s="77">
        <f t="shared" ref="AV137" si="383">1-(1-AU137)^(1/12)</f>
        <v>2.0857243058891584E-4</v>
      </c>
      <c r="AX137" t="s">
        <v>178</v>
      </c>
      <c r="AY137" t="s">
        <v>160</v>
      </c>
      <c r="AZ137" s="197" t="str">
        <f t="shared" si="256"/>
        <v>DIS_Non-Standard_408</v>
      </c>
      <c r="BA137">
        <v>408</v>
      </c>
      <c r="BB137">
        <f>VLOOKUP($BA137,'[2]NonStandard DIS'!$Q$1:$X$542,2,FALSE)</f>
        <v>0</v>
      </c>
      <c r="BC137">
        <f>VLOOKUP($BA137,'[2]NonStandard DIS'!$Q$1:$X$542,3,FALSE)</f>
        <v>0</v>
      </c>
      <c r="BD137">
        <f>VLOOKUP($BA137,'[2]NonStandard DIS'!$Q$1:$X$542,4,FALSE)</f>
        <v>0.308</v>
      </c>
      <c r="BE137">
        <f>VLOOKUP($BA137,'[2]NonStandard DIS'!$Q$1:$X$542,5,FALSE)</f>
        <v>0.69199999999999995</v>
      </c>
      <c r="BF137">
        <f>VLOOKUP($BA137,'[2]NonStandard DIS'!$Q$1:$X$542,6,FALSE)</f>
        <v>0</v>
      </c>
      <c r="BG137">
        <f>VLOOKUP($BA137,'[2]NonStandard DIS'!$Q$1:$X$542,7,FALSE)</f>
        <v>0</v>
      </c>
      <c r="BH137">
        <f>VLOOKUP($BA137,'[2]NonStandard DIS'!$Q$1:$X$542,8,FALSE)</f>
        <v>0</v>
      </c>
      <c r="BI137" s="77">
        <f t="shared" si="361"/>
        <v>1</v>
      </c>
      <c r="BJ137" s="77">
        <f t="shared" si="362"/>
        <v>6.9728499999999985E-2</v>
      </c>
      <c r="BK137" s="77">
        <f t="shared" si="343"/>
        <v>5.632878498097682E-3</v>
      </c>
      <c r="BL137" s="79">
        <v>0</v>
      </c>
      <c r="BM137" s="77">
        <f t="shared" si="374"/>
        <v>0</v>
      </c>
      <c r="BN137" s="77">
        <f t="shared" si="375"/>
        <v>0</v>
      </c>
      <c r="BO137" s="77">
        <f t="shared" si="376"/>
        <v>5.6775999999999997E-3</v>
      </c>
      <c r="BP137" s="77">
        <f t="shared" si="377"/>
        <v>4.7190657760731725E-4</v>
      </c>
    </row>
    <row r="138" spans="1:68">
      <c r="A138" t="s">
        <v>175</v>
      </c>
      <c r="B138" t="s">
        <v>176</v>
      </c>
      <c r="C138" s="197" t="str">
        <f t="shared" si="248"/>
        <v>Lifecycle_Balanced_407</v>
      </c>
      <c r="D138">
        <v>407</v>
      </c>
      <c r="E138">
        <f>VLOOKUP($D138,'[2]LC Balanced'!$Q$2:$U$542,2,FALSE)</f>
        <v>0</v>
      </c>
      <c r="F138">
        <f>VLOOKUP($D138,'[2]LC Balanced'!$Q$2:$U$542,3,FALSE)</f>
        <v>0.14899999999999999</v>
      </c>
      <c r="G138">
        <f>VLOOKUP($D138,'[2]LC Balanced'!$Q$2:$U$542,4,FALSE)</f>
        <v>0.85099999999999998</v>
      </c>
      <c r="H138">
        <f>VLOOKUP($D138,'[2]LC Balanced'!$Q$2:$U$542,5,FALSE)</f>
        <v>0</v>
      </c>
      <c r="I138" s="77">
        <f t="shared" si="356"/>
        <v>1</v>
      </c>
      <c r="J138" s="77">
        <f t="shared" si="357"/>
        <v>6.1987699999999986E-2</v>
      </c>
      <c r="K138" s="77">
        <f t="shared" si="347"/>
        <v>5.024442123284345E-3</v>
      </c>
      <c r="L138" s="76">
        <v>0</v>
      </c>
      <c r="M138" s="77">
        <f t="shared" si="363"/>
        <v>0</v>
      </c>
      <c r="N138" s="77">
        <f t="shared" si="364"/>
        <v>0</v>
      </c>
      <c r="O138" s="77">
        <f t="shared" si="365"/>
        <v>7.0062999999999992E-3</v>
      </c>
      <c r="P138" s="77">
        <f t="shared" si="366"/>
        <v>5.85741666996209E-4</v>
      </c>
      <c r="R138" t="s">
        <v>177</v>
      </c>
      <c r="S138" t="s">
        <v>176</v>
      </c>
      <c r="T138" s="197" t="str">
        <f t="shared" si="296"/>
        <v>Autopilot_Balanced_407</v>
      </c>
      <c r="U138">
        <v>407</v>
      </c>
      <c r="V138">
        <f>VLOOKUP($U138,'[2]AP Balanced'!$Q$1:$T$542,2,FALSE)</f>
        <v>0.77777777777777779</v>
      </c>
      <c r="W138">
        <f>VLOOKUP($U138,'[2]AP Balanced'!$Q$1:$T$542,3,FALSE)</f>
        <v>0.22222222222222221</v>
      </c>
      <c r="X138">
        <f>VLOOKUP($U138,'[2]AP Balanced'!$Q$1:$T$542,4,FALSE)</f>
        <v>0</v>
      </c>
      <c r="Y138" s="77">
        <f t="shared" si="250"/>
        <v>1</v>
      </c>
      <c r="Z138" s="77">
        <f t="shared" si="297"/>
        <v>6.1674999999999987E-2</v>
      </c>
      <c r="AA138" s="77">
        <f t="shared" si="298"/>
        <v>4.9997781870025904E-3</v>
      </c>
      <c r="AB138" s="79">
        <v>1</v>
      </c>
      <c r="AC138" s="77">
        <f t="shared" si="367"/>
        <v>8.0555555555555554E-3</v>
      </c>
      <c r="AD138" s="77">
        <f t="shared" si="358"/>
        <v>6.7378764057135498E-4</v>
      </c>
      <c r="AE138" s="77">
        <f t="shared" si="368"/>
        <v>2.5000000000000001E-3</v>
      </c>
      <c r="AF138" s="77">
        <f t="shared" si="358"/>
        <v>2.0857243058891584E-4</v>
      </c>
      <c r="AH138" t="s">
        <v>175</v>
      </c>
      <c r="AI138" t="s">
        <v>176</v>
      </c>
      <c r="AJ138" s="197" t="str">
        <f t="shared" si="252"/>
        <v>Lifecycle_Balanced_407</v>
      </c>
      <c r="AK138">
        <v>407</v>
      </c>
      <c r="AL138">
        <f>VLOOKUP($U138,[2]Standard_Balanced!$Q$1:$T$542,2,FALSE)</f>
        <v>0.77777777777777779</v>
      </c>
      <c r="AM138">
        <f>VLOOKUP($U138,[2]Standard_Balanced!$Q$1:$T$542,3,FALSE)</f>
        <v>0.22222222222222221</v>
      </c>
      <c r="AN138">
        <f>VLOOKUP($U138,[2]Standard_Balanced!$Q$1:$T$542,4,FALSE)</f>
        <v>0</v>
      </c>
      <c r="AO138" s="77">
        <f t="shared" si="344"/>
        <v>1</v>
      </c>
      <c r="AP138" s="77">
        <f t="shared" si="369"/>
        <v>6.1674999999999987E-2</v>
      </c>
      <c r="AQ138" s="77">
        <f t="shared" si="253"/>
        <v>4.9997781870025904E-3</v>
      </c>
      <c r="AR138" s="79">
        <v>0</v>
      </c>
      <c r="AS138" s="77">
        <f t="shared" si="370"/>
        <v>0</v>
      </c>
      <c r="AT138" s="77">
        <f t="shared" ref="AT138" si="384">1-(1-AS138)^(1/12)</f>
        <v>0</v>
      </c>
      <c r="AU138" s="77">
        <f t="shared" si="372"/>
        <v>2.5000000000000001E-3</v>
      </c>
      <c r="AV138" s="77">
        <f t="shared" ref="AV138" si="385">1-(1-AU138)^(1/12)</f>
        <v>2.0857243058891584E-4</v>
      </c>
      <c r="AX138" t="s">
        <v>178</v>
      </c>
      <c r="AY138" t="s">
        <v>160</v>
      </c>
      <c r="AZ138" s="197" t="str">
        <f t="shared" si="256"/>
        <v>DIS_Non-Standard_407</v>
      </c>
      <c r="BA138">
        <v>407</v>
      </c>
      <c r="BB138">
        <f>VLOOKUP($BA138,'[2]NonStandard DIS'!$Q$1:$X$542,2,FALSE)</f>
        <v>0</v>
      </c>
      <c r="BC138">
        <f>VLOOKUP($BA138,'[2]NonStandard DIS'!$Q$1:$X$542,3,FALSE)</f>
        <v>0</v>
      </c>
      <c r="BD138">
        <f>VLOOKUP($BA138,'[2]NonStandard DIS'!$Q$1:$X$542,4,FALSE)</f>
        <v>0.308</v>
      </c>
      <c r="BE138">
        <f>VLOOKUP($BA138,'[2]NonStandard DIS'!$Q$1:$X$542,5,FALSE)</f>
        <v>0.69199999999999995</v>
      </c>
      <c r="BF138">
        <f>VLOOKUP($BA138,'[2]NonStandard DIS'!$Q$1:$X$542,6,FALSE)</f>
        <v>0</v>
      </c>
      <c r="BG138">
        <f>VLOOKUP($BA138,'[2]NonStandard DIS'!$Q$1:$X$542,7,FALSE)</f>
        <v>0</v>
      </c>
      <c r="BH138">
        <f>VLOOKUP($BA138,'[2]NonStandard DIS'!$Q$1:$X$542,8,FALSE)</f>
        <v>0</v>
      </c>
      <c r="BI138" s="77">
        <f t="shared" si="361"/>
        <v>1</v>
      </c>
      <c r="BJ138" s="77">
        <f t="shared" si="362"/>
        <v>6.9728499999999985E-2</v>
      </c>
      <c r="BK138" s="77">
        <f t="shared" si="343"/>
        <v>5.632878498097682E-3</v>
      </c>
      <c r="BL138" s="79">
        <v>0</v>
      </c>
      <c r="BM138" s="77">
        <f t="shared" si="374"/>
        <v>0</v>
      </c>
      <c r="BN138" s="77">
        <f t="shared" si="375"/>
        <v>0</v>
      </c>
      <c r="BO138" s="77">
        <f t="shared" si="376"/>
        <v>5.6775999999999997E-3</v>
      </c>
      <c r="BP138" s="77">
        <f t="shared" si="377"/>
        <v>4.7190657760731725E-4</v>
      </c>
    </row>
    <row r="139" spans="1:68">
      <c r="A139" t="s">
        <v>175</v>
      </c>
      <c r="B139" t="s">
        <v>176</v>
      </c>
      <c r="C139" s="197" t="str">
        <f t="shared" si="248"/>
        <v>Lifecycle_Balanced_406</v>
      </c>
      <c r="D139">
        <v>406</v>
      </c>
      <c r="E139">
        <f>VLOOKUP($D139,'[2]LC Balanced'!$Q$2:$U$542,2,FALSE)</f>
        <v>0</v>
      </c>
      <c r="F139">
        <f>VLOOKUP($D139,'[2]LC Balanced'!$Q$2:$U$542,3,FALSE)</f>
        <v>0.14899999999999999</v>
      </c>
      <c r="G139">
        <f>VLOOKUP($D139,'[2]LC Balanced'!$Q$2:$U$542,4,FALSE)</f>
        <v>0.85099999999999998</v>
      </c>
      <c r="H139">
        <f>VLOOKUP($D139,'[2]LC Balanced'!$Q$2:$U$542,5,FALSE)</f>
        <v>0</v>
      </c>
      <c r="I139" s="77">
        <f t="shared" si="356"/>
        <v>1</v>
      </c>
      <c r="J139" s="77">
        <f t="shared" si="357"/>
        <v>6.1987699999999986E-2</v>
      </c>
      <c r="K139" s="77">
        <f t="shared" si="347"/>
        <v>5.024442123284345E-3</v>
      </c>
      <c r="L139" s="76">
        <v>0</v>
      </c>
      <c r="M139" s="77">
        <f t="shared" si="363"/>
        <v>0</v>
      </c>
      <c r="N139" s="77">
        <f t="shared" si="364"/>
        <v>0</v>
      </c>
      <c r="O139" s="77">
        <f t="shared" si="365"/>
        <v>7.0062999999999992E-3</v>
      </c>
      <c r="P139" s="77">
        <f t="shared" si="366"/>
        <v>5.85741666996209E-4</v>
      </c>
      <c r="R139" t="s">
        <v>177</v>
      </c>
      <c r="S139" t="s">
        <v>176</v>
      </c>
      <c r="T139" s="197" t="str">
        <f t="shared" si="296"/>
        <v>Autopilot_Balanced_406</v>
      </c>
      <c r="U139">
        <v>406</v>
      </c>
      <c r="V139">
        <f>VLOOKUP($U139,'[2]AP Balanced'!$Q$1:$T$542,2,FALSE)</f>
        <v>0.77777777777777779</v>
      </c>
      <c r="W139">
        <f>VLOOKUP($U139,'[2]AP Balanced'!$Q$1:$T$542,3,FALSE)</f>
        <v>0.22222222222222221</v>
      </c>
      <c r="X139">
        <f>VLOOKUP($U139,'[2]AP Balanced'!$Q$1:$T$542,4,FALSE)</f>
        <v>0</v>
      </c>
      <c r="Y139" s="77">
        <f t="shared" si="250"/>
        <v>1</v>
      </c>
      <c r="Z139" s="77">
        <f t="shared" si="297"/>
        <v>6.1674999999999987E-2</v>
      </c>
      <c r="AA139" s="77">
        <f t="shared" si="298"/>
        <v>4.9997781870025904E-3</v>
      </c>
      <c r="AB139" s="79">
        <v>1</v>
      </c>
      <c r="AC139" s="77">
        <f t="shared" si="367"/>
        <v>8.0555555555555554E-3</v>
      </c>
      <c r="AD139" s="77">
        <f t="shared" si="358"/>
        <v>6.7378764057135498E-4</v>
      </c>
      <c r="AE139" s="77">
        <f t="shared" si="368"/>
        <v>2.5000000000000001E-3</v>
      </c>
      <c r="AF139" s="77">
        <f t="shared" si="358"/>
        <v>2.0857243058891584E-4</v>
      </c>
      <c r="AH139" t="s">
        <v>175</v>
      </c>
      <c r="AI139" t="s">
        <v>176</v>
      </c>
      <c r="AJ139" s="197" t="str">
        <f t="shared" si="252"/>
        <v>Lifecycle_Balanced_406</v>
      </c>
      <c r="AK139">
        <v>406</v>
      </c>
      <c r="AL139">
        <f>VLOOKUP($U139,[2]Standard_Balanced!$Q$1:$T$542,2,FALSE)</f>
        <v>0.77777777777777779</v>
      </c>
      <c r="AM139">
        <f>VLOOKUP($U139,[2]Standard_Balanced!$Q$1:$T$542,3,FALSE)</f>
        <v>0.22222222222222221</v>
      </c>
      <c r="AN139">
        <f>VLOOKUP($U139,[2]Standard_Balanced!$Q$1:$T$542,4,FALSE)</f>
        <v>0</v>
      </c>
      <c r="AO139" s="77">
        <f t="shared" si="344"/>
        <v>1</v>
      </c>
      <c r="AP139" s="77">
        <f t="shared" si="369"/>
        <v>6.1674999999999987E-2</v>
      </c>
      <c r="AQ139" s="77">
        <f t="shared" si="253"/>
        <v>4.9997781870025904E-3</v>
      </c>
      <c r="AR139" s="79">
        <v>0</v>
      </c>
      <c r="AS139" s="77">
        <f t="shared" si="370"/>
        <v>0</v>
      </c>
      <c r="AT139" s="77">
        <f t="shared" ref="AT139" si="386">1-(1-AS139)^(1/12)</f>
        <v>0</v>
      </c>
      <c r="AU139" s="77">
        <f t="shared" si="372"/>
        <v>2.5000000000000001E-3</v>
      </c>
      <c r="AV139" s="77">
        <f t="shared" ref="AV139" si="387">1-(1-AU139)^(1/12)</f>
        <v>2.0857243058891584E-4</v>
      </c>
      <c r="AX139" t="s">
        <v>178</v>
      </c>
      <c r="AY139" t="s">
        <v>160</v>
      </c>
      <c r="AZ139" s="197" t="str">
        <f t="shared" si="256"/>
        <v>DIS_Non-Standard_406</v>
      </c>
      <c r="BA139">
        <v>406</v>
      </c>
      <c r="BB139">
        <f>VLOOKUP($BA139,'[2]NonStandard DIS'!$Q$1:$X$542,2,FALSE)</f>
        <v>0</v>
      </c>
      <c r="BC139">
        <f>VLOOKUP($BA139,'[2]NonStandard DIS'!$Q$1:$X$542,3,FALSE)</f>
        <v>0</v>
      </c>
      <c r="BD139">
        <f>VLOOKUP($BA139,'[2]NonStandard DIS'!$Q$1:$X$542,4,FALSE)</f>
        <v>0.308</v>
      </c>
      <c r="BE139">
        <f>VLOOKUP($BA139,'[2]NonStandard DIS'!$Q$1:$X$542,5,FALSE)</f>
        <v>0.69199999999999995</v>
      </c>
      <c r="BF139">
        <f>VLOOKUP($BA139,'[2]NonStandard DIS'!$Q$1:$X$542,6,FALSE)</f>
        <v>0</v>
      </c>
      <c r="BG139">
        <f>VLOOKUP($BA139,'[2]NonStandard DIS'!$Q$1:$X$542,7,FALSE)</f>
        <v>0</v>
      </c>
      <c r="BH139">
        <f>VLOOKUP($BA139,'[2]NonStandard DIS'!$Q$1:$X$542,8,FALSE)</f>
        <v>0</v>
      </c>
      <c r="BI139" s="77">
        <f t="shared" si="361"/>
        <v>1</v>
      </c>
      <c r="BJ139" s="77">
        <f t="shared" si="362"/>
        <v>6.9728499999999985E-2</v>
      </c>
      <c r="BK139" s="77">
        <f t="shared" si="343"/>
        <v>5.632878498097682E-3</v>
      </c>
      <c r="BL139" s="79">
        <v>0</v>
      </c>
      <c r="BM139" s="77">
        <f t="shared" si="374"/>
        <v>0</v>
      </c>
      <c r="BN139" s="77">
        <f t="shared" si="375"/>
        <v>0</v>
      </c>
      <c r="BO139" s="77">
        <f t="shared" si="376"/>
        <v>5.6775999999999997E-3</v>
      </c>
      <c r="BP139" s="77">
        <f t="shared" si="377"/>
        <v>4.7190657760731725E-4</v>
      </c>
    </row>
    <row r="140" spans="1:68">
      <c r="A140" t="s">
        <v>175</v>
      </c>
      <c r="B140" t="s">
        <v>176</v>
      </c>
      <c r="C140" s="197" t="str">
        <f t="shared" si="248"/>
        <v>Lifecycle_Balanced_405</v>
      </c>
      <c r="D140">
        <v>405</v>
      </c>
      <c r="E140">
        <f>VLOOKUP($D140,'[2]LC Balanced'!$Q$2:$U$542,2,FALSE)</f>
        <v>0</v>
      </c>
      <c r="F140">
        <f>VLOOKUP($D140,'[2]LC Balanced'!$Q$2:$U$542,3,FALSE)</f>
        <v>0.14899999999999999</v>
      </c>
      <c r="G140">
        <f>VLOOKUP($D140,'[2]LC Balanced'!$Q$2:$U$542,4,FALSE)</f>
        <v>0.85099999999999998</v>
      </c>
      <c r="H140">
        <f>VLOOKUP($D140,'[2]LC Balanced'!$Q$2:$U$542,5,FALSE)</f>
        <v>0</v>
      </c>
      <c r="I140" s="77">
        <f t="shared" si="356"/>
        <v>1</v>
      </c>
      <c r="J140" s="77">
        <f t="shared" si="357"/>
        <v>6.1987699999999986E-2</v>
      </c>
      <c r="K140" s="77">
        <f t="shared" si="347"/>
        <v>5.024442123284345E-3</v>
      </c>
      <c r="L140" s="76">
        <v>0</v>
      </c>
      <c r="M140" s="77">
        <f t="shared" si="363"/>
        <v>0</v>
      </c>
      <c r="N140" s="77">
        <f t="shared" si="364"/>
        <v>0</v>
      </c>
      <c r="O140" s="77">
        <f t="shared" si="365"/>
        <v>7.0062999999999992E-3</v>
      </c>
      <c r="P140" s="77">
        <f t="shared" si="366"/>
        <v>5.85741666996209E-4</v>
      </c>
      <c r="R140" t="s">
        <v>177</v>
      </c>
      <c r="S140" t="s">
        <v>176</v>
      </c>
      <c r="T140" s="197" t="str">
        <f t="shared" si="296"/>
        <v>Autopilot_Balanced_405</v>
      </c>
      <c r="U140">
        <v>405</v>
      </c>
      <c r="V140">
        <f>VLOOKUP($U140,'[2]AP Balanced'!$Q$1:$T$542,2,FALSE)</f>
        <v>0.77777777777777779</v>
      </c>
      <c r="W140">
        <f>VLOOKUP($U140,'[2]AP Balanced'!$Q$1:$T$542,3,FALSE)</f>
        <v>0.22222222222222221</v>
      </c>
      <c r="X140">
        <f>VLOOKUP($U140,'[2]AP Balanced'!$Q$1:$T$542,4,FALSE)</f>
        <v>0</v>
      </c>
      <c r="Y140" s="77">
        <f t="shared" si="250"/>
        <v>1</v>
      </c>
      <c r="Z140" s="77">
        <f t="shared" si="297"/>
        <v>6.1674999999999987E-2</v>
      </c>
      <c r="AA140" s="77">
        <f t="shared" si="298"/>
        <v>4.9997781870025904E-3</v>
      </c>
      <c r="AB140" s="79">
        <v>1</v>
      </c>
      <c r="AC140" s="77">
        <f t="shared" si="367"/>
        <v>8.0555555555555554E-3</v>
      </c>
      <c r="AD140" s="77">
        <f t="shared" si="358"/>
        <v>6.7378764057135498E-4</v>
      </c>
      <c r="AE140" s="77">
        <f t="shared" si="368"/>
        <v>2.5000000000000001E-3</v>
      </c>
      <c r="AF140" s="77">
        <f t="shared" si="358"/>
        <v>2.0857243058891584E-4</v>
      </c>
      <c r="AH140" t="s">
        <v>175</v>
      </c>
      <c r="AI140" t="s">
        <v>176</v>
      </c>
      <c r="AJ140" s="197" t="str">
        <f t="shared" si="252"/>
        <v>Lifecycle_Balanced_405</v>
      </c>
      <c r="AK140">
        <v>405</v>
      </c>
      <c r="AL140">
        <f>VLOOKUP($U140,[2]Standard_Balanced!$Q$1:$T$542,2,FALSE)</f>
        <v>0.77777777777777779</v>
      </c>
      <c r="AM140">
        <f>VLOOKUP($U140,[2]Standard_Balanced!$Q$1:$T$542,3,FALSE)</f>
        <v>0.22222222222222221</v>
      </c>
      <c r="AN140">
        <f>VLOOKUP($U140,[2]Standard_Balanced!$Q$1:$T$542,4,FALSE)</f>
        <v>0</v>
      </c>
      <c r="AO140" s="77">
        <f t="shared" si="344"/>
        <v>1</v>
      </c>
      <c r="AP140" s="77">
        <f t="shared" si="369"/>
        <v>6.1674999999999987E-2</v>
      </c>
      <c r="AQ140" s="77">
        <f t="shared" si="253"/>
        <v>4.9997781870025904E-3</v>
      </c>
      <c r="AR140" s="79">
        <v>0</v>
      </c>
      <c r="AS140" s="77">
        <f t="shared" si="370"/>
        <v>0</v>
      </c>
      <c r="AT140" s="77">
        <f t="shared" ref="AT140" si="388">1-(1-AS140)^(1/12)</f>
        <v>0</v>
      </c>
      <c r="AU140" s="77">
        <f t="shared" si="372"/>
        <v>2.5000000000000001E-3</v>
      </c>
      <c r="AV140" s="77">
        <f t="shared" ref="AV140" si="389">1-(1-AU140)^(1/12)</f>
        <v>2.0857243058891584E-4</v>
      </c>
      <c r="AX140" t="s">
        <v>178</v>
      </c>
      <c r="AY140" t="s">
        <v>160</v>
      </c>
      <c r="AZ140" s="197" t="str">
        <f t="shared" si="256"/>
        <v>DIS_Non-Standard_405</v>
      </c>
      <c r="BA140">
        <v>405</v>
      </c>
      <c r="BB140">
        <f>VLOOKUP($BA140,'[2]NonStandard DIS'!$Q$1:$X$542,2,FALSE)</f>
        <v>0</v>
      </c>
      <c r="BC140">
        <f>VLOOKUP($BA140,'[2]NonStandard DIS'!$Q$1:$X$542,3,FALSE)</f>
        <v>0</v>
      </c>
      <c r="BD140">
        <f>VLOOKUP($BA140,'[2]NonStandard DIS'!$Q$1:$X$542,4,FALSE)</f>
        <v>0.308</v>
      </c>
      <c r="BE140">
        <f>VLOOKUP($BA140,'[2]NonStandard DIS'!$Q$1:$X$542,5,FALSE)</f>
        <v>0.69199999999999995</v>
      </c>
      <c r="BF140">
        <f>VLOOKUP($BA140,'[2]NonStandard DIS'!$Q$1:$X$542,6,FALSE)</f>
        <v>0</v>
      </c>
      <c r="BG140">
        <f>VLOOKUP($BA140,'[2]NonStandard DIS'!$Q$1:$X$542,7,FALSE)</f>
        <v>0</v>
      </c>
      <c r="BH140">
        <f>VLOOKUP($BA140,'[2]NonStandard DIS'!$Q$1:$X$542,8,FALSE)</f>
        <v>0</v>
      </c>
      <c r="BI140" s="77">
        <f t="shared" si="361"/>
        <v>1</v>
      </c>
      <c r="BJ140" s="77">
        <f t="shared" si="362"/>
        <v>6.9728499999999985E-2</v>
      </c>
      <c r="BK140" s="77">
        <f t="shared" si="343"/>
        <v>5.632878498097682E-3</v>
      </c>
      <c r="BL140" s="79">
        <v>0</v>
      </c>
      <c r="BM140" s="77">
        <f t="shared" si="374"/>
        <v>0</v>
      </c>
      <c r="BN140" s="77">
        <f t="shared" si="375"/>
        <v>0</v>
      </c>
      <c r="BO140" s="77">
        <f t="shared" si="376"/>
        <v>5.6775999999999997E-3</v>
      </c>
      <c r="BP140" s="77">
        <f t="shared" si="377"/>
        <v>4.7190657760731725E-4</v>
      </c>
    </row>
    <row r="141" spans="1:68">
      <c r="A141" t="s">
        <v>175</v>
      </c>
      <c r="B141" t="s">
        <v>176</v>
      </c>
      <c r="C141" s="197" t="str">
        <f t="shared" si="248"/>
        <v>Lifecycle_Balanced_404</v>
      </c>
      <c r="D141">
        <v>404</v>
      </c>
      <c r="E141">
        <f>VLOOKUP($D141,'[2]LC Balanced'!$Q$2:$U$542,2,FALSE)</f>
        <v>0</v>
      </c>
      <c r="F141">
        <f>VLOOKUP($D141,'[2]LC Balanced'!$Q$2:$U$542,3,FALSE)</f>
        <v>0.14899999999999999</v>
      </c>
      <c r="G141">
        <f>VLOOKUP($D141,'[2]LC Balanced'!$Q$2:$U$542,4,FALSE)</f>
        <v>0.85099999999999998</v>
      </c>
      <c r="H141">
        <f>VLOOKUP($D141,'[2]LC Balanced'!$Q$2:$U$542,5,FALSE)</f>
        <v>0</v>
      </c>
      <c r="I141" s="77">
        <f t="shared" si="356"/>
        <v>1</v>
      </c>
      <c r="J141" s="77">
        <f t="shared" si="357"/>
        <v>6.1987699999999986E-2</v>
      </c>
      <c r="K141" s="77">
        <f t="shared" si="347"/>
        <v>5.024442123284345E-3</v>
      </c>
      <c r="L141" s="76">
        <v>0</v>
      </c>
      <c r="M141" s="77">
        <f t="shared" si="363"/>
        <v>0</v>
      </c>
      <c r="N141" s="77">
        <f t="shared" si="364"/>
        <v>0</v>
      </c>
      <c r="O141" s="77">
        <f t="shared" si="365"/>
        <v>7.0062999999999992E-3</v>
      </c>
      <c r="P141" s="77">
        <f t="shared" si="366"/>
        <v>5.85741666996209E-4</v>
      </c>
      <c r="R141" t="s">
        <v>177</v>
      </c>
      <c r="S141" t="s">
        <v>176</v>
      </c>
      <c r="T141" s="197" t="str">
        <f t="shared" si="296"/>
        <v>Autopilot_Balanced_404</v>
      </c>
      <c r="U141">
        <v>404</v>
      </c>
      <c r="V141">
        <f>VLOOKUP($U141,'[2]AP Balanced'!$Q$1:$T$542,2,FALSE)</f>
        <v>0.77777777777777779</v>
      </c>
      <c r="W141">
        <f>VLOOKUP($U141,'[2]AP Balanced'!$Q$1:$T$542,3,FALSE)</f>
        <v>0.22222222222222221</v>
      </c>
      <c r="X141">
        <f>VLOOKUP($U141,'[2]AP Balanced'!$Q$1:$T$542,4,FALSE)</f>
        <v>0</v>
      </c>
      <c r="Y141" s="77">
        <f t="shared" si="250"/>
        <v>1</v>
      </c>
      <c r="Z141" s="77">
        <f t="shared" si="297"/>
        <v>6.1674999999999987E-2</v>
      </c>
      <c r="AA141" s="77">
        <f t="shared" si="298"/>
        <v>4.9997781870025904E-3</v>
      </c>
      <c r="AB141" s="79">
        <v>1</v>
      </c>
      <c r="AC141" s="77">
        <f t="shared" si="367"/>
        <v>8.0555555555555554E-3</v>
      </c>
      <c r="AD141" s="77">
        <f t="shared" si="358"/>
        <v>6.7378764057135498E-4</v>
      </c>
      <c r="AE141" s="77">
        <f t="shared" si="368"/>
        <v>2.5000000000000001E-3</v>
      </c>
      <c r="AF141" s="77">
        <f t="shared" si="358"/>
        <v>2.0857243058891584E-4</v>
      </c>
      <c r="AH141" t="s">
        <v>175</v>
      </c>
      <c r="AI141" t="s">
        <v>176</v>
      </c>
      <c r="AJ141" s="197" t="str">
        <f t="shared" si="252"/>
        <v>Lifecycle_Balanced_404</v>
      </c>
      <c r="AK141">
        <v>404</v>
      </c>
      <c r="AL141">
        <f>VLOOKUP($U141,[2]Standard_Balanced!$Q$1:$T$542,2,FALSE)</f>
        <v>0.77777777777777779</v>
      </c>
      <c r="AM141">
        <f>VLOOKUP($U141,[2]Standard_Balanced!$Q$1:$T$542,3,FALSE)</f>
        <v>0.22222222222222221</v>
      </c>
      <c r="AN141">
        <f>VLOOKUP($U141,[2]Standard_Balanced!$Q$1:$T$542,4,FALSE)</f>
        <v>0</v>
      </c>
      <c r="AO141" s="77">
        <f t="shared" si="344"/>
        <v>1</v>
      </c>
      <c r="AP141" s="77">
        <f t="shared" si="369"/>
        <v>6.1674999999999987E-2</v>
      </c>
      <c r="AQ141" s="77">
        <f t="shared" si="253"/>
        <v>4.9997781870025904E-3</v>
      </c>
      <c r="AR141" s="79">
        <v>0</v>
      </c>
      <c r="AS141" s="77">
        <f t="shared" si="370"/>
        <v>0</v>
      </c>
      <c r="AT141" s="77">
        <f t="shared" ref="AT141" si="390">1-(1-AS141)^(1/12)</f>
        <v>0</v>
      </c>
      <c r="AU141" s="77">
        <f t="shared" si="372"/>
        <v>2.5000000000000001E-3</v>
      </c>
      <c r="AV141" s="77">
        <f t="shared" ref="AV141" si="391">1-(1-AU141)^(1/12)</f>
        <v>2.0857243058891584E-4</v>
      </c>
      <c r="AX141" t="s">
        <v>178</v>
      </c>
      <c r="AY141" t="s">
        <v>160</v>
      </c>
      <c r="AZ141" s="197" t="str">
        <f t="shared" si="256"/>
        <v>DIS_Non-Standard_404</v>
      </c>
      <c r="BA141">
        <v>404</v>
      </c>
      <c r="BB141">
        <f>VLOOKUP($BA141,'[2]NonStandard DIS'!$Q$1:$X$542,2,FALSE)</f>
        <v>0</v>
      </c>
      <c r="BC141">
        <f>VLOOKUP($BA141,'[2]NonStandard DIS'!$Q$1:$X$542,3,FALSE)</f>
        <v>0</v>
      </c>
      <c r="BD141">
        <f>VLOOKUP($BA141,'[2]NonStandard DIS'!$Q$1:$X$542,4,FALSE)</f>
        <v>0.308</v>
      </c>
      <c r="BE141">
        <f>VLOOKUP($BA141,'[2]NonStandard DIS'!$Q$1:$X$542,5,FALSE)</f>
        <v>0.69199999999999995</v>
      </c>
      <c r="BF141">
        <f>VLOOKUP($BA141,'[2]NonStandard DIS'!$Q$1:$X$542,6,FALSE)</f>
        <v>0</v>
      </c>
      <c r="BG141">
        <f>VLOOKUP($BA141,'[2]NonStandard DIS'!$Q$1:$X$542,7,FALSE)</f>
        <v>0</v>
      </c>
      <c r="BH141">
        <f>VLOOKUP($BA141,'[2]NonStandard DIS'!$Q$1:$X$542,8,FALSE)</f>
        <v>0</v>
      </c>
      <c r="BI141" s="77">
        <f t="shared" si="361"/>
        <v>1</v>
      </c>
      <c r="BJ141" s="77">
        <f t="shared" si="362"/>
        <v>6.9728499999999985E-2</v>
      </c>
      <c r="BK141" s="77">
        <f t="shared" si="343"/>
        <v>5.632878498097682E-3</v>
      </c>
      <c r="BL141" s="79">
        <v>0</v>
      </c>
      <c r="BM141" s="77">
        <f t="shared" si="374"/>
        <v>0</v>
      </c>
      <c r="BN141" s="77">
        <f t="shared" si="375"/>
        <v>0</v>
      </c>
      <c r="BO141" s="77">
        <f t="shared" si="376"/>
        <v>5.6775999999999997E-3</v>
      </c>
      <c r="BP141" s="77">
        <f t="shared" si="377"/>
        <v>4.7190657760731725E-4</v>
      </c>
    </row>
    <row r="142" spans="1:68">
      <c r="A142" t="s">
        <v>175</v>
      </c>
      <c r="B142" t="s">
        <v>176</v>
      </c>
      <c r="C142" s="197" t="str">
        <f t="shared" si="248"/>
        <v>Lifecycle_Balanced_403</v>
      </c>
      <c r="D142">
        <v>403</v>
      </c>
      <c r="E142">
        <f>VLOOKUP($D142,'[2]LC Balanced'!$Q$2:$U$542,2,FALSE)</f>
        <v>0</v>
      </c>
      <c r="F142">
        <f>VLOOKUP($D142,'[2]LC Balanced'!$Q$2:$U$542,3,FALSE)</f>
        <v>0.14899999999999999</v>
      </c>
      <c r="G142">
        <f>VLOOKUP($D142,'[2]LC Balanced'!$Q$2:$U$542,4,FALSE)</f>
        <v>0.85099999999999998</v>
      </c>
      <c r="H142">
        <f>VLOOKUP($D142,'[2]LC Balanced'!$Q$2:$U$542,5,FALSE)</f>
        <v>0</v>
      </c>
      <c r="I142" s="77">
        <f t="shared" si="356"/>
        <v>1</v>
      </c>
      <c r="J142" s="77">
        <f t="shared" si="357"/>
        <v>6.1987699999999986E-2</v>
      </c>
      <c r="K142" s="77">
        <f t="shared" si="347"/>
        <v>5.024442123284345E-3</v>
      </c>
      <c r="L142" s="76">
        <v>0</v>
      </c>
      <c r="M142" s="77">
        <f t="shared" si="363"/>
        <v>0</v>
      </c>
      <c r="N142" s="77">
        <f t="shared" si="364"/>
        <v>0</v>
      </c>
      <c r="O142" s="77">
        <f t="shared" si="365"/>
        <v>7.0062999999999992E-3</v>
      </c>
      <c r="P142" s="77">
        <f t="shared" si="366"/>
        <v>5.85741666996209E-4</v>
      </c>
      <c r="R142" t="s">
        <v>177</v>
      </c>
      <c r="S142" t="s">
        <v>176</v>
      </c>
      <c r="T142" s="197" t="str">
        <f t="shared" si="296"/>
        <v>Autopilot_Balanced_403</v>
      </c>
      <c r="U142">
        <v>403</v>
      </c>
      <c r="V142">
        <f>VLOOKUP($U142,'[2]AP Balanced'!$Q$1:$T$542,2,FALSE)</f>
        <v>0.77777777777777779</v>
      </c>
      <c r="W142">
        <f>VLOOKUP($U142,'[2]AP Balanced'!$Q$1:$T$542,3,FALSE)</f>
        <v>0.22222222222222221</v>
      </c>
      <c r="X142">
        <f>VLOOKUP($U142,'[2]AP Balanced'!$Q$1:$T$542,4,FALSE)</f>
        <v>0</v>
      </c>
      <c r="Y142" s="77">
        <f t="shared" si="250"/>
        <v>1</v>
      </c>
      <c r="Z142" s="77">
        <f t="shared" si="297"/>
        <v>6.1674999999999987E-2</v>
      </c>
      <c r="AA142" s="77">
        <f t="shared" si="298"/>
        <v>4.9997781870025904E-3</v>
      </c>
      <c r="AB142" s="79">
        <v>1</v>
      </c>
      <c r="AC142" s="77">
        <f t="shared" si="367"/>
        <v>8.0555555555555554E-3</v>
      </c>
      <c r="AD142" s="77">
        <f t="shared" si="358"/>
        <v>6.7378764057135498E-4</v>
      </c>
      <c r="AE142" s="77">
        <f t="shared" si="368"/>
        <v>2.5000000000000001E-3</v>
      </c>
      <c r="AF142" s="77">
        <f t="shared" si="358"/>
        <v>2.0857243058891584E-4</v>
      </c>
      <c r="AH142" t="s">
        <v>175</v>
      </c>
      <c r="AI142" t="s">
        <v>176</v>
      </c>
      <c r="AJ142" s="197" t="str">
        <f t="shared" si="252"/>
        <v>Lifecycle_Balanced_403</v>
      </c>
      <c r="AK142">
        <v>403</v>
      </c>
      <c r="AL142">
        <f>VLOOKUP($U142,[2]Standard_Balanced!$Q$1:$T$542,2,FALSE)</f>
        <v>0.77777777777777779</v>
      </c>
      <c r="AM142">
        <f>VLOOKUP($U142,[2]Standard_Balanced!$Q$1:$T$542,3,FALSE)</f>
        <v>0.22222222222222221</v>
      </c>
      <c r="AN142">
        <f>VLOOKUP($U142,[2]Standard_Balanced!$Q$1:$T$542,4,FALSE)</f>
        <v>0</v>
      </c>
      <c r="AO142" s="77">
        <f t="shared" si="344"/>
        <v>1</v>
      </c>
      <c r="AP142" s="77">
        <f t="shared" si="369"/>
        <v>6.1674999999999987E-2</v>
      </c>
      <c r="AQ142" s="77">
        <f t="shared" si="253"/>
        <v>4.9997781870025904E-3</v>
      </c>
      <c r="AR142" s="79">
        <v>0</v>
      </c>
      <c r="AS142" s="77">
        <f t="shared" si="370"/>
        <v>0</v>
      </c>
      <c r="AT142" s="77">
        <f t="shared" ref="AT142" si="392">1-(1-AS142)^(1/12)</f>
        <v>0</v>
      </c>
      <c r="AU142" s="77">
        <f t="shared" si="372"/>
        <v>2.5000000000000001E-3</v>
      </c>
      <c r="AV142" s="77">
        <f t="shared" ref="AV142" si="393">1-(1-AU142)^(1/12)</f>
        <v>2.0857243058891584E-4</v>
      </c>
      <c r="AX142" t="s">
        <v>178</v>
      </c>
      <c r="AY142" t="s">
        <v>160</v>
      </c>
      <c r="AZ142" s="197" t="str">
        <f t="shared" si="256"/>
        <v>DIS_Non-Standard_403</v>
      </c>
      <c r="BA142">
        <v>403</v>
      </c>
      <c r="BB142">
        <f>VLOOKUP($BA142,'[2]NonStandard DIS'!$Q$1:$X$542,2,FALSE)</f>
        <v>0</v>
      </c>
      <c r="BC142">
        <f>VLOOKUP($BA142,'[2]NonStandard DIS'!$Q$1:$X$542,3,FALSE)</f>
        <v>0</v>
      </c>
      <c r="BD142">
        <f>VLOOKUP($BA142,'[2]NonStandard DIS'!$Q$1:$X$542,4,FALSE)</f>
        <v>0.308</v>
      </c>
      <c r="BE142">
        <f>VLOOKUP($BA142,'[2]NonStandard DIS'!$Q$1:$X$542,5,FALSE)</f>
        <v>0.69199999999999995</v>
      </c>
      <c r="BF142">
        <f>VLOOKUP($BA142,'[2]NonStandard DIS'!$Q$1:$X$542,6,FALSE)</f>
        <v>0</v>
      </c>
      <c r="BG142">
        <f>VLOOKUP($BA142,'[2]NonStandard DIS'!$Q$1:$X$542,7,FALSE)</f>
        <v>0</v>
      </c>
      <c r="BH142">
        <f>VLOOKUP($BA142,'[2]NonStandard DIS'!$Q$1:$X$542,8,FALSE)</f>
        <v>0</v>
      </c>
      <c r="BI142" s="77">
        <f t="shared" si="361"/>
        <v>1</v>
      </c>
      <c r="BJ142" s="77">
        <f t="shared" si="362"/>
        <v>6.9728499999999985E-2</v>
      </c>
      <c r="BK142" s="77">
        <f t="shared" si="343"/>
        <v>5.632878498097682E-3</v>
      </c>
      <c r="BL142" s="79">
        <v>0</v>
      </c>
      <c r="BM142" s="77">
        <f t="shared" si="374"/>
        <v>0</v>
      </c>
      <c r="BN142" s="77">
        <f t="shared" si="375"/>
        <v>0</v>
      </c>
      <c r="BO142" s="77">
        <f t="shared" si="376"/>
        <v>5.6775999999999997E-3</v>
      </c>
      <c r="BP142" s="77">
        <f t="shared" si="377"/>
        <v>4.7190657760731725E-4</v>
      </c>
    </row>
    <row r="143" spans="1:68">
      <c r="A143" t="s">
        <v>175</v>
      </c>
      <c r="B143" t="s">
        <v>176</v>
      </c>
      <c r="C143" s="197" t="str">
        <f t="shared" si="248"/>
        <v>Lifecycle_Balanced_402</v>
      </c>
      <c r="D143">
        <v>402</v>
      </c>
      <c r="E143">
        <f>VLOOKUP($D143,'[2]LC Balanced'!$Q$2:$U$542,2,FALSE)</f>
        <v>0</v>
      </c>
      <c r="F143">
        <f>VLOOKUP($D143,'[2]LC Balanced'!$Q$2:$U$542,3,FALSE)</f>
        <v>0.14899999999999999</v>
      </c>
      <c r="G143">
        <f>VLOOKUP($D143,'[2]LC Balanced'!$Q$2:$U$542,4,FALSE)</f>
        <v>0.85099999999999998</v>
      </c>
      <c r="H143">
        <f>VLOOKUP($D143,'[2]LC Balanced'!$Q$2:$U$542,5,FALSE)</f>
        <v>0</v>
      </c>
      <c r="I143" s="77">
        <f t="shared" si="356"/>
        <v>1</v>
      </c>
      <c r="J143" s="77">
        <f t="shared" si="357"/>
        <v>6.1987699999999986E-2</v>
      </c>
      <c r="K143" s="77">
        <f t="shared" si="347"/>
        <v>5.024442123284345E-3</v>
      </c>
      <c r="L143" s="76">
        <v>0</v>
      </c>
      <c r="M143" s="77">
        <f t="shared" si="363"/>
        <v>0</v>
      </c>
      <c r="N143" s="77">
        <f t="shared" si="364"/>
        <v>0</v>
      </c>
      <c r="O143" s="77">
        <f t="shared" si="365"/>
        <v>7.0062999999999992E-3</v>
      </c>
      <c r="P143" s="77">
        <f t="shared" si="366"/>
        <v>5.85741666996209E-4</v>
      </c>
      <c r="R143" t="s">
        <v>177</v>
      </c>
      <c r="S143" t="s">
        <v>176</v>
      </c>
      <c r="T143" s="197" t="str">
        <f t="shared" si="296"/>
        <v>Autopilot_Balanced_402</v>
      </c>
      <c r="U143">
        <v>402</v>
      </c>
      <c r="V143">
        <f>VLOOKUP($U143,'[2]AP Balanced'!$Q$1:$T$542,2,FALSE)</f>
        <v>0.77777777777777779</v>
      </c>
      <c r="W143">
        <f>VLOOKUP($U143,'[2]AP Balanced'!$Q$1:$T$542,3,FALSE)</f>
        <v>0.22222222222222221</v>
      </c>
      <c r="X143">
        <f>VLOOKUP($U143,'[2]AP Balanced'!$Q$1:$T$542,4,FALSE)</f>
        <v>0</v>
      </c>
      <c r="Y143" s="77">
        <f t="shared" si="250"/>
        <v>1</v>
      </c>
      <c r="Z143" s="77">
        <f t="shared" si="297"/>
        <v>6.1674999999999987E-2</v>
      </c>
      <c r="AA143" s="77">
        <f t="shared" si="298"/>
        <v>4.9997781870025904E-3</v>
      </c>
      <c r="AB143" s="79">
        <v>1</v>
      </c>
      <c r="AC143" s="77">
        <f t="shared" si="367"/>
        <v>8.0555555555555554E-3</v>
      </c>
      <c r="AD143" s="77">
        <f t="shared" si="358"/>
        <v>6.7378764057135498E-4</v>
      </c>
      <c r="AE143" s="77">
        <f t="shared" si="368"/>
        <v>2.5000000000000001E-3</v>
      </c>
      <c r="AF143" s="77">
        <f t="shared" si="358"/>
        <v>2.0857243058891584E-4</v>
      </c>
      <c r="AH143" t="s">
        <v>175</v>
      </c>
      <c r="AI143" t="s">
        <v>176</v>
      </c>
      <c r="AJ143" s="197" t="str">
        <f t="shared" si="252"/>
        <v>Lifecycle_Balanced_402</v>
      </c>
      <c r="AK143">
        <v>402</v>
      </c>
      <c r="AL143">
        <f>VLOOKUP($U143,[2]Standard_Balanced!$Q$1:$T$542,2,FALSE)</f>
        <v>0.77777777777777779</v>
      </c>
      <c r="AM143">
        <f>VLOOKUP($U143,[2]Standard_Balanced!$Q$1:$T$542,3,FALSE)</f>
        <v>0.22222222222222221</v>
      </c>
      <c r="AN143">
        <f>VLOOKUP($U143,[2]Standard_Balanced!$Q$1:$T$542,4,FALSE)</f>
        <v>0</v>
      </c>
      <c r="AO143" s="77">
        <f t="shared" si="344"/>
        <v>1</v>
      </c>
      <c r="AP143" s="77">
        <f t="shared" si="369"/>
        <v>6.1674999999999987E-2</v>
      </c>
      <c r="AQ143" s="77">
        <f t="shared" si="253"/>
        <v>4.9997781870025904E-3</v>
      </c>
      <c r="AR143" s="79">
        <v>0</v>
      </c>
      <c r="AS143" s="77">
        <f t="shared" si="370"/>
        <v>0</v>
      </c>
      <c r="AT143" s="77">
        <f t="shared" ref="AT143" si="394">1-(1-AS143)^(1/12)</f>
        <v>0</v>
      </c>
      <c r="AU143" s="77">
        <f t="shared" si="372"/>
        <v>2.5000000000000001E-3</v>
      </c>
      <c r="AV143" s="77">
        <f t="shared" ref="AV143" si="395">1-(1-AU143)^(1/12)</f>
        <v>2.0857243058891584E-4</v>
      </c>
      <c r="AX143" t="s">
        <v>178</v>
      </c>
      <c r="AY143" t="s">
        <v>160</v>
      </c>
      <c r="AZ143" s="197" t="str">
        <f t="shared" si="256"/>
        <v>DIS_Non-Standard_402</v>
      </c>
      <c r="BA143">
        <v>402</v>
      </c>
      <c r="BB143">
        <f>VLOOKUP($BA143,'[2]NonStandard DIS'!$Q$1:$X$542,2,FALSE)</f>
        <v>0</v>
      </c>
      <c r="BC143">
        <f>VLOOKUP($BA143,'[2]NonStandard DIS'!$Q$1:$X$542,3,FALSE)</f>
        <v>0</v>
      </c>
      <c r="BD143">
        <f>VLOOKUP($BA143,'[2]NonStandard DIS'!$Q$1:$X$542,4,FALSE)</f>
        <v>0.308</v>
      </c>
      <c r="BE143">
        <f>VLOOKUP($BA143,'[2]NonStandard DIS'!$Q$1:$X$542,5,FALSE)</f>
        <v>0.69199999999999995</v>
      </c>
      <c r="BF143">
        <f>VLOOKUP($BA143,'[2]NonStandard DIS'!$Q$1:$X$542,6,FALSE)</f>
        <v>0</v>
      </c>
      <c r="BG143">
        <f>VLOOKUP($BA143,'[2]NonStandard DIS'!$Q$1:$X$542,7,FALSE)</f>
        <v>0</v>
      </c>
      <c r="BH143">
        <f>VLOOKUP($BA143,'[2]NonStandard DIS'!$Q$1:$X$542,8,FALSE)</f>
        <v>0</v>
      </c>
      <c r="BI143" s="77">
        <f t="shared" si="361"/>
        <v>1</v>
      </c>
      <c r="BJ143" s="77">
        <f t="shared" si="362"/>
        <v>6.9728499999999985E-2</v>
      </c>
      <c r="BK143" s="77">
        <f t="shared" si="343"/>
        <v>5.632878498097682E-3</v>
      </c>
      <c r="BL143" s="79">
        <v>0</v>
      </c>
      <c r="BM143" s="77">
        <f t="shared" si="374"/>
        <v>0</v>
      </c>
      <c r="BN143" s="77">
        <f t="shared" si="375"/>
        <v>0</v>
      </c>
      <c r="BO143" s="77">
        <f t="shared" si="376"/>
        <v>5.6775999999999997E-3</v>
      </c>
      <c r="BP143" s="77">
        <f t="shared" si="377"/>
        <v>4.7190657760731725E-4</v>
      </c>
    </row>
    <row r="144" spans="1:68">
      <c r="A144" t="s">
        <v>175</v>
      </c>
      <c r="B144" t="s">
        <v>176</v>
      </c>
      <c r="C144" s="197" t="str">
        <f t="shared" si="248"/>
        <v>Lifecycle_Balanced_401</v>
      </c>
      <c r="D144">
        <v>401</v>
      </c>
      <c r="E144">
        <f>VLOOKUP($D144,'[2]LC Balanced'!$Q$2:$U$542,2,FALSE)</f>
        <v>0</v>
      </c>
      <c r="F144">
        <f>VLOOKUP($D144,'[2]LC Balanced'!$Q$2:$U$542,3,FALSE)</f>
        <v>0.14899999999999999</v>
      </c>
      <c r="G144">
        <f>VLOOKUP($D144,'[2]LC Balanced'!$Q$2:$U$542,4,FALSE)</f>
        <v>0.85099999999999998</v>
      </c>
      <c r="H144">
        <f>VLOOKUP($D144,'[2]LC Balanced'!$Q$2:$U$542,5,FALSE)</f>
        <v>0</v>
      </c>
      <c r="I144" s="77">
        <f t="shared" si="356"/>
        <v>1</v>
      </c>
      <c r="J144" s="77">
        <f t="shared" si="357"/>
        <v>6.1987699999999986E-2</v>
      </c>
      <c r="K144" s="77">
        <f t="shared" si="347"/>
        <v>5.024442123284345E-3</v>
      </c>
      <c r="L144" s="76">
        <v>0</v>
      </c>
      <c r="M144" s="77">
        <f t="shared" si="363"/>
        <v>0</v>
      </c>
      <c r="N144" s="77">
        <f t="shared" si="364"/>
        <v>0</v>
      </c>
      <c r="O144" s="77">
        <f t="shared" si="365"/>
        <v>7.0062999999999992E-3</v>
      </c>
      <c r="P144" s="77">
        <f t="shared" si="366"/>
        <v>5.85741666996209E-4</v>
      </c>
      <c r="R144" t="s">
        <v>177</v>
      </c>
      <c r="S144" t="s">
        <v>176</v>
      </c>
      <c r="T144" s="197" t="str">
        <f t="shared" si="296"/>
        <v>Autopilot_Balanced_401</v>
      </c>
      <c r="U144">
        <v>401</v>
      </c>
      <c r="V144">
        <f>VLOOKUP($U144,'[2]AP Balanced'!$Q$1:$T$542,2,FALSE)</f>
        <v>0.77777777777777779</v>
      </c>
      <c r="W144">
        <f>VLOOKUP($U144,'[2]AP Balanced'!$Q$1:$T$542,3,FALSE)</f>
        <v>0.22222222222222221</v>
      </c>
      <c r="X144">
        <f>VLOOKUP($U144,'[2]AP Balanced'!$Q$1:$T$542,4,FALSE)</f>
        <v>0</v>
      </c>
      <c r="Y144" s="77">
        <f t="shared" si="250"/>
        <v>1</v>
      </c>
      <c r="Z144" s="77">
        <f t="shared" si="297"/>
        <v>6.1674999999999987E-2</v>
      </c>
      <c r="AA144" s="77">
        <f t="shared" si="298"/>
        <v>4.9997781870025904E-3</v>
      </c>
      <c r="AB144" s="79">
        <v>1</v>
      </c>
      <c r="AC144" s="77">
        <f t="shared" si="367"/>
        <v>8.0555555555555554E-3</v>
      </c>
      <c r="AD144" s="77">
        <f t="shared" si="358"/>
        <v>6.7378764057135498E-4</v>
      </c>
      <c r="AE144" s="77">
        <f t="shared" si="368"/>
        <v>2.5000000000000001E-3</v>
      </c>
      <c r="AF144" s="77">
        <f t="shared" si="358"/>
        <v>2.0857243058891584E-4</v>
      </c>
      <c r="AH144" t="s">
        <v>175</v>
      </c>
      <c r="AI144" t="s">
        <v>176</v>
      </c>
      <c r="AJ144" s="197" t="str">
        <f t="shared" si="252"/>
        <v>Lifecycle_Balanced_401</v>
      </c>
      <c r="AK144">
        <v>401</v>
      </c>
      <c r="AL144">
        <f>VLOOKUP($U144,[2]Standard_Balanced!$Q$1:$T$542,2,FALSE)</f>
        <v>0.77777777777777779</v>
      </c>
      <c r="AM144">
        <f>VLOOKUP($U144,[2]Standard_Balanced!$Q$1:$T$542,3,FALSE)</f>
        <v>0.22222222222222221</v>
      </c>
      <c r="AN144">
        <f>VLOOKUP($U144,[2]Standard_Balanced!$Q$1:$T$542,4,FALSE)</f>
        <v>0</v>
      </c>
      <c r="AO144" s="77">
        <f t="shared" si="344"/>
        <v>1</v>
      </c>
      <c r="AP144" s="77">
        <f t="shared" si="369"/>
        <v>6.1674999999999987E-2</v>
      </c>
      <c r="AQ144" s="77">
        <f t="shared" si="253"/>
        <v>4.9997781870025904E-3</v>
      </c>
      <c r="AR144" s="79">
        <v>0</v>
      </c>
      <c r="AS144" s="77">
        <f t="shared" si="370"/>
        <v>0</v>
      </c>
      <c r="AT144" s="77">
        <f t="shared" ref="AT144" si="396">1-(1-AS144)^(1/12)</f>
        <v>0</v>
      </c>
      <c r="AU144" s="77">
        <f t="shared" si="372"/>
        <v>2.5000000000000001E-3</v>
      </c>
      <c r="AV144" s="77">
        <f t="shared" ref="AV144" si="397">1-(1-AU144)^(1/12)</f>
        <v>2.0857243058891584E-4</v>
      </c>
      <c r="AX144" t="s">
        <v>178</v>
      </c>
      <c r="AY144" t="s">
        <v>160</v>
      </c>
      <c r="AZ144" s="197" t="str">
        <f t="shared" si="256"/>
        <v>DIS_Non-Standard_401</v>
      </c>
      <c r="BA144">
        <v>401</v>
      </c>
      <c r="BB144">
        <f>VLOOKUP($BA144,'[2]NonStandard DIS'!$Q$1:$X$542,2,FALSE)</f>
        <v>0</v>
      </c>
      <c r="BC144">
        <f>VLOOKUP($BA144,'[2]NonStandard DIS'!$Q$1:$X$542,3,FALSE)</f>
        <v>0</v>
      </c>
      <c r="BD144">
        <f>VLOOKUP($BA144,'[2]NonStandard DIS'!$Q$1:$X$542,4,FALSE)</f>
        <v>0.308</v>
      </c>
      <c r="BE144">
        <f>VLOOKUP($BA144,'[2]NonStandard DIS'!$Q$1:$X$542,5,FALSE)</f>
        <v>0.69199999999999995</v>
      </c>
      <c r="BF144">
        <f>VLOOKUP($BA144,'[2]NonStandard DIS'!$Q$1:$X$542,6,FALSE)</f>
        <v>0</v>
      </c>
      <c r="BG144">
        <f>VLOOKUP($BA144,'[2]NonStandard DIS'!$Q$1:$X$542,7,FALSE)</f>
        <v>0</v>
      </c>
      <c r="BH144">
        <f>VLOOKUP($BA144,'[2]NonStandard DIS'!$Q$1:$X$542,8,FALSE)</f>
        <v>0</v>
      </c>
      <c r="BI144" s="77">
        <f t="shared" si="361"/>
        <v>1</v>
      </c>
      <c r="BJ144" s="77">
        <f t="shared" si="362"/>
        <v>6.9728499999999985E-2</v>
      </c>
      <c r="BK144" s="77">
        <f t="shared" si="343"/>
        <v>5.632878498097682E-3</v>
      </c>
      <c r="BL144" s="79">
        <v>0</v>
      </c>
      <c r="BM144" s="77">
        <f t="shared" si="374"/>
        <v>0</v>
      </c>
      <c r="BN144" s="77">
        <f t="shared" si="375"/>
        <v>0</v>
      </c>
      <c r="BO144" s="77">
        <f t="shared" si="376"/>
        <v>5.6775999999999997E-3</v>
      </c>
      <c r="BP144" s="77">
        <f t="shared" si="377"/>
        <v>4.7190657760731725E-4</v>
      </c>
    </row>
    <row r="145" spans="1:68">
      <c r="A145" t="s">
        <v>175</v>
      </c>
      <c r="B145" t="s">
        <v>176</v>
      </c>
      <c r="C145" s="197" t="str">
        <f t="shared" si="248"/>
        <v>Lifecycle_Balanced_400</v>
      </c>
      <c r="D145">
        <v>400</v>
      </c>
      <c r="E145">
        <f>VLOOKUP($D145,'[2]LC Balanced'!$Q$2:$U$542,2,FALSE)</f>
        <v>0</v>
      </c>
      <c r="F145">
        <f>VLOOKUP($D145,'[2]LC Balanced'!$Q$2:$U$542,3,FALSE)</f>
        <v>0.14899999999999999</v>
      </c>
      <c r="G145">
        <f>VLOOKUP($D145,'[2]LC Balanced'!$Q$2:$U$542,4,FALSE)</f>
        <v>0.85099999999999998</v>
      </c>
      <c r="H145">
        <f>VLOOKUP($D145,'[2]LC Balanced'!$Q$2:$U$542,5,FALSE)</f>
        <v>0</v>
      </c>
      <c r="I145" s="77">
        <f t="shared" si="356"/>
        <v>1</v>
      </c>
      <c r="J145" s="77">
        <f t="shared" si="357"/>
        <v>6.1987699999999986E-2</v>
      </c>
      <c r="K145" s="77">
        <f t="shared" si="347"/>
        <v>5.024442123284345E-3</v>
      </c>
      <c r="L145" s="76">
        <v>0</v>
      </c>
      <c r="M145" s="77">
        <f t="shared" si="363"/>
        <v>0</v>
      </c>
      <c r="N145" s="77">
        <f t="shared" si="364"/>
        <v>0</v>
      </c>
      <c r="O145" s="77">
        <f t="shared" si="365"/>
        <v>7.0062999999999992E-3</v>
      </c>
      <c r="P145" s="77">
        <f t="shared" si="366"/>
        <v>5.85741666996209E-4</v>
      </c>
      <c r="R145" t="s">
        <v>177</v>
      </c>
      <c r="S145" t="s">
        <v>176</v>
      </c>
      <c r="T145" s="197" t="str">
        <f t="shared" si="296"/>
        <v>Autopilot_Balanced_400</v>
      </c>
      <c r="U145">
        <v>400</v>
      </c>
      <c r="V145">
        <f>VLOOKUP($U145,'[2]AP Balanced'!$Q$1:$T$542,2,FALSE)</f>
        <v>0.77777777777777779</v>
      </c>
      <c r="W145">
        <f>VLOOKUP($U145,'[2]AP Balanced'!$Q$1:$T$542,3,FALSE)</f>
        <v>0.22222222222222221</v>
      </c>
      <c r="X145">
        <f>VLOOKUP($U145,'[2]AP Balanced'!$Q$1:$T$542,4,FALSE)</f>
        <v>0</v>
      </c>
      <c r="Y145" s="77">
        <f t="shared" si="250"/>
        <v>1</v>
      </c>
      <c r="Z145" s="77">
        <f t="shared" si="297"/>
        <v>6.1674999999999987E-2</v>
      </c>
      <c r="AA145" s="77">
        <f t="shared" si="298"/>
        <v>4.9997781870025904E-3</v>
      </c>
      <c r="AB145" s="79">
        <v>1</v>
      </c>
      <c r="AC145" s="77">
        <f t="shared" si="367"/>
        <v>8.0555555555555554E-3</v>
      </c>
      <c r="AD145" s="77">
        <f t="shared" si="358"/>
        <v>6.7378764057135498E-4</v>
      </c>
      <c r="AE145" s="77">
        <f t="shared" si="368"/>
        <v>2.5000000000000001E-3</v>
      </c>
      <c r="AF145" s="77">
        <f t="shared" si="358"/>
        <v>2.0857243058891584E-4</v>
      </c>
      <c r="AH145" t="s">
        <v>175</v>
      </c>
      <c r="AI145" t="s">
        <v>176</v>
      </c>
      <c r="AJ145" s="197" t="str">
        <f t="shared" si="252"/>
        <v>Lifecycle_Balanced_400</v>
      </c>
      <c r="AK145">
        <v>400</v>
      </c>
      <c r="AL145">
        <f>VLOOKUP($U145,[2]Standard_Balanced!$Q$1:$T$542,2,FALSE)</f>
        <v>0.77777777777777779</v>
      </c>
      <c r="AM145">
        <f>VLOOKUP($U145,[2]Standard_Balanced!$Q$1:$T$542,3,FALSE)</f>
        <v>0.22222222222222221</v>
      </c>
      <c r="AN145">
        <f>VLOOKUP($U145,[2]Standard_Balanced!$Q$1:$T$542,4,FALSE)</f>
        <v>0</v>
      </c>
      <c r="AO145" s="77">
        <f t="shared" si="344"/>
        <v>1</v>
      </c>
      <c r="AP145" s="77">
        <f t="shared" si="369"/>
        <v>6.1674999999999987E-2</v>
      </c>
      <c r="AQ145" s="77">
        <f t="shared" si="253"/>
        <v>4.9997781870025904E-3</v>
      </c>
      <c r="AR145" s="79">
        <v>0</v>
      </c>
      <c r="AS145" s="77">
        <f t="shared" si="370"/>
        <v>0</v>
      </c>
      <c r="AT145" s="77">
        <f t="shared" ref="AT145" si="398">1-(1-AS145)^(1/12)</f>
        <v>0</v>
      </c>
      <c r="AU145" s="77">
        <f t="shared" si="372"/>
        <v>2.5000000000000001E-3</v>
      </c>
      <c r="AV145" s="77">
        <f t="shared" ref="AV145" si="399">1-(1-AU145)^(1/12)</f>
        <v>2.0857243058891584E-4</v>
      </c>
      <c r="AX145" t="s">
        <v>178</v>
      </c>
      <c r="AY145" t="s">
        <v>160</v>
      </c>
      <c r="AZ145" s="197" t="str">
        <f t="shared" si="256"/>
        <v>DIS_Non-Standard_400</v>
      </c>
      <c r="BA145">
        <v>400</v>
      </c>
      <c r="BB145">
        <f>VLOOKUP($BA145,'[2]NonStandard DIS'!$Q$1:$X$542,2,FALSE)</f>
        <v>0</v>
      </c>
      <c r="BC145">
        <f>VLOOKUP($BA145,'[2]NonStandard DIS'!$Q$1:$X$542,3,FALSE)</f>
        <v>0</v>
      </c>
      <c r="BD145">
        <f>VLOOKUP($BA145,'[2]NonStandard DIS'!$Q$1:$X$542,4,FALSE)</f>
        <v>0.308</v>
      </c>
      <c r="BE145">
        <f>VLOOKUP($BA145,'[2]NonStandard DIS'!$Q$1:$X$542,5,FALSE)</f>
        <v>0.69199999999999995</v>
      </c>
      <c r="BF145">
        <f>VLOOKUP($BA145,'[2]NonStandard DIS'!$Q$1:$X$542,6,FALSE)</f>
        <v>0</v>
      </c>
      <c r="BG145">
        <f>VLOOKUP($BA145,'[2]NonStandard DIS'!$Q$1:$X$542,7,FALSE)</f>
        <v>0</v>
      </c>
      <c r="BH145">
        <f>VLOOKUP($BA145,'[2]NonStandard DIS'!$Q$1:$X$542,8,FALSE)</f>
        <v>0</v>
      </c>
      <c r="BI145" s="77">
        <f t="shared" si="361"/>
        <v>1</v>
      </c>
      <c r="BJ145" s="77">
        <f t="shared" si="362"/>
        <v>6.9728499999999985E-2</v>
      </c>
      <c r="BK145" s="77">
        <f t="shared" si="343"/>
        <v>5.632878498097682E-3</v>
      </c>
      <c r="BL145" s="79">
        <v>0</v>
      </c>
      <c r="BM145" s="77">
        <f t="shared" si="374"/>
        <v>0</v>
      </c>
      <c r="BN145" s="77">
        <f t="shared" si="375"/>
        <v>0</v>
      </c>
      <c r="BO145" s="77">
        <f t="shared" si="376"/>
        <v>5.6775999999999997E-3</v>
      </c>
      <c r="BP145" s="77">
        <f t="shared" si="377"/>
        <v>4.7190657760731725E-4</v>
      </c>
    </row>
    <row r="146" spans="1:68">
      <c r="A146" t="s">
        <v>175</v>
      </c>
      <c r="B146" t="s">
        <v>176</v>
      </c>
      <c r="C146" s="197" t="str">
        <f t="shared" si="248"/>
        <v>Lifecycle_Balanced_399</v>
      </c>
      <c r="D146">
        <v>399</v>
      </c>
      <c r="E146">
        <f>VLOOKUP($D146,'[2]LC Balanced'!$Q$2:$U$542,2,FALSE)</f>
        <v>0</v>
      </c>
      <c r="F146">
        <f>VLOOKUP($D146,'[2]LC Balanced'!$Q$2:$U$542,3,FALSE)</f>
        <v>0.14899999999999999</v>
      </c>
      <c r="G146">
        <f>VLOOKUP($D146,'[2]LC Balanced'!$Q$2:$U$542,4,FALSE)</f>
        <v>0.85099999999999998</v>
      </c>
      <c r="H146">
        <f>VLOOKUP($D146,'[2]LC Balanced'!$Q$2:$U$542,5,FALSE)</f>
        <v>0</v>
      </c>
      <c r="I146" s="77">
        <f t="shared" si="356"/>
        <v>1</v>
      </c>
      <c r="J146" s="77">
        <f t="shared" si="357"/>
        <v>6.1987699999999986E-2</v>
      </c>
      <c r="K146" s="77">
        <f t="shared" si="347"/>
        <v>5.024442123284345E-3</v>
      </c>
      <c r="L146" s="76">
        <v>0</v>
      </c>
      <c r="M146" s="77">
        <f t="shared" si="363"/>
        <v>0</v>
      </c>
      <c r="N146" s="77">
        <f t="shared" si="364"/>
        <v>0</v>
      </c>
      <c r="O146" s="77">
        <f t="shared" si="365"/>
        <v>7.0062999999999992E-3</v>
      </c>
      <c r="P146" s="77">
        <f t="shared" si="366"/>
        <v>5.85741666996209E-4</v>
      </c>
      <c r="R146" t="s">
        <v>177</v>
      </c>
      <c r="S146" t="s">
        <v>176</v>
      </c>
      <c r="T146" s="197" t="str">
        <f t="shared" si="296"/>
        <v>Autopilot_Balanced_399</v>
      </c>
      <c r="U146">
        <v>399</v>
      </c>
      <c r="V146">
        <f>VLOOKUP($U146,'[2]AP Balanced'!$Q$1:$T$542,2,FALSE)</f>
        <v>0.77777777777777779</v>
      </c>
      <c r="W146">
        <f>VLOOKUP($U146,'[2]AP Balanced'!$Q$1:$T$542,3,FALSE)</f>
        <v>0.22222222222222221</v>
      </c>
      <c r="X146">
        <f>VLOOKUP($U146,'[2]AP Balanced'!$Q$1:$T$542,4,FALSE)</f>
        <v>0</v>
      </c>
      <c r="Y146" s="77">
        <f t="shared" si="250"/>
        <v>1</v>
      </c>
      <c r="Z146" s="77">
        <f t="shared" si="297"/>
        <v>6.1674999999999987E-2</v>
      </c>
      <c r="AA146" s="77">
        <f t="shared" si="298"/>
        <v>4.9997781870025904E-3</v>
      </c>
      <c r="AB146" s="79">
        <v>1</v>
      </c>
      <c r="AC146" s="77">
        <f t="shared" si="367"/>
        <v>8.0555555555555554E-3</v>
      </c>
      <c r="AD146" s="77">
        <f t="shared" si="358"/>
        <v>6.7378764057135498E-4</v>
      </c>
      <c r="AE146" s="77">
        <f t="shared" si="368"/>
        <v>2.5000000000000001E-3</v>
      </c>
      <c r="AF146" s="77">
        <f t="shared" si="358"/>
        <v>2.0857243058891584E-4</v>
      </c>
      <c r="AH146" t="s">
        <v>175</v>
      </c>
      <c r="AI146" t="s">
        <v>176</v>
      </c>
      <c r="AJ146" s="197" t="str">
        <f t="shared" si="252"/>
        <v>Lifecycle_Balanced_399</v>
      </c>
      <c r="AK146">
        <v>399</v>
      </c>
      <c r="AL146">
        <f>VLOOKUP($U146,[2]Standard_Balanced!$Q$1:$T$542,2,FALSE)</f>
        <v>0.77777777777777779</v>
      </c>
      <c r="AM146">
        <f>VLOOKUP($U146,[2]Standard_Balanced!$Q$1:$T$542,3,FALSE)</f>
        <v>0.22222222222222221</v>
      </c>
      <c r="AN146">
        <f>VLOOKUP($U146,[2]Standard_Balanced!$Q$1:$T$542,4,FALSE)</f>
        <v>0</v>
      </c>
      <c r="AO146" s="77">
        <f t="shared" si="344"/>
        <v>1</v>
      </c>
      <c r="AP146" s="77">
        <f t="shared" si="369"/>
        <v>6.1674999999999987E-2</v>
      </c>
      <c r="AQ146" s="77">
        <f t="shared" si="253"/>
        <v>4.9997781870025904E-3</v>
      </c>
      <c r="AR146" s="79">
        <v>0</v>
      </c>
      <c r="AS146" s="77">
        <f t="shared" si="370"/>
        <v>0</v>
      </c>
      <c r="AT146" s="77">
        <f t="shared" ref="AT146" si="400">1-(1-AS146)^(1/12)</f>
        <v>0</v>
      </c>
      <c r="AU146" s="77">
        <f t="shared" si="372"/>
        <v>2.5000000000000001E-3</v>
      </c>
      <c r="AV146" s="77">
        <f t="shared" ref="AV146" si="401">1-(1-AU146)^(1/12)</f>
        <v>2.0857243058891584E-4</v>
      </c>
      <c r="AX146" t="s">
        <v>178</v>
      </c>
      <c r="AY146" t="s">
        <v>160</v>
      </c>
      <c r="AZ146" s="197" t="str">
        <f t="shared" si="256"/>
        <v>DIS_Non-Standard_399</v>
      </c>
      <c r="BA146">
        <v>399</v>
      </c>
      <c r="BB146">
        <f>VLOOKUP($BA146,'[2]NonStandard DIS'!$Q$1:$X$542,2,FALSE)</f>
        <v>0</v>
      </c>
      <c r="BC146">
        <f>VLOOKUP($BA146,'[2]NonStandard DIS'!$Q$1:$X$542,3,FALSE)</f>
        <v>0</v>
      </c>
      <c r="BD146">
        <f>VLOOKUP($BA146,'[2]NonStandard DIS'!$Q$1:$X$542,4,FALSE)</f>
        <v>0.308</v>
      </c>
      <c r="BE146">
        <f>VLOOKUP($BA146,'[2]NonStandard DIS'!$Q$1:$X$542,5,FALSE)</f>
        <v>0.69199999999999995</v>
      </c>
      <c r="BF146">
        <f>VLOOKUP($BA146,'[2]NonStandard DIS'!$Q$1:$X$542,6,FALSE)</f>
        <v>0</v>
      </c>
      <c r="BG146">
        <f>VLOOKUP($BA146,'[2]NonStandard DIS'!$Q$1:$X$542,7,FALSE)</f>
        <v>0</v>
      </c>
      <c r="BH146">
        <f>VLOOKUP($BA146,'[2]NonStandard DIS'!$Q$1:$X$542,8,FALSE)</f>
        <v>0</v>
      </c>
      <c r="BI146" s="77">
        <f t="shared" si="361"/>
        <v>1</v>
      </c>
      <c r="BJ146" s="77">
        <f t="shared" si="362"/>
        <v>6.9728499999999985E-2</v>
      </c>
      <c r="BK146" s="77">
        <f t="shared" si="343"/>
        <v>5.632878498097682E-3</v>
      </c>
      <c r="BL146" s="79">
        <v>0</v>
      </c>
      <c r="BM146" s="77">
        <f t="shared" si="374"/>
        <v>0</v>
      </c>
      <c r="BN146" s="77">
        <f t="shared" si="375"/>
        <v>0</v>
      </c>
      <c r="BO146" s="77">
        <f t="shared" si="376"/>
        <v>5.6775999999999997E-3</v>
      </c>
      <c r="BP146" s="77">
        <f t="shared" si="377"/>
        <v>4.7190657760731725E-4</v>
      </c>
    </row>
    <row r="147" spans="1:68">
      <c r="A147" t="s">
        <v>175</v>
      </c>
      <c r="B147" t="s">
        <v>176</v>
      </c>
      <c r="C147" s="197" t="str">
        <f t="shared" si="248"/>
        <v>Lifecycle_Balanced_398</v>
      </c>
      <c r="D147">
        <v>398</v>
      </c>
      <c r="E147">
        <f>VLOOKUP($D147,'[2]LC Balanced'!$Q$2:$U$542,2,FALSE)</f>
        <v>0</v>
      </c>
      <c r="F147">
        <f>VLOOKUP($D147,'[2]LC Balanced'!$Q$2:$U$542,3,FALSE)</f>
        <v>0.14899999999999999</v>
      </c>
      <c r="G147">
        <f>VLOOKUP($D147,'[2]LC Balanced'!$Q$2:$U$542,4,FALSE)</f>
        <v>0.85099999999999998</v>
      </c>
      <c r="H147">
        <f>VLOOKUP($D147,'[2]LC Balanced'!$Q$2:$U$542,5,FALSE)</f>
        <v>0</v>
      </c>
      <c r="I147" s="77">
        <f t="shared" si="356"/>
        <v>1</v>
      </c>
      <c r="J147" s="77">
        <f t="shared" si="357"/>
        <v>6.1987699999999986E-2</v>
      </c>
      <c r="K147" s="77">
        <f t="shared" si="347"/>
        <v>5.024442123284345E-3</v>
      </c>
      <c r="L147" s="76">
        <v>0</v>
      </c>
      <c r="M147" s="77">
        <f t="shared" si="363"/>
        <v>0</v>
      </c>
      <c r="N147" s="77">
        <f t="shared" si="364"/>
        <v>0</v>
      </c>
      <c r="O147" s="77">
        <f t="shared" si="365"/>
        <v>7.0062999999999992E-3</v>
      </c>
      <c r="P147" s="77">
        <f t="shared" si="366"/>
        <v>5.85741666996209E-4</v>
      </c>
      <c r="R147" t="s">
        <v>177</v>
      </c>
      <c r="S147" t="s">
        <v>176</v>
      </c>
      <c r="T147" s="197" t="str">
        <f t="shared" si="296"/>
        <v>Autopilot_Balanced_398</v>
      </c>
      <c r="U147">
        <v>398</v>
      </c>
      <c r="V147">
        <f>VLOOKUP($U147,'[2]AP Balanced'!$Q$1:$T$542,2,FALSE)</f>
        <v>0.77777777777777779</v>
      </c>
      <c r="W147">
        <f>VLOOKUP($U147,'[2]AP Balanced'!$Q$1:$T$542,3,FALSE)</f>
        <v>0.22222222222222221</v>
      </c>
      <c r="X147">
        <f>VLOOKUP($U147,'[2]AP Balanced'!$Q$1:$T$542,4,FALSE)</f>
        <v>0</v>
      </c>
      <c r="Y147" s="77">
        <f t="shared" si="250"/>
        <v>1</v>
      </c>
      <c r="Z147" s="77">
        <f t="shared" ref="Z147:Z210" si="402">SUMPRODUCT($V$1:$X$1,V147:X147)</f>
        <v>6.1674999999999987E-2</v>
      </c>
      <c r="AA147" s="77">
        <f t="shared" ref="AA147:AA210" si="403">(1+Z147)^(1/12)-1</f>
        <v>4.9997781870025904E-3</v>
      </c>
      <c r="AB147" s="79">
        <v>1</v>
      </c>
      <c r="AC147" s="77">
        <f t="shared" si="367"/>
        <v>8.0555555555555554E-3</v>
      </c>
      <c r="AD147" s="77">
        <f t="shared" si="358"/>
        <v>6.7378764057135498E-4</v>
      </c>
      <c r="AE147" s="77">
        <f t="shared" si="368"/>
        <v>2.5000000000000001E-3</v>
      </c>
      <c r="AF147" s="77">
        <f t="shared" si="358"/>
        <v>2.0857243058891584E-4</v>
      </c>
      <c r="AH147" t="s">
        <v>175</v>
      </c>
      <c r="AI147" t="s">
        <v>176</v>
      </c>
      <c r="AJ147" s="197" t="str">
        <f t="shared" si="252"/>
        <v>Lifecycle_Balanced_398</v>
      </c>
      <c r="AK147">
        <v>398</v>
      </c>
      <c r="AL147">
        <f>VLOOKUP($U147,[2]Standard_Balanced!$Q$1:$T$542,2,FALSE)</f>
        <v>0.77777777777777779</v>
      </c>
      <c r="AM147">
        <f>VLOOKUP($U147,[2]Standard_Balanced!$Q$1:$T$542,3,FALSE)</f>
        <v>0.22222222222222221</v>
      </c>
      <c r="AN147">
        <f>VLOOKUP($U147,[2]Standard_Balanced!$Q$1:$T$542,4,FALSE)</f>
        <v>0</v>
      </c>
      <c r="AO147" s="77">
        <f t="shared" si="344"/>
        <v>1</v>
      </c>
      <c r="AP147" s="77">
        <f t="shared" si="369"/>
        <v>6.1674999999999987E-2</v>
      </c>
      <c r="AQ147" s="77">
        <f t="shared" si="253"/>
        <v>4.9997781870025904E-3</v>
      </c>
      <c r="AR147" s="79">
        <v>0</v>
      </c>
      <c r="AS147" s="77">
        <f t="shared" si="370"/>
        <v>0</v>
      </c>
      <c r="AT147" s="77">
        <f t="shared" ref="AT147" si="404">1-(1-AS147)^(1/12)</f>
        <v>0</v>
      </c>
      <c r="AU147" s="77">
        <f t="shared" si="372"/>
        <v>2.5000000000000001E-3</v>
      </c>
      <c r="AV147" s="77">
        <f t="shared" ref="AV147" si="405">1-(1-AU147)^(1/12)</f>
        <v>2.0857243058891584E-4</v>
      </c>
      <c r="AX147" t="s">
        <v>178</v>
      </c>
      <c r="AY147" t="s">
        <v>160</v>
      </c>
      <c r="AZ147" s="197" t="str">
        <f t="shared" si="256"/>
        <v>DIS_Non-Standard_398</v>
      </c>
      <c r="BA147">
        <v>398</v>
      </c>
      <c r="BB147">
        <f>VLOOKUP($BA147,'[2]NonStandard DIS'!$Q$1:$X$542,2,FALSE)</f>
        <v>0</v>
      </c>
      <c r="BC147">
        <f>VLOOKUP($BA147,'[2]NonStandard DIS'!$Q$1:$X$542,3,FALSE)</f>
        <v>0</v>
      </c>
      <c r="BD147">
        <f>VLOOKUP($BA147,'[2]NonStandard DIS'!$Q$1:$X$542,4,FALSE)</f>
        <v>0.308</v>
      </c>
      <c r="BE147">
        <f>VLOOKUP($BA147,'[2]NonStandard DIS'!$Q$1:$X$542,5,FALSE)</f>
        <v>0.69199999999999995</v>
      </c>
      <c r="BF147">
        <f>VLOOKUP($BA147,'[2]NonStandard DIS'!$Q$1:$X$542,6,FALSE)</f>
        <v>0</v>
      </c>
      <c r="BG147">
        <f>VLOOKUP($BA147,'[2]NonStandard DIS'!$Q$1:$X$542,7,FALSE)</f>
        <v>0</v>
      </c>
      <c r="BH147">
        <f>VLOOKUP($BA147,'[2]NonStandard DIS'!$Q$1:$X$542,8,FALSE)</f>
        <v>0</v>
      </c>
      <c r="BI147" s="77">
        <f t="shared" si="361"/>
        <v>1</v>
      </c>
      <c r="BJ147" s="77">
        <f t="shared" si="362"/>
        <v>6.9728499999999985E-2</v>
      </c>
      <c r="BK147" s="77">
        <f t="shared" si="343"/>
        <v>5.632878498097682E-3</v>
      </c>
      <c r="BL147" s="79">
        <v>0</v>
      </c>
      <c r="BM147" s="77">
        <f t="shared" si="374"/>
        <v>0</v>
      </c>
      <c r="BN147" s="77">
        <f t="shared" si="375"/>
        <v>0</v>
      </c>
      <c r="BO147" s="77">
        <f t="shared" si="376"/>
        <v>5.6775999999999997E-3</v>
      </c>
      <c r="BP147" s="77">
        <f t="shared" si="377"/>
        <v>4.7190657760731725E-4</v>
      </c>
    </row>
    <row r="148" spans="1:68">
      <c r="A148" t="s">
        <v>175</v>
      </c>
      <c r="B148" t="s">
        <v>176</v>
      </c>
      <c r="C148" s="197" t="str">
        <f t="shared" si="248"/>
        <v>Lifecycle_Balanced_397</v>
      </c>
      <c r="D148">
        <v>397</v>
      </c>
      <c r="E148">
        <f>VLOOKUP($D148,'[2]LC Balanced'!$Q$2:$U$542,2,FALSE)</f>
        <v>0</v>
      </c>
      <c r="F148">
        <f>VLOOKUP($D148,'[2]LC Balanced'!$Q$2:$U$542,3,FALSE)</f>
        <v>0.14899999999999999</v>
      </c>
      <c r="G148">
        <f>VLOOKUP($D148,'[2]LC Balanced'!$Q$2:$U$542,4,FALSE)</f>
        <v>0.85099999999999998</v>
      </c>
      <c r="H148">
        <f>VLOOKUP($D148,'[2]LC Balanced'!$Q$2:$U$542,5,FALSE)</f>
        <v>0</v>
      </c>
      <c r="I148" s="77">
        <f t="shared" si="356"/>
        <v>1</v>
      </c>
      <c r="J148" s="77">
        <f t="shared" si="357"/>
        <v>6.1987699999999986E-2</v>
      </c>
      <c r="K148" s="77">
        <f t="shared" si="347"/>
        <v>5.024442123284345E-3</v>
      </c>
      <c r="L148" s="76">
        <v>0</v>
      </c>
      <c r="M148" s="77">
        <f t="shared" si="363"/>
        <v>0</v>
      </c>
      <c r="N148" s="77">
        <f t="shared" si="364"/>
        <v>0</v>
      </c>
      <c r="O148" s="77">
        <f t="shared" si="365"/>
        <v>7.0062999999999992E-3</v>
      </c>
      <c r="P148" s="77">
        <f t="shared" si="366"/>
        <v>5.85741666996209E-4</v>
      </c>
      <c r="R148" t="s">
        <v>177</v>
      </c>
      <c r="S148" t="s">
        <v>176</v>
      </c>
      <c r="T148" s="197" t="str">
        <f t="shared" si="296"/>
        <v>Autopilot_Balanced_397</v>
      </c>
      <c r="U148">
        <v>397</v>
      </c>
      <c r="V148">
        <f>VLOOKUP($U148,'[2]AP Balanced'!$Q$1:$T$542,2,FALSE)</f>
        <v>0.77777777777777779</v>
      </c>
      <c r="W148">
        <f>VLOOKUP($U148,'[2]AP Balanced'!$Q$1:$T$542,3,FALSE)</f>
        <v>0.22222222222222221</v>
      </c>
      <c r="X148">
        <f>VLOOKUP($U148,'[2]AP Balanced'!$Q$1:$T$542,4,FALSE)</f>
        <v>0</v>
      </c>
      <c r="Y148" s="77">
        <f t="shared" si="250"/>
        <v>1</v>
      </c>
      <c r="Z148" s="77">
        <f t="shared" si="402"/>
        <v>6.1674999999999987E-2</v>
      </c>
      <c r="AA148" s="77">
        <f t="shared" si="403"/>
        <v>4.9997781870025904E-3</v>
      </c>
      <c r="AB148" s="79">
        <v>1</v>
      </c>
      <c r="AC148" s="77">
        <f t="shared" si="367"/>
        <v>8.0555555555555554E-3</v>
      </c>
      <c r="AD148" s="77">
        <f t="shared" si="358"/>
        <v>6.7378764057135498E-4</v>
      </c>
      <c r="AE148" s="77">
        <f t="shared" si="368"/>
        <v>2.5000000000000001E-3</v>
      </c>
      <c r="AF148" s="77">
        <f t="shared" si="358"/>
        <v>2.0857243058891584E-4</v>
      </c>
      <c r="AH148" t="s">
        <v>175</v>
      </c>
      <c r="AI148" t="s">
        <v>176</v>
      </c>
      <c r="AJ148" s="197" t="str">
        <f t="shared" si="252"/>
        <v>Lifecycle_Balanced_397</v>
      </c>
      <c r="AK148">
        <v>397</v>
      </c>
      <c r="AL148">
        <f>VLOOKUP($U148,[2]Standard_Balanced!$Q$1:$T$542,2,FALSE)</f>
        <v>0.77777777777777779</v>
      </c>
      <c r="AM148">
        <f>VLOOKUP($U148,[2]Standard_Balanced!$Q$1:$T$542,3,FALSE)</f>
        <v>0.22222222222222221</v>
      </c>
      <c r="AN148">
        <f>VLOOKUP($U148,[2]Standard_Balanced!$Q$1:$T$542,4,FALSE)</f>
        <v>0</v>
      </c>
      <c r="AO148" s="77">
        <f t="shared" si="344"/>
        <v>1</v>
      </c>
      <c r="AP148" s="77">
        <f t="shared" si="369"/>
        <v>6.1674999999999987E-2</v>
      </c>
      <c r="AQ148" s="77">
        <f t="shared" si="253"/>
        <v>4.9997781870025904E-3</v>
      </c>
      <c r="AR148" s="79">
        <v>0</v>
      </c>
      <c r="AS148" s="77">
        <f t="shared" si="370"/>
        <v>0</v>
      </c>
      <c r="AT148" s="77">
        <f t="shared" ref="AT148" si="406">1-(1-AS148)^(1/12)</f>
        <v>0</v>
      </c>
      <c r="AU148" s="77">
        <f t="shared" si="372"/>
        <v>2.5000000000000001E-3</v>
      </c>
      <c r="AV148" s="77">
        <f t="shared" ref="AV148" si="407">1-(1-AU148)^(1/12)</f>
        <v>2.0857243058891584E-4</v>
      </c>
      <c r="AX148" t="s">
        <v>178</v>
      </c>
      <c r="AY148" t="s">
        <v>160</v>
      </c>
      <c r="AZ148" s="197" t="str">
        <f t="shared" si="256"/>
        <v>DIS_Non-Standard_397</v>
      </c>
      <c r="BA148">
        <v>397</v>
      </c>
      <c r="BB148">
        <f>VLOOKUP($BA148,'[2]NonStandard DIS'!$Q$1:$X$542,2,FALSE)</f>
        <v>0</v>
      </c>
      <c r="BC148">
        <f>VLOOKUP($BA148,'[2]NonStandard DIS'!$Q$1:$X$542,3,FALSE)</f>
        <v>0</v>
      </c>
      <c r="BD148">
        <f>VLOOKUP($BA148,'[2]NonStandard DIS'!$Q$1:$X$542,4,FALSE)</f>
        <v>0.308</v>
      </c>
      <c r="BE148">
        <f>VLOOKUP($BA148,'[2]NonStandard DIS'!$Q$1:$X$542,5,FALSE)</f>
        <v>0.69199999999999995</v>
      </c>
      <c r="BF148">
        <f>VLOOKUP($BA148,'[2]NonStandard DIS'!$Q$1:$X$542,6,FALSE)</f>
        <v>0</v>
      </c>
      <c r="BG148">
        <f>VLOOKUP($BA148,'[2]NonStandard DIS'!$Q$1:$X$542,7,FALSE)</f>
        <v>0</v>
      </c>
      <c r="BH148">
        <f>VLOOKUP($BA148,'[2]NonStandard DIS'!$Q$1:$X$542,8,FALSE)</f>
        <v>0</v>
      </c>
      <c r="BI148" s="77">
        <f t="shared" si="361"/>
        <v>1</v>
      </c>
      <c r="BJ148" s="77">
        <f t="shared" si="362"/>
        <v>6.9728499999999985E-2</v>
      </c>
      <c r="BK148" s="77">
        <f t="shared" si="343"/>
        <v>5.632878498097682E-3</v>
      </c>
      <c r="BL148" s="79">
        <v>0</v>
      </c>
      <c r="BM148" s="77">
        <f t="shared" si="374"/>
        <v>0</v>
      </c>
      <c r="BN148" s="77">
        <f t="shared" si="375"/>
        <v>0</v>
      </c>
      <c r="BO148" s="77">
        <f t="shared" si="376"/>
        <v>5.6775999999999997E-3</v>
      </c>
      <c r="BP148" s="77">
        <f t="shared" si="377"/>
        <v>4.7190657760731725E-4</v>
      </c>
    </row>
    <row r="149" spans="1:68">
      <c r="A149" t="s">
        <v>175</v>
      </c>
      <c r="B149" t="s">
        <v>176</v>
      </c>
      <c r="C149" s="197" t="str">
        <f t="shared" si="248"/>
        <v>Lifecycle_Balanced_396</v>
      </c>
      <c r="D149">
        <v>396</v>
      </c>
      <c r="E149">
        <f>VLOOKUP($D149,'[2]LC Balanced'!$Q$2:$U$542,2,FALSE)</f>
        <v>0</v>
      </c>
      <c r="F149">
        <f>VLOOKUP($D149,'[2]LC Balanced'!$Q$2:$U$542,3,FALSE)</f>
        <v>0.14899999999999999</v>
      </c>
      <c r="G149">
        <f>VLOOKUP($D149,'[2]LC Balanced'!$Q$2:$U$542,4,FALSE)</f>
        <v>0.85099999999999998</v>
      </c>
      <c r="H149">
        <f>VLOOKUP($D149,'[2]LC Balanced'!$Q$2:$U$542,5,FALSE)</f>
        <v>0</v>
      </c>
      <c r="I149" s="77">
        <f t="shared" si="356"/>
        <v>1</v>
      </c>
      <c r="J149" s="77">
        <f t="shared" si="357"/>
        <v>6.1987699999999986E-2</v>
      </c>
      <c r="K149" s="77">
        <f t="shared" si="347"/>
        <v>5.024442123284345E-3</v>
      </c>
      <c r="L149" s="76">
        <v>0</v>
      </c>
      <c r="M149" s="77">
        <f t="shared" si="363"/>
        <v>0</v>
      </c>
      <c r="N149" s="77">
        <f t="shared" si="364"/>
        <v>0</v>
      </c>
      <c r="O149" s="77">
        <f t="shared" si="365"/>
        <v>7.0062999999999992E-3</v>
      </c>
      <c r="P149" s="77">
        <f t="shared" si="366"/>
        <v>5.85741666996209E-4</v>
      </c>
      <c r="R149" t="s">
        <v>177</v>
      </c>
      <c r="S149" t="s">
        <v>176</v>
      </c>
      <c r="T149" s="197" t="str">
        <f t="shared" si="296"/>
        <v>Autopilot_Balanced_396</v>
      </c>
      <c r="U149">
        <v>396</v>
      </c>
      <c r="V149">
        <f>VLOOKUP($U149,'[2]AP Balanced'!$Q$1:$T$542,2,FALSE)</f>
        <v>0.77777777777777779</v>
      </c>
      <c r="W149">
        <f>VLOOKUP($U149,'[2]AP Balanced'!$Q$1:$T$542,3,FALSE)</f>
        <v>0.22222222222222221</v>
      </c>
      <c r="X149">
        <f>VLOOKUP($U149,'[2]AP Balanced'!$Q$1:$T$542,4,FALSE)</f>
        <v>0</v>
      </c>
      <c r="Y149" s="77">
        <f t="shared" si="250"/>
        <v>1</v>
      </c>
      <c r="Z149" s="77">
        <f t="shared" si="402"/>
        <v>6.1674999999999987E-2</v>
      </c>
      <c r="AA149" s="77">
        <f t="shared" si="403"/>
        <v>4.9997781870025904E-3</v>
      </c>
      <c r="AB149" s="79">
        <v>1</v>
      </c>
      <c r="AC149" s="77">
        <f t="shared" si="367"/>
        <v>8.0555555555555554E-3</v>
      </c>
      <c r="AD149" s="77">
        <f t="shared" si="358"/>
        <v>6.7378764057135498E-4</v>
      </c>
      <c r="AE149" s="77">
        <f t="shared" si="368"/>
        <v>2.5000000000000001E-3</v>
      </c>
      <c r="AF149" s="77">
        <f t="shared" si="358"/>
        <v>2.0857243058891584E-4</v>
      </c>
      <c r="AH149" t="s">
        <v>175</v>
      </c>
      <c r="AI149" t="s">
        <v>176</v>
      </c>
      <c r="AJ149" s="197" t="str">
        <f t="shared" si="252"/>
        <v>Lifecycle_Balanced_396</v>
      </c>
      <c r="AK149">
        <v>396</v>
      </c>
      <c r="AL149">
        <f>VLOOKUP($U149,[2]Standard_Balanced!$Q$1:$T$542,2,FALSE)</f>
        <v>0.77777777777777779</v>
      </c>
      <c r="AM149">
        <f>VLOOKUP($U149,[2]Standard_Balanced!$Q$1:$T$542,3,FALSE)</f>
        <v>0.22222222222222221</v>
      </c>
      <c r="AN149">
        <f>VLOOKUP($U149,[2]Standard_Balanced!$Q$1:$T$542,4,FALSE)</f>
        <v>0</v>
      </c>
      <c r="AO149" s="77">
        <f t="shared" si="344"/>
        <v>1</v>
      </c>
      <c r="AP149" s="77">
        <f t="shared" si="369"/>
        <v>6.1674999999999987E-2</v>
      </c>
      <c r="AQ149" s="77">
        <f t="shared" si="253"/>
        <v>4.9997781870025904E-3</v>
      </c>
      <c r="AR149" s="79">
        <v>0</v>
      </c>
      <c r="AS149" s="77">
        <f t="shared" si="370"/>
        <v>0</v>
      </c>
      <c r="AT149" s="77">
        <f t="shared" ref="AT149" si="408">1-(1-AS149)^(1/12)</f>
        <v>0</v>
      </c>
      <c r="AU149" s="77">
        <f t="shared" si="372"/>
        <v>2.5000000000000001E-3</v>
      </c>
      <c r="AV149" s="77">
        <f t="shared" ref="AV149" si="409">1-(1-AU149)^(1/12)</f>
        <v>2.0857243058891584E-4</v>
      </c>
      <c r="AX149" t="s">
        <v>178</v>
      </c>
      <c r="AY149" t="s">
        <v>160</v>
      </c>
      <c r="AZ149" s="197" t="str">
        <f t="shared" si="256"/>
        <v>DIS_Non-Standard_396</v>
      </c>
      <c r="BA149">
        <v>396</v>
      </c>
      <c r="BB149">
        <f>VLOOKUP($BA149,'[2]NonStandard DIS'!$Q$1:$X$542,2,FALSE)</f>
        <v>0</v>
      </c>
      <c r="BC149">
        <f>VLOOKUP($BA149,'[2]NonStandard DIS'!$Q$1:$X$542,3,FALSE)</f>
        <v>0</v>
      </c>
      <c r="BD149">
        <f>VLOOKUP($BA149,'[2]NonStandard DIS'!$Q$1:$X$542,4,FALSE)</f>
        <v>0.308</v>
      </c>
      <c r="BE149">
        <f>VLOOKUP($BA149,'[2]NonStandard DIS'!$Q$1:$X$542,5,FALSE)</f>
        <v>0.69199999999999995</v>
      </c>
      <c r="BF149">
        <f>VLOOKUP($BA149,'[2]NonStandard DIS'!$Q$1:$X$542,6,FALSE)</f>
        <v>0</v>
      </c>
      <c r="BG149">
        <f>VLOOKUP($BA149,'[2]NonStandard DIS'!$Q$1:$X$542,7,FALSE)</f>
        <v>0</v>
      </c>
      <c r="BH149">
        <f>VLOOKUP($BA149,'[2]NonStandard DIS'!$Q$1:$X$542,8,FALSE)</f>
        <v>0</v>
      </c>
      <c r="BI149" s="77">
        <f t="shared" si="361"/>
        <v>1</v>
      </c>
      <c r="BJ149" s="77">
        <f t="shared" si="362"/>
        <v>6.9728499999999985E-2</v>
      </c>
      <c r="BK149" s="77">
        <f t="shared" si="343"/>
        <v>5.632878498097682E-3</v>
      </c>
      <c r="BL149" s="79">
        <v>0</v>
      </c>
      <c r="BM149" s="77">
        <f t="shared" si="374"/>
        <v>0</v>
      </c>
      <c r="BN149" s="77">
        <f t="shared" si="375"/>
        <v>0</v>
      </c>
      <c r="BO149" s="77">
        <f t="shared" si="376"/>
        <v>5.6775999999999997E-3</v>
      </c>
      <c r="BP149" s="77">
        <f t="shared" si="377"/>
        <v>4.7190657760731725E-4</v>
      </c>
    </row>
    <row r="150" spans="1:68">
      <c r="A150" t="s">
        <v>175</v>
      </c>
      <c r="B150" t="s">
        <v>176</v>
      </c>
      <c r="C150" s="197" t="str">
        <f t="shared" si="248"/>
        <v>Lifecycle_Balanced_395</v>
      </c>
      <c r="D150">
        <v>395</v>
      </c>
      <c r="E150">
        <f>VLOOKUP($D150,'[2]LC Balanced'!$Q$2:$U$542,2,FALSE)</f>
        <v>0</v>
      </c>
      <c r="F150">
        <f>VLOOKUP($D150,'[2]LC Balanced'!$Q$2:$U$542,3,FALSE)</f>
        <v>0.14899999999999999</v>
      </c>
      <c r="G150">
        <f>VLOOKUP($D150,'[2]LC Balanced'!$Q$2:$U$542,4,FALSE)</f>
        <v>0.85099999999999998</v>
      </c>
      <c r="H150">
        <f>VLOOKUP($D150,'[2]LC Balanced'!$Q$2:$U$542,5,FALSE)</f>
        <v>0</v>
      </c>
      <c r="I150" s="77">
        <f t="shared" si="356"/>
        <v>1</v>
      </c>
      <c r="J150" s="77">
        <f t="shared" si="357"/>
        <v>6.1987699999999986E-2</v>
      </c>
      <c r="K150" s="77">
        <f t="shared" si="347"/>
        <v>5.024442123284345E-3</v>
      </c>
      <c r="L150" s="76">
        <v>0</v>
      </c>
      <c r="M150" s="77">
        <f t="shared" si="363"/>
        <v>0</v>
      </c>
      <c r="N150" s="77">
        <f t="shared" si="364"/>
        <v>0</v>
      </c>
      <c r="O150" s="77">
        <f t="shared" si="365"/>
        <v>7.0062999999999992E-3</v>
      </c>
      <c r="P150" s="77">
        <f t="shared" si="366"/>
        <v>5.85741666996209E-4</v>
      </c>
      <c r="R150" t="s">
        <v>177</v>
      </c>
      <c r="S150" t="s">
        <v>176</v>
      </c>
      <c r="T150" s="197" t="str">
        <f t="shared" si="296"/>
        <v>Autopilot_Balanced_395</v>
      </c>
      <c r="U150">
        <v>395</v>
      </c>
      <c r="V150">
        <f>VLOOKUP($U150,'[2]AP Balanced'!$Q$1:$T$542,2,FALSE)</f>
        <v>0.77777777777777779</v>
      </c>
      <c r="W150">
        <f>VLOOKUP($U150,'[2]AP Balanced'!$Q$1:$T$542,3,FALSE)</f>
        <v>0.22222222222222221</v>
      </c>
      <c r="X150">
        <f>VLOOKUP($U150,'[2]AP Balanced'!$Q$1:$T$542,4,FALSE)</f>
        <v>0</v>
      </c>
      <c r="Y150" s="77">
        <f t="shared" si="250"/>
        <v>1</v>
      </c>
      <c r="Z150" s="77">
        <f t="shared" si="402"/>
        <v>6.1674999999999987E-2</v>
      </c>
      <c r="AA150" s="77">
        <f t="shared" si="403"/>
        <v>4.9997781870025904E-3</v>
      </c>
      <c r="AB150" s="79">
        <v>1</v>
      </c>
      <c r="AC150" s="77">
        <f t="shared" si="367"/>
        <v>8.0555555555555554E-3</v>
      </c>
      <c r="AD150" s="77">
        <f t="shared" si="358"/>
        <v>6.7378764057135498E-4</v>
      </c>
      <c r="AE150" s="77">
        <f t="shared" si="368"/>
        <v>2.5000000000000001E-3</v>
      </c>
      <c r="AF150" s="77">
        <f t="shared" si="358"/>
        <v>2.0857243058891584E-4</v>
      </c>
      <c r="AH150" t="s">
        <v>175</v>
      </c>
      <c r="AI150" t="s">
        <v>176</v>
      </c>
      <c r="AJ150" s="197" t="str">
        <f t="shared" si="252"/>
        <v>Lifecycle_Balanced_395</v>
      </c>
      <c r="AK150">
        <v>395</v>
      </c>
      <c r="AL150">
        <f>VLOOKUP($U150,[2]Standard_Balanced!$Q$1:$T$542,2,FALSE)</f>
        <v>0.77777777777777779</v>
      </c>
      <c r="AM150">
        <f>VLOOKUP($U150,[2]Standard_Balanced!$Q$1:$T$542,3,FALSE)</f>
        <v>0.22222222222222221</v>
      </c>
      <c r="AN150">
        <f>VLOOKUP($U150,[2]Standard_Balanced!$Q$1:$T$542,4,FALSE)</f>
        <v>0</v>
      </c>
      <c r="AO150" s="77">
        <f t="shared" si="344"/>
        <v>1</v>
      </c>
      <c r="AP150" s="77">
        <f t="shared" si="369"/>
        <v>6.1674999999999987E-2</v>
      </c>
      <c r="AQ150" s="77">
        <f t="shared" si="253"/>
        <v>4.9997781870025904E-3</v>
      </c>
      <c r="AR150" s="79">
        <v>0</v>
      </c>
      <c r="AS150" s="77">
        <f t="shared" si="370"/>
        <v>0</v>
      </c>
      <c r="AT150" s="77">
        <f t="shared" ref="AT150" si="410">1-(1-AS150)^(1/12)</f>
        <v>0</v>
      </c>
      <c r="AU150" s="77">
        <f t="shared" si="372"/>
        <v>2.5000000000000001E-3</v>
      </c>
      <c r="AV150" s="77">
        <f t="shared" ref="AV150" si="411">1-(1-AU150)^(1/12)</f>
        <v>2.0857243058891584E-4</v>
      </c>
      <c r="AX150" t="s">
        <v>178</v>
      </c>
      <c r="AY150" t="s">
        <v>160</v>
      </c>
      <c r="AZ150" s="197" t="str">
        <f t="shared" si="256"/>
        <v>DIS_Non-Standard_395</v>
      </c>
      <c r="BA150">
        <v>395</v>
      </c>
      <c r="BB150">
        <f>VLOOKUP($BA150,'[2]NonStandard DIS'!$Q$1:$X$542,2,FALSE)</f>
        <v>0</v>
      </c>
      <c r="BC150">
        <f>VLOOKUP($BA150,'[2]NonStandard DIS'!$Q$1:$X$542,3,FALSE)</f>
        <v>0</v>
      </c>
      <c r="BD150">
        <f>VLOOKUP($BA150,'[2]NonStandard DIS'!$Q$1:$X$542,4,FALSE)</f>
        <v>0.308</v>
      </c>
      <c r="BE150">
        <f>VLOOKUP($BA150,'[2]NonStandard DIS'!$Q$1:$X$542,5,FALSE)</f>
        <v>0.69199999999999995</v>
      </c>
      <c r="BF150">
        <f>VLOOKUP($BA150,'[2]NonStandard DIS'!$Q$1:$X$542,6,FALSE)</f>
        <v>0</v>
      </c>
      <c r="BG150">
        <f>VLOOKUP($BA150,'[2]NonStandard DIS'!$Q$1:$X$542,7,FALSE)</f>
        <v>0</v>
      </c>
      <c r="BH150">
        <f>VLOOKUP($BA150,'[2]NonStandard DIS'!$Q$1:$X$542,8,FALSE)</f>
        <v>0</v>
      </c>
      <c r="BI150" s="77">
        <f t="shared" si="361"/>
        <v>1</v>
      </c>
      <c r="BJ150" s="77">
        <f t="shared" si="362"/>
        <v>6.9728499999999985E-2</v>
      </c>
      <c r="BK150" s="77">
        <f t="shared" si="343"/>
        <v>5.632878498097682E-3</v>
      </c>
      <c r="BL150" s="79">
        <v>0</v>
      </c>
      <c r="BM150" s="77">
        <f t="shared" si="374"/>
        <v>0</v>
      </c>
      <c r="BN150" s="77">
        <f t="shared" si="375"/>
        <v>0</v>
      </c>
      <c r="BO150" s="77">
        <f t="shared" si="376"/>
        <v>5.6775999999999997E-3</v>
      </c>
      <c r="BP150" s="77">
        <f t="shared" si="377"/>
        <v>4.7190657760731725E-4</v>
      </c>
    </row>
    <row r="151" spans="1:68">
      <c r="A151" t="s">
        <v>175</v>
      </c>
      <c r="B151" t="s">
        <v>176</v>
      </c>
      <c r="C151" s="197" t="str">
        <f t="shared" ref="C151:C214" si="412">A151&amp;"_"&amp;B151&amp;"_"&amp;D151</f>
        <v>Lifecycle_Balanced_394</v>
      </c>
      <c r="D151">
        <v>394</v>
      </c>
      <c r="E151">
        <f>VLOOKUP($D151,'[2]LC Balanced'!$Q$2:$U$542,2,FALSE)</f>
        <v>0</v>
      </c>
      <c r="F151">
        <f>VLOOKUP($D151,'[2]LC Balanced'!$Q$2:$U$542,3,FALSE)</f>
        <v>0.14899999999999999</v>
      </c>
      <c r="G151">
        <f>VLOOKUP($D151,'[2]LC Balanced'!$Q$2:$U$542,4,FALSE)</f>
        <v>0.85099999999999998</v>
      </c>
      <c r="H151">
        <f>VLOOKUP($D151,'[2]LC Balanced'!$Q$2:$U$542,5,FALSE)</f>
        <v>0</v>
      </c>
      <c r="I151" s="77">
        <f t="shared" si="356"/>
        <v>1</v>
      </c>
      <c r="J151" s="77">
        <f t="shared" si="357"/>
        <v>6.1987699999999986E-2</v>
      </c>
      <c r="K151" s="77">
        <f t="shared" si="347"/>
        <v>5.024442123284345E-3</v>
      </c>
      <c r="L151" s="76">
        <v>0</v>
      </c>
      <c r="M151" s="77">
        <f t="shared" si="363"/>
        <v>0</v>
      </c>
      <c r="N151" s="77">
        <f t="shared" si="364"/>
        <v>0</v>
      </c>
      <c r="O151" s="77">
        <f t="shared" si="365"/>
        <v>7.0062999999999992E-3</v>
      </c>
      <c r="P151" s="77">
        <f t="shared" si="366"/>
        <v>5.85741666996209E-4</v>
      </c>
      <c r="R151" t="s">
        <v>177</v>
      </c>
      <c r="S151" t="s">
        <v>176</v>
      </c>
      <c r="T151" s="197" t="str">
        <f t="shared" si="296"/>
        <v>Autopilot_Balanced_394</v>
      </c>
      <c r="U151">
        <v>394</v>
      </c>
      <c r="V151">
        <f>VLOOKUP($U151,'[2]AP Balanced'!$Q$1:$T$542,2,FALSE)</f>
        <v>0.77777777777777779</v>
      </c>
      <c r="W151">
        <f>VLOOKUP($U151,'[2]AP Balanced'!$Q$1:$T$542,3,FALSE)</f>
        <v>0.22222222222222221</v>
      </c>
      <c r="X151">
        <f>VLOOKUP($U151,'[2]AP Balanced'!$Q$1:$T$542,4,FALSE)</f>
        <v>0</v>
      </c>
      <c r="Y151" s="77">
        <f t="shared" ref="Y151:Y214" si="413">SUM(V151:X151)</f>
        <v>1</v>
      </c>
      <c r="Z151" s="77">
        <f t="shared" si="402"/>
        <v>6.1674999999999987E-2</v>
      </c>
      <c r="AA151" s="77">
        <f t="shared" si="403"/>
        <v>4.9997781870025904E-3</v>
      </c>
      <c r="AB151" s="79">
        <v>1</v>
      </c>
      <c r="AC151" s="77">
        <f t="shared" si="367"/>
        <v>8.0555555555555554E-3</v>
      </c>
      <c r="AD151" s="77">
        <f t="shared" si="358"/>
        <v>6.7378764057135498E-4</v>
      </c>
      <c r="AE151" s="77">
        <f t="shared" si="368"/>
        <v>2.5000000000000001E-3</v>
      </c>
      <c r="AF151" s="77">
        <f t="shared" si="358"/>
        <v>2.0857243058891584E-4</v>
      </c>
      <c r="AH151" t="s">
        <v>175</v>
      </c>
      <c r="AI151" t="s">
        <v>176</v>
      </c>
      <c r="AJ151" s="197" t="str">
        <f t="shared" ref="AJ151:AJ214" si="414">AH151&amp;"_"&amp;AI151&amp;"_"&amp;AK151</f>
        <v>Lifecycle_Balanced_394</v>
      </c>
      <c r="AK151">
        <v>394</v>
      </c>
      <c r="AL151">
        <f>VLOOKUP($U151,[2]Standard_Balanced!$Q$1:$T$542,2,FALSE)</f>
        <v>0.77777777777777779</v>
      </c>
      <c r="AM151">
        <f>VLOOKUP($U151,[2]Standard_Balanced!$Q$1:$T$542,3,FALSE)</f>
        <v>0.22222222222222221</v>
      </c>
      <c r="AN151">
        <f>VLOOKUP($U151,[2]Standard_Balanced!$Q$1:$T$542,4,FALSE)</f>
        <v>0</v>
      </c>
      <c r="AO151" s="77">
        <f t="shared" si="344"/>
        <v>1</v>
      </c>
      <c r="AP151" s="77">
        <f t="shared" si="369"/>
        <v>6.1674999999999987E-2</v>
      </c>
      <c r="AQ151" s="77">
        <f t="shared" ref="AQ151:AQ214" si="415">(1+AP151)^(1/12)-1</f>
        <v>4.9997781870025904E-3</v>
      </c>
      <c r="AR151" s="79">
        <v>0</v>
      </c>
      <c r="AS151" s="77">
        <f t="shared" si="370"/>
        <v>0</v>
      </c>
      <c r="AT151" s="77">
        <f t="shared" ref="AT151" si="416">1-(1-AS151)^(1/12)</f>
        <v>0</v>
      </c>
      <c r="AU151" s="77">
        <f t="shared" si="372"/>
        <v>2.5000000000000001E-3</v>
      </c>
      <c r="AV151" s="77">
        <f t="shared" ref="AV151" si="417">1-(1-AU151)^(1/12)</f>
        <v>2.0857243058891584E-4</v>
      </c>
      <c r="AX151" t="s">
        <v>178</v>
      </c>
      <c r="AY151" t="s">
        <v>160</v>
      </c>
      <c r="AZ151" s="197" t="str">
        <f t="shared" ref="AZ151:AZ214" si="418">AX151&amp;"_"&amp;AY151&amp;"_"&amp;BA151</f>
        <v>DIS_Non-Standard_394</v>
      </c>
      <c r="BA151">
        <v>394</v>
      </c>
      <c r="BB151">
        <f>VLOOKUP($BA151,'[2]NonStandard DIS'!$Q$1:$X$542,2,FALSE)</f>
        <v>0</v>
      </c>
      <c r="BC151">
        <f>VLOOKUP($BA151,'[2]NonStandard DIS'!$Q$1:$X$542,3,FALSE)</f>
        <v>0</v>
      </c>
      <c r="BD151">
        <f>VLOOKUP($BA151,'[2]NonStandard DIS'!$Q$1:$X$542,4,FALSE)</f>
        <v>0.308</v>
      </c>
      <c r="BE151">
        <f>VLOOKUP($BA151,'[2]NonStandard DIS'!$Q$1:$X$542,5,FALSE)</f>
        <v>0.69199999999999995</v>
      </c>
      <c r="BF151">
        <f>VLOOKUP($BA151,'[2]NonStandard DIS'!$Q$1:$X$542,6,FALSE)</f>
        <v>0</v>
      </c>
      <c r="BG151">
        <f>VLOOKUP($BA151,'[2]NonStandard DIS'!$Q$1:$X$542,7,FALSE)</f>
        <v>0</v>
      </c>
      <c r="BH151">
        <f>VLOOKUP($BA151,'[2]NonStandard DIS'!$Q$1:$X$542,8,FALSE)</f>
        <v>0</v>
      </c>
      <c r="BI151" s="77">
        <f t="shared" si="361"/>
        <v>1</v>
      </c>
      <c r="BJ151" s="77">
        <f t="shared" si="362"/>
        <v>6.9728499999999985E-2</v>
      </c>
      <c r="BK151" s="77">
        <f t="shared" si="343"/>
        <v>5.632878498097682E-3</v>
      </c>
      <c r="BL151" s="79">
        <v>0</v>
      </c>
      <c r="BM151" s="77">
        <f t="shared" si="374"/>
        <v>0</v>
      </c>
      <c r="BN151" s="77">
        <f t="shared" si="375"/>
        <v>0</v>
      </c>
      <c r="BO151" s="77">
        <f t="shared" si="376"/>
        <v>5.6775999999999997E-3</v>
      </c>
      <c r="BP151" s="77">
        <f t="shared" si="377"/>
        <v>4.7190657760731725E-4</v>
      </c>
    </row>
    <row r="152" spans="1:68">
      <c r="A152" t="s">
        <v>175</v>
      </c>
      <c r="B152" t="s">
        <v>176</v>
      </c>
      <c r="C152" s="197" t="str">
        <f t="shared" si="412"/>
        <v>Lifecycle_Balanced_393</v>
      </c>
      <c r="D152">
        <v>393</v>
      </c>
      <c r="E152">
        <f>VLOOKUP($D152,'[2]LC Balanced'!$Q$2:$U$542,2,FALSE)</f>
        <v>0</v>
      </c>
      <c r="F152">
        <f>VLOOKUP($D152,'[2]LC Balanced'!$Q$2:$U$542,3,FALSE)</f>
        <v>0.14899999999999999</v>
      </c>
      <c r="G152">
        <f>VLOOKUP($D152,'[2]LC Balanced'!$Q$2:$U$542,4,FALSE)</f>
        <v>0.85099999999999998</v>
      </c>
      <c r="H152">
        <f>VLOOKUP($D152,'[2]LC Balanced'!$Q$2:$U$542,5,FALSE)</f>
        <v>0</v>
      </c>
      <c r="I152" s="77">
        <f t="shared" si="356"/>
        <v>1</v>
      </c>
      <c r="J152" s="77">
        <f t="shared" si="357"/>
        <v>6.1987699999999986E-2</v>
      </c>
      <c r="K152" s="77">
        <f t="shared" si="347"/>
        <v>5.024442123284345E-3</v>
      </c>
      <c r="L152" s="76">
        <v>0</v>
      </c>
      <c r="M152" s="77">
        <f t="shared" si="363"/>
        <v>0</v>
      </c>
      <c r="N152" s="77">
        <f t="shared" si="364"/>
        <v>0</v>
      </c>
      <c r="O152" s="77">
        <f t="shared" si="365"/>
        <v>7.0062999999999992E-3</v>
      </c>
      <c r="P152" s="77">
        <f t="shared" si="366"/>
        <v>5.85741666996209E-4</v>
      </c>
      <c r="R152" t="s">
        <v>177</v>
      </c>
      <c r="S152" t="s">
        <v>176</v>
      </c>
      <c r="T152" s="197" t="str">
        <f t="shared" si="296"/>
        <v>Autopilot_Balanced_393</v>
      </c>
      <c r="U152">
        <v>393</v>
      </c>
      <c r="V152">
        <f>VLOOKUP($U152,'[2]AP Balanced'!$Q$1:$T$542,2,FALSE)</f>
        <v>0.77777777777777779</v>
      </c>
      <c r="W152">
        <f>VLOOKUP($U152,'[2]AP Balanced'!$Q$1:$T$542,3,FALSE)</f>
        <v>0.22222222222222221</v>
      </c>
      <c r="X152">
        <f>VLOOKUP($U152,'[2]AP Balanced'!$Q$1:$T$542,4,FALSE)</f>
        <v>0</v>
      </c>
      <c r="Y152" s="77">
        <f t="shared" si="413"/>
        <v>1</v>
      </c>
      <c r="Z152" s="77">
        <f t="shared" si="402"/>
        <v>6.1674999999999987E-2</v>
      </c>
      <c r="AA152" s="77">
        <f t="shared" si="403"/>
        <v>4.9997781870025904E-3</v>
      </c>
      <c r="AB152" s="79">
        <v>1</v>
      </c>
      <c r="AC152" s="77">
        <f t="shared" si="367"/>
        <v>8.0555555555555554E-3</v>
      </c>
      <c r="AD152" s="77">
        <f t="shared" si="358"/>
        <v>6.7378764057135498E-4</v>
      </c>
      <c r="AE152" s="77">
        <f t="shared" si="368"/>
        <v>2.5000000000000001E-3</v>
      </c>
      <c r="AF152" s="77">
        <f t="shared" si="358"/>
        <v>2.0857243058891584E-4</v>
      </c>
      <c r="AH152" t="s">
        <v>175</v>
      </c>
      <c r="AI152" t="s">
        <v>176</v>
      </c>
      <c r="AJ152" s="197" t="str">
        <f t="shared" si="414"/>
        <v>Lifecycle_Balanced_393</v>
      </c>
      <c r="AK152">
        <v>393</v>
      </c>
      <c r="AL152">
        <f>VLOOKUP($U152,[2]Standard_Balanced!$Q$1:$T$542,2,FALSE)</f>
        <v>0.77777777777777779</v>
      </c>
      <c r="AM152">
        <f>VLOOKUP($U152,[2]Standard_Balanced!$Q$1:$T$542,3,FALSE)</f>
        <v>0.22222222222222221</v>
      </c>
      <c r="AN152">
        <f>VLOOKUP($U152,[2]Standard_Balanced!$Q$1:$T$542,4,FALSE)</f>
        <v>0</v>
      </c>
      <c r="AO152" s="77">
        <f t="shared" si="344"/>
        <v>1</v>
      </c>
      <c r="AP152" s="77">
        <f t="shared" si="369"/>
        <v>6.1674999999999987E-2</v>
      </c>
      <c r="AQ152" s="77">
        <f t="shared" si="415"/>
        <v>4.9997781870025904E-3</v>
      </c>
      <c r="AR152" s="79">
        <v>0</v>
      </c>
      <c r="AS152" s="77">
        <f t="shared" si="370"/>
        <v>0</v>
      </c>
      <c r="AT152" s="77">
        <f t="shared" ref="AT152" si="419">1-(1-AS152)^(1/12)</f>
        <v>0</v>
      </c>
      <c r="AU152" s="77">
        <f t="shared" si="372"/>
        <v>2.5000000000000001E-3</v>
      </c>
      <c r="AV152" s="77">
        <f t="shared" ref="AV152" si="420">1-(1-AU152)^(1/12)</f>
        <v>2.0857243058891584E-4</v>
      </c>
      <c r="AX152" t="s">
        <v>178</v>
      </c>
      <c r="AY152" t="s">
        <v>160</v>
      </c>
      <c r="AZ152" s="197" t="str">
        <f t="shared" si="418"/>
        <v>DIS_Non-Standard_393</v>
      </c>
      <c r="BA152">
        <v>393</v>
      </c>
      <c r="BB152">
        <f>VLOOKUP($BA152,'[2]NonStandard DIS'!$Q$1:$X$542,2,FALSE)</f>
        <v>0</v>
      </c>
      <c r="BC152">
        <f>VLOOKUP($BA152,'[2]NonStandard DIS'!$Q$1:$X$542,3,FALSE)</f>
        <v>0</v>
      </c>
      <c r="BD152">
        <f>VLOOKUP($BA152,'[2]NonStandard DIS'!$Q$1:$X$542,4,FALSE)</f>
        <v>0.308</v>
      </c>
      <c r="BE152">
        <f>VLOOKUP($BA152,'[2]NonStandard DIS'!$Q$1:$X$542,5,FALSE)</f>
        <v>0.69199999999999995</v>
      </c>
      <c r="BF152">
        <f>VLOOKUP($BA152,'[2]NonStandard DIS'!$Q$1:$X$542,6,FALSE)</f>
        <v>0</v>
      </c>
      <c r="BG152">
        <f>VLOOKUP($BA152,'[2]NonStandard DIS'!$Q$1:$X$542,7,FALSE)</f>
        <v>0</v>
      </c>
      <c r="BH152">
        <f>VLOOKUP($BA152,'[2]NonStandard DIS'!$Q$1:$X$542,8,FALSE)</f>
        <v>0</v>
      </c>
      <c r="BI152" s="77">
        <f t="shared" si="361"/>
        <v>1</v>
      </c>
      <c r="BJ152" s="77">
        <f t="shared" si="362"/>
        <v>6.9728499999999985E-2</v>
      </c>
      <c r="BK152" s="77">
        <f t="shared" si="343"/>
        <v>5.632878498097682E-3</v>
      </c>
      <c r="BL152" s="79">
        <v>0</v>
      </c>
      <c r="BM152" s="77">
        <f t="shared" si="374"/>
        <v>0</v>
      </c>
      <c r="BN152" s="77">
        <f t="shared" si="375"/>
        <v>0</v>
      </c>
      <c r="BO152" s="77">
        <f t="shared" si="376"/>
        <v>5.6775999999999997E-3</v>
      </c>
      <c r="BP152" s="77">
        <f t="shared" si="377"/>
        <v>4.7190657760731725E-4</v>
      </c>
    </row>
    <row r="153" spans="1:68">
      <c r="A153" t="s">
        <v>175</v>
      </c>
      <c r="B153" t="s">
        <v>176</v>
      </c>
      <c r="C153" s="197" t="str">
        <f t="shared" si="412"/>
        <v>Lifecycle_Balanced_392</v>
      </c>
      <c r="D153">
        <v>392</v>
      </c>
      <c r="E153">
        <f>VLOOKUP($D153,'[2]LC Balanced'!$Q$2:$U$542,2,FALSE)</f>
        <v>0</v>
      </c>
      <c r="F153">
        <f>VLOOKUP($D153,'[2]LC Balanced'!$Q$2:$U$542,3,FALSE)</f>
        <v>0.14899999999999999</v>
      </c>
      <c r="G153">
        <f>VLOOKUP($D153,'[2]LC Balanced'!$Q$2:$U$542,4,FALSE)</f>
        <v>0.85099999999999998</v>
      </c>
      <c r="H153">
        <f>VLOOKUP($D153,'[2]LC Balanced'!$Q$2:$U$542,5,FALSE)</f>
        <v>0</v>
      </c>
      <c r="I153" s="77">
        <f t="shared" si="356"/>
        <v>1</v>
      </c>
      <c r="J153" s="77">
        <f t="shared" si="357"/>
        <v>6.1987699999999986E-2</v>
      </c>
      <c r="K153" s="77">
        <f t="shared" si="347"/>
        <v>5.024442123284345E-3</v>
      </c>
      <c r="L153" s="76">
        <v>0</v>
      </c>
      <c r="M153" s="77">
        <f t="shared" si="363"/>
        <v>0</v>
      </c>
      <c r="N153" s="77">
        <f t="shared" si="364"/>
        <v>0</v>
      </c>
      <c r="O153" s="77">
        <f t="shared" si="365"/>
        <v>7.0062999999999992E-3</v>
      </c>
      <c r="P153" s="77">
        <f t="shared" si="366"/>
        <v>5.85741666996209E-4</v>
      </c>
      <c r="R153" t="s">
        <v>177</v>
      </c>
      <c r="S153" t="s">
        <v>176</v>
      </c>
      <c r="T153" s="197" t="str">
        <f t="shared" si="296"/>
        <v>Autopilot_Balanced_392</v>
      </c>
      <c r="U153">
        <v>392</v>
      </c>
      <c r="V153">
        <f>VLOOKUP($U153,'[2]AP Balanced'!$Q$1:$T$542,2,FALSE)</f>
        <v>0.77777777777777779</v>
      </c>
      <c r="W153">
        <f>VLOOKUP($U153,'[2]AP Balanced'!$Q$1:$T$542,3,FALSE)</f>
        <v>0.22222222222222221</v>
      </c>
      <c r="X153">
        <f>VLOOKUP($U153,'[2]AP Balanced'!$Q$1:$T$542,4,FALSE)</f>
        <v>0</v>
      </c>
      <c r="Y153" s="77">
        <f t="shared" si="413"/>
        <v>1</v>
      </c>
      <c r="Z153" s="77">
        <f t="shared" si="402"/>
        <v>6.1674999999999987E-2</v>
      </c>
      <c r="AA153" s="77">
        <f t="shared" si="403"/>
        <v>4.9997781870025904E-3</v>
      </c>
      <c r="AB153" s="79">
        <v>1</v>
      </c>
      <c r="AC153" s="77">
        <f t="shared" si="367"/>
        <v>8.0555555555555554E-3</v>
      </c>
      <c r="AD153" s="77">
        <f t="shared" si="358"/>
        <v>6.7378764057135498E-4</v>
      </c>
      <c r="AE153" s="77">
        <f t="shared" si="368"/>
        <v>2.5000000000000001E-3</v>
      </c>
      <c r="AF153" s="77">
        <f t="shared" si="358"/>
        <v>2.0857243058891584E-4</v>
      </c>
      <c r="AH153" t="s">
        <v>175</v>
      </c>
      <c r="AI153" t="s">
        <v>176</v>
      </c>
      <c r="AJ153" s="197" t="str">
        <f t="shared" si="414"/>
        <v>Lifecycle_Balanced_392</v>
      </c>
      <c r="AK153">
        <v>392</v>
      </c>
      <c r="AL153">
        <f>VLOOKUP($U153,[2]Standard_Balanced!$Q$1:$T$542,2,FALSE)</f>
        <v>0.77777777777777779</v>
      </c>
      <c r="AM153">
        <f>VLOOKUP($U153,[2]Standard_Balanced!$Q$1:$T$542,3,FALSE)</f>
        <v>0.22222222222222221</v>
      </c>
      <c r="AN153">
        <f>VLOOKUP($U153,[2]Standard_Balanced!$Q$1:$T$542,4,FALSE)</f>
        <v>0</v>
      </c>
      <c r="AO153" s="77">
        <f t="shared" si="344"/>
        <v>1</v>
      </c>
      <c r="AP153" s="77">
        <f t="shared" si="369"/>
        <v>6.1674999999999987E-2</v>
      </c>
      <c r="AQ153" s="77">
        <f t="shared" si="415"/>
        <v>4.9997781870025904E-3</v>
      </c>
      <c r="AR153" s="79">
        <v>0</v>
      </c>
      <c r="AS153" s="77">
        <f t="shared" si="370"/>
        <v>0</v>
      </c>
      <c r="AT153" s="77">
        <f t="shared" ref="AT153" si="421">1-(1-AS153)^(1/12)</f>
        <v>0</v>
      </c>
      <c r="AU153" s="77">
        <f t="shared" si="372"/>
        <v>2.5000000000000001E-3</v>
      </c>
      <c r="AV153" s="77">
        <f t="shared" ref="AV153" si="422">1-(1-AU153)^(1/12)</f>
        <v>2.0857243058891584E-4</v>
      </c>
      <c r="AX153" t="s">
        <v>178</v>
      </c>
      <c r="AY153" t="s">
        <v>160</v>
      </c>
      <c r="AZ153" s="197" t="str">
        <f t="shared" si="418"/>
        <v>DIS_Non-Standard_392</v>
      </c>
      <c r="BA153">
        <v>392</v>
      </c>
      <c r="BB153">
        <f>VLOOKUP($BA153,'[2]NonStandard DIS'!$Q$1:$X$542,2,FALSE)</f>
        <v>0</v>
      </c>
      <c r="BC153">
        <f>VLOOKUP($BA153,'[2]NonStandard DIS'!$Q$1:$X$542,3,FALSE)</f>
        <v>0</v>
      </c>
      <c r="BD153">
        <f>VLOOKUP($BA153,'[2]NonStandard DIS'!$Q$1:$X$542,4,FALSE)</f>
        <v>0.308</v>
      </c>
      <c r="BE153">
        <f>VLOOKUP($BA153,'[2]NonStandard DIS'!$Q$1:$X$542,5,FALSE)</f>
        <v>0.69199999999999995</v>
      </c>
      <c r="BF153">
        <f>VLOOKUP($BA153,'[2]NonStandard DIS'!$Q$1:$X$542,6,FALSE)</f>
        <v>0</v>
      </c>
      <c r="BG153">
        <f>VLOOKUP($BA153,'[2]NonStandard DIS'!$Q$1:$X$542,7,FALSE)</f>
        <v>0</v>
      </c>
      <c r="BH153">
        <f>VLOOKUP($BA153,'[2]NonStandard DIS'!$Q$1:$X$542,8,FALSE)</f>
        <v>0</v>
      </c>
      <c r="BI153" s="77">
        <f t="shared" si="361"/>
        <v>1</v>
      </c>
      <c r="BJ153" s="77">
        <f t="shared" si="362"/>
        <v>6.9728499999999985E-2</v>
      </c>
      <c r="BK153" s="77">
        <f t="shared" si="343"/>
        <v>5.632878498097682E-3</v>
      </c>
      <c r="BL153" s="79">
        <v>0</v>
      </c>
      <c r="BM153" s="77">
        <f t="shared" si="374"/>
        <v>0</v>
      </c>
      <c r="BN153" s="77">
        <f t="shared" si="375"/>
        <v>0</v>
      </c>
      <c r="BO153" s="77">
        <f t="shared" si="376"/>
        <v>5.6775999999999997E-3</v>
      </c>
      <c r="BP153" s="77">
        <f t="shared" si="377"/>
        <v>4.7190657760731725E-4</v>
      </c>
    </row>
    <row r="154" spans="1:68">
      <c r="A154" t="s">
        <v>175</v>
      </c>
      <c r="B154" t="s">
        <v>176</v>
      </c>
      <c r="C154" s="197" t="str">
        <f t="shared" si="412"/>
        <v>Lifecycle_Balanced_391</v>
      </c>
      <c r="D154">
        <v>391</v>
      </c>
      <c r="E154">
        <f>VLOOKUP($D154,'[2]LC Balanced'!$Q$2:$U$542,2,FALSE)</f>
        <v>0</v>
      </c>
      <c r="F154">
        <f>VLOOKUP($D154,'[2]LC Balanced'!$Q$2:$U$542,3,FALSE)</f>
        <v>0.14899999999999999</v>
      </c>
      <c r="G154">
        <f>VLOOKUP($D154,'[2]LC Balanced'!$Q$2:$U$542,4,FALSE)</f>
        <v>0.85099999999999998</v>
      </c>
      <c r="H154">
        <f>VLOOKUP($D154,'[2]LC Balanced'!$Q$2:$U$542,5,FALSE)</f>
        <v>0</v>
      </c>
      <c r="I154" s="77">
        <f t="shared" si="356"/>
        <v>1</v>
      </c>
      <c r="J154" s="77">
        <f t="shared" si="357"/>
        <v>6.1987699999999986E-2</v>
      </c>
      <c r="K154" s="77">
        <f t="shared" si="347"/>
        <v>5.024442123284345E-3</v>
      </c>
      <c r="L154" s="76">
        <v>0</v>
      </c>
      <c r="M154" s="77">
        <f t="shared" si="363"/>
        <v>0</v>
      </c>
      <c r="N154" s="77">
        <f t="shared" si="364"/>
        <v>0</v>
      </c>
      <c r="O154" s="77">
        <f t="shared" si="365"/>
        <v>7.0062999999999992E-3</v>
      </c>
      <c r="P154" s="77">
        <f t="shared" si="366"/>
        <v>5.85741666996209E-4</v>
      </c>
      <c r="R154" t="s">
        <v>177</v>
      </c>
      <c r="S154" t="s">
        <v>176</v>
      </c>
      <c r="T154" s="197" t="str">
        <f t="shared" si="296"/>
        <v>Autopilot_Balanced_391</v>
      </c>
      <c r="U154">
        <v>391</v>
      </c>
      <c r="V154">
        <f>VLOOKUP($U154,'[2]AP Balanced'!$Q$1:$T$542,2,FALSE)</f>
        <v>0.77777777777777779</v>
      </c>
      <c r="W154">
        <f>VLOOKUP($U154,'[2]AP Balanced'!$Q$1:$T$542,3,FALSE)</f>
        <v>0.22222222222222221</v>
      </c>
      <c r="X154">
        <f>VLOOKUP($U154,'[2]AP Balanced'!$Q$1:$T$542,4,FALSE)</f>
        <v>0</v>
      </c>
      <c r="Y154" s="77">
        <f t="shared" si="413"/>
        <v>1</v>
      </c>
      <c r="Z154" s="77">
        <f t="shared" si="402"/>
        <v>6.1674999999999987E-2</v>
      </c>
      <c r="AA154" s="77">
        <f t="shared" si="403"/>
        <v>4.9997781870025904E-3</v>
      </c>
      <c r="AB154" s="79">
        <v>1</v>
      </c>
      <c r="AC154" s="77">
        <f t="shared" si="367"/>
        <v>8.0555555555555554E-3</v>
      </c>
      <c r="AD154" s="77">
        <f t="shared" si="358"/>
        <v>6.7378764057135498E-4</v>
      </c>
      <c r="AE154" s="77">
        <f t="shared" si="368"/>
        <v>2.5000000000000001E-3</v>
      </c>
      <c r="AF154" s="77">
        <f t="shared" si="358"/>
        <v>2.0857243058891584E-4</v>
      </c>
      <c r="AH154" t="s">
        <v>175</v>
      </c>
      <c r="AI154" t="s">
        <v>176</v>
      </c>
      <c r="AJ154" s="197" t="str">
        <f t="shared" si="414"/>
        <v>Lifecycle_Balanced_391</v>
      </c>
      <c r="AK154">
        <v>391</v>
      </c>
      <c r="AL154">
        <f>VLOOKUP($U154,[2]Standard_Balanced!$Q$1:$T$542,2,FALSE)</f>
        <v>0.77777777777777779</v>
      </c>
      <c r="AM154">
        <f>VLOOKUP($U154,[2]Standard_Balanced!$Q$1:$T$542,3,FALSE)</f>
        <v>0.22222222222222221</v>
      </c>
      <c r="AN154">
        <f>VLOOKUP($U154,[2]Standard_Balanced!$Q$1:$T$542,4,FALSE)</f>
        <v>0</v>
      </c>
      <c r="AO154" s="77">
        <f t="shared" si="344"/>
        <v>1</v>
      </c>
      <c r="AP154" s="77">
        <f t="shared" si="369"/>
        <v>6.1674999999999987E-2</v>
      </c>
      <c r="AQ154" s="77">
        <f t="shared" si="415"/>
        <v>4.9997781870025904E-3</v>
      </c>
      <c r="AR154" s="79">
        <v>0</v>
      </c>
      <c r="AS154" s="77">
        <f t="shared" si="370"/>
        <v>0</v>
      </c>
      <c r="AT154" s="77">
        <f t="shared" ref="AT154" si="423">1-(1-AS154)^(1/12)</f>
        <v>0</v>
      </c>
      <c r="AU154" s="77">
        <f t="shared" si="372"/>
        <v>2.5000000000000001E-3</v>
      </c>
      <c r="AV154" s="77">
        <f t="shared" ref="AV154" si="424">1-(1-AU154)^(1/12)</f>
        <v>2.0857243058891584E-4</v>
      </c>
      <c r="AX154" t="s">
        <v>178</v>
      </c>
      <c r="AY154" t="s">
        <v>160</v>
      </c>
      <c r="AZ154" s="197" t="str">
        <f t="shared" si="418"/>
        <v>DIS_Non-Standard_391</v>
      </c>
      <c r="BA154">
        <v>391</v>
      </c>
      <c r="BB154">
        <f>VLOOKUP($BA154,'[2]NonStandard DIS'!$Q$1:$X$542,2,FALSE)</f>
        <v>0</v>
      </c>
      <c r="BC154">
        <f>VLOOKUP($BA154,'[2]NonStandard DIS'!$Q$1:$X$542,3,FALSE)</f>
        <v>0</v>
      </c>
      <c r="BD154">
        <f>VLOOKUP($BA154,'[2]NonStandard DIS'!$Q$1:$X$542,4,FALSE)</f>
        <v>0.308</v>
      </c>
      <c r="BE154">
        <f>VLOOKUP($BA154,'[2]NonStandard DIS'!$Q$1:$X$542,5,FALSE)</f>
        <v>0.69199999999999995</v>
      </c>
      <c r="BF154">
        <f>VLOOKUP($BA154,'[2]NonStandard DIS'!$Q$1:$X$542,6,FALSE)</f>
        <v>0</v>
      </c>
      <c r="BG154">
        <f>VLOOKUP($BA154,'[2]NonStandard DIS'!$Q$1:$X$542,7,FALSE)</f>
        <v>0</v>
      </c>
      <c r="BH154">
        <f>VLOOKUP($BA154,'[2]NonStandard DIS'!$Q$1:$X$542,8,FALSE)</f>
        <v>0</v>
      </c>
      <c r="BI154" s="77">
        <f t="shared" si="361"/>
        <v>1</v>
      </c>
      <c r="BJ154" s="77">
        <f t="shared" si="362"/>
        <v>6.9728499999999985E-2</v>
      </c>
      <c r="BK154" s="77">
        <f t="shared" si="343"/>
        <v>5.632878498097682E-3</v>
      </c>
      <c r="BL154" s="79">
        <v>0</v>
      </c>
      <c r="BM154" s="77">
        <f t="shared" si="374"/>
        <v>0</v>
      </c>
      <c r="BN154" s="77">
        <f t="shared" si="375"/>
        <v>0</v>
      </c>
      <c r="BO154" s="77">
        <f t="shared" si="376"/>
        <v>5.6775999999999997E-3</v>
      </c>
      <c r="BP154" s="77">
        <f t="shared" si="377"/>
        <v>4.7190657760731725E-4</v>
      </c>
    </row>
    <row r="155" spans="1:68">
      <c r="A155" t="s">
        <v>175</v>
      </c>
      <c r="B155" t="s">
        <v>176</v>
      </c>
      <c r="C155" s="197" t="str">
        <f t="shared" si="412"/>
        <v>Lifecycle_Balanced_390</v>
      </c>
      <c r="D155">
        <v>390</v>
      </c>
      <c r="E155">
        <f>VLOOKUP($D155,'[2]LC Balanced'!$Q$2:$U$542,2,FALSE)</f>
        <v>0</v>
      </c>
      <c r="F155">
        <f>VLOOKUP($D155,'[2]LC Balanced'!$Q$2:$U$542,3,FALSE)</f>
        <v>0.14899999999999999</v>
      </c>
      <c r="G155">
        <f>VLOOKUP($D155,'[2]LC Balanced'!$Q$2:$U$542,4,FALSE)</f>
        <v>0.85099999999999998</v>
      </c>
      <c r="H155">
        <f>VLOOKUP($D155,'[2]LC Balanced'!$Q$2:$U$542,5,FALSE)</f>
        <v>0</v>
      </c>
      <c r="I155" s="77">
        <f t="shared" si="356"/>
        <v>1</v>
      </c>
      <c r="J155" s="77">
        <f t="shared" si="357"/>
        <v>6.1987699999999986E-2</v>
      </c>
      <c r="K155" s="77">
        <f t="shared" si="347"/>
        <v>5.024442123284345E-3</v>
      </c>
      <c r="L155" s="76">
        <v>0</v>
      </c>
      <c r="M155" s="77">
        <f t="shared" si="363"/>
        <v>0</v>
      </c>
      <c r="N155" s="77">
        <f t="shared" si="364"/>
        <v>0</v>
      </c>
      <c r="O155" s="77">
        <f t="shared" si="365"/>
        <v>7.0062999999999992E-3</v>
      </c>
      <c r="P155" s="77">
        <f t="shared" si="366"/>
        <v>5.85741666996209E-4</v>
      </c>
      <c r="R155" t="s">
        <v>177</v>
      </c>
      <c r="S155" t="s">
        <v>176</v>
      </c>
      <c r="T155" s="197" t="str">
        <f t="shared" si="296"/>
        <v>Autopilot_Balanced_390</v>
      </c>
      <c r="U155">
        <v>390</v>
      </c>
      <c r="V155">
        <f>VLOOKUP($U155,'[2]AP Balanced'!$Q$1:$T$542,2,FALSE)</f>
        <v>0.77777777777777779</v>
      </c>
      <c r="W155">
        <f>VLOOKUP($U155,'[2]AP Balanced'!$Q$1:$T$542,3,FALSE)</f>
        <v>0.22222222222222221</v>
      </c>
      <c r="X155">
        <f>VLOOKUP($U155,'[2]AP Balanced'!$Q$1:$T$542,4,FALSE)</f>
        <v>0</v>
      </c>
      <c r="Y155" s="77">
        <f t="shared" si="413"/>
        <v>1</v>
      </c>
      <c r="Z155" s="77">
        <f t="shared" si="402"/>
        <v>6.1674999999999987E-2</v>
      </c>
      <c r="AA155" s="77">
        <f t="shared" si="403"/>
        <v>4.9997781870025904E-3</v>
      </c>
      <c r="AB155" s="79">
        <v>1</v>
      </c>
      <c r="AC155" s="77">
        <f t="shared" si="367"/>
        <v>8.0555555555555554E-3</v>
      </c>
      <c r="AD155" s="77">
        <f t="shared" si="358"/>
        <v>6.7378764057135498E-4</v>
      </c>
      <c r="AE155" s="77">
        <f t="shared" si="368"/>
        <v>2.5000000000000001E-3</v>
      </c>
      <c r="AF155" s="77">
        <f t="shared" si="358"/>
        <v>2.0857243058891584E-4</v>
      </c>
      <c r="AH155" t="s">
        <v>175</v>
      </c>
      <c r="AI155" t="s">
        <v>176</v>
      </c>
      <c r="AJ155" s="197" t="str">
        <f t="shared" si="414"/>
        <v>Lifecycle_Balanced_390</v>
      </c>
      <c r="AK155">
        <v>390</v>
      </c>
      <c r="AL155">
        <f>VLOOKUP($U155,[2]Standard_Balanced!$Q$1:$T$542,2,FALSE)</f>
        <v>0.77777777777777779</v>
      </c>
      <c r="AM155">
        <f>VLOOKUP($U155,[2]Standard_Balanced!$Q$1:$T$542,3,FALSE)</f>
        <v>0.22222222222222221</v>
      </c>
      <c r="AN155">
        <f>VLOOKUP($U155,[2]Standard_Balanced!$Q$1:$T$542,4,FALSE)</f>
        <v>0</v>
      </c>
      <c r="AO155" s="77">
        <f t="shared" si="344"/>
        <v>1</v>
      </c>
      <c r="AP155" s="77">
        <f t="shared" si="369"/>
        <v>6.1674999999999987E-2</v>
      </c>
      <c r="AQ155" s="77">
        <f t="shared" si="415"/>
        <v>4.9997781870025904E-3</v>
      </c>
      <c r="AR155" s="79">
        <v>0</v>
      </c>
      <c r="AS155" s="77">
        <f t="shared" si="370"/>
        <v>0</v>
      </c>
      <c r="AT155" s="77">
        <f t="shared" ref="AT155" si="425">1-(1-AS155)^(1/12)</f>
        <v>0</v>
      </c>
      <c r="AU155" s="77">
        <f t="shared" si="372"/>
        <v>2.5000000000000001E-3</v>
      </c>
      <c r="AV155" s="77">
        <f t="shared" ref="AV155" si="426">1-(1-AU155)^(1/12)</f>
        <v>2.0857243058891584E-4</v>
      </c>
      <c r="AX155" t="s">
        <v>178</v>
      </c>
      <c r="AY155" t="s">
        <v>160</v>
      </c>
      <c r="AZ155" s="197" t="str">
        <f t="shared" si="418"/>
        <v>DIS_Non-Standard_390</v>
      </c>
      <c r="BA155">
        <v>390</v>
      </c>
      <c r="BB155">
        <f>VLOOKUP($BA155,'[2]NonStandard DIS'!$Q$1:$X$542,2,FALSE)</f>
        <v>0</v>
      </c>
      <c r="BC155">
        <f>VLOOKUP($BA155,'[2]NonStandard DIS'!$Q$1:$X$542,3,FALSE)</f>
        <v>0</v>
      </c>
      <c r="BD155">
        <f>VLOOKUP($BA155,'[2]NonStandard DIS'!$Q$1:$X$542,4,FALSE)</f>
        <v>0.308</v>
      </c>
      <c r="BE155">
        <f>VLOOKUP($BA155,'[2]NonStandard DIS'!$Q$1:$X$542,5,FALSE)</f>
        <v>0.69199999999999995</v>
      </c>
      <c r="BF155">
        <f>VLOOKUP($BA155,'[2]NonStandard DIS'!$Q$1:$X$542,6,FALSE)</f>
        <v>0</v>
      </c>
      <c r="BG155">
        <f>VLOOKUP($BA155,'[2]NonStandard DIS'!$Q$1:$X$542,7,FALSE)</f>
        <v>0</v>
      </c>
      <c r="BH155">
        <f>VLOOKUP($BA155,'[2]NonStandard DIS'!$Q$1:$X$542,8,FALSE)</f>
        <v>0</v>
      </c>
      <c r="BI155" s="77">
        <f t="shared" si="361"/>
        <v>1</v>
      </c>
      <c r="BJ155" s="77">
        <f t="shared" si="362"/>
        <v>6.9728499999999985E-2</v>
      </c>
      <c r="BK155" s="77">
        <f t="shared" si="343"/>
        <v>5.632878498097682E-3</v>
      </c>
      <c r="BL155" s="79">
        <v>0</v>
      </c>
      <c r="BM155" s="77">
        <f t="shared" si="374"/>
        <v>0</v>
      </c>
      <c r="BN155" s="77">
        <f t="shared" si="375"/>
        <v>0</v>
      </c>
      <c r="BO155" s="77">
        <f t="shared" si="376"/>
        <v>5.6775999999999997E-3</v>
      </c>
      <c r="BP155" s="77">
        <f t="shared" si="377"/>
        <v>4.7190657760731725E-4</v>
      </c>
    </row>
    <row r="156" spans="1:68">
      <c r="A156" t="s">
        <v>175</v>
      </c>
      <c r="B156" t="s">
        <v>176</v>
      </c>
      <c r="C156" s="197" t="str">
        <f t="shared" si="412"/>
        <v>Lifecycle_Balanced_389</v>
      </c>
      <c r="D156">
        <v>389</v>
      </c>
      <c r="E156">
        <f>VLOOKUP($D156,'[2]LC Balanced'!$Q$2:$U$542,2,FALSE)</f>
        <v>0</v>
      </c>
      <c r="F156">
        <f>VLOOKUP($D156,'[2]LC Balanced'!$Q$2:$U$542,3,FALSE)</f>
        <v>0.14899999999999999</v>
      </c>
      <c r="G156">
        <f>VLOOKUP($D156,'[2]LC Balanced'!$Q$2:$U$542,4,FALSE)</f>
        <v>0.85099999999999998</v>
      </c>
      <c r="H156">
        <f>VLOOKUP($D156,'[2]LC Balanced'!$Q$2:$U$542,5,FALSE)</f>
        <v>0</v>
      </c>
      <c r="I156" s="77">
        <f t="shared" si="356"/>
        <v>1</v>
      </c>
      <c r="J156" s="77">
        <f t="shared" si="357"/>
        <v>6.1987699999999986E-2</v>
      </c>
      <c r="K156" s="77">
        <f t="shared" si="347"/>
        <v>5.024442123284345E-3</v>
      </c>
      <c r="L156" s="76">
        <v>0</v>
      </c>
      <c r="M156" s="77">
        <f t="shared" si="363"/>
        <v>0</v>
      </c>
      <c r="N156" s="77">
        <f t="shared" si="364"/>
        <v>0</v>
      </c>
      <c r="O156" s="77">
        <f t="shared" si="365"/>
        <v>7.0062999999999992E-3</v>
      </c>
      <c r="P156" s="77">
        <f t="shared" si="366"/>
        <v>5.85741666996209E-4</v>
      </c>
      <c r="R156" t="s">
        <v>177</v>
      </c>
      <c r="S156" t="s">
        <v>176</v>
      </c>
      <c r="T156" s="197" t="str">
        <f t="shared" si="296"/>
        <v>Autopilot_Balanced_389</v>
      </c>
      <c r="U156">
        <v>389</v>
      </c>
      <c r="V156">
        <f>VLOOKUP($U156,'[2]AP Balanced'!$Q$1:$T$542,2,FALSE)</f>
        <v>0.77777777777777779</v>
      </c>
      <c r="W156">
        <f>VLOOKUP($U156,'[2]AP Balanced'!$Q$1:$T$542,3,FALSE)</f>
        <v>0.22222222222222221</v>
      </c>
      <c r="X156">
        <f>VLOOKUP($U156,'[2]AP Balanced'!$Q$1:$T$542,4,FALSE)</f>
        <v>0</v>
      </c>
      <c r="Y156" s="77">
        <f t="shared" si="413"/>
        <v>1</v>
      </c>
      <c r="Z156" s="77">
        <f t="shared" si="402"/>
        <v>6.1674999999999987E-2</v>
      </c>
      <c r="AA156" s="77">
        <f t="shared" si="403"/>
        <v>4.9997781870025904E-3</v>
      </c>
      <c r="AB156" s="79">
        <v>1</v>
      </c>
      <c r="AC156" s="77">
        <f t="shared" si="367"/>
        <v>8.0555555555555554E-3</v>
      </c>
      <c r="AD156" s="77">
        <f t="shared" si="358"/>
        <v>6.7378764057135498E-4</v>
      </c>
      <c r="AE156" s="77">
        <f t="shared" si="368"/>
        <v>2.5000000000000001E-3</v>
      </c>
      <c r="AF156" s="77">
        <f t="shared" si="358"/>
        <v>2.0857243058891584E-4</v>
      </c>
      <c r="AH156" t="s">
        <v>175</v>
      </c>
      <c r="AI156" t="s">
        <v>176</v>
      </c>
      <c r="AJ156" s="197" t="str">
        <f t="shared" si="414"/>
        <v>Lifecycle_Balanced_389</v>
      </c>
      <c r="AK156">
        <v>389</v>
      </c>
      <c r="AL156">
        <f>VLOOKUP($U156,[2]Standard_Balanced!$Q$1:$T$542,2,FALSE)</f>
        <v>0.77777777777777779</v>
      </c>
      <c r="AM156">
        <f>VLOOKUP($U156,[2]Standard_Balanced!$Q$1:$T$542,3,FALSE)</f>
        <v>0.22222222222222221</v>
      </c>
      <c r="AN156">
        <f>VLOOKUP($U156,[2]Standard_Balanced!$Q$1:$T$542,4,FALSE)</f>
        <v>0</v>
      </c>
      <c r="AO156" s="77">
        <f t="shared" si="344"/>
        <v>1</v>
      </c>
      <c r="AP156" s="77">
        <f t="shared" si="369"/>
        <v>6.1674999999999987E-2</v>
      </c>
      <c r="AQ156" s="77">
        <f t="shared" si="415"/>
        <v>4.9997781870025904E-3</v>
      </c>
      <c r="AR156" s="79">
        <v>0</v>
      </c>
      <c r="AS156" s="77">
        <f t="shared" si="370"/>
        <v>0</v>
      </c>
      <c r="AT156" s="77">
        <f t="shared" ref="AT156" si="427">1-(1-AS156)^(1/12)</f>
        <v>0</v>
      </c>
      <c r="AU156" s="77">
        <f t="shared" si="372"/>
        <v>2.5000000000000001E-3</v>
      </c>
      <c r="AV156" s="77">
        <f t="shared" ref="AV156" si="428">1-(1-AU156)^(1/12)</f>
        <v>2.0857243058891584E-4</v>
      </c>
      <c r="AX156" t="s">
        <v>178</v>
      </c>
      <c r="AY156" t="s">
        <v>160</v>
      </c>
      <c r="AZ156" s="197" t="str">
        <f t="shared" si="418"/>
        <v>DIS_Non-Standard_389</v>
      </c>
      <c r="BA156">
        <v>389</v>
      </c>
      <c r="BB156">
        <f>VLOOKUP($BA156,'[2]NonStandard DIS'!$Q$1:$X$542,2,FALSE)</f>
        <v>0</v>
      </c>
      <c r="BC156">
        <f>VLOOKUP($BA156,'[2]NonStandard DIS'!$Q$1:$X$542,3,FALSE)</f>
        <v>0</v>
      </c>
      <c r="BD156">
        <f>VLOOKUP($BA156,'[2]NonStandard DIS'!$Q$1:$X$542,4,FALSE)</f>
        <v>0.308</v>
      </c>
      <c r="BE156">
        <f>VLOOKUP($BA156,'[2]NonStandard DIS'!$Q$1:$X$542,5,FALSE)</f>
        <v>0.69199999999999995</v>
      </c>
      <c r="BF156">
        <f>VLOOKUP($BA156,'[2]NonStandard DIS'!$Q$1:$X$542,6,FALSE)</f>
        <v>0</v>
      </c>
      <c r="BG156">
        <f>VLOOKUP($BA156,'[2]NonStandard DIS'!$Q$1:$X$542,7,FALSE)</f>
        <v>0</v>
      </c>
      <c r="BH156">
        <f>VLOOKUP($BA156,'[2]NonStandard DIS'!$Q$1:$X$542,8,FALSE)</f>
        <v>0</v>
      </c>
      <c r="BI156" s="77">
        <f t="shared" si="361"/>
        <v>1</v>
      </c>
      <c r="BJ156" s="77">
        <f t="shared" si="362"/>
        <v>6.9728499999999985E-2</v>
      </c>
      <c r="BK156" s="77">
        <f t="shared" si="343"/>
        <v>5.632878498097682E-3</v>
      </c>
      <c r="BL156" s="79">
        <v>0</v>
      </c>
      <c r="BM156" s="77">
        <f t="shared" si="374"/>
        <v>0</v>
      </c>
      <c r="BN156" s="77">
        <f t="shared" si="375"/>
        <v>0</v>
      </c>
      <c r="BO156" s="77">
        <f t="shared" si="376"/>
        <v>5.6775999999999997E-3</v>
      </c>
      <c r="BP156" s="77">
        <f t="shared" si="377"/>
        <v>4.7190657760731725E-4</v>
      </c>
    </row>
    <row r="157" spans="1:68">
      <c r="A157" t="s">
        <v>175</v>
      </c>
      <c r="B157" t="s">
        <v>176</v>
      </c>
      <c r="C157" s="197" t="str">
        <f t="shared" si="412"/>
        <v>Lifecycle_Balanced_388</v>
      </c>
      <c r="D157">
        <v>388</v>
      </c>
      <c r="E157">
        <f>VLOOKUP($D157,'[2]LC Balanced'!$Q$2:$U$542,2,FALSE)</f>
        <v>0</v>
      </c>
      <c r="F157">
        <f>VLOOKUP($D157,'[2]LC Balanced'!$Q$2:$U$542,3,FALSE)</f>
        <v>0.14899999999999999</v>
      </c>
      <c r="G157">
        <f>VLOOKUP($D157,'[2]LC Balanced'!$Q$2:$U$542,4,FALSE)</f>
        <v>0.85099999999999998</v>
      </c>
      <c r="H157">
        <f>VLOOKUP($D157,'[2]LC Balanced'!$Q$2:$U$542,5,FALSE)</f>
        <v>0</v>
      </c>
      <c r="I157" s="77">
        <f t="shared" si="356"/>
        <v>1</v>
      </c>
      <c r="J157" s="77">
        <f t="shared" si="357"/>
        <v>6.1987699999999986E-2</v>
      </c>
      <c r="K157" s="77">
        <f t="shared" si="347"/>
        <v>5.024442123284345E-3</v>
      </c>
      <c r="L157" s="76">
        <v>0</v>
      </c>
      <c r="M157" s="77">
        <f t="shared" si="363"/>
        <v>0</v>
      </c>
      <c r="N157" s="77">
        <f t="shared" si="364"/>
        <v>0</v>
      </c>
      <c r="O157" s="77">
        <f t="shared" si="365"/>
        <v>7.0062999999999992E-3</v>
      </c>
      <c r="P157" s="77">
        <f t="shared" si="366"/>
        <v>5.85741666996209E-4</v>
      </c>
      <c r="R157" t="s">
        <v>177</v>
      </c>
      <c r="S157" t="s">
        <v>176</v>
      </c>
      <c r="T157" s="197" t="str">
        <f t="shared" si="296"/>
        <v>Autopilot_Balanced_388</v>
      </c>
      <c r="U157">
        <v>388</v>
      </c>
      <c r="V157">
        <f>VLOOKUP($U157,'[2]AP Balanced'!$Q$1:$T$542,2,FALSE)</f>
        <v>0.77777777777777779</v>
      </c>
      <c r="W157">
        <f>VLOOKUP($U157,'[2]AP Balanced'!$Q$1:$T$542,3,FALSE)</f>
        <v>0.22222222222222221</v>
      </c>
      <c r="X157">
        <f>VLOOKUP($U157,'[2]AP Balanced'!$Q$1:$T$542,4,FALSE)</f>
        <v>0</v>
      </c>
      <c r="Y157" s="77">
        <f t="shared" si="413"/>
        <v>1</v>
      </c>
      <c r="Z157" s="77">
        <f t="shared" si="402"/>
        <v>6.1674999999999987E-2</v>
      </c>
      <c r="AA157" s="77">
        <f t="shared" si="403"/>
        <v>4.9997781870025904E-3</v>
      </c>
      <c r="AB157" s="79">
        <v>1</v>
      </c>
      <c r="AC157" s="77">
        <f t="shared" si="367"/>
        <v>8.0555555555555554E-3</v>
      </c>
      <c r="AD157" s="77">
        <f t="shared" si="358"/>
        <v>6.7378764057135498E-4</v>
      </c>
      <c r="AE157" s="77">
        <f t="shared" si="368"/>
        <v>2.5000000000000001E-3</v>
      </c>
      <c r="AF157" s="77">
        <f t="shared" si="358"/>
        <v>2.0857243058891584E-4</v>
      </c>
      <c r="AH157" t="s">
        <v>175</v>
      </c>
      <c r="AI157" t="s">
        <v>176</v>
      </c>
      <c r="AJ157" s="197" t="str">
        <f t="shared" si="414"/>
        <v>Lifecycle_Balanced_388</v>
      </c>
      <c r="AK157">
        <v>388</v>
      </c>
      <c r="AL157">
        <f>VLOOKUP($U157,[2]Standard_Balanced!$Q$1:$T$542,2,FALSE)</f>
        <v>0.77777777777777779</v>
      </c>
      <c r="AM157">
        <f>VLOOKUP($U157,[2]Standard_Balanced!$Q$1:$T$542,3,FALSE)</f>
        <v>0.22222222222222221</v>
      </c>
      <c r="AN157">
        <f>VLOOKUP($U157,[2]Standard_Balanced!$Q$1:$T$542,4,FALSE)</f>
        <v>0</v>
      </c>
      <c r="AO157" s="77">
        <f t="shared" si="344"/>
        <v>1</v>
      </c>
      <c r="AP157" s="77">
        <f t="shared" si="369"/>
        <v>6.1674999999999987E-2</v>
      </c>
      <c r="AQ157" s="77">
        <f t="shared" si="415"/>
        <v>4.9997781870025904E-3</v>
      </c>
      <c r="AR157" s="79">
        <v>0</v>
      </c>
      <c r="AS157" s="77">
        <f t="shared" si="370"/>
        <v>0</v>
      </c>
      <c r="AT157" s="77">
        <f t="shared" ref="AT157" si="429">1-(1-AS157)^(1/12)</f>
        <v>0</v>
      </c>
      <c r="AU157" s="77">
        <f t="shared" si="372"/>
        <v>2.5000000000000001E-3</v>
      </c>
      <c r="AV157" s="77">
        <f t="shared" ref="AV157" si="430">1-(1-AU157)^(1/12)</f>
        <v>2.0857243058891584E-4</v>
      </c>
      <c r="AX157" t="s">
        <v>178</v>
      </c>
      <c r="AY157" t="s">
        <v>160</v>
      </c>
      <c r="AZ157" s="197" t="str">
        <f t="shared" si="418"/>
        <v>DIS_Non-Standard_388</v>
      </c>
      <c r="BA157">
        <v>388</v>
      </c>
      <c r="BB157">
        <f>VLOOKUP($BA157,'[2]NonStandard DIS'!$Q$1:$X$542,2,FALSE)</f>
        <v>0</v>
      </c>
      <c r="BC157">
        <f>VLOOKUP($BA157,'[2]NonStandard DIS'!$Q$1:$X$542,3,FALSE)</f>
        <v>0</v>
      </c>
      <c r="BD157">
        <f>VLOOKUP($BA157,'[2]NonStandard DIS'!$Q$1:$X$542,4,FALSE)</f>
        <v>0.308</v>
      </c>
      <c r="BE157">
        <f>VLOOKUP($BA157,'[2]NonStandard DIS'!$Q$1:$X$542,5,FALSE)</f>
        <v>0.69199999999999995</v>
      </c>
      <c r="BF157">
        <f>VLOOKUP($BA157,'[2]NonStandard DIS'!$Q$1:$X$542,6,FALSE)</f>
        <v>0</v>
      </c>
      <c r="BG157">
        <f>VLOOKUP($BA157,'[2]NonStandard DIS'!$Q$1:$X$542,7,FALSE)</f>
        <v>0</v>
      </c>
      <c r="BH157">
        <f>VLOOKUP($BA157,'[2]NonStandard DIS'!$Q$1:$X$542,8,FALSE)</f>
        <v>0</v>
      </c>
      <c r="BI157" s="77">
        <f t="shared" si="361"/>
        <v>1</v>
      </c>
      <c r="BJ157" s="77">
        <f t="shared" si="362"/>
        <v>6.9728499999999985E-2</v>
      </c>
      <c r="BK157" s="77">
        <f t="shared" si="343"/>
        <v>5.632878498097682E-3</v>
      </c>
      <c r="BL157" s="79">
        <v>0</v>
      </c>
      <c r="BM157" s="77">
        <f t="shared" si="374"/>
        <v>0</v>
      </c>
      <c r="BN157" s="77">
        <f t="shared" si="375"/>
        <v>0</v>
      </c>
      <c r="BO157" s="77">
        <f t="shared" si="376"/>
        <v>5.6775999999999997E-3</v>
      </c>
      <c r="BP157" s="77">
        <f t="shared" si="377"/>
        <v>4.7190657760731725E-4</v>
      </c>
    </row>
    <row r="158" spans="1:68">
      <c r="A158" t="s">
        <v>175</v>
      </c>
      <c r="B158" t="s">
        <v>176</v>
      </c>
      <c r="C158" s="197" t="str">
        <f t="shared" si="412"/>
        <v>Lifecycle_Balanced_387</v>
      </c>
      <c r="D158">
        <v>387</v>
      </c>
      <c r="E158">
        <f>VLOOKUP($D158,'[2]LC Balanced'!$Q$2:$U$542,2,FALSE)</f>
        <v>0</v>
      </c>
      <c r="F158">
        <f>VLOOKUP($D158,'[2]LC Balanced'!$Q$2:$U$542,3,FALSE)</f>
        <v>0.14899999999999999</v>
      </c>
      <c r="G158">
        <f>VLOOKUP($D158,'[2]LC Balanced'!$Q$2:$U$542,4,FALSE)</f>
        <v>0.85099999999999998</v>
      </c>
      <c r="H158">
        <f>VLOOKUP($D158,'[2]LC Balanced'!$Q$2:$U$542,5,FALSE)</f>
        <v>0</v>
      </c>
      <c r="I158" s="77">
        <f t="shared" si="356"/>
        <v>1</v>
      </c>
      <c r="J158" s="77">
        <f t="shared" si="357"/>
        <v>6.1987699999999986E-2</v>
      </c>
      <c r="K158" s="77">
        <f t="shared" si="347"/>
        <v>5.024442123284345E-3</v>
      </c>
      <c r="L158" s="76">
        <v>0</v>
      </c>
      <c r="M158" s="77">
        <f t="shared" si="363"/>
        <v>0</v>
      </c>
      <c r="N158" s="77">
        <f t="shared" si="364"/>
        <v>0</v>
      </c>
      <c r="O158" s="77">
        <f t="shared" si="365"/>
        <v>7.0062999999999992E-3</v>
      </c>
      <c r="P158" s="77">
        <f t="shared" si="366"/>
        <v>5.85741666996209E-4</v>
      </c>
      <c r="R158" t="s">
        <v>177</v>
      </c>
      <c r="S158" t="s">
        <v>176</v>
      </c>
      <c r="T158" s="197" t="str">
        <f t="shared" si="296"/>
        <v>Autopilot_Balanced_387</v>
      </c>
      <c r="U158">
        <v>387</v>
      </c>
      <c r="V158">
        <f>VLOOKUP($U158,'[2]AP Balanced'!$Q$1:$T$542,2,FALSE)</f>
        <v>0.77777777777777779</v>
      </c>
      <c r="W158">
        <f>VLOOKUP($U158,'[2]AP Balanced'!$Q$1:$T$542,3,FALSE)</f>
        <v>0.22222222222222221</v>
      </c>
      <c r="X158">
        <f>VLOOKUP($U158,'[2]AP Balanced'!$Q$1:$T$542,4,FALSE)</f>
        <v>0</v>
      </c>
      <c r="Y158" s="77">
        <f t="shared" si="413"/>
        <v>1</v>
      </c>
      <c r="Z158" s="77">
        <f t="shared" si="402"/>
        <v>6.1674999999999987E-2</v>
      </c>
      <c r="AA158" s="77">
        <f t="shared" si="403"/>
        <v>4.9997781870025904E-3</v>
      </c>
      <c r="AB158" s="79">
        <v>1</v>
      </c>
      <c r="AC158" s="77">
        <f t="shared" si="367"/>
        <v>8.0555555555555554E-3</v>
      </c>
      <c r="AD158" s="77">
        <f t="shared" si="358"/>
        <v>6.7378764057135498E-4</v>
      </c>
      <c r="AE158" s="77">
        <f t="shared" si="368"/>
        <v>2.5000000000000001E-3</v>
      </c>
      <c r="AF158" s="77">
        <f t="shared" si="358"/>
        <v>2.0857243058891584E-4</v>
      </c>
      <c r="AH158" t="s">
        <v>175</v>
      </c>
      <c r="AI158" t="s">
        <v>176</v>
      </c>
      <c r="AJ158" s="197" t="str">
        <f t="shared" si="414"/>
        <v>Lifecycle_Balanced_387</v>
      </c>
      <c r="AK158">
        <v>387</v>
      </c>
      <c r="AL158">
        <f>VLOOKUP($U158,[2]Standard_Balanced!$Q$1:$T$542,2,FALSE)</f>
        <v>0.77777777777777779</v>
      </c>
      <c r="AM158">
        <f>VLOOKUP($U158,[2]Standard_Balanced!$Q$1:$T$542,3,FALSE)</f>
        <v>0.22222222222222221</v>
      </c>
      <c r="AN158">
        <f>VLOOKUP($U158,[2]Standard_Balanced!$Q$1:$T$542,4,FALSE)</f>
        <v>0</v>
      </c>
      <c r="AO158" s="77">
        <f t="shared" si="344"/>
        <v>1</v>
      </c>
      <c r="AP158" s="77">
        <f t="shared" si="369"/>
        <v>6.1674999999999987E-2</v>
      </c>
      <c r="AQ158" s="77">
        <f t="shared" si="415"/>
        <v>4.9997781870025904E-3</v>
      </c>
      <c r="AR158" s="79">
        <v>0</v>
      </c>
      <c r="AS158" s="77">
        <f t="shared" si="370"/>
        <v>0</v>
      </c>
      <c r="AT158" s="77">
        <f t="shared" ref="AT158" si="431">1-(1-AS158)^(1/12)</f>
        <v>0</v>
      </c>
      <c r="AU158" s="77">
        <f t="shared" si="372"/>
        <v>2.5000000000000001E-3</v>
      </c>
      <c r="AV158" s="77">
        <f t="shared" ref="AV158" si="432">1-(1-AU158)^(1/12)</f>
        <v>2.0857243058891584E-4</v>
      </c>
      <c r="AX158" t="s">
        <v>178</v>
      </c>
      <c r="AY158" t="s">
        <v>160</v>
      </c>
      <c r="AZ158" s="197" t="str">
        <f t="shared" si="418"/>
        <v>DIS_Non-Standard_387</v>
      </c>
      <c r="BA158">
        <v>387</v>
      </c>
      <c r="BB158">
        <f>VLOOKUP($BA158,'[2]NonStandard DIS'!$Q$1:$X$542,2,FALSE)</f>
        <v>0</v>
      </c>
      <c r="BC158">
        <f>VLOOKUP($BA158,'[2]NonStandard DIS'!$Q$1:$X$542,3,FALSE)</f>
        <v>0</v>
      </c>
      <c r="BD158">
        <f>VLOOKUP($BA158,'[2]NonStandard DIS'!$Q$1:$X$542,4,FALSE)</f>
        <v>0.308</v>
      </c>
      <c r="BE158">
        <f>VLOOKUP($BA158,'[2]NonStandard DIS'!$Q$1:$X$542,5,FALSE)</f>
        <v>0.69199999999999995</v>
      </c>
      <c r="BF158">
        <f>VLOOKUP($BA158,'[2]NonStandard DIS'!$Q$1:$X$542,6,FALSE)</f>
        <v>0</v>
      </c>
      <c r="BG158">
        <f>VLOOKUP($BA158,'[2]NonStandard DIS'!$Q$1:$X$542,7,FALSE)</f>
        <v>0</v>
      </c>
      <c r="BH158">
        <f>VLOOKUP($BA158,'[2]NonStandard DIS'!$Q$1:$X$542,8,FALSE)</f>
        <v>0</v>
      </c>
      <c r="BI158" s="77">
        <f t="shared" si="361"/>
        <v>1</v>
      </c>
      <c r="BJ158" s="77">
        <f t="shared" si="362"/>
        <v>6.9728499999999985E-2</v>
      </c>
      <c r="BK158" s="77">
        <f t="shared" si="343"/>
        <v>5.632878498097682E-3</v>
      </c>
      <c r="BL158" s="79">
        <v>0</v>
      </c>
      <c r="BM158" s="77">
        <f t="shared" si="374"/>
        <v>0</v>
      </c>
      <c r="BN158" s="77">
        <f t="shared" si="375"/>
        <v>0</v>
      </c>
      <c r="BO158" s="77">
        <f t="shared" si="376"/>
        <v>5.6775999999999997E-3</v>
      </c>
      <c r="BP158" s="77">
        <f t="shared" si="377"/>
        <v>4.7190657760731725E-4</v>
      </c>
    </row>
    <row r="159" spans="1:68">
      <c r="A159" t="s">
        <v>175</v>
      </c>
      <c r="B159" t="s">
        <v>176</v>
      </c>
      <c r="C159" s="197" t="str">
        <f t="shared" si="412"/>
        <v>Lifecycle_Balanced_386</v>
      </c>
      <c r="D159">
        <v>386</v>
      </c>
      <c r="E159">
        <f>VLOOKUP($D159,'[2]LC Balanced'!$Q$2:$U$542,2,FALSE)</f>
        <v>0</v>
      </c>
      <c r="F159">
        <f>VLOOKUP($D159,'[2]LC Balanced'!$Q$2:$U$542,3,FALSE)</f>
        <v>0.14899999999999999</v>
      </c>
      <c r="G159">
        <f>VLOOKUP($D159,'[2]LC Balanced'!$Q$2:$U$542,4,FALSE)</f>
        <v>0.85099999999999998</v>
      </c>
      <c r="H159">
        <f>VLOOKUP($D159,'[2]LC Balanced'!$Q$2:$U$542,5,FALSE)</f>
        <v>0</v>
      </c>
      <c r="I159" s="77">
        <f t="shared" si="356"/>
        <v>1</v>
      </c>
      <c r="J159" s="77">
        <f t="shared" si="357"/>
        <v>6.1987699999999986E-2</v>
      </c>
      <c r="K159" s="77">
        <f t="shared" si="347"/>
        <v>5.024442123284345E-3</v>
      </c>
      <c r="L159" s="76">
        <v>0</v>
      </c>
      <c r="M159" s="77">
        <f t="shared" si="363"/>
        <v>0</v>
      </c>
      <c r="N159" s="77">
        <f t="shared" si="364"/>
        <v>0</v>
      </c>
      <c r="O159" s="77">
        <f t="shared" si="365"/>
        <v>7.0062999999999992E-3</v>
      </c>
      <c r="P159" s="77">
        <f t="shared" si="366"/>
        <v>5.85741666996209E-4</v>
      </c>
      <c r="R159" t="s">
        <v>177</v>
      </c>
      <c r="S159" t="s">
        <v>176</v>
      </c>
      <c r="T159" s="197" t="str">
        <f t="shared" si="296"/>
        <v>Autopilot_Balanced_386</v>
      </c>
      <c r="U159">
        <v>386</v>
      </c>
      <c r="V159">
        <f>VLOOKUP($U159,'[2]AP Balanced'!$Q$1:$T$542,2,FALSE)</f>
        <v>0.77777777777777779</v>
      </c>
      <c r="W159">
        <f>VLOOKUP($U159,'[2]AP Balanced'!$Q$1:$T$542,3,FALSE)</f>
        <v>0.22222222222222221</v>
      </c>
      <c r="X159">
        <f>VLOOKUP($U159,'[2]AP Balanced'!$Q$1:$T$542,4,FALSE)</f>
        <v>0</v>
      </c>
      <c r="Y159" s="77">
        <f t="shared" si="413"/>
        <v>1</v>
      </c>
      <c r="Z159" s="77">
        <f t="shared" si="402"/>
        <v>6.1674999999999987E-2</v>
      </c>
      <c r="AA159" s="77">
        <f t="shared" si="403"/>
        <v>4.9997781870025904E-3</v>
      </c>
      <c r="AB159" s="79">
        <v>1</v>
      </c>
      <c r="AC159" s="77">
        <f t="shared" si="367"/>
        <v>8.0555555555555554E-3</v>
      </c>
      <c r="AD159" s="77">
        <f t="shared" si="358"/>
        <v>6.7378764057135498E-4</v>
      </c>
      <c r="AE159" s="77">
        <f t="shared" si="368"/>
        <v>2.5000000000000001E-3</v>
      </c>
      <c r="AF159" s="77">
        <f t="shared" si="358"/>
        <v>2.0857243058891584E-4</v>
      </c>
      <c r="AH159" t="s">
        <v>175</v>
      </c>
      <c r="AI159" t="s">
        <v>176</v>
      </c>
      <c r="AJ159" s="197" t="str">
        <f t="shared" si="414"/>
        <v>Lifecycle_Balanced_386</v>
      </c>
      <c r="AK159">
        <v>386</v>
      </c>
      <c r="AL159">
        <f>VLOOKUP($U159,[2]Standard_Balanced!$Q$1:$T$542,2,FALSE)</f>
        <v>0.77777777777777779</v>
      </c>
      <c r="AM159">
        <f>VLOOKUP($U159,[2]Standard_Balanced!$Q$1:$T$542,3,FALSE)</f>
        <v>0.22222222222222221</v>
      </c>
      <c r="AN159">
        <f>VLOOKUP($U159,[2]Standard_Balanced!$Q$1:$T$542,4,FALSE)</f>
        <v>0</v>
      </c>
      <c r="AO159" s="77">
        <f t="shared" si="344"/>
        <v>1</v>
      </c>
      <c r="AP159" s="77">
        <f t="shared" si="369"/>
        <v>6.1674999999999987E-2</v>
      </c>
      <c r="AQ159" s="77">
        <f t="shared" si="415"/>
        <v>4.9997781870025904E-3</v>
      </c>
      <c r="AR159" s="79">
        <v>0</v>
      </c>
      <c r="AS159" s="77">
        <f t="shared" si="370"/>
        <v>0</v>
      </c>
      <c r="AT159" s="77">
        <f t="shared" ref="AT159" si="433">1-(1-AS159)^(1/12)</f>
        <v>0</v>
      </c>
      <c r="AU159" s="77">
        <f t="shared" si="372"/>
        <v>2.5000000000000001E-3</v>
      </c>
      <c r="AV159" s="77">
        <f t="shared" ref="AV159" si="434">1-(1-AU159)^(1/12)</f>
        <v>2.0857243058891584E-4</v>
      </c>
      <c r="AX159" t="s">
        <v>178</v>
      </c>
      <c r="AY159" t="s">
        <v>160</v>
      </c>
      <c r="AZ159" s="197" t="str">
        <f t="shared" si="418"/>
        <v>DIS_Non-Standard_386</v>
      </c>
      <c r="BA159">
        <v>386</v>
      </c>
      <c r="BB159">
        <f>VLOOKUP($BA159,'[2]NonStandard DIS'!$Q$1:$X$542,2,FALSE)</f>
        <v>0</v>
      </c>
      <c r="BC159">
        <f>VLOOKUP($BA159,'[2]NonStandard DIS'!$Q$1:$X$542,3,FALSE)</f>
        <v>0</v>
      </c>
      <c r="BD159">
        <f>VLOOKUP($BA159,'[2]NonStandard DIS'!$Q$1:$X$542,4,FALSE)</f>
        <v>0.308</v>
      </c>
      <c r="BE159">
        <f>VLOOKUP($BA159,'[2]NonStandard DIS'!$Q$1:$X$542,5,FALSE)</f>
        <v>0.69199999999999995</v>
      </c>
      <c r="BF159">
        <f>VLOOKUP($BA159,'[2]NonStandard DIS'!$Q$1:$X$542,6,FALSE)</f>
        <v>0</v>
      </c>
      <c r="BG159">
        <f>VLOOKUP($BA159,'[2]NonStandard DIS'!$Q$1:$X$542,7,FALSE)</f>
        <v>0</v>
      </c>
      <c r="BH159">
        <f>VLOOKUP($BA159,'[2]NonStandard DIS'!$Q$1:$X$542,8,FALSE)</f>
        <v>0</v>
      </c>
      <c r="BI159" s="77">
        <f t="shared" si="361"/>
        <v>1</v>
      </c>
      <c r="BJ159" s="77">
        <f t="shared" si="362"/>
        <v>6.9728499999999985E-2</v>
      </c>
      <c r="BK159" s="77">
        <f t="shared" si="343"/>
        <v>5.632878498097682E-3</v>
      </c>
      <c r="BL159" s="79">
        <v>0</v>
      </c>
      <c r="BM159" s="77">
        <f t="shared" si="374"/>
        <v>0</v>
      </c>
      <c r="BN159" s="77">
        <f t="shared" si="375"/>
        <v>0</v>
      </c>
      <c r="BO159" s="77">
        <f t="shared" si="376"/>
        <v>5.6775999999999997E-3</v>
      </c>
      <c r="BP159" s="77">
        <f t="shared" si="377"/>
        <v>4.7190657760731725E-4</v>
      </c>
    </row>
    <row r="160" spans="1:68">
      <c r="A160" t="s">
        <v>175</v>
      </c>
      <c r="B160" t="s">
        <v>176</v>
      </c>
      <c r="C160" s="197" t="str">
        <f t="shared" si="412"/>
        <v>Lifecycle_Balanced_385</v>
      </c>
      <c r="D160">
        <v>385</v>
      </c>
      <c r="E160">
        <f>VLOOKUP($D160,'[2]LC Balanced'!$Q$2:$U$542,2,FALSE)</f>
        <v>0</v>
      </c>
      <c r="F160">
        <f>VLOOKUP($D160,'[2]LC Balanced'!$Q$2:$U$542,3,FALSE)</f>
        <v>0.14899999999999999</v>
      </c>
      <c r="G160">
        <f>VLOOKUP($D160,'[2]LC Balanced'!$Q$2:$U$542,4,FALSE)</f>
        <v>0.85099999999999998</v>
      </c>
      <c r="H160">
        <f>VLOOKUP($D160,'[2]LC Balanced'!$Q$2:$U$542,5,FALSE)</f>
        <v>0</v>
      </c>
      <c r="I160" s="77">
        <f t="shared" si="356"/>
        <v>1</v>
      </c>
      <c r="J160" s="77">
        <f t="shared" si="357"/>
        <v>6.1987699999999986E-2</v>
      </c>
      <c r="K160" s="77">
        <f t="shared" si="347"/>
        <v>5.024442123284345E-3</v>
      </c>
      <c r="L160" s="76">
        <v>0</v>
      </c>
      <c r="M160" s="77">
        <f t="shared" si="363"/>
        <v>0</v>
      </c>
      <c r="N160" s="77">
        <f t="shared" si="364"/>
        <v>0</v>
      </c>
      <c r="O160" s="77">
        <f t="shared" si="365"/>
        <v>7.0062999999999992E-3</v>
      </c>
      <c r="P160" s="77">
        <f t="shared" si="366"/>
        <v>5.85741666996209E-4</v>
      </c>
      <c r="R160" t="s">
        <v>177</v>
      </c>
      <c r="S160" t="s">
        <v>176</v>
      </c>
      <c r="T160" s="197" t="str">
        <f t="shared" si="296"/>
        <v>Autopilot_Balanced_385</v>
      </c>
      <c r="U160">
        <v>385</v>
      </c>
      <c r="V160">
        <f>VLOOKUP($U160,'[2]AP Balanced'!$Q$1:$T$542,2,FALSE)</f>
        <v>0.77777777777777779</v>
      </c>
      <c r="W160">
        <f>VLOOKUP($U160,'[2]AP Balanced'!$Q$1:$T$542,3,FALSE)</f>
        <v>0.22222222222222221</v>
      </c>
      <c r="X160">
        <f>VLOOKUP($U160,'[2]AP Balanced'!$Q$1:$T$542,4,FALSE)</f>
        <v>0</v>
      </c>
      <c r="Y160" s="77">
        <f t="shared" si="413"/>
        <v>1</v>
      </c>
      <c r="Z160" s="77">
        <f t="shared" si="402"/>
        <v>6.1674999999999987E-2</v>
      </c>
      <c r="AA160" s="77">
        <f t="shared" si="403"/>
        <v>4.9997781870025904E-3</v>
      </c>
      <c r="AB160" s="79">
        <v>1</v>
      </c>
      <c r="AC160" s="77">
        <f t="shared" si="367"/>
        <v>8.0555555555555554E-3</v>
      </c>
      <c r="AD160" s="77">
        <f t="shared" si="358"/>
        <v>6.7378764057135498E-4</v>
      </c>
      <c r="AE160" s="77">
        <f t="shared" si="368"/>
        <v>2.5000000000000001E-3</v>
      </c>
      <c r="AF160" s="77">
        <f t="shared" si="358"/>
        <v>2.0857243058891584E-4</v>
      </c>
      <c r="AH160" t="s">
        <v>175</v>
      </c>
      <c r="AI160" t="s">
        <v>176</v>
      </c>
      <c r="AJ160" s="197" t="str">
        <f t="shared" si="414"/>
        <v>Lifecycle_Balanced_385</v>
      </c>
      <c r="AK160">
        <v>385</v>
      </c>
      <c r="AL160">
        <f>VLOOKUP($U160,[2]Standard_Balanced!$Q$1:$T$542,2,FALSE)</f>
        <v>0.77777777777777779</v>
      </c>
      <c r="AM160">
        <f>VLOOKUP($U160,[2]Standard_Balanced!$Q$1:$T$542,3,FALSE)</f>
        <v>0.22222222222222221</v>
      </c>
      <c r="AN160">
        <f>VLOOKUP($U160,[2]Standard_Balanced!$Q$1:$T$542,4,FALSE)</f>
        <v>0</v>
      </c>
      <c r="AO160" s="77">
        <f t="shared" si="344"/>
        <v>1</v>
      </c>
      <c r="AP160" s="77">
        <f t="shared" si="369"/>
        <v>6.1674999999999987E-2</v>
      </c>
      <c r="AQ160" s="77">
        <f t="shared" si="415"/>
        <v>4.9997781870025904E-3</v>
      </c>
      <c r="AR160" s="79">
        <v>0</v>
      </c>
      <c r="AS160" s="77">
        <f t="shared" si="370"/>
        <v>0</v>
      </c>
      <c r="AT160" s="77">
        <f t="shared" ref="AT160" si="435">1-(1-AS160)^(1/12)</f>
        <v>0</v>
      </c>
      <c r="AU160" s="77">
        <f t="shared" si="372"/>
        <v>2.5000000000000001E-3</v>
      </c>
      <c r="AV160" s="77">
        <f t="shared" ref="AV160" si="436">1-(1-AU160)^(1/12)</f>
        <v>2.0857243058891584E-4</v>
      </c>
      <c r="AX160" t="s">
        <v>178</v>
      </c>
      <c r="AY160" t="s">
        <v>160</v>
      </c>
      <c r="AZ160" s="197" t="str">
        <f t="shared" si="418"/>
        <v>DIS_Non-Standard_385</v>
      </c>
      <c r="BA160">
        <v>385</v>
      </c>
      <c r="BB160">
        <f>VLOOKUP($BA160,'[2]NonStandard DIS'!$Q$1:$X$542,2,FALSE)</f>
        <v>0</v>
      </c>
      <c r="BC160">
        <f>VLOOKUP($BA160,'[2]NonStandard DIS'!$Q$1:$X$542,3,FALSE)</f>
        <v>0</v>
      </c>
      <c r="BD160">
        <f>VLOOKUP($BA160,'[2]NonStandard DIS'!$Q$1:$X$542,4,FALSE)</f>
        <v>0.308</v>
      </c>
      <c r="BE160">
        <f>VLOOKUP($BA160,'[2]NonStandard DIS'!$Q$1:$X$542,5,FALSE)</f>
        <v>0.69199999999999995</v>
      </c>
      <c r="BF160">
        <f>VLOOKUP($BA160,'[2]NonStandard DIS'!$Q$1:$X$542,6,FALSE)</f>
        <v>0</v>
      </c>
      <c r="BG160">
        <f>VLOOKUP($BA160,'[2]NonStandard DIS'!$Q$1:$X$542,7,FALSE)</f>
        <v>0</v>
      </c>
      <c r="BH160">
        <f>VLOOKUP($BA160,'[2]NonStandard DIS'!$Q$1:$X$542,8,FALSE)</f>
        <v>0</v>
      </c>
      <c r="BI160" s="77">
        <f t="shared" si="361"/>
        <v>1</v>
      </c>
      <c r="BJ160" s="77">
        <f t="shared" si="362"/>
        <v>6.9728499999999985E-2</v>
      </c>
      <c r="BK160" s="77">
        <f t="shared" si="343"/>
        <v>5.632878498097682E-3</v>
      </c>
      <c r="BL160" s="79">
        <v>0</v>
      </c>
      <c r="BM160" s="77">
        <f t="shared" si="374"/>
        <v>0</v>
      </c>
      <c r="BN160" s="77">
        <f t="shared" si="375"/>
        <v>0</v>
      </c>
      <c r="BO160" s="77">
        <f t="shared" si="376"/>
        <v>5.6775999999999997E-3</v>
      </c>
      <c r="BP160" s="77">
        <f t="shared" si="377"/>
        <v>4.7190657760731725E-4</v>
      </c>
    </row>
    <row r="161" spans="1:68">
      <c r="A161" t="s">
        <v>175</v>
      </c>
      <c r="B161" t="s">
        <v>176</v>
      </c>
      <c r="C161" s="197" t="str">
        <f t="shared" si="412"/>
        <v>Lifecycle_Balanced_384</v>
      </c>
      <c r="D161">
        <v>384</v>
      </c>
      <c r="E161">
        <f>VLOOKUP($D161,'[2]LC Balanced'!$Q$2:$U$542,2,FALSE)</f>
        <v>0</v>
      </c>
      <c r="F161">
        <f>VLOOKUP($D161,'[2]LC Balanced'!$Q$2:$U$542,3,FALSE)</f>
        <v>0.14899999999999999</v>
      </c>
      <c r="G161">
        <f>VLOOKUP($D161,'[2]LC Balanced'!$Q$2:$U$542,4,FALSE)</f>
        <v>0.85099999999999998</v>
      </c>
      <c r="H161">
        <f>VLOOKUP($D161,'[2]LC Balanced'!$Q$2:$U$542,5,FALSE)</f>
        <v>0</v>
      </c>
      <c r="I161" s="77">
        <f t="shared" si="356"/>
        <v>1</v>
      </c>
      <c r="J161" s="77">
        <f t="shared" si="357"/>
        <v>6.1987699999999986E-2</v>
      </c>
      <c r="K161" s="77">
        <f t="shared" si="347"/>
        <v>5.024442123284345E-3</v>
      </c>
      <c r="L161" s="76">
        <v>0</v>
      </c>
      <c r="M161" s="77">
        <f t="shared" si="363"/>
        <v>0</v>
      </c>
      <c r="N161" s="77">
        <f t="shared" si="364"/>
        <v>0</v>
      </c>
      <c r="O161" s="77">
        <f t="shared" si="365"/>
        <v>7.0062999999999992E-3</v>
      </c>
      <c r="P161" s="77">
        <f t="shared" si="366"/>
        <v>5.85741666996209E-4</v>
      </c>
      <c r="R161" t="s">
        <v>177</v>
      </c>
      <c r="S161" t="s">
        <v>176</v>
      </c>
      <c r="T161" s="197" t="str">
        <f t="shared" si="296"/>
        <v>Autopilot_Balanced_384</v>
      </c>
      <c r="U161">
        <v>384</v>
      </c>
      <c r="V161">
        <f>VLOOKUP($U161,'[2]AP Balanced'!$Q$1:$T$542,2,FALSE)</f>
        <v>0.77777777777777779</v>
      </c>
      <c r="W161">
        <f>VLOOKUP($U161,'[2]AP Balanced'!$Q$1:$T$542,3,FALSE)</f>
        <v>0.22222222222222221</v>
      </c>
      <c r="X161">
        <f>VLOOKUP($U161,'[2]AP Balanced'!$Q$1:$T$542,4,FALSE)</f>
        <v>0</v>
      </c>
      <c r="Y161" s="77">
        <f t="shared" si="413"/>
        <v>1</v>
      </c>
      <c r="Z161" s="77">
        <f t="shared" si="402"/>
        <v>6.1674999999999987E-2</v>
      </c>
      <c r="AA161" s="77">
        <f t="shared" si="403"/>
        <v>4.9997781870025904E-3</v>
      </c>
      <c r="AB161" s="79">
        <v>1</v>
      </c>
      <c r="AC161" s="77">
        <f t="shared" si="367"/>
        <v>8.0555555555555554E-3</v>
      </c>
      <c r="AD161" s="77">
        <f t="shared" si="358"/>
        <v>6.7378764057135498E-4</v>
      </c>
      <c r="AE161" s="77">
        <f t="shared" si="368"/>
        <v>2.5000000000000001E-3</v>
      </c>
      <c r="AF161" s="77">
        <f t="shared" si="358"/>
        <v>2.0857243058891584E-4</v>
      </c>
      <c r="AH161" t="s">
        <v>175</v>
      </c>
      <c r="AI161" t="s">
        <v>176</v>
      </c>
      <c r="AJ161" s="197" t="str">
        <f t="shared" si="414"/>
        <v>Lifecycle_Balanced_384</v>
      </c>
      <c r="AK161">
        <v>384</v>
      </c>
      <c r="AL161">
        <f>VLOOKUP($U161,[2]Standard_Balanced!$Q$1:$T$542,2,FALSE)</f>
        <v>0.77777777777777779</v>
      </c>
      <c r="AM161">
        <f>VLOOKUP($U161,[2]Standard_Balanced!$Q$1:$T$542,3,FALSE)</f>
        <v>0.22222222222222221</v>
      </c>
      <c r="AN161">
        <f>VLOOKUP($U161,[2]Standard_Balanced!$Q$1:$T$542,4,FALSE)</f>
        <v>0</v>
      </c>
      <c r="AO161" s="77">
        <f t="shared" si="344"/>
        <v>1</v>
      </c>
      <c r="AP161" s="77">
        <f t="shared" si="369"/>
        <v>6.1674999999999987E-2</v>
      </c>
      <c r="AQ161" s="77">
        <f t="shared" si="415"/>
        <v>4.9997781870025904E-3</v>
      </c>
      <c r="AR161" s="79">
        <v>0</v>
      </c>
      <c r="AS161" s="77">
        <f t="shared" si="370"/>
        <v>0</v>
      </c>
      <c r="AT161" s="77">
        <f t="shared" ref="AT161" si="437">1-(1-AS161)^(1/12)</f>
        <v>0</v>
      </c>
      <c r="AU161" s="77">
        <f t="shared" si="372"/>
        <v>2.5000000000000001E-3</v>
      </c>
      <c r="AV161" s="77">
        <f t="shared" ref="AV161" si="438">1-(1-AU161)^(1/12)</f>
        <v>2.0857243058891584E-4</v>
      </c>
      <c r="AX161" t="s">
        <v>178</v>
      </c>
      <c r="AY161" t="s">
        <v>160</v>
      </c>
      <c r="AZ161" s="197" t="str">
        <f t="shared" si="418"/>
        <v>DIS_Non-Standard_384</v>
      </c>
      <c r="BA161">
        <v>384</v>
      </c>
      <c r="BB161">
        <f>VLOOKUP($BA161,'[2]NonStandard DIS'!$Q$1:$X$542,2,FALSE)</f>
        <v>0</v>
      </c>
      <c r="BC161">
        <f>VLOOKUP($BA161,'[2]NonStandard DIS'!$Q$1:$X$542,3,FALSE)</f>
        <v>0</v>
      </c>
      <c r="BD161">
        <f>VLOOKUP($BA161,'[2]NonStandard DIS'!$Q$1:$X$542,4,FALSE)</f>
        <v>0.308</v>
      </c>
      <c r="BE161">
        <f>VLOOKUP($BA161,'[2]NonStandard DIS'!$Q$1:$X$542,5,FALSE)</f>
        <v>0.69199999999999995</v>
      </c>
      <c r="BF161">
        <f>VLOOKUP($BA161,'[2]NonStandard DIS'!$Q$1:$X$542,6,FALSE)</f>
        <v>0</v>
      </c>
      <c r="BG161">
        <f>VLOOKUP($BA161,'[2]NonStandard DIS'!$Q$1:$X$542,7,FALSE)</f>
        <v>0</v>
      </c>
      <c r="BH161">
        <f>VLOOKUP($BA161,'[2]NonStandard DIS'!$Q$1:$X$542,8,FALSE)</f>
        <v>0</v>
      </c>
      <c r="BI161" s="77">
        <f t="shared" si="361"/>
        <v>1</v>
      </c>
      <c r="BJ161" s="77">
        <f t="shared" si="362"/>
        <v>6.9728499999999985E-2</v>
      </c>
      <c r="BK161" s="77">
        <f t="shared" si="343"/>
        <v>5.632878498097682E-3</v>
      </c>
      <c r="BL161" s="79">
        <v>0</v>
      </c>
      <c r="BM161" s="77">
        <f t="shared" si="374"/>
        <v>0</v>
      </c>
      <c r="BN161" s="77">
        <f t="shared" si="375"/>
        <v>0</v>
      </c>
      <c r="BO161" s="77">
        <f t="shared" si="376"/>
        <v>5.6775999999999997E-3</v>
      </c>
      <c r="BP161" s="77">
        <f t="shared" si="377"/>
        <v>4.7190657760731725E-4</v>
      </c>
    </row>
    <row r="162" spans="1:68">
      <c r="A162" t="s">
        <v>175</v>
      </c>
      <c r="B162" t="s">
        <v>176</v>
      </c>
      <c r="C162" s="197" t="str">
        <f t="shared" si="412"/>
        <v>Lifecycle_Balanced_383</v>
      </c>
      <c r="D162">
        <v>383</v>
      </c>
      <c r="E162">
        <f>VLOOKUP($D162,'[2]LC Balanced'!$Q$2:$U$542,2,FALSE)</f>
        <v>0</v>
      </c>
      <c r="F162">
        <f>VLOOKUP($D162,'[2]LC Balanced'!$Q$2:$U$542,3,FALSE)</f>
        <v>0.14899999999999999</v>
      </c>
      <c r="G162">
        <f>VLOOKUP($D162,'[2]LC Balanced'!$Q$2:$U$542,4,FALSE)</f>
        <v>0.85099999999999998</v>
      </c>
      <c r="H162">
        <f>VLOOKUP($D162,'[2]LC Balanced'!$Q$2:$U$542,5,FALSE)</f>
        <v>0</v>
      </c>
      <c r="I162" s="77">
        <f t="shared" si="356"/>
        <v>1</v>
      </c>
      <c r="J162" s="77">
        <f t="shared" si="357"/>
        <v>6.1987699999999986E-2</v>
      </c>
      <c r="K162" s="77">
        <f t="shared" si="347"/>
        <v>5.024442123284345E-3</v>
      </c>
      <c r="L162" s="76">
        <v>0</v>
      </c>
      <c r="M162" s="77">
        <f t="shared" si="363"/>
        <v>0</v>
      </c>
      <c r="N162" s="77">
        <f t="shared" si="364"/>
        <v>0</v>
      </c>
      <c r="O162" s="77">
        <f t="shared" si="365"/>
        <v>7.0062999999999992E-3</v>
      </c>
      <c r="P162" s="77">
        <f t="shared" si="366"/>
        <v>5.85741666996209E-4</v>
      </c>
      <c r="R162" t="s">
        <v>177</v>
      </c>
      <c r="S162" t="s">
        <v>176</v>
      </c>
      <c r="T162" s="197" t="str">
        <f t="shared" si="296"/>
        <v>Autopilot_Balanced_383</v>
      </c>
      <c r="U162">
        <v>383</v>
      </c>
      <c r="V162">
        <f>VLOOKUP($U162,'[2]AP Balanced'!$Q$1:$T$542,2,FALSE)</f>
        <v>0.77777777777777779</v>
      </c>
      <c r="W162">
        <f>VLOOKUP($U162,'[2]AP Balanced'!$Q$1:$T$542,3,FALSE)</f>
        <v>0.22222222222222221</v>
      </c>
      <c r="X162">
        <f>VLOOKUP($U162,'[2]AP Balanced'!$Q$1:$T$542,4,FALSE)</f>
        <v>0</v>
      </c>
      <c r="Y162" s="77">
        <f t="shared" si="413"/>
        <v>1</v>
      </c>
      <c r="Z162" s="77">
        <f t="shared" si="402"/>
        <v>6.1674999999999987E-2</v>
      </c>
      <c r="AA162" s="77">
        <f t="shared" si="403"/>
        <v>4.9997781870025904E-3</v>
      </c>
      <c r="AB162" s="79">
        <v>1</v>
      </c>
      <c r="AC162" s="77">
        <f t="shared" si="367"/>
        <v>8.0555555555555554E-3</v>
      </c>
      <c r="AD162" s="77">
        <f t="shared" si="358"/>
        <v>6.7378764057135498E-4</v>
      </c>
      <c r="AE162" s="77">
        <f t="shared" si="368"/>
        <v>2.5000000000000001E-3</v>
      </c>
      <c r="AF162" s="77">
        <f t="shared" si="358"/>
        <v>2.0857243058891584E-4</v>
      </c>
      <c r="AH162" t="s">
        <v>175</v>
      </c>
      <c r="AI162" t="s">
        <v>176</v>
      </c>
      <c r="AJ162" s="197" t="str">
        <f t="shared" si="414"/>
        <v>Lifecycle_Balanced_383</v>
      </c>
      <c r="AK162">
        <v>383</v>
      </c>
      <c r="AL162">
        <f>VLOOKUP($U162,[2]Standard_Balanced!$Q$1:$T$542,2,FALSE)</f>
        <v>0.77777777777777779</v>
      </c>
      <c r="AM162">
        <f>VLOOKUP($U162,[2]Standard_Balanced!$Q$1:$T$542,3,FALSE)</f>
        <v>0.22222222222222221</v>
      </c>
      <c r="AN162">
        <f>VLOOKUP($U162,[2]Standard_Balanced!$Q$1:$T$542,4,FALSE)</f>
        <v>0</v>
      </c>
      <c r="AO162" s="77">
        <f t="shared" si="344"/>
        <v>1</v>
      </c>
      <c r="AP162" s="77">
        <f t="shared" si="369"/>
        <v>6.1674999999999987E-2</v>
      </c>
      <c r="AQ162" s="77">
        <f t="shared" si="415"/>
        <v>4.9997781870025904E-3</v>
      </c>
      <c r="AR162" s="79">
        <v>0</v>
      </c>
      <c r="AS162" s="77">
        <f t="shared" si="370"/>
        <v>0</v>
      </c>
      <c r="AT162" s="77">
        <f t="shared" ref="AT162" si="439">1-(1-AS162)^(1/12)</f>
        <v>0</v>
      </c>
      <c r="AU162" s="77">
        <f t="shared" si="372"/>
        <v>2.5000000000000001E-3</v>
      </c>
      <c r="AV162" s="77">
        <f t="shared" ref="AV162" si="440">1-(1-AU162)^(1/12)</f>
        <v>2.0857243058891584E-4</v>
      </c>
      <c r="AX162" t="s">
        <v>178</v>
      </c>
      <c r="AY162" t="s">
        <v>160</v>
      </c>
      <c r="AZ162" s="197" t="str">
        <f t="shared" si="418"/>
        <v>DIS_Non-Standard_383</v>
      </c>
      <c r="BA162">
        <v>383</v>
      </c>
      <c r="BB162">
        <f>VLOOKUP($BA162,'[2]NonStandard DIS'!$Q$1:$X$542,2,FALSE)</f>
        <v>0</v>
      </c>
      <c r="BC162">
        <f>VLOOKUP($BA162,'[2]NonStandard DIS'!$Q$1:$X$542,3,FALSE)</f>
        <v>0</v>
      </c>
      <c r="BD162">
        <f>VLOOKUP($BA162,'[2]NonStandard DIS'!$Q$1:$X$542,4,FALSE)</f>
        <v>0.308</v>
      </c>
      <c r="BE162">
        <f>VLOOKUP($BA162,'[2]NonStandard DIS'!$Q$1:$X$542,5,FALSE)</f>
        <v>0.69199999999999995</v>
      </c>
      <c r="BF162">
        <f>VLOOKUP($BA162,'[2]NonStandard DIS'!$Q$1:$X$542,6,FALSE)</f>
        <v>0</v>
      </c>
      <c r="BG162">
        <f>VLOOKUP($BA162,'[2]NonStandard DIS'!$Q$1:$X$542,7,FALSE)</f>
        <v>0</v>
      </c>
      <c r="BH162">
        <f>VLOOKUP($BA162,'[2]NonStandard DIS'!$Q$1:$X$542,8,FALSE)</f>
        <v>0</v>
      </c>
      <c r="BI162" s="77">
        <f t="shared" si="361"/>
        <v>1</v>
      </c>
      <c r="BJ162" s="77">
        <f t="shared" si="362"/>
        <v>6.9728499999999985E-2</v>
      </c>
      <c r="BK162" s="77">
        <f t="shared" si="343"/>
        <v>5.632878498097682E-3</v>
      </c>
      <c r="BL162" s="79">
        <v>0</v>
      </c>
      <c r="BM162" s="77">
        <f t="shared" si="374"/>
        <v>0</v>
      </c>
      <c r="BN162" s="77">
        <f t="shared" si="375"/>
        <v>0</v>
      </c>
      <c r="BO162" s="77">
        <f t="shared" si="376"/>
        <v>5.6775999999999997E-3</v>
      </c>
      <c r="BP162" s="77">
        <f t="shared" si="377"/>
        <v>4.7190657760731725E-4</v>
      </c>
    </row>
    <row r="163" spans="1:68">
      <c r="A163" t="s">
        <v>175</v>
      </c>
      <c r="B163" t="s">
        <v>176</v>
      </c>
      <c r="C163" s="197" t="str">
        <f t="shared" si="412"/>
        <v>Lifecycle_Balanced_382</v>
      </c>
      <c r="D163">
        <v>382</v>
      </c>
      <c r="E163">
        <f>VLOOKUP($D163,'[2]LC Balanced'!$Q$2:$U$542,2,FALSE)</f>
        <v>0</v>
      </c>
      <c r="F163">
        <f>VLOOKUP($D163,'[2]LC Balanced'!$Q$2:$U$542,3,FALSE)</f>
        <v>0.14899999999999999</v>
      </c>
      <c r="G163">
        <f>VLOOKUP($D163,'[2]LC Balanced'!$Q$2:$U$542,4,FALSE)</f>
        <v>0.85099999999999998</v>
      </c>
      <c r="H163">
        <f>VLOOKUP($D163,'[2]LC Balanced'!$Q$2:$U$542,5,FALSE)</f>
        <v>0</v>
      </c>
      <c r="I163" s="77">
        <f t="shared" si="356"/>
        <v>1</v>
      </c>
      <c r="J163" s="77">
        <f t="shared" si="357"/>
        <v>6.1987699999999986E-2</v>
      </c>
      <c r="K163" s="77">
        <f t="shared" si="347"/>
        <v>5.024442123284345E-3</v>
      </c>
      <c r="L163" s="76">
        <v>0</v>
      </c>
      <c r="M163" s="77">
        <f t="shared" si="363"/>
        <v>0</v>
      </c>
      <c r="N163" s="77">
        <f t="shared" si="364"/>
        <v>0</v>
      </c>
      <c r="O163" s="77">
        <f t="shared" si="365"/>
        <v>7.0062999999999992E-3</v>
      </c>
      <c r="P163" s="77">
        <f t="shared" si="366"/>
        <v>5.85741666996209E-4</v>
      </c>
      <c r="R163" t="s">
        <v>177</v>
      </c>
      <c r="S163" t="s">
        <v>176</v>
      </c>
      <c r="T163" s="197" t="str">
        <f t="shared" si="296"/>
        <v>Autopilot_Balanced_382</v>
      </c>
      <c r="U163">
        <v>382</v>
      </c>
      <c r="V163">
        <f>VLOOKUP($U163,'[2]AP Balanced'!$Q$1:$T$542,2,FALSE)</f>
        <v>0.77777777777777779</v>
      </c>
      <c r="W163">
        <f>VLOOKUP($U163,'[2]AP Balanced'!$Q$1:$T$542,3,FALSE)</f>
        <v>0.22222222222222221</v>
      </c>
      <c r="X163">
        <f>VLOOKUP($U163,'[2]AP Balanced'!$Q$1:$T$542,4,FALSE)</f>
        <v>0</v>
      </c>
      <c r="Y163" s="77">
        <f t="shared" si="413"/>
        <v>1</v>
      </c>
      <c r="Z163" s="77">
        <f t="shared" si="402"/>
        <v>6.1674999999999987E-2</v>
      </c>
      <c r="AA163" s="77">
        <f t="shared" si="403"/>
        <v>4.9997781870025904E-3</v>
      </c>
      <c r="AB163" s="79">
        <v>1</v>
      </c>
      <c r="AC163" s="77">
        <f t="shared" si="367"/>
        <v>8.0555555555555554E-3</v>
      </c>
      <c r="AD163" s="77">
        <f t="shared" si="358"/>
        <v>6.7378764057135498E-4</v>
      </c>
      <c r="AE163" s="77">
        <f t="shared" si="368"/>
        <v>2.5000000000000001E-3</v>
      </c>
      <c r="AF163" s="77">
        <f t="shared" si="358"/>
        <v>2.0857243058891584E-4</v>
      </c>
      <c r="AH163" t="s">
        <v>175</v>
      </c>
      <c r="AI163" t="s">
        <v>176</v>
      </c>
      <c r="AJ163" s="197" t="str">
        <f t="shared" si="414"/>
        <v>Lifecycle_Balanced_382</v>
      </c>
      <c r="AK163">
        <v>382</v>
      </c>
      <c r="AL163">
        <f>VLOOKUP($U163,[2]Standard_Balanced!$Q$1:$T$542,2,FALSE)</f>
        <v>0.77777777777777779</v>
      </c>
      <c r="AM163">
        <f>VLOOKUP($U163,[2]Standard_Balanced!$Q$1:$T$542,3,FALSE)</f>
        <v>0.22222222222222221</v>
      </c>
      <c r="AN163">
        <f>VLOOKUP($U163,[2]Standard_Balanced!$Q$1:$T$542,4,FALSE)</f>
        <v>0</v>
      </c>
      <c r="AO163" s="77">
        <f t="shared" si="344"/>
        <v>1</v>
      </c>
      <c r="AP163" s="77">
        <f t="shared" si="369"/>
        <v>6.1674999999999987E-2</v>
      </c>
      <c r="AQ163" s="77">
        <f t="shared" si="415"/>
        <v>4.9997781870025904E-3</v>
      </c>
      <c r="AR163" s="79">
        <v>0</v>
      </c>
      <c r="AS163" s="77">
        <f t="shared" si="370"/>
        <v>0</v>
      </c>
      <c r="AT163" s="77">
        <f t="shared" ref="AT163" si="441">1-(1-AS163)^(1/12)</f>
        <v>0</v>
      </c>
      <c r="AU163" s="77">
        <f t="shared" si="372"/>
        <v>2.5000000000000001E-3</v>
      </c>
      <c r="AV163" s="77">
        <f t="shared" ref="AV163" si="442">1-(1-AU163)^(1/12)</f>
        <v>2.0857243058891584E-4</v>
      </c>
      <c r="AX163" t="s">
        <v>178</v>
      </c>
      <c r="AY163" t="s">
        <v>160</v>
      </c>
      <c r="AZ163" s="197" t="str">
        <f t="shared" si="418"/>
        <v>DIS_Non-Standard_382</v>
      </c>
      <c r="BA163">
        <v>382</v>
      </c>
      <c r="BB163">
        <f>VLOOKUP($BA163,'[2]NonStandard DIS'!$Q$1:$X$542,2,FALSE)</f>
        <v>0</v>
      </c>
      <c r="BC163">
        <f>VLOOKUP($BA163,'[2]NonStandard DIS'!$Q$1:$X$542,3,FALSE)</f>
        <v>0</v>
      </c>
      <c r="BD163">
        <f>VLOOKUP($BA163,'[2]NonStandard DIS'!$Q$1:$X$542,4,FALSE)</f>
        <v>0.308</v>
      </c>
      <c r="BE163">
        <f>VLOOKUP($BA163,'[2]NonStandard DIS'!$Q$1:$X$542,5,FALSE)</f>
        <v>0.69199999999999995</v>
      </c>
      <c r="BF163">
        <f>VLOOKUP($BA163,'[2]NonStandard DIS'!$Q$1:$X$542,6,FALSE)</f>
        <v>0</v>
      </c>
      <c r="BG163">
        <f>VLOOKUP($BA163,'[2]NonStandard DIS'!$Q$1:$X$542,7,FALSE)</f>
        <v>0</v>
      </c>
      <c r="BH163">
        <f>VLOOKUP($BA163,'[2]NonStandard DIS'!$Q$1:$X$542,8,FALSE)</f>
        <v>0</v>
      </c>
      <c r="BI163" s="77">
        <f t="shared" si="361"/>
        <v>1</v>
      </c>
      <c r="BJ163" s="77">
        <f t="shared" si="362"/>
        <v>6.9728499999999985E-2</v>
      </c>
      <c r="BK163" s="77">
        <f t="shared" si="343"/>
        <v>5.632878498097682E-3</v>
      </c>
      <c r="BL163" s="79">
        <v>0</v>
      </c>
      <c r="BM163" s="77">
        <f t="shared" si="374"/>
        <v>0</v>
      </c>
      <c r="BN163" s="77">
        <f t="shared" si="375"/>
        <v>0</v>
      </c>
      <c r="BO163" s="77">
        <f t="shared" si="376"/>
        <v>5.6775999999999997E-3</v>
      </c>
      <c r="BP163" s="77">
        <f t="shared" si="377"/>
        <v>4.7190657760731725E-4</v>
      </c>
    </row>
    <row r="164" spans="1:68">
      <c r="A164" t="s">
        <v>175</v>
      </c>
      <c r="B164" t="s">
        <v>176</v>
      </c>
      <c r="C164" s="197" t="str">
        <f t="shared" si="412"/>
        <v>Lifecycle_Balanced_381</v>
      </c>
      <c r="D164">
        <v>381</v>
      </c>
      <c r="E164">
        <f>VLOOKUP($D164,'[2]LC Balanced'!$Q$2:$U$542,2,FALSE)</f>
        <v>0</v>
      </c>
      <c r="F164">
        <f>VLOOKUP($D164,'[2]LC Balanced'!$Q$2:$U$542,3,FALSE)</f>
        <v>0.14899999999999999</v>
      </c>
      <c r="G164">
        <f>VLOOKUP($D164,'[2]LC Balanced'!$Q$2:$U$542,4,FALSE)</f>
        <v>0.85099999999999998</v>
      </c>
      <c r="H164">
        <f>VLOOKUP($D164,'[2]LC Balanced'!$Q$2:$U$542,5,FALSE)</f>
        <v>0</v>
      </c>
      <c r="I164" s="77">
        <f t="shared" si="356"/>
        <v>1</v>
      </c>
      <c r="J164" s="77">
        <f t="shared" si="357"/>
        <v>6.1987699999999986E-2</v>
      </c>
      <c r="K164" s="77">
        <f t="shared" si="347"/>
        <v>5.024442123284345E-3</v>
      </c>
      <c r="L164" s="76">
        <v>0</v>
      </c>
      <c r="M164" s="77">
        <f t="shared" si="363"/>
        <v>0</v>
      </c>
      <c r="N164" s="77">
        <f t="shared" si="364"/>
        <v>0</v>
      </c>
      <c r="O164" s="77">
        <f t="shared" si="365"/>
        <v>7.0062999999999992E-3</v>
      </c>
      <c r="P164" s="77">
        <f t="shared" si="366"/>
        <v>5.85741666996209E-4</v>
      </c>
      <c r="R164" t="s">
        <v>177</v>
      </c>
      <c r="S164" t="s">
        <v>176</v>
      </c>
      <c r="T164" s="197" t="str">
        <f t="shared" si="296"/>
        <v>Autopilot_Balanced_381</v>
      </c>
      <c r="U164">
        <v>381</v>
      </c>
      <c r="V164">
        <f>VLOOKUP($U164,'[2]AP Balanced'!$Q$1:$T$542,2,FALSE)</f>
        <v>0.77777777777777779</v>
      </c>
      <c r="W164">
        <f>VLOOKUP($U164,'[2]AP Balanced'!$Q$1:$T$542,3,FALSE)</f>
        <v>0.22222222222222221</v>
      </c>
      <c r="X164">
        <f>VLOOKUP($U164,'[2]AP Balanced'!$Q$1:$T$542,4,FALSE)</f>
        <v>0</v>
      </c>
      <c r="Y164" s="77">
        <f t="shared" si="413"/>
        <v>1</v>
      </c>
      <c r="Z164" s="77">
        <f t="shared" si="402"/>
        <v>6.1674999999999987E-2</v>
      </c>
      <c r="AA164" s="77">
        <f t="shared" si="403"/>
        <v>4.9997781870025904E-3</v>
      </c>
      <c r="AB164" s="79">
        <v>1</v>
      </c>
      <c r="AC164" s="77">
        <f t="shared" si="367"/>
        <v>8.0555555555555554E-3</v>
      </c>
      <c r="AD164" s="77">
        <f t="shared" si="358"/>
        <v>6.7378764057135498E-4</v>
      </c>
      <c r="AE164" s="77">
        <f t="shared" si="368"/>
        <v>2.5000000000000001E-3</v>
      </c>
      <c r="AF164" s="77">
        <f t="shared" si="358"/>
        <v>2.0857243058891584E-4</v>
      </c>
      <c r="AH164" t="s">
        <v>175</v>
      </c>
      <c r="AI164" t="s">
        <v>176</v>
      </c>
      <c r="AJ164" s="197" t="str">
        <f t="shared" si="414"/>
        <v>Lifecycle_Balanced_381</v>
      </c>
      <c r="AK164">
        <v>381</v>
      </c>
      <c r="AL164">
        <f>VLOOKUP($U164,[2]Standard_Balanced!$Q$1:$T$542,2,FALSE)</f>
        <v>0.77777777777777779</v>
      </c>
      <c r="AM164">
        <f>VLOOKUP($U164,[2]Standard_Balanced!$Q$1:$T$542,3,FALSE)</f>
        <v>0.22222222222222221</v>
      </c>
      <c r="AN164">
        <f>VLOOKUP($U164,[2]Standard_Balanced!$Q$1:$T$542,4,FALSE)</f>
        <v>0</v>
      </c>
      <c r="AO164" s="77">
        <f t="shared" si="344"/>
        <v>1</v>
      </c>
      <c r="AP164" s="77">
        <f t="shared" si="369"/>
        <v>6.1674999999999987E-2</v>
      </c>
      <c r="AQ164" s="77">
        <f t="shared" si="415"/>
        <v>4.9997781870025904E-3</v>
      </c>
      <c r="AR164" s="79">
        <v>0</v>
      </c>
      <c r="AS164" s="77">
        <f t="shared" si="370"/>
        <v>0</v>
      </c>
      <c r="AT164" s="77">
        <f t="shared" ref="AT164" si="443">1-(1-AS164)^(1/12)</f>
        <v>0</v>
      </c>
      <c r="AU164" s="77">
        <f t="shared" si="372"/>
        <v>2.5000000000000001E-3</v>
      </c>
      <c r="AV164" s="77">
        <f t="shared" ref="AV164" si="444">1-(1-AU164)^(1/12)</f>
        <v>2.0857243058891584E-4</v>
      </c>
      <c r="AX164" t="s">
        <v>178</v>
      </c>
      <c r="AY164" t="s">
        <v>160</v>
      </c>
      <c r="AZ164" s="197" t="str">
        <f t="shared" si="418"/>
        <v>DIS_Non-Standard_381</v>
      </c>
      <c r="BA164">
        <v>381</v>
      </c>
      <c r="BB164">
        <f>VLOOKUP($BA164,'[2]NonStandard DIS'!$Q$1:$X$542,2,FALSE)</f>
        <v>0</v>
      </c>
      <c r="BC164">
        <f>VLOOKUP($BA164,'[2]NonStandard DIS'!$Q$1:$X$542,3,FALSE)</f>
        <v>0</v>
      </c>
      <c r="BD164">
        <f>VLOOKUP($BA164,'[2]NonStandard DIS'!$Q$1:$X$542,4,FALSE)</f>
        <v>0.308</v>
      </c>
      <c r="BE164">
        <f>VLOOKUP($BA164,'[2]NonStandard DIS'!$Q$1:$X$542,5,FALSE)</f>
        <v>0.69199999999999995</v>
      </c>
      <c r="BF164">
        <f>VLOOKUP($BA164,'[2]NonStandard DIS'!$Q$1:$X$542,6,FALSE)</f>
        <v>0</v>
      </c>
      <c r="BG164">
        <f>VLOOKUP($BA164,'[2]NonStandard DIS'!$Q$1:$X$542,7,FALSE)</f>
        <v>0</v>
      </c>
      <c r="BH164">
        <f>VLOOKUP($BA164,'[2]NonStandard DIS'!$Q$1:$X$542,8,FALSE)</f>
        <v>0</v>
      </c>
      <c r="BI164" s="77">
        <f t="shared" si="361"/>
        <v>1</v>
      </c>
      <c r="BJ164" s="77">
        <f t="shared" si="362"/>
        <v>6.9728499999999985E-2</v>
      </c>
      <c r="BK164" s="77">
        <f t="shared" si="343"/>
        <v>5.632878498097682E-3</v>
      </c>
      <c r="BL164" s="79">
        <v>0</v>
      </c>
      <c r="BM164" s="77">
        <f t="shared" si="374"/>
        <v>0</v>
      </c>
      <c r="BN164" s="77">
        <f t="shared" si="375"/>
        <v>0</v>
      </c>
      <c r="BO164" s="77">
        <f t="shared" si="376"/>
        <v>5.6775999999999997E-3</v>
      </c>
      <c r="BP164" s="77">
        <f t="shared" si="377"/>
        <v>4.7190657760731725E-4</v>
      </c>
    </row>
    <row r="165" spans="1:68">
      <c r="A165" t="s">
        <v>175</v>
      </c>
      <c r="B165" t="s">
        <v>176</v>
      </c>
      <c r="C165" s="197" t="str">
        <f t="shared" si="412"/>
        <v>Lifecycle_Balanced_380</v>
      </c>
      <c r="D165">
        <v>380</v>
      </c>
      <c r="E165">
        <f>VLOOKUP($D165,'[2]LC Balanced'!$Q$2:$U$542,2,FALSE)</f>
        <v>0</v>
      </c>
      <c r="F165">
        <f>VLOOKUP($D165,'[2]LC Balanced'!$Q$2:$U$542,3,FALSE)</f>
        <v>0.14899999999999999</v>
      </c>
      <c r="G165">
        <f>VLOOKUP($D165,'[2]LC Balanced'!$Q$2:$U$542,4,FALSE)</f>
        <v>0.85099999999999998</v>
      </c>
      <c r="H165">
        <f>VLOOKUP($D165,'[2]LC Balanced'!$Q$2:$U$542,5,FALSE)</f>
        <v>0</v>
      </c>
      <c r="I165" s="77">
        <f t="shared" si="356"/>
        <v>1</v>
      </c>
      <c r="J165" s="77">
        <f t="shared" si="357"/>
        <v>6.1987699999999986E-2</v>
      </c>
      <c r="K165" s="77">
        <f t="shared" si="347"/>
        <v>5.024442123284345E-3</v>
      </c>
      <c r="L165" s="76">
        <v>0</v>
      </c>
      <c r="M165" s="77">
        <f t="shared" si="363"/>
        <v>0</v>
      </c>
      <c r="N165" s="77">
        <f t="shared" si="364"/>
        <v>0</v>
      </c>
      <c r="O165" s="77">
        <f t="shared" si="365"/>
        <v>7.0062999999999992E-3</v>
      </c>
      <c r="P165" s="77">
        <f t="shared" si="366"/>
        <v>5.85741666996209E-4</v>
      </c>
      <c r="R165" t="s">
        <v>177</v>
      </c>
      <c r="S165" t="s">
        <v>176</v>
      </c>
      <c r="T165" s="197" t="str">
        <f t="shared" si="296"/>
        <v>Autopilot_Balanced_380</v>
      </c>
      <c r="U165">
        <v>380</v>
      </c>
      <c r="V165">
        <f>VLOOKUP($U165,'[2]AP Balanced'!$Q$1:$T$542,2,FALSE)</f>
        <v>0.77777777777777779</v>
      </c>
      <c r="W165">
        <f>VLOOKUP($U165,'[2]AP Balanced'!$Q$1:$T$542,3,FALSE)</f>
        <v>0.22222222222222221</v>
      </c>
      <c r="X165">
        <f>VLOOKUP($U165,'[2]AP Balanced'!$Q$1:$T$542,4,FALSE)</f>
        <v>0</v>
      </c>
      <c r="Y165" s="77">
        <f t="shared" si="413"/>
        <v>1</v>
      </c>
      <c r="Z165" s="77">
        <f t="shared" si="402"/>
        <v>6.1674999999999987E-2</v>
      </c>
      <c r="AA165" s="77">
        <f t="shared" si="403"/>
        <v>4.9997781870025904E-3</v>
      </c>
      <c r="AB165" s="79">
        <v>1</v>
      </c>
      <c r="AC165" s="77">
        <f t="shared" si="367"/>
        <v>8.0555555555555554E-3</v>
      </c>
      <c r="AD165" s="77">
        <f t="shared" si="358"/>
        <v>6.7378764057135498E-4</v>
      </c>
      <c r="AE165" s="77">
        <f t="shared" si="368"/>
        <v>2.5000000000000001E-3</v>
      </c>
      <c r="AF165" s="77">
        <f t="shared" si="358"/>
        <v>2.0857243058891584E-4</v>
      </c>
      <c r="AH165" t="s">
        <v>175</v>
      </c>
      <c r="AI165" t="s">
        <v>176</v>
      </c>
      <c r="AJ165" s="197" t="str">
        <f t="shared" si="414"/>
        <v>Lifecycle_Balanced_380</v>
      </c>
      <c r="AK165">
        <v>380</v>
      </c>
      <c r="AL165">
        <f>VLOOKUP($U165,[2]Standard_Balanced!$Q$1:$T$542,2,FALSE)</f>
        <v>0.77777777777777779</v>
      </c>
      <c r="AM165">
        <f>VLOOKUP($U165,[2]Standard_Balanced!$Q$1:$T$542,3,FALSE)</f>
        <v>0.22222222222222221</v>
      </c>
      <c r="AN165">
        <f>VLOOKUP($U165,[2]Standard_Balanced!$Q$1:$T$542,4,FALSE)</f>
        <v>0</v>
      </c>
      <c r="AO165" s="77">
        <f t="shared" si="344"/>
        <v>1</v>
      </c>
      <c r="AP165" s="77">
        <f t="shared" si="369"/>
        <v>6.1674999999999987E-2</v>
      </c>
      <c r="AQ165" s="77">
        <f t="shared" si="415"/>
        <v>4.9997781870025904E-3</v>
      </c>
      <c r="AR165" s="79">
        <v>0</v>
      </c>
      <c r="AS165" s="77">
        <f t="shared" si="370"/>
        <v>0</v>
      </c>
      <c r="AT165" s="77">
        <f t="shared" ref="AT165" si="445">1-(1-AS165)^(1/12)</f>
        <v>0</v>
      </c>
      <c r="AU165" s="77">
        <f t="shared" si="372"/>
        <v>2.5000000000000001E-3</v>
      </c>
      <c r="AV165" s="77">
        <f t="shared" ref="AV165" si="446">1-(1-AU165)^(1/12)</f>
        <v>2.0857243058891584E-4</v>
      </c>
      <c r="AX165" t="s">
        <v>178</v>
      </c>
      <c r="AY165" t="s">
        <v>160</v>
      </c>
      <c r="AZ165" s="197" t="str">
        <f t="shared" si="418"/>
        <v>DIS_Non-Standard_380</v>
      </c>
      <c r="BA165">
        <v>380</v>
      </c>
      <c r="BB165">
        <f>VLOOKUP($BA165,'[2]NonStandard DIS'!$Q$1:$X$542,2,FALSE)</f>
        <v>0</v>
      </c>
      <c r="BC165">
        <f>VLOOKUP($BA165,'[2]NonStandard DIS'!$Q$1:$X$542,3,FALSE)</f>
        <v>0</v>
      </c>
      <c r="BD165">
        <f>VLOOKUP($BA165,'[2]NonStandard DIS'!$Q$1:$X$542,4,FALSE)</f>
        <v>0.308</v>
      </c>
      <c r="BE165">
        <f>VLOOKUP($BA165,'[2]NonStandard DIS'!$Q$1:$X$542,5,FALSE)</f>
        <v>0.69199999999999995</v>
      </c>
      <c r="BF165">
        <f>VLOOKUP($BA165,'[2]NonStandard DIS'!$Q$1:$X$542,6,FALSE)</f>
        <v>0</v>
      </c>
      <c r="BG165">
        <f>VLOOKUP($BA165,'[2]NonStandard DIS'!$Q$1:$X$542,7,FALSE)</f>
        <v>0</v>
      </c>
      <c r="BH165">
        <f>VLOOKUP($BA165,'[2]NonStandard DIS'!$Q$1:$X$542,8,FALSE)</f>
        <v>0</v>
      </c>
      <c r="BI165" s="77">
        <f t="shared" si="361"/>
        <v>1</v>
      </c>
      <c r="BJ165" s="77">
        <f t="shared" si="362"/>
        <v>6.9728499999999985E-2</v>
      </c>
      <c r="BK165" s="77">
        <f t="shared" si="343"/>
        <v>5.632878498097682E-3</v>
      </c>
      <c r="BL165" s="79">
        <v>0</v>
      </c>
      <c r="BM165" s="77">
        <f t="shared" si="374"/>
        <v>0</v>
      </c>
      <c r="BN165" s="77">
        <f t="shared" si="375"/>
        <v>0</v>
      </c>
      <c r="BO165" s="77">
        <f t="shared" si="376"/>
        <v>5.6775999999999997E-3</v>
      </c>
      <c r="BP165" s="77">
        <f t="shared" si="377"/>
        <v>4.7190657760731725E-4</v>
      </c>
    </row>
    <row r="166" spans="1:68">
      <c r="A166" t="s">
        <v>175</v>
      </c>
      <c r="B166" t="s">
        <v>176</v>
      </c>
      <c r="C166" s="197" t="str">
        <f t="shared" si="412"/>
        <v>Lifecycle_Balanced_379</v>
      </c>
      <c r="D166">
        <v>379</v>
      </c>
      <c r="E166">
        <f>VLOOKUP($D166,'[2]LC Balanced'!$Q$2:$U$542,2,FALSE)</f>
        <v>0</v>
      </c>
      <c r="F166">
        <f>VLOOKUP($D166,'[2]LC Balanced'!$Q$2:$U$542,3,FALSE)</f>
        <v>0.14899999999999999</v>
      </c>
      <c r="G166">
        <f>VLOOKUP($D166,'[2]LC Balanced'!$Q$2:$U$542,4,FALSE)</f>
        <v>0.85099999999999998</v>
      </c>
      <c r="H166">
        <f>VLOOKUP($D166,'[2]LC Balanced'!$Q$2:$U$542,5,FALSE)</f>
        <v>0</v>
      </c>
      <c r="I166" s="77">
        <f t="shared" si="356"/>
        <v>1</v>
      </c>
      <c r="J166" s="77">
        <f t="shared" si="357"/>
        <v>6.1987699999999986E-2</v>
      </c>
      <c r="K166" s="77">
        <f t="shared" si="347"/>
        <v>5.024442123284345E-3</v>
      </c>
      <c r="L166" s="76">
        <v>0</v>
      </c>
      <c r="M166" s="77">
        <f t="shared" si="363"/>
        <v>0</v>
      </c>
      <c r="N166" s="77">
        <f t="shared" si="364"/>
        <v>0</v>
      </c>
      <c r="O166" s="77">
        <f t="shared" si="365"/>
        <v>7.0062999999999992E-3</v>
      </c>
      <c r="P166" s="77">
        <f t="shared" si="366"/>
        <v>5.85741666996209E-4</v>
      </c>
      <c r="R166" t="s">
        <v>177</v>
      </c>
      <c r="S166" t="s">
        <v>176</v>
      </c>
      <c r="T166" s="197" t="str">
        <f t="shared" si="296"/>
        <v>Autopilot_Balanced_379</v>
      </c>
      <c r="U166">
        <v>379</v>
      </c>
      <c r="V166">
        <f>VLOOKUP($U166,'[2]AP Balanced'!$Q$1:$T$542,2,FALSE)</f>
        <v>0.77777777777777779</v>
      </c>
      <c r="W166">
        <f>VLOOKUP($U166,'[2]AP Balanced'!$Q$1:$T$542,3,FALSE)</f>
        <v>0.22222222222222221</v>
      </c>
      <c r="X166">
        <f>VLOOKUP($U166,'[2]AP Balanced'!$Q$1:$T$542,4,FALSE)</f>
        <v>0</v>
      </c>
      <c r="Y166" s="77">
        <f t="shared" si="413"/>
        <v>1</v>
      </c>
      <c r="Z166" s="77">
        <f t="shared" si="402"/>
        <v>6.1674999999999987E-2</v>
      </c>
      <c r="AA166" s="77">
        <f t="shared" si="403"/>
        <v>4.9997781870025904E-3</v>
      </c>
      <c r="AB166" s="79">
        <v>1</v>
      </c>
      <c r="AC166" s="77">
        <f t="shared" si="367"/>
        <v>8.0555555555555554E-3</v>
      </c>
      <c r="AD166" s="77">
        <f t="shared" si="358"/>
        <v>6.7378764057135498E-4</v>
      </c>
      <c r="AE166" s="77">
        <f t="shared" si="368"/>
        <v>2.5000000000000001E-3</v>
      </c>
      <c r="AF166" s="77">
        <f t="shared" si="358"/>
        <v>2.0857243058891584E-4</v>
      </c>
      <c r="AH166" t="s">
        <v>175</v>
      </c>
      <c r="AI166" t="s">
        <v>176</v>
      </c>
      <c r="AJ166" s="197" t="str">
        <f t="shared" si="414"/>
        <v>Lifecycle_Balanced_379</v>
      </c>
      <c r="AK166">
        <v>379</v>
      </c>
      <c r="AL166">
        <f>VLOOKUP($U166,[2]Standard_Balanced!$Q$1:$T$542,2,FALSE)</f>
        <v>0.77777777777777779</v>
      </c>
      <c r="AM166">
        <f>VLOOKUP($U166,[2]Standard_Balanced!$Q$1:$T$542,3,FALSE)</f>
        <v>0.22222222222222221</v>
      </c>
      <c r="AN166">
        <f>VLOOKUP($U166,[2]Standard_Balanced!$Q$1:$T$542,4,FALSE)</f>
        <v>0</v>
      </c>
      <c r="AO166" s="77">
        <f t="shared" si="344"/>
        <v>1</v>
      </c>
      <c r="AP166" s="77">
        <f t="shared" si="369"/>
        <v>6.1674999999999987E-2</v>
      </c>
      <c r="AQ166" s="77">
        <f t="shared" si="415"/>
        <v>4.9997781870025904E-3</v>
      </c>
      <c r="AR166" s="79">
        <v>0</v>
      </c>
      <c r="AS166" s="77">
        <f t="shared" si="370"/>
        <v>0</v>
      </c>
      <c r="AT166" s="77">
        <f t="shared" ref="AT166" si="447">1-(1-AS166)^(1/12)</f>
        <v>0</v>
      </c>
      <c r="AU166" s="77">
        <f t="shared" si="372"/>
        <v>2.5000000000000001E-3</v>
      </c>
      <c r="AV166" s="77">
        <f t="shared" ref="AV166" si="448">1-(1-AU166)^(1/12)</f>
        <v>2.0857243058891584E-4</v>
      </c>
      <c r="AX166" t="s">
        <v>178</v>
      </c>
      <c r="AY166" t="s">
        <v>160</v>
      </c>
      <c r="AZ166" s="197" t="str">
        <f t="shared" si="418"/>
        <v>DIS_Non-Standard_379</v>
      </c>
      <c r="BA166">
        <v>379</v>
      </c>
      <c r="BB166">
        <f>VLOOKUP($BA166,'[2]NonStandard DIS'!$Q$1:$X$542,2,FALSE)</f>
        <v>0</v>
      </c>
      <c r="BC166">
        <f>VLOOKUP($BA166,'[2]NonStandard DIS'!$Q$1:$X$542,3,FALSE)</f>
        <v>0</v>
      </c>
      <c r="BD166">
        <f>VLOOKUP($BA166,'[2]NonStandard DIS'!$Q$1:$X$542,4,FALSE)</f>
        <v>0.308</v>
      </c>
      <c r="BE166">
        <f>VLOOKUP($BA166,'[2]NonStandard DIS'!$Q$1:$X$542,5,FALSE)</f>
        <v>0.69199999999999995</v>
      </c>
      <c r="BF166">
        <f>VLOOKUP($BA166,'[2]NonStandard DIS'!$Q$1:$X$542,6,FALSE)</f>
        <v>0</v>
      </c>
      <c r="BG166">
        <f>VLOOKUP($BA166,'[2]NonStandard DIS'!$Q$1:$X$542,7,FALSE)</f>
        <v>0</v>
      </c>
      <c r="BH166">
        <f>VLOOKUP($BA166,'[2]NonStandard DIS'!$Q$1:$X$542,8,FALSE)</f>
        <v>0</v>
      </c>
      <c r="BI166" s="77">
        <f t="shared" si="361"/>
        <v>1</v>
      </c>
      <c r="BJ166" s="77">
        <f t="shared" si="362"/>
        <v>6.9728499999999985E-2</v>
      </c>
      <c r="BK166" s="77">
        <f t="shared" si="343"/>
        <v>5.632878498097682E-3</v>
      </c>
      <c r="BL166" s="79">
        <v>0</v>
      </c>
      <c r="BM166" s="77">
        <f t="shared" si="374"/>
        <v>0</v>
      </c>
      <c r="BN166" s="77">
        <f t="shared" si="375"/>
        <v>0</v>
      </c>
      <c r="BO166" s="77">
        <f t="shared" si="376"/>
        <v>5.6775999999999997E-3</v>
      </c>
      <c r="BP166" s="77">
        <f t="shared" si="377"/>
        <v>4.7190657760731725E-4</v>
      </c>
    </row>
    <row r="167" spans="1:68">
      <c r="A167" t="s">
        <v>175</v>
      </c>
      <c r="B167" t="s">
        <v>176</v>
      </c>
      <c r="C167" s="197" t="str">
        <f t="shared" si="412"/>
        <v>Lifecycle_Balanced_378</v>
      </c>
      <c r="D167">
        <v>378</v>
      </c>
      <c r="E167">
        <f>VLOOKUP($D167,'[2]LC Balanced'!$Q$2:$U$542,2,FALSE)</f>
        <v>0</v>
      </c>
      <c r="F167">
        <f>VLOOKUP($D167,'[2]LC Balanced'!$Q$2:$U$542,3,FALSE)</f>
        <v>0.14899999999999999</v>
      </c>
      <c r="G167">
        <f>VLOOKUP($D167,'[2]LC Balanced'!$Q$2:$U$542,4,FALSE)</f>
        <v>0.85099999999999998</v>
      </c>
      <c r="H167">
        <f>VLOOKUP($D167,'[2]LC Balanced'!$Q$2:$U$542,5,FALSE)</f>
        <v>0</v>
      </c>
      <c r="I167" s="77">
        <f t="shared" si="356"/>
        <v>1</v>
      </c>
      <c r="J167" s="77">
        <f t="shared" si="357"/>
        <v>6.1987699999999986E-2</v>
      </c>
      <c r="K167" s="77">
        <f t="shared" si="347"/>
        <v>5.024442123284345E-3</v>
      </c>
      <c r="L167" s="76">
        <v>0</v>
      </c>
      <c r="M167" s="77">
        <f t="shared" si="363"/>
        <v>0</v>
      </c>
      <c r="N167" s="77">
        <f t="shared" si="364"/>
        <v>0</v>
      </c>
      <c r="O167" s="77">
        <f t="shared" si="365"/>
        <v>7.0062999999999992E-3</v>
      </c>
      <c r="P167" s="77">
        <f t="shared" si="366"/>
        <v>5.85741666996209E-4</v>
      </c>
      <c r="R167" t="s">
        <v>177</v>
      </c>
      <c r="S167" t="s">
        <v>176</v>
      </c>
      <c r="T167" s="197" t="str">
        <f t="shared" si="296"/>
        <v>Autopilot_Balanced_378</v>
      </c>
      <c r="U167">
        <v>378</v>
      </c>
      <c r="V167">
        <f>VLOOKUP($U167,'[2]AP Balanced'!$Q$1:$T$542,2,FALSE)</f>
        <v>0.77777777777777779</v>
      </c>
      <c r="W167">
        <f>VLOOKUP($U167,'[2]AP Balanced'!$Q$1:$T$542,3,FALSE)</f>
        <v>0.22222222222222221</v>
      </c>
      <c r="X167">
        <f>VLOOKUP($U167,'[2]AP Balanced'!$Q$1:$T$542,4,FALSE)</f>
        <v>0</v>
      </c>
      <c r="Y167" s="77">
        <f t="shared" si="413"/>
        <v>1</v>
      </c>
      <c r="Z167" s="77">
        <f t="shared" si="402"/>
        <v>6.1674999999999987E-2</v>
      </c>
      <c r="AA167" s="77">
        <f t="shared" si="403"/>
        <v>4.9997781870025904E-3</v>
      </c>
      <c r="AB167" s="79">
        <v>1</v>
      </c>
      <c r="AC167" s="77">
        <f t="shared" si="367"/>
        <v>8.0555555555555554E-3</v>
      </c>
      <c r="AD167" s="77">
        <f t="shared" si="358"/>
        <v>6.7378764057135498E-4</v>
      </c>
      <c r="AE167" s="77">
        <f t="shared" si="368"/>
        <v>2.5000000000000001E-3</v>
      </c>
      <c r="AF167" s="77">
        <f t="shared" si="358"/>
        <v>2.0857243058891584E-4</v>
      </c>
      <c r="AH167" t="s">
        <v>175</v>
      </c>
      <c r="AI167" t="s">
        <v>176</v>
      </c>
      <c r="AJ167" s="197" t="str">
        <f t="shared" si="414"/>
        <v>Lifecycle_Balanced_378</v>
      </c>
      <c r="AK167">
        <v>378</v>
      </c>
      <c r="AL167">
        <f>VLOOKUP($U167,[2]Standard_Balanced!$Q$1:$T$542,2,FALSE)</f>
        <v>0.77777777777777779</v>
      </c>
      <c r="AM167">
        <f>VLOOKUP($U167,[2]Standard_Balanced!$Q$1:$T$542,3,FALSE)</f>
        <v>0.22222222222222221</v>
      </c>
      <c r="AN167">
        <f>VLOOKUP($U167,[2]Standard_Balanced!$Q$1:$T$542,4,FALSE)</f>
        <v>0</v>
      </c>
      <c r="AO167" s="77">
        <f t="shared" si="344"/>
        <v>1</v>
      </c>
      <c r="AP167" s="77">
        <f t="shared" si="369"/>
        <v>6.1674999999999987E-2</v>
      </c>
      <c r="AQ167" s="77">
        <f t="shared" si="415"/>
        <v>4.9997781870025904E-3</v>
      </c>
      <c r="AR167" s="79">
        <v>0</v>
      </c>
      <c r="AS167" s="77">
        <f t="shared" si="370"/>
        <v>0</v>
      </c>
      <c r="AT167" s="77">
        <f t="shared" ref="AT167" si="449">1-(1-AS167)^(1/12)</f>
        <v>0</v>
      </c>
      <c r="AU167" s="77">
        <f t="shared" si="372"/>
        <v>2.5000000000000001E-3</v>
      </c>
      <c r="AV167" s="77">
        <f t="shared" ref="AV167" si="450">1-(1-AU167)^(1/12)</f>
        <v>2.0857243058891584E-4</v>
      </c>
      <c r="AX167" t="s">
        <v>178</v>
      </c>
      <c r="AY167" t="s">
        <v>160</v>
      </c>
      <c r="AZ167" s="197" t="str">
        <f t="shared" si="418"/>
        <v>DIS_Non-Standard_378</v>
      </c>
      <c r="BA167">
        <v>378</v>
      </c>
      <c r="BB167">
        <f>VLOOKUP($BA167,'[2]NonStandard DIS'!$Q$1:$X$542,2,FALSE)</f>
        <v>0</v>
      </c>
      <c r="BC167">
        <f>VLOOKUP($BA167,'[2]NonStandard DIS'!$Q$1:$X$542,3,FALSE)</f>
        <v>0</v>
      </c>
      <c r="BD167">
        <f>VLOOKUP($BA167,'[2]NonStandard DIS'!$Q$1:$X$542,4,FALSE)</f>
        <v>0.308</v>
      </c>
      <c r="BE167">
        <f>VLOOKUP($BA167,'[2]NonStandard DIS'!$Q$1:$X$542,5,FALSE)</f>
        <v>0.69199999999999995</v>
      </c>
      <c r="BF167">
        <f>VLOOKUP($BA167,'[2]NonStandard DIS'!$Q$1:$X$542,6,FALSE)</f>
        <v>0</v>
      </c>
      <c r="BG167">
        <f>VLOOKUP($BA167,'[2]NonStandard DIS'!$Q$1:$X$542,7,FALSE)</f>
        <v>0</v>
      </c>
      <c r="BH167">
        <f>VLOOKUP($BA167,'[2]NonStandard DIS'!$Q$1:$X$542,8,FALSE)</f>
        <v>0</v>
      </c>
      <c r="BI167" s="77">
        <f t="shared" si="361"/>
        <v>1</v>
      </c>
      <c r="BJ167" s="77">
        <f t="shared" si="362"/>
        <v>6.9728499999999985E-2</v>
      </c>
      <c r="BK167" s="77">
        <f t="shared" si="343"/>
        <v>5.632878498097682E-3</v>
      </c>
      <c r="BL167" s="79">
        <v>0</v>
      </c>
      <c r="BM167" s="77">
        <f t="shared" si="374"/>
        <v>0</v>
      </c>
      <c r="BN167" s="77">
        <f t="shared" si="375"/>
        <v>0</v>
      </c>
      <c r="BO167" s="77">
        <f t="shared" si="376"/>
        <v>5.6775999999999997E-3</v>
      </c>
      <c r="BP167" s="77">
        <f t="shared" si="377"/>
        <v>4.7190657760731725E-4</v>
      </c>
    </row>
    <row r="168" spans="1:68">
      <c r="A168" t="s">
        <v>175</v>
      </c>
      <c r="B168" t="s">
        <v>176</v>
      </c>
      <c r="C168" s="197" t="str">
        <f t="shared" si="412"/>
        <v>Lifecycle_Balanced_377</v>
      </c>
      <c r="D168">
        <v>377</v>
      </c>
      <c r="E168">
        <f>VLOOKUP($D168,'[2]LC Balanced'!$Q$2:$U$542,2,FALSE)</f>
        <v>0</v>
      </c>
      <c r="F168">
        <f>VLOOKUP($D168,'[2]LC Balanced'!$Q$2:$U$542,3,FALSE)</f>
        <v>0.14899999999999999</v>
      </c>
      <c r="G168">
        <f>VLOOKUP($D168,'[2]LC Balanced'!$Q$2:$U$542,4,FALSE)</f>
        <v>0.85099999999999998</v>
      </c>
      <c r="H168">
        <f>VLOOKUP($D168,'[2]LC Balanced'!$Q$2:$U$542,5,FALSE)</f>
        <v>0</v>
      </c>
      <c r="I168" s="77">
        <f t="shared" si="356"/>
        <v>1</v>
      </c>
      <c r="J168" s="77">
        <f t="shared" si="357"/>
        <v>6.1987699999999986E-2</v>
      </c>
      <c r="K168" s="77">
        <f t="shared" si="347"/>
        <v>5.024442123284345E-3</v>
      </c>
      <c r="L168" s="76">
        <v>0</v>
      </c>
      <c r="M168" s="77">
        <f t="shared" si="363"/>
        <v>0</v>
      </c>
      <c r="N168" s="77">
        <f t="shared" si="364"/>
        <v>0</v>
      </c>
      <c r="O168" s="77">
        <f t="shared" si="365"/>
        <v>7.0062999999999992E-3</v>
      </c>
      <c r="P168" s="77">
        <f t="shared" si="366"/>
        <v>5.85741666996209E-4</v>
      </c>
      <c r="R168" t="s">
        <v>177</v>
      </c>
      <c r="S168" t="s">
        <v>176</v>
      </c>
      <c r="T168" s="197" t="str">
        <f t="shared" si="296"/>
        <v>Autopilot_Balanced_377</v>
      </c>
      <c r="U168">
        <v>377</v>
      </c>
      <c r="V168">
        <f>VLOOKUP($U168,'[2]AP Balanced'!$Q$1:$T$542,2,FALSE)</f>
        <v>0.77777777777777779</v>
      </c>
      <c r="W168">
        <f>VLOOKUP($U168,'[2]AP Balanced'!$Q$1:$T$542,3,FALSE)</f>
        <v>0.22222222222222221</v>
      </c>
      <c r="X168">
        <f>VLOOKUP($U168,'[2]AP Balanced'!$Q$1:$T$542,4,FALSE)</f>
        <v>0</v>
      </c>
      <c r="Y168" s="77">
        <f t="shared" si="413"/>
        <v>1</v>
      </c>
      <c r="Z168" s="77">
        <f t="shared" si="402"/>
        <v>6.1674999999999987E-2</v>
      </c>
      <c r="AA168" s="77">
        <f t="shared" si="403"/>
        <v>4.9997781870025904E-3</v>
      </c>
      <c r="AB168" s="79">
        <v>1</v>
      </c>
      <c r="AC168" s="77">
        <f t="shared" si="367"/>
        <v>8.0555555555555554E-3</v>
      </c>
      <c r="AD168" s="77">
        <f t="shared" si="358"/>
        <v>6.7378764057135498E-4</v>
      </c>
      <c r="AE168" s="77">
        <f t="shared" si="368"/>
        <v>2.5000000000000001E-3</v>
      </c>
      <c r="AF168" s="77">
        <f t="shared" si="358"/>
        <v>2.0857243058891584E-4</v>
      </c>
      <c r="AH168" t="s">
        <v>175</v>
      </c>
      <c r="AI168" t="s">
        <v>176</v>
      </c>
      <c r="AJ168" s="197" t="str">
        <f t="shared" si="414"/>
        <v>Lifecycle_Balanced_377</v>
      </c>
      <c r="AK168">
        <v>377</v>
      </c>
      <c r="AL168">
        <f>VLOOKUP($U168,[2]Standard_Balanced!$Q$1:$T$542,2,FALSE)</f>
        <v>0.77777777777777779</v>
      </c>
      <c r="AM168">
        <f>VLOOKUP($U168,[2]Standard_Balanced!$Q$1:$T$542,3,FALSE)</f>
        <v>0.22222222222222221</v>
      </c>
      <c r="AN168">
        <f>VLOOKUP($U168,[2]Standard_Balanced!$Q$1:$T$542,4,FALSE)</f>
        <v>0</v>
      </c>
      <c r="AO168" s="77">
        <f t="shared" si="344"/>
        <v>1</v>
      </c>
      <c r="AP168" s="77">
        <f t="shared" si="369"/>
        <v>6.1674999999999987E-2</v>
      </c>
      <c r="AQ168" s="77">
        <f t="shared" si="415"/>
        <v>4.9997781870025904E-3</v>
      </c>
      <c r="AR168" s="79">
        <v>0</v>
      </c>
      <c r="AS168" s="77">
        <f t="shared" si="370"/>
        <v>0</v>
      </c>
      <c r="AT168" s="77">
        <f t="shared" ref="AT168" si="451">1-(1-AS168)^(1/12)</f>
        <v>0</v>
      </c>
      <c r="AU168" s="77">
        <f t="shared" si="372"/>
        <v>2.5000000000000001E-3</v>
      </c>
      <c r="AV168" s="77">
        <f t="shared" ref="AV168" si="452">1-(1-AU168)^(1/12)</f>
        <v>2.0857243058891584E-4</v>
      </c>
      <c r="AX168" t="s">
        <v>178</v>
      </c>
      <c r="AY168" t="s">
        <v>160</v>
      </c>
      <c r="AZ168" s="197" t="str">
        <f t="shared" si="418"/>
        <v>DIS_Non-Standard_377</v>
      </c>
      <c r="BA168">
        <v>377</v>
      </c>
      <c r="BB168">
        <f>VLOOKUP($BA168,'[2]NonStandard DIS'!$Q$1:$X$542,2,FALSE)</f>
        <v>0</v>
      </c>
      <c r="BC168">
        <f>VLOOKUP($BA168,'[2]NonStandard DIS'!$Q$1:$X$542,3,FALSE)</f>
        <v>0</v>
      </c>
      <c r="BD168">
        <f>VLOOKUP($BA168,'[2]NonStandard DIS'!$Q$1:$X$542,4,FALSE)</f>
        <v>0.308</v>
      </c>
      <c r="BE168">
        <f>VLOOKUP($BA168,'[2]NonStandard DIS'!$Q$1:$X$542,5,FALSE)</f>
        <v>0.69199999999999995</v>
      </c>
      <c r="BF168">
        <f>VLOOKUP($BA168,'[2]NonStandard DIS'!$Q$1:$X$542,6,FALSE)</f>
        <v>0</v>
      </c>
      <c r="BG168">
        <f>VLOOKUP($BA168,'[2]NonStandard DIS'!$Q$1:$X$542,7,FALSE)</f>
        <v>0</v>
      </c>
      <c r="BH168">
        <f>VLOOKUP($BA168,'[2]NonStandard DIS'!$Q$1:$X$542,8,FALSE)</f>
        <v>0</v>
      </c>
      <c r="BI168" s="77">
        <f t="shared" si="361"/>
        <v>1</v>
      </c>
      <c r="BJ168" s="77">
        <f t="shared" si="362"/>
        <v>6.9728499999999985E-2</v>
      </c>
      <c r="BK168" s="77">
        <f t="shared" si="343"/>
        <v>5.632878498097682E-3</v>
      </c>
      <c r="BL168" s="79">
        <v>0</v>
      </c>
      <c r="BM168" s="77">
        <f t="shared" si="374"/>
        <v>0</v>
      </c>
      <c r="BN168" s="77">
        <f t="shared" si="375"/>
        <v>0</v>
      </c>
      <c r="BO168" s="77">
        <f t="shared" si="376"/>
        <v>5.6775999999999997E-3</v>
      </c>
      <c r="BP168" s="77">
        <f t="shared" si="377"/>
        <v>4.7190657760731725E-4</v>
      </c>
    </row>
    <row r="169" spans="1:68">
      <c r="A169" t="s">
        <v>175</v>
      </c>
      <c r="B169" t="s">
        <v>176</v>
      </c>
      <c r="C169" s="197" t="str">
        <f t="shared" si="412"/>
        <v>Lifecycle_Balanced_376</v>
      </c>
      <c r="D169">
        <v>376</v>
      </c>
      <c r="E169">
        <f>VLOOKUP($D169,'[2]LC Balanced'!$Q$2:$U$542,2,FALSE)</f>
        <v>0</v>
      </c>
      <c r="F169">
        <f>VLOOKUP($D169,'[2]LC Balanced'!$Q$2:$U$542,3,FALSE)</f>
        <v>0.14899999999999999</v>
      </c>
      <c r="G169">
        <f>VLOOKUP($D169,'[2]LC Balanced'!$Q$2:$U$542,4,FALSE)</f>
        <v>0.85099999999999998</v>
      </c>
      <c r="H169">
        <f>VLOOKUP($D169,'[2]LC Balanced'!$Q$2:$U$542,5,FALSE)</f>
        <v>0</v>
      </c>
      <c r="I169" s="77">
        <f t="shared" si="356"/>
        <v>1</v>
      </c>
      <c r="J169" s="77">
        <f t="shared" si="357"/>
        <v>6.1987699999999986E-2</v>
      </c>
      <c r="K169" s="77">
        <f t="shared" si="347"/>
        <v>5.024442123284345E-3</v>
      </c>
      <c r="L169" s="76">
        <v>0</v>
      </c>
      <c r="M169" s="77">
        <f t="shared" si="363"/>
        <v>0</v>
      </c>
      <c r="N169" s="77">
        <f t="shared" si="364"/>
        <v>0</v>
      </c>
      <c r="O169" s="77">
        <f t="shared" si="365"/>
        <v>7.0062999999999992E-3</v>
      </c>
      <c r="P169" s="77">
        <f t="shared" si="366"/>
        <v>5.85741666996209E-4</v>
      </c>
      <c r="R169" t="s">
        <v>177</v>
      </c>
      <c r="S169" t="s">
        <v>176</v>
      </c>
      <c r="T169" s="197" t="str">
        <f t="shared" si="296"/>
        <v>Autopilot_Balanced_376</v>
      </c>
      <c r="U169">
        <v>376</v>
      </c>
      <c r="V169">
        <f>VLOOKUP($U169,'[2]AP Balanced'!$Q$1:$T$542,2,FALSE)</f>
        <v>0.77777777777777779</v>
      </c>
      <c r="W169">
        <f>VLOOKUP($U169,'[2]AP Balanced'!$Q$1:$T$542,3,FALSE)</f>
        <v>0.22222222222222221</v>
      </c>
      <c r="X169">
        <f>VLOOKUP($U169,'[2]AP Balanced'!$Q$1:$T$542,4,FALSE)</f>
        <v>0</v>
      </c>
      <c r="Y169" s="77">
        <f t="shared" si="413"/>
        <v>1</v>
      </c>
      <c r="Z169" s="77">
        <f t="shared" si="402"/>
        <v>6.1674999999999987E-2</v>
      </c>
      <c r="AA169" s="77">
        <f t="shared" si="403"/>
        <v>4.9997781870025904E-3</v>
      </c>
      <c r="AB169" s="79">
        <v>1</v>
      </c>
      <c r="AC169" s="77">
        <f t="shared" si="367"/>
        <v>8.0555555555555554E-3</v>
      </c>
      <c r="AD169" s="77">
        <f t="shared" si="358"/>
        <v>6.7378764057135498E-4</v>
      </c>
      <c r="AE169" s="77">
        <f t="shared" si="368"/>
        <v>2.5000000000000001E-3</v>
      </c>
      <c r="AF169" s="77">
        <f t="shared" si="358"/>
        <v>2.0857243058891584E-4</v>
      </c>
      <c r="AH169" t="s">
        <v>175</v>
      </c>
      <c r="AI169" t="s">
        <v>176</v>
      </c>
      <c r="AJ169" s="197" t="str">
        <f t="shared" si="414"/>
        <v>Lifecycle_Balanced_376</v>
      </c>
      <c r="AK169">
        <v>376</v>
      </c>
      <c r="AL169">
        <f>VLOOKUP($U169,[2]Standard_Balanced!$Q$1:$T$542,2,FALSE)</f>
        <v>0.77777777777777779</v>
      </c>
      <c r="AM169">
        <f>VLOOKUP($U169,[2]Standard_Balanced!$Q$1:$T$542,3,FALSE)</f>
        <v>0.22222222222222221</v>
      </c>
      <c r="AN169">
        <f>VLOOKUP($U169,[2]Standard_Balanced!$Q$1:$T$542,4,FALSE)</f>
        <v>0</v>
      </c>
      <c r="AO169" s="77">
        <f t="shared" si="344"/>
        <v>1</v>
      </c>
      <c r="AP169" s="77">
        <f t="shared" si="369"/>
        <v>6.1674999999999987E-2</v>
      </c>
      <c r="AQ169" s="77">
        <f t="shared" si="415"/>
        <v>4.9997781870025904E-3</v>
      </c>
      <c r="AR169" s="79">
        <v>0</v>
      </c>
      <c r="AS169" s="77">
        <f t="shared" si="370"/>
        <v>0</v>
      </c>
      <c r="AT169" s="77">
        <f t="shared" ref="AT169" si="453">1-(1-AS169)^(1/12)</f>
        <v>0</v>
      </c>
      <c r="AU169" s="77">
        <f t="shared" si="372"/>
        <v>2.5000000000000001E-3</v>
      </c>
      <c r="AV169" s="77">
        <f t="shared" ref="AV169" si="454">1-(1-AU169)^(1/12)</f>
        <v>2.0857243058891584E-4</v>
      </c>
      <c r="AX169" t="s">
        <v>178</v>
      </c>
      <c r="AY169" t="s">
        <v>160</v>
      </c>
      <c r="AZ169" s="197" t="str">
        <f t="shared" si="418"/>
        <v>DIS_Non-Standard_376</v>
      </c>
      <c r="BA169">
        <v>376</v>
      </c>
      <c r="BB169">
        <f>VLOOKUP($BA169,'[2]NonStandard DIS'!$Q$1:$X$542,2,FALSE)</f>
        <v>0</v>
      </c>
      <c r="BC169">
        <f>VLOOKUP($BA169,'[2]NonStandard DIS'!$Q$1:$X$542,3,FALSE)</f>
        <v>0</v>
      </c>
      <c r="BD169">
        <f>VLOOKUP($BA169,'[2]NonStandard DIS'!$Q$1:$X$542,4,FALSE)</f>
        <v>0.308</v>
      </c>
      <c r="BE169">
        <f>VLOOKUP($BA169,'[2]NonStandard DIS'!$Q$1:$X$542,5,FALSE)</f>
        <v>0.69199999999999995</v>
      </c>
      <c r="BF169">
        <f>VLOOKUP($BA169,'[2]NonStandard DIS'!$Q$1:$X$542,6,FALSE)</f>
        <v>0</v>
      </c>
      <c r="BG169">
        <f>VLOOKUP($BA169,'[2]NonStandard DIS'!$Q$1:$X$542,7,FALSE)</f>
        <v>0</v>
      </c>
      <c r="BH169">
        <f>VLOOKUP($BA169,'[2]NonStandard DIS'!$Q$1:$X$542,8,FALSE)</f>
        <v>0</v>
      </c>
      <c r="BI169" s="77">
        <f t="shared" si="361"/>
        <v>1</v>
      </c>
      <c r="BJ169" s="77">
        <f t="shared" si="362"/>
        <v>6.9728499999999985E-2</v>
      </c>
      <c r="BK169" s="77">
        <f t="shared" si="343"/>
        <v>5.632878498097682E-3</v>
      </c>
      <c r="BL169" s="79">
        <v>0</v>
      </c>
      <c r="BM169" s="77">
        <f t="shared" si="374"/>
        <v>0</v>
      </c>
      <c r="BN169" s="77">
        <f t="shared" si="375"/>
        <v>0</v>
      </c>
      <c r="BO169" s="77">
        <f t="shared" si="376"/>
        <v>5.6775999999999997E-3</v>
      </c>
      <c r="BP169" s="77">
        <f t="shared" si="377"/>
        <v>4.7190657760731725E-4</v>
      </c>
    </row>
    <row r="170" spans="1:68">
      <c r="A170" t="s">
        <v>175</v>
      </c>
      <c r="B170" t="s">
        <v>176</v>
      </c>
      <c r="C170" s="197" t="str">
        <f t="shared" si="412"/>
        <v>Lifecycle_Balanced_375</v>
      </c>
      <c r="D170">
        <v>375</v>
      </c>
      <c r="E170">
        <f>VLOOKUP($D170,'[2]LC Balanced'!$Q$2:$U$542,2,FALSE)</f>
        <v>0</v>
      </c>
      <c r="F170">
        <f>VLOOKUP($D170,'[2]LC Balanced'!$Q$2:$U$542,3,FALSE)</f>
        <v>0.14899999999999999</v>
      </c>
      <c r="G170">
        <f>VLOOKUP($D170,'[2]LC Balanced'!$Q$2:$U$542,4,FALSE)</f>
        <v>0.85099999999999998</v>
      </c>
      <c r="H170">
        <f>VLOOKUP($D170,'[2]LC Balanced'!$Q$2:$U$542,5,FALSE)</f>
        <v>0</v>
      </c>
      <c r="I170" s="77">
        <f t="shared" si="356"/>
        <v>1</v>
      </c>
      <c r="J170" s="77">
        <f t="shared" si="357"/>
        <v>6.1987699999999986E-2</v>
      </c>
      <c r="K170" s="77">
        <f t="shared" si="347"/>
        <v>5.024442123284345E-3</v>
      </c>
      <c r="L170" s="76">
        <v>0</v>
      </c>
      <c r="M170" s="77">
        <f t="shared" si="363"/>
        <v>0</v>
      </c>
      <c r="N170" s="77">
        <f t="shared" si="364"/>
        <v>0</v>
      </c>
      <c r="O170" s="77">
        <f t="shared" si="365"/>
        <v>7.0062999999999992E-3</v>
      </c>
      <c r="P170" s="77">
        <f t="shared" si="366"/>
        <v>5.85741666996209E-4</v>
      </c>
      <c r="R170" t="s">
        <v>177</v>
      </c>
      <c r="S170" t="s">
        <v>176</v>
      </c>
      <c r="T170" s="197" t="str">
        <f t="shared" ref="T170:T233" si="455">R170&amp;"_"&amp;S170&amp;"_"&amp;U170</f>
        <v>Autopilot_Balanced_375</v>
      </c>
      <c r="U170">
        <v>375</v>
      </c>
      <c r="V170">
        <f>VLOOKUP($U170,'[2]AP Balanced'!$Q$1:$T$542,2,FALSE)</f>
        <v>0.77777777777777779</v>
      </c>
      <c r="W170">
        <f>VLOOKUP($U170,'[2]AP Balanced'!$Q$1:$T$542,3,FALSE)</f>
        <v>0.22222222222222221</v>
      </c>
      <c r="X170">
        <f>VLOOKUP($U170,'[2]AP Balanced'!$Q$1:$T$542,4,FALSE)</f>
        <v>0</v>
      </c>
      <c r="Y170" s="77">
        <f t="shared" si="413"/>
        <v>1</v>
      </c>
      <c r="Z170" s="77">
        <f t="shared" si="402"/>
        <v>6.1674999999999987E-2</v>
      </c>
      <c r="AA170" s="77">
        <f t="shared" si="403"/>
        <v>4.9997781870025904E-3</v>
      </c>
      <c r="AB170" s="79">
        <v>1</v>
      </c>
      <c r="AC170" s="77">
        <f t="shared" si="367"/>
        <v>8.0555555555555554E-3</v>
      </c>
      <c r="AD170" s="77">
        <f t="shared" si="358"/>
        <v>6.7378764057135498E-4</v>
      </c>
      <c r="AE170" s="77">
        <f t="shared" si="368"/>
        <v>2.5000000000000001E-3</v>
      </c>
      <c r="AF170" s="77">
        <f t="shared" si="358"/>
        <v>2.0857243058891584E-4</v>
      </c>
      <c r="AH170" t="s">
        <v>175</v>
      </c>
      <c r="AI170" t="s">
        <v>176</v>
      </c>
      <c r="AJ170" s="197" t="str">
        <f t="shared" si="414"/>
        <v>Lifecycle_Balanced_375</v>
      </c>
      <c r="AK170">
        <v>375</v>
      </c>
      <c r="AL170">
        <f>VLOOKUP($U170,[2]Standard_Balanced!$Q$1:$T$542,2,FALSE)</f>
        <v>0.77777777777777779</v>
      </c>
      <c r="AM170">
        <f>VLOOKUP($U170,[2]Standard_Balanced!$Q$1:$T$542,3,FALSE)</f>
        <v>0.22222222222222221</v>
      </c>
      <c r="AN170">
        <f>VLOOKUP($U170,[2]Standard_Balanced!$Q$1:$T$542,4,FALSE)</f>
        <v>0</v>
      </c>
      <c r="AO170" s="77">
        <f t="shared" si="344"/>
        <v>1</v>
      </c>
      <c r="AP170" s="77">
        <f t="shared" si="369"/>
        <v>6.1674999999999987E-2</v>
      </c>
      <c r="AQ170" s="77">
        <f t="shared" si="415"/>
        <v>4.9997781870025904E-3</v>
      </c>
      <c r="AR170" s="79">
        <v>0</v>
      </c>
      <c r="AS170" s="77">
        <f t="shared" si="370"/>
        <v>0</v>
      </c>
      <c r="AT170" s="77">
        <f t="shared" ref="AT170" si="456">1-(1-AS170)^(1/12)</f>
        <v>0</v>
      </c>
      <c r="AU170" s="77">
        <f t="shared" si="372"/>
        <v>2.5000000000000001E-3</v>
      </c>
      <c r="AV170" s="77">
        <f t="shared" ref="AV170" si="457">1-(1-AU170)^(1/12)</f>
        <v>2.0857243058891584E-4</v>
      </c>
      <c r="AX170" t="s">
        <v>178</v>
      </c>
      <c r="AY170" t="s">
        <v>160</v>
      </c>
      <c r="AZ170" s="197" t="str">
        <f t="shared" si="418"/>
        <v>DIS_Non-Standard_375</v>
      </c>
      <c r="BA170">
        <v>375</v>
      </c>
      <c r="BB170">
        <f>VLOOKUP($BA170,'[2]NonStandard DIS'!$Q$1:$X$542,2,FALSE)</f>
        <v>0</v>
      </c>
      <c r="BC170">
        <f>VLOOKUP($BA170,'[2]NonStandard DIS'!$Q$1:$X$542,3,FALSE)</f>
        <v>0</v>
      </c>
      <c r="BD170">
        <f>VLOOKUP($BA170,'[2]NonStandard DIS'!$Q$1:$X$542,4,FALSE)</f>
        <v>0.308</v>
      </c>
      <c r="BE170">
        <f>VLOOKUP($BA170,'[2]NonStandard DIS'!$Q$1:$X$542,5,FALSE)</f>
        <v>0.69199999999999995</v>
      </c>
      <c r="BF170">
        <f>VLOOKUP($BA170,'[2]NonStandard DIS'!$Q$1:$X$542,6,FALSE)</f>
        <v>0</v>
      </c>
      <c r="BG170">
        <f>VLOOKUP($BA170,'[2]NonStandard DIS'!$Q$1:$X$542,7,FALSE)</f>
        <v>0</v>
      </c>
      <c r="BH170">
        <f>VLOOKUP($BA170,'[2]NonStandard DIS'!$Q$1:$X$542,8,FALSE)</f>
        <v>0</v>
      </c>
      <c r="BI170" s="77">
        <f t="shared" si="361"/>
        <v>1</v>
      </c>
      <c r="BJ170" s="77">
        <f t="shared" si="362"/>
        <v>6.9728499999999985E-2</v>
      </c>
      <c r="BK170" s="77">
        <f t="shared" si="343"/>
        <v>5.632878498097682E-3</v>
      </c>
      <c r="BL170" s="79">
        <v>0</v>
      </c>
      <c r="BM170" s="77">
        <f t="shared" si="374"/>
        <v>0</v>
      </c>
      <c r="BN170" s="77">
        <f t="shared" si="375"/>
        <v>0</v>
      </c>
      <c r="BO170" s="77">
        <f t="shared" si="376"/>
        <v>5.6775999999999997E-3</v>
      </c>
      <c r="BP170" s="77">
        <f t="shared" si="377"/>
        <v>4.7190657760731725E-4</v>
      </c>
    </row>
    <row r="171" spans="1:68">
      <c r="A171" t="s">
        <v>175</v>
      </c>
      <c r="B171" t="s">
        <v>176</v>
      </c>
      <c r="C171" s="197" t="str">
        <f t="shared" si="412"/>
        <v>Lifecycle_Balanced_374</v>
      </c>
      <c r="D171">
        <v>374</v>
      </c>
      <c r="E171">
        <f>VLOOKUP($D171,'[2]LC Balanced'!$Q$2:$U$542,2,FALSE)</f>
        <v>0</v>
      </c>
      <c r="F171">
        <f>VLOOKUP($D171,'[2]LC Balanced'!$Q$2:$U$542,3,FALSE)</f>
        <v>0.14899999999999999</v>
      </c>
      <c r="G171">
        <f>VLOOKUP($D171,'[2]LC Balanced'!$Q$2:$U$542,4,FALSE)</f>
        <v>0.85099999999999998</v>
      </c>
      <c r="H171">
        <f>VLOOKUP($D171,'[2]LC Balanced'!$Q$2:$U$542,5,FALSE)</f>
        <v>0</v>
      </c>
      <c r="I171" s="77">
        <f t="shared" si="356"/>
        <v>1</v>
      </c>
      <c r="J171" s="77">
        <f t="shared" si="357"/>
        <v>6.1987699999999986E-2</v>
      </c>
      <c r="K171" s="77">
        <f t="shared" si="347"/>
        <v>5.024442123284345E-3</v>
      </c>
      <c r="L171" s="76">
        <v>0</v>
      </c>
      <c r="M171" s="77">
        <f t="shared" si="363"/>
        <v>0</v>
      </c>
      <c r="N171" s="77">
        <f t="shared" si="364"/>
        <v>0</v>
      </c>
      <c r="O171" s="77">
        <f t="shared" si="365"/>
        <v>7.0062999999999992E-3</v>
      </c>
      <c r="P171" s="77">
        <f t="shared" si="366"/>
        <v>5.85741666996209E-4</v>
      </c>
      <c r="R171" t="s">
        <v>177</v>
      </c>
      <c r="S171" t="s">
        <v>176</v>
      </c>
      <c r="T171" s="197" t="str">
        <f t="shared" si="455"/>
        <v>Autopilot_Balanced_374</v>
      </c>
      <c r="U171">
        <v>374</v>
      </c>
      <c r="V171">
        <f>VLOOKUP($U171,'[2]AP Balanced'!$Q$1:$T$542,2,FALSE)</f>
        <v>0.77777777777777779</v>
      </c>
      <c r="W171">
        <f>VLOOKUP($U171,'[2]AP Balanced'!$Q$1:$T$542,3,FALSE)</f>
        <v>0.22222222222222221</v>
      </c>
      <c r="X171">
        <f>VLOOKUP($U171,'[2]AP Balanced'!$Q$1:$T$542,4,FALSE)</f>
        <v>0</v>
      </c>
      <c r="Y171" s="77">
        <f t="shared" si="413"/>
        <v>1</v>
      </c>
      <c r="Z171" s="77">
        <f t="shared" si="402"/>
        <v>6.1674999999999987E-2</v>
      </c>
      <c r="AA171" s="77">
        <f t="shared" si="403"/>
        <v>4.9997781870025904E-3</v>
      </c>
      <c r="AB171" s="79">
        <v>1</v>
      </c>
      <c r="AC171" s="77">
        <f t="shared" si="367"/>
        <v>8.0555555555555554E-3</v>
      </c>
      <c r="AD171" s="77">
        <f t="shared" si="358"/>
        <v>6.7378764057135498E-4</v>
      </c>
      <c r="AE171" s="77">
        <f t="shared" si="368"/>
        <v>2.5000000000000001E-3</v>
      </c>
      <c r="AF171" s="77">
        <f t="shared" si="358"/>
        <v>2.0857243058891584E-4</v>
      </c>
      <c r="AH171" t="s">
        <v>175</v>
      </c>
      <c r="AI171" t="s">
        <v>176</v>
      </c>
      <c r="AJ171" s="197" t="str">
        <f t="shared" si="414"/>
        <v>Lifecycle_Balanced_374</v>
      </c>
      <c r="AK171">
        <v>374</v>
      </c>
      <c r="AL171">
        <f>VLOOKUP($U171,[2]Standard_Balanced!$Q$1:$T$542,2,FALSE)</f>
        <v>0.77777777777777779</v>
      </c>
      <c r="AM171">
        <f>VLOOKUP($U171,[2]Standard_Balanced!$Q$1:$T$542,3,FALSE)</f>
        <v>0.22222222222222221</v>
      </c>
      <c r="AN171">
        <f>VLOOKUP($U171,[2]Standard_Balanced!$Q$1:$T$542,4,FALSE)</f>
        <v>0</v>
      </c>
      <c r="AO171" s="77">
        <f t="shared" si="344"/>
        <v>1</v>
      </c>
      <c r="AP171" s="77">
        <f t="shared" si="369"/>
        <v>6.1674999999999987E-2</v>
      </c>
      <c r="AQ171" s="77">
        <f t="shared" si="415"/>
        <v>4.9997781870025904E-3</v>
      </c>
      <c r="AR171" s="79">
        <v>0</v>
      </c>
      <c r="AS171" s="77">
        <f t="shared" si="370"/>
        <v>0</v>
      </c>
      <c r="AT171" s="77">
        <f t="shared" ref="AT171" si="458">1-(1-AS171)^(1/12)</f>
        <v>0</v>
      </c>
      <c r="AU171" s="77">
        <f t="shared" si="372"/>
        <v>2.5000000000000001E-3</v>
      </c>
      <c r="AV171" s="77">
        <f t="shared" ref="AV171" si="459">1-(1-AU171)^(1/12)</f>
        <v>2.0857243058891584E-4</v>
      </c>
      <c r="AX171" t="s">
        <v>178</v>
      </c>
      <c r="AY171" t="s">
        <v>160</v>
      </c>
      <c r="AZ171" s="197" t="str">
        <f t="shared" si="418"/>
        <v>DIS_Non-Standard_374</v>
      </c>
      <c r="BA171">
        <v>374</v>
      </c>
      <c r="BB171">
        <f>VLOOKUP($BA171,'[2]NonStandard DIS'!$Q$1:$X$542,2,FALSE)</f>
        <v>0</v>
      </c>
      <c r="BC171">
        <f>VLOOKUP($BA171,'[2]NonStandard DIS'!$Q$1:$X$542,3,FALSE)</f>
        <v>0</v>
      </c>
      <c r="BD171">
        <f>VLOOKUP($BA171,'[2]NonStandard DIS'!$Q$1:$X$542,4,FALSE)</f>
        <v>0.308</v>
      </c>
      <c r="BE171">
        <f>VLOOKUP($BA171,'[2]NonStandard DIS'!$Q$1:$X$542,5,FALSE)</f>
        <v>0.69199999999999995</v>
      </c>
      <c r="BF171">
        <f>VLOOKUP($BA171,'[2]NonStandard DIS'!$Q$1:$X$542,6,FALSE)</f>
        <v>0</v>
      </c>
      <c r="BG171">
        <f>VLOOKUP($BA171,'[2]NonStandard DIS'!$Q$1:$X$542,7,FALSE)</f>
        <v>0</v>
      </c>
      <c r="BH171">
        <f>VLOOKUP($BA171,'[2]NonStandard DIS'!$Q$1:$X$542,8,FALSE)</f>
        <v>0</v>
      </c>
      <c r="BI171" s="77">
        <f t="shared" si="361"/>
        <v>1</v>
      </c>
      <c r="BJ171" s="77">
        <f t="shared" si="362"/>
        <v>6.9728499999999985E-2</v>
      </c>
      <c r="BK171" s="77">
        <f t="shared" si="343"/>
        <v>5.632878498097682E-3</v>
      </c>
      <c r="BL171" s="79">
        <v>0</v>
      </c>
      <c r="BM171" s="77">
        <f t="shared" si="374"/>
        <v>0</v>
      </c>
      <c r="BN171" s="77">
        <f t="shared" si="375"/>
        <v>0</v>
      </c>
      <c r="BO171" s="77">
        <f t="shared" si="376"/>
        <v>5.6775999999999997E-3</v>
      </c>
      <c r="BP171" s="77">
        <f t="shared" si="377"/>
        <v>4.7190657760731725E-4</v>
      </c>
    </row>
    <row r="172" spans="1:68">
      <c r="A172" t="s">
        <v>175</v>
      </c>
      <c r="B172" t="s">
        <v>176</v>
      </c>
      <c r="C172" s="197" t="str">
        <f t="shared" si="412"/>
        <v>Lifecycle_Balanced_373</v>
      </c>
      <c r="D172">
        <v>373</v>
      </c>
      <c r="E172">
        <f>VLOOKUP($D172,'[2]LC Balanced'!$Q$2:$U$542,2,FALSE)</f>
        <v>0</v>
      </c>
      <c r="F172">
        <f>VLOOKUP($D172,'[2]LC Balanced'!$Q$2:$U$542,3,FALSE)</f>
        <v>0.14899999999999999</v>
      </c>
      <c r="G172">
        <f>VLOOKUP($D172,'[2]LC Balanced'!$Q$2:$U$542,4,FALSE)</f>
        <v>0.85099999999999998</v>
      </c>
      <c r="H172">
        <f>VLOOKUP($D172,'[2]LC Balanced'!$Q$2:$U$542,5,FALSE)</f>
        <v>0</v>
      </c>
      <c r="I172" s="77">
        <f t="shared" si="356"/>
        <v>1</v>
      </c>
      <c r="J172" s="77">
        <f t="shared" si="357"/>
        <v>6.1987699999999986E-2</v>
      </c>
      <c r="K172" s="77">
        <f t="shared" si="347"/>
        <v>5.024442123284345E-3</v>
      </c>
      <c r="L172" s="76">
        <v>0</v>
      </c>
      <c r="M172" s="77">
        <f t="shared" si="363"/>
        <v>0</v>
      </c>
      <c r="N172" s="77">
        <f t="shared" si="364"/>
        <v>0</v>
      </c>
      <c r="O172" s="77">
        <f t="shared" si="365"/>
        <v>7.0062999999999992E-3</v>
      </c>
      <c r="P172" s="77">
        <f t="shared" si="366"/>
        <v>5.85741666996209E-4</v>
      </c>
      <c r="R172" t="s">
        <v>177</v>
      </c>
      <c r="S172" t="s">
        <v>176</v>
      </c>
      <c r="T172" s="197" t="str">
        <f t="shared" si="455"/>
        <v>Autopilot_Balanced_373</v>
      </c>
      <c r="U172">
        <v>373</v>
      </c>
      <c r="V172">
        <f>VLOOKUP($U172,'[2]AP Balanced'!$Q$1:$T$542,2,FALSE)</f>
        <v>0.77777777777777779</v>
      </c>
      <c r="W172">
        <f>VLOOKUP($U172,'[2]AP Balanced'!$Q$1:$T$542,3,FALSE)</f>
        <v>0.22222222222222221</v>
      </c>
      <c r="X172">
        <f>VLOOKUP($U172,'[2]AP Balanced'!$Q$1:$T$542,4,FALSE)</f>
        <v>0</v>
      </c>
      <c r="Y172" s="77">
        <f t="shared" si="413"/>
        <v>1</v>
      </c>
      <c r="Z172" s="77">
        <f t="shared" si="402"/>
        <v>6.1674999999999987E-2</v>
      </c>
      <c r="AA172" s="77">
        <f t="shared" si="403"/>
        <v>4.9997781870025904E-3</v>
      </c>
      <c r="AB172" s="79">
        <v>1</v>
      </c>
      <c r="AC172" s="77">
        <f t="shared" si="367"/>
        <v>8.0555555555555554E-3</v>
      </c>
      <c r="AD172" s="77">
        <f t="shared" si="358"/>
        <v>6.7378764057135498E-4</v>
      </c>
      <c r="AE172" s="77">
        <f t="shared" si="368"/>
        <v>2.5000000000000001E-3</v>
      </c>
      <c r="AF172" s="77">
        <f t="shared" si="358"/>
        <v>2.0857243058891584E-4</v>
      </c>
      <c r="AH172" t="s">
        <v>175</v>
      </c>
      <c r="AI172" t="s">
        <v>176</v>
      </c>
      <c r="AJ172" s="197" t="str">
        <f t="shared" si="414"/>
        <v>Lifecycle_Balanced_373</v>
      </c>
      <c r="AK172">
        <v>373</v>
      </c>
      <c r="AL172">
        <f>VLOOKUP($U172,[2]Standard_Balanced!$Q$1:$T$542,2,FALSE)</f>
        <v>0.77777777777777779</v>
      </c>
      <c r="AM172">
        <f>VLOOKUP($U172,[2]Standard_Balanced!$Q$1:$T$542,3,FALSE)</f>
        <v>0.22222222222222221</v>
      </c>
      <c r="AN172">
        <f>VLOOKUP($U172,[2]Standard_Balanced!$Q$1:$T$542,4,FALSE)</f>
        <v>0</v>
      </c>
      <c r="AO172" s="77">
        <f t="shared" si="344"/>
        <v>1</v>
      </c>
      <c r="AP172" s="77">
        <f t="shared" si="369"/>
        <v>6.1674999999999987E-2</v>
      </c>
      <c r="AQ172" s="77">
        <f t="shared" si="415"/>
        <v>4.9997781870025904E-3</v>
      </c>
      <c r="AR172" s="79">
        <v>0</v>
      </c>
      <c r="AS172" s="77">
        <f t="shared" si="370"/>
        <v>0</v>
      </c>
      <c r="AT172" s="77">
        <f t="shared" ref="AT172" si="460">1-(1-AS172)^(1/12)</f>
        <v>0</v>
      </c>
      <c r="AU172" s="77">
        <f t="shared" si="372"/>
        <v>2.5000000000000001E-3</v>
      </c>
      <c r="AV172" s="77">
        <f t="shared" ref="AV172" si="461">1-(1-AU172)^(1/12)</f>
        <v>2.0857243058891584E-4</v>
      </c>
      <c r="AX172" t="s">
        <v>178</v>
      </c>
      <c r="AY172" t="s">
        <v>160</v>
      </c>
      <c r="AZ172" s="197" t="str">
        <f t="shared" si="418"/>
        <v>DIS_Non-Standard_373</v>
      </c>
      <c r="BA172">
        <v>373</v>
      </c>
      <c r="BB172">
        <f>VLOOKUP($BA172,'[2]NonStandard DIS'!$Q$1:$X$542,2,FALSE)</f>
        <v>0</v>
      </c>
      <c r="BC172">
        <f>VLOOKUP($BA172,'[2]NonStandard DIS'!$Q$1:$X$542,3,FALSE)</f>
        <v>0</v>
      </c>
      <c r="BD172">
        <f>VLOOKUP($BA172,'[2]NonStandard DIS'!$Q$1:$X$542,4,FALSE)</f>
        <v>0.308</v>
      </c>
      <c r="BE172">
        <f>VLOOKUP($BA172,'[2]NonStandard DIS'!$Q$1:$X$542,5,FALSE)</f>
        <v>0.69199999999999995</v>
      </c>
      <c r="BF172">
        <f>VLOOKUP($BA172,'[2]NonStandard DIS'!$Q$1:$X$542,6,FALSE)</f>
        <v>0</v>
      </c>
      <c r="BG172">
        <f>VLOOKUP($BA172,'[2]NonStandard DIS'!$Q$1:$X$542,7,FALSE)</f>
        <v>0</v>
      </c>
      <c r="BH172">
        <f>VLOOKUP($BA172,'[2]NonStandard DIS'!$Q$1:$X$542,8,FALSE)</f>
        <v>0</v>
      </c>
      <c r="BI172" s="77">
        <f t="shared" si="361"/>
        <v>1</v>
      </c>
      <c r="BJ172" s="77">
        <f t="shared" si="362"/>
        <v>6.9728499999999985E-2</v>
      </c>
      <c r="BK172" s="77">
        <f t="shared" si="343"/>
        <v>5.632878498097682E-3</v>
      </c>
      <c r="BL172" s="79">
        <v>0</v>
      </c>
      <c r="BM172" s="77">
        <f t="shared" si="374"/>
        <v>0</v>
      </c>
      <c r="BN172" s="77">
        <f t="shared" si="375"/>
        <v>0</v>
      </c>
      <c r="BO172" s="77">
        <f t="shared" si="376"/>
        <v>5.6775999999999997E-3</v>
      </c>
      <c r="BP172" s="77">
        <f t="shared" si="377"/>
        <v>4.7190657760731725E-4</v>
      </c>
    </row>
    <row r="173" spans="1:68">
      <c r="A173" t="s">
        <v>175</v>
      </c>
      <c r="B173" t="s">
        <v>176</v>
      </c>
      <c r="C173" s="197" t="str">
        <f t="shared" si="412"/>
        <v>Lifecycle_Balanced_372</v>
      </c>
      <c r="D173">
        <v>372</v>
      </c>
      <c r="E173">
        <f>VLOOKUP($D173,'[2]LC Balanced'!$Q$2:$U$542,2,FALSE)</f>
        <v>0</v>
      </c>
      <c r="F173">
        <f>VLOOKUP($D173,'[2]LC Balanced'!$Q$2:$U$542,3,FALSE)</f>
        <v>0.14899999999999999</v>
      </c>
      <c r="G173">
        <f>VLOOKUP($D173,'[2]LC Balanced'!$Q$2:$U$542,4,FALSE)</f>
        <v>0.85099999999999998</v>
      </c>
      <c r="H173">
        <f>VLOOKUP($D173,'[2]LC Balanced'!$Q$2:$U$542,5,FALSE)</f>
        <v>0</v>
      </c>
      <c r="I173" s="77">
        <f t="shared" si="356"/>
        <v>1</v>
      </c>
      <c r="J173" s="77">
        <f t="shared" si="357"/>
        <v>6.1987699999999986E-2</v>
      </c>
      <c r="K173" s="77">
        <f t="shared" si="347"/>
        <v>5.024442123284345E-3</v>
      </c>
      <c r="L173" s="76">
        <v>0</v>
      </c>
      <c r="M173" s="77">
        <f t="shared" si="363"/>
        <v>0</v>
      </c>
      <c r="N173" s="77">
        <f t="shared" si="364"/>
        <v>0</v>
      </c>
      <c r="O173" s="77">
        <f t="shared" si="365"/>
        <v>7.0062999999999992E-3</v>
      </c>
      <c r="P173" s="77">
        <f t="shared" si="366"/>
        <v>5.85741666996209E-4</v>
      </c>
      <c r="R173" t="s">
        <v>177</v>
      </c>
      <c r="S173" t="s">
        <v>176</v>
      </c>
      <c r="T173" s="197" t="str">
        <f t="shared" si="455"/>
        <v>Autopilot_Balanced_372</v>
      </c>
      <c r="U173">
        <v>372</v>
      </c>
      <c r="V173">
        <f>VLOOKUP($U173,'[2]AP Balanced'!$Q$1:$T$542,2,FALSE)</f>
        <v>0.77777777777777779</v>
      </c>
      <c r="W173">
        <f>VLOOKUP($U173,'[2]AP Balanced'!$Q$1:$T$542,3,FALSE)</f>
        <v>0.22222222222222221</v>
      </c>
      <c r="X173">
        <f>VLOOKUP($U173,'[2]AP Balanced'!$Q$1:$T$542,4,FALSE)</f>
        <v>0</v>
      </c>
      <c r="Y173" s="77">
        <f t="shared" si="413"/>
        <v>1</v>
      </c>
      <c r="Z173" s="77">
        <f t="shared" si="402"/>
        <v>6.1674999999999987E-2</v>
      </c>
      <c r="AA173" s="77">
        <f t="shared" si="403"/>
        <v>4.9997781870025904E-3</v>
      </c>
      <c r="AB173" s="79">
        <v>1</v>
      </c>
      <c r="AC173" s="77">
        <f t="shared" si="367"/>
        <v>8.0555555555555554E-3</v>
      </c>
      <c r="AD173" s="77">
        <f t="shared" si="358"/>
        <v>6.7378764057135498E-4</v>
      </c>
      <c r="AE173" s="77">
        <f t="shared" si="368"/>
        <v>2.5000000000000001E-3</v>
      </c>
      <c r="AF173" s="77">
        <f t="shared" si="358"/>
        <v>2.0857243058891584E-4</v>
      </c>
      <c r="AH173" t="s">
        <v>175</v>
      </c>
      <c r="AI173" t="s">
        <v>176</v>
      </c>
      <c r="AJ173" s="197" t="str">
        <f t="shared" si="414"/>
        <v>Lifecycle_Balanced_372</v>
      </c>
      <c r="AK173">
        <v>372</v>
      </c>
      <c r="AL173">
        <f>VLOOKUP($U173,[2]Standard_Balanced!$Q$1:$T$542,2,FALSE)</f>
        <v>0.77777777777777779</v>
      </c>
      <c r="AM173">
        <f>VLOOKUP($U173,[2]Standard_Balanced!$Q$1:$T$542,3,FALSE)</f>
        <v>0.22222222222222221</v>
      </c>
      <c r="AN173">
        <f>VLOOKUP($U173,[2]Standard_Balanced!$Q$1:$T$542,4,FALSE)</f>
        <v>0</v>
      </c>
      <c r="AO173" s="77">
        <f t="shared" si="344"/>
        <v>1</v>
      </c>
      <c r="AP173" s="77">
        <f t="shared" si="369"/>
        <v>6.1674999999999987E-2</v>
      </c>
      <c r="AQ173" s="77">
        <f t="shared" si="415"/>
        <v>4.9997781870025904E-3</v>
      </c>
      <c r="AR173" s="79">
        <v>0</v>
      </c>
      <c r="AS173" s="77">
        <f t="shared" si="370"/>
        <v>0</v>
      </c>
      <c r="AT173" s="77">
        <f t="shared" ref="AT173" si="462">1-(1-AS173)^(1/12)</f>
        <v>0</v>
      </c>
      <c r="AU173" s="77">
        <f t="shared" si="372"/>
        <v>2.5000000000000001E-3</v>
      </c>
      <c r="AV173" s="77">
        <f t="shared" ref="AV173" si="463">1-(1-AU173)^(1/12)</f>
        <v>2.0857243058891584E-4</v>
      </c>
      <c r="AX173" t="s">
        <v>178</v>
      </c>
      <c r="AY173" t="s">
        <v>160</v>
      </c>
      <c r="AZ173" s="197" t="str">
        <f t="shared" si="418"/>
        <v>DIS_Non-Standard_372</v>
      </c>
      <c r="BA173">
        <v>372</v>
      </c>
      <c r="BB173">
        <f>VLOOKUP($BA173,'[2]NonStandard DIS'!$Q$1:$X$542,2,FALSE)</f>
        <v>0</v>
      </c>
      <c r="BC173">
        <f>VLOOKUP($BA173,'[2]NonStandard DIS'!$Q$1:$X$542,3,FALSE)</f>
        <v>0</v>
      </c>
      <c r="BD173">
        <f>VLOOKUP($BA173,'[2]NonStandard DIS'!$Q$1:$X$542,4,FALSE)</f>
        <v>0.308</v>
      </c>
      <c r="BE173">
        <f>VLOOKUP($BA173,'[2]NonStandard DIS'!$Q$1:$X$542,5,FALSE)</f>
        <v>0.69199999999999995</v>
      </c>
      <c r="BF173">
        <f>VLOOKUP($BA173,'[2]NonStandard DIS'!$Q$1:$X$542,6,FALSE)</f>
        <v>0</v>
      </c>
      <c r="BG173">
        <f>VLOOKUP($BA173,'[2]NonStandard DIS'!$Q$1:$X$542,7,FALSE)</f>
        <v>0</v>
      </c>
      <c r="BH173">
        <f>VLOOKUP($BA173,'[2]NonStandard DIS'!$Q$1:$X$542,8,FALSE)</f>
        <v>0</v>
      </c>
      <c r="BI173" s="77">
        <f t="shared" si="361"/>
        <v>1</v>
      </c>
      <c r="BJ173" s="77">
        <f t="shared" si="362"/>
        <v>6.9728499999999985E-2</v>
      </c>
      <c r="BK173" s="77">
        <f t="shared" si="343"/>
        <v>5.632878498097682E-3</v>
      </c>
      <c r="BL173" s="79">
        <v>0</v>
      </c>
      <c r="BM173" s="77">
        <f t="shared" si="374"/>
        <v>0</v>
      </c>
      <c r="BN173" s="77">
        <f t="shared" si="375"/>
        <v>0</v>
      </c>
      <c r="BO173" s="77">
        <f t="shared" si="376"/>
        <v>5.6775999999999997E-3</v>
      </c>
      <c r="BP173" s="77">
        <f t="shared" si="377"/>
        <v>4.7190657760731725E-4</v>
      </c>
    </row>
    <row r="174" spans="1:68">
      <c r="A174" t="s">
        <v>175</v>
      </c>
      <c r="B174" t="s">
        <v>176</v>
      </c>
      <c r="C174" s="197" t="str">
        <f t="shared" si="412"/>
        <v>Lifecycle_Balanced_371</v>
      </c>
      <c r="D174">
        <v>371</v>
      </c>
      <c r="E174">
        <f>VLOOKUP($D174,'[2]LC Balanced'!$Q$2:$U$542,2,FALSE)</f>
        <v>0</v>
      </c>
      <c r="F174">
        <f>VLOOKUP($D174,'[2]LC Balanced'!$Q$2:$U$542,3,FALSE)</f>
        <v>0.14899999999999999</v>
      </c>
      <c r="G174">
        <f>VLOOKUP($D174,'[2]LC Balanced'!$Q$2:$U$542,4,FALSE)</f>
        <v>0.85099999999999998</v>
      </c>
      <c r="H174">
        <f>VLOOKUP($D174,'[2]LC Balanced'!$Q$2:$U$542,5,FALSE)</f>
        <v>0</v>
      </c>
      <c r="I174" s="77">
        <f t="shared" si="356"/>
        <v>1</v>
      </c>
      <c r="J174" s="77">
        <f t="shared" si="357"/>
        <v>6.1987699999999986E-2</v>
      </c>
      <c r="K174" s="77">
        <f t="shared" si="347"/>
        <v>5.024442123284345E-3</v>
      </c>
      <c r="L174" s="76">
        <v>0</v>
      </c>
      <c r="M174" s="77">
        <f t="shared" si="363"/>
        <v>0</v>
      </c>
      <c r="N174" s="77">
        <f t="shared" si="364"/>
        <v>0</v>
      </c>
      <c r="O174" s="77">
        <f t="shared" si="365"/>
        <v>7.0062999999999992E-3</v>
      </c>
      <c r="P174" s="77">
        <f t="shared" si="366"/>
        <v>5.85741666996209E-4</v>
      </c>
      <c r="R174" t="s">
        <v>177</v>
      </c>
      <c r="S174" t="s">
        <v>176</v>
      </c>
      <c r="T174" s="197" t="str">
        <f t="shared" si="455"/>
        <v>Autopilot_Balanced_371</v>
      </c>
      <c r="U174">
        <v>371</v>
      </c>
      <c r="V174">
        <f>VLOOKUP($U174,'[2]AP Balanced'!$Q$1:$T$542,2,FALSE)</f>
        <v>0.77777777777777779</v>
      </c>
      <c r="W174">
        <f>VLOOKUP($U174,'[2]AP Balanced'!$Q$1:$T$542,3,FALSE)</f>
        <v>0.22222222222222221</v>
      </c>
      <c r="X174">
        <f>VLOOKUP($U174,'[2]AP Balanced'!$Q$1:$T$542,4,FALSE)</f>
        <v>0</v>
      </c>
      <c r="Y174" s="77">
        <f t="shared" si="413"/>
        <v>1</v>
      </c>
      <c r="Z174" s="77">
        <f t="shared" si="402"/>
        <v>6.1674999999999987E-2</v>
      </c>
      <c r="AA174" s="77">
        <f t="shared" si="403"/>
        <v>4.9997781870025904E-3</v>
      </c>
      <c r="AB174" s="79">
        <v>1</v>
      </c>
      <c r="AC174" s="77">
        <f t="shared" si="367"/>
        <v>8.0555555555555554E-3</v>
      </c>
      <c r="AD174" s="77">
        <f t="shared" si="358"/>
        <v>6.7378764057135498E-4</v>
      </c>
      <c r="AE174" s="77">
        <f t="shared" si="368"/>
        <v>2.5000000000000001E-3</v>
      </c>
      <c r="AF174" s="77">
        <f t="shared" si="358"/>
        <v>2.0857243058891584E-4</v>
      </c>
      <c r="AH174" t="s">
        <v>175</v>
      </c>
      <c r="AI174" t="s">
        <v>176</v>
      </c>
      <c r="AJ174" s="197" t="str">
        <f t="shared" si="414"/>
        <v>Lifecycle_Balanced_371</v>
      </c>
      <c r="AK174">
        <v>371</v>
      </c>
      <c r="AL174">
        <f>VLOOKUP($U174,[2]Standard_Balanced!$Q$1:$T$542,2,FALSE)</f>
        <v>0.77777777777777779</v>
      </c>
      <c r="AM174">
        <f>VLOOKUP($U174,[2]Standard_Balanced!$Q$1:$T$542,3,FALSE)</f>
        <v>0.22222222222222221</v>
      </c>
      <c r="AN174">
        <f>VLOOKUP($U174,[2]Standard_Balanced!$Q$1:$T$542,4,FALSE)</f>
        <v>0</v>
      </c>
      <c r="AO174" s="77">
        <f t="shared" si="344"/>
        <v>1</v>
      </c>
      <c r="AP174" s="77">
        <f t="shared" si="369"/>
        <v>6.1674999999999987E-2</v>
      </c>
      <c r="AQ174" s="77">
        <f t="shared" si="415"/>
        <v>4.9997781870025904E-3</v>
      </c>
      <c r="AR174" s="79">
        <v>0</v>
      </c>
      <c r="AS174" s="77">
        <f t="shared" si="370"/>
        <v>0</v>
      </c>
      <c r="AT174" s="77">
        <f t="shared" ref="AT174" si="464">1-(1-AS174)^(1/12)</f>
        <v>0</v>
      </c>
      <c r="AU174" s="77">
        <f t="shared" si="372"/>
        <v>2.5000000000000001E-3</v>
      </c>
      <c r="AV174" s="77">
        <f t="shared" ref="AV174" si="465">1-(1-AU174)^(1/12)</f>
        <v>2.0857243058891584E-4</v>
      </c>
      <c r="AX174" t="s">
        <v>178</v>
      </c>
      <c r="AY174" t="s">
        <v>160</v>
      </c>
      <c r="AZ174" s="197" t="str">
        <f t="shared" si="418"/>
        <v>DIS_Non-Standard_371</v>
      </c>
      <c r="BA174">
        <v>371</v>
      </c>
      <c r="BB174">
        <f>VLOOKUP($BA174,'[2]NonStandard DIS'!$Q$1:$X$542,2,FALSE)</f>
        <v>0</v>
      </c>
      <c r="BC174">
        <f>VLOOKUP($BA174,'[2]NonStandard DIS'!$Q$1:$X$542,3,FALSE)</f>
        <v>0</v>
      </c>
      <c r="BD174">
        <f>VLOOKUP($BA174,'[2]NonStandard DIS'!$Q$1:$X$542,4,FALSE)</f>
        <v>0.308</v>
      </c>
      <c r="BE174">
        <f>VLOOKUP($BA174,'[2]NonStandard DIS'!$Q$1:$X$542,5,FALSE)</f>
        <v>0.69199999999999995</v>
      </c>
      <c r="BF174">
        <f>VLOOKUP($BA174,'[2]NonStandard DIS'!$Q$1:$X$542,6,FALSE)</f>
        <v>0</v>
      </c>
      <c r="BG174">
        <f>VLOOKUP($BA174,'[2]NonStandard DIS'!$Q$1:$X$542,7,FALSE)</f>
        <v>0</v>
      </c>
      <c r="BH174">
        <f>VLOOKUP($BA174,'[2]NonStandard DIS'!$Q$1:$X$542,8,FALSE)</f>
        <v>0</v>
      </c>
      <c r="BI174" s="77">
        <f t="shared" si="361"/>
        <v>1</v>
      </c>
      <c r="BJ174" s="77">
        <f t="shared" si="362"/>
        <v>6.9728499999999985E-2</v>
      </c>
      <c r="BK174" s="77">
        <f t="shared" si="343"/>
        <v>5.632878498097682E-3</v>
      </c>
      <c r="BL174" s="79">
        <v>0</v>
      </c>
      <c r="BM174" s="77">
        <f t="shared" si="374"/>
        <v>0</v>
      </c>
      <c r="BN174" s="77">
        <f t="shared" si="375"/>
        <v>0</v>
      </c>
      <c r="BO174" s="77">
        <f t="shared" si="376"/>
        <v>5.6775999999999997E-3</v>
      </c>
      <c r="BP174" s="77">
        <f t="shared" si="377"/>
        <v>4.7190657760731725E-4</v>
      </c>
    </row>
    <row r="175" spans="1:68">
      <c r="A175" t="s">
        <v>175</v>
      </c>
      <c r="B175" t="s">
        <v>176</v>
      </c>
      <c r="C175" s="197" t="str">
        <f t="shared" si="412"/>
        <v>Lifecycle_Balanced_370</v>
      </c>
      <c r="D175">
        <v>370</v>
      </c>
      <c r="E175">
        <f>VLOOKUP($D175,'[2]LC Balanced'!$Q$2:$U$542,2,FALSE)</f>
        <v>0</v>
      </c>
      <c r="F175">
        <f>VLOOKUP($D175,'[2]LC Balanced'!$Q$2:$U$542,3,FALSE)</f>
        <v>0.14899999999999999</v>
      </c>
      <c r="G175">
        <f>VLOOKUP($D175,'[2]LC Balanced'!$Q$2:$U$542,4,FALSE)</f>
        <v>0.85099999999999998</v>
      </c>
      <c r="H175">
        <f>VLOOKUP($D175,'[2]LC Balanced'!$Q$2:$U$542,5,FALSE)</f>
        <v>0</v>
      </c>
      <c r="I175" s="77">
        <f t="shared" si="356"/>
        <v>1</v>
      </c>
      <c r="J175" s="77">
        <f t="shared" si="357"/>
        <v>6.1987699999999986E-2</v>
      </c>
      <c r="K175" s="77">
        <f t="shared" si="347"/>
        <v>5.024442123284345E-3</v>
      </c>
      <c r="L175" s="76">
        <v>0</v>
      </c>
      <c r="M175" s="77">
        <f t="shared" si="363"/>
        <v>0</v>
      </c>
      <c r="N175" s="77">
        <f t="shared" si="364"/>
        <v>0</v>
      </c>
      <c r="O175" s="77">
        <f t="shared" si="365"/>
        <v>7.0062999999999992E-3</v>
      </c>
      <c r="P175" s="77">
        <f t="shared" si="366"/>
        <v>5.85741666996209E-4</v>
      </c>
      <c r="R175" t="s">
        <v>177</v>
      </c>
      <c r="S175" t="s">
        <v>176</v>
      </c>
      <c r="T175" s="197" t="str">
        <f t="shared" si="455"/>
        <v>Autopilot_Balanced_370</v>
      </c>
      <c r="U175">
        <v>370</v>
      </c>
      <c r="V175">
        <f>VLOOKUP($U175,'[2]AP Balanced'!$Q$1:$T$542,2,FALSE)</f>
        <v>0.77777777777777779</v>
      </c>
      <c r="W175">
        <f>VLOOKUP($U175,'[2]AP Balanced'!$Q$1:$T$542,3,FALSE)</f>
        <v>0.22222222222222221</v>
      </c>
      <c r="X175">
        <f>VLOOKUP($U175,'[2]AP Balanced'!$Q$1:$T$542,4,FALSE)</f>
        <v>0</v>
      </c>
      <c r="Y175" s="77">
        <f t="shared" si="413"/>
        <v>1</v>
      </c>
      <c r="Z175" s="77">
        <f t="shared" si="402"/>
        <v>6.1674999999999987E-2</v>
      </c>
      <c r="AA175" s="77">
        <f t="shared" si="403"/>
        <v>4.9997781870025904E-3</v>
      </c>
      <c r="AB175" s="79">
        <v>1</v>
      </c>
      <c r="AC175" s="77">
        <f t="shared" si="367"/>
        <v>8.0555555555555554E-3</v>
      </c>
      <c r="AD175" s="77">
        <f t="shared" si="358"/>
        <v>6.7378764057135498E-4</v>
      </c>
      <c r="AE175" s="77">
        <f t="shared" si="368"/>
        <v>2.5000000000000001E-3</v>
      </c>
      <c r="AF175" s="77">
        <f t="shared" si="358"/>
        <v>2.0857243058891584E-4</v>
      </c>
      <c r="AH175" t="s">
        <v>175</v>
      </c>
      <c r="AI175" t="s">
        <v>176</v>
      </c>
      <c r="AJ175" s="197" t="str">
        <f t="shared" si="414"/>
        <v>Lifecycle_Balanced_370</v>
      </c>
      <c r="AK175">
        <v>370</v>
      </c>
      <c r="AL175">
        <f>VLOOKUP($U175,[2]Standard_Balanced!$Q$1:$T$542,2,FALSE)</f>
        <v>0.77777777777777779</v>
      </c>
      <c r="AM175">
        <f>VLOOKUP($U175,[2]Standard_Balanced!$Q$1:$T$542,3,FALSE)</f>
        <v>0.22222222222222221</v>
      </c>
      <c r="AN175">
        <f>VLOOKUP($U175,[2]Standard_Balanced!$Q$1:$T$542,4,FALSE)</f>
        <v>0</v>
      </c>
      <c r="AO175" s="77">
        <f t="shared" si="344"/>
        <v>1</v>
      </c>
      <c r="AP175" s="77">
        <f t="shared" si="369"/>
        <v>6.1674999999999987E-2</v>
      </c>
      <c r="AQ175" s="77">
        <f t="shared" si="415"/>
        <v>4.9997781870025904E-3</v>
      </c>
      <c r="AR175" s="79">
        <v>0</v>
      </c>
      <c r="AS175" s="77">
        <f t="shared" si="370"/>
        <v>0</v>
      </c>
      <c r="AT175" s="77">
        <f t="shared" ref="AT175" si="466">1-(1-AS175)^(1/12)</f>
        <v>0</v>
      </c>
      <c r="AU175" s="77">
        <f t="shared" si="372"/>
        <v>2.5000000000000001E-3</v>
      </c>
      <c r="AV175" s="77">
        <f t="shared" ref="AV175" si="467">1-(1-AU175)^(1/12)</f>
        <v>2.0857243058891584E-4</v>
      </c>
      <c r="AX175" t="s">
        <v>178</v>
      </c>
      <c r="AY175" t="s">
        <v>160</v>
      </c>
      <c r="AZ175" s="197" t="str">
        <f t="shared" si="418"/>
        <v>DIS_Non-Standard_370</v>
      </c>
      <c r="BA175">
        <v>370</v>
      </c>
      <c r="BB175">
        <f>VLOOKUP($BA175,'[2]NonStandard DIS'!$Q$1:$X$542,2,FALSE)</f>
        <v>0</v>
      </c>
      <c r="BC175">
        <f>VLOOKUP($BA175,'[2]NonStandard DIS'!$Q$1:$X$542,3,FALSE)</f>
        <v>0</v>
      </c>
      <c r="BD175">
        <f>VLOOKUP($BA175,'[2]NonStandard DIS'!$Q$1:$X$542,4,FALSE)</f>
        <v>0.308</v>
      </c>
      <c r="BE175">
        <f>VLOOKUP($BA175,'[2]NonStandard DIS'!$Q$1:$X$542,5,FALSE)</f>
        <v>0.69199999999999995</v>
      </c>
      <c r="BF175">
        <f>VLOOKUP($BA175,'[2]NonStandard DIS'!$Q$1:$X$542,6,FALSE)</f>
        <v>0</v>
      </c>
      <c r="BG175">
        <f>VLOOKUP($BA175,'[2]NonStandard DIS'!$Q$1:$X$542,7,FALSE)</f>
        <v>0</v>
      </c>
      <c r="BH175">
        <f>VLOOKUP($BA175,'[2]NonStandard DIS'!$Q$1:$X$542,8,FALSE)</f>
        <v>0</v>
      </c>
      <c r="BI175" s="77">
        <f t="shared" si="361"/>
        <v>1</v>
      </c>
      <c r="BJ175" s="77">
        <f t="shared" si="362"/>
        <v>6.9728499999999985E-2</v>
      </c>
      <c r="BK175" s="77">
        <f t="shared" si="343"/>
        <v>5.632878498097682E-3</v>
      </c>
      <c r="BL175" s="79">
        <v>0</v>
      </c>
      <c r="BM175" s="77">
        <f t="shared" si="374"/>
        <v>0</v>
      </c>
      <c r="BN175" s="77">
        <f t="shared" si="375"/>
        <v>0</v>
      </c>
      <c r="BO175" s="77">
        <f t="shared" si="376"/>
        <v>5.6775999999999997E-3</v>
      </c>
      <c r="BP175" s="77">
        <f t="shared" si="377"/>
        <v>4.7190657760731725E-4</v>
      </c>
    </row>
    <row r="176" spans="1:68">
      <c r="A176" t="s">
        <v>175</v>
      </c>
      <c r="B176" t="s">
        <v>176</v>
      </c>
      <c r="C176" s="197" t="str">
        <f t="shared" si="412"/>
        <v>Lifecycle_Balanced_369</v>
      </c>
      <c r="D176">
        <v>369</v>
      </c>
      <c r="E176">
        <f>VLOOKUP($D176,'[2]LC Balanced'!$Q$2:$U$542,2,FALSE)</f>
        <v>0</v>
      </c>
      <c r="F176">
        <f>VLOOKUP($D176,'[2]LC Balanced'!$Q$2:$U$542,3,FALSE)</f>
        <v>0.14899999999999999</v>
      </c>
      <c r="G176">
        <f>VLOOKUP($D176,'[2]LC Balanced'!$Q$2:$U$542,4,FALSE)</f>
        <v>0.85099999999999998</v>
      </c>
      <c r="H176">
        <f>VLOOKUP($D176,'[2]LC Balanced'!$Q$2:$U$542,5,FALSE)</f>
        <v>0</v>
      </c>
      <c r="I176" s="77">
        <f t="shared" si="356"/>
        <v>1</v>
      </c>
      <c r="J176" s="77">
        <f t="shared" si="357"/>
        <v>6.1987699999999986E-2</v>
      </c>
      <c r="K176" s="77">
        <f t="shared" si="347"/>
        <v>5.024442123284345E-3</v>
      </c>
      <c r="L176" s="76">
        <v>0</v>
      </c>
      <c r="M176" s="77">
        <f t="shared" si="363"/>
        <v>0</v>
      </c>
      <c r="N176" s="77">
        <f t="shared" si="364"/>
        <v>0</v>
      </c>
      <c r="O176" s="77">
        <f t="shared" si="365"/>
        <v>7.0062999999999992E-3</v>
      </c>
      <c r="P176" s="77">
        <f t="shared" si="366"/>
        <v>5.85741666996209E-4</v>
      </c>
      <c r="R176" t="s">
        <v>177</v>
      </c>
      <c r="S176" t="s">
        <v>176</v>
      </c>
      <c r="T176" s="197" t="str">
        <f t="shared" si="455"/>
        <v>Autopilot_Balanced_369</v>
      </c>
      <c r="U176">
        <v>369</v>
      </c>
      <c r="V176">
        <f>VLOOKUP($U176,'[2]AP Balanced'!$Q$1:$T$542,2,FALSE)</f>
        <v>0.77777777777777779</v>
      </c>
      <c r="W176">
        <f>VLOOKUP($U176,'[2]AP Balanced'!$Q$1:$T$542,3,FALSE)</f>
        <v>0.22222222222222221</v>
      </c>
      <c r="X176">
        <f>VLOOKUP($U176,'[2]AP Balanced'!$Q$1:$T$542,4,FALSE)</f>
        <v>0</v>
      </c>
      <c r="Y176" s="77">
        <f t="shared" si="413"/>
        <v>1</v>
      </c>
      <c r="Z176" s="77">
        <f t="shared" si="402"/>
        <v>6.1674999999999987E-2</v>
      </c>
      <c r="AA176" s="77">
        <f t="shared" si="403"/>
        <v>4.9997781870025904E-3</v>
      </c>
      <c r="AB176" s="79">
        <v>1</v>
      </c>
      <c r="AC176" s="77">
        <f t="shared" si="367"/>
        <v>8.0555555555555554E-3</v>
      </c>
      <c r="AD176" s="77">
        <f t="shared" si="358"/>
        <v>6.7378764057135498E-4</v>
      </c>
      <c r="AE176" s="77">
        <f t="shared" si="368"/>
        <v>2.5000000000000001E-3</v>
      </c>
      <c r="AF176" s="77">
        <f t="shared" si="358"/>
        <v>2.0857243058891584E-4</v>
      </c>
      <c r="AH176" t="s">
        <v>175</v>
      </c>
      <c r="AI176" t="s">
        <v>176</v>
      </c>
      <c r="AJ176" s="197" t="str">
        <f t="shared" si="414"/>
        <v>Lifecycle_Balanced_369</v>
      </c>
      <c r="AK176">
        <v>369</v>
      </c>
      <c r="AL176">
        <f>VLOOKUP($U176,[2]Standard_Balanced!$Q$1:$T$542,2,FALSE)</f>
        <v>0.77777777777777779</v>
      </c>
      <c r="AM176">
        <f>VLOOKUP($U176,[2]Standard_Balanced!$Q$1:$T$542,3,FALSE)</f>
        <v>0.22222222222222221</v>
      </c>
      <c r="AN176">
        <f>VLOOKUP($U176,[2]Standard_Balanced!$Q$1:$T$542,4,FALSE)</f>
        <v>0</v>
      </c>
      <c r="AO176" s="77">
        <f t="shared" si="344"/>
        <v>1</v>
      </c>
      <c r="AP176" s="77">
        <f t="shared" si="369"/>
        <v>6.1674999999999987E-2</v>
      </c>
      <c r="AQ176" s="77">
        <f t="shared" si="415"/>
        <v>4.9997781870025904E-3</v>
      </c>
      <c r="AR176" s="79">
        <v>0</v>
      </c>
      <c r="AS176" s="77">
        <f t="shared" si="370"/>
        <v>0</v>
      </c>
      <c r="AT176" s="77">
        <f t="shared" ref="AT176" si="468">1-(1-AS176)^(1/12)</f>
        <v>0</v>
      </c>
      <c r="AU176" s="77">
        <f t="shared" si="372"/>
        <v>2.5000000000000001E-3</v>
      </c>
      <c r="AV176" s="77">
        <f t="shared" ref="AV176" si="469">1-(1-AU176)^(1/12)</f>
        <v>2.0857243058891584E-4</v>
      </c>
      <c r="AX176" t="s">
        <v>178</v>
      </c>
      <c r="AY176" t="s">
        <v>160</v>
      </c>
      <c r="AZ176" s="197" t="str">
        <f t="shared" si="418"/>
        <v>DIS_Non-Standard_369</v>
      </c>
      <c r="BA176">
        <v>369</v>
      </c>
      <c r="BB176">
        <f>VLOOKUP($BA176,'[2]NonStandard DIS'!$Q$1:$X$542,2,FALSE)</f>
        <v>0</v>
      </c>
      <c r="BC176">
        <f>VLOOKUP($BA176,'[2]NonStandard DIS'!$Q$1:$X$542,3,FALSE)</f>
        <v>0</v>
      </c>
      <c r="BD176">
        <f>VLOOKUP($BA176,'[2]NonStandard DIS'!$Q$1:$X$542,4,FALSE)</f>
        <v>0.308</v>
      </c>
      <c r="BE176">
        <f>VLOOKUP($BA176,'[2]NonStandard DIS'!$Q$1:$X$542,5,FALSE)</f>
        <v>0.69199999999999995</v>
      </c>
      <c r="BF176">
        <f>VLOOKUP($BA176,'[2]NonStandard DIS'!$Q$1:$X$542,6,FALSE)</f>
        <v>0</v>
      </c>
      <c r="BG176">
        <f>VLOOKUP($BA176,'[2]NonStandard DIS'!$Q$1:$X$542,7,FALSE)</f>
        <v>0</v>
      </c>
      <c r="BH176">
        <f>VLOOKUP($BA176,'[2]NonStandard DIS'!$Q$1:$X$542,8,FALSE)</f>
        <v>0</v>
      </c>
      <c r="BI176" s="77">
        <f t="shared" si="361"/>
        <v>1</v>
      </c>
      <c r="BJ176" s="77">
        <f t="shared" si="362"/>
        <v>6.9728499999999985E-2</v>
      </c>
      <c r="BK176" s="77">
        <f t="shared" si="343"/>
        <v>5.632878498097682E-3</v>
      </c>
      <c r="BL176" s="79">
        <v>0</v>
      </c>
      <c r="BM176" s="77">
        <f t="shared" si="374"/>
        <v>0</v>
      </c>
      <c r="BN176" s="77">
        <f t="shared" si="375"/>
        <v>0</v>
      </c>
      <c r="BO176" s="77">
        <f t="shared" si="376"/>
        <v>5.6775999999999997E-3</v>
      </c>
      <c r="BP176" s="77">
        <f t="shared" si="377"/>
        <v>4.7190657760731725E-4</v>
      </c>
    </row>
    <row r="177" spans="1:68">
      <c r="A177" t="s">
        <v>175</v>
      </c>
      <c r="B177" t="s">
        <v>176</v>
      </c>
      <c r="C177" s="197" t="str">
        <f t="shared" si="412"/>
        <v>Lifecycle_Balanced_368</v>
      </c>
      <c r="D177">
        <v>368</v>
      </c>
      <c r="E177">
        <f>VLOOKUP($D177,'[2]LC Balanced'!$Q$2:$U$542,2,FALSE)</f>
        <v>0</v>
      </c>
      <c r="F177">
        <f>VLOOKUP($D177,'[2]LC Balanced'!$Q$2:$U$542,3,FALSE)</f>
        <v>0.14899999999999999</v>
      </c>
      <c r="G177">
        <f>VLOOKUP($D177,'[2]LC Balanced'!$Q$2:$U$542,4,FALSE)</f>
        <v>0.85099999999999998</v>
      </c>
      <c r="H177">
        <f>VLOOKUP($D177,'[2]LC Balanced'!$Q$2:$U$542,5,FALSE)</f>
        <v>0</v>
      </c>
      <c r="I177" s="77">
        <f t="shared" si="356"/>
        <v>1</v>
      </c>
      <c r="J177" s="77">
        <f t="shared" si="357"/>
        <v>6.1987699999999986E-2</v>
      </c>
      <c r="K177" s="77">
        <f t="shared" si="347"/>
        <v>5.024442123284345E-3</v>
      </c>
      <c r="L177" s="76">
        <v>0</v>
      </c>
      <c r="M177" s="77">
        <f t="shared" si="363"/>
        <v>0</v>
      </c>
      <c r="N177" s="77">
        <f t="shared" si="364"/>
        <v>0</v>
      </c>
      <c r="O177" s="77">
        <f t="shared" si="365"/>
        <v>7.0062999999999992E-3</v>
      </c>
      <c r="P177" s="77">
        <f t="shared" si="366"/>
        <v>5.85741666996209E-4</v>
      </c>
      <c r="R177" t="s">
        <v>177</v>
      </c>
      <c r="S177" t="s">
        <v>176</v>
      </c>
      <c r="T177" s="197" t="str">
        <f t="shared" si="455"/>
        <v>Autopilot_Balanced_368</v>
      </c>
      <c r="U177">
        <v>368</v>
      </c>
      <c r="V177">
        <f>VLOOKUP($U177,'[2]AP Balanced'!$Q$1:$T$542,2,FALSE)</f>
        <v>0.77777777777777779</v>
      </c>
      <c r="W177">
        <f>VLOOKUP($U177,'[2]AP Balanced'!$Q$1:$T$542,3,FALSE)</f>
        <v>0.22222222222222221</v>
      </c>
      <c r="X177">
        <f>VLOOKUP($U177,'[2]AP Balanced'!$Q$1:$T$542,4,FALSE)</f>
        <v>0</v>
      </c>
      <c r="Y177" s="77">
        <f t="shared" si="413"/>
        <v>1</v>
      </c>
      <c r="Z177" s="77">
        <f t="shared" si="402"/>
        <v>6.1674999999999987E-2</v>
      </c>
      <c r="AA177" s="77">
        <f t="shared" si="403"/>
        <v>4.9997781870025904E-3</v>
      </c>
      <c r="AB177" s="79">
        <v>1</v>
      </c>
      <c r="AC177" s="77">
        <f t="shared" si="367"/>
        <v>8.0555555555555554E-3</v>
      </c>
      <c r="AD177" s="77">
        <f t="shared" si="358"/>
        <v>6.7378764057135498E-4</v>
      </c>
      <c r="AE177" s="77">
        <f t="shared" si="368"/>
        <v>2.5000000000000001E-3</v>
      </c>
      <c r="AF177" s="77">
        <f t="shared" si="358"/>
        <v>2.0857243058891584E-4</v>
      </c>
      <c r="AH177" t="s">
        <v>175</v>
      </c>
      <c r="AI177" t="s">
        <v>176</v>
      </c>
      <c r="AJ177" s="197" t="str">
        <f t="shared" si="414"/>
        <v>Lifecycle_Balanced_368</v>
      </c>
      <c r="AK177">
        <v>368</v>
      </c>
      <c r="AL177">
        <f>VLOOKUP($U177,[2]Standard_Balanced!$Q$1:$T$542,2,FALSE)</f>
        <v>0.77777777777777779</v>
      </c>
      <c r="AM177">
        <f>VLOOKUP($U177,[2]Standard_Balanced!$Q$1:$T$542,3,FALSE)</f>
        <v>0.22222222222222221</v>
      </c>
      <c r="AN177">
        <f>VLOOKUP($U177,[2]Standard_Balanced!$Q$1:$T$542,4,FALSE)</f>
        <v>0</v>
      </c>
      <c r="AO177" s="77">
        <f t="shared" si="344"/>
        <v>1</v>
      </c>
      <c r="AP177" s="77">
        <f t="shared" si="369"/>
        <v>6.1674999999999987E-2</v>
      </c>
      <c r="AQ177" s="77">
        <f t="shared" si="415"/>
        <v>4.9997781870025904E-3</v>
      </c>
      <c r="AR177" s="79">
        <v>0</v>
      </c>
      <c r="AS177" s="77">
        <f t="shared" si="370"/>
        <v>0</v>
      </c>
      <c r="AT177" s="77">
        <f t="shared" ref="AT177" si="470">1-(1-AS177)^(1/12)</f>
        <v>0</v>
      </c>
      <c r="AU177" s="77">
        <f t="shared" si="372"/>
        <v>2.5000000000000001E-3</v>
      </c>
      <c r="AV177" s="77">
        <f t="shared" ref="AV177" si="471">1-(1-AU177)^(1/12)</f>
        <v>2.0857243058891584E-4</v>
      </c>
      <c r="AX177" t="s">
        <v>178</v>
      </c>
      <c r="AY177" t="s">
        <v>160</v>
      </c>
      <c r="AZ177" s="197" t="str">
        <f t="shared" si="418"/>
        <v>DIS_Non-Standard_368</v>
      </c>
      <c r="BA177">
        <v>368</v>
      </c>
      <c r="BB177">
        <f>VLOOKUP($BA177,'[2]NonStandard DIS'!$Q$1:$X$542,2,FALSE)</f>
        <v>0</v>
      </c>
      <c r="BC177">
        <f>VLOOKUP($BA177,'[2]NonStandard DIS'!$Q$1:$X$542,3,FALSE)</f>
        <v>0</v>
      </c>
      <c r="BD177">
        <f>VLOOKUP($BA177,'[2]NonStandard DIS'!$Q$1:$X$542,4,FALSE)</f>
        <v>0.308</v>
      </c>
      <c r="BE177">
        <f>VLOOKUP($BA177,'[2]NonStandard DIS'!$Q$1:$X$542,5,FALSE)</f>
        <v>0.69199999999999995</v>
      </c>
      <c r="BF177">
        <f>VLOOKUP($BA177,'[2]NonStandard DIS'!$Q$1:$X$542,6,FALSE)</f>
        <v>0</v>
      </c>
      <c r="BG177">
        <f>VLOOKUP($BA177,'[2]NonStandard DIS'!$Q$1:$X$542,7,FALSE)</f>
        <v>0</v>
      </c>
      <c r="BH177">
        <f>VLOOKUP($BA177,'[2]NonStandard DIS'!$Q$1:$X$542,8,FALSE)</f>
        <v>0</v>
      </c>
      <c r="BI177" s="77">
        <f t="shared" si="361"/>
        <v>1</v>
      </c>
      <c r="BJ177" s="77">
        <f t="shared" si="362"/>
        <v>6.9728499999999985E-2</v>
      </c>
      <c r="BK177" s="77">
        <f t="shared" si="343"/>
        <v>5.632878498097682E-3</v>
      </c>
      <c r="BL177" s="79">
        <v>0</v>
      </c>
      <c r="BM177" s="77">
        <f t="shared" si="374"/>
        <v>0</v>
      </c>
      <c r="BN177" s="77">
        <f t="shared" si="375"/>
        <v>0</v>
      </c>
      <c r="BO177" s="77">
        <f t="shared" si="376"/>
        <v>5.6775999999999997E-3</v>
      </c>
      <c r="BP177" s="77">
        <f t="shared" si="377"/>
        <v>4.7190657760731725E-4</v>
      </c>
    </row>
    <row r="178" spans="1:68">
      <c r="A178" t="s">
        <v>175</v>
      </c>
      <c r="B178" t="s">
        <v>176</v>
      </c>
      <c r="C178" s="197" t="str">
        <f t="shared" si="412"/>
        <v>Lifecycle_Balanced_367</v>
      </c>
      <c r="D178">
        <v>367</v>
      </c>
      <c r="E178">
        <f>VLOOKUP($D178,'[2]LC Balanced'!$Q$2:$U$542,2,FALSE)</f>
        <v>0</v>
      </c>
      <c r="F178">
        <f>VLOOKUP($D178,'[2]LC Balanced'!$Q$2:$U$542,3,FALSE)</f>
        <v>0.14899999999999999</v>
      </c>
      <c r="G178">
        <f>VLOOKUP($D178,'[2]LC Balanced'!$Q$2:$U$542,4,FALSE)</f>
        <v>0.85099999999999998</v>
      </c>
      <c r="H178">
        <f>VLOOKUP($D178,'[2]LC Balanced'!$Q$2:$U$542,5,FALSE)</f>
        <v>0</v>
      </c>
      <c r="I178" s="77">
        <f t="shared" si="356"/>
        <v>1</v>
      </c>
      <c r="J178" s="77">
        <f t="shared" si="357"/>
        <v>6.1987699999999986E-2</v>
      </c>
      <c r="K178" s="77">
        <f t="shared" si="347"/>
        <v>5.024442123284345E-3</v>
      </c>
      <c r="L178" s="76">
        <v>0</v>
      </c>
      <c r="M178" s="77">
        <f t="shared" si="363"/>
        <v>0</v>
      </c>
      <c r="N178" s="77">
        <f t="shared" si="364"/>
        <v>0</v>
      </c>
      <c r="O178" s="77">
        <f t="shared" si="365"/>
        <v>7.0062999999999992E-3</v>
      </c>
      <c r="P178" s="77">
        <f t="shared" si="366"/>
        <v>5.85741666996209E-4</v>
      </c>
      <c r="R178" t="s">
        <v>177</v>
      </c>
      <c r="S178" t="s">
        <v>176</v>
      </c>
      <c r="T178" s="197" t="str">
        <f t="shared" si="455"/>
        <v>Autopilot_Balanced_367</v>
      </c>
      <c r="U178">
        <v>367</v>
      </c>
      <c r="V178">
        <f>VLOOKUP($U178,'[2]AP Balanced'!$Q$1:$T$542,2,FALSE)</f>
        <v>0.77777777777777779</v>
      </c>
      <c r="W178">
        <f>VLOOKUP($U178,'[2]AP Balanced'!$Q$1:$T$542,3,FALSE)</f>
        <v>0.22222222222222221</v>
      </c>
      <c r="X178">
        <f>VLOOKUP($U178,'[2]AP Balanced'!$Q$1:$T$542,4,FALSE)</f>
        <v>0</v>
      </c>
      <c r="Y178" s="77">
        <f t="shared" si="413"/>
        <v>1</v>
      </c>
      <c r="Z178" s="77">
        <f t="shared" si="402"/>
        <v>6.1674999999999987E-2</v>
      </c>
      <c r="AA178" s="77">
        <f t="shared" si="403"/>
        <v>4.9997781870025904E-3</v>
      </c>
      <c r="AB178" s="79">
        <v>1</v>
      </c>
      <c r="AC178" s="77">
        <f t="shared" si="367"/>
        <v>8.0555555555555554E-3</v>
      </c>
      <c r="AD178" s="77">
        <f t="shared" si="358"/>
        <v>6.7378764057135498E-4</v>
      </c>
      <c r="AE178" s="77">
        <f t="shared" si="368"/>
        <v>2.5000000000000001E-3</v>
      </c>
      <c r="AF178" s="77">
        <f t="shared" si="358"/>
        <v>2.0857243058891584E-4</v>
      </c>
      <c r="AH178" t="s">
        <v>175</v>
      </c>
      <c r="AI178" t="s">
        <v>176</v>
      </c>
      <c r="AJ178" s="197" t="str">
        <f t="shared" si="414"/>
        <v>Lifecycle_Balanced_367</v>
      </c>
      <c r="AK178">
        <v>367</v>
      </c>
      <c r="AL178">
        <f>VLOOKUP($U178,[2]Standard_Balanced!$Q$1:$T$542,2,FALSE)</f>
        <v>0.77777777777777779</v>
      </c>
      <c r="AM178">
        <f>VLOOKUP($U178,[2]Standard_Balanced!$Q$1:$T$542,3,FALSE)</f>
        <v>0.22222222222222221</v>
      </c>
      <c r="AN178">
        <f>VLOOKUP($U178,[2]Standard_Balanced!$Q$1:$T$542,4,FALSE)</f>
        <v>0</v>
      </c>
      <c r="AO178" s="77">
        <f t="shared" si="344"/>
        <v>1</v>
      </c>
      <c r="AP178" s="77">
        <f t="shared" si="369"/>
        <v>6.1674999999999987E-2</v>
      </c>
      <c r="AQ178" s="77">
        <f t="shared" si="415"/>
        <v>4.9997781870025904E-3</v>
      </c>
      <c r="AR178" s="79">
        <v>0</v>
      </c>
      <c r="AS178" s="77">
        <f t="shared" si="370"/>
        <v>0</v>
      </c>
      <c r="AT178" s="77">
        <f t="shared" ref="AT178" si="472">1-(1-AS178)^(1/12)</f>
        <v>0</v>
      </c>
      <c r="AU178" s="77">
        <f t="shared" si="372"/>
        <v>2.5000000000000001E-3</v>
      </c>
      <c r="AV178" s="77">
        <f t="shared" ref="AV178" si="473">1-(1-AU178)^(1/12)</f>
        <v>2.0857243058891584E-4</v>
      </c>
      <c r="AX178" t="s">
        <v>178</v>
      </c>
      <c r="AY178" t="s">
        <v>160</v>
      </c>
      <c r="AZ178" s="197" t="str">
        <f t="shared" si="418"/>
        <v>DIS_Non-Standard_367</v>
      </c>
      <c r="BA178">
        <v>367</v>
      </c>
      <c r="BB178">
        <f>VLOOKUP($BA178,'[2]NonStandard DIS'!$Q$1:$X$542,2,FALSE)</f>
        <v>0</v>
      </c>
      <c r="BC178">
        <f>VLOOKUP($BA178,'[2]NonStandard DIS'!$Q$1:$X$542,3,FALSE)</f>
        <v>0</v>
      </c>
      <c r="BD178">
        <f>VLOOKUP($BA178,'[2]NonStandard DIS'!$Q$1:$X$542,4,FALSE)</f>
        <v>0.308</v>
      </c>
      <c r="BE178">
        <f>VLOOKUP($BA178,'[2]NonStandard DIS'!$Q$1:$X$542,5,FALSE)</f>
        <v>0.69199999999999995</v>
      </c>
      <c r="BF178">
        <f>VLOOKUP($BA178,'[2]NonStandard DIS'!$Q$1:$X$542,6,FALSE)</f>
        <v>0</v>
      </c>
      <c r="BG178">
        <f>VLOOKUP($BA178,'[2]NonStandard DIS'!$Q$1:$X$542,7,FALSE)</f>
        <v>0</v>
      </c>
      <c r="BH178">
        <f>VLOOKUP($BA178,'[2]NonStandard DIS'!$Q$1:$X$542,8,FALSE)</f>
        <v>0</v>
      </c>
      <c r="BI178" s="77">
        <f t="shared" si="361"/>
        <v>1</v>
      </c>
      <c r="BJ178" s="77">
        <f t="shared" si="362"/>
        <v>6.9728499999999985E-2</v>
      </c>
      <c r="BK178" s="77">
        <f t="shared" si="343"/>
        <v>5.632878498097682E-3</v>
      </c>
      <c r="BL178" s="79">
        <v>0</v>
      </c>
      <c r="BM178" s="77">
        <f t="shared" si="374"/>
        <v>0</v>
      </c>
      <c r="BN178" s="77">
        <f t="shared" si="375"/>
        <v>0</v>
      </c>
      <c r="BO178" s="77">
        <f t="shared" si="376"/>
        <v>5.6775999999999997E-3</v>
      </c>
      <c r="BP178" s="77">
        <f t="shared" si="377"/>
        <v>4.7190657760731725E-4</v>
      </c>
    </row>
    <row r="179" spans="1:68">
      <c r="A179" t="s">
        <v>175</v>
      </c>
      <c r="B179" t="s">
        <v>176</v>
      </c>
      <c r="C179" s="197" t="str">
        <f t="shared" si="412"/>
        <v>Lifecycle_Balanced_366</v>
      </c>
      <c r="D179">
        <v>366</v>
      </c>
      <c r="E179">
        <f>VLOOKUP($D179,'[2]LC Balanced'!$Q$2:$U$542,2,FALSE)</f>
        <v>0</v>
      </c>
      <c r="F179">
        <f>VLOOKUP($D179,'[2]LC Balanced'!$Q$2:$U$542,3,FALSE)</f>
        <v>0.14899999999999999</v>
      </c>
      <c r="G179">
        <f>VLOOKUP($D179,'[2]LC Balanced'!$Q$2:$U$542,4,FALSE)</f>
        <v>0.85099999999999998</v>
      </c>
      <c r="H179">
        <f>VLOOKUP($D179,'[2]LC Balanced'!$Q$2:$U$542,5,FALSE)</f>
        <v>0</v>
      </c>
      <c r="I179" s="77">
        <f t="shared" si="356"/>
        <v>1</v>
      </c>
      <c r="J179" s="77">
        <f t="shared" si="357"/>
        <v>6.1987699999999986E-2</v>
      </c>
      <c r="K179" s="77">
        <f t="shared" si="347"/>
        <v>5.024442123284345E-3</v>
      </c>
      <c r="L179" s="76">
        <v>0</v>
      </c>
      <c r="M179" s="77">
        <f t="shared" si="363"/>
        <v>0</v>
      </c>
      <c r="N179" s="77">
        <f t="shared" si="364"/>
        <v>0</v>
      </c>
      <c r="O179" s="77">
        <f t="shared" si="365"/>
        <v>7.0062999999999992E-3</v>
      </c>
      <c r="P179" s="77">
        <f t="shared" si="366"/>
        <v>5.85741666996209E-4</v>
      </c>
      <c r="R179" t="s">
        <v>177</v>
      </c>
      <c r="S179" t="s">
        <v>176</v>
      </c>
      <c r="T179" s="197" t="str">
        <f t="shared" si="455"/>
        <v>Autopilot_Balanced_366</v>
      </c>
      <c r="U179">
        <v>366</v>
      </c>
      <c r="V179">
        <f>VLOOKUP($U179,'[2]AP Balanced'!$Q$1:$T$542,2,FALSE)</f>
        <v>0.77777777777777779</v>
      </c>
      <c r="W179">
        <f>VLOOKUP($U179,'[2]AP Balanced'!$Q$1:$T$542,3,FALSE)</f>
        <v>0.22222222222222221</v>
      </c>
      <c r="X179">
        <f>VLOOKUP($U179,'[2]AP Balanced'!$Q$1:$T$542,4,FALSE)</f>
        <v>0</v>
      </c>
      <c r="Y179" s="77">
        <f t="shared" si="413"/>
        <v>1</v>
      </c>
      <c r="Z179" s="77">
        <f t="shared" si="402"/>
        <v>6.1674999999999987E-2</v>
      </c>
      <c r="AA179" s="77">
        <f t="shared" si="403"/>
        <v>4.9997781870025904E-3</v>
      </c>
      <c r="AB179" s="79">
        <v>1</v>
      </c>
      <c r="AC179" s="77">
        <f t="shared" si="367"/>
        <v>8.0555555555555554E-3</v>
      </c>
      <c r="AD179" s="77">
        <f t="shared" si="358"/>
        <v>6.7378764057135498E-4</v>
      </c>
      <c r="AE179" s="77">
        <f t="shared" si="368"/>
        <v>2.5000000000000001E-3</v>
      </c>
      <c r="AF179" s="77">
        <f t="shared" si="358"/>
        <v>2.0857243058891584E-4</v>
      </c>
      <c r="AH179" t="s">
        <v>175</v>
      </c>
      <c r="AI179" t="s">
        <v>176</v>
      </c>
      <c r="AJ179" s="197" t="str">
        <f t="shared" si="414"/>
        <v>Lifecycle_Balanced_366</v>
      </c>
      <c r="AK179">
        <v>366</v>
      </c>
      <c r="AL179">
        <f>VLOOKUP($U179,[2]Standard_Balanced!$Q$1:$T$542,2,FALSE)</f>
        <v>0.77777777777777779</v>
      </c>
      <c r="AM179">
        <f>VLOOKUP($U179,[2]Standard_Balanced!$Q$1:$T$542,3,FALSE)</f>
        <v>0.22222222222222221</v>
      </c>
      <c r="AN179">
        <f>VLOOKUP($U179,[2]Standard_Balanced!$Q$1:$T$542,4,FALSE)</f>
        <v>0</v>
      </c>
      <c r="AO179" s="77">
        <f t="shared" si="344"/>
        <v>1</v>
      </c>
      <c r="AP179" s="77">
        <f t="shared" si="369"/>
        <v>6.1674999999999987E-2</v>
      </c>
      <c r="AQ179" s="77">
        <f t="shared" si="415"/>
        <v>4.9997781870025904E-3</v>
      </c>
      <c r="AR179" s="79">
        <v>0</v>
      </c>
      <c r="AS179" s="77">
        <f t="shared" si="370"/>
        <v>0</v>
      </c>
      <c r="AT179" s="77">
        <f t="shared" ref="AT179" si="474">1-(1-AS179)^(1/12)</f>
        <v>0</v>
      </c>
      <c r="AU179" s="77">
        <f t="shared" si="372"/>
        <v>2.5000000000000001E-3</v>
      </c>
      <c r="AV179" s="77">
        <f t="shared" ref="AV179" si="475">1-(1-AU179)^(1/12)</f>
        <v>2.0857243058891584E-4</v>
      </c>
      <c r="AX179" t="s">
        <v>178</v>
      </c>
      <c r="AY179" t="s">
        <v>160</v>
      </c>
      <c r="AZ179" s="197" t="str">
        <f t="shared" si="418"/>
        <v>DIS_Non-Standard_366</v>
      </c>
      <c r="BA179">
        <v>366</v>
      </c>
      <c r="BB179">
        <f>VLOOKUP($BA179,'[2]NonStandard DIS'!$Q$1:$X$542,2,FALSE)</f>
        <v>0</v>
      </c>
      <c r="BC179">
        <f>VLOOKUP($BA179,'[2]NonStandard DIS'!$Q$1:$X$542,3,FALSE)</f>
        <v>0</v>
      </c>
      <c r="BD179">
        <f>VLOOKUP($BA179,'[2]NonStandard DIS'!$Q$1:$X$542,4,FALSE)</f>
        <v>0.308</v>
      </c>
      <c r="BE179">
        <f>VLOOKUP($BA179,'[2]NonStandard DIS'!$Q$1:$X$542,5,FALSE)</f>
        <v>0.69199999999999995</v>
      </c>
      <c r="BF179">
        <f>VLOOKUP($BA179,'[2]NonStandard DIS'!$Q$1:$X$542,6,FALSE)</f>
        <v>0</v>
      </c>
      <c r="BG179">
        <f>VLOOKUP($BA179,'[2]NonStandard DIS'!$Q$1:$X$542,7,FALSE)</f>
        <v>0</v>
      </c>
      <c r="BH179">
        <f>VLOOKUP($BA179,'[2]NonStandard DIS'!$Q$1:$X$542,8,FALSE)</f>
        <v>0</v>
      </c>
      <c r="BI179" s="77">
        <f t="shared" si="361"/>
        <v>1</v>
      </c>
      <c r="BJ179" s="77">
        <f t="shared" si="362"/>
        <v>6.9728499999999985E-2</v>
      </c>
      <c r="BK179" s="77">
        <f t="shared" si="343"/>
        <v>5.632878498097682E-3</v>
      </c>
      <c r="BL179" s="79">
        <v>0</v>
      </c>
      <c r="BM179" s="77">
        <f t="shared" si="374"/>
        <v>0</v>
      </c>
      <c r="BN179" s="77">
        <f t="shared" si="375"/>
        <v>0</v>
      </c>
      <c r="BO179" s="77">
        <f t="shared" si="376"/>
        <v>5.6775999999999997E-3</v>
      </c>
      <c r="BP179" s="77">
        <f t="shared" si="377"/>
        <v>4.7190657760731725E-4</v>
      </c>
    </row>
    <row r="180" spans="1:68">
      <c r="A180" t="s">
        <v>175</v>
      </c>
      <c r="B180" t="s">
        <v>176</v>
      </c>
      <c r="C180" s="197" t="str">
        <f t="shared" si="412"/>
        <v>Lifecycle_Balanced_365</v>
      </c>
      <c r="D180">
        <v>365</v>
      </c>
      <c r="E180">
        <f>VLOOKUP($D180,'[2]LC Balanced'!$Q$2:$U$542,2,FALSE)</f>
        <v>0</v>
      </c>
      <c r="F180">
        <f>VLOOKUP($D180,'[2]LC Balanced'!$Q$2:$U$542,3,FALSE)</f>
        <v>0.14899999999999999</v>
      </c>
      <c r="G180">
        <f>VLOOKUP($D180,'[2]LC Balanced'!$Q$2:$U$542,4,FALSE)</f>
        <v>0.85099999999999998</v>
      </c>
      <c r="H180">
        <f>VLOOKUP($D180,'[2]LC Balanced'!$Q$2:$U$542,5,FALSE)</f>
        <v>0</v>
      </c>
      <c r="I180" s="77">
        <f t="shared" si="356"/>
        <v>1</v>
      </c>
      <c r="J180" s="77">
        <f t="shared" si="357"/>
        <v>6.1987699999999986E-2</v>
      </c>
      <c r="K180" s="77">
        <f t="shared" si="347"/>
        <v>5.024442123284345E-3</v>
      </c>
      <c r="L180" s="76">
        <v>0</v>
      </c>
      <c r="M180" s="77">
        <f t="shared" si="363"/>
        <v>0</v>
      </c>
      <c r="N180" s="77">
        <f t="shared" si="364"/>
        <v>0</v>
      </c>
      <c r="O180" s="77">
        <f t="shared" si="365"/>
        <v>7.0062999999999992E-3</v>
      </c>
      <c r="P180" s="77">
        <f t="shared" si="366"/>
        <v>5.85741666996209E-4</v>
      </c>
      <c r="R180" t="s">
        <v>177</v>
      </c>
      <c r="S180" t="s">
        <v>176</v>
      </c>
      <c r="T180" s="197" t="str">
        <f t="shared" si="455"/>
        <v>Autopilot_Balanced_365</v>
      </c>
      <c r="U180">
        <v>365</v>
      </c>
      <c r="V180">
        <f>VLOOKUP($U180,'[2]AP Balanced'!$Q$1:$T$542,2,FALSE)</f>
        <v>0.77777777777777779</v>
      </c>
      <c r="W180">
        <f>VLOOKUP($U180,'[2]AP Balanced'!$Q$1:$T$542,3,FALSE)</f>
        <v>0.22222222222222221</v>
      </c>
      <c r="X180">
        <f>VLOOKUP($U180,'[2]AP Balanced'!$Q$1:$T$542,4,FALSE)</f>
        <v>0</v>
      </c>
      <c r="Y180" s="77">
        <f t="shared" si="413"/>
        <v>1</v>
      </c>
      <c r="Z180" s="77">
        <f t="shared" si="402"/>
        <v>6.1674999999999987E-2</v>
      </c>
      <c r="AA180" s="77">
        <f t="shared" si="403"/>
        <v>4.9997781870025904E-3</v>
      </c>
      <c r="AB180" s="79">
        <v>1</v>
      </c>
      <c r="AC180" s="77">
        <f t="shared" si="367"/>
        <v>8.0555555555555554E-3</v>
      </c>
      <c r="AD180" s="77">
        <f t="shared" si="358"/>
        <v>6.7378764057135498E-4</v>
      </c>
      <c r="AE180" s="77">
        <f t="shared" si="368"/>
        <v>2.5000000000000001E-3</v>
      </c>
      <c r="AF180" s="77">
        <f t="shared" si="358"/>
        <v>2.0857243058891584E-4</v>
      </c>
      <c r="AH180" t="s">
        <v>175</v>
      </c>
      <c r="AI180" t="s">
        <v>176</v>
      </c>
      <c r="AJ180" s="197" t="str">
        <f t="shared" si="414"/>
        <v>Lifecycle_Balanced_365</v>
      </c>
      <c r="AK180">
        <v>365</v>
      </c>
      <c r="AL180">
        <f>VLOOKUP($U180,[2]Standard_Balanced!$Q$1:$T$542,2,FALSE)</f>
        <v>0.77777777777777779</v>
      </c>
      <c r="AM180">
        <f>VLOOKUP($U180,[2]Standard_Balanced!$Q$1:$T$542,3,FALSE)</f>
        <v>0.22222222222222221</v>
      </c>
      <c r="AN180">
        <f>VLOOKUP($U180,[2]Standard_Balanced!$Q$1:$T$542,4,FALSE)</f>
        <v>0</v>
      </c>
      <c r="AO180" s="77">
        <f t="shared" si="344"/>
        <v>1</v>
      </c>
      <c r="AP180" s="77">
        <f t="shared" si="369"/>
        <v>6.1674999999999987E-2</v>
      </c>
      <c r="AQ180" s="77">
        <f t="shared" si="415"/>
        <v>4.9997781870025904E-3</v>
      </c>
      <c r="AR180" s="79">
        <v>0</v>
      </c>
      <c r="AS180" s="77">
        <f t="shared" si="370"/>
        <v>0</v>
      </c>
      <c r="AT180" s="77">
        <f t="shared" ref="AT180" si="476">1-(1-AS180)^(1/12)</f>
        <v>0</v>
      </c>
      <c r="AU180" s="77">
        <f t="shared" si="372"/>
        <v>2.5000000000000001E-3</v>
      </c>
      <c r="AV180" s="77">
        <f t="shared" ref="AV180" si="477">1-(1-AU180)^(1/12)</f>
        <v>2.0857243058891584E-4</v>
      </c>
      <c r="AX180" t="s">
        <v>178</v>
      </c>
      <c r="AY180" t="s">
        <v>160</v>
      </c>
      <c r="AZ180" s="197" t="str">
        <f t="shared" si="418"/>
        <v>DIS_Non-Standard_365</v>
      </c>
      <c r="BA180">
        <v>365</v>
      </c>
      <c r="BB180">
        <f>VLOOKUP($BA180,'[2]NonStandard DIS'!$Q$1:$X$542,2,FALSE)</f>
        <v>0</v>
      </c>
      <c r="BC180">
        <f>VLOOKUP($BA180,'[2]NonStandard DIS'!$Q$1:$X$542,3,FALSE)</f>
        <v>0</v>
      </c>
      <c r="BD180">
        <f>VLOOKUP($BA180,'[2]NonStandard DIS'!$Q$1:$X$542,4,FALSE)</f>
        <v>0.308</v>
      </c>
      <c r="BE180">
        <f>VLOOKUP($BA180,'[2]NonStandard DIS'!$Q$1:$X$542,5,FALSE)</f>
        <v>0.69199999999999995</v>
      </c>
      <c r="BF180">
        <f>VLOOKUP($BA180,'[2]NonStandard DIS'!$Q$1:$X$542,6,FALSE)</f>
        <v>0</v>
      </c>
      <c r="BG180">
        <f>VLOOKUP($BA180,'[2]NonStandard DIS'!$Q$1:$X$542,7,FALSE)</f>
        <v>0</v>
      </c>
      <c r="BH180">
        <f>VLOOKUP($BA180,'[2]NonStandard DIS'!$Q$1:$X$542,8,FALSE)</f>
        <v>0</v>
      </c>
      <c r="BI180" s="77">
        <f t="shared" si="361"/>
        <v>1</v>
      </c>
      <c r="BJ180" s="77">
        <f t="shared" si="362"/>
        <v>6.9728499999999985E-2</v>
      </c>
      <c r="BK180" s="77">
        <f t="shared" si="343"/>
        <v>5.632878498097682E-3</v>
      </c>
      <c r="BL180" s="79">
        <v>0</v>
      </c>
      <c r="BM180" s="77">
        <f t="shared" si="374"/>
        <v>0</v>
      </c>
      <c r="BN180" s="77">
        <f t="shared" si="375"/>
        <v>0</v>
      </c>
      <c r="BO180" s="77">
        <f t="shared" si="376"/>
        <v>5.6775999999999997E-3</v>
      </c>
      <c r="BP180" s="77">
        <f t="shared" si="377"/>
        <v>4.7190657760731725E-4</v>
      </c>
    </row>
    <row r="181" spans="1:68">
      <c r="A181" t="s">
        <v>175</v>
      </c>
      <c r="B181" t="s">
        <v>176</v>
      </c>
      <c r="C181" s="197" t="str">
        <f t="shared" si="412"/>
        <v>Lifecycle_Balanced_364</v>
      </c>
      <c r="D181">
        <v>364</v>
      </c>
      <c r="E181">
        <f>VLOOKUP($D181,'[2]LC Balanced'!$Q$2:$U$542,2,FALSE)</f>
        <v>0</v>
      </c>
      <c r="F181">
        <f>VLOOKUP($D181,'[2]LC Balanced'!$Q$2:$U$542,3,FALSE)</f>
        <v>0.14899999999999999</v>
      </c>
      <c r="G181">
        <f>VLOOKUP($D181,'[2]LC Balanced'!$Q$2:$U$542,4,FALSE)</f>
        <v>0.85099999999999998</v>
      </c>
      <c r="H181">
        <f>VLOOKUP($D181,'[2]LC Balanced'!$Q$2:$U$542,5,FALSE)</f>
        <v>0</v>
      </c>
      <c r="I181" s="77">
        <f t="shared" si="356"/>
        <v>1</v>
      </c>
      <c r="J181" s="77">
        <f t="shared" si="357"/>
        <v>6.1987699999999986E-2</v>
      </c>
      <c r="K181" s="77">
        <f t="shared" si="347"/>
        <v>5.024442123284345E-3</v>
      </c>
      <c r="L181" s="76">
        <v>0</v>
      </c>
      <c r="M181" s="77">
        <f t="shared" si="363"/>
        <v>0</v>
      </c>
      <c r="N181" s="77">
        <f t="shared" si="364"/>
        <v>0</v>
      </c>
      <c r="O181" s="77">
        <f t="shared" si="365"/>
        <v>7.0062999999999992E-3</v>
      </c>
      <c r="P181" s="77">
        <f t="shared" si="366"/>
        <v>5.85741666996209E-4</v>
      </c>
      <c r="R181" t="s">
        <v>177</v>
      </c>
      <c r="S181" t="s">
        <v>176</v>
      </c>
      <c r="T181" s="197" t="str">
        <f t="shared" si="455"/>
        <v>Autopilot_Balanced_364</v>
      </c>
      <c r="U181">
        <v>364</v>
      </c>
      <c r="V181">
        <f>VLOOKUP($U181,'[2]AP Balanced'!$Q$1:$T$542,2,FALSE)</f>
        <v>0.77777777777777779</v>
      </c>
      <c r="W181">
        <f>VLOOKUP($U181,'[2]AP Balanced'!$Q$1:$T$542,3,FALSE)</f>
        <v>0.22222222222222221</v>
      </c>
      <c r="X181">
        <f>VLOOKUP($U181,'[2]AP Balanced'!$Q$1:$T$542,4,FALSE)</f>
        <v>0</v>
      </c>
      <c r="Y181" s="77">
        <f t="shared" si="413"/>
        <v>1</v>
      </c>
      <c r="Z181" s="77">
        <f t="shared" si="402"/>
        <v>6.1674999999999987E-2</v>
      </c>
      <c r="AA181" s="77">
        <f t="shared" si="403"/>
        <v>4.9997781870025904E-3</v>
      </c>
      <c r="AB181" s="79">
        <v>1</v>
      </c>
      <c r="AC181" s="77">
        <f t="shared" si="367"/>
        <v>8.0555555555555554E-3</v>
      </c>
      <c r="AD181" s="77">
        <f t="shared" si="358"/>
        <v>6.7378764057135498E-4</v>
      </c>
      <c r="AE181" s="77">
        <f t="shared" si="368"/>
        <v>2.5000000000000001E-3</v>
      </c>
      <c r="AF181" s="77">
        <f t="shared" si="358"/>
        <v>2.0857243058891584E-4</v>
      </c>
      <c r="AH181" t="s">
        <v>175</v>
      </c>
      <c r="AI181" t="s">
        <v>176</v>
      </c>
      <c r="AJ181" s="197" t="str">
        <f t="shared" si="414"/>
        <v>Lifecycle_Balanced_364</v>
      </c>
      <c r="AK181">
        <v>364</v>
      </c>
      <c r="AL181">
        <f>VLOOKUP($U181,[2]Standard_Balanced!$Q$1:$T$542,2,FALSE)</f>
        <v>0.77777777777777779</v>
      </c>
      <c r="AM181">
        <f>VLOOKUP($U181,[2]Standard_Balanced!$Q$1:$T$542,3,FALSE)</f>
        <v>0.22222222222222221</v>
      </c>
      <c r="AN181">
        <f>VLOOKUP($U181,[2]Standard_Balanced!$Q$1:$T$542,4,FALSE)</f>
        <v>0</v>
      </c>
      <c r="AO181" s="77">
        <f t="shared" si="344"/>
        <v>1</v>
      </c>
      <c r="AP181" s="77">
        <f t="shared" si="369"/>
        <v>6.1674999999999987E-2</v>
      </c>
      <c r="AQ181" s="77">
        <f t="shared" si="415"/>
        <v>4.9997781870025904E-3</v>
      </c>
      <c r="AR181" s="79">
        <v>0</v>
      </c>
      <c r="AS181" s="77">
        <f t="shared" si="370"/>
        <v>0</v>
      </c>
      <c r="AT181" s="77">
        <f t="shared" ref="AT181" si="478">1-(1-AS181)^(1/12)</f>
        <v>0</v>
      </c>
      <c r="AU181" s="77">
        <f t="shared" si="372"/>
        <v>2.5000000000000001E-3</v>
      </c>
      <c r="AV181" s="77">
        <f t="shared" ref="AV181" si="479">1-(1-AU181)^(1/12)</f>
        <v>2.0857243058891584E-4</v>
      </c>
      <c r="AX181" t="s">
        <v>178</v>
      </c>
      <c r="AY181" t="s">
        <v>160</v>
      </c>
      <c r="AZ181" s="197" t="str">
        <f t="shared" si="418"/>
        <v>DIS_Non-Standard_364</v>
      </c>
      <c r="BA181">
        <v>364</v>
      </c>
      <c r="BB181">
        <f>VLOOKUP($BA181,'[2]NonStandard DIS'!$Q$1:$X$542,2,FALSE)</f>
        <v>0</v>
      </c>
      <c r="BC181">
        <f>VLOOKUP($BA181,'[2]NonStandard DIS'!$Q$1:$X$542,3,FALSE)</f>
        <v>0</v>
      </c>
      <c r="BD181">
        <f>VLOOKUP($BA181,'[2]NonStandard DIS'!$Q$1:$X$542,4,FALSE)</f>
        <v>0.308</v>
      </c>
      <c r="BE181">
        <f>VLOOKUP($BA181,'[2]NonStandard DIS'!$Q$1:$X$542,5,FALSE)</f>
        <v>0.69199999999999995</v>
      </c>
      <c r="BF181">
        <f>VLOOKUP($BA181,'[2]NonStandard DIS'!$Q$1:$X$542,6,FALSE)</f>
        <v>0</v>
      </c>
      <c r="BG181">
        <f>VLOOKUP($BA181,'[2]NonStandard DIS'!$Q$1:$X$542,7,FALSE)</f>
        <v>0</v>
      </c>
      <c r="BH181">
        <f>VLOOKUP($BA181,'[2]NonStandard DIS'!$Q$1:$X$542,8,FALSE)</f>
        <v>0</v>
      </c>
      <c r="BI181" s="77">
        <f t="shared" si="361"/>
        <v>1</v>
      </c>
      <c r="BJ181" s="77">
        <f t="shared" si="362"/>
        <v>6.9728499999999985E-2</v>
      </c>
      <c r="BK181" s="77">
        <f t="shared" si="343"/>
        <v>5.632878498097682E-3</v>
      </c>
      <c r="BL181" s="79">
        <v>0</v>
      </c>
      <c r="BM181" s="77">
        <f t="shared" si="374"/>
        <v>0</v>
      </c>
      <c r="BN181" s="77">
        <f t="shared" si="375"/>
        <v>0</v>
      </c>
      <c r="BO181" s="77">
        <f t="shared" si="376"/>
        <v>5.6775999999999997E-3</v>
      </c>
      <c r="BP181" s="77">
        <f t="shared" si="377"/>
        <v>4.7190657760731725E-4</v>
      </c>
    </row>
    <row r="182" spans="1:68">
      <c r="A182" t="s">
        <v>175</v>
      </c>
      <c r="B182" t="s">
        <v>176</v>
      </c>
      <c r="C182" s="197" t="str">
        <f t="shared" si="412"/>
        <v>Lifecycle_Balanced_363</v>
      </c>
      <c r="D182">
        <v>363</v>
      </c>
      <c r="E182">
        <f>VLOOKUP($D182,'[2]LC Balanced'!$Q$2:$U$542,2,FALSE)</f>
        <v>0</v>
      </c>
      <c r="F182">
        <f>VLOOKUP($D182,'[2]LC Balanced'!$Q$2:$U$542,3,FALSE)</f>
        <v>0.14899999999999999</v>
      </c>
      <c r="G182">
        <f>VLOOKUP($D182,'[2]LC Balanced'!$Q$2:$U$542,4,FALSE)</f>
        <v>0.85099999999999998</v>
      </c>
      <c r="H182">
        <f>VLOOKUP($D182,'[2]LC Balanced'!$Q$2:$U$542,5,FALSE)</f>
        <v>0</v>
      </c>
      <c r="I182" s="77">
        <f t="shared" si="356"/>
        <v>1</v>
      </c>
      <c r="J182" s="77">
        <f t="shared" si="357"/>
        <v>6.1987699999999986E-2</v>
      </c>
      <c r="K182" s="77">
        <f t="shared" si="347"/>
        <v>5.024442123284345E-3</v>
      </c>
      <c r="L182" s="76">
        <v>0</v>
      </c>
      <c r="M182" s="77">
        <f t="shared" si="363"/>
        <v>0</v>
      </c>
      <c r="N182" s="77">
        <f t="shared" si="364"/>
        <v>0</v>
      </c>
      <c r="O182" s="77">
        <f t="shared" si="365"/>
        <v>7.0062999999999992E-3</v>
      </c>
      <c r="P182" s="77">
        <f t="shared" si="366"/>
        <v>5.85741666996209E-4</v>
      </c>
      <c r="R182" t="s">
        <v>177</v>
      </c>
      <c r="S182" t="s">
        <v>176</v>
      </c>
      <c r="T182" s="197" t="str">
        <f t="shared" si="455"/>
        <v>Autopilot_Balanced_363</v>
      </c>
      <c r="U182">
        <v>363</v>
      </c>
      <c r="V182">
        <f>VLOOKUP($U182,'[2]AP Balanced'!$Q$1:$T$542,2,FALSE)</f>
        <v>0.77777777777777779</v>
      </c>
      <c r="W182">
        <f>VLOOKUP($U182,'[2]AP Balanced'!$Q$1:$T$542,3,FALSE)</f>
        <v>0.22222222222222221</v>
      </c>
      <c r="X182">
        <f>VLOOKUP($U182,'[2]AP Balanced'!$Q$1:$T$542,4,FALSE)</f>
        <v>0</v>
      </c>
      <c r="Y182" s="77">
        <f t="shared" si="413"/>
        <v>1</v>
      </c>
      <c r="Z182" s="77">
        <f t="shared" si="402"/>
        <v>6.1674999999999987E-2</v>
      </c>
      <c r="AA182" s="77">
        <f t="shared" si="403"/>
        <v>4.9997781870025904E-3</v>
      </c>
      <c r="AB182" s="79">
        <v>1</v>
      </c>
      <c r="AC182" s="77">
        <f t="shared" si="367"/>
        <v>8.0555555555555554E-3</v>
      </c>
      <c r="AD182" s="77">
        <f t="shared" si="358"/>
        <v>6.7378764057135498E-4</v>
      </c>
      <c r="AE182" s="77">
        <f t="shared" si="368"/>
        <v>2.5000000000000001E-3</v>
      </c>
      <c r="AF182" s="77">
        <f t="shared" si="358"/>
        <v>2.0857243058891584E-4</v>
      </c>
      <c r="AH182" t="s">
        <v>175</v>
      </c>
      <c r="AI182" t="s">
        <v>176</v>
      </c>
      <c r="AJ182" s="197" t="str">
        <f t="shared" si="414"/>
        <v>Lifecycle_Balanced_363</v>
      </c>
      <c r="AK182">
        <v>363</v>
      </c>
      <c r="AL182">
        <f>VLOOKUP($U182,[2]Standard_Balanced!$Q$1:$T$542,2,FALSE)</f>
        <v>0.77777777777777779</v>
      </c>
      <c r="AM182">
        <f>VLOOKUP($U182,[2]Standard_Balanced!$Q$1:$T$542,3,FALSE)</f>
        <v>0.22222222222222221</v>
      </c>
      <c r="AN182">
        <f>VLOOKUP($U182,[2]Standard_Balanced!$Q$1:$T$542,4,FALSE)</f>
        <v>0</v>
      </c>
      <c r="AO182" s="77">
        <f t="shared" si="344"/>
        <v>1</v>
      </c>
      <c r="AP182" s="77">
        <f t="shared" si="369"/>
        <v>6.1674999999999987E-2</v>
      </c>
      <c r="AQ182" s="77">
        <f t="shared" si="415"/>
        <v>4.9997781870025904E-3</v>
      </c>
      <c r="AR182" s="79">
        <v>0</v>
      </c>
      <c r="AS182" s="77">
        <f t="shared" si="370"/>
        <v>0</v>
      </c>
      <c r="AT182" s="77">
        <f t="shared" ref="AT182" si="480">1-(1-AS182)^(1/12)</f>
        <v>0</v>
      </c>
      <c r="AU182" s="77">
        <f t="shared" si="372"/>
        <v>2.5000000000000001E-3</v>
      </c>
      <c r="AV182" s="77">
        <f t="shared" ref="AV182" si="481">1-(1-AU182)^(1/12)</f>
        <v>2.0857243058891584E-4</v>
      </c>
      <c r="AX182" t="s">
        <v>178</v>
      </c>
      <c r="AY182" t="s">
        <v>160</v>
      </c>
      <c r="AZ182" s="197" t="str">
        <f t="shared" si="418"/>
        <v>DIS_Non-Standard_363</v>
      </c>
      <c r="BA182">
        <v>363</v>
      </c>
      <c r="BB182">
        <f>VLOOKUP($BA182,'[2]NonStandard DIS'!$Q$1:$X$542,2,FALSE)</f>
        <v>0</v>
      </c>
      <c r="BC182">
        <f>VLOOKUP($BA182,'[2]NonStandard DIS'!$Q$1:$X$542,3,FALSE)</f>
        <v>0</v>
      </c>
      <c r="BD182">
        <f>VLOOKUP($BA182,'[2]NonStandard DIS'!$Q$1:$X$542,4,FALSE)</f>
        <v>0.308</v>
      </c>
      <c r="BE182">
        <f>VLOOKUP($BA182,'[2]NonStandard DIS'!$Q$1:$X$542,5,FALSE)</f>
        <v>0.69199999999999995</v>
      </c>
      <c r="BF182">
        <f>VLOOKUP($BA182,'[2]NonStandard DIS'!$Q$1:$X$542,6,FALSE)</f>
        <v>0</v>
      </c>
      <c r="BG182">
        <f>VLOOKUP($BA182,'[2]NonStandard DIS'!$Q$1:$X$542,7,FALSE)</f>
        <v>0</v>
      </c>
      <c r="BH182">
        <f>VLOOKUP($BA182,'[2]NonStandard DIS'!$Q$1:$X$542,8,FALSE)</f>
        <v>0</v>
      </c>
      <c r="BI182" s="77">
        <f t="shared" si="361"/>
        <v>1</v>
      </c>
      <c r="BJ182" s="77">
        <f t="shared" si="362"/>
        <v>6.9728499999999985E-2</v>
      </c>
      <c r="BK182" s="77">
        <f t="shared" si="343"/>
        <v>5.632878498097682E-3</v>
      </c>
      <c r="BL182" s="79">
        <v>0</v>
      </c>
      <c r="BM182" s="77">
        <f t="shared" si="374"/>
        <v>0</v>
      </c>
      <c r="BN182" s="77">
        <f t="shared" si="375"/>
        <v>0</v>
      </c>
      <c r="BO182" s="77">
        <f t="shared" si="376"/>
        <v>5.6775999999999997E-3</v>
      </c>
      <c r="BP182" s="77">
        <f t="shared" si="377"/>
        <v>4.7190657760731725E-4</v>
      </c>
    </row>
    <row r="183" spans="1:68">
      <c r="A183" t="s">
        <v>175</v>
      </c>
      <c r="B183" t="s">
        <v>176</v>
      </c>
      <c r="C183" s="197" t="str">
        <f t="shared" si="412"/>
        <v>Lifecycle_Balanced_362</v>
      </c>
      <c r="D183">
        <v>362</v>
      </c>
      <c r="E183">
        <f>VLOOKUP($D183,'[2]LC Balanced'!$Q$2:$U$542,2,FALSE)</f>
        <v>0</v>
      </c>
      <c r="F183">
        <f>VLOOKUP($D183,'[2]LC Balanced'!$Q$2:$U$542,3,FALSE)</f>
        <v>0.14899999999999999</v>
      </c>
      <c r="G183">
        <f>VLOOKUP($D183,'[2]LC Balanced'!$Q$2:$U$542,4,FALSE)</f>
        <v>0.85099999999999998</v>
      </c>
      <c r="H183">
        <f>VLOOKUP($D183,'[2]LC Balanced'!$Q$2:$U$542,5,FALSE)</f>
        <v>0</v>
      </c>
      <c r="I183" s="77">
        <f t="shared" si="356"/>
        <v>1</v>
      </c>
      <c r="J183" s="77">
        <f t="shared" si="357"/>
        <v>6.1987699999999986E-2</v>
      </c>
      <c r="K183" s="77">
        <f t="shared" si="347"/>
        <v>5.024442123284345E-3</v>
      </c>
      <c r="L183" s="76">
        <v>0</v>
      </c>
      <c r="M183" s="77">
        <f t="shared" si="363"/>
        <v>0</v>
      </c>
      <c r="N183" s="77">
        <f t="shared" si="364"/>
        <v>0</v>
      </c>
      <c r="O183" s="77">
        <f t="shared" si="365"/>
        <v>7.0062999999999992E-3</v>
      </c>
      <c r="P183" s="77">
        <f t="shared" si="366"/>
        <v>5.85741666996209E-4</v>
      </c>
      <c r="R183" t="s">
        <v>177</v>
      </c>
      <c r="S183" t="s">
        <v>176</v>
      </c>
      <c r="T183" s="197" t="str">
        <f t="shared" si="455"/>
        <v>Autopilot_Balanced_362</v>
      </c>
      <c r="U183">
        <v>362</v>
      </c>
      <c r="V183">
        <f>VLOOKUP($U183,'[2]AP Balanced'!$Q$1:$T$542,2,FALSE)</f>
        <v>0.77777777777777779</v>
      </c>
      <c r="W183">
        <f>VLOOKUP($U183,'[2]AP Balanced'!$Q$1:$T$542,3,FALSE)</f>
        <v>0.22222222222222221</v>
      </c>
      <c r="X183">
        <f>VLOOKUP($U183,'[2]AP Balanced'!$Q$1:$T$542,4,FALSE)</f>
        <v>0</v>
      </c>
      <c r="Y183" s="77">
        <f t="shared" si="413"/>
        <v>1</v>
      </c>
      <c r="Z183" s="77">
        <f t="shared" si="402"/>
        <v>6.1674999999999987E-2</v>
      </c>
      <c r="AA183" s="77">
        <f t="shared" si="403"/>
        <v>4.9997781870025904E-3</v>
      </c>
      <c r="AB183" s="79">
        <v>1</v>
      </c>
      <c r="AC183" s="77">
        <f t="shared" si="367"/>
        <v>8.0555555555555554E-3</v>
      </c>
      <c r="AD183" s="77">
        <f t="shared" si="358"/>
        <v>6.7378764057135498E-4</v>
      </c>
      <c r="AE183" s="77">
        <f t="shared" si="368"/>
        <v>2.5000000000000001E-3</v>
      </c>
      <c r="AF183" s="77">
        <f t="shared" si="358"/>
        <v>2.0857243058891584E-4</v>
      </c>
      <c r="AH183" t="s">
        <v>175</v>
      </c>
      <c r="AI183" t="s">
        <v>176</v>
      </c>
      <c r="AJ183" s="197" t="str">
        <f t="shared" si="414"/>
        <v>Lifecycle_Balanced_362</v>
      </c>
      <c r="AK183">
        <v>362</v>
      </c>
      <c r="AL183">
        <f>VLOOKUP($U183,[2]Standard_Balanced!$Q$1:$T$542,2,FALSE)</f>
        <v>0.77777777777777779</v>
      </c>
      <c r="AM183">
        <f>VLOOKUP($U183,[2]Standard_Balanced!$Q$1:$T$542,3,FALSE)</f>
        <v>0.22222222222222221</v>
      </c>
      <c r="AN183">
        <f>VLOOKUP($U183,[2]Standard_Balanced!$Q$1:$T$542,4,FALSE)</f>
        <v>0</v>
      </c>
      <c r="AO183" s="77">
        <f t="shared" si="344"/>
        <v>1</v>
      </c>
      <c r="AP183" s="77">
        <f t="shared" si="369"/>
        <v>6.1674999999999987E-2</v>
      </c>
      <c r="AQ183" s="77">
        <f t="shared" si="415"/>
        <v>4.9997781870025904E-3</v>
      </c>
      <c r="AR183" s="79">
        <v>0</v>
      </c>
      <c r="AS183" s="77">
        <f t="shared" si="370"/>
        <v>0</v>
      </c>
      <c r="AT183" s="77">
        <f t="shared" ref="AT183" si="482">1-(1-AS183)^(1/12)</f>
        <v>0</v>
      </c>
      <c r="AU183" s="77">
        <f t="shared" si="372"/>
        <v>2.5000000000000001E-3</v>
      </c>
      <c r="AV183" s="77">
        <f t="shared" ref="AV183" si="483">1-(1-AU183)^(1/12)</f>
        <v>2.0857243058891584E-4</v>
      </c>
      <c r="AX183" t="s">
        <v>178</v>
      </c>
      <c r="AY183" t="s">
        <v>160</v>
      </c>
      <c r="AZ183" s="197" t="str">
        <f t="shared" si="418"/>
        <v>DIS_Non-Standard_362</v>
      </c>
      <c r="BA183">
        <v>362</v>
      </c>
      <c r="BB183">
        <f>VLOOKUP($BA183,'[2]NonStandard DIS'!$Q$1:$X$542,2,FALSE)</f>
        <v>0</v>
      </c>
      <c r="BC183">
        <f>VLOOKUP($BA183,'[2]NonStandard DIS'!$Q$1:$X$542,3,FALSE)</f>
        <v>0</v>
      </c>
      <c r="BD183">
        <f>VLOOKUP($BA183,'[2]NonStandard DIS'!$Q$1:$X$542,4,FALSE)</f>
        <v>0.308</v>
      </c>
      <c r="BE183">
        <f>VLOOKUP($BA183,'[2]NonStandard DIS'!$Q$1:$X$542,5,FALSE)</f>
        <v>0.69199999999999995</v>
      </c>
      <c r="BF183">
        <f>VLOOKUP($BA183,'[2]NonStandard DIS'!$Q$1:$X$542,6,FALSE)</f>
        <v>0</v>
      </c>
      <c r="BG183">
        <f>VLOOKUP($BA183,'[2]NonStandard DIS'!$Q$1:$X$542,7,FALSE)</f>
        <v>0</v>
      </c>
      <c r="BH183">
        <f>VLOOKUP($BA183,'[2]NonStandard DIS'!$Q$1:$X$542,8,FALSE)</f>
        <v>0</v>
      </c>
      <c r="BI183" s="77">
        <f t="shared" si="361"/>
        <v>1</v>
      </c>
      <c r="BJ183" s="77">
        <f t="shared" si="362"/>
        <v>6.9728499999999985E-2</v>
      </c>
      <c r="BK183" s="77">
        <f t="shared" si="343"/>
        <v>5.632878498097682E-3</v>
      </c>
      <c r="BL183" s="79">
        <v>0</v>
      </c>
      <c r="BM183" s="77">
        <f t="shared" si="374"/>
        <v>0</v>
      </c>
      <c r="BN183" s="77">
        <f t="shared" si="375"/>
        <v>0</v>
      </c>
      <c r="BO183" s="77">
        <f t="shared" si="376"/>
        <v>5.6775999999999997E-3</v>
      </c>
      <c r="BP183" s="77">
        <f t="shared" si="377"/>
        <v>4.7190657760731725E-4</v>
      </c>
    </row>
    <row r="184" spans="1:68">
      <c r="A184" t="s">
        <v>175</v>
      </c>
      <c r="B184" t="s">
        <v>176</v>
      </c>
      <c r="C184" s="197" t="str">
        <f t="shared" si="412"/>
        <v>Lifecycle_Balanced_361</v>
      </c>
      <c r="D184">
        <v>361</v>
      </c>
      <c r="E184">
        <f>VLOOKUP($D184,'[2]LC Balanced'!$Q$2:$U$542,2,FALSE)</f>
        <v>0</v>
      </c>
      <c r="F184">
        <f>VLOOKUP($D184,'[2]LC Balanced'!$Q$2:$U$542,3,FALSE)</f>
        <v>0.14899999999999999</v>
      </c>
      <c r="G184">
        <f>VLOOKUP($D184,'[2]LC Balanced'!$Q$2:$U$542,4,FALSE)</f>
        <v>0.85099999999999998</v>
      </c>
      <c r="H184">
        <f>VLOOKUP($D184,'[2]LC Balanced'!$Q$2:$U$542,5,FALSE)</f>
        <v>0</v>
      </c>
      <c r="I184" s="77">
        <f t="shared" si="356"/>
        <v>1</v>
      </c>
      <c r="J184" s="77">
        <f t="shared" si="357"/>
        <v>6.1987699999999986E-2</v>
      </c>
      <c r="K184" s="77">
        <f t="shared" si="347"/>
        <v>5.024442123284345E-3</v>
      </c>
      <c r="L184" s="76">
        <v>0</v>
      </c>
      <c r="M184" s="77">
        <f t="shared" si="363"/>
        <v>0</v>
      </c>
      <c r="N184" s="77">
        <f t="shared" si="364"/>
        <v>0</v>
      </c>
      <c r="O184" s="77">
        <f t="shared" si="365"/>
        <v>7.0062999999999992E-3</v>
      </c>
      <c r="P184" s="77">
        <f t="shared" si="366"/>
        <v>5.85741666996209E-4</v>
      </c>
      <c r="R184" t="s">
        <v>177</v>
      </c>
      <c r="S184" t="s">
        <v>176</v>
      </c>
      <c r="T184" s="197" t="str">
        <f t="shared" si="455"/>
        <v>Autopilot_Balanced_361</v>
      </c>
      <c r="U184">
        <v>361</v>
      </c>
      <c r="V184">
        <f>VLOOKUP($U184,'[2]AP Balanced'!$Q$1:$T$542,2,FALSE)</f>
        <v>0.77777777777777779</v>
      </c>
      <c r="W184">
        <f>VLOOKUP($U184,'[2]AP Balanced'!$Q$1:$T$542,3,FALSE)</f>
        <v>0.22222222222222221</v>
      </c>
      <c r="X184">
        <f>VLOOKUP($U184,'[2]AP Balanced'!$Q$1:$T$542,4,FALSE)</f>
        <v>0</v>
      </c>
      <c r="Y184" s="77">
        <f t="shared" si="413"/>
        <v>1</v>
      </c>
      <c r="Z184" s="77">
        <f t="shared" si="402"/>
        <v>6.1674999999999987E-2</v>
      </c>
      <c r="AA184" s="77">
        <f t="shared" si="403"/>
        <v>4.9997781870025904E-3</v>
      </c>
      <c r="AB184" s="79">
        <v>1</v>
      </c>
      <c r="AC184" s="77">
        <f t="shared" si="367"/>
        <v>8.0555555555555554E-3</v>
      </c>
      <c r="AD184" s="77">
        <f t="shared" si="358"/>
        <v>6.7378764057135498E-4</v>
      </c>
      <c r="AE184" s="77">
        <f t="shared" si="368"/>
        <v>2.5000000000000001E-3</v>
      </c>
      <c r="AF184" s="77">
        <f t="shared" si="358"/>
        <v>2.0857243058891584E-4</v>
      </c>
      <c r="AH184" t="s">
        <v>175</v>
      </c>
      <c r="AI184" t="s">
        <v>176</v>
      </c>
      <c r="AJ184" s="197" t="str">
        <f t="shared" si="414"/>
        <v>Lifecycle_Balanced_361</v>
      </c>
      <c r="AK184">
        <v>361</v>
      </c>
      <c r="AL184">
        <f>VLOOKUP($U184,[2]Standard_Balanced!$Q$1:$T$542,2,FALSE)</f>
        <v>0.77777777777777779</v>
      </c>
      <c r="AM184">
        <f>VLOOKUP($U184,[2]Standard_Balanced!$Q$1:$T$542,3,FALSE)</f>
        <v>0.22222222222222221</v>
      </c>
      <c r="AN184">
        <f>VLOOKUP($U184,[2]Standard_Balanced!$Q$1:$T$542,4,FALSE)</f>
        <v>0</v>
      </c>
      <c r="AO184" s="77">
        <f t="shared" si="344"/>
        <v>1</v>
      </c>
      <c r="AP184" s="77">
        <f t="shared" si="369"/>
        <v>6.1674999999999987E-2</v>
      </c>
      <c r="AQ184" s="77">
        <f t="shared" si="415"/>
        <v>4.9997781870025904E-3</v>
      </c>
      <c r="AR184" s="79">
        <v>0</v>
      </c>
      <c r="AS184" s="77">
        <f t="shared" si="370"/>
        <v>0</v>
      </c>
      <c r="AT184" s="77">
        <f t="shared" ref="AT184" si="484">1-(1-AS184)^(1/12)</f>
        <v>0</v>
      </c>
      <c r="AU184" s="77">
        <f t="shared" si="372"/>
        <v>2.5000000000000001E-3</v>
      </c>
      <c r="AV184" s="77">
        <f t="shared" ref="AV184" si="485">1-(1-AU184)^(1/12)</f>
        <v>2.0857243058891584E-4</v>
      </c>
      <c r="AX184" t="s">
        <v>178</v>
      </c>
      <c r="AY184" t="s">
        <v>160</v>
      </c>
      <c r="AZ184" s="197" t="str">
        <f t="shared" si="418"/>
        <v>DIS_Non-Standard_361</v>
      </c>
      <c r="BA184">
        <v>361</v>
      </c>
      <c r="BB184">
        <f>VLOOKUP($BA184,'[2]NonStandard DIS'!$Q$1:$X$542,2,FALSE)</f>
        <v>0</v>
      </c>
      <c r="BC184">
        <f>VLOOKUP($BA184,'[2]NonStandard DIS'!$Q$1:$X$542,3,FALSE)</f>
        <v>0</v>
      </c>
      <c r="BD184">
        <f>VLOOKUP($BA184,'[2]NonStandard DIS'!$Q$1:$X$542,4,FALSE)</f>
        <v>0.308</v>
      </c>
      <c r="BE184">
        <f>VLOOKUP($BA184,'[2]NonStandard DIS'!$Q$1:$X$542,5,FALSE)</f>
        <v>0.69199999999999995</v>
      </c>
      <c r="BF184">
        <f>VLOOKUP($BA184,'[2]NonStandard DIS'!$Q$1:$X$542,6,FALSE)</f>
        <v>0</v>
      </c>
      <c r="BG184">
        <f>VLOOKUP($BA184,'[2]NonStandard DIS'!$Q$1:$X$542,7,FALSE)</f>
        <v>0</v>
      </c>
      <c r="BH184">
        <f>VLOOKUP($BA184,'[2]NonStandard DIS'!$Q$1:$X$542,8,FALSE)</f>
        <v>0</v>
      </c>
      <c r="BI184" s="77">
        <f t="shared" si="361"/>
        <v>1</v>
      </c>
      <c r="BJ184" s="77">
        <f t="shared" si="362"/>
        <v>6.9728499999999985E-2</v>
      </c>
      <c r="BK184" s="77">
        <f t="shared" si="343"/>
        <v>5.632878498097682E-3</v>
      </c>
      <c r="BL184" s="79">
        <v>0</v>
      </c>
      <c r="BM184" s="77">
        <f t="shared" si="374"/>
        <v>0</v>
      </c>
      <c r="BN184" s="77">
        <f t="shared" si="375"/>
        <v>0</v>
      </c>
      <c r="BO184" s="77">
        <f t="shared" si="376"/>
        <v>5.6775999999999997E-3</v>
      </c>
      <c r="BP184" s="77">
        <f t="shared" si="377"/>
        <v>4.7190657760731725E-4</v>
      </c>
    </row>
    <row r="185" spans="1:68">
      <c r="A185" t="s">
        <v>175</v>
      </c>
      <c r="B185" t="s">
        <v>176</v>
      </c>
      <c r="C185" s="197" t="str">
        <f t="shared" si="412"/>
        <v>Lifecycle_Balanced_360</v>
      </c>
      <c r="D185">
        <v>360</v>
      </c>
      <c r="E185">
        <f>VLOOKUP($D185,'[2]LC Balanced'!$Q$2:$U$542,2,FALSE)</f>
        <v>0</v>
      </c>
      <c r="F185">
        <f>VLOOKUP($D185,'[2]LC Balanced'!$Q$2:$U$542,3,FALSE)</f>
        <v>0.14899999999999999</v>
      </c>
      <c r="G185">
        <f>VLOOKUP($D185,'[2]LC Balanced'!$Q$2:$U$542,4,FALSE)</f>
        <v>0.85099999999999998</v>
      </c>
      <c r="H185">
        <f>VLOOKUP($D185,'[2]LC Balanced'!$Q$2:$U$542,5,FALSE)</f>
        <v>0</v>
      </c>
      <c r="I185" s="77">
        <f t="shared" si="356"/>
        <v>1</v>
      </c>
      <c r="J185" s="77">
        <f t="shared" si="357"/>
        <v>6.1987699999999986E-2</v>
      </c>
      <c r="K185" s="77">
        <f t="shared" si="347"/>
        <v>5.024442123284345E-3</v>
      </c>
      <c r="L185" s="76">
        <v>0</v>
      </c>
      <c r="M185" s="77">
        <f t="shared" si="363"/>
        <v>0</v>
      </c>
      <c r="N185" s="77">
        <f t="shared" si="364"/>
        <v>0</v>
      </c>
      <c r="O185" s="77">
        <f t="shared" si="365"/>
        <v>7.0062999999999992E-3</v>
      </c>
      <c r="P185" s="77">
        <f t="shared" si="366"/>
        <v>5.85741666996209E-4</v>
      </c>
      <c r="R185" t="s">
        <v>177</v>
      </c>
      <c r="S185" t="s">
        <v>176</v>
      </c>
      <c r="T185" s="197" t="str">
        <f t="shared" si="455"/>
        <v>Autopilot_Balanced_360</v>
      </c>
      <c r="U185">
        <v>360</v>
      </c>
      <c r="V185">
        <f>VLOOKUP($U185,'[2]AP Balanced'!$Q$1:$T$542,2,FALSE)</f>
        <v>0.77777777777777779</v>
      </c>
      <c r="W185">
        <f>VLOOKUP($U185,'[2]AP Balanced'!$Q$1:$T$542,3,FALSE)</f>
        <v>0.22222222222222221</v>
      </c>
      <c r="X185">
        <f>VLOOKUP($U185,'[2]AP Balanced'!$Q$1:$T$542,4,FALSE)</f>
        <v>0</v>
      </c>
      <c r="Y185" s="77">
        <f t="shared" si="413"/>
        <v>1</v>
      </c>
      <c r="Z185" s="77">
        <f t="shared" si="402"/>
        <v>6.1674999999999987E-2</v>
      </c>
      <c r="AA185" s="77">
        <f t="shared" si="403"/>
        <v>4.9997781870025904E-3</v>
      </c>
      <c r="AB185" s="79">
        <v>1</v>
      </c>
      <c r="AC185" s="77">
        <f t="shared" si="367"/>
        <v>8.0555555555555554E-3</v>
      </c>
      <c r="AD185" s="77">
        <f t="shared" si="358"/>
        <v>6.7378764057135498E-4</v>
      </c>
      <c r="AE185" s="77">
        <f t="shared" si="368"/>
        <v>2.5000000000000001E-3</v>
      </c>
      <c r="AF185" s="77">
        <f t="shared" si="358"/>
        <v>2.0857243058891584E-4</v>
      </c>
      <c r="AH185" t="s">
        <v>175</v>
      </c>
      <c r="AI185" t="s">
        <v>176</v>
      </c>
      <c r="AJ185" s="197" t="str">
        <f t="shared" si="414"/>
        <v>Lifecycle_Balanced_360</v>
      </c>
      <c r="AK185">
        <v>360</v>
      </c>
      <c r="AL185">
        <f>VLOOKUP($U185,[2]Standard_Balanced!$Q$1:$T$542,2,FALSE)</f>
        <v>0.77777777777777779</v>
      </c>
      <c r="AM185">
        <f>VLOOKUP($U185,[2]Standard_Balanced!$Q$1:$T$542,3,FALSE)</f>
        <v>0.22222222222222221</v>
      </c>
      <c r="AN185">
        <f>VLOOKUP($U185,[2]Standard_Balanced!$Q$1:$T$542,4,FALSE)</f>
        <v>0</v>
      </c>
      <c r="AO185" s="77">
        <f t="shared" si="344"/>
        <v>1</v>
      </c>
      <c r="AP185" s="77">
        <f t="shared" si="369"/>
        <v>6.1674999999999987E-2</v>
      </c>
      <c r="AQ185" s="77">
        <f t="shared" si="415"/>
        <v>4.9997781870025904E-3</v>
      </c>
      <c r="AR185" s="79">
        <v>0</v>
      </c>
      <c r="AS185" s="77">
        <f t="shared" si="370"/>
        <v>0</v>
      </c>
      <c r="AT185" s="77">
        <f t="shared" ref="AT185" si="486">1-(1-AS185)^(1/12)</f>
        <v>0</v>
      </c>
      <c r="AU185" s="77">
        <f t="shared" si="372"/>
        <v>2.5000000000000001E-3</v>
      </c>
      <c r="AV185" s="77">
        <f t="shared" ref="AV185" si="487">1-(1-AU185)^(1/12)</f>
        <v>2.0857243058891584E-4</v>
      </c>
      <c r="AX185" t="s">
        <v>178</v>
      </c>
      <c r="AY185" t="s">
        <v>160</v>
      </c>
      <c r="AZ185" s="197" t="str">
        <f t="shared" si="418"/>
        <v>DIS_Non-Standard_360</v>
      </c>
      <c r="BA185">
        <v>360</v>
      </c>
      <c r="BB185">
        <f>VLOOKUP($BA185,'[2]NonStandard DIS'!$Q$1:$X$542,2,FALSE)</f>
        <v>0</v>
      </c>
      <c r="BC185">
        <f>VLOOKUP($BA185,'[2]NonStandard DIS'!$Q$1:$X$542,3,FALSE)</f>
        <v>0</v>
      </c>
      <c r="BD185">
        <f>VLOOKUP($BA185,'[2]NonStandard DIS'!$Q$1:$X$542,4,FALSE)</f>
        <v>0.308</v>
      </c>
      <c r="BE185">
        <f>VLOOKUP($BA185,'[2]NonStandard DIS'!$Q$1:$X$542,5,FALSE)</f>
        <v>0.69199999999999995</v>
      </c>
      <c r="BF185">
        <f>VLOOKUP($BA185,'[2]NonStandard DIS'!$Q$1:$X$542,6,FALSE)</f>
        <v>0</v>
      </c>
      <c r="BG185">
        <f>VLOOKUP($BA185,'[2]NonStandard DIS'!$Q$1:$X$542,7,FALSE)</f>
        <v>0</v>
      </c>
      <c r="BH185">
        <f>VLOOKUP($BA185,'[2]NonStandard DIS'!$Q$1:$X$542,8,FALSE)</f>
        <v>0</v>
      </c>
      <c r="BI185" s="77">
        <f t="shared" si="361"/>
        <v>1</v>
      </c>
      <c r="BJ185" s="77">
        <f t="shared" si="362"/>
        <v>6.9728499999999985E-2</v>
      </c>
      <c r="BK185" s="77">
        <f t="shared" si="343"/>
        <v>5.632878498097682E-3</v>
      </c>
      <c r="BL185" s="79">
        <v>0</v>
      </c>
      <c r="BM185" s="77">
        <f t="shared" si="374"/>
        <v>0</v>
      </c>
      <c r="BN185" s="77">
        <f t="shared" si="375"/>
        <v>0</v>
      </c>
      <c r="BO185" s="77">
        <f t="shared" si="376"/>
        <v>5.6775999999999997E-3</v>
      </c>
      <c r="BP185" s="77">
        <f t="shared" si="377"/>
        <v>4.7190657760731725E-4</v>
      </c>
    </row>
    <row r="186" spans="1:68">
      <c r="A186" t="s">
        <v>175</v>
      </c>
      <c r="B186" t="s">
        <v>176</v>
      </c>
      <c r="C186" s="197" t="str">
        <f t="shared" si="412"/>
        <v>Lifecycle_Balanced_359</v>
      </c>
      <c r="D186">
        <v>359</v>
      </c>
      <c r="E186">
        <f>VLOOKUP($D186,'[2]LC Balanced'!$Q$2:$U$542,2,FALSE)</f>
        <v>0</v>
      </c>
      <c r="F186">
        <f>VLOOKUP($D186,'[2]LC Balanced'!$Q$2:$U$542,3,FALSE)</f>
        <v>0.14899999999999999</v>
      </c>
      <c r="G186">
        <f>VLOOKUP($D186,'[2]LC Balanced'!$Q$2:$U$542,4,FALSE)</f>
        <v>0.85099999999999998</v>
      </c>
      <c r="H186">
        <f>VLOOKUP($D186,'[2]LC Balanced'!$Q$2:$U$542,5,FALSE)</f>
        <v>0</v>
      </c>
      <c r="I186" s="77">
        <f t="shared" si="356"/>
        <v>1</v>
      </c>
      <c r="J186" s="77">
        <f t="shared" si="357"/>
        <v>6.1987699999999986E-2</v>
      </c>
      <c r="K186" s="77">
        <f t="shared" si="347"/>
        <v>5.024442123284345E-3</v>
      </c>
      <c r="L186" s="76">
        <v>0</v>
      </c>
      <c r="M186" s="77">
        <f t="shared" si="363"/>
        <v>0</v>
      </c>
      <c r="N186" s="77">
        <f t="shared" si="364"/>
        <v>0</v>
      </c>
      <c r="O186" s="77">
        <f t="shared" si="365"/>
        <v>7.0062999999999992E-3</v>
      </c>
      <c r="P186" s="77">
        <f t="shared" si="366"/>
        <v>5.85741666996209E-4</v>
      </c>
      <c r="R186" t="s">
        <v>177</v>
      </c>
      <c r="S186" t="s">
        <v>176</v>
      </c>
      <c r="T186" s="197" t="str">
        <f t="shared" si="455"/>
        <v>Autopilot_Balanced_359</v>
      </c>
      <c r="U186">
        <v>359</v>
      </c>
      <c r="V186">
        <f>VLOOKUP($U186,'[2]AP Balanced'!$Q$1:$T$542,2,FALSE)</f>
        <v>0.77777777777777779</v>
      </c>
      <c r="W186">
        <f>VLOOKUP($U186,'[2]AP Balanced'!$Q$1:$T$542,3,FALSE)</f>
        <v>0.22222222222222221</v>
      </c>
      <c r="X186">
        <f>VLOOKUP($U186,'[2]AP Balanced'!$Q$1:$T$542,4,FALSE)</f>
        <v>0</v>
      </c>
      <c r="Y186" s="77">
        <f t="shared" si="413"/>
        <v>1</v>
      </c>
      <c r="Z186" s="77">
        <f t="shared" si="402"/>
        <v>6.1674999999999987E-2</v>
      </c>
      <c r="AA186" s="77">
        <f t="shared" si="403"/>
        <v>4.9997781870025904E-3</v>
      </c>
      <c r="AB186" s="79">
        <v>1</v>
      </c>
      <c r="AC186" s="77">
        <f t="shared" si="367"/>
        <v>8.0555555555555554E-3</v>
      </c>
      <c r="AD186" s="77">
        <f t="shared" si="358"/>
        <v>6.7378764057135498E-4</v>
      </c>
      <c r="AE186" s="77">
        <f t="shared" si="368"/>
        <v>2.5000000000000001E-3</v>
      </c>
      <c r="AF186" s="77">
        <f t="shared" si="358"/>
        <v>2.0857243058891584E-4</v>
      </c>
      <c r="AH186" t="s">
        <v>175</v>
      </c>
      <c r="AI186" t="s">
        <v>176</v>
      </c>
      <c r="AJ186" s="197" t="str">
        <f t="shared" si="414"/>
        <v>Lifecycle_Balanced_359</v>
      </c>
      <c r="AK186">
        <v>359</v>
      </c>
      <c r="AL186">
        <f>VLOOKUP($U186,[2]Standard_Balanced!$Q$1:$T$542,2,FALSE)</f>
        <v>0.77777777777777779</v>
      </c>
      <c r="AM186">
        <f>VLOOKUP($U186,[2]Standard_Balanced!$Q$1:$T$542,3,FALSE)</f>
        <v>0.22222222222222221</v>
      </c>
      <c r="AN186">
        <f>VLOOKUP($U186,[2]Standard_Balanced!$Q$1:$T$542,4,FALSE)</f>
        <v>0</v>
      </c>
      <c r="AO186" s="77">
        <f t="shared" si="344"/>
        <v>1</v>
      </c>
      <c r="AP186" s="77">
        <f t="shared" si="369"/>
        <v>6.1674999999999987E-2</v>
      </c>
      <c r="AQ186" s="77">
        <f t="shared" si="415"/>
        <v>4.9997781870025904E-3</v>
      </c>
      <c r="AR186" s="79">
        <v>0</v>
      </c>
      <c r="AS186" s="77">
        <f t="shared" si="370"/>
        <v>0</v>
      </c>
      <c r="AT186" s="77">
        <f t="shared" ref="AT186" si="488">1-(1-AS186)^(1/12)</f>
        <v>0</v>
      </c>
      <c r="AU186" s="77">
        <f t="shared" si="372"/>
        <v>2.5000000000000001E-3</v>
      </c>
      <c r="AV186" s="77">
        <f t="shared" ref="AV186" si="489">1-(1-AU186)^(1/12)</f>
        <v>2.0857243058891584E-4</v>
      </c>
      <c r="AX186" t="s">
        <v>178</v>
      </c>
      <c r="AY186" t="s">
        <v>160</v>
      </c>
      <c r="AZ186" s="197" t="str">
        <f t="shared" si="418"/>
        <v>DIS_Non-Standard_359</v>
      </c>
      <c r="BA186">
        <v>359</v>
      </c>
      <c r="BB186">
        <f>VLOOKUP($BA186,'[2]NonStandard DIS'!$Q$1:$X$542,2,FALSE)</f>
        <v>0</v>
      </c>
      <c r="BC186">
        <f>VLOOKUP($BA186,'[2]NonStandard DIS'!$Q$1:$X$542,3,FALSE)</f>
        <v>0</v>
      </c>
      <c r="BD186">
        <f>VLOOKUP($BA186,'[2]NonStandard DIS'!$Q$1:$X$542,4,FALSE)</f>
        <v>0.308</v>
      </c>
      <c r="BE186">
        <f>VLOOKUP($BA186,'[2]NonStandard DIS'!$Q$1:$X$542,5,FALSE)</f>
        <v>0.69199999999999995</v>
      </c>
      <c r="BF186">
        <f>VLOOKUP($BA186,'[2]NonStandard DIS'!$Q$1:$X$542,6,FALSE)</f>
        <v>0</v>
      </c>
      <c r="BG186">
        <f>VLOOKUP($BA186,'[2]NonStandard DIS'!$Q$1:$X$542,7,FALSE)</f>
        <v>0</v>
      </c>
      <c r="BH186">
        <f>VLOOKUP($BA186,'[2]NonStandard DIS'!$Q$1:$X$542,8,FALSE)</f>
        <v>0</v>
      </c>
      <c r="BI186" s="77">
        <f t="shared" si="361"/>
        <v>1</v>
      </c>
      <c r="BJ186" s="77">
        <f t="shared" si="362"/>
        <v>6.9728499999999985E-2</v>
      </c>
      <c r="BK186" s="77">
        <f t="shared" si="343"/>
        <v>5.632878498097682E-3</v>
      </c>
      <c r="BL186" s="79">
        <v>0</v>
      </c>
      <c r="BM186" s="77">
        <f t="shared" si="374"/>
        <v>0</v>
      </c>
      <c r="BN186" s="77">
        <f t="shared" si="375"/>
        <v>0</v>
      </c>
      <c r="BO186" s="77">
        <f t="shared" si="376"/>
        <v>5.6775999999999997E-3</v>
      </c>
      <c r="BP186" s="77">
        <f t="shared" si="377"/>
        <v>4.7190657760731725E-4</v>
      </c>
    </row>
    <row r="187" spans="1:68">
      <c r="A187" t="s">
        <v>175</v>
      </c>
      <c r="B187" t="s">
        <v>176</v>
      </c>
      <c r="C187" s="197" t="str">
        <f t="shared" si="412"/>
        <v>Lifecycle_Balanced_358</v>
      </c>
      <c r="D187">
        <v>358</v>
      </c>
      <c r="E187">
        <f>VLOOKUP($D187,'[2]LC Balanced'!$Q$2:$U$542,2,FALSE)</f>
        <v>0</v>
      </c>
      <c r="F187">
        <f>VLOOKUP($D187,'[2]LC Balanced'!$Q$2:$U$542,3,FALSE)</f>
        <v>0.14899999999999999</v>
      </c>
      <c r="G187">
        <f>VLOOKUP($D187,'[2]LC Balanced'!$Q$2:$U$542,4,FALSE)</f>
        <v>0.85099999999999998</v>
      </c>
      <c r="H187">
        <f>VLOOKUP($D187,'[2]LC Balanced'!$Q$2:$U$542,5,FALSE)</f>
        <v>0</v>
      </c>
      <c r="I187" s="77">
        <f t="shared" si="356"/>
        <v>1</v>
      </c>
      <c r="J187" s="77">
        <f t="shared" si="357"/>
        <v>6.1987699999999986E-2</v>
      </c>
      <c r="K187" s="77">
        <f t="shared" si="347"/>
        <v>5.024442123284345E-3</v>
      </c>
      <c r="L187" s="76">
        <v>0</v>
      </c>
      <c r="M187" s="77">
        <f t="shared" si="363"/>
        <v>0</v>
      </c>
      <c r="N187" s="77">
        <f t="shared" si="364"/>
        <v>0</v>
      </c>
      <c r="O187" s="77">
        <f t="shared" si="365"/>
        <v>7.0062999999999992E-3</v>
      </c>
      <c r="P187" s="77">
        <f t="shared" si="366"/>
        <v>5.85741666996209E-4</v>
      </c>
      <c r="R187" t="s">
        <v>177</v>
      </c>
      <c r="S187" t="s">
        <v>176</v>
      </c>
      <c r="T187" s="197" t="str">
        <f t="shared" si="455"/>
        <v>Autopilot_Balanced_358</v>
      </c>
      <c r="U187">
        <v>358</v>
      </c>
      <c r="V187">
        <f>VLOOKUP($U187,'[2]AP Balanced'!$Q$1:$T$542,2,FALSE)</f>
        <v>0.77777777777777779</v>
      </c>
      <c r="W187">
        <f>VLOOKUP($U187,'[2]AP Balanced'!$Q$1:$T$542,3,FALSE)</f>
        <v>0.22222222222222221</v>
      </c>
      <c r="X187">
        <f>VLOOKUP($U187,'[2]AP Balanced'!$Q$1:$T$542,4,FALSE)</f>
        <v>0</v>
      </c>
      <c r="Y187" s="77">
        <f t="shared" si="413"/>
        <v>1</v>
      </c>
      <c r="Z187" s="77">
        <f t="shared" si="402"/>
        <v>6.1674999999999987E-2</v>
      </c>
      <c r="AA187" s="77">
        <f t="shared" si="403"/>
        <v>4.9997781870025904E-3</v>
      </c>
      <c r="AB187" s="79">
        <v>1</v>
      </c>
      <c r="AC187" s="77">
        <f t="shared" si="367"/>
        <v>8.0555555555555554E-3</v>
      </c>
      <c r="AD187" s="77">
        <f t="shared" si="358"/>
        <v>6.7378764057135498E-4</v>
      </c>
      <c r="AE187" s="77">
        <f t="shared" si="368"/>
        <v>2.5000000000000001E-3</v>
      </c>
      <c r="AF187" s="77">
        <f t="shared" si="358"/>
        <v>2.0857243058891584E-4</v>
      </c>
      <c r="AH187" t="s">
        <v>175</v>
      </c>
      <c r="AI187" t="s">
        <v>176</v>
      </c>
      <c r="AJ187" s="197" t="str">
        <f t="shared" si="414"/>
        <v>Lifecycle_Balanced_358</v>
      </c>
      <c r="AK187">
        <v>358</v>
      </c>
      <c r="AL187">
        <f>VLOOKUP($U187,[2]Standard_Balanced!$Q$1:$T$542,2,FALSE)</f>
        <v>0.77777777777777779</v>
      </c>
      <c r="AM187">
        <f>VLOOKUP($U187,[2]Standard_Balanced!$Q$1:$T$542,3,FALSE)</f>
        <v>0.22222222222222221</v>
      </c>
      <c r="AN187">
        <f>VLOOKUP($U187,[2]Standard_Balanced!$Q$1:$T$542,4,FALSE)</f>
        <v>0</v>
      </c>
      <c r="AO187" s="77">
        <f t="shared" si="344"/>
        <v>1</v>
      </c>
      <c r="AP187" s="77">
        <f t="shared" si="369"/>
        <v>6.1674999999999987E-2</v>
      </c>
      <c r="AQ187" s="77">
        <f t="shared" si="415"/>
        <v>4.9997781870025904E-3</v>
      </c>
      <c r="AR187" s="79">
        <v>0</v>
      </c>
      <c r="AS187" s="77">
        <f t="shared" si="370"/>
        <v>0</v>
      </c>
      <c r="AT187" s="77">
        <f t="shared" ref="AT187" si="490">1-(1-AS187)^(1/12)</f>
        <v>0</v>
      </c>
      <c r="AU187" s="77">
        <f t="shared" si="372"/>
        <v>2.5000000000000001E-3</v>
      </c>
      <c r="AV187" s="77">
        <f t="shared" ref="AV187" si="491">1-(1-AU187)^(1/12)</f>
        <v>2.0857243058891584E-4</v>
      </c>
      <c r="AX187" t="s">
        <v>178</v>
      </c>
      <c r="AY187" t="s">
        <v>160</v>
      </c>
      <c r="AZ187" s="197" t="str">
        <f t="shared" si="418"/>
        <v>DIS_Non-Standard_358</v>
      </c>
      <c r="BA187">
        <v>358</v>
      </c>
      <c r="BB187">
        <f>VLOOKUP($BA187,'[2]NonStandard DIS'!$Q$1:$X$542,2,FALSE)</f>
        <v>0</v>
      </c>
      <c r="BC187">
        <f>VLOOKUP($BA187,'[2]NonStandard DIS'!$Q$1:$X$542,3,FALSE)</f>
        <v>0</v>
      </c>
      <c r="BD187">
        <f>VLOOKUP($BA187,'[2]NonStandard DIS'!$Q$1:$X$542,4,FALSE)</f>
        <v>0.308</v>
      </c>
      <c r="BE187">
        <f>VLOOKUP($BA187,'[2]NonStandard DIS'!$Q$1:$X$542,5,FALSE)</f>
        <v>0.69199999999999995</v>
      </c>
      <c r="BF187">
        <f>VLOOKUP($BA187,'[2]NonStandard DIS'!$Q$1:$X$542,6,FALSE)</f>
        <v>0</v>
      </c>
      <c r="BG187">
        <f>VLOOKUP($BA187,'[2]NonStandard DIS'!$Q$1:$X$542,7,FALSE)</f>
        <v>0</v>
      </c>
      <c r="BH187">
        <f>VLOOKUP($BA187,'[2]NonStandard DIS'!$Q$1:$X$542,8,FALSE)</f>
        <v>0</v>
      </c>
      <c r="BI187" s="77">
        <f t="shared" si="361"/>
        <v>1</v>
      </c>
      <c r="BJ187" s="77">
        <f t="shared" si="362"/>
        <v>6.9728499999999985E-2</v>
      </c>
      <c r="BK187" s="77">
        <f t="shared" si="343"/>
        <v>5.632878498097682E-3</v>
      </c>
      <c r="BL187" s="79">
        <v>0</v>
      </c>
      <c r="BM187" s="77">
        <f t="shared" si="374"/>
        <v>0</v>
      </c>
      <c r="BN187" s="77">
        <f t="shared" si="375"/>
        <v>0</v>
      </c>
      <c r="BO187" s="77">
        <f t="shared" si="376"/>
        <v>5.6775999999999997E-3</v>
      </c>
      <c r="BP187" s="77">
        <f t="shared" si="377"/>
        <v>4.7190657760731725E-4</v>
      </c>
    </row>
    <row r="188" spans="1:68">
      <c r="A188" t="s">
        <v>175</v>
      </c>
      <c r="B188" t="s">
        <v>176</v>
      </c>
      <c r="C188" s="197" t="str">
        <f t="shared" si="412"/>
        <v>Lifecycle_Balanced_357</v>
      </c>
      <c r="D188">
        <v>357</v>
      </c>
      <c r="E188">
        <f>VLOOKUP($D188,'[2]LC Balanced'!$Q$2:$U$542,2,FALSE)</f>
        <v>0</v>
      </c>
      <c r="F188">
        <f>VLOOKUP($D188,'[2]LC Balanced'!$Q$2:$U$542,3,FALSE)</f>
        <v>0.14899999999999999</v>
      </c>
      <c r="G188">
        <f>VLOOKUP($D188,'[2]LC Balanced'!$Q$2:$U$542,4,FALSE)</f>
        <v>0.85099999999999998</v>
      </c>
      <c r="H188">
        <f>VLOOKUP($D188,'[2]LC Balanced'!$Q$2:$U$542,5,FALSE)</f>
        <v>0</v>
      </c>
      <c r="I188" s="77">
        <f t="shared" si="356"/>
        <v>1</v>
      </c>
      <c r="J188" s="77">
        <f t="shared" si="357"/>
        <v>6.1987699999999986E-2</v>
      </c>
      <c r="K188" s="77">
        <f t="shared" si="347"/>
        <v>5.024442123284345E-3</v>
      </c>
      <c r="L188" s="76">
        <v>0</v>
      </c>
      <c r="M188" s="77">
        <f t="shared" si="363"/>
        <v>0</v>
      </c>
      <c r="N188" s="77">
        <f t="shared" si="364"/>
        <v>0</v>
      </c>
      <c r="O188" s="77">
        <f t="shared" si="365"/>
        <v>7.0062999999999992E-3</v>
      </c>
      <c r="P188" s="77">
        <f t="shared" si="366"/>
        <v>5.85741666996209E-4</v>
      </c>
      <c r="R188" t="s">
        <v>177</v>
      </c>
      <c r="S188" t="s">
        <v>176</v>
      </c>
      <c r="T188" s="197" t="str">
        <f t="shared" si="455"/>
        <v>Autopilot_Balanced_357</v>
      </c>
      <c r="U188">
        <v>357</v>
      </c>
      <c r="V188">
        <f>VLOOKUP($U188,'[2]AP Balanced'!$Q$1:$T$542,2,FALSE)</f>
        <v>0.77777777777777779</v>
      </c>
      <c r="W188">
        <f>VLOOKUP($U188,'[2]AP Balanced'!$Q$1:$T$542,3,FALSE)</f>
        <v>0.22222222222222221</v>
      </c>
      <c r="X188">
        <f>VLOOKUP($U188,'[2]AP Balanced'!$Q$1:$T$542,4,FALSE)</f>
        <v>0</v>
      </c>
      <c r="Y188" s="77">
        <f t="shared" si="413"/>
        <v>1</v>
      </c>
      <c r="Z188" s="77">
        <f t="shared" si="402"/>
        <v>6.1674999999999987E-2</v>
      </c>
      <c r="AA188" s="77">
        <f t="shared" si="403"/>
        <v>4.9997781870025904E-3</v>
      </c>
      <c r="AB188" s="79">
        <v>1</v>
      </c>
      <c r="AC188" s="77">
        <f t="shared" si="367"/>
        <v>8.0555555555555554E-3</v>
      </c>
      <c r="AD188" s="77">
        <f t="shared" si="358"/>
        <v>6.7378764057135498E-4</v>
      </c>
      <c r="AE188" s="77">
        <f t="shared" si="368"/>
        <v>2.5000000000000001E-3</v>
      </c>
      <c r="AF188" s="77">
        <f t="shared" si="358"/>
        <v>2.0857243058891584E-4</v>
      </c>
      <c r="AH188" t="s">
        <v>175</v>
      </c>
      <c r="AI188" t="s">
        <v>176</v>
      </c>
      <c r="AJ188" s="197" t="str">
        <f t="shared" si="414"/>
        <v>Lifecycle_Balanced_357</v>
      </c>
      <c r="AK188">
        <v>357</v>
      </c>
      <c r="AL188">
        <f>VLOOKUP($U188,[2]Standard_Balanced!$Q$1:$T$542,2,FALSE)</f>
        <v>0.77777777777777779</v>
      </c>
      <c r="AM188">
        <f>VLOOKUP($U188,[2]Standard_Balanced!$Q$1:$T$542,3,FALSE)</f>
        <v>0.22222222222222221</v>
      </c>
      <c r="AN188">
        <f>VLOOKUP($U188,[2]Standard_Balanced!$Q$1:$T$542,4,FALSE)</f>
        <v>0</v>
      </c>
      <c r="AO188" s="77">
        <f t="shared" si="344"/>
        <v>1</v>
      </c>
      <c r="AP188" s="77">
        <f t="shared" si="369"/>
        <v>6.1674999999999987E-2</v>
      </c>
      <c r="AQ188" s="77">
        <f t="shared" si="415"/>
        <v>4.9997781870025904E-3</v>
      </c>
      <c r="AR188" s="79">
        <v>0</v>
      </c>
      <c r="AS188" s="77">
        <f t="shared" si="370"/>
        <v>0</v>
      </c>
      <c r="AT188" s="77">
        <f t="shared" ref="AT188" si="492">1-(1-AS188)^(1/12)</f>
        <v>0</v>
      </c>
      <c r="AU188" s="77">
        <f t="shared" si="372"/>
        <v>2.5000000000000001E-3</v>
      </c>
      <c r="AV188" s="77">
        <f t="shared" ref="AV188" si="493">1-(1-AU188)^(1/12)</f>
        <v>2.0857243058891584E-4</v>
      </c>
      <c r="AX188" t="s">
        <v>178</v>
      </c>
      <c r="AY188" t="s">
        <v>160</v>
      </c>
      <c r="AZ188" s="197" t="str">
        <f t="shared" si="418"/>
        <v>DIS_Non-Standard_357</v>
      </c>
      <c r="BA188">
        <v>357</v>
      </c>
      <c r="BB188">
        <f>VLOOKUP($BA188,'[2]NonStandard DIS'!$Q$1:$X$542,2,FALSE)</f>
        <v>0</v>
      </c>
      <c r="BC188">
        <f>VLOOKUP($BA188,'[2]NonStandard DIS'!$Q$1:$X$542,3,FALSE)</f>
        <v>0</v>
      </c>
      <c r="BD188">
        <f>VLOOKUP($BA188,'[2]NonStandard DIS'!$Q$1:$X$542,4,FALSE)</f>
        <v>0.308</v>
      </c>
      <c r="BE188">
        <f>VLOOKUP($BA188,'[2]NonStandard DIS'!$Q$1:$X$542,5,FALSE)</f>
        <v>0.69199999999999995</v>
      </c>
      <c r="BF188">
        <f>VLOOKUP($BA188,'[2]NonStandard DIS'!$Q$1:$X$542,6,FALSE)</f>
        <v>0</v>
      </c>
      <c r="BG188">
        <f>VLOOKUP($BA188,'[2]NonStandard DIS'!$Q$1:$X$542,7,FALSE)</f>
        <v>0</v>
      </c>
      <c r="BH188">
        <f>VLOOKUP($BA188,'[2]NonStandard DIS'!$Q$1:$X$542,8,FALSE)</f>
        <v>0</v>
      </c>
      <c r="BI188" s="77">
        <f t="shared" si="361"/>
        <v>1</v>
      </c>
      <c r="BJ188" s="77">
        <f t="shared" si="362"/>
        <v>6.9728499999999985E-2</v>
      </c>
      <c r="BK188" s="77">
        <f t="shared" si="343"/>
        <v>5.632878498097682E-3</v>
      </c>
      <c r="BL188" s="79">
        <v>0</v>
      </c>
      <c r="BM188" s="77">
        <f t="shared" si="374"/>
        <v>0</v>
      </c>
      <c r="BN188" s="77">
        <f t="shared" si="375"/>
        <v>0</v>
      </c>
      <c r="BO188" s="77">
        <f t="shared" si="376"/>
        <v>5.6775999999999997E-3</v>
      </c>
      <c r="BP188" s="77">
        <f t="shared" si="377"/>
        <v>4.7190657760731725E-4</v>
      </c>
    </row>
    <row r="189" spans="1:68">
      <c r="A189" t="s">
        <v>175</v>
      </c>
      <c r="B189" t="s">
        <v>176</v>
      </c>
      <c r="C189" s="197" t="str">
        <f t="shared" si="412"/>
        <v>Lifecycle_Balanced_356</v>
      </c>
      <c r="D189">
        <v>356</v>
      </c>
      <c r="E189">
        <f>VLOOKUP($D189,'[2]LC Balanced'!$Q$2:$U$542,2,FALSE)</f>
        <v>0</v>
      </c>
      <c r="F189">
        <f>VLOOKUP($D189,'[2]LC Balanced'!$Q$2:$U$542,3,FALSE)</f>
        <v>0.14899999999999999</v>
      </c>
      <c r="G189">
        <f>VLOOKUP($D189,'[2]LC Balanced'!$Q$2:$U$542,4,FALSE)</f>
        <v>0.85099999999999998</v>
      </c>
      <c r="H189">
        <f>VLOOKUP($D189,'[2]LC Balanced'!$Q$2:$U$542,5,FALSE)</f>
        <v>0</v>
      </c>
      <c r="I189" s="77">
        <f t="shared" si="356"/>
        <v>1</v>
      </c>
      <c r="J189" s="77">
        <f t="shared" si="357"/>
        <v>6.1987699999999986E-2</v>
      </c>
      <c r="K189" s="77">
        <f t="shared" si="347"/>
        <v>5.024442123284345E-3</v>
      </c>
      <c r="L189" s="76">
        <v>0</v>
      </c>
      <c r="M189" s="77">
        <f t="shared" si="363"/>
        <v>0</v>
      </c>
      <c r="N189" s="77">
        <f t="shared" si="364"/>
        <v>0</v>
      </c>
      <c r="O189" s="77">
        <f t="shared" si="365"/>
        <v>7.0062999999999992E-3</v>
      </c>
      <c r="P189" s="77">
        <f t="shared" si="366"/>
        <v>5.85741666996209E-4</v>
      </c>
      <c r="R189" t="s">
        <v>177</v>
      </c>
      <c r="S189" t="s">
        <v>176</v>
      </c>
      <c r="T189" s="197" t="str">
        <f t="shared" si="455"/>
        <v>Autopilot_Balanced_356</v>
      </c>
      <c r="U189">
        <v>356</v>
      </c>
      <c r="V189">
        <f>VLOOKUP($U189,'[2]AP Balanced'!$Q$1:$T$542,2,FALSE)</f>
        <v>0.77777777777777779</v>
      </c>
      <c r="W189">
        <f>VLOOKUP($U189,'[2]AP Balanced'!$Q$1:$T$542,3,FALSE)</f>
        <v>0.22222222222222221</v>
      </c>
      <c r="X189">
        <f>VLOOKUP($U189,'[2]AP Balanced'!$Q$1:$T$542,4,FALSE)</f>
        <v>0</v>
      </c>
      <c r="Y189" s="77">
        <f t="shared" si="413"/>
        <v>1</v>
      </c>
      <c r="Z189" s="77">
        <f t="shared" si="402"/>
        <v>6.1674999999999987E-2</v>
      </c>
      <c r="AA189" s="77">
        <f t="shared" si="403"/>
        <v>4.9997781870025904E-3</v>
      </c>
      <c r="AB189" s="79">
        <v>1</v>
      </c>
      <c r="AC189" s="77">
        <f t="shared" si="367"/>
        <v>8.0555555555555554E-3</v>
      </c>
      <c r="AD189" s="77">
        <f t="shared" si="358"/>
        <v>6.7378764057135498E-4</v>
      </c>
      <c r="AE189" s="77">
        <f t="shared" si="368"/>
        <v>2.5000000000000001E-3</v>
      </c>
      <c r="AF189" s="77">
        <f t="shared" si="358"/>
        <v>2.0857243058891584E-4</v>
      </c>
      <c r="AH189" t="s">
        <v>175</v>
      </c>
      <c r="AI189" t="s">
        <v>176</v>
      </c>
      <c r="AJ189" s="197" t="str">
        <f t="shared" si="414"/>
        <v>Lifecycle_Balanced_356</v>
      </c>
      <c r="AK189">
        <v>356</v>
      </c>
      <c r="AL189">
        <f>VLOOKUP($U189,[2]Standard_Balanced!$Q$1:$T$542,2,FALSE)</f>
        <v>0.77777777777777779</v>
      </c>
      <c r="AM189">
        <f>VLOOKUP($U189,[2]Standard_Balanced!$Q$1:$T$542,3,FALSE)</f>
        <v>0.22222222222222221</v>
      </c>
      <c r="AN189">
        <f>VLOOKUP($U189,[2]Standard_Balanced!$Q$1:$T$542,4,FALSE)</f>
        <v>0</v>
      </c>
      <c r="AO189" s="77">
        <f t="shared" si="344"/>
        <v>1</v>
      </c>
      <c r="AP189" s="77">
        <f t="shared" si="369"/>
        <v>6.1674999999999987E-2</v>
      </c>
      <c r="AQ189" s="77">
        <f t="shared" si="415"/>
        <v>4.9997781870025904E-3</v>
      </c>
      <c r="AR189" s="79">
        <v>0</v>
      </c>
      <c r="AS189" s="77">
        <f t="shared" si="370"/>
        <v>0</v>
      </c>
      <c r="AT189" s="77">
        <f t="shared" ref="AT189" si="494">1-(1-AS189)^(1/12)</f>
        <v>0</v>
      </c>
      <c r="AU189" s="77">
        <f t="shared" si="372"/>
        <v>2.5000000000000001E-3</v>
      </c>
      <c r="AV189" s="77">
        <f t="shared" ref="AV189" si="495">1-(1-AU189)^(1/12)</f>
        <v>2.0857243058891584E-4</v>
      </c>
      <c r="AX189" t="s">
        <v>178</v>
      </c>
      <c r="AY189" t="s">
        <v>160</v>
      </c>
      <c r="AZ189" s="197" t="str">
        <f t="shared" si="418"/>
        <v>DIS_Non-Standard_356</v>
      </c>
      <c r="BA189">
        <v>356</v>
      </c>
      <c r="BB189">
        <f>VLOOKUP($BA189,'[2]NonStandard DIS'!$Q$1:$X$542,2,FALSE)</f>
        <v>0</v>
      </c>
      <c r="BC189">
        <f>VLOOKUP($BA189,'[2]NonStandard DIS'!$Q$1:$X$542,3,FALSE)</f>
        <v>0</v>
      </c>
      <c r="BD189">
        <f>VLOOKUP($BA189,'[2]NonStandard DIS'!$Q$1:$X$542,4,FALSE)</f>
        <v>0.308</v>
      </c>
      <c r="BE189">
        <f>VLOOKUP($BA189,'[2]NonStandard DIS'!$Q$1:$X$542,5,FALSE)</f>
        <v>0.69199999999999995</v>
      </c>
      <c r="BF189">
        <f>VLOOKUP($BA189,'[2]NonStandard DIS'!$Q$1:$X$542,6,FALSE)</f>
        <v>0</v>
      </c>
      <c r="BG189">
        <f>VLOOKUP($BA189,'[2]NonStandard DIS'!$Q$1:$X$542,7,FALSE)</f>
        <v>0</v>
      </c>
      <c r="BH189">
        <f>VLOOKUP($BA189,'[2]NonStandard DIS'!$Q$1:$X$542,8,FALSE)</f>
        <v>0</v>
      </c>
      <c r="BI189" s="77">
        <f t="shared" si="361"/>
        <v>1</v>
      </c>
      <c r="BJ189" s="77">
        <f t="shared" si="362"/>
        <v>6.9728499999999985E-2</v>
      </c>
      <c r="BK189" s="77">
        <f t="shared" si="343"/>
        <v>5.632878498097682E-3</v>
      </c>
      <c r="BL189" s="79">
        <v>0</v>
      </c>
      <c r="BM189" s="77">
        <f t="shared" si="374"/>
        <v>0</v>
      </c>
      <c r="BN189" s="77">
        <f t="shared" si="375"/>
        <v>0</v>
      </c>
      <c r="BO189" s="77">
        <f t="shared" si="376"/>
        <v>5.6775999999999997E-3</v>
      </c>
      <c r="BP189" s="77">
        <f t="shared" si="377"/>
        <v>4.7190657760731725E-4</v>
      </c>
    </row>
    <row r="190" spans="1:68">
      <c r="A190" t="s">
        <v>175</v>
      </c>
      <c r="B190" t="s">
        <v>176</v>
      </c>
      <c r="C190" s="197" t="str">
        <f t="shared" si="412"/>
        <v>Lifecycle_Balanced_355</v>
      </c>
      <c r="D190">
        <v>355</v>
      </c>
      <c r="E190">
        <f>VLOOKUP($D190,'[2]LC Balanced'!$Q$2:$U$542,2,FALSE)</f>
        <v>0</v>
      </c>
      <c r="F190">
        <f>VLOOKUP($D190,'[2]LC Balanced'!$Q$2:$U$542,3,FALSE)</f>
        <v>0.14899999999999999</v>
      </c>
      <c r="G190">
        <f>VLOOKUP($D190,'[2]LC Balanced'!$Q$2:$U$542,4,FALSE)</f>
        <v>0.85099999999999998</v>
      </c>
      <c r="H190">
        <f>VLOOKUP($D190,'[2]LC Balanced'!$Q$2:$U$542,5,FALSE)</f>
        <v>0</v>
      </c>
      <c r="I190" s="77">
        <f t="shared" si="356"/>
        <v>1</v>
      </c>
      <c r="J190" s="77">
        <f t="shared" si="357"/>
        <v>6.1987699999999986E-2</v>
      </c>
      <c r="K190" s="77">
        <f t="shared" si="347"/>
        <v>5.024442123284345E-3</v>
      </c>
      <c r="L190" s="76">
        <v>0</v>
      </c>
      <c r="M190" s="77">
        <f t="shared" si="363"/>
        <v>0</v>
      </c>
      <c r="N190" s="77">
        <f t="shared" si="364"/>
        <v>0</v>
      </c>
      <c r="O190" s="77">
        <f t="shared" si="365"/>
        <v>7.0062999999999992E-3</v>
      </c>
      <c r="P190" s="77">
        <f t="shared" si="366"/>
        <v>5.85741666996209E-4</v>
      </c>
      <c r="R190" t="s">
        <v>177</v>
      </c>
      <c r="S190" t="s">
        <v>176</v>
      </c>
      <c r="T190" s="197" t="str">
        <f t="shared" si="455"/>
        <v>Autopilot_Balanced_355</v>
      </c>
      <c r="U190">
        <v>355</v>
      </c>
      <c r="V190">
        <f>VLOOKUP($U190,'[2]AP Balanced'!$Q$1:$T$542,2,FALSE)</f>
        <v>0.77777777777777779</v>
      </c>
      <c r="W190">
        <f>VLOOKUP($U190,'[2]AP Balanced'!$Q$1:$T$542,3,FALSE)</f>
        <v>0.22222222222222221</v>
      </c>
      <c r="X190">
        <f>VLOOKUP($U190,'[2]AP Balanced'!$Q$1:$T$542,4,FALSE)</f>
        <v>0</v>
      </c>
      <c r="Y190" s="77">
        <f t="shared" si="413"/>
        <v>1</v>
      </c>
      <c r="Z190" s="77">
        <f t="shared" si="402"/>
        <v>6.1674999999999987E-2</v>
      </c>
      <c r="AA190" s="77">
        <f t="shared" si="403"/>
        <v>4.9997781870025904E-3</v>
      </c>
      <c r="AB190" s="79">
        <v>1</v>
      </c>
      <c r="AC190" s="77">
        <f t="shared" si="367"/>
        <v>8.0555555555555554E-3</v>
      </c>
      <c r="AD190" s="77">
        <f t="shared" si="358"/>
        <v>6.7378764057135498E-4</v>
      </c>
      <c r="AE190" s="77">
        <f t="shared" si="368"/>
        <v>2.5000000000000001E-3</v>
      </c>
      <c r="AF190" s="77">
        <f t="shared" si="358"/>
        <v>2.0857243058891584E-4</v>
      </c>
      <c r="AH190" t="s">
        <v>175</v>
      </c>
      <c r="AI190" t="s">
        <v>176</v>
      </c>
      <c r="AJ190" s="197" t="str">
        <f t="shared" si="414"/>
        <v>Lifecycle_Balanced_355</v>
      </c>
      <c r="AK190">
        <v>355</v>
      </c>
      <c r="AL190">
        <f>VLOOKUP($U190,[2]Standard_Balanced!$Q$1:$T$542,2,FALSE)</f>
        <v>0.77777777777777779</v>
      </c>
      <c r="AM190">
        <f>VLOOKUP($U190,[2]Standard_Balanced!$Q$1:$T$542,3,FALSE)</f>
        <v>0.22222222222222221</v>
      </c>
      <c r="AN190">
        <f>VLOOKUP($U190,[2]Standard_Balanced!$Q$1:$T$542,4,FALSE)</f>
        <v>0</v>
      </c>
      <c r="AO190" s="77">
        <f t="shared" si="344"/>
        <v>1</v>
      </c>
      <c r="AP190" s="77">
        <f t="shared" si="369"/>
        <v>6.1674999999999987E-2</v>
      </c>
      <c r="AQ190" s="77">
        <f t="shared" si="415"/>
        <v>4.9997781870025904E-3</v>
      </c>
      <c r="AR190" s="79">
        <v>0</v>
      </c>
      <c r="AS190" s="77">
        <f t="shared" si="370"/>
        <v>0</v>
      </c>
      <c r="AT190" s="77">
        <f t="shared" ref="AT190" si="496">1-(1-AS190)^(1/12)</f>
        <v>0</v>
      </c>
      <c r="AU190" s="77">
        <f t="shared" si="372"/>
        <v>2.5000000000000001E-3</v>
      </c>
      <c r="AV190" s="77">
        <f t="shared" ref="AV190" si="497">1-(1-AU190)^(1/12)</f>
        <v>2.0857243058891584E-4</v>
      </c>
      <c r="AX190" t="s">
        <v>178</v>
      </c>
      <c r="AY190" t="s">
        <v>160</v>
      </c>
      <c r="AZ190" s="197" t="str">
        <f t="shared" si="418"/>
        <v>DIS_Non-Standard_355</v>
      </c>
      <c r="BA190">
        <v>355</v>
      </c>
      <c r="BB190">
        <f>VLOOKUP($BA190,'[2]NonStandard DIS'!$Q$1:$X$542,2,FALSE)</f>
        <v>0</v>
      </c>
      <c r="BC190">
        <f>VLOOKUP($BA190,'[2]NonStandard DIS'!$Q$1:$X$542,3,FALSE)</f>
        <v>0</v>
      </c>
      <c r="BD190">
        <f>VLOOKUP($BA190,'[2]NonStandard DIS'!$Q$1:$X$542,4,FALSE)</f>
        <v>0.308</v>
      </c>
      <c r="BE190">
        <f>VLOOKUP($BA190,'[2]NonStandard DIS'!$Q$1:$X$542,5,FALSE)</f>
        <v>0.69199999999999995</v>
      </c>
      <c r="BF190">
        <f>VLOOKUP($BA190,'[2]NonStandard DIS'!$Q$1:$X$542,6,FALSE)</f>
        <v>0</v>
      </c>
      <c r="BG190">
        <f>VLOOKUP($BA190,'[2]NonStandard DIS'!$Q$1:$X$542,7,FALSE)</f>
        <v>0</v>
      </c>
      <c r="BH190">
        <f>VLOOKUP($BA190,'[2]NonStandard DIS'!$Q$1:$X$542,8,FALSE)</f>
        <v>0</v>
      </c>
      <c r="BI190" s="77">
        <f t="shared" si="361"/>
        <v>1</v>
      </c>
      <c r="BJ190" s="77">
        <f t="shared" si="362"/>
        <v>6.9728499999999985E-2</v>
      </c>
      <c r="BK190" s="77">
        <f t="shared" si="343"/>
        <v>5.632878498097682E-3</v>
      </c>
      <c r="BL190" s="79">
        <v>0</v>
      </c>
      <c r="BM190" s="77">
        <f t="shared" si="374"/>
        <v>0</v>
      </c>
      <c r="BN190" s="77">
        <f t="shared" si="375"/>
        <v>0</v>
      </c>
      <c r="BO190" s="77">
        <f t="shared" si="376"/>
        <v>5.6775999999999997E-3</v>
      </c>
      <c r="BP190" s="77">
        <f t="shared" si="377"/>
        <v>4.7190657760731725E-4</v>
      </c>
    </row>
    <row r="191" spans="1:68">
      <c r="A191" t="s">
        <v>175</v>
      </c>
      <c r="B191" t="s">
        <v>176</v>
      </c>
      <c r="C191" s="197" t="str">
        <f t="shared" si="412"/>
        <v>Lifecycle_Balanced_354</v>
      </c>
      <c r="D191">
        <v>354</v>
      </c>
      <c r="E191">
        <f>VLOOKUP($D191,'[2]LC Balanced'!$Q$2:$U$542,2,FALSE)</f>
        <v>0</v>
      </c>
      <c r="F191">
        <f>VLOOKUP($D191,'[2]LC Balanced'!$Q$2:$U$542,3,FALSE)</f>
        <v>0.14899999999999999</v>
      </c>
      <c r="G191">
        <f>VLOOKUP($D191,'[2]LC Balanced'!$Q$2:$U$542,4,FALSE)</f>
        <v>0.85099999999999998</v>
      </c>
      <c r="H191">
        <f>VLOOKUP($D191,'[2]LC Balanced'!$Q$2:$U$542,5,FALSE)</f>
        <v>0</v>
      </c>
      <c r="I191" s="77">
        <f t="shared" si="356"/>
        <v>1</v>
      </c>
      <c r="J191" s="77">
        <f t="shared" si="357"/>
        <v>6.1987699999999986E-2</v>
      </c>
      <c r="K191" s="77">
        <f t="shared" si="347"/>
        <v>5.024442123284345E-3</v>
      </c>
      <c r="L191" s="76">
        <v>0</v>
      </c>
      <c r="M191" s="77">
        <f t="shared" si="363"/>
        <v>0</v>
      </c>
      <c r="N191" s="77">
        <f t="shared" si="364"/>
        <v>0</v>
      </c>
      <c r="O191" s="77">
        <f t="shared" si="365"/>
        <v>7.0062999999999992E-3</v>
      </c>
      <c r="P191" s="77">
        <f t="shared" si="366"/>
        <v>5.85741666996209E-4</v>
      </c>
      <c r="R191" t="s">
        <v>177</v>
      </c>
      <c r="S191" t="s">
        <v>176</v>
      </c>
      <c r="T191" s="197" t="str">
        <f t="shared" si="455"/>
        <v>Autopilot_Balanced_354</v>
      </c>
      <c r="U191">
        <v>354</v>
      </c>
      <c r="V191">
        <f>VLOOKUP($U191,'[2]AP Balanced'!$Q$1:$T$542,2,FALSE)</f>
        <v>0.77777777777777779</v>
      </c>
      <c r="W191">
        <f>VLOOKUP($U191,'[2]AP Balanced'!$Q$1:$T$542,3,FALSE)</f>
        <v>0.22222222222222221</v>
      </c>
      <c r="X191">
        <f>VLOOKUP($U191,'[2]AP Balanced'!$Q$1:$T$542,4,FALSE)</f>
        <v>0</v>
      </c>
      <c r="Y191" s="77">
        <f t="shared" si="413"/>
        <v>1</v>
      </c>
      <c r="Z191" s="77">
        <f t="shared" si="402"/>
        <v>6.1674999999999987E-2</v>
      </c>
      <c r="AA191" s="77">
        <f t="shared" si="403"/>
        <v>4.9997781870025904E-3</v>
      </c>
      <c r="AB191" s="79">
        <v>1</v>
      </c>
      <c r="AC191" s="77">
        <f t="shared" si="367"/>
        <v>8.0555555555555554E-3</v>
      </c>
      <c r="AD191" s="77">
        <f t="shared" si="358"/>
        <v>6.7378764057135498E-4</v>
      </c>
      <c r="AE191" s="77">
        <f t="shared" si="368"/>
        <v>2.5000000000000001E-3</v>
      </c>
      <c r="AF191" s="77">
        <f t="shared" si="358"/>
        <v>2.0857243058891584E-4</v>
      </c>
      <c r="AH191" t="s">
        <v>175</v>
      </c>
      <c r="AI191" t="s">
        <v>176</v>
      </c>
      <c r="AJ191" s="197" t="str">
        <f t="shared" si="414"/>
        <v>Lifecycle_Balanced_354</v>
      </c>
      <c r="AK191">
        <v>354</v>
      </c>
      <c r="AL191">
        <f>VLOOKUP($U191,[2]Standard_Balanced!$Q$1:$T$542,2,FALSE)</f>
        <v>0.77777777777777779</v>
      </c>
      <c r="AM191">
        <f>VLOOKUP($U191,[2]Standard_Balanced!$Q$1:$T$542,3,FALSE)</f>
        <v>0.22222222222222221</v>
      </c>
      <c r="AN191">
        <f>VLOOKUP($U191,[2]Standard_Balanced!$Q$1:$T$542,4,FALSE)</f>
        <v>0</v>
      </c>
      <c r="AO191" s="77">
        <f t="shared" si="344"/>
        <v>1</v>
      </c>
      <c r="AP191" s="77">
        <f t="shared" si="369"/>
        <v>6.1674999999999987E-2</v>
      </c>
      <c r="AQ191" s="77">
        <f t="shared" si="415"/>
        <v>4.9997781870025904E-3</v>
      </c>
      <c r="AR191" s="79">
        <v>0</v>
      </c>
      <c r="AS191" s="77">
        <f t="shared" si="370"/>
        <v>0</v>
      </c>
      <c r="AT191" s="77">
        <f t="shared" ref="AT191" si="498">1-(1-AS191)^(1/12)</f>
        <v>0</v>
      </c>
      <c r="AU191" s="77">
        <f t="shared" si="372"/>
        <v>2.5000000000000001E-3</v>
      </c>
      <c r="AV191" s="77">
        <f t="shared" ref="AV191" si="499">1-(1-AU191)^(1/12)</f>
        <v>2.0857243058891584E-4</v>
      </c>
      <c r="AX191" t="s">
        <v>178</v>
      </c>
      <c r="AY191" t="s">
        <v>160</v>
      </c>
      <c r="AZ191" s="197" t="str">
        <f t="shared" si="418"/>
        <v>DIS_Non-Standard_354</v>
      </c>
      <c r="BA191">
        <v>354</v>
      </c>
      <c r="BB191">
        <f>VLOOKUP($BA191,'[2]NonStandard DIS'!$Q$1:$X$542,2,FALSE)</f>
        <v>0</v>
      </c>
      <c r="BC191">
        <f>VLOOKUP($BA191,'[2]NonStandard DIS'!$Q$1:$X$542,3,FALSE)</f>
        <v>0</v>
      </c>
      <c r="BD191">
        <f>VLOOKUP($BA191,'[2]NonStandard DIS'!$Q$1:$X$542,4,FALSE)</f>
        <v>0.308</v>
      </c>
      <c r="BE191">
        <f>VLOOKUP($BA191,'[2]NonStandard DIS'!$Q$1:$X$542,5,FALSE)</f>
        <v>0.69199999999999995</v>
      </c>
      <c r="BF191">
        <f>VLOOKUP($BA191,'[2]NonStandard DIS'!$Q$1:$X$542,6,FALSE)</f>
        <v>0</v>
      </c>
      <c r="BG191">
        <f>VLOOKUP($BA191,'[2]NonStandard DIS'!$Q$1:$X$542,7,FALSE)</f>
        <v>0</v>
      </c>
      <c r="BH191">
        <f>VLOOKUP($BA191,'[2]NonStandard DIS'!$Q$1:$X$542,8,FALSE)</f>
        <v>0</v>
      </c>
      <c r="BI191" s="77">
        <f t="shared" si="361"/>
        <v>1</v>
      </c>
      <c r="BJ191" s="77">
        <f t="shared" si="362"/>
        <v>6.9728499999999985E-2</v>
      </c>
      <c r="BK191" s="77">
        <f t="shared" ref="BK191:BK254" si="500">(1+BJ191)^(1/12)-1</f>
        <v>5.632878498097682E-3</v>
      </c>
      <c r="BL191" s="79">
        <v>0</v>
      </c>
      <c r="BM191" s="77">
        <f t="shared" si="374"/>
        <v>0</v>
      </c>
      <c r="BN191" s="77">
        <f t="shared" si="375"/>
        <v>0</v>
      </c>
      <c r="BO191" s="77">
        <f t="shared" si="376"/>
        <v>5.6775999999999997E-3</v>
      </c>
      <c r="BP191" s="77">
        <f t="shared" si="377"/>
        <v>4.7190657760731725E-4</v>
      </c>
    </row>
    <row r="192" spans="1:68">
      <c r="A192" t="s">
        <v>175</v>
      </c>
      <c r="B192" t="s">
        <v>176</v>
      </c>
      <c r="C192" s="197" t="str">
        <f t="shared" si="412"/>
        <v>Lifecycle_Balanced_353</v>
      </c>
      <c r="D192">
        <v>353</v>
      </c>
      <c r="E192">
        <f>VLOOKUP($D192,'[2]LC Balanced'!$Q$2:$U$542,2,FALSE)</f>
        <v>0</v>
      </c>
      <c r="F192">
        <f>VLOOKUP($D192,'[2]LC Balanced'!$Q$2:$U$542,3,FALSE)</f>
        <v>0.14899999999999999</v>
      </c>
      <c r="G192">
        <f>VLOOKUP($D192,'[2]LC Balanced'!$Q$2:$U$542,4,FALSE)</f>
        <v>0.85099999999999998</v>
      </c>
      <c r="H192">
        <f>VLOOKUP($D192,'[2]LC Balanced'!$Q$2:$U$542,5,FALSE)</f>
        <v>0</v>
      </c>
      <c r="I192" s="77">
        <f t="shared" si="356"/>
        <v>1</v>
      </c>
      <c r="J192" s="77">
        <f t="shared" si="357"/>
        <v>6.1987699999999986E-2</v>
      </c>
      <c r="K192" s="77">
        <f t="shared" si="347"/>
        <v>5.024442123284345E-3</v>
      </c>
      <c r="L192" s="76">
        <v>0</v>
      </c>
      <c r="M192" s="77">
        <f t="shared" si="363"/>
        <v>0</v>
      </c>
      <c r="N192" s="77">
        <f t="shared" si="364"/>
        <v>0</v>
      </c>
      <c r="O192" s="77">
        <f t="shared" si="365"/>
        <v>7.0062999999999992E-3</v>
      </c>
      <c r="P192" s="77">
        <f t="shared" si="366"/>
        <v>5.85741666996209E-4</v>
      </c>
      <c r="R192" t="s">
        <v>177</v>
      </c>
      <c r="S192" t="s">
        <v>176</v>
      </c>
      <c r="T192" s="197" t="str">
        <f t="shared" si="455"/>
        <v>Autopilot_Balanced_353</v>
      </c>
      <c r="U192">
        <v>353</v>
      </c>
      <c r="V192">
        <f>VLOOKUP($U192,'[2]AP Balanced'!$Q$1:$T$542,2,FALSE)</f>
        <v>0.77777777777777779</v>
      </c>
      <c r="W192">
        <f>VLOOKUP($U192,'[2]AP Balanced'!$Q$1:$T$542,3,FALSE)</f>
        <v>0.22222222222222221</v>
      </c>
      <c r="X192">
        <f>VLOOKUP($U192,'[2]AP Balanced'!$Q$1:$T$542,4,FALSE)</f>
        <v>0</v>
      </c>
      <c r="Y192" s="77">
        <f t="shared" si="413"/>
        <v>1</v>
      </c>
      <c r="Z192" s="77">
        <f t="shared" si="402"/>
        <v>6.1674999999999987E-2</v>
      </c>
      <c r="AA192" s="77">
        <f t="shared" si="403"/>
        <v>4.9997781870025904E-3</v>
      </c>
      <c r="AB192" s="79">
        <v>1</v>
      </c>
      <c r="AC192" s="77">
        <f t="shared" si="367"/>
        <v>8.0555555555555554E-3</v>
      </c>
      <c r="AD192" s="77">
        <f t="shared" si="358"/>
        <v>6.7378764057135498E-4</v>
      </c>
      <c r="AE192" s="77">
        <f t="shared" si="368"/>
        <v>2.5000000000000001E-3</v>
      </c>
      <c r="AF192" s="77">
        <f t="shared" si="358"/>
        <v>2.0857243058891584E-4</v>
      </c>
      <c r="AH192" t="s">
        <v>175</v>
      </c>
      <c r="AI192" t="s">
        <v>176</v>
      </c>
      <c r="AJ192" s="197" t="str">
        <f t="shared" si="414"/>
        <v>Lifecycle_Balanced_353</v>
      </c>
      <c r="AK192">
        <v>353</v>
      </c>
      <c r="AL192">
        <f>VLOOKUP($U192,[2]Standard_Balanced!$Q$1:$T$542,2,FALSE)</f>
        <v>0.77777777777777779</v>
      </c>
      <c r="AM192">
        <f>VLOOKUP($U192,[2]Standard_Balanced!$Q$1:$T$542,3,FALSE)</f>
        <v>0.22222222222222221</v>
      </c>
      <c r="AN192">
        <f>VLOOKUP($U192,[2]Standard_Balanced!$Q$1:$T$542,4,FALSE)</f>
        <v>0</v>
      </c>
      <c r="AO192" s="77">
        <f t="shared" ref="AO192:AO255" si="501">SUM(AL192:AN192)</f>
        <v>1</v>
      </c>
      <c r="AP192" s="77">
        <f t="shared" si="369"/>
        <v>6.1674999999999987E-2</v>
      </c>
      <c r="AQ192" s="77">
        <f t="shared" si="415"/>
        <v>4.9997781870025904E-3</v>
      </c>
      <c r="AR192" s="79">
        <v>0</v>
      </c>
      <c r="AS192" s="77">
        <f t="shared" si="370"/>
        <v>0</v>
      </c>
      <c r="AT192" s="77">
        <f t="shared" ref="AT192" si="502">1-(1-AS192)^(1/12)</f>
        <v>0</v>
      </c>
      <c r="AU192" s="77">
        <f t="shared" si="372"/>
        <v>2.5000000000000001E-3</v>
      </c>
      <c r="AV192" s="77">
        <f t="shared" ref="AV192" si="503">1-(1-AU192)^(1/12)</f>
        <v>2.0857243058891584E-4</v>
      </c>
      <c r="AX192" t="s">
        <v>178</v>
      </c>
      <c r="AY192" t="s">
        <v>160</v>
      </c>
      <c r="AZ192" s="197" t="str">
        <f t="shared" si="418"/>
        <v>DIS_Non-Standard_353</v>
      </c>
      <c r="BA192">
        <v>353</v>
      </c>
      <c r="BB192">
        <f>VLOOKUP($BA192,'[2]NonStandard DIS'!$Q$1:$X$542,2,FALSE)</f>
        <v>0</v>
      </c>
      <c r="BC192">
        <f>VLOOKUP($BA192,'[2]NonStandard DIS'!$Q$1:$X$542,3,FALSE)</f>
        <v>0</v>
      </c>
      <c r="BD192">
        <f>VLOOKUP($BA192,'[2]NonStandard DIS'!$Q$1:$X$542,4,FALSE)</f>
        <v>0.308</v>
      </c>
      <c r="BE192">
        <f>VLOOKUP($BA192,'[2]NonStandard DIS'!$Q$1:$X$542,5,FALSE)</f>
        <v>0.69199999999999995</v>
      </c>
      <c r="BF192">
        <f>VLOOKUP($BA192,'[2]NonStandard DIS'!$Q$1:$X$542,6,FALSE)</f>
        <v>0</v>
      </c>
      <c r="BG192">
        <f>VLOOKUP($BA192,'[2]NonStandard DIS'!$Q$1:$X$542,7,FALSE)</f>
        <v>0</v>
      </c>
      <c r="BH192">
        <f>VLOOKUP($BA192,'[2]NonStandard DIS'!$Q$1:$X$542,8,FALSE)</f>
        <v>0</v>
      </c>
      <c r="BI192" s="77">
        <f t="shared" si="361"/>
        <v>1</v>
      </c>
      <c r="BJ192" s="77">
        <f t="shared" si="362"/>
        <v>6.9728499999999985E-2</v>
      </c>
      <c r="BK192" s="77">
        <f t="shared" si="500"/>
        <v>5.632878498097682E-3</v>
      </c>
      <c r="BL192" s="79">
        <v>0</v>
      </c>
      <c r="BM192" s="77">
        <f t="shared" si="374"/>
        <v>0</v>
      </c>
      <c r="BN192" s="77">
        <f t="shared" si="375"/>
        <v>0</v>
      </c>
      <c r="BO192" s="77">
        <f t="shared" si="376"/>
        <v>5.6775999999999997E-3</v>
      </c>
      <c r="BP192" s="77">
        <f t="shared" si="377"/>
        <v>4.7190657760731725E-4</v>
      </c>
    </row>
    <row r="193" spans="1:68">
      <c r="A193" t="s">
        <v>175</v>
      </c>
      <c r="B193" t="s">
        <v>176</v>
      </c>
      <c r="C193" s="197" t="str">
        <f t="shared" si="412"/>
        <v>Lifecycle_Balanced_352</v>
      </c>
      <c r="D193">
        <v>352</v>
      </c>
      <c r="E193">
        <f>VLOOKUP($D193,'[2]LC Balanced'!$Q$2:$U$542,2,FALSE)</f>
        <v>0</v>
      </c>
      <c r="F193">
        <f>VLOOKUP($D193,'[2]LC Balanced'!$Q$2:$U$542,3,FALSE)</f>
        <v>0.14899999999999999</v>
      </c>
      <c r="G193">
        <f>VLOOKUP($D193,'[2]LC Balanced'!$Q$2:$U$542,4,FALSE)</f>
        <v>0.85099999999999998</v>
      </c>
      <c r="H193">
        <f>VLOOKUP($D193,'[2]LC Balanced'!$Q$2:$U$542,5,FALSE)</f>
        <v>0</v>
      </c>
      <c r="I193" s="77">
        <f t="shared" si="356"/>
        <v>1</v>
      </c>
      <c r="J193" s="77">
        <f t="shared" si="357"/>
        <v>6.1987699999999986E-2</v>
      </c>
      <c r="K193" s="77">
        <f t="shared" ref="K193:K256" si="504">(1+J193)^(1/12)-1</f>
        <v>5.024442123284345E-3</v>
      </c>
      <c r="L193" s="76">
        <v>0</v>
      </c>
      <c r="M193" s="77">
        <f t="shared" si="363"/>
        <v>0</v>
      </c>
      <c r="N193" s="77">
        <f t="shared" si="364"/>
        <v>0</v>
      </c>
      <c r="O193" s="77">
        <f t="shared" si="365"/>
        <v>7.0062999999999992E-3</v>
      </c>
      <c r="P193" s="77">
        <f t="shared" si="366"/>
        <v>5.85741666996209E-4</v>
      </c>
      <c r="R193" t="s">
        <v>177</v>
      </c>
      <c r="S193" t="s">
        <v>176</v>
      </c>
      <c r="T193" s="197" t="str">
        <f t="shared" si="455"/>
        <v>Autopilot_Balanced_352</v>
      </c>
      <c r="U193">
        <v>352</v>
      </c>
      <c r="V193">
        <f>VLOOKUP($U193,'[2]AP Balanced'!$Q$1:$T$542,2,FALSE)</f>
        <v>0.77777777777777779</v>
      </c>
      <c r="W193">
        <f>VLOOKUP($U193,'[2]AP Balanced'!$Q$1:$T$542,3,FALSE)</f>
        <v>0.22222222222222221</v>
      </c>
      <c r="X193">
        <f>VLOOKUP($U193,'[2]AP Balanced'!$Q$1:$T$542,4,FALSE)</f>
        <v>0</v>
      </c>
      <c r="Y193" s="77">
        <f t="shared" si="413"/>
        <v>1</v>
      </c>
      <c r="Z193" s="77">
        <f t="shared" si="402"/>
        <v>6.1674999999999987E-2</v>
      </c>
      <c r="AA193" s="77">
        <f t="shared" si="403"/>
        <v>4.9997781870025904E-3</v>
      </c>
      <c r="AB193" s="79">
        <v>1</v>
      </c>
      <c r="AC193" s="77">
        <f t="shared" si="367"/>
        <v>8.0555555555555554E-3</v>
      </c>
      <c r="AD193" s="77">
        <f t="shared" si="358"/>
        <v>6.7378764057135498E-4</v>
      </c>
      <c r="AE193" s="77">
        <f t="shared" si="368"/>
        <v>2.5000000000000001E-3</v>
      </c>
      <c r="AF193" s="77">
        <f t="shared" si="358"/>
        <v>2.0857243058891584E-4</v>
      </c>
      <c r="AH193" t="s">
        <v>175</v>
      </c>
      <c r="AI193" t="s">
        <v>176</v>
      </c>
      <c r="AJ193" s="197" t="str">
        <f t="shared" si="414"/>
        <v>Lifecycle_Balanced_352</v>
      </c>
      <c r="AK193">
        <v>352</v>
      </c>
      <c r="AL193">
        <f>VLOOKUP($U193,[2]Standard_Balanced!$Q$1:$T$542,2,FALSE)</f>
        <v>0.77777777777777779</v>
      </c>
      <c r="AM193">
        <f>VLOOKUP($U193,[2]Standard_Balanced!$Q$1:$T$542,3,FALSE)</f>
        <v>0.22222222222222221</v>
      </c>
      <c r="AN193">
        <f>VLOOKUP($U193,[2]Standard_Balanced!$Q$1:$T$542,4,FALSE)</f>
        <v>0</v>
      </c>
      <c r="AO193" s="77">
        <f t="shared" si="501"/>
        <v>1</v>
      </c>
      <c r="AP193" s="77">
        <f t="shared" si="369"/>
        <v>6.1674999999999987E-2</v>
      </c>
      <c r="AQ193" s="77">
        <f t="shared" si="415"/>
        <v>4.9997781870025904E-3</v>
      </c>
      <c r="AR193" s="79">
        <v>0</v>
      </c>
      <c r="AS193" s="77">
        <f t="shared" si="370"/>
        <v>0</v>
      </c>
      <c r="AT193" s="77">
        <f t="shared" ref="AT193" si="505">1-(1-AS193)^(1/12)</f>
        <v>0</v>
      </c>
      <c r="AU193" s="77">
        <f t="shared" si="372"/>
        <v>2.5000000000000001E-3</v>
      </c>
      <c r="AV193" s="77">
        <f t="shared" ref="AV193" si="506">1-(1-AU193)^(1/12)</f>
        <v>2.0857243058891584E-4</v>
      </c>
      <c r="AX193" t="s">
        <v>178</v>
      </c>
      <c r="AY193" t="s">
        <v>160</v>
      </c>
      <c r="AZ193" s="197" t="str">
        <f t="shared" si="418"/>
        <v>DIS_Non-Standard_352</v>
      </c>
      <c r="BA193">
        <v>352</v>
      </c>
      <c r="BB193">
        <f>VLOOKUP($BA193,'[2]NonStandard DIS'!$Q$1:$X$542,2,FALSE)</f>
        <v>0</v>
      </c>
      <c r="BC193">
        <f>VLOOKUP($BA193,'[2]NonStandard DIS'!$Q$1:$X$542,3,FALSE)</f>
        <v>0</v>
      </c>
      <c r="BD193">
        <f>VLOOKUP($BA193,'[2]NonStandard DIS'!$Q$1:$X$542,4,FALSE)</f>
        <v>0.308</v>
      </c>
      <c r="BE193">
        <f>VLOOKUP($BA193,'[2]NonStandard DIS'!$Q$1:$X$542,5,FALSE)</f>
        <v>0.69199999999999995</v>
      </c>
      <c r="BF193">
        <f>VLOOKUP($BA193,'[2]NonStandard DIS'!$Q$1:$X$542,6,FALSE)</f>
        <v>0</v>
      </c>
      <c r="BG193">
        <f>VLOOKUP($BA193,'[2]NonStandard DIS'!$Q$1:$X$542,7,FALSE)</f>
        <v>0</v>
      </c>
      <c r="BH193">
        <f>VLOOKUP($BA193,'[2]NonStandard DIS'!$Q$1:$X$542,8,FALSE)</f>
        <v>0</v>
      </c>
      <c r="BI193" s="77">
        <f t="shared" si="361"/>
        <v>1</v>
      </c>
      <c r="BJ193" s="77">
        <f t="shared" si="362"/>
        <v>6.9728499999999985E-2</v>
      </c>
      <c r="BK193" s="77">
        <f t="shared" si="500"/>
        <v>5.632878498097682E-3</v>
      </c>
      <c r="BL193" s="79">
        <v>0</v>
      </c>
      <c r="BM193" s="77">
        <f t="shared" si="374"/>
        <v>0</v>
      </c>
      <c r="BN193" s="77">
        <f t="shared" si="375"/>
        <v>0</v>
      </c>
      <c r="BO193" s="77">
        <f t="shared" si="376"/>
        <v>5.6775999999999997E-3</v>
      </c>
      <c r="BP193" s="77">
        <f t="shared" si="377"/>
        <v>4.7190657760731725E-4</v>
      </c>
    </row>
    <row r="194" spans="1:68">
      <c r="A194" t="s">
        <v>175</v>
      </c>
      <c r="B194" t="s">
        <v>176</v>
      </c>
      <c r="C194" s="197" t="str">
        <f t="shared" si="412"/>
        <v>Lifecycle_Balanced_351</v>
      </c>
      <c r="D194">
        <v>351</v>
      </c>
      <c r="E194">
        <f>VLOOKUP($D194,'[2]LC Balanced'!$Q$2:$U$542,2,FALSE)</f>
        <v>0</v>
      </c>
      <c r="F194">
        <f>VLOOKUP($D194,'[2]LC Balanced'!$Q$2:$U$542,3,FALSE)</f>
        <v>0.14899999999999999</v>
      </c>
      <c r="G194">
        <f>VLOOKUP($D194,'[2]LC Balanced'!$Q$2:$U$542,4,FALSE)</f>
        <v>0.85099999999999998</v>
      </c>
      <c r="H194">
        <f>VLOOKUP($D194,'[2]LC Balanced'!$Q$2:$U$542,5,FALSE)</f>
        <v>0</v>
      </c>
      <c r="I194" s="77">
        <f t="shared" si="356"/>
        <v>1</v>
      </c>
      <c r="J194" s="77">
        <f t="shared" si="357"/>
        <v>6.1987699999999986E-2</v>
      </c>
      <c r="K194" s="77">
        <f t="shared" si="504"/>
        <v>5.024442123284345E-3</v>
      </c>
      <c r="L194" s="76">
        <v>0</v>
      </c>
      <c r="M194" s="77">
        <f t="shared" si="363"/>
        <v>0</v>
      </c>
      <c r="N194" s="77">
        <f t="shared" si="364"/>
        <v>0</v>
      </c>
      <c r="O194" s="77">
        <f t="shared" si="365"/>
        <v>7.0062999999999992E-3</v>
      </c>
      <c r="P194" s="77">
        <f t="shared" si="366"/>
        <v>5.85741666996209E-4</v>
      </c>
      <c r="R194" t="s">
        <v>177</v>
      </c>
      <c r="S194" t="s">
        <v>176</v>
      </c>
      <c r="T194" s="197" t="str">
        <f t="shared" si="455"/>
        <v>Autopilot_Balanced_351</v>
      </c>
      <c r="U194">
        <v>351</v>
      </c>
      <c r="V194">
        <f>VLOOKUP($U194,'[2]AP Balanced'!$Q$1:$T$542,2,FALSE)</f>
        <v>0.77777777777777779</v>
      </c>
      <c r="W194">
        <f>VLOOKUP($U194,'[2]AP Balanced'!$Q$1:$T$542,3,FALSE)</f>
        <v>0.22222222222222221</v>
      </c>
      <c r="X194">
        <f>VLOOKUP($U194,'[2]AP Balanced'!$Q$1:$T$542,4,FALSE)</f>
        <v>0</v>
      </c>
      <c r="Y194" s="77">
        <f t="shared" si="413"/>
        <v>1</v>
      </c>
      <c r="Z194" s="77">
        <f t="shared" si="402"/>
        <v>6.1674999999999987E-2</v>
      </c>
      <c r="AA194" s="77">
        <f t="shared" si="403"/>
        <v>4.9997781870025904E-3</v>
      </c>
      <c r="AB194" s="79">
        <v>1</v>
      </c>
      <c r="AC194" s="77">
        <f t="shared" si="367"/>
        <v>8.0555555555555554E-3</v>
      </c>
      <c r="AD194" s="77">
        <f t="shared" si="358"/>
        <v>6.7378764057135498E-4</v>
      </c>
      <c r="AE194" s="77">
        <f t="shared" si="368"/>
        <v>2.5000000000000001E-3</v>
      </c>
      <c r="AF194" s="77">
        <f t="shared" si="358"/>
        <v>2.0857243058891584E-4</v>
      </c>
      <c r="AH194" t="s">
        <v>175</v>
      </c>
      <c r="AI194" t="s">
        <v>176</v>
      </c>
      <c r="AJ194" s="197" t="str">
        <f t="shared" si="414"/>
        <v>Lifecycle_Balanced_351</v>
      </c>
      <c r="AK194">
        <v>351</v>
      </c>
      <c r="AL194">
        <f>VLOOKUP($U194,[2]Standard_Balanced!$Q$1:$T$542,2,FALSE)</f>
        <v>0.77777777777777779</v>
      </c>
      <c r="AM194">
        <f>VLOOKUP($U194,[2]Standard_Balanced!$Q$1:$T$542,3,FALSE)</f>
        <v>0.22222222222222221</v>
      </c>
      <c r="AN194">
        <f>VLOOKUP($U194,[2]Standard_Balanced!$Q$1:$T$542,4,FALSE)</f>
        <v>0</v>
      </c>
      <c r="AO194" s="77">
        <f t="shared" si="501"/>
        <v>1</v>
      </c>
      <c r="AP194" s="77">
        <f t="shared" si="369"/>
        <v>6.1674999999999987E-2</v>
      </c>
      <c r="AQ194" s="77">
        <f t="shared" si="415"/>
        <v>4.9997781870025904E-3</v>
      </c>
      <c r="AR194" s="79">
        <v>0</v>
      </c>
      <c r="AS194" s="77">
        <f t="shared" si="370"/>
        <v>0</v>
      </c>
      <c r="AT194" s="77">
        <f t="shared" ref="AT194" si="507">1-(1-AS194)^(1/12)</f>
        <v>0</v>
      </c>
      <c r="AU194" s="77">
        <f t="shared" si="372"/>
        <v>2.5000000000000001E-3</v>
      </c>
      <c r="AV194" s="77">
        <f t="shared" ref="AV194" si="508">1-(1-AU194)^(1/12)</f>
        <v>2.0857243058891584E-4</v>
      </c>
      <c r="AX194" t="s">
        <v>178</v>
      </c>
      <c r="AY194" t="s">
        <v>160</v>
      </c>
      <c r="AZ194" s="197" t="str">
        <f t="shared" si="418"/>
        <v>DIS_Non-Standard_351</v>
      </c>
      <c r="BA194">
        <v>351</v>
      </c>
      <c r="BB194">
        <f>VLOOKUP($BA194,'[2]NonStandard DIS'!$Q$1:$X$542,2,FALSE)</f>
        <v>0</v>
      </c>
      <c r="BC194">
        <f>VLOOKUP($BA194,'[2]NonStandard DIS'!$Q$1:$X$542,3,FALSE)</f>
        <v>0</v>
      </c>
      <c r="BD194">
        <f>VLOOKUP($BA194,'[2]NonStandard DIS'!$Q$1:$X$542,4,FALSE)</f>
        <v>0.308</v>
      </c>
      <c r="BE194">
        <f>VLOOKUP($BA194,'[2]NonStandard DIS'!$Q$1:$X$542,5,FALSE)</f>
        <v>0.69199999999999995</v>
      </c>
      <c r="BF194">
        <f>VLOOKUP($BA194,'[2]NonStandard DIS'!$Q$1:$X$542,6,FALSE)</f>
        <v>0</v>
      </c>
      <c r="BG194">
        <f>VLOOKUP($BA194,'[2]NonStandard DIS'!$Q$1:$X$542,7,FALSE)</f>
        <v>0</v>
      </c>
      <c r="BH194">
        <f>VLOOKUP($BA194,'[2]NonStandard DIS'!$Q$1:$X$542,8,FALSE)</f>
        <v>0</v>
      </c>
      <c r="BI194" s="77">
        <f t="shared" si="361"/>
        <v>1</v>
      </c>
      <c r="BJ194" s="77">
        <f t="shared" si="362"/>
        <v>6.9728499999999985E-2</v>
      </c>
      <c r="BK194" s="77">
        <f t="shared" si="500"/>
        <v>5.632878498097682E-3</v>
      </c>
      <c r="BL194" s="79">
        <v>0</v>
      </c>
      <c r="BM194" s="77">
        <f t="shared" si="374"/>
        <v>0</v>
      </c>
      <c r="BN194" s="77">
        <f t="shared" si="375"/>
        <v>0</v>
      </c>
      <c r="BO194" s="77">
        <f t="shared" si="376"/>
        <v>5.6775999999999997E-3</v>
      </c>
      <c r="BP194" s="77">
        <f t="shared" si="377"/>
        <v>4.7190657760731725E-4</v>
      </c>
    </row>
    <row r="195" spans="1:68">
      <c r="A195" t="s">
        <v>175</v>
      </c>
      <c r="B195" t="s">
        <v>176</v>
      </c>
      <c r="C195" s="197" t="str">
        <f t="shared" si="412"/>
        <v>Lifecycle_Balanced_350</v>
      </c>
      <c r="D195">
        <v>350</v>
      </c>
      <c r="E195">
        <f>VLOOKUP($D195,'[2]LC Balanced'!$Q$2:$U$542,2,FALSE)</f>
        <v>0</v>
      </c>
      <c r="F195">
        <f>VLOOKUP($D195,'[2]LC Balanced'!$Q$2:$U$542,3,FALSE)</f>
        <v>0.14899999999999999</v>
      </c>
      <c r="G195">
        <f>VLOOKUP($D195,'[2]LC Balanced'!$Q$2:$U$542,4,FALSE)</f>
        <v>0.85099999999999998</v>
      </c>
      <c r="H195">
        <f>VLOOKUP($D195,'[2]LC Balanced'!$Q$2:$U$542,5,FALSE)</f>
        <v>0</v>
      </c>
      <c r="I195" s="77">
        <f t="shared" si="356"/>
        <v>1</v>
      </c>
      <c r="J195" s="77">
        <f t="shared" si="357"/>
        <v>6.1987699999999986E-2</v>
      </c>
      <c r="K195" s="77">
        <f t="shared" si="504"/>
        <v>5.024442123284345E-3</v>
      </c>
      <c r="L195" s="76">
        <v>0</v>
      </c>
      <c r="M195" s="77">
        <f t="shared" si="363"/>
        <v>0</v>
      </c>
      <c r="N195" s="77">
        <f t="shared" si="364"/>
        <v>0</v>
      </c>
      <c r="O195" s="77">
        <f t="shared" si="365"/>
        <v>7.0062999999999992E-3</v>
      </c>
      <c r="P195" s="77">
        <f t="shared" si="366"/>
        <v>5.85741666996209E-4</v>
      </c>
      <c r="R195" t="s">
        <v>177</v>
      </c>
      <c r="S195" t="s">
        <v>176</v>
      </c>
      <c r="T195" s="197" t="str">
        <f t="shared" si="455"/>
        <v>Autopilot_Balanced_350</v>
      </c>
      <c r="U195">
        <v>350</v>
      </c>
      <c r="V195">
        <f>VLOOKUP($U195,'[2]AP Balanced'!$Q$1:$T$542,2,FALSE)</f>
        <v>0.77777777777777779</v>
      </c>
      <c r="W195">
        <f>VLOOKUP($U195,'[2]AP Balanced'!$Q$1:$T$542,3,FALSE)</f>
        <v>0.22222222222222221</v>
      </c>
      <c r="X195">
        <f>VLOOKUP($U195,'[2]AP Balanced'!$Q$1:$T$542,4,FALSE)</f>
        <v>0</v>
      </c>
      <c r="Y195" s="77">
        <f t="shared" si="413"/>
        <v>1</v>
      </c>
      <c r="Z195" s="77">
        <f t="shared" si="402"/>
        <v>6.1674999999999987E-2</v>
      </c>
      <c r="AA195" s="77">
        <f t="shared" si="403"/>
        <v>4.9997781870025904E-3</v>
      </c>
      <c r="AB195" s="79">
        <v>1</v>
      </c>
      <c r="AC195" s="77">
        <f t="shared" si="367"/>
        <v>8.0555555555555554E-3</v>
      </c>
      <c r="AD195" s="77">
        <f t="shared" si="358"/>
        <v>6.7378764057135498E-4</v>
      </c>
      <c r="AE195" s="77">
        <f t="shared" si="368"/>
        <v>2.5000000000000001E-3</v>
      </c>
      <c r="AF195" s="77">
        <f t="shared" si="358"/>
        <v>2.0857243058891584E-4</v>
      </c>
      <c r="AH195" t="s">
        <v>175</v>
      </c>
      <c r="AI195" t="s">
        <v>176</v>
      </c>
      <c r="AJ195" s="197" t="str">
        <f t="shared" si="414"/>
        <v>Lifecycle_Balanced_350</v>
      </c>
      <c r="AK195">
        <v>350</v>
      </c>
      <c r="AL195">
        <f>VLOOKUP($U195,[2]Standard_Balanced!$Q$1:$T$542,2,FALSE)</f>
        <v>0.77777777777777779</v>
      </c>
      <c r="AM195">
        <f>VLOOKUP($U195,[2]Standard_Balanced!$Q$1:$T$542,3,FALSE)</f>
        <v>0.22222222222222221</v>
      </c>
      <c r="AN195">
        <f>VLOOKUP($U195,[2]Standard_Balanced!$Q$1:$T$542,4,FALSE)</f>
        <v>0</v>
      </c>
      <c r="AO195" s="77">
        <f t="shared" si="501"/>
        <v>1</v>
      </c>
      <c r="AP195" s="77">
        <f t="shared" si="369"/>
        <v>6.1674999999999987E-2</v>
      </c>
      <c r="AQ195" s="77">
        <f t="shared" si="415"/>
        <v>4.9997781870025904E-3</v>
      </c>
      <c r="AR195" s="79">
        <v>0</v>
      </c>
      <c r="AS195" s="77">
        <f t="shared" si="370"/>
        <v>0</v>
      </c>
      <c r="AT195" s="77">
        <f t="shared" ref="AT195" si="509">1-(1-AS195)^(1/12)</f>
        <v>0</v>
      </c>
      <c r="AU195" s="77">
        <f t="shared" si="372"/>
        <v>2.5000000000000001E-3</v>
      </c>
      <c r="AV195" s="77">
        <f t="shared" ref="AV195" si="510">1-(1-AU195)^(1/12)</f>
        <v>2.0857243058891584E-4</v>
      </c>
      <c r="AX195" t="s">
        <v>178</v>
      </c>
      <c r="AY195" t="s">
        <v>160</v>
      </c>
      <c r="AZ195" s="197" t="str">
        <f t="shared" si="418"/>
        <v>DIS_Non-Standard_350</v>
      </c>
      <c r="BA195">
        <v>350</v>
      </c>
      <c r="BB195">
        <f>VLOOKUP($BA195,'[2]NonStandard DIS'!$Q$1:$X$542,2,FALSE)</f>
        <v>0</v>
      </c>
      <c r="BC195">
        <f>VLOOKUP($BA195,'[2]NonStandard DIS'!$Q$1:$X$542,3,FALSE)</f>
        <v>0</v>
      </c>
      <c r="BD195">
        <f>VLOOKUP($BA195,'[2]NonStandard DIS'!$Q$1:$X$542,4,FALSE)</f>
        <v>0.308</v>
      </c>
      <c r="BE195">
        <f>VLOOKUP($BA195,'[2]NonStandard DIS'!$Q$1:$X$542,5,FALSE)</f>
        <v>0.69199999999999995</v>
      </c>
      <c r="BF195">
        <f>VLOOKUP($BA195,'[2]NonStandard DIS'!$Q$1:$X$542,6,FALSE)</f>
        <v>0</v>
      </c>
      <c r="BG195">
        <f>VLOOKUP($BA195,'[2]NonStandard DIS'!$Q$1:$X$542,7,FALSE)</f>
        <v>0</v>
      </c>
      <c r="BH195">
        <f>VLOOKUP($BA195,'[2]NonStandard DIS'!$Q$1:$X$542,8,FALSE)</f>
        <v>0</v>
      </c>
      <c r="BI195" s="77">
        <f t="shared" si="361"/>
        <v>1</v>
      </c>
      <c r="BJ195" s="77">
        <f t="shared" si="362"/>
        <v>6.9728499999999985E-2</v>
      </c>
      <c r="BK195" s="77">
        <f t="shared" si="500"/>
        <v>5.632878498097682E-3</v>
      </c>
      <c r="BL195" s="79">
        <v>0</v>
      </c>
      <c r="BM195" s="77">
        <f t="shared" si="374"/>
        <v>0</v>
      </c>
      <c r="BN195" s="77">
        <f t="shared" si="375"/>
        <v>0</v>
      </c>
      <c r="BO195" s="77">
        <f t="shared" si="376"/>
        <v>5.6775999999999997E-3</v>
      </c>
      <c r="BP195" s="77">
        <f t="shared" si="377"/>
        <v>4.7190657760731725E-4</v>
      </c>
    </row>
    <row r="196" spans="1:68">
      <c r="A196" t="s">
        <v>175</v>
      </c>
      <c r="B196" t="s">
        <v>176</v>
      </c>
      <c r="C196" s="197" t="str">
        <f t="shared" si="412"/>
        <v>Lifecycle_Balanced_349</v>
      </c>
      <c r="D196">
        <v>349</v>
      </c>
      <c r="E196">
        <f>VLOOKUP($D196,'[2]LC Balanced'!$Q$2:$U$542,2,FALSE)</f>
        <v>0</v>
      </c>
      <c r="F196">
        <f>VLOOKUP($D196,'[2]LC Balanced'!$Q$2:$U$542,3,FALSE)</f>
        <v>0.14899999999999999</v>
      </c>
      <c r="G196">
        <f>VLOOKUP($D196,'[2]LC Balanced'!$Q$2:$U$542,4,FALSE)</f>
        <v>0.85099999999999998</v>
      </c>
      <c r="H196">
        <f>VLOOKUP($D196,'[2]LC Balanced'!$Q$2:$U$542,5,FALSE)</f>
        <v>0</v>
      </c>
      <c r="I196" s="77">
        <f t="shared" si="356"/>
        <v>1</v>
      </c>
      <c r="J196" s="77">
        <f t="shared" si="357"/>
        <v>6.1987699999999986E-2</v>
      </c>
      <c r="K196" s="77">
        <f t="shared" si="504"/>
        <v>5.024442123284345E-3</v>
      </c>
      <c r="L196" s="76">
        <v>0</v>
      </c>
      <c r="M196" s="77">
        <f t="shared" si="363"/>
        <v>0</v>
      </c>
      <c r="N196" s="77">
        <f t="shared" si="364"/>
        <v>0</v>
      </c>
      <c r="O196" s="77">
        <f t="shared" si="365"/>
        <v>7.0062999999999992E-3</v>
      </c>
      <c r="P196" s="77">
        <f t="shared" si="366"/>
        <v>5.85741666996209E-4</v>
      </c>
      <c r="R196" t="s">
        <v>177</v>
      </c>
      <c r="S196" t="s">
        <v>176</v>
      </c>
      <c r="T196" s="197" t="str">
        <f t="shared" si="455"/>
        <v>Autopilot_Balanced_349</v>
      </c>
      <c r="U196">
        <v>349</v>
      </c>
      <c r="V196">
        <f>VLOOKUP($U196,'[2]AP Balanced'!$Q$1:$T$542,2,FALSE)</f>
        <v>0.77777777777777779</v>
      </c>
      <c r="W196">
        <f>VLOOKUP($U196,'[2]AP Balanced'!$Q$1:$T$542,3,FALSE)</f>
        <v>0.22222222222222221</v>
      </c>
      <c r="X196">
        <f>VLOOKUP($U196,'[2]AP Balanced'!$Q$1:$T$542,4,FALSE)</f>
        <v>0</v>
      </c>
      <c r="Y196" s="77">
        <f t="shared" si="413"/>
        <v>1</v>
      </c>
      <c r="Z196" s="77">
        <f t="shared" si="402"/>
        <v>6.1674999999999987E-2</v>
      </c>
      <c r="AA196" s="77">
        <f t="shared" si="403"/>
        <v>4.9997781870025904E-3</v>
      </c>
      <c r="AB196" s="79">
        <v>1</v>
      </c>
      <c r="AC196" s="77">
        <f t="shared" si="367"/>
        <v>8.0555555555555554E-3</v>
      </c>
      <c r="AD196" s="77">
        <f t="shared" si="358"/>
        <v>6.7378764057135498E-4</v>
      </c>
      <c r="AE196" s="77">
        <f t="shared" si="368"/>
        <v>2.5000000000000001E-3</v>
      </c>
      <c r="AF196" s="77">
        <f t="shared" si="358"/>
        <v>2.0857243058891584E-4</v>
      </c>
      <c r="AH196" t="s">
        <v>175</v>
      </c>
      <c r="AI196" t="s">
        <v>176</v>
      </c>
      <c r="AJ196" s="197" t="str">
        <f t="shared" si="414"/>
        <v>Lifecycle_Balanced_349</v>
      </c>
      <c r="AK196">
        <v>349</v>
      </c>
      <c r="AL196">
        <f>VLOOKUP($U196,[2]Standard_Balanced!$Q$1:$T$542,2,FALSE)</f>
        <v>0.77777777777777779</v>
      </c>
      <c r="AM196">
        <f>VLOOKUP($U196,[2]Standard_Balanced!$Q$1:$T$542,3,FALSE)</f>
        <v>0.22222222222222221</v>
      </c>
      <c r="AN196">
        <f>VLOOKUP($U196,[2]Standard_Balanced!$Q$1:$T$542,4,FALSE)</f>
        <v>0</v>
      </c>
      <c r="AO196" s="77">
        <f t="shared" si="501"/>
        <v>1</v>
      </c>
      <c r="AP196" s="77">
        <f t="shared" si="369"/>
        <v>6.1674999999999987E-2</v>
      </c>
      <c r="AQ196" s="77">
        <f t="shared" si="415"/>
        <v>4.9997781870025904E-3</v>
      </c>
      <c r="AR196" s="79">
        <v>0</v>
      </c>
      <c r="AS196" s="77">
        <f t="shared" si="370"/>
        <v>0</v>
      </c>
      <c r="AT196" s="77">
        <f t="shared" ref="AT196" si="511">1-(1-AS196)^(1/12)</f>
        <v>0</v>
      </c>
      <c r="AU196" s="77">
        <f t="shared" si="372"/>
        <v>2.5000000000000001E-3</v>
      </c>
      <c r="AV196" s="77">
        <f t="shared" ref="AV196" si="512">1-(1-AU196)^(1/12)</f>
        <v>2.0857243058891584E-4</v>
      </c>
      <c r="AX196" t="s">
        <v>178</v>
      </c>
      <c r="AY196" t="s">
        <v>160</v>
      </c>
      <c r="AZ196" s="197" t="str">
        <f t="shared" si="418"/>
        <v>DIS_Non-Standard_349</v>
      </c>
      <c r="BA196">
        <v>349</v>
      </c>
      <c r="BB196">
        <f>VLOOKUP($BA196,'[2]NonStandard DIS'!$Q$1:$X$542,2,FALSE)</f>
        <v>0</v>
      </c>
      <c r="BC196">
        <f>VLOOKUP($BA196,'[2]NonStandard DIS'!$Q$1:$X$542,3,FALSE)</f>
        <v>0</v>
      </c>
      <c r="BD196">
        <f>VLOOKUP($BA196,'[2]NonStandard DIS'!$Q$1:$X$542,4,FALSE)</f>
        <v>0.308</v>
      </c>
      <c r="BE196">
        <f>VLOOKUP($BA196,'[2]NonStandard DIS'!$Q$1:$X$542,5,FALSE)</f>
        <v>0.69199999999999995</v>
      </c>
      <c r="BF196">
        <f>VLOOKUP($BA196,'[2]NonStandard DIS'!$Q$1:$X$542,6,FALSE)</f>
        <v>0</v>
      </c>
      <c r="BG196">
        <f>VLOOKUP($BA196,'[2]NonStandard DIS'!$Q$1:$X$542,7,FALSE)</f>
        <v>0</v>
      </c>
      <c r="BH196">
        <f>VLOOKUP($BA196,'[2]NonStandard DIS'!$Q$1:$X$542,8,FALSE)</f>
        <v>0</v>
      </c>
      <c r="BI196" s="77">
        <f t="shared" si="361"/>
        <v>1</v>
      </c>
      <c r="BJ196" s="77">
        <f t="shared" si="362"/>
        <v>6.9728499999999985E-2</v>
      </c>
      <c r="BK196" s="77">
        <f t="shared" si="500"/>
        <v>5.632878498097682E-3</v>
      </c>
      <c r="BL196" s="79">
        <v>0</v>
      </c>
      <c r="BM196" s="77">
        <f t="shared" si="374"/>
        <v>0</v>
      </c>
      <c r="BN196" s="77">
        <f t="shared" si="375"/>
        <v>0</v>
      </c>
      <c r="BO196" s="77">
        <f t="shared" si="376"/>
        <v>5.6775999999999997E-3</v>
      </c>
      <c r="BP196" s="77">
        <f t="shared" si="377"/>
        <v>4.7190657760731725E-4</v>
      </c>
    </row>
    <row r="197" spans="1:68">
      <c r="A197" t="s">
        <v>175</v>
      </c>
      <c r="B197" t="s">
        <v>176</v>
      </c>
      <c r="C197" s="197" t="str">
        <f t="shared" si="412"/>
        <v>Lifecycle_Balanced_348</v>
      </c>
      <c r="D197">
        <v>348</v>
      </c>
      <c r="E197">
        <f>VLOOKUP($D197,'[2]LC Balanced'!$Q$2:$U$542,2,FALSE)</f>
        <v>0</v>
      </c>
      <c r="F197">
        <f>VLOOKUP($D197,'[2]LC Balanced'!$Q$2:$U$542,3,FALSE)</f>
        <v>0.14899999999999999</v>
      </c>
      <c r="G197">
        <f>VLOOKUP($D197,'[2]LC Balanced'!$Q$2:$U$542,4,FALSE)</f>
        <v>0.85099999999999998</v>
      </c>
      <c r="H197">
        <f>VLOOKUP($D197,'[2]LC Balanced'!$Q$2:$U$542,5,FALSE)</f>
        <v>0</v>
      </c>
      <c r="I197" s="77">
        <f t="shared" ref="I197:I260" si="513">SUM(E197:H197)</f>
        <v>1</v>
      </c>
      <c r="J197" s="77">
        <f t="shared" ref="J197:J260" si="514">SUMPRODUCT($E$1:$H$1,E197:H197)</f>
        <v>6.1987699999999986E-2</v>
      </c>
      <c r="K197" s="77">
        <f t="shared" si="504"/>
        <v>5.024442123284345E-3</v>
      </c>
      <c r="L197" s="76">
        <v>0</v>
      </c>
      <c r="M197" s="77">
        <f t="shared" si="363"/>
        <v>0</v>
      </c>
      <c r="N197" s="77">
        <f t="shared" si="364"/>
        <v>0</v>
      </c>
      <c r="O197" s="77">
        <f t="shared" si="365"/>
        <v>7.0062999999999992E-3</v>
      </c>
      <c r="P197" s="77">
        <f t="shared" si="366"/>
        <v>5.85741666996209E-4</v>
      </c>
      <c r="R197" t="s">
        <v>177</v>
      </c>
      <c r="S197" t="s">
        <v>176</v>
      </c>
      <c r="T197" s="197" t="str">
        <f t="shared" si="455"/>
        <v>Autopilot_Balanced_348</v>
      </c>
      <c r="U197">
        <v>348</v>
      </c>
      <c r="V197">
        <f>VLOOKUP($U197,'[2]AP Balanced'!$Q$1:$T$542,2,FALSE)</f>
        <v>0.77777777777777779</v>
      </c>
      <c r="W197">
        <f>VLOOKUP($U197,'[2]AP Balanced'!$Q$1:$T$542,3,FALSE)</f>
        <v>0.22222222222222221</v>
      </c>
      <c r="X197">
        <f>VLOOKUP($U197,'[2]AP Balanced'!$Q$1:$T$542,4,FALSE)</f>
        <v>0</v>
      </c>
      <c r="Y197" s="77">
        <f t="shared" si="413"/>
        <v>1</v>
      </c>
      <c r="Z197" s="77">
        <f t="shared" si="402"/>
        <v>6.1674999999999987E-2</v>
      </c>
      <c r="AA197" s="77">
        <f t="shared" si="403"/>
        <v>4.9997781870025904E-3</v>
      </c>
      <c r="AB197" s="79">
        <v>1</v>
      </c>
      <c r="AC197" s="77">
        <f t="shared" si="367"/>
        <v>8.0555555555555554E-3</v>
      </c>
      <c r="AD197" s="77">
        <f t="shared" ref="AD197:AF260" si="515">1-(1-AC197)^(1/12)</f>
        <v>6.7378764057135498E-4</v>
      </c>
      <c r="AE197" s="77">
        <f t="shared" si="368"/>
        <v>2.5000000000000001E-3</v>
      </c>
      <c r="AF197" s="77">
        <f t="shared" si="515"/>
        <v>2.0857243058891584E-4</v>
      </c>
      <c r="AH197" t="s">
        <v>175</v>
      </c>
      <c r="AI197" t="s">
        <v>176</v>
      </c>
      <c r="AJ197" s="197" t="str">
        <f t="shared" si="414"/>
        <v>Lifecycle_Balanced_348</v>
      </c>
      <c r="AK197">
        <v>348</v>
      </c>
      <c r="AL197">
        <f>VLOOKUP($U197,[2]Standard_Balanced!$Q$1:$T$542,2,FALSE)</f>
        <v>0.77777777777777779</v>
      </c>
      <c r="AM197">
        <f>VLOOKUP($U197,[2]Standard_Balanced!$Q$1:$T$542,3,FALSE)</f>
        <v>0.22222222222222221</v>
      </c>
      <c r="AN197">
        <f>VLOOKUP($U197,[2]Standard_Balanced!$Q$1:$T$542,4,FALSE)</f>
        <v>0</v>
      </c>
      <c r="AO197" s="77">
        <f t="shared" si="501"/>
        <v>1</v>
      </c>
      <c r="AP197" s="77">
        <f t="shared" si="369"/>
        <v>6.1674999999999987E-2</v>
      </c>
      <c r="AQ197" s="77">
        <f t="shared" si="415"/>
        <v>4.9997781870025904E-3</v>
      </c>
      <c r="AR197" s="79">
        <v>0</v>
      </c>
      <c r="AS197" s="77">
        <f t="shared" si="370"/>
        <v>0</v>
      </c>
      <c r="AT197" s="77">
        <f t="shared" ref="AT197" si="516">1-(1-AS197)^(1/12)</f>
        <v>0</v>
      </c>
      <c r="AU197" s="77">
        <f t="shared" si="372"/>
        <v>2.5000000000000001E-3</v>
      </c>
      <c r="AV197" s="77">
        <f t="shared" ref="AV197" si="517">1-(1-AU197)^(1/12)</f>
        <v>2.0857243058891584E-4</v>
      </c>
      <c r="AX197" t="s">
        <v>178</v>
      </c>
      <c r="AY197" t="s">
        <v>160</v>
      </c>
      <c r="AZ197" s="197" t="str">
        <f t="shared" si="418"/>
        <v>DIS_Non-Standard_348</v>
      </c>
      <c r="BA197">
        <v>348</v>
      </c>
      <c r="BB197">
        <f>VLOOKUP($BA197,'[2]NonStandard DIS'!$Q$1:$X$542,2,FALSE)</f>
        <v>0</v>
      </c>
      <c r="BC197">
        <f>VLOOKUP($BA197,'[2]NonStandard DIS'!$Q$1:$X$542,3,FALSE)</f>
        <v>0</v>
      </c>
      <c r="BD197">
        <f>VLOOKUP($BA197,'[2]NonStandard DIS'!$Q$1:$X$542,4,FALSE)</f>
        <v>0.308</v>
      </c>
      <c r="BE197">
        <f>VLOOKUP($BA197,'[2]NonStandard DIS'!$Q$1:$X$542,5,FALSE)</f>
        <v>0.69199999999999995</v>
      </c>
      <c r="BF197">
        <f>VLOOKUP($BA197,'[2]NonStandard DIS'!$Q$1:$X$542,6,FALSE)</f>
        <v>0</v>
      </c>
      <c r="BG197">
        <f>VLOOKUP($BA197,'[2]NonStandard DIS'!$Q$1:$X$542,7,FALSE)</f>
        <v>0</v>
      </c>
      <c r="BH197">
        <f>VLOOKUP($BA197,'[2]NonStandard DIS'!$Q$1:$X$542,8,FALSE)</f>
        <v>0</v>
      </c>
      <c r="BI197" s="77">
        <f t="shared" ref="BI197:BI260" si="518">SUM(BB197:BH197)</f>
        <v>1</v>
      </c>
      <c r="BJ197" s="77">
        <f t="shared" ref="BJ197:BJ260" si="519">SUMPRODUCT($BB$1:$BH$1,BB197:BH197)</f>
        <v>6.9728499999999985E-2</v>
      </c>
      <c r="BK197" s="77">
        <f t="shared" si="500"/>
        <v>5.632878498097682E-3</v>
      </c>
      <c r="BL197" s="79">
        <v>0</v>
      </c>
      <c r="BM197" s="77">
        <f t="shared" si="374"/>
        <v>0</v>
      </c>
      <c r="BN197" s="77">
        <f t="shared" si="375"/>
        <v>0</v>
      </c>
      <c r="BO197" s="77">
        <f t="shared" si="376"/>
        <v>5.6775999999999997E-3</v>
      </c>
      <c r="BP197" s="77">
        <f t="shared" si="377"/>
        <v>4.7190657760731725E-4</v>
      </c>
    </row>
    <row r="198" spans="1:68">
      <c r="A198" t="s">
        <v>175</v>
      </c>
      <c r="B198" t="s">
        <v>176</v>
      </c>
      <c r="C198" s="197" t="str">
        <f t="shared" si="412"/>
        <v>Lifecycle_Balanced_347</v>
      </c>
      <c r="D198">
        <v>347</v>
      </c>
      <c r="E198">
        <f>VLOOKUP($D198,'[2]LC Balanced'!$Q$2:$U$542,2,FALSE)</f>
        <v>0</v>
      </c>
      <c r="F198">
        <f>VLOOKUP($D198,'[2]LC Balanced'!$Q$2:$U$542,3,FALSE)</f>
        <v>0.14899999999999999</v>
      </c>
      <c r="G198">
        <f>VLOOKUP($D198,'[2]LC Balanced'!$Q$2:$U$542,4,FALSE)</f>
        <v>0.85099999999999998</v>
      </c>
      <c r="H198">
        <f>VLOOKUP($D198,'[2]LC Balanced'!$Q$2:$U$542,5,FALSE)</f>
        <v>0</v>
      </c>
      <c r="I198" s="77">
        <f t="shared" si="513"/>
        <v>1</v>
      </c>
      <c r="J198" s="77">
        <f t="shared" si="514"/>
        <v>6.1987699999999986E-2</v>
      </c>
      <c r="K198" s="77">
        <f t="shared" si="504"/>
        <v>5.024442123284345E-3</v>
      </c>
      <c r="L198" s="76">
        <v>0</v>
      </c>
      <c r="M198" s="77">
        <f t="shared" ref="M198:M261" si="520">IF($L198=0,0,SUMPRODUCT($E$3:$H$3,E198:H198))</f>
        <v>0</v>
      </c>
      <c r="N198" s="77">
        <f t="shared" ref="N198:N261" si="521">1-(1-M198)^(1/12)</f>
        <v>0</v>
      </c>
      <c r="O198" s="77">
        <f t="shared" ref="O198:O261" si="522">SUMPRODUCT($E$2:$H$2,E198:H198)</f>
        <v>7.0062999999999992E-3</v>
      </c>
      <c r="P198" s="77">
        <f t="shared" ref="P198:P261" si="523">1-(1-O198)^(1/12)</f>
        <v>5.85741666996209E-4</v>
      </c>
      <c r="R198" t="s">
        <v>177</v>
      </c>
      <c r="S198" t="s">
        <v>176</v>
      </c>
      <c r="T198" s="197" t="str">
        <f t="shared" si="455"/>
        <v>Autopilot_Balanced_347</v>
      </c>
      <c r="U198">
        <v>347</v>
      </c>
      <c r="V198">
        <f>VLOOKUP($U198,'[2]AP Balanced'!$Q$1:$T$542,2,FALSE)</f>
        <v>0.77777777777777779</v>
      </c>
      <c r="W198">
        <f>VLOOKUP($U198,'[2]AP Balanced'!$Q$1:$T$542,3,FALSE)</f>
        <v>0.22222222222222221</v>
      </c>
      <c r="X198">
        <f>VLOOKUP($U198,'[2]AP Balanced'!$Q$1:$T$542,4,FALSE)</f>
        <v>0</v>
      </c>
      <c r="Y198" s="77">
        <f t="shared" si="413"/>
        <v>1</v>
      </c>
      <c r="Z198" s="77">
        <f t="shared" si="402"/>
        <v>6.1674999999999987E-2</v>
      </c>
      <c r="AA198" s="77">
        <f t="shared" si="403"/>
        <v>4.9997781870025904E-3</v>
      </c>
      <c r="AB198" s="79">
        <v>1</v>
      </c>
      <c r="AC198" s="77">
        <f t="shared" ref="AC198:AC261" si="524">IF($AB198=0,0,SUMPRODUCT($V$3:$X$3,V198:X198))</f>
        <v>8.0555555555555554E-3</v>
      </c>
      <c r="AD198" s="77">
        <f t="shared" si="515"/>
        <v>6.7378764057135498E-4</v>
      </c>
      <c r="AE198" s="77">
        <f t="shared" ref="AE198:AE261" si="525">SUMPRODUCT($V$2:$X$2,V198:X198)</f>
        <v>2.5000000000000001E-3</v>
      </c>
      <c r="AF198" s="77">
        <f t="shared" si="515"/>
        <v>2.0857243058891584E-4</v>
      </c>
      <c r="AH198" t="s">
        <v>175</v>
      </c>
      <c r="AI198" t="s">
        <v>176</v>
      </c>
      <c r="AJ198" s="197" t="str">
        <f t="shared" si="414"/>
        <v>Lifecycle_Balanced_347</v>
      </c>
      <c r="AK198">
        <v>347</v>
      </c>
      <c r="AL198">
        <f>VLOOKUP($U198,[2]Standard_Balanced!$Q$1:$T$542,2,FALSE)</f>
        <v>0.77777777777777779</v>
      </c>
      <c r="AM198">
        <f>VLOOKUP($U198,[2]Standard_Balanced!$Q$1:$T$542,3,FALSE)</f>
        <v>0.22222222222222221</v>
      </c>
      <c r="AN198">
        <f>VLOOKUP($U198,[2]Standard_Balanced!$Q$1:$T$542,4,FALSE)</f>
        <v>0</v>
      </c>
      <c r="AO198" s="77">
        <f t="shared" si="501"/>
        <v>1</v>
      </c>
      <c r="AP198" s="77">
        <f t="shared" ref="AP198:AP261" si="526">SUMPRODUCT($AL$1:$AN$1,AL198:AN198)</f>
        <v>6.1674999999999987E-2</v>
      </c>
      <c r="AQ198" s="77">
        <f t="shared" si="415"/>
        <v>4.9997781870025904E-3</v>
      </c>
      <c r="AR198" s="79">
        <v>0</v>
      </c>
      <c r="AS198" s="77">
        <f t="shared" ref="AS198:AS261" si="527">IF(AR198=0,0,SUMPRODUCT($AL$3:$AN$3,AL198:AN198))</f>
        <v>0</v>
      </c>
      <c r="AT198" s="77">
        <f t="shared" ref="AT198" si="528">1-(1-AS198)^(1/12)</f>
        <v>0</v>
      </c>
      <c r="AU198" s="77">
        <f t="shared" ref="AU198:AU261" si="529">SUMPRODUCT($AL$2:$AN$2,AL198:AN198)</f>
        <v>2.5000000000000001E-3</v>
      </c>
      <c r="AV198" s="77">
        <f t="shared" ref="AV198" si="530">1-(1-AU198)^(1/12)</f>
        <v>2.0857243058891584E-4</v>
      </c>
      <c r="AX198" t="s">
        <v>178</v>
      </c>
      <c r="AY198" t="s">
        <v>160</v>
      </c>
      <c r="AZ198" s="197" t="str">
        <f t="shared" si="418"/>
        <v>DIS_Non-Standard_347</v>
      </c>
      <c r="BA198">
        <v>347</v>
      </c>
      <c r="BB198">
        <f>VLOOKUP($BA198,'[2]NonStandard DIS'!$Q$1:$X$542,2,FALSE)</f>
        <v>0</v>
      </c>
      <c r="BC198">
        <f>VLOOKUP($BA198,'[2]NonStandard DIS'!$Q$1:$X$542,3,FALSE)</f>
        <v>0</v>
      </c>
      <c r="BD198">
        <f>VLOOKUP($BA198,'[2]NonStandard DIS'!$Q$1:$X$542,4,FALSE)</f>
        <v>0.308</v>
      </c>
      <c r="BE198">
        <f>VLOOKUP($BA198,'[2]NonStandard DIS'!$Q$1:$X$542,5,FALSE)</f>
        <v>0.69199999999999995</v>
      </c>
      <c r="BF198">
        <f>VLOOKUP($BA198,'[2]NonStandard DIS'!$Q$1:$X$542,6,FALSE)</f>
        <v>0</v>
      </c>
      <c r="BG198">
        <f>VLOOKUP($BA198,'[2]NonStandard DIS'!$Q$1:$X$542,7,FALSE)</f>
        <v>0</v>
      </c>
      <c r="BH198">
        <f>VLOOKUP($BA198,'[2]NonStandard DIS'!$Q$1:$X$542,8,FALSE)</f>
        <v>0</v>
      </c>
      <c r="BI198" s="77">
        <f t="shared" si="518"/>
        <v>1</v>
      </c>
      <c r="BJ198" s="77">
        <f t="shared" si="519"/>
        <v>6.9728499999999985E-2</v>
      </c>
      <c r="BK198" s="77">
        <f t="shared" si="500"/>
        <v>5.632878498097682E-3</v>
      </c>
      <c r="BL198" s="79">
        <v>0</v>
      </c>
      <c r="BM198" s="77">
        <f t="shared" ref="BM198:BM261" si="531">IF(BL198=0,0,SUMPRODUCT($BB$3:$BH$3,BB198:BH198))</f>
        <v>0</v>
      </c>
      <c r="BN198" s="77">
        <f t="shared" ref="BN198:BN261" si="532">(1+BM198)^(1/12)-1</f>
        <v>0</v>
      </c>
      <c r="BO198" s="77">
        <f t="shared" ref="BO198:BO261" si="533">SUMPRODUCT($BB$2:$BH$2,BB198:BH198)</f>
        <v>5.6775999999999997E-3</v>
      </c>
      <c r="BP198" s="77">
        <f t="shared" ref="BP198:BP261" si="534">(1+BO198)^(1/12)-1</f>
        <v>4.7190657760731725E-4</v>
      </c>
    </row>
    <row r="199" spans="1:68">
      <c r="A199" t="s">
        <v>175</v>
      </c>
      <c r="B199" t="s">
        <v>176</v>
      </c>
      <c r="C199" s="197" t="str">
        <f t="shared" si="412"/>
        <v>Lifecycle_Balanced_346</v>
      </c>
      <c r="D199">
        <v>346</v>
      </c>
      <c r="E199">
        <f>VLOOKUP($D199,'[2]LC Balanced'!$Q$2:$U$542,2,FALSE)</f>
        <v>0</v>
      </c>
      <c r="F199">
        <f>VLOOKUP($D199,'[2]LC Balanced'!$Q$2:$U$542,3,FALSE)</f>
        <v>0.14899999999999999</v>
      </c>
      <c r="G199">
        <f>VLOOKUP($D199,'[2]LC Balanced'!$Q$2:$U$542,4,FALSE)</f>
        <v>0.85099999999999998</v>
      </c>
      <c r="H199">
        <f>VLOOKUP($D199,'[2]LC Balanced'!$Q$2:$U$542,5,FALSE)</f>
        <v>0</v>
      </c>
      <c r="I199" s="77">
        <f t="shared" si="513"/>
        <v>1</v>
      </c>
      <c r="J199" s="77">
        <f t="shared" si="514"/>
        <v>6.1987699999999986E-2</v>
      </c>
      <c r="K199" s="77">
        <f t="shared" si="504"/>
        <v>5.024442123284345E-3</v>
      </c>
      <c r="L199" s="76">
        <v>0</v>
      </c>
      <c r="M199" s="77">
        <f t="shared" si="520"/>
        <v>0</v>
      </c>
      <c r="N199" s="77">
        <f t="shared" si="521"/>
        <v>0</v>
      </c>
      <c r="O199" s="77">
        <f t="shared" si="522"/>
        <v>7.0062999999999992E-3</v>
      </c>
      <c r="P199" s="77">
        <f t="shared" si="523"/>
        <v>5.85741666996209E-4</v>
      </c>
      <c r="R199" t="s">
        <v>177</v>
      </c>
      <c r="S199" t="s">
        <v>176</v>
      </c>
      <c r="T199" s="197" t="str">
        <f t="shared" si="455"/>
        <v>Autopilot_Balanced_346</v>
      </c>
      <c r="U199">
        <v>346</v>
      </c>
      <c r="V199">
        <f>VLOOKUP($U199,'[2]AP Balanced'!$Q$1:$T$542,2,FALSE)</f>
        <v>0.77777777777777779</v>
      </c>
      <c r="W199">
        <f>VLOOKUP($U199,'[2]AP Balanced'!$Q$1:$T$542,3,FALSE)</f>
        <v>0.22222222222222221</v>
      </c>
      <c r="X199">
        <f>VLOOKUP($U199,'[2]AP Balanced'!$Q$1:$T$542,4,FALSE)</f>
        <v>0</v>
      </c>
      <c r="Y199" s="77">
        <f t="shared" si="413"/>
        <v>1</v>
      </c>
      <c r="Z199" s="77">
        <f t="shared" si="402"/>
        <v>6.1674999999999987E-2</v>
      </c>
      <c r="AA199" s="77">
        <f t="shared" si="403"/>
        <v>4.9997781870025904E-3</v>
      </c>
      <c r="AB199" s="79">
        <v>1</v>
      </c>
      <c r="AC199" s="77">
        <f t="shared" si="524"/>
        <v>8.0555555555555554E-3</v>
      </c>
      <c r="AD199" s="77">
        <f t="shared" si="515"/>
        <v>6.7378764057135498E-4</v>
      </c>
      <c r="AE199" s="77">
        <f t="shared" si="525"/>
        <v>2.5000000000000001E-3</v>
      </c>
      <c r="AF199" s="77">
        <f t="shared" si="515"/>
        <v>2.0857243058891584E-4</v>
      </c>
      <c r="AH199" t="s">
        <v>175</v>
      </c>
      <c r="AI199" t="s">
        <v>176</v>
      </c>
      <c r="AJ199" s="197" t="str">
        <f t="shared" si="414"/>
        <v>Lifecycle_Balanced_346</v>
      </c>
      <c r="AK199">
        <v>346</v>
      </c>
      <c r="AL199">
        <f>VLOOKUP($U199,[2]Standard_Balanced!$Q$1:$T$542,2,FALSE)</f>
        <v>0.77777777777777779</v>
      </c>
      <c r="AM199">
        <f>VLOOKUP($U199,[2]Standard_Balanced!$Q$1:$T$542,3,FALSE)</f>
        <v>0.22222222222222221</v>
      </c>
      <c r="AN199">
        <f>VLOOKUP($U199,[2]Standard_Balanced!$Q$1:$T$542,4,FALSE)</f>
        <v>0</v>
      </c>
      <c r="AO199" s="77">
        <f t="shared" si="501"/>
        <v>1</v>
      </c>
      <c r="AP199" s="77">
        <f t="shared" si="526"/>
        <v>6.1674999999999987E-2</v>
      </c>
      <c r="AQ199" s="77">
        <f t="shared" si="415"/>
        <v>4.9997781870025904E-3</v>
      </c>
      <c r="AR199" s="79">
        <v>0</v>
      </c>
      <c r="AS199" s="77">
        <f t="shared" si="527"/>
        <v>0</v>
      </c>
      <c r="AT199" s="77">
        <f t="shared" ref="AT199" si="535">1-(1-AS199)^(1/12)</f>
        <v>0</v>
      </c>
      <c r="AU199" s="77">
        <f t="shared" si="529"/>
        <v>2.5000000000000001E-3</v>
      </c>
      <c r="AV199" s="77">
        <f t="shared" ref="AV199" si="536">1-(1-AU199)^(1/12)</f>
        <v>2.0857243058891584E-4</v>
      </c>
      <c r="AX199" t="s">
        <v>178</v>
      </c>
      <c r="AY199" t="s">
        <v>160</v>
      </c>
      <c r="AZ199" s="197" t="str">
        <f t="shared" si="418"/>
        <v>DIS_Non-Standard_346</v>
      </c>
      <c r="BA199">
        <v>346</v>
      </c>
      <c r="BB199">
        <f>VLOOKUP($BA199,'[2]NonStandard DIS'!$Q$1:$X$542,2,FALSE)</f>
        <v>0</v>
      </c>
      <c r="BC199">
        <f>VLOOKUP($BA199,'[2]NonStandard DIS'!$Q$1:$X$542,3,FALSE)</f>
        <v>0</v>
      </c>
      <c r="BD199">
        <f>VLOOKUP($BA199,'[2]NonStandard DIS'!$Q$1:$X$542,4,FALSE)</f>
        <v>0.308</v>
      </c>
      <c r="BE199">
        <f>VLOOKUP($BA199,'[2]NonStandard DIS'!$Q$1:$X$542,5,FALSE)</f>
        <v>0.69199999999999995</v>
      </c>
      <c r="BF199">
        <f>VLOOKUP($BA199,'[2]NonStandard DIS'!$Q$1:$X$542,6,FALSE)</f>
        <v>0</v>
      </c>
      <c r="BG199">
        <f>VLOOKUP($BA199,'[2]NonStandard DIS'!$Q$1:$X$542,7,FALSE)</f>
        <v>0</v>
      </c>
      <c r="BH199">
        <f>VLOOKUP($BA199,'[2]NonStandard DIS'!$Q$1:$X$542,8,FALSE)</f>
        <v>0</v>
      </c>
      <c r="BI199" s="77">
        <f t="shared" si="518"/>
        <v>1</v>
      </c>
      <c r="BJ199" s="77">
        <f t="shared" si="519"/>
        <v>6.9728499999999985E-2</v>
      </c>
      <c r="BK199" s="77">
        <f t="shared" si="500"/>
        <v>5.632878498097682E-3</v>
      </c>
      <c r="BL199" s="79">
        <v>0</v>
      </c>
      <c r="BM199" s="77">
        <f t="shared" si="531"/>
        <v>0</v>
      </c>
      <c r="BN199" s="77">
        <f t="shared" si="532"/>
        <v>0</v>
      </c>
      <c r="BO199" s="77">
        <f t="shared" si="533"/>
        <v>5.6775999999999997E-3</v>
      </c>
      <c r="BP199" s="77">
        <f t="shared" si="534"/>
        <v>4.7190657760731725E-4</v>
      </c>
    </row>
    <row r="200" spans="1:68">
      <c r="A200" t="s">
        <v>175</v>
      </c>
      <c r="B200" t="s">
        <v>176</v>
      </c>
      <c r="C200" s="197" t="str">
        <f t="shared" si="412"/>
        <v>Lifecycle_Balanced_345</v>
      </c>
      <c r="D200">
        <v>345</v>
      </c>
      <c r="E200">
        <f>VLOOKUP($D200,'[2]LC Balanced'!$Q$2:$U$542,2,FALSE)</f>
        <v>0</v>
      </c>
      <c r="F200">
        <f>VLOOKUP($D200,'[2]LC Balanced'!$Q$2:$U$542,3,FALSE)</f>
        <v>0.14899999999999999</v>
      </c>
      <c r="G200">
        <f>VLOOKUP($D200,'[2]LC Balanced'!$Q$2:$U$542,4,FALSE)</f>
        <v>0.85099999999999998</v>
      </c>
      <c r="H200">
        <f>VLOOKUP($D200,'[2]LC Balanced'!$Q$2:$U$542,5,FALSE)</f>
        <v>0</v>
      </c>
      <c r="I200" s="77">
        <f t="shared" si="513"/>
        <v>1</v>
      </c>
      <c r="J200" s="77">
        <f t="shared" si="514"/>
        <v>6.1987699999999986E-2</v>
      </c>
      <c r="K200" s="77">
        <f t="shared" si="504"/>
        <v>5.024442123284345E-3</v>
      </c>
      <c r="L200" s="76">
        <v>0</v>
      </c>
      <c r="M200" s="77">
        <f t="shared" si="520"/>
        <v>0</v>
      </c>
      <c r="N200" s="77">
        <f t="shared" si="521"/>
        <v>0</v>
      </c>
      <c r="O200" s="77">
        <f t="shared" si="522"/>
        <v>7.0062999999999992E-3</v>
      </c>
      <c r="P200" s="77">
        <f t="shared" si="523"/>
        <v>5.85741666996209E-4</v>
      </c>
      <c r="R200" t="s">
        <v>177</v>
      </c>
      <c r="S200" t="s">
        <v>176</v>
      </c>
      <c r="T200" s="197" t="str">
        <f t="shared" si="455"/>
        <v>Autopilot_Balanced_345</v>
      </c>
      <c r="U200">
        <v>345</v>
      </c>
      <c r="V200">
        <f>VLOOKUP($U200,'[2]AP Balanced'!$Q$1:$T$542,2,FALSE)</f>
        <v>0.77777777777777779</v>
      </c>
      <c r="W200">
        <f>VLOOKUP($U200,'[2]AP Balanced'!$Q$1:$T$542,3,FALSE)</f>
        <v>0.22222222222222221</v>
      </c>
      <c r="X200">
        <f>VLOOKUP($U200,'[2]AP Balanced'!$Q$1:$T$542,4,FALSE)</f>
        <v>0</v>
      </c>
      <c r="Y200" s="77">
        <f t="shared" si="413"/>
        <v>1</v>
      </c>
      <c r="Z200" s="77">
        <f t="shared" si="402"/>
        <v>6.1674999999999987E-2</v>
      </c>
      <c r="AA200" s="77">
        <f t="shared" si="403"/>
        <v>4.9997781870025904E-3</v>
      </c>
      <c r="AB200" s="79">
        <v>1</v>
      </c>
      <c r="AC200" s="77">
        <f t="shared" si="524"/>
        <v>8.0555555555555554E-3</v>
      </c>
      <c r="AD200" s="77">
        <f t="shared" si="515"/>
        <v>6.7378764057135498E-4</v>
      </c>
      <c r="AE200" s="77">
        <f t="shared" si="525"/>
        <v>2.5000000000000001E-3</v>
      </c>
      <c r="AF200" s="77">
        <f t="shared" si="515"/>
        <v>2.0857243058891584E-4</v>
      </c>
      <c r="AH200" t="s">
        <v>175</v>
      </c>
      <c r="AI200" t="s">
        <v>176</v>
      </c>
      <c r="AJ200" s="197" t="str">
        <f t="shared" si="414"/>
        <v>Lifecycle_Balanced_345</v>
      </c>
      <c r="AK200">
        <v>345</v>
      </c>
      <c r="AL200">
        <f>VLOOKUP($U200,[2]Standard_Balanced!$Q$1:$T$542,2,FALSE)</f>
        <v>0.77777777777777779</v>
      </c>
      <c r="AM200">
        <f>VLOOKUP($U200,[2]Standard_Balanced!$Q$1:$T$542,3,FALSE)</f>
        <v>0.22222222222222221</v>
      </c>
      <c r="AN200">
        <f>VLOOKUP($U200,[2]Standard_Balanced!$Q$1:$T$542,4,FALSE)</f>
        <v>0</v>
      </c>
      <c r="AO200" s="77">
        <f t="shared" si="501"/>
        <v>1</v>
      </c>
      <c r="AP200" s="77">
        <f t="shared" si="526"/>
        <v>6.1674999999999987E-2</v>
      </c>
      <c r="AQ200" s="77">
        <f t="shared" si="415"/>
        <v>4.9997781870025904E-3</v>
      </c>
      <c r="AR200" s="79">
        <v>0</v>
      </c>
      <c r="AS200" s="77">
        <f t="shared" si="527"/>
        <v>0</v>
      </c>
      <c r="AT200" s="77">
        <f t="shared" ref="AT200" si="537">1-(1-AS200)^(1/12)</f>
        <v>0</v>
      </c>
      <c r="AU200" s="77">
        <f t="shared" si="529"/>
        <v>2.5000000000000001E-3</v>
      </c>
      <c r="AV200" s="77">
        <f t="shared" ref="AV200" si="538">1-(1-AU200)^(1/12)</f>
        <v>2.0857243058891584E-4</v>
      </c>
      <c r="AX200" t="s">
        <v>178</v>
      </c>
      <c r="AY200" t="s">
        <v>160</v>
      </c>
      <c r="AZ200" s="197" t="str">
        <f t="shared" si="418"/>
        <v>DIS_Non-Standard_345</v>
      </c>
      <c r="BA200">
        <v>345</v>
      </c>
      <c r="BB200">
        <f>VLOOKUP($BA200,'[2]NonStandard DIS'!$Q$1:$X$542,2,FALSE)</f>
        <v>0</v>
      </c>
      <c r="BC200">
        <f>VLOOKUP($BA200,'[2]NonStandard DIS'!$Q$1:$X$542,3,FALSE)</f>
        <v>0</v>
      </c>
      <c r="BD200">
        <f>VLOOKUP($BA200,'[2]NonStandard DIS'!$Q$1:$X$542,4,FALSE)</f>
        <v>0.308</v>
      </c>
      <c r="BE200">
        <f>VLOOKUP($BA200,'[2]NonStandard DIS'!$Q$1:$X$542,5,FALSE)</f>
        <v>0.69199999999999995</v>
      </c>
      <c r="BF200">
        <f>VLOOKUP($BA200,'[2]NonStandard DIS'!$Q$1:$X$542,6,FALSE)</f>
        <v>0</v>
      </c>
      <c r="BG200">
        <f>VLOOKUP($BA200,'[2]NonStandard DIS'!$Q$1:$X$542,7,FALSE)</f>
        <v>0</v>
      </c>
      <c r="BH200">
        <f>VLOOKUP($BA200,'[2]NonStandard DIS'!$Q$1:$X$542,8,FALSE)</f>
        <v>0</v>
      </c>
      <c r="BI200" s="77">
        <f t="shared" si="518"/>
        <v>1</v>
      </c>
      <c r="BJ200" s="77">
        <f t="shared" si="519"/>
        <v>6.9728499999999985E-2</v>
      </c>
      <c r="BK200" s="77">
        <f t="shared" si="500"/>
        <v>5.632878498097682E-3</v>
      </c>
      <c r="BL200" s="79">
        <v>0</v>
      </c>
      <c r="BM200" s="77">
        <f t="shared" si="531"/>
        <v>0</v>
      </c>
      <c r="BN200" s="77">
        <f t="shared" si="532"/>
        <v>0</v>
      </c>
      <c r="BO200" s="77">
        <f t="shared" si="533"/>
        <v>5.6775999999999997E-3</v>
      </c>
      <c r="BP200" s="77">
        <f t="shared" si="534"/>
        <v>4.7190657760731725E-4</v>
      </c>
    </row>
    <row r="201" spans="1:68">
      <c r="A201" t="s">
        <v>175</v>
      </c>
      <c r="B201" t="s">
        <v>176</v>
      </c>
      <c r="C201" s="197" t="str">
        <f t="shared" si="412"/>
        <v>Lifecycle_Balanced_344</v>
      </c>
      <c r="D201">
        <v>344</v>
      </c>
      <c r="E201">
        <f>VLOOKUP($D201,'[2]LC Balanced'!$Q$2:$U$542,2,FALSE)</f>
        <v>0</v>
      </c>
      <c r="F201">
        <f>VLOOKUP($D201,'[2]LC Balanced'!$Q$2:$U$542,3,FALSE)</f>
        <v>0.14899999999999999</v>
      </c>
      <c r="G201">
        <f>VLOOKUP($D201,'[2]LC Balanced'!$Q$2:$U$542,4,FALSE)</f>
        <v>0.85099999999999998</v>
      </c>
      <c r="H201">
        <f>VLOOKUP($D201,'[2]LC Balanced'!$Q$2:$U$542,5,FALSE)</f>
        <v>0</v>
      </c>
      <c r="I201" s="77">
        <f t="shared" si="513"/>
        <v>1</v>
      </c>
      <c r="J201" s="77">
        <f t="shared" si="514"/>
        <v>6.1987699999999986E-2</v>
      </c>
      <c r="K201" s="77">
        <f t="shared" si="504"/>
        <v>5.024442123284345E-3</v>
      </c>
      <c r="L201" s="76">
        <v>0</v>
      </c>
      <c r="M201" s="77">
        <f t="shared" si="520"/>
        <v>0</v>
      </c>
      <c r="N201" s="77">
        <f t="shared" si="521"/>
        <v>0</v>
      </c>
      <c r="O201" s="77">
        <f t="shared" si="522"/>
        <v>7.0062999999999992E-3</v>
      </c>
      <c r="P201" s="77">
        <f t="shared" si="523"/>
        <v>5.85741666996209E-4</v>
      </c>
      <c r="R201" t="s">
        <v>177</v>
      </c>
      <c r="S201" t="s">
        <v>176</v>
      </c>
      <c r="T201" s="197" t="str">
        <f t="shared" si="455"/>
        <v>Autopilot_Balanced_344</v>
      </c>
      <c r="U201">
        <v>344</v>
      </c>
      <c r="V201">
        <f>VLOOKUP($U201,'[2]AP Balanced'!$Q$1:$T$542,2,FALSE)</f>
        <v>0.77777777777777779</v>
      </c>
      <c r="W201">
        <f>VLOOKUP($U201,'[2]AP Balanced'!$Q$1:$T$542,3,FALSE)</f>
        <v>0.22222222222222221</v>
      </c>
      <c r="X201">
        <f>VLOOKUP($U201,'[2]AP Balanced'!$Q$1:$T$542,4,FALSE)</f>
        <v>0</v>
      </c>
      <c r="Y201" s="77">
        <f t="shared" si="413"/>
        <v>1</v>
      </c>
      <c r="Z201" s="77">
        <f t="shared" si="402"/>
        <v>6.1674999999999987E-2</v>
      </c>
      <c r="AA201" s="77">
        <f t="shared" si="403"/>
        <v>4.9997781870025904E-3</v>
      </c>
      <c r="AB201" s="79">
        <v>1</v>
      </c>
      <c r="AC201" s="77">
        <f t="shared" si="524"/>
        <v>8.0555555555555554E-3</v>
      </c>
      <c r="AD201" s="77">
        <f t="shared" si="515"/>
        <v>6.7378764057135498E-4</v>
      </c>
      <c r="AE201" s="77">
        <f t="shared" si="525"/>
        <v>2.5000000000000001E-3</v>
      </c>
      <c r="AF201" s="77">
        <f t="shared" si="515"/>
        <v>2.0857243058891584E-4</v>
      </c>
      <c r="AH201" t="s">
        <v>175</v>
      </c>
      <c r="AI201" t="s">
        <v>176</v>
      </c>
      <c r="AJ201" s="197" t="str">
        <f t="shared" si="414"/>
        <v>Lifecycle_Balanced_344</v>
      </c>
      <c r="AK201">
        <v>344</v>
      </c>
      <c r="AL201">
        <f>VLOOKUP($U201,[2]Standard_Balanced!$Q$1:$T$542,2,FALSE)</f>
        <v>0.77777777777777779</v>
      </c>
      <c r="AM201">
        <f>VLOOKUP($U201,[2]Standard_Balanced!$Q$1:$T$542,3,FALSE)</f>
        <v>0.22222222222222221</v>
      </c>
      <c r="AN201">
        <f>VLOOKUP($U201,[2]Standard_Balanced!$Q$1:$T$542,4,FALSE)</f>
        <v>0</v>
      </c>
      <c r="AO201" s="77">
        <f t="shared" si="501"/>
        <v>1</v>
      </c>
      <c r="AP201" s="77">
        <f t="shared" si="526"/>
        <v>6.1674999999999987E-2</v>
      </c>
      <c r="AQ201" s="77">
        <f t="shared" si="415"/>
        <v>4.9997781870025904E-3</v>
      </c>
      <c r="AR201" s="79">
        <v>0</v>
      </c>
      <c r="AS201" s="77">
        <f t="shared" si="527"/>
        <v>0</v>
      </c>
      <c r="AT201" s="77">
        <f t="shared" ref="AT201" si="539">1-(1-AS201)^(1/12)</f>
        <v>0</v>
      </c>
      <c r="AU201" s="77">
        <f t="shared" si="529"/>
        <v>2.5000000000000001E-3</v>
      </c>
      <c r="AV201" s="77">
        <f t="shared" ref="AV201" si="540">1-(1-AU201)^(1/12)</f>
        <v>2.0857243058891584E-4</v>
      </c>
      <c r="AX201" t="s">
        <v>178</v>
      </c>
      <c r="AY201" t="s">
        <v>160</v>
      </c>
      <c r="AZ201" s="197" t="str">
        <f t="shared" si="418"/>
        <v>DIS_Non-Standard_344</v>
      </c>
      <c r="BA201">
        <v>344</v>
      </c>
      <c r="BB201">
        <f>VLOOKUP($BA201,'[2]NonStandard DIS'!$Q$1:$X$542,2,FALSE)</f>
        <v>0</v>
      </c>
      <c r="BC201">
        <f>VLOOKUP($BA201,'[2]NonStandard DIS'!$Q$1:$X$542,3,FALSE)</f>
        <v>0</v>
      </c>
      <c r="BD201">
        <f>VLOOKUP($BA201,'[2]NonStandard DIS'!$Q$1:$X$542,4,FALSE)</f>
        <v>0.308</v>
      </c>
      <c r="BE201">
        <f>VLOOKUP($BA201,'[2]NonStandard DIS'!$Q$1:$X$542,5,FALSE)</f>
        <v>0.69199999999999995</v>
      </c>
      <c r="BF201">
        <f>VLOOKUP($BA201,'[2]NonStandard DIS'!$Q$1:$X$542,6,FALSE)</f>
        <v>0</v>
      </c>
      <c r="BG201">
        <f>VLOOKUP($BA201,'[2]NonStandard DIS'!$Q$1:$X$542,7,FALSE)</f>
        <v>0</v>
      </c>
      <c r="BH201">
        <f>VLOOKUP($BA201,'[2]NonStandard DIS'!$Q$1:$X$542,8,FALSE)</f>
        <v>0</v>
      </c>
      <c r="BI201" s="77">
        <f t="shared" si="518"/>
        <v>1</v>
      </c>
      <c r="BJ201" s="77">
        <f t="shared" si="519"/>
        <v>6.9728499999999985E-2</v>
      </c>
      <c r="BK201" s="77">
        <f t="shared" si="500"/>
        <v>5.632878498097682E-3</v>
      </c>
      <c r="BL201" s="79">
        <v>0</v>
      </c>
      <c r="BM201" s="77">
        <f t="shared" si="531"/>
        <v>0</v>
      </c>
      <c r="BN201" s="77">
        <f t="shared" si="532"/>
        <v>0</v>
      </c>
      <c r="BO201" s="77">
        <f t="shared" si="533"/>
        <v>5.6775999999999997E-3</v>
      </c>
      <c r="BP201" s="77">
        <f t="shared" si="534"/>
        <v>4.7190657760731725E-4</v>
      </c>
    </row>
    <row r="202" spans="1:68">
      <c r="A202" t="s">
        <v>175</v>
      </c>
      <c r="B202" t="s">
        <v>176</v>
      </c>
      <c r="C202" s="197" t="str">
        <f t="shared" si="412"/>
        <v>Lifecycle_Balanced_343</v>
      </c>
      <c r="D202">
        <v>343</v>
      </c>
      <c r="E202">
        <f>VLOOKUP($D202,'[2]LC Balanced'!$Q$2:$U$542,2,FALSE)</f>
        <v>0</v>
      </c>
      <c r="F202">
        <f>VLOOKUP($D202,'[2]LC Balanced'!$Q$2:$U$542,3,FALSE)</f>
        <v>0.14899999999999999</v>
      </c>
      <c r="G202">
        <f>VLOOKUP($D202,'[2]LC Balanced'!$Q$2:$U$542,4,FALSE)</f>
        <v>0.85099999999999998</v>
      </c>
      <c r="H202">
        <f>VLOOKUP($D202,'[2]LC Balanced'!$Q$2:$U$542,5,FALSE)</f>
        <v>0</v>
      </c>
      <c r="I202" s="77">
        <f t="shared" si="513"/>
        <v>1</v>
      </c>
      <c r="J202" s="77">
        <f t="shared" si="514"/>
        <v>6.1987699999999986E-2</v>
      </c>
      <c r="K202" s="77">
        <f t="shared" si="504"/>
        <v>5.024442123284345E-3</v>
      </c>
      <c r="L202" s="76">
        <v>0</v>
      </c>
      <c r="M202" s="77">
        <f t="shared" si="520"/>
        <v>0</v>
      </c>
      <c r="N202" s="77">
        <f t="shared" si="521"/>
        <v>0</v>
      </c>
      <c r="O202" s="77">
        <f t="shared" si="522"/>
        <v>7.0062999999999992E-3</v>
      </c>
      <c r="P202" s="77">
        <f t="shared" si="523"/>
        <v>5.85741666996209E-4</v>
      </c>
      <c r="R202" t="s">
        <v>177</v>
      </c>
      <c r="S202" t="s">
        <v>176</v>
      </c>
      <c r="T202" s="197" t="str">
        <f t="shared" si="455"/>
        <v>Autopilot_Balanced_343</v>
      </c>
      <c r="U202">
        <v>343</v>
      </c>
      <c r="V202">
        <f>VLOOKUP($U202,'[2]AP Balanced'!$Q$1:$T$542,2,FALSE)</f>
        <v>0.77777777777777779</v>
      </c>
      <c r="W202">
        <f>VLOOKUP($U202,'[2]AP Balanced'!$Q$1:$T$542,3,FALSE)</f>
        <v>0.22222222222222221</v>
      </c>
      <c r="X202">
        <f>VLOOKUP($U202,'[2]AP Balanced'!$Q$1:$T$542,4,FALSE)</f>
        <v>0</v>
      </c>
      <c r="Y202" s="77">
        <f t="shared" si="413"/>
        <v>1</v>
      </c>
      <c r="Z202" s="77">
        <f t="shared" si="402"/>
        <v>6.1674999999999987E-2</v>
      </c>
      <c r="AA202" s="77">
        <f t="shared" si="403"/>
        <v>4.9997781870025904E-3</v>
      </c>
      <c r="AB202" s="79">
        <v>1</v>
      </c>
      <c r="AC202" s="77">
        <f t="shared" si="524"/>
        <v>8.0555555555555554E-3</v>
      </c>
      <c r="AD202" s="77">
        <f t="shared" si="515"/>
        <v>6.7378764057135498E-4</v>
      </c>
      <c r="AE202" s="77">
        <f t="shared" si="525"/>
        <v>2.5000000000000001E-3</v>
      </c>
      <c r="AF202" s="77">
        <f t="shared" si="515"/>
        <v>2.0857243058891584E-4</v>
      </c>
      <c r="AH202" t="s">
        <v>175</v>
      </c>
      <c r="AI202" t="s">
        <v>176</v>
      </c>
      <c r="AJ202" s="197" t="str">
        <f t="shared" si="414"/>
        <v>Lifecycle_Balanced_343</v>
      </c>
      <c r="AK202">
        <v>343</v>
      </c>
      <c r="AL202">
        <f>VLOOKUP($U202,[2]Standard_Balanced!$Q$1:$T$542,2,FALSE)</f>
        <v>0.77777777777777779</v>
      </c>
      <c r="AM202">
        <f>VLOOKUP($U202,[2]Standard_Balanced!$Q$1:$T$542,3,FALSE)</f>
        <v>0.22222222222222221</v>
      </c>
      <c r="AN202">
        <f>VLOOKUP($U202,[2]Standard_Balanced!$Q$1:$T$542,4,FALSE)</f>
        <v>0</v>
      </c>
      <c r="AO202" s="77">
        <f t="shared" si="501"/>
        <v>1</v>
      </c>
      <c r="AP202" s="77">
        <f t="shared" si="526"/>
        <v>6.1674999999999987E-2</v>
      </c>
      <c r="AQ202" s="77">
        <f t="shared" si="415"/>
        <v>4.9997781870025904E-3</v>
      </c>
      <c r="AR202" s="79">
        <v>0</v>
      </c>
      <c r="AS202" s="77">
        <f t="shared" si="527"/>
        <v>0</v>
      </c>
      <c r="AT202" s="77">
        <f t="shared" ref="AT202" si="541">1-(1-AS202)^(1/12)</f>
        <v>0</v>
      </c>
      <c r="AU202" s="77">
        <f t="shared" si="529"/>
        <v>2.5000000000000001E-3</v>
      </c>
      <c r="AV202" s="77">
        <f t="shared" ref="AV202" si="542">1-(1-AU202)^(1/12)</f>
        <v>2.0857243058891584E-4</v>
      </c>
      <c r="AX202" t="s">
        <v>178</v>
      </c>
      <c r="AY202" t="s">
        <v>160</v>
      </c>
      <c r="AZ202" s="197" t="str">
        <f t="shared" si="418"/>
        <v>DIS_Non-Standard_343</v>
      </c>
      <c r="BA202">
        <v>343</v>
      </c>
      <c r="BB202">
        <f>VLOOKUP($BA202,'[2]NonStandard DIS'!$Q$1:$X$542,2,FALSE)</f>
        <v>0</v>
      </c>
      <c r="BC202">
        <f>VLOOKUP($BA202,'[2]NonStandard DIS'!$Q$1:$X$542,3,FALSE)</f>
        <v>0</v>
      </c>
      <c r="BD202">
        <f>VLOOKUP($BA202,'[2]NonStandard DIS'!$Q$1:$X$542,4,FALSE)</f>
        <v>0.308</v>
      </c>
      <c r="BE202">
        <f>VLOOKUP($BA202,'[2]NonStandard DIS'!$Q$1:$X$542,5,FALSE)</f>
        <v>0.69199999999999995</v>
      </c>
      <c r="BF202">
        <f>VLOOKUP($BA202,'[2]NonStandard DIS'!$Q$1:$X$542,6,FALSE)</f>
        <v>0</v>
      </c>
      <c r="BG202">
        <f>VLOOKUP($BA202,'[2]NonStandard DIS'!$Q$1:$X$542,7,FALSE)</f>
        <v>0</v>
      </c>
      <c r="BH202">
        <f>VLOOKUP($BA202,'[2]NonStandard DIS'!$Q$1:$X$542,8,FALSE)</f>
        <v>0</v>
      </c>
      <c r="BI202" s="77">
        <f t="shared" si="518"/>
        <v>1</v>
      </c>
      <c r="BJ202" s="77">
        <f t="shared" si="519"/>
        <v>6.9728499999999985E-2</v>
      </c>
      <c r="BK202" s="77">
        <f t="shared" si="500"/>
        <v>5.632878498097682E-3</v>
      </c>
      <c r="BL202" s="79">
        <v>0</v>
      </c>
      <c r="BM202" s="77">
        <f t="shared" si="531"/>
        <v>0</v>
      </c>
      <c r="BN202" s="77">
        <f t="shared" si="532"/>
        <v>0</v>
      </c>
      <c r="BO202" s="77">
        <f t="shared" si="533"/>
        <v>5.6775999999999997E-3</v>
      </c>
      <c r="BP202" s="77">
        <f t="shared" si="534"/>
        <v>4.7190657760731725E-4</v>
      </c>
    </row>
    <row r="203" spans="1:68">
      <c r="A203" t="s">
        <v>175</v>
      </c>
      <c r="B203" t="s">
        <v>176</v>
      </c>
      <c r="C203" s="197" t="str">
        <f t="shared" si="412"/>
        <v>Lifecycle_Balanced_342</v>
      </c>
      <c r="D203">
        <v>342</v>
      </c>
      <c r="E203">
        <f>VLOOKUP($D203,'[2]LC Balanced'!$Q$2:$U$542,2,FALSE)</f>
        <v>0</v>
      </c>
      <c r="F203">
        <f>VLOOKUP($D203,'[2]LC Balanced'!$Q$2:$U$542,3,FALSE)</f>
        <v>0.14899999999999999</v>
      </c>
      <c r="G203">
        <f>VLOOKUP($D203,'[2]LC Balanced'!$Q$2:$U$542,4,FALSE)</f>
        <v>0.85099999999999998</v>
      </c>
      <c r="H203">
        <f>VLOOKUP($D203,'[2]LC Balanced'!$Q$2:$U$542,5,FALSE)</f>
        <v>0</v>
      </c>
      <c r="I203" s="77">
        <f t="shared" si="513"/>
        <v>1</v>
      </c>
      <c r="J203" s="77">
        <f t="shared" si="514"/>
        <v>6.1987699999999986E-2</v>
      </c>
      <c r="K203" s="77">
        <f t="shared" si="504"/>
        <v>5.024442123284345E-3</v>
      </c>
      <c r="L203" s="76">
        <v>0</v>
      </c>
      <c r="M203" s="77">
        <f t="shared" si="520"/>
        <v>0</v>
      </c>
      <c r="N203" s="77">
        <f t="shared" si="521"/>
        <v>0</v>
      </c>
      <c r="O203" s="77">
        <f t="shared" si="522"/>
        <v>7.0062999999999992E-3</v>
      </c>
      <c r="P203" s="77">
        <f t="shared" si="523"/>
        <v>5.85741666996209E-4</v>
      </c>
      <c r="R203" t="s">
        <v>177</v>
      </c>
      <c r="S203" t="s">
        <v>176</v>
      </c>
      <c r="T203" s="197" t="str">
        <f t="shared" si="455"/>
        <v>Autopilot_Balanced_342</v>
      </c>
      <c r="U203">
        <v>342</v>
      </c>
      <c r="V203">
        <f>VLOOKUP($U203,'[2]AP Balanced'!$Q$1:$T$542,2,FALSE)</f>
        <v>0.77777777777777779</v>
      </c>
      <c r="W203">
        <f>VLOOKUP($U203,'[2]AP Balanced'!$Q$1:$T$542,3,FALSE)</f>
        <v>0.22222222222222221</v>
      </c>
      <c r="X203">
        <f>VLOOKUP($U203,'[2]AP Balanced'!$Q$1:$T$542,4,FALSE)</f>
        <v>0</v>
      </c>
      <c r="Y203" s="77">
        <f t="shared" si="413"/>
        <v>1</v>
      </c>
      <c r="Z203" s="77">
        <f t="shared" si="402"/>
        <v>6.1674999999999987E-2</v>
      </c>
      <c r="AA203" s="77">
        <f t="shared" si="403"/>
        <v>4.9997781870025904E-3</v>
      </c>
      <c r="AB203" s="79">
        <v>1</v>
      </c>
      <c r="AC203" s="77">
        <f t="shared" si="524"/>
        <v>8.0555555555555554E-3</v>
      </c>
      <c r="AD203" s="77">
        <f t="shared" si="515"/>
        <v>6.7378764057135498E-4</v>
      </c>
      <c r="AE203" s="77">
        <f t="shared" si="525"/>
        <v>2.5000000000000001E-3</v>
      </c>
      <c r="AF203" s="77">
        <f t="shared" si="515"/>
        <v>2.0857243058891584E-4</v>
      </c>
      <c r="AH203" t="s">
        <v>175</v>
      </c>
      <c r="AI203" t="s">
        <v>176</v>
      </c>
      <c r="AJ203" s="197" t="str">
        <f t="shared" si="414"/>
        <v>Lifecycle_Balanced_342</v>
      </c>
      <c r="AK203">
        <v>342</v>
      </c>
      <c r="AL203">
        <f>VLOOKUP($U203,[2]Standard_Balanced!$Q$1:$T$542,2,FALSE)</f>
        <v>0.77777777777777779</v>
      </c>
      <c r="AM203">
        <f>VLOOKUP($U203,[2]Standard_Balanced!$Q$1:$T$542,3,FALSE)</f>
        <v>0.22222222222222221</v>
      </c>
      <c r="AN203">
        <f>VLOOKUP($U203,[2]Standard_Balanced!$Q$1:$T$542,4,FALSE)</f>
        <v>0</v>
      </c>
      <c r="AO203" s="77">
        <f t="shared" si="501"/>
        <v>1</v>
      </c>
      <c r="AP203" s="77">
        <f t="shared" si="526"/>
        <v>6.1674999999999987E-2</v>
      </c>
      <c r="AQ203" s="77">
        <f t="shared" si="415"/>
        <v>4.9997781870025904E-3</v>
      </c>
      <c r="AR203" s="79">
        <v>0</v>
      </c>
      <c r="AS203" s="77">
        <f t="shared" si="527"/>
        <v>0</v>
      </c>
      <c r="AT203" s="77">
        <f t="shared" ref="AT203" si="543">1-(1-AS203)^(1/12)</f>
        <v>0</v>
      </c>
      <c r="AU203" s="77">
        <f t="shared" si="529"/>
        <v>2.5000000000000001E-3</v>
      </c>
      <c r="AV203" s="77">
        <f t="shared" ref="AV203" si="544">1-(1-AU203)^(1/12)</f>
        <v>2.0857243058891584E-4</v>
      </c>
      <c r="AX203" t="s">
        <v>178</v>
      </c>
      <c r="AY203" t="s">
        <v>160</v>
      </c>
      <c r="AZ203" s="197" t="str">
        <f t="shared" si="418"/>
        <v>DIS_Non-Standard_342</v>
      </c>
      <c r="BA203">
        <v>342</v>
      </c>
      <c r="BB203">
        <f>VLOOKUP($BA203,'[2]NonStandard DIS'!$Q$1:$X$542,2,FALSE)</f>
        <v>0</v>
      </c>
      <c r="BC203">
        <f>VLOOKUP($BA203,'[2]NonStandard DIS'!$Q$1:$X$542,3,FALSE)</f>
        <v>0</v>
      </c>
      <c r="BD203">
        <f>VLOOKUP($BA203,'[2]NonStandard DIS'!$Q$1:$X$542,4,FALSE)</f>
        <v>0.308</v>
      </c>
      <c r="BE203">
        <f>VLOOKUP($BA203,'[2]NonStandard DIS'!$Q$1:$X$542,5,FALSE)</f>
        <v>0.69199999999999995</v>
      </c>
      <c r="BF203">
        <f>VLOOKUP($BA203,'[2]NonStandard DIS'!$Q$1:$X$542,6,FALSE)</f>
        <v>0</v>
      </c>
      <c r="BG203">
        <f>VLOOKUP($BA203,'[2]NonStandard DIS'!$Q$1:$X$542,7,FALSE)</f>
        <v>0</v>
      </c>
      <c r="BH203">
        <f>VLOOKUP($BA203,'[2]NonStandard DIS'!$Q$1:$X$542,8,FALSE)</f>
        <v>0</v>
      </c>
      <c r="BI203" s="77">
        <f t="shared" si="518"/>
        <v>1</v>
      </c>
      <c r="BJ203" s="77">
        <f t="shared" si="519"/>
        <v>6.9728499999999985E-2</v>
      </c>
      <c r="BK203" s="77">
        <f t="shared" si="500"/>
        <v>5.632878498097682E-3</v>
      </c>
      <c r="BL203" s="79">
        <v>0</v>
      </c>
      <c r="BM203" s="77">
        <f t="shared" si="531"/>
        <v>0</v>
      </c>
      <c r="BN203" s="77">
        <f t="shared" si="532"/>
        <v>0</v>
      </c>
      <c r="BO203" s="77">
        <f t="shared" si="533"/>
        <v>5.6775999999999997E-3</v>
      </c>
      <c r="BP203" s="77">
        <f t="shared" si="534"/>
        <v>4.7190657760731725E-4</v>
      </c>
    </row>
    <row r="204" spans="1:68">
      <c r="A204" t="s">
        <v>175</v>
      </c>
      <c r="B204" t="s">
        <v>176</v>
      </c>
      <c r="C204" s="197" t="str">
        <f t="shared" si="412"/>
        <v>Lifecycle_Balanced_341</v>
      </c>
      <c r="D204">
        <v>341</v>
      </c>
      <c r="E204">
        <f>VLOOKUP($D204,'[2]LC Balanced'!$Q$2:$U$542,2,FALSE)</f>
        <v>0</v>
      </c>
      <c r="F204">
        <f>VLOOKUP($D204,'[2]LC Balanced'!$Q$2:$U$542,3,FALSE)</f>
        <v>0.14899999999999999</v>
      </c>
      <c r="G204">
        <f>VLOOKUP($D204,'[2]LC Balanced'!$Q$2:$U$542,4,FALSE)</f>
        <v>0.85099999999999998</v>
      </c>
      <c r="H204">
        <f>VLOOKUP($D204,'[2]LC Balanced'!$Q$2:$U$542,5,FALSE)</f>
        <v>0</v>
      </c>
      <c r="I204" s="77">
        <f t="shared" si="513"/>
        <v>1</v>
      </c>
      <c r="J204" s="77">
        <f t="shared" si="514"/>
        <v>6.1987699999999986E-2</v>
      </c>
      <c r="K204" s="77">
        <f t="shared" si="504"/>
        <v>5.024442123284345E-3</v>
      </c>
      <c r="L204" s="76">
        <v>0</v>
      </c>
      <c r="M204" s="77">
        <f t="shared" si="520"/>
        <v>0</v>
      </c>
      <c r="N204" s="77">
        <f t="shared" si="521"/>
        <v>0</v>
      </c>
      <c r="O204" s="77">
        <f t="shared" si="522"/>
        <v>7.0062999999999992E-3</v>
      </c>
      <c r="P204" s="77">
        <f t="shared" si="523"/>
        <v>5.85741666996209E-4</v>
      </c>
      <c r="R204" t="s">
        <v>177</v>
      </c>
      <c r="S204" t="s">
        <v>176</v>
      </c>
      <c r="T204" s="197" t="str">
        <f t="shared" si="455"/>
        <v>Autopilot_Balanced_341</v>
      </c>
      <c r="U204">
        <v>341</v>
      </c>
      <c r="V204">
        <f>VLOOKUP($U204,'[2]AP Balanced'!$Q$1:$T$542,2,FALSE)</f>
        <v>0.77777777777777779</v>
      </c>
      <c r="W204">
        <f>VLOOKUP($U204,'[2]AP Balanced'!$Q$1:$T$542,3,FALSE)</f>
        <v>0.22222222222222221</v>
      </c>
      <c r="X204">
        <f>VLOOKUP($U204,'[2]AP Balanced'!$Q$1:$T$542,4,FALSE)</f>
        <v>0</v>
      </c>
      <c r="Y204" s="77">
        <f t="shared" si="413"/>
        <v>1</v>
      </c>
      <c r="Z204" s="77">
        <f t="shared" si="402"/>
        <v>6.1674999999999987E-2</v>
      </c>
      <c r="AA204" s="77">
        <f t="shared" si="403"/>
        <v>4.9997781870025904E-3</v>
      </c>
      <c r="AB204" s="79">
        <v>1</v>
      </c>
      <c r="AC204" s="77">
        <f t="shared" si="524"/>
        <v>8.0555555555555554E-3</v>
      </c>
      <c r="AD204" s="77">
        <f t="shared" si="515"/>
        <v>6.7378764057135498E-4</v>
      </c>
      <c r="AE204" s="77">
        <f t="shared" si="525"/>
        <v>2.5000000000000001E-3</v>
      </c>
      <c r="AF204" s="77">
        <f t="shared" si="515"/>
        <v>2.0857243058891584E-4</v>
      </c>
      <c r="AH204" t="s">
        <v>175</v>
      </c>
      <c r="AI204" t="s">
        <v>176</v>
      </c>
      <c r="AJ204" s="197" t="str">
        <f t="shared" si="414"/>
        <v>Lifecycle_Balanced_341</v>
      </c>
      <c r="AK204">
        <v>341</v>
      </c>
      <c r="AL204">
        <f>VLOOKUP($U204,[2]Standard_Balanced!$Q$1:$T$542,2,FALSE)</f>
        <v>0.77777777777777779</v>
      </c>
      <c r="AM204">
        <f>VLOOKUP($U204,[2]Standard_Balanced!$Q$1:$T$542,3,FALSE)</f>
        <v>0.22222222222222221</v>
      </c>
      <c r="AN204">
        <f>VLOOKUP($U204,[2]Standard_Balanced!$Q$1:$T$542,4,FALSE)</f>
        <v>0</v>
      </c>
      <c r="AO204" s="77">
        <f t="shared" si="501"/>
        <v>1</v>
      </c>
      <c r="AP204" s="77">
        <f t="shared" si="526"/>
        <v>6.1674999999999987E-2</v>
      </c>
      <c r="AQ204" s="77">
        <f t="shared" si="415"/>
        <v>4.9997781870025904E-3</v>
      </c>
      <c r="AR204" s="79">
        <v>0</v>
      </c>
      <c r="AS204" s="77">
        <f t="shared" si="527"/>
        <v>0</v>
      </c>
      <c r="AT204" s="77">
        <f t="shared" ref="AT204" si="545">1-(1-AS204)^(1/12)</f>
        <v>0</v>
      </c>
      <c r="AU204" s="77">
        <f t="shared" si="529"/>
        <v>2.5000000000000001E-3</v>
      </c>
      <c r="AV204" s="77">
        <f t="shared" ref="AV204" si="546">1-(1-AU204)^(1/12)</f>
        <v>2.0857243058891584E-4</v>
      </c>
      <c r="AX204" t="s">
        <v>178</v>
      </c>
      <c r="AY204" t="s">
        <v>160</v>
      </c>
      <c r="AZ204" s="197" t="str">
        <f t="shared" si="418"/>
        <v>DIS_Non-Standard_341</v>
      </c>
      <c r="BA204">
        <v>341</v>
      </c>
      <c r="BB204">
        <f>VLOOKUP($BA204,'[2]NonStandard DIS'!$Q$1:$X$542,2,FALSE)</f>
        <v>0</v>
      </c>
      <c r="BC204">
        <f>VLOOKUP($BA204,'[2]NonStandard DIS'!$Q$1:$X$542,3,FALSE)</f>
        <v>0</v>
      </c>
      <c r="BD204">
        <f>VLOOKUP($BA204,'[2]NonStandard DIS'!$Q$1:$X$542,4,FALSE)</f>
        <v>0.308</v>
      </c>
      <c r="BE204">
        <f>VLOOKUP($BA204,'[2]NonStandard DIS'!$Q$1:$X$542,5,FALSE)</f>
        <v>0.69199999999999995</v>
      </c>
      <c r="BF204">
        <f>VLOOKUP($BA204,'[2]NonStandard DIS'!$Q$1:$X$542,6,FALSE)</f>
        <v>0</v>
      </c>
      <c r="BG204">
        <f>VLOOKUP($BA204,'[2]NonStandard DIS'!$Q$1:$X$542,7,FALSE)</f>
        <v>0</v>
      </c>
      <c r="BH204">
        <f>VLOOKUP($BA204,'[2]NonStandard DIS'!$Q$1:$X$542,8,FALSE)</f>
        <v>0</v>
      </c>
      <c r="BI204" s="77">
        <f t="shared" si="518"/>
        <v>1</v>
      </c>
      <c r="BJ204" s="77">
        <f t="shared" si="519"/>
        <v>6.9728499999999985E-2</v>
      </c>
      <c r="BK204" s="77">
        <f t="shared" si="500"/>
        <v>5.632878498097682E-3</v>
      </c>
      <c r="BL204" s="79">
        <v>0</v>
      </c>
      <c r="BM204" s="77">
        <f t="shared" si="531"/>
        <v>0</v>
      </c>
      <c r="BN204" s="77">
        <f t="shared" si="532"/>
        <v>0</v>
      </c>
      <c r="BO204" s="77">
        <f t="shared" si="533"/>
        <v>5.6775999999999997E-3</v>
      </c>
      <c r="BP204" s="77">
        <f t="shared" si="534"/>
        <v>4.7190657760731725E-4</v>
      </c>
    </row>
    <row r="205" spans="1:68">
      <c r="A205" t="s">
        <v>175</v>
      </c>
      <c r="B205" t="s">
        <v>176</v>
      </c>
      <c r="C205" s="197" t="str">
        <f t="shared" si="412"/>
        <v>Lifecycle_Balanced_340</v>
      </c>
      <c r="D205">
        <v>340</v>
      </c>
      <c r="E205">
        <f>VLOOKUP($D205,'[2]LC Balanced'!$Q$2:$U$542,2,FALSE)</f>
        <v>0</v>
      </c>
      <c r="F205">
        <f>VLOOKUP($D205,'[2]LC Balanced'!$Q$2:$U$542,3,FALSE)</f>
        <v>0.14899999999999999</v>
      </c>
      <c r="G205">
        <f>VLOOKUP($D205,'[2]LC Balanced'!$Q$2:$U$542,4,FALSE)</f>
        <v>0.85099999999999998</v>
      </c>
      <c r="H205">
        <f>VLOOKUP($D205,'[2]LC Balanced'!$Q$2:$U$542,5,FALSE)</f>
        <v>0</v>
      </c>
      <c r="I205" s="77">
        <f t="shared" si="513"/>
        <v>1</v>
      </c>
      <c r="J205" s="77">
        <f t="shared" si="514"/>
        <v>6.1987699999999986E-2</v>
      </c>
      <c r="K205" s="77">
        <f t="shared" si="504"/>
        <v>5.024442123284345E-3</v>
      </c>
      <c r="L205" s="76">
        <v>0</v>
      </c>
      <c r="M205" s="77">
        <f t="shared" si="520"/>
        <v>0</v>
      </c>
      <c r="N205" s="77">
        <f t="shared" si="521"/>
        <v>0</v>
      </c>
      <c r="O205" s="77">
        <f t="shared" si="522"/>
        <v>7.0062999999999992E-3</v>
      </c>
      <c r="P205" s="77">
        <f t="shared" si="523"/>
        <v>5.85741666996209E-4</v>
      </c>
      <c r="R205" t="s">
        <v>177</v>
      </c>
      <c r="S205" t="s">
        <v>176</v>
      </c>
      <c r="T205" s="197" t="str">
        <f t="shared" si="455"/>
        <v>Autopilot_Balanced_340</v>
      </c>
      <c r="U205">
        <v>340</v>
      </c>
      <c r="V205">
        <f>VLOOKUP($U205,'[2]AP Balanced'!$Q$1:$T$542,2,FALSE)</f>
        <v>0.77777777777777779</v>
      </c>
      <c r="W205">
        <f>VLOOKUP($U205,'[2]AP Balanced'!$Q$1:$T$542,3,FALSE)</f>
        <v>0.22222222222222221</v>
      </c>
      <c r="X205">
        <f>VLOOKUP($U205,'[2]AP Balanced'!$Q$1:$T$542,4,FALSE)</f>
        <v>0</v>
      </c>
      <c r="Y205" s="77">
        <f t="shared" si="413"/>
        <v>1</v>
      </c>
      <c r="Z205" s="77">
        <f t="shared" si="402"/>
        <v>6.1674999999999987E-2</v>
      </c>
      <c r="AA205" s="77">
        <f t="shared" si="403"/>
        <v>4.9997781870025904E-3</v>
      </c>
      <c r="AB205" s="79">
        <v>1</v>
      </c>
      <c r="AC205" s="77">
        <f t="shared" si="524"/>
        <v>8.0555555555555554E-3</v>
      </c>
      <c r="AD205" s="77">
        <f t="shared" si="515"/>
        <v>6.7378764057135498E-4</v>
      </c>
      <c r="AE205" s="77">
        <f t="shared" si="525"/>
        <v>2.5000000000000001E-3</v>
      </c>
      <c r="AF205" s="77">
        <f t="shared" si="515"/>
        <v>2.0857243058891584E-4</v>
      </c>
      <c r="AH205" t="s">
        <v>175</v>
      </c>
      <c r="AI205" t="s">
        <v>176</v>
      </c>
      <c r="AJ205" s="197" t="str">
        <f t="shared" si="414"/>
        <v>Lifecycle_Balanced_340</v>
      </c>
      <c r="AK205">
        <v>340</v>
      </c>
      <c r="AL205">
        <f>VLOOKUP($U205,[2]Standard_Balanced!$Q$1:$T$542,2,FALSE)</f>
        <v>0.77777777777777779</v>
      </c>
      <c r="AM205">
        <f>VLOOKUP($U205,[2]Standard_Balanced!$Q$1:$T$542,3,FALSE)</f>
        <v>0.22222222222222221</v>
      </c>
      <c r="AN205">
        <f>VLOOKUP($U205,[2]Standard_Balanced!$Q$1:$T$542,4,FALSE)</f>
        <v>0</v>
      </c>
      <c r="AO205" s="77">
        <f t="shared" si="501"/>
        <v>1</v>
      </c>
      <c r="AP205" s="77">
        <f t="shared" si="526"/>
        <v>6.1674999999999987E-2</v>
      </c>
      <c r="AQ205" s="77">
        <f t="shared" si="415"/>
        <v>4.9997781870025904E-3</v>
      </c>
      <c r="AR205" s="79">
        <v>0</v>
      </c>
      <c r="AS205" s="77">
        <f t="shared" si="527"/>
        <v>0</v>
      </c>
      <c r="AT205" s="77">
        <f t="shared" ref="AT205" si="547">1-(1-AS205)^(1/12)</f>
        <v>0</v>
      </c>
      <c r="AU205" s="77">
        <f t="shared" si="529"/>
        <v>2.5000000000000001E-3</v>
      </c>
      <c r="AV205" s="77">
        <f t="shared" ref="AV205" si="548">1-(1-AU205)^(1/12)</f>
        <v>2.0857243058891584E-4</v>
      </c>
      <c r="AX205" t="s">
        <v>178</v>
      </c>
      <c r="AY205" t="s">
        <v>160</v>
      </c>
      <c r="AZ205" s="197" t="str">
        <f t="shared" si="418"/>
        <v>DIS_Non-Standard_340</v>
      </c>
      <c r="BA205">
        <v>340</v>
      </c>
      <c r="BB205">
        <f>VLOOKUP($BA205,'[2]NonStandard DIS'!$Q$1:$X$542,2,FALSE)</f>
        <v>0</v>
      </c>
      <c r="BC205">
        <f>VLOOKUP($BA205,'[2]NonStandard DIS'!$Q$1:$X$542,3,FALSE)</f>
        <v>0</v>
      </c>
      <c r="BD205">
        <f>VLOOKUP($BA205,'[2]NonStandard DIS'!$Q$1:$X$542,4,FALSE)</f>
        <v>0.308</v>
      </c>
      <c r="BE205">
        <f>VLOOKUP($BA205,'[2]NonStandard DIS'!$Q$1:$X$542,5,FALSE)</f>
        <v>0.69199999999999995</v>
      </c>
      <c r="BF205">
        <f>VLOOKUP($BA205,'[2]NonStandard DIS'!$Q$1:$X$542,6,FALSE)</f>
        <v>0</v>
      </c>
      <c r="BG205">
        <f>VLOOKUP($BA205,'[2]NonStandard DIS'!$Q$1:$X$542,7,FALSE)</f>
        <v>0</v>
      </c>
      <c r="BH205">
        <f>VLOOKUP($BA205,'[2]NonStandard DIS'!$Q$1:$X$542,8,FALSE)</f>
        <v>0</v>
      </c>
      <c r="BI205" s="77">
        <f t="shared" si="518"/>
        <v>1</v>
      </c>
      <c r="BJ205" s="77">
        <f t="shared" si="519"/>
        <v>6.9728499999999985E-2</v>
      </c>
      <c r="BK205" s="77">
        <f t="shared" si="500"/>
        <v>5.632878498097682E-3</v>
      </c>
      <c r="BL205" s="79">
        <v>0</v>
      </c>
      <c r="BM205" s="77">
        <f t="shared" si="531"/>
        <v>0</v>
      </c>
      <c r="BN205" s="77">
        <f t="shared" si="532"/>
        <v>0</v>
      </c>
      <c r="BO205" s="77">
        <f t="shared" si="533"/>
        <v>5.6775999999999997E-3</v>
      </c>
      <c r="BP205" s="77">
        <f t="shared" si="534"/>
        <v>4.7190657760731725E-4</v>
      </c>
    </row>
    <row r="206" spans="1:68">
      <c r="A206" t="s">
        <v>175</v>
      </c>
      <c r="B206" t="s">
        <v>176</v>
      </c>
      <c r="C206" s="197" t="str">
        <f t="shared" si="412"/>
        <v>Lifecycle_Balanced_339</v>
      </c>
      <c r="D206">
        <v>339</v>
      </c>
      <c r="E206">
        <f>VLOOKUP($D206,'[2]LC Balanced'!$Q$2:$U$542,2,FALSE)</f>
        <v>0</v>
      </c>
      <c r="F206">
        <f>VLOOKUP($D206,'[2]LC Balanced'!$Q$2:$U$542,3,FALSE)</f>
        <v>0.14899999999999999</v>
      </c>
      <c r="G206">
        <f>VLOOKUP($D206,'[2]LC Balanced'!$Q$2:$U$542,4,FALSE)</f>
        <v>0.85099999999999998</v>
      </c>
      <c r="H206">
        <f>VLOOKUP($D206,'[2]LC Balanced'!$Q$2:$U$542,5,FALSE)</f>
        <v>0</v>
      </c>
      <c r="I206" s="77">
        <f t="shared" si="513"/>
        <v>1</v>
      </c>
      <c r="J206" s="77">
        <f t="shared" si="514"/>
        <v>6.1987699999999986E-2</v>
      </c>
      <c r="K206" s="77">
        <f t="shared" si="504"/>
        <v>5.024442123284345E-3</v>
      </c>
      <c r="L206" s="76">
        <v>0</v>
      </c>
      <c r="M206" s="77">
        <f t="shared" si="520"/>
        <v>0</v>
      </c>
      <c r="N206" s="77">
        <f t="shared" si="521"/>
        <v>0</v>
      </c>
      <c r="O206" s="77">
        <f t="shared" si="522"/>
        <v>7.0062999999999992E-3</v>
      </c>
      <c r="P206" s="77">
        <f t="shared" si="523"/>
        <v>5.85741666996209E-4</v>
      </c>
      <c r="R206" t="s">
        <v>177</v>
      </c>
      <c r="S206" t="s">
        <v>176</v>
      </c>
      <c r="T206" s="197" t="str">
        <f t="shared" si="455"/>
        <v>Autopilot_Balanced_339</v>
      </c>
      <c r="U206">
        <v>339</v>
      </c>
      <c r="V206">
        <f>VLOOKUP($U206,'[2]AP Balanced'!$Q$1:$T$542,2,FALSE)</f>
        <v>0.77777777777777779</v>
      </c>
      <c r="W206">
        <f>VLOOKUP($U206,'[2]AP Balanced'!$Q$1:$T$542,3,FALSE)</f>
        <v>0.22222222222222221</v>
      </c>
      <c r="X206">
        <f>VLOOKUP($U206,'[2]AP Balanced'!$Q$1:$T$542,4,FALSE)</f>
        <v>0</v>
      </c>
      <c r="Y206" s="77">
        <f t="shared" si="413"/>
        <v>1</v>
      </c>
      <c r="Z206" s="77">
        <f t="shared" si="402"/>
        <v>6.1674999999999987E-2</v>
      </c>
      <c r="AA206" s="77">
        <f t="shared" si="403"/>
        <v>4.9997781870025904E-3</v>
      </c>
      <c r="AB206" s="79">
        <v>1</v>
      </c>
      <c r="AC206" s="77">
        <f t="shared" si="524"/>
        <v>8.0555555555555554E-3</v>
      </c>
      <c r="AD206" s="77">
        <f t="shared" si="515"/>
        <v>6.7378764057135498E-4</v>
      </c>
      <c r="AE206" s="77">
        <f t="shared" si="525"/>
        <v>2.5000000000000001E-3</v>
      </c>
      <c r="AF206" s="77">
        <f t="shared" si="515"/>
        <v>2.0857243058891584E-4</v>
      </c>
      <c r="AH206" t="s">
        <v>175</v>
      </c>
      <c r="AI206" t="s">
        <v>176</v>
      </c>
      <c r="AJ206" s="197" t="str">
        <f t="shared" si="414"/>
        <v>Lifecycle_Balanced_339</v>
      </c>
      <c r="AK206">
        <v>339</v>
      </c>
      <c r="AL206">
        <f>VLOOKUP($U206,[2]Standard_Balanced!$Q$1:$T$542,2,FALSE)</f>
        <v>0.77777777777777779</v>
      </c>
      <c r="AM206">
        <f>VLOOKUP($U206,[2]Standard_Balanced!$Q$1:$T$542,3,FALSE)</f>
        <v>0.22222222222222221</v>
      </c>
      <c r="AN206">
        <f>VLOOKUP($U206,[2]Standard_Balanced!$Q$1:$T$542,4,FALSE)</f>
        <v>0</v>
      </c>
      <c r="AO206" s="77">
        <f t="shared" si="501"/>
        <v>1</v>
      </c>
      <c r="AP206" s="77">
        <f t="shared" si="526"/>
        <v>6.1674999999999987E-2</v>
      </c>
      <c r="AQ206" s="77">
        <f t="shared" si="415"/>
        <v>4.9997781870025904E-3</v>
      </c>
      <c r="AR206" s="79">
        <v>0</v>
      </c>
      <c r="AS206" s="77">
        <f t="shared" si="527"/>
        <v>0</v>
      </c>
      <c r="AT206" s="77">
        <f t="shared" ref="AT206" si="549">1-(1-AS206)^(1/12)</f>
        <v>0</v>
      </c>
      <c r="AU206" s="77">
        <f t="shared" si="529"/>
        <v>2.5000000000000001E-3</v>
      </c>
      <c r="AV206" s="77">
        <f t="shared" ref="AV206" si="550">1-(1-AU206)^(1/12)</f>
        <v>2.0857243058891584E-4</v>
      </c>
      <c r="AX206" t="s">
        <v>178</v>
      </c>
      <c r="AY206" t="s">
        <v>160</v>
      </c>
      <c r="AZ206" s="197" t="str">
        <f t="shared" si="418"/>
        <v>DIS_Non-Standard_339</v>
      </c>
      <c r="BA206">
        <v>339</v>
      </c>
      <c r="BB206">
        <f>VLOOKUP($BA206,'[2]NonStandard DIS'!$Q$1:$X$542,2,FALSE)</f>
        <v>0</v>
      </c>
      <c r="BC206">
        <f>VLOOKUP($BA206,'[2]NonStandard DIS'!$Q$1:$X$542,3,FALSE)</f>
        <v>0</v>
      </c>
      <c r="BD206">
        <f>VLOOKUP($BA206,'[2]NonStandard DIS'!$Q$1:$X$542,4,FALSE)</f>
        <v>0.308</v>
      </c>
      <c r="BE206">
        <f>VLOOKUP($BA206,'[2]NonStandard DIS'!$Q$1:$X$542,5,FALSE)</f>
        <v>0.69199999999999995</v>
      </c>
      <c r="BF206">
        <f>VLOOKUP($BA206,'[2]NonStandard DIS'!$Q$1:$X$542,6,FALSE)</f>
        <v>0</v>
      </c>
      <c r="BG206">
        <f>VLOOKUP($BA206,'[2]NonStandard DIS'!$Q$1:$X$542,7,FALSE)</f>
        <v>0</v>
      </c>
      <c r="BH206">
        <f>VLOOKUP($BA206,'[2]NonStandard DIS'!$Q$1:$X$542,8,FALSE)</f>
        <v>0</v>
      </c>
      <c r="BI206" s="77">
        <f t="shared" si="518"/>
        <v>1</v>
      </c>
      <c r="BJ206" s="77">
        <f t="shared" si="519"/>
        <v>6.9728499999999985E-2</v>
      </c>
      <c r="BK206" s="77">
        <f t="shared" si="500"/>
        <v>5.632878498097682E-3</v>
      </c>
      <c r="BL206" s="79">
        <v>0</v>
      </c>
      <c r="BM206" s="77">
        <f t="shared" si="531"/>
        <v>0</v>
      </c>
      <c r="BN206" s="77">
        <f t="shared" si="532"/>
        <v>0</v>
      </c>
      <c r="BO206" s="77">
        <f t="shared" si="533"/>
        <v>5.6775999999999997E-3</v>
      </c>
      <c r="BP206" s="77">
        <f t="shared" si="534"/>
        <v>4.7190657760731725E-4</v>
      </c>
    </row>
    <row r="207" spans="1:68">
      <c r="A207" t="s">
        <v>175</v>
      </c>
      <c r="B207" t="s">
        <v>176</v>
      </c>
      <c r="C207" s="197" t="str">
        <f t="shared" si="412"/>
        <v>Lifecycle_Balanced_338</v>
      </c>
      <c r="D207">
        <v>338</v>
      </c>
      <c r="E207">
        <f>VLOOKUP($D207,'[2]LC Balanced'!$Q$2:$U$542,2,FALSE)</f>
        <v>0</v>
      </c>
      <c r="F207">
        <f>VLOOKUP($D207,'[2]LC Balanced'!$Q$2:$U$542,3,FALSE)</f>
        <v>0.14899999999999999</v>
      </c>
      <c r="G207">
        <f>VLOOKUP($D207,'[2]LC Balanced'!$Q$2:$U$542,4,FALSE)</f>
        <v>0.85099999999999998</v>
      </c>
      <c r="H207">
        <f>VLOOKUP($D207,'[2]LC Balanced'!$Q$2:$U$542,5,FALSE)</f>
        <v>0</v>
      </c>
      <c r="I207" s="77">
        <f t="shared" si="513"/>
        <v>1</v>
      </c>
      <c r="J207" s="77">
        <f t="shared" si="514"/>
        <v>6.1987699999999986E-2</v>
      </c>
      <c r="K207" s="77">
        <f t="shared" si="504"/>
        <v>5.024442123284345E-3</v>
      </c>
      <c r="L207" s="76">
        <v>0</v>
      </c>
      <c r="M207" s="77">
        <f t="shared" si="520"/>
        <v>0</v>
      </c>
      <c r="N207" s="77">
        <f t="shared" si="521"/>
        <v>0</v>
      </c>
      <c r="O207" s="77">
        <f t="shared" si="522"/>
        <v>7.0062999999999992E-3</v>
      </c>
      <c r="P207" s="77">
        <f t="shared" si="523"/>
        <v>5.85741666996209E-4</v>
      </c>
      <c r="R207" t="s">
        <v>177</v>
      </c>
      <c r="S207" t="s">
        <v>176</v>
      </c>
      <c r="T207" s="197" t="str">
        <f t="shared" si="455"/>
        <v>Autopilot_Balanced_338</v>
      </c>
      <c r="U207">
        <v>338</v>
      </c>
      <c r="V207">
        <f>VLOOKUP($U207,'[2]AP Balanced'!$Q$1:$T$542,2,FALSE)</f>
        <v>0.77777777777777779</v>
      </c>
      <c r="W207">
        <f>VLOOKUP($U207,'[2]AP Balanced'!$Q$1:$T$542,3,FALSE)</f>
        <v>0.22222222222222221</v>
      </c>
      <c r="X207">
        <f>VLOOKUP($U207,'[2]AP Balanced'!$Q$1:$T$542,4,FALSE)</f>
        <v>0</v>
      </c>
      <c r="Y207" s="77">
        <f t="shared" si="413"/>
        <v>1</v>
      </c>
      <c r="Z207" s="77">
        <f t="shared" si="402"/>
        <v>6.1674999999999987E-2</v>
      </c>
      <c r="AA207" s="77">
        <f t="shared" si="403"/>
        <v>4.9997781870025904E-3</v>
      </c>
      <c r="AB207" s="79">
        <v>1</v>
      </c>
      <c r="AC207" s="77">
        <f t="shared" si="524"/>
        <v>8.0555555555555554E-3</v>
      </c>
      <c r="AD207" s="77">
        <f t="shared" si="515"/>
        <v>6.7378764057135498E-4</v>
      </c>
      <c r="AE207" s="77">
        <f t="shared" si="525"/>
        <v>2.5000000000000001E-3</v>
      </c>
      <c r="AF207" s="77">
        <f t="shared" si="515"/>
        <v>2.0857243058891584E-4</v>
      </c>
      <c r="AH207" t="s">
        <v>175</v>
      </c>
      <c r="AI207" t="s">
        <v>176</v>
      </c>
      <c r="AJ207" s="197" t="str">
        <f t="shared" si="414"/>
        <v>Lifecycle_Balanced_338</v>
      </c>
      <c r="AK207">
        <v>338</v>
      </c>
      <c r="AL207">
        <f>VLOOKUP($U207,[2]Standard_Balanced!$Q$1:$T$542,2,FALSE)</f>
        <v>0.77777777777777779</v>
      </c>
      <c r="AM207">
        <f>VLOOKUP($U207,[2]Standard_Balanced!$Q$1:$T$542,3,FALSE)</f>
        <v>0.22222222222222221</v>
      </c>
      <c r="AN207">
        <f>VLOOKUP($U207,[2]Standard_Balanced!$Q$1:$T$542,4,FALSE)</f>
        <v>0</v>
      </c>
      <c r="AO207" s="77">
        <f t="shared" si="501"/>
        <v>1</v>
      </c>
      <c r="AP207" s="77">
        <f t="shared" si="526"/>
        <v>6.1674999999999987E-2</v>
      </c>
      <c r="AQ207" s="77">
        <f t="shared" si="415"/>
        <v>4.9997781870025904E-3</v>
      </c>
      <c r="AR207" s="79">
        <v>0</v>
      </c>
      <c r="AS207" s="77">
        <f t="shared" si="527"/>
        <v>0</v>
      </c>
      <c r="AT207" s="77">
        <f t="shared" ref="AT207" si="551">1-(1-AS207)^(1/12)</f>
        <v>0</v>
      </c>
      <c r="AU207" s="77">
        <f t="shared" si="529"/>
        <v>2.5000000000000001E-3</v>
      </c>
      <c r="AV207" s="77">
        <f t="shared" ref="AV207" si="552">1-(1-AU207)^(1/12)</f>
        <v>2.0857243058891584E-4</v>
      </c>
      <c r="AX207" t="s">
        <v>178</v>
      </c>
      <c r="AY207" t="s">
        <v>160</v>
      </c>
      <c r="AZ207" s="197" t="str">
        <f t="shared" si="418"/>
        <v>DIS_Non-Standard_338</v>
      </c>
      <c r="BA207">
        <v>338</v>
      </c>
      <c r="BB207">
        <f>VLOOKUP($BA207,'[2]NonStandard DIS'!$Q$1:$X$542,2,FALSE)</f>
        <v>0</v>
      </c>
      <c r="BC207">
        <f>VLOOKUP($BA207,'[2]NonStandard DIS'!$Q$1:$X$542,3,FALSE)</f>
        <v>0</v>
      </c>
      <c r="BD207">
        <f>VLOOKUP($BA207,'[2]NonStandard DIS'!$Q$1:$X$542,4,FALSE)</f>
        <v>0.308</v>
      </c>
      <c r="BE207">
        <f>VLOOKUP($BA207,'[2]NonStandard DIS'!$Q$1:$X$542,5,FALSE)</f>
        <v>0.69199999999999995</v>
      </c>
      <c r="BF207">
        <f>VLOOKUP($BA207,'[2]NonStandard DIS'!$Q$1:$X$542,6,FALSE)</f>
        <v>0</v>
      </c>
      <c r="BG207">
        <f>VLOOKUP($BA207,'[2]NonStandard DIS'!$Q$1:$X$542,7,FALSE)</f>
        <v>0</v>
      </c>
      <c r="BH207">
        <f>VLOOKUP($BA207,'[2]NonStandard DIS'!$Q$1:$X$542,8,FALSE)</f>
        <v>0</v>
      </c>
      <c r="BI207" s="77">
        <f t="shared" si="518"/>
        <v>1</v>
      </c>
      <c r="BJ207" s="77">
        <f t="shared" si="519"/>
        <v>6.9728499999999985E-2</v>
      </c>
      <c r="BK207" s="77">
        <f t="shared" si="500"/>
        <v>5.632878498097682E-3</v>
      </c>
      <c r="BL207" s="79">
        <v>0</v>
      </c>
      <c r="BM207" s="77">
        <f t="shared" si="531"/>
        <v>0</v>
      </c>
      <c r="BN207" s="77">
        <f t="shared" si="532"/>
        <v>0</v>
      </c>
      <c r="BO207" s="77">
        <f t="shared" si="533"/>
        <v>5.6775999999999997E-3</v>
      </c>
      <c r="BP207" s="77">
        <f t="shared" si="534"/>
        <v>4.7190657760731725E-4</v>
      </c>
    </row>
    <row r="208" spans="1:68">
      <c r="A208" t="s">
        <v>175</v>
      </c>
      <c r="B208" t="s">
        <v>176</v>
      </c>
      <c r="C208" s="197" t="str">
        <f t="shared" si="412"/>
        <v>Lifecycle_Balanced_337</v>
      </c>
      <c r="D208">
        <v>337</v>
      </c>
      <c r="E208">
        <f>VLOOKUP($D208,'[2]LC Balanced'!$Q$2:$U$542,2,FALSE)</f>
        <v>0</v>
      </c>
      <c r="F208">
        <f>VLOOKUP($D208,'[2]LC Balanced'!$Q$2:$U$542,3,FALSE)</f>
        <v>0.14899999999999999</v>
      </c>
      <c r="G208">
        <f>VLOOKUP($D208,'[2]LC Balanced'!$Q$2:$U$542,4,FALSE)</f>
        <v>0.85099999999999998</v>
      </c>
      <c r="H208">
        <f>VLOOKUP($D208,'[2]LC Balanced'!$Q$2:$U$542,5,FALSE)</f>
        <v>0</v>
      </c>
      <c r="I208" s="77">
        <f t="shared" si="513"/>
        <v>1</v>
      </c>
      <c r="J208" s="77">
        <f t="shared" si="514"/>
        <v>6.1987699999999986E-2</v>
      </c>
      <c r="K208" s="77">
        <f t="shared" si="504"/>
        <v>5.024442123284345E-3</v>
      </c>
      <c r="L208" s="76">
        <v>0</v>
      </c>
      <c r="M208" s="77">
        <f t="shared" si="520"/>
        <v>0</v>
      </c>
      <c r="N208" s="77">
        <f t="shared" si="521"/>
        <v>0</v>
      </c>
      <c r="O208" s="77">
        <f t="shared" si="522"/>
        <v>7.0062999999999992E-3</v>
      </c>
      <c r="P208" s="77">
        <f t="shared" si="523"/>
        <v>5.85741666996209E-4</v>
      </c>
      <c r="R208" t="s">
        <v>177</v>
      </c>
      <c r="S208" t="s">
        <v>176</v>
      </c>
      <c r="T208" s="197" t="str">
        <f t="shared" si="455"/>
        <v>Autopilot_Balanced_337</v>
      </c>
      <c r="U208">
        <v>337</v>
      </c>
      <c r="V208">
        <f>VLOOKUP($U208,'[2]AP Balanced'!$Q$1:$T$542,2,FALSE)</f>
        <v>0.77777777777777779</v>
      </c>
      <c r="W208">
        <f>VLOOKUP($U208,'[2]AP Balanced'!$Q$1:$T$542,3,FALSE)</f>
        <v>0.22222222222222221</v>
      </c>
      <c r="X208">
        <f>VLOOKUP($U208,'[2]AP Balanced'!$Q$1:$T$542,4,FALSE)</f>
        <v>0</v>
      </c>
      <c r="Y208" s="77">
        <f t="shared" si="413"/>
        <v>1</v>
      </c>
      <c r="Z208" s="77">
        <f t="shared" si="402"/>
        <v>6.1674999999999987E-2</v>
      </c>
      <c r="AA208" s="77">
        <f t="shared" si="403"/>
        <v>4.9997781870025904E-3</v>
      </c>
      <c r="AB208" s="79">
        <v>1</v>
      </c>
      <c r="AC208" s="77">
        <f t="shared" si="524"/>
        <v>8.0555555555555554E-3</v>
      </c>
      <c r="AD208" s="77">
        <f t="shared" si="515"/>
        <v>6.7378764057135498E-4</v>
      </c>
      <c r="AE208" s="77">
        <f t="shared" si="525"/>
        <v>2.5000000000000001E-3</v>
      </c>
      <c r="AF208" s="77">
        <f t="shared" si="515"/>
        <v>2.0857243058891584E-4</v>
      </c>
      <c r="AH208" t="s">
        <v>175</v>
      </c>
      <c r="AI208" t="s">
        <v>176</v>
      </c>
      <c r="AJ208" s="197" t="str">
        <f t="shared" si="414"/>
        <v>Lifecycle_Balanced_337</v>
      </c>
      <c r="AK208">
        <v>337</v>
      </c>
      <c r="AL208">
        <f>VLOOKUP($U208,[2]Standard_Balanced!$Q$1:$T$542,2,FALSE)</f>
        <v>0.77777777777777779</v>
      </c>
      <c r="AM208">
        <f>VLOOKUP($U208,[2]Standard_Balanced!$Q$1:$T$542,3,FALSE)</f>
        <v>0.22222222222222221</v>
      </c>
      <c r="AN208">
        <f>VLOOKUP($U208,[2]Standard_Balanced!$Q$1:$T$542,4,FALSE)</f>
        <v>0</v>
      </c>
      <c r="AO208" s="77">
        <f t="shared" si="501"/>
        <v>1</v>
      </c>
      <c r="AP208" s="77">
        <f t="shared" si="526"/>
        <v>6.1674999999999987E-2</v>
      </c>
      <c r="AQ208" s="77">
        <f t="shared" si="415"/>
        <v>4.9997781870025904E-3</v>
      </c>
      <c r="AR208" s="79">
        <v>0</v>
      </c>
      <c r="AS208" s="77">
        <f t="shared" si="527"/>
        <v>0</v>
      </c>
      <c r="AT208" s="77">
        <f t="shared" ref="AT208" si="553">1-(1-AS208)^(1/12)</f>
        <v>0</v>
      </c>
      <c r="AU208" s="77">
        <f t="shared" si="529"/>
        <v>2.5000000000000001E-3</v>
      </c>
      <c r="AV208" s="77">
        <f t="shared" ref="AV208" si="554">1-(1-AU208)^(1/12)</f>
        <v>2.0857243058891584E-4</v>
      </c>
      <c r="AX208" t="s">
        <v>178</v>
      </c>
      <c r="AY208" t="s">
        <v>160</v>
      </c>
      <c r="AZ208" s="197" t="str">
        <f t="shared" si="418"/>
        <v>DIS_Non-Standard_337</v>
      </c>
      <c r="BA208">
        <v>337</v>
      </c>
      <c r="BB208">
        <f>VLOOKUP($BA208,'[2]NonStandard DIS'!$Q$1:$X$542,2,FALSE)</f>
        <v>0</v>
      </c>
      <c r="BC208">
        <f>VLOOKUP($BA208,'[2]NonStandard DIS'!$Q$1:$X$542,3,FALSE)</f>
        <v>0</v>
      </c>
      <c r="BD208">
        <f>VLOOKUP($BA208,'[2]NonStandard DIS'!$Q$1:$X$542,4,FALSE)</f>
        <v>0.308</v>
      </c>
      <c r="BE208">
        <f>VLOOKUP($BA208,'[2]NonStandard DIS'!$Q$1:$X$542,5,FALSE)</f>
        <v>0.69199999999999995</v>
      </c>
      <c r="BF208">
        <f>VLOOKUP($BA208,'[2]NonStandard DIS'!$Q$1:$X$542,6,FALSE)</f>
        <v>0</v>
      </c>
      <c r="BG208">
        <f>VLOOKUP($BA208,'[2]NonStandard DIS'!$Q$1:$X$542,7,FALSE)</f>
        <v>0</v>
      </c>
      <c r="BH208">
        <f>VLOOKUP($BA208,'[2]NonStandard DIS'!$Q$1:$X$542,8,FALSE)</f>
        <v>0</v>
      </c>
      <c r="BI208" s="77">
        <f t="shared" si="518"/>
        <v>1</v>
      </c>
      <c r="BJ208" s="77">
        <f t="shared" si="519"/>
        <v>6.9728499999999985E-2</v>
      </c>
      <c r="BK208" s="77">
        <f t="shared" si="500"/>
        <v>5.632878498097682E-3</v>
      </c>
      <c r="BL208" s="79">
        <v>0</v>
      </c>
      <c r="BM208" s="77">
        <f t="shared" si="531"/>
        <v>0</v>
      </c>
      <c r="BN208" s="77">
        <f t="shared" si="532"/>
        <v>0</v>
      </c>
      <c r="BO208" s="77">
        <f t="shared" si="533"/>
        <v>5.6775999999999997E-3</v>
      </c>
      <c r="BP208" s="77">
        <f t="shared" si="534"/>
        <v>4.7190657760731725E-4</v>
      </c>
    </row>
    <row r="209" spans="1:68">
      <c r="A209" t="s">
        <v>175</v>
      </c>
      <c r="B209" t="s">
        <v>176</v>
      </c>
      <c r="C209" s="197" t="str">
        <f t="shared" si="412"/>
        <v>Lifecycle_Balanced_336</v>
      </c>
      <c r="D209">
        <v>336</v>
      </c>
      <c r="E209">
        <f>VLOOKUP($D209,'[2]LC Balanced'!$Q$2:$U$542,2,FALSE)</f>
        <v>0</v>
      </c>
      <c r="F209">
        <f>VLOOKUP($D209,'[2]LC Balanced'!$Q$2:$U$542,3,FALSE)</f>
        <v>0.14899999999999999</v>
      </c>
      <c r="G209">
        <f>VLOOKUP($D209,'[2]LC Balanced'!$Q$2:$U$542,4,FALSE)</f>
        <v>0.85099999999999998</v>
      </c>
      <c r="H209">
        <f>VLOOKUP($D209,'[2]LC Balanced'!$Q$2:$U$542,5,FALSE)</f>
        <v>0</v>
      </c>
      <c r="I209" s="77">
        <f t="shared" si="513"/>
        <v>1</v>
      </c>
      <c r="J209" s="77">
        <f t="shared" si="514"/>
        <v>6.1987699999999986E-2</v>
      </c>
      <c r="K209" s="77">
        <f t="shared" si="504"/>
        <v>5.024442123284345E-3</v>
      </c>
      <c r="L209" s="76">
        <v>0</v>
      </c>
      <c r="M209" s="77">
        <f t="shared" si="520"/>
        <v>0</v>
      </c>
      <c r="N209" s="77">
        <f t="shared" si="521"/>
        <v>0</v>
      </c>
      <c r="O209" s="77">
        <f t="shared" si="522"/>
        <v>7.0062999999999992E-3</v>
      </c>
      <c r="P209" s="77">
        <f t="shared" si="523"/>
        <v>5.85741666996209E-4</v>
      </c>
      <c r="R209" t="s">
        <v>177</v>
      </c>
      <c r="S209" t="s">
        <v>176</v>
      </c>
      <c r="T209" s="197" t="str">
        <f t="shared" si="455"/>
        <v>Autopilot_Balanced_336</v>
      </c>
      <c r="U209">
        <v>336</v>
      </c>
      <c r="V209">
        <f>VLOOKUP($U209,'[2]AP Balanced'!$Q$1:$T$542,2,FALSE)</f>
        <v>0.77777777777777779</v>
      </c>
      <c r="W209">
        <f>VLOOKUP($U209,'[2]AP Balanced'!$Q$1:$T$542,3,FALSE)</f>
        <v>0.22222222222222221</v>
      </c>
      <c r="X209">
        <f>VLOOKUP($U209,'[2]AP Balanced'!$Q$1:$T$542,4,FALSE)</f>
        <v>0</v>
      </c>
      <c r="Y209" s="77">
        <f t="shared" si="413"/>
        <v>1</v>
      </c>
      <c r="Z209" s="77">
        <f t="shared" si="402"/>
        <v>6.1674999999999987E-2</v>
      </c>
      <c r="AA209" s="77">
        <f t="shared" si="403"/>
        <v>4.9997781870025904E-3</v>
      </c>
      <c r="AB209" s="79">
        <v>1</v>
      </c>
      <c r="AC209" s="77">
        <f t="shared" si="524"/>
        <v>8.0555555555555554E-3</v>
      </c>
      <c r="AD209" s="77">
        <f t="shared" si="515"/>
        <v>6.7378764057135498E-4</v>
      </c>
      <c r="AE209" s="77">
        <f t="shared" si="525"/>
        <v>2.5000000000000001E-3</v>
      </c>
      <c r="AF209" s="77">
        <f t="shared" si="515"/>
        <v>2.0857243058891584E-4</v>
      </c>
      <c r="AH209" t="s">
        <v>175</v>
      </c>
      <c r="AI209" t="s">
        <v>176</v>
      </c>
      <c r="AJ209" s="197" t="str">
        <f t="shared" si="414"/>
        <v>Lifecycle_Balanced_336</v>
      </c>
      <c r="AK209">
        <v>336</v>
      </c>
      <c r="AL209">
        <f>VLOOKUP($U209,[2]Standard_Balanced!$Q$1:$T$542,2,FALSE)</f>
        <v>0.77777777777777779</v>
      </c>
      <c r="AM209">
        <f>VLOOKUP($U209,[2]Standard_Balanced!$Q$1:$T$542,3,FALSE)</f>
        <v>0.22222222222222221</v>
      </c>
      <c r="AN209">
        <f>VLOOKUP($U209,[2]Standard_Balanced!$Q$1:$T$542,4,FALSE)</f>
        <v>0</v>
      </c>
      <c r="AO209" s="77">
        <f t="shared" si="501"/>
        <v>1</v>
      </c>
      <c r="AP209" s="77">
        <f t="shared" si="526"/>
        <v>6.1674999999999987E-2</v>
      </c>
      <c r="AQ209" s="77">
        <f t="shared" si="415"/>
        <v>4.9997781870025904E-3</v>
      </c>
      <c r="AR209" s="79">
        <v>0</v>
      </c>
      <c r="AS209" s="77">
        <f t="shared" si="527"/>
        <v>0</v>
      </c>
      <c r="AT209" s="77">
        <f t="shared" ref="AT209" si="555">1-(1-AS209)^(1/12)</f>
        <v>0</v>
      </c>
      <c r="AU209" s="77">
        <f t="shared" si="529"/>
        <v>2.5000000000000001E-3</v>
      </c>
      <c r="AV209" s="77">
        <f t="shared" ref="AV209" si="556">1-(1-AU209)^(1/12)</f>
        <v>2.0857243058891584E-4</v>
      </c>
      <c r="AX209" t="s">
        <v>178</v>
      </c>
      <c r="AY209" t="s">
        <v>160</v>
      </c>
      <c r="AZ209" s="197" t="str">
        <f t="shared" si="418"/>
        <v>DIS_Non-Standard_336</v>
      </c>
      <c r="BA209">
        <v>336</v>
      </c>
      <c r="BB209">
        <f>VLOOKUP($BA209,'[2]NonStandard DIS'!$Q$1:$X$542,2,FALSE)</f>
        <v>0</v>
      </c>
      <c r="BC209">
        <f>VLOOKUP($BA209,'[2]NonStandard DIS'!$Q$1:$X$542,3,FALSE)</f>
        <v>0</v>
      </c>
      <c r="BD209">
        <f>VLOOKUP($BA209,'[2]NonStandard DIS'!$Q$1:$X$542,4,FALSE)</f>
        <v>0.308</v>
      </c>
      <c r="BE209">
        <f>VLOOKUP($BA209,'[2]NonStandard DIS'!$Q$1:$X$542,5,FALSE)</f>
        <v>0.69199999999999995</v>
      </c>
      <c r="BF209">
        <f>VLOOKUP($BA209,'[2]NonStandard DIS'!$Q$1:$X$542,6,FALSE)</f>
        <v>0</v>
      </c>
      <c r="BG209">
        <f>VLOOKUP($BA209,'[2]NonStandard DIS'!$Q$1:$X$542,7,FALSE)</f>
        <v>0</v>
      </c>
      <c r="BH209">
        <f>VLOOKUP($BA209,'[2]NonStandard DIS'!$Q$1:$X$542,8,FALSE)</f>
        <v>0</v>
      </c>
      <c r="BI209" s="77">
        <f t="shared" si="518"/>
        <v>1</v>
      </c>
      <c r="BJ209" s="77">
        <f t="shared" si="519"/>
        <v>6.9728499999999985E-2</v>
      </c>
      <c r="BK209" s="77">
        <f t="shared" si="500"/>
        <v>5.632878498097682E-3</v>
      </c>
      <c r="BL209" s="79">
        <v>0</v>
      </c>
      <c r="BM209" s="77">
        <f t="shared" si="531"/>
        <v>0</v>
      </c>
      <c r="BN209" s="77">
        <f t="shared" si="532"/>
        <v>0</v>
      </c>
      <c r="BO209" s="77">
        <f t="shared" si="533"/>
        <v>5.6775999999999997E-3</v>
      </c>
      <c r="BP209" s="77">
        <f t="shared" si="534"/>
        <v>4.7190657760731725E-4</v>
      </c>
    </row>
    <row r="210" spans="1:68">
      <c r="A210" t="s">
        <v>175</v>
      </c>
      <c r="B210" t="s">
        <v>176</v>
      </c>
      <c r="C210" s="197" t="str">
        <f t="shared" si="412"/>
        <v>Lifecycle_Balanced_335</v>
      </c>
      <c r="D210">
        <v>335</v>
      </c>
      <c r="E210">
        <f>VLOOKUP($D210,'[2]LC Balanced'!$Q$2:$U$542,2,FALSE)</f>
        <v>0</v>
      </c>
      <c r="F210">
        <f>VLOOKUP($D210,'[2]LC Balanced'!$Q$2:$U$542,3,FALSE)</f>
        <v>0.14899999999999999</v>
      </c>
      <c r="G210">
        <f>VLOOKUP($D210,'[2]LC Balanced'!$Q$2:$U$542,4,FALSE)</f>
        <v>0.85099999999999998</v>
      </c>
      <c r="H210">
        <f>VLOOKUP($D210,'[2]LC Balanced'!$Q$2:$U$542,5,FALSE)</f>
        <v>0</v>
      </c>
      <c r="I210" s="77">
        <f t="shared" si="513"/>
        <v>1</v>
      </c>
      <c r="J210" s="77">
        <f t="shared" si="514"/>
        <v>6.1987699999999986E-2</v>
      </c>
      <c r="K210" s="77">
        <f t="shared" si="504"/>
        <v>5.024442123284345E-3</v>
      </c>
      <c r="L210" s="76">
        <v>0</v>
      </c>
      <c r="M210" s="77">
        <f t="shared" si="520"/>
        <v>0</v>
      </c>
      <c r="N210" s="77">
        <f t="shared" si="521"/>
        <v>0</v>
      </c>
      <c r="O210" s="77">
        <f t="shared" si="522"/>
        <v>7.0062999999999992E-3</v>
      </c>
      <c r="P210" s="77">
        <f t="shared" si="523"/>
        <v>5.85741666996209E-4</v>
      </c>
      <c r="R210" t="s">
        <v>177</v>
      </c>
      <c r="S210" t="s">
        <v>176</v>
      </c>
      <c r="T210" s="197" t="str">
        <f t="shared" si="455"/>
        <v>Autopilot_Balanced_335</v>
      </c>
      <c r="U210">
        <v>335</v>
      </c>
      <c r="V210">
        <f>VLOOKUP($U210,'[2]AP Balanced'!$Q$1:$T$542,2,FALSE)</f>
        <v>0.77777777777777779</v>
      </c>
      <c r="W210">
        <f>VLOOKUP($U210,'[2]AP Balanced'!$Q$1:$T$542,3,FALSE)</f>
        <v>0.22222222222222221</v>
      </c>
      <c r="X210">
        <f>VLOOKUP($U210,'[2]AP Balanced'!$Q$1:$T$542,4,FALSE)</f>
        <v>0</v>
      </c>
      <c r="Y210" s="77">
        <f t="shared" si="413"/>
        <v>1</v>
      </c>
      <c r="Z210" s="77">
        <f t="shared" si="402"/>
        <v>6.1674999999999987E-2</v>
      </c>
      <c r="AA210" s="77">
        <f t="shared" si="403"/>
        <v>4.9997781870025904E-3</v>
      </c>
      <c r="AB210" s="79">
        <v>1</v>
      </c>
      <c r="AC210" s="77">
        <f t="shared" si="524"/>
        <v>8.0555555555555554E-3</v>
      </c>
      <c r="AD210" s="77">
        <f t="shared" si="515"/>
        <v>6.7378764057135498E-4</v>
      </c>
      <c r="AE210" s="77">
        <f t="shared" si="525"/>
        <v>2.5000000000000001E-3</v>
      </c>
      <c r="AF210" s="77">
        <f t="shared" si="515"/>
        <v>2.0857243058891584E-4</v>
      </c>
      <c r="AH210" t="s">
        <v>175</v>
      </c>
      <c r="AI210" t="s">
        <v>176</v>
      </c>
      <c r="AJ210" s="197" t="str">
        <f t="shared" si="414"/>
        <v>Lifecycle_Balanced_335</v>
      </c>
      <c r="AK210">
        <v>335</v>
      </c>
      <c r="AL210">
        <f>VLOOKUP($U210,[2]Standard_Balanced!$Q$1:$T$542,2,FALSE)</f>
        <v>0.77777777777777779</v>
      </c>
      <c r="AM210">
        <f>VLOOKUP($U210,[2]Standard_Balanced!$Q$1:$T$542,3,FALSE)</f>
        <v>0.22222222222222221</v>
      </c>
      <c r="AN210">
        <f>VLOOKUP($U210,[2]Standard_Balanced!$Q$1:$T$542,4,FALSE)</f>
        <v>0</v>
      </c>
      <c r="AO210" s="77">
        <f t="shared" si="501"/>
        <v>1</v>
      </c>
      <c r="AP210" s="77">
        <f t="shared" si="526"/>
        <v>6.1674999999999987E-2</v>
      </c>
      <c r="AQ210" s="77">
        <f t="shared" si="415"/>
        <v>4.9997781870025904E-3</v>
      </c>
      <c r="AR210" s="79">
        <v>0</v>
      </c>
      <c r="AS210" s="77">
        <f t="shared" si="527"/>
        <v>0</v>
      </c>
      <c r="AT210" s="77">
        <f t="shared" ref="AT210" si="557">1-(1-AS210)^(1/12)</f>
        <v>0</v>
      </c>
      <c r="AU210" s="77">
        <f t="shared" si="529"/>
        <v>2.5000000000000001E-3</v>
      </c>
      <c r="AV210" s="77">
        <f t="shared" ref="AV210" si="558">1-(1-AU210)^(1/12)</f>
        <v>2.0857243058891584E-4</v>
      </c>
      <c r="AX210" t="s">
        <v>178</v>
      </c>
      <c r="AY210" t="s">
        <v>160</v>
      </c>
      <c r="AZ210" s="197" t="str">
        <f t="shared" si="418"/>
        <v>DIS_Non-Standard_335</v>
      </c>
      <c r="BA210">
        <v>335</v>
      </c>
      <c r="BB210">
        <f>VLOOKUP($BA210,'[2]NonStandard DIS'!$Q$1:$X$542,2,FALSE)</f>
        <v>0</v>
      </c>
      <c r="BC210">
        <f>VLOOKUP($BA210,'[2]NonStandard DIS'!$Q$1:$X$542,3,FALSE)</f>
        <v>0</v>
      </c>
      <c r="BD210">
        <f>VLOOKUP($BA210,'[2]NonStandard DIS'!$Q$1:$X$542,4,FALSE)</f>
        <v>0.308</v>
      </c>
      <c r="BE210">
        <f>VLOOKUP($BA210,'[2]NonStandard DIS'!$Q$1:$X$542,5,FALSE)</f>
        <v>0.69199999999999995</v>
      </c>
      <c r="BF210">
        <f>VLOOKUP($BA210,'[2]NonStandard DIS'!$Q$1:$X$542,6,FALSE)</f>
        <v>0</v>
      </c>
      <c r="BG210">
        <f>VLOOKUP($BA210,'[2]NonStandard DIS'!$Q$1:$X$542,7,FALSE)</f>
        <v>0</v>
      </c>
      <c r="BH210">
        <f>VLOOKUP($BA210,'[2]NonStandard DIS'!$Q$1:$X$542,8,FALSE)</f>
        <v>0</v>
      </c>
      <c r="BI210" s="77">
        <f t="shared" si="518"/>
        <v>1</v>
      </c>
      <c r="BJ210" s="77">
        <f t="shared" si="519"/>
        <v>6.9728499999999985E-2</v>
      </c>
      <c r="BK210" s="77">
        <f t="shared" si="500"/>
        <v>5.632878498097682E-3</v>
      </c>
      <c r="BL210" s="79">
        <v>0</v>
      </c>
      <c r="BM210" s="77">
        <f t="shared" si="531"/>
        <v>0</v>
      </c>
      <c r="BN210" s="77">
        <f t="shared" si="532"/>
        <v>0</v>
      </c>
      <c r="BO210" s="77">
        <f t="shared" si="533"/>
        <v>5.6775999999999997E-3</v>
      </c>
      <c r="BP210" s="77">
        <f t="shared" si="534"/>
        <v>4.7190657760731725E-4</v>
      </c>
    </row>
    <row r="211" spans="1:68">
      <c r="A211" t="s">
        <v>175</v>
      </c>
      <c r="B211" t="s">
        <v>176</v>
      </c>
      <c r="C211" s="197" t="str">
        <f t="shared" si="412"/>
        <v>Lifecycle_Balanced_334</v>
      </c>
      <c r="D211">
        <v>334</v>
      </c>
      <c r="E211">
        <f>VLOOKUP($D211,'[2]LC Balanced'!$Q$2:$U$542,2,FALSE)</f>
        <v>0</v>
      </c>
      <c r="F211">
        <f>VLOOKUP($D211,'[2]LC Balanced'!$Q$2:$U$542,3,FALSE)</f>
        <v>0.14899999999999999</v>
      </c>
      <c r="G211">
        <f>VLOOKUP($D211,'[2]LC Balanced'!$Q$2:$U$542,4,FALSE)</f>
        <v>0.85099999999999998</v>
      </c>
      <c r="H211">
        <f>VLOOKUP($D211,'[2]LC Balanced'!$Q$2:$U$542,5,FALSE)</f>
        <v>0</v>
      </c>
      <c r="I211" s="77">
        <f t="shared" si="513"/>
        <v>1</v>
      </c>
      <c r="J211" s="77">
        <f t="shared" si="514"/>
        <v>6.1987699999999986E-2</v>
      </c>
      <c r="K211" s="77">
        <f t="shared" si="504"/>
        <v>5.024442123284345E-3</v>
      </c>
      <c r="L211" s="76">
        <v>0</v>
      </c>
      <c r="M211" s="77">
        <f t="shared" si="520"/>
        <v>0</v>
      </c>
      <c r="N211" s="77">
        <f t="shared" si="521"/>
        <v>0</v>
      </c>
      <c r="O211" s="77">
        <f t="shared" si="522"/>
        <v>7.0062999999999992E-3</v>
      </c>
      <c r="P211" s="77">
        <f t="shared" si="523"/>
        <v>5.85741666996209E-4</v>
      </c>
      <c r="R211" t="s">
        <v>177</v>
      </c>
      <c r="S211" t="s">
        <v>176</v>
      </c>
      <c r="T211" s="197" t="str">
        <f t="shared" si="455"/>
        <v>Autopilot_Balanced_334</v>
      </c>
      <c r="U211">
        <v>334</v>
      </c>
      <c r="V211">
        <f>VLOOKUP($U211,'[2]AP Balanced'!$Q$1:$T$542,2,FALSE)</f>
        <v>0.77777777777777779</v>
      </c>
      <c r="W211">
        <f>VLOOKUP($U211,'[2]AP Balanced'!$Q$1:$T$542,3,FALSE)</f>
        <v>0.22222222222222221</v>
      </c>
      <c r="X211">
        <f>VLOOKUP($U211,'[2]AP Balanced'!$Q$1:$T$542,4,FALSE)</f>
        <v>0</v>
      </c>
      <c r="Y211" s="77">
        <f t="shared" si="413"/>
        <v>1</v>
      </c>
      <c r="Z211" s="77">
        <f t="shared" ref="Z211:Z274" si="559">SUMPRODUCT($V$1:$X$1,V211:X211)</f>
        <v>6.1674999999999987E-2</v>
      </c>
      <c r="AA211" s="77">
        <f t="shared" ref="AA211:AA274" si="560">(1+Z211)^(1/12)-1</f>
        <v>4.9997781870025904E-3</v>
      </c>
      <c r="AB211" s="79">
        <v>1</v>
      </c>
      <c r="AC211" s="77">
        <f t="shared" si="524"/>
        <v>8.0555555555555554E-3</v>
      </c>
      <c r="AD211" s="77">
        <f t="shared" si="515"/>
        <v>6.7378764057135498E-4</v>
      </c>
      <c r="AE211" s="77">
        <f t="shared" si="525"/>
        <v>2.5000000000000001E-3</v>
      </c>
      <c r="AF211" s="77">
        <f t="shared" si="515"/>
        <v>2.0857243058891584E-4</v>
      </c>
      <c r="AH211" t="s">
        <v>175</v>
      </c>
      <c r="AI211" t="s">
        <v>176</v>
      </c>
      <c r="AJ211" s="197" t="str">
        <f t="shared" si="414"/>
        <v>Lifecycle_Balanced_334</v>
      </c>
      <c r="AK211">
        <v>334</v>
      </c>
      <c r="AL211">
        <f>VLOOKUP($U211,[2]Standard_Balanced!$Q$1:$T$542,2,FALSE)</f>
        <v>0.77777777777777779</v>
      </c>
      <c r="AM211">
        <f>VLOOKUP($U211,[2]Standard_Balanced!$Q$1:$T$542,3,FALSE)</f>
        <v>0.22222222222222221</v>
      </c>
      <c r="AN211">
        <f>VLOOKUP($U211,[2]Standard_Balanced!$Q$1:$T$542,4,FALSE)</f>
        <v>0</v>
      </c>
      <c r="AO211" s="77">
        <f t="shared" si="501"/>
        <v>1</v>
      </c>
      <c r="AP211" s="77">
        <f t="shared" si="526"/>
        <v>6.1674999999999987E-2</v>
      </c>
      <c r="AQ211" s="77">
        <f t="shared" si="415"/>
        <v>4.9997781870025904E-3</v>
      </c>
      <c r="AR211" s="79">
        <v>0</v>
      </c>
      <c r="AS211" s="77">
        <f t="shared" si="527"/>
        <v>0</v>
      </c>
      <c r="AT211" s="77">
        <f t="shared" ref="AT211" si="561">1-(1-AS211)^(1/12)</f>
        <v>0</v>
      </c>
      <c r="AU211" s="77">
        <f t="shared" si="529"/>
        <v>2.5000000000000001E-3</v>
      </c>
      <c r="AV211" s="77">
        <f t="shared" ref="AV211" si="562">1-(1-AU211)^(1/12)</f>
        <v>2.0857243058891584E-4</v>
      </c>
      <c r="AX211" t="s">
        <v>178</v>
      </c>
      <c r="AY211" t="s">
        <v>160</v>
      </c>
      <c r="AZ211" s="197" t="str">
        <f t="shared" si="418"/>
        <v>DIS_Non-Standard_334</v>
      </c>
      <c r="BA211">
        <v>334</v>
      </c>
      <c r="BB211">
        <f>VLOOKUP($BA211,'[2]NonStandard DIS'!$Q$1:$X$542,2,FALSE)</f>
        <v>0</v>
      </c>
      <c r="BC211">
        <f>VLOOKUP($BA211,'[2]NonStandard DIS'!$Q$1:$X$542,3,FALSE)</f>
        <v>0</v>
      </c>
      <c r="BD211">
        <f>VLOOKUP($BA211,'[2]NonStandard DIS'!$Q$1:$X$542,4,FALSE)</f>
        <v>0.308</v>
      </c>
      <c r="BE211">
        <f>VLOOKUP($BA211,'[2]NonStandard DIS'!$Q$1:$X$542,5,FALSE)</f>
        <v>0.69199999999999995</v>
      </c>
      <c r="BF211">
        <f>VLOOKUP($BA211,'[2]NonStandard DIS'!$Q$1:$X$542,6,FALSE)</f>
        <v>0</v>
      </c>
      <c r="BG211">
        <f>VLOOKUP($BA211,'[2]NonStandard DIS'!$Q$1:$X$542,7,FALSE)</f>
        <v>0</v>
      </c>
      <c r="BH211">
        <f>VLOOKUP($BA211,'[2]NonStandard DIS'!$Q$1:$X$542,8,FALSE)</f>
        <v>0</v>
      </c>
      <c r="BI211" s="77">
        <f t="shared" si="518"/>
        <v>1</v>
      </c>
      <c r="BJ211" s="77">
        <f t="shared" si="519"/>
        <v>6.9728499999999985E-2</v>
      </c>
      <c r="BK211" s="77">
        <f t="shared" si="500"/>
        <v>5.632878498097682E-3</v>
      </c>
      <c r="BL211" s="79">
        <v>0</v>
      </c>
      <c r="BM211" s="77">
        <f t="shared" si="531"/>
        <v>0</v>
      </c>
      <c r="BN211" s="77">
        <f t="shared" si="532"/>
        <v>0</v>
      </c>
      <c r="BO211" s="77">
        <f t="shared" si="533"/>
        <v>5.6775999999999997E-3</v>
      </c>
      <c r="BP211" s="77">
        <f t="shared" si="534"/>
        <v>4.7190657760731725E-4</v>
      </c>
    </row>
    <row r="212" spans="1:68">
      <c r="A212" t="s">
        <v>175</v>
      </c>
      <c r="B212" t="s">
        <v>176</v>
      </c>
      <c r="C212" s="197" t="str">
        <f t="shared" si="412"/>
        <v>Lifecycle_Balanced_333</v>
      </c>
      <c r="D212">
        <v>333</v>
      </c>
      <c r="E212">
        <f>VLOOKUP($D212,'[2]LC Balanced'!$Q$2:$U$542,2,FALSE)</f>
        <v>0</v>
      </c>
      <c r="F212">
        <f>VLOOKUP($D212,'[2]LC Balanced'!$Q$2:$U$542,3,FALSE)</f>
        <v>0.14899999999999999</v>
      </c>
      <c r="G212">
        <f>VLOOKUP($D212,'[2]LC Balanced'!$Q$2:$U$542,4,FALSE)</f>
        <v>0.85099999999999998</v>
      </c>
      <c r="H212">
        <f>VLOOKUP($D212,'[2]LC Balanced'!$Q$2:$U$542,5,FALSE)</f>
        <v>0</v>
      </c>
      <c r="I212" s="77">
        <f t="shared" si="513"/>
        <v>1</v>
      </c>
      <c r="J212" s="77">
        <f t="shared" si="514"/>
        <v>6.1987699999999986E-2</v>
      </c>
      <c r="K212" s="77">
        <f t="shared" si="504"/>
        <v>5.024442123284345E-3</v>
      </c>
      <c r="L212" s="76">
        <v>0</v>
      </c>
      <c r="M212" s="77">
        <f t="shared" si="520"/>
        <v>0</v>
      </c>
      <c r="N212" s="77">
        <f t="shared" si="521"/>
        <v>0</v>
      </c>
      <c r="O212" s="77">
        <f t="shared" si="522"/>
        <v>7.0062999999999992E-3</v>
      </c>
      <c r="P212" s="77">
        <f t="shared" si="523"/>
        <v>5.85741666996209E-4</v>
      </c>
      <c r="R212" t="s">
        <v>177</v>
      </c>
      <c r="S212" t="s">
        <v>176</v>
      </c>
      <c r="T212" s="197" t="str">
        <f t="shared" si="455"/>
        <v>Autopilot_Balanced_333</v>
      </c>
      <c r="U212">
        <v>333</v>
      </c>
      <c r="V212">
        <f>VLOOKUP($U212,'[2]AP Balanced'!$Q$1:$T$542,2,FALSE)</f>
        <v>0.77777777777777779</v>
      </c>
      <c r="W212">
        <f>VLOOKUP($U212,'[2]AP Balanced'!$Q$1:$T$542,3,FALSE)</f>
        <v>0.22222222222222221</v>
      </c>
      <c r="X212">
        <f>VLOOKUP($U212,'[2]AP Balanced'!$Q$1:$T$542,4,FALSE)</f>
        <v>0</v>
      </c>
      <c r="Y212" s="77">
        <f t="shared" si="413"/>
        <v>1</v>
      </c>
      <c r="Z212" s="77">
        <f t="shared" si="559"/>
        <v>6.1674999999999987E-2</v>
      </c>
      <c r="AA212" s="77">
        <f t="shared" si="560"/>
        <v>4.9997781870025904E-3</v>
      </c>
      <c r="AB212" s="79">
        <v>1</v>
      </c>
      <c r="AC212" s="77">
        <f t="shared" si="524"/>
        <v>8.0555555555555554E-3</v>
      </c>
      <c r="AD212" s="77">
        <f t="shared" si="515"/>
        <v>6.7378764057135498E-4</v>
      </c>
      <c r="AE212" s="77">
        <f t="shared" si="525"/>
        <v>2.5000000000000001E-3</v>
      </c>
      <c r="AF212" s="77">
        <f t="shared" si="515"/>
        <v>2.0857243058891584E-4</v>
      </c>
      <c r="AH212" t="s">
        <v>175</v>
      </c>
      <c r="AI212" t="s">
        <v>176</v>
      </c>
      <c r="AJ212" s="197" t="str">
        <f t="shared" si="414"/>
        <v>Lifecycle_Balanced_333</v>
      </c>
      <c r="AK212">
        <v>333</v>
      </c>
      <c r="AL212">
        <f>VLOOKUP($U212,[2]Standard_Balanced!$Q$1:$T$542,2,FALSE)</f>
        <v>0.77777777777777779</v>
      </c>
      <c r="AM212">
        <f>VLOOKUP($U212,[2]Standard_Balanced!$Q$1:$T$542,3,FALSE)</f>
        <v>0.22222222222222221</v>
      </c>
      <c r="AN212">
        <f>VLOOKUP($U212,[2]Standard_Balanced!$Q$1:$T$542,4,FALSE)</f>
        <v>0</v>
      </c>
      <c r="AO212" s="77">
        <f t="shared" si="501"/>
        <v>1</v>
      </c>
      <c r="AP212" s="77">
        <f t="shared" si="526"/>
        <v>6.1674999999999987E-2</v>
      </c>
      <c r="AQ212" s="77">
        <f t="shared" si="415"/>
        <v>4.9997781870025904E-3</v>
      </c>
      <c r="AR212" s="79">
        <v>0</v>
      </c>
      <c r="AS212" s="77">
        <f t="shared" si="527"/>
        <v>0</v>
      </c>
      <c r="AT212" s="77">
        <f t="shared" ref="AT212" si="563">1-(1-AS212)^(1/12)</f>
        <v>0</v>
      </c>
      <c r="AU212" s="77">
        <f t="shared" si="529"/>
        <v>2.5000000000000001E-3</v>
      </c>
      <c r="AV212" s="77">
        <f t="shared" ref="AV212" si="564">1-(1-AU212)^(1/12)</f>
        <v>2.0857243058891584E-4</v>
      </c>
      <c r="AX212" t="s">
        <v>178</v>
      </c>
      <c r="AY212" t="s">
        <v>160</v>
      </c>
      <c r="AZ212" s="197" t="str">
        <f t="shared" si="418"/>
        <v>DIS_Non-Standard_333</v>
      </c>
      <c r="BA212">
        <v>333</v>
      </c>
      <c r="BB212">
        <f>VLOOKUP($BA212,'[2]NonStandard DIS'!$Q$1:$X$542,2,FALSE)</f>
        <v>0</v>
      </c>
      <c r="BC212">
        <f>VLOOKUP($BA212,'[2]NonStandard DIS'!$Q$1:$X$542,3,FALSE)</f>
        <v>0</v>
      </c>
      <c r="BD212">
        <f>VLOOKUP($BA212,'[2]NonStandard DIS'!$Q$1:$X$542,4,FALSE)</f>
        <v>0.308</v>
      </c>
      <c r="BE212">
        <f>VLOOKUP($BA212,'[2]NonStandard DIS'!$Q$1:$X$542,5,FALSE)</f>
        <v>0.69199999999999995</v>
      </c>
      <c r="BF212">
        <f>VLOOKUP($BA212,'[2]NonStandard DIS'!$Q$1:$X$542,6,FALSE)</f>
        <v>0</v>
      </c>
      <c r="BG212">
        <f>VLOOKUP($BA212,'[2]NonStandard DIS'!$Q$1:$X$542,7,FALSE)</f>
        <v>0</v>
      </c>
      <c r="BH212">
        <f>VLOOKUP($BA212,'[2]NonStandard DIS'!$Q$1:$X$542,8,FALSE)</f>
        <v>0</v>
      </c>
      <c r="BI212" s="77">
        <f t="shared" si="518"/>
        <v>1</v>
      </c>
      <c r="BJ212" s="77">
        <f t="shared" si="519"/>
        <v>6.9728499999999985E-2</v>
      </c>
      <c r="BK212" s="77">
        <f t="shared" si="500"/>
        <v>5.632878498097682E-3</v>
      </c>
      <c r="BL212" s="79">
        <v>0</v>
      </c>
      <c r="BM212" s="77">
        <f t="shared" si="531"/>
        <v>0</v>
      </c>
      <c r="BN212" s="77">
        <f t="shared" si="532"/>
        <v>0</v>
      </c>
      <c r="BO212" s="77">
        <f t="shared" si="533"/>
        <v>5.6775999999999997E-3</v>
      </c>
      <c r="BP212" s="77">
        <f t="shared" si="534"/>
        <v>4.7190657760731725E-4</v>
      </c>
    </row>
    <row r="213" spans="1:68">
      <c r="A213" t="s">
        <v>175</v>
      </c>
      <c r="B213" t="s">
        <v>176</v>
      </c>
      <c r="C213" s="197" t="str">
        <f t="shared" si="412"/>
        <v>Lifecycle_Balanced_332</v>
      </c>
      <c r="D213">
        <v>332</v>
      </c>
      <c r="E213">
        <f>VLOOKUP($D213,'[2]LC Balanced'!$Q$2:$U$542,2,FALSE)</f>
        <v>0</v>
      </c>
      <c r="F213">
        <f>VLOOKUP($D213,'[2]LC Balanced'!$Q$2:$U$542,3,FALSE)</f>
        <v>0.14899999999999999</v>
      </c>
      <c r="G213">
        <f>VLOOKUP($D213,'[2]LC Balanced'!$Q$2:$U$542,4,FALSE)</f>
        <v>0.85099999999999998</v>
      </c>
      <c r="H213">
        <f>VLOOKUP($D213,'[2]LC Balanced'!$Q$2:$U$542,5,FALSE)</f>
        <v>0</v>
      </c>
      <c r="I213" s="77">
        <f t="shared" si="513"/>
        <v>1</v>
      </c>
      <c r="J213" s="77">
        <f t="shared" si="514"/>
        <v>6.1987699999999986E-2</v>
      </c>
      <c r="K213" s="77">
        <f t="shared" si="504"/>
        <v>5.024442123284345E-3</v>
      </c>
      <c r="L213" s="76">
        <v>0</v>
      </c>
      <c r="M213" s="77">
        <f t="shared" si="520"/>
        <v>0</v>
      </c>
      <c r="N213" s="77">
        <f t="shared" si="521"/>
        <v>0</v>
      </c>
      <c r="O213" s="77">
        <f t="shared" si="522"/>
        <v>7.0062999999999992E-3</v>
      </c>
      <c r="P213" s="77">
        <f t="shared" si="523"/>
        <v>5.85741666996209E-4</v>
      </c>
      <c r="R213" t="s">
        <v>177</v>
      </c>
      <c r="S213" t="s">
        <v>176</v>
      </c>
      <c r="T213" s="197" t="str">
        <f t="shared" si="455"/>
        <v>Autopilot_Balanced_332</v>
      </c>
      <c r="U213">
        <v>332</v>
      </c>
      <c r="V213">
        <f>VLOOKUP($U213,'[2]AP Balanced'!$Q$1:$T$542,2,FALSE)</f>
        <v>0.77777777777777779</v>
      </c>
      <c r="W213">
        <f>VLOOKUP($U213,'[2]AP Balanced'!$Q$1:$T$542,3,FALSE)</f>
        <v>0.22222222222222221</v>
      </c>
      <c r="X213">
        <f>VLOOKUP($U213,'[2]AP Balanced'!$Q$1:$T$542,4,FALSE)</f>
        <v>0</v>
      </c>
      <c r="Y213" s="77">
        <f t="shared" si="413"/>
        <v>1</v>
      </c>
      <c r="Z213" s="77">
        <f t="shared" si="559"/>
        <v>6.1674999999999987E-2</v>
      </c>
      <c r="AA213" s="77">
        <f t="shared" si="560"/>
        <v>4.9997781870025904E-3</v>
      </c>
      <c r="AB213" s="79">
        <v>1</v>
      </c>
      <c r="AC213" s="77">
        <f t="shared" si="524"/>
        <v>8.0555555555555554E-3</v>
      </c>
      <c r="AD213" s="77">
        <f t="shared" si="515"/>
        <v>6.7378764057135498E-4</v>
      </c>
      <c r="AE213" s="77">
        <f t="shared" si="525"/>
        <v>2.5000000000000001E-3</v>
      </c>
      <c r="AF213" s="77">
        <f t="shared" si="515"/>
        <v>2.0857243058891584E-4</v>
      </c>
      <c r="AH213" t="s">
        <v>175</v>
      </c>
      <c r="AI213" t="s">
        <v>176</v>
      </c>
      <c r="AJ213" s="197" t="str">
        <f t="shared" si="414"/>
        <v>Lifecycle_Balanced_332</v>
      </c>
      <c r="AK213">
        <v>332</v>
      </c>
      <c r="AL213">
        <f>VLOOKUP($U213,[2]Standard_Balanced!$Q$1:$T$542,2,FALSE)</f>
        <v>0.77777777777777779</v>
      </c>
      <c r="AM213">
        <f>VLOOKUP($U213,[2]Standard_Balanced!$Q$1:$T$542,3,FALSE)</f>
        <v>0.22222222222222221</v>
      </c>
      <c r="AN213">
        <f>VLOOKUP($U213,[2]Standard_Balanced!$Q$1:$T$542,4,FALSE)</f>
        <v>0</v>
      </c>
      <c r="AO213" s="77">
        <f t="shared" si="501"/>
        <v>1</v>
      </c>
      <c r="AP213" s="77">
        <f t="shared" si="526"/>
        <v>6.1674999999999987E-2</v>
      </c>
      <c r="AQ213" s="77">
        <f t="shared" si="415"/>
        <v>4.9997781870025904E-3</v>
      </c>
      <c r="AR213" s="79">
        <v>0</v>
      </c>
      <c r="AS213" s="77">
        <f t="shared" si="527"/>
        <v>0</v>
      </c>
      <c r="AT213" s="77">
        <f t="shared" ref="AT213" si="565">1-(1-AS213)^(1/12)</f>
        <v>0</v>
      </c>
      <c r="AU213" s="77">
        <f t="shared" si="529"/>
        <v>2.5000000000000001E-3</v>
      </c>
      <c r="AV213" s="77">
        <f t="shared" ref="AV213" si="566">1-(1-AU213)^(1/12)</f>
        <v>2.0857243058891584E-4</v>
      </c>
      <c r="AX213" t="s">
        <v>178</v>
      </c>
      <c r="AY213" t="s">
        <v>160</v>
      </c>
      <c r="AZ213" s="197" t="str">
        <f t="shared" si="418"/>
        <v>DIS_Non-Standard_332</v>
      </c>
      <c r="BA213">
        <v>332</v>
      </c>
      <c r="BB213">
        <f>VLOOKUP($BA213,'[2]NonStandard DIS'!$Q$1:$X$542,2,FALSE)</f>
        <v>0</v>
      </c>
      <c r="BC213">
        <f>VLOOKUP($BA213,'[2]NonStandard DIS'!$Q$1:$X$542,3,FALSE)</f>
        <v>0</v>
      </c>
      <c r="BD213">
        <f>VLOOKUP($BA213,'[2]NonStandard DIS'!$Q$1:$X$542,4,FALSE)</f>
        <v>0.308</v>
      </c>
      <c r="BE213">
        <f>VLOOKUP($BA213,'[2]NonStandard DIS'!$Q$1:$X$542,5,FALSE)</f>
        <v>0.69199999999999995</v>
      </c>
      <c r="BF213">
        <f>VLOOKUP($BA213,'[2]NonStandard DIS'!$Q$1:$X$542,6,FALSE)</f>
        <v>0</v>
      </c>
      <c r="BG213">
        <f>VLOOKUP($BA213,'[2]NonStandard DIS'!$Q$1:$X$542,7,FALSE)</f>
        <v>0</v>
      </c>
      <c r="BH213">
        <f>VLOOKUP($BA213,'[2]NonStandard DIS'!$Q$1:$X$542,8,FALSE)</f>
        <v>0</v>
      </c>
      <c r="BI213" s="77">
        <f t="shared" si="518"/>
        <v>1</v>
      </c>
      <c r="BJ213" s="77">
        <f t="shared" si="519"/>
        <v>6.9728499999999985E-2</v>
      </c>
      <c r="BK213" s="77">
        <f t="shared" si="500"/>
        <v>5.632878498097682E-3</v>
      </c>
      <c r="BL213" s="79">
        <v>0</v>
      </c>
      <c r="BM213" s="77">
        <f t="shared" si="531"/>
        <v>0</v>
      </c>
      <c r="BN213" s="77">
        <f t="shared" si="532"/>
        <v>0</v>
      </c>
      <c r="BO213" s="77">
        <f t="shared" si="533"/>
        <v>5.6775999999999997E-3</v>
      </c>
      <c r="BP213" s="77">
        <f t="shared" si="534"/>
        <v>4.7190657760731725E-4</v>
      </c>
    </row>
    <row r="214" spans="1:68">
      <c r="A214" t="s">
        <v>175</v>
      </c>
      <c r="B214" t="s">
        <v>176</v>
      </c>
      <c r="C214" s="197" t="str">
        <f t="shared" si="412"/>
        <v>Lifecycle_Balanced_331</v>
      </c>
      <c r="D214">
        <v>331</v>
      </c>
      <c r="E214">
        <f>VLOOKUP($D214,'[2]LC Balanced'!$Q$2:$U$542,2,FALSE)</f>
        <v>0</v>
      </c>
      <c r="F214">
        <f>VLOOKUP($D214,'[2]LC Balanced'!$Q$2:$U$542,3,FALSE)</f>
        <v>0.14899999999999999</v>
      </c>
      <c r="G214">
        <f>VLOOKUP($D214,'[2]LC Balanced'!$Q$2:$U$542,4,FALSE)</f>
        <v>0.85099999999999998</v>
      </c>
      <c r="H214">
        <f>VLOOKUP($D214,'[2]LC Balanced'!$Q$2:$U$542,5,FALSE)</f>
        <v>0</v>
      </c>
      <c r="I214" s="77">
        <f t="shared" si="513"/>
        <v>1</v>
      </c>
      <c r="J214" s="77">
        <f t="shared" si="514"/>
        <v>6.1987699999999986E-2</v>
      </c>
      <c r="K214" s="77">
        <f t="shared" si="504"/>
        <v>5.024442123284345E-3</v>
      </c>
      <c r="L214" s="76">
        <v>0</v>
      </c>
      <c r="M214" s="77">
        <f t="shared" si="520"/>
        <v>0</v>
      </c>
      <c r="N214" s="77">
        <f t="shared" si="521"/>
        <v>0</v>
      </c>
      <c r="O214" s="77">
        <f t="shared" si="522"/>
        <v>7.0062999999999992E-3</v>
      </c>
      <c r="P214" s="77">
        <f t="shared" si="523"/>
        <v>5.85741666996209E-4</v>
      </c>
      <c r="R214" t="s">
        <v>177</v>
      </c>
      <c r="S214" t="s">
        <v>176</v>
      </c>
      <c r="T214" s="197" t="str">
        <f t="shared" si="455"/>
        <v>Autopilot_Balanced_331</v>
      </c>
      <c r="U214">
        <v>331</v>
      </c>
      <c r="V214">
        <f>VLOOKUP($U214,'[2]AP Balanced'!$Q$1:$T$542,2,FALSE)</f>
        <v>0.77777777777777779</v>
      </c>
      <c r="W214">
        <f>VLOOKUP($U214,'[2]AP Balanced'!$Q$1:$T$542,3,FALSE)</f>
        <v>0.22222222222222221</v>
      </c>
      <c r="X214">
        <f>VLOOKUP($U214,'[2]AP Balanced'!$Q$1:$T$542,4,FALSE)</f>
        <v>0</v>
      </c>
      <c r="Y214" s="77">
        <f t="shared" si="413"/>
        <v>1</v>
      </c>
      <c r="Z214" s="77">
        <f t="shared" si="559"/>
        <v>6.1674999999999987E-2</v>
      </c>
      <c r="AA214" s="77">
        <f t="shared" si="560"/>
        <v>4.9997781870025904E-3</v>
      </c>
      <c r="AB214" s="79">
        <v>1</v>
      </c>
      <c r="AC214" s="77">
        <f t="shared" si="524"/>
        <v>8.0555555555555554E-3</v>
      </c>
      <c r="AD214" s="77">
        <f t="shared" si="515"/>
        <v>6.7378764057135498E-4</v>
      </c>
      <c r="AE214" s="77">
        <f t="shared" si="525"/>
        <v>2.5000000000000001E-3</v>
      </c>
      <c r="AF214" s="77">
        <f t="shared" si="515"/>
        <v>2.0857243058891584E-4</v>
      </c>
      <c r="AH214" t="s">
        <v>175</v>
      </c>
      <c r="AI214" t="s">
        <v>176</v>
      </c>
      <c r="AJ214" s="197" t="str">
        <f t="shared" si="414"/>
        <v>Lifecycle_Balanced_331</v>
      </c>
      <c r="AK214">
        <v>331</v>
      </c>
      <c r="AL214">
        <f>VLOOKUP($U214,[2]Standard_Balanced!$Q$1:$T$542,2,FALSE)</f>
        <v>0.77777777777777779</v>
      </c>
      <c r="AM214">
        <f>VLOOKUP($U214,[2]Standard_Balanced!$Q$1:$T$542,3,FALSE)</f>
        <v>0.22222222222222221</v>
      </c>
      <c r="AN214">
        <f>VLOOKUP($U214,[2]Standard_Balanced!$Q$1:$T$542,4,FALSE)</f>
        <v>0</v>
      </c>
      <c r="AO214" s="77">
        <f t="shared" si="501"/>
        <v>1</v>
      </c>
      <c r="AP214" s="77">
        <f t="shared" si="526"/>
        <v>6.1674999999999987E-2</v>
      </c>
      <c r="AQ214" s="77">
        <f t="shared" si="415"/>
        <v>4.9997781870025904E-3</v>
      </c>
      <c r="AR214" s="79">
        <v>0</v>
      </c>
      <c r="AS214" s="77">
        <f t="shared" si="527"/>
        <v>0</v>
      </c>
      <c r="AT214" s="77">
        <f t="shared" ref="AT214" si="567">1-(1-AS214)^(1/12)</f>
        <v>0</v>
      </c>
      <c r="AU214" s="77">
        <f t="shared" si="529"/>
        <v>2.5000000000000001E-3</v>
      </c>
      <c r="AV214" s="77">
        <f t="shared" ref="AV214" si="568">1-(1-AU214)^(1/12)</f>
        <v>2.0857243058891584E-4</v>
      </c>
      <c r="AX214" t="s">
        <v>178</v>
      </c>
      <c r="AY214" t="s">
        <v>160</v>
      </c>
      <c r="AZ214" s="197" t="str">
        <f t="shared" si="418"/>
        <v>DIS_Non-Standard_331</v>
      </c>
      <c r="BA214">
        <v>331</v>
      </c>
      <c r="BB214">
        <f>VLOOKUP($BA214,'[2]NonStandard DIS'!$Q$1:$X$542,2,FALSE)</f>
        <v>0</v>
      </c>
      <c r="BC214">
        <f>VLOOKUP($BA214,'[2]NonStandard DIS'!$Q$1:$X$542,3,FALSE)</f>
        <v>0</v>
      </c>
      <c r="BD214">
        <f>VLOOKUP($BA214,'[2]NonStandard DIS'!$Q$1:$X$542,4,FALSE)</f>
        <v>0.308</v>
      </c>
      <c r="BE214">
        <f>VLOOKUP($BA214,'[2]NonStandard DIS'!$Q$1:$X$542,5,FALSE)</f>
        <v>0.69199999999999995</v>
      </c>
      <c r="BF214">
        <f>VLOOKUP($BA214,'[2]NonStandard DIS'!$Q$1:$X$542,6,FALSE)</f>
        <v>0</v>
      </c>
      <c r="BG214">
        <f>VLOOKUP($BA214,'[2]NonStandard DIS'!$Q$1:$X$542,7,FALSE)</f>
        <v>0</v>
      </c>
      <c r="BH214">
        <f>VLOOKUP($BA214,'[2]NonStandard DIS'!$Q$1:$X$542,8,FALSE)</f>
        <v>0</v>
      </c>
      <c r="BI214" s="77">
        <f t="shared" si="518"/>
        <v>1</v>
      </c>
      <c r="BJ214" s="77">
        <f t="shared" si="519"/>
        <v>6.9728499999999985E-2</v>
      </c>
      <c r="BK214" s="77">
        <f t="shared" si="500"/>
        <v>5.632878498097682E-3</v>
      </c>
      <c r="BL214" s="79">
        <v>0</v>
      </c>
      <c r="BM214" s="77">
        <f t="shared" si="531"/>
        <v>0</v>
      </c>
      <c r="BN214" s="77">
        <f t="shared" si="532"/>
        <v>0</v>
      </c>
      <c r="BO214" s="77">
        <f t="shared" si="533"/>
        <v>5.6775999999999997E-3</v>
      </c>
      <c r="BP214" s="77">
        <f t="shared" si="534"/>
        <v>4.7190657760731725E-4</v>
      </c>
    </row>
    <row r="215" spans="1:68">
      <c r="A215" t="s">
        <v>175</v>
      </c>
      <c r="B215" t="s">
        <v>176</v>
      </c>
      <c r="C215" s="197" t="str">
        <f t="shared" ref="C215:C278" si="569">A215&amp;"_"&amp;B215&amp;"_"&amp;D215</f>
        <v>Lifecycle_Balanced_330</v>
      </c>
      <c r="D215">
        <v>330</v>
      </c>
      <c r="E215">
        <f>VLOOKUP($D215,'[2]LC Balanced'!$Q$2:$U$542,2,FALSE)</f>
        <v>0</v>
      </c>
      <c r="F215">
        <f>VLOOKUP($D215,'[2]LC Balanced'!$Q$2:$U$542,3,FALSE)</f>
        <v>0.14899999999999999</v>
      </c>
      <c r="G215">
        <f>VLOOKUP($D215,'[2]LC Balanced'!$Q$2:$U$542,4,FALSE)</f>
        <v>0.85099999999999998</v>
      </c>
      <c r="H215">
        <f>VLOOKUP($D215,'[2]LC Balanced'!$Q$2:$U$542,5,FALSE)</f>
        <v>0</v>
      </c>
      <c r="I215" s="77">
        <f t="shared" si="513"/>
        <v>1</v>
      </c>
      <c r="J215" s="77">
        <f t="shared" si="514"/>
        <v>6.1987699999999986E-2</v>
      </c>
      <c r="K215" s="77">
        <f t="shared" si="504"/>
        <v>5.024442123284345E-3</v>
      </c>
      <c r="L215" s="76">
        <v>0</v>
      </c>
      <c r="M215" s="77">
        <f t="shared" si="520"/>
        <v>0</v>
      </c>
      <c r="N215" s="77">
        <f t="shared" si="521"/>
        <v>0</v>
      </c>
      <c r="O215" s="77">
        <f t="shared" si="522"/>
        <v>7.0062999999999992E-3</v>
      </c>
      <c r="P215" s="77">
        <f t="shared" si="523"/>
        <v>5.85741666996209E-4</v>
      </c>
      <c r="R215" t="s">
        <v>177</v>
      </c>
      <c r="S215" t="s">
        <v>176</v>
      </c>
      <c r="T215" s="197" t="str">
        <f t="shared" si="455"/>
        <v>Autopilot_Balanced_330</v>
      </c>
      <c r="U215">
        <v>330</v>
      </c>
      <c r="V215">
        <f>VLOOKUP($U215,'[2]AP Balanced'!$Q$1:$T$542,2,FALSE)</f>
        <v>0.77777777777777779</v>
      </c>
      <c r="W215">
        <f>VLOOKUP($U215,'[2]AP Balanced'!$Q$1:$T$542,3,FALSE)</f>
        <v>0.22222222222222221</v>
      </c>
      <c r="X215">
        <f>VLOOKUP($U215,'[2]AP Balanced'!$Q$1:$T$542,4,FALSE)</f>
        <v>0</v>
      </c>
      <c r="Y215" s="77">
        <f t="shared" ref="Y215:Y278" si="570">SUM(V215:X215)</f>
        <v>1</v>
      </c>
      <c r="Z215" s="77">
        <f t="shared" si="559"/>
        <v>6.1674999999999987E-2</v>
      </c>
      <c r="AA215" s="77">
        <f t="shared" si="560"/>
        <v>4.9997781870025904E-3</v>
      </c>
      <c r="AB215" s="79">
        <v>1</v>
      </c>
      <c r="AC215" s="77">
        <f t="shared" si="524"/>
        <v>8.0555555555555554E-3</v>
      </c>
      <c r="AD215" s="77">
        <f t="shared" si="515"/>
        <v>6.7378764057135498E-4</v>
      </c>
      <c r="AE215" s="77">
        <f t="shared" si="525"/>
        <v>2.5000000000000001E-3</v>
      </c>
      <c r="AF215" s="77">
        <f t="shared" si="515"/>
        <v>2.0857243058891584E-4</v>
      </c>
      <c r="AH215" t="s">
        <v>175</v>
      </c>
      <c r="AI215" t="s">
        <v>176</v>
      </c>
      <c r="AJ215" s="197" t="str">
        <f t="shared" ref="AJ215:AJ278" si="571">AH215&amp;"_"&amp;AI215&amp;"_"&amp;AK215</f>
        <v>Lifecycle_Balanced_330</v>
      </c>
      <c r="AK215">
        <v>330</v>
      </c>
      <c r="AL215">
        <f>VLOOKUP($U215,[2]Standard_Balanced!$Q$1:$T$542,2,FALSE)</f>
        <v>0.77777777777777779</v>
      </c>
      <c r="AM215">
        <f>VLOOKUP($U215,[2]Standard_Balanced!$Q$1:$T$542,3,FALSE)</f>
        <v>0.22222222222222221</v>
      </c>
      <c r="AN215">
        <f>VLOOKUP($U215,[2]Standard_Balanced!$Q$1:$T$542,4,FALSE)</f>
        <v>0</v>
      </c>
      <c r="AO215" s="77">
        <f t="shared" si="501"/>
        <v>1</v>
      </c>
      <c r="AP215" s="77">
        <f t="shared" si="526"/>
        <v>6.1674999999999987E-2</v>
      </c>
      <c r="AQ215" s="77">
        <f t="shared" ref="AQ215:AQ278" si="572">(1+AP215)^(1/12)-1</f>
        <v>4.9997781870025904E-3</v>
      </c>
      <c r="AR215" s="79">
        <v>0</v>
      </c>
      <c r="AS215" s="77">
        <f t="shared" si="527"/>
        <v>0</v>
      </c>
      <c r="AT215" s="77">
        <f t="shared" ref="AT215" si="573">1-(1-AS215)^(1/12)</f>
        <v>0</v>
      </c>
      <c r="AU215" s="77">
        <f t="shared" si="529"/>
        <v>2.5000000000000001E-3</v>
      </c>
      <c r="AV215" s="77">
        <f t="shared" ref="AV215" si="574">1-(1-AU215)^(1/12)</f>
        <v>2.0857243058891584E-4</v>
      </c>
      <c r="AX215" t="s">
        <v>178</v>
      </c>
      <c r="AY215" t="s">
        <v>160</v>
      </c>
      <c r="AZ215" s="197" t="str">
        <f t="shared" ref="AZ215:AZ278" si="575">AX215&amp;"_"&amp;AY215&amp;"_"&amp;BA215</f>
        <v>DIS_Non-Standard_330</v>
      </c>
      <c r="BA215">
        <v>330</v>
      </c>
      <c r="BB215">
        <f>VLOOKUP($BA215,'[2]NonStandard DIS'!$Q$1:$X$542,2,FALSE)</f>
        <v>0</v>
      </c>
      <c r="BC215">
        <f>VLOOKUP($BA215,'[2]NonStandard DIS'!$Q$1:$X$542,3,FALSE)</f>
        <v>0</v>
      </c>
      <c r="BD215">
        <f>VLOOKUP($BA215,'[2]NonStandard DIS'!$Q$1:$X$542,4,FALSE)</f>
        <v>0.308</v>
      </c>
      <c r="BE215">
        <f>VLOOKUP($BA215,'[2]NonStandard DIS'!$Q$1:$X$542,5,FALSE)</f>
        <v>0.69199999999999995</v>
      </c>
      <c r="BF215">
        <f>VLOOKUP($BA215,'[2]NonStandard DIS'!$Q$1:$X$542,6,FALSE)</f>
        <v>0</v>
      </c>
      <c r="BG215">
        <f>VLOOKUP($BA215,'[2]NonStandard DIS'!$Q$1:$X$542,7,FALSE)</f>
        <v>0</v>
      </c>
      <c r="BH215">
        <f>VLOOKUP($BA215,'[2]NonStandard DIS'!$Q$1:$X$542,8,FALSE)</f>
        <v>0</v>
      </c>
      <c r="BI215" s="77">
        <f t="shared" si="518"/>
        <v>1</v>
      </c>
      <c r="BJ215" s="77">
        <f t="shared" si="519"/>
        <v>6.9728499999999985E-2</v>
      </c>
      <c r="BK215" s="77">
        <f t="shared" si="500"/>
        <v>5.632878498097682E-3</v>
      </c>
      <c r="BL215" s="79">
        <v>0</v>
      </c>
      <c r="BM215" s="77">
        <f t="shared" si="531"/>
        <v>0</v>
      </c>
      <c r="BN215" s="77">
        <f t="shared" si="532"/>
        <v>0</v>
      </c>
      <c r="BO215" s="77">
        <f t="shared" si="533"/>
        <v>5.6775999999999997E-3</v>
      </c>
      <c r="BP215" s="77">
        <f t="shared" si="534"/>
        <v>4.7190657760731725E-4</v>
      </c>
    </row>
    <row r="216" spans="1:68">
      <c r="A216" t="s">
        <v>175</v>
      </c>
      <c r="B216" t="s">
        <v>176</v>
      </c>
      <c r="C216" s="197" t="str">
        <f t="shared" si="569"/>
        <v>Lifecycle_Balanced_329</v>
      </c>
      <c r="D216">
        <v>329</v>
      </c>
      <c r="E216">
        <f>VLOOKUP($D216,'[2]LC Balanced'!$Q$2:$U$542,2,FALSE)</f>
        <v>0</v>
      </c>
      <c r="F216">
        <f>VLOOKUP($D216,'[2]LC Balanced'!$Q$2:$U$542,3,FALSE)</f>
        <v>0.14899999999999999</v>
      </c>
      <c r="G216">
        <f>VLOOKUP($D216,'[2]LC Balanced'!$Q$2:$U$542,4,FALSE)</f>
        <v>0.85099999999999998</v>
      </c>
      <c r="H216">
        <f>VLOOKUP($D216,'[2]LC Balanced'!$Q$2:$U$542,5,FALSE)</f>
        <v>0</v>
      </c>
      <c r="I216" s="77">
        <f t="shared" si="513"/>
        <v>1</v>
      </c>
      <c r="J216" s="77">
        <f t="shared" si="514"/>
        <v>6.1987699999999986E-2</v>
      </c>
      <c r="K216" s="77">
        <f t="shared" si="504"/>
        <v>5.024442123284345E-3</v>
      </c>
      <c r="L216" s="76">
        <v>0</v>
      </c>
      <c r="M216" s="77">
        <f t="shared" si="520"/>
        <v>0</v>
      </c>
      <c r="N216" s="77">
        <f t="shared" si="521"/>
        <v>0</v>
      </c>
      <c r="O216" s="77">
        <f t="shared" si="522"/>
        <v>7.0062999999999992E-3</v>
      </c>
      <c r="P216" s="77">
        <f t="shared" si="523"/>
        <v>5.85741666996209E-4</v>
      </c>
      <c r="R216" t="s">
        <v>177</v>
      </c>
      <c r="S216" t="s">
        <v>176</v>
      </c>
      <c r="T216" s="197" t="str">
        <f t="shared" si="455"/>
        <v>Autopilot_Balanced_329</v>
      </c>
      <c r="U216">
        <v>329</v>
      </c>
      <c r="V216">
        <f>VLOOKUP($U216,'[2]AP Balanced'!$Q$1:$T$542,2,FALSE)</f>
        <v>0.77777777777777779</v>
      </c>
      <c r="W216">
        <f>VLOOKUP($U216,'[2]AP Balanced'!$Q$1:$T$542,3,FALSE)</f>
        <v>0.22222222222222221</v>
      </c>
      <c r="X216">
        <f>VLOOKUP($U216,'[2]AP Balanced'!$Q$1:$T$542,4,FALSE)</f>
        <v>0</v>
      </c>
      <c r="Y216" s="77">
        <f t="shared" si="570"/>
        <v>1</v>
      </c>
      <c r="Z216" s="77">
        <f t="shared" si="559"/>
        <v>6.1674999999999987E-2</v>
      </c>
      <c r="AA216" s="77">
        <f t="shared" si="560"/>
        <v>4.9997781870025904E-3</v>
      </c>
      <c r="AB216" s="79">
        <v>1</v>
      </c>
      <c r="AC216" s="77">
        <f t="shared" si="524"/>
        <v>8.0555555555555554E-3</v>
      </c>
      <c r="AD216" s="77">
        <f t="shared" si="515"/>
        <v>6.7378764057135498E-4</v>
      </c>
      <c r="AE216" s="77">
        <f t="shared" si="525"/>
        <v>2.5000000000000001E-3</v>
      </c>
      <c r="AF216" s="77">
        <f t="shared" si="515"/>
        <v>2.0857243058891584E-4</v>
      </c>
      <c r="AH216" t="s">
        <v>175</v>
      </c>
      <c r="AI216" t="s">
        <v>176</v>
      </c>
      <c r="AJ216" s="197" t="str">
        <f t="shared" si="571"/>
        <v>Lifecycle_Balanced_329</v>
      </c>
      <c r="AK216">
        <v>329</v>
      </c>
      <c r="AL216">
        <f>VLOOKUP($U216,[2]Standard_Balanced!$Q$1:$T$542,2,FALSE)</f>
        <v>0.77777777777777779</v>
      </c>
      <c r="AM216">
        <f>VLOOKUP($U216,[2]Standard_Balanced!$Q$1:$T$542,3,FALSE)</f>
        <v>0.22222222222222221</v>
      </c>
      <c r="AN216">
        <f>VLOOKUP($U216,[2]Standard_Balanced!$Q$1:$T$542,4,FALSE)</f>
        <v>0</v>
      </c>
      <c r="AO216" s="77">
        <f t="shared" si="501"/>
        <v>1</v>
      </c>
      <c r="AP216" s="77">
        <f t="shared" si="526"/>
        <v>6.1674999999999987E-2</v>
      </c>
      <c r="AQ216" s="77">
        <f t="shared" si="572"/>
        <v>4.9997781870025904E-3</v>
      </c>
      <c r="AR216" s="79">
        <v>0</v>
      </c>
      <c r="AS216" s="77">
        <f t="shared" si="527"/>
        <v>0</v>
      </c>
      <c r="AT216" s="77">
        <f t="shared" ref="AT216" si="576">1-(1-AS216)^(1/12)</f>
        <v>0</v>
      </c>
      <c r="AU216" s="77">
        <f t="shared" si="529"/>
        <v>2.5000000000000001E-3</v>
      </c>
      <c r="AV216" s="77">
        <f t="shared" ref="AV216" si="577">1-(1-AU216)^(1/12)</f>
        <v>2.0857243058891584E-4</v>
      </c>
      <c r="AX216" t="s">
        <v>178</v>
      </c>
      <c r="AY216" t="s">
        <v>160</v>
      </c>
      <c r="AZ216" s="197" t="str">
        <f t="shared" si="575"/>
        <v>DIS_Non-Standard_329</v>
      </c>
      <c r="BA216">
        <v>329</v>
      </c>
      <c r="BB216">
        <f>VLOOKUP($BA216,'[2]NonStandard DIS'!$Q$1:$X$542,2,FALSE)</f>
        <v>0</v>
      </c>
      <c r="BC216">
        <f>VLOOKUP($BA216,'[2]NonStandard DIS'!$Q$1:$X$542,3,FALSE)</f>
        <v>0</v>
      </c>
      <c r="BD216">
        <f>VLOOKUP($BA216,'[2]NonStandard DIS'!$Q$1:$X$542,4,FALSE)</f>
        <v>0.308</v>
      </c>
      <c r="BE216">
        <f>VLOOKUP($BA216,'[2]NonStandard DIS'!$Q$1:$X$542,5,FALSE)</f>
        <v>0.69199999999999995</v>
      </c>
      <c r="BF216">
        <f>VLOOKUP($BA216,'[2]NonStandard DIS'!$Q$1:$X$542,6,FALSE)</f>
        <v>0</v>
      </c>
      <c r="BG216">
        <f>VLOOKUP($BA216,'[2]NonStandard DIS'!$Q$1:$X$542,7,FALSE)</f>
        <v>0</v>
      </c>
      <c r="BH216">
        <f>VLOOKUP($BA216,'[2]NonStandard DIS'!$Q$1:$X$542,8,FALSE)</f>
        <v>0</v>
      </c>
      <c r="BI216" s="77">
        <f t="shared" si="518"/>
        <v>1</v>
      </c>
      <c r="BJ216" s="77">
        <f t="shared" si="519"/>
        <v>6.9728499999999985E-2</v>
      </c>
      <c r="BK216" s="77">
        <f t="shared" si="500"/>
        <v>5.632878498097682E-3</v>
      </c>
      <c r="BL216" s="79">
        <v>0</v>
      </c>
      <c r="BM216" s="77">
        <f t="shared" si="531"/>
        <v>0</v>
      </c>
      <c r="BN216" s="77">
        <f t="shared" si="532"/>
        <v>0</v>
      </c>
      <c r="BO216" s="77">
        <f t="shared" si="533"/>
        <v>5.6775999999999997E-3</v>
      </c>
      <c r="BP216" s="77">
        <f t="shared" si="534"/>
        <v>4.7190657760731725E-4</v>
      </c>
    </row>
    <row r="217" spans="1:68">
      <c r="A217" t="s">
        <v>175</v>
      </c>
      <c r="B217" t="s">
        <v>176</v>
      </c>
      <c r="C217" s="197" t="str">
        <f t="shared" si="569"/>
        <v>Lifecycle_Balanced_328</v>
      </c>
      <c r="D217">
        <v>328</v>
      </c>
      <c r="E217">
        <f>VLOOKUP($D217,'[2]LC Balanced'!$Q$2:$U$542,2,FALSE)</f>
        <v>0</v>
      </c>
      <c r="F217">
        <f>VLOOKUP($D217,'[2]LC Balanced'!$Q$2:$U$542,3,FALSE)</f>
        <v>0.14899999999999999</v>
      </c>
      <c r="G217">
        <f>VLOOKUP($D217,'[2]LC Balanced'!$Q$2:$U$542,4,FALSE)</f>
        <v>0.85099999999999998</v>
      </c>
      <c r="H217">
        <f>VLOOKUP($D217,'[2]LC Balanced'!$Q$2:$U$542,5,FALSE)</f>
        <v>0</v>
      </c>
      <c r="I217" s="77">
        <f t="shared" si="513"/>
        <v>1</v>
      </c>
      <c r="J217" s="77">
        <f t="shared" si="514"/>
        <v>6.1987699999999986E-2</v>
      </c>
      <c r="K217" s="77">
        <f t="shared" si="504"/>
        <v>5.024442123284345E-3</v>
      </c>
      <c r="L217" s="76">
        <v>0</v>
      </c>
      <c r="M217" s="77">
        <f t="shared" si="520"/>
        <v>0</v>
      </c>
      <c r="N217" s="77">
        <f t="shared" si="521"/>
        <v>0</v>
      </c>
      <c r="O217" s="77">
        <f t="shared" si="522"/>
        <v>7.0062999999999992E-3</v>
      </c>
      <c r="P217" s="77">
        <f t="shared" si="523"/>
        <v>5.85741666996209E-4</v>
      </c>
      <c r="R217" t="s">
        <v>177</v>
      </c>
      <c r="S217" t="s">
        <v>176</v>
      </c>
      <c r="T217" s="197" t="str">
        <f t="shared" si="455"/>
        <v>Autopilot_Balanced_328</v>
      </c>
      <c r="U217">
        <v>328</v>
      </c>
      <c r="V217">
        <f>VLOOKUP($U217,'[2]AP Balanced'!$Q$1:$T$542,2,FALSE)</f>
        <v>0.77777777777777779</v>
      </c>
      <c r="W217">
        <f>VLOOKUP($U217,'[2]AP Balanced'!$Q$1:$T$542,3,FALSE)</f>
        <v>0.22222222222222221</v>
      </c>
      <c r="X217">
        <f>VLOOKUP($U217,'[2]AP Balanced'!$Q$1:$T$542,4,FALSE)</f>
        <v>0</v>
      </c>
      <c r="Y217" s="77">
        <f t="shared" si="570"/>
        <v>1</v>
      </c>
      <c r="Z217" s="77">
        <f t="shared" si="559"/>
        <v>6.1674999999999987E-2</v>
      </c>
      <c r="AA217" s="77">
        <f t="shared" si="560"/>
        <v>4.9997781870025904E-3</v>
      </c>
      <c r="AB217" s="79">
        <v>1</v>
      </c>
      <c r="AC217" s="77">
        <f t="shared" si="524"/>
        <v>8.0555555555555554E-3</v>
      </c>
      <c r="AD217" s="77">
        <f t="shared" si="515"/>
        <v>6.7378764057135498E-4</v>
      </c>
      <c r="AE217" s="77">
        <f t="shared" si="525"/>
        <v>2.5000000000000001E-3</v>
      </c>
      <c r="AF217" s="77">
        <f t="shared" si="515"/>
        <v>2.0857243058891584E-4</v>
      </c>
      <c r="AH217" t="s">
        <v>175</v>
      </c>
      <c r="AI217" t="s">
        <v>176</v>
      </c>
      <c r="AJ217" s="197" t="str">
        <f t="shared" si="571"/>
        <v>Lifecycle_Balanced_328</v>
      </c>
      <c r="AK217">
        <v>328</v>
      </c>
      <c r="AL217">
        <f>VLOOKUP($U217,[2]Standard_Balanced!$Q$1:$T$542,2,FALSE)</f>
        <v>0.77777777777777779</v>
      </c>
      <c r="AM217">
        <f>VLOOKUP($U217,[2]Standard_Balanced!$Q$1:$T$542,3,FALSE)</f>
        <v>0.22222222222222221</v>
      </c>
      <c r="AN217">
        <f>VLOOKUP($U217,[2]Standard_Balanced!$Q$1:$T$542,4,FALSE)</f>
        <v>0</v>
      </c>
      <c r="AO217" s="77">
        <f t="shared" si="501"/>
        <v>1</v>
      </c>
      <c r="AP217" s="77">
        <f t="shared" si="526"/>
        <v>6.1674999999999987E-2</v>
      </c>
      <c r="AQ217" s="77">
        <f t="shared" si="572"/>
        <v>4.9997781870025904E-3</v>
      </c>
      <c r="AR217" s="79">
        <v>0</v>
      </c>
      <c r="AS217" s="77">
        <f t="shared" si="527"/>
        <v>0</v>
      </c>
      <c r="AT217" s="77">
        <f t="shared" ref="AT217" si="578">1-(1-AS217)^(1/12)</f>
        <v>0</v>
      </c>
      <c r="AU217" s="77">
        <f t="shared" si="529"/>
        <v>2.5000000000000001E-3</v>
      </c>
      <c r="AV217" s="77">
        <f t="shared" ref="AV217" si="579">1-(1-AU217)^(1/12)</f>
        <v>2.0857243058891584E-4</v>
      </c>
      <c r="AX217" t="s">
        <v>178</v>
      </c>
      <c r="AY217" t="s">
        <v>160</v>
      </c>
      <c r="AZ217" s="197" t="str">
        <f t="shared" si="575"/>
        <v>DIS_Non-Standard_328</v>
      </c>
      <c r="BA217">
        <v>328</v>
      </c>
      <c r="BB217">
        <f>VLOOKUP($BA217,'[2]NonStandard DIS'!$Q$1:$X$542,2,FALSE)</f>
        <v>0</v>
      </c>
      <c r="BC217">
        <f>VLOOKUP($BA217,'[2]NonStandard DIS'!$Q$1:$X$542,3,FALSE)</f>
        <v>0</v>
      </c>
      <c r="BD217">
        <f>VLOOKUP($BA217,'[2]NonStandard DIS'!$Q$1:$X$542,4,FALSE)</f>
        <v>0.308</v>
      </c>
      <c r="BE217">
        <f>VLOOKUP($BA217,'[2]NonStandard DIS'!$Q$1:$X$542,5,FALSE)</f>
        <v>0.69199999999999995</v>
      </c>
      <c r="BF217">
        <f>VLOOKUP($BA217,'[2]NonStandard DIS'!$Q$1:$X$542,6,FALSE)</f>
        <v>0</v>
      </c>
      <c r="BG217">
        <f>VLOOKUP($BA217,'[2]NonStandard DIS'!$Q$1:$X$542,7,FALSE)</f>
        <v>0</v>
      </c>
      <c r="BH217">
        <f>VLOOKUP($BA217,'[2]NonStandard DIS'!$Q$1:$X$542,8,FALSE)</f>
        <v>0</v>
      </c>
      <c r="BI217" s="77">
        <f t="shared" si="518"/>
        <v>1</v>
      </c>
      <c r="BJ217" s="77">
        <f t="shared" si="519"/>
        <v>6.9728499999999985E-2</v>
      </c>
      <c r="BK217" s="77">
        <f t="shared" si="500"/>
        <v>5.632878498097682E-3</v>
      </c>
      <c r="BL217" s="79">
        <v>0</v>
      </c>
      <c r="BM217" s="77">
        <f t="shared" si="531"/>
        <v>0</v>
      </c>
      <c r="BN217" s="77">
        <f t="shared" si="532"/>
        <v>0</v>
      </c>
      <c r="BO217" s="77">
        <f t="shared" si="533"/>
        <v>5.6775999999999997E-3</v>
      </c>
      <c r="BP217" s="77">
        <f t="shared" si="534"/>
        <v>4.7190657760731725E-4</v>
      </c>
    </row>
    <row r="218" spans="1:68">
      <c r="A218" t="s">
        <v>175</v>
      </c>
      <c r="B218" t="s">
        <v>176</v>
      </c>
      <c r="C218" s="197" t="str">
        <f t="shared" si="569"/>
        <v>Lifecycle_Balanced_327</v>
      </c>
      <c r="D218">
        <v>327</v>
      </c>
      <c r="E218">
        <f>VLOOKUP($D218,'[2]LC Balanced'!$Q$2:$U$542,2,FALSE)</f>
        <v>0</v>
      </c>
      <c r="F218">
        <f>VLOOKUP($D218,'[2]LC Balanced'!$Q$2:$U$542,3,FALSE)</f>
        <v>0.14899999999999999</v>
      </c>
      <c r="G218">
        <f>VLOOKUP($D218,'[2]LC Balanced'!$Q$2:$U$542,4,FALSE)</f>
        <v>0.85099999999999998</v>
      </c>
      <c r="H218">
        <f>VLOOKUP($D218,'[2]LC Balanced'!$Q$2:$U$542,5,FALSE)</f>
        <v>0</v>
      </c>
      <c r="I218" s="77">
        <f t="shared" si="513"/>
        <v>1</v>
      </c>
      <c r="J218" s="77">
        <f t="shared" si="514"/>
        <v>6.1987699999999986E-2</v>
      </c>
      <c r="K218" s="77">
        <f t="shared" si="504"/>
        <v>5.024442123284345E-3</v>
      </c>
      <c r="L218" s="76">
        <v>0</v>
      </c>
      <c r="M218" s="77">
        <f t="shared" si="520"/>
        <v>0</v>
      </c>
      <c r="N218" s="77">
        <f t="shared" si="521"/>
        <v>0</v>
      </c>
      <c r="O218" s="77">
        <f t="shared" si="522"/>
        <v>7.0062999999999992E-3</v>
      </c>
      <c r="P218" s="77">
        <f t="shared" si="523"/>
        <v>5.85741666996209E-4</v>
      </c>
      <c r="R218" t="s">
        <v>177</v>
      </c>
      <c r="S218" t="s">
        <v>176</v>
      </c>
      <c r="T218" s="197" t="str">
        <f t="shared" si="455"/>
        <v>Autopilot_Balanced_327</v>
      </c>
      <c r="U218">
        <v>327</v>
      </c>
      <c r="V218">
        <f>VLOOKUP($U218,'[2]AP Balanced'!$Q$1:$T$542,2,FALSE)</f>
        <v>0.77777777777777779</v>
      </c>
      <c r="W218">
        <f>VLOOKUP($U218,'[2]AP Balanced'!$Q$1:$T$542,3,FALSE)</f>
        <v>0.22222222222222221</v>
      </c>
      <c r="X218">
        <f>VLOOKUP($U218,'[2]AP Balanced'!$Q$1:$T$542,4,FALSE)</f>
        <v>0</v>
      </c>
      <c r="Y218" s="77">
        <f t="shared" si="570"/>
        <v>1</v>
      </c>
      <c r="Z218" s="77">
        <f t="shared" si="559"/>
        <v>6.1674999999999987E-2</v>
      </c>
      <c r="AA218" s="77">
        <f t="shared" si="560"/>
        <v>4.9997781870025904E-3</v>
      </c>
      <c r="AB218" s="79">
        <v>1</v>
      </c>
      <c r="AC218" s="77">
        <f t="shared" si="524"/>
        <v>8.0555555555555554E-3</v>
      </c>
      <c r="AD218" s="77">
        <f t="shared" si="515"/>
        <v>6.7378764057135498E-4</v>
      </c>
      <c r="AE218" s="77">
        <f t="shared" si="525"/>
        <v>2.5000000000000001E-3</v>
      </c>
      <c r="AF218" s="77">
        <f t="shared" si="515"/>
        <v>2.0857243058891584E-4</v>
      </c>
      <c r="AH218" t="s">
        <v>175</v>
      </c>
      <c r="AI218" t="s">
        <v>176</v>
      </c>
      <c r="AJ218" s="197" t="str">
        <f t="shared" si="571"/>
        <v>Lifecycle_Balanced_327</v>
      </c>
      <c r="AK218">
        <v>327</v>
      </c>
      <c r="AL218">
        <f>VLOOKUP($U218,[2]Standard_Balanced!$Q$1:$T$542,2,FALSE)</f>
        <v>0.77777777777777779</v>
      </c>
      <c r="AM218">
        <f>VLOOKUP($U218,[2]Standard_Balanced!$Q$1:$T$542,3,FALSE)</f>
        <v>0.22222222222222221</v>
      </c>
      <c r="AN218">
        <f>VLOOKUP($U218,[2]Standard_Balanced!$Q$1:$T$542,4,FALSE)</f>
        <v>0</v>
      </c>
      <c r="AO218" s="77">
        <f t="shared" si="501"/>
        <v>1</v>
      </c>
      <c r="AP218" s="77">
        <f t="shared" si="526"/>
        <v>6.1674999999999987E-2</v>
      </c>
      <c r="AQ218" s="77">
        <f t="shared" si="572"/>
        <v>4.9997781870025904E-3</v>
      </c>
      <c r="AR218" s="79">
        <v>0</v>
      </c>
      <c r="AS218" s="77">
        <f t="shared" si="527"/>
        <v>0</v>
      </c>
      <c r="AT218" s="77">
        <f t="shared" ref="AT218" si="580">1-(1-AS218)^(1/12)</f>
        <v>0</v>
      </c>
      <c r="AU218" s="77">
        <f t="shared" si="529"/>
        <v>2.5000000000000001E-3</v>
      </c>
      <c r="AV218" s="77">
        <f t="shared" ref="AV218" si="581">1-(1-AU218)^(1/12)</f>
        <v>2.0857243058891584E-4</v>
      </c>
      <c r="AX218" t="s">
        <v>178</v>
      </c>
      <c r="AY218" t="s">
        <v>160</v>
      </c>
      <c r="AZ218" s="197" t="str">
        <f t="shared" si="575"/>
        <v>DIS_Non-Standard_327</v>
      </c>
      <c r="BA218">
        <v>327</v>
      </c>
      <c r="BB218">
        <f>VLOOKUP($BA218,'[2]NonStandard DIS'!$Q$1:$X$542,2,FALSE)</f>
        <v>0</v>
      </c>
      <c r="BC218">
        <f>VLOOKUP($BA218,'[2]NonStandard DIS'!$Q$1:$X$542,3,FALSE)</f>
        <v>0</v>
      </c>
      <c r="BD218">
        <f>VLOOKUP($BA218,'[2]NonStandard DIS'!$Q$1:$X$542,4,FALSE)</f>
        <v>0.308</v>
      </c>
      <c r="BE218">
        <f>VLOOKUP($BA218,'[2]NonStandard DIS'!$Q$1:$X$542,5,FALSE)</f>
        <v>0.69199999999999995</v>
      </c>
      <c r="BF218">
        <f>VLOOKUP($BA218,'[2]NonStandard DIS'!$Q$1:$X$542,6,FALSE)</f>
        <v>0</v>
      </c>
      <c r="BG218">
        <f>VLOOKUP($BA218,'[2]NonStandard DIS'!$Q$1:$X$542,7,FALSE)</f>
        <v>0</v>
      </c>
      <c r="BH218">
        <f>VLOOKUP($BA218,'[2]NonStandard DIS'!$Q$1:$X$542,8,FALSE)</f>
        <v>0</v>
      </c>
      <c r="BI218" s="77">
        <f t="shared" si="518"/>
        <v>1</v>
      </c>
      <c r="BJ218" s="77">
        <f t="shared" si="519"/>
        <v>6.9728499999999985E-2</v>
      </c>
      <c r="BK218" s="77">
        <f t="shared" si="500"/>
        <v>5.632878498097682E-3</v>
      </c>
      <c r="BL218" s="79">
        <v>0</v>
      </c>
      <c r="BM218" s="77">
        <f t="shared" si="531"/>
        <v>0</v>
      </c>
      <c r="BN218" s="77">
        <f t="shared" si="532"/>
        <v>0</v>
      </c>
      <c r="BO218" s="77">
        <f t="shared" si="533"/>
        <v>5.6775999999999997E-3</v>
      </c>
      <c r="BP218" s="77">
        <f t="shared" si="534"/>
        <v>4.7190657760731725E-4</v>
      </c>
    </row>
    <row r="219" spans="1:68">
      <c r="A219" t="s">
        <v>175</v>
      </c>
      <c r="B219" t="s">
        <v>176</v>
      </c>
      <c r="C219" s="197" t="str">
        <f t="shared" si="569"/>
        <v>Lifecycle_Balanced_326</v>
      </c>
      <c r="D219">
        <v>326</v>
      </c>
      <c r="E219">
        <f>VLOOKUP($D219,'[2]LC Balanced'!$Q$2:$U$542,2,FALSE)</f>
        <v>0</v>
      </c>
      <c r="F219">
        <f>VLOOKUP($D219,'[2]LC Balanced'!$Q$2:$U$542,3,FALSE)</f>
        <v>0.14899999999999999</v>
      </c>
      <c r="G219">
        <f>VLOOKUP($D219,'[2]LC Balanced'!$Q$2:$U$542,4,FALSE)</f>
        <v>0.85099999999999998</v>
      </c>
      <c r="H219">
        <f>VLOOKUP($D219,'[2]LC Balanced'!$Q$2:$U$542,5,FALSE)</f>
        <v>0</v>
      </c>
      <c r="I219" s="77">
        <f t="shared" si="513"/>
        <v>1</v>
      </c>
      <c r="J219" s="77">
        <f t="shared" si="514"/>
        <v>6.1987699999999986E-2</v>
      </c>
      <c r="K219" s="77">
        <f t="shared" si="504"/>
        <v>5.024442123284345E-3</v>
      </c>
      <c r="L219" s="76">
        <v>0</v>
      </c>
      <c r="M219" s="77">
        <f t="shared" si="520"/>
        <v>0</v>
      </c>
      <c r="N219" s="77">
        <f t="shared" si="521"/>
        <v>0</v>
      </c>
      <c r="O219" s="77">
        <f t="shared" si="522"/>
        <v>7.0062999999999992E-3</v>
      </c>
      <c r="P219" s="77">
        <f t="shared" si="523"/>
        <v>5.85741666996209E-4</v>
      </c>
      <c r="R219" t="s">
        <v>177</v>
      </c>
      <c r="S219" t="s">
        <v>176</v>
      </c>
      <c r="T219" s="197" t="str">
        <f t="shared" si="455"/>
        <v>Autopilot_Balanced_326</v>
      </c>
      <c r="U219">
        <v>326</v>
      </c>
      <c r="V219">
        <f>VLOOKUP($U219,'[2]AP Balanced'!$Q$1:$T$542,2,FALSE)</f>
        <v>0.77777777777777779</v>
      </c>
      <c r="W219">
        <f>VLOOKUP($U219,'[2]AP Balanced'!$Q$1:$T$542,3,FALSE)</f>
        <v>0.22222222222222221</v>
      </c>
      <c r="X219">
        <f>VLOOKUP($U219,'[2]AP Balanced'!$Q$1:$T$542,4,FALSE)</f>
        <v>0</v>
      </c>
      <c r="Y219" s="77">
        <f t="shared" si="570"/>
        <v>1</v>
      </c>
      <c r="Z219" s="77">
        <f t="shared" si="559"/>
        <v>6.1674999999999987E-2</v>
      </c>
      <c r="AA219" s="77">
        <f t="shared" si="560"/>
        <v>4.9997781870025904E-3</v>
      </c>
      <c r="AB219" s="79">
        <v>1</v>
      </c>
      <c r="AC219" s="77">
        <f t="shared" si="524"/>
        <v>8.0555555555555554E-3</v>
      </c>
      <c r="AD219" s="77">
        <f t="shared" si="515"/>
        <v>6.7378764057135498E-4</v>
      </c>
      <c r="AE219" s="77">
        <f t="shared" si="525"/>
        <v>2.5000000000000001E-3</v>
      </c>
      <c r="AF219" s="77">
        <f t="shared" si="515"/>
        <v>2.0857243058891584E-4</v>
      </c>
      <c r="AH219" t="s">
        <v>175</v>
      </c>
      <c r="AI219" t="s">
        <v>176</v>
      </c>
      <c r="AJ219" s="197" t="str">
        <f t="shared" si="571"/>
        <v>Lifecycle_Balanced_326</v>
      </c>
      <c r="AK219">
        <v>326</v>
      </c>
      <c r="AL219">
        <f>VLOOKUP($U219,[2]Standard_Balanced!$Q$1:$T$542,2,FALSE)</f>
        <v>0.77777777777777779</v>
      </c>
      <c r="AM219">
        <f>VLOOKUP($U219,[2]Standard_Balanced!$Q$1:$T$542,3,FALSE)</f>
        <v>0.22222222222222221</v>
      </c>
      <c r="AN219">
        <f>VLOOKUP($U219,[2]Standard_Balanced!$Q$1:$T$542,4,FALSE)</f>
        <v>0</v>
      </c>
      <c r="AO219" s="77">
        <f t="shared" si="501"/>
        <v>1</v>
      </c>
      <c r="AP219" s="77">
        <f t="shared" si="526"/>
        <v>6.1674999999999987E-2</v>
      </c>
      <c r="AQ219" s="77">
        <f t="shared" si="572"/>
        <v>4.9997781870025904E-3</v>
      </c>
      <c r="AR219" s="79">
        <v>0</v>
      </c>
      <c r="AS219" s="77">
        <f t="shared" si="527"/>
        <v>0</v>
      </c>
      <c r="AT219" s="77">
        <f t="shared" ref="AT219" si="582">1-(1-AS219)^(1/12)</f>
        <v>0</v>
      </c>
      <c r="AU219" s="77">
        <f t="shared" si="529"/>
        <v>2.5000000000000001E-3</v>
      </c>
      <c r="AV219" s="77">
        <f t="shared" ref="AV219" si="583">1-(1-AU219)^(1/12)</f>
        <v>2.0857243058891584E-4</v>
      </c>
      <c r="AX219" t="s">
        <v>178</v>
      </c>
      <c r="AY219" t="s">
        <v>160</v>
      </c>
      <c r="AZ219" s="197" t="str">
        <f t="shared" si="575"/>
        <v>DIS_Non-Standard_326</v>
      </c>
      <c r="BA219">
        <v>326</v>
      </c>
      <c r="BB219">
        <f>VLOOKUP($BA219,'[2]NonStandard DIS'!$Q$1:$X$542,2,FALSE)</f>
        <v>0</v>
      </c>
      <c r="BC219">
        <f>VLOOKUP($BA219,'[2]NonStandard DIS'!$Q$1:$X$542,3,FALSE)</f>
        <v>0</v>
      </c>
      <c r="BD219">
        <f>VLOOKUP($BA219,'[2]NonStandard DIS'!$Q$1:$X$542,4,FALSE)</f>
        <v>0.308</v>
      </c>
      <c r="BE219">
        <f>VLOOKUP($BA219,'[2]NonStandard DIS'!$Q$1:$X$542,5,FALSE)</f>
        <v>0.69199999999999995</v>
      </c>
      <c r="BF219">
        <f>VLOOKUP($BA219,'[2]NonStandard DIS'!$Q$1:$X$542,6,FALSE)</f>
        <v>0</v>
      </c>
      <c r="BG219">
        <f>VLOOKUP($BA219,'[2]NonStandard DIS'!$Q$1:$X$542,7,FALSE)</f>
        <v>0</v>
      </c>
      <c r="BH219">
        <f>VLOOKUP($BA219,'[2]NonStandard DIS'!$Q$1:$X$542,8,FALSE)</f>
        <v>0</v>
      </c>
      <c r="BI219" s="77">
        <f t="shared" si="518"/>
        <v>1</v>
      </c>
      <c r="BJ219" s="77">
        <f t="shared" si="519"/>
        <v>6.9728499999999985E-2</v>
      </c>
      <c r="BK219" s="77">
        <f t="shared" si="500"/>
        <v>5.632878498097682E-3</v>
      </c>
      <c r="BL219" s="79">
        <v>0</v>
      </c>
      <c r="BM219" s="77">
        <f t="shared" si="531"/>
        <v>0</v>
      </c>
      <c r="BN219" s="77">
        <f t="shared" si="532"/>
        <v>0</v>
      </c>
      <c r="BO219" s="77">
        <f t="shared" si="533"/>
        <v>5.6775999999999997E-3</v>
      </c>
      <c r="BP219" s="77">
        <f t="shared" si="534"/>
        <v>4.7190657760731725E-4</v>
      </c>
    </row>
    <row r="220" spans="1:68">
      <c r="A220" t="s">
        <v>175</v>
      </c>
      <c r="B220" t="s">
        <v>176</v>
      </c>
      <c r="C220" s="197" t="str">
        <f t="shared" si="569"/>
        <v>Lifecycle_Balanced_325</v>
      </c>
      <c r="D220">
        <v>325</v>
      </c>
      <c r="E220">
        <f>VLOOKUP($D220,'[2]LC Balanced'!$Q$2:$U$542,2,FALSE)</f>
        <v>0</v>
      </c>
      <c r="F220">
        <f>VLOOKUP($D220,'[2]LC Balanced'!$Q$2:$U$542,3,FALSE)</f>
        <v>0.14899999999999999</v>
      </c>
      <c r="G220">
        <f>VLOOKUP($D220,'[2]LC Balanced'!$Q$2:$U$542,4,FALSE)</f>
        <v>0.85099999999999998</v>
      </c>
      <c r="H220">
        <f>VLOOKUP($D220,'[2]LC Balanced'!$Q$2:$U$542,5,FALSE)</f>
        <v>0</v>
      </c>
      <c r="I220" s="77">
        <f t="shared" si="513"/>
        <v>1</v>
      </c>
      <c r="J220" s="77">
        <f t="shared" si="514"/>
        <v>6.1987699999999986E-2</v>
      </c>
      <c r="K220" s="77">
        <f t="shared" si="504"/>
        <v>5.024442123284345E-3</v>
      </c>
      <c r="L220" s="76">
        <v>0</v>
      </c>
      <c r="M220" s="77">
        <f t="shared" si="520"/>
        <v>0</v>
      </c>
      <c r="N220" s="77">
        <f t="shared" si="521"/>
        <v>0</v>
      </c>
      <c r="O220" s="77">
        <f t="shared" si="522"/>
        <v>7.0062999999999992E-3</v>
      </c>
      <c r="P220" s="77">
        <f t="shared" si="523"/>
        <v>5.85741666996209E-4</v>
      </c>
      <c r="R220" t="s">
        <v>177</v>
      </c>
      <c r="S220" t="s">
        <v>176</v>
      </c>
      <c r="T220" s="197" t="str">
        <f t="shared" si="455"/>
        <v>Autopilot_Balanced_325</v>
      </c>
      <c r="U220">
        <v>325</v>
      </c>
      <c r="V220">
        <f>VLOOKUP($U220,'[2]AP Balanced'!$Q$1:$T$542,2,FALSE)</f>
        <v>0.77777777777777779</v>
      </c>
      <c r="W220">
        <f>VLOOKUP($U220,'[2]AP Balanced'!$Q$1:$T$542,3,FALSE)</f>
        <v>0.22222222222222221</v>
      </c>
      <c r="X220">
        <f>VLOOKUP($U220,'[2]AP Balanced'!$Q$1:$T$542,4,FALSE)</f>
        <v>0</v>
      </c>
      <c r="Y220" s="77">
        <f t="shared" si="570"/>
        <v>1</v>
      </c>
      <c r="Z220" s="77">
        <f t="shared" si="559"/>
        <v>6.1674999999999987E-2</v>
      </c>
      <c r="AA220" s="77">
        <f t="shared" si="560"/>
        <v>4.9997781870025904E-3</v>
      </c>
      <c r="AB220" s="79">
        <v>1</v>
      </c>
      <c r="AC220" s="77">
        <f t="shared" si="524"/>
        <v>8.0555555555555554E-3</v>
      </c>
      <c r="AD220" s="77">
        <f t="shared" si="515"/>
        <v>6.7378764057135498E-4</v>
      </c>
      <c r="AE220" s="77">
        <f t="shared" si="525"/>
        <v>2.5000000000000001E-3</v>
      </c>
      <c r="AF220" s="77">
        <f t="shared" si="515"/>
        <v>2.0857243058891584E-4</v>
      </c>
      <c r="AH220" t="s">
        <v>175</v>
      </c>
      <c r="AI220" t="s">
        <v>176</v>
      </c>
      <c r="AJ220" s="197" t="str">
        <f t="shared" si="571"/>
        <v>Lifecycle_Balanced_325</v>
      </c>
      <c r="AK220">
        <v>325</v>
      </c>
      <c r="AL220">
        <f>VLOOKUP($U220,[2]Standard_Balanced!$Q$1:$T$542,2,FALSE)</f>
        <v>0.77777777777777779</v>
      </c>
      <c r="AM220">
        <f>VLOOKUP($U220,[2]Standard_Balanced!$Q$1:$T$542,3,FALSE)</f>
        <v>0.22222222222222221</v>
      </c>
      <c r="AN220">
        <f>VLOOKUP($U220,[2]Standard_Balanced!$Q$1:$T$542,4,FALSE)</f>
        <v>0</v>
      </c>
      <c r="AO220" s="77">
        <f t="shared" si="501"/>
        <v>1</v>
      </c>
      <c r="AP220" s="77">
        <f t="shared" si="526"/>
        <v>6.1674999999999987E-2</v>
      </c>
      <c r="AQ220" s="77">
        <f t="shared" si="572"/>
        <v>4.9997781870025904E-3</v>
      </c>
      <c r="AR220" s="79">
        <v>0</v>
      </c>
      <c r="AS220" s="77">
        <f t="shared" si="527"/>
        <v>0</v>
      </c>
      <c r="AT220" s="77">
        <f t="shared" ref="AT220" si="584">1-(1-AS220)^(1/12)</f>
        <v>0</v>
      </c>
      <c r="AU220" s="77">
        <f t="shared" si="529"/>
        <v>2.5000000000000001E-3</v>
      </c>
      <c r="AV220" s="77">
        <f t="shared" ref="AV220" si="585">1-(1-AU220)^(1/12)</f>
        <v>2.0857243058891584E-4</v>
      </c>
      <c r="AX220" t="s">
        <v>178</v>
      </c>
      <c r="AY220" t="s">
        <v>160</v>
      </c>
      <c r="AZ220" s="197" t="str">
        <f t="shared" si="575"/>
        <v>DIS_Non-Standard_325</v>
      </c>
      <c r="BA220">
        <v>325</v>
      </c>
      <c r="BB220">
        <f>VLOOKUP($BA220,'[2]NonStandard DIS'!$Q$1:$X$542,2,FALSE)</f>
        <v>0</v>
      </c>
      <c r="BC220">
        <f>VLOOKUP($BA220,'[2]NonStandard DIS'!$Q$1:$X$542,3,FALSE)</f>
        <v>0</v>
      </c>
      <c r="BD220">
        <f>VLOOKUP($BA220,'[2]NonStandard DIS'!$Q$1:$X$542,4,FALSE)</f>
        <v>0.308</v>
      </c>
      <c r="BE220">
        <f>VLOOKUP($BA220,'[2]NonStandard DIS'!$Q$1:$X$542,5,FALSE)</f>
        <v>0.69199999999999995</v>
      </c>
      <c r="BF220">
        <f>VLOOKUP($BA220,'[2]NonStandard DIS'!$Q$1:$X$542,6,FALSE)</f>
        <v>0</v>
      </c>
      <c r="BG220">
        <f>VLOOKUP($BA220,'[2]NonStandard DIS'!$Q$1:$X$542,7,FALSE)</f>
        <v>0</v>
      </c>
      <c r="BH220">
        <f>VLOOKUP($BA220,'[2]NonStandard DIS'!$Q$1:$X$542,8,FALSE)</f>
        <v>0</v>
      </c>
      <c r="BI220" s="77">
        <f t="shared" si="518"/>
        <v>1</v>
      </c>
      <c r="BJ220" s="77">
        <f t="shared" si="519"/>
        <v>6.9728499999999985E-2</v>
      </c>
      <c r="BK220" s="77">
        <f t="shared" si="500"/>
        <v>5.632878498097682E-3</v>
      </c>
      <c r="BL220" s="79">
        <v>0</v>
      </c>
      <c r="BM220" s="77">
        <f t="shared" si="531"/>
        <v>0</v>
      </c>
      <c r="BN220" s="77">
        <f t="shared" si="532"/>
        <v>0</v>
      </c>
      <c r="BO220" s="77">
        <f t="shared" si="533"/>
        <v>5.6775999999999997E-3</v>
      </c>
      <c r="BP220" s="77">
        <f t="shared" si="534"/>
        <v>4.7190657760731725E-4</v>
      </c>
    </row>
    <row r="221" spans="1:68">
      <c r="A221" t="s">
        <v>175</v>
      </c>
      <c r="B221" t="s">
        <v>176</v>
      </c>
      <c r="C221" s="197" t="str">
        <f t="shared" si="569"/>
        <v>Lifecycle_Balanced_324</v>
      </c>
      <c r="D221">
        <v>324</v>
      </c>
      <c r="E221">
        <f>VLOOKUP($D221,'[2]LC Balanced'!$Q$2:$U$542,2,FALSE)</f>
        <v>0</v>
      </c>
      <c r="F221">
        <f>VLOOKUP($D221,'[2]LC Balanced'!$Q$2:$U$542,3,FALSE)</f>
        <v>0.14899999999999999</v>
      </c>
      <c r="G221">
        <f>VLOOKUP($D221,'[2]LC Balanced'!$Q$2:$U$542,4,FALSE)</f>
        <v>0.85099999999999998</v>
      </c>
      <c r="H221">
        <f>VLOOKUP($D221,'[2]LC Balanced'!$Q$2:$U$542,5,FALSE)</f>
        <v>0</v>
      </c>
      <c r="I221" s="77">
        <f t="shared" si="513"/>
        <v>1</v>
      </c>
      <c r="J221" s="77">
        <f t="shared" si="514"/>
        <v>6.1987699999999986E-2</v>
      </c>
      <c r="K221" s="77">
        <f t="shared" si="504"/>
        <v>5.024442123284345E-3</v>
      </c>
      <c r="L221" s="76">
        <v>0</v>
      </c>
      <c r="M221" s="77">
        <f t="shared" si="520"/>
        <v>0</v>
      </c>
      <c r="N221" s="77">
        <f t="shared" si="521"/>
        <v>0</v>
      </c>
      <c r="O221" s="77">
        <f t="shared" si="522"/>
        <v>7.0062999999999992E-3</v>
      </c>
      <c r="P221" s="77">
        <f t="shared" si="523"/>
        <v>5.85741666996209E-4</v>
      </c>
      <c r="R221" t="s">
        <v>177</v>
      </c>
      <c r="S221" t="s">
        <v>176</v>
      </c>
      <c r="T221" s="197" t="str">
        <f t="shared" si="455"/>
        <v>Autopilot_Balanced_324</v>
      </c>
      <c r="U221">
        <v>324</v>
      </c>
      <c r="V221">
        <f>VLOOKUP($U221,'[2]AP Balanced'!$Q$1:$T$542,2,FALSE)</f>
        <v>0.77777777777777779</v>
      </c>
      <c r="W221">
        <f>VLOOKUP($U221,'[2]AP Balanced'!$Q$1:$T$542,3,FALSE)</f>
        <v>0.22222222222222221</v>
      </c>
      <c r="X221">
        <f>VLOOKUP($U221,'[2]AP Balanced'!$Q$1:$T$542,4,FALSE)</f>
        <v>0</v>
      </c>
      <c r="Y221" s="77">
        <f t="shared" si="570"/>
        <v>1</v>
      </c>
      <c r="Z221" s="77">
        <f t="shared" si="559"/>
        <v>6.1674999999999987E-2</v>
      </c>
      <c r="AA221" s="77">
        <f t="shared" si="560"/>
        <v>4.9997781870025904E-3</v>
      </c>
      <c r="AB221" s="79">
        <v>1</v>
      </c>
      <c r="AC221" s="77">
        <f t="shared" si="524"/>
        <v>8.0555555555555554E-3</v>
      </c>
      <c r="AD221" s="77">
        <f t="shared" si="515"/>
        <v>6.7378764057135498E-4</v>
      </c>
      <c r="AE221" s="77">
        <f t="shared" si="525"/>
        <v>2.5000000000000001E-3</v>
      </c>
      <c r="AF221" s="77">
        <f t="shared" si="515"/>
        <v>2.0857243058891584E-4</v>
      </c>
      <c r="AH221" t="s">
        <v>175</v>
      </c>
      <c r="AI221" t="s">
        <v>176</v>
      </c>
      <c r="AJ221" s="197" t="str">
        <f t="shared" si="571"/>
        <v>Lifecycle_Balanced_324</v>
      </c>
      <c r="AK221">
        <v>324</v>
      </c>
      <c r="AL221">
        <f>VLOOKUP($U221,[2]Standard_Balanced!$Q$1:$T$542,2,FALSE)</f>
        <v>0.77777777777777779</v>
      </c>
      <c r="AM221">
        <f>VLOOKUP($U221,[2]Standard_Balanced!$Q$1:$T$542,3,FALSE)</f>
        <v>0.22222222222222221</v>
      </c>
      <c r="AN221">
        <f>VLOOKUP($U221,[2]Standard_Balanced!$Q$1:$T$542,4,FALSE)</f>
        <v>0</v>
      </c>
      <c r="AO221" s="77">
        <f t="shared" si="501"/>
        <v>1</v>
      </c>
      <c r="AP221" s="77">
        <f t="shared" si="526"/>
        <v>6.1674999999999987E-2</v>
      </c>
      <c r="AQ221" s="77">
        <f t="shared" si="572"/>
        <v>4.9997781870025904E-3</v>
      </c>
      <c r="AR221" s="79">
        <v>0</v>
      </c>
      <c r="AS221" s="77">
        <f t="shared" si="527"/>
        <v>0</v>
      </c>
      <c r="AT221" s="77">
        <f t="shared" ref="AT221" si="586">1-(1-AS221)^(1/12)</f>
        <v>0</v>
      </c>
      <c r="AU221" s="77">
        <f t="shared" si="529"/>
        <v>2.5000000000000001E-3</v>
      </c>
      <c r="AV221" s="77">
        <f t="shared" ref="AV221" si="587">1-(1-AU221)^(1/12)</f>
        <v>2.0857243058891584E-4</v>
      </c>
      <c r="AX221" t="s">
        <v>178</v>
      </c>
      <c r="AY221" t="s">
        <v>160</v>
      </c>
      <c r="AZ221" s="197" t="str">
        <f t="shared" si="575"/>
        <v>DIS_Non-Standard_324</v>
      </c>
      <c r="BA221">
        <v>324</v>
      </c>
      <c r="BB221">
        <f>VLOOKUP($BA221,'[2]NonStandard DIS'!$Q$1:$X$542,2,FALSE)</f>
        <v>0</v>
      </c>
      <c r="BC221">
        <f>VLOOKUP($BA221,'[2]NonStandard DIS'!$Q$1:$X$542,3,FALSE)</f>
        <v>0</v>
      </c>
      <c r="BD221">
        <f>VLOOKUP($BA221,'[2]NonStandard DIS'!$Q$1:$X$542,4,FALSE)</f>
        <v>0.308</v>
      </c>
      <c r="BE221">
        <f>VLOOKUP($BA221,'[2]NonStandard DIS'!$Q$1:$X$542,5,FALSE)</f>
        <v>0.69199999999999995</v>
      </c>
      <c r="BF221">
        <f>VLOOKUP($BA221,'[2]NonStandard DIS'!$Q$1:$X$542,6,FALSE)</f>
        <v>0</v>
      </c>
      <c r="BG221">
        <f>VLOOKUP($BA221,'[2]NonStandard DIS'!$Q$1:$X$542,7,FALSE)</f>
        <v>0</v>
      </c>
      <c r="BH221">
        <f>VLOOKUP($BA221,'[2]NonStandard DIS'!$Q$1:$X$542,8,FALSE)</f>
        <v>0</v>
      </c>
      <c r="BI221" s="77">
        <f t="shared" si="518"/>
        <v>1</v>
      </c>
      <c r="BJ221" s="77">
        <f t="shared" si="519"/>
        <v>6.9728499999999985E-2</v>
      </c>
      <c r="BK221" s="77">
        <f t="shared" si="500"/>
        <v>5.632878498097682E-3</v>
      </c>
      <c r="BL221" s="79">
        <v>0</v>
      </c>
      <c r="BM221" s="77">
        <f t="shared" si="531"/>
        <v>0</v>
      </c>
      <c r="BN221" s="77">
        <f t="shared" si="532"/>
        <v>0</v>
      </c>
      <c r="BO221" s="77">
        <f t="shared" si="533"/>
        <v>5.6775999999999997E-3</v>
      </c>
      <c r="BP221" s="77">
        <f t="shared" si="534"/>
        <v>4.7190657760731725E-4</v>
      </c>
    </row>
    <row r="222" spans="1:68">
      <c r="A222" t="s">
        <v>175</v>
      </c>
      <c r="B222" t="s">
        <v>176</v>
      </c>
      <c r="C222" s="197" t="str">
        <f t="shared" si="569"/>
        <v>Lifecycle_Balanced_323</v>
      </c>
      <c r="D222">
        <v>323</v>
      </c>
      <c r="E222">
        <f>VLOOKUP($D222,'[2]LC Balanced'!$Q$2:$U$542,2,FALSE)</f>
        <v>0</v>
      </c>
      <c r="F222">
        <f>VLOOKUP($D222,'[2]LC Balanced'!$Q$2:$U$542,3,FALSE)</f>
        <v>0.14899999999999999</v>
      </c>
      <c r="G222">
        <f>VLOOKUP($D222,'[2]LC Balanced'!$Q$2:$U$542,4,FALSE)</f>
        <v>0.85099999999999998</v>
      </c>
      <c r="H222">
        <f>VLOOKUP($D222,'[2]LC Balanced'!$Q$2:$U$542,5,FALSE)</f>
        <v>0</v>
      </c>
      <c r="I222" s="77">
        <f t="shared" si="513"/>
        <v>1</v>
      </c>
      <c r="J222" s="77">
        <f t="shared" si="514"/>
        <v>6.1987699999999986E-2</v>
      </c>
      <c r="K222" s="77">
        <f t="shared" si="504"/>
        <v>5.024442123284345E-3</v>
      </c>
      <c r="L222" s="76">
        <v>0</v>
      </c>
      <c r="M222" s="77">
        <f t="shared" si="520"/>
        <v>0</v>
      </c>
      <c r="N222" s="77">
        <f t="shared" si="521"/>
        <v>0</v>
      </c>
      <c r="O222" s="77">
        <f t="shared" si="522"/>
        <v>7.0062999999999992E-3</v>
      </c>
      <c r="P222" s="77">
        <f t="shared" si="523"/>
        <v>5.85741666996209E-4</v>
      </c>
      <c r="R222" t="s">
        <v>177</v>
      </c>
      <c r="S222" t="s">
        <v>176</v>
      </c>
      <c r="T222" s="197" t="str">
        <f t="shared" si="455"/>
        <v>Autopilot_Balanced_323</v>
      </c>
      <c r="U222">
        <v>323</v>
      </c>
      <c r="V222">
        <f>VLOOKUP($U222,'[2]AP Balanced'!$Q$1:$T$542,2,FALSE)</f>
        <v>0.77777777777777779</v>
      </c>
      <c r="W222">
        <f>VLOOKUP($U222,'[2]AP Balanced'!$Q$1:$T$542,3,FALSE)</f>
        <v>0.22222222222222221</v>
      </c>
      <c r="X222">
        <f>VLOOKUP($U222,'[2]AP Balanced'!$Q$1:$T$542,4,FALSE)</f>
        <v>0</v>
      </c>
      <c r="Y222" s="77">
        <f t="shared" si="570"/>
        <v>1</v>
      </c>
      <c r="Z222" s="77">
        <f t="shared" si="559"/>
        <v>6.1674999999999987E-2</v>
      </c>
      <c r="AA222" s="77">
        <f t="shared" si="560"/>
        <v>4.9997781870025904E-3</v>
      </c>
      <c r="AB222" s="79">
        <v>1</v>
      </c>
      <c r="AC222" s="77">
        <f t="shared" si="524"/>
        <v>8.0555555555555554E-3</v>
      </c>
      <c r="AD222" s="77">
        <f t="shared" si="515"/>
        <v>6.7378764057135498E-4</v>
      </c>
      <c r="AE222" s="77">
        <f t="shared" si="525"/>
        <v>2.5000000000000001E-3</v>
      </c>
      <c r="AF222" s="77">
        <f t="shared" si="515"/>
        <v>2.0857243058891584E-4</v>
      </c>
      <c r="AH222" t="s">
        <v>175</v>
      </c>
      <c r="AI222" t="s">
        <v>176</v>
      </c>
      <c r="AJ222" s="197" t="str">
        <f t="shared" si="571"/>
        <v>Lifecycle_Balanced_323</v>
      </c>
      <c r="AK222">
        <v>323</v>
      </c>
      <c r="AL222">
        <f>VLOOKUP($U222,[2]Standard_Balanced!$Q$1:$T$542,2,FALSE)</f>
        <v>0.77777777777777779</v>
      </c>
      <c r="AM222">
        <f>VLOOKUP($U222,[2]Standard_Balanced!$Q$1:$T$542,3,FALSE)</f>
        <v>0.22222222222222221</v>
      </c>
      <c r="AN222">
        <f>VLOOKUP($U222,[2]Standard_Balanced!$Q$1:$T$542,4,FALSE)</f>
        <v>0</v>
      </c>
      <c r="AO222" s="77">
        <f t="shared" si="501"/>
        <v>1</v>
      </c>
      <c r="AP222" s="77">
        <f t="shared" si="526"/>
        <v>6.1674999999999987E-2</v>
      </c>
      <c r="AQ222" s="77">
        <f t="shared" si="572"/>
        <v>4.9997781870025904E-3</v>
      </c>
      <c r="AR222" s="79">
        <v>0</v>
      </c>
      <c r="AS222" s="77">
        <f t="shared" si="527"/>
        <v>0</v>
      </c>
      <c r="AT222" s="77">
        <f t="shared" ref="AT222" si="588">1-(1-AS222)^(1/12)</f>
        <v>0</v>
      </c>
      <c r="AU222" s="77">
        <f t="shared" si="529"/>
        <v>2.5000000000000001E-3</v>
      </c>
      <c r="AV222" s="77">
        <f t="shared" ref="AV222" si="589">1-(1-AU222)^(1/12)</f>
        <v>2.0857243058891584E-4</v>
      </c>
      <c r="AX222" t="s">
        <v>178</v>
      </c>
      <c r="AY222" t="s">
        <v>160</v>
      </c>
      <c r="AZ222" s="197" t="str">
        <f t="shared" si="575"/>
        <v>DIS_Non-Standard_323</v>
      </c>
      <c r="BA222">
        <v>323</v>
      </c>
      <c r="BB222">
        <f>VLOOKUP($BA222,'[2]NonStandard DIS'!$Q$1:$X$542,2,FALSE)</f>
        <v>0</v>
      </c>
      <c r="BC222">
        <f>VLOOKUP($BA222,'[2]NonStandard DIS'!$Q$1:$X$542,3,FALSE)</f>
        <v>0</v>
      </c>
      <c r="BD222">
        <f>VLOOKUP($BA222,'[2]NonStandard DIS'!$Q$1:$X$542,4,FALSE)</f>
        <v>0.308</v>
      </c>
      <c r="BE222">
        <f>VLOOKUP($BA222,'[2]NonStandard DIS'!$Q$1:$X$542,5,FALSE)</f>
        <v>0.69199999999999995</v>
      </c>
      <c r="BF222">
        <f>VLOOKUP($BA222,'[2]NonStandard DIS'!$Q$1:$X$542,6,FALSE)</f>
        <v>0</v>
      </c>
      <c r="BG222">
        <f>VLOOKUP($BA222,'[2]NonStandard DIS'!$Q$1:$X$542,7,FALSE)</f>
        <v>0</v>
      </c>
      <c r="BH222">
        <f>VLOOKUP($BA222,'[2]NonStandard DIS'!$Q$1:$X$542,8,FALSE)</f>
        <v>0</v>
      </c>
      <c r="BI222" s="77">
        <f t="shared" si="518"/>
        <v>1</v>
      </c>
      <c r="BJ222" s="77">
        <f t="shared" si="519"/>
        <v>6.9728499999999985E-2</v>
      </c>
      <c r="BK222" s="77">
        <f t="shared" si="500"/>
        <v>5.632878498097682E-3</v>
      </c>
      <c r="BL222" s="79">
        <v>0</v>
      </c>
      <c r="BM222" s="77">
        <f t="shared" si="531"/>
        <v>0</v>
      </c>
      <c r="BN222" s="77">
        <f t="shared" si="532"/>
        <v>0</v>
      </c>
      <c r="BO222" s="77">
        <f t="shared" si="533"/>
        <v>5.6775999999999997E-3</v>
      </c>
      <c r="BP222" s="77">
        <f t="shared" si="534"/>
        <v>4.7190657760731725E-4</v>
      </c>
    </row>
    <row r="223" spans="1:68">
      <c r="A223" t="s">
        <v>175</v>
      </c>
      <c r="B223" t="s">
        <v>176</v>
      </c>
      <c r="C223" s="197" t="str">
        <f t="shared" si="569"/>
        <v>Lifecycle_Balanced_322</v>
      </c>
      <c r="D223">
        <v>322</v>
      </c>
      <c r="E223">
        <f>VLOOKUP($D223,'[2]LC Balanced'!$Q$2:$U$542,2,FALSE)</f>
        <v>0</v>
      </c>
      <c r="F223">
        <f>VLOOKUP($D223,'[2]LC Balanced'!$Q$2:$U$542,3,FALSE)</f>
        <v>0.14899999999999999</v>
      </c>
      <c r="G223">
        <f>VLOOKUP($D223,'[2]LC Balanced'!$Q$2:$U$542,4,FALSE)</f>
        <v>0.85099999999999998</v>
      </c>
      <c r="H223">
        <f>VLOOKUP($D223,'[2]LC Balanced'!$Q$2:$U$542,5,FALSE)</f>
        <v>0</v>
      </c>
      <c r="I223" s="77">
        <f t="shared" si="513"/>
        <v>1</v>
      </c>
      <c r="J223" s="77">
        <f t="shared" si="514"/>
        <v>6.1987699999999986E-2</v>
      </c>
      <c r="K223" s="77">
        <f t="shared" si="504"/>
        <v>5.024442123284345E-3</v>
      </c>
      <c r="L223" s="76">
        <v>0</v>
      </c>
      <c r="M223" s="77">
        <f t="shared" si="520"/>
        <v>0</v>
      </c>
      <c r="N223" s="77">
        <f t="shared" si="521"/>
        <v>0</v>
      </c>
      <c r="O223" s="77">
        <f t="shared" si="522"/>
        <v>7.0062999999999992E-3</v>
      </c>
      <c r="P223" s="77">
        <f t="shared" si="523"/>
        <v>5.85741666996209E-4</v>
      </c>
      <c r="R223" t="s">
        <v>177</v>
      </c>
      <c r="S223" t="s">
        <v>176</v>
      </c>
      <c r="T223" s="197" t="str">
        <f t="shared" si="455"/>
        <v>Autopilot_Balanced_322</v>
      </c>
      <c r="U223">
        <v>322</v>
      </c>
      <c r="V223">
        <f>VLOOKUP($U223,'[2]AP Balanced'!$Q$1:$T$542,2,FALSE)</f>
        <v>0.77777777777777779</v>
      </c>
      <c r="W223">
        <f>VLOOKUP($U223,'[2]AP Balanced'!$Q$1:$T$542,3,FALSE)</f>
        <v>0.22222222222222221</v>
      </c>
      <c r="X223">
        <f>VLOOKUP($U223,'[2]AP Balanced'!$Q$1:$T$542,4,FALSE)</f>
        <v>0</v>
      </c>
      <c r="Y223" s="77">
        <f t="shared" si="570"/>
        <v>1</v>
      </c>
      <c r="Z223" s="77">
        <f t="shared" si="559"/>
        <v>6.1674999999999987E-2</v>
      </c>
      <c r="AA223" s="77">
        <f t="shared" si="560"/>
        <v>4.9997781870025904E-3</v>
      </c>
      <c r="AB223" s="79">
        <v>1</v>
      </c>
      <c r="AC223" s="77">
        <f t="shared" si="524"/>
        <v>8.0555555555555554E-3</v>
      </c>
      <c r="AD223" s="77">
        <f t="shared" si="515"/>
        <v>6.7378764057135498E-4</v>
      </c>
      <c r="AE223" s="77">
        <f t="shared" si="525"/>
        <v>2.5000000000000001E-3</v>
      </c>
      <c r="AF223" s="77">
        <f t="shared" si="515"/>
        <v>2.0857243058891584E-4</v>
      </c>
      <c r="AH223" t="s">
        <v>175</v>
      </c>
      <c r="AI223" t="s">
        <v>176</v>
      </c>
      <c r="AJ223" s="197" t="str">
        <f t="shared" si="571"/>
        <v>Lifecycle_Balanced_322</v>
      </c>
      <c r="AK223">
        <v>322</v>
      </c>
      <c r="AL223">
        <f>VLOOKUP($U223,[2]Standard_Balanced!$Q$1:$T$542,2,FALSE)</f>
        <v>0.77777777777777779</v>
      </c>
      <c r="AM223">
        <f>VLOOKUP($U223,[2]Standard_Balanced!$Q$1:$T$542,3,FALSE)</f>
        <v>0.22222222222222221</v>
      </c>
      <c r="AN223">
        <f>VLOOKUP($U223,[2]Standard_Balanced!$Q$1:$T$542,4,FALSE)</f>
        <v>0</v>
      </c>
      <c r="AO223" s="77">
        <f t="shared" si="501"/>
        <v>1</v>
      </c>
      <c r="AP223" s="77">
        <f t="shared" si="526"/>
        <v>6.1674999999999987E-2</v>
      </c>
      <c r="AQ223" s="77">
        <f t="shared" si="572"/>
        <v>4.9997781870025904E-3</v>
      </c>
      <c r="AR223" s="79">
        <v>0</v>
      </c>
      <c r="AS223" s="77">
        <f t="shared" si="527"/>
        <v>0</v>
      </c>
      <c r="AT223" s="77">
        <f t="shared" ref="AT223" si="590">1-(1-AS223)^(1/12)</f>
        <v>0</v>
      </c>
      <c r="AU223" s="77">
        <f t="shared" si="529"/>
        <v>2.5000000000000001E-3</v>
      </c>
      <c r="AV223" s="77">
        <f t="shared" ref="AV223" si="591">1-(1-AU223)^(1/12)</f>
        <v>2.0857243058891584E-4</v>
      </c>
      <c r="AX223" t="s">
        <v>178</v>
      </c>
      <c r="AY223" t="s">
        <v>160</v>
      </c>
      <c r="AZ223" s="197" t="str">
        <f t="shared" si="575"/>
        <v>DIS_Non-Standard_322</v>
      </c>
      <c r="BA223">
        <v>322</v>
      </c>
      <c r="BB223">
        <f>VLOOKUP($BA223,'[2]NonStandard DIS'!$Q$1:$X$542,2,FALSE)</f>
        <v>0</v>
      </c>
      <c r="BC223">
        <f>VLOOKUP($BA223,'[2]NonStandard DIS'!$Q$1:$X$542,3,FALSE)</f>
        <v>0</v>
      </c>
      <c r="BD223">
        <f>VLOOKUP($BA223,'[2]NonStandard DIS'!$Q$1:$X$542,4,FALSE)</f>
        <v>0.308</v>
      </c>
      <c r="BE223">
        <f>VLOOKUP($BA223,'[2]NonStandard DIS'!$Q$1:$X$542,5,FALSE)</f>
        <v>0.69199999999999995</v>
      </c>
      <c r="BF223">
        <f>VLOOKUP($BA223,'[2]NonStandard DIS'!$Q$1:$X$542,6,FALSE)</f>
        <v>0</v>
      </c>
      <c r="BG223">
        <f>VLOOKUP($BA223,'[2]NonStandard DIS'!$Q$1:$X$542,7,FALSE)</f>
        <v>0</v>
      </c>
      <c r="BH223">
        <f>VLOOKUP($BA223,'[2]NonStandard DIS'!$Q$1:$X$542,8,FALSE)</f>
        <v>0</v>
      </c>
      <c r="BI223" s="77">
        <f t="shared" si="518"/>
        <v>1</v>
      </c>
      <c r="BJ223" s="77">
        <f t="shared" si="519"/>
        <v>6.9728499999999985E-2</v>
      </c>
      <c r="BK223" s="77">
        <f t="shared" si="500"/>
        <v>5.632878498097682E-3</v>
      </c>
      <c r="BL223" s="79">
        <v>0</v>
      </c>
      <c r="BM223" s="77">
        <f t="shared" si="531"/>
        <v>0</v>
      </c>
      <c r="BN223" s="77">
        <f t="shared" si="532"/>
        <v>0</v>
      </c>
      <c r="BO223" s="77">
        <f t="shared" si="533"/>
        <v>5.6775999999999997E-3</v>
      </c>
      <c r="BP223" s="77">
        <f t="shared" si="534"/>
        <v>4.7190657760731725E-4</v>
      </c>
    </row>
    <row r="224" spans="1:68">
      <c r="A224" t="s">
        <v>175</v>
      </c>
      <c r="B224" t="s">
        <v>176</v>
      </c>
      <c r="C224" s="197" t="str">
        <f t="shared" si="569"/>
        <v>Lifecycle_Balanced_321</v>
      </c>
      <c r="D224">
        <v>321</v>
      </c>
      <c r="E224">
        <f>VLOOKUP($D224,'[2]LC Balanced'!$Q$2:$U$542,2,FALSE)</f>
        <v>0</v>
      </c>
      <c r="F224">
        <f>VLOOKUP($D224,'[2]LC Balanced'!$Q$2:$U$542,3,FALSE)</f>
        <v>0.14899999999999999</v>
      </c>
      <c r="G224">
        <f>VLOOKUP($D224,'[2]LC Balanced'!$Q$2:$U$542,4,FALSE)</f>
        <v>0.85099999999999998</v>
      </c>
      <c r="H224">
        <f>VLOOKUP($D224,'[2]LC Balanced'!$Q$2:$U$542,5,FALSE)</f>
        <v>0</v>
      </c>
      <c r="I224" s="77">
        <f t="shared" si="513"/>
        <v>1</v>
      </c>
      <c r="J224" s="77">
        <f t="shared" si="514"/>
        <v>6.1987699999999986E-2</v>
      </c>
      <c r="K224" s="77">
        <f t="shared" si="504"/>
        <v>5.024442123284345E-3</v>
      </c>
      <c r="L224" s="76">
        <v>0</v>
      </c>
      <c r="M224" s="77">
        <f t="shared" si="520"/>
        <v>0</v>
      </c>
      <c r="N224" s="77">
        <f t="shared" si="521"/>
        <v>0</v>
      </c>
      <c r="O224" s="77">
        <f t="shared" si="522"/>
        <v>7.0062999999999992E-3</v>
      </c>
      <c r="P224" s="77">
        <f t="shared" si="523"/>
        <v>5.85741666996209E-4</v>
      </c>
      <c r="R224" t="s">
        <v>177</v>
      </c>
      <c r="S224" t="s">
        <v>176</v>
      </c>
      <c r="T224" s="197" t="str">
        <f t="shared" si="455"/>
        <v>Autopilot_Balanced_321</v>
      </c>
      <c r="U224">
        <v>321</v>
      </c>
      <c r="V224">
        <f>VLOOKUP($U224,'[2]AP Balanced'!$Q$1:$T$542,2,FALSE)</f>
        <v>0.77777777777777779</v>
      </c>
      <c r="W224">
        <f>VLOOKUP($U224,'[2]AP Balanced'!$Q$1:$T$542,3,FALSE)</f>
        <v>0.22222222222222221</v>
      </c>
      <c r="X224">
        <f>VLOOKUP($U224,'[2]AP Balanced'!$Q$1:$T$542,4,FALSE)</f>
        <v>0</v>
      </c>
      <c r="Y224" s="77">
        <f t="shared" si="570"/>
        <v>1</v>
      </c>
      <c r="Z224" s="77">
        <f t="shared" si="559"/>
        <v>6.1674999999999987E-2</v>
      </c>
      <c r="AA224" s="77">
        <f t="shared" si="560"/>
        <v>4.9997781870025904E-3</v>
      </c>
      <c r="AB224" s="79">
        <v>1</v>
      </c>
      <c r="AC224" s="77">
        <f t="shared" si="524"/>
        <v>8.0555555555555554E-3</v>
      </c>
      <c r="AD224" s="77">
        <f t="shared" si="515"/>
        <v>6.7378764057135498E-4</v>
      </c>
      <c r="AE224" s="77">
        <f t="shared" si="525"/>
        <v>2.5000000000000001E-3</v>
      </c>
      <c r="AF224" s="77">
        <f t="shared" si="515"/>
        <v>2.0857243058891584E-4</v>
      </c>
      <c r="AH224" t="s">
        <v>175</v>
      </c>
      <c r="AI224" t="s">
        <v>176</v>
      </c>
      <c r="AJ224" s="197" t="str">
        <f t="shared" si="571"/>
        <v>Lifecycle_Balanced_321</v>
      </c>
      <c r="AK224">
        <v>321</v>
      </c>
      <c r="AL224">
        <f>VLOOKUP($U224,[2]Standard_Balanced!$Q$1:$T$542,2,FALSE)</f>
        <v>0.77777777777777779</v>
      </c>
      <c r="AM224">
        <f>VLOOKUP($U224,[2]Standard_Balanced!$Q$1:$T$542,3,FALSE)</f>
        <v>0.22222222222222221</v>
      </c>
      <c r="AN224">
        <f>VLOOKUP($U224,[2]Standard_Balanced!$Q$1:$T$542,4,FALSE)</f>
        <v>0</v>
      </c>
      <c r="AO224" s="77">
        <f t="shared" si="501"/>
        <v>1</v>
      </c>
      <c r="AP224" s="77">
        <f t="shared" si="526"/>
        <v>6.1674999999999987E-2</v>
      </c>
      <c r="AQ224" s="77">
        <f t="shared" si="572"/>
        <v>4.9997781870025904E-3</v>
      </c>
      <c r="AR224" s="79">
        <v>0</v>
      </c>
      <c r="AS224" s="77">
        <f t="shared" si="527"/>
        <v>0</v>
      </c>
      <c r="AT224" s="77">
        <f t="shared" ref="AT224" si="592">1-(1-AS224)^(1/12)</f>
        <v>0</v>
      </c>
      <c r="AU224" s="77">
        <f t="shared" si="529"/>
        <v>2.5000000000000001E-3</v>
      </c>
      <c r="AV224" s="77">
        <f t="shared" ref="AV224" si="593">1-(1-AU224)^(1/12)</f>
        <v>2.0857243058891584E-4</v>
      </c>
      <c r="AX224" t="s">
        <v>178</v>
      </c>
      <c r="AY224" t="s">
        <v>160</v>
      </c>
      <c r="AZ224" s="197" t="str">
        <f t="shared" si="575"/>
        <v>DIS_Non-Standard_321</v>
      </c>
      <c r="BA224">
        <v>321</v>
      </c>
      <c r="BB224">
        <f>VLOOKUP($BA224,'[2]NonStandard DIS'!$Q$1:$X$542,2,FALSE)</f>
        <v>0</v>
      </c>
      <c r="BC224">
        <f>VLOOKUP($BA224,'[2]NonStandard DIS'!$Q$1:$X$542,3,FALSE)</f>
        <v>0</v>
      </c>
      <c r="BD224">
        <f>VLOOKUP($BA224,'[2]NonStandard DIS'!$Q$1:$X$542,4,FALSE)</f>
        <v>0.308</v>
      </c>
      <c r="BE224">
        <f>VLOOKUP($BA224,'[2]NonStandard DIS'!$Q$1:$X$542,5,FALSE)</f>
        <v>0.69199999999999995</v>
      </c>
      <c r="BF224">
        <f>VLOOKUP($BA224,'[2]NonStandard DIS'!$Q$1:$X$542,6,FALSE)</f>
        <v>0</v>
      </c>
      <c r="BG224">
        <f>VLOOKUP($BA224,'[2]NonStandard DIS'!$Q$1:$X$542,7,FALSE)</f>
        <v>0</v>
      </c>
      <c r="BH224">
        <f>VLOOKUP($BA224,'[2]NonStandard DIS'!$Q$1:$X$542,8,FALSE)</f>
        <v>0</v>
      </c>
      <c r="BI224" s="77">
        <f t="shared" si="518"/>
        <v>1</v>
      </c>
      <c r="BJ224" s="77">
        <f t="shared" si="519"/>
        <v>6.9728499999999985E-2</v>
      </c>
      <c r="BK224" s="77">
        <f t="shared" si="500"/>
        <v>5.632878498097682E-3</v>
      </c>
      <c r="BL224" s="79">
        <v>0</v>
      </c>
      <c r="BM224" s="77">
        <f t="shared" si="531"/>
        <v>0</v>
      </c>
      <c r="BN224" s="77">
        <f t="shared" si="532"/>
        <v>0</v>
      </c>
      <c r="BO224" s="77">
        <f t="shared" si="533"/>
        <v>5.6775999999999997E-3</v>
      </c>
      <c r="BP224" s="77">
        <f t="shared" si="534"/>
        <v>4.7190657760731725E-4</v>
      </c>
    </row>
    <row r="225" spans="1:68">
      <c r="A225" t="s">
        <v>175</v>
      </c>
      <c r="B225" t="s">
        <v>176</v>
      </c>
      <c r="C225" s="197" t="str">
        <f t="shared" si="569"/>
        <v>Lifecycle_Balanced_320</v>
      </c>
      <c r="D225">
        <v>320</v>
      </c>
      <c r="E225">
        <f>VLOOKUP($D225,'[2]LC Balanced'!$Q$2:$U$542,2,FALSE)</f>
        <v>0</v>
      </c>
      <c r="F225">
        <f>VLOOKUP($D225,'[2]LC Balanced'!$Q$2:$U$542,3,FALSE)</f>
        <v>0.14899999999999999</v>
      </c>
      <c r="G225">
        <f>VLOOKUP($D225,'[2]LC Balanced'!$Q$2:$U$542,4,FALSE)</f>
        <v>0.85099999999999998</v>
      </c>
      <c r="H225">
        <f>VLOOKUP($D225,'[2]LC Balanced'!$Q$2:$U$542,5,FALSE)</f>
        <v>0</v>
      </c>
      <c r="I225" s="77">
        <f t="shared" si="513"/>
        <v>1</v>
      </c>
      <c r="J225" s="77">
        <f t="shared" si="514"/>
        <v>6.1987699999999986E-2</v>
      </c>
      <c r="K225" s="77">
        <f t="shared" si="504"/>
        <v>5.024442123284345E-3</v>
      </c>
      <c r="L225" s="76">
        <v>0</v>
      </c>
      <c r="M225" s="77">
        <f t="shared" si="520"/>
        <v>0</v>
      </c>
      <c r="N225" s="77">
        <f t="shared" si="521"/>
        <v>0</v>
      </c>
      <c r="O225" s="77">
        <f t="shared" si="522"/>
        <v>7.0062999999999992E-3</v>
      </c>
      <c r="P225" s="77">
        <f t="shared" si="523"/>
        <v>5.85741666996209E-4</v>
      </c>
      <c r="R225" t="s">
        <v>177</v>
      </c>
      <c r="S225" t="s">
        <v>176</v>
      </c>
      <c r="T225" s="197" t="str">
        <f t="shared" si="455"/>
        <v>Autopilot_Balanced_320</v>
      </c>
      <c r="U225">
        <v>320</v>
      </c>
      <c r="V225">
        <f>VLOOKUP($U225,'[2]AP Balanced'!$Q$1:$T$542,2,FALSE)</f>
        <v>0.77777777777777779</v>
      </c>
      <c r="W225">
        <f>VLOOKUP($U225,'[2]AP Balanced'!$Q$1:$T$542,3,FALSE)</f>
        <v>0.22222222222222221</v>
      </c>
      <c r="X225">
        <f>VLOOKUP($U225,'[2]AP Balanced'!$Q$1:$T$542,4,FALSE)</f>
        <v>0</v>
      </c>
      <c r="Y225" s="77">
        <f t="shared" si="570"/>
        <v>1</v>
      </c>
      <c r="Z225" s="77">
        <f t="shared" si="559"/>
        <v>6.1674999999999987E-2</v>
      </c>
      <c r="AA225" s="77">
        <f t="shared" si="560"/>
        <v>4.9997781870025904E-3</v>
      </c>
      <c r="AB225" s="79">
        <v>1</v>
      </c>
      <c r="AC225" s="77">
        <f t="shared" si="524"/>
        <v>8.0555555555555554E-3</v>
      </c>
      <c r="AD225" s="77">
        <f t="shared" si="515"/>
        <v>6.7378764057135498E-4</v>
      </c>
      <c r="AE225" s="77">
        <f t="shared" si="525"/>
        <v>2.5000000000000001E-3</v>
      </c>
      <c r="AF225" s="77">
        <f t="shared" si="515"/>
        <v>2.0857243058891584E-4</v>
      </c>
      <c r="AH225" t="s">
        <v>175</v>
      </c>
      <c r="AI225" t="s">
        <v>176</v>
      </c>
      <c r="AJ225" s="197" t="str">
        <f t="shared" si="571"/>
        <v>Lifecycle_Balanced_320</v>
      </c>
      <c r="AK225">
        <v>320</v>
      </c>
      <c r="AL225">
        <f>VLOOKUP($U225,[2]Standard_Balanced!$Q$1:$T$542,2,FALSE)</f>
        <v>0.77777777777777779</v>
      </c>
      <c r="AM225">
        <f>VLOOKUP($U225,[2]Standard_Balanced!$Q$1:$T$542,3,FALSE)</f>
        <v>0.22222222222222221</v>
      </c>
      <c r="AN225">
        <f>VLOOKUP($U225,[2]Standard_Balanced!$Q$1:$T$542,4,FALSE)</f>
        <v>0</v>
      </c>
      <c r="AO225" s="77">
        <f t="shared" si="501"/>
        <v>1</v>
      </c>
      <c r="AP225" s="77">
        <f t="shared" si="526"/>
        <v>6.1674999999999987E-2</v>
      </c>
      <c r="AQ225" s="77">
        <f t="shared" si="572"/>
        <v>4.9997781870025904E-3</v>
      </c>
      <c r="AR225" s="79">
        <v>0</v>
      </c>
      <c r="AS225" s="77">
        <f t="shared" si="527"/>
        <v>0</v>
      </c>
      <c r="AT225" s="77">
        <f t="shared" ref="AT225" si="594">1-(1-AS225)^(1/12)</f>
        <v>0</v>
      </c>
      <c r="AU225" s="77">
        <f t="shared" si="529"/>
        <v>2.5000000000000001E-3</v>
      </c>
      <c r="AV225" s="77">
        <f t="shared" ref="AV225" si="595">1-(1-AU225)^(1/12)</f>
        <v>2.0857243058891584E-4</v>
      </c>
      <c r="AX225" t="s">
        <v>178</v>
      </c>
      <c r="AY225" t="s">
        <v>160</v>
      </c>
      <c r="AZ225" s="197" t="str">
        <f t="shared" si="575"/>
        <v>DIS_Non-Standard_320</v>
      </c>
      <c r="BA225">
        <v>320</v>
      </c>
      <c r="BB225">
        <f>VLOOKUP($BA225,'[2]NonStandard DIS'!$Q$1:$X$542,2,FALSE)</f>
        <v>0</v>
      </c>
      <c r="BC225">
        <f>VLOOKUP($BA225,'[2]NonStandard DIS'!$Q$1:$X$542,3,FALSE)</f>
        <v>0</v>
      </c>
      <c r="BD225">
        <f>VLOOKUP($BA225,'[2]NonStandard DIS'!$Q$1:$X$542,4,FALSE)</f>
        <v>0.308</v>
      </c>
      <c r="BE225">
        <f>VLOOKUP($BA225,'[2]NonStandard DIS'!$Q$1:$X$542,5,FALSE)</f>
        <v>0.69199999999999995</v>
      </c>
      <c r="BF225">
        <f>VLOOKUP($BA225,'[2]NonStandard DIS'!$Q$1:$X$542,6,FALSE)</f>
        <v>0</v>
      </c>
      <c r="BG225">
        <f>VLOOKUP($BA225,'[2]NonStandard DIS'!$Q$1:$X$542,7,FALSE)</f>
        <v>0</v>
      </c>
      <c r="BH225">
        <f>VLOOKUP($BA225,'[2]NonStandard DIS'!$Q$1:$X$542,8,FALSE)</f>
        <v>0</v>
      </c>
      <c r="BI225" s="77">
        <f t="shared" si="518"/>
        <v>1</v>
      </c>
      <c r="BJ225" s="77">
        <f t="shared" si="519"/>
        <v>6.9728499999999985E-2</v>
      </c>
      <c r="BK225" s="77">
        <f t="shared" si="500"/>
        <v>5.632878498097682E-3</v>
      </c>
      <c r="BL225" s="79">
        <v>0</v>
      </c>
      <c r="BM225" s="77">
        <f t="shared" si="531"/>
        <v>0</v>
      </c>
      <c r="BN225" s="77">
        <f t="shared" si="532"/>
        <v>0</v>
      </c>
      <c r="BO225" s="77">
        <f t="shared" si="533"/>
        <v>5.6775999999999997E-3</v>
      </c>
      <c r="BP225" s="77">
        <f t="shared" si="534"/>
        <v>4.7190657760731725E-4</v>
      </c>
    </row>
    <row r="226" spans="1:68">
      <c r="A226" t="s">
        <v>175</v>
      </c>
      <c r="B226" t="s">
        <v>176</v>
      </c>
      <c r="C226" s="197" t="str">
        <f t="shared" si="569"/>
        <v>Lifecycle_Balanced_319</v>
      </c>
      <c r="D226">
        <v>319</v>
      </c>
      <c r="E226">
        <f>VLOOKUP($D226,'[2]LC Balanced'!$Q$2:$U$542,2,FALSE)</f>
        <v>0</v>
      </c>
      <c r="F226">
        <f>VLOOKUP($D226,'[2]LC Balanced'!$Q$2:$U$542,3,FALSE)</f>
        <v>0.14899999999999999</v>
      </c>
      <c r="G226">
        <f>VLOOKUP($D226,'[2]LC Balanced'!$Q$2:$U$542,4,FALSE)</f>
        <v>0.85099999999999998</v>
      </c>
      <c r="H226">
        <f>VLOOKUP($D226,'[2]LC Balanced'!$Q$2:$U$542,5,FALSE)</f>
        <v>0</v>
      </c>
      <c r="I226" s="77">
        <f t="shared" si="513"/>
        <v>1</v>
      </c>
      <c r="J226" s="77">
        <f t="shared" si="514"/>
        <v>6.1987699999999986E-2</v>
      </c>
      <c r="K226" s="77">
        <f t="shared" si="504"/>
        <v>5.024442123284345E-3</v>
      </c>
      <c r="L226" s="76">
        <v>0</v>
      </c>
      <c r="M226" s="77">
        <f t="shared" si="520"/>
        <v>0</v>
      </c>
      <c r="N226" s="77">
        <f t="shared" si="521"/>
        <v>0</v>
      </c>
      <c r="O226" s="77">
        <f t="shared" si="522"/>
        <v>7.0062999999999992E-3</v>
      </c>
      <c r="P226" s="77">
        <f t="shared" si="523"/>
        <v>5.85741666996209E-4</v>
      </c>
      <c r="R226" t="s">
        <v>177</v>
      </c>
      <c r="S226" t="s">
        <v>176</v>
      </c>
      <c r="T226" s="197" t="str">
        <f t="shared" si="455"/>
        <v>Autopilot_Balanced_319</v>
      </c>
      <c r="U226">
        <v>319</v>
      </c>
      <c r="V226">
        <f>VLOOKUP($U226,'[2]AP Balanced'!$Q$1:$T$542,2,FALSE)</f>
        <v>0.77777777777777779</v>
      </c>
      <c r="W226">
        <f>VLOOKUP($U226,'[2]AP Balanced'!$Q$1:$T$542,3,FALSE)</f>
        <v>0.22222222222222221</v>
      </c>
      <c r="X226">
        <f>VLOOKUP($U226,'[2]AP Balanced'!$Q$1:$T$542,4,FALSE)</f>
        <v>0</v>
      </c>
      <c r="Y226" s="77">
        <f t="shared" si="570"/>
        <v>1</v>
      </c>
      <c r="Z226" s="77">
        <f t="shared" si="559"/>
        <v>6.1674999999999987E-2</v>
      </c>
      <c r="AA226" s="77">
        <f t="shared" si="560"/>
        <v>4.9997781870025904E-3</v>
      </c>
      <c r="AB226" s="79">
        <v>1</v>
      </c>
      <c r="AC226" s="77">
        <f t="shared" si="524"/>
        <v>8.0555555555555554E-3</v>
      </c>
      <c r="AD226" s="77">
        <f t="shared" si="515"/>
        <v>6.7378764057135498E-4</v>
      </c>
      <c r="AE226" s="77">
        <f t="shared" si="525"/>
        <v>2.5000000000000001E-3</v>
      </c>
      <c r="AF226" s="77">
        <f t="shared" si="515"/>
        <v>2.0857243058891584E-4</v>
      </c>
      <c r="AH226" t="s">
        <v>175</v>
      </c>
      <c r="AI226" t="s">
        <v>176</v>
      </c>
      <c r="AJ226" s="197" t="str">
        <f t="shared" si="571"/>
        <v>Lifecycle_Balanced_319</v>
      </c>
      <c r="AK226">
        <v>319</v>
      </c>
      <c r="AL226">
        <f>VLOOKUP($U226,[2]Standard_Balanced!$Q$1:$T$542,2,FALSE)</f>
        <v>0.77777777777777779</v>
      </c>
      <c r="AM226">
        <f>VLOOKUP($U226,[2]Standard_Balanced!$Q$1:$T$542,3,FALSE)</f>
        <v>0.22222222222222221</v>
      </c>
      <c r="AN226">
        <f>VLOOKUP($U226,[2]Standard_Balanced!$Q$1:$T$542,4,FALSE)</f>
        <v>0</v>
      </c>
      <c r="AO226" s="77">
        <f t="shared" si="501"/>
        <v>1</v>
      </c>
      <c r="AP226" s="77">
        <f t="shared" si="526"/>
        <v>6.1674999999999987E-2</v>
      </c>
      <c r="AQ226" s="77">
        <f t="shared" si="572"/>
        <v>4.9997781870025904E-3</v>
      </c>
      <c r="AR226" s="79">
        <v>0</v>
      </c>
      <c r="AS226" s="77">
        <f t="shared" si="527"/>
        <v>0</v>
      </c>
      <c r="AT226" s="77">
        <f t="shared" ref="AT226" si="596">1-(1-AS226)^(1/12)</f>
        <v>0</v>
      </c>
      <c r="AU226" s="77">
        <f t="shared" si="529"/>
        <v>2.5000000000000001E-3</v>
      </c>
      <c r="AV226" s="77">
        <f t="shared" ref="AV226" si="597">1-(1-AU226)^(1/12)</f>
        <v>2.0857243058891584E-4</v>
      </c>
      <c r="AX226" t="s">
        <v>178</v>
      </c>
      <c r="AY226" t="s">
        <v>160</v>
      </c>
      <c r="AZ226" s="197" t="str">
        <f t="shared" si="575"/>
        <v>DIS_Non-Standard_319</v>
      </c>
      <c r="BA226">
        <v>319</v>
      </c>
      <c r="BB226">
        <f>VLOOKUP($BA226,'[2]NonStandard DIS'!$Q$1:$X$542,2,FALSE)</f>
        <v>0</v>
      </c>
      <c r="BC226">
        <f>VLOOKUP($BA226,'[2]NonStandard DIS'!$Q$1:$X$542,3,FALSE)</f>
        <v>0</v>
      </c>
      <c r="BD226">
        <f>VLOOKUP($BA226,'[2]NonStandard DIS'!$Q$1:$X$542,4,FALSE)</f>
        <v>0.308</v>
      </c>
      <c r="BE226">
        <f>VLOOKUP($BA226,'[2]NonStandard DIS'!$Q$1:$X$542,5,FALSE)</f>
        <v>0.69199999999999995</v>
      </c>
      <c r="BF226">
        <f>VLOOKUP($BA226,'[2]NonStandard DIS'!$Q$1:$X$542,6,FALSE)</f>
        <v>0</v>
      </c>
      <c r="BG226">
        <f>VLOOKUP($BA226,'[2]NonStandard DIS'!$Q$1:$X$542,7,FALSE)</f>
        <v>0</v>
      </c>
      <c r="BH226">
        <f>VLOOKUP($BA226,'[2]NonStandard DIS'!$Q$1:$X$542,8,FALSE)</f>
        <v>0</v>
      </c>
      <c r="BI226" s="77">
        <f t="shared" si="518"/>
        <v>1</v>
      </c>
      <c r="BJ226" s="77">
        <f t="shared" si="519"/>
        <v>6.9728499999999985E-2</v>
      </c>
      <c r="BK226" s="77">
        <f t="shared" si="500"/>
        <v>5.632878498097682E-3</v>
      </c>
      <c r="BL226" s="79">
        <v>0</v>
      </c>
      <c r="BM226" s="77">
        <f t="shared" si="531"/>
        <v>0</v>
      </c>
      <c r="BN226" s="77">
        <f t="shared" si="532"/>
        <v>0</v>
      </c>
      <c r="BO226" s="77">
        <f t="shared" si="533"/>
        <v>5.6775999999999997E-3</v>
      </c>
      <c r="BP226" s="77">
        <f t="shared" si="534"/>
        <v>4.7190657760731725E-4</v>
      </c>
    </row>
    <row r="227" spans="1:68">
      <c r="A227" t="s">
        <v>175</v>
      </c>
      <c r="B227" t="s">
        <v>176</v>
      </c>
      <c r="C227" s="197" t="str">
        <f t="shared" si="569"/>
        <v>Lifecycle_Balanced_318</v>
      </c>
      <c r="D227">
        <v>318</v>
      </c>
      <c r="E227">
        <f>VLOOKUP($D227,'[2]LC Balanced'!$Q$2:$U$542,2,FALSE)</f>
        <v>0</v>
      </c>
      <c r="F227">
        <f>VLOOKUP($D227,'[2]LC Balanced'!$Q$2:$U$542,3,FALSE)</f>
        <v>0.14899999999999999</v>
      </c>
      <c r="G227">
        <f>VLOOKUP($D227,'[2]LC Balanced'!$Q$2:$U$542,4,FALSE)</f>
        <v>0.85099999999999998</v>
      </c>
      <c r="H227">
        <f>VLOOKUP($D227,'[2]LC Balanced'!$Q$2:$U$542,5,FALSE)</f>
        <v>0</v>
      </c>
      <c r="I227" s="77">
        <f t="shared" si="513"/>
        <v>1</v>
      </c>
      <c r="J227" s="77">
        <f t="shared" si="514"/>
        <v>6.1987699999999986E-2</v>
      </c>
      <c r="K227" s="77">
        <f t="shared" si="504"/>
        <v>5.024442123284345E-3</v>
      </c>
      <c r="L227" s="76">
        <v>0</v>
      </c>
      <c r="M227" s="77">
        <f t="shared" si="520"/>
        <v>0</v>
      </c>
      <c r="N227" s="77">
        <f t="shared" si="521"/>
        <v>0</v>
      </c>
      <c r="O227" s="77">
        <f t="shared" si="522"/>
        <v>7.0062999999999992E-3</v>
      </c>
      <c r="P227" s="77">
        <f t="shared" si="523"/>
        <v>5.85741666996209E-4</v>
      </c>
      <c r="R227" t="s">
        <v>177</v>
      </c>
      <c r="S227" t="s">
        <v>176</v>
      </c>
      <c r="T227" s="197" t="str">
        <f t="shared" si="455"/>
        <v>Autopilot_Balanced_318</v>
      </c>
      <c r="U227">
        <v>318</v>
      </c>
      <c r="V227">
        <f>VLOOKUP($U227,'[2]AP Balanced'!$Q$1:$T$542,2,FALSE)</f>
        <v>0.77777777777777779</v>
      </c>
      <c r="W227">
        <f>VLOOKUP($U227,'[2]AP Balanced'!$Q$1:$T$542,3,FALSE)</f>
        <v>0.22222222222222221</v>
      </c>
      <c r="X227">
        <f>VLOOKUP($U227,'[2]AP Balanced'!$Q$1:$T$542,4,FALSE)</f>
        <v>0</v>
      </c>
      <c r="Y227" s="77">
        <f t="shared" si="570"/>
        <v>1</v>
      </c>
      <c r="Z227" s="77">
        <f t="shared" si="559"/>
        <v>6.1674999999999987E-2</v>
      </c>
      <c r="AA227" s="77">
        <f t="shared" si="560"/>
        <v>4.9997781870025904E-3</v>
      </c>
      <c r="AB227" s="79">
        <v>1</v>
      </c>
      <c r="AC227" s="77">
        <f t="shared" si="524"/>
        <v>8.0555555555555554E-3</v>
      </c>
      <c r="AD227" s="77">
        <f t="shared" si="515"/>
        <v>6.7378764057135498E-4</v>
      </c>
      <c r="AE227" s="77">
        <f t="shared" si="525"/>
        <v>2.5000000000000001E-3</v>
      </c>
      <c r="AF227" s="77">
        <f t="shared" si="515"/>
        <v>2.0857243058891584E-4</v>
      </c>
      <c r="AH227" t="s">
        <v>175</v>
      </c>
      <c r="AI227" t="s">
        <v>176</v>
      </c>
      <c r="AJ227" s="197" t="str">
        <f t="shared" si="571"/>
        <v>Lifecycle_Balanced_318</v>
      </c>
      <c r="AK227">
        <v>318</v>
      </c>
      <c r="AL227">
        <f>VLOOKUP($U227,[2]Standard_Balanced!$Q$1:$T$542,2,FALSE)</f>
        <v>0.77777777777777779</v>
      </c>
      <c r="AM227">
        <f>VLOOKUP($U227,[2]Standard_Balanced!$Q$1:$T$542,3,FALSE)</f>
        <v>0.22222222222222221</v>
      </c>
      <c r="AN227">
        <f>VLOOKUP($U227,[2]Standard_Balanced!$Q$1:$T$542,4,FALSE)</f>
        <v>0</v>
      </c>
      <c r="AO227" s="77">
        <f t="shared" si="501"/>
        <v>1</v>
      </c>
      <c r="AP227" s="77">
        <f t="shared" si="526"/>
        <v>6.1674999999999987E-2</v>
      </c>
      <c r="AQ227" s="77">
        <f t="shared" si="572"/>
        <v>4.9997781870025904E-3</v>
      </c>
      <c r="AR227" s="79">
        <v>0</v>
      </c>
      <c r="AS227" s="77">
        <f t="shared" si="527"/>
        <v>0</v>
      </c>
      <c r="AT227" s="77">
        <f t="shared" ref="AT227" si="598">1-(1-AS227)^(1/12)</f>
        <v>0</v>
      </c>
      <c r="AU227" s="77">
        <f t="shared" si="529"/>
        <v>2.5000000000000001E-3</v>
      </c>
      <c r="AV227" s="77">
        <f t="shared" ref="AV227" si="599">1-(1-AU227)^(1/12)</f>
        <v>2.0857243058891584E-4</v>
      </c>
      <c r="AX227" t="s">
        <v>178</v>
      </c>
      <c r="AY227" t="s">
        <v>160</v>
      </c>
      <c r="AZ227" s="197" t="str">
        <f t="shared" si="575"/>
        <v>DIS_Non-Standard_318</v>
      </c>
      <c r="BA227">
        <v>318</v>
      </c>
      <c r="BB227">
        <f>VLOOKUP($BA227,'[2]NonStandard DIS'!$Q$1:$X$542,2,FALSE)</f>
        <v>0</v>
      </c>
      <c r="BC227">
        <f>VLOOKUP($BA227,'[2]NonStandard DIS'!$Q$1:$X$542,3,FALSE)</f>
        <v>0</v>
      </c>
      <c r="BD227">
        <f>VLOOKUP($BA227,'[2]NonStandard DIS'!$Q$1:$X$542,4,FALSE)</f>
        <v>0.308</v>
      </c>
      <c r="BE227">
        <f>VLOOKUP($BA227,'[2]NonStandard DIS'!$Q$1:$X$542,5,FALSE)</f>
        <v>0.69199999999999995</v>
      </c>
      <c r="BF227">
        <f>VLOOKUP($BA227,'[2]NonStandard DIS'!$Q$1:$X$542,6,FALSE)</f>
        <v>0</v>
      </c>
      <c r="BG227">
        <f>VLOOKUP($BA227,'[2]NonStandard DIS'!$Q$1:$X$542,7,FALSE)</f>
        <v>0</v>
      </c>
      <c r="BH227">
        <f>VLOOKUP($BA227,'[2]NonStandard DIS'!$Q$1:$X$542,8,FALSE)</f>
        <v>0</v>
      </c>
      <c r="BI227" s="77">
        <f t="shared" si="518"/>
        <v>1</v>
      </c>
      <c r="BJ227" s="77">
        <f t="shared" si="519"/>
        <v>6.9728499999999985E-2</v>
      </c>
      <c r="BK227" s="77">
        <f t="shared" si="500"/>
        <v>5.632878498097682E-3</v>
      </c>
      <c r="BL227" s="79">
        <v>0</v>
      </c>
      <c r="BM227" s="77">
        <f t="shared" si="531"/>
        <v>0</v>
      </c>
      <c r="BN227" s="77">
        <f t="shared" si="532"/>
        <v>0</v>
      </c>
      <c r="BO227" s="77">
        <f t="shared" si="533"/>
        <v>5.6775999999999997E-3</v>
      </c>
      <c r="BP227" s="77">
        <f t="shared" si="534"/>
        <v>4.7190657760731725E-4</v>
      </c>
    </row>
    <row r="228" spans="1:68">
      <c r="A228" t="s">
        <v>175</v>
      </c>
      <c r="B228" t="s">
        <v>176</v>
      </c>
      <c r="C228" s="197" t="str">
        <f t="shared" si="569"/>
        <v>Lifecycle_Balanced_317</v>
      </c>
      <c r="D228">
        <v>317</v>
      </c>
      <c r="E228">
        <f>VLOOKUP($D228,'[2]LC Balanced'!$Q$2:$U$542,2,FALSE)</f>
        <v>0</v>
      </c>
      <c r="F228">
        <f>VLOOKUP($D228,'[2]LC Balanced'!$Q$2:$U$542,3,FALSE)</f>
        <v>0.14899999999999999</v>
      </c>
      <c r="G228">
        <f>VLOOKUP($D228,'[2]LC Balanced'!$Q$2:$U$542,4,FALSE)</f>
        <v>0.85099999999999998</v>
      </c>
      <c r="H228">
        <f>VLOOKUP($D228,'[2]LC Balanced'!$Q$2:$U$542,5,FALSE)</f>
        <v>0</v>
      </c>
      <c r="I228" s="77">
        <f t="shared" si="513"/>
        <v>1</v>
      </c>
      <c r="J228" s="77">
        <f t="shared" si="514"/>
        <v>6.1987699999999986E-2</v>
      </c>
      <c r="K228" s="77">
        <f t="shared" si="504"/>
        <v>5.024442123284345E-3</v>
      </c>
      <c r="L228" s="76">
        <v>0</v>
      </c>
      <c r="M228" s="77">
        <f t="shared" si="520"/>
        <v>0</v>
      </c>
      <c r="N228" s="77">
        <f t="shared" si="521"/>
        <v>0</v>
      </c>
      <c r="O228" s="77">
        <f t="shared" si="522"/>
        <v>7.0062999999999992E-3</v>
      </c>
      <c r="P228" s="77">
        <f t="shared" si="523"/>
        <v>5.85741666996209E-4</v>
      </c>
      <c r="R228" t="s">
        <v>177</v>
      </c>
      <c r="S228" t="s">
        <v>176</v>
      </c>
      <c r="T228" s="197" t="str">
        <f t="shared" si="455"/>
        <v>Autopilot_Balanced_317</v>
      </c>
      <c r="U228">
        <v>317</v>
      </c>
      <c r="V228">
        <f>VLOOKUP($U228,'[2]AP Balanced'!$Q$1:$T$542,2,FALSE)</f>
        <v>0.77777777777777779</v>
      </c>
      <c r="W228">
        <f>VLOOKUP($U228,'[2]AP Balanced'!$Q$1:$T$542,3,FALSE)</f>
        <v>0.22222222222222221</v>
      </c>
      <c r="X228">
        <f>VLOOKUP($U228,'[2]AP Balanced'!$Q$1:$T$542,4,FALSE)</f>
        <v>0</v>
      </c>
      <c r="Y228" s="77">
        <f t="shared" si="570"/>
        <v>1</v>
      </c>
      <c r="Z228" s="77">
        <f t="shared" si="559"/>
        <v>6.1674999999999987E-2</v>
      </c>
      <c r="AA228" s="77">
        <f t="shared" si="560"/>
        <v>4.9997781870025904E-3</v>
      </c>
      <c r="AB228" s="79">
        <v>1</v>
      </c>
      <c r="AC228" s="77">
        <f t="shared" si="524"/>
        <v>8.0555555555555554E-3</v>
      </c>
      <c r="AD228" s="77">
        <f t="shared" si="515"/>
        <v>6.7378764057135498E-4</v>
      </c>
      <c r="AE228" s="77">
        <f t="shared" si="525"/>
        <v>2.5000000000000001E-3</v>
      </c>
      <c r="AF228" s="77">
        <f t="shared" si="515"/>
        <v>2.0857243058891584E-4</v>
      </c>
      <c r="AH228" t="s">
        <v>175</v>
      </c>
      <c r="AI228" t="s">
        <v>176</v>
      </c>
      <c r="AJ228" s="197" t="str">
        <f t="shared" si="571"/>
        <v>Lifecycle_Balanced_317</v>
      </c>
      <c r="AK228">
        <v>317</v>
      </c>
      <c r="AL228">
        <f>VLOOKUP($U228,[2]Standard_Balanced!$Q$1:$T$542,2,FALSE)</f>
        <v>0.77777777777777779</v>
      </c>
      <c r="AM228">
        <f>VLOOKUP($U228,[2]Standard_Balanced!$Q$1:$T$542,3,FALSE)</f>
        <v>0.22222222222222221</v>
      </c>
      <c r="AN228">
        <f>VLOOKUP($U228,[2]Standard_Balanced!$Q$1:$T$542,4,FALSE)</f>
        <v>0</v>
      </c>
      <c r="AO228" s="77">
        <f t="shared" si="501"/>
        <v>1</v>
      </c>
      <c r="AP228" s="77">
        <f t="shared" si="526"/>
        <v>6.1674999999999987E-2</v>
      </c>
      <c r="AQ228" s="77">
        <f t="shared" si="572"/>
        <v>4.9997781870025904E-3</v>
      </c>
      <c r="AR228" s="79">
        <v>0</v>
      </c>
      <c r="AS228" s="77">
        <f t="shared" si="527"/>
        <v>0</v>
      </c>
      <c r="AT228" s="77">
        <f t="shared" ref="AT228" si="600">1-(1-AS228)^(1/12)</f>
        <v>0</v>
      </c>
      <c r="AU228" s="77">
        <f t="shared" si="529"/>
        <v>2.5000000000000001E-3</v>
      </c>
      <c r="AV228" s="77">
        <f t="shared" ref="AV228" si="601">1-(1-AU228)^(1/12)</f>
        <v>2.0857243058891584E-4</v>
      </c>
      <c r="AX228" t="s">
        <v>178</v>
      </c>
      <c r="AY228" t="s">
        <v>160</v>
      </c>
      <c r="AZ228" s="197" t="str">
        <f t="shared" si="575"/>
        <v>DIS_Non-Standard_317</v>
      </c>
      <c r="BA228">
        <v>317</v>
      </c>
      <c r="BB228">
        <f>VLOOKUP($BA228,'[2]NonStandard DIS'!$Q$1:$X$542,2,FALSE)</f>
        <v>0</v>
      </c>
      <c r="BC228">
        <f>VLOOKUP($BA228,'[2]NonStandard DIS'!$Q$1:$X$542,3,FALSE)</f>
        <v>0</v>
      </c>
      <c r="BD228">
        <f>VLOOKUP($BA228,'[2]NonStandard DIS'!$Q$1:$X$542,4,FALSE)</f>
        <v>0.308</v>
      </c>
      <c r="BE228">
        <f>VLOOKUP($BA228,'[2]NonStandard DIS'!$Q$1:$X$542,5,FALSE)</f>
        <v>0.69199999999999995</v>
      </c>
      <c r="BF228">
        <f>VLOOKUP($BA228,'[2]NonStandard DIS'!$Q$1:$X$542,6,FALSE)</f>
        <v>0</v>
      </c>
      <c r="BG228">
        <f>VLOOKUP($BA228,'[2]NonStandard DIS'!$Q$1:$X$542,7,FALSE)</f>
        <v>0</v>
      </c>
      <c r="BH228">
        <f>VLOOKUP($BA228,'[2]NonStandard DIS'!$Q$1:$X$542,8,FALSE)</f>
        <v>0</v>
      </c>
      <c r="BI228" s="77">
        <f t="shared" si="518"/>
        <v>1</v>
      </c>
      <c r="BJ228" s="77">
        <f t="shared" si="519"/>
        <v>6.9728499999999985E-2</v>
      </c>
      <c r="BK228" s="77">
        <f t="shared" si="500"/>
        <v>5.632878498097682E-3</v>
      </c>
      <c r="BL228" s="79">
        <v>0</v>
      </c>
      <c r="BM228" s="77">
        <f t="shared" si="531"/>
        <v>0</v>
      </c>
      <c r="BN228" s="77">
        <f t="shared" si="532"/>
        <v>0</v>
      </c>
      <c r="BO228" s="77">
        <f t="shared" si="533"/>
        <v>5.6775999999999997E-3</v>
      </c>
      <c r="BP228" s="77">
        <f t="shared" si="534"/>
        <v>4.7190657760731725E-4</v>
      </c>
    </row>
    <row r="229" spans="1:68">
      <c r="A229" t="s">
        <v>175</v>
      </c>
      <c r="B229" t="s">
        <v>176</v>
      </c>
      <c r="C229" s="197" t="str">
        <f t="shared" si="569"/>
        <v>Lifecycle_Balanced_316</v>
      </c>
      <c r="D229">
        <v>316</v>
      </c>
      <c r="E229">
        <f>VLOOKUP($D229,'[2]LC Balanced'!$Q$2:$U$542,2,FALSE)</f>
        <v>0</v>
      </c>
      <c r="F229">
        <f>VLOOKUP($D229,'[2]LC Balanced'!$Q$2:$U$542,3,FALSE)</f>
        <v>0.14899999999999999</v>
      </c>
      <c r="G229">
        <f>VLOOKUP($D229,'[2]LC Balanced'!$Q$2:$U$542,4,FALSE)</f>
        <v>0.85099999999999998</v>
      </c>
      <c r="H229">
        <f>VLOOKUP($D229,'[2]LC Balanced'!$Q$2:$U$542,5,FALSE)</f>
        <v>0</v>
      </c>
      <c r="I229" s="77">
        <f t="shared" si="513"/>
        <v>1</v>
      </c>
      <c r="J229" s="77">
        <f t="shared" si="514"/>
        <v>6.1987699999999986E-2</v>
      </c>
      <c r="K229" s="77">
        <f t="shared" si="504"/>
        <v>5.024442123284345E-3</v>
      </c>
      <c r="L229" s="76">
        <v>0</v>
      </c>
      <c r="M229" s="77">
        <f t="shared" si="520"/>
        <v>0</v>
      </c>
      <c r="N229" s="77">
        <f t="shared" si="521"/>
        <v>0</v>
      </c>
      <c r="O229" s="77">
        <f t="shared" si="522"/>
        <v>7.0062999999999992E-3</v>
      </c>
      <c r="P229" s="77">
        <f t="shared" si="523"/>
        <v>5.85741666996209E-4</v>
      </c>
      <c r="R229" t="s">
        <v>177</v>
      </c>
      <c r="S229" t="s">
        <v>176</v>
      </c>
      <c r="T229" s="197" t="str">
        <f t="shared" si="455"/>
        <v>Autopilot_Balanced_316</v>
      </c>
      <c r="U229">
        <v>316</v>
      </c>
      <c r="V229">
        <f>VLOOKUP($U229,'[2]AP Balanced'!$Q$1:$T$542,2,FALSE)</f>
        <v>0.77777777777777779</v>
      </c>
      <c r="W229">
        <f>VLOOKUP($U229,'[2]AP Balanced'!$Q$1:$T$542,3,FALSE)</f>
        <v>0.22222222222222221</v>
      </c>
      <c r="X229">
        <f>VLOOKUP($U229,'[2]AP Balanced'!$Q$1:$T$542,4,FALSE)</f>
        <v>0</v>
      </c>
      <c r="Y229" s="77">
        <f t="shared" si="570"/>
        <v>1</v>
      </c>
      <c r="Z229" s="77">
        <f t="shared" si="559"/>
        <v>6.1674999999999987E-2</v>
      </c>
      <c r="AA229" s="77">
        <f t="shared" si="560"/>
        <v>4.9997781870025904E-3</v>
      </c>
      <c r="AB229" s="79">
        <v>1</v>
      </c>
      <c r="AC229" s="77">
        <f t="shared" si="524"/>
        <v>8.0555555555555554E-3</v>
      </c>
      <c r="AD229" s="77">
        <f t="shared" si="515"/>
        <v>6.7378764057135498E-4</v>
      </c>
      <c r="AE229" s="77">
        <f t="shared" si="525"/>
        <v>2.5000000000000001E-3</v>
      </c>
      <c r="AF229" s="77">
        <f t="shared" si="515"/>
        <v>2.0857243058891584E-4</v>
      </c>
      <c r="AH229" t="s">
        <v>175</v>
      </c>
      <c r="AI229" t="s">
        <v>176</v>
      </c>
      <c r="AJ229" s="197" t="str">
        <f t="shared" si="571"/>
        <v>Lifecycle_Balanced_316</v>
      </c>
      <c r="AK229">
        <v>316</v>
      </c>
      <c r="AL229">
        <f>VLOOKUP($U229,[2]Standard_Balanced!$Q$1:$T$542,2,FALSE)</f>
        <v>0.77777777777777779</v>
      </c>
      <c r="AM229">
        <f>VLOOKUP($U229,[2]Standard_Balanced!$Q$1:$T$542,3,FALSE)</f>
        <v>0.22222222222222221</v>
      </c>
      <c r="AN229">
        <f>VLOOKUP($U229,[2]Standard_Balanced!$Q$1:$T$542,4,FALSE)</f>
        <v>0</v>
      </c>
      <c r="AO229" s="77">
        <f t="shared" si="501"/>
        <v>1</v>
      </c>
      <c r="AP229" s="77">
        <f t="shared" si="526"/>
        <v>6.1674999999999987E-2</v>
      </c>
      <c r="AQ229" s="77">
        <f t="shared" si="572"/>
        <v>4.9997781870025904E-3</v>
      </c>
      <c r="AR229" s="79">
        <v>0</v>
      </c>
      <c r="AS229" s="77">
        <f t="shared" si="527"/>
        <v>0</v>
      </c>
      <c r="AT229" s="77">
        <f t="shared" ref="AT229" si="602">1-(1-AS229)^(1/12)</f>
        <v>0</v>
      </c>
      <c r="AU229" s="77">
        <f t="shared" si="529"/>
        <v>2.5000000000000001E-3</v>
      </c>
      <c r="AV229" s="77">
        <f t="shared" ref="AV229" si="603">1-(1-AU229)^(1/12)</f>
        <v>2.0857243058891584E-4</v>
      </c>
      <c r="AX229" t="s">
        <v>178</v>
      </c>
      <c r="AY229" t="s">
        <v>160</v>
      </c>
      <c r="AZ229" s="197" t="str">
        <f t="shared" si="575"/>
        <v>DIS_Non-Standard_316</v>
      </c>
      <c r="BA229">
        <v>316</v>
      </c>
      <c r="BB229">
        <f>VLOOKUP($BA229,'[2]NonStandard DIS'!$Q$1:$X$542,2,FALSE)</f>
        <v>0</v>
      </c>
      <c r="BC229">
        <f>VLOOKUP($BA229,'[2]NonStandard DIS'!$Q$1:$X$542,3,FALSE)</f>
        <v>0</v>
      </c>
      <c r="BD229">
        <f>VLOOKUP($BA229,'[2]NonStandard DIS'!$Q$1:$X$542,4,FALSE)</f>
        <v>0.308</v>
      </c>
      <c r="BE229">
        <f>VLOOKUP($BA229,'[2]NonStandard DIS'!$Q$1:$X$542,5,FALSE)</f>
        <v>0.69199999999999995</v>
      </c>
      <c r="BF229">
        <f>VLOOKUP($BA229,'[2]NonStandard DIS'!$Q$1:$X$542,6,FALSE)</f>
        <v>0</v>
      </c>
      <c r="BG229">
        <f>VLOOKUP($BA229,'[2]NonStandard DIS'!$Q$1:$X$542,7,FALSE)</f>
        <v>0</v>
      </c>
      <c r="BH229">
        <f>VLOOKUP($BA229,'[2]NonStandard DIS'!$Q$1:$X$542,8,FALSE)</f>
        <v>0</v>
      </c>
      <c r="BI229" s="77">
        <f t="shared" si="518"/>
        <v>1</v>
      </c>
      <c r="BJ229" s="77">
        <f t="shared" si="519"/>
        <v>6.9728499999999985E-2</v>
      </c>
      <c r="BK229" s="77">
        <f t="shared" si="500"/>
        <v>5.632878498097682E-3</v>
      </c>
      <c r="BL229" s="79">
        <v>0</v>
      </c>
      <c r="BM229" s="77">
        <f t="shared" si="531"/>
        <v>0</v>
      </c>
      <c r="BN229" s="77">
        <f t="shared" si="532"/>
        <v>0</v>
      </c>
      <c r="BO229" s="77">
        <f t="shared" si="533"/>
        <v>5.6775999999999997E-3</v>
      </c>
      <c r="BP229" s="77">
        <f t="shared" si="534"/>
        <v>4.7190657760731725E-4</v>
      </c>
    </row>
    <row r="230" spans="1:68">
      <c r="A230" t="s">
        <v>175</v>
      </c>
      <c r="B230" t="s">
        <v>176</v>
      </c>
      <c r="C230" s="197" t="str">
        <f t="shared" si="569"/>
        <v>Lifecycle_Balanced_315</v>
      </c>
      <c r="D230">
        <v>315</v>
      </c>
      <c r="E230">
        <f>VLOOKUP($D230,'[2]LC Balanced'!$Q$2:$U$542,2,FALSE)</f>
        <v>0</v>
      </c>
      <c r="F230">
        <f>VLOOKUP($D230,'[2]LC Balanced'!$Q$2:$U$542,3,FALSE)</f>
        <v>0.14899999999999999</v>
      </c>
      <c r="G230">
        <f>VLOOKUP($D230,'[2]LC Balanced'!$Q$2:$U$542,4,FALSE)</f>
        <v>0.85099999999999998</v>
      </c>
      <c r="H230">
        <f>VLOOKUP($D230,'[2]LC Balanced'!$Q$2:$U$542,5,FALSE)</f>
        <v>0</v>
      </c>
      <c r="I230" s="77">
        <f t="shared" si="513"/>
        <v>1</v>
      </c>
      <c r="J230" s="77">
        <f t="shared" si="514"/>
        <v>6.1987699999999986E-2</v>
      </c>
      <c r="K230" s="77">
        <f t="shared" si="504"/>
        <v>5.024442123284345E-3</v>
      </c>
      <c r="L230" s="76">
        <v>0</v>
      </c>
      <c r="M230" s="77">
        <f t="shared" si="520"/>
        <v>0</v>
      </c>
      <c r="N230" s="77">
        <f t="shared" si="521"/>
        <v>0</v>
      </c>
      <c r="O230" s="77">
        <f t="shared" si="522"/>
        <v>7.0062999999999992E-3</v>
      </c>
      <c r="P230" s="77">
        <f t="shared" si="523"/>
        <v>5.85741666996209E-4</v>
      </c>
      <c r="R230" t="s">
        <v>177</v>
      </c>
      <c r="S230" t="s">
        <v>176</v>
      </c>
      <c r="T230" s="197" t="str">
        <f t="shared" si="455"/>
        <v>Autopilot_Balanced_315</v>
      </c>
      <c r="U230">
        <v>315</v>
      </c>
      <c r="V230">
        <f>VLOOKUP($U230,'[2]AP Balanced'!$Q$1:$T$542,2,FALSE)</f>
        <v>0.77777777777777779</v>
      </c>
      <c r="W230">
        <f>VLOOKUP($U230,'[2]AP Balanced'!$Q$1:$T$542,3,FALSE)</f>
        <v>0.22222222222222221</v>
      </c>
      <c r="X230">
        <f>VLOOKUP($U230,'[2]AP Balanced'!$Q$1:$T$542,4,FALSE)</f>
        <v>0</v>
      </c>
      <c r="Y230" s="77">
        <f t="shared" si="570"/>
        <v>1</v>
      </c>
      <c r="Z230" s="77">
        <f t="shared" si="559"/>
        <v>6.1674999999999987E-2</v>
      </c>
      <c r="AA230" s="77">
        <f t="shared" si="560"/>
        <v>4.9997781870025904E-3</v>
      </c>
      <c r="AB230" s="79">
        <v>1</v>
      </c>
      <c r="AC230" s="77">
        <f t="shared" si="524"/>
        <v>8.0555555555555554E-3</v>
      </c>
      <c r="AD230" s="77">
        <f t="shared" si="515"/>
        <v>6.7378764057135498E-4</v>
      </c>
      <c r="AE230" s="77">
        <f t="shared" si="525"/>
        <v>2.5000000000000001E-3</v>
      </c>
      <c r="AF230" s="77">
        <f t="shared" si="515"/>
        <v>2.0857243058891584E-4</v>
      </c>
      <c r="AH230" t="s">
        <v>175</v>
      </c>
      <c r="AI230" t="s">
        <v>176</v>
      </c>
      <c r="AJ230" s="197" t="str">
        <f t="shared" si="571"/>
        <v>Lifecycle_Balanced_315</v>
      </c>
      <c r="AK230">
        <v>315</v>
      </c>
      <c r="AL230">
        <f>VLOOKUP($U230,[2]Standard_Balanced!$Q$1:$T$542,2,FALSE)</f>
        <v>0.77777777777777779</v>
      </c>
      <c r="AM230">
        <f>VLOOKUP($U230,[2]Standard_Balanced!$Q$1:$T$542,3,FALSE)</f>
        <v>0.22222222222222221</v>
      </c>
      <c r="AN230">
        <f>VLOOKUP($U230,[2]Standard_Balanced!$Q$1:$T$542,4,FALSE)</f>
        <v>0</v>
      </c>
      <c r="AO230" s="77">
        <f t="shared" si="501"/>
        <v>1</v>
      </c>
      <c r="AP230" s="77">
        <f t="shared" si="526"/>
        <v>6.1674999999999987E-2</v>
      </c>
      <c r="AQ230" s="77">
        <f t="shared" si="572"/>
        <v>4.9997781870025904E-3</v>
      </c>
      <c r="AR230" s="79">
        <v>0</v>
      </c>
      <c r="AS230" s="77">
        <f t="shared" si="527"/>
        <v>0</v>
      </c>
      <c r="AT230" s="77">
        <f t="shared" ref="AT230" si="604">1-(1-AS230)^(1/12)</f>
        <v>0</v>
      </c>
      <c r="AU230" s="77">
        <f t="shared" si="529"/>
        <v>2.5000000000000001E-3</v>
      </c>
      <c r="AV230" s="77">
        <f t="shared" ref="AV230" si="605">1-(1-AU230)^(1/12)</f>
        <v>2.0857243058891584E-4</v>
      </c>
      <c r="AX230" t="s">
        <v>178</v>
      </c>
      <c r="AY230" t="s">
        <v>160</v>
      </c>
      <c r="AZ230" s="197" t="str">
        <f t="shared" si="575"/>
        <v>DIS_Non-Standard_315</v>
      </c>
      <c r="BA230">
        <v>315</v>
      </c>
      <c r="BB230">
        <f>VLOOKUP($BA230,'[2]NonStandard DIS'!$Q$1:$X$542,2,FALSE)</f>
        <v>0</v>
      </c>
      <c r="BC230">
        <f>VLOOKUP($BA230,'[2]NonStandard DIS'!$Q$1:$X$542,3,FALSE)</f>
        <v>0</v>
      </c>
      <c r="BD230">
        <f>VLOOKUP($BA230,'[2]NonStandard DIS'!$Q$1:$X$542,4,FALSE)</f>
        <v>0.308</v>
      </c>
      <c r="BE230">
        <f>VLOOKUP($BA230,'[2]NonStandard DIS'!$Q$1:$X$542,5,FALSE)</f>
        <v>0.69199999999999995</v>
      </c>
      <c r="BF230">
        <f>VLOOKUP($BA230,'[2]NonStandard DIS'!$Q$1:$X$542,6,FALSE)</f>
        <v>0</v>
      </c>
      <c r="BG230">
        <f>VLOOKUP($BA230,'[2]NonStandard DIS'!$Q$1:$X$542,7,FALSE)</f>
        <v>0</v>
      </c>
      <c r="BH230">
        <f>VLOOKUP($BA230,'[2]NonStandard DIS'!$Q$1:$X$542,8,FALSE)</f>
        <v>0</v>
      </c>
      <c r="BI230" s="77">
        <f t="shared" si="518"/>
        <v>1</v>
      </c>
      <c r="BJ230" s="77">
        <f t="shared" si="519"/>
        <v>6.9728499999999985E-2</v>
      </c>
      <c r="BK230" s="77">
        <f t="shared" si="500"/>
        <v>5.632878498097682E-3</v>
      </c>
      <c r="BL230" s="79">
        <v>0</v>
      </c>
      <c r="BM230" s="77">
        <f t="shared" si="531"/>
        <v>0</v>
      </c>
      <c r="BN230" s="77">
        <f t="shared" si="532"/>
        <v>0</v>
      </c>
      <c r="BO230" s="77">
        <f t="shared" si="533"/>
        <v>5.6775999999999997E-3</v>
      </c>
      <c r="BP230" s="77">
        <f t="shared" si="534"/>
        <v>4.7190657760731725E-4</v>
      </c>
    </row>
    <row r="231" spans="1:68">
      <c r="A231" t="s">
        <v>175</v>
      </c>
      <c r="B231" t="s">
        <v>176</v>
      </c>
      <c r="C231" s="197" t="str">
        <f t="shared" si="569"/>
        <v>Lifecycle_Balanced_314</v>
      </c>
      <c r="D231">
        <v>314</v>
      </c>
      <c r="E231">
        <f>VLOOKUP($D231,'[2]LC Balanced'!$Q$2:$U$542,2,FALSE)</f>
        <v>0</v>
      </c>
      <c r="F231">
        <f>VLOOKUP($D231,'[2]LC Balanced'!$Q$2:$U$542,3,FALSE)</f>
        <v>0.14899999999999999</v>
      </c>
      <c r="G231">
        <f>VLOOKUP($D231,'[2]LC Balanced'!$Q$2:$U$542,4,FALSE)</f>
        <v>0.85099999999999998</v>
      </c>
      <c r="H231">
        <f>VLOOKUP($D231,'[2]LC Balanced'!$Q$2:$U$542,5,FALSE)</f>
        <v>0</v>
      </c>
      <c r="I231" s="77">
        <f t="shared" si="513"/>
        <v>1</v>
      </c>
      <c r="J231" s="77">
        <f t="shared" si="514"/>
        <v>6.1987699999999986E-2</v>
      </c>
      <c r="K231" s="77">
        <f t="shared" si="504"/>
        <v>5.024442123284345E-3</v>
      </c>
      <c r="L231" s="76">
        <v>0</v>
      </c>
      <c r="M231" s="77">
        <f t="shared" si="520"/>
        <v>0</v>
      </c>
      <c r="N231" s="77">
        <f t="shared" si="521"/>
        <v>0</v>
      </c>
      <c r="O231" s="77">
        <f t="shared" si="522"/>
        <v>7.0062999999999992E-3</v>
      </c>
      <c r="P231" s="77">
        <f t="shared" si="523"/>
        <v>5.85741666996209E-4</v>
      </c>
      <c r="R231" t="s">
        <v>177</v>
      </c>
      <c r="S231" t="s">
        <v>176</v>
      </c>
      <c r="T231" s="197" t="str">
        <f t="shared" si="455"/>
        <v>Autopilot_Balanced_314</v>
      </c>
      <c r="U231">
        <v>314</v>
      </c>
      <c r="V231">
        <f>VLOOKUP($U231,'[2]AP Balanced'!$Q$1:$T$542,2,FALSE)</f>
        <v>0.77777777777777779</v>
      </c>
      <c r="W231">
        <f>VLOOKUP($U231,'[2]AP Balanced'!$Q$1:$T$542,3,FALSE)</f>
        <v>0.22222222222222221</v>
      </c>
      <c r="X231">
        <f>VLOOKUP($U231,'[2]AP Balanced'!$Q$1:$T$542,4,FALSE)</f>
        <v>0</v>
      </c>
      <c r="Y231" s="77">
        <f t="shared" si="570"/>
        <v>1</v>
      </c>
      <c r="Z231" s="77">
        <f t="shared" si="559"/>
        <v>6.1674999999999987E-2</v>
      </c>
      <c r="AA231" s="77">
        <f t="shared" si="560"/>
        <v>4.9997781870025904E-3</v>
      </c>
      <c r="AB231" s="79">
        <v>1</v>
      </c>
      <c r="AC231" s="77">
        <f t="shared" si="524"/>
        <v>8.0555555555555554E-3</v>
      </c>
      <c r="AD231" s="77">
        <f t="shared" si="515"/>
        <v>6.7378764057135498E-4</v>
      </c>
      <c r="AE231" s="77">
        <f t="shared" si="525"/>
        <v>2.5000000000000001E-3</v>
      </c>
      <c r="AF231" s="77">
        <f t="shared" si="515"/>
        <v>2.0857243058891584E-4</v>
      </c>
      <c r="AH231" t="s">
        <v>175</v>
      </c>
      <c r="AI231" t="s">
        <v>176</v>
      </c>
      <c r="AJ231" s="197" t="str">
        <f t="shared" si="571"/>
        <v>Lifecycle_Balanced_314</v>
      </c>
      <c r="AK231">
        <v>314</v>
      </c>
      <c r="AL231">
        <f>VLOOKUP($U231,[2]Standard_Balanced!$Q$1:$T$542,2,FALSE)</f>
        <v>0.77777777777777779</v>
      </c>
      <c r="AM231">
        <f>VLOOKUP($U231,[2]Standard_Balanced!$Q$1:$T$542,3,FALSE)</f>
        <v>0.22222222222222221</v>
      </c>
      <c r="AN231">
        <f>VLOOKUP($U231,[2]Standard_Balanced!$Q$1:$T$542,4,FALSE)</f>
        <v>0</v>
      </c>
      <c r="AO231" s="77">
        <f t="shared" si="501"/>
        <v>1</v>
      </c>
      <c r="AP231" s="77">
        <f t="shared" si="526"/>
        <v>6.1674999999999987E-2</v>
      </c>
      <c r="AQ231" s="77">
        <f t="shared" si="572"/>
        <v>4.9997781870025904E-3</v>
      </c>
      <c r="AR231" s="79">
        <v>0</v>
      </c>
      <c r="AS231" s="77">
        <f t="shared" si="527"/>
        <v>0</v>
      </c>
      <c r="AT231" s="77">
        <f t="shared" ref="AT231" si="606">1-(1-AS231)^(1/12)</f>
        <v>0</v>
      </c>
      <c r="AU231" s="77">
        <f t="shared" si="529"/>
        <v>2.5000000000000001E-3</v>
      </c>
      <c r="AV231" s="77">
        <f t="shared" ref="AV231" si="607">1-(1-AU231)^(1/12)</f>
        <v>2.0857243058891584E-4</v>
      </c>
      <c r="AX231" t="s">
        <v>178</v>
      </c>
      <c r="AY231" t="s">
        <v>160</v>
      </c>
      <c r="AZ231" s="197" t="str">
        <f t="shared" si="575"/>
        <v>DIS_Non-Standard_314</v>
      </c>
      <c r="BA231">
        <v>314</v>
      </c>
      <c r="BB231">
        <f>VLOOKUP($BA231,'[2]NonStandard DIS'!$Q$1:$X$542,2,FALSE)</f>
        <v>0</v>
      </c>
      <c r="BC231">
        <f>VLOOKUP($BA231,'[2]NonStandard DIS'!$Q$1:$X$542,3,FALSE)</f>
        <v>0</v>
      </c>
      <c r="BD231">
        <f>VLOOKUP($BA231,'[2]NonStandard DIS'!$Q$1:$X$542,4,FALSE)</f>
        <v>0.308</v>
      </c>
      <c r="BE231">
        <f>VLOOKUP($BA231,'[2]NonStandard DIS'!$Q$1:$X$542,5,FALSE)</f>
        <v>0.69199999999999995</v>
      </c>
      <c r="BF231">
        <f>VLOOKUP($BA231,'[2]NonStandard DIS'!$Q$1:$X$542,6,FALSE)</f>
        <v>0</v>
      </c>
      <c r="BG231">
        <f>VLOOKUP($BA231,'[2]NonStandard DIS'!$Q$1:$X$542,7,FALSE)</f>
        <v>0</v>
      </c>
      <c r="BH231">
        <f>VLOOKUP($BA231,'[2]NonStandard DIS'!$Q$1:$X$542,8,FALSE)</f>
        <v>0</v>
      </c>
      <c r="BI231" s="77">
        <f t="shared" si="518"/>
        <v>1</v>
      </c>
      <c r="BJ231" s="77">
        <f t="shared" si="519"/>
        <v>6.9728499999999985E-2</v>
      </c>
      <c r="BK231" s="77">
        <f t="shared" si="500"/>
        <v>5.632878498097682E-3</v>
      </c>
      <c r="BL231" s="79">
        <v>0</v>
      </c>
      <c r="BM231" s="77">
        <f t="shared" si="531"/>
        <v>0</v>
      </c>
      <c r="BN231" s="77">
        <f t="shared" si="532"/>
        <v>0</v>
      </c>
      <c r="BO231" s="77">
        <f t="shared" si="533"/>
        <v>5.6775999999999997E-3</v>
      </c>
      <c r="BP231" s="77">
        <f t="shared" si="534"/>
        <v>4.7190657760731725E-4</v>
      </c>
    </row>
    <row r="232" spans="1:68">
      <c r="A232" t="s">
        <v>175</v>
      </c>
      <c r="B232" t="s">
        <v>176</v>
      </c>
      <c r="C232" s="197" t="str">
        <f t="shared" si="569"/>
        <v>Lifecycle_Balanced_313</v>
      </c>
      <c r="D232">
        <v>313</v>
      </c>
      <c r="E232">
        <f>VLOOKUP($D232,'[2]LC Balanced'!$Q$2:$U$542,2,FALSE)</f>
        <v>0</v>
      </c>
      <c r="F232">
        <f>VLOOKUP($D232,'[2]LC Balanced'!$Q$2:$U$542,3,FALSE)</f>
        <v>0.14899999999999999</v>
      </c>
      <c r="G232">
        <f>VLOOKUP($D232,'[2]LC Balanced'!$Q$2:$U$542,4,FALSE)</f>
        <v>0.85099999999999998</v>
      </c>
      <c r="H232">
        <f>VLOOKUP($D232,'[2]LC Balanced'!$Q$2:$U$542,5,FALSE)</f>
        <v>0</v>
      </c>
      <c r="I232" s="77">
        <f t="shared" si="513"/>
        <v>1</v>
      </c>
      <c r="J232" s="77">
        <f t="shared" si="514"/>
        <v>6.1987699999999986E-2</v>
      </c>
      <c r="K232" s="77">
        <f t="shared" si="504"/>
        <v>5.024442123284345E-3</v>
      </c>
      <c r="L232" s="76">
        <v>0</v>
      </c>
      <c r="M232" s="77">
        <f t="shared" si="520"/>
        <v>0</v>
      </c>
      <c r="N232" s="77">
        <f t="shared" si="521"/>
        <v>0</v>
      </c>
      <c r="O232" s="77">
        <f t="shared" si="522"/>
        <v>7.0062999999999992E-3</v>
      </c>
      <c r="P232" s="77">
        <f t="shared" si="523"/>
        <v>5.85741666996209E-4</v>
      </c>
      <c r="R232" t="s">
        <v>177</v>
      </c>
      <c r="S232" t="s">
        <v>176</v>
      </c>
      <c r="T232" s="197" t="str">
        <f t="shared" si="455"/>
        <v>Autopilot_Balanced_313</v>
      </c>
      <c r="U232">
        <v>313</v>
      </c>
      <c r="V232">
        <f>VLOOKUP($U232,'[2]AP Balanced'!$Q$1:$T$542,2,FALSE)</f>
        <v>0.77777777777777779</v>
      </c>
      <c r="W232">
        <f>VLOOKUP($U232,'[2]AP Balanced'!$Q$1:$T$542,3,FALSE)</f>
        <v>0.22222222222222221</v>
      </c>
      <c r="X232">
        <f>VLOOKUP($U232,'[2]AP Balanced'!$Q$1:$T$542,4,FALSE)</f>
        <v>0</v>
      </c>
      <c r="Y232" s="77">
        <f t="shared" si="570"/>
        <v>1</v>
      </c>
      <c r="Z232" s="77">
        <f t="shared" si="559"/>
        <v>6.1674999999999987E-2</v>
      </c>
      <c r="AA232" s="77">
        <f t="shared" si="560"/>
        <v>4.9997781870025904E-3</v>
      </c>
      <c r="AB232" s="79">
        <v>1</v>
      </c>
      <c r="AC232" s="77">
        <f t="shared" si="524"/>
        <v>8.0555555555555554E-3</v>
      </c>
      <c r="AD232" s="77">
        <f t="shared" si="515"/>
        <v>6.7378764057135498E-4</v>
      </c>
      <c r="AE232" s="77">
        <f t="shared" si="525"/>
        <v>2.5000000000000001E-3</v>
      </c>
      <c r="AF232" s="77">
        <f t="shared" si="515"/>
        <v>2.0857243058891584E-4</v>
      </c>
      <c r="AH232" t="s">
        <v>175</v>
      </c>
      <c r="AI232" t="s">
        <v>176</v>
      </c>
      <c r="AJ232" s="197" t="str">
        <f t="shared" si="571"/>
        <v>Lifecycle_Balanced_313</v>
      </c>
      <c r="AK232">
        <v>313</v>
      </c>
      <c r="AL232">
        <f>VLOOKUP($U232,[2]Standard_Balanced!$Q$1:$T$542,2,FALSE)</f>
        <v>0.77777777777777779</v>
      </c>
      <c r="AM232">
        <f>VLOOKUP($U232,[2]Standard_Balanced!$Q$1:$T$542,3,FALSE)</f>
        <v>0.22222222222222221</v>
      </c>
      <c r="AN232">
        <f>VLOOKUP($U232,[2]Standard_Balanced!$Q$1:$T$542,4,FALSE)</f>
        <v>0</v>
      </c>
      <c r="AO232" s="77">
        <f t="shared" si="501"/>
        <v>1</v>
      </c>
      <c r="AP232" s="77">
        <f t="shared" si="526"/>
        <v>6.1674999999999987E-2</v>
      </c>
      <c r="AQ232" s="77">
        <f t="shared" si="572"/>
        <v>4.9997781870025904E-3</v>
      </c>
      <c r="AR232" s="79">
        <v>0</v>
      </c>
      <c r="AS232" s="77">
        <f t="shared" si="527"/>
        <v>0</v>
      </c>
      <c r="AT232" s="77">
        <f t="shared" ref="AT232" si="608">1-(1-AS232)^(1/12)</f>
        <v>0</v>
      </c>
      <c r="AU232" s="77">
        <f t="shared" si="529"/>
        <v>2.5000000000000001E-3</v>
      </c>
      <c r="AV232" s="77">
        <f t="shared" ref="AV232" si="609">1-(1-AU232)^(1/12)</f>
        <v>2.0857243058891584E-4</v>
      </c>
      <c r="AX232" t="s">
        <v>178</v>
      </c>
      <c r="AY232" t="s">
        <v>160</v>
      </c>
      <c r="AZ232" s="197" t="str">
        <f t="shared" si="575"/>
        <v>DIS_Non-Standard_313</v>
      </c>
      <c r="BA232">
        <v>313</v>
      </c>
      <c r="BB232">
        <f>VLOOKUP($BA232,'[2]NonStandard DIS'!$Q$1:$X$542,2,FALSE)</f>
        <v>0</v>
      </c>
      <c r="BC232">
        <f>VLOOKUP($BA232,'[2]NonStandard DIS'!$Q$1:$X$542,3,FALSE)</f>
        <v>0</v>
      </c>
      <c r="BD232">
        <f>VLOOKUP($BA232,'[2]NonStandard DIS'!$Q$1:$X$542,4,FALSE)</f>
        <v>0.308</v>
      </c>
      <c r="BE232">
        <f>VLOOKUP($BA232,'[2]NonStandard DIS'!$Q$1:$X$542,5,FALSE)</f>
        <v>0.69199999999999995</v>
      </c>
      <c r="BF232">
        <f>VLOOKUP($BA232,'[2]NonStandard DIS'!$Q$1:$X$542,6,FALSE)</f>
        <v>0</v>
      </c>
      <c r="BG232">
        <f>VLOOKUP($BA232,'[2]NonStandard DIS'!$Q$1:$X$542,7,FALSE)</f>
        <v>0</v>
      </c>
      <c r="BH232">
        <f>VLOOKUP($BA232,'[2]NonStandard DIS'!$Q$1:$X$542,8,FALSE)</f>
        <v>0</v>
      </c>
      <c r="BI232" s="77">
        <f t="shared" si="518"/>
        <v>1</v>
      </c>
      <c r="BJ232" s="77">
        <f t="shared" si="519"/>
        <v>6.9728499999999985E-2</v>
      </c>
      <c r="BK232" s="77">
        <f t="shared" si="500"/>
        <v>5.632878498097682E-3</v>
      </c>
      <c r="BL232" s="79">
        <v>0</v>
      </c>
      <c r="BM232" s="77">
        <f t="shared" si="531"/>
        <v>0</v>
      </c>
      <c r="BN232" s="77">
        <f t="shared" si="532"/>
        <v>0</v>
      </c>
      <c r="BO232" s="77">
        <f t="shared" si="533"/>
        <v>5.6775999999999997E-3</v>
      </c>
      <c r="BP232" s="77">
        <f t="shared" si="534"/>
        <v>4.7190657760731725E-4</v>
      </c>
    </row>
    <row r="233" spans="1:68">
      <c r="A233" t="s">
        <v>175</v>
      </c>
      <c r="B233" t="s">
        <v>176</v>
      </c>
      <c r="C233" s="197" t="str">
        <f t="shared" si="569"/>
        <v>Lifecycle_Balanced_312</v>
      </c>
      <c r="D233">
        <v>312</v>
      </c>
      <c r="E233">
        <f>VLOOKUP($D233,'[2]LC Balanced'!$Q$2:$U$542,2,FALSE)</f>
        <v>0</v>
      </c>
      <c r="F233">
        <f>VLOOKUP($D233,'[2]LC Balanced'!$Q$2:$U$542,3,FALSE)</f>
        <v>0.14899999999999999</v>
      </c>
      <c r="G233">
        <f>VLOOKUP($D233,'[2]LC Balanced'!$Q$2:$U$542,4,FALSE)</f>
        <v>0.85099999999999998</v>
      </c>
      <c r="H233">
        <f>VLOOKUP($D233,'[2]LC Balanced'!$Q$2:$U$542,5,FALSE)</f>
        <v>0</v>
      </c>
      <c r="I233" s="77">
        <f t="shared" si="513"/>
        <v>1</v>
      </c>
      <c r="J233" s="77">
        <f t="shared" si="514"/>
        <v>6.1987699999999986E-2</v>
      </c>
      <c r="K233" s="77">
        <f t="shared" si="504"/>
        <v>5.024442123284345E-3</v>
      </c>
      <c r="L233" s="76">
        <v>0</v>
      </c>
      <c r="M233" s="77">
        <f t="shared" si="520"/>
        <v>0</v>
      </c>
      <c r="N233" s="77">
        <f t="shared" si="521"/>
        <v>0</v>
      </c>
      <c r="O233" s="77">
        <f t="shared" si="522"/>
        <v>7.0062999999999992E-3</v>
      </c>
      <c r="P233" s="77">
        <f t="shared" si="523"/>
        <v>5.85741666996209E-4</v>
      </c>
      <c r="R233" t="s">
        <v>177</v>
      </c>
      <c r="S233" t="s">
        <v>176</v>
      </c>
      <c r="T233" s="197" t="str">
        <f t="shared" si="455"/>
        <v>Autopilot_Balanced_312</v>
      </c>
      <c r="U233">
        <v>312</v>
      </c>
      <c r="V233">
        <f>VLOOKUP($U233,'[2]AP Balanced'!$Q$1:$T$542,2,FALSE)</f>
        <v>0.77777777777777779</v>
      </c>
      <c r="W233">
        <f>VLOOKUP($U233,'[2]AP Balanced'!$Q$1:$T$542,3,FALSE)</f>
        <v>0.22222222222222221</v>
      </c>
      <c r="X233">
        <f>VLOOKUP($U233,'[2]AP Balanced'!$Q$1:$T$542,4,FALSE)</f>
        <v>0</v>
      </c>
      <c r="Y233" s="77">
        <f t="shared" si="570"/>
        <v>1</v>
      </c>
      <c r="Z233" s="77">
        <f t="shared" si="559"/>
        <v>6.1674999999999987E-2</v>
      </c>
      <c r="AA233" s="77">
        <f t="shared" si="560"/>
        <v>4.9997781870025904E-3</v>
      </c>
      <c r="AB233" s="79">
        <v>1</v>
      </c>
      <c r="AC233" s="77">
        <f t="shared" si="524"/>
        <v>8.0555555555555554E-3</v>
      </c>
      <c r="AD233" s="77">
        <f t="shared" si="515"/>
        <v>6.7378764057135498E-4</v>
      </c>
      <c r="AE233" s="77">
        <f t="shared" si="525"/>
        <v>2.5000000000000001E-3</v>
      </c>
      <c r="AF233" s="77">
        <f t="shared" si="515"/>
        <v>2.0857243058891584E-4</v>
      </c>
      <c r="AH233" t="s">
        <v>175</v>
      </c>
      <c r="AI233" t="s">
        <v>176</v>
      </c>
      <c r="AJ233" s="197" t="str">
        <f t="shared" si="571"/>
        <v>Lifecycle_Balanced_312</v>
      </c>
      <c r="AK233">
        <v>312</v>
      </c>
      <c r="AL233">
        <f>VLOOKUP($U233,[2]Standard_Balanced!$Q$1:$T$542,2,FALSE)</f>
        <v>0.77777777777777779</v>
      </c>
      <c r="AM233">
        <f>VLOOKUP($U233,[2]Standard_Balanced!$Q$1:$T$542,3,FALSE)</f>
        <v>0.22222222222222221</v>
      </c>
      <c r="AN233">
        <f>VLOOKUP($U233,[2]Standard_Balanced!$Q$1:$T$542,4,FALSE)</f>
        <v>0</v>
      </c>
      <c r="AO233" s="77">
        <f t="shared" si="501"/>
        <v>1</v>
      </c>
      <c r="AP233" s="77">
        <f t="shared" si="526"/>
        <v>6.1674999999999987E-2</v>
      </c>
      <c r="AQ233" s="77">
        <f t="shared" si="572"/>
        <v>4.9997781870025904E-3</v>
      </c>
      <c r="AR233" s="79">
        <v>0</v>
      </c>
      <c r="AS233" s="77">
        <f t="shared" si="527"/>
        <v>0</v>
      </c>
      <c r="AT233" s="77">
        <f t="shared" ref="AT233" si="610">1-(1-AS233)^(1/12)</f>
        <v>0</v>
      </c>
      <c r="AU233" s="77">
        <f t="shared" si="529"/>
        <v>2.5000000000000001E-3</v>
      </c>
      <c r="AV233" s="77">
        <f t="shared" ref="AV233" si="611">1-(1-AU233)^(1/12)</f>
        <v>2.0857243058891584E-4</v>
      </c>
      <c r="AX233" t="s">
        <v>178</v>
      </c>
      <c r="AY233" t="s">
        <v>160</v>
      </c>
      <c r="AZ233" s="197" t="str">
        <f t="shared" si="575"/>
        <v>DIS_Non-Standard_312</v>
      </c>
      <c r="BA233">
        <v>312</v>
      </c>
      <c r="BB233">
        <f>VLOOKUP($BA233,'[2]NonStandard DIS'!$Q$1:$X$542,2,FALSE)</f>
        <v>0</v>
      </c>
      <c r="BC233">
        <f>VLOOKUP($BA233,'[2]NonStandard DIS'!$Q$1:$X$542,3,FALSE)</f>
        <v>0</v>
      </c>
      <c r="BD233">
        <f>VLOOKUP($BA233,'[2]NonStandard DIS'!$Q$1:$X$542,4,FALSE)</f>
        <v>0.308</v>
      </c>
      <c r="BE233">
        <f>VLOOKUP($BA233,'[2]NonStandard DIS'!$Q$1:$X$542,5,FALSE)</f>
        <v>0.69199999999999995</v>
      </c>
      <c r="BF233">
        <f>VLOOKUP($BA233,'[2]NonStandard DIS'!$Q$1:$X$542,6,FALSE)</f>
        <v>0</v>
      </c>
      <c r="BG233">
        <f>VLOOKUP($BA233,'[2]NonStandard DIS'!$Q$1:$X$542,7,FALSE)</f>
        <v>0</v>
      </c>
      <c r="BH233">
        <f>VLOOKUP($BA233,'[2]NonStandard DIS'!$Q$1:$X$542,8,FALSE)</f>
        <v>0</v>
      </c>
      <c r="BI233" s="77">
        <f t="shared" si="518"/>
        <v>1</v>
      </c>
      <c r="BJ233" s="77">
        <f t="shared" si="519"/>
        <v>6.9728499999999985E-2</v>
      </c>
      <c r="BK233" s="77">
        <f t="shared" si="500"/>
        <v>5.632878498097682E-3</v>
      </c>
      <c r="BL233" s="79">
        <v>0</v>
      </c>
      <c r="BM233" s="77">
        <f t="shared" si="531"/>
        <v>0</v>
      </c>
      <c r="BN233" s="77">
        <f t="shared" si="532"/>
        <v>0</v>
      </c>
      <c r="BO233" s="77">
        <f t="shared" si="533"/>
        <v>5.6775999999999997E-3</v>
      </c>
      <c r="BP233" s="77">
        <f t="shared" si="534"/>
        <v>4.7190657760731725E-4</v>
      </c>
    </row>
    <row r="234" spans="1:68">
      <c r="A234" t="s">
        <v>175</v>
      </c>
      <c r="B234" t="s">
        <v>176</v>
      </c>
      <c r="C234" s="197" t="str">
        <f t="shared" si="569"/>
        <v>Lifecycle_Balanced_311</v>
      </c>
      <c r="D234">
        <v>311</v>
      </c>
      <c r="E234">
        <f>VLOOKUP($D234,'[2]LC Balanced'!$Q$2:$U$542,2,FALSE)</f>
        <v>0</v>
      </c>
      <c r="F234">
        <f>VLOOKUP($D234,'[2]LC Balanced'!$Q$2:$U$542,3,FALSE)</f>
        <v>0.14899999999999999</v>
      </c>
      <c r="G234">
        <f>VLOOKUP($D234,'[2]LC Balanced'!$Q$2:$U$542,4,FALSE)</f>
        <v>0.85099999999999998</v>
      </c>
      <c r="H234">
        <f>VLOOKUP($D234,'[2]LC Balanced'!$Q$2:$U$542,5,FALSE)</f>
        <v>0</v>
      </c>
      <c r="I234" s="77">
        <f t="shared" si="513"/>
        <v>1</v>
      </c>
      <c r="J234" s="77">
        <f t="shared" si="514"/>
        <v>6.1987699999999986E-2</v>
      </c>
      <c r="K234" s="77">
        <f t="shared" si="504"/>
        <v>5.024442123284345E-3</v>
      </c>
      <c r="L234" s="76">
        <v>0</v>
      </c>
      <c r="M234" s="77">
        <f t="shared" si="520"/>
        <v>0</v>
      </c>
      <c r="N234" s="77">
        <f t="shared" si="521"/>
        <v>0</v>
      </c>
      <c r="O234" s="77">
        <f t="shared" si="522"/>
        <v>7.0062999999999992E-3</v>
      </c>
      <c r="P234" s="77">
        <f t="shared" si="523"/>
        <v>5.85741666996209E-4</v>
      </c>
      <c r="R234" t="s">
        <v>177</v>
      </c>
      <c r="S234" t="s">
        <v>176</v>
      </c>
      <c r="T234" s="197" t="str">
        <f t="shared" ref="T234:T297" si="612">R234&amp;"_"&amp;S234&amp;"_"&amp;U234</f>
        <v>Autopilot_Balanced_311</v>
      </c>
      <c r="U234">
        <v>311</v>
      </c>
      <c r="V234">
        <f>VLOOKUP($U234,'[2]AP Balanced'!$Q$1:$T$542,2,FALSE)</f>
        <v>0.77777777777777779</v>
      </c>
      <c r="W234">
        <f>VLOOKUP($U234,'[2]AP Balanced'!$Q$1:$T$542,3,FALSE)</f>
        <v>0.22222222222222221</v>
      </c>
      <c r="X234">
        <f>VLOOKUP($U234,'[2]AP Balanced'!$Q$1:$T$542,4,FALSE)</f>
        <v>0</v>
      </c>
      <c r="Y234" s="77">
        <f t="shared" si="570"/>
        <v>1</v>
      </c>
      <c r="Z234" s="77">
        <f t="shared" si="559"/>
        <v>6.1674999999999987E-2</v>
      </c>
      <c r="AA234" s="77">
        <f t="shared" si="560"/>
        <v>4.9997781870025904E-3</v>
      </c>
      <c r="AB234" s="79">
        <v>1</v>
      </c>
      <c r="AC234" s="77">
        <f t="shared" si="524"/>
        <v>8.0555555555555554E-3</v>
      </c>
      <c r="AD234" s="77">
        <f t="shared" si="515"/>
        <v>6.7378764057135498E-4</v>
      </c>
      <c r="AE234" s="77">
        <f t="shared" si="525"/>
        <v>2.5000000000000001E-3</v>
      </c>
      <c r="AF234" s="77">
        <f t="shared" si="515"/>
        <v>2.0857243058891584E-4</v>
      </c>
      <c r="AH234" t="s">
        <v>175</v>
      </c>
      <c r="AI234" t="s">
        <v>176</v>
      </c>
      <c r="AJ234" s="197" t="str">
        <f t="shared" si="571"/>
        <v>Lifecycle_Balanced_311</v>
      </c>
      <c r="AK234">
        <v>311</v>
      </c>
      <c r="AL234">
        <f>VLOOKUP($U234,[2]Standard_Balanced!$Q$1:$T$542,2,FALSE)</f>
        <v>0.77777777777777779</v>
      </c>
      <c r="AM234">
        <f>VLOOKUP($U234,[2]Standard_Balanced!$Q$1:$T$542,3,FALSE)</f>
        <v>0.22222222222222221</v>
      </c>
      <c r="AN234">
        <f>VLOOKUP($U234,[2]Standard_Balanced!$Q$1:$T$542,4,FALSE)</f>
        <v>0</v>
      </c>
      <c r="AO234" s="77">
        <f t="shared" si="501"/>
        <v>1</v>
      </c>
      <c r="AP234" s="77">
        <f t="shared" si="526"/>
        <v>6.1674999999999987E-2</v>
      </c>
      <c r="AQ234" s="77">
        <f t="shared" si="572"/>
        <v>4.9997781870025904E-3</v>
      </c>
      <c r="AR234" s="79">
        <v>0</v>
      </c>
      <c r="AS234" s="77">
        <f t="shared" si="527"/>
        <v>0</v>
      </c>
      <c r="AT234" s="77">
        <f t="shared" ref="AT234" si="613">1-(1-AS234)^(1/12)</f>
        <v>0</v>
      </c>
      <c r="AU234" s="77">
        <f t="shared" si="529"/>
        <v>2.5000000000000001E-3</v>
      </c>
      <c r="AV234" s="77">
        <f t="shared" ref="AV234" si="614">1-(1-AU234)^(1/12)</f>
        <v>2.0857243058891584E-4</v>
      </c>
      <c r="AX234" t="s">
        <v>178</v>
      </c>
      <c r="AY234" t="s">
        <v>160</v>
      </c>
      <c r="AZ234" s="197" t="str">
        <f t="shared" si="575"/>
        <v>DIS_Non-Standard_311</v>
      </c>
      <c r="BA234">
        <v>311</v>
      </c>
      <c r="BB234">
        <f>VLOOKUP($BA234,'[2]NonStandard DIS'!$Q$1:$X$542,2,FALSE)</f>
        <v>0</v>
      </c>
      <c r="BC234">
        <f>VLOOKUP($BA234,'[2]NonStandard DIS'!$Q$1:$X$542,3,FALSE)</f>
        <v>0</v>
      </c>
      <c r="BD234">
        <f>VLOOKUP($BA234,'[2]NonStandard DIS'!$Q$1:$X$542,4,FALSE)</f>
        <v>0.308</v>
      </c>
      <c r="BE234">
        <f>VLOOKUP($BA234,'[2]NonStandard DIS'!$Q$1:$X$542,5,FALSE)</f>
        <v>0.69199999999999995</v>
      </c>
      <c r="BF234">
        <f>VLOOKUP($BA234,'[2]NonStandard DIS'!$Q$1:$X$542,6,FALSE)</f>
        <v>0</v>
      </c>
      <c r="BG234">
        <f>VLOOKUP($BA234,'[2]NonStandard DIS'!$Q$1:$X$542,7,FALSE)</f>
        <v>0</v>
      </c>
      <c r="BH234">
        <f>VLOOKUP($BA234,'[2]NonStandard DIS'!$Q$1:$X$542,8,FALSE)</f>
        <v>0</v>
      </c>
      <c r="BI234" s="77">
        <f t="shared" si="518"/>
        <v>1</v>
      </c>
      <c r="BJ234" s="77">
        <f t="shared" si="519"/>
        <v>6.9728499999999985E-2</v>
      </c>
      <c r="BK234" s="77">
        <f t="shared" si="500"/>
        <v>5.632878498097682E-3</v>
      </c>
      <c r="BL234" s="79">
        <v>0</v>
      </c>
      <c r="BM234" s="77">
        <f t="shared" si="531"/>
        <v>0</v>
      </c>
      <c r="BN234" s="77">
        <f t="shared" si="532"/>
        <v>0</v>
      </c>
      <c r="BO234" s="77">
        <f t="shared" si="533"/>
        <v>5.6775999999999997E-3</v>
      </c>
      <c r="BP234" s="77">
        <f t="shared" si="534"/>
        <v>4.7190657760731725E-4</v>
      </c>
    </row>
    <row r="235" spans="1:68">
      <c r="A235" t="s">
        <v>175</v>
      </c>
      <c r="B235" t="s">
        <v>176</v>
      </c>
      <c r="C235" s="197" t="str">
        <f t="shared" si="569"/>
        <v>Lifecycle_Balanced_310</v>
      </c>
      <c r="D235">
        <v>310</v>
      </c>
      <c r="E235">
        <f>VLOOKUP($D235,'[2]LC Balanced'!$Q$2:$U$542,2,FALSE)</f>
        <v>0</v>
      </c>
      <c r="F235">
        <f>VLOOKUP($D235,'[2]LC Balanced'!$Q$2:$U$542,3,FALSE)</f>
        <v>0.14899999999999999</v>
      </c>
      <c r="G235">
        <f>VLOOKUP($D235,'[2]LC Balanced'!$Q$2:$U$542,4,FALSE)</f>
        <v>0.85099999999999998</v>
      </c>
      <c r="H235">
        <f>VLOOKUP($D235,'[2]LC Balanced'!$Q$2:$U$542,5,FALSE)</f>
        <v>0</v>
      </c>
      <c r="I235" s="77">
        <f t="shared" si="513"/>
        <v>1</v>
      </c>
      <c r="J235" s="77">
        <f t="shared" si="514"/>
        <v>6.1987699999999986E-2</v>
      </c>
      <c r="K235" s="77">
        <f t="shared" si="504"/>
        <v>5.024442123284345E-3</v>
      </c>
      <c r="L235" s="76">
        <v>0</v>
      </c>
      <c r="M235" s="77">
        <f t="shared" si="520"/>
        <v>0</v>
      </c>
      <c r="N235" s="77">
        <f t="shared" si="521"/>
        <v>0</v>
      </c>
      <c r="O235" s="77">
        <f t="shared" si="522"/>
        <v>7.0062999999999992E-3</v>
      </c>
      <c r="P235" s="77">
        <f t="shared" si="523"/>
        <v>5.85741666996209E-4</v>
      </c>
      <c r="R235" t="s">
        <v>177</v>
      </c>
      <c r="S235" t="s">
        <v>176</v>
      </c>
      <c r="T235" s="197" t="str">
        <f t="shared" si="612"/>
        <v>Autopilot_Balanced_310</v>
      </c>
      <c r="U235">
        <v>310</v>
      </c>
      <c r="V235">
        <f>VLOOKUP($U235,'[2]AP Balanced'!$Q$1:$T$542,2,FALSE)</f>
        <v>0.77777777777777779</v>
      </c>
      <c r="W235">
        <f>VLOOKUP($U235,'[2]AP Balanced'!$Q$1:$T$542,3,FALSE)</f>
        <v>0.22222222222222221</v>
      </c>
      <c r="X235">
        <f>VLOOKUP($U235,'[2]AP Balanced'!$Q$1:$T$542,4,FALSE)</f>
        <v>0</v>
      </c>
      <c r="Y235" s="77">
        <f t="shared" si="570"/>
        <v>1</v>
      </c>
      <c r="Z235" s="77">
        <f t="shared" si="559"/>
        <v>6.1674999999999987E-2</v>
      </c>
      <c r="AA235" s="77">
        <f t="shared" si="560"/>
        <v>4.9997781870025904E-3</v>
      </c>
      <c r="AB235" s="79">
        <v>1</v>
      </c>
      <c r="AC235" s="77">
        <f t="shared" si="524"/>
        <v>8.0555555555555554E-3</v>
      </c>
      <c r="AD235" s="77">
        <f t="shared" si="515"/>
        <v>6.7378764057135498E-4</v>
      </c>
      <c r="AE235" s="77">
        <f t="shared" si="525"/>
        <v>2.5000000000000001E-3</v>
      </c>
      <c r="AF235" s="77">
        <f t="shared" si="515"/>
        <v>2.0857243058891584E-4</v>
      </c>
      <c r="AH235" t="s">
        <v>175</v>
      </c>
      <c r="AI235" t="s">
        <v>176</v>
      </c>
      <c r="AJ235" s="197" t="str">
        <f t="shared" si="571"/>
        <v>Lifecycle_Balanced_310</v>
      </c>
      <c r="AK235">
        <v>310</v>
      </c>
      <c r="AL235">
        <f>VLOOKUP($U235,[2]Standard_Balanced!$Q$1:$T$542,2,FALSE)</f>
        <v>0.77777777777777779</v>
      </c>
      <c r="AM235">
        <f>VLOOKUP($U235,[2]Standard_Balanced!$Q$1:$T$542,3,FALSE)</f>
        <v>0.22222222222222221</v>
      </c>
      <c r="AN235">
        <f>VLOOKUP($U235,[2]Standard_Balanced!$Q$1:$T$542,4,FALSE)</f>
        <v>0</v>
      </c>
      <c r="AO235" s="77">
        <f t="shared" si="501"/>
        <v>1</v>
      </c>
      <c r="AP235" s="77">
        <f t="shared" si="526"/>
        <v>6.1674999999999987E-2</v>
      </c>
      <c r="AQ235" s="77">
        <f t="shared" si="572"/>
        <v>4.9997781870025904E-3</v>
      </c>
      <c r="AR235" s="79">
        <v>0</v>
      </c>
      <c r="AS235" s="77">
        <f t="shared" si="527"/>
        <v>0</v>
      </c>
      <c r="AT235" s="77">
        <f t="shared" ref="AT235" si="615">1-(1-AS235)^(1/12)</f>
        <v>0</v>
      </c>
      <c r="AU235" s="77">
        <f t="shared" si="529"/>
        <v>2.5000000000000001E-3</v>
      </c>
      <c r="AV235" s="77">
        <f t="shared" ref="AV235" si="616">1-(1-AU235)^(1/12)</f>
        <v>2.0857243058891584E-4</v>
      </c>
      <c r="AX235" t="s">
        <v>178</v>
      </c>
      <c r="AY235" t="s">
        <v>160</v>
      </c>
      <c r="AZ235" s="197" t="str">
        <f t="shared" si="575"/>
        <v>DIS_Non-Standard_310</v>
      </c>
      <c r="BA235">
        <v>310</v>
      </c>
      <c r="BB235">
        <f>VLOOKUP($BA235,'[2]NonStandard DIS'!$Q$1:$X$542,2,FALSE)</f>
        <v>0</v>
      </c>
      <c r="BC235">
        <f>VLOOKUP($BA235,'[2]NonStandard DIS'!$Q$1:$X$542,3,FALSE)</f>
        <v>0</v>
      </c>
      <c r="BD235">
        <f>VLOOKUP($BA235,'[2]NonStandard DIS'!$Q$1:$X$542,4,FALSE)</f>
        <v>0.308</v>
      </c>
      <c r="BE235">
        <f>VLOOKUP($BA235,'[2]NonStandard DIS'!$Q$1:$X$542,5,FALSE)</f>
        <v>0.69199999999999995</v>
      </c>
      <c r="BF235">
        <f>VLOOKUP($BA235,'[2]NonStandard DIS'!$Q$1:$X$542,6,FALSE)</f>
        <v>0</v>
      </c>
      <c r="BG235">
        <f>VLOOKUP($BA235,'[2]NonStandard DIS'!$Q$1:$X$542,7,FALSE)</f>
        <v>0</v>
      </c>
      <c r="BH235">
        <f>VLOOKUP($BA235,'[2]NonStandard DIS'!$Q$1:$X$542,8,FALSE)</f>
        <v>0</v>
      </c>
      <c r="BI235" s="77">
        <f t="shared" si="518"/>
        <v>1</v>
      </c>
      <c r="BJ235" s="77">
        <f t="shared" si="519"/>
        <v>6.9728499999999985E-2</v>
      </c>
      <c r="BK235" s="77">
        <f t="shared" si="500"/>
        <v>5.632878498097682E-3</v>
      </c>
      <c r="BL235" s="79">
        <v>0</v>
      </c>
      <c r="BM235" s="77">
        <f t="shared" si="531"/>
        <v>0</v>
      </c>
      <c r="BN235" s="77">
        <f t="shared" si="532"/>
        <v>0</v>
      </c>
      <c r="BO235" s="77">
        <f t="shared" si="533"/>
        <v>5.6775999999999997E-3</v>
      </c>
      <c r="BP235" s="77">
        <f t="shared" si="534"/>
        <v>4.7190657760731725E-4</v>
      </c>
    </row>
    <row r="236" spans="1:68">
      <c r="A236" t="s">
        <v>175</v>
      </c>
      <c r="B236" t="s">
        <v>176</v>
      </c>
      <c r="C236" s="197" t="str">
        <f t="shared" si="569"/>
        <v>Lifecycle_Balanced_309</v>
      </c>
      <c r="D236">
        <v>309</v>
      </c>
      <c r="E236">
        <f>VLOOKUP($D236,'[2]LC Balanced'!$Q$2:$U$542,2,FALSE)</f>
        <v>0</v>
      </c>
      <c r="F236">
        <f>VLOOKUP($D236,'[2]LC Balanced'!$Q$2:$U$542,3,FALSE)</f>
        <v>0.14899999999999999</v>
      </c>
      <c r="G236">
        <f>VLOOKUP($D236,'[2]LC Balanced'!$Q$2:$U$542,4,FALSE)</f>
        <v>0.85099999999999998</v>
      </c>
      <c r="H236">
        <f>VLOOKUP($D236,'[2]LC Balanced'!$Q$2:$U$542,5,FALSE)</f>
        <v>0</v>
      </c>
      <c r="I236" s="77">
        <f t="shared" si="513"/>
        <v>1</v>
      </c>
      <c r="J236" s="77">
        <f t="shared" si="514"/>
        <v>6.1987699999999986E-2</v>
      </c>
      <c r="K236" s="77">
        <f t="shared" si="504"/>
        <v>5.024442123284345E-3</v>
      </c>
      <c r="L236" s="76">
        <v>0</v>
      </c>
      <c r="M236" s="77">
        <f t="shared" si="520"/>
        <v>0</v>
      </c>
      <c r="N236" s="77">
        <f t="shared" si="521"/>
        <v>0</v>
      </c>
      <c r="O236" s="77">
        <f t="shared" si="522"/>
        <v>7.0062999999999992E-3</v>
      </c>
      <c r="P236" s="77">
        <f t="shared" si="523"/>
        <v>5.85741666996209E-4</v>
      </c>
      <c r="R236" t="s">
        <v>177</v>
      </c>
      <c r="S236" t="s">
        <v>176</v>
      </c>
      <c r="T236" s="197" t="str">
        <f t="shared" si="612"/>
        <v>Autopilot_Balanced_309</v>
      </c>
      <c r="U236">
        <v>309</v>
      </c>
      <c r="V236">
        <f>VLOOKUP($U236,'[2]AP Balanced'!$Q$1:$T$542,2,FALSE)</f>
        <v>0.77777777777777779</v>
      </c>
      <c r="W236">
        <f>VLOOKUP($U236,'[2]AP Balanced'!$Q$1:$T$542,3,FALSE)</f>
        <v>0.22222222222222221</v>
      </c>
      <c r="X236">
        <f>VLOOKUP($U236,'[2]AP Balanced'!$Q$1:$T$542,4,FALSE)</f>
        <v>0</v>
      </c>
      <c r="Y236" s="77">
        <f t="shared" si="570"/>
        <v>1</v>
      </c>
      <c r="Z236" s="77">
        <f t="shared" si="559"/>
        <v>6.1674999999999987E-2</v>
      </c>
      <c r="AA236" s="77">
        <f t="shared" si="560"/>
        <v>4.9997781870025904E-3</v>
      </c>
      <c r="AB236" s="79">
        <v>1</v>
      </c>
      <c r="AC236" s="77">
        <f t="shared" si="524"/>
        <v>8.0555555555555554E-3</v>
      </c>
      <c r="AD236" s="77">
        <f t="shared" si="515"/>
        <v>6.7378764057135498E-4</v>
      </c>
      <c r="AE236" s="77">
        <f t="shared" si="525"/>
        <v>2.5000000000000001E-3</v>
      </c>
      <c r="AF236" s="77">
        <f t="shared" si="515"/>
        <v>2.0857243058891584E-4</v>
      </c>
      <c r="AH236" t="s">
        <v>175</v>
      </c>
      <c r="AI236" t="s">
        <v>176</v>
      </c>
      <c r="AJ236" s="197" t="str">
        <f t="shared" si="571"/>
        <v>Lifecycle_Balanced_309</v>
      </c>
      <c r="AK236">
        <v>309</v>
      </c>
      <c r="AL236">
        <f>VLOOKUP($U236,[2]Standard_Balanced!$Q$1:$T$542,2,FALSE)</f>
        <v>0.77777777777777779</v>
      </c>
      <c r="AM236">
        <f>VLOOKUP($U236,[2]Standard_Balanced!$Q$1:$T$542,3,FALSE)</f>
        <v>0.22222222222222221</v>
      </c>
      <c r="AN236">
        <f>VLOOKUP($U236,[2]Standard_Balanced!$Q$1:$T$542,4,FALSE)</f>
        <v>0</v>
      </c>
      <c r="AO236" s="77">
        <f t="shared" si="501"/>
        <v>1</v>
      </c>
      <c r="AP236" s="77">
        <f t="shared" si="526"/>
        <v>6.1674999999999987E-2</v>
      </c>
      <c r="AQ236" s="77">
        <f t="shared" si="572"/>
        <v>4.9997781870025904E-3</v>
      </c>
      <c r="AR236" s="79">
        <v>0</v>
      </c>
      <c r="AS236" s="77">
        <f t="shared" si="527"/>
        <v>0</v>
      </c>
      <c r="AT236" s="77">
        <f t="shared" ref="AT236" si="617">1-(1-AS236)^(1/12)</f>
        <v>0</v>
      </c>
      <c r="AU236" s="77">
        <f t="shared" si="529"/>
        <v>2.5000000000000001E-3</v>
      </c>
      <c r="AV236" s="77">
        <f t="shared" ref="AV236" si="618">1-(1-AU236)^(1/12)</f>
        <v>2.0857243058891584E-4</v>
      </c>
      <c r="AX236" t="s">
        <v>178</v>
      </c>
      <c r="AY236" t="s">
        <v>160</v>
      </c>
      <c r="AZ236" s="197" t="str">
        <f t="shared" si="575"/>
        <v>DIS_Non-Standard_309</v>
      </c>
      <c r="BA236">
        <v>309</v>
      </c>
      <c r="BB236">
        <f>VLOOKUP($BA236,'[2]NonStandard DIS'!$Q$1:$X$542,2,FALSE)</f>
        <v>0</v>
      </c>
      <c r="BC236">
        <f>VLOOKUP($BA236,'[2]NonStandard DIS'!$Q$1:$X$542,3,FALSE)</f>
        <v>0</v>
      </c>
      <c r="BD236">
        <f>VLOOKUP($BA236,'[2]NonStandard DIS'!$Q$1:$X$542,4,FALSE)</f>
        <v>0.308</v>
      </c>
      <c r="BE236">
        <f>VLOOKUP($BA236,'[2]NonStandard DIS'!$Q$1:$X$542,5,FALSE)</f>
        <v>0.69199999999999995</v>
      </c>
      <c r="BF236">
        <f>VLOOKUP($BA236,'[2]NonStandard DIS'!$Q$1:$X$542,6,FALSE)</f>
        <v>0</v>
      </c>
      <c r="BG236">
        <f>VLOOKUP($BA236,'[2]NonStandard DIS'!$Q$1:$X$542,7,FALSE)</f>
        <v>0</v>
      </c>
      <c r="BH236">
        <f>VLOOKUP($BA236,'[2]NonStandard DIS'!$Q$1:$X$542,8,FALSE)</f>
        <v>0</v>
      </c>
      <c r="BI236" s="77">
        <f t="shared" si="518"/>
        <v>1</v>
      </c>
      <c r="BJ236" s="77">
        <f t="shared" si="519"/>
        <v>6.9728499999999985E-2</v>
      </c>
      <c r="BK236" s="77">
        <f t="shared" si="500"/>
        <v>5.632878498097682E-3</v>
      </c>
      <c r="BL236" s="79">
        <v>0</v>
      </c>
      <c r="BM236" s="77">
        <f t="shared" si="531"/>
        <v>0</v>
      </c>
      <c r="BN236" s="77">
        <f t="shared" si="532"/>
        <v>0</v>
      </c>
      <c r="BO236" s="77">
        <f t="shared" si="533"/>
        <v>5.6775999999999997E-3</v>
      </c>
      <c r="BP236" s="77">
        <f t="shared" si="534"/>
        <v>4.7190657760731725E-4</v>
      </c>
    </row>
    <row r="237" spans="1:68">
      <c r="A237" t="s">
        <v>175</v>
      </c>
      <c r="B237" t="s">
        <v>176</v>
      </c>
      <c r="C237" s="197" t="str">
        <f t="shared" si="569"/>
        <v>Lifecycle_Balanced_308</v>
      </c>
      <c r="D237">
        <v>308</v>
      </c>
      <c r="E237">
        <f>VLOOKUP($D237,'[2]LC Balanced'!$Q$2:$U$542,2,FALSE)</f>
        <v>0</v>
      </c>
      <c r="F237">
        <f>VLOOKUP($D237,'[2]LC Balanced'!$Q$2:$U$542,3,FALSE)</f>
        <v>0.14899999999999999</v>
      </c>
      <c r="G237">
        <f>VLOOKUP($D237,'[2]LC Balanced'!$Q$2:$U$542,4,FALSE)</f>
        <v>0.85099999999999998</v>
      </c>
      <c r="H237">
        <f>VLOOKUP($D237,'[2]LC Balanced'!$Q$2:$U$542,5,FALSE)</f>
        <v>0</v>
      </c>
      <c r="I237" s="77">
        <f t="shared" si="513"/>
        <v>1</v>
      </c>
      <c r="J237" s="77">
        <f t="shared" si="514"/>
        <v>6.1987699999999986E-2</v>
      </c>
      <c r="K237" s="77">
        <f t="shared" si="504"/>
        <v>5.024442123284345E-3</v>
      </c>
      <c r="L237" s="76">
        <v>0</v>
      </c>
      <c r="M237" s="77">
        <f t="shared" si="520"/>
        <v>0</v>
      </c>
      <c r="N237" s="77">
        <f t="shared" si="521"/>
        <v>0</v>
      </c>
      <c r="O237" s="77">
        <f t="shared" si="522"/>
        <v>7.0062999999999992E-3</v>
      </c>
      <c r="P237" s="77">
        <f t="shared" si="523"/>
        <v>5.85741666996209E-4</v>
      </c>
      <c r="R237" t="s">
        <v>177</v>
      </c>
      <c r="S237" t="s">
        <v>176</v>
      </c>
      <c r="T237" s="197" t="str">
        <f t="shared" si="612"/>
        <v>Autopilot_Balanced_308</v>
      </c>
      <c r="U237">
        <v>308</v>
      </c>
      <c r="V237">
        <f>VLOOKUP($U237,'[2]AP Balanced'!$Q$1:$T$542,2,FALSE)</f>
        <v>0.77777777777777779</v>
      </c>
      <c r="W237">
        <f>VLOOKUP($U237,'[2]AP Balanced'!$Q$1:$T$542,3,FALSE)</f>
        <v>0.22222222222222221</v>
      </c>
      <c r="X237">
        <f>VLOOKUP($U237,'[2]AP Balanced'!$Q$1:$T$542,4,FALSE)</f>
        <v>0</v>
      </c>
      <c r="Y237" s="77">
        <f t="shared" si="570"/>
        <v>1</v>
      </c>
      <c r="Z237" s="77">
        <f t="shared" si="559"/>
        <v>6.1674999999999987E-2</v>
      </c>
      <c r="AA237" s="77">
        <f t="shared" si="560"/>
        <v>4.9997781870025904E-3</v>
      </c>
      <c r="AB237" s="79">
        <v>1</v>
      </c>
      <c r="AC237" s="77">
        <f t="shared" si="524"/>
        <v>8.0555555555555554E-3</v>
      </c>
      <c r="AD237" s="77">
        <f t="shared" si="515"/>
        <v>6.7378764057135498E-4</v>
      </c>
      <c r="AE237" s="77">
        <f t="shared" si="525"/>
        <v>2.5000000000000001E-3</v>
      </c>
      <c r="AF237" s="77">
        <f t="shared" si="515"/>
        <v>2.0857243058891584E-4</v>
      </c>
      <c r="AH237" t="s">
        <v>175</v>
      </c>
      <c r="AI237" t="s">
        <v>176</v>
      </c>
      <c r="AJ237" s="197" t="str">
        <f t="shared" si="571"/>
        <v>Lifecycle_Balanced_308</v>
      </c>
      <c r="AK237">
        <v>308</v>
      </c>
      <c r="AL237">
        <f>VLOOKUP($U237,[2]Standard_Balanced!$Q$1:$T$542,2,FALSE)</f>
        <v>0.77777777777777779</v>
      </c>
      <c r="AM237">
        <f>VLOOKUP($U237,[2]Standard_Balanced!$Q$1:$T$542,3,FALSE)</f>
        <v>0.22222222222222221</v>
      </c>
      <c r="AN237">
        <f>VLOOKUP($U237,[2]Standard_Balanced!$Q$1:$T$542,4,FALSE)</f>
        <v>0</v>
      </c>
      <c r="AO237" s="77">
        <f t="shared" si="501"/>
        <v>1</v>
      </c>
      <c r="AP237" s="77">
        <f t="shared" si="526"/>
        <v>6.1674999999999987E-2</v>
      </c>
      <c r="AQ237" s="77">
        <f t="shared" si="572"/>
        <v>4.9997781870025904E-3</v>
      </c>
      <c r="AR237" s="79">
        <v>0</v>
      </c>
      <c r="AS237" s="77">
        <f t="shared" si="527"/>
        <v>0</v>
      </c>
      <c r="AT237" s="77">
        <f t="shared" ref="AT237" si="619">1-(1-AS237)^(1/12)</f>
        <v>0</v>
      </c>
      <c r="AU237" s="77">
        <f t="shared" si="529"/>
        <v>2.5000000000000001E-3</v>
      </c>
      <c r="AV237" s="77">
        <f t="shared" ref="AV237" si="620">1-(1-AU237)^(1/12)</f>
        <v>2.0857243058891584E-4</v>
      </c>
      <c r="AX237" t="s">
        <v>178</v>
      </c>
      <c r="AY237" t="s">
        <v>160</v>
      </c>
      <c r="AZ237" s="197" t="str">
        <f t="shared" si="575"/>
        <v>DIS_Non-Standard_308</v>
      </c>
      <c r="BA237">
        <v>308</v>
      </c>
      <c r="BB237">
        <f>VLOOKUP($BA237,'[2]NonStandard DIS'!$Q$1:$X$542,2,FALSE)</f>
        <v>0</v>
      </c>
      <c r="BC237">
        <f>VLOOKUP($BA237,'[2]NonStandard DIS'!$Q$1:$X$542,3,FALSE)</f>
        <v>0</v>
      </c>
      <c r="BD237">
        <f>VLOOKUP($BA237,'[2]NonStandard DIS'!$Q$1:$X$542,4,FALSE)</f>
        <v>0.308</v>
      </c>
      <c r="BE237">
        <f>VLOOKUP($BA237,'[2]NonStandard DIS'!$Q$1:$X$542,5,FALSE)</f>
        <v>0.69199999999999995</v>
      </c>
      <c r="BF237">
        <f>VLOOKUP($BA237,'[2]NonStandard DIS'!$Q$1:$X$542,6,FALSE)</f>
        <v>0</v>
      </c>
      <c r="BG237">
        <f>VLOOKUP($BA237,'[2]NonStandard DIS'!$Q$1:$X$542,7,FALSE)</f>
        <v>0</v>
      </c>
      <c r="BH237">
        <f>VLOOKUP($BA237,'[2]NonStandard DIS'!$Q$1:$X$542,8,FALSE)</f>
        <v>0</v>
      </c>
      <c r="BI237" s="77">
        <f t="shared" si="518"/>
        <v>1</v>
      </c>
      <c r="BJ237" s="77">
        <f t="shared" si="519"/>
        <v>6.9728499999999985E-2</v>
      </c>
      <c r="BK237" s="77">
        <f t="shared" si="500"/>
        <v>5.632878498097682E-3</v>
      </c>
      <c r="BL237" s="79">
        <v>0</v>
      </c>
      <c r="BM237" s="77">
        <f t="shared" si="531"/>
        <v>0</v>
      </c>
      <c r="BN237" s="77">
        <f t="shared" si="532"/>
        <v>0</v>
      </c>
      <c r="BO237" s="77">
        <f t="shared" si="533"/>
        <v>5.6775999999999997E-3</v>
      </c>
      <c r="BP237" s="77">
        <f t="shared" si="534"/>
        <v>4.7190657760731725E-4</v>
      </c>
    </row>
    <row r="238" spans="1:68">
      <c r="A238" t="s">
        <v>175</v>
      </c>
      <c r="B238" t="s">
        <v>176</v>
      </c>
      <c r="C238" s="197" t="str">
        <f t="shared" si="569"/>
        <v>Lifecycle_Balanced_307</v>
      </c>
      <c r="D238">
        <v>307</v>
      </c>
      <c r="E238">
        <f>VLOOKUP($D238,'[2]LC Balanced'!$Q$2:$U$542,2,FALSE)</f>
        <v>0</v>
      </c>
      <c r="F238">
        <f>VLOOKUP($D238,'[2]LC Balanced'!$Q$2:$U$542,3,FALSE)</f>
        <v>0.14899999999999999</v>
      </c>
      <c r="G238">
        <f>VLOOKUP($D238,'[2]LC Balanced'!$Q$2:$U$542,4,FALSE)</f>
        <v>0.85099999999999998</v>
      </c>
      <c r="H238">
        <f>VLOOKUP($D238,'[2]LC Balanced'!$Q$2:$U$542,5,FALSE)</f>
        <v>0</v>
      </c>
      <c r="I238" s="77">
        <f t="shared" si="513"/>
        <v>1</v>
      </c>
      <c r="J238" s="77">
        <f t="shared" si="514"/>
        <v>6.1987699999999986E-2</v>
      </c>
      <c r="K238" s="77">
        <f t="shared" si="504"/>
        <v>5.024442123284345E-3</v>
      </c>
      <c r="L238" s="76">
        <v>0</v>
      </c>
      <c r="M238" s="77">
        <f t="shared" si="520"/>
        <v>0</v>
      </c>
      <c r="N238" s="77">
        <f t="shared" si="521"/>
        <v>0</v>
      </c>
      <c r="O238" s="77">
        <f t="shared" si="522"/>
        <v>7.0062999999999992E-3</v>
      </c>
      <c r="P238" s="77">
        <f t="shared" si="523"/>
        <v>5.85741666996209E-4</v>
      </c>
      <c r="R238" t="s">
        <v>177</v>
      </c>
      <c r="S238" t="s">
        <v>176</v>
      </c>
      <c r="T238" s="197" t="str">
        <f t="shared" si="612"/>
        <v>Autopilot_Balanced_307</v>
      </c>
      <c r="U238">
        <v>307</v>
      </c>
      <c r="V238">
        <f>VLOOKUP($U238,'[2]AP Balanced'!$Q$1:$T$542,2,FALSE)</f>
        <v>0.77777777777777779</v>
      </c>
      <c r="W238">
        <f>VLOOKUP($U238,'[2]AP Balanced'!$Q$1:$T$542,3,FALSE)</f>
        <v>0.22222222222222221</v>
      </c>
      <c r="X238">
        <f>VLOOKUP($U238,'[2]AP Balanced'!$Q$1:$T$542,4,FALSE)</f>
        <v>0</v>
      </c>
      <c r="Y238" s="77">
        <f t="shared" si="570"/>
        <v>1</v>
      </c>
      <c r="Z238" s="77">
        <f t="shared" si="559"/>
        <v>6.1674999999999987E-2</v>
      </c>
      <c r="AA238" s="77">
        <f t="shared" si="560"/>
        <v>4.9997781870025904E-3</v>
      </c>
      <c r="AB238" s="79">
        <v>1</v>
      </c>
      <c r="AC238" s="77">
        <f t="shared" si="524"/>
        <v>8.0555555555555554E-3</v>
      </c>
      <c r="AD238" s="77">
        <f t="shared" si="515"/>
        <v>6.7378764057135498E-4</v>
      </c>
      <c r="AE238" s="77">
        <f t="shared" si="525"/>
        <v>2.5000000000000001E-3</v>
      </c>
      <c r="AF238" s="77">
        <f t="shared" si="515"/>
        <v>2.0857243058891584E-4</v>
      </c>
      <c r="AH238" t="s">
        <v>175</v>
      </c>
      <c r="AI238" t="s">
        <v>176</v>
      </c>
      <c r="AJ238" s="197" t="str">
        <f t="shared" si="571"/>
        <v>Lifecycle_Balanced_307</v>
      </c>
      <c r="AK238">
        <v>307</v>
      </c>
      <c r="AL238">
        <f>VLOOKUP($U238,[2]Standard_Balanced!$Q$1:$T$542,2,FALSE)</f>
        <v>0.77777777777777779</v>
      </c>
      <c r="AM238">
        <f>VLOOKUP($U238,[2]Standard_Balanced!$Q$1:$T$542,3,FALSE)</f>
        <v>0.22222222222222221</v>
      </c>
      <c r="AN238">
        <f>VLOOKUP($U238,[2]Standard_Balanced!$Q$1:$T$542,4,FALSE)</f>
        <v>0</v>
      </c>
      <c r="AO238" s="77">
        <f t="shared" si="501"/>
        <v>1</v>
      </c>
      <c r="AP238" s="77">
        <f t="shared" si="526"/>
        <v>6.1674999999999987E-2</v>
      </c>
      <c r="AQ238" s="77">
        <f t="shared" si="572"/>
        <v>4.9997781870025904E-3</v>
      </c>
      <c r="AR238" s="79">
        <v>0</v>
      </c>
      <c r="AS238" s="77">
        <f t="shared" si="527"/>
        <v>0</v>
      </c>
      <c r="AT238" s="77">
        <f t="shared" ref="AT238" si="621">1-(1-AS238)^(1/12)</f>
        <v>0</v>
      </c>
      <c r="AU238" s="77">
        <f t="shared" si="529"/>
        <v>2.5000000000000001E-3</v>
      </c>
      <c r="AV238" s="77">
        <f t="shared" ref="AV238" si="622">1-(1-AU238)^(1/12)</f>
        <v>2.0857243058891584E-4</v>
      </c>
      <c r="AX238" t="s">
        <v>178</v>
      </c>
      <c r="AY238" t="s">
        <v>160</v>
      </c>
      <c r="AZ238" s="197" t="str">
        <f t="shared" si="575"/>
        <v>DIS_Non-Standard_307</v>
      </c>
      <c r="BA238">
        <v>307</v>
      </c>
      <c r="BB238">
        <f>VLOOKUP($BA238,'[2]NonStandard DIS'!$Q$1:$X$542,2,FALSE)</f>
        <v>0</v>
      </c>
      <c r="BC238">
        <f>VLOOKUP($BA238,'[2]NonStandard DIS'!$Q$1:$X$542,3,FALSE)</f>
        <v>0</v>
      </c>
      <c r="BD238">
        <f>VLOOKUP($BA238,'[2]NonStandard DIS'!$Q$1:$X$542,4,FALSE)</f>
        <v>0.308</v>
      </c>
      <c r="BE238">
        <f>VLOOKUP($BA238,'[2]NonStandard DIS'!$Q$1:$X$542,5,FALSE)</f>
        <v>0.69199999999999995</v>
      </c>
      <c r="BF238">
        <f>VLOOKUP($BA238,'[2]NonStandard DIS'!$Q$1:$X$542,6,FALSE)</f>
        <v>0</v>
      </c>
      <c r="BG238">
        <f>VLOOKUP($BA238,'[2]NonStandard DIS'!$Q$1:$X$542,7,FALSE)</f>
        <v>0</v>
      </c>
      <c r="BH238">
        <f>VLOOKUP($BA238,'[2]NonStandard DIS'!$Q$1:$X$542,8,FALSE)</f>
        <v>0</v>
      </c>
      <c r="BI238" s="77">
        <f t="shared" si="518"/>
        <v>1</v>
      </c>
      <c r="BJ238" s="77">
        <f t="shared" si="519"/>
        <v>6.9728499999999985E-2</v>
      </c>
      <c r="BK238" s="77">
        <f t="shared" si="500"/>
        <v>5.632878498097682E-3</v>
      </c>
      <c r="BL238" s="79">
        <v>0</v>
      </c>
      <c r="BM238" s="77">
        <f t="shared" si="531"/>
        <v>0</v>
      </c>
      <c r="BN238" s="77">
        <f t="shared" si="532"/>
        <v>0</v>
      </c>
      <c r="BO238" s="77">
        <f t="shared" si="533"/>
        <v>5.6775999999999997E-3</v>
      </c>
      <c r="BP238" s="77">
        <f t="shared" si="534"/>
        <v>4.7190657760731725E-4</v>
      </c>
    </row>
    <row r="239" spans="1:68">
      <c r="A239" t="s">
        <v>175</v>
      </c>
      <c r="B239" t="s">
        <v>176</v>
      </c>
      <c r="C239" s="197" t="str">
        <f t="shared" si="569"/>
        <v>Lifecycle_Balanced_306</v>
      </c>
      <c r="D239">
        <v>306</v>
      </c>
      <c r="E239">
        <f>VLOOKUP($D239,'[2]LC Balanced'!$Q$2:$U$542,2,FALSE)</f>
        <v>0</v>
      </c>
      <c r="F239">
        <f>VLOOKUP($D239,'[2]LC Balanced'!$Q$2:$U$542,3,FALSE)</f>
        <v>0.14899999999999999</v>
      </c>
      <c r="G239">
        <f>VLOOKUP($D239,'[2]LC Balanced'!$Q$2:$U$542,4,FALSE)</f>
        <v>0.85099999999999998</v>
      </c>
      <c r="H239">
        <f>VLOOKUP($D239,'[2]LC Balanced'!$Q$2:$U$542,5,FALSE)</f>
        <v>0</v>
      </c>
      <c r="I239" s="77">
        <f t="shared" si="513"/>
        <v>1</v>
      </c>
      <c r="J239" s="77">
        <f t="shared" si="514"/>
        <v>6.1987699999999986E-2</v>
      </c>
      <c r="K239" s="77">
        <f t="shared" si="504"/>
        <v>5.024442123284345E-3</v>
      </c>
      <c r="L239" s="76">
        <v>0</v>
      </c>
      <c r="M239" s="77">
        <f t="shared" si="520"/>
        <v>0</v>
      </c>
      <c r="N239" s="77">
        <f t="shared" si="521"/>
        <v>0</v>
      </c>
      <c r="O239" s="77">
        <f t="shared" si="522"/>
        <v>7.0062999999999992E-3</v>
      </c>
      <c r="P239" s="77">
        <f t="shared" si="523"/>
        <v>5.85741666996209E-4</v>
      </c>
      <c r="R239" t="s">
        <v>177</v>
      </c>
      <c r="S239" t="s">
        <v>176</v>
      </c>
      <c r="T239" s="197" t="str">
        <f t="shared" si="612"/>
        <v>Autopilot_Balanced_306</v>
      </c>
      <c r="U239">
        <v>306</v>
      </c>
      <c r="V239">
        <f>VLOOKUP($U239,'[2]AP Balanced'!$Q$1:$T$542,2,FALSE)</f>
        <v>0.77777777777777779</v>
      </c>
      <c r="W239">
        <f>VLOOKUP($U239,'[2]AP Balanced'!$Q$1:$T$542,3,FALSE)</f>
        <v>0.22222222222222221</v>
      </c>
      <c r="X239">
        <f>VLOOKUP($U239,'[2]AP Balanced'!$Q$1:$T$542,4,FALSE)</f>
        <v>0</v>
      </c>
      <c r="Y239" s="77">
        <f t="shared" si="570"/>
        <v>1</v>
      </c>
      <c r="Z239" s="77">
        <f t="shared" si="559"/>
        <v>6.1674999999999987E-2</v>
      </c>
      <c r="AA239" s="77">
        <f t="shared" si="560"/>
        <v>4.9997781870025904E-3</v>
      </c>
      <c r="AB239" s="79">
        <v>1</v>
      </c>
      <c r="AC239" s="77">
        <f t="shared" si="524"/>
        <v>8.0555555555555554E-3</v>
      </c>
      <c r="AD239" s="77">
        <f t="shared" si="515"/>
        <v>6.7378764057135498E-4</v>
      </c>
      <c r="AE239" s="77">
        <f t="shared" si="525"/>
        <v>2.5000000000000001E-3</v>
      </c>
      <c r="AF239" s="77">
        <f t="shared" si="515"/>
        <v>2.0857243058891584E-4</v>
      </c>
      <c r="AH239" t="s">
        <v>175</v>
      </c>
      <c r="AI239" t="s">
        <v>176</v>
      </c>
      <c r="AJ239" s="197" t="str">
        <f t="shared" si="571"/>
        <v>Lifecycle_Balanced_306</v>
      </c>
      <c r="AK239">
        <v>306</v>
      </c>
      <c r="AL239">
        <f>VLOOKUP($U239,[2]Standard_Balanced!$Q$1:$T$542,2,FALSE)</f>
        <v>0.77777777777777779</v>
      </c>
      <c r="AM239">
        <f>VLOOKUP($U239,[2]Standard_Balanced!$Q$1:$T$542,3,FALSE)</f>
        <v>0.22222222222222221</v>
      </c>
      <c r="AN239">
        <f>VLOOKUP($U239,[2]Standard_Balanced!$Q$1:$T$542,4,FALSE)</f>
        <v>0</v>
      </c>
      <c r="AO239" s="77">
        <f t="shared" si="501"/>
        <v>1</v>
      </c>
      <c r="AP239" s="77">
        <f t="shared" si="526"/>
        <v>6.1674999999999987E-2</v>
      </c>
      <c r="AQ239" s="77">
        <f t="shared" si="572"/>
        <v>4.9997781870025904E-3</v>
      </c>
      <c r="AR239" s="79">
        <v>0</v>
      </c>
      <c r="AS239" s="77">
        <f t="shared" si="527"/>
        <v>0</v>
      </c>
      <c r="AT239" s="77">
        <f t="shared" ref="AT239" si="623">1-(1-AS239)^(1/12)</f>
        <v>0</v>
      </c>
      <c r="AU239" s="77">
        <f t="shared" si="529"/>
        <v>2.5000000000000001E-3</v>
      </c>
      <c r="AV239" s="77">
        <f t="shared" ref="AV239" si="624">1-(1-AU239)^(1/12)</f>
        <v>2.0857243058891584E-4</v>
      </c>
      <c r="AX239" t="s">
        <v>178</v>
      </c>
      <c r="AY239" t="s">
        <v>160</v>
      </c>
      <c r="AZ239" s="197" t="str">
        <f t="shared" si="575"/>
        <v>DIS_Non-Standard_306</v>
      </c>
      <c r="BA239">
        <v>306</v>
      </c>
      <c r="BB239">
        <f>VLOOKUP($BA239,'[2]NonStandard DIS'!$Q$1:$X$542,2,FALSE)</f>
        <v>0</v>
      </c>
      <c r="BC239">
        <f>VLOOKUP($BA239,'[2]NonStandard DIS'!$Q$1:$X$542,3,FALSE)</f>
        <v>0</v>
      </c>
      <c r="BD239">
        <f>VLOOKUP($BA239,'[2]NonStandard DIS'!$Q$1:$X$542,4,FALSE)</f>
        <v>0.308</v>
      </c>
      <c r="BE239">
        <f>VLOOKUP($BA239,'[2]NonStandard DIS'!$Q$1:$X$542,5,FALSE)</f>
        <v>0.69199999999999995</v>
      </c>
      <c r="BF239">
        <f>VLOOKUP($BA239,'[2]NonStandard DIS'!$Q$1:$X$542,6,FALSE)</f>
        <v>0</v>
      </c>
      <c r="BG239">
        <f>VLOOKUP($BA239,'[2]NonStandard DIS'!$Q$1:$X$542,7,FALSE)</f>
        <v>0</v>
      </c>
      <c r="BH239">
        <f>VLOOKUP($BA239,'[2]NonStandard DIS'!$Q$1:$X$542,8,FALSE)</f>
        <v>0</v>
      </c>
      <c r="BI239" s="77">
        <f t="shared" si="518"/>
        <v>1</v>
      </c>
      <c r="BJ239" s="77">
        <f t="shared" si="519"/>
        <v>6.9728499999999985E-2</v>
      </c>
      <c r="BK239" s="77">
        <f t="shared" si="500"/>
        <v>5.632878498097682E-3</v>
      </c>
      <c r="BL239" s="79">
        <v>0</v>
      </c>
      <c r="BM239" s="77">
        <f t="shared" si="531"/>
        <v>0</v>
      </c>
      <c r="BN239" s="77">
        <f t="shared" si="532"/>
        <v>0</v>
      </c>
      <c r="BO239" s="77">
        <f t="shared" si="533"/>
        <v>5.6775999999999997E-3</v>
      </c>
      <c r="BP239" s="77">
        <f t="shared" si="534"/>
        <v>4.7190657760731725E-4</v>
      </c>
    </row>
    <row r="240" spans="1:68">
      <c r="A240" t="s">
        <v>175</v>
      </c>
      <c r="B240" t="s">
        <v>176</v>
      </c>
      <c r="C240" s="197" t="str">
        <f t="shared" si="569"/>
        <v>Lifecycle_Balanced_305</v>
      </c>
      <c r="D240">
        <v>305</v>
      </c>
      <c r="E240">
        <f>VLOOKUP($D240,'[2]LC Balanced'!$Q$2:$U$542,2,FALSE)</f>
        <v>0</v>
      </c>
      <c r="F240">
        <f>VLOOKUP($D240,'[2]LC Balanced'!$Q$2:$U$542,3,FALSE)</f>
        <v>0.14899999999999999</v>
      </c>
      <c r="G240">
        <f>VLOOKUP($D240,'[2]LC Balanced'!$Q$2:$U$542,4,FALSE)</f>
        <v>0.85099999999999998</v>
      </c>
      <c r="H240">
        <f>VLOOKUP($D240,'[2]LC Balanced'!$Q$2:$U$542,5,FALSE)</f>
        <v>0</v>
      </c>
      <c r="I240" s="77">
        <f t="shared" si="513"/>
        <v>1</v>
      </c>
      <c r="J240" s="77">
        <f t="shared" si="514"/>
        <v>6.1987699999999986E-2</v>
      </c>
      <c r="K240" s="77">
        <f t="shared" si="504"/>
        <v>5.024442123284345E-3</v>
      </c>
      <c r="L240" s="76">
        <v>0</v>
      </c>
      <c r="M240" s="77">
        <f t="shared" si="520"/>
        <v>0</v>
      </c>
      <c r="N240" s="77">
        <f t="shared" si="521"/>
        <v>0</v>
      </c>
      <c r="O240" s="77">
        <f t="shared" si="522"/>
        <v>7.0062999999999992E-3</v>
      </c>
      <c r="P240" s="77">
        <f t="shared" si="523"/>
        <v>5.85741666996209E-4</v>
      </c>
      <c r="R240" t="s">
        <v>177</v>
      </c>
      <c r="S240" t="s">
        <v>176</v>
      </c>
      <c r="T240" s="197" t="str">
        <f t="shared" si="612"/>
        <v>Autopilot_Balanced_305</v>
      </c>
      <c r="U240">
        <v>305</v>
      </c>
      <c r="V240">
        <f>VLOOKUP($U240,'[2]AP Balanced'!$Q$1:$T$542,2,FALSE)</f>
        <v>0.77777777777777779</v>
      </c>
      <c r="W240">
        <f>VLOOKUP($U240,'[2]AP Balanced'!$Q$1:$T$542,3,FALSE)</f>
        <v>0.22222222222222221</v>
      </c>
      <c r="X240">
        <f>VLOOKUP($U240,'[2]AP Balanced'!$Q$1:$T$542,4,FALSE)</f>
        <v>0</v>
      </c>
      <c r="Y240" s="77">
        <f t="shared" si="570"/>
        <v>1</v>
      </c>
      <c r="Z240" s="77">
        <f t="shared" si="559"/>
        <v>6.1674999999999987E-2</v>
      </c>
      <c r="AA240" s="77">
        <f t="shared" si="560"/>
        <v>4.9997781870025904E-3</v>
      </c>
      <c r="AB240" s="79">
        <v>1</v>
      </c>
      <c r="AC240" s="77">
        <f t="shared" si="524"/>
        <v>8.0555555555555554E-3</v>
      </c>
      <c r="AD240" s="77">
        <f t="shared" si="515"/>
        <v>6.7378764057135498E-4</v>
      </c>
      <c r="AE240" s="77">
        <f t="shared" si="525"/>
        <v>2.5000000000000001E-3</v>
      </c>
      <c r="AF240" s="77">
        <f t="shared" si="515"/>
        <v>2.0857243058891584E-4</v>
      </c>
      <c r="AH240" t="s">
        <v>175</v>
      </c>
      <c r="AI240" t="s">
        <v>176</v>
      </c>
      <c r="AJ240" s="197" t="str">
        <f t="shared" si="571"/>
        <v>Lifecycle_Balanced_305</v>
      </c>
      <c r="AK240">
        <v>305</v>
      </c>
      <c r="AL240">
        <f>VLOOKUP($U240,[2]Standard_Balanced!$Q$1:$T$542,2,FALSE)</f>
        <v>0.77777777777777779</v>
      </c>
      <c r="AM240">
        <f>VLOOKUP($U240,[2]Standard_Balanced!$Q$1:$T$542,3,FALSE)</f>
        <v>0.22222222222222221</v>
      </c>
      <c r="AN240">
        <f>VLOOKUP($U240,[2]Standard_Balanced!$Q$1:$T$542,4,FALSE)</f>
        <v>0</v>
      </c>
      <c r="AO240" s="77">
        <f t="shared" si="501"/>
        <v>1</v>
      </c>
      <c r="AP240" s="77">
        <f t="shared" si="526"/>
        <v>6.1674999999999987E-2</v>
      </c>
      <c r="AQ240" s="77">
        <f t="shared" si="572"/>
        <v>4.9997781870025904E-3</v>
      </c>
      <c r="AR240" s="79">
        <v>0</v>
      </c>
      <c r="AS240" s="77">
        <f t="shared" si="527"/>
        <v>0</v>
      </c>
      <c r="AT240" s="77">
        <f t="shared" ref="AT240" si="625">1-(1-AS240)^(1/12)</f>
        <v>0</v>
      </c>
      <c r="AU240" s="77">
        <f t="shared" si="529"/>
        <v>2.5000000000000001E-3</v>
      </c>
      <c r="AV240" s="77">
        <f t="shared" ref="AV240" si="626">1-(1-AU240)^(1/12)</f>
        <v>2.0857243058891584E-4</v>
      </c>
      <c r="AX240" t="s">
        <v>178</v>
      </c>
      <c r="AY240" t="s">
        <v>160</v>
      </c>
      <c r="AZ240" s="197" t="str">
        <f t="shared" si="575"/>
        <v>DIS_Non-Standard_305</v>
      </c>
      <c r="BA240">
        <v>305</v>
      </c>
      <c r="BB240">
        <f>VLOOKUP($BA240,'[2]NonStandard DIS'!$Q$1:$X$542,2,FALSE)</f>
        <v>0</v>
      </c>
      <c r="BC240">
        <f>VLOOKUP($BA240,'[2]NonStandard DIS'!$Q$1:$X$542,3,FALSE)</f>
        <v>0</v>
      </c>
      <c r="BD240">
        <f>VLOOKUP($BA240,'[2]NonStandard DIS'!$Q$1:$X$542,4,FALSE)</f>
        <v>0.308</v>
      </c>
      <c r="BE240">
        <f>VLOOKUP($BA240,'[2]NonStandard DIS'!$Q$1:$X$542,5,FALSE)</f>
        <v>0.69199999999999995</v>
      </c>
      <c r="BF240">
        <f>VLOOKUP($BA240,'[2]NonStandard DIS'!$Q$1:$X$542,6,FALSE)</f>
        <v>0</v>
      </c>
      <c r="BG240">
        <f>VLOOKUP($BA240,'[2]NonStandard DIS'!$Q$1:$X$542,7,FALSE)</f>
        <v>0</v>
      </c>
      <c r="BH240">
        <f>VLOOKUP($BA240,'[2]NonStandard DIS'!$Q$1:$X$542,8,FALSE)</f>
        <v>0</v>
      </c>
      <c r="BI240" s="77">
        <f t="shared" si="518"/>
        <v>1</v>
      </c>
      <c r="BJ240" s="77">
        <f t="shared" si="519"/>
        <v>6.9728499999999985E-2</v>
      </c>
      <c r="BK240" s="77">
        <f t="shared" si="500"/>
        <v>5.632878498097682E-3</v>
      </c>
      <c r="BL240" s="79">
        <v>0</v>
      </c>
      <c r="BM240" s="77">
        <f t="shared" si="531"/>
        <v>0</v>
      </c>
      <c r="BN240" s="77">
        <f t="shared" si="532"/>
        <v>0</v>
      </c>
      <c r="BO240" s="77">
        <f t="shared" si="533"/>
        <v>5.6775999999999997E-3</v>
      </c>
      <c r="BP240" s="77">
        <f t="shared" si="534"/>
        <v>4.7190657760731725E-4</v>
      </c>
    </row>
    <row r="241" spans="1:68">
      <c r="A241" t="s">
        <v>175</v>
      </c>
      <c r="B241" t="s">
        <v>176</v>
      </c>
      <c r="C241" s="197" t="str">
        <f t="shared" si="569"/>
        <v>Lifecycle_Balanced_304</v>
      </c>
      <c r="D241">
        <v>304</v>
      </c>
      <c r="E241">
        <f>VLOOKUP($D241,'[2]LC Balanced'!$Q$2:$U$542,2,FALSE)</f>
        <v>0</v>
      </c>
      <c r="F241">
        <f>VLOOKUP($D241,'[2]LC Balanced'!$Q$2:$U$542,3,FALSE)</f>
        <v>0.14899999999999999</v>
      </c>
      <c r="G241">
        <f>VLOOKUP($D241,'[2]LC Balanced'!$Q$2:$U$542,4,FALSE)</f>
        <v>0.85099999999999998</v>
      </c>
      <c r="H241">
        <f>VLOOKUP($D241,'[2]LC Balanced'!$Q$2:$U$542,5,FALSE)</f>
        <v>0</v>
      </c>
      <c r="I241" s="77">
        <f t="shared" si="513"/>
        <v>1</v>
      </c>
      <c r="J241" s="77">
        <f t="shared" si="514"/>
        <v>6.1987699999999986E-2</v>
      </c>
      <c r="K241" s="77">
        <f t="shared" si="504"/>
        <v>5.024442123284345E-3</v>
      </c>
      <c r="L241" s="76">
        <v>0</v>
      </c>
      <c r="M241" s="77">
        <f t="shared" si="520"/>
        <v>0</v>
      </c>
      <c r="N241" s="77">
        <f t="shared" si="521"/>
        <v>0</v>
      </c>
      <c r="O241" s="77">
        <f t="shared" si="522"/>
        <v>7.0062999999999992E-3</v>
      </c>
      <c r="P241" s="77">
        <f t="shared" si="523"/>
        <v>5.85741666996209E-4</v>
      </c>
      <c r="R241" t="s">
        <v>177</v>
      </c>
      <c r="S241" t="s">
        <v>176</v>
      </c>
      <c r="T241" s="197" t="str">
        <f t="shared" si="612"/>
        <v>Autopilot_Balanced_304</v>
      </c>
      <c r="U241">
        <v>304</v>
      </c>
      <c r="V241">
        <f>VLOOKUP($U241,'[2]AP Balanced'!$Q$1:$T$542,2,FALSE)</f>
        <v>0.77777777777777779</v>
      </c>
      <c r="W241">
        <f>VLOOKUP($U241,'[2]AP Balanced'!$Q$1:$T$542,3,FALSE)</f>
        <v>0.22222222222222221</v>
      </c>
      <c r="X241">
        <f>VLOOKUP($U241,'[2]AP Balanced'!$Q$1:$T$542,4,FALSE)</f>
        <v>0</v>
      </c>
      <c r="Y241" s="77">
        <f t="shared" si="570"/>
        <v>1</v>
      </c>
      <c r="Z241" s="77">
        <f t="shared" si="559"/>
        <v>6.1674999999999987E-2</v>
      </c>
      <c r="AA241" s="77">
        <f t="shared" si="560"/>
        <v>4.9997781870025904E-3</v>
      </c>
      <c r="AB241" s="79">
        <v>1</v>
      </c>
      <c r="AC241" s="77">
        <f t="shared" si="524"/>
        <v>8.0555555555555554E-3</v>
      </c>
      <c r="AD241" s="77">
        <f t="shared" si="515"/>
        <v>6.7378764057135498E-4</v>
      </c>
      <c r="AE241" s="77">
        <f t="shared" si="525"/>
        <v>2.5000000000000001E-3</v>
      </c>
      <c r="AF241" s="77">
        <f t="shared" si="515"/>
        <v>2.0857243058891584E-4</v>
      </c>
      <c r="AH241" t="s">
        <v>175</v>
      </c>
      <c r="AI241" t="s">
        <v>176</v>
      </c>
      <c r="AJ241" s="197" t="str">
        <f t="shared" si="571"/>
        <v>Lifecycle_Balanced_304</v>
      </c>
      <c r="AK241">
        <v>304</v>
      </c>
      <c r="AL241">
        <f>VLOOKUP($U241,[2]Standard_Balanced!$Q$1:$T$542,2,FALSE)</f>
        <v>0.77777777777777779</v>
      </c>
      <c r="AM241">
        <f>VLOOKUP($U241,[2]Standard_Balanced!$Q$1:$T$542,3,FALSE)</f>
        <v>0.22222222222222221</v>
      </c>
      <c r="AN241">
        <f>VLOOKUP($U241,[2]Standard_Balanced!$Q$1:$T$542,4,FALSE)</f>
        <v>0</v>
      </c>
      <c r="AO241" s="77">
        <f t="shared" si="501"/>
        <v>1</v>
      </c>
      <c r="AP241" s="77">
        <f t="shared" si="526"/>
        <v>6.1674999999999987E-2</v>
      </c>
      <c r="AQ241" s="77">
        <f t="shared" si="572"/>
        <v>4.9997781870025904E-3</v>
      </c>
      <c r="AR241" s="79">
        <v>0</v>
      </c>
      <c r="AS241" s="77">
        <f t="shared" si="527"/>
        <v>0</v>
      </c>
      <c r="AT241" s="77">
        <f t="shared" ref="AT241" si="627">1-(1-AS241)^(1/12)</f>
        <v>0</v>
      </c>
      <c r="AU241" s="77">
        <f t="shared" si="529"/>
        <v>2.5000000000000001E-3</v>
      </c>
      <c r="AV241" s="77">
        <f t="shared" ref="AV241" si="628">1-(1-AU241)^(1/12)</f>
        <v>2.0857243058891584E-4</v>
      </c>
      <c r="AX241" t="s">
        <v>178</v>
      </c>
      <c r="AY241" t="s">
        <v>160</v>
      </c>
      <c r="AZ241" s="197" t="str">
        <f t="shared" si="575"/>
        <v>DIS_Non-Standard_304</v>
      </c>
      <c r="BA241">
        <v>304</v>
      </c>
      <c r="BB241">
        <f>VLOOKUP($BA241,'[2]NonStandard DIS'!$Q$1:$X$542,2,FALSE)</f>
        <v>0</v>
      </c>
      <c r="BC241">
        <f>VLOOKUP($BA241,'[2]NonStandard DIS'!$Q$1:$X$542,3,FALSE)</f>
        <v>0</v>
      </c>
      <c r="BD241">
        <f>VLOOKUP($BA241,'[2]NonStandard DIS'!$Q$1:$X$542,4,FALSE)</f>
        <v>0.308</v>
      </c>
      <c r="BE241">
        <f>VLOOKUP($BA241,'[2]NonStandard DIS'!$Q$1:$X$542,5,FALSE)</f>
        <v>0.69199999999999995</v>
      </c>
      <c r="BF241">
        <f>VLOOKUP($BA241,'[2]NonStandard DIS'!$Q$1:$X$542,6,FALSE)</f>
        <v>0</v>
      </c>
      <c r="BG241">
        <f>VLOOKUP($BA241,'[2]NonStandard DIS'!$Q$1:$X$542,7,FALSE)</f>
        <v>0</v>
      </c>
      <c r="BH241">
        <f>VLOOKUP($BA241,'[2]NonStandard DIS'!$Q$1:$X$542,8,FALSE)</f>
        <v>0</v>
      </c>
      <c r="BI241" s="77">
        <f t="shared" si="518"/>
        <v>1</v>
      </c>
      <c r="BJ241" s="77">
        <f t="shared" si="519"/>
        <v>6.9728499999999985E-2</v>
      </c>
      <c r="BK241" s="77">
        <f t="shared" si="500"/>
        <v>5.632878498097682E-3</v>
      </c>
      <c r="BL241" s="79">
        <v>0</v>
      </c>
      <c r="BM241" s="77">
        <f t="shared" si="531"/>
        <v>0</v>
      </c>
      <c r="BN241" s="77">
        <f t="shared" si="532"/>
        <v>0</v>
      </c>
      <c r="BO241" s="77">
        <f t="shared" si="533"/>
        <v>5.6775999999999997E-3</v>
      </c>
      <c r="BP241" s="77">
        <f t="shared" si="534"/>
        <v>4.7190657760731725E-4</v>
      </c>
    </row>
    <row r="242" spans="1:68">
      <c r="A242" t="s">
        <v>175</v>
      </c>
      <c r="B242" t="s">
        <v>176</v>
      </c>
      <c r="C242" s="197" t="str">
        <f t="shared" si="569"/>
        <v>Lifecycle_Balanced_303</v>
      </c>
      <c r="D242">
        <v>303</v>
      </c>
      <c r="E242">
        <f>VLOOKUP($D242,'[2]LC Balanced'!$Q$2:$U$542,2,FALSE)</f>
        <v>0</v>
      </c>
      <c r="F242">
        <f>VLOOKUP($D242,'[2]LC Balanced'!$Q$2:$U$542,3,FALSE)</f>
        <v>0.14899999999999999</v>
      </c>
      <c r="G242">
        <f>VLOOKUP($D242,'[2]LC Balanced'!$Q$2:$U$542,4,FALSE)</f>
        <v>0.85099999999999998</v>
      </c>
      <c r="H242">
        <f>VLOOKUP($D242,'[2]LC Balanced'!$Q$2:$U$542,5,FALSE)</f>
        <v>0</v>
      </c>
      <c r="I242" s="77">
        <f t="shared" si="513"/>
        <v>1</v>
      </c>
      <c r="J242" s="77">
        <f t="shared" si="514"/>
        <v>6.1987699999999986E-2</v>
      </c>
      <c r="K242" s="77">
        <f t="shared" si="504"/>
        <v>5.024442123284345E-3</v>
      </c>
      <c r="L242" s="76">
        <v>0</v>
      </c>
      <c r="M242" s="77">
        <f t="shared" si="520"/>
        <v>0</v>
      </c>
      <c r="N242" s="77">
        <f t="shared" si="521"/>
        <v>0</v>
      </c>
      <c r="O242" s="77">
        <f t="shared" si="522"/>
        <v>7.0062999999999992E-3</v>
      </c>
      <c r="P242" s="77">
        <f t="shared" si="523"/>
        <v>5.85741666996209E-4</v>
      </c>
      <c r="R242" t="s">
        <v>177</v>
      </c>
      <c r="S242" t="s">
        <v>176</v>
      </c>
      <c r="T242" s="197" t="str">
        <f t="shared" si="612"/>
        <v>Autopilot_Balanced_303</v>
      </c>
      <c r="U242">
        <v>303</v>
      </c>
      <c r="V242">
        <f>VLOOKUP($U242,'[2]AP Balanced'!$Q$1:$T$542,2,FALSE)</f>
        <v>0.77777777777777779</v>
      </c>
      <c r="W242">
        <f>VLOOKUP($U242,'[2]AP Balanced'!$Q$1:$T$542,3,FALSE)</f>
        <v>0.22222222222222221</v>
      </c>
      <c r="X242">
        <f>VLOOKUP($U242,'[2]AP Balanced'!$Q$1:$T$542,4,FALSE)</f>
        <v>0</v>
      </c>
      <c r="Y242" s="77">
        <f t="shared" si="570"/>
        <v>1</v>
      </c>
      <c r="Z242" s="77">
        <f t="shared" si="559"/>
        <v>6.1674999999999987E-2</v>
      </c>
      <c r="AA242" s="77">
        <f t="shared" si="560"/>
        <v>4.9997781870025904E-3</v>
      </c>
      <c r="AB242" s="79">
        <v>1</v>
      </c>
      <c r="AC242" s="77">
        <f t="shared" si="524"/>
        <v>8.0555555555555554E-3</v>
      </c>
      <c r="AD242" s="77">
        <f t="shared" si="515"/>
        <v>6.7378764057135498E-4</v>
      </c>
      <c r="AE242" s="77">
        <f t="shared" si="525"/>
        <v>2.5000000000000001E-3</v>
      </c>
      <c r="AF242" s="77">
        <f t="shared" si="515"/>
        <v>2.0857243058891584E-4</v>
      </c>
      <c r="AH242" t="s">
        <v>175</v>
      </c>
      <c r="AI242" t="s">
        <v>176</v>
      </c>
      <c r="AJ242" s="197" t="str">
        <f t="shared" si="571"/>
        <v>Lifecycle_Balanced_303</v>
      </c>
      <c r="AK242">
        <v>303</v>
      </c>
      <c r="AL242">
        <f>VLOOKUP($U242,[2]Standard_Balanced!$Q$1:$T$542,2,FALSE)</f>
        <v>0.77777777777777779</v>
      </c>
      <c r="AM242">
        <f>VLOOKUP($U242,[2]Standard_Balanced!$Q$1:$T$542,3,FALSE)</f>
        <v>0.22222222222222221</v>
      </c>
      <c r="AN242">
        <f>VLOOKUP($U242,[2]Standard_Balanced!$Q$1:$T$542,4,FALSE)</f>
        <v>0</v>
      </c>
      <c r="AO242" s="77">
        <f t="shared" si="501"/>
        <v>1</v>
      </c>
      <c r="AP242" s="77">
        <f t="shared" si="526"/>
        <v>6.1674999999999987E-2</v>
      </c>
      <c r="AQ242" s="77">
        <f t="shared" si="572"/>
        <v>4.9997781870025904E-3</v>
      </c>
      <c r="AR242" s="79">
        <v>0</v>
      </c>
      <c r="AS242" s="77">
        <f t="shared" si="527"/>
        <v>0</v>
      </c>
      <c r="AT242" s="77">
        <f t="shared" ref="AT242" si="629">1-(1-AS242)^(1/12)</f>
        <v>0</v>
      </c>
      <c r="AU242" s="77">
        <f t="shared" si="529"/>
        <v>2.5000000000000001E-3</v>
      </c>
      <c r="AV242" s="77">
        <f t="shared" ref="AV242" si="630">1-(1-AU242)^(1/12)</f>
        <v>2.0857243058891584E-4</v>
      </c>
      <c r="AX242" t="s">
        <v>178</v>
      </c>
      <c r="AY242" t="s">
        <v>160</v>
      </c>
      <c r="AZ242" s="197" t="str">
        <f t="shared" si="575"/>
        <v>DIS_Non-Standard_303</v>
      </c>
      <c r="BA242">
        <v>303</v>
      </c>
      <c r="BB242">
        <f>VLOOKUP($BA242,'[2]NonStandard DIS'!$Q$1:$X$542,2,FALSE)</f>
        <v>0</v>
      </c>
      <c r="BC242">
        <f>VLOOKUP($BA242,'[2]NonStandard DIS'!$Q$1:$X$542,3,FALSE)</f>
        <v>0</v>
      </c>
      <c r="BD242">
        <f>VLOOKUP($BA242,'[2]NonStandard DIS'!$Q$1:$X$542,4,FALSE)</f>
        <v>0.308</v>
      </c>
      <c r="BE242">
        <f>VLOOKUP($BA242,'[2]NonStandard DIS'!$Q$1:$X$542,5,FALSE)</f>
        <v>0.69199999999999995</v>
      </c>
      <c r="BF242">
        <f>VLOOKUP($BA242,'[2]NonStandard DIS'!$Q$1:$X$542,6,FALSE)</f>
        <v>0</v>
      </c>
      <c r="BG242">
        <f>VLOOKUP($BA242,'[2]NonStandard DIS'!$Q$1:$X$542,7,FALSE)</f>
        <v>0</v>
      </c>
      <c r="BH242">
        <f>VLOOKUP($BA242,'[2]NonStandard DIS'!$Q$1:$X$542,8,FALSE)</f>
        <v>0</v>
      </c>
      <c r="BI242" s="77">
        <f t="shared" si="518"/>
        <v>1</v>
      </c>
      <c r="BJ242" s="77">
        <f t="shared" si="519"/>
        <v>6.9728499999999985E-2</v>
      </c>
      <c r="BK242" s="77">
        <f t="shared" si="500"/>
        <v>5.632878498097682E-3</v>
      </c>
      <c r="BL242" s="79">
        <v>0</v>
      </c>
      <c r="BM242" s="77">
        <f t="shared" si="531"/>
        <v>0</v>
      </c>
      <c r="BN242" s="77">
        <f t="shared" si="532"/>
        <v>0</v>
      </c>
      <c r="BO242" s="77">
        <f t="shared" si="533"/>
        <v>5.6775999999999997E-3</v>
      </c>
      <c r="BP242" s="77">
        <f t="shared" si="534"/>
        <v>4.7190657760731725E-4</v>
      </c>
    </row>
    <row r="243" spans="1:68">
      <c r="A243" t="s">
        <v>175</v>
      </c>
      <c r="B243" t="s">
        <v>176</v>
      </c>
      <c r="C243" s="197" t="str">
        <f t="shared" si="569"/>
        <v>Lifecycle_Balanced_302</v>
      </c>
      <c r="D243">
        <v>302</v>
      </c>
      <c r="E243">
        <f>VLOOKUP($D243,'[2]LC Balanced'!$Q$2:$U$542,2,FALSE)</f>
        <v>0</v>
      </c>
      <c r="F243">
        <f>VLOOKUP($D243,'[2]LC Balanced'!$Q$2:$U$542,3,FALSE)</f>
        <v>0.14899999999999999</v>
      </c>
      <c r="G243">
        <f>VLOOKUP($D243,'[2]LC Balanced'!$Q$2:$U$542,4,FALSE)</f>
        <v>0.85099999999999998</v>
      </c>
      <c r="H243">
        <f>VLOOKUP($D243,'[2]LC Balanced'!$Q$2:$U$542,5,FALSE)</f>
        <v>0</v>
      </c>
      <c r="I243" s="77">
        <f t="shared" si="513"/>
        <v>1</v>
      </c>
      <c r="J243" s="77">
        <f t="shared" si="514"/>
        <v>6.1987699999999986E-2</v>
      </c>
      <c r="K243" s="77">
        <f t="shared" si="504"/>
        <v>5.024442123284345E-3</v>
      </c>
      <c r="L243" s="76">
        <v>0</v>
      </c>
      <c r="M243" s="77">
        <f t="shared" si="520"/>
        <v>0</v>
      </c>
      <c r="N243" s="77">
        <f t="shared" si="521"/>
        <v>0</v>
      </c>
      <c r="O243" s="77">
        <f t="shared" si="522"/>
        <v>7.0062999999999992E-3</v>
      </c>
      <c r="P243" s="77">
        <f t="shared" si="523"/>
        <v>5.85741666996209E-4</v>
      </c>
      <c r="R243" t="s">
        <v>177</v>
      </c>
      <c r="S243" t="s">
        <v>176</v>
      </c>
      <c r="T243" s="197" t="str">
        <f t="shared" si="612"/>
        <v>Autopilot_Balanced_302</v>
      </c>
      <c r="U243">
        <v>302</v>
      </c>
      <c r="V243">
        <f>VLOOKUP($U243,'[2]AP Balanced'!$Q$1:$T$542,2,FALSE)</f>
        <v>0.77777777777777779</v>
      </c>
      <c r="W243">
        <f>VLOOKUP($U243,'[2]AP Balanced'!$Q$1:$T$542,3,FALSE)</f>
        <v>0.22222222222222221</v>
      </c>
      <c r="X243">
        <f>VLOOKUP($U243,'[2]AP Balanced'!$Q$1:$T$542,4,FALSE)</f>
        <v>0</v>
      </c>
      <c r="Y243" s="77">
        <f t="shared" si="570"/>
        <v>1</v>
      </c>
      <c r="Z243" s="77">
        <f t="shared" si="559"/>
        <v>6.1674999999999987E-2</v>
      </c>
      <c r="AA243" s="77">
        <f t="shared" si="560"/>
        <v>4.9997781870025904E-3</v>
      </c>
      <c r="AB243" s="79">
        <v>1</v>
      </c>
      <c r="AC243" s="77">
        <f t="shared" si="524"/>
        <v>8.0555555555555554E-3</v>
      </c>
      <c r="AD243" s="77">
        <f t="shared" si="515"/>
        <v>6.7378764057135498E-4</v>
      </c>
      <c r="AE243" s="77">
        <f t="shared" si="525"/>
        <v>2.5000000000000001E-3</v>
      </c>
      <c r="AF243" s="77">
        <f t="shared" si="515"/>
        <v>2.0857243058891584E-4</v>
      </c>
      <c r="AH243" t="s">
        <v>175</v>
      </c>
      <c r="AI243" t="s">
        <v>176</v>
      </c>
      <c r="AJ243" s="197" t="str">
        <f t="shared" si="571"/>
        <v>Lifecycle_Balanced_302</v>
      </c>
      <c r="AK243">
        <v>302</v>
      </c>
      <c r="AL243">
        <f>VLOOKUP($U243,[2]Standard_Balanced!$Q$1:$T$542,2,FALSE)</f>
        <v>0.77777777777777779</v>
      </c>
      <c r="AM243">
        <f>VLOOKUP($U243,[2]Standard_Balanced!$Q$1:$T$542,3,FALSE)</f>
        <v>0.22222222222222221</v>
      </c>
      <c r="AN243">
        <f>VLOOKUP($U243,[2]Standard_Balanced!$Q$1:$T$542,4,FALSE)</f>
        <v>0</v>
      </c>
      <c r="AO243" s="77">
        <f t="shared" si="501"/>
        <v>1</v>
      </c>
      <c r="AP243" s="77">
        <f t="shared" si="526"/>
        <v>6.1674999999999987E-2</v>
      </c>
      <c r="AQ243" s="77">
        <f t="shared" si="572"/>
        <v>4.9997781870025904E-3</v>
      </c>
      <c r="AR243" s="79">
        <v>0</v>
      </c>
      <c r="AS243" s="77">
        <f t="shared" si="527"/>
        <v>0</v>
      </c>
      <c r="AT243" s="77">
        <f t="shared" ref="AT243" si="631">1-(1-AS243)^(1/12)</f>
        <v>0</v>
      </c>
      <c r="AU243" s="77">
        <f t="shared" si="529"/>
        <v>2.5000000000000001E-3</v>
      </c>
      <c r="AV243" s="77">
        <f t="shared" ref="AV243" si="632">1-(1-AU243)^(1/12)</f>
        <v>2.0857243058891584E-4</v>
      </c>
      <c r="AX243" t="s">
        <v>178</v>
      </c>
      <c r="AY243" t="s">
        <v>160</v>
      </c>
      <c r="AZ243" s="197" t="str">
        <f t="shared" si="575"/>
        <v>DIS_Non-Standard_302</v>
      </c>
      <c r="BA243">
        <v>302</v>
      </c>
      <c r="BB243">
        <f>VLOOKUP($BA243,'[2]NonStandard DIS'!$Q$1:$X$542,2,FALSE)</f>
        <v>0</v>
      </c>
      <c r="BC243">
        <f>VLOOKUP($BA243,'[2]NonStandard DIS'!$Q$1:$X$542,3,FALSE)</f>
        <v>0</v>
      </c>
      <c r="BD243">
        <f>VLOOKUP($BA243,'[2]NonStandard DIS'!$Q$1:$X$542,4,FALSE)</f>
        <v>0.308</v>
      </c>
      <c r="BE243">
        <f>VLOOKUP($BA243,'[2]NonStandard DIS'!$Q$1:$X$542,5,FALSE)</f>
        <v>0.69199999999999995</v>
      </c>
      <c r="BF243">
        <f>VLOOKUP($BA243,'[2]NonStandard DIS'!$Q$1:$X$542,6,FALSE)</f>
        <v>0</v>
      </c>
      <c r="BG243">
        <f>VLOOKUP($BA243,'[2]NonStandard DIS'!$Q$1:$X$542,7,FALSE)</f>
        <v>0</v>
      </c>
      <c r="BH243">
        <f>VLOOKUP($BA243,'[2]NonStandard DIS'!$Q$1:$X$542,8,FALSE)</f>
        <v>0</v>
      </c>
      <c r="BI243" s="77">
        <f t="shared" si="518"/>
        <v>1</v>
      </c>
      <c r="BJ243" s="77">
        <f t="shared" si="519"/>
        <v>6.9728499999999985E-2</v>
      </c>
      <c r="BK243" s="77">
        <f t="shared" si="500"/>
        <v>5.632878498097682E-3</v>
      </c>
      <c r="BL243" s="79">
        <v>0</v>
      </c>
      <c r="BM243" s="77">
        <f t="shared" si="531"/>
        <v>0</v>
      </c>
      <c r="BN243" s="77">
        <f t="shared" si="532"/>
        <v>0</v>
      </c>
      <c r="BO243" s="77">
        <f t="shared" si="533"/>
        <v>5.6775999999999997E-3</v>
      </c>
      <c r="BP243" s="77">
        <f t="shared" si="534"/>
        <v>4.7190657760731725E-4</v>
      </c>
    </row>
    <row r="244" spans="1:68">
      <c r="A244" t="s">
        <v>175</v>
      </c>
      <c r="B244" t="s">
        <v>176</v>
      </c>
      <c r="C244" s="197" t="str">
        <f t="shared" si="569"/>
        <v>Lifecycle_Balanced_301</v>
      </c>
      <c r="D244">
        <v>301</v>
      </c>
      <c r="E244">
        <f>VLOOKUP($D244,'[2]LC Balanced'!$Q$2:$U$542,2,FALSE)</f>
        <v>0</v>
      </c>
      <c r="F244">
        <f>VLOOKUP($D244,'[2]LC Balanced'!$Q$2:$U$542,3,FALSE)</f>
        <v>0.14899999999999999</v>
      </c>
      <c r="G244">
        <f>VLOOKUP($D244,'[2]LC Balanced'!$Q$2:$U$542,4,FALSE)</f>
        <v>0.85099999999999998</v>
      </c>
      <c r="H244">
        <f>VLOOKUP($D244,'[2]LC Balanced'!$Q$2:$U$542,5,FALSE)</f>
        <v>0</v>
      </c>
      <c r="I244" s="77">
        <f t="shared" si="513"/>
        <v>1</v>
      </c>
      <c r="J244" s="77">
        <f t="shared" si="514"/>
        <v>6.1987699999999986E-2</v>
      </c>
      <c r="K244" s="77">
        <f t="shared" si="504"/>
        <v>5.024442123284345E-3</v>
      </c>
      <c r="L244" s="76">
        <v>0</v>
      </c>
      <c r="M244" s="77">
        <f t="shared" si="520"/>
        <v>0</v>
      </c>
      <c r="N244" s="77">
        <f t="shared" si="521"/>
        <v>0</v>
      </c>
      <c r="O244" s="77">
        <f t="shared" si="522"/>
        <v>7.0062999999999992E-3</v>
      </c>
      <c r="P244" s="77">
        <f t="shared" si="523"/>
        <v>5.85741666996209E-4</v>
      </c>
      <c r="R244" t="s">
        <v>177</v>
      </c>
      <c r="S244" t="s">
        <v>176</v>
      </c>
      <c r="T244" s="197" t="str">
        <f t="shared" si="612"/>
        <v>Autopilot_Balanced_301</v>
      </c>
      <c r="U244">
        <v>301</v>
      </c>
      <c r="V244">
        <f>VLOOKUP($U244,'[2]AP Balanced'!$Q$1:$T$542,2,FALSE)</f>
        <v>0.77777777777777779</v>
      </c>
      <c r="W244">
        <f>VLOOKUP($U244,'[2]AP Balanced'!$Q$1:$T$542,3,FALSE)</f>
        <v>0.22222222222222221</v>
      </c>
      <c r="X244">
        <f>VLOOKUP($U244,'[2]AP Balanced'!$Q$1:$T$542,4,FALSE)</f>
        <v>0</v>
      </c>
      <c r="Y244" s="77">
        <f t="shared" si="570"/>
        <v>1</v>
      </c>
      <c r="Z244" s="77">
        <f t="shared" si="559"/>
        <v>6.1674999999999987E-2</v>
      </c>
      <c r="AA244" s="77">
        <f t="shared" si="560"/>
        <v>4.9997781870025904E-3</v>
      </c>
      <c r="AB244" s="79">
        <v>1</v>
      </c>
      <c r="AC244" s="77">
        <f t="shared" si="524"/>
        <v>8.0555555555555554E-3</v>
      </c>
      <c r="AD244" s="77">
        <f t="shared" si="515"/>
        <v>6.7378764057135498E-4</v>
      </c>
      <c r="AE244" s="77">
        <f t="shared" si="525"/>
        <v>2.5000000000000001E-3</v>
      </c>
      <c r="AF244" s="77">
        <f t="shared" si="515"/>
        <v>2.0857243058891584E-4</v>
      </c>
      <c r="AH244" t="s">
        <v>175</v>
      </c>
      <c r="AI244" t="s">
        <v>176</v>
      </c>
      <c r="AJ244" s="197" t="str">
        <f t="shared" si="571"/>
        <v>Lifecycle_Balanced_301</v>
      </c>
      <c r="AK244">
        <v>301</v>
      </c>
      <c r="AL244">
        <f>VLOOKUP($U244,[2]Standard_Balanced!$Q$1:$T$542,2,FALSE)</f>
        <v>0.77777777777777779</v>
      </c>
      <c r="AM244">
        <f>VLOOKUP($U244,[2]Standard_Balanced!$Q$1:$T$542,3,FALSE)</f>
        <v>0.22222222222222221</v>
      </c>
      <c r="AN244">
        <f>VLOOKUP($U244,[2]Standard_Balanced!$Q$1:$T$542,4,FALSE)</f>
        <v>0</v>
      </c>
      <c r="AO244" s="77">
        <f t="shared" si="501"/>
        <v>1</v>
      </c>
      <c r="AP244" s="77">
        <f t="shared" si="526"/>
        <v>6.1674999999999987E-2</v>
      </c>
      <c r="AQ244" s="77">
        <f t="shared" si="572"/>
        <v>4.9997781870025904E-3</v>
      </c>
      <c r="AR244" s="79">
        <v>0</v>
      </c>
      <c r="AS244" s="77">
        <f t="shared" si="527"/>
        <v>0</v>
      </c>
      <c r="AT244" s="77">
        <f t="shared" ref="AT244" si="633">1-(1-AS244)^(1/12)</f>
        <v>0</v>
      </c>
      <c r="AU244" s="77">
        <f t="shared" si="529"/>
        <v>2.5000000000000001E-3</v>
      </c>
      <c r="AV244" s="77">
        <f t="shared" ref="AV244" si="634">1-(1-AU244)^(1/12)</f>
        <v>2.0857243058891584E-4</v>
      </c>
      <c r="AX244" t="s">
        <v>178</v>
      </c>
      <c r="AY244" t="s">
        <v>160</v>
      </c>
      <c r="AZ244" s="197" t="str">
        <f t="shared" si="575"/>
        <v>DIS_Non-Standard_301</v>
      </c>
      <c r="BA244">
        <v>301</v>
      </c>
      <c r="BB244">
        <f>VLOOKUP($BA244,'[2]NonStandard DIS'!$Q$1:$X$542,2,FALSE)</f>
        <v>0</v>
      </c>
      <c r="BC244">
        <f>VLOOKUP($BA244,'[2]NonStandard DIS'!$Q$1:$X$542,3,FALSE)</f>
        <v>0</v>
      </c>
      <c r="BD244">
        <f>VLOOKUP($BA244,'[2]NonStandard DIS'!$Q$1:$X$542,4,FALSE)</f>
        <v>0.308</v>
      </c>
      <c r="BE244">
        <f>VLOOKUP($BA244,'[2]NonStandard DIS'!$Q$1:$X$542,5,FALSE)</f>
        <v>0.69199999999999995</v>
      </c>
      <c r="BF244">
        <f>VLOOKUP($BA244,'[2]NonStandard DIS'!$Q$1:$X$542,6,FALSE)</f>
        <v>0</v>
      </c>
      <c r="BG244">
        <f>VLOOKUP($BA244,'[2]NonStandard DIS'!$Q$1:$X$542,7,FALSE)</f>
        <v>0</v>
      </c>
      <c r="BH244">
        <f>VLOOKUP($BA244,'[2]NonStandard DIS'!$Q$1:$X$542,8,FALSE)</f>
        <v>0</v>
      </c>
      <c r="BI244" s="77">
        <f t="shared" si="518"/>
        <v>1</v>
      </c>
      <c r="BJ244" s="77">
        <f t="shared" si="519"/>
        <v>6.9728499999999985E-2</v>
      </c>
      <c r="BK244" s="77">
        <f t="shared" si="500"/>
        <v>5.632878498097682E-3</v>
      </c>
      <c r="BL244" s="79">
        <v>0</v>
      </c>
      <c r="BM244" s="77">
        <f t="shared" si="531"/>
        <v>0</v>
      </c>
      <c r="BN244" s="77">
        <f t="shared" si="532"/>
        <v>0</v>
      </c>
      <c r="BO244" s="77">
        <f t="shared" si="533"/>
        <v>5.6775999999999997E-3</v>
      </c>
      <c r="BP244" s="77">
        <f t="shared" si="534"/>
        <v>4.7190657760731725E-4</v>
      </c>
    </row>
    <row r="245" spans="1:68">
      <c r="A245" t="s">
        <v>175</v>
      </c>
      <c r="B245" t="s">
        <v>176</v>
      </c>
      <c r="C245" s="197" t="str">
        <f t="shared" si="569"/>
        <v>Lifecycle_Balanced_300</v>
      </c>
      <c r="D245">
        <v>300</v>
      </c>
      <c r="E245">
        <f>VLOOKUP($D245,'[2]LC Balanced'!$Q$2:$U$542,2,FALSE)</f>
        <v>0</v>
      </c>
      <c r="F245">
        <f>VLOOKUP($D245,'[2]LC Balanced'!$Q$2:$U$542,3,FALSE)</f>
        <v>0.14899999999999999</v>
      </c>
      <c r="G245">
        <f>VLOOKUP($D245,'[2]LC Balanced'!$Q$2:$U$542,4,FALSE)</f>
        <v>0.85099999999999998</v>
      </c>
      <c r="H245">
        <f>VLOOKUP($D245,'[2]LC Balanced'!$Q$2:$U$542,5,FALSE)</f>
        <v>0</v>
      </c>
      <c r="I245" s="77">
        <f t="shared" si="513"/>
        <v>1</v>
      </c>
      <c r="J245" s="77">
        <f t="shared" si="514"/>
        <v>6.1987699999999986E-2</v>
      </c>
      <c r="K245" s="77">
        <f t="shared" si="504"/>
        <v>5.024442123284345E-3</v>
      </c>
      <c r="L245" s="76">
        <v>0</v>
      </c>
      <c r="M245" s="77">
        <f t="shared" si="520"/>
        <v>0</v>
      </c>
      <c r="N245" s="77">
        <f t="shared" si="521"/>
        <v>0</v>
      </c>
      <c r="O245" s="77">
        <f t="shared" si="522"/>
        <v>7.0062999999999992E-3</v>
      </c>
      <c r="P245" s="77">
        <f t="shared" si="523"/>
        <v>5.85741666996209E-4</v>
      </c>
      <c r="R245" t="s">
        <v>177</v>
      </c>
      <c r="S245" t="s">
        <v>176</v>
      </c>
      <c r="T245" s="197" t="str">
        <f t="shared" si="612"/>
        <v>Autopilot_Balanced_300</v>
      </c>
      <c r="U245">
        <v>300</v>
      </c>
      <c r="V245">
        <f>VLOOKUP($U245,'[2]AP Balanced'!$Q$1:$T$542,2,FALSE)</f>
        <v>0.77777777777777779</v>
      </c>
      <c r="W245">
        <f>VLOOKUP($U245,'[2]AP Balanced'!$Q$1:$T$542,3,FALSE)</f>
        <v>0.22222222222222221</v>
      </c>
      <c r="X245">
        <f>VLOOKUP($U245,'[2]AP Balanced'!$Q$1:$T$542,4,FALSE)</f>
        <v>0</v>
      </c>
      <c r="Y245" s="77">
        <f t="shared" si="570"/>
        <v>1</v>
      </c>
      <c r="Z245" s="77">
        <f t="shared" si="559"/>
        <v>6.1674999999999987E-2</v>
      </c>
      <c r="AA245" s="77">
        <f t="shared" si="560"/>
        <v>4.9997781870025904E-3</v>
      </c>
      <c r="AB245" s="79">
        <v>1</v>
      </c>
      <c r="AC245" s="77">
        <f t="shared" si="524"/>
        <v>8.0555555555555554E-3</v>
      </c>
      <c r="AD245" s="77">
        <f t="shared" si="515"/>
        <v>6.7378764057135498E-4</v>
      </c>
      <c r="AE245" s="77">
        <f t="shared" si="525"/>
        <v>2.5000000000000001E-3</v>
      </c>
      <c r="AF245" s="77">
        <f t="shared" si="515"/>
        <v>2.0857243058891584E-4</v>
      </c>
      <c r="AH245" t="s">
        <v>175</v>
      </c>
      <c r="AI245" t="s">
        <v>176</v>
      </c>
      <c r="AJ245" s="197" t="str">
        <f t="shared" si="571"/>
        <v>Lifecycle_Balanced_300</v>
      </c>
      <c r="AK245">
        <v>300</v>
      </c>
      <c r="AL245">
        <f>VLOOKUP($U245,[2]Standard_Balanced!$Q$1:$T$542,2,FALSE)</f>
        <v>0.77777777777777779</v>
      </c>
      <c r="AM245">
        <f>VLOOKUP($U245,[2]Standard_Balanced!$Q$1:$T$542,3,FALSE)</f>
        <v>0.22222222222222221</v>
      </c>
      <c r="AN245">
        <f>VLOOKUP($U245,[2]Standard_Balanced!$Q$1:$T$542,4,FALSE)</f>
        <v>0</v>
      </c>
      <c r="AO245" s="77">
        <f t="shared" si="501"/>
        <v>1</v>
      </c>
      <c r="AP245" s="77">
        <f t="shared" si="526"/>
        <v>6.1674999999999987E-2</v>
      </c>
      <c r="AQ245" s="77">
        <f t="shared" si="572"/>
        <v>4.9997781870025904E-3</v>
      </c>
      <c r="AR245" s="79">
        <v>0</v>
      </c>
      <c r="AS245" s="77">
        <f t="shared" si="527"/>
        <v>0</v>
      </c>
      <c r="AT245" s="77">
        <f t="shared" ref="AT245" si="635">1-(1-AS245)^(1/12)</f>
        <v>0</v>
      </c>
      <c r="AU245" s="77">
        <f t="shared" si="529"/>
        <v>2.5000000000000001E-3</v>
      </c>
      <c r="AV245" s="77">
        <f t="shared" ref="AV245" si="636">1-(1-AU245)^(1/12)</f>
        <v>2.0857243058891584E-4</v>
      </c>
      <c r="AX245" t="s">
        <v>178</v>
      </c>
      <c r="AY245" t="s">
        <v>160</v>
      </c>
      <c r="AZ245" s="197" t="str">
        <f t="shared" si="575"/>
        <v>DIS_Non-Standard_300</v>
      </c>
      <c r="BA245">
        <v>300</v>
      </c>
      <c r="BB245">
        <f>VLOOKUP($BA245,'[2]NonStandard DIS'!$Q$1:$X$542,2,FALSE)</f>
        <v>0</v>
      </c>
      <c r="BC245">
        <f>VLOOKUP($BA245,'[2]NonStandard DIS'!$Q$1:$X$542,3,FALSE)</f>
        <v>0</v>
      </c>
      <c r="BD245">
        <f>VLOOKUP($BA245,'[2]NonStandard DIS'!$Q$1:$X$542,4,FALSE)</f>
        <v>0.308</v>
      </c>
      <c r="BE245">
        <f>VLOOKUP($BA245,'[2]NonStandard DIS'!$Q$1:$X$542,5,FALSE)</f>
        <v>0.69199999999999995</v>
      </c>
      <c r="BF245">
        <f>VLOOKUP($BA245,'[2]NonStandard DIS'!$Q$1:$X$542,6,FALSE)</f>
        <v>0</v>
      </c>
      <c r="BG245">
        <f>VLOOKUP($BA245,'[2]NonStandard DIS'!$Q$1:$X$542,7,FALSE)</f>
        <v>0</v>
      </c>
      <c r="BH245">
        <f>VLOOKUP($BA245,'[2]NonStandard DIS'!$Q$1:$X$542,8,FALSE)</f>
        <v>0</v>
      </c>
      <c r="BI245" s="77">
        <f t="shared" si="518"/>
        <v>1</v>
      </c>
      <c r="BJ245" s="77">
        <f t="shared" si="519"/>
        <v>6.9728499999999985E-2</v>
      </c>
      <c r="BK245" s="77">
        <f t="shared" si="500"/>
        <v>5.632878498097682E-3</v>
      </c>
      <c r="BL245" s="79">
        <v>0</v>
      </c>
      <c r="BM245" s="77">
        <f t="shared" si="531"/>
        <v>0</v>
      </c>
      <c r="BN245" s="77">
        <f t="shared" si="532"/>
        <v>0</v>
      </c>
      <c r="BO245" s="77">
        <f t="shared" si="533"/>
        <v>5.6775999999999997E-3</v>
      </c>
      <c r="BP245" s="77">
        <f t="shared" si="534"/>
        <v>4.7190657760731725E-4</v>
      </c>
    </row>
    <row r="246" spans="1:68">
      <c r="A246" t="s">
        <v>175</v>
      </c>
      <c r="B246" t="s">
        <v>176</v>
      </c>
      <c r="C246" s="197" t="str">
        <f t="shared" si="569"/>
        <v>Lifecycle_Balanced_299</v>
      </c>
      <c r="D246">
        <v>299</v>
      </c>
      <c r="E246">
        <f>VLOOKUP($D246,'[2]LC Balanced'!$Q$2:$U$542,2,FALSE)</f>
        <v>0</v>
      </c>
      <c r="F246">
        <f>VLOOKUP($D246,'[2]LC Balanced'!$Q$2:$U$542,3,FALSE)</f>
        <v>0.14899999999999999</v>
      </c>
      <c r="G246">
        <f>VLOOKUP($D246,'[2]LC Balanced'!$Q$2:$U$542,4,FALSE)</f>
        <v>0.85099999999999998</v>
      </c>
      <c r="H246">
        <f>VLOOKUP($D246,'[2]LC Balanced'!$Q$2:$U$542,5,FALSE)</f>
        <v>0</v>
      </c>
      <c r="I246" s="77">
        <f t="shared" si="513"/>
        <v>1</v>
      </c>
      <c r="J246" s="77">
        <f t="shared" si="514"/>
        <v>6.1987699999999986E-2</v>
      </c>
      <c r="K246" s="77">
        <f t="shared" si="504"/>
        <v>5.024442123284345E-3</v>
      </c>
      <c r="L246" s="76">
        <v>0</v>
      </c>
      <c r="M246" s="77">
        <f t="shared" si="520"/>
        <v>0</v>
      </c>
      <c r="N246" s="77">
        <f t="shared" si="521"/>
        <v>0</v>
      </c>
      <c r="O246" s="77">
        <f t="shared" si="522"/>
        <v>7.0062999999999992E-3</v>
      </c>
      <c r="P246" s="77">
        <f t="shared" si="523"/>
        <v>5.85741666996209E-4</v>
      </c>
      <c r="R246" t="s">
        <v>177</v>
      </c>
      <c r="S246" t="s">
        <v>176</v>
      </c>
      <c r="T246" s="197" t="str">
        <f t="shared" si="612"/>
        <v>Autopilot_Balanced_299</v>
      </c>
      <c r="U246">
        <v>299</v>
      </c>
      <c r="V246">
        <f>VLOOKUP($U246,'[2]AP Balanced'!$Q$1:$T$542,2,FALSE)</f>
        <v>0.77777777777777779</v>
      </c>
      <c r="W246">
        <f>VLOOKUP($U246,'[2]AP Balanced'!$Q$1:$T$542,3,FALSE)</f>
        <v>0.22222222222222221</v>
      </c>
      <c r="X246">
        <f>VLOOKUP($U246,'[2]AP Balanced'!$Q$1:$T$542,4,FALSE)</f>
        <v>0</v>
      </c>
      <c r="Y246" s="77">
        <f t="shared" si="570"/>
        <v>1</v>
      </c>
      <c r="Z246" s="77">
        <f t="shared" si="559"/>
        <v>6.1674999999999987E-2</v>
      </c>
      <c r="AA246" s="77">
        <f t="shared" si="560"/>
        <v>4.9997781870025904E-3</v>
      </c>
      <c r="AB246" s="79">
        <v>1</v>
      </c>
      <c r="AC246" s="77">
        <f t="shared" si="524"/>
        <v>8.0555555555555554E-3</v>
      </c>
      <c r="AD246" s="77">
        <f t="shared" si="515"/>
        <v>6.7378764057135498E-4</v>
      </c>
      <c r="AE246" s="77">
        <f t="shared" si="525"/>
        <v>2.5000000000000001E-3</v>
      </c>
      <c r="AF246" s="77">
        <f t="shared" si="515"/>
        <v>2.0857243058891584E-4</v>
      </c>
      <c r="AH246" t="s">
        <v>175</v>
      </c>
      <c r="AI246" t="s">
        <v>176</v>
      </c>
      <c r="AJ246" s="197" t="str">
        <f t="shared" si="571"/>
        <v>Lifecycle_Balanced_299</v>
      </c>
      <c r="AK246">
        <v>299</v>
      </c>
      <c r="AL246">
        <f>VLOOKUP($U246,[2]Standard_Balanced!$Q$1:$T$542,2,FALSE)</f>
        <v>0.77777777777777779</v>
      </c>
      <c r="AM246">
        <f>VLOOKUP($U246,[2]Standard_Balanced!$Q$1:$T$542,3,FALSE)</f>
        <v>0.22222222222222221</v>
      </c>
      <c r="AN246">
        <f>VLOOKUP($U246,[2]Standard_Balanced!$Q$1:$T$542,4,FALSE)</f>
        <v>0</v>
      </c>
      <c r="AO246" s="77">
        <f t="shared" si="501"/>
        <v>1</v>
      </c>
      <c r="AP246" s="77">
        <f t="shared" si="526"/>
        <v>6.1674999999999987E-2</v>
      </c>
      <c r="AQ246" s="77">
        <f t="shared" si="572"/>
        <v>4.9997781870025904E-3</v>
      </c>
      <c r="AR246" s="79">
        <v>0</v>
      </c>
      <c r="AS246" s="77">
        <f t="shared" si="527"/>
        <v>0</v>
      </c>
      <c r="AT246" s="77">
        <f t="shared" ref="AT246" si="637">1-(1-AS246)^(1/12)</f>
        <v>0</v>
      </c>
      <c r="AU246" s="77">
        <f t="shared" si="529"/>
        <v>2.5000000000000001E-3</v>
      </c>
      <c r="AV246" s="77">
        <f t="shared" ref="AV246" si="638">1-(1-AU246)^(1/12)</f>
        <v>2.0857243058891584E-4</v>
      </c>
      <c r="AX246" t="s">
        <v>178</v>
      </c>
      <c r="AY246" t="s">
        <v>160</v>
      </c>
      <c r="AZ246" s="197" t="str">
        <f t="shared" si="575"/>
        <v>DIS_Non-Standard_299</v>
      </c>
      <c r="BA246">
        <v>299</v>
      </c>
      <c r="BB246">
        <f>VLOOKUP($BA246,'[2]NonStandard DIS'!$Q$1:$X$542,2,FALSE)</f>
        <v>0</v>
      </c>
      <c r="BC246">
        <f>VLOOKUP($BA246,'[2]NonStandard DIS'!$Q$1:$X$542,3,FALSE)</f>
        <v>0</v>
      </c>
      <c r="BD246">
        <f>VLOOKUP($BA246,'[2]NonStandard DIS'!$Q$1:$X$542,4,FALSE)</f>
        <v>0.308</v>
      </c>
      <c r="BE246">
        <f>VLOOKUP($BA246,'[2]NonStandard DIS'!$Q$1:$X$542,5,FALSE)</f>
        <v>0.69199999999999995</v>
      </c>
      <c r="BF246">
        <f>VLOOKUP($BA246,'[2]NonStandard DIS'!$Q$1:$X$542,6,FALSE)</f>
        <v>0</v>
      </c>
      <c r="BG246">
        <f>VLOOKUP($BA246,'[2]NonStandard DIS'!$Q$1:$X$542,7,FALSE)</f>
        <v>0</v>
      </c>
      <c r="BH246">
        <f>VLOOKUP($BA246,'[2]NonStandard DIS'!$Q$1:$X$542,8,FALSE)</f>
        <v>0</v>
      </c>
      <c r="BI246" s="77">
        <f t="shared" si="518"/>
        <v>1</v>
      </c>
      <c r="BJ246" s="77">
        <f t="shared" si="519"/>
        <v>6.9728499999999985E-2</v>
      </c>
      <c r="BK246" s="77">
        <f t="shared" si="500"/>
        <v>5.632878498097682E-3</v>
      </c>
      <c r="BL246" s="79">
        <v>0</v>
      </c>
      <c r="BM246" s="77">
        <f t="shared" si="531"/>
        <v>0</v>
      </c>
      <c r="BN246" s="77">
        <f t="shared" si="532"/>
        <v>0</v>
      </c>
      <c r="BO246" s="77">
        <f t="shared" si="533"/>
        <v>5.6775999999999997E-3</v>
      </c>
      <c r="BP246" s="77">
        <f t="shared" si="534"/>
        <v>4.7190657760731725E-4</v>
      </c>
    </row>
    <row r="247" spans="1:68">
      <c r="A247" t="s">
        <v>175</v>
      </c>
      <c r="B247" t="s">
        <v>176</v>
      </c>
      <c r="C247" s="197" t="str">
        <f t="shared" si="569"/>
        <v>Lifecycle_Balanced_298</v>
      </c>
      <c r="D247">
        <v>298</v>
      </c>
      <c r="E247">
        <f>VLOOKUP($D247,'[2]LC Balanced'!$Q$2:$U$542,2,FALSE)</f>
        <v>0</v>
      </c>
      <c r="F247">
        <f>VLOOKUP($D247,'[2]LC Balanced'!$Q$2:$U$542,3,FALSE)</f>
        <v>0.14899999999999999</v>
      </c>
      <c r="G247">
        <f>VLOOKUP($D247,'[2]LC Balanced'!$Q$2:$U$542,4,FALSE)</f>
        <v>0.85099999999999998</v>
      </c>
      <c r="H247">
        <f>VLOOKUP($D247,'[2]LC Balanced'!$Q$2:$U$542,5,FALSE)</f>
        <v>0</v>
      </c>
      <c r="I247" s="77">
        <f t="shared" si="513"/>
        <v>1</v>
      </c>
      <c r="J247" s="77">
        <f t="shared" si="514"/>
        <v>6.1987699999999986E-2</v>
      </c>
      <c r="K247" s="77">
        <f t="shared" si="504"/>
        <v>5.024442123284345E-3</v>
      </c>
      <c r="L247" s="76">
        <v>0</v>
      </c>
      <c r="M247" s="77">
        <f t="shared" si="520"/>
        <v>0</v>
      </c>
      <c r="N247" s="77">
        <f t="shared" si="521"/>
        <v>0</v>
      </c>
      <c r="O247" s="77">
        <f t="shared" si="522"/>
        <v>7.0062999999999992E-3</v>
      </c>
      <c r="P247" s="77">
        <f t="shared" si="523"/>
        <v>5.85741666996209E-4</v>
      </c>
      <c r="R247" t="s">
        <v>177</v>
      </c>
      <c r="S247" t="s">
        <v>176</v>
      </c>
      <c r="T247" s="197" t="str">
        <f t="shared" si="612"/>
        <v>Autopilot_Balanced_298</v>
      </c>
      <c r="U247">
        <v>298</v>
      </c>
      <c r="V247">
        <f>VLOOKUP($U247,'[2]AP Balanced'!$Q$1:$T$542,2,FALSE)</f>
        <v>0.77777777777777779</v>
      </c>
      <c r="W247">
        <f>VLOOKUP($U247,'[2]AP Balanced'!$Q$1:$T$542,3,FALSE)</f>
        <v>0.22222222222222221</v>
      </c>
      <c r="X247">
        <f>VLOOKUP($U247,'[2]AP Balanced'!$Q$1:$T$542,4,FALSE)</f>
        <v>0</v>
      </c>
      <c r="Y247" s="77">
        <f t="shared" si="570"/>
        <v>1</v>
      </c>
      <c r="Z247" s="77">
        <f t="shared" si="559"/>
        <v>6.1674999999999987E-2</v>
      </c>
      <c r="AA247" s="77">
        <f t="shared" si="560"/>
        <v>4.9997781870025904E-3</v>
      </c>
      <c r="AB247" s="79">
        <v>1</v>
      </c>
      <c r="AC247" s="77">
        <f t="shared" si="524"/>
        <v>8.0555555555555554E-3</v>
      </c>
      <c r="AD247" s="77">
        <f t="shared" si="515"/>
        <v>6.7378764057135498E-4</v>
      </c>
      <c r="AE247" s="77">
        <f t="shared" si="525"/>
        <v>2.5000000000000001E-3</v>
      </c>
      <c r="AF247" s="77">
        <f t="shared" si="515"/>
        <v>2.0857243058891584E-4</v>
      </c>
      <c r="AH247" t="s">
        <v>175</v>
      </c>
      <c r="AI247" t="s">
        <v>176</v>
      </c>
      <c r="AJ247" s="197" t="str">
        <f t="shared" si="571"/>
        <v>Lifecycle_Balanced_298</v>
      </c>
      <c r="AK247">
        <v>298</v>
      </c>
      <c r="AL247">
        <f>VLOOKUP($U247,[2]Standard_Balanced!$Q$1:$T$542,2,FALSE)</f>
        <v>0.77777777777777779</v>
      </c>
      <c r="AM247">
        <f>VLOOKUP($U247,[2]Standard_Balanced!$Q$1:$T$542,3,FALSE)</f>
        <v>0.22222222222222221</v>
      </c>
      <c r="AN247">
        <f>VLOOKUP($U247,[2]Standard_Balanced!$Q$1:$T$542,4,FALSE)</f>
        <v>0</v>
      </c>
      <c r="AO247" s="77">
        <f t="shared" si="501"/>
        <v>1</v>
      </c>
      <c r="AP247" s="77">
        <f t="shared" si="526"/>
        <v>6.1674999999999987E-2</v>
      </c>
      <c r="AQ247" s="77">
        <f t="shared" si="572"/>
        <v>4.9997781870025904E-3</v>
      </c>
      <c r="AR247" s="79">
        <v>0</v>
      </c>
      <c r="AS247" s="77">
        <f t="shared" si="527"/>
        <v>0</v>
      </c>
      <c r="AT247" s="77">
        <f t="shared" ref="AT247" si="639">1-(1-AS247)^(1/12)</f>
        <v>0</v>
      </c>
      <c r="AU247" s="77">
        <f t="shared" si="529"/>
        <v>2.5000000000000001E-3</v>
      </c>
      <c r="AV247" s="77">
        <f t="shared" ref="AV247" si="640">1-(1-AU247)^(1/12)</f>
        <v>2.0857243058891584E-4</v>
      </c>
      <c r="AX247" t="s">
        <v>178</v>
      </c>
      <c r="AY247" t="s">
        <v>160</v>
      </c>
      <c r="AZ247" s="197" t="str">
        <f t="shared" si="575"/>
        <v>DIS_Non-Standard_298</v>
      </c>
      <c r="BA247">
        <v>298</v>
      </c>
      <c r="BB247">
        <f>VLOOKUP($BA247,'[2]NonStandard DIS'!$Q$1:$X$542,2,FALSE)</f>
        <v>0</v>
      </c>
      <c r="BC247">
        <f>VLOOKUP($BA247,'[2]NonStandard DIS'!$Q$1:$X$542,3,FALSE)</f>
        <v>0</v>
      </c>
      <c r="BD247">
        <f>VLOOKUP($BA247,'[2]NonStandard DIS'!$Q$1:$X$542,4,FALSE)</f>
        <v>0.308</v>
      </c>
      <c r="BE247">
        <f>VLOOKUP($BA247,'[2]NonStandard DIS'!$Q$1:$X$542,5,FALSE)</f>
        <v>0.69199999999999995</v>
      </c>
      <c r="BF247">
        <f>VLOOKUP($BA247,'[2]NonStandard DIS'!$Q$1:$X$542,6,FALSE)</f>
        <v>0</v>
      </c>
      <c r="BG247">
        <f>VLOOKUP($BA247,'[2]NonStandard DIS'!$Q$1:$X$542,7,FALSE)</f>
        <v>0</v>
      </c>
      <c r="BH247">
        <f>VLOOKUP($BA247,'[2]NonStandard DIS'!$Q$1:$X$542,8,FALSE)</f>
        <v>0</v>
      </c>
      <c r="BI247" s="77">
        <f t="shared" si="518"/>
        <v>1</v>
      </c>
      <c r="BJ247" s="77">
        <f t="shared" si="519"/>
        <v>6.9728499999999985E-2</v>
      </c>
      <c r="BK247" s="77">
        <f t="shared" si="500"/>
        <v>5.632878498097682E-3</v>
      </c>
      <c r="BL247" s="79">
        <v>0</v>
      </c>
      <c r="BM247" s="77">
        <f t="shared" si="531"/>
        <v>0</v>
      </c>
      <c r="BN247" s="77">
        <f t="shared" si="532"/>
        <v>0</v>
      </c>
      <c r="BO247" s="77">
        <f t="shared" si="533"/>
        <v>5.6775999999999997E-3</v>
      </c>
      <c r="BP247" s="77">
        <f t="shared" si="534"/>
        <v>4.7190657760731725E-4</v>
      </c>
    </row>
    <row r="248" spans="1:68">
      <c r="A248" t="s">
        <v>175</v>
      </c>
      <c r="B248" t="s">
        <v>176</v>
      </c>
      <c r="C248" s="197" t="str">
        <f t="shared" si="569"/>
        <v>Lifecycle_Balanced_297</v>
      </c>
      <c r="D248">
        <v>297</v>
      </c>
      <c r="E248">
        <f>VLOOKUP($D248,'[2]LC Balanced'!$Q$2:$U$542,2,FALSE)</f>
        <v>0</v>
      </c>
      <c r="F248">
        <f>VLOOKUP($D248,'[2]LC Balanced'!$Q$2:$U$542,3,FALSE)</f>
        <v>0.14899999999999999</v>
      </c>
      <c r="G248">
        <f>VLOOKUP($D248,'[2]LC Balanced'!$Q$2:$U$542,4,FALSE)</f>
        <v>0.85099999999999998</v>
      </c>
      <c r="H248">
        <f>VLOOKUP($D248,'[2]LC Balanced'!$Q$2:$U$542,5,FALSE)</f>
        <v>0</v>
      </c>
      <c r="I248" s="77">
        <f t="shared" si="513"/>
        <v>1</v>
      </c>
      <c r="J248" s="77">
        <f t="shared" si="514"/>
        <v>6.1987699999999986E-2</v>
      </c>
      <c r="K248" s="77">
        <f t="shared" si="504"/>
        <v>5.024442123284345E-3</v>
      </c>
      <c r="L248" s="76">
        <v>0</v>
      </c>
      <c r="M248" s="77">
        <f t="shared" si="520"/>
        <v>0</v>
      </c>
      <c r="N248" s="77">
        <f t="shared" si="521"/>
        <v>0</v>
      </c>
      <c r="O248" s="77">
        <f t="shared" si="522"/>
        <v>7.0062999999999992E-3</v>
      </c>
      <c r="P248" s="77">
        <f t="shared" si="523"/>
        <v>5.85741666996209E-4</v>
      </c>
      <c r="R248" t="s">
        <v>177</v>
      </c>
      <c r="S248" t="s">
        <v>176</v>
      </c>
      <c r="T248" s="197" t="str">
        <f t="shared" si="612"/>
        <v>Autopilot_Balanced_297</v>
      </c>
      <c r="U248">
        <v>297</v>
      </c>
      <c r="V248">
        <f>VLOOKUP($U248,'[2]AP Balanced'!$Q$1:$T$542,2,FALSE)</f>
        <v>0.77777777777777779</v>
      </c>
      <c r="W248">
        <f>VLOOKUP($U248,'[2]AP Balanced'!$Q$1:$T$542,3,FALSE)</f>
        <v>0.22222222222222221</v>
      </c>
      <c r="X248">
        <f>VLOOKUP($U248,'[2]AP Balanced'!$Q$1:$T$542,4,FALSE)</f>
        <v>0</v>
      </c>
      <c r="Y248" s="77">
        <f t="shared" si="570"/>
        <v>1</v>
      </c>
      <c r="Z248" s="77">
        <f t="shared" si="559"/>
        <v>6.1674999999999987E-2</v>
      </c>
      <c r="AA248" s="77">
        <f t="shared" si="560"/>
        <v>4.9997781870025904E-3</v>
      </c>
      <c r="AB248" s="79">
        <v>1</v>
      </c>
      <c r="AC248" s="77">
        <f t="shared" si="524"/>
        <v>8.0555555555555554E-3</v>
      </c>
      <c r="AD248" s="77">
        <f t="shared" si="515"/>
        <v>6.7378764057135498E-4</v>
      </c>
      <c r="AE248" s="77">
        <f t="shared" si="525"/>
        <v>2.5000000000000001E-3</v>
      </c>
      <c r="AF248" s="77">
        <f t="shared" si="515"/>
        <v>2.0857243058891584E-4</v>
      </c>
      <c r="AH248" t="s">
        <v>175</v>
      </c>
      <c r="AI248" t="s">
        <v>176</v>
      </c>
      <c r="AJ248" s="197" t="str">
        <f t="shared" si="571"/>
        <v>Lifecycle_Balanced_297</v>
      </c>
      <c r="AK248">
        <v>297</v>
      </c>
      <c r="AL248">
        <f>VLOOKUP($U248,[2]Standard_Balanced!$Q$1:$T$542,2,FALSE)</f>
        <v>0.77777777777777779</v>
      </c>
      <c r="AM248">
        <f>VLOOKUP($U248,[2]Standard_Balanced!$Q$1:$T$542,3,FALSE)</f>
        <v>0.22222222222222221</v>
      </c>
      <c r="AN248">
        <f>VLOOKUP($U248,[2]Standard_Balanced!$Q$1:$T$542,4,FALSE)</f>
        <v>0</v>
      </c>
      <c r="AO248" s="77">
        <f t="shared" si="501"/>
        <v>1</v>
      </c>
      <c r="AP248" s="77">
        <f t="shared" si="526"/>
        <v>6.1674999999999987E-2</v>
      </c>
      <c r="AQ248" s="77">
        <f t="shared" si="572"/>
        <v>4.9997781870025904E-3</v>
      </c>
      <c r="AR248" s="79">
        <v>0</v>
      </c>
      <c r="AS248" s="77">
        <f t="shared" si="527"/>
        <v>0</v>
      </c>
      <c r="AT248" s="77">
        <f t="shared" ref="AT248" si="641">1-(1-AS248)^(1/12)</f>
        <v>0</v>
      </c>
      <c r="AU248" s="77">
        <f t="shared" si="529"/>
        <v>2.5000000000000001E-3</v>
      </c>
      <c r="AV248" s="77">
        <f t="shared" ref="AV248" si="642">1-(1-AU248)^(1/12)</f>
        <v>2.0857243058891584E-4</v>
      </c>
      <c r="AX248" t="s">
        <v>178</v>
      </c>
      <c r="AY248" t="s">
        <v>160</v>
      </c>
      <c r="AZ248" s="197" t="str">
        <f t="shared" si="575"/>
        <v>DIS_Non-Standard_297</v>
      </c>
      <c r="BA248">
        <v>297</v>
      </c>
      <c r="BB248">
        <f>VLOOKUP($BA248,'[2]NonStandard DIS'!$Q$1:$X$542,2,FALSE)</f>
        <v>0</v>
      </c>
      <c r="BC248">
        <f>VLOOKUP($BA248,'[2]NonStandard DIS'!$Q$1:$X$542,3,FALSE)</f>
        <v>0</v>
      </c>
      <c r="BD248">
        <f>VLOOKUP($BA248,'[2]NonStandard DIS'!$Q$1:$X$542,4,FALSE)</f>
        <v>0.308</v>
      </c>
      <c r="BE248">
        <f>VLOOKUP($BA248,'[2]NonStandard DIS'!$Q$1:$X$542,5,FALSE)</f>
        <v>0.69199999999999995</v>
      </c>
      <c r="BF248">
        <f>VLOOKUP($BA248,'[2]NonStandard DIS'!$Q$1:$X$542,6,FALSE)</f>
        <v>0</v>
      </c>
      <c r="BG248">
        <f>VLOOKUP($BA248,'[2]NonStandard DIS'!$Q$1:$X$542,7,FALSE)</f>
        <v>0</v>
      </c>
      <c r="BH248">
        <f>VLOOKUP($BA248,'[2]NonStandard DIS'!$Q$1:$X$542,8,FALSE)</f>
        <v>0</v>
      </c>
      <c r="BI248" s="77">
        <f t="shared" si="518"/>
        <v>1</v>
      </c>
      <c r="BJ248" s="77">
        <f t="shared" si="519"/>
        <v>6.9728499999999985E-2</v>
      </c>
      <c r="BK248" s="77">
        <f t="shared" si="500"/>
        <v>5.632878498097682E-3</v>
      </c>
      <c r="BL248" s="79">
        <v>0</v>
      </c>
      <c r="BM248" s="77">
        <f t="shared" si="531"/>
        <v>0</v>
      </c>
      <c r="BN248" s="77">
        <f t="shared" si="532"/>
        <v>0</v>
      </c>
      <c r="BO248" s="77">
        <f t="shared" si="533"/>
        <v>5.6775999999999997E-3</v>
      </c>
      <c r="BP248" s="77">
        <f t="shared" si="534"/>
        <v>4.7190657760731725E-4</v>
      </c>
    </row>
    <row r="249" spans="1:68">
      <c r="A249" t="s">
        <v>175</v>
      </c>
      <c r="B249" t="s">
        <v>176</v>
      </c>
      <c r="C249" s="197" t="str">
        <f t="shared" si="569"/>
        <v>Lifecycle_Balanced_296</v>
      </c>
      <c r="D249">
        <v>296</v>
      </c>
      <c r="E249">
        <f>VLOOKUP($D249,'[2]LC Balanced'!$Q$2:$U$542,2,FALSE)</f>
        <v>0</v>
      </c>
      <c r="F249">
        <f>VLOOKUP($D249,'[2]LC Balanced'!$Q$2:$U$542,3,FALSE)</f>
        <v>0.14899999999999999</v>
      </c>
      <c r="G249">
        <f>VLOOKUP($D249,'[2]LC Balanced'!$Q$2:$U$542,4,FALSE)</f>
        <v>0.85099999999999998</v>
      </c>
      <c r="H249">
        <f>VLOOKUP($D249,'[2]LC Balanced'!$Q$2:$U$542,5,FALSE)</f>
        <v>0</v>
      </c>
      <c r="I249" s="77">
        <f t="shared" si="513"/>
        <v>1</v>
      </c>
      <c r="J249" s="77">
        <f t="shared" si="514"/>
        <v>6.1987699999999986E-2</v>
      </c>
      <c r="K249" s="77">
        <f t="shared" si="504"/>
        <v>5.024442123284345E-3</v>
      </c>
      <c r="L249" s="76">
        <v>0</v>
      </c>
      <c r="M249" s="77">
        <f t="shared" si="520"/>
        <v>0</v>
      </c>
      <c r="N249" s="77">
        <f t="shared" si="521"/>
        <v>0</v>
      </c>
      <c r="O249" s="77">
        <f t="shared" si="522"/>
        <v>7.0062999999999992E-3</v>
      </c>
      <c r="P249" s="77">
        <f t="shared" si="523"/>
        <v>5.85741666996209E-4</v>
      </c>
      <c r="R249" t="s">
        <v>177</v>
      </c>
      <c r="S249" t="s">
        <v>176</v>
      </c>
      <c r="T249" s="197" t="str">
        <f t="shared" si="612"/>
        <v>Autopilot_Balanced_296</v>
      </c>
      <c r="U249">
        <v>296</v>
      </c>
      <c r="V249">
        <f>VLOOKUP($U249,'[2]AP Balanced'!$Q$1:$T$542,2,FALSE)</f>
        <v>0.77777777777777779</v>
      </c>
      <c r="W249">
        <f>VLOOKUP($U249,'[2]AP Balanced'!$Q$1:$T$542,3,FALSE)</f>
        <v>0.22222222222222221</v>
      </c>
      <c r="X249">
        <f>VLOOKUP($U249,'[2]AP Balanced'!$Q$1:$T$542,4,FALSE)</f>
        <v>0</v>
      </c>
      <c r="Y249" s="77">
        <f t="shared" si="570"/>
        <v>1</v>
      </c>
      <c r="Z249" s="77">
        <f t="shared" si="559"/>
        <v>6.1674999999999987E-2</v>
      </c>
      <c r="AA249" s="77">
        <f t="shared" si="560"/>
        <v>4.9997781870025904E-3</v>
      </c>
      <c r="AB249" s="79">
        <v>1</v>
      </c>
      <c r="AC249" s="77">
        <f t="shared" si="524"/>
        <v>8.0555555555555554E-3</v>
      </c>
      <c r="AD249" s="77">
        <f t="shared" si="515"/>
        <v>6.7378764057135498E-4</v>
      </c>
      <c r="AE249" s="77">
        <f t="shared" si="525"/>
        <v>2.5000000000000001E-3</v>
      </c>
      <c r="AF249" s="77">
        <f t="shared" si="515"/>
        <v>2.0857243058891584E-4</v>
      </c>
      <c r="AH249" t="s">
        <v>175</v>
      </c>
      <c r="AI249" t="s">
        <v>176</v>
      </c>
      <c r="AJ249" s="197" t="str">
        <f t="shared" si="571"/>
        <v>Lifecycle_Balanced_296</v>
      </c>
      <c r="AK249">
        <v>296</v>
      </c>
      <c r="AL249">
        <f>VLOOKUP($U249,[2]Standard_Balanced!$Q$1:$T$542,2,FALSE)</f>
        <v>0.77777777777777779</v>
      </c>
      <c r="AM249">
        <f>VLOOKUP($U249,[2]Standard_Balanced!$Q$1:$T$542,3,FALSE)</f>
        <v>0.22222222222222221</v>
      </c>
      <c r="AN249">
        <f>VLOOKUP($U249,[2]Standard_Balanced!$Q$1:$T$542,4,FALSE)</f>
        <v>0</v>
      </c>
      <c r="AO249" s="77">
        <f t="shared" si="501"/>
        <v>1</v>
      </c>
      <c r="AP249" s="77">
        <f t="shared" si="526"/>
        <v>6.1674999999999987E-2</v>
      </c>
      <c r="AQ249" s="77">
        <f t="shared" si="572"/>
        <v>4.9997781870025904E-3</v>
      </c>
      <c r="AR249" s="79">
        <v>0</v>
      </c>
      <c r="AS249" s="77">
        <f t="shared" si="527"/>
        <v>0</v>
      </c>
      <c r="AT249" s="77">
        <f t="shared" ref="AT249" si="643">1-(1-AS249)^(1/12)</f>
        <v>0</v>
      </c>
      <c r="AU249" s="77">
        <f t="shared" si="529"/>
        <v>2.5000000000000001E-3</v>
      </c>
      <c r="AV249" s="77">
        <f t="shared" ref="AV249" si="644">1-(1-AU249)^(1/12)</f>
        <v>2.0857243058891584E-4</v>
      </c>
      <c r="AX249" t="s">
        <v>178</v>
      </c>
      <c r="AY249" t="s">
        <v>160</v>
      </c>
      <c r="AZ249" s="197" t="str">
        <f t="shared" si="575"/>
        <v>DIS_Non-Standard_296</v>
      </c>
      <c r="BA249">
        <v>296</v>
      </c>
      <c r="BB249">
        <f>VLOOKUP($BA249,'[2]NonStandard DIS'!$Q$1:$X$542,2,FALSE)</f>
        <v>0</v>
      </c>
      <c r="BC249">
        <f>VLOOKUP($BA249,'[2]NonStandard DIS'!$Q$1:$X$542,3,FALSE)</f>
        <v>0</v>
      </c>
      <c r="BD249">
        <f>VLOOKUP($BA249,'[2]NonStandard DIS'!$Q$1:$X$542,4,FALSE)</f>
        <v>0.308</v>
      </c>
      <c r="BE249">
        <f>VLOOKUP($BA249,'[2]NonStandard DIS'!$Q$1:$X$542,5,FALSE)</f>
        <v>0.69199999999999995</v>
      </c>
      <c r="BF249">
        <f>VLOOKUP($BA249,'[2]NonStandard DIS'!$Q$1:$X$542,6,FALSE)</f>
        <v>0</v>
      </c>
      <c r="BG249">
        <f>VLOOKUP($BA249,'[2]NonStandard DIS'!$Q$1:$X$542,7,FALSE)</f>
        <v>0</v>
      </c>
      <c r="BH249">
        <f>VLOOKUP($BA249,'[2]NonStandard DIS'!$Q$1:$X$542,8,FALSE)</f>
        <v>0</v>
      </c>
      <c r="BI249" s="77">
        <f t="shared" si="518"/>
        <v>1</v>
      </c>
      <c r="BJ249" s="77">
        <f t="shared" si="519"/>
        <v>6.9728499999999985E-2</v>
      </c>
      <c r="BK249" s="77">
        <f t="shared" si="500"/>
        <v>5.632878498097682E-3</v>
      </c>
      <c r="BL249" s="79">
        <v>0</v>
      </c>
      <c r="BM249" s="77">
        <f t="shared" si="531"/>
        <v>0</v>
      </c>
      <c r="BN249" s="77">
        <f t="shared" si="532"/>
        <v>0</v>
      </c>
      <c r="BO249" s="77">
        <f t="shared" si="533"/>
        <v>5.6775999999999997E-3</v>
      </c>
      <c r="BP249" s="77">
        <f t="shared" si="534"/>
        <v>4.7190657760731725E-4</v>
      </c>
    </row>
    <row r="250" spans="1:68">
      <c r="A250" t="s">
        <v>175</v>
      </c>
      <c r="B250" t="s">
        <v>176</v>
      </c>
      <c r="C250" s="197" t="str">
        <f t="shared" si="569"/>
        <v>Lifecycle_Balanced_295</v>
      </c>
      <c r="D250">
        <v>295</v>
      </c>
      <c r="E250">
        <f>VLOOKUP($D250,'[2]LC Balanced'!$Q$2:$U$542,2,FALSE)</f>
        <v>0</v>
      </c>
      <c r="F250">
        <f>VLOOKUP($D250,'[2]LC Balanced'!$Q$2:$U$542,3,FALSE)</f>
        <v>0.14899999999999999</v>
      </c>
      <c r="G250">
        <f>VLOOKUP($D250,'[2]LC Balanced'!$Q$2:$U$542,4,FALSE)</f>
        <v>0.85099999999999998</v>
      </c>
      <c r="H250">
        <f>VLOOKUP($D250,'[2]LC Balanced'!$Q$2:$U$542,5,FALSE)</f>
        <v>0</v>
      </c>
      <c r="I250" s="77">
        <f t="shared" si="513"/>
        <v>1</v>
      </c>
      <c r="J250" s="77">
        <f t="shared" si="514"/>
        <v>6.1987699999999986E-2</v>
      </c>
      <c r="K250" s="77">
        <f t="shared" si="504"/>
        <v>5.024442123284345E-3</v>
      </c>
      <c r="L250" s="76">
        <v>0</v>
      </c>
      <c r="M250" s="77">
        <f t="shared" si="520"/>
        <v>0</v>
      </c>
      <c r="N250" s="77">
        <f t="shared" si="521"/>
        <v>0</v>
      </c>
      <c r="O250" s="77">
        <f t="shared" si="522"/>
        <v>7.0062999999999992E-3</v>
      </c>
      <c r="P250" s="77">
        <f t="shared" si="523"/>
        <v>5.85741666996209E-4</v>
      </c>
      <c r="R250" t="s">
        <v>177</v>
      </c>
      <c r="S250" t="s">
        <v>176</v>
      </c>
      <c r="T250" s="197" t="str">
        <f t="shared" si="612"/>
        <v>Autopilot_Balanced_295</v>
      </c>
      <c r="U250">
        <v>295</v>
      </c>
      <c r="V250">
        <f>VLOOKUP($U250,'[2]AP Balanced'!$Q$1:$T$542,2,FALSE)</f>
        <v>0.77777777777777779</v>
      </c>
      <c r="W250">
        <f>VLOOKUP($U250,'[2]AP Balanced'!$Q$1:$T$542,3,FALSE)</f>
        <v>0.22222222222222221</v>
      </c>
      <c r="X250">
        <f>VLOOKUP($U250,'[2]AP Balanced'!$Q$1:$T$542,4,FALSE)</f>
        <v>0</v>
      </c>
      <c r="Y250" s="77">
        <f t="shared" si="570"/>
        <v>1</v>
      </c>
      <c r="Z250" s="77">
        <f t="shared" si="559"/>
        <v>6.1674999999999987E-2</v>
      </c>
      <c r="AA250" s="77">
        <f t="shared" si="560"/>
        <v>4.9997781870025904E-3</v>
      </c>
      <c r="AB250" s="79">
        <v>1</v>
      </c>
      <c r="AC250" s="77">
        <f t="shared" si="524"/>
        <v>8.0555555555555554E-3</v>
      </c>
      <c r="AD250" s="77">
        <f t="shared" si="515"/>
        <v>6.7378764057135498E-4</v>
      </c>
      <c r="AE250" s="77">
        <f t="shared" si="525"/>
        <v>2.5000000000000001E-3</v>
      </c>
      <c r="AF250" s="77">
        <f t="shared" si="515"/>
        <v>2.0857243058891584E-4</v>
      </c>
      <c r="AH250" t="s">
        <v>175</v>
      </c>
      <c r="AI250" t="s">
        <v>176</v>
      </c>
      <c r="AJ250" s="197" t="str">
        <f t="shared" si="571"/>
        <v>Lifecycle_Balanced_295</v>
      </c>
      <c r="AK250">
        <v>295</v>
      </c>
      <c r="AL250">
        <f>VLOOKUP($U250,[2]Standard_Balanced!$Q$1:$T$542,2,FALSE)</f>
        <v>0.77777777777777779</v>
      </c>
      <c r="AM250">
        <f>VLOOKUP($U250,[2]Standard_Balanced!$Q$1:$T$542,3,FALSE)</f>
        <v>0.22222222222222221</v>
      </c>
      <c r="AN250">
        <f>VLOOKUP($U250,[2]Standard_Balanced!$Q$1:$T$542,4,FALSE)</f>
        <v>0</v>
      </c>
      <c r="AO250" s="77">
        <f t="shared" si="501"/>
        <v>1</v>
      </c>
      <c r="AP250" s="77">
        <f t="shared" si="526"/>
        <v>6.1674999999999987E-2</v>
      </c>
      <c r="AQ250" s="77">
        <f t="shared" si="572"/>
        <v>4.9997781870025904E-3</v>
      </c>
      <c r="AR250" s="79">
        <v>0</v>
      </c>
      <c r="AS250" s="77">
        <f t="shared" si="527"/>
        <v>0</v>
      </c>
      <c r="AT250" s="77">
        <f t="shared" ref="AT250" si="645">1-(1-AS250)^(1/12)</f>
        <v>0</v>
      </c>
      <c r="AU250" s="77">
        <f t="shared" si="529"/>
        <v>2.5000000000000001E-3</v>
      </c>
      <c r="AV250" s="77">
        <f t="shared" ref="AV250" si="646">1-(1-AU250)^(1/12)</f>
        <v>2.0857243058891584E-4</v>
      </c>
      <c r="AX250" t="s">
        <v>178</v>
      </c>
      <c r="AY250" t="s">
        <v>160</v>
      </c>
      <c r="AZ250" s="197" t="str">
        <f t="shared" si="575"/>
        <v>DIS_Non-Standard_295</v>
      </c>
      <c r="BA250">
        <v>295</v>
      </c>
      <c r="BB250">
        <f>VLOOKUP($BA250,'[2]NonStandard DIS'!$Q$1:$X$542,2,FALSE)</f>
        <v>0</v>
      </c>
      <c r="BC250">
        <f>VLOOKUP($BA250,'[2]NonStandard DIS'!$Q$1:$X$542,3,FALSE)</f>
        <v>0</v>
      </c>
      <c r="BD250">
        <f>VLOOKUP($BA250,'[2]NonStandard DIS'!$Q$1:$X$542,4,FALSE)</f>
        <v>0.308</v>
      </c>
      <c r="BE250">
        <f>VLOOKUP($BA250,'[2]NonStandard DIS'!$Q$1:$X$542,5,FALSE)</f>
        <v>0.69199999999999995</v>
      </c>
      <c r="BF250">
        <f>VLOOKUP($BA250,'[2]NonStandard DIS'!$Q$1:$X$542,6,FALSE)</f>
        <v>0</v>
      </c>
      <c r="BG250">
        <f>VLOOKUP($BA250,'[2]NonStandard DIS'!$Q$1:$X$542,7,FALSE)</f>
        <v>0</v>
      </c>
      <c r="BH250">
        <f>VLOOKUP($BA250,'[2]NonStandard DIS'!$Q$1:$X$542,8,FALSE)</f>
        <v>0</v>
      </c>
      <c r="BI250" s="77">
        <f t="shared" si="518"/>
        <v>1</v>
      </c>
      <c r="BJ250" s="77">
        <f t="shared" si="519"/>
        <v>6.9728499999999985E-2</v>
      </c>
      <c r="BK250" s="77">
        <f t="shared" si="500"/>
        <v>5.632878498097682E-3</v>
      </c>
      <c r="BL250" s="79">
        <v>0</v>
      </c>
      <c r="BM250" s="77">
        <f t="shared" si="531"/>
        <v>0</v>
      </c>
      <c r="BN250" s="77">
        <f t="shared" si="532"/>
        <v>0</v>
      </c>
      <c r="BO250" s="77">
        <f t="shared" si="533"/>
        <v>5.6775999999999997E-3</v>
      </c>
      <c r="BP250" s="77">
        <f t="shared" si="534"/>
        <v>4.7190657760731725E-4</v>
      </c>
    </row>
    <row r="251" spans="1:68">
      <c r="A251" t="s">
        <v>175</v>
      </c>
      <c r="B251" t="s">
        <v>176</v>
      </c>
      <c r="C251" s="197" t="str">
        <f t="shared" si="569"/>
        <v>Lifecycle_Balanced_294</v>
      </c>
      <c r="D251">
        <v>294</v>
      </c>
      <c r="E251">
        <f>VLOOKUP($D251,'[2]LC Balanced'!$Q$2:$U$542,2,FALSE)</f>
        <v>0</v>
      </c>
      <c r="F251">
        <f>VLOOKUP($D251,'[2]LC Balanced'!$Q$2:$U$542,3,FALSE)</f>
        <v>0.14899999999999999</v>
      </c>
      <c r="G251">
        <f>VLOOKUP($D251,'[2]LC Balanced'!$Q$2:$U$542,4,FALSE)</f>
        <v>0.85099999999999998</v>
      </c>
      <c r="H251">
        <f>VLOOKUP($D251,'[2]LC Balanced'!$Q$2:$U$542,5,FALSE)</f>
        <v>0</v>
      </c>
      <c r="I251" s="77">
        <f t="shared" si="513"/>
        <v>1</v>
      </c>
      <c r="J251" s="77">
        <f t="shared" si="514"/>
        <v>6.1987699999999986E-2</v>
      </c>
      <c r="K251" s="77">
        <f t="shared" si="504"/>
        <v>5.024442123284345E-3</v>
      </c>
      <c r="L251" s="76">
        <v>0</v>
      </c>
      <c r="M251" s="77">
        <f t="shared" si="520"/>
        <v>0</v>
      </c>
      <c r="N251" s="77">
        <f t="shared" si="521"/>
        <v>0</v>
      </c>
      <c r="O251" s="77">
        <f t="shared" si="522"/>
        <v>7.0062999999999992E-3</v>
      </c>
      <c r="P251" s="77">
        <f t="shared" si="523"/>
        <v>5.85741666996209E-4</v>
      </c>
      <c r="R251" t="s">
        <v>177</v>
      </c>
      <c r="S251" t="s">
        <v>176</v>
      </c>
      <c r="T251" s="197" t="str">
        <f t="shared" si="612"/>
        <v>Autopilot_Balanced_294</v>
      </c>
      <c r="U251">
        <v>294</v>
      </c>
      <c r="V251">
        <f>VLOOKUP($U251,'[2]AP Balanced'!$Q$1:$T$542,2,FALSE)</f>
        <v>0.77777777777777779</v>
      </c>
      <c r="W251">
        <f>VLOOKUP($U251,'[2]AP Balanced'!$Q$1:$T$542,3,FALSE)</f>
        <v>0.22222222222222221</v>
      </c>
      <c r="X251">
        <f>VLOOKUP($U251,'[2]AP Balanced'!$Q$1:$T$542,4,FALSE)</f>
        <v>0</v>
      </c>
      <c r="Y251" s="77">
        <f t="shared" si="570"/>
        <v>1</v>
      </c>
      <c r="Z251" s="77">
        <f t="shared" si="559"/>
        <v>6.1674999999999987E-2</v>
      </c>
      <c r="AA251" s="77">
        <f t="shared" si="560"/>
        <v>4.9997781870025904E-3</v>
      </c>
      <c r="AB251" s="79">
        <v>1</v>
      </c>
      <c r="AC251" s="77">
        <f t="shared" si="524"/>
        <v>8.0555555555555554E-3</v>
      </c>
      <c r="AD251" s="77">
        <f t="shared" si="515"/>
        <v>6.7378764057135498E-4</v>
      </c>
      <c r="AE251" s="77">
        <f t="shared" si="525"/>
        <v>2.5000000000000001E-3</v>
      </c>
      <c r="AF251" s="77">
        <f t="shared" si="515"/>
        <v>2.0857243058891584E-4</v>
      </c>
      <c r="AH251" t="s">
        <v>175</v>
      </c>
      <c r="AI251" t="s">
        <v>176</v>
      </c>
      <c r="AJ251" s="197" t="str">
        <f t="shared" si="571"/>
        <v>Lifecycle_Balanced_294</v>
      </c>
      <c r="AK251">
        <v>294</v>
      </c>
      <c r="AL251">
        <f>VLOOKUP($U251,[2]Standard_Balanced!$Q$1:$T$542,2,FALSE)</f>
        <v>0.77777777777777779</v>
      </c>
      <c r="AM251">
        <f>VLOOKUP($U251,[2]Standard_Balanced!$Q$1:$T$542,3,FALSE)</f>
        <v>0.22222222222222221</v>
      </c>
      <c r="AN251">
        <f>VLOOKUP($U251,[2]Standard_Balanced!$Q$1:$T$542,4,FALSE)</f>
        <v>0</v>
      </c>
      <c r="AO251" s="77">
        <f t="shared" si="501"/>
        <v>1</v>
      </c>
      <c r="AP251" s="77">
        <f t="shared" si="526"/>
        <v>6.1674999999999987E-2</v>
      </c>
      <c r="AQ251" s="77">
        <f t="shared" si="572"/>
        <v>4.9997781870025904E-3</v>
      </c>
      <c r="AR251" s="79">
        <v>0</v>
      </c>
      <c r="AS251" s="77">
        <f t="shared" si="527"/>
        <v>0</v>
      </c>
      <c r="AT251" s="77">
        <f t="shared" ref="AT251" si="647">1-(1-AS251)^(1/12)</f>
        <v>0</v>
      </c>
      <c r="AU251" s="77">
        <f t="shared" si="529"/>
        <v>2.5000000000000001E-3</v>
      </c>
      <c r="AV251" s="77">
        <f t="shared" ref="AV251" si="648">1-(1-AU251)^(1/12)</f>
        <v>2.0857243058891584E-4</v>
      </c>
      <c r="AX251" t="s">
        <v>178</v>
      </c>
      <c r="AY251" t="s">
        <v>160</v>
      </c>
      <c r="AZ251" s="197" t="str">
        <f t="shared" si="575"/>
        <v>DIS_Non-Standard_294</v>
      </c>
      <c r="BA251">
        <v>294</v>
      </c>
      <c r="BB251">
        <f>VLOOKUP($BA251,'[2]NonStandard DIS'!$Q$1:$X$542,2,FALSE)</f>
        <v>0</v>
      </c>
      <c r="BC251">
        <f>VLOOKUP($BA251,'[2]NonStandard DIS'!$Q$1:$X$542,3,FALSE)</f>
        <v>0</v>
      </c>
      <c r="BD251">
        <f>VLOOKUP($BA251,'[2]NonStandard DIS'!$Q$1:$X$542,4,FALSE)</f>
        <v>0.308</v>
      </c>
      <c r="BE251">
        <f>VLOOKUP($BA251,'[2]NonStandard DIS'!$Q$1:$X$542,5,FALSE)</f>
        <v>0.69199999999999995</v>
      </c>
      <c r="BF251">
        <f>VLOOKUP($BA251,'[2]NonStandard DIS'!$Q$1:$X$542,6,FALSE)</f>
        <v>0</v>
      </c>
      <c r="BG251">
        <f>VLOOKUP($BA251,'[2]NonStandard DIS'!$Q$1:$X$542,7,FALSE)</f>
        <v>0</v>
      </c>
      <c r="BH251">
        <f>VLOOKUP($BA251,'[2]NonStandard DIS'!$Q$1:$X$542,8,FALSE)</f>
        <v>0</v>
      </c>
      <c r="BI251" s="77">
        <f t="shared" si="518"/>
        <v>1</v>
      </c>
      <c r="BJ251" s="77">
        <f t="shared" si="519"/>
        <v>6.9728499999999985E-2</v>
      </c>
      <c r="BK251" s="77">
        <f t="shared" si="500"/>
        <v>5.632878498097682E-3</v>
      </c>
      <c r="BL251" s="79">
        <v>0</v>
      </c>
      <c r="BM251" s="77">
        <f t="shared" si="531"/>
        <v>0</v>
      </c>
      <c r="BN251" s="77">
        <f t="shared" si="532"/>
        <v>0</v>
      </c>
      <c r="BO251" s="77">
        <f t="shared" si="533"/>
        <v>5.6775999999999997E-3</v>
      </c>
      <c r="BP251" s="77">
        <f t="shared" si="534"/>
        <v>4.7190657760731725E-4</v>
      </c>
    </row>
    <row r="252" spans="1:68">
      <c r="A252" t="s">
        <v>175</v>
      </c>
      <c r="B252" t="s">
        <v>176</v>
      </c>
      <c r="C252" s="197" t="str">
        <f t="shared" si="569"/>
        <v>Lifecycle_Balanced_293</v>
      </c>
      <c r="D252">
        <v>293</v>
      </c>
      <c r="E252">
        <f>VLOOKUP($D252,'[2]LC Balanced'!$Q$2:$U$542,2,FALSE)</f>
        <v>0</v>
      </c>
      <c r="F252">
        <f>VLOOKUP($D252,'[2]LC Balanced'!$Q$2:$U$542,3,FALSE)</f>
        <v>0.14899999999999999</v>
      </c>
      <c r="G252">
        <f>VLOOKUP($D252,'[2]LC Balanced'!$Q$2:$U$542,4,FALSE)</f>
        <v>0.85099999999999998</v>
      </c>
      <c r="H252">
        <f>VLOOKUP($D252,'[2]LC Balanced'!$Q$2:$U$542,5,FALSE)</f>
        <v>0</v>
      </c>
      <c r="I252" s="77">
        <f t="shared" si="513"/>
        <v>1</v>
      </c>
      <c r="J252" s="77">
        <f t="shared" si="514"/>
        <v>6.1987699999999986E-2</v>
      </c>
      <c r="K252" s="77">
        <f t="shared" si="504"/>
        <v>5.024442123284345E-3</v>
      </c>
      <c r="L252" s="76">
        <v>0</v>
      </c>
      <c r="M252" s="77">
        <f t="shared" si="520"/>
        <v>0</v>
      </c>
      <c r="N252" s="77">
        <f t="shared" si="521"/>
        <v>0</v>
      </c>
      <c r="O252" s="77">
        <f t="shared" si="522"/>
        <v>7.0062999999999992E-3</v>
      </c>
      <c r="P252" s="77">
        <f t="shared" si="523"/>
        <v>5.85741666996209E-4</v>
      </c>
      <c r="R252" t="s">
        <v>177</v>
      </c>
      <c r="S252" t="s">
        <v>176</v>
      </c>
      <c r="T252" s="197" t="str">
        <f t="shared" si="612"/>
        <v>Autopilot_Balanced_293</v>
      </c>
      <c r="U252">
        <v>293</v>
      </c>
      <c r="V252">
        <f>VLOOKUP($U252,'[2]AP Balanced'!$Q$1:$T$542,2,FALSE)</f>
        <v>0.77777777777777779</v>
      </c>
      <c r="W252">
        <f>VLOOKUP($U252,'[2]AP Balanced'!$Q$1:$T$542,3,FALSE)</f>
        <v>0.22222222222222221</v>
      </c>
      <c r="X252">
        <f>VLOOKUP($U252,'[2]AP Balanced'!$Q$1:$T$542,4,FALSE)</f>
        <v>0</v>
      </c>
      <c r="Y252" s="77">
        <f t="shared" si="570"/>
        <v>1</v>
      </c>
      <c r="Z252" s="77">
        <f t="shared" si="559"/>
        <v>6.1674999999999987E-2</v>
      </c>
      <c r="AA252" s="77">
        <f t="shared" si="560"/>
        <v>4.9997781870025904E-3</v>
      </c>
      <c r="AB252" s="79">
        <v>1</v>
      </c>
      <c r="AC252" s="77">
        <f t="shared" si="524"/>
        <v>8.0555555555555554E-3</v>
      </c>
      <c r="AD252" s="77">
        <f t="shared" si="515"/>
        <v>6.7378764057135498E-4</v>
      </c>
      <c r="AE252" s="77">
        <f t="shared" si="525"/>
        <v>2.5000000000000001E-3</v>
      </c>
      <c r="AF252" s="77">
        <f t="shared" si="515"/>
        <v>2.0857243058891584E-4</v>
      </c>
      <c r="AH252" t="s">
        <v>175</v>
      </c>
      <c r="AI252" t="s">
        <v>176</v>
      </c>
      <c r="AJ252" s="197" t="str">
        <f t="shared" si="571"/>
        <v>Lifecycle_Balanced_293</v>
      </c>
      <c r="AK252">
        <v>293</v>
      </c>
      <c r="AL252">
        <f>VLOOKUP($U252,[2]Standard_Balanced!$Q$1:$T$542,2,FALSE)</f>
        <v>0.77777777777777779</v>
      </c>
      <c r="AM252">
        <f>VLOOKUP($U252,[2]Standard_Balanced!$Q$1:$T$542,3,FALSE)</f>
        <v>0.22222222222222221</v>
      </c>
      <c r="AN252">
        <f>VLOOKUP($U252,[2]Standard_Balanced!$Q$1:$T$542,4,FALSE)</f>
        <v>0</v>
      </c>
      <c r="AO252" s="77">
        <f t="shared" si="501"/>
        <v>1</v>
      </c>
      <c r="AP252" s="77">
        <f t="shared" si="526"/>
        <v>6.1674999999999987E-2</v>
      </c>
      <c r="AQ252" s="77">
        <f t="shared" si="572"/>
        <v>4.9997781870025904E-3</v>
      </c>
      <c r="AR252" s="79">
        <v>0</v>
      </c>
      <c r="AS252" s="77">
        <f t="shared" si="527"/>
        <v>0</v>
      </c>
      <c r="AT252" s="77">
        <f t="shared" ref="AT252" si="649">1-(1-AS252)^(1/12)</f>
        <v>0</v>
      </c>
      <c r="AU252" s="77">
        <f t="shared" si="529"/>
        <v>2.5000000000000001E-3</v>
      </c>
      <c r="AV252" s="77">
        <f t="shared" ref="AV252" si="650">1-(1-AU252)^(1/12)</f>
        <v>2.0857243058891584E-4</v>
      </c>
      <c r="AX252" t="s">
        <v>178</v>
      </c>
      <c r="AY252" t="s">
        <v>160</v>
      </c>
      <c r="AZ252" s="197" t="str">
        <f t="shared" si="575"/>
        <v>DIS_Non-Standard_293</v>
      </c>
      <c r="BA252">
        <v>293</v>
      </c>
      <c r="BB252">
        <f>VLOOKUP($BA252,'[2]NonStandard DIS'!$Q$1:$X$542,2,FALSE)</f>
        <v>0</v>
      </c>
      <c r="BC252">
        <f>VLOOKUP($BA252,'[2]NonStandard DIS'!$Q$1:$X$542,3,FALSE)</f>
        <v>0</v>
      </c>
      <c r="BD252">
        <f>VLOOKUP($BA252,'[2]NonStandard DIS'!$Q$1:$X$542,4,FALSE)</f>
        <v>0.308</v>
      </c>
      <c r="BE252">
        <f>VLOOKUP($BA252,'[2]NonStandard DIS'!$Q$1:$X$542,5,FALSE)</f>
        <v>0.69199999999999995</v>
      </c>
      <c r="BF252">
        <f>VLOOKUP($BA252,'[2]NonStandard DIS'!$Q$1:$X$542,6,FALSE)</f>
        <v>0</v>
      </c>
      <c r="BG252">
        <f>VLOOKUP($BA252,'[2]NonStandard DIS'!$Q$1:$X$542,7,FALSE)</f>
        <v>0</v>
      </c>
      <c r="BH252">
        <f>VLOOKUP($BA252,'[2]NonStandard DIS'!$Q$1:$X$542,8,FALSE)</f>
        <v>0</v>
      </c>
      <c r="BI252" s="77">
        <f t="shared" si="518"/>
        <v>1</v>
      </c>
      <c r="BJ252" s="77">
        <f t="shared" si="519"/>
        <v>6.9728499999999985E-2</v>
      </c>
      <c r="BK252" s="77">
        <f t="shared" si="500"/>
        <v>5.632878498097682E-3</v>
      </c>
      <c r="BL252" s="79">
        <v>0</v>
      </c>
      <c r="BM252" s="77">
        <f t="shared" si="531"/>
        <v>0</v>
      </c>
      <c r="BN252" s="77">
        <f t="shared" si="532"/>
        <v>0</v>
      </c>
      <c r="BO252" s="77">
        <f t="shared" si="533"/>
        <v>5.6775999999999997E-3</v>
      </c>
      <c r="BP252" s="77">
        <f t="shared" si="534"/>
        <v>4.7190657760731725E-4</v>
      </c>
    </row>
    <row r="253" spans="1:68">
      <c r="A253" t="s">
        <v>175</v>
      </c>
      <c r="B253" t="s">
        <v>176</v>
      </c>
      <c r="C253" s="197" t="str">
        <f t="shared" si="569"/>
        <v>Lifecycle_Balanced_292</v>
      </c>
      <c r="D253">
        <v>292</v>
      </c>
      <c r="E253">
        <f>VLOOKUP($D253,'[2]LC Balanced'!$Q$2:$U$542,2,FALSE)</f>
        <v>0</v>
      </c>
      <c r="F253">
        <f>VLOOKUP($D253,'[2]LC Balanced'!$Q$2:$U$542,3,FALSE)</f>
        <v>0.14899999999999999</v>
      </c>
      <c r="G253">
        <f>VLOOKUP($D253,'[2]LC Balanced'!$Q$2:$U$542,4,FALSE)</f>
        <v>0.85099999999999998</v>
      </c>
      <c r="H253">
        <f>VLOOKUP($D253,'[2]LC Balanced'!$Q$2:$U$542,5,FALSE)</f>
        <v>0</v>
      </c>
      <c r="I253" s="77">
        <f t="shared" si="513"/>
        <v>1</v>
      </c>
      <c r="J253" s="77">
        <f t="shared" si="514"/>
        <v>6.1987699999999986E-2</v>
      </c>
      <c r="K253" s="77">
        <f t="shared" si="504"/>
        <v>5.024442123284345E-3</v>
      </c>
      <c r="L253" s="76">
        <v>0</v>
      </c>
      <c r="M253" s="77">
        <f t="shared" si="520"/>
        <v>0</v>
      </c>
      <c r="N253" s="77">
        <f t="shared" si="521"/>
        <v>0</v>
      </c>
      <c r="O253" s="77">
        <f t="shared" si="522"/>
        <v>7.0062999999999992E-3</v>
      </c>
      <c r="P253" s="77">
        <f t="shared" si="523"/>
        <v>5.85741666996209E-4</v>
      </c>
      <c r="R253" t="s">
        <v>177</v>
      </c>
      <c r="S253" t="s">
        <v>176</v>
      </c>
      <c r="T253" s="197" t="str">
        <f t="shared" si="612"/>
        <v>Autopilot_Balanced_292</v>
      </c>
      <c r="U253">
        <v>292</v>
      </c>
      <c r="V253">
        <f>VLOOKUP($U253,'[2]AP Balanced'!$Q$1:$T$542,2,FALSE)</f>
        <v>0.77777777777777779</v>
      </c>
      <c r="W253">
        <f>VLOOKUP($U253,'[2]AP Balanced'!$Q$1:$T$542,3,FALSE)</f>
        <v>0.22222222222222221</v>
      </c>
      <c r="X253">
        <f>VLOOKUP($U253,'[2]AP Balanced'!$Q$1:$T$542,4,FALSE)</f>
        <v>0</v>
      </c>
      <c r="Y253" s="77">
        <f t="shared" si="570"/>
        <v>1</v>
      </c>
      <c r="Z253" s="77">
        <f t="shared" si="559"/>
        <v>6.1674999999999987E-2</v>
      </c>
      <c r="AA253" s="77">
        <f t="shared" si="560"/>
        <v>4.9997781870025904E-3</v>
      </c>
      <c r="AB253" s="79">
        <v>1</v>
      </c>
      <c r="AC253" s="77">
        <f t="shared" si="524"/>
        <v>8.0555555555555554E-3</v>
      </c>
      <c r="AD253" s="77">
        <f t="shared" si="515"/>
        <v>6.7378764057135498E-4</v>
      </c>
      <c r="AE253" s="77">
        <f t="shared" si="525"/>
        <v>2.5000000000000001E-3</v>
      </c>
      <c r="AF253" s="77">
        <f t="shared" si="515"/>
        <v>2.0857243058891584E-4</v>
      </c>
      <c r="AH253" t="s">
        <v>175</v>
      </c>
      <c r="AI253" t="s">
        <v>176</v>
      </c>
      <c r="AJ253" s="197" t="str">
        <f t="shared" si="571"/>
        <v>Lifecycle_Balanced_292</v>
      </c>
      <c r="AK253">
        <v>292</v>
      </c>
      <c r="AL253">
        <f>VLOOKUP($U253,[2]Standard_Balanced!$Q$1:$T$542,2,FALSE)</f>
        <v>0.77777777777777779</v>
      </c>
      <c r="AM253">
        <f>VLOOKUP($U253,[2]Standard_Balanced!$Q$1:$T$542,3,FALSE)</f>
        <v>0.22222222222222221</v>
      </c>
      <c r="AN253">
        <f>VLOOKUP($U253,[2]Standard_Balanced!$Q$1:$T$542,4,FALSE)</f>
        <v>0</v>
      </c>
      <c r="AO253" s="77">
        <f t="shared" si="501"/>
        <v>1</v>
      </c>
      <c r="AP253" s="77">
        <f t="shared" si="526"/>
        <v>6.1674999999999987E-2</v>
      </c>
      <c r="AQ253" s="77">
        <f t="shared" si="572"/>
        <v>4.9997781870025904E-3</v>
      </c>
      <c r="AR253" s="79">
        <v>0</v>
      </c>
      <c r="AS253" s="77">
        <f t="shared" si="527"/>
        <v>0</v>
      </c>
      <c r="AT253" s="77">
        <f t="shared" ref="AT253" si="651">1-(1-AS253)^(1/12)</f>
        <v>0</v>
      </c>
      <c r="AU253" s="77">
        <f t="shared" si="529"/>
        <v>2.5000000000000001E-3</v>
      </c>
      <c r="AV253" s="77">
        <f t="shared" ref="AV253" si="652">1-(1-AU253)^(1/12)</f>
        <v>2.0857243058891584E-4</v>
      </c>
      <c r="AX253" t="s">
        <v>178</v>
      </c>
      <c r="AY253" t="s">
        <v>160</v>
      </c>
      <c r="AZ253" s="197" t="str">
        <f t="shared" si="575"/>
        <v>DIS_Non-Standard_292</v>
      </c>
      <c r="BA253">
        <v>292</v>
      </c>
      <c r="BB253">
        <f>VLOOKUP($BA253,'[2]NonStandard DIS'!$Q$1:$X$542,2,FALSE)</f>
        <v>0</v>
      </c>
      <c r="BC253">
        <f>VLOOKUP($BA253,'[2]NonStandard DIS'!$Q$1:$X$542,3,FALSE)</f>
        <v>0</v>
      </c>
      <c r="BD253">
        <f>VLOOKUP($BA253,'[2]NonStandard DIS'!$Q$1:$X$542,4,FALSE)</f>
        <v>0.308</v>
      </c>
      <c r="BE253">
        <f>VLOOKUP($BA253,'[2]NonStandard DIS'!$Q$1:$X$542,5,FALSE)</f>
        <v>0.69199999999999995</v>
      </c>
      <c r="BF253">
        <f>VLOOKUP($BA253,'[2]NonStandard DIS'!$Q$1:$X$542,6,FALSE)</f>
        <v>0</v>
      </c>
      <c r="BG253">
        <f>VLOOKUP($BA253,'[2]NonStandard DIS'!$Q$1:$X$542,7,FALSE)</f>
        <v>0</v>
      </c>
      <c r="BH253">
        <f>VLOOKUP($BA253,'[2]NonStandard DIS'!$Q$1:$X$542,8,FALSE)</f>
        <v>0</v>
      </c>
      <c r="BI253" s="77">
        <f t="shared" si="518"/>
        <v>1</v>
      </c>
      <c r="BJ253" s="77">
        <f t="shared" si="519"/>
        <v>6.9728499999999985E-2</v>
      </c>
      <c r="BK253" s="77">
        <f t="shared" si="500"/>
        <v>5.632878498097682E-3</v>
      </c>
      <c r="BL253" s="79">
        <v>0</v>
      </c>
      <c r="BM253" s="77">
        <f t="shared" si="531"/>
        <v>0</v>
      </c>
      <c r="BN253" s="77">
        <f t="shared" si="532"/>
        <v>0</v>
      </c>
      <c r="BO253" s="77">
        <f t="shared" si="533"/>
        <v>5.6775999999999997E-3</v>
      </c>
      <c r="BP253" s="77">
        <f t="shared" si="534"/>
        <v>4.7190657760731725E-4</v>
      </c>
    </row>
    <row r="254" spans="1:68">
      <c r="A254" t="s">
        <v>175</v>
      </c>
      <c r="B254" t="s">
        <v>176</v>
      </c>
      <c r="C254" s="197" t="str">
        <f t="shared" si="569"/>
        <v>Lifecycle_Balanced_291</v>
      </c>
      <c r="D254">
        <v>291</v>
      </c>
      <c r="E254">
        <f>VLOOKUP($D254,'[2]LC Balanced'!$Q$2:$U$542,2,FALSE)</f>
        <v>0</v>
      </c>
      <c r="F254">
        <f>VLOOKUP($D254,'[2]LC Balanced'!$Q$2:$U$542,3,FALSE)</f>
        <v>0.14899999999999999</v>
      </c>
      <c r="G254">
        <f>VLOOKUP($D254,'[2]LC Balanced'!$Q$2:$U$542,4,FALSE)</f>
        <v>0.85099999999999998</v>
      </c>
      <c r="H254">
        <f>VLOOKUP($D254,'[2]LC Balanced'!$Q$2:$U$542,5,FALSE)</f>
        <v>0</v>
      </c>
      <c r="I254" s="77">
        <f t="shared" si="513"/>
        <v>1</v>
      </c>
      <c r="J254" s="77">
        <f t="shared" si="514"/>
        <v>6.1987699999999986E-2</v>
      </c>
      <c r="K254" s="77">
        <f t="shared" si="504"/>
        <v>5.024442123284345E-3</v>
      </c>
      <c r="L254" s="76">
        <v>0</v>
      </c>
      <c r="M254" s="77">
        <f t="shared" si="520"/>
        <v>0</v>
      </c>
      <c r="N254" s="77">
        <f t="shared" si="521"/>
        <v>0</v>
      </c>
      <c r="O254" s="77">
        <f t="shared" si="522"/>
        <v>7.0062999999999992E-3</v>
      </c>
      <c r="P254" s="77">
        <f t="shared" si="523"/>
        <v>5.85741666996209E-4</v>
      </c>
      <c r="R254" t="s">
        <v>177</v>
      </c>
      <c r="S254" t="s">
        <v>176</v>
      </c>
      <c r="T254" s="197" t="str">
        <f t="shared" si="612"/>
        <v>Autopilot_Balanced_291</v>
      </c>
      <c r="U254">
        <v>291</v>
      </c>
      <c r="V254">
        <f>VLOOKUP($U254,'[2]AP Balanced'!$Q$1:$T$542,2,FALSE)</f>
        <v>0.77777777777777779</v>
      </c>
      <c r="W254">
        <f>VLOOKUP($U254,'[2]AP Balanced'!$Q$1:$T$542,3,FALSE)</f>
        <v>0.22222222222222221</v>
      </c>
      <c r="X254">
        <f>VLOOKUP($U254,'[2]AP Balanced'!$Q$1:$T$542,4,FALSE)</f>
        <v>0</v>
      </c>
      <c r="Y254" s="77">
        <f t="shared" si="570"/>
        <v>1</v>
      </c>
      <c r="Z254" s="77">
        <f t="shared" si="559"/>
        <v>6.1674999999999987E-2</v>
      </c>
      <c r="AA254" s="77">
        <f t="shared" si="560"/>
        <v>4.9997781870025904E-3</v>
      </c>
      <c r="AB254" s="79">
        <v>1</v>
      </c>
      <c r="AC254" s="77">
        <f t="shared" si="524"/>
        <v>8.0555555555555554E-3</v>
      </c>
      <c r="AD254" s="77">
        <f t="shared" si="515"/>
        <v>6.7378764057135498E-4</v>
      </c>
      <c r="AE254" s="77">
        <f t="shared" si="525"/>
        <v>2.5000000000000001E-3</v>
      </c>
      <c r="AF254" s="77">
        <f t="shared" si="515"/>
        <v>2.0857243058891584E-4</v>
      </c>
      <c r="AH254" t="s">
        <v>175</v>
      </c>
      <c r="AI254" t="s">
        <v>176</v>
      </c>
      <c r="AJ254" s="197" t="str">
        <f t="shared" si="571"/>
        <v>Lifecycle_Balanced_291</v>
      </c>
      <c r="AK254">
        <v>291</v>
      </c>
      <c r="AL254">
        <f>VLOOKUP($U254,[2]Standard_Balanced!$Q$1:$T$542,2,FALSE)</f>
        <v>0.77777777777777779</v>
      </c>
      <c r="AM254">
        <f>VLOOKUP($U254,[2]Standard_Balanced!$Q$1:$T$542,3,FALSE)</f>
        <v>0.22222222222222221</v>
      </c>
      <c r="AN254">
        <f>VLOOKUP($U254,[2]Standard_Balanced!$Q$1:$T$542,4,FALSE)</f>
        <v>0</v>
      </c>
      <c r="AO254" s="77">
        <f t="shared" si="501"/>
        <v>1</v>
      </c>
      <c r="AP254" s="77">
        <f t="shared" si="526"/>
        <v>6.1674999999999987E-2</v>
      </c>
      <c r="AQ254" s="77">
        <f t="shared" si="572"/>
        <v>4.9997781870025904E-3</v>
      </c>
      <c r="AR254" s="79">
        <v>0</v>
      </c>
      <c r="AS254" s="77">
        <f t="shared" si="527"/>
        <v>0</v>
      </c>
      <c r="AT254" s="77">
        <f t="shared" ref="AT254" si="653">1-(1-AS254)^(1/12)</f>
        <v>0</v>
      </c>
      <c r="AU254" s="77">
        <f t="shared" si="529"/>
        <v>2.5000000000000001E-3</v>
      </c>
      <c r="AV254" s="77">
        <f t="shared" ref="AV254" si="654">1-(1-AU254)^(1/12)</f>
        <v>2.0857243058891584E-4</v>
      </c>
      <c r="AX254" t="s">
        <v>178</v>
      </c>
      <c r="AY254" t="s">
        <v>160</v>
      </c>
      <c r="AZ254" s="197" t="str">
        <f t="shared" si="575"/>
        <v>DIS_Non-Standard_291</v>
      </c>
      <c r="BA254">
        <v>291</v>
      </c>
      <c r="BB254">
        <f>VLOOKUP($BA254,'[2]NonStandard DIS'!$Q$1:$X$542,2,FALSE)</f>
        <v>0</v>
      </c>
      <c r="BC254">
        <f>VLOOKUP($BA254,'[2]NonStandard DIS'!$Q$1:$X$542,3,FALSE)</f>
        <v>0</v>
      </c>
      <c r="BD254">
        <f>VLOOKUP($BA254,'[2]NonStandard DIS'!$Q$1:$X$542,4,FALSE)</f>
        <v>0.308</v>
      </c>
      <c r="BE254">
        <f>VLOOKUP($BA254,'[2]NonStandard DIS'!$Q$1:$X$542,5,FALSE)</f>
        <v>0.69199999999999995</v>
      </c>
      <c r="BF254">
        <f>VLOOKUP($BA254,'[2]NonStandard DIS'!$Q$1:$X$542,6,FALSE)</f>
        <v>0</v>
      </c>
      <c r="BG254">
        <f>VLOOKUP($BA254,'[2]NonStandard DIS'!$Q$1:$X$542,7,FALSE)</f>
        <v>0</v>
      </c>
      <c r="BH254">
        <f>VLOOKUP($BA254,'[2]NonStandard DIS'!$Q$1:$X$542,8,FALSE)</f>
        <v>0</v>
      </c>
      <c r="BI254" s="77">
        <f t="shared" si="518"/>
        <v>1</v>
      </c>
      <c r="BJ254" s="77">
        <f t="shared" si="519"/>
        <v>6.9728499999999985E-2</v>
      </c>
      <c r="BK254" s="77">
        <f t="shared" si="500"/>
        <v>5.632878498097682E-3</v>
      </c>
      <c r="BL254" s="79">
        <v>0</v>
      </c>
      <c r="BM254" s="77">
        <f t="shared" si="531"/>
        <v>0</v>
      </c>
      <c r="BN254" s="77">
        <f t="shared" si="532"/>
        <v>0</v>
      </c>
      <c r="BO254" s="77">
        <f t="shared" si="533"/>
        <v>5.6775999999999997E-3</v>
      </c>
      <c r="BP254" s="77">
        <f t="shared" si="534"/>
        <v>4.7190657760731725E-4</v>
      </c>
    </row>
    <row r="255" spans="1:68">
      <c r="A255" t="s">
        <v>175</v>
      </c>
      <c r="B255" t="s">
        <v>176</v>
      </c>
      <c r="C255" s="197" t="str">
        <f t="shared" si="569"/>
        <v>Lifecycle_Balanced_290</v>
      </c>
      <c r="D255">
        <v>290</v>
      </c>
      <c r="E255">
        <f>VLOOKUP($D255,'[2]LC Balanced'!$Q$2:$U$542,2,FALSE)</f>
        <v>0</v>
      </c>
      <c r="F255">
        <f>VLOOKUP($D255,'[2]LC Balanced'!$Q$2:$U$542,3,FALSE)</f>
        <v>0.14899999999999999</v>
      </c>
      <c r="G255">
        <f>VLOOKUP($D255,'[2]LC Balanced'!$Q$2:$U$542,4,FALSE)</f>
        <v>0.85099999999999998</v>
      </c>
      <c r="H255">
        <f>VLOOKUP($D255,'[2]LC Balanced'!$Q$2:$U$542,5,FALSE)</f>
        <v>0</v>
      </c>
      <c r="I255" s="77">
        <f t="shared" si="513"/>
        <v>1</v>
      </c>
      <c r="J255" s="77">
        <f t="shared" si="514"/>
        <v>6.1987699999999986E-2</v>
      </c>
      <c r="K255" s="77">
        <f t="shared" si="504"/>
        <v>5.024442123284345E-3</v>
      </c>
      <c r="L255" s="76">
        <v>0</v>
      </c>
      <c r="M255" s="77">
        <f t="shared" si="520"/>
        <v>0</v>
      </c>
      <c r="N255" s="77">
        <f t="shared" si="521"/>
        <v>0</v>
      </c>
      <c r="O255" s="77">
        <f t="shared" si="522"/>
        <v>7.0062999999999992E-3</v>
      </c>
      <c r="P255" s="77">
        <f t="shared" si="523"/>
        <v>5.85741666996209E-4</v>
      </c>
      <c r="R255" t="s">
        <v>177</v>
      </c>
      <c r="S255" t="s">
        <v>176</v>
      </c>
      <c r="T255" s="197" t="str">
        <f t="shared" si="612"/>
        <v>Autopilot_Balanced_290</v>
      </c>
      <c r="U255">
        <v>290</v>
      </c>
      <c r="V255">
        <f>VLOOKUP($U255,'[2]AP Balanced'!$Q$1:$T$542,2,FALSE)</f>
        <v>0.77777777777777779</v>
      </c>
      <c r="W255">
        <f>VLOOKUP($U255,'[2]AP Balanced'!$Q$1:$T$542,3,FALSE)</f>
        <v>0.22222222222222221</v>
      </c>
      <c r="X255">
        <f>VLOOKUP($U255,'[2]AP Balanced'!$Q$1:$T$542,4,FALSE)</f>
        <v>0</v>
      </c>
      <c r="Y255" s="77">
        <f t="shared" si="570"/>
        <v>1</v>
      </c>
      <c r="Z255" s="77">
        <f t="shared" si="559"/>
        <v>6.1674999999999987E-2</v>
      </c>
      <c r="AA255" s="77">
        <f t="shared" si="560"/>
        <v>4.9997781870025904E-3</v>
      </c>
      <c r="AB255" s="79">
        <v>1</v>
      </c>
      <c r="AC255" s="77">
        <f t="shared" si="524"/>
        <v>8.0555555555555554E-3</v>
      </c>
      <c r="AD255" s="77">
        <f t="shared" si="515"/>
        <v>6.7378764057135498E-4</v>
      </c>
      <c r="AE255" s="77">
        <f t="shared" si="525"/>
        <v>2.5000000000000001E-3</v>
      </c>
      <c r="AF255" s="77">
        <f t="shared" si="515"/>
        <v>2.0857243058891584E-4</v>
      </c>
      <c r="AH255" t="s">
        <v>175</v>
      </c>
      <c r="AI255" t="s">
        <v>176</v>
      </c>
      <c r="AJ255" s="197" t="str">
        <f t="shared" si="571"/>
        <v>Lifecycle_Balanced_290</v>
      </c>
      <c r="AK255">
        <v>290</v>
      </c>
      <c r="AL255">
        <f>VLOOKUP($U255,[2]Standard_Balanced!$Q$1:$T$542,2,FALSE)</f>
        <v>0.77777777777777779</v>
      </c>
      <c r="AM255">
        <f>VLOOKUP($U255,[2]Standard_Balanced!$Q$1:$T$542,3,FALSE)</f>
        <v>0.22222222222222221</v>
      </c>
      <c r="AN255">
        <f>VLOOKUP($U255,[2]Standard_Balanced!$Q$1:$T$542,4,FALSE)</f>
        <v>0</v>
      </c>
      <c r="AO255" s="77">
        <f t="shared" si="501"/>
        <v>1</v>
      </c>
      <c r="AP255" s="77">
        <f t="shared" si="526"/>
        <v>6.1674999999999987E-2</v>
      </c>
      <c r="AQ255" s="77">
        <f t="shared" si="572"/>
        <v>4.9997781870025904E-3</v>
      </c>
      <c r="AR255" s="79">
        <v>0</v>
      </c>
      <c r="AS255" s="77">
        <f t="shared" si="527"/>
        <v>0</v>
      </c>
      <c r="AT255" s="77">
        <f t="shared" ref="AT255" si="655">1-(1-AS255)^(1/12)</f>
        <v>0</v>
      </c>
      <c r="AU255" s="77">
        <f t="shared" si="529"/>
        <v>2.5000000000000001E-3</v>
      </c>
      <c r="AV255" s="77">
        <f t="shared" ref="AV255" si="656">1-(1-AU255)^(1/12)</f>
        <v>2.0857243058891584E-4</v>
      </c>
      <c r="AX255" t="s">
        <v>178</v>
      </c>
      <c r="AY255" t="s">
        <v>160</v>
      </c>
      <c r="AZ255" s="197" t="str">
        <f t="shared" si="575"/>
        <v>DIS_Non-Standard_290</v>
      </c>
      <c r="BA255">
        <v>290</v>
      </c>
      <c r="BB255">
        <f>VLOOKUP($BA255,'[2]NonStandard DIS'!$Q$1:$X$542,2,FALSE)</f>
        <v>0</v>
      </c>
      <c r="BC255">
        <f>VLOOKUP($BA255,'[2]NonStandard DIS'!$Q$1:$X$542,3,FALSE)</f>
        <v>0</v>
      </c>
      <c r="BD255">
        <f>VLOOKUP($BA255,'[2]NonStandard DIS'!$Q$1:$X$542,4,FALSE)</f>
        <v>0.308</v>
      </c>
      <c r="BE255">
        <f>VLOOKUP($BA255,'[2]NonStandard DIS'!$Q$1:$X$542,5,FALSE)</f>
        <v>0.69199999999999995</v>
      </c>
      <c r="BF255">
        <f>VLOOKUP($BA255,'[2]NonStandard DIS'!$Q$1:$X$542,6,FALSE)</f>
        <v>0</v>
      </c>
      <c r="BG255">
        <f>VLOOKUP($BA255,'[2]NonStandard DIS'!$Q$1:$X$542,7,FALSE)</f>
        <v>0</v>
      </c>
      <c r="BH255">
        <f>VLOOKUP($BA255,'[2]NonStandard DIS'!$Q$1:$X$542,8,FALSE)</f>
        <v>0</v>
      </c>
      <c r="BI255" s="77">
        <f t="shared" si="518"/>
        <v>1</v>
      </c>
      <c r="BJ255" s="77">
        <f t="shared" si="519"/>
        <v>6.9728499999999985E-2</v>
      </c>
      <c r="BK255" s="77">
        <f t="shared" ref="BK255:BK318" si="657">(1+BJ255)^(1/12)-1</f>
        <v>5.632878498097682E-3</v>
      </c>
      <c r="BL255" s="79">
        <v>0</v>
      </c>
      <c r="BM255" s="77">
        <f t="shared" si="531"/>
        <v>0</v>
      </c>
      <c r="BN255" s="77">
        <f t="shared" si="532"/>
        <v>0</v>
      </c>
      <c r="BO255" s="77">
        <f t="shared" si="533"/>
        <v>5.6775999999999997E-3</v>
      </c>
      <c r="BP255" s="77">
        <f t="shared" si="534"/>
        <v>4.7190657760731725E-4</v>
      </c>
    </row>
    <row r="256" spans="1:68">
      <c r="A256" t="s">
        <v>175</v>
      </c>
      <c r="B256" t="s">
        <v>176</v>
      </c>
      <c r="C256" s="197" t="str">
        <f t="shared" si="569"/>
        <v>Lifecycle_Balanced_289</v>
      </c>
      <c r="D256">
        <v>289</v>
      </c>
      <c r="E256">
        <f>VLOOKUP($D256,'[2]LC Balanced'!$Q$2:$U$542,2,FALSE)</f>
        <v>0</v>
      </c>
      <c r="F256">
        <f>VLOOKUP($D256,'[2]LC Balanced'!$Q$2:$U$542,3,FALSE)</f>
        <v>0.14899999999999999</v>
      </c>
      <c r="G256">
        <f>VLOOKUP($D256,'[2]LC Balanced'!$Q$2:$U$542,4,FALSE)</f>
        <v>0.85099999999999998</v>
      </c>
      <c r="H256">
        <f>VLOOKUP($D256,'[2]LC Balanced'!$Q$2:$U$542,5,FALSE)</f>
        <v>0</v>
      </c>
      <c r="I256" s="77">
        <f t="shared" si="513"/>
        <v>1</v>
      </c>
      <c r="J256" s="77">
        <f t="shared" si="514"/>
        <v>6.1987699999999986E-2</v>
      </c>
      <c r="K256" s="77">
        <f t="shared" si="504"/>
        <v>5.024442123284345E-3</v>
      </c>
      <c r="L256" s="76">
        <v>0</v>
      </c>
      <c r="M256" s="77">
        <f t="shared" si="520"/>
        <v>0</v>
      </c>
      <c r="N256" s="77">
        <f t="shared" si="521"/>
        <v>0</v>
      </c>
      <c r="O256" s="77">
        <f t="shared" si="522"/>
        <v>7.0062999999999992E-3</v>
      </c>
      <c r="P256" s="77">
        <f t="shared" si="523"/>
        <v>5.85741666996209E-4</v>
      </c>
      <c r="R256" t="s">
        <v>177</v>
      </c>
      <c r="S256" t="s">
        <v>176</v>
      </c>
      <c r="T256" s="197" t="str">
        <f t="shared" si="612"/>
        <v>Autopilot_Balanced_289</v>
      </c>
      <c r="U256">
        <v>289</v>
      </c>
      <c r="V256">
        <f>VLOOKUP($U256,'[2]AP Balanced'!$Q$1:$T$542,2,FALSE)</f>
        <v>0.77777777777777779</v>
      </c>
      <c r="W256">
        <f>VLOOKUP($U256,'[2]AP Balanced'!$Q$1:$T$542,3,FALSE)</f>
        <v>0.22222222222222221</v>
      </c>
      <c r="X256">
        <f>VLOOKUP($U256,'[2]AP Balanced'!$Q$1:$T$542,4,FALSE)</f>
        <v>0</v>
      </c>
      <c r="Y256" s="77">
        <f t="shared" si="570"/>
        <v>1</v>
      </c>
      <c r="Z256" s="77">
        <f t="shared" si="559"/>
        <v>6.1674999999999987E-2</v>
      </c>
      <c r="AA256" s="77">
        <f t="shared" si="560"/>
        <v>4.9997781870025904E-3</v>
      </c>
      <c r="AB256" s="79">
        <v>1</v>
      </c>
      <c r="AC256" s="77">
        <f t="shared" si="524"/>
        <v>8.0555555555555554E-3</v>
      </c>
      <c r="AD256" s="77">
        <f t="shared" si="515"/>
        <v>6.7378764057135498E-4</v>
      </c>
      <c r="AE256" s="77">
        <f t="shared" si="525"/>
        <v>2.5000000000000001E-3</v>
      </c>
      <c r="AF256" s="77">
        <f t="shared" si="515"/>
        <v>2.0857243058891584E-4</v>
      </c>
      <c r="AH256" t="s">
        <v>175</v>
      </c>
      <c r="AI256" t="s">
        <v>176</v>
      </c>
      <c r="AJ256" s="197" t="str">
        <f t="shared" si="571"/>
        <v>Lifecycle_Balanced_289</v>
      </c>
      <c r="AK256">
        <v>289</v>
      </c>
      <c r="AL256">
        <f>VLOOKUP($U256,[2]Standard_Balanced!$Q$1:$T$542,2,FALSE)</f>
        <v>0.77777777777777779</v>
      </c>
      <c r="AM256">
        <f>VLOOKUP($U256,[2]Standard_Balanced!$Q$1:$T$542,3,FALSE)</f>
        <v>0.22222222222222221</v>
      </c>
      <c r="AN256">
        <f>VLOOKUP($U256,[2]Standard_Balanced!$Q$1:$T$542,4,FALSE)</f>
        <v>0</v>
      </c>
      <c r="AO256" s="77">
        <f t="shared" ref="AO256:AO319" si="658">SUM(AL256:AN256)</f>
        <v>1</v>
      </c>
      <c r="AP256" s="77">
        <f t="shared" si="526"/>
        <v>6.1674999999999987E-2</v>
      </c>
      <c r="AQ256" s="77">
        <f t="shared" si="572"/>
        <v>4.9997781870025904E-3</v>
      </c>
      <c r="AR256" s="79">
        <v>0</v>
      </c>
      <c r="AS256" s="77">
        <f t="shared" si="527"/>
        <v>0</v>
      </c>
      <c r="AT256" s="77">
        <f t="shared" ref="AT256" si="659">1-(1-AS256)^(1/12)</f>
        <v>0</v>
      </c>
      <c r="AU256" s="77">
        <f t="shared" si="529"/>
        <v>2.5000000000000001E-3</v>
      </c>
      <c r="AV256" s="77">
        <f t="shared" ref="AV256" si="660">1-(1-AU256)^(1/12)</f>
        <v>2.0857243058891584E-4</v>
      </c>
      <c r="AX256" t="s">
        <v>178</v>
      </c>
      <c r="AY256" t="s">
        <v>160</v>
      </c>
      <c r="AZ256" s="197" t="str">
        <f t="shared" si="575"/>
        <v>DIS_Non-Standard_289</v>
      </c>
      <c r="BA256">
        <v>289</v>
      </c>
      <c r="BB256">
        <f>VLOOKUP($BA256,'[2]NonStandard DIS'!$Q$1:$X$542,2,FALSE)</f>
        <v>0</v>
      </c>
      <c r="BC256">
        <f>VLOOKUP($BA256,'[2]NonStandard DIS'!$Q$1:$X$542,3,FALSE)</f>
        <v>0</v>
      </c>
      <c r="BD256">
        <f>VLOOKUP($BA256,'[2]NonStandard DIS'!$Q$1:$X$542,4,FALSE)</f>
        <v>0.308</v>
      </c>
      <c r="BE256">
        <f>VLOOKUP($BA256,'[2]NonStandard DIS'!$Q$1:$X$542,5,FALSE)</f>
        <v>0.69199999999999995</v>
      </c>
      <c r="BF256">
        <f>VLOOKUP($BA256,'[2]NonStandard DIS'!$Q$1:$X$542,6,FALSE)</f>
        <v>0</v>
      </c>
      <c r="BG256">
        <f>VLOOKUP($BA256,'[2]NonStandard DIS'!$Q$1:$X$542,7,FALSE)</f>
        <v>0</v>
      </c>
      <c r="BH256">
        <f>VLOOKUP($BA256,'[2]NonStandard DIS'!$Q$1:$X$542,8,FALSE)</f>
        <v>0</v>
      </c>
      <c r="BI256" s="77">
        <f t="shared" si="518"/>
        <v>1</v>
      </c>
      <c r="BJ256" s="77">
        <f t="shared" si="519"/>
        <v>6.9728499999999985E-2</v>
      </c>
      <c r="BK256" s="77">
        <f t="shared" si="657"/>
        <v>5.632878498097682E-3</v>
      </c>
      <c r="BL256" s="79">
        <v>0</v>
      </c>
      <c r="BM256" s="77">
        <f t="shared" si="531"/>
        <v>0</v>
      </c>
      <c r="BN256" s="77">
        <f t="shared" si="532"/>
        <v>0</v>
      </c>
      <c r="BO256" s="77">
        <f t="shared" si="533"/>
        <v>5.6775999999999997E-3</v>
      </c>
      <c r="BP256" s="77">
        <f t="shared" si="534"/>
        <v>4.7190657760731725E-4</v>
      </c>
    </row>
    <row r="257" spans="1:68">
      <c r="A257" t="s">
        <v>175</v>
      </c>
      <c r="B257" t="s">
        <v>176</v>
      </c>
      <c r="C257" s="197" t="str">
        <f t="shared" si="569"/>
        <v>Lifecycle_Balanced_288</v>
      </c>
      <c r="D257">
        <v>288</v>
      </c>
      <c r="E257">
        <f>VLOOKUP($D257,'[2]LC Balanced'!$Q$2:$U$542,2,FALSE)</f>
        <v>0</v>
      </c>
      <c r="F257">
        <f>VLOOKUP($D257,'[2]LC Balanced'!$Q$2:$U$542,3,FALSE)</f>
        <v>0.14899999999999999</v>
      </c>
      <c r="G257">
        <f>VLOOKUP($D257,'[2]LC Balanced'!$Q$2:$U$542,4,FALSE)</f>
        <v>0.85099999999999998</v>
      </c>
      <c r="H257">
        <f>VLOOKUP($D257,'[2]LC Balanced'!$Q$2:$U$542,5,FALSE)</f>
        <v>0</v>
      </c>
      <c r="I257" s="77">
        <f t="shared" si="513"/>
        <v>1</v>
      </c>
      <c r="J257" s="77">
        <f t="shared" si="514"/>
        <v>6.1987699999999986E-2</v>
      </c>
      <c r="K257" s="77">
        <f t="shared" ref="K257:K320" si="661">(1+J257)^(1/12)-1</f>
        <v>5.024442123284345E-3</v>
      </c>
      <c r="L257" s="76">
        <v>0</v>
      </c>
      <c r="M257" s="77">
        <f t="shared" si="520"/>
        <v>0</v>
      </c>
      <c r="N257" s="77">
        <f t="shared" si="521"/>
        <v>0</v>
      </c>
      <c r="O257" s="77">
        <f t="shared" si="522"/>
        <v>7.0062999999999992E-3</v>
      </c>
      <c r="P257" s="77">
        <f t="shared" si="523"/>
        <v>5.85741666996209E-4</v>
      </c>
      <c r="R257" t="s">
        <v>177</v>
      </c>
      <c r="S257" t="s">
        <v>176</v>
      </c>
      <c r="T257" s="197" t="str">
        <f t="shared" si="612"/>
        <v>Autopilot_Balanced_288</v>
      </c>
      <c r="U257">
        <v>288</v>
      </c>
      <c r="V257">
        <f>VLOOKUP($U257,'[2]AP Balanced'!$Q$1:$T$542,2,FALSE)</f>
        <v>0.77777777777777779</v>
      </c>
      <c r="W257">
        <f>VLOOKUP($U257,'[2]AP Balanced'!$Q$1:$T$542,3,FALSE)</f>
        <v>0.22222222222222221</v>
      </c>
      <c r="X257">
        <f>VLOOKUP($U257,'[2]AP Balanced'!$Q$1:$T$542,4,FALSE)</f>
        <v>0</v>
      </c>
      <c r="Y257" s="77">
        <f t="shared" si="570"/>
        <v>1</v>
      </c>
      <c r="Z257" s="77">
        <f t="shared" si="559"/>
        <v>6.1674999999999987E-2</v>
      </c>
      <c r="AA257" s="77">
        <f t="shared" si="560"/>
        <v>4.9997781870025904E-3</v>
      </c>
      <c r="AB257" s="79">
        <v>1</v>
      </c>
      <c r="AC257" s="77">
        <f t="shared" si="524"/>
        <v>8.0555555555555554E-3</v>
      </c>
      <c r="AD257" s="77">
        <f t="shared" si="515"/>
        <v>6.7378764057135498E-4</v>
      </c>
      <c r="AE257" s="77">
        <f t="shared" si="525"/>
        <v>2.5000000000000001E-3</v>
      </c>
      <c r="AF257" s="77">
        <f t="shared" si="515"/>
        <v>2.0857243058891584E-4</v>
      </c>
      <c r="AH257" t="s">
        <v>175</v>
      </c>
      <c r="AI257" t="s">
        <v>176</v>
      </c>
      <c r="AJ257" s="197" t="str">
        <f t="shared" si="571"/>
        <v>Lifecycle_Balanced_288</v>
      </c>
      <c r="AK257">
        <v>288</v>
      </c>
      <c r="AL257">
        <f>VLOOKUP($U257,[2]Standard_Balanced!$Q$1:$T$542,2,FALSE)</f>
        <v>0.77777777777777779</v>
      </c>
      <c r="AM257">
        <f>VLOOKUP($U257,[2]Standard_Balanced!$Q$1:$T$542,3,FALSE)</f>
        <v>0.22222222222222221</v>
      </c>
      <c r="AN257">
        <f>VLOOKUP($U257,[2]Standard_Balanced!$Q$1:$T$542,4,FALSE)</f>
        <v>0</v>
      </c>
      <c r="AO257" s="77">
        <f t="shared" si="658"/>
        <v>1</v>
      </c>
      <c r="AP257" s="77">
        <f t="shared" si="526"/>
        <v>6.1674999999999987E-2</v>
      </c>
      <c r="AQ257" s="77">
        <f t="shared" si="572"/>
        <v>4.9997781870025904E-3</v>
      </c>
      <c r="AR257" s="79">
        <v>0</v>
      </c>
      <c r="AS257" s="77">
        <f t="shared" si="527"/>
        <v>0</v>
      </c>
      <c r="AT257" s="77">
        <f t="shared" ref="AT257" si="662">1-(1-AS257)^(1/12)</f>
        <v>0</v>
      </c>
      <c r="AU257" s="77">
        <f t="shared" si="529"/>
        <v>2.5000000000000001E-3</v>
      </c>
      <c r="AV257" s="77">
        <f t="shared" ref="AV257" si="663">1-(1-AU257)^(1/12)</f>
        <v>2.0857243058891584E-4</v>
      </c>
      <c r="AX257" t="s">
        <v>178</v>
      </c>
      <c r="AY257" t="s">
        <v>160</v>
      </c>
      <c r="AZ257" s="197" t="str">
        <f t="shared" si="575"/>
        <v>DIS_Non-Standard_288</v>
      </c>
      <c r="BA257">
        <v>288</v>
      </c>
      <c r="BB257">
        <f>VLOOKUP($BA257,'[2]NonStandard DIS'!$Q$1:$X$542,2,FALSE)</f>
        <v>0</v>
      </c>
      <c r="BC257">
        <f>VLOOKUP($BA257,'[2]NonStandard DIS'!$Q$1:$X$542,3,FALSE)</f>
        <v>0</v>
      </c>
      <c r="BD257">
        <f>VLOOKUP($BA257,'[2]NonStandard DIS'!$Q$1:$X$542,4,FALSE)</f>
        <v>0.308</v>
      </c>
      <c r="BE257">
        <f>VLOOKUP($BA257,'[2]NonStandard DIS'!$Q$1:$X$542,5,FALSE)</f>
        <v>0.69199999999999995</v>
      </c>
      <c r="BF257">
        <f>VLOOKUP($BA257,'[2]NonStandard DIS'!$Q$1:$X$542,6,FALSE)</f>
        <v>0</v>
      </c>
      <c r="BG257">
        <f>VLOOKUP($BA257,'[2]NonStandard DIS'!$Q$1:$X$542,7,FALSE)</f>
        <v>0</v>
      </c>
      <c r="BH257">
        <f>VLOOKUP($BA257,'[2]NonStandard DIS'!$Q$1:$X$542,8,FALSE)</f>
        <v>0</v>
      </c>
      <c r="BI257" s="77">
        <f t="shared" si="518"/>
        <v>1</v>
      </c>
      <c r="BJ257" s="77">
        <f t="shared" si="519"/>
        <v>6.9728499999999985E-2</v>
      </c>
      <c r="BK257" s="77">
        <f t="shared" si="657"/>
        <v>5.632878498097682E-3</v>
      </c>
      <c r="BL257" s="79">
        <v>0</v>
      </c>
      <c r="BM257" s="77">
        <f t="shared" si="531"/>
        <v>0</v>
      </c>
      <c r="BN257" s="77">
        <f t="shared" si="532"/>
        <v>0</v>
      </c>
      <c r="BO257" s="77">
        <f t="shared" si="533"/>
        <v>5.6775999999999997E-3</v>
      </c>
      <c r="BP257" s="77">
        <f t="shared" si="534"/>
        <v>4.7190657760731725E-4</v>
      </c>
    </row>
    <row r="258" spans="1:68">
      <c r="A258" t="s">
        <v>175</v>
      </c>
      <c r="B258" t="s">
        <v>176</v>
      </c>
      <c r="C258" s="197" t="str">
        <f t="shared" si="569"/>
        <v>Lifecycle_Balanced_287</v>
      </c>
      <c r="D258">
        <v>287</v>
      </c>
      <c r="E258">
        <f>VLOOKUP($D258,'[2]LC Balanced'!$Q$2:$U$542,2,FALSE)</f>
        <v>0</v>
      </c>
      <c r="F258">
        <f>VLOOKUP($D258,'[2]LC Balanced'!$Q$2:$U$542,3,FALSE)</f>
        <v>0.14899999999999999</v>
      </c>
      <c r="G258">
        <f>VLOOKUP($D258,'[2]LC Balanced'!$Q$2:$U$542,4,FALSE)</f>
        <v>0.85099999999999998</v>
      </c>
      <c r="H258">
        <f>VLOOKUP($D258,'[2]LC Balanced'!$Q$2:$U$542,5,FALSE)</f>
        <v>0</v>
      </c>
      <c r="I258" s="77">
        <f t="shared" si="513"/>
        <v>1</v>
      </c>
      <c r="J258" s="77">
        <f t="shared" si="514"/>
        <v>6.1987699999999986E-2</v>
      </c>
      <c r="K258" s="77">
        <f t="shared" si="661"/>
        <v>5.024442123284345E-3</v>
      </c>
      <c r="L258" s="76">
        <v>0</v>
      </c>
      <c r="M258" s="77">
        <f t="shared" si="520"/>
        <v>0</v>
      </c>
      <c r="N258" s="77">
        <f t="shared" si="521"/>
        <v>0</v>
      </c>
      <c r="O258" s="77">
        <f t="shared" si="522"/>
        <v>7.0062999999999992E-3</v>
      </c>
      <c r="P258" s="77">
        <f t="shared" si="523"/>
        <v>5.85741666996209E-4</v>
      </c>
      <c r="R258" t="s">
        <v>177</v>
      </c>
      <c r="S258" t="s">
        <v>176</v>
      </c>
      <c r="T258" s="197" t="str">
        <f t="shared" si="612"/>
        <v>Autopilot_Balanced_287</v>
      </c>
      <c r="U258">
        <v>287</v>
      </c>
      <c r="V258">
        <f>VLOOKUP($U258,'[2]AP Balanced'!$Q$1:$T$542,2,FALSE)</f>
        <v>0.77777777777777779</v>
      </c>
      <c r="W258">
        <f>VLOOKUP($U258,'[2]AP Balanced'!$Q$1:$T$542,3,FALSE)</f>
        <v>0.22222222222222221</v>
      </c>
      <c r="X258">
        <f>VLOOKUP($U258,'[2]AP Balanced'!$Q$1:$T$542,4,FALSE)</f>
        <v>0</v>
      </c>
      <c r="Y258" s="77">
        <f t="shared" si="570"/>
        <v>1</v>
      </c>
      <c r="Z258" s="77">
        <f t="shared" si="559"/>
        <v>6.1674999999999987E-2</v>
      </c>
      <c r="AA258" s="77">
        <f t="shared" si="560"/>
        <v>4.9997781870025904E-3</v>
      </c>
      <c r="AB258" s="79">
        <v>1</v>
      </c>
      <c r="AC258" s="77">
        <f t="shared" si="524"/>
        <v>8.0555555555555554E-3</v>
      </c>
      <c r="AD258" s="77">
        <f t="shared" si="515"/>
        <v>6.7378764057135498E-4</v>
      </c>
      <c r="AE258" s="77">
        <f t="shared" si="525"/>
        <v>2.5000000000000001E-3</v>
      </c>
      <c r="AF258" s="77">
        <f t="shared" si="515"/>
        <v>2.0857243058891584E-4</v>
      </c>
      <c r="AH258" t="s">
        <v>175</v>
      </c>
      <c r="AI258" t="s">
        <v>176</v>
      </c>
      <c r="AJ258" s="197" t="str">
        <f t="shared" si="571"/>
        <v>Lifecycle_Balanced_287</v>
      </c>
      <c r="AK258">
        <v>287</v>
      </c>
      <c r="AL258">
        <f>VLOOKUP($U258,[2]Standard_Balanced!$Q$1:$T$542,2,FALSE)</f>
        <v>0.77777777777777779</v>
      </c>
      <c r="AM258">
        <f>VLOOKUP($U258,[2]Standard_Balanced!$Q$1:$T$542,3,FALSE)</f>
        <v>0.22222222222222221</v>
      </c>
      <c r="AN258">
        <f>VLOOKUP($U258,[2]Standard_Balanced!$Q$1:$T$542,4,FALSE)</f>
        <v>0</v>
      </c>
      <c r="AO258" s="77">
        <f t="shared" si="658"/>
        <v>1</v>
      </c>
      <c r="AP258" s="77">
        <f t="shared" si="526"/>
        <v>6.1674999999999987E-2</v>
      </c>
      <c r="AQ258" s="77">
        <f t="shared" si="572"/>
        <v>4.9997781870025904E-3</v>
      </c>
      <c r="AR258" s="79">
        <v>0</v>
      </c>
      <c r="AS258" s="77">
        <f t="shared" si="527"/>
        <v>0</v>
      </c>
      <c r="AT258" s="77">
        <f t="shared" ref="AT258" si="664">1-(1-AS258)^(1/12)</f>
        <v>0</v>
      </c>
      <c r="AU258" s="77">
        <f t="shared" si="529"/>
        <v>2.5000000000000001E-3</v>
      </c>
      <c r="AV258" s="77">
        <f t="shared" ref="AV258" si="665">1-(1-AU258)^(1/12)</f>
        <v>2.0857243058891584E-4</v>
      </c>
      <c r="AX258" t="s">
        <v>178</v>
      </c>
      <c r="AY258" t="s">
        <v>160</v>
      </c>
      <c r="AZ258" s="197" t="str">
        <f t="shared" si="575"/>
        <v>DIS_Non-Standard_287</v>
      </c>
      <c r="BA258">
        <v>287</v>
      </c>
      <c r="BB258">
        <f>VLOOKUP($BA258,'[2]NonStandard DIS'!$Q$1:$X$542,2,FALSE)</f>
        <v>0</v>
      </c>
      <c r="BC258">
        <f>VLOOKUP($BA258,'[2]NonStandard DIS'!$Q$1:$X$542,3,FALSE)</f>
        <v>0</v>
      </c>
      <c r="BD258">
        <f>VLOOKUP($BA258,'[2]NonStandard DIS'!$Q$1:$X$542,4,FALSE)</f>
        <v>0.308</v>
      </c>
      <c r="BE258">
        <f>VLOOKUP($BA258,'[2]NonStandard DIS'!$Q$1:$X$542,5,FALSE)</f>
        <v>0.69199999999999995</v>
      </c>
      <c r="BF258">
        <f>VLOOKUP($BA258,'[2]NonStandard DIS'!$Q$1:$X$542,6,FALSE)</f>
        <v>0</v>
      </c>
      <c r="BG258">
        <f>VLOOKUP($BA258,'[2]NonStandard DIS'!$Q$1:$X$542,7,FALSE)</f>
        <v>0</v>
      </c>
      <c r="BH258">
        <f>VLOOKUP($BA258,'[2]NonStandard DIS'!$Q$1:$X$542,8,FALSE)</f>
        <v>0</v>
      </c>
      <c r="BI258" s="77">
        <f t="shared" si="518"/>
        <v>1</v>
      </c>
      <c r="BJ258" s="77">
        <f t="shared" si="519"/>
        <v>6.9728499999999985E-2</v>
      </c>
      <c r="BK258" s="77">
        <f t="shared" si="657"/>
        <v>5.632878498097682E-3</v>
      </c>
      <c r="BL258" s="79">
        <v>0</v>
      </c>
      <c r="BM258" s="77">
        <f t="shared" si="531"/>
        <v>0</v>
      </c>
      <c r="BN258" s="77">
        <f t="shared" si="532"/>
        <v>0</v>
      </c>
      <c r="BO258" s="77">
        <f t="shared" si="533"/>
        <v>5.6775999999999997E-3</v>
      </c>
      <c r="BP258" s="77">
        <f t="shared" si="534"/>
        <v>4.7190657760731725E-4</v>
      </c>
    </row>
    <row r="259" spans="1:68">
      <c r="A259" t="s">
        <v>175</v>
      </c>
      <c r="B259" t="s">
        <v>176</v>
      </c>
      <c r="C259" s="197" t="str">
        <f t="shared" si="569"/>
        <v>Lifecycle_Balanced_286</v>
      </c>
      <c r="D259">
        <v>286</v>
      </c>
      <c r="E259">
        <f>VLOOKUP($D259,'[2]LC Balanced'!$Q$2:$U$542,2,FALSE)</f>
        <v>0</v>
      </c>
      <c r="F259">
        <f>VLOOKUP($D259,'[2]LC Balanced'!$Q$2:$U$542,3,FALSE)</f>
        <v>0.14899999999999999</v>
      </c>
      <c r="G259">
        <f>VLOOKUP($D259,'[2]LC Balanced'!$Q$2:$U$542,4,FALSE)</f>
        <v>0.85099999999999998</v>
      </c>
      <c r="H259">
        <f>VLOOKUP($D259,'[2]LC Balanced'!$Q$2:$U$542,5,FALSE)</f>
        <v>0</v>
      </c>
      <c r="I259" s="77">
        <f t="shared" si="513"/>
        <v>1</v>
      </c>
      <c r="J259" s="77">
        <f t="shared" si="514"/>
        <v>6.1987699999999986E-2</v>
      </c>
      <c r="K259" s="77">
        <f t="shared" si="661"/>
        <v>5.024442123284345E-3</v>
      </c>
      <c r="L259" s="76">
        <v>0</v>
      </c>
      <c r="M259" s="77">
        <f t="shared" si="520"/>
        <v>0</v>
      </c>
      <c r="N259" s="77">
        <f t="shared" si="521"/>
        <v>0</v>
      </c>
      <c r="O259" s="77">
        <f t="shared" si="522"/>
        <v>7.0062999999999992E-3</v>
      </c>
      <c r="P259" s="77">
        <f t="shared" si="523"/>
        <v>5.85741666996209E-4</v>
      </c>
      <c r="R259" t="s">
        <v>177</v>
      </c>
      <c r="S259" t="s">
        <v>176</v>
      </c>
      <c r="T259" s="197" t="str">
        <f t="shared" si="612"/>
        <v>Autopilot_Balanced_286</v>
      </c>
      <c r="U259">
        <v>286</v>
      </c>
      <c r="V259">
        <f>VLOOKUP($U259,'[2]AP Balanced'!$Q$1:$T$542,2,FALSE)</f>
        <v>0.77777777777777779</v>
      </c>
      <c r="W259">
        <f>VLOOKUP($U259,'[2]AP Balanced'!$Q$1:$T$542,3,FALSE)</f>
        <v>0.22222222222222221</v>
      </c>
      <c r="X259">
        <f>VLOOKUP($U259,'[2]AP Balanced'!$Q$1:$T$542,4,FALSE)</f>
        <v>0</v>
      </c>
      <c r="Y259" s="77">
        <f t="shared" si="570"/>
        <v>1</v>
      </c>
      <c r="Z259" s="77">
        <f t="shared" si="559"/>
        <v>6.1674999999999987E-2</v>
      </c>
      <c r="AA259" s="77">
        <f t="shared" si="560"/>
        <v>4.9997781870025904E-3</v>
      </c>
      <c r="AB259" s="79">
        <v>1</v>
      </c>
      <c r="AC259" s="77">
        <f t="shared" si="524"/>
        <v>8.0555555555555554E-3</v>
      </c>
      <c r="AD259" s="77">
        <f t="shared" si="515"/>
        <v>6.7378764057135498E-4</v>
      </c>
      <c r="AE259" s="77">
        <f t="shared" si="525"/>
        <v>2.5000000000000001E-3</v>
      </c>
      <c r="AF259" s="77">
        <f t="shared" si="515"/>
        <v>2.0857243058891584E-4</v>
      </c>
      <c r="AH259" t="s">
        <v>175</v>
      </c>
      <c r="AI259" t="s">
        <v>176</v>
      </c>
      <c r="AJ259" s="197" t="str">
        <f t="shared" si="571"/>
        <v>Lifecycle_Balanced_286</v>
      </c>
      <c r="AK259">
        <v>286</v>
      </c>
      <c r="AL259">
        <f>VLOOKUP($U259,[2]Standard_Balanced!$Q$1:$T$542,2,FALSE)</f>
        <v>0.77777777777777779</v>
      </c>
      <c r="AM259">
        <f>VLOOKUP($U259,[2]Standard_Balanced!$Q$1:$T$542,3,FALSE)</f>
        <v>0.22222222222222221</v>
      </c>
      <c r="AN259">
        <f>VLOOKUP($U259,[2]Standard_Balanced!$Q$1:$T$542,4,FALSE)</f>
        <v>0</v>
      </c>
      <c r="AO259" s="77">
        <f t="shared" si="658"/>
        <v>1</v>
      </c>
      <c r="AP259" s="77">
        <f t="shared" si="526"/>
        <v>6.1674999999999987E-2</v>
      </c>
      <c r="AQ259" s="77">
        <f t="shared" si="572"/>
        <v>4.9997781870025904E-3</v>
      </c>
      <c r="AR259" s="79">
        <v>0</v>
      </c>
      <c r="AS259" s="77">
        <f t="shared" si="527"/>
        <v>0</v>
      </c>
      <c r="AT259" s="77">
        <f t="shared" ref="AT259" si="666">1-(1-AS259)^(1/12)</f>
        <v>0</v>
      </c>
      <c r="AU259" s="77">
        <f t="shared" si="529"/>
        <v>2.5000000000000001E-3</v>
      </c>
      <c r="AV259" s="77">
        <f t="shared" ref="AV259" si="667">1-(1-AU259)^(1/12)</f>
        <v>2.0857243058891584E-4</v>
      </c>
      <c r="AX259" t="s">
        <v>178</v>
      </c>
      <c r="AY259" t="s">
        <v>160</v>
      </c>
      <c r="AZ259" s="197" t="str">
        <f t="shared" si="575"/>
        <v>DIS_Non-Standard_286</v>
      </c>
      <c r="BA259">
        <v>286</v>
      </c>
      <c r="BB259">
        <f>VLOOKUP($BA259,'[2]NonStandard DIS'!$Q$1:$X$542,2,FALSE)</f>
        <v>0</v>
      </c>
      <c r="BC259">
        <f>VLOOKUP($BA259,'[2]NonStandard DIS'!$Q$1:$X$542,3,FALSE)</f>
        <v>0</v>
      </c>
      <c r="BD259">
        <f>VLOOKUP($BA259,'[2]NonStandard DIS'!$Q$1:$X$542,4,FALSE)</f>
        <v>0.308</v>
      </c>
      <c r="BE259">
        <f>VLOOKUP($BA259,'[2]NonStandard DIS'!$Q$1:$X$542,5,FALSE)</f>
        <v>0.69199999999999995</v>
      </c>
      <c r="BF259">
        <f>VLOOKUP($BA259,'[2]NonStandard DIS'!$Q$1:$X$542,6,FALSE)</f>
        <v>0</v>
      </c>
      <c r="BG259">
        <f>VLOOKUP($BA259,'[2]NonStandard DIS'!$Q$1:$X$542,7,FALSE)</f>
        <v>0</v>
      </c>
      <c r="BH259">
        <f>VLOOKUP($BA259,'[2]NonStandard DIS'!$Q$1:$X$542,8,FALSE)</f>
        <v>0</v>
      </c>
      <c r="BI259" s="77">
        <f t="shared" si="518"/>
        <v>1</v>
      </c>
      <c r="BJ259" s="77">
        <f t="shared" si="519"/>
        <v>6.9728499999999985E-2</v>
      </c>
      <c r="BK259" s="77">
        <f t="shared" si="657"/>
        <v>5.632878498097682E-3</v>
      </c>
      <c r="BL259" s="79">
        <v>0</v>
      </c>
      <c r="BM259" s="77">
        <f t="shared" si="531"/>
        <v>0</v>
      </c>
      <c r="BN259" s="77">
        <f t="shared" si="532"/>
        <v>0</v>
      </c>
      <c r="BO259" s="77">
        <f t="shared" si="533"/>
        <v>5.6775999999999997E-3</v>
      </c>
      <c r="BP259" s="77">
        <f t="shared" si="534"/>
        <v>4.7190657760731725E-4</v>
      </c>
    </row>
    <row r="260" spans="1:68">
      <c r="A260" t="s">
        <v>175</v>
      </c>
      <c r="B260" t="s">
        <v>176</v>
      </c>
      <c r="C260" s="197" t="str">
        <f t="shared" si="569"/>
        <v>Lifecycle_Balanced_285</v>
      </c>
      <c r="D260">
        <v>285</v>
      </c>
      <c r="E260">
        <f>VLOOKUP($D260,'[2]LC Balanced'!$Q$2:$U$542,2,FALSE)</f>
        <v>0</v>
      </c>
      <c r="F260">
        <f>VLOOKUP($D260,'[2]LC Balanced'!$Q$2:$U$542,3,FALSE)</f>
        <v>0.14899999999999999</v>
      </c>
      <c r="G260">
        <f>VLOOKUP($D260,'[2]LC Balanced'!$Q$2:$U$542,4,FALSE)</f>
        <v>0.85099999999999998</v>
      </c>
      <c r="H260">
        <f>VLOOKUP($D260,'[2]LC Balanced'!$Q$2:$U$542,5,FALSE)</f>
        <v>0</v>
      </c>
      <c r="I260" s="77">
        <f t="shared" si="513"/>
        <v>1</v>
      </c>
      <c r="J260" s="77">
        <f t="shared" si="514"/>
        <v>6.1987699999999986E-2</v>
      </c>
      <c r="K260" s="77">
        <f t="shared" si="661"/>
        <v>5.024442123284345E-3</v>
      </c>
      <c r="L260" s="76">
        <v>0</v>
      </c>
      <c r="M260" s="77">
        <f t="shared" si="520"/>
        <v>0</v>
      </c>
      <c r="N260" s="77">
        <f t="shared" si="521"/>
        <v>0</v>
      </c>
      <c r="O260" s="77">
        <f t="shared" si="522"/>
        <v>7.0062999999999992E-3</v>
      </c>
      <c r="P260" s="77">
        <f t="shared" si="523"/>
        <v>5.85741666996209E-4</v>
      </c>
      <c r="R260" t="s">
        <v>177</v>
      </c>
      <c r="S260" t="s">
        <v>176</v>
      </c>
      <c r="T260" s="197" t="str">
        <f t="shared" si="612"/>
        <v>Autopilot_Balanced_285</v>
      </c>
      <c r="U260">
        <v>285</v>
      </c>
      <c r="V260">
        <f>VLOOKUP($U260,'[2]AP Balanced'!$Q$1:$T$542,2,FALSE)</f>
        <v>0.77777777777777779</v>
      </c>
      <c r="W260">
        <f>VLOOKUP($U260,'[2]AP Balanced'!$Q$1:$T$542,3,FALSE)</f>
        <v>0.22222222222222221</v>
      </c>
      <c r="X260">
        <f>VLOOKUP($U260,'[2]AP Balanced'!$Q$1:$T$542,4,FALSE)</f>
        <v>0</v>
      </c>
      <c r="Y260" s="77">
        <f t="shared" si="570"/>
        <v>1</v>
      </c>
      <c r="Z260" s="77">
        <f t="shared" si="559"/>
        <v>6.1674999999999987E-2</v>
      </c>
      <c r="AA260" s="77">
        <f t="shared" si="560"/>
        <v>4.9997781870025904E-3</v>
      </c>
      <c r="AB260" s="79">
        <v>1</v>
      </c>
      <c r="AC260" s="77">
        <f t="shared" si="524"/>
        <v>8.0555555555555554E-3</v>
      </c>
      <c r="AD260" s="77">
        <f t="shared" si="515"/>
        <v>6.7378764057135498E-4</v>
      </c>
      <c r="AE260" s="77">
        <f t="shared" si="525"/>
        <v>2.5000000000000001E-3</v>
      </c>
      <c r="AF260" s="77">
        <f t="shared" si="515"/>
        <v>2.0857243058891584E-4</v>
      </c>
      <c r="AH260" t="s">
        <v>175</v>
      </c>
      <c r="AI260" t="s">
        <v>176</v>
      </c>
      <c r="AJ260" s="197" t="str">
        <f t="shared" si="571"/>
        <v>Lifecycle_Balanced_285</v>
      </c>
      <c r="AK260">
        <v>285</v>
      </c>
      <c r="AL260">
        <f>VLOOKUP($U260,[2]Standard_Balanced!$Q$1:$T$542,2,FALSE)</f>
        <v>0.77777777777777779</v>
      </c>
      <c r="AM260">
        <f>VLOOKUP($U260,[2]Standard_Balanced!$Q$1:$T$542,3,FALSE)</f>
        <v>0.22222222222222221</v>
      </c>
      <c r="AN260">
        <f>VLOOKUP($U260,[2]Standard_Balanced!$Q$1:$T$542,4,FALSE)</f>
        <v>0</v>
      </c>
      <c r="AO260" s="77">
        <f t="shared" si="658"/>
        <v>1</v>
      </c>
      <c r="AP260" s="77">
        <f t="shared" si="526"/>
        <v>6.1674999999999987E-2</v>
      </c>
      <c r="AQ260" s="77">
        <f t="shared" si="572"/>
        <v>4.9997781870025904E-3</v>
      </c>
      <c r="AR260" s="79">
        <v>0</v>
      </c>
      <c r="AS260" s="77">
        <f t="shared" si="527"/>
        <v>0</v>
      </c>
      <c r="AT260" s="77">
        <f t="shared" ref="AT260" si="668">1-(1-AS260)^(1/12)</f>
        <v>0</v>
      </c>
      <c r="AU260" s="77">
        <f t="shared" si="529"/>
        <v>2.5000000000000001E-3</v>
      </c>
      <c r="AV260" s="77">
        <f t="shared" ref="AV260" si="669">1-(1-AU260)^(1/12)</f>
        <v>2.0857243058891584E-4</v>
      </c>
      <c r="AX260" t="s">
        <v>178</v>
      </c>
      <c r="AY260" t="s">
        <v>160</v>
      </c>
      <c r="AZ260" s="197" t="str">
        <f t="shared" si="575"/>
        <v>DIS_Non-Standard_285</v>
      </c>
      <c r="BA260">
        <v>285</v>
      </c>
      <c r="BB260">
        <f>VLOOKUP($BA260,'[2]NonStandard DIS'!$Q$1:$X$542,2,FALSE)</f>
        <v>0</v>
      </c>
      <c r="BC260">
        <f>VLOOKUP($BA260,'[2]NonStandard DIS'!$Q$1:$X$542,3,FALSE)</f>
        <v>0</v>
      </c>
      <c r="BD260">
        <f>VLOOKUP($BA260,'[2]NonStandard DIS'!$Q$1:$X$542,4,FALSE)</f>
        <v>0.308</v>
      </c>
      <c r="BE260">
        <f>VLOOKUP($BA260,'[2]NonStandard DIS'!$Q$1:$X$542,5,FALSE)</f>
        <v>0.69199999999999995</v>
      </c>
      <c r="BF260">
        <f>VLOOKUP($BA260,'[2]NonStandard DIS'!$Q$1:$X$542,6,FALSE)</f>
        <v>0</v>
      </c>
      <c r="BG260">
        <f>VLOOKUP($BA260,'[2]NonStandard DIS'!$Q$1:$X$542,7,FALSE)</f>
        <v>0</v>
      </c>
      <c r="BH260">
        <f>VLOOKUP($BA260,'[2]NonStandard DIS'!$Q$1:$X$542,8,FALSE)</f>
        <v>0</v>
      </c>
      <c r="BI260" s="77">
        <f t="shared" si="518"/>
        <v>1</v>
      </c>
      <c r="BJ260" s="77">
        <f t="shared" si="519"/>
        <v>6.9728499999999985E-2</v>
      </c>
      <c r="BK260" s="77">
        <f t="shared" si="657"/>
        <v>5.632878498097682E-3</v>
      </c>
      <c r="BL260" s="79">
        <v>0</v>
      </c>
      <c r="BM260" s="77">
        <f t="shared" si="531"/>
        <v>0</v>
      </c>
      <c r="BN260" s="77">
        <f t="shared" si="532"/>
        <v>0</v>
      </c>
      <c r="BO260" s="77">
        <f t="shared" si="533"/>
        <v>5.6775999999999997E-3</v>
      </c>
      <c r="BP260" s="77">
        <f t="shared" si="534"/>
        <v>4.7190657760731725E-4</v>
      </c>
    </row>
    <row r="261" spans="1:68">
      <c r="A261" t="s">
        <v>175</v>
      </c>
      <c r="B261" t="s">
        <v>176</v>
      </c>
      <c r="C261" s="197" t="str">
        <f t="shared" si="569"/>
        <v>Lifecycle_Balanced_284</v>
      </c>
      <c r="D261">
        <v>284</v>
      </c>
      <c r="E261">
        <f>VLOOKUP($D261,'[2]LC Balanced'!$Q$2:$U$542,2,FALSE)</f>
        <v>0</v>
      </c>
      <c r="F261">
        <f>VLOOKUP($D261,'[2]LC Balanced'!$Q$2:$U$542,3,FALSE)</f>
        <v>0.14899999999999999</v>
      </c>
      <c r="G261">
        <f>VLOOKUP($D261,'[2]LC Balanced'!$Q$2:$U$542,4,FALSE)</f>
        <v>0.85099999999999998</v>
      </c>
      <c r="H261">
        <f>VLOOKUP($D261,'[2]LC Balanced'!$Q$2:$U$542,5,FALSE)</f>
        <v>0</v>
      </c>
      <c r="I261" s="77">
        <f t="shared" ref="I261:I324" si="670">SUM(E261:H261)</f>
        <v>1</v>
      </c>
      <c r="J261" s="77">
        <f t="shared" ref="J261:J324" si="671">SUMPRODUCT($E$1:$H$1,E261:H261)</f>
        <v>6.1987699999999986E-2</v>
      </c>
      <c r="K261" s="77">
        <f t="shared" si="661"/>
        <v>5.024442123284345E-3</v>
      </c>
      <c r="L261" s="76">
        <v>0</v>
      </c>
      <c r="M261" s="77">
        <f t="shared" si="520"/>
        <v>0</v>
      </c>
      <c r="N261" s="77">
        <f t="shared" si="521"/>
        <v>0</v>
      </c>
      <c r="O261" s="77">
        <f t="shared" si="522"/>
        <v>7.0062999999999992E-3</v>
      </c>
      <c r="P261" s="77">
        <f t="shared" si="523"/>
        <v>5.85741666996209E-4</v>
      </c>
      <c r="R261" t="s">
        <v>177</v>
      </c>
      <c r="S261" t="s">
        <v>176</v>
      </c>
      <c r="T261" s="197" t="str">
        <f t="shared" si="612"/>
        <v>Autopilot_Balanced_284</v>
      </c>
      <c r="U261">
        <v>284</v>
      </c>
      <c r="V261">
        <f>VLOOKUP($U261,'[2]AP Balanced'!$Q$1:$T$542,2,FALSE)</f>
        <v>0.77777777777777779</v>
      </c>
      <c r="W261">
        <f>VLOOKUP($U261,'[2]AP Balanced'!$Q$1:$T$542,3,FALSE)</f>
        <v>0.22222222222222221</v>
      </c>
      <c r="X261">
        <f>VLOOKUP($U261,'[2]AP Balanced'!$Q$1:$T$542,4,FALSE)</f>
        <v>0</v>
      </c>
      <c r="Y261" s="77">
        <f t="shared" si="570"/>
        <v>1</v>
      </c>
      <c r="Z261" s="77">
        <f t="shared" si="559"/>
        <v>6.1674999999999987E-2</v>
      </c>
      <c r="AA261" s="77">
        <f t="shared" si="560"/>
        <v>4.9997781870025904E-3</v>
      </c>
      <c r="AB261" s="79">
        <v>1</v>
      </c>
      <c r="AC261" s="77">
        <f t="shared" si="524"/>
        <v>8.0555555555555554E-3</v>
      </c>
      <c r="AD261" s="77">
        <f t="shared" ref="AD261:AF324" si="672">1-(1-AC261)^(1/12)</f>
        <v>6.7378764057135498E-4</v>
      </c>
      <c r="AE261" s="77">
        <f t="shared" si="525"/>
        <v>2.5000000000000001E-3</v>
      </c>
      <c r="AF261" s="77">
        <f t="shared" si="672"/>
        <v>2.0857243058891584E-4</v>
      </c>
      <c r="AH261" t="s">
        <v>175</v>
      </c>
      <c r="AI261" t="s">
        <v>176</v>
      </c>
      <c r="AJ261" s="197" t="str">
        <f t="shared" si="571"/>
        <v>Lifecycle_Balanced_284</v>
      </c>
      <c r="AK261">
        <v>284</v>
      </c>
      <c r="AL261">
        <f>VLOOKUP($U261,[2]Standard_Balanced!$Q$1:$T$542,2,FALSE)</f>
        <v>0.77777777777777779</v>
      </c>
      <c r="AM261">
        <f>VLOOKUP($U261,[2]Standard_Balanced!$Q$1:$T$542,3,FALSE)</f>
        <v>0.22222222222222221</v>
      </c>
      <c r="AN261">
        <f>VLOOKUP($U261,[2]Standard_Balanced!$Q$1:$T$542,4,FALSE)</f>
        <v>0</v>
      </c>
      <c r="AO261" s="77">
        <f t="shared" si="658"/>
        <v>1</v>
      </c>
      <c r="AP261" s="77">
        <f t="shared" si="526"/>
        <v>6.1674999999999987E-2</v>
      </c>
      <c r="AQ261" s="77">
        <f t="shared" si="572"/>
        <v>4.9997781870025904E-3</v>
      </c>
      <c r="AR261" s="79">
        <v>0</v>
      </c>
      <c r="AS261" s="77">
        <f t="shared" si="527"/>
        <v>0</v>
      </c>
      <c r="AT261" s="77">
        <f t="shared" ref="AT261" si="673">1-(1-AS261)^(1/12)</f>
        <v>0</v>
      </c>
      <c r="AU261" s="77">
        <f t="shared" si="529"/>
        <v>2.5000000000000001E-3</v>
      </c>
      <c r="AV261" s="77">
        <f t="shared" ref="AV261" si="674">1-(1-AU261)^(1/12)</f>
        <v>2.0857243058891584E-4</v>
      </c>
      <c r="AX261" t="s">
        <v>178</v>
      </c>
      <c r="AY261" t="s">
        <v>160</v>
      </c>
      <c r="AZ261" s="197" t="str">
        <f t="shared" si="575"/>
        <v>DIS_Non-Standard_284</v>
      </c>
      <c r="BA261">
        <v>284</v>
      </c>
      <c r="BB261">
        <f>VLOOKUP($BA261,'[2]NonStandard DIS'!$Q$1:$X$542,2,FALSE)</f>
        <v>0</v>
      </c>
      <c r="BC261">
        <f>VLOOKUP($BA261,'[2]NonStandard DIS'!$Q$1:$X$542,3,FALSE)</f>
        <v>0</v>
      </c>
      <c r="BD261">
        <f>VLOOKUP($BA261,'[2]NonStandard DIS'!$Q$1:$X$542,4,FALSE)</f>
        <v>0.308</v>
      </c>
      <c r="BE261">
        <f>VLOOKUP($BA261,'[2]NonStandard DIS'!$Q$1:$X$542,5,FALSE)</f>
        <v>0.69199999999999995</v>
      </c>
      <c r="BF261">
        <f>VLOOKUP($BA261,'[2]NonStandard DIS'!$Q$1:$X$542,6,FALSE)</f>
        <v>0</v>
      </c>
      <c r="BG261">
        <f>VLOOKUP($BA261,'[2]NonStandard DIS'!$Q$1:$X$542,7,FALSE)</f>
        <v>0</v>
      </c>
      <c r="BH261">
        <f>VLOOKUP($BA261,'[2]NonStandard DIS'!$Q$1:$X$542,8,FALSE)</f>
        <v>0</v>
      </c>
      <c r="BI261" s="77">
        <f t="shared" ref="BI261:BI324" si="675">SUM(BB261:BH261)</f>
        <v>1</v>
      </c>
      <c r="BJ261" s="77">
        <f t="shared" ref="BJ261:BJ324" si="676">SUMPRODUCT($BB$1:$BH$1,BB261:BH261)</f>
        <v>6.9728499999999985E-2</v>
      </c>
      <c r="BK261" s="77">
        <f t="shared" si="657"/>
        <v>5.632878498097682E-3</v>
      </c>
      <c r="BL261" s="79">
        <v>0</v>
      </c>
      <c r="BM261" s="77">
        <f t="shared" si="531"/>
        <v>0</v>
      </c>
      <c r="BN261" s="77">
        <f t="shared" si="532"/>
        <v>0</v>
      </c>
      <c r="BO261" s="77">
        <f t="shared" si="533"/>
        <v>5.6775999999999997E-3</v>
      </c>
      <c r="BP261" s="77">
        <f t="shared" si="534"/>
        <v>4.7190657760731725E-4</v>
      </c>
    </row>
    <row r="262" spans="1:68">
      <c r="A262" t="s">
        <v>175</v>
      </c>
      <c r="B262" t="s">
        <v>176</v>
      </c>
      <c r="C262" s="197" t="str">
        <f t="shared" si="569"/>
        <v>Lifecycle_Balanced_283</v>
      </c>
      <c r="D262">
        <v>283</v>
      </c>
      <c r="E262">
        <f>VLOOKUP($D262,'[2]LC Balanced'!$Q$2:$U$542,2,FALSE)</f>
        <v>0</v>
      </c>
      <c r="F262">
        <f>VLOOKUP($D262,'[2]LC Balanced'!$Q$2:$U$542,3,FALSE)</f>
        <v>0.14899999999999999</v>
      </c>
      <c r="G262">
        <f>VLOOKUP($D262,'[2]LC Balanced'!$Q$2:$U$542,4,FALSE)</f>
        <v>0.85099999999999998</v>
      </c>
      <c r="H262">
        <f>VLOOKUP($D262,'[2]LC Balanced'!$Q$2:$U$542,5,FALSE)</f>
        <v>0</v>
      </c>
      <c r="I262" s="77">
        <f t="shared" si="670"/>
        <v>1</v>
      </c>
      <c r="J262" s="77">
        <f t="shared" si="671"/>
        <v>6.1987699999999986E-2</v>
      </c>
      <c r="K262" s="77">
        <f t="shared" si="661"/>
        <v>5.024442123284345E-3</v>
      </c>
      <c r="L262" s="76">
        <v>0</v>
      </c>
      <c r="M262" s="77">
        <f t="shared" ref="M262:M325" si="677">IF($L262=0,0,SUMPRODUCT($E$3:$H$3,E262:H262))</f>
        <v>0</v>
      </c>
      <c r="N262" s="77">
        <f t="shared" ref="N262:N325" si="678">1-(1-M262)^(1/12)</f>
        <v>0</v>
      </c>
      <c r="O262" s="77">
        <f t="shared" ref="O262:O325" si="679">SUMPRODUCT($E$2:$H$2,E262:H262)</f>
        <v>7.0062999999999992E-3</v>
      </c>
      <c r="P262" s="77">
        <f t="shared" ref="P262:P325" si="680">1-(1-O262)^(1/12)</f>
        <v>5.85741666996209E-4</v>
      </c>
      <c r="R262" t="s">
        <v>177</v>
      </c>
      <c r="S262" t="s">
        <v>176</v>
      </c>
      <c r="T262" s="197" t="str">
        <f t="shared" si="612"/>
        <v>Autopilot_Balanced_283</v>
      </c>
      <c r="U262">
        <v>283</v>
      </c>
      <c r="V262">
        <f>VLOOKUP($U262,'[2]AP Balanced'!$Q$1:$T$542,2,FALSE)</f>
        <v>0.77777777777777779</v>
      </c>
      <c r="W262">
        <f>VLOOKUP($U262,'[2]AP Balanced'!$Q$1:$T$542,3,FALSE)</f>
        <v>0.22222222222222221</v>
      </c>
      <c r="X262">
        <f>VLOOKUP($U262,'[2]AP Balanced'!$Q$1:$T$542,4,FALSE)</f>
        <v>0</v>
      </c>
      <c r="Y262" s="77">
        <f t="shared" si="570"/>
        <v>1</v>
      </c>
      <c r="Z262" s="77">
        <f t="shared" si="559"/>
        <v>6.1674999999999987E-2</v>
      </c>
      <c r="AA262" s="77">
        <f t="shared" si="560"/>
        <v>4.9997781870025904E-3</v>
      </c>
      <c r="AB262" s="79">
        <v>1</v>
      </c>
      <c r="AC262" s="77">
        <f t="shared" ref="AC262:AC325" si="681">IF($AB262=0,0,SUMPRODUCT($V$3:$X$3,V262:X262))</f>
        <v>8.0555555555555554E-3</v>
      </c>
      <c r="AD262" s="77">
        <f t="shared" si="672"/>
        <v>6.7378764057135498E-4</v>
      </c>
      <c r="AE262" s="77">
        <f t="shared" ref="AE262:AE325" si="682">SUMPRODUCT($V$2:$X$2,V262:X262)</f>
        <v>2.5000000000000001E-3</v>
      </c>
      <c r="AF262" s="77">
        <f t="shared" si="672"/>
        <v>2.0857243058891584E-4</v>
      </c>
      <c r="AH262" t="s">
        <v>175</v>
      </c>
      <c r="AI262" t="s">
        <v>176</v>
      </c>
      <c r="AJ262" s="197" t="str">
        <f t="shared" si="571"/>
        <v>Lifecycle_Balanced_283</v>
      </c>
      <c r="AK262">
        <v>283</v>
      </c>
      <c r="AL262">
        <f>VLOOKUP($U262,[2]Standard_Balanced!$Q$1:$T$542,2,FALSE)</f>
        <v>0.77777777777777779</v>
      </c>
      <c r="AM262">
        <f>VLOOKUP($U262,[2]Standard_Balanced!$Q$1:$T$542,3,FALSE)</f>
        <v>0.22222222222222221</v>
      </c>
      <c r="AN262">
        <f>VLOOKUP($U262,[2]Standard_Balanced!$Q$1:$T$542,4,FALSE)</f>
        <v>0</v>
      </c>
      <c r="AO262" s="77">
        <f t="shared" si="658"/>
        <v>1</v>
      </c>
      <c r="AP262" s="77">
        <f t="shared" ref="AP262:AP325" si="683">SUMPRODUCT($AL$1:$AN$1,AL262:AN262)</f>
        <v>6.1674999999999987E-2</v>
      </c>
      <c r="AQ262" s="77">
        <f t="shared" si="572"/>
        <v>4.9997781870025904E-3</v>
      </c>
      <c r="AR262" s="79">
        <v>0</v>
      </c>
      <c r="AS262" s="77">
        <f t="shared" ref="AS262:AS325" si="684">IF(AR262=0,0,SUMPRODUCT($AL$3:$AN$3,AL262:AN262))</f>
        <v>0</v>
      </c>
      <c r="AT262" s="77">
        <f t="shared" ref="AT262" si="685">1-(1-AS262)^(1/12)</f>
        <v>0</v>
      </c>
      <c r="AU262" s="77">
        <f t="shared" ref="AU262:AU325" si="686">SUMPRODUCT($AL$2:$AN$2,AL262:AN262)</f>
        <v>2.5000000000000001E-3</v>
      </c>
      <c r="AV262" s="77">
        <f t="shared" ref="AV262" si="687">1-(1-AU262)^(1/12)</f>
        <v>2.0857243058891584E-4</v>
      </c>
      <c r="AX262" t="s">
        <v>178</v>
      </c>
      <c r="AY262" t="s">
        <v>160</v>
      </c>
      <c r="AZ262" s="197" t="str">
        <f t="shared" si="575"/>
        <v>DIS_Non-Standard_283</v>
      </c>
      <c r="BA262">
        <v>283</v>
      </c>
      <c r="BB262">
        <f>VLOOKUP($BA262,'[2]NonStandard DIS'!$Q$1:$X$542,2,FALSE)</f>
        <v>0</v>
      </c>
      <c r="BC262">
        <f>VLOOKUP($BA262,'[2]NonStandard DIS'!$Q$1:$X$542,3,FALSE)</f>
        <v>0</v>
      </c>
      <c r="BD262">
        <f>VLOOKUP($BA262,'[2]NonStandard DIS'!$Q$1:$X$542,4,FALSE)</f>
        <v>0.308</v>
      </c>
      <c r="BE262">
        <f>VLOOKUP($BA262,'[2]NonStandard DIS'!$Q$1:$X$542,5,FALSE)</f>
        <v>0.69199999999999995</v>
      </c>
      <c r="BF262">
        <f>VLOOKUP($BA262,'[2]NonStandard DIS'!$Q$1:$X$542,6,FALSE)</f>
        <v>0</v>
      </c>
      <c r="BG262">
        <f>VLOOKUP($BA262,'[2]NonStandard DIS'!$Q$1:$X$542,7,FALSE)</f>
        <v>0</v>
      </c>
      <c r="BH262">
        <f>VLOOKUP($BA262,'[2]NonStandard DIS'!$Q$1:$X$542,8,FALSE)</f>
        <v>0</v>
      </c>
      <c r="BI262" s="77">
        <f t="shared" si="675"/>
        <v>1</v>
      </c>
      <c r="BJ262" s="77">
        <f t="shared" si="676"/>
        <v>6.9728499999999985E-2</v>
      </c>
      <c r="BK262" s="77">
        <f t="shared" si="657"/>
        <v>5.632878498097682E-3</v>
      </c>
      <c r="BL262" s="79">
        <v>0</v>
      </c>
      <c r="BM262" s="77">
        <f t="shared" ref="BM262:BM325" si="688">IF(BL262=0,0,SUMPRODUCT($BB$3:$BH$3,BB262:BH262))</f>
        <v>0</v>
      </c>
      <c r="BN262" s="77">
        <f t="shared" ref="BN262:BN325" si="689">(1+BM262)^(1/12)-1</f>
        <v>0</v>
      </c>
      <c r="BO262" s="77">
        <f t="shared" ref="BO262:BO325" si="690">SUMPRODUCT($BB$2:$BH$2,BB262:BH262)</f>
        <v>5.6775999999999997E-3</v>
      </c>
      <c r="BP262" s="77">
        <f t="shared" ref="BP262:BP325" si="691">(1+BO262)^(1/12)-1</f>
        <v>4.7190657760731725E-4</v>
      </c>
    </row>
    <row r="263" spans="1:68">
      <c r="A263" t="s">
        <v>175</v>
      </c>
      <c r="B263" t="s">
        <v>176</v>
      </c>
      <c r="C263" s="197" t="str">
        <f t="shared" si="569"/>
        <v>Lifecycle_Balanced_282</v>
      </c>
      <c r="D263">
        <v>282</v>
      </c>
      <c r="E263">
        <f>VLOOKUP($D263,'[2]LC Balanced'!$Q$2:$U$542,2,FALSE)</f>
        <v>0</v>
      </c>
      <c r="F263">
        <f>VLOOKUP($D263,'[2]LC Balanced'!$Q$2:$U$542,3,FALSE)</f>
        <v>0.14899999999999999</v>
      </c>
      <c r="G263">
        <f>VLOOKUP($D263,'[2]LC Balanced'!$Q$2:$U$542,4,FALSE)</f>
        <v>0.85099999999999998</v>
      </c>
      <c r="H263">
        <f>VLOOKUP($D263,'[2]LC Balanced'!$Q$2:$U$542,5,FALSE)</f>
        <v>0</v>
      </c>
      <c r="I263" s="77">
        <f t="shared" si="670"/>
        <v>1</v>
      </c>
      <c r="J263" s="77">
        <f t="shared" si="671"/>
        <v>6.1987699999999986E-2</v>
      </c>
      <c r="K263" s="77">
        <f t="shared" si="661"/>
        <v>5.024442123284345E-3</v>
      </c>
      <c r="L263" s="76">
        <v>0</v>
      </c>
      <c r="M263" s="77">
        <f t="shared" si="677"/>
        <v>0</v>
      </c>
      <c r="N263" s="77">
        <f t="shared" si="678"/>
        <v>0</v>
      </c>
      <c r="O263" s="77">
        <f t="shared" si="679"/>
        <v>7.0062999999999992E-3</v>
      </c>
      <c r="P263" s="77">
        <f t="shared" si="680"/>
        <v>5.85741666996209E-4</v>
      </c>
      <c r="R263" t="s">
        <v>177</v>
      </c>
      <c r="S263" t="s">
        <v>176</v>
      </c>
      <c r="T263" s="197" t="str">
        <f t="shared" si="612"/>
        <v>Autopilot_Balanced_282</v>
      </c>
      <c r="U263">
        <v>282</v>
      </c>
      <c r="V263">
        <f>VLOOKUP($U263,'[2]AP Balanced'!$Q$1:$T$542,2,FALSE)</f>
        <v>0.77777777777777779</v>
      </c>
      <c r="W263">
        <f>VLOOKUP($U263,'[2]AP Balanced'!$Q$1:$T$542,3,FALSE)</f>
        <v>0.22222222222222221</v>
      </c>
      <c r="X263">
        <f>VLOOKUP($U263,'[2]AP Balanced'!$Q$1:$T$542,4,FALSE)</f>
        <v>0</v>
      </c>
      <c r="Y263" s="77">
        <f t="shared" si="570"/>
        <v>1</v>
      </c>
      <c r="Z263" s="77">
        <f t="shared" si="559"/>
        <v>6.1674999999999987E-2</v>
      </c>
      <c r="AA263" s="77">
        <f t="shared" si="560"/>
        <v>4.9997781870025904E-3</v>
      </c>
      <c r="AB263" s="79">
        <v>1</v>
      </c>
      <c r="AC263" s="77">
        <f t="shared" si="681"/>
        <v>8.0555555555555554E-3</v>
      </c>
      <c r="AD263" s="77">
        <f t="shared" si="672"/>
        <v>6.7378764057135498E-4</v>
      </c>
      <c r="AE263" s="77">
        <f t="shared" si="682"/>
        <v>2.5000000000000001E-3</v>
      </c>
      <c r="AF263" s="77">
        <f t="shared" si="672"/>
        <v>2.0857243058891584E-4</v>
      </c>
      <c r="AH263" t="s">
        <v>175</v>
      </c>
      <c r="AI263" t="s">
        <v>176</v>
      </c>
      <c r="AJ263" s="197" t="str">
        <f t="shared" si="571"/>
        <v>Lifecycle_Balanced_282</v>
      </c>
      <c r="AK263">
        <v>282</v>
      </c>
      <c r="AL263">
        <f>VLOOKUP($U263,[2]Standard_Balanced!$Q$1:$T$542,2,FALSE)</f>
        <v>0.77777777777777779</v>
      </c>
      <c r="AM263">
        <f>VLOOKUP($U263,[2]Standard_Balanced!$Q$1:$T$542,3,FALSE)</f>
        <v>0.22222222222222221</v>
      </c>
      <c r="AN263">
        <f>VLOOKUP($U263,[2]Standard_Balanced!$Q$1:$T$542,4,FALSE)</f>
        <v>0</v>
      </c>
      <c r="AO263" s="77">
        <f t="shared" si="658"/>
        <v>1</v>
      </c>
      <c r="AP263" s="77">
        <f t="shared" si="683"/>
        <v>6.1674999999999987E-2</v>
      </c>
      <c r="AQ263" s="77">
        <f t="shared" si="572"/>
        <v>4.9997781870025904E-3</v>
      </c>
      <c r="AR263" s="79">
        <v>0</v>
      </c>
      <c r="AS263" s="77">
        <f t="shared" si="684"/>
        <v>0</v>
      </c>
      <c r="AT263" s="77">
        <f t="shared" ref="AT263" si="692">1-(1-AS263)^(1/12)</f>
        <v>0</v>
      </c>
      <c r="AU263" s="77">
        <f t="shared" si="686"/>
        <v>2.5000000000000001E-3</v>
      </c>
      <c r="AV263" s="77">
        <f t="shared" ref="AV263" si="693">1-(1-AU263)^(1/12)</f>
        <v>2.0857243058891584E-4</v>
      </c>
      <c r="AX263" t="s">
        <v>178</v>
      </c>
      <c r="AY263" t="s">
        <v>160</v>
      </c>
      <c r="AZ263" s="197" t="str">
        <f t="shared" si="575"/>
        <v>DIS_Non-Standard_282</v>
      </c>
      <c r="BA263">
        <v>282</v>
      </c>
      <c r="BB263">
        <f>VLOOKUP($BA263,'[2]NonStandard DIS'!$Q$1:$X$542,2,FALSE)</f>
        <v>0</v>
      </c>
      <c r="BC263">
        <f>VLOOKUP($BA263,'[2]NonStandard DIS'!$Q$1:$X$542,3,FALSE)</f>
        <v>0</v>
      </c>
      <c r="BD263">
        <f>VLOOKUP($BA263,'[2]NonStandard DIS'!$Q$1:$X$542,4,FALSE)</f>
        <v>0.308</v>
      </c>
      <c r="BE263">
        <f>VLOOKUP($BA263,'[2]NonStandard DIS'!$Q$1:$X$542,5,FALSE)</f>
        <v>0.69199999999999995</v>
      </c>
      <c r="BF263">
        <f>VLOOKUP($BA263,'[2]NonStandard DIS'!$Q$1:$X$542,6,FALSE)</f>
        <v>0</v>
      </c>
      <c r="BG263">
        <f>VLOOKUP($BA263,'[2]NonStandard DIS'!$Q$1:$X$542,7,FALSE)</f>
        <v>0</v>
      </c>
      <c r="BH263">
        <f>VLOOKUP($BA263,'[2]NonStandard DIS'!$Q$1:$X$542,8,FALSE)</f>
        <v>0</v>
      </c>
      <c r="BI263" s="77">
        <f t="shared" si="675"/>
        <v>1</v>
      </c>
      <c r="BJ263" s="77">
        <f t="shared" si="676"/>
        <v>6.9728499999999985E-2</v>
      </c>
      <c r="BK263" s="77">
        <f t="shared" si="657"/>
        <v>5.632878498097682E-3</v>
      </c>
      <c r="BL263" s="79">
        <v>0</v>
      </c>
      <c r="BM263" s="77">
        <f t="shared" si="688"/>
        <v>0</v>
      </c>
      <c r="BN263" s="77">
        <f t="shared" si="689"/>
        <v>0</v>
      </c>
      <c r="BO263" s="77">
        <f t="shared" si="690"/>
        <v>5.6775999999999997E-3</v>
      </c>
      <c r="BP263" s="77">
        <f t="shared" si="691"/>
        <v>4.7190657760731725E-4</v>
      </c>
    </row>
    <row r="264" spans="1:68">
      <c r="A264" t="s">
        <v>175</v>
      </c>
      <c r="B264" t="s">
        <v>176</v>
      </c>
      <c r="C264" s="197" t="str">
        <f t="shared" si="569"/>
        <v>Lifecycle_Balanced_281</v>
      </c>
      <c r="D264">
        <v>281</v>
      </c>
      <c r="E264">
        <f>VLOOKUP($D264,'[2]LC Balanced'!$Q$2:$U$542,2,FALSE)</f>
        <v>0</v>
      </c>
      <c r="F264">
        <f>VLOOKUP($D264,'[2]LC Balanced'!$Q$2:$U$542,3,FALSE)</f>
        <v>0.14899999999999999</v>
      </c>
      <c r="G264">
        <f>VLOOKUP($D264,'[2]LC Balanced'!$Q$2:$U$542,4,FALSE)</f>
        <v>0.85099999999999998</v>
      </c>
      <c r="H264">
        <f>VLOOKUP($D264,'[2]LC Balanced'!$Q$2:$U$542,5,FALSE)</f>
        <v>0</v>
      </c>
      <c r="I264" s="77">
        <f t="shared" si="670"/>
        <v>1</v>
      </c>
      <c r="J264" s="77">
        <f t="shared" si="671"/>
        <v>6.1987699999999986E-2</v>
      </c>
      <c r="K264" s="77">
        <f t="shared" si="661"/>
        <v>5.024442123284345E-3</v>
      </c>
      <c r="L264" s="76">
        <v>0</v>
      </c>
      <c r="M264" s="77">
        <f t="shared" si="677"/>
        <v>0</v>
      </c>
      <c r="N264" s="77">
        <f t="shared" si="678"/>
        <v>0</v>
      </c>
      <c r="O264" s="77">
        <f t="shared" si="679"/>
        <v>7.0062999999999992E-3</v>
      </c>
      <c r="P264" s="77">
        <f t="shared" si="680"/>
        <v>5.85741666996209E-4</v>
      </c>
      <c r="R264" t="s">
        <v>177</v>
      </c>
      <c r="S264" t="s">
        <v>176</v>
      </c>
      <c r="T264" s="197" t="str">
        <f t="shared" si="612"/>
        <v>Autopilot_Balanced_281</v>
      </c>
      <c r="U264">
        <v>281</v>
      </c>
      <c r="V264">
        <f>VLOOKUP($U264,'[2]AP Balanced'!$Q$1:$T$542,2,FALSE)</f>
        <v>0.77777777777777779</v>
      </c>
      <c r="W264">
        <f>VLOOKUP($U264,'[2]AP Balanced'!$Q$1:$T$542,3,FALSE)</f>
        <v>0.22222222222222221</v>
      </c>
      <c r="X264">
        <f>VLOOKUP($U264,'[2]AP Balanced'!$Q$1:$T$542,4,FALSE)</f>
        <v>0</v>
      </c>
      <c r="Y264" s="77">
        <f t="shared" si="570"/>
        <v>1</v>
      </c>
      <c r="Z264" s="77">
        <f t="shared" si="559"/>
        <v>6.1674999999999987E-2</v>
      </c>
      <c r="AA264" s="77">
        <f t="shared" si="560"/>
        <v>4.9997781870025904E-3</v>
      </c>
      <c r="AB264" s="79">
        <v>1</v>
      </c>
      <c r="AC264" s="77">
        <f t="shared" si="681"/>
        <v>8.0555555555555554E-3</v>
      </c>
      <c r="AD264" s="77">
        <f t="shared" si="672"/>
        <v>6.7378764057135498E-4</v>
      </c>
      <c r="AE264" s="77">
        <f t="shared" si="682"/>
        <v>2.5000000000000001E-3</v>
      </c>
      <c r="AF264" s="77">
        <f t="shared" si="672"/>
        <v>2.0857243058891584E-4</v>
      </c>
      <c r="AH264" t="s">
        <v>175</v>
      </c>
      <c r="AI264" t="s">
        <v>176</v>
      </c>
      <c r="AJ264" s="197" t="str">
        <f t="shared" si="571"/>
        <v>Lifecycle_Balanced_281</v>
      </c>
      <c r="AK264">
        <v>281</v>
      </c>
      <c r="AL264">
        <f>VLOOKUP($U264,[2]Standard_Balanced!$Q$1:$T$542,2,FALSE)</f>
        <v>0.77777777777777779</v>
      </c>
      <c r="AM264">
        <f>VLOOKUP($U264,[2]Standard_Balanced!$Q$1:$T$542,3,FALSE)</f>
        <v>0.22222222222222221</v>
      </c>
      <c r="AN264">
        <f>VLOOKUP($U264,[2]Standard_Balanced!$Q$1:$T$542,4,FALSE)</f>
        <v>0</v>
      </c>
      <c r="AO264" s="77">
        <f t="shared" si="658"/>
        <v>1</v>
      </c>
      <c r="AP264" s="77">
        <f t="shared" si="683"/>
        <v>6.1674999999999987E-2</v>
      </c>
      <c r="AQ264" s="77">
        <f t="shared" si="572"/>
        <v>4.9997781870025904E-3</v>
      </c>
      <c r="AR264" s="79">
        <v>0</v>
      </c>
      <c r="AS264" s="77">
        <f t="shared" si="684"/>
        <v>0</v>
      </c>
      <c r="AT264" s="77">
        <f t="shared" ref="AT264" si="694">1-(1-AS264)^(1/12)</f>
        <v>0</v>
      </c>
      <c r="AU264" s="77">
        <f t="shared" si="686"/>
        <v>2.5000000000000001E-3</v>
      </c>
      <c r="AV264" s="77">
        <f t="shared" ref="AV264" si="695">1-(1-AU264)^(1/12)</f>
        <v>2.0857243058891584E-4</v>
      </c>
      <c r="AX264" t="s">
        <v>178</v>
      </c>
      <c r="AY264" t="s">
        <v>160</v>
      </c>
      <c r="AZ264" s="197" t="str">
        <f t="shared" si="575"/>
        <v>DIS_Non-Standard_281</v>
      </c>
      <c r="BA264">
        <v>281</v>
      </c>
      <c r="BB264">
        <f>VLOOKUP($BA264,'[2]NonStandard DIS'!$Q$1:$X$542,2,FALSE)</f>
        <v>0</v>
      </c>
      <c r="BC264">
        <f>VLOOKUP($BA264,'[2]NonStandard DIS'!$Q$1:$X$542,3,FALSE)</f>
        <v>0</v>
      </c>
      <c r="BD264">
        <f>VLOOKUP($BA264,'[2]NonStandard DIS'!$Q$1:$X$542,4,FALSE)</f>
        <v>0.308</v>
      </c>
      <c r="BE264">
        <f>VLOOKUP($BA264,'[2]NonStandard DIS'!$Q$1:$X$542,5,FALSE)</f>
        <v>0.69199999999999995</v>
      </c>
      <c r="BF264">
        <f>VLOOKUP($BA264,'[2]NonStandard DIS'!$Q$1:$X$542,6,FALSE)</f>
        <v>0</v>
      </c>
      <c r="BG264">
        <f>VLOOKUP($BA264,'[2]NonStandard DIS'!$Q$1:$X$542,7,FALSE)</f>
        <v>0</v>
      </c>
      <c r="BH264">
        <f>VLOOKUP($BA264,'[2]NonStandard DIS'!$Q$1:$X$542,8,FALSE)</f>
        <v>0</v>
      </c>
      <c r="BI264" s="77">
        <f t="shared" si="675"/>
        <v>1</v>
      </c>
      <c r="BJ264" s="77">
        <f t="shared" si="676"/>
        <v>6.9728499999999985E-2</v>
      </c>
      <c r="BK264" s="77">
        <f t="shared" si="657"/>
        <v>5.632878498097682E-3</v>
      </c>
      <c r="BL264" s="79">
        <v>0</v>
      </c>
      <c r="BM264" s="77">
        <f t="shared" si="688"/>
        <v>0</v>
      </c>
      <c r="BN264" s="77">
        <f t="shared" si="689"/>
        <v>0</v>
      </c>
      <c r="BO264" s="77">
        <f t="shared" si="690"/>
        <v>5.6775999999999997E-3</v>
      </c>
      <c r="BP264" s="77">
        <f t="shared" si="691"/>
        <v>4.7190657760731725E-4</v>
      </c>
    </row>
    <row r="265" spans="1:68">
      <c r="A265" t="s">
        <v>175</v>
      </c>
      <c r="B265" t="s">
        <v>176</v>
      </c>
      <c r="C265" s="197" t="str">
        <f t="shared" si="569"/>
        <v>Lifecycle_Balanced_280</v>
      </c>
      <c r="D265">
        <v>280</v>
      </c>
      <c r="E265">
        <f>VLOOKUP($D265,'[2]LC Balanced'!$Q$2:$U$542,2,FALSE)</f>
        <v>0</v>
      </c>
      <c r="F265">
        <f>VLOOKUP($D265,'[2]LC Balanced'!$Q$2:$U$542,3,FALSE)</f>
        <v>0.14899999999999999</v>
      </c>
      <c r="G265">
        <f>VLOOKUP($D265,'[2]LC Balanced'!$Q$2:$U$542,4,FALSE)</f>
        <v>0.85099999999999998</v>
      </c>
      <c r="H265">
        <f>VLOOKUP($D265,'[2]LC Balanced'!$Q$2:$U$542,5,FALSE)</f>
        <v>0</v>
      </c>
      <c r="I265" s="77">
        <f t="shared" si="670"/>
        <v>1</v>
      </c>
      <c r="J265" s="77">
        <f t="shared" si="671"/>
        <v>6.1987699999999986E-2</v>
      </c>
      <c r="K265" s="77">
        <f t="shared" si="661"/>
        <v>5.024442123284345E-3</v>
      </c>
      <c r="L265" s="76">
        <v>0</v>
      </c>
      <c r="M265" s="77">
        <f t="shared" si="677"/>
        <v>0</v>
      </c>
      <c r="N265" s="77">
        <f t="shared" si="678"/>
        <v>0</v>
      </c>
      <c r="O265" s="77">
        <f t="shared" si="679"/>
        <v>7.0062999999999992E-3</v>
      </c>
      <c r="P265" s="77">
        <f t="shared" si="680"/>
        <v>5.85741666996209E-4</v>
      </c>
      <c r="R265" t="s">
        <v>177</v>
      </c>
      <c r="S265" t="s">
        <v>176</v>
      </c>
      <c r="T265" s="197" t="str">
        <f t="shared" si="612"/>
        <v>Autopilot_Balanced_280</v>
      </c>
      <c r="U265">
        <v>280</v>
      </c>
      <c r="V265">
        <f>VLOOKUP($U265,'[2]AP Balanced'!$Q$1:$T$542,2,FALSE)</f>
        <v>0.77777777777777779</v>
      </c>
      <c r="W265">
        <f>VLOOKUP($U265,'[2]AP Balanced'!$Q$1:$T$542,3,FALSE)</f>
        <v>0.22222222222222221</v>
      </c>
      <c r="X265">
        <f>VLOOKUP($U265,'[2]AP Balanced'!$Q$1:$T$542,4,FALSE)</f>
        <v>0</v>
      </c>
      <c r="Y265" s="77">
        <f t="shared" si="570"/>
        <v>1</v>
      </c>
      <c r="Z265" s="77">
        <f t="shared" si="559"/>
        <v>6.1674999999999987E-2</v>
      </c>
      <c r="AA265" s="77">
        <f t="shared" si="560"/>
        <v>4.9997781870025904E-3</v>
      </c>
      <c r="AB265" s="79">
        <v>1</v>
      </c>
      <c r="AC265" s="77">
        <f t="shared" si="681"/>
        <v>8.0555555555555554E-3</v>
      </c>
      <c r="AD265" s="77">
        <f t="shared" si="672"/>
        <v>6.7378764057135498E-4</v>
      </c>
      <c r="AE265" s="77">
        <f t="shared" si="682"/>
        <v>2.5000000000000001E-3</v>
      </c>
      <c r="AF265" s="77">
        <f t="shared" si="672"/>
        <v>2.0857243058891584E-4</v>
      </c>
      <c r="AH265" t="s">
        <v>175</v>
      </c>
      <c r="AI265" t="s">
        <v>176</v>
      </c>
      <c r="AJ265" s="197" t="str">
        <f t="shared" si="571"/>
        <v>Lifecycle_Balanced_280</v>
      </c>
      <c r="AK265">
        <v>280</v>
      </c>
      <c r="AL265">
        <f>VLOOKUP($U265,[2]Standard_Balanced!$Q$1:$T$542,2,FALSE)</f>
        <v>0.77777777777777779</v>
      </c>
      <c r="AM265">
        <f>VLOOKUP($U265,[2]Standard_Balanced!$Q$1:$T$542,3,FALSE)</f>
        <v>0.22222222222222221</v>
      </c>
      <c r="AN265">
        <f>VLOOKUP($U265,[2]Standard_Balanced!$Q$1:$T$542,4,FALSE)</f>
        <v>0</v>
      </c>
      <c r="AO265" s="77">
        <f t="shared" si="658"/>
        <v>1</v>
      </c>
      <c r="AP265" s="77">
        <f t="shared" si="683"/>
        <v>6.1674999999999987E-2</v>
      </c>
      <c r="AQ265" s="77">
        <f t="shared" si="572"/>
        <v>4.9997781870025904E-3</v>
      </c>
      <c r="AR265" s="79">
        <v>0</v>
      </c>
      <c r="AS265" s="77">
        <f t="shared" si="684"/>
        <v>0</v>
      </c>
      <c r="AT265" s="77">
        <f t="shared" ref="AT265" si="696">1-(1-AS265)^(1/12)</f>
        <v>0</v>
      </c>
      <c r="AU265" s="77">
        <f t="shared" si="686"/>
        <v>2.5000000000000001E-3</v>
      </c>
      <c r="AV265" s="77">
        <f t="shared" ref="AV265" si="697">1-(1-AU265)^(1/12)</f>
        <v>2.0857243058891584E-4</v>
      </c>
      <c r="AX265" t="s">
        <v>178</v>
      </c>
      <c r="AY265" t="s">
        <v>160</v>
      </c>
      <c r="AZ265" s="197" t="str">
        <f t="shared" si="575"/>
        <v>DIS_Non-Standard_280</v>
      </c>
      <c r="BA265">
        <v>280</v>
      </c>
      <c r="BB265">
        <f>VLOOKUP($BA265,'[2]NonStandard DIS'!$Q$1:$X$542,2,FALSE)</f>
        <v>0</v>
      </c>
      <c r="BC265">
        <f>VLOOKUP($BA265,'[2]NonStandard DIS'!$Q$1:$X$542,3,FALSE)</f>
        <v>0</v>
      </c>
      <c r="BD265">
        <f>VLOOKUP($BA265,'[2]NonStandard DIS'!$Q$1:$X$542,4,FALSE)</f>
        <v>0.308</v>
      </c>
      <c r="BE265">
        <f>VLOOKUP($BA265,'[2]NonStandard DIS'!$Q$1:$X$542,5,FALSE)</f>
        <v>0.69199999999999995</v>
      </c>
      <c r="BF265">
        <f>VLOOKUP($BA265,'[2]NonStandard DIS'!$Q$1:$X$542,6,FALSE)</f>
        <v>0</v>
      </c>
      <c r="BG265">
        <f>VLOOKUP($BA265,'[2]NonStandard DIS'!$Q$1:$X$542,7,FALSE)</f>
        <v>0</v>
      </c>
      <c r="BH265">
        <f>VLOOKUP($BA265,'[2]NonStandard DIS'!$Q$1:$X$542,8,FALSE)</f>
        <v>0</v>
      </c>
      <c r="BI265" s="77">
        <f t="shared" si="675"/>
        <v>1</v>
      </c>
      <c r="BJ265" s="77">
        <f t="shared" si="676"/>
        <v>6.9728499999999985E-2</v>
      </c>
      <c r="BK265" s="77">
        <f t="shared" si="657"/>
        <v>5.632878498097682E-3</v>
      </c>
      <c r="BL265" s="79">
        <v>0</v>
      </c>
      <c r="BM265" s="77">
        <f t="shared" si="688"/>
        <v>0</v>
      </c>
      <c r="BN265" s="77">
        <f t="shared" si="689"/>
        <v>0</v>
      </c>
      <c r="BO265" s="77">
        <f t="shared" si="690"/>
        <v>5.6775999999999997E-3</v>
      </c>
      <c r="BP265" s="77">
        <f t="shared" si="691"/>
        <v>4.7190657760731725E-4</v>
      </c>
    </row>
    <row r="266" spans="1:68">
      <c r="A266" t="s">
        <v>175</v>
      </c>
      <c r="B266" t="s">
        <v>176</v>
      </c>
      <c r="C266" s="197" t="str">
        <f t="shared" si="569"/>
        <v>Lifecycle_Balanced_279</v>
      </c>
      <c r="D266">
        <v>279</v>
      </c>
      <c r="E266">
        <f>VLOOKUP($D266,'[2]LC Balanced'!$Q$2:$U$542,2,FALSE)</f>
        <v>0</v>
      </c>
      <c r="F266">
        <f>VLOOKUP($D266,'[2]LC Balanced'!$Q$2:$U$542,3,FALSE)</f>
        <v>0.14899999999999999</v>
      </c>
      <c r="G266">
        <f>VLOOKUP($D266,'[2]LC Balanced'!$Q$2:$U$542,4,FALSE)</f>
        <v>0.85099999999999998</v>
      </c>
      <c r="H266">
        <f>VLOOKUP($D266,'[2]LC Balanced'!$Q$2:$U$542,5,FALSE)</f>
        <v>0</v>
      </c>
      <c r="I266" s="77">
        <f t="shared" si="670"/>
        <v>1</v>
      </c>
      <c r="J266" s="77">
        <f t="shared" si="671"/>
        <v>6.1987699999999986E-2</v>
      </c>
      <c r="K266" s="77">
        <f t="shared" si="661"/>
        <v>5.024442123284345E-3</v>
      </c>
      <c r="L266" s="76">
        <v>0</v>
      </c>
      <c r="M266" s="77">
        <f t="shared" si="677"/>
        <v>0</v>
      </c>
      <c r="N266" s="77">
        <f t="shared" si="678"/>
        <v>0</v>
      </c>
      <c r="O266" s="77">
        <f t="shared" si="679"/>
        <v>7.0062999999999992E-3</v>
      </c>
      <c r="P266" s="77">
        <f t="shared" si="680"/>
        <v>5.85741666996209E-4</v>
      </c>
      <c r="R266" t="s">
        <v>177</v>
      </c>
      <c r="S266" t="s">
        <v>176</v>
      </c>
      <c r="T266" s="197" t="str">
        <f t="shared" si="612"/>
        <v>Autopilot_Balanced_279</v>
      </c>
      <c r="U266">
        <v>279</v>
      </c>
      <c r="V266">
        <f>VLOOKUP($U266,'[2]AP Balanced'!$Q$1:$T$542,2,FALSE)</f>
        <v>0.77777777777777779</v>
      </c>
      <c r="W266">
        <f>VLOOKUP($U266,'[2]AP Balanced'!$Q$1:$T$542,3,FALSE)</f>
        <v>0.22222222222222221</v>
      </c>
      <c r="X266">
        <f>VLOOKUP($U266,'[2]AP Balanced'!$Q$1:$T$542,4,FALSE)</f>
        <v>0</v>
      </c>
      <c r="Y266" s="77">
        <f t="shared" si="570"/>
        <v>1</v>
      </c>
      <c r="Z266" s="77">
        <f t="shared" si="559"/>
        <v>6.1674999999999987E-2</v>
      </c>
      <c r="AA266" s="77">
        <f t="shared" si="560"/>
        <v>4.9997781870025904E-3</v>
      </c>
      <c r="AB266" s="79">
        <v>1</v>
      </c>
      <c r="AC266" s="77">
        <f t="shared" si="681"/>
        <v>8.0555555555555554E-3</v>
      </c>
      <c r="AD266" s="77">
        <f t="shared" si="672"/>
        <v>6.7378764057135498E-4</v>
      </c>
      <c r="AE266" s="77">
        <f t="shared" si="682"/>
        <v>2.5000000000000001E-3</v>
      </c>
      <c r="AF266" s="77">
        <f t="shared" si="672"/>
        <v>2.0857243058891584E-4</v>
      </c>
      <c r="AH266" t="s">
        <v>175</v>
      </c>
      <c r="AI266" t="s">
        <v>176</v>
      </c>
      <c r="AJ266" s="197" t="str">
        <f t="shared" si="571"/>
        <v>Lifecycle_Balanced_279</v>
      </c>
      <c r="AK266">
        <v>279</v>
      </c>
      <c r="AL266">
        <f>VLOOKUP($U266,[2]Standard_Balanced!$Q$1:$T$542,2,FALSE)</f>
        <v>0.77777777777777779</v>
      </c>
      <c r="AM266">
        <f>VLOOKUP($U266,[2]Standard_Balanced!$Q$1:$T$542,3,FALSE)</f>
        <v>0.22222222222222221</v>
      </c>
      <c r="AN266">
        <f>VLOOKUP($U266,[2]Standard_Balanced!$Q$1:$T$542,4,FALSE)</f>
        <v>0</v>
      </c>
      <c r="AO266" s="77">
        <f t="shared" si="658"/>
        <v>1</v>
      </c>
      <c r="AP266" s="77">
        <f t="shared" si="683"/>
        <v>6.1674999999999987E-2</v>
      </c>
      <c r="AQ266" s="77">
        <f t="shared" si="572"/>
        <v>4.9997781870025904E-3</v>
      </c>
      <c r="AR266" s="79">
        <v>0</v>
      </c>
      <c r="AS266" s="77">
        <f t="shared" si="684"/>
        <v>0</v>
      </c>
      <c r="AT266" s="77">
        <f t="shared" ref="AT266" si="698">1-(1-AS266)^(1/12)</f>
        <v>0</v>
      </c>
      <c r="AU266" s="77">
        <f t="shared" si="686"/>
        <v>2.5000000000000001E-3</v>
      </c>
      <c r="AV266" s="77">
        <f t="shared" ref="AV266" si="699">1-(1-AU266)^(1/12)</f>
        <v>2.0857243058891584E-4</v>
      </c>
      <c r="AX266" t="s">
        <v>178</v>
      </c>
      <c r="AY266" t="s">
        <v>160</v>
      </c>
      <c r="AZ266" s="197" t="str">
        <f t="shared" si="575"/>
        <v>DIS_Non-Standard_279</v>
      </c>
      <c r="BA266">
        <v>279</v>
      </c>
      <c r="BB266">
        <f>VLOOKUP($BA266,'[2]NonStandard DIS'!$Q$1:$X$542,2,FALSE)</f>
        <v>0</v>
      </c>
      <c r="BC266">
        <f>VLOOKUP($BA266,'[2]NonStandard DIS'!$Q$1:$X$542,3,FALSE)</f>
        <v>0</v>
      </c>
      <c r="BD266">
        <f>VLOOKUP($BA266,'[2]NonStandard DIS'!$Q$1:$X$542,4,FALSE)</f>
        <v>0.308</v>
      </c>
      <c r="BE266">
        <f>VLOOKUP($BA266,'[2]NonStandard DIS'!$Q$1:$X$542,5,FALSE)</f>
        <v>0.69199999999999995</v>
      </c>
      <c r="BF266">
        <f>VLOOKUP($BA266,'[2]NonStandard DIS'!$Q$1:$X$542,6,FALSE)</f>
        <v>0</v>
      </c>
      <c r="BG266">
        <f>VLOOKUP($BA266,'[2]NonStandard DIS'!$Q$1:$X$542,7,FALSE)</f>
        <v>0</v>
      </c>
      <c r="BH266">
        <f>VLOOKUP($BA266,'[2]NonStandard DIS'!$Q$1:$X$542,8,FALSE)</f>
        <v>0</v>
      </c>
      <c r="BI266" s="77">
        <f t="shared" si="675"/>
        <v>1</v>
      </c>
      <c r="BJ266" s="77">
        <f t="shared" si="676"/>
        <v>6.9728499999999985E-2</v>
      </c>
      <c r="BK266" s="77">
        <f t="shared" si="657"/>
        <v>5.632878498097682E-3</v>
      </c>
      <c r="BL266" s="79">
        <v>0</v>
      </c>
      <c r="BM266" s="77">
        <f t="shared" si="688"/>
        <v>0</v>
      </c>
      <c r="BN266" s="77">
        <f t="shared" si="689"/>
        <v>0</v>
      </c>
      <c r="BO266" s="77">
        <f t="shared" si="690"/>
        <v>5.6775999999999997E-3</v>
      </c>
      <c r="BP266" s="77">
        <f t="shared" si="691"/>
        <v>4.7190657760731725E-4</v>
      </c>
    </row>
    <row r="267" spans="1:68">
      <c r="A267" t="s">
        <v>175</v>
      </c>
      <c r="B267" t="s">
        <v>176</v>
      </c>
      <c r="C267" s="197" t="str">
        <f t="shared" si="569"/>
        <v>Lifecycle_Balanced_278</v>
      </c>
      <c r="D267">
        <v>278</v>
      </c>
      <c r="E267">
        <f>VLOOKUP($D267,'[2]LC Balanced'!$Q$2:$U$542,2,FALSE)</f>
        <v>0</v>
      </c>
      <c r="F267">
        <f>VLOOKUP($D267,'[2]LC Balanced'!$Q$2:$U$542,3,FALSE)</f>
        <v>0.14899999999999999</v>
      </c>
      <c r="G267">
        <f>VLOOKUP($D267,'[2]LC Balanced'!$Q$2:$U$542,4,FALSE)</f>
        <v>0.85099999999999998</v>
      </c>
      <c r="H267">
        <f>VLOOKUP($D267,'[2]LC Balanced'!$Q$2:$U$542,5,FALSE)</f>
        <v>0</v>
      </c>
      <c r="I267" s="77">
        <f t="shared" si="670"/>
        <v>1</v>
      </c>
      <c r="J267" s="77">
        <f t="shared" si="671"/>
        <v>6.1987699999999986E-2</v>
      </c>
      <c r="K267" s="77">
        <f t="shared" si="661"/>
        <v>5.024442123284345E-3</v>
      </c>
      <c r="L267" s="76">
        <v>0</v>
      </c>
      <c r="M267" s="77">
        <f t="shared" si="677"/>
        <v>0</v>
      </c>
      <c r="N267" s="77">
        <f t="shared" si="678"/>
        <v>0</v>
      </c>
      <c r="O267" s="77">
        <f t="shared" si="679"/>
        <v>7.0062999999999992E-3</v>
      </c>
      <c r="P267" s="77">
        <f t="shared" si="680"/>
        <v>5.85741666996209E-4</v>
      </c>
      <c r="R267" t="s">
        <v>177</v>
      </c>
      <c r="S267" t="s">
        <v>176</v>
      </c>
      <c r="T267" s="197" t="str">
        <f t="shared" si="612"/>
        <v>Autopilot_Balanced_278</v>
      </c>
      <c r="U267">
        <v>278</v>
      </c>
      <c r="V267">
        <f>VLOOKUP($U267,'[2]AP Balanced'!$Q$1:$T$542,2,FALSE)</f>
        <v>0.77777777777777779</v>
      </c>
      <c r="W267">
        <f>VLOOKUP($U267,'[2]AP Balanced'!$Q$1:$T$542,3,FALSE)</f>
        <v>0.22222222222222221</v>
      </c>
      <c r="X267">
        <f>VLOOKUP($U267,'[2]AP Balanced'!$Q$1:$T$542,4,FALSE)</f>
        <v>0</v>
      </c>
      <c r="Y267" s="77">
        <f t="shared" si="570"/>
        <v>1</v>
      </c>
      <c r="Z267" s="77">
        <f t="shared" si="559"/>
        <v>6.1674999999999987E-2</v>
      </c>
      <c r="AA267" s="77">
        <f t="shared" si="560"/>
        <v>4.9997781870025904E-3</v>
      </c>
      <c r="AB267" s="79">
        <v>1</v>
      </c>
      <c r="AC267" s="77">
        <f t="shared" si="681"/>
        <v>8.0555555555555554E-3</v>
      </c>
      <c r="AD267" s="77">
        <f t="shared" si="672"/>
        <v>6.7378764057135498E-4</v>
      </c>
      <c r="AE267" s="77">
        <f t="shared" si="682"/>
        <v>2.5000000000000001E-3</v>
      </c>
      <c r="AF267" s="77">
        <f t="shared" si="672"/>
        <v>2.0857243058891584E-4</v>
      </c>
      <c r="AH267" t="s">
        <v>175</v>
      </c>
      <c r="AI267" t="s">
        <v>176</v>
      </c>
      <c r="AJ267" s="197" t="str">
        <f t="shared" si="571"/>
        <v>Lifecycle_Balanced_278</v>
      </c>
      <c r="AK267">
        <v>278</v>
      </c>
      <c r="AL267">
        <f>VLOOKUP($U267,[2]Standard_Balanced!$Q$1:$T$542,2,FALSE)</f>
        <v>0.77777777777777779</v>
      </c>
      <c r="AM267">
        <f>VLOOKUP($U267,[2]Standard_Balanced!$Q$1:$T$542,3,FALSE)</f>
        <v>0.22222222222222221</v>
      </c>
      <c r="AN267">
        <f>VLOOKUP($U267,[2]Standard_Balanced!$Q$1:$T$542,4,FALSE)</f>
        <v>0</v>
      </c>
      <c r="AO267" s="77">
        <f t="shared" si="658"/>
        <v>1</v>
      </c>
      <c r="AP267" s="77">
        <f t="shared" si="683"/>
        <v>6.1674999999999987E-2</v>
      </c>
      <c r="AQ267" s="77">
        <f t="shared" si="572"/>
        <v>4.9997781870025904E-3</v>
      </c>
      <c r="AR267" s="79">
        <v>0</v>
      </c>
      <c r="AS267" s="77">
        <f t="shared" si="684"/>
        <v>0</v>
      </c>
      <c r="AT267" s="77">
        <f t="shared" ref="AT267" si="700">1-(1-AS267)^(1/12)</f>
        <v>0</v>
      </c>
      <c r="AU267" s="77">
        <f t="shared" si="686"/>
        <v>2.5000000000000001E-3</v>
      </c>
      <c r="AV267" s="77">
        <f t="shared" ref="AV267" si="701">1-(1-AU267)^(1/12)</f>
        <v>2.0857243058891584E-4</v>
      </c>
      <c r="AX267" t="s">
        <v>178</v>
      </c>
      <c r="AY267" t="s">
        <v>160</v>
      </c>
      <c r="AZ267" s="197" t="str">
        <f t="shared" si="575"/>
        <v>DIS_Non-Standard_278</v>
      </c>
      <c r="BA267">
        <v>278</v>
      </c>
      <c r="BB267">
        <f>VLOOKUP($BA267,'[2]NonStandard DIS'!$Q$1:$X$542,2,FALSE)</f>
        <v>0</v>
      </c>
      <c r="BC267">
        <f>VLOOKUP($BA267,'[2]NonStandard DIS'!$Q$1:$X$542,3,FALSE)</f>
        <v>0</v>
      </c>
      <c r="BD267">
        <f>VLOOKUP($BA267,'[2]NonStandard DIS'!$Q$1:$X$542,4,FALSE)</f>
        <v>0.308</v>
      </c>
      <c r="BE267">
        <f>VLOOKUP($BA267,'[2]NonStandard DIS'!$Q$1:$X$542,5,FALSE)</f>
        <v>0.69199999999999995</v>
      </c>
      <c r="BF267">
        <f>VLOOKUP($BA267,'[2]NonStandard DIS'!$Q$1:$X$542,6,FALSE)</f>
        <v>0</v>
      </c>
      <c r="BG267">
        <f>VLOOKUP($BA267,'[2]NonStandard DIS'!$Q$1:$X$542,7,FALSE)</f>
        <v>0</v>
      </c>
      <c r="BH267">
        <f>VLOOKUP($BA267,'[2]NonStandard DIS'!$Q$1:$X$542,8,FALSE)</f>
        <v>0</v>
      </c>
      <c r="BI267" s="77">
        <f t="shared" si="675"/>
        <v>1</v>
      </c>
      <c r="BJ267" s="77">
        <f t="shared" si="676"/>
        <v>6.9728499999999985E-2</v>
      </c>
      <c r="BK267" s="77">
        <f t="shared" si="657"/>
        <v>5.632878498097682E-3</v>
      </c>
      <c r="BL267" s="79">
        <v>0</v>
      </c>
      <c r="BM267" s="77">
        <f t="shared" si="688"/>
        <v>0</v>
      </c>
      <c r="BN267" s="77">
        <f t="shared" si="689"/>
        <v>0</v>
      </c>
      <c r="BO267" s="77">
        <f t="shared" si="690"/>
        <v>5.6775999999999997E-3</v>
      </c>
      <c r="BP267" s="77">
        <f t="shared" si="691"/>
        <v>4.7190657760731725E-4</v>
      </c>
    </row>
    <row r="268" spans="1:68">
      <c r="A268" t="s">
        <v>175</v>
      </c>
      <c r="B268" t="s">
        <v>176</v>
      </c>
      <c r="C268" s="197" t="str">
        <f t="shared" si="569"/>
        <v>Lifecycle_Balanced_277</v>
      </c>
      <c r="D268">
        <v>277</v>
      </c>
      <c r="E268">
        <f>VLOOKUP($D268,'[2]LC Balanced'!$Q$2:$U$542,2,FALSE)</f>
        <v>0</v>
      </c>
      <c r="F268">
        <f>VLOOKUP($D268,'[2]LC Balanced'!$Q$2:$U$542,3,FALSE)</f>
        <v>0.14899999999999999</v>
      </c>
      <c r="G268">
        <f>VLOOKUP($D268,'[2]LC Balanced'!$Q$2:$U$542,4,FALSE)</f>
        <v>0.85099999999999998</v>
      </c>
      <c r="H268">
        <f>VLOOKUP($D268,'[2]LC Balanced'!$Q$2:$U$542,5,FALSE)</f>
        <v>0</v>
      </c>
      <c r="I268" s="77">
        <f t="shared" si="670"/>
        <v>1</v>
      </c>
      <c r="J268" s="77">
        <f t="shared" si="671"/>
        <v>6.1987699999999986E-2</v>
      </c>
      <c r="K268" s="77">
        <f t="shared" si="661"/>
        <v>5.024442123284345E-3</v>
      </c>
      <c r="L268" s="76">
        <v>0</v>
      </c>
      <c r="M268" s="77">
        <f t="shared" si="677"/>
        <v>0</v>
      </c>
      <c r="N268" s="77">
        <f t="shared" si="678"/>
        <v>0</v>
      </c>
      <c r="O268" s="77">
        <f t="shared" si="679"/>
        <v>7.0062999999999992E-3</v>
      </c>
      <c r="P268" s="77">
        <f t="shared" si="680"/>
        <v>5.85741666996209E-4</v>
      </c>
      <c r="R268" t="s">
        <v>177</v>
      </c>
      <c r="S268" t="s">
        <v>176</v>
      </c>
      <c r="T268" s="197" t="str">
        <f t="shared" si="612"/>
        <v>Autopilot_Balanced_277</v>
      </c>
      <c r="U268">
        <v>277</v>
      </c>
      <c r="V268">
        <f>VLOOKUP($U268,'[2]AP Balanced'!$Q$1:$T$542,2,FALSE)</f>
        <v>0.77777777777777779</v>
      </c>
      <c r="W268">
        <f>VLOOKUP($U268,'[2]AP Balanced'!$Q$1:$T$542,3,FALSE)</f>
        <v>0.22222222222222221</v>
      </c>
      <c r="X268">
        <f>VLOOKUP($U268,'[2]AP Balanced'!$Q$1:$T$542,4,FALSE)</f>
        <v>0</v>
      </c>
      <c r="Y268" s="77">
        <f t="shared" si="570"/>
        <v>1</v>
      </c>
      <c r="Z268" s="77">
        <f t="shared" si="559"/>
        <v>6.1674999999999987E-2</v>
      </c>
      <c r="AA268" s="77">
        <f t="shared" si="560"/>
        <v>4.9997781870025904E-3</v>
      </c>
      <c r="AB268" s="79">
        <v>1</v>
      </c>
      <c r="AC268" s="77">
        <f t="shared" si="681"/>
        <v>8.0555555555555554E-3</v>
      </c>
      <c r="AD268" s="77">
        <f t="shared" si="672"/>
        <v>6.7378764057135498E-4</v>
      </c>
      <c r="AE268" s="77">
        <f t="shared" si="682"/>
        <v>2.5000000000000001E-3</v>
      </c>
      <c r="AF268" s="77">
        <f t="shared" si="672"/>
        <v>2.0857243058891584E-4</v>
      </c>
      <c r="AH268" t="s">
        <v>175</v>
      </c>
      <c r="AI268" t="s">
        <v>176</v>
      </c>
      <c r="AJ268" s="197" t="str">
        <f t="shared" si="571"/>
        <v>Lifecycle_Balanced_277</v>
      </c>
      <c r="AK268">
        <v>277</v>
      </c>
      <c r="AL268">
        <f>VLOOKUP($U268,[2]Standard_Balanced!$Q$1:$T$542,2,FALSE)</f>
        <v>0.77777777777777779</v>
      </c>
      <c r="AM268">
        <f>VLOOKUP($U268,[2]Standard_Balanced!$Q$1:$T$542,3,FALSE)</f>
        <v>0.22222222222222221</v>
      </c>
      <c r="AN268">
        <f>VLOOKUP($U268,[2]Standard_Balanced!$Q$1:$T$542,4,FALSE)</f>
        <v>0</v>
      </c>
      <c r="AO268" s="77">
        <f t="shared" si="658"/>
        <v>1</v>
      </c>
      <c r="AP268" s="77">
        <f t="shared" si="683"/>
        <v>6.1674999999999987E-2</v>
      </c>
      <c r="AQ268" s="77">
        <f t="shared" si="572"/>
        <v>4.9997781870025904E-3</v>
      </c>
      <c r="AR268" s="79">
        <v>0</v>
      </c>
      <c r="AS268" s="77">
        <f t="shared" si="684"/>
        <v>0</v>
      </c>
      <c r="AT268" s="77">
        <f t="shared" ref="AT268" si="702">1-(1-AS268)^(1/12)</f>
        <v>0</v>
      </c>
      <c r="AU268" s="77">
        <f t="shared" si="686"/>
        <v>2.5000000000000001E-3</v>
      </c>
      <c r="AV268" s="77">
        <f t="shared" ref="AV268" si="703">1-(1-AU268)^(1/12)</f>
        <v>2.0857243058891584E-4</v>
      </c>
      <c r="AX268" t="s">
        <v>178</v>
      </c>
      <c r="AY268" t="s">
        <v>160</v>
      </c>
      <c r="AZ268" s="197" t="str">
        <f t="shared" si="575"/>
        <v>DIS_Non-Standard_277</v>
      </c>
      <c r="BA268">
        <v>277</v>
      </c>
      <c r="BB268">
        <f>VLOOKUP($BA268,'[2]NonStandard DIS'!$Q$1:$X$542,2,FALSE)</f>
        <v>0</v>
      </c>
      <c r="BC268">
        <f>VLOOKUP($BA268,'[2]NonStandard DIS'!$Q$1:$X$542,3,FALSE)</f>
        <v>0</v>
      </c>
      <c r="BD268">
        <f>VLOOKUP($BA268,'[2]NonStandard DIS'!$Q$1:$X$542,4,FALSE)</f>
        <v>0.308</v>
      </c>
      <c r="BE268">
        <f>VLOOKUP($BA268,'[2]NonStandard DIS'!$Q$1:$X$542,5,FALSE)</f>
        <v>0.69199999999999995</v>
      </c>
      <c r="BF268">
        <f>VLOOKUP($BA268,'[2]NonStandard DIS'!$Q$1:$X$542,6,FALSE)</f>
        <v>0</v>
      </c>
      <c r="BG268">
        <f>VLOOKUP($BA268,'[2]NonStandard DIS'!$Q$1:$X$542,7,FALSE)</f>
        <v>0</v>
      </c>
      <c r="BH268">
        <f>VLOOKUP($BA268,'[2]NonStandard DIS'!$Q$1:$X$542,8,FALSE)</f>
        <v>0</v>
      </c>
      <c r="BI268" s="77">
        <f t="shared" si="675"/>
        <v>1</v>
      </c>
      <c r="BJ268" s="77">
        <f t="shared" si="676"/>
        <v>6.9728499999999985E-2</v>
      </c>
      <c r="BK268" s="77">
        <f t="shared" si="657"/>
        <v>5.632878498097682E-3</v>
      </c>
      <c r="BL268" s="79">
        <v>0</v>
      </c>
      <c r="BM268" s="77">
        <f t="shared" si="688"/>
        <v>0</v>
      </c>
      <c r="BN268" s="77">
        <f t="shared" si="689"/>
        <v>0</v>
      </c>
      <c r="BO268" s="77">
        <f t="shared" si="690"/>
        <v>5.6775999999999997E-3</v>
      </c>
      <c r="BP268" s="77">
        <f t="shared" si="691"/>
        <v>4.7190657760731725E-4</v>
      </c>
    </row>
    <row r="269" spans="1:68">
      <c r="A269" t="s">
        <v>175</v>
      </c>
      <c r="B269" t="s">
        <v>176</v>
      </c>
      <c r="C269" s="197" t="str">
        <f t="shared" si="569"/>
        <v>Lifecycle_Balanced_276</v>
      </c>
      <c r="D269">
        <v>276</v>
      </c>
      <c r="E269">
        <f>VLOOKUP($D269,'[2]LC Balanced'!$Q$2:$U$542,2,FALSE)</f>
        <v>0</v>
      </c>
      <c r="F269">
        <f>VLOOKUP($D269,'[2]LC Balanced'!$Q$2:$U$542,3,FALSE)</f>
        <v>0.14899999999999999</v>
      </c>
      <c r="G269">
        <f>VLOOKUP($D269,'[2]LC Balanced'!$Q$2:$U$542,4,FALSE)</f>
        <v>0.85099999999999998</v>
      </c>
      <c r="H269">
        <f>VLOOKUP($D269,'[2]LC Balanced'!$Q$2:$U$542,5,FALSE)</f>
        <v>0</v>
      </c>
      <c r="I269" s="77">
        <f t="shared" si="670"/>
        <v>1</v>
      </c>
      <c r="J269" s="77">
        <f t="shared" si="671"/>
        <v>6.1987699999999986E-2</v>
      </c>
      <c r="K269" s="77">
        <f t="shared" si="661"/>
        <v>5.024442123284345E-3</v>
      </c>
      <c r="L269" s="76">
        <v>0</v>
      </c>
      <c r="M269" s="77">
        <f t="shared" si="677"/>
        <v>0</v>
      </c>
      <c r="N269" s="77">
        <f t="shared" si="678"/>
        <v>0</v>
      </c>
      <c r="O269" s="77">
        <f t="shared" si="679"/>
        <v>7.0062999999999992E-3</v>
      </c>
      <c r="P269" s="77">
        <f t="shared" si="680"/>
        <v>5.85741666996209E-4</v>
      </c>
      <c r="R269" t="s">
        <v>177</v>
      </c>
      <c r="S269" t="s">
        <v>176</v>
      </c>
      <c r="T269" s="197" t="str">
        <f t="shared" si="612"/>
        <v>Autopilot_Balanced_276</v>
      </c>
      <c r="U269">
        <v>276</v>
      </c>
      <c r="V269">
        <f>VLOOKUP($U269,'[2]AP Balanced'!$Q$1:$T$542,2,FALSE)</f>
        <v>0.77777777777777779</v>
      </c>
      <c r="W269">
        <f>VLOOKUP($U269,'[2]AP Balanced'!$Q$1:$T$542,3,FALSE)</f>
        <v>0.22222222222222221</v>
      </c>
      <c r="X269">
        <f>VLOOKUP($U269,'[2]AP Balanced'!$Q$1:$T$542,4,FALSE)</f>
        <v>0</v>
      </c>
      <c r="Y269" s="77">
        <f t="shared" si="570"/>
        <v>1</v>
      </c>
      <c r="Z269" s="77">
        <f t="shared" si="559"/>
        <v>6.1674999999999987E-2</v>
      </c>
      <c r="AA269" s="77">
        <f t="shared" si="560"/>
        <v>4.9997781870025904E-3</v>
      </c>
      <c r="AB269" s="79">
        <v>1</v>
      </c>
      <c r="AC269" s="77">
        <f t="shared" si="681"/>
        <v>8.0555555555555554E-3</v>
      </c>
      <c r="AD269" s="77">
        <f t="shared" si="672"/>
        <v>6.7378764057135498E-4</v>
      </c>
      <c r="AE269" s="77">
        <f t="shared" si="682"/>
        <v>2.5000000000000001E-3</v>
      </c>
      <c r="AF269" s="77">
        <f t="shared" si="672"/>
        <v>2.0857243058891584E-4</v>
      </c>
      <c r="AH269" t="s">
        <v>175</v>
      </c>
      <c r="AI269" t="s">
        <v>176</v>
      </c>
      <c r="AJ269" s="197" t="str">
        <f t="shared" si="571"/>
        <v>Lifecycle_Balanced_276</v>
      </c>
      <c r="AK269">
        <v>276</v>
      </c>
      <c r="AL269">
        <f>VLOOKUP($U269,[2]Standard_Balanced!$Q$1:$T$542,2,FALSE)</f>
        <v>0.77777777777777779</v>
      </c>
      <c r="AM269">
        <f>VLOOKUP($U269,[2]Standard_Balanced!$Q$1:$T$542,3,FALSE)</f>
        <v>0.22222222222222221</v>
      </c>
      <c r="AN269">
        <f>VLOOKUP($U269,[2]Standard_Balanced!$Q$1:$T$542,4,FALSE)</f>
        <v>0</v>
      </c>
      <c r="AO269" s="77">
        <f t="shared" si="658"/>
        <v>1</v>
      </c>
      <c r="AP269" s="77">
        <f t="shared" si="683"/>
        <v>6.1674999999999987E-2</v>
      </c>
      <c r="AQ269" s="77">
        <f t="shared" si="572"/>
        <v>4.9997781870025904E-3</v>
      </c>
      <c r="AR269" s="79">
        <v>0</v>
      </c>
      <c r="AS269" s="77">
        <f t="shared" si="684"/>
        <v>0</v>
      </c>
      <c r="AT269" s="77">
        <f t="shared" ref="AT269" si="704">1-(1-AS269)^(1/12)</f>
        <v>0</v>
      </c>
      <c r="AU269" s="77">
        <f t="shared" si="686"/>
        <v>2.5000000000000001E-3</v>
      </c>
      <c r="AV269" s="77">
        <f t="shared" ref="AV269" si="705">1-(1-AU269)^(1/12)</f>
        <v>2.0857243058891584E-4</v>
      </c>
      <c r="AX269" t="s">
        <v>178</v>
      </c>
      <c r="AY269" t="s">
        <v>160</v>
      </c>
      <c r="AZ269" s="197" t="str">
        <f t="shared" si="575"/>
        <v>DIS_Non-Standard_276</v>
      </c>
      <c r="BA269">
        <v>276</v>
      </c>
      <c r="BB269">
        <f>VLOOKUP($BA269,'[2]NonStandard DIS'!$Q$1:$X$542,2,FALSE)</f>
        <v>0</v>
      </c>
      <c r="BC269">
        <f>VLOOKUP($BA269,'[2]NonStandard DIS'!$Q$1:$X$542,3,FALSE)</f>
        <v>0</v>
      </c>
      <c r="BD269">
        <f>VLOOKUP($BA269,'[2]NonStandard DIS'!$Q$1:$X$542,4,FALSE)</f>
        <v>0.308</v>
      </c>
      <c r="BE269">
        <f>VLOOKUP($BA269,'[2]NonStandard DIS'!$Q$1:$X$542,5,FALSE)</f>
        <v>0.69199999999999995</v>
      </c>
      <c r="BF269">
        <f>VLOOKUP($BA269,'[2]NonStandard DIS'!$Q$1:$X$542,6,FALSE)</f>
        <v>0</v>
      </c>
      <c r="BG269">
        <f>VLOOKUP($BA269,'[2]NonStandard DIS'!$Q$1:$X$542,7,FALSE)</f>
        <v>0</v>
      </c>
      <c r="BH269">
        <f>VLOOKUP($BA269,'[2]NonStandard DIS'!$Q$1:$X$542,8,FALSE)</f>
        <v>0</v>
      </c>
      <c r="BI269" s="77">
        <f t="shared" si="675"/>
        <v>1</v>
      </c>
      <c r="BJ269" s="77">
        <f t="shared" si="676"/>
        <v>6.9728499999999985E-2</v>
      </c>
      <c r="BK269" s="77">
        <f t="shared" si="657"/>
        <v>5.632878498097682E-3</v>
      </c>
      <c r="BL269" s="79">
        <v>0</v>
      </c>
      <c r="BM269" s="77">
        <f t="shared" si="688"/>
        <v>0</v>
      </c>
      <c r="BN269" s="77">
        <f t="shared" si="689"/>
        <v>0</v>
      </c>
      <c r="BO269" s="77">
        <f t="shared" si="690"/>
        <v>5.6775999999999997E-3</v>
      </c>
      <c r="BP269" s="77">
        <f t="shared" si="691"/>
        <v>4.7190657760731725E-4</v>
      </c>
    </row>
    <row r="270" spans="1:68">
      <c r="A270" t="s">
        <v>175</v>
      </c>
      <c r="B270" t="s">
        <v>176</v>
      </c>
      <c r="C270" s="197" t="str">
        <f t="shared" si="569"/>
        <v>Lifecycle_Balanced_275</v>
      </c>
      <c r="D270">
        <v>275</v>
      </c>
      <c r="E270">
        <f>VLOOKUP($D270,'[2]LC Balanced'!$Q$2:$U$542,2,FALSE)</f>
        <v>0</v>
      </c>
      <c r="F270">
        <f>VLOOKUP($D270,'[2]LC Balanced'!$Q$2:$U$542,3,FALSE)</f>
        <v>0.14899999999999999</v>
      </c>
      <c r="G270">
        <f>VLOOKUP($D270,'[2]LC Balanced'!$Q$2:$U$542,4,FALSE)</f>
        <v>0.85099999999999998</v>
      </c>
      <c r="H270">
        <f>VLOOKUP($D270,'[2]LC Balanced'!$Q$2:$U$542,5,FALSE)</f>
        <v>0</v>
      </c>
      <c r="I270" s="77">
        <f t="shared" si="670"/>
        <v>1</v>
      </c>
      <c r="J270" s="77">
        <f t="shared" si="671"/>
        <v>6.1987699999999986E-2</v>
      </c>
      <c r="K270" s="77">
        <f t="shared" si="661"/>
        <v>5.024442123284345E-3</v>
      </c>
      <c r="L270" s="76">
        <v>0</v>
      </c>
      <c r="M270" s="77">
        <f t="shared" si="677"/>
        <v>0</v>
      </c>
      <c r="N270" s="77">
        <f t="shared" si="678"/>
        <v>0</v>
      </c>
      <c r="O270" s="77">
        <f t="shared" si="679"/>
        <v>7.0062999999999992E-3</v>
      </c>
      <c r="P270" s="77">
        <f t="shared" si="680"/>
        <v>5.85741666996209E-4</v>
      </c>
      <c r="R270" t="s">
        <v>177</v>
      </c>
      <c r="S270" t="s">
        <v>176</v>
      </c>
      <c r="T270" s="197" t="str">
        <f t="shared" si="612"/>
        <v>Autopilot_Balanced_275</v>
      </c>
      <c r="U270">
        <v>275</v>
      </c>
      <c r="V270">
        <f>VLOOKUP($U270,'[2]AP Balanced'!$Q$1:$T$542,2,FALSE)</f>
        <v>0.77777777777777779</v>
      </c>
      <c r="W270">
        <f>VLOOKUP($U270,'[2]AP Balanced'!$Q$1:$T$542,3,FALSE)</f>
        <v>0.22222222222222221</v>
      </c>
      <c r="X270">
        <f>VLOOKUP($U270,'[2]AP Balanced'!$Q$1:$T$542,4,FALSE)</f>
        <v>0</v>
      </c>
      <c r="Y270" s="77">
        <f t="shared" si="570"/>
        <v>1</v>
      </c>
      <c r="Z270" s="77">
        <f t="shared" si="559"/>
        <v>6.1674999999999987E-2</v>
      </c>
      <c r="AA270" s="77">
        <f t="shared" si="560"/>
        <v>4.9997781870025904E-3</v>
      </c>
      <c r="AB270" s="79">
        <v>1</v>
      </c>
      <c r="AC270" s="77">
        <f t="shared" si="681"/>
        <v>8.0555555555555554E-3</v>
      </c>
      <c r="AD270" s="77">
        <f t="shared" si="672"/>
        <v>6.7378764057135498E-4</v>
      </c>
      <c r="AE270" s="77">
        <f t="shared" si="682"/>
        <v>2.5000000000000001E-3</v>
      </c>
      <c r="AF270" s="77">
        <f t="shared" si="672"/>
        <v>2.0857243058891584E-4</v>
      </c>
      <c r="AH270" t="s">
        <v>175</v>
      </c>
      <c r="AI270" t="s">
        <v>176</v>
      </c>
      <c r="AJ270" s="197" t="str">
        <f t="shared" si="571"/>
        <v>Lifecycle_Balanced_275</v>
      </c>
      <c r="AK270">
        <v>275</v>
      </c>
      <c r="AL270">
        <f>VLOOKUP($U270,[2]Standard_Balanced!$Q$1:$T$542,2,FALSE)</f>
        <v>0.77777777777777779</v>
      </c>
      <c r="AM270">
        <f>VLOOKUP($U270,[2]Standard_Balanced!$Q$1:$T$542,3,FALSE)</f>
        <v>0.22222222222222221</v>
      </c>
      <c r="AN270">
        <f>VLOOKUP($U270,[2]Standard_Balanced!$Q$1:$T$542,4,FALSE)</f>
        <v>0</v>
      </c>
      <c r="AO270" s="77">
        <f t="shared" si="658"/>
        <v>1</v>
      </c>
      <c r="AP270" s="77">
        <f t="shared" si="683"/>
        <v>6.1674999999999987E-2</v>
      </c>
      <c r="AQ270" s="77">
        <f t="shared" si="572"/>
        <v>4.9997781870025904E-3</v>
      </c>
      <c r="AR270" s="79">
        <v>0</v>
      </c>
      <c r="AS270" s="77">
        <f t="shared" si="684"/>
        <v>0</v>
      </c>
      <c r="AT270" s="77">
        <f t="shared" ref="AT270" si="706">1-(1-AS270)^(1/12)</f>
        <v>0</v>
      </c>
      <c r="AU270" s="77">
        <f t="shared" si="686"/>
        <v>2.5000000000000001E-3</v>
      </c>
      <c r="AV270" s="77">
        <f t="shared" ref="AV270" si="707">1-(1-AU270)^(1/12)</f>
        <v>2.0857243058891584E-4</v>
      </c>
      <c r="AX270" t="s">
        <v>178</v>
      </c>
      <c r="AY270" t="s">
        <v>160</v>
      </c>
      <c r="AZ270" s="197" t="str">
        <f t="shared" si="575"/>
        <v>DIS_Non-Standard_275</v>
      </c>
      <c r="BA270">
        <v>275</v>
      </c>
      <c r="BB270">
        <f>VLOOKUP($BA270,'[2]NonStandard DIS'!$Q$1:$X$542,2,FALSE)</f>
        <v>0</v>
      </c>
      <c r="BC270">
        <f>VLOOKUP($BA270,'[2]NonStandard DIS'!$Q$1:$X$542,3,FALSE)</f>
        <v>0</v>
      </c>
      <c r="BD270">
        <f>VLOOKUP($BA270,'[2]NonStandard DIS'!$Q$1:$X$542,4,FALSE)</f>
        <v>0.308</v>
      </c>
      <c r="BE270">
        <f>VLOOKUP($BA270,'[2]NonStandard DIS'!$Q$1:$X$542,5,FALSE)</f>
        <v>0.69199999999999995</v>
      </c>
      <c r="BF270">
        <f>VLOOKUP($BA270,'[2]NonStandard DIS'!$Q$1:$X$542,6,FALSE)</f>
        <v>0</v>
      </c>
      <c r="BG270">
        <f>VLOOKUP($BA270,'[2]NonStandard DIS'!$Q$1:$X$542,7,FALSE)</f>
        <v>0</v>
      </c>
      <c r="BH270">
        <f>VLOOKUP($BA270,'[2]NonStandard DIS'!$Q$1:$X$542,8,FALSE)</f>
        <v>0</v>
      </c>
      <c r="BI270" s="77">
        <f t="shared" si="675"/>
        <v>1</v>
      </c>
      <c r="BJ270" s="77">
        <f t="shared" si="676"/>
        <v>6.9728499999999985E-2</v>
      </c>
      <c r="BK270" s="77">
        <f t="shared" si="657"/>
        <v>5.632878498097682E-3</v>
      </c>
      <c r="BL270" s="79">
        <v>0</v>
      </c>
      <c r="BM270" s="77">
        <f t="shared" si="688"/>
        <v>0</v>
      </c>
      <c r="BN270" s="77">
        <f t="shared" si="689"/>
        <v>0</v>
      </c>
      <c r="BO270" s="77">
        <f t="shared" si="690"/>
        <v>5.6775999999999997E-3</v>
      </c>
      <c r="BP270" s="77">
        <f t="shared" si="691"/>
        <v>4.7190657760731725E-4</v>
      </c>
    </row>
    <row r="271" spans="1:68">
      <c r="A271" t="s">
        <v>175</v>
      </c>
      <c r="B271" t="s">
        <v>176</v>
      </c>
      <c r="C271" s="197" t="str">
        <f t="shared" si="569"/>
        <v>Lifecycle_Balanced_274</v>
      </c>
      <c r="D271">
        <v>274</v>
      </c>
      <c r="E271">
        <f>VLOOKUP($D271,'[2]LC Balanced'!$Q$2:$U$542,2,FALSE)</f>
        <v>0</v>
      </c>
      <c r="F271">
        <f>VLOOKUP($D271,'[2]LC Balanced'!$Q$2:$U$542,3,FALSE)</f>
        <v>0.14899999999999999</v>
      </c>
      <c r="G271">
        <f>VLOOKUP($D271,'[2]LC Balanced'!$Q$2:$U$542,4,FALSE)</f>
        <v>0.85099999999999998</v>
      </c>
      <c r="H271">
        <f>VLOOKUP($D271,'[2]LC Balanced'!$Q$2:$U$542,5,FALSE)</f>
        <v>0</v>
      </c>
      <c r="I271" s="77">
        <f t="shared" si="670"/>
        <v>1</v>
      </c>
      <c r="J271" s="77">
        <f t="shared" si="671"/>
        <v>6.1987699999999986E-2</v>
      </c>
      <c r="K271" s="77">
        <f t="shared" si="661"/>
        <v>5.024442123284345E-3</v>
      </c>
      <c r="L271" s="76">
        <v>0</v>
      </c>
      <c r="M271" s="77">
        <f t="shared" si="677"/>
        <v>0</v>
      </c>
      <c r="N271" s="77">
        <f t="shared" si="678"/>
        <v>0</v>
      </c>
      <c r="O271" s="77">
        <f t="shared" si="679"/>
        <v>7.0062999999999992E-3</v>
      </c>
      <c r="P271" s="77">
        <f t="shared" si="680"/>
        <v>5.85741666996209E-4</v>
      </c>
      <c r="R271" t="s">
        <v>177</v>
      </c>
      <c r="S271" t="s">
        <v>176</v>
      </c>
      <c r="T271" s="197" t="str">
        <f t="shared" si="612"/>
        <v>Autopilot_Balanced_274</v>
      </c>
      <c r="U271">
        <v>274</v>
      </c>
      <c r="V271">
        <f>VLOOKUP($U271,'[2]AP Balanced'!$Q$1:$T$542,2,FALSE)</f>
        <v>0.77777777777777779</v>
      </c>
      <c r="W271">
        <f>VLOOKUP($U271,'[2]AP Balanced'!$Q$1:$T$542,3,FALSE)</f>
        <v>0.22222222222222221</v>
      </c>
      <c r="X271">
        <f>VLOOKUP($U271,'[2]AP Balanced'!$Q$1:$T$542,4,FALSE)</f>
        <v>0</v>
      </c>
      <c r="Y271" s="77">
        <f t="shared" si="570"/>
        <v>1</v>
      </c>
      <c r="Z271" s="77">
        <f t="shared" si="559"/>
        <v>6.1674999999999987E-2</v>
      </c>
      <c r="AA271" s="77">
        <f t="shared" si="560"/>
        <v>4.9997781870025904E-3</v>
      </c>
      <c r="AB271" s="79">
        <v>1</v>
      </c>
      <c r="AC271" s="77">
        <f t="shared" si="681"/>
        <v>8.0555555555555554E-3</v>
      </c>
      <c r="AD271" s="77">
        <f t="shared" si="672"/>
        <v>6.7378764057135498E-4</v>
      </c>
      <c r="AE271" s="77">
        <f t="shared" si="682"/>
        <v>2.5000000000000001E-3</v>
      </c>
      <c r="AF271" s="77">
        <f t="shared" si="672"/>
        <v>2.0857243058891584E-4</v>
      </c>
      <c r="AH271" t="s">
        <v>175</v>
      </c>
      <c r="AI271" t="s">
        <v>176</v>
      </c>
      <c r="AJ271" s="197" t="str">
        <f t="shared" si="571"/>
        <v>Lifecycle_Balanced_274</v>
      </c>
      <c r="AK271">
        <v>274</v>
      </c>
      <c r="AL271">
        <f>VLOOKUP($U271,[2]Standard_Balanced!$Q$1:$T$542,2,FALSE)</f>
        <v>0.77777777777777779</v>
      </c>
      <c r="AM271">
        <f>VLOOKUP($U271,[2]Standard_Balanced!$Q$1:$T$542,3,FALSE)</f>
        <v>0.22222222222222221</v>
      </c>
      <c r="AN271">
        <f>VLOOKUP($U271,[2]Standard_Balanced!$Q$1:$T$542,4,FALSE)</f>
        <v>0</v>
      </c>
      <c r="AO271" s="77">
        <f t="shared" si="658"/>
        <v>1</v>
      </c>
      <c r="AP271" s="77">
        <f t="shared" si="683"/>
        <v>6.1674999999999987E-2</v>
      </c>
      <c r="AQ271" s="77">
        <f t="shared" si="572"/>
        <v>4.9997781870025904E-3</v>
      </c>
      <c r="AR271" s="79">
        <v>0</v>
      </c>
      <c r="AS271" s="77">
        <f t="shared" si="684"/>
        <v>0</v>
      </c>
      <c r="AT271" s="77">
        <f t="shared" ref="AT271" si="708">1-(1-AS271)^(1/12)</f>
        <v>0</v>
      </c>
      <c r="AU271" s="77">
        <f t="shared" si="686"/>
        <v>2.5000000000000001E-3</v>
      </c>
      <c r="AV271" s="77">
        <f t="shared" ref="AV271" si="709">1-(1-AU271)^(1/12)</f>
        <v>2.0857243058891584E-4</v>
      </c>
      <c r="AX271" t="s">
        <v>178</v>
      </c>
      <c r="AY271" t="s">
        <v>160</v>
      </c>
      <c r="AZ271" s="197" t="str">
        <f t="shared" si="575"/>
        <v>DIS_Non-Standard_274</v>
      </c>
      <c r="BA271">
        <v>274</v>
      </c>
      <c r="BB271">
        <f>VLOOKUP($BA271,'[2]NonStandard DIS'!$Q$1:$X$542,2,FALSE)</f>
        <v>0</v>
      </c>
      <c r="BC271">
        <f>VLOOKUP($BA271,'[2]NonStandard DIS'!$Q$1:$X$542,3,FALSE)</f>
        <v>0</v>
      </c>
      <c r="BD271">
        <f>VLOOKUP($BA271,'[2]NonStandard DIS'!$Q$1:$X$542,4,FALSE)</f>
        <v>0.308</v>
      </c>
      <c r="BE271">
        <f>VLOOKUP($BA271,'[2]NonStandard DIS'!$Q$1:$X$542,5,FALSE)</f>
        <v>0.69199999999999995</v>
      </c>
      <c r="BF271">
        <f>VLOOKUP($BA271,'[2]NonStandard DIS'!$Q$1:$X$542,6,FALSE)</f>
        <v>0</v>
      </c>
      <c r="BG271">
        <f>VLOOKUP($BA271,'[2]NonStandard DIS'!$Q$1:$X$542,7,FALSE)</f>
        <v>0</v>
      </c>
      <c r="BH271">
        <f>VLOOKUP($BA271,'[2]NonStandard DIS'!$Q$1:$X$542,8,FALSE)</f>
        <v>0</v>
      </c>
      <c r="BI271" s="77">
        <f t="shared" si="675"/>
        <v>1</v>
      </c>
      <c r="BJ271" s="77">
        <f t="shared" si="676"/>
        <v>6.9728499999999985E-2</v>
      </c>
      <c r="BK271" s="77">
        <f t="shared" si="657"/>
        <v>5.632878498097682E-3</v>
      </c>
      <c r="BL271" s="79">
        <v>0</v>
      </c>
      <c r="BM271" s="77">
        <f t="shared" si="688"/>
        <v>0</v>
      </c>
      <c r="BN271" s="77">
        <f t="shared" si="689"/>
        <v>0</v>
      </c>
      <c r="BO271" s="77">
        <f t="shared" si="690"/>
        <v>5.6775999999999997E-3</v>
      </c>
      <c r="BP271" s="77">
        <f t="shared" si="691"/>
        <v>4.7190657760731725E-4</v>
      </c>
    </row>
    <row r="272" spans="1:68">
      <c r="A272" t="s">
        <v>175</v>
      </c>
      <c r="B272" t="s">
        <v>176</v>
      </c>
      <c r="C272" s="197" t="str">
        <f t="shared" si="569"/>
        <v>Lifecycle_Balanced_273</v>
      </c>
      <c r="D272">
        <v>273</v>
      </c>
      <c r="E272">
        <f>VLOOKUP($D272,'[2]LC Balanced'!$Q$2:$U$542,2,FALSE)</f>
        <v>0</v>
      </c>
      <c r="F272">
        <f>VLOOKUP($D272,'[2]LC Balanced'!$Q$2:$U$542,3,FALSE)</f>
        <v>0.14899999999999999</v>
      </c>
      <c r="G272">
        <f>VLOOKUP($D272,'[2]LC Balanced'!$Q$2:$U$542,4,FALSE)</f>
        <v>0.85099999999999998</v>
      </c>
      <c r="H272">
        <f>VLOOKUP($D272,'[2]LC Balanced'!$Q$2:$U$542,5,FALSE)</f>
        <v>0</v>
      </c>
      <c r="I272" s="77">
        <f t="shared" si="670"/>
        <v>1</v>
      </c>
      <c r="J272" s="77">
        <f t="shared" si="671"/>
        <v>6.1987699999999986E-2</v>
      </c>
      <c r="K272" s="77">
        <f t="shared" si="661"/>
        <v>5.024442123284345E-3</v>
      </c>
      <c r="L272" s="76">
        <v>0</v>
      </c>
      <c r="M272" s="77">
        <f t="shared" si="677"/>
        <v>0</v>
      </c>
      <c r="N272" s="77">
        <f t="shared" si="678"/>
        <v>0</v>
      </c>
      <c r="O272" s="77">
        <f t="shared" si="679"/>
        <v>7.0062999999999992E-3</v>
      </c>
      <c r="P272" s="77">
        <f t="shared" si="680"/>
        <v>5.85741666996209E-4</v>
      </c>
      <c r="R272" t="s">
        <v>177</v>
      </c>
      <c r="S272" t="s">
        <v>176</v>
      </c>
      <c r="T272" s="197" t="str">
        <f t="shared" si="612"/>
        <v>Autopilot_Balanced_273</v>
      </c>
      <c r="U272">
        <v>273</v>
      </c>
      <c r="V272">
        <f>VLOOKUP($U272,'[2]AP Balanced'!$Q$1:$T$542,2,FALSE)</f>
        <v>0.77777777777777779</v>
      </c>
      <c r="W272">
        <f>VLOOKUP($U272,'[2]AP Balanced'!$Q$1:$T$542,3,FALSE)</f>
        <v>0.22222222222222221</v>
      </c>
      <c r="X272">
        <f>VLOOKUP($U272,'[2]AP Balanced'!$Q$1:$T$542,4,FALSE)</f>
        <v>0</v>
      </c>
      <c r="Y272" s="77">
        <f t="shared" si="570"/>
        <v>1</v>
      </c>
      <c r="Z272" s="77">
        <f t="shared" si="559"/>
        <v>6.1674999999999987E-2</v>
      </c>
      <c r="AA272" s="77">
        <f t="shared" si="560"/>
        <v>4.9997781870025904E-3</v>
      </c>
      <c r="AB272" s="79">
        <v>1</v>
      </c>
      <c r="AC272" s="77">
        <f t="shared" si="681"/>
        <v>8.0555555555555554E-3</v>
      </c>
      <c r="AD272" s="77">
        <f t="shared" si="672"/>
        <v>6.7378764057135498E-4</v>
      </c>
      <c r="AE272" s="77">
        <f t="shared" si="682"/>
        <v>2.5000000000000001E-3</v>
      </c>
      <c r="AF272" s="77">
        <f t="shared" si="672"/>
        <v>2.0857243058891584E-4</v>
      </c>
      <c r="AH272" t="s">
        <v>175</v>
      </c>
      <c r="AI272" t="s">
        <v>176</v>
      </c>
      <c r="AJ272" s="197" t="str">
        <f t="shared" si="571"/>
        <v>Lifecycle_Balanced_273</v>
      </c>
      <c r="AK272">
        <v>273</v>
      </c>
      <c r="AL272">
        <f>VLOOKUP($U272,[2]Standard_Balanced!$Q$1:$T$542,2,FALSE)</f>
        <v>0.77777777777777779</v>
      </c>
      <c r="AM272">
        <f>VLOOKUP($U272,[2]Standard_Balanced!$Q$1:$T$542,3,FALSE)</f>
        <v>0.22222222222222221</v>
      </c>
      <c r="AN272">
        <f>VLOOKUP($U272,[2]Standard_Balanced!$Q$1:$T$542,4,FALSE)</f>
        <v>0</v>
      </c>
      <c r="AO272" s="77">
        <f t="shared" si="658"/>
        <v>1</v>
      </c>
      <c r="AP272" s="77">
        <f t="shared" si="683"/>
        <v>6.1674999999999987E-2</v>
      </c>
      <c r="AQ272" s="77">
        <f t="shared" si="572"/>
        <v>4.9997781870025904E-3</v>
      </c>
      <c r="AR272" s="79">
        <v>0</v>
      </c>
      <c r="AS272" s="77">
        <f t="shared" si="684"/>
        <v>0</v>
      </c>
      <c r="AT272" s="77">
        <f t="shared" ref="AT272" si="710">1-(1-AS272)^(1/12)</f>
        <v>0</v>
      </c>
      <c r="AU272" s="77">
        <f t="shared" si="686"/>
        <v>2.5000000000000001E-3</v>
      </c>
      <c r="AV272" s="77">
        <f t="shared" ref="AV272" si="711">1-(1-AU272)^(1/12)</f>
        <v>2.0857243058891584E-4</v>
      </c>
      <c r="AX272" t="s">
        <v>178</v>
      </c>
      <c r="AY272" t="s">
        <v>160</v>
      </c>
      <c r="AZ272" s="197" t="str">
        <f t="shared" si="575"/>
        <v>DIS_Non-Standard_273</v>
      </c>
      <c r="BA272">
        <v>273</v>
      </c>
      <c r="BB272">
        <f>VLOOKUP($BA272,'[2]NonStandard DIS'!$Q$1:$X$542,2,FALSE)</f>
        <v>0</v>
      </c>
      <c r="BC272">
        <f>VLOOKUP($BA272,'[2]NonStandard DIS'!$Q$1:$X$542,3,FALSE)</f>
        <v>0</v>
      </c>
      <c r="BD272">
        <f>VLOOKUP($BA272,'[2]NonStandard DIS'!$Q$1:$X$542,4,FALSE)</f>
        <v>0.308</v>
      </c>
      <c r="BE272">
        <f>VLOOKUP($BA272,'[2]NonStandard DIS'!$Q$1:$X$542,5,FALSE)</f>
        <v>0.69199999999999995</v>
      </c>
      <c r="BF272">
        <f>VLOOKUP($BA272,'[2]NonStandard DIS'!$Q$1:$X$542,6,FALSE)</f>
        <v>0</v>
      </c>
      <c r="BG272">
        <f>VLOOKUP($BA272,'[2]NonStandard DIS'!$Q$1:$X$542,7,FALSE)</f>
        <v>0</v>
      </c>
      <c r="BH272">
        <f>VLOOKUP($BA272,'[2]NonStandard DIS'!$Q$1:$X$542,8,FALSE)</f>
        <v>0</v>
      </c>
      <c r="BI272" s="77">
        <f t="shared" si="675"/>
        <v>1</v>
      </c>
      <c r="BJ272" s="77">
        <f t="shared" si="676"/>
        <v>6.9728499999999985E-2</v>
      </c>
      <c r="BK272" s="77">
        <f t="shared" si="657"/>
        <v>5.632878498097682E-3</v>
      </c>
      <c r="BL272" s="79">
        <v>0</v>
      </c>
      <c r="BM272" s="77">
        <f t="shared" si="688"/>
        <v>0</v>
      </c>
      <c r="BN272" s="77">
        <f t="shared" si="689"/>
        <v>0</v>
      </c>
      <c r="BO272" s="77">
        <f t="shared" si="690"/>
        <v>5.6775999999999997E-3</v>
      </c>
      <c r="BP272" s="77">
        <f t="shared" si="691"/>
        <v>4.7190657760731725E-4</v>
      </c>
    </row>
    <row r="273" spans="1:68">
      <c r="A273" t="s">
        <v>175</v>
      </c>
      <c r="B273" t="s">
        <v>176</v>
      </c>
      <c r="C273" s="197" t="str">
        <f t="shared" si="569"/>
        <v>Lifecycle_Balanced_272</v>
      </c>
      <c r="D273">
        <v>272</v>
      </c>
      <c r="E273">
        <f>VLOOKUP($D273,'[2]LC Balanced'!$Q$2:$U$542,2,FALSE)</f>
        <v>0</v>
      </c>
      <c r="F273">
        <f>VLOOKUP($D273,'[2]LC Balanced'!$Q$2:$U$542,3,FALSE)</f>
        <v>0.14899999999999999</v>
      </c>
      <c r="G273">
        <f>VLOOKUP($D273,'[2]LC Balanced'!$Q$2:$U$542,4,FALSE)</f>
        <v>0.85099999999999998</v>
      </c>
      <c r="H273">
        <f>VLOOKUP($D273,'[2]LC Balanced'!$Q$2:$U$542,5,FALSE)</f>
        <v>0</v>
      </c>
      <c r="I273" s="77">
        <f t="shared" si="670"/>
        <v>1</v>
      </c>
      <c r="J273" s="77">
        <f t="shared" si="671"/>
        <v>6.1987699999999986E-2</v>
      </c>
      <c r="K273" s="77">
        <f t="shared" si="661"/>
        <v>5.024442123284345E-3</v>
      </c>
      <c r="L273" s="76">
        <v>0</v>
      </c>
      <c r="M273" s="77">
        <f t="shared" si="677"/>
        <v>0</v>
      </c>
      <c r="N273" s="77">
        <f t="shared" si="678"/>
        <v>0</v>
      </c>
      <c r="O273" s="77">
        <f t="shared" si="679"/>
        <v>7.0062999999999992E-3</v>
      </c>
      <c r="P273" s="77">
        <f t="shared" si="680"/>
        <v>5.85741666996209E-4</v>
      </c>
      <c r="R273" t="s">
        <v>177</v>
      </c>
      <c r="S273" t="s">
        <v>176</v>
      </c>
      <c r="T273" s="197" t="str">
        <f t="shared" si="612"/>
        <v>Autopilot_Balanced_272</v>
      </c>
      <c r="U273">
        <v>272</v>
      </c>
      <c r="V273">
        <f>VLOOKUP($U273,'[2]AP Balanced'!$Q$1:$T$542,2,FALSE)</f>
        <v>0.77777777777777779</v>
      </c>
      <c r="W273">
        <f>VLOOKUP($U273,'[2]AP Balanced'!$Q$1:$T$542,3,FALSE)</f>
        <v>0.22222222222222221</v>
      </c>
      <c r="X273">
        <f>VLOOKUP($U273,'[2]AP Balanced'!$Q$1:$T$542,4,FALSE)</f>
        <v>0</v>
      </c>
      <c r="Y273" s="77">
        <f t="shared" si="570"/>
        <v>1</v>
      </c>
      <c r="Z273" s="77">
        <f t="shared" si="559"/>
        <v>6.1674999999999987E-2</v>
      </c>
      <c r="AA273" s="77">
        <f t="shared" si="560"/>
        <v>4.9997781870025904E-3</v>
      </c>
      <c r="AB273" s="79">
        <v>1</v>
      </c>
      <c r="AC273" s="77">
        <f t="shared" si="681"/>
        <v>8.0555555555555554E-3</v>
      </c>
      <c r="AD273" s="77">
        <f t="shared" si="672"/>
        <v>6.7378764057135498E-4</v>
      </c>
      <c r="AE273" s="77">
        <f t="shared" si="682"/>
        <v>2.5000000000000001E-3</v>
      </c>
      <c r="AF273" s="77">
        <f t="shared" si="672"/>
        <v>2.0857243058891584E-4</v>
      </c>
      <c r="AH273" t="s">
        <v>175</v>
      </c>
      <c r="AI273" t="s">
        <v>176</v>
      </c>
      <c r="AJ273" s="197" t="str">
        <f t="shared" si="571"/>
        <v>Lifecycle_Balanced_272</v>
      </c>
      <c r="AK273">
        <v>272</v>
      </c>
      <c r="AL273">
        <f>VLOOKUP($U273,[2]Standard_Balanced!$Q$1:$T$542,2,FALSE)</f>
        <v>0.77777777777777779</v>
      </c>
      <c r="AM273">
        <f>VLOOKUP($U273,[2]Standard_Balanced!$Q$1:$T$542,3,FALSE)</f>
        <v>0.22222222222222221</v>
      </c>
      <c r="AN273">
        <f>VLOOKUP($U273,[2]Standard_Balanced!$Q$1:$T$542,4,FALSE)</f>
        <v>0</v>
      </c>
      <c r="AO273" s="77">
        <f t="shared" si="658"/>
        <v>1</v>
      </c>
      <c r="AP273" s="77">
        <f t="shared" si="683"/>
        <v>6.1674999999999987E-2</v>
      </c>
      <c r="AQ273" s="77">
        <f t="shared" si="572"/>
        <v>4.9997781870025904E-3</v>
      </c>
      <c r="AR273" s="79">
        <v>0</v>
      </c>
      <c r="AS273" s="77">
        <f t="shared" si="684"/>
        <v>0</v>
      </c>
      <c r="AT273" s="77">
        <f t="shared" ref="AT273" si="712">1-(1-AS273)^(1/12)</f>
        <v>0</v>
      </c>
      <c r="AU273" s="77">
        <f t="shared" si="686"/>
        <v>2.5000000000000001E-3</v>
      </c>
      <c r="AV273" s="77">
        <f t="shared" ref="AV273" si="713">1-(1-AU273)^(1/12)</f>
        <v>2.0857243058891584E-4</v>
      </c>
      <c r="AX273" t="s">
        <v>178</v>
      </c>
      <c r="AY273" t="s">
        <v>160</v>
      </c>
      <c r="AZ273" s="197" t="str">
        <f t="shared" si="575"/>
        <v>DIS_Non-Standard_272</v>
      </c>
      <c r="BA273">
        <v>272</v>
      </c>
      <c r="BB273">
        <f>VLOOKUP($BA273,'[2]NonStandard DIS'!$Q$1:$X$542,2,FALSE)</f>
        <v>0</v>
      </c>
      <c r="BC273">
        <f>VLOOKUP($BA273,'[2]NonStandard DIS'!$Q$1:$X$542,3,FALSE)</f>
        <v>0</v>
      </c>
      <c r="BD273">
        <f>VLOOKUP($BA273,'[2]NonStandard DIS'!$Q$1:$X$542,4,FALSE)</f>
        <v>0.308</v>
      </c>
      <c r="BE273">
        <f>VLOOKUP($BA273,'[2]NonStandard DIS'!$Q$1:$X$542,5,FALSE)</f>
        <v>0.69199999999999995</v>
      </c>
      <c r="BF273">
        <f>VLOOKUP($BA273,'[2]NonStandard DIS'!$Q$1:$X$542,6,FALSE)</f>
        <v>0</v>
      </c>
      <c r="BG273">
        <f>VLOOKUP($BA273,'[2]NonStandard DIS'!$Q$1:$X$542,7,FALSE)</f>
        <v>0</v>
      </c>
      <c r="BH273">
        <f>VLOOKUP($BA273,'[2]NonStandard DIS'!$Q$1:$X$542,8,FALSE)</f>
        <v>0</v>
      </c>
      <c r="BI273" s="77">
        <f t="shared" si="675"/>
        <v>1</v>
      </c>
      <c r="BJ273" s="77">
        <f t="shared" si="676"/>
        <v>6.9728499999999985E-2</v>
      </c>
      <c r="BK273" s="77">
        <f t="shared" si="657"/>
        <v>5.632878498097682E-3</v>
      </c>
      <c r="BL273" s="79">
        <v>0</v>
      </c>
      <c r="BM273" s="77">
        <f t="shared" si="688"/>
        <v>0</v>
      </c>
      <c r="BN273" s="77">
        <f t="shared" si="689"/>
        <v>0</v>
      </c>
      <c r="BO273" s="77">
        <f t="shared" si="690"/>
        <v>5.6775999999999997E-3</v>
      </c>
      <c r="BP273" s="77">
        <f t="shared" si="691"/>
        <v>4.7190657760731725E-4</v>
      </c>
    </row>
    <row r="274" spans="1:68">
      <c r="A274" t="s">
        <v>175</v>
      </c>
      <c r="B274" t="s">
        <v>176</v>
      </c>
      <c r="C274" s="197" t="str">
        <f t="shared" si="569"/>
        <v>Lifecycle_Balanced_271</v>
      </c>
      <c r="D274">
        <v>271</v>
      </c>
      <c r="E274">
        <f>VLOOKUP($D274,'[2]LC Balanced'!$Q$2:$U$542,2,FALSE)</f>
        <v>0</v>
      </c>
      <c r="F274">
        <f>VLOOKUP($D274,'[2]LC Balanced'!$Q$2:$U$542,3,FALSE)</f>
        <v>0.14899999999999999</v>
      </c>
      <c r="G274">
        <f>VLOOKUP($D274,'[2]LC Balanced'!$Q$2:$U$542,4,FALSE)</f>
        <v>0.85099999999999998</v>
      </c>
      <c r="H274">
        <f>VLOOKUP($D274,'[2]LC Balanced'!$Q$2:$U$542,5,FALSE)</f>
        <v>0</v>
      </c>
      <c r="I274" s="77">
        <f t="shared" si="670"/>
        <v>1</v>
      </c>
      <c r="J274" s="77">
        <f t="shared" si="671"/>
        <v>6.1987699999999986E-2</v>
      </c>
      <c r="K274" s="77">
        <f t="shared" si="661"/>
        <v>5.024442123284345E-3</v>
      </c>
      <c r="L274" s="76">
        <v>0</v>
      </c>
      <c r="M274" s="77">
        <f t="shared" si="677"/>
        <v>0</v>
      </c>
      <c r="N274" s="77">
        <f t="shared" si="678"/>
        <v>0</v>
      </c>
      <c r="O274" s="77">
        <f t="shared" si="679"/>
        <v>7.0062999999999992E-3</v>
      </c>
      <c r="P274" s="77">
        <f t="shared" si="680"/>
        <v>5.85741666996209E-4</v>
      </c>
      <c r="R274" t="s">
        <v>177</v>
      </c>
      <c r="S274" t="s">
        <v>176</v>
      </c>
      <c r="T274" s="197" t="str">
        <f t="shared" si="612"/>
        <v>Autopilot_Balanced_271</v>
      </c>
      <c r="U274">
        <v>271</v>
      </c>
      <c r="V274">
        <f>VLOOKUP($U274,'[2]AP Balanced'!$Q$1:$T$542,2,FALSE)</f>
        <v>0.77777777777777779</v>
      </c>
      <c r="W274">
        <f>VLOOKUP($U274,'[2]AP Balanced'!$Q$1:$T$542,3,FALSE)</f>
        <v>0.22222222222222221</v>
      </c>
      <c r="X274">
        <f>VLOOKUP($U274,'[2]AP Balanced'!$Q$1:$T$542,4,FALSE)</f>
        <v>0</v>
      </c>
      <c r="Y274" s="77">
        <f t="shared" si="570"/>
        <v>1</v>
      </c>
      <c r="Z274" s="77">
        <f t="shared" si="559"/>
        <v>6.1674999999999987E-2</v>
      </c>
      <c r="AA274" s="77">
        <f t="shared" si="560"/>
        <v>4.9997781870025904E-3</v>
      </c>
      <c r="AB274" s="79">
        <v>1</v>
      </c>
      <c r="AC274" s="77">
        <f t="shared" si="681"/>
        <v>8.0555555555555554E-3</v>
      </c>
      <c r="AD274" s="77">
        <f t="shared" si="672"/>
        <v>6.7378764057135498E-4</v>
      </c>
      <c r="AE274" s="77">
        <f t="shared" si="682"/>
        <v>2.5000000000000001E-3</v>
      </c>
      <c r="AF274" s="77">
        <f t="shared" si="672"/>
        <v>2.0857243058891584E-4</v>
      </c>
      <c r="AH274" t="s">
        <v>175</v>
      </c>
      <c r="AI274" t="s">
        <v>176</v>
      </c>
      <c r="AJ274" s="197" t="str">
        <f t="shared" si="571"/>
        <v>Lifecycle_Balanced_271</v>
      </c>
      <c r="AK274">
        <v>271</v>
      </c>
      <c r="AL274">
        <f>VLOOKUP($U274,[2]Standard_Balanced!$Q$1:$T$542,2,FALSE)</f>
        <v>0.77777777777777779</v>
      </c>
      <c r="AM274">
        <f>VLOOKUP($U274,[2]Standard_Balanced!$Q$1:$T$542,3,FALSE)</f>
        <v>0.22222222222222221</v>
      </c>
      <c r="AN274">
        <f>VLOOKUP($U274,[2]Standard_Balanced!$Q$1:$T$542,4,FALSE)</f>
        <v>0</v>
      </c>
      <c r="AO274" s="77">
        <f t="shared" si="658"/>
        <v>1</v>
      </c>
      <c r="AP274" s="77">
        <f t="shared" si="683"/>
        <v>6.1674999999999987E-2</v>
      </c>
      <c r="AQ274" s="77">
        <f t="shared" si="572"/>
        <v>4.9997781870025904E-3</v>
      </c>
      <c r="AR274" s="79">
        <v>0</v>
      </c>
      <c r="AS274" s="77">
        <f t="shared" si="684"/>
        <v>0</v>
      </c>
      <c r="AT274" s="77">
        <f t="shared" ref="AT274" si="714">1-(1-AS274)^(1/12)</f>
        <v>0</v>
      </c>
      <c r="AU274" s="77">
        <f t="shared" si="686"/>
        <v>2.5000000000000001E-3</v>
      </c>
      <c r="AV274" s="77">
        <f t="shared" ref="AV274" si="715">1-(1-AU274)^(1/12)</f>
        <v>2.0857243058891584E-4</v>
      </c>
      <c r="AX274" t="s">
        <v>178</v>
      </c>
      <c r="AY274" t="s">
        <v>160</v>
      </c>
      <c r="AZ274" s="197" t="str">
        <f t="shared" si="575"/>
        <v>DIS_Non-Standard_271</v>
      </c>
      <c r="BA274">
        <v>271</v>
      </c>
      <c r="BB274">
        <f>VLOOKUP($BA274,'[2]NonStandard DIS'!$Q$1:$X$542,2,FALSE)</f>
        <v>0</v>
      </c>
      <c r="BC274">
        <f>VLOOKUP($BA274,'[2]NonStandard DIS'!$Q$1:$X$542,3,FALSE)</f>
        <v>0</v>
      </c>
      <c r="BD274">
        <f>VLOOKUP($BA274,'[2]NonStandard DIS'!$Q$1:$X$542,4,FALSE)</f>
        <v>0.308</v>
      </c>
      <c r="BE274">
        <f>VLOOKUP($BA274,'[2]NonStandard DIS'!$Q$1:$X$542,5,FALSE)</f>
        <v>0.69199999999999995</v>
      </c>
      <c r="BF274">
        <f>VLOOKUP($BA274,'[2]NonStandard DIS'!$Q$1:$X$542,6,FALSE)</f>
        <v>0</v>
      </c>
      <c r="BG274">
        <f>VLOOKUP($BA274,'[2]NonStandard DIS'!$Q$1:$X$542,7,FALSE)</f>
        <v>0</v>
      </c>
      <c r="BH274">
        <f>VLOOKUP($BA274,'[2]NonStandard DIS'!$Q$1:$X$542,8,FALSE)</f>
        <v>0</v>
      </c>
      <c r="BI274" s="77">
        <f t="shared" si="675"/>
        <v>1</v>
      </c>
      <c r="BJ274" s="77">
        <f t="shared" si="676"/>
        <v>6.9728499999999985E-2</v>
      </c>
      <c r="BK274" s="77">
        <f t="shared" si="657"/>
        <v>5.632878498097682E-3</v>
      </c>
      <c r="BL274" s="79">
        <v>0</v>
      </c>
      <c r="BM274" s="77">
        <f t="shared" si="688"/>
        <v>0</v>
      </c>
      <c r="BN274" s="77">
        <f t="shared" si="689"/>
        <v>0</v>
      </c>
      <c r="BO274" s="77">
        <f t="shared" si="690"/>
        <v>5.6775999999999997E-3</v>
      </c>
      <c r="BP274" s="77">
        <f t="shared" si="691"/>
        <v>4.7190657760731725E-4</v>
      </c>
    </row>
    <row r="275" spans="1:68">
      <c r="A275" t="s">
        <v>175</v>
      </c>
      <c r="B275" t="s">
        <v>176</v>
      </c>
      <c r="C275" s="197" t="str">
        <f t="shared" si="569"/>
        <v>Lifecycle_Balanced_270</v>
      </c>
      <c r="D275">
        <v>270</v>
      </c>
      <c r="E275">
        <f>VLOOKUP($D275,'[2]LC Balanced'!$Q$2:$U$542,2,FALSE)</f>
        <v>0</v>
      </c>
      <c r="F275">
        <f>VLOOKUP($D275,'[2]LC Balanced'!$Q$2:$U$542,3,FALSE)</f>
        <v>0.14899999999999999</v>
      </c>
      <c r="G275">
        <f>VLOOKUP($D275,'[2]LC Balanced'!$Q$2:$U$542,4,FALSE)</f>
        <v>0.85099999999999998</v>
      </c>
      <c r="H275">
        <f>VLOOKUP($D275,'[2]LC Balanced'!$Q$2:$U$542,5,FALSE)</f>
        <v>0</v>
      </c>
      <c r="I275" s="77">
        <f t="shared" si="670"/>
        <v>1</v>
      </c>
      <c r="J275" s="77">
        <f t="shared" si="671"/>
        <v>6.1987699999999986E-2</v>
      </c>
      <c r="K275" s="77">
        <f t="shared" si="661"/>
        <v>5.024442123284345E-3</v>
      </c>
      <c r="L275" s="76">
        <v>0</v>
      </c>
      <c r="M275" s="77">
        <f t="shared" si="677"/>
        <v>0</v>
      </c>
      <c r="N275" s="77">
        <f t="shared" si="678"/>
        <v>0</v>
      </c>
      <c r="O275" s="77">
        <f t="shared" si="679"/>
        <v>7.0062999999999992E-3</v>
      </c>
      <c r="P275" s="77">
        <f t="shared" si="680"/>
        <v>5.85741666996209E-4</v>
      </c>
      <c r="R275" t="s">
        <v>177</v>
      </c>
      <c r="S275" t="s">
        <v>176</v>
      </c>
      <c r="T275" s="197" t="str">
        <f t="shared" si="612"/>
        <v>Autopilot_Balanced_270</v>
      </c>
      <c r="U275">
        <v>270</v>
      </c>
      <c r="V275">
        <f>VLOOKUP($U275,'[2]AP Balanced'!$Q$1:$T$542,2,FALSE)</f>
        <v>0.77777777777777779</v>
      </c>
      <c r="W275">
        <f>VLOOKUP($U275,'[2]AP Balanced'!$Q$1:$T$542,3,FALSE)</f>
        <v>0.22222222222222221</v>
      </c>
      <c r="X275">
        <f>VLOOKUP($U275,'[2]AP Balanced'!$Q$1:$T$542,4,FALSE)</f>
        <v>0</v>
      </c>
      <c r="Y275" s="77">
        <f t="shared" si="570"/>
        <v>1</v>
      </c>
      <c r="Z275" s="77">
        <f t="shared" ref="Z275:Z338" si="716">SUMPRODUCT($V$1:$X$1,V275:X275)</f>
        <v>6.1674999999999987E-2</v>
      </c>
      <c r="AA275" s="77">
        <f t="shared" ref="AA275:AA338" si="717">(1+Z275)^(1/12)-1</f>
        <v>4.9997781870025904E-3</v>
      </c>
      <c r="AB275" s="79">
        <v>1</v>
      </c>
      <c r="AC275" s="77">
        <f t="shared" si="681"/>
        <v>8.0555555555555554E-3</v>
      </c>
      <c r="AD275" s="77">
        <f t="shared" si="672"/>
        <v>6.7378764057135498E-4</v>
      </c>
      <c r="AE275" s="77">
        <f t="shared" si="682"/>
        <v>2.5000000000000001E-3</v>
      </c>
      <c r="AF275" s="77">
        <f t="shared" si="672"/>
        <v>2.0857243058891584E-4</v>
      </c>
      <c r="AH275" t="s">
        <v>175</v>
      </c>
      <c r="AI275" t="s">
        <v>176</v>
      </c>
      <c r="AJ275" s="197" t="str">
        <f t="shared" si="571"/>
        <v>Lifecycle_Balanced_270</v>
      </c>
      <c r="AK275">
        <v>270</v>
      </c>
      <c r="AL275">
        <f>VLOOKUP($U275,[2]Standard_Balanced!$Q$1:$T$542,2,FALSE)</f>
        <v>0.77777777777777779</v>
      </c>
      <c r="AM275">
        <f>VLOOKUP($U275,[2]Standard_Balanced!$Q$1:$T$542,3,FALSE)</f>
        <v>0.22222222222222221</v>
      </c>
      <c r="AN275">
        <f>VLOOKUP($U275,[2]Standard_Balanced!$Q$1:$T$542,4,FALSE)</f>
        <v>0</v>
      </c>
      <c r="AO275" s="77">
        <f t="shared" si="658"/>
        <v>1</v>
      </c>
      <c r="AP275" s="77">
        <f t="shared" si="683"/>
        <v>6.1674999999999987E-2</v>
      </c>
      <c r="AQ275" s="77">
        <f t="shared" si="572"/>
        <v>4.9997781870025904E-3</v>
      </c>
      <c r="AR275" s="79">
        <v>0</v>
      </c>
      <c r="AS275" s="77">
        <f t="shared" si="684"/>
        <v>0</v>
      </c>
      <c r="AT275" s="77">
        <f t="shared" ref="AT275" si="718">1-(1-AS275)^(1/12)</f>
        <v>0</v>
      </c>
      <c r="AU275" s="77">
        <f t="shared" si="686"/>
        <v>2.5000000000000001E-3</v>
      </c>
      <c r="AV275" s="77">
        <f t="shared" ref="AV275" si="719">1-(1-AU275)^(1/12)</f>
        <v>2.0857243058891584E-4</v>
      </c>
      <c r="AX275" t="s">
        <v>178</v>
      </c>
      <c r="AY275" t="s">
        <v>160</v>
      </c>
      <c r="AZ275" s="197" t="str">
        <f t="shared" si="575"/>
        <v>DIS_Non-Standard_270</v>
      </c>
      <c r="BA275">
        <v>270</v>
      </c>
      <c r="BB275">
        <f>VLOOKUP($BA275,'[2]NonStandard DIS'!$Q$1:$X$542,2,FALSE)</f>
        <v>0</v>
      </c>
      <c r="BC275">
        <f>VLOOKUP($BA275,'[2]NonStandard DIS'!$Q$1:$X$542,3,FALSE)</f>
        <v>0</v>
      </c>
      <c r="BD275">
        <f>VLOOKUP($BA275,'[2]NonStandard DIS'!$Q$1:$X$542,4,FALSE)</f>
        <v>0.308</v>
      </c>
      <c r="BE275">
        <f>VLOOKUP($BA275,'[2]NonStandard DIS'!$Q$1:$X$542,5,FALSE)</f>
        <v>0.69199999999999995</v>
      </c>
      <c r="BF275">
        <f>VLOOKUP($BA275,'[2]NonStandard DIS'!$Q$1:$X$542,6,FALSE)</f>
        <v>0</v>
      </c>
      <c r="BG275">
        <f>VLOOKUP($BA275,'[2]NonStandard DIS'!$Q$1:$X$542,7,FALSE)</f>
        <v>0</v>
      </c>
      <c r="BH275">
        <f>VLOOKUP($BA275,'[2]NonStandard DIS'!$Q$1:$X$542,8,FALSE)</f>
        <v>0</v>
      </c>
      <c r="BI275" s="77">
        <f t="shared" si="675"/>
        <v>1</v>
      </c>
      <c r="BJ275" s="77">
        <f t="shared" si="676"/>
        <v>6.9728499999999985E-2</v>
      </c>
      <c r="BK275" s="77">
        <f t="shared" si="657"/>
        <v>5.632878498097682E-3</v>
      </c>
      <c r="BL275" s="79">
        <v>0</v>
      </c>
      <c r="BM275" s="77">
        <f t="shared" si="688"/>
        <v>0</v>
      </c>
      <c r="BN275" s="77">
        <f t="shared" si="689"/>
        <v>0</v>
      </c>
      <c r="BO275" s="77">
        <f t="shared" si="690"/>
        <v>5.6775999999999997E-3</v>
      </c>
      <c r="BP275" s="77">
        <f t="shared" si="691"/>
        <v>4.7190657760731725E-4</v>
      </c>
    </row>
    <row r="276" spans="1:68">
      <c r="A276" t="s">
        <v>175</v>
      </c>
      <c r="B276" t="s">
        <v>176</v>
      </c>
      <c r="C276" s="197" t="str">
        <f t="shared" si="569"/>
        <v>Lifecycle_Balanced_269</v>
      </c>
      <c r="D276">
        <v>269</v>
      </c>
      <c r="E276">
        <f>VLOOKUP($D276,'[2]LC Balanced'!$Q$2:$U$542,2,FALSE)</f>
        <v>0</v>
      </c>
      <c r="F276">
        <f>VLOOKUP($D276,'[2]LC Balanced'!$Q$2:$U$542,3,FALSE)</f>
        <v>0.14899999999999999</v>
      </c>
      <c r="G276">
        <f>VLOOKUP($D276,'[2]LC Balanced'!$Q$2:$U$542,4,FALSE)</f>
        <v>0.85099999999999998</v>
      </c>
      <c r="H276">
        <f>VLOOKUP($D276,'[2]LC Balanced'!$Q$2:$U$542,5,FALSE)</f>
        <v>0</v>
      </c>
      <c r="I276" s="77">
        <f t="shared" si="670"/>
        <v>1</v>
      </c>
      <c r="J276" s="77">
        <f t="shared" si="671"/>
        <v>6.1987699999999986E-2</v>
      </c>
      <c r="K276" s="77">
        <f t="shared" si="661"/>
        <v>5.024442123284345E-3</v>
      </c>
      <c r="L276" s="76">
        <v>0</v>
      </c>
      <c r="M276" s="77">
        <f t="shared" si="677"/>
        <v>0</v>
      </c>
      <c r="N276" s="77">
        <f t="shared" si="678"/>
        <v>0</v>
      </c>
      <c r="O276" s="77">
        <f t="shared" si="679"/>
        <v>7.0062999999999992E-3</v>
      </c>
      <c r="P276" s="77">
        <f t="shared" si="680"/>
        <v>5.85741666996209E-4</v>
      </c>
      <c r="R276" t="s">
        <v>177</v>
      </c>
      <c r="S276" t="s">
        <v>176</v>
      </c>
      <c r="T276" s="197" t="str">
        <f t="shared" si="612"/>
        <v>Autopilot_Balanced_269</v>
      </c>
      <c r="U276">
        <v>269</v>
      </c>
      <c r="V276">
        <f>VLOOKUP($U276,'[2]AP Balanced'!$Q$1:$T$542,2,FALSE)</f>
        <v>0.77777777777777779</v>
      </c>
      <c r="W276">
        <f>VLOOKUP($U276,'[2]AP Balanced'!$Q$1:$T$542,3,FALSE)</f>
        <v>0.22222222222222221</v>
      </c>
      <c r="X276">
        <f>VLOOKUP($U276,'[2]AP Balanced'!$Q$1:$T$542,4,FALSE)</f>
        <v>0</v>
      </c>
      <c r="Y276" s="77">
        <f t="shared" si="570"/>
        <v>1</v>
      </c>
      <c r="Z276" s="77">
        <f t="shared" si="716"/>
        <v>6.1674999999999987E-2</v>
      </c>
      <c r="AA276" s="77">
        <f t="shared" si="717"/>
        <v>4.9997781870025904E-3</v>
      </c>
      <c r="AB276" s="79">
        <v>1</v>
      </c>
      <c r="AC276" s="77">
        <f t="shared" si="681"/>
        <v>8.0555555555555554E-3</v>
      </c>
      <c r="AD276" s="77">
        <f t="shared" si="672"/>
        <v>6.7378764057135498E-4</v>
      </c>
      <c r="AE276" s="77">
        <f t="shared" si="682"/>
        <v>2.5000000000000001E-3</v>
      </c>
      <c r="AF276" s="77">
        <f t="shared" si="672"/>
        <v>2.0857243058891584E-4</v>
      </c>
      <c r="AH276" t="s">
        <v>175</v>
      </c>
      <c r="AI276" t="s">
        <v>176</v>
      </c>
      <c r="AJ276" s="197" t="str">
        <f t="shared" si="571"/>
        <v>Lifecycle_Balanced_269</v>
      </c>
      <c r="AK276">
        <v>269</v>
      </c>
      <c r="AL276">
        <f>VLOOKUP($U276,[2]Standard_Balanced!$Q$1:$T$542,2,FALSE)</f>
        <v>0.77777777777777779</v>
      </c>
      <c r="AM276">
        <f>VLOOKUP($U276,[2]Standard_Balanced!$Q$1:$T$542,3,FALSE)</f>
        <v>0.22222222222222221</v>
      </c>
      <c r="AN276">
        <f>VLOOKUP($U276,[2]Standard_Balanced!$Q$1:$T$542,4,FALSE)</f>
        <v>0</v>
      </c>
      <c r="AO276" s="77">
        <f t="shared" si="658"/>
        <v>1</v>
      </c>
      <c r="AP276" s="77">
        <f t="shared" si="683"/>
        <v>6.1674999999999987E-2</v>
      </c>
      <c r="AQ276" s="77">
        <f t="shared" si="572"/>
        <v>4.9997781870025904E-3</v>
      </c>
      <c r="AR276" s="79">
        <v>0</v>
      </c>
      <c r="AS276" s="77">
        <f t="shared" si="684"/>
        <v>0</v>
      </c>
      <c r="AT276" s="77">
        <f t="shared" ref="AT276" si="720">1-(1-AS276)^(1/12)</f>
        <v>0</v>
      </c>
      <c r="AU276" s="77">
        <f t="shared" si="686"/>
        <v>2.5000000000000001E-3</v>
      </c>
      <c r="AV276" s="77">
        <f t="shared" ref="AV276" si="721">1-(1-AU276)^(1/12)</f>
        <v>2.0857243058891584E-4</v>
      </c>
      <c r="AX276" t="s">
        <v>178</v>
      </c>
      <c r="AY276" t="s">
        <v>160</v>
      </c>
      <c r="AZ276" s="197" t="str">
        <f t="shared" si="575"/>
        <v>DIS_Non-Standard_269</v>
      </c>
      <c r="BA276">
        <v>269</v>
      </c>
      <c r="BB276">
        <f>VLOOKUP($BA276,'[2]NonStandard DIS'!$Q$1:$X$542,2,FALSE)</f>
        <v>0</v>
      </c>
      <c r="BC276">
        <f>VLOOKUP($BA276,'[2]NonStandard DIS'!$Q$1:$X$542,3,FALSE)</f>
        <v>0</v>
      </c>
      <c r="BD276">
        <f>VLOOKUP($BA276,'[2]NonStandard DIS'!$Q$1:$X$542,4,FALSE)</f>
        <v>0.308</v>
      </c>
      <c r="BE276">
        <f>VLOOKUP($BA276,'[2]NonStandard DIS'!$Q$1:$X$542,5,FALSE)</f>
        <v>0.69199999999999995</v>
      </c>
      <c r="BF276">
        <f>VLOOKUP($BA276,'[2]NonStandard DIS'!$Q$1:$X$542,6,FALSE)</f>
        <v>0</v>
      </c>
      <c r="BG276">
        <f>VLOOKUP($BA276,'[2]NonStandard DIS'!$Q$1:$X$542,7,FALSE)</f>
        <v>0</v>
      </c>
      <c r="BH276">
        <f>VLOOKUP($BA276,'[2]NonStandard DIS'!$Q$1:$X$542,8,FALSE)</f>
        <v>0</v>
      </c>
      <c r="BI276" s="77">
        <f t="shared" si="675"/>
        <v>1</v>
      </c>
      <c r="BJ276" s="77">
        <f t="shared" si="676"/>
        <v>6.9728499999999985E-2</v>
      </c>
      <c r="BK276" s="77">
        <f t="shared" si="657"/>
        <v>5.632878498097682E-3</v>
      </c>
      <c r="BL276" s="79">
        <v>0</v>
      </c>
      <c r="BM276" s="77">
        <f t="shared" si="688"/>
        <v>0</v>
      </c>
      <c r="BN276" s="77">
        <f t="shared" si="689"/>
        <v>0</v>
      </c>
      <c r="BO276" s="77">
        <f t="shared" si="690"/>
        <v>5.6775999999999997E-3</v>
      </c>
      <c r="BP276" s="77">
        <f t="shared" si="691"/>
        <v>4.7190657760731725E-4</v>
      </c>
    </row>
    <row r="277" spans="1:68">
      <c r="A277" t="s">
        <v>175</v>
      </c>
      <c r="B277" t="s">
        <v>176</v>
      </c>
      <c r="C277" s="197" t="str">
        <f t="shared" si="569"/>
        <v>Lifecycle_Balanced_268</v>
      </c>
      <c r="D277">
        <v>268</v>
      </c>
      <c r="E277">
        <f>VLOOKUP($D277,'[2]LC Balanced'!$Q$2:$U$542,2,FALSE)</f>
        <v>0</v>
      </c>
      <c r="F277">
        <f>VLOOKUP($D277,'[2]LC Balanced'!$Q$2:$U$542,3,FALSE)</f>
        <v>0.14899999999999999</v>
      </c>
      <c r="G277">
        <f>VLOOKUP($D277,'[2]LC Balanced'!$Q$2:$U$542,4,FALSE)</f>
        <v>0.85099999999999998</v>
      </c>
      <c r="H277">
        <f>VLOOKUP($D277,'[2]LC Balanced'!$Q$2:$U$542,5,FALSE)</f>
        <v>0</v>
      </c>
      <c r="I277" s="77">
        <f t="shared" si="670"/>
        <v>1</v>
      </c>
      <c r="J277" s="77">
        <f t="shared" si="671"/>
        <v>6.1987699999999986E-2</v>
      </c>
      <c r="K277" s="77">
        <f t="shared" si="661"/>
        <v>5.024442123284345E-3</v>
      </c>
      <c r="L277" s="76">
        <v>0</v>
      </c>
      <c r="M277" s="77">
        <f t="shared" si="677"/>
        <v>0</v>
      </c>
      <c r="N277" s="77">
        <f t="shared" si="678"/>
        <v>0</v>
      </c>
      <c r="O277" s="77">
        <f t="shared" si="679"/>
        <v>7.0062999999999992E-3</v>
      </c>
      <c r="P277" s="77">
        <f t="shared" si="680"/>
        <v>5.85741666996209E-4</v>
      </c>
      <c r="R277" t="s">
        <v>177</v>
      </c>
      <c r="S277" t="s">
        <v>176</v>
      </c>
      <c r="T277" s="197" t="str">
        <f t="shared" si="612"/>
        <v>Autopilot_Balanced_268</v>
      </c>
      <c r="U277">
        <v>268</v>
      </c>
      <c r="V277">
        <f>VLOOKUP($U277,'[2]AP Balanced'!$Q$1:$T$542,2,FALSE)</f>
        <v>0.77777777777777779</v>
      </c>
      <c r="W277">
        <f>VLOOKUP($U277,'[2]AP Balanced'!$Q$1:$T$542,3,FALSE)</f>
        <v>0.22222222222222221</v>
      </c>
      <c r="X277">
        <f>VLOOKUP($U277,'[2]AP Balanced'!$Q$1:$T$542,4,FALSE)</f>
        <v>0</v>
      </c>
      <c r="Y277" s="77">
        <f t="shared" si="570"/>
        <v>1</v>
      </c>
      <c r="Z277" s="77">
        <f t="shared" si="716"/>
        <v>6.1674999999999987E-2</v>
      </c>
      <c r="AA277" s="77">
        <f t="shared" si="717"/>
        <v>4.9997781870025904E-3</v>
      </c>
      <c r="AB277" s="79">
        <v>1</v>
      </c>
      <c r="AC277" s="77">
        <f t="shared" si="681"/>
        <v>8.0555555555555554E-3</v>
      </c>
      <c r="AD277" s="77">
        <f t="shared" si="672"/>
        <v>6.7378764057135498E-4</v>
      </c>
      <c r="AE277" s="77">
        <f t="shared" si="682"/>
        <v>2.5000000000000001E-3</v>
      </c>
      <c r="AF277" s="77">
        <f t="shared" si="672"/>
        <v>2.0857243058891584E-4</v>
      </c>
      <c r="AH277" t="s">
        <v>175</v>
      </c>
      <c r="AI277" t="s">
        <v>176</v>
      </c>
      <c r="AJ277" s="197" t="str">
        <f t="shared" si="571"/>
        <v>Lifecycle_Balanced_268</v>
      </c>
      <c r="AK277">
        <v>268</v>
      </c>
      <c r="AL277">
        <f>VLOOKUP($U277,[2]Standard_Balanced!$Q$1:$T$542,2,FALSE)</f>
        <v>0.77777777777777779</v>
      </c>
      <c r="AM277">
        <f>VLOOKUP($U277,[2]Standard_Balanced!$Q$1:$T$542,3,FALSE)</f>
        <v>0.22222222222222221</v>
      </c>
      <c r="AN277">
        <f>VLOOKUP($U277,[2]Standard_Balanced!$Q$1:$T$542,4,FALSE)</f>
        <v>0</v>
      </c>
      <c r="AO277" s="77">
        <f t="shared" si="658"/>
        <v>1</v>
      </c>
      <c r="AP277" s="77">
        <f t="shared" si="683"/>
        <v>6.1674999999999987E-2</v>
      </c>
      <c r="AQ277" s="77">
        <f t="shared" si="572"/>
        <v>4.9997781870025904E-3</v>
      </c>
      <c r="AR277" s="79">
        <v>0</v>
      </c>
      <c r="AS277" s="77">
        <f t="shared" si="684"/>
        <v>0</v>
      </c>
      <c r="AT277" s="77">
        <f t="shared" ref="AT277" si="722">1-(1-AS277)^(1/12)</f>
        <v>0</v>
      </c>
      <c r="AU277" s="77">
        <f t="shared" si="686"/>
        <v>2.5000000000000001E-3</v>
      </c>
      <c r="AV277" s="77">
        <f t="shared" ref="AV277" si="723">1-(1-AU277)^(1/12)</f>
        <v>2.0857243058891584E-4</v>
      </c>
      <c r="AX277" t="s">
        <v>178</v>
      </c>
      <c r="AY277" t="s">
        <v>160</v>
      </c>
      <c r="AZ277" s="197" t="str">
        <f t="shared" si="575"/>
        <v>DIS_Non-Standard_268</v>
      </c>
      <c r="BA277">
        <v>268</v>
      </c>
      <c r="BB277">
        <f>VLOOKUP($BA277,'[2]NonStandard DIS'!$Q$1:$X$542,2,FALSE)</f>
        <v>0</v>
      </c>
      <c r="BC277">
        <f>VLOOKUP($BA277,'[2]NonStandard DIS'!$Q$1:$X$542,3,FALSE)</f>
        <v>0</v>
      </c>
      <c r="BD277">
        <f>VLOOKUP($BA277,'[2]NonStandard DIS'!$Q$1:$X$542,4,FALSE)</f>
        <v>0.308</v>
      </c>
      <c r="BE277">
        <f>VLOOKUP($BA277,'[2]NonStandard DIS'!$Q$1:$X$542,5,FALSE)</f>
        <v>0.69199999999999995</v>
      </c>
      <c r="BF277">
        <f>VLOOKUP($BA277,'[2]NonStandard DIS'!$Q$1:$X$542,6,FALSE)</f>
        <v>0</v>
      </c>
      <c r="BG277">
        <f>VLOOKUP($BA277,'[2]NonStandard DIS'!$Q$1:$X$542,7,FALSE)</f>
        <v>0</v>
      </c>
      <c r="BH277">
        <f>VLOOKUP($BA277,'[2]NonStandard DIS'!$Q$1:$X$542,8,FALSE)</f>
        <v>0</v>
      </c>
      <c r="BI277" s="77">
        <f t="shared" si="675"/>
        <v>1</v>
      </c>
      <c r="BJ277" s="77">
        <f t="shared" si="676"/>
        <v>6.9728499999999985E-2</v>
      </c>
      <c r="BK277" s="77">
        <f t="shared" si="657"/>
        <v>5.632878498097682E-3</v>
      </c>
      <c r="BL277" s="79">
        <v>0</v>
      </c>
      <c r="BM277" s="77">
        <f t="shared" si="688"/>
        <v>0</v>
      </c>
      <c r="BN277" s="77">
        <f t="shared" si="689"/>
        <v>0</v>
      </c>
      <c r="BO277" s="77">
        <f t="shared" si="690"/>
        <v>5.6775999999999997E-3</v>
      </c>
      <c r="BP277" s="77">
        <f t="shared" si="691"/>
        <v>4.7190657760731725E-4</v>
      </c>
    </row>
    <row r="278" spans="1:68">
      <c r="A278" t="s">
        <v>175</v>
      </c>
      <c r="B278" t="s">
        <v>176</v>
      </c>
      <c r="C278" s="197" t="str">
        <f t="shared" si="569"/>
        <v>Lifecycle_Balanced_267</v>
      </c>
      <c r="D278">
        <v>267</v>
      </c>
      <c r="E278">
        <f>VLOOKUP($D278,'[2]LC Balanced'!$Q$2:$U$542,2,FALSE)</f>
        <v>0</v>
      </c>
      <c r="F278">
        <f>VLOOKUP($D278,'[2]LC Balanced'!$Q$2:$U$542,3,FALSE)</f>
        <v>0.14899999999999999</v>
      </c>
      <c r="G278">
        <f>VLOOKUP($D278,'[2]LC Balanced'!$Q$2:$U$542,4,FALSE)</f>
        <v>0.85099999999999998</v>
      </c>
      <c r="H278">
        <f>VLOOKUP($D278,'[2]LC Balanced'!$Q$2:$U$542,5,FALSE)</f>
        <v>0</v>
      </c>
      <c r="I278" s="77">
        <f t="shared" si="670"/>
        <v>1</v>
      </c>
      <c r="J278" s="77">
        <f t="shared" si="671"/>
        <v>6.1987699999999986E-2</v>
      </c>
      <c r="K278" s="77">
        <f t="shared" si="661"/>
        <v>5.024442123284345E-3</v>
      </c>
      <c r="L278" s="76">
        <v>0</v>
      </c>
      <c r="M278" s="77">
        <f t="shared" si="677"/>
        <v>0</v>
      </c>
      <c r="N278" s="77">
        <f t="shared" si="678"/>
        <v>0</v>
      </c>
      <c r="O278" s="77">
        <f t="shared" si="679"/>
        <v>7.0062999999999992E-3</v>
      </c>
      <c r="P278" s="77">
        <f t="shared" si="680"/>
        <v>5.85741666996209E-4</v>
      </c>
      <c r="R278" t="s">
        <v>177</v>
      </c>
      <c r="S278" t="s">
        <v>176</v>
      </c>
      <c r="T278" s="197" t="str">
        <f t="shared" si="612"/>
        <v>Autopilot_Balanced_267</v>
      </c>
      <c r="U278">
        <v>267</v>
      </c>
      <c r="V278">
        <f>VLOOKUP($U278,'[2]AP Balanced'!$Q$1:$T$542,2,FALSE)</f>
        <v>0.77777777777777779</v>
      </c>
      <c r="W278">
        <f>VLOOKUP($U278,'[2]AP Balanced'!$Q$1:$T$542,3,FALSE)</f>
        <v>0.22222222222222221</v>
      </c>
      <c r="X278">
        <f>VLOOKUP($U278,'[2]AP Balanced'!$Q$1:$T$542,4,FALSE)</f>
        <v>0</v>
      </c>
      <c r="Y278" s="77">
        <f t="shared" si="570"/>
        <v>1</v>
      </c>
      <c r="Z278" s="77">
        <f t="shared" si="716"/>
        <v>6.1674999999999987E-2</v>
      </c>
      <c r="AA278" s="77">
        <f t="shared" si="717"/>
        <v>4.9997781870025904E-3</v>
      </c>
      <c r="AB278" s="79">
        <v>1</v>
      </c>
      <c r="AC278" s="77">
        <f t="shared" si="681"/>
        <v>8.0555555555555554E-3</v>
      </c>
      <c r="AD278" s="77">
        <f t="shared" si="672"/>
        <v>6.7378764057135498E-4</v>
      </c>
      <c r="AE278" s="77">
        <f t="shared" si="682"/>
        <v>2.5000000000000001E-3</v>
      </c>
      <c r="AF278" s="77">
        <f t="shared" si="672"/>
        <v>2.0857243058891584E-4</v>
      </c>
      <c r="AH278" t="s">
        <v>175</v>
      </c>
      <c r="AI278" t="s">
        <v>176</v>
      </c>
      <c r="AJ278" s="197" t="str">
        <f t="shared" si="571"/>
        <v>Lifecycle_Balanced_267</v>
      </c>
      <c r="AK278">
        <v>267</v>
      </c>
      <c r="AL278">
        <f>VLOOKUP($U278,[2]Standard_Balanced!$Q$1:$T$542,2,FALSE)</f>
        <v>0.77777777777777779</v>
      </c>
      <c r="AM278">
        <f>VLOOKUP($U278,[2]Standard_Balanced!$Q$1:$T$542,3,FALSE)</f>
        <v>0.22222222222222221</v>
      </c>
      <c r="AN278">
        <f>VLOOKUP($U278,[2]Standard_Balanced!$Q$1:$T$542,4,FALSE)</f>
        <v>0</v>
      </c>
      <c r="AO278" s="77">
        <f t="shared" si="658"/>
        <v>1</v>
      </c>
      <c r="AP278" s="77">
        <f t="shared" si="683"/>
        <v>6.1674999999999987E-2</v>
      </c>
      <c r="AQ278" s="77">
        <f t="shared" si="572"/>
        <v>4.9997781870025904E-3</v>
      </c>
      <c r="AR278" s="79">
        <v>0</v>
      </c>
      <c r="AS278" s="77">
        <f t="shared" si="684"/>
        <v>0</v>
      </c>
      <c r="AT278" s="77">
        <f t="shared" ref="AT278" si="724">1-(1-AS278)^(1/12)</f>
        <v>0</v>
      </c>
      <c r="AU278" s="77">
        <f t="shared" si="686"/>
        <v>2.5000000000000001E-3</v>
      </c>
      <c r="AV278" s="77">
        <f t="shared" ref="AV278" si="725">1-(1-AU278)^(1/12)</f>
        <v>2.0857243058891584E-4</v>
      </c>
      <c r="AX278" t="s">
        <v>178</v>
      </c>
      <c r="AY278" t="s">
        <v>160</v>
      </c>
      <c r="AZ278" s="197" t="str">
        <f t="shared" si="575"/>
        <v>DIS_Non-Standard_267</v>
      </c>
      <c r="BA278">
        <v>267</v>
      </c>
      <c r="BB278">
        <f>VLOOKUP($BA278,'[2]NonStandard DIS'!$Q$1:$X$542,2,FALSE)</f>
        <v>0</v>
      </c>
      <c r="BC278">
        <f>VLOOKUP($BA278,'[2]NonStandard DIS'!$Q$1:$X$542,3,FALSE)</f>
        <v>0</v>
      </c>
      <c r="BD278">
        <f>VLOOKUP($BA278,'[2]NonStandard DIS'!$Q$1:$X$542,4,FALSE)</f>
        <v>0.308</v>
      </c>
      <c r="BE278">
        <f>VLOOKUP($BA278,'[2]NonStandard DIS'!$Q$1:$X$542,5,FALSE)</f>
        <v>0.69199999999999995</v>
      </c>
      <c r="BF278">
        <f>VLOOKUP($BA278,'[2]NonStandard DIS'!$Q$1:$X$542,6,FALSE)</f>
        <v>0</v>
      </c>
      <c r="BG278">
        <f>VLOOKUP($BA278,'[2]NonStandard DIS'!$Q$1:$X$542,7,FALSE)</f>
        <v>0</v>
      </c>
      <c r="BH278">
        <f>VLOOKUP($BA278,'[2]NonStandard DIS'!$Q$1:$X$542,8,FALSE)</f>
        <v>0</v>
      </c>
      <c r="BI278" s="77">
        <f t="shared" si="675"/>
        <v>1</v>
      </c>
      <c r="BJ278" s="77">
        <f t="shared" si="676"/>
        <v>6.9728499999999985E-2</v>
      </c>
      <c r="BK278" s="77">
        <f t="shared" si="657"/>
        <v>5.632878498097682E-3</v>
      </c>
      <c r="BL278" s="79">
        <v>0</v>
      </c>
      <c r="BM278" s="77">
        <f t="shared" si="688"/>
        <v>0</v>
      </c>
      <c r="BN278" s="77">
        <f t="shared" si="689"/>
        <v>0</v>
      </c>
      <c r="BO278" s="77">
        <f t="shared" si="690"/>
        <v>5.6775999999999997E-3</v>
      </c>
      <c r="BP278" s="77">
        <f t="shared" si="691"/>
        <v>4.7190657760731725E-4</v>
      </c>
    </row>
    <row r="279" spans="1:68">
      <c r="A279" t="s">
        <v>175</v>
      </c>
      <c r="B279" t="s">
        <v>176</v>
      </c>
      <c r="C279" s="197" t="str">
        <f t="shared" ref="C279:C342" si="726">A279&amp;"_"&amp;B279&amp;"_"&amp;D279</f>
        <v>Lifecycle_Balanced_266</v>
      </c>
      <c r="D279">
        <v>266</v>
      </c>
      <c r="E279">
        <f>VLOOKUP($D279,'[2]LC Balanced'!$Q$2:$U$542,2,FALSE)</f>
        <v>0</v>
      </c>
      <c r="F279">
        <f>VLOOKUP($D279,'[2]LC Balanced'!$Q$2:$U$542,3,FALSE)</f>
        <v>0.14899999999999999</v>
      </c>
      <c r="G279">
        <f>VLOOKUP($D279,'[2]LC Balanced'!$Q$2:$U$542,4,FALSE)</f>
        <v>0.85099999999999998</v>
      </c>
      <c r="H279">
        <f>VLOOKUP($D279,'[2]LC Balanced'!$Q$2:$U$542,5,FALSE)</f>
        <v>0</v>
      </c>
      <c r="I279" s="77">
        <f t="shared" si="670"/>
        <v>1</v>
      </c>
      <c r="J279" s="77">
        <f t="shared" si="671"/>
        <v>6.1987699999999986E-2</v>
      </c>
      <c r="K279" s="77">
        <f t="shared" si="661"/>
        <v>5.024442123284345E-3</v>
      </c>
      <c r="L279" s="76">
        <v>0</v>
      </c>
      <c r="M279" s="77">
        <f t="shared" si="677"/>
        <v>0</v>
      </c>
      <c r="N279" s="77">
        <f t="shared" si="678"/>
        <v>0</v>
      </c>
      <c r="O279" s="77">
        <f t="shared" si="679"/>
        <v>7.0062999999999992E-3</v>
      </c>
      <c r="P279" s="77">
        <f t="shared" si="680"/>
        <v>5.85741666996209E-4</v>
      </c>
      <c r="R279" t="s">
        <v>177</v>
      </c>
      <c r="S279" t="s">
        <v>176</v>
      </c>
      <c r="T279" s="197" t="str">
        <f t="shared" si="612"/>
        <v>Autopilot_Balanced_266</v>
      </c>
      <c r="U279">
        <v>266</v>
      </c>
      <c r="V279">
        <f>VLOOKUP($U279,'[2]AP Balanced'!$Q$1:$T$542,2,FALSE)</f>
        <v>0.77777777777777779</v>
      </c>
      <c r="W279">
        <f>VLOOKUP($U279,'[2]AP Balanced'!$Q$1:$T$542,3,FALSE)</f>
        <v>0.22222222222222221</v>
      </c>
      <c r="X279">
        <f>VLOOKUP($U279,'[2]AP Balanced'!$Q$1:$T$542,4,FALSE)</f>
        <v>0</v>
      </c>
      <c r="Y279" s="77">
        <f t="shared" ref="Y279:Y342" si="727">SUM(V279:X279)</f>
        <v>1</v>
      </c>
      <c r="Z279" s="77">
        <f t="shared" si="716"/>
        <v>6.1674999999999987E-2</v>
      </c>
      <c r="AA279" s="77">
        <f t="shared" si="717"/>
        <v>4.9997781870025904E-3</v>
      </c>
      <c r="AB279" s="79">
        <v>1</v>
      </c>
      <c r="AC279" s="77">
        <f t="shared" si="681"/>
        <v>8.0555555555555554E-3</v>
      </c>
      <c r="AD279" s="77">
        <f t="shared" si="672"/>
        <v>6.7378764057135498E-4</v>
      </c>
      <c r="AE279" s="77">
        <f t="shared" si="682"/>
        <v>2.5000000000000001E-3</v>
      </c>
      <c r="AF279" s="77">
        <f t="shared" si="672"/>
        <v>2.0857243058891584E-4</v>
      </c>
      <c r="AH279" t="s">
        <v>175</v>
      </c>
      <c r="AI279" t="s">
        <v>176</v>
      </c>
      <c r="AJ279" s="197" t="str">
        <f t="shared" ref="AJ279:AJ342" si="728">AH279&amp;"_"&amp;AI279&amp;"_"&amp;AK279</f>
        <v>Lifecycle_Balanced_266</v>
      </c>
      <c r="AK279">
        <v>266</v>
      </c>
      <c r="AL279">
        <f>VLOOKUP($U279,[2]Standard_Balanced!$Q$1:$T$542,2,FALSE)</f>
        <v>0.77777777777777779</v>
      </c>
      <c r="AM279">
        <f>VLOOKUP($U279,[2]Standard_Balanced!$Q$1:$T$542,3,FALSE)</f>
        <v>0.22222222222222221</v>
      </c>
      <c r="AN279">
        <f>VLOOKUP($U279,[2]Standard_Balanced!$Q$1:$T$542,4,FALSE)</f>
        <v>0</v>
      </c>
      <c r="AO279" s="77">
        <f t="shared" si="658"/>
        <v>1</v>
      </c>
      <c r="AP279" s="77">
        <f t="shared" si="683"/>
        <v>6.1674999999999987E-2</v>
      </c>
      <c r="AQ279" s="77">
        <f t="shared" ref="AQ279:AQ342" si="729">(1+AP279)^(1/12)-1</f>
        <v>4.9997781870025904E-3</v>
      </c>
      <c r="AR279" s="79">
        <v>0</v>
      </c>
      <c r="AS279" s="77">
        <f t="shared" si="684"/>
        <v>0</v>
      </c>
      <c r="AT279" s="77">
        <f t="shared" ref="AT279" si="730">1-(1-AS279)^(1/12)</f>
        <v>0</v>
      </c>
      <c r="AU279" s="77">
        <f t="shared" si="686"/>
        <v>2.5000000000000001E-3</v>
      </c>
      <c r="AV279" s="77">
        <f t="shared" ref="AV279" si="731">1-(1-AU279)^(1/12)</f>
        <v>2.0857243058891584E-4</v>
      </c>
      <c r="AX279" t="s">
        <v>178</v>
      </c>
      <c r="AY279" t="s">
        <v>160</v>
      </c>
      <c r="AZ279" s="197" t="str">
        <f t="shared" ref="AZ279:AZ342" si="732">AX279&amp;"_"&amp;AY279&amp;"_"&amp;BA279</f>
        <v>DIS_Non-Standard_266</v>
      </c>
      <c r="BA279">
        <v>266</v>
      </c>
      <c r="BB279">
        <f>VLOOKUP($BA279,'[2]NonStandard DIS'!$Q$1:$X$542,2,FALSE)</f>
        <v>0</v>
      </c>
      <c r="BC279">
        <f>VLOOKUP($BA279,'[2]NonStandard DIS'!$Q$1:$X$542,3,FALSE)</f>
        <v>0</v>
      </c>
      <c r="BD279">
        <f>VLOOKUP($BA279,'[2]NonStandard DIS'!$Q$1:$X$542,4,FALSE)</f>
        <v>0.308</v>
      </c>
      <c r="BE279">
        <f>VLOOKUP($BA279,'[2]NonStandard DIS'!$Q$1:$X$542,5,FALSE)</f>
        <v>0.69199999999999995</v>
      </c>
      <c r="BF279">
        <f>VLOOKUP($BA279,'[2]NonStandard DIS'!$Q$1:$X$542,6,FALSE)</f>
        <v>0</v>
      </c>
      <c r="BG279">
        <f>VLOOKUP($BA279,'[2]NonStandard DIS'!$Q$1:$X$542,7,FALSE)</f>
        <v>0</v>
      </c>
      <c r="BH279">
        <f>VLOOKUP($BA279,'[2]NonStandard DIS'!$Q$1:$X$542,8,FALSE)</f>
        <v>0</v>
      </c>
      <c r="BI279" s="77">
        <f t="shared" si="675"/>
        <v>1</v>
      </c>
      <c r="BJ279" s="77">
        <f t="shared" si="676"/>
        <v>6.9728499999999985E-2</v>
      </c>
      <c r="BK279" s="77">
        <f t="shared" si="657"/>
        <v>5.632878498097682E-3</v>
      </c>
      <c r="BL279" s="79">
        <v>0</v>
      </c>
      <c r="BM279" s="77">
        <f t="shared" si="688"/>
        <v>0</v>
      </c>
      <c r="BN279" s="77">
        <f t="shared" si="689"/>
        <v>0</v>
      </c>
      <c r="BO279" s="77">
        <f t="shared" si="690"/>
        <v>5.6775999999999997E-3</v>
      </c>
      <c r="BP279" s="77">
        <f t="shared" si="691"/>
        <v>4.7190657760731725E-4</v>
      </c>
    </row>
    <row r="280" spans="1:68">
      <c r="A280" t="s">
        <v>175</v>
      </c>
      <c r="B280" t="s">
        <v>176</v>
      </c>
      <c r="C280" s="197" t="str">
        <f t="shared" si="726"/>
        <v>Lifecycle_Balanced_265</v>
      </c>
      <c r="D280">
        <v>265</v>
      </c>
      <c r="E280">
        <f>VLOOKUP($D280,'[2]LC Balanced'!$Q$2:$U$542,2,FALSE)</f>
        <v>0</v>
      </c>
      <c r="F280">
        <f>VLOOKUP($D280,'[2]LC Balanced'!$Q$2:$U$542,3,FALSE)</f>
        <v>0.14899999999999999</v>
      </c>
      <c r="G280">
        <f>VLOOKUP($D280,'[2]LC Balanced'!$Q$2:$U$542,4,FALSE)</f>
        <v>0.85099999999999998</v>
      </c>
      <c r="H280">
        <f>VLOOKUP($D280,'[2]LC Balanced'!$Q$2:$U$542,5,FALSE)</f>
        <v>0</v>
      </c>
      <c r="I280" s="77">
        <f t="shared" si="670"/>
        <v>1</v>
      </c>
      <c r="J280" s="77">
        <f t="shared" si="671"/>
        <v>6.1987699999999986E-2</v>
      </c>
      <c r="K280" s="77">
        <f t="shared" si="661"/>
        <v>5.024442123284345E-3</v>
      </c>
      <c r="L280" s="76">
        <v>0</v>
      </c>
      <c r="M280" s="77">
        <f t="shared" si="677"/>
        <v>0</v>
      </c>
      <c r="N280" s="77">
        <f t="shared" si="678"/>
        <v>0</v>
      </c>
      <c r="O280" s="77">
        <f t="shared" si="679"/>
        <v>7.0062999999999992E-3</v>
      </c>
      <c r="P280" s="77">
        <f t="shared" si="680"/>
        <v>5.85741666996209E-4</v>
      </c>
      <c r="R280" t="s">
        <v>177</v>
      </c>
      <c r="S280" t="s">
        <v>176</v>
      </c>
      <c r="T280" s="197" t="str">
        <f t="shared" si="612"/>
        <v>Autopilot_Balanced_265</v>
      </c>
      <c r="U280">
        <v>265</v>
      </c>
      <c r="V280">
        <f>VLOOKUP($U280,'[2]AP Balanced'!$Q$1:$T$542,2,FALSE)</f>
        <v>0.77777777777777779</v>
      </c>
      <c r="W280">
        <f>VLOOKUP($U280,'[2]AP Balanced'!$Q$1:$T$542,3,FALSE)</f>
        <v>0.22222222222222221</v>
      </c>
      <c r="X280">
        <f>VLOOKUP($U280,'[2]AP Balanced'!$Q$1:$T$542,4,FALSE)</f>
        <v>0</v>
      </c>
      <c r="Y280" s="77">
        <f t="shared" si="727"/>
        <v>1</v>
      </c>
      <c r="Z280" s="77">
        <f t="shared" si="716"/>
        <v>6.1674999999999987E-2</v>
      </c>
      <c r="AA280" s="77">
        <f t="shared" si="717"/>
        <v>4.9997781870025904E-3</v>
      </c>
      <c r="AB280" s="79">
        <v>1</v>
      </c>
      <c r="AC280" s="77">
        <f t="shared" si="681"/>
        <v>8.0555555555555554E-3</v>
      </c>
      <c r="AD280" s="77">
        <f t="shared" si="672"/>
        <v>6.7378764057135498E-4</v>
      </c>
      <c r="AE280" s="77">
        <f t="shared" si="682"/>
        <v>2.5000000000000001E-3</v>
      </c>
      <c r="AF280" s="77">
        <f t="shared" si="672"/>
        <v>2.0857243058891584E-4</v>
      </c>
      <c r="AH280" t="s">
        <v>175</v>
      </c>
      <c r="AI280" t="s">
        <v>176</v>
      </c>
      <c r="AJ280" s="197" t="str">
        <f t="shared" si="728"/>
        <v>Lifecycle_Balanced_265</v>
      </c>
      <c r="AK280">
        <v>265</v>
      </c>
      <c r="AL280">
        <f>VLOOKUP($U280,[2]Standard_Balanced!$Q$1:$T$542,2,FALSE)</f>
        <v>0.77777777777777779</v>
      </c>
      <c r="AM280">
        <f>VLOOKUP($U280,[2]Standard_Balanced!$Q$1:$T$542,3,FALSE)</f>
        <v>0.22222222222222221</v>
      </c>
      <c r="AN280">
        <f>VLOOKUP($U280,[2]Standard_Balanced!$Q$1:$T$542,4,FALSE)</f>
        <v>0</v>
      </c>
      <c r="AO280" s="77">
        <f t="shared" si="658"/>
        <v>1</v>
      </c>
      <c r="AP280" s="77">
        <f t="shared" si="683"/>
        <v>6.1674999999999987E-2</v>
      </c>
      <c r="AQ280" s="77">
        <f t="shared" si="729"/>
        <v>4.9997781870025904E-3</v>
      </c>
      <c r="AR280" s="79">
        <v>0</v>
      </c>
      <c r="AS280" s="77">
        <f t="shared" si="684"/>
        <v>0</v>
      </c>
      <c r="AT280" s="77">
        <f t="shared" ref="AT280" si="733">1-(1-AS280)^(1/12)</f>
        <v>0</v>
      </c>
      <c r="AU280" s="77">
        <f t="shared" si="686"/>
        <v>2.5000000000000001E-3</v>
      </c>
      <c r="AV280" s="77">
        <f t="shared" ref="AV280" si="734">1-(1-AU280)^(1/12)</f>
        <v>2.0857243058891584E-4</v>
      </c>
      <c r="AX280" t="s">
        <v>178</v>
      </c>
      <c r="AY280" t="s">
        <v>160</v>
      </c>
      <c r="AZ280" s="197" t="str">
        <f t="shared" si="732"/>
        <v>DIS_Non-Standard_265</v>
      </c>
      <c r="BA280">
        <v>265</v>
      </c>
      <c r="BB280">
        <f>VLOOKUP($BA280,'[2]NonStandard DIS'!$Q$1:$X$542,2,FALSE)</f>
        <v>0</v>
      </c>
      <c r="BC280">
        <f>VLOOKUP($BA280,'[2]NonStandard DIS'!$Q$1:$X$542,3,FALSE)</f>
        <v>0</v>
      </c>
      <c r="BD280">
        <f>VLOOKUP($BA280,'[2]NonStandard DIS'!$Q$1:$X$542,4,FALSE)</f>
        <v>0.308</v>
      </c>
      <c r="BE280">
        <f>VLOOKUP($BA280,'[2]NonStandard DIS'!$Q$1:$X$542,5,FALSE)</f>
        <v>0.69199999999999995</v>
      </c>
      <c r="BF280">
        <f>VLOOKUP($BA280,'[2]NonStandard DIS'!$Q$1:$X$542,6,FALSE)</f>
        <v>0</v>
      </c>
      <c r="BG280">
        <f>VLOOKUP($BA280,'[2]NonStandard DIS'!$Q$1:$X$542,7,FALSE)</f>
        <v>0</v>
      </c>
      <c r="BH280">
        <f>VLOOKUP($BA280,'[2]NonStandard DIS'!$Q$1:$X$542,8,FALSE)</f>
        <v>0</v>
      </c>
      <c r="BI280" s="77">
        <f t="shared" si="675"/>
        <v>1</v>
      </c>
      <c r="BJ280" s="77">
        <f t="shared" si="676"/>
        <v>6.9728499999999985E-2</v>
      </c>
      <c r="BK280" s="77">
        <f t="shared" si="657"/>
        <v>5.632878498097682E-3</v>
      </c>
      <c r="BL280" s="79">
        <v>0</v>
      </c>
      <c r="BM280" s="77">
        <f t="shared" si="688"/>
        <v>0</v>
      </c>
      <c r="BN280" s="77">
        <f t="shared" si="689"/>
        <v>0</v>
      </c>
      <c r="BO280" s="77">
        <f t="shared" si="690"/>
        <v>5.6775999999999997E-3</v>
      </c>
      <c r="BP280" s="77">
        <f t="shared" si="691"/>
        <v>4.7190657760731725E-4</v>
      </c>
    </row>
    <row r="281" spans="1:68">
      <c r="A281" t="s">
        <v>175</v>
      </c>
      <c r="B281" t="s">
        <v>176</v>
      </c>
      <c r="C281" s="197" t="str">
        <f t="shared" si="726"/>
        <v>Lifecycle_Balanced_264</v>
      </c>
      <c r="D281">
        <v>264</v>
      </c>
      <c r="E281">
        <f>VLOOKUP($D281,'[2]LC Balanced'!$Q$2:$U$542,2,FALSE)</f>
        <v>0</v>
      </c>
      <c r="F281">
        <f>VLOOKUP($D281,'[2]LC Balanced'!$Q$2:$U$542,3,FALSE)</f>
        <v>0.14899999999999999</v>
      </c>
      <c r="G281">
        <f>VLOOKUP($D281,'[2]LC Balanced'!$Q$2:$U$542,4,FALSE)</f>
        <v>0.85099999999999998</v>
      </c>
      <c r="H281">
        <f>VLOOKUP($D281,'[2]LC Balanced'!$Q$2:$U$542,5,FALSE)</f>
        <v>0</v>
      </c>
      <c r="I281" s="77">
        <f t="shared" si="670"/>
        <v>1</v>
      </c>
      <c r="J281" s="77">
        <f t="shared" si="671"/>
        <v>6.1987699999999986E-2</v>
      </c>
      <c r="K281" s="77">
        <f t="shared" si="661"/>
        <v>5.024442123284345E-3</v>
      </c>
      <c r="L281" s="76">
        <v>0</v>
      </c>
      <c r="M281" s="77">
        <f t="shared" si="677"/>
        <v>0</v>
      </c>
      <c r="N281" s="77">
        <f t="shared" si="678"/>
        <v>0</v>
      </c>
      <c r="O281" s="77">
        <f t="shared" si="679"/>
        <v>7.0062999999999992E-3</v>
      </c>
      <c r="P281" s="77">
        <f t="shared" si="680"/>
        <v>5.85741666996209E-4</v>
      </c>
      <c r="R281" t="s">
        <v>177</v>
      </c>
      <c r="S281" t="s">
        <v>176</v>
      </c>
      <c r="T281" s="197" t="str">
        <f t="shared" si="612"/>
        <v>Autopilot_Balanced_264</v>
      </c>
      <c r="U281">
        <v>264</v>
      </c>
      <c r="V281">
        <f>VLOOKUP($U281,'[2]AP Balanced'!$Q$1:$T$542,2,FALSE)</f>
        <v>0.77777777777777779</v>
      </c>
      <c r="W281">
        <f>VLOOKUP($U281,'[2]AP Balanced'!$Q$1:$T$542,3,FALSE)</f>
        <v>0.22222222222222221</v>
      </c>
      <c r="X281">
        <f>VLOOKUP($U281,'[2]AP Balanced'!$Q$1:$T$542,4,FALSE)</f>
        <v>0</v>
      </c>
      <c r="Y281" s="77">
        <f t="shared" si="727"/>
        <v>1</v>
      </c>
      <c r="Z281" s="77">
        <f t="shared" si="716"/>
        <v>6.1674999999999987E-2</v>
      </c>
      <c r="AA281" s="77">
        <f t="shared" si="717"/>
        <v>4.9997781870025904E-3</v>
      </c>
      <c r="AB281" s="79">
        <v>1</v>
      </c>
      <c r="AC281" s="77">
        <f t="shared" si="681"/>
        <v>8.0555555555555554E-3</v>
      </c>
      <c r="AD281" s="77">
        <f t="shared" si="672"/>
        <v>6.7378764057135498E-4</v>
      </c>
      <c r="AE281" s="77">
        <f t="shared" si="682"/>
        <v>2.5000000000000001E-3</v>
      </c>
      <c r="AF281" s="77">
        <f t="shared" si="672"/>
        <v>2.0857243058891584E-4</v>
      </c>
      <c r="AH281" t="s">
        <v>175</v>
      </c>
      <c r="AI281" t="s">
        <v>176</v>
      </c>
      <c r="AJ281" s="197" t="str">
        <f t="shared" si="728"/>
        <v>Lifecycle_Balanced_264</v>
      </c>
      <c r="AK281">
        <v>264</v>
      </c>
      <c r="AL281">
        <f>VLOOKUP($U281,[2]Standard_Balanced!$Q$1:$T$542,2,FALSE)</f>
        <v>0.77777777777777779</v>
      </c>
      <c r="AM281">
        <f>VLOOKUP($U281,[2]Standard_Balanced!$Q$1:$T$542,3,FALSE)</f>
        <v>0.22222222222222221</v>
      </c>
      <c r="AN281">
        <f>VLOOKUP($U281,[2]Standard_Balanced!$Q$1:$T$542,4,FALSE)</f>
        <v>0</v>
      </c>
      <c r="AO281" s="77">
        <f t="shared" si="658"/>
        <v>1</v>
      </c>
      <c r="AP281" s="77">
        <f t="shared" si="683"/>
        <v>6.1674999999999987E-2</v>
      </c>
      <c r="AQ281" s="77">
        <f t="shared" si="729"/>
        <v>4.9997781870025904E-3</v>
      </c>
      <c r="AR281" s="79">
        <v>0</v>
      </c>
      <c r="AS281" s="77">
        <f t="shared" si="684"/>
        <v>0</v>
      </c>
      <c r="AT281" s="77">
        <f t="shared" ref="AT281" si="735">1-(1-AS281)^(1/12)</f>
        <v>0</v>
      </c>
      <c r="AU281" s="77">
        <f t="shared" si="686"/>
        <v>2.5000000000000001E-3</v>
      </c>
      <c r="AV281" s="77">
        <f t="shared" ref="AV281" si="736">1-(1-AU281)^(1/12)</f>
        <v>2.0857243058891584E-4</v>
      </c>
      <c r="AX281" t="s">
        <v>178</v>
      </c>
      <c r="AY281" t="s">
        <v>160</v>
      </c>
      <c r="AZ281" s="197" t="str">
        <f t="shared" si="732"/>
        <v>DIS_Non-Standard_264</v>
      </c>
      <c r="BA281">
        <v>264</v>
      </c>
      <c r="BB281">
        <f>VLOOKUP($BA281,'[2]NonStandard DIS'!$Q$1:$X$542,2,FALSE)</f>
        <v>0</v>
      </c>
      <c r="BC281">
        <f>VLOOKUP($BA281,'[2]NonStandard DIS'!$Q$1:$X$542,3,FALSE)</f>
        <v>0</v>
      </c>
      <c r="BD281">
        <f>VLOOKUP($BA281,'[2]NonStandard DIS'!$Q$1:$X$542,4,FALSE)</f>
        <v>0.308</v>
      </c>
      <c r="BE281">
        <f>VLOOKUP($BA281,'[2]NonStandard DIS'!$Q$1:$X$542,5,FALSE)</f>
        <v>0.69199999999999995</v>
      </c>
      <c r="BF281">
        <f>VLOOKUP($BA281,'[2]NonStandard DIS'!$Q$1:$X$542,6,FALSE)</f>
        <v>0</v>
      </c>
      <c r="BG281">
        <f>VLOOKUP($BA281,'[2]NonStandard DIS'!$Q$1:$X$542,7,FALSE)</f>
        <v>0</v>
      </c>
      <c r="BH281">
        <f>VLOOKUP($BA281,'[2]NonStandard DIS'!$Q$1:$X$542,8,FALSE)</f>
        <v>0</v>
      </c>
      <c r="BI281" s="77">
        <f t="shared" si="675"/>
        <v>1</v>
      </c>
      <c r="BJ281" s="77">
        <f t="shared" si="676"/>
        <v>6.9728499999999985E-2</v>
      </c>
      <c r="BK281" s="77">
        <f t="shared" si="657"/>
        <v>5.632878498097682E-3</v>
      </c>
      <c r="BL281" s="79">
        <v>0</v>
      </c>
      <c r="BM281" s="77">
        <f t="shared" si="688"/>
        <v>0</v>
      </c>
      <c r="BN281" s="77">
        <f t="shared" si="689"/>
        <v>0</v>
      </c>
      <c r="BO281" s="77">
        <f t="shared" si="690"/>
        <v>5.6775999999999997E-3</v>
      </c>
      <c r="BP281" s="77">
        <f t="shared" si="691"/>
        <v>4.7190657760731725E-4</v>
      </c>
    </row>
    <row r="282" spans="1:68">
      <c r="A282" t="s">
        <v>175</v>
      </c>
      <c r="B282" t="s">
        <v>176</v>
      </c>
      <c r="C282" s="197" t="str">
        <f t="shared" si="726"/>
        <v>Lifecycle_Balanced_263</v>
      </c>
      <c r="D282">
        <v>263</v>
      </c>
      <c r="E282">
        <f>VLOOKUP($D282,'[2]LC Balanced'!$Q$2:$U$542,2,FALSE)</f>
        <v>0</v>
      </c>
      <c r="F282">
        <f>VLOOKUP($D282,'[2]LC Balanced'!$Q$2:$U$542,3,FALSE)</f>
        <v>0.14899999999999999</v>
      </c>
      <c r="G282">
        <f>VLOOKUP($D282,'[2]LC Balanced'!$Q$2:$U$542,4,FALSE)</f>
        <v>0.85099999999999998</v>
      </c>
      <c r="H282">
        <f>VLOOKUP($D282,'[2]LC Balanced'!$Q$2:$U$542,5,FALSE)</f>
        <v>0</v>
      </c>
      <c r="I282" s="77">
        <f t="shared" si="670"/>
        <v>1</v>
      </c>
      <c r="J282" s="77">
        <f t="shared" si="671"/>
        <v>6.1987699999999986E-2</v>
      </c>
      <c r="K282" s="77">
        <f t="shared" si="661"/>
        <v>5.024442123284345E-3</v>
      </c>
      <c r="L282" s="76">
        <v>0</v>
      </c>
      <c r="M282" s="77">
        <f t="shared" si="677"/>
        <v>0</v>
      </c>
      <c r="N282" s="77">
        <f t="shared" si="678"/>
        <v>0</v>
      </c>
      <c r="O282" s="77">
        <f t="shared" si="679"/>
        <v>7.0062999999999992E-3</v>
      </c>
      <c r="P282" s="77">
        <f t="shared" si="680"/>
        <v>5.85741666996209E-4</v>
      </c>
      <c r="R282" t="s">
        <v>177</v>
      </c>
      <c r="S282" t="s">
        <v>176</v>
      </c>
      <c r="T282" s="197" t="str">
        <f t="shared" si="612"/>
        <v>Autopilot_Balanced_263</v>
      </c>
      <c r="U282">
        <v>263</v>
      </c>
      <c r="V282">
        <f>VLOOKUP($U282,'[2]AP Balanced'!$Q$1:$T$542,2,FALSE)</f>
        <v>0.77777777777777779</v>
      </c>
      <c r="W282">
        <f>VLOOKUP($U282,'[2]AP Balanced'!$Q$1:$T$542,3,FALSE)</f>
        <v>0.22222222222222221</v>
      </c>
      <c r="X282">
        <f>VLOOKUP($U282,'[2]AP Balanced'!$Q$1:$T$542,4,FALSE)</f>
        <v>0</v>
      </c>
      <c r="Y282" s="77">
        <f t="shared" si="727"/>
        <v>1</v>
      </c>
      <c r="Z282" s="77">
        <f t="shared" si="716"/>
        <v>6.1674999999999987E-2</v>
      </c>
      <c r="AA282" s="77">
        <f t="shared" si="717"/>
        <v>4.9997781870025904E-3</v>
      </c>
      <c r="AB282" s="79">
        <v>1</v>
      </c>
      <c r="AC282" s="77">
        <f t="shared" si="681"/>
        <v>8.0555555555555554E-3</v>
      </c>
      <c r="AD282" s="77">
        <f t="shared" si="672"/>
        <v>6.7378764057135498E-4</v>
      </c>
      <c r="AE282" s="77">
        <f t="shared" si="682"/>
        <v>2.5000000000000001E-3</v>
      </c>
      <c r="AF282" s="77">
        <f t="shared" si="672"/>
        <v>2.0857243058891584E-4</v>
      </c>
      <c r="AH282" t="s">
        <v>175</v>
      </c>
      <c r="AI282" t="s">
        <v>176</v>
      </c>
      <c r="AJ282" s="197" t="str">
        <f t="shared" si="728"/>
        <v>Lifecycle_Balanced_263</v>
      </c>
      <c r="AK282">
        <v>263</v>
      </c>
      <c r="AL282">
        <f>VLOOKUP($U282,[2]Standard_Balanced!$Q$1:$T$542,2,FALSE)</f>
        <v>0.77777777777777779</v>
      </c>
      <c r="AM282">
        <f>VLOOKUP($U282,[2]Standard_Balanced!$Q$1:$T$542,3,FALSE)</f>
        <v>0.22222222222222221</v>
      </c>
      <c r="AN282">
        <f>VLOOKUP($U282,[2]Standard_Balanced!$Q$1:$T$542,4,FALSE)</f>
        <v>0</v>
      </c>
      <c r="AO282" s="77">
        <f t="shared" si="658"/>
        <v>1</v>
      </c>
      <c r="AP282" s="77">
        <f t="shared" si="683"/>
        <v>6.1674999999999987E-2</v>
      </c>
      <c r="AQ282" s="77">
        <f t="shared" si="729"/>
        <v>4.9997781870025904E-3</v>
      </c>
      <c r="AR282" s="79">
        <v>0</v>
      </c>
      <c r="AS282" s="77">
        <f t="shared" si="684"/>
        <v>0</v>
      </c>
      <c r="AT282" s="77">
        <f t="shared" ref="AT282" si="737">1-(1-AS282)^(1/12)</f>
        <v>0</v>
      </c>
      <c r="AU282" s="77">
        <f t="shared" si="686"/>
        <v>2.5000000000000001E-3</v>
      </c>
      <c r="AV282" s="77">
        <f t="shared" ref="AV282" si="738">1-(1-AU282)^(1/12)</f>
        <v>2.0857243058891584E-4</v>
      </c>
      <c r="AX282" t="s">
        <v>178</v>
      </c>
      <c r="AY282" t="s">
        <v>160</v>
      </c>
      <c r="AZ282" s="197" t="str">
        <f t="shared" si="732"/>
        <v>DIS_Non-Standard_263</v>
      </c>
      <c r="BA282">
        <v>263</v>
      </c>
      <c r="BB282">
        <f>VLOOKUP($BA282,'[2]NonStandard DIS'!$Q$1:$X$542,2,FALSE)</f>
        <v>0</v>
      </c>
      <c r="BC282">
        <f>VLOOKUP($BA282,'[2]NonStandard DIS'!$Q$1:$X$542,3,FALSE)</f>
        <v>0</v>
      </c>
      <c r="BD282">
        <f>VLOOKUP($BA282,'[2]NonStandard DIS'!$Q$1:$X$542,4,FALSE)</f>
        <v>0.308</v>
      </c>
      <c r="BE282">
        <f>VLOOKUP($BA282,'[2]NonStandard DIS'!$Q$1:$X$542,5,FALSE)</f>
        <v>0.69199999999999995</v>
      </c>
      <c r="BF282">
        <f>VLOOKUP($BA282,'[2]NonStandard DIS'!$Q$1:$X$542,6,FALSE)</f>
        <v>0</v>
      </c>
      <c r="BG282">
        <f>VLOOKUP($BA282,'[2]NonStandard DIS'!$Q$1:$X$542,7,FALSE)</f>
        <v>0</v>
      </c>
      <c r="BH282">
        <f>VLOOKUP($BA282,'[2]NonStandard DIS'!$Q$1:$X$542,8,FALSE)</f>
        <v>0</v>
      </c>
      <c r="BI282" s="77">
        <f t="shared" si="675"/>
        <v>1</v>
      </c>
      <c r="BJ282" s="77">
        <f t="shared" si="676"/>
        <v>6.9728499999999985E-2</v>
      </c>
      <c r="BK282" s="77">
        <f t="shared" si="657"/>
        <v>5.632878498097682E-3</v>
      </c>
      <c r="BL282" s="79">
        <v>0</v>
      </c>
      <c r="BM282" s="77">
        <f t="shared" si="688"/>
        <v>0</v>
      </c>
      <c r="BN282" s="77">
        <f t="shared" si="689"/>
        <v>0</v>
      </c>
      <c r="BO282" s="77">
        <f t="shared" si="690"/>
        <v>5.6775999999999997E-3</v>
      </c>
      <c r="BP282" s="77">
        <f t="shared" si="691"/>
        <v>4.7190657760731725E-4</v>
      </c>
    </row>
    <row r="283" spans="1:68">
      <c r="A283" t="s">
        <v>175</v>
      </c>
      <c r="B283" t="s">
        <v>176</v>
      </c>
      <c r="C283" s="197" t="str">
        <f t="shared" si="726"/>
        <v>Lifecycle_Balanced_262</v>
      </c>
      <c r="D283">
        <v>262</v>
      </c>
      <c r="E283">
        <f>VLOOKUP($D283,'[2]LC Balanced'!$Q$2:$U$542,2,FALSE)</f>
        <v>0</v>
      </c>
      <c r="F283">
        <f>VLOOKUP($D283,'[2]LC Balanced'!$Q$2:$U$542,3,FALSE)</f>
        <v>0.14899999999999999</v>
      </c>
      <c r="G283">
        <f>VLOOKUP($D283,'[2]LC Balanced'!$Q$2:$U$542,4,FALSE)</f>
        <v>0.85099999999999998</v>
      </c>
      <c r="H283">
        <f>VLOOKUP($D283,'[2]LC Balanced'!$Q$2:$U$542,5,FALSE)</f>
        <v>0</v>
      </c>
      <c r="I283" s="77">
        <f t="shared" si="670"/>
        <v>1</v>
      </c>
      <c r="J283" s="77">
        <f t="shared" si="671"/>
        <v>6.1987699999999986E-2</v>
      </c>
      <c r="K283" s="77">
        <f t="shared" si="661"/>
        <v>5.024442123284345E-3</v>
      </c>
      <c r="L283" s="76">
        <v>0</v>
      </c>
      <c r="M283" s="77">
        <f t="shared" si="677"/>
        <v>0</v>
      </c>
      <c r="N283" s="77">
        <f t="shared" si="678"/>
        <v>0</v>
      </c>
      <c r="O283" s="77">
        <f t="shared" si="679"/>
        <v>7.0062999999999992E-3</v>
      </c>
      <c r="P283" s="77">
        <f t="shared" si="680"/>
        <v>5.85741666996209E-4</v>
      </c>
      <c r="R283" t="s">
        <v>177</v>
      </c>
      <c r="S283" t="s">
        <v>176</v>
      </c>
      <c r="T283" s="197" t="str">
        <f t="shared" si="612"/>
        <v>Autopilot_Balanced_262</v>
      </c>
      <c r="U283">
        <v>262</v>
      </c>
      <c r="V283">
        <f>VLOOKUP($U283,'[2]AP Balanced'!$Q$1:$T$542,2,FALSE)</f>
        <v>0.77777777777777779</v>
      </c>
      <c r="W283">
        <f>VLOOKUP($U283,'[2]AP Balanced'!$Q$1:$T$542,3,FALSE)</f>
        <v>0.22222222222222221</v>
      </c>
      <c r="X283">
        <f>VLOOKUP($U283,'[2]AP Balanced'!$Q$1:$T$542,4,FALSE)</f>
        <v>0</v>
      </c>
      <c r="Y283" s="77">
        <f t="shared" si="727"/>
        <v>1</v>
      </c>
      <c r="Z283" s="77">
        <f t="shared" si="716"/>
        <v>6.1674999999999987E-2</v>
      </c>
      <c r="AA283" s="77">
        <f t="shared" si="717"/>
        <v>4.9997781870025904E-3</v>
      </c>
      <c r="AB283" s="79">
        <v>1</v>
      </c>
      <c r="AC283" s="77">
        <f t="shared" si="681"/>
        <v>8.0555555555555554E-3</v>
      </c>
      <c r="AD283" s="77">
        <f t="shared" si="672"/>
        <v>6.7378764057135498E-4</v>
      </c>
      <c r="AE283" s="77">
        <f t="shared" si="682"/>
        <v>2.5000000000000001E-3</v>
      </c>
      <c r="AF283" s="77">
        <f t="shared" si="672"/>
        <v>2.0857243058891584E-4</v>
      </c>
      <c r="AH283" t="s">
        <v>175</v>
      </c>
      <c r="AI283" t="s">
        <v>176</v>
      </c>
      <c r="AJ283" s="197" t="str">
        <f t="shared" si="728"/>
        <v>Lifecycle_Balanced_262</v>
      </c>
      <c r="AK283">
        <v>262</v>
      </c>
      <c r="AL283">
        <f>VLOOKUP($U283,[2]Standard_Balanced!$Q$1:$T$542,2,FALSE)</f>
        <v>0.77777777777777779</v>
      </c>
      <c r="AM283">
        <f>VLOOKUP($U283,[2]Standard_Balanced!$Q$1:$T$542,3,FALSE)</f>
        <v>0.22222222222222221</v>
      </c>
      <c r="AN283">
        <f>VLOOKUP($U283,[2]Standard_Balanced!$Q$1:$T$542,4,FALSE)</f>
        <v>0</v>
      </c>
      <c r="AO283" s="77">
        <f t="shared" si="658"/>
        <v>1</v>
      </c>
      <c r="AP283" s="77">
        <f t="shared" si="683"/>
        <v>6.1674999999999987E-2</v>
      </c>
      <c r="AQ283" s="77">
        <f t="shared" si="729"/>
        <v>4.9997781870025904E-3</v>
      </c>
      <c r="AR283" s="79">
        <v>0</v>
      </c>
      <c r="AS283" s="77">
        <f t="shared" si="684"/>
        <v>0</v>
      </c>
      <c r="AT283" s="77">
        <f t="shared" ref="AT283" si="739">1-(1-AS283)^(1/12)</f>
        <v>0</v>
      </c>
      <c r="AU283" s="77">
        <f t="shared" si="686"/>
        <v>2.5000000000000001E-3</v>
      </c>
      <c r="AV283" s="77">
        <f t="shared" ref="AV283" si="740">1-(1-AU283)^(1/12)</f>
        <v>2.0857243058891584E-4</v>
      </c>
      <c r="AX283" t="s">
        <v>178</v>
      </c>
      <c r="AY283" t="s">
        <v>160</v>
      </c>
      <c r="AZ283" s="197" t="str">
        <f t="shared" si="732"/>
        <v>DIS_Non-Standard_262</v>
      </c>
      <c r="BA283">
        <v>262</v>
      </c>
      <c r="BB283">
        <f>VLOOKUP($BA283,'[2]NonStandard DIS'!$Q$1:$X$542,2,FALSE)</f>
        <v>0</v>
      </c>
      <c r="BC283">
        <f>VLOOKUP($BA283,'[2]NonStandard DIS'!$Q$1:$X$542,3,FALSE)</f>
        <v>0</v>
      </c>
      <c r="BD283">
        <f>VLOOKUP($BA283,'[2]NonStandard DIS'!$Q$1:$X$542,4,FALSE)</f>
        <v>0.308</v>
      </c>
      <c r="BE283">
        <f>VLOOKUP($BA283,'[2]NonStandard DIS'!$Q$1:$X$542,5,FALSE)</f>
        <v>0.69199999999999995</v>
      </c>
      <c r="BF283">
        <f>VLOOKUP($BA283,'[2]NonStandard DIS'!$Q$1:$X$542,6,FALSE)</f>
        <v>0</v>
      </c>
      <c r="BG283">
        <f>VLOOKUP($BA283,'[2]NonStandard DIS'!$Q$1:$X$542,7,FALSE)</f>
        <v>0</v>
      </c>
      <c r="BH283">
        <f>VLOOKUP($BA283,'[2]NonStandard DIS'!$Q$1:$X$542,8,FALSE)</f>
        <v>0</v>
      </c>
      <c r="BI283" s="77">
        <f t="shared" si="675"/>
        <v>1</v>
      </c>
      <c r="BJ283" s="77">
        <f t="shared" si="676"/>
        <v>6.9728499999999985E-2</v>
      </c>
      <c r="BK283" s="77">
        <f t="shared" si="657"/>
        <v>5.632878498097682E-3</v>
      </c>
      <c r="BL283" s="79">
        <v>0</v>
      </c>
      <c r="BM283" s="77">
        <f t="shared" si="688"/>
        <v>0</v>
      </c>
      <c r="BN283" s="77">
        <f t="shared" si="689"/>
        <v>0</v>
      </c>
      <c r="BO283" s="77">
        <f t="shared" si="690"/>
        <v>5.6775999999999997E-3</v>
      </c>
      <c r="BP283" s="77">
        <f t="shared" si="691"/>
        <v>4.7190657760731725E-4</v>
      </c>
    </row>
    <row r="284" spans="1:68">
      <c r="A284" t="s">
        <v>175</v>
      </c>
      <c r="B284" t="s">
        <v>176</v>
      </c>
      <c r="C284" s="197" t="str">
        <f t="shared" si="726"/>
        <v>Lifecycle_Balanced_261</v>
      </c>
      <c r="D284">
        <v>261</v>
      </c>
      <c r="E284">
        <f>VLOOKUP($D284,'[2]LC Balanced'!$Q$2:$U$542,2,FALSE)</f>
        <v>0</v>
      </c>
      <c r="F284">
        <f>VLOOKUP($D284,'[2]LC Balanced'!$Q$2:$U$542,3,FALSE)</f>
        <v>0.14899999999999999</v>
      </c>
      <c r="G284">
        <f>VLOOKUP($D284,'[2]LC Balanced'!$Q$2:$U$542,4,FALSE)</f>
        <v>0.85099999999999998</v>
      </c>
      <c r="H284">
        <f>VLOOKUP($D284,'[2]LC Balanced'!$Q$2:$U$542,5,FALSE)</f>
        <v>0</v>
      </c>
      <c r="I284" s="77">
        <f t="shared" si="670"/>
        <v>1</v>
      </c>
      <c r="J284" s="77">
        <f t="shared" si="671"/>
        <v>6.1987699999999986E-2</v>
      </c>
      <c r="K284" s="77">
        <f t="shared" si="661"/>
        <v>5.024442123284345E-3</v>
      </c>
      <c r="L284" s="76">
        <v>0</v>
      </c>
      <c r="M284" s="77">
        <f t="shared" si="677"/>
        <v>0</v>
      </c>
      <c r="N284" s="77">
        <f t="shared" si="678"/>
        <v>0</v>
      </c>
      <c r="O284" s="77">
        <f t="shared" si="679"/>
        <v>7.0062999999999992E-3</v>
      </c>
      <c r="P284" s="77">
        <f t="shared" si="680"/>
        <v>5.85741666996209E-4</v>
      </c>
      <c r="R284" t="s">
        <v>177</v>
      </c>
      <c r="S284" t="s">
        <v>176</v>
      </c>
      <c r="T284" s="197" t="str">
        <f t="shared" si="612"/>
        <v>Autopilot_Balanced_261</v>
      </c>
      <c r="U284">
        <v>261</v>
      </c>
      <c r="V284">
        <f>VLOOKUP($U284,'[2]AP Balanced'!$Q$1:$T$542,2,FALSE)</f>
        <v>0.77777777777777779</v>
      </c>
      <c r="W284">
        <f>VLOOKUP($U284,'[2]AP Balanced'!$Q$1:$T$542,3,FALSE)</f>
        <v>0.22222222222222221</v>
      </c>
      <c r="X284">
        <f>VLOOKUP($U284,'[2]AP Balanced'!$Q$1:$T$542,4,FALSE)</f>
        <v>0</v>
      </c>
      <c r="Y284" s="77">
        <f t="shared" si="727"/>
        <v>1</v>
      </c>
      <c r="Z284" s="77">
        <f t="shared" si="716"/>
        <v>6.1674999999999987E-2</v>
      </c>
      <c r="AA284" s="77">
        <f t="shared" si="717"/>
        <v>4.9997781870025904E-3</v>
      </c>
      <c r="AB284" s="79">
        <v>1</v>
      </c>
      <c r="AC284" s="77">
        <f t="shared" si="681"/>
        <v>8.0555555555555554E-3</v>
      </c>
      <c r="AD284" s="77">
        <f t="shared" si="672"/>
        <v>6.7378764057135498E-4</v>
      </c>
      <c r="AE284" s="77">
        <f t="shared" si="682"/>
        <v>2.5000000000000001E-3</v>
      </c>
      <c r="AF284" s="77">
        <f t="shared" si="672"/>
        <v>2.0857243058891584E-4</v>
      </c>
      <c r="AH284" t="s">
        <v>175</v>
      </c>
      <c r="AI284" t="s">
        <v>176</v>
      </c>
      <c r="AJ284" s="197" t="str">
        <f t="shared" si="728"/>
        <v>Lifecycle_Balanced_261</v>
      </c>
      <c r="AK284">
        <v>261</v>
      </c>
      <c r="AL284">
        <f>VLOOKUP($U284,[2]Standard_Balanced!$Q$1:$T$542,2,FALSE)</f>
        <v>0.77777777777777779</v>
      </c>
      <c r="AM284">
        <f>VLOOKUP($U284,[2]Standard_Balanced!$Q$1:$T$542,3,FALSE)</f>
        <v>0.22222222222222221</v>
      </c>
      <c r="AN284">
        <f>VLOOKUP($U284,[2]Standard_Balanced!$Q$1:$T$542,4,FALSE)</f>
        <v>0</v>
      </c>
      <c r="AO284" s="77">
        <f t="shared" si="658"/>
        <v>1</v>
      </c>
      <c r="AP284" s="77">
        <f t="shared" si="683"/>
        <v>6.1674999999999987E-2</v>
      </c>
      <c r="AQ284" s="77">
        <f t="shared" si="729"/>
        <v>4.9997781870025904E-3</v>
      </c>
      <c r="AR284" s="79">
        <v>0</v>
      </c>
      <c r="AS284" s="77">
        <f t="shared" si="684"/>
        <v>0</v>
      </c>
      <c r="AT284" s="77">
        <f t="shared" ref="AT284" si="741">1-(1-AS284)^(1/12)</f>
        <v>0</v>
      </c>
      <c r="AU284" s="77">
        <f t="shared" si="686"/>
        <v>2.5000000000000001E-3</v>
      </c>
      <c r="AV284" s="77">
        <f t="shared" ref="AV284" si="742">1-(1-AU284)^(1/12)</f>
        <v>2.0857243058891584E-4</v>
      </c>
      <c r="AX284" t="s">
        <v>178</v>
      </c>
      <c r="AY284" t="s">
        <v>160</v>
      </c>
      <c r="AZ284" s="197" t="str">
        <f t="shared" si="732"/>
        <v>DIS_Non-Standard_261</v>
      </c>
      <c r="BA284">
        <v>261</v>
      </c>
      <c r="BB284">
        <f>VLOOKUP($BA284,'[2]NonStandard DIS'!$Q$1:$X$542,2,FALSE)</f>
        <v>0</v>
      </c>
      <c r="BC284">
        <f>VLOOKUP($BA284,'[2]NonStandard DIS'!$Q$1:$X$542,3,FALSE)</f>
        <v>0</v>
      </c>
      <c r="BD284">
        <f>VLOOKUP($BA284,'[2]NonStandard DIS'!$Q$1:$X$542,4,FALSE)</f>
        <v>0.308</v>
      </c>
      <c r="BE284">
        <f>VLOOKUP($BA284,'[2]NonStandard DIS'!$Q$1:$X$542,5,FALSE)</f>
        <v>0.69199999999999995</v>
      </c>
      <c r="BF284">
        <f>VLOOKUP($BA284,'[2]NonStandard DIS'!$Q$1:$X$542,6,FALSE)</f>
        <v>0</v>
      </c>
      <c r="BG284">
        <f>VLOOKUP($BA284,'[2]NonStandard DIS'!$Q$1:$X$542,7,FALSE)</f>
        <v>0</v>
      </c>
      <c r="BH284">
        <f>VLOOKUP($BA284,'[2]NonStandard DIS'!$Q$1:$X$542,8,FALSE)</f>
        <v>0</v>
      </c>
      <c r="BI284" s="77">
        <f t="shared" si="675"/>
        <v>1</v>
      </c>
      <c r="BJ284" s="77">
        <f t="shared" si="676"/>
        <v>6.9728499999999985E-2</v>
      </c>
      <c r="BK284" s="77">
        <f t="shared" si="657"/>
        <v>5.632878498097682E-3</v>
      </c>
      <c r="BL284" s="79">
        <v>0</v>
      </c>
      <c r="BM284" s="77">
        <f t="shared" si="688"/>
        <v>0</v>
      </c>
      <c r="BN284" s="77">
        <f t="shared" si="689"/>
        <v>0</v>
      </c>
      <c r="BO284" s="77">
        <f t="shared" si="690"/>
        <v>5.6775999999999997E-3</v>
      </c>
      <c r="BP284" s="77">
        <f t="shared" si="691"/>
        <v>4.7190657760731725E-4</v>
      </c>
    </row>
    <row r="285" spans="1:68">
      <c r="A285" t="s">
        <v>175</v>
      </c>
      <c r="B285" t="s">
        <v>176</v>
      </c>
      <c r="C285" s="197" t="str">
        <f t="shared" si="726"/>
        <v>Lifecycle_Balanced_260</v>
      </c>
      <c r="D285">
        <v>260</v>
      </c>
      <c r="E285">
        <f>VLOOKUP($D285,'[2]LC Balanced'!$Q$2:$U$542,2,FALSE)</f>
        <v>0</v>
      </c>
      <c r="F285">
        <f>VLOOKUP($D285,'[2]LC Balanced'!$Q$2:$U$542,3,FALSE)</f>
        <v>0.14899999999999999</v>
      </c>
      <c r="G285">
        <f>VLOOKUP($D285,'[2]LC Balanced'!$Q$2:$U$542,4,FALSE)</f>
        <v>0.85099999999999998</v>
      </c>
      <c r="H285">
        <f>VLOOKUP($D285,'[2]LC Balanced'!$Q$2:$U$542,5,FALSE)</f>
        <v>0</v>
      </c>
      <c r="I285" s="77">
        <f t="shared" si="670"/>
        <v>1</v>
      </c>
      <c r="J285" s="77">
        <f t="shared" si="671"/>
        <v>6.1987699999999986E-2</v>
      </c>
      <c r="K285" s="77">
        <f t="shared" si="661"/>
        <v>5.024442123284345E-3</v>
      </c>
      <c r="L285" s="76">
        <v>0</v>
      </c>
      <c r="M285" s="77">
        <f t="shared" si="677"/>
        <v>0</v>
      </c>
      <c r="N285" s="77">
        <f t="shared" si="678"/>
        <v>0</v>
      </c>
      <c r="O285" s="77">
        <f t="shared" si="679"/>
        <v>7.0062999999999992E-3</v>
      </c>
      <c r="P285" s="77">
        <f t="shared" si="680"/>
        <v>5.85741666996209E-4</v>
      </c>
      <c r="R285" t="s">
        <v>177</v>
      </c>
      <c r="S285" t="s">
        <v>176</v>
      </c>
      <c r="T285" s="197" t="str">
        <f t="shared" si="612"/>
        <v>Autopilot_Balanced_260</v>
      </c>
      <c r="U285">
        <v>260</v>
      </c>
      <c r="V285">
        <f>VLOOKUP($U285,'[2]AP Balanced'!$Q$1:$T$542,2,FALSE)</f>
        <v>0.77777777777777779</v>
      </c>
      <c r="W285">
        <f>VLOOKUP($U285,'[2]AP Balanced'!$Q$1:$T$542,3,FALSE)</f>
        <v>0.22222222222222221</v>
      </c>
      <c r="X285">
        <f>VLOOKUP($U285,'[2]AP Balanced'!$Q$1:$T$542,4,FALSE)</f>
        <v>0</v>
      </c>
      <c r="Y285" s="77">
        <f t="shared" si="727"/>
        <v>1</v>
      </c>
      <c r="Z285" s="77">
        <f t="shared" si="716"/>
        <v>6.1674999999999987E-2</v>
      </c>
      <c r="AA285" s="77">
        <f t="shared" si="717"/>
        <v>4.9997781870025904E-3</v>
      </c>
      <c r="AB285" s="79">
        <v>1</v>
      </c>
      <c r="AC285" s="77">
        <f t="shared" si="681"/>
        <v>8.0555555555555554E-3</v>
      </c>
      <c r="AD285" s="77">
        <f t="shared" si="672"/>
        <v>6.7378764057135498E-4</v>
      </c>
      <c r="AE285" s="77">
        <f t="shared" si="682"/>
        <v>2.5000000000000001E-3</v>
      </c>
      <c r="AF285" s="77">
        <f t="shared" si="672"/>
        <v>2.0857243058891584E-4</v>
      </c>
      <c r="AH285" t="s">
        <v>175</v>
      </c>
      <c r="AI285" t="s">
        <v>176</v>
      </c>
      <c r="AJ285" s="197" t="str">
        <f t="shared" si="728"/>
        <v>Lifecycle_Balanced_260</v>
      </c>
      <c r="AK285">
        <v>260</v>
      </c>
      <c r="AL285">
        <f>VLOOKUP($U285,[2]Standard_Balanced!$Q$1:$T$542,2,FALSE)</f>
        <v>0.77777777777777779</v>
      </c>
      <c r="AM285">
        <f>VLOOKUP($U285,[2]Standard_Balanced!$Q$1:$T$542,3,FALSE)</f>
        <v>0.22222222222222221</v>
      </c>
      <c r="AN285">
        <f>VLOOKUP($U285,[2]Standard_Balanced!$Q$1:$T$542,4,FALSE)</f>
        <v>0</v>
      </c>
      <c r="AO285" s="77">
        <f t="shared" si="658"/>
        <v>1</v>
      </c>
      <c r="AP285" s="77">
        <f t="shared" si="683"/>
        <v>6.1674999999999987E-2</v>
      </c>
      <c r="AQ285" s="77">
        <f t="shared" si="729"/>
        <v>4.9997781870025904E-3</v>
      </c>
      <c r="AR285" s="79">
        <v>0</v>
      </c>
      <c r="AS285" s="77">
        <f t="shared" si="684"/>
        <v>0</v>
      </c>
      <c r="AT285" s="77">
        <f t="shared" ref="AT285" si="743">1-(1-AS285)^(1/12)</f>
        <v>0</v>
      </c>
      <c r="AU285" s="77">
        <f t="shared" si="686"/>
        <v>2.5000000000000001E-3</v>
      </c>
      <c r="AV285" s="77">
        <f t="shared" ref="AV285" si="744">1-(1-AU285)^(1/12)</f>
        <v>2.0857243058891584E-4</v>
      </c>
      <c r="AX285" t="s">
        <v>178</v>
      </c>
      <c r="AY285" t="s">
        <v>160</v>
      </c>
      <c r="AZ285" s="197" t="str">
        <f t="shared" si="732"/>
        <v>DIS_Non-Standard_260</v>
      </c>
      <c r="BA285">
        <v>260</v>
      </c>
      <c r="BB285">
        <f>VLOOKUP($BA285,'[2]NonStandard DIS'!$Q$1:$X$542,2,FALSE)</f>
        <v>0</v>
      </c>
      <c r="BC285">
        <f>VLOOKUP($BA285,'[2]NonStandard DIS'!$Q$1:$X$542,3,FALSE)</f>
        <v>0</v>
      </c>
      <c r="BD285">
        <f>VLOOKUP($BA285,'[2]NonStandard DIS'!$Q$1:$X$542,4,FALSE)</f>
        <v>0.308</v>
      </c>
      <c r="BE285">
        <f>VLOOKUP($BA285,'[2]NonStandard DIS'!$Q$1:$X$542,5,FALSE)</f>
        <v>0.69199999999999995</v>
      </c>
      <c r="BF285">
        <f>VLOOKUP($BA285,'[2]NonStandard DIS'!$Q$1:$X$542,6,FALSE)</f>
        <v>0</v>
      </c>
      <c r="BG285">
        <f>VLOOKUP($BA285,'[2]NonStandard DIS'!$Q$1:$X$542,7,FALSE)</f>
        <v>0</v>
      </c>
      <c r="BH285">
        <f>VLOOKUP($BA285,'[2]NonStandard DIS'!$Q$1:$X$542,8,FALSE)</f>
        <v>0</v>
      </c>
      <c r="BI285" s="77">
        <f t="shared" si="675"/>
        <v>1</v>
      </c>
      <c r="BJ285" s="77">
        <f t="shared" si="676"/>
        <v>6.9728499999999985E-2</v>
      </c>
      <c r="BK285" s="77">
        <f t="shared" si="657"/>
        <v>5.632878498097682E-3</v>
      </c>
      <c r="BL285" s="79">
        <v>0</v>
      </c>
      <c r="BM285" s="77">
        <f t="shared" si="688"/>
        <v>0</v>
      </c>
      <c r="BN285" s="77">
        <f t="shared" si="689"/>
        <v>0</v>
      </c>
      <c r="BO285" s="77">
        <f t="shared" si="690"/>
        <v>5.6775999999999997E-3</v>
      </c>
      <c r="BP285" s="77">
        <f t="shared" si="691"/>
        <v>4.7190657760731725E-4</v>
      </c>
    </row>
    <row r="286" spans="1:68">
      <c r="A286" t="s">
        <v>175</v>
      </c>
      <c r="B286" t="s">
        <v>176</v>
      </c>
      <c r="C286" s="197" t="str">
        <f t="shared" si="726"/>
        <v>Lifecycle_Balanced_259</v>
      </c>
      <c r="D286">
        <v>259</v>
      </c>
      <c r="E286">
        <f>VLOOKUP($D286,'[2]LC Balanced'!$Q$2:$U$542,2,FALSE)</f>
        <v>0</v>
      </c>
      <c r="F286">
        <f>VLOOKUP($D286,'[2]LC Balanced'!$Q$2:$U$542,3,FALSE)</f>
        <v>0.14899999999999999</v>
      </c>
      <c r="G286">
        <f>VLOOKUP($D286,'[2]LC Balanced'!$Q$2:$U$542,4,FALSE)</f>
        <v>0.85099999999999998</v>
      </c>
      <c r="H286">
        <f>VLOOKUP($D286,'[2]LC Balanced'!$Q$2:$U$542,5,FALSE)</f>
        <v>0</v>
      </c>
      <c r="I286" s="77">
        <f t="shared" si="670"/>
        <v>1</v>
      </c>
      <c r="J286" s="77">
        <f t="shared" si="671"/>
        <v>6.1987699999999986E-2</v>
      </c>
      <c r="K286" s="77">
        <f t="shared" si="661"/>
        <v>5.024442123284345E-3</v>
      </c>
      <c r="L286" s="76">
        <v>0</v>
      </c>
      <c r="M286" s="77">
        <f t="shared" si="677"/>
        <v>0</v>
      </c>
      <c r="N286" s="77">
        <f t="shared" si="678"/>
        <v>0</v>
      </c>
      <c r="O286" s="77">
        <f t="shared" si="679"/>
        <v>7.0062999999999992E-3</v>
      </c>
      <c r="P286" s="77">
        <f t="shared" si="680"/>
        <v>5.85741666996209E-4</v>
      </c>
      <c r="R286" t="s">
        <v>177</v>
      </c>
      <c r="S286" t="s">
        <v>176</v>
      </c>
      <c r="T286" s="197" t="str">
        <f t="shared" si="612"/>
        <v>Autopilot_Balanced_259</v>
      </c>
      <c r="U286">
        <v>259</v>
      </c>
      <c r="V286">
        <f>VLOOKUP($U286,'[2]AP Balanced'!$Q$1:$T$542,2,FALSE)</f>
        <v>0.77777777777777779</v>
      </c>
      <c r="W286">
        <f>VLOOKUP($U286,'[2]AP Balanced'!$Q$1:$T$542,3,FALSE)</f>
        <v>0.22222222222222221</v>
      </c>
      <c r="X286">
        <f>VLOOKUP($U286,'[2]AP Balanced'!$Q$1:$T$542,4,FALSE)</f>
        <v>0</v>
      </c>
      <c r="Y286" s="77">
        <f t="shared" si="727"/>
        <v>1</v>
      </c>
      <c r="Z286" s="77">
        <f t="shared" si="716"/>
        <v>6.1674999999999987E-2</v>
      </c>
      <c r="AA286" s="77">
        <f t="shared" si="717"/>
        <v>4.9997781870025904E-3</v>
      </c>
      <c r="AB286" s="79">
        <v>1</v>
      </c>
      <c r="AC286" s="77">
        <f t="shared" si="681"/>
        <v>8.0555555555555554E-3</v>
      </c>
      <c r="AD286" s="77">
        <f t="shared" si="672"/>
        <v>6.7378764057135498E-4</v>
      </c>
      <c r="AE286" s="77">
        <f t="shared" si="682"/>
        <v>2.5000000000000001E-3</v>
      </c>
      <c r="AF286" s="77">
        <f t="shared" si="672"/>
        <v>2.0857243058891584E-4</v>
      </c>
      <c r="AH286" t="s">
        <v>175</v>
      </c>
      <c r="AI286" t="s">
        <v>176</v>
      </c>
      <c r="AJ286" s="197" t="str">
        <f t="shared" si="728"/>
        <v>Lifecycle_Balanced_259</v>
      </c>
      <c r="AK286">
        <v>259</v>
      </c>
      <c r="AL286">
        <f>VLOOKUP($U286,[2]Standard_Balanced!$Q$1:$T$542,2,FALSE)</f>
        <v>0.77777777777777779</v>
      </c>
      <c r="AM286">
        <f>VLOOKUP($U286,[2]Standard_Balanced!$Q$1:$T$542,3,FALSE)</f>
        <v>0.22222222222222221</v>
      </c>
      <c r="AN286">
        <f>VLOOKUP($U286,[2]Standard_Balanced!$Q$1:$T$542,4,FALSE)</f>
        <v>0</v>
      </c>
      <c r="AO286" s="77">
        <f t="shared" si="658"/>
        <v>1</v>
      </c>
      <c r="AP286" s="77">
        <f t="shared" si="683"/>
        <v>6.1674999999999987E-2</v>
      </c>
      <c r="AQ286" s="77">
        <f t="shared" si="729"/>
        <v>4.9997781870025904E-3</v>
      </c>
      <c r="AR286" s="79">
        <v>0</v>
      </c>
      <c r="AS286" s="77">
        <f t="shared" si="684"/>
        <v>0</v>
      </c>
      <c r="AT286" s="77">
        <f t="shared" ref="AT286" si="745">1-(1-AS286)^(1/12)</f>
        <v>0</v>
      </c>
      <c r="AU286" s="77">
        <f t="shared" si="686"/>
        <v>2.5000000000000001E-3</v>
      </c>
      <c r="AV286" s="77">
        <f t="shared" ref="AV286" si="746">1-(1-AU286)^(1/12)</f>
        <v>2.0857243058891584E-4</v>
      </c>
      <c r="AX286" t="s">
        <v>178</v>
      </c>
      <c r="AY286" t="s">
        <v>160</v>
      </c>
      <c r="AZ286" s="197" t="str">
        <f t="shared" si="732"/>
        <v>DIS_Non-Standard_259</v>
      </c>
      <c r="BA286">
        <v>259</v>
      </c>
      <c r="BB286">
        <f>VLOOKUP($BA286,'[2]NonStandard DIS'!$Q$1:$X$542,2,FALSE)</f>
        <v>0</v>
      </c>
      <c r="BC286">
        <f>VLOOKUP($BA286,'[2]NonStandard DIS'!$Q$1:$X$542,3,FALSE)</f>
        <v>0</v>
      </c>
      <c r="BD286">
        <f>VLOOKUP($BA286,'[2]NonStandard DIS'!$Q$1:$X$542,4,FALSE)</f>
        <v>0.308</v>
      </c>
      <c r="BE286">
        <f>VLOOKUP($BA286,'[2]NonStandard DIS'!$Q$1:$X$542,5,FALSE)</f>
        <v>0.69199999999999995</v>
      </c>
      <c r="BF286">
        <f>VLOOKUP($BA286,'[2]NonStandard DIS'!$Q$1:$X$542,6,FALSE)</f>
        <v>0</v>
      </c>
      <c r="BG286">
        <f>VLOOKUP($BA286,'[2]NonStandard DIS'!$Q$1:$X$542,7,FALSE)</f>
        <v>0</v>
      </c>
      <c r="BH286">
        <f>VLOOKUP($BA286,'[2]NonStandard DIS'!$Q$1:$X$542,8,FALSE)</f>
        <v>0</v>
      </c>
      <c r="BI286" s="77">
        <f t="shared" si="675"/>
        <v>1</v>
      </c>
      <c r="BJ286" s="77">
        <f t="shared" si="676"/>
        <v>6.9728499999999985E-2</v>
      </c>
      <c r="BK286" s="77">
        <f t="shared" si="657"/>
        <v>5.632878498097682E-3</v>
      </c>
      <c r="BL286" s="79">
        <v>0</v>
      </c>
      <c r="BM286" s="77">
        <f t="shared" si="688"/>
        <v>0</v>
      </c>
      <c r="BN286" s="77">
        <f t="shared" si="689"/>
        <v>0</v>
      </c>
      <c r="BO286" s="77">
        <f t="shared" si="690"/>
        <v>5.6775999999999997E-3</v>
      </c>
      <c r="BP286" s="77">
        <f t="shared" si="691"/>
        <v>4.7190657760731725E-4</v>
      </c>
    </row>
    <row r="287" spans="1:68">
      <c r="A287" t="s">
        <v>175</v>
      </c>
      <c r="B287" t="s">
        <v>176</v>
      </c>
      <c r="C287" s="197" t="str">
        <f t="shared" si="726"/>
        <v>Lifecycle_Balanced_258</v>
      </c>
      <c r="D287">
        <v>258</v>
      </c>
      <c r="E287">
        <f>VLOOKUP($D287,'[2]LC Balanced'!$Q$2:$U$542,2,FALSE)</f>
        <v>0</v>
      </c>
      <c r="F287">
        <f>VLOOKUP($D287,'[2]LC Balanced'!$Q$2:$U$542,3,FALSE)</f>
        <v>0.14899999999999999</v>
      </c>
      <c r="G287">
        <f>VLOOKUP($D287,'[2]LC Balanced'!$Q$2:$U$542,4,FALSE)</f>
        <v>0.85099999999999998</v>
      </c>
      <c r="H287">
        <f>VLOOKUP($D287,'[2]LC Balanced'!$Q$2:$U$542,5,FALSE)</f>
        <v>0</v>
      </c>
      <c r="I287" s="77">
        <f t="shared" si="670"/>
        <v>1</v>
      </c>
      <c r="J287" s="77">
        <f t="shared" si="671"/>
        <v>6.1987699999999986E-2</v>
      </c>
      <c r="K287" s="77">
        <f t="shared" si="661"/>
        <v>5.024442123284345E-3</v>
      </c>
      <c r="L287" s="76">
        <v>0</v>
      </c>
      <c r="M287" s="77">
        <f t="shared" si="677"/>
        <v>0</v>
      </c>
      <c r="N287" s="77">
        <f t="shared" si="678"/>
        <v>0</v>
      </c>
      <c r="O287" s="77">
        <f t="shared" si="679"/>
        <v>7.0062999999999992E-3</v>
      </c>
      <c r="P287" s="77">
        <f t="shared" si="680"/>
        <v>5.85741666996209E-4</v>
      </c>
      <c r="R287" t="s">
        <v>177</v>
      </c>
      <c r="S287" t="s">
        <v>176</v>
      </c>
      <c r="T287" s="197" t="str">
        <f t="shared" si="612"/>
        <v>Autopilot_Balanced_258</v>
      </c>
      <c r="U287">
        <v>258</v>
      </c>
      <c r="V287">
        <f>VLOOKUP($U287,'[2]AP Balanced'!$Q$1:$T$542,2,FALSE)</f>
        <v>0.77777777777777779</v>
      </c>
      <c r="W287">
        <f>VLOOKUP($U287,'[2]AP Balanced'!$Q$1:$T$542,3,FALSE)</f>
        <v>0.22222222222222221</v>
      </c>
      <c r="X287">
        <f>VLOOKUP($U287,'[2]AP Balanced'!$Q$1:$T$542,4,FALSE)</f>
        <v>0</v>
      </c>
      <c r="Y287" s="77">
        <f t="shared" si="727"/>
        <v>1</v>
      </c>
      <c r="Z287" s="77">
        <f t="shared" si="716"/>
        <v>6.1674999999999987E-2</v>
      </c>
      <c r="AA287" s="77">
        <f t="shared" si="717"/>
        <v>4.9997781870025904E-3</v>
      </c>
      <c r="AB287" s="79">
        <v>1</v>
      </c>
      <c r="AC287" s="77">
        <f t="shared" si="681"/>
        <v>8.0555555555555554E-3</v>
      </c>
      <c r="AD287" s="77">
        <f t="shared" si="672"/>
        <v>6.7378764057135498E-4</v>
      </c>
      <c r="AE287" s="77">
        <f t="shared" si="682"/>
        <v>2.5000000000000001E-3</v>
      </c>
      <c r="AF287" s="77">
        <f t="shared" si="672"/>
        <v>2.0857243058891584E-4</v>
      </c>
      <c r="AH287" t="s">
        <v>175</v>
      </c>
      <c r="AI287" t="s">
        <v>176</v>
      </c>
      <c r="AJ287" s="197" t="str">
        <f t="shared" si="728"/>
        <v>Lifecycle_Balanced_258</v>
      </c>
      <c r="AK287">
        <v>258</v>
      </c>
      <c r="AL287">
        <f>VLOOKUP($U287,[2]Standard_Balanced!$Q$1:$T$542,2,FALSE)</f>
        <v>0.77777777777777779</v>
      </c>
      <c r="AM287">
        <f>VLOOKUP($U287,[2]Standard_Balanced!$Q$1:$T$542,3,FALSE)</f>
        <v>0.22222222222222221</v>
      </c>
      <c r="AN287">
        <f>VLOOKUP($U287,[2]Standard_Balanced!$Q$1:$T$542,4,FALSE)</f>
        <v>0</v>
      </c>
      <c r="AO287" s="77">
        <f t="shared" si="658"/>
        <v>1</v>
      </c>
      <c r="AP287" s="77">
        <f t="shared" si="683"/>
        <v>6.1674999999999987E-2</v>
      </c>
      <c r="AQ287" s="77">
        <f t="shared" si="729"/>
        <v>4.9997781870025904E-3</v>
      </c>
      <c r="AR287" s="79">
        <v>0</v>
      </c>
      <c r="AS287" s="77">
        <f t="shared" si="684"/>
        <v>0</v>
      </c>
      <c r="AT287" s="77">
        <f t="shared" ref="AT287" si="747">1-(1-AS287)^(1/12)</f>
        <v>0</v>
      </c>
      <c r="AU287" s="77">
        <f t="shared" si="686"/>
        <v>2.5000000000000001E-3</v>
      </c>
      <c r="AV287" s="77">
        <f t="shared" ref="AV287" si="748">1-(1-AU287)^(1/12)</f>
        <v>2.0857243058891584E-4</v>
      </c>
      <c r="AX287" t="s">
        <v>178</v>
      </c>
      <c r="AY287" t="s">
        <v>160</v>
      </c>
      <c r="AZ287" s="197" t="str">
        <f t="shared" si="732"/>
        <v>DIS_Non-Standard_258</v>
      </c>
      <c r="BA287">
        <v>258</v>
      </c>
      <c r="BB287">
        <f>VLOOKUP($BA287,'[2]NonStandard DIS'!$Q$1:$X$542,2,FALSE)</f>
        <v>0</v>
      </c>
      <c r="BC287">
        <f>VLOOKUP($BA287,'[2]NonStandard DIS'!$Q$1:$X$542,3,FALSE)</f>
        <v>0</v>
      </c>
      <c r="BD287">
        <f>VLOOKUP($BA287,'[2]NonStandard DIS'!$Q$1:$X$542,4,FALSE)</f>
        <v>0.308</v>
      </c>
      <c r="BE287">
        <f>VLOOKUP($BA287,'[2]NonStandard DIS'!$Q$1:$X$542,5,FALSE)</f>
        <v>0.69199999999999995</v>
      </c>
      <c r="BF287">
        <f>VLOOKUP($BA287,'[2]NonStandard DIS'!$Q$1:$X$542,6,FALSE)</f>
        <v>0</v>
      </c>
      <c r="BG287">
        <f>VLOOKUP($BA287,'[2]NonStandard DIS'!$Q$1:$X$542,7,FALSE)</f>
        <v>0</v>
      </c>
      <c r="BH287">
        <f>VLOOKUP($BA287,'[2]NonStandard DIS'!$Q$1:$X$542,8,FALSE)</f>
        <v>0</v>
      </c>
      <c r="BI287" s="77">
        <f t="shared" si="675"/>
        <v>1</v>
      </c>
      <c r="BJ287" s="77">
        <f t="shared" si="676"/>
        <v>6.9728499999999985E-2</v>
      </c>
      <c r="BK287" s="77">
        <f t="shared" si="657"/>
        <v>5.632878498097682E-3</v>
      </c>
      <c r="BL287" s="79">
        <v>0</v>
      </c>
      <c r="BM287" s="77">
        <f t="shared" si="688"/>
        <v>0</v>
      </c>
      <c r="BN287" s="77">
        <f t="shared" si="689"/>
        <v>0</v>
      </c>
      <c r="BO287" s="77">
        <f t="shared" si="690"/>
        <v>5.6775999999999997E-3</v>
      </c>
      <c r="BP287" s="77">
        <f t="shared" si="691"/>
        <v>4.7190657760731725E-4</v>
      </c>
    </row>
    <row r="288" spans="1:68">
      <c r="A288" t="s">
        <v>175</v>
      </c>
      <c r="B288" t="s">
        <v>176</v>
      </c>
      <c r="C288" s="197" t="str">
        <f t="shared" si="726"/>
        <v>Lifecycle_Balanced_257</v>
      </c>
      <c r="D288">
        <v>257</v>
      </c>
      <c r="E288">
        <f>VLOOKUP($D288,'[2]LC Balanced'!$Q$2:$U$542,2,FALSE)</f>
        <v>0</v>
      </c>
      <c r="F288">
        <f>VLOOKUP($D288,'[2]LC Balanced'!$Q$2:$U$542,3,FALSE)</f>
        <v>0.14899999999999999</v>
      </c>
      <c r="G288">
        <f>VLOOKUP($D288,'[2]LC Balanced'!$Q$2:$U$542,4,FALSE)</f>
        <v>0.85099999999999998</v>
      </c>
      <c r="H288">
        <f>VLOOKUP($D288,'[2]LC Balanced'!$Q$2:$U$542,5,FALSE)</f>
        <v>0</v>
      </c>
      <c r="I288" s="77">
        <f t="shared" si="670"/>
        <v>1</v>
      </c>
      <c r="J288" s="77">
        <f t="shared" si="671"/>
        <v>6.1987699999999986E-2</v>
      </c>
      <c r="K288" s="77">
        <f t="shared" si="661"/>
        <v>5.024442123284345E-3</v>
      </c>
      <c r="L288" s="76">
        <v>0</v>
      </c>
      <c r="M288" s="77">
        <f t="shared" si="677"/>
        <v>0</v>
      </c>
      <c r="N288" s="77">
        <f t="shared" si="678"/>
        <v>0</v>
      </c>
      <c r="O288" s="77">
        <f t="shared" si="679"/>
        <v>7.0062999999999992E-3</v>
      </c>
      <c r="P288" s="77">
        <f t="shared" si="680"/>
        <v>5.85741666996209E-4</v>
      </c>
      <c r="R288" t="s">
        <v>177</v>
      </c>
      <c r="S288" t="s">
        <v>176</v>
      </c>
      <c r="T288" s="197" t="str">
        <f t="shared" si="612"/>
        <v>Autopilot_Balanced_257</v>
      </c>
      <c r="U288">
        <v>257</v>
      </c>
      <c r="V288">
        <f>VLOOKUP($U288,'[2]AP Balanced'!$Q$1:$T$542,2,FALSE)</f>
        <v>0.77777777777777779</v>
      </c>
      <c r="W288">
        <f>VLOOKUP($U288,'[2]AP Balanced'!$Q$1:$T$542,3,FALSE)</f>
        <v>0.22222222222222221</v>
      </c>
      <c r="X288">
        <f>VLOOKUP($U288,'[2]AP Balanced'!$Q$1:$T$542,4,FALSE)</f>
        <v>0</v>
      </c>
      <c r="Y288" s="77">
        <f t="shared" si="727"/>
        <v>1</v>
      </c>
      <c r="Z288" s="77">
        <f t="shared" si="716"/>
        <v>6.1674999999999987E-2</v>
      </c>
      <c r="AA288" s="77">
        <f t="shared" si="717"/>
        <v>4.9997781870025904E-3</v>
      </c>
      <c r="AB288" s="79">
        <v>1</v>
      </c>
      <c r="AC288" s="77">
        <f t="shared" si="681"/>
        <v>8.0555555555555554E-3</v>
      </c>
      <c r="AD288" s="77">
        <f t="shared" si="672"/>
        <v>6.7378764057135498E-4</v>
      </c>
      <c r="AE288" s="77">
        <f t="shared" si="682"/>
        <v>2.5000000000000001E-3</v>
      </c>
      <c r="AF288" s="77">
        <f t="shared" si="672"/>
        <v>2.0857243058891584E-4</v>
      </c>
      <c r="AH288" t="s">
        <v>175</v>
      </c>
      <c r="AI288" t="s">
        <v>176</v>
      </c>
      <c r="AJ288" s="197" t="str">
        <f t="shared" si="728"/>
        <v>Lifecycle_Balanced_257</v>
      </c>
      <c r="AK288">
        <v>257</v>
      </c>
      <c r="AL288">
        <f>VLOOKUP($U288,[2]Standard_Balanced!$Q$1:$T$542,2,FALSE)</f>
        <v>0.77777777777777779</v>
      </c>
      <c r="AM288">
        <f>VLOOKUP($U288,[2]Standard_Balanced!$Q$1:$T$542,3,FALSE)</f>
        <v>0.22222222222222221</v>
      </c>
      <c r="AN288">
        <f>VLOOKUP($U288,[2]Standard_Balanced!$Q$1:$T$542,4,FALSE)</f>
        <v>0</v>
      </c>
      <c r="AO288" s="77">
        <f t="shared" si="658"/>
        <v>1</v>
      </c>
      <c r="AP288" s="77">
        <f t="shared" si="683"/>
        <v>6.1674999999999987E-2</v>
      </c>
      <c r="AQ288" s="77">
        <f t="shared" si="729"/>
        <v>4.9997781870025904E-3</v>
      </c>
      <c r="AR288" s="79">
        <v>0</v>
      </c>
      <c r="AS288" s="77">
        <f t="shared" si="684"/>
        <v>0</v>
      </c>
      <c r="AT288" s="77">
        <f t="shared" ref="AT288" si="749">1-(1-AS288)^(1/12)</f>
        <v>0</v>
      </c>
      <c r="AU288" s="77">
        <f t="shared" si="686"/>
        <v>2.5000000000000001E-3</v>
      </c>
      <c r="AV288" s="77">
        <f t="shared" ref="AV288" si="750">1-(1-AU288)^(1/12)</f>
        <v>2.0857243058891584E-4</v>
      </c>
      <c r="AX288" t="s">
        <v>178</v>
      </c>
      <c r="AY288" t="s">
        <v>160</v>
      </c>
      <c r="AZ288" s="197" t="str">
        <f t="shared" si="732"/>
        <v>DIS_Non-Standard_257</v>
      </c>
      <c r="BA288">
        <v>257</v>
      </c>
      <c r="BB288">
        <f>VLOOKUP($BA288,'[2]NonStandard DIS'!$Q$1:$X$542,2,FALSE)</f>
        <v>0</v>
      </c>
      <c r="BC288">
        <f>VLOOKUP($BA288,'[2]NonStandard DIS'!$Q$1:$X$542,3,FALSE)</f>
        <v>0</v>
      </c>
      <c r="BD288">
        <f>VLOOKUP($BA288,'[2]NonStandard DIS'!$Q$1:$X$542,4,FALSE)</f>
        <v>0.308</v>
      </c>
      <c r="BE288">
        <f>VLOOKUP($BA288,'[2]NonStandard DIS'!$Q$1:$X$542,5,FALSE)</f>
        <v>0.69199999999999995</v>
      </c>
      <c r="BF288">
        <f>VLOOKUP($BA288,'[2]NonStandard DIS'!$Q$1:$X$542,6,FALSE)</f>
        <v>0</v>
      </c>
      <c r="BG288">
        <f>VLOOKUP($BA288,'[2]NonStandard DIS'!$Q$1:$X$542,7,FALSE)</f>
        <v>0</v>
      </c>
      <c r="BH288">
        <f>VLOOKUP($BA288,'[2]NonStandard DIS'!$Q$1:$X$542,8,FALSE)</f>
        <v>0</v>
      </c>
      <c r="BI288" s="77">
        <f t="shared" si="675"/>
        <v>1</v>
      </c>
      <c r="BJ288" s="77">
        <f t="shared" si="676"/>
        <v>6.9728499999999985E-2</v>
      </c>
      <c r="BK288" s="77">
        <f t="shared" si="657"/>
        <v>5.632878498097682E-3</v>
      </c>
      <c r="BL288" s="79">
        <v>0</v>
      </c>
      <c r="BM288" s="77">
        <f t="shared" si="688"/>
        <v>0</v>
      </c>
      <c r="BN288" s="77">
        <f t="shared" si="689"/>
        <v>0</v>
      </c>
      <c r="BO288" s="77">
        <f t="shared" si="690"/>
        <v>5.6775999999999997E-3</v>
      </c>
      <c r="BP288" s="77">
        <f t="shared" si="691"/>
        <v>4.7190657760731725E-4</v>
      </c>
    </row>
    <row r="289" spans="1:68">
      <c r="A289" t="s">
        <v>175</v>
      </c>
      <c r="B289" t="s">
        <v>176</v>
      </c>
      <c r="C289" s="197" t="str">
        <f t="shared" si="726"/>
        <v>Lifecycle_Balanced_256</v>
      </c>
      <c r="D289">
        <v>256</v>
      </c>
      <c r="E289">
        <f>VLOOKUP($D289,'[2]LC Balanced'!$Q$2:$U$542,2,FALSE)</f>
        <v>0</v>
      </c>
      <c r="F289">
        <f>VLOOKUP($D289,'[2]LC Balanced'!$Q$2:$U$542,3,FALSE)</f>
        <v>0.14899999999999999</v>
      </c>
      <c r="G289">
        <f>VLOOKUP($D289,'[2]LC Balanced'!$Q$2:$U$542,4,FALSE)</f>
        <v>0.85099999999999998</v>
      </c>
      <c r="H289">
        <f>VLOOKUP($D289,'[2]LC Balanced'!$Q$2:$U$542,5,FALSE)</f>
        <v>0</v>
      </c>
      <c r="I289" s="77">
        <f t="shared" si="670"/>
        <v>1</v>
      </c>
      <c r="J289" s="77">
        <f t="shared" si="671"/>
        <v>6.1987699999999986E-2</v>
      </c>
      <c r="K289" s="77">
        <f t="shared" si="661"/>
        <v>5.024442123284345E-3</v>
      </c>
      <c r="L289" s="76">
        <v>0</v>
      </c>
      <c r="M289" s="77">
        <f t="shared" si="677"/>
        <v>0</v>
      </c>
      <c r="N289" s="77">
        <f t="shared" si="678"/>
        <v>0</v>
      </c>
      <c r="O289" s="77">
        <f t="shared" si="679"/>
        <v>7.0062999999999992E-3</v>
      </c>
      <c r="P289" s="77">
        <f t="shared" si="680"/>
        <v>5.85741666996209E-4</v>
      </c>
      <c r="R289" t="s">
        <v>177</v>
      </c>
      <c r="S289" t="s">
        <v>176</v>
      </c>
      <c r="T289" s="197" t="str">
        <f t="shared" si="612"/>
        <v>Autopilot_Balanced_256</v>
      </c>
      <c r="U289">
        <v>256</v>
      </c>
      <c r="V289">
        <f>VLOOKUP($U289,'[2]AP Balanced'!$Q$1:$T$542,2,FALSE)</f>
        <v>0.77777777777777779</v>
      </c>
      <c r="W289">
        <f>VLOOKUP($U289,'[2]AP Balanced'!$Q$1:$T$542,3,FALSE)</f>
        <v>0.22222222222222221</v>
      </c>
      <c r="X289">
        <f>VLOOKUP($U289,'[2]AP Balanced'!$Q$1:$T$542,4,FALSE)</f>
        <v>0</v>
      </c>
      <c r="Y289" s="77">
        <f t="shared" si="727"/>
        <v>1</v>
      </c>
      <c r="Z289" s="77">
        <f t="shared" si="716"/>
        <v>6.1674999999999987E-2</v>
      </c>
      <c r="AA289" s="77">
        <f t="shared" si="717"/>
        <v>4.9997781870025904E-3</v>
      </c>
      <c r="AB289" s="79">
        <v>1</v>
      </c>
      <c r="AC289" s="77">
        <f t="shared" si="681"/>
        <v>8.0555555555555554E-3</v>
      </c>
      <c r="AD289" s="77">
        <f t="shared" si="672"/>
        <v>6.7378764057135498E-4</v>
      </c>
      <c r="AE289" s="77">
        <f t="shared" si="682"/>
        <v>2.5000000000000001E-3</v>
      </c>
      <c r="AF289" s="77">
        <f t="shared" si="672"/>
        <v>2.0857243058891584E-4</v>
      </c>
      <c r="AH289" t="s">
        <v>175</v>
      </c>
      <c r="AI289" t="s">
        <v>176</v>
      </c>
      <c r="AJ289" s="197" t="str">
        <f t="shared" si="728"/>
        <v>Lifecycle_Balanced_256</v>
      </c>
      <c r="AK289">
        <v>256</v>
      </c>
      <c r="AL289">
        <f>VLOOKUP($U289,[2]Standard_Balanced!$Q$1:$T$542,2,FALSE)</f>
        <v>0.77777777777777779</v>
      </c>
      <c r="AM289">
        <f>VLOOKUP($U289,[2]Standard_Balanced!$Q$1:$T$542,3,FALSE)</f>
        <v>0.22222222222222221</v>
      </c>
      <c r="AN289">
        <f>VLOOKUP($U289,[2]Standard_Balanced!$Q$1:$T$542,4,FALSE)</f>
        <v>0</v>
      </c>
      <c r="AO289" s="77">
        <f t="shared" si="658"/>
        <v>1</v>
      </c>
      <c r="AP289" s="77">
        <f t="shared" si="683"/>
        <v>6.1674999999999987E-2</v>
      </c>
      <c r="AQ289" s="77">
        <f t="shared" si="729"/>
        <v>4.9997781870025904E-3</v>
      </c>
      <c r="AR289" s="79">
        <v>0</v>
      </c>
      <c r="AS289" s="77">
        <f t="shared" si="684"/>
        <v>0</v>
      </c>
      <c r="AT289" s="77">
        <f t="shared" ref="AT289" si="751">1-(1-AS289)^(1/12)</f>
        <v>0</v>
      </c>
      <c r="AU289" s="77">
        <f t="shared" si="686"/>
        <v>2.5000000000000001E-3</v>
      </c>
      <c r="AV289" s="77">
        <f t="shared" ref="AV289" si="752">1-(1-AU289)^(1/12)</f>
        <v>2.0857243058891584E-4</v>
      </c>
      <c r="AX289" t="s">
        <v>178</v>
      </c>
      <c r="AY289" t="s">
        <v>160</v>
      </c>
      <c r="AZ289" s="197" t="str">
        <f t="shared" si="732"/>
        <v>DIS_Non-Standard_256</v>
      </c>
      <c r="BA289">
        <v>256</v>
      </c>
      <c r="BB289">
        <f>VLOOKUP($BA289,'[2]NonStandard DIS'!$Q$1:$X$542,2,FALSE)</f>
        <v>0</v>
      </c>
      <c r="BC289">
        <f>VLOOKUP($BA289,'[2]NonStandard DIS'!$Q$1:$X$542,3,FALSE)</f>
        <v>0</v>
      </c>
      <c r="BD289">
        <f>VLOOKUP($BA289,'[2]NonStandard DIS'!$Q$1:$X$542,4,FALSE)</f>
        <v>0.308</v>
      </c>
      <c r="BE289">
        <f>VLOOKUP($BA289,'[2]NonStandard DIS'!$Q$1:$X$542,5,FALSE)</f>
        <v>0.69199999999999995</v>
      </c>
      <c r="BF289">
        <f>VLOOKUP($BA289,'[2]NonStandard DIS'!$Q$1:$X$542,6,FALSE)</f>
        <v>0</v>
      </c>
      <c r="BG289">
        <f>VLOOKUP($BA289,'[2]NonStandard DIS'!$Q$1:$X$542,7,FALSE)</f>
        <v>0</v>
      </c>
      <c r="BH289">
        <f>VLOOKUP($BA289,'[2]NonStandard DIS'!$Q$1:$X$542,8,FALSE)</f>
        <v>0</v>
      </c>
      <c r="BI289" s="77">
        <f t="shared" si="675"/>
        <v>1</v>
      </c>
      <c r="BJ289" s="77">
        <f t="shared" si="676"/>
        <v>6.9728499999999985E-2</v>
      </c>
      <c r="BK289" s="77">
        <f t="shared" si="657"/>
        <v>5.632878498097682E-3</v>
      </c>
      <c r="BL289" s="79">
        <v>0</v>
      </c>
      <c r="BM289" s="77">
        <f t="shared" si="688"/>
        <v>0</v>
      </c>
      <c r="BN289" s="77">
        <f t="shared" si="689"/>
        <v>0</v>
      </c>
      <c r="BO289" s="77">
        <f t="shared" si="690"/>
        <v>5.6775999999999997E-3</v>
      </c>
      <c r="BP289" s="77">
        <f t="shared" si="691"/>
        <v>4.7190657760731725E-4</v>
      </c>
    </row>
    <row r="290" spans="1:68">
      <c r="A290" t="s">
        <v>175</v>
      </c>
      <c r="B290" t="s">
        <v>176</v>
      </c>
      <c r="C290" s="197" t="str">
        <f t="shared" si="726"/>
        <v>Lifecycle_Balanced_255</v>
      </c>
      <c r="D290">
        <v>255</v>
      </c>
      <c r="E290">
        <f>VLOOKUP($D290,'[2]LC Balanced'!$Q$2:$U$542,2,FALSE)</f>
        <v>0</v>
      </c>
      <c r="F290">
        <f>VLOOKUP($D290,'[2]LC Balanced'!$Q$2:$U$542,3,FALSE)</f>
        <v>0.14899999999999999</v>
      </c>
      <c r="G290">
        <f>VLOOKUP($D290,'[2]LC Balanced'!$Q$2:$U$542,4,FALSE)</f>
        <v>0.85099999999999998</v>
      </c>
      <c r="H290">
        <f>VLOOKUP($D290,'[2]LC Balanced'!$Q$2:$U$542,5,FALSE)</f>
        <v>0</v>
      </c>
      <c r="I290" s="77">
        <f t="shared" si="670"/>
        <v>1</v>
      </c>
      <c r="J290" s="77">
        <f t="shared" si="671"/>
        <v>6.1987699999999986E-2</v>
      </c>
      <c r="K290" s="77">
        <f t="shared" si="661"/>
        <v>5.024442123284345E-3</v>
      </c>
      <c r="L290" s="76">
        <v>0</v>
      </c>
      <c r="M290" s="77">
        <f t="shared" si="677"/>
        <v>0</v>
      </c>
      <c r="N290" s="77">
        <f t="shared" si="678"/>
        <v>0</v>
      </c>
      <c r="O290" s="77">
        <f t="shared" si="679"/>
        <v>7.0062999999999992E-3</v>
      </c>
      <c r="P290" s="77">
        <f t="shared" si="680"/>
        <v>5.85741666996209E-4</v>
      </c>
      <c r="R290" t="s">
        <v>177</v>
      </c>
      <c r="S290" t="s">
        <v>176</v>
      </c>
      <c r="T290" s="197" t="str">
        <f t="shared" si="612"/>
        <v>Autopilot_Balanced_255</v>
      </c>
      <c r="U290">
        <v>255</v>
      </c>
      <c r="V290">
        <f>VLOOKUP($U290,'[2]AP Balanced'!$Q$1:$T$542,2,FALSE)</f>
        <v>0.77777777777777779</v>
      </c>
      <c r="W290">
        <f>VLOOKUP($U290,'[2]AP Balanced'!$Q$1:$T$542,3,FALSE)</f>
        <v>0.22222222222222221</v>
      </c>
      <c r="X290">
        <f>VLOOKUP($U290,'[2]AP Balanced'!$Q$1:$T$542,4,FALSE)</f>
        <v>0</v>
      </c>
      <c r="Y290" s="77">
        <f t="shared" si="727"/>
        <v>1</v>
      </c>
      <c r="Z290" s="77">
        <f t="shared" si="716"/>
        <v>6.1674999999999987E-2</v>
      </c>
      <c r="AA290" s="77">
        <f t="shared" si="717"/>
        <v>4.9997781870025904E-3</v>
      </c>
      <c r="AB290" s="79">
        <v>1</v>
      </c>
      <c r="AC290" s="77">
        <f t="shared" si="681"/>
        <v>8.0555555555555554E-3</v>
      </c>
      <c r="AD290" s="77">
        <f t="shared" si="672"/>
        <v>6.7378764057135498E-4</v>
      </c>
      <c r="AE290" s="77">
        <f t="shared" si="682"/>
        <v>2.5000000000000001E-3</v>
      </c>
      <c r="AF290" s="77">
        <f t="shared" si="672"/>
        <v>2.0857243058891584E-4</v>
      </c>
      <c r="AH290" t="s">
        <v>175</v>
      </c>
      <c r="AI290" t="s">
        <v>176</v>
      </c>
      <c r="AJ290" s="197" t="str">
        <f t="shared" si="728"/>
        <v>Lifecycle_Balanced_255</v>
      </c>
      <c r="AK290">
        <v>255</v>
      </c>
      <c r="AL290">
        <f>VLOOKUP($U290,[2]Standard_Balanced!$Q$1:$T$542,2,FALSE)</f>
        <v>0.77777777777777779</v>
      </c>
      <c r="AM290">
        <f>VLOOKUP($U290,[2]Standard_Balanced!$Q$1:$T$542,3,FALSE)</f>
        <v>0.22222222222222221</v>
      </c>
      <c r="AN290">
        <f>VLOOKUP($U290,[2]Standard_Balanced!$Q$1:$T$542,4,FALSE)</f>
        <v>0</v>
      </c>
      <c r="AO290" s="77">
        <f t="shared" si="658"/>
        <v>1</v>
      </c>
      <c r="AP290" s="77">
        <f t="shared" si="683"/>
        <v>6.1674999999999987E-2</v>
      </c>
      <c r="AQ290" s="77">
        <f t="shared" si="729"/>
        <v>4.9997781870025904E-3</v>
      </c>
      <c r="AR290" s="79">
        <v>0</v>
      </c>
      <c r="AS290" s="77">
        <f t="shared" si="684"/>
        <v>0</v>
      </c>
      <c r="AT290" s="77">
        <f t="shared" ref="AT290" si="753">1-(1-AS290)^(1/12)</f>
        <v>0</v>
      </c>
      <c r="AU290" s="77">
        <f t="shared" si="686"/>
        <v>2.5000000000000001E-3</v>
      </c>
      <c r="AV290" s="77">
        <f t="shared" ref="AV290" si="754">1-(1-AU290)^(1/12)</f>
        <v>2.0857243058891584E-4</v>
      </c>
      <c r="AX290" t="s">
        <v>178</v>
      </c>
      <c r="AY290" t="s">
        <v>160</v>
      </c>
      <c r="AZ290" s="197" t="str">
        <f t="shared" si="732"/>
        <v>DIS_Non-Standard_255</v>
      </c>
      <c r="BA290">
        <v>255</v>
      </c>
      <c r="BB290">
        <f>VLOOKUP($BA290,'[2]NonStandard DIS'!$Q$1:$X$542,2,FALSE)</f>
        <v>0</v>
      </c>
      <c r="BC290">
        <f>VLOOKUP($BA290,'[2]NonStandard DIS'!$Q$1:$X$542,3,FALSE)</f>
        <v>0</v>
      </c>
      <c r="BD290">
        <f>VLOOKUP($BA290,'[2]NonStandard DIS'!$Q$1:$X$542,4,FALSE)</f>
        <v>0.308</v>
      </c>
      <c r="BE290">
        <f>VLOOKUP($BA290,'[2]NonStandard DIS'!$Q$1:$X$542,5,FALSE)</f>
        <v>0.69199999999999995</v>
      </c>
      <c r="BF290">
        <f>VLOOKUP($BA290,'[2]NonStandard DIS'!$Q$1:$X$542,6,FALSE)</f>
        <v>0</v>
      </c>
      <c r="BG290">
        <f>VLOOKUP($BA290,'[2]NonStandard DIS'!$Q$1:$X$542,7,FALSE)</f>
        <v>0</v>
      </c>
      <c r="BH290">
        <f>VLOOKUP($BA290,'[2]NonStandard DIS'!$Q$1:$X$542,8,FALSE)</f>
        <v>0</v>
      </c>
      <c r="BI290" s="77">
        <f t="shared" si="675"/>
        <v>1</v>
      </c>
      <c r="BJ290" s="77">
        <f t="shared" si="676"/>
        <v>6.9728499999999985E-2</v>
      </c>
      <c r="BK290" s="77">
        <f t="shared" si="657"/>
        <v>5.632878498097682E-3</v>
      </c>
      <c r="BL290" s="79">
        <v>0</v>
      </c>
      <c r="BM290" s="77">
        <f t="shared" si="688"/>
        <v>0</v>
      </c>
      <c r="BN290" s="77">
        <f t="shared" si="689"/>
        <v>0</v>
      </c>
      <c r="BO290" s="77">
        <f t="shared" si="690"/>
        <v>5.6775999999999997E-3</v>
      </c>
      <c r="BP290" s="77">
        <f t="shared" si="691"/>
        <v>4.7190657760731725E-4</v>
      </c>
    </row>
    <row r="291" spans="1:68">
      <c r="A291" t="s">
        <v>175</v>
      </c>
      <c r="B291" t="s">
        <v>176</v>
      </c>
      <c r="C291" s="197" t="str">
        <f t="shared" si="726"/>
        <v>Lifecycle_Balanced_254</v>
      </c>
      <c r="D291">
        <v>254</v>
      </c>
      <c r="E291">
        <f>VLOOKUP($D291,'[2]LC Balanced'!$Q$2:$U$542,2,FALSE)</f>
        <v>0</v>
      </c>
      <c r="F291">
        <f>VLOOKUP($D291,'[2]LC Balanced'!$Q$2:$U$542,3,FALSE)</f>
        <v>0.14899999999999999</v>
      </c>
      <c r="G291">
        <f>VLOOKUP($D291,'[2]LC Balanced'!$Q$2:$U$542,4,FALSE)</f>
        <v>0.85099999999999998</v>
      </c>
      <c r="H291">
        <f>VLOOKUP($D291,'[2]LC Balanced'!$Q$2:$U$542,5,FALSE)</f>
        <v>0</v>
      </c>
      <c r="I291" s="77">
        <f t="shared" si="670"/>
        <v>1</v>
      </c>
      <c r="J291" s="77">
        <f t="shared" si="671"/>
        <v>6.1987699999999986E-2</v>
      </c>
      <c r="K291" s="77">
        <f t="shared" si="661"/>
        <v>5.024442123284345E-3</v>
      </c>
      <c r="L291" s="76">
        <v>0</v>
      </c>
      <c r="M291" s="77">
        <f t="shared" si="677"/>
        <v>0</v>
      </c>
      <c r="N291" s="77">
        <f t="shared" si="678"/>
        <v>0</v>
      </c>
      <c r="O291" s="77">
        <f t="shared" si="679"/>
        <v>7.0062999999999992E-3</v>
      </c>
      <c r="P291" s="77">
        <f t="shared" si="680"/>
        <v>5.85741666996209E-4</v>
      </c>
      <c r="R291" t="s">
        <v>177</v>
      </c>
      <c r="S291" t="s">
        <v>176</v>
      </c>
      <c r="T291" s="197" t="str">
        <f t="shared" si="612"/>
        <v>Autopilot_Balanced_254</v>
      </c>
      <c r="U291">
        <v>254</v>
      </c>
      <c r="V291">
        <f>VLOOKUP($U291,'[2]AP Balanced'!$Q$1:$T$542,2,FALSE)</f>
        <v>0.77777777777777779</v>
      </c>
      <c r="W291">
        <f>VLOOKUP($U291,'[2]AP Balanced'!$Q$1:$T$542,3,FALSE)</f>
        <v>0.22222222222222221</v>
      </c>
      <c r="X291">
        <f>VLOOKUP($U291,'[2]AP Balanced'!$Q$1:$T$542,4,FALSE)</f>
        <v>0</v>
      </c>
      <c r="Y291" s="77">
        <f t="shared" si="727"/>
        <v>1</v>
      </c>
      <c r="Z291" s="77">
        <f t="shared" si="716"/>
        <v>6.1674999999999987E-2</v>
      </c>
      <c r="AA291" s="77">
        <f t="shared" si="717"/>
        <v>4.9997781870025904E-3</v>
      </c>
      <c r="AB291" s="79">
        <v>1</v>
      </c>
      <c r="AC291" s="77">
        <f t="shared" si="681"/>
        <v>8.0555555555555554E-3</v>
      </c>
      <c r="AD291" s="77">
        <f t="shared" si="672"/>
        <v>6.7378764057135498E-4</v>
      </c>
      <c r="AE291" s="77">
        <f t="shared" si="682"/>
        <v>2.5000000000000001E-3</v>
      </c>
      <c r="AF291" s="77">
        <f t="shared" si="672"/>
        <v>2.0857243058891584E-4</v>
      </c>
      <c r="AH291" t="s">
        <v>175</v>
      </c>
      <c r="AI291" t="s">
        <v>176</v>
      </c>
      <c r="AJ291" s="197" t="str">
        <f t="shared" si="728"/>
        <v>Lifecycle_Balanced_254</v>
      </c>
      <c r="AK291">
        <v>254</v>
      </c>
      <c r="AL291">
        <f>VLOOKUP($U291,[2]Standard_Balanced!$Q$1:$T$542,2,FALSE)</f>
        <v>0.77777777777777779</v>
      </c>
      <c r="AM291">
        <f>VLOOKUP($U291,[2]Standard_Balanced!$Q$1:$T$542,3,FALSE)</f>
        <v>0.22222222222222221</v>
      </c>
      <c r="AN291">
        <f>VLOOKUP($U291,[2]Standard_Balanced!$Q$1:$T$542,4,FALSE)</f>
        <v>0</v>
      </c>
      <c r="AO291" s="77">
        <f t="shared" si="658"/>
        <v>1</v>
      </c>
      <c r="AP291" s="77">
        <f t="shared" si="683"/>
        <v>6.1674999999999987E-2</v>
      </c>
      <c r="AQ291" s="77">
        <f t="shared" si="729"/>
        <v>4.9997781870025904E-3</v>
      </c>
      <c r="AR291" s="79">
        <v>0</v>
      </c>
      <c r="AS291" s="77">
        <f t="shared" si="684"/>
        <v>0</v>
      </c>
      <c r="AT291" s="77">
        <f t="shared" ref="AT291" si="755">1-(1-AS291)^(1/12)</f>
        <v>0</v>
      </c>
      <c r="AU291" s="77">
        <f t="shared" si="686"/>
        <v>2.5000000000000001E-3</v>
      </c>
      <c r="AV291" s="77">
        <f t="shared" ref="AV291" si="756">1-(1-AU291)^(1/12)</f>
        <v>2.0857243058891584E-4</v>
      </c>
      <c r="AX291" t="s">
        <v>178</v>
      </c>
      <c r="AY291" t="s">
        <v>160</v>
      </c>
      <c r="AZ291" s="197" t="str">
        <f t="shared" si="732"/>
        <v>DIS_Non-Standard_254</v>
      </c>
      <c r="BA291">
        <v>254</v>
      </c>
      <c r="BB291">
        <f>VLOOKUP($BA291,'[2]NonStandard DIS'!$Q$1:$X$542,2,FALSE)</f>
        <v>0</v>
      </c>
      <c r="BC291">
        <f>VLOOKUP($BA291,'[2]NonStandard DIS'!$Q$1:$X$542,3,FALSE)</f>
        <v>0</v>
      </c>
      <c r="BD291">
        <f>VLOOKUP($BA291,'[2]NonStandard DIS'!$Q$1:$X$542,4,FALSE)</f>
        <v>0.308</v>
      </c>
      <c r="BE291">
        <f>VLOOKUP($BA291,'[2]NonStandard DIS'!$Q$1:$X$542,5,FALSE)</f>
        <v>0.69199999999999995</v>
      </c>
      <c r="BF291">
        <f>VLOOKUP($BA291,'[2]NonStandard DIS'!$Q$1:$X$542,6,FALSE)</f>
        <v>0</v>
      </c>
      <c r="BG291">
        <f>VLOOKUP($BA291,'[2]NonStandard DIS'!$Q$1:$X$542,7,FALSE)</f>
        <v>0</v>
      </c>
      <c r="BH291">
        <f>VLOOKUP($BA291,'[2]NonStandard DIS'!$Q$1:$X$542,8,FALSE)</f>
        <v>0</v>
      </c>
      <c r="BI291" s="77">
        <f t="shared" si="675"/>
        <v>1</v>
      </c>
      <c r="BJ291" s="77">
        <f t="shared" si="676"/>
        <v>6.9728499999999985E-2</v>
      </c>
      <c r="BK291" s="77">
        <f t="shared" si="657"/>
        <v>5.632878498097682E-3</v>
      </c>
      <c r="BL291" s="79">
        <v>0</v>
      </c>
      <c r="BM291" s="77">
        <f t="shared" si="688"/>
        <v>0</v>
      </c>
      <c r="BN291" s="77">
        <f t="shared" si="689"/>
        <v>0</v>
      </c>
      <c r="BO291" s="77">
        <f t="shared" si="690"/>
        <v>5.6775999999999997E-3</v>
      </c>
      <c r="BP291" s="77">
        <f t="shared" si="691"/>
        <v>4.7190657760731725E-4</v>
      </c>
    </row>
    <row r="292" spans="1:68">
      <c r="A292" t="s">
        <v>175</v>
      </c>
      <c r="B292" t="s">
        <v>176</v>
      </c>
      <c r="C292" s="197" t="str">
        <f t="shared" si="726"/>
        <v>Lifecycle_Balanced_253</v>
      </c>
      <c r="D292">
        <v>253</v>
      </c>
      <c r="E292">
        <f>VLOOKUP($D292,'[2]LC Balanced'!$Q$2:$U$542,2,FALSE)</f>
        <v>0</v>
      </c>
      <c r="F292">
        <f>VLOOKUP($D292,'[2]LC Balanced'!$Q$2:$U$542,3,FALSE)</f>
        <v>0.14899999999999999</v>
      </c>
      <c r="G292">
        <f>VLOOKUP($D292,'[2]LC Balanced'!$Q$2:$U$542,4,FALSE)</f>
        <v>0.85099999999999998</v>
      </c>
      <c r="H292">
        <f>VLOOKUP($D292,'[2]LC Balanced'!$Q$2:$U$542,5,FALSE)</f>
        <v>0</v>
      </c>
      <c r="I292" s="77">
        <f t="shared" si="670"/>
        <v>1</v>
      </c>
      <c r="J292" s="77">
        <f t="shared" si="671"/>
        <v>6.1987699999999986E-2</v>
      </c>
      <c r="K292" s="77">
        <f t="shared" si="661"/>
        <v>5.024442123284345E-3</v>
      </c>
      <c r="L292" s="76">
        <v>0</v>
      </c>
      <c r="M292" s="77">
        <f t="shared" si="677"/>
        <v>0</v>
      </c>
      <c r="N292" s="77">
        <f t="shared" si="678"/>
        <v>0</v>
      </c>
      <c r="O292" s="77">
        <f t="shared" si="679"/>
        <v>7.0062999999999992E-3</v>
      </c>
      <c r="P292" s="77">
        <f t="shared" si="680"/>
        <v>5.85741666996209E-4</v>
      </c>
      <c r="R292" t="s">
        <v>177</v>
      </c>
      <c r="S292" t="s">
        <v>176</v>
      </c>
      <c r="T292" s="197" t="str">
        <f t="shared" si="612"/>
        <v>Autopilot_Balanced_253</v>
      </c>
      <c r="U292">
        <v>253</v>
      </c>
      <c r="V292">
        <f>VLOOKUP($U292,'[2]AP Balanced'!$Q$1:$T$542,2,FALSE)</f>
        <v>0.77777777777777779</v>
      </c>
      <c r="W292">
        <f>VLOOKUP($U292,'[2]AP Balanced'!$Q$1:$T$542,3,FALSE)</f>
        <v>0.22222222222222221</v>
      </c>
      <c r="X292">
        <f>VLOOKUP($U292,'[2]AP Balanced'!$Q$1:$T$542,4,FALSE)</f>
        <v>0</v>
      </c>
      <c r="Y292" s="77">
        <f t="shared" si="727"/>
        <v>1</v>
      </c>
      <c r="Z292" s="77">
        <f t="shared" si="716"/>
        <v>6.1674999999999987E-2</v>
      </c>
      <c r="AA292" s="77">
        <f t="shared" si="717"/>
        <v>4.9997781870025904E-3</v>
      </c>
      <c r="AB292" s="79">
        <v>1</v>
      </c>
      <c r="AC292" s="77">
        <f t="shared" si="681"/>
        <v>8.0555555555555554E-3</v>
      </c>
      <c r="AD292" s="77">
        <f t="shared" si="672"/>
        <v>6.7378764057135498E-4</v>
      </c>
      <c r="AE292" s="77">
        <f t="shared" si="682"/>
        <v>2.5000000000000001E-3</v>
      </c>
      <c r="AF292" s="77">
        <f t="shared" si="672"/>
        <v>2.0857243058891584E-4</v>
      </c>
      <c r="AH292" t="s">
        <v>175</v>
      </c>
      <c r="AI292" t="s">
        <v>176</v>
      </c>
      <c r="AJ292" s="197" t="str">
        <f t="shared" si="728"/>
        <v>Lifecycle_Balanced_253</v>
      </c>
      <c r="AK292">
        <v>253</v>
      </c>
      <c r="AL292">
        <f>VLOOKUP($U292,[2]Standard_Balanced!$Q$1:$T$542,2,FALSE)</f>
        <v>0.77777777777777779</v>
      </c>
      <c r="AM292">
        <f>VLOOKUP($U292,[2]Standard_Balanced!$Q$1:$T$542,3,FALSE)</f>
        <v>0.22222222222222221</v>
      </c>
      <c r="AN292">
        <f>VLOOKUP($U292,[2]Standard_Balanced!$Q$1:$T$542,4,FALSE)</f>
        <v>0</v>
      </c>
      <c r="AO292" s="77">
        <f t="shared" si="658"/>
        <v>1</v>
      </c>
      <c r="AP292" s="77">
        <f t="shared" si="683"/>
        <v>6.1674999999999987E-2</v>
      </c>
      <c r="AQ292" s="77">
        <f t="shared" si="729"/>
        <v>4.9997781870025904E-3</v>
      </c>
      <c r="AR292" s="79">
        <v>0</v>
      </c>
      <c r="AS292" s="77">
        <f t="shared" si="684"/>
        <v>0</v>
      </c>
      <c r="AT292" s="77">
        <f t="shared" ref="AT292" si="757">1-(1-AS292)^(1/12)</f>
        <v>0</v>
      </c>
      <c r="AU292" s="77">
        <f t="shared" si="686"/>
        <v>2.5000000000000001E-3</v>
      </c>
      <c r="AV292" s="77">
        <f t="shared" ref="AV292" si="758">1-(1-AU292)^(1/12)</f>
        <v>2.0857243058891584E-4</v>
      </c>
      <c r="AX292" t="s">
        <v>178</v>
      </c>
      <c r="AY292" t="s">
        <v>160</v>
      </c>
      <c r="AZ292" s="197" t="str">
        <f t="shared" si="732"/>
        <v>DIS_Non-Standard_253</v>
      </c>
      <c r="BA292">
        <v>253</v>
      </c>
      <c r="BB292">
        <f>VLOOKUP($BA292,'[2]NonStandard DIS'!$Q$1:$X$542,2,FALSE)</f>
        <v>0</v>
      </c>
      <c r="BC292">
        <f>VLOOKUP($BA292,'[2]NonStandard DIS'!$Q$1:$X$542,3,FALSE)</f>
        <v>0</v>
      </c>
      <c r="BD292">
        <f>VLOOKUP($BA292,'[2]NonStandard DIS'!$Q$1:$X$542,4,FALSE)</f>
        <v>0.308</v>
      </c>
      <c r="BE292">
        <f>VLOOKUP($BA292,'[2]NonStandard DIS'!$Q$1:$X$542,5,FALSE)</f>
        <v>0.69199999999999995</v>
      </c>
      <c r="BF292">
        <f>VLOOKUP($BA292,'[2]NonStandard DIS'!$Q$1:$X$542,6,FALSE)</f>
        <v>0</v>
      </c>
      <c r="BG292">
        <f>VLOOKUP($BA292,'[2]NonStandard DIS'!$Q$1:$X$542,7,FALSE)</f>
        <v>0</v>
      </c>
      <c r="BH292">
        <f>VLOOKUP($BA292,'[2]NonStandard DIS'!$Q$1:$X$542,8,FALSE)</f>
        <v>0</v>
      </c>
      <c r="BI292" s="77">
        <f t="shared" si="675"/>
        <v>1</v>
      </c>
      <c r="BJ292" s="77">
        <f t="shared" si="676"/>
        <v>6.9728499999999985E-2</v>
      </c>
      <c r="BK292" s="77">
        <f t="shared" si="657"/>
        <v>5.632878498097682E-3</v>
      </c>
      <c r="BL292" s="79">
        <v>0</v>
      </c>
      <c r="BM292" s="77">
        <f t="shared" si="688"/>
        <v>0</v>
      </c>
      <c r="BN292" s="77">
        <f t="shared" si="689"/>
        <v>0</v>
      </c>
      <c r="BO292" s="77">
        <f t="shared" si="690"/>
        <v>5.6775999999999997E-3</v>
      </c>
      <c r="BP292" s="77">
        <f t="shared" si="691"/>
        <v>4.7190657760731725E-4</v>
      </c>
    </row>
    <row r="293" spans="1:68">
      <c r="A293" t="s">
        <v>175</v>
      </c>
      <c r="B293" t="s">
        <v>176</v>
      </c>
      <c r="C293" s="197" t="str">
        <f t="shared" si="726"/>
        <v>Lifecycle_Balanced_252</v>
      </c>
      <c r="D293">
        <v>252</v>
      </c>
      <c r="E293">
        <f>VLOOKUP($D293,'[2]LC Balanced'!$Q$2:$U$542,2,FALSE)</f>
        <v>0</v>
      </c>
      <c r="F293">
        <f>VLOOKUP($D293,'[2]LC Balanced'!$Q$2:$U$542,3,FALSE)</f>
        <v>0.14899999999999999</v>
      </c>
      <c r="G293">
        <f>VLOOKUP($D293,'[2]LC Balanced'!$Q$2:$U$542,4,FALSE)</f>
        <v>0.85099999999999998</v>
      </c>
      <c r="H293">
        <f>VLOOKUP($D293,'[2]LC Balanced'!$Q$2:$U$542,5,FALSE)</f>
        <v>0</v>
      </c>
      <c r="I293" s="77">
        <f t="shared" si="670"/>
        <v>1</v>
      </c>
      <c r="J293" s="77">
        <f t="shared" si="671"/>
        <v>6.1987699999999986E-2</v>
      </c>
      <c r="K293" s="77">
        <f t="shared" si="661"/>
        <v>5.024442123284345E-3</v>
      </c>
      <c r="L293" s="76">
        <v>0</v>
      </c>
      <c r="M293" s="77">
        <f t="shared" si="677"/>
        <v>0</v>
      </c>
      <c r="N293" s="77">
        <f t="shared" si="678"/>
        <v>0</v>
      </c>
      <c r="O293" s="77">
        <f t="shared" si="679"/>
        <v>7.0062999999999992E-3</v>
      </c>
      <c r="P293" s="77">
        <f t="shared" si="680"/>
        <v>5.85741666996209E-4</v>
      </c>
      <c r="R293" t="s">
        <v>177</v>
      </c>
      <c r="S293" t="s">
        <v>176</v>
      </c>
      <c r="T293" s="197" t="str">
        <f t="shared" si="612"/>
        <v>Autopilot_Balanced_252</v>
      </c>
      <c r="U293">
        <v>252</v>
      </c>
      <c r="V293">
        <f>VLOOKUP($U293,'[2]AP Balanced'!$Q$1:$T$542,2,FALSE)</f>
        <v>0.77777777777777779</v>
      </c>
      <c r="W293">
        <f>VLOOKUP($U293,'[2]AP Balanced'!$Q$1:$T$542,3,FALSE)</f>
        <v>0.22222222222222221</v>
      </c>
      <c r="X293">
        <f>VLOOKUP($U293,'[2]AP Balanced'!$Q$1:$T$542,4,FALSE)</f>
        <v>0</v>
      </c>
      <c r="Y293" s="77">
        <f t="shared" si="727"/>
        <v>1</v>
      </c>
      <c r="Z293" s="77">
        <f t="shared" si="716"/>
        <v>6.1674999999999987E-2</v>
      </c>
      <c r="AA293" s="77">
        <f t="shared" si="717"/>
        <v>4.9997781870025904E-3</v>
      </c>
      <c r="AB293" s="79">
        <v>1</v>
      </c>
      <c r="AC293" s="77">
        <f t="shared" si="681"/>
        <v>8.0555555555555554E-3</v>
      </c>
      <c r="AD293" s="77">
        <f t="shared" si="672"/>
        <v>6.7378764057135498E-4</v>
      </c>
      <c r="AE293" s="77">
        <f t="shared" si="682"/>
        <v>2.5000000000000001E-3</v>
      </c>
      <c r="AF293" s="77">
        <f t="shared" si="672"/>
        <v>2.0857243058891584E-4</v>
      </c>
      <c r="AH293" t="s">
        <v>175</v>
      </c>
      <c r="AI293" t="s">
        <v>176</v>
      </c>
      <c r="AJ293" s="197" t="str">
        <f t="shared" si="728"/>
        <v>Lifecycle_Balanced_252</v>
      </c>
      <c r="AK293">
        <v>252</v>
      </c>
      <c r="AL293">
        <f>VLOOKUP($U293,[2]Standard_Balanced!$Q$1:$T$542,2,FALSE)</f>
        <v>0.77777777777777779</v>
      </c>
      <c r="AM293">
        <f>VLOOKUP($U293,[2]Standard_Balanced!$Q$1:$T$542,3,FALSE)</f>
        <v>0.22222222222222221</v>
      </c>
      <c r="AN293">
        <f>VLOOKUP($U293,[2]Standard_Balanced!$Q$1:$T$542,4,FALSE)</f>
        <v>0</v>
      </c>
      <c r="AO293" s="77">
        <f t="shared" si="658"/>
        <v>1</v>
      </c>
      <c r="AP293" s="77">
        <f t="shared" si="683"/>
        <v>6.1674999999999987E-2</v>
      </c>
      <c r="AQ293" s="77">
        <f t="shared" si="729"/>
        <v>4.9997781870025904E-3</v>
      </c>
      <c r="AR293" s="79">
        <v>0</v>
      </c>
      <c r="AS293" s="77">
        <f t="shared" si="684"/>
        <v>0</v>
      </c>
      <c r="AT293" s="77">
        <f t="shared" ref="AT293" si="759">1-(1-AS293)^(1/12)</f>
        <v>0</v>
      </c>
      <c r="AU293" s="77">
        <f t="shared" si="686"/>
        <v>2.5000000000000001E-3</v>
      </c>
      <c r="AV293" s="77">
        <f t="shared" ref="AV293" si="760">1-(1-AU293)^(1/12)</f>
        <v>2.0857243058891584E-4</v>
      </c>
      <c r="AX293" t="s">
        <v>178</v>
      </c>
      <c r="AY293" t="s">
        <v>160</v>
      </c>
      <c r="AZ293" s="197" t="str">
        <f t="shared" si="732"/>
        <v>DIS_Non-Standard_252</v>
      </c>
      <c r="BA293">
        <v>252</v>
      </c>
      <c r="BB293">
        <f>VLOOKUP($BA293,'[2]NonStandard DIS'!$Q$1:$X$542,2,FALSE)</f>
        <v>0</v>
      </c>
      <c r="BC293">
        <f>VLOOKUP($BA293,'[2]NonStandard DIS'!$Q$1:$X$542,3,FALSE)</f>
        <v>0</v>
      </c>
      <c r="BD293">
        <f>VLOOKUP($BA293,'[2]NonStandard DIS'!$Q$1:$X$542,4,FALSE)</f>
        <v>0.308</v>
      </c>
      <c r="BE293">
        <f>VLOOKUP($BA293,'[2]NonStandard DIS'!$Q$1:$X$542,5,FALSE)</f>
        <v>0.69199999999999995</v>
      </c>
      <c r="BF293">
        <f>VLOOKUP($BA293,'[2]NonStandard DIS'!$Q$1:$X$542,6,FALSE)</f>
        <v>0</v>
      </c>
      <c r="BG293">
        <f>VLOOKUP($BA293,'[2]NonStandard DIS'!$Q$1:$X$542,7,FALSE)</f>
        <v>0</v>
      </c>
      <c r="BH293">
        <f>VLOOKUP($BA293,'[2]NonStandard DIS'!$Q$1:$X$542,8,FALSE)</f>
        <v>0</v>
      </c>
      <c r="BI293" s="77">
        <f t="shared" si="675"/>
        <v>1</v>
      </c>
      <c r="BJ293" s="77">
        <f t="shared" si="676"/>
        <v>6.9728499999999985E-2</v>
      </c>
      <c r="BK293" s="77">
        <f t="shared" si="657"/>
        <v>5.632878498097682E-3</v>
      </c>
      <c r="BL293" s="79">
        <v>0</v>
      </c>
      <c r="BM293" s="77">
        <f t="shared" si="688"/>
        <v>0</v>
      </c>
      <c r="BN293" s="77">
        <f t="shared" si="689"/>
        <v>0</v>
      </c>
      <c r="BO293" s="77">
        <f t="shared" si="690"/>
        <v>5.6775999999999997E-3</v>
      </c>
      <c r="BP293" s="77">
        <f t="shared" si="691"/>
        <v>4.7190657760731725E-4</v>
      </c>
    </row>
    <row r="294" spans="1:68">
      <c r="A294" t="s">
        <v>175</v>
      </c>
      <c r="B294" t="s">
        <v>176</v>
      </c>
      <c r="C294" s="197" t="str">
        <f t="shared" si="726"/>
        <v>Lifecycle_Balanced_251</v>
      </c>
      <c r="D294">
        <v>251</v>
      </c>
      <c r="E294">
        <f>VLOOKUP($D294,'[2]LC Balanced'!$Q$2:$U$542,2,FALSE)</f>
        <v>0</v>
      </c>
      <c r="F294">
        <f>VLOOKUP($D294,'[2]LC Balanced'!$Q$2:$U$542,3,FALSE)</f>
        <v>0.14899999999999999</v>
      </c>
      <c r="G294">
        <f>VLOOKUP($D294,'[2]LC Balanced'!$Q$2:$U$542,4,FALSE)</f>
        <v>0.85099999999999998</v>
      </c>
      <c r="H294">
        <f>VLOOKUP($D294,'[2]LC Balanced'!$Q$2:$U$542,5,FALSE)</f>
        <v>0</v>
      </c>
      <c r="I294" s="77">
        <f t="shared" si="670"/>
        <v>1</v>
      </c>
      <c r="J294" s="77">
        <f t="shared" si="671"/>
        <v>6.1987699999999986E-2</v>
      </c>
      <c r="K294" s="77">
        <f t="shared" si="661"/>
        <v>5.024442123284345E-3</v>
      </c>
      <c r="L294" s="76">
        <v>0</v>
      </c>
      <c r="M294" s="77">
        <f t="shared" si="677"/>
        <v>0</v>
      </c>
      <c r="N294" s="77">
        <f t="shared" si="678"/>
        <v>0</v>
      </c>
      <c r="O294" s="77">
        <f t="shared" si="679"/>
        <v>7.0062999999999992E-3</v>
      </c>
      <c r="P294" s="77">
        <f t="shared" si="680"/>
        <v>5.85741666996209E-4</v>
      </c>
      <c r="R294" t="s">
        <v>177</v>
      </c>
      <c r="S294" t="s">
        <v>176</v>
      </c>
      <c r="T294" s="197" t="str">
        <f t="shared" si="612"/>
        <v>Autopilot_Balanced_251</v>
      </c>
      <c r="U294">
        <v>251</v>
      </c>
      <c r="V294">
        <f>VLOOKUP($U294,'[2]AP Balanced'!$Q$1:$T$542,2,FALSE)</f>
        <v>0.77777777777777779</v>
      </c>
      <c r="W294">
        <f>VLOOKUP($U294,'[2]AP Balanced'!$Q$1:$T$542,3,FALSE)</f>
        <v>0.22222222222222221</v>
      </c>
      <c r="X294">
        <f>VLOOKUP($U294,'[2]AP Balanced'!$Q$1:$T$542,4,FALSE)</f>
        <v>0</v>
      </c>
      <c r="Y294" s="77">
        <f t="shared" si="727"/>
        <v>1</v>
      </c>
      <c r="Z294" s="77">
        <f t="shared" si="716"/>
        <v>6.1674999999999987E-2</v>
      </c>
      <c r="AA294" s="77">
        <f t="shared" si="717"/>
        <v>4.9997781870025904E-3</v>
      </c>
      <c r="AB294" s="79">
        <v>1</v>
      </c>
      <c r="AC294" s="77">
        <f t="shared" si="681"/>
        <v>8.0555555555555554E-3</v>
      </c>
      <c r="AD294" s="77">
        <f t="shared" si="672"/>
        <v>6.7378764057135498E-4</v>
      </c>
      <c r="AE294" s="77">
        <f t="shared" si="682"/>
        <v>2.5000000000000001E-3</v>
      </c>
      <c r="AF294" s="77">
        <f t="shared" si="672"/>
        <v>2.0857243058891584E-4</v>
      </c>
      <c r="AH294" t="s">
        <v>175</v>
      </c>
      <c r="AI294" t="s">
        <v>176</v>
      </c>
      <c r="AJ294" s="197" t="str">
        <f t="shared" si="728"/>
        <v>Lifecycle_Balanced_251</v>
      </c>
      <c r="AK294">
        <v>251</v>
      </c>
      <c r="AL294">
        <f>VLOOKUP($U294,[2]Standard_Balanced!$Q$1:$T$542,2,FALSE)</f>
        <v>0.77777777777777779</v>
      </c>
      <c r="AM294">
        <f>VLOOKUP($U294,[2]Standard_Balanced!$Q$1:$T$542,3,FALSE)</f>
        <v>0.22222222222222221</v>
      </c>
      <c r="AN294">
        <f>VLOOKUP($U294,[2]Standard_Balanced!$Q$1:$T$542,4,FALSE)</f>
        <v>0</v>
      </c>
      <c r="AO294" s="77">
        <f t="shared" si="658"/>
        <v>1</v>
      </c>
      <c r="AP294" s="77">
        <f t="shared" si="683"/>
        <v>6.1674999999999987E-2</v>
      </c>
      <c r="AQ294" s="77">
        <f t="shared" si="729"/>
        <v>4.9997781870025904E-3</v>
      </c>
      <c r="AR294" s="79">
        <v>0</v>
      </c>
      <c r="AS294" s="77">
        <f t="shared" si="684"/>
        <v>0</v>
      </c>
      <c r="AT294" s="77">
        <f t="shared" ref="AT294" si="761">1-(1-AS294)^(1/12)</f>
        <v>0</v>
      </c>
      <c r="AU294" s="77">
        <f t="shared" si="686"/>
        <v>2.5000000000000001E-3</v>
      </c>
      <c r="AV294" s="77">
        <f t="shared" ref="AV294" si="762">1-(1-AU294)^(1/12)</f>
        <v>2.0857243058891584E-4</v>
      </c>
      <c r="AX294" t="s">
        <v>178</v>
      </c>
      <c r="AY294" t="s">
        <v>160</v>
      </c>
      <c r="AZ294" s="197" t="str">
        <f t="shared" si="732"/>
        <v>DIS_Non-Standard_251</v>
      </c>
      <c r="BA294">
        <v>251</v>
      </c>
      <c r="BB294">
        <f>VLOOKUP($BA294,'[2]NonStandard DIS'!$Q$1:$X$542,2,FALSE)</f>
        <v>0</v>
      </c>
      <c r="BC294">
        <f>VLOOKUP($BA294,'[2]NonStandard DIS'!$Q$1:$X$542,3,FALSE)</f>
        <v>0</v>
      </c>
      <c r="BD294">
        <f>VLOOKUP($BA294,'[2]NonStandard DIS'!$Q$1:$X$542,4,FALSE)</f>
        <v>0.308</v>
      </c>
      <c r="BE294">
        <f>VLOOKUP($BA294,'[2]NonStandard DIS'!$Q$1:$X$542,5,FALSE)</f>
        <v>0.69199999999999995</v>
      </c>
      <c r="BF294">
        <f>VLOOKUP($BA294,'[2]NonStandard DIS'!$Q$1:$X$542,6,FALSE)</f>
        <v>0</v>
      </c>
      <c r="BG294">
        <f>VLOOKUP($BA294,'[2]NonStandard DIS'!$Q$1:$X$542,7,FALSE)</f>
        <v>0</v>
      </c>
      <c r="BH294">
        <f>VLOOKUP($BA294,'[2]NonStandard DIS'!$Q$1:$X$542,8,FALSE)</f>
        <v>0</v>
      </c>
      <c r="BI294" s="77">
        <f t="shared" si="675"/>
        <v>1</v>
      </c>
      <c r="BJ294" s="77">
        <f t="shared" si="676"/>
        <v>6.9728499999999985E-2</v>
      </c>
      <c r="BK294" s="77">
        <f t="shared" si="657"/>
        <v>5.632878498097682E-3</v>
      </c>
      <c r="BL294" s="79">
        <v>0</v>
      </c>
      <c r="BM294" s="77">
        <f t="shared" si="688"/>
        <v>0</v>
      </c>
      <c r="BN294" s="77">
        <f t="shared" si="689"/>
        <v>0</v>
      </c>
      <c r="BO294" s="77">
        <f t="shared" si="690"/>
        <v>5.6775999999999997E-3</v>
      </c>
      <c r="BP294" s="77">
        <f t="shared" si="691"/>
        <v>4.7190657760731725E-4</v>
      </c>
    </row>
    <row r="295" spans="1:68">
      <c r="A295" t="s">
        <v>175</v>
      </c>
      <c r="B295" t="s">
        <v>176</v>
      </c>
      <c r="C295" s="197" t="str">
        <f t="shared" si="726"/>
        <v>Lifecycle_Balanced_250</v>
      </c>
      <c r="D295">
        <v>250</v>
      </c>
      <c r="E295">
        <f>VLOOKUP($D295,'[2]LC Balanced'!$Q$2:$U$542,2,FALSE)</f>
        <v>0</v>
      </c>
      <c r="F295">
        <f>VLOOKUP($D295,'[2]LC Balanced'!$Q$2:$U$542,3,FALSE)</f>
        <v>0.14899999999999999</v>
      </c>
      <c r="G295">
        <f>VLOOKUP($D295,'[2]LC Balanced'!$Q$2:$U$542,4,FALSE)</f>
        <v>0.85099999999999998</v>
      </c>
      <c r="H295">
        <f>VLOOKUP($D295,'[2]LC Balanced'!$Q$2:$U$542,5,FALSE)</f>
        <v>0</v>
      </c>
      <c r="I295" s="77">
        <f t="shared" si="670"/>
        <v>1</v>
      </c>
      <c r="J295" s="77">
        <f t="shared" si="671"/>
        <v>6.1987699999999986E-2</v>
      </c>
      <c r="K295" s="77">
        <f t="shared" si="661"/>
        <v>5.024442123284345E-3</v>
      </c>
      <c r="L295" s="76">
        <v>0</v>
      </c>
      <c r="M295" s="77">
        <f t="shared" si="677"/>
        <v>0</v>
      </c>
      <c r="N295" s="77">
        <f t="shared" si="678"/>
        <v>0</v>
      </c>
      <c r="O295" s="77">
        <f t="shared" si="679"/>
        <v>7.0062999999999992E-3</v>
      </c>
      <c r="P295" s="77">
        <f t="shared" si="680"/>
        <v>5.85741666996209E-4</v>
      </c>
      <c r="R295" t="s">
        <v>177</v>
      </c>
      <c r="S295" t="s">
        <v>176</v>
      </c>
      <c r="T295" s="197" t="str">
        <f t="shared" si="612"/>
        <v>Autopilot_Balanced_250</v>
      </c>
      <c r="U295">
        <v>250</v>
      </c>
      <c r="V295">
        <f>VLOOKUP($U295,'[2]AP Balanced'!$Q$1:$T$542,2,FALSE)</f>
        <v>0.77777777777777779</v>
      </c>
      <c r="W295">
        <f>VLOOKUP($U295,'[2]AP Balanced'!$Q$1:$T$542,3,FALSE)</f>
        <v>0.22222222222222221</v>
      </c>
      <c r="X295">
        <f>VLOOKUP($U295,'[2]AP Balanced'!$Q$1:$T$542,4,FALSE)</f>
        <v>0</v>
      </c>
      <c r="Y295" s="77">
        <f t="shared" si="727"/>
        <v>1</v>
      </c>
      <c r="Z295" s="77">
        <f t="shared" si="716"/>
        <v>6.1674999999999987E-2</v>
      </c>
      <c r="AA295" s="77">
        <f t="shared" si="717"/>
        <v>4.9997781870025904E-3</v>
      </c>
      <c r="AB295" s="79">
        <v>1</v>
      </c>
      <c r="AC295" s="77">
        <f t="shared" si="681"/>
        <v>8.0555555555555554E-3</v>
      </c>
      <c r="AD295" s="77">
        <f t="shared" si="672"/>
        <v>6.7378764057135498E-4</v>
      </c>
      <c r="AE295" s="77">
        <f t="shared" si="682"/>
        <v>2.5000000000000001E-3</v>
      </c>
      <c r="AF295" s="77">
        <f t="shared" si="672"/>
        <v>2.0857243058891584E-4</v>
      </c>
      <c r="AH295" t="s">
        <v>175</v>
      </c>
      <c r="AI295" t="s">
        <v>176</v>
      </c>
      <c r="AJ295" s="197" t="str">
        <f t="shared" si="728"/>
        <v>Lifecycle_Balanced_250</v>
      </c>
      <c r="AK295">
        <v>250</v>
      </c>
      <c r="AL295">
        <f>VLOOKUP($U295,[2]Standard_Balanced!$Q$1:$T$542,2,FALSE)</f>
        <v>0.77777777777777779</v>
      </c>
      <c r="AM295">
        <f>VLOOKUP($U295,[2]Standard_Balanced!$Q$1:$T$542,3,FALSE)</f>
        <v>0.22222222222222221</v>
      </c>
      <c r="AN295">
        <f>VLOOKUP($U295,[2]Standard_Balanced!$Q$1:$T$542,4,FALSE)</f>
        <v>0</v>
      </c>
      <c r="AO295" s="77">
        <f t="shared" si="658"/>
        <v>1</v>
      </c>
      <c r="AP295" s="77">
        <f t="shared" si="683"/>
        <v>6.1674999999999987E-2</v>
      </c>
      <c r="AQ295" s="77">
        <f t="shared" si="729"/>
        <v>4.9997781870025904E-3</v>
      </c>
      <c r="AR295" s="79">
        <v>0</v>
      </c>
      <c r="AS295" s="77">
        <f t="shared" si="684"/>
        <v>0</v>
      </c>
      <c r="AT295" s="77">
        <f t="shared" ref="AT295" si="763">1-(1-AS295)^(1/12)</f>
        <v>0</v>
      </c>
      <c r="AU295" s="77">
        <f t="shared" si="686"/>
        <v>2.5000000000000001E-3</v>
      </c>
      <c r="AV295" s="77">
        <f t="shared" ref="AV295" si="764">1-(1-AU295)^(1/12)</f>
        <v>2.0857243058891584E-4</v>
      </c>
      <c r="AX295" t="s">
        <v>178</v>
      </c>
      <c r="AY295" t="s">
        <v>160</v>
      </c>
      <c r="AZ295" s="197" t="str">
        <f t="shared" si="732"/>
        <v>DIS_Non-Standard_250</v>
      </c>
      <c r="BA295">
        <v>250</v>
      </c>
      <c r="BB295">
        <f>VLOOKUP($BA295,'[2]NonStandard DIS'!$Q$1:$X$542,2,FALSE)</f>
        <v>0</v>
      </c>
      <c r="BC295">
        <f>VLOOKUP($BA295,'[2]NonStandard DIS'!$Q$1:$X$542,3,FALSE)</f>
        <v>0</v>
      </c>
      <c r="BD295">
        <f>VLOOKUP($BA295,'[2]NonStandard DIS'!$Q$1:$X$542,4,FALSE)</f>
        <v>0.308</v>
      </c>
      <c r="BE295">
        <f>VLOOKUP($BA295,'[2]NonStandard DIS'!$Q$1:$X$542,5,FALSE)</f>
        <v>0.69199999999999995</v>
      </c>
      <c r="BF295">
        <f>VLOOKUP($BA295,'[2]NonStandard DIS'!$Q$1:$X$542,6,FALSE)</f>
        <v>0</v>
      </c>
      <c r="BG295">
        <f>VLOOKUP($BA295,'[2]NonStandard DIS'!$Q$1:$X$542,7,FALSE)</f>
        <v>0</v>
      </c>
      <c r="BH295">
        <f>VLOOKUP($BA295,'[2]NonStandard DIS'!$Q$1:$X$542,8,FALSE)</f>
        <v>0</v>
      </c>
      <c r="BI295" s="77">
        <f t="shared" si="675"/>
        <v>1</v>
      </c>
      <c r="BJ295" s="77">
        <f t="shared" si="676"/>
        <v>6.9728499999999985E-2</v>
      </c>
      <c r="BK295" s="77">
        <f t="shared" si="657"/>
        <v>5.632878498097682E-3</v>
      </c>
      <c r="BL295" s="79">
        <v>0</v>
      </c>
      <c r="BM295" s="77">
        <f t="shared" si="688"/>
        <v>0</v>
      </c>
      <c r="BN295" s="77">
        <f t="shared" si="689"/>
        <v>0</v>
      </c>
      <c r="BO295" s="77">
        <f t="shared" si="690"/>
        <v>5.6775999999999997E-3</v>
      </c>
      <c r="BP295" s="77">
        <f t="shared" si="691"/>
        <v>4.7190657760731725E-4</v>
      </c>
    </row>
    <row r="296" spans="1:68">
      <c r="A296" t="s">
        <v>175</v>
      </c>
      <c r="B296" t="s">
        <v>176</v>
      </c>
      <c r="C296" s="197" t="str">
        <f t="shared" si="726"/>
        <v>Lifecycle_Balanced_249</v>
      </c>
      <c r="D296">
        <v>249</v>
      </c>
      <c r="E296">
        <f>VLOOKUP($D296,'[2]LC Balanced'!$Q$2:$U$542,2,FALSE)</f>
        <v>0</v>
      </c>
      <c r="F296">
        <f>VLOOKUP($D296,'[2]LC Balanced'!$Q$2:$U$542,3,FALSE)</f>
        <v>0.14899999999999999</v>
      </c>
      <c r="G296">
        <f>VLOOKUP($D296,'[2]LC Balanced'!$Q$2:$U$542,4,FALSE)</f>
        <v>0.85099999999999998</v>
      </c>
      <c r="H296">
        <f>VLOOKUP($D296,'[2]LC Balanced'!$Q$2:$U$542,5,FALSE)</f>
        <v>0</v>
      </c>
      <c r="I296" s="77">
        <f t="shared" si="670"/>
        <v>1</v>
      </c>
      <c r="J296" s="77">
        <f t="shared" si="671"/>
        <v>6.1987699999999986E-2</v>
      </c>
      <c r="K296" s="77">
        <f t="shared" si="661"/>
        <v>5.024442123284345E-3</v>
      </c>
      <c r="L296" s="76">
        <v>0</v>
      </c>
      <c r="M296" s="77">
        <f t="shared" si="677"/>
        <v>0</v>
      </c>
      <c r="N296" s="77">
        <f t="shared" si="678"/>
        <v>0</v>
      </c>
      <c r="O296" s="77">
        <f t="shared" si="679"/>
        <v>7.0062999999999992E-3</v>
      </c>
      <c r="P296" s="77">
        <f t="shared" si="680"/>
        <v>5.85741666996209E-4</v>
      </c>
      <c r="R296" t="s">
        <v>177</v>
      </c>
      <c r="S296" t="s">
        <v>176</v>
      </c>
      <c r="T296" s="197" t="str">
        <f t="shared" si="612"/>
        <v>Autopilot_Balanced_249</v>
      </c>
      <c r="U296">
        <v>249</v>
      </c>
      <c r="V296">
        <f>VLOOKUP($U296,'[2]AP Balanced'!$Q$1:$T$542,2,FALSE)</f>
        <v>0.77777777777777779</v>
      </c>
      <c r="W296">
        <f>VLOOKUP($U296,'[2]AP Balanced'!$Q$1:$T$542,3,FALSE)</f>
        <v>0.22222222222222221</v>
      </c>
      <c r="X296">
        <f>VLOOKUP($U296,'[2]AP Balanced'!$Q$1:$T$542,4,FALSE)</f>
        <v>0</v>
      </c>
      <c r="Y296" s="77">
        <f t="shared" si="727"/>
        <v>1</v>
      </c>
      <c r="Z296" s="77">
        <f t="shared" si="716"/>
        <v>6.1674999999999987E-2</v>
      </c>
      <c r="AA296" s="77">
        <f t="shared" si="717"/>
        <v>4.9997781870025904E-3</v>
      </c>
      <c r="AB296" s="79">
        <v>1</v>
      </c>
      <c r="AC296" s="77">
        <f t="shared" si="681"/>
        <v>8.0555555555555554E-3</v>
      </c>
      <c r="AD296" s="77">
        <f t="shared" si="672"/>
        <v>6.7378764057135498E-4</v>
      </c>
      <c r="AE296" s="77">
        <f t="shared" si="682"/>
        <v>2.5000000000000001E-3</v>
      </c>
      <c r="AF296" s="77">
        <f t="shared" si="672"/>
        <v>2.0857243058891584E-4</v>
      </c>
      <c r="AH296" t="s">
        <v>175</v>
      </c>
      <c r="AI296" t="s">
        <v>176</v>
      </c>
      <c r="AJ296" s="197" t="str">
        <f t="shared" si="728"/>
        <v>Lifecycle_Balanced_249</v>
      </c>
      <c r="AK296">
        <v>249</v>
      </c>
      <c r="AL296">
        <f>VLOOKUP($U296,[2]Standard_Balanced!$Q$1:$T$542,2,FALSE)</f>
        <v>0.77777777777777779</v>
      </c>
      <c r="AM296">
        <f>VLOOKUP($U296,[2]Standard_Balanced!$Q$1:$T$542,3,FALSE)</f>
        <v>0.22222222222222221</v>
      </c>
      <c r="AN296">
        <f>VLOOKUP($U296,[2]Standard_Balanced!$Q$1:$T$542,4,FALSE)</f>
        <v>0</v>
      </c>
      <c r="AO296" s="77">
        <f t="shared" si="658"/>
        <v>1</v>
      </c>
      <c r="AP296" s="77">
        <f t="shared" si="683"/>
        <v>6.1674999999999987E-2</v>
      </c>
      <c r="AQ296" s="77">
        <f t="shared" si="729"/>
        <v>4.9997781870025904E-3</v>
      </c>
      <c r="AR296" s="79">
        <v>0</v>
      </c>
      <c r="AS296" s="77">
        <f t="shared" si="684"/>
        <v>0</v>
      </c>
      <c r="AT296" s="77">
        <f t="shared" ref="AT296" si="765">1-(1-AS296)^(1/12)</f>
        <v>0</v>
      </c>
      <c r="AU296" s="77">
        <f t="shared" si="686"/>
        <v>2.5000000000000001E-3</v>
      </c>
      <c r="AV296" s="77">
        <f t="shared" ref="AV296" si="766">1-(1-AU296)^(1/12)</f>
        <v>2.0857243058891584E-4</v>
      </c>
      <c r="AX296" t="s">
        <v>178</v>
      </c>
      <c r="AY296" t="s">
        <v>160</v>
      </c>
      <c r="AZ296" s="197" t="str">
        <f t="shared" si="732"/>
        <v>DIS_Non-Standard_249</v>
      </c>
      <c r="BA296">
        <v>249</v>
      </c>
      <c r="BB296">
        <f>VLOOKUP($BA296,'[2]NonStandard DIS'!$Q$1:$X$542,2,FALSE)</f>
        <v>0</v>
      </c>
      <c r="BC296">
        <f>VLOOKUP($BA296,'[2]NonStandard DIS'!$Q$1:$X$542,3,FALSE)</f>
        <v>0</v>
      </c>
      <c r="BD296">
        <f>VLOOKUP($BA296,'[2]NonStandard DIS'!$Q$1:$X$542,4,FALSE)</f>
        <v>0.308</v>
      </c>
      <c r="BE296">
        <f>VLOOKUP($BA296,'[2]NonStandard DIS'!$Q$1:$X$542,5,FALSE)</f>
        <v>0.69199999999999995</v>
      </c>
      <c r="BF296">
        <f>VLOOKUP($BA296,'[2]NonStandard DIS'!$Q$1:$X$542,6,FALSE)</f>
        <v>0</v>
      </c>
      <c r="BG296">
        <f>VLOOKUP($BA296,'[2]NonStandard DIS'!$Q$1:$X$542,7,FALSE)</f>
        <v>0</v>
      </c>
      <c r="BH296">
        <f>VLOOKUP($BA296,'[2]NonStandard DIS'!$Q$1:$X$542,8,FALSE)</f>
        <v>0</v>
      </c>
      <c r="BI296" s="77">
        <f t="shared" si="675"/>
        <v>1</v>
      </c>
      <c r="BJ296" s="77">
        <f t="shared" si="676"/>
        <v>6.9728499999999985E-2</v>
      </c>
      <c r="BK296" s="77">
        <f t="shared" si="657"/>
        <v>5.632878498097682E-3</v>
      </c>
      <c r="BL296" s="79">
        <v>0</v>
      </c>
      <c r="BM296" s="77">
        <f t="shared" si="688"/>
        <v>0</v>
      </c>
      <c r="BN296" s="77">
        <f t="shared" si="689"/>
        <v>0</v>
      </c>
      <c r="BO296" s="77">
        <f t="shared" si="690"/>
        <v>5.6775999999999997E-3</v>
      </c>
      <c r="BP296" s="77">
        <f t="shared" si="691"/>
        <v>4.7190657760731725E-4</v>
      </c>
    </row>
    <row r="297" spans="1:68">
      <c r="A297" t="s">
        <v>175</v>
      </c>
      <c r="B297" t="s">
        <v>176</v>
      </c>
      <c r="C297" s="197" t="str">
        <f t="shared" si="726"/>
        <v>Lifecycle_Balanced_248</v>
      </c>
      <c r="D297">
        <v>248</v>
      </c>
      <c r="E297">
        <f>VLOOKUP($D297,'[2]LC Balanced'!$Q$2:$U$542,2,FALSE)</f>
        <v>0</v>
      </c>
      <c r="F297">
        <f>VLOOKUP($D297,'[2]LC Balanced'!$Q$2:$U$542,3,FALSE)</f>
        <v>0.14899999999999999</v>
      </c>
      <c r="G297">
        <f>VLOOKUP($D297,'[2]LC Balanced'!$Q$2:$U$542,4,FALSE)</f>
        <v>0.85099999999999998</v>
      </c>
      <c r="H297">
        <f>VLOOKUP($D297,'[2]LC Balanced'!$Q$2:$U$542,5,FALSE)</f>
        <v>0</v>
      </c>
      <c r="I297" s="77">
        <f t="shared" si="670"/>
        <v>1</v>
      </c>
      <c r="J297" s="77">
        <f t="shared" si="671"/>
        <v>6.1987699999999986E-2</v>
      </c>
      <c r="K297" s="77">
        <f t="shared" si="661"/>
        <v>5.024442123284345E-3</v>
      </c>
      <c r="L297" s="76">
        <v>0</v>
      </c>
      <c r="M297" s="77">
        <f t="shared" si="677"/>
        <v>0</v>
      </c>
      <c r="N297" s="77">
        <f t="shared" si="678"/>
        <v>0</v>
      </c>
      <c r="O297" s="77">
        <f t="shared" si="679"/>
        <v>7.0062999999999992E-3</v>
      </c>
      <c r="P297" s="77">
        <f t="shared" si="680"/>
        <v>5.85741666996209E-4</v>
      </c>
      <c r="R297" t="s">
        <v>177</v>
      </c>
      <c r="S297" t="s">
        <v>176</v>
      </c>
      <c r="T297" s="197" t="str">
        <f t="shared" si="612"/>
        <v>Autopilot_Balanced_248</v>
      </c>
      <c r="U297">
        <v>248</v>
      </c>
      <c r="V297">
        <f>VLOOKUP($U297,'[2]AP Balanced'!$Q$1:$T$542,2,FALSE)</f>
        <v>0.77777777777777779</v>
      </c>
      <c r="W297">
        <f>VLOOKUP($U297,'[2]AP Balanced'!$Q$1:$T$542,3,FALSE)</f>
        <v>0.22222222222222221</v>
      </c>
      <c r="X297">
        <f>VLOOKUP($U297,'[2]AP Balanced'!$Q$1:$T$542,4,FALSE)</f>
        <v>0</v>
      </c>
      <c r="Y297" s="77">
        <f t="shared" si="727"/>
        <v>1</v>
      </c>
      <c r="Z297" s="77">
        <f t="shared" si="716"/>
        <v>6.1674999999999987E-2</v>
      </c>
      <c r="AA297" s="77">
        <f t="shared" si="717"/>
        <v>4.9997781870025904E-3</v>
      </c>
      <c r="AB297" s="79">
        <v>1</v>
      </c>
      <c r="AC297" s="77">
        <f t="shared" si="681"/>
        <v>8.0555555555555554E-3</v>
      </c>
      <c r="AD297" s="77">
        <f t="shared" si="672"/>
        <v>6.7378764057135498E-4</v>
      </c>
      <c r="AE297" s="77">
        <f t="shared" si="682"/>
        <v>2.5000000000000001E-3</v>
      </c>
      <c r="AF297" s="77">
        <f t="shared" si="672"/>
        <v>2.0857243058891584E-4</v>
      </c>
      <c r="AH297" t="s">
        <v>175</v>
      </c>
      <c r="AI297" t="s">
        <v>176</v>
      </c>
      <c r="AJ297" s="197" t="str">
        <f t="shared" si="728"/>
        <v>Lifecycle_Balanced_248</v>
      </c>
      <c r="AK297">
        <v>248</v>
      </c>
      <c r="AL297">
        <f>VLOOKUP($U297,[2]Standard_Balanced!$Q$1:$T$542,2,FALSE)</f>
        <v>0.77777777777777779</v>
      </c>
      <c r="AM297">
        <f>VLOOKUP($U297,[2]Standard_Balanced!$Q$1:$T$542,3,FALSE)</f>
        <v>0.22222222222222221</v>
      </c>
      <c r="AN297">
        <f>VLOOKUP($U297,[2]Standard_Balanced!$Q$1:$T$542,4,FALSE)</f>
        <v>0</v>
      </c>
      <c r="AO297" s="77">
        <f t="shared" si="658"/>
        <v>1</v>
      </c>
      <c r="AP297" s="77">
        <f t="shared" si="683"/>
        <v>6.1674999999999987E-2</v>
      </c>
      <c r="AQ297" s="77">
        <f t="shared" si="729"/>
        <v>4.9997781870025904E-3</v>
      </c>
      <c r="AR297" s="79">
        <v>0</v>
      </c>
      <c r="AS297" s="77">
        <f t="shared" si="684"/>
        <v>0</v>
      </c>
      <c r="AT297" s="77">
        <f t="shared" ref="AT297" si="767">1-(1-AS297)^(1/12)</f>
        <v>0</v>
      </c>
      <c r="AU297" s="77">
        <f t="shared" si="686"/>
        <v>2.5000000000000001E-3</v>
      </c>
      <c r="AV297" s="77">
        <f t="shared" ref="AV297" si="768">1-(1-AU297)^(1/12)</f>
        <v>2.0857243058891584E-4</v>
      </c>
      <c r="AX297" t="s">
        <v>178</v>
      </c>
      <c r="AY297" t="s">
        <v>160</v>
      </c>
      <c r="AZ297" s="197" t="str">
        <f t="shared" si="732"/>
        <v>DIS_Non-Standard_248</v>
      </c>
      <c r="BA297">
        <v>248</v>
      </c>
      <c r="BB297">
        <f>VLOOKUP($BA297,'[2]NonStandard DIS'!$Q$1:$X$542,2,FALSE)</f>
        <v>0</v>
      </c>
      <c r="BC297">
        <f>VLOOKUP($BA297,'[2]NonStandard DIS'!$Q$1:$X$542,3,FALSE)</f>
        <v>0</v>
      </c>
      <c r="BD297">
        <f>VLOOKUP($BA297,'[2]NonStandard DIS'!$Q$1:$X$542,4,FALSE)</f>
        <v>0.308</v>
      </c>
      <c r="BE297">
        <f>VLOOKUP($BA297,'[2]NonStandard DIS'!$Q$1:$X$542,5,FALSE)</f>
        <v>0.69199999999999995</v>
      </c>
      <c r="BF297">
        <f>VLOOKUP($BA297,'[2]NonStandard DIS'!$Q$1:$X$542,6,FALSE)</f>
        <v>0</v>
      </c>
      <c r="BG297">
        <f>VLOOKUP($BA297,'[2]NonStandard DIS'!$Q$1:$X$542,7,FALSE)</f>
        <v>0</v>
      </c>
      <c r="BH297">
        <f>VLOOKUP($BA297,'[2]NonStandard DIS'!$Q$1:$X$542,8,FALSE)</f>
        <v>0</v>
      </c>
      <c r="BI297" s="77">
        <f t="shared" si="675"/>
        <v>1</v>
      </c>
      <c r="BJ297" s="77">
        <f t="shared" si="676"/>
        <v>6.9728499999999985E-2</v>
      </c>
      <c r="BK297" s="77">
        <f t="shared" si="657"/>
        <v>5.632878498097682E-3</v>
      </c>
      <c r="BL297" s="79">
        <v>0</v>
      </c>
      <c r="BM297" s="77">
        <f t="shared" si="688"/>
        <v>0</v>
      </c>
      <c r="BN297" s="77">
        <f t="shared" si="689"/>
        <v>0</v>
      </c>
      <c r="BO297" s="77">
        <f t="shared" si="690"/>
        <v>5.6775999999999997E-3</v>
      </c>
      <c r="BP297" s="77">
        <f t="shared" si="691"/>
        <v>4.7190657760731725E-4</v>
      </c>
    </row>
    <row r="298" spans="1:68">
      <c r="A298" t="s">
        <v>175</v>
      </c>
      <c r="B298" t="s">
        <v>176</v>
      </c>
      <c r="C298" s="197" t="str">
        <f t="shared" si="726"/>
        <v>Lifecycle_Balanced_247</v>
      </c>
      <c r="D298">
        <v>247</v>
      </c>
      <c r="E298">
        <f>VLOOKUP($D298,'[2]LC Balanced'!$Q$2:$U$542,2,FALSE)</f>
        <v>0</v>
      </c>
      <c r="F298">
        <f>VLOOKUP($D298,'[2]LC Balanced'!$Q$2:$U$542,3,FALSE)</f>
        <v>0.14899999999999999</v>
      </c>
      <c r="G298">
        <f>VLOOKUP($D298,'[2]LC Balanced'!$Q$2:$U$542,4,FALSE)</f>
        <v>0.85099999999999998</v>
      </c>
      <c r="H298">
        <f>VLOOKUP($D298,'[2]LC Balanced'!$Q$2:$U$542,5,FALSE)</f>
        <v>0</v>
      </c>
      <c r="I298" s="77">
        <f t="shared" si="670"/>
        <v>1</v>
      </c>
      <c r="J298" s="77">
        <f t="shared" si="671"/>
        <v>6.1987699999999986E-2</v>
      </c>
      <c r="K298" s="77">
        <f t="shared" si="661"/>
        <v>5.024442123284345E-3</v>
      </c>
      <c r="L298" s="76">
        <v>0</v>
      </c>
      <c r="M298" s="77">
        <f t="shared" si="677"/>
        <v>0</v>
      </c>
      <c r="N298" s="77">
        <f t="shared" si="678"/>
        <v>0</v>
      </c>
      <c r="O298" s="77">
        <f t="shared" si="679"/>
        <v>7.0062999999999992E-3</v>
      </c>
      <c r="P298" s="77">
        <f t="shared" si="680"/>
        <v>5.85741666996209E-4</v>
      </c>
      <c r="R298" t="s">
        <v>177</v>
      </c>
      <c r="S298" t="s">
        <v>176</v>
      </c>
      <c r="T298" s="197" t="str">
        <f t="shared" ref="T298:T361" si="769">R298&amp;"_"&amp;S298&amp;"_"&amp;U298</f>
        <v>Autopilot_Balanced_247</v>
      </c>
      <c r="U298">
        <v>247</v>
      </c>
      <c r="V298">
        <f>VLOOKUP($U298,'[2]AP Balanced'!$Q$1:$T$542,2,FALSE)</f>
        <v>0.77777777777777779</v>
      </c>
      <c r="W298">
        <f>VLOOKUP($U298,'[2]AP Balanced'!$Q$1:$T$542,3,FALSE)</f>
        <v>0.22222222222222221</v>
      </c>
      <c r="X298">
        <f>VLOOKUP($U298,'[2]AP Balanced'!$Q$1:$T$542,4,FALSE)</f>
        <v>0</v>
      </c>
      <c r="Y298" s="77">
        <f t="shared" si="727"/>
        <v>1</v>
      </c>
      <c r="Z298" s="77">
        <f t="shared" si="716"/>
        <v>6.1674999999999987E-2</v>
      </c>
      <c r="AA298" s="77">
        <f t="shared" si="717"/>
        <v>4.9997781870025904E-3</v>
      </c>
      <c r="AB298" s="79">
        <v>1</v>
      </c>
      <c r="AC298" s="77">
        <f t="shared" si="681"/>
        <v>8.0555555555555554E-3</v>
      </c>
      <c r="AD298" s="77">
        <f t="shared" si="672"/>
        <v>6.7378764057135498E-4</v>
      </c>
      <c r="AE298" s="77">
        <f t="shared" si="682"/>
        <v>2.5000000000000001E-3</v>
      </c>
      <c r="AF298" s="77">
        <f t="shared" si="672"/>
        <v>2.0857243058891584E-4</v>
      </c>
      <c r="AH298" t="s">
        <v>175</v>
      </c>
      <c r="AI298" t="s">
        <v>176</v>
      </c>
      <c r="AJ298" s="197" t="str">
        <f t="shared" si="728"/>
        <v>Lifecycle_Balanced_247</v>
      </c>
      <c r="AK298">
        <v>247</v>
      </c>
      <c r="AL298">
        <f>VLOOKUP($U298,[2]Standard_Balanced!$Q$1:$T$542,2,FALSE)</f>
        <v>0.77777777777777779</v>
      </c>
      <c r="AM298">
        <f>VLOOKUP($U298,[2]Standard_Balanced!$Q$1:$T$542,3,FALSE)</f>
        <v>0.22222222222222221</v>
      </c>
      <c r="AN298">
        <f>VLOOKUP($U298,[2]Standard_Balanced!$Q$1:$T$542,4,FALSE)</f>
        <v>0</v>
      </c>
      <c r="AO298" s="77">
        <f t="shared" si="658"/>
        <v>1</v>
      </c>
      <c r="AP298" s="77">
        <f t="shared" si="683"/>
        <v>6.1674999999999987E-2</v>
      </c>
      <c r="AQ298" s="77">
        <f t="shared" si="729"/>
        <v>4.9997781870025904E-3</v>
      </c>
      <c r="AR298" s="79">
        <v>0</v>
      </c>
      <c r="AS298" s="77">
        <f t="shared" si="684"/>
        <v>0</v>
      </c>
      <c r="AT298" s="77">
        <f t="shared" ref="AT298" si="770">1-(1-AS298)^(1/12)</f>
        <v>0</v>
      </c>
      <c r="AU298" s="77">
        <f t="shared" si="686"/>
        <v>2.5000000000000001E-3</v>
      </c>
      <c r="AV298" s="77">
        <f t="shared" ref="AV298" si="771">1-(1-AU298)^(1/12)</f>
        <v>2.0857243058891584E-4</v>
      </c>
      <c r="AX298" t="s">
        <v>178</v>
      </c>
      <c r="AY298" t="s">
        <v>160</v>
      </c>
      <c r="AZ298" s="197" t="str">
        <f t="shared" si="732"/>
        <v>DIS_Non-Standard_247</v>
      </c>
      <c r="BA298">
        <v>247</v>
      </c>
      <c r="BB298">
        <f>VLOOKUP($BA298,'[2]NonStandard DIS'!$Q$1:$X$542,2,FALSE)</f>
        <v>0</v>
      </c>
      <c r="BC298">
        <f>VLOOKUP($BA298,'[2]NonStandard DIS'!$Q$1:$X$542,3,FALSE)</f>
        <v>0</v>
      </c>
      <c r="BD298">
        <f>VLOOKUP($BA298,'[2]NonStandard DIS'!$Q$1:$X$542,4,FALSE)</f>
        <v>0.308</v>
      </c>
      <c r="BE298">
        <f>VLOOKUP($BA298,'[2]NonStandard DIS'!$Q$1:$X$542,5,FALSE)</f>
        <v>0.69199999999999995</v>
      </c>
      <c r="BF298">
        <f>VLOOKUP($BA298,'[2]NonStandard DIS'!$Q$1:$X$542,6,FALSE)</f>
        <v>0</v>
      </c>
      <c r="BG298">
        <f>VLOOKUP($BA298,'[2]NonStandard DIS'!$Q$1:$X$542,7,FALSE)</f>
        <v>0</v>
      </c>
      <c r="BH298">
        <f>VLOOKUP($BA298,'[2]NonStandard DIS'!$Q$1:$X$542,8,FALSE)</f>
        <v>0</v>
      </c>
      <c r="BI298" s="77">
        <f t="shared" si="675"/>
        <v>1</v>
      </c>
      <c r="BJ298" s="77">
        <f t="shared" si="676"/>
        <v>6.9728499999999985E-2</v>
      </c>
      <c r="BK298" s="77">
        <f t="shared" si="657"/>
        <v>5.632878498097682E-3</v>
      </c>
      <c r="BL298" s="79">
        <v>0</v>
      </c>
      <c r="BM298" s="77">
        <f t="shared" si="688"/>
        <v>0</v>
      </c>
      <c r="BN298" s="77">
        <f t="shared" si="689"/>
        <v>0</v>
      </c>
      <c r="BO298" s="77">
        <f t="shared" si="690"/>
        <v>5.6775999999999997E-3</v>
      </c>
      <c r="BP298" s="77">
        <f t="shared" si="691"/>
        <v>4.7190657760731725E-4</v>
      </c>
    </row>
    <row r="299" spans="1:68">
      <c r="A299" t="s">
        <v>175</v>
      </c>
      <c r="B299" t="s">
        <v>176</v>
      </c>
      <c r="C299" s="197" t="str">
        <f t="shared" si="726"/>
        <v>Lifecycle_Balanced_246</v>
      </c>
      <c r="D299">
        <v>246</v>
      </c>
      <c r="E299">
        <f>VLOOKUP($D299,'[2]LC Balanced'!$Q$2:$U$542,2,FALSE)</f>
        <v>0</v>
      </c>
      <c r="F299">
        <f>VLOOKUP($D299,'[2]LC Balanced'!$Q$2:$U$542,3,FALSE)</f>
        <v>0.14899999999999999</v>
      </c>
      <c r="G299">
        <f>VLOOKUP($D299,'[2]LC Balanced'!$Q$2:$U$542,4,FALSE)</f>
        <v>0.85099999999999998</v>
      </c>
      <c r="H299">
        <f>VLOOKUP($D299,'[2]LC Balanced'!$Q$2:$U$542,5,FALSE)</f>
        <v>0</v>
      </c>
      <c r="I299" s="77">
        <f t="shared" si="670"/>
        <v>1</v>
      </c>
      <c r="J299" s="77">
        <f t="shared" si="671"/>
        <v>6.1987699999999986E-2</v>
      </c>
      <c r="K299" s="77">
        <f t="shared" si="661"/>
        <v>5.024442123284345E-3</v>
      </c>
      <c r="L299" s="76">
        <v>0</v>
      </c>
      <c r="M299" s="77">
        <f t="shared" si="677"/>
        <v>0</v>
      </c>
      <c r="N299" s="77">
        <f t="shared" si="678"/>
        <v>0</v>
      </c>
      <c r="O299" s="77">
        <f t="shared" si="679"/>
        <v>7.0062999999999992E-3</v>
      </c>
      <c r="P299" s="77">
        <f t="shared" si="680"/>
        <v>5.85741666996209E-4</v>
      </c>
      <c r="R299" t="s">
        <v>177</v>
      </c>
      <c r="S299" t="s">
        <v>176</v>
      </c>
      <c r="T299" s="197" t="str">
        <f t="shared" si="769"/>
        <v>Autopilot_Balanced_246</v>
      </c>
      <c r="U299">
        <v>246</v>
      </c>
      <c r="V299">
        <f>VLOOKUP($U299,'[2]AP Balanced'!$Q$1:$T$542,2,FALSE)</f>
        <v>0.77777777777777779</v>
      </c>
      <c r="W299">
        <f>VLOOKUP($U299,'[2]AP Balanced'!$Q$1:$T$542,3,FALSE)</f>
        <v>0.22222222222222221</v>
      </c>
      <c r="X299">
        <f>VLOOKUP($U299,'[2]AP Balanced'!$Q$1:$T$542,4,FALSE)</f>
        <v>0</v>
      </c>
      <c r="Y299" s="77">
        <f t="shared" si="727"/>
        <v>1</v>
      </c>
      <c r="Z299" s="77">
        <f t="shared" si="716"/>
        <v>6.1674999999999987E-2</v>
      </c>
      <c r="AA299" s="77">
        <f t="shared" si="717"/>
        <v>4.9997781870025904E-3</v>
      </c>
      <c r="AB299" s="79">
        <v>1</v>
      </c>
      <c r="AC299" s="77">
        <f t="shared" si="681"/>
        <v>8.0555555555555554E-3</v>
      </c>
      <c r="AD299" s="77">
        <f t="shared" si="672"/>
        <v>6.7378764057135498E-4</v>
      </c>
      <c r="AE299" s="77">
        <f t="shared" si="682"/>
        <v>2.5000000000000001E-3</v>
      </c>
      <c r="AF299" s="77">
        <f t="shared" si="672"/>
        <v>2.0857243058891584E-4</v>
      </c>
      <c r="AH299" t="s">
        <v>175</v>
      </c>
      <c r="AI299" t="s">
        <v>176</v>
      </c>
      <c r="AJ299" s="197" t="str">
        <f t="shared" si="728"/>
        <v>Lifecycle_Balanced_246</v>
      </c>
      <c r="AK299">
        <v>246</v>
      </c>
      <c r="AL299">
        <f>VLOOKUP($U299,[2]Standard_Balanced!$Q$1:$T$542,2,FALSE)</f>
        <v>0.77777777777777779</v>
      </c>
      <c r="AM299">
        <f>VLOOKUP($U299,[2]Standard_Balanced!$Q$1:$T$542,3,FALSE)</f>
        <v>0.22222222222222221</v>
      </c>
      <c r="AN299">
        <f>VLOOKUP($U299,[2]Standard_Balanced!$Q$1:$T$542,4,FALSE)</f>
        <v>0</v>
      </c>
      <c r="AO299" s="77">
        <f t="shared" si="658"/>
        <v>1</v>
      </c>
      <c r="AP299" s="77">
        <f t="shared" si="683"/>
        <v>6.1674999999999987E-2</v>
      </c>
      <c r="AQ299" s="77">
        <f t="shared" si="729"/>
        <v>4.9997781870025904E-3</v>
      </c>
      <c r="AR299" s="79">
        <v>0</v>
      </c>
      <c r="AS299" s="77">
        <f t="shared" si="684"/>
        <v>0</v>
      </c>
      <c r="AT299" s="77">
        <f t="shared" ref="AT299" si="772">1-(1-AS299)^(1/12)</f>
        <v>0</v>
      </c>
      <c r="AU299" s="77">
        <f t="shared" si="686"/>
        <v>2.5000000000000001E-3</v>
      </c>
      <c r="AV299" s="77">
        <f t="shared" ref="AV299" si="773">1-(1-AU299)^(1/12)</f>
        <v>2.0857243058891584E-4</v>
      </c>
      <c r="AX299" t="s">
        <v>178</v>
      </c>
      <c r="AY299" t="s">
        <v>160</v>
      </c>
      <c r="AZ299" s="197" t="str">
        <f t="shared" si="732"/>
        <v>DIS_Non-Standard_246</v>
      </c>
      <c r="BA299">
        <v>246</v>
      </c>
      <c r="BB299">
        <f>VLOOKUP($BA299,'[2]NonStandard DIS'!$Q$1:$X$542,2,FALSE)</f>
        <v>0</v>
      </c>
      <c r="BC299">
        <f>VLOOKUP($BA299,'[2]NonStandard DIS'!$Q$1:$X$542,3,FALSE)</f>
        <v>0</v>
      </c>
      <c r="BD299">
        <f>VLOOKUP($BA299,'[2]NonStandard DIS'!$Q$1:$X$542,4,FALSE)</f>
        <v>0.308</v>
      </c>
      <c r="BE299">
        <f>VLOOKUP($BA299,'[2]NonStandard DIS'!$Q$1:$X$542,5,FALSE)</f>
        <v>0.69199999999999995</v>
      </c>
      <c r="BF299">
        <f>VLOOKUP($BA299,'[2]NonStandard DIS'!$Q$1:$X$542,6,FALSE)</f>
        <v>0</v>
      </c>
      <c r="BG299">
        <f>VLOOKUP($BA299,'[2]NonStandard DIS'!$Q$1:$X$542,7,FALSE)</f>
        <v>0</v>
      </c>
      <c r="BH299">
        <f>VLOOKUP($BA299,'[2]NonStandard DIS'!$Q$1:$X$542,8,FALSE)</f>
        <v>0</v>
      </c>
      <c r="BI299" s="77">
        <f t="shared" si="675"/>
        <v>1</v>
      </c>
      <c r="BJ299" s="77">
        <f t="shared" si="676"/>
        <v>6.9728499999999985E-2</v>
      </c>
      <c r="BK299" s="77">
        <f t="shared" si="657"/>
        <v>5.632878498097682E-3</v>
      </c>
      <c r="BL299" s="79">
        <v>0</v>
      </c>
      <c r="BM299" s="77">
        <f t="shared" si="688"/>
        <v>0</v>
      </c>
      <c r="BN299" s="77">
        <f t="shared" si="689"/>
        <v>0</v>
      </c>
      <c r="BO299" s="77">
        <f t="shared" si="690"/>
        <v>5.6775999999999997E-3</v>
      </c>
      <c r="BP299" s="77">
        <f t="shared" si="691"/>
        <v>4.7190657760731725E-4</v>
      </c>
    </row>
    <row r="300" spans="1:68">
      <c r="A300" t="s">
        <v>175</v>
      </c>
      <c r="B300" t="s">
        <v>176</v>
      </c>
      <c r="C300" s="197" t="str">
        <f t="shared" si="726"/>
        <v>Lifecycle_Balanced_245</v>
      </c>
      <c r="D300">
        <v>245</v>
      </c>
      <c r="E300">
        <f>VLOOKUP($D300,'[2]LC Balanced'!$Q$2:$U$542,2,FALSE)</f>
        <v>0</v>
      </c>
      <c r="F300">
        <f>VLOOKUP($D300,'[2]LC Balanced'!$Q$2:$U$542,3,FALSE)</f>
        <v>0.14899999999999999</v>
      </c>
      <c r="G300">
        <f>VLOOKUP($D300,'[2]LC Balanced'!$Q$2:$U$542,4,FALSE)</f>
        <v>0.85099999999999998</v>
      </c>
      <c r="H300">
        <f>VLOOKUP($D300,'[2]LC Balanced'!$Q$2:$U$542,5,FALSE)</f>
        <v>0</v>
      </c>
      <c r="I300" s="77">
        <f t="shared" si="670"/>
        <v>1</v>
      </c>
      <c r="J300" s="77">
        <f t="shared" si="671"/>
        <v>6.1987699999999986E-2</v>
      </c>
      <c r="K300" s="77">
        <f t="shared" si="661"/>
        <v>5.024442123284345E-3</v>
      </c>
      <c r="L300" s="76">
        <v>0</v>
      </c>
      <c r="M300" s="77">
        <f t="shared" si="677"/>
        <v>0</v>
      </c>
      <c r="N300" s="77">
        <f t="shared" si="678"/>
        <v>0</v>
      </c>
      <c r="O300" s="77">
        <f t="shared" si="679"/>
        <v>7.0062999999999992E-3</v>
      </c>
      <c r="P300" s="77">
        <f t="shared" si="680"/>
        <v>5.85741666996209E-4</v>
      </c>
      <c r="R300" t="s">
        <v>177</v>
      </c>
      <c r="S300" t="s">
        <v>176</v>
      </c>
      <c r="T300" s="197" t="str">
        <f t="shared" si="769"/>
        <v>Autopilot_Balanced_245</v>
      </c>
      <c r="U300">
        <v>245</v>
      </c>
      <c r="V300">
        <f>VLOOKUP($U300,'[2]AP Balanced'!$Q$1:$T$542,2,FALSE)</f>
        <v>0.77777777777777779</v>
      </c>
      <c r="W300">
        <f>VLOOKUP($U300,'[2]AP Balanced'!$Q$1:$T$542,3,FALSE)</f>
        <v>0.22222222222222221</v>
      </c>
      <c r="X300">
        <f>VLOOKUP($U300,'[2]AP Balanced'!$Q$1:$T$542,4,FALSE)</f>
        <v>0</v>
      </c>
      <c r="Y300" s="77">
        <f t="shared" si="727"/>
        <v>1</v>
      </c>
      <c r="Z300" s="77">
        <f t="shared" si="716"/>
        <v>6.1674999999999987E-2</v>
      </c>
      <c r="AA300" s="77">
        <f t="shared" si="717"/>
        <v>4.9997781870025904E-3</v>
      </c>
      <c r="AB300" s="79">
        <v>1</v>
      </c>
      <c r="AC300" s="77">
        <f t="shared" si="681"/>
        <v>8.0555555555555554E-3</v>
      </c>
      <c r="AD300" s="77">
        <f t="shared" si="672"/>
        <v>6.7378764057135498E-4</v>
      </c>
      <c r="AE300" s="77">
        <f t="shared" si="682"/>
        <v>2.5000000000000001E-3</v>
      </c>
      <c r="AF300" s="77">
        <f t="shared" si="672"/>
        <v>2.0857243058891584E-4</v>
      </c>
      <c r="AH300" t="s">
        <v>175</v>
      </c>
      <c r="AI300" t="s">
        <v>176</v>
      </c>
      <c r="AJ300" s="197" t="str">
        <f t="shared" si="728"/>
        <v>Lifecycle_Balanced_245</v>
      </c>
      <c r="AK300">
        <v>245</v>
      </c>
      <c r="AL300">
        <f>VLOOKUP($U300,[2]Standard_Balanced!$Q$1:$T$542,2,FALSE)</f>
        <v>0.77777777777777779</v>
      </c>
      <c r="AM300">
        <f>VLOOKUP($U300,[2]Standard_Balanced!$Q$1:$T$542,3,FALSE)</f>
        <v>0.22222222222222221</v>
      </c>
      <c r="AN300">
        <f>VLOOKUP($U300,[2]Standard_Balanced!$Q$1:$T$542,4,FALSE)</f>
        <v>0</v>
      </c>
      <c r="AO300" s="77">
        <f t="shared" si="658"/>
        <v>1</v>
      </c>
      <c r="AP300" s="77">
        <f t="shared" si="683"/>
        <v>6.1674999999999987E-2</v>
      </c>
      <c r="AQ300" s="77">
        <f t="shared" si="729"/>
        <v>4.9997781870025904E-3</v>
      </c>
      <c r="AR300" s="79">
        <v>0</v>
      </c>
      <c r="AS300" s="77">
        <f t="shared" si="684"/>
        <v>0</v>
      </c>
      <c r="AT300" s="77">
        <f t="shared" ref="AT300" si="774">1-(1-AS300)^(1/12)</f>
        <v>0</v>
      </c>
      <c r="AU300" s="77">
        <f t="shared" si="686"/>
        <v>2.5000000000000001E-3</v>
      </c>
      <c r="AV300" s="77">
        <f t="shared" ref="AV300" si="775">1-(1-AU300)^(1/12)</f>
        <v>2.0857243058891584E-4</v>
      </c>
      <c r="AX300" t="s">
        <v>178</v>
      </c>
      <c r="AY300" t="s">
        <v>160</v>
      </c>
      <c r="AZ300" s="197" t="str">
        <f t="shared" si="732"/>
        <v>DIS_Non-Standard_245</v>
      </c>
      <c r="BA300">
        <v>245</v>
      </c>
      <c r="BB300">
        <f>VLOOKUP($BA300,'[2]NonStandard DIS'!$Q$1:$X$542,2,FALSE)</f>
        <v>0</v>
      </c>
      <c r="BC300">
        <f>VLOOKUP($BA300,'[2]NonStandard DIS'!$Q$1:$X$542,3,FALSE)</f>
        <v>0</v>
      </c>
      <c r="BD300">
        <f>VLOOKUP($BA300,'[2]NonStandard DIS'!$Q$1:$X$542,4,FALSE)</f>
        <v>0.308</v>
      </c>
      <c r="BE300">
        <f>VLOOKUP($BA300,'[2]NonStandard DIS'!$Q$1:$X$542,5,FALSE)</f>
        <v>0.69199999999999995</v>
      </c>
      <c r="BF300">
        <f>VLOOKUP($BA300,'[2]NonStandard DIS'!$Q$1:$X$542,6,FALSE)</f>
        <v>0</v>
      </c>
      <c r="BG300">
        <f>VLOOKUP($BA300,'[2]NonStandard DIS'!$Q$1:$X$542,7,FALSE)</f>
        <v>0</v>
      </c>
      <c r="BH300">
        <f>VLOOKUP($BA300,'[2]NonStandard DIS'!$Q$1:$X$542,8,FALSE)</f>
        <v>0</v>
      </c>
      <c r="BI300" s="77">
        <f t="shared" si="675"/>
        <v>1</v>
      </c>
      <c r="BJ300" s="77">
        <f t="shared" si="676"/>
        <v>6.9728499999999985E-2</v>
      </c>
      <c r="BK300" s="77">
        <f t="shared" si="657"/>
        <v>5.632878498097682E-3</v>
      </c>
      <c r="BL300" s="79">
        <v>0</v>
      </c>
      <c r="BM300" s="77">
        <f t="shared" si="688"/>
        <v>0</v>
      </c>
      <c r="BN300" s="77">
        <f t="shared" si="689"/>
        <v>0</v>
      </c>
      <c r="BO300" s="77">
        <f t="shared" si="690"/>
        <v>5.6775999999999997E-3</v>
      </c>
      <c r="BP300" s="77">
        <f t="shared" si="691"/>
        <v>4.7190657760731725E-4</v>
      </c>
    </row>
    <row r="301" spans="1:68">
      <c r="A301" t="s">
        <v>175</v>
      </c>
      <c r="B301" t="s">
        <v>176</v>
      </c>
      <c r="C301" s="197" t="str">
        <f t="shared" si="726"/>
        <v>Lifecycle_Balanced_244</v>
      </c>
      <c r="D301">
        <v>244</v>
      </c>
      <c r="E301">
        <f>VLOOKUP($D301,'[2]LC Balanced'!$Q$2:$U$542,2,FALSE)</f>
        <v>0</v>
      </c>
      <c r="F301">
        <f>VLOOKUP($D301,'[2]LC Balanced'!$Q$2:$U$542,3,FALSE)</f>
        <v>0.14899999999999999</v>
      </c>
      <c r="G301">
        <f>VLOOKUP($D301,'[2]LC Balanced'!$Q$2:$U$542,4,FALSE)</f>
        <v>0.85099999999999998</v>
      </c>
      <c r="H301">
        <f>VLOOKUP($D301,'[2]LC Balanced'!$Q$2:$U$542,5,FALSE)</f>
        <v>0</v>
      </c>
      <c r="I301" s="77">
        <f t="shared" si="670"/>
        <v>1</v>
      </c>
      <c r="J301" s="77">
        <f t="shared" si="671"/>
        <v>6.1987699999999986E-2</v>
      </c>
      <c r="K301" s="77">
        <f t="shared" si="661"/>
        <v>5.024442123284345E-3</v>
      </c>
      <c r="L301" s="76">
        <v>0</v>
      </c>
      <c r="M301" s="77">
        <f t="shared" si="677"/>
        <v>0</v>
      </c>
      <c r="N301" s="77">
        <f t="shared" si="678"/>
        <v>0</v>
      </c>
      <c r="O301" s="77">
        <f t="shared" si="679"/>
        <v>7.0062999999999992E-3</v>
      </c>
      <c r="P301" s="77">
        <f t="shared" si="680"/>
        <v>5.85741666996209E-4</v>
      </c>
      <c r="R301" t="s">
        <v>177</v>
      </c>
      <c r="S301" t="s">
        <v>176</v>
      </c>
      <c r="T301" s="197" t="str">
        <f t="shared" si="769"/>
        <v>Autopilot_Balanced_244</v>
      </c>
      <c r="U301">
        <v>244</v>
      </c>
      <c r="V301">
        <f>VLOOKUP($U301,'[2]AP Balanced'!$Q$1:$T$542,2,FALSE)</f>
        <v>0.77777777777777779</v>
      </c>
      <c r="W301">
        <f>VLOOKUP($U301,'[2]AP Balanced'!$Q$1:$T$542,3,FALSE)</f>
        <v>0.22222222222222221</v>
      </c>
      <c r="X301">
        <f>VLOOKUP($U301,'[2]AP Balanced'!$Q$1:$T$542,4,FALSE)</f>
        <v>0</v>
      </c>
      <c r="Y301" s="77">
        <f t="shared" si="727"/>
        <v>1</v>
      </c>
      <c r="Z301" s="77">
        <f t="shared" si="716"/>
        <v>6.1674999999999987E-2</v>
      </c>
      <c r="AA301" s="77">
        <f t="shared" si="717"/>
        <v>4.9997781870025904E-3</v>
      </c>
      <c r="AB301" s="79">
        <v>1</v>
      </c>
      <c r="AC301" s="77">
        <f t="shared" si="681"/>
        <v>8.0555555555555554E-3</v>
      </c>
      <c r="AD301" s="77">
        <f t="shared" si="672"/>
        <v>6.7378764057135498E-4</v>
      </c>
      <c r="AE301" s="77">
        <f t="shared" si="682"/>
        <v>2.5000000000000001E-3</v>
      </c>
      <c r="AF301" s="77">
        <f t="shared" si="672"/>
        <v>2.0857243058891584E-4</v>
      </c>
      <c r="AH301" t="s">
        <v>175</v>
      </c>
      <c r="AI301" t="s">
        <v>176</v>
      </c>
      <c r="AJ301" s="197" t="str">
        <f t="shared" si="728"/>
        <v>Lifecycle_Balanced_244</v>
      </c>
      <c r="AK301">
        <v>244</v>
      </c>
      <c r="AL301">
        <f>VLOOKUP($U301,[2]Standard_Balanced!$Q$1:$T$542,2,FALSE)</f>
        <v>0.77777777777777779</v>
      </c>
      <c r="AM301">
        <f>VLOOKUP($U301,[2]Standard_Balanced!$Q$1:$T$542,3,FALSE)</f>
        <v>0.22222222222222221</v>
      </c>
      <c r="AN301">
        <f>VLOOKUP($U301,[2]Standard_Balanced!$Q$1:$T$542,4,FALSE)</f>
        <v>0</v>
      </c>
      <c r="AO301" s="77">
        <f t="shared" si="658"/>
        <v>1</v>
      </c>
      <c r="AP301" s="77">
        <f t="shared" si="683"/>
        <v>6.1674999999999987E-2</v>
      </c>
      <c r="AQ301" s="77">
        <f t="shared" si="729"/>
        <v>4.9997781870025904E-3</v>
      </c>
      <c r="AR301" s="79">
        <v>0</v>
      </c>
      <c r="AS301" s="77">
        <f t="shared" si="684"/>
        <v>0</v>
      </c>
      <c r="AT301" s="77">
        <f t="shared" ref="AT301" si="776">1-(1-AS301)^(1/12)</f>
        <v>0</v>
      </c>
      <c r="AU301" s="77">
        <f t="shared" si="686"/>
        <v>2.5000000000000001E-3</v>
      </c>
      <c r="AV301" s="77">
        <f t="shared" ref="AV301" si="777">1-(1-AU301)^(1/12)</f>
        <v>2.0857243058891584E-4</v>
      </c>
      <c r="AX301" t="s">
        <v>178</v>
      </c>
      <c r="AY301" t="s">
        <v>160</v>
      </c>
      <c r="AZ301" s="197" t="str">
        <f t="shared" si="732"/>
        <v>DIS_Non-Standard_244</v>
      </c>
      <c r="BA301">
        <v>244</v>
      </c>
      <c r="BB301">
        <f>VLOOKUP($BA301,'[2]NonStandard DIS'!$Q$1:$X$542,2,FALSE)</f>
        <v>0</v>
      </c>
      <c r="BC301">
        <f>VLOOKUP($BA301,'[2]NonStandard DIS'!$Q$1:$X$542,3,FALSE)</f>
        <v>0</v>
      </c>
      <c r="BD301">
        <f>VLOOKUP($BA301,'[2]NonStandard DIS'!$Q$1:$X$542,4,FALSE)</f>
        <v>0.308</v>
      </c>
      <c r="BE301">
        <f>VLOOKUP($BA301,'[2]NonStandard DIS'!$Q$1:$X$542,5,FALSE)</f>
        <v>0.69199999999999995</v>
      </c>
      <c r="BF301">
        <f>VLOOKUP($BA301,'[2]NonStandard DIS'!$Q$1:$X$542,6,FALSE)</f>
        <v>0</v>
      </c>
      <c r="BG301">
        <f>VLOOKUP($BA301,'[2]NonStandard DIS'!$Q$1:$X$542,7,FALSE)</f>
        <v>0</v>
      </c>
      <c r="BH301">
        <f>VLOOKUP($BA301,'[2]NonStandard DIS'!$Q$1:$X$542,8,FALSE)</f>
        <v>0</v>
      </c>
      <c r="BI301" s="77">
        <f t="shared" si="675"/>
        <v>1</v>
      </c>
      <c r="BJ301" s="77">
        <f t="shared" si="676"/>
        <v>6.9728499999999985E-2</v>
      </c>
      <c r="BK301" s="77">
        <f t="shared" si="657"/>
        <v>5.632878498097682E-3</v>
      </c>
      <c r="BL301" s="79">
        <v>0</v>
      </c>
      <c r="BM301" s="77">
        <f t="shared" si="688"/>
        <v>0</v>
      </c>
      <c r="BN301" s="77">
        <f t="shared" si="689"/>
        <v>0</v>
      </c>
      <c r="BO301" s="77">
        <f t="shared" si="690"/>
        <v>5.6775999999999997E-3</v>
      </c>
      <c r="BP301" s="77">
        <f t="shared" si="691"/>
        <v>4.7190657760731725E-4</v>
      </c>
    </row>
    <row r="302" spans="1:68">
      <c r="A302" t="s">
        <v>175</v>
      </c>
      <c r="B302" t="s">
        <v>176</v>
      </c>
      <c r="C302" s="197" t="str">
        <f t="shared" si="726"/>
        <v>Lifecycle_Balanced_243</v>
      </c>
      <c r="D302">
        <v>243</v>
      </c>
      <c r="E302">
        <f>VLOOKUP($D302,'[2]LC Balanced'!$Q$2:$U$542,2,FALSE)</f>
        <v>0</v>
      </c>
      <c r="F302">
        <f>VLOOKUP($D302,'[2]LC Balanced'!$Q$2:$U$542,3,FALSE)</f>
        <v>0.14899999999999999</v>
      </c>
      <c r="G302">
        <f>VLOOKUP($D302,'[2]LC Balanced'!$Q$2:$U$542,4,FALSE)</f>
        <v>0.85099999999999998</v>
      </c>
      <c r="H302">
        <f>VLOOKUP($D302,'[2]LC Balanced'!$Q$2:$U$542,5,FALSE)</f>
        <v>0</v>
      </c>
      <c r="I302" s="77">
        <f t="shared" si="670"/>
        <v>1</v>
      </c>
      <c r="J302" s="77">
        <f t="shared" si="671"/>
        <v>6.1987699999999986E-2</v>
      </c>
      <c r="K302" s="77">
        <f t="shared" si="661"/>
        <v>5.024442123284345E-3</v>
      </c>
      <c r="L302" s="76">
        <v>0</v>
      </c>
      <c r="M302" s="77">
        <f t="shared" si="677"/>
        <v>0</v>
      </c>
      <c r="N302" s="77">
        <f t="shared" si="678"/>
        <v>0</v>
      </c>
      <c r="O302" s="77">
        <f t="shared" si="679"/>
        <v>7.0062999999999992E-3</v>
      </c>
      <c r="P302" s="77">
        <f t="shared" si="680"/>
        <v>5.85741666996209E-4</v>
      </c>
      <c r="R302" t="s">
        <v>177</v>
      </c>
      <c r="S302" t="s">
        <v>176</v>
      </c>
      <c r="T302" s="197" t="str">
        <f t="shared" si="769"/>
        <v>Autopilot_Balanced_243</v>
      </c>
      <c r="U302">
        <v>243</v>
      </c>
      <c r="V302">
        <f>VLOOKUP($U302,'[2]AP Balanced'!$Q$1:$T$542,2,FALSE)</f>
        <v>0.77777777777777779</v>
      </c>
      <c r="W302">
        <f>VLOOKUP($U302,'[2]AP Balanced'!$Q$1:$T$542,3,FALSE)</f>
        <v>0.22222222222222221</v>
      </c>
      <c r="X302">
        <f>VLOOKUP($U302,'[2]AP Balanced'!$Q$1:$T$542,4,FALSE)</f>
        <v>0</v>
      </c>
      <c r="Y302" s="77">
        <f t="shared" si="727"/>
        <v>1</v>
      </c>
      <c r="Z302" s="77">
        <f t="shared" si="716"/>
        <v>6.1674999999999987E-2</v>
      </c>
      <c r="AA302" s="77">
        <f t="shared" si="717"/>
        <v>4.9997781870025904E-3</v>
      </c>
      <c r="AB302" s="79">
        <v>1</v>
      </c>
      <c r="AC302" s="77">
        <f t="shared" si="681"/>
        <v>8.0555555555555554E-3</v>
      </c>
      <c r="AD302" s="77">
        <f t="shared" si="672"/>
        <v>6.7378764057135498E-4</v>
      </c>
      <c r="AE302" s="77">
        <f t="shared" si="682"/>
        <v>2.5000000000000001E-3</v>
      </c>
      <c r="AF302" s="77">
        <f t="shared" si="672"/>
        <v>2.0857243058891584E-4</v>
      </c>
      <c r="AH302" t="s">
        <v>175</v>
      </c>
      <c r="AI302" t="s">
        <v>176</v>
      </c>
      <c r="AJ302" s="197" t="str">
        <f t="shared" si="728"/>
        <v>Lifecycle_Balanced_243</v>
      </c>
      <c r="AK302">
        <v>243</v>
      </c>
      <c r="AL302">
        <f>VLOOKUP($U302,[2]Standard_Balanced!$Q$1:$T$542,2,FALSE)</f>
        <v>0.77777777777777779</v>
      </c>
      <c r="AM302">
        <f>VLOOKUP($U302,[2]Standard_Balanced!$Q$1:$T$542,3,FALSE)</f>
        <v>0.22222222222222221</v>
      </c>
      <c r="AN302">
        <f>VLOOKUP($U302,[2]Standard_Balanced!$Q$1:$T$542,4,FALSE)</f>
        <v>0</v>
      </c>
      <c r="AO302" s="77">
        <f t="shared" si="658"/>
        <v>1</v>
      </c>
      <c r="AP302" s="77">
        <f t="shared" si="683"/>
        <v>6.1674999999999987E-2</v>
      </c>
      <c r="AQ302" s="77">
        <f t="shared" si="729"/>
        <v>4.9997781870025904E-3</v>
      </c>
      <c r="AR302" s="79">
        <v>0</v>
      </c>
      <c r="AS302" s="77">
        <f t="shared" si="684"/>
        <v>0</v>
      </c>
      <c r="AT302" s="77">
        <f t="shared" ref="AT302" si="778">1-(1-AS302)^(1/12)</f>
        <v>0</v>
      </c>
      <c r="AU302" s="77">
        <f t="shared" si="686"/>
        <v>2.5000000000000001E-3</v>
      </c>
      <c r="AV302" s="77">
        <f t="shared" ref="AV302" si="779">1-(1-AU302)^(1/12)</f>
        <v>2.0857243058891584E-4</v>
      </c>
      <c r="AX302" t="s">
        <v>178</v>
      </c>
      <c r="AY302" t="s">
        <v>160</v>
      </c>
      <c r="AZ302" s="197" t="str">
        <f t="shared" si="732"/>
        <v>DIS_Non-Standard_243</v>
      </c>
      <c r="BA302">
        <v>243</v>
      </c>
      <c r="BB302">
        <f>VLOOKUP($BA302,'[2]NonStandard DIS'!$Q$1:$X$542,2,FALSE)</f>
        <v>0</v>
      </c>
      <c r="BC302">
        <f>VLOOKUP($BA302,'[2]NonStandard DIS'!$Q$1:$X$542,3,FALSE)</f>
        <v>0</v>
      </c>
      <c r="BD302">
        <f>VLOOKUP($BA302,'[2]NonStandard DIS'!$Q$1:$X$542,4,FALSE)</f>
        <v>0.308</v>
      </c>
      <c r="BE302">
        <f>VLOOKUP($BA302,'[2]NonStandard DIS'!$Q$1:$X$542,5,FALSE)</f>
        <v>0.69199999999999995</v>
      </c>
      <c r="BF302">
        <f>VLOOKUP($BA302,'[2]NonStandard DIS'!$Q$1:$X$542,6,FALSE)</f>
        <v>0</v>
      </c>
      <c r="BG302">
        <f>VLOOKUP($BA302,'[2]NonStandard DIS'!$Q$1:$X$542,7,FALSE)</f>
        <v>0</v>
      </c>
      <c r="BH302">
        <f>VLOOKUP($BA302,'[2]NonStandard DIS'!$Q$1:$X$542,8,FALSE)</f>
        <v>0</v>
      </c>
      <c r="BI302" s="77">
        <f t="shared" si="675"/>
        <v>1</v>
      </c>
      <c r="BJ302" s="77">
        <f t="shared" si="676"/>
        <v>6.9728499999999985E-2</v>
      </c>
      <c r="BK302" s="77">
        <f t="shared" si="657"/>
        <v>5.632878498097682E-3</v>
      </c>
      <c r="BL302" s="79">
        <v>0</v>
      </c>
      <c r="BM302" s="77">
        <f t="shared" si="688"/>
        <v>0</v>
      </c>
      <c r="BN302" s="77">
        <f t="shared" si="689"/>
        <v>0</v>
      </c>
      <c r="BO302" s="77">
        <f t="shared" si="690"/>
        <v>5.6775999999999997E-3</v>
      </c>
      <c r="BP302" s="77">
        <f t="shared" si="691"/>
        <v>4.7190657760731725E-4</v>
      </c>
    </row>
    <row r="303" spans="1:68">
      <c r="A303" t="s">
        <v>175</v>
      </c>
      <c r="B303" t="s">
        <v>176</v>
      </c>
      <c r="C303" s="197" t="str">
        <f t="shared" si="726"/>
        <v>Lifecycle_Balanced_242</v>
      </c>
      <c r="D303">
        <v>242</v>
      </c>
      <c r="E303">
        <f>VLOOKUP($D303,'[2]LC Balanced'!$Q$2:$U$542,2,FALSE)</f>
        <v>0</v>
      </c>
      <c r="F303">
        <f>VLOOKUP($D303,'[2]LC Balanced'!$Q$2:$U$542,3,FALSE)</f>
        <v>0.14899999999999999</v>
      </c>
      <c r="G303">
        <f>VLOOKUP($D303,'[2]LC Balanced'!$Q$2:$U$542,4,FALSE)</f>
        <v>0.85099999999999998</v>
      </c>
      <c r="H303">
        <f>VLOOKUP($D303,'[2]LC Balanced'!$Q$2:$U$542,5,FALSE)</f>
        <v>0</v>
      </c>
      <c r="I303" s="77">
        <f t="shared" si="670"/>
        <v>1</v>
      </c>
      <c r="J303" s="77">
        <f t="shared" si="671"/>
        <v>6.1987699999999986E-2</v>
      </c>
      <c r="K303" s="77">
        <f t="shared" si="661"/>
        <v>5.024442123284345E-3</v>
      </c>
      <c r="L303" s="76">
        <v>0</v>
      </c>
      <c r="M303" s="77">
        <f t="shared" si="677"/>
        <v>0</v>
      </c>
      <c r="N303" s="77">
        <f t="shared" si="678"/>
        <v>0</v>
      </c>
      <c r="O303" s="77">
        <f t="shared" si="679"/>
        <v>7.0062999999999992E-3</v>
      </c>
      <c r="P303" s="77">
        <f t="shared" si="680"/>
        <v>5.85741666996209E-4</v>
      </c>
      <c r="R303" t="s">
        <v>177</v>
      </c>
      <c r="S303" t="s">
        <v>176</v>
      </c>
      <c r="T303" s="197" t="str">
        <f t="shared" si="769"/>
        <v>Autopilot_Balanced_242</v>
      </c>
      <c r="U303">
        <v>242</v>
      </c>
      <c r="V303">
        <f>VLOOKUP($U303,'[2]AP Balanced'!$Q$1:$T$542,2,FALSE)</f>
        <v>0.77777777777777779</v>
      </c>
      <c r="W303">
        <f>VLOOKUP($U303,'[2]AP Balanced'!$Q$1:$T$542,3,FALSE)</f>
        <v>0.22222222222222221</v>
      </c>
      <c r="X303">
        <f>VLOOKUP($U303,'[2]AP Balanced'!$Q$1:$T$542,4,FALSE)</f>
        <v>0</v>
      </c>
      <c r="Y303" s="77">
        <f t="shared" si="727"/>
        <v>1</v>
      </c>
      <c r="Z303" s="77">
        <f t="shared" si="716"/>
        <v>6.1674999999999987E-2</v>
      </c>
      <c r="AA303" s="77">
        <f t="shared" si="717"/>
        <v>4.9997781870025904E-3</v>
      </c>
      <c r="AB303" s="79">
        <v>1</v>
      </c>
      <c r="AC303" s="77">
        <f t="shared" si="681"/>
        <v>8.0555555555555554E-3</v>
      </c>
      <c r="AD303" s="77">
        <f t="shared" si="672"/>
        <v>6.7378764057135498E-4</v>
      </c>
      <c r="AE303" s="77">
        <f t="shared" si="682"/>
        <v>2.5000000000000001E-3</v>
      </c>
      <c r="AF303" s="77">
        <f t="shared" si="672"/>
        <v>2.0857243058891584E-4</v>
      </c>
      <c r="AH303" t="s">
        <v>175</v>
      </c>
      <c r="AI303" t="s">
        <v>176</v>
      </c>
      <c r="AJ303" s="197" t="str">
        <f t="shared" si="728"/>
        <v>Lifecycle_Balanced_242</v>
      </c>
      <c r="AK303">
        <v>242</v>
      </c>
      <c r="AL303">
        <f>VLOOKUP($U303,[2]Standard_Balanced!$Q$1:$T$542,2,FALSE)</f>
        <v>0.77777777777777779</v>
      </c>
      <c r="AM303">
        <f>VLOOKUP($U303,[2]Standard_Balanced!$Q$1:$T$542,3,FALSE)</f>
        <v>0.22222222222222221</v>
      </c>
      <c r="AN303">
        <f>VLOOKUP($U303,[2]Standard_Balanced!$Q$1:$T$542,4,FALSE)</f>
        <v>0</v>
      </c>
      <c r="AO303" s="77">
        <f t="shared" si="658"/>
        <v>1</v>
      </c>
      <c r="AP303" s="77">
        <f t="shared" si="683"/>
        <v>6.1674999999999987E-2</v>
      </c>
      <c r="AQ303" s="77">
        <f t="shared" si="729"/>
        <v>4.9997781870025904E-3</v>
      </c>
      <c r="AR303" s="79">
        <v>0</v>
      </c>
      <c r="AS303" s="77">
        <f t="shared" si="684"/>
        <v>0</v>
      </c>
      <c r="AT303" s="77">
        <f t="shared" ref="AT303" si="780">1-(1-AS303)^(1/12)</f>
        <v>0</v>
      </c>
      <c r="AU303" s="77">
        <f t="shared" si="686"/>
        <v>2.5000000000000001E-3</v>
      </c>
      <c r="AV303" s="77">
        <f t="shared" ref="AV303" si="781">1-(1-AU303)^(1/12)</f>
        <v>2.0857243058891584E-4</v>
      </c>
      <c r="AX303" t="s">
        <v>178</v>
      </c>
      <c r="AY303" t="s">
        <v>160</v>
      </c>
      <c r="AZ303" s="197" t="str">
        <f t="shared" si="732"/>
        <v>DIS_Non-Standard_242</v>
      </c>
      <c r="BA303">
        <v>242</v>
      </c>
      <c r="BB303">
        <f>VLOOKUP($BA303,'[2]NonStandard DIS'!$Q$1:$X$542,2,FALSE)</f>
        <v>0</v>
      </c>
      <c r="BC303">
        <f>VLOOKUP($BA303,'[2]NonStandard DIS'!$Q$1:$X$542,3,FALSE)</f>
        <v>0</v>
      </c>
      <c r="BD303">
        <f>VLOOKUP($BA303,'[2]NonStandard DIS'!$Q$1:$X$542,4,FALSE)</f>
        <v>0.308</v>
      </c>
      <c r="BE303">
        <f>VLOOKUP($BA303,'[2]NonStandard DIS'!$Q$1:$X$542,5,FALSE)</f>
        <v>0.69199999999999995</v>
      </c>
      <c r="BF303">
        <f>VLOOKUP($BA303,'[2]NonStandard DIS'!$Q$1:$X$542,6,FALSE)</f>
        <v>0</v>
      </c>
      <c r="BG303">
        <f>VLOOKUP($BA303,'[2]NonStandard DIS'!$Q$1:$X$542,7,FALSE)</f>
        <v>0</v>
      </c>
      <c r="BH303">
        <f>VLOOKUP($BA303,'[2]NonStandard DIS'!$Q$1:$X$542,8,FALSE)</f>
        <v>0</v>
      </c>
      <c r="BI303" s="77">
        <f t="shared" si="675"/>
        <v>1</v>
      </c>
      <c r="BJ303" s="77">
        <f t="shared" si="676"/>
        <v>6.9728499999999985E-2</v>
      </c>
      <c r="BK303" s="77">
        <f t="shared" si="657"/>
        <v>5.632878498097682E-3</v>
      </c>
      <c r="BL303" s="79">
        <v>0</v>
      </c>
      <c r="BM303" s="77">
        <f t="shared" si="688"/>
        <v>0</v>
      </c>
      <c r="BN303" s="77">
        <f t="shared" si="689"/>
        <v>0</v>
      </c>
      <c r="BO303" s="77">
        <f t="shared" si="690"/>
        <v>5.6775999999999997E-3</v>
      </c>
      <c r="BP303" s="77">
        <f t="shared" si="691"/>
        <v>4.7190657760731725E-4</v>
      </c>
    </row>
    <row r="304" spans="1:68">
      <c r="A304" t="s">
        <v>175</v>
      </c>
      <c r="B304" t="s">
        <v>176</v>
      </c>
      <c r="C304" s="197" t="str">
        <f t="shared" si="726"/>
        <v>Lifecycle_Balanced_241</v>
      </c>
      <c r="D304">
        <v>241</v>
      </c>
      <c r="E304">
        <f>VLOOKUP($D304,'[2]LC Balanced'!$Q$2:$U$542,2,FALSE)</f>
        <v>0</v>
      </c>
      <c r="F304">
        <f>VLOOKUP($D304,'[2]LC Balanced'!$Q$2:$U$542,3,FALSE)</f>
        <v>0.14899999999999999</v>
      </c>
      <c r="G304">
        <f>VLOOKUP($D304,'[2]LC Balanced'!$Q$2:$U$542,4,FALSE)</f>
        <v>0.85099999999999998</v>
      </c>
      <c r="H304">
        <f>VLOOKUP($D304,'[2]LC Balanced'!$Q$2:$U$542,5,FALSE)</f>
        <v>0</v>
      </c>
      <c r="I304" s="77">
        <f t="shared" si="670"/>
        <v>1</v>
      </c>
      <c r="J304" s="77">
        <f t="shared" si="671"/>
        <v>6.1987699999999986E-2</v>
      </c>
      <c r="K304" s="77">
        <f t="shared" si="661"/>
        <v>5.024442123284345E-3</v>
      </c>
      <c r="L304" s="76">
        <v>0</v>
      </c>
      <c r="M304" s="77">
        <f t="shared" si="677"/>
        <v>0</v>
      </c>
      <c r="N304" s="77">
        <f t="shared" si="678"/>
        <v>0</v>
      </c>
      <c r="O304" s="77">
        <f t="shared" si="679"/>
        <v>7.0062999999999992E-3</v>
      </c>
      <c r="P304" s="77">
        <f t="shared" si="680"/>
        <v>5.85741666996209E-4</v>
      </c>
      <c r="R304" t="s">
        <v>177</v>
      </c>
      <c r="S304" t="s">
        <v>176</v>
      </c>
      <c r="T304" s="197" t="str">
        <f t="shared" si="769"/>
        <v>Autopilot_Balanced_241</v>
      </c>
      <c r="U304">
        <v>241</v>
      </c>
      <c r="V304">
        <f>VLOOKUP($U304,'[2]AP Balanced'!$Q$1:$T$542,2,FALSE)</f>
        <v>0.77777777777777779</v>
      </c>
      <c r="W304">
        <f>VLOOKUP($U304,'[2]AP Balanced'!$Q$1:$T$542,3,FALSE)</f>
        <v>0.22222222222222221</v>
      </c>
      <c r="X304">
        <f>VLOOKUP($U304,'[2]AP Balanced'!$Q$1:$T$542,4,FALSE)</f>
        <v>0</v>
      </c>
      <c r="Y304" s="77">
        <f t="shared" si="727"/>
        <v>1</v>
      </c>
      <c r="Z304" s="77">
        <f t="shared" si="716"/>
        <v>6.1674999999999987E-2</v>
      </c>
      <c r="AA304" s="77">
        <f t="shared" si="717"/>
        <v>4.9997781870025904E-3</v>
      </c>
      <c r="AB304" s="79">
        <v>1</v>
      </c>
      <c r="AC304" s="77">
        <f t="shared" si="681"/>
        <v>8.0555555555555554E-3</v>
      </c>
      <c r="AD304" s="77">
        <f t="shared" si="672"/>
        <v>6.7378764057135498E-4</v>
      </c>
      <c r="AE304" s="77">
        <f t="shared" si="682"/>
        <v>2.5000000000000001E-3</v>
      </c>
      <c r="AF304" s="77">
        <f t="shared" si="672"/>
        <v>2.0857243058891584E-4</v>
      </c>
      <c r="AH304" t="s">
        <v>175</v>
      </c>
      <c r="AI304" t="s">
        <v>176</v>
      </c>
      <c r="AJ304" s="197" t="str">
        <f t="shared" si="728"/>
        <v>Lifecycle_Balanced_241</v>
      </c>
      <c r="AK304">
        <v>241</v>
      </c>
      <c r="AL304">
        <f>VLOOKUP($U304,[2]Standard_Balanced!$Q$1:$T$542,2,FALSE)</f>
        <v>0.77777777777777779</v>
      </c>
      <c r="AM304">
        <f>VLOOKUP($U304,[2]Standard_Balanced!$Q$1:$T$542,3,FALSE)</f>
        <v>0.22222222222222221</v>
      </c>
      <c r="AN304">
        <f>VLOOKUP($U304,[2]Standard_Balanced!$Q$1:$T$542,4,FALSE)</f>
        <v>0</v>
      </c>
      <c r="AO304" s="77">
        <f t="shared" si="658"/>
        <v>1</v>
      </c>
      <c r="AP304" s="77">
        <f t="shared" si="683"/>
        <v>6.1674999999999987E-2</v>
      </c>
      <c r="AQ304" s="77">
        <f t="shared" si="729"/>
        <v>4.9997781870025904E-3</v>
      </c>
      <c r="AR304" s="79">
        <v>0</v>
      </c>
      <c r="AS304" s="77">
        <f t="shared" si="684"/>
        <v>0</v>
      </c>
      <c r="AT304" s="77">
        <f t="shared" ref="AT304" si="782">1-(1-AS304)^(1/12)</f>
        <v>0</v>
      </c>
      <c r="AU304" s="77">
        <f t="shared" si="686"/>
        <v>2.5000000000000001E-3</v>
      </c>
      <c r="AV304" s="77">
        <f t="shared" ref="AV304" si="783">1-(1-AU304)^(1/12)</f>
        <v>2.0857243058891584E-4</v>
      </c>
      <c r="AX304" t="s">
        <v>178</v>
      </c>
      <c r="AY304" t="s">
        <v>160</v>
      </c>
      <c r="AZ304" s="197" t="str">
        <f t="shared" si="732"/>
        <v>DIS_Non-Standard_241</v>
      </c>
      <c r="BA304">
        <v>241</v>
      </c>
      <c r="BB304">
        <f>VLOOKUP($BA304,'[2]NonStandard DIS'!$Q$1:$X$542,2,FALSE)</f>
        <v>0</v>
      </c>
      <c r="BC304">
        <f>VLOOKUP($BA304,'[2]NonStandard DIS'!$Q$1:$X$542,3,FALSE)</f>
        <v>0</v>
      </c>
      <c r="BD304">
        <f>VLOOKUP($BA304,'[2]NonStandard DIS'!$Q$1:$X$542,4,FALSE)</f>
        <v>0.308</v>
      </c>
      <c r="BE304">
        <f>VLOOKUP($BA304,'[2]NonStandard DIS'!$Q$1:$X$542,5,FALSE)</f>
        <v>0.69199999999999995</v>
      </c>
      <c r="BF304">
        <f>VLOOKUP($BA304,'[2]NonStandard DIS'!$Q$1:$X$542,6,FALSE)</f>
        <v>0</v>
      </c>
      <c r="BG304">
        <f>VLOOKUP($BA304,'[2]NonStandard DIS'!$Q$1:$X$542,7,FALSE)</f>
        <v>0</v>
      </c>
      <c r="BH304">
        <f>VLOOKUP($BA304,'[2]NonStandard DIS'!$Q$1:$X$542,8,FALSE)</f>
        <v>0</v>
      </c>
      <c r="BI304" s="77">
        <f t="shared" si="675"/>
        <v>1</v>
      </c>
      <c r="BJ304" s="77">
        <f t="shared" si="676"/>
        <v>6.9728499999999985E-2</v>
      </c>
      <c r="BK304" s="77">
        <f t="shared" si="657"/>
        <v>5.632878498097682E-3</v>
      </c>
      <c r="BL304" s="79">
        <v>0</v>
      </c>
      <c r="BM304" s="77">
        <f t="shared" si="688"/>
        <v>0</v>
      </c>
      <c r="BN304" s="77">
        <f t="shared" si="689"/>
        <v>0</v>
      </c>
      <c r="BO304" s="77">
        <f t="shared" si="690"/>
        <v>5.6775999999999997E-3</v>
      </c>
      <c r="BP304" s="77">
        <f t="shared" si="691"/>
        <v>4.7190657760731725E-4</v>
      </c>
    </row>
    <row r="305" spans="1:68">
      <c r="A305" t="s">
        <v>175</v>
      </c>
      <c r="B305" t="s">
        <v>176</v>
      </c>
      <c r="C305" s="197" t="str">
        <f t="shared" si="726"/>
        <v>Lifecycle_Balanced_240</v>
      </c>
      <c r="D305">
        <v>240</v>
      </c>
      <c r="E305">
        <f>VLOOKUP($D305,'[2]LC Balanced'!$Q$2:$U$542,2,FALSE)</f>
        <v>0</v>
      </c>
      <c r="F305">
        <f>VLOOKUP($D305,'[2]LC Balanced'!$Q$2:$U$542,3,FALSE)</f>
        <v>0.14899999999999999</v>
      </c>
      <c r="G305">
        <f>VLOOKUP($D305,'[2]LC Balanced'!$Q$2:$U$542,4,FALSE)</f>
        <v>0.85099999999999998</v>
      </c>
      <c r="H305">
        <f>VLOOKUP($D305,'[2]LC Balanced'!$Q$2:$U$542,5,FALSE)</f>
        <v>0</v>
      </c>
      <c r="I305" s="77">
        <f t="shared" si="670"/>
        <v>1</v>
      </c>
      <c r="J305" s="77">
        <f t="shared" si="671"/>
        <v>6.1987699999999986E-2</v>
      </c>
      <c r="K305" s="77">
        <f t="shared" si="661"/>
        <v>5.024442123284345E-3</v>
      </c>
      <c r="L305" s="76">
        <v>0</v>
      </c>
      <c r="M305" s="77">
        <f t="shared" si="677"/>
        <v>0</v>
      </c>
      <c r="N305" s="77">
        <f t="shared" si="678"/>
        <v>0</v>
      </c>
      <c r="O305" s="77">
        <f t="shared" si="679"/>
        <v>7.0062999999999992E-3</v>
      </c>
      <c r="P305" s="77">
        <f t="shared" si="680"/>
        <v>5.85741666996209E-4</v>
      </c>
      <c r="R305" t="s">
        <v>177</v>
      </c>
      <c r="S305" t="s">
        <v>176</v>
      </c>
      <c r="T305" s="197" t="str">
        <f t="shared" si="769"/>
        <v>Autopilot_Balanced_240</v>
      </c>
      <c r="U305">
        <v>240</v>
      </c>
      <c r="V305">
        <f>VLOOKUP($U305,'[2]AP Balanced'!$Q$1:$T$542,2,FALSE)</f>
        <v>0.77777777777777779</v>
      </c>
      <c r="W305">
        <f>VLOOKUP($U305,'[2]AP Balanced'!$Q$1:$T$542,3,FALSE)</f>
        <v>0.22222222222222221</v>
      </c>
      <c r="X305">
        <f>VLOOKUP($U305,'[2]AP Balanced'!$Q$1:$T$542,4,FALSE)</f>
        <v>0</v>
      </c>
      <c r="Y305" s="77">
        <f t="shared" si="727"/>
        <v>1</v>
      </c>
      <c r="Z305" s="77">
        <f t="shared" si="716"/>
        <v>6.1674999999999987E-2</v>
      </c>
      <c r="AA305" s="77">
        <f t="shared" si="717"/>
        <v>4.9997781870025904E-3</v>
      </c>
      <c r="AB305" s="79">
        <v>1</v>
      </c>
      <c r="AC305" s="77">
        <f t="shared" si="681"/>
        <v>8.0555555555555554E-3</v>
      </c>
      <c r="AD305" s="77">
        <f t="shared" si="672"/>
        <v>6.7378764057135498E-4</v>
      </c>
      <c r="AE305" s="77">
        <f t="shared" si="682"/>
        <v>2.5000000000000001E-3</v>
      </c>
      <c r="AF305" s="77">
        <f t="shared" si="672"/>
        <v>2.0857243058891584E-4</v>
      </c>
      <c r="AH305" t="s">
        <v>175</v>
      </c>
      <c r="AI305" t="s">
        <v>176</v>
      </c>
      <c r="AJ305" s="197" t="str">
        <f t="shared" si="728"/>
        <v>Lifecycle_Balanced_240</v>
      </c>
      <c r="AK305">
        <v>240</v>
      </c>
      <c r="AL305">
        <f>VLOOKUP($U305,[2]Standard_Balanced!$Q$1:$T$542,2,FALSE)</f>
        <v>0.77777777777777779</v>
      </c>
      <c r="AM305">
        <f>VLOOKUP($U305,[2]Standard_Balanced!$Q$1:$T$542,3,FALSE)</f>
        <v>0.22222222222222221</v>
      </c>
      <c r="AN305">
        <f>VLOOKUP($U305,[2]Standard_Balanced!$Q$1:$T$542,4,FALSE)</f>
        <v>0</v>
      </c>
      <c r="AO305" s="77">
        <f t="shared" si="658"/>
        <v>1</v>
      </c>
      <c r="AP305" s="77">
        <f t="shared" si="683"/>
        <v>6.1674999999999987E-2</v>
      </c>
      <c r="AQ305" s="77">
        <f t="shared" si="729"/>
        <v>4.9997781870025904E-3</v>
      </c>
      <c r="AR305" s="79">
        <v>0</v>
      </c>
      <c r="AS305" s="77">
        <f t="shared" si="684"/>
        <v>0</v>
      </c>
      <c r="AT305" s="77">
        <f t="shared" ref="AT305" si="784">1-(1-AS305)^(1/12)</f>
        <v>0</v>
      </c>
      <c r="AU305" s="77">
        <f t="shared" si="686"/>
        <v>2.5000000000000001E-3</v>
      </c>
      <c r="AV305" s="77">
        <f t="shared" ref="AV305" si="785">1-(1-AU305)^(1/12)</f>
        <v>2.0857243058891584E-4</v>
      </c>
      <c r="AX305" t="s">
        <v>178</v>
      </c>
      <c r="AY305" t="s">
        <v>160</v>
      </c>
      <c r="AZ305" s="197" t="str">
        <f t="shared" si="732"/>
        <v>DIS_Non-Standard_240</v>
      </c>
      <c r="BA305">
        <v>240</v>
      </c>
      <c r="BB305">
        <f>VLOOKUP($BA305,'[2]NonStandard DIS'!$Q$1:$X$542,2,FALSE)</f>
        <v>0</v>
      </c>
      <c r="BC305">
        <f>VLOOKUP($BA305,'[2]NonStandard DIS'!$Q$1:$X$542,3,FALSE)</f>
        <v>0</v>
      </c>
      <c r="BD305">
        <f>VLOOKUP($BA305,'[2]NonStandard DIS'!$Q$1:$X$542,4,FALSE)</f>
        <v>0.308</v>
      </c>
      <c r="BE305">
        <f>VLOOKUP($BA305,'[2]NonStandard DIS'!$Q$1:$X$542,5,FALSE)</f>
        <v>0.69199999999999995</v>
      </c>
      <c r="BF305">
        <f>VLOOKUP($BA305,'[2]NonStandard DIS'!$Q$1:$X$542,6,FALSE)</f>
        <v>0</v>
      </c>
      <c r="BG305">
        <f>VLOOKUP($BA305,'[2]NonStandard DIS'!$Q$1:$X$542,7,FALSE)</f>
        <v>0</v>
      </c>
      <c r="BH305">
        <f>VLOOKUP($BA305,'[2]NonStandard DIS'!$Q$1:$X$542,8,FALSE)</f>
        <v>0</v>
      </c>
      <c r="BI305" s="77">
        <f t="shared" si="675"/>
        <v>1</v>
      </c>
      <c r="BJ305" s="77">
        <f t="shared" si="676"/>
        <v>6.9728499999999985E-2</v>
      </c>
      <c r="BK305" s="77">
        <f t="shared" si="657"/>
        <v>5.632878498097682E-3</v>
      </c>
      <c r="BL305" s="79">
        <v>0</v>
      </c>
      <c r="BM305" s="77">
        <f t="shared" si="688"/>
        <v>0</v>
      </c>
      <c r="BN305" s="77">
        <f t="shared" si="689"/>
        <v>0</v>
      </c>
      <c r="BO305" s="77">
        <f t="shared" si="690"/>
        <v>5.6775999999999997E-3</v>
      </c>
      <c r="BP305" s="77">
        <f t="shared" si="691"/>
        <v>4.7190657760731725E-4</v>
      </c>
    </row>
    <row r="306" spans="1:68">
      <c r="A306" t="s">
        <v>175</v>
      </c>
      <c r="B306" t="s">
        <v>176</v>
      </c>
      <c r="C306" s="197" t="str">
        <f t="shared" si="726"/>
        <v>Lifecycle_Balanced_239</v>
      </c>
      <c r="D306">
        <v>239</v>
      </c>
      <c r="E306">
        <f>VLOOKUP($D306,'[2]LC Balanced'!$Q$2:$U$542,2,FALSE)</f>
        <v>0</v>
      </c>
      <c r="F306">
        <f>VLOOKUP($D306,'[2]LC Balanced'!$Q$2:$U$542,3,FALSE)</f>
        <v>0.14899999999999999</v>
      </c>
      <c r="G306">
        <f>VLOOKUP($D306,'[2]LC Balanced'!$Q$2:$U$542,4,FALSE)</f>
        <v>0.85099999999999998</v>
      </c>
      <c r="H306">
        <f>VLOOKUP($D306,'[2]LC Balanced'!$Q$2:$U$542,5,FALSE)</f>
        <v>0</v>
      </c>
      <c r="I306" s="77">
        <f t="shared" si="670"/>
        <v>1</v>
      </c>
      <c r="J306" s="77">
        <f t="shared" si="671"/>
        <v>6.1987699999999986E-2</v>
      </c>
      <c r="K306" s="77">
        <f t="shared" si="661"/>
        <v>5.024442123284345E-3</v>
      </c>
      <c r="L306" s="76">
        <v>0</v>
      </c>
      <c r="M306" s="77">
        <f t="shared" si="677"/>
        <v>0</v>
      </c>
      <c r="N306" s="77">
        <f t="shared" si="678"/>
        <v>0</v>
      </c>
      <c r="O306" s="77">
        <f t="shared" si="679"/>
        <v>7.0062999999999992E-3</v>
      </c>
      <c r="P306" s="77">
        <f t="shared" si="680"/>
        <v>5.85741666996209E-4</v>
      </c>
      <c r="R306" t="s">
        <v>177</v>
      </c>
      <c r="S306" t="s">
        <v>176</v>
      </c>
      <c r="T306" s="197" t="str">
        <f t="shared" si="769"/>
        <v>Autopilot_Balanced_239</v>
      </c>
      <c r="U306">
        <v>239</v>
      </c>
      <c r="V306">
        <f>VLOOKUP($U306,'[2]AP Balanced'!$Q$1:$T$542,2,FALSE)</f>
        <v>0.77777777777777779</v>
      </c>
      <c r="W306">
        <f>VLOOKUP($U306,'[2]AP Balanced'!$Q$1:$T$542,3,FALSE)</f>
        <v>0.22222222222222221</v>
      </c>
      <c r="X306">
        <f>VLOOKUP($U306,'[2]AP Balanced'!$Q$1:$T$542,4,FALSE)</f>
        <v>0</v>
      </c>
      <c r="Y306" s="77">
        <f t="shared" si="727"/>
        <v>1</v>
      </c>
      <c r="Z306" s="77">
        <f t="shared" si="716"/>
        <v>6.1674999999999987E-2</v>
      </c>
      <c r="AA306" s="77">
        <f t="shared" si="717"/>
        <v>4.9997781870025904E-3</v>
      </c>
      <c r="AB306" s="79">
        <v>1</v>
      </c>
      <c r="AC306" s="77">
        <f t="shared" si="681"/>
        <v>8.0555555555555554E-3</v>
      </c>
      <c r="AD306" s="77">
        <f t="shared" si="672"/>
        <v>6.7378764057135498E-4</v>
      </c>
      <c r="AE306" s="77">
        <f t="shared" si="682"/>
        <v>2.5000000000000001E-3</v>
      </c>
      <c r="AF306" s="77">
        <f t="shared" si="672"/>
        <v>2.0857243058891584E-4</v>
      </c>
      <c r="AH306" t="s">
        <v>175</v>
      </c>
      <c r="AI306" t="s">
        <v>176</v>
      </c>
      <c r="AJ306" s="197" t="str">
        <f t="shared" si="728"/>
        <v>Lifecycle_Balanced_239</v>
      </c>
      <c r="AK306">
        <v>239</v>
      </c>
      <c r="AL306">
        <f>VLOOKUP($U306,[2]Standard_Balanced!$Q$1:$T$542,2,FALSE)</f>
        <v>0.77777777777777779</v>
      </c>
      <c r="AM306">
        <f>VLOOKUP($U306,[2]Standard_Balanced!$Q$1:$T$542,3,FALSE)</f>
        <v>0.22222222222222221</v>
      </c>
      <c r="AN306">
        <f>VLOOKUP($U306,[2]Standard_Balanced!$Q$1:$T$542,4,FALSE)</f>
        <v>0</v>
      </c>
      <c r="AO306" s="77">
        <f t="shared" si="658"/>
        <v>1</v>
      </c>
      <c r="AP306" s="77">
        <f t="shared" si="683"/>
        <v>6.1674999999999987E-2</v>
      </c>
      <c r="AQ306" s="77">
        <f t="shared" si="729"/>
        <v>4.9997781870025904E-3</v>
      </c>
      <c r="AR306" s="79">
        <v>0</v>
      </c>
      <c r="AS306" s="77">
        <f t="shared" si="684"/>
        <v>0</v>
      </c>
      <c r="AT306" s="77">
        <f t="shared" ref="AT306" si="786">1-(1-AS306)^(1/12)</f>
        <v>0</v>
      </c>
      <c r="AU306" s="77">
        <f t="shared" si="686"/>
        <v>2.5000000000000001E-3</v>
      </c>
      <c r="AV306" s="77">
        <f t="shared" ref="AV306" si="787">1-(1-AU306)^(1/12)</f>
        <v>2.0857243058891584E-4</v>
      </c>
      <c r="AX306" t="s">
        <v>178</v>
      </c>
      <c r="AY306" t="s">
        <v>160</v>
      </c>
      <c r="AZ306" s="197" t="str">
        <f t="shared" si="732"/>
        <v>DIS_Non-Standard_239</v>
      </c>
      <c r="BA306">
        <v>239</v>
      </c>
      <c r="BB306">
        <f>VLOOKUP($BA306,'[2]NonStandard DIS'!$Q$1:$X$542,2,FALSE)</f>
        <v>0</v>
      </c>
      <c r="BC306">
        <f>VLOOKUP($BA306,'[2]NonStandard DIS'!$Q$1:$X$542,3,FALSE)</f>
        <v>0</v>
      </c>
      <c r="BD306">
        <f>VLOOKUP($BA306,'[2]NonStandard DIS'!$Q$1:$X$542,4,FALSE)</f>
        <v>0.308</v>
      </c>
      <c r="BE306">
        <f>VLOOKUP($BA306,'[2]NonStandard DIS'!$Q$1:$X$542,5,FALSE)</f>
        <v>0.69199999999999995</v>
      </c>
      <c r="BF306">
        <f>VLOOKUP($BA306,'[2]NonStandard DIS'!$Q$1:$X$542,6,FALSE)</f>
        <v>0</v>
      </c>
      <c r="BG306">
        <f>VLOOKUP($BA306,'[2]NonStandard DIS'!$Q$1:$X$542,7,FALSE)</f>
        <v>0</v>
      </c>
      <c r="BH306">
        <f>VLOOKUP($BA306,'[2]NonStandard DIS'!$Q$1:$X$542,8,FALSE)</f>
        <v>0</v>
      </c>
      <c r="BI306" s="77">
        <f t="shared" si="675"/>
        <v>1</v>
      </c>
      <c r="BJ306" s="77">
        <f t="shared" si="676"/>
        <v>6.9728499999999985E-2</v>
      </c>
      <c r="BK306" s="77">
        <f t="shared" si="657"/>
        <v>5.632878498097682E-3</v>
      </c>
      <c r="BL306" s="79">
        <v>0</v>
      </c>
      <c r="BM306" s="77">
        <f t="shared" si="688"/>
        <v>0</v>
      </c>
      <c r="BN306" s="77">
        <f t="shared" si="689"/>
        <v>0</v>
      </c>
      <c r="BO306" s="77">
        <f t="shared" si="690"/>
        <v>5.6775999999999997E-3</v>
      </c>
      <c r="BP306" s="77">
        <f t="shared" si="691"/>
        <v>4.7190657760731725E-4</v>
      </c>
    </row>
    <row r="307" spans="1:68">
      <c r="A307" t="s">
        <v>175</v>
      </c>
      <c r="B307" t="s">
        <v>176</v>
      </c>
      <c r="C307" s="197" t="str">
        <f t="shared" si="726"/>
        <v>Lifecycle_Balanced_238</v>
      </c>
      <c r="D307">
        <v>238</v>
      </c>
      <c r="E307">
        <f>VLOOKUP($D307,'[2]LC Balanced'!$Q$2:$U$542,2,FALSE)</f>
        <v>0</v>
      </c>
      <c r="F307">
        <f>VLOOKUP($D307,'[2]LC Balanced'!$Q$2:$U$542,3,FALSE)</f>
        <v>0.14899999999999999</v>
      </c>
      <c r="G307">
        <f>VLOOKUP($D307,'[2]LC Balanced'!$Q$2:$U$542,4,FALSE)</f>
        <v>0.85099999999999998</v>
      </c>
      <c r="H307">
        <f>VLOOKUP($D307,'[2]LC Balanced'!$Q$2:$U$542,5,FALSE)</f>
        <v>0</v>
      </c>
      <c r="I307" s="77">
        <f t="shared" si="670"/>
        <v>1</v>
      </c>
      <c r="J307" s="77">
        <f t="shared" si="671"/>
        <v>6.1987699999999986E-2</v>
      </c>
      <c r="K307" s="77">
        <f t="shared" si="661"/>
        <v>5.024442123284345E-3</v>
      </c>
      <c r="L307" s="76">
        <v>0</v>
      </c>
      <c r="M307" s="77">
        <f t="shared" si="677"/>
        <v>0</v>
      </c>
      <c r="N307" s="77">
        <f t="shared" si="678"/>
        <v>0</v>
      </c>
      <c r="O307" s="77">
        <f t="shared" si="679"/>
        <v>7.0062999999999992E-3</v>
      </c>
      <c r="P307" s="77">
        <f t="shared" si="680"/>
        <v>5.85741666996209E-4</v>
      </c>
      <c r="R307" t="s">
        <v>177</v>
      </c>
      <c r="S307" t="s">
        <v>176</v>
      </c>
      <c r="T307" s="197" t="str">
        <f t="shared" si="769"/>
        <v>Autopilot_Balanced_238</v>
      </c>
      <c r="U307">
        <v>238</v>
      </c>
      <c r="V307">
        <f>VLOOKUP($U307,'[2]AP Balanced'!$Q$1:$T$542,2,FALSE)</f>
        <v>0.77777777777777779</v>
      </c>
      <c r="W307">
        <f>VLOOKUP($U307,'[2]AP Balanced'!$Q$1:$T$542,3,FALSE)</f>
        <v>0.22222222222222221</v>
      </c>
      <c r="X307">
        <f>VLOOKUP($U307,'[2]AP Balanced'!$Q$1:$T$542,4,FALSE)</f>
        <v>0</v>
      </c>
      <c r="Y307" s="77">
        <f t="shared" si="727"/>
        <v>1</v>
      </c>
      <c r="Z307" s="77">
        <f t="shared" si="716"/>
        <v>6.1674999999999987E-2</v>
      </c>
      <c r="AA307" s="77">
        <f t="shared" si="717"/>
        <v>4.9997781870025904E-3</v>
      </c>
      <c r="AB307" s="79">
        <v>1</v>
      </c>
      <c r="AC307" s="77">
        <f t="shared" si="681"/>
        <v>8.0555555555555554E-3</v>
      </c>
      <c r="AD307" s="77">
        <f t="shared" si="672"/>
        <v>6.7378764057135498E-4</v>
      </c>
      <c r="AE307" s="77">
        <f t="shared" si="682"/>
        <v>2.5000000000000001E-3</v>
      </c>
      <c r="AF307" s="77">
        <f t="shared" si="672"/>
        <v>2.0857243058891584E-4</v>
      </c>
      <c r="AH307" t="s">
        <v>175</v>
      </c>
      <c r="AI307" t="s">
        <v>176</v>
      </c>
      <c r="AJ307" s="197" t="str">
        <f t="shared" si="728"/>
        <v>Lifecycle_Balanced_238</v>
      </c>
      <c r="AK307">
        <v>238</v>
      </c>
      <c r="AL307">
        <f>VLOOKUP($U307,[2]Standard_Balanced!$Q$1:$T$542,2,FALSE)</f>
        <v>0.77777777777777779</v>
      </c>
      <c r="AM307">
        <f>VLOOKUP($U307,[2]Standard_Balanced!$Q$1:$T$542,3,FALSE)</f>
        <v>0.22222222222222221</v>
      </c>
      <c r="AN307">
        <f>VLOOKUP($U307,[2]Standard_Balanced!$Q$1:$T$542,4,FALSE)</f>
        <v>0</v>
      </c>
      <c r="AO307" s="77">
        <f t="shared" si="658"/>
        <v>1</v>
      </c>
      <c r="AP307" s="77">
        <f t="shared" si="683"/>
        <v>6.1674999999999987E-2</v>
      </c>
      <c r="AQ307" s="77">
        <f t="shared" si="729"/>
        <v>4.9997781870025904E-3</v>
      </c>
      <c r="AR307" s="79">
        <v>0</v>
      </c>
      <c r="AS307" s="77">
        <f t="shared" si="684"/>
        <v>0</v>
      </c>
      <c r="AT307" s="77">
        <f t="shared" ref="AT307" si="788">1-(1-AS307)^(1/12)</f>
        <v>0</v>
      </c>
      <c r="AU307" s="77">
        <f t="shared" si="686"/>
        <v>2.5000000000000001E-3</v>
      </c>
      <c r="AV307" s="77">
        <f t="shared" ref="AV307" si="789">1-(1-AU307)^(1/12)</f>
        <v>2.0857243058891584E-4</v>
      </c>
      <c r="AX307" t="s">
        <v>178</v>
      </c>
      <c r="AY307" t="s">
        <v>160</v>
      </c>
      <c r="AZ307" s="197" t="str">
        <f t="shared" si="732"/>
        <v>DIS_Non-Standard_238</v>
      </c>
      <c r="BA307">
        <v>238</v>
      </c>
      <c r="BB307">
        <f>VLOOKUP($BA307,'[2]NonStandard DIS'!$Q$1:$X$542,2,FALSE)</f>
        <v>0</v>
      </c>
      <c r="BC307">
        <f>VLOOKUP($BA307,'[2]NonStandard DIS'!$Q$1:$X$542,3,FALSE)</f>
        <v>0</v>
      </c>
      <c r="BD307">
        <f>VLOOKUP($BA307,'[2]NonStandard DIS'!$Q$1:$X$542,4,FALSE)</f>
        <v>0.308</v>
      </c>
      <c r="BE307">
        <f>VLOOKUP($BA307,'[2]NonStandard DIS'!$Q$1:$X$542,5,FALSE)</f>
        <v>0.69199999999999995</v>
      </c>
      <c r="BF307">
        <f>VLOOKUP($BA307,'[2]NonStandard DIS'!$Q$1:$X$542,6,FALSE)</f>
        <v>0</v>
      </c>
      <c r="BG307">
        <f>VLOOKUP($BA307,'[2]NonStandard DIS'!$Q$1:$X$542,7,FALSE)</f>
        <v>0</v>
      </c>
      <c r="BH307">
        <f>VLOOKUP($BA307,'[2]NonStandard DIS'!$Q$1:$X$542,8,FALSE)</f>
        <v>0</v>
      </c>
      <c r="BI307" s="77">
        <f t="shared" si="675"/>
        <v>1</v>
      </c>
      <c r="BJ307" s="77">
        <f t="shared" si="676"/>
        <v>6.9728499999999985E-2</v>
      </c>
      <c r="BK307" s="77">
        <f t="shared" si="657"/>
        <v>5.632878498097682E-3</v>
      </c>
      <c r="BL307" s="79">
        <v>0</v>
      </c>
      <c r="BM307" s="77">
        <f t="shared" si="688"/>
        <v>0</v>
      </c>
      <c r="BN307" s="77">
        <f t="shared" si="689"/>
        <v>0</v>
      </c>
      <c r="BO307" s="77">
        <f t="shared" si="690"/>
        <v>5.6775999999999997E-3</v>
      </c>
      <c r="BP307" s="77">
        <f t="shared" si="691"/>
        <v>4.7190657760731725E-4</v>
      </c>
    </row>
    <row r="308" spans="1:68">
      <c r="A308" t="s">
        <v>175</v>
      </c>
      <c r="B308" t="s">
        <v>176</v>
      </c>
      <c r="C308" s="197" t="str">
        <f t="shared" si="726"/>
        <v>Lifecycle_Balanced_237</v>
      </c>
      <c r="D308">
        <v>237</v>
      </c>
      <c r="E308">
        <f>VLOOKUP($D308,'[2]LC Balanced'!$Q$2:$U$542,2,FALSE)</f>
        <v>0</v>
      </c>
      <c r="F308">
        <f>VLOOKUP($D308,'[2]LC Balanced'!$Q$2:$U$542,3,FALSE)</f>
        <v>0.14899999999999999</v>
      </c>
      <c r="G308">
        <f>VLOOKUP($D308,'[2]LC Balanced'!$Q$2:$U$542,4,FALSE)</f>
        <v>0.85099999999999998</v>
      </c>
      <c r="H308">
        <f>VLOOKUP($D308,'[2]LC Balanced'!$Q$2:$U$542,5,FALSE)</f>
        <v>0</v>
      </c>
      <c r="I308" s="77">
        <f t="shared" si="670"/>
        <v>1</v>
      </c>
      <c r="J308" s="77">
        <f t="shared" si="671"/>
        <v>6.1987699999999986E-2</v>
      </c>
      <c r="K308" s="77">
        <f t="shared" si="661"/>
        <v>5.024442123284345E-3</v>
      </c>
      <c r="L308" s="76">
        <v>0</v>
      </c>
      <c r="M308" s="77">
        <f t="shared" si="677"/>
        <v>0</v>
      </c>
      <c r="N308" s="77">
        <f t="shared" si="678"/>
        <v>0</v>
      </c>
      <c r="O308" s="77">
        <f t="shared" si="679"/>
        <v>7.0062999999999992E-3</v>
      </c>
      <c r="P308" s="77">
        <f t="shared" si="680"/>
        <v>5.85741666996209E-4</v>
      </c>
      <c r="R308" t="s">
        <v>177</v>
      </c>
      <c r="S308" t="s">
        <v>176</v>
      </c>
      <c r="T308" s="197" t="str">
        <f t="shared" si="769"/>
        <v>Autopilot_Balanced_237</v>
      </c>
      <c r="U308">
        <v>237</v>
      </c>
      <c r="V308">
        <f>VLOOKUP($U308,'[2]AP Balanced'!$Q$1:$T$542,2,FALSE)</f>
        <v>0.77777777777777779</v>
      </c>
      <c r="W308">
        <f>VLOOKUP($U308,'[2]AP Balanced'!$Q$1:$T$542,3,FALSE)</f>
        <v>0.22222222222222221</v>
      </c>
      <c r="X308">
        <f>VLOOKUP($U308,'[2]AP Balanced'!$Q$1:$T$542,4,FALSE)</f>
        <v>0</v>
      </c>
      <c r="Y308" s="77">
        <f t="shared" si="727"/>
        <v>1</v>
      </c>
      <c r="Z308" s="77">
        <f t="shared" si="716"/>
        <v>6.1674999999999987E-2</v>
      </c>
      <c r="AA308" s="77">
        <f t="shared" si="717"/>
        <v>4.9997781870025904E-3</v>
      </c>
      <c r="AB308" s="79">
        <v>1</v>
      </c>
      <c r="AC308" s="77">
        <f t="shared" si="681"/>
        <v>8.0555555555555554E-3</v>
      </c>
      <c r="AD308" s="77">
        <f t="shared" si="672"/>
        <v>6.7378764057135498E-4</v>
      </c>
      <c r="AE308" s="77">
        <f t="shared" si="682"/>
        <v>2.5000000000000001E-3</v>
      </c>
      <c r="AF308" s="77">
        <f t="shared" si="672"/>
        <v>2.0857243058891584E-4</v>
      </c>
      <c r="AH308" t="s">
        <v>175</v>
      </c>
      <c r="AI308" t="s">
        <v>176</v>
      </c>
      <c r="AJ308" s="197" t="str">
        <f t="shared" si="728"/>
        <v>Lifecycle_Balanced_237</v>
      </c>
      <c r="AK308">
        <v>237</v>
      </c>
      <c r="AL308">
        <f>VLOOKUP($U308,[2]Standard_Balanced!$Q$1:$T$542,2,FALSE)</f>
        <v>0.77777777777777779</v>
      </c>
      <c r="AM308">
        <f>VLOOKUP($U308,[2]Standard_Balanced!$Q$1:$T$542,3,FALSE)</f>
        <v>0.22222222222222221</v>
      </c>
      <c r="AN308">
        <f>VLOOKUP($U308,[2]Standard_Balanced!$Q$1:$T$542,4,FALSE)</f>
        <v>0</v>
      </c>
      <c r="AO308" s="77">
        <f t="shared" si="658"/>
        <v>1</v>
      </c>
      <c r="AP308" s="77">
        <f t="shared" si="683"/>
        <v>6.1674999999999987E-2</v>
      </c>
      <c r="AQ308" s="77">
        <f t="shared" si="729"/>
        <v>4.9997781870025904E-3</v>
      </c>
      <c r="AR308" s="79">
        <v>0</v>
      </c>
      <c r="AS308" s="77">
        <f t="shared" si="684"/>
        <v>0</v>
      </c>
      <c r="AT308" s="77">
        <f t="shared" ref="AT308" si="790">1-(1-AS308)^(1/12)</f>
        <v>0</v>
      </c>
      <c r="AU308" s="77">
        <f t="shared" si="686"/>
        <v>2.5000000000000001E-3</v>
      </c>
      <c r="AV308" s="77">
        <f t="shared" ref="AV308" si="791">1-(1-AU308)^(1/12)</f>
        <v>2.0857243058891584E-4</v>
      </c>
      <c r="AX308" t="s">
        <v>178</v>
      </c>
      <c r="AY308" t="s">
        <v>160</v>
      </c>
      <c r="AZ308" s="197" t="str">
        <f t="shared" si="732"/>
        <v>DIS_Non-Standard_237</v>
      </c>
      <c r="BA308">
        <v>237</v>
      </c>
      <c r="BB308">
        <f>VLOOKUP($BA308,'[2]NonStandard DIS'!$Q$1:$X$542,2,FALSE)</f>
        <v>0</v>
      </c>
      <c r="BC308">
        <f>VLOOKUP($BA308,'[2]NonStandard DIS'!$Q$1:$X$542,3,FALSE)</f>
        <v>0</v>
      </c>
      <c r="BD308">
        <f>VLOOKUP($BA308,'[2]NonStandard DIS'!$Q$1:$X$542,4,FALSE)</f>
        <v>0.308</v>
      </c>
      <c r="BE308">
        <f>VLOOKUP($BA308,'[2]NonStandard DIS'!$Q$1:$X$542,5,FALSE)</f>
        <v>0.69199999999999995</v>
      </c>
      <c r="BF308">
        <f>VLOOKUP($BA308,'[2]NonStandard DIS'!$Q$1:$X$542,6,FALSE)</f>
        <v>0</v>
      </c>
      <c r="BG308">
        <f>VLOOKUP($BA308,'[2]NonStandard DIS'!$Q$1:$X$542,7,FALSE)</f>
        <v>0</v>
      </c>
      <c r="BH308">
        <f>VLOOKUP($BA308,'[2]NonStandard DIS'!$Q$1:$X$542,8,FALSE)</f>
        <v>0</v>
      </c>
      <c r="BI308" s="77">
        <f t="shared" si="675"/>
        <v>1</v>
      </c>
      <c r="BJ308" s="77">
        <f t="shared" si="676"/>
        <v>6.9728499999999985E-2</v>
      </c>
      <c r="BK308" s="77">
        <f t="shared" si="657"/>
        <v>5.632878498097682E-3</v>
      </c>
      <c r="BL308" s="79">
        <v>0</v>
      </c>
      <c r="BM308" s="77">
        <f t="shared" si="688"/>
        <v>0</v>
      </c>
      <c r="BN308" s="77">
        <f t="shared" si="689"/>
        <v>0</v>
      </c>
      <c r="BO308" s="77">
        <f t="shared" si="690"/>
        <v>5.6775999999999997E-3</v>
      </c>
      <c r="BP308" s="77">
        <f t="shared" si="691"/>
        <v>4.7190657760731725E-4</v>
      </c>
    </row>
    <row r="309" spans="1:68">
      <c r="A309" t="s">
        <v>175</v>
      </c>
      <c r="B309" t="s">
        <v>176</v>
      </c>
      <c r="C309" s="197" t="str">
        <f t="shared" si="726"/>
        <v>Lifecycle_Balanced_236</v>
      </c>
      <c r="D309">
        <v>236</v>
      </c>
      <c r="E309">
        <f>VLOOKUP($D309,'[2]LC Balanced'!$Q$2:$U$542,2,FALSE)</f>
        <v>0</v>
      </c>
      <c r="F309">
        <f>VLOOKUP($D309,'[2]LC Balanced'!$Q$2:$U$542,3,FALSE)</f>
        <v>0.14899999999999999</v>
      </c>
      <c r="G309">
        <f>VLOOKUP($D309,'[2]LC Balanced'!$Q$2:$U$542,4,FALSE)</f>
        <v>0.85099999999999998</v>
      </c>
      <c r="H309">
        <f>VLOOKUP($D309,'[2]LC Balanced'!$Q$2:$U$542,5,FALSE)</f>
        <v>0</v>
      </c>
      <c r="I309" s="77">
        <f t="shared" si="670"/>
        <v>1</v>
      </c>
      <c r="J309" s="77">
        <f t="shared" si="671"/>
        <v>6.1987699999999986E-2</v>
      </c>
      <c r="K309" s="77">
        <f t="shared" si="661"/>
        <v>5.024442123284345E-3</v>
      </c>
      <c r="L309" s="76">
        <v>0</v>
      </c>
      <c r="M309" s="77">
        <f t="shared" si="677"/>
        <v>0</v>
      </c>
      <c r="N309" s="77">
        <f t="shared" si="678"/>
        <v>0</v>
      </c>
      <c r="O309" s="77">
        <f t="shared" si="679"/>
        <v>7.0062999999999992E-3</v>
      </c>
      <c r="P309" s="77">
        <f t="shared" si="680"/>
        <v>5.85741666996209E-4</v>
      </c>
      <c r="R309" t="s">
        <v>177</v>
      </c>
      <c r="S309" t="s">
        <v>176</v>
      </c>
      <c r="T309" s="197" t="str">
        <f t="shared" si="769"/>
        <v>Autopilot_Balanced_236</v>
      </c>
      <c r="U309">
        <v>236</v>
      </c>
      <c r="V309">
        <f>VLOOKUP($U309,'[2]AP Balanced'!$Q$1:$T$542,2,FALSE)</f>
        <v>0.77777777777777779</v>
      </c>
      <c r="W309">
        <f>VLOOKUP($U309,'[2]AP Balanced'!$Q$1:$T$542,3,FALSE)</f>
        <v>0.22222222222222221</v>
      </c>
      <c r="X309">
        <f>VLOOKUP($U309,'[2]AP Balanced'!$Q$1:$T$542,4,FALSE)</f>
        <v>0</v>
      </c>
      <c r="Y309" s="77">
        <f t="shared" si="727"/>
        <v>1</v>
      </c>
      <c r="Z309" s="77">
        <f t="shared" si="716"/>
        <v>6.1674999999999987E-2</v>
      </c>
      <c r="AA309" s="77">
        <f t="shared" si="717"/>
        <v>4.9997781870025904E-3</v>
      </c>
      <c r="AB309" s="79">
        <v>1</v>
      </c>
      <c r="AC309" s="77">
        <f t="shared" si="681"/>
        <v>8.0555555555555554E-3</v>
      </c>
      <c r="AD309" s="77">
        <f t="shared" si="672"/>
        <v>6.7378764057135498E-4</v>
      </c>
      <c r="AE309" s="77">
        <f t="shared" si="682"/>
        <v>2.5000000000000001E-3</v>
      </c>
      <c r="AF309" s="77">
        <f t="shared" si="672"/>
        <v>2.0857243058891584E-4</v>
      </c>
      <c r="AH309" t="s">
        <v>175</v>
      </c>
      <c r="AI309" t="s">
        <v>176</v>
      </c>
      <c r="AJ309" s="197" t="str">
        <f t="shared" si="728"/>
        <v>Lifecycle_Balanced_236</v>
      </c>
      <c r="AK309">
        <v>236</v>
      </c>
      <c r="AL309">
        <f>VLOOKUP($U309,[2]Standard_Balanced!$Q$1:$T$542,2,FALSE)</f>
        <v>0.77777777777777779</v>
      </c>
      <c r="AM309">
        <f>VLOOKUP($U309,[2]Standard_Balanced!$Q$1:$T$542,3,FALSE)</f>
        <v>0.22222222222222221</v>
      </c>
      <c r="AN309">
        <f>VLOOKUP($U309,[2]Standard_Balanced!$Q$1:$T$542,4,FALSE)</f>
        <v>0</v>
      </c>
      <c r="AO309" s="77">
        <f t="shared" si="658"/>
        <v>1</v>
      </c>
      <c r="AP309" s="77">
        <f t="shared" si="683"/>
        <v>6.1674999999999987E-2</v>
      </c>
      <c r="AQ309" s="77">
        <f t="shared" si="729"/>
        <v>4.9997781870025904E-3</v>
      </c>
      <c r="AR309" s="79">
        <v>0</v>
      </c>
      <c r="AS309" s="77">
        <f t="shared" si="684"/>
        <v>0</v>
      </c>
      <c r="AT309" s="77">
        <f t="shared" ref="AT309" si="792">1-(1-AS309)^(1/12)</f>
        <v>0</v>
      </c>
      <c r="AU309" s="77">
        <f t="shared" si="686"/>
        <v>2.5000000000000001E-3</v>
      </c>
      <c r="AV309" s="77">
        <f t="shared" ref="AV309" si="793">1-(1-AU309)^(1/12)</f>
        <v>2.0857243058891584E-4</v>
      </c>
      <c r="AX309" t="s">
        <v>178</v>
      </c>
      <c r="AY309" t="s">
        <v>160</v>
      </c>
      <c r="AZ309" s="197" t="str">
        <f t="shared" si="732"/>
        <v>DIS_Non-Standard_236</v>
      </c>
      <c r="BA309">
        <v>236</v>
      </c>
      <c r="BB309">
        <f>VLOOKUP($BA309,'[2]NonStandard DIS'!$Q$1:$X$542,2,FALSE)</f>
        <v>0</v>
      </c>
      <c r="BC309">
        <f>VLOOKUP($BA309,'[2]NonStandard DIS'!$Q$1:$X$542,3,FALSE)</f>
        <v>0</v>
      </c>
      <c r="BD309">
        <f>VLOOKUP($BA309,'[2]NonStandard DIS'!$Q$1:$X$542,4,FALSE)</f>
        <v>0.308</v>
      </c>
      <c r="BE309">
        <f>VLOOKUP($BA309,'[2]NonStandard DIS'!$Q$1:$X$542,5,FALSE)</f>
        <v>0.69199999999999995</v>
      </c>
      <c r="BF309">
        <f>VLOOKUP($BA309,'[2]NonStandard DIS'!$Q$1:$X$542,6,FALSE)</f>
        <v>0</v>
      </c>
      <c r="BG309">
        <f>VLOOKUP($BA309,'[2]NonStandard DIS'!$Q$1:$X$542,7,FALSE)</f>
        <v>0</v>
      </c>
      <c r="BH309">
        <f>VLOOKUP($BA309,'[2]NonStandard DIS'!$Q$1:$X$542,8,FALSE)</f>
        <v>0</v>
      </c>
      <c r="BI309" s="77">
        <f t="shared" si="675"/>
        <v>1</v>
      </c>
      <c r="BJ309" s="77">
        <f t="shared" si="676"/>
        <v>6.9728499999999985E-2</v>
      </c>
      <c r="BK309" s="77">
        <f t="shared" si="657"/>
        <v>5.632878498097682E-3</v>
      </c>
      <c r="BL309" s="79">
        <v>0</v>
      </c>
      <c r="BM309" s="77">
        <f t="shared" si="688"/>
        <v>0</v>
      </c>
      <c r="BN309" s="77">
        <f t="shared" si="689"/>
        <v>0</v>
      </c>
      <c r="BO309" s="77">
        <f t="shared" si="690"/>
        <v>5.6775999999999997E-3</v>
      </c>
      <c r="BP309" s="77">
        <f t="shared" si="691"/>
        <v>4.7190657760731725E-4</v>
      </c>
    </row>
    <row r="310" spans="1:68">
      <c r="A310" t="s">
        <v>175</v>
      </c>
      <c r="B310" t="s">
        <v>176</v>
      </c>
      <c r="C310" s="197" t="str">
        <f t="shared" si="726"/>
        <v>Lifecycle_Balanced_235</v>
      </c>
      <c r="D310">
        <v>235</v>
      </c>
      <c r="E310">
        <f>VLOOKUP($D310,'[2]LC Balanced'!$Q$2:$U$542,2,FALSE)</f>
        <v>0</v>
      </c>
      <c r="F310">
        <f>VLOOKUP($D310,'[2]LC Balanced'!$Q$2:$U$542,3,FALSE)</f>
        <v>0.14899999999999999</v>
      </c>
      <c r="G310">
        <f>VLOOKUP($D310,'[2]LC Balanced'!$Q$2:$U$542,4,FALSE)</f>
        <v>0.85099999999999998</v>
      </c>
      <c r="H310">
        <f>VLOOKUP($D310,'[2]LC Balanced'!$Q$2:$U$542,5,FALSE)</f>
        <v>0</v>
      </c>
      <c r="I310" s="77">
        <f t="shared" si="670"/>
        <v>1</v>
      </c>
      <c r="J310" s="77">
        <f t="shared" si="671"/>
        <v>6.1987699999999986E-2</v>
      </c>
      <c r="K310" s="77">
        <f t="shared" si="661"/>
        <v>5.024442123284345E-3</v>
      </c>
      <c r="L310" s="76">
        <v>0</v>
      </c>
      <c r="M310" s="77">
        <f t="shared" si="677"/>
        <v>0</v>
      </c>
      <c r="N310" s="77">
        <f t="shared" si="678"/>
        <v>0</v>
      </c>
      <c r="O310" s="77">
        <f t="shared" si="679"/>
        <v>7.0062999999999992E-3</v>
      </c>
      <c r="P310" s="77">
        <f t="shared" si="680"/>
        <v>5.85741666996209E-4</v>
      </c>
      <c r="R310" t="s">
        <v>177</v>
      </c>
      <c r="S310" t="s">
        <v>176</v>
      </c>
      <c r="T310" s="197" t="str">
        <f t="shared" si="769"/>
        <v>Autopilot_Balanced_235</v>
      </c>
      <c r="U310">
        <v>235</v>
      </c>
      <c r="V310">
        <f>VLOOKUP($U310,'[2]AP Balanced'!$Q$1:$T$542,2,FALSE)</f>
        <v>0.77777777777777779</v>
      </c>
      <c r="W310">
        <f>VLOOKUP($U310,'[2]AP Balanced'!$Q$1:$T$542,3,FALSE)</f>
        <v>0.22222222222222221</v>
      </c>
      <c r="X310">
        <f>VLOOKUP($U310,'[2]AP Balanced'!$Q$1:$T$542,4,FALSE)</f>
        <v>0</v>
      </c>
      <c r="Y310" s="77">
        <f t="shared" si="727"/>
        <v>1</v>
      </c>
      <c r="Z310" s="77">
        <f t="shared" si="716"/>
        <v>6.1674999999999987E-2</v>
      </c>
      <c r="AA310" s="77">
        <f t="shared" si="717"/>
        <v>4.9997781870025904E-3</v>
      </c>
      <c r="AB310" s="79">
        <v>1</v>
      </c>
      <c r="AC310" s="77">
        <f t="shared" si="681"/>
        <v>8.0555555555555554E-3</v>
      </c>
      <c r="AD310" s="77">
        <f t="shared" si="672"/>
        <v>6.7378764057135498E-4</v>
      </c>
      <c r="AE310" s="77">
        <f t="shared" si="682"/>
        <v>2.5000000000000001E-3</v>
      </c>
      <c r="AF310" s="77">
        <f t="shared" si="672"/>
        <v>2.0857243058891584E-4</v>
      </c>
      <c r="AH310" t="s">
        <v>175</v>
      </c>
      <c r="AI310" t="s">
        <v>176</v>
      </c>
      <c r="AJ310" s="197" t="str">
        <f t="shared" si="728"/>
        <v>Lifecycle_Balanced_235</v>
      </c>
      <c r="AK310">
        <v>235</v>
      </c>
      <c r="AL310">
        <f>VLOOKUP($U310,[2]Standard_Balanced!$Q$1:$T$542,2,FALSE)</f>
        <v>0.77777777777777779</v>
      </c>
      <c r="AM310">
        <f>VLOOKUP($U310,[2]Standard_Balanced!$Q$1:$T$542,3,FALSE)</f>
        <v>0.22222222222222221</v>
      </c>
      <c r="AN310">
        <f>VLOOKUP($U310,[2]Standard_Balanced!$Q$1:$T$542,4,FALSE)</f>
        <v>0</v>
      </c>
      <c r="AO310" s="77">
        <f t="shared" si="658"/>
        <v>1</v>
      </c>
      <c r="AP310" s="77">
        <f t="shared" si="683"/>
        <v>6.1674999999999987E-2</v>
      </c>
      <c r="AQ310" s="77">
        <f t="shared" si="729"/>
        <v>4.9997781870025904E-3</v>
      </c>
      <c r="AR310" s="79">
        <v>0</v>
      </c>
      <c r="AS310" s="77">
        <f t="shared" si="684"/>
        <v>0</v>
      </c>
      <c r="AT310" s="77">
        <f t="shared" ref="AT310" si="794">1-(1-AS310)^(1/12)</f>
        <v>0</v>
      </c>
      <c r="AU310" s="77">
        <f t="shared" si="686"/>
        <v>2.5000000000000001E-3</v>
      </c>
      <c r="AV310" s="77">
        <f t="shared" ref="AV310" si="795">1-(1-AU310)^(1/12)</f>
        <v>2.0857243058891584E-4</v>
      </c>
      <c r="AX310" t="s">
        <v>178</v>
      </c>
      <c r="AY310" t="s">
        <v>160</v>
      </c>
      <c r="AZ310" s="197" t="str">
        <f t="shared" si="732"/>
        <v>DIS_Non-Standard_235</v>
      </c>
      <c r="BA310">
        <v>235</v>
      </c>
      <c r="BB310">
        <f>VLOOKUP($BA310,'[2]NonStandard DIS'!$Q$1:$X$542,2,FALSE)</f>
        <v>0</v>
      </c>
      <c r="BC310">
        <f>VLOOKUP($BA310,'[2]NonStandard DIS'!$Q$1:$X$542,3,FALSE)</f>
        <v>0</v>
      </c>
      <c r="BD310">
        <f>VLOOKUP($BA310,'[2]NonStandard DIS'!$Q$1:$X$542,4,FALSE)</f>
        <v>0.308</v>
      </c>
      <c r="BE310">
        <f>VLOOKUP($BA310,'[2]NonStandard DIS'!$Q$1:$X$542,5,FALSE)</f>
        <v>0.69199999999999995</v>
      </c>
      <c r="BF310">
        <f>VLOOKUP($BA310,'[2]NonStandard DIS'!$Q$1:$X$542,6,FALSE)</f>
        <v>0</v>
      </c>
      <c r="BG310">
        <f>VLOOKUP($BA310,'[2]NonStandard DIS'!$Q$1:$X$542,7,FALSE)</f>
        <v>0</v>
      </c>
      <c r="BH310">
        <f>VLOOKUP($BA310,'[2]NonStandard DIS'!$Q$1:$X$542,8,FALSE)</f>
        <v>0</v>
      </c>
      <c r="BI310" s="77">
        <f t="shared" si="675"/>
        <v>1</v>
      </c>
      <c r="BJ310" s="77">
        <f t="shared" si="676"/>
        <v>6.9728499999999985E-2</v>
      </c>
      <c r="BK310" s="77">
        <f t="shared" si="657"/>
        <v>5.632878498097682E-3</v>
      </c>
      <c r="BL310" s="79">
        <v>0</v>
      </c>
      <c r="BM310" s="77">
        <f t="shared" si="688"/>
        <v>0</v>
      </c>
      <c r="BN310" s="77">
        <f t="shared" si="689"/>
        <v>0</v>
      </c>
      <c r="BO310" s="77">
        <f t="shared" si="690"/>
        <v>5.6775999999999997E-3</v>
      </c>
      <c r="BP310" s="77">
        <f t="shared" si="691"/>
        <v>4.7190657760731725E-4</v>
      </c>
    </row>
    <row r="311" spans="1:68">
      <c r="A311" t="s">
        <v>175</v>
      </c>
      <c r="B311" t="s">
        <v>176</v>
      </c>
      <c r="C311" s="197" t="str">
        <f t="shared" si="726"/>
        <v>Lifecycle_Balanced_234</v>
      </c>
      <c r="D311">
        <v>234</v>
      </c>
      <c r="E311">
        <f>VLOOKUP($D311,'[2]LC Balanced'!$Q$2:$U$542,2,FALSE)</f>
        <v>0</v>
      </c>
      <c r="F311">
        <f>VLOOKUP($D311,'[2]LC Balanced'!$Q$2:$U$542,3,FALSE)</f>
        <v>0.14899999999999999</v>
      </c>
      <c r="G311">
        <f>VLOOKUP($D311,'[2]LC Balanced'!$Q$2:$U$542,4,FALSE)</f>
        <v>0.85099999999999998</v>
      </c>
      <c r="H311">
        <f>VLOOKUP($D311,'[2]LC Balanced'!$Q$2:$U$542,5,FALSE)</f>
        <v>0</v>
      </c>
      <c r="I311" s="77">
        <f t="shared" si="670"/>
        <v>1</v>
      </c>
      <c r="J311" s="77">
        <f t="shared" si="671"/>
        <v>6.1987699999999986E-2</v>
      </c>
      <c r="K311" s="77">
        <f t="shared" si="661"/>
        <v>5.024442123284345E-3</v>
      </c>
      <c r="L311" s="76">
        <v>0</v>
      </c>
      <c r="M311" s="77">
        <f t="shared" si="677"/>
        <v>0</v>
      </c>
      <c r="N311" s="77">
        <f t="shared" si="678"/>
        <v>0</v>
      </c>
      <c r="O311" s="77">
        <f t="shared" si="679"/>
        <v>7.0062999999999992E-3</v>
      </c>
      <c r="P311" s="77">
        <f t="shared" si="680"/>
        <v>5.85741666996209E-4</v>
      </c>
      <c r="R311" t="s">
        <v>177</v>
      </c>
      <c r="S311" t="s">
        <v>176</v>
      </c>
      <c r="T311" s="197" t="str">
        <f t="shared" si="769"/>
        <v>Autopilot_Balanced_234</v>
      </c>
      <c r="U311">
        <v>234</v>
      </c>
      <c r="V311">
        <f>VLOOKUP($U311,'[2]AP Balanced'!$Q$1:$T$542,2,FALSE)</f>
        <v>0.77777777777777779</v>
      </c>
      <c r="W311">
        <f>VLOOKUP($U311,'[2]AP Balanced'!$Q$1:$T$542,3,FALSE)</f>
        <v>0.22222222222222221</v>
      </c>
      <c r="X311">
        <f>VLOOKUP($U311,'[2]AP Balanced'!$Q$1:$T$542,4,FALSE)</f>
        <v>0</v>
      </c>
      <c r="Y311" s="77">
        <f t="shared" si="727"/>
        <v>1</v>
      </c>
      <c r="Z311" s="77">
        <f t="shared" si="716"/>
        <v>6.1674999999999987E-2</v>
      </c>
      <c r="AA311" s="77">
        <f t="shared" si="717"/>
        <v>4.9997781870025904E-3</v>
      </c>
      <c r="AB311" s="79">
        <v>1</v>
      </c>
      <c r="AC311" s="77">
        <f t="shared" si="681"/>
        <v>8.0555555555555554E-3</v>
      </c>
      <c r="AD311" s="77">
        <f t="shared" si="672"/>
        <v>6.7378764057135498E-4</v>
      </c>
      <c r="AE311" s="77">
        <f t="shared" si="682"/>
        <v>2.5000000000000001E-3</v>
      </c>
      <c r="AF311" s="77">
        <f t="shared" si="672"/>
        <v>2.0857243058891584E-4</v>
      </c>
      <c r="AH311" t="s">
        <v>175</v>
      </c>
      <c r="AI311" t="s">
        <v>176</v>
      </c>
      <c r="AJ311" s="197" t="str">
        <f t="shared" si="728"/>
        <v>Lifecycle_Balanced_234</v>
      </c>
      <c r="AK311">
        <v>234</v>
      </c>
      <c r="AL311">
        <f>VLOOKUP($U311,[2]Standard_Balanced!$Q$1:$T$542,2,FALSE)</f>
        <v>0.77777777777777779</v>
      </c>
      <c r="AM311">
        <f>VLOOKUP($U311,[2]Standard_Balanced!$Q$1:$T$542,3,FALSE)</f>
        <v>0.22222222222222221</v>
      </c>
      <c r="AN311">
        <f>VLOOKUP($U311,[2]Standard_Balanced!$Q$1:$T$542,4,FALSE)</f>
        <v>0</v>
      </c>
      <c r="AO311" s="77">
        <f t="shared" si="658"/>
        <v>1</v>
      </c>
      <c r="AP311" s="77">
        <f t="shared" si="683"/>
        <v>6.1674999999999987E-2</v>
      </c>
      <c r="AQ311" s="77">
        <f t="shared" si="729"/>
        <v>4.9997781870025904E-3</v>
      </c>
      <c r="AR311" s="79">
        <v>0</v>
      </c>
      <c r="AS311" s="77">
        <f t="shared" si="684"/>
        <v>0</v>
      </c>
      <c r="AT311" s="77">
        <f t="shared" ref="AT311" si="796">1-(1-AS311)^(1/12)</f>
        <v>0</v>
      </c>
      <c r="AU311" s="77">
        <f t="shared" si="686"/>
        <v>2.5000000000000001E-3</v>
      </c>
      <c r="AV311" s="77">
        <f t="shared" ref="AV311" si="797">1-(1-AU311)^(1/12)</f>
        <v>2.0857243058891584E-4</v>
      </c>
      <c r="AX311" t="s">
        <v>178</v>
      </c>
      <c r="AY311" t="s">
        <v>160</v>
      </c>
      <c r="AZ311" s="197" t="str">
        <f t="shared" si="732"/>
        <v>DIS_Non-Standard_234</v>
      </c>
      <c r="BA311">
        <v>234</v>
      </c>
      <c r="BB311">
        <f>VLOOKUP($BA311,'[2]NonStandard DIS'!$Q$1:$X$542,2,FALSE)</f>
        <v>0</v>
      </c>
      <c r="BC311">
        <f>VLOOKUP($BA311,'[2]NonStandard DIS'!$Q$1:$X$542,3,FALSE)</f>
        <v>0</v>
      </c>
      <c r="BD311">
        <f>VLOOKUP($BA311,'[2]NonStandard DIS'!$Q$1:$X$542,4,FALSE)</f>
        <v>0.308</v>
      </c>
      <c r="BE311">
        <f>VLOOKUP($BA311,'[2]NonStandard DIS'!$Q$1:$X$542,5,FALSE)</f>
        <v>0.69199999999999995</v>
      </c>
      <c r="BF311">
        <f>VLOOKUP($BA311,'[2]NonStandard DIS'!$Q$1:$X$542,6,FALSE)</f>
        <v>0</v>
      </c>
      <c r="BG311">
        <f>VLOOKUP($BA311,'[2]NonStandard DIS'!$Q$1:$X$542,7,FALSE)</f>
        <v>0</v>
      </c>
      <c r="BH311">
        <f>VLOOKUP($BA311,'[2]NonStandard DIS'!$Q$1:$X$542,8,FALSE)</f>
        <v>0</v>
      </c>
      <c r="BI311" s="77">
        <f t="shared" si="675"/>
        <v>1</v>
      </c>
      <c r="BJ311" s="77">
        <f t="shared" si="676"/>
        <v>6.9728499999999985E-2</v>
      </c>
      <c r="BK311" s="77">
        <f t="shared" si="657"/>
        <v>5.632878498097682E-3</v>
      </c>
      <c r="BL311" s="79">
        <v>0</v>
      </c>
      <c r="BM311" s="77">
        <f t="shared" si="688"/>
        <v>0</v>
      </c>
      <c r="BN311" s="77">
        <f t="shared" si="689"/>
        <v>0</v>
      </c>
      <c r="BO311" s="77">
        <f t="shared" si="690"/>
        <v>5.6775999999999997E-3</v>
      </c>
      <c r="BP311" s="77">
        <f t="shared" si="691"/>
        <v>4.7190657760731725E-4</v>
      </c>
    </row>
    <row r="312" spans="1:68">
      <c r="A312" t="s">
        <v>175</v>
      </c>
      <c r="B312" t="s">
        <v>176</v>
      </c>
      <c r="C312" s="197" t="str">
        <f t="shared" si="726"/>
        <v>Lifecycle_Balanced_233</v>
      </c>
      <c r="D312">
        <v>233</v>
      </c>
      <c r="E312">
        <f>VLOOKUP($D312,'[2]LC Balanced'!$Q$2:$U$542,2,FALSE)</f>
        <v>0</v>
      </c>
      <c r="F312">
        <f>VLOOKUP($D312,'[2]LC Balanced'!$Q$2:$U$542,3,FALSE)</f>
        <v>0.14899999999999999</v>
      </c>
      <c r="G312">
        <f>VLOOKUP($D312,'[2]LC Balanced'!$Q$2:$U$542,4,FALSE)</f>
        <v>0.85099999999999998</v>
      </c>
      <c r="H312">
        <f>VLOOKUP($D312,'[2]LC Balanced'!$Q$2:$U$542,5,FALSE)</f>
        <v>0</v>
      </c>
      <c r="I312" s="77">
        <f t="shared" si="670"/>
        <v>1</v>
      </c>
      <c r="J312" s="77">
        <f t="shared" si="671"/>
        <v>6.1987699999999986E-2</v>
      </c>
      <c r="K312" s="77">
        <f t="shared" si="661"/>
        <v>5.024442123284345E-3</v>
      </c>
      <c r="L312" s="76">
        <v>0</v>
      </c>
      <c r="M312" s="77">
        <f t="shared" si="677"/>
        <v>0</v>
      </c>
      <c r="N312" s="77">
        <f t="shared" si="678"/>
        <v>0</v>
      </c>
      <c r="O312" s="77">
        <f t="shared" si="679"/>
        <v>7.0062999999999992E-3</v>
      </c>
      <c r="P312" s="77">
        <f t="shared" si="680"/>
        <v>5.85741666996209E-4</v>
      </c>
      <c r="R312" t="s">
        <v>177</v>
      </c>
      <c r="S312" t="s">
        <v>176</v>
      </c>
      <c r="T312" s="197" t="str">
        <f t="shared" si="769"/>
        <v>Autopilot_Balanced_233</v>
      </c>
      <c r="U312">
        <v>233</v>
      </c>
      <c r="V312">
        <f>VLOOKUP($U312,'[2]AP Balanced'!$Q$1:$T$542,2,FALSE)</f>
        <v>0.77777777777777779</v>
      </c>
      <c r="W312">
        <f>VLOOKUP($U312,'[2]AP Balanced'!$Q$1:$T$542,3,FALSE)</f>
        <v>0.22222222222222221</v>
      </c>
      <c r="X312">
        <f>VLOOKUP($U312,'[2]AP Balanced'!$Q$1:$T$542,4,FALSE)</f>
        <v>0</v>
      </c>
      <c r="Y312" s="77">
        <f t="shared" si="727"/>
        <v>1</v>
      </c>
      <c r="Z312" s="77">
        <f t="shared" si="716"/>
        <v>6.1674999999999987E-2</v>
      </c>
      <c r="AA312" s="77">
        <f t="shared" si="717"/>
        <v>4.9997781870025904E-3</v>
      </c>
      <c r="AB312" s="79">
        <v>1</v>
      </c>
      <c r="AC312" s="77">
        <f t="shared" si="681"/>
        <v>8.0555555555555554E-3</v>
      </c>
      <c r="AD312" s="77">
        <f t="shared" si="672"/>
        <v>6.7378764057135498E-4</v>
      </c>
      <c r="AE312" s="77">
        <f t="shared" si="682"/>
        <v>2.5000000000000001E-3</v>
      </c>
      <c r="AF312" s="77">
        <f t="shared" si="672"/>
        <v>2.0857243058891584E-4</v>
      </c>
      <c r="AH312" t="s">
        <v>175</v>
      </c>
      <c r="AI312" t="s">
        <v>176</v>
      </c>
      <c r="AJ312" s="197" t="str">
        <f t="shared" si="728"/>
        <v>Lifecycle_Balanced_233</v>
      </c>
      <c r="AK312">
        <v>233</v>
      </c>
      <c r="AL312">
        <f>VLOOKUP($U312,[2]Standard_Balanced!$Q$1:$T$542,2,FALSE)</f>
        <v>0.77777777777777779</v>
      </c>
      <c r="AM312">
        <f>VLOOKUP($U312,[2]Standard_Balanced!$Q$1:$T$542,3,FALSE)</f>
        <v>0.22222222222222221</v>
      </c>
      <c r="AN312">
        <f>VLOOKUP($U312,[2]Standard_Balanced!$Q$1:$T$542,4,FALSE)</f>
        <v>0</v>
      </c>
      <c r="AO312" s="77">
        <f t="shared" si="658"/>
        <v>1</v>
      </c>
      <c r="AP312" s="77">
        <f t="shared" si="683"/>
        <v>6.1674999999999987E-2</v>
      </c>
      <c r="AQ312" s="77">
        <f t="shared" si="729"/>
        <v>4.9997781870025904E-3</v>
      </c>
      <c r="AR312" s="79">
        <v>0</v>
      </c>
      <c r="AS312" s="77">
        <f t="shared" si="684"/>
        <v>0</v>
      </c>
      <c r="AT312" s="77">
        <f t="shared" ref="AT312" si="798">1-(1-AS312)^(1/12)</f>
        <v>0</v>
      </c>
      <c r="AU312" s="77">
        <f t="shared" si="686"/>
        <v>2.5000000000000001E-3</v>
      </c>
      <c r="AV312" s="77">
        <f t="shared" ref="AV312" si="799">1-(1-AU312)^(1/12)</f>
        <v>2.0857243058891584E-4</v>
      </c>
      <c r="AX312" t="s">
        <v>178</v>
      </c>
      <c r="AY312" t="s">
        <v>160</v>
      </c>
      <c r="AZ312" s="197" t="str">
        <f t="shared" si="732"/>
        <v>DIS_Non-Standard_233</v>
      </c>
      <c r="BA312">
        <v>233</v>
      </c>
      <c r="BB312">
        <f>VLOOKUP($BA312,'[2]NonStandard DIS'!$Q$1:$X$542,2,FALSE)</f>
        <v>0</v>
      </c>
      <c r="BC312">
        <f>VLOOKUP($BA312,'[2]NonStandard DIS'!$Q$1:$X$542,3,FALSE)</f>
        <v>0</v>
      </c>
      <c r="BD312">
        <f>VLOOKUP($BA312,'[2]NonStandard DIS'!$Q$1:$X$542,4,FALSE)</f>
        <v>0.308</v>
      </c>
      <c r="BE312">
        <f>VLOOKUP($BA312,'[2]NonStandard DIS'!$Q$1:$X$542,5,FALSE)</f>
        <v>0.69199999999999995</v>
      </c>
      <c r="BF312">
        <f>VLOOKUP($BA312,'[2]NonStandard DIS'!$Q$1:$X$542,6,FALSE)</f>
        <v>0</v>
      </c>
      <c r="BG312">
        <f>VLOOKUP($BA312,'[2]NonStandard DIS'!$Q$1:$X$542,7,FALSE)</f>
        <v>0</v>
      </c>
      <c r="BH312">
        <f>VLOOKUP($BA312,'[2]NonStandard DIS'!$Q$1:$X$542,8,FALSE)</f>
        <v>0</v>
      </c>
      <c r="BI312" s="77">
        <f t="shared" si="675"/>
        <v>1</v>
      </c>
      <c r="BJ312" s="77">
        <f t="shared" si="676"/>
        <v>6.9728499999999985E-2</v>
      </c>
      <c r="BK312" s="77">
        <f t="shared" si="657"/>
        <v>5.632878498097682E-3</v>
      </c>
      <c r="BL312" s="79">
        <v>0</v>
      </c>
      <c r="BM312" s="77">
        <f t="shared" si="688"/>
        <v>0</v>
      </c>
      <c r="BN312" s="77">
        <f t="shared" si="689"/>
        <v>0</v>
      </c>
      <c r="BO312" s="77">
        <f t="shared" si="690"/>
        <v>5.6775999999999997E-3</v>
      </c>
      <c r="BP312" s="77">
        <f t="shared" si="691"/>
        <v>4.7190657760731725E-4</v>
      </c>
    </row>
    <row r="313" spans="1:68">
      <c r="A313" t="s">
        <v>175</v>
      </c>
      <c r="B313" t="s">
        <v>176</v>
      </c>
      <c r="C313" s="197" t="str">
        <f t="shared" si="726"/>
        <v>Lifecycle_Balanced_232</v>
      </c>
      <c r="D313">
        <v>232</v>
      </c>
      <c r="E313">
        <f>VLOOKUP($D313,'[2]LC Balanced'!$Q$2:$U$542,2,FALSE)</f>
        <v>0</v>
      </c>
      <c r="F313">
        <f>VLOOKUP($D313,'[2]LC Balanced'!$Q$2:$U$542,3,FALSE)</f>
        <v>0.14899999999999999</v>
      </c>
      <c r="G313">
        <f>VLOOKUP($D313,'[2]LC Balanced'!$Q$2:$U$542,4,FALSE)</f>
        <v>0.85099999999999998</v>
      </c>
      <c r="H313">
        <f>VLOOKUP($D313,'[2]LC Balanced'!$Q$2:$U$542,5,FALSE)</f>
        <v>0</v>
      </c>
      <c r="I313" s="77">
        <f t="shared" si="670"/>
        <v>1</v>
      </c>
      <c r="J313" s="77">
        <f t="shared" si="671"/>
        <v>6.1987699999999986E-2</v>
      </c>
      <c r="K313" s="77">
        <f t="shared" si="661"/>
        <v>5.024442123284345E-3</v>
      </c>
      <c r="L313" s="76">
        <v>0</v>
      </c>
      <c r="M313" s="77">
        <f t="shared" si="677"/>
        <v>0</v>
      </c>
      <c r="N313" s="77">
        <f t="shared" si="678"/>
        <v>0</v>
      </c>
      <c r="O313" s="77">
        <f t="shared" si="679"/>
        <v>7.0062999999999992E-3</v>
      </c>
      <c r="P313" s="77">
        <f t="shared" si="680"/>
        <v>5.85741666996209E-4</v>
      </c>
      <c r="R313" t="s">
        <v>177</v>
      </c>
      <c r="S313" t="s">
        <v>176</v>
      </c>
      <c r="T313" s="197" t="str">
        <f t="shared" si="769"/>
        <v>Autopilot_Balanced_232</v>
      </c>
      <c r="U313">
        <v>232</v>
      </c>
      <c r="V313">
        <f>VLOOKUP($U313,'[2]AP Balanced'!$Q$1:$T$542,2,FALSE)</f>
        <v>0.77777777777777779</v>
      </c>
      <c r="W313">
        <f>VLOOKUP($U313,'[2]AP Balanced'!$Q$1:$T$542,3,FALSE)</f>
        <v>0.22222222222222221</v>
      </c>
      <c r="X313">
        <f>VLOOKUP($U313,'[2]AP Balanced'!$Q$1:$T$542,4,FALSE)</f>
        <v>0</v>
      </c>
      <c r="Y313" s="77">
        <f t="shared" si="727"/>
        <v>1</v>
      </c>
      <c r="Z313" s="77">
        <f t="shared" si="716"/>
        <v>6.1674999999999987E-2</v>
      </c>
      <c r="AA313" s="77">
        <f t="shared" si="717"/>
        <v>4.9997781870025904E-3</v>
      </c>
      <c r="AB313" s="79">
        <v>1</v>
      </c>
      <c r="AC313" s="77">
        <f t="shared" si="681"/>
        <v>8.0555555555555554E-3</v>
      </c>
      <c r="AD313" s="77">
        <f t="shared" si="672"/>
        <v>6.7378764057135498E-4</v>
      </c>
      <c r="AE313" s="77">
        <f t="shared" si="682"/>
        <v>2.5000000000000001E-3</v>
      </c>
      <c r="AF313" s="77">
        <f t="shared" si="672"/>
        <v>2.0857243058891584E-4</v>
      </c>
      <c r="AH313" t="s">
        <v>175</v>
      </c>
      <c r="AI313" t="s">
        <v>176</v>
      </c>
      <c r="AJ313" s="197" t="str">
        <f t="shared" si="728"/>
        <v>Lifecycle_Balanced_232</v>
      </c>
      <c r="AK313">
        <v>232</v>
      </c>
      <c r="AL313">
        <f>VLOOKUP($U313,[2]Standard_Balanced!$Q$1:$T$542,2,FALSE)</f>
        <v>0.77777777777777779</v>
      </c>
      <c r="AM313">
        <f>VLOOKUP($U313,[2]Standard_Balanced!$Q$1:$T$542,3,FALSE)</f>
        <v>0.22222222222222221</v>
      </c>
      <c r="AN313">
        <f>VLOOKUP($U313,[2]Standard_Balanced!$Q$1:$T$542,4,FALSE)</f>
        <v>0</v>
      </c>
      <c r="AO313" s="77">
        <f t="shared" si="658"/>
        <v>1</v>
      </c>
      <c r="AP313" s="77">
        <f t="shared" si="683"/>
        <v>6.1674999999999987E-2</v>
      </c>
      <c r="AQ313" s="77">
        <f t="shared" si="729"/>
        <v>4.9997781870025904E-3</v>
      </c>
      <c r="AR313" s="79">
        <v>0</v>
      </c>
      <c r="AS313" s="77">
        <f t="shared" si="684"/>
        <v>0</v>
      </c>
      <c r="AT313" s="77">
        <f t="shared" ref="AT313" si="800">1-(1-AS313)^(1/12)</f>
        <v>0</v>
      </c>
      <c r="AU313" s="77">
        <f t="shared" si="686"/>
        <v>2.5000000000000001E-3</v>
      </c>
      <c r="AV313" s="77">
        <f t="shared" ref="AV313" si="801">1-(1-AU313)^(1/12)</f>
        <v>2.0857243058891584E-4</v>
      </c>
      <c r="AX313" t="s">
        <v>178</v>
      </c>
      <c r="AY313" t="s">
        <v>160</v>
      </c>
      <c r="AZ313" s="197" t="str">
        <f t="shared" si="732"/>
        <v>DIS_Non-Standard_232</v>
      </c>
      <c r="BA313">
        <v>232</v>
      </c>
      <c r="BB313">
        <f>VLOOKUP($BA313,'[2]NonStandard DIS'!$Q$1:$X$542,2,FALSE)</f>
        <v>0</v>
      </c>
      <c r="BC313">
        <f>VLOOKUP($BA313,'[2]NonStandard DIS'!$Q$1:$X$542,3,FALSE)</f>
        <v>0</v>
      </c>
      <c r="BD313">
        <f>VLOOKUP($BA313,'[2]NonStandard DIS'!$Q$1:$X$542,4,FALSE)</f>
        <v>0.308</v>
      </c>
      <c r="BE313">
        <f>VLOOKUP($BA313,'[2]NonStandard DIS'!$Q$1:$X$542,5,FALSE)</f>
        <v>0.69199999999999995</v>
      </c>
      <c r="BF313">
        <f>VLOOKUP($BA313,'[2]NonStandard DIS'!$Q$1:$X$542,6,FALSE)</f>
        <v>0</v>
      </c>
      <c r="BG313">
        <f>VLOOKUP($BA313,'[2]NonStandard DIS'!$Q$1:$X$542,7,FALSE)</f>
        <v>0</v>
      </c>
      <c r="BH313">
        <f>VLOOKUP($BA313,'[2]NonStandard DIS'!$Q$1:$X$542,8,FALSE)</f>
        <v>0</v>
      </c>
      <c r="BI313" s="77">
        <f t="shared" si="675"/>
        <v>1</v>
      </c>
      <c r="BJ313" s="77">
        <f t="shared" si="676"/>
        <v>6.9728499999999985E-2</v>
      </c>
      <c r="BK313" s="77">
        <f t="shared" si="657"/>
        <v>5.632878498097682E-3</v>
      </c>
      <c r="BL313" s="79">
        <v>0</v>
      </c>
      <c r="BM313" s="77">
        <f t="shared" si="688"/>
        <v>0</v>
      </c>
      <c r="BN313" s="77">
        <f t="shared" si="689"/>
        <v>0</v>
      </c>
      <c r="BO313" s="77">
        <f t="shared" si="690"/>
        <v>5.6775999999999997E-3</v>
      </c>
      <c r="BP313" s="77">
        <f t="shared" si="691"/>
        <v>4.7190657760731725E-4</v>
      </c>
    </row>
    <row r="314" spans="1:68">
      <c r="A314" t="s">
        <v>175</v>
      </c>
      <c r="B314" t="s">
        <v>176</v>
      </c>
      <c r="C314" s="197" t="str">
        <f t="shared" si="726"/>
        <v>Lifecycle_Balanced_231</v>
      </c>
      <c r="D314">
        <v>231</v>
      </c>
      <c r="E314">
        <f>VLOOKUP($D314,'[2]LC Balanced'!$Q$2:$U$542,2,FALSE)</f>
        <v>0</v>
      </c>
      <c r="F314">
        <f>VLOOKUP($D314,'[2]LC Balanced'!$Q$2:$U$542,3,FALSE)</f>
        <v>0.14899999999999999</v>
      </c>
      <c r="G314">
        <f>VLOOKUP($D314,'[2]LC Balanced'!$Q$2:$U$542,4,FALSE)</f>
        <v>0.85099999999999998</v>
      </c>
      <c r="H314">
        <f>VLOOKUP($D314,'[2]LC Balanced'!$Q$2:$U$542,5,FALSE)</f>
        <v>0</v>
      </c>
      <c r="I314" s="77">
        <f t="shared" si="670"/>
        <v>1</v>
      </c>
      <c r="J314" s="77">
        <f t="shared" si="671"/>
        <v>6.1987699999999986E-2</v>
      </c>
      <c r="K314" s="77">
        <f t="shared" si="661"/>
        <v>5.024442123284345E-3</v>
      </c>
      <c r="L314" s="76">
        <v>0</v>
      </c>
      <c r="M314" s="77">
        <f t="shared" si="677"/>
        <v>0</v>
      </c>
      <c r="N314" s="77">
        <f t="shared" si="678"/>
        <v>0</v>
      </c>
      <c r="O314" s="77">
        <f t="shared" si="679"/>
        <v>7.0062999999999992E-3</v>
      </c>
      <c r="P314" s="77">
        <f t="shared" si="680"/>
        <v>5.85741666996209E-4</v>
      </c>
      <c r="R314" t="s">
        <v>177</v>
      </c>
      <c r="S314" t="s">
        <v>176</v>
      </c>
      <c r="T314" s="197" t="str">
        <f t="shared" si="769"/>
        <v>Autopilot_Balanced_231</v>
      </c>
      <c r="U314">
        <v>231</v>
      </c>
      <c r="V314">
        <f>VLOOKUP($U314,'[2]AP Balanced'!$Q$1:$T$542,2,FALSE)</f>
        <v>0.77777777777777779</v>
      </c>
      <c r="W314">
        <f>VLOOKUP($U314,'[2]AP Balanced'!$Q$1:$T$542,3,FALSE)</f>
        <v>0.22222222222222221</v>
      </c>
      <c r="X314">
        <f>VLOOKUP($U314,'[2]AP Balanced'!$Q$1:$T$542,4,FALSE)</f>
        <v>0</v>
      </c>
      <c r="Y314" s="77">
        <f t="shared" si="727"/>
        <v>1</v>
      </c>
      <c r="Z314" s="77">
        <f t="shared" si="716"/>
        <v>6.1674999999999987E-2</v>
      </c>
      <c r="AA314" s="77">
        <f t="shared" si="717"/>
        <v>4.9997781870025904E-3</v>
      </c>
      <c r="AB314" s="79">
        <v>1</v>
      </c>
      <c r="AC314" s="77">
        <f t="shared" si="681"/>
        <v>8.0555555555555554E-3</v>
      </c>
      <c r="AD314" s="77">
        <f t="shared" si="672"/>
        <v>6.7378764057135498E-4</v>
      </c>
      <c r="AE314" s="77">
        <f t="shared" si="682"/>
        <v>2.5000000000000001E-3</v>
      </c>
      <c r="AF314" s="77">
        <f t="shared" si="672"/>
        <v>2.0857243058891584E-4</v>
      </c>
      <c r="AH314" t="s">
        <v>175</v>
      </c>
      <c r="AI314" t="s">
        <v>176</v>
      </c>
      <c r="AJ314" s="197" t="str">
        <f t="shared" si="728"/>
        <v>Lifecycle_Balanced_231</v>
      </c>
      <c r="AK314">
        <v>231</v>
      </c>
      <c r="AL314">
        <f>VLOOKUP($U314,[2]Standard_Balanced!$Q$1:$T$542,2,FALSE)</f>
        <v>0.77777777777777779</v>
      </c>
      <c r="AM314">
        <f>VLOOKUP($U314,[2]Standard_Balanced!$Q$1:$T$542,3,FALSE)</f>
        <v>0.22222222222222221</v>
      </c>
      <c r="AN314">
        <f>VLOOKUP($U314,[2]Standard_Balanced!$Q$1:$T$542,4,FALSE)</f>
        <v>0</v>
      </c>
      <c r="AO314" s="77">
        <f t="shared" si="658"/>
        <v>1</v>
      </c>
      <c r="AP314" s="77">
        <f t="shared" si="683"/>
        <v>6.1674999999999987E-2</v>
      </c>
      <c r="AQ314" s="77">
        <f t="shared" si="729"/>
        <v>4.9997781870025904E-3</v>
      </c>
      <c r="AR314" s="79">
        <v>0</v>
      </c>
      <c r="AS314" s="77">
        <f t="shared" si="684"/>
        <v>0</v>
      </c>
      <c r="AT314" s="77">
        <f t="shared" ref="AT314" si="802">1-(1-AS314)^(1/12)</f>
        <v>0</v>
      </c>
      <c r="AU314" s="77">
        <f t="shared" si="686"/>
        <v>2.5000000000000001E-3</v>
      </c>
      <c r="AV314" s="77">
        <f t="shared" ref="AV314" si="803">1-(1-AU314)^(1/12)</f>
        <v>2.0857243058891584E-4</v>
      </c>
      <c r="AX314" t="s">
        <v>178</v>
      </c>
      <c r="AY314" t="s">
        <v>160</v>
      </c>
      <c r="AZ314" s="197" t="str">
        <f t="shared" si="732"/>
        <v>DIS_Non-Standard_231</v>
      </c>
      <c r="BA314">
        <v>231</v>
      </c>
      <c r="BB314">
        <f>VLOOKUP($BA314,'[2]NonStandard DIS'!$Q$1:$X$542,2,FALSE)</f>
        <v>0</v>
      </c>
      <c r="BC314">
        <f>VLOOKUP($BA314,'[2]NonStandard DIS'!$Q$1:$X$542,3,FALSE)</f>
        <v>0</v>
      </c>
      <c r="BD314">
        <f>VLOOKUP($BA314,'[2]NonStandard DIS'!$Q$1:$X$542,4,FALSE)</f>
        <v>0.308</v>
      </c>
      <c r="BE314">
        <f>VLOOKUP($BA314,'[2]NonStandard DIS'!$Q$1:$X$542,5,FALSE)</f>
        <v>0.69199999999999995</v>
      </c>
      <c r="BF314">
        <f>VLOOKUP($BA314,'[2]NonStandard DIS'!$Q$1:$X$542,6,FALSE)</f>
        <v>0</v>
      </c>
      <c r="BG314">
        <f>VLOOKUP($BA314,'[2]NonStandard DIS'!$Q$1:$X$542,7,FALSE)</f>
        <v>0</v>
      </c>
      <c r="BH314">
        <f>VLOOKUP($BA314,'[2]NonStandard DIS'!$Q$1:$X$542,8,FALSE)</f>
        <v>0</v>
      </c>
      <c r="BI314" s="77">
        <f t="shared" si="675"/>
        <v>1</v>
      </c>
      <c r="BJ314" s="77">
        <f t="shared" si="676"/>
        <v>6.9728499999999985E-2</v>
      </c>
      <c r="BK314" s="77">
        <f t="shared" si="657"/>
        <v>5.632878498097682E-3</v>
      </c>
      <c r="BL314" s="79">
        <v>0</v>
      </c>
      <c r="BM314" s="77">
        <f t="shared" si="688"/>
        <v>0</v>
      </c>
      <c r="BN314" s="77">
        <f t="shared" si="689"/>
        <v>0</v>
      </c>
      <c r="BO314" s="77">
        <f t="shared" si="690"/>
        <v>5.6775999999999997E-3</v>
      </c>
      <c r="BP314" s="77">
        <f t="shared" si="691"/>
        <v>4.7190657760731725E-4</v>
      </c>
    </row>
    <row r="315" spans="1:68">
      <c r="A315" t="s">
        <v>175</v>
      </c>
      <c r="B315" t="s">
        <v>176</v>
      </c>
      <c r="C315" s="197" t="str">
        <f t="shared" si="726"/>
        <v>Lifecycle_Balanced_230</v>
      </c>
      <c r="D315">
        <v>230</v>
      </c>
      <c r="E315">
        <f>VLOOKUP($D315,'[2]LC Balanced'!$Q$2:$U$542,2,FALSE)</f>
        <v>0</v>
      </c>
      <c r="F315">
        <f>VLOOKUP($D315,'[2]LC Balanced'!$Q$2:$U$542,3,FALSE)</f>
        <v>0.14899999999999999</v>
      </c>
      <c r="G315">
        <f>VLOOKUP($D315,'[2]LC Balanced'!$Q$2:$U$542,4,FALSE)</f>
        <v>0.85099999999999998</v>
      </c>
      <c r="H315">
        <f>VLOOKUP($D315,'[2]LC Balanced'!$Q$2:$U$542,5,FALSE)</f>
        <v>0</v>
      </c>
      <c r="I315" s="77">
        <f t="shared" si="670"/>
        <v>1</v>
      </c>
      <c r="J315" s="77">
        <f t="shared" si="671"/>
        <v>6.1987699999999986E-2</v>
      </c>
      <c r="K315" s="77">
        <f t="shared" si="661"/>
        <v>5.024442123284345E-3</v>
      </c>
      <c r="L315" s="76">
        <v>0</v>
      </c>
      <c r="M315" s="77">
        <f t="shared" si="677"/>
        <v>0</v>
      </c>
      <c r="N315" s="77">
        <f t="shared" si="678"/>
        <v>0</v>
      </c>
      <c r="O315" s="77">
        <f t="shared" si="679"/>
        <v>7.0062999999999992E-3</v>
      </c>
      <c r="P315" s="77">
        <f t="shared" si="680"/>
        <v>5.85741666996209E-4</v>
      </c>
      <c r="R315" t="s">
        <v>177</v>
      </c>
      <c r="S315" t="s">
        <v>176</v>
      </c>
      <c r="T315" s="197" t="str">
        <f t="shared" si="769"/>
        <v>Autopilot_Balanced_230</v>
      </c>
      <c r="U315">
        <v>230</v>
      </c>
      <c r="V315">
        <f>VLOOKUP($U315,'[2]AP Balanced'!$Q$1:$T$542,2,FALSE)</f>
        <v>0.77777777777777779</v>
      </c>
      <c r="W315">
        <f>VLOOKUP($U315,'[2]AP Balanced'!$Q$1:$T$542,3,FALSE)</f>
        <v>0.22222222222222221</v>
      </c>
      <c r="X315">
        <f>VLOOKUP($U315,'[2]AP Balanced'!$Q$1:$T$542,4,FALSE)</f>
        <v>0</v>
      </c>
      <c r="Y315" s="77">
        <f t="shared" si="727"/>
        <v>1</v>
      </c>
      <c r="Z315" s="77">
        <f t="shared" si="716"/>
        <v>6.1674999999999987E-2</v>
      </c>
      <c r="AA315" s="77">
        <f t="shared" si="717"/>
        <v>4.9997781870025904E-3</v>
      </c>
      <c r="AB315" s="79">
        <v>1</v>
      </c>
      <c r="AC315" s="77">
        <f t="shared" si="681"/>
        <v>8.0555555555555554E-3</v>
      </c>
      <c r="AD315" s="77">
        <f t="shared" si="672"/>
        <v>6.7378764057135498E-4</v>
      </c>
      <c r="AE315" s="77">
        <f t="shared" si="682"/>
        <v>2.5000000000000001E-3</v>
      </c>
      <c r="AF315" s="77">
        <f t="shared" si="672"/>
        <v>2.0857243058891584E-4</v>
      </c>
      <c r="AH315" t="s">
        <v>175</v>
      </c>
      <c r="AI315" t="s">
        <v>176</v>
      </c>
      <c r="AJ315" s="197" t="str">
        <f t="shared" si="728"/>
        <v>Lifecycle_Balanced_230</v>
      </c>
      <c r="AK315">
        <v>230</v>
      </c>
      <c r="AL315">
        <f>VLOOKUP($U315,[2]Standard_Balanced!$Q$1:$T$542,2,FALSE)</f>
        <v>0.77777777777777779</v>
      </c>
      <c r="AM315">
        <f>VLOOKUP($U315,[2]Standard_Balanced!$Q$1:$T$542,3,FALSE)</f>
        <v>0.22222222222222221</v>
      </c>
      <c r="AN315">
        <f>VLOOKUP($U315,[2]Standard_Balanced!$Q$1:$T$542,4,FALSE)</f>
        <v>0</v>
      </c>
      <c r="AO315" s="77">
        <f t="shared" si="658"/>
        <v>1</v>
      </c>
      <c r="AP315" s="77">
        <f t="shared" si="683"/>
        <v>6.1674999999999987E-2</v>
      </c>
      <c r="AQ315" s="77">
        <f t="shared" si="729"/>
        <v>4.9997781870025904E-3</v>
      </c>
      <c r="AR315" s="79">
        <v>0</v>
      </c>
      <c r="AS315" s="77">
        <f t="shared" si="684"/>
        <v>0</v>
      </c>
      <c r="AT315" s="77">
        <f t="shared" ref="AT315" si="804">1-(1-AS315)^(1/12)</f>
        <v>0</v>
      </c>
      <c r="AU315" s="77">
        <f t="shared" si="686"/>
        <v>2.5000000000000001E-3</v>
      </c>
      <c r="AV315" s="77">
        <f t="shared" ref="AV315" si="805">1-(1-AU315)^(1/12)</f>
        <v>2.0857243058891584E-4</v>
      </c>
      <c r="AX315" t="s">
        <v>178</v>
      </c>
      <c r="AY315" t="s">
        <v>160</v>
      </c>
      <c r="AZ315" s="197" t="str">
        <f t="shared" si="732"/>
        <v>DIS_Non-Standard_230</v>
      </c>
      <c r="BA315">
        <v>230</v>
      </c>
      <c r="BB315">
        <f>VLOOKUP($BA315,'[2]NonStandard DIS'!$Q$1:$X$542,2,FALSE)</f>
        <v>0</v>
      </c>
      <c r="BC315">
        <f>VLOOKUP($BA315,'[2]NonStandard DIS'!$Q$1:$X$542,3,FALSE)</f>
        <v>0</v>
      </c>
      <c r="BD315">
        <f>VLOOKUP($BA315,'[2]NonStandard DIS'!$Q$1:$X$542,4,FALSE)</f>
        <v>0.308</v>
      </c>
      <c r="BE315">
        <f>VLOOKUP($BA315,'[2]NonStandard DIS'!$Q$1:$X$542,5,FALSE)</f>
        <v>0.69199999999999995</v>
      </c>
      <c r="BF315">
        <f>VLOOKUP($BA315,'[2]NonStandard DIS'!$Q$1:$X$542,6,FALSE)</f>
        <v>0</v>
      </c>
      <c r="BG315">
        <f>VLOOKUP($BA315,'[2]NonStandard DIS'!$Q$1:$X$542,7,FALSE)</f>
        <v>0</v>
      </c>
      <c r="BH315">
        <f>VLOOKUP($BA315,'[2]NonStandard DIS'!$Q$1:$X$542,8,FALSE)</f>
        <v>0</v>
      </c>
      <c r="BI315" s="77">
        <f t="shared" si="675"/>
        <v>1</v>
      </c>
      <c r="BJ315" s="77">
        <f t="shared" si="676"/>
        <v>6.9728499999999985E-2</v>
      </c>
      <c r="BK315" s="77">
        <f t="shared" si="657"/>
        <v>5.632878498097682E-3</v>
      </c>
      <c r="BL315" s="79">
        <v>0</v>
      </c>
      <c r="BM315" s="77">
        <f t="shared" si="688"/>
        <v>0</v>
      </c>
      <c r="BN315" s="77">
        <f t="shared" si="689"/>
        <v>0</v>
      </c>
      <c r="BO315" s="77">
        <f t="shared" si="690"/>
        <v>5.6775999999999997E-3</v>
      </c>
      <c r="BP315" s="77">
        <f t="shared" si="691"/>
        <v>4.7190657760731725E-4</v>
      </c>
    </row>
    <row r="316" spans="1:68">
      <c r="A316" t="s">
        <v>175</v>
      </c>
      <c r="B316" t="s">
        <v>176</v>
      </c>
      <c r="C316" s="197" t="str">
        <f t="shared" si="726"/>
        <v>Lifecycle_Balanced_229</v>
      </c>
      <c r="D316">
        <v>229</v>
      </c>
      <c r="E316">
        <f>VLOOKUP($D316,'[2]LC Balanced'!$Q$2:$U$542,2,FALSE)</f>
        <v>0</v>
      </c>
      <c r="F316">
        <f>VLOOKUP($D316,'[2]LC Balanced'!$Q$2:$U$542,3,FALSE)</f>
        <v>0.14899999999999999</v>
      </c>
      <c r="G316">
        <f>VLOOKUP($D316,'[2]LC Balanced'!$Q$2:$U$542,4,FALSE)</f>
        <v>0.85099999999999998</v>
      </c>
      <c r="H316">
        <f>VLOOKUP($D316,'[2]LC Balanced'!$Q$2:$U$542,5,FALSE)</f>
        <v>0</v>
      </c>
      <c r="I316" s="77">
        <f t="shared" si="670"/>
        <v>1</v>
      </c>
      <c r="J316" s="77">
        <f t="shared" si="671"/>
        <v>6.1987699999999986E-2</v>
      </c>
      <c r="K316" s="77">
        <f t="shared" si="661"/>
        <v>5.024442123284345E-3</v>
      </c>
      <c r="L316" s="76">
        <v>0</v>
      </c>
      <c r="M316" s="77">
        <f t="shared" si="677"/>
        <v>0</v>
      </c>
      <c r="N316" s="77">
        <f t="shared" si="678"/>
        <v>0</v>
      </c>
      <c r="O316" s="77">
        <f t="shared" si="679"/>
        <v>7.0062999999999992E-3</v>
      </c>
      <c r="P316" s="77">
        <f t="shared" si="680"/>
        <v>5.85741666996209E-4</v>
      </c>
      <c r="R316" t="s">
        <v>177</v>
      </c>
      <c r="S316" t="s">
        <v>176</v>
      </c>
      <c r="T316" s="197" t="str">
        <f t="shared" si="769"/>
        <v>Autopilot_Balanced_229</v>
      </c>
      <c r="U316">
        <v>229</v>
      </c>
      <c r="V316">
        <f>VLOOKUP($U316,'[2]AP Balanced'!$Q$1:$T$542,2,FALSE)</f>
        <v>0.77777777777777779</v>
      </c>
      <c r="W316">
        <f>VLOOKUP($U316,'[2]AP Balanced'!$Q$1:$T$542,3,FALSE)</f>
        <v>0.22222222222222221</v>
      </c>
      <c r="X316">
        <f>VLOOKUP($U316,'[2]AP Balanced'!$Q$1:$T$542,4,FALSE)</f>
        <v>0</v>
      </c>
      <c r="Y316" s="77">
        <f t="shared" si="727"/>
        <v>1</v>
      </c>
      <c r="Z316" s="77">
        <f t="shared" si="716"/>
        <v>6.1674999999999987E-2</v>
      </c>
      <c r="AA316" s="77">
        <f t="shared" si="717"/>
        <v>4.9997781870025904E-3</v>
      </c>
      <c r="AB316" s="79">
        <v>1</v>
      </c>
      <c r="AC316" s="77">
        <f t="shared" si="681"/>
        <v>8.0555555555555554E-3</v>
      </c>
      <c r="AD316" s="77">
        <f t="shared" si="672"/>
        <v>6.7378764057135498E-4</v>
      </c>
      <c r="AE316" s="77">
        <f t="shared" si="682"/>
        <v>2.5000000000000001E-3</v>
      </c>
      <c r="AF316" s="77">
        <f t="shared" si="672"/>
        <v>2.0857243058891584E-4</v>
      </c>
      <c r="AH316" t="s">
        <v>175</v>
      </c>
      <c r="AI316" t="s">
        <v>176</v>
      </c>
      <c r="AJ316" s="197" t="str">
        <f t="shared" si="728"/>
        <v>Lifecycle_Balanced_229</v>
      </c>
      <c r="AK316">
        <v>229</v>
      </c>
      <c r="AL316">
        <f>VLOOKUP($U316,[2]Standard_Balanced!$Q$1:$T$542,2,FALSE)</f>
        <v>0.77777777777777779</v>
      </c>
      <c r="AM316">
        <f>VLOOKUP($U316,[2]Standard_Balanced!$Q$1:$T$542,3,FALSE)</f>
        <v>0.22222222222222221</v>
      </c>
      <c r="AN316">
        <f>VLOOKUP($U316,[2]Standard_Balanced!$Q$1:$T$542,4,FALSE)</f>
        <v>0</v>
      </c>
      <c r="AO316" s="77">
        <f t="shared" si="658"/>
        <v>1</v>
      </c>
      <c r="AP316" s="77">
        <f t="shared" si="683"/>
        <v>6.1674999999999987E-2</v>
      </c>
      <c r="AQ316" s="77">
        <f t="shared" si="729"/>
        <v>4.9997781870025904E-3</v>
      </c>
      <c r="AR316" s="79">
        <v>0</v>
      </c>
      <c r="AS316" s="77">
        <f t="shared" si="684"/>
        <v>0</v>
      </c>
      <c r="AT316" s="77">
        <f t="shared" ref="AT316" si="806">1-(1-AS316)^(1/12)</f>
        <v>0</v>
      </c>
      <c r="AU316" s="77">
        <f t="shared" si="686"/>
        <v>2.5000000000000001E-3</v>
      </c>
      <c r="AV316" s="77">
        <f t="shared" ref="AV316" si="807">1-(1-AU316)^(1/12)</f>
        <v>2.0857243058891584E-4</v>
      </c>
      <c r="AX316" t="s">
        <v>178</v>
      </c>
      <c r="AY316" t="s">
        <v>160</v>
      </c>
      <c r="AZ316" s="197" t="str">
        <f t="shared" si="732"/>
        <v>DIS_Non-Standard_229</v>
      </c>
      <c r="BA316">
        <v>229</v>
      </c>
      <c r="BB316">
        <f>VLOOKUP($BA316,'[2]NonStandard DIS'!$Q$1:$X$542,2,FALSE)</f>
        <v>0</v>
      </c>
      <c r="BC316">
        <f>VLOOKUP($BA316,'[2]NonStandard DIS'!$Q$1:$X$542,3,FALSE)</f>
        <v>0</v>
      </c>
      <c r="BD316">
        <f>VLOOKUP($BA316,'[2]NonStandard DIS'!$Q$1:$X$542,4,FALSE)</f>
        <v>0.308</v>
      </c>
      <c r="BE316">
        <f>VLOOKUP($BA316,'[2]NonStandard DIS'!$Q$1:$X$542,5,FALSE)</f>
        <v>0.69199999999999995</v>
      </c>
      <c r="BF316">
        <f>VLOOKUP($BA316,'[2]NonStandard DIS'!$Q$1:$X$542,6,FALSE)</f>
        <v>0</v>
      </c>
      <c r="BG316">
        <f>VLOOKUP($BA316,'[2]NonStandard DIS'!$Q$1:$X$542,7,FALSE)</f>
        <v>0</v>
      </c>
      <c r="BH316">
        <f>VLOOKUP($BA316,'[2]NonStandard DIS'!$Q$1:$X$542,8,FALSE)</f>
        <v>0</v>
      </c>
      <c r="BI316" s="77">
        <f t="shared" si="675"/>
        <v>1</v>
      </c>
      <c r="BJ316" s="77">
        <f t="shared" si="676"/>
        <v>6.9728499999999985E-2</v>
      </c>
      <c r="BK316" s="77">
        <f t="shared" si="657"/>
        <v>5.632878498097682E-3</v>
      </c>
      <c r="BL316" s="79">
        <v>0</v>
      </c>
      <c r="BM316" s="77">
        <f t="shared" si="688"/>
        <v>0</v>
      </c>
      <c r="BN316" s="77">
        <f t="shared" si="689"/>
        <v>0</v>
      </c>
      <c r="BO316" s="77">
        <f t="shared" si="690"/>
        <v>5.6775999999999997E-3</v>
      </c>
      <c r="BP316" s="77">
        <f t="shared" si="691"/>
        <v>4.7190657760731725E-4</v>
      </c>
    </row>
    <row r="317" spans="1:68">
      <c r="A317" t="s">
        <v>175</v>
      </c>
      <c r="B317" t="s">
        <v>176</v>
      </c>
      <c r="C317" s="197" t="str">
        <f t="shared" si="726"/>
        <v>Lifecycle_Balanced_228</v>
      </c>
      <c r="D317">
        <v>228</v>
      </c>
      <c r="E317">
        <f>VLOOKUP($D317,'[2]LC Balanced'!$Q$2:$U$542,2,FALSE)</f>
        <v>0</v>
      </c>
      <c r="F317">
        <f>VLOOKUP($D317,'[2]LC Balanced'!$Q$2:$U$542,3,FALSE)</f>
        <v>0.14899999999999999</v>
      </c>
      <c r="G317">
        <f>VLOOKUP($D317,'[2]LC Balanced'!$Q$2:$U$542,4,FALSE)</f>
        <v>0.85099999999999998</v>
      </c>
      <c r="H317">
        <f>VLOOKUP($D317,'[2]LC Balanced'!$Q$2:$U$542,5,FALSE)</f>
        <v>0</v>
      </c>
      <c r="I317" s="77">
        <f t="shared" si="670"/>
        <v>1</v>
      </c>
      <c r="J317" s="77">
        <f t="shared" si="671"/>
        <v>6.1987699999999986E-2</v>
      </c>
      <c r="K317" s="77">
        <f t="shared" si="661"/>
        <v>5.024442123284345E-3</v>
      </c>
      <c r="L317" s="76">
        <v>0</v>
      </c>
      <c r="M317" s="77">
        <f t="shared" si="677"/>
        <v>0</v>
      </c>
      <c r="N317" s="77">
        <f t="shared" si="678"/>
        <v>0</v>
      </c>
      <c r="O317" s="77">
        <f t="shared" si="679"/>
        <v>7.0062999999999992E-3</v>
      </c>
      <c r="P317" s="77">
        <f t="shared" si="680"/>
        <v>5.85741666996209E-4</v>
      </c>
      <c r="R317" t="s">
        <v>177</v>
      </c>
      <c r="S317" t="s">
        <v>176</v>
      </c>
      <c r="T317" s="197" t="str">
        <f t="shared" si="769"/>
        <v>Autopilot_Balanced_228</v>
      </c>
      <c r="U317">
        <v>228</v>
      </c>
      <c r="V317">
        <f>VLOOKUP($U317,'[2]AP Balanced'!$Q$1:$T$542,2,FALSE)</f>
        <v>0.77777777777777779</v>
      </c>
      <c r="W317">
        <f>VLOOKUP($U317,'[2]AP Balanced'!$Q$1:$T$542,3,FALSE)</f>
        <v>0.22222222222222221</v>
      </c>
      <c r="X317">
        <f>VLOOKUP($U317,'[2]AP Balanced'!$Q$1:$T$542,4,FALSE)</f>
        <v>0</v>
      </c>
      <c r="Y317" s="77">
        <f t="shared" si="727"/>
        <v>1</v>
      </c>
      <c r="Z317" s="77">
        <f t="shared" si="716"/>
        <v>6.1674999999999987E-2</v>
      </c>
      <c r="AA317" s="77">
        <f t="shared" si="717"/>
        <v>4.9997781870025904E-3</v>
      </c>
      <c r="AB317" s="79">
        <v>1</v>
      </c>
      <c r="AC317" s="77">
        <f t="shared" si="681"/>
        <v>8.0555555555555554E-3</v>
      </c>
      <c r="AD317" s="77">
        <f t="shared" si="672"/>
        <v>6.7378764057135498E-4</v>
      </c>
      <c r="AE317" s="77">
        <f t="shared" si="682"/>
        <v>2.5000000000000001E-3</v>
      </c>
      <c r="AF317" s="77">
        <f t="shared" si="672"/>
        <v>2.0857243058891584E-4</v>
      </c>
      <c r="AH317" t="s">
        <v>175</v>
      </c>
      <c r="AI317" t="s">
        <v>176</v>
      </c>
      <c r="AJ317" s="197" t="str">
        <f t="shared" si="728"/>
        <v>Lifecycle_Balanced_228</v>
      </c>
      <c r="AK317">
        <v>228</v>
      </c>
      <c r="AL317">
        <f>VLOOKUP($U317,[2]Standard_Balanced!$Q$1:$T$542,2,FALSE)</f>
        <v>0.77777777777777779</v>
      </c>
      <c r="AM317">
        <f>VLOOKUP($U317,[2]Standard_Balanced!$Q$1:$T$542,3,FALSE)</f>
        <v>0.22222222222222221</v>
      </c>
      <c r="AN317">
        <f>VLOOKUP($U317,[2]Standard_Balanced!$Q$1:$T$542,4,FALSE)</f>
        <v>0</v>
      </c>
      <c r="AO317" s="77">
        <f t="shared" si="658"/>
        <v>1</v>
      </c>
      <c r="AP317" s="77">
        <f t="shared" si="683"/>
        <v>6.1674999999999987E-2</v>
      </c>
      <c r="AQ317" s="77">
        <f t="shared" si="729"/>
        <v>4.9997781870025904E-3</v>
      </c>
      <c r="AR317" s="79">
        <v>0</v>
      </c>
      <c r="AS317" s="77">
        <f t="shared" si="684"/>
        <v>0</v>
      </c>
      <c r="AT317" s="77">
        <f t="shared" ref="AT317" si="808">1-(1-AS317)^(1/12)</f>
        <v>0</v>
      </c>
      <c r="AU317" s="77">
        <f t="shared" si="686"/>
        <v>2.5000000000000001E-3</v>
      </c>
      <c r="AV317" s="77">
        <f t="shared" ref="AV317" si="809">1-(1-AU317)^(1/12)</f>
        <v>2.0857243058891584E-4</v>
      </c>
      <c r="AX317" t="s">
        <v>178</v>
      </c>
      <c r="AY317" t="s">
        <v>160</v>
      </c>
      <c r="AZ317" s="197" t="str">
        <f t="shared" si="732"/>
        <v>DIS_Non-Standard_228</v>
      </c>
      <c r="BA317">
        <v>228</v>
      </c>
      <c r="BB317">
        <f>VLOOKUP($BA317,'[2]NonStandard DIS'!$Q$1:$X$542,2,FALSE)</f>
        <v>0</v>
      </c>
      <c r="BC317">
        <f>VLOOKUP($BA317,'[2]NonStandard DIS'!$Q$1:$X$542,3,FALSE)</f>
        <v>0</v>
      </c>
      <c r="BD317">
        <f>VLOOKUP($BA317,'[2]NonStandard DIS'!$Q$1:$X$542,4,FALSE)</f>
        <v>0.308</v>
      </c>
      <c r="BE317">
        <f>VLOOKUP($BA317,'[2]NonStandard DIS'!$Q$1:$X$542,5,FALSE)</f>
        <v>0.69199999999999995</v>
      </c>
      <c r="BF317">
        <f>VLOOKUP($BA317,'[2]NonStandard DIS'!$Q$1:$X$542,6,FALSE)</f>
        <v>0</v>
      </c>
      <c r="BG317">
        <f>VLOOKUP($BA317,'[2]NonStandard DIS'!$Q$1:$X$542,7,FALSE)</f>
        <v>0</v>
      </c>
      <c r="BH317">
        <f>VLOOKUP($BA317,'[2]NonStandard DIS'!$Q$1:$X$542,8,FALSE)</f>
        <v>0</v>
      </c>
      <c r="BI317" s="77">
        <f t="shared" si="675"/>
        <v>1</v>
      </c>
      <c r="BJ317" s="77">
        <f t="shared" si="676"/>
        <v>6.9728499999999985E-2</v>
      </c>
      <c r="BK317" s="77">
        <f t="shared" si="657"/>
        <v>5.632878498097682E-3</v>
      </c>
      <c r="BL317" s="79">
        <v>0</v>
      </c>
      <c r="BM317" s="77">
        <f t="shared" si="688"/>
        <v>0</v>
      </c>
      <c r="BN317" s="77">
        <f t="shared" si="689"/>
        <v>0</v>
      </c>
      <c r="BO317" s="77">
        <f t="shared" si="690"/>
        <v>5.6775999999999997E-3</v>
      </c>
      <c r="BP317" s="77">
        <f t="shared" si="691"/>
        <v>4.7190657760731725E-4</v>
      </c>
    </row>
    <row r="318" spans="1:68">
      <c r="A318" t="s">
        <v>175</v>
      </c>
      <c r="B318" t="s">
        <v>176</v>
      </c>
      <c r="C318" s="197" t="str">
        <f t="shared" si="726"/>
        <v>Lifecycle_Balanced_227</v>
      </c>
      <c r="D318">
        <v>227</v>
      </c>
      <c r="E318">
        <f>VLOOKUP($D318,'[2]LC Balanced'!$Q$2:$U$542,2,FALSE)</f>
        <v>0</v>
      </c>
      <c r="F318">
        <f>VLOOKUP($D318,'[2]LC Balanced'!$Q$2:$U$542,3,FALSE)</f>
        <v>0.14899999999999999</v>
      </c>
      <c r="G318">
        <f>VLOOKUP($D318,'[2]LC Balanced'!$Q$2:$U$542,4,FALSE)</f>
        <v>0.85099999999999998</v>
      </c>
      <c r="H318">
        <f>VLOOKUP($D318,'[2]LC Balanced'!$Q$2:$U$542,5,FALSE)</f>
        <v>0</v>
      </c>
      <c r="I318" s="77">
        <f t="shared" si="670"/>
        <v>1</v>
      </c>
      <c r="J318" s="77">
        <f t="shared" si="671"/>
        <v>6.1987699999999986E-2</v>
      </c>
      <c r="K318" s="77">
        <f t="shared" si="661"/>
        <v>5.024442123284345E-3</v>
      </c>
      <c r="L318" s="76">
        <v>0</v>
      </c>
      <c r="M318" s="77">
        <f t="shared" si="677"/>
        <v>0</v>
      </c>
      <c r="N318" s="77">
        <f t="shared" si="678"/>
        <v>0</v>
      </c>
      <c r="O318" s="77">
        <f t="shared" si="679"/>
        <v>7.0062999999999992E-3</v>
      </c>
      <c r="P318" s="77">
        <f t="shared" si="680"/>
        <v>5.85741666996209E-4</v>
      </c>
      <c r="R318" t="s">
        <v>177</v>
      </c>
      <c r="S318" t="s">
        <v>176</v>
      </c>
      <c r="T318" s="197" t="str">
        <f t="shared" si="769"/>
        <v>Autopilot_Balanced_227</v>
      </c>
      <c r="U318">
        <v>227</v>
      </c>
      <c r="V318">
        <f>VLOOKUP($U318,'[2]AP Balanced'!$Q$1:$T$542,2,FALSE)</f>
        <v>0.77777777777777779</v>
      </c>
      <c r="W318">
        <f>VLOOKUP($U318,'[2]AP Balanced'!$Q$1:$T$542,3,FALSE)</f>
        <v>0.22222222222222221</v>
      </c>
      <c r="X318">
        <f>VLOOKUP($U318,'[2]AP Balanced'!$Q$1:$T$542,4,FALSE)</f>
        <v>0</v>
      </c>
      <c r="Y318" s="77">
        <f t="shared" si="727"/>
        <v>1</v>
      </c>
      <c r="Z318" s="77">
        <f t="shared" si="716"/>
        <v>6.1674999999999987E-2</v>
      </c>
      <c r="AA318" s="77">
        <f t="shared" si="717"/>
        <v>4.9997781870025904E-3</v>
      </c>
      <c r="AB318" s="79">
        <v>1</v>
      </c>
      <c r="AC318" s="77">
        <f t="shared" si="681"/>
        <v>8.0555555555555554E-3</v>
      </c>
      <c r="AD318" s="77">
        <f t="shared" si="672"/>
        <v>6.7378764057135498E-4</v>
      </c>
      <c r="AE318" s="77">
        <f t="shared" si="682"/>
        <v>2.5000000000000001E-3</v>
      </c>
      <c r="AF318" s="77">
        <f t="shared" si="672"/>
        <v>2.0857243058891584E-4</v>
      </c>
      <c r="AH318" t="s">
        <v>175</v>
      </c>
      <c r="AI318" t="s">
        <v>176</v>
      </c>
      <c r="AJ318" s="197" t="str">
        <f t="shared" si="728"/>
        <v>Lifecycle_Balanced_227</v>
      </c>
      <c r="AK318">
        <v>227</v>
      </c>
      <c r="AL318">
        <f>VLOOKUP($U318,[2]Standard_Balanced!$Q$1:$T$542,2,FALSE)</f>
        <v>0.77777777777777779</v>
      </c>
      <c r="AM318">
        <f>VLOOKUP($U318,[2]Standard_Balanced!$Q$1:$T$542,3,FALSE)</f>
        <v>0.22222222222222221</v>
      </c>
      <c r="AN318">
        <f>VLOOKUP($U318,[2]Standard_Balanced!$Q$1:$T$542,4,FALSE)</f>
        <v>0</v>
      </c>
      <c r="AO318" s="77">
        <f t="shared" si="658"/>
        <v>1</v>
      </c>
      <c r="AP318" s="77">
        <f t="shared" si="683"/>
        <v>6.1674999999999987E-2</v>
      </c>
      <c r="AQ318" s="77">
        <f t="shared" si="729"/>
        <v>4.9997781870025904E-3</v>
      </c>
      <c r="AR318" s="79">
        <v>0</v>
      </c>
      <c r="AS318" s="77">
        <f t="shared" si="684"/>
        <v>0</v>
      </c>
      <c r="AT318" s="77">
        <f t="shared" ref="AT318" si="810">1-(1-AS318)^(1/12)</f>
        <v>0</v>
      </c>
      <c r="AU318" s="77">
        <f t="shared" si="686"/>
        <v>2.5000000000000001E-3</v>
      </c>
      <c r="AV318" s="77">
        <f t="shared" ref="AV318" si="811">1-(1-AU318)^(1/12)</f>
        <v>2.0857243058891584E-4</v>
      </c>
      <c r="AX318" t="s">
        <v>178</v>
      </c>
      <c r="AY318" t="s">
        <v>160</v>
      </c>
      <c r="AZ318" s="197" t="str">
        <f t="shared" si="732"/>
        <v>DIS_Non-Standard_227</v>
      </c>
      <c r="BA318">
        <v>227</v>
      </c>
      <c r="BB318">
        <f>VLOOKUP($BA318,'[2]NonStandard DIS'!$Q$1:$X$542,2,FALSE)</f>
        <v>0</v>
      </c>
      <c r="BC318">
        <f>VLOOKUP($BA318,'[2]NonStandard DIS'!$Q$1:$X$542,3,FALSE)</f>
        <v>0</v>
      </c>
      <c r="BD318">
        <f>VLOOKUP($BA318,'[2]NonStandard DIS'!$Q$1:$X$542,4,FALSE)</f>
        <v>0.308</v>
      </c>
      <c r="BE318">
        <f>VLOOKUP($BA318,'[2]NonStandard DIS'!$Q$1:$X$542,5,FALSE)</f>
        <v>0.69199999999999995</v>
      </c>
      <c r="BF318">
        <f>VLOOKUP($BA318,'[2]NonStandard DIS'!$Q$1:$X$542,6,FALSE)</f>
        <v>0</v>
      </c>
      <c r="BG318">
        <f>VLOOKUP($BA318,'[2]NonStandard DIS'!$Q$1:$X$542,7,FALSE)</f>
        <v>0</v>
      </c>
      <c r="BH318">
        <f>VLOOKUP($BA318,'[2]NonStandard DIS'!$Q$1:$X$542,8,FALSE)</f>
        <v>0</v>
      </c>
      <c r="BI318" s="77">
        <f t="shared" si="675"/>
        <v>1</v>
      </c>
      <c r="BJ318" s="77">
        <f t="shared" si="676"/>
        <v>6.9728499999999985E-2</v>
      </c>
      <c r="BK318" s="77">
        <f t="shared" si="657"/>
        <v>5.632878498097682E-3</v>
      </c>
      <c r="BL318" s="79">
        <v>0</v>
      </c>
      <c r="BM318" s="77">
        <f t="shared" si="688"/>
        <v>0</v>
      </c>
      <c r="BN318" s="77">
        <f t="shared" si="689"/>
        <v>0</v>
      </c>
      <c r="BO318" s="77">
        <f t="shared" si="690"/>
        <v>5.6775999999999997E-3</v>
      </c>
      <c r="BP318" s="77">
        <f t="shared" si="691"/>
        <v>4.7190657760731725E-4</v>
      </c>
    </row>
    <row r="319" spans="1:68">
      <c r="A319" t="s">
        <v>175</v>
      </c>
      <c r="B319" t="s">
        <v>176</v>
      </c>
      <c r="C319" s="197" t="str">
        <f t="shared" si="726"/>
        <v>Lifecycle_Balanced_226</v>
      </c>
      <c r="D319">
        <v>226</v>
      </c>
      <c r="E319">
        <f>VLOOKUP($D319,'[2]LC Balanced'!$Q$2:$U$542,2,FALSE)</f>
        <v>0</v>
      </c>
      <c r="F319">
        <f>VLOOKUP($D319,'[2]LC Balanced'!$Q$2:$U$542,3,FALSE)</f>
        <v>0.14899999999999999</v>
      </c>
      <c r="G319">
        <f>VLOOKUP($D319,'[2]LC Balanced'!$Q$2:$U$542,4,FALSE)</f>
        <v>0.85099999999999998</v>
      </c>
      <c r="H319">
        <f>VLOOKUP($D319,'[2]LC Balanced'!$Q$2:$U$542,5,FALSE)</f>
        <v>0</v>
      </c>
      <c r="I319" s="77">
        <f t="shared" si="670"/>
        <v>1</v>
      </c>
      <c r="J319" s="77">
        <f t="shared" si="671"/>
        <v>6.1987699999999986E-2</v>
      </c>
      <c r="K319" s="77">
        <f t="shared" si="661"/>
        <v>5.024442123284345E-3</v>
      </c>
      <c r="L319" s="76">
        <v>0</v>
      </c>
      <c r="M319" s="77">
        <f t="shared" si="677"/>
        <v>0</v>
      </c>
      <c r="N319" s="77">
        <f t="shared" si="678"/>
        <v>0</v>
      </c>
      <c r="O319" s="77">
        <f t="shared" si="679"/>
        <v>7.0062999999999992E-3</v>
      </c>
      <c r="P319" s="77">
        <f t="shared" si="680"/>
        <v>5.85741666996209E-4</v>
      </c>
      <c r="R319" t="s">
        <v>177</v>
      </c>
      <c r="S319" t="s">
        <v>176</v>
      </c>
      <c r="T319" s="197" t="str">
        <f t="shared" si="769"/>
        <v>Autopilot_Balanced_226</v>
      </c>
      <c r="U319">
        <v>226</v>
      </c>
      <c r="V319">
        <f>VLOOKUP($U319,'[2]AP Balanced'!$Q$1:$T$542,2,FALSE)</f>
        <v>0.77777777777777779</v>
      </c>
      <c r="W319">
        <f>VLOOKUP($U319,'[2]AP Balanced'!$Q$1:$T$542,3,FALSE)</f>
        <v>0.22222222222222221</v>
      </c>
      <c r="X319">
        <f>VLOOKUP($U319,'[2]AP Balanced'!$Q$1:$T$542,4,FALSE)</f>
        <v>0</v>
      </c>
      <c r="Y319" s="77">
        <f t="shared" si="727"/>
        <v>1</v>
      </c>
      <c r="Z319" s="77">
        <f t="shared" si="716"/>
        <v>6.1674999999999987E-2</v>
      </c>
      <c r="AA319" s="77">
        <f t="shared" si="717"/>
        <v>4.9997781870025904E-3</v>
      </c>
      <c r="AB319" s="79">
        <v>1</v>
      </c>
      <c r="AC319" s="77">
        <f t="shared" si="681"/>
        <v>8.0555555555555554E-3</v>
      </c>
      <c r="AD319" s="77">
        <f t="shared" si="672"/>
        <v>6.7378764057135498E-4</v>
      </c>
      <c r="AE319" s="77">
        <f t="shared" si="682"/>
        <v>2.5000000000000001E-3</v>
      </c>
      <c r="AF319" s="77">
        <f t="shared" si="672"/>
        <v>2.0857243058891584E-4</v>
      </c>
      <c r="AH319" t="s">
        <v>175</v>
      </c>
      <c r="AI319" t="s">
        <v>176</v>
      </c>
      <c r="AJ319" s="197" t="str">
        <f t="shared" si="728"/>
        <v>Lifecycle_Balanced_226</v>
      </c>
      <c r="AK319">
        <v>226</v>
      </c>
      <c r="AL319">
        <f>VLOOKUP($U319,[2]Standard_Balanced!$Q$1:$T$542,2,FALSE)</f>
        <v>0.77777777777777779</v>
      </c>
      <c r="AM319">
        <f>VLOOKUP($U319,[2]Standard_Balanced!$Q$1:$T$542,3,FALSE)</f>
        <v>0.22222222222222221</v>
      </c>
      <c r="AN319">
        <f>VLOOKUP($U319,[2]Standard_Balanced!$Q$1:$T$542,4,FALSE)</f>
        <v>0</v>
      </c>
      <c r="AO319" s="77">
        <f t="shared" si="658"/>
        <v>1</v>
      </c>
      <c r="AP319" s="77">
        <f t="shared" si="683"/>
        <v>6.1674999999999987E-2</v>
      </c>
      <c r="AQ319" s="77">
        <f t="shared" si="729"/>
        <v>4.9997781870025904E-3</v>
      </c>
      <c r="AR319" s="79">
        <v>0</v>
      </c>
      <c r="AS319" s="77">
        <f t="shared" si="684"/>
        <v>0</v>
      </c>
      <c r="AT319" s="77">
        <f t="shared" ref="AT319" si="812">1-(1-AS319)^(1/12)</f>
        <v>0</v>
      </c>
      <c r="AU319" s="77">
        <f t="shared" si="686"/>
        <v>2.5000000000000001E-3</v>
      </c>
      <c r="AV319" s="77">
        <f t="shared" ref="AV319" si="813">1-(1-AU319)^(1/12)</f>
        <v>2.0857243058891584E-4</v>
      </c>
      <c r="AX319" t="s">
        <v>178</v>
      </c>
      <c r="AY319" t="s">
        <v>160</v>
      </c>
      <c r="AZ319" s="197" t="str">
        <f t="shared" si="732"/>
        <v>DIS_Non-Standard_226</v>
      </c>
      <c r="BA319">
        <v>226</v>
      </c>
      <c r="BB319">
        <f>VLOOKUP($BA319,'[2]NonStandard DIS'!$Q$1:$X$542,2,FALSE)</f>
        <v>0</v>
      </c>
      <c r="BC319">
        <f>VLOOKUP($BA319,'[2]NonStandard DIS'!$Q$1:$X$542,3,FALSE)</f>
        <v>0</v>
      </c>
      <c r="BD319">
        <f>VLOOKUP($BA319,'[2]NonStandard DIS'!$Q$1:$X$542,4,FALSE)</f>
        <v>0.308</v>
      </c>
      <c r="BE319">
        <f>VLOOKUP($BA319,'[2]NonStandard DIS'!$Q$1:$X$542,5,FALSE)</f>
        <v>0.69199999999999995</v>
      </c>
      <c r="BF319">
        <f>VLOOKUP($BA319,'[2]NonStandard DIS'!$Q$1:$X$542,6,FALSE)</f>
        <v>0</v>
      </c>
      <c r="BG319">
        <f>VLOOKUP($BA319,'[2]NonStandard DIS'!$Q$1:$X$542,7,FALSE)</f>
        <v>0</v>
      </c>
      <c r="BH319">
        <f>VLOOKUP($BA319,'[2]NonStandard DIS'!$Q$1:$X$542,8,FALSE)</f>
        <v>0</v>
      </c>
      <c r="BI319" s="77">
        <f t="shared" si="675"/>
        <v>1</v>
      </c>
      <c r="BJ319" s="77">
        <f t="shared" si="676"/>
        <v>6.9728499999999985E-2</v>
      </c>
      <c r="BK319" s="77">
        <f t="shared" ref="BK319:BK382" si="814">(1+BJ319)^(1/12)-1</f>
        <v>5.632878498097682E-3</v>
      </c>
      <c r="BL319" s="79">
        <v>0</v>
      </c>
      <c r="BM319" s="77">
        <f t="shared" si="688"/>
        <v>0</v>
      </c>
      <c r="BN319" s="77">
        <f t="shared" si="689"/>
        <v>0</v>
      </c>
      <c r="BO319" s="77">
        <f t="shared" si="690"/>
        <v>5.6775999999999997E-3</v>
      </c>
      <c r="BP319" s="77">
        <f t="shared" si="691"/>
        <v>4.7190657760731725E-4</v>
      </c>
    </row>
    <row r="320" spans="1:68">
      <c r="A320" t="s">
        <v>175</v>
      </c>
      <c r="B320" t="s">
        <v>176</v>
      </c>
      <c r="C320" s="197" t="str">
        <f t="shared" si="726"/>
        <v>Lifecycle_Balanced_225</v>
      </c>
      <c r="D320">
        <v>225</v>
      </c>
      <c r="E320">
        <f>VLOOKUP($D320,'[2]LC Balanced'!$Q$2:$U$542,2,FALSE)</f>
        <v>0</v>
      </c>
      <c r="F320">
        <f>VLOOKUP($D320,'[2]LC Balanced'!$Q$2:$U$542,3,FALSE)</f>
        <v>0.14899999999999999</v>
      </c>
      <c r="G320">
        <f>VLOOKUP($D320,'[2]LC Balanced'!$Q$2:$U$542,4,FALSE)</f>
        <v>0.85099999999999998</v>
      </c>
      <c r="H320">
        <f>VLOOKUP($D320,'[2]LC Balanced'!$Q$2:$U$542,5,FALSE)</f>
        <v>0</v>
      </c>
      <c r="I320" s="77">
        <f t="shared" si="670"/>
        <v>1</v>
      </c>
      <c r="J320" s="77">
        <f t="shared" si="671"/>
        <v>6.1987699999999986E-2</v>
      </c>
      <c r="K320" s="77">
        <f t="shared" si="661"/>
        <v>5.024442123284345E-3</v>
      </c>
      <c r="L320" s="76">
        <v>0</v>
      </c>
      <c r="M320" s="77">
        <f t="shared" si="677"/>
        <v>0</v>
      </c>
      <c r="N320" s="77">
        <f t="shared" si="678"/>
        <v>0</v>
      </c>
      <c r="O320" s="77">
        <f t="shared" si="679"/>
        <v>7.0062999999999992E-3</v>
      </c>
      <c r="P320" s="77">
        <f t="shared" si="680"/>
        <v>5.85741666996209E-4</v>
      </c>
      <c r="R320" t="s">
        <v>177</v>
      </c>
      <c r="S320" t="s">
        <v>176</v>
      </c>
      <c r="T320" s="197" t="str">
        <f t="shared" si="769"/>
        <v>Autopilot_Balanced_225</v>
      </c>
      <c r="U320">
        <v>225</v>
      </c>
      <c r="V320">
        <f>VLOOKUP($U320,'[2]AP Balanced'!$Q$1:$T$542,2,FALSE)</f>
        <v>0.77777777777777779</v>
      </c>
      <c r="W320">
        <f>VLOOKUP($U320,'[2]AP Balanced'!$Q$1:$T$542,3,FALSE)</f>
        <v>0.22222222222222221</v>
      </c>
      <c r="X320">
        <f>VLOOKUP($U320,'[2]AP Balanced'!$Q$1:$T$542,4,FALSE)</f>
        <v>0</v>
      </c>
      <c r="Y320" s="77">
        <f t="shared" si="727"/>
        <v>1</v>
      </c>
      <c r="Z320" s="77">
        <f t="shared" si="716"/>
        <v>6.1674999999999987E-2</v>
      </c>
      <c r="AA320" s="77">
        <f t="shared" si="717"/>
        <v>4.9997781870025904E-3</v>
      </c>
      <c r="AB320" s="79">
        <v>1</v>
      </c>
      <c r="AC320" s="77">
        <f t="shared" si="681"/>
        <v>8.0555555555555554E-3</v>
      </c>
      <c r="AD320" s="77">
        <f t="shared" si="672"/>
        <v>6.7378764057135498E-4</v>
      </c>
      <c r="AE320" s="77">
        <f t="shared" si="682"/>
        <v>2.5000000000000001E-3</v>
      </c>
      <c r="AF320" s="77">
        <f t="shared" si="672"/>
        <v>2.0857243058891584E-4</v>
      </c>
      <c r="AH320" t="s">
        <v>175</v>
      </c>
      <c r="AI320" t="s">
        <v>176</v>
      </c>
      <c r="AJ320" s="197" t="str">
        <f t="shared" si="728"/>
        <v>Lifecycle_Balanced_225</v>
      </c>
      <c r="AK320">
        <v>225</v>
      </c>
      <c r="AL320">
        <f>VLOOKUP($U320,[2]Standard_Balanced!$Q$1:$T$542,2,FALSE)</f>
        <v>0.77777777777777779</v>
      </c>
      <c r="AM320">
        <f>VLOOKUP($U320,[2]Standard_Balanced!$Q$1:$T$542,3,FALSE)</f>
        <v>0.22222222222222221</v>
      </c>
      <c r="AN320">
        <f>VLOOKUP($U320,[2]Standard_Balanced!$Q$1:$T$542,4,FALSE)</f>
        <v>0</v>
      </c>
      <c r="AO320" s="77">
        <f t="shared" ref="AO320:AO383" si="815">SUM(AL320:AN320)</f>
        <v>1</v>
      </c>
      <c r="AP320" s="77">
        <f t="shared" si="683"/>
        <v>6.1674999999999987E-2</v>
      </c>
      <c r="AQ320" s="77">
        <f t="shared" si="729"/>
        <v>4.9997781870025904E-3</v>
      </c>
      <c r="AR320" s="79">
        <v>0</v>
      </c>
      <c r="AS320" s="77">
        <f t="shared" si="684"/>
        <v>0</v>
      </c>
      <c r="AT320" s="77">
        <f t="shared" ref="AT320" si="816">1-(1-AS320)^(1/12)</f>
        <v>0</v>
      </c>
      <c r="AU320" s="77">
        <f t="shared" si="686"/>
        <v>2.5000000000000001E-3</v>
      </c>
      <c r="AV320" s="77">
        <f t="shared" ref="AV320" si="817">1-(1-AU320)^(1/12)</f>
        <v>2.0857243058891584E-4</v>
      </c>
      <c r="AX320" t="s">
        <v>178</v>
      </c>
      <c r="AY320" t="s">
        <v>160</v>
      </c>
      <c r="AZ320" s="197" t="str">
        <f t="shared" si="732"/>
        <v>DIS_Non-Standard_225</v>
      </c>
      <c r="BA320">
        <v>225</v>
      </c>
      <c r="BB320">
        <f>VLOOKUP($BA320,'[2]NonStandard DIS'!$Q$1:$X$542,2,FALSE)</f>
        <v>0</v>
      </c>
      <c r="BC320">
        <f>VLOOKUP($BA320,'[2]NonStandard DIS'!$Q$1:$X$542,3,FALSE)</f>
        <v>0</v>
      </c>
      <c r="BD320">
        <f>VLOOKUP($BA320,'[2]NonStandard DIS'!$Q$1:$X$542,4,FALSE)</f>
        <v>0.308</v>
      </c>
      <c r="BE320">
        <f>VLOOKUP($BA320,'[2]NonStandard DIS'!$Q$1:$X$542,5,FALSE)</f>
        <v>0.69199999999999995</v>
      </c>
      <c r="BF320">
        <f>VLOOKUP($BA320,'[2]NonStandard DIS'!$Q$1:$X$542,6,FALSE)</f>
        <v>0</v>
      </c>
      <c r="BG320">
        <f>VLOOKUP($BA320,'[2]NonStandard DIS'!$Q$1:$X$542,7,FALSE)</f>
        <v>0</v>
      </c>
      <c r="BH320">
        <f>VLOOKUP($BA320,'[2]NonStandard DIS'!$Q$1:$X$542,8,FALSE)</f>
        <v>0</v>
      </c>
      <c r="BI320" s="77">
        <f t="shared" si="675"/>
        <v>1</v>
      </c>
      <c r="BJ320" s="77">
        <f t="shared" si="676"/>
        <v>6.9728499999999985E-2</v>
      </c>
      <c r="BK320" s="77">
        <f t="shared" si="814"/>
        <v>5.632878498097682E-3</v>
      </c>
      <c r="BL320" s="79">
        <v>0</v>
      </c>
      <c r="BM320" s="77">
        <f t="shared" si="688"/>
        <v>0</v>
      </c>
      <c r="BN320" s="77">
        <f t="shared" si="689"/>
        <v>0</v>
      </c>
      <c r="BO320" s="77">
        <f t="shared" si="690"/>
        <v>5.6775999999999997E-3</v>
      </c>
      <c r="BP320" s="77">
        <f t="shared" si="691"/>
        <v>4.7190657760731725E-4</v>
      </c>
    </row>
    <row r="321" spans="1:68">
      <c r="A321" t="s">
        <v>175</v>
      </c>
      <c r="B321" t="s">
        <v>176</v>
      </c>
      <c r="C321" s="197" t="str">
        <f t="shared" si="726"/>
        <v>Lifecycle_Balanced_224</v>
      </c>
      <c r="D321">
        <v>224</v>
      </c>
      <c r="E321">
        <f>VLOOKUP($D321,'[2]LC Balanced'!$Q$2:$U$542,2,FALSE)</f>
        <v>0</v>
      </c>
      <c r="F321">
        <f>VLOOKUP($D321,'[2]LC Balanced'!$Q$2:$U$542,3,FALSE)</f>
        <v>0.14899999999999999</v>
      </c>
      <c r="G321">
        <f>VLOOKUP($D321,'[2]LC Balanced'!$Q$2:$U$542,4,FALSE)</f>
        <v>0.85099999999999998</v>
      </c>
      <c r="H321">
        <f>VLOOKUP($D321,'[2]LC Balanced'!$Q$2:$U$542,5,FALSE)</f>
        <v>0</v>
      </c>
      <c r="I321" s="77">
        <f t="shared" si="670"/>
        <v>1</v>
      </c>
      <c r="J321" s="77">
        <f t="shared" si="671"/>
        <v>6.1987699999999986E-2</v>
      </c>
      <c r="K321" s="77">
        <f t="shared" ref="K321:K384" si="818">(1+J321)^(1/12)-1</f>
        <v>5.024442123284345E-3</v>
      </c>
      <c r="L321" s="76">
        <v>0</v>
      </c>
      <c r="M321" s="77">
        <f t="shared" si="677"/>
        <v>0</v>
      </c>
      <c r="N321" s="77">
        <f t="shared" si="678"/>
        <v>0</v>
      </c>
      <c r="O321" s="77">
        <f t="shared" si="679"/>
        <v>7.0062999999999992E-3</v>
      </c>
      <c r="P321" s="77">
        <f t="shared" si="680"/>
        <v>5.85741666996209E-4</v>
      </c>
      <c r="R321" t="s">
        <v>177</v>
      </c>
      <c r="S321" t="s">
        <v>176</v>
      </c>
      <c r="T321" s="197" t="str">
        <f t="shared" si="769"/>
        <v>Autopilot_Balanced_224</v>
      </c>
      <c r="U321">
        <v>224</v>
      </c>
      <c r="V321">
        <f>VLOOKUP($U321,'[2]AP Balanced'!$Q$1:$T$542,2,FALSE)</f>
        <v>0.77777777777777779</v>
      </c>
      <c r="W321">
        <f>VLOOKUP($U321,'[2]AP Balanced'!$Q$1:$T$542,3,FALSE)</f>
        <v>0.22222222222222221</v>
      </c>
      <c r="X321">
        <f>VLOOKUP($U321,'[2]AP Balanced'!$Q$1:$T$542,4,FALSE)</f>
        <v>0</v>
      </c>
      <c r="Y321" s="77">
        <f t="shared" si="727"/>
        <v>1</v>
      </c>
      <c r="Z321" s="77">
        <f t="shared" si="716"/>
        <v>6.1674999999999987E-2</v>
      </c>
      <c r="AA321" s="77">
        <f t="shared" si="717"/>
        <v>4.9997781870025904E-3</v>
      </c>
      <c r="AB321" s="79">
        <v>1</v>
      </c>
      <c r="AC321" s="77">
        <f t="shared" si="681"/>
        <v>8.0555555555555554E-3</v>
      </c>
      <c r="AD321" s="77">
        <f t="shared" si="672"/>
        <v>6.7378764057135498E-4</v>
      </c>
      <c r="AE321" s="77">
        <f t="shared" si="682"/>
        <v>2.5000000000000001E-3</v>
      </c>
      <c r="AF321" s="77">
        <f t="shared" si="672"/>
        <v>2.0857243058891584E-4</v>
      </c>
      <c r="AH321" t="s">
        <v>175</v>
      </c>
      <c r="AI321" t="s">
        <v>176</v>
      </c>
      <c r="AJ321" s="197" t="str">
        <f t="shared" si="728"/>
        <v>Lifecycle_Balanced_224</v>
      </c>
      <c r="AK321">
        <v>224</v>
      </c>
      <c r="AL321">
        <f>VLOOKUP($U321,[2]Standard_Balanced!$Q$1:$T$542,2,FALSE)</f>
        <v>0.77777777777777779</v>
      </c>
      <c r="AM321">
        <f>VLOOKUP($U321,[2]Standard_Balanced!$Q$1:$T$542,3,FALSE)</f>
        <v>0.22222222222222221</v>
      </c>
      <c r="AN321">
        <f>VLOOKUP($U321,[2]Standard_Balanced!$Q$1:$T$542,4,FALSE)</f>
        <v>0</v>
      </c>
      <c r="AO321" s="77">
        <f t="shared" si="815"/>
        <v>1</v>
      </c>
      <c r="AP321" s="77">
        <f t="shared" si="683"/>
        <v>6.1674999999999987E-2</v>
      </c>
      <c r="AQ321" s="77">
        <f t="shared" si="729"/>
        <v>4.9997781870025904E-3</v>
      </c>
      <c r="AR321" s="79">
        <v>0</v>
      </c>
      <c r="AS321" s="77">
        <f t="shared" si="684"/>
        <v>0</v>
      </c>
      <c r="AT321" s="77">
        <f t="shared" ref="AT321" si="819">1-(1-AS321)^(1/12)</f>
        <v>0</v>
      </c>
      <c r="AU321" s="77">
        <f t="shared" si="686"/>
        <v>2.5000000000000001E-3</v>
      </c>
      <c r="AV321" s="77">
        <f t="shared" ref="AV321" si="820">1-(1-AU321)^(1/12)</f>
        <v>2.0857243058891584E-4</v>
      </c>
      <c r="AX321" t="s">
        <v>178</v>
      </c>
      <c r="AY321" t="s">
        <v>160</v>
      </c>
      <c r="AZ321" s="197" t="str">
        <f t="shared" si="732"/>
        <v>DIS_Non-Standard_224</v>
      </c>
      <c r="BA321">
        <v>224</v>
      </c>
      <c r="BB321">
        <f>VLOOKUP($BA321,'[2]NonStandard DIS'!$Q$1:$X$542,2,FALSE)</f>
        <v>0</v>
      </c>
      <c r="BC321">
        <f>VLOOKUP($BA321,'[2]NonStandard DIS'!$Q$1:$X$542,3,FALSE)</f>
        <v>0</v>
      </c>
      <c r="BD321">
        <f>VLOOKUP($BA321,'[2]NonStandard DIS'!$Q$1:$X$542,4,FALSE)</f>
        <v>0.308</v>
      </c>
      <c r="BE321">
        <f>VLOOKUP($BA321,'[2]NonStandard DIS'!$Q$1:$X$542,5,FALSE)</f>
        <v>0.69199999999999995</v>
      </c>
      <c r="BF321">
        <f>VLOOKUP($BA321,'[2]NonStandard DIS'!$Q$1:$X$542,6,FALSE)</f>
        <v>0</v>
      </c>
      <c r="BG321">
        <f>VLOOKUP($BA321,'[2]NonStandard DIS'!$Q$1:$X$542,7,FALSE)</f>
        <v>0</v>
      </c>
      <c r="BH321">
        <f>VLOOKUP($BA321,'[2]NonStandard DIS'!$Q$1:$X$542,8,FALSE)</f>
        <v>0</v>
      </c>
      <c r="BI321" s="77">
        <f t="shared" si="675"/>
        <v>1</v>
      </c>
      <c r="BJ321" s="77">
        <f t="shared" si="676"/>
        <v>6.9728499999999985E-2</v>
      </c>
      <c r="BK321" s="77">
        <f t="shared" si="814"/>
        <v>5.632878498097682E-3</v>
      </c>
      <c r="BL321" s="79">
        <v>0</v>
      </c>
      <c r="BM321" s="77">
        <f t="shared" si="688"/>
        <v>0</v>
      </c>
      <c r="BN321" s="77">
        <f t="shared" si="689"/>
        <v>0</v>
      </c>
      <c r="BO321" s="77">
        <f t="shared" si="690"/>
        <v>5.6775999999999997E-3</v>
      </c>
      <c r="BP321" s="77">
        <f t="shared" si="691"/>
        <v>4.7190657760731725E-4</v>
      </c>
    </row>
    <row r="322" spans="1:68">
      <c r="A322" t="s">
        <v>175</v>
      </c>
      <c r="B322" t="s">
        <v>176</v>
      </c>
      <c r="C322" s="197" t="str">
        <f t="shared" si="726"/>
        <v>Lifecycle_Balanced_223</v>
      </c>
      <c r="D322">
        <v>223</v>
      </c>
      <c r="E322">
        <f>VLOOKUP($D322,'[2]LC Balanced'!$Q$2:$U$542,2,FALSE)</f>
        <v>0</v>
      </c>
      <c r="F322">
        <f>VLOOKUP($D322,'[2]LC Balanced'!$Q$2:$U$542,3,FALSE)</f>
        <v>0.14899999999999999</v>
      </c>
      <c r="G322">
        <f>VLOOKUP($D322,'[2]LC Balanced'!$Q$2:$U$542,4,FALSE)</f>
        <v>0.85099999999999998</v>
      </c>
      <c r="H322">
        <f>VLOOKUP($D322,'[2]LC Balanced'!$Q$2:$U$542,5,FALSE)</f>
        <v>0</v>
      </c>
      <c r="I322" s="77">
        <f t="shared" si="670"/>
        <v>1</v>
      </c>
      <c r="J322" s="77">
        <f t="shared" si="671"/>
        <v>6.1987699999999986E-2</v>
      </c>
      <c r="K322" s="77">
        <f t="shared" si="818"/>
        <v>5.024442123284345E-3</v>
      </c>
      <c r="L322" s="76">
        <v>0</v>
      </c>
      <c r="M322" s="77">
        <f t="shared" si="677"/>
        <v>0</v>
      </c>
      <c r="N322" s="77">
        <f t="shared" si="678"/>
        <v>0</v>
      </c>
      <c r="O322" s="77">
        <f t="shared" si="679"/>
        <v>7.0062999999999992E-3</v>
      </c>
      <c r="P322" s="77">
        <f t="shared" si="680"/>
        <v>5.85741666996209E-4</v>
      </c>
      <c r="R322" t="s">
        <v>177</v>
      </c>
      <c r="S322" t="s">
        <v>176</v>
      </c>
      <c r="T322" s="197" t="str">
        <f t="shared" si="769"/>
        <v>Autopilot_Balanced_223</v>
      </c>
      <c r="U322">
        <v>223</v>
      </c>
      <c r="V322">
        <f>VLOOKUP($U322,'[2]AP Balanced'!$Q$1:$T$542,2,FALSE)</f>
        <v>0.77777777777777779</v>
      </c>
      <c r="W322">
        <f>VLOOKUP($U322,'[2]AP Balanced'!$Q$1:$T$542,3,FALSE)</f>
        <v>0.22222222222222221</v>
      </c>
      <c r="X322">
        <f>VLOOKUP($U322,'[2]AP Balanced'!$Q$1:$T$542,4,FALSE)</f>
        <v>0</v>
      </c>
      <c r="Y322" s="77">
        <f t="shared" si="727"/>
        <v>1</v>
      </c>
      <c r="Z322" s="77">
        <f t="shared" si="716"/>
        <v>6.1674999999999987E-2</v>
      </c>
      <c r="AA322" s="77">
        <f t="shared" si="717"/>
        <v>4.9997781870025904E-3</v>
      </c>
      <c r="AB322" s="79">
        <v>1</v>
      </c>
      <c r="AC322" s="77">
        <f t="shared" si="681"/>
        <v>8.0555555555555554E-3</v>
      </c>
      <c r="AD322" s="77">
        <f t="shared" si="672"/>
        <v>6.7378764057135498E-4</v>
      </c>
      <c r="AE322" s="77">
        <f t="shared" si="682"/>
        <v>2.5000000000000001E-3</v>
      </c>
      <c r="AF322" s="77">
        <f t="shared" si="672"/>
        <v>2.0857243058891584E-4</v>
      </c>
      <c r="AH322" t="s">
        <v>175</v>
      </c>
      <c r="AI322" t="s">
        <v>176</v>
      </c>
      <c r="AJ322" s="197" t="str">
        <f t="shared" si="728"/>
        <v>Lifecycle_Balanced_223</v>
      </c>
      <c r="AK322">
        <v>223</v>
      </c>
      <c r="AL322">
        <f>VLOOKUP($U322,[2]Standard_Balanced!$Q$1:$T$542,2,FALSE)</f>
        <v>0.77777777777777779</v>
      </c>
      <c r="AM322">
        <f>VLOOKUP($U322,[2]Standard_Balanced!$Q$1:$T$542,3,FALSE)</f>
        <v>0.22222222222222221</v>
      </c>
      <c r="AN322">
        <f>VLOOKUP($U322,[2]Standard_Balanced!$Q$1:$T$542,4,FALSE)</f>
        <v>0</v>
      </c>
      <c r="AO322" s="77">
        <f t="shared" si="815"/>
        <v>1</v>
      </c>
      <c r="AP322" s="77">
        <f t="shared" si="683"/>
        <v>6.1674999999999987E-2</v>
      </c>
      <c r="AQ322" s="77">
        <f t="shared" si="729"/>
        <v>4.9997781870025904E-3</v>
      </c>
      <c r="AR322" s="79">
        <v>0</v>
      </c>
      <c r="AS322" s="77">
        <f t="shared" si="684"/>
        <v>0</v>
      </c>
      <c r="AT322" s="77">
        <f t="shared" ref="AT322" si="821">1-(1-AS322)^(1/12)</f>
        <v>0</v>
      </c>
      <c r="AU322" s="77">
        <f t="shared" si="686"/>
        <v>2.5000000000000001E-3</v>
      </c>
      <c r="AV322" s="77">
        <f t="shared" ref="AV322" si="822">1-(1-AU322)^(1/12)</f>
        <v>2.0857243058891584E-4</v>
      </c>
      <c r="AX322" t="s">
        <v>178</v>
      </c>
      <c r="AY322" t="s">
        <v>160</v>
      </c>
      <c r="AZ322" s="197" t="str">
        <f t="shared" si="732"/>
        <v>DIS_Non-Standard_223</v>
      </c>
      <c r="BA322">
        <v>223</v>
      </c>
      <c r="BB322">
        <f>VLOOKUP($BA322,'[2]NonStandard DIS'!$Q$1:$X$542,2,FALSE)</f>
        <v>0</v>
      </c>
      <c r="BC322">
        <f>VLOOKUP($BA322,'[2]NonStandard DIS'!$Q$1:$X$542,3,FALSE)</f>
        <v>0</v>
      </c>
      <c r="BD322">
        <f>VLOOKUP($BA322,'[2]NonStandard DIS'!$Q$1:$X$542,4,FALSE)</f>
        <v>0.308</v>
      </c>
      <c r="BE322">
        <f>VLOOKUP($BA322,'[2]NonStandard DIS'!$Q$1:$X$542,5,FALSE)</f>
        <v>0.69199999999999995</v>
      </c>
      <c r="BF322">
        <f>VLOOKUP($BA322,'[2]NonStandard DIS'!$Q$1:$X$542,6,FALSE)</f>
        <v>0</v>
      </c>
      <c r="BG322">
        <f>VLOOKUP($BA322,'[2]NonStandard DIS'!$Q$1:$X$542,7,FALSE)</f>
        <v>0</v>
      </c>
      <c r="BH322">
        <f>VLOOKUP($BA322,'[2]NonStandard DIS'!$Q$1:$X$542,8,FALSE)</f>
        <v>0</v>
      </c>
      <c r="BI322" s="77">
        <f t="shared" si="675"/>
        <v>1</v>
      </c>
      <c r="BJ322" s="77">
        <f t="shared" si="676"/>
        <v>6.9728499999999985E-2</v>
      </c>
      <c r="BK322" s="77">
        <f t="shared" si="814"/>
        <v>5.632878498097682E-3</v>
      </c>
      <c r="BL322" s="79">
        <v>0</v>
      </c>
      <c r="BM322" s="77">
        <f t="shared" si="688"/>
        <v>0</v>
      </c>
      <c r="BN322" s="77">
        <f t="shared" si="689"/>
        <v>0</v>
      </c>
      <c r="BO322" s="77">
        <f t="shared" si="690"/>
        <v>5.6775999999999997E-3</v>
      </c>
      <c r="BP322" s="77">
        <f t="shared" si="691"/>
        <v>4.7190657760731725E-4</v>
      </c>
    </row>
    <row r="323" spans="1:68">
      <c r="A323" t="s">
        <v>175</v>
      </c>
      <c r="B323" t="s">
        <v>176</v>
      </c>
      <c r="C323" s="197" t="str">
        <f t="shared" si="726"/>
        <v>Lifecycle_Balanced_222</v>
      </c>
      <c r="D323">
        <v>222</v>
      </c>
      <c r="E323">
        <f>VLOOKUP($D323,'[2]LC Balanced'!$Q$2:$U$542,2,FALSE)</f>
        <v>0</v>
      </c>
      <c r="F323">
        <f>VLOOKUP($D323,'[2]LC Balanced'!$Q$2:$U$542,3,FALSE)</f>
        <v>0.14899999999999999</v>
      </c>
      <c r="G323">
        <f>VLOOKUP($D323,'[2]LC Balanced'!$Q$2:$U$542,4,FALSE)</f>
        <v>0.85099999999999998</v>
      </c>
      <c r="H323">
        <f>VLOOKUP($D323,'[2]LC Balanced'!$Q$2:$U$542,5,FALSE)</f>
        <v>0</v>
      </c>
      <c r="I323" s="77">
        <f t="shared" si="670"/>
        <v>1</v>
      </c>
      <c r="J323" s="77">
        <f t="shared" si="671"/>
        <v>6.1987699999999986E-2</v>
      </c>
      <c r="K323" s="77">
        <f t="shared" si="818"/>
        <v>5.024442123284345E-3</v>
      </c>
      <c r="L323" s="76">
        <v>0</v>
      </c>
      <c r="M323" s="77">
        <f t="shared" si="677"/>
        <v>0</v>
      </c>
      <c r="N323" s="77">
        <f t="shared" si="678"/>
        <v>0</v>
      </c>
      <c r="O323" s="77">
        <f t="shared" si="679"/>
        <v>7.0062999999999992E-3</v>
      </c>
      <c r="P323" s="77">
        <f t="shared" si="680"/>
        <v>5.85741666996209E-4</v>
      </c>
      <c r="R323" t="s">
        <v>177</v>
      </c>
      <c r="S323" t="s">
        <v>176</v>
      </c>
      <c r="T323" s="197" t="str">
        <f t="shared" si="769"/>
        <v>Autopilot_Balanced_222</v>
      </c>
      <c r="U323">
        <v>222</v>
      </c>
      <c r="V323">
        <f>VLOOKUP($U323,'[2]AP Balanced'!$Q$1:$T$542,2,FALSE)</f>
        <v>0.77777777777777779</v>
      </c>
      <c r="W323">
        <f>VLOOKUP($U323,'[2]AP Balanced'!$Q$1:$T$542,3,FALSE)</f>
        <v>0.22222222222222221</v>
      </c>
      <c r="X323">
        <f>VLOOKUP($U323,'[2]AP Balanced'!$Q$1:$T$542,4,FALSE)</f>
        <v>0</v>
      </c>
      <c r="Y323" s="77">
        <f t="shared" si="727"/>
        <v>1</v>
      </c>
      <c r="Z323" s="77">
        <f t="shared" si="716"/>
        <v>6.1674999999999987E-2</v>
      </c>
      <c r="AA323" s="77">
        <f t="shared" si="717"/>
        <v>4.9997781870025904E-3</v>
      </c>
      <c r="AB323" s="79">
        <v>1</v>
      </c>
      <c r="AC323" s="77">
        <f t="shared" si="681"/>
        <v>8.0555555555555554E-3</v>
      </c>
      <c r="AD323" s="77">
        <f t="shared" si="672"/>
        <v>6.7378764057135498E-4</v>
      </c>
      <c r="AE323" s="77">
        <f t="shared" si="682"/>
        <v>2.5000000000000001E-3</v>
      </c>
      <c r="AF323" s="77">
        <f t="shared" si="672"/>
        <v>2.0857243058891584E-4</v>
      </c>
      <c r="AH323" t="s">
        <v>175</v>
      </c>
      <c r="AI323" t="s">
        <v>176</v>
      </c>
      <c r="AJ323" s="197" t="str">
        <f t="shared" si="728"/>
        <v>Lifecycle_Balanced_222</v>
      </c>
      <c r="AK323">
        <v>222</v>
      </c>
      <c r="AL323">
        <f>VLOOKUP($U323,[2]Standard_Balanced!$Q$1:$T$542,2,FALSE)</f>
        <v>0.77777777777777779</v>
      </c>
      <c r="AM323">
        <f>VLOOKUP($U323,[2]Standard_Balanced!$Q$1:$T$542,3,FALSE)</f>
        <v>0.22222222222222221</v>
      </c>
      <c r="AN323">
        <f>VLOOKUP($U323,[2]Standard_Balanced!$Q$1:$T$542,4,FALSE)</f>
        <v>0</v>
      </c>
      <c r="AO323" s="77">
        <f t="shared" si="815"/>
        <v>1</v>
      </c>
      <c r="AP323" s="77">
        <f t="shared" si="683"/>
        <v>6.1674999999999987E-2</v>
      </c>
      <c r="AQ323" s="77">
        <f t="shared" si="729"/>
        <v>4.9997781870025904E-3</v>
      </c>
      <c r="AR323" s="79">
        <v>0</v>
      </c>
      <c r="AS323" s="77">
        <f t="shared" si="684"/>
        <v>0</v>
      </c>
      <c r="AT323" s="77">
        <f t="shared" ref="AT323" si="823">1-(1-AS323)^(1/12)</f>
        <v>0</v>
      </c>
      <c r="AU323" s="77">
        <f t="shared" si="686"/>
        <v>2.5000000000000001E-3</v>
      </c>
      <c r="AV323" s="77">
        <f t="shared" ref="AV323" si="824">1-(1-AU323)^(1/12)</f>
        <v>2.0857243058891584E-4</v>
      </c>
      <c r="AX323" t="s">
        <v>178</v>
      </c>
      <c r="AY323" t="s">
        <v>160</v>
      </c>
      <c r="AZ323" s="197" t="str">
        <f t="shared" si="732"/>
        <v>DIS_Non-Standard_222</v>
      </c>
      <c r="BA323">
        <v>222</v>
      </c>
      <c r="BB323">
        <f>VLOOKUP($BA323,'[2]NonStandard DIS'!$Q$1:$X$542,2,FALSE)</f>
        <v>0</v>
      </c>
      <c r="BC323">
        <f>VLOOKUP($BA323,'[2]NonStandard DIS'!$Q$1:$X$542,3,FALSE)</f>
        <v>0</v>
      </c>
      <c r="BD323">
        <f>VLOOKUP($BA323,'[2]NonStandard DIS'!$Q$1:$X$542,4,FALSE)</f>
        <v>0.308</v>
      </c>
      <c r="BE323">
        <f>VLOOKUP($BA323,'[2]NonStandard DIS'!$Q$1:$X$542,5,FALSE)</f>
        <v>0.69199999999999995</v>
      </c>
      <c r="BF323">
        <f>VLOOKUP($BA323,'[2]NonStandard DIS'!$Q$1:$X$542,6,FALSE)</f>
        <v>0</v>
      </c>
      <c r="BG323">
        <f>VLOOKUP($BA323,'[2]NonStandard DIS'!$Q$1:$X$542,7,FALSE)</f>
        <v>0</v>
      </c>
      <c r="BH323">
        <f>VLOOKUP($BA323,'[2]NonStandard DIS'!$Q$1:$X$542,8,FALSE)</f>
        <v>0</v>
      </c>
      <c r="BI323" s="77">
        <f t="shared" si="675"/>
        <v>1</v>
      </c>
      <c r="BJ323" s="77">
        <f t="shared" si="676"/>
        <v>6.9728499999999985E-2</v>
      </c>
      <c r="BK323" s="77">
        <f t="shared" si="814"/>
        <v>5.632878498097682E-3</v>
      </c>
      <c r="BL323" s="79">
        <v>0</v>
      </c>
      <c r="BM323" s="77">
        <f t="shared" si="688"/>
        <v>0</v>
      </c>
      <c r="BN323" s="77">
        <f t="shared" si="689"/>
        <v>0</v>
      </c>
      <c r="BO323" s="77">
        <f t="shared" si="690"/>
        <v>5.6775999999999997E-3</v>
      </c>
      <c r="BP323" s="77">
        <f t="shared" si="691"/>
        <v>4.7190657760731725E-4</v>
      </c>
    </row>
    <row r="324" spans="1:68">
      <c r="A324" t="s">
        <v>175</v>
      </c>
      <c r="B324" t="s">
        <v>176</v>
      </c>
      <c r="C324" s="197" t="str">
        <f t="shared" si="726"/>
        <v>Lifecycle_Balanced_221</v>
      </c>
      <c r="D324">
        <v>221</v>
      </c>
      <c r="E324">
        <f>VLOOKUP($D324,'[2]LC Balanced'!$Q$2:$U$542,2,FALSE)</f>
        <v>0</v>
      </c>
      <c r="F324">
        <f>VLOOKUP($D324,'[2]LC Balanced'!$Q$2:$U$542,3,FALSE)</f>
        <v>0.14899999999999999</v>
      </c>
      <c r="G324">
        <f>VLOOKUP($D324,'[2]LC Balanced'!$Q$2:$U$542,4,FALSE)</f>
        <v>0.85099999999999998</v>
      </c>
      <c r="H324">
        <f>VLOOKUP($D324,'[2]LC Balanced'!$Q$2:$U$542,5,FALSE)</f>
        <v>0</v>
      </c>
      <c r="I324" s="77">
        <f t="shared" si="670"/>
        <v>1</v>
      </c>
      <c r="J324" s="77">
        <f t="shared" si="671"/>
        <v>6.1987699999999986E-2</v>
      </c>
      <c r="K324" s="77">
        <f t="shared" si="818"/>
        <v>5.024442123284345E-3</v>
      </c>
      <c r="L324" s="76">
        <v>0</v>
      </c>
      <c r="M324" s="77">
        <f t="shared" si="677"/>
        <v>0</v>
      </c>
      <c r="N324" s="77">
        <f t="shared" si="678"/>
        <v>0</v>
      </c>
      <c r="O324" s="77">
        <f t="shared" si="679"/>
        <v>7.0062999999999992E-3</v>
      </c>
      <c r="P324" s="77">
        <f t="shared" si="680"/>
        <v>5.85741666996209E-4</v>
      </c>
      <c r="R324" t="s">
        <v>177</v>
      </c>
      <c r="S324" t="s">
        <v>176</v>
      </c>
      <c r="T324" s="197" t="str">
        <f t="shared" si="769"/>
        <v>Autopilot_Balanced_221</v>
      </c>
      <c r="U324">
        <v>221</v>
      </c>
      <c r="V324">
        <f>VLOOKUP($U324,'[2]AP Balanced'!$Q$1:$T$542,2,FALSE)</f>
        <v>0.77777777777777779</v>
      </c>
      <c r="W324">
        <f>VLOOKUP($U324,'[2]AP Balanced'!$Q$1:$T$542,3,FALSE)</f>
        <v>0.22222222222222221</v>
      </c>
      <c r="X324">
        <f>VLOOKUP($U324,'[2]AP Balanced'!$Q$1:$T$542,4,FALSE)</f>
        <v>0</v>
      </c>
      <c r="Y324" s="77">
        <f t="shared" si="727"/>
        <v>1</v>
      </c>
      <c r="Z324" s="77">
        <f t="shared" si="716"/>
        <v>6.1674999999999987E-2</v>
      </c>
      <c r="AA324" s="77">
        <f t="shared" si="717"/>
        <v>4.9997781870025904E-3</v>
      </c>
      <c r="AB324" s="79">
        <v>1</v>
      </c>
      <c r="AC324" s="77">
        <f t="shared" si="681"/>
        <v>8.0555555555555554E-3</v>
      </c>
      <c r="AD324" s="77">
        <f t="shared" si="672"/>
        <v>6.7378764057135498E-4</v>
      </c>
      <c r="AE324" s="77">
        <f t="shared" si="682"/>
        <v>2.5000000000000001E-3</v>
      </c>
      <c r="AF324" s="77">
        <f t="shared" si="672"/>
        <v>2.0857243058891584E-4</v>
      </c>
      <c r="AH324" t="s">
        <v>175</v>
      </c>
      <c r="AI324" t="s">
        <v>176</v>
      </c>
      <c r="AJ324" s="197" t="str">
        <f t="shared" si="728"/>
        <v>Lifecycle_Balanced_221</v>
      </c>
      <c r="AK324">
        <v>221</v>
      </c>
      <c r="AL324">
        <f>VLOOKUP($U324,[2]Standard_Balanced!$Q$1:$T$542,2,FALSE)</f>
        <v>0.77777777777777779</v>
      </c>
      <c r="AM324">
        <f>VLOOKUP($U324,[2]Standard_Balanced!$Q$1:$T$542,3,FALSE)</f>
        <v>0.22222222222222221</v>
      </c>
      <c r="AN324">
        <f>VLOOKUP($U324,[2]Standard_Balanced!$Q$1:$T$542,4,FALSE)</f>
        <v>0</v>
      </c>
      <c r="AO324" s="77">
        <f t="shared" si="815"/>
        <v>1</v>
      </c>
      <c r="AP324" s="77">
        <f t="shared" si="683"/>
        <v>6.1674999999999987E-2</v>
      </c>
      <c r="AQ324" s="77">
        <f t="shared" si="729"/>
        <v>4.9997781870025904E-3</v>
      </c>
      <c r="AR324" s="79">
        <v>0</v>
      </c>
      <c r="AS324" s="77">
        <f t="shared" si="684"/>
        <v>0</v>
      </c>
      <c r="AT324" s="77">
        <f t="shared" ref="AT324" si="825">1-(1-AS324)^(1/12)</f>
        <v>0</v>
      </c>
      <c r="AU324" s="77">
        <f t="shared" si="686"/>
        <v>2.5000000000000001E-3</v>
      </c>
      <c r="AV324" s="77">
        <f t="shared" ref="AV324" si="826">1-(1-AU324)^(1/12)</f>
        <v>2.0857243058891584E-4</v>
      </c>
      <c r="AX324" t="s">
        <v>178</v>
      </c>
      <c r="AY324" t="s">
        <v>160</v>
      </c>
      <c r="AZ324" s="197" t="str">
        <f t="shared" si="732"/>
        <v>DIS_Non-Standard_221</v>
      </c>
      <c r="BA324">
        <v>221</v>
      </c>
      <c r="BB324">
        <f>VLOOKUP($BA324,'[2]NonStandard DIS'!$Q$1:$X$542,2,FALSE)</f>
        <v>0</v>
      </c>
      <c r="BC324">
        <f>VLOOKUP($BA324,'[2]NonStandard DIS'!$Q$1:$X$542,3,FALSE)</f>
        <v>0</v>
      </c>
      <c r="BD324">
        <f>VLOOKUP($BA324,'[2]NonStandard DIS'!$Q$1:$X$542,4,FALSE)</f>
        <v>0.308</v>
      </c>
      <c r="BE324">
        <f>VLOOKUP($BA324,'[2]NonStandard DIS'!$Q$1:$X$542,5,FALSE)</f>
        <v>0.69199999999999995</v>
      </c>
      <c r="BF324">
        <f>VLOOKUP($BA324,'[2]NonStandard DIS'!$Q$1:$X$542,6,FALSE)</f>
        <v>0</v>
      </c>
      <c r="BG324">
        <f>VLOOKUP($BA324,'[2]NonStandard DIS'!$Q$1:$X$542,7,FALSE)</f>
        <v>0</v>
      </c>
      <c r="BH324">
        <f>VLOOKUP($BA324,'[2]NonStandard DIS'!$Q$1:$X$542,8,FALSE)</f>
        <v>0</v>
      </c>
      <c r="BI324" s="77">
        <f t="shared" si="675"/>
        <v>1</v>
      </c>
      <c r="BJ324" s="77">
        <f t="shared" si="676"/>
        <v>6.9728499999999985E-2</v>
      </c>
      <c r="BK324" s="77">
        <f t="shared" si="814"/>
        <v>5.632878498097682E-3</v>
      </c>
      <c r="BL324" s="79">
        <v>0</v>
      </c>
      <c r="BM324" s="77">
        <f t="shared" si="688"/>
        <v>0</v>
      </c>
      <c r="BN324" s="77">
        <f t="shared" si="689"/>
        <v>0</v>
      </c>
      <c r="BO324" s="77">
        <f t="shared" si="690"/>
        <v>5.6775999999999997E-3</v>
      </c>
      <c r="BP324" s="77">
        <f t="shared" si="691"/>
        <v>4.7190657760731725E-4</v>
      </c>
    </row>
    <row r="325" spans="1:68">
      <c r="A325" t="s">
        <v>175</v>
      </c>
      <c r="B325" t="s">
        <v>176</v>
      </c>
      <c r="C325" s="197" t="str">
        <f t="shared" si="726"/>
        <v>Lifecycle_Balanced_220</v>
      </c>
      <c r="D325">
        <v>220</v>
      </c>
      <c r="E325">
        <f>VLOOKUP($D325,'[2]LC Balanced'!$Q$2:$U$542,2,FALSE)</f>
        <v>0</v>
      </c>
      <c r="F325">
        <f>VLOOKUP($D325,'[2]LC Balanced'!$Q$2:$U$542,3,FALSE)</f>
        <v>0.14899999999999999</v>
      </c>
      <c r="G325">
        <f>VLOOKUP($D325,'[2]LC Balanced'!$Q$2:$U$542,4,FALSE)</f>
        <v>0.85099999999999998</v>
      </c>
      <c r="H325">
        <f>VLOOKUP($D325,'[2]LC Balanced'!$Q$2:$U$542,5,FALSE)</f>
        <v>0</v>
      </c>
      <c r="I325" s="77">
        <f t="shared" ref="I325:I388" si="827">SUM(E325:H325)</f>
        <v>1</v>
      </c>
      <c r="J325" s="77">
        <f t="shared" ref="J325:J388" si="828">SUMPRODUCT($E$1:$H$1,E325:H325)</f>
        <v>6.1987699999999986E-2</v>
      </c>
      <c r="K325" s="77">
        <f t="shared" si="818"/>
        <v>5.024442123284345E-3</v>
      </c>
      <c r="L325" s="76">
        <v>0</v>
      </c>
      <c r="M325" s="77">
        <f t="shared" si="677"/>
        <v>0</v>
      </c>
      <c r="N325" s="77">
        <f t="shared" si="678"/>
        <v>0</v>
      </c>
      <c r="O325" s="77">
        <f t="shared" si="679"/>
        <v>7.0062999999999992E-3</v>
      </c>
      <c r="P325" s="77">
        <f t="shared" si="680"/>
        <v>5.85741666996209E-4</v>
      </c>
      <c r="R325" t="s">
        <v>177</v>
      </c>
      <c r="S325" t="s">
        <v>176</v>
      </c>
      <c r="T325" s="197" t="str">
        <f t="shared" si="769"/>
        <v>Autopilot_Balanced_220</v>
      </c>
      <c r="U325">
        <v>220</v>
      </c>
      <c r="V325">
        <f>VLOOKUP($U325,'[2]AP Balanced'!$Q$1:$T$542,2,FALSE)</f>
        <v>0.77777777777777779</v>
      </c>
      <c r="W325">
        <f>VLOOKUP($U325,'[2]AP Balanced'!$Q$1:$T$542,3,FALSE)</f>
        <v>0.22222222222222221</v>
      </c>
      <c r="X325">
        <f>VLOOKUP($U325,'[2]AP Balanced'!$Q$1:$T$542,4,FALSE)</f>
        <v>0</v>
      </c>
      <c r="Y325" s="77">
        <f t="shared" si="727"/>
        <v>1</v>
      </c>
      <c r="Z325" s="77">
        <f t="shared" si="716"/>
        <v>6.1674999999999987E-2</v>
      </c>
      <c r="AA325" s="77">
        <f t="shared" si="717"/>
        <v>4.9997781870025904E-3</v>
      </c>
      <c r="AB325" s="79">
        <v>1</v>
      </c>
      <c r="AC325" s="77">
        <f t="shared" si="681"/>
        <v>8.0555555555555554E-3</v>
      </c>
      <c r="AD325" s="77">
        <f t="shared" ref="AD325:AF388" si="829">1-(1-AC325)^(1/12)</f>
        <v>6.7378764057135498E-4</v>
      </c>
      <c r="AE325" s="77">
        <f t="shared" si="682"/>
        <v>2.5000000000000001E-3</v>
      </c>
      <c r="AF325" s="77">
        <f t="shared" si="829"/>
        <v>2.0857243058891584E-4</v>
      </c>
      <c r="AH325" t="s">
        <v>175</v>
      </c>
      <c r="AI325" t="s">
        <v>176</v>
      </c>
      <c r="AJ325" s="197" t="str">
        <f t="shared" si="728"/>
        <v>Lifecycle_Balanced_220</v>
      </c>
      <c r="AK325">
        <v>220</v>
      </c>
      <c r="AL325">
        <f>VLOOKUP($U325,[2]Standard_Balanced!$Q$1:$T$542,2,FALSE)</f>
        <v>0.77777777777777779</v>
      </c>
      <c r="AM325">
        <f>VLOOKUP($U325,[2]Standard_Balanced!$Q$1:$T$542,3,FALSE)</f>
        <v>0.22222222222222221</v>
      </c>
      <c r="AN325">
        <f>VLOOKUP($U325,[2]Standard_Balanced!$Q$1:$T$542,4,FALSE)</f>
        <v>0</v>
      </c>
      <c r="AO325" s="77">
        <f t="shared" si="815"/>
        <v>1</v>
      </c>
      <c r="AP325" s="77">
        <f t="shared" si="683"/>
        <v>6.1674999999999987E-2</v>
      </c>
      <c r="AQ325" s="77">
        <f t="shared" si="729"/>
        <v>4.9997781870025904E-3</v>
      </c>
      <c r="AR325" s="79">
        <v>0</v>
      </c>
      <c r="AS325" s="77">
        <f t="shared" si="684"/>
        <v>0</v>
      </c>
      <c r="AT325" s="77">
        <f t="shared" ref="AT325" si="830">1-(1-AS325)^(1/12)</f>
        <v>0</v>
      </c>
      <c r="AU325" s="77">
        <f t="shared" si="686"/>
        <v>2.5000000000000001E-3</v>
      </c>
      <c r="AV325" s="77">
        <f t="shared" ref="AV325" si="831">1-(1-AU325)^(1/12)</f>
        <v>2.0857243058891584E-4</v>
      </c>
      <c r="AX325" t="s">
        <v>178</v>
      </c>
      <c r="AY325" t="s">
        <v>160</v>
      </c>
      <c r="AZ325" s="197" t="str">
        <f t="shared" si="732"/>
        <v>DIS_Non-Standard_220</v>
      </c>
      <c r="BA325">
        <v>220</v>
      </c>
      <c r="BB325">
        <f>VLOOKUP($BA325,'[2]NonStandard DIS'!$Q$1:$X$542,2,FALSE)</f>
        <v>0</v>
      </c>
      <c r="BC325">
        <f>VLOOKUP($BA325,'[2]NonStandard DIS'!$Q$1:$X$542,3,FALSE)</f>
        <v>0</v>
      </c>
      <c r="BD325">
        <f>VLOOKUP($BA325,'[2]NonStandard DIS'!$Q$1:$X$542,4,FALSE)</f>
        <v>0.308</v>
      </c>
      <c r="BE325">
        <f>VLOOKUP($BA325,'[2]NonStandard DIS'!$Q$1:$X$542,5,FALSE)</f>
        <v>0.69199999999999995</v>
      </c>
      <c r="BF325">
        <f>VLOOKUP($BA325,'[2]NonStandard DIS'!$Q$1:$X$542,6,FALSE)</f>
        <v>0</v>
      </c>
      <c r="BG325">
        <f>VLOOKUP($BA325,'[2]NonStandard DIS'!$Q$1:$X$542,7,FALSE)</f>
        <v>0</v>
      </c>
      <c r="BH325">
        <f>VLOOKUP($BA325,'[2]NonStandard DIS'!$Q$1:$X$542,8,FALSE)</f>
        <v>0</v>
      </c>
      <c r="BI325" s="77">
        <f t="shared" ref="BI325:BI388" si="832">SUM(BB325:BH325)</f>
        <v>1</v>
      </c>
      <c r="BJ325" s="77">
        <f t="shared" ref="BJ325:BJ388" si="833">SUMPRODUCT($BB$1:$BH$1,BB325:BH325)</f>
        <v>6.9728499999999985E-2</v>
      </c>
      <c r="BK325" s="77">
        <f t="shared" si="814"/>
        <v>5.632878498097682E-3</v>
      </c>
      <c r="BL325" s="79">
        <v>0</v>
      </c>
      <c r="BM325" s="77">
        <f t="shared" si="688"/>
        <v>0</v>
      </c>
      <c r="BN325" s="77">
        <f t="shared" si="689"/>
        <v>0</v>
      </c>
      <c r="BO325" s="77">
        <f t="shared" si="690"/>
        <v>5.6775999999999997E-3</v>
      </c>
      <c r="BP325" s="77">
        <f t="shared" si="691"/>
        <v>4.7190657760731725E-4</v>
      </c>
    </row>
    <row r="326" spans="1:68">
      <c r="A326" t="s">
        <v>175</v>
      </c>
      <c r="B326" t="s">
        <v>176</v>
      </c>
      <c r="C326" s="197" t="str">
        <f t="shared" si="726"/>
        <v>Lifecycle_Balanced_219</v>
      </c>
      <c r="D326">
        <v>219</v>
      </c>
      <c r="E326">
        <f>VLOOKUP($D326,'[2]LC Balanced'!$Q$2:$U$542,2,FALSE)</f>
        <v>0</v>
      </c>
      <c r="F326">
        <f>VLOOKUP($D326,'[2]LC Balanced'!$Q$2:$U$542,3,FALSE)</f>
        <v>0.14899999999999999</v>
      </c>
      <c r="G326">
        <f>VLOOKUP($D326,'[2]LC Balanced'!$Q$2:$U$542,4,FALSE)</f>
        <v>0.85099999999999998</v>
      </c>
      <c r="H326">
        <f>VLOOKUP($D326,'[2]LC Balanced'!$Q$2:$U$542,5,FALSE)</f>
        <v>0</v>
      </c>
      <c r="I326" s="77">
        <f t="shared" si="827"/>
        <v>1</v>
      </c>
      <c r="J326" s="77">
        <f t="shared" si="828"/>
        <v>6.1987699999999986E-2</v>
      </c>
      <c r="K326" s="77">
        <f t="shared" si="818"/>
        <v>5.024442123284345E-3</v>
      </c>
      <c r="L326" s="76">
        <v>0</v>
      </c>
      <c r="M326" s="77">
        <f t="shared" ref="M326:M389" si="834">IF($L326=0,0,SUMPRODUCT($E$3:$H$3,E326:H326))</f>
        <v>0</v>
      </c>
      <c r="N326" s="77">
        <f t="shared" ref="N326:N389" si="835">1-(1-M326)^(1/12)</f>
        <v>0</v>
      </c>
      <c r="O326" s="77">
        <f t="shared" ref="O326:O389" si="836">SUMPRODUCT($E$2:$H$2,E326:H326)</f>
        <v>7.0062999999999992E-3</v>
      </c>
      <c r="P326" s="77">
        <f t="shared" ref="P326:P389" si="837">1-(1-O326)^(1/12)</f>
        <v>5.85741666996209E-4</v>
      </c>
      <c r="R326" t="s">
        <v>177</v>
      </c>
      <c r="S326" t="s">
        <v>176</v>
      </c>
      <c r="T326" s="197" t="str">
        <f t="shared" si="769"/>
        <v>Autopilot_Balanced_219</v>
      </c>
      <c r="U326">
        <v>219</v>
      </c>
      <c r="V326">
        <f>VLOOKUP($U326,'[2]AP Balanced'!$Q$1:$T$542,2,FALSE)</f>
        <v>0.77777777777777779</v>
      </c>
      <c r="W326">
        <f>VLOOKUP($U326,'[2]AP Balanced'!$Q$1:$T$542,3,FALSE)</f>
        <v>0.22222222222222221</v>
      </c>
      <c r="X326">
        <f>VLOOKUP($U326,'[2]AP Balanced'!$Q$1:$T$542,4,FALSE)</f>
        <v>0</v>
      </c>
      <c r="Y326" s="77">
        <f t="shared" si="727"/>
        <v>1</v>
      </c>
      <c r="Z326" s="77">
        <f t="shared" si="716"/>
        <v>6.1674999999999987E-2</v>
      </c>
      <c r="AA326" s="77">
        <f t="shared" si="717"/>
        <v>4.9997781870025904E-3</v>
      </c>
      <c r="AB326" s="79">
        <v>1</v>
      </c>
      <c r="AC326" s="77">
        <f t="shared" ref="AC326:AC389" si="838">IF($AB326=0,0,SUMPRODUCT($V$3:$X$3,V326:X326))</f>
        <v>8.0555555555555554E-3</v>
      </c>
      <c r="AD326" s="77">
        <f t="shared" si="829"/>
        <v>6.7378764057135498E-4</v>
      </c>
      <c r="AE326" s="77">
        <f t="shared" ref="AE326:AE389" si="839">SUMPRODUCT($V$2:$X$2,V326:X326)</f>
        <v>2.5000000000000001E-3</v>
      </c>
      <c r="AF326" s="77">
        <f t="shared" si="829"/>
        <v>2.0857243058891584E-4</v>
      </c>
      <c r="AH326" t="s">
        <v>175</v>
      </c>
      <c r="AI326" t="s">
        <v>176</v>
      </c>
      <c r="AJ326" s="197" t="str">
        <f t="shared" si="728"/>
        <v>Lifecycle_Balanced_219</v>
      </c>
      <c r="AK326">
        <v>219</v>
      </c>
      <c r="AL326">
        <f>VLOOKUP($U326,[2]Standard_Balanced!$Q$1:$T$542,2,FALSE)</f>
        <v>0.77777777777777779</v>
      </c>
      <c r="AM326">
        <f>VLOOKUP($U326,[2]Standard_Balanced!$Q$1:$T$542,3,FALSE)</f>
        <v>0.22222222222222221</v>
      </c>
      <c r="AN326">
        <f>VLOOKUP($U326,[2]Standard_Balanced!$Q$1:$T$542,4,FALSE)</f>
        <v>0</v>
      </c>
      <c r="AO326" s="77">
        <f t="shared" si="815"/>
        <v>1</v>
      </c>
      <c r="AP326" s="77">
        <f t="shared" ref="AP326:AP389" si="840">SUMPRODUCT($AL$1:$AN$1,AL326:AN326)</f>
        <v>6.1674999999999987E-2</v>
      </c>
      <c r="AQ326" s="77">
        <f t="shared" si="729"/>
        <v>4.9997781870025904E-3</v>
      </c>
      <c r="AR326" s="79">
        <v>0</v>
      </c>
      <c r="AS326" s="77">
        <f t="shared" ref="AS326:AS389" si="841">IF(AR326=0,0,SUMPRODUCT($AL$3:$AN$3,AL326:AN326))</f>
        <v>0</v>
      </c>
      <c r="AT326" s="77">
        <f t="shared" ref="AT326" si="842">1-(1-AS326)^(1/12)</f>
        <v>0</v>
      </c>
      <c r="AU326" s="77">
        <f t="shared" ref="AU326:AU389" si="843">SUMPRODUCT($AL$2:$AN$2,AL326:AN326)</f>
        <v>2.5000000000000001E-3</v>
      </c>
      <c r="AV326" s="77">
        <f t="shared" ref="AV326" si="844">1-(1-AU326)^(1/12)</f>
        <v>2.0857243058891584E-4</v>
      </c>
      <c r="AX326" t="s">
        <v>178</v>
      </c>
      <c r="AY326" t="s">
        <v>160</v>
      </c>
      <c r="AZ326" s="197" t="str">
        <f t="shared" si="732"/>
        <v>DIS_Non-Standard_219</v>
      </c>
      <c r="BA326">
        <v>219</v>
      </c>
      <c r="BB326">
        <f>VLOOKUP($BA326,'[2]NonStandard DIS'!$Q$1:$X$542,2,FALSE)</f>
        <v>0</v>
      </c>
      <c r="BC326">
        <f>VLOOKUP($BA326,'[2]NonStandard DIS'!$Q$1:$X$542,3,FALSE)</f>
        <v>0</v>
      </c>
      <c r="BD326">
        <f>VLOOKUP($BA326,'[2]NonStandard DIS'!$Q$1:$X$542,4,FALSE)</f>
        <v>0.308</v>
      </c>
      <c r="BE326">
        <f>VLOOKUP($BA326,'[2]NonStandard DIS'!$Q$1:$X$542,5,FALSE)</f>
        <v>0.69199999999999995</v>
      </c>
      <c r="BF326">
        <f>VLOOKUP($BA326,'[2]NonStandard DIS'!$Q$1:$X$542,6,FALSE)</f>
        <v>0</v>
      </c>
      <c r="BG326">
        <f>VLOOKUP($BA326,'[2]NonStandard DIS'!$Q$1:$X$542,7,FALSE)</f>
        <v>0</v>
      </c>
      <c r="BH326">
        <f>VLOOKUP($BA326,'[2]NonStandard DIS'!$Q$1:$X$542,8,FALSE)</f>
        <v>0</v>
      </c>
      <c r="BI326" s="77">
        <f t="shared" si="832"/>
        <v>1</v>
      </c>
      <c r="BJ326" s="77">
        <f t="shared" si="833"/>
        <v>6.9728499999999985E-2</v>
      </c>
      <c r="BK326" s="77">
        <f t="shared" si="814"/>
        <v>5.632878498097682E-3</v>
      </c>
      <c r="BL326" s="79">
        <v>0</v>
      </c>
      <c r="BM326" s="77">
        <f t="shared" ref="BM326:BM389" si="845">IF(BL326=0,0,SUMPRODUCT($BB$3:$BH$3,BB326:BH326))</f>
        <v>0</v>
      </c>
      <c r="BN326" s="77">
        <f t="shared" ref="BN326:BN389" si="846">(1+BM326)^(1/12)-1</f>
        <v>0</v>
      </c>
      <c r="BO326" s="77">
        <f t="shared" ref="BO326:BO389" si="847">SUMPRODUCT($BB$2:$BH$2,BB326:BH326)</f>
        <v>5.6775999999999997E-3</v>
      </c>
      <c r="BP326" s="77">
        <f t="shared" ref="BP326:BP389" si="848">(1+BO326)^(1/12)-1</f>
        <v>4.7190657760731725E-4</v>
      </c>
    </row>
    <row r="327" spans="1:68">
      <c r="A327" t="s">
        <v>175</v>
      </c>
      <c r="B327" t="s">
        <v>176</v>
      </c>
      <c r="C327" s="197" t="str">
        <f t="shared" si="726"/>
        <v>Lifecycle_Balanced_218</v>
      </c>
      <c r="D327">
        <v>218</v>
      </c>
      <c r="E327">
        <f>VLOOKUP($D327,'[2]LC Balanced'!$Q$2:$U$542,2,FALSE)</f>
        <v>0</v>
      </c>
      <c r="F327">
        <f>VLOOKUP($D327,'[2]LC Balanced'!$Q$2:$U$542,3,FALSE)</f>
        <v>0.14899999999999999</v>
      </c>
      <c r="G327">
        <f>VLOOKUP($D327,'[2]LC Balanced'!$Q$2:$U$542,4,FALSE)</f>
        <v>0.85099999999999998</v>
      </c>
      <c r="H327">
        <f>VLOOKUP($D327,'[2]LC Balanced'!$Q$2:$U$542,5,FALSE)</f>
        <v>0</v>
      </c>
      <c r="I327" s="77">
        <f t="shared" si="827"/>
        <v>1</v>
      </c>
      <c r="J327" s="77">
        <f t="shared" si="828"/>
        <v>6.1987699999999986E-2</v>
      </c>
      <c r="K327" s="77">
        <f t="shared" si="818"/>
        <v>5.024442123284345E-3</v>
      </c>
      <c r="L327" s="76">
        <v>0</v>
      </c>
      <c r="M327" s="77">
        <f t="shared" si="834"/>
        <v>0</v>
      </c>
      <c r="N327" s="77">
        <f t="shared" si="835"/>
        <v>0</v>
      </c>
      <c r="O327" s="77">
        <f t="shared" si="836"/>
        <v>7.0062999999999992E-3</v>
      </c>
      <c r="P327" s="77">
        <f t="shared" si="837"/>
        <v>5.85741666996209E-4</v>
      </c>
      <c r="R327" t="s">
        <v>177</v>
      </c>
      <c r="S327" t="s">
        <v>176</v>
      </c>
      <c r="T327" s="197" t="str">
        <f t="shared" si="769"/>
        <v>Autopilot_Balanced_218</v>
      </c>
      <c r="U327">
        <v>218</v>
      </c>
      <c r="V327">
        <f>VLOOKUP($U327,'[2]AP Balanced'!$Q$1:$T$542,2,FALSE)</f>
        <v>0.77777777777777779</v>
      </c>
      <c r="W327">
        <f>VLOOKUP($U327,'[2]AP Balanced'!$Q$1:$T$542,3,FALSE)</f>
        <v>0.22222222222222221</v>
      </c>
      <c r="X327">
        <f>VLOOKUP($U327,'[2]AP Balanced'!$Q$1:$T$542,4,FALSE)</f>
        <v>0</v>
      </c>
      <c r="Y327" s="77">
        <f t="shared" si="727"/>
        <v>1</v>
      </c>
      <c r="Z327" s="77">
        <f t="shared" si="716"/>
        <v>6.1674999999999987E-2</v>
      </c>
      <c r="AA327" s="77">
        <f t="shared" si="717"/>
        <v>4.9997781870025904E-3</v>
      </c>
      <c r="AB327" s="79">
        <v>1</v>
      </c>
      <c r="AC327" s="77">
        <f t="shared" si="838"/>
        <v>8.0555555555555554E-3</v>
      </c>
      <c r="AD327" s="77">
        <f t="shared" si="829"/>
        <v>6.7378764057135498E-4</v>
      </c>
      <c r="AE327" s="77">
        <f t="shared" si="839"/>
        <v>2.5000000000000001E-3</v>
      </c>
      <c r="AF327" s="77">
        <f t="shared" si="829"/>
        <v>2.0857243058891584E-4</v>
      </c>
      <c r="AH327" t="s">
        <v>175</v>
      </c>
      <c r="AI327" t="s">
        <v>176</v>
      </c>
      <c r="AJ327" s="197" t="str">
        <f t="shared" si="728"/>
        <v>Lifecycle_Balanced_218</v>
      </c>
      <c r="AK327">
        <v>218</v>
      </c>
      <c r="AL327">
        <f>VLOOKUP($U327,[2]Standard_Balanced!$Q$1:$T$542,2,FALSE)</f>
        <v>0.77777777777777779</v>
      </c>
      <c r="AM327">
        <f>VLOOKUP($U327,[2]Standard_Balanced!$Q$1:$T$542,3,FALSE)</f>
        <v>0.22222222222222221</v>
      </c>
      <c r="AN327">
        <f>VLOOKUP($U327,[2]Standard_Balanced!$Q$1:$T$542,4,FALSE)</f>
        <v>0</v>
      </c>
      <c r="AO327" s="77">
        <f t="shared" si="815"/>
        <v>1</v>
      </c>
      <c r="AP327" s="77">
        <f t="shared" si="840"/>
        <v>6.1674999999999987E-2</v>
      </c>
      <c r="AQ327" s="77">
        <f t="shared" si="729"/>
        <v>4.9997781870025904E-3</v>
      </c>
      <c r="AR327" s="79">
        <v>0</v>
      </c>
      <c r="AS327" s="77">
        <f t="shared" si="841"/>
        <v>0</v>
      </c>
      <c r="AT327" s="77">
        <f t="shared" ref="AT327" si="849">1-(1-AS327)^(1/12)</f>
        <v>0</v>
      </c>
      <c r="AU327" s="77">
        <f t="shared" si="843"/>
        <v>2.5000000000000001E-3</v>
      </c>
      <c r="AV327" s="77">
        <f t="shared" ref="AV327" si="850">1-(1-AU327)^(1/12)</f>
        <v>2.0857243058891584E-4</v>
      </c>
      <c r="AX327" t="s">
        <v>178</v>
      </c>
      <c r="AY327" t="s">
        <v>160</v>
      </c>
      <c r="AZ327" s="197" t="str">
        <f t="shared" si="732"/>
        <v>DIS_Non-Standard_218</v>
      </c>
      <c r="BA327">
        <v>218</v>
      </c>
      <c r="BB327">
        <f>VLOOKUP($BA327,'[2]NonStandard DIS'!$Q$1:$X$542,2,FALSE)</f>
        <v>0</v>
      </c>
      <c r="BC327">
        <f>VLOOKUP($BA327,'[2]NonStandard DIS'!$Q$1:$X$542,3,FALSE)</f>
        <v>0</v>
      </c>
      <c r="BD327">
        <f>VLOOKUP($BA327,'[2]NonStandard DIS'!$Q$1:$X$542,4,FALSE)</f>
        <v>0.308</v>
      </c>
      <c r="BE327">
        <f>VLOOKUP($BA327,'[2]NonStandard DIS'!$Q$1:$X$542,5,FALSE)</f>
        <v>0.69199999999999995</v>
      </c>
      <c r="BF327">
        <f>VLOOKUP($BA327,'[2]NonStandard DIS'!$Q$1:$X$542,6,FALSE)</f>
        <v>0</v>
      </c>
      <c r="BG327">
        <f>VLOOKUP($BA327,'[2]NonStandard DIS'!$Q$1:$X$542,7,FALSE)</f>
        <v>0</v>
      </c>
      <c r="BH327">
        <f>VLOOKUP($BA327,'[2]NonStandard DIS'!$Q$1:$X$542,8,FALSE)</f>
        <v>0</v>
      </c>
      <c r="BI327" s="77">
        <f t="shared" si="832"/>
        <v>1</v>
      </c>
      <c r="BJ327" s="77">
        <f t="shared" si="833"/>
        <v>6.9728499999999985E-2</v>
      </c>
      <c r="BK327" s="77">
        <f t="shared" si="814"/>
        <v>5.632878498097682E-3</v>
      </c>
      <c r="BL327" s="79">
        <v>0</v>
      </c>
      <c r="BM327" s="77">
        <f t="shared" si="845"/>
        <v>0</v>
      </c>
      <c r="BN327" s="77">
        <f t="shared" si="846"/>
        <v>0</v>
      </c>
      <c r="BO327" s="77">
        <f t="shared" si="847"/>
        <v>5.6775999999999997E-3</v>
      </c>
      <c r="BP327" s="77">
        <f t="shared" si="848"/>
        <v>4.7190657760731725E-4</v>
      </c>
    </row>
    <row r="328" spans="1:68">
      <c r="A328" t="s">
        <v>175</v>
      </c>
      <c r="B328" t="s">
        <v>176</v>
      </c>
      <c r="C328" s="197" t="str">
        <f t="shared" si="726"/>
        <v>Lifecycle_Balanced_217</v>
      </c>
      <c r="D328">
        <v>217</v>
      </c>
      <c r="E328">
        <f>VLOOKUP($D328,'[2]LC Balanced'!$Q$2:$U$542,2,FALSE)</f>
        <v>0</v>
      </c>
      <c r="F328">
        <f>VLOOKUP($D328,'[2]LC Balanced'!$Q$2:$U$542,3,FALSE)</f>
        <v>0.14899999999999999</v>
      </c>
      <c r="G328">
        <f>VLOOKUP($D328,'[2]LC Balanced'!$Q$2:$U$542,4,FALSE)</f>
        <v>0.85099999999999998</v>
      </c>
      <c r="H328">
        <f>VLOOKUP($D328,'[2]LC Balanced'!$Q$2:$U$542,5,FALSE)</f>
        <v>0</v>
      </c>
      <c r="I328" s="77">
        <f t="shared" si="827"/>
        <v>1</v>
      </c>
      <c r="J328" s="77">
        <f t="shared" si="828"/>
        <v>6.1987699999999986E-2</v>
      </c>
      <c r="K328" s="77">
        <f t="shared" si="818"/>
        <v>5.024442123284345E-3</v>
      </c>
      <c r="L328" s="76">
        <v>0</v>
      </c>
      <c r="M328" s="77">
        <f t="shared" si="834"/>
        <v>0</v>
      </c>
      <c r="N328" s="77">
        <f t="shared" si="835"/>
        <v>0</v>
      </c>
      <c r="O328" s="77">
        <f t="shared" si="836"/>
        <v>7.0062999999999992E-3</v>
      </c>
      <c r="P328" s="77">
        <f t="shared" si="837"/>
        <v>5.85741666996209E-4</v>
      </c>
      <c r="R328" t="s">
        <v>177</v>
      </c>
      <c r="S328" t="s">
        <v>176</v>
      </c>
      <c r="T328" s="197" t="str">
        <f t="shared" si="769"/>
        <v>Autopilot_Balanced_217</v>
      </c>
      <c r="U328">
        <v>217</v>
      </c>
      <c r="V328">
        <f>VLOOKUP($U328,'[2]AP Balanced'!$Q$1:$T$542,2,FALSE)</f>
        <v>0.77777777777777779</v>
      </c>
      <c r="W328">
        <f>VLOOKUP($U328,'[2]AP Balanced'!$Q$1:$T$542,3,FALSE)</f>
        <v>0.22222222222222221</v>
      </c>
      <c r="X328">
        <f>VLOOKUP($U328,'[2]AP Balanced'!$Q$1:$T$542,4,FALSE)</f>
        <v>0</v>
      </c>
      <c r="Y328" s="77">
        <f t="shared" si="727"/>
        <v>1</v>
      </c>
      <c r="Z328" s="77">
        <f t="shared" si="716"/>
        <v>6.1674999999999987E-2</v>
      </c>
      <c r="AA328" s="77">
        <f t="shared" si="717"/>
        <v>4.9997781870025904E-3</v>
      </c>
      <c r="AB328" s="79">
        <v>1</v>
      </c>
      <c r="AC328" s="77">
        <f t="shared" si="838"/>
        <v>8.0555555555555554E-3</v>
      </c>
      <c r="AD328" s="77">
        <f t="shared" si="829"/>
        <v>6.7378764057135498E-4</v>
      </c>
      <c r="AE328" s="77">
        <f t="shared" si="839"/>
        <v>2.5000000000000001E-3</v>
      </c>
      <c r="AF328" s="77">
        <f t="shared" si="829"/>
        <v>2.0857243058891584E-4</v>
      </c>
      <c r="AH328" t="s">
        <v>175</v>
      </c>
      <c r="AI328" t="s">
        <v>176</v>
      </c>
      <c r="AJ328" s="197" t="str">
        <f t="shared" si="728"/>
        <v>Lifecycle_Balanced_217</v>
      </c>
      <c r="AK328">
        <v>217</v>
      </c>
      <c r="AL328">
        <f>VLOOKUP($U328,[2]Standard_Balanced!$Q$1:$T$542,2,FALSE)</f>
        <v>0.77777777777777779</v>
      </c>
      <c r="AM328">
        <f>VLOOKUP($U328,[2]Standard_Balanced!$Q$1:$T$542,3,FALSE)</f>
        <v>0.22222222222222221</v>
      </c>
      <c r="AN328">
        <f>VLOOKUP($U328,[2]Standard_Balanced!$Q$1:$T$542,4,FALSE)</f>
        <v>0</v>
      </c>
      <c r="AO328" s="77">
        <f t="shared" si="815"/>
        <v>1</v>
      </c>
      <c r="AP328" s="77">
        <f t="shared" si="840"/>
        <v>6.1674999999999987E-2</v>
      </c>
      <c r="AQ328" s="77">
        <f t="shared" si="729"/>
        <v>4.9997781870025904E-3</v>
      </c>
      <c r="AR328" s="79">
        <v>0</v>
      </c>
      <c r="AS328" s="77">
        <f t="shared" si="841"/>
        <v>0</v>
      </c>
      <c r="AT328" s="77">
        <f t="shared" ref="AT328" si="851">1-(1-AS328)^(1/12)</f>
        <v>0</v>
      </c>
      <c r="AU328" s="77">
        <f t="shared" si="843"/>
        <v>2.5000000000000001E-3</v>
      </c>
      <c r="AV328" s="77">
        <f t="shared" ref="AV328" si="852">1-(1-AU328)^(1/12)</f>
        <v>2.0857243058891584E-4</v>
      </c>
      <c r="AX328" t="s">
        <v>178</v>
      </c>
      <c r="AY328" t="s">
        <v>160</v>
      </c>
      <c r="AZ328" s="197" t="str">
        <f t="shared" si="732"/>
        <v>DIS_Non-Standard_217</v>
      </c>
      <c r="BA328">
        <v>217</v>
      </c>
      <c r="BB328">
        <f>VLOOKUP($BA328,'[2]NonStandard DIS'!$Q$1:$X$542,2,FALSE)</f>
        <v>0</v>
      </c>
      <c r="BC328">
        <f>VLOOKUP($BA328,'[2]NonStandard DIS'!$Q$1:$X$542,3,FALSE)</f>
        <v>0</v>
      </c>
      <c r="BD328">
        <f>VLOOKUP($BA328,'[2]NonStandard DIS'!$Q$1:$X$542,4,FALSE)</f>
        <v>0.308</v>
      </c>
      <c r="BE328">
        <f>VLOOKUP($BA328,'[2]NonStandard DIS'!$Q$1:$X$542,5,FALSE)</f>
        <v>0.69199999999999995</v>
      </c>
      <c r="BF328">
        <f>VLOOKUP($BA328,'[2]NonStandard DIS'!$Q$1:$X$542,6,FALSE)</f>
        <v>0</v>
      </c>
      <c r="BG328">
        <f>VLOOKUP($BA328,'[2]NonStandard DIS'!$Q$1:$X$542,7,FALSE)</f>
        <v>0</v>
      </c>
      <c r="BH328">
        <f>VLOOKUP($BA328,'[2]NonStandard DIS'!$Q$1:$X$542,8,FALSE)</f>
        <v>0</v>
      </c>
      <c r="BI328" s="77">
        <f t="shared" si="832"/>
        <v>1</v>
      </c>
      <c r="BJ328" s="77">
        <f t="shared" si="833"/>
        <v>6.9728499999999985E-2</v>
      </c>
      <c r="BK328" s="77">
        <f t="shared" si="814"/>
        <v>5.632878498097682E-3</v>
      </c>
      <c r="BL328" s="79">
        <v>0</v>
      </c>
      <c r="BM328" s="77">
        <f t="shared" si="845"/>
        <v>0</v>
      </c>
      <c r="BN328" s="77">
        <f t="shared" si="846"/>
        <v>0</v>
      </c>
      <c r="BO328" s="77">
        <f t="shared" si="847"/>
        <v>5.6775999999999997E-3</v>
      </c>
      <c r="BP328" s="77">
        <f t="shared" si="848"/>
        <v>4.7190657760731725E-4</v>
      </c>
    </row>
    <row r="329" spans="1:68">
      <c r="A329" t="s">
        <v>175</v>
      </c>
      <c r="B329" t="s">
        <v>176</v>
      </c>
      <c r="C329" s="197" t="str">
        <f t="shared" si="726"/>
        <v>Lifecycle_Balanced_216</v>
      </c>
      <c r="D329">
        <v>216</v>
      </c>
      <c r="E329">
        <f>VLOOKUP($D329,'[2]LC Balanced'!$Q$2:$U$542,2,FALSE)</f>
        <v>0</v>
      </c>
      <c r="F329">
        <f>VLOOKUP($D329,'[2]LC Balanced'!$Q$2:$U$542,3,FALSE)</f>
        <v>0.14899999999999999</v>
      </c>
      <c r="G329">
        <f>VLOOKUP($D329,'[2]LC Balanced'!$Q$2:$U$542,4,FALSE)</f>
        <v>0.85099999999999998</v>
      </c>
      <c r="H329">
        <f>VLOOKUP($D329,'[2]LC Balanced'!$Q$2:$U$542,5,FALSE)</f>
        <v>0</v>
      </c>
      <c r="I329" s="77">
        <f t="shared" si="827"/>
        <v>1</v>
      </c>
      <c r="J329" s="77">
        <f t="shared" si="828"/>
        <v>6.1987699999999986E-2</v>
      </c>
      <c r="K329" s="77">
        <f t="shared" si="818"/>
        <v>5.024442123284345E-3</v>
      </c>
      <c r="L329" s="76">
        <v>0</v>
      </c>
      <c r="M329" s="77">
        <f t="shared" si="834"/>
        <v>0</v>
      </c>
      <c r="N329" s="77">
        <f t="shared" si="835"/>
        <v>0</v>
      </c>
      <c r="O329" s="77">
        <f t="shared" si="836"/>
        <v>7.0062999999999992E-3</v>
      </c>
      <c r="P329" s="77">
        <f t="shared" si="837"/>
        <v>5.85741666996209E-4</v>
      </c>
      <c r="R329" t="s">
        <v>177</v>
      </c>
      <c r="S329" t="s">
        <v>176</v>
      </c>
      <c r="T329" s="197" t="str">
        <f t="shared" si="769"/>
        <v>Autopilot_Balanced_216</v>
      </c>
      <c r="U329">
        <v>216</v>
      </c>
      <c r="V329">
        <f>VLOOKUP($U329,'[2]AP Balanced'!$Q$1:$T$542,2,FALSE)</f>
        <v>0.77777777777777779</v>
      </c>
      <c r="W329">
        <f>VLOOKUP($U329,'[2]AP Balanced'!$Q$1:$T$542,3,FALSE)</f>
        <v>0.22222222222222221</v>
      </c>
      <c r="X329">
        <f>VLOOKUP($U329,'[2]AP Balanced'!$Q$1:$T$542,4,FALSE)</f>
        <v>0</v>
      </c>
      <c r="Y329" s="77">
        <f t="shared" si="727"/>
        <v>1</v>
      </c>
      <c r="Z329" s="77">
        <f t="shared" si="716"/>
        <v>6.1674999999999987E-2</v>
      </c>
      <c r="AA329" s="77">
        <f t="shared" si="717"/>
        <v>4.9997781870025904E-3</v>
      </c>
      <c r="AB329" s="79">
        <v>1</v>
      </c>
      <c r="AC329" s="77">
        <f t="shared" si="838"/>
        <v>8.0555555555555554E-3</v>
      </c>
      <c r="AD329" s="77">
        <f t="shared" si="829"/>
        <v>6.7378764057135498E-4</v>
      </c>
      <c r="AE329" s="77">
        <f t="shared" si="839"/>
        <v>2.5000000000000001E-3</v>
      </c>
      <c r="AF329" s="77">
        <f t="shared" si="829"/>
        <v>2.0857243058891584E-4</v>
      </c>
      <c r="AH329" t="s">
        <v>175</v>
      </c>
      <c r="AI329" t="s">
        <v>176</v>
      </c>
      <c r="AJ329" s="197" t="str">
        <f t="shared" si="728"/>
        <v>Lifecycle_Balanced_216</v>
      </c>
      <c r="AK329">
        <v>216</v>
      </c>
      <c r="AL329">
        <f>VLOOKUP($U329,[2]Standard_Balanced!$Q$1:$T$542,2,FALSE)</f>
        <v>0.77777777777777779</v>
      </c>
      <c r="AM329">
        <f>VLOOKUP($U329,[2]Standard_Balanced!$Q$1:$T$542,3,FALSE)</f>
        <v>0.22222222222222221</v>
      </c>
      <c r="AN329">
        <f>VLOOKUP($U329,[2]Standard_Balanced!$Q$1:$T$542,4,FALSE)</f>
        <v>0</v>
      </c>
      <c r="AO329" s="77">
        <f t="shared" si="815"/>
        <v>1</v>
      </c>
      <c r="AP329" s="77">
        <f t="shared" si="840"/>
        <v>6.1674999999999987E-2</v>
      </c>
      <c r="AQ329" s="77">
        <f t="shared" si="729"/>
        <v>4.9997781870025904E-3</v>
      </c>
      <c r="AR329" s="79">
        <v>0</v>
      </c>
      <c r="AS329" s="77">
        <f t="shared" si="841"/>
        <v>0</v>
      </c>
      <c r="AT329" s="77">
        <f t="shared" ref="AT329" si="853">1-(1-AS329)^(1/12)</f>
        <v>0</v>
      </c>
      <c r="AU329" s="77">
        <f t="shared" si="843"/>
        <v>2.5000000000000001E-3</v>
      </c>
      <c r="AV329" s="77">
        <f t="shared" ref="AV329" si="854">1-(1-AU329)^(1/12)</f>
        <v>2.0857243058891584E-4</v>
      </c>
      <c r="AX329" t="s">
        <v>178</v>
      </c>
      <c r="AY329" t="s">
        <v>160</v>
      </c>
      <c r="AZ329" s="197" t="str">
        <f t="shared" si="732"/>
        <v>DIS_Non-Standard_216</v>
      </c>
      <c r="BA329">
        <v>216</v>
      </c>
      <c r="BB329">
        <f>VLOOKUP($BA329,'[2]NonStandard DIS'!$Q$1:$X$542,2,FALSE)</f>
        <v>0</v>
      </c>
      <c r="BC329">
        <f>VLOOKUP($BA329,'[2]NonStandard DIS'!$Q$1:$X$542,3,FALSE)</f>
        <v>0</v>
      </c>
      <c r="BD329">
        <f>VLOOKUP($BA329,'[2]NonStandard DIS'!$Q$1:$X$542,4,FALSE)</f>
        <v>0.308</v>
      </c>
      <c r="BE329">
        <f>VLOOKUP($BA329,'[2]NonStandard DIS'!$Q$1:$X$542,5,FALSE)</f>
        <v>0.69199999999999995</v>
      </c>
      <c r="BF329">
        <f>VLOOKUP($BA329,'[2]NonStandard DIS'!$Q$1:$X$542,6,FALSE)</f>
        <v>0</v>
      </c>
      <c r="BG329">
        <f>VLOOKUP($BA329,'[2]NonStandard DIS'!$Q$1:$X$542,7,FALSE)</f>
        <v>0</v>
      </c>
      <c r="BH329">
        <f>VLOOKUP($BA329,'[2]NonStandard DIS'!$Q$1:$X$542,8,FALSE)</f>
        <v>0</v>
      </c>
      <c r="BI329" s="77">
        <f t="shared" si="832"/>
        <v>1</v>
      </c>
      <c r="BJ329" s="77">
        <f t="shared" si="833"/>
        <v>6.9728499999999985E-2</v>
      </c>
      <c r="BK329" s="77">
        <f t="shared" si="814"/>
        <v>5.632878498097682E-3</v>
      </c>
      <c r="BL329" s="79">
        <v>0</v>
      </c>
      <c r="BM329" s="77">
        <f t="shared" si="845"/>
        <v>0</v>
      </c>
      <c r="BN329" s="77">
        <f t="shared" si="846"/>
        <v>0</v>
      </c>
      <c r="BO329" s="77">
        <f t="shared" si="847"/>
        <v>5.6775999999999997E-3</v>
      </c>
      <c r="BP329" s="77">
        <f t="shared" si="848"/>
        <v>4.7190657760731725E-4</v>
      </c>
    </row>
    <row r="330" spans="1:68">
      <c r="A330" t="s">
        <v>175</v>
      </c>
      <c r="B330" t="s">
        <v>176</v>
      </c>
      <c r="C330" s="197" t="str">
        <f t="shared" si="726"/>
        <v>Lifecycle_Balanced_215</v>
      </c>
      <c r="D330">
        <v>215</v>
      </c>
      <c r="E330">
        <f>VLOOKUP($D330,'[2]LC Balanced'!$Q$2:$U$542,2,FALSE)</f>
        <v>0</v>
      </c>
      <c r="F330">
        <f>VLOOKUP($D330,'[2]LC Balanced'!$Q$2:$U$542,3,FALSE)</f>
        <v>0.14899999999999999</v>
      </c>
      <c r="G330">
        <f>VLOOKUP($D330,'[2]LC Balanced'!$Q$2:$U$542,4,FALSE)</f>
        <v>0.85099999999999998</v>
      </c>
      <c r="H330">
        <f>VLOOKUP($D330,'[2]LC Balanced'!$Q$2:$U$542,5,FALSE)</f>
        <v>0</v>
      </c>
      <c r="I330" s="77">
        <f t="shared" si="827"/>
        <v>1</v>
      </c>
      <c r="J330" s="77">
        <f t="shared" si="828"/>
        <v>6.1987699999999986E-2</v>
      </c>
      <c r="K330" s="77">
        <f t="shared" si="818"/>
        <v>5.024442123284345E-3</v>
      </c>
      <c r="L330" s="76">
        <v>0</v>
      </c>
      <c r="M330" s="77">
        <f t="shared" si="834"/>
        <v>0</v>
      </c>
      <c r="N330" s="77">
        <f t="shared" si="835"/>
        <v>0</v>
      </c>
      <c r="O330" s="77">
        <f t="shared" si="836"/>
        <v>7.0062999999999992E-3</v>
      </c>
      <c r="P330" s="77">
        <f t="shared" si="837"/>
        <v>5.85741666996209E-4</v>
      </c>
      <c r="R330" t="s">
        <v>177</v>
      </c>
      <c r="S330" t="s">
        <v>176</v>
      </c>
      <c r="T330" s="197" t="str">
        <f t="shared" si="769"/>
        <v>Autopilot_Balanced_215</v>
      </c>
      <c r="U330">
        <v>215</v>
      </c>
      <c r="V330">
        <f>VLOOKUP($U330,'[2]AP Balanced'!$Q$1:$T$542,2,FALSE)</f>
        <v>0.77777777777777779</v>
      </c>
      <c r="W330">
        <f>VLOOKUP($U330,'[2]AP Balanced'!$Q$1:$T$542,3,FALSE)</f>
        <v>0.22222222222222221</v>
      </c>
      <c r="X330">
        <f>VLOOKUP($U330,'[2]AP Balanced'!$Q$1:$T$542,4,FALSE)</f>
        <v>0</v>
      </c>
      <c r="Y330" s="77">
        <f t="shared" si="727"/>
        <v>1</v>
      </c>
      <c r="Z330" s="77">
        <f t="shared" si="716"/>
        <v>6.1674999999999987E-2</v>
      </c>
      <c r="AA330" s="77">
        <f t="shared" si="717"/>
        <v>4.9997781870025904E-3</v>
      </c>
      <c r="AB330" s="79">
        <v>1</v>
      </c>
      <c r="AC330" s="77">
        <f t="shared" si="838"/>
        <v>8.0555555555555554E-3</v>
      </c>
      <c r="AD330" s="77">
        <f t="shared" si="829"/>
        <v>6.7378764057135498E-4</v>
      </c>
      <c r="AE330" s="77">
        <f t="shared" si="839"/>
        <v>2.5000000000000001E-3</v>
      </c>
      <c r="AF330" s="77">
        <f t="shared" si="829"/>
        <v>2.0857243058891584E-4</v>
      </c>
      <c r="AH330" t="s">
        <v>175</v>
      </c>
      <c r="AI330" t="s">
        <v>176</v>
      </c>
      <c r="AJ330" s="197" t="str">
        <f t="shared" si="728"/>
        <v>Lifecycle_Balanced_215</v>
      </c>
      <c r="AK330">
        <v>215</v>
      </c>
      <c r="AL330">
        <f>VLOOKUP($U330,[2]Standard_Balanced!$Q$1:$T$542,2,FALSE)</f>
        <v>0.77777777777777779</v>
      </c>
      <c r="AM330">
        <f>VLOOKUP($U330,[2]Standard_Balanced!$Q$1:$T$542,3,FALSE)</f>
        <v>0.22222222222222221</v>
      </c>
      <c r="AN330">
        <f>VLOOKUP($U330,[2]Standard_Balanced!$Q$1:$T$542,4,FALSE)</f>
        <v>0</v>
      </c>
      <c r="AO330" s="77">
        <f t="shared" si="815"/>
        <v>1</v>
      </c>
      <c r="AP330" s="77">
        <f t="shared" si="840"/>
        <v>6.1674999999999987E-2</v>
      </c>
      <c r="AQ330" s="77">
        <f t="shared" si="729"/>
        <v>4.9997781870025904E-3</v>
      </c>
      <c r="AR330" s="79">
        <v>0</v>
      </c>
      <c r="AS330" s="77">
        <f t="shared" si="841"/>
        <v>0</v>
      </c>
      <c r="AT330" s="77">
        <f t="shared" ref="AT330" si="855">1-(1-AS330)^(1/12)</f>
        <v>0</v>
      </c>
      <c r="AU330" s="77">
        <f t="shared" si="843"/>
        <v>2.5000000000000001E-3</v>
      </c>
      <c r="AV330" s="77">
        <f t="shared" ref="AV330" si="856">1-(1-AU330)^(1/12)</f>
        <v>2.0857243058891584E-4</v>
      </c>
      <c r="AX330" t="s">
        <v>178</v>
      </c>
      <c r="AY330" t="s">
        <v>160</v>
      </c>
      <c r="AZ330" s="197" t="str">
        <f t="shared" si="732"/>
        <v>DIS_Non-Standard_215</v>
      </c>
      <c r="BA330">
        <v>215</v>
      </c>
      <c r="BB330">
        <f>VLOOKUP($BA330,'[2]NonStandard DIS'!$Q$1:$X$542,2,FALSE)</f>
        <v>0</v>
      </c>
      <c r="BC330">
        <f>VLOOKUP($BA330,'[2]NonStandard DIS'!$Q$1:$X$542,3,FALSE)</f>
        <v>0</v>
      </c>
      <c r="BD330">
        <f>VLOOKUP($BA330,'[2]NonStandard DIS'!$Q$1:$X$542,4,FALSE)</f>
        <v>0.308</v>
      </c>
      <c r="BE330">
        <f>VLOOKUP($BA330,'[2]NonStandard DIS'!$Q$1:$X$542,5,FALSE)</f>
        <v>0.69199999999999995</v>
      </c>
      <c r="BF330">
        <f>VLOOKUP($BA330,'[2]NonStandard DIS'!$Q$1:$X$542,6,FALSE)</f>
        <v>0</v>
      </c>
      <c r="BG330">
        <f>VLOOKUP($BA330,'[2]NonStandard DIS'!$Q$1:$X$542,7,FALSE)</f>
        <v>0</v>
      </c>
      <c r="BH330">
        <f>VLOOKUP($BA330,'[2]NonStandard DIS'!$Q$1:$X$542,8,FALSE)</f>
        <v>0</v>
      </c>
      <c r="BI330" s="77">
        <f t="shared" si="832"/>
        <v>1</v>
      </c>
      <c r="BJ330" s="77">
        <f t="shared" si="833"/>
        <v>6.9728499999999985E-2</v>
      </c>
      <c r="BK330" s="77">
        <f t="shared" si="814"/>
        <v>5.632878498097682E-3</v>
      </c>
      <c r="BL330" s="79">
        <v>0</v>
      </c>
      <c r="BM330" s="77">
        <f t="shared" si="845"/>
        <v>0</v>
      </c>
      <c r="BN330" s="77">
        <f t="shared" si="846"/>
        <v>0</v>
      </c>
      <c r="BO330" s="77">
        <f t="shared" si="847"/>
        <v>5.6775999999999997E-3</v>
      </c>
      <c r="BP330" s="77">
        <f t="shared" si="848"/>
        <v>4.7190657760731725E-4</v>
      </c>
    </row>
    <row r="331" spans="1:68">
      <c r="A331" t="s">
        <v>175</v>
      </c>
      <c r="B331" t="s">
        <v>176</v>
      </c>
      <c r="C331" s="197" t="str">
        <f t="shared" si="726"/>
        <v>Lifecycle_Balanced_214</v>
      </c>
      <c r="D331">
        <v>214</v>
      </c>
      <c r="E331">
        <f>VLOOKUP($D331,'[2]LC Balanced'!$Q$2:$U$542,2,FALSE)</f>
        <v>0</v>
      </c>
      <c r="F331">
        <f>VLOOKUP($D331,'[2]LC Balanced'!$Q$2:$U$542,3,FALSE)</f>
        <v>0.14899999999999999</v>
      </c>
      <c r="G331">
        <f>VLOOKUP($D331,'[2]LC Balanced'!$Q$2:$U$542,4,FALSE)</f>
        <v>0.85099999999999998</v>
      </c>
      <c r="H331">
        <f>VLOOKUP($D331,'[2]LC Balanced'!$Q$2:$U$542,5,FALSE)</f>
        <v>0</v>
      </c>
      <c r="I331" s="77">
        <f t="shared" si="827"/>
        <v>1</v>
      </c>
      <c r="J331" s="77">
        <f t="shared" si="828"/>
        <v>6.1987699999999986E-2</v>
      </c>
      <c r="K331" s="77">
        <f t="shared" si="818"/>
        <v>5.024442123284345E-3</v>
      </c>
      <c r="L331" s="76">
        <v>0</v>
      </c>
      <c r="M331" s="77">
        <f t="shared" si="834"/>
        <v>0</v>
      </c>
      <c r="N331" s="77">
        <f t="shared" si="835"/>
        <v>0</v>
      </c>
      <c r="O331" s="77">
        <f t="shared" si="836"/>
        <v>7.0062999999999992E-3</v>
      </c>
      <c r="P331" s="77">
        <f t="shared" si="837"/>
        <v>5.85741666996209E-4</v>
      </c>
      <c r="R331" t="s">
        <v>177</v>
      </c>
      <c r="S331" t="s">
        <v>176</v>
      </c>
      <c r="T331" s="197" t="str">
        <f t="shared" si="769"/>
        <v>Autopilot_Balanced_214</v>
      </c>
      <c r="U331">
        <v>214</v>
      </c>
      <c r="V331">
        <f>VLOOKUP($U331,'[2]AP Balanced'!$Q$1:$T$542,2,FALSE)</f>
        <v>0.77777777777777779</v>
      </c>
      <c r="W331">
        <f>VLOOKUP($U331,'[2]AP Balanced'!$Q$1:$T$542,3,FALSE)</f>
        <v>0.22222222222222221</v>
      </c>
      <c r="X331">
        <f>VLOOKUP($U331,'[2]AP Balanced'!$Q$1:$T$542,4,FALSE)</f>
        <v>0</v>
      </c>
      <c r="Y331" s="77">
        <f t="shared" si="727"/>
        <v>1</v>
      </c>
      <c r="Z331" s="77">
        <f t="shared" si="716"/>
        <v>6.1674999999999987E-2</v>
      </c>
      <c r="AA331" s="77">
        <f t="shared" si="717"/>
        <v>4.9997781870025904E-3</v>
      </c>
      <c r="AB331" s="79">
        <v>1</v>
      </c>
      <c r="AC331" s="77">
        <f t="shared" si="838"/>
        <v>8.0555555555555554E-3</v>
      </c>
      <c r="AD331" s="77">
        <f t="shared" si="829"/>
        <v>6.7378764057135498E-4</v>
      </c>
      <c r="AE331" s="77">
        <f t="shared" si="839"/>
        <v>2.5000000000000001E-3</v>
      </c>
      <c r="AF331" s="77">
        <f t="shared" si="829"/>
        <v>2.0857243058891584E-4</v>
      </c>
      <c r="AH331" t="s">
        <v>175</v>
      </c>
      <c r="AI331" t="s">
        <v>176</v>
      </c>
      <c r="AJ331" s="197" t="str">
        <f t="shared" si="728"/>
        <v>Lifecycle_Balanced_214</v>
      </c>
      <c r="AK331">
        <v>214</v>
      </c>
      <c r="AL331">
        <f>VLOOKUP($U331,[2]Standard_Balanced!$Q$1:$T$542,2,FALSE)</f>
        <v>0.77777777777777779</v>
      </c>
      <c r="AM331">
        <f>VLOOKUP($U331,[2]Standard_Balanced!$Q$1:$T$542,3,FALSE)</f>
        <v>0.22222222222222221</v>
      </c>
      <c r="AN331">
        <f>VLOOKUP($U331,[2]Standard_Balanced!$Q$1:$T$542,4,FALSE)</f>
        <v>0</v>
      </c>
      <c r="AO331" s="77">
        <f t="shared" si="815"/>
        <v>1</v>
      </c>
      <c r="AP331" s="77">
        <f t="shared" si="840"/>
        <v>6.1674999999999987E-2</v>
      </c>
      <c r="AQ331" s="77">
        <f t="shared" si="729"/>
        <v>4.9997781870025904E-3</v>
      </c>
      <c r="AR331" s="79">
        <v>0</v>
      </c>
      <c r="AS331" s="77">
        <f t="shared" si="841"/>
        <v>0</v>
      </c>
      <c r="AT331" s="77">
        <f t="shared" ref="AT331" si="857">1-(1-AS331)^(1/12)</f>
        <v>0</v>
      </c>
      <c r="AU331" s="77">
        <f t="shared" si="843"/>
        <v>2.5000000000000001E-3</v>
      </c>
      <c r="AV331" s="77">
        <f t="shared" ref="AV331" si="858">1-(1-AU331)^(1/12)</f>
        <v>2.0857243058891584E-4</v>
      </c>
      <c r="AX331" t="s">
        <v>178</v>
      </c>
      <c r="AY331" t="s">
        <v>160</v>
      </c>
      <c r="AZ331" s="197" t="str">
        <f t="shared" si="732"/>
        <v>DIS_Non-Standard_214</v>
      </c>
      <c r="BA331">
        <v>214</v>
      </c>
      <c r="BB331">
        <f>VLOOKUP($BA331,'[2]NonStandard DIS'!$Q$1:$X$542,2,FALSE)</f>
        <v>0</v>
      </c>
      <c r="BC331">
        <f>VLOOKUP($BA331,'[2]NonStandard DIS'!$Q$1:$X$542,3,FALSE)</f>
        <v>0</v>
      </c>
      <c r="BD331">
        <f>VLOOKUP($BA331,'[2]NonStandard DIS'!$Q$1:$X$542,4,FALSE)</f>
        <v>0.308</v>
      </c>
      <c r="BE331">
        <f>VLOOKUP($BA331,'[2]NonStandard DIS'!$Q$1:$X$542,5,FALSE)</f>
        <v>0.69199999999999995</v>
      </c>
      <c r="BF331">
        <f>VLOOKUP($BA331,'[2]NonStandard DIS'!$Q$1:$X$542,6,FALSE)</f>
        <v>0</v>
      </c>
      <c r="BG331">
        <f>VLOOKUP($BA331,'[2]NonStandard DIS'!$Q$1:$X$542,7,FALSE)</f>
        <v>0</v>
      </c>
      <c r="BH331">
        <f>VLOOKUP($BA331,'[2]NonStandard DIS'!$Q$1:$X$542,8,FALSE)</f>
        <v>0</v>
      </c>
      <c r="BI331" s="77">
        <f t="shared" si="832"/>
        <v>1</v>
      </c>
      <c r="BJ331" s="77">
        <f t="shared" si="833"/>
        <v>6.9728499999999985E-2</v>
      </c>
      <c r="BK331" s="77">
        <f t="shared" si="814"/>
        <v>5.632878498097682E-3</v>
      </c>
      <c r="BL331" s="79">
        <v>0</v>
      </c>
      <c r="BM331" s="77">
        <f t="shared" si="845"/>
        <v>0</v>
      </c>
      <c r="BN331" s="77">
        <f t="shared" si="846"/>
        <v>0</v>
      </c>
      <c r="BO331" s="77">
        <f t="shared" si="847"/>
        <v>5.6775999999999997E-3</v>
      </c>
      <c r="BP331" s="77">
        <f t="shared" si="848"/>
        <v>4.7190657760731725E-4</v>
      </c>
    </row>
    <row r="332" spans="1:68">
      <c r="A332" t="s">
        <v>175</v>
      </c>
      <c r="B332" t="s">
        <v>176</v>
      </c>
      <c r="C332" s="197" t="str">
        <f t="shared" si="726"/>
        <v>Lifecycle_Balanced_213</v>
      </c>
      <c r="D332">
        <v>213</v>
      </c>
      <c r="E332">
        <f>VLOOKUP($D332,'[2]LC Balanced'!$Q$2:$U$542,2,FALSE)</f>
        <v>0</v>
      </c>
      <c r="F332">
        <f>VLOOKUP($D332,'[2]LC Balanced'!$Q$2:$U$542,3,FALSE)</f>
        <v>0.14899999999999999</v>
      </c>
      <c r="G332">
        <f>VLOOKUP($D332,'[2]LC Balanced'!$Q$2:$U$542,4,FALSE)</f>
        <v>0.85099999999999998</v>
      </c>
      <c r="H332">
        <f>VLOOKUP($D332,'[2]LC Balanced'!$Q$2:$U$542,5,FALSE)</f>
        <v>0</v>
      </c>
      <c r="I332" s="77">
        <f t="shared" si="827"/>
        <v>1</v>
      </c>
      <c r="J332" s="77">
        <f t="shared" si="828"/>
        <v>6.1987699999999986E-2</v>
      </c>
      <c r="K332" s="77">
        <f t="shared" si="818"/>
        <v>5.024442123284345E-3</v>
      </c>
      <c r="L332" s="76">
        <v>0</v>
      </c>
      <c r="M332" s="77">
        <f t="shared" si="834"/>
        <v>0</v>
      </c>
      <c r="N332" s="77">
        <f t="shared" si="835"/>
        <v>0</v>
      </c>
      <c r="O332" s="77">
        <f t="shared" si="836"/>
        <v>7.0062999999999992E-3</v>
      </c>
      <c r="P332" s="77">
        <f t="shared" si="837"/>
        <v>5.85741666996209E-4</v>
      </c>
      <c r="R332" t="s">
        <v>177</v>
      </c>
      <c r="S332" t="s">
        <v>176</v>
      </c>
      <c r="T332" s="197" t="str">
        <f t="shared" si="769"/>
        <v>Autopilot_Balanced_213</v>
      </c>
      <c r="U332">
        <v>213</v>
      </c>
      <c r="V332">
        <f>VLOOKUP($U332,'[2]AP Balanced'!$Q$1:$T$542,2,FALSE)</f>
        <v>0.77777777777777779</v>
      </c>
      <c r="W332">
        <f>VLOOKUP($U332,'[2]AP Balanced'!$Q$1:$T$542,3,FALSE)</f>
        <v>0.22222222222222221</v>
      </c>
      <c r="X332">
        <f>VLOOKUP($U332,'[2]AP Balanced'!$Q$1:$T$542,4,FALSE)</f>
        <v>0</v>
      </c>
      <c r="Y332" s="77">
        <f t="shared" si="727"/>
        <v>1</v>
      </c>
      <c r="Z332" s="77">
        <f t="shared" si="716"/>
        <v>6.1674999999999987E-2</v>
      </c>
      <c r="AA332" s="77">
        <f t="shared" si="717"/>
        <v>4.9997781870025904E-3</v>
      </c>
      <c r="AB332" s="79">
        <v>1</v>
      </c>
      <c r="AC332" s="77">
        <f t="shared" si="838"/>
        <v>8.0555555555555554E-3</v>
      </c>
      <c r="AD332" s="77">
        <f t="shared" si="829"/>
        <v>6.7378764057135498E-4</v>
      </c>
      <c r="AE332" s="77">
        <f t="shared" si="839"/>
        <v>2.5000000000000001E-3</v>
      </c>
      <c r="AF332" s="77">
        <f t="shared" si="829"/>
        <v>2.0857243058891584E-4</v>
      </c>
      <c r="AH332" t="s">
        <v>175</v>
      </c>
      <c r="AI332" t="s">
        <v>176</v>
      </c>
      <c r="AJ332" s="197" t="str">
        <f t="shared" si="728"/>
        <v>Lifecycle_Balanced_213</v>
      </c>
      <c r="AK332">
        <v>213</v>
      </c>
      <c r="AL332">
        <f>VLOOKUP($U332,[2]Standard_Balanced!$Q$1:$T$542,2,FALSE)</f>
        <v>0.77777777777777779</v>
      </c>
      <c r="AM332">
        <f>VLOOKUP($U332,[2]Standard_Balanced!$Q$1:$T$542,3,FALSE)</f>
        <v>0.22222222222222221</v>
      </c>
      <c r="AN332">
        <f>VLOOKUP($U332,[2]Standard_Balanced!$Q$1:$T$542,4,FALSE)</f>
        <v>0</v>
      </c>
      <c r="AO332" s="77">
        <f t="shared" si="815"/>
        <v>1</v>
      </c>
      <c r="AP332" s="77">
        <f t="shared" si="840"/>
        <v>6.1674999999999987E-2</v>
      </c>
      <c r="AQ332" s="77">
        <f t="shared" si="729"/>
        <v>4.9997781870025904E-3</v>
      </c>
      <c r="AR332" s="79">
        <v>0</v>
      </c>
      <c r="AS332" s="77">
        <f t="shared" si="841"/>
        <v>0</v>
      </c>
      <c r="AT332" s="77">
        <f t="shared" ref="AT332" si="859">1-(1-AS332)^(1/12)</f>
        <v>0</v>
      </c>
      <c r="AU332" s="77">
        <f t="shared" si="843"/>
        <v>2.5000000000000001E-3</v>
      </c>
      <c r="AV332" s="77">
        <f t="shared" ref="AV332" si="860">1-(1-AU332)^(1/12)</f>
        <v>2.0857243058891584E-4</v>
      </c>
      <c r="AX332" t="s">
        <v>178</v>
      </c>
      <c r="AY332" t="s">
        <v>160</v>
      </c>
      <c r="AZ332" s="197" t="str">
        <f t="shared" si="732"/>
        <v>DIS_Non-Standard_213</v>
      </c>
      <c r="BA332">
        <v>213</v>
      </c>
      <c r="BB332">
        <f>VLOOKUP($BA332,'[2]NonStandard DIS'!$Q$1:$X$542,2,FALSE)</f>
        <v>0</v>
      </c>
      <c r="BC332">
        <f>VLOOKUP($BA332,'[2]NonStandard DIS'!$Q$1:$X$542,3,FALSE)</f>
        <v>0</v>
      </c>
      <c r="BD332">
        <f>VLOOKUP($BA332,'[2]NonStandard DIS'!$Q$1:$X$542,4,FALSE)</f>
        <v>0.308</v>
      </c>
      <c r="BE332">
        <f>VLOOKUP($BA332,'[2]NonStandard DIS'!$Q$1:$X$542,5,FALSE)</f>
        <v>0.69199999999999995</v>
      </c>
      <c r="BF332">
        <f>VLOOKUP($BA332,'[2]NonStandard DIS'!$Q$1:$X$542,6,FALSE)</f>
        <v>0</v>
      </c>
      <c r="BG332">
        <f>VLOOKUP($BA332,'[2]NonStandard DIS'!$Q$1:$X$542,7,FALSE)</f>
        <v>0</v>
      </c>
      <c r="BH332">
        <f>VLOOKUP($BA332,'[2]NonStandard DIS'!$Q$1:$X$542,8,FALSE)</f>
        <v>0</v>
      </c>
      <c r="BI332" s="77">
        <f t="shared" si="832"/>
        <v>1</v>
      </c>
      <c r="BJ332" s="77">
        <f t="shared" si="833"/>
        <v>6.9728499999999985E-2</v>
      </c>
      <c r="BK332" s="77">
        <f t="shared" si="814"/>
        <v>5.632878498097682E-3</v>
      </c>
      <c r="BL332" s="79">
        <v>0</v>
      </c>
      <c r="BM332" s="77">
        <f t="shared" si="845"/>
        <v>0</v>
      </c>
      <c r="BN332" s="77">
        <f t="shared" si="846"/>
        <v>0</v>
      </c>
      <c r="BO332" s="77">
        <f t="shared" si="847"/>
        <v>5.6775999999999997E-3</v>
      </c>
      <c r="BP332" s="77">
        <f t="shared" si="848"/>
        <v>4.7190657760731725E-4</v>
      </c>
    </row>
    <row r="333" spans="1:68">
      <c r="A333" t="s">
        <v>175</v>
      </c>
      <c r="B333" t="s">
        <v>176</v>
      </c>
      <c r="C333" s="197" t="str">
        <f t="shared" si="726"/>
        <v>Lifecycle_Balanced_212</v>
      </c>
      <c r="D333">
        <v>212</v>
      </c>
      <c r="E333">
        <f>VLOOKUP($D333,'[2]LC Balanced'!$Q$2:$U$542,2,FALSE)</f>
        <v>0</v>
      </c>
      <c r="F333">
        <f>VLOOKUP($D333,'[2]LC Balanced'!$Q$2:$U$542,3,FALSE)</f>
        <v>0.14899999999999999</v>
      </c>
      <c r="G333">
        <f>VLOOKUP($D333,'[2]LC Balanced'!$Q$2:$U$542,4,FALSE)</f>
        <v>0.85099999999999998</v>
      </c>
      <c r="H333">
        <f>VLOOKUP($D333,'[2]LC Balanced'!$Q$2:$U$542,5,FALSE)</f>
        <v>0</v>
      </c>
      <c r="I333" s="77">
        <f t="shared" si="827"/>
        <v>1</v>
      </c>
      <c r="J333" s="77">
        <f t="shared" si="828"/>
        <v>6.1987699999999986E-2</v>
      </c>
      <c r="K333" s="77">
        <f t="shared" si="818"/>
        <v>5.024442123284345E-3</v>
      </c>
      <c r="L333" s="76">
        <v>0</v>
      </c>
      <c r="M333" s="77">
        <f t="shared" si="834"/>
        <v>0</v>
      </c>
      <c r="N333" s="77">
        <f t="shared" si="835"/>
        <v>0</v>
      </c>
      <c r="O333" s="77">
        <f t="shared" si="836"/>
        <v>7.0062999999999992E-3</v>
      </c>
      <c r="P333" s="77">
        <f t="shared" si="837"/>
        <v>5.85741666996209E-4</v>
      </c>
      <c r="R333" t="s">
        <v>177</v>
      </c>
      <c r="S333" t="s">
        <v>176</v>
      </c>
      <c r="T333" s="197" t="str">
        <f t="shared" si="769"/>
        <v>Autopilot_Balanced_212</v>
      </c>
      <c r="U333">
        <v>212</v>
      </c>
      <c r="V333">
        <f>VLOOKUP($U333,'[2]AP Balanced'!$Q$1:$T$542,2,FALSE)</f>
        <v>0.77777777777777779</v>
      </c>
      <c r="W333">
        <f>VLOOKUP($U333,'[2]AP Balanced'!$Q$1:$T$542,3,FALSE)</f>
        <v>0.22222222222222221</v>
      </c>
      <c r="X333">
        <f>VLOOKUP($U333,'[2]AP Balanced'!$Q$1:$T$542,4,FALSE)</f>
        <v>0</v>
      </c>
      <c r="Y333" s="77">
        <f t="shared" si="727"/>
        <v>1</v>
      </c>
      <c r="Z333" s="77">
        <f t="shared" si="716"/>
        <v>6.1674999999999987E-2</v>
      </c>
      <c r="AA333" s="77">
        <f t="shared" si="717"/>
        <v>4.9997781870025904E-3</v>
      </c>
      <c r="AB333" s="79">
        <v>1</v>
      </c>
      <c r="AC333" s="77">
        <f t="shared" si="838"/>
        <v>8.0555555555555554E-3</v>
      </c>
      <c r="AD333" s="77">
        <f t="shared" si="829"/>
        <v>6.7378764057135498E-4</v>
      </c>
      <c r="AE333" s="77">
        <f t="shared" si="839"/>
        <v>2.5000000000000001E-3</v>
      </c>
      <c r="AF333" s="77">
        <f t="shared" si="829"/>
        <v>2.0857243058891584E-4</v>
      </c>
      <c r="AH333" t="s">
        <v>175</v>
      </c>
      <c r="AI333" t="s">
        <v>176</v>
      </c>
      <c r="AJ333" s="197" t="str">
        <f t="shared" si="728"/>
        <v>Lifecycle_Balanced_212</v>
      </c>
      <c r="AK333">
        <v>212</v>
      </c>
      <c r="AL333">
        <f>VLOOKUP($U333,[2]Standard_Balanced!$Q$1:$T$542,2,FALSE)</f>
        <v>0.77777777777777779</v>
      </c>
      <c r="AM333">
        <f>VLOOKUP($U333,[2]Standard_Balanced!$Q$1:$T$542,3,FALSE)</f>
        <v>0.22222222222222221</v>
      </c>
      <c r="AN333">
        <f>VLOOKUP($U333,[2]Standard_Balanced!$Q$1:$T$542,4,FALSE)</f>
        <v>0</v>
      </c>
      <c r="AO333" s="77">
        <f t="shared" si="815"/>
        <v>1</v>
      </c>
      <c r="AP333" s="77">
        <f t="shared" si="840"/>
        <v>6.1674999999999987E-2</v>
      </c>
      <c r="AQ333" s="77">
        <f t="shared" si="729"/>
        <v>4.9997781870025904E-3</v>
      </c>
      <c r="AR333" s="79">
        <v>0</v>
      </c>
      <c r="AS333" s="77">
        <f t="shared" si="841"/>
        <v>0</v>
      </c>
      <c r="AT333" s="77">
        <f t="shared" ref="AT333" si="861">1-(1-AS333)^(1/12)</f>
        <v>0</v>
      </c>
      <c r="AU333" s="77">
        <f t="shared" si="843"/>
        <v>2.5000000000000001E-3</v>
      </c>
      <c r="AV333" s="77">
        <f t="shared" ref="AV333" si="862">1-(1-AU333)^(1/12)</f>
        <v>2.0857243058891584E-4</v>
      </c>
      <c r="AX333" t="s">
        <v>178</v>
      </c>
      <c r="AY333" t="s">
        <v>160</v>
      </c>
      <c r="AZ333" s="197" t="str">
        <f t="shared" si="732"/>
        <v>DIS_Non-Standard_212</v>
      </c>
      <c r="BA333">
        <v>212</v>
      </c>
      <c r="BB333">
        <f>VLOOKUP($BA333,'[2]NonStandard DIS'!$Q$1:$X$542,2,FALSE)</f>
        <v>0</v>
      </c>
      <c r="BC333">
        <f>VLOOKUP($BA333,'[2]NonStandard DIS'!$Q$1:$X$542,3,FALSE)</f>
        <v>0</v>
      </c>
      <c r="BD333">
        <f>VLOOKUP($BA333,'[2]NonStandard DIS'!$Q$1:$X$542,4,FALSE)</f>
        <v>0.308</v>
      </c>
      <c r="BE333">
        <f>VLOOKUP($BA333,'[2]NonStandard DIS'!$Q$1:$X$542,5,FALSE)</f>
        <v>0.69199999999999995</v>
      </c>
      <c r="BF333">
        <f>VLOOKUP($BA333,'[2]NonStandard DIS'!$Q$1:$X$542,6,FALSE)</f>
        <v>0</v>
      </c>
      <c r="BG333">
        <f>VLOOKUP($BA333,'[2]NonStandard DIS'!$Q$1:$X$542,7,FALSE)</f>
        <v>0</v>
      </c>
      <c r="BH333">
        <f>VLOOKUP($BA333,'[2]NonStandard DIS'!$Q$1:$X$542,8,FALSE)</f>
        <v>0</v>
      </c>
      <c r="BI333" s="77">
        <f t="shared" si="832"/>
        <v>1</v>
      </c>
      <c r="BJ333" s="77">
        <f t="shared" si="833"/>
        <v>6.9728499999999985E-2</v>
      </c>
      <c r="BK333" s="77">
        <f t="shared" si="814"/>
        <v>5.632878498097682E-3</v>
      </c>
      <c r="BL333" s="79">
        <v>0</v>
      </c>
      <c r="BM333" s="77">
        <f t="shared" si="845"/>
        <v>0</v>
      </c>
      <c r="BN333" s="77">
        <f t="shared" si="846"/>
        <v>0</v>
      </c>
      <c r="BO333" s="77">
        <f t="shared" si="847"/>
        <v>5.6775999999999997E-3</v>
      </c>
      <c r="BP333" s="77">
        <f t="shared" si="848"/>
        <v>4.7190657760731725E-4</v>
      </c>
    </row>
    <row r="334" spans="1:68">
      <c r="A334" t="s">
        <v>175</v>
      </c>
      <c r="B334" t="s">
        <v>176</v>
      </c>
      <c r="C334" s="197" t="str">
        <f t="shared" si="726"/>
        <v>Lifecycle_Balanced_211</v>
      </c>
      <c r="D334">
        <v>211</v>
      </c>
      <c r="E334">
        <f>VLOOKUP($D334,'[2]LC Balanced'!$Q$2:$U$542,2,FALSE)</f>
        <v>0</v>
      </c>
      <c r="F334">
        <f>VLOOKUP($D334,'[2]LC Balanced'!$Q$2:$U$542,3,FALSE)</f>
        <v>0.14899999999999999</v>
      </c>
      <c r="G334">
        <f>VLOOKUP($D334,'[2]LC Balanced'!$Q$2:$U$542,4,FALSE)</f>
        <v>0.85099999999999998</v>
      </c>
      <c r="H334">
        <f>VLOOKUP($D334,'[2]LC Balanced'!$Q$2:$U$542,5,FALSE)</f>
        <v>0</v>
      </c>
      <c r="I334" s="77">
        <f t="shared" si="827"/>
        <v>1</v>
      </c>
      <c r="J334" s="77">
        <f t="shared" si="828"/>
        <v>6.1987699999999986E-2</v>
      </c>
      <c r="K334" s="77">
        <f t="shared" si="818"/>
        <v>5.024442123284345E-3</v>
      </c>
      <c r="L334" s="76">
        <v>0</v>
      </c>
      <c r="M334" s="77">
        <f t="shared" si="834"/>
        <v>0</v>
      </c>
      <c r="N334" s="77">
        <f t="shared" si="835"/>
        <v>0</v>
      </c>
      <c r="O334" s="77">
        <f t="shared" si="836"/>
        <v>7.0062999999999992E-3</v>
      </c>
      <c r="P334" s="77">
        <f t="shared" si="837"/>
        <v>5.85741666996209E-4</v>
      </c>
      <c r="R334" t="s">
        <v>177</v>
      </c>
      <c r="S334" t="s">
        <v>176</v>
      </c>
      <c r="T334" s="197" t="str">
        <f t="shared" si="769"/>
        <v>Autopilot_Balanced_211</v>
      </c>
      <c r="U334">
        <v>211</v>
      </c>
      <c r="V334">
        <f>VLOOKUP($U334,'[2]AP Balanced'!$Q$1:$T$542,2,FALSE)</f>
        <v>0.77777777777777779</v>
      </c>
      <c r="W334">
        <f>VLOOKUP($U334,'[2]AP Balanced'!$Q$1:$T$542,3,FALSE)</f>
        <v>0.22222222222222221</v>
      </c>
      <c r="X334">
        <f>VLOOKUP($U334,'[2]AP Balanced'!$Q$1:$T$542,4,FALSE)</f>
        <v>0</v>
      </c>
      <c r="Y334" s="77">
        <f t="shared" si="727"/>
        <v>1</v>
      </c>
      <c r="Z334" s="77">
        <f t="shared" si="716"/>
        <v>6.1674999999999987E-2</v>
      </c>
      <c r="AA334" s="77">
        <f t="shared" si="717"/>
        <v>4.9997781870025904E-3</v>
      </c>
      <c r="AB334" s="79">
        <v>1</v>
      </c>
      <c r="AC334" s="77">
        <f t="shared" si="838"/>
        <v>8.0555555555555554E-3</v>
      </c>
      <c r="AD334" s="77">
        <f t="shared" si="829"/>
        <v>6.7378764057135498E-4</v>
      </c>
      <c r="AE334" s="77">
        <f t="shared" si="839"/>
        <v>2.5000000000000001E-3</v>
      </c>
      <c r="AF334" s="77">
        <f t="shared" si="829"/>
        <v>2.0857243058891584E-4</v>
      </c>
      <c r="AH334" t="s">
        <v>175</v>
      </c>
      <c r="AI334" t="s">
        <v>176</v>
      </c>
      <c r="AJ334" s="197" t="str">
        <f t="shared" si="728"/>
        <v>Lifecycle_Balanced_211</v>
      </c>
      <c r="AK334">
        <v>211</v>
      </c>
      <c r="AL334">
        <f>VLOOKUP($U334,[2]Standard_Balanced!$Q$1:$T$542,2,FALSE)</f>
        <v>0.77777777777777779</v>
      </c>
      <c r="AM334">
        <f>VLOOKUP($U334,[2]Standard_Balanced!$Q$1:$T$542,3,FALSE)</f>
        <v>0.22222222222222221</v>
      </c>
      <c r="AN334">
        <f>VLOOKUP($U334,[2]Standard_Balanced!$Q$1:$T$542,4,FALSE)</f>
        <v>0</v>
      </c>
      <c r="AO334" s="77">
        <f t="shared" si="815"/>
        <v>1</v>
      </c>
      <c r="AP334" s="77">
        <f t="shared" si="840"/>
        <v>6.1674999999999987E-2</v>
      </c>
      <c r="AQ334" s="77">
        <f t="shared" si="729"/>
        <v>4.9997781870025904E-3</v>
      </c>
      <c r="AR334" s="79">
        <v>0</v>
      </c>
      <c r="AS334" s="77">
        <f t="shared" si="841"/>
        <v>0</v>
      </c>
      <c r="AT334" s="77">
        <f t="shared" ref="AT334" si="863">1-(1-AS334)^(1/12)</f>
        <v>0</v>
      </c>
      <c r="AU334" s="77">
        <f t="shared" si="843"/>
        <v>2.5000000000000001E-3</v>
      </c>
      <c r="AV334" s="77">
        <f t="shared" ref="AV334" si="864">1-(1-AU334)^(1/12)</f>
        <v>2.0857243058891584E-4</v>
      </c>
      <c r="AX334" t="s">
        <v>178</v>
      </c>
      <c r="AY334" t="s">
        <v>160</v>
      </c>
      <c r="AZ334" s="197" t="str">
        <f t="shared" si="732"/>
        <v>DIS_Non-Standard_211</v>
      </c>
      <c r="BA334">
        <v>211</v>
      </c>
      <c r="BB334">
        <f>VLOOKUP($BA334,'[2]NonStandard DIS'!$Q$1:$X$542,2,FALSE)</f>
        <v>0</v>
      </c>
      <c r="BC334">
        <f>VLOOKUP($BA334,'[2]NonStandard DIS'!$Q$1:$X$542,3,FALSE)</f>
        <v>0</v>
      </c>
      <c r="BD334">
        <f>VLOOKUP($BA334,'[2]NonStandard DIS'!$Q$1:$X$542,4,FALSE)</f>
        <v>0.308</v>
      </c>
      <c r="BE334">
        <f>VLOOKUP($BA334,'[2]NonStandard DIS'!$Q$1:$X$542,5,FALSE)</f>
        <v>0.69199999999999995</v>
      </c>
      <c r="BF334">
        <f>VLOOKUP($BA334,'[2]NonStandard DIS'!$Q$1:$X$542,6,FALSE)</f>
        <v>0</v>
      </c>
      <c r="BG334">
        <f>VLOOKUP($BA334,'[2]NonStandard DIS'!$Q$1:$X$542,7,FALSE)</f>
        <v>0</v>
      </c>
      <c r="BH334">
        <f>VLOOKUP($BA334,'[2]NonStandard DIS'!$Q$1:$X$542,8,FALSE)</f>
        <v>0</v>
      </c>
      <c r="BI334" s="77">
        <f t="shared" si="832"/>
        <v>1</v>
      </c>
      <c r="BJ334" s="77">
        <f t="shared" si="833"/>
        <v>6.9728499999999985E-2</v>
      </c>
      <c r="BK334" s="77">
        <f t="shared" si="814"/>
        <v>5.632878498097682E-3</v>
      </c>
      <c r="BL334" s="79">
        <v>0</v>
      </c>
      <c r="BM334" s="77">
        <f t="shared" si="845"/>
        <v>0</v>
      </c>
      <c r="BN334" s="77">
        <f t="shared" si="846"/>
        <v>0</v>
      </c>
      <c r="BO334" s="77">
        <f t="shared" si="847"/>
        <v>5.6775999999999997E-3</v>
      </c>
      <c r="BP334" s="77">
        <f t="shared" si="848"/>
        <v>4.7190657760731725E-4</v>
      </c>
    </row>
    <row r="335" spans="1:68">
      <c r="A335" t="s">
        <v>175</v>
      </c>
      <c r="B335" t="s">
        <v>176</v>
      </c>
      <c r="C335" s="197" t="str">
        <f t="shared" si="726"/>
        <v>Lifecycle_Balanced_210</v>
      </c>
      <c r="D335">
        <v>210</v>
      </c>
      <c r="E335">
        <f>VLOOKUP($D335,'[2]LC Balanced'!$Q$2:$U$542,2,FALSE)</f>
        <v>0</v>
      </c>
      <c r="F335">
        <f>VLOOKUP($D335,'[2]LC Balanced'!$Q$2:$U$542,3,FALSE)</f>
        <v>0.14899999999999999</v>
      </c>
      <c r="G335">
        <f>VLOOKUP($D335,'[2]LC Balanced'!$Q$2:$U$542,4,FALSE)</f>
        <v>0.85099999999999998</v>
      </c>
      <c r="H335">
        <f>VLOOKUP($D335,'[2]LC Balanced'!$Q$2:$U$542,5,FALSE)</f>
        <v>0</v>
      </c>
      <c r="I335" s="77">
        <f t="shared" si="827"/>
        <v>1</v>
      </c>
      <c r="J335" s="77">
        <f t="shared" si="828"/>
        <v>6.1987699999999986E-2</v>
      </c>
      <c r="K335" s="77">
        <f t="shared" si="818"/>
        <v>5.024442123284345E-3</v>
      </c>
      <c r="L335" s="76">
        <v>0</v>
      </c>
      <c r="M335" s="77">
        <f t="shared" si="834"/>
        <v>0</v>
      </c>
      <c r="N335" s="77">
        <f t="shared" si="835"/>
        <v>0</v>
      </c>
      <c r="O335" s="77">
        <f t="shared" si="836"/>
        <v>7.0062999999999992E-3</v>
      </c>
      <c r="P335" s="77">
        <f t="shared" si="837"/>
        <v>5.85741666996209E-4</v>
      </c>
      <c r="R335" t="s">
        <v>177</v>
      </c>
      <c r="S335" t="s">
        <v>176</v>
      </c>
      <c r="T335" s="197" t="str">
        <f t="shared" si="769"/>
        <v>Autopilot_Balanced_210</v>
      </c>
      <c r="U335">
        <v>210</v>
      </c>
      <c r="V335">
        <f>VLOOKUP($U335,'[2]AP Balanced'!$Q$1:$T$542,2,FALSE)</f>
        <v>0.77777777777777779</v>
      </c>
      <c r="W335">
        <f>VLOOKUP($U335,'[2]AP Balanced'!$Q$1:$T$542,3,FALSE)</f>
        <v>0.22222222222222221</v>
      </c>
      <c r="X335">
        <f>VLOOKUP($U335,'[2]AP Balanced'!$Q$1:$T$542,4,FALSE)</f>
        <v>0</v>
      </c>
      <c r="Y335" s="77">
        <f t="shared" si="727"/>
        <v>1</v>
      </c>
      <c r="Z335" s="77">
        <f t="shared" si="716"/>
        <v>6.1674999999999987E-2</v>
      </c>
      <c r="AA335" s="77">
        <f t="shared" si="717"/>
        <v>4.9997781870025904E-3</v>
      </c>
      <c r="AB335" s="79">
        <v>1</v>
      </c>
      <c r="AC335" s="77">
        <f t="shared" si="838"/>
        <v>8.0555555555555554E-3</v>
      </c>
      <c r="AD335" s="77">
        <f t="shared" si="829"/>
        <v>6.7378764057135498E-4</v>
      </c>
      <c r="AE335" s="77">
        <f t="shared" si="839"/>
        <v>2.5000000000000001E-3</v>
      </c>
      <c r="AF335" s="77">
        <f t="shared" si="829"/>
        <v>2.0857243058891584E-4</v>
      </c>
      <c r="AH335" t="s">
        <v>175</v>
      </c>
      <c r="AI335" t="s">
        <v>176</v>
      </c>
      <c r="AJ335" s="197" t="str">
        <f t="shared" si="728"/>
        <v>Lifecycle_Balanced_210</v>
      </c>
      <c r="AK335">
        <v>210</v>
      </c>
      <c r="AL335">
        <f>VLOOKUP($U335,[2]Standard_Balanced!$Q$1:$T$542,2,FALSE)</f>
        <v>0.77777777777777779</v>
      </c>
      <c r="AM335">
        <f>VLOOKUP($U335,[2]Standard_Balanced!$Q$1:$T$542,3,FALSE)</f>
        <v>0.22222222222222221</v>
      </c>
      <c r="AN335">
        <f>VLOOKUP($U335,[2]Standard_Balanced!$Q$1:$T$542,4,FALSE)</f>
        <v>0</v>
      </c>
      <c r="AO335" s="77">
        <f t="shared" si="815"/>
        <v>1</v>
      </c>
      <c r="AP335" s="77">
        <f t="shared" si="840"/>
        <v>6.1674999999999987E-2</v>
      </c>
      <c r="AQ335" s="77">
        <f t="shared" si="729"/>
        <v>4.9997781870025904E-3</v>
      </c>
      <c r="AR335" s="79">
        <v>0</v>
      </c>
      <c r="AS335" s="77">
        <f t="shared" si="841"/>
        <v>0</v>
      </c>
      <c r="AT335" s="77">
        <f t="shared" ref="AT335" si="865">1-(1-AS335)^(1/12)</f>
        <v>0</v>
      </c>
      <c r="AU335" s="77">
        <f t="shared" si="843"/>
        <v>2.5000000000000001E-3</v>
      </c>
      <c r="AV335" s="77">
        <f t="shared" ref="AV335" si="866">1-(1-AU335)^(1/12)</f>
        <v>2.0857243058891584E-4</v>
      </c>
      <c r="AX335" t="s">
        <v>178</v>
      </c>
      <c r="AY335" t="s">
        <v>160</v>
      </c>
      <c r="AZ335" s="197" t="str">
        <f t="shared" si="732"/>
        <v>DIS_Non-Standard_210</v>
      </c>
      <c r="BA335">
        <v>210</v>
      </c>
      <c r="BB335">
        <f>VLOOKUP($BA335,'[2]NonStandard DIS'!$Q$1:$X$542,2,FALSE)</f>
        <v>0</v>
      </c>
      <c r="BC335">
        <f>VLOOKUP($BA335,'[2]NonStandard DIS'!$Q$1:$X$542,3,FALSE)</f>
        <v>0</v>
      </c>
      <c r="BD335">
        <f>VLOOKUP($BA335,'[2]NonStandard DIS'!$Q$1:$X$542,4,FALSE)</f>
        <v>0.308</v>
      </c>
      <c r="BE335">
        <f>VLOOKUP($BA335,'[2]NonStandard DIS'!$Q$1:$X$542,5,FALSE)</f>
        <v>0.69199999999999995</v>
      </c>
      <c r="BF335">
        <f>VLOOKUP($BA335,'[2]NonStandard DIS'!$Q$1:$X$542,6,FALSE)</f>
        <v>0</v>
      </c>
      <c r="BG335">
        <f>VLOOKUP($BA335,'[2]NonStandard DIS'!$Q$1:$X$542,7,FALSE)</f>
        <v>0</v>
      </c>
      <c r="BH335">
        <f>VLOOKUP($BA335,'[2]NonStandard DIS'!$Q$1:$X$542,8,FALSE)</f>
        <v>0</v>
      </c>
      <c r="BI335" s="77">
        <f t="shared" si="832"/>
        <v>1</v>
      </c>
      <c r="BJ335" s="77">
        <f t="shared" si="833"/>
        <v>6.9728499999999985E-2</v>
      </c>
      <c r="BK335" s="77">
        <f t="shared" si="814"/>
        <v>5.632878498097682E-3</v>
      </c>
      <c r="BL335" s="79">
        <v>0</v>
      </c>
      <c r="BM335" s="77">
        <f t="shared" si="845"/>
        <v>0</v>
      </c>
      <c r="BN335" s="77">
        <f t="shared" si="846"/>
        <v>0</v>
      </c>
      <c r="BO335" s="77">
        <f t="shared" si="847"/>
        <v>5.6775999999999997E-3</v>
      </c>
      <c r="BP335" s="77">
        <f t="shared" si="848"/>
        <v>4.7190657760731725E-4</v>
      </c>
    </row>
    <row r="336" spans="1:68">
      <c r="A336" t="s">
        <v>175</v>
      </c>
      <c r="B336" t="s">
        <v>176</v>
      </c>
      <c r="C336" s="197" t="str">
        <f t="shared" si="726"/>
        <v>Lifecycle_Balanced_209</v>
      </c>
      <c r="D336">
        <v>209</v>
      </c>
      <c r="E336">
        <f>VLOOKUP($D336,'[2]LC Balanced'!$Q$2:$U$542,2,FALSE)</f>
        <v>0</v>
      </c>
      <c r="F336">
        <f>VLOOKUP($D336,'[2]LC Balanced'!$Q$2:$U$542,3,FALSE)</f>
        <v>0.14899999999999999</v>
      </c>
      <c r="G336">
        <f>VLOOKUP($D336,'[2]LC Balanced'!$Q$2:$U$542,4,FALSE)</f>
        <v>0.85099999999999998</v>
      </c>
      <c r="H336">
        <f>VLOOKUP($D336,'[2]LC Balanced'!$Q$2:$U$542,5,FALSE)</f>
        <v>0</v>
      </c>
      <c r="I336" s="77">
        <f t="shared" si="827"/>
        <v>1</v>
      </c>
      <c r="J336" s="77">
        <f t="shared" si="828"/>
        <v>6.1987699999999986E-2</v>
      </c>
      <c r="K336" s="77">
        <f t="shared" si="818"/>
        <v>5.024442123284345E-3</v>
      </c>
      <c r="L336" s="76">
        <v>0</v>
      </c>
      <c r="M336" s="77">
        <f t="shared" si="834"/>
        <v>0</v>
      </c>
      <c r="N336" s="77">
        <f t="shared" si="835"/>
        <v>0</v>
      </c>
      <c r="O336" s="77">
        <f t="shared" si="836"/>
        <v>7.0062999999999992E-3</v>
      </c>
      <c r="P336" s="77">
        <f t="shared" si="837"/>
        <v>5.85741666996209E-4</v>
      </c>
      <c r="R336" t="s">
        <v>177</v>
      </c>
      <c r="S336" t="s">
        <v>176</v>
      </c>
      <c r="T336" s="197" t="str">
        <f t="shared" si="769"/>
        <v>Autopilot_Balanced_209</v>
      </c>
      <c r="U336">
        <v>209</v>
      </c>
      <c r="V336">
        <f>VLOOKUP($U336,'[2]AP Balanced'!$Q$1:$T$542,2,FALSE)</f>
        <v>0.77777777777777779</v>
      </c>
      <c r="W336">
        <f>VLOOKUP($U336,'[2]AP Balanced'!$Q$1:$T$542,3,FALSE)</f>
        <v>0.22222222222222221</v>
      </c>
      <c r="X336">
        <f>VLOOKUP($U336,'[2]AP Balanced'!$Q$1:$T$542,4,FALSE)</f>
        <v>0</v>
      </c>
      <c r="Y336" s="77">
        <f t="shared" si="727"/>
        <v>1</v>
      </c>
      <c r="Z336" s="77">
        <f t="shared" si="716"/>
        <v>6.1674999999999987E-2</v>
      </c>
      <c r="AA336" s="77">
        <f t="shared" si="717"/>
        <v>4.9997781870025904E-3</v>
      </c>
      <c r="AB336" s="79">
        <v>1</v>
      </c>
      <c r="AC336" s="77">
        <f t="shared" si="838"/>
        <v>8.0555555555555554E-3</v>
      </c>
      <c r="AD336" s="77">
        <f t="shared" si="829"/>
        <v>6.7378764057135498E-4</v>
      </c>
      <c r="AE336" s="77">
        <f t="shared" si="839"/>
        <v>2.5000000000000001E-3</v>
      </c>
      <c r="AF336" s="77">
        <f t="shared" si="829"/>
        <v>2.0857243058891584E-4</v>
      </c>
      <c r="AH336" t="s">
        <v>175</v>
      </c>
      <c r="AI336" t="s">
        <v>176</v>
      </c>
      <c r="AJ336" s="197" t="str">
        <f t="shared" si="728"/>
        <v>Lifecycle_Balanced_209</v>
      </c>
      <c r="AK336">
        <v>209</v>
      </c>
      <c r="AL336">
        <f>VLOOKUP($U336,[2]Standard_Balanced!$Q$1:$T$542,2,FALSE)</f>
        <v>0.77777777777777779</v>
      </c>
      <c r="AM336">
        <f>VLOOKUP($U336,[2]Standard_Balanced!$Q$1:$T$542,3,FALSE)</f>
        <v>0.22222222222222221</v>
      </c>
      <c r="AN336">
        <f>VLOOKUP($U336,[2]Standard_Balanced!$Q$1:$T$542,4,FALSE)</f>
        <v>0</v>
      </c>
      <c r="AO336" s="77">
        <f t="shared" si="815"/>
        <v>1</v>
      </c>
      <c r="AP336" s="77">
        <f t="shared" si="840"/>
        <v>6.1674999999999987E-2</v>
      </c>
      <c r="AQ336" s="77">
        <f t="shared" si="729"/>
        <v>4.9997781870025904E-3</v>
      </c>
      <c r="AR336" s="79">
        <v>0</v>
      </c>
      <c r="AS336" s="77">
        <f t="shared" si="841"/>
        <v>0</v>
      </c>
      <c r="AT336" s="77">
        <f t="shared" ref="AT336" si="867">1-(1-AS336)^(1/12)</f>
        <v>0</v>
      </c>
      <c r="AU336" s="77">
        <f t="shared" si="843"/>
        <v>2.5000000000000001E-3</v>
      </c>
      <c r="AV336" s="77">
        <f t="shared" ref="AV336" si="868">1-(1-AU336)^(1/12)</f>
        <v>2.0857243058891584E-4</v>
      </c>
      <c r="AX336" t="s">
        <v>178</v>
      </c>
      <c r="AY336" t="s">
        <v>160</v>
      </c>
      <c r="AZ336" s="197" t="str">
        <f t="shared" si="732"/>
        <v>DIS_Non-Standard_209</v>
      </c>
      <c r="BA336">
        <v>209</v>
      </c>
      <c r="BB336">
        <f>VLOOKUP($BA336,'[2]NonStandard DIS'!$Q$1:$X$542,2,FALSE)</f>
        <v>0</v>
      </c>
      <c r="BC336">
        <f>VLOOKUP($BA336,'[2]NonStandard DIS'!$Q$1:$X$542,3,FALSE)</f>
        <v>0</v>
      </c>
      <c r="BD336">
        <f>VLOOKUP($BA336,'[2]NonStandard DIS'!$Q$1:$X$542,4,FALSE)</f>
        <v>0.308</v>
      </c>
      <c r="BE336">
        <f>VLOOKUP($BA336,'[2]NonStandard DIS'!$Q$1:$X$542,5,FALSE)</f>
        <v>0.69199999999999995</v>
      </c>
      <c r="BF336">
        <f>VLOOKUP($BA336,'[2]NonStandard DIS'!$Q$1:$X$542,6,FALSE)</f>
        <v>0</v>
      </c>
      <c r="BG336">
        <f>VLOOKUP($BA336,'[2]NonStandard DIS'!$Q$1:$X$542,7,FALSE)</f>
        <v>0</v>
      </c>
      <c r="BH336">
        <f>VLOOKUP($BA336,'[2]NonStandard DIS'!$Q$1:$X$542,8,FALSE)</f>
        <v>0</v>
      </c>
      <c r="BI336" s="77">
        <f t="shared" si="832"/>
        <v>1</v>
      </c>
      <c r="BJ336" s="77">
        <f t="shared" si="833"/>
        <v>6.9728499999999985E-2</v>
      </c>
      <c r="BK336" s="77">
        <f t="shared" si="814"/>
        <v>5.632878498097682E-3</v>
      </c>
      <c r="BL336" s="79">
        <v>0</v>
      </c>
      <c r="BM336" s="77">
        <f t="shared" si="845"/>
        <v>0</v>
      </c>
      <c r="BN336" s="77">
        <f t="shared" si="846"/>
        <v>0</v>
      </c>
      <c r="BO336" s="77">
        <f t="shared" si="847"/>
        <v>5.6775999999999997E-3</v>
      </c>
      <c r="BP336" s="77">
        <f t="shared" si="848"/>
        <v>4.7190657760731725E-4</v>
      </c>
    </row>
    <row r="337" spans="1:68">
      <c r="A337" t="s">
        <v>175</v>
      </c>
      <c r="B337" t="s">
        <v>176</v>
      </c>
      <c r="C337" s="197" t="str">
        <f t="shared" si="726"/>
        <v>Lifecycle_Balanced_208</v>
      </c>
      <c r="D337">
        <v>208</v>
      </c>
      <c r="E337">
        <f>VLOOKUP($D337,'[2]LC Balanced'!$Q$2:$U$542,2,FALSE)</f>
        <v>0</v>
      </c>
      <c r="F337">
        <f>VLOOKUP($D337,'[2]LC Balanced'!$Q$2:$U$542,3,FALSE)</f>
        <v>0.14899999999999999</v>
      </c>
      <c r="G337">
        <f>VLOOKUP($D337,'[2]LC Balanced'!$Q$2:$U$542,4,FALSE)</f>
        <v>0.85099999999999998</v>
      </c>
      <c r="H337">
        <f>VLOOKUP($D337,'[2]LC Balanced'!$Q$2:$U$542,5,FALSE)</f>
        <v>0</v>
      </c>
      <c r="I337" s="77">
        <f t="shared" si="827"/>
        <v>1</v>
      </c>
      <c r="J337" s="77">
        <f t="shared" si="828"/>
        <v>6.1987699999999986E-2</v>
      </c>
      <c r="K337" s="77">
        <f t="shared" si="818"/>
        <v>5.024442123284345E-3</v>
      </c>
      <c r="L337" s="76">
        <v>0</v>
      </c>
      <c r="M337" s="77">
        <f t="shared" si="834"/>
        <v>0</v>
      </c>
      <c r="N337" s="77">
        <f t="shared" si="835"/>
        <v>0</v>
      </c>
      <c r="O337" s="77">
        <f t="shared" si="836"/>
        <v>7.0062999999999992E-3</v>
      </c>
      <c r="P337" s="77">
        <f t="shared" si="837"/>
        <v>5.85741666996209E-4</v>
      </c>
      <c r="R337" t="s">
        <v>177</v>
      </c>
      <c r="S337" t="s">
        <v>176</v>
      </c>
      <c r="T337" s="197" t="str">
        <f t="shared" si="769"/>
        <v>Autopilot_Balanced_208</v>
      </c>
      <c r="U337">
        <v>208</v>
      </c>
      <c r="V337">
        <f>VLOOKUP($U337,'[2]AP Balanced'!$Q$1:$T$542,2,FALSE)</f>
        <v>0.77777777777777779</v>
      </c>
      <c r="W337">
        <f>VLOOKUP($U337,'[2]AP Balanced'!$Q$1:$T$542,3,FALSE)</f>
        <v>0.22222222222222221</v>
      </c>
      <c r="X337">
        <f>VLOOKUP($U337,'[2]AP Balanced'!$Q$1:$T$542,4,FALSE)</f>
        <v>0</v>
      </c>
      <c r="Y337" s="77">
        <f t="shared" si="727"/>
        <v>1</v>
      </c>
      <c r="Z337" s="77">
        <f t="shared" si="716"/>
        <v>6.1674999999999987E-2</v>
      </c>
      <c r="AA337" s="77">
        <f t="shared" si="717"/>
        <v>4.9997781870025904E-3</v>
      </c>
      <c r="AB337" s="79">
        <v>1</v>
      </c>
      <c r="AC337" s="77">
        <f t="shared" si="838"/>
        <v>8.0555555555555554E-3</v>
      </c>
      <c r="AD337" s="77">
        <f t="shared" si="829"/>
        <v>6.7378764057135498E-4</v>
      </c>
      <c r="AE337" s="77">
        <f t="shared" si="839"/>
        <v>2.5000000000000001E-3</v>
      </c>
      <c r="AF337" s="77">
        <f t="shared" si="829"/>
        <v>2.0857243058891584E-4</v>
      </c>
      <c r="AH337" t="s">
        <v>175</v>
      </c>
      <c r="AI337" t="s">
        <v>176</v>
      </c>
      <c r="AJ337" s="197" t="str">
        <f t="shared" si="728"/>
        <v>Lifecycle_Balanced_208</v>
      </c>
      <c r="AK337">
        <v>208</v>
      </c>
      <c r="AL337">
        <f>VLOOKUP($U337,[2]Standard_Balanced!$Q$1:$T$542,2,FALSE)</f>
        <v>0.77777777777777779</v>
      </c>
      <c r="AM337">
        <f>VLOOKUP($U337,[2]Standard_Balanced!$Q$1:$T$542,3,FALSE)</f>
        <v>0.22222222222222221</v>
      </c>
      <c r="AN337">
        <f>VLOOKUP($U337,[2]Standard_Balanced!$Q$1:$T$542,4,FALSE)</f>
        <v>0</v>
      </c>
      <c r="AO337" s="77">
        <f t="shared" si="815"/>
        <v>1</v>
      </c>
      <c r="AP337" s="77">
        <f t="shared" si="840"/>
        <v>6.1674999999999987E-2</v>
      </c>
      <c r="AQ337" s="77">
        <f t="shared" si="729"/>
        <v>4.9997781870025904E-3</v>
      </c>
      <c r="AR337" s="79">
        <v>0</v>
      </c>
      <c r="AS337" s="77">
        <f t="shared" si="841"/>
        <v>0</v>
      </c>
      <c r="AT337" s="77">
        <f t="shared" ref="AT337" si="869">1-(1-AS337)^(1/12)</f>
        <v>0</v>
      </c>
      <c r="AU337" s="77">
        <f t="shared" si="843"/>
        <v>2.5000000000000001E-3</v>
      </c>
      <c r="AV337" s="77">
        <f t="shared" ref="AV337" si="870">1-(1-AU337)^(1/12)</f>
        <v>2.0857243058891584E-4</v>
      </c>
      <c r="AX337" t="s">
        <v>178</v>
      </c>
      <c r="AY337" t="s">
        <v>160</v>
      </c>
      <c r="AZ337" s="197" t="str">
        <f t="shared" si="732"/>
        <v>DIS_Non-Standard_208</v>
      </c>
      <c r="BA337">
        <v>208</v>
      </c>
      <c r="BB337">
        <f>VLOOKUP($BA337,'[2]NonStandard DIS'!$Q$1:$X$542,2,FALSE)</f>
        <v>0</v>
      </c>
      <c r="BC337">
        <f>VLOOKUP($BA337,'[2]NonStandard DIS'!$Q$1:$X$542,3,FALSE)</f>
        <v>0</v>
      </c>
      <c r="BD337">
        <f>VLOOKUP($BA337,'[2]NonStandard DIS'!$Q$1:$X$542,4,FALSE)</f>
        <v>0.308</v>
      </c>
      <c r="BE337">
        <f>VLOOKUP($BA337,'[2]NonStandard DIS'!$Q$1:$X$542,5,FALSE)</f>
        <v>0.69199999999999995</v>
      </c>
      <c r="BF337">
        <f>VLOOKUP($BA337,'[2]NonStandard DIS'!$Q$1:$X$542,6,FALSE)</f>
        <v>0</v>
      </c>
      <c r="BG337">
        <f>VLOOKUP($BA337,'[2]NonStandard DIS'!$Q$1:$X$542,7,FALSE)</f>
        <v>0</v>
      </c>
      <c r="BH337">
        <f>VLOOKUP($BA337,'[2]NonStandard DIS'!$Q$1:$X$542,8,FALSE)</f>
        <v>0</v>
      </c>
      <c r="BI337" s="77">
        <f t="shared" si="832"/>
        <v>1</v>
      </c>
      <c r="BJ337" s="77">
        <f t="shared" si="833"/>
        <v>6.9728499999999985E-2</v>
      </c>
      <c r="BK337" s="77">
        <f t="shared" si="814"/>
        <v>5.632878498097682E-3</v>
      </c>
      <c r="BL337" s="79">
        <v>0</v>
      </c>
      <c r="BM337" s="77">
        <f t="shared" si="845"/>
        <v>0</v>
      </c>
      <c r="BN337" s="77">
        <f t="shared" si="846"/>
        <v>0</v>
      </c>
      <c r="BO337" s="77">
        <f t="shared" si="847"/>
        <v>5.6775999999999997E-3</v>
      </c>
      <c r="BP337" s="77">
        <f t="shared" si="848"/>
        <v>4.7190657760731725E-4</v>
      </c>
    </row>
    <row r="338" spans="1:68">
      <c r="A338" t="s">
        <v>175</v>
      </c>
      <c r="B338" t="s">
        <v>176</v>
      </c>
      <c r="C338" s="197" t="str">
        <f t="shared" si="726"/>
        <v>Lifecycle_Balanced_207</v>
      </c>
      <c r="D338">
        <v>207</v>
      </c>
      <c r="E338">
        <f>VLOOKUP($D338,'[2]LC Balanced'!$Q$2:$U$542,2,FALSE)</f>
        <v>0</v>
      </c>
      <c r="F338">
        <f>VLOOKUP($D338,'[2]LC Balanced'!$Q$2:$U$542,3,FALSE)</f>
        <v>0.14899999999999999</v>
      </c>
      <c r="G338">
        <f>VLOOKUP($D338,'[2]LC Balanced'!$Q$2:$U$542,4,FALSE)</f>
        <v>0.85099999999999998</v>
      </c>
      <c r="H338">
        <f>VLOOKUP($D338,'[2]LC Balanced'!$Q$2:$U$542,5,FALSE)</f>
        <v>0</v>
      </c>
      <c r="I338" s="77">
        <f t="shared" si="827"/>
        <v>1</v>
      </c>
      <c r="J338" s="77">
        <f t="shared" si="828"/>
        <v>6.1987699999999986E-2</v>
      </c>
      <c r="K338" s="77">
        <f t="shared" si="818"/>
        <v>5.024442123284345E-3</v>
      </c>
      <c r="L338" s="76">
        <v>0</v>
      </c>
      <c r="M338" s="77">
        <f t="shared" si="834"/>
        <v>0</v>
      </c>
      <c r="N338" s="77">
        <f t="shared" si="835"/>
        <v>0</v>
      </c>
      <c r="O338" s="77">
        <f t="shared" si="836"/>
        <v>7.0062999999999992E-3</v>
      </c>
      <c r="P338" s="77">
        <f t="shared" si="837"/>
        <v>5.85741666996209E-4</v>
      </c>
      <c r="R338" t="s">
        <v>177</v>
      </c>
      <c r="S338" t="s">
        <v>176</v>
      </c>
      <c r="T338" s="197" t="str">
        <f t="shared" si="769"/>
        <v>Autopilot_Balanced_207</v>
      </c>
      <c r="U338">
        <v>207</v>
      </c>
      <c r="V338">
        <f>VLOOKUP($U338,'[2]AP Balanced'!$Q$1:$T$542,2,FALSE)</f>
        <v>0.77777777777777779</v>
      </c>
      <c r="W338">
        <f>VLOOKUP($U338,'[2]AP Balanced'!$Q$1:$T$542,3,FALSE)</f>
        <v>0.22222222222222221</v>
      </c>
      <c r="X338">
        <f>VLOOKUP($U338,'[2]AP Balanced'!$Q$1:$T$542,4,FALSE)</f>
        <v>0</v>
      </c>
      <c r="Y338" s="77">
        <f t="shared" si="727"/>
        <v>1</v>
      </c>
      <c r="Z338" s="77">
        <f t="shared" si="716"/>
        <v>6.1674999999999987E-2</v>
      </c>
      <c r="AA338" s="77">
        <f t="shared" si="717"/>
        <v>4.9997781870025904E-3</v>
      </c>
      <c r="AB338" s="79">
        <v>1</v>
      </c>
      <c r="AC338" s="77">
        <f t="shared" si="838"/>
        <v>8.0555555555555554E-3</v>
      </c>
      <c r="AD338" s="77">
        <f t="shared" si="829"/>
        <v>6.7378764057135498E-4</v>
      </c>
      <c r="AE338" s="77">
        <f t="shared" si="839"/>
        <v>2.5000000000000001E-3</v>
      </c>
      <c r="AF338" s="77">
        <f t="shared" si="829"/>
        <v>2.0857243058891584E-4</v>
      </c>
      <c r="AH338" t="s">
        <v>175</v>
      </c>
      <c r="AI338" t="s">
        <v>176</v>
      </c>
      <c r="AJ338" s="197" t="str">
        <f t="shared" si="728"/>
        <v>Lifecycle_Balanced_207</v>
      </c>
      <c r="AK338">
        <v>207</v>
      </c>
      <c r="AL338">
        <f>VLOOKUP($U338,[2]Standard_Balanced!$Q$1:$T$542,2,FALSE)</f>
        <v>0.77777777777777779</v>
      </c>
      <c r="AM338">
        <f>VLOOKUP($U338,[2]Standard_Balanced!$Q$1:$T$542,3,FALSE)</f>
        <v>0.22222222222222221</v>
      </c>
      <c r="AN338">
        <f>VLOOKUP($U338,[2]Standard_Balanced!$Q$1:$T$542,4,FALSE)</f>
        <v>0</v>
      </c>
      <c r="AO338" s="77">
        <f t="shared" si="815"/>
        <v>1</v>
      </c>
      <c r="AP338" s="77">
        <f t="shared" si="840"/>
        <v>6.1674999999999987E-2</v>
      </c>
      <c r="AQ338" s="77">
        <f t="shared" si="729"/>
        <v>4.9997781870025904E-3</v>
      </c>
      <c r="AR338" s="79">
        <v>0</v>
      </c>
      <c r="AS338" s="77">
        <f t="shared" si="841"/>
        <v>0</v>
      </c>
      <c r="AT338" s="77">
        <f t="shared" ref="AT338" si="871">1-(1-AS338)^(1/12)</f>
        <v>0</v>
      </c>
      <c r="AU338" s="77">
        <f t="shared" si="843"/>
        <v>2.5000000000000001E-3</v>
      </c>
      <c r="AV338" s="77">
        <f t="shared" ref="AV338" si="872">1-(1-AU338)^(1/12)</f>
        <v>2.0857243058891584E-4</v>
      </c>
      <c r="AX338" t="s">
        <v>178</v>
      </c>
      <c r="AY338" t="s">
        <v>160</v>
      </c>
      <c r="AZ338" s="197" t="str">
        <f t="shared" si="732"/>
        <v>DIS_Non-Standard_207</v>
      </c>
      <c r="BA338">
        <v>207</v>
      </c>
      <c r="BB338">
        <f>VLOOKUP($BA338,'[2]NonStandard DIS'!$Q$1:$X$542,2,FALSE)</f>
        <v>0</v>
      </c>
      <c r="BC338">
        <f>VLOOKUP($BA338,'[2]NonStandard DIS'!$Q$1:$X$542,3,FALSE)</f>
        <v>0</v>
      </c>
      <c r="BD338">
        <f>VLOOKUP($BA338,'[2]NonStandard DIS'!$Q$1:$X$542,4,FALSE)</f>
        <v>0.308</v>
      </c>
      <c r="BE338">
        <f>VLOOKUP($BA338,'[2]NonStandard DIS'!$Q$1:$X$542,5,FALSE)</f>
        <v>0.69199999999999995</v>
      </c>
      <c r="BF338">
        <f>VLOOKUP($BA338,'[2]NonStandard DIS'!$Q$1:$X$542,6,FALSE)</f>
        <v>0</v>
      </c>
      <c r="BG338">
        <f>VLOOKUP($BA338,'[2]NonStandard DIS'!$Q$1:$X$542,7,FALSE)</f>
        <v>0</v>
      </c>
      <c r="BH338">
        <f>VLOOKUP($BA338,'[2]NonStandard DIS'!$Q$1:$X$542,8,FALSE)</f>
        <v>0</v>
      </c>
      <c r="BI338" s="77">
        <f t="shared" si="832"/>
        <v>1</v>
      </c>
      <c r="BJ338" s="77">
        <f t="shared" si="833"/>
        <v>6.9728499999999985E-2</v>
      </c>
      <c r="BK338" s="77">
        <f t="shared" si="814"/>
        <v>5.632878498097682E-3</v>
      </c>
      <c r="BL338" s="79">
        <v>0</v>
      </c>
      <c r="BM338" s="77">
        <f t="shared" si="845"/>
        <v>0</v>
      </c>
      <c r="BN338" s="77">
        <f t="shared" si="846"/>
        <v>0</v>
      </c>
      <c r="BO338" s="77">
        <f t="shared" si="847"/>
        <v>5.6775999999999997E-3</v>
      </c>
      <c r="BP338" s="77">
        <f t="shared" si="848"/>
        <v>4.7190657760731725E-4</v>
      </c>
    </row>
    <row r="339" spans="1:68">
      <c r="A339" t="s">
        <v>175</v>
      </c>
      <c r="B339" t="s">
        <v>176</v>
      </c>
      <c r="C339" s="197" t="str">
        <f t="shared" si="726"/>
        <v>Lifecycle_Balanced_206</v>
      </c>
      <c r="D339">
        <v>206</v>
      </c>
      <c r="E339">
        <f>VLOOKUP($D339,'[2]LC Balanced'!$Q$2:$U$542,2,FALSE)</f>
        <v>0</v>
      </c>
      <c r="F339">
        <f>VLOOKUP($D339,'[2]LC Balanced'!$Q$2:$U$542,3,FALSE)</f>
        <v>0.14899999999999999</v>
      </c>
      <c r="G339">
        <f>VLOOKUP($D339,'[2]LC Balanced'!$Q$2:$U$542,4,FALSE)</f>
        <v>0.85099999999999998</v>
      </c>
      <c r="H339">
        <f>VLOOKUP($D339,'[2]LC Balanced'!$Q$2:$U$542,5,FALSE)</f>
        <v>0</v>
      </c>
      <c r="I339" s="77">
        <f t="shared" si="827"/>
        <v>1</v>
      </c>
      <c r="J339" s="77">
        <f t="shared" si="828"/>
        <v>6.1987699999999986E-2</v>
      </c>
      <c r="K339" s="77">
        <f t="shared" si="818"/>
        <v>5.024442123284345E-3</v>
      </c>
      <c r="L339" s="76">
        <v>0</v>
      </c>
      <c r="M339" s="77">
        <f t="shared" si="834"/>
        <v>0</v>
      </c>
      <c r="N339" s="77">
        <f t="shared" si="835"/>
        <v>0</v>
      </c>
      <c r="O339" s="77">
        <f t="shared" si="836"/>
        <v>7.0062999999999992E-3</v>
      </c>
      <c r="P339" s="77">
        <f t="shared" si="837"/>
        <v>5.85741666996209E-4</v>
      </c>
      <c r="R339" t="s">
        <v>177</v>
      </c>
      <c r="S339" t="s">
        <v>176</v>
      </c>
      <c r="T339" s="197" t="str">
        <f t="shared" si="769"/>
        <v>Autopilot_Balanced_206</v>
      </c>
      <c r="U339">
        <v>206</v>
      </c>
      <c r="V339">
        <f>VLOOKUP($U339,'[2]AP Balanced'!$Q$1:$T$542,2,FALSE)</f>
        <v>0.77777777777777779</v>
      </c>
      <c r="W339">
        <f>VLOOKUP($U339,'[2]AP Balanced'!$Q$1:$T$542,3,FALSE)</f>
        <v>0.22222222222222221</v>
      </c>
      <c r="X339">
        <f>VLOOKUP($U339,'[2]AP Balanced'!$Q$1:$T$542,4,FALSE)</f>
        <v>0</v>
      </c>
      <c r="Y339" s="77">
        <f t="shared" si="727"/>
        <v>1</v>
      </c>
      <c r="Z339" s="77">
        <f t="shared" ref="Z339:Z402" si="873">SUMPRODUCT($V$1:$X$1,V339:X339)</f>
        <v>6.1674999999999987E-2</v>
      </c>
      <c r="AA339" s="77">
        <f t="shared" ref="AA339:AA402" si="874">(1+Z339)^(1/12)-1</f>
        <v>4.9997781870025904E-3</v>
      </c>
      <c r="AB339" s="79">
        <v>1</v>
      </c>
      <c r="AC339" s="77">
        <f t="shared" si="838"/>
        <v>8.0555555555555554E-3</v>
      </c>
      <c r="AD339" s="77">
        <f t="shared" si="829"/>
        <v>6.7378764057135498E-4</v>
      </c>
      <c r="AE339" s="77">
        <f t="shared" si="839"/>
        <v>2.5000000000000001E-3</v>
      </c>
      <c r="AF339" s="77">
        <f t="shared" si="829"/>
        <v>2.0857243058891584E-4</v>
      </c>
      <c r="AH339" t="s">
        <v>175</v>
      </c>
      <c r="AI339" t="s">
        <v>176</v>
      </c>
      <c r="AJ339" s="197" t="str">
        <f t="shared" si="728"/>
        <v>Lifecycle_Balanced_206</v>
      </c>
      <c r="AK339">
        <v>206</v>
      </c>
      <c r="AL339">
        <f>VLOOKUP($U339,[2]Standard_Balanced!$Q$1:$T$542,2,FALSE)</f>
        <v>0.77777777777777779</v>
      </c>
      <c r="AM339">
        <f>VLOOKUP($U339,[2]Standard_Balanced!$Q$1:$T$542,3,FALSE)</f>
        <v>0.22222222222222221</v>
      </c>
      <c r="AN339">
        <f>VLOOKUP($U339,[2]Standard_Balanced!$Q$1:$T$542,4,FALSE)</f>
        <v>0</v>
      </c>
      <c r="AO339" s="77">
        <f t="shared" si="815"/>
        <v>1</v>
      </c>
      <c r="AP339" s="77">
        <f t="shared" si="840"/>
        <v>6.1674999999999987E-2</v>
      </c>
      <c r="AQ339" s="77">
        <f t="shared" si="729"/>
        <v>4.9997781870025904E-3</v>
      </c>
      <c r="AR339" s="79">
        <v>0</v>
      </c>
      <c r="AS339" s="77">
        <f t="shared" si="841"/>
        <v>0</v>
      </c>
      <c r="AT339" s="77">
        <f t="shared" ref="AT339" si="875">1-(1-AS339)^(1/12)</f>
        <v>0</v>
      </c>
      <c r="AU339" s="77">
        <f t="shared" si="843"/>
        <v>2.5000000000000001E-3</v>
      </c>
      <c r="AV339" s="77">
        <f t="shared" ref="AV339" si="876">1-(1-AU339)^(1/12)</f>
        <v>2.0857243058891584E-4</v>
      </c>
      <c r="AX339" t="s">
        <v>178</v>
      </c>
      <c r="AY339" t="s">
        <v>160</v>
      </c>
      <c r="AZ339" s="197" t="str">
        <f t="shared" si="732"/>
        <v>DIS_Non-Standard_206</v>
      </c>
      <c r="BA339">
        <v>206</v>
      </c>
      <c r="BB339">
        <f>VLOOKUP($BA339,'[2]NonStandard DIS'!$Q$1:$X$542,2,FALSE)</f>
        <v>0</v>
      </c>
      <c r="BC339">
        <f>VLOOKUP($BA339,'[2]NonStandard DIS'!$Q$1:$X$542,3,FALSE)</f>
        <v>0</v>
      </c>
      <c r="BD339">
        <f>VLOOKUP($BA339,'[2]NonStandard DIS'!$Q$1:$X$542,4,FALSE)</f>
        <v>0.308</v>
      </c>
      <c r="BE339">
        <f>VLOOKUP($BA339,'[2]NonStandard DIS'!$Q$1:$X$542,5,FALSE)</f>
        <v>0.69199999999999995</v>
      </c>
      <c r="BF339">
        <f>VLOOKUP($BA339,'[2]NonStandard DIS'!$Q$1:$X$542,6,FALSE)</f>
        <v>0</v>
      </c>
      <c r="BG339">
        <f>VLOOKUP($BA339,'[2]NonStandard DIS'!$Q$1:$X$542,7,FALSE)</f>
        <v>0</v>
      </c>
      <c r="BH339">
        <f>VLOOKUP($BA339,'[2]NonStandard DIS'!$Q$1:$X$542,8,FALSE)</f>
        <v>0</v>
      </c>
      <c r="BI339" s="77">
        <f t="shared" si="832"/>
        <v>1</v>
      </c>
      <c r="BJ339" s="77">
        <f t="shared" si="833"/>
        <v>6.9728499999999985E-2</v>
      </c>
      <c r="BK339" s="77">
        <f t="shared" si="814"/>
        <v>5.632878498097682E-3</v>
      </c>
      <c r="BL339" s="79">
        <v>0</v>
      </c>
      <c r="BM339" s="77">
        <f t="shared" si="845"/>
        <v>0</v>
      </c>
      <c r="BN339" s="77">
        <f t="shared" si="846"/>
        <v>0</v>
      </c>
      <c r="BO339" s="77">
        <f t="shared" si="847"/>
        <v>5.6775999999999997E-3</v>
      </c>
      <c r="BP339" s="77">
        <f t="shared" si="848"/>
        <v>4.7190657760731725E-4</v>
      </c>
    </row>
    <row r="340" spans="1:68">
      <c r="A340" t="s">
        <v>175</v>
      </c>
      <c r="B340" t="s">
        <v>176</v>
      </c>
      <c r="C340" s="197" t="str">
        <f t="shared" si="726"/>
        <v>Lifecycle_Balanced_205</v>
      </c>
      <c r="D340">
        <v>205</v>
      </c>
      <c r="E340">
        <f>VLOOKUP($D340,'[2]LC Balanced'!$Q$2:$U$542,2,FALSE)</f>
        <v>0</v>
      </c>
      <c r="F340">
        <f>VLOOKUP($D340,'[2]LC Balanced'!$Q$2:$U$542,3,FALSE)</f>
        <v>0.14899999999999999</v>
      </c>
      <c r="G340">
        <f>VLOOKUP($D340,'[2]LC Balanced'!$Q$2:$U$542,4,FALSE)</f>
        <v>0.85099999999999998</v>
      </c>
      <c r="H340">
        <f>VLOOKUP($D340,'[2]LC Balanced'!$Q$2:$U$542,5,FALSE)</f>
        <v>0</v>
      </c>
      <c r="I340" s="77">
        <f t="shared" si="827"/>
        <v>1</v>
      </c>
      <c r="J340" s="77">
        <f t="shared" si="828"/>
        <v>6.1987699999999986E-2</v>
      </c>
      <c r="K340" s="77">
        <f t="shared" si="818"/>
        <v>5.024442123284345E-3</v>
      </c>
      <c r="L340" s="76">
        <v>0</v>
      </c>
      <c r="M340" s="77">
        <f t="shared" si="834"/>
        <v>0</v>
      </c>
      <c r="N340" s="77">
        <f t="shared" si="835"/>
        <v>0</v>
      </c>
      <c r="O340" s="77">
        <f t="shared" si="836"/>
        <v>7.0062999999999992E-3</v>
      </c>
      <c r="P340" s="77">
        <f t="shared" si="837"/>
        <v>5.85741666996209E-4</v>
      </c>
      <c r="R340" t="s">
        <v>177</v>
      </c>
      <c r="S340" t="s">
        <v>176</v>
      </c>
      <c r="T340" s="197" t="str">
        <f t="shared" si="769"/>
        <v>Autopilot_Balanced_205</v>
      </c>
      <c r="U340">
        <v>205</v>
      </c>
      <c r="V340">
        <f>VLOOKUP($U340,'[2]AP Balanced'!$Q$1:$T$542,2,FALSE)</f>
        <v>0.77777777777777779</v>
      </c>
      <c r="W340">
        <f>VLOOKUP($U340,'[2]AP Balanced'!$Q$1:$T$542,3,FALSE)</f>
        <v>0.22222222222222221</v>
      </c>
      <c r="X340">
        <f>VLOOKUP($U340,'[2]AP Balanced'!$Q$1:$T$542,4,FALSE)</f>
        <v>0</v>
      </c>
      <c r="Y340" s="77">
        <f t="shared" si="727"/>
        <v>1</v>
      </c>
      <c r="Z340" s="77">
        <f t="shared" si="873"/>
        <v>6.1674999999999987E-2</v>
      </c>
      <c r="AA340" s="77">
        <f t="shared" si="874"/>
        <v>4.9997781870025904E-3</v>
      </c>
      <c r="AB340" s="79">
        <v>1</v>
      </c>
      <c r="AC340" s="77">
        <f t="shared" si="838"/>
        <v>8.0555555555555554E-3</v>
      </c>
      <c r="AD340" s="77">
        <f t="shared" si="829"/>
        <v>6.7378764057135498E-4</v>
      </c>
      <c r="AE340" s="77">
        <f t="shared" si="839"/>
        <v>2.5000000000000001E-3</v>
      </c>
      <c r="AF340" s="77">
        <f t="shared" si="829"/>
        <v>2.0857243058891584E-4</v>
      </c>
      <c r="AH340" t="s">
        <v>175</v>
      </c>
      <c r="AI340" t="s">
        <v>176</v>
      </c>
      <c r="AJ340" s="197" t="str">
        <f t="shared" si="728"/>
        <v>Lifecycle_Balanced_205</v>
      </c>
      <c r="AK340">
        <v>205</v>
      </c>
      <c r="AL340">
        <f>VLOOKUP($U340,[2]Standard_Balanced!$Q$1:$T$542,2,FALSE)</f>
        <v>0.77777777777777779</v>
      </c>
      <c r="AM340">
        <f>VLOOKUP($U340,[2]Standard_Balanced!$Q$1:$T$542,3,FALSE)</f>
        <v>0.22222222222222221</v>
      </c>
      <c r="AN340">
        <f>VLOOKUP($U340,[2]Standard_Balanced!$Q$1:$T$542,4,FALSE)</f>
        <v>0</v>
      </c>
      <c r="AO340" s="77">
        <f t="shared" si="815"/>
        <v>1</v>
      </c>
      <c r="AP340" s="77">
        <f t="shared" si="840"/>
        <v>6.1674999999999987E-2</v>
      </c>
      <c r="AQ340" s="77">
        <f t="shared" si="729"/>
        <v>4.9997781870025904E-3</v>
      </c>
      <c r="AR340" s="79">
        <v>0</v>
      </c>
      <c r="AS340" s="77">
        <f t="shared" si="841"/>
        <v>0</v>
      </c>
      <c r="AT340" s="77">
        <f t="shared" ref="AT340" si="877">1-(1-AS340)^(1/12)</f>
        <v>0</v>
      </c>
      <c r="AU340" s="77">
        <f t="shared" si="843"/>
        <v>2.5000000000000001E-3</v>
      </c>
      <c r="AV340" s="77">
        <f t="shared" ref="AV340" si="878">1-(1-AU340)^(1/12)</f>
        <v>2.0857243058891584E-4</v>
      </c>
      <c r="AX340" t="s">
        <v>178</v>
      </c>
      <c r="AY340" t="s">
        <v>160</v>
      </c>
      <c r="AZ340" s="197" t="str">
        <f t="shared" si="732"/>
        <v>DIS_Non-Standard_205</v>
      </c>
      <c r="BA340">
        <v>205</v>
      </c>
      <c r="BB340">
        <f>VLOOKUP($BA340,'[2]NonStandard DIS'!$Q$1:$X$542,2,FALSE)</f>
        <v>0</v>
      </c>
      <c r="BC340">
        <f>VLOOKUP($BA340,'[2]NonStandard DIS'!$Q$1:$X$542,3,FALSE)</f>
        <v>0</v>
      </c>
      <c r="BD340">
        <f>VLOOKUP($BA340,'[2]NonStandard DIS'!$Q$1:$X$542,4,FALSE)</f>
        <v>0.308</v>
      </c>
      <c r="BE340">
        <f>VLOOKUP($BA340,'[2]NonStandard DIS'!$Q$1:$X$542,5,FALSE)</f>
        <v>0.69199999999999995</v>
      </c>
      <c r="BF340">
        <f>VLOOKUP($BA340,'[2]NonStandard DIS'!$Q$1:$X$542,6,FALSE)</f>
        <v>0</v>
      </c>
      <c r="BG340">
        <f>VLOOKUP($BA340,'[2]NonStandard DIS'!$Q$1:$X$542,7,FALSE)</f>
        <v>0</v>
      </c>
      <c r="BH340">
        <f>VLOOKUP($BA340,'[2]NonStandard DIS'!$Q$1:$X$542,8,FALSE)</f>
        <v>0</v>
      </c>
      <c r="BI340" s="77">
        <f t="shared" si="832"/>
        <v>1</v>
      </c>
      <c r="BJ340" s="77">
        <f t="shared" si="833"/>
        <v>6.9728499999999985E-2</v>
      </c>
      <c r="BK340" s="77">
        <f t="shared" si="814"/>
        <v>5.632878498097682E-3</v>
      </c>
      <c r="BL340" s="79">
        <v>0</v>
      </c>
      <c r="BM340" s="77">
        <f t="shared" si="845"/>
        <v>0</v>
      </c>
      <c r="BN340" s="77">
        <f t="shared" si="846"/>
        <v>0</v>
      </c>
      <c r="BO340" s="77">
        <f t="shared" si="847"/>
        <v>5.6775999999999997E-3</v>
      </c>
      <c r="BP340" s="77">
        <f t="shared" si="848"/>
        <v>4.7190657760731725E-4</v>
      </c>
    </row>
    <row r="341" spans="1:68">
      <c r="A341" t="s">
        <v>175</v>
      </c>
      <c r="B341" t="s">
        <v>176</v>
      </c>
      <c r="C341" s="197" t="str">
        <f t="shared" si="726"/>
        <v>Lifecycle_Balanced_204</v>
      </c>
      <c r="D341">
        <v>204</v>
      </c>
      <c r="E341">
        <f>VLOOKUP($D341,'[2]LC Balanced'!$Q$2:$U$542,2,FALSE)</f>
        <v>0</v>
      </c>
      <c r="F341">
        <f>VLOOKUP($D341,'[2]LC Balanced'!$Q$2:$U$542,3,FALSE)</f>
        <v>0.14899999999999999</v>
      </c>
      <c r="G341">
        <f>VLOOKUP($D341,'[2]LC Balanced'!$Q$2:$U$542,4,FALSE)</f>
        <v>0.85099999999999998</v>
      </c>
      <c r="H341">
        <f>VLOOKUP($D341,'[2]LC Balanced'!$Q$2:$U$542,5,FALSE)</f>
        <v>0</v>
      </c>
      <c r="I341" s="77">
        <f t="shared" si="827"/>
        <v>1</v>
      </c>
      <c r="J341" s="77">
        <f t="shared" si="828"/>
        <v>6.1987699999999986E-2</v>
      </c>
      <c r="K341" s="77">
        <f t="shared" si="818"/>
        <v>5.024442123284345E-3</v>
      </c>
      <c r="L341" s="76">
        <v>0</v>
      </c>
      <c r="M341" s="77">
        <f t="shared" si="834"/>
        <v>0</v>
      </c>
      <c r="N341" s="77">
        <f t="shared" si="835"/>
        <v>0</v>
      </c>
      <c r="O341" s="77">
        <f t="shared" si="836"/>
        <v>7.0062999999999992E-3</v>
      </c>
      <c r="P341" s="77">
        <f t="shared" si="837"/>
        <v>5.85741666996209E-4</v>
      </c>
      <c r="R341" t="s">
        <v>177</v>
      </c>
      <c r="S341" t="s">
        <v>176</v>
      </c>
      <c r="T341" s="197" t="str">
        <f t="shared" si="769"/>
        <v>Autopilot_Balanced_204</v>
      </c>
      <c r="U341">
        <v>204</v>
      </c>
      <c r="V341">
        <f>VLOOKUP($U341,'[2]AP Balanced'!$Q$1:$T$542,2,FALSE)</f>
        <v>0.77777777777777779</v>
      </c>
      <c r="W341">
        <f>VLOOKUP($U341,'[2]AP Balanced'!$Q$1:$T$542,3,FALSE)</f>
        <v>0.22222222222222221</v>
      </c>
      <c r="X341">
        <f>VLOOKUP($U341,'[2]AP Balanced'!$Q$1:$T$542,4,FALSE)</f>
        <v>0</v>
      </c>
      <c r="Y341" s="77">
        <f t="shared" si="727"/>
        <v>1</v>
      </c>
      <c r="Z341" s="77">
        <f t="shared" si="873"/>
        <v>6.1674999999999987E-2</v>
      </c>
      <c r="AA341" s="77">
        <f t="shared" si="874"/>
        <v>4.9997781870025904E-3</v>
      </c>
      <c r="AB341" s="79">
        <v>1</v>
      </c>
      <c r="AC341" s="77">
        <f t="shared" si="838"/>
        <v>8.0555555555555554E-3</v>
      </c>
      <c r="AD341" s="77">
        <f t="shared" si="829"/>
        <v>6.7378764057135498E-4</v>
      </c>
      <c r="AE341" s="77">
        <f t="shared" si="839"/>
        <v>2.5000000000000001E-3</v>
      </c>
      <c r="AF341" s="77">
        <f t="shared" si="829"/>
        <v>2.0857243058891584E-4</v>
      </c>
      <c r="AH341" t="s">
        <v>175</v>
      </c>
      <c r="AI341" t="s">
        <v>176</v>
      </c>
      <c r="AJ341" s="197" t="str">
        <f t="shared" si="728"/>
        <v>Lifecycle_Balanced_204</v>
      </c>
      <c r="AK341">
        <v>204</v>
      </c>
      <c r="AL341">
        <f>VLOOKUP($U341,[2]Standard_Balanced!$Q$1:$T$542,2,FALSE)</f>
        <v>0.77777777777777779</v>
      </c>
      <c r="AM341">
        <f>VLOOKUP($U341,[2]Standard_Balanced!$Q$1:$T$542,3,FALSE)</f>
        <v>0.22222222222222221</v>
      </c>
      <c r="AN341">
        <f>VLOOKUP($U341,[2]Standard_Balanced!$Q$1:$T$542,4,FALSE)</f>
        <v>0</v>
      </c>
      <c r="AO341" s="77">
        <f t="shared" si="815"/>
        <v>1</v>
      </c>
      <c r="AP341" s="77">
        <f t="shared" si="840"/>
        <v>6.1674999999999987E-2</v>
      </c>
      <c r="AQ341" s="77">
        <f t="shared" si="729"/>
        <v>4.9997781870025904E-3</v>
      </c>
      <c r="AR341" s="79">
        <v>0</v>
      </c>
      <c r="AS341" s="77">
        <f t="shared" si="841"/>
        <v>0</v>
      </c>
      <c r="AT341" s="77">
        <f t="shared" ref="AT341" si="879">1-(1-AS341)^(1/12)</f>
        <v>0</v>
      </c>
      <c r="AU341" s="77">
        <f t="shared" si="843"/>
        <v>2.5000000000000001E-3</v>
      </c>
      <c r="AV341" s="77">
        <f t="shared" ref="AV341" si="880">1-(1-AU341)^(1/12)</f>
        <v>2.0857243058891584E-4</v>
      </c>
      <c r="AX341" t="s">
        <v>178</v>
      </c>
      <c r="AY341" t="s">
        <v>160</v>
      </c>
      <c r="AZ341" s="197" t="str">
        <f t="shared" si="732"/>
        <v>DIS_Non-Standard_204</v>
      </c>
      <c r="BA341">
        <v>204</v>
      </c>
      <c r="BB341">
        <f>VLOOKUP($BA341,'[2]NonStandard DIS'!$Q$1:$X$542,2,FALSE)</f>
        <v>0</v>
      </c>
      <c r="BC341">
        <f>VLOOKUP($BA341,'[2]NonStandard DIS'!$Q$1:$X$542,3,FALSE)</f>
        <v>0</v>
      </c>
      <c r="BD341">
        <f>VLOOKUP($BA341,'[2]NonStandard DIS'!$Q$1:$X$542,4,FALSE)</f>
        <v>0.308</v>
      </c>
      <c r="BE341">
        <f>VLOOKUP($BA341,'[2]NonStandard DIS'!$Q$1:$X$542,5,FALSE)</f>
        <v>0.69199999999999995</v>
      </c>
      <c r="BF341">
        <f>VLOOKUP($BA341,'[2]NonStandard DIS'!$Q$1:$X$542,6,FALSE)</f>
        <v>0</v>
      </c>
      <c r="BG341">
        <f>VLOOKUP($BA341,'[2]NonStandard DIS'!$Q$1:$X$542,7,FALSE)</f>
        <v>0</v>
      </c>
      <c r="BH341">
        <f>VLOOKUP($BA341,'[2]NonStandard DIS'!$Q$1:$X$542,8,FALSE)</f>
        <v>0</v>
      </c>
      <c r="BI341" s="77">
        <f t="shared" si="832"/>
        <v>1</v>
      </c>
      <c r="BJ341" s="77">
        <f t="shared" si="833"/>
        <v>6.9728499999999985E-2</v>
      </c>
      <c r="BK341" s="77">
        <f t="shared" si="814"/>
        <v>5.632878498097682E-3</v>
      </c>
      <c r="BL341" s="79">
        <v>0</v>
      </c>
      <c r="BM341" s="77">
        <f t="shared" si="845"/>
        <v>0</v>
      </c>
      <c r="BN341" s="77">
        <f t="shared" si="846"/>
        <v>0</v>
      </c>
      <c r="BO341" s="77">
        <f t="shared" si="847"/>
        <v>5.6775999999999997E-3</v>
      </c>
      <c r="BP341" s="77">
        <f t="shared" si="848"/>
        <v>4.7190657760731725E-4</v>
      </c>
    </row>
    <row r="342" spans="1:68">
      <c r="A342" t="s">
        <v>175</v>
      </c>
      <c r="B342" t="s">
        <v>176</v>
      </c>
      <c r="C342" s="197" t="str">
        <f t="shared" si="726"/>
        <v>Lifecycle_Balanced_203</v>
      </c>
      <c r="D342">
        <v>203</v>
      </c>
      <c r="E342">
        <f>VLOOKUP($D342,'[2]LC Balanced'!$Q$2:$U$542,2,FALSE)</f>
        <v>1.1666666666666668E-3</v>
      </c>
      <c r="F342">
        <f>VLOOKUP($D342,'[2]LC Balanced'!$Q$2:$U$542,3,FALSE)</f>
        <v>0.15775</v>
      </c>
      <c r="G342">
        <f>VLOOKUP($D342,'[2]LC Balanced'!$Q$2:$U$542,4,FALSE)</f>
        <v>0.84108333333333329</v>
      </c>
      <c r="H342">
        <f>VLOOKUP($D342,'[2]LC Balanced'!$Q$2:$U$542,5,FALSE)</f>
        <v>0</v>
      </c>
      <c r="I342" s="77">
        <f t="shared" si="827"/>
        <v>1</v>
      </c>
      <c r="J342" s="77">
        <f t="shared" si="828"/>
        <v>6.1807012499999987E-2</v>
      </c>
      <c r="K342" s="77">
        <f t="shared" si="818"/>
        <v>5.0101913684299504E-3</v>
      </c>
      <c r="L342" s="76">
        <v>0</v>
      </c>
      <c r="M342" s="77">
        <f t="shared" si="834"/>
        <v>0</v>
      </c>
      <c r="N342" s="77">
        <f t="shared" si="835"/>
        <v>0</v>
      </c>
      <c r="O342" s="77">
        <f t="shared" si="836"/>
        <v>6.9893249999999994E-3</v>
      </c>
      <c r="P342" s="77">
        <f t="shared" si="837"/>
        <v>5.8431794831992345E-4</v>
      </c>
      <c r="R342" t="s">
        <v>177</v>
      </c>
      <c r="S342" t="s">
        <v>176</v>
      </c>
      <c r="T342" s="197" t="str">
        <f t="shared" si="769"/>
        <v>Autopilot_Balanced_203</v>
      </c>
      <c r="U342">
        <v>203</v>
      </c>
      <c r="V342">
        <f>VLOOKUP($U342,'[2]AP Balanced'!$Q$1:$T$542,2,FALSE)</f>
        <v>0.77777777777777779</v>
      </c>
      <c r="W342">
        <f>VLOOKUP($U342,'[2]AP Balanced'!$Q$1:$T$542,3,FALSE)</f>
        <v>0.22222222222222221</v>
      </c>
      <c r="X342">
        <f>VLOOKUP($U342,'[2]AP Balanced'!$Q$1:$T$542,4,FALSE)</f>
        <v>0</v>
      </c>
      <c r="Y342" s="77">
        <f t="shared" si="727"/>
        <v>1</v>
      </c>
      <c r="Z342" s="77">
        <f t="shared" si="873"/>
        <v>6.1674999999999987E-2</v>
      </c>
      <c r="AA342" s="77">
        <f t="shared" si="874"/>
        <v>4.9997781870025904E-3</v>
      </c>
      <c r="AB342" s="79">
        <v>1</v>
      </c>
      <c r="AC342" s="77">
        <f t="shared" si="838"/>
        <v>8.0555555555555554E-3</v>
      </c>
      <c r="AD342" s="77">
        <f t="shared" si="829"/>
        <v>6.7378764057135498E-4</v>
      </c>
      <c r="AE342" s="77">
        <f t="shared" si="839"/>
        <v>2.5000000000000001E-3</v>
      </c>
      <c r="AF342" s="77">
        <f t="shared" si="829"/>
        <v>2.0857243058891584E-4</v>
      </c>
      <c r="AH342" t="s">
        <v>175</v>
      </c>
      <c r="AI342" t="s">
        <v>176</v>
      </c>
      <c r="AJ342" s="197" t="str">
        <f t="shared" si="728"/>
        <v>Lifecycle_Balanced_203</v>
      </c>
      <c r="AK342">
        <v>203</v>
      </c>
      <c r="AL342">
        <f>VLOOKUP($U342,[2]Standard_Balanced!$Q$1:$T$542,2,FALSE)</f>
        <v>0.77056549629629634</v>
      </c>
      <c r="AM342">
        <f>VLOOKUP($U342,[2]Standard_Balanced!$Q$1:$T$542,3,FALSE)</f>
        <v>0.22943450370370369</v>
      </c>
      <c r="AN342">
        <f>VLOOKUP($U342,[2]Standard_Balanced!$Q$1:$T$542,4,FALSE)</f>
        <v>0</v>
      </c>
      <c r="AO342" s="77">
        <f t="shared" si="815"/>
        <v>1</v>
      </c>
      <c r="AP342" s="77">
        <f t="shared" si="840"/>
        <v>6.1579256963333329E-2</v>
      </c>
      <c r="AQ342" s="77">
        <f t="shared" si="729"/>
        <v>4.992225207985479E-3</v>
      </c>
      <c r="AR342" s="79">
        <v>0</v>
      </c>
      <c r="AS342" s="77">
        <f t="shared" si="841"/>
        <v>0</v>
      </c>
      <c r="AT342" s="77">
        <f t="shared" ref="AT342" si="881">1-(1-AS342)^(1/12)</f>
        <v>0</v>
      </c>
      <c r="AU342" s="77">
        <f t="shared" si="843"/>
        <v>2.5000000000000001E-3</v>
      </c>
      <c r="AV342" s="77">
        <f t="shared" ref="AV342" si="882">1-(1-AU342)^(1/12)</f>
        <v>2.0857243058891584E-4</v>
      </c>
      <c r="AX342" t="s">
        <v>178</v>
      </c>
      <c r="AY342" t="s">
        <v>160</v>
      </c>
      <c r="AZ342" s="197" t="str">
        <f t="shared" si="732"/>
        <v>DIS_Non-Standard_203</v>
      </c>
      <c r="BA342">
        <v>203</v>
      </c>
      <c r="BB342">
        <f>VLOOKUP($BA342,'[2]NonStandard DIS'!$Q$1:$X$542,2,FALSE)</f>
        <v>0</v>
      </c>
      <c r="BC342">
        <f>VLOOKUP($BA342,'[2]NonStandard DIS'!$Q$1:$X$542,3,FALSE)</f>
        <v>0</v>
      </c>
      <c r="BD342">
        <f>VLOOKUP($BA342,'[2]NonStandard DIS'!$Q$1:$X$542,4,FALSE)</f>
        <v>0.308</v>
      </c>
      <c r="BE342">
        <f>VLOOKUP($BA342,'[2]NonStandard DIS'!$Q$1:$X$542,5,FALSE)</f>
        <v>0.69199999999999995</v>
      </c>
      <c r="BF342">
        <f>VLOOKUP($BA342,'[2]NonStandard DIS'!$Q$1:$X$542,6,FALSE)</f>
        <v>0</v>
      </c>
      <c r="BG342">
        <f>VLOOKUP($BA342,'[2]NonStandard DIS'!$Q$1:$X$542,7,FALSE)</f>
        <v>0</v>
      </c>
      <c r="BH342">
        <f>VLOOKUP($BA342,'[2]NonStandard DIS'!$Q$1:$X$542,8,FALSE)</f>
        <v>0</v>
      </c>
      <c r="BI342" s="77">
        <f t="shared" si="832"/>
        <v>1</v>
      </c>
      <c r="BJ342" s="77">
        <f t="shared" si="833"/>
        <v>6.9728499999999985E-2</v>
      </c>
      <c r="BK342" s="77">
        <f t="shared" si="814"/>
        <v>5.632878498097682E-3</v>
      </c>
      <c r="BL342" s="79">
        <v>0</v>
      </c>
      <c r="BM342" s="77">
        <f t="shared" si="845"/>
        <v>0</v>
      </c>
      <c r="BN342" s="77">
        <f t="shared" si="846"/>
        <v>0</v>
      </c>
      <c r="BO342" s="77">
        <f t="shared" si="847"/>
        <v>5.6775999999999997E-3</v>
      </c>
      <c r="BP342" s="77">
        <f t="shared" si="848"/>
        <v>4.7190657760731725E-4</v>
      </c>
    </row>
    <row r="343" spans="1:68">
      <c r="A343" t="s">
        <v>175</v>
      </c>
      <c r="B343" t="s">
        <v>176</v>
      </c>
      <c r="C343" s="197" t="str">
        <f t="shared" ref="C343:C406" si="883">A343&amp;"_"&amp;B343&amp;"_"&amp;D343</f>
        <v>Lifecycle_Balanced_202</v>
      </c>
      <c r="D343">
        <v>202</v>
      </c>
      <c r="E343">
        <f>VLOOKUP($D343,'[2]LC Balanced'!$Q$2:$U$542,2,FALSE)</f>
        <v>2.3333333333333335E-3</v>
      </c>
      <c r="F343">
        <f>VLOOKUP($D343,'[2]LC Balanced'!$Q$2:$U$542,3,FALSE)</f>
        <v>0.16649999999999998</v>
      </c>
      <c r="G343">
        <f>VLOOKUP($D343,'[2]LC Balanced'!$Q$2:$U$542,4,FALSE)</f>
        <v>0.83116666666666661</v>
      </c>
      <c r="H343">
        <f>VLOOKUP($D343,'[2]LC Balanced'!$Q$2:$U$542,5,FALSE)</f>
        <v>0</v>
      </c>
      <c r="I343" s="77">
        <f t="shared" si="827"/>
        <v>0.99999999999999989</v>
      </c>
      <c r="J343" s="77">
        <f t="shared" si="828"/>
        <v>6.1626324999999982E-2</v>
      </c>
      <c r="K343" s="77">
        <f t="shared" si="818"/>
        <v>4.9959383904412125E-3</v>
      </c>
      <c r="L343" s="76">
        <v>0</v>
      </c>
      <c r="M343" s="77">
        <f t="shared" si="834"/>
        <v>0</v>
      </c>
      <c r="N343" s="77">
        <f t="shared" si="835"/>
        <v>0</v>
      </c>
      <c r="O343" s="77">
        <f t="shared" si="836"/>
        <v>6.9723499999999987E-3</v>
      </c>
      <c r="P343" s="77">
        <f t="shared" si="837"/>
        <v>5.8289425195301448E-4</v>
      </c>
      <c r="R343" t="s">
        <v>177</v>
      </c>
      <c r="S343" t="s">
        <v>176</v>
      </c>
      <c r="T343" s="197" t="str">
        <f t="shared" si="769"/>
        <v>Autopilot_Balanced_202</v>
      </c>
      <c r="U343">
        <v>202</v>
      </c>
      <c r="V343">
        <f>VLOOKUP($U343,'[2]AP Balanced'!$Q$1:$T$542,2,FALSE)</f>
        <v>0.77777777777777779</v>
      </c>
      <c r="W343">
        <f>VLOOKUP($U343,'[2]AP Balanced'!$Q$1:$T$542,3,FALSE)</f>
        <v>0.22222222222222221</v>
      </c>
      <c r="X343">
        <f>VLOOKUP($U343,'[2]AP Balanced'!$Q$1:$T$542,4,FALSE)</f>
        <v>0</v>
      </c>
      <c r="Y343" s="77">
        <f t="shared" ref="Y343:Y406" si="884">SUM(V343:X343)</f>
        <v>1</v>
      </c>
      <c r="Z343" s="77">
        <f t="shared" si="873"/>
        <v>6.1674999999999987E-2</v>
      </c>
      <c r="AA343" s="77">
        <f t="shared" si="874"/>
        <v>4.9997781870025904E-3</v>
      </c>
      <c r="AB343" s="79">
        <v>1</v>
      </c>
      <c r="AC343" s="77">
        <f t="shared" si="838"/>
        <v>8.0555555555555554E-3</v>
      </c>
      <c r="AD343" s="77">
        <f t="shared" si="829"/>
        <v>6.7378764057135498E-4</v>
      </c>
      <c r="AE343" s="77">
        <f t="shared" si="839"/>
        <v>2.5000000000000001E-3</v>
      </c>
      <c r="AF343" s="77">
        <f t="shared" si="829"/>
        <v>2.0857243058891584E-4</v>
      </c>
      <c r="AH343" t="s">
        <v>175</v>
      </c>
      <c r="AI343" t="s">
        <v>176</v>
      </c>
      <c r="AJ343" s="197" t="str">
        <f t="shared" ref="AJ343:AJ406" si="885">AH343&amp;"_"&amp;AI343&amp;"_"&amp;AK343</f>
        <v>Lifecycle_Balanced_202</v>
      </c>
      <c r="AK343">
        <v>202</v>
      </c>
      <c r="AL343">
        <f>VLOOKUP($U343,[2]Standard_Balanced!$Q$1:$T$542,2,FALSE)</f>
        <v>0.76335321481481477</v>
      </c>
      <c r="AM343">
        <f>VLOOKUP($U343,[2]Standard_Balanced!$Q$1:$T$542,3,FALSE)</f>
        <v>0.2366467851851852</v>
      </c>
      <c r="AN343">
        <f>VLOOKUP($U343,[2]Standard_Balanced!$Q$1:$T$542,4,FALSE)</f>
        <v>0</v>
      </c>
      <c r="AO343" s="77">
        <f t="shared" si="815"/>
        <v>1</v>
      </c>
      <c r="AP343" s="77">
        <f t="shared" si="840"/>
        <v>6.148351392666665E-2</v>
      </c>
      <c r="AQ343" s="77">
        <f t="shared" ref="AQ343:AQ406" si="886">(1+AP343)^(1/12)-1</f>
        <v>4.984671604511437E-3</v>
      </c>
      <c r="AR343" s="79">
        <v>0</v>
      </c>
      <c r="AS343" s="77">
        <f t="shared" si="841"/>
        <v>0</v>
      </c>
      <c r="AT343" s="77">
        <f t="shared" ref="AT343" si="887">1-(1-AS343)^(1/12)</f>
        <v>0</v>
      </c>
      <c r="AU343" s="77">
        <f t="shared" si="843"/>
        <v>2.5000000000000001E-3</v>
      </c>
      <c r="AV343" s="77">
        <f t="shared" ref="AV343" si="888">1-(1-AU343)^(1/12)</f>
        <v>2.0857243058891584E-4</v>
      </c>
      <c r="AX343" t="s">
        <v>178</v>
      </c>
      <c r="AY343" t="s">
        <v>160</v>
      </c>
      <c r="AZ343" s="197" t="str">
        <f t="shared" ref="AZ343:AZ406" si="889">AX343&amp;"_"&amp;AY343&amp;"_"&amp;BA343</f>
        <v>DIS_Non-Standard_202</v>
      </c>
      <c r="BA343">
        <v>202</v>
      </c>
      <c r="BB343">
        <f>VLOOKUP($BA343,'[2]NonStandard DIS'!$Q$1:$X$542,2,FALSE)</f>
        <v>0</v>
      </c>
      <c r="BC343">
        <f>VLOOKUP($BA343,'[2]NonStandard DIS'!$Q$1:$X$542,3,FALSE)</f>
        <v>0</v>
      </c>
      <c r="BD343">
        <f>VLOOKUP($BA343,'[2]NonStandard DIS'!$Q$1:$X$542,4,FALSE)</f>
        <v>0.308</v>
      </c>
      <c r="BE343">
        <f>VLOOKUP($BA343,'[2]NonStandard DIS'!$Q$1:$X$542,5,FALSE)</f>
        <v>0.69199999999999995</v>
      </c>
      <c r="BF343">
        <f>VLOOKUP($BA343,'[2]NonStandard DIS'!$Q$1:$X$542,6,FALSE)</f>
        <v>0</v>
      </c>
      <c r="BG343">
        <f>VLOOKUP($BA343,'[2]NonStandard DIS'!$Q$1:$X$542,7,FALSE)</f>
        <v>0</v>
      </c>
      <c r="BH343">
        <f>VLOOKUP($BA343,'[2]NonStandard DIS'!$Q$1:$X$542,8,FALSE)</f>
        <v>0</v>
      </c>
      <c r="BI343" s="77">
        <f t="shared" si="832"/>
        <v>1</v>
      </c>
      <c r="BJ343" s="77">
        <f t="shared" si="833"/>
        <v>6.9728499999999985E-2</v>
      </c>
      <c r="BK343" s="77">
        <f t="shared" si="814"/>
        <v>5.632878498097682E-3</v>
      </c>
      <c r="BL343" s="79">
        <v>0</v>
      </c>
      <c r="BM343" s="77">
        <f t="shared" si="845"/>
        <v>0</v>
      </c>
      <c r="BN343" s="77">
        <f t="shared" si="846"/>
        <v>0</v>
      </c>
      <c r="BO343" s="77">
        <f t="shared" si="847"/>
        <v>5.6775999999999997E-3</v>
      </c>
      <c r="BP343" s="77">
        <f t="shared" si="848"/>
        <v>4.7190657760731725E-4</v>
      </c>
    </row>
    <row r="344" spans="1:68">
      <c r="A344" t="s">
        <v>175</v>
      </c>
      <c r="B344" t="s">
        <v>176</v>
      </c>
      <c r="C344" s="197" t="str">
        <f t="shared" si="883"/>
        <v>Lifecycle_Balanced_201</v>
      </c>
      <c r="D344">
        <v>201</v>
      </c>
      <c r="E344">
        <f>VLOOKUP($D344,'[2]LC Balanced'!$Q$2:$U$542,2,FALSE)</f>
        <v>3.5000000000000001E-3</v>
      </c>
      <c r="F344">
        <f>VLOOKUP($D344,'[2]LC Balanced'!$Q$2:$U$542,3,FALSE)</f>
        <v>0.17524999999999999</v>
      </c>
      <c r="G344">
        <f>VLOOKUP($D344,'[2]LC Balanced'!$Q$2:$U$542,4,FALSE)</f>
        <v>0.82125000000000004</v>
      </c>
      <c r="H344">
        <f>VLOOKUP($D344,'[2]LC Balanced'!$Q$2:$U$542,5,FALSE)</f>
        <v>0</v>
      </c>
      <c r="I344" s="77">
        <f t="shared" si="827"/>
        <v>1</v>
      </c>
      <c r="J344" s="77">
        <f t="shared" si="828"/>
        <v>6.144563749999999E-2</v>
      </c>
      <c r="K344" s="77">
        <f t="shared" si="818"/>
        <v>4.9816831885927115E-3</v>
      </c>
      <c r="L344" s="76">
        <v>0</v>
      </c>
      <c r="M344" s="77">
        <f t="shared" si="834"/>
        <v>0</v>
      </c>
      <c r="N344" s="77">
        <f t="shared" si="835"/>
        <v>0</v>
      </c>
      <c r="O344" s="77">
        <f t="shared" si="836"/>
        <v>6.9553749999999998E-3</v>
      </c>
      <c r="P344" s="77">
        <f t="shared" si="837"/>
        <v>5.8147057789481593E-4</v>
      </c>
      <c r="R344" t="s">
        <v>177</v>
      </c>
      <c r="S344" t="s">
        <v>176</v>
      </c>
      <c r="T344" s="197" t="str">
        <f t="shared" si="769"/>
        <v>Autopilot_Balanced_201</v>
      </c>
      <c r="U344">
        <v>201</v>
      </c>
      <c r="V344">
        <f>VLOOKUP($U344,'[2]AP Balanced'!$Q$1:$T$542,2,FALSE)</f>
        <v>0.77777777777777779</v>
      </c>
      <c r="W344">
        <f>VLOOKUP($U344,'[2]AP Balanced'!$Q$1:$T$542,3,FALSE)</f>
        <v>0.22222222222222221</v>
      </c>
      <c r="X344">
        <f>VLOOKUP($U344,'[2]AP Balanced'!$Q$1:$T$542,4,FALSE)</f>
        <v>0</v>
      </c>
      <c r="Y344" s="77">
        <f t="shared" si="884"/>
        <v>1</v>
      </c>
      <c r="Z344" s="77">
        <f t="shared" si="873"/>
        <v>6.1674999999999987E-2</v>
      </c>
      <c r="AA344" s="77">
        <f t="shared" si="874"/>
        <v>4.9997781870025904E-3</v>
      </c>
      <c r="AB344" s="79">
        <v>1</v>
      </c>
      <c r="AC344" s="77">
        <f t="shared" si="838"/>
        <v>8.0555555555555554E-3</v>
      </c>
      <c r="AD344" s="77">
        <f t="shared" si="829"/>
        <v>6.7378764057135498E-4</v>
      </c>
      <c r="AE344" s="77">
        <f t="shared" si="839"/>
        <v>2.5000000000000001E-3</v>
      </c>
      <c r="AF344" s="77">
        <f t="shared" si="829"/>
        <v>2.0857243058891584E-4</v>
      </c>
      <c r="AH344" t="s">
        <v>175</v>
      </c>
      <c r="AI344" t="s">
        <v>176</v>
      </c>
      <c r="AJ344" s="197" t="str">
        <f t="shared" si="885"/>
        <v>Lifecycle_Balanced_201</v>
      </c>
      <c r="AK344">
        <v>201</v>
      </c>
      <c r="AL344">
        <f>VLOOKUP($U344,[2]Standard_Balanced!$Q$1:$T$542,2,FALSE)</f>
        <v>0.75614093333333332</v>
      </c>
      <c r="AM344">
        <f>VLOOKUP($U344,[2]Standard_Balanced!$Q$1:$T$542,3,FALSE)</f>
        <v>0.24385906666666668</v>
      </c>
      <c r="AN344">
        <f>VLOOKUP($U344,[2]Standard_Balanced!$Q$1:$T$542,4,FALSE)</f>
        <v>0</v>
      </c>
      <c r="AO344" s="77">
        <f t="shared" si="815"/>
        <v>1</v>
      </c>
      <c r="AP344" s="77">
        <f t="shared" si="840"/>
        <v>6.1387770889999985E-2</v>
      </c>
      <c r="AQ344" s="77">
        <f t="shared" si="886"/>
        <v>4.9771173764727727E-3</v>
      </c>
      <c r="AR344" s="79">
        <v>0</v>
      </c>
      <c r="AS344" s="77">
        <f t="shared" si="841"/>
        <v>0</v>
      </c>
      <c r="AT344" s="77">
        <f t="shared" ref="AT344" si="890">1-(1-AS344)^(1/12)</f>
        <v>0</v>
      </c>
      <c r="AU344" s="77">
        <f t="shared" si="843"/>
        <v>2.5000000000000001E-3</v>
      </c>
      <c r="AV344" s="77">
        <f t="shared" ref="AV344" si="891">1-(1-AU344)^(1/12)</f>
        <v>2.0857243058891584E-4</v>
      </c>
      <c r="AX344" t="s">
        <v>178</v>
      </c>
      <c r="AY344" t="s">
        <v>160</v>
      </c>
      <c r="AZ344" s="197" t="str">
        <f t="shared" si="889"/>
        <v>DIS_Non-Standard_201</v>
      </c>
      <c r="BA344">
        <v>201</v>
      </c>
      <c r="BB344">
        <f>VLOOKUP($BA344,'[2]NonStandard DIS'!$Q$1:$X$542,2,FALSE)</f>
        <v>0</v>
      </c>
      <c r="BC344">
        <f>VLOOKUP($BA344,'[2]NonStandard DIS'!$Q$1:$X$542,3,FALSE)</f>
        <v>0</v>
      </c>
      <c r="BD344">
        <f>VLOOKUP($BA344,'[2]NonStandard DIS'!$Q$1:$X$542,4,FALSE)</f>
        <v>0.308</v>
      </c>
      <c r="BE344">
        <f>VLOOKUP($BA344,'[2]NonStandard DIS'!$Q$1:$X$542,5,FALSE)</f>
        <v>0.69199999999999995</v>
      </c>
      <c r="BF344">
        <f>VLOOKUP($BA344,'[2]NonStandard DIS'!$Q$1:$X$542,6,FALSE)</f>
        <v>0</v>
      </c>
      <c r="BG344">
        <f>VLOOKUP($BA344,'[2]NonStandard DIS'!$Q$1:$X$542,7,FALSE)</f>
        <v>0</v>
      </c>
      <c r="BH344">
        <f>VLOOKUP($BA344,'[2]NonStandard DIS'!$Q$1:$X$542,8,FALSE)</f>
        <v>0</v>
      </c>
      <c r="BI344" s="77">
        <f t="shared" si="832"/>
        <v>1</v>
      </c>
      <c r="BJ344" s="77">
        <f t="shared" si="833"/>
        <v>6.9728499999999985E-2</v>
      </c>
      <c r="BK344" s="77">
        <f t="shared" si="814"/>
        <v>5.632878498097682E-3</v>
      </c>
      <c r="BL344" s="79">
        <v>0</v>
      </c>
      <c r="BM344" s="77">
        <f t="shared" si="845"/>
        <v>0</v>
      </c>
      <c r="BN344" s="77">
        <f t="shared" si="846"/>
        <v>0</v>
      </c>
      <c r="BO344" s="77">
        <f t="shared" si="847"/>
        <v>5.6775999999999997E-3</v>
      </c>
      <c r="BP344" s="77">
        <f t="shared" si="848"/>
        <v>4.7190657760731725E-4</v>
      </c>
    </row>
    <row r="345" spans="1:68">
      <c r="A345" t="s">
        <v>175</v>
      </c>
      <c r="B345" t="s">
        <v>176</v>
      </c>
      <c r="C345" s="197" t="str">
        <f t="shared" si="883"/>
        <v>Lifecycle_Balanced_200</v>
      </c>
      <c r="D345">
        <v>200</v>
      </c>
      <c r="E345">
        <f>VLOOKUP($D345,'[2]LC Balanced'!$Q$2:$U$542,2,FALSE)</f>
        <v>4.6666666666666671E-3</v>
      </c>
      <c r="F345">
        <f>VLOOKUP($D345,'[2]LC Balanced'!$Q$2:$U$542,3,FALSE)</f>
        <v>0.184</v>
      </c>
      <c r="G345">
        <f>VLOOKUP($D345,'[2]LC Balanced'!$Q$2:$U$542,4,FALSE)</f>
        <v>0.81133333333333335</v>
      </c>
      <c r="H345">
        <f>VLOOKUP($D345,'[2]LC Balanced'!$Q$2:$U$542,5,FALSE)</f>
        <v>0</v>
      </c>
      <c r="I345" s="77">
        <f t="shared" si="827"/>
        <v>1</v>
      </c>
      <c r="J345" s="77">
        <f t="shared" si="828"/>
        <v>6.1264949999999985E-2</v>
      </c>
      <c r="K345" s="77">
        <f t="shared" si="818"/>
        <v>4.9674257621590279E-3</v>
      </c>
      <c r="L345" s="76">
        <v>0</v>
      </c>
      <c r="M345" s="77">
        <f t="shared" si="834"/>
        <v>0</v>
      </c>
      <c r="N345" s="77">
        <f t="shared" si="835"/>
        <v>0</v>
      </c>
      <c r="O345" s="77">
        <f t="shared" si="836"/>
        <v>6.9383999999999999E-3</v>
      </c>
      <c r="P345" s="77">
        <f t="shared" si="837"/>
        <v>5.8004692614455067E-4</v>
      </c>
      <c r="R345" t="s">
        <v>177</v>
      </c>
      <c r="S345" t="s">
        <v>176</v>
      </c>
      <c r="T345" s="197" t="str">
        <f t="shared" si="769"/>
        <v>Autopilot_Balanced_200</v>
      </c>
      <c r="U345">
        <v>200</v>
      </c>
      <c r="V345">
        <f>VLOOKUP($U345,'[2]AP Balanced'!$Q$1:$T$542,2,FALSE)</f>
        <v>0.77777777777777779</v>
      </c>
      <c r="W345">
        <f>VLOOKUP($U345,'[2]AP Balanced'!$Q$1:$T$542,3,FALSE)</f>
        <v>0.22222222222222221</v>
      </c>
      <c r="X345">
        <f>VLOOKUP($U345,'[2]AP Balanced'!$Q$1:$T$542,4,FALSE)</f>
        <v>0</v>
      </c>
      <c r="Y345" s="77">
        <f t="shared" si="884"/>
        <v>1</v>
      </c>
      <c r="Z345" s="77">
        <f t="shared" si="873"/>
        <v>6.1674999999999987E-2</v>
      </c>
      <c r="AA345" s="77">
        <f t="shared" si="874"/>
        <v>4.9997781870025904E-3</v>
      </c>
      <c r="AB345" s="79">
        <v>1</v>
      </c>
      <c r="AC345" s="77">
        <f t="shared" si="838"/>
        <v>8.0555555555555554E-3</v>
      </c>
      <c r="AD345" s="77">
        <f t="shared" si="829"/>
        <v>6.7378764057135498E-4</v>
      </c>
      <c r="AE345" s="77">
        <f t="shared" si="839"/>
        <v>2.5000000000000001E-3</v>
      </c>
      <c r="AF345" s="77">
        <f t="shared" si="829"/>
        <v>2.0857243058891584E-4</v>
      </c>
      <c r="AH345" t="s">
        <v>175</v>
      </c>
      <c r="AI345" t="s">
        <v>176</v>
      </c>
      <c r="AJ345" s="197" t="str">
        <f t="shared" si="885"/>
        <v>Lifecycle_Balanced_200</v>
      </c>
      <c r="AK345">
        <v>200</v>
      </c>
      <c r="AL345">
        <f>VLOOKUP($U345,[2]Standard_Balanced!$Q$1:$T$542,2,FALSE)</f>
        <v>0.74892865185185187</v>
      </c>
      <c r="AM345">
        <f>VLOOKUP($U345,[2]Standard_Balanced!$Q$1:$T$542,3,FALSE)</f>
        <v>0.25107134814814819</v>
      </c>
      <c r="AN345">
        <f>VLOOKUP($U345,[2]Standard_Balanced!$Q$1:$T$542,4,FALSE)</f>
        <v>0</v>
      </c>
      <c r="AO345" s="77">
        <f t="shared" si="815"/>
        <v>1</v>
      </c>
      <c r="AP345" s="77">
        <f t="shared" si="840"/>
        <v>6.1292027853333327E-2</v>
      </c>
      <c r="AQ345" s="77">
        <f t="shared" si="886"/>
        <v>4.9695625237611285E-3</v>
      </c>
      <c r="AR345" s="79">
        <v>0</v>
      </c>
      <c r="AS345" s="77">
        <f t="shared" si="841"/>
        <v>0</v>
      </c>
      <c r="AT345" s="77">
        <f t="shared" ref="AT345" si="892">1-(1-AS345)^(1/12)</f>
        <v>0</v>
      </c>
      <c r="AU345" s="77">
        <f t="shared" si="843"/>
        <v>2.5000000000000001E-3</v>
      </c>
      <c r="AV345" s="77">
        <f t="shared" ref="AV345" si="893">1-(1-AU345)^(1/12)</f>
        <v>2.0857243058891584E-4</v>
      </c>
      <c r="AX345" t="s">
        <v>178</v>
      </c>
      <c r="AY345" t="s">
        <v>160</v>
      </c>
      <c r="AZ345" s="197" t="str">
        <f t="shared" si="889"/>
        <v>DIS_Non-Standard_200</v>
      </c>
      <c r="BA345">
        <v>200</v>
      </c>
      <c r="BB345">
        <f>VLOOKUP($BA345,'[2]NonStandard DIS'!$Q$1:$X$542,2,FALSE)</f>
        <v>0</v>
      </c>
      <c r="BC345">
        <f>VLOOKUP($BA345,'[2]NonStandard DIS'!$Q$1:$X$542,3,FALSE)</f>
        <v>0</v>
      </c>
      <c r="BD345">
        <f>VLOOKUP($BA345,'[2]NonStandard DIS'!$Q$1:$X$542,4,FALSE)</f>
        <v>0.308</v>
      </c>
      <c r="BE345">
        <f>VLOOKUP($BA345,'[2]NonStandard DIS'!$Q$1:$X$542,5,FALSE)</f>
        <v>0.69199999999999995</v>
      </c>
      <c r="BF345">
        <f>VLOOKUP($BA345,'[2]NonStandard DIS'!$Q$1:$X$542,6,FALSE)</f>
        <v>0</v>
      </c>
      <c r="BG345">
        <f>VLOOKUP($BA345,'[2]NonStandard DIS'!$Q$1:$X$542,7,FALSE)</f>
        <v>0</v>
      </c>
      <c r="BH345">
        <f>VLOOKUP($BA345,'[2]NonStandard DIS'!$Q$1:$X$542,8,FALSE)</f>
        <v>0</v>
      </c>
      <c r="BI345" s="77">
        <f t="shared" si="832"/>
        <v>1</v>
      </c>
      <c r="BJ345" s="77">
        <f t="shared" si="833"/>
        <v>6.9728499999999985E-2</v>
      </c>
      <c r="BK345" s="77">
        <f t="shared" si="814"/>
        <v>5.632878498097682E-3</v>
      </c>
      <c r="BL345" s="79">
        <v>0</v>
      </c>
      <c r="BM345" s="77">
        <f t="shared" si="845"/>
        <v>0</v>
      </c>
      <c r="BN345" s="77">
        <f t="shared" si="846"/>
        <v>0</v>
      </c>
      <c r="BO345" s="77">
        <f t="shared" si="847"/>
        <v>5.6775999999999997E-3</v>
      </c>
      <c r="BP345" s="77">
        <f t="shared" si="848"/>
        <v>4.7190657760731725E-4</v>
      </c>
    </row>
    <row r="346" spans="1:68">
      <c r="A346" t="s">
        <v>175</v>
      </c>
      <c r="B346" t="s">
        <v>176</v>
      </c>
      <c r="C346" s="197" t="str">
        <f t="shared" si="883"/>
        <v>Lifecycle_Balanced_199</v>
      </c>
      <c r="D346">
        <v>199</v>
      </c>
      <c r="E346">
        <f>VLOOKUP($D346,'[2]LC Balanced'!$Q$2:$U$542,2,FALSE)</f>
        <v>5.8333333333333336E-3</v>
      </c>
      <c r="F346">
        <f>VLOOKUP($D346,'[2]LC Balanced'!$Q$2:$U$542,3,FALSE)</f>
        <v>0.19275</v>
      </c>
      <c r="G346">
        <f>VLOOKUP($D346,'[2]LC Balanced'!$Q$2:$U$542,4,FALSE)</f>
        <v>0.80141666666666667</v>
      </c>
      <c r="H346">
        <f>VLOOKUP($D346,'[2]LC Balanced'!$Q$2:$U$542,5,FALSE)</f>
        <v>0</v>
      </c>
      <c r="I346" s="77">
        <f t="shared" si="827"/>
        <v>1</v>
      </c>
      <c r="J346" s="77">
        <f t="shared" si="828"/>
        <v>6.1084262499999993E-2</v>
      </c>
      <c r="K346" s="77">
        <f t="shared" si="818"/>
        <v>4.9531661104140756E-3</v>
      </c>
      <c r="L346" s="76">
        <v>0</v>
      </c>
      <c r="M346" s="77">
        <f t="shared" si="834"/>
        <v>0</v>
      </c>
      <c r="N346" s="77">
        <f t="shared" si="835"/>
        <v>0</v>
      </c>
      <c r="O346" s="77">
        <f t="shared" si="836"/>
        <v>6.9214249999999993E-3</v>
      </c>
      <c r="P346" s="77">
        <f t="shared" si="837"/>
        <v>5.7862329670144153E-4</v>
      </c>
      <c r="R346" t="s">
        <v>177</v>
      </c>
      <c r="S346" t="s">
        <v>176</v>
      </c>
      <c r="T346" s="197" t="str">
        <f t="shared" si="769"/>
        <v>Autopilot_Balanced_199</v>
      </c>
      <c r="U346">
        <v>199</v>
      </c>
      <c r="V346">
        <f>VLOOKUP($U346,'[2]AP Balanced'!$Q$1:$T$542,2,FALSE)</f>
        <v>0.77777777777777779</v>
      </c>
      <c r="W346">
        <f>VLOOKUP($U346,'[2]AP Balanced'!$Q$1:$T$542,3,FALSE)</f>
        <v>0.22222222222222221</v>
      </c>
      <c r="X346">
        <f>VLOOKUP($U346,'[2]AP Balanced'!$Q$1:$T$542,4,FALSE)</f>
        <v>0</v>
      </c>
      <c r="Y346" s="77">
        <f t="shared" si="884"/>
        <v>1</v>
      </c>
      <c r="Z346" s="77">
        <f t="shared" si="873"/>
        <v>6.1674999999999987E-2</v>
      </c>
      <c r="AA346" s="77">
        <f t="shared" si="874"/>
        <v>4.9997781870025904E-3</v>
      </c>
      <c r="AB346" s="79">
        <v>1</v>
      </c>
      <c r="AC346" s="77">
        <f t="shared" si="838"/>
        <v>8.0555555555555554E-3</v>
      </c>
      <c r="AD346" s="77">
        <f t="shared" si="829"/>
        <v>6.7378764057135498E-4</v>
      </c>
      <c r="AE346" s="77">
        <f t="shared" si="839"/>
        <v>2.5000000000000001E-3</v>
      </c>
      <c r="AF346" s="77">
        <f t="shared" si="829"/>
        <v>2.0857243058891584E-4</v>
      </c>
      <c r="AH346" t="s">
        <v>175</v>
      </c>
      <c r="AI346" t="s">
        <v>176</v>
      </c>
      <c r="AJ346" s="197" t="str">
        <f t="shared" si="885"/>
        <v>Lifecycle_Balanced_199</v>
      </c>
      <c r="AK346">
        <v>199</v>
      </c>
      <c r="AL346">
        <f>VLOOKUP($U346,[2]Standard_Balanced!$Q$1:$T$542,2,FALSE)</f>
        <v>0.7417163703703703</v>
      </c>
      <c r="AM346">
        <f>VLOOKUP($U346,[2]Standard_Balanced!$Q$1:$T$542,3,FALSE)</f>
        <v>0.25828362962962964</v>
      </c>
      <c r="AN346">
        <f>VLOOKUP($U346,[2]Standard_Balanced!$Q$1:$T$542,4,FALSE)</f>
        <v>0</v>
      </c>
      <c r="AO346" s="77">
        <f t="shared" si="815"/>
        <v>1</v>
      </c>
      <c r="AP346" s="77">
        <f t="shared" si="840"/>
        <v>6.1196284816666655E-2</v>
      </c>
      <c r="AQ346" s="77">
        <f t="shared" si="886"/>
        <v>4.9620070462685906E-3</v>
      </c>
      <c r="AR346" s="79">
        <v>0</v>
      </c>
      <c r="AS346" s="77">
        <f t="shared" si="841"/>
        <v>0</v>
      </c>
      <c r="AT346" s="77">
        <f t="shared" ref="AT346" si="894">1-(1-AS346)^(1/12)</f>
        <v>0</v>
      </c>
      <c r="AU346" s="77">
        <f t="shared" si="843"/>
        <v>2.4999999999999996E-3</v>
      </c>
      <c r="AV346" s="77">
        <f t="shared" ref="AV346" si="895">1-(1-AU346)^(1/12)</f>
        <v>2.0857243058891584E-4</v>
      </c>
      <c r="AX346" t="s">
        <v>178</v>
      </c>
      <c r="AY346" t="s">
        <v>160</v>
      </c>
      <c r="AZ346" s="197" t="str">
        <f t="shared" si="889"/>
        <v>DIS_Non-Standard_199</v>
      </c>
      <c r="BA346">
        <v>199</v>
      </c>
      <c r="BB346">
        <f>VLOOKUP($BA346,'[2]NonStandard DIS'!$Q$1:$X$542,2,FALSE)</f>
        <v>0</v>
      </c>
      <c r="BC346">
        <f>VLOOKUP($BA346,'[2]NonStandard DIS'!$Q$1:$X$542,3,FALSE)</f>
        <v>0</v>
      </c>
      <c r="BD346">
        <f>VLOOKUP($BA346,'[2]NonStandard DIS'!$Q$1:$X$542,4,FALSE)</f>
        <v>0.308</v>
      </c>
      <c r="BE346">
        <f>VLOOKUP($BA346,'[2]NonStandard DIS'!$Q$1:$X$542,5,FALSE)</f>
        <v>0.69199999999999995</v>
      </c>
      <c r="BF346">
        <f>VLOOKUP($BA346,'[2]NonStandard DIS'!$Q$1:$X$542,6,FALSE)</f>
        <v>0</v>
      </c>
      <c r="BG346">
        <f>VLOOKUP($BA346,'[2]NonStandard DIS'!$Q$1:$X$542,7,FALSE)</f>
        <v>0</v>
      </c>
      <c r="BH346">
        <f>VLOOKUP($BA346,'[2]NonStandard DIS'!$Q$1:$X$542,8,FALSE)</f>
        <v>0</v>
      </c>
      <c r="BI346" s="77">
        <f t="shared" si="832"/>
        <v>1</v>
      </c>
      <c r="BJ346" s="77">
        <f t="shared" si="833"/>
        <v>6.9728499999999985E-2</v>
      </c>
      <c r="BK346" s="77">
        <f t="shared" si="814"/>
        <v>5.632878498097682E-3</v>
      </c>
      <c r="BL346" s="79">
        <v>0</v>
      </c>
      <c r="BM346" s="77">
        <f t="shared" si="845"/>
        <v>0</v>
      </c>
      <c r="BN346" s="77">
        <f t="shared" si="846"/>
        <v>0</v>
      </c>
      <c r="BO346" s="77">
        <f t="shared" si="847"/>
        <v>5.6775999999999997E-3</v>
      </c>
      <c r="BP346" s="77">
        <f t="shared" si="848"/>
        <v>4.7190657760731725E-4</v>
      </c>
    </row>
    <row r="347" spans="1:68">
      <c r="A347" t="s">
        <v>175</v>
      </c>
      <c r="B347" t="s">
        <v>176</v>
      </c>
      <c r="C347" s="197" t="str">
        <f t="shared" si="883"/>
        <v>Lifecycle_Balanced_198</v>
      </c>
      <c r="D347">
        <v>198</v>
      </c>
      <c r="E347">
        <f>VLOOKUP($D347,'[2]LC Balanced'!$Q$2:$U$542,2,FALSE)</f>
        <v>7.0000000000000001E-3</v>
      </c>
      <c r="F347">
        <f>VLOOKUP($D347,'[2]LC Balanced'!$Q$2:$U$542,3,FALSE)</f>
        <v>0.20150000000000001</v>
      </c>
      <c r="G347">
        <f>VLOOKUP($D347,'[2]LC Balanced'!$Q$2:$U$542,4,FALSE)</f>
        <v>0.79149999999999998</v>
      </c>
      <c r="H347">
        <f>VLOOKUP($D347,'[2]LC Balanced'!$Q$2:$U$542,5,FALSE)</f>
        <v>0</v>
      </c>
      <c r="I347" s="77">
        <f t="shared" si="827"/>
        <v>1</v>
      </c>
      <c r="J347" s="77">
        <f t="shared" si="828"/>
        <v>6.0903574999999988E-2</v>
      </c>
      <c r="K347" s="77">
        <f t="shared" si="818"/>
        <v>4.9389042326317689E-3</v>
      </c>
      <c r="L347" s="76">
        <v>0</v>
      </c>
      <c r="M347" s="77">
        <f t="shared" si="834"/>
        <v>0</v>
      </c>
      <c r="N347" s="77">
        <f t="shared" si="835"/>
        <v>0</v>
      </c>
      <c r="O347" s="77">
        <f t="shared" si="836"/>
        <v>6.9044499999999995E-3</v>
      </c>
      <c r="P347" s="77">
        <f t="shared" si="837"/>
        <v>5.7719968956493339E-4</v>
      </c>
      <c r="R347" t="s">
        <v>177</v>
      </c>
      <c r="S347" t="s">
        <v>176</v>
      </c>
      <c r="T347" s="197" t="str">
        <f t="shared" si="769"/>
        <v>Autopilot_Balanced_198</v>
      </c>
      <c r="U347">
        <v>198</v>
      </c>
      <c r="V347">
        <f>VLOOKUP($U347,'[2]AP Balanced'!$Q$1:$T$542,2,FALSE)</f>
        <v>0.77777777777777779</v>
      </c>
      <c r="W347">
        <f>VLOOKUP($U347,'[2]AP Balanced'!$Q$1:$T$542,3,FALSE)</f>
        <v>0.22222222222222221</v>
      </c>
      <c r="X347">
        <f>VLOOKUP($U347,'[2]AP Balanced'!$Q$1:$T$542,4,FALSE)</f>
        <v>0</v>
      </c>
      <c r="Y347" s="77">
        <f t="shared" si="884"/>
        <v>1</v>
      </c>
      <c r="Z347" s="77">
        <f t="shared" si="873"/>
        <v>6.1674999999999987E-2</v>
      </c>
      <c r="AA347" s="77">
        <f t="shared" si="874"/>
        <v>4.9997781870025904E-3</v>
      </c>
      <c r="AB347" s="79">
        <v>1</v>
      </c>
      <c r="AC347" s="77">
        <f t="shared" si="838"/>
        <v>8.0555555555555554E-3</v>
      </c>
      <c r="AD347" s="77">
        <f t="shared" si="829"/>
        <v>6.7378764057135498E-4</v>
      </c>
      <c r="AE347" s="77">
        <f t="shared" si="839"/>
        <v>2.5000000000000001E-3</v>
      </c>
      <c r="AF347" s="77">
        <f t="shared" si="829"/>
        <v>2.0857243058891584E-4</v>
      </c>
      <c r="AH347" t="s">
        <v>175</v>
      </c>
      <c r="AI347" t="s">
        <v>176</v>
      </c>
      <c r="AJ347" s="197" t="str">
        <f t="shared" si="885"/>
        <v>Lifecycle_Balanced_198</v>
      </c>
      <c r="AK347">
        <v>198</v>
      </c>
      <c r="AL347">
        <f>VLOOKUP($U347,[2]Standard_Balanced!$Q$1:$T$542,2,FALSE)</f>
        <v>0.73450408888888885</v>
      </c>
      <c r="AM347">
        <f>VLOOKUP($U347,[2]Standard_Balanced!$Q$1:$T$542,3,FALSE)</f>
        <v>0.26549591111111115</v>
      </c>
      <c r="AN347">
        <f>VLOOKUP($U347,[2]Standard_Balanced!$Q$1:$T$542,4,FALSE)</f>
        <v>0</v>
      </c>
      <c r="AO347" s="77">
        <f t="shared" si="815"/>
        <v>1</v>
      </c>
      <c r="AP347" s="77">
        <f t="shared" si="840"/>
        <v>6.1100541779999989E-2</v>
      </c>
      <c r="AQ347" s="77">
        <f t="shared" si="886"/>
        <v>4.9544509438872453E-3</v>
      </c>
      <c r="AR347" s="79">
        <v>0</v>
      </c>
      <c r="AS347" s="77">
        <f t="shared" si="841"/>
        <v>0</v>
      </c>
      <c r="AT347" s="77">
        <f t="shared" ref="AT347" si="896">1-(1-AS347)^(1/12)</f>
        <v>0</v>
      </c>
      <c r="AU347" s="77">
        <f t="shared" si="843"/>
        <v>2.5000000000000001E-3</v>
      </c>
      <c r="AV347" s="77">
        <f t="shared" ref="AV347" si="897">1-(1-AU347)^(1/12)</f>
        <v>2.0857243058891584E-4</v>
      </c>
      <c r="AX347" t="s">
        <v>178</v>
      </c>
      <c r="AY347" t="s">
        <v>160</v>
      </c>
      <c r="AZ347" s="197" t="str">
        <f t="shared" si="889"/>
        <v>DIS_Non-Standard_198</v>
      </c>
      <c r="BA347">
        <v>198</v>
      </c>
      <c r="BB347">
        <f>VLOOKUP($BA347,'[2]NonStandard DIS'!$Q$1:$X$542,2,FALSE)</f>
        <v>0</v>
      </c>
      <c r="BC347">
        <f>VLOOKUP($BA347,'[2]NonStandard DIS'!$Q$1:$X$542,3,FALSE)</f>
        <v>0</v>
      </c>
      <c r="BD347">
        <f>VLOOKUP($BA347,'[2]NonStandard DIS'!$Q$1:$X$542,4,FALSE)</f>
        <v>0.308</v>
      </c>
      <c r="BE347">
        <f>VLOOKUP($BA347,'[2]NonStandard DIS'!$Q$1:$X$542,5,FALSE)</f>
        <v>0.69199999999999995</v>
      </c>
      <c r="BF347">
        <f>VLOOKUP($BA347,'[2]NonStandard DIS'!$Q$1:$X$542,6,FALSE)</f>
        <v>0</v>
      </c>
      <c r="BG347">
        <f>VLOOKUP($BA347,'[2]NonStandard DIS'!$Q$1:$X$542,7,FALSE)</f>
        <v>0</v>
      </c>
      <c r="BH347">
        <f>VLOOKUP($BA347,'[2]NonStandard DIS'!$Q$1:$X$542,8,FALSE)</f>
        <v>0</v>
      </c>
      <c r="BI347" s="77">
        <f t="shared" si="832"/>
        <v>1</v>
      </c>
      <c r="BJ347" s="77">
        <f t="shared" si="833"/>
        <v>6.9728499999999985E-2</v>
      </c>
      <c r="BK347" s="77">
        <f t="shared" si="814"/>
        <v>5.632878498097682E-3</v>
      </c>
      <c r="BL347" s="79">
        <v>0</v>
      </c>
      <c r="BM347" s="77">
        <f t="shared" si="845"/>
        <v>0</v>
      </c>
      <c r="BN347" s="77">
        <f t="shared" si="846"/>
        <v>0</v>
      </c>
      <c r="BO347" s="77">
        <f t="shared" si="847"/>
        <v>5.6775999999999997E-3</v>
      </c>
      <c r="BP347" s="77">
        <f t="shared" si="848"/>
        <v>4.7190657760731725E-4</v>
      </c>
    </row>
    <row r="348" spans="1:68">
      <c r="A348" t="s">
        <v>175</v>
      </c>
      <c r="B348" t="s">
        <v>176</v>
      </c>
      <c r="C348" s="197" t="str">
        <f t="shared" si="883"/>
        <v>Lifecycle_Balanced_197</v>
      </c>
      <c r="D348">
        <v>197</v>
      </c>
      <c r="E348">
        <f>VLOOKUP($D348,'[2]LC Balanced'!$Q$2:$U$542,2,FALSE)</f>
        <v>8.1666666666666676E-3</v>
      </c>
      <c r="F348">
        <f>VLOOKUP($D348,'[2]LC Balanced'!$Q$2:$U$542,3,FALSE)</f>
        <v>0.21024999999999999</v>
      </c>
      <c r="G348">
        <f>VLOOKUP($D348,'[2]LC Balanced'!$Q$2:$U$542,4,FALSE)</f>
        <v>0.7815833333333333</v>
      </c>
      <c r="H348">
        <f>VLOOKUP($D348,'[2]LC Balanced'!$Q$2:$U$542,5,FALSE)</f>
        <v>0</v>
      </c>
      <c r="I348" s="77">
        <f t="shared" si="827"/>
        <v>1</v>
      </c>
      <c r="J348" s="77">
        <f t="shared" si="828"/>
        <v>6.0722887499999989E-2</v>
      </c>
      <c r="K348" s="77">
        <f t="shared" si="818"/>
        <v>4.9246401280849117E-3</v>
      </c>
      <c r="L348" s="76">
        <v>0</v>
      </c>
      <c r="M348" s="77">
        <f t="shared" si="834"/>
        <v>0</v>
      </c>
      <c r="N348" s="77">
        <f t="shared" si="835"/>
        <v>0</v>
      </c>
      <c r="O348" s="77">
        <f t="shared" si="836"/>
        <v>6.8874749999999997E-3</v>
      </c>
      <c r="P348" s="77">
        <f t="shared" si="837"/>
        <v>5.7577610473413809E-4</v>
      </c>
      <c r="R348" t="s">
        <v>177</v>
      </c>
      <c r="S348" t="s">
        <v>176</v>
      </c>
      <c r="T348" s="197" t="str">
        <f t="shared" si="769"/>
        <v>Autopilot_Balanced_197</v>
      </c>
      <c r="U348">
        <v>197</v>
      </c>
      <c r="V348">
        <f>VLOOKUP($U348,'[2]AP Balanced'!$Q$1:$T$542,2,FALSE)</f>
        <v>0.77777777777777779</v>
      </c>
      <c r="W348">
        <f>VLOOKUP($U348,'[2]AP Balanced'!$Q$1:$T$542,3,FALSE)</f>
        <v>0.22222222222222221</v>
      </c>
      <c r="X348">
        <f>VLOOKUP($U348,'[2]AP Balanced'!$Q$1:$T$542,4,FALSE)</f>
        <v>0</v>
      </c>
      <c r="Y348" s="77">
        <f t="shared" si="884"/>
        <v>1</v>
      </c>
      <c r="Z348" s="77">
        <f t="shared" si="873"/>
        <v>6.1674999999999987E-2</v>
      </c>
      <c r="AA348" s="77">
        <f t="shared" si="874"/>
        <v>4.9997781870025904E-3</v>
      </c>
      <c r="AB348" s="79">
        <v>1</v>
      </c>
      <c r="AC348" s="77">
        <f t="shared" si="838"/>
        <v>8.0555555555555554E-3</v>
      </c>
      <c r="AD348" s="77">
        <f t="shared" si="829"/>
        <v>6.7378764057135498E-4</v>
      </c>
      <c r="AE348" s="77">
        <f t="shared" si="839"/>
        <v>2.5000000000000001E-3</v>
      </c>
      <c r="AF348" s="77">
        <f t="shared" si="829"/>
        <v>2.0857243058891584E-4</v>
      </c>
      <c r="AH348" t="s">
        <v>175</v>
      </c>
      <c r="AI348" t="s">
        <v>176</v>
      </c>
      <c r="AJ348" s="197" t="str">
        <f t="shared" si="885"/>
        <v>Lifecycle_Balanced_197</v>
      </c>
      <c r="AK348">
        <v>197</v>
      </c>
      <c r="AL348">
        <f>VLOOKUP($U348,[2]Standard_Balanced!$Q$1:$T$542,2,FALSE)</f>
        <v>0.7272918074074074</v>
      </c>
      <c r="AM348">
        <f>VLOOKUP($U348,[2]Standard_Balanced!$Q$1:$T$542,3,FALSE)</f>
        <v>0.27270819259259266</v>
      </c>
      <c r="AN348">
        <f>VLOOKUP($U348,[2]Standard_Balanced!$Q$1:$T$542,4,FALSE)</f>
        <v>0</v>
      </c>
      <c r="AO348" s="77">
        <f t="shared" si="815"/>
        <v>1</v>
      </c>
      <c r="AP348" s="77">
        <f t="shared" si="840"/>
        <v>6.1004798743333324E-2</v>
      </c>
      <c r="AQ348" s="77">
        <f t="shared" si="886"/>
        <v>4.9468942165089569E-3</v>
      </c>
      <c r="AR348" s="79">
        <v>0</v>
      </c>
      <c r="AS348" s="77">
        <f t="shared" si="841"/>
        <v>0</v>
      </c>
      <c r="AT348" s="77">
        <f t="shared" ref="AT348" si="898">1-(1-AS348)^(1/12)</f>
        <v>0</v>
      </c>
      <c r="AU348" s="77">
        <f t="shared" si="843"/>
        <v>2.5000000000000001E-3</v>
      </c>
      <c r="AV348" s="77">
        <f t="shared" ref="AV348" si="899">1-(1-AU348)^(1/12)</f>
        <v>2.0857243058891584E-4</v>
      </c>
      <c r="AX348" t="s">
        <v>178</v>
      </c>
      <c r="AY348" t="s">
        <v>160</v>
      </c>
      <c r="AZ348" s="197" t="str">
        <f t="shared" si="889"/>
        <v>DIS_Non-Standard_197</v>
      </c>
      <c r="BA348">
        <v>197</v>
      </c>
      <c r="BB348">
        <f>VLOOKUP($BA348,'[2]NonStandard DIS'!$Q$1:$X$542,2,FALSE)</f>
        <v>0</v>
      </c>
      <c r="BC348">
        <f>VLOOKUP($BA348,'[2]NonStandard DIS'!$Q$1:$X$542,3,FALSE)</f>
        <v>0</v>
      </c>
      <c r="BD348">
        <f>VLOOKUP($BA348,'[2]NonStandard DIS'!$Q$1:$X$542,4,FALSE)</f>
        <v>0.308</v>
      </c>
      <c r="BE348">
        <f>VLOOKUP($BA348,'[2]NonStandard DIS'!$Q$1:$X$542,5,FALSE)</f>
        <v>0.69199999999999995</v>
      </c>
      <c r="BF348">
        <f>VLOOKUP($BA348,'[2]NonStandard DIS'!$Q$1:$X$542,6,FALSE)</f>
        <v>0</v>
      </c>
      <c r="BG348">
        <f>VLOOKUP($BA348,'[2]NonStandard DIS'!$Q$1:$X$542,7,FALSE)</f>
        <v>0</v>
      </c>
      <c r="BH348">
        <f>VLOOKUP($BA348,'[2]NonStandard DIS'!$Q$1:$X$542,8,FALSE)</f>
        <v>0</v>
      </c>
      <c r="BI348" s="77">
        <f t="shared" si="832"/>
        <v>1</v>
      </c>
      <c r="BJ348" s="77">
        <f t="shared" si="833"/>
        <v>6.9728499999999985E-2</v>
      </c>
      <c r="BK348" s="77">
        <f t="shared" si="814"/>
        <v>5.632878498097682E-3</v>
      </c>
      <c r="BL348" s="79">
        <v>0</v>
      </c>
      <c r="BM348" s="77">
        <f t="shared" si="845"/>
        <v>0</v>
      </c>
      <c r="BN348" s="77">
        <f t="shared" si="846"/>
        <v>0</v>
      </c>
      <c r="BO348" s="77">
        <f t="shared" si="847"/>
        <v>5.6775999999999997E-3</v>
      </c>
      <c r="BP348" s="77">
        <f t="shared" si="848"/>
        <v>4.7190657760731725E-4</v>
      </c>
    </row>
    <row r="349" spans="1:68">
      <c r="A349" t="s">
        <v>175</v>
      </c>
      <c r="B349" t="s">
        <v>176</v>
      </c>
      <c r="C349" s="197" t="str">
        <f t="shared" si="883"/>
        <v>Lifecycle_Balanced_196</v>
      </c>
      <c r="D349">
        <v>196</v>
      </c>
      <c r="E349">
        <f>VLOOKUP($D349,'[2]LC Balanced'!$Q$2:$U$542,2,FALSE)</f>
        <v>9.3333333333333341E-3</v>
      </c>
      <c r="F349">
        <f>VLOOKUP($D349,'[2]LC Balanced'!$Q$2:$U$542,3,FALSE)</f>
        <v>0.219</v>
      </c>
      <c r="G349">
        <f>VLOOKUP($D349,'[2]LC Balanced'!$Q$2:$U$542,4,FALSE)</f>
        <v>0.77166666666666661</v>
      </c>
      <c r="H349">
        <f>VLOOKUP($D349,'[2]LC Balanced'!$Q$2:$U$542,5,FALSE)</f>
        <v>0</v>
      </c>
      <c r="I349" s="77">
        <f t="shared" si="827"/>
        <v>1</v>
      </c>
      <c r="J349" s="77">
        <f t="shared" si="828"/>
        <v>6.0542199999999984E-2</v>
      </c>
      <c r="K349" s="77">
        <f t="shared" si="818"/>
        <v>4.9103737960467519E-3</v>
      </c>
      <c r="L349" s="76">
        <v>0</v>
      </c>
      <c r="M349" s="77">
        <f t="shared" si="834"/>
        <v>0</v>
      </c>
      <c r="N349" s="77">
        <f t="shared" si="835"/>
        <v>0</v>
      </c>
      <c r="O349" s="77">
        <f t="shared" si="836"/>
        <v>6.870499999999999E-3</v>
      </c>
      <c r="P349" s="77">
        <f t="shared" si="837"/>
        <v>5.7435254220827847E-4</v>
      </c>
      <c r="R349" t="s">
        <v>177</v>
      </c>
      <c r="S349" t="s">
        <v>176</v>
      </c>
      <c r="T349" s="197" t="str">
        <f t="shared" si="769"/>
        <v>Autopilot_Balanced_196</v>
      </c>
      <c r="U349">
        <v>196</v>
      </c>
      <c r="V349">
        <f>VLOOKUP($U349,'[2]AP Balanced'!$Q$1:$T$542,2,FALSE)</f>
        <v>0.77777777777777779</v>
      </c>
      <c r="W349">
        <f>VLOOKUP($U349,'[2]AP Balanced'!$Q$1:$T$542,3,FALSE)</f>
        <v>0.22222222222222221</v>
      </c>
      <c r="X349">
        <f>VLOOKUP($U349,'[2]AP Balanced'!$Q$1:$T$542,4,FALSE)</f>
        <v>0</v>
      </c>
      <c r="Y349" s="77">
        <f t="shared" si="884"/>
        <v>1</v>
      </c>
      <c r="Z349" s="77">
        <f t="shared" si="873"/>
        <v>6.1674999999999987E-2</v>
      </c>
      <c r="AA349" s="77">
        <f t="shared" si="874"/>
        <v>4.9997781870025904E-3</v>
      </c>
      <c r="AB349" s="79">
        <v>1</v>
      </c>
      <c r="AC349" s="77">
        <f t="shared" si="838"/>
        <v>8.0555555555555554E-3</v>
      </c>
      <c r="AD349" s="77">
        <f t="shared" si="829"/>
        <v>6.7378764057135498E-4</v>
      </c>
      <c r="AE349" s="77">
        <f t="shared" si="839"/>
        <v>2.5000000000000001E-3</v>
      </c>
      <c r="AF349" s="77">
        <f t="shared" si="829"/>
        <v>2.0857243058891584E-4</v>
      </c>
      <c r="AH349" t="s">
        <v>175</v>
      </c>
      <c r="AI349" t="s">
        <v>176</v>
      </c>
      <c r="AJ349" s="197" t="str">
        <f t="shared" si="885"/>
        <v>Lifecycle_Balanced_196</v>
      </c>
      <c r="AK349">
        <v>196</v>
      </c>
      <c r="AL349">
        <f>VLOOKUP($U349,[2]Standard_Balanced!$Q$1:$T$542,2,FALSE)</f>
        <v>0.72007952592592583</v>
      </c>
      <c r="AM349">
        <f>VLOOKUP($U349,[2]Standard_Balanced!$Q$1:$T$542,3,FALSE)</f>
        <v>0.27992047407407411</v>
      </c>
      <c r="AN349">
        <f>VLOOKUP($U349,[2]Standard_Balanced!$Q$1:$T$542,4,FALSE)</f>
        <v>0</v>
      </c>
      <c r="AO349" s="77">
        <f t="shared" si="815"/>
        <v>1</v>
      </c>
      <c r="AP349" s="77">
        <f t="shared" si="840"/>
        <v>6.0909055706666652E-2</v>
      </c>
      <c r="AQ349" s="77">
        <f t="shared" si="886"/>
        <v>4.9393368640258117E-3</v>
      </c>
      <c r="AR349" s="79">
        <v>0</v>
      </c>
      <c r="AS349" s="77">
        <f t="shared" si="841"/>
        <v>0</v>
      </c>
      <c r="AT349" s="77">
        <f t="shared" ref="AT349" si="900">1-(1-AS349)^(1/12)</f>
        <v>0</v>
      </c>
      <c r="AU349" s="77">
        <f t="shared" si="843"/>
        <v>2.5000000000000001E-3</v>
      </c>
      <c r="AV349" s="77">
        <f t="shared" ref="AV349" si="901">1-(1-AU349)^(1/12)</f>
        <v>2.0857243058891584E-4</v>
      </c>
      <c r="AX349" t="s">
        <v>178</v>
      </c>
      <c r="AY349" t="s">
        <v>160</v>
      </c>
      <c r="AZ349" s="197" t="str">
        <f t="shared" si="889"/>
        <v>DIS_Non-Standard_196</v>
      </c>
      <c r="BA349">
        <v>196</v>
      </c>
      <c r="BB349">
        <f>VLOOKUP($BA349,'[2]NonStandard DIS'!$Q$1:$X$542,2,FALSE)</f>
        <v>0</v>
      </c>
      <c r="BC349">
        <f>VLOOKUP($BA349,'[2]NonStandard DIS'!$Q$1:$X$542,3,FALSE)</f>
        <v>0</v>
      </c>
      <c r="BD349">
        <f>VLOOKUP($BA349,'[2]NonStandard DIS'!$Q$1:$X$542,4,FALSE)</f>
        <v>0.308</v>
      </c>
      <c r="BE349">
        <f>VLOOKUP($BA349,'[2]NonStandard DIS'!$Q$1:$X$542,5,FALSE)</f>
        <v>0.69199999999999995</v>
      </c>
      <c r="BF349">
        <f>VLOOKUP($BA349,'[2]NonStandard DIS'!$Q$1:$X$542,6,FALSE)</f>
        <v>0</v>
      </c>
      <c r="BG349">
        <f>VLOOKUP($BA349,'[2]NonStandard DIS'!$Q$1:$X$542,7,FALSE)</f>
        <v>0</v>
      </c>
      <c r="BH349">
        <f>VLOOKUP($BA349,'[2]NonStandard DIS'!$Q$1:$X$542,8,FALSE)</f>
        <v>0</v>
      </c>
      <c r="BI349" s="77">
        <f t="shared" si="832"/>
        <v>1</v>
      </c>
      <c r="BJ349" s="77">
        <f t="shared" si="833"/>
        <v>6.9728499999999985E-2</v>
      </c>
      <c r="BK349" s="77">
        <f t="shared" si="814"/>
        <v>5.632878498097682E-3</v>
      </c>
      <c r="BL349" s="79">
        <v>0</v>
      </c>
      <c r="BM349" s="77">
        <f t="shared" si="845"/>
        <v>0</v>
      </c>
      <c r="BN349" s="77">
        <f t="shared" si="846"/>
        <v>0</v>
      </c>
      <c r="BO349" s="77">
        <f t="shared" si="847"/>
        <v>5.6775999999999997E-3</v>
      </c>
      <c r="BP349" s="77">
        <f t="shared" si="848"/>
        <v>4.7190657760731725E-4</v>
      </c>
    </row>
    <row r="350" spans="1:68">
      <c r="A350" t="s">
        <v>175</v>
      </c>
      <c r="B350" t="s">
        <v>176</v>
      </c>
      <c r="C350" s="197" t="str">
        <f t="shared" si="883"/>
        <v>Lifecycle_Balanced_195</v>
      </c>
      <c r="D350">
        <v>195</v>
      </c>
      <c r="E350">
        <f>VLOOKUP($D350,'[2]LC Balanced'!$Q$2:$U$542,2,FALSE)</f>
        <v>1.0500000000000001E-2</v>
      </c>
      <c r="F350">
        <f>VLOOKUP($D350,'[2]LC Balanced'!$Q$2:$U$542,3,FALSE)</f>
        <v>0.22775000000000001</v>
      </c>
      <c r="G350">
        <f>VLOOKUP($D350,'[2]LC Balanced'!$Q$2:$U$542,4,FALSE)</f>
        <v>0.76174999999999993</v>
      </c>
      <c r="H350">
        <f>VLOOKUP($D350,'[2]LC Balanced'!$Q$2:$U$542,5,FALSE)</f>
        <v>0</v>
      </c>
      <c r="I350" s="77">
        <f t="shared" si="827"/>
        <v>1</v>
      </c>
      <c r="J350" s="77">
        <f t="shared" si="828"/>
        <v>6.0361512499999985E-2</v>
      </c>
      <c r="K350" s="77">
        <f t="shared" si="818"/>
        <v>4.8961052357898716E-3</v>
      </c>
      <c r="L350" s="76">
        <v>0</v>
      </c>
      <c r="M350" s="77">
        <f t="shared" si="834"/>
        <v>0</v>
      </c>
      <c r="N350" s="77">
        <f t="shared" si="835"/>
        <v>0</v>
      </c>
      <c r="O350" s="77">
        <f t="shared" si="836"/>
        <v>6.8535249999999992E-3</v>
      </c>
      <c r="P350" s="77">
        <f t="shared" si="837"/>
        <v>5.7292900198679941E-4</v>
      </c>
      <c r="R350" t="s">
        <v>177</v>
      </c>
      <c r="S350" t="s">
        <v>176</v>
      </c>
      <c r="T350" s="197" t="str">
        <f t="shared" si="769"/>
        <v>Autopilot_Balanced_195</v>
      </c>
      <c r="U350">
        <v>195</v>
      </c>
      <c r="V350">
        <f>VLOOKUP($U350,'[2]AP Balanced'!$Q$1:$T$542,2,FALSE)</f>
        <v>0.77777777777777779</v>
      </c>
      <c r="W350">
        <f>VLOOKUP($U350,'[2]AP Balanced'!$Q$1:$T$542,3,FALSE)</f>
        <v>0.22222222222222221</v>
      </c>
      <c r="X350">
        <f>VLOOKUP($U350,'[2]AP Balanced'!$Q$1:$T$542,4,FALSE)</f>
        <v>0</v>
      </c>
      <c r="Y350" s="77">
        <f t="shared" si="884"/>
        <v>1</v>
      </c>
      <c r="Z350" s="77">
        <f t="shared" si="873"/>
        <v>6.1674999999999987E-2</v>
      </c>
      <c r="AA350" s="77">
        <f t="shared" si="874"/>
        <v>4.9997781870025904E-3</v>
      </c>
      <c r="AB350" s="79">
        <v>1</v>
      </c>
      <c r="AC350" s="77">
        <f t="shared" si="838"/>
        <v>8.0555555555555554E-3</v>
      </c>
      <c r="AD350" s="77">
        <f t="shared" si="829"/>
        <v>6.7378764057135498E-4</v>
      </c>
      <c r="AE350" s="77">
        <f t="shared" si="839"/>
        <v>2.5000000000000001E-3</v>
      </c>
      <c r="AF350" s="77">
        <f t="shared" si="829"/>
        <v>2.0857243058891584E-4</v>
      </c>
      <c r="AH350" t="s">
        <v>175</v>
      </c>
      <c r="AI350" t="s">
        <v>176</v>
      </c>
      <c r="AJ350" s="197" t="str">
        <f t="shared" si="885"/>
        <v>Lifecycle_Balanced_195</v>
      </c>
      <c r="AK350">
        <v>195</v>
      </c>
      <c r="AL350">
        <f>VLOOKUP($U350,[2]Standard_Balanced!$Q$1:$T$542,2,FALSE)</f>
        <v>0.71286724444444438</v>
      </c>
      <c r="AM350">
        <f>VLOOKUP($U350,[2]Standard_Balanced!$Q$1:$T$542,3,FALSE)</f>
        <v>0.28713275555555562</v>
      </c>
      <c r="AN350">
        <f>VLOOKUP($U350,[2]Standard_Balanced!$Q$1:$T$542,4,FALSE)</f>
        <v>0</v>
      </c>
      <c r="AO350" s="77">
        <f t="shared" si="815"/>
        <v>1</v>
      </c>
      <c r="AP350" s="77">
        <f t="shared" si="840"/>
        <v>6.0813312669999994E-2</v>
      </c>
      <c r="AQ350" s="77">
        <f t="shared" si="886"/>
        <v>4.93177888632923E-3</v>
      </c>
      <c r="AR350" s="79">
        <v>0</v>
      </c>
      <c r="AS350" s="77">
        <f t="shared" si="841"/>
        <v>0</v>
      </c>
      <c r="AT350" s="77">
        <f t="shared" ref="AT350" si="902">1-(1-AS350)^(1/12)</f>
        <v>0</v>
      </c>
      <c r="AU350" s="77">
        <f t="shared" si="843"/>
        <v>2.5000000000000001E-3</v>
      </c>
      <c r="AV350" s="77">
        <f t="shared" ref="AV350" si="903">1-(1-AU350)^(1/12)</f>
        <v>2.0857243058891584E-4</v>
      </c>
      <c r="AX350" t="s">
        <v>178</v>
      </c>
      <c r="AY350" t="s">
        <v>160</v>
      </c>
      <c r="AZ350" s="197" t="str">
        <f t="shared" si="889"/>
        <v>DIS_Non-Standard_195</v>
      </c>
      <c r="BA350">
        <v>195</v>
      </c>
      <c r="BB350">
        <f>VLOOKUP($BA350,'[2]NonStandard DIS'!$Q$1:$X$542,2,FALSE)</f>
        <v>0</v>
      </c>
      <c r="BC350">
        <f>VLOOKUP($BA350,'[2]NonStandard DIS'!$Q$1:$X$542,3,FALSE)</f>
        <v>0</v>
      </c>
      <c r="BD350">
        <f>VLOOKUP($BA350,'[2]NonStandard DIS'!$Q$1:$X$542,4,FALSE)</f>
        <v>0.308</v>
      </c>
      <c r="BE350">
        <f>VLOOKUP($BA350,'[2]NonStandard DIS'!$Q$1:$X$542,5,FALSE)</f>
        <v>0.69199999999999995</v>
      </c>
      <c r="BF350">
        <f>VLOOKUP($BA350,'[2]NonStandard DIS'!$Q$1:$X$542,6,FALSE)</f>
        <v>0</v>
      </c>
      <c r="BG350">
        <f>VLOOKUP($BA350,'[2]NonStandard DIS'!$Q$1:$X$542,7,FALSE)</f>
        <v>0</v>
      </c>
      <c r="BH350">
        <f>VLOOKUP($BA350,'[2]NonStandard DIS'!$Q$1:$X$542,8,FALSE)</f>
        <v>0</v>
      </c>
      <c r="BI350" s="77">
        <f t="shared" si="832"/>
        <v>1</v>
      </c>
      <c r="BJ350" s="77">
        <f t="shared" si="833"/>
        <v>6.9728499999999985E-2</v>
      </c>
      <c r="BK350" s="77">
        <f t="shared" si="814"/>
        <v>5.632878498097682E-3</v>
      </c>
      <c r="BL350" s="79">
        <v>0</v>
      </c>
      <c r="BM350" s="77">
        <f t="shared" si="845"/>
        <v>0</v>
      </c>
      <c r="BN350" s="77">
        <f t="shared" si="846"/>
        <v>0</v>
      </c>
      <c r="BO350" s="77">
        <f t="shared" si="847"/>
        <v>5.6775999999999997E-3</v>
      </c>
      <c r="BP350" s="77">
        <f t="shared" si="848"/>
        <v>4.7190657760731725E-4</v>
      </c>
    </row>
    <row r="351" spans="1:68">
      <c r="A351" t="s">
        <v>175</v>
      </c>
      <c r="B351" t="s">
        <v>176</v>
      </c>
      <c r="C351" s="197" t="str">
        <f t="shared" si="883"/>
        <v>Lifecycle_Balanced_194</v>
      </c>
      <c r="D351">
        <v>194</v>
      </c>
      <c r="E351">
        <f>VLOOKUP($D351,'[2]LC Balanced'!$Q$2:$U$542,2,FALSE)</f>
        <v>1.1666666666666667E-2</v>
      </c>
      <c r="F351">
        <f>VLOOKUP($D351,'[2]LC Balanced'!$Q$2:$U$542,3,FALSE)</f>
        <v>0.23649999999999999</v>
      </c>
      <c r="G351">
        <f>VLOOKUP($D351,'[2]LC Balanced'!$Q$2:$U$542,4,FALSE)</f>
        <v>0.75183333333333335</v>
      </c>
      <c r="H351">
        <f>VLOOKUP($D351,'[2]LC Balanced'!$Q$2:$U$542,5,FALSE)</f>
        <v>0</v>
      </c>
      <c r="I351" s="77">
        <f t="shared" si="827"/>
        <v>1</v>
      </c>
      <c r="J351" s="77">
        <f t="shared" si="828"/>
        <v>6.0180824999999993E-2</v>
      </c>
      <c r="K351" s="77">
        <f t="shared" si="818"/>
        <v>4.8818344465861863E-3</v>
      </c>
      <c r="L351" s="76">
        <v>0</v>
      </c>
      <c r="M351" s="77">
        <f t="shared" si="834"/>
        <v>0</v>
      </c>
      <c r="N351" s="77">
        <f t="shared" si="835"/>
        <v>0</v>
      </c>
      <c r="O351" s="77">
        <f t="shared" si="836"/>
        <v>6.8365500000000003E-3</v>
      </c>
      <c r="P351" s="77">
        <f t="shared" si="837"/>
        <v>5.7150548406892376E-4</v>
      </c>
      <c r="R351" t="s">
        <v>177</v>
      </c>
      <c r="S351" t="s">
        <v>176</v>
      </c>
      <c r="T351" s="197" t="str">
        <f t="shared" si="769"/>
        <v>Autopilot_Balanced_194</v>
      </c>
      <c r="U351">
        <v>194</v>
      </c>
      <c r="V351">
        <f>VLOOKUP($U351,'[2]AP Balanced'!$Q$1:$T$542,2,FALSE)</f>
        <v>0.77777777777777779</v>
      </c>
      <c r="W351">
        <f>VLOOKUP($U351,'[2]AP Balanced'!$Q$1:$T$542,3,FALSE)</f>
        <v>0.22222222222222221</v>
      </c>
      <c r="X351">
        <f>VLOOKUP($U351,'[2]AP Balanced'!$Q$1:$T$542,4,FALSE)</f>
        <v>0</v>
      </c>
      <c r="Y351" s="77">
        <f t="shared" si="884"/>
        <v>1</v>
      </c>
      <c r="Z351" s="77">
        <f t="shared" si="873"/>
        <v>6.1674999999999987E-2</v>
      </c>
      <c r="AA351" s="77">
        <f t="shared" si="874"/>
        <v>4.9997781870025904E-3</v>
      </c>
      <c r="AB351" s="79">
        <v>1</v>
      </c>
      <c r="AC351" s="77">
        <f t="shared" si="838"/>
        <v>8.0555555555555554E-3</v>
      </c>
      <c r="AD351" s="77">
        <f t="shared" si="829"/>
        <v>6.7378764057135498E-4</v>
      </c>
      <c r="AE351" s="77">
        <f t="shared" si="839"/>
        <v>2.5000000000000001E-3</v>
      </c>
      <c r="AF351" s="77">
        <f t="shared" si="829"/>
        <v>2.0857243058891584E-4</v>
      </c>
      <c r="AH351" t="s">
        <v>175</v>
      </c>
      <c r="AI351" t="s">
        <v>176</v>
      </c>
      <c r="AJ351" s="197" t="str">
        <f t="shared" si="885"/>
        <v>Lifecycle_Balanced_194</v>
      </c>
      <c r="AK351">
        <v>194</v>
      </c>
      <c r="AL351">
        <f>VLOOKUP($U351,[2]Standard_Balanced!$Q$1:$T$542,2,FALSE)</f>
        <v>0.70565496296296293</v>
      </c>
      <c r="AM351">
        <f>VLOOKUP($U351,[2]Standard_Balanced!$Q$1:$T$542,3,FALSE)</f>
        <v>0.29434503703703713</v>
      </c>
      <c r="AN351">
        <f>VLOOKUP($U351,[2]Standard_Balanced!$Q$1:$T$542,4,FALSE)</f>
        <v>0</v>
      </c>
      <c r="AO351" s="77">
        <f t="shared" si="815"/>
        <v>1</v>
      </c>
      <c r="AP351" s="77">
        <f t="shared" si="840"/>
        <v>6.0717569633333322E-2</v>
      </c>
      <c r="AQ351" s="77">
        <f t="shared" si="886"/>
        <v>4.924220283311298E-3</v>
      </c>
      <c r="AR351" s="79">
        <v>0</v>
      </c>
      <c r="AS351" s="77">
        <f t="shared" si="841"/>
        <v>0</v>
      </c>
      <c r="AT351" s="77">
        <f t="shared" ref="AT351" si="904">1-(1-AS351)^(1/12)</f>
        <v>0</v>
      </c>
      <c r="AU351" s="77">
        <f t="shared" si="843"/>
        <v>2.5000000000000001E-3</v>
      </c>
      <c r="AV351" s="77">
        <f t="shared" ref="AV351" si="905">1-(1-AU351)^(1/12)</f>
        <v>2.0857243058891584E-4</v>
      </c>
      <c r="AX351" t="s">
        <v>178</v>
      </c>
      <c r="AY351" t="s">
        <v>160</v>
      </c>
      <c r="AZ351" s="197" t="str">
        <f t="shared" si="889"/>
        <v>DIS_Non-Standard_194</v>
      </c>
      <c r="BA351">
        <v>194</v>
      </c>
      <c r="BB351">
        <f>VLOOKUP($BA351,'[2]NonStandard DIS'!$Q$1:$X$542,2,FALSE)</f>
        <v>0</v>
      </c>
      <c r="BC351">
        <f>VLOOKUP($BA351,'[2]NonStandard DIS'!$Q$1:$X$542,3,FALSE)</f>
        <v>0</v>
      </c>
      <c r="BD351">
        <f>VLOOKUP($BA351,'[2]NonStandard DIS'!$Q$1:$X$542,4,FALSE)</f>
        <v>0.308</v>
      </c>
      <c r="BE351">
        <f>VLOOKUP($BA351,'[2]NonStandard DIS'!$Q$1:$X$542,5,FALSE)</f>
        <v>0.69199999999999995</v>
      </c>
      <c r="BF351">
        <f>VLOOKUP($BA351,'[2]NonStandard DIS'!$Q$1:$X$542,6,FALSE)</f>
        <v>0</v>
      </c>
      <c r="BG351">
        <f>VLOOKUP($BA351,'[2]NonStandard DIS'!$Q$1:$X$542,7,FALSE)</f>
        <v>0</v>
      </c>
      <c r="BH351">
        <f>VLOOKUP($BA351,'[2]NonStandard DIS'!$Q$1:$X$542,8,FALSE)</f>
        <v>0</v>
      </c>
      <c r="BI351" s="77">
        <f t="shared" si="832"/>
        <v>1</v>
      </c>
      <c r="BJ351" s="77">
        <f t="shared" si="833"/>
        <v>6.9728499999999985E-2</v>
      </c>
      <c r="BK351" s="77">
        <f t="shared" si="814"/>
        <v>5.632878498097682E-3</v>
      </c>
      <c r="BL351" s="79">
        <v>0</v>
      </c>
      <c r="BM351" s="77">
        <f t="shared" si="845"/>
        <v>0</v>
      </c>
      <c r="BN351" s="77">
        <f t="shared" si="846"/>
        <v>0</v>
      </c>
      <c r="BO351" s="77">
        <f t="shared" si="847"/>
        <v>5.6775999999999997E-3</v>
      </c>
      <c r="BP351" s="77">
        <f t="shared" si="848"/>
        <v>4.7190657760731725E-4</v>
      </c>
    </row>
    <row r="352" spans="1:68">
      <c r="A352" t="s">
        <v>175</v>
      </c>
      <c r="B352" t="s">
        <v>176</v>
      </c>
      <c r="C352" s="197" t="str">
        <f t="shared" si="883"/>
        <v>Lifecycle_Balanced_193</v>
      </c>
      <c r="D352">
        <v>193</v>
      </c>
      <c r="E352">
        <f>VLOOKUP($D352,'[2]LC Balanced'!$Q$2:$U$542,2,FALSE)</f>
        <v>1.2833333333333334E-2</v>
      </c>
      <c r="F352">
        <f>VLOOKUP($D352,'[2]LC Balanced'!$Q$2:$U$542,3,FALSE)</f>
        <v>0.24525</v>
      </c>
      <c r="G352">
        <f>VLOOKUP($D352,'[2]LC Balanced'!$Q$2:$U$542,4,FALSE)</f>
        <v>0.74191666666666667</v>
      </c>
      <c r="H352">
        <f>VLOOKUP($D352,'[2]LC Balanced'!$Q$2:$U$542,5,FALSE)</f>
        <v>0</v>
      </c>
      <c r="I352" s="77">
        <f t="shared" si="827"/>
        <v>1</v>
      </c>
      <c r="J352" s="77">
        <f t="shared" si="828"/>
        <v>6.0000137499999995E-2</v>
      </c>
      <c r="K352" s="77">
        <f t="shared" si="818"/>
        <v>4.8675614277078338E-3</v>
      </c>
      <c r="L352" s="76">
        <v>0</v>
      </c>
      <c r="M352" s="77">
        <f t="shared" si="834"/>
        <v>0</v>
      </c>
      <c r="N352" s="77">
        <f t="shared" si="835"/>
        <v>0</v>
      </c>
      <c r="O352" s="77">
        <f t="shared" si="836"/>
        <v>6.8195749999999996E-3</v>
      </c>
      <c r="P352" s="77">
        <f t="shared" si="837"/>
        <v>5.7008198845387437E-4</v>
      </c>
      <c r="R352" t="s">
        <v>177</v>
      </c>
      <c r="S352" t="s">
        <v>176</v>
      </c>
      <c r="T352" s="197" t="str">
        <f t="shared" si="769"/>
        <v>Autopilot_Balanced_193</v>
      </c>
      <c r="U352">
        <v>193</v>
      </c>
      <c r="V352">
        <f>VLOOKUP($U352,'[2]AP Balanced'!$Q$1:$T$542,2,FALSE)</f>
        <v>0.77777777777777779</v>
      </c>
      <c r="W352">
        <f>VLOOKUP($U352,'[2]AP Balanced'!$Q$1:$T$542,3,FALSE)</f>
        <v>0.22222222222222221</v>
      </c>
      <c r="X352">
        <f>VLOOKUP($U352,'[2]AP Balanced'!$Q$1:$T$542,4,FALSE)</f>
        <v>0</v>
      </c>
      <c r="Y352" s="77">
        <f t="shared" si="884"/>
        <v>1</v>
      </c>
      <c r="Z352" s="77">
        <f t="shared" si="873"/>
        <v>6.1674999999999987E-2</v>
      </c>
      <c r="AA352" s="77">
        <f t="shared" si="874"/>
        <v>4.9997781870025904E-3</v>
      </c>
      <c r="AB352" s="79">
        <v>1</v>
      </c>
      <c r="AC352" s="77">
        <f t="shared" si="838"/>
        <v>8.0555555555555554E-3</v>
      </c>
      <c r="AD352" s="77">
        <f t="shared" si="829"/>
        <v>6.7378764057135498E-4</v>
      </c>
      <c r="AE352" s="77">
        <f t="shared" si="839"/>
        <v>2.5000000000000001E-3</v>
      </c>
      <c r="AF352" s="77">
        <f t="shared" si="829"/>
        <v>2.0857243058891584E-4</v>
      </c>
      <c r="AH352" t="s">
        <v>175</v>
      </c>
      <c r="AI352" t="s">
        <v>176</v>
      </c>
      <c r="AJ352" s="197" t="str">
        <f t="shared" si="885"/>
        <v>Lifecycle_Balanced_193</v>
      </c>
      <c r="AK352">
        <v>193</v>
      </c>
      <c r="AL352">
        <f>VLOOKUP($U352,[2]Standard_Balanced!$Q$1:$T$542,2,FALSE)</f>
        <v>0.69844268148148136</v>
      </c>
      <c r="AM352">
        <f>VLOOKUP($U352,[2]Standard_Balanced!$Q$1:$T$542,3,FALSE)</f>
        <v>0.30155731851851858</v>
      </c>
      <c r="AN352">
        <f>VLOOKUP($U352,[2]Standard_Balanced!$Q$1:$T$542,4,FALSE)</f>
        <v>0</v>
      </c>
      <c r="AO352" s="77">
        <f t="shared" si="815"/>
        <v>1</v>
      </c>
      <c r="AP352" s="77">
        <f t="shared" si="840"/>
        <v>6.062182659666665E-2</v>
      </c>
      <c r="AQ352" s="77">
        <f t="shared" si="886"/>
        <v>4.9166610548641021E-3</v>
      </c>
      <c r="AR352" s="79">
        <v>0</v>
      </c>
      <c r="AS352" s="77">
        <f t="shared" si="841"/>
        <v>0</v>
      </c>
      <c r="AT352" s="77">
        <f t="shared" ref="AT352" si="906">1-(1-AS352)^(1/12)</f>
        <v>0</v>
      </c>
      <c r="AU352" s="77">
        <f t="shared" si="843"/>
        <v>2.5000000000000001E-3</v>
      </c>
      <c r="AV352" s="77">
        <f t="shared" ref="AV352" si="907">1-(1-AU352)^(1/12)</f>
        <v>2.0857243058891584E-4</v>
      </c>
      <c r="AX352" t="s">
        <v>178</v>
      </c>
      <c r="AY352" t="s">
        <v>160</v>
      </c>
      <c r="AZ352" s="197" t="str">
        <f t="shared" si="889"/>
        <v>DIS_Non-Standard_193</v>
      </c>
      <c r="BA352">
        <v>193</v>
      </c>
      <c r="BB352">
        <f>VLOOKUP($BA352,'[2]NonStandard DIS'!$Q$1:$X$542,2,FALSE)</f>
        <v>0</v>
      </c>
      <c r="BC352">
        <f>VLOOKUP($BA352,'[2]NonStandard DIS'!$Q$1:$X$542,3,FALSE)</f>
        <v>0</v>
      </c>
      <c r="BD352">
        <f>VLOOKUP($BA352,'[2]NonStandard DIS'!$Q$1:$X$542,4,FALSE)</f>
        <v>0.308</v>
      </c>
      <c r="BE352">
        <f>VLOOKUP($BA352,'[2]NonStandard DIS'!$Q$1:$X$542,5,FALSE)</f>
        <v>0.69199999999999995</v>
      </c>
      <c r="BF352">
        <f>VLOOKUP($BA352,'[2]NonStandard DIS'!$Q$1:$X$542,6,FALSE)</f>
        <v>0</v>
      </c>
      <c r="BG352">
        <f>VLOOKUP($BA352,'[2]NonStandard DIS'!$Q$1:$X$542,7,FALSE)</f>
        <v>0</v>
      </c>
      <c r="BH352">
        <f>VLOOKUP($BA352,'[2]NonStandard DIS'!$Q$1:$X$542,8,FALSE)</f>
        <v>0</v>
      </c>
      <c r="BI352" s="77">
        <f t="shared" si="832"/>
        <v>1</v>
      </c>
      <c r="BJ352" s="77">
        <f t="shared" si="833"/>
        <v>6.9728499999999985E-2</v>
      </c>
      <c r="BK352" s="77">
        <f t="shared" si="814"/>
        <v>5.632878498097682E-3</v>
      </c>
      <c r="BL352" s="79">
        <v>0</v>
      </c>
      <c r="BM352" s="77">
        <f t="shared" si="845"/>
        <v>0</v>
      </c>
      <c r="BN352" s="77">
        <f t="shared" si="846"/>
        <v>0</v>
      </c>
      <c r="BO352" s="77">
        <f t="shared" si="847"/>
        <v>5.6775999999999997E-3</v>
      </c>
      <c r="BP352" s="77">
        <f t="shared" si="848"/>
        <v>4.7190657760731725E-4</v>
      </c>
    </row>
    <row r="353" spans="1:68">
      <c r="A353" t="s">
        <v>175</v>
      </c>
      <c r="B353" t="s">
        <v>176</v>
      </c>
      <c r="C353" s="197" t="str">
        <f t="shared" si="883"/>
        <v>Lifecycle_Balanced_192</v>
      </c>
      <c r="D353">
        <v>192</v>
      </c>
      <c r="E353">
        <f>VLOOKUP($D353,'[2]LC Balanced'!$Q$2:$U$542,2,FALSE)</f>
        <v>1.4E-2</v>
      </c>
      <c r="F353">
        <f>VLOOKUP($D353,'[2]LC Balanced'!$Q$2:$U$542,3,FALSE)</f>
        <v>0.254</v>
      </c>
      <c r="G353">
        <f>VLOOKUP($D353,'[2]LC Balanced'!$Q$2:$U$542,4,FALSE)</f>
        <v>0.73199999999999998</v>
      </c>
      <c r="H353">
        <f>VLOOKUP($D353,'[2]LC Balanced'!$Q$2:$U$542,5,FALSE)</f>
        <v>0</v>
      </c>
      <c r="I353" s="77">
        <f t="shared" si="827"/>
        <v>1</v>
      </c>
      <c r="J353" s="77">
        <f t="shared" si="828"/>
        <v>5.9819449999999996E-2</v>
      </c>
      <c r="K353" s="77">
        <f t="shared" si="818"/>
        <v>4.8532861784260639E-3</v>
      </c>
      <c r="L353" s="76">
        <v>0</v>
      </c>
      <c r="M353" s="77">
        <f t="shared" si="834"/>
        <v>0</v>
      </c>
      <c r="N353" s="77">
        <f t="shared" si="835"/>
        <v>0</v>
      </c>
      <c r="O353" s="77">
        <f t="shared" si="836"/>
        <v>6.8025999999999998E-3</v>
      </c>
      <c r="P353" s="77">
        <f t="shared" si="837"/>
        <v>5.6865851514087407E-4</v>
      </c>
      <c r="R353" t="s">
        <v>177</v>
      </c>
      <c r="S353" t="s">
        <v>176</v>
      </c>
      <c r="T353" s="197" t="str">
        <f t="shared" si="769"/>
        <v>Autopilot_Balanced_192</v>
      </c>
      <c r="U353">
        <v>192</v>
      </c>
      <c r="V353">
        <f>VLOOKUP($U353,'[2]AP Balanced'!$Q$1:$T$542,2,FALSE)</f>
        <v>0.69123039999999991</v>
      </c>
      <c r="W353">
        <f>VLOOKUP($U353,'[2]AP Balanced'!$Q$1:$T$542,3,FALSE)</f>
        <v>0.30876960000000009</v>
      </c>
      <c r="X353">
        <f>VLOOKUP($U353,'[2]AP Balanced'!$Q$1:$T$542,4,FALSE)</f>
        <v>0</v>
      </c>
      <c r="Y353" s="77">
        <f t="shared" si="884"/>
        <v>1</v>
      </c>
      <c r="Z353" s="77">
        <f t="shared" si="873"/>
        <v>6.0526083559999992E-2</v>
      </c>
      <c r="AA353" s="77">
        <f t="shared" si="874"/>
        <v>4.9091012008788404E-3</v>
      </c>
      <c r="AB353" s="79">
        <v>1</v>
      </c>
      <c r="AC353" s="77">
        <f t="shared" si="838"/>
        <v>7.8824607999999994E-3</v>
      </c>
      <c r="AD353" s="77">
        <f t="shared" si="829"/>
        <v>6.5925689624413142E-4</v>
      </c>
      <c r="AE353" s="77">
        <f t="shared" si="839"/>
        <v>2.5000000000000001E-3</v>
      </c>
      <c r="AF353" s="77">
        <f t="shared" si="829"/>
        <v>2.0857243058891584E-4</v>
      </c>
      <c r="AH353" t="s">
        <v>175</v>
      </c>
      <c r="AI353" t="s">
        <v>176</v>
      </c>
      <c r="AJ353" s="197" t="str">
        <f t="shared" si="885"/>
        <v>Lifecycle_Balanced_192</v>
      </c>
      <c r="AK353">
        <v>192</v>
      </c>
      <c r="AL353">
        <f>VLOOKUP($U353,[2]Standard_Balanced!$Q$1:$T$542,2,FALSE)</f>
        <v>0.69123039999999991</v>
      </c>
      <c r="AM353">
        <f>VLOOKUP($U353,[2]Standard_Balanced!$Q$1:$T$542,3,FALSE)</f>
        <v>0.30876960000000009</v>
      </c>
      <c r="AN353">
        <f>VLOOKUP($U353,[2]Standard_Balanced!$Q$1:$T$542,4,FALSE)</f>
        <v>0</v>
      </c>
      <c r="AO353" s="77">
        <f t="shared" si="815"/>
        <v>1</v>
      </c>
      <c r="AP353" s="77">
        <f t="shared" si="840"/>
        <v>6.0526083559999992E-2</v>
      </c>
      <c r="AQ353" s="77">
        <f t="shared" si="886"/>
        <v>4.9091012008788404E-3</v>
      </c>
      <c r="AR353" s="79">
        <v>0</v>
      </c>
      <c r="AS353" s="77">
        <f t="shared" si="841"/>
        <v>0</v>
      </c>
      <c r="AT353" s="77">
        <f t="shared" ref="AT353" si="908">1-(1-AS353)^(1/12)</f>
        <v>0</v>
      </c>
      <c r="AU353" s="77">
        <f t="shared" si="843"/>
        <v>2.5000000000000001E-3</v>
      </c>
      <c r="AV353" s="77">
        <f t="shared" ref="AV353" si="909">1-(1-AU353)^(1/12)</f>
        <v>2.0857243058891584E-4</v>
      </c>
      <c r="AX353" t="s">
        <v>178</v>
      </c>
      <c r="AY353" t="s">
        <v>160</v>
      </c>
      <c r="AZ353" s="197" t="str">
        <f t="shared" si="889"/>
        <v>DIS_Non-Standard_192</v>
      </c>
      <c r="BA353">
        <v>192</v>
      </c>
      <c r="BB353">
        <f>VLOOKUP($BA353,'[2]NonStandard DIS'!$Q$1:$X$542,2,FALSE)</f>
        <v>0</v>
      </c>
      <c r="BC353">
        <f>VLOOKUP($BA353,'[2]NonStandard DIS'!$Q$1:$X$542,3,FALSE)</f>
        <v>0</v>
      </c>
      <c r="BD353">
        <f>VLOOKUP($BA353,'[2]NonStandard DIS'!$Q$1:$X$542,4,FALSE)</f>
        <v>0.308</v>
      </c>
      <c r="BE353">
        <f>VLOOKUP($BA353,'[2]NonStandard DIS'!$Q$1:$X$542,5,FALSE)</f>
        <v>0.69199999999999995</v>
      </c>
      <c r="BF353">
        <f>VLOOKUP($BA353,'[2]NonStandard DIS'!$Q$1:$X$542,6,FALSE)</f>
        <v>0</v>
      </c>
      <c r="BG353">
        <f>VLOOKUP($BA353,'[2]NonStandard DIS'!$Q$1:$X$542,7,FALSE)</f>
        <v>0</v>
      </c>
      <c r="BH353">
        <f>VLOOKUP($BA353,'[2]NonStandard DIS'!$Q$1:$X$542,8,FALSE)</f>
        <v>0</v>
      </c>
      <c r="BI353" s="77">
        <f t="shared" si="832"/>
        <v>1</v>
      </c>
      <c r="BJ353" s="77">
        <f t="shared" si="833"/>
        <v>6.9728499999999985E-2</v>
      </c>
      <c r="BK353" s="77">
        <f t="shared" si="814"/>
        <v>5.632878498097682E-3</v>
      </c>
      <c r="BL353" s="79">
        <v>0</v>
      </c>
      <c r="BM353" s="77">
        <f t="shared" si="845"/>
        <v>0</v>
      </c>
      <c r="BN353" s="77">
        <f t="shared" si="846"/>
        <v>0</v>
      </c>
      <c r="BO353" s="77">
        <f t="shared" si="847"/>
        <v>5.6775999999999997E-3</v>
      </c>
      <c r="BP353" s="77">
        <f t="shared" si="848"/>
        <v>4.7190657760731725E-4</v>
      </c>
    </row>
    <row r="354" spans="1:68">
      <c r="A354" t="s">
        <v>175</v>
      </c>
      <c r="B354" t="s">
        <v>176</v>
      </c>
      <c r="C354" s="197" t="str">
        <f t="shared" si="883"/>
        <v>Lifecycle_Balanced_191</v>
      </c>
      <c r="D354">
        <v>191</v>
      </c>
      <c r="E354">
        <f>VLOOKUP($D354,'[2]LC Balanced'!$Q$2:$U$542,2,FALSE)</f>
        <v>1.575E-2</v>
      </c>
      <c r="F354">
        <f>VLOOKUP($D354,'[2]LC Balanced'!$Q$2:$U$542,3,FALSE)</f>
        <v>0.26174999999999998</v>
      </c>
      <c r="G354">
        <f>VLOOKUP($D354,'[2]LC Balanced'!$Q$2:$U$542,4,FALSE)</f>
        <v>0.72250000000000003</v>
      </c>
      <c r="H354">
        <f>VLOOKUP($D354,'[2]LC Balanced'!$Q$2:$U$542,5,FALSE)</f>
        <v>0</v>
      </c>
      <c r="I354" s="77">
        <f t="shared" si="827"/>
        <v>1</v>
      </c>
      <c r="J354" s="77">
        <f t="shared" si="828"/>
        <v>5.9643556249999993E-2</v>
      </c>
      <c r="K354" s="77">
        <f t="shared" si="818"/>
        <v>4.8393875171266476E-3</v>
      </c>
      <c r="L354" s="76">
        <v>0</v>
      </c>
      <c r="M354" s="77">
        <f t="shared" si="834"/>
        <v>0</v>
      </c>
      <c r="N354" s="77">
        <f t="shared" si="835"/>
        <v>0</v>
      </c>
      <c r="O354" s="77">
        <f t="shared" si="836"/>
        <v>6.7841250000000002E-3</v>
      </c>
      <c r="P354" s="77">
        <f t="shared" si="837"/>
        <v>5.6710928160708107E-4</v>
      </c>
      <c r="R354" t="s">
        <v>177</v>
      </c>
      <c r="S354" t="s">
        <v>176</v>
      </c>
      <c r="T354" s="197" t="str">
        <f t="shared" si="769"/>
        <v>Autopilot_Balanced_191</v>
      </c>
      <c r="U354">
        <v>191</v>
      </c>
      <c r="V354">
        <f>VLOOKUP($U354,'[2]AP Balanced'!$Q$1:$T$542,2,FALSE)</f>
        <v>0.69123039999999991</v>
      </c>
      <c r="W354">
        <f>VLOOKUP($U354,'[2]AP Balanced'!$Q$1:$T$542,3,FALSE)</f>
        <v>0.30876960000000009</v>
      </c>
      <c r="X354">
        <f>VLOOKUP($U354,'[2]AP Balanced'!$Q$1:$T$542,4,FALSE)</f>
        <v>0</v>
      </c>
      <c r="Y354" s="77">
        <f t="shared" si="884"/>
        <v>1</v>
      </c>
      <c r="Z354" s="77">
        <f t="shared" si="873"/>
        <v>6.0526083559999992E-2</v>
      </c>
      <c r="AA354" s="77">
        <f t="shared" si="874"/>
        <v>4.9091012008788404E-3</v>
      </c>
      <c r="AB354" s="79">
        <v>1</v>
      </c>
      <c r="AC354" s="77">
        <f t="shared" si="838"/>
        <v>7.8824607999999994E-3</v>
      </c>
      <c r="AD354" s="77">
        <f t="shared" si="829"/>
        <v>6.5925689624413142E-4</v>
      </c>
      <c r="AE354" s="77">
        <f t="shared" si="839"/>
        <v>2.5000000000000001E-3</v>
      </c>
      <c r="AF354" s="77">
        <f t="shared" si="829"/>
        <v>2.0857243058891584E-4</v>
      </c>
      <c r="AH354" t="s">
        <v>175</v>
      </c>
      <c r="AI354" t="s">
        <v>176</v>
      </c>
      <c r="AJ354" s="197" t="str">
        <f t="shared" si="885"/>
        <v>Lifecycle_Balanced_191</v>
      </c>
      <c r="AK354">
        <v>191</v>
      </c>
      <c r="AL354">
        <f>VLOOKUP($U354,[2]Standard_Balanced!$Q$1:$T$542,2,FALSE)</f>
        <v>0.67760210277777766</v>
      </c>
      <c r="AM354">
        <f>VLOOKUP($U354,[2]Standard_Balanced!$Q$1:$T$542,3,FALSE)</f>
        <v>0.32239789722222228</v>
      </c>
      <c r="AN354">
        <f>VLOOKUP($U354,[2]Standard_Balanced!$Q$1:$T$542,4,FALSE)</f>
        <v>0</v>
      </c>
      <c r="AO354" s="77">
        <f t="shared" si="815"/>
        <v>1</v>
      </c>
      <c r="AP354" s="77">
        <f t="shared" si="840"/>
        <v>6.0345167914374984E-2</v>
      </c>
      <c r="AQ354" s="77">
        <f t="shared" si="886"/>
        <v>4.8948144239391311E-3</v>
      </c>
      <c r="AR354" s="79">
        <v>0</v>
      </c>
      <c r="AS354" s="77">
        <f t="shared" si="841"/>
        <v>0</v>
      </c>
      <c r="AT354" s="77">
        <f t="shared" ref="AT354" si="910">1-(1-AS354)^(1/12)</f>
        <v>0</v>
      </c>
      <c r="AU354" s="77">
        <f t="shared" si="843"/>
        <v>2.5000000000000001E-3</v>
      </c>
      <c r="AV354" s="77">
        <f t="shared" ref="AV354" si="911">1-(1-AU354)^(1/12)</f>
        <v>2.0857243058891584E-4</v>
      </c>
      <c r="AX354" t="s">
        <v>178</v>
      </c>
      <c r="AY354" t="s">
        <v>160</v>
      </c>
      <c r="AZ354" s="197" t="str">
        <f t="shared" si="889"/>
        <v>DIS_Non-Standard_191</v>
      </c>
      <c r="BA354">
        <v>191</v>
      </c>
      <c r="BB354">
        <f>VLOOKUP($BA354,'[2]NonStandard DIS'!$Q$1:$X$542,2,FALSE)</f>
        <v>0</v>
      </c>
      <c r="BC354">
        <f>VLOOKUP($BA354,'[2]NonStandard DIS'!$Q$1:$X$542,3,FALSE)</f>
        <v>0</v>
      </c>
      <c r="BD354">
        <f>VLOOKUP($BA354,'[2]NonStandard DIS'!$Q$1:$X$542,4,FALSE)</f>
        <v>0.308</v>
      </c>
      <c r="BE354">
        <f>VLOOKUP($BA354,'[2]NonStandard DIS'!$Q$1:$X$542,5,FALSE)</f>
        <v>0.69199999999999995</v>
      </c>
      <c r="BF354">
        <f>VLOOKUP($BA354,'[2]NonStandard DIS'!$Q$1:$X$542,6,FALSE)</f>
        <v>0</v>
      </c>
      <c r="BG354">
        <f>VLOOKUP($BA354,'[2]NonStandard DIS'!$Q$1:$X$542,7,FALSE)</f>
        <v>0</v>
      </c>
      <c r="BH354">
        <f>VLOOKUP($BA354,'[2]NonStandard DIS'!$Q$1:$X$542,8,FALSE)</f>
        <v>0</v>
      </c>
      <c r="BI354" s="77">
        <f t="shared" si="832"/>
        <v>1</v>
      </c>
      <c r="BJ354" s="77">
        <f t="shared" si="833"/>
        <v>6.9728499999999985E-2</v>
      </c>
      <c r="BK354" s="77">
        <f t="shared" si="814"/>
        <v>5.632878498097682E-3</v>
      </c>
      <c r="BL354" s="79">
        <v>0</v>
      </c>
      <c r="BM354" s="77">
        <f t="shared" si="845"/>
        <v>0</v>
      </c>
      <c r="BN354" s="77">
        <f t="shared" si="846"/>
        <v>0</v>
      </c>
      <c r="BO354" s="77">
        <f t="shared" si="847"/>
        <v>5.6775999999999997E-3</v>
      </c>
      <c r="BP354" s="77">
        <f t="shared" si="848"/>
        <v>4.7190657760731725E-4</v>
      </c>
    </row>
    <row r="355" spans="1:68">
      <c r="A355" t="s">
        <v>175</v>
      </c>
      <c r="B355" t="s">
        <v>176</v>
      </c>
      <c r="C355" s="197" t="str">
        <f t="shared" si="883"/>
        <v>Lifecycle_Balanced_190</v>
      </c>
      <c r="D355">
        <v>190</v>
      </c>
      <c r="E355">
        <f>VLOOKUP($D355,'[2]LC Balanced'!$Q$2:$U$542,2,FALSE)</f>
        <v>1.7500000000000002E-2</v>
      </c>
      <c r="F355">
        <f>VLOOKUP($D355,'[2]LC Balanced'!$Q$2:$U$542,3,FALSE)</f>
        <v>0.26950000000000002</v>
      </c>
      <c r="G355">
        <f>VLOOKUP($D355,'[2]LC Balanced'!$Q$2:$U$542,4,FALSE)</f>
        <v>0.71299999999999997</v>
      </c>
      <c r="H355">
        <f>VLOOKUP($D355,'[2]LC Balanced'!$Q$2:$U$542,5,FALSE)</f>
        <v>0</v>
      </c>
      <c r="I355" s="77">
        <f t="shared" si="827"/>
        <v>1</v>
      </c>
      <c r="J355" s="77">
        <f t="shared" si="828"/>
        <v>5.946766249999999E-2</v>
      </c>
      <c r="K355" s="77">
        <f t="shared" si="818"/>
        <v>4.8254867408381585E-3</v>
      </c>
      <c r="L355" s="76">
        <v>0</v>
      </c>
      <c r="M355" s="77">
        <f t="shared" si="834"/>
        <v>0</v>
      </c>
      <c r="N355" s="77">
        <f t="shared" si="835"/>
        <v>0</v>
      </c>
      <c r="O355" s="77">
        <f t="shared" si="836"/>
        <v>6.7656499999999998E-3</v>
      </c>
      <c r="P355" s="77">
        <f t="shared" si="837"/>
        <v>5.6556007448915757E-4</v>
      </c>
      <c r="R355" t="s">
        <v>177</v>
      </c>
      <c r="S355" t="s">
        <v>176</v>
      </c>
      <c r="T355" s="197" t="str">
        <f t="shared" si="769"/>
        <v>Autopilot_Balanced_190</v>
      </c>
      <c r="U355">
        <v>190</v>
      </c>
      <c r="V355">
        <f>VLOOKUP($U355,'[2]AP Balanced'!$Q$1:$T$542,2,FALSE)</f>
        <v>0.69123039999999991</v>
      </c>
      <c r="W355">
        <f>VLOOKUP($U355,'[2]AP Balanced'!$Q$1:$T$542,3,FALSE)</f>
        <v>0.30876960000000009</v>
      </c>
      <c r="X355">
        <f>VLOOKUP($U355,'[2]AP Balanced'!$Q$1:$T$542,4,FALSE)</f>
        <v>0</v>
      </c>
      <c r="Y355" s="77">
        <f t="shared" si="884"/>
        <v>1</v>
      </c>
      <c r="Z355" s="77">
        <f t="shared" si="873"/>
        <v>6.0526083559999992E-2</v>
      </c>
      <c r="AA355" s="77">
        <f t="shared" si="874"/>
        <v>4.9091012008788404E-3</v>
      </c>
      <c r="AB355" s="79">
        <v>1</v>
      </c>
      <c r="AC355" s="77">
        <f t="shared" si="838"/>
        <v>7.8824607999999994E-3</v>
      </c>
      <c r="AD355" s="77">
        <f t="shared" si="829"/>
        <v>6.5925689624413142E-4</v>
      </c>
      <c r="AE355" s="77">
        <f t="shared" si="839"/>
        <v>2.5000000000000001E-3</v>
      </c>
      <c r="AF355" s="77">
        <f t="shared" si="829"/>
        <v>2.0857243058891584E-4</v>
      </c>
      <c r="AH355" t="s">
        <v>175</v>
      </c>
      <c r="AI355" t="s">
        <v>176</v>
      </c>
      <c r="AJ355" s="197" t="str">
        <f t="shared" si="885"/>
        <v>Lifecycle_Balanced_190</v>
      </c>
      <c r="AK355">
        <v>190</v>
      </c>
      <c r="AL355">
        <f>VLOOKUP($U355,[2]Standard_Balanced!$Q$1:$T$542,2,FALSE)</f>
        <v>0.66397380555555552</v>
      </c>
      <c r="AM355">
        <f>VLOOKUP($U355,[2]Standard_Balanced!$Q$1:$T$542,3,FALSE)</f>
        <v>0.33602619444444448</v>
      </c>
      <c r="AN355">
        <f>VLOOKUP($U355,[2]Standard_Balanced!$Q$1:$T$542,4,FALSE)</f>
        <v>0</v>
      </c>
      <c r="AO355" s="77">
        <f t="shared" si="815"/>
        <v>1</v>
      </c>
      <c r="AP355" s="77">
        <f t="shared" si="840"/>
        <v>6.0164252268749989E-2</v>
      </c>
      <c r="AQ355" s="77">
        <f t="shared" si="886"/>
        <v>4.8805254123545083E-3</v>
      </c>
      <c r="AR355" s="79">
        <v>0</v>
      </c>
      <c r="AS355" s="77">
        <f t="shared" si="841"/>
        <v>0</v>
      </c>
      <c r="AT355" s="77">
        <f t="shared" ref="AT355" si="912">1-(1-AS355)^(1/12)</f>
        <v>0</v>
      </c>
      <c r="AU355" s="77">
        <f t="shared" si="843"/>
        <v>2.5000000000000001E-3</v>
      </c>
      <c r="AV355" s="77">
        <f t="shared" ref="AV355" si="913">1-(1-AU355)^(1/12)</f>
        <v>2.0857243058891584E-4</v>
      </c>
      <c r="AX355" t="s">
        <v>178</v>
      </c>
      <c r="AY355" t="s">
        <v>160</v>
      </c>
      <c r="AZ355" s="197" t="str">
        <f t="shared" si="889"/>
        <v>DIS_Non-Standard_190</v>
      </c>
      <c r="BA355">
        <v>190</v>
      </c>
      <c r="BB355">
        <f>VLOOKUP($BA355,'[2]NonStandard DIS'!$Q$1:$X$542,2,FALSE)</f>
        <v>0</v>
      </c>
      <c r="BC355">
        <f>VLOOKUP($BA355,'[2]NonStandard DIS'!$Q$1:$X$542,3,FALSE)</f>
        <v>0</v>
      </c>
      <c r="BD355">
        <f>VLOOKUP($BA355,'[2]NonStandard DIS'!$Q$1:$X$542,4,FALSE)</f>
        <v>0.308</v>
      </c>
      <c r="BE355">
        <f>VLOOKUP($BA355,'[2]NonStandard DIS'!$Q$1:$X$542,5,FALSE)</f>
        <v>0.69199999999999995</v>
      </c>
      <c r="BF355">
        <f>VLOOKUP($BA355,'[2]NonStandard DIS'!$Q$1:$X$542,6,FALSE)</f>
        <v>0</v>
      </c>
      <c r="BG355">
        <f>VLOOKUP($BA355,'[2]NonStandard DIS'!$Q$1:$X$542,7,FALSE)</f>
        <v>0</v>
      </c>
      <c r="BH355">
        <f>VLOOKUP($BA355,'[2]NonStandard DIS'!$Q$1:$X$542,8,FALSE)</f>
        <v>0</v>
      </c>
      <c r="BI355" s="77">
        <f t="shared" si="832"/>
        <v>1</v>
      </c>
      <c r="BJ355" s="77">
        <f t="shared" si="833"/>
        <v>6.9728499999999985E-2</v>
      </c>
      <c r="BK355" s="77">
        <f t="shared" si="814"/>
        <v>5.632878498097682E-3</v>
      </c>
      <c r="BL355" s="79">
        <v>0</v>
      </c>
      <c r="BM355" s="77">
        <f t="shared" si="845"/>
        <v>0</v>
      </c>
      <c r="BN355" s="77">
        <f t="shared" si="846"/>
        <v>0</v>
      </c>
      <c r="BO355" s="77">
        <f t="shared" si="847"/>
        <v>5.6775999999999997E-3</v>
      </c>
      <c r="BP355" s="77">
        <f t="shared" si="848"/>
        <v>4.7190657760731725E-4</v>
      </c>
    </row>
    <row r="356" spans="1:68">
      <c r="A356" t="s">
        <v>175</v>
      </c>
      <c r="B356" t="s">
        <v>176</v>
      </c>
      <c r="C356" s="197" t="str">
        <f t="shared" si="883"/>
        <v>Lifecycle_Balanced_189</v>
      </c>
      <c r="D356">
        <v>189</v>
      </c>
      <c r="E356">
        <f>VLOOKUP($D356,'[2]LC Balanced'!$Q$2:$U$542,2,FALSE)</f>
        <v>1.925E-2</v>
      </c>
      <c r="F356">
        <f>VLOOKUP($D356,'[2]LC Balanced'!$Q$2:$U$542,3,FALSE)</f>
        <v>0.27725</v>
      </c>
      <c r="G356">
        <f>VLOOKUP($D356,'[2]LC Balanced'!$Q$2:$U$542,4,FALSE)</f>
        <v>0.70350000000000001</v>
      </c>
      <c r="H356">
        <f>VLOOKUP($D356,'[2]LC Balanced'!$Q$2:$U$542,5,FALSE)</f>
        <v>0</v>
      </c>
      <c r="I356" s="77">
        <f t="shared" si="827"/>
        <v>1</v>
      </c>
      <c r="J356" s="77">
        <f t="shared" si="828"/>
        <v>5.9291768749999994E-2</v>
      </c>
      <c r="K356" s="77">
        <f t="shared" si="818"/>
        <v>4.8115838488882456E-3</v>
      </c>
      <c r="L356" s="76">
        <v>0</v>
      </c>
      <c r="M356" s="77">
        <f t="shared" si="834"/>
        <v>0</v>
      </c>
      <c r="N356" s="77">
        <f t="shared" si="835"/>
        <v>0</v>
      </c>
      <c r="O356" s="77">
        <f t="shared" si="836"/>
        <v>6.7471749999999994E-3</v>
      </c>
      <c r="P356" s="77">
        <f t="shared" si="837"/>
        <v>5.6401089378621538E-4</v>
      </c>
      <c r="R356" t="s">
        <v>177</v>
      </c>
      <c r="S356" t="s">
        <v>176</v>
      </c>
      <c r="T356" s="197" t="str">
        <f t="shared" si="769"/>
        <v>Autopilot_Balanced_189</v>
      </c>
      <c r="U356">
        <v>189</v>
      </c>
      <c r="V356">
        <f>VLOOKUP($U356,'[2]AP Balanced'!$Q$1:$T$542,2,FALSE)</f>
        <v>0.69123039999999991</v>
      </c>
      <c r="W356">
        <f>VLOOKUP($U356,'[2]AP Balanced'!$Q$1:$T$542,3,FALSE)</f>
        <v>0.30876960000000009</v>
      </c>
      <c r="X356">
        <f>VLOOKUP($U356,'[2]AP Balanced'!$Q$1:$T$542,4,FALSE)</f>
        <v>0</v>
      </c>
      <c r="Y356" s="77">
        <f t="shared" si="884"/>
        <v>1</v>
      </c>
      <c r="Z356" s="77">
        <f t="shared" si="873"/>
        <v>6.0526083559999992E-2</v>
      </c>
      <c r="AA356" s="77">
        <f t="shared" si="874"/>
        <v>4.9091012008788404E-3</v>
      </c>
      <c r="AB356" s="79">
        <v>1</v>
      </c>
      <c r="AC356" s="77">
        <f t="shared" si="838"/>
        <v>7.8824607999999994E-3</v>
      </c>
      <c r="AD356" s="77">
        <f t="shared" si="829"/>
        <v>6.5925689624413142E-4</v>
      </c>
      <c r="AE356" s="77">
        <f t="shared" si="839"/>
        <v>2.5000000000000001E-3</v>
      </c>
      <c r="AF356" s="77">
        <f t="shared" si="829"/>
        <v>2.0857243058891584E-4</v>
      </c>
      <c r="AH356" t="s">
        <v>175</v>
      </c>
      <c r="AI356" t="s">
        <v>176</v>
      </c>
      <c r="AJ356" s="197" t="str">
        <f t="shared" si="885"/>
        <v>Lifecycle_Balanced_189</v>
      </c>
      <c r="AK356">
        <v>189</v>
      </c>
      <c r="AL356">
        <f>VLOOKUP($U356,[2]Standard_Balanced!$Q$1:$T$542,2,FALSE)</f>
        <v>0.65034550833333327</v>
      </c>
      <c r="AM356">
        <f>VLOOKUP($U356,[2]Standard_Balanced!$Q$1:$T$542,3,FALSE)</f>
        <v>0.34965449166666673</v>
      </c>
      <c r="AN356">
        <f>VLOOKUP($U356,[2]Standard_Balanced!$Q$1:$T$542,4,FALSE)</f>
        <v>0</v>
      </c>
      <c r="AO356" s="77">
        <f t="shared" si="815"/>
        <v>1</v>
      </c>
      <c r="AP356" s="77">
        <f t="shared" si="840"/>
        <v>5.9983336623124987E-2</v>
      </c>
      <c r="AQ356" s="77">
        <f t="shared" si="886"/>
        <v>4.8662341653940011E-3</v>
      </c>
      <c r="AR356" s="79">
        <v>0</v>
      </c>
      <c r="AS356" s="77">
        <f t="shared" si="841"/>
        <v>0</v>
      </c>
      <c r="AT356" s="77">
        <f t="shared" ref="AT356" si="914">1-(1-AS356)^(1/12)</f>
        <v>0</v>
      </c>
      <c r="AU356" s="77">
        <f t="shared" si="843"/>
        <v>2.5000000000000001E-3</v>
      </c>
      <c r="AV356" s="77">
        <f t="shared" ref="AV356" si="915">1-(1-AU356)^(1/12)</f>
        <v>2.0857243058891584E-4</v>
      </c>
      <c r="AX356" t="s">
        <v>178</v>
      </c>
      <c r="AY356" t="s">
        <v>160</v>
      </c>
      <c r="AZ356" s="197" t="str">
        <f t="shared" si="889"/>
        <v>DIS_Non-Standard_189</v>
      </c>
      <c r="BA356">
        <v>189</v>
      </c>
      <c r="BB356">
        <f>VLOOKUP($BA356,'[2]NonStandard DIS'!$Q$1:$X$542,2,FALSE)</f>
        <v>0</v>
      </c>
      <c r="BC356">
        <f>VLOOKUP($BA356,'[2]NonStandard DIS'!$Q$1:$X$542,3,FALSE)</f>
        <v>0</v>
      </c>
      <c r="BD356">
        <f>VLOOKUP($BA356,'[2]NonStandard DIS'!$Q$1:$X$542,4,FALSE)</f>
        <v>0.308</v>
      </c>
      <c r="BE356">
        <f>VLOOKUP($BA356,'[2]NonStandard DIS'!$Q$1:$X$542,5,FALSE)</f>
        <v>0.69199999999999995</v>
      </c>
      <c r="BF356">
        <f>VLOOKUP($BA356,'[2]NonStandard DIS'!$Q$1:$X$542,6,FALSE)</f>
        <v>0</v>
      </c>
      <c r="BG356">
        <f>VLOOKUP($BA356,'[2]NonStandard DIS'!$Q$1:$X$542,7,FALSE)</f>
        <v>0</v>
      </c>
      <c r="BH356">
        <f>VLOOKUP($BA356,'[2]NonStandard DIS'!$Q$1:$X$542,8,FALSE)</f>
        <v>0</v>
      </c>
      <c r="BI356" s="77">
        <f t="shared" si="832"/>
        <v>1</v>
      </c>
      <c r="BJ356" s="77">
        <f t="shared" si="833"/>
        <v>6.9728499999999985E-2</v>
      </c>
      <c r="BK356" s="77">
        <f t="shared" si="814"/>
        <v>5.632878498097682E-3</v>
      </c>
      <c r="BL356" s="79">
        <v>0</v>
      </c>
      <c r="BM356" s="77">
        <f t="shared" si="845"/>
        <v>0</v>
      </c>
      <c r="BN356" s="77">
        <f t="shared" si="846"/>
        <v>0</v>
      </c>
      <c r="BO356" s="77">
        <f t="shared" si="847"/>
        <v>5.6775999999999997E-3</v>
      </c>
      <c r="BP356" s="77">
        <f t="shared" si="848"/>
        <v>4.7190657760731725E-4</v>
      </c>
    </row>
    <row r="357" spans="1:68">
      <c r="A357" t="s">
        <v>175</v>
      </c>
      <c r="B357" t="s">
        <v>176</v>
      </c>
      <c r="C357" s="197" t="str">
        <f t="shared" si="883"/>
        <v>Lifecycle_Balanced_188</v>
      </c>
      <c r="D357">
        <v>188</v>
      </c>
      <c r="E357">
        <f>VLOOKUP($D357,'[2]LC Balanced'!$Q$2:$U$542,2,FALSE)</f>
        <v>2.1000000000000001E-2</v>
      </c>
      <c r="F357">
        <f>VLOOKUP($D357,'[2]LC Balanced'!$Q$2:$U$542,3,FALSE)</f>
        <v>0.28499999999999998</v>
      </c>
      <c r="G357">
        <f>VLOOKUP($D357,'[2]LC Balanced'!$Q$2:$U$542,4,FALSE)</f>
        <v>0.69399999999999995</v>
      </c>
      <c r="H357">
        <f>VLOOKUP($D357,'[2]LC Balanced'!$Q$2:$U$542,5,FALSE)</f>
        <v>0</v>
      </c>
      <c r="I357" s="77">
        <f t="shared" si="827"/>
        <v>1</v>
      </c>
      <c r="J357" s="77">
        <f t="shared" si="828"/>
        <v>5.9115874999999984E-2</v>
      </c>
      <c r="K357" s="77">
        <f t="shared" si="818"/>
        <v>4.7976788406027815E-3</v>
      </c>
      <c r="L357" s="76">
        <v>0</v>
      </c>
      <c r="M357" s="77">
        <f t="shared" si="834"/>
        <v>0</v>
      </c>
      <c r="N357" s="77">
        <f t="shared" si="835"/>
        <v>0</v>
      </c>
      <c r="O357" s="77">
        <f t="shared" si="836"/>
        <v>6.7286999999999989E-3</v>
      </c>
      <c r="P357" s="77">
        <f t="shared" si="837"/>
        <v>5.6246173949736633E-4</v>
      </c>
      <c r="R357" t="s">
        <v>177</v>
      </c>
      <c r="S357" t="s">
        <v>176</v>
      </c>
      <c r="T357" s="197" t="str">
        <f t="shared" si="769"/>
        <v>Autopilot_Balanced_188</v>
      </c>
      <c r="U357">
        <v>188</v>
      </c>
      <c r="V357">
        <f>VLOOKUP($U357,'[2]AP Balanced'!$Q$1:$T$542,2,FALSE)</f>
        <v>0.69123039999999991</v>
      </c>
      <c r="W357">
        <f>VLOOKUP($U357,'[2]AP Balanced'!$Q$1:$T$542,3,FALSE)</f>
        <v>0.30876960000000009</v>
      </c>
      <c r="X357">
        <f>VLOOKUP($U357,'[2]AP Balanced'!$Q$1:$T$542,4,FALSE)</f>
        <v>0</v>
      </c>
      <c r="Y357" s="77">
        <f t="shared" si="884"/>
        <v>1</v>
      </c>
      <c r="Z357" s="77">
        <f t="shared" si="873"/>
        <v>6.0526083559999992E-2</v>
      </c>
      <c r="AA357" s="77">
        <f t="shared" si="874"/>
        <v>4.9091012008788404E-3</v>
      </c>
      <c r="AB357" s="79">
        <v>1</v>
      </c>
      <c r="AC357" s="77">
        <f t="shared" si="838"/>
        <v>7.8824607999999994E-3</v>
      </c>
      <c r="AD357" s="77">
        <f t="shared" si="829"/>
        <v>6.5925689624413142E-4</v>
      </c>
      <c r="AE357" s="77">
        <f t="shared" si="839"/>
        <v>2.5000000000000001E-3</v>
      </c>
      <c r="AF357" s="77">
        <f t="shared" si="829"/>
        <v>2.0857243058891584E-4</v>
      </c>
      <c r="AH357" t="s">
        <v>175</v>
      </c>
      <c r="AI357" t="s">
        <v>176</v>
      </c>
      <c r="AJ357" s="197" t="str">
        <f t="shared" si="885"/>
        <v>Lifecycle_Balanced_188</v>
      </c>
      <c r="AK357">
        <v>188</v>
      </c>
      <c r="AL357">
        <f>VLOOKUP($U357,[2]Standard_Balanced!$Q$1:$T$542,2,FALSE)</f>
        <v>0.63671721111111113</v>
      </c>
      <c r="AM357">
        <f>VLOOKUP($U357,[2]Standard_Balanced!$Q$1:$T$542,3,FALSE)</f>
        <v>0.36328278888888893</v>
      </c>
      <c r="AN357">
        <f>VLOOKUP($U357,[2]Standard_Balanced!$Q$1:$T$542,4,FALSE)</f>
        <v>0</v>
      </c>
      <c r="AO357" s="77">
        <f t="shared" si="815"/>
        <v>1</v>
      </c>
      <c r="AP357" s="77">
        <f t="shared" si="840"/>
        <v>5.9802420977499993E-2</v>
      </c>
      <c r="AQ357" s="77">
        <f t="shared" si="886"/>
        <v>4.8519406823261946E-3</v>
      </c>
      <c r="AR357" s="79">
        <v>0</v>
      </c>
      <c r="AS357" s="77">
        <f t="shared" si="841"/>
        <v>0</v>
      </c>
      <c r="AT357" s="77">
        <f t="shared" ref="AT357" si="916">1-(1-AS357)^(1/12)</f>
        <v>0</v>
      </c>
      <c r="AU357" s="77">
        <f t="shared" si="843"/>
        <v>2.5000000000000005E-3</v>
      </c>
      <c r="AV357" s="77">
        <f t="shared" ref="AV357" si="917">1-(1-AU357)^(1/12)</f>
        <v>2.0857243058891584E-4</v>
      </c>
      <c r="AX357" t="s">
        <v>178</v>
      </c>
      <c r="AY357" t="s">
        <v>160</v>
      </c>
      <c r="AZ357" s="197" t="str">
        <f t="shared" si="889"/>
        <v>DIS_Non-Standard_188</v>
      </c>
      <c r="BA357">
        <v>188</v>
      </c>
      <c r="BB357">
        <f>VLOOKUP($BA357,'[2]NonStandard DIS'!$Q$1:$X$542,2,FALSE)</f>
        <v>0</v>
      </c>
      <c r="BC357">
        <f>VLOOKUP($BA357,'[2]NonStandard DIS'!$Q$1:$X$542,3,FALSE)</f>
        <v>0</v>
      </c>
      <c r="BD357">
        <f>VLOOKUP($BA357,'[2]NonStandard DIS'!$Q$1:$X$542,4,FALSE)</f>
        <v>0.308</v>
      </c>
      <c r="BE357">
        <f>VLOOKUP($BA357,'[2]NonStandard DIS'!$Q$1:$X$542,5,FALSE)</f>
        <v>0.69199999999999995</v>
      </c>
      <c r="BF357">
        <f>VLOOKUP($BA357,'[2]NonStandard DIS'!$Q$1:$X$542,6,FALSE)</f>
        <v>0</v>
      </c>
      <c r="BG357">
        <f>VLOOKUP($BA357,'[2]NonStandard DIS'!$Q$1:$X$542,7,FALSE)</f>
        <v>0</v>
      </c>
      <c r="BH357">
        <f>VLOOKUP($BA357,'[2]NonStandard DIS'!$Q$1:$X$542,8,FALSE)</f>
        <v>0</v>
      </c>
      <c r="BI357" s="77">
        <f t="shared" si="832"/>
        <v>1</v>
      </c>
      <c r="BJ357" s="77">
        <f t="shared" si="833"/>
        <v>6.9728499999999985E-2</v>
      </c>
      <c r="BK357" s="77">
        <f t="shared" si="814"/>
        <v>5.632878498097682E-3</v>
      </c>
      <c r="BL357" s="79">
        <v>0</v>
      </c>
      <c r="BM357" s="77">
        <f t="shared" si="845"/>
        <v>0</v>
      </c>
      <c r="BN357" s="77">
        <f t="shared" si="846"/>
        <v>0</v>
      </c>
      <c r="BO357" s="77">
        <f t="shared" si="847"/>
        <v>5.6775999999999997E-3</v>
      </c>
      <c r="BP357" s="77">
        <f t="shared" si="848"/>
        <v>4.7190657760731725E-4</v>
      </c>
    </row>
    <row r="358" spans="1:68">
      <c r="A358" t="s">
        <v>175</v>
      </c>
      <c r="B358" t="s">
        <v>176</v>
      </c>
      <c r="C358" s="197" t="str">
        <f t="shared" si="883"/>
        <v>Lifecycle_Balanced_187</v>
      </c>
      <c r="D358">
        <v>187</v>
      </c>
      <c r="E358">
        <f>VLOOKUP($D358,'[2]LC Balanced'!$Q$2:$U$542,2,FALSE)</f>
        <v>2.2750000000000003E-2</v>
      </c>
      <c r="F358">
        <f>VLOOKUP($D358,'[2]LC Balanced'!$Q$2:$U$542,3,FALSE)</f>
        <v>0.29275000000000001</v>
      </c>
      <c r="G358">
        <f>VLOOKUP($D358,'[2]LC Balanced'!$Q$2:$U$542,4,FALSE)</f>
        <v>0.6845</v>
      </c>
      <c r="H358">
        <f>VLOOKUP($D358,'[2]LC Balanced'!$Q$2:$U$542,5,FALSE)</f>
        <v>0</v>
      </c>
      <c r="I358" s="77">
        <f t="shared" si="827"/>
        <v>1</v>
      </c>
      <c r="J358" s="77">
        <f t="shared" si="828"/>
        <v>5.8939981249999995E-2</v>
      </c>
      <c r="K358" s="77">
        <f t="shared" si="818"/>
        <v>4.7837717153087489E-3</v>
      </c>
      <c r="L358" s="76">
        <v>0</v>
      </c>
      <c r="M358" s="77">
        <f t="shared" si="834"/>
        <v>0</v>
      </c>
      <c r="N358" s="77">
        <f t="shared" si="835"/>
        <v>0</v>
      </c>
      <c r="O358" s="77">
        <f t="shared" si="836"/>
        <v>6.7102249999999993E-3</v>
      </c>
      <c r="P358" s="77">
        <f t="shared" si="837"/>
        <v>5.6091261162150019E-4</v>
      </c>
      <c r="R358" t="s">
        <v>177</v>
      </c>
      <c r="S358" t="s">
        <v>176</v>
      </c>
      <c r="T358" s="197" t="str">
        <f t="shared" si="769"/>
        <v>Autopilot_Balanced_187</v>
      </c>
      <c r="U358">
        <v>187</v>
      </c>
      <c r="V358">
        <f>VLOOKUP($U358,'[2]AP Balanced'!$Q$1:$T$542,2,FALSE)</f>
        <v>0.69123039999999991</v>
      </c>
      <c r="W358">
        <f>VLOOKUP($U358,'[2]AP Balanced'!$Q$1:$T$542,3,FALSE)</f>
        <v>0.30876960000000009</v>
      </c>
      <c r="X358">
        <f>VLOOKUP($U358,'[2]AP Balanced'!$Q$1:$T$542,4,FALSE)</f>
        <v>0</v>
      </c>
      <c r="Y358" s="77">
        <f t="shared" si="884"/>
        <v>1</v>
      </c>
      <c r="Z358" s="77">
        <f t="shared" si="873"/>
        <v>6.0526083559999992E-2</v>
      </c>
      <c r="AA358" s="77">
        <f t="shared" si="874"/>
        <v>4.9091012008788404E-3</v>
      </c>
      <c r="AB358" s="79">
        <v>1</v>
      </c>
      <c r="AC358" s="77">
        <f t="shared" si="838"/>
        <v>7.8824607999999994E-3</v>
      </c>
      <c r="AD358" s="77">
        <f t="shared" si="829"/>
        <v>6.5925689624413142E-4</v>
      </c>
      <c r="AE358" s="77">
        <f t="shared" si="839"/>
        <v>2.5000000000000001E-3</v>
      </c>
      <c r="AF358" s="77">
        <f t="shared" si="829"/>
        <v>2.0857243058891584E-4</v>
      </c>
      <c r="AH358" t="s">
        <v>175</v>
      </c>
      <c r="AI358" t="s">
        <v>176</v>
      </c>
      <c r="AJ358" s="197" t="str">
        <f t="shared" si="885"/>
        <v>Lifecycle_Balanced_187</v>
      </c>
      <c r="AK358">
        <v>187</v>
      </c>
      <c r="AL358">
        <f>VLOOKUP($U358,[2]Standard_Balanced!$Q$1:$T$542,2,FALSE)</f>
        <v>0.62308891388888887</v>
      </c>
      <c r="AM358">
        <f>VLOOKUP($U358,[2]Standard_Balanced!$Q$1:$T$542,3,FALSE)</f>
        <v>0.37691108611111113</v>
      </c>
      <c r="AN358">
        <f>VLOOKUP($U358,[2]Standard_Balanced!$Q$1:$T$542,4,FALSE)</f>
        <v>0</v>
      </c>
      <c r="AO358" s="77">
        <f t="shared" si="815"/>
        <v>1</v>
      </c>
      <c r="AP358" s="77">
        <f t="shared" si="840"/>
        <v>5.9621505331874991E-2</v>
      </c>
      <c r="AQ358" s="77">
        <f t="shared" si="886"/>
        <v>4.8376449624194517E-3</v>
      </c>
      <c r="AR358" s="79">
        <v>0</v>
      </c>
      <c r="AS358" s="77">
        <f t="shared" si="841"/>
        <v>0</v>
      </c>
      <c r="AT358" s="77">
        <f t="shared" ref="AT358" si="918">1-(1-AS358)^(1/12)</f>
        <v>0</v>
      </c>
      <c r="AU358" s="77">
        <f t="shared" si="843"/>
        <v>2.5000000000000001E-3</v>
      </c>
      <c r="AV358" s="77">
        <f t="shared" ref="AV358" si="919">1-(1-AU358)^(1/12)</f>
        <v>2.0857243058891584E-4</v>
      </c>
      <c r="AX358" t="s">
        <v>178</v>
      </c>
      <c r="AY358" t="s">
        <v>160</v>
      </c>
      <c r="AZ358" s="197" t="str">
        <f t="shared" si="889"/>
        <v>DIS_Non-Standard_187</v>
      </c>
      <c r="BA358">
        <v>187</v>
      </c>
      <c r="BB358">
        <f>VLOOKUP($BA358,'[2]NonStandard DIS'!$Q$1:$X$542,2,FALSE)</f>
        <v>0</v>
      </c>
      <c r="BC358">
        <f>VLOOKUP($BA358,'[2]NonStandard DIS'!$Q$1:$X$542,3,FALSE)</f>
        <v>0</v>
      </c>
      <c r="BD358">
        <f>VLOOKUP($BA358,'[2]NonStandard DIS'!$Q$1:$X$542,4,FALSE)</f>
        <v>0.308</v>
      </c>
      <c r="BE358">
        <f>VLOOKUP($BA358,'[2]NonStandard DIS'!$Q$1:$X$542,5,FALSE)</f>
        <v>0.69199999999999995</v>
      </c>
      <c r="BF358">
        <f>VLOOKUP($BA358,'[2]NonStandard DIS'!$Q$1:$X$542,6,FALSE)</f>
        <v>0</v>
      </c>
      <c r="BG358">
        <f>VLOOKUP($BA358,'[2]NonStandard DIS'!$Q$1:$X$542,7,FALSE)</f>
        <v>0</v>
      </c>
      <c r="BH358">
        <f>VLOOKUP($BA358,'[2]NonStandard DIS'!$Q$1:$X$542,8,FALSE)</f>
        <v>0</v>
      </c>
      <c r="BI358" s="77">
        <f t="shared" si="832"/>
        <v>1</v>
      </c>
      <c r="BJ358" s="77">
        <f t="shared" si="833"/>
        <v>6.9728499999999985E-2</v>
      </c>
      <c r="BK358" s="77">
        <f t="shared" si="814"/>
        <v>5.632878498097682E-3</v>
      </c>
      <c r="BL358" s="79">
        <v>0</v>
      </c>
      <c r="BM358" s="77">
        <f t="shared" si="845"/>
        <v>0</v>
      </c>
      <c r="BN358" s="77">
        <f t="shared" si="846"/>
        <v>0</v>
      </c>
      <c r="BO358" s="77">
        <f t="shared" si="847"/>
        <v>5.6775999999999997E-3</v>
      </c>
      <c r="BP358" s="77">
        <f t="shared" si="848"/>
        <v>4.7190657760731725E-4</v>
      </c>
    </row>
    <row r="359" spans="1:68">
      <c r="A359" t="s">
        <v>175</v>
      </c>
      <c r="B359" t="s">
        <v>176</v>
      </c>
      <c r="C359" s="197" t="str">
        <f t="shared" si="883"/>
        <v>Lifecycle_Balanced_186</v>
      </c>
      <c r="D359">
        <v>186</v>
      </c>
      <c r="E359">
        <f>VLOOKUP($D359,'[2]LC Balanced'!$Q$2:$U$542,2,FALSE)</f>
        <v>2.4500000000000001E-2</v>
      </c>
      <c r="F359">
        <f>VLOOKUP($D359,'[2]LC Balanced'!$Q$2:$U$542,3,FALSE)</f>
        <v>0.30049999999999999</v>
      </c>
      <c r="G359">
        <f>VLOOKUP($D359,'[2]LC Balanced'!$Q$2:$U$542,4,FALSE)</f>
        <v>0.67500000000000004</v>
      </c>
      <c r="H359">
        <f>VLOOKUP($D359,'[2]LC Balanced'!$Q$2:$U$542,5,FALSE)</f>
        <v>0</v>
      </c>
      <c r="I359" s="77">
        <f t="shared" si="827"/>
        <v>1</v>
      </c>
      <c r="J359" s="77">
        <f t="shared" si="828"/>
        <v>5.8764087499999999E-2</v>
      </c>
      <c r="K359" s="77">
        <f t="shared" si="818"/>
        <v>4.7698624723315763E-3</v>
      </c>
      <c r="L359" s="76">
        <v>0</v>
      </c>
      <c r="M359" s="77">
        <f t="shared" si="834"/>
        <v>0</v>
      </c>
      <c r="N359" s="77">
        <f t="shared" si="835"/>
        <v>0</v>
      </c>
      <c r="O359" s="77">
        <f t="shared" si="836"/>
        <v>6.6917500000000006E-3</v>
      </c>
      <c r="P359" s="77">
        <f t="shared" si="837"/>
        <v>5.5936351015783981E-4</v>
      </c>
      <c r="R359" t="s">
        <v>177</v>
      </c>
      <c r="S359" t="s">
        <v>176</v>
      </c>
      <c r="T359" s="197" t="str">
        <f t="shared" si="769"/>
        <v>Autopilot_Balanced_186</v>
      </c>
      <c r="U359">
        <v>186</v>
      </c>
      <c r="V359">
        <f>VLOOKUP($U359,'[2]AP Balanced'!$Q$1:$T$542,2,FALSE)</f>
        <v>0.69123039999999991</v>
      </c>
      <c r="W359">
        <f>VLOOKUP($U359,'[2]AP Balanced'!$Q$1:$T$542,3,FALSE)</f>
        <v>0.30876960000000009</v>
      </c>
      <c r="X359">
        <f>VLOOKUP($U359,'[2]AP Balanced'!$Q$1:$T$542,4,FALSE)</f>
        <v>0</v>
      </c>
      <c r="Y359" s="77">
        <f t="shared" si="884"/>
        <v>1</v>
      </c>
      <c r="Z359" s="77">
        <f t="shared" si="873"/>
        <v>6.0526083559999992E-2</v>
      </c>
      <c r="AA359" s="77">
        <f t="shared" si="874"/>
        <v>4.9091012008788404E-3</v>
      </c>
      <c r="AB359" s="79">
        <v>1</v>
      </c>
      <c r="AC359" s="77">
        <f t="shared" si="838"/>
        <v>7.8824607999999994E-3</v>
      </c>
      <c r="AD359" s="77">
        <f t="shared" si="829"/>
        <v>6.5925689624413142E-4</v>
      </c>
      <c r="AE359" s="77">
        <f t="shared" si="839"/>
        <v>2.5000000000000001E-3</v>
      </c>
      <c r="AF359" s="77">
        <f t="shared" si="829"/>
        <v>2.0857243058891584E-4</v>
      </c>
      <c r="AH359" t="s">
        <v>175</v>
      </c>
      <c r="AI359" t="s">
        <v>176</v>
      </c>
      <c r="AJ359" s="197" t="str">
        <f t="shared" si="885"/>
        <v>Lifecycle_Balanced_186</v>
      </c>
      <c r="AK359">
        <v>186</v>
      </c>
      <c r="AL359">
        <f>VLOOKUP($U359,[2]Standard_Balanced!$Q$1:$T$542,2,FALSE)</f>
        <v>0.60946061666666673</v>
      </c>
      <c r="AM359">
        <f>VLOOKUP($U359,[2]Standard_Balanced!$Q$1:$T$542,3,FALSE)</f>
        <v>0.39053938333333332</v>
      </c>
      <c r="AN359">
        <f>VLOOKUP($U359,[2]Standard_Balanced!$Q$1:$T$542,4,FALSE)</f>
        <v>0</v>
      </c>
      <c r="AO359" s="77">
        <f t="shared" si="815"/>
        <v>1</v>
      </c>
      <c r="AP359" s="77">
        <f t="shared" si="840"/>
        <v>5.9440589686249989E-2</v>
      </c>
      <c r="AQ359" s="77">
        <f t="shared" si="886"/>
        <v>4.8233470049419136E-3</v>
      </c>
      <c r="AR359" s="79">
        <v>0</v>
      </c>
      <c r="AS359" s="77">
        <f t="shared" si="841"/>
        <v>0</v>
      </c>
      <c r="AT359" s="77">
        <f t="shared" ref="AT359" si="920">1-(1-AS359)^(1/12)</f>
        <v>0</v>
      </c>
      <c r="AU359" s="77">
        <f t="shared" si="843"/>
        <v>2.5000000000000001E-3</v>
      </c>
      <c r="AV359" s="77">
        <f t="shared" ref="AV359" si="921">1-(1-AU359)^(1/12)</f>
        <v>2.0857243058891584E-4</v>
      </c>
      <c r="AX359" t="s">
        <v>178</v>
      </c>
      <c r="AY359" t="s">
        <v>160</v>
      </c>
      <c r="AZ359" s="197" t="str">
        <f t="shared" si="889"/>
        <v>DIS_Non-Standard_186</v>
      </c>
      <c r="BA359">
        <v>186</v>
      </c>
      <c r="BB359">
        <f>VLOOKUP($BA359,'[2]NonStandard DIS'!$Q$1:$X$542,2,FALSE)</f>
        <v>0</v>
      </c>
      <c r="BC359">
        <f>VLOOKUP($BA359,'[2]NonStandard DIS'!$Q$1:$X$542,3,FALSE)</f>
        <v>0</v>
      </c>
      <c r="BD359">
        <f>VLOOKUP($BA359,'[2]NonStandard DIS'!$Q$1:$X$542,4,FALSE)</f>
        <v>0.308</v>
      </c>
      <c r="BE359">
        <f>VLOOKUP($BA359,'[2]NonStandard DIS'!$Q$1:$X$542,5,FALSE)</f>
        <v>0.69199999999999995</v>
      </c>
      <c r="BF359">
        <f>VLOOKUP($BA359,'[2]NonStandard DIS'!$Q$1:$X$542,6,FALSE)</f>
        <v>0</v>
      </c>
      <c r="BG359">
        <f>VLOOKUP($BA359,'[2]NonStandard DIS'!$Q$1:$X$542,7,FALSE)</f>
        <v>0</v>
      </c>
      <c r="BH359">
        <f>VLOOKUP($BA359,'[2]NonStandard DIS'!$Q$1:$X$542,8,FALSE)</f>
        <v>0</v>
      </c>
      <c r="BI359" s="77">
        <f t="shared" si="832"/>
        <v>1</v>
      </c>
      <c r="BJ359" s="77">
        <f t="shared" si="833"/>
        <v>6.9728499999999985E-2</v>
      </c>
      <c r="BK359" s="77">
        <f t="shared" si="814"/>
        <v>5.632878498097682E-3</v>
      </c>
      <c r="BL359" s="79">
        <v>0</v>
      </c>
      <c r="BM359" s="77">
        <f t="shared" si="845"/>
        <v>0</v>
      </c>
      <c r="BN359" s="77">
        <f t="shared" si="846"/>
        <v>0</v>
      </c>
      <c r="BO359" s="77">
        <f t="shared" si="847"/>
        <v>5.6775999999999997E-3</v>
      </c>
      <c r="BP359" s="77">
        <f t="shared" si="848"/>
        <v>4.7190657760731725E-4</v>
      </c>
    </row>
    <row r="360" spans="1:68">
      <c r="A360" t="s">
        <v>175</v>
      </c>
      <c r="B360" t="s">
        <v>176</v>
      </c>
      <c r="C360" s="197" t="str">
        <f t="shared" si="883"/>
        <v>Lifecycle_Balanced_185</v>
      </c>
      <c r="D360">
        <v>185</v>
      </c>
      <c r="E360">
        <f>VLOOKUP($D360,'[2]LC Balanced'!$Q$2:$U$542,2,FALSE)</f>
        <v>2.6250000000000002E-2</v>
      </c>
      <c r="F360">
        <f>VLOOKUP($D360,'[2]LC Balanced'!$Q$2:$U$542,3,FALSE)</f>
        <v>0.30824999999999997</v>
      </c>
      <c r="G360">
        <f>VLOOKUP($D360,'[2]LC Balanced'!$Q$2:$U$542,4,FALSE)</f>
        <v>0.66549999999999998</v>
      </c>
      <c r="H360">
        <f>VLOOKUP($D360,'[2]LC Balanced'!$Q$2:$U$542,5,FALSE)</f>
        <v>0</v>
      </c>
      <c r="I360" s="77">
        <f t="shared" si="827"/>
        <v>1</v>
      </c>
      <c r="J360" s="77">
        <f t="shared" si="828"/>
        <v>5.8588193749999989E-2</v>
      </c>
      <c r="K360" s="77">
        <f t="shared" si="818"/>
        <v>4.7559511109971364E-3</v>
      </c>
      <c r="L360" s="76">
        <v>0</v>
      </c>
      <c r="M360" s="77">
        <f t="shared" si="834"/>
        <v>0</v>
      </c>
      <c r="N360" s="77">
        <f t="shared" si="835"/>
        <v>0</v>
      </c>
      <c r="O360" s="77">
        <f t="shared" si="836"/>
        <v>6.6732749999999993E-3</v>
      </c>
      <c r="P360" s="77">
        <f t="shared" si="837"/>
        <v>5.5781443510527495E-4</v>
      </c>
      <c r="R360" t="s">
        <v>177</v>
      </c>
      <c r="S360" t="s">
        <v>176</v>
      </c>
      <c r="T360" s="197" t="str">
        <f t="shared" si="769"/>
        <v>Autopilot_Balanced_185</v>
      </c>
      <c r="U360">
        <v>185</v>
      </c>
      <c r="V360">
        <f>VLOOKUP($U360,'[2]AP Balanced'!$Q$1:$T$542,2,FALSE)</f>
        <v>0.69123039999999991</v>
      </c>
      <c r="W360">
        <f>VLOOKUP($U360,'[2]AP Balanced'!$Q$1:$T$542,3,FALSE)</f>
        <v>0.30876960000000009</v>
      </c>
      <c r="X360">
        <f>VLOOKUP($U360,'[2]AP Balanced'!$Q$1:$T$542,4,FALSE)</f>
        <v>0</v>
      </c>
      <c r="Y360" s="77">
        <f t="shared" si="884"/>
        <v>1</v>
      </c>
      <c r="Z360" s="77">
        <f t="shared" si="873"/>
        <v>6.0526083559999992E-2</v>
      </c>
      <c r="AA360" s="77">
        <f t="shared" si="874"/>
        <v>4.9091012008788404E-3</v>
      </c>
      <c r="AB360" s="79">
        <v>1</v>
      </c>
      <c r="AC360" s="77">
        <f t="shared" si="838"/>
        <v>7.8824607999999994E-3</v>
      </c>
      <c r="AD360" s="77">
        <f t="shared" si="829"/>
        <v>6.5925689624413142E-4</v>
      </c>
      <c r="AE360" s="77">
        <f t="shared" si="839"/>
        <v>2.5000000000000001E-3</v>
      </c>
      <c r="AF360" s="77">
        <f t="shared" si="829"/>
        <v>2.0857243058891584E-4</v>
      </c>
      <c r="AH360" t="s">
        <v>175</v>
      </c>
      <c r="AI360" t="s">
        <v>176</v>
      </c>
      <c r="AJ360" s="197" t="str">
        <f t="shared" si="885"/>
        <v>Lifecycle_Balanced_185</v>
      </c>
      <c r="AK360">
        <v>185</v>
      </c>
      <c r="AL360">
        <f>VLOOKUP($U360,[2]Standard_Balanced!$Q$1:$T$542,2,FALSE)</f>
        <v>0.59583231944444448</v>
      </c>
      <c r="AM360">
        <f>VLOOKUP($U360,[2]Standard_Balanced!$Q$1:$T$542,3,FALSE)</f>
        <v>0.40416768055555552</v>
      </c>
      <c r="AN360">
        <f>VLOOKUP($U360,[2]Standard_Balanced!$Q$1:$T$542,4,FALSE)</f>
        <v>0</v>
      </c>
      <c r="AO360" s="77">
        <f t="shared" si="815"/>
        <v>1</v>
      </c>
      <c r="AP360" s="77">
        <f t="shared" si="840"/>
        <v>5.9259674040624988E-2</v>
      </c>
      <c r="AQ360" s="77">
        <f t="shared" si="886"/>
        <v>4.8090468091606109E-3</v>
      </c>
      <c r="AR360" s="79">
        <v>0</v>
      </c>
      <c r="AS360" s="77">
        <f t="shared" si="841"/>
        <v>0</v>
      </c>
      <c r="AT360" s="77">
        <f t="shared" ref="AT360" si="922">1-(1-AS360)^(1/12)</f>
        <v>0</v>
      </c>
      <c r="AU360" s="77">
        <f t="shared" si="843"/>
        <v>2.5000000000000001E-3</v>
      </c>
      <c r="AV360" s="77">
        <f t="shared" ref="AV360" si="923">1-(1-AU360)^(1/12)</f>
        <v>2.0857243058891584E-4</v>
      </c>
      <c r="AX360" t="s">
        <v>178</v>
      </c>
      <c r="AY360" t="s">
        <v>160</v>
      </c>
      <c r="AZ360" s="197" t="str">
        <f t="shared" si="889"/>
        <v>DIS_Non-Standard_185</v>
      </c>
      <c r="BA360">
        <v>185</v>
      </c>
      <c r="BB360">
        <f>VLOOKUP($BA360,'[2]NonStandard DIS'!$Q$1:$X$542,2,FALSE)</f>
        <v>0</v>
      </c>
      <c r="BC360">
        <f>VLOOKUP($BA360,'[2]NonStandard DIS'!$Q$1:$X$542,3,FALSE)</f>
        <v>0</v>
      </c>
      <c r="BD360">
        <f>VLOOKUP($BA360,'[2]NonStandard DIS'!$Q$1:$X$542,4,FALSE)</f>
        <v>0.308</v>
      </c>
      <c r="BE360">
        <f>VLOOKUP($BA360,'[2]NonStandard DIS'!$Q$1:$X$542,5,FALSE)</f>
        <v>0.69199999999999995</v>
      </c>
      <c r="BF360">
        <f>VLOOKUP($BA360,'[2]NonStandard DIS'!$Q$1:$X$542,6,FALSE)</f>
        <v>0</v>
      </c>
      <c r="BG360">
        <f>VLOOKUP($BA360,'[2]NonStandard DIS'!$Q$1:$X$542,7,FALSE)</f>
        <v>0</v>
      </c>
      <c r="BH360">
        <f>VLOOKUP($BA360,'[2]NonStandard DIS'!$Q$1:$X$542,8,FALSE)</f>
        <v>0</v>
      </c>
      <c r="BI360" s="77">
        <f t="shared" si="832"/>
        <v>1</v>
      </c>
      <c r="BJ360" s="77">
        <f t="shared" si="833"/>
        <v>6.9728499999999985E-2</v>
      </c>
      <c r="BK360" s="77">
        <f t="shared" si="814"/>
        <v>5.632878498097682E-3</v>
      </c>
      <c r="BL360" s="79">
        <v>0</v>
      </c>
      <c r="BM360" s="77">
        <f t="shared" si="845"/>
        <v>0</v>
      </c>
      <c r="BN360" s="77">
        <f t="shared" si="846"/>
        <v>0</v>
      </c>
      <c r="BO360" s="77">
        <f t="shared" si="847"/>
        <v>5.6775999999999997E-3</v>
      </c>
      <c r="BP360" s="77">
        <f t="shared" si="848"/>
        <v>4.7190657760731725E-4</v>
      </c>
    </row>
    <row r="361" spans="1:68">
      <c r="A361" t="s">
        <v>175</v>
      </c>
      <c r="B361" t="s">
        <v>176</v>
      </c>
      <c r="C361" s="197" t="str">
        <f t="shared" si="883"/>
        <v>Lifecycle_Balanced_184</v>
      </c>
      <c r="D361">
        <v>184</v>
      </c>
      <c r="E361">
        <f>VLOOKUP($D361,'[2]LC Balanced'!$Q$2:$U$542,2,FALSE)</f>
        <v>2.8000000000000004E-2</v>
      </c>
      <c r="F361">
        <f>VLOOKUP($D361,'[2]LC Balanced'!$Q$2:$U$542,3,FALSE)</f>
        <v>0.316</v>
      </c>
      <c r="G361">
        <f>VLOOKUP($D361,'[2]LC Balanced'!$Q$2:$U$542,4,FALSE)</f>
        <v>0.65600000000000003</v>
      </c>
      <c r="H361">
        <f>VLOOKUP($D361,'[2]LC Balanced'!$Q$2:$U$542,5,FALSE)</f>
        <v>0</v>
      </c>
      <c r="I361" s="77">
        <f t="shared" si="827"/>
        <v>1</v>
      </c>
      <c r="J361" s="77">
        <f t="shared" si="828"/>
        <v>5.84123E-2</v>
      </c>
      <c r="K361" s="77">
        <f t="shared" si="818"/>
        <v>4.7420376306308576E-3</v>
      </c>
      <c r="L361" s="76">
        <v>0</v>
      </c>
      <c r="M361" s="77">
        <f t="shared" si="834"/>
        <v>0</v>
      </c>
      <c r="N361" s="77">
        <f t="shared" si="835"/>
        <v>0</v>
      </c>
      <c r="O361" s="77">
        <f t="shared" si="836"/>
        <v>6.6548000000000006E-3</v>
      </c>
      <c r="P361" s="77">
        <f t="shared" si="837"/>
        <v>5.5626538646302848E-4</v>
      </c>
      <c r="R361" t="s">
        <v>177</v>
      </c>
      <c r="S361" t="s">
        <v>176</v>
      </c>
      <c r="T361" s="197" t="str">
        <f t="shared" si="769"/>
        <v>Autopilot_Balanced_184</v>
      </c>
      <c r="U361">
        <v>184</v>
      </c>
      <c r="V361">
        <f>VLOOKUP($U361,'[2]AP Balanced'!$Q$1:$T$542,2,FALSE)</f>
        <v>0.69123039999999991</v>
      </c>
      <c r="W361">
        <f>VLOOKUP($U361,'[2]AP Balanced'!$Q$1:$T$542,3,FALSE)</f>
        <v>0.30876960000000009</v>
      </c>
      <c r="X361">
        <f>VLOOKUP($U361,'[2]AP Balanced'!$Q$1:$T$542,4,FALSE)</f>
        <v>0</v>
      </c>
      <c r="Y361" s="77">
        <f t="shared" si="884"/>
        <v>1</v>
      </c>
      <c r="Z361" s="77">
        <f t="shared" si="873"/>
        <v>6.0526083559999992E-2</v>
      </c>
      <c r="AA361" s="77">
        <f t="shared" si="874"/>
        <v>4.9091012008788404E-3</v>
      </c>
      <c r="AB361" s="79">
        <v>1</v>
      </c>
      <c r="AC361" s="77">
        <f t="shared" si="838"/>
        <v>7.8824607999999994E-3</v>
      </c>
      <c r="AD361" s="77">
        <f t="shared" si="829"/>
        <v>6.5925689624413142E-4</v>
      </c>
      <c r="AE361" s="77">
        <f t="shared" si="839"/>
        <v>2.5000000000000001E-3</v>
      </c>
      <c r="AF361" s="77">
        <f t="shared" si="829"/>
        <v>2.0857243058891584E-4</v>
      </c>
      <c r="AH361" t="s">
        <v>175</v>
      </c>
      <c r="AI361" t="s">
        <v>176</v>
      </c>
      <c r="AJ361" s="197" t="str">
        <f t="shared" si="885"/>
        <v>Lifecycle_Balanced_184</v>
      </c>
      <c r="AK361">
        <v>184</v>
      </c>
      <c r="AL361">
        <f>VLOOKUP($U361,[2]Standard_Balanced!$Q$1:$T$542,2,FALSE)</f>
        <v>0.58220402222222223</v>
      </c>
      <c r="AM361">
        <f>VLOOKUP($U361,[2]Standard_Balanced!$Q$1:$T$542,3,FALSE)</f>
        <v>0.41779597777777772</v>
      </c>
      <c r="AN361">
        <f>VLOOKUP($U361,[2]Standard_Balanced!$Q$1:$T$542,4,FALSE)</f>
        <v>0</v>
      </c>
      <c r="AO361" s="77">
        <f t="shared" si="815"/>
        <v>1</v>
      </c>
      <c r="AP361" s="77">
        <f t="shared" si="840"/>
        <v>5.9078758394999986E-2</v>
      </c>
      <c r="AQ361" s="77">
        <f t="shared" si="886"/>
        <v>4.7947443743434626E-3</v>
      </c>
      <c r="AR361" s="79">
        <v>0</v>
      </c>
      <c r="AS361" s="77">
        <f t="shared" si="841"/>
        <v>0</v>
      </c>
      <c r="AT361" s="77">
        <f t="shared" ref="AT361" si="924">1-(1-AS361)^(1/12)</f>
        <v>0</v>
      </c>
      <c r="AU361" s="77">
        <f t="shared" si="843"/>
        <v>2.4999999999999996E-3</v>
      </c>
      <c r="AV361" s="77">
        <f t="shared" ref="AV361" si="925">1-(1-AU361)^(1/12)</f>
        <v>2.0857243058891584E-4</v>
      </c>
      <c r="AX361" t="s">
        <v>178</v>
      </c>
      <c r="AY361" t="s">
        <v>160</v>
      </c>
      <c r="AZ361" s="197" t="str">
        <f t="shared" si="889"/>
        <v>DIS_Non-Standard_184</v>
      </c>
      <c r="BA361">
        <v>184</v>
      </c>
      <c r="BB361">
        <f>VLOOKUP($BA361,'[2]NonStandard DIS'!$Q$1:$X$542,2,FALSE)</f>
        <v>0</v>
      </c>
      <c r="BC361">
        <f>VLOOKUP($BA361,'[2]NonStandard DIS'!$Q$1:$X$542,3,FALSE)</f>
        <v>0</v>
      </c>
      <c r="BD361">
        <f>VLOOKUP($BA361,'[2]NonStandard DIS'!$Q$1:$X$542,4,FALSE)</f>
        <v>0.308</v>
      </c>
      <c r="BE361">
        <f>VLOOKUP($BA361,'[2]NonStandard DIS'!$Q$1:$X$542,5,FALSE)</f>
        <v>0.69199999999999995</v>
      </c>
      <c r="BF361">
        <f>VLOOKUP($BA361,'[2]NonStandard DIS'!$Q$1:$X$542,6,FALSE)</f>
        <v>0</v>
      </c>
      <c r="BG361">
        <f>VLOOKUP($BA361,'[2]NonStandard DIS'!$Q$1:$X$542,7,FALSE)</f>
        <v>0</v>
      </c>
      <c r="BH361">
        <f>VLOOKUP($BA361,'[2]NonStandard DIS'!$Q$1:$X$542,8,FALSE)</f>
        <v>0</v>
      </c>
      <c r="BI361" s="77">
        <f t="shared" si="832"/>
        <v>1</v>
      </c>
      <c r="BJ361" s="77">
        <f t="shared" si="833"/>
        <v>6.9728499999999985E-2</v>
      </c>
      <c r="BK361" s="77">
        <f t="shared" si="814"/>
        <v>5.632878498097682E-3</v>
      </c>
      <c r="BL361" s="79">
        <v>0</v>
      </c>
      <c r="BM361" s="77">
        <f t="shared" si="845"/>
        <v>0</v>
      </c>
      <c r="BN361" s="77">
        <f t="shared" si="846"/>
        <v>0</v>
      </c>
      <c r="BO361" s="77">
        <f t="shared" si="847"/>
        <v>5.6775999999999997E-3</v>
      </c>
      <c r="BP361" s="77">
        <f t="shared" si="848"/>
        <v>4.7190657760731725E-4</v>
      </c>
    </row>
    <row r="362" spans="1:68">
      <c r="A362" t="s">
        <v>175</v>
      </c>
      <c r="B362" t="s">
        <v>176</v>
      </c>
      <c r="C362" s="197" t="str">
        <f t="shared" si="883"/>
        <v>Lifecycle_Balanced_183</v>
      </c>
      <c r="D362">
        <v>183</v>
      </c>
      <c r="E362">
        <f>VLOOKUP($D362,'[2]LC Balanced'!$Q$2:$U$542,2,FALSE)</f>
        <v>2.9750000000000002E-2</v>
      </c>
      <c r="F362">
        <f>VLOOKUP($D362,'[2]LC Balanced'!$Q$2:$U$542,3,FALSE)</f>
        <v>0.32374999999999998</v>
      </c>
      <c r="G362">
        <f>VLOOKUP($D362,'[2]LC Balanced'!$Q$2:$U$542,4,FALSE)</f>
        <v>0.64649999999999996</v>
      </c>
      <c r="H362">
        <f>VLOOKUP($D362,'[2]LC Balanced'!$Q$2:$U$542,5,FALSE)</f>
        <v>0</v>
      </c>
      <c r="I362" s="77">
        <f t="shared" si="827"/>
        <v>1</v>
      </c>
      <c r="J362" s="77">
        <f t="shared" si="828"/>
        <v>5.8236406249999997E-2</v>
      </c>
      <c r="K362" s="77">
        <f t="shared" si="818"/>
        <v>4.7281220305572802E-3</v>
      </c>
      <c r="L362" s="76">
        <v>0</v>
      </c>
      <c r="M362" s="77">
        <f t="shared" si="834"/>
        <v>0</v>
      </c>
      <c r="N362" s="77">
        <f t="shared" si="835"/>
        <v>0</v>
      </c>
      <c r="O362" s="77">
        <f t="shared" si="836"/>
        <v>6.6363250000000002E-3</v>
      </c>
      <c r="P362" s="77">
        <f t="shared" si="837"/>
        <v>5.5471636423010118E-4</v>
      </c>
      <c r="R362" t="s">
        <v>177</v>
      </c>
      <c r="S362" t="s">
        <v>176</v>
      </c>
      <c r="T362" s="197" t="str">
        <f t="shared" ref="T362:T425" si="926">R362&amp;"_"&amp;S362&amp;"_"&amp;U362</f>
        <v>Autopilot_Balanced_183</v>
      </c>
      <c r="U362">
        <v>183</v>
      </c>
      <c r="V362">
        <f>VLOOKUP($U362,'[2]AP Balanced'!$Q$1:$T$542,2,FALSE)</f>
        <v>0.69123039999999991</v>
      </c>
      <c r="W362">
        <f>VLOOKUP($U362,'[2]AP Balanced'!$Q$1:$T$542,3,FALSE)</f>
        <v>0.30876960000000009</v>
      </c>
      <c r="X362">
        <f>VLOOKUP($U362,'[2]AP Balanced'!$Q$1:$T$542,4,FALSE)</f>
        <v>0</v>
      </c>
      <c r="Y362" s="77">
        <f t="shared" si="884"/>
        <v>1</v>
      </c>
      <c r="Z362" s="77">
        <f t="shared" si="873"/>
        <v>6.0526083559999992E-2</v>
      </c>
      <c r="AA362" s="77">
        <f t="shared" si="874"/>
        <v>4.9091012008788404E-3</v>
      </c>
      <c r="AB362" s="79">
        <v>1</v>
      </c>
      <c r="AC362" s="77">
        <f t="shared" si="838"/>
        <v>7.8824607999999994E-3</v>
      </c>
      <c r="AD362" s="77">
        <f t="shared" si="829"/>
        <v>6.5925689624413142E-4</v>
      </c>
      <c r="AE362" s="77">
        <f t="shared" si="839"/>
        <v>2.5000000000000001E-3</v>
      </c>
      <c r="AF362" s="77">
        <f t="shared" si="829"/>
        <v>2.0857243058891584E-4</v>
      </c>
      <c r="AH362" t="s">
        <v>175</v>
      </c>
      <c r="AI362" t="s">
        <v>176</v>
      </c>
      <c r="AJ362" s="197" t="str">
        <f t="shared" si="885"/>
        <v>Lifecycle_Balanced_183</v>
      </c>
      <c r="AK362">
        <v>183</v>
      </c>
      <c r="AL362">
        <f>VLOOKUP($U362,[2]Standard_Balanced!$Q$1:$T$542,2,FALSE)</f>
        <v>0.56857572500000009</v>
      </c>
      <c r="AM362">
        <f>VLOOKUP($U362,[2]Standard_Balanced!$Q$1:$T$542,3,FALSE)</f>
        <v>0.43142427499999991</v>
      </c>
      <c r="AN362">
        <f>VLOOKUP($U362,[2]Standard_Balanced!$Q$1:$T$542,4,FALSE)</f>
        <v>0</v>
      </c>
      <c r="AO362" s="77">
        <f t="shared" si="815"/>
        <v>1</v>
      </c>
      <c r="AP362" s="77">
        <f t="shared" si="840"/>
        <v>5.8897842749374991E-2</v>
      </c>
      <c r="AQ362" s="77">
        <f t="shared" si="886"/>
        <v>4.7804396997568332E-3</v>
      </c>
      <c r="AR362" s="79">
        <v>0</v>
      </c>
      <c r="AS362" s="77">
        <f t="shared" si="841"/>
        <v>0</v>
      </c>
      <c r="AT362" s="77">
        <f t="shared" ref="AT362" si="927">1-(1-AS362)^(1/12)</f>
        <v>0</v>
      </c>
      <c r="AU362" s="77">
        <f t="shared" si="843"/>
        <v>2.5000000000000001E-3</v>
      </c>
      <c r="AV362" s="77">
        <f t="shared" ref="AV362" si="928">1-(1-AU362)^(1/12)</f>
        <v>2.0857243058891584E-4</v>
      </c>
      <c r="AX362" t="s">
        <v>178</v>
      </c>
      <c r="AY362" t="s">
        <v>160</v>
      </c>
      <c r="AZ362" s="197" t="str">
        <f t="shared" si="889"/>
        <v>DIS_Non-Standard_183</v>
      </c>
      <c r="BA362">
        <v>183</v>
      </c>
      <c r="BB362">
        <f>VLOOKUP($BA362,'[2]NonStandard DIS'!$Q$1:$X$542,2,FALSE)</f>
        <v>0</v>
      </c>
      <c r="BC362">
        <f>VLOOKUP($BA362,'[2]NonStandard DIS'!$Q$1:$X$542,3,FALSE)</f>
        <v>0</v>
      </c>
      <c r="BD362">
        <f>VLOOKUP($BA362,'[2]NonStandard DIS'!$Q$1:$X$542,4,FALSE)</f>
        <v>0.308</v>
      </c>
      <c r="BE362">
        <f>VLOOKUP($BA362,'[2]NonStandard DIS'!$Q$1:$X$542,5,FALSE)</f>
        <v>0.69199999999999995</v>
      </c>
      <c r="BF362">
        <f>VLOOKUP($BA362,'[2]NonStandard DIS'!$Q$1:$X$542,6,FALSE)</f>
        <v>0</v>
      </c>
      <c r="BG362">
        <f>VLOOKUP($BA362,'[2]NonStandard DIS'!$Q$1:$X$542,7,FALSE)</f>
        <v>0</v>
      </c>
      <c r="BH362">
        <f>VLOOKUP($BA362,'[2]NonStandard DIS'!$Q$1:$X$542,8,FALSE)</f>
        <v>0</v>
      </c>
      <c r="BI362" s="77">
        <f t="shared" si="832"/>
        <v>1</v>
      </c>
      <c r="BJ362" s="77">
        <f t="shared" si="833"/>
        <v>6.9728499999999985E-2</v>
      </c>
      <c r="BK362" s="77">
        <f t="shared" si="814"/>
        <v>5.632878498097682E-3</v>
      </c>
      <c r="BL362" s="79">
        <v>0</v>
      </c>
      <c r="BM362" s="77">
        <f t="shared" si="845"/>
        <v>0</v>
      </c>
      <c r="BN362" s="77">
        <f t="shared" si="846"/>
        <v>0</v>
      </c>
      <c r="BO362" s="77">
        <f t="shared" si="847"/>
        <v>5.6775999999999997E-3</v>
      </c>
      <c r="BP362" s="77">
        <f t="shared" si="848"/>
        <v>4.7190657760731725E-4</v>
      </c>
    </row>
    <row r="363" spans="1:68">
      <c r="A363" t="s">
        <v>175</v>
      </c>
      <c r="B363" t="s">
        <v>176</v>
      </c>
      <c r="C363" s="197" t="str">
        <f t="shared" si="883"/>
        <v>Lifecycle_Balanced_182</v>
      </c>
      <c r="D363">
        <v>182</v>
      </c>
      <c r="E363">
        <f>VLOOKUP($D363,'[2]LC Balanced'!$Q$2:$U$542,2,FALSE)</f>
        <v>3.15E-2</v>
      </c>
      <c r="F363">
        <f>VLOOKUP($D363,'[2]LC Balanced'!$Q$2:$U$542,3,FALSE)</f>
        <v>0.33149999999999996</v>
      </c>
      <c r="G363">
        <f>VLOOKUP($D363,'[2]LC Balanced'!$Q$2:$U$542,4,FALSE)</f>
        <v>0.63700000000000001</v>
      </c>
      <c r="H363">
        <f>VLOOKUP($D363,'[2]LC Balanced'!$Q$2:$U$542,5,FALSE)</f>
        <v>0</v>
      </c>
      <c r="I363" s="77">
        <f t="shared" si="827"/>
        <v>1</v>
      </c>
      <c r="J363" s="77">
        <f t="shared" si="828"/>
        <v>5.8060512499999994E-2</v>
      </c>
      <c r="K363" s="77">
        <f t="shared" si="818"/>
        <v>4.7142043101016107E-3</v>
      </c>
      <c r="L363" s="76">
        <v>0</v>
      </c>
      <c r="M363" s="77">
        <f t="shared" si="834"/>
        <v>0</v>
      </c>
      <c r="N363" s="77">
        <f t="shared" si="835"/>
        <v>0</v>
      </c>
      <c r="O363" s="77">
        <f t="shared" si="836"/>
        <v>6.6178499999999998E-3</v>
      </c>
      <c r="P363" s="77">
        <f t="shared" si="837"/>
        <v>5.5316736840549385E-4</v>
      </c>
      <c r="R363" t="s">
        <v>177</v>
      </c>
      <c r="S363" t="s">
        <v>176</v>
      </c>
      <c r="T363" s="197" t="str">
        <f t="shared" si="926"/>
        <v>Autopilot_Balanced_182</v>
      </c>
      <c r="U363">
        <v>182</v>
      </c>
      <c r="V363">
        <f>VLOOKUP($U363,'[2]AP Balanced'!$Q$1:$T$542,2,FALSE)</f>
        <v>0.69123039999999991</v>
      </c>
      <c r="W363">
        <f>VLOOKUP($U363,'[2]AP Balanced'!$Q$1:$T$542,3,FALSE)</f>
        <v>0.30876960000000009</v>
      </c>
      <c r="X363">
        <f>VLOOKUP($U363,'[2]AP Balanced'!$Q$1:$T$542,4,FALSE)</f>
        <v>0</v>
      </c>
      <c r="Y363" s="77">
        <f t="shared" si="884"/>
        <v>1</v>
      </c>
      <c r="Z363" s="77">
        <f t="shared" si="873"/>
        <v>6.0526083559999992E-2</v>
      </c>
      <c r="AA363" s="77">
        <f t="shared" si="874"/>
        <v>4.9091012008788404E-3</v>
      </c>
      <c r="AB363" s="79">
        <v>1</v>
      </c>
      <c r="AC363" s="77">
        <f t="shared" si="838"/>
        <v>7.8824607999999994E-3</v>
      </c>
      <c r="AD363" s="77">
        <f t="shared" si="829"/>
        <v>6.5925689624413142E-4</v>
      </c>
      <c r="AE363" s="77">
        <f t="shared" si="839"/>
        <v>2.5000000000000001E-3</v>
      </c>
      <c r="AF363" s="77">
        <f t="shared" si="829"/>
        <v>2.0857243058891584E-4</v>
      </c>
      <c r="AH363" t="s">
        <v>175</v>
      </c>
      <c r="AI363" t="s">
        <v>176</v>
      </c>
      <c r="AJ363" s="197" t="str">
        <f t="shared" si="885"/>
        <v>Lifecycle_Balanced_182</v>
      </c>
      <c r="AK363">
        <v>182</v>
      </c>
      <c r="AL363">
        <f>VLOOKUP($U363,[2]Standard_Balanced!$Q$1:$T$542,2,FALSE)</f>
        <v>0.55494742777777784</v>
      </c>
      <c r="AM363">
        <f>VLOOKUP($U363,[2]Standard_Balanced!$Q$1:$T$542,3,FALSE)</f>
        <v>0.44505257222222216</v>
      </c>
      <c r="AN363">
        <f>VLOOKUP($U363,[2]Standard_Balanced!$Q$1:$T$542,4,FALSE)</f>
        <v>0</v>
      </c>
      <c r="AO363" s="77">
        <f t="shared" si="815"/>
        <v>1</v>
      </c>
      <c r="AP363" s="77">
        <f t="shared" si="840"/>
        <v>5.8716927103749997E-2</v>
      </c>
      <c r="AQ363" s="77">
        <f t="shared" si="886"/>
        <v>4.7661327846673096E-3</v>
      </c>
      <c r="AR363" s="79">
        <v>0</v>
      </c>
      <c r="AS363" s="77">
        <f t="shared" si="841"/>
        <v>0</v>
      </c>
      <c r="AT363" s="77">
        <f t="shared" ref="AT363" si="929">1-(1-AS363)^(1/12)</f>
        <v>0</v>
      </c>
      <c r="AU363" s="77">
        <f t="shared" si="843"/>
        <v>2.5000000000000001E-3</v>
      </c>
      <c r="AV363" s="77">
        <f t="shared" ref="AV363" si="930">1-(1-AU363)^(1/12)</f>
        <v>2.0857243058891584E-4</v>
      </c>
      <c r="AX363" t="s">
        <v>178</v>
      </c>
      <c r="AY363" t="s">
        <v>160</v>
      </c>
      <c r="AZ363" s="197" t="str">
        <f t="shared" si="889"/>
        <v>DIS_Non-Standard_182</v>
      </c>
      <c r="BA363">
        <v>182</v>
      </c>
      <c r="BB363">
        <f>VLOOKUP($BA363,'[2]NonStandard DIS'!$Q$1:$X$542,2,FALSE)</f>
        <v>0</v>
      </c>
      <c r="BC363">
        <f>VLOOKUP($BA363,'[2]NonStandard DIS'!$Q$1:$X$542,3,FALSE)</f>
        <v>0</v>
      </c>
      <c r="BD363">
        <f>VLOOKUP($BA363,'[2]NonStandard DIS'!$Q$1:$X$542,4,FALSE)</f>
        <v>0.308</v>
      </c>
      <c r="BE363">
        <f>VLOOKUP($BA363,'[2]NonStandard DIS'!$Q$1:$X$542,5,FALSE)</f>
        <v>0.69199999999999995</v>
      </c>
      <c r="BF363">
        <f>VLOOKUP($BA363,'[2]NonStandard DIS'!$Q$1:$X$542,6,FALSE)</f>
        <v>0</v>
      </c>
      <c r="BG363">
        <f>VLOOKUP($BA363,'[2]NonStandard DIS'!$Q$1:$X$542,7,FALSE)</f>
        <v>0</v>
      </c>
      <c r="BH363">
        <f>VLOOKUP($BA363,'[2]NonStandard DIS'!$Q$1:$X$542,8,FALSE)</f>
        <v>0</v>
      </c>
      <c r="BI363" s="77">
        <f t="shared" si="832"/>
        <v>1</v>
      </c>
      <c r="BJ363" s="77">
        <f t="shared" si="833"/>
        <v>6.9728499999999985E-2</v>
      </c>
      <c r="BK363" s="77">
        <f t="shared" si="814"/>
        <v>5.632878498097682E-3</v>
      </c>
      <c r="BL363" s="79">
        <v>0</v>
      </c>
      <c r="BM363" s="77">
        <f t="shared" si="845"/>
        <v>0</v>
      </c>
      <c r="BN363" s="77">
        <f t="shared" si="846"/>
        <v>0</v>
      </c>
      <c r="BO363" s="77">
        <f t="shared" si="847"/>
        <v>5.6775999999999997E-3</v>
      </c>
      <c r="BP363" s="77">
        <f t="shared" si="848"/>
        <v>4.7190657760731725E-4</v>
      </c>
    </row>
    <row r="364" spans="1:68">
      <c r="A364" t="s">
        <v>175</v>
      </c>
      <c r="B364" t="s">
        <v>176</v>
      </c>
      <c r="C364" s="197" t="str">
        <f t="shared" si="883"/>
        <v>Lifecycle_Balanced_181</v>
      </c>
      <c r="D364">
        <v>181</v>
      </c>
      <c r="E364">
        <f>VLOOKUP($D364,'[2]LC Balanced'!$Q$2:$U$542,2,FALSE)</f>
        <v>3.3250000000000002E-2</v>
      </c>
      <c r="F364">
        <f>VLOOKUP($D364,'[2]LC Balanced'!$Q$2:$U$542,3,FALSE)</f>
        <v>0.33925</v>
      </c>
      <c r="G364">
        <f>VLOOKUP($D364,'[2]LC Balanced'!$Q$2:$U$542,4,FALSE)</f>
        <v>0.62749999999999995</v>
      </c>
      <c r="H364">
        <f>VLOOKUP($D364,'[2]LC Balanced'!$Q$2:$U$542,5,FALSE)</f>
        <v>0</v>
      </c>
      <c r="I364" s="77">
        <f t="shared" si="827"/>
        <v>1</v>
      </c>
      <c r="J364" s="77">
        <f t="shared" si="828"/>
        <v>5.7884618749999991E-2</v>
      </c>
      <c r="K364" s="77">
        <f t="shared" si="818"/>
        <v>4.7002844685879452E-3</v>
      </c>
      <c r="L364" s="76">
        <v>0</v>
      </c>
      <c r="M364" s="77">
        <f t="shared" si="834"/>
        <v>0</v>
      </c>
      <c r="N364" s="77">
        <f t="shared" si="835"/>
        <v>0</v>
      </c>
      <c r="O364" s="77">
        <f t="shared" si="836"/>
        <v>6.5993749999999993E-3</v>
      </c>
      <c r="P364" s="77">
        <f t="shared" si="837"/>
        <v>5.5161839898831833E-4</v>
      </c>
      <c r="R364" t="s">
        <v>177</v>
      </c>
      <c r="S364" t="s">
        <v>176</v>
      </c>
      <c r="T364" s="197" t="str">
        <f t="shared" si="926"/>
        <v>Autopilot_Balanced_181</v>
      </c>
      <c r="U364">
        <v>181</v>
      </c>
      <c r="V364">
        <f>VLOOKUP($U364,'[2]AP Balanced'!$Q$1:$T$542,2,FALSE)</f>
        <v>0.69123039999999991</v>
      </c>
      <c r="W364">
        <f>VLOOKUP($U364,'[2]AP Balanced'!$Q$1:$T$542,3,FALSE)</f>
        <v>0.30876960000000009</v>
      </c>
      <c r="X364">
        <f>VLOOKUP($U364,'[2]AP Balanced'!$Q$1:$T$542,4,FALSE)</f>
        <v>0</v>
      </c>
      <c r="Y364" s="77">
        <f t="shared" si="884"/>
        <v>1</v>
      </c>
      <c r="Z364" s="77">
        <f t="shared" si="873"/>
        <v>6.0526083559999992E-2</v>
      </c>
      <c r="AA364" s="77">
        <f t="shared" si="874"/>
        <v>4.9091012008788404E-3</v>
      </c>
      <c r="AB364" s="79">
        <v>1</v>
      </c>
      <c r="AC364" s="77">
        <f t="shared" si="838"/>
        <v>7.8824607999999994E-3</v>
      </c>
      <c r="AD364" s="77">
        <f t="shared" si="829"/>
        <v>6.5925689624413142E-4</v>
      </c>
      <c r="AE364" s="77">
        <f t="shared" si="839"/>
        <v>2.5000000000000001E-3</v>
      </c>
      <c r="AF364" s="77">
        <f t="shared" si="829"/>
        <v>2.0857243058891584E-4</v>
      </c>
      <c r="AH364" t="s">
        <v>175</v>
      </c>
      <c r="AI364" t="s">
        <v>176</v>
      </c>
      <c r="AJ364" s="197" t="str">
        <f t="shared" si="885"/>
        <v>Lifecycle_Balanced_181</v>
      </c>
      <c r="AK364">
        <v>181</v>
      </c>
      <c r="AL364">
        <f>VLOOKUP($U364,[2]Standard_Balanced!$Q$1:$T$542,2,FALSE)</f>
        <v>0.54131913055555569</v>
      </c>
      <c r="AM364">
        <f>VLOOKUP($U364,[2]Standard_Balanced!$Q$1:$T$542,3,FALSE)</f>
        <v>0.45868086944444436</v>
      </c>
      <c r="AN364">
        <f>VLOOKUP($U364,[2]Standard_Balanced!$Q$1:$T$542,4,FALSE)</f>
        <v>0</v>
      </c>
      <c r="AO364" s="77">
        <f t="shared" si="815"/>
        <v>1</v>
      </c>
      <c r="AP364" s="77">
        <f t="shared" si="840"/>
        <v>5.8536011458124995E-2</v>
      </c>
      <c r="AQ364" s="77">
        <f t="shared" si="886"/>
        <v>4.7518236283412563E-3</v>
      </c>
      <c r="AR364" s="79">
        <v>0</v>
      </c>
      <c r="AS364" s="77">
        <f t="shared" si="841"/>
        <v>0</v>
      </c>
      <c r="AT364" s="77">
        <f t="shared" ref="AT364" si="931">1-(1-AS364)^(1/12)</f>
        <v>0</v>
      </c>
      <c r="AU364" s="77">
        <f t="shared" si="843"/>
        <v>2.5000000000000001E-3</v>
      </c>
      <c r="AV364" s="77">
        <f t="shared" ref="AV364" si="932">1-(1-AU364)^(1/12)</f>
        <v>2.0857243058891584E-4</v>
      </c>
      <c r="AX364" t="s">
        <v>178</v>
      </c>
      <c r="AY364" t="s">
        <v>160</v>
      </c>
      <c r="AZ364" s="197" t="str">
        <f t="shared" si="889"/>
        <v>DIS_Non-Standard_181</v>
      </c>
      <c r="BA364">
        <v>181</v>
      </c>
      <c r="BB364">
        <f>VLOOKUP($BA364,'[2]NonStandard DIS'!$Q$1:$X$542,2,FALSE)</f>
        <v>0</v>
      </c>
      <c r="BC364">
        <f>VLOOKUP($BA364,'[2]NonStandard DIS'!$Q$1:$X$542,3,FALSE)</f>
        <v>0</v>
      </c>
      <c r="BD364">
        <f>VLOOKUP($BA364,'[2]NonStandard DIS'!$Q$1:$X$542,4,FALSE)</f>
        <v>0.308</v>
      </c>
      <c r="BE364">
        <f>VLOOKUP($BA364,'[2]NonStandard DIS'!$Q$1:$X$542,5,FALSE)</f>
        <v>0.69199999999999995</v>
      </c>
      <c r="BF364">
        <f>VLOOKUP($BA364,'[2]NonStandard DIS'!$Q$1:$X$542,6,FALSE)</f>
        <v>0</v>
      </c>
      <c r="BG364">
        <f>VLOOKUP($BA364,'[2]NonStandard DIS'!$Q$1:$X$542,7,FALSE)</f>
        <v>0</v>
      </c>
      <c r="BH364">
        <f>VLOOKUP($BA364,'[2]NonStandard DIS'!$Q$1:$X$542,8,FALSE)</f>
        <v>0</v>
      </c>
      <c r="BI364" s="77">
        <f t="shared" si="832"/>
        <v>1</v>
      </c>
      <c r="BJ364" s="77">
        <f t="shared" si="833"/>
        <v>6.9728499999999985E-2</v>
      </c>
      <c r="BK364" s="77">
        <f t="shared" si="814"/>
        <v>5.632878498097682E-3</v>
      </c>
      <c r="BL364" s="79">
        <v>0</v>
      </c>
      <c r="BM364" s="77">
        <f t="shared" si="845"/>
        <v>0</v>
      </c>
      <c r="BN364" s="77">
        <f t="shared" si="846"/>
        <v>0</v>
      </c>
      <c r="BO364" s="77">
        <f t="shared" si="847"/>
        <v>5.6775999999999997E-3</v>
      </c>
      <c r="BP364" s="77">
        <f t="shared" si="848"/>
        <v>4.7190657760731725E-4</v>
      </c>
    </row>
    <row r="365" spans="1:68">
      <c r="A365" t="s">
        <v>175</v>
      </c>
      <c r="B365" t="s">
        <v>176</v>
      </c>
      <c r="C365" s="197" t="str">
        <f t="shared" si="883"/>
        <v>Lifecycle_Balanced_180</v>
      </c>
      <c r="D365">
        <v>180</v>
      </c>
      <c r="E365">
        <f>VLOOKUP($D365,'[2]LC Balanced'!$Q$2:$U$542,2,FALSE)</f>
        <v>3.5000000000000003E-2</v>
      </c>
      <c r="F365">
        <f>VLOOKUP($D365,'[2]LC Balanced'!$Q$2:$U$542,3,FALSE)</f>
        <v>0.34699999999999998</v>
      </c>
      <c r="G365">
        <f>VLOOKUP($D365,'[2]LC Balanced'!$Q$2:$U$542,4,FALSE)</f>
        <v>0.61799999999999999</v>
      </c>
      <c r="H365">
        <f>VLOOKUP($D365,'[2]LC Balanced'!$Q$2:$U$542,5,FALSE)</f>
        <v>0</v>
      </c>
      <c r="I365" s="77">
        <f t="shared" si="827"/>
        <v>1</v>
      </c>
      <c r="J365" s="77">
        <f t="shared" si="828"/>
        <v>5.7708724999999989E-2</v>
      </c>
      <c r="K365" s="77">
        <f t="shared" si="818"/>
        <v>4.6863625053403801E-3</v>
      </c>
      <c r="L365" s="76">
        <v>0</v>
      </c>
      <c r="M365" s="77">
        <f t="shared" si="834"/>
        <v>0</v>
      </c>
      <c r="N365" s="77">
        <f t="shared" si="835"/>
        <v>0</v>
      </c>
      <c r="O365" s="77">
        <f t="shared" si="836"/>
        <v>6.5808999999999989E-3</v>
      </c>
      <c r="P365" s="77">
        <f t="shared" si="837"/>
        <v>5.5006945597768642E-4</v>
      </c>
      <c r="R365" t="s">
        <v>177</v>
      </c>
      <c r="S365" t="s">
        <v>176</v>
      </c>
      <c r="T365" s="197" t="str">
        <f t="shared" si="926"/>
        <v>Autopilot_Balanced_180</v>
      </c>
      <c r="U365">
        <v>180</v>
      </c>
      <c r="V365">
        <f>VLOOKUP($U365,'[2]AP Balanced'!$Q$1:$T$542,2,FALSE)</f>
        <v>0.52769083333333344</v>
      </c>
      <c r="W365">
        <f>VLOOKUP($U365,'[2]AP Balanced'!$Q$1:$T$542,3,FALSE)</f>
        <v>0.47230916666666656</v>
      </c>
      <c r="X365">
        <f>VLOOKUP($U365,'[2]AP Balanced'!$Q$1:$T$542,4,FALSE)</f>
        <v>0</v>
      </c>
      <c r="Y365" s="77">
        <f t="shared" si="884"/>
        <v>1</v>
      </c>
      <c r="Z365" s="77">
        <f t="shared" si="873"/>
        <v>5.8355095812499994E-2</v>
      </c>
      <c r="AA365" s="77">
        <f t="shared" si="874"/>
        <v>4.7375122300441497E-3</v>
      </c>
      <c r="AB365" s="79">
        <v>1</v>
      </c>
      <c r="AC365" s="77">
        <f t="shared" si="838"/>
        <v>7.5553816666666671E-3</v>
      </c>
      <c r="AD365" s="77">
        <f t="shared" si="829"/>
        <v>6.3180600527856789E-4</v>
      </c>
      <c r="AE365" s="77">
        <f t="shared" si="839"/>
        <v>2.5000000000000001E-3</v>
      </c>
      <c r="AF365" s="77">
        <f t="shared" si="829"/>
        <v>2.0857243058891584E-4</v>
      </c>
      <c r="AH365" t="s">
        <v>175</v>
      </c>
      <c r="AI365" t="s">
        <v>176</v>
      </c>
      <c r="AJ365" s="197" t="str">
        <f t="shared" si="885"/>
        <v>Lifecycle_Balanced_180</v>
      </c>
      <c r="AK365">
        <v>180</v>
      </c>
      <c r="AL365">
        <f>VLOOKUP($U365,[2]Standard_Balanced!$Q$1:$T$542,2,FALSE)</f>
        <v>0.52769083333333344</v>
      </c>
      <c r="AM365">
        <f>VLOOKUP($U365,[2]Standard_Balanced!$Q$1:$T$542,3,FALSE)</f>
        <v>0.47230916666666656</v>
      </c>
      <c r="AN365">
        <f>VLOOKUP($U365,[2]Standard_Balanced!$Q$1:$T$542,4,FALSE)</f>
        <v>0</v>
      </c>
      <c r="AO365" s="77">
        <f t="shared" si="815"/>
        <v>1</v>
      </c>
      <c r="AP365" s="77">
        <f t="shared" si="840"/>
        <v>5.8355095812499994E-2</v>
      </c>
      <c r="AQ365" s="77">
        <f t="shared" si="886"/>
        <v>4.7375122300441497E-3</v>
      </c>
      <c r="AR365" s="79">
        <v>0</v>
      </c>
      <c r="AS365" s="77">
        <f t="shared" si="841"/>
        <v>0</v>
      </c>
      <c r="AT365" s="77">
        <f t="shared" ref="AT365" si="933">1-(1-AS365)^(1/12)</f>
        <v>0</v>
      </c>
      <c r="AU365" s="77">
        <f t="shared" si="843"/>
        <v>2.5000000000000001E-3</v>
      </c>
      <c r="AV365" s="77">
        <f t="shared" ref="AV365" si="934">1-(1-AU365)^(1/12)</f>
        <v>2.0857243058891584E-4</v>
      </c>
      <c r="AX365" t="s">
        <v>178</v>
      </c>
      <c r="AY365" t="s">
        <v>160</v>
      </c>
      <c r="AZ365" s="197" t="str">
        <f t="shared" si="889"/>
        <v>DIS_Non-Standard_180</v>
      </c>
      <c r="BA365">
        <v>180</v>
      </c>
      <c r="BB365">
        <f>VLOOKUP($BA365,'[2]NonStandard DIS'!$Q$1:$X$542,2,FALSE)</f>
        <v>0</v>
      </c>
      <c r="BC365">
        <f>VLOOKUP($BA365,'[2]NonStandard DIS'!$Q$1:$X$542,3,FALSE)</f>
        <v>0</v>
      </c>
      <c r="BD365">
        <f>VLOOKUP($BA365,'[2]NonStandard DIS'!$Q$1:$X$542,4,FALSE)</f>
        <v>0.308</v>
      </c>
      <c r="BE365">
        <f>VLOOKUP($BA365,'[2]NonStandard DIS'!$Q$1:$X$542,5,FALSE)</f>
        <v>0.69199999999999995</v>
      </c>
      <c r="BF365">
        <f>VLOOKUP($BA365,'[2]NonStandard DIS'!$Q$1:$X$542,6,FALSE)</f>
        <v>0</v>
      </c>
      <c r="BG365">
        <f>VLOOKUP($BA365,'[2]NonStandard DIS'!$Q$1:$X$542,7,FALSE)</f>
        <v>0</v>
      </c>
      <c r="BH365">
        <f>VLOOKUP($BA365,'[2]NonStandard DIS'!$Q$1:$X$542,8,FALSE)</f>
        <v>0</v>
      </c>
      <c r="BI365" s="77">
        <f t="shared" si="832"/>
        <v>1</v>
      </c>
      <c r="BJ365" s="77">
        <f t="shared" si="833"/>
        <v>6.9728499999999985E-2</v>
      </c>
      <c r="BK365" s="77">
        <f t="shared" si="814"/>
        <v>5.632878498097682E-3</v>
      </c>
      <c r="BL365" s="79">
        <v>0</v>
      </c>
      <c r="BM365" s="77">
        <f t="shared" si="845"/>
        <v>0</v>
      </c>
      <c r="BN365" s="77">
        <f t="shared" si="846"/>
        <v>0</v>
      </c>
      <c r="BO365" s="77">
        <f t="shared" si="847"/>
        <v>5.6775999999999997E-3</v>
      </c>
      <c r="BP365" s="77">
        <f t="shared" si="848"/>
        <v>4.7190657760731725E-4</v>
      </c>
    </row>
    <row r="366" spans="1:68">
      <c r="A366" t="s">
        <v>175</v>
      </c>
      <c r="B366" t="s">
        <v>176</v>
      </c>
      <c r="C366" s="197" t="str">
        <f t="shared" si="883"/>
        <v>Lifecycle_Balanced_179</v>
      </c>
      <c r="D366">
        <v>179</v>
      </c>
      <c r="E366">
        <f>VLOOKUP($D366,'[2]LC Balanced'!$Q$2:$U$542,2,FALSE)</f>
        <v>3.8833333333333338E-2</v>
      </c>
      <c r="F366">
        <f>VLOOKUP($D366,'[2]LC Balanced'!$Q$2:$U$542,3,FALSE)</f>
        <v>0.34983333333333333</v>
      </c>
      <c r="G366">
        <f>VLOOKUP($D366,'[2]LC Balanced'!$Q$2:$U$542,4,FALSE)</f>
        <v>0.61133333333333328</v>
      </c>
      <c r="H366">
        <f>VLOOKUP($D366,'[2]LC Balanced'!$Q$2:$U$542,5,FALSE)</f>
        <v>0</v>
      </c>
      <c r="I366" s="77">
        <f t="shared" si="827"/>
        <v>1</v>
      </c>
      <c r="J366" s="77">
        <f t="shared" si="828"/>
        <v>5.7573762499999986E-2</v>
      </c>
      <c r="K366" s="77">
        <f t="shared" si="818"/>
        <v>4.6756788052328968E-3</v>
      </c>
      <c r="L366" s="76">
        <v>0</v>
      </c>
      <c r="M366" s="77">
        <f t="shared" si="834"/>
        <v>0</v>
      </c>
      <c r="N366" s="77">
        <f t="shared" si="835"/>
        <v>0</v>
      </c>
      <c r="O366" s="77">
        <f t="shared" si="836"/>
        <v>6.5588166666666657E-3</v>
      </c>
      <c r="P366" s="77">
        <f t="shared" si="837"/>
        <v>5.482180251384916E-4</v>
      </c>
      <c r="R366" t="s">
        <v>177</v>
      </c>
      <c r="S366" t="s">
        <v>176</v>
      </c>
      <c r="T366" s="197" t="str">
        <f t="shared" si="926"/>
        <v>Autopilot_Balanced_179</v>
      </c>
      <c r="U366">
        <v>179</v>
      </c>
      <c r="V366">
        <f>VLOOKUP($U366,'[2]AP Balanced'!$Q$1:$T$542,2,FALSE)</f>
        <v>0.52769083333333344</v>
      </c>
      <c r="W366">
        <f>VLOOKUP($U366,'[2]AP Balanced'!$Q$1:$T$542,3,FALSE)</f>
        <v>0.47230916666666656</v>
      </c>
      <c r="X366">
        <f>VLOOKUP($U366,'[2]AP Balanced'!$Q$1:$T$542,4,FALSE)</f>
        <v>0</v>
      </c>
      <c r="Y366" s="77">
        <f t="shared" si="884"/>
        <v>1</v>
      </c>
      <c r="Z366" s="77">
        <f t="shared" si="873"/>
        <v>5.8355095812499994E-2</v>
      </c>
      <c r="AA366" s="77">
        <f t="shared" si="874"/>
        <v>4.7375122300441497E-3</v>
      </c>
      <c r="AB366" s="79">
        <v>1</v>
      </c>
      <c r="AC366" s="77">
        <f t="shared" si="838"/>
        <v>7.5553816666666671E-3</v>
      </c>
      <c r="AD366" s="77">
        <f t="shared" si="829"/>
        <v>6.3180600527856789E-4</v>
      </c>
      <c r="AE366" s="77">
        <f t="shared" si="839"/>
        <v>2.5000000000000001E-3</v>
      </c>
      <c r="AF366" s="77">
        <f t="shared" si="829"/>
        <v>2.0857243058891584E-4</v>
      </c>
      <c r="AH366" t="s">
        <v>175</v>
      </c>
      <c r="AI366" t="s">
        <v>176</v>
      </c>
      <c r="AJ366" s="197" t="str">
        <f t="shared" si="885"/>
        <v>Lifecycle_Balanced_179</v>
      </c>
      <c r="AK366">
        <v>179</v>
      </c>
      <c r="AL366">
        <f>VLOOKUP($U366,[2]Standard_Balanced!$Q$1:$T$542,2,FALSE)</f>
        <v>0.5172371027777779</v>
      </c>
      <c r="AM366">
        <f>VLOOKUP($U366,[2]Standard_Balanced!$Q$1:$T$542,3,FALSE)</f>
        <v>0.48276289722222215</v>
      </c>
      <c r="AN366">
        <f>VLOOKUP($U366,[2]Standard_Balanced!$Q$1:$T$542,4,FALSE)</f>
        <v>0</v>
      </c>
      <c r="AO366" s="77">
        <f t="shared" si="815"/>
        <v>1</v>
      </c>
      <c r="AP366" s="77">
        <f t="shared" si="840"/>
        <v>5.821632253937499E-2</v>
      </c>
      <c r="AQ366" s="77">
        <f t="shared" si="886"/>
        <v>4.7265329996419858E-3</v>
      </c>
      <c r="AR366" s="79">
        <v>0</v>
      </c>
      <c r="AS366" s="77">
        <f t="shared" si="841"/>
        <v>0</v>
      </c>
      <c r="AT366" s="77">
        <f t="shared" ref="AT366" si="935">1-(1-AS366)^(1/12)</f>
        <v>0</v>
      </c>
      <c r="AU366" s="77">
        <f t="shared" si="843"/>
        <v>2.5000000000000005E-3</v>
      </c>
      <c r="AV366" s="77">
        <f t="shared" ref="AV366" si="936">1-(1-AU366)^(1/12)</f>
        <v>2.0857243058891584E-4</v>
      </c>
      <c r="AX366" t="s">
        <v>178</v>
      </c>
      <c r="AY366" t="s">
        <v>160</v>
      </c>
      <c r="AZ366" s="197" t="str">
        <f t="shared" si="889"/>
        <v>DIS_Non-Standard_179</v>
      </c>
      <c r="BA366">
        <v>179</v>
      </c>
      <c r="BB366">
        <f>VLOOKUP($BA366,'[2]NonStandard DIS'!$Q$1:$X$542,2,FALSE)</f>
        <v>0</v>
      </c>
      <c r="BC366">
        <f>VLOOKUP($BA366,'[2]NonStandard DIS'!$Q$1:$X$542,3,FALSE)</f>
        <v>0</v>
      </c>
      <c r="BD366">
        <f>VLOOKUP($BA366,'[2]NonStandard DIS'!$Q$1:$X$542,4,FALSE)</f>
        <v>0.31916666666666665</v>
      </c>
      <c r="BE366">
        <f>VLOOKUP($BA366,'[2]NonStandard DIS'!$Q$1:$X$542,5,FALSE)</f>
        <v>0.68083333333333329</v>
      </c>
      <c r="BF366">
        <f>VLOOKUP($BA366,'[2]NonStandard DIS'!$Q$1:$X$542,6,FALSE)</f>
        <v>0</v>
      </c>
      <c r="BG366">
        <f>VLOOKUP($BA366,'[2]NonStandard DIS'!$Q$1:$X$542,7,FALSE)</f>
        <v>0</v>
      </c>
      <c r="BH366">
        <f>VLOOKUP($BA366,'[2]NonStandard DIS'!$Q$1:$X$542,8,FALSE)</f>
        <v>0</v>
      </c>
      <c r="BI366" s="77">
        <f t="shared" si="832"/>
        <v>1</v>
      </c>
      <c r="BJ366" s="77">
        <f t="shared" si="833"/>
        <v>6.9646145833333326E-2</v>
      </c>
      <c r="BK366" s="77">
        <f t="shared" si="814"/>
        <v>5.6264266289174358E-3</v>
      </c>
      <c r="BL366" s="79">
        <v>0</v>
      </c>
      <c r="BM366" s="77">
        <f t="shared" si="845"/>
        <v>0</v>
      </c>
      <c r="BN366" s="77">
        <f t="shared" si="846"/>
        <v>0</v>
      </c>
      <c r="BO366" s="77">
        <f t="shared" si="847"/>
        <v>5.7021666666666661E-3</v>
      </c>
      <c r="BP366" s="77">
        <f t="shared" si="848"/>
        <v>4.7394317998206148E-4</v>
      </c>
    </row>
    <row r="367" spans="1:68">
      <c r="A367" t="s">
        <v>175</v>
      </c>
      <c r="B367" t="s">
        <v>176</v>
      </c>
      <c r="C367" s="197" t="str">
        <f t="shared" si="883"/>
        <v>Lifecycle_Balanced_178</v>
      </c>
      <c r="D367">
        <v>178</v>
      </c>
      <c r="E367">
        <f>VLOOKUP($D367,'[2]LC Balanced'!$Q$2:$U$542,2,FALSE)</f>
        <v>4.2666666666666672E-2</v>
      </c>
      <c r="F367">
        <f>VLOOKUP($D367,'[2]LC Balanced'!$Q$2:$U$542,3,FALSE)</f>
        <v>0.35266666666666663</v>
      </c>
      <c r="G367">
        <f>VLOOKUP($D367,'[2]LC Balanced'!$Q$2:$U$542,4,FALSE)</f>
        <v>0.60466666666666669</v>
      </c>
      <c r="H367">
        <f>VLOOKUP($D367,'[2]LC Balanced'!$Q$2:$U$542,5,FALSE)</f>
        <v>0</v>
      </c>
      <c r="I367" s="77">
        <f t="shared" si="827"/>
        <v>1</v>
      </c>
      <c r="J367" s="77">
        <f t="shared" si="828"/>
        <v>5.7438799999999991E-2</v>
      </c>
      <c r="K367" s="77">
        <f t="shared" si="818"/>
        <v>4.6649938552667525E-3</v>
      </c>
      <c r="L367" s="76">
        <v>0</v>
      </c>
      <c r="M367" s="77">
        <f t="shared" si="834"/>
        <v>0</v>
      </c>
      <c r="N367" s="77">
        <f t="shared" si="835"/>
        <v>0</v>
      </c>
      <c r="O367" s="77">
        <f t="shared" si="836"/>
        <v>6.5367333333333326E-3</v>
      </c>
      <c r="P367" s="77">
        <f t="shared" si="837"/>
        <v>5.4636663202500824E-4</v>
      </c>
      <c r="R367" t="s">
        <v>177</v>
      </c>
      <c r="S367" t="s">
        <v>176</v>
      </c>
      <c r="T367" s="197" t="str">
        <f t="shared" si="926"/>
        <v>Autopilot_Balanced_178</v>
      </c>
      <c r="U367">
        <v>178</v>
      </c>
      <c r="V367">
        <f>VLOOKUP($U367,'[2]AP Balanced'!$Q$1:$T$542,2,FALSE)</f>
        <v>0.52769083333333344</v>
      </c>
      <c r="W367">
        <f>VLOOKUP($U367,'[2]AP Balanced'!$Q$1:$T$542,3,FALSE)</f>
        <v>0.47230916666666656</v>
      </c>
      <c r="X367">
        <f>VLOOKUP($U367,'[2]AP Balanced'!$Q$1:$T$542,4,FALSE)</f>
        <v>0</v>
      </c>
      <c r="Y367" s="77">
        <f t="shared" si="884"/>
        <v>1</v>
      </c>
      <c r="Z367" s="77">
        <f t="shared" si="873"/>
        <v>5.8355095812499994E-2</v>
      </c>
      <c r="AA367" s="77">
        <f t="shared" si="874"/>
        <v>4.7375122300441497E-3</v>
      </c>
      <c r="AB367" s="79">
        <v>1</v>
      </c>
      <c r="AC367" s="77">
        <f t="shared" si="838"/>
        <v>7.5553816666666671E-3</v>
      </c>
      <c r="AD367" s="77">
        <f t="shared" si="829"/>
        <v>6.3180600527856789E-4</v>
      </c>
      <c r="AE367" s="77">
        <f t="shared" si="839"/>
        <v>2.5000000000000001E-3</v>
      </c>
      <c r="AF367" s="77">
        <f t="shared" si="829"/>
        <v>2.0857243058891584E-4</v>
      </c>
      <c r="AH367" t="s">
        <v>175</v>
      </c>
      <c r="AI367" t="s">
        <v>176</v>
      </c>
      <c r="AJ367" s="197" t="str">
        <f t="shared" si="885"/>
        <v>Lifecycle_Balanced_178</v>
      </c>
      <c r="AK367">
        <v>178</v>
      </c>
      <c r="AL367">
        <f>VLOOKUP($U367,[2]Standard_Balanced!$Q$1:$T$542,2,FALSE)</f>
        <v>0.50678337222222225</v>
      </c>
      <c r="AM367">
        <f>VLOOKUP($U367,[2]Standard_Balanced!$Q$1:$T$542,3,FALSE)</f>
        <v>0.49321662777777769</v>
      </c>
      <c r="AN367">
        <f>VLOOKUP($U367,[2]Standard_Balanced!$Q$1:$T$542,4,FALSE)</f>
        <v>0</v>
      </c>
      <c r="AO367" s="77">
        <f t="shared" si="815"/>
        <v>1</v>
      </c>
      <c r="AP367" s="77">
        <f t="shared" si="840"/>
        <v>5.8077549266249986E-2</v>
      </c>
      <c r="AQ367" s="77">
        <f t="shared" si="886"/>
        <v>4.7155524493402989E-3</v>
      </c>
      <c r="AR367" s="79">
        <v>0</v>
      </c>
      <c r="AS367" s="77">
        <f t="shared" si="841"/>
        <v>0</v>
      </c>
      <c r="AT367" s="77">
        <f t="shared" ref="AT367" si="937">1-(1-AS367)^(1/12)</f>
        <v>0</v>
      </c>
      <c r="AU367" s="77">
        <f t="shared" si="843"/>
        <v>2.5000000000000001E-3</v>
      </c>
      <c r="AV367" s="77">
        <f t="shared" ref="AV367" si="938">1-(1-AU367)^(1/12)</f>
        <v>2.0857243058891584E-4</v>
      </c>
      <c r="AX367" t="s">
        <v>178</v>
      </c>
      <c r="AY367" t="s">
        <v>160</v>
      </c>
      <c r="AZ367" s="197" t="str">
        <f t="shared" si="889"/>
        <v>DIS_Non-Standard_178</v>
      </c>
      <c r="BA367">
        <v>178</v>
      </c>
      <c r="BB367">
        <f>VLOOKUP($BA367,'[2]NonStandard DIS'!$Q$1:$X$542,2,FALSE)</f>
        <v>0</v>
      </c>
      <c r="BC367">
        <f>VLOOKUP($BA367,'[2]NonStandard DIS'!$Q$1:$X$542,3,FALSE)</f>
        <v>0</v>
      </c>
      <c r="BD367">
        <f>VLOOKUP($BA367,'[2]NonStandard DIS'!$Q$1:$X$542,4,FALSE)</f>
        <v>0.33033333333333331</v>
      </c>
      <c r="BE367">
        <f>VLOOKUP($BA367,'[2]NonStandard DIS'!$Q$1:$X$542,5,FALSE)</f>
        <v>0.66966666666666663</v>
      </c>
      <c r="BF367">
        <f>VLOOKUP($BA367,'[2]NonStandard DIS'!$Q$1:$X$542,6,FALSE)</f>
        <v>0</v>
      </c>
      <c r="BG367">
        <f>VLOOKUP($BA367,'[2]NonStandard DIS'!$Q$1:$X$542,7,FALSE)</f>
        <v>0</v>
      </c>
      <c r="BH367">
        <f>VLOOKUP($BA367,'[2]NonStandard DIS'!$Q$1:$X$542,8,FALSE)</f>
        <v>0</v>
      </c>
      <c r="BI367" s="77">
        <f t="shared" si="832"/>
        <v>1</v>
      </c>
      <c r="BJ367" s="77">
        <f t="shared" si="833"/>
        <v>6.9563791666666652E-2</v>
      </c>
      <c r="BK367" s="77">
        <f t="shared" si="814"/>
        <v>5.6199743043743311E-3</v>
      </c>
      <c r="BL367" s="79">
        <v>0</v>
      </c>
      <c r="BM367" s="77">
        <f t="shared" si="845"/>
        <v>0</v>
      </c>
      <c r="BN367" s="77">
        <f t="shared" si="846"/>
        <v>0</v>
      </c>
      <c r="BO367" s="77">
        <f t="shared" si="847"/>
        <v>5.7267333333333326E-3</v>
      </c>
      <c r="BP367" s="77">
        <f t="shared" si="848"/>
        <v>4.7597973675417293E-4</v>
      </c>
    </row>
    <row r="368" spans="1:68">
      <c r="A368" t="s">
        <v>175</v>
      </c>
      <c r="B368" t="s">
        <v>176</v>
      </c>
      <c r="C368" s="197" t="str">
        <f t="shared" si="883"/>
        <v>Lifecycle_Balanced_177</v>
      </c>
      <c r="D368">
        <v>177</v>
      </c>
      <c r="E368">
        <f>VLOOKUP($D368,'[2]LC Balanced'!$Q$2:$U$542,2,FALSE)</f>
        <v>4.65E-2</v>
      </c>
      <c r="F368">
        <f>VLOOKUP($D368,'[2]LC Balanced'!$Q$2:$U$542,3,FALSE)</f>
        <v>0.35549999999999998</v>
      </c>
      <c r="G368">
        <f>VLOOKUP($D368,'[2]LC Balanced'!$Q$2:$U$542,4,FALSE)</f>
        <v>0.59799999999999998</v>
      </c>
      <c r="H368">
        <f>VLOOKUP($D368,'[2]LC Balanced'!$Q$2:$U$542,5,FALSE)</f>
        <v>0</v>
      </c>
      <c r="I368" s="77">
        <f t="shared" si="827"/>
        <v>1</v>
      </c>
      <c r="J368" s="77">
        <f t="shared" si="828"/>
        <v>5.7303837499999996E-2</v>
      </c>
      <c r="K368" s="77">
        <f t="shared" si="818"/>
        <v>4.6543076551357476E-3</v>
      </c>
      <c r="L368" s="76">
        <v>0</v>
      </c>
      <c r="M368" s="77">
        <f t="shared" si="834"/>
        <v>0</v>
      </c>
      <c r="N368" s="77">
        <f t="shared" si="835"/>
        <v>0</v>
      </c>
      <c r="O368" s="77">
        <f t="shared" si="836"/>
        <v>6.5146499999999994E-3</v>
      </c>
      <c r="P368" s="77">
        <f t="shared" si="837"/>
        <v>5.4451527663557098E-4</v>
      </c>
      <c r="R368" t="s">
        <v>177</v>
      </c>
      <c r="S368" t="s">
        <v>176</v>
      </c>
      <c r="T368" s="197" t="str">
        <f t="shared" si="926"/>
        <v>Autopilot_Balanced_177</v>
      </c>
      <c r="U368">
        <v>177</v>
      </c>
      <c r="V368">
        <f>VLOOKUP($U368,'[2]AP Balanced'!$Q$1:$T$542,2,FALSE)</f>
        <v>0.52769083333333344</v>
      </c>
      <c r="W368">
        <f>VLOOKUP($U368,'[2]AP Balanced'!$Q$1:$T$542,3,FALSE)</f>
        <v>0.47230916666666656</v>
      </c>
      <c r="X368">
        <f>VLOOKUP($U368,'[2]AP Balanced'!$Q$1:$T$542,4,FALSE)</f>
        <v>0</v>
      </c>
      <c r="Y368" s="77">
        <f t="shared" si="884"/>
        <v>1</v>
      </c>
      <c r="Z368" s="77">
        <f t="shared" si="873"/>
        <v>5.8355095812499994E-2</v>
      </c>
      <c r="AA368" s="77">
        <f t="shared" si="874"/>
        <v>4.7375122300441497E-3</v>
      </c>
      <c r="AB368" s="79">
        <v>1</v>
      </c>
      <c r="AC368" s="77">
        <f t="shared" si="838"/>
        <v>7.5553816666666671E-3</v>
      </c>
      <c r="AD368" s="77">
        <f t="shared" si="829"/>
        <v>6.3180600527856789E-4</v>
      </c>
      <c r="AE368" s="77">
        <f t="shared" si="839"/>
        <v>2.5000000000000001E-3</v>
      </c>
      <c r="AF368" s="77">
        <f t="shared" si="829"/>
        <v>2.0857243058891584E-4</v>
      </c>
      <c r="AH368" t="s">
        <v>175</v>
      </c>
      <c r="AI368" t="s">
        <v>176</v>
      </c>
      <c r="AJ368" s="197" t="str">
        <f t="shared" si="885"/>
        <v>Lifecycle_Balanced_177</v>
      </c>
      <c r="AK368">
        <v>177</v>
      </c>
      <c r="AL368">
        <f>VLOOKUP($U368,[2]Standard_Balanced!$Q$1:$T$542,2,FALSE)</f>
        <v>0.49632964166666671</v>
      </c>
      <c r="AM368">
        <f>VLOOKUP($U368,[2]Standard_Balanced!$Q$1:$T$542,3,FALSE)</f>
        <v>0.50367035833333329</v>
      </c>
      <c r="AN368">
        <f>VLOOKUP($U368,[2]Standard_Balanced!$Q$1:$T$542,4,FALSE)</f>
        <v>0</v>
      </c>
      <c r="AO368" s="77">
        <f t="shared" si="815"/>
        <v>1</v>
      </c>
      <c r="AP368" s="77">
        <f t="shared" si="840"/>
        <v>5.7938775993124997E-2</v>
      </c>
      <c r="AQ368" s="77">
        <f t="shared" si="886"/>
        <v>4.7045705788073544E-3</v>
      </c>
      <c r="AR368" s="79">
        <v>0</v>
      </c>
      <c r="AS368" s="77">
        <f t="shared" si="841"/>
        <v>0</v>
      </c>
      <c r="AT368" s="77">
        <f t="shared" ref="AT368" si="939">1-(1-AS368)^(1/12)</f>
        <v>0</v>
      </c>
      <c r="AU368" s="77">
        <f t="shared" si="843"/>
        <v>2.5000000000000001E-3</v>
      </c>
      <c r="AV368" s="77">
        <f t="shared" ref="AV368" si="940">1-(1-AU368)^(1/12)</f>
        <v>2.0857243058891584E-4</v>
      </c>
      <c r="AX368" t="s">
        <v>178</v>
      </c>
      <c r="AY368" t="s">
        <v>160</v>
      </c>
      <c r="AZ368" s="197" t="str">
        <f t="shared" si="889"/>
        <v>DIS_Non-Standard_177</v>
      </c>
      <c r="BA368">
        <v>177</v>
      </c>
      <c r="BB368">
        <f>VLOOKUP($BA368,'[2]NonStandard DIS'!$Q$1:$X$542,2,FALSE)</f>
        <v>0</v>
      </c>
      <c r="BC368">
        <f>VLOOKUP($BA368,'[2]NonStandard DIS'!$Q$1:$X$542,3,FALSE)</f>
        <v>0</v>
      </c>
      <c r="BD368">
        <f>VLOOKUP($BA368,'[2]NonStandard DIS'!$Q$1:$X$542,4,FALSE)</f>
        <v>0.34150000000000003</v>
      </c>
      <c r="BE368">
        <f>VLOOKUP($BA368,'[2]NonStandard DIS'!$Q$1:$X$542,5,FALSE)</f>
        <v>0.65849999999999997</v>
      </c>
      <c r="BF368">
        <f>VLOOKUP($BA368,'[2]NonStandard DIS'!$Q$1:$X$542,6,FALSE)</f>
        <v>0</v>
      </c>
      <c r="BG368">
        <f>VLOOKUP($BA368,'[2]NonStandard DIS'!$Q$1:$X$542,7,FALSE)</f>
        <v>0</v>
      </c>
      <c r="BH368">
        <f>VLOOKUP($BA368,'[2]NonStandard DIS'!$Q$1:$X$542,8,FALSE)</f>
        <v>0</v>
      </c>
      <c r="BI368" s="77">
        <f t="shared" si="832"/>
        <v>1</v>
      </c>
      <c r="BJ368" s="77">
        <f t="shared" si="833"/>
        <v>6.9481437499999993E-2</v>
      </c>
      <c r="BK368" s="77">
        <f t="shared" si="814"/>
        <v>5.6135215244010883E-3</v>
      </c>
      <c r="BL368" s="79">
        <v>0</v>
      </c>
      <c r="BM368" s="77">
        <f t="shared" si="845"/>
        <v>0</v>
      </c>
      <c r="BN368" s="77">
        <f t="shared" si="846"/>
        <v>0</v>
      </c>
      <c r="BO368" s="77">
        <f t="shared" si="847"/>
        <v>5.7513E-3</v>
      </c>
      <c r="BP368" s="77">
        <f t="shared" si="848"/>
        <v>4.7801624792587205E-4</v>
      </c>
    </row>
    <row r="369" spans="1:68">
      <c r="A369" t="s">
        <v>175</v>
      </c>
      <c r="B369" t="s">
        <v>176</v>
      </c>
      <c r="C369" s="197" t="str">
        <f t="shared" si="883"/>
        <v>Lifecycle_Balanced_176</v>
      </c>
      <c r="D369">
        <v>176</v>
      </c>
      <c r="E369">
        <f>VLOOKUP($D369,'[2]LC Balanced'!$Q$2:$U$542,2,FALSE)</f>
        <v>5.0333333333333334E-2</v>
      </c>
      <c r="F369">
        <f>VLOOKUP($D369,'[2]LC Balanced'!$Q$2:$U$542,3,FALSE)</f>
        <v>0.35833333333333334</v>
      </c>
      <c r="G369">
        <f>VLOOKUP($D369,'[2]LC Balanced'!$Q$2:$U$542,4,FALSE)</f>
        <v>0.59133333333333338</v>
      </c>
      <c r="H369">
        <f>VLOOKUP($D369,'[2]LC Balanced'!$Q$2:$U$542,5,FALSE)</f>
        <v>0</v>
      </c>
      <c r="I369" s="77">
        <f t="shared" si="827"/>
        <v>1</v>
      </c>
      <c r="J369" s="77">
        <f t="shared" si="828"/>
        <v>5.7168874999999994E-2</v>
      </c>
      <c r="K369" s="77">
        <f t="shared" si="818"/>
        <v>4.6436202045343489E-3</v>
      </c>
      <c r="L369" s="76">
        <v>0</v>
      </c>
      <c r="M369" s="77">
        <f t="shared" si="834"/>
        <v>0</v>
      </c>
      <c r="N369" s="77">
        <f t="shared" si="835"/>
        <v>0</v>
      </c>
      <c r="O369" s="77">
        <f t="shared" si="836"/>
        <v>6.4925666666666663E-3</v>
      </c>
      <c r="P369" s="77">
        <f t="shared" si="837"/>
        <v>5.4266395896862551E-4</v>
      </c>
      <c r="R369" t="s">
        <v>177</v>
      </c>
      <c r="S369" t="s">
        <v>176</v>
      </c>
      <c r="T369" s="197" t="str">
        <f t="shared" si="926"/>
        <v>Autopilot_Balanced_176</v>
      </c>
      <c r="U369">
        <v>176</v>
      </c>
      <c r="V369">
        <f>VLOOKUP($U369,'[2]AP Balanced'!$Q$1:$T$542,2,FALSE)</f>
        <v>0.52769083333333344</v>
      </c>
      <c r="W369">
        <f>VLOOKUP($U369,'[2]AP Balanced'!$Q$1:$T$542,3,FALSE)</f>
        <v>0.47230916666666656</v>
      </c>
      <c r="X369">
        <f>VLOOKUP($U369,'[2]AP Balanced'!$Q$1:$T$542,4,FALSE)</f>
        <v>0</v>
      </c>
      <c r="Y369" s="77">
        <f t="shared" si="884"/>
        <v>1</v>
      </c>
      <c r="Z369" s="77">
        <f t="shared" si="873"/>
        <v>5.8355095812499994E-2</v>
      </c>
      <c r="AA369" s="77">
        <f t="shared" si="874"/>
        <v>4.7375122300441497E-3</v>
      </c>
      <c r="AB369" s="79">
        <v>1</v>
      </c>
      <c r="AC369" s="77">
        <f t="shared" si="838"/>
        <v>7.5553816666666671E-3</v>
      </c>
      <c r="AD369" s="77">
        <f t="shared" si="829"/>
        <v>6.3180600527856789E-4</v>
      </c>
      <c r="AE369" s="77">
        <f t="shared" si="839"/>
        <v>2.5000000000000001E-3</v>
      </c>
      <c r="AF369" s="77">
        <f t="shared" si="829"/>
        <v>2.0857243058891584E-4</v>
      </c>
      <c r="AH369" t="s">
        <v>175</v>
      </c>
      <c r="AI369" t="s">
        <v>176</v>
      </c>
      <c r="AJ369" s="197" t="str">
        <f t="shared" si="885"/>
        <v>Lifecycle_Balanced_176</v>
      </c>
      <c r="AK369">
        <v>176</v>
      </c>
      <c r="AL369">
        <f>VLOOKUP($U369,[2]Standard_Balanced!$Q$1:$T$542,2,FALSE)</f>
        <v>0.48587591111111117</v>
      </c>
      <c r="AM369">
        <f>VLOOKUP($U369,[2]Standard_Balanced!$Q$1:$T$542,3,FALSE)</f>
        <v>0.51412408888888883</v>
      </c>
      <c r="AN369">
        <f>VLOOKUP($U369,[2]Standard_Balanced!$Q$1:$T$542,4,FALSE)</f>
        <v>0</v>
      </c>
      <c r="AO369" s="77">
        <f t="shared" si="815"/>
        <v>1</v>
      </c>
      <c r="AP369" s="77">
        <f t="shared" si="840"/>
        <v>5.7800002719999993E-2</v>
      </c>
      <c r="AQ369" s="77">
        <f t="shared" si="886"/>
        <v>4.6935873877114176E-3</v>
      </c>
      <c r="AR369" s="79">
        <v>0</v>
      </c>
      <c r="AS369" s="77">
        <f t="shared" si="841"/>
        <v>0</v>
      </c>
      <c r="AT369" s="77">
        <f t="shared" ref="AT369" si="941">1-(1-AS369)^(1/12)</f>
        <v>0</v>
      </c>
      <c r="AU369" s="77">
        <f t="shared" si="843"/>
        <v>2.5000000000000001E-3</v>
      </c>
      <c r="AV369" s="77">
        <f t="shared" ref="AV369" si="942">1-(1-AU369)^(1/12)</f>
        <v>2.0857243058891584E-4</v>
      </c>
      <c r="AX369" t="s">
        <v>178</v>
      </c>
      <c r="AY369" t="s">
        <v>160</v>
      </c>
      <c r="AZ369" s="197" t="str">
        <f t="shared" si="889"/>
        <v>DIS_Non-Standard_176</v>
      </c>
      <c r="BA369">
        <v>176</v>
      </c>
      <c r="BB369">
        <f>VLOOKUP($BA369,'[2]NonStandard DIS'!$Q$1:$X$542,2,FALSE)</f>
        <v>0</v>
      </c>
      <c r="BC369">
        <f>VLOOKUP($BA369,'[2]NonStandard DIS'!$Q$1:$X$542,3,FALSE)</f>
        <v>0</v>
      </c>
      <c r="BD369">
        <f>VLOOKUP($BA369,'[2]NonStandard DIS'!$Q$1:$X$542,4,FALSE)</f>
        <v>0.35266666666666668</v>
      </c>
      <c r="BE369">
        <f>VLOOKUP($BA369,'[2]NonStandard DIS'!$Q$1:$X$542,5,FALSE)</f>
        <v>0.64733333333333332</v>
      </c>
      <c r="BF369">
        <f>VLOOKUP($BA369,'[2]NonStandard DIS'!$Q$1:$X$542,6,FALSE)</f>
        <v>0</v>
      </c>
      <c r="BG369">
        <f>VLOOKUP($BA369,'[2]NonStandard DIS'!$Q$1:$X$542,7,FALSE)</f>
        <v>0</v>
      </c>
      <c r="BH369">
        <f>VLOOKUP($BA369,'[2]NonStandard DIS'!$Q$1:$X$542,8,FALSE)</f>
        <v>0</v>
      </c>
      <c r="BI369" s="77">
        <f t="shared" si="832"/>
        <v>1</v>
      </c>
      <c r="BJ369" s="77">
        <f t="shared" si="833"/>
        <v>6.9399083333333333E-2</v>
      </c>
      <c r="BK369" s="77">
        <f t="shared" si="814"/>
        <v>5.6070682889302059E-3</v>
      </c>
      <c r="BL369" s="79">
        <v>0</v>
      </c>
      <c r="BM369" s="77">
        <f t="shared" si="845"/>
        <v>0</v>
      </c>
      <c r="BN369" s="77">
        <f t="shared" si="846"/>
        <v>0</v>
      </c>
      <c r="BO369" s="77">
        <f t="shared" si="847"/>
        <v>5.7758666666666673E-3</v>
      </c>
      <c r="BP369" s="77">
        <f t="shared" si="848"/>
        <v>4.8005271349915724E-4</v>
      </c>
    </row>
    <row r="370" spans="1:68">
      <c r="A370" t="s">
        <v>175</v>
      </c>
      <c r="B370" t="s">
        <v>176</v>
      </c>
      <c r="C370" s="197" t="str">
        <f t="shared" si="883"/>
        <v>Lifecycle_Balanced_175</v>
      </c>
      <c r="D370">
        <v>175</v>
      </c>
      <c r="E370">
        <f>VLOOKUP($D370,'[2]LC Balanced'!$Q$2:$U$542,2,FALSE)</f>
        <v>5.4166666666666669E-2</v>
      </c>
      <c r="F370">
        <f>VLOOKUP($D370,'[2]LC Balanced'!$Q$2:$U$542,3,FALSE)</f>
        <v>0.36116666666666664</v>
      </c>
      <c r="G370">
        <f>VLOOKUP($D370,'[2]LC Balanced'!$Q$2:$U$542,4,FALSE)</f>
        <v>0.58466666666666667</v>
      </c>
      <c r="H370">
        <f>VLOOKUP($D370,'[2]LC Balanced'!$Q$2:$U$542,5,FALSE)</f>
        <v>0</v>
      </c>
      <c r="I370" s="77">
        <f t="shared" si="827"/>
        <v>1</v>
      </c>
      <c r="J370" s="77">
        <f t="shared" si="828"/>
        <v>5.7033912499999992E-2</v>
      </c>
      <c r="K370" s="77">
        <f t="shared" si="818"/>
        <v>4.6329315031563567E-3</v>
      </c>
      <c r="L370" s="76">
        <v>0</v>
      </c>
      <c r="M370" s="77">
        <f t="shared" si="834"/>
        <v>0</v>
      </c>
      <c r="N370" s="77">
        <f t="shared" si="835"/>
        <v>0</v>
      </c>
      <c r="O370" s="77">
        <f t="shared" si="836"/>
        <v>6.4704833333333331E-3</v>
      </c>
      <c r="P370" s="77">
        <f t="shared" si="837"/>
        <v>5.4081267902250652E-4</v>
      </c>
      <c r="R370" t="s">
        <v>177</v>
      </c>
      <c r="S370" t="s">
        <v>176</v>
      </c>
      <c r="T370" s="197" t="str">
        <f t="shared" si="926"/>
        <v>Autopilot_Balanced_175</v>
      </c>
      <c r="U370">
        <v>175</v>
      </c>
      <c r="V370">
        <f>VLOOKUP($U370,'[2]AP Balanced'!$Q$1:$T$542,2,FALSE)</f>
        <v>0.52769083333333344</v>
      </c>
      <c r="W370">
        <f>VLOOKUP($U370,'[2]AP Balanced'!$Q$1:$T$542,3,FALSE)</f>
        <v>0.47230916666666656</v>
      </c>
      <c r="X370">
        <f>VLOOKUP($U370,'[2]AP Balanced'!$Q$1:$T$542,4,FALSE)</f>
        <v>0</v>
      </c>
      <c r="Y370" s="77">
        <f t="shared" si="884"/>
        <v>1</v>
      </c>
      <c r="Z370" s="77">
        <f t="shared" si="873"/>
        <v>5.8355095812499994E-2</v>
      </c>
      <c r="AA370" s="77">
        <f t="shared" si="874"/>
        <v>4.7375122300441497E-3</v>
      </c>
      <c r="AB370" s="79">
        <v>1</v>
      </c>
      <c r="AC370" s="77">
        <f t="shared" si="838"/>
        <v>7.5553816666666671E-3</v>
      </c>
      <c r="AD370" s="77">
        <f t="shared" si="829"/>
        <v>6.3180600527856789E-4</v>
      </c>
      <c r="AE370" s="77">
        <f t="shared" si="839"/>
        <v>2.5000000000000001E-3</v>
      </c>
      <c r="AF370" s="77">
        <f t="shared" si="829"/>
        <v>2.0857243058891584E-4</v>
      </c>
      <c r="AH370" t="s">
        <v>175</v>
      </c>
      <c r="AI370" t="s">
        <v>176</v>
      </c>
      <c r="AJ370" s="197" t="str">
        <f t="shared" si="885"/>
        <v>Lifecycle_Balanced_175</v>
      </c>
      <c r="AK370">
        <v>175</v>
      </c>
      <c r="AL370">
        <f>VLOOKUP($U370,[2]Standard_Balanced!$Q$1:$T$542,2,FALSE)</f>
        <v>0.47542218055555557</v>
      </c>
      <c r="AM370">
        <f>VLOOKUP($U370,[2]Standard_Balanced!$Q$1:$T$542,3,FALSE)</f>
        <v>0.52457781944444448</v>
      </c>
      <c r="AN370">
        <f>VLOOKUP($U370,[2]Standard_Balanced!$Q$1:$T$542,4,FALSE)</f>
        <v>0</v>
      </c>
      <c r="AO370" s="77">
        <f t="shared" si="815"/>
        <v>1</v>
      </c>
      <c r="AP370" s="77">
        <f t="shared" si="840"/>
        <v>5.766122944687499E-2</v>
      </c>
      <c r="AQ370" s="77">
        <f t="shared" si="886"/>
        <v>4.6826028757200877E-3</v>
      </c>
      <c r="AR370" s="79">
        <v>0</v>
      </c>
      <c r="AS370" s="77">
        <f t="shared" si="841"/>
        <v>0</v>
      </c>
      <c r="AT370" s="77">
        <f t="shared" ref="AT370" si="943">1-(1-AS370)^(1/12)</f>
        <v>0</v>
      </c>
      <c r="AU370" s="77">
        <f t="shared" si="843"/>
        <v>2.5000000000000005E-3</v>
      </c>
      <c r="AV370" s="77">
        <f t="shared" ref="AV370" si="944">1-(1-AU370)^(1/12)</f>
        <v>2.0857243058891584E-4</v>
      </c>
      <c r="AX370" t="s">
        <v>178</v>
      </c>
      <c r="AY370" t="s">
        <v>160</v>
      </c>
      <c r="AZ370" s="197" t="str">
        <f t="shared" si="889"/>
        <v>DIS_Non-Standard_175</v>
      </c>
      <c r="BA370">
        <v>175</v>
      </c>
      <c r="BB370">
        <f>VLOOKUP($BA370,'[2]NonStandard DIS'!$Q$1:$X$542,2,FALSE)</f>
        <v>0</v>
      </c>
      <c r="BC370">
        <f>VLOOKUP($BA370,'[2]NonStandard DIS'!$Q$1:$X$542,3,FALSE)</f>
        <v>0</v>
      </c>
      <c r="BD370">
        <f>VLOOKUP($BA370,'[2]NonStandard DIS'!$Q$1:$X$542,4,FALSE)</f>
        <v>0.36383333333333334</v>
      </c>
      <c r="BE370">
        <f>VLOOKUP($BA370,'[2]NonStandard DIS'!$Q$1:$X$542,5,FALSE)</f>
        <v>0.63616666666666666</v>
      </c>
      <c r="BF370">
        <f>VLOOKUP($BA370,'[2]NonStandard DIS'!$Q$1:$X$542,6,FALSE)</f>
        <v>0</v>
      </c>
      <c r="BG370">
        <f>VLOOKUP($BA370,'[2]NonStandard DIS'!$Q$1:$X$542,7,FALSE)</f>
        <v>0</v>
      </c>
      <c r="BH370">
        <f>VLOOKUP($BA370,'[2]NonStandard DIS'!$Q$1:$X$542,8,FALSE)</f>
        <v>0</v>
      </c>
      <c r="BI370" s="77">
        <f t="shared" si="832"/>
        <v>1</v>
      </c>
      <c r="BJ370" s="77">
        <f t="shared" si="833"/>
        <v>6.931672916666666E-2</v>
      </c>
      <c r="BK370" s="77">
        <f t="shared" si="814"/>
        <v>5.6006145978948485E-3</v>
      </c>
      <c r="BL370" s="79">
        <v>0</v>
      </c>
      <c r="BM370" s="77">
        <f t="shared" si="845"/>
        <v>0</v>
      </c>
      <c r="BN370" s="77">
        <f t="shared" si="846"/>
        <v>0</v>
      </c>
      <c r="BO370" s="77">
        <f t="shared" si="847"/>
        <v>5.8004333333333338E-3</v>
      </c>
      <c r="BP370" s="77">
        <f t="shared" si="848"/>
        <v>4.8208913347624893E-4</v>
      </c>
    </row>
    <row r="371" spans="1:68">
      <c r="A371" t="s">
        <v>175</v>
      </c>
      <c r="B371" t="s">
        <v>176</v>
      </c>
      <c r="C371" s="197" t="str">
        <f t="shared" si="883"/>
        <v>Lifecycle_Balanced_174</v>
      </c>
      <c r="D371">
        <v>174</v>
      </c>
      <c r="E371">
        <f>VLOOKUP($D371,'[2]LC Balanced'!$Q$2:$U$542,2,FALSE)</f>
        <v>5.8000000000000003E-2</v>
      </c>
      <c r="F371">
        <f>VLOOKUP($D371,'[2]LC Balanced'!$Q$2:$U$542,3,FALSE)</f>
        <v>0.36399999999999999</v>
      </c>
      <c r="G371">
        <f>VLOOKUP($D371,'[2]LC Balanced'!$Q$2:$U$542,4,FALSE)</f>
        <v>0.57800000000000007</v>
      </c>
      <c r="H371">
        <f>VLOOKUP($D371,'[2]LC Balanced'!$Q$2:$U$542,5,FALSE)</f>
        <v>0</v>
      </c>
      <c r="I371" s="77">
        <f t="shared" si="827"/>
        <v>1</v>
      </c>
      <c r="J371" s="77">
        <f t="shared" si="828"/>
        <v>5.6898949999999997E-2</v>
      </c>
      <c r="K371" s="77">
        <f t="shared" si="818"/>
        <v>4.6222415506957937E-3</v>
      </c>
      <c r="L371" s="76">
        <v>0</v>
      </c>
      <c r="M371" s="77">
        <f t="shared" si="834"/>
        <v>0</v>
      </c>
      <c r="N371" s="77">
        <f t="shared" si="835"/>
        <v>0</v>
      </c>
      <c r="O371" s="77">
        <f t="shared" si="836"/>
        <v>6.4484E-3</v>
      </c>
      <c r="P371" s="77">
        <f t="shared" si="837"/>
        <v>5.3896143679565967E-4</v>
      </c>
      <c r="R371" t="s">
        <v>177</v>
      </c>
      <c r="S371" t="s">
        <v>176</v>
      </c>
      <c r="T371" s="197" t="str">
        <f t="shared" si="926"/>
        <v>Autopilot_Balanced_174</v>
      </c>
      <c r="U371">
        <v>174</v>
      </c>
      <c r="V371">
        <f>VLOOKUP($U371,'[2]AP Balanced'!$Q$1:$T$542,2,FALSE)</f>
        <v>0.52769083333333344</v>
      </c>
      <c r="W371">
        <f>VLOOKUP($U371,'[2]AP Balanced'!$Q$1:$T$542,3,FALSE)</f>
        <v>0.47230916666666656</v>
      </c>
      <c r="X371">
        <f>VLOOKUP($U371,'[2]AP Balanced'!$Q$1:$T$542,4,FALSE)</f>
        <v>0</v>
      </c>
      <c r="Y371" s="77">
        <f t="shared" si="884"/>
        <v>1</v>
      </c>
      <c r="Z371" s="77">
        <f t="shared" si="873"/>
        <v>5.8355095812499994E-2</v>
      </c>
      <c r="AA371" s="77">
        <f t="shared" si="874"/>
        <v>4.7375122300441497E-3</v>
      </c>
      <c r="AB371" s="79">
        <v>1</v>
      </c>
      <c r="AC371" s="77">
        <f t="shared" si="838"/>
        <v>7.5553816666666671E-3</v>
      </c>
      <c r="AD371" s="77">
        <f t="shared" si="829"/>
        <v>6.3180600527856789E-4</v>
      </c>
      <c r="AE371" s="77">
        <f t="shared" si="839"/>
        <v>2.5000000000000001E-3</v>
      </c>
      <c r="AF371" s="77">
        <f t="shared" si="829"/>
        <v>2.0857243058891584E-4</v>
      </c>
      <c r="AH371" t="s">
        <v>175</v>
      </c>
      <c r="AI371" t="s">
        <v>176</v>
      </c>
      <c r="AJ371" s="197" t="str">
        <f t="shared" si="885"/>
        <v>Lifecycle_Balanced_174</v>
      </c>
      <c r="AK371">
        <v>174</v>
      </c>
      <c r="AL371">
        <f>VLOOKUP($U371,[2]Standard_Balanced!$Q$1:$T$542,2,FALSE)</f>
        <v>0.46496844999999998</v>
      </c>
      <c r="AM371">
        <f>VLOOKUP($U371,[2]Standard_Balanced!$Q$1:$T$542,3,FALSE)</f>
        <v>0.53503155000000002</v>
      </c>
      <c r="AN371">
        <f>VLOOKUP($U371,[2]Standard_Balanced!$Q$1:$T$542,4,FALSE)</f>
        <v>0</v>
      </c>
      <c r="AO371" s="77">
        <f t="shared" si="815"/>
        <v>1</v>
      </c>
      <c r="AP371" s="77">
        <f t="shared" si="840"/>
        <v>5.7522456173749986E-2</v>
      </c>
      <c r="AQ371" s="77">
        <f t="shared" si="886"/>
        <v>4.6716170425016301E-3</v>
      </c>
      <c r="AR371" s="79">
        <v>0</v>
      </c>
      <c r="AS371" s="77">
        <f t="shared" si="841"/>
        <v>0</v>
      </c>
      <c r="AT371" s="77">
        <f t="shared" ref="AT371" si="945">1-(1-AS371)^(1/12)</f>
        <v>0</v>
      </c>
      <c r="AU371" s="77">
        <f t="shared" si="843"/>
        <v>2.5000000000000001E-3</v>
      </c>
      <c r="AV371" s="77">
        <f t="shared" ref="AV371" si="946">1-(1-AU371)^(1/12)</f>
        <v>2.0857243058891584E-4</v>
      </c>
      <c r="AX371" t="s">
        <v>178</v>
      </c>
      <c r="AY371" t="s">
        <v>160</v>
      </c>
      <c r="AZ371" s="197" t="str">
        <f t="shared" si="889"/>
        <v>DIS_Non-Standard_174</v>
      </c>
      <c r="BA371">
        <v>174</v>
      </c>
      <c r="BB371">
        <f>VLOOKUP($BA371,'[2]NonStandard DIS'!$Q$1:$X$542,2,FALSE)</f>
        <v>0</v>
      </c>
      <c r="BC371">
        <f>VLOOKUP($BA371,'[2]NonStandard DIS'!$Q$1:$X$542,3,FALSE)</f>
        <v>0</v>
      </c>
      <c r="BD371">
        <f>VLOOKUP($BA371,'[2]NonStandard DIS'!$Q$1:$X$542,4,FALSE)</f>
        <v>0.375</v>
      </c>
      <c r="BE371">
        <f>VLOOKUP($BA371,'[2]NonStandard DIS'!$Q$1:$X$542,5,FALSE)</f>
        <v>0.625</v>
      </c>
      <c r="BF371">
        <f>VLOOKUP($BA371,'[2]NonStandard DIS'!$Q$1:$X$542,6,FALSE)</f>
        <v>0</v>
      </c>
      <c r="BG371">
        <f>VLOOKUP($BA371,'[2]NonStandard DIS'!$Q$1:$X$542,7,FALSE)</f>
        <v>0</v>
      </c>
      <c r="BH371">
        <f>VLOOKUP($BA371,'[2]NonStandard DIS'!$Q$1:$X$542,8,FALSE)</f>
        <v>0</v>
      </c>
      <c r="BI371" s="77">
        <f t="shared" si="832"/>
        <v>1</v>
      </c>
      <c r="BJ371" s="77">
        <f t="shared" si="833"/>
        <v>6.9234374999999987E-2</v>
      </c>
      <c r="BK371" s="77">
        <f t="shared" si="814"/>
        <v>5.5941604512272924E-3</v>
      </c>
      <c r="BL371" s="79">
        <v>0</v>
      </c>
      <c r="BM371" s="77">
        <f t="shared" si="845"/>
        <v>0</v>
      </c>
      <c r="BN371" s="77">
        <f t="shared" si="846"/>
        <v>0</v>
      </c>
      <c r="BO371" s="77">
        <f t="shared" si="847"/>
        <v>5.8250000000000003E-3</v>
      </c>
      <c r="BP371" s="77">
        <f t="shared" si="848"/>
        <v>4.8412550785936759E-4</v>
      </c>
    </row>
    <row r="372" spans="1:68">
      <c r="A372" t="s">
        <v>175</v>
      </c>
      <c r="B372" t="s">
        <v>176</v>
      </c>
      <c r="C372" s="197" t="str">
        <f t="shared" si="883"/>
        <v>Lifecycle_Balanced_173</v>
      </c>
      <c r="D372">
        <v>173</v>
      </c>
      <c r="E372">
        <f>VLOOKUP($D372,'[2]LC Balanced'!$Q$2:$U$542,2,FALSE)</f>
        <v>6.1833333333333337E-2</v>
      </c>
      <c r="F372">
        <f>VLOOKUP($D372,'[2]LC Balanced'!$Q$2:$U$542,3,FALSE)</f>
        <v>0.36683333333333334</v>
      </c>
      <c r="G372">
        <f>VLOOKUP($D372,'[2]LC Balanced'!$Q$2:$U$542,4,FALSE)</f>
        <v>0.57133333333333336</v>
      </c>
      <c r="H372">
        <f>VLOOKUP($D372,'[2]LC Balanced'!$Q$2:$U$542,5,FALSE)</f>
        <v>0</v>
      </c>
      <c r="I372" s="77">
        <f t="shared" si="827"/>
        <v>1</v>
      </c>
      <c r="J372" s="77">
        <f t="shared" si="828"/>
        <v>5.6763987499999995E-2</v>
      </c>
      <c r="K372" s="77">
        <f t="shared" si="818"/>
        <v>4.6115503468464603E-3</v>
      </c>
      <c r="L372" s="76">
        <v>0</v>
      </c>
      <c r="M372" s="77">
        <f t="shared" si="834"/>
        <v>0</v>
      </c>
      <c r="N372" s="77">
        <f t="shared" si="835"/>
        <v>0</v>
      </c>
      <c r="O372" s="77">
        <f t="shared" si="836"/>
        <v>6.4263166666666668E-3</v>
      </c>
      <c r="P372" s="77">
        <f t="shared" si="837"/>
        <v>5.3711023228641963E-4</v>
      </c>
      <c r="R372" t="s">
        <v>177</v>
      </c>
      <c r="S372" t="s">
        <v>176</v>
      </c>
      <c r="T372" s="197" t="str">
        <f t="shared" si="926"/>
        <v>Autopilot_Balanced_173</v>
      </c>
      <c r="U372">
        <v>173</v>
      </c>
      <c r="V372">
        <f>VLOOKUP($U372,'[2]AP Balanced'!$Q$1:$T$542,2,FALSE)</f>
        <v>0.52769083333333344</v>
      </c>
      <c r="W372">
        <f>VLOOKUP($U372,'[2]AP Balanced'!$Q$1:$T$542,3,FALSE)</f>
        <v>0.47230916666666656</v>
      </c>
      <c r="X372">
        <f>VLOOKUP($U372,'[2]AP Balanced'!$Q$1:$T$542,4,FALSE)</f>
        <v>0</v>
      </c>
      <c r="Y372" s="77">
        <f t="shared" si="884"/>
        <v>1</v>
      </c>
      <c r="Z372" s="77">
        <f t="shared" si="873"/>
        <v>5.8355095812499994E-2</v>
      </c>
      <c r="AA372" s="77">
        <f t="shared" si="874"/>
        <v>4.7375122300441497E-3</v>
      </c>
      <c r="AB372" s="79">
        <v>1</v>
      </c>
      <c r="AC372" s="77">
        <f t="shared" si="838"/>
        <v>7.5553816666666671E-3</v>
      </c>
      <c r="AD372" s="77">
        <f t="shared" si="829"/>
        <v>6.3180600527856789E-4</v>
      </c>
      <c r="AE372" s="77">
        <f t="shared" si="839"/>
        <v>2.5000000000000001E-3</v>
      </c>
      <c r="AF372" s="77">
        <f t="shared" si="829"/>
        <v>2.0857243058891584E-4</v>
      </c>
      <c r="AH372" t="s">
        <v>175</v>
      </c>
      <c r="AI372" t="s">
        <v>176</v>
      </c>
      <c r="AJ372" s="197" t="str">
        <f t="shared" si="885"/>
        <v>Lifecycle_Balanced_173</v>
      </c>
      <c r="AK372">
        <v>173</v>
      </c>
      <c r="AL372">
        <f>VLOOKUP($U372,[2]Standard_Balanced!$Q$1:$T$542,2,FALSE)</f>
        <v>0.45451471944444444</v>
      </c>
      <c r="AM372">
        <f>VLOOKUP($U372,[2]Standard_Balanced!$Q$1:$T$542,3,FALSE)</f>
        <v>0.54548528055555556</v>
      </c>
      <c r="AN372">
        <f>VLOOKUP($U372,[2]Standard_Balanced!$Q$1:$T$542,4,FALSE)</f>
        <v>0</v>
      </c>
      <c r="AO372" s="77">
        <f t="shared" si="815"/>
        <v>1</v>
      </c>
      <c r="AP372" s="77">
        <f t="shared" si="840"/>
        <v>5.7383682900624997E-2</v>
      </c>
      <c r="AQ372" s="77">
        <f t="shared" si="886"/>
        <v>4.6606298877232E-3</v>
      </c>
      <c r="AR372" s="79">
        <v>0</v>
      </c>
      <c r="AS372" s="77">
        <f t="shared" si="841"/>
        <v>0</v>
      </c>
      <c r="AT372" s="77">
        <f t="shared" ref="AT372" si="947">1-(1-AS372)^(1/12)</f>
        <v>0</v>
      </c>
      <c r="AU372" s="77">
        <f t="shared" si="843"/>
        <v>2.5000000000000001E-3</v>
      </c>
      <c r="AV372" s="77">
        <f t="shared" ref="AV372" si="948">1-(1-AU372)^(1/12)</f>
        <v>2.0857243058891584E-4</v>
      </c>
      <c r="AX372" t="s">
        <v>178</v>
      </c>
      <c r="AY372" t="s">
        <v>160</v>
      </c>
      <c r="AZ372" s="197" t="str">
        <f t="shared" si="889"/>
        <v>DIS_Non-Standard_173</v>
      </c>
      <c r="BA372">
        <v>173</v>
      </c>
      <c r="BB372">
        <f>VLOOKUP($BA372,'[2]NonStandard DIS'!$Q$1:$X$542,2,FALSE)</f>
        <v>0</v>
      </c>
      <c r="BC372">
        <f>VLOOKUP($BA372,'[2]NonStandard DIS'!$Q$1:$X$542,3,FALSE)</f>
        <v>0</v>
      </c>
      <c r="BD372">
        <f>VLOOKUP($BA372,'[2]NonStandard DIS'!$Q$1:$X$542,4,FALSE)</f>
        <v>0.38616666666666666</v>
      </c>
      <c r="BE372">
        <f>VLOOKUP($BA372,'[2]NonStandard DIS'!$Q$1:$X$542,5,FALSE)</f>
        <v>0.61383333333333334</v>
      </c>
      <c r="BF372">
        <f>VLOOKUP($BA372,'[2]NonStandard DIS'!$Q$1:$X$542,6,FALSE)</f>
        <v>0</v>
      </c>
      <c r="BG372">
        <f>VLOOKUP($BA372,'[2]NonStandard DIS'!$Q$1:$X$542,7,FALSE)</f>
        <v>0</v>
      </c>
      <c r="BH372">
        <f>VLOOKUP($BA372,'[2]NonStandard DIS'!$Q$1:$X$542,8,FALSE)</f>
        <v>0</v>
      </c>
      <c r="BI372" s="77">
        <f t="shared" si="832"/>
        <v>1</v>
      </c>
      <c r="BJ372" s="77">
        <f t="shared" si="833"/>
        <v>6.9152020833333327E-2</v>
      </c>
      <c r="BK372" s="77">
        <f t="shared" si="814"/>
        <v>5.5877058488607023E-3</v>
      </c>
      <c r="BL372" s="79">
        <v>0</v>
      </c>
      <c r="BM372" s="77">
        <f t="shared" si="845"/>
        <v>0</v>
      </c>
      <c r="BN372" s="77">
        <f t="shared" si="846"/>
        <v>0</v>
      </c>
      <c r="BO372" s="77">
        <f t="shared" si="847"/>
        <v>5.8495666666666668E-3</v>
      </c>
      <c r="BP372" s="77">
        <f t="shared" si="848"/>
        <v>4.861618366505116E-4</v>
      </c>
    </row>
    <row r="373" spans="1:68">
      <c r="A373" t="s">
        <v>175</v>
      </c>
      <c r="B373" t="s">
        <v>176</v>
      </c>
      <c r="C373" s="197" t="str">
        <f t="shared" si="883"/>
        <v>Lifecycle_Balanced_172</v>
      </c>
      <c r="D373">
        <v>172</v>
      </c>
      <c r="E373">
        <f>VLOOKUP($D373,'[2]LC Balanced'!$Q$2:$U$542,2,FALSE)</f>
        <v>6.5666666666666665E-2</v>
      </c>
      <c r="F373">
        <f>VLOOKUP($D373,'[2]LC Balanced'!$Q$2:$U$542,3,FALSE)</f>
        <v>0.36966666666666664</v>
      </c>
      <c r="G373">
        <f>VLOOKUP($D373,'[2]LC Balanced'!$Q$2:$U$542,4,FALSE)</f>
        <v>0.56466666666666665</v>
      </c>
      <c r="H373">
        <f>VLOOKUP($D373,'[2]LC Balanced'!$Q$2:$U$542,5,FALSE)</f>
        <v>0</v>
      </c>
      <c r="I373" s="77">
        <f t="shared" si="827"/>
        <v>1</v>
      </c>
      <c r="J373" s="77">
        <f t="shared" si="828"/>
        <v>5.6629024999999993E-2</v>
      </c>
      <c r="K373" s="77">
        <f t="shared" si="818"/>
        <v>4.6008578913019349E-3</v>
      </c>
      <c r="L373" s="76">
        <v>0</v>
      </c>
      <c r="M373" s="77">
        <f t="shared" si="834"/>
        <v>0</v>
      </c>
      <c r="N373" s="77">
        <f t="shared" si="835"/>
        <v>0</v>
      </c>
      <c r="O373" s="77">
        <f t="shared" si="836"/>
        <v>6.4042333333333337E-3</v>
      </c>
      <c r="P373" s="77">
        <f t="shared" si="837"/>
        <v>5.352590654932321E-4</v>
      </c>
      <c r="R373" t="s">
        <v>177</v>
      </c>
      <c r="S373" t="s">
        <v>176</v>
      </c>
      <c r="T373" s="197" t="str">
        <f t="shared" si="926"/>
        <v>Autopilot_Balanced_172</v>
      </c>
      <c r="U373">
        <v>172</v>
      </c>
      <c r="V373">
        <f>VLOOKUP($U373,'[2]AP Balanced'!$Q$1:$T$542,2,FALSE)</f>
        <v>0.52769083333333344</v>
      </c>
      <c r="W373">
        <f>VLOOKUP($U373,'[2]AP Balanced'!$Q$1:$T$542,3,FALSE)</f>
        <v>0.47230916666666656</v>
      </c>
      <c r="X373">
        <f>VLOOKUP($U373,'[2]AP Balanced'!$Q$1:$T$542,4,FALSE)</f>
        <v>0</v>
      </c>
      <c r="Y373" s="77">
        <f t="shared" si="884"/>
        <v>1</v>
      </c>
      <c r="Z373" s="77">
        <f t="shared" si="873"/>
        <v>5.8355095812499994E-2</v>
      </c>
      <c r="AA373" s="77">
        <f t="shared" si="874"/>
        <v>4.7375122300441497E-3</v>
      </c>
      <c r="AB373" s="79">
        <v>1</v>
      </c>
      <c r="AC373" s="77">
        <f t="shared" si="838"/>
        <v>7.5553816666666671E-3</v>
      </c>
      <c r="AD373" s="77">
        <f t="shared" si="829"/>
        <v>6.3180600527856789E-4</v>
      </c>
      <c r="AE373" s="77">
        <f t="shared" si="839"/>
        <v>2.5000000000000001E-3</v>
      </c>
      <c r="AF373" s="77">
        <f t="shared" si="829"/>
        <v>2.0857243058891584E-4</v>
      </c>
      <c r="AH373" t="s">
        <v>175</v>
      </c>
      <c r="AI373" t="s">
        <v>176</v>
      </c>
      <c r="AJ373" s="197" t="str">
        <f t="shared" si="885"/>
        <v>Lifecycle_Balanced_172</v>
      </c>
      <c r="AK373">
        <v>172</v>
      </c>
      <c r="AL373">
        <f>VLOOKUP($U373,[2]Standard_Balanced!$Q$1:$T$542,2,FALSE)</f>
        <v>0.44406098888888884</v>
      </c>
      <c r="AM373">
        <f>VLOOKUP($U373,[2]Standard_Balanced!$Q$1:$T$542,3,FALSE)</f>
        <v>0.55593901111111121</v>
      </c>
      <c r="AN373">
        <f>VLOOKUP($U373,[2]Standard_Balanced!$Q$1:$T$542,4,FALSE)</f>
        <v>0</v>
      </c>
      <c r="AO373" s="77">
        <f t="shared" si="815"/>
        <v>1</v>
      </c>
      <c r="AP373" s="77">
        <f t="shared" si="840"/>
        <v>5.7244909627499993E-2</v>
      </c>
      <c r="AQ373" s="77">
        <f t="shared" si="886"/>
        <v>4.6496414110528406E-3</v>
      </c>
      <c r="AR373" s="79">
        <v>0</v>
      </c>
      <c r="AS373" s="77">
        <f t="shared" si="841"/>
        <v>0</v>
      </c>
      <c r="AT373" s="77">
        <f t="shared" ref="AT373" si="949">1-(1-AS373)^(1/12)</f>
        <v>0</v>
      </c>
      <c r="AU373" s="77">
        <f t="shared" si="843"/>
        <v>2.5000000000000005E-3</v>
      </c>
      <c r="AV373" s="77">
        <f t="shared" ref="AV373" si="950">1-(1-AU373)^(1/12)</f>
        <v>2.0857243058891584E-4</v>
      </c>
      <c r="AX373" t="s">
        <v>178</v>
      </c>
      <c r="AY373" t="s">
        <v>160</v>
      </c>
      <c r="AZ373" s="197" t="str">
        <f t="shared" si="889"/>
        <v>DIS_Non-Standard_172</v>
      </c>
      <c r="BA373">
        <v>172</v>
      </c>
      <c r="BB373">
        <f>VLOOKUP($BA373,'[2]NonStandard DIS'!$Q$1:$X$542,2,FALSE)</f>
        <v>0</v>
      </c>
      <c r="BC373">
        <f>VLOOKUP($BA373,'[2]NonStandard DIS'!$Q$1:$X$542,3,FALSE)</f>
        <v>0</v>
      </c>
      <c r="BD373">
        <f>VLOOKUP($BA373,'[2]NonStandard DIS'!$Q$1:$X$542,4,FALSE)</f>
        <v>0.39733333333333332</v>
      </c>
      <c r="BE373">
        <f>VLOOKUP($BA373,'[2]NonStandard DIS'!$Q$1:$X$542,5,FALSE)</f>
        <v>0.60266666666666668</v>
      </c>
      <c r="BF373">
        <f>VLOOKUP($BA373,'[2]NonStandard DIS'!$Q$1:$X$542,6,FALSE)</f>
        <v>0</v>
      </c>
      <c r="BG373">
        <f>VLOOKUP($BA373,'[2]NonStandard DIS'!$Q$1:$X$542,7,FALSE)</f>
        <v>0</v>
      </c>
      <c r="BH373">
        <f>VLOOKUP($BA373,'[2]NonStandard DIS'!$Q$1:$X$542,8,FALSE)</f>
        <v>0</v>
      </c>
      <c r="BI373" s="77">
        <f t="shared" si="832"/>
        <v>1</v>
      </c>
      <c r="BJ373" s="77">
        <f t="shared" si="833"/>
        <v>6.9069666666666668E-2</v>
      </c>
      <c r="BK373" s="77">
        <f t="shared" si="814"/>
        <v>5.5812507907275766E-3</v>
      </c>
      <c r="BL373" s="79">
        <v>0</v>
      </c>
      <c r="BM373" s="77">
        <f t="shared" si="845"/>
        <v>0</v>
      </c>
      <c r="BN373" s="77">
        <f t="shared" si="846"/>
        <v>0</v>
      </c>
      <c r="BO373" s="77">
        <f t="shared" si="847"/>
        <v>5.8741333333333333E-3</v>
      </c>
      <c r="BP373" s="77">
        <f t="shared" si="848"/>
        <v>4.8819811985190142E-4</v>
      </c>
    </row>
    <row r="374" spans="1:68">
      <c r="A374" t="s">
        <v>175</v>
      </c>
      <c r="B374" t="s">
        <v>176</v>
      </c>
      <c r="C374" s="197" t="str">
        <f t="shared" si="883"/>
        <v>Lifecycle_Balanced_171</v>
      </c>
      <c r="D374">
        <v>171</v>
      </c>
      <c r="E374">
        <f>VLOOKUP($D374,'[2]LC Balanced'!$Q$2:$U$542,2,FALSE)</f>
        <v>6.9500000000000006E-2</v>
      </c>
      <c r="F374">
        <f>VLOOKUP($D374,'[2]LC Balanced'!$Q$2:$U$542,3,FALSE)</f>
        <v>0.3725</v>
      </c>
      <c r="G374">
        <f>VLOOKUP($D374,'[2]LC Balanced'!$Q$2:$U$542,4,FALSE)</f>
        <v>0.55800000000000005</v>
      </c>
      <c r="H374">
        <f>VLOOKUP($D374,'[2]LC Balanced'!$Q$2:$U$542,5,FALSE)</f>
        <v>0</v>
      </c>
      <c r="I374" s="77">
        <f t="shared" si="827"/>
        <v>1</v>
      </c>
      <c r="J374" s="77">
        <f t="shared" si="828"/>
        <v>5.6494062499999997E-2</v>
      </c>
      <c r="K374" s="77">
        <f t="shared" si="818"/>
        <v>4.590164183755574E-3</v>
      </c>
      <c r="L374" s="76">
        <v>0</v>
      </c>
      <c r="M374" s="77">
        <f t="shared" si="834"/>
        <v>0</v>
      </c>
      <c r="N374" s="77">
        <f t="shared" si="835"/>
        <v>0</v>
      </c>
      <c r="O374" s="77">
        <f t="shared" si="836"/>
        <v>6.3821500000000005E-3</v>
      </c>
      <c r="P374" s="77">
        <f t="shared" si="837"/>
        <v>5.3340793641443174E-4</v>
      </c>
      <c r="R374" t="s">
        <v>177</v>
      </c>
      <c r="S374" t="s">
        <v>176</v>
      </c>
      <c r="T374" s="197" t="str">
        <f t="shared" si="926"/>
        <v>Autopilot_Balanced_171</v>
      </c>
      <c r="U374">
        <v>171</v>
      </c>
      <c r="V374">
        <f>VLOOKUP($U374,'[2]AP Balanced'!$Q$1:$T$542,2,FALSE)</f>
        <v>0.52769083333333344</v>
      </c>
      <c r="W374">
        <f>VLOOKUP($U374,'[2]AP Balanced'!$Q$1:$T$542,3,FALSE)</f>
        <v>0.47230916666666656</v>
      </c>
      <c r="X374">
        <f>VLOOKUP($U374,'[2]AP Balanced'!$Q$1:$T$542,4,FALSE)</f>
        <v>0</v>
      </c>
      <c r="Y374" s="77">
        <f t="shared" si="884"/>
        <v>1</v>
      </c>
      <c r="Z374" s="77">
        <f t="shared" si="873"/>
        <v>5.8355095812499994E-2</v>
      </c>
      <c r="AA374" s="77">
        <f t="shared" si="874"/>
        <v>4.7375122300441497E-3</v>
      </c>
      <c r="AB374" s="79">
        <v>1</v>
      </c>
      <c r="AC374" s="77">
        <f t="shared" si="838"/>
        <v>7.5553816666666671E-3</v>
      </c>
      <c r="AD374" s="77">
        <f t="shared" si="829"/>
        <v>6.3180600527856789E-4</v>
      </c>
      <c r="AE374" s="77">
        <f t="shared" si="839"/>
        <v>2.5000000000000001E-3</v>
      </c>
      <c r="AF374" s="77">
        <f t="shared" si="829"/>
        <v>2.0857243058891584E-4</v>
      </c>
      <c r="AH374" t="s">
        <v>175</v>
      </c>
      <c r="AI374" t="s">
        <v>176</v>
      </c>
      <c r="AJ374" s="197" t="str">
        <f t="shared" si="885"/>
        <v>Lifecycle_Balanced_171</v>
      </c>
      <c r="AK374">
        <v>171</v>
      </c>
      <c r="AL374">
        <f>VLOOKUP($U374,[2]Standard_Balanced!$Q$1:$T$542,2,FALSE)</f>
        <v>0.4336072583333333</v>
      </c>
      <c r="AM374">
        <f>VLOOKUP($U374,[2]Standard_Balanced!$Q$1:$T$542,3,FALSE)</f>
        <v>0.56639274166666675</v>
      </c>
      <c r="AN374">
        <f>VLOOKUP($U374,[2]Standard_Balanced!$Q$1:$T$542,4,FALSE)</f>
        <v>0</v>
      </c>
      <c r="AO374" s="77">
        <f t="shared" si="815"/>
        <v>1</v>
      </c>
      <c r="AP374" s="77">
        <f t="shared" si="840"/>
        <v>5.7106136354374989E-2</v>
      </c>
      <c r="AQ374" s="77">
        <f t="shared" si="886"/>
        <v>4.638651612157485E-3</v>
      </c>
      <c r="AR374" s="79">
        <v>0</v>
      </c>
      <c r="AS374" s="77">
        <f t="shared" si="841"/>
        <v>0</v>
      </c>
      <c r="AT374" s="77">
        <f t="shared" ref="AT374" si="951">1-(1-AS374)^(1/12)</f>
        <v>0</v>
      </c>
      <c r="AU374" s="77">
        <f t="shared" si="843"/>
        <v>2.5000000000000001E-3</v>
      </c>
      <c r="AV374" s="77">
        <f t="shared" ref="AV374" si="952">1-(1-AU374)^(1/12)</f>
        <v>2.0857243058891584E-4</v>
      </c>
      <c r="AX374" t="s">
        <v>178</v>
      </c>
      <c r="AY374" t="s">
        <v>160</v>
      </c>
      <c r="AZ374" s="197" t="str">
        <f t="shared" si="889"/>
        <v>DIS_Non-Standard_171</v>
      </c>
      <c r="BA374">
        <v>171</v>
      </c>
      <c r="BB374">
        <f>VLOOKUP($BA374,'[2]NonStandard DIS'!$Q$1:$X$542,2,FALSE)</f>
        <v>0</v>
      </c>
      <c r="BC374">
        <f>VLOOKUP($BA374,'[2]NonStandard DIS'!$Q$1:$X$542,3,FALSE)</f>
        <v>0</v>
      </c>
      <c r="BD374">
        <f>VLOOKUP($BA374,'[2]NonStandard DIS'!$Q$1:$X$542,4,FALSE)</f>
        <v>0.40849999999999997</v>
      </c>
      <c r="BE374">
        <f>VLOOKUP($BA374,'[2]NonStandard DIS'!$Q$1:$X$542,5,FALSE)</f>
        <v>0.59150000000000003</v>
      </c>
      <c r="BF374">
        <f>VLOOKUP($BA374,'[2]NonStandard DIS'!$Q$1:$X$542,6,FALSE)</f>
        <v>0</v>
      </c>
      <c r="BG374">
        <f>VLOOKUP($BA374,'[2]NonStandard DIS'!$Q$1:$X$542,7,FALSE)</f>
        <v>0</v>
      </c>
      <c r="BH374">
        <f>VLOOKUP($BA374,'[2]NonStandard DIS'!$Q$1:$X$542,8,FALSE)</f>
        <v>0</v>
      </c>
      <c r="BI374" s="77">
        <f t="shared" si="832"/>
        <v>1</v>
      </c>
      <c r="BJ374" s="77">
        <f t="shared" si="833"/>
        <v>6.8987312499999995E-2</v>
      </c>
      <c r="BK374" s="77">
        <f t="shared" si="814"/>
        <v>5.5747952767606357E-3</v>
      </c>
      <c r="BL374" s="79">
        <v>0</v>
      </c>
      <c r="BM374" s="77">
        <f t="shared" si="845"/>
        <v>0</v>
      </c>
      <c r="BN374" s="77">
        <f t="shared" si="846"/>
        <v>0</v>
      </c>
      <c r="BO374" s="77">
        <f t="shared" si="847"/>
        <v>5.8986999999999998E-3</v>
      </c>
      <c r="BP374" s="77">
        <f t="shared" si="848"/>
        <v>4.9023435746553545E-4</v>
      </c>
    </row>
    <row r="375" spans="1:68">
      <c r="A375" t="s">
        <v>175</v>
      </c>
      <c r="B375" t="s">
        <v>176</v>
      </c>
      <c r="C375" s="197" t="str">
        <f t="shared" si="883"/>
        <v>Lifecycle_Balanced_170</v>
      </c>
      <c r="D375">
        <v>170</v>
      </c>
      <c r="E375">
        <f>VLOOKUP($D375,'[2]LC Balanced'!$Q$2:$U$542,2,FALSE)</f>
        <v>7.3333333333333334E-2</v>
      </c>
      <c r="F375">
        <f>VLOOKUP($D375,'[2]LC Balanced'!$Q$2:$U$542,3,FALSE)</f>
        <v>0.37533333333333335</v>
      </c>
      <c r="G375">
        <f>VLOOKUP($D375,'[2]LC Balanced'!$Q$2:$U$542,4,FALSE)</f>
        <v>0.55133333333333334</v>
      </c>
      <c r="H375">
        <f>VLOOKUP($D375,'[2]LC Balanced'!$Q$2:$U$542,5,FALSE)</f>
        <v>0</v>
      </c>
      <c r="I375" s="77">
        <f t="shared" si="827"/>
        <v>1</v>
      </c>
      <c r="J375" s="77">
        <f t="shared" si="828"/>
        <v>5.6359099999999995E-2</v>
      </c>
      <c r="K375" s="77">
        <f t="shared" si="818"/>
        <v>4.5794692239011781E-3</v>
      </c>
      <c r="L375" s="76">
        <v>0</v>
      </c>
      <c r="M375" s="77">
        <f t="shared" si="834"/>
        <v>0</v>
      </c>
      <c r="N375" s="77">
        <f t="shared" si="835"/>
        <v>0</v>
      </c>
      <c r="O375" s="77">
        <f t="shared" si="836"/>
        <v>6.3600666666666673E-3</v>
      </c>
      <c r="P375" s="77">
        <f t="shared" si="837"/>
        <v>5.3155684504846423E-4</v>
      </c>
      <c r="R375" t="s">
        <v>177</v>
      </c>
      <c r="S375" t="s">
        <v>176</v>
      </c>
      <c r="T375" s="197" t="str">
        <f t="shared" si="926"/>
        <v>Autopilot_Balanced_170</v>
      </c>
      <c r="U375">
        <v>170</v>
      </c>
      <c r="V375">
        <f>VLOOKUP($U375,'[2]AP Balanced'!$Q$1:$T$542,2,FALSE)</f>
        <v>0.52769083333333344</v>
      </c>
      <c r="W375">
        <f>VLOOKUP($U375,'[2]AP Balanced'!$Q$1:$T$542,3,FALSE)</f>
        <v>0.47230916666666656</v>
      </c>
      <c r="X375">
        <f>VLOOKUP($U375,'[2]AP Balanced'!$Q$1:$T$542,4,FALSE)</f>
        <v>0</v>
      </c>
      <c r="Y375" s="77">
        <f t="shared" si="884"/>
        <v>1</v>
      </c>
      <c r="Z375" s="77">
        <f t="shared" si="873"/>
        <v>5.8355095812499994E-2</v>
      </c>
      <c r="AA375" s="77">
        <f t="shared" si="874"/>
        <v>4.7375122300441497E-3</v>
      </c>
      <c r="AB375" s="79">
        <v>1</v>
      </c>
      <c r="AC375" s="77">
        <f t="shared" si="838"/>
        <v>7.5553816666666671E-3</v>
      </c>
      <c r="AD375" s="77">
        <f t="shared" si="829"/>
        <v>6.3180600527856789E-4</v>
      </c>
      <c r="AE375" s="77">
        <f t="shared" si="839"/>
        <v>2.5000000000000001E-3</v>
      </c>
      <c r="AF375" s="77">
        <f t="shared" si="829"/>
        <v>2.0857243058891584E-4</v>
      </c>
      <c r="AH375" t="s">
        <v>175</v>
      </c>
      <c r="AI375" t="s">
        <v>176</v>
      </c>
      <c r="AJ375" s="197" t="str">
        <f t="shared" si="885"/>
        <v>Lifecycle_Balanced_170</v>
      </c>
      <c r="AK375">
        <v>170</v>
      </c>
      <c r="AL375">
        <f>VLOOKUP($U375,[2]Standard_Balanced!$Q$1:$T$542,2,FALSE)</f>
        <v>0.4231535277777777</v>
      </c>
      <c r="AM375">
        <f>VLOOKUP($U375,[2]Standard_Balanced!$Q$1:$T$542,3,FALSE)</f>
        <v>0.5768464722222223</v>
      </c>
      <c r="AN375">
        <f>VLOOKUP($U375,[2]Standard_Balanced!$Q$1:$T$542,4,FALSE)</f>
        <v>0</v>
      </c>
      <c r="AO375" s="77">
        <f t="shared" si="815"/>
        <v>1</v>
      </c>
      <c r="AP375" s="77">
        <f t="shared" si="840"/>
        <v>5.6967363081249986E-2</v>
      </c>
      <c r="AQ375" s="77">
        <f t="shared" si="886"/>
        <v>4.6276604907047325E-3</v>
      </c>
      <c r="AR375" s="79">
        <v>0</v>
      </c>
      <c r="AS375" s="77">
        <f t="shared" si="841"/>
        <v>0</v>
      </c>
      <c r="AT375" s="77">
        <f t="shared" ref="AT375" si="953">1-(1-AS375)^(1/12)</f>
        <v>0</v>
      </c>
      <c r="AU375" s="77">
        <f t="shared" si="843"/>
        <v>2.5000000000000001E-3</v>
      </c>
      <c r="AV375" s="77">
        <f t="shared" ref="AV375" si="954">1-(1-AU375)^(1/12)</f>
        <v>2.0857243058891584E-4</v>
      </c>
      <c r="AX375" t="s">
        <v>178</v>
      </c>
      <c r="AY375" t="s">
        <v>160</v>
      </c>
      <c r="AZ375" s="197" t="str">
        <f t="shared" si="889"/>
        <v>DIS_Non-Standard_170</v>
      </c>
      <c r="BA375">
        <v>170</v>
      </c>
      <c r="BB375">
        <f>VLOOKUP($BA375,'[2]NonStandard DIS'!$Q$1:$X$542,2,FALSE)</f>
        <v>0</v>
      </c>
      <c r="BC375">
        <f>VLOOKUP($BA375,'[2]NonStandard DIS'!$Q$1:$X$542,3,FALSE)</f>
        <v>0</v>
      </c>
      <c r="BD375">
        <f>VLOOKUP($BA375,'[2]NonStandard DIS'!$Q$1:$X$542,4,FALSE)</f>
        <v>0.41966666666666669</v>
      </c>
      <c r="BE375">
        <f>VLOOKUP($BA375,'[2]NonStandard DIS'!$Q$1:$X$542,5,FALSE)</f>
        <v>0.58033333333333337</v>
      </c>
      <c r="BF375">
        <f>VLOOKUP($BA375,'[2]NonStandard DIS'!$Q$1:$X$542,6,FALSE)</f>
        <v>0</v>
      </c>
      <c r="BG375">
        <f>VLOOKUP($BA375,'[2]NonStandard DIS'!$Q$1:$X$542,7,FALSE)</f>
        <v>0</v>
      </c>
      <c r="BH375">
        <f>VLOOKUP($BA375,'[2]NonStandard DIS'!$Q$1:$X$542,8,FALSE)</f>
        <v>0</v>
      </c>
      <c r="BI375" s="77">
        <f t="shared" si="832"/>
        <v>1</v>
      </c>
      <c r="BJ375" s="77">
        <f t="shared" si="833"/>
        <v>6.8904958333333335E-2</v>
      </c>
      <c r="BK375" s="77">
        <f t="shared" si="814"/>
        <v>5.5683393068928222E-3</v>
      </c>
      <c r="BL375" s="79">
        <v>0</v>
      </c>
      <c r="BM375" s="77">
        <f t="shared" si="845"/>
        <v>0</v>
      </c>
      <c r="BN375" s="77">
        <f t="shared" si="846"/>
        <v>0</v>
      </c>
      <c r="BO375" s="77">
        <f t="shared" si="847"/>
        <v>5.9232666666666671E-3</v>
      </c>
      <c r="BP375" s="77">
        <f t="shared" si="848"/>
        <v>4.9227054949363414E-4</v>
      </c>
    </row>
    <row r="376" spans="1:68">
      <c r="A376" t="s">
        <v>175</v>
      </c>
      <c r="B376" t="s">
        <v>176</v>
      </c>
      <c r="C376" s="197" t="str">
        <f t="shared" si="883"/>
        <v>Lifecycle_Balanced_169</v>
      </c>
      <c r="D376">
        <v>169</v>
      </c>
      <c r="E376">
        <f>VLOOKUP($D376,'[2]LC Balanced'!$Q$2:$U$542,2,FALSE)</f>
        <v>7.7166666666666675E-2</v>
      </c>
      <c r="F376">
        <f>VLOOKUP($D376,'[2]LC Balanced'!$Q$2:$U$542,3,FALSE)</f>
        <v>0.37816666666666665</v>
      </c>
      <c r="G376">
        <f>VLOOKUP($D376,'[2]LC Balanced'!$Q$2:$U$542,4,FALSE)</f>
        <v>0.54466666666666674</v>
      </c>
      <c r="H376">
        <f>VLOOKUP($D376,'[2]LC Balanced'!$Q$2:$U$542,5,FALSE)</f>
        <v>0</v>
      </c>
      <c r="I376" s="77">
        <f t="shared" si="827"/>
        <v>1</v>
      </c>
      <c r="J376" s="77">
        <f t="shared" si="828"/>
        <v>5.62241375E-2</v>
      </c>
      <c r="K376" s="77">
        <f t="shared" si="818"/>
        <v>4.5687730114318814E-3</v>
      </c>
      <c r="L376" s="76">
        <v>0</v>
      </c>
      <c r="M376" s="77">
        <f t="shared" si="834"/>
        <v>0</v>
      </c>
      <c r="N376" s="77">
        <f t="shared" si="835"/>
        <v>0</v>
      </c>
      <c r="O376" s="77">
        <f t="shared" si="836"/>
        <v>6.3379833333333333E-3</v>
      </c>
      <c r="P376" s="77">
        <f t="shared" si="837"/>
        <v>5.2970579139366425E-4</v>
      </c>
      <c r="R376" t="s">
        <v>177</v>
      </c>
      <c r="S376" t="s">
        <v>176</v>
      </c>
      <c r="T376" s="197" t="str">
        <f t="shared" si="926"/>
        <v>Autopilot_Balanced_169</v>
      </c>
      <c r="U376">
        <v>169</v>
      </c>
      <c r="V376">
        <f>VLOOKUP($U376,'[2]AP Balanced'!$Q$1:$T$542,2,FALSE)</f>
        <v>0.52769083333333344</v>
      </c>
      <c r="W376">
        <f>VLOOKUP($U376,'[2]AP Balanced'!$Q$1:$T$542,3,FALSE)</f>
        <v>0.47230916666666656</v>
      </c>
      <c r="X376">
        <f>VLOOKUP($U376,'[2]AP Balanced'!$Q$1:$T$542,4,FALSE)</f>
        <v>0</v>
      </c>
      <c r="Y376" s="77">
        <f t="shared" si="884"/>
        <v>1</v>
      </c>
      <c r="Z376" s="77">
        <f t="shared" si="873"/>
        <v>5.8355095812499994E-2</v>
      </c>
      <c r="AA376" s="77">
        <f t="shared" si="874"/>
        <v>4.7375122300441497E-3</v>
      </c>
      <c r="AB376" s="79">
        <v>1</v>
      </c>
      <c r="AC376" s="77">
        <f t="shared" si="838"/>
        <v>7.5553816666666671E-3</v>
      </c>
      <c r="AD376" s="77">
        <f t="shared" si="829"/>
        <v>6.3180600527856789E-4</v>
      </c>
      <c r="AE376" s="77">
        <f t="shared" si="839"/>
        <v>2.5000000000000001E-3</v>
      </c>
      <c r="AF376" s="77">
        <f t="shared" si="829"/>
        <v>2.0857243058891584E-4</v>
      </c>
      <c r="AH376" t="s">
        <v>175</v>
      </c>
      <c r="AI376" t="s">
        <v>176</v>
      </c>
      <c r="AJ376" s="197" t="str">
        <f t="shared" si="885"/>
        <v>Lifecycle_Balanced_169</v>
      </c>
      <c r="AK376">
        <v>169</v>
      </c>
      <c r="AL376">
        <f>VLOOKUP($U376,[2]Standard_Balanced!$Q$1:$T$542,2,FALSE)</f>
        <v>0.41269979722222216</v>
      </c>
      <c r="AM376">
        <f>VLOOKUP($U376,[2]Standard_Balanced!$Q$1:$T$542,3,FALSE)</f>
        <v>0.58730020277777795</v>
      </c>
      <c r="AN376">
        <f>VLOOKUP($U376,[2]Standard_Balanced!$Q$1:$T$542,4,FALSE)</f>
        <v>0</v>
      </c>
      <c r="AO376" s="77">
        <f t="shared" si="815"/>
        <v>1</v>
      </c>
      <c r="AP376" s="77">
        <f t="shared" si="840"/>
        <v>5.6828589808124996E-2</v>
      </c>
      <c r="AQ376" s="77">
        <f t="shared" si="886"/>
        <v>4.6166680463617382E-3</v>
      </c>
      <c r="AR376" s="79">
        <v>0</v>
      </c>
      <c r="AS376" s="77">
        <f t="shared" si="841"/>
        <v>0</v>
      </c>
      <c r="AT376" s="77">
        <f t="shared" ref="AT376" si="955">1-(1-AS376)^(1/12)</f>
        <v>0</v>
      </c>
      <c r="AU376" s="77">
        <f t="shared" si="843"/>
        <v>2.5000000000000005E-3</v>
      </c>
      <c r="AV376" s="77">
        <f t="shared" ref="AV376" si="956">1-(1-AU376)^(1/12)</f>
        <v>2.0857243058891584E-4</v>
      </c>
      <c r="AX376" t="s">
        <v>178</v>
      </c>
      <c r="AY376" t="s">
        <v>160</v>
      </c>
      <c r="AZ376" s="197" t="str">
        <f t="shared" si="889"/>
        <v>DIS_Non-Standard_169</v>
      </c>
      <c r="BA376">
        <v>169</v>
      </c>
      <c r="BB376">
        <f>VLOOKUP($BA376,'[2]NonStandard DIS'!$Q$1:$X$542,2,FALSE)</f>
        <v>0</v>
      </c>
      <c r="BC376">
        <f>VLOOKUP($BA376,'[2]NonStandard DIS'!$Q$1:$X$542,3,FALSE)</f>
        <v>0</v>
      </c>
      <c r="BD376">
        <f>VLOOKUP($BA376,'[2]NonStandard DIS'!$Q$1:$X$542,4,FALSE)</f>
        <v>0.43083333333333335</v>
      </c>
      <c r="BE376">
        <f>VLOOKUP($BA376,'[2]NonStandard DIS'!$Q$1:$X$542,5,FALSE)</f>
        <v>0.56916666666666671</v>
      </c>
      <c r="BF376">
        <f>VLOOKUP($BA376,'[2]NonStandard DIS'!$Q$1:$X$542,6,FALSE)</f>
        <v>0</v>
      </c>
      <c r="BG376">
        <f>VLOOKUP($BA376,'[2]NonStandard DIS'!$Q$1:$X$542,7,FALSE)</f>
        <v>0</v>
      </c>
      <c r="BH376">
        <f>VLOOKUP($BA376,'[2]NonStandard DIS'!$Q$1:$X$542,8,FALSE)</f>
        <v>0</v>
      </c>
      <c r="BI376" s="77">
        <f t="shared" si="832"/>
        <v>1</v>
      </c>
      <c r="BJ376" s="77">
        <f t="shared" si="833"/>
        <v>6.8822604166666662E-2</v>
      </c>
      <c r="BK376" s="77">
        <f t="shared" si="814"/>
        <v>5.5618828810564125E-3</v>
      </c>
      <c r="BL376" s="79">
        <v>0</v>
      </c>
      <c r="BM376" s="77">
        <f t="shared" si="845"/>
        <v>0</v>
      </c>
      <c r="BN376" s="77">
        <f t="shared" si="846"/>
        <v>0</v>
      </c>
      <c r="BO376" s="77">
        <f t="shared" si="847"/>
        <v>5.9478333333333336E-3</v>
      </c>
      <c r="BP376" s="77">
        <f t="shared" si="848"/>
        <v>4.9430669593841792E-4</v>
      </c>
    </row>
    <row r="377" spans="1:68">
      <c r="A377" t="s">
        <v>175</v>
      </c>
      <c r="B377" t="s">
        <v>176</v>
      </c>
      <c r="C377" s="197" t="str">
        <f t="shared" si="883"/>
        <v>Lifecycle_Balanced_168</v>
      </c>
      <c r="D377">
        <v>168</v>
      </c>
      <c r="E377">
        <f>VLOOKUP($D377,'[2]LC Balanced'!$Q$2:$U$542,2,FALSE)</f>
        <v>8.1000000000000003E-2</v>
      </c>
      <c r="F377">
        <f>VLOOKUP($D377,'[2]LC Balanced'!$Q$2:$U$542,3,FALSE)</f>
        <v>0.38100000000000001</v>
      </c>
      <c r="G377">
        <f>VLOOKUP($D377,'[2]LC Balanced'!$Q$2:$U$542,4,FALSE)</f>
        <v>0.53800000000000003</v>
      </c>
      <c r="H377">
        <f>VLOOKUP($D377,'[2]LC Balanced'!$Q$2:$U$542,5,FALSE)</f>
        <v>0</v>
      </c>
      <c r="I377" s="77">
        <f t="shared" si="827"/>
        <v>1</v>
      </c>
      <c r="J377" s="77">
        <f t="shared" si="828"/>
        <v>5.6089174999999991E-2</v>
      </c>
      <c r="K377" s="77">
        <f t="shared" si="818"/>
        <v>4.5580755460408184E-3</v>
      </c>
      <c r="L377" s="76">
        <v>0</v>
      </c>
      <c r="M377" s="77">
        <f t="shared" si="834"/>
        <v>0</v>
      </c>
      <c r="N377" s="77">
        <f t="shared" si="835"/>
        <v>0</v>
      </c>
      <c r="O377" s="77">
        <f t="shared" si="836"/>
        <v>6.3159000000000002E-3</v>
      </c>
      <c r="P377" s="77">
        <f t="shared" si="837"/>
        <v>5.278547754485885E-4</v>
      </c>
      <c r="R377" t="s">
        <v>177</v>
      </c>
      <c r="S377" t="s">
        <v>176</v>
      </c>
      <c r="T377" s="197" t="str">
        <f t="shared" si="926"/>
        <v>Autopilot_Balanced_168</v>
      </c>
      <c r="U377">
        <v>168</v>
      </c>
      <c r="V377">
        <f>VLOOKUP($U377,'[2]AP Balanced'!$Q$1:$T$542,2,FALSE)</f>
        <v>0.40224606666666657</v>
      </c>
      <c r="W377">
        <f>VLOOKUP($U377,'[2]AP Balanced'!$Q$1:$T$542,3,FALSE)</f>
        <v>0.59775393333333349</v>
      </c>
      <c r="X377">
        <f>VLOOKUP($U377,'[2]AP Balanced'!$Q$1:$T$542,4,FALSE)</f>
        <v>0</v>
      </c>
      <c r="Y377" s="77">
        <f t="shared" si="884"/>
        <v>1</v>
      </c>
      <c r="Z377" s="77">
        <f t="shared" si="873"/>
        <v>5.6689816534999993E-2</v>
      </c>
      <c r="AA377" s="77">
        <f t="shared" si="874"/>
        <v>4.6056742787954352E-3</v>
      </c>
      <c r="AB377" s="79">
        <v>1</v>
      </c>
      <c r="AC377" s="77">
        <f t="shared" si="838"/>
        <v>7.3044921333333332E-3</v>
      </c>
      <c r="AD377" s="77">
        <f t="shared" si="829"/>
        <v>6.1075512675712318E-4</v>
      </c>
      <c r="AE377" s="77">
        <f t="shared" si="839"/>
        <v>2.5000000000000005E-3</v>
      </c>
      <c r="AF377" s="77">
        <f t="shared" si="829"/>
        <v>2.0857243058891584E-4</v>
      </c>
      <c r="AH377" t="s">
        <v>175</v>
      </c>
      <c r="AI377" t="s">
        <v>176</v>
      </c>
      <c r="AJ377" s="197" t="str">
        <f t="shared" si="885"/>
        <v>Lifecycle_Balanced_168</v>
      </c>
      <c r="AK377">
        <v>168</v>
      </c>
      <c r="AL377">
        <f>VLOOKUP($U377,[2]Standard_Balanced!$Q$1:$T$542,2,FALSE)</f>
        <v>0.40224606666666657</v>
      </c>
      <c r="AM377">
        <f>VLOOKUP($U377,[2]Standard_Balanced!$Q$1:$T$542,3,FALSE)</f>
        <v>0.59775393333333349</v>
      </c>
      <c r="AN377">
        <f>VLOOKUP($U377,[2]Standard_Balanced!$Q$1:$T$542,4,FALSE)</f>
        <v>0</v>
      </c>
      <c r="AO377" s="77">
        <f t="shared" si="815"/>
        <v>1</v>
      </c>
      <c r="AP377" s="77">
        <f t="shared" si="840"/>
        <v>5.6689816534999993E-2</v>
      </c>
      <c r="AQ377" s="77">
        <f t="shared" si="886"/>
        <v>4.6056742787954352E-3</v>
      </c>
      <c r="AR377" s="79">
        <v>0</v>
      </c>
      <c r="AS377" s="77">
        <f t="shared" si="841"/>
        <v>0</v>
      </c>
      <c r="AT377" s="77">
        <f t="shared" ref="AT377" si="957">1-(1-AS377)^(1/12)</f>
        <v>0</v>
      </c>
      <c r="AU377" s="77">
        <f t="shared" si="843"/>
        <v>2.5000000000000005E-3</v>
      </c>
      <c r="AV377" s="77">
        <f t="shared" ref="AV377" si="958">1-(1-AU377)^(1/12)</f>
        <v>2.0857243058891584E-4</v>
      </c>
      <c r="AX377" t="s">
        <v>178</v>
      </c>
      <c r="AY377" t="s">
        <v>160</v>
      </c>
      <c r="AZ377" s="197" t="str">
        <f t="shared" si="889"/>
        <v>DIS_Non-Standard_168</v>
      </c>
      <c r="BA377">
        <v>168</v>
      </c>
      <c r="BB377">
        <f>VLOOKUP($BA377,'[2]NonStandard DIS'!$Q$1:$X$542,2,FALSE)</f>
        <v>0</v>
      </c>
      <c r="BC377">
        <f>VLOOKUP($BA377,'[2]NonStandard DIS'!$Q$1:$X$542,3,FALSE)</f>
        <v>0</v>
      </c>
      <c r="BD377">
        <f>VLOOKUP($BA377,'[2]NonStandard DIS'!$Q$1:$X$542,4,FALSE)</f>
        <v>0.442</v>
      </c>
      <c r="BE377">
        <f>VLOOKUP($BA377,'[2]NonStandard DIS'!$Q$1:$X$542,5,FALSE)</f>
        <v>0.55800000000000005</v>
      </c>
      <c r="BF377">
        <f>VLOOKUP($BA377,'[2]NonStandard DIS'!$Q$1:$X$542,6,FALSE)</f>
        <v>0</v>
      </c>
      <c r="BG377">
        <f>VLOOKUP($BA377,'[2]NonStandard DIS'!$Q$1:$X$542,7,FALSE)</f>
        <v>0</v>
      </c>
      <c r="BH377">
        <f>VLOOKUP($BA377,'[2]NonStandard DIS'!$Q$1:$X$542,8,FALSE)</f>
        <v>0</v>
      </c>
      <c r="BI377" s="77">
        <f t="shared" si="832"/>
        <v>1</v>
      </c>
      <c r="BJ377" s="77">
        <f t="shared" si="833"/>
        <v>6.8740250000000003E-2</v>
      </c>
      <c r="BK377" s="77">
        <f t="shared" si="814"/>
        <v>5.5554259991843491E-3</v>
      </c>
      <c r="BL377" s="79">
        <v>0</v>
      </c>
      <c r="BM377" s="77">
        <f t="shared" si="845"/>
        <v>0</v>
      </c>
      <c r="BN377" s="77">
        <f t="shared" si="846"/>
        <v>0</v>
      </c>
      <c r="BO377" s="77">
        <f t="shared" si="847"/>
        <v>5.9724000000000001E-3</v>
      </c>
      <c r="BP377" s="77">
        <f t="shared" si="848"/>
        <v>4.963427968018852E-4</v>
      </c>
    </row>
    <row r="378" spans="1:68">
      <c r="A378" t="s">
        <v>175</v>
      </c>
      <c r="B378" t="s">
        <v>176</v>
      </c>
      <c r="C378" s="197" t="str">
        <f t="shared" si="883"/>
        <v>Lifecycle_Balanced_167</v>
      </c>
      <c r="D378">
        <v>167</v>
      </c>
      <c r="E378">
        <f>VLOOKUP($D378,'[2]LC Balanced'!$Q$2:$U$542,2,FALSE)</f>
        <v>8.666666666666667E-2</v>
      </c>
      <c r="F378">
        <f>VLOOKUP($D378,'[2]LC Balanced'!$Q$2:$U$542,3,FALSE)</f>
        <v>0.3795</v>
      </c>
      <c r="G378">
        <f>VLOOKUP($D378,'[2]LC Balanced'!$Q$2:$U$542,4,FALSE)</f>
        <v>0.53383333333333338</v>
      </c>
      <c r="H378">
        <f>VLOOKUP($D378,'[2]LC Balanced'!$Q$2:$U$542,5,FALSE)</f>
        <v>0</v>
      </c>
      <c r="I378" s="77">
        <f t="shared" si="827"/>
        <v>1</v>
      </c>
      <c r="J378" s="77">
        <f t="shared" si="828"/>
        <v>5.5990350000000001E-2</v>
      </c>
      <c r="K378" s="77">
        <f t="shared" si="818"/>
        <v>4.5502416345160057E-3</v>
      </c>
      <c r="L378" s="76">
        <v>0</v>
      </c>
      <c r="M378" s="77">
        <f t="shared" si="834"/>
        <v>0</v>
      </c>
      <c r="N378" s="77">
        <f t="shared" si="835"/>
        <v>0</v>
      </c>
      <c r="O378" s="77">
        <f t="shared" si="836"/>
        <v>6.2906500000000001E-3</v>
      </c>
      <c r="P378" s="77">
        <f t="shared" si="837"/>
        <v>5.2573837700820025E-4</v>
      </c>
      <c r="R378" t="s">
        <v>177</v>
      </c>
      <c r="S378" t="s">
        <v>176</v>
      </c>
      <c r="T378" s="197" t="str">
        <f t="shared" si="926"/>
        <v>Autopilot_Balanced_167</v>
      </c>
      <c r="U378">
        <v>167</v>
      </c>
      <c r="V378">
        <f>VLOOKUP($U378,'[2]AP Balanced'!$Q$1:$T$542,2,FALSE)</f>
        <v>0.40224606666666657</v>
      </c>
      <c r="W378">
        <f>VLOOKUP($U378,'[2]AP Balanced'!$Q$1:$T$542,3,FALSE)</f>
        <v>0.59775393333333349</v>
      </c>
      <c r="X378">
        <f>VLOOKUP($U378,'[2]AP Balanced'!$Q$1:$T$542,4,FALSE)</f>
        <v>0</v>
      </c>
      <c r="Y378" s="77">
        <f t="shared" si="884"/>
        <v>1</v>
      </c>
      <c r="Z378" s="77">
        <f t="shared" si="873"/>
        <v>5.6689816534999993E-2</v>
      </c>
      <c r="AA378" s="77">
        <f t="shared" si="874"/>
        <v>4.6056742787954352E-3</v>
      </c>
      <c r="AB378" s="79">
        <v>1</v>
      </c>
      <c r="AC378" s="77">
        <f t="shared" si="838"/>
        <v>7.3044921333333332E-3</v>
      </c>
      <c r="AD378" s="77">
        <f t="shared" si="829"/>
        <v>6.1075512675712318E-4</v>
      </c>
      <c r="AE378" s="77">
        <f t="shared" si="839"/>
        <v>2.5000000000000005E-3</v>
      </c>
      <c r="AF378" s="77">
        <f t="shared" si="829"/>
        <v>2.0857243058891584E-4</v>
      </c>
      <c r="AH378" t="s">
        <v>175</v>
      </c>
      <c r="AI378" t="s">
        <v>176</v>
      </c>
      <c r="AJ378" s="197" t="str">
        <f t="shared" si="885"/>
        <v>Lifecycle_Balanced_167</v>
      </c>
      <c r="AK378">
        <v>167</v>
      </c>
      <c r="AL378">
        <f>VLOOKUP($U378,[2]Standard_Balanced!$Q$1:$T$542,2,FALSE)</f>
        <v>0.3946049416666666</v>
      </c>
      <c r="AM378">
        <f>VLOOKUP($U378,[2]Standard_Balanced!$Q$1:$T$542,3,FALSE)</f>
        <v>0.6053950583333334</v>
      </c>
      <c r="AN378">
        <f>VLOOKUP($U378,[2]Standard_Balanced!$Q$1:$T$542,4,FALSE)</f>
        <v>0</v>
      </c>
      <c r="AO378" s="77">
        <f t="shared" si="815"/>
        <v>1</v>
      </c>
      <c r="AP378" s="77">
        <f t="shared" si="840"/>
        <v>5.6588380600624988E-2</v>
      </c>
      <c r="AQ378" s="77">
        <f t="shared" si="886"/>
        <v>4.5976375779750445E-3</v>
      </c>
      <c r="AR378" s="79">
        <v>0</v>
      </c>
      <c r="AS378" s="77">
        <f t="shared" si="841"/>
        <v>0</v>
      </c>
      <c r="AT378" s="77">
        <f t="shared" ref="AT378" si="959">1-(1-AS378)^(1/12)</f>
        <v>0</v>
      </c>
      <c r="AU378" s="77">
        <f t="shared" si="843"/>
        <v>2.5000000000000001E-3</v>
      </c>
      <c r="AV378" s="77">
        <f t="shared" ref="AV378" si="960">1-(1-AU378)^(1/12)</f>
        <v>2.0857243058891584E-4</v>
      </c>
      <c r="AX378" t="s">
        <v>178</v>
      </c>
      <c r="AY378" t="s">
        <v>160</v>
      </c>
      <c r="AZ378" s="197" t="str">
        <f t="shared" si="889"/>
        <v>DIS_Non-Standard_167</v>
      </c>
      <c r="BA378">
        <v>167</v>
      </c>
      <c r="BB378">
        <f>VLOOKUP($BA378,'[2]NonStandard DIS'!$Q$1:$X$542,2,FALSE)</f>
        <v>0</v>
      </c>
      <c r="BC378">
        <f>VLOOKUP($BA378,'[2]NonStandard DIS'!$Q$1:$X$542,3,FALSE)</f>
        <v>1.0833333333333333E-3</v>
      </c>
      <c r="BD378">
        <f>VLOOKUP($BA378,'[2]NonStandard DIS'!$Q$1:$X$542,4,FALSE)</f>
        <v>0.48025000000000001</v>
      </c>
      <c r="BE378">
        <f>VLOOKUP($BA378,'[2]NonStandard DIS'!$Q$1:$X$542,5,FALSE)</f>
        <v>0.51866666666666672</v>
      </c>
      <c r="BF378">
        <f>VLOOKUP($BA378,'[2]NonStandard DIS'!$Q$1:$X$542,6,FALSE)</f>
        <v>0</v>
      </c>
      <c r="BG378">
        <f>VLOOKUP($BA378,'[2]NonStandard DIS'!$Q$1:$X$542,7,FALSE)</f>
        <v>0</v>
      </c>
      <c r="BH378">
        <f>VLOOKUP($BA378,'[2]NonStandard DIS'!$Q$1:$X$542,8,FALSE)</f>
        <v>0</v>
      </c>
      <c r="BI378" s="77">
        <f t="shared" si="832"/>
        <v>1</v>
      </c>
      <c r="BJ378" s="77">
        <f t="shared" si="833"/>
        <v>6.8430991666666663E-2</v>
      </c>
      <c r="BK378" s="77">
        <f t="shared" si="814"/>
        <v>5.5311748893307477E-3</v>
      </c>
      <c r="BL378" s="79">
        <v>0</v>
      </c>
      <c r="BM378" s="77">
        <f t="shared" si="845"/>
        <v>0</v>
      </c>
      <c r="BN378" s="77">
        <f t="shared" si="846"/>
        <v>0</v>
      </c>
      <c r="BO378" s="77">
        <f t="shared" si="847"/>
        <v>6.0575250000000011E-3</v>
      </c>
      <c r="BP378" s="77">
        <f t="shared" si="848"/>
        <v>5.0339765803464331E-4</v>
      </c>
    </row>
    <row r="379" spans="1:68">
      <c r="A379" t="s">
        <v>175</v>
      </c>
      <c r="B379" t="s">
        <v>176</v>
      </c>
      <c r="C379" s="197" t="str">
        <f t="shared" si="883"/>
        <v>Lifecycle_Balanced_166</v>
      </c>
      <c r="D379">
        <v>166</v>
      </c>
      <c r="E379">
        <f>VLOOKUP($D379,'[2]LC Balanced'!$Q$2:$U$542,2,FALSE)</f>
        <v>9.2333333333333337E-2</v>
      </c>
      <c r="F379">
        <f>VLOOKUP($D379,'[2]LC Balanced'!$Q$2:$U$542,3,FALSE)</f>
        <v>0.378</v>
      </c>
      <c r="G379">
        <f>VLOOKUP($D379,'[2]LC Balanced'!$Q$2:$U$542,4,FALSE)</f>
        <v>0.52966666666666673</v>
      </c>
      <c r="H379">
        <f>VLOOKUP($D379,'[2]LC Balanced'!$Q$2:$U$542,5,FALSE)</f>
        <v>0</v>
      </c>
      <c r="I379" s="77">
        <f t="shared" si="827"/>
        <v>1</v>
      </c>
      <c r="J379" s="77">
        <f t="shared" si="828"/>
        <v>5.5891524999999997E-2</v>
      </c>
      <c r="K379" s="77">
        <f t="shared" si="818"/>
        <v>4.5424070509194614E-3</v>
      </c>
      <c r="L379" s="76">
        <v>0</v>
      </c>
      <c r="M379" s="77">
        <f t="shared" si="834"/>
        <v>0</v>
      </c>
      <c r="N379" s="77">
        <f t="shared" si="835"/>
        <v>0</v>
      </c>
      <c r="O379" s="77">
        <f t="shared" si="836"/>
        <v>6.2654000000000008E-3</v>
      </c>
      <c r="P379" s="77">
        <f t="shared" si="837"/>
        <v>5.2362202786315759E-4</v>
      </c>
      <c r="R379" t="s">
        <v>177</v>
      </c>
      <c r="S379" t="s">
        <v>176</v>
      </c>
      <c r="T379" s="197" t="str">
        <f t="shared" si="926"/>
        <v>Autopilot_Balanced_166</v>
      </c>
      <c r="U379">
        <v>166</v>
      </c>
      <c r="V379">
        <f>VLOOKUP($U379,'[2]AP Balanced'!$Q$1:$T$542,2,FALSE)</f>
        <v>0.40224606666666657</v>
      </c>
      <c r="W379">
        <f>VLOOKUP($U379,'[2]AP Balanced'!$Q$1:$T$542,3,FALSE)</f>
        <v>0.59775393333333349</v>
      </c>
      <c r="X379">
        <f>VLOOKUP($U379,'[2]AP Balanced'!$Q$1:$T$542,4,FALSE)</f>
        <v>0</v>
      </c>
      <c r="Y379" s="77">
        <f t="shared" si="884"/>
        <v>1</v>
      </c>
      <c r="Z379" s="77">
        <f t="shared" si="873"/>
        <v>5.6689816534999993E-2</v>
      </c>
      <c r="AA379" s="77">
        <f t="shared" si="874"/>
        <v>4.6056742787954352E-3</v>
      </c>
      <c r="AB379" s="79">
        <v>1</v>
      </c>
      <c r="AC379" s="77">
        <f t="shared" si="838"/>
        <v>7.3044921333333332E-3</v>
      </c>
      <c r="AD379" s="77">
        <f t="shared" si="829"/>
        <v>6.1075512675712318E-4</v>
      </c>
      <c r="AE379" s="77">
        <f t="shared" si="839"/>
        <v>2.5000000000000005E-3</v>
      </c>
      <c r="AF379" s="77">
        <f t="shared" si="829"/>
        <v>2.0857243058891584E-4</v>
      </c>
      <c r="AH379" t="s">
        <v>175</v>
      </c>
      <c r="AI379" t="s">
        <v>176</v>
      </c>
      <c r="AJ379" s="197" t="str">
        <f t="shared" si="885"/>
        <v>Lifecycle_Balanced_166</v>
      </c>
      <c r="AK379">
        <v>166</v>
      </c>
      <c r="AL379">
        <f>VLOOKUP($U379,[2]Standard_Balanced!$Q$1:$T$542,2,FALSE)</f>
        <v>0.38696381666666663</v>
      </c>
      <c r="AM379">
        <f>VLOOKUP($U379,[2]Standard_Balanced!$Q$1:$T$542,3,FALSE)</f>
        <v>0.61303618333333343</v>
      </c>
      <c r="AN379">
        <f>VLOOKUP($U379,[2]Standard_Balanced!$Q$1:$T$542,4,FALSE)</f>
        <v>0</v>
      </c>
      <c r="AO379" s="77">
        <f t="shared" si="815"/>
        <v>1</v>
      </c>
      <c r="AP379" s="77">
        <f t="shared" si="840"/>
        <v>5.6486944666249997E-2</v>
      </c>
      <c r="AQ379" s="77">
        <f t="shared" si="886"/>
        <v>4.5896001698699784E-3</v>
      </c>
      <c r="AR379" s="79">
        <v>0</v>
      </c>
      <c r="AS379" s="77">
        <f t="shared" si="841"/>
        <v>0</v>
      </c>
      <c r="AT379" s="77">
        <f t="shared" ref="AT379" si="961">1-(1-AS379)^(1/12)</f>
        <v>0</v>
      </c>
      <c r="AU379" s="77">
        <f t="shared" si="843"/>
        <v>2.5000000000000005E-3</v>
      </c>
      <c r="AV379" s="77">
        <f t="shared" ref="AV379" si="962">1-(1-AU379)^(1/12)</f>
        <v>2.0857243058891584E-4</v>
      </c>
      <c r="AX379" t="s">
        <v>178</v>
      </c>
      <c r="AY379" t="s">
        <v>160</v>
      </c>
      <c r="AZ379" s="197" t="str">
        <f t="shared" si="889"/>
        <v>DIS_Non-Standard_166</v>
      </c>
      <c r="BA379">
        <v>166</v>
      </c>
      <c r="BB379">
        <f>VLOOKUP($BA379,'[2]NonStandard DIS'!$Q$1:$X$542,2,FALSE)</f>
        <v>0</v>
      </c>
      <c r="BC379">
        <f>VLOOKUP($BA379,'[2]NonStandard DIS'!$Q$1:$X$542,3,FALSE)</f>
        <v>2.1666666666666666E-3</v>
      </c>
      <c r="BD379">
        <f>VLOOKUP($BA379,'[2]NonStandard DIS'!$Q$1:$X$542,4,FALSE)</f>
        <v>0.51849999999999996</v>
      </c>
      <c r="BE379">
        <f>VLOOKUP($BA379,'[2]NonStandard DIS'!$Q$1:$X$542,5,FALSE)</f>
        <v>0.47933333333333339</v>
      </c>
      <c r="BF379">
        <f>VLOOKUP($BA379,'[2]NonStandard DIS'!$Q$1:$X$542,6,FALSE)</f>
        <v>0</v>
      </c>
      <c r="BG379">
        <f>VLOOKUP($BA379,'[2]NonStandard DIS'!$Q$1:$X$542,7,FALSE)</f>
        <v>0</v>
      </c>
      <c r="BH379">
        <f>VLOOKUP($BA379,'[2]NonStandard DIS'!$Q$1:$X$542,8,FALSE)</f>
        <v>0</v>
      </c>
      <c r="BI379" s="77">
        <f t="shared" si="832"/>
        <v>1</v>
      </c>
      <c r="BJ379" s="77">
        <f t="shared" si="833"/>
        <v>6.8121733333333323E-2</v>
      </c>
      <c r="BK379" s="77">
        <f t="shared" si="814"/>
        <v>5.5069173440760455E-3</v>
      </c>
      <c r="BL379" s="79">
        <v>0</v>
      </c>
      <c r="BM379" s="77">
        <f t="shared" si="845"/>
        <v>0</v>
      </c>
      <c r="BN379" s="77">
        <f t="shared" si="846"/>
        <v>0</v>
      </c>
      <c r="BO379" s="77">
        <f t="shared" si="847"/>
        <v>6.1426499999999995E-3</v>
      </c>
      <c r="BP379" s="77">
        <f t="shared" si="848"/>
        <v>5.104519721037537E-4</v>
      </c>
    </row>
    <row r="380" spans="1:68">
      <c r="A380" t="s">
        <v>175</v>
      </c>
      <c r="B380" t="s">
        <v>176</v>
      </c>
      <c r="C380" s="197" t="str">
        <f t="shared" si="883"/>
        <v>Lifecycle_Balanced_165</v>
      </c>
      <c r="D380">
        <v>165</v>
      </c>
      <c r="E380">
        <f>VLOOKUP($D380,'[2]LC Balanced'!$Q$2:$U$542,2,FALSE)</f>
        <v>9.8000000000000004E-2</v>
      </c>
      <c r="F380">
        <f>VLOOKUP($D380,'[2]LC Balanced'!$Q$2:$U$542,3,FALSE)</f>
        <v>0.3765</v>
      </c>
      <c r="G380">
        <f>VLOOKUP($D380,'[2]LC Balanced'!$Q$2:$U$542,4,FALSE)</f>
        <v>0.52550000000000008</v>
      </c>
      <c r="H380">
        <f>VLOOKUP($D380,'[2]LC Balanced'!$Q$2:$U$542,5,FALSE)</f>
        <v>0</v>
      </c>
      <c r="I380" s="77">
        <f t="shared" si="827"/>
        <v>1</v>
      </c>
      <c r="J380" s="77">
        <f t="shared" si="828"/>
        <v>5.5792699999999994E-2</v>
      </c>
      <c r="K380" s="77">
        <f t="shared" si="818"/>
        <v>4.5345717951306153E-3</v>
      </c>
      <c r="L380" s="76">
        <v>0</v>
      </c>
      <c r="M380" s="77">
        <f t="shared" si="834"/>
        <v>0</v>
      </c>
      <c r="N380" s="77">
        <f t="shared" si="835"/>
        <v>0</v>
      </c>
      <c r="O380" s="77">
        <f t="shared" si="836"/>
        <v>6.2401499999999999E-3</v>
      </c>
      <c r="P380" s="77">
        <f t="shared" si="837"/>
        <v>5.2150572801101802E-4</v>
      </c>
      <c r="R380" t="s">
        <v>177</v>
      </c>
      <c r="S380" t="s">
        <v>176</v>
      </c>
      <c r="T380" s="197" t="str">
        <f t="shared" si="926"/>
        <v>Autopilot_Balanced_165</v>
      </c>
      <c r="U380">
        <v>165</v>
      </c>
      <c r="V380">
        <f>VLOOKUP($U380,'[2]AP Balanced'!$Q$1:$T$542,2,FALSE)</f>
        <v>0.40224606666666657</v>
      </c>
      <c r="W380">
        <f>VLOOKUP($U380,'[2]AP Balanced'!$Q$1:$T$542,3,FALSE)</f>
        <v>0.59775393333333349</v>
      </c>
      <c r="X380">
        <f>VLOOKUP($U380,'[2]AP Balanced'!$Q$1:$T$542,4,FALSE)</f>
        <v>0</v>
      </c>
      <c r="Y380" s="77">
        <f t="shared" si="884"/>
        <v>1</v>
      </c>
      <c r="Z380" s="77">
        <f t="shared" si="873"/>
        <v>5.6689816534999993E-2</v>
      </c>
      <c r="AA380" s="77">
        <f t="shared" si="874"/>
        <v>4.6056742787954352E-3</v>
      </c>
      <c r="AB380" s="79">
        <v>1</v>
      </c>
      <c r="AC380" s="77">
        <f t="shared" si="838"/>
        <v>7.3044921333333332E-3</v>
      </c>
      <c r="AD380" s="77">
        <f t="shared" si="829"/>
        <v>6.1075512675712318E-4</v>
      </c>
      <c r="AE380" s="77">
        <f t="shared" si="839"/>
        <v>2.5000000000000005E-3</v>
      </c>
      <c r="AF380" s="77">
        <f t="shared" si="829"/>
        <v>2.0857243058891584E-4</v>
      </c>
      <c r="AH380" t="s">
        <v>175</v>
      </c>
      <c r="AI380" t="s">
        <v>176</v>
      </c>
      <c r="AJ380" s="197" t="str">
        <f t="shared" si="885"/>
        <v>Lifecycle_Balanced_165</v>
      </c>
      <c r="AK380">
        <v>165</v>
      </c>
      <c r="AL380">
        <f>VLOOKUP($U380,[2]Standard_Balanced!$Q$1:$T$542,2,FALSE)</f>
        <v>0.37932269166666666</v>
      </c>
      <c r="AM380">
        <f>VLOOKUP($U380,[2]Standard_Balanced!$Q$1:$T$542,3,FALSE)</f>
        <v>0.62067730833333346</v>
      </c>
      <c r="AN380">
        <f>VLOOKUP($U380,[2]Standard_Balanced!$Q$1:$T$542,4,FALSE)</f>
        <v>0</v>
      </c>
      <c r="AO380" s="77">
        <f t="shared" si="815"/>
        <v>1</v>
      </c>
      <c r="AP380" s="77">
        <f t="shared" si="840"/>
        <v>5.6385508731874999E-2</v>
      </c>
      <c r="AQ380" s="77">
        <f t="shared" si="886"/>
        <v>4.5815620543498969E-3</v>
      </c>
      <c r="AR380" s="79">
        <v>0</v>
      </c>
      <c r="AS380" s="77">
        <f t="shared" si="841"/>
        <v>0</v>
      </c>
      <c r="AT380" s="77">
        <f t="shared" ref="AT380" si="963">1-(1-AS380)^(1/12)</f>
        <v>0</v>
      </c>
      <c r="AU380" s="77">
        <f t="shared" si="843"/>
        <v>2.5000000000000005E-3</v>
      </c>
      <c r="AV380" s="77">
        <f t="shared" ref="AV380" si="964">1-(1-AU380)^(1/12)</f>
        <v>2.0857243058891584E-4</v>
      </c>
      <c r="AX380" t="s">
        <v>178</v>
      </c>
      <c r="AY380" t="s">
        <v>160</v>
      </c>
      <c r="AZ380" s="197" t="str">
        <f t="shared" si="889"/>
        <v>DIS_Non-Standard_165</v>
      </c>
      <c r="BA380">
        <v>165</v>
      </c>
      <c r="BB380">
        <f>VLOOKUP($BA380,'[2]NonStandard DIS'!$Q$1:$X$542,2,FALSE)</f>
        <v>0</v>
      </c>
      <c r="BC380">
        <f>VLOOKUP($BA380,'[2]NonStandard DIS'!$Q$1:$X$542,3,FALSE)</f>
        <v>3.2499999999999999E-3</v>
      </c>
      <c r="BD380">
        <f>VLOOKUP($BA380,'[2]NonStandard DIS'!$Q$1:$X$542,4,FALSE)</f>
        <v>0.55674999999999997</v>
      </c>
      <c r="BE380">
        <f>VLOOKUP($BA380,'[2]NonStandard DIS'!$Q$1:$X$542,5,FALSE)</f>
        <v>0.44000000000000006</v>
      </c>
      <c r="BF380">
        <f>VLOOKUP($BA380,'[2]NonStandard DIS'!$Q$1:$X$542,6,FALSE)</f>
        <v>0</v>
      </c>
      <c r="BG380">
        <f>VLOOKUP($BA380,'[2]NonStandard DIS'!$Q$1:$X$542,7,FALSE)</f>
        <v>0</v>
      </c>
      <c r="BH380">
        <f>VLOOKUP($BA380,'[2]NonStandard DIS'!$Q$1:$X$542,8,FALSE)</f>
        <v>0</v>
      </c>
      <c r="BI380" s="77">
        <f t="shared" si="832"/>
        <v>1</v>
      </c>
      <c r="BJ380" s="77">
        <f t="shared" si="833"/>
        <v>6.7812474999999983E-2</v>
      </c>
      <c r="BK380" s="77">
        <f t="shared" si="814"/>
        <v>5.4826533598486549E-3</v>
      </c>
      <c r="BL380" s="79">
        <v>0</v>
      </c>
      <c r="BM380" s="77">
        <f t="shared" si="845"/>
        <v>0</v>
      </c>
      <c r="BN380" s="77">
        <f t="shared" si="846"/>
        <v>0</v>
      </c>
      <c r="BO380" s="77">
        <f t="shared" si="847"/>
        <v>6.2277749999999996E-3</v>
      </c>
      <c r="BP380" s="77">
        <f t="shared" si="848"/>
        <v>5.1750573909759012E-4</v>
      </c>
    </row>
    <row r="381" spans="1:68">
      <c r="A381" t="s">
        <v>175</v>
      </c>
      <c r="B381" t="s">
        <v>176</v>
      </c>
      <c r="C381" s="197" t="str">
        <f t="shared" si="883"/>
        <v>Lifecycle_Balanced_164</v>
      </c>
      <c r="D381">
        <v>164</v>
      </c>
      <c r="E381">
        <f>VLOOKUP($D381,'[2]LC Balanced'!$Q$2:$U$542,2,FALSE)</f>
        <v>0.10366666666666667</v>
      </c>
      <c r="F381">
        <f>VLOOKUP($D381,'[2]LC Balanced'!$Q$2:$U$542,3,FALSE)</f>
        <v>0.375</v>
      </c>
      <c r="G381">
        <f>VLOOKUP($D381,'[2]LC Balanced'!$Q$2:$U$542,4,FALSE)</f>
        <v>0.52133333333333332</v>
      </c>
      <c r="H381">
        <f>VLOOKUP($D381,'[2]LC Balanced'!$Q$2:$U$542,5,FALSE)</f>
        <v>0</v>
      </c>
      <c r="I381" s="77">
        <f t="shared" si="827"/>
        <v>1</v>
      </c>
      <c r="J381" s="77">
        <f t="shared" si="828"/>
        <v>5.5693874999999997E-2</v>
      </c>
      <c r="K381" s="77">
        <f t="shared" si="818"/>
        <v>4.5267358670288971E-3</v>
      </c>
      <c r="L381" s="76">
        <v>0</v>
      </c>
      <c r="M381" s="77">
        <f t="shared" si="834"/>
        <v>0</v>
      </c>
      <c r="N381" s="77">
        <f t="shared" si="835"/>
        <v>0</v>
      </c>
      <c r="O381" s="77">
        <f t="shared" si="836"/>
        <v>6.2148999999999998E-3</v>
      </c>
      <c r="P381" s="77">
        <f t="shared" si="837"/>
        <v>5.193894774495611E-4</v>
      </c>
      <c r="R381" t="s">
        <v>177</v>
      </c>
      <c r="S381" t="s">
        <v>176</v>
      </c>
      <c r="T381" s="197" t="str">
        <f t="shared" si="926"/>
        <v>Autopilot_Balanced_164</v>
      </c>
      <c r="U381">
        <v>164</v>
      </c>
      <c r="V381">
        <f>VLOOKUP($U381,'[2]AP Balanced'!$Q$1:$T$542,2,FALSE)</f>
        <v>0.40224606666666657</v>
      </c>
      <c r="W381">
        <f>VLOOKUP($U381,'[2]AP Balanced'!$Q$1:$T$542,3,FALSE)</f>
        <v>0.59775393333333349</v>
      </c>
      <c r="X381">
        <f>VLOOKUP($U381,'[2]AP Balanced'!$Q$1:$T$542,4,FALSE)</f>
        <v>0</v>
      </c>
      <c r="Y381" s="77">
        <f t="shared" si="884"/>
        <v>1</v>
      </c>
      <c r="Z381" s="77">
        <f t="shared" si="873"/>
        <v>5.6689816534999993E-2</v>
      </c>
      <c r="AA381" s="77">
        <f t="shared" si="874"/>
        <v>4.6056742787954352E-3</v>
      </c>
      <c r="AB381" s="79">
        <v>1</v>
      </c>
      <c r="AC381" s="77">
        <f t="shared" si="838"/>
        <v>7.3044921333333332E-3</v>
      </c>
      <c r="AD381" s="77">
        <f t="shared" si="829"/>
        <v>6.1075512675712318E-4</v>
      </c>
      <c r="AE381" s="77">
        <f t="shared" si="839"/>
        <v>2.5000000000000005E-3</v>
      </c>
      <c r="AF381" s="77">
        <f t="shared" si="829"/>
        <v>2.0857243058891584E-4</v>
      </c>
      <c r="AH381" t="s">
        <v>175</v>
      </c>
      <c r="AI381" t="s">
        <v>176</v>
      </c>
      <c r="AJ381" s="197" t="str">
        <f t="shared" si="885"/>
        <v>Lifecycle_Balanced_164</v>
      </c>
      <c r="AK381">
        <v>164</v>
      </c>
      <c r="AL381">
        <f>VLOOKUP($U381,[2]Standard_Balanced!$Q$1:$T$542,2,FALSE)</f>
        <v>0.37168156666666663</v>
      </c>
      <c r="AM381">
        <f>VLOOKUP($U381,[2]Standard_Balanced!$Q$1:$T$542,3,FALSE)</f>
        <v>0.62831843333333337</v>
      </c>
      <c r="AN381">
        <f>VLOOKUP($U381,[2]Standard_Balanced!$Q$1:$T$542,4,FALSE)</f>
        <v>0</v>
      </c>
      <c r="AO381" s="77">
        <f t="shared" si="815"/>
        <v>1</v>
      </c>
      <c r="AP381" s="77">
        <f t="shared" si="840"/>
        <v>5.6284072797499987E-2</v>
      </c>
      <c r="AQ381" s="77">
        <f t="shared" si="886"/>
        <v>4.5735232312846819E-3</v>
      </c>
      <c r="AR381" s="79">
        <v>0</v>
      </c>
      <c r="AS381" s="77">
        <f t="shared" si="841"/>
        <v>0</v>
      </c>
      <c r="AT381" s="77">
        <f t="shared" ref="AT381" si="965">1-(1-AS381)^(1/12)</f>
        <v>0</v>
      </c>
      <c r="AU381" s="77">
        <f t="shared" si="843"/>
        <v>2.5000000000000001E-3</v>
      </c>
      <c r="AV381" s="77">
        <f t="shared" ref="AV381" si="966">1-(1-AU381)^(1/12)</f>
        <v>2.0857243058891584E-4</v>
      </c>
      <c r="AX381" t="s">
        <v>178</v>
      </c>
      <c r="AY381" t="s">
        <v>160</v>
      </c>
      <c r="AZ381" s="197" t="str">
        <f t="shared" si="889"/>
        <v>DIS_Non-Standard_164</v>
      </c>
      <c r="BA381">
        <v>164</v>
      </c>
      <c r="BB381">
        <f>VLOOKUP($BA381,'[2]NonStandard DIS'!$Q$1:$X$542,2,FALSE)</f>
        <v>0</v>
      </c>
      <c r="BC381">
        <f>VLOOKUP($BA381,'[2]NonStandard DIS'!$Q$1:$X$542,3,FALSE)</f>
        <v>4.3333333333333331E-3</v>
      </c>
      <c r="BD381">
        <f>VLOOKUP($BA381,'[2]NonStandard DIS'!$Q$1:$X$542,4,FALSE)</f>
        <v>0.59499999999999997</v>
      </c>
      <c r="BE381">
        <f>VLOOKUP($BA381,'[2]NonStandard DIS'!$Q$1:$X$542,5,FALSE)</f>
        <v>0.40066666666666673</v>
      </c>
      <c r="BF381">
        <f>VLOOKUP($BA381,'[2]NonStandard DIS'!$Q$1:$X$542,6,FALSE)</f>
        <v>0</v>
      </c>
      <c r="BG381">
        <f>VLOOKUP($BA381,'[2]NonStandard DIS'!$Q$1:$X$542,7,FALSE)</f>
        <v>0</v>
      </c>
      <c r="BH381">
        <f>VLOOKUP($BA381,'[2]NonStandard DIS'!$Q$1:$X$542,8,FALSE)</f>
        <v>0</v>
      </c>
      <c r="BI381" s="77">
        <f t="shared" si="832"/>
        <v>1</v>
      </c>
      <c r="BJ381" s="77">
        <f t="shared" si="833"/>
        <v>6.7503216666666657E-2</v>
      </c>
      <c r="BK381" s="77">
        <f t="shared" si="814"/>
        <v>5.4583829330736577E-3</v>
      </c>
      <c r="BL381" s="79">
        <v>0</v>
      </c>
      <c r="BM381" s="77">
        <f t="shared" si="845"/>
        <v>0</v>
      </c>
      <c r="BN381" s="77">
        <f t="shared" si="846"/>
        <v>0</v>
      </c>
      <c r="BO381" s="77">
        <f t="shared" si="847"/>
        <v>6.3128999999999998E-3</v>
      </c>
      <c r="BP381" s="77">
        <f t="shared" si="848"/>
        <v>5.2455895910519246E-4</v>
      </c>
    </row>
    <row r="382" spans="1:68">
      <c r="A382" t="s">
        <v>175</v>
      </c>
      <c r="B382" t="s">
        <v>176</v>
      </c>
      <c r="C382" s="197" t="str">
        <f t="shared" si="883"/>
        <v>Lifecycle_Balanced_163</v>
      </c>
      <c r="D382">
        <v>163</v>
      </c>
      <c r="E382">
        <f>VLOOKUP($D382,'[2]LC Balanced'!$Q$2:$U$542,2,FALSE)</f>
        <v>0.10933333333333334</v>
      </c>
      <c r="F382">
        <f>VLOOKUP($D382,'[2]LC Balanced'!$Q$2:$U$542,3,FALSE)</f>
        <v>0.3735</v>
      </c>
      <c r="G382">
        <f>VLOOKUP($D382,'[2]LC Balanced'!$Q$2:$U$542,4,FALSE)</f>
        <v>0.51716666666666666</v>
      </c>
      <c r="H382">
        <f>VLOOKUP($D382,'[2]LC Balanced'!$Q$2:$U$542,5,FALSE)</f>
        <v>0</v>
      </c>
      <c r="I382" s="77">
        <f t="shared" si="827"/>
        <v>1</v>
      </c>
      <c r="J382" s="77">
        <f t="shared" si="828"/>
        <v>5.5595049999999993E-2</v>
      </c>
      <c r="K382" s="77">
        <f t="shared" si="818"/>
        <v>4.5188992664935146E-3</v>
      </c>
      <c r="L382" s="76">
        <v>0</v>
      </c>
      <c r="M382" s="77">
        <f t="shared" si="834"/>
        <v>0</v>
      </c>
      <c r="N382" s="77">
        <f t="shared" si="835"/>
        <v>0</v>
      </c>
      <c r="O382" s="77">
        <f t="shared" si="836"/>
        <v>6.1896499999999997E-3</v>
      </c>
      <c r="P382" s="77">
        <f t="shared" si="837"/>
        <v>5.1727327617612229E-4</v>
      </c>
      <c r="R382" t="s">
        <v>177</v>
      </c>
      <c r="S382" t="s">
        <v>176</v>
      </c>
      <c r="T382" s="197" t="str">
        <f t="shared" si="926"/>
        <v>Autopilot_Balanced_163</v>
      </c>
      <c r="U382">
        <v>163</v>
      </c>
      <c r="V382">
        <f>VLOOKUP($U382,'[2]AP Balanced'!$Q$1:$T$542,2,FALSE)</f>
        <v>0.40224606666666657</v>
      </c>
      <c r="W382">
        <f>VLOOKUP($U382,'[2]AP Balanced'!$Q$1:$T$542,3,FALSE)</f>
        <v>0.59775393333333349</v>
      </c>
      <c r="X382">
        <f>VLOOKUP($U382,'[2]AP Balanced'!$Q$1:$T$542,4,FALSE)</f>
        <v>0</v>
      </c>
      <c r="Y382" s="77">
        <f t="shared" si="884"/>
        <v>1</v>
      </c>
      <c r="Z382" s="77">
        <f t="shared" si="873"/>
        <v>5.6689816534999993E-2</v>
      </c>
      <c r="AA382" s="77">
        <f t="shared" si="874"/>
        <v>4.6056742787954352E-3</v>
      </c>
      <c r="AB382" s="79">
        <v>1</v>
      </c>
      <c r="AC382" s="77">
        <f t="shared" si="838"/>
        <v>7.3044921333333332E-3</v>
      </c>
      <c r="AD382" s="77">
        <f t="shared" si="829"/>
        <v>6.1075512675712318E-4</v>
      </c>
      <c r="AE382" s="77">
        <f t="shared" si="839"/>
        <v>2.5000000000000005E-3</v>
      </c>
      <c r="AF382" s="77">
        <f t="shared" si="829"/>
        <v>2.0857243058891584E-4</v>
      </c>
      <c r="AH382" t="s">
        <v>175</v>
      </c>
      <c r="AI382" t="s">
        <v>176</v>
      </c>
      <c r="AJ382" s="197" t="str">
        <f t="shared" si="885"/>
        <v>Lifecycle_Balanced_163</v>
      </c>
      <c r="AK382">
        <v>163</v>
      </c>
      <c r="AL382">
        <f>VLOOKUP($U382,[2]Standard_Balanced!$Q$1:$T$542,2,FALSE)</f>
        <v>0.36404044166666666</v>
      </c>
      <c r="AM382">
        <f>VLOOKUP($U382,[2]Standard_Balanced!$Q$1:$T$542,3,FALSE)</f>
        <v>0.63595955833333329</v>
      </c>
      <c r="AN382">
        <f>VLOOKUP($U382,[2]Standard_Balanced!$Q$1:$T$542,4,FALSE)</f>
        <v>0</v>
      </c>
      <c r="AO382" s="77">
        <f t="shared" si="815"/>
        <v>1</v>
      </c>
      <c r="AP382" s="77">
        <f t="shared" si="840"/>
        <v>5.6182636863124982E-2</v>
      </c>
      <c r="AQ382" s="77">
        <f t="shared" si="886"/>
        <v>4.565483700543993E-3</v>
      </c>
      <c r="AR382" s="79">
        <v>0</v>
      </c>
      <c r="AS382" s="77">
        <f t="shared" si="841"/>
        <v>0</v>
      </c>
      <c r="AT382" s="77">
        <f t="shared" ref="AT382" si="967">1-(1-AS382)^(1/12)</f>
        <v>0</v>
      </c>
      <c r="AU382" s="77">
        <f t="shared" si="843"/>
        <v>2.5000000000000001E-3</v>
      </c>
      <c r="AV382" s="77">
        <f t="shared" ref="AV382" si="968">1-(1-AU382)^(1/12)</f>
        <v>2.0857243058891584E-4</v>
      </c>
      <c r="AX382" t="s">
        <v>178</v>
      </c>
      <c r="AY382" t="s">
        <v>160</v>
      </c>
      <c r="AZ382" s="197" t="str">
        <f t="shared" si="889"/>
        <v>DIS_Non-Standard_163</v>
      </c>
      <c r="BA382">
        <v>163</v>
      </c>
      <c r="BB382">
        <f>VLOOKUP($BA382,'[2]NonStandard DIS'!$Q$1:$X$542,2,FALSE)</f>
        <v>0</v>
      </c>
      <c r="BC382">
        <f>VLOOKUP($BA382,'[2]NonStandard DIS'!$Q$1:$X$542,3,FALSE)</f>
        <v>5.4166666666666669E-3</v>
      </c>
      <c r="BD382">
        <f>VLOOKUP($BA382,'[2]NonStandard DIS'!$Q$1:$X$542,4,FALSE)</f>
        <v>0.63324999999999998</v>
      </c>
      <c r="BE382">
        <f>VLOOKUP($BA382,'[2]NonStandard DIS'!$Q$1:$X$542,5,FALSE)</f>
        <v>0.36133333333333334</v>
      </c>
      <c r="BF382">
        <f>VLOOKUP($BA382,'[2]NonStandard DIS'!$Q$1:$X$542,6,FALSE)</f>
        <v>0</v>
      </c>
      <c r="BG382">
        <f>VLOOKUP($BA382,'[2]NonStandard DIS'!$Q$1:$X$542,7,FALSE)</f>
        <v>0</v>
      </c>
      <c r="BH382">
        <f>VLOOKUP($BA382,'[2]NonStandard DIS'!$Q$1:$X$542,8,FALSE)</f>
        <v>0</v>
      </c>
      <c r="BI382" s="77">
        <f t="shared" si="832"/>
        <v>1</v>
      </c>
      <c r="BJ382" s="77">
        <f t="shared" si="833"/>
        <v>6.7193958333333331E-2</v>
      </c>
      <c r="BK382" s="77">
        <f t="shared" si="814"/>
        <v>5.4341060601732494E-3</v>
      </c>
      <c r="BL382" s="79">
        <v>0</v>
      </c>
      <c r="BM382" s="77">
        <f t="shared" si="845"/>
        <v>0</v>
      </c>
      <c r="BN382" s="77">
        <f t="shared" si="846"/>
        <v>0</v>
      </c>
      <c r="BO382" s="77">
        <f t="shared" si="847"/>
        <v>6.3980249999999999E-3</v>
      </c>
      <c r="BP382" s="77">
        <f t="shared" si="848"/>
        <v>5.3161163221493446E-4</v>
      </c>
    </row>
    <row r="383" spans="1:68">
      <c r="A383" t="s">
        <v>175</v>
      </c>
      <c r="B383" t="s">
        <v>176</v>
      </c>
      <c r="C383" s="197" t="str">
        <f t="shared" si="883"/>
        <v>Lifecycle_Balanced_162</v>
      </c>
      <c r="D383">
        <v>162</v>
      </c>
      <c r="E383">
        <f>VLOOKUP($D383,'[2]LC Balanced'!$Q$2:$U$542,2,FALSE)</f>
        <v>0.11499999999999999</v>
      </c>
      <c r="F383">
        <f>VLOOKUP($D383,'[2]LC Balanced'!$Q$2:$U$542,3,FALSE)</f>
        <v>0.372</v>
      </c>
      <c r="G383">
        <f>VLOOKUP($D383,'[2]LC Balanced'!$Q$2:$U$542,4,FALSE)</f>
        <v>0.51300000000000001</v>
      </c>
      <c r="H383">
        <f>VLOOKUP($D383,'[2]LC Balanced'!$Q$2:$U$542,5,FALSE)</f>
        <v>0</v>
      </c>
      <c r="I383" s="77">
        <f t="shared" si="827"/>
        <v>1</v>
      </c>
      <c r="J383" s="77">
        <f t="shared" si="828"/>
        <v>5.5496224999999989E-2</v>
      </c>
      <c r="K383" s="77">
        <f t="shared" si="818"/>
        <v>4.5110619934041196E-3</v>
      </c>
      <c r="L383" s="76">
        <v>0</v>
      </c>
      <c r="M383" s="77">
        <f t="shared" si="834"/>
        <v>0</v>
      </c>
      <c r="N383" s="77">
        <f t="shared" si="835"/>
        <v>0</v>
      </c>
      <c r="O383" s="77">
        <f t="shared" si="836"/>
        <v>6.1643999999999996E-3</v>
      </c>
      <c r="P383" s="77">
        <f t="shared" si="837"/>
        <v>5.1515712418837012E-4</v>
      </c>
      <c r="R383" t="s">
        <v>177</v>
      </c>
      <c r="S383" t="s">
        <v>176</v>
      </c>
      <c r="T383" s="197" t="str">
        <f t="shared" si="926"/>
        <v>Autopilot_Balanced_162</v>
      </c>
      <c r="U383">
        <v>162</v>
      </c>
      <c r="V383">
        <f>VLOOKUP($U383,'[2]AP Balanced'!$Q$1:$T$542,2,FALSE)</f>
        <v>0.40224606666666657</v>
      </c>
      <c r="W383">
        <f>VLOOKUP($U383,'[2]AP Balanced'!$Q$1:$T$542,3,FALSE)</f>
        <v>0.59775393333333349</v>
      </c>
      <c r="X383">
        <f>VLOOKUP($U383,'[2]AP Balanced'!$Q$1:$T$542,4,FALSE)</f>
        <v>0</v>
      </c>
      <c r="Y383" s="77">
        <f t="shared" si="884"/>
        <v>1</v>
      </c>
      <c r="Z383" s="77">
        <f t="shared" si="873"/>
        <v>5.6689816534999993E-2</v>
      </c>
      <c r="AA383" s="77">
        <f t="shared" si="874"/>
        <v>4.6056742787954352E-3</v>
      </c>
      <c r="AB383" s="79">
        <v>1</v>
      </c>
      <c r="AC383" s="77">
        <f t="shared" si="838"/>
        <v>7.3044921333333332E-3</v>
      </c>
      <c r="AD383" s="77">
        <f t="shared" si="829"/>
        <v>6.1075512675712318E-4</v>
      </c>
      <c r="AE383" s="77">
        <f t="shared" si="839"/>
        <v>2.5000000000000005E-3</v>
      </c>
      <c r="AF383" s="77">
        <f t="shared" si="829"/>
        <v>2.0857243058891584E-4</v>
      </c>
      <c r="AH383" t="s">
        <v>175</v>
      </c>
      <c r="AI383" t="s">
        <v>176</v>
      </c>
      <c r="AJ383" s="197" t="str">
        <f t="shared" si="885"/>
        <v>Lifecycle_Balanced_162</v>
      </c>
      <c r="AK383">
        <v>162</v>
      </c>
      <c r="AL383">
        <f>VLOOKUP($U383,[2]Standard_Balanced!$Q$1:$T$542,2,FALSE)</f>
        <v>0.35639931666666669</v>
      </c>
      <c r="AM383">
        <f>VLOOKUP($U383,[2]Standard_Balanced!$Q$1:$T$542,3,FALSE)</f>
        <v>0.64360068333333331</v>
      </c>
      <c r="AN383">
        <f>VLOOKUP($U383,[2]Standard_Balanced!$Q$1:$T$542,4,FALSE)</f>
        <v>0</v>
      </c>
      <c r="AO383" s="77">
        <f t="shared" si="815"/>
        <v>1</v>
      </c>
      <c r="AP383" s="77">
        <f t="shared" si="840"/>
        <v>5.6081200928749991E-2</v>
      </c>
      <c r="AQ383" s="77">
        <f t="shared" si="886"/>
        <v>4.5574434619974902E-3</v>
      </c>
      <c r="AR383" s="79">
        <v>0</v>
      </c>
      <c r="AS383" s="77">
        <f t="shared" si="841"/>
        <v>0</v>
      </c>
      <c r="AT383" s="77">
        <f t="shared" ref="AT383" si="969">1-(1-AS383)^(1/12)</f>
        <v>0</v>
      </c>
      <c r="AU383" s="77">
        <f t="shared" si="843"/>
        <v>2.5000000000000001E-3</v>
      </c>
      <c r="AV383" s="77">
        <f t="shared" ref="AV383" si="970">1-(1-AU383)^(1/12)</f>
        <v>2.0857243058891584E-4</v>
      </c>
      <c r="AX383" t="s">
        <v>178</v>
      </c>
      <c r="AY383" t="s">
        <v>160</v>
      </c>
      <c r="AZ383" s="197" t="str">
        <f t="shared" si="889"/>
        <v>DIS_Non-Standard_162</v>
      </c>
      <c r="BA383">
        <v>162</v>
      </c>
      <c r="BB383">
        <f>VLOOKUP($BA383,'[2]NonStandard DIS'!$Q$1:$X$542,2,FALSE)</f>
        <v>0</v>
      </c>
      <c r="BC383">
        <f>VLOOKUP($BA383,'[2]NonStandard DIS'!$Q$1:$X$542,3,FALSE)</f>
        <v>6.4999999999999997E-3</v>
      </c>
      <c r="BD383">
        <f>VLOOKUP($BA383,'[2]NonStandard DIS'!$Q$1:$X$542,4,FALSE)</f>
        <v>0.67149999999999999</v>
      </c>
      <c r="BE383">
        <f>VLOOKUP($BA383,'[2]NonStandard DIS'!$Q$1:$X$542,5,FALSE)</f>
        <v>0.32200000000000001</v>
      </c>
      <c r="BF383">
        <f>VLOOKUP($BA383,'[2]NonStandard DIS'!$Q$1:$X$542,6,FALSE)</f>
        <v>0</v>
      </c>
      <c r="BG383">
        <f>VLOOKUP($BA383,'[2]NonStandard DIS'!$Q$1:$X$542,7,FALSE)</f>
        <v>0</v>
      </c>
      <c r="BH383">
        <f>VLOOKUP($BA383,'[2]NonStandard DIS'!$Q$1:$X$542,8,FALSE)</f>
        <v>0</v>
      </c>
      <c r="BI383" s="77">
        <f t="shared" si="832"/>
        <v>1</v>
      </c>
      <c r="BJ383" s="77">
        <f t="shared" si="833"/>
        <v>6.6884699999999991E-2</v>
      </c>
      <c r="BK383" s="77">
        <f t="shared" ref="BK383:BK446" si="971">(1+BJ383)^(1/12)-1</f>
        <v>5.4098227375667385E-3</v>
      </c>
      <c r="BL383" s="79">
        <v>0</v>
      </c>
      <c r="BM383" s="77">
        <f t="shared" si="845"/>
        <v>0</v>
      </c>
      <c r="BN383" s="77">
        <f t="shared" si="846"/>
        <v>0</v>
      </c>
      <c r="BO383" s="77">
        <f t="shared" si="847"/>
        <v>6.48315E-3</v>
      </c>
      <c r="BP383" s="77">
        <f t="shared" si="848"/>
        <v>5.3866375851563397E-4</v>
      </c>
    </row>
    <row r="384" spans="1:68">
      <c r="A384" t="s">
        <v>175</v>
      </c>
      <c r="B384" t="s">
        <v>176</v>
      </c>
      <c r="C384" s="197" t="str">
        <f t="shared" si="883"/>
        <v>Lifecycle_Balanced_161</v>
      </c>
      <c r="D384">
        <v>161</v>
      </c>
      <c r="E384">
        <f>VLOOKUP($D384,'[2]LC Balanced'!$Q$2:$U$542,2,FALSE)</f>
        <v>0.12066666666666666</v>
      </c>
      <c r="F384">
        <f>VLOOKUP($D384,'[2]LC Balanced'!$Q$2:$U$542,3,FALSE)</f>
        <v>0.3705</v>
      </c>
      <c r="G384">
        <f>VLOOKUP($D384,'[2]LC Balanced'!$Q$2:$U$542,4,FALSE)</f>
        <v>0.50883333333333336</v>
      </c>
      <c r="H384">
        <f>VLOOKUP($D384,'[2]LC Balanced'!$Q$2:$U$542,5,FALSE)</f>
        <v>0</v>
      </c>
      <c r="I384" s="77">
        <f t="shared" si="827"/>
        <v>1</v>
      </c>
      <c r="J384" s="77">
        <f t="shared" si="828"/>
        <v>5.5397399999999999E-2</v>
      </c>
      <c r="K384" s="77">
        <f t="shared" si="818"/>
        <v>4.5032240476399199E-3</v>
      </c>
      <c r="L384" s="76">
        <v>0</v>
      </c>
      <c r="M384" s="77">
        <f t="shared" si="834"/>
        <v>0</v>
      </c>
      <c r="N384" s="77">
        <f t="shared" si="835"/>
        <v>0</v>
      </c>
      <c r="O384" s="77">
        <f t="shared" si="836"/>
        <v>6.1391499999999995E-3</v>
      </c>
      <c r="P384" s="77">
        <f t="shared" si="837"/>
        <v>5.1304102148408415E-4</v>
      </c>
      <c r="R384" t="s">
        <v>177</v>
      </c>
      <c r="S384" t="s">
        <v>176</v>
      </c>
      <c r="T384" s="197" t="str">
        <f t="shared" si="926"/>
        <v>Autopilot_Balanced_161</v>
      </c>
      <c r="U384">
        <v>161</v>
      </c>
      <c r="V384">
        <f>VLOOKUP($U384,'[2]AP Balanced'!$Q$1:$T$542,2,FALSE)</f>
        <v>0.40224606666666657</v>
      </c>
      <c r="W384">
        <f>VLOOKUP($U384,'[2]AP Balanced'!$Q$1:$T$542,3,FALSE)</f>
        <v>0.59775393333333349</v>
      </c>
      <c r="X384">
        <f>VLOOKUP($U384,'[2]AP Balanced'!$Q$1:$T$542,4,FALSE)</f>
        <v>0</v>
      </c>
      <c r="Y384" s="77">
        <f t="shared" si="884"/>
        <v>1</v>
      </c>
      <c r="Z384" s="77">
        <f t="shared" si="873"/>
        <v>5.6689816534999993E-2</v>
      </c>
      <c r="AA384" s="77">
        <f t="shared" si="874"/>
        <v>4.6056742787954352E-3</v>
      </c>
      <c r="AB384" s="79">
        <v>1</v>
      </c>
      <c r="AC384" s="77">
        <f t="shared" si="838"/>
        <v>7.3044921333333332E-3</v>
      </c>
      <c r="AD384" s="77">
        <f t="shared" si="829"/>
        <v>6.1075512675712318E-4</v>
      </c>
      <c r="AE384" s="77">
        <f t="shared" si="839"/>
        <v>2.5000000000000005E-3</v>
      </c>
      <c r="AF384" s="77">
        <f t="shared" si="829"/>
        <v>2.0857243058891584E-4</v>
      </c>
      <c r="AH384" t="s">
        <v>175</v>
      </c>
      <c r="AI384" t="s">
        <v>176</v>
      </c>
      <c r="AJ384" s="197" t="str">
        <f t="shared" si="885"/>
        <v>Lifecycle_Balanced_161</v>
      </c>
      <c r="AK384">
        <v>161</v>
      </c>
      <c r="AL384">
        <f>VLOOKUP($U384,[2]Standard_Balanced!$Q$1:$T$542,2,FALSE)</f>
        <v>0.34875819166666672</v>
      </c>
      <c r="AM384">
        <f>VLOOKUP($U384,[2]Standard_Balanced!$Q$1:$T$542,3,FALSE)</f>
        <v>0.65124180833333334</v>
      </c>
      <c r="AN384">
        <f>VLOOKUP($U384,[2]Standard_Balanced!$Q$1:$T$542,4,FALSE)</f>
        <v>0</v>
      </c>
      <c r="AO384" s="77">
        <f t="shared" ref="AO384:AO447" si="972">SUM(AL384:AN384)</f>
        <v>1</v>
      </c>
      <c r="AP384" s="77">
        <f t="shared" si="840"/>
        <v>5.5979764994375E-2</v>
      </c>
      <c r="AQ384" s="77">
        <f t="shared" si="886"/>
        <v>4.5494025155150553E-3</v>
      </c>
      <c r="AR384" s="79">
        <v>0</v>
      </c>
      <c r="AS384" s="77">
        <f t="shared" si="841"/>
        <v>0</v>
      </c>
      <c r="AT384" s="77">
        <f t="shared" ref="AT384" si="973">1-(1-AS384)^(1/12)</f>
        <v>0</v>
      </c>
      <c r="AU384" s="77">
        <f t="shared" si="843"/>
        <v>2.5000000000000001E-3</v>
      </c>
      <c r="AV384" s="77">
        <f t="shared" ref="AV384" si="974">1-(1-AU384)^(1/12)</f>
        <v>2.0857243058891584E-4</v>
      </c>
      <c r="AX384" t="s">
        <v>178</v>
      </c>
      <c r="AY384" t="s">
        <v>160</v>
      </c>
      <c r="AZ384" s="197" t="str">
        <f t="shared" si="889"/>
        <v>DIS_Non-Standard_161</v>
      </c>
      <c r="BA384">
        <v>161</v>
      </c>
      <c r="BB384">
        <f>VLOOKUP($BA384,'[2]NonStandard DIS'!$Q$1:$X$542,2,FALSE)</f>
        <v>0</v>
      </c>
      <c r="BC384">
        <f>VLOOKUP($BA384,'[2]NonStandard DIS'!$Q$1:$X$542,3,FALSE)</f>
        <v>7.5833333333333326E-3</v>
      </c>
      <c r="BD384">
        <f>VLOOKUP($BA384,'[2]NonStandard DIS'!$Q$1:$X$542,4,FALSE)</f>
        <v>0.70974999999999999</v>
      </c>
      <c r="BE384">
        <f>VLOOKUP($BA384,'[2]NonStandard DIS'!$Q$1:$X$542,5,FALSE)</f>
        <v>0.28266666666666668</v>
      </c>
      <c r="BF384">
        <f>VLOOKUP($BA384,'[2]NonStandard DIS'!$Q$1:$X$542,6,FALSE)</f>
        <v>0</v>
      </c>
      <c r="BG384">
        <f>VLOOKUP($BA384,'[2]NonStandard DIS'!$Q$1:$X$542,7,FALSE)</f>
        <v>0</v>
      </c>
      <c r="BH384">
        <f>VLOOKUP($BA384,'[2]NonStandard DIS'!$Q$1:$X$542,8,FALSE)</f>
        <v>0</v>
      </c>
      <c r="BI384" s="77">
        <f t="shared" si="832"/>
        <v>1</v>
      </c>
      <c r="BJ384" s="77">
        <f t="shared" si="833"/>
        <v>6.6575441666666652E-2</v>
      </c>
      <c r="BK384" s="77">
        <f t="shared" si="971"/>
        <v>5.3855329616701031E-3</v>
      </c>
      <c r="BL384" s="79">
        <v>0</v>
      </c>
      <c r="BM384" s="77">
        <f t="shared" si="845"/>
        <v>0</v>
      </c>
      <c r="BN384" s="77">
        <f t="shared" si="846"/>
        <v>0</v>
      </c>
      <c r="BO384" s="77">
        <f t="shared" si="847"/>
        <v>6.5682749999999993E-3</v>
      </c>
      <c r="BP384" s="77">
        <f t="shared" si="848"/>
        <v>5.4571533809588679E-4</v>
      </c>
    </row>
    <row r="385" spans="1:68">
      <c r="A385" t="s">
        <v>175</v>
      </c>
      <c r="B385" t="s">
        <v>176</v>
      </c>
      <c r="C385" s="197" t="str">
        <f t="shared" si="883"/>
        <v>Lifecycle_Balanced_160</v>
      </c>
      <c r="D385">
        <v>160</v>
      </c>
      <c r="E385">
        <f>VLOOKUP($D385,'[2]LC Balanced'!$Q$2:$U$542,2,FALSE)</f>
        <v>0.12633333333333333</v>
      </c>
      <c r="F385">
        <f>VLOOKUP($D385,'[2]LC Balanced'!$Q$2:$U$542,3,FALSE)</f>
        <v>0.36899999999999999</v>
      </c>
      <c r="G385">
        <f>VLOOKUP($D385,'[2]LC Balanced'!$Q$2:$U$542,4,FALSE)</f>
        <v>0.50466666666666671</v>
      </c>
      <c r="H385">
        <f>VLOOKUP($D385,'[2]LC Balanced'!$Q$2:$U$542,5,FALSE)</f>
        <v>0</v>
      </c>
      <c r="I385" s="77">
        <f t="shared" si="827"/>
        <v>1</v>
      </c>
      <c r="J385" s="77">
        <f t="shared" si="828"/>
        <v>5.5298574999999996E-2</v>
      </c>
      <c r="K385" s="77">
        <f t="shared" ref="K385:K448" si="975">(1+J385)^(1/12)-1</f>
        <v>4.4953854290801232E-3</v>
      </c>
      <c r="L385" s="76">
        <v>0</v>
      </c>
      <c r="M385" s="77">
        <f t="shared" si="834"/>
        <v>0</v>
      </c>
      <c r="N385" s="77">
        <f t="shared" si="835"/>
        <v>0</v>
      </c>
      <c r="O385" s="77">
        <f t="shared" si="836"/>
        <v>6.1139000000000002E-3</v>
      </c>
      <c r="P385" s="77">
        <f t="shared" si="837"/>
        <v>5.1092496806059984E-4</v>
      </c>
      <c r="R385" t="s">
        <v>177</v>
      </c>
      <c r="S385" t="s">
        <v>176</v>
      </c>
      <c r="T385" s="197" t="str">
        <f t="shared" si="926"/>
        <v>Autopilot_Balanced_160</v>
      </c>
      <c r="U385">
        <v>160</v>
      </c>
      <c r="V385">
        <f>VLOOKUP($U385,'[2]AP Balanced'!$Q$1:$T$542,2,FALSE)</f>
        <v>0.40224606666666657</v>
      </c>
      <c r="W385">
        <f>VLOOKUP($U385,'[2]AP Balanced'!$Q$1:$T$542,3,FALSE)</f>
        <v>0.59775393333333349</v>
      </c>
      <c r="X385">
        <f>VLOOKUP($U385,'[2]AP Balanced'!$Q$1:$T$542,4,FALSE)</f>
        <v>0</v>
      </c>
      <c r="Y385" s="77">
        <f t="shared" si="884"/>
        <v>1</v>
      </c>
      <c r="Z385" s="77">
        <f t="shared" si="873"/>
        <v>5.6689816534999993E-2</v>
      </c>
      <c r="AA385" s="77">
        <f t="shared" si="874"/>
        <v>4.6056742787954352E-3</v>
      </c>
      <c r="AB385" s="79">
        <v>1</v>
      </c>
      <c r="AC385" s="77">
        <f t="shared" si="838"/>
        <v>7.3044921333333332E-3</v>
      </c>
      <c r="AD385" s="77">
        <f t="shared" si="829"/>
        <v>6.1075512675712318E-4</v>
      </c>
      <c r="AE385" s="77">
        <f t="shared" si="839"/>
        <v>2.5000000000000005E-3</v>
      </c>
      <c r="AF385" s="77">
        <f t="shared" si="829"/>
        <v>2.0857243058891584E-4</v>
      </c>
      <c r="AH385" t="s">
        <v>175</v>
      </c>
      <c r="AI385" t="s">
        <v>176</v>
      </c>
      <c r="AJ385" s="197" t="str">
        <f t="shared" si="885"/>
        <v>Lifecycle_Balanced_160</v>
      </c>
      <c r="AK385">
        <v>160</v>
      </c>
      <c r="AL385">
        <f>VLOOKUP($U385,[2]Standard_Balanced!$Q$1:$T$542,2,FALSE)</f>
        <v>0.34111706666666675</v>
      </c>
      <c r="AM385">
        <f>VLOOKUP($U385,[2]Standard_Balanced!$Q$1:$T$542,3,FALSE)</f>
        <v>0.65888293333333325</v>
      </c>
      <c r="AN385">
        <f>VLOOKUP($U385,[2]Standard_Balanced!$Q$1:$T$542,4,FALSE)</f>
        <v>0</v>
      </c>
      <c r="AO385" s="77">
        <f t="shared" si="972"/>
        <v>1</v>
      </c>
      <c r="AP385" s="77">
        <f t="shared" si="840"/>
        <v>5.5878329059999989E-2</v>
      </c>
      <c r="AQ385" s="77">
        <f t="shared" si="886"/>
        <v>4.541360860966126E-3</v>
      </c>
      <c r="AR385" s="79">
        <v>0</v>
      </c>
      <c r="AS385" s="77">
        <f t="shared" si="841"/>
        <v>0</v>
      </c>
      <c r="AT385" s="77">
        <f t="shared" ref="AT385" si="976">1-(1-AS385)^(1/12)</f>
        <v>0</v>
      </c>
      <c r="AU385" s="77">
        <f t="shared" si="843"/>
        <v>2.5000000000000001E-3</v>
      </c>
      <c r="AV385" s="77">
        <f t="shared" ref="AV385" si="977">1-(1-AU385)^(1/12)</f>
        <v>2.0857243058891584E-4</v>
      </c>
      <c r="AX385" t="s">
        <v>178</v>
      </c>
      <c r="AY385" t="s">
        <v>160</v>
      </c>
      <c r="AZ385" s="197" t="str">
        <f t="shared" si="889"/>
        <v>DIS_Non-Standard_160</v>
      </c>
      <c r="BA385">
        <v>160</v>
      </c>
      <c r="BB385">
        <f>VLOOKUP($BA385,'[2]NonStandard DIS'!$Q$1:$X$542,2,FALSE)</f>
        <v>0</v>
      </c>
      <c r="BC385">
        <f>VLOOKUP($BA385,'[2]NonStandard DIS'!$Q$1:$X$542,3,FALSE)</f>
        <v>8.6666666666666663E-3</v>
      </c>
      <c r="BD385">
        <f>VLOOKUP($BA385,'[2]NonStandard DIS'!$Q$1:$X$542,4,FALSE)</f>
        <v>0.748</v>
      </c>
      <c r="BE385">
        <f>VLOOKUP($BA385,'[2]NonStandard DIS'!$Q$1:$X$542,5,FALSE)</f>
        <v>0.24333333333333335</v>
      </c>
      <c r="BF385">
        <f>VLOOKUP($BA385,'[2]NonStandard DIS'!$Q$1:$X$542,6,FALSE)</f>
        <v>0</v>
      </c>
      <c r="BG385">
        <f>VLOOKUP($BA385,'[2]NonStandard DIS'!$Q$1:$X$542,7,FALSE)</f>
        <v>0</v>
      </c>
      <c r="BH385">
        <f>VLOOKUP($BA385,'[2]NonStandard DIS'!$Q$1:$X$542,8,FALSE)</f>
        <v>0</v>
      </c>
      <c r="BI385" s="77">
        <f t="shared" si="832"/>
        <v>1</v>
      </c>
      <c r="BJ385" s="77">
        <f t="shared" si="833"/>
        <v>6.6266183333333326E-2</v>
      </c>
      <c r="BK385" s="77">
        <f t="shared" si="971"/>
        <v>5.3612367288968787E-3</v>
      </c>
      <c r="BL385" s="79">
        <v>0</v>
      </c>
      <c r="BM385" s="77">
        <f t="shared" si="845"/>
        <v>0</v>
      </c>
      <c r="BN385" s="77">
        <f t="shared" si="846"/>
        <v>0</v>
      </c>
      <c r="BO385" s="77">
        <f t="shared" si="847"/>
        <v>6.6534000000000003E-3</v>
      </c>
      <c r="BP385" s="77">
        <f t="shared" si="848"/>
        <v>5.5276637104451076E-4</v>
      </c>
    </row>
    <row r="386" spans="1:68">
      <c r="A386" t="s">
        <v>175</v>
      </c>
      <c r="B386" t="s">
        <v>176</v>
      </c>
      <c r="C386" s="197" t="str">
        <f t="shared" si="883"/>
        <v>Lifecycle_Balanced_159</v>
      </c>
      <c r="D386">
        <v>159</v>
      </c>
      <c r="E386">
        <f>VLOOKUP($D386,'[2]LC Balanced'!$Q$2:$U$542,2,FALSE)</f>
        <v>0.13200000000000001</v>
      </c>
      <c r="F386">
        <f>VLOOKUP($D386,'[2]LC Balanced'!$Q$2:$U$542,3,FALSE)</f>
        <v>0.36749999999999999</v>
      </c>
      <c r="G386">
        <f>VLOOKUP($D386,'[2]LC Balanced'!$Q$2:$U$542,4,FALSE)</f>
        <v>0.50049999999999994</v>
      </c>
      <c r="H386">
        <f>VLOOKUP($D386,'[2]LC Balanced'!$Q$2:$U$542,5,FALSE)</f>
        <v>0</v>
      </c>
      <c r="I386" s="77">
        <f t="shared" si="827"/>
        <v>1</v>
      </c>
      <c r="J386" s="77">
        <f t="shared" si="828"/>
        <v>5.5199749999999992E-2</v>
      </c>
      <c r="K386" s="77">
        <f t="shared" si="975"/>
        <v>4.4875461376039372E-3</v>
      </c>
      <c r="L386" s="76">
        <v>0</v>
      </c>
      <c r="M386" s="77">
        <f t="shared" si="834"/>
        <v>0</v>
      </c>
      <c r="N386" s="77">
        <f t="shared" si="835"/>
        <v>0</v>
      </c>
      <c r="O386" s="77">
        <f t="shared" si="836"/>
        <v>6.0886499999999993E-3</v>
      </c>
      <c r="P386" s="77">
        <f t="shared" si="837"/>
        <v>5.0880896391569674E-4</v>
      </c>
      <c r="R386" t="s">
        <v>177</v>
      </c>
      <c r="S386" t="s">
        <v>176</v>
      </c>
      <c r="T386" s="197" t="str">
        <f t="shared" si="926"/>
        <v>Autopilot_Balanced_159</v>
      </c>
      <c r="U386">
        <v>159</v>
      </c>
      <c r="V386">
        <f>VLOOKUP($U386,'[2]AP Balanced'!$Q$1:$T$542,2,FALSE)</f>
        <v>0.40224606666666657</v>
      </c>
      <c r="W386">
        <f>VLOOKUP($U386,'[2]AP Balanced'!$Q$1:$T$542,3,FALSE)</f>
        <v>0.59775393333333349</v>
      </c>
      <c r="X386">
        <f>VLOOKUP($U386,'[2]AP Balanced'!$Q$1:$T$542,4,FALSE)</f>
        <v>0</v>
      </c>
      <c r="Y386" s="77">
        <f t="shared" si="884"/>
        <v>1</v>
      </c>
      <c r="Z386" s="77">
        <f t="shared" si="873"/>
        <v>5.6689816534999993E-2</v>
      </c>
      <c r="AA386" s="77">
        <f t="shared" si="874"/>
        <v>4.6056742787954352E-3</v>
      </c>
      <c r="AB386" s="79">
        <v>1</v>
      </c>
      <c r="AC386" s="77">
        <f t="shared" si="838"/>
        <v>7.3044921333333332E-3</v>
      </c>
      <c r="AD386" s="77">
        <f t="shared" si="829"/>
        <v>6.1075512675712318E-4</v>
      </c>
      <c r="AE386" s="77">
        <f t="shared" si="839"/>
        <v>2.5000000000000005E-3</v>
      </c>
      <c r="AF386" s="77">
        <f t="shared" si="829"/>
        <v>2.0857243058891584E-4</v>
      </c>
      <c r="AH386" t="s">
        <v>175</v>
      </c>
      <c r="AI386" t="s">
        <v>176</v>
      </c>
      <c r="AJ386" s="197" t="str">
        <f t="shared" si="885"/>
        <v>Lifecycle_Balanced_159</v>
      </c>
      <c r="AK386">
        <v>159</v>
      </c>
      <c r="AL386">
        <f>VLOOKUP($U386,[2]Standard_Balanced!$Q$1:$T$542,2,FALSE)</f>
        <v>0.33347594166666672</v>
      </c>
      <c r="AM386">
        <f>VLOOKUP($U386,[2]Standard_Balanced!$Q$1:$T$542,3,FALSE)</f>
        <v>0.66652405833333317</v>
      </c>
      <c r="AN386">
        <f>VLOOKUP($U386,[2]Standard_Balanced!$Q$1:$T$542,4,FALSE)</f>
        <v>0</v>
      </c>
      <c r="AO386" s="77">
        <f t="shared" si="972"/>
        <v>0.99999999999999989</v>
      </c>
      <c r="AP386" s="77">
        <f t="shared" si="840"/>
        <v>5.5776893125624984E-2</v>
      </c>
      <c r="AQ386" s="77">
        <f t="shared" si="886"/>
        <v>4.5333184982205843E-3</v>
      </c>
      <c r="AR386" s="79">
        <v>0</v>
      </c>
      <c r="AS386" s="77">
        <f t="shared" si="841"/>
        <v>0</v>
      </c>
      <c r="AT386" s="77">
        <f t="shared" ref="AT386" si="978">1-(1-AS386)^(1/12)</f>
        <v>0</v>
      </c>
      <c r="AU386" s="77">
        <f t="shared" si="843"/>
        <v>2.4999999999999996E-3</v>
      </c>
      <c r="AV386" s="77">
        <f t="shared" ref="AV386" si="979">1-(1-AU386)^(1/12)</f>
        <v>2.0857243058891584E-4</v>
      </c>
      <c r="AX386" t="s">
        <v>178</v>
      </c>
      <c r="AY386" t="s">
        <v>160</v>
      </c>
      <c r="AZ386" s="197" t="str">
        <f t="shared" si="889"/>
        <v>DIS_Non-Standard_159</v>
      </c>
      <c r="BA386">
        <v>159</v>
      </c>
      <c r="BB386">
        <f>VLOOKUP($BA386,'[2]NonStandard DIS'!$Q$1:$X$542,2,FALSE)</f>
        <v>0</v>
      </c>
      <c r="BC386">
        <f>VLOOKUP($BA386,'[2]NonStandard DIS'!$Q$1:$X$542,3,FALSE)</f>
        <v>9.75E-3</v>
      </c>
      <c r="BD386">
        <f>VLOOKUP($BA386,'[2]NonStandard DIS'!$Q$1:$X$542,4,FALSE)</f>
        <v>0.78625</v>
      </c>
      <c r="BE386">
        <f>VLOOKUP($BA386,'[2]NonStandard DIS'!$Q$1:$X$542,5,FALSE)</f>
        <v>0.20400000000000001</v>
      </c>
      <c r="BF386">
        <f>VLOOKUP($BA386,'[2]NonStandard DIS'!$Q$1:$X$542,6,FALSE)</f>
        <v>0</v>
      </c>
      <c r="BG386">
        <f>VLOOKUP($BA386,'[2]NonStandard DIS'!$Q$1:$X$542,7,FALSE)</f>
        <v>0</v>
      </c>
      <c r="BH386">
        <f>VLOOKUP($BA386,'[2]NonStandard DIS'!$Q$1:$X$542,8,FALSE)</f>
        <v>0</v>
      </c>
      <c r="BI386" s="77">
        <f t="shared" si="832"/>
        <v>1</v>
      </c>
      <c r="BJ386" s="77">
        <f t="shared" si="833"/>
        <v>6.5956924999999986E-2</v>
      </c>
      <c r="BK386" s="77">
        <f t="shared" si="971"/>
        <v>5.3369340356566042E-3</v>
      </c>
      <c r="BL386" s="79">
        <v>0</v>
      </c>
      <c r="BM386" s="77">
        <f t="shared" si="845"/>
        <v>0</v>
      </c>
      <c r="BN386" s="77">
        <f t="shared" si="846"/>
        <v>0</v>
      </c>
      <c r="BO386" s="77">
        <f t="shared" si="847"/>
        <v>6.7385250000000004E-3</v>
      </c>
      <c r="BP386" s="77">
        <f t="shared" si="848"/>
        <v>5.5981685744965759E-4</v>
      </c>
    </row>
    <row r="387" spans="1:68">
      <c r="A387" t="s">
        <v>175</v>
      </c>
      <c r="B387" t="s">
        <v>176</v>
      </c>
      <c r="C387" s="197" t="str">
        <f t="shared" si="883"/>
        <v>Lifecycle_Balanced_158</v>
      </c>
      <c r="D387">
        <v>158</v>
      </c>
      <c r="E387">
        <f>VLOOKUP($D387,'[2]LC Balanced'!$Q$2:$U$542,2,FALSE)</f>
        <v>0.13766666666666666</v>
      </c>
      <c r="F387">
        <f>VLOOKUP($D387,'[2]LC Balanced'!$Q$2:$U$542,3,FALSE)</f>
        <v>0.36599999999999999</v>
      </c>
      <c r="G387">
        <f>VLOOKUP($D387,'[2]LC Balanced'!$Q$2:$U$542,4,FALSE)</f>
        <v>0.49633333333333335</v>
      </c>
      <c r="H387">
        <f>VLOOKUP($D387,'[2]LC Balanced'!$Q$2:$U$542,5,FALSE)</f>
        <v>0</v>
      </c>
      <c r="I387" s="77">
        <f t="shared" si="827"/>
        <v>1</v>
      </c>
      <c r="J387" s="77">
        <f t="shared" si="828"/>
        <v>5.5100924999999995E-2</v>
      </c>
      <c r="K387" s="77">
        <f t="shared" si="975"/>
        <v>4.4797061730905696E-3</v>
      </c>
      <c r="L387" s="76">
        <v>0</v>
      </c>
      <c r="M387" s="77">
        <f t="shared" si="834"/>
        <v>0</v>
      </c>
      <c r="N387" s="77">
        <f t="shared" si="835"/>
        <v>0</v>
      </c>
      <c r="O387" s="77">
        <f t="shared" si="836"/>
        <v>6.0634E-3</v>
      </c>
      <c r="P387" s="77">
        <f t="shared" si="837"/>
        <v>5.0669300904693237E-4</v>
      </c>
      <c r="R387" t="s">
        <v>177</v>
      </c>
      <c r="S387" t="s">
        <v>176</v>
      </c>
      <c r="T387" s="197" t="str">
        <f t="shared" si="926"/>
        <v>Autopilot_Balanced_158</v>
      </c>
      <c r="U387">
        <v>158</v>
      </c>
      <c r="V387">
        <f>VLOOKUP($U387,'[2]AP Balanced'!$Q$1:$T$542,2,FALSE)</f>
        <v>0.40224606666666657</v>
      </c>
      <c r="W387">
        <f>VLOOKUP($U387,'[2]AP Balanced'!$Q$1:$T$542,3,FALSE)</f>
        <v>0.59775393333333349</v>
      </c>
      <c r="X387">
        <f>VLOOKUP($U387,'[2]AP Balanced'!$Q$1:$T$542,4,FALSE)</f>
        <v>0</v>
      </c>
      <c r="Y387" s="77">
        <f t="shared" si="884"/>
        <v>1</v>
      </c>
      <c r="Z387" s="77">
        <f t="shared" si="873"/>
        <v>5.6689816534999993E-2</v>
      </c>
      <c r="AA387" s="77">
        <f t="shared" si="874"/>
        <v>4.6056742787954352E-3</v>
      </c>
      <c r="AB387" s="79">
        <v>1</v>
      </c>
      <c r="AC387" s="77">
        <f t="shared" si="838"/>
        <v>7.3044921333333332E-3</v>
      </c>
      <c r="AD387" s="77">
        <f t="shared" si="829"/>
        <v>6.1075512675712318E-4</v>
      </c>
      <c r="AE387" s="77">
        <f t="shared" si="839"/>
        <v>2.5000000000000005E-3</v>
      </c>
      <c r="AF387" s="77">
        <f t="shared" si="829"/>
        <v>2.0857243058891584E-4</v>
      </c>
      <c r="AH387" t="s">
        <v>175</v>
      </c>
      <c r="AI387" t="s">
        <v>176</v>
      </c>
      <c r="AJ387" s="197" t="str">
        <f t="shared" si="885"/>
        <v>Lifecycle_Balanced_158</v>
      </c>
      <c r="AK387">
        <v>158</v>
      </c>
      <c r="AL387">
        <f>VLOOKUP($U387,[2]Standard_Balanced!$Q$1:$T$542,2,FALSE)</f>
        <v>0.32583481666666675</v>
      </c>
      <c r="AM387">
        <f>VLOOKUP($U387,[2]Standard_Balanced!$Q$1:$T$542,3,FALSE)</f>
        <v>0.6741651833333332</v>
      </c>
      <c r="AN387">
        <f>VLOOKUP($U387,[2]Standard_Balanced!$Q$1:$T$542,4,FALSE)</f>
        <v>0</v>
      </c>
      <c r="AO387" s="77">
        <f t="shared" si="972"/>
        <v>1</v>
      </c>
      <c r="AP387" s="77">
        <f t="shared" si="840"/>
        <v>5.5675457191249986E-2</v>
      </c>
      <c r="AQ387" s="77">
        <f t="shared" si="886"/>
        <v>4.5252754271478679E-3</v>
      </c>
      <c r="AR387" s="79">
        <v>0</v>
      </c>
      <c r="AS387" s="77">
        <f t="shared" si="841"/>
        <v>0</v>
      </c>
      <c r="AT387" s="77">
        <f t="shared" ref="AT387" si="980">1-(1-AS387)^(1/12)</f>
        <v>0</v>
      </c>
      <c r="AU387" s="77">
        <f t="shared" si="843"/>
        <v>2.5000000000000001E-3</v>
      </c>
      <c r="AV387" s="77">
        <f t="shared" ref="AV387" si="981">1-(1-AU387)^(1/12)</f>
        <v>2.0857243058891584E-4</v>
      </c>
      <c r="AX387" t="s">
        <v>178</v>
      </c>
      <c r="AY387" t="s">
        <v>160</v>
      </c>
      <c r="AZ387" s="197" t="str">
        <f t="shared" si="889"/>
        <v>DIS_Non-Standard_158</v>
      </c>
      <c r="BA387">
        <v>158</v>
      </c>
      <c r="BB387">
        <f>VLOOKUP($BA387,'[2]NonStandard DIS'!$Q$1:$X$542,2,FALSE)</f>
        <v>0</v>
      </c>
      <c r="BC387">
        <f>VLOOKUP($BA387,'[2]NonStandard DIS'!$Q$1:$X$542,3,FALSE)</f>
        <v>1.0833333333333334E-2</v>
      </c>
      <c r="BD387">
        <f>VLOOKUP($BA387,'[2]NonStandard DIS'!$Q$1:$X$542,4,FALSE)</f>
        <v>0.82450000000000001</v>
      </c>
      <c r="BE387">
        <f>VLOOKUP($BA387,'[2]NonStandard DIS'!$Q$1:$X$542,5,FALSE)</f>
        <v>0.16466666666666668</v>
      </c>
      <c r="BF387">
        <f>VLOOKUP($BA387,'[2]NonStandard DIS'!$Q$1:$X$542,6,FALSE)</f>
        <v>0</v>
      </c>
      <c r="BG387">
        <f>VLOOKUP($BA387,'[2]NonStandard DIS'!$Q$1:$X$542,7,FALSE)</f>
        <v>0</v>
      </c>
      <c r="BH387">
        <f>VLOOKUP($BA387,'[2]NonStandard DIS'!$Q$1:$X$542,8,FALSE)</f>
        <v>0</v>
      </c>
      <c r="BI387" s="77">
        <f t="shared" si="832"/>
        <v>1</v>
      </c>
      <c r="BJ387" s="77">
        <f t="shared" si="833"/>
        <v>6.564766666666666E-2</v>
      </c>
      <c r="BK387" s="77">
        <f t="shared" si="971"/>
        <v>5.3126248783568197E-3</v>
      </c>
      <c r="BL387" s="79">
        <v>0</v>
      </c>
      <c r="BM387" s="77">
        <f t="shared" si="845"/>
        <v>0</v>
      </c>
      <c r="BN387" s="77">
        <f t="shared" si="846"/>
        <v>0</v>
      </c>
      <c r="BO387" s="77">
        <f t="shared" si="847"/>
        <v>6.8236500000000005E-3</v>
      </c>
      <c r="BP387" s="77">
        <f t="shared" si="848"/>
        <v>5.6686679740036716E-4</v>
      </c>
    </row>
    <row r="388" spans="1:68">
      <c r="A388" t="s">
        <v>175</v>
      </c>
      <c r="B388" t="s">
        <v>176</v>
      </c>
      <c r="C388" s="197" t="str">
        <f t="shared" si="883"/>
        <v>Lifecycle_Balanced_157</v>
      </c>
      <c r="D388">
        <v>157</v>
      </c>
      <c r="E388">
        <f>VLOOKUP($D388,'[2]LC Balanced'!$Q$2:$U$542,2,FALSE)</f>
        <v>0.14333333333333334</v>
      </c>
      <c r="F388">
        <f>VLOOKUP($D388,'[2]LC Balanced'!$Q$2:$U$542,3,FALSE)</f>
        <v>0.36449999999999999</v>
      </c>
      <c r="G388">
        <f>VLOOKUP($D388,'[2]LC Balanced'!$Q$2:$U$542,4,FALSE)</f>
        <v>0.49216666666666664</v>
      </c>
      <c r="H388">
        <f>VLOOKUP($D388,'[2]LC Balanced'!$Q$2:$U$542,5,FALSE)</f>
        <v>0</v>
      </c>
      <c r="I388" s="77">
        <f t="shared" si="827"/>
        <v>1</v>
      </c>
      <c r="J388" s="77">
        <f t="shared" si="828"/>
        <v>5.5002099999999991E-2</v>
      </c>
      <c r="K388" s="77">
        <f t="shared" si="975"/>
        <v>4.4718655354192283E-3</v>
      </c>
      <c r="L388" s="76">
        <v>0</v>
      </c>
      <c r="M388" s="77">
        <f t="shared" si="834"/>
        <v>0</v>
      </c>
      <c r="N388" s="77">
        <f t="shared" si="835"/>
        <v>0</v>
      </c>
      <c r="O388" s="77">
        <f t="shared" si="836"/>
        <v>6.0381499999999991E-3</v>
      </c>
      <c r="P388" s="77">
        <f t="shared" si="837"/>
        <v>5.0457710345197526E-4</v>
      </c>
      <c r="R388" t="s">
        <v>177</v>
      </c>
      <c r="S388" t="s">
        <v>176</v>
      </c>
      <c r="T388" s="197" t="str">
        <f t="shared" si="926"/>
        <v>Autopilot_Balanced_157</v>
      </c>
      <c r="U388">
        <v>157</v>
      </c>
      <c r="V388">
        <f>VLOOKUP($U388,'[2]AP Balanced'!$Q$1:$T$542,2,FALSE)</f>
        <v>0.40224606666666657</v>
      </c>
      <c r="W388">
        <f>VLOOKUP($U388,'[2]AP Balanced'!$Q$1:$T$542,3,FALSE)</f>
        <v>0.59775393333333349</v>
      </c>
      <c r="X388">
        <f>VLOOKUP($U388,'[2]AP Balanced'!$Q$1:$T$542,4,FALSE)</f>
        <v>0</v>
      </c>
      <c r="Y388" s="77">
        <f t="shared" si="884"/>
        <v>1</v>
      </c>
      <c r="Z388" s="77">
        <f t="shared" si="873"/>
        <v>5.6689816534999993E-2</v>
      </c>
      <c r="AA388" s="77">
        <f t="shared" si="874"/>
        <v>4.6056742787954352E-3</v>
      </c>
      <c r="AB388" s="79">
        <v>1</v>
      </c>
      <c r="AC388" s="77">
        <f t="shared" si="838"/>
        <v>7.3044921333333332E-3</v>
      </c>
      <c r="AD388" s="77">
        <f t="shared" si="829"/>
        <v>6.1075512675712318E-4</v>
      </c>
      <c r="AE388" s="77">
        <f t="shared" si="839"/>
        <v>2.5000000000000005E-3</v>
      </c>
      <c r="AF388" s="77">
        <f t="shared" si="829"/>
        <v>2.0857243058891584E-4</v>
      </c>
      <c r="AH388" t="s">
        <v>175</v>
      </c>
      <c r="AI388" t="s">
        <v>176</v>
      </c>
      <c r="AJ388" s="197" t="str">
        <f t="shared" si="885"/>
        <v>Lifecycle_Balanced_157</v>
      </c>
      <c r="AK388">
        <v>157</v>
      </c>
      <c r="AL388">
        <f>VLOOKUP($U388,[2]Standard_Balanced!$Q$1:$T$542,2,FALSE)</f>
        <v>0.31819369166666678</v>
      </c>
      <c r="AM388">
        <f>VLOOKUP($U388,[2]Standard_Balanced!$Q$1:$T$542,3,FALSE)</f>
        <v>0.68180630833333322</v>
      </c>
      <c r="AN388">
        <f>VLOOKUP($U388,[2]Standard_Balanced!$Q$1:$T$542,4,FALSE)</f>
        <v>0</v>
      </c>
      <c r="AO388" s="77">
        <f t="shared" si="972"/>
        <v>1</v>
      </c>
      <c r="AP388" s="77">
        <f t="shared" si="840"/>
        <v>5.5574021256874995E-2</v>
      </c>
      <c r="AQ388" s="77">
        <f t="shared" si="886"/>
        <v>4.5172316476174146E-3</v>
      </c>
      <c r="AR388" s="79">
        <v>0</v>
      </c>
      <c r="AS388" s="77">
        <f t="shared" si="841"/>
        <v>0</v>
      </c>
      <c r="AT388" s="77">
        <f t="shared" ref="AT388" si="982">1-(1-AS388)^(1/12)</f>
        <v>0</v>
      </c>
      <c r="AU388" s="77">
        <f t="shared" si="843"/>
        <v>2.5000000000000001E-3</v>
      </c>
      <c r="AV388" s="77">
        <f t="shared" ref="AV388" si="983">1-(1-AU388)^(1/12)</f>
        <v>2.0857243058891584E-4</v>
      </c>
      <c r="AX388" t="s">
        <v>178</v>
      </c>
      <c r="AY388" t="s">
        <v>160</v>
      </c>
      <c r="AZ388" s="197" t="str">
        <f t="shared" si="889"/>
        <v>DIS_Non-Standard_157</v>
      </c>
      <c r="BA388">
        <v>157</v>
      </c>
      <c r="BB388">
        <f>VLOOKUP($BA388,'[2]NonStandard DIS'!$Q$1:$X$542,2,FALSE)</f>
        <v>0</v>
      </c>
      <c r="BC388">
        <f>VLOOKUP($BA388,'[2]NonStandard DIS'!$Q$1:$X$542,3,FALSE)</f>
        <v>1.1916666666666666E-2</v>
      </c>
      <c r="BD388">
        <f>VLOOKUP($BA388,'[2]NonStandard DIS'!$Q$1:$X$542,4,FALSE)</f>
        <v>0.86275000000000002</v>
      </c>
      <c r="BE388">
        <f>VLOOKUP($BA388,'[2]NonStandard DIS'!$Q$1:$X$542,5,FALSE)</f>
        <v>0.12533333333333335</v>
      </c>
      <c r="BF388">
        <f>VLOOKUP($BA388,'[2]NonStandard DIS'!$Q$1:$X$542,6,FALSE)</f>
        <v>0</v>
      </c>
      <c r="BG388">
        <f>VLOOKUP($BA388,'[2]NonStandard DIS'!$Q$1:$X$542,7,FALSE)</f>
        <v>0</v>
      </c>
      <c r="BH388">
        <f>VLOOKUP($BA388,'[2]NonStandard DIS'!$Q$1:$X$542,8,FALSE)</f>
        <v>0</v>
      </c>
      <c r="BI388" s="77">
        <f t="shared" si="832"/>
        <v>1</v>
      </c>
      <c r="BJ388" s="77">
        <f t="shared" si="833"/>
        <v>6.533840833333332E-2</v>
      </c>
      <c r="BK388" s="77">
        <f t="shared" si="971"/>
        <v>5.2883092534010689E-3</v>
      </c>
      <c r="BL388" s="79">
        <v>0</v>
      </c>
      <c r="BM388" s="77">
        <f t="shared" si="845"/>
        <v>0</v>
      </c>
      <c r="BN388" s="77">
        <f t="shared" si="846"/>
        <v>0</v>
      </c>
      <c r="BO388" s="77">
        <f t="shared" si="847"/>
        <v>6.9087749999999998E-3</v>
      </c>
      <c r="BP388" s="77">
        <f t="shared" si="848"/>
        <v>5.7391619098479119E-4</v>
      </c>
    </row>
    <row r="389" spans="1:68">
      <c r="A389" t="s">
        <v>175</v>
      </c>
      <c r="B389" t="s">
        <v>176</v>
      </c>
      <c r="C389" s="197" t="str">
        <f t="shared" si="883"/>
        <v>Lifecycle_Balanced_156</v>
      </c>
      <c r="D389">
        <v>156</v>
      </c>
      <c r="E389">
        <f>VLOOKUP($D389,'[2]LC Balanced'!$Q$2:$U$542,2,FALSE)</f>
        <v>0.14899999999999999</v>
      </c>
      <c r="F389">
        <f>VLOOKUP($D389,'[2]LC Balanced'!$Q$2:$U$542,3,FALSE)</f>
        <v>0.36299999999999999</v>
      </c>
      <c r="G389">
        <f>VLOOKUP($D389,'[2]LC Balanced'!$Q$2:$U$542,4,FALSE)</f>
        <v>0.48799999999999999</v>
      </c>
      <c r="H389">
        <f>VLOOKUP($D389,'[2]LC Balanced'!$Q$2:$U$542,5,FALSE)</f>
        <v>0</v>
      </c>
      <c r="I389" s="77">
        <f t="shared" ref="I389:I452" si="984">SUM(E389:H389)</f>
        <v>1</v>
      </c>
      <c r="J389" s="77">
        <f t="shared" ref="J389:J452" si="985">SUMPRODUCT($E$1:$H$1,E389:H389)</f>
        <v>5.4903275000000001E-2</v>
      </c>
      <c r="K389" s="77">
        <f t="shared" si="975"/>
        <v>4.4640242244691208E-3</v>
      </c>
      <c r="L389" s="76">
        <v>0</v>
      </c>
      <c r="M389" s="77">
        <f t="shared" si="834"/>
        <v>0</v>
      </c>
      <c r="N389" s="77">
        <f t="shared" si="835"/>
        <v>0</v>
      </c>
      <c r="O389" s="77">
        <f t="shared" si="836"/>
        <v>6.0128999999999998E-3</v>
      </c>
      <c r="P389" s="77">
        <f t="shared" si="837"/>
        <v>5.0246124712827189E-4</v>
      </c>
      <c r="R389" t="s">
        <v>177</v>
      </c>
      <c r="S389" t="s">
        <v>176</v>
      </c>
      <c r="T389" s="197" t="str">
        <f t="shared" si="926"/>
        <v>Autopilot_Balanced_156</v>
      </c>
      <c r="U389">
        <v>156</v>
      </c>
      <c r="V389">
        <f>VLOOKUP($U389,'[2]AP Balanced'!$Q$1:$T$542,2,FALSE)</f>
        <v>0.31055256666666681</v>
      </c>
      <c r="W389">
        <f>VLOOKUP($U389,'[2]AP Balanced'!$Q$1:$T$542,3,FALSE)</f>
        <v>0.68944743333333314</v>
      </c>
      <c r="X389">
        <f>VLOOKUP($U389,'[2]AP Balanced'!$Q$1:$T$542,4,FALSE)</f>
        <v>0</v>
      </c>
      <c r="Y389" s="77">
        <f t="shared" si="884"/>
        <v>1</v>
      </c>
      <c r="Z389" s="77">
        <f t="shared" si="873"/>
        <v>5.547258532249999E-2</v>
      </c>
      <c r="AA389" s="77">
        <f t="shared" si="874"/>
        <v>4.5091871594988842E-3</v>
      </c>
      <c r="AB389" s="79">
        <v>1</v>
      </c>
      <c r="AC389" s="77">
        <f t="shared" si="838"/>
        <v>7.1211051333333331E-3</v>
      </c>
      <c r="AD389" s="77">
        <f t="shared" ref="AD389:AF452" si="986">1-(1-AC389)^(1/12)</f>
        <v>5.9537113121344021E-4</v>
      </c>
      <c r="AE389" s="77">
        <f t="shared" si="839"/>
        <v>2.5000000000000001E-3</v>
      </c>
      <c r="AF389" s="77">
        <f t="shared" si="986"/>
        <v>2.0857243058891584E-4</v>
      </c>
      <c r="AH389" t="s">
        <v>175</v>
      </c>
      <c r="AI389" t="s">
        <v>176</v>
      </c>
      <c r="AJ389" s="197" t="str">
        <f t="shared" si="885"/>
        <v>Lifecycle_Balanced_156</v>
      </c>
      <c r="AK389">
        <v>156</v>
      </c>
      <c r="AL389">
        <f>VLOOKUP($U389,[2]Standard_Balanced!$Q$1:$T$542,2,FALSE)</f>
        <v>0.31055256666666681</v>
      </c>
      <c r="AM389">
        <f>VLOOKUP($U389,[2]Standard_Balanced!$Q$1:$T$542,3,FALSE)</f>
        <v>0.68944743333333314</v>
      </c>
      <c r="AN389">
        <f>VLOOKUP($U389,[2]Standard_Balanced!$Q$1:$T$542,4,FALSE)</f>
        <v>0</v>
      </c>
      <c r="AO389" s="77">
        <f t="shared" si="972"/>
        <v>1</v>
      </c>
      <c r="AP389" s="77">
        <f t="shared" si="840"/>
        <v>5.547258532249999E-2</v>
      </c>
      <c r="AQ389" s="77">
        <f t="shared" si="886"/>
        <v>4.5091871594988842E-3</v>
      </c>
      <c r="AR389" s="79">
        <v>0</v>
      </c>
      <c r="AS389" s="77">
        <f t="shared" si="841"/>
        <v>0</v>
      </c>
      <c r="AT389" s="77">
        <f t="shared" ref="AT389" si="987">1-(1-AS389)^(1/12)</f>
        <v>0</v>
      </c>
      <c r="AU389" s="77">
        <f t="shared" si="843"/>
        <v>2.5000000000000001E-3</v>
      </c>
      <c r="AV389" s="77">
        <f t="shared" ref="AV389" si="988">1-(1-AU389)^(1/12)</f>
        <v>2.0857243058891584E-4</v>
      </c>
      <c r="AX389" t="s">
        <v>178</v>
      </c>
      <c r="AY389" t="s">
        <v>160</v>
      </c>
      <c r="AZ389" s="197" t="str">
        <f t="shared" si="889"/>
        <v>DIS_Non-Standard_156</v>
      </c>
      <c r="BA389">
        <v>156</v>
      </c>
      <c r="BB389">
        <f>VLOOKUP($BA389,'[2]NonStandard DIS'!$Q$1:$X$542,2,FALSE)</f>
        <v>0</v>
      </c>
      <c r="BC389">
        <f>VLOOKUP($BA389,'[2]NonStandard DIS'!$Q$1:$X$542,3,FALSE)</f>
        <v>1.2999999999999999E-2</v>
      </c>
      <c r="BD389">
        <f>VLOOKUP($BA389,'[2]NonStandard DIS'!$Q$1:$X$542,4,FALSE)</f>
        <v>0.90100000000000002</v>
      </c>
      <c r="BE389">
        <f>VLOOKUP($BA389,'[2]NonStandard DIS'!$Q$1:$X$542,5,FALSE)</f>
        <v>8.6000000000000007E-2</v>
      </c>
      <c r="BF389">
        <f>VLOOKUP($BA389,'[2]NonStandard DIS'!$Q$1:$X$542,6,FALSE)</f>
        <v>0</v>
      </c>
      <c r="BG389">
        <f>VLOOKUP($BA389,'[2]NonStandard DIS'!$Q$1:$X$542,7,FALSE)</f>
        <v>0</v>
      </c>
      <c r="BH389">
        <f>VLOOKUP($BA389,'[2]NonStandard DIS'!$Q$1:$X$542,8,FALSE)</f>
        <v>0</v>
      </c>
      <c r="BI389" s="77">
        <f t="shared" ref="BI389:BI452" si="989">SUM(BB389:BH389)</f>
        <v>1</v>
      </c>
      <c r="BJ389" s="77">
        <f t="shared" ref="BJ389:BJ452" si="990">SUMPRODUCT($BB$1:$BH$1,BB389:BH389)</f>
        <v>6.5029149999999994E-2</v>
      </c>
      <c r="BK389" s="77">
        <f t="shared" si="971"/>
        <v>5.2639871571908969E-3</v>
      </c>
      <c r="BL389" s="79">
        <v>0</v>
      </c>
      <c r="BM389" s="77">
        <f t="shared" si="845"/>
        <v>0</v>
      </c>
      <c r="BN389" s="77">
        <f t="shared" si="846"/>
        <v>0</v>
      </c>
      <c r="BO389" s="77">
        <f t="shared" si="847"/>
        <v>6.9938999999999999E-3</v>
      </c>
      <c r="BP389" s="77">
        <f t="shared" si="848"/>
        <v>5.809650382917475E-4</v>
      </c>
    </row>
    <row r="390" spans="1:68">
      <c r="A390" t="s">
        <v>175</v>
      </c>
      <c r="B390" t="s">
        <v>176</v>
      </c>
      <c r="C390" s="197" t="str">
        <f t="shared" si="883"/>
        <v>Lifecycle_Balanced_155</v>
      </c>
      <c r="D390">
        <v>155</v>
      </c>
      <c r="E390">
        <f>VLOOKUP($D390,'[2]LC Balanced'!$Q$2:$U$542,2,FALSE)</f>
        <v>0.15466666666666667</v>
      </c>
      <c r="F390">
        <f>VLOOKUP($D390,'[2]LC Balanced'!$Q$2:$U$542,3,FALSE)</f>
        <v>0.36025000000000001</v>
      </c>
      <c r="G390">
        <f>VLOOKUP($D390,'[2]LC Balanced'!$Q$2:$U$542,4,FALSE)</f>
        <v>0.48508333333333331</v>
      </c>
      <c r="H390">
        <f>VLOOKUP($D390,'[2]LC Balanced'!$Q$2:$U$542,5,FALSE)</f>
        <v>0</v>
      </c>
      <c r="I390" s="77">
        <f t="shared" si="984"/>
        <v>1</v>
      </c>
      <c r="J390" s="77">
        <f t="shared" si="985"/>
        <v>5.4826575000000002E-2</v>
      </c>
      <c r="K390" s="77">
        <f t="shared" si="975"/>
        <v>4.4579379667677443E-3</v>
      </c>
      <c r="L390" s="76">
        <v>0</v>
      </c>
      <c r="M390" s="77">
        <f t="shared" ref="M390:M453" si="991">IF($L390=0,0,SUMPRODUCT($E$3:$H$3,E390:H390))</f>
        <v>0</v>
      </c>
      <c r="N390" s="77">
        <f t="shared" ref="N390:N453" si="992">1-(1-M390)^(1/12)</f>
        <v>0</v>
      </c>
      <c r="O390" s="77">
        <f t="shared" ref="O390:O453" si="993">SUMPRODUCT($E$2:$H$2,E390:H390)</f>
        <v>5.9892749999999996E-3</v>
      </c>
      <c r="P390" s="77">
        <f t="shared" ref="P390:P453" si="994">1-(1-O390)^(1/12)</f>
        <v>5.0048160439075673E-4</v>
      </c>
      <c r="R390" t="s">
        <v>177</v>
      </c>
      <c r="S390" t="s">
        <v>176</v>
      </c>
      <c r="T390" s="197" t="str">
        <f t="shared" si="926"/>
        <v>Autopilot_Balanced_155</v>
      </c>
      <c r="U390">
        <v>155</v>
      </c>
      <c r="V390">
        <f>VLOOKUP($U390,'[2]AP Balanced'!$Q$1:$T$542,2,FALSE)</f>
        <v>0.31055256666666681</v>
      </c>
      <c r="W390">
        <f>VLOOKUP($U390,'[2]AP Balanced'!$Q$1:$T$542,3,FALSE)</f>
        <v>0.68944743333333314</v>
      </c>
      <c r="X390">
        <f>VLOOKUP($U390,'[2]AP Balanced'!$Q$1:$T$542,4,FALSE)</f>
        <v>0</v>
      </c>
      <c r="Y390" s="77">
        <f t="shared" si="884"/>
        <v>1</v>
      </c>
      <c r="Z390" s="77">
        <f t="shared" si="873"/>
        <v>5.547258532249999E-2</v>
      </c>
      <c r="AA390" s="77">
        <f t="shared" si="874"/>
        <v>4.5091871594988842E-3</v>
      </c>
      <c r="AB390" s="79">
        <v>1</v>
      </c>
      <c r="AC390" s="77">
        <f t="shared" ref="AC390:AC453" si="995">IF($AB390=0,0,SUMPRODUCT($V$3:$X$3,V390:X390))</f>
        <v>7.1211051333333331E-3</v>
      </c>
      <c r="AD390" s="77">
        <f t="shared" si="986"/>
        <v>5.9537113121344021E-4</v>
      </c>
      <c r="AE390" s="77">
        <f t="shared" ref="AE390:AE453" si="996">SUMPRODUCT($V$2:$X$2,V390:X390)</f>
        <v>2.5000000000000001E-3</v>
      </c>
      <c r="AF390" s="77">
        <f t="shared" si="986"/>
        <v>2.0857243058891584E-4</v>
      </c>
      <c r="AH390" t="s">
        <v>175</v>
      </c>
      <c r="AI390" t="s">
        <v>176</v>
      </c>
      <c r="AJ390" s="197" t="str">
        <f t="shared" si="885"/>
        <v>Lifecycle_Balanced_155</v>
      </c>
      <c r="AK390">
        <v>155</v>
      </c>
      <c r="AL390">
        <f>VLOOKUP($U390,[2]Standard_Balanced!$Q$1:$T$542,2,FALSE)</f>
        <v>0.30463213055555566</v>
      </c>
      <c r="AM390">
        <f>VLOOKUP($U390,[2]Standard_Balanced!$Q$1:$T$542,3,FALSE)</f>
        <v>0.69536786944444429</v>
      </c>
      <c r="AN390">
        <f>VLOOKUP($U390,[2]Standard_Balanced!$Q$1:$T$542,4,FALSE)</f>
        <v>0</v>
      </c>
      <c r="AO390" s="77">
        <f t="shared" si="972"/>
        <v>1</v>
      </c>
      <c r="AP390" s="77">
        <f t="shared" ref="AP390:AP453" si="997">SUMPRODUCT($AL$1:$AN$1,AL390:AN390)</f>
        <v>5.5393991533124992E-2</v>
      </c>
      <c r="AQ390" s="77">
        <f t="shared" si="886"/>
        <v>4.5029537054737112E-3</v>
      </c>
      <c r="AR390" s="79">
        <v>0</v>
      </c>
      <c r="AS390" s="77">
        <f t="shared" ref="AS390:AS453" si="998">IF(AR390=0,0,SUMPRODUCT($AL$3:$AN$3,AL390:AN390))</f>
        <v>0</v>
      </c>
      <c r="AT390" s="77">
        <f t="shared" ref="AT390" si="999">1-(1-AS390)^(1/12)</f>
        <v>0</v>
      </c>
      <c r="AU390" s="77">
        <f t="shared" ref="AU390:AU453" si="1000">SUMPRODUCT($AL$2:$AN$2,AL390:AN390)</f>
        <v>2.5000000000000001E-3</v>
      </c>
      <c r="AV390" s="77">
        <f t="shared" ref="AV390" si="1001">1-(1-AU390)^(1/12)</f>
        <v>2.0857243058891584E-4</v>
      </c>
      <c r="AX390" t="s">
        <v>178</v>
      </c>
      <c r="AY390" t="s">
        <v>160</v>
      </c>
      <c r="AZ390" s="197" t="str">
        <f t="shared" si="889"/>
        <v>DIS_Non-Standard_155</v>
      </c>
      <c r="BA390">
        <v>155</v>
      </c>
      <c r="BB390">
        <f>VLOOKUP($BA390,'[2]NonStandard DIS'!$Q$1:$X$542,2,FALSE)</f>
        <v>0</v>
      </c>
      <c r="BC390">
        <f>VLOOKUP($BA390,'[2]NonStandard DIS'!$Q$1:$X$542,3,FALSE)</f>
        <v>2.0250000000000001E-2</v>
      </c>
      <c r="BD390">
        <f>VLOOKUP($BA390,'[2]NonStandard DIS'!$Q$1:$X$542,4,FALSE)</f>
        <v>0.9009166666666667</v>
      </c>
      <c r="BE390">
        <f>VLOOKUP($BA390,'[2]NonStandard DIS'!$Q$1:$X$542,5,FALSE)</f>
        <v>7.8833333333333339E-2</v>
      </c>
      <c r="BF390">
        <f>VLOOKUP($BA390,'[2]NonStandard DIS'!$Q$1:$X$542,6,FALSE)</f>
        <v>0</v>
      </c>
      <c r="BG390">
        <f>VLOOKUP($BA390,'[2]NonStandard DIS'!$Q$1:$X$542,7,FALSE)</f>
        <v>0</v>
      </c>
      <c r="BH390">
        <f>VLOOKUP($BA390,'[2]NonStandard DIS'!$Q$1:$X$542,8,FALSE)</f>
        <v>0</v>
      </c>
      <c r="BI390" s="77">
        <f t="shared" si="989"/>
        <v>1</v>
      </c>
      <c r="BJ390" s="77">
        <f t="shared" si="990"/>
        <v>6.4847970833333324E-2</v>
      </c>
      <c r="BK390" s="77">
        <f t="shared" si="971"/>
        <v>5.2497350360212192E-3</v>
      </c>
      <c r="BL390" s="79">
        <v>0</v>
      </c>
      <c r="BM390" s="77">
        <f t="shared" ref="BM390:BM453" si="1002">IF(BL390=0,0,SUMPRODUCT($BB$3:$BH$3,BB390:BH390))</f>
        <v>0</v>
      </c>
      <c r="BN390" s="77">
        <f t="shared" ref="BN390:BN453" si="1003">(1+BM390)^(1/12)-1</f>
        <v>0</v>
      </c>
      <c r="BO390" s="77">
        <f t="shared" ref="BO390:BO453" si="1004">SUMPRODUCT($BB$2:$BH$2,BB390:BH390)</f>
        <v>7.0002416666666671E-3</v>
      </c>
      <c r="BP390" s="77">
        <f t="shared" ref="BP390:BP453" si="1005">(1+BO390)^(1/12)-1</f>
        <v>5.8149014347841366E-4</v>
      </c>
    </row>
    <row r="391" spans="1:68">
      <c r="A391" t="s">
        <v>175</v>
      </c>
      <c r="B391" t="s">
        <v>176</v>
      </c>
      <c r="C391" s="197" t="str">
        <f t="shared" si="883"/>
        <v>Lifecycle_Balanced_154</v>
      </c>
      <c r="D391">
        <v>154</v>
      </c>
      <c r="E391">
        <f>VLOOKUP($D391,'[2]LC Balanced'!$Q$2:$U$542,2,FALSE)</f>
        <v>0.16033333333333333</v>
      </c>
      <c r="F391">
        <f>VLOOKUP($D391,'[2]LC Balanced'!$Q$2:$U$542,3,FALSE)</f>
        <v>0.35749999999999998</v>
      </c>
      <c r="G391">
        <f>VLOOKUP($D391,'[2]LC Balanced'!$Q$2:$U$542,4,FALSE)</f>
        <v>0.48216666666666663</v>
      </c>
      <c r="H391">
        <f>VLOOKUP($D391,'[2]LC Balanced'!$Q$2:$U$542,5,FALSE)</f>
        <v>0</v>
      </c>
      <c r="I391" s="77">
        <f t="shared" si="984"/>
        <v>1</v>
      </c>
      <c r="J391" s="77">
        <f t="shared" si="985"/>
        <v>5.474987499999999E-2</v>
      </c>
      <c r="K391" s="77">
        <f t="shared" si="975"/>
        <v>4.4518513033799945E-3</v>
      </c>
      <c r="L391" s="76">
        <v>0</v>
      </c>
      <c r="M391" s="77">
        <f t="shared" si="991"/>
        <v>0</v>
      </c>
      <c r="N391" s="77">
        <f t="shared" si="992"/>
        <v>0</v>
      </c>
      <c r="O391" s="77">
        <f t="shared" si="993"/>
        <v>5.9656499999999994E-3</v>
      </c>
      <c r="P391" s="77">
        <f t="shared" si="994"/>
        <v>4.9850200478274154E-4</v>
      </c>
      <c r="R391" t="s">
        <v>177</v>
      </c>
      <c r="S391" t="s">
        <v>176</v>
      </c>
      <c r="T391" s="197" t="str">
        <f t="shared" si="926"/>
        <v>Autopilot_Balanced_154</v>
      </c>
      <c r="U391">
        <v>154</v>
      </c>
      <c r="V391">
        <f>VLOOKUP($U391,'[2]AP Balanced'!$Q$1:$T$542,2,FALSE)</f>
        <v>0.31055256666666681</v>
      </c>
      <c r="W391">
        <f>VLOOKUP($U391,'[2]AP Balanced'!$Q$1:$T$542,3,FALSE)</f>
        <v>0.68944743333333314</v>
      </c>
      <c r="X391">
        <f>VLOOKUP($U391,'[2]AP Balanced'!$Q$1:$T$542,4,FALSE)</f>
        <v>0</v>
      </c>
      <c r="Y391" s="77">
        <f t="shared" si="884"/>
        <v>1</v>
      </c>
      <c r="Z391" s="77">
        <f t="shared" si="873"/>
        <v>5.547258532249999E-2</v>
      </c>
      <c r="AA391" s="77">
        <f t="shared" si="874"/>
        <v>4.5091871594988842E-3</v>
      </c>
      <c r="AB391" s="79">
        <v>1</v>
      </c>
      <c r="AC391" s="77">
        <f t="shared" si="995"/>
        <v>7.1211051333333331E-3</v>
      </c>
      <c r="AD391" s="77">
        <f t="shared" si="986"/>
        <v>5.9537113121344021E-4</v>
      </c>
      <c r="AE391" s="77">
        <f t="shared" si="996"/>
        <v>2.5000000000000001E-3</v>
      </c>
      <c r="AF391" s="77">
        <f t="shared" si="986"/>
        <v>2.0857243058891584E-4</v>
      </c>
      <c r="AH391" t="s">
        <v>175</v>
      </c>
      <c r="AI391" t="s">
        <v>176</v>
      </c>
      <c r="AJ391" s="197" t="str">
        <f t="shared" si="885"/>
        <v>Lifecycle_Balanced_154</v>
      </c>
      <c r="AK391">
        <v>154</v>
      </c>
      <c r="AL391">
        <f>VLOOKUP($U391,[2]Standard_Balanced!$Q$1:$T$542,2,FALSE)</f>
        <v>0.29871169444444456</v>
      </c>
      <c r="AM391">
        <f>VLOOKUP($U391,[2]Standard_Balanced!$Q$1:$T$542,3,FALSE)</f>
        <v>0.70128830555555544</v>
      </c>
      <c r="AN391">
        <f>VLOOKUP($U391,[2]Standard_Balanced!$Q$1:$T$542,4,FALSE)</f>
        <v>0</v>
      </c>
      <c r="AO391" s="77">
        <f t="shared" si="972"/>
        <v>1</v>
      </c>
      <c r="AP391" s="77">
        <f t="shared" si="997"/>
        <v>5.5315397743749994E-2</v>
      </c>
      <c r="AQ391" s="77">
        <f t="shared" si="886"/>
        <v>4.4967198259198149E-3</v>
      </c>
      <c r="AR391" s="79">
        <v>0</v>
      </c>
      <c r="AS391" s="77">
        <f t="shared" si="998"/>
        <v>0</v>
      </c>
      <c r="AT391" s="77">
        <f t="shared" ref="AT391" si="1006">1-(1-AS391)^(1/12)</f>
        <v>0</v>
      </c>
      <c r="AU391" s="77">
        <f t="shared" si="1000"/>
        <v>2.5000000000000001E-3</v>
      </c>
      <c r="AV391" s="77">
        <f t="shared" ref="AV391" si="1007">1-(1-AU391)^(1/12)</f>
        <v>2.0857243058891584E-4</v>
      </c>
      <c r="AX391" t="s">
        <v>178</v>
      </c>
      <c r="AY391" t="s">
        <v>160</v>
      </c>
      <c r="AZ391" s="197" t="str">
        <f t="shared" si="889"/>
        <v>DIS_Non-Standard_154</v>
      </c>
      <c r="BA391">
        <v>154</v>
      </c>
      <c r="BB391">
        <f>VLOOKUP($BA391,'[2]NonStandard DIS'!$Q$1:$X$542,2,FALSE)</f>
        <v>0</v>
      </c>
      <c r="BC391">
        <f>VLOOKUP($BA391,'[2]NonStandard DIS'!$Q$1:$X$542,3,FALSE)</f>
        <v>2.75E-2</v>
      </c>
      <c r="BD391">
        <f>VLOOKUP($BA391,'[2]NonStandard DIS'!$Q$1:$X$542,4,FALSE)</f>
        <v>0.90083333333333337</v>
      </c>
      <c r="BE391">
        <f>VLOOKUP($BA391,'[2]NonStandard DIS'!$Q$1:$X$542,5,FALSE)</f>
        <v>7.166666666666667E-2</v>
      </c>
      <c r="BF391">
        <f>VLOOKUP($BA391,'[2]NonStandard DIS'!$Q$1:$X$542,6,FALSE)</f>
        <v>0</v>
      </c>
      <c r="BG391">
        <f>VLOOKUP($BA391,'[2]NonStandard DIS'!$Q$1:$X$542,7,FALSE)</f>
        <v>0</v>
      </c>
      <c r="BH391">
        <f>VLOOKUP($BA391,'[2]NonStandard DIS'!$Q$1:$X$542,8,FALSE)</f>
        <v>0</v>
      </c>
      <c r="BI391" s="77">
        <f t="shared" si="989"/>
        <v>1</v>
      </c>
      <c r="BJ391" s="77">
        <f t="shared" si="990"/>
        <v>6.4666791666666654E-2</v>
      </c>
      <c r="BK391" s="77">
        <f t="shared" si="971"/>
        <v>5.2354806918208929E-3</v>
      </c>
      <c r="BL391" s="79">
        <v>0</v>
      </c>
      <c r="BM391" s="77">
        <f t="shared" si="1002"/>
        <v>0</v>
      </c>
      <c r="BN391" s="77">
        <f t="shared" si="1003"/>
        <v>0</v>
      </c>
      <c r="BO391" s="77">
        <f t="shared" si="1004"/>
        <v>7.0065833333333334E-3</v>
      </c>
      <c r="BP391" s="77">
        <f t="shared" si="1005"/>
        <v>5.8201524563372686E-4</v>
      </c>
    </row>
    <row r="392" spans="1:68">
      <c r="A392" t="s">
        <v>175</v>
      </c>
      <c r="B392" t="s">
        <v>176</v>
      </c>
      <c r="C392" s="197" t="str">
        <f t="shared" si="883"/>
        <v>Lifecycle_Balanced_153</v>
      </c>
      <c r="D392">
        <v>153</v>
      </c>
      <c r="E392">
        <f>VLOOKUP($D392,'[2]LC Balanced'!$Q$2:$U$542,2,FALSE)</f>
        <v>0.16599999999999998</v>
      </c>
      <c r="F392">
        <f>VLOOKUP($D392,'[2]LC Balanced'!$Q$2:$U$542,3,FALSE)</f>
        <v>0.35475000000000001</v>
      </c>
      <c r="G392">
        <f>VLOOKUP($D392,'[2]LC Balanced'!$Q$2:$U$542,4,FALSE)</f>
        <v>0.47925000000000001</v>
      </c>
      <c r="H392">
        <f>VLOOKUP($D392,'[2]LC Balanced'!$Q$2:$U$542,5,FALSE)</f>
        <v>0</v>
      </c>
      <c r="I392" s="77">
        <f t="shared" si="984"/>
        <v>1</v>
      </c>
      <c r="J392" s="77">
        <f t="shared" si="985"/>
        <v>5.4673174999999997E-2</v>
      </c>
      <c r="K392" s="77">
        <f t="shared" si="975"/>
        <v>4.4457642342490278E-3</v>
      </c>
      <c r="L392" s="76">
        <v>0</v>
      </c>
      <c r="M392" s="77">
        <f t="shared" si="991"/>
        <v>0</v>
      </c>
      <c r="N392" s="77">
        <f t="shared" si="992"/>
        <v>0</v>
      </c>
      <c r="O392" s="77">
        <f t="shared" si="993"/>
        <v>5.9420250000000001E-3</v>
      </c>
      <c r="P392" s="77">
        <f t="shared" si="994"/>
        <v>4.9652244830222791E-4</v>
      </c>
      <c r="R392" t="s">
        <v>177</v>
      </c>
      <c r="S392" t="s">
        <v>176</v>
      </c>
      <c r="T392" s="197" t="str">
        <f t="shared" si="926"/>
        <v>Autopilot_Balanced_153</v>
      </c>
      <c r="U392">
        <v>153</v>
      </c>
      <c r="V392">
        <f>VLOOKUP($U392,'[2]AP Balanced'!$Q$1:$T$542,2,FALSE)</f>
        <v>0.31055256666666681</v>
      </c>
      <c r="W392">
        <f>VLOOKUP($U392,'[2]AP Balanced'!$Q$1:$T$542,3,FALSE)</f>
        <v>0.68944743333333314</v>
      </c>
      <c r="X392">
        <f>VLOOKUP($U392,'[2]AP Balanced'!$Q$1:$T$542,4,FALSE)</f>
        <v>0</v>
      </c>
      <c r="Y392" s="77">
        <f t="shared" si="884"/>
        <v>1</v>
      </c>
      <c r="Z392" s="77">
        <f t="shared" si="873"/>
        <v>5.547258532249999E-2</v>
      </c>
      <c r="AA392" s="77">
        <f t="shared" si="874"/>
        <v>4.5091871594988842E-3</v>
      </c>
      <c r="AB392" s="79">
        <v>1</v>
      </c>
      <c r="AC392" s="77">
        <f t="shared" si="995"/>
        <v>7.1211051333333331E-3</v>
      </c>
      <c r="AD392" s="77">
        <f t="shared" si="986"/>
        <v>5.9537113121344021E-4</v>
      </c>
      <c r="AE392" s="77">
        <f t="shared" si="996"/>
        <v>2.5000000000000001E-3</v>
      </c>
      <c r="AF392" s="77">
        <f t="shared" si="986"/>
        <v>2.0857243058891584E-4</v>
      </c>
      <c r="AH392" t="s">
        <v>175</v>
      </c>
      <c r="AI392" t="s">
        <v>176</v>
      </c>
      <c r="AJ392" s="197" t="str">
        <f t="shared" si="885"/>
        <v>Lifecycle_Balanced_153</v>
      </c>
      <c r="AK392">
        <v>153</v>
      </c>
      <c r="AL392">
        <f>VLOOKUP($U392,[2]Standard_Balanced!$Q$1:$T$542,2,FALSE)</f>
        <v>0.29279125833333342</v>
      </c>
      <c r="AM392">
        <f>VLOOKUP($U392,[2]Standard_Balanced!$Q$1:$T$542,3,FALSE)</f>
        <v>0.70720874166666658</v>
      </c>
      <c r="AN392">
        <f>VLOOKUP($U392,[2]Standard_Balanced!$Q$1:$T$542,4,FALSE)</f>
        <v>0</v>
      </c>
      <c r="AO392" s="77">
        <f t="shared" si="972"/>
        <v>1</v>
      </c>
      <c r="AP392" s="77">
        <f t="shared" si="997"/>
        <v>5.5236803954374997E-2</v>
      </c>
      <c r="AQ392" s="77">
        <f t="shared" si="886"/>
        <v>4.4904855207770211E-3</v>
      </c>
      <c r="AR392" s="79">
        <v>0</v>
      </c>
      <c r="AS392" s="77">
        <f t="shared" si="998"/>
        <v>0</v>
      </c>
      <c r="AT392" s="77">
        <f t="shared" ref="AT392" si="1008">1-(1-AS392)^(1/12)</f>
        <v>0</v>
      </c>
      <c r="AU392" s="77">
        <f t="shared" si="1000"/>
        <v>2.5000000000000001E-3</v>
      </c>
      <c r="AV392" s="77">
        <f t="shared" ref="AV392" si="1009">1-(1-AU392)^(1/12)</f>
        <v>2.0857243058891584E-4</v>
      </c>
      <c r="AX392" t="s">
        <v>178</v>
      </c>
      <c r="AY392" t="s">
        <v>160</v>
      </c>
      <c r="AZ392" s="197" t="str">
        <f t="shared" si="889"/>
        <v>DIS_Non-Standard_153</v>
      </c>
      <c r="BA392">
        <v>153</v>
      </c>
      <c r="BB392">
        <f>VLOOKUP($BA392,'[2]NonStandard DIS'!$Q$1:$X$542,2,FALSE)</f>
        <v>0</v>
      </c>
      <c r="BC392">
        <f>VLOOKUP($BA392,'[2]NonStandard DIS'!$Q$1:$X$542,3,FALSE)</f>
        <v>3.4750000000000003E-2</v>
      </c>
      <c r="BD392">
        <f>VLOOKUP($BA392,'[2]NonStandard DIS'!$Q$1:$X$542,4,FALSE)</f>
        <v>0.90075000000000005</v>
      </c>
      <c r="BE392">
        <f>VLOOKUP($BA392,'[2]NonStandard DIS'!$Q$1:$X$542,5,FALSE)</f>
        <v>6.4500000000000002E-2</v>
      </c>
      <c r="BF392">
        <f>VLOOKUP($BA392,'[2]NonStandard DIS'!$Q$1:$X$542,6,FALSE)</f>
        <v>0</v>
      </c>
      <c r="BG392">
        <f>VLOOKUP($BA392,'[2]NonStandard DIS'!$Q$1:$X$542,7,FALSE)</f>
        <v>0</v>
      </c>
      <c r="BH392">
        <f>VLOOKUP($BA392,'[2]NonStandard DIS'!$Q$1:$X$542,8,FALSE)</f>
        <v>0</v>
      </c>
      <c r="BI392" s="77">
        <f t="shared" si="989"/>
        <v>1</v>
      </c>
      <c r="BJ392" s="77">
        <f t="shared" si="990"/>
        <v>6.4485612499999997E-2</v>
      </c>
      <c r="BK392" s="77">
        <f t="shared" si="971"/>
        <v>5.2212241238644985E-3</v>
      </c>
      <c r="BL392" s="79">
        <v>0</v>
      </c>
      <c r="BM392" s="77">
        <f t="shared" si="1002"/>
        <v>0</v>
      </c>
      <c r="BN392" s="77">
        <f t="shared" si="1003"/>
        <v>0</v>
      </c>
      <c r="BO392" s="77">
        <f t="shared" si="1004"/>
        <v>7.0129250000000006E-3</v>
      </c>
      <c r="BP392" s="77">
        <f t="shared" si="1005"/>
        <v>5.8254034475790917E-4</v>
      </c>
    </row>
    <row r="393" spans="1:68">
      <c r="A393" t="s">
        <v>175</v>
      </c>
      <c r="B393" t="s">
        <v>176</v>
      </c>
      <c r="C393" s="197" t="str">
        <f t="shared" si="883"/>
        <v>Lifecycle_Balanced_152</v>
      </c>
      <c r="D393">
        <v>152</v>
      </c>
      <c r="E393">
        <f>VLOOKUP($D393,'[2]LC Balanced'!$Q$2:$U$542,2,FALSE)</f>
        <v>0.17166666666666666</v>
      </c>
      <c r="F393">
        <f>VLOOKUP($D393,'[2]LC Balanced'!$Q$2:$U$542,3,FALSE)</f>
        <v>0.35199999999999998</v>
      </c>
      <c r="G393">
        <f>VLOOKUP($D393,'[2]LC Balanced'!$Q$2:$U$542,4,FALSE)</f>
        <v>0.47633333333333333</v>
      </c>
      <c r="H393">
        <f>VLOOKUP($D393,'[2]LC Balanced'!$Q$2:$U$542,5,FALSE)</f>
        <v>0</v>
      </c>
      <c r="I393" s="77">
        <f t="shared" si="984"/>
        <v>1</v>
      </c>
      <c r="J393" s="77">
        <f t="shared" si="985"/>
        <v>5.4596474999999992E-2</v>
      </c>
      <c r="K393" s="77">
        <f t="shared" si="975"/>
        <v>4.439676759318667E-3</v>
      </c>
      <c r="L393" s="76">
        <v>0</v>
      </c>
      <c r="M393" s="77">
        <f t="shared" si="991"/>
        <v>0</v>
      </c>
      <c r="N393" s="77">
        <f t="shared" si="992"/>
        <v>0</v>
      </c>
      <c r="O393" s="77">
        <f t="shared" si="993"/>
        <v>5.9183999999999999E-3</v>
      </c>
      <c r="P393" s="77">
        <f t="shared" si="994"/>
        <v>4.9454293494721746E-4</v>
      </c>
      <c r="R393" t="s">
        <v>177</v>
      </c>
      <c r="S393" t="s">
        <v>176</v>
      </c>
      <c r="T393" s="197" t="str">
        <f t="shared" si="926"/>
        <v>Autopilot_Balanced_152</v>
      </c>
      <c r="U393">
        <v>152</v>
      </c>
      <c r="V393">
        <f>VLOOKUP($U393,'[2]AP Balanced'!$Q$1:$T$542,2,FALSE)</f>
        <v>0.31055256666666681</v>
      </c>
      <c r="W393">
        <f>VLOOKUP($U393,'[2]AP Balanced'!$Q$1:$T$542,3,FALSE)</f>
        <v>0.68944743333333314</v>
      </c>
      <c r="X393">
        <f>VLOOKUP($U393,'[2]AP Balanced'!$Q$1:$T$542,4,FALSE)</f>
        <v>0</v>
      </c>
      <c r="Y393" s="77">
        <f t="shared" si="884"/>
        <v>1</v>
      </c>
      <c r="Z393" s="77">
        <f t="shared" si="873"/>
        <v>5.547258532249999E-2</v>
      </c>
      <c r="AA393" s="77">
        <f t="shared" si="874"/>
        <v>4.5091871594988842E-3</v>
      </c>
      <c r="AB393" s="79">
        <v>1</v>
      </c>
      <c r="AC393" s="77">
        <f t="shared" si="995"/>
        <v>7.1211051333333331E-3</v>
      </c>
      <c r="AD393" s="77">
        <f t="shared" si="986"/>
        <v>5.9537113121344021E-4</v>
      </c>
      <c r="AE393" s="77">
        <f t="shared" si="996"/>
        <v>2.5000000000000001E-3</v>
      </c>
      <c r="AF393" s="77">
        <f t="shared" si="986"/>
        <v>2.0857243058891584E-4</v>
      </c>
      <c r="AH393" t="s">
        <v>175</v>
      </c>
      <c r="AI393" t="s">
        <v>176</v>
      </c>
      <c r="AJ393" s="197" t="str">
        <f t="shared" si="885"/>
        <v>Lifecycle_Balanced_152</v>
      </c>
      <c r="AK393">
        <v>152</v>
      </c>
      <c r="AL393">
        <f>VLOOKUP($U393,[2]Standard_Balanced!$Q$1:$T$542,2,FALSE)</f>
        <v>0.28687082222222227</v>
      </c>
      <c r="AM393">
        <f>VLOOKUP($U393,[2]Standard_Balanced!$Q$1:$T$542,3,FALSE)</f>
        <v>0.71312917777777773</v>
      </c>
      <c r="AN393">
        <f>VLOOKUP($U393,[2]Standard_Balanced!$Q$1:$T$542,4,FALSE)</f>
        <v>0</v>
      </c>
      <c r="AO393" s="77">
        <f t="shared" si="972"/>
        <v>1</v>
      </c>
      <c r="AP393" s="77">
        <f t="shared" si="997"/>
        <v>5.5158210164999999E-2</v>
      </c>
      <c r="AQ393" s="77">
        <f t="shared" si="886"/>
        <v>4.4842507899840456E-3</v>
      </c>
      <c r="AR393" s="79">
        <v>0</v>
      </c>
      <c r="AS393" s="77">
        <f t="shared" si="998"/>
        <v>0</v>
      </c>
      <c r="AT393" s="77">
        <f t="shared" ref="AT393" si="1010">1-(1-AS393)^(1/12)</f>
        <v>0</v>
      </c>
      <c r="AU393" s="77">
        <f t="shared" si="1000"/>
        <v>2.5000000000000001E-3</v>
      </c>
      <c r="AV393" s="77">
        <f t="shared" ref="AV393" si="1011">1-(1-AU393)^(1/12)</f>
        <v>2.0857243058891584E-4</v>
      </c>
      <c r="AX393" t="s">
        <v>178</v>
      </c>
      <c r="AY393" t="s">
        <v>160</v>
      </c>
      <c r="AZ393" s="197" t="str">
        <f t="shared" si="889"/>
        <v>DIS_Non-Standard_152</v>
      </c>
      <c r="BA393">
        <v>152</v>
      </c>
      <c r="BB393">
        <f>VLOOKUP($BA393,'[2]NonStandard DIS'!$Q$1:$X$542,2,FALSE)</f>
        <v>0</v>
      </c>
      <c r="BC393">
        <f>VLOOKUP($BA393,'[2]NonStandard DIS'!$Q$1:$X$542,3,FALSE)</f>
        <v>4.2000000000000003E-2</v>
      </c>
      <c r="BD393">
        <f>VLOOKUP($BA393,'[2]NonStandard DIS'!$Q$1:$X$542,4,FALSE)</f>
        <v>0.90066666666666673</v>
      </c>
      <c r="BE393">
        <f>VLOOKUP($BA393,'[2]NonStandard DIS'!$Q$1:$X$542,5,FALSE)</f>
        <v>5.733333333333334E-2</v>
      </c>
      <c r="BF393">
        <f>VLOOKUP($BA393,'[2]NonStandard DIS'!$Q$1:$X$542,6,FALSE)</f>
        <v>0</v>
      </c>
      <c r="BG393">
        <f>VLOOKUP($BA393,'[2]NonStandard DIS'!$Q$1:$X$542,7,FALSE)</f>
        <v>0</v>
      </c>
      <c r="BH393">
        <f>VLOOKUP($BA393,'[2]NonStandard DIS'!$Q$1:$X$542,8,FALSE)</f>
        <v>0</v>
      </c>
      <c r="BI393" s="77">
        <f t="shared" si="989"/>
        <v>1</v>
      </c>
      <c r="BJ393" s="77">
        <f t="shared" si="990"/>
        <v>6.4304433333333327E-2</v>
      </c>
      <c r="BK393" s="77">
        <f t="shared" si="971"/>
        <v>5.2069653314268383E-3</v>
      </c>
      <c r="BL393" s="79">
        <v>0</v>
      </c>
      <c r="BM393" s="77">
        <f t="shared" si="1002"/>
        <v>0</v>
      </c>
      <c r="BN393" s="77">
        <f t="shared" si="1003"/>
        <v>0</v>
      </c>
      <c r="BO393" s="77">
        <f t="shared" si="1004"/>
        <v>7.0192666666666678E-3</v>
      </c>
      <c r="BP393" s="77">
        <f t="shared" si="1005"/>
        <v>5.8306544085073853E-4</v>
      </c>
    </row>
    <row r="394" spans="1:68">
      <c r="A394" t="s">
        <v>175</v>
      </c>
      <c r="B394" t="s">
        <v>176</v>
      </c>
      <c r="C394" s="197" t="str">
        <f t="shared" si="883"/>
        <v>Lifecycle_Balanced_151</v>
      </c>
      <c r="D394">
        <v>151</v>
      </c>
      <c r="E394">
        <f>VLOOKUP($D394,'[2]LC Balanced'!$Q$2:$U$542,2,FALSE)</f>
        <v>0.17733333333333334</v>
      </c>
      <c r="F394">
        <f>VLOOKUP($D394,'[2]LC Balanced'!$Q$2:$U$542,3,FALSE)</f>
        <v>0.34925</v>
      </c>
      <c r="G394">
        <f>VLOOKUP($D394,'[2]LC Balanced'!$Q$2:$U$542,4,FALSE)</f>
        <v>0.47341666666666665</v>
      </c>
      <c r="H394">
        <f>VLOOKUP($D394,'[2]LC Balanced'!$Q$2:$U$542,5,FALSE)</f>
        <v>0</v>
      </c>
      <c r="I394" s="77">
        <f t="shared" si="984"/>
        <v>1</v>
      </c>
      <c r="J394" s="77">
        <f t="shared" si="985"/>
        <v>5.4519774999999993E-2</v>
      </c>
      <c r="K394" s="77">
        <f t="shared" si="975"/>
        <v>4.4335888785318467E-3</v>
      </c>
      <c r="L394" s="76">
        <v>0</v>
      </c>
      <c r="M394" s="77">
        <f t="shared" si="991"/>
        <v>0</v>
      </c>
      <c r="N394" s="77">
        <f t="shared" si="992"/>
        <v>0</v>
      </c>
      <c r="O394" s="77">
        <f t="shared" si="993"/>
        <v>5.8947749999999997E-3</v>
      </c>
      <c r="P394" s="77">
        <f t="shared" si="994"/>
        <v>4.9256346471593382E-4</v>
      </c>
      <c r="R394" t="s">
        <v>177</v>
      </c>
      <c r="S394" t="s">
        <v>176</v>
      </c>
      <c r="T394" s="197" t="str">
        <f t="shared" si="926"/>
        <v>Autopilot_Balanced_151</v>
      </c>
      <c r="U394">
        <v>151</v>
      </c>
      <c r="V394">
        <f>VLOOKUP($U394,'[2]AP Balanced'!$Q$1:$T$542,2,FALSE)</f>
        <v>0.31055256666666681</v>
      </c>
      <c r="W394">
        <f>VLOOKUP($U394,'[2]AP Balanced'!$Q$1:$T$542,3,FALSE)</f>
        <v>0.68944743333333314</v>
      </c>
      <c r="X394">
        <f>VLOOKUP($U394,'[2]AP Balanced'!$Q$1:$T$542,4,FALSE)</f>
        <v>0</v>
      </c>
      <c r="Y394" s="77">
        <f t="shared" si="884"/>
        <v>1</v>
      </c>
      <c r="Z394" s="77">
        <f t="shared" si="873"/>
        <v>5.547258532249999E-2</v>
      </c>
      <c r="AA394" s="77">
        <f t="shared" si="874"/>
        <v>4.5091871594988842E-3</v>
      </c>
      <c r="AB394" s="79">
        <v>1</v>
      </c>
      <c r="AC394" s="77">
        <f t="shared" si="995"/>
        <v>7.1211051333333331E-3</v>
      </c>
      <c r="AD394" s="77">
        <f t="shared" si="986"/>
        <v>5.9537113121344021E-4</v>
      </c>
      <c r="AE394" s="77">
        <f t="shared" si="996"/>
        <v>2.5000000000000001E-3</v>
      </c>
      <c r="AF394" s="77">
        <f t="shared" si="986"/>
        <v>2.0857243058891584E-4</v>
      </c>
      <c r="AH394" t="s">
        <v>175</v>
      </c>
      <c r="AI394" t="s">
        <v>176</v>
      </c>
      <c r="AJ394" s="197" t="str">
        <f t="shared" si="885"/>
        <v>Lifecycle_Balanced_151</v>
      </c>
      <c r="AK394">
        <v>151</v>
      </c>
      <c r="AL394">
        <f>VLOOKUP($U394,[2]Standard_Balanced!$Q$1:$T$542,2,FALSE)</f>
        <v>0.28095038611111112</v>
      </c>
      <c r="AM394">
        <f>VLOOKUP($U394,[2]Standard_Balanced!$Q$1:$T$542,3,FALSE)</f>
        <v>0.71904961388888888</v>
      </c>
      <c r="AN394">
        <f>VLOOKUP($U394,[2]Standard_Balanced!$Q$1:$T$542,4,FALSE)</f>
        <v>0</v>
      </c>
      <c r="AO394" s="77">
        <f t="shared" si="972"/>
        <v>1</v>
      </c>
      <c r="AP394" s="77">
        <f t="shared" si="997"/>
        <v>5.5079616375624987E-2</v>
      </c>
      <c r="AQ394" s="77">
        <f t="shared" si="886"/>
        <v>4.4780156334802701E-3</v>
      </c>
      <c r="AR394" s="79">
        <v>0</v>
      </c>
      <c r="AS394" s="77">
        <f t="shared" si="998"/>
        <v>0</v>
      </c>
      <c r="AT394" s="77">
        <f t="shared" ref="AT394" si="1012">1-(1-AS394)^(1/12)</f>
        <v>0</v>
      </c>
      <c r="AU394" s="77">
        <f t="shared" si="1000"/>
        <v>2.5000000000000001E-3</v>
      </c>
      <c r="AV394" s="77">
        <f t="shared" ref="AV394" si="1013">1-(1-AU394)^(1/12)</f>
        <v>2.0857243058891584E-4</v>
      </c>
      <c r="AX394" t="s">
        <v>178</v>
      </c>
      <c r="AY394" t="s">
        <v>160</v>
      </c>
      <c r="AZ394" s="197" t="str">
        <f t="shared" si="889"/>
        <v>DIS_Non-Standard_151</v>
      </c>
      <c r="BA394">
        <v>151</v>
      </c>
      <c r="BB394">
        <f>VLOOKUP($BA394,'[2]NonStandard DIS'!$Q$1:$X$542,2,FALSE)</f>
        <v>0</v>
      </c>
      <c r="BC394">
        <f>VLOOKUP($BA394,'[2]NonStandard DIS'!$Q$1:$X$542,3,FALSE)</f>
        <v>4.9250000000000002E-2</v>
      </c>
      <c r="BD394">
        <f>VLOOKUP($BA394,'[2]NonStandard DIS'!$Q$1:$X$542,4,FALSE)</f>
        <v>0.9005833333333334</v>
      </c>
      <c r="BE394">
        <f>VLOOKUP($BA394,'[2]NonStandard DIS'!$Q$1:$X$542,5,FALSE)</f>
        <v>5.0166666666666672E-2</v>
      </c>
      <c r="BF394">
        <f>VLOOKUP($BA394,'[2]NonStandard DIS'!$Q$1:$X$542,6,FALSE)</f>
        <v>0</v>
      </c>
      <c r="BG394">
        <f>VLOOKUP($BA394,'[2]NonStandard DIS'!$Q$1:$X$542,7,FALSE)</f>
        <v>0</v>
      </c>
      <c r="BH394">
        <f>VLOOKUP($BA394,'[2]NonStandard DIS'!$Q$1:$X$542,8,FALSE)</f>
        <v>0</v>
      </c>
      <c r="BI394" s="77">
        <f t="shared" si="989"/>
        <v>1</v>
      </c>
      <c r="BJ394" s="77">
        <f t="shared" si="990"/>
        <v>6.4123254166666657E-2</v>
      </c>
      <c r="BK394" s="77">
        <f t="shared" si="971"/>
        <v>5.1927043137820483E-3</v>
      </c>
      <c r="BL394" s="79">
        <v>0</v>
      </c>
      <c r="BM394" s="77">
        <f t="shared" si="1002"/>
        <v>0</v>
      </c>
      <c r="BN394" s="77">
        <f t="shared" si="1003"/>
        <v>0</v>
      </c>
      <c r="BO394" s="77">
        <f t="shared" si="1004"/>
        <v>7.0256083333333341E-3</v>
      </c>
      <c r="BP394" s="77">
        <f t="shared" si="1005"/>
        <v>5.8359053391243698E-4</v>
      </c>
    </row>
    <row r="395" spans="1:68">
      <c r="A395" t="s">
        <v>175</v>
      </c>
      <c r="B395" t="s">
        <v>176</v>
      </c>
      <c r="C395" s="197" t="str">
        <f t="shared" si="883"/>
        <v>Lifecycle_Balanced_150</v>
      </c>
      <c r="D395">
        <v>150</v>
      </c>
      <c r="E395">
        <f>VLOOKUP($D395,'[2]LC Balanced'!$Q$2:$U$542,2,FALSE)</f>
        <v>0.183</v>
      </c>
      <c r="F395">
        <f>VLOOKUP($D395,'[2]LC Balanced'!$Q$2:$U$542,3,FALSE)</f>
        <v>0.34650000000000003</v>
      </c>
      <c r="G395">
        <f>VLOOKUP($D395,'[2]LC Balanced'!$Q$2:$U$542,4,FALSE)</f>
        <v>0.47050000000000003</v>
      </c>
      <c r="H395">
        <f>VLOOKUP($D395,'[2]LC Balanced'!$Q$2:$U$542,5,FALSE)</f>
        <v>0</v>
      </c>
      <c r="I395" s="77">
        <f t="shared" si="984"/>
        <v>1</v>
      </c>
      <c r="J395" s="77">
        <f t="shared" si="985"/>
        <v>5.4443075E-2</v>
      </c>
      <c r="K395" s="77">
        <f t="shared" si="975"/>
        <v>4.4275005918326116E-3</v>
      </c>
      <c r="L395" s="76">
        <v>0</v>
      </c>
      <c r="M395" s="77">
        <f t="shared" si="991"/>
        <v>0</v>
      </c>
      <c r="N395" s="77">
        <f t="shared" si="992"/>
        <v>0</v>
      </c>
      <c r="O395" s="77">
        <f t="shared" si="993"/>
        <v>5.8711500000000003E-3</v>
      </c>
      <c r="P395" s="77">
        <f t="shared" si="994"/>
        <v>4.9058403760615654E-4</v>
      </c>
      <c r="R395" t="s">
        <v>177</v>
      </c>
      <c r="S395" t="s">
        <v>176</v>
      </c>
      <c r="T395" s="197" t="str">
        <f t="shared" si="926"/>
        <v>Autopilot_Balanced_150</v>
      </c>
      <c r="U395">
        <v>150</v>
      </c>
      <c r="V395">
        <f>VLOOKUP($U395,'[2]AP Balanced'!$Q$1:$T$542,2,FALSE)</f>
        <v>0.31055256666666681</v>
      </c>
      <c r="W395">
        <f>VLOOKUP($U395,'[2]AP Balanced'!$Q$1:$T$542,3,FALSE)</f>
        <v>0.68944743333333314</v>
      </c>
      <c r="X395">
        <f>VLOOKUP($U395,'[2]AP Balanced'!$Q$1:$T$542,4,FALSE)</f>
        <v>0</v>
      </c>
      <c r="Y395" s="77">
        <f t="shared" si="884"/>
        <v>1</v>
      </c>
      <c r="Z395" s="77">
        <f t="shared" si="873"/>
        <v>5.547258532249999E-2</v>
      </c>
      <c r="AA395" s="77">
        <f t="shared" si="874"/>
        <v>4.5091871594988842E-3</v>
      </c>
      <c r="AB395" s="79">
        <v>1</v>
      </c>
      <c r="AC395" s="77">
        <f t="shared" si="995"/>
        <v>7.1211051333333331E-3</v>
      </c>
      <c r="AD395" s="77">
        <f t="shared" si="986"/>
        <v>5.9537113121344021E-4</v>
      </c>
      <c r="AE395" s="77">
        <f t="shared" si="996"/>
        <v>2.5000000000000001E-3</v>
      </c>
      <c r="AF395" s="77">
        <f t="shared" si="986"/>
        <v>2.0857243058891584E-4</v>
      </c>
      <c r="AH395" t="s">
        <v>175</v>
      </c>
      <c r="AI395" t="s">
        <v>176</v>
      </c>
      <c r="AJ395" s="197" t="str">
        <f t="shared" si="885"/>
        <v>Lifecycle_Balanced_150</v>
      </c>
      <c r="AK395">
        <v>150</v>
      </c>
      <c r="AL395">
        <f>VLOOKUP($U395,[2]Standard_Balanced!$Q$1:$T$542,2,FALSE)</f>
        <v>0.27502994999999997</v>
      </c>
      <c r="AM395">
        <f>VLOOKUP($U395,[2]Standard_Balanced!$Q$1:$T$542,3,FALSE)</f>
        <v>0.72497005000000003</v>
      </c>
      <c r="AN395">
        <f>VLOOKUP($U395,[2]Standard_Balanced!$Q$1:$T$542,4,FALSE)</f>
        <v>0</v>
      </c>
      <c r="AO395" s="77">
        <f t="shared" si="972"/>
        <v>1</v>
      </c>
      <c r="AP395" s="77">
        <f t="shared" si="997"/>
        <v>5.500102258624999E-2</v>
      </c>
      <c r="AQ395" s="77">
        <f t="shared" si="886"/>
        <v>4.4717800512050765E-3</v>
      </c>
      <c r="AR395" s="79">
        <v>0</v>
      </c>
      <c r="AS395" s="77">
        <f t="shared" si="998"/>
        <v>0</v>
      </c>
      <c r="AT395" s="77">
        <f t="shared" ref="AT395" si="1014">1-(1-AS395)^(1/12)</f>
        <v>0</v>
      </c>
      <c r="AU395" s="77">
        <f t="shared" si="1000"/>
        <v>2.5000000000000001E-3</v>
      </c>
      <c r="AV395" s="77">
        <f t="shared" ref="AV395" si="1015">1-(1-AU395)^(1/12)</f>
        <v>2.0857243058891584E-4</v>
      </c>
      <c r="AX395" t="s">
        <v>178</v>
      </c>
      <c r="AY395" t="s">
        <v>160</v>
      </c>
      <c r="AZ395" s="197" t="str">
        <f t="shared" si="889"/>
        <v>DIS_Non-Standard_150</v>
      </c>
      <c r="BA395">
        <v>150</v>
      </c>
      <c r="BB395">
        <f>VLOOKUP($BA395,'[2]NonStandard DIS'!$Q$1:$X$542,2,FALSE)</f>
        <v>0</v>
      </c>
      <c r="BC395">
        <f>VLOOKUP($BA395,'[2]NonStandard DIS'!$Q$1:$X$542,3,FALSE)</f>
        <v>5.6500000000000002E-2</v>
      </c>
      <c r="BD395">
        <f>VLOOKUP($BA395,'[2]NonStandard DIS'!$Q$1:$X$542,4,FALSE)</f>
        <v>0.90050000000000008</v>
      </c>
      <c r="BE395">
        <f>VLOOKUP($BA395,'[2]NonStandard DIS'!$Q$1:$X$542,5,FALSE)</f>
        <v>4.3000000000000003E-2</v>
      </c>
      <c r="BF395">
        <f>VLOOKUP($BA395,'[2]NonStandard DIS'!$Q$1:$X$542,6,FALSE)</f>
        <v>0</v>
      </c>
      <c r="BG395">
        <f>VLOOKUP($BA395,'[2]NonStandard DIS'!$Q$1:$X$542,7,FALSE)</f>
        <v>0</v>
      </c>
      <c r="BH395">
        <f>VLOOKUP($BA395,'[2]NonStandard DIS'!$Q$1:$X$542,8,FALSE)</f>
        <v>0</v>
      </c>
      <c r="BI395" s="77">
        <f t="shared" si="989"/>
        <v>1</v>
      </c>
      <c r="BJ395" s="77">
        <f t="shared" si="990"/>
        <v>6.3942074999999987E-2</v>
      </c>
      <c r="BK395" s="77">
        <f t="shared" si="971"/>
        <v>5.1784410702038208E-3</v>
      </c>
      <c r="BL395" s="79">
        <v>0</v>
      </c>
      <c r="BM395" s="77">
        <f t="shared" si="1002"/>
        <v>0</v>
      </c>
      <c r="BN395" s="77">
        <f t="shared" si="1003"/>
        <v>0</v>
      </c>
      <c r="BO395" s="77">
        <f t="shared" si="1004"/>
        <v>7.0319499999999995E-3</v>
      </c>
      <c r="BP395" s="77">
        <f t="shared" si="1005"/>
        <v>5.8411562394300454E-4</v>
      </c>
    </row>
    <row r="396" spans="1:68">
      <c r="A396" t="s">
        <v>175</v>
      </c>
      <c r="B396" t="s">
        <v>176</v>
      </c>
      <c r="C396" s="197" t="str">
        <f t="shared" si="883"/>
        <v>Lifecycle_Balanced_149</v>
      </c>
      <c r="D396">
        <v>149</v>
      </c>
      <c r="E396">
        <f>VLOOKUP($D396,'[2]LC Balanced'!$Q$2:$U$542,2,FALSE)</f>
        <v>0.18866666666666665</v>
      </c>
      <c r="F396">
        <f>VLOOKUP($D396,'[2]LC Balanced'!$Q$2:$U$542,3,FALSE)</f>
        <v>0.34375</v>
      </c>
      <c r="G396">
        <f>VLOOKUP($D396,'[2]LC Balanced'!$Q$2:$U$542,4,FALSE)</f>
        <v>0.46758333333333335</v>
      </c>
      <c r="H396">
        <f>VLOOKUP($D396,'[2]LC Balanced'!$Q$2:$U$542,5,FALSE)</f>
        <v>0</v>
      </c>
      <c r="I396" s="77">
        <f t="shared" si="984"/>
        <v>1</v>
      </c>
      <c r="J396" s="77">
        <f t="shared" si="985"/>
        <v>5.4366374999999995E-2</v>
      </c>
      <c r="K396" s="77">
        <f t="shared" si="975"/>
        <v>4.4214118991638962E-3</v>
      </c>
      <c r="L396" s="76">
        <v>0</v>
      </c>
      <c r="M396" s="77">
        <f t="shared" si="991"/>
        <v>0</v>
      </c>
      <c r="N396" s="77">
        <f t="shared" si="992"/>
        <v>0</v>
      </c>
      <c r="O396" s="77">
        <f t="shared" si="993"/>
        <v>5.8475249999999993E-3</v>
      </c>
      <c r="P396" s="77">
        <f t="shared" si="994"/>
        <v>4.8860465361610927E-4</v>
      </c>
      <c r="R396" t="s">
        <v>177</v>
      </c>
      <c r="S396" t="s">
        <v>176</v>
      </c>
      <c r="T396" s="197" t="str">
        <f t="shared" si="926"/>
        <v>Autopilot_Balanced_149</v>
      </c>
      <c r="U396">
        <v>149</v>
      </c>
      <c r="V396">
        <f>VLOOKUP($U396,'[2]AP Balanced'!$Q$1:$T$542,2,FALSE)</f>
        <v>0.31055256666666681</v>
      </c>
      <c r="W396">
        <f>VLOOKUP($U396,'[2]AP Balanced'!$Q$1:$T$542,3,FALSE)</f>
        <v>0.68944743333333314</v>
      </c>
      <c r="X396">
        <f>VLOOKUP($U396,'[2]AP Balanced'!$Q$1:$T$542,4,FALSE)</f>
        <v>0</v>
      </c>
      <c r="Y396" s="77">
        <f t="shared" si="884"/>
        <v>1</v>
      </c>
      <c r="Z396" s="77">
        <f t="shared" si="873"/>
        <v>5.547258532249999E-2</v>
      </c>
      <c r="AA396" s="77">
        <f t="shared" si="874"/>
        <v>4.5091871594988842E-3</v>
      </c>
      <c r="AB396" s="79">
        <v>1</v>
      </c>
      <c r="AC396" s="77">
        <f t="shared" si="995"/>
        <v>7.1211051333333331E-3</v>
      </c>
      <c r="AD396" s="77">
        <f t="shared" si="986"/>
        <v>5.9537113121344021E-4</v>
      </c>
      <c r="AE396" s="77">
        <f t="shared" si="996"/>
        <v>2.5000000000000001E-3</v>
      </c>
      <c r="AF396" s="77">
        <f t="shared" si="986"/>
        <v>2.0857243058891584E-4</v>
      </c>
      <c r="AH396" t="s">
        <v>175</v>
      </c>
      <c r="AI396" t="s">
        <v>176</v>
      </c>
      <c r="AJ396" s="197" t="str">
        <f t="shared" si="885"/>
        <v>Lifecycle_Balanced_149</v>
      </c>
      <c r="AK396">
        <v>149</v>
      </c>
      <c r="AL396">
        <f>VLOOKUP($U396,[2]Standard_Balanced!$Q$1:$T$542,2,FALSE)</f>
        <v>0.26910951388888887</v>
      </c>
      <c r="AM396">
        <f>VLOOKUP($U396,[2]Standard_Balanced!$Q$1:$T$542,3,FALSE)</f>
        <v>0.73089048611111107</v>
      </c>
      <c r="AN396">
        <f>VLOOKUP($U396,[2]Standard_Balanced!$Q$1:$T$542,4,FALSE)</f>
        <v>0</v>
      </c>
      <c r="AO396" s="77">
        <f t="shared" si="972"/>
        <v>1</v>
      </c>
      <c r="AP396" s="77">
        <f t="shared" si="997"/>
        <v>5.4922428796874985E-2</v>
      </c>
      <c r="AQ396" s="77">
        <f t="shared" si="886"/>
        <v>4.4655440430974025E-3</v>
      </c>
      <c r="AR396" s="79">
        <v>0</v>
      </c>
      <c r="AS396" s="77">
        <f t="shared" si="998"/>
        <v>0</v>
      </c>
      <c r="AT396" s="77">
        <f t="shared" ref="AT396" si="1016">1-(1-AS396)^(1/12)</f>
        <v>0</v>
      </c>
      <c r="AU396" s="77">
        <f t="shared" si="1000"/>
        <v>2.5000000000000001E-3</v>
      </c>
      <c r="AV396" s="77">
        <f t="shared" ref="AV396" si="1017">1-(1-AU396)^(1/12)</f>
        <v>2.0857243058891584E-4</v>
      </c>
      <c r="AX396" t="s">
        <v>178</v>
      </c>
      <c r="AY396" t="s">
        <v>160</v>
      </c>
      <c r="AZ396" s="197" t="str">
        <f t="shared" si="889"/>
        <v>DIS_Non-Standard_149</v>
      </c>
      <c r="BA396">
        <v>149</v>
      </c>
      <c r="BB396">
        <f>VLOOKUP($BA396,'[2]NonStandard DIS'!$Q$1:$X$542,2,FALSE)</f>
        <v>0</v>
      </c>
      <c r="BC396">
        <f>VLOOKUP($BA396,'[2]NonStandard DIS'!$Q$1:$X$542,3,FALSE)</f>
        <v>6.3750000000000001E-2</v>
      </c>
      <c r="BD396">
        <f>VLOOKUP($BA396,'[2]NonStandard DIS'!$Q$1:$X$542,4,FALSE)</f>
        <v>0.90041666666666664</v>
      </c>
      <c r="BE396">
        <f>VLOOKUP($BA396,'[2]NonStandard DIS'!$Q$1:$X$542,5,FALSE)</f>
        <v>3.5833333333333335E-2</v>
      </c>
      <c r="BF396">
        <f>VLOOKUP($BA396,'[2]NonStandard DIS'!$Q$1:$X$542,6,FALSE)</f>
        <v>0</v>
      </c>
      <c r="BG396">
        <f>VLOOKUP($BA396,'[2]NonStandard DIS'!$Q$1:$X$542,7,FALSE)</f>
        <v>0</v>
      </c>
      <c r="BH396">
        <f>VLOOKUP($BA396,'[2]NonStandard DIS'!$Q$1:$X$542,8,FALSE)</f>
        <v>0</v>
      </c>
      <c r="BI396" s="77">
        <f t="shared" si="989"/>
        <v>1</v>
      </c>
      <c r="BJ396" s="77">
        <f t="shared" si="990"/>
        <v>6.3760895833333317E-2</v>
      </c>
      <c r="BK396" s="77">
        <f t="shared" si="971"/>
        <v>5.1641755999654038E-3</v>
      </c>
      <c r="BL396" s="79">
        <v>0</v>
      </c>
      <c r="BM396" s="77">
        <f t="shared" si="1002"/>
        <v>0</v>
      </c>
      <c r="BN396" s="77">
        <f t="shared" si="1003"/>
        <v>0</v>
      </c>
      <c r="BO396" s="77">
        <f t="shared" si="1004"/>
        <v>7.0382916666666667E-3</v>
      </c>
      <c r="BP396" s="77">
        <f t="shared" si="1005"/>
        <v>5.8464071094221914E-4</v>
      </c>
    </row>
    <row r="397" spans="1:68">
      <c r="A397" t="s">
        <v>175</v>
      </c>
      <c r="B397" t="s">
        <v>176</v>
      </c>
      <c r="C397" s="197" t="str">
        <f t="shared" si="883"/>
        <v>Lifecycle_Balanced_148</v>
      </c>
      <c r="D397">
        <v>148</v>
      </c>
      <c r="E397">
        <f>VLOOKUP($D397,'[2]LC Balanced'!$Q$2:$U$542,2,FALSE)</f>
        <v>0.19433333333333333</v>
      </c>
      <c r="F397">
        <f>VLOOKUP($D397,'[2]LC Balanced'!$Q$2:$U$542,3,FALSE)</f>
        <v>0.34100000000000003</v>
      </c>
      <c r="G397">
        <f>VLOOKUP($D397,'[2]LC Balanced'!$Q$2:$U$542,4,FALSE)</f>
        <v>0.46466666666666667</v>
      </c>
      <c r="H397">
        <f>VLOOKUP($D397,'[2]LC Balanced'!$Q$2:$U$542,5,FALSE)</f>
        <v>0</v>
      </c>
      <c r="I397" s="77">
        <f t="shared" si="984"/>
        <v>1</v>
      </c>
      <c r="J397" s="77">
        <f t="shared" si="985"/>
        <v>5.4289674999999996E-2</v>
      </c>
      <c r="K397" s="77">
        <f t="shared" si="975"/>
        <v>4.4153228004690792E-3</v>
      </c>
      <c r="L397" s="76">
        <v>0</v>
      </c>
      <c r="M397" s="77">
        <f t="shared" si="991"/>
        <v>0</v>
      </c>
      <c r="N397" s="77">
        <f t="shared" si="992"/>
        <v>0</v>
      </c>
      <c r="O397" s="77">
        <f t="shared" si="993"/>
        <v>5.8238999999999999E-3</v>
      </c>
      <c r="P397" s="77">
        <f t="shared" si="994"/>
        <v>4.8662531274379361E-4</v>
      </c>
      <c r="R397" t="s">
        <v>177</v>
      </c>
      <c r="S397" t="s">
        <v>176</v>
      </c>
      <c r="T397" s="197" t="str">
        <f t="shared" si="926"/>
        <v>Autopilot_Balanced_148</v>
      </c>
      <c r="U397">
        <v>148</v>
      </c>
      <c r="V397">
        <f>VLOOKUP($U397,'[2]AP Balanced'!$Q$1:$T$542,2,FALSE)</f>
        <v>0.31055256666666681</v>
      </c>
      <c r="W397">
        <f>VLOOKUP($U397,'[2]AP Balanced'!$Q$1:$T$542,3,FALSE)</f>
        <v>0.68944743333333314</v>
      </c>
      <c r="X397">
        <f>VLOOKUP($U397,'[2]AP Balanced'!$Q$1:$T$542,4,FALSE)</f>
        <v>0</v>
      </c>
      <c r="Y397" s="77">
        <f t="shared" si="884"/>
        <v>1</v>
      </c>
      <c r="Z397" s="77">
        <f t="shared" si="873"/>
        <v>5.547258532249999E-2</v>
      </c>
      <c r="AA397" s="77">
        <f t="shared" si="874"/>
        <v>4.5091871594988842E-3</v>
      </c>
      <c r="AB397" s="79">
        <v>1</v>
      </c>
      <c r="AC397" s="77">
        <f t="shared" si="995"/>
        <v>7.1211051333333331E-3</v>
      </c>
      <c r="AD397" s="77">
        <f t="shared" si="986"/>
        <v>5.9537113121344021E-4</v>
      </c>
      <c r="AE397" s="77">
        <f t="shared" si="996"/>
        <v>2.5000000000000001E-3</v>
      </c>
      <c r="AF397" s="77">
        <f t="shared" si="986"/>
        <v>2.0857243058891584E-4</v>
      </c>
      <c r="AH397" t="s">
        <v>175</v>
      </c>
      <c r="AI397" t="s">
        <v>176</v>
      </c>
      <c r="AJ397" s="197" t="str">
        <f t="shared" si="885"/>
        <v>Lifecycle_Balanced_148</v>
      </c>
      <c r="AK397">
        <v>148</v>
      </c>
      <c r="AL397">
        <f>VLOOKUP($U397,[2]Standard_Balanced!$Q$1:$T$542,2,FALSE)</f>
        <v>0.26318907777777772</v>
      </c>
      <c r="AM397">
        <f>VLOOKUP($U397,[2]Standard_Balanced!$Q$1:$T$542,3,FALSE)</f>
        <v>0.73681092222222222</v>
      </c>
      <c r="AN397">
        <f>VLOOKUP($U397,[2]Standard_Balanced!$Q$1:$T$542,4,FALSE)</f>
        <v>0</v>
      </c>
      <c r="AO397" s="77">
        <f t="shared" si="972"/>
        <v>1</v>
      </c>
      <c r="AP397" s="77">
        <f t="shared" si="997"/>
        <v>5.4843835007499987E-2</v>
      </c>
      <c r="AQ397" s="77">
        <f t="shared" si="886"/>
        <v>4.459307609096852E-3</v>
      </c>
      <c r="AR397" s="79">
        <v>0</v>
      </c>
      <c r="AS397" s="77">
        <f t="shared" si="998"/>
        <v>0</v>
      </c>
      <c r="AT397" s="77">
        <f t="shared" ref="AT397" si="1018">1-(1-AS397)^(1/12)</f>
        <v>0</v>
      </c>
      <c r="AU397" s="77">
        <f t="shared" si="1000"/>
        <v>2.5000000000000001E-3</v>
      </c>
      <c r="AV397" s="77">
        <f t="shared" ref="AV397" si="1019">1-(1-AU397)^(1/12)</f>
        <v>2.0857243058891584E-4</v>
      </c>
      <c r="AX397" t="s">
        <v>178</v>
      </c>
      <c r="AY397" t="s">
        <v>160</v>
      </c>
      <c r="AZ397" s="197" t="str">
        <f t="shared" si="889"/>
        <v>DIS_Non-Standard_148</v>
      </c>
      <c r="BA397">
        <v>148</v>
      </c>
      <c r="BB397">
        <f>VLOOKUP($BA397,'[2]NonStandard DIS'!$Q$1:$X$542,2,FALSE)</f>
        <v>0</v>
      </c>
      <c r="BC397">
        <f>VLOOKUP($BA397,'[2]NonStandard DIS'!$Q$1:$X$542,3,FALSE)</f>
        <v>7.1000000000000008E-2</v>
      </c>
      <c r="BD397">
        <f>VLOOKUP($BA397,'[2]NonStandard DIS'!$Q$1:$X$542,4,FALSE)</f>
        <v>0.90033333333333332</v>
      </c>
      <c r="BE397">
        <f>VLOOKUP($BA397,'[2]NonStandard DIS'!$Q$1:$X$542,5,FALSE)</f>
        <v>2.866666666666667E-2</v>
      </c>
      <c r="BF397">
        <f>VLOOKUP($BA397,'[2]NonStandard DIS'!$Q$1:$X$542,6,FALSE)</f>
        <v>0</v>
      </c>
      <c r="BG397">
        <f>VLOOKUP($BA397,'[2]NonStandard DIS'!$Q$1:$X$542,7,FALSE)</f>
        <v>0</v>
      </c>
      <c r="BH397">
        <f>VLOOKUP($BA397,'[2]NonStandard DIS'!$Q$1:$X$542,8,FALSE)</f>
        <v>0</v>
      </c>
      <c r="BI397" s="77">
        <f t="shared" si="989"/>
        <v>1</v>
      </c>
      <c r="BJ397" s="77">
        <f t="shared" si="990"/>
        <v>6.3579716666666661E-2</v>
      </c>
      <c r="BK397" s="77">
        <f t="shared" si="971"/>
        <v>5.1499079023400451E-3</v>
      </c>
      <c r="BL397" s="79">
        <v>0</v>
      </c>
      <c r="BM397" s="77">
        <f t="shared" si="1002"/>
        <v>0</v>
      </c>
      <c r="BN397" s="77">
        <f t="shared" si="1003"/>
        <v>0</v>
      </c>
      <c r="BO397" s="77">
        <f t="shared" si="1004"/>
        <v>7.044633333333333E-3</v>
      </c>
      <c r="BP397" s="77">
        <f t="shared" si="1005"/>
        <v>5.8516579491052489E-4</v>
      </c>
    </row>
    <row r="398" spans="1:68">
      <c r="A398" t="s">
        <v>175</v>
      </c>
      <c r="B398" t="s">
        <v>176</v>
      </c>
      <c r="C398" s="197" t="str">
        <f t="shared" si="883"/>
        <v>Lifecycle_Balanced_147</v>
      </c>
      <c r="D398">
        <v>147</v>
      </c>
      <c r="E398">
        <f>VLOOKUP($D398,'[2]LC Balanced'!$Q$2:$U$542,2,FALSE)</f>
        <v>0.2</v>
      </c>
      <c r="F398">
        <f>VLOOKUP($D398,'[2]LC Balanced'!$Q$2:$U$542,3,FALSE)</f>
        <v>0.33825</v>
      </c>
      <c r="G398">
        <f>VLOOKUP($D398,'[2]LC Balanced'!$Q$2:$U$542,4,FALSE)</f>
        <v>0.46174999999999999</v>
      </c>
      <c r="H398">
        <f>VLOOKUP($D398,'[2]LC Balanced'!$Q$2:$U$542,5,FALSE)</f>
        <v>0</v>
      </c>
      <c r="I398" s="77">
        <f t="shared" si="984"/>
        <v>1</v>
      </c>
      <c r="J398" s="77">
        <f t="shared" si="985"/>
        <v>5.4212974999999997E-2</v>
      </c>
      <c r="K398" s="77">
        <f t="shared" si="975"/>
        <v>4.4092332956919833E-3</v>
      </c>
      <c r="L398" s="76">
        <v>0</v>
      </c>
      <c r="M398" s="77">
        <f t="shared" si="991"/>
        <v>0</v>
      </c>
      <c r="N398" s="77">
        <f t="shared" si="992"/>
        <v>0</v>
      </c>
      <c r="O398" s="77">
        <f t="shared" si="993"/>
        <v>5.8002750000000006E-3</v>
      </c>
      <c r="P398" s="77">
        <f t="shared" si="994"/>
        <v>4.8464601498710014E-4</v>
      </c>
      <c r="R398" t="s">
        <v>177</v>
      </c>
      <c r="S398" t="s">
        <v>176</v>
      </c>
      <c r="T398" s="197" t="str">
        <f t="shared" si="926"/>
        <v>Autopilot_Balanced_147</v>
      </c>
      <c r="U398">
        <v>147</v>
      </c>
      <c r="V398">
        <f>VLOOKUP($U398,'[2]AP Balanced'!$Q$1:$T$542,2,FALSE)</f>
        <v>0.31055256666666681</v>
      </c>
      <c r="W398">
        <f>VLOOKUP($U398,'[2]AP Balanced'!$Q$1:$T$542,3,FALSE)</f>
        <v>0.68944743333333314</v>
      </c>
      <c r="X398">
        <f>VLOOKUP($U398,'[2]AP Balanced'!$Q$1:$T$542,4,FALSE)</f>
        <v>0</v>
      </c>
      <c r="Y398" s="77">
        <f t="shared" si="884"/>
        <v>1</v>
      </c>
      <c r="Z398" s="77">
        <f t="shared" si="873"/>
        <v>5.547258532249999E-2</v>
      </c>
      <c r="AA398" s="77">
        <f t="shared" si="874"/>
        <v>4.5091871594988842E-3</v>
      </c>
      <c r="AB398" s="79">
        <v>1</v>
      </c>
      <c r="AC398" s="77">
        <f t="shared" si="995"/>
        <v>7.1211051333333331E-3</v>
      </c>
      <c r="AD398" s="77">
        <f t="shared" si="986"/>
        <v>5.9537113121344021E-4</v>
      </c>
      <c r="AE398" s="77">
        <f t="shared" si="996"/>
        <v>2.5000000000000001E-3</v>
      </c>
      <c r="AF398" s="77">
        <f t="shared" si="986"/>
        <v>2.0857243058891584E-4</v>
      </c>
      <c r="AH398" t="s">
        <v>175</v>
      </c>
      <c r="AI398" t="s">
        <v>176</v>
      </c>
      <c r="AJ398" s="197" t="str">
        <f t="shared" si="885"/>
        <v>Lifecycle_Balanced_147</v>
      </c>
      <c r="AK398">
        <v>147</v>
      </c>
      <c r="AL398">
        <f>VLOOKUP($U398,[2]Standard_Balanced!$Q$1:$T$542,2,FALSE)</f>
        <v>0.25726864166666658</v>
      </c>
      <c r="AM398">
        <f>VLOOKUP($U398,[2]Standard_Balanced!$Q$1:$T$542,3,FALSE)</f>
        <v>0.74273135833333337</v>
      </c>
      <c r="AN398">
        <f>VLOOKUP($U398,[2]Standard_Balanced!$Q$1:$T$542,4,FALSE)</f>
        <v>0</v>
      </c>
      <c r="AO398" s="77">
        <f t="shared" si="972"/>
        <v>1</v>
      </c>
      <c r="AP398" s="77">
        <f t="shared" si="997"/>
        <v>5.476524121812499E-2</v>
      </c>
      <c r="AQ398" s="77">
        <f t="shared" si="886"/>
        <v>4.4530707491421406E-3</v>
      </c>
      <c r="AR398" s="79">
        <v>0</v>
      </c>
      <c r="AS398" s="77">
        <f t="shared" si="998"/>
        <v>0</v>
      </c>
      <c r="AT398" s="77">
        <f t="shared" ref="AT398" si="1020">1-(1-AS398)^(1/12)</f>
        <v>0</v>
      </c>
      <c r="AU398" s="77">
        <f t="shared" si="1000"/>
        <v>2.4999999999999996E-3</v>
      </c>
      <c r="AV398" s="77">
        <f t="shared" ref="AV398" si="1021">1-(1-AU398)^(1/12)</f>
        <v>2.0857243058891584E-4</v>
      </c>
      <c r="AX398" t="s">
        <v>178</v>
      </c>
      <c r="AY398" t="s">
        <v>160</v>
      </c>
      <c r="AZ398" s="197" t="str">
        <f t="shared" si="889"/>
        <v>DIS_Non-Standard_147</v>
      </c>
      <c r="BA398">
        <v>147</v>
      </c>
      <c r="BB398">
        <f>VLOOKUP($BA398,'[2]NonStandard DIS'!$Q$1:$X$542,2,FALSE)</f>
        <v>0</v>
      </c>
      <c r="BC398">
        <f>VLOOKUP($BA398,'[2]NonStandard DIS'!$Q$1:$X$542,3,FALSE)</f>
        <v>7.825E-2</v>
      </c>
      <c r="BD398">
        <f>VLOOKUP($BA398,'[2]NonStandard DIS'!$Q$1:$X$542,4,FALSE)</f>
        <v>0.90024999999999999</v>
      </c>
      <c r="BE398">
        <f>VLOOKUP($BA398,'[2]NonStandard DIS'!$Q$1:$X$542,5,FALSE)</f>
        <v>2.1500000000000002E-2</v>
      </c>
      <c r="BF398">
        <f>VLOOKUP($BA398,'[2]NonStandard DIS'!$Q$1:$X$542,6,FALSE)</f>
        <v>0</v>
      </c>
      <c r="BG398">
        <f>VLOOKUP($BA398,'[2]NonStandard DIS'!$Q$1:$X$542,7,FALSE)</f>
        <v>0</v>
      </c>
      <c r="BH398">
        <f>VLOOKUP($BA398,'[2]NonStandard DIS'!$Q$1:$X$542,8,FALSE)</f>
        <v>0</v>
      </c>
      <c r="BI398" s="77">
        <f t="shared" si="989"/>
        <v>1</v>
      </c>
      <c r="BJ398" s="77">
        <f t="shared" si="990"/>
        <v>6.3398537499999991E-2</v>
      </c>
      <c r="BK398" s="77">
        <f t="shared" si="971"/>
        <v>5.1356379766005489E-3</v>
      </c>
      <c r="BL398" s="79">
        <v>0</v>
      </c>
      <c r="BM398" s="77">
        <f t="shared" si="1002"/>
        <v>0</v>
      </c>
      <c r="BN398" s="77">
        <f t="shared" si="1003"/>
        <v>0</v>
      </c>
      <c r="BO398" s="77">
        <f t="shared" si="1004"/>
        <v>7.0509749999999993E-3</v>
      </c>
      <c r="BP398" s="77">
        <f t="shared" si="1005"/>
        <v>5.8569087584769974E-4</v>
      </c>
    </row>
    <row r="399" spans="1:68">
      <c r="A399" t="s">
        <v>175</v>
      </c>
      <c r="B399" t="s">
        <v>176</v>
      </c>
      <c r="C399" s="197" t="str">
        <f t="shared" si="883"/>
        <v>Lifecycle_Balanced_146</v>
      </c>
      <c r="D399">
        <v>146</v>
      </c>
      <c r="E399">
        <f>VLOOKUP($D399,'[2]LC Balanced'!$Q$2:$U$542,2,FALSE)</f>
        <v>0.20566666666666666</v>
      </c>
      <c r="F399">
        <f>VLOOKUP($D399,'[2]LC Balanced'!$Q$2:$U$542,3,FALSE)</f>
        <v>0.33550000000000002</v>
      </c>
      <c r="G399">
        <f>VLOOKUP($D399,'[2]LC Balanced'!$Q$2:$U$542,4,FALSE)</f>
        <v>0.45883333333333332</v>
      </c>
      <c r="H399">
        <f>VLOOKUP($D399,'[2]LC Balanced'!$Q$2:$U$542,5,FALSE)</f>
        <v>0</v>
      </c>
      <c r="I399" s="77">
        <f t="shared" si="984"/>
        <v>1</v>
      </c>
      <c r="J399" s="77">
        <f t="shared" si="985"/>
        <v>5.4136274999999998E-2</v>
      </c>
      <c r="K399" s="77">
        <f t="shared" si="975"/>
        <v>4.403143384775543E-3</v>
      </c>
      <c r="L399" s="76">
        <v>0</v>
      </c>
      <c r="M399" s="77">
        <f t="shared" si="991"/>
        <v>0</v>
      </c>
      <c r="N399" s="77">
        <f t="shared" si="992"/>
        <v>0</v>
      </c>
      <c r="O399" s="77">
        <f t="shared" si="993"/>
        <v>5.7766499999999995E-3</v>
      </c>
      <c r="P399" s="77">
        <f t="shared" si="994"/>
        <v>4.8266676034425249E-4</v>
      </c>
      <c r="R399" t="s">
        <v>177</v>
      </c>
      <c r="S399" t="s">
        <v>176</v>
      </c>
      <c r="T399" s="197" t="str">
        <f t="shared" si="926"/>
        <v>Autopilot_Balanced_146</v>
      </c>
      <c r="U399">
        <v>146</v>
      </c>
      <c r="V399">
        <f>VLOOKUP($U399,'[2]AP Balanced'!$Q$1:$T$542,2,FALSE)</f>
        <v>0.31055256666666681</v>
      </c>
      <c r="W399">
        <f>VLOOKUP($U399,'[2]AP Balanced'!$Q$1:$T$542,3,FALSE)</f>
        <v>0.68944743333333314</v>
      </c>
      <c r="X399">
        <f>VLOOKUP($U399,'[2]AP Balanced'!$Q$1:$T$542,4,FALSE)</f>
        <v>0</v>
      </c>
      <c r="Y399" s="77">
        <f t="shared" si="884"/>
        <v>1</v>
      </c>
      <c r="Z399" s="77">
        <f t="shared" si="873"/>
        <v>5.547258532249999E-2</v>
      </c>
      <c r="AA399" s="77">
        <f t="shared" si="874"/>
        <v>4.5091871594988842E-3</v>
      </c>
      <c r="AB399" s="79">
        <v>1</v>
      </c>
      <c r="AC399" s="77">
        <f t="shared" si="995"/>
        <v>7.1211051333333331E-3</v>
      </c>
      <c r="AD399" s="77">
        <f t="shared" si="986"/>
        <v>5.9537113121344021E-4</v>
      </c>
      <c r="AE399" s="77">
        <f t="shared" si="996"/>
        <v>2.5000000000000001E-3</v>
      </c>
      <c r="AF399" s="77">
        <f t="shared" si="986"/>
        <v>2.0857243058891584E-4</v>
      </c>
      <c r="AH399" t="s">
        <v>175</v>
      </c>
      <c r="AI399" t="s">
        <v>176</v>
      </c>
      <c r="AJ399" s="197" t="str">
        <f t="shared" si="885"/>
        <v>Lifecycle_Balanced_146</v>
      </c>
      <c r="AK399">
        <v>146</v>
      </c>
      <c r="AL399">
        <f>VLOOKUP($U399,[2]Standard_Balanced!$Q$1:$T$542,2,FALSE)</f>
        <v>0.25134820555555548</v>
      </c>
      <c r="AM399">
        <f>VLOOKUP($U399,[2]Standard_Balanced!$Q$1:$T$542,3,FALSE)</f>
        <v>0.74865179444444452</v>
      </c>
      <c r="AN399">
        <f>VLOOKUP($U399,[2]Standard_Balanced!$Q$1:$T$542,4,FALSE)</f>
        <v>0</v>
      </c>
      <c r="AO399" s="77">
        <f t="shared" si="972"/>
        <v>1</v>
      </c>
      <c r="AP399" s="77">
        <f t="shared" si="997"/>
        <v>5.4686647428749992E-2</v>
      </c>
      <c r="AQ399" s="77">
        <f t="shared" si="886"/>
        <v>4.4468334631726503E-3</v>
      </c>
      <c r="AR399" s="79">
        <v>0</v>
      </c>
      <c r="AS399" s="77">
        <f t="shared" si="998"/>
        <v>0</v>
      </c>
      <c r="AT399" s="77">
        <f t="shared" ref="AT399" si="1022">1-(1-AS399)^(1/12)</f>
        <v>0</v>
      </c>
      <c r="AU399" s="77">
        <f t="shared" si="1000"/>
        <v>2.5000000000000001E-3</v>
      </c>
      <c r="AV399" s="77">
        <f t="shared" ref="AV399" si="1023">1-(1-AU399)^(1/12)</f>
        <v>2.0857243058891584E-4</v>
      </c>
      <c r="AX399" t="s">
        <v>178</v>
      </c>
      <c r="AY399" t="s">
        <v>160</v>
      </c>
      <c r="AZ399" s="197" t="str">
        <f t="shared" si="889"/>
        <v>DIS_Non-Standard_146</v>
      </c>
      <c r="BA399">
        <v>146</v>
      </c>
      <c r="BB399">
        <f>VLOOKUP($BA399,'[2]NonStandard DIS'!$Q$1:$X$542,2,FALSE)</f>
        <v>0</v>
      </c>
      <c r="BC399">
        <f>VLOOKUP($BA399,'[2]NonStandard DIS'!$Q$1:$X$542,3,FALSE)</f>
        <v>8.5500000000000007E-2</v>
      </c>
      <c r="BD399">
        <f>VLOOKUP($BA399,'[2]NonStandard DIS'!$Q$1:$X$542,4,FALSE)</f>
        <v>0.90016666666666667</v>
      </c>
      <c r="BE399">
        <f>VLOOKUP($BA399,'[2]NonStandard DIS'!$Q$1:$X$542,5,FALSE)</f>
        <v>1.4333333333333335E-2</v>
      </c>
      <c r="BF399">
        <f>VLOOKUP($BA399,'[2]NonStandard DIS'!$Q$1:$X$542,6,FALSE)</f>
        <v>0</v>
      </c>
      <c r="BG399">
        <f>VLOOKUP($BA399,'[2]NonStandard DIS'!$Q$1:$X$542,7,FALSE)</f>
        <v>0</v>
      </c>
      <c r="BH399">
        <f>VLOOKUP($BA399,'[2]NonStandard DIS'!$Q$1:$X$542,8,FALSE)</f>
        <v>0</v>
      </c>
      <c r="BI399" s="77">
        <f t="shared" si="989"/>
        <v>1</v>
      </c>
      <c r="BJ399" s="77">
        <f t="shared" si="990"/>
        <v>6.3217358333333334E-2</v>
      </c>
      <c r="BK399" s="77">
        <f t="shared" si="971"/>
        <v>5.1213658220190528E-3</v>
      </c>
      <c r="BL399" s="79">
        <v>0</v>
      </c>
      <c r="BM399" s="77">
        <f t="shared" si="1002"/>
        <v>0</v>
      </c>
      <c r="BN399" s="77">
        <f t="shared" si="1003"/>
        <v>0</v>
      </c>
      <c r="BO399" s="77">
        <f t="shared" si="1004"/>
        <v>7.0573166666666664E-3</v>
      </c>
      <c r="BP399" s="77">
        <f t="shared" si="1005"/>
        <v>5.8621595375396574E-4</v>
      </c>
    </row>
    <row r="400" spans="1:68">
      <c r="A400" t="s">
        <v>175</v>
      </c>
      <c r="B400" t="s">
        <v>176</v>
      </c>
      <c r="C400" s="197" t="str">
        <f t="shared" si="883"/>
        <v>Lifecycle_Balanced_145</v>
      </c>
      <c r="D400">
        <v>145</v>
      </c>
      <c r="E400">
        <f>VLOOKUP($D400,'[2]LC Balanced'!$Q$2:$U$542,2,FALSE)</f>
        <v>0.21133333333333332</v>
      </c>
      <c r="F400">
        <f>VLOOKUP($D400,'[2]LC Balanced'!$Q$2:$U$542,3,FALSE)</f>
        <v>0.33274999999999999</v>
      </c>
      <c r="G400">
        <f>VLOOKUP($D400,'[2]LC Balanced'!$Q$2:$U$542,4,FALSE)</f>
        <v>0.45591666666666669</v>
      </c>
      <c r="H400">
        <f>VLOOKUP($D400,'[2]LC Balanced'!$Q$2:$U$542,5,FALSE)</f>
        <v>0</v>
      </c>
      <c r="I400" s="77">
        <f t="shared" si="984"/>
        <v>1</v>
      </c>
      <c r="J400" s="77">
        <f t="shared" si="985"/>
        <v>5.4059574999999999E-2</v>
      </c>
      <c r="K400" s="77">
        <f t="shared" si="975"/>
        <v>4.397053067663137E-3</v>
      </c>
      <c r="L400" s="76">
        <v>0</v>
      </c>
      <c r="M400" s="77">
        <f t="shared" si="991"/>
        <v>0</v>
      </c>
      <c r="N400" s="77">
        <f t="shared" si="992"/>
        <v>0</v>
      </c>
      <c r="O400" s="77">
        <f t="shared" si="993"/>
        <v>5.7530250000000002E-3</v>
      </c>
      <c r="P400" s="77">
        <f t="shared" si="994"/>
        <v>4.8068754881325226E-4</v>
      </c>
      <c r="R400" t="s">
        <v>177</v>
      </c>
      <c r="S400" t="s">
        <v>176</v>
      </c>
      <c r="T400" s="197" t="str">
        <f t="shared" si="926"/>
        <v>Autopilot_Balanced_145</v>
      </c>
      <c r="U400">
        <v>145</v>
      </c>
      <c r="V400">
        <f>VLOOKUP($U400,'[2]AP Balanced'!$Q$1:$T$542,2,FALSE)</f>
        <v>0.31055256666666681</v>
      </c>
      <c r="W400">
        <f>VLOOKUP($U400,'[2]AP Balanced'!$Q$1:$T$542,3,FALSE)</f>
        <v>0.68944743333333314</v>
      </c>
      <c r="X400">
        <f>VLOOKUP($U400,'[2]AP Balanced'!$Q$1:$T$542,4,FALSE)</f>
        <v>0</v>
      </c>
      <c r="Y400" s="77">
        <f t="shared" si="884"/>
        <v>1</v>
      </c>
      <c r="Z400" s="77">
        <f t="shared" si="873"/>
        <v>5.547258532249999E-2</v>
      </c>
      <c r="AA400" s="77">
        <f t="shared" si="874"/>
        <v>4.5091871594988842E-3</v>
      </c>
      <c r="AB400" s="79">
        <v>1</v>
      </c>
      <c r="AC400" s="77">
        <f t="shared" si="995"/>
        <v>7.1211051333333331E-3</v>
      </c>
      <c r="AD400" s="77">
        <f t="shared" si="986"/>
        <v>5.9537113121344021E-4</v>
      </c>
      <c r="AE400" s="77">
        <f t="shared" si="996"/>
        <v>2.5000000000000001E-3</v>
      </c>
      <c r="AF400" s="77">
        <f t="shared" si="986"/>
        <v>2.0857243058891584E-4</v>
      </c>
      <c r="AH400" t="s">
        <v>175</v>
      </c>
      <c r="AI400" t="s">
        <v>176</v>
      </c>
      <c r="AJ400" s="197" t="str">
        <f t="shared" si="885"/>
        <v>Lifecycle_Balanced_145</v>
      </c>
      <c r="AK400">
        <v>145</v>
      </c>
      <c r="AL400">
        <f>VLOOKUP($U400,[2]Standard_Balanced!$Q$1:$T$542,2,FALSE)</f>
        <v>0.24542776944444433</v>
      </c>
      <c r="AM400">
        <f>VLOOKUP($U400,[2]Standard_Balanced!$Q$1:$T$542,3,FALSE)</f>
        <v>0.75457223055555567</v>
      </c>
      <c r="AN400">
        <f>VLOOKUP($U400,[2]Standard_Balanced!$Q$1:$T$542,4,FALSE)</f>
        <v>0</v>
      </c>
      <c r="AO400" s="77">
        <f t="shared" si="972"/>
        <v>1</v>
      </c>
      <c r="AP400" s="77">
        <f t="shared" si="997"/>
        <v>5.4608053639374994E-2</v>
      </c>
      <c r="AQ400" s="77">
        <f t="shared" si="886"/>
        <v>4.4405957511275407E-3</v>
      </c>
      <c r="AR400" s="79">
        <v>0</v>
      </c>
      <c r="AS400" s="77">
        <f t="shared" si="998"/>
        <v>0</v>
      </c>
      <c r="AT400" s="77">
        <f t="shared" ref="AT400" si="1024">1-(1-AS400)^(1/12)</f>
        <v>0</v>
      </c>
      <c r="AU400" s="77">
        <f t="shared" si="1000"/>
        <v>2.5000000000000001E-3</v>
      </c>
      <c r="AV400" s="77">
        <f t="shared" ref="AV400" si="1025">1-(1-AU400)^(1/12)</f>
        <v>2.0857243058891584E-4</v>
      </c>
      <c r="AX400" t="s">
        <v>178</v>
      </c>
      <c r="AY400" t="s">
        <v>160</v>
      </c>
      <c r="AZ400" s="197" t="str">
        <f t="shared" si="889"/>
        <v>DIS_Non-Standard_145</v>
      </c>
      <c r="BA400">
        <v>145</v>
      </c>
      <c r="BB400">
        <f>VLOOKUP($BA400,'[2]NonStandard DIS'!$Q$1:$X$542,2,FALSE)</f>
        <v>0</v>
      </c>
      <c r="BC400">
        <f>VLOOKUP($BA400,'[2]NonStandard DIS'!$Q$1:$X$542,3,FALSE)</f>
        <v>9.2749999999999999E-2</v>
      </c>
      <c r="BD400">
        <f>VLOOKUP($BA400,'[2]NonStandard DIS'!$Q$1:$X$542,4,FALSE)</f>
        <v>0.90008333333333335</v>
      </c>
      <c r="BE400">
        <f>VLOOKUP($BA400,'[2]NonStandard DIS'!$Q$1:$X$542,5,FALSE)</f>
        <v>7.1666666666666675E-3</v>
      </c>
      <c r="BF400">
        <f>VLOOKUP($BA400,'[2]NonStandard DIS'!$Q$1:$X$542,6,FALSE)</f>
        <v>0</v>
      </c>
      <c r="BG400">
        <f>VLOOKUP($BA400,'[2]NonStandard DIS'!$Q$1:$X$542,7,FALSE)</f>
        <v>0</v>
      </c>
      <c r="BH400">
        <f>VLOOKUP($BA400,'[2]NonStandard DIS'!$Q$1:$X$542,8,FALSE)</f>
        <v>0</v>
      </c>
      <c r="BI400" s="77">
        <f t="shared" si="989"/>
        <v>1</v>
      </c>
      <c r="BJ400" s="77">
        <f t="shared" si="990"/>
        <v>6.3036179166666664E-2</v>
      </c>
      <c r="BK400" s="77">
        <f t="shared" si="971"/>
        <v>5.1070914378676946E-3</v>
      </c>
      <c r="BL400" s="79">
        <v>0</v>
      </c>
      <c r="BM400" s="77">
        <f t="shared" si="1002"/>
        <v>0</v>
      </c>
      <c r="BN400" s="77">
        <f t="shared" si="1003"/>
        <v>0</v>
      </c>
      <c r="BO400" s="77">
        <f t="shared" si="1004"/>
        <v>7.0636583333333327E-3</v>
      </c>
      <c r="BP400" s="77">
        <f t="shared" si="1005"/>
        <v>5.8674102862910082E-4</v>
      </c>
    </row>
    <row r="401" spans="1:68">
      <c r="A401" t="s">
        <v>175</v>
      </c>
      <c r="B401" t="s">
        <v>176</v>
      </c>
      <c r="C401" s="197" t="str">
        <f t="shared" si="883"/>
        <v>Lifecycle_Balanced_144</v>
      </c>
      <c r="D401">
        <v>144</v>
      </c>
      <c r="E401">
        <f>VLOOKUP($D401,'[2]LC Balanced'!$Q$2:$U$542,2,FALSE)</f>
        <v>0.217</v>
      </c>
      <c r="F401">
        <f>VLOOKUP($D401,'[2]LC Balanced'!$Q$2:$U$542,3,FALSE)</f>
        <v>0.33</v>
      </c>
      <c r="G401">
        <f>VLOOKUP($D401,'[2]LC Balanced'!$Q$2:$U$542,4,FALSE)</f>
        <v>0.45300000000000001</v>
      </c>
      <c r="H401">
        <f>VLOOKUP($D401,'[2]LC Balanced'!$Q$2:$U$542,5,FALSE)</f>
        <v>0</v>
      </c>
      <c r="I401" s="77">
        <f t="shared" si="984"/>
        <v>1</v>
      </c>
      <c r="J401" s="77">
        <f t="shared" si="985"/>
        <v>5.3982875E-2</v>
      </c>
      <c r="K401" s="77">
        <f t="shared" si="975"/>
        <v>4.3909623442983658E-3</v>
      </c>
      <c r="L401" s="76">
        <v>0</v>
      </c>
      <c r="M401" s="77">
        <f t="shared" si="991"/>
        <v>0</v>
      </c>
      <c r="N401" s="77">
        <f t="shared" si="992"/>
        <v>0</v>
      </c>
      <c r="O401" s="77">
        <f t="shared" si="993"/>
        <v>5.7293999999999999E-3</v>
      </c>
      <c r="P401" s="77">
        <f t="shared" si="994"/>
        <v>4.7870838039199004E-4</v>
      </c>
      <c r="R401" t="s">
        <v>177</v>
      </c>
      <c r="S401" t="s">
        <v>176</v>
      </c>
      <c r="T401" s="197" t="str">
        <f t="shared" si="926"/>
        <v>Autopilot_Balanced_144</v>
      </c>
      <c r="U401">
        <v>144</v>
      </c>
      <c r="V401">
        <f>VLOOKUP($U401,'[2]AP Balanced'!$Q$1:$T$542,2,FALSE)</f>
        <v>0.23950733333333318</v>
      </c>
      <c r="W401">
        <f>VLOOKUP($U401,'[2]AP Balanced'!$Q$1:$T$542,3,FALSE)</f>
        <v>0.76049266666666682</v>
      </c>
      <c r="X401">
        <f>VLOOKUP($U401,'[2]AP Balanced'!$Q$1:$T$542,4,FALSE)</f>
        <v>0</v>
      </c>
      <c r="Y401" s="77">
        <f t="shared" si="884"/>
        <v>1</v>
      </c>
      <c r="Z401" s="77">
        <f t="shared" si="873"/>
        <v>5.4529459849999989E-2</v>
      </c>
      <c r="AA401" s="77">
        <f t="shared" si="874"/>
        <v>4.4343576129459716E-3</v>
      </c>
      <c r="AB401" s="79">
        <v>1</v>
      </c>
      <c r="AC401" s="77">
        <f t="shared" si="995"/>
        <v>6.9790146666666667E-3</v>
      </c>
      <c r="AD401" s="77">
        <f t="shared" si="986"/>
        <v>5.8345321611008583E-4</v>
      </c>
      <c r="AE401" s="77">
        <f t="shared" si="996"/>
        <v>2.5000000000000001E-3</v>
      </c>
      <c r="AF401" s="77">
        <f t="shared" si="986"/>
        <v>2.0857243058891584E-4</v>
      </c>
      <c r="AH401" t="s">
        <v>175</v>
      </c>
      <c r="AI401" t="s">
        <v>176</v>
      </c>
      <c r="AJ401" s="197" t="str">
        <f t="shared" si="885"/>
        <v>Lifecycle_Balanced_144</v>
      </c>
      <c r="AK401">
        <v>144</v>
      </c>
      <c r="AL401">
        <f>VLOOKUP($U401,[2]Standard_Balanced!$Q$1:$T$542,2,FALSE)</f>
        <v>0.23950733333333318</v>
      </c>
      <c r="AM401">
        <f>VLOOKUP($U401,[2]Standard_Balanced!$Q$1:$T$542,3,FALSE)</f>
        <v>0.76049266666666682</v>
      </c>
      <c r="AN401">
        <f>VLOOKUP($U401,[2]Standard_Balanced!$Q$1:$T$542,4,FALSE)</f>
        <v>0</v>
      </c>
      <c r="AO401" s="77">
        <f t="shared" si="972"/>
        <v>1</v>
      </c>
      <c r="AP401" s="77">
        <f t="shared" si="997"/>
        <v>5.4529459849999989E-2</v>
      </c>
      <c r="AQ401" s="77">
        <f t="shared" si="886"/>
        <v>4.4343576129459716E-3</v>
      </c>
      <c r="AR401" s="79">
        <v>0</v>
      </c>
      <c r="AS401" s="77">
        <f t="shared" si="998"/>
        <v>0</v>
      </c>
      <c r="AT401" s="77">
        <f t="shared" ref="AT401" si="1026">1-(1-AS401)^(1/12)</f>
        <v>0</v>
      </c>
      <c r="AU401" s="77">
        <f t="shared" si="1000"/>
        <v>2.5000000000000001E-3</v>
      </c>
      <c r="AV401" s="77">
        <f t="shared" ref="AV401" si="1027">1-(1-AU401)^(1/12)</f>
        <v>2.0857243058891584E-4</v>
      </c>
      <c r="AX401" t="s">
        <v>178</v>
      </c>
      <c r="AY401" t="s">
        <v>160</v>
      </c>
      <c r="AZ401" s="197" t="str">
        <f t="shared" si="889"/>
        <v>DIS_Non-Standard_144</v>
      </c>
      <c r="BA401">
        <v>144</v>
      </c>
      <c r="BB401">
        <f>VLOOKUP($BA401,'[2]NonStandard DIS'!$Q$1:$X$542,2,FALSE)</f>
        <v>0</v>
      </c>
      <c r="BC401">
        <f>VLOOKUP($BA401,'[2]NonStandard DIS'!$Q$1:$X$542,3,FALSE)</f>
        <v>0.1</v>
      </c>
      <c r="BD401">
        <f>VLOOKUP($BA401,'[2]NonStandard DIS'!$Q$1:$X$542,4,FALSE)</f>
        <v>0.9</v>
      </c>
      <c r="BE401">
        <f>VLOOKUP($BA401,'[2]NonStandard DIS'!$Q$1:$X$542,5,FALSE)</f>
        <v>0</v>
      </c>
      <c r="BF401">
        <f>VLOOKUP($BA401,'[2]NonStandard DIS'!$Q$1:$X$542,6,FALSE)</f>
        <v>0</v>
      </c>
      <c r="BG401">
        <f>VLOOKUP($BA401,'[2]NonStandard DIS'!$Q$1:$X$542,7,FALSE)</f>
        <v>0</v>
      </c>
      <c r="BH401">
        <f>VLOOKUP($BA401,'[2]NonStandard DIS'!$Q$1:$X$542,8,FALSE)</f>
        <v>0</v>
      </c>
      <c r="BI401" s="77">
        <f t="shared" si="989"/>
        <v>1</v>
      </c>
      <c r="BJ401" s="77">
        <f t="shared" si="990"/>
        <v>6.2854999999999994E-2</v>
      </c>
      <c r="BK401" s="77">
        <f t="shared" si="971"/>
        <v>5.092814823417946E-3</v>
      </c>
      <c r="BL401" s="79">
        <v>0</v>
      </c>
      <c r="BM401" s="77">
        <f t="shared" si="1002"/>
        <v>0</v>
      </c>
      <c r="BN401" s="77">
        <f t="shared" si="1003"/>
        <v>0</v>
      </c>
      <c r="BO401" s="77">
        <f t="shared" si="1004"/>
        <v>7.0699999999999999E-3</v>
      </c>
      <c r="BP401" s="77">
        <f t="shared" si="1005"/>
        <v>5.872661004735491E-4</v>
      </c>
    </row>
    <row r="402" spans="1:68">
      <c r="A402" t="s">
        <v>175</v>
      </c>
      <c r="B402" t="s">
        <v>176</v>
      </c>
      <c r="C402" s="197" t="str">
        <f t="shared" si="883"/>
        <v>Lifecycle_Balanced_143</v>
      </c>
      <c r="D402">
        <v>143</v>
      </c>
      <c r="E402">
        <f>VLOOKUP($D402,'[2]LC Balanced'!$Q$2:$U$542,2,FALSE)</f>
        <v>0.22208333333333333</v>
      </c>
      <c r="F402">
        <f>VLOOKUP($D402,'[2]LC Balanced'!$Q$2:$U$542,3,FALSE)</f>
        <v>0.32741666666666669</v>
      </c>
      <c r="G402">
        <f>VLOOKUP($D402,'[2]LC Balanced'!$Q$2:$U$542,4,FALSE)</f>
        <v>0.45050000000000001</v>
      </c>
      <c r="H402">
        <f>VLOOKUP($D402,'[2]LC Balanced'!$Q$2:$U$542,5,FALSE)</f>
        <v>0</v>
      </c>
      <c r="I402" s="77">
        <f t="shared" si="984"/>
        <v>1</v>
      </c>
      <c r="J402" s="77">
        <f t="shared" si="985"/>
        <v>5.3916131249999999E-2</v>
      </c>
      <c r="K402" s="77">
        <f t="shared" si="975"/>
        <v>4.3856619130608898E-3</v>
      </c>
      <c r="L402" s="76">
        <v>0</v>
      </c>
      <c r="M402" s="77">
        <f t="shared" si="991"/>
        <v>0</v>
      </c>
      <c r="N402" s="77">
        <f t="shared" si="992"/>
        <v>0</v>
      </c>
      <c r="O402" s="77">
        <f t="shared" si="993"/>
        <v>5.7083583333333333E-3</v>
      </c>
      <c r="P402" s="77">
        <f t="shared" si="994"/>
        <v>4.7694566527134441E-4</v>
      </c>
      <c r="R402" t="s">
        <v>177</v>
      </c>
      <c r="S402" t="s">
        <v>176</v>
      </c>
      <c r="T402" s="197" t="str">
        <f t="shared" si="926"/>
        <v>Autopilot_Balanced_143</v>
      </c>
      <c r="U402">
        <v>143</v>
      </c>
      <c r="V402">
        <f>VLOOKUP($U402,'[2]AP Balanced'!$Q$1:$T$542,2,FALSE)</f>
        <v>0.23950733333333318</v>
      </c>
      <c r="W402">
        <f>VLOOKUP($U402,'[2]AP Balanced'!$Q$1:$T$542,3,FALSE)</f>
        <v>0.76049266666666682</v>
      </c>
      <c r="X402">
        <f>VLOOKUP($U402,'[2]AP Balanced'!$Q$1:$T$542,4,FALSE)</f>
        <v>0</v>
      </c>
      <c r="Y402" s="77">
        <f t="shared" si="884"/>
        <v>1</v>
      </c>
      <c r="Z402" s="77">
        <f t="shared" si="873"/>
        <v>5.4529459849999989E-2</v>
      </c>
      <c r="AA402" s="77">
        <f t="shared" si="874"/>
        <v>4.4343576129459716E-3</v>
      </c>
      <c r="AB402" s="79">
        <v>1</v>
      </c>
      <c r="AC402" s="77">
        <f t="shared" si="995"/>
        <v>6.9790146666666667E-3</v>
      </c>
      <c r="AD402" s="77">
        <f t="shared" si="986"/>
        <v>5.8345321611008583E-4</v>
      </c>
      <c r="AE402" s="77">
        <f t="shared" si="996"/>
        <v>2.5000000000000001E-3</v>
      </c>
      <c r="AF402" s="77">
        <f t="shared" si="986"/>
        <v>2.0857243058891584E-4</v>
      </c>
      <c r="AH402" t="s">
        <v>175</v>
      </c>
      <c r="AI402" t="s">
        <v>176</v>
      </c>
      <c r="AJ402" s="197" t="str">
        <f t="shared" si="885"/>
        <v>Lifecycle_Balanced_143</v>
      </c>
      <c r="AK402">
        <v>143</v>
      </c>
      <c r="AL402">
        <f>VLOOKUP($U402,[2]Standard_Balanced!$Q$1:$T$542,2,FALSE)</f>
        <v>0.23435422777777762</v>
      </c>
      <c r="AM402">
        <f>VLOOKUP($U402,[2]Standard_Balanced!$Q$1:$T$542,3,FALSE)</f>
        <v>0.76564577222222241</v>
      </c>
      <c r="AN402">
        <f>VLOOKUP($U402,[2]Standard_Balanced!$Q$1:$T$542,4,FALSE)</f>
        <v>0</v>
      </c>
      <c r="AO402" s="77">
        <f t="shared" si="972"/>
        <v>1</v>
      </c>
      <c r="AP402" s="77">
        <f t="shared" si="997"/>
        <v>5.4461052373749985E-2</v>
      </c>
      <c r="AQ402" s="77">
        <f t="shared" si="886"/>
        <v>4.4289276348463691E-3</v>
      </c>
      <c r="AR402" s="79">
        <v>0</v>
      </c>
      <c r="AS402" s="77">
        <f t="shared" si="998"/>
        <v>0</v>
      </c>
      <c r="AT402" s="77">
        <f t="shared" ref="AT402" si="1028">1-(1-AS402)^(1/12)</f>
        <v>0</v>
      </c>
      <c r="AU402" s="77">
        <f t="shared" si="1000"/>
        <v>2.5000000000000001E-3</v>
      </c>
      <c r="AV402" s="77">
        <f t="shared" ref="AV402" si="1029">1-(1-AU402)^(1/12)</f>
        <v>2.0857243058891584E-4</v>
      </c>
      <c r="AX402" t="s">
        <v>178</v>
      </c>
      <c r="AY402" t="s">
        <v>160</v>
      </c>
      <c r="AZ402" s="197" t="str">
        <f t="shared" si="889"/>
        <v>DIS_Non-Standard_143</v>
      </c>
      <c r="BA402">
        <v>143</v>
      </c>
      <c r="BB402">
        <f>VLOOKUP($BA402,'[2]NonStandard DIS'!$Q$1:$X$542,2,FALSE)</f>
        <v>0</v>
      </c>
      <c r="BC402">
        <f>VLOOKUP($BA402,'[2]NonStandard DIS'!$Q$1:$X$542,3,FALSE)</f>
        <v>0.10783333333333334</v>
      </c>
      <c r="BD402">
        <f>VLOOKUP($BA402,'[2]NonStandard DIS'!$Q$1:$X$542,4,FALSE)</f>
        <v>0.89216666666666666</v>
      </c>
      <c r="BE402">
        <f>VLOOKUP($BA402,'[2]NonStandard DIS'!$Q$1:$X$542,5,FALSE)</f>
        <v>0</v>
      </c>
      <c r="BF402">
        <f>VLOOKUP($BA402,'[2]NonStandard DIS'!$Q$1:$X$542,6,FALSE)</f>
        <v>0</v>
      </c>
      <c r="BG402">
        <f>VLOOKUP($BA402,'[2]NonStandard DIS'!$Q$1:$X$542,7,FALSE)</f>
        <v>0</v>
      </c>
      <c r="BH402">
        <f>VLOOKUP($BA402,'[2]NonStandard DIS'!$Q$1:$X$542,8,FALSE)</f>
        <v>0</v>
      </c>
      <c r="BI402" s="77">
        <f t="shared" si="989"/>
        <v>1</v>
      </c>
      <c r="BJ402" s="77">
        <f t="shared" si="990"/>
        <v>6.271634999999999E-2</v>
      </c>
      <c r="BK402" s="77">
        <f t="shared" si="971"/>
        <v>5.0818879290666086E-3</v>
      </c>
      <c r="BL402" s="79">
        <v>0</v>
      </c>
      <c r="BM402" s="77">
        <f t="shared" si="1002"/>
        <v>0</v>
      </c>
      <c r="BN402" s="77">
        <f t="shared" si="1003"/>
        <v>0</v>
      </c>
      <c r="BO402" s="77">
        <f t="shared" si="1004"/>
        <v>7.0598166666666663E-3</v>
      </c>
      <c r="BP402" s="77">
        <f t="shared" si="1005"/>
        <v>5.8642294815336449E-4</v>
      </c>
    </row>
    <row r="403" spans="1:68">
      <c r="A403" t="s">
        <v>175</v>
      </c>
      <c r="B403" t="s">
        <v>176</v>
      </c>
      <c r="C403" s="197" t="str">
        <f t="shared" si="883"/>
        <v>Lifecycle_Balanced_142</v>
      </c>
      <c r="D403">
        <v>142</v>
      </c>
      <c r="E403">
        <f>VLOOKUP($D403,'[2]LC Balanced'!$Q$2:$U$542,2,FALSE)</f>
        <v>0.22716666666666668</v>
      </c>
      <c r="F403">
        <f>VLOOKUP($D403,'[2]LC Balanced'!$Q$2:$U$542,3,FALSE)</f>
        <v>0.32483333333333336</v>
      </c>
      <c r="G403">
        <f>VLOOKUP($D403,'[2]LC Balanced'!$Q$2:$U$542,4,FALSE)</f>
        <v>0.44800000000000001</v>
      </c>
      <c r="H403">
        <f>VLOOKUP($D403,'[2]LC Balanced'!$Q$2:$U$542,5,FALSE)</f>
        <v>0</v>
      </c>
      <c r="I403" s="77">
        <f t="shared" si="984"/>
        <v>1</v>
      </c>
      <c r="J403" s="77">
        <f t="shared" si="985"/>
        <v>5.3849387499999998E-2</v>
      </c>
      <c r="K403" s="77">
        <f t="shared" si="975"/>
        <v>4.3803611741146664E-3</v>
      </c>
      <c r="L403" s="76">
        <v>0</v>
      </c>
      <c r="M403" s="77">
        <f t="shared" si="991"/>
        <v>0</v>
      </c>
      <c r="N403" s="77">
        <f t="shared" si="992"/>
        <v>0</v>
      </c>
      <c r="O403" s="77">
        <f t="shared" si="993"/>
        <v>5.6873166666666667E-3</v>
      </c>
      <c r="P403" s="77">
        <f t="shared" si="994"/>
        <v>4.7518298434512385E-4</v>
      </c>
      <c r="R403" t="s">
        <v>177</v>
      </c>
      <c r="S403" t="s">
        <v>176</v>
      </c>
      <c r="T403" s="197" t="str">
        <f t="shared" si="926"/>
        <v>Autopilot_Balanced_142</v>
      </c>
      <c r="U403">
        <v>142</v>
      </c>
      <c r="V403">
        <f>VLOOKUP($U403,'[2]AP Balanced'!$Q$1:$T$542,2,FALSE)</f>
        <v>0.23950733333333318</v>
      </c>
      <c r="W403">
        <f>VLOOKUP($U403,'[2]AP Balanced'!$Q$1:$T$542,3,FALSE)</f>
        <v>0.76049266666666682</v>
      </c>
      <c r="X403">
        <f>VLOOKUP($U403,'[2]AP Balanced'!$Q$1:$T$542,4,FALSE)</f>
        <v>0</v>
      </c>
      <c r="Y403" s="77">
        <f t="shared" si="884"/>
        <v>1</v>
      </c>
      <c r="Z403" s="77">
        <f t="shared" ref="Z403:Z466" si="1030">SUMPRODUCT($V$1:$X$1,V403:X403)</f>
        <v>5.4529459849999989E-2</v>
      </c>
      <c r="AA403" s="77">
        <f t="shared" ref="AA403:AA466" si="1031">(1+Z403)^(1/12)-1</f>
        <v>4.4343576129459716E-3</v>
      </c>
      <c r="AB403" s="79">
        <v>1</v>
      </c>
      <c r="AC403" s="77">
        <f t="shared" si="995"/>
        <v>6.9790146666666667E-3</v>
      </c>
      <c r="AD403" s="77">
        <f t="shared" si="986"/>
        <v>5.8345321611008583E-4</v>
      </c>
      <c r="AE403" s="77">
        <f t="shared" si="996"/>
        <v>2.5000000000000001E-3</v>
      </c>
      <c r="AF403" s="77">
        <f t="shared" si="986"/>
        <v>2.0857243058891584E-4</v>
      </c>
      <c r="AH403" t="s">
        <v>175</v>
      </c>
      <c r="AI403" t="s">
        <v>176</v>
      </c>
      <c r="AJ403" s="197" t="str">
        <f t="shared" si="885"/>
        <v>Lifecycle_Balanced_142</v>
      </c>
      <c r="AK403">
        <v>142</v>
      </c>
      <c r="AL403">
        <f>VLOOKUP($U403,[2]Standard_Balanced!$Q$1:$T$542,2,FALSE)</f>
        <v>0.22920112222222208</v>
      </c>
      <c r="AM403">
        <f>VLOOKUP($U403,[2]Standard_Balanced!$Q$1:$T$542,3,FALSE)</f>
        <v>0.77079887777777789</v>
      </c>
      <c r="AN403">
        <f>VLOOKUP($U403,[2]Standard_Balanced!$Q$1:$T$542,4,FALSE)</f>
        <v>0</v>
      </c>
      <c r="AO403" s="77">
        <f t="shared" si="972"/>
        <v>1</v>
      </c>
      <c r="AP403" s="77">
        <f t="shared" si="997"/>
        <v>5.4392644897499995E-2</v>
      </c>
      <c r="AQ403" s="77">
        <f t="shared" si="886"/>
        <v>4.4234973338264094E-3</v>
      </c>
      <c r="AR403" s="79">
        <v>0</v>
      </c>
      <c r="AS403" s="77">
        <f t="shared" si="998"/>
        <v>0</v>
      </c>
      <c r="AT403" s="77">
        <f t="shared" ref="AT403" si="1032">1-(1-AS403)^(1/12)</f>
        <v>0</v>
      </c>
      <c r="AU403" s="77">
        <f t="shared" si="1000"/>
        <v>2.5000000000000001E-3</v>
      </c>
      <c r="AV403" s="77">
        <f t="shared" ref="AV403" si="1033">1-(1-AU403)^(1/12)</f>
        <v>2.0857243058891584E-4</v>
      </c>
      <c r="AX403" t="s">
        <v>178</v>
      </c>
      <c r="AY403" t="s">
        <v>160</v>
      </c>
      <c r="AZ403" s="197" t="str">
        <f t="shared" si="889"/>
        <v>DIS_Non-Standard_142</v>
      </c>
      <c r="BA403">
        <v>142</v>
      </c>
      <c r="BB403">
        <f>VLOOKUP($BA403,'[2]NonStandard DIS'!$Q$1:$X$542,2,FALSE)</f>
        <v>0</v>
      </c>
      <c r="BC403">
        <f>VLOOKUP($BA403,'[2]NonStandard DIS'!$Q$1:$X$542,3,FALSE)</f>
        <v>0.11566666666666667</v>
      </c>
      <c r="BD403">
        <f>VLOOKUP($BA403,'[2]NonStandard DIS'!$Q$1:$X$542,4,FALSE)</f>
        <v>0.88433333333333342</v>
      </c>
      <c r="BE403">
        <f>VLOOKUP($BA403,'[2]NonStandard DIS'!$Q$1:$X$542,5,FALSE)</f>
        <v>0</v>
      </c>
      <c r="BF403">
        <f>VLOOKUP($BA403,'[2]NonStandard DIS'!$Q$1:$X$542,6,FALSE)</f>
        <v>0</v>
      </c>
      <c r="BG403">
        <f>VLOOKUP($BA403,'[2]NonStandard DIS'!$Q$1:$X$542,7,FALSE)</f>
        <v>0</v>
      </c>
      <c r="BH403">
        <f>VLOOKUP($BA403,'[2]NonStandard DIS'!$Q$1:$X$542,8,FALSE)</f>
        <v>0</v>
      </c>
      <c r="BI403" s="77">
        <f t="shared" si="989"/>
        <v>1</v>
      </c>
      <c r="BJ403" s="77">
        <f t="shared" si="990"/>
        <v>6.2577699999999986E-2</v>
      </c>
      <c r="BK403" s="77">
        <f t="shared" si="971"/>
        <v>5.070959727832669E-3</v>
      </c>
      <c r="BL403" s="79">
        <v>0</v>
      </c>
      <c r="BM403" s="77">
        <f t="shared" si="1002"/>
        <v>0</v>
      </c>
      <c r="BN403" s="77">
        <f t="shared" si="1003"/>
        <v>0</v>
      </c>
      <c r="BO403" s="77">
        <f t="shared" si="1004"/>
        <v>7.0496333333333345E-3</v>
      </c>
      <c r="BP403" s="77">
        <f t="shared" si="1005"/>
        <v>5.8557978801787591E-4</v>
      </c>
    </row>
    <row r="404" spans="1:68">
      <c r="A404" t="s">
        <v>175</v>
      </c>
      <c r="B404" t="s">
        <v>176</v>
      </c>
      <c r="C404" s="197" t="str">
        <f t="shared" si="883"/>
        <v>Lifecycle_Balanced_141</v>
      </c>
      <c r="D404">
        <v>141</v>
      </c>
      <c r="E404">
        <f>VLOOKUP($D404,'[2]LC Balanced'!$Q$2:$U$542,2,FALSE)</f>
        <v>0.23225000000000001</v>
      </c>
      <c r="F404">
        <f>VLOOKUP($D404,'[2]LC Balanced'!$Q$2:$U$542,3,FALSE)</f>
        <v>0.32225000000000004</v>
      </c>
      <c r="G404">
        <f>VLOOKUP($D404,'[2]LC Balanced'!$Q$2:$U$542,4,FALSE)</f>
        <v>0.44550000000000001</v>
      </c>
      <c r="H404">
        <f>VLOOKUP($D404,'[2]LC Balanced'!$Q$2:$U$542,5,FALSE)</f>
        <v>0</v>
      </c>
      <c r="I404" s="77">
        <f t="shared" si="984"/>
        <v>1</v>
      </c>
      <c r="J404" s="77">
        <f t="shared" si="985"/>
        <v>5.3782643749999998E-2</v>
      </c>
      <c r="K404" s="77">
        <f t="shared" si="975"/>
        <v>4.3750601274223921E-3</v>
      </c>
      <c r="L404" s="76">
        <v>0</v>
      </c>
      <c r="M404" s="77">
        <f t="shared" si="991"/>
        <v>0</v>
      </c>
      <c r="N404" s="77">
        <f t="shared" si="992"/>
        <v>0</v>
      </c>
      <c r="O404" s="77">
        <f t="shared" si="993"/>
        <v>5.6662750000000001E-3</v>
      </c>
      <c r="P404" s="77">
        <f t="shared" si="994"/>
        <v>4.7342033761199609E-4</v>
      </c>
      <c r="R404" t="s">
        <v>177</v>
      </c>
      <c r="S404" t="s">
        <v>176</v>
      </c>
      <c r="T404" s="197" t="str">
        <f t="shared" si="926"/>
        <v>Autopilot_Balanced_141</v>
      </c>
      <c r="U404">
        <v>141</v>
      </c>
      <c r="V404">
        <f>VLOOKUP($U404,'[2]AP Balanced'!$Q$1:$T$542,2,FALSE)</f>
        <v>0.23950733333333318</v>
      </c>
      <c r="W404">
        <f>VLOOKUP($U404,'[2]AP Balanced'!$Q$1:$T$542,3,FALSE)</f>
        <v>0.76049266666666682</v>
      </c>
      <c r="X404">
        <f>VLOOKUP($U404,'[2]AP Balanced'!$Q$1:$T$542,4,FALSE)</f>
        <v>0</v>
      </c>
      <c r="Y404" s="77">
        <f t="shared" si="884"/>
        <v>1</v>
      </c>
      <c r="Z404" s="77">
        <f t="shared" si="1030"/>
        <v>5.4529459849999989E-2</v>
      </c>
      <c r="AA404" s="77">
        <f t="shared" si="1031"/>
        <v>4.4343576129459716E-3</v>
      </c>
      <c r="AB404" s="79">
        <v>1</v>
      </c>
      <c r="AC404" s="77">
        <f t="shared" si="995"/>
        <v>6.9790146666666667E-3</v>
      </c>
      <c r="AD404" s="77">
        <f t="shared" si="986"/>
        <v>5.8345321611008583E-4</v>
      </c>
      <c r="AE404" s="77">
        <f t="shared" si="996"/>
        <v>2.5000000000000001E-3</v>
      </c>
      <c r="AF404" s="77">
        <f t="shared" si="986"/>
        <v>2.0857243058891584E-4</v>
      </c>
      <c r="AH404" t="s">
        <v>175</v>
      </c>
      <c r="AI404" t="s">
        <v>176</v>
      </c>
      <c r="AJ404" s="197" t="str">
        <f t="shared" si="885"/>
        <v>Lifecycle_Balanced_141</v>
      </c>
      <c r="AK404">
        <v>141</v>
      </c>
      <c r="AL404">
        <f>VLOOKUP($U404,[2]Standard_Balanced!$Q$1:$T$542,2,FALSE)</f>
        <v>0.22404801666666652</v>
      </c>
      <c r="AM404">
        <f>VLOOKUP($U404,[2]Standard_Balanced!$Q$1:$T$542,3,FALSE)</f>
        <v>0.77595198333333348</v>
      </c>
      <c r="AN404">
        <f>VLOOKUP($U404,[2]Standard_Balanced!$Q$1:$T$542,4,FALSE)</f>
        <v>0</v>
      </c>
      <c r="AO404" s="77">
        <f t="shared" si="972"/>
        <v>1</v>
      </c>
      <c r="AP404" s="77">
        <f t="shared" si="997"/>
        <v>5.4324237421249991E-2</v>
      </c>
      <c r="AQ404" s="77">
        <f t="shared" si="886"/>
        <v>4.4180667098459026E-3</v>
      </c>
      <c r="AR404" s="79">
        <v>0</v>
      </c>
      <c r="AS404" s="77">
        <f t="shared" si="998"/>
        <v>0</v>
      </c>
      <c r="AT404" s="77">
        <f t="shared" ref="AT404" si="1034">1-(1-AS404)^(1/12)</f>
        <v>0</v>
      </c>
      <c r="AU404" s="77">
        <f t="shared" si="1000"/>
        <v>2.5000000000000001E-3</v>
      </c>
      <c r="AV404" s="77">
        <f t="shared" ref="AV404" si="1035">1-(1-AU404)^(1/12)</f>
        <v>2.0857243058891584E-4</v>
      </c>
      <c r="AX404" t="s">
        <v>178</v>
      </c>
      <c r="AY404" t="s">
        <v>160</v>
      </c>
      <c r="AZ404" s="197" t="str">
        <f t="shared" si="889"/>
        <v>DIS_Non-Standard_141</v>
      </c>
      <c r="BA404">
        <v>141</v>
      </c>
      <c r="BB404">
        <f>VLOOKUP($BA404,'[2]NonStandard DIS'!$Q$1:$X$542,2,FALSE)</f>
        <v>0</v>
      </c>
      <c r="BC404">
        <f>VLOOKUP($BA404,'[2]NonStandard DIS'!$Q$1:$X$542,3,FALSE)</f>
        <v>0.1235</v>
      </c>
      <c r="BD404">
        <f>VLOOKUP($BA404,'[2]NonStandard DIS'!$Q$1:$X$542,4,FALSE)</f>
        <v>0.87650000000000006</v>
      </c>
      <c r="BE404">
        <f>VLOOKUP($BA404,'[2]NonStandard DIS'!$Q$1:$X$542,5,FALSE)</f>
        <v>0</v>
      </c>
      <c r="BF404">
        <f>VLOOKUP($BA404,'[2]NonStandard DIS'!$Q$1:$X$542,6,FALSE)</f>
        <v>0</v>
      </c>
      <c r="BG404">
        <f>VLOOKUP($BA404,'[2]NonStandard DIS'!$Q$1:$X$542,7,FALSE)</f>
        <v>0</v>
      </c>
      <c r="BH404">
        <f>VLOOKUP($BA404,'[2]NonStandard DIS'!$Q$1:$X$542,8,FALSE)</f>
        <v>0</v>
      </c>
      <c r="BI404" s="77">
        <f t="shared" si="989"/>
        <v>1</v>
      </c>
      <c r="BJ404" s="77">
        <f t="shared" si="990"/>
        <v>6.2439049999999996E-2</v>
      </c>
      <c r="BK404" s="77">
        <f t="shared" si="971"/>
        <v>5.0600302193888336E-3</v>
      </c>
      <c r="BL404" s="79">
        <v>0</v>
      </c>
      <c r="BM404" s="77">
        <f t="shared" si="1002"/>
        <v>0</v>
      </c>
      <c r="BN404" s="77">
        <f t="shared" si="1003"/>
        <v>0</v>
      </c>
      <c r="BO404" s="77">
        <f t="shared" si="1004"/>
        <v>7.03945E-3</v>
      </c>
      <c r="BP404" s="77">
        <f t="shared" si="1005"/>
        <v>5.8473662006686133E-4</v>
      </c>
    </row>
    <row r="405" spans="1:68">
      <c r="A405" t="s">
        <v>175</v>
      </c>
      <c r="B405" t="s">
        <v>176</v>
      </c>
      <c r="C405" s="197" t="str">
        <f t="shared" si="883"/>
        <v>Lifecycle_Balanced_140</v>
      </c>
      <c r="D405">
        <v>140</v>
      </c>
      <c r="E405">
        <f>VLOOKUP($D405,'[2]LC Balanced'!$Q$2:$U$542,2,FALSE)</f>
        <v>0.23733333333333334</v>
      </c>
      <c r="F405">
        <f>VLOOKUP($D405,'[2]LC Balanced'!$Q$2:$U$542,3,FALSE)</f>
        <v>0.31966666666666665</v>
      </c>
      <c r="G405">
        <f>VLOOKUP($D405,'[2]LC Balanced'!$Q$2:$U$542,4,FALSE)</f>
        <v>0.443</v>
      </c>
      <c r="H405">
        <f>VLOOKUP($D405,'[2]LC Balanced'!$Q$2:$U$542,5,FALSE)</f>
        <v>0</v>
      </c>
      <c r="I405" s="77">
        <f t="shared" si="984"/>
        <v>1</v>
      </c>
      <c r="J405" s="77">
        <f t="shared" si="985"/>
        <v>5.3715899999999997E-2</v>
      </c>
      <c r="K405" s="77">
        <f t="shared" si="975"/>
        <v>4.3697587729465415E-3</v>
      </c>
      <c r="L405" s="76">
        <v>0</v>
      </c>
      <c r="M405" s="77">
        <f t="shared" si="991"/>
        <v>0</v>
      </c>
      <c r="N405" s="77">
        <f t="shared" si="992"/>
        <v>0</v>
      </c>
      <c r="O405" s="77">
        <f t="shared" si="993"/>
        <v>5.6452333333333327E-3</v>
      </c>
      <c r="P405" s="77">
        <f t="shared" si="994"/>
        <v>4.7165772507062886E-4</v>
      </c>
      <c r="R405" t="s">
        <v>177</v>
      </c>
      <c r="S405" t="s">
        <v>176</v>
      </c>
      <c r="T405" s="197" t="str">
        <f t="shared" si="926"/>
        <v>Autopilot_Balanced_140</v>
      </c>
      <c r="U405">
        <v>140</v>
      </c>
      <c r="V405">
        <f>VLOOKUP($U405,'[2]AP Balanced'!$Q$1:$T$542,2,FALSE)</f>
        <v>0.23950733333333318</v>
      </c>
      <c r="W405">
        <f>VLOOKUP($U405,'[2]AP Balanced'!$Q$1:$T$542,3,FALSE)</f>
        <v>0.76049266666666682</v>
      </c>
      <c r="X405">
        <f>VLOOKUP($U405,'[2]AP Balanced'!$Q$1:$T$542,4,FALSE)</f>
        <v>0</v>
      </c>
      <c r="Y405" s="77">
        <f t="shared" si="884"/>
        <v>1</v>
      </c>
      <c r="Z405" s="77">
        <f t="shared" si="1030"/>
        <v>5.4529459849999989E-2</v>
      </c>
      <c r="AA405" s="77">
        <f t="shared" si="1031"/>
        <v>4.4343576129459716E-3</v>
      </c>
      <c r="AB405" s="79">
        <v>1</v>
      </c>
      <c r="AC405" s="77">
        <f t="shared" si="995"/>
        <v>6.9790146666666667E-3</v>
      </c>
      <c r="AD405" s="77">
        <f t="shared" si="986"/>
        <v>5.8345321611008583E-4</v>
      </c>
      <c r="AE405" s="77">
        <f t="shared" si="996"/>
        <v>2.5000000000000001E-3</v>
      </c>
      <c r="AF405" s="77">
        <f t="shared" si="986"/>
        <v>2.0857243058891584E-4</v>
      </c>
      <c r="AH405" t="s">
        <v>175</v>
      </c>
      <c r="AI405" t="s">
        <v>176</v>
      </c>
      <c r="AJ405" s="197" t="str">
        <f t="shared" si="885"/>
        <v>Lifecycle_Balanced_140</v>
      </c>
      <c r="AK405">
        <v>140</v>
      </c>
      <c r="AL405">
        <f>VLOOKUP($U405,[2]Standard_Balanced!$Q$1:$T$542,2,FALSE)</f>
        <v>0.21889491111111095</v>
      </c>
      <c r="AM405">
        <f>VLOOKUP($U405,[2]Standard_Balanced!$Q$1:$T$542,3,FALSE)</f>
        <v>0.78110508888888908</v>
      </c>
      <c r="AN405">
        <f>VLOOKUP($U405,[2]Standard_Balanced!$Q$1:$T$542,4,FALSE)</f>
        <v>0</v>
      </c>
      <c r="AO405" s="77">
        <f t="shared" si="972"/>
        <v>1</v>
      </c>
      <c r="AP405" s="77">
        <f t="shared" si="997"/>
        <v>5.4255829944999993E-2</v>
      </c>
      <c r="AQ405" s="77">
        <f t="shared" si="886"/>
        <v>4.4126357628646584E-3</v>
      </c>
      <c r="AR405" s="79">
        <v>0</v>
      </c>
      <c r="AS405" s="77">
        <f t="shared" si="998"/>
        <v>0</v>
      </c>
      <c r="AT405" s="77">
        <f t="shared" ref="AT405" si="1036">1-(1-AS405)^(1/12)</f>
        <v>0</v>
      </c>
      <c r="AU405" s="77">
        <f t="shared" si="1000"/>
        <v>2.5000000000000001E-3</v>
      </c>
      <c r="AV405" s="77">
        <f t="shared" ref="AV405" si="1037">1-(1-AU405)^(1/12)</f>
        <v>2.0857243058891584E-4</v>
      </c>
      <c r="AX405" t="s">
        <v>178</v>
      </c>
      <c r="AY405" t="s">
        <v>160</v>
      </c>
      <c r="AZ405" s="197" t="str">
        <f t="shared" si="889"/>
        <v>DIS_Non-Standard_140</v>
      </c>
      <c r="BA405">
        <v>140</v>
      </c>
      <c r="BB405">
        <f>VLOOKUP($BA405,'[2]NonStandard DIS'!$Q$1:$X$542,2,FALSE)</f>
        <v>0</v>
      </c>
      <c r="BC405">
        <f>VLOOKUP($BA405,'[2]NonStandard DIS'!$Q$1:$X$542,3,FALSE)</f>
        <v>0.13133333333333333</v>
      </c>
      <c r="BD405">
        <f>VLOOKUP($BA405,'[2]NonStandard DIS'!$Q$1:$X$542,4,FALSE)</f>
        <v>0.8686666666666667</v>
      </c>
      <c r="BE405">
        <f>VLOOKUP($BA405,'[2]NonStandard DIS'!$Q$1:$X$542,5,FALSE)</f>
        <v>0</v>
      </c>
      <c r="BF405">
        <f>VLOOKUP($BA405,'[2]NonStandard DIS'!$Q$1:$X$542,6,FALSE)</f>
        <v>0</v>
      </c>
      <c r="BG405">
        <f>VLOOKUP($BA405,'[2]NonStandard DIS'!$Q$1:$X$542,7,FALSE)</f>
        <v>0</v>
      </c>
      <c r="BH405">
        <f>VLOOKUP($BA405,'[2]NonStandard DIS'!$Q$1:$X$542,8,FALSE)</f>
        <v>0</v>
      </c>
      <c r="BI405" s="77">
        <f t="shared" si="989"/>
        <v>1</v>
      </c>
      <c r="BJ405" s="77">
        <f t="shared" si="990"/>
        <v>6.2300399999999992E-2</v>
      </c>
      <c r="BK405" s="77">
        <f t="shared" si="971"/>
        <v>5.0490994034082526E-3</v>
      </c>
      <c r="BL405" s="79">
        <v>0</v>
      </c>
      <c r="BM405" s="77">
        <f t="shared" si="1002"/>
        <v>0</v>
      </c>
      <c r="BN405" s="77">
        <f t="shared" si="1003"/>
        <v>0</v>
      </c>
      <c r="BO405" s="77">
        <f t="shared" si="1004"/>
        <v>7.0292666666666673E-3</v>
      </c>
      <c r="BP405" s="77">
        <f t="shared" si="1005"/>
        <v>5.8389344429987666E-4</v>
      </c>
    </row>
    <row r="406" spans="1:68">
      <c r="A406" t="s">
        <v>175</v>
      </c>
      <c r="B406" t="s">
        <v>176</v>
      </c>
      <c r="C406" s="197" t="str">
        <f t="shared" si="883"/>
        <v>Lifecycle_Balanced_139</v>
      </c>
      <c r="D406">
        <v>139</v>
      </c>
      <c r="E406">
        <f>VLOOKUP($D406,'[2]LC Balanced'!$Q$2:$U$542,2,FALSE)</f>
        <v>0.24241666666666667</v>
      </c>
      <c r="F406">
        <f>VLOOKUP($D406,'[2]LC Balanced'!$Q$2:$U$542,3,FALSE)</f>
        <v>0.31708333333333333</v>
      </c>
      <c r="G406">
        <f>VLOOKUP($D406,'[2]LC Balanced'!$Q$2:$U$542,4,FALSE)</f>
        <v>0.4405</v>
      </c>
      <c r="H406">
        <f>VLOOKUP($D406,'[2]LC Balanced'!$Q$2:$U$542,5,FALSE)</f>
        <v>0</v>
      </c>
      <c r="I406" s="77">
        <f t="shared" si="984"/>
        <v>1</v>
      </c>
      <c r="J406" s="77">
        <f t="shared" si="985"/>
        <v>5.3649156249999996E-2</v>
      </c>
      <c r="K406" s="77">
        <f t="shared" si="975"/>
        <v>4.3644571106500329E-3</v>
      </c>
      <c r="L406" s="76">
        <v>0</v>
      </c>
      <c r="M406" s="77">
        <f t="shared" si="991"/>
        <v>0</v>
      </c>
      <c r="N406" s="77">
        <f t="shared" si="992"/>
        <v>0</v>
      </c>
      <c r="O406" s="77">
        <f t="shared" si="993"/>
        <v>5.6241916666666669E-3</v>
      </c>
      <c r="P406" s="77">
        <f t="shared" si="994"/>
        <v>4.6989514671946786E-4</v>
      </c>
      <c r="R406" t="s">
        <v>177</v>
      </c>
      <c r="S406" t="s">
        <v>176</v>
      </c>
      <c r="T406" s="197" t="str">
        <f t="shared" si="926"/>
        <v>Autopilot_Balanced_139</v>
      </c>
      <c r="U406">
        <v>139</v>
      </c>
      <c r="V406">
        <f>VLOOKUP($U406,'[2]AP Balanced'!$Q$1:$T$542,2,FALSE)</f>
        <v>0.23950733333333318</v>
      </c>
      <c r="W406">
        <f>VLOOKUP($U406,'[2]AP Balanced'!$Q$1:$T$542,3,FALSE)</f>
        <v>0.76049266666666682</v>
      </c>
      <c r="X406">
        <f>VLOOKUP($U406,'[2]AP Balanced'!$Q$1:$T$542,4,FALSE)</f>
        <v>0</v>
      </c>
      <c r="Y406" s="77">
        <f t="shared" si="884"/>
        <v>1</v>
      </c>
      <c r="Z406" s="77">
        <f t="shared" si="1030"/>
        <v>5.4529459849999989E-2</v>
      </c>
      <c r="AA406" s="77">
        <f t="shared" si="1031"/>
        <v>4.4343576129459716E-3</v>
      </c>
      <c r="AB406" s="79">
        <v>1</v>
      </c>
      <c r="AC406" s="77">
        <f t="shared" si="995"/>
        <v>6.9790146666666667E-3</v>
      </c>
      <c r="AD406" s="77">
        <f t="shared" si="986"/>
        <v>5.8345321611008583E-4</v>
      </c>
      <c r="AE406" s="77">
        <f t="shared" si="996"/>
        <v>2.5000000000000001E-3</v>
      </c>
      <c r="AF406" s="77">
        <f t="shared" si="986"/>
        <v>2.0857243058891584E-4</v>
      </c>
      <c r="AH406" t="s">
        <v>175</v>
      </c>
      <c r="AI406" t="s">
        <v>176</v>
      </c>
      <c r="AJ406" s="197" t="str">
        <f t="shared" si="885"/>
        <v>Lifecycle_Balanced_139</v>
      </c>
      <c r="AK406">
        <v>139</v>
      </c>
      <c r="AL406">
        <f>VLOOKUP($U406,[2]Standard_Balanced!$Q$1:$T$542,2,FALSE)</f>
        <v>0.21374180555555541</v>
      </c>
      <c r="AM406">
        <f>VLOOKUP($U406,[2]Standard_Balanced!$Q$1:$T$542,3,FALSE)</f>
        <v>0.78625819444444456</v>
      </c>
      <c r="AN406">
        <f>VLOOKUP($U406,[2]Standard_Balanced!$Q$1:$T$542,4,FALSE)</f>
        <v>0</v>
      </c>
      <c r="AO406" s="77">
        <f t="shared" si="972"/>
        <v>1</v>
      </c>
      <c r="AP406" s="77">
        <f t="shared" si="997"/>
        <v>5.4187422468749989E-2</v>
      </c>
      <c r="AQ406" s="77">
        <f t="shared" si="886"/>
        <v>4.407204492842709E-3</v>
      </c>
      <c r="AR406" s="79">
        <v>0</v>
      </c>
      <c r="AS406" s="77">
        <f t="shared" si="998"/>
        <v>0</v>
      </c>
      <c r="AT406" s="77">
        <f t="shared" ref="AT406" si="1038">1-(1-AS406)^(1/12)</f>
        <v>0</v>
      </c>
      <c r="AU406" s="77">
        <f t="shared" si="1000"/>
        <v>2.4999999999999996E-3</v>
      </c>
      <c r="AV406" s="77">
        <f t="shared" ref="AV406" si="1039">1-(1-AU406)^(1/12)</f>
        <v>2.0857243058891584E-4</v>
      </c>
      <c r="AX406" t="s">
        <v>178</v>
      </c>
      <c r="AY406" t="s">
        <v>160</v>
      </c>
      <c r="AZ406" s="197" t="str">
        <f t="shared" si="889"/>
        <v>DIS_Non-Standard_139</v>
      </c>
      <c r="BA406">
        <v>139</v>
      </c>
      <c r="BB406">
        <f>VLOOKUP($BA406,'[2]NonStandard DIS'!$Q$1:$X$542,2,FALSE)</f>
        <v>0</v>
      </c>
      <c r="BC406">
        <f>VLOOKUP($BA406,'[2]NonStandard DIS'!$Q$1:$X$542,3,FALSE)</f>
        <v>0.13916666666666666</v>
      </c>
      <c r="BD406">
        <f>VLOOKUP($BA406,'[2]NonStandard DIS'!$Q$1:$X$542,4,FALSE)</f>
        <v>0.86083333333333334</v>
      </c>
      <c r="BE406">
        <f>VLOOKUP($BA406,'[2]NonStandard DIS'!$Q$1:$X$542,5,FALSE)</f>
        <v>0</v>
      </c>
      <c r="BF406">
        <f>VLOOKUP($BA406,'[2]NonStandard DIS'!$Q$1:$X$542,6,FALSE)</f>
        <v>0</v>
      </c>
      <c r="BG406">
        <f>VLOOKUP($BA406,'[2]NonStandard DIS'!$Q$1:$X$542,7,FALSE)</f>
        <v>0</v>
      </c>
      <c r="BH406">
        <f>VLOOKUP($BA406,'[2]NonStandard DIS'!$Q$1:$X$542,8,FALSE)</f>
        <v>0</v>
      </c>
      <c r="BI406" s="77">
        <f t="shared" si="989"/>
        <v>1</v>
      </c>
      <c r="BJ406" s="77">
        <f t="shared" si="990"/>
        <v>6.2161749999999988E-2</v>
      </c>
      <c r="BK406" s="77">
        <f t="shared" si="971"/>
        <v>5.0381672795638544E-3</v>
      </c>
      <c r="BL406" s="79">
        <v>0</v>
      </c>
      <c r="BM406" s="77">
        <f t="shared" si="1002"/>
        <v>0</v>
      </c>
      <c r="BN406" s="77">
        <f t="shared" si="1003"/>
        <v>0</v>
      </c>
      <c r="BO406" s="77">
        <f t="shared" si="1004"/>
        <v>7.0190833333333329E-3</v>
      </c>
      <c r="BP406" s="77">
        <f t="shared" si="1005"/>
        <v>5.8305026071714394E-4</v>
      </c>
    </row>
    <row r="407" spans="1:68">
      <c r="A407" t="s">
        <v>175</v>
      </c>
      <c r="B407" t="s">
        <v>176</v>
      </c>
      <c r="C407" s="197" t="str">
        <f t="shared" ref="C407:C470" si="1040">A407&amp;"_"&amp;B407&amp;"_"&amp;D407</f>
        <v>Lifecycle_Balanced_138</v>
      </c>
      <c r="D407">
        <v>138</v>
      </c>
      <c r="E407">
        <f>VLOOKUP($D407,'[2]LC Balanced'!$Q$2:$U$542,2,FALSE)</f>
        <v>0.2475</v>
      </c>
      <c r="F407">
        <f>VLOOKUP($D407,'[2]LC Balanced'!$Q$2:$U$542,3,FALSE)</f>
        <v>0.3145</v>
      </c>
      <c r="G407">
        <f>VLOOKUP($D407,'[2]LC Balanced'!$Q$2:$U$542,4,FALSE)</f>
        <v>0.438</v>
      </c>
      <c r="H407">
        <f>VLOOKUP($D407,'[2]LC Balanced'!$Q$2:$U$542,5,FALSE)</f>
        <v>0</v>
      </c>
      <c r="I407" s="77">
        <f t="shared" si="984"/>
        <v>1</v>
      </c>
      <c r="J407" s="77">
        <f t="shared" si="985"/>
        <v>5.3582412499999996E-2</v>
      </c>
      <c r="K407" s="77">
        <f t="shared" si="975"/>
        <v>4.359155140495119E-3</v>
      </c>
      <c r="L407" s="76">
        <v>0</v>
      </c>
      <c r="M407" s="77">
        <f t="shared" si="991"/>
        <v>0</v>
      </c>
      <c r="N407" s="77">
        <f t="shared" si="992"/>
        <v>0</v>
      </c>
      <c r="O407" s="77">
        <f t="shared" si="993"/>
        <v>5.6031499999999995E-3</v>
      </c>
      <c r="P407" s="77">
        <f t="shared" si="994"/>
        <v>4.6813260255718081E-4</v>
      </c>
      <c r="R407" t="s">
        <v>177</v>
      </c>
      <c r="S407" t="s">
        <v>176</v>
      </c>
      <c r="T407" s="197" t="str">
        <f t="shared" si="926"/>
        <v>Autopilot_Balanced_138</v>
      </c>
      <c r="U407">
        <v>138</v>
      </c>
      <c r="V407">
        <f>VLOOKUP($U407,'[2]AP Balanced'!$Q$1:$T$542,2,FALSE)</f>
        <v>0.23950733333333318</v>
      </c>
      <c r="W407">
        <f>VLOOKUP($U407,'[2]AP Balanced'!$Q$1:$T$542,3,FALSE)</f>
        <v>0.76049266666666682</v>
      </c>
      <c r="X407">
        <f>VLOOKUP($U407,'[2]AP Balanced'!$Q$1:$T$542,4,FALSE)</f>
        <v>0</v>
      </c>
      <c r="Y407" s="77">
        <f t="shared" ref="Y407:Y470" si="1041">SUM(V407:X407)</f>
        <v>1</v>
      </c>
      <c r="Z407" s="77">
        <f t="shared" si="1030"/>
        <v>5.4529459849999989E-2</v>
      </c>
      <c r="AA407" s="77">
        <f t="shared" si="1031"/>
        <v>4.4343576129459716E-3</v>
      </c>
      <c r="AB407" s="79">
        <v>1</v>
      </c>
      <c r="AC407" s="77">
        <f t="shared" si="995"/>
        <v>6.9790146666666667E-3</v>
      </c>
      <c r="AD407" s="77">
        <f t="shared" si="986"/>
        <v>5.8345321611008583E-4</v>
      </c>
      <c r="AE407" s="77">
        <f t="shared" si="996"/>
        <v>2.5000000000000001E-3</v>
      </c>
      <c r="AF407" s="77">
        <f t="shared" si="986"/>
        <v>2.0857243058891584E-4</v>
      </c>
      <c r="AH407" t="s">
        <v>175</v>
      </c>
      <c r="AI407" t="s">
        <v>176</v>
      </c>
      <c r="AJ407" s="197" t="str">
        <f t="shared" ref="AJ407:AJ470" si="1042">AH407&amp;"_"&amp;AI407&amp;"_"&amp;AK407</f>
        <v>Lifecycle_Balanced_138</v>
      </c>
      <c r="AK407">
        <v>138</v>
      </c>
      <c r="AL407">
        <f>VLOOKUP($U407,[2]Standard_Balanced!$Q$1:$T$542,2,FALSE)</f>
        <v>0.20858869999999985</v>
      </c>
      <c r="AM407">
        <f>VLOOKUP($U407,[2]Standard_Balanced!$Q$1:$T$542,3,FALSE)</f>
        <v>0.79141130000000015</v>
      </c>
      <c r="AN407">
        <f>VLOOKUP($U407,[2]Standard_Balanced!$Q$1:$T$542,4,FALSE)</f>
        <v>0</v>
      </c>
      <c r="AO407" s="77">
        <f t="shared" si="972"/>
        <v>1</v>
      </c>
      <c r="AP407" s="77">
        <f t="shared" si="997"/>
        <v>5.4119014992499992E-2</v>
      </c>
      <c r="AQ407" s="77">
        <f t="shared" ref="AQ407:AQ470" si="1043">(1+AP407)^(1/12)-1</f>
        <v>4.4017728997396421E-3</v>
      </c>
      <c r="AR407" s="79">
        <v>0</v>
      </c>
      <c r="AS407" s="77">
        <f t="shared" si="998"/>
        <v>0</v>
      </c>
      <c r="AT407" s="77">
        <f t="shared" ref="AT407" si="1044">1-(1-AS407)^(1/12)</f>
        <v>0</v>
      </c>
      <c r="AU407" s="77">
        <f t="shared" si="1000"/>
        <v>2.5000000000000001E-3</v>
      </c>
      <c r="AV407" s="77">
        <f t="shared" ref="AV407" si="1045">1-(1-AU407)^(1/12)</f>
        <v>2.0857243058891584E-4</v>
      </c>
      <c r="AX407" t="s">
        <v>178</v>
      </c>
      <c r="AY407" t="s">
        <v>160</v>
      </c>
      <c r="AZ407" s="197" t="str">
        <f t="shared" ref="AZ407:AZ470" si="1046">AX407&amp;"_"&amp;AY407&amp;"_"&amp;BA407</f>
        <v>DIS_Non-Standard_138</v>
      </c>
      <c r="BA407">
        <v>138</v>
      </c>
      <c r="BB407">
        <f>VLOOKUP($BA407,'[2]NonStandard DIS'!$Q$1:$X$542,2,FALSE)</f>
        <v>0</v>
      </c>
      <c r="BC407">
        <f>VLOOKUP($BA407,'[2]NonStandard DIS'!$Q$1:$X$542,3,FALSE)</f>
        <v>0.14700000000000002</v>
      </c>
      <c r="BD407">
        <f>VLOOKUP($BA407,'[2]NonStandard DIS'!$Q$1:$X$542,4,FALSE)</f>
        <v>0.85299999999999998</v>
      </c>
      <c r="BE407">
        <f>VLOOKUP($BA407,'[2]NonStandard DIS'!$Q$1:$X$542,5,FALSE)</f>
        <v>0</v>
      </c>
      <c r="BF407">
        <f>VLOOKUP($BA407,'[2]NonStandard DIS'!$Q$1:$X$542,6,FALSE)</f>
        <v>0</v>
      </c>
      <c r="BG407">
        <f>VLOOKUP($BA407,'[2]NonStandard DIS'!$Q$1:$X$542,7,FALSE)</f>
        <v>0</v>
      </c>
      <c r="BH407">
        <f>VLOOKUP($BA407,'[2]NonStandard DIS'!$Q$1:$X$542,8,FALSE)</f>
        <v>0</v>
      </c>
      <c r="BI407" s="77">
        <f t="shared" si="989"/>
        <v>1</v>
      </c>
      <c r="BJ407" s="77">
        <f t="shared" si="990"/>
        <v>6.2023099999999991E-2</v>
      </c>
      <c r="BK407" s="77">
        <f t="shared" si="971"/>
        <v>5.0272338475283451E-3</v>
      </c>
      <c r="BL407" s="79">
        <v>0</v>
      </c>
      <c r="BM407" s="77">
        <f t="shared" si="1002"/>
        <v>0</v>
      </c>
      <c r="BN407" s="77">
        <f t="shared" si="1003"/>
        <v>0</v>
      </c>
      <c r="BO407" s="77">
        <f t="shared" si="1004"/>
        <v>7.0089000000000002E-3</v>
      </c>
      <c r="BP407" s="77">
        <f t="shared" si="1005"/>
        <v>5.8220706931844113E-4</v>
      </c>
    </row>
    <row r="408" spans="1:68">
      <c r="A408" t="s">
        <v>175</v>
      </c>
      <c r="B408" t="s">
        <v>176</v>
      </c>
      <c r="C408" s="197" t="str">
        <f t="shared" si="1040"/>
        <v>Lifecycle_Balanced_137</v>
      </c>
      <c r="D408">
        <v>137</v>
      </c>
      <c r="E408">
        <f>VLOOKUP($D408,'[2]LC Balanced'!$Q$2:$U$542,2,FALSE)</f>
        <v>0.25258333333333333</v>
      </c>
      <c r="F408">
        <f>VLOOKUP($D408,'[2]LC Balanced'!$Q$2:$U$542,3,FALSE)</f>
        <v>0.31191666666666668</v>
      </c>
      <c r="G408">
        <f>VLOOKUP($D408,'[2]LC Balanced'!$Q$2:$U$542,4,FALSE)</f>
        <v>0.4355</v>
      </c>
      <c r="H408">
        <f>VLOOKUP($D408,'[2]LC Balanced'!$Q$2:$U$542,5,FALSE)</f>
        <v>0</v>
      </c>
      <c r="I408" s="77">
        <f t="shared" si="984"/>
        <v>1</v>
      </c>
      <c r="J408" s="77">
        <f t="shared" si="985"/>
        <v>5.3515668749999995E-2</v>
      </c>
      <c r="K408" s="77">
        <f t="shared" si="975"/>
        <v>4.3538528624449402E-3</v>
      </c>
      <c r="L408" s="76">
        <v>0</v>
      </c>
      <c r="M408" s="77">
        <f t="shared" si="991"/>
        <v>0</v>
      </c>
      <c r="N408" s="77">
        <f t="shared" si="992"/>
        <v>0</v>
      </c>
      <c r="O408" s="77">
        <f t="shared" si="993"/>
        <v>5.5821083333333337E-3</v>
      </c>
      <c r="P408" s="77">
        <f t="shared" si="994"/>
        <v>4.6637009258243545E-4</v>
      </c>
      <c r="R408" t="s">
        <v>177</v>
      </c>
      <c r="S408" t="s">
        <v>176</v>
      </c>
      <c r="T408" s="197" t="str">
        <f t="shared" si="926"/>
        <v>Autopilot_Balanced_137</v>
      </c>
      <c r="U408">
        <v>137</v>
      </c>
      <c r="V408">
        <f>VLOOKUP($U408,'[2]AP Balanced'!$Q$1:$T$542,2,FALSE)</f>
        <v>0.23950733333333318</v>
      </c>
      <c r="W408">
        <f>VLOOKUP($U408,'[2]AP Balanced'!$Q$1:$T$542,3,FALSE)</f>
        <v>0.76049266666666682</v>
      </c>
      <c r="X408">
        <f>VLOOKUP($U408,'[2]AP Balanced'!$Q$1:$T$542,4,FALSE)</f>
        <v>0</v>
      </c>
      <c r="Y408" s="77">
        <f t="shared" si="1041"/>
        <v>1</v>
      </c>
      <c r="Z408" s="77">
        <f t="shared" si="1030"/>
        <v>5.4529459849999989E-2</v>
      </c>
      <c r="AA408" s="77">
        <f t="shared" si="1031"/>
        <v>4.4343576129459716E-3</v>
      </c>
      <c r="AB408" s="79">
        <v>1</v>
      </c>
      <c r="AC408" s="77">
        <f t="shared" si="995"/>
        <v>6.9790146666666667E-3</v>
      </c>
      <c r="AD408" s="77">
        <f t="shared" si="986"/>
        <v>5.8345321611008583E-4</v>
      </c>
      <c r="AE408" s="77">
        <f t="shared" si="996"/>
        <v>2.5000000000000001E-3</v>
      </c>
      <c r="AF408" s="77">
        <f t="shared" si="986"/>
        <v>2.0857243058891584E-4</v>
      </c>
      <c r="AH408" t="s">
        <v>175</v>
      </c>
      <c r="AI408" t="s">
        <v>176</v>
      </c>
      <c r="AJ408" s="197" t="str">
        <f t="shared" si="1042"/>
        <v>Lifecycle_Balanced_137</v>
      </c>
      <c r="AK408">
        <v>137</v>
      </c>
      <c r="AL408">
        <f>VLOOKUP($U408,[2]Standard_Balanced!$Q$1:$T$542,2,FALSE)</f>
        <v>0.20343559444444428</v>
      </c>
      <c r="AM408">
        <f>VLOOKUP($U408,[2]Standard_Balanced!$Q$1:$T$542,3,FALSE)</f>
        <v>0.79656440555555574</v>
      </c>
      <c r="AN408">
        <f>VLOOKUP($U408,[2]Standard_Balanced!$Q$1:$T$542,4,FALSE)</f>
        <v>0</v>
      </c>
      <c r="AO408" s="77">
        <f t="shared" si="972"/>
        <v>1</v>
      </c>
      <c r="AP408" s="77">
        <f t="shared" si="997"/>
        <v>5.4050607516249995E-2</v>
      </c>
      <c r="AQ408" s="77">
        <f t="shared" si="1043"/>
        <v>4.3963409835152678E-3</v>
      </c>
      <c r="AR408" s="79">
        <v>0</v>
      </c>
      <c r="AS408" s="77">
        <f t="shared" si="998"/>
        <v>0</v>
      </c>
      <c r="AT408" s="77">
        <f t="shared" ref="AT408" si="1047">1-(1-AS408)^(1/12)</f>
        <v>0</v>
      </c>
      <c r="AU408" s="77">
        <f t="shared" si="1000"/>
        <v>2.5000000000000001E-3</v>
      </c>
      <c r="AV408" s="77">
        <f t="shared" ref="AV408" si="1048">1-(1-AU408)^(1/12)</f>
        <v>2.0857243058891584E-4</v>
      </c>
      <c r="AX408" t="s">
        <v>178</v>
      </c>
      <c r="AY408" t="s">
        <v>160</v>
      </c>
      <c r="AZ408" s="197" t="str">
        <f t="shared" si="1046"/>
        <v>DIS_Non-Standard_137</v>
      </c>
      <c r="BA408">
        <v>137</v>
      </c>
      <c r="BB408">
        <f>VLOOKUP($BA408,'[2]NonStandard DIS'!$Q$1:$X$542,2,FALSE)</f>
        <v>0</v>
      </c>
      <c r="BC408">
        <f>VLOOKUP($BA408,'[2]NonStandard DIS'!$Q$1:$X$542,3,FALSE)</f>
        <v>0.15483333333333335</v>
      </c>
      <c r="BD408">
        <f>VLOOKUP($BA408,'[2]NonStandard DIS'!$Q$1:$X$542,4,FALSE)</f>
        <v>0.84516666666666673</v>
      </c>
      <c r="BE408">
        <f>VLOOKUP($BA408,'[2]NonStandard DIS'!$Q$1:$X$542,5,FALSE)</f>
        <v>0</v>
      </c>
      <c r="BF408">
        <f>VLOOKUP($BA408,'[2]NonStandard DIS'!$Q$1:$X$542,6,FALSE)</f>
        <v>0</v>
      </c>
      <c r="BG408">
        <f>VLOOKUP($BA408,'[2]NonStandard DIS'!$Q$1:$X$542,7,FALSE)</f>
        <v>0</v>
      </c>
      <c r="BH408">
        <f>VLOOKUP($BA408,'[2]NonStandard DIS'!$Q$1:$X$542,8,FALSE)</f>
        <v>0</v>
      </c>
      <c r="BI408" s="77">
        <f t="shared" si="989"/>
        <v>1</v>
      </c>
      <c r="BJ408" s="77">
        <f t="shared" si="990"/>
        <v>6.1884449999999994E-2</v>
      </c>
      <c r="BK408" s="77">
        <f t="shared" si="971"/>
        <v>5.0162991069744312E-3</v>
      </c>
      <c r="BL408" s="79">
        <v>0</v>
      </c>
      <c r="BM408" s="77">
        <f t="shared" si="1002"/>
        <v>0</v>
      </c>
      <c r="BN408" s="77">
        <f t="shared" si="1003"/>
        <v>0</v>
      </c>
      <c r="BO408" s="77">
        <f t="shared" si="1004"/>
        <v>6.9987166666666675E-3</v>
      </c>
      <c r="BP408" s="77">
        <f t="shared" si="1005"/>
        <v>5.8136387010332413E-4</v>
      </c>
    </row>
    <row r="409" spans="1:68">
      <c r="A409" t="s">
        <v>175</v>
      </c>
      <c r="B409" t="s">
        <v>176</v>
      </c>
      <c r="C409" s="197" t="str">
        <f t="shared" si="1040"/>
        <v>Lifecycle_Balanced_136</v>
      </c>
      <c r="D409">
        <v>136</v>
      </c>
      <c r="E409">
        <f>VLOOKUP($D409,'[2]LC Balanced'!$Q$2:$U$542,2,FALSE)</f>
        <v>0.25766666666666671</v>
      </c>
      <c r="F409">
        <f>VLOOKUP($D409,'[2]LC Balanced'!$Q$2:$U$542,3,FALSE)</f>
        <v>0.30933333333333335</v>
      </c>
      <c r="G409">
        <f>VLOOKUP($D409,'[2]LC Balanced'!$Q$2:$U$542,4,FALSE)</f>
        <v>0.433</v>
      </c>
      <c r="H409">
        <f>VLOOKUP($D409,'[2]LC Balanced'!$Q$2:$U$542,5,FALSE)</f>
        <v>0</v>
      </c>
      <c r="I409" s="77">
        <f t="shared" si="984"/>
        <v>1</v>
      </c>
      <c r="J409" s="77">
        <f t="shared" si="985"/>
        <v>5.3448924999999994E-2</v>
      </c>
      <c r="K409" s="77">
        <f t="shared" si="975"/>
        <v>4.348550276461749E-3</v>
      </c>
      <c r="L409" s="76">
        <v>0</v>
      </c>
      <c r="M409" s="77">
        <f t="shared" si="991"/>
        <v>0</v>
      </c>
      <c r="N409" s="77">
        <f t="shared" si="992"/>
        <v>0</v>
      </c>
      <c r="O409" s="77">
        <f t="shared" si="993"/>
        <v>5.5610666666666662E-3</v>
      </c>
      <c r="P409" s="77">
        <f t="shared" si="994"/>
        <v>4.646076167938995E-4</v>
      </c>
      <c r="R409" t="s">
        <v>177</v>
      </c>
      <c r="S409" t="s">
        <v>176</v>
      </c>
      <c r="T409" s="197" t="str">
        <f t="shared" si="926"/>
        <v>Autopilot_Balanced_136</v>
      </c>
      <c r="U409">
        <v>136</v>
      </c>
      <c r="V409">
        <f>VLOOKUP($U409,'[2]AP Balanced'!$Q$1:$T$542,2,FALSE)</f>
        <v>0.23950733333333318</v>
      </c>
      <c r="W409">
        <f>VLOOKUP($U409,'[2]AP Balanced'!$Q$1:$T$542,3,FALSE)</f>
        <v>0.76049266666666682</v>
      </c>
      <c r="X409">
        <f>VLOOKUP($U409,'[2]AP Balanced'!$Q$1:$T$542,4,FALSE)</f>
        <v>0</v>
      </c>
      <c r="Y409" s="77">
        <f t="shared" si="1041"/>
        <v>1</v>
      </c>
      <c r="Z409" s="77">
        <f t="shared" si="1030"/>
        <v>5.4529459849999989E-2</v>
      </c>
      <c r="AA409" s="77">
        <f t="shared" si="1031"/>
        <v>4.4343576129459716E-3</v>
      </c>
      <c r="AB409" s="79">
        <v>1</v>
      </c>
      <c r="AC409" s="77">
        <f t="shared" si="995"/>
        <v>6.9790146666666667E-3</v>
      </c>
      <c r="AD409" s="77">
        <f t="shared" si="986"/>
        <v>5.8345321611008583E-4</v>
      </c>
      <c r="AE409" s="77">
        <f t="shared" si="996"/>
        <v>2.5000000000000001E-3</v>
      </c>
      <c r="AF409" s="77">
        <f t="shared" si="986"/>
        <v>2.0857243058891584E-4</v>
      </c>
      <c r="AH409" t="s">
        <v>175</v>
      </c>
      <c r="AI409" t="s">
        <v>176</v>
      </c>
      <c r="AJ409" s="197" t="str">
        <f t="shared" si="1042"/>
        <v>Lifecycle_Balanced_136</v>
      </c>
      <c r="AK409">
        <v>136</v>
      </c>
      <c r="AL409">
        <f>VLOOKUP($U409,[2]Standard_Balanced!$Q$1:$T$542,2,FALSE)</f>
        <v>0.19828248888888875</v>
      </c>
      <c r="AM409">
        <f>VLOOKUP($U409,[2]Standard_Balanced!$Q$1:$T$542,3,FALSE)</f>
        <v>0.80171751111111123</v>
      </c>
      <c r="AN409">
        <f>VLOOKUP($U409,[2]Standard_Balanced!$Q$1:$T$542,4,FALSE)</f>
        <v>0</v>
      </c>
      <c r="AO409" s="77">
        <f t="shared" si="972"/>
        <v>1</v>
      </c>
      <c r="AP409" s="77">
        <f t="shared" si="997"/>
        <v>5.398220003999999E-2</v>
      </c>
      <c r="AQ409" s="77">
        <f t="shared" si="1043"/>
        <v>4.3909087441293959E-3</v>
      </c>
      <c r="AR409" s="79">
        <v>0</v>
      </c>
      <c r="AS409" s="77">
        <f t="shared" si="998"/>
        <v>0</v>
      </c>
      <c r="AT409" s="77">
        <f t="shared" ref="AT409" si="1049">1-(1-AS409)^(1/12)</f>
        <v>0</v>
      </c>
      <c r="AU409" s="77">
        <f t="shared" si="1000"/>
        <v>2.5000000000000001E-3</v>
      </c>
      <c r="AV409" s="77">
        <f t="shared" ref="AV409" si="1050">1-(1-AU409)^(1/12)</f>
        <v>2.0857243058891584E-4</v>
      </c>
      <c r="AX409" t="s">
        <v>178</v>
      </c>
      <c r="AY409" t="s">
        <v>160</v>
      </c>
      <c r="AZ409" s="197" t="str">
        <f t="shared" si="1046"/>
        <v>DIS_Non-Standard_136</v>
      </c>
      <c r="BA409">
        <v>136</v>
      </c>
      <c r="BB409">
        <f>VLOOKUP($BA409,'[2]NonStandard DIS'!$Q$1:$X$542,2,FALSE)</f>
        <v>0</v>
      </c>
      <c r="BC409">
        <f>VLOOKUP($BA409,'[2]NonStandard DIS'!$Q$1:$X$542,3,FALSE)</f>
        <v>0.16266666666666668</v>
      </c>
      <c r="BD409">
        <f>VLOOKUP($BA409,'[2]NonStandard DIS'!$Q$1:$X$542,4,FALSE)</f>
        <v>0.83733333333333337</v>
      </c>
      <c r="BE409">
        <f>VLOOKUP($BA409,'[2]NonStandard DIS'!$Q$1:$X$542,5,FALSE)</f>
        <v>0</v>
      </c>
      <c r="BF409">
        <f>VLOOKUP($BA409,'[2]NonStandard DIS'!$Q$1:$X$542,6,FALSE)</f>
        <v>0</v>
      </c>
      <c r="BG409">
        <f>VLOOKUP($BA409,'[2]NonStandard DIS'!$Q$1:$X$542,7,FALSE)</f>
        <v>0</v>
      </c>
      <c r="BH409">
        <f>VLOOKUP($BA409,'[2]NonStandard DIS'!$Q$1:$X$542,8,FALSE)</f>
        <v>0</v>
      </c>
      <c r="BI409" s="77">
        <f t="shared" si="989"/>
        <v>1</v>
      </c>
      <c r="BJ409" s="77">
        <f t="shared" si="990"/>
        <v>6.174579999999999E-2</v>
      </c>
      <c r="BK409" s="77">
        <f t="shared" si="971"/>
        <v>5.0053630575745967E-3</v>
      </c>
      <c r="BL409" s="79">
        <v>0</v>
      </c>
      <c r="BM409" s="77">
        <f t="shared" si="1002"/>
        <v>0</v>
      </c>
      <c r="BN409" s="77">
        <f t="shared" si="1003"/>
        <v>0</v>
      </c>
      <c r="BO409" s="77">
        <f t="shared" si="1004"/>
        <v>6.9885333333333331E-3</v>
      </c>
      <c r="BP409" s="77">
        <f t="shared" si="1005"/>
        <v>5.8052066307179295E-4</v>
      </c>
    </row>
    <row r="410" spans="1:68">
      <c r="A410" t="s">
        <v>175</v>
      </c>
      <c r="B410" t="s">
        <v>176</v>
      </c>
      <c r="C410" s="197" t="str">
        <f t="shared" si="1040"/>
        <v>Lifecycle_Balanced_135</v>
      </c>
      <c r="D410">
        <v>135</v>
      </c>
      <c r="E410">
        <f>VLOOKUP($D410,'[2]LC Balanced'!$Q$2:$U$542,2,FALSE)</f>
        <v>0.26275000000000004</v>
      </c>
      <c r="F410">
        <f>VLOOKUP($D410,'[2]LC Balanced'!$Q$2:$U$542,3,FALSE)</f>
        <v>0.30674999999999997</v>
      </c>
      <c r="G410">
        <f>VLOOKUP($D410,'[2]LC Balanced'!$Q$2:$U$542,4,FALSE)</f>
        <v>0.43049999999999999</v>
      </c>
      <c r="H410">
        <f>VLOOKUP($D410,'[2]LC Balanced'!$Q$2:$U$542,5,FALSE)</f>
        <v>0</v>
      </c>
      <c r="I410" s="77">
        <f t="shared" si="984"/>
        <v>1</v>
      </c>
      <c r="J410" s="77">
        <f t="shared" si="985"/>
        <v>5.3382181249999994E-2</v>
      </c>
      <c r="K410" s="77">
        <f t="shared" si="975"/>
        <v>4.3432473825080198E-3</v>
      </c>
      <c r="L410" s="76">
        <v>0</v>
      </c>
      <c r="M410" s="77">
        <f t="shared" si="991"/>
        <v>0</v>
      </c>
      <c r="N410" s="77">
        <f t="shared" si="992"/>
        <v>0</v>
      </c>
      <c r="O410" s="77">
        <f t="shared" si="993"/>
        <v>5.5400249999999988E-3</v>
      </c>
      <c r="P410" s="77">
        <f t="shared" si="994"/>
        <v>4.6284517519001867E-4</v>
      </c>
      <c r="R410" t="s">
        <v>177</v>
      </c>
      <c r="S410" t="s">
        <v>176</v>
      </c>
      <c r="T410" s="197" t="str">
        <f t="shared" si="926"/>
        <v>Autopilot_Balanced_135</v>
      </c>
      <c r="U410">
        <v>135</v>
      </c>
      <c r="V410">
        <f>VLOOKUP($U410,'[2]AP Balanced'!$Q$1:$T$542,2,FALSE)</f>
        <v>0.23950733333333318</v>
      </c>
      <c r="W410">
        <f>VLOOKUP($U410,'[2]AP Balanced'!$Q$1:$T$542,3,FALSE)</f>
        <v>0.76049266666666682</v>
      </c>
      <c r="X410">
        <f>VLOOKUP($U410,'[2]AP Balanced'!$Q$1:$T$542,4,FALSE)</f>
        <v>0</v>
      </c>
      <c r="Y410" s="77">
        <f t="shared" si="1041"/>
        <v>1</v>
      </c>
      <c r="Z410" s="77">
        <f t="shared" si="1030"/>
        <v>5.4529459849999989E-2</v>
      </c>
      <c r="AA410" s="77">
        <f t="shared" si="1031"/>
        <v>4.4343576129459716E-3</v>
      </c>
      <c r="AB410" s="79">
        <v>1</v>
      </c>
      <c r="AC410" s="77">
        <f t="shared" si="995"/>
        <v>6.9790146666666667E-3</v>
      </c>
      <c r="AD410" s="77">
        <f t="shared" si="986"/>
        <v>5.8345321611008583E-4</v>
      </c>
      <c r="AE410" s="77">
        <f t="shared" si="996"/>
        <v>2.5000000000000001E-3</v>
      </c>
      <c r="AF410" s="77">
        <f t="shared" si="986"/>
        <v>2.0857243058891584E-4</v>
      </c>
      <c r="AH410" t="s">
        <v>175</v>
      </c>
      <c r="AI410" t="s">
        <v>176</v>
      </c>
      <c r="AJ410" s="197" t="str">
        <f t="shared" si="1042"/>
        <v>Lifecycle_Balanced_135</v>
      </c>
      <c r="AK410">
        <v>135</v>
      </c>
      <c r="AL410">
        <f>VLOOKUP($U410,[2]Standard_Balanced!$Q$1:$T$542,2,FALSE)</f>
        <v>0.19312938333333318</v>
      </c>
      <c r="AM410">
        <f>VLOOKUP($U410,[2]Standard_Balanced!$Q$1:$T$542,3,FALSE)</f>
        <v>0.80687061666666682</v>
      </c>
      <c r="AN410">
        <f>VLOOKUP($U410,[2]Standard_Balanced!$Q$1:$T$542,4,FALSE)</f>
        <v>0</v>
      </c>
      <c r="AO410" s="77">
        <f t="shared" si="972"/>
        <v>1</v>
      </c>
      <c r="AP410" s="77">
        <f t="shared" si="997"/>
        <v>5.3913792563749993E-2</v>
      </c>
      <c r="AQ410" s="77">
        <f t="shared" si="1043"/>
        <v>4.3854761815420584E-3</v>
      </c>
      <c r="AR410" s="79">
        <v>0</v>
      </c>
      <c r="AS410" s="77">
        <f t="shared" si="998"/>
        <v>0</v>
      </c>
      <c r="AT410" s="77">
        <f t="shared" ref="AT410" si="1051">1-(1-AS410)^(1/12)</f>
        <v>0</v>
      </c>
      <c r="AU410" s="77">
        <f t="shared" si="1000"/>
        <v>2.5000000000000001E-3</v>
      </c>
      <c r="AV410" s="77">
        <f t="shared" ref="AV410" si="1052">1-(1-AU410)^(1/12)</f>
        <v>2.0857243058891584E-4</v>
      </c>
      <c r="AX410" t="s">
        <v>178</v>
      </c>
      <c r="AY410" t="s">
        <v>160</v>
      </c>
      <c r="AZ410" s="197" t="str">
        <f t="shared" si="1046"/>
        <v>DIS_Non-Standard_135</v>
      </c>
      <c r="BA410">
        <v>135</v>
      </c>
      <c r="BB410">
        <f>VLOOKUP($BA410,'[2]NonStandard DIS'!$Q$1:$X$542,2,FALSE)</f>
        <v>0</v>
      </c>
      <c r="BC410">
        <f>VLOOKUP($BA410,'[2]NonStandard DIS'!$Q$1:$X$542,3,FALSE)</f>
        <v>0.17050000000000001</v>
      </c>
      <c r="BD410">
        <f>VLOOKUP($BA410,'[2]NonStandard DIS'!$Q$1:$X$542,4,FALSE)</f>
        <v>0.82950000000000002</v>
      </c>
      <c r="BE410">
        <f>VLOOKUP($BA410,'[2]NonStandard DIS'!$Q$1:$X$542,5,FALSE)</f>
        <v>0</v>
      </c>
      <c r="BF410">
        <f>VLOOKUP($BA410,'[2]NonStandard DIS'!$Q$1:$X$542,6,FALSE)</f>
        <v>0</v>
      </c>
      <c r="BG410">
        <f>VLOOKUP($BA410,'[2]NonStandard DIS'!$Q$1:$X$542,7,FALSE)</f>
        <v>0</v>
      </c>
      <c r="BH410">
        <f>VLOOKUP($BA410,'[2]NonStandard DIS'!$Q$1:$X$542,8,FALSE)</f>
        <v>0</v>
      </c>
      <c r="BI410" s="77">
        <f t="shared" si="989"/>
        <v>1</v>
      </c>
      <c r="BJ410" s="77">
        <f t="shared" si="990"/>
        <v>6.1607149999999992E-2</v>
      </c>
      <c r="BK410" s="77">
        <f t="shared" si="971"/>
        <v>4.9944256990011038E-3</v>
      </c>
      <c r="BL410" s="79">
        <v>0</v>
      </c>
      <c r="BM410" s="77">
        <f t="shared" si="1002"/>
        <v>0</v>
      </c>
      <c r="BN410" s="77">
        <f t="shared" si="1003"/>
        <v>0</v>
      </c>
      <c r="BO410" s="77">
        <f t="shared" si="1004"/>
        <v>6.9783500000000004E-3</v>
      </c>
      <c r="BP410" s="77">
        <f t="shared" si="1005"/>
        <v>5.7967744822406964E-4</v>
      </c>
    </row>
    <row r="411" spans="1:68">
      <c r="A411" t="s">
        <v>175</v>
      </c>
      <c r="B411" t="s">
        <v>176</v>
      </c>
      <c r="C411" s="197" t="str">
        <f t="shared" si="1040"/>
        <v>Lifecycle_Balanced_134</v>
      </c>
      <c r="D411">
        <v>134</v>
      </c>
      <c r="E411">
        <f>VLOOKUP($D411,'[2]LC Balanced'!$Q$2:$U$542,2,FALSE)</f>
        <v>0.26783333333333337</v>
      </c>
      <c r="F411">
        <f>VLOOKUP($D411,'[2]LC Balanced'!$Q$2:$U$542,3,FALSE)</f>
        <v>0.30416666666666664</v>
      </c>
      <c r="G411">
        <f>VLOOKUP($D411,'[2]LC Balanced'!$Q$2:$U$542,4,FALSE)</f>
        <v>0.42799999999999999</v>
      </c>
      <c r="H411">
        <f>VLOOKUP($D411,'[2]LC Balanced'!$Q$2:$U$542,5,FALSE)</f>
        <v>0</v>
      </c>
      <c r="I411" s="77">
        <f t="shared" si="984"/>
        <v>1</v>
      </c>
      <c r="J411" s="77">
        <f t="shared" si="985"/>
        <v>5.3315437499999993E-2</v>
      </c>
      <c r="K411" s="77">
        <f t="shared" si="975"/>
        <v>4.3379441805468932E-3</v>
      </c>
      <c r="L411" s="76">
        <v>0</v>
      </c>
      <c r="M411" s="77">
        <f t="shared" si="991"/>
        <v>0</v>
      </c>
      <c r="N411" s="77">
        <f t="shared" si="992"/>
        <v>0</v>
      </c>
      <c r="O411" s="77">
        <f t="shared" si="993"/>
        <v>5.518983333333333E-3</v>
      </c>
      <c r="P411" s="77">
        <f t="shared" si="994"/>
        <v>4.6108276776957169E-4</v>
      </c>
      <c r="R411" t="s">
        <v>177</v>
      </c>
      <c r="S411" t="s">
        <v>176</v>
      </c>
      <c r="T411" s="197" t="str">
        <f t="shared" si="926"/>
        <v>Autopilot_Balanced_134</v>
      </c>
      <c r="U411">
        <v>134</v>
      </c>
      <c r="V411">
        <f>VLOOKUP($U411,'[2]AP Balanced'!$Q$1:$T$542,2,FALSE)</f>
        <v>0.23950733333333318</v>
      </c>
      <c r="W411">
        <f>VLOOKUP($U411,'[2]AP Balanced'!$Q$1:$T$542,3,FALSE)</f>
        <v>0.76049266666666682</v>
      </c>
      <c r="X411">
        <f>VLOOKUP($U411,'[2]AP Balanced'!$Q$1:$T$542,4,FALSE)</f>
        <v>0</v>
      </c>
      <c r="Y411" s="77">
        <f t="shared" si="1041"/>
        <v>1</v>
      </c>
      <c r="Z411" s="77">
        <f t="shared" si="1030"/>
        <v>5.4529459849999989E-2</v>
      </c>
      <c r="AA411" s="77">
        <f t="shared" si="1031"/>
        <v>4.4343576129459716E-3</v>
      </c>
      <c r="AB411" s="79">
        <v>1</v>
      </c>
      <c r="AC411" s="77">
        <f t="shared" si="995"/>
        <v>6.9790146666666667E-3</v>
      </c>
      <c r="AD411" s="77">
        <f t="shared" si="986"/>
        <v>5.8345321611008583E-4</v>
      </c>
      <c r="AE411" s="77">
        <f t="shared" si="996"/>
        <v>2.5000000000000001E-3</v>
      </c>
      <c r="AF411" s="77">
        <f t="shared" si="986"/>
        <v>2.0857243058891584E-4</v>
      </c>
      <c r="AH411" t="s">
        <v>175</v>
      </c>
      <c r="AI411" t="s">
        <v>176</v>
      </c>
      <c r="AJ411" s="197" t="str">
        <f t="shared" si="1042"/>
        <v>Lifecycle_Balanced_134</v>
      </c>
      <c r="AK411">
        <v>134</v>
      </c>
      <c r="AL411">
        <f>VLOOKUP($U411,[2]Standard_Balanced!$Q$1:$T$542,2,FALSE)</f>
        <v>0.18797627777777762</v>
      </c>
      <c r="AM411">
        <f>VLOOKUP($U411,[2]Standard_Balanced!$Q$1:$T$542,3,FALSE)</f>
        <v>0.81202372222222241</v>
      </c>
      <c r="AN411">
        <f>VLOOKUP($U411,[2]Standard_Balanced!$Q$1:$T$542,4,FALSE)</f>
        <v>0</v>
      </c>
      <c r="AO411" s="77">
        <f t="shared" si="972"/>
        <v>1</v>
      </c>
      <c r="AP411" s="77">
        <f t="shared" si="997"/>
        <v>5.3845385087499989E-2</v>
      </c>
      <c r="AQ411" s="77">
        <f t="shared" si="1043"/>
        <v>4.3800432957126212E-3</v>
      </c>
      <c r="AR411" s="79">
        <v>0</v>
      </c>
      <c r="AS411" s="77">
        <f t="shared" si="998"/>
        <v>0</v>
      </c>
      <c r="AT411" s="77">
        <f t="shared" ref="AT411" si="1053">1-(1-AS411)^(1/12)</f>
        <v>0</v>
      </c>
      <c r="AU411" s="77">
        <f t="shared" si="1000"/>
        <v>2.5000000000000001E-3</v>
      </c>
      <c r="AV411" s="77">
        <f t="shared" ref="AV411" si="1054">1-(1-AU411)^(1/12)</f>
        <v>2.0857243058891584E-4</v>
      </c>
      <c r="AX411" t="s">
        <v>178</v>
      </c>
      <c r="AY411" t="s">
        <v>160</v>
      </c>
      <c r="AZ411" s="197" t="str">
        <f t="shared" si="1046"/>
        <v>DIS_Non-Standard_134</v>
      </c>
      <c r="BA411">
        <v>134</v>
      </c>
      <c r="BB411">
        <f>VLOOKUP($BA411,'[2]NonStandard DIS'!$Q$1:$X$542,2,FALSE)</f>
        <v>0</v>
      </c>
      <c r="BC411">
        <f>VLOOKUP($BA411,'[2]NonStandard DIS'!$Q$1:$X$542,3,FALSE)</f>
        <v>0.17833333333333334</v>
      </c>
      <c r="BD411">
        <f>VLOOKUP($BA411,'[2]NonStandard DIS'!$Q$1:$X$542,4,FALSE)</f>
        <v>0.82166666666666677</v>
      </c>
      <c r="BE411">
        <f>VLOOKUP($BA411,'[2]NonStandard DIS'!$Q$1:$X$542,5,FALSE)</f>
        <v>0</v>
      </c>
      <c r="BF411">
        <f>VLOOKUP($BA411,'[2]NonStandard DIS'!$Q$1:$X$542,6,FALSE)</f>
        <v>0</v>
      </c>
      <c r="BG411">
        <f>VLOOKUP($BA411,'[2]NonStandard DIS'!$Q$1:$X$542,7,FALSE)</f>
        <v>0</v>
      </c>
      <c r="BH411">
        <f>VLOOKUP($BA411,'[2]NonStandard DIS'!$Q$1:$X$542,8,FALSE)</f>
        <v>0</v>
      </c>
      <c r="BI411" s="77">
        <f t="shared" si="989"/>
        <v>1</v>
      </c>
      <c r="BJ411" s="77">
        <f t="shared" si="990"/>
        <v>6.1468499999999995E-2</v>
      </c>
      <c r="BK411" s="77">
        <f t="shared" si="971"/>
        <v>4.9834870309264367E-3</v>
      </c>
      <c r="BL411" s="79">
        <v>0</v>
      </c>
      <c r="BM411" s="77">
        <f t="shared" si="1002"/>
        <v>0</v>
      </c>
      <c r="BN411" s="77">
        <f t="shared" si="1003"/>
        <v>0</v>
      </c>
      <c r="BO411" s="77">
        <f t="shared" si="1004"/>
        <v>6.9681666666666668E-3</v>
      </c>
      <c r="BP411" s="77">
        <f t="shared" si="1005"/>
        <v>5.7883422555948805E-4</v>
      </c>
    </row>
    <row r="412" spans="1:68">
      <c r="A412" t="s">
        <v>175</v>
      </c>
      <c r="B412" t="s">
        <v>176</v>
      </c>
      <c r="C412" s="197" t="str">
        <f t="shared" si="1040"/>
        <v>Lifecycle_Balanced_133</v>
      </c>
      <c r="D412">
        <v>133</v>
      </c>
      <c r="E412">
        <f>VLOOKUP($D412,'[2]LC Balanced'!$Q$2:$U$542,2,FALSE)</f>
        <v>0.2729166666666667</v>
      </c>
      <c r="F412">
        <f>VLOOKUP($D412,'[2]LC Balanced'!$Q$2:$U$542,3,FALSE)</f>
        <v>0.30158333333333331</v>
      </c>
      <c r="G412">
        <f>VLOOKUP($D412,'[2]LC Balanced'!$Q$2:$U$542,4,FALSE)</f>
        <v>0.42549999999999999</v>
      </c>
      <c r="H412">
        <f>VLOOKUP($D412,'[2]LC Balanced'!$Q$2:$U$542,5,FALSE)</f>
        <v>0</v>
      </c>
      <c r="I412" s="77">
        <f t="shared" si="984"/>
        <v>1</v>
      </c>
      <c r="J412" s="77">
        <f t="shared" si="985"/>
        <v>5.3248693749999992E-2</v>
      </c>
      <c r="K412" s="77">
        <f t="shared" si="975"/>
        <v>4.3326406705403997E-3</v>
      </c>
      <c r="L412" s="76">
        <v>0</v>
      </c>
      <c r="M412" s="77">
        <f t="shared" si="991"/>
        <v>0</v>
      </c>
      <c r="N412" s="77">
        <f t="shared" si="992"/>
        <v>0</v>
      </c>
      <c r="O412" s="77">
        <f t="shared" si="993"/>
        <v>5.4979416666666664E-3</v>
      </c>
      <c r="P412" s="77">
        <f t="shared" si="994"/>
        <v>4.5932039453111528E-4</v>
      </c>
      <c r="R412" t="s">
        <v>177</v>
      </c>
      <c r="S412" t="s">
        <v>176</v>
      </c>
      <c r="T412" s="197" t="str">
        <f t="shared" si="926"/>
        <v>Autopilot_Balanced_133</v>
      </c>
      <c r="U412">
        <v>133</v>
      </c>
      <c r="V412">
        <f>VLOOKUP($U412,'[2]AP Balanced'!$Q$1:$T$542,2,FALSE)</f>
        <v>0.23950733333333318</v>
      </c>
      <c r="W412">
        <f>VLOOKUP($U412,'[2]AP Balanced'!$Q$1:$T$542,3,FALSE)</f>
        <v>0.76049266666666682</v>
      </c>
      <c r="X412">
        <f>VLOOKUP($U412,'[2]AP Balanced'!$Q$1:$T$542,4,FALSE)</f>
        <v>0</v>
      </c>
      <c r="Y412" s="77">
        <f t="shared" si="1041"/>
        <v>1</v>
      </c>
      <c r="Z412" s="77">
        <f t="shared" si="1030"/>
        <v>5.4529459849999989E-2</v>
      </c>
      <c r="AA412" s="77">
        <f t="shared" si="1031"/>
        <v>4.4343576129459716E-3</v>
      </c>
      <c r="AB412" s="79">
        <v>1</v>
      </c>
      <c r="AC412" s="77">
        <f t="shared" si="995"/>
        <v>6.9790146666666667E-3</v>
      </c>
      <c r="AD412" s="77">
        <f t="shared" si="986"/>
        <v>5.8345321611008583E-4</v>
      </c>
      <c r="AE412" s="77">
        <f t="shared" si="996"/>
        <v>2.5000000000000001E-3</v>
      </c>
      <c r="AF412" s="77">
        <f t="shared" si="986"/>
        <v>2.0857243058891584E-4</v>
      </c>
      <c r="AH412" t="s">
        <v>175</v>
      </c>
      <c r="AI412" t="s">
        <v>176</v>
      </c>
      <c r="AJ412" s="197" t="str">
        <f t="shared" si="1042"/>
        <v>Lifecycle_Balanced_133</v>
      </c>
      <c r="AK412">
        <v>133</v>
      </c>
      <c r="AL412">
        <f>VLOOKUP($U412,[2]Standard_Balanced!$Q$1:$T$542,2,FALSE)</f>
        <v>0.18282317222222208</v>
      </c>
      <c r="AM412">
        <f>VLOOKUP($U412,[2]Standard_Balanced!$Q$1:$T$542,3,FALSE)</f>
        <v>0.81717682777777789</v>
      </c>
      <c r="AN412">
        <f>VLOOKUP($U412,[2]Standard_Balanced!$Q$1:$T$542,4,FALSE)</f>
        <v>0</v>
      </c>
      <c r="AO412" s="77">
        <f t="shared" si="972"/>
        <v>1</v>
      </c>
      <c r="AP412" s="77">
        <f t="shared" si="997"/>
        <v>5.3776977611249985E-2</v>
      </c>
      <c r="AQ412" s="77">
        <f t="shared" si="1043"/>
        <v>4.3746100866013382E-3</v>
      </c>
      <c r="AR412" s="79">
        <v>0</v>
      </c>
      <c r="AS412" s="77">
        <f t="shared" si="998"/>
        <v>0</v>
      </c>
      <c r="AT412" s="77">
        <f t="shared" ref="AT412" si="1055">1-(1-AS412)^(1/12)</f>
        <v>0</v>
      </c>
      <c r="AU412" s="77">
        <f t="shared" si="1000"/>
        <v>2.5000000000000001E-3</v>
      </c>
      <c r="AV412" s="77">
        <f t="shared" ref="AV412" si="1056">1-(1-AU412)^(1/12)</f>
        <v>2.0857243058891584E-4</v>
      </c>
      <c r="AX412" t="s">
        <v>178</v>
      </c>
      <c r="AY412" t="s">
        <v>160</v>
      </c>
      <c r="AZ412" s="197" t="str">
        <f t="shared" si="1046"/>
        <v>DIS_Non-Standard_133</v>
      </c>
      <c r="BA412">
        <v>133</v>
      </c>
      <c r="BB412">
        <f>VLOOKUP($BA412,'[2]NonStandard DIS'!$Q$1:$X$542,2,FALSE)</f>
        <v>0</v>
      </c>
      <c r="BC412">
        <f>VLOOKUP($BA412,'[2]NonStandard DIS'!$Q$1:$X$542,3,FALSE)</f>
        <v>0.18616666666666667</v>
      </c>
      <c r="BD412">
        <f>VLOOKUP($BA412,'[2]NonStandard DIS'!$Q$1:$X$542,4,FALSE)</f>
        <v>0.81383333333333341</v>
      </c>
      <c r="BE412">
        <f>VLOOKUP($BA412,'[2]NonStandard DIS'!$Q$1:$X$542,5,FALSE)</f>
        <v>0</v>
      </c>
      <c r="BF412">
        <f>VLOOKUP($BA412,'[2]NonStandard DIS'!$Q$1:$X$542,6,FALSE)</f>
        <v>0</v>
      </c>
      <c r="BG412">
        <f>VLOOKUP($BA412,'[2]NonStandard DIS'!$Q$1:$X$542,7,FALSE)</f>
        <v>0</v>
      </c>
      <c r="BH412">
        <f>VLOOKUP($BA412,'[2]NonStandard DIS'!$Q$1:$X$542,8,FALSE)</f>
        <v>0</v>
      </c>
      <c r="BI412" s="77">
        <f t="shared" si="989"/>
        <v>1</v>
      </c>
      <c r="BJ412" s="77">
        <f t="shared" si="990"/>
        <v>6.1329849999999991E-2</v>
      </c>
      <c r="BK412" s="77">
        <f t="shared" si="971"/>
        <v>4.9725470530226357E-3</v>
      </c>
      <c r="BL412" s="79">
        <v>0</v>
      </c>
      <c r="BM412" s="77">
        <f t="shared" si="1002"/>
        <v>0</v>
      </c>
      <c r="BN412" s="77">
        <f t="shared" si="1003"/>
        <v>0</v>
      </c>
      <c r="BO412" s="77">
        <f t="shared" si="1004"/>
        <v>6.9579833333333341E-3</v>
      </c>
      <c r="BP412" s="77">
        <f t="shared" si="1005"/>
        <v>5.7799099507804819E-4</v>
      </c>
    </row>
    <row r="413" spans="1:68">
      <c r="A413" t="s">
        <v>175</v>
      </c>
      <c r="B413" t="s">
        <v>176</v>
      </c>
      <c r="C413" s="197" t="str">
        <f t="shared" si="1040"/>
        <v>Lifecycle_Balanced_132</v>
      </c>
      <c r="D413">
        <v>132</v>
      </c>
      <c r="E413">
        <f>VLOOKUP($D413,'[2]LC Balanced'!$Q$2:$U$542,2,FALSE)</f>
        <v>0.27800000000000002</v>
      </c>
      <c r="F413">
        <f>VLOOKUP($D413,'[2]LC Balanced'!$Q$2:$U$542,3,FALSE)</f>
        <v>0.29899999999999999</v>
      </c>
      <c r="G413">
        <f>VLOOKUP($D413,'[2]LC Balanced'!$Q$2:$U$542,4,FALSE)</f>
        <v>0.42299999999999999</v>
      </c>
      <c r="H413">
        <f>VLOOKUP($D413,'[2]LC Balanced'!$Q$2:$U$542,5,FALSE)</f>
        <v>0</v>
      </c>
      <c r="I413" s="77">
        <f t="shared" si="984"/>
        <v>1</v>
      </c>
      <c r="J413" s="77">
        <f t="shared" si="985"/>
        <v>5.3181949999999992E-2</v>
      </c>
      <c r="K413" s="77">
        <f t="shared" si="975"/>
        <v>4.3273368524512357E-3</v>
      </c>
      <c r="L413" s="76">
        <v>0</v>
      </c>
      <c r="M413" s="77">
        <f t="shared" si="991"/>
        <v>0</v>
      </c>
      <c r="N413" s="77">
        <f t="shared" si="992"/>
        <v>0</v>
      </c>
      <c r="O413" s="77">
        <f t="shared" si="993"/>
        <v>5.4768999999999998E-3</v>
      </c>
      <c r="P413" s="77">
        <f t="shared" si="994"/>
        <v>4.5755805547320616E-4</v>
      </c>
      <c r="R413" t="s">
        <v>177</v>
      </c>
      <c r="S413" t="s">
        <v>176</v>
      </c>
      <c r="T413" s="197" t="str">
        <f t="shared" si="926"/>
        <v>Autopilot_Balanced_132</v>
      </c>
      <c r="U413">
        <v>132</v>
      </c>
      <c r="V413">
        <f>VLOOKUP($U413,'[2]AP Balanced'!$Q$1:$T$542,2,FALSE)</f>
        <v>0.17767006666666652</v>
      </c>
      <c r="W413">
        <f>VLOOKUP($U413,'[2]AP Balanced'!$Q$1:$T$542,3,FALSE)</f>
        <v>0.82232993333333348</v>
      </c>
      <c r="X413">
        <f>VLOOKUP($U413,'[2]AP Balanced'!$Q$1:$T$542,4,FALSE)</f>
        <v>0</v>
      </c>
      <c r="Y413" s="77">
        <f t="shared" si="1041"/>
        <v>1</v>
      </c>
      <c r="Z413" s="77">
        <f t="shared" si="1030"/>
        <v>5.3708570134999987E-2</v>
      </c>
      <c r="AA413" s="77">
        <f t="shared" si="1031"/>
        <v>4.3691765541677974E-3</v>
      </c>
      <c r="AB413" s="79">
        <v>1</v>
      </c>
      <c r="AC413" s="77">
        <f t="shared" si="995"/>
        <v>6.8553401333333328E-3</v>
      </c>
      <c r="AD413" s="77">
        <f t="shared" si="986"/>
        <v>5.7308121979127158E-4</v>
      </c>
      <c r="AE413" s="77">
        <f t="shared" si="996"/>
        <v>2.5000000000000001E-3</v>
      </c>
      <c r="AF413" s="77">
        <f t="shared" si="986"/>
        <v>2.0857243058891584E-4</v>
      </c>
      <c r="AH413" t="s">
        <v>175</v>
      </c>
      <c r="AI413" t="s">
        <v>176</v>
      </c>
      <c r="AJ413" s="197" t="str">
        <f t="shared" si="1042"/>
        <v>Lifecycle_Balanced_132</v>
      </c>
      <c r="AK413">
        <v>132</v>
      </c>
      <c r="AL413">
        <f>VLOOKUP($U413,[2]Standard_Balanced!$Q$1:$T$542,2,FALSE)</f>
        <v>0.17767006666666652</v>
      </c>
      <c r="AM413">
        <f>VLOOKUP($U413,[2]Standard_Balanced!$Q$1:$T$542,3,FALSE)</f>
        <v>0.82232993333333348</v>
      </c>
      <c r="AN413">
        <f>VLOOKUP($U413,[2]Standard_Balanced!$Q$1:$T$542,4,FALSE)</f>
        <v>0</v>
      </c>
      <c r="AO413" s="77">
        <f t="shared" si="972"/>
        <v>1</v>
      </c>
      <c r="AP413" s="77">
        <f t="shared" si="997"/>
        <v>5.3708570134999987E-2</v>
      </c>
      <c r="AQ413" s="77">
        <f t="shared" si="1043"/>
        <v>4.3691765541677974E-3</v>
      </c>
      <c r="AR413" s="79">
        <v>0</v>
      </c>
      <c r="AS413" s="77">
        <f t="shared" si="998"/>
        <v>0</v>
      </c>
      <c r="AT413" s="77">
        <f t="shared" ref="AT413" si="1057">1-(1-AS413)^(1/12)</f>
        <v>0</v>
      </c>
      <c r="AU413" s="77">
        <f t="shared" si="1000"/>
        <v>2.5000000000000001E-3</v>
      </c>
      <c r="AV413" s="77">
        <f t="shared" ref="AV413" si="1058">1-(1-AU413)^(1/12)</f>
        <v>2.0857243058891584E-4</v>
      </c>
      <c r="AX413" t="s">
        <v>178</v>
      </c>
      <c r="AY413" t="s">
        <v>160</v>
      </c>
      <c r="AZ413" s="197" t="str">
        <f t="shared" si="1046"/>
        <v>DIS_Non-Standard_132</v>
      </c>
      <c r="BA413">
        <v>132</v>
      </c>
      <c r="BB413">
        <f>VLOOKUP($BA413,'[2]NonStandard DIS'!$Q$1:$X$542,2,FALSE)</f>
        <v>0</v>
      </c>
      <c r="BC413">
        <f>VLOOKUP($BA413,'[2]NonStandard DIS'!$Q$1:$X$542,3,FALSE)</f>
        <v>0.19400000000000001</v>
      </c>
      <c r="BD413">
        <f>VLOOKUP($BA413,'[2]NonStandard DIS'!$Q$1:$X$542,4,FALSE)</f>
        <v>0.80600000000000005</v>
      </c>
      <c r="BE413">
        <f>VLOOKUP($BA413,'[2]NonStandard DIS'!$Q$1:$X$542,5,FALSE)</f>
        <v>0</v>
      </c>
      <c r="BF413">
        <f>VLOOKUP($BA413,'[2]NonStandard DIS'!$Q$1:$X$542,6,FALSE)</f>
        <v>0</v>
      </c>
      <c r="BG413">
        <f>VLOOKUP($BA413,'[2]NonStandard DIS'!$Q$1:$X$542,7,FALSE)</f>
        <v>0</v>
      </c>
      <c r="BH413">
        <f>VLOOKUP($BA413,'[2]NonStandard DIS'!$Q$1:$X$542,8,FALSE)</f>
        <v>0</v>
      </c>
      <c r="BI413" s="77">
        <f t="shared" si="989"/>
        <v>1</v>
      </c>
      <c r="BJ413" s="77">
        <f t="shared" si="990"/>
        <v>6.1191199999999994E-2</v>
      </c>
      <c r="BK413" s="77">
        <f t="shared" si="971"/>
        <v>4.9616057649617407E-3</v>
      </c>
      <c r="BL413" s="79">
        <v>0</v>
      </c>
      <c r="BM413" s="77">
        <f t="shared" si="1002"/>
        <v>0</v>
      </c>
      <c r="BN413" s="77">
        <f t="shared" si="1003"/>
        <v>0</v>
      </c>
      <c r="BO413" s="77">
        <f t="shared" si="1004"/>
        <v>6.9478000000000005E-3</v>
      </c>
      <c r="BP413" s="77">
        <f t="shared" si="1005"/>
        <v>5.7714775677952801E-4</v>
      </c>
    </row>
    <row r="414" spans="1:68">
      <c r="A414" t="s">
        <v>175</v>
      </c>
      <c r="B414" t="s">
        <v>176</v>
      </c>
      <c r="C414" s="197" t="str">
        <f t="shared" si="1040"/>
        <v>Lifecycle_Balanced_131</v>
      </c>
      <c r="D414">
        <v>131</v>
      </c>
      <c r="E414">
        <f>VLOOKUP($D414,'[2]LC Balanced'!$Q$2:$U$542,2,FALSE)</f>
        <v>0.2824166666666667</v>
      </c>
      <c r="F414">
        <f>VLOOKUP($D414,'[2]LC Balanced'!$Q$2:$U$542,3,FALSE)</f>
        <v>0.29666666666666663</v>
      </c>
      <c r="G414">
        <f>VLOOKUP($D414,'[2]LC Balanced'!$Q$2:$U$542,4,FALSE)</f>
        <v>0.42091666666666666</v>
      </c>
      <c r="H414">
        <f>VLOOKUP($D414,'[2]LC Balanced'!$Q$2:$U$542,5,FALSE)</f>
        <v>0</v>
      </c>
      <c r="I414" s="77">
        <f t="shared" si="984"/>
        <v>1</v>
      </c>
      <c r="J414" s="77">
        <f t="shared" si="985"/>
        <v>5.3125531249999997E-2</v>
      </c>
      <c r="K414" s="77">
        <f t="shared" si="975"/>
        <v>4.3228532742007886E-3</v>
      </c>
      <c r="L414" s="76">
        <v>0</v>
      </c>
      <c r="M414" s="77">
        <f t="shared" si="991"/>
        <v>0</v>
      </c>
      <c r="N414" s="77">
        <f t="shared" si="992"/>
        <v>0</v>
      </c>
      <c r="O414" s="77">
        <f t="shared" si="993"/>
        <v>5.4587333333333335E-3</v>
      </c>
      <c r="P414" s="77">
        <f t="shared" si="994"/>
        <v>4.560365387501486E-4</v>
      </c>
      <c r="R414" t="s">
        <v>177</v>
      </c>
      <c r="S414" t="s">
        <v>176</v>
      </c>
      <c r="T414" s="197" t="str">
        <f t="shared" si="926"/>
        <v>Autopilot_Balanced_131</v>
      </c>
      <c r="U414">
        <v>131</v>
      </c>
      <c r="V414">
        <f>VLOOKUP($U414,'[2]AP Balanced'!$Q$1:$T$542,2,FALSE)</f>
        <v>0.17767006666666652</v>
      </c>
      <c r="W414">
        <f>VLOOKUP($U414,'[2]AP Balanced'!$Q$1:$T$542,3,FALSE)</f>
        <v>0.82232993333333348</v>
      </c>
      <c r="X414">
        <f>VLOOKUP($U414,'[2]AP Balanced'!$Q$1:$T$542,4,FALSE)</f>
        <v>0</v>
      </c>
      <c r="Y414" s="77">
        <f t="shared" si="1041"/>
        <v>1</v>
      </c>
      <c r="Z414" s="77">
        <f t="shared" si="1030"/>
        <v>5.3708570134999987E-2</v>
      </c>
      <c r="AA414" s="77">
        <f t="shared" si="1031"/>
        <v>4.3691765541677974E-3</v>
      </c>
      <c r="AB414" s="79">
        <v>1</v>
      </c>
      <c r="AC414" s="77">
        <f t="shared" si="995"/>
        <v>6.8553401333333328E-3</v>
      </c>
      <c r="AD414" s="77">
        <f t="shared" si="986"/>
        <v>5.7308121979127158E-4</v>
      </c>
      <c r="AE414" s="77">
        <f t="shared" si="996"/>
        <v>2.5000000000000001E-3</v>
      </c>
      <c r="AF414" s="77">
        <f t="shared" si="986"/>
        <v>2.0857243058891584E-4</v>
      </c>
      <c r="AH414" t="s">
        <v>175</v>
      </c>
      <c r="AI414" t="s">
        <v>176</v>
      </c>
      <c r="AJ414" s="197" t="str">
        <f t="shared" si="1042"/>
        <v>Lifecycle_Balanced_131</v>
      </c>
      <c r="AK414">
        <v>131</v>
      </c>
      <c r="AL414">
        <f>VLOOKUP($U414,[2]Standard_Balanced!$Q$1:$T$542,2,FALSE)</f>
        <v>0.17331731111111098</v>
      </c>
      <c r="AM414">
        <f>VLOOKUP($U414,[2]Standard_Balanced!$Q$1:$T$542,3,FALSE)</f>
        <v>0.82668268888888896</v>
      </c>
      <c r="AN414">
        <f>VLOOKUP($U414,[2]Standard_Balanced!$Q$1:$T$542,4,FALSE)</f>
        <v>0</v>
      </c>
      <c r="AO414" s="77">
        <f t="shared" si="972"/>
        <v>1</v>
      </c>
      <c r="AP414" s="77">
        <f t="shared" si="997"/>
        <v>5.3650787304999989E-2</v>
      </c>
      <c r="AQ414" s="77">
        <f t="shared" si="1043"/>
        <v>4.3645866740580352E-3</v>
      </c>
      <c r="AR414" s="79">
        <v>0</v>
      </c>
      <c r="AS414" s="77">
        <f t="shared" si="998"/>
        <v>0</v>
      </c>
      <c r="AT414" s="77">
        <f t="shared" ref="AT414" si="1059">1-(1-AS414)^(1/12)</f>
        <v>0</v>
      </c>
      <c r="AU414" s="77">
        <f t="shared" si="1000"/>
        <v>2.4999999999999996E-3</v>
      </c>
      <c r="AV414" s="77">
        <f t="shared" ref="AV414" si="1060">1-(1-AU414)^(1/12)</f>
        <v>2.0857243058891584E-4</v>
      </c>
      <c r="AX414" t="s">
        <v>178</v>
      </c>
      <c r="AY414" t="s">
        <v>160</v>
      </c>
      <c r="AZ414" s="197" t="str">
        <f t="shared" si="1046"/>
        <v>DIS_Non-Standard_131</v>
      </c>
      <c r="BA414">
        <v>131</v>
      </c>
      <c r="BB414">
        <f>VLOOKUP($BA414,'[2]NonStandard DIS'!$Q$1:$X$542,2,FALSE)</f>
        <v>1.25E-3</v>
      </c>
      <c r="BC414">
        <f>VLOOKUP($BA414,'[2]NonStandard DIS'!$Q$1:$X$542,3,FALSE)</f>
        <v>0.2</v>
      </c>
      <c r="BD414">
        <f>VLOOKUP($BA414,'[2]NonStandard DIS'!$Q$1:$X$542,4,FALSE)</f>
        <v>0.79875000000000007</v>
      </c>
      <c r="BE414">
        <f>VLOOKUP($BA414,'[2]NonStandard DIS'!$Q$1:$X$542,5,FALSE)</f>
        <v>0</v>
      </c>
      <c r="BF414">
        <f>VLOOKUP($BA414,'[2]NonStandard DIS'!$Q$1:$X$542,6,FALSE)</f>
        <v>0</v>
      </c>
      <c r="BG414">
        <f>VLOOKUP($BA414,'[2]NonStandard DIS'!$Q$1:$X$542,7,FALSE)</f>
        <v>0</v>
      </c>
      <c r="BH414">
        <f>VLOOKUP($BA414,'[2]NonStandard DIS'!$Q$1:$X$542,8,FALSE)</f>
        <v>0</v>
      </c>
      <c r="BI414" s="77">
        <f t="shared" si="989"/>
        <v>1</v>
      </c>
      <c r="BJ414" s="77">
        <f t="shared" si="990"/>
        <v>6.1057343749999993E-2</v>
      </c>
      <c r="BK414" s="77">
        <f t="shared" si="971"/>
        <v>4.9510415228146698E-3</v>
      </c>
      <c r="BL414" s="79">
        <v>0</v>
      </c>
      <c r="BM414" s="77">
        <f t="shared" si="1002"/>
        <v>0</v>
      </c>
      <c r="BN414" s="77">
        <f t="shared" si="1003"/>
        <v>0</v>
      </c>
      <c r="BO414" s="77">
        <f t="shared" si="1004"/>
        <v>6.9340000000000001E-3</v>
      </c>
      <c r="BP414" s="77">
        <f t="shared" si="1005"/>
        <v>5.7600502530164022E-4</v>
      </c>
    </row>
    <row r="415" spans="1:68">
      <c r="A415" t="s">
        <v>175</v>
      </c>
      <c r="B415" t="s">
        <v>176</v>
      </c>
      <c r="C415" s="197" t="str">
        <f t="shared" si="1040"/>
        <v>Lifecycle_Balanced_130</v>
      </c>
      <c r="D415">
        <v>130</v>
      </c>
      <c r="E415">
        <f>VLOOKUP($D415,'[2]LC Balanced'!$Q$2:$U$542,2,FALSE)</f>
        <v>0.28683333333333338</v>
      </c>
      <c r="F415">
        <f>VLOOKUP($D415,'[2]LC Balanced'!$Q$2:$U$542,3,FALSE)</f>
        <v>0.29433333333333334</v>
      </c>
      <c r="G415">
        <f>VLOOKUP($D415,'[2]LC Balanced'!$Q$2:$U$542,4,FALSE)</f>
        <v>0.41883333333333334</v>
      </c>
      <c r="H415">
        <f>VLOOKUP($D415,'[2]LC Balanced'!$Q$2:$U$542,5,FALSE)</f>
        <v>0</v>
      </c>
      <c r="I415" s="77">
        <f t="shared" si="984"/>
        <v>1</v>
      </c>
      <c r="J415" s="77">
        <f t="shared" si="985"/>
        <v>5.3069112500000001E-2</v>
      </c>
      <c r="K415" s="77">
        <f t="shared" si="975"/>
        <v>4.3183694757640279E-3</v>
      </c>
      <c r="L415" s="76">
        <v>0</v>
      </c>
      <c r="M415" s="77">
        <f t="shared" si="991"/>
        <v>0</v>
      </c>
      <c r="N415" s="77">
        <f t="shared" si="992"/>
        <v>0</v>
      </c>
      <c r="O415" s="77">
        <f t="shared" si="993"/>
        <v>5.4405666666666672E-3</v>
      </c>
      <c r="P415" s="77">
        <f t="shared" si="994"/>
        <v>4.5451504750337879E-4</v>
      </c>
      <c r="R415" t="s">
        <v>177</v>
      </c>
      <c r="S415" t="s">
        <v>176</v>
      </c>
      <c r="T415" s="197" t="str">
        <f t="shared" si="926"/>
        <v>Autopilot_Balanced_130</v>
      </c>
      <c r="U415">
        <v>130</v>
      </c>
      <c r="V415">
        <f>VLOOKUP($U415,'[2]AP Balanced'!$Q$1:$T$542,2,FALSE)</f>
        <v>0.17767006666666652</v>
      </c>
      <c r="W415">
        <f>VLOOKUP($U415,'[2]AP Balanced'!$Q$1:$T$542,3,FALSE)</f>
        <v>0.82232993333333348</v>
      </c>
      <c r="X415">
        <f>VLOOKUP($U415,'[2]AP Balanced'!$Q$1:$T$542,4,FALSE)</f>
        <v>0</v>
      </c>
      <c r="Y415" s="77">
        <f t="shared" si="1041"/>
        <v>1</v>
      </c>
      <c r="Z415" s="77">
        <f t="shared" si="1030"/>
        <v>5.3708570134999987E-2</v>
      </c>
      <c r="AA415" s="77">
        <f t="shared" si="1031"/>
        <v>4.3691765541677974E-3</v>
      </c>
      <c r="AB415" s="79">
        <v>1</v>
      </c>
      <c r="AC415" s="77">
        <f t="shared" si="995"/>
        <v>6.8553401333333328E-3</v>
      </c>
      <c r="AD415" s="77">
        <f t="shared" si="986"/>
        <v>5.7308121979127158E-4</v>
      </c>
      <c r="AE415" s="77">
        <f t="shared" si="996"/>
        <v>2.5000000000000001E-3</v>
      </c>
      <c r="AF415" s="77">
        <f t="shared" si="986"/>
        <v>2.0857243058891584E-4</v>
      </c>
      <c r="AH415" t="s">
        <v>175</v>
      </c>
      <c r="AI415" t="s">
        <v>176</v>
      </c>
      <c r="AJ415" s="197" t="str">
        <f t="shared" si="1042"/>
        <v>Lifecycle_Balanced_130</v>
      </c>
      <c r="AK415">
        <v>130</v>
      </c>
      <c r="AL415">
        <f>VLOOKUP($U415,[2]Standard_Balanced!$Q$1:$T$542,2,FALSE)</f>
        <v>0.16896455555555545</v>
      </c>
      <c r="AM415">
        <f>VLOOKUP($U415,[2]Standard_Balanced!$Q$1:$T$542,3,FALSE)</f>
        <v>0.83103544444444455</v>
      </c>
      <c r="AN415">
        <f>VLOOKUP($U415,[2]Standard_Balanced!$Q$1:$T$542,4,FALSE)</f>
        <v>0</v>
      </c>
      <c r="AO415" s="77">
        <f t="shared" si="972"/>
        <v>1</v>
      </c>
      <c r="AP415" s="77">
        <f t="shared" si="997"/>
        <v>5.3593004474999997E-2</v>
      </c>
      <c r="AQ415" s="77">
        <f t="shared" si="1043"/>
        <v>4.3599965632068471E-3</v>
      </c>
      <c r="AR415" s="79">
        <v>0</v>
      </c>
      <c r="AS415" s="77">
        <f t="shared" si="998"/>
        <v>0</v>
      </c>
      <c r="AT415" s="77">
        <f t="shared" ref="AT415" si="1061">1-(1-AS415)^(1/12)</f>
        <v>0</v>
      </c>
      <c r="AU415" s="77">
        <f t="shared" si="1000"/>
        <v>2.5000000000000001E-3</v>
      </c>
      <c r="AV415" s="77">
        <f t="shared" ref="AV415" si="1062">1-(1-AU415)^(1/12)</f>
        <v>2.0857243058891584E-4</v>
      </c>
      <c r="AX415" t="s">
        <v>178</v>
      </c>
      <c r="AY415" t="s">
        <v>160</v>
      </c>
      <c r="AZ415" s="197" t="str">
        <f t="shared" si="1046"/>
        <v>DIS_Non-Standard_130</v>
      </c>
      <c r="BA415">
        <v>130</v>
      </c>
      <c r="BB415">
        <f>VLOOKUP($BA415,'[2]NonStandard DIS'!$Q$1:$X$542,2,FALSE)</f>
        <v>2.5000000000000001E-3</v>
      </c>
      <c r="BC415">
        <f>VLOOKUP($BA415,'[2]NonStandard DIS'!$Q$1:$X$542,3,FALSE)</f>
        <v>0.20600000000000002</v>
      </c>
      <c r="BD415">
        <f>VLOOKUP($BA415,'[2]NonStandard DIS'!$Q$1:$X$542,4,FALSE)</f>
        <v>0.79150000000000009</v>
      </c>
      <c r="BE415">
        <f>VLOOKUP($BA415,'[2]NonStandard DIS'!$Q$1:$X$542,5,FALSE)</f>
        <v>0</v>
      </c>
      <c r="BF415">
        <f>VLOOKUP($BA415,'[2]NonStandard DIS'!$Q$1:$X$542,6,FALSE)</f>
        <v>0</v>
      </c>
      <c r="BG415">
        <f>VLOOKUP($BA415,'[2]NonStandard DIS'!$Q$1:$X$542,7,FALSE)</f>
        <v>0</v>
      </c>
      <c r="BH415">
        <f>VLOOKUP($BA415,'[2]NonStandard DIS'!$Q$1:$X$542,8,FALSE)</f>
        <v>0</v>
      </c>
      <c r="BI415" s="77">
        <f t="shared" si="989"/>
        <v>1</v>
      </c>
      <c r="BJ415" s="77">
        <f t="shared" si="990"/>
        <v>6.0923487499999998E-2</v>
      </c>
      <c r="BK415" s="77">
        <f t="shared" si="971"/>
        <v>4.9404760589391028E-3</v>
      </c>
      <c r="BL415" s="79">
        <v>0</v>
      </c>
      <c r="BM415" s="77">
        <f t="shared" si="1002"/>
        <v>0</v>
      </c>
      <c r="BN415" s="77">
        <f t="shared" si="1003"/>
        <v>0</v>
      </c>
      <c r="BO415" s="77">
        <f t="shared" si="1004"/>
        <v>6.9202000000000005E-3</v>
      </c>
      <c r="BP415" s="77">
        <f t="shared" si="1005"/>
        <v>5.7486227946768054E-4</v>
      </c>
    </row>
    <row r="416" spans="1:68">
      <c r="A416" t="s">
        <v>175</v>
      </c>
      <c r="B416" t="s">
        <v>176</v>
      </c>
      <c r="C416" s="197" t="str">
        <f t="shared" si="1040"/>
        <v>Lifecycle_Balanced_129</v>
      </c>
      <c r="D416">
        <v>129</v>
      </c>
      <c r="E416">
        <f>VLOOKUP($D416,'[2]LC Balanced'!$Q$2:$U$542,2,FALSE)</f>
        <v>0.29125000000000001</v>
      </c>
      <c r="F416">
        <f>VLOOKUP($D416,'[2]LC Balanced'!$Q$2:$U$542,3,FALSE)</f>
        <v>0.29199999999999998</v>
      </c>
      <c r="G416">
        <f>VLOOKUP($D416,'[2]LC Balanced'!$Q$2:$U$542,4,FALSE)</f>
        <v>0.41675000000000001</v>
      </c>
      <c r="H416">
        <f>VLOOKUP($D416,'[2]LC Balanced'!$Q$2:$U$542,5,FALSE)</f>
        <v>0</v>
      </c>
      <c r="I416" s="77">
        <f t="shared" si="984"/>
        <v>1</v>
      </c>
      <c r="J416" s="77">
        <f t="shared" si="985"/>
        <v>5.3012693749999999E-2</v>
      </c>
      <c r="K416" s="77">
        <f t="shared" si="975"/>
        <v>4.313885457118527E-3</v>
      </c>
      <c r="L416" s="76">
        <v>0</v>
      </c>
      <c r="M416" s="77">
        <f t="shared" si="991"/>
        <v>0</v>
      </c>
      <c r="N416" s="77">
        <f t="shared" si="992"/>
        <v>0</v>
      </c>
      <c r="O416" s="77">
        <f t="shared" si="993"/>
        <v>5.4224E-3</v>
      </c>
      <c r="P416" s="77">
        <f t="shared" si="994"/>
        <v>4.5299358173211957E-4</v>
      </c>
      <c r="R416" t="s">
        <v>177</v>
      </c>
      <c r="S416" t="s">
        <v>176</v>
      </c>
      <c r="T416" s="197" t="str">
        <f t="shared" si="926"/>
        <v>Autopilot_Balanced_129</v>
      </c>
      <c r="U416">
        <v>129</v>
      </c>
      <c r="V416">
        <f>VLOOKUP($U416,'[2]AP Balanced'!$Q$1:$T$542,2,FALSE)</f>
        <v>0.17767006666666652</v>
      </c>
      <c r="W416">
        <f>VLOOKUP($U416,'[2]AP Balanced'!$Q$1:$T$542,3,FALSE)</f>
        <v>0.82232993333333348</v>
      </c>
      <c r="X416">
        <f>VLOOKUP($U416,'[2]AP Balanced'!$Q$1:$T$542,4,FALSE)</f>
        <v>0</v>
      </c>
      <c r="Y416" s="77">
        <f t="shared" si="1041"/>
        <v>1</v>
      </c>
      <c r="Z416" s="77">
        <f t="shared" si="1030"/>
        <v>5.3708570134999987E-2</v>
      </c>
      <c r="AA416" s="77">
        <f t="shared" si="1031"/>
        <v>4.3691765541677974E-3</v>
      </c>
      <c r="AB416" s="79">
        <v>1</v>
      </c>
      <c r="AC416" s="77">
        <f t="shared" si="995"/>
        <v>6.8553401333333328E-3</v>
      </c>
      <c r="AD416" s="77">
        <f t="shared" si="986"/>
        <v>5.7308121979127158E-4</v>
      </c>
      <c r="AE416" s="77">
        <f t="shared" si="996"/>
        <v>2.5000000000000001E-3</v>
      </c>
      <c r="AF416" s="77">
        <f t="shared" si="986"/>
        <v>2.0857243058891584E-4</v>
      </c>
      <c r="AH416" t="s">
        <v>175</v>
      </c>
      <c r="AI416" t="s">
        <v>176</v>
      </c>
      <c r="AJ416" s="197" t="str">
        <f t="shared" si="1042"/>
        <v>Lifecycle_Balanced_129</v>
      </c>
      <c r="AK416">
        <v>129</v>
      </c>
      <c r="AL416">
        <f>VLOOKUP($U416,[2]Standard_Balanced!$Q$1:$T$542,2,FALSE)</f>
        <v>0.16461179999999992</v>
      </c>
      <c r="AM416">
        <f>VLOOKUP($U416,[2]Standard_Balanced!$Q$1:$T$542,3,FALSE)</f>
        <v>0.83538820000000014</v>
      </c>
      <c r="AN416">
        <f>VLOOKUP($U416,[2]Standard_Balanced!$Q$1:$T$542,4,FALSE)</f>
        <v>0</v>
      </c>
      <c r="AO416" s="77">
        <f t="shared" si="972"/>
        <v>1</v>
      </c>
      <c r="AP416" s="77">
        <f t="shared" si="997"/>
        <v>5.3535221644999999E-2</v>
      </c>
      <c r="AQ416" s="77">
        <f t="shared" si="1043"/>
        <v>4.3554062215898082E-3</v>
      </c>
      <c r="AR416" s="79">
        <v>0</v>
      </c>
      <c r="AS416" s="77">
        <f t="shared" si="998"/>
        <v>0</v>
      </c>
      <c r="AT416" s="77">
        <f t="shared" ref="AT416" si="1063">1-(1-AS416)^(1/12)</f>
        <v>0</v>
      </c>
      <c r="AU416" s="77">
        <f t="shared" si="1000"/>
        <v>2.5000000000000001E-3</v>
      </c>
      <c r="AV416" s="77">
        <f t="shared" ref="AV416" si="1064">1-(1-AU416)^(1/12)</f>
        <v>2.0857243058891584E-4</v>
      </c>
      <c r="AX416" t="s">
        <v>178</v>
      </c>
      <c r="AY416" t="s">
        <v>160</v>
      </c>
      <c r="AZ416" s="197" t="str">
        <f t="shared" si="1046"/>
        <v>DIS_Non-Standard_129</v>
      </c>
      <c r="BA416">
        <v>129</v>
      </c>
      <c r="BB416">
        <f>VLOOKUP($BA416,'[2]NonStandard DIS'!$Q$1:$X$542,2,FALSE)</f>
        <v>3.7499999999999999E-3</v>
      </c>
      <c r="BC416">
        <f>VLOOKUP($BA416,'[2]NonStandard DIS'!$Q$1:$X$542,3,FALSE)</f>
        <v>0.21200000000000002</v>
      </c>
      <c r="BD416">
        <f>VLOOKUP($BA416,'[2]NonStandard DIS'!$Q$1:$X$542,4,FALSE)</f>
        <v>0.78425</v>
      </c>
      <c r="BE416">
        <f>VLOOKUP($BA416,'[2]NonStandard DIS'!$Q$1:$X$542,5,FALSE)</f>
        <v>0</v>
      </c>
      <c r="BF416">
        <f>VLOOKUP($BA416,'[2]NonStandard DIS'!$Q$1:$X$542,6,FALSE)</f>
        <v>0</v>
      </c>
      <c r="BG416">
        <f>VLOOKUP($BA416,'[2]NonStandard DIS'!$Q$1:$X$542,7,FALSE)</f>
        <v>0</v>
      </c>
      <c r="BH416">
        <f>VLOOKUP($BA416,'[2]NonStandard DIS'!$Q$1:$X$542,8,FALSE)</f>
        <v>0</v>
      </c>
      <c r="BI416" s="77">
        <f t="shared" si="989"/>
        <v>1</v>
      </c>
      <c r="BJ416" s="77">
        <f t="shared" si="990"/>
        <v>6.078963124999999E-2</v>
      </c>
      <c r="BK416" s="77">
        <f t="shared" si="971"/>
        <v>4.9299093730397203E-3</v>
      </c>
      <c r="BL416" s="79">
        <v>0</v>
      </c>
      <c r="BM416" s="77">
        <f t="shared" si="1002"/>
        <v>0</v>
      </c>
      <c r="BN416" s="77">
        <f t="shared" si="1003"/>
        <v>0</v>
      </c>
      <c r="BO416" s="77">
        <f t="shared" si="1004"/>
        <v>6.9064E-3</v>
      </c>
      <c r="BP416" s="77">
        <f t="shared" si="1005"/>
        <v>5.7371951927720488E-4</v>
      </c>
    </row>
    <row r="417" spans="1:68">
      <c r="A417" t="s">
        <v>175</v>
      </c>
      <c r="B417" t="s">
        <v>176</v>
      </c>
      <c r="C417" s="197" t="str">
        <f t="shared" si="1040"/>
        <v>Lifecycle_Balanced_128</v>
      </c>
      <c r="D417">
        <v>128</v>
      </c>
      <c r="E417">
        <f>VLOOKUP($D417,'[2]LC Balanced'!$Q$2:$U$542,2,FALSE)</f>
        <v>0.29566666666666669</v>
      </c>
      <c r="F417">
        <f>VLOOKUP($D417,'[2]LC Balanced'!$Q$2:$U$542,3,FALSE)</f>
        <v>0.28966666666666668</v>
      </c>
      <c r="G417">
        <f>VLOOKUP($D417,'[2]LC Balanced'!$Q$2:$U$542,4,FALSE)</f>
        <v>0.41466666666666668</v>
      </c>
      <c r="H417">
        <f>VLOOKUP($D417,'[2]LC Balanced'!$Q$2:$U$542,5,FALSE)</f>
        <v>0</v>
      </c>
      <c r="I417" s="77">
        <f t="shared" si="984"/>
        <v>1</v>
      </c>
      <c r="J417" s="77">
        <f t="shared" si="985"/>
        <v>5.2956274999999997E-2</v>
      </c>
      <c r="K417" s="77">
        <f t="shared" si="975"/>
        <v>4.3094012182414154E-3</v>
      </c>
      <c r="L417" s="76">
        <v>0</v>
      </c>
      <c r="M417" s="77">
        <f t="shared" si="991"/>
        <v>0</v>
      </c>
      <c r="N417" s="77">
        <f t="shared" si="992"/>
        <v>0</v>
      </c>
      <c r="O417" s="77">
        <f t="shared" si="993"/>
        <v>5.4042333333333336E-3</v>
      </c>
      <c r="P417" s="77">
        <f t="shared" si="994"/>
        <v>4.5147214143537173E-4</v>
      </c>
      <c r="R417" t="s">
        <v>177</v>
      </c>
      <c r="S417" t="s">
        <v>176</v>
      </c>
      <c r="T417" s="197" t="str">
        <f t="shared" si="926"/>
        <v>Autopilot_Balanced_128</v>
      </c>
      <c r="U417">
        <v>128</v>
      </c>
      <c r="V417">
        <f>VLOOKUP($U417,'[2]AP Balanced'!$Q$1:$T$542,2,FALSE)</f>
        <v>0.17767006666666652</v>
      </c>
      <c r="W417">
        <f>VLOOKUP($U417,'[2]AP Balanced'!$Q$1:$T$542,3,FALSE)</f>
        <v>0.82232993333333348</v>
      </c>
      <c r="X417">
        <f>VLOOKUP($U417,'[2]AP Balanced'!$Q$1:$T$542,4,FALSE)</f>
        <v>0</v>
      </c>
      <c r="Y417" s="77">
        <f t="shared" si="1041"/>
        <v>1</v>
      </c>
      <c r="Z417" s="77">
        <f t="shared" si="1030"/>
        <v>5.3708570134999987E-2</v>
      </c>
      <c r="AA417" s="77">
        <f t="shared" si="1031"/>
        <v>4.3691765541677974E-3</v>
      </c>
      <c r="AB417" s="79">
        <v>1</v>
      </c>
      <c r="AC417" s="77">
        <f t="shared" si="995"/>
        <v>6.8553401333333328E-3</v>
      </c>
      <c r="AD417" s="77">
        <f t="shared" si="986"/>
        <v>5.7308121979127158E-4</v>
      </c>
      <c r="AE417" s="77">
        <f t="shared" si="996"/>
        <v>2.5000000000000001E-3</v>
      </c>
      <c r="AF417" s="77">
        <f t="shared" si="986"/>
        <v>2.0857243058891584E-4</v>
      </c>
      <c r="AH417" t="s">
        <v>175</v>
      </c>
      <c r="AI417" t="s">
        <v>176</v>
      </c>
      <c r="AJ417" s="197" t="str">
        <f t="shared" si="1042"/>
        <v>Lifecycle_Balanced_128</v>
      </c>
      <c r="AK417">
        <v>128</v>
      </c>
      <c r="AL417">
        <f>VLOOKUP($U417,[2]Standard_Balanced!$Q$1:$T$542,2,FALSE)</f>
        <v>0.16025904444444439</v>
      </c>
      <c r="AM417">
        <f>VLOOKUP($U417,[2]Standard_Balanced!$Q$1:$T$542,3,FALSE)</f>
        <v>0.83974095555555561</v>
      </c>
      <c r="AN417">
        <f>VLOOKUP($U417,[2]Standard_Balanced!$Q$1:$T$542,4,FALSE)</f>
        <v>0</v>
      </c>
      <c r="AO417" s="77">
        <f t="shared" si="972"/>
        <v>1</v>
      </c>
      <c r="AP417" s="77">
        <f t="shared" si="997"/>
        <v>5.3477438814999993E-2</v>
      </c>
      <c r="AQ417" s="77">
        <f t="shared" si="1043"/>
        <v>4.3508156491824934E-3</v>
      </c>
      <c r="AR417" s="79">
        <v>0</v>
      </c>
      <c r="AS417" s="77">
        <f t="shared" si="998"/>
        <v>0</v>
      </c>
      <c r="AT417" s="77">
        <f t="shared" ref="AT417" si="1065">1-(1-AS417)^(1/12)</f>
        <v>0</v>
      </c>
      <c r="AU417" s="77">
        <f t="shared" si="1000"/>
        <v>2.5000000000000001E-3</v>
      </c>
      <c r="AV417" s="77">
        <f t="shared" ref="AV417" si="1066">1-(1-AU417)^(1/12)</f>
        <v>2.0857243058891584E-4</v>
      </c>
      <c r="AX417" t="s">
        <v>178</v>
      </c>
      <c r="AY417" t="s">
        <v>160</v>
      </c>
      <c r="AZ417" s="197" t="str">
        <f t="shared" si="1046"/>
        <v>DIS_Non-Standard_128</v>
      </c>
      <c r="BA417">
        <v>128</v>
      </c>
      <c r="BB417">
        <f>VLOOKUP($BA417,'[2]NonStandard DIS'!$Q$1:$X$542,2,FALSE)</f>
        <v>5.0000000000000001E-3</v>
      </c>
      <c r="BC417">
        <f>VLOOKUP($BA417,'[2]NonStandard DIS'!$Q$1:$X$542,3,FALSE)</f>
        <v>0.218</v>
      </c>
      <c r="BD417">
        <f>VLOOKUP($BA417,'[2]NonStandard DIS'!$Q$1:$X$542,4,FALSE)</f>
        <v>0.77700000000000002</v>
      </c>
      <c r="BE417">
        <f>VLOOKUP($BA417,'[2]NonStandard DIS'!$Q$1:$X$542,5,FALSE)</f>
        <v>0</v>
      </c>
      <c r="BF417">
        <f>VLOOKUP($BA417,'[2]NonStandard DIS'!$Q$1:$X$542,6,FALSE)</f>
        <v>0</v>
      </c>
      <c r="BG417">
        <f>VLOOKUP($BA417,'[2]NonStandard DIS'!$Q$1:$X$542,7,FALSE)</f>
        <v>0</v>
      </c>
      <c r="BH417">
        <f>VLOOKUP($BA417,'[2]NonStandard DIS'!$Q$1:$X$542,8,FALSE)</f>
        <v>0</v>
      </c>
      <c r="BI417" s="77">
        <f t="shared" si="989"/>
        <v>1</v>
      </c>
      <c r="BJ417" s="77">
        <f t="shared" si="990"/>
        <v>6.0655774999999995E-2</v>
      </c>
      <c r="BK417" s="77">
        <f t="shared" si="971"/>
        <v>4.919341464820759E-3</v>
      </c>
      <c r="BL417" s="79">
        <v>0</v>
      </c>
      <c r="BM417" s="77">
        <f t="shared" si="1002"/>
        <v>0</v>
      </c>
      <c r="BN417" s="77">
        <f t="shared" si="1003"/>
        <v>0</v>
      </c>
      <c r="BO417" s="77">
        <f t="shared" si="1004"/>
        <v>6.8926000000000005E-3</v>
      </c>
      <c r="BP417" s="77">
        <f t="shared" si="1005"/>
        <v>5.7257674472976916E-4</v>
      </c>
    </row>
    <row r="418" spans="1:68">
      <c r="A418" t="s">
        <v>175</v>
      </c>
      <c r="B418" t="s">
        <v>176</v>
      </c>
      <c r="C418" s="197" t="str">
        <f t="shared" si="1040"/>
        <v>Lifecycle_Balanced_127</v>
      </c>
      <c r="D418">
        <v>127</v>
      </c>
      <c r="E418">
        <f>VLOOKUP($D418,'[2]LC Balanced'!$Q$2:$U$542,2,FALSE)</f>
        <v>0.30008333333333337</v>
      </c>
      <c r="F418">
        <f>VLOOKUP($D418,'[2]LC Balanced'!$Q$2:$U$542,3,FALSE)</f>
        <v>0.28733333333333333</v>
      </c>
      <c r="G418">
        <f>VLOOKUP($D418,'[2]LC Balanced'!$Q$2:$U$542,4,FALSE)</f>
        <v>0.41258333333333336</v>
      </c>
      <c r="H418">
        <f>VLOOKUP($D418,'[2]LC Balanced'!$Q$2:$U$542,5,FALSE)</f>
        <v>0</v>
      </c>
      <c r="I418" s="77">
        <f t="shared" si="984"/>
        <v>1</v>
      </c>
      <c r="J418" s="77">
        <f t="shared" si="985"/>
        <v>5.2899856250000002E-2</v>
      </c>
      <c r="K418" s="77">
        <f t="shared" si="975"/>
        <v>4.3049167591102666E-3</v>
      </c>
      <c r="L418" s="76">
        <v>0</v>
      </c>
      <c r="M418" s="77">
        <f t="shared" si="991"/>
        <v>0</v>
      </c>
      <c r="N418" s="77">
        <f t="shared" si="992"/>
        <v>0</v>
      </c>
      <c r="O418" s="77">
        <f t="shared" si="993"/>
        <v>5.3860666666666664E-3</v>
      </c>
      <c r="P418" s="77">
        <f t="shared" si="994"/>
        <v>4.4995072661224711E-4</v>
      </c>
      <c r="R418" t="s">
        <v>177</v>
      </c>
      <c r="S418" t="s">
        <v>176</v>
      </c>
      <c r="T418" s="197" t="str">
        <f t="shared" si="926"/>
        <v>Autopilot_Balanced_127</v>
      </c>
      <c r="U418">
        <v>127</v>
      </c>
      <c r="V418">
        <f>VLOOKUP($U418,'[2]AP Balanced'!$Q$1:$T$542,2,FALSE)</f>
        <v>0.17767006666666652</v>
      </c>
      <c r="W418">
        <f>VLOOKUP($U418,'[2]AP Balanced'!$Q$1:$T$542,3,FALSE)</f>
        <v>0.82232993333333348</v>
      </c>
      <c r="X418">
        <f>VLOOKUP($U418,'[2]AP Balanced'!$Q$1:$T$542,4,FALSE)</f>
        <v>0</v>
      </c>
      <c r="Y418" s="77">
        <f t="shared" si="1041"/>
        <v>1</v>
      </c>
      <c r="Z418" s="77">
        <f t="shared" si="1030"/>
        <v>5.3708570134999987E-2</v>
      </c>
      <c r="AA418" s="77">
        <f t="shared" si="1031"/>
        <v>4.3691765541677974E-3</v>
      </c>
      <c r="AB418" s="79">
        <v>1</v>
      </c>
      <c r="AC418" s="77">
        <f t="shared" si="995"/>
        <v>6.8553401333333328E-3</v>
      </c>
      <c r="AD418" s="77">
        <f t="shared" si="986"/>
        <v>5.7308121979127158E-4</v>
      </c>
      <c r="AE418" s="77">
        <f t="shared" si="996"/>
        <v>2.5000000000000001E-3</v>
      </c>
      <c r="AF418" s="77">
        <f t="shared" si="986"/>
        <v>2.0857243058891584E-4</v>
      </c>
      <c r="AH418" t="s">
        <v>175</v>
      </c>
      <c r="AI418" t="s">
        <v>176</v>
      </c>
      <c r="AJ418" s="197" t="str">
        <f t="shared" si="1042"/>
        <v>Lifecycle_Balanced_127</v>
      </c>
      <c r="AK418">
        <v>127</v>
      </c>
      <c r="AL418">
        <f>VLOOKUP($U418,[2]Standard_Balanced!$Q$1:$T$542,2,FALSE)</f>
        <v>0.15590628888888886</v>
      </c>
      <c r="AM418">
        <f>VLOOKUP($U418,[2]Standard_Balanced!$Q$1:$T$542,3,FALSE)</f>
        <v>0.84409371111111109</v>
      </c>
      <c r="AN418">
        <f>VLOOKUP($U418,[2]Standard_Balanced!$Q$1:$T$542,4,FALSE)</f>
        <v>0</v>
      </c>
      <c r="AO418" s="77">
        <f t="shared" si="972"/>
        <v>1</v>
      </c>
      <c r="AP418" s="77">
        <f t="shared" si="997"/>
        <v>5.3419655984999988E-2</v>
      </c>
      <c r="AQ418" s="77">
        <f t="shared" si="1043"/>
        <v>4.3462248459611441E-3</v>
      </c>
      <c r="AR418" s="79">
        <v>0</v>
      </c>
      <c r="AS418" s="77">
        <f t="shared" si="998"/>
        <v>0</v>
      </c>
      <c r="AT418" s="77">
        <f t="shared" ref="AT418" si="1067">1-(1-AS418)^(1/12)</f>
        <v>0</v>
      </c>
      <c r="AU418" s="77">
        <f t="shared" si="1000"/>
        <v>2.4999999999999996E-3</v>
      </c>
      <c r="AV418" s="77">
        <f t="shared" ref="AV418" si="1068">1-(1-AU418)^(1/12)</f>
        <v>2.0857243058891584E-4</v>
      </c>
      <c r="AX418" t="s">
        <v>178</v>
      </c>
      <c r="AY418" t="s">
        <v>160</v>
      </c>
      <c r="AZ418" s="197" t="str">
        <f t="shared" si="1046"/>
        <v>DIS_Non-Standard_127</v>
      </c>
      <c r="BA418">
        <v>127</v>
      </c>
      <c r="BB418">
        <f>VLOOKUP($BA418,'[2]NonStandard DIS'!$Q$1:$X$542,2,FALSE)</f>
        <v>6.2499999999999995E-3</v>
      </c>
      <c r="BC418">
        <f>VLOOKUP($BA418,'[2]NonStandard DIS'!$Q$1:$X$542,3,FALSE)</f>
        <v>0.224</v>
      </c>
      <c r="BD418">
        <f>VLOOKUP($BA418,'[2]NonStandard DIS'!$Q$1:$X$542,4,FALSE)</f>
        <v>0.76975000000000005</v>
      </c>
      <c r="BE418">
        <f>VLOOKUP($BA418,'[2]NonStandard DIS'!$Q$1:$X$542,5,FALSE)</f>
        <v>0</v>
      </c>
      <c r="BF418">
        <f>VLOOKUP($BA418,'[2]NonStandard DIS'!$Q$1:$X$542,6,FALSE)</f>
        <v>0</v>
      </c>
      <c r="BG418">
        <f>VLOOKUP($BA418,'[2]NonStandard DIS'!$Q$1:$X$542,7,FALSE)</f>
        <v>0</v>
      </c>
      <c r="BH418">
        <f>VLOOKUP($BA418,'[2]NonStandard DIS'!$Q$1:$X$542,8,FALSE)</f>
        <v>0</v>
      </c>
      <c r="BI418" s="77">
        <f t="shared" si="989"/>
        <v>1</v>
      </c>
      <c r="BJ418" s="77">
        <f t="shared" si="990"/>
        <v>6.0521918750000001E-2</v>
      </c>
      <c r="BK418" s="77">
        <f t="shared" si="971"/>
        <v>4.9087723339866773E-3</v>
      </c>
      <c r="BL418" s="79">
        <v>0</v>
      </c>
      <c r="BM418" s="77">
        <f t="shared" si="1002"/>
        <v>0</v>
      </c>
      <c r="BN418" s="77">
        <f t="shared" si="1003"/>
        <v>0</v>
      </c>
      <c r="BO418" s="77">
        <f t="shared" si="1004"/>
        <v>6.8788000000000009E-3</v>
      </c>
      <c r="BP418" s="77">
        <f t="shared" si="1005"/>
        <v>5.7143395582515133E-4</v>
      </c>
    </row>
    <row r="419" spans="1:68">
      <c r="A419" t="s">
        <v>175</v>
      </c>
      <c r="B419" t="s">
        <v>176</v>
      </c>
      <c r="C419" s="197" t="str">
        <f t="shared" si="1040"/>
        <v>Lifecycle_Balanced_126</v>
      </c>
      <c r="D419">
        <v>126</v>
      </c>
      <c r="E419">
        <f>VLOOKUP($D419,'[2]LC Balanced'!$Q$2:$U$542,2,FALSE)</f>
        <v>0.30449999999999999</v>
      </c>
      <c r="F419">
        <f>VLOOKUP($D419,'[2]LC Balanced'!$Q$2:$U$542,3,FALSE)</f>
        <v>0.28500000000000003</v>
      </c>
      <c r="G419">
        <f>VLOOKUP($D419,'[2]LC Balanced'!$Q$2:$U$542,4,FALSE)</f>
        <v>0.41049999999999998</v>
      </c>
      <c r="H419">
        <f>VLOOKUP($D419,'[2]LC Balanced'!$Q$2:$U$542,5,FALSE)</f>
        <v>0</v>
      </c>
      <c r="I419" s="77">
        <f t="shared" si="984"/>
        <v>1</v>
      </c>
      <c r="J419" s="77">
        <f t="shared" si="985"/>
        <v>5.2843437499999993E-2</v>
      </c>
      <c r="K419" s="77">
        <f t="shared" si="975"/>
        <v>4.300432079702432E-3</v>
      </c>
      <c r="L419" s="76">
        <v>0</v>
      </c>
      <c r="M419" s="77">
        <f t="shared" si="991"/>
        <v>0</v>
      </c>
      <c r="N419" s="77">
        <f t="shared" si="992"/>
        <v>0</v>
      </c>
      <c r="O419" s="77">
        <f t="shared" si="993"/>
        <v>5.3679000000000001E-3</v>
      </c>
      <c r="P419" s="77">
        <f t="shared" si="994"/>
        <v>4.4842933726196854E-4</v>
      </c>
      <c r="R419" t="s">
        <v>177</v>
      </c>
      <c r="S419" t="s">
        <v>176</v>
      </c>
      <c r="T419" s="197" t="str">
        <f t="shared" si="926"/>
        <v>Autopilot_Balanced_126</v>
      </c>
      <c r="U419">
        <v>126</v>
      </c>
      <c r="V419">
        <f>VLOOKUP($U419,'[2]AP Balanced'!$Q$1:$T$542,2,FALSE)</f>
        <v>0.17767006666666652</v>
      </c>
      <c r="W419">
        <f>VLOOKUP($U419,'[2]AP Balanced'!$Q$1:$T$542,3,FALSE)</f>
        <v>0.82232993333333348</v>
      </c>
      <c r="X419">
        <f>VLOOKUP($U419,'[2]AP Balanced'!$Q$1:$T$542,4,FALSE)</f>
        <v>0</v>
      </c>
      <c r="Y419" s="77">
        <f t="shared" si="1041"/>
        <v>1</v>
      </c>
      <c r="Z419" s="77">
        <f t="shared" si="1030"/>
        <v>5.3708570134999987E-2</v>
      </c>
      <c r="AA419" s="77">
        <f t="shared" si="1031"/>
        <v>4.3691765541677974E-3</v>
      </c>
      <c r="AB419" s="79">
        <v>1</v>
      </c>
      <c r="AC419" s="77">
        <f t="shared" si="995"/>
        <v>6.8553401333333328E-3</v>
      </c>
      <c r="AD419" s="77">
        <f t="shared" si="986"/>
        <v>5.7308121979127158E-4</v>
      </c>
      <c r="AE419" s="77">
        <f t="shared" si="996"/>
        <v>2.5000000000000001E-3</v>
      </c>
      <c r="AF419" s="77">
        <f t="shared" si="986"/>
        <v>2.0857243058891584E-4</v>
      </c>
      <c r="AH419" t="s">
        <v>175</v>
      </c>
      <c r="AI419" t="s">
        <v>176</v>
      </c>
      <c r="AJ419" s="197" t="str">
        <f t="shared" si="1042"/>
        <v>Lifecycle_Balanced_126</v>
      </c>
      <c r="AK419">
        <v>126</v>
      </c>
      <c r="AL419">
        <f>VLOOKUP($U419,[2]Standard_Balanced!$Q$1:$T$542,2,FALSE)</f>
        <v>0.15155353333333332</v>
      </c>
      <c r="AM419">
        <f>VLOOKUP($U419,[2]Standard_Balanced!$Q$1:$T$542,3,FALSE)</f>
        <v>0.84844646666666668</v>
      </c>
      <c r="AN419">
        <f>VLOOKUP($U419,[2]Standard_Balanced!$Q$1:$T$542,4,FALSE)</f>
        <v>0</v>
      </c>
      <c r="AO419" s="77">
        <f t="shared" si="972"/>
        <v>1</v>
      </c>
      <c r="AP419" s="77">
        <f t="shared" si="997"/>
        <v>5.3361873154999989E-2</v>
      </c>
      <c r="AQ419" s="77">
        <f t="shared" si="1043"/>
        <v>4.3416338119011133E-3</v>
      </c>
      <c r="AR419" s="79">
        <v>0</v>
      </c>
      <c r="AS419" s="77">
        <f t="shared" si="998"/>
        <v>0</v>
      </c>
      <c r="AT419" s="77">
        <f t="shared" ref="AT419" si="1069">1-(1-AS419)^(1/12)</f>
        <v>0</v>
      </c>
      <c r="AU419" s="77">
        <f t="shared" si="1000"/>
        <v>2.5000000000000001E-3</v>
      </c>
      <c r="AV419" s="77">
        <f t="shared" ref="AV419" si="1070">1-(1-AU419)^(1/12)</f>
        <v>2.0857243058891584E-4</v>
      </c>
      <c r="AX419" t="s">
        <v>178</v>
      </c>
      <c r="AY419" t="s">
        <v>160</v>
      </c>
      <c r="AZ419" s="197" t="str">
        <f t="shared" si="1046"/>
        <v>DIS_Non-Standard_126</v>
      </c>
      <c r="BA419">
        <v>126</v>
      </c>
      <c r="BB419">
        <f>VLOOKUP($BA419,'[2]NonStandard DIS'!$Q$1:$X$542,2,FALSE)</f>
        <v>7.4999999999999997E-3</v>
      </c>
      <c r="BC419">
        <f>VLOOKUP($BA419,'[2]NonStandard DIS'!$Q$1:$X$542,3,FALSE)</f>
        <v>0.23</v>
      </c>
      <c r="BD419">
        <f>VLOOKUP($BA419,'[2]NonStandard DIS'!$Q$1:$X$542,4,FALSE)</f>
        <v>0.76249999999999996</v>
      </c>
      <c r="BE419">
        <f>VLOOKUP($BA419,'[2]NonStandard DIS'!$Q$1:$X$542,5,FALSE)</f>
        <v>0</v>
      </c>
      <c r="BF419">
        <f>VLOOKUP($BA419,'[2]NonStandard DIS'!$Q$1:$X$542,6,FALSE)</f>
        <v>0</v>
      </c>
      <c r="BG419">
        <f>VLOOKUP($BA419,'[2]NonStandard DIS'!$Q$1:$X$542,7,FALSE)</f>
        <v>0</v>
      </c>
      <c r="BH419">
        <f>VLOOKUP($BA419,'[2]NonStandard DIS'!$Q$1:$X$542,8,FALSE)</f>
        <v>0</v>
      </c>
      <c r="BI419" s="77">
        <f t="shared" si="989"/>
        <v>1</v>
      </c>
      <c r="BJ419" s="77">
        <f t="shared" si="990"/>
        <v>6.0388062499999992E-2</v>
      </c>
      <c r="BK419" s="77">
        <f t="shared" si="971"/>
        <v>4.89820198024149E-3</v>
      </c>
      <c r="BL419" s="79">
        <v>0</v>
      </c>
      <c r="BM419" s="77">
        <f t="shared" si="1002"/>
        <v>0</v>
      </c>
      <c r="BN419" s="77">
        <f t="shared" si="1003"/>
        <v>0</v>
      </c>
      <c r="BO419" s="77">
        <f t="shared" si="1004"/>
        <v>6.8649999999999996E-3</v>
      </c>
      <c r="BP419" s="77">
        <f t="shared" si="1005"/>
        <v>5.702911525629073E-4</v>
      </c>
    </row>
    <row r="420" spans="1:68">
      <c r="A420" t="s">
        <v>175</v>
      </c>
      <c r="B420" t="s">
        <v>176</v>
      </c>
      <c r="C420" s="197" t="str">
        <f t="shared" si="1040"/>
        <v>Lifecycle_Balanced_125</v>
      </c>
      <c r="D420">
        <v>125</v>
      </c>
      <c r="E420">
        <f>VLOOKUP($D420,'[2]LC Balanced'!$Q$2:$U$542,2,FALSE)</f>
        <v>0.30891666666666667</v>
      </c>
      <c r="F420">
        <f>VLOOKUP($D420,'[2]LC Balanced'!$Q$2:$U$542,3,FALSE)</f>
        <v>0.28266666666666668</v>
      </c>
      <c r="G420">
        <f>VLOOKUP($D420,'[2]LC Balanced'!$Q$2:$U$542,4,FALSE)</f>
        <v>0.40841666666666665</v>
      </c>
      <c r="H420">
        <f>VLOOKUP($D420,'[2]LC Balanced'!$Q$2:$U$542,5,FALSE)</f>
        <v>0</v>
      </c>
      <c r="I420" s="77">
        <f t="shared" si="984"/>
        <v>1</v>
      </c>
      <c r="J420" s="77">
        <f t="shared" si="985"/>
        <v>5.2787018749999998E-2</v>
      </c>
      <c r="K420" s="77">
        <f t="shared" si="975"/>
        <v>4.2959471799952631E-3</v>
      </c>
      <c r="L420" s="76">
        <v>0</v>
      </c>
      <c r="M420" s="77">
        <f t="shared" si="991"/>
        <v>0</v>
      </c>
      <c r="N420" s="77">
        <f t="shared" si="992"/>
        <v>0</v>
      </c>
      <c r="O420" s="77">
        <f t="shared" si="993"/>
        <v>5.3497333333333329E-3</v>
      </c>
      <c r="P420" s="77">
        <f t="shared" si="994"/>
        <v>4.4690797338353683E-4</v>
      </c>
      <c r="R420" t="s">
        <v>177</v>
      </c>
      <c r="S420" t="s">
        <v>176</v>
      </c>
      <c r="T420" s="197" t="str">
        <f t="shared" si="926"/>
        <v>Autopilot_Balanced_125</v>
      </c>
      <c r="U420">
        <v>125</v>
      </c>
      <c r="V420">
        <f>VLOOKUP($U420,'[2]AP Balanced'!$Q$1:$T$542,2,FALSE)</f>
        <v>0.17767006666666652</v>
      </c>
      <c r="W420">
        <f>VLOOKUP($U420,'[2]AP Balanced'!$Q$1:$T$542,3,FALSE)</f>
        <v>0.82232993333333348</v>
      </c>
      <c r="X420">
        <f>VLOOKUP($U420,'[2]AP Balanced'!$Q$1:$T$542,4,FALSE)</f>
        <v>0</v>
      </c>
      <c r="Y420" s="77">
        <f t="shared" si="1041"/>
        <v>1</v>
      </c>
      <c r="Z420" s="77">
        <f t="shared" si="1030"/>
        <v>5.3708570134999987E-2</v>
      </c>
      <c r="AA420" s="77">
        <f t="shared" si="1031"/>
        <v>4.3691765541677974E-3</v>
      </c>
      <c r="AB420" s="79">
        <v>1</v>
      </c>
      <c r="AC420" s="77">
        <f t="shared" si="995"/>
        <v>6.8553401333333328E-3</v>
      </c>
      <c r="AD420" s="77">
        <f t="shared" si="986"/>
        <v>5.7308121979127158E-4</v>
      </c>
      <c r="AE420" s="77">
        <f t="shared" si="996"/>
        <v>2.5000000000000001E-3</v>
      </c>
      <c r="AF420" s="77">
        <f t="shared" si="986"/>
        <v>2.0857243058891584E-4</v>
      </c>
      <c r="AH420" t="s">
        <v>175</v>
      </c>
      <c r="AI420" t="s">
        <v>176</v>
      </c>
      <c r="AJ420" s="197" t="str">
        <f t="shared" si="1042"/>
        <v>Lifecycle_Balanced_125</v>
      </c>
      <c r="AK420">
        <v>125</v>
      </c>
      <c r="AL420">
        <f>VLOOKUP($U420,[2]Standard_Balanced!$Q$1:$T$542,2,FALSE)</f>
        <v>0.14720077777777776</v>
      </c>
      <c r="AM420">
        <f>VLOOKUP($U420,[2]Standard_Balanced!$Q$1:$T$542,3,FALSE)</f>
        <v>0.85279922222222226</v>
      </c>
      <c r="AN420">
        <f>VLOOKUP($U420,[2]Standard_Balanced!$Q$1:$T$542,4,FALSE)</f>
        <v>0</v>
      </c>
      <c r="AO420" s="77">
        <f t="shared" si="972"/>
        <v>1</v>
      </c>
      <c r="AP420" s="77">
        <f t="shared" si="997"/>
        <v>5.3304090324999991E-2</v>
      </c>
      <c r="AQ420" s="77">
        <f t="shared" si="1043"/>
        <v>4.3370425469781981E-3</v>
      </c>
      <c r="AR420" s="79">
        <v>0</v>
      </c>
      <c r="AS420" s="77">
        <f t="shared" si="998"/>
        <v>0</v>
      </c>
      <c r="AT420" s="77">
        <f t="shared" ref="AT420" si="1071">1-(1-AS420)^(1/12)</f>
        <v>0</v>
      </c>
      <c r="AU420" s="77">
        <f t="shared" si="1000"/>
        <v>2.5000000000000001E-3</v>
      </c>
      <c r="AV420" s="77">
        <f t="shared" ref="AV420" si="1072">1-(1-AU420)^(1/12)</f>
        <v>2.0857243058891584E-4</v>
      </c>
      <c r="AX420" t="s">
        <v>178</v>
      </c>
      <c r="AY420" t="s">
        <v>160</v>
      </c>
      <c r="AZ420" s="197" t="str">
        <f t="shared" si="1046"/>
        <v>DIS_Non-Standard_125</v>
      </c>
      <c r="BA420">
        <v>125</v>
      </c>
      <c r="BB420">
        <f>VLOOKUP($BA420,'[2]NonStandard DIS'!$Q$1:$X$542,2,FALSE)</f>
        <v>8.7499999999999991E-3</v>
      </c>
      <c r="BC420">
        <f>VLOOKUP($BA420,'[2]NonStandard DIS'!$Q$1:$X$542,3,FALSE)</f>
        <v>0.23600000000000002</v>
      </c>
      <c r="BD420">
        <f>VLOOKUP($BA420,'[2]NonStandard DIS'!$Q$1:$X$542,4,FALSE)</f>
        <v>0.75524999999999998</v>
      </c>
      <c r="BE420">
        <f>VLOOKUP($BA420,'[2]NonStandard DIS'!$Q$1:$X$542,5,FALSE)</f>
        <v>0</v>
      </c>
      <c r="BF420">
        <f>VLOOKUP($BA420,'[2]NonStandard DIS'!$Q$1:$X$542,6,FALSE)</f>
        <v>0</v>
      </c>
      <c r="BG420">
        <f>VLOOKUP($BA420,'[2]NonStandard DIS'!$Q$1:$X$542,7,FALSE)</f>
        <v>0</v>
      </c>
      <c r="BH420">
        <f>VLOOKUP($BA420,'[2]NonStandard DIS'!$Q$1:$X$542,8,FALSE)</f>
        <v>0</v>
      </c>
      <c r="BI420" s="77">
        <f t="shared" si="989"/>
        <v>1</v>
      </c>
      <c r="BJ420" s="77">
        <f t="shared" si="990"/>
        <v>6.0254206249999991E-2</v>
      </c>
      <c r="BK420" s="77">
        <f t="shared" si="971"/>
        <v>4.8876304032896556E-3</v>
      </c>
      <c r="BL420" s="79">
        <v>0</v>
      </c>
      <c r="BM420" s="77">
        <f t="shared" si="1002"/>
        <v>0</v>
      </c>
      <c r="BN420" s="77">
        <f t="shared" si="1003"/>
        <v>0</v>
      </c>
      <c r="BO420" s="77">
        <f t="shared" si="1004"/>
        <v>6.8512E-3</v>
      </c>
      <c r="BP420" s="77">
        <f t="shared" si="1005"/>
        <v>5.6914833494259298E-4</v>
      </c>
    </row>
    <row r="421" spans="1:68">
      <c r="A421" t="s">
        <v>175</v>
      </c>
      <c r="B421" t="s">
        <v>176</v>
      </c>
      <c r="C421" s="197" t="str">
        <f t="shared" si="1040"/>
        <v>Lifecycle_Balanced_124</v>
      </c>
      <c r="D421">
        <v>124</v>
      </c>
      <c r="E421">
        <f>VLOOKUP($D421,'[2]LC Balanced'!$Q$2:$U$542,2,FALSE)</f>
        <v>0.31333333333333335</v>
      </c>
      <c r="F421">
        <f>VLOOKUP($D421,'[2]LC Balanced'!$Q$2:$U$542,3,FALSE)</f>
        <v>0.28033333333333332</v>
      </c>
      <c r="G421">
        <f>VLOOKUP($D421,'[2]LC Balanced'!$Q$2:$U$542,4,FALSE)</f>
        <v>0.40633333333333332</v>
      </c>
      <c r="H421">
        <f>VLOOKUP($D421,'[2]LC Balanced'!$Q$2:$U$542,5,FALSE)</f>
        <v>0</v>
      </c>
      <c r="I421" s="77">
        <f t="shared" si="984"/>
        <v>1</v>
      </c>
      <c r="J421" s="77">
        <f t="shared" si="985"/>
        <v>5.2730599999999989E-2</v>
      </c>
      <c r="K421" s="77">
        <f t="shared" si="975"/>
        <v>4.2914620599663333E-3</v>
      </c>
      <c r="L421" s="76">
        <v>0</v>
      </c>
      <c r="M421" s="77">
        <f t="shared" si="991"/>
        <v>0</v>
      </c>
      <c r="N421" s="77">
        <f t="shared" si="992"/>
        <v>0</v>
      </c>
      <c r="O421" s="77">
        <f t="shared" si="993"/>
        <v>5.3315666666666666E-3</v>
      </c>
      <c r="P421" s="77">
        <f t="shared" si="994"/>
        <v>4.4538663497606379E-4</v>
      </c>
      <c r="R421" t="s">
        <v>177</v>
      </c>
      <c r="S421" t="s">
        <v>176</v>
      </c>
      <c r="T421" s="197" t="str">
        <f t="shared" si="926"/>
        <v>Autopilot_Balanced_124</v>
      </c>
      <c r="U421">
        <v>124</v>
      </c>
      <c r="V421">
        <f>VLOOKUP($U421,'[2]AP Balanced'!$Q$1:$T$542,2,FALSE)</f>
        <v>0.17767006666666652</v>
      </c>
      <c r="W421">
        <f>VLOOKUP($U421,'[2]AP Balanced'!$Q$1:$T$542,3,FALSE)</f>
        <v>0.82232993333333348</v>
      </c>
      <c r="X421">
        <f>VLOOKUP($U421,'[2]AP Balanced'!$Q$1:$T$542,4,FALSE)</f>
        <v>0</v>
      </c>
      <c r="Y421" s="77">
        <f t="shared" si="1041"/>
        <v>1</v>
      </c>
      <c r="Z421" s="77">
        <f t="shared" si="1030"/>
        <v>5.3708570134999987E-2</v>
      </c>
      <c r="AA421" s="77">
        <f t="shared" si="1031"/>
        <v>4.3691765541677974E-3</v>
      </c>
      <c r="AB421" s="79">
        <v>1</v>
      </c>
      <c r="AC421" s="77">
        <f t="shared" si="995"/>
        <v>6.8553401333333328E-3</v>
      </c>
      <c r="AD421" s="77">
        <f t="shared" si="986"/>
        <v>5.7308121979127158E-4</v>
      </c>
      <c r="AE421" s="77">
        <f t="shared" si="996"/>
        <v>2.5000000000000001E-3</v>
      </c>
      <c r="AF421" s="77">
        <f t="shared" si="986"/>
        <v>2.0857243058891584E-4</v>
      </c>
      <c r="AH421" t="s">
        <v>175</v>
      </c>
      <c r="AI421" t="s">
        <v>176</v>
      </c>
      <c r="AJ421" s="197" t="str">
        <f t="shared" si="1042"/>
        <v>Lifecycle_Balanced_124</v>
      </c>
      <c r="AK421">
        <v>124</v>
      </c>
      <c r="AL421">
        <f>VLOOKUP($U421,[2]Standard_Balanced!$Q$1:$T$542,2,FALSE)</f>
        <v>0.14284802222222223</v>
      </c>
      <c r="AM421">
        <f>VLOOKUP($U421,[2]Standard_Balanced!$Q$1:$T$542,3,FALSE)</f>
        <v>0.85715197777777774</v>
      </c>
      <c r="AN421">
        <f>VLOOKUP($U421,[2]Standard_Balanced!$Q$1:$T$542,4,FALSE)</f>
        <v>0</v>
      </c>
      <c r="AO421" s="77">
        <f t="shared" si="972"/>
        <v>1</v>
      </c>
      <c r="AP421" s="77">
        <f t="shared" si="997"/>
        <v>5.3246307494999992E-2</v>
      </c>
      <c r="AQ421" s="77">
        <f t="shared" si="1043"/>
        <v>4.3324510511679737E-3</v>
      </c>
      <c r="AR421" s="79">
        <v>0</v>
      </c>
      <c r="AS421" s="77">
        <f t="shared" si="998"/>
        <v>0</v>
      </c>
      <c r="AT421" s="77">
        <f t="shared" ref="AT421" si="1073">1-(1-AS421)^(1/12)</f>
        <v>0</v>
      </c>
      <c r="AU421" s="77">
        <f t="shared" si="1000"/>
        <v>2.5000000000000001E-3</v>
      </c>
      <c r="AV421" s="77">
        <f t="shared" ref="AV421" si="1074">1-(1-AU421)^(1/12)</f>
        <v>2.0857243058891584E-4</v>
      </c>
      <c r="AX421" t="s">
        <v>178</v>
      </c>
      <c r="AY421" t="s">
        <v>160</v>
      </c>
      <c r="AZ421" s="197" t="str">
        <f t="shared" si="1046"/>
        <v>DIS_Non-Standard_124</v>
      </c>
      <c r="BA421">
        <v>124</v>
      </c>
      <c r="BB421">
        <f>VLOOKUP($BA421,'[2]NonStandard DIS'!$Q$1:$X$542,2,FALSE)</f>
        <v>0.01</v>
      </c>
      <c r="BC421">
        <f>VLOOKUP($BA421,'[2]NonStandard DIS'!$Q$1:$X$542,3,FALSE)</f>
        <v>0.24200000000000002</v>
      </c>
      <c r="BD421">
        <f>VLOOKUP($BA421,'[2]NonStandard DIS'!$Q$1:$X$542,4,FALSE)</f>
        <v>0.748</v>
      </c>
      <c r="BE421">
        <f>VLOOKUP($BA421,'[2]NonStandard DIS'!$Q$1:$X$542,5,FALSE)</f>
        <v>0</v>
      </c>
      <c r="BF421">
        <f>VLOOKUP($BA421,'[2]NonStandard DIS'!$Q$1:$X$542,6,FALSE)</f>
        <v>0</v>
      </c>
      <c r="BG421">
        <f>VLOOKUP($BA421,'[2]NonStandard DIS'!$Q$1:$X$542,7,FALSE)</f>
        <v>0</v>
      </c>
      <c r="BH421">
        <f>VLOOKUP($BA421,'[2]NonStandard DIS'!$Q$1:$X$542,8,FALSE)</f>
        <v>0</v>
      </c>
      <c r="BI421" s="77">
        <f t="shared" si="989"/>
        <v>1</v>
      </c>
      <c r="BJ421" s="77">
        <f t="shared" si="990"/>
        <v>6.0120349999999996E-2</v>
      </c>
      <c r="BK421" s="77">
        <f t="shared" si="971"/>
        <v>4.8770576028347445E-3</v>
      </c>
      <c r="BL421" s="79">
        <v>0</v>
      </c>
      <c r="BM421" s="77">
        <f t="shared" si="1002"/>
        <v>0</v>
      </c>
      <c r="BN421" s="77">
        <f t="shared" si="1003"/>
        <v>0</v>
      </c>
      <c r="BO421" s="77">
        <f t="shared" si="1004"/>
        <v>6.8374000000000004E-3</v>
      </c>
      <c r="BP421" s="77">
        <f t="shared" si="1005"/>
        <v>5.6800550296420838E-4</v>
      </c>
    </row>
    <row r="422" spans="1:68">
      <c r="A422" t="s">
        <v>175</v>
      </c>
      <c r="B422" t="s">
        <v>176</v>
      </c>
      <c r="C422" s="197" t="str">
        <f t="shared" si="1040"/>
        <v>Lifecycle_Balanced_123</v>
      </c>
      <c r="D422">
        <v>123</v>
      </c>
      <c r="E422">
        <f>VLOOKUP($D422,'[2]LC Balanced'!$Q$2:$U$542,2,FALSE)</f>
        <v>0.31775000000000003</v>
      </c>
      <c r="F422">
        <f>VLOOKUP($D422,'[2]LC Balanced'!$Q$2:$U$542,3,FALSE)</f>
        <v>0.27800000000000002</v>
      </c>
      <c r="G422">
        <f>VLOOKUP($D422,'[2]LC Balanced'!$Q$2:$U$542,4,FALSE)</f>
        <v>0.40425</v>
      </c>
      <c r="H422">
        <f>VLOOKUP($D422,'[2]LC Balanced'!$Q$2:$U$542,5,FALSE)</f>
        <v>0</v>
      </c>
      <c r="I422" s="77">
        <f t="shared" si="984"/>
        <v>1</v>
      </c>
      <c r="J422" s="77">
        <f t="shared" si="985"/>
        <v>5.267418125E-2</v>
      </c>
      <c r="K422" s="77">
        <f t="shared" si="975"/>
        <v>4.2869767195925501E-3</v>
      </c>
      <c r="L422" s="76">
        <v>0</v>
      </c>
      <c r="M422" s="77">
        <f t="shared" si="991"/>
        <v>0</v>
      </c>
      <c r="N422" s="77">
        <f t="shared" si="992"/>
        <v>0</v>
      </c>
      <c r="O422" s="77">
        <f t="shared" si="993"/>
        <v>5.3133999999999994E-3</v>
      </c>
      <c r="P422" s="77">
        <f t="shared" si="994"/>
        <v>4.4386532203866125E-4</v>
      </c>
      <c r="R422" t="s">
        <v>177</v>
      </c>
      <c r="S422" t="s">
        <v>176</v>
      </c>
      <c r="T422" s="197" t="str">
        <f t="shared" si="926"/>
        <v>Autopilot_Balanced_123</v>
      </c>
      <c r="U422">
        <v>123</v>
      </c>
      <c r="V422">
        <f>VLOOKUP($U422,'[2]AP Balanced'!$Q$1:$T$542,2,FALSE)</f>
        <v>0.17767006666666652</v>
      </c>
      <c r="W422">
        <f>VLOOKUP($U422,'[2]AP Balanced'!$Q$1:$T$542,3,FALSE)</f>
        <v>0.82232993333333348</v>
      </c>
      <c r="X422">
        <f>VLOOKUP($U422,'[2]AP Balanced'!$Q$1:$T$542,4,FALSE)</f>
        <v>0</v>
      </c>
      <c r="Y422" s="77">
        <f t="shared" si="1041"/>
        <v>1</v>
      </c>
      <c r="Z422" s="77">
        <f t="shared" si="1030"/>
        <v>5.3708570134999987E-2</v>
      </c>
      <c r="AA422" s="77">
        <f t="shared" si="1031"/>
        <v>4.3691765541677974E-3</v>
      </c>
      <c r="AB422" s="79">
        <v>1</v>
      </c>
      <c r="AC422" s="77">
        <f t="shared" si="995"/>
        <v>6.8553401333333328E-3</v>
      </c>
      <c r="AD422" s="77">
        <f t="shared" si="986"/>
        <v>5.7308121979127158E-4</v>
      </c>
      <c r="AE422" s="77">
        <f t="shared" si="996"/>
        <v>2.5000000000000001E-3</v>
      </c>
      <c r="AF422" s="77">
        <f t="shared" si="986"/>
        <v>2.0857243058891584E-4</v>
      </c>
      <c r="AH422" t="s">
        <v>175</v>
      </c>
      <c r="AI422" t="s">
        <v>176</v>
      </c>
      <c r="AJ422" s="197" t="str">
        <f t="shared" si="1042"/>
        <v>Lifecycle_Balanced_123</v>
      </c>
      <c r="AK422">
        <v>123</v>
      </c>
      <c r="AL422">
        <f>VLOOKUP($U422,[2]Standard_Balanced!$Q$1:$T$542,2,FALSE)</f>
        <v>0.1384952666666667</v>
      </c>
      <c r="AM422">
        <f>VLOOKUP($U422,[2]Standard_Balanced!$Q$1:$T$542,3,FALSE)</f>
        <v>0.86150473333333322</v>
      </c>
      <c r="AN422">
        <f>VLOOKUP($U422,[2]Standard_Balanced!$Q$1:$T$542,4,FALSE)</f>
        <v>0</v>
      </c>
      <c r="AO422" s="77">
        <f t="shared" si="972"/>
        <v>0.99999999999999989</v>
      </c>
      <c r="AP422" s="77">
        <f t="shared" si="997"/>
        <v>5.3188524664999987E-2</v>
      </c>
      <c r="AQ422" s="77">
        <f t="shared" si="1043"/>
        <v>4.3278593244464592E-3</v>
      </c>
      <c r="AR422" s="79">
        <v>0</v>
      </c>
      <c r="AS422" s="77">
        <f t="shared" si="998"/>
        <v>0</v>
      </c>
      <c r="AT422" s="77">
        <f t="shared" ref="AT422" si="1075">1-(1-AS422)^(1/12)</f>
        <v>0</v>
      </c>
      <c r="AU422" s="77">
        <f t="shared" si="1000"/>
        <v>2.4999999999999996E-3</v>
      </c>
      <c r="AV422" s="77">
        <f t="shared" ref="AV422" si="1076">1-(1-AU422)^(1/12)</f>
        <v>2.0857243058891584E-4</v>
      </c>
      <c r="AX422" t="s">
        <v>178</v>
      </c>
      <c r="AY422" t="s">
        <v>160</v>
      </c>
      <c r="AZ422" s="197" t="str">
        <f t="shared" si="1046"/>
        <v>DIS_Non-Standard_123</v>
      </c>
      <c r="BA422">
        <v>123</v>
      </c>
      <c r="BB422">
        <f>VLOOKUP($BA422,'[2]NonStandard DIS'!$Q$1:$X$542,2,FALSE)</f>
        <v>1.125E-2</v>
      </c>
      <c r="BC422">
        <f>VLOOKUP($BA422,'[2]NonStandard DIS'!$Q$1:$X$542,3,FALSE)</f>
        <v>0.248</v>
      </c>
      <c r="BD422">
        <f>VLOOKUP($BA422,'[2]NonStandard DIS'!$Q$1:$X$542,4,FALSE)</f>
        <v>0.74075000000000002</v>
      </c>
      <c r="BE422">
        <f>VLOOKUP($BA422,'[2]NonStandard DIS'!$Q$1:$X$542,5,FALSE)</f>
        <v>0</v>
      </c>
      <c r="BF422">
        <f>VLOOKUP($BA422,'[2]NonStandard DIS'!$Q$1:$X$542,6,FALSE)</f>
        <v>0</v>
      </c>
      <c r="BG422">
        <f>VLOOKUP($BA422,'[2]NonStandard DIS'!$Q$1:$X$542,7,FALSE)</f>
        <v>0</v>
      </c>
      <c r="BH422">
        <f>VLOOKUP($BA422,'[2]NonStandard DIS'!$Q$1:$X$542,8,FALSE)</f>
        <v>0</v>
      </c>
      <c r="BI422" s="77">
        <f t="shared" si="989"/>
        <v>1</v>
      </c>
      <c r="BJ422" s="77">
        <f t="shared" si="990"/>
        <v>5.9986493749999995E-2</v>
      </c>
      <c r="BK422" s="77">
        <f t="shared" si="971"/>
        <v>4.8664835785807714E-3</v>
      </c>
      <c r="BL422" s="79">
        <v>0</v>
      </c>
      <c r="BM422" s="77">
        <f t="shared" si="1002"/>
        <v>0</v>
      </c>
      <c r="BN422" s="77">
        <f t="shared" si="1003"/>
        <v>0</v>
      </c>
      <c r="BO422" s="77">
        <f t="shared" si="1004"/>
        <v>6.8236E-3</v>
      </c>
      <c r="BP422" s="77">
        <f t="shared" si="1005"/>
        <v>5.668626566268653E-4</v>
      </c>
    </row>
    <row r="423" spans="1:68">
      <c r="A423" t="s">
        <v>175</v>
      </c>
      <c r="B423" t="s">
        <v>176</v>
      </c>
      <c r="C423" s="197" t="str">
        <f t="shared" si="1040"/>
        <v>Lifecycle_Balanced_122</v>
      </c>
      <c r="D423">
        <v>122</v>
      </c>
      <c r="E423">
        <f>VLOOKUP($D423,'[2]LC Balanced'!$Q$2:$U$542,2,FALSE)</f>
        <v>0.32216666666666671</v>
      </c>
      <c r="F423">
        <f>VLOOKUP($D423,'[2]LC Balanced'!$Q$2:$U$542,3,FALSE)</f>
        <v>0.27566666666666667</v>
      </c>
      <c r="G423">
        <f>VLOOKUP($D423,'[2]LC Balanced'!$Q$2:$U$542,4,FALSE)</f>
        <v>0.40216666666666667</v>
      </c>
      <c r="H423">
        <f>VLOOKUP($D423,'[2]LC Balanced'!$Q$2:$U$542,5,FALSE)</f>
        <v>0</v>
      </c>
      <c r="I423" s="77">
        <f t="shared" si="984"/>
        <v>1</v>
      </c>
      <c r="J423" s="77">
        <f t="shared" si="985"/>
        <v>5.2617762499999998E-2</v>
      </c>
      <c r="K423" s="77">
        <f t="shared" si="975"/>
        <v>4.2824911588517089E-3</v>
      </c>
      <c r="L423" s="76">
        <v>0</v>
      </c>
      <c r="M423" s="77">
        <f t="shared" si="991"/>
        <v>0</v>
      </c>
      <c r="N423" s="77">
        <f t="shared" si="992"/>
        <v>0</v>
      </c>
      <c r="O423" s="77">
        <f t="shared" si="993"/>
        <v>5.295233333333333E-3</v>
      </c>
      <c r="P423" s="77">
        <f t="shared" si="994"/>
        <v>4.4234403457055205E-4</v>
      </c>
      <c r="R423" t="s">
        <v>177</v>
      </c>
      <c r="S423" t="s">
        <v>176</v>
      </c>
      <c r="T423" s="197" t="str">
        <f t="shared" si="926"/>
        <v>Autopilot_Balanced_122</v>
      </c>
      <c r="U423">
        <v>122</v>
      </c>
      <c r="V423">
        <f>VLOOKUP($U423,'[2]AP Balanced'!$Q$1:$T$542,2,FALSE)</f>
        <v>0.17767006666666652</v>
      </c>
      <c r="W423">
        <f>VLOOKUP($U423,'[2]AP Balanced'!$Q$1:$T$542,3,FALSE)</f>
        <v>0.82232993333333348</v>
      </c>
      <c r="X423">
        <f>VLOOKUP($U423,'[2]AP Balanced'!$Q$1:$T$542,4,FALSE)</f>
        <v>0</v>
      </c>
      <c r="Y423" s="77">
        <f t="shared" si="1041"/>
        <v>1</v>
      </c>
      <c r="Z423" s="77">
        <f t="shared" si="1030"/>
        <v>5.3708570134999987E-2</v>
      </c>
      <c r="AA423" s="77">
        <f t="shared" si="1031"/>
        <v>4.3691765541677974E-3</v>
      </c>
      <c r="AB423" s="79">
        <v>1</v>
      </c>
      <c r="AC423" s="77">
        <f t="shared" si="995"/>
        <v>6.8553401333333328E-3</v>
      </c>
      <c r="AD423" s="77">
        <f t="shared" si="986"/>
        <v>5.7308121979127158E-4</v>
      </c>
      <c r="AE423" s="77">
        <f t="shared" si="996"/>
        <v>2.5000000000000001E-3</v>
      </c>
      <c r="AF423" s="77">
        <f t="shared" si="986"/>
        <v>2.0857243058891584E-4</v>
      </c>
      <c r="AH423" t="s">
        <v>175</v>
      </c>
      <c r="AI423" t="s">
        <v>176</v>
      </c>
      <c r="AJ423" s="197" t="str">
        <f t="shared" si="1042"/>
        <v>Lifecycle_Balanced_122</v>
      </c>
      <c r="AK423">
        <v>122</v>
      </c>
      <c r="AL423">
        <f>VLOOKUP($U423,[2]Standard_Balanced!$Q$1:$T$542,2,FALSE)</f>
        <v>0.13414251111111117</v>
      </c>
      <c r="AM423">
        <f>VLOOKUP($U423,[2]Standard_Balanced!$Q$1:$T$542,3,FALSE)</f>
        <v>0.8658574888888888</v>
      </c>
      <c r="AN423">
        <f>VLOOKUP($U423,[2]Standard_Balanced!$Q$1:$T$542,4,FALSE)</f>
        <v>0</v>
      </c>
      <c r="AO423" s="77">
        <f t="shared" si="972"/>
        <v>1</v>
      </c>
      <c r="AP423" s="77">
        <f t="shared" si="997"/>
        <v>5.3130741834999995E-2</v>
      </c>
      <c r="AQ423" s="77">
        <f t="shared" si="1043"/>
        <v>4.3232673667892296E-3</v>
      </c>
      <c r="AR423" s="79">
        <v>0</v>
      </c>
      <c r="AS423" s="77">
        <f t="shared" si="998"/>
        <v>0</v>
      </c>
      <c r="AT423" s="77">
        <f t="shared" ref="AT423" si="1077">1-(1-AS423)^(1/12)</f>
        <v>0</v>
      </c>
      <c r="AU423" s="77">
        <f t="shared" si="1000"/>
        <v>2.5000000000000001E-3</v>
      </c>
      <c r="AV423" s="77">
        <f t="shared" ref="AV423" si="1078">1-(1-AU423)^(1/12)</f>
        <v>2.0857243058891584E-4</v>
      </c>
      <c r="AX423" t="s">
        <v>178</v>
      </c>
      <c r="AY423" t="s">
        <v>160</v>
      </c>
      <c r="AZ423" s="197" t="str">
        <f t="shared" si="1046"/>
        <v>DIS_Non-Standard_122</v>
      </c>
      <c r="BA423">
        <v>122</v>
      </c>
      <c r="BB423">
        <f>VLOOKUP($BA423,'[2]NonStandard DIS'!$Q$1:$X$542,2,FALSE)</f>
        <v>1.2499999999999999E-2</v>
      </c>
      <c r="BC423">
        <f>VLOOKUP($BA423,'[2]NonStandard DIS'!$Q$1:$X$542,3,FALSE)</f>
        <v>0.254</v>
      </c>
      <c r="BD423">
        <f>VLOOKUP($BA423,'[2]NonStandard DIS'!$Q$1:$X$542,4,FALSE)</f>
        <v>0.73350000000000004</v>
      </c>
      <c r="BE423">
        <f>VLOOKUP($BA423,'[2]NonStandard DIS'!$Q$1:$X$542,5,FALSE)</f>
        <v>0</v>
      </c>
      <c r="BF423">
        <f>VLOOKUP($BA423,'[2]NonStandard DIS'!$Q$1:$X$542,6,FALSE)</f>
        <v>0</v>
      </c>
      <c r="BG423">
        <f>VLOOKUP($BA423,'[2]NonStandard DIS'!$Q$1:$X$542,7,FALSE)</f>
        <v>0</v>
      </c>
      <c r="BH423">
        <f>VLOOKUP($BA423,'[2]NonStandard DIS'!$Q$1:$X$542,8,FALSE)</f>
        <v>0</v>
      </c>
      <c r="BI423" s="77">
        <f t="shared" si="989"/>
        <v>1</v>
      </c>
      <c r="BJ423" s="77">
        <f t="shared" si="990"/>
        <v>5.9852637499999993E-2</v>
      </c>
      <c r="BK423" s="77">
        <f t="shared" si="971"/>
        <v>4.8559083302317507E-3</v>
      </c>
      <c r="BL423" s="79">
        <v>0</v>
      </c>
      <c r="BM423" s="77">
        <f t="shared" si="1002"/>
        <v>0</v>
      </c>
      <c r="BN423" s="77">
        <f t="shared" si="1003"/>
        <v>0</v>
      </c>
      <c r="BO423" s="77">
        <f t="shared" si="1004"/>
        <v>6.8097999999999995E-3</v>
      </c>
      <c r="BP423" s="77">
        <f t="shared" si="1005"/>
        <v>5.6571979593034172E-4</v>
      </c>
    </row>
    <row r="424" spans="1:68">
      <c r="A424" t="s">
        <v>175</v>
      </c>
      <c r="B424" t="s">
        <v>176</v>
      </c>
      <c r="C424" s="197" t="str">
        <f t="shared" si="1040"/>
        <v>Lifecycle_Balanced_121</v>
      </c>
      <c r="D424">
        <v>121</v>
      </c>
      <c r="E424">
        <f>VLOOKUP($D424,'[2]LC Balanced'!$Q$2:$U$542,2,FALSE)</f>
        <v>0.32658333333333334</v>
      </c>
      <c r="F424">
        <f>VLOOKUP($D424,'[2]LC Balanced'!$Q$2:$U$542,3,FALSE)</f>
        <v>0.27333333333333337</v>
      </c>
      <c r="G424">
        <f>VLOOKUP($D424,'[2]LC Balanced'!$Q$2:$U$542,4,FALSE)</f>
        <v>0.40008333333333335</v>
      </c>
      <c r="H424">
        <f>VLOOKUP($D424,'[2]LC Balanced'!$Q$2:$U$542,5,FALSE)</f>
        <v>0</v>
      </c>
      <c r="I424" s="77">
        <f t="shared" si="984"/>
        <v>1</v>
      </c>
      <c r="J424" s="77">
        <f t="shared" si="985"/>
        <v>5.2561343749999996E-2</v>
      </c>
      <c r="K424" s="77">
        <f t="shared" si="975"/>
        <v>4.2780053777209393E-3</v>
      </c>
      <c r="L424" s="76">
        <v>0</v>
      </c>
      <c r="M424" s="77">
        <f t="shared" si="991"/>
        <v>0</v>
      </c>
      <c r="N424" s="77">
        <f t="shared" si="992"/>
        <v>0</v>
      </c>
      <c r="O424" s="77">
        <f t="shared" si="993"/>
        <v>5.2770666666666667E-3</v>
      </c>
      <c r="P424" s="77">
        <f t="shared" si="994"/>
        <v>4.4082277257073699E-4</v>
      </c>
      <c r="R424" t="s">
        <v>177</v>
      </c>
      <c r="S424" t="s">
        <v>176</v>
      </c>
      <c r="T424" s="197" t="str">
        <f t="shared" si="926"/>
        <v>Autopilot_Balanced_121</v>
      </c>
      <c r="U424">
        <v>121</v>
      </c>
      <c r="V424">
        <f>VLOOKUP($U424,'[2]AP Balanced'!$Q$1:$T$542,2,FALSE)</f>
        <v>0.17767006666666652</v>
      </c>
      <c r="W424">
        <f>VLOOKUP($U424,'[2]AP Balanced'!$Q$1:$T$542,3,FALSE)</f>
        <v>0.82232993333333348</v>
      </c>
      <c r="X424">
        <f>VLOOKUP($U424,'[2]AP Balanced'!$Q$1:$T$542,4,FALSE)</f>
        <v>0</v>
      </c>
      <c r="Y424" s="77">
        <f t="shared" si="1041"/>
        <v>1</v>
      </c>
      <c r="Z424" s="77">
        <f t="shared" si="1030"/>
        <v>5.3708570134999987E-2</v>
      </c>
      <c r="AA424" s="77">
        <f t="shared" si="1031"/>
        <v>4.3691765541677974E-3</v>
      </c>
      <c r="AB424" s="79">
        <v>1</v>
      </c>
      <c r="AC424" s="77">
        <f t="shared" si="995"/>
        <v>6.8553401333333328E-3</v>
      </c>
      <c r="AD424" s="77">
        <f t="shared" si="986"/>
        <v>5.7308121979127158E-4</v>
      </c>
      <c r="AE424" s="77">
        <f t="shared" si="996"/>
        <v>2.5000000000000001E-3</v>
      </c>
      <c r="AF424" s="77">
        <f t="shared" si="986"/>
        <v>2.0857243058891584E-4</v>
      </c>
      <c r="AH424" t="s">
        <v>175</v>
      </c>
      <c r="AI424" t="s">
        <v>176</v>
      </c>
      <c r="AJ424" s="197" t="str">
        <f t="shared" si="1042"/>
        <v>Lifecycle_Balanced_121</v>
      </c>
      <c r="AK424">
        <v>121</v>
      </c>
      <c r="AL424">
        <f>VLOOKUP($U424,[2]Standard_Balanced!$Q$1:$T$542,2,FALSE)</f>
        <v>0.12978975555555564</v>
      </c>
      <c r="AM424">
        <f>VLOOKUP($U424,[2]Standard_Balanced!$Q$1:$T$542,3,FALSE)</f>
        <v>0.87021024444444439</v>
      </c>
      <c r="AN424">
        <f>VLOOKUP($U424,[2]Standard_Balanced!$Q$1:$T$542,4,FALSE)</f>
        <v>0</v>
      </c>
      <c r="AO424" s="77">
        <f t="shared" si="972"/>
        <v>1</v>
      </c>
      <c r="AP424" s="77">
        <f t="shared" si="997"/>
        <v>5.3072959004999989E-2</v>
      </c>
      <c r="AQ424" s="77">
        <f t="shared" si="1043"/>
        <v>4.3186751781720822E-3</v>
      </c>
      <c r="AR424" s="79">
        <v>0</v>
      </c>
      <c r="AS424" s="77">
        <f t="shared" si="998"/>
        <v>0</v>
      </c>
      <c r="AT424" s="77">
        <f t="shared" ref="AT424" si="1079">1-(1-AS424)^(1/12)</f>
        <v>0</v>
      </c>
      <c r="AU424" s="77">
        <f t="shared" si="1000"/>
        <v>2.5000000000000001E-3</v>
      </c>
      <c r="AV424" s="77">
        <f t="shared" ref="AV424" si="1080">1-(1-AU424)^(1/12)</f>
        <v>2.0857243058891584E-4</v>
      </c>
      <c r="AX424" t="s">
        <v>178</v>
      </c>
      <c r="AY424" t="s">
        <v>160</v>
      </c>
      <c r="AZ424" s="197" t="str">
        <f t="shared" si="1046"/>
        <v>DIS_Non-Standard_121</v>
      </c>
      <c r="BA424">
        <v>121</v>
      </c>
      <c r="BB424">
        <f>VLOOKUP($BA424,'[2]NonStandard DIS'!$Q$1:$X$542,2,FALSE)</f>
        <v>1.375E-2</v>
      </c>
      <c r="BC424">
        <f>VLOOKUP($BA424,'[2]NonStandard DIS'!$Q$1:$X$542,3,FALSE)</f>
        <v>0.26</v>
      </c>
      <c r="BD424">
        <f>VLOOKUP($BA424,'[2]NonStandard DIS'!$Q$1:$X$542,4,FALSE)</f>
        <v>0.72624999999999995</v>
      </c>
      <c r="BE424">
        <f>VLOOKUP($BA424,'[2]NonStandard DIS'!$Q$1:$X$542,5,FALSE)</f>
        <v>0</v>
      </c>
      <c r="BF424">
        <f>VLOOKUP($BA424,'[2]NonStandard DIS'!$Q$1:$X$542,6,FALSE)</f>
        <v>0</v>
      </c>
      <c r="BG424">
        <f>VLOOKUP($BA424,'[2]NonStandard DIS'!$Q$1:$X$542,7,FALSE)</f>
        <v>0</v>
      </c>
      <c r="BH424">
        <f>VLOOKUP($BA424,'[2]NonStandard DIS'!$Q$1:$X$542,8,FALSE)</f>
        <v>0</v>
      </c>
      <c r="BI424" s="77">
        <f t="shared" si="989"/>
        <v>1</v>
      </c>
      <c r="BJ424" s="77">
        <f t="shared" si="990"/>
        <v>5.9718781249999991E-2</v>
      </c>
      <c r="BK424" s="77">
        <f t="shared" si="971"/>
        <v>4.8453318574910309E-3</v>
      </c>
      <c r="BL424" s="79">
        <v>0</v>
      </c>
      <c r="BM424" s="77">
        <f t="shared" si="1002"/>
        <v>0</v>
      </c>
      <c r="BN424" s="77">
        <f t="shared" si="1003"/>
        <v>0</v>
      </c>
      <c r="BO424" s="77">
        <f t="shared" si="1004"/>
        <v>6.7959999999999991E-3</v>
      </c>
      <c r="BP424" s="77">
        <f t="shared" si="1005"/>
        <v>5.6457692087441558E-4</v>
      </c>
    </row>
    <row r="425" spans="1:68">
      <c r="A425" t="s">
        <v>175</v>
      </c>
      <c r="B425" t="s">
        <v>176</v>
      </c>
      <c r="C425" s="197" t="str">
        <f t="shared" si="1040"/>
        <v>Lifecycle_Balanced_120</v>
      </c>
      <c r="D425">
        <v>120</v>
      </c>
      <c r="E425">
        <f>VLOOKUP($D425,'[2]LC Balanced'!$Q$2:$U$542,2,FALSE)</f>
        <v>0.33100000000000002</v>
      </c>
      <c r="F425">
        <f>VLOOKUP($D425,'[2]LC Balanced'!$Q$2:$U$542,3,FALSE)</f>
        <v>0.27100000000000002</v>
      </c>
      <c r="G425">
        <f>VLOOKUP($D425,'[2]LC Balanced'!$Q$2:$U$542,4,FALSE)</f>
        <v>0.39800000000000002</v>
      </c>
      <c r="H425">
        <f>VLOOKUP($D425,'[2]LC Balanced'!$Q$2:$U$542,5,FALSE)</f>
        <v>0</v>
      </c>
      <c r="I425" s="77">
        <f t="shared" si="984"/>
        <v>1</v>
      </c>
      <c r="J425" s="77">
        <f t="shared" si="985"/>
        <v>5.2504925000000001E-2</v>
      </c>
      <c r="K425" s="77">
        <f t="shared" si="975"/>
        <v>4.2735193761775925E-3</v>
      </c>
      <c r="L425" s="76">
        <v>0</v>
      </c>
      <c r="M425" s="77">
        <f t="shared" si="991"/>
        <v>0</v>
      </c>
      <c r="N425" s="77">
        <f t="shared" si="992"/>
        <v>0</v>
      </c>
      <c r="O425" s="77">
        <f t="shared" si="993"/>
        <v>5.2589000000000004E-3</v>
      </c>
      <c r="P425" s="77">
        <f t="shared" si="994"/>
        <v>4.3930153603821687E-4</v>
      </c>
      <c r="R425" t="s">
        <v>177</v>
      </c>
      <c r="S425" t="s">
        <v>176</v>
      </c>
      <c r="T425" s="197" t="str">
        <f t="shared" si="926"/>
        <v>Autopilot_Balanced_120</v>
      </c>
      <c r="U425">
        <v>120</v>
      </c>
      <c r="V425">
        <f>VLOOKUP($U425,'[2]AP Balanced'!$Q$1:$T$542,2,FALSE)</f>
        <v>0.1254370000000001</v>
      </c>
      <c r="W425">
        <f>VLOOKUP($U425,'[2]AP Balanced'!$Q$1:$T$542,3,FALSE)</f>
        <v>0.87456299999999987</v>
      </c>
      <c r="X425">
        <f>VLOOKUP($U425,'[2]AP Balanced'!$Q$1:$T$542,4,FALSE)</f>
        <v>0</v>
      </c>
      <c r="Y425" s="77">
        <f t="shared" si="1041"/>
        <v>1</v>
      </c>
      <c r="Z425" s="77">
        <f t="shared" si="1030"/>
        <v>5.3015176174999991E-2</v>
      </c>
      <c r="AA425" s="77">
        <f t="shared" si="1031"/>
        <v>4.3140827585705921E-3</v>
      </c>
      <c r="AB425" s="79">
        <v>1</v>
      </c>
      <c r="AC425" s="77">
        <f t="shared" si="995"/>
        <v>6.7508739999999996E-3</v>
      </c>
      <c r="AD425" s="77">
        <f t="shared" si="986"/>
        <v>5.6432106322323872E-4</v>
      </c>
      <c r="AE425" s="77">
        <f t="shared" si="996"/>
        <v>2.5000000000000001E-3</v>
      </c>
      <c r="AF425" s="77">
        <f t="shared" si="986"/>
        <v>2.0857243058891584E-4</v>
      </c>
      <c r="AH425" t="s">
        <v>175</v>
      </c>
      <c r="AI425" t="s">
        <v>176</v>
      </c>
      <c r="AJ425" s="197" t="str">
        <f t="shared" si="1042"/>
        <v>Lifecycle_Balanced_120</v>
      </c>
      <c r="AK425">
        <v>120</v>
      </c>
      <c r="AL425">
        <f>VLOOKUP($U425,[2]Standard_Balanced!$Q$1:$T$542,2,FALSE)</f>
        <v>0.1254370000000001</v>
      </c>
      <c r="AM425">
        <f>VLOOKUP($U425,[2]Standard_Balanced!$Q$1:$T$542,3,FALSE)</f>
        <v>0.87456299999999987</v>
      </c>
      <c r="AN425">
        <f>VLOOKUP($U425,[2]Standard_Balanced!$Q$1:$T$542,4,FALSE)</f>
        <v>0</v>
      </c>
      <c r="AO425" s="77">
        <f t="shared" si="972"/>
        <v>1</v>
      </c>
      <c r="AP425" s="77">
        <f t="shared" si="997"/>
        <v>5.3015176174999991E-2</v>
      </c>
      <c r="AQ425" s="77">
        <f t="shared" si="1043"/>
        <v>4.3140827585705921E-3</v>
      </c>
      <c r="AR425" s="79">
        <v>0</v>
      </c>
      <c r="AS425" s="77">
        <f t="shared" si="998"/>
        <v>0</v>
      </c>
      <c r="AT425" s="77">
        <f t="shared" ref="AT425" si="1081">1-(1-AS425)^(1/12)</f>
        <v>0</v>
      </c>
      <c r="AU425" s="77">
        <f t="shared" si="1000"/>
        <v>2.5000000000000001E-3</v>
      </c>
      <c r="AV425" s="77">
        <f t="shared" ref="AV425" si="1082">1-(1-AU425)^(1/12)</f>
        <v>2.0857243058891584E-4</v>
      </c>
      <c r="AX425" t="s">
        <v>178</v>
      </c>
      <c r="AY425" t="s">
        <v>160</v>
      </c>
      <c r="AZ425" s="197" t="str">
        <f t="shared" si="1046"/>
        <v>DIS_Non-Standard_120</v>
      </c>
      <c r="BA425">
        <v>120</v>
      </c>
      <c r="BB425">
        <f>VLOOKUP($BA425,'[2]NonStandard DIS'!$Q$1:$X$542,2,FALSE)</f>
        <v>1.4999999999999999E-2</v>
      </c>
      <c r="BC425">
        <f>VLOOKUP($BA425,'[2]NonStandard DIS'!$Q$1:$X$542,3,FALSE)</f>
        <v>0.26600000000000001</v>
      </c>
      <c r="BD425">
        <f>VLOOKUP($BA425,'[2]NonStandard DIS'!$Q$1:$X$542,4,FALSE)</f>
        <v>0.71899999999999997</v>
      </c>
      <c r="BE425">
        <f>VLOOKUP($BA425,'[2]NonStandard DIS'!$Q$1:$X$542,5,FALSE)</f>
        <v>0</v>
      </c>
      <c r="BF425">
        <f>VLOOKUP($BA425,'[2]NonStandard DIS'!$Q$1:$X$542,6,FALSE)</f>
        <v>0</v>
      </c>
      <c r="BG425">
        <f>VLOOKUP($BA425,'[2]NonStandard DIS'!$Q$1:$X$542,7,FALSE)</f>
        <v>0</v>
      </c>
      <c r="BH425">
        <f>VLOOKUP($BA425,'[2]NonStandard DIS'!$Q$1:$X$542,8,FALSE)</f>
        <v>0</v>
      </c>
      <c r="BI425" s="77">
        <f t="shared" si="989"/>
        <v>1</v>
      </c>
      <c r="BJ425" s="77">
        <f t="shared" si="990"/>
        <v>5.958492499999999E-2</v>
      </c>
      <c r="BK425" s="77">
        <f t="shared" si="971"/>
        <v>4.8347541600624044E-3</v>
      </c>
      <c r="BL425" s="79">
        <v>0</v>
      </c>
      <c r="BM425" s="77">
        <f t="shared" si="1002"/>
        <v>0</v>
      </c>
      <c r="BN425" s="77">
        <f t="shared" si="1003"/>
        <v>0</v>
      </c>
      <c r="BO425" s="77">
        <f t="shared" si="1004"/>
        <v>6.7821999999999995E-3</v>
      </c>
      <c r="BP425" s="77">
        <f t="shared" si="1005"/>
        <v>5.6343403145864279E-4</v>
      </c>
    </row>
    <row r="426" spans="1:68">
      <c r="A426" t="s">
        <v>175</v>
      </c>
      <c r="B426" t="s">
        <v>176</v>
      </c>
      <c r="C426" s="197" t="str">
        <f t="shared" si="1040"/>
        <v>Lifecycle_Balanced_119</v>
      </c>
      <c r="D426">
        <v>119</v>
      </c>
      <c r="E426">
        <f>VLOOKUP($D426,'[2]LC Balanced'!$Q$2:$U$542,2,FALSE)</f>
        <v>0.33483333333333337</v>
      </c>
      <c r="F426">
        <f>VLOOKUP($D426,'[2]LC Balanced'!$Q$2:$U$542,3,FALSE)</f>
        <v>0.26900000000000002</v>
      </c>
      <c r="G426">
        <f>VLOOKUP($D426,'[2]LC Balanced'!$Q$2:$U$542,4,FALSE)</f>
        <v>0.39616666666666667</v>
      </c>
      <c r="H426">
        <f>VLOOKUP($D426,'[2]LC Balanced'!$Q$2:$U$542,5,FALSE)</f>
        <v>0</v>
      </c>
      <c r="I426" s="77">
        <f t="shared" si="984"/>
        <v>1</v>
      </c>
      <c r="J426" s="77">
        <f t="shared" si="985"/>
        <v>5.2455512499999996E-2</v>
      </c>
      <c r="K426" s="77">
        <f t="shared" si="975"/>
        <v>4.2695902787206474E-3</v>
      </c>
      <c r="L426" s="76">
        <v>0</v>
      </c>
      <c r="M426" s="77">
        <f t="shared" si="991"/>
        <v>0</v>
      </c>
      <c r="N426" s="77">
        <f t="shared" si="992"/>
        <v>0</v>
      </c>
      <c r="O426" s="77">
        <f t="shared" si="993"/>
        <v>5.2430999999999997E-3</v>
      </c>
      <c r="P426" s="77">
        <f t="shared" si="994"/>
        <v>4.3797849965021562E-4</v>
      </c>
      <c r="R426" t="s">
        <v>177</v>
      </c>
      <c r="S426" t="s">
        <v>176</v>
      </c>
      <c r="T426" s="197" t="str">
        <f t="shared" ref="T426:T489" si="1083">R426&amp;"_"&amp;S426&amp;"_"&amp;U426</f>
        <v>Autopilot_Balanced_119</v>
      </c>
      <c r="U426">
        <v>119</v>
      </c>
      <c r="V426">
        <f>VLOOKUP($U426,'[2]AP Balanced'!$Q$1:$T$542,2,FALSE)</f>
        <v>0.1254370000000001</v>
      </c>
      <c r="W426">
        <f>VLOOKUP($U426,'[2]AP Balanced'!$Q$1:$T$542,3,FALSE)</f>
        <v>0.87456299999999987</v>
      </c>
      <c r="X426">
        <f>VLOOKUP($U426,'[2]AP Balanced'!$Q$1:$T$542,4,FALSE)</f>
        <v>0</v>
      </c>
      <c r="Y426" s="77">
        <f t="shared" si="1041"/>
        <v>1</v>
      </c>
      <c r="Z426" s="77">
        <f t="shared" si="1030"/>
        <v>5.3015176174999991E-2</v>
      </c>
      <c r="AA426" s="77">
        <f t="shared" si="1031"/>
        <v>4.3140827585705921E-3</v>
      </c>
      <c r="AB426" s="79">
        <v>1</v>
      </c>
      <c r="AC426" s="77">
        <f t="shared" si="995"/>
        <v>6.7508739999999996E-3</v>
      </c>
      <c r="AD426" s="77">
        <f t="shared" si="986"/>
        <v>5.6432106322323872E-4</v>
      </c>
      <c r="AE426" s="77">
        <f t="shared" si="996"/>
        <v>2.5000000000000001E-3</v>
      </c>
      <c r="AF426" s="77">
        <f t="shared" si="986"/>
        <v>2.0857243058891584E-4</v>
      </c>
      <c r="AH426" t="s">
        <v>175</v>
      </c>
      <c r="AI426" t="s">
        <v>176</v>
      </c>
      <c r="AJ426" s="197" t="str">
        <f t="shared" si="1042"/>
        <v>Lifecycle_Balanced_119</v>
      </c>
      <c r="AK426">
        <v>119</v>
      </c>
      <c r="AL426">
        <f>VLOOKUP($U426,[2]Standard_Balanced!$Q$1:$T$542,2,FALSE)</f>
        <v>0.12162538611111122</v>
      </c>
      <c r="AM426">
        <f>VLOOKUP($U426,[2]Standard_Balanced!$Q$1:$T$542,3,FALSE)</f>
        <v>0.87837461388888871</v>
      </c>
      <c r="AN426">
        <f>VLOOKUP($U426,[2]Standard_Balanced!$Q$1:$T$542,4,FALSE)</f>
        <v>0</v>
      </c>
      <c r="AO426" s="77">
        <f t="shared" si="972"/>
        <v>0.99999999999999989</v>
      </c>
      <c r="AP426" s="77">
        <f t="shared" si="997"/>
        <v>5.2964577000624992E-2</v>
      </c>
      <c r="AQ426" s="77">
        <f t="shared" si="1043"/>
        <v>4.3100610863469058E-3</v>
      </c>
      <c r="AR426" s="79">
        <v>0</v>
      </c>
      <c r="AS426" s="77">
        <f t="shared" si="998"/>
        <v>0</v>
      </c>
      <c r="AT426" s="77">
        <f t="shared" ref="AT426" si="1084">1-(1-AS426)^(1/12)</f>
        <v>0</v>
      </c>
      <c r="AU426" s="77">
        <f t="shared" si="1000"/>
        <v>2.4999999999999996E-3</v>
      </c>
      <c r="AV426" s="77">
        <f t="shared" ref="AV426" si="1085">1-(1-AU426)^(1/12)</f>
        <v>2.0857243058891584E-4</v>
      </c>
      <c r="AX426" t="s">
        <v>178</v>
      </c>
      <c r="AY426" t="s">
        <v>160</v>
      </c>
      <c r="AZ426" s="197" t="str">
        <f t="shared" si="1046"/>
        <v>DIS_Non-Standard_119</v>
      </c>
      <c r="BA426">
        <v>119</v>
      </c>
      <c r="BB426">
        <f>VLOOKUP($BA426,'[2]NonStandard DIS'!$Q$1:$X$542,2,FALSE)</f>
        <v>1.6083333333333331E-2</v>
      </c>
      <c r="BC426">
        <f>VLOOKUP($BA426,'[2]NonStandard DIS'!$Q$1:$X$542,3,FALSE)</f>
        <v>0.27074999999999999</v>
      </c>
      <c r="BD426">
        <f>VLOOKUP($BA426,'[2]NonStandard DIS'!$Q$1:$X$542,4,FALSE)</f>
        <v>0.71316666666666662</v>
      </c>
      <c r="BE426">
        <f>VLOOKUP($BA426,'[2]NonStandard DIS'!$Q$1:$X$542,5,FALSE)</f>
        <v>0</v>
      </c>
      <c r="BF426">
        <f>VLOOKUP($BA426,'[2]NonStandard DIS'!$Q$1:$X$542,6,FALSE)</f>
        <v>0</v>
      </c>
      <c r="BG426">
        <f>VLOOKUP($BA426,'[2]NonStandard DIS'!$Q$1:$X$542,7,FALSE)</f>
        <v>0</v>
      </c>
      <c r="BH426">
        <f>VLOOKUP($BA426,'[2]NonStandard DIS'!$Q$1:$X$542,8,FALSE)</f>
        <v>0</v>
      </c>
      <c r="BI426" s="77">
        <f t="shared" si="989"/>
        <v>1</v>
      </c>
      <c r="BJ426" s="77">
        <f t="shared" si="990"/>
        <v>5.9476881249999988E-2</v>
      </c>
      <c r="BK426" s="77">
        <f t="shared" si="971"/>
        <v>4.8262153455849166E-3</v>
      </c>
      <c r="BL426" s="79">
        <v>0</v>
      </c>
      <c r="BM426" s="77">
        <f t="shared" si="1002"/>
        <v>0</v>
      </c>
      <c r="BN426" s="77">
        <f t="shared" si="1003"/>
        <v>0</v>
      </c>
      <c r="BO426" s="77">
        <f t="shared" si="1004"/>
        <v>6.7708249999999994E-3</v>
      </c>
      <c r="BP426" s="77">
        <f t="shared" si="1005"/>
        <v>5.6249196507462962E-4</v>
      </c>
    </row>
    <row r="427" spans="1:68">
      <c r="A427" t="s">
        <v>175</v>
      </c>
      <c r="B427" t="s">
        <v>176</v>
      </c>
      <c r="C427" s="197" t="str">
        <f t="shared" si="1040"/>
        <v>Lifecycle_Balanced_118</v>
      </c>
      <c r="D427">
        <v>118</v>
      </c>
      <c r="E427">
        <f>VLOOKUP($D427,'[2]LC Balanced'!$Q$2:$U$542,2,FALSE)</f>
        <v>0.33866666666666667</v>
      </c>
      <c r="F427">
        <f>VLOOKUP($D427,'[2]LC Balanced'!$Q$2:$U$542,3,FALSE)</f>
        <v>0.26700000000000002</v>
      </c>
      <c r="G427">
        <f>VLOOKUP($D427,'[2]LC Balanced'!$Q$2:$U$542,4,FALSE)</f>
        <v>0.39433333333333337</v>
      </c>
      <c r="H427">
        <f>VLOOKUP($D427,'[2]LC Balanced'!$Q$2:$U$542,5,FALSE)</f>
        <v>0</v>
      </c>
      <c r="I427" s="77">
        <f t="shared" si="984"/>
        <v>1</v>
      </c>
      <c r="J427" s="77">
        <f t="shared" si="985"/>
        <v>5.2406099999999997E-2</v>
      </c>
      <c r="K427" s="77">
        <f t="shared" si="975"/>
        <v>4.2656610121625249E-3</v>
      </c>
      <c r="L427" s="76">
        <v>0</v>
      </c>
      <c r="M427" s="77">
        <f t="shared" si="991"/>
        <v>0</v>
      </c>
      <c r="N427" s="77">
        <f t="shared" si="992"/>
        <v>0</v>
      </c>
      <c r="O427" s="77">
        <f t="shared" si="993"/>
        <v>5.2272999999999998E-3</v>
      </c>
      <c r="P427" s="77">
        <f t="shared" si="994"/>
        <v>4.3665548252491693E-4</v>
      </c>
      <c r="R427" t="s">
        <v>177</v>
      </c>
      <c r="S427" t="s">
        <v>176</v>
      </c>
      <c r="T427" s="197" t="str">
        <f t="shared" si="1083"/>
        <v>Autopilot_Balanced_118</v>
      </c>
      <c r="U427">
        <v>118</v>
      </c>
      <c r="V427">
        <f>VLOOKUP($U427,'[2]AP Balanced'!$Q$1:$T$542,2,FALSE)</f>
        <v>0.1254370000000001</v>
      </c>
      <c r="W427">
        <f>VLOOKUP($U427,'[2]AP Balanced'!$Q$1:$T$542,3,FALSE)</f>
        <v>0.87456299999999987</v>
      </c>
      <c r="X427">
        <f>VLOOKUP($U427,'[2]AP Balanced'!$Q$1:$T$542,4,FALSE)</f>
        <v>0</v>
      </c>
      <c r="Y427" s="77">
        <f t="shared" si="1041"/>
        <v>1</v>
      </c>
      <c r="Z427" s="77">
        <f t="shared" si="1030"/>
        <v>5.3015176174999991E-2</v>
      </c>
      <c r="AA427" s="77">
        <f t="shared" si="1031"/>
        <v>4.3140827585705921E-3</v>
      </c>
      <c r="AB427" s="79">
        <v>1</v>
      </c>
      <c r="AC427" s="77">
        <f t="shared" si="995"/>
        <v>6.7508739999999996E-3</v>
      </c>
      <c r="AD427" s="77">
        <f t="shared" si="986"/>
        <v>5.6432106322323872E-4</v>
      </c>
      <c r="AE427" s="77">
        <f t="shared" si="996"/>
        <v>2.5000000000000001E-3</v>
      </c>
      <c r="AF427" s="77">
        <f t="shared" si="986"/>
        <v>2.0857243058891584E-4</v>
      </c>
      <c r="AH427" t="s">
        <v>175</v>
      </c>
      <c r="AI427" t="s">
        <v>176</v>
      </c>
      <c r="AJ427" s="197" t="str">
        <f t="shared" si="1042"/>
        <v>Lifecycle_Balanced_118</v>
      </c>
      <c r="AK427">
        <v>118</v>
      </c>
      <c r="AL427">
        <f>VLOOKUP($U427,[2]Standard_Balanced!$Q$1:$T$542,2,FALSE)</f>
        <v>0.11781377222222233</v>
      </c>
      <c r="AM427">
        <f>VLOOKUP($U427,[2]Standard_Balanced!$Q$1:$T$542,3,FALSE)</f>
        <v>0.88218622777777767</v>
      </c>
      <c r="AN427">
        <f>VLOOKUP($U427,[2]Standard_Balanced!$Q$1:$T$542,4,FALSE)</f>
        <v>0</v>
      </c>
      <c r="AO427" s="77">
        <f t="shared" si="972"/>
        <v>1</v>
      </c>
      <c r="AP427" s="77">
        <f t="shared" si="997"/>
        <v>5.291397782625E-2</v>
      </c>
      <c r="AQ427" s="77">
        <f t="shared" si="1043"/>
        <v>4.3060392369664857E-3</v>
      </c>
      <c r="AR427" s="79">
        <v>0</v>
      </c>
      <c r="AS427" s="77">
        <f t="shared" si="998"/>
        <v>0</v>
      </c>
      <c r="AT427" s="77">
        <f t="shared" ref="AT427" si="1086">1-(1-AS427)^(1/12)</f>
        <v>0</v>
      </c>
      <c r="AU427" s="77">
        <f t="shared" si="1000"/>
        <v>2.5000000000000001E-3</v>
      </c>
      <c r="AV427" s="77">
        <f t="shared" ref="AV427" si="1087">1-(1-AU427)^(1/12)</f>
        <v>2.0857243058891584E-4</v>
      </c>
      <c r="AX427" t="s">
        <v>178</v>
      </c>
      <c r="AY427" t="s">
        <v>160</v>
      </c>
      <c r="AZ427" s="197" t="str">
        <f t="shared" si="1046"/>
        <v>DIS_Non-Standard_118</v>
      </c>
      <c r="BA427">
        <v>118</v>
      </c>
      <c r="BB427">
        <f>VLOOKUP($BA427,'[2]NonStandard DIS'!$Q$1:$X$542,2,FALSE)</f>
        <v>1.7166666666666667E-2</v>
      </c>
      <c r="BC427">
        <f>VLOOKUP($BA427,'[2]NonStandard DIS'!$Q$1:$X$542,3,FALSE)</f>
        <v>0.27550000000000002</v>
      </c>
      <c r="BD427">
        <f>VLOOKUP($BA427,'[2]NonStandard DIS'!$Q$1:$X$542,4,FALSE)</f>
        <v>0.70733333333333337</v>
      </c>
      <c r="BE427">
        <f>VLOOKUP($BA427,'[2]NonStandard DIS'!$Q$1:$X$542,5,FALSE)</f>
        <v>0</v>
      </c>
      <c r="BF427">
        <f>VLOOKUP($BA427,'[2]NonStandard DIS'!$Q$1:$X$542,6,FALSE)</f>
        <v>0</v>
      </c>
      <c r="BG427">
        <f>VLOOKUP($BA427,'[2]NonStandard DIS'!$Q$1:$X$542,7,FALSE)</f>
        <v>0</v>
      </c>
      <c r="BH427">
        <f>VLOOKUP($BA427,'[2]NonStandard DIS'!$Q$1:$X$542,8,FALSE)</f>
        <v>0</v>
      </c>
      <c r="BI427" s="77">
        <f t="shared" si="989"/>
        <v>1</v>
      </c>
      <c r="BJ427" s="77">
        <f t="shared" si="990"/>
        <v>5.9368837499999993E-2</v>
      </c>
      <c r="BK427" s="77">
        <f t="shared" si="971"/>
        <v>4.8176757328599606E-3</v>
      </c>
      <c r="BL427" s="79">
        <v>0</v>
      </c>
      <c r="BM427" s="77">
        <f t="shared" si="1002"/>
        <v>0</v>
      </c>
      <c r="BN427" s="77">
        <f t="shared" si="1003"/>
        <v>0</v>
      </c>
      <c r="BO427" s="77">
        <f t="shared" si="1004"/>
        <v>6.7594500000000002E-3</v>
      </c>
      <c r="BP427" s="77">
        <f t="shared" si="1005"/>
        <v>5.6154988893353242E-4</v>
      </c>
    </row>
    <row r="428" spans="1:68">
      <c r="A428" t="s">
        <v>175</v>
      </c>
      <c r="B428" t="s">
        <v>176</v>
      </c>
      <c r="C428" s="197" t="str">
        <f t="shared" si="1040"/>
        <v>Lifecycle_Balanced_117</v>
      </c>
      <c r="D428">
        <v>117</v>
      </c>
      <c r="E428">
        <f>VLOOKUP($D428,'[2]LC Balanced'!$Q$2:$U$542,2,FALSE)</f>
        <v>0.34250000000000003</v>
      </c>
      <c r="F428">
        <f>VLOOKUP($D428,'[2]LC Balanced'!$Q$2:$U$542,3,FALSE)</f>
        <v>0.26500000000000001</v>
      </c>
      <c r="G428">
        <f>VLOOKUP($D428,'[2]LC Balanced'!$Q$2:$U$542,4,FALSE)</f>
        <v>0.39250000000000002</v>
      </c>
      <c r="H428">
        <f>VLOOKUP($D428,'[2]LC Balanced'!$Q$2:$U$542,5,FALSE)</f>
        <v>0</v>
      </c>
      <c r="I428" s="77">
        <f t="shared" si="984"/>
        <v>1</v>
      </c>
      <c r="J428" s="77">
        <f t="shared" si="985"/>
        <v>5.2356687499999999E-2</v>
      </c>
      <c r="K428" s="77">
        <f t="shared" si="975"/>
        <v>4.2617315764879038E-3</v>
      </c>
      <c r="L428" s="76">
        <v>0</v>
      </c>
      <c r="M428" s="77">
        <f t="shared" si="991"/>
        <v>0</v>
      </c>
      <c r="N428" s="77">
        <f t="shared" si="992"/>
        <v>0</v>
      </c>
      <c r="O428" s="77">
        <f t="shared" si="993"/>
        <v>5.2115E-3</v>
      </c>
      <c r="P428" s="77">
        <f t="shared" si="994"/>
        <v>4.3533248466198771E-4</v>
      </c>
      <c r="R428" t="s">
        <v>177</v>
      </c>
      <c r="S428" t="s">
        <v>176</v>
      </c>
      <c r="T428" s="197" t="str">
        <f t="shared" si="1083"/>
        <v>Autopilot_Balanced_117</v>
      </c>
      <c r="U428">
        <v>117</v>
      </c>
      <c r="V428">
        <f>VLOOKUP($U428,'[2]AP Balanced'!$Q$1:$T$542,2,FALSE)</f>
        <v>0.1254370000000001</v>
      </c>
      <c r="W428">
        <f>VLOOKUP($U428,'[2]AP Balanced'!$Q$1:$T$542,3,FALSE)</f>
        <v>0.87456299999999987</v>
      </c>
      <c r="X428">
        <f>VLOOKUP($U428,'[2]AP Balanced'!$Q$1:$T$542,4,FALSE)</f>
        <v>0</v>
      </c>
      <c r="Y428" s="77">
        <f t="shared" si="1041"/>
        <v>1</v>
      </c>
      <c r="Z428" s="77">
        <f t="shared" si="1030"/>
        <v>5.3015176174999991E-2</v>
      </c>
      <c r="AA428" s="77">
        <f t="shared" si="1031"/>
        <v>4.3140827585705921E-3</v>
      </c>
      <c r="AB428" s="79">
        <v>1</v>
      </c>
      <c r="AC428" s="77">
        <f t="shared" si="995"/>
        <v>6.7508739999999996E-3</v>
      </c>
      <c r="AD428" s="77">
        <f t="shared" si="986"/>
        <v>5.6432106322323872E-4</v>
      </c>
      <c r="AE428" s="77">
        <f t="shared" si="996"/>
        <v>2.5000000000000001E-3</v>
      </c>
      <c r="AF428" s="77">
        <f t="shared" si="986"/>
        <v>2.0857243058891584E-4</v>
      </c>
      <c r="AH428" t="s">
        <v>175</v>
      </c>
      <c r="AI428" t="s">
        <v>176</v>
      </c>
      <c r="AJ428" s="197" t="str">
        <f t="shared" si="1042"/>
        <v>Lifecycle_Balanced_117</v>
      </c>
      <c r="AK428">
        <v>117</v>
      </c>
      <c r="AL428">
        <f>VLOOKUP($U428,[2]Standard_Balanced!$Q$1:$T$542,2,FALSE)</f>
        <v>0.11400215833333345</v>
      </c>
      <c r="AM428">
        <f>VLOOKUP($U428,[2]Standard_Balanced!$Q$1:$T$542,3,FALSE)</f>
        <v>0.88599784166666651</v>
      </c>
      <c r="AN428">
        <f>VLOOKUP($U428,[2]Standard_Balanced!$Q$1:$T$542,4,FALSE)</f>
        <v>0</v>
      </c>
      <c r="AO428" s="77">
        <f t="shared" si="972"/>
        <v>1</v>
      </c>
      <c r="AP428" s="77">
        <f t="shared" si="997"/>
        <v>5.2863378651874994E-2</v>
      </c>
      <c r="AQ428" s="77">
        <f t="shared" si="1043"/>
        <v>4.3020172104131227E-3</v>
      </c>
      <c r="AR428" s="79">
        <v>0</v>
      </c>
      <c r="AS428" s="77">
        <f t="shared" si="998"/>
        <v>0</v>
      </c>
      <c r="AT428" s="77">
        <f t="shared" ref="AT428" si="1088">1-(1-AS428)^(1/12)</f>
        <v>0</v>
      </c>
      <c r="AU428" s="77">
        <f t="shared" si="1000"/>
        <v>2.5000000000000001E-3</v>
      </c>
      <c r="AV428" s="77">
        <f t="shared" ref="AV428" si="1089">1-(1-AU428)^(1/12)</f>
        <v>2.0857243058891584E-4</v>
      </c>
      <c r="AX428" t="s">
        <v>178</v>
      </c>
      <c r="AY428" t="s">
        <v>160</v>
      </c>
      <c r="AZ428" s="197" t="str">
        <f t="shared" si="1046"/>
        <v>DIS_Non-Standard_117</v>
      </c>
      <c r="BA428">
        <v>117</v>
      </c>
      <c r="BB428">
        <f>VLOOKUP($BA428,'[2]NonStandard DIS'!$Q$1:$X$542,2,FALSE)</f>
        <v>1.8249999999999999E-2</v>
      </c>
      <c r="BC428">
        <f>VLOOKUP($BA428,'[2]NonStandard DIS'!$Q$1:$X$542,3,FALSE)</f>
        <v>0.28025</v>
      </c>
      <c r="BD428">
        <f>VLOOKUP($BA428,'[2]NonStandard DIS'!$Q$1:$X$542,4,FALSE)</f>
        <v>0.70150000000000001</v>
      </c>
      <c r="BE428">
        <f>VLOOKUP($BA428,'[2]NonStandard DIS'!$Q$1:$X$542,5,FALSE)</f>
        <v>0</v>
      </c>
      <c r="BF428">
        <f>VLOOKUP($BA428,'[2]NonStandard DIS'!$Q$1:$X$542,6,FALSE)</f>
        <v>0</v>
      </c>
      <c r="BG428">
        <f>VLOOKUP($BA428,'[2]NonStandard DIS'!$Q$1:$X$542,7,FALSE)</f>
        <v>0</v>
      </c>
      <c r="BH428">
        <f>VLOOKUP($BA428,'[2]NonStandard DIS'!$Q$1:$X$542,8,FALSE)</f>
        <v>0</v>
      </c>
      <c r="BI428" s="77">
        <f t="shared" si="989"/>
        <v>1</v>
      </c>
      <c r="BJ428" s="77">
        <f t="shared" si="990"/>
        <v>5.9260793749999992E-2</v>
      </c>
      <c r="BK428" s="77">
        <f t="shared" si="971"/>
        <v>4.8091353217316613E-3</v>
      </c>
      <c r="BL428" s="79">
        <v>0</v>
      </c>
      <c r="BM428" s="77">
        <f t="shared" si="1002"/>
        <v>0</v>
      </c>
      <c r="BN428" s="77">
        <f t="shared" si="1003"/>
        <v>0</v>
      </c>
      <c r="BO428" s="77">
        <f t="shared" si="1004"/>
        <v>6.7480750000000001E-3</v>
      </c>
      <c r="BP428" s="77">
        <f t="shared" si="1005"/>
        <v>5.6060780303535118E-4</v>
      </c>
    </row>
    <row r="429" spans="1:68">
      <c r="A429" t="s">
        <v>175</v>
      </c>
      <c r="B429" t="s">
        <v>176</v>
      </c>
      <c r="C429" s="197" t="str">
        <f t="shared" si="1040"/>
        <v>Lifecycle_Balanced_116</v>
      </c>
      <c r="D429">
        <v>116</v>
      </c>
      <c r="E429">
        <f>VLOOKUP($D429,'[2]LC Balanced'!$Q$2:$U$542,2,FALSE)</f>
        <v>0.34633333333333333</v>
      </c>
      <c r="F429">
        <f>VLOOKUP($D429,'[2]LC Balanced'!$Q$2:$U$542,3,FALSE)</f>
        <v>0.26300000000000001</v>
      </c>
      <c r="G429">
        <f>VLOOKUP($D429,'[2]LC Balanced'!$Q$2:$U$542,4,FALSE)</f>
        <v>0.39066666666666666</v>
      </c>
      <c r="H429">
        <f>VLOOKUP($D429,'[2]LC Balanced'!$Q$2:$U$542,5,FALSE)</f>
        <v>0</v>
      </c>
      <c r="I429" s="77">
        <f t="shared" si="984"/>
        <v>1</v>
      </c>
      <c r="J429" s="77">
        <f t="shared" si="985"/>
        <v>5.2307275E-2</v>
      </c>
      <c r="K429" s="77">
        <f t="shared" si="975"/>
        <v>4.2578019716816851E-3</v>
      </c>
      <c r="L429" s="76">
        <v>0</v>
      </c>
      <c r="M429" s="77">
        <f t="shared" si="991"/>
        <v>0</v>
      </c>
      <c r="N429" s="77">
        <f t="shared" si="992"/>
        <v>0</v>
      </c>
      <c r="O429" s="77">
        <f t="shared" si="993"/>
        <v>5.1956999999999993E-3</v>
      </c>
      <c r="P429" s="77">
        <f t="shared" si="994"/>
        <v>4.3400950606065081E-4</v>
      </c>
      <c r="R429" t="s">
        <v>177</v>
      </c>
      <c r="S429" t="s">
        <v>176</v>
      </c>
      <c r="T429" s="197" t="str">
        <f t="shared" si="1083"/>
        <v>Autopilot_Balanced_116</v>
      </c>
      <c r="U429">
        <v>116</v>
      </c>
      <c r="V429">
        <f>VLOOKUP($U429,'[2]AP Balanced'!$Q$1:$T$542,2,FALSE)</f>
        <v>0.1254370000000001</v>
      </c>
      <c r="W429">
        <f>VLOOKUP($U429,'[2]AP Balanced'!$Q$1:$T$542,3,FALSE)</f>
        <v>0.87456299999999987</v>
      </c>
      <c r="X429">
        <f>VLOOKUP($U429,'[2]AP Balanced'!$Q$1:$T$542,4,FALSE)</f>
        <v>0</v>
      </c>
      <c r="Y429" s="77">
        <f t="shared" si="1041"/>
        <v>1</v>
      </c>
      <c r="Z429" s="77">
        <f t="shared" si="1030"/>
        <v>5.3015176174999991E-2</v>
      </c>
      <c r="AA429" s="77">
        <f t="shared" si="1031"/>
        <v>4.3140827585705921E-3</v>
      </c>
      <c r="AB429" s="79">
        <v>1</v>
      </c>
      <c r="AC429" s="77">
        <f t="shared" si="995"/>
        <v>6.7508739999999996E-3</v>
      </c>
      <c r="AD429" s="77">
        <f t="shared" si="986"/>
        <v>5.6432106322323872E-4</v>
      </c>
      <c r="AE429" s="77">
        <f t="shared" si="996"/>
        <v>2.5000000000000001E-3</v>
      </c>
      <c r="AF429" s="77">
        <f t="shared" si="986"/>
        <v>2.0857243058891584E-4</v>
      </c>
      <c r="AH429" t="s">
        <v>175</v>
      </c>
      <c r="AI429" t="s">
        <v>176</v>
      </c>
      <c r="AJ429" s="197" t="str">
        <f t="shared" si="1042"/>
        <v>Lifecycle_Balanced_116</v>
      </c>
      <c r="AK429">
        <v>116</v>
      </c>
      <c r="AL429">
        <f>VLOOKUP($U429,[2]Standard_Balanced!$Q$1:$T$542,2,FALSE)</f>
        <v>0.11019054444444457</v>
      </c>
      <c r="AM429">
        <f>VLOOKUP($U429,[2]Standard_Balanced!$Q$1:$T$542,3,FALSE)</f>
        <v>0.88980945555555546</v>
      </c>
      <c r="AN429">
        <f>VLOOKUP($U429,[2]Standard_Balanced!$Q$1:$T$542,4,FALSE)</f>
        <v>0</v>
      </c>
      <c r="AO429" s="77">
        <f t="shared" si="972"/>
        <v>1</v>
      </c>
      <c r="AP429" s="77">
        <f t="shared" si="997"/>
        <v>5.2812779477499995E-2</v>
      </c>
      <c r="AQ429" s="77">
        <f t="shared" si="1043"/>
        <v>4.2979950066703854E-3</v>
      </c>
      <c r="AR429" s="79">
        <v>0</v>
      </c>
      <c r="AS429" s="77">
        <f t="shared" si="998"/>
        <v>0</v>
      </c>
      <c r="AT429" s="77">
        <f t="shared" ref="AT429" si="1090">1-(1-AS429)^(1/12)</f>
        <v>0</v>
      </c>
      <c r="AU429" s="77">
        <f t="shared" si="1000"/>
        <v>2.5000000000000001E-3</v>
      </c>
      <c r="AV429" s="77">
        <f t="shared" ref="AV429" si="1091">1-(1-AU429)^(1/12)</f>
        <v>2.0857243058891584E-4</v>
      </c>
      <c r="AX429" t="s">
        <v>178</v>
      </c>
      <c r="AY429" t="s">
        <v>160</v>
      </c>
      <c r="AZ429" s="197" t="str">
        <f t="shared" si="1046"/>
        <v>DIS_Non-Standard_116</v>
      </c>
      <c r="BA429">
        <v>116</v>
      </c>
      <c r="BB429">
        <f>VLOOKUP($BA429,'[2]NonStandard DIS'!$Q$1:$X$542,2,FALSE)</f>
        <v>1.9333333333333334E-2</v>
      </c>
      <c r="BC429">
        <f>VLOOKUP($BA429,'[2]NonStandard DIS'!$Q$1:$X$542,3,FALSE)</f>
        <v>0.28500000000000003</v>
      </c>
      <c r="BD429">
        <f>VLOOKUP($BA429,'[2]NonStandard DIS'!$Q$1:$X$542,4,FALSE)</f>
        <v>0.69566666666666666</v>
      </c>
      <c r="BE429">
        <f>VLOOKUP($BA429,'[2]NonStandard DIS'!$Q$1:$X$542,5,FALSE)</f>
        <v>0</v>
      </c>
      <c r="BF429">
        <f>VLOOKUP($BA429,'[2]NonStandard DIS'!$Q$1:$X$542,6,FALSE)</f>
        <v>0</v>
      </c>
      <c r="BG429">
        <f>VLOOKUP($BA429,'[2]NonStandard DIS'!$Q$1:$X$542,7,FALSE)</f>
        <v>0</v>
      </c>
      <c r="BH429">
        <f>VLOOKUP($BA429,'[2]NonStandard DIS'!$Q$1:$X$542,8,FALSE)</f>
        <v>0</v>
      </c>
      <c r="BI429" s="77">
        <f t="shared" si="989"/>
        <v>1</v>
      </c>
      <c r="BJ429" s="77">
        <f t="shared" si="990"/>
        <v>5.915274999999999E-2</v>
      </c>
      <c r="BK429" s="77">
        <f t="shared" si="971"/>
        <v>4.8005941120439211E-3</v>
      </c>
      <c r="BL429" s="79">
        <v>0</v>
      </c>
      <c r="BM429" s="77">
        <f t="shared" si="1002"/>
        <v>0</v>
      </c>
      <c r="BN429" s="77">
        <f t="shared" si="1003"/>
        <v>0</v>
      </c>
      <c r="BO429" s="77">
        <f t="shared" si="1004"/>
        <v>6.7367E-3</v>
      </c>
      <c r="BP429" s="77">
        <f t="shared" si="1005"/>
        <v>5.5966570737964183E-4</v>
      </c>
    </row>
    <row r="430" spans="1:68">
      <c r="A430" t="s">
        <v>175</v>
      </c>
      <c r="B430" t="s">
        <v>176</v>
      </c>
      <c r="C430" s="197" t="str">
        <f t="shared" si="1040"/>
        <v>Lifecycle_Balanced_115</v>
      </c>
      <c r="D430">
        <v>115</v>
      </c>
      <c r="E430">
        <f>VLOOKUP($D430,'[2]LC Balanced'!$Q$2:$U$542,2,FALSE)</f>
        <v>0.35016666666666668</v>
      </c>
      <c r="F430">
        <f>VLOOKUP($D430,'[2]LC Balanced'!$Q$2:$U$542,3,FALSE)</f>
        <v>0.26100000000000001</v>
      </c>
      <c r="G430">
        <f>VLOOKUP($D430,'[2]LC Balanced'!$Q$2:$U$542,4,FALSE)</f>
        <v>0.38883333333333336</v>
      </c>
      <c r="H430">
        <f>VLOOKUP($D430,'[2]LC Balanced'!$Q$2:$U$542,5,FALSE)</f>
        <v>0</v>
      </c>
      <c r="I430" s="77">
        <f t="shared" si="984"/>
        <v>1</v>
      </c>
      <c r="J430" s="77">
        <f t="shared" si="985"/>
        <v>5.2257862500000002E-2</v>
      </c>
      <c r="K430" s="77">
        <f t="shared" si="975"/>
        <v>4.2538721977285476E-3</v>
      </c>
      <c r="L430" s="76">
        <v>0</v>
      </c>
      <c r="M430" s="77">
        <f t="shared" si="991"/>
        <v>0</v>
      </c>
      <c r="N430" s="77">
        <f t="shared" si="992"/>
        <v>0</v>
      </c>
      <c r="O430" s="77">
        <f t="shared" si="993"/>
        <v>5.1799000000000003E-3</v>
      </c>
      <c r="P430" s="77">
        <f t="shared" si="994"/>
        <v>4.3268654672035112E-4</v>
      </c>
      <c r="R430" t="s">
        <v>177</v>
      </c>
      <c r="S430" t="s">
        <v>176</v>
      </c>
      <c r="T430" s="197" t="str">
        <f t="shared" si="1083"/>
        <v>Autopilot_Balanced_115</v>
      </c>
      <c r="U430">
        <v>115</v>
      </c>
      <c r="V430">
        <f>VLOOKUP($U430,'[2]AP Balanced'!$Q$1:$T$542,2,FALSE)</f>
        <v>0.1254370000000001</v>
      </c>
      <c r="W430">
        <f>VLOOKUP($U430,'[2]AP Balanced'!$Q$1:$T$542,3,FALSE)</f>
        <v>0.87456299999999987</v>
      </c>
      <c r="X430">
        <f>VLOOKUP($U430,'[2]AP Balanced'!$Q$1:$T$542,4,FALSE)</f>
        <v>0</v>
      </c>
      <c r="Y430" s="77">
        <f t="shared" si="1041"/>
        <v>1</v>
      </c>
      <c r="Z430" s="77">
        <f t="shared" si="1030"/>
        <v>5.3015176174999991E-2</v>
      </c>
      <c r="AA430" s="77">
        <f t="shared" si="1031"/>
        <v>4.3140827585705921E-3</v>
      </c>
      <c r="AB430" s="79">
        <v>1</v>
      </c>
      <c r="AC430" s="77">
        <f t="shared" si="995"/>
        <v>6.7508739999999996E-3</v>
      </c>
      <c r="AD430" s="77">
        <f t="shared" si="986"/>
        <v>5.6432106322323872E-4</v>
      </c>
      <c r="AE430" s="77">
        <f t="shared" si="996"/>
        <v>2.5000000000000001E-3</v>
      </c>
      <c r="AF430" s="77">
        <f t="shared" si="986"/>
        <v>2.0857243058891584E-4</v>
      </c>
      <c r="AH430" t="s">
        <v>175</v>
      </c>
      <c r="AI430" t="s">
        <v>176</v>
      </c>
      <c r="AJ430" s="197" t="str">
        <f t="shared" si="1042"/>
        <v>Lifecycle_Balanced_115</v>
      </c>
      <c r="AK430">
        <v>115</v>
      </c>
      <c r="AL430">
        <f>VLOOKUP($U430,[2]Standard_Balanced!$Q$1:$T$542,2,FALSE)</f>
        <v>0.10637893055555568</v>
      </c>
      <c r="AM430">
        <f>VLOOKUP($U430,[2]Standard_Balanced!$Q$1:$T$542,3,FALSE)</f>
        <v>0.8936210694444443</v>
      </c>
      <c r="AN430">
        <f>VLOOKUP($U430,[2]Standard_Balanced!$Q$1:$T$542,4,FALSE)</f>
        <v>0</v>
      </c>
      <c r="AO430" s="77">
        <f t="shared" si="972"/>
        <v>1</v>
      </c>
      <c r="AP430" s="77">
        <f t="shared" si="997"/>
        <v>5.2762180303124996E-2</v>
      </c>
      <c r="AQ430" s="77">
        <f t="shared" si="1043"/>
        <v>4.2939726257222866E-3</v>
      </c>
      <c r="AR430" s="79">
        <v>0</v>
      </c>
      <c r="AS430" s="77">
        <f t="shared" si="998"/>
        <v>0</v>
      </c>
      <c r="AT430" s="77">
        <f t="shared" ref="AT430" si="1092">1-(1-AS430)^(1/12)</f>
        <v>0</v>
      </c>
      <c r="AU430" s="77">
        <f t="shared" si="1000"/>
        <v>2.5000000000000001E-3</v>
      </c>
      <c r="AV430" s="77">
        <f t="shared" ref="AV430" si="1093">1-(1-AU430)^(1/12)</f>
        <v>2.0857243058891584E-4</v>
      </c>
      <c r="AX430" t="s">
        <v>178</v>
      </c>
      <c r="AY430" t="s">
        <v>160</v>
      </c>
      <c r="AZ430" s="197" t="str">
        <f t="shared" si="1046"/>
        <v>DIS_Non-Standard_115</v>
      </c>
      <c r="BA430">
        <v>115</v>
      </c>
      <c r="BB430">
        <f>VLOOKUP($BA430,'[2]NonStandard DIS'!$Q$1:$X$542,2,FALSE)</f>
        <v>2.0416666666666666E-2</v>
      </c>
      <c r="BC430">
        <f>VLOOKUP($BA430,'[2]NonStandard DIS'!$Q$1:$X$542,3,FALSE)</f>
        <v>0.28975000000000001</v>
      </c>
      <c r="BD430">
        <f>VLOOKUP($BA430,'[2]NonStandard DIS'!$Q$1:$X$542,4,FALSE)</f>
        <v>0.6898333333333333</v>
      </c>
      <c r="BE430">
        <f>VLOOKUP($BA430,'[2]NonStandard DIS'!$Q$1:$X$542,5,FALSE)</f>
        <v>0</v>
      </c>
      <c r="BF430">
        <f>VLOOKUP($BA430,'[2]NonStandard DIS'!$Q$1:$X$542,6,FALSE)</f>
        <v>0</v>
      </c>
      <c r="BG430">
        <f>VLOOKUP($BA430,'[2]NonStandard DIS'!$Q$1:$X$542,7,FALSE)</f>
        <v>0</v>
      </c>
      <c r="BH430">
        <f>VLOOKUP($BA430,'[2]NonStandard DIS'!$Q$1:$X$542,8,FALSE)</f>
        <v>0</v>
      </c>
      <c r="BI430" s="77">
        <f t="shared" si="989"/>
        <v>1</v>
      </c>
      <c r="BJ430" s="77">
        <f t="shared" si="990"/>
        <v>5.9044706249999995E-2</v>
      </c>
      <c r="BK430" s="77">
        <f t="shared" si="971"/>
        <v>4.7920521036404207E-3</v>
      </c>
      <c r="BL430" s="79">
        <v>0</v>
      </c>
      <c r="BM430" s="77">
        <f t="shared" si="1002"/>
        <v>0</v>
      </c>
      <c r="BN430" s="77">
        <f t="shared" si="1003"/>
        <v>0</v>
      </c>
      <c r="BO430" s="77">
        <f t="shared" si="1004"/>
        <v>6.725324999999999E-3</v>
      </c>
      <c r="BP430" s="77">
        <f t="shared" si="1005"/>
        <v>5.5872360196640436E-4</v>
      </c>
    </row>
    <row r="431" spans="1:68">
      <c r="A431" t="s">
        <v>175</v>
      </c>
      <c r="B431" t="s">
        <v>176</v>
      </c>
      <c r="C431" s="197" t="str">
        <f t="shared" si="1040"/>
        <v>Lifecycle_Balanced_114</v>
      </c>
      <c r="D431">
        <v>114</v>
      </c>
      <c r="E431">
        <f>VLOOKUP($D431,'[2]LC Balanced'!$Q$2:$U$542,2,FALSE)</f>
        <v>0.35399999999999998</v>
      </c>
      <c r="F431">
        <f>VLOOKUP($D431,'[2]LC Balanced'!$Q$2:$U$542,3,FALSE)</f>
        <v>0.25900000000000001</v>
      </c>
      <c r="G431">
        <f>VLOOKUP($D431,'[2]LC Balanced'!$Q$2:$U$542,4,FALSE)</f>
        <v>0.38700000000000001</v>
      </c>
      <c r="H431">
        <f>VLOOKUP($D431,'[2]LC Balanced'!$Q$2:$U$542,5,FALSE)</f>
        <v>0</v>
      </c>
      <c r="I431" s="77">
        <f t="shared" si="984"/>
        <v>1</v>
      </c>
      <c r="J431" s="77">
        <f t="shared" si="985"/>
        <v>5.2208450000000003E-2</v>
      </c>
      <c r="K431" s="77">
        <f t="shared" si="975"/>
        <v>4.2499422546136145E-3</v>
      </c>
      <c r="L431" s="76">
        <v>0</v>
      </c>
      <c r="M431" s="77">
        <f t="shared" si="991"/>
        <v>0</v>
      </c>
      <c r="N431" s="77">
        <f t="shared" si="992"/>
        <v>0</v>
      </c>
      <c r="O431" s="77">
        <f t="shared" si="993"/>
        <v>5.1640999999999996E-3</v>
      </c>
      <c r="P431" s="77">
        <f t="shared" si="994"/>
        <v>4.3136360664064455E-4</v>
      </c>
      <c r="R431" t="s">
        <v>177</v>
      </c>
      <c r="S431" t="s">
        <v>176</v>
      </c>
      <c r="T431" s="197" t="str">
        <f t="shared" si="1083"/>
        <v>Autopilot_Balanced_114</v>
      </c>
      <c r="U431">
        <v>114</v>
      </c>
      <c r="V431">
        <f>VLOOKUP($U431,'[2]AP Balanced'!$Q$1:$T$542,2,FALSE)</f>
        <v>0.1254370000000001</v>
      </c>
      <c r="W431">
        <f>VLOOKUP($U431,'[2]AP Balanced'!$Q$1:$T$542,3,FALSE)</f>
        <v>0.87456299999999987</v>
      </c>
      <c r="X431">
        <f>VLOOKUP($U431,'[2]AP Balanced'!$Q$1:$T$542,4,FALSE)</f>
        <v>0</v>
      </c>
      <c r="Y431" s="77">
        <f t="shared" si="1041"/>
        <v>1</v>
      </c>
      <c r="Z431" s="77">
        <f t="shared" si="1030"/>
        <v>5.3015176174999991E-2</v>
      </c>
      <c r="AA431" s="77">
        <f t="shared" si="1031"/>
        <v>4.3140827585705921E-3</v>
      </c>
      <c r="AB431" s="79">
        <v>1</v>
      </c>
      <c r="AC431" s="77">
        <f t="shared" si="995"/>
        <v>6.7508739999999996E-3</v>
      </c>
      <c r="AD431" s="77">
        <f t="shared" si="986"/>
        <v>5.6432106322323872E-4</v>
      </c>
      <c r="AE431" s="77">
        <f t="shared" si="996"/>
        <v>2.5000000000000001E-3</v>
      </c>
      <c r="AF431" s="77">
        <f t="shared" si="986"/>
        <v>2.0857243058891584E-4</v>
      </c>
      <c r="AH431" t="s">
        <v>175</v>
      </c>
      <c r="AI431" t="s">
        <v>176</v>
      </c>
      <c r="AJ431" s="197" t="str">
        <f t="shared" si="1042"/>
        <v>Lifecycle_Balanced_114</v>
      </c>
      <c r="AK431">
        <v>114</v>
      </c>
      <c r="AL431">
        <f>VLOOKUP($U431,[2]Standard_Balanced!$Q$1:$T$542,2,FALSE)</f>
        <v>0.1025673166666668</v>
      </c>
      <c r="AM431">
        <f>VLOOKUP($U431,[2]Standard_Balanced!$Q$1:$T$542,3,FALSE)</f>
        <v>0.89743268333333326</v>
      </c>
      <c r="AN431">
        <f>VLOOKUP($U431,[2]Standard_Balanced!$Q$1:$T$542,4,FALSE)</f>
        <v>0</v>
      </c>
      <c r="AO431" s="77">
        <f t="shared" si="972"/>
        <v>1</v>
      </c>
      <c r="AP431" s="77">
        <f t="shared" si="997"/>
        <v>5.2711581128749997E-2</v>
      </c>
      <c r="AQ431" s="77">
        <f t="shared" si="1043"/>
        <v>4.2899500675521729E-3</v>
      </c>
      <c r="AR431" s="79">
        <v>0</v>
      </c>
      <c r="AS431" s="77">
        <f t="shared" si="998"/>
        <v>0</v>
      </c>
      <c r="AT431" s="77">
        <f t="shared" ref="AT431" si="1094">1-(1-AS431)^(1/12)</f>
        <v>0</v>
      </c>
      <c r="AU431" s="77">
        <f t="shared" si="1000"/>
        <v>2.5000000000000001E-3</v>
      </c>
      <c r="AV431" s="77">
        <f t="shared" ref="AV431" si="1095">1-(1-AU431)^(1/12)</f>
        <v>2.0857243058891584E-4</v>
      </c>
      <c r="AX431" t="s">
        <v>178</v>
      </c>
      <c r="AY431" t="s">
        <v>160</v>
      </c>
      <c r="AZ431" s="197" t="str">
        <f t="shared" si="1046"/>
        <v>DIS_Non-Standard_114</v>
      </c>
      <c r="BA431">
        <v>114</v>
      </c>
      <c r="BB431">
        <f>VLOOKUP($BA431,'[2]NonStandard DIS'!$Q$1:$X$542,2,FALSE)</f>
        <v>2.1499999999999998E-2</v>
      </c>
      <c r="BC431">
        <f>VLOOKUP($BA431,'[2]NonStandard DIS'!$Q$1:$X$542,3,FALSE)</f>
        <v>0.29449999999999998</v>
      </c>
      <c r="BD431">
        <f>VLOOKUP($BA431,'[2]NonStandard DIS'!$Q$1:$X$542,4,FALSE)</f>
        <v>0.68399999999999994</v>
      </c>
      <c r="BE431">
        <f>VLOOKUP($BA431,'[2]NonStandard DIS'!$Q$1:$X$542,5,FALSE)</f>
        <v>0</v>
      </c>
      <c r="BF431">
        <f>VLOOKUP($BA431,'[2]NonStandard DIS'!$Q$1:$X$542,6,FALSE)</f>
        <v>0</v>
      </c>
      <c r="BG431">
        <f>VLOOKUP($BA431,'[2]NonStandard DIS'!$Q$1:$X$542,7,FALSE)</f>
        <v>0</v>
      </c>
      <c r="BH431">
        <f>VLOOKUP($BA431,'[2]NonStandard DIS'!$Q$1:$X$542,8,FALSE)</f>
        <v>0</v>
      </c>
      <c r="BI431" s="77">
        <f t="shared" si="989"/>
        <v>1</v>
      </c>
      <c r="BJ431" s="77">
        <f t="shared" si="990"/>
        <v>5.8936662499999987E-2</v>
      </c>
      <c r="BK431" s="77">
        <f t="shared" si="971"/>
        <v>4.7835092963652848E-3</v>
      </c>
      <c r="BL431" s="79">
        <v>0</v>
      </c>
      <c r="BM431" s="77">
        <f t="shared" si="1002"/>
        <v>0</v>
      </c>
      <c r="BN431" s="77">
        <f t="shared" si="1003"/>
        <v>0</v>
      </c>
      <c r="BO431" s="77">
        <f t="shared" si="1004"/>
        <v>6.7139499999999989E-3</v>
      </c>
      <c r="BP431" s="77">
        <f t="shared" si="1005"/>
        <v>5.5778148679519468E-4</v>
      </c>
    </row>
    <row r="432" spans="1:68">
      <c r="A432" t="s">
        <v>175</v>
      </c>
      <c r="B432" t="s">
        <v>176</v>
      </c>
      <c r="C432" s="197" t="str">
        <f t="shared" si="1040"/>
        <v>Lifecycle_Balanced_113</v>
      </c>
      <c r="D432">
        <v>113</v>
      </c>
      <c r="E432">
        <f>VLOOKUP($D432,'[2]LC Balanced'!$Q$2:$U$542,2,FALSE)</f>
        <v>0.35783333333333334</v>
      </c>
      <c r="F432">
        <f>VLOOKUP($D432,'[2]LC Balanced'!$Q$2:$U$542,3,FALSE)</f>
        <v>0.25700000000000001</v>
      </c>
      <c r="G432">
        <f>VLOOKUP($D432,'[2]LC Balanced'!$Q$2:$U$542,4,FALSE)</f>
        <v>0.38516666666666666</v>
      </c>
      <c r="H432">
        <f>VLOOKUP($D432,'[2]LC Balanced'!$Q$2:$U$542,5,FALSE)</f>
        <v>0</v>
      </c>
      <c r="I432" s="77">
        <f t="shared" si="984"/>
        <v>1</v>
      </c>
      <c r="J432" s="77">
        <f t="shared" si="985"/>
        <v>5.2159037499999998E-2</v>
      </c>
      <c r="K432" s="77">
        <f t="shared" si="975"/>
        <v>4.2460121423211206E-3</v>
      </c>
      <c r="L432" s="76">
        <v>0</v>
      </c>
      <c r="M432" s="77">
        <f t="shared" si="991"/>
        <v>0</v>
      </c>
      <c r="N432" s="77">
        <f t="shared" si="992"/>
        <v>0</v>
      </c>
      <c r="O432" s="77">
        <f t="shared" si="993"/>
        <v>5.1482999999999998E-3</v>
      </c>
      <c r="P432" s="77">
        <f t="shared" si="994"/>
        <v>4.3004068582075394E-4</v>
      </c>
      <c r="R432" t="s">
        <v>177</v>
      </c>
      <c r="S432" t="s">
        <v>176</v>
      </c>
      <c r="T432" s="197" t="str">
        <f t="shared" si="1083"/>
        <v>Autopilot_Balanced_113</v>
      </c>
      <c r="U432">
        <v>113</v>
      </c>
      <c r="V432">
        <f>VLOOKUP($U432,'[2]AP Balanced'!$Q$1:$T$542,2,FALSE)</f>
        <v>0.1254370000000001</v>
      </c>
      <c r="W432">
        <f>VLOOKUP($U432,'[2]AP Balanced'!$Q$1:$T$542,3,FALSE)</f>
        <v>0.87456299999999987</v>
      </c>
      <c r="X432">
        <f>VLOOKUP($U432,'[2]AP Balanced'!$Q$1:$T$542,4,FALSE)</f>
        <v>0</v>
      </c>
      <c r="Y432" s="77">
        <f t="shared" si="1041"/>
        <v>1</v>
      </c>
      <c r="Z432" s="77">
        <f t="shared" si="1030"/>
        <v>5.3015176174999991E-2</v>
      </c>
      <c r="AA432" s="77">
        <f t="shared" si="1031"/>
        <v>4.3140827585705921E-3</v>
      </c>
      <c r="AB432" s="79">
        <v>1</v>
      </c>
      <c r="AC432" s="77">
        <f t="shared" si="995"/>
        <v>6.7508739999999996E-3</v>
      </c>
      <c r="AD432" s="77">
        <f t="shared" si="986"/>
        <v>5.6432106322323872E-4</v>
      </c>
      <c r="AE432" s="77">
        <f t="shared" si="996"/>
        <v>2.5000000000000001E-3</v>
      </c>
      <c r="AF432" s="77">
        <f t="shared" si="986"/>
        <v>2.0857243058891584E-4</v>
      </c>
      <c r="AH432" t="s">
        <v>175</v>
      </c>
      <c r="AI432" t="s">
        <v>176</v>
      </c>
      <c r="AJ432" s="197" t="str">
        <f t="shared" si="1042"/>
        <v>Lifecycle_Balanced_113</v>
      </c>
      <c r="AK432">
        <v>113</v>
      </c>
      <c r="AL432">
        <f>VLOOKUP($U432,[2]Standard_Balanced!$Q$1:$T$542,2,FALSE)</f>
        <v>9.8755702777777912E-2</v>
      </c>
      <c r="AM432">
        <f>VLOOKUP($U432,[2]Standard_Balanced!$Q$1:$T$542,3,FALSE)</f>
        <v>0.9012442972222221</v>
      </c>
      <c r="AN432">
        <f>VLOOKUP($U432,[2]Standard_Balanced!$Q$1:$T$542,4,FALSE)</f>
        <v>0</v>
      </c>
      <c r="AO432" s="77">
        <f t="shared" si="972"/>
        <v>1</v>
      </c>
      <c r="AP432" s="77">
        <f t="shared" si="997"/>
        <v>5.2660981954374991E-2</v>
      </c>
      <c r="AQ432" s="77">
        <f t="shared" si="1043"/>
        <v>4.2859273321438351E-3</v>
      </c>
      <c r="AR432" s="79">
        <v>0</v>
      </c>
      <c r="AS432" s="77">
        <f t="shared" si="998"/>
        <v>0</v>
      </c>
      <c r="AT432" s="77">
        <f t="shared" ref="AT432" si="1096">1-(1-AS432)^(1/12)</f>
        <v>0</v>
      </c>
      <c r="AU432" s="77">
        <f t="shared" si="1000"/>
        <v>2.5000000000000005E-3</v>
      </c>
      <c r="AV432" s="77">
        <f t="shared" ref="AV432" si="1097">1-(1-AU432)^(1/12)</f>
        <v>2.0857243058891584E-4</v>
      </c>
      <c r="AX432" t="s">
        <v>178</v>
      </c>
      <c r="AY432" t="s">
        <v>160</v>
      </c>
      <c r="AZ432" s="197" t="str">
        <f t="shared" si="1046"/>
        <v>DIS_Non-Standard_113</v>
      </c>
      <c r="BA432">
        <v>113</v>
      </c>
      <c r="BB432">
        <f>VLOOKUP($BA432,'[2]NonStandard DIS'!$Q$1:$X$542,2,FALSE)</f>
        <v>2.2583333333333334E-2</v>
      </c>
      <c r="BC432">
        <f>VLOOKUP($BA432,'[2]NonStandard DIS'!$Q$1:$X$542,3,FALSE)</f>
        <v>0.29925000000000002</v>
      </c>
      <c r="BD432">
        <f>VLOOKUP($BA432,'[2]NonStandard DIS'!$Q$1:$X$542,4,FALSE)</f>
        <v>0.6781666666666667</v>
      </c>
      <c r="BE432">
        <f>VLOOKUP($BA432,'[2]NonStandard DIS'!$Q$1:$X$542,5,FALSE)</f>
        <v>0</v>
      </c>
      <c r="BF432">
        <f>VLOOKUP($BA432,'[2]NonStandard DIS'!$Q$1:$X$542,6,FALSE)</f>
        <v>0</v>
      </c>
      <c r="BG432">
        <f>VLOOKUP($BA432,'[2]NonStandard DIS'!$Q$1:$X$542,7,FALSE)</f>
        <v>0</v>
      </c>
      <c r="BH432">
        <f>VLOOKUP($BA432,'[2]NonStandard DIS'!$Q$1:$X$542,8,FALSE)</f>
        <v>0</v>
      </c>
      <c r="BI432" s="77">
        <f t="shared" si="989"/>
        <v>1</v>
      </c>
      <c r="BJ432" s="77">
        <f t="shared" si="990"/>
        <v>5.8828618749999992E-2</v>
      </c>
      <c r="BK432" s="77">
        <f t="shared" si="971"/>
        <v>4.7749656900619719E-3</v>
      </c>
      <c r="BL432" s="79">
        <v>0</v>
      </c>
      <c r="BM432" s="77">
        <f t="shared" si="1002"/>
        <v>0</v>
      </c>
      <c r="BN432" s="77">
        <f t="shared" si="1003"/>
        <v>0</v>
      </c>
      <c r="BO432" s="77">
        <f t="shared" si="1004"/>
        <v>6.7025749999999997E-3</v>
      </c>
      <c r="BP432" s="77">
        <f t="shared" si="1005"/>
        <v>5.5683936186601279E-4</v>
      </c>
    </row>
    <row r="433" spans="1:68">
      <c r="A433" t="s">
        <v>175</v>
      </c>
      <c r="B433" t="s">
        <v>176</v>
      </c>
      <c r="C433" s="197" t="str">
        <f t="shared" si="1040"/>
        <v>Lifecycle_Balanced_112</v>
      </c>
      <c r="D433">
        <v>112</v>
      </c>
      <c r="E433">
        <f>VLOOKUP($D433,'[2]LC Balanced'!$Q$2:$U$542,2,FALSE)</f>
        <v>0.36166666666666669</v>
      </c>
      <c r="F433">
        <f>VLOOKUP($D433,'[2]LC Balanced'!$Q$2:$U$542,3,FALSE)</f>
        <v>0.255</v>
      </c>
      <c r="G433">
        <f>VLOOKUP($D433,'[2]LC Balanced'!$Q$2:$U$542,4,FALSE)</f>
        <v>0.38333333333333336</v>
      </c>
      <c r="H433">
        <f>VLOOKUP($D433,'[2]LC Balanced'!$Q$2:$U$542,5,FALSE)</f>
        <v>0</v>
      </c>
      <c r="I433" s="77">
        <f t="shared" si="984"/>
        <v>1</v>
      </c>
      <c r="J433" s="77">
        <f t="shared" si="985"/>
        <v>5.2109625E-2</v>
      </c>
      <c r="K433" s="77">
        <f t="shared" si="975"/>
        <v>4.2420818608361888E-3</v>
      </c>
      <c r="L433" s="76">
        <v>0</v>
      </c>
      <c r="M433" s="77">
        <f t="shared" si="991"/>
        <v>0</v>
      </c>
      <c r="N433" s="77">
        <f t="shared" si="992"/>
        <v>0</v>
      </c>
      <c r="O433" s="77">
        <f t="shared" si="993"/>
        <v>5.1324999999999999E-3</v>
      </c>
      <c r="P433" s="77">
        <f t="shared" si="994"/>
        <v>4.2871778426012419E-4</v>
      </c>
      <c r="R433" t="s">
        <v>177</v>
      </c>
      <c r="S433" t="s">
        <v>176</v>
      </c>
      <c r="T433" s="197" t="str">
        <f t="shared" si="1083"/>
        <v>Autopilot_Balanced_112</v>
      </c>
      <c r="U433">
        <v>112</v>
      </c>
      <c r="V433">
        <f>VLOOKUP($U433,'[2]AP Balanced'!$Q$1:$T$542,2,FALSE)</f>
        <v>0.1254370000000001</v>
      </c>
      <c r="W433">
        <f>VLOOKUP($U433,'[2]AP Balanced'!$Q$1:$T$542,3,FALSE)</f>
        <v>0.87456299999999987</v>
      </c>
      <c r="X433">
        <f>VLOOKUP($U433,'[2]AP Balanced'!$Q$1:$T$542,4,FALSE)</f>
        <v>0</v>
      </c>
      <c r="Y433" s="77">
        <f t="shared" si="1041"/>
        <v>1</v>
      </c>
      <c r="Z433" s="77">
        <f t="shared" si="1030"/>
        <v>5.3015176174999991E-2</v>
      </c>
      <c r="AA433" s="77">
        <f t="shared" si="1031"/>
        <v>4.3140827585705921E-3</v>
      </c>
      <c r="AB433" s="79">
        <v>1</v>
      </c>
      <c r="AC433" s="77">
        <f t="shared" si="995"/>
        <v>6.7508739999999996E-3</v>
      </c>
      <c r="AD433" s="77">
        <f t="shared" si="986"/>
        <v>5.6432106322323872E-4</v>
      </c>
      <c r="AE433" s="77">
        <f t="shared" si="996"/>
        <v>2.5000000000000001E-3</v>
      </c>
      <c r="AF433" s="77">
        <f t="shared" si="986"/>
        <v>2.0857243058891584E-4</v>
      </c>
      <c r="AH433" t="s">
        <v>175</v>
      </c>
      <c r="AI433" t="s">
        <v>176</v>
      </c>
      <c r="AJ433" s="197" t="str">
        <f t="shared" si="1042"/>
        <v>Lifecycle_Balanced_112</v>
      </c>
      <c r="AK433">
        <v>112</v>
      </c>
      <c r="AL433">
        <f>VLOOKUP($U433,[2]Standard_Balanced!$Q$1:$T$542,2,FALSE)</f>
        <v>9.4944088888889028E-2</v>
      </c>
      <c r="AM433">
        <f>VLOOKUP($U433,[2]Standard_Balanced!$Q$1:$T$542,3,FALSE)</f>
        <v>0.90505591111111094</v>
      </c>
      <c r="AN433">
        <f>VLOOKUP($U433,[2]Standard_Balanced!$Q$1:$T$542,4,FALSE)</f>
        <v>0</v>
      </c>
      <c r="AO433" s="77">
        <f t="shared" si="972"/>
        <v>1</v>
      </c>
      <c r="AP433" s="77">
        <f t="shared" si="997"/>
        <v>5.2610382779999992E-2</v>
      </c>
      <c r="AQ433" s="77">
        <f t="shared" si="1043"/>
        <v>4.281904419481064E-3</v>
      </c>
      <c r="AR433" s="79">
        <v>0</v>
      </c>
      <c r="AS433" s="77">
        <f t="shared" si="998"/>
        <v>0</v>
      </c>
      <c r="AT433" s="77">
        <f t="shared" ref="AT433" si="1098">1-(1-AS433)^(1/12)</f>
        <v>0</v>
      </c>
      <c r="AU433" s="77">
        <f t="shared" si="1000"/>
        <v>2.5000000000000001E-3</v>
      </c>
      <c r="AV433" s="77">
        <f t="shared" ref="AV433" si="1099">1-(1-AU433)^(1/12)</f>
        <v>2.0857243058891584E-4</v>
      </c>
      <c r="AX433" t="s">
        <v>178</v>
      </c>
      <c r="AY433" t="s">
        <v>160</v>
      </c>
      <c r="AZ433" s="197" t="str">
        <f t="shared" si="1046"/>
        <v>DIS_Non-Standard_112</v>
      </c>
      <c r="BA433">
        <v>112</v>
      </c>
      <c r="BB433">
        <f>VLOOKUP($BA433,'[2]NonStandard DIS'!$Q$1:$X$542,2,FALSE)</f>
        <v>2.3666666666666666E-2</v>
      </c>
      <c r="BC433">
        <f>VLOOKUP($BA433,'[2]NonStandard DIS'!$Q$1:$X$542,3,FALSE)</f>
        <v>0.30399999999999999</v>
      </c>
      <c r="BD433">
        <f>VLOOKUP($BA433,'[2]NonStandard DIS'!$Q$1:$X$542,4,FALSE)</f>
        <v>0.67233333333333334</v>
      </c>
      <c r="BE433">
        <f>VLOOKUP($BA433,'[2]NonStandard DIS'!$Q$1:$X$542,5,FALSE)</f>
        <v>0</v>
      </c>
      <c r="BF433">
        <f>VLOOKUP($BA433,'[2]NonStandard DIS'!$Q$1:$X$542,6,FALSE)</f>
        <v>0</v>
      </c>
      <c r="BG433">
        <f>VLOOKUP($BA433,'[2]NonStandard DIS'!$Q$1:$X$542,7,FALSE)</f>
        <v>0</v>
      </c>
      <c r="BH433">
        <f>VLOOKUP($BA433,'[2]NonStandard DIS'!$Q$1:$X$542,8,FALSE)</f>
        <v>0</v>
      </c>
      <c r="BI433" s="77">
        <f t="shared" si="989"/>
        <v>1</v>
      </c>
      <c r="BJ433" s="77">
        <f t="shared" si="990"/>
        <v>5.8720574999999997E-2</v>
      </c>
      <c r="BK433" s="77">
        <f t="shared" si="971"/>
        <v>4.7664212845743847E-3</v>
      </c>
      <c r="BL433" s="79">
        <v>0</v>
      </c>
      <c r="BM433" s="77">
        <f t="shared" si="1002"/>
        <v>0</v>
      </c>
      <c r="BN433" s="77">
        <f t="shared" si="1003"/>
        <v>0</v>
      </c>
      <c r="BO433" s="77">
        <f t="shared" si="1004"/>
        <v>6.6912000000000004E-3</v>
      </c>
      <c r="BP433" s="77">
        <f t="shared" si="1005"/>
        <v>5.5589722717863665E-4</v>
      </c>
    </row>
    <row r="434" spans="1:68">
      <c r="A434" t="s">
        <v>175</v>
      </c>
      <c r="B434" t="s">
        <v>176</v>
      </c>
      <c r="C434" s="197" t="str">
        <f t="shared" si="1040"/>
        <v>Lifecycle_Balanced_111</v>
      </c>
      <c r="D434">
        <v>111</v>
      </c>
      <c r="E434">
        <f>VLOOKUP($D434,'[2]LC Balanced'!$Q$2:$U$542,2,FALSE)</f>
        <v>0.36549999999999999</v>
      </c>
      <c r="F434">
        <f>VLOOKUP($D434,'[2]LC Balanced'!$Q$2:$U$542,3,FALSE)</f>
        <v>0.253</v>
      </c>
      <c r="G434">
        <f>VLOOKUP($D434,'[2]LC Balanced'!$Q$2:$U$542,4,FALSE)</f>
        <v>0.38150000000000001</v>
      </c>
      <c r="H434">
        <f>VLOOKUP($D434,'[2]LC Balanced'!$Q$2:$U$542,5,FALSE)</f>
        <v>0</v>
      </c>
      <c r="I434" s="77">
        <f t="shared" si="984"/>
        <v>1</v>
      </c>
      <c r="J434" s="77">
        <f t="shared" si="985"/>
        <v>5.2060212499999994E-2</v>
      </c>
      <c r="K434" s="77">
        <f t="shared" si="975"/>
        <v>4.2381514101434981E-3</v>
      </c>
      <c r="L434" s="76">
        <v>0</v>
      </c>
      <c r="M434" s="77">
        <f t="shared" si="991"/>
        <v>0</v>
      </c>
      <c r="N434" s="77">
        <f t="shared" si="992"/>
        <v>0</v>
      </c>
      <c r="O434" s="77">
        <f t="shared" si="993"/>
        <v>5.1167000000000001E-3</v>
      </c>
      <c r="P434" s="77">
        <f t="shared" si="994"/>
        <v>4.273949019583112E-4</v>
      </c>
      <c r="R434" t="s">
        <v>177</v>
      </c>
      <c r="S434" t="s">
        <v>176</v>
      </c>
      <c r="T434" s="197" t="str">
        <f t="shared" si="1083"/>
        <v>Autopilot_Balanced_111</v>
      </c>
      <c r="U434">
        <v>111</v>
      </c>
      <c r="V434">
        <f>VLOOKUP($U434,'[2]AP Balanced'!$Q$1:$T$542,2,FALSE)</f>
        <v>0.1254370000000001</v>
      </c>
      <c r="W434">
        <f>VLOOKUP($U434,'[2]AP Balanced'!$Q$1:$T$542,3,FALSE)</f>
        <v>0.87456299999999987</v>
      </c>
      <c r="X434">
        <f>VLOOKUP($U434,'[2]AP Balanced'!$Q$1:$T$542,4,FALSE)</f>
        <v>0</v>
      </c>
      <c r="Y434" s="77">
        <f t="shared" si="1041"/>
        <v>1</v>
      </c>
      <c r="Z434" s="77">
        <f t="shared" si="1030"/>
        <v>5.3015176174999991E-2</v>
      </c>
      <c r="AA434" s="77">
        <f t="shared" si="1031"/>
        <v>4.3140827585705921E-3</v>
      </c>
      <c r="AB434" s="79">
        <v>1</v>
      </c>
      <c r="AC434" s="77">
        <f t="shared" si="995"/>
        <v>6.7508739999999996E-3</v>
      </c>
      <c r="AD434" s="77">
        <f t="shared" si="986"/>
        <v>5.6432106322323872E-4</v>
      </c>
      <c r="AE434" s="77">
        <f t="shared" si="996"/>
        <v>2.5000000000000001E-3</v>
      </c>
      <c r="AF434" s="77">
        <f t="shared" si="986"/>
        <v>2.0857243058891584E-4</v>
      </c>
      <c r="AH434" t="s">
        <v>175</v>
      </c>
      <c r="AI434" t="s">
        <v>176</v>
      </c>
      <c r="AJ434" s="197" t="str">
        <f t="shared" si="1042"/>
        <v>Lifecycle_Balanced_111</v>
      </c>
      <c r="AK434">
        <v>111</v>
      </c>
      <c r="AL434">
        <f>VLOOKUP($U434,[2]Standard_Balanced!$Q$1:$T$542,2,FALSE)</f>
        <v>9.1132475000000143E-2</v>
      </c>
      <c r="AM434">
        <f>VLOOKUP($U434,[2]Standard_Balanced!$Q$1:$T$542,3,FALSE)</f>
        <v>0.9088675249999999</v>
      </c>
      <c r="AN434">
        <f>VLOOKUP($U434,[2]Standard_Balanced!$Q$1:$T$542,4,FALSE)</f>
        <v>0</v>
      </c>
      <c r="AO434" s="77">
        <f t="shared" si="972"/>
        <v>1</v>
      </c>
      <c r="AP434" s="77">
        <f t="shared" si="997"/>
        <v>5.2559783605624993E-2</v>
      </c>
      <c r="AQ434" s="77">
        <f t="shared" si="1043"/>
        <v>4.2778813295474283E-3</v>
      </c>
      <c r="AR434" s="79">
        <v>0</v>
      </c>
      <c r="AS434" s="77">
        <f t="shared" si="998"/>
        <v>0</v>
      </c>
      <c r="AT434" s="77">
        <f t="shared" ref="AT434" si="1100">1-(1-AS434)^(1/12)</f>
        <v>0</v>
      </c>
      <c r="AU434" s="77">
        <f t="shared" si="1000"/>
        <v>2.5000000000000001E-3</v>
      </c>
      <c r="AV434" s="77">
        <f t="shared" ref="AV434" si="1101">1-(1-AU434)^(1/12)</f>
        <v>2.0857243058891584E-4</v>
      </c>
      <c r="AX434" t="s">
        <v>178</v>
      </c>
      <c r="AY434" t="s">
        <v>160</v>
      </c>
      <c r="AZ434" s="197" t="str">
        <f t="shared" si="1046"/>
        <v>DIS_Non-Standard_111</v>
      </c>
      <c r="BA434">
        <v>111</v>
      </c>
      <c r="BB434">
        <f>VLOOKUP($BA434,'[2]NonStandard DIS'!$Q$1:$X$542,2,FALSE)</f>
        <v>2.4750000000000001E-2</v>
      </c>
      <c r="BC434">
        <f>VLOOKUP($BA434,'[2]NonStandard DIS'!$Q$1:$X$542,3,FALSE)</f>
        <v>0.30875000000000002</v>
      </c>
      <c r="BD434">
        <f>VLOOKUP($BA434,'[2]NonStandard DIS'!$Q$1:$X$542,4,FALSE)</f>
        <v>0.66649999999999998</v>
      </c>
      <c r="BE434">
        <f>VLOOKUP($BA434,'[2]NonStandard DIS'!$Q$1:$X$542,5,FALSE)</f>
        <v>0</v>
      </c>
      <c r="BF434">
        <f>VLOOKUP($BA434,'[2]NonStandard DIS'!$Q$1:$X$542,6,FALSE)</f>
        <v>0</v>
      </c>
      <c r="BG434">
        <f>VLOOKUP($BA434,'[2]NonStandard DIS'!$Q$1:$X$542,7,FALSE)</f>
        <v>0</v>
      </c>
      <c r="BH434">
        <f>VLOOKUP($BA434,'[2]NonStandard DIS'!$Q$1:$X$542,8,FALSE)</f>
        <v>0</v>
      </c>
      <c r="BI434" s="77">
        <f t="shared" si="989"/>
        <v>1</v>
      </c>
      <c r="BJ434" s="77">
        <f t="shared" si="990"/>
        <v>5.8612531249999988E-2</v>
      </c>
      <c r="BK434" s="77">
        <f t="shared" si="971"/>
        <v>4.7578760797462039E-3</v>
      </c>
      <c r="BL434" s="79">
        <v>0</v>
      </c>
      <c r="BM434" s="77">
        <f t="shared" si="1002"/>
        <v>0</v>
      </c>
      <c r="BN434" s="77">
        <f t="shared" si="1003"/>
        <v>0</v>
      </c>
      <c r="BO434" s="77">
        <f t="shared" si="1004"/>
        <v>6.6798250000000003E-3</v>
      </c>
      <c r="BP434" s="77">
        <f t="shared" si="1005"/>
        <v>5.5495508273262217E-4</v>
      </c>
    </row>
    <row r="435" spans="1:68">
      <c r="A435" t="s">
        <v>175</v>
      </c>
      <c r="B435" t="s">
        <v>176</v>
      </c>
      <c r="C435" s="197" t="str">
        <f t="shared" si="1040"/>
        <v>Lifecycle_Balanced_110</v>
      </c>
      <c r="D435">
        <v>110</v>
      </c>
      <c r="E435">
        <f>VLOOKUP($D435,'[2]LC Balanced'!$Q$2:$U$542,2,FALSE)</f>
        <v>0.36933333333333335</v>
      </c>
      <c r="F435">
        <f>VLOOKUP($D435,'[2]LC Balanced'!$Q$2:$U$542,3,FALSE)</f>
        <v>0.251</v>
      </c>
      <c r="G435">
        <f>VLOOKUP($D435,'[2]LC Balanced'!$Q$2:$U$542,4,FALSE)</f>
        <v>0.37966666666666665</v>
      </c>
      <c r="H435">
        <f>VLOOKUP($D435,'[2]LC Balanced'!$Q$2:$U$542,5,FALSE)</f>
        <v>0</v>
      </c>
      <c r="I435" s="77">
        <f t="shared" si="984"/>
        <v>1</v>
      </c>
      <c r="J435" s="77">
        <f t="shared" si="985"/>
        <v>5.2010799999999996E-2</v>
      </c>
      <c r="K435" s="77">
        <f t="shared" si="975"/>
        <v>4.2342207902277273E-3</v>
      </c>
      <c r="L435" s="76">
        <v>0</v>
      </c>
      <c r="M435" s="77">
        <f t="shared" si="991"/>
        <v>0</v>
      </c>
      <c r="N435" s="77">
        <f t="shared" si="992"/>
        <v>0</v>
      </c>
      <c r="O435" s="77">
        <f t="shared" si="993"/>
        <v>5.1009000000000002E-3</v>
      </c>
      <c r="P435" s="77">
        <f t="shared" si="994"/>
        <v>4.2607203891464884E-4</v>
      </c>
      <c r="R435" t="s">
        <v>177</v>
      </c>
      <c r="S435" t="s">
        <v>176</v>
      </c>
      <c r="T435" s="197" t="str">
        <f t="shared" si="1083"/>
        <v>Autopilot_Balanced_110</v>
      </c>
      <c r="U435">
        <v>110</v>
      </c>
      <c r="V435">
        <f>VLOOKUP($U435,'[2]AP Balanced'!$Q$1:$T$542,2,FALSE)</f>
        <v>0.1254370000000001</v>
      </c>
      <c r="W435">
        <f>VLOOKUP($U435,'[2]AP Balanced'!$Q$1:$T$542,3,FALSE)</f>
        <v>0.87456299999999987</v>
      </c>
      <c r="X435">
        <f>VLOOKUP($U435,'[2]AP Balanced'!$Q$1:$T$542,4,FALSE)</f>
        <v>0</v>
      </c>
      <c r="Y435" s="77">
        <f t="shared" si="1041"/>
        <v>1</v>
      </c>
      <c r="Z435" s="77">
        <f t="shared" si="1030"/>
        <v>5.3015176174999991E-2</v>
      </c>
      <c r="AA435" s="77">
        <f t="shared" si="1031"/>
        <v>4.3140827585705921E-3</v>
      </c>
      <c r="AB435" s="79">
        <v>1</v>
      </c>
      <c r="AC435" s="77">
        <f t="shared" si="995"/>
        <v>6.7508739999999996E-3</v>
      </c>
      <c r="AD435" s="77">
        <f t="shared" si="986"/>
        <v>5.6432106322323872E-4</v>
      </c>
      <c r="AE435" s="77">
        <f t="shared" si="996"/>
        <v>2.5000000000000001E-3</v>
      </c>
      <c r="AF435" s="77">
        <f t="shared" si="986"/>
        <v>2.0857243058891584E-4</v>
      </c>
      <c r="AH435" t="s">
        <v>175</v>
      </c>
      <c r="AI435" t="s">
        <v>176</v>
      </c>
      <c r="AJ435" s="197" t="str">
        <f t="shared" si="1042"/>
        <v>Lifecycle_Balanced_110</v>
      </c>
      <c r="AK435">
        <v>110</v>
      </c>
      <c r="AL435">
        <f>VLOOKUP($U435,[2]Standard_Balanced!$Q$1:$T$542,2,FALSE)</f>
        <v>8.7320861111111259E-2</v>
      </c>
      <c r="AM435">
        <f>VLOOKUP($U435,[2]Standard_Balanced!$Q$1:$T$542,3,FALSE)</f>
        <v>0.91267913888888874</v>
      </c>
      <c r="AN435">
        <f>VLOOKUP($U435,[2]Standard_Balanced!$Q$1:$T$542,4,FALSE)</f>
        <v>0</v>
      </c>
      <c r="AO435" s="77">
        <f t="shared" si="972"/>
        <v>1</v>
      </c>
      <c r="AP435" s="77">
        <f t="shared" si="997"/>
        <v>5.2509184431249994E-2</v>
      </c>
      <c r="AQ435" s="77">
        <f t="shared" si="1043"/>
        <v>4.2738580623264966E-3</v>
      </c>
      <c r="AR435" s="79">
        <v>0</v>
      </c>
      <c r="AS435" s="77">
        <f t="shared" si="998"/>
        <v>0</v>
      </c>
      <c r="AT435" s="77">
        <f t="shared" ref="AT435" si="1102">1-(1-AS435)^(1/12)</f>
        <v>0</v>
      </c>
      <c r="AU435" s="77">
        <f t="shared" si="1000"/>
        <v>2.4999999999999996E-3</v>
      </c>
      <c r="AV435" s="77">
        <f t="shared" ref="AV435" si="1103">1-(1-AU435)^(1/12)</f>
        <v>2.0857243058891584E-4</v>
      </c>
      <c r="AX435" t="s">
        <v>178</v>
      </c>
      <c r="AY435" t="s">
        <v>160</v>
      </c>
      <c r="AZ435" s="197" t="str">
        <f t="shared" si="1046"/>
        <v>DIS_Non-Standard_110</v>
      </c>
      <c r="BA435">
        <v>110</v>
      </c>
      <c r="BB435">
        <f>VLOOKUP($BA435,'[2]NonStandard DIS'!$Q$1:$X$542,2,FALSE)</f>
        <v>2.5833333333333333E-2</v>
      </c>
      <c r="BC435">
        <f>VLOOKUP($BA435,'[2]NonStandard DIS'!$Q$1:$X$542,3,FALSE)</f>
        <v>0.3135</v>
      </c>
      <c r="BD435">
        <f>VLOOKUP($BA435,'[2]NonStandard DIS'!$Q$1:$X$542,4,FALSE)</f>
        <v>0.66066666666666674</v>
      </c>
      <c r="BE435">
        <f>VLOOKUP($BA435,'[2]NonStandard DIS'!$Q$1:$X$542,5,FALSE)</f>
        <v>0</v>
      </c>
      <c r="BF435">
        <f>VLOOKUP($BA435,'[2]NonStandard DIS'!$Q$1:$X$542,6,FALSE)</f>
        <v>0</v>
      </c>
      <c r="BG435">
        <f>VLOOKUP($BA435,'[2]NonStandard DIS'!$Q$1:$X$542,7,FALSE)</f>
        <v>0</v>
      </c>
      <c r="BH435">
        <f>VLOOKUP($BA435,'[2]NonStandard DIS'!$Q$1:$X$542,8,FALSE)</f>
        <v>0</v>
      </c>
      <c r="BI435" s="77">
        <f t="shared" si="989"/>
        <v>1</v>
      </c>
      <c r="BJ435" s="77">
        <f t="shared" si="990"/>
        <v>5.8504487499999994E-2</v>
      </c>
      <c r="BK435" s="77">
        <f t="shared" si="971"/>
        <v>4.7493300754208878E-3</v>
      </c>
      <c r="BL435" s="79">
        <v>0</v>
      </c>
      <c r="BM435" s="77">
        <f t="shared" si="1002"/>
        <v>0</v>
      </c>
      <c r="BN435" s="77">
        <f t="shared" si="1003"/>
        <v>0</v>
      </c>
      <c r="BO435" s="77">
        <f t="shared" si="1004"/>
        <v>6.6684500000000002E-3</v>
      </c>
      <c r="BP435" s="77">
        <f t="shared" si="1005"/>
        <v>5.540129285281914E-4</v>
      </c>
    </row>
    <row r="436" spans="1:68">
      <c r="A436" t="s">
        <v>175</v>
      </c>
      <c r="B436" t="s">
        <v>176</v>
      </c>
      <c r="C436" s="197" t="str">
        <f t="shared" si="1040"/>
        <v>Lifecycle_Balanced_109</v>
      </c>
      <c r="D436">
        <v>109</v>
      </c>
      <c r="E436">
        <f>VLOOKUP($D436,'[2]LC Balanced'!$Q$2:$U$542,2,FALSE)</f>
        <v>0.37316666666666665</v>
      </c>
      <c r="F436">
        <f>VLOOKUP($D436,'[2]LC Balanced'!$Q$2:$U$542,3,FALSE)</f>
        <v>0.249</v>
      </c>
      <c r="G436">
        <f>VLOOKUP($D436,'[2]LC Balanced'!$Q$2:$U$542,4,FALSE)</f>
        <v>0.37783333333333335</v>
      </c>
      <c r="H436">
        <f>VLOOKUP($D436,'[2]LC Balanced'!$Q$2:$U$542,5,FALSE)</f>
        <v>0</v>
      </c>
      <c r="I436" s="77">
        <f t="shared" si="984"/>
        <v>1</v>
      </c>
      <c r="J436" s="77">
        <f t="shared" si="985"/>
        <v>5.1961387499999998E-2</v>
      </c>
      <c r="K436" s="77">
        <f t="shared" si="975"/>
        <v>4.2302900010737776E-3</v>
      </c>
      <c r="L436" s="76">
        <v>0</v>
      </c>
      <c r="M436" s="77">
        <f t="shared" si="991"/>
        <v>0</v>
      </c>
      <c r="N436" s="77">
        <f t="shared" si="992"/>
        <v>0</v>
      </c>
      <c r="O436" s="77">
        <f t="shared" si="993"/>
        <v>5.0851000000000004E-3</v>
      </c>
      <c r="P436" s="77">
        <f t="shared" si="994"/>
        <v>4.24749195128582E-4</v>
      </c>
      <c r="R436" t="s">
        <v>177</v>
      </c>
      <c r="S436" t="s">
        <v>176</v>
      </c>
      <c r="T436" s="197" t="str">
        <f t="shared" si="1083"/>
        <v>Autopilot_Balanced_109</v>
      </c>
      <c r="U436">
        <v>109</v>
      </c>
      <c r="V436">
        <f>VLOOKUP($U436,'[2]AP Balanced'!$Q$1:$T$542,2,FALSE)</f>
        <v>0.1254370000000001</v>
      </c>
      <c r="W436">
        <f>VLOOKUP($U436,'[2]AP Balanced'!$Q$1:$T$542,3,FALSE)</f>
        <v>0.87456299999999987</v>
      </c>
      <c r="X436">
        <f>VLOOKUP($U436,'[2]AP Balanced'!$Q$1:$T$542,4,FALSE)</f>
        <v>0</v>
      </c>
      <c r="Y436" s="77">
        <f t="shared" si="1041"/>
        <v>1</v>
      </c>
      <c r="Z436" s="77">
        <f t="shared" si="1030"/>
        <v>5.3015176174999991E-2</v>
      </c>
      <c r="AA436" s="77">
        <f t="shared" si="1031"/>
        <v>4.3140827585705921E-3</v>
      </c>
      <c r="AB436" s="79">
        <v>1</v>
      </c>
      <c r="AC436" s="77">
        <f t="shared" si="995"/>
        <v>6.7508739999999996E-3</v>
      </c>
      <c r="AD436" s="77">
        <f t="shared" si="986"/>
        <v>5.6432106322323872E-4</v>
      </c>
      <c r="AE436" s="77">
        <f t="shared" si="996"/>
        <v>2.5000000000000001E-3</v>
      </c>
      <c r="AF436" s="77">
        <f t="shared" si="986"/>
        <v>2.0857243058891584E-4</v>
      </c>
      <c r="AH436" t="s">
        <v>175</v>
      </c>
      <c r="AI436" t="s">
        <v>176</v>
      </c>
      <c r="AJ436" s="197" t="str">
        <f t="shared" si="1042"/>
        <v>Lifecycle_Balanced_109</v>
      </c>
      <c r="AK436">
        <v>109</v>
      </c>
      <c r="AL436">
        <f>VLOOKUP($U436,[2]Standard_Balanced!$Q$1:$T$542,2,FALSE)</f>
        <v>8.3509247222222374E-2</v>
      </c>
      <c r="AM436">
        <f>VLOOKUP($U436,[2]Standard_Balanced!$Q$1:$T$542,3,FALSE)</f>
        <v>0.9164907527777777</v>
      </c>
      <c r="AN436">
        <f>VLOOKUP($U436,[2]Standard_Balanced!$Q$1:$T$542,4,FALSE)</f>
        <v>0</v>
      </c>
      <c r="AO436" s="77">
        <f t="shared" si="972"/>
        <v>1</v>
      </c>
      <c r="AP436" s="77">
        <f t="shared" si="997"/>
        <v>5.2458585256874996E-2</v>
      </c>
      <c r="AQ436" s="77">
        <f t="shared" si="1043"/>
        <v>4.2698346178020596E-3</v>
      </c>
      <c r="AR436" s="79">
        <v>0</v>
      </c>
      <c r="AS436" s="77">
        <f t="shared" si="998"/>
        <v>0</v>
      </c>
      <c r="AT436" s="77">
        <f t="shared" ref="AT436" si="1104">1-(1-AS436)^(1/12)</f>
        <v>0</v>
      </c>
      <c r="AU436" s="77">
        <f t="shared" si="1000"/>
        <v>2.5000000000000005E-3</v>
      </c>
      <c r="AV436" s="77">
        <f t="shared" ref="AV436" si="1105">1-(1-AU436)^(1/12)</f>
        <v>2.0857243058891584E-4</v>
      </c>
      <c r="AX436" t="s">
        <v>178</v>
      </c>
      <c r="AY436" t="s">
        <v>160</v>
      </c>
      <c r="AZ436" s="197" t="str">
        <f t="shared" si="1046"/>
        <v>DIS_Non-Standard_109</v>
      </c>
      <c r="BA436">
        <v>109</v>
      </c>
      <c r="BB436">
        <f>VLOOKUP($BA436,'[2]NonStandard DIS'!$Q$1:$X$542,2,FALSE)</f>
        <v>2.6916666666666669E-2</v>
      </c>
      <c r="BC436">
        <f>VLOOKUP($BA436,'[2]NonStandard DIS'!$Q$1:$X$542,3,FALSE)</f>
        <v>0.31825000000000003</v>
      </c>
      <c r="BD436">
        <f>VLOOKUP($BA436,'[2]NonStandard DIS'!$Q$1:$X$542,4,FALSE)</f>
        <v>0.65483333333333338</v>
      </c>
      <c r="BE436">
        <f>VLOOKUP($BA436,'[2]NonStandard DIS'!$Q$1:$X$542,5,FALSE)</f>
        <v>0</v>
      </c>
      <c r="BF436">
        <f>VLOOKUP($BA436,'[2]NonStandard DIS'!$Q$1:$X$542,6,FALSE)</f>
        <v>0</v>
      </c>
      <c r="BG436">
        <f>VLOOKUP($BA436,'[2]NonStandard DIS'!$Q$1:$X$542,7,FALSE)</f>
        <v>0</v>
      </c>
      <c r="BH436">
        <f>VLOOKUP($BA436,'[2]NonStandard DIS'!$Q$1:$X$542,8,FALSE)</f>
        <v>0</v>
      </c>
      <c r="BI436" s="77">
        <f t="shared" si="989"/>
        <v>1</v>
      </c>
      <c r="BJ436" s="77">
        <f t="shared" si="990"/>
        <v>5.8396443749999999E-2</v>
      </c>
      <c r="BK436" s="77">
        <f t="shared" si="971"/>
        <v>4.7407832714421172E-3</v>
      </c>
      <c r="BL436" s="79">
        <v>0</v>
      </c>
      <c r="BM436" s="77">
        <f t="shared" si="1002"/>
        <v>0</v>
      </c>
      <c r="BN436" s="77">
        <f t="shared" si="1003"/>
        <v>0</v>
      </c>
      <c r="BO436" s="77">
        <f t="shared" si="1004"/>
        <v>6.6570750000000001E-3</v>
      </c>
      <c r="BP436" s="77">
        <f t="shared" si="1005"/>
        <v>5.5307076456467819E-4</v>
      </c>
    </row>
    <row r="437" spans="1:68">
      <c r="A437" t="s">
        <v>175</v>
      </c>
      <c r="B437" t="s">
        <v>176</v>
      </c>
      <c r="C437" s="197" t="str">
        <f t="shared" si="1040"/>
        <v>Lifecycle_Balanced_108</v>
      </c>
      <c r="D437">
        <v>108</v>
      </c>
      <c r="E437">
        <f>VLOOKUP($D437,'[2]LC Balanced'!$Q$2:$U$542,2,FALSE)</f>
        <v>0.377</v>
      </c>
      <c r="F437">
        <f>VLOOKUP($D437,'[2]LC Balanced'!$Q$2:$U$542,3,FALSE)</f>
        <v>0.247</v>
      </c>
      <c r="G437">
        <f>VLOOKUP($D437,'[2]LC Balanced'!$Q$2:$U$542,4,FALSE)</f>
        <v>0.376</v>
      </c>
      <c r="H437">
        <f>VLOOKUP($D437,'[2]LC Balanced'!$Q$2:$U$542,5,FALSE)</f>
        <v>0</v>
      </c>
      <c r="I437" s="77">
        <f t="shared" si="984"/>
        <v>1</v>
      </c>
      <c r="J437" s="77">
        <f t="shared" si="985"/>
        <v>5.1911974999999999E-2</v>
      </c>
      <c r="K437" s="77">
        <f t="shared" si="975"/>
        <v>4.2263590426663278E-3</v>
      </c>
      <c r="L437" s="76">
        <v>0</v>
      </c>
      <c r="M437" s="77">
        <f t="shared" si="991"/>
        <v>0</v>
      </c>
      <c r="N437" s="77">
        <f t="shared" si="992"/>
        <v>0</v>
      </c>
      <c r="O437" s="77">
        <f t="shared" si="993"/>
        <v>5.0692999999999997E-3</v>
      </c>
      <c r="P437" s="77">
        <f t="shared" si="994"/>
        <v>4.2342637059944455E-4</v>
      </c>
      <c r="R437" t="s">
        <v>177</v>
      </c>
      <c r="S437" t="s">
        <v>176</v>
      </c>
      <c r="T437" s="197" t="str">
        <f t="shared" si="1083"/>
        <v>Autopilot_Balanced_108</v>
      </c>
      <c r="U437">
        <v>108</v>
      </c>
      <c r="V437">
        <f>VLOOKUP($U437,'[2]AP Balanced'!$Q$1:$T$542,2,FALSE)</f>
        <v>7.969763333333349E-2</v>
      </c>
      <c r="W437">
        <f>VLOOKUP($U437,'[2]AP Balanced'!$Q$1:$T$542,3,FALSE)</f>
        <v>0.92030236666666654</v>
      </c>
      <c r="X437">
        <f>VLOOKUP($U437,'[2]AP Balanced'!$Q$1:$T$542,4,FALSE)</f>
        <v>0</v>
      </c>
      <c r="Y437" s="77">
        <f t="shared" si="1041"/>
        <v>1</v>
      </c>
      <c r="Z437" s="77">
        <f t="shared" si="1030"/>
        <v>5.2407986082499997E-2</v>
      </c>
      <c r="AA437" s="77">
        <f t="shared" si="1031"/>
        <v>4.2658109959576862E-3</v>
      </c>
      <c r="AB437" s="79">
        <v>1</v>
      </c>
      <c r="AC437" s="77">
        <f t="shared" si="995"/>
        <v>6.6593952666666673E-3</v>
      </c>
      <c r="AD437" s="77">
        <f t="shared" si="986"/>
        <v>5.5665067718047023E-4</v>
      </c>
      <c r="AE437" s="77">
        <f t="shared" si="996"/>
        <v>2.5000000000000001E-3</v>
      </c>
      <c r="AF437" s="77">
        <f t="shared" si="986"/>
        <v>2.0857243058891584E-4</v>
      </c>
      <c r="AH437" t="s">
        <v>175</v>
      </c>
      <c r="AI437" t="s">
        <v>176</v>
      </c>
      <c r="AJ437" s="197" t="str">
        <f t="shared" si="1042"/>
        <v>Lifecycle_Balanced_108</v>
      </c>
      <c r="AK437">
        <v>108</v>
      </c>
      <c r="AL437">
        <f>VLOOKUP($U437,[2]Standard_Balanced!$Q$1:$T$542,2,FALSE)</f>
        <v>7.969763333333349E-2</v>
      </c>
      <c r="AM437">
        <f>VLOOKUP($U437,[2]Standard_Balanced!$Q$1:$T$542,3,FALSE)</f>
        <v>0.92030236666666654</v>
      </c>
      <c r="AN437">
        <f>VLOOKUP($U437,[2]Standard_Balanced!$Q$1:$T$542,4,FALSE)</f>
        <v>0</v>
      </c>
      <c r="AO437" s="77">
        <f t="shared" si="972"/>
        <v>1</v>
      </c>
      <c r="AP437" s="77">
        <f t="shared" si="997"/>
        <v>5.2407986082499997E-2</v>
      </c>
      <c r="AQ437" s="77">
        <f t="shared" si="1043"/>
        <v>4.2658109959576862E-3</v>
      </c>
      <c r="AR437" s="79">
        <v>0</v>
      </c>
      <c r="AS437" s="77">
        <f t="shared" si="998"/>
        <v>0</v>
      </c>
      <c r="AT437" s="77">
        <f t="shared" ref="AT437" si="1106">1-(1-AS437)^(1/12)</f>
        <v>0</v>
      </c>
      <c r="AU437" s="77">
        <f t="shared" si="1000"/>
        <v>2.5000000000000001E-3</v>
      </c>
      <c r="AV437" s="77">
        <f t="shared" ref="AV437" si="1107">1-(1-AU437)^(1/12)</f>
        <v>2.0857243058891584E-4</v>
      </c>
      <c r="AX437" t="s">
        <v>178</v>
      </c>
      <c r="AY437" t="s">
        <v>160</v>
      </c>
      <c r="AZ437" s="197" t="str">
        <f t="shared" si="1046"/>
        <v>DIS_Non-Standard_108</v>
      </c>
      <c r="BA437">
        <v>108</v>
      </c>
      <c r="BB437" s="258">
        <v>2.8000000000000001E-2</v>
      </c>
      <c r="BC437" s="258">
        <v>0.32300000000000001</v>
      </c>
      <c r="BD437" s="258">
        <v>0.64900000000000002</v>
      </c>
      <c r="BE437" s="258">
        <f>VLOOKUP($BA437,'[2]NonStandard DIS'!$Q$1:$X$542,5,FALSE)</f>
        <v>0</v>
      </c>
      <c r="BF437" s="258">
        <f>VLOOKUP($BA437,'[2]NonStandard DIS'!$Q$1:$X$542,6,FALSE)</f>
        <v>0</v>
      </c>
      <c r="BG437" s="258">
        <v>0</v>
      </c>
      <c r="BH437">
        <f>VLOOKUP($BA437,'[2]NonStandard DIS'!$Q$1:$X$542,8,FALSE)</f>
        <v>0</v>
      </c>
      <c r="BI437" s="77">
        <f t="shared" si="989"/>
        <v>1</v>
      </c>
      <c r="BJ437" s="77">
        <f t="shared" si="990"/>
        <v>5.8288399999999997E-2</v>
      </c>
      <c r="BK437" s="77">
        <f t="shared" si="971"/>
        <v>4.7322356676535726E-3</v>
      </c>
      <c r="BL437" s="79">
        <v>0</v>
      </c>
      <c r="BM437" s="77">
        <f t="shared" si="1002"/>
        <v>0</v>
      </c>
      <c r="BN437" s="77">
        <f t="shared" si="1003"/>
        <v>0</v>
      </c>
      <c r="BO437" s="77">
        <f t="shared" si="1004"/>
        <v>6.6457000000000009E-3</v>
      </c>
      <c r="BP437" s="77">
        <f t="shared" si="1005"/>
        <v>5.5212859084208255E-4</v>
      </c>
    </row>
    <row r="438" spans="1:68">
      <c r="A438" t="s">
        <v>175</v>
      </c>
      <c r="B438" t="s">
        <v>176</v>
      </c>
      <c r="C438" s="197" t="str">
        <f t="shared" si="1040"/>
        <v>Lifecycle_Balanced_107</v>
      </c>
      <c r="D438">
        <v>107</v>
      </c>
      <c r="E438">
        <f>VLOOKUP($D438,'[2]LC Balanced'!$Q$2:$U$542,2,FALSE)</f>
        <v>0.38033333333333336</v>
      </c>
      <c r="F438">
        <f>VLOOKUP($D438,'[2]LC Balanced'!$Q$2:$U$542,3,FALSE)</f>
        <v>0.24533333333333332</v>
      </c>
      <c r="G438">
        <f>VLOOKUP($D438,'[2]LC Balanced'!$Q$2:$U$542,4,FALSE)</f>
        <v>0.37433333333333335</v>
      </c>
      <c r="H438">
        <f>VLOOKUP($D438,'[2]LC Balanced'!$Q$2:$U$542,5,FALSE)</f>
        <v>0</v>
      </c>
      <c r="I438" s="77">
        <f t="shared" si="984"/>
        <v>1</v>
      </c>
      <c r="J438" s="77">
        <f t="shared" si="985"/>
        <v>5.1867725000000003E-2</v>
      </c>
      <c r="K438" s="77">
        <f t="shared" si="975"/>
        <v>4.2228386377411997E-3</v>
      </c>
      <c r="L438" s="76">
        <v>0</v>
      </c>
      <c r="M438" s="77">
        <f t="shared" si="991"/>
        <v>0</v>
      </c>
      <c r="N438" s="77">
        <f t="shared" si="992"/>
        <v>0</v>
      </c>
      <c r="O438" s="77">
        <f t="shared" si="993"/>
        <v>5.0554666666666661E-3</v>
      </c>
      <c r="P438" s="77">
        <f t="shared" si="994"/>
        <v>4.2226821725444008E-4</v>
      </c>
      <c r="R438" t="s">
        <v>177</v>
      </c>
      <c r="S438" t="s">
        <v>176</v>
      </c>
      <c r="T438" s="197" t="str">
        <f t="shared" si="1083"/>
        <v>Autopilot_Balanced_107</v>
      </c>
      <c r="U438">
        <v>107</v>
      </c>
      <c r="V438">
        <f>VLOOKUP($U438,'[2]AP Balanced'!$Q$1:$T$542,2,FALSE)</f>
        <v>7.969763333333349E-2</v>
      </c>
      <c r="W438">
        <f>VLOOKUP($U438,'[2]AP Balanced'!$Q$1:$T$542,3,FALSE)</f>
        <v>0.92030236666666654</v>
      </c>
      <c r="X438">
        <f>VLOOKUP($U438,'[2]AP Balanced'!$Q$1:$T$542,4,FALSE)</f>
        <v>0</v>
      </c>
      <c r="Y438" s="77">
        <f t="shared" si="1041"/>
        <v>1</v>
      </c>
      <c r="Z438" s="77">
        <f t="shared" si="1030"/>
        <v>5.2407986082499997E-2</v>
      </c>
      <c r="AA438" s="77">
        <f t="shared" si="1031"/>
        <v>4.2658109959576862E-3</v>
      </c>
      <c r="AB438" s="79">
        <v>1</v>
      </c>
      <c r="AC438" s="77">
        <f t="shared" si="995"/>
        <v>6.6593952666666673E-3</v>
      </c>
      <c r="AD438" s="77">
        <f t="shared" si="986"/>
        <v>5.5665067718047023E-4</v>
      </c>
      <c r="AE438" s="77">
        <f t="shared" si="996"/>
        <v>2.5000000000000001E-3</v>
      </c>
      <c r="AF438" s="77">
        <f t="shared" si="986"/>
        <v>2.0857243058891584E-4</v>
      </c>
      <c r="AH438" t="s">
        <v>175</v>
      </c>
      <c r="AI438" t="s">
        <v>176</v>
      </c>
      <c r="AJ438" s="197" t="str">
        <f t="shared" si="1042"/>
        <v>Lifecycle_Balanced_107</v>
      </c>
      <c r="AK438">
        <v>107</v>
      </c>
      <c r="AL438">
        <f>VLOOKUP($U438,[2]Standard_Balanced!$Q$1:$T$542,2,FALSE)</f>
        <v>7.6283408333333483E-2</v>
      </c>
      <c r="AM438">
        <f>VLOOKUP($U438,[2]Standard_Balanced!$Q$1:$T$542,3,FALSE)</f>
        <v>0.92371659166666653</v>
      </c>
      <c r="AN438">
        <f>VLOOKUP($U438,[2]Standard_Balanced!$Q$1:$T$542,4,FALSE)</f>
        <v>0</v>
      </c>
      <c r="AO438" s="77">
        <f t="shared" si="972"/>
        <v>1</v>
      </c>
      <c r="AP438" s="77">
        <f t="shared" si="997"/>
        <v>5.2362662245624997E-2</v>
      </c>
      <c r="AQ438" s="77">
        <f t="shared" si="1043"/>
        <v>4.262206715830219E-3</v>
      </c>
      <c r="AR438" s="79">
        <v>0</v>
      </c>
      <c r="AS438" s="77">
        <f t="shared" si="998"/>
        <v>0</v>
      </c>
      <c r="AT438" s="77">
        <f t="shared" ref="AT438" si="1108">1-(1-AS438)^(1/12)</f>
        <v>0</v>
      </c>
      <c r="AU438" s="77">
        <f t="shared" si="1000"/>
        <v>2.5000000000000001E-3</v>
      </c>
      <c r="AV438" s="77">
        <f t="shared" ref="AV438" si="1109">1-(1-AU438)^(1/12)</f>
        <v>2.0857243058891584E-4</v>
      </c>
      <c r="AX438" t="s">
        <v>178</v>
      </c>
      <c r="AY438" t="s">
        <v>160</v>
      </c>
      <c r="AZ438" s="197" t="str">
        <f t="shared" si="1046"/>
        <v>DIS_Non-Standard_107</v>
      </c>
      <c r="BA438">
        <v>107</v>
      </c>
      <c r="BB438" s="258">
        <v>2.5666666666666667E-2</v>
      </c>
      <c r="BC438" s="258">
        <v>0.29608333333333337</v>
      </c>
      <c r="BD438" s="258">
        <v>0.59491666666666665</v>
      </c>
      <c r="BE438" s="258">
        <f>VLOOKUP($BA438,'[2]NonStandard DIS'!$Q$1:$X$542,5,FALSE)</f>
        <v>0</v>
      </c>
      <c r="BF438" s="258">
        <f>VLOOKUP($BA438,'[2]NonStandard DIS'!$Q$1:$X$542,6,FALSE)</f>
        <v>0</v>
      </c>
      <c r="BG438" s="258">
        <v>8.3333333333333259E-2</v>
      </c>
      <c r="BH438">
        <f>VLOOKUP($BA438,'[2]NonStandard DIS'!$Q$1:$X$542,8,FALSE)</f>
        <v>0</v>
      </c>
      <c r="BI438" s="77">
        <f t="shared" si="989"/>
        <v>1</v>
      </c>
      <c r="BJ438" s="77">
        <f t="shared" si="990"/>
        <v>5.8201866666666657E-2</v>
      </c>
      <c r="BK438" s="77">
        <f t="shared" si="971"/>
        <v>4.725389228318333E-3</v>
      </c>
      <c r="BL438" s="79">
        <v>0</v>
      </c>
      <c r="BM438" s="77">
        <f t="shared" si="1002"/>
        <v>0</v>
      </c>
      <c r="BN438" s="77">
        <f t="shared" si="1003"/>
        <v>0</v>
      </c>
      <c r="BO438" s="77">
        <f t="shared" si="1004"/>
        <v>6.3002249999999996E-3</v>
      </c>
      <c r="BP438" s="77">
        <f t="shared" si="1005"/>
        <v>5.2350877862328282E-4</v>
      </c>
    </row>
    <row r="439" spans="1:68">
      <c r="A439" t="s">
        <v>175</v>
      </c>
      <c r="B439" t="s">
        <v>176</v>
      </c>
      <c r="C439" s="197" t="str">
        <f t="shared" si="1040"/>
        <v>Lifecycle_Balanced_106</v>
      </c>
      <c r="D439">
        <v>106</v>
      </c>
      <c r="E439">
        <f>VLOOKUP($D439,'[2]LC Balanced'!$Q$2:$U$542,2,FALSE)</f>
        <v>0.38366666666666666</v>
      </c>
      <c r="F439">
        <f>VLOOKUP($D439,'[2]LC Balanced'!$Q$2:$U$542,3,FALSE)</f>
        <v>0.24366666666666667</v>
      </c>
      <c r="G439">
        <f>VLOOKUP($D439,'[2]LC Balanced'!$Q$2:$U$542,4,FALSE)</f>
        <v>0.37266666666666665</v>
      </c>
      <c r="H439">
        <f>VLOOKUP($D439,'[2]LC Balanced'!$Q$2:$U$542,5,FALSE)</f>
        <v>0</v>
      </c>
      <c r="I439" s="77">
        <f t="shared" si="984"/>
        <v>1</v>
      </c>
      <c r="J439" s="77">
        <f t="shared" si="985"/>
        <v>5.1823474999999994E-2</v>
      </c>
      <c r="K439" s="77">
        <f t="shared" si="975"/>
        <v>4.2193180970582222E-3</v>
      </c>
      <c r="L439" s="76">
        <v>0</v>
      </c>
      <c r="M439" s="77">
        <f t="shared" si="991"/>
        <v>0</v>
      </c>
      <c r="N439" s="77">
        <f t="shared" si="992"/>
        <v>0</v>
      </c>
      <c r="O439" s="77">
        <f t="shared" si="993"/>
        <v>5.0416333333333334E-3</v>
      </c>
      <c r="P439" s="77">
        <f t="shared" si="994"/>
        <v>4.2111007866996175E-4</v>
      </c>
      <c r="R439" t="s">
        <v>177</v>
      </c>
      <c r="S439" t="s">
        <v>176</v>
      </c>
      <c r="T439" s="197" t="str">
        <f t="shared" si="1083"/>
        <v>Autopilot_Balanced_106</v>
      </c>
      <c r="U439">
        <v>106</v>
      </c>
      <c r="V439">
        <f>VLOOKUP($U439,'[2]AP Balanced'!$Q$1:$T$542,2,FALSE)</f>
        <v>7.969763333333349E-2</v>
      </c>
      <c r="W439">
        <f>VLOOKUP($U439,'[2]AP Balanced'!$Q$1:$T$542,3,FALSE)</f>
        <v>0.92030236666666654</v>
      </c>
      <c r="X439">
        <f>VLOOKUP($U439,'[2]AP Balanced'!$Q$1:$T$542,4,FALSE)</f>
        <v>0</v>
      </c>
      <c r="Y439" s="77">
        <f t="shared" si="1041"/>
        <v>1</v>
      </c>
      <c r="Z439" s="77">
        <f t="shared" si="1030"/>
        <v>5.2407986082499997E-2</v>
      </c>
      <c r="AA439" s="77">
        <f t="shared" si="1031"/>
        <v>4.2658109959576862E-3</v>
      </c>
      <c r="AB439" s="79">
        <v>1</v>
      </c>
      <c r="AC439" s="77">
        <f t="shared" si="995"/>
        <v>6.6593952666666673E-3</v>
      </c>
      <c r="AD439" s="77">
        <f t="shared" si="986"/>
        <v>5.5665067718047023E-4</v>
      </c>
      <c r="AE439" s="77">
        <f t="shared" si="996"/>
        <v>2.5000000000000001E-3</v>
      </c>
      <c r="AF439" s="77">
        <f t="shared" si="986"/>
        <v>2.0857243058891584E-4</v>
      </c>
      <c r="AH439" t="s">
        <v>175</v>
      </c>
      <c r="AI439" t="s">
        <v>176</v>
      </c>
      <c r="AJ439" s="197" t="str">
        <f t="shared" si="1042"/>
        <v>Lifecycle_Balanced_106</v>
      </c>
      <c r="AK439">
        <v>106</v>
      </c>
      <c r="AL439">
        <f>VLOOKUP($U439,[2]Standard_Balanced!$Q$1:$T$542,2,FALSE)</f>
        <v>7.2869183333333476E-2</v>
      </c>
      <c r="AM439">
        <f>VLOOKUP($U439,[2]Standard_Balanced!$Q$1:$T$542,3,FALSE)</f>
        <v>0.92713081666666652</v>
      </c>
      <c r="AN439">
        <f>VLOOKUP($U439,[2]Standard_Balanced!$Q$1:$T$542,4,FALSE)</f>
        <v>0</v>
      </c>
      <c r="AO439" s="77">
        <f t="shared" si="972"/>
        <v>1</v>
      </c>
      <c r="AP439" s="77">
        <f t="shared" si="997"/>
        <v>5.2317338408749997E-2</v>
      </c>
      <c r="AQ439" s="77">
        <f t="shared" si="1043"/>
        <v>4.2586022934045786E-3</v>
      </c>
      <c r="AR439" s="79">
        <v>0</v>
      </c>
      <c r="AS439" s="77">
        <f t="shared" si="998"/>
        <v>0</v>
      </c>
      <c r="AT439" s="77">
        <f t="shared" ref="AT439" si="1110">1-(1-AS439)^(1/12)</f>
        <v>0</v>
      </c>
      <c r="AU439" s="77">
        <f t="shared" si="1000"/>
        <v>2.5000000000000001E-3</v>
      </c>
      <c r="AV439" s="77">
        <f t="shared" ref="AV439" si="1111">1-(1-AU439)^(1/12)</f>
        <v>2.0857243058891584E-4</v>
      </c>
      <c r="AX439" t="s">
        <v>178</v>
      </c>
      <c r="AY439" t="s">
        <v>160</v>
      </c>
      <c r="AZ439" s="197" t="str">
        <f t="shared" si="1046"/>
        <v>DIS_Non-Standard_106</v>
      </c>
      <c r="BA439">
        <v>106</v>
      </c>
      <c r="BB439" s="258">
        <v>2.3333333333333334E-2</v>
      </c>
      <c r="BC439" s="258">
        <v>0.26916666666666672</v>
      </c>
      <c r="BD439" s="258">
        <v>0.54083333333333328</v>
      </c>
      <c r="BE439" s="258">
        <f>VLOOKUP($BA439,'[2]NonStandard DIS'!$Q$1:$X$542,5,FALSE)</f>
        <v>0</v>
      </c>
      <c r="BF439" s="258">
        <f>VLOOKUP($BA439,'[2]NonStandard DIS'!$Q$1:$X$542,6,FALSE)</f>
        <v>0</v>
      </c>
      <c r="BG439" s="258">
        <v>0.16666666666666674</v>
      </c>
      <c r="BH439">
        <f>VLOOKUP($BA439,'[2]NonStandard DIS'!$Q$1:$X$542,8,FALSE)</f>
        <v>0</v>
      </c>
      <c r="BI439" s="77">
        <f t="shared" si="989"/>
        <v>1</v>
      </c>
      <c r="BJ439" s="77">
        <f t="shared" si="990"/>
        <v>5.8115333333333331E-2</v>
      </c>
      <c r="BK439" s="77">
        <f t="shared" si="971"/>
        <v>4.7185422757585194E-3</v>
      </c>
      <c r="BL439" s="79">
        <v>0</v>
      </c>
      <c r="BM439" s="77">
        <f t="shared" si="1002"/>
        <v>0</v>
      </c>
      <c r="BN439" s="77">
        <f t="shared" si="1003"/>
        <v>0</v>
      </c>
      <c r="BO439" s="77">
        <f t="shared" si="1004"/>
        <v>5.95475E-3</v>
      </c>
      <c r="BP439" s="77">
        <f t="shared" si="1005"/>
        <v>4.948799582540353E-4</v>
      </c>
    </row>
    <row r="440" spans="1:68">
      <c r="A440" t="s">
        <v>175</v>
      </c>
      <c r="B440" t="s">
        <v>176</v>
      </c>
      <c r="C440" s="197" t="str">
        <f t="shared" si="1040"/>
        <v>Lifecycle_Balanced_105</v>
      </c>
      <c r="D440">
        <v>105</v>
      </c>
      <c r="E440">
        <f>VLOOKUP($D440,'[2]LC Balanced'!$Q$2:$U$542,2,FALSE)</f>
        <v>0.38700000000000001</v>
      </c>
      <c r="F440">
        <f>VLOOKUP($D440,'[2]LC Balanced'!$Q$2:$U$542,3,FALSE)</f>
        <v>0.24199999999999999</v>
      </c>
      <c r="G440">
        <f>VLOOKUP($D440,'[2]LC Balanced'!$Q$2:$U$542,4,FALSE)</f>
        <v>0.371</v>
      </c>
      <c r="H440">
        <f>VLOOKUP($D440,'[2]LC Balanced'!$Q$2:$U$542,5,FALSE)</f>
        <v>0</v>
      </c>
      <c r="I440" s="77">
        <f t="shared" si="984"/>
        <v>1</v>
      </c>
      <c r="J440" s="77">
        <f t="shared" si="985"/>
        <v>5.1779224999999998E-2</v>
      </c>
      <c r="K440" s="77">
        <f t="shared" si="975"/>
        <v>4.2157974206065152E-3</v>
      </c>
      <c r="L440" s="76">
        <v>0</v>
      </c>
      <c r="M440" s="77">
        <f t="shared" si="991"/>
        <v>0</v>
      </c>
      <c r="N440" s="77">
        <f t="shared" si="992"/>
        <v>0</v>
      </c>
      <c r="O440" s="77">
        <f t="shared" si="993"/>
        <v>5.0277999999999998E-3</v>
      </c>
      <c r="P440" s="77">
        <f t="shared" si="994"/>
        <v>4.1995195484567649E-4</v>
      </c>
      <c r="R440" t="s">
        <v>177</v>
      </c>
      <c r="S440" t="s">
        <v>176</v>
      </c>
      <c r="T440" s="197" t="str">
        <f t="shared" si="1083"/>
        <v>Autopilot_Balanced_105</v>
      </c>
      <c r="U440">
        <v>105</v>
      </c>
      <c r="V440">
        <f>VLOOKUP($U440,'[2]AP Balanced'!$Q$1:$T$542,2,FALSE)</f>
        <v>7.969763333333349E-2</v>
      </c>
      <c r="W440">
        <f>VLOOKUP($U440,'[2]AP Balanced'!$Q$1:$T$542,3,FALSE)</f>
        <v>0.92030236666666654</v>
      </c>
      <c r="X440">
        <f>VLOOKUP($U440,'[2]AP Balanced'!$Q$1:$T$542,4,FALSE)</f>
        <v>0</v>
      </c>
      <c r="Y440" s="77">
        <f t="shared" si="1041"/>
        <v>1</v>
      </c>
      <c r="Z440" s="77">
        <f t="shared" si="1030"/>
        <v>5.2407986082499997E-2</v>
      </c>
      <c r="AA440" s="77">
        <f t="shared" si="1031"/>
        <v>4.2658109959576862E-3</v>
      </c>
      <c r="AB440" s="79">
        <v>1</v>
      </c>
      <c r="AC440" s="77">
        <f t="shared" si="995"/>
        <v>6.6593952666666673E-3</v>
      </c>
      <c r="AD440" s="77">
        <f t="shared" si="986"/>
        <v>5.5665067718047023E-4</v>
      </c>
      <c r="AE440" s="77">
        <f t="shared" si="996"/>
        <v>2.5000000000000001E-3</v>
      </c>
      <c r="AF440" s="77">
        <f t="shared" si="986"/>
        <v>2.0857243058891584E-4</v>
      </c>
      <c r="AH440" t="s">
        <v>175</v>
      </c>
      <c r="AI440" t="s">
        <v>176</v>
      </c>
      <c r="AJ440" s="197" t="str">
        <f t="shared" si="1042"/>
        <v>Lifecycle_Balanced_105</v>
      </c>
      <c r="AK440">
        <v>105</v>
      </c>
      <c r="AL440">
        <f>VLOOKUP($U440,[2]Standard_Balanced!$Q$1:$T$542,2,FALSE)</f>
        <v>6.9454958333333455E-2</v>
      </c>
      <c r="AM440">
        <f>VLOOKUP($U440,[2]Standard_Balanced!$Q$1:$T$542,3,FALSE)</f>
        <v>0.93054504166666652</v>
      </c>
      <c r="AN440">
        <f>VLOOKUP($U440,[2]Standard_Balanced!$Q$1:$T$542,4,FALSE)</f>
        <v>0</v>
      </c>
      <c r="AO440" s="77">
        <f t="shared" si="972"/>
        <v>1</v>
      </c>
      <c r="AP440" s="77">
        <f t="shared" si="997"/>
        <v>5.227201457187499E-2</v>
      </c>
      <c r="AQ440" s="77">
        <f t="shared" si="1043"/>
        <v>4.2549977286685525E-3</v>
      </c>
      <c r="AR440" s="79">
        <v>0</v>
      </c>
      <c r="AS440" s="77">
        <f t="shared" si="998"/>
        <v>0</v>
      </c>
      <c r="AT440" s="77">
        <f t="shared" ref="AT440" si="1112">1-(1-AS440)^(1/12)</f>
        <v>0</v>
      </c>
      <c r="AU440" s="77">
        <f t="shared" si="1000"/>
        <v>2.4999999999999996E-3</v>
      </c>
      <c r="AV440" s="77">
        <f t="shared" ref="AV440" si="1113">1-(1-AU440)^(1/12)</f>
        <v>2.0857243058891584E-4</v>
      </c>
      <c r="AX440" t="s">
        <v>178</v>
      </c>
      <c r="AY440" t="s">
        <v>160</v>
      </c>
      <c r="AZ440" s="197" t="str">
        <f t="shared" si="1046"/>
        <v>DIS_Non-Standard_105</v>
      </c>
      <c r="BA440">
        <v>105</v>
      </c>
      <c r="BB440" s="258">
        <v>2.1000000000000001E-2</v>
      </c>
      <c r="BC440" s="258">
        <v>0.24225000000000005</v>
      </c>
      <c r="BD440" s="258">
        <v>0.48674999999999996</v>
      </c>
      <c r="BE440" s="258">
        <f>VLOOKUP($BA440,'[2]NonStandard DIS'!$Q$1:$X$542,5,FALSE)</f>
        <v>0</v>
      </c>
      <c r="BF440" s="258">
        <f>VLOOKUP($BA440,'[2]NonStandard DIS'!$Q$1:$X$542,6,FALSE)</f>
        <v>0</v>
      </c>
      <c r="BG440" s="258">
        <v>0.25</v>
      </c>
      <c r="BH440">
        <f>VLOOKUP($BA440,'[2]NonStandard DIS'!$Q$1:$X$542,8,FALSE)</f>
        <v>0</v>
      </c>
      <c r="BI440" s="77">
        <f t="shared" si="989"/>
        <v>1</v>
      </c>
      <c r="BJ440" s="77">
        <f t="shared" si="990"/>
        <v>5.8028799999999998E-2</v>
      </c>
      <c r="BK440" s="77">
        <f t="shared" si="971"/>
        <v>4.7116948098939737E-3</v>
      </c>
      <c r="BL440" s="79">
        <v>0</v>
      </c>
      <c r="BM440" s="77">
        <f t="shared" si="1002"/>
        <v>0</v>
      </c>
      <c r="BN440" s="77">
        <f t="shared" si="1003"/>
        <v>0</v>
      </c>
      <c r="BO440" s="77">
        <f t="shared" si="1004"/>
        <v>5.6092749999999995E-3</v>
      </c>
      <c r="BP440" s="77">
        <f t="shared" si="1005"/>
        <v>4.6624212380419472E-4</v>
      </c>
    </row>
    <row r="441" spans="1:68">
      <c r="A441" t="s">
        <v>175</v>
      </c>
      <c r="B441" t="s">
        <v>176</v>
      </c>
      <c r="C441" s="197" t="str">
        <f t="shared" si="1040"/>
        <v>Lifecycle_Balanced_104</v>
      </c>
      <c r="D441">
        <v>104</v>
      </c>
      <c r="E441">
        <f>VLOOKUP($D441,'[2]LC Balanced'!$Q$2:$U$542,2,FALSE)</f>
        <v>0.39033333333333331</v>
      </c>
      <c r="F441">
        <f>VLOOKUP($D441,'[2]LC Balanced'!$Q$2:$U$542,3,FALSE)</f>
        <v>0.24033333333333334</v>
      </c>
      <c r="G441">
        <f>VLOOKUP($D441,'[2]LC Balanced'!$Q$2:$U$542,4,FALSE)</f>
        <v>0.36933333333333335</v>
      </c>
      <c r="H441">
        <f>VLOOKUP($D441,'[2]LC Balanced'!$Q$2:$U$542,5,FALSE)</f>
        <v>0</v>
      </c>
      <c r="I441" s="77">
        <f t="shared" si="984"/>
        <v>1</v>
      </c>
      <c r="J441" s="77">
        <f t="shared" si="985"/>
        <v>5.1734974999999996E-2</v>
      </c>
      <c r="K441" s="77">
        <f t="shared" si="975"/>
        <v>4.2122766083751984E-3</v>
      </c>
      <c r="L441" s="76">
        <v>0</v>
      </c>
      <c r="M441" s="77">
        <f t="shared" si="991"/>
        <v>0</v>
      </c>
      <c r="N441" s="77">
        <f t="shared" si="992"/>
        <v>0</v>
      </c>
      <c r="O441" s="77">
        <f t="shared" si="993"/>
        <v>5.0139666666666662E-3</v>
      </c>
      <c r="P441" s="77">
        <f t="shared" si="994"/>
        <v>4.1879384578102918E-4</v>
      </c>
      <c r="R441" t="s">
        <v>177</v>
      </c>
      <c r="S441" t="s">
        <v>176</v>
      </c>
      <c r="T441" s="197" t="str">
        <f t="shared" si="1083"/>
        <v>Autopilot_Balanced_104</v>
      </c>
      <c r="U441">
        <v>104</v>
      </c>
      <c r="V441">
        <f>VLOOKUP($U441,'[2]AP Balanced'!$Q$1:$T$542,2,FALSE)</f>
        <v>7.969763333333349E-2</v>
      </c>
      <c r="W441">
        <f>VLOOKUP($U441,'[2]AP Balanced'!$Q$1:$T$542,3,FALSE)</f>
        <v>0.92030236666666654</v>
      </c>
      <c r="X441">
        <f>VLOOKUP($U441,'[2]AP Balanced'!$Q$1:$T$542,4,FALSE)</f>
        <v>0</v>
      </c>
      <c r="Y441" s="77">
        <f t="shared" si="1041"/>
        <v>1</v>
      </c>
      <c r="Z441" s="77">
        <f t="shared" si="1030"/>
        <v>5.2407986082499997E-2</v>
      </c>
      <c r="AA441" s="77">
        <f t="shared" si="1031"/>
        <v>4.2658109959576862E-3</v>
      </c>
      <c r="AB441" s="79">
        <v>1</v>
      </c>
      <c r="AC441" s="77">
        <f t="shared" si="995"/>
        <v>6.6593952666666673E-3</v>
      </c>
      <c r="AD441" s="77">
        <f t="shared" si="986"/>
        <v>5.5665067718047023E-4</v>
      </c>
      <c r="AE441" s="77">
        <f t="shared" si="996"/>
        <v>2.5000000000000001E-3</v>
      </c>
      <c r="AF441" s="77">
        <f t="shared" si="986"/>
        <v>2.0857243058891584E-4</v>
      </c>
      <c r="AH441" t="s">
        <v>175</v>
      </c>
      <c r="AI441" t="s">
        <v>176</v>
      </c>
      <c r="AJ441" s="197" t="str">
        <f t="shared" si="1042"/>
        <v>Lifecycle_Balanced_104</v>
      </c>
      <c r="AK441">
        <v>104</v>
      </c>
      <c r="AL441">
        <f>VLOOKUP($U441,[2]Standard_Balanced!$Q$1:$T$542,2,FALSE)</f>
        <v>6.6040733333333448E-2</v>
      </c>
      <c r="AM441">
        <f>VLOOKUP($U441,[2]Standard_Balanced!$Q$1:$T$542,3,FALSE)</f>
        <v>0.93395926666666662</v>
      </c>
      <c r="AN441">
        <f>VLOOKUP($U441,[2]Standard_Balanced!$Q$1:$T$542,4,FALSE)</f>
        <v>0</v>
      </c>
      <c r="AO441" s="77">
        <f t="shared" si="972"/>
        <v>1</v>
      </c>
      <c r="AP441" s="77">
        <f t="shared" si="997"/>
        <v>5.2226690734999998E-2</v>
      </c>
      <c r="AQ441" s="77">
        <f t="shared" si="1043"/>
        <v>4.2513930216110385E-3</v>
      </c>
      <c r="AR441" s="79">
        <v>0</v>
      </c>
      <c r="AS441" s="77">
        <f t="shared" si="998"/>
        <v>0</v>
      </c>
      <c r="AT441" s="77">
        <f t="shared" ref="AT441" si="1114">1-(1-AS441)^(1/12)</f>
        <v>0</v>
      </c>
      <c r="AU441" s="77">
        <f t="shared" si="1000"/>
        <v>2.5000000000000005E-3</v>
      </c>
      <c r="AV441" s="77">
        <f t="shared" ref="AV441" si="1115">1-(1-AU441)^(1/12)</f>
        <v>2.0857243058891584E-4</v>
      </c>
      <c r="AX441" t="s">
        <v>178</v>
      </c>
      <c r="AY441" t="s">
        <v>160</v>
      </c>
      <c r="AZ441" s="197" t="str">
        <f t="shared" si="1046"/>
        <v>DIS_Non-Standard_104</v>
      </c>
      <c r="BA441">
        <v>104</v>
      </c>
      <c r="BB441" s="258">
        <v>1.8666666666666668E-2</v>
      </c>
      <c r="BC441" s="258">
        <v>0.21533333333333338</v>
      </c>
      <c r="BD441" s="258">
        <v>0.43266666666666664</v>
      </c>
      <c r="BE441" s="258">
        <f>VLOOKUP($BA441,'[2]NonStandard DIS'!$Q$1:$X$542,5,FALSE)</f>
        <v>0</v>
      </c>
      <c r="BF441" s="258">
        <f>VLOOKUP($BA441,'[2]NonStandard DIS'!$Q$1:$X$542,6,FALSE)</f>
        <v>0</v>
      </c>
      <c r="BG441" s="258">
        <v>0.33333333333333326</v>
      </c>
      <c r="BH441">
        <f>VLOOKUP($BA441,'[2]NonStandard DIS'!$Q$1:$X$542,8,FALSE)</f>
        <v>0</v>
      </c>
      <c r="BI441" s="77">
        <f t="shared" si="989"/>
        <v>1</v>
      </c>
      <c r="BJ441" s="77">
        <f t="shared" si="990"/>
        <v>5.7942266666666659E-2</v>
      </c>
      <c r="BK441" s="77">
        <f t="shared" si="971"/>
        <v>4.7048468306438718E-3</v>
      </c>
      <c r="BL441" s="79">
        <v>0</v>
      </c>
      <c r="BM441" s="77">
        <f t="shared" si="1002"/>
        <v>0</v>
      </c>
      <c r="BN441" s="77">
        <f t="shared" si="1003"/>
        <v>0</v>
      </c>
      <c r="BO441" s="77">
        <f t="shared" si="1004"/>
        <v>5.2637999999999999E-3</v>
      </c>
      <c r="BP441" s="77">
        <f t="shared" si="1005"/>
        <v>4.3759526933695447E-4</v>
      </c>
    </row>
    <row r="442" spans="1:68">
      <c r="A442" t="s">
        <v>175</v>
      </c>
      <c r="B442" t="s">
        <v>176</v>
      </c>
      <c r="C442" s="197" t="str">
        <f t="shared" si="1040"/>
        <v>Lifecycle_Balanced_103</v>
      </c>
      <c r="D442">
        <v>103</v>
      </c>
      <c r="E442">
        <f>VLOOKUP($D442,'[2]LC Balanced'!$Q$2:$U$542,2,FALSE)</f>
        <v>0.39366666666666666</v>
      </c>
      <c r="F442">
        <f>VLOOKUP($D442,'[2]LC Balanced'!$Q$2:$U$542,3,FALSE)</f>
        <v>0.23866666666666667</v>
      </c>
      <c r="G442">
        <f>VLOOKUP($D442,'[2]LC Balanced'!$Q$2:$U$542,4,FALSE)</f>
        <v>0.36766666666666664</v>
      </c>
      <c r="H442">
        <f>VLOOKUP($D442,'[2]LC Balanced'!$Q$2:$U$542,5,FALSE)</f>
        <v>0</v>
      </c>
      <c r="I442" s="77">
        <f t="shared" si="984"/>
        <v>1</v>
      </c>
      <c r="J442" s="77">
        <f t="shared" si="985"/>
        <v>5.1690724999999993E-2</v>
      </c>
      <c r="K442" s="77">
        <f t="shared" si="975"/>
        <v>4.2087556603533915E-3</v>
      </c>
      <c r="L442" s="76">
        <v>0</v>
      </c>
      <c r="M442" s="77">
        <f t="shared" si="991"/>
        <v>0</v>
      </c>
      <c r="N442" s="77">
        <f t="shared" si="992"/>
        <v>0</v>
      </c>
      <c r="O442" s="77">
        <f t="shared" si="993"/>
        <v>5.0001333333333335E-3</v>
      </c>
      <c r="P442" s="77">
        <f t="shared" si="994"/>
        <v>4.1763575147590881E-4</v>
      </c>
      <c r="R442" t="s">
        <v>177</v>
      </c>
      <c r="S442" t="s">
        <v>176</v>
      </c>
      <c r="T442" s="197" t="str">
        <f t="shared" si="1083"/>
        <v>Autopilot_Balanced_103</v>
      </c>
      <c r="U442">
        <v>103</v>
      </c>
      <c r="V442">
        <f>VLOOKUP($U442,'[2]AP Balanced'!$Q$1:$T$542,2,FALSE)</f>
        <v>7.969763333333349E-2</v>
      </c>
      <c r="W442">
        <f>VLOOKUP($U442,'[2]AP Balanced'!$Q$1:$T$542,3,FALSE)</f>
        <v>0.92030236666666654</v>
      </c>
      <c r="X442">
        <f>VLOOKUP($U442,'[2]AP Balanced'!$Q$1:$T$542,4,FALSE)</f>
        <v>0</v>
      </c>
      <c r="Y442" s="77">
        <f t="shared" si="1041"/>
        <v>1</v>
      </c>
      <c r="Z442" s="77">
        <f t="shared" si="1030"/>
        <v>5.2407986082499997E-2</v>
      </c>
      <c r="AA442" s="77">
        <f t="shared" si="1031"/>
        <v>4.2658109959576862E-3</v>
      </c>
      <c r="AB442" s="79">
        <v>1</v>
      </c>
      <c r="AC442" s="77">
        <f t="shared" si="995"/>
        <v>6.6593952666666673E-3</v>
      </c>
      <c r="AD442" s="77">
        <f t="shared" si="986"/>
        <v>5.5665067718047023E-4</v>
      </c>
      <c r="AE442" s="77">
        <f t="shared" si="996"/>
        <v>2.5000000000000001E-3</v>
      </c>
      <c r="AF442" s="77">
        <f t="shared" si="986"/>
        <v>2.0857243058891584E-4</v>
      </c>
      <c r="AH442" t="s">
        <v>175</v>
      </c>
      <c r="AI442" t="s">
        <v>176</v>
      </c>
      <c r="AJ442" s="197" t="str">
        <f t="shared" si="1042"/>
        <v>Lifecycle_Balanced_103</v>
      </c>
      <c r="AK442">
        <v>103</v>
      </c>
      <c r="AL442">
        <f>VLOOKUP($U442,[2]Standard_Balanced!$Q$1:$T$542,2,FALSE)</f>
        <v>6.2626508333333442E-2</v>
      </c>
      <c r="AM442">
        <f>VLOOKUP($U442,[2]Standard_Balanced!$Q$1:$T$542,3,FALSE)</f>
        <v>0.93737349166666661</v>
      </c>
      <c r="AN442">
        <f>VLOOKUP($U442,[2]Standard_Balanced!$Q$1:$T$542,4,FALSE)</f>
        <v>0</v>
      </c>
      <c r="AO442" s="77">
        <f t="shared" si="972"/>
        <v>1</v>
      </c>
      <c r="AP442" s="77">
        <f t="shared" si="997"/>
        <v>5.2181366898124998E-2</v>
      </c>
      <c r="AQ442" s="77">
        <f t="shared" si="1043"/>
        <v>4.247788172219602E-3</v>
      </c>
      <c r="AR442" s="79">
        <v>0</v>
      </c>
      <c r="AS442" s="77">
        <f t="shared" si="998"/>
        <v>0</v>
      </c>
      <c r="AT442" s="77">
        <f t="shared" ref="AT442" si="1116">1-(1-AS442)^(1/12)</f>
        <v>0</v>
      </c>
      <c r="AU442" s="77">
        <f t="shared" si="1000"/>
        <v>2.5000000000000001E-3</v>
      </c>
      <c r="AV442" s="77">
        <f t="shared" ref="AV442" si="1117">1-(1-AU442)^(1/12)</f>
        <v>2.0857243058891584E-4</v>
      </c>
      <c r="AX442" t="s">
        <v>178</v>
      </c>
      <c r="AY442" t="s">
        <v>160</v>
      </c>
      <c r="AZ442" s="197" t="str">
        <f t="shared" si="1046"/>
        <v>DIS_Non-Standard_103</v>
      </c>
      <c r="BA442">
        <v>103</v>
      </c>
      <c r="BB442" s="258">
        <v>1.6333333333333335E-2</v>
      </c>
      <c r="BC442" s="258">
        <v>0.1884166666666667</v>
      </c>
      <c r="BD442" s="258">
        <v>0.37858333333333333</v>
      </c>
      <c r="BE442" s="258">
        <f>VLOOKUP($BA442,'[2]NonStandard DIS'!$Q$1:$X$542,5,FALSE)</f>
        <v>0</v>
      </c>
      <c r="BF442" s="258">
        <f>VLOOKUP($BA442,'[2]NonStandard DIS'!$Q$1:$X$542,6,FALSE)</f>
        <v>0</v>
      </c>
      <c r="BG442" s="258">
        <v>0.41666666666666663</v>
      </c>
      <c r="BH442">
        <f>VLOOKUP($BA442,'[2]NonStandard DIS'!$Q$1:$X$542,8,FALSE)</f>
        <v>0</v>
      </c>
      <c r="BI442" s="77">
        <f t="shared" si="989"/>
        <v>1</v>
      </c>
      <c r="BJ442" s="77">
        <f t="shared" si="990"/>
        <v>5.7855733333333326E-2</v>
      </c>
      <c r="BK442" s="77">
        <f t="shared" si="971"/>
        <v>4.6979983379278334E-3</v>
      </c>
      <c r="BL442" s="79">
        <v>0</v>
      </c>
      <c r="BM442" s="77">
        <f t="shared" si="1002"/>
        <v>0</v>
      </c>
      <c r="BN442" s="77">
        <f t="shared" si="1003"/>
        <v>0</v>
      </c>
      <c r="BO442" s="77">
        <f t="shared" si="1004"/>
        <v>4.9183250000000003E-3</v>
      </c>
      <c r="BP442" s="77">
        <f t="shared" si="1005"/>
        <v>4.0893938891017889E-4</v>
      </c>
    </row>
    <row r="443" spans="1:68">
      <c r="A443" t="s">
        <v>175</v>
      </c>
      <c r="B443" t="s">
        <v>176</v>
      </c>
      <c r="C443" s="197" t="str">
        <f t="shared" si="1040"/>
        <v>Lifecycle_Balanced_102</v>
      </c>
      <c r="D443">
        <v>102</v>
      </c>
      <c r="E443">
        <f>VLOOKUP($D443,'[2]LC Balanced'!$Q$2:$U$542,2,FALSE)</f>
        <v>0.39700000000000002</v>
      </c>
      <c r="F443">
        <f>VLOOKUP($D443,'[2]LC Balanced'!$Q$2:$U$542,3,FALSE)</f>
        <v>0.23699999999999999</v>
      </c>
      <c r="G443">
        <f>VLOOKUP($D443,'[2]LC Balanced'!$Q$2:$U$542,4,FALSE)</f>
        <v>0.36599999999999999</v>
      </c>
      <c r="H443">
        <f>VLOOKUP($D443,'[2]LC Balanced'!$Q$2:$U$542,5,FALSE)</f>
        <v>0</v>
      </c>
      <c r="I443" s="77">
        <f t="shared" si="984"/>
        <v>1</v>
      </c>
      <c r="J443" s="77">
        <f t="shared" si="985"/>
        <v>5.1646474999999997E-2</v>
      </c>
      <c r="K443" s="77">
        <f t="shared" si="975"/>
        <v>4.2052345765299926E-3</v>
      </c>
      <c r="L443" s="76">
        <v>0</v>
      </c>
      <c r="M443" s="77">
        <f t="shared" si="991"/>
        <v>0</v>
      </c>
      <c r="N443" s="77">
        <f t="shared" si="992"/>
        <v>0</v>
      </c>
      <c r="O443" s="77">
        <f t="shared" si="993"/>
        <v>4.9862999999999999E-3</v>
      </c>
      <c r="P443" s="77">
        <f t="shared" si="994"/>
        <v>4.1647767192976026E-4</v>
      </c>
      <c r="R443" t="s">
        <v>177</v>
      </c>
      <c r="S443" t="s">
        <v>176</v>
      </c>
      <c r="T443" s="197" t="str">
        <f t="shared" si="1083"/>
        <v>Autopilot_Balanced_102</v>
      </c>
      <c r="U443">
        <v>102</v>
      </c>
      <c r="V443">
        <f>VLOOKUP($U443,'[2]AP Balanced'!$Q$1:$T$542,2,FALSE)</f>
        <v>7.969763333333349E-2</v>
      </c>
      <c r="W443">
        <f>VLOOKUP($U443,'[2]AP Balanced'!$Q$1:$T$542,3,FALSE)</f>
        <v>0.92030236666666654</v>
      </c>
      <c r="X443">
        <f>VLOOKUP($U443,'[2]AP Balanced'!$Q$1:$T$542,4,FALSE)</f>
        <v>0</v>
      </c>
      <c r="Y443" s="77">
        <f t="shared" si="1041"/>
        <v>1</v>
      </c>
      <c r="Z443" s="77">
        <f t="shared" si="1030"/>
        <v>5.2407986082499997E-2</v>
      </c>
      <c r="AA443" s="77">
        <f t="shared" si="1031"/>
        <v>4.2658109959576862E-3</v>
      </c>
      <c r="AB443" s="79">
        <v>1</v>
      </c>
      <c r="AC443" s="77">
        <f t="shared" si="995"/>
        <v>6.6593952666666673E-3</v>
      </c>
      <c r="AD443" s="77">
        <f t="shared" si="986"/>
        <v>5.5665067718047023E-4</v>
      </c>
      <c r="AE443" s="77">
        <f t="shared" si="996"/>
        <v>2.5000000000000001E-3</v>
      </c>
      <c r="AF443" s="77">
        <f t="shared" si="986"/>
        <v>2.0857243058891584E-4</v>
      </c>
      <c r="AH443" t="s">
        <v>175</v>
      </c>
      <c r="AI443" t="s">
        <v>176</v>
      </c>
      <c r="AJ443" s="197" t="str">
        <f t="shared" si="1042"/>
        <v>Lifecycle_Balanced_102</v>
      </c>
      <c r="AK443">
        <v>102</v>
      </c>
      <c r="AL443">
        <f>VLOOKUP($U443,[2]Standard_Balanced!$Q$1:$T$542,2,FALSE)</f>
        <v>5.9212283333333435E-2</v>
      </c>
      <c r="AM443">
        <f>VLOOKUP($U443,[2]Standard_Balanced!$Q$1:$T$542,3,FALSE)</f>
        <v>0.94078771666666661</v>
      </c>
      <c r="AN443">
        <f>VLOOKUP($U443,[2]Standard_Balanced!$Q$1:$T$542,4,FALSE)</f>
        <v>0</v>
      </c>
      <c r="AO443" s="77">
        <f t="shared" si="972"/>
        <v>1</v>
      </c>
      <c r="AP443" s="77">
        <f t="shared" si="997"/>
        <v>5.2136043061249998E-2</v>
      </c>
      <c r="AQ443" s="77">
        <f t="shared" si="1043"/>
        <v>4.2441831804831409E-3</v>
      </c>
      <c r="AR443" s="79">
        <v>0</v>
      </c>
      <c r="AS443" s="77">
        <f t="shared" si="998"/>
        <v>0</v>
      </c>
      <c r="AT443" s="77">
        <f t="shared" ref="AT443" si="1118">1-(1-AS443)^(1/12)</f>
        <v>0</v>
      </c>
      <c r="AU443" s="77">
        <f t="shared" si="1000"/>
        <v>2.5000000000000005E-3</v>
      </c>
      <c r="AV443" s="77">
        <f t="shared" ref="AV443" si="1119">1-(1-AU443)^(1/12)</f>
        <v>2.0857243058891584E-4</v>
      </c>
      <c r="AX443" t="s">
        <v>178</v>
      </c>
      <c r="AY443" t="s">
        <v>160</v>
      </c>
      <c r="AZ443" s="197" t="str">
        <f t="shared" si="1046"/>
        <v>DIS_Non-Standard_102</v>
      </c>
      <c r="BA443">
        <v>102</v>
      </c>
      <c r="BB443" s="258">
        <v>1.4000000000000002E-2</v>
      </c>
      <c r="BC443" s="258">
        <v>0.16150000000000003</v>
      </c>
      <c r="BD443" s="258">
        <v>0.32450000000000001</v>
      </c>
      <c r="BE443" s="258">
        <f>VLOOKUP($BA443,'[2]NonStandard DIS'!$Q$1:$X$542,5,FALSE)</f>
        <v>0</v>
      </c>
      <c r="BF443" s="258">
        <f>VLOOKUP($BA443,'[2]NonStandard DIS'!$Q$1:$X$542,6,FALSE)</f>
        <v>0</v>
      </c>
      <c r="BG443" s="258">
        <v>0.5</v>
      </c>
      <c r="BH443">
        <f>VLOOKUP($BA443,'[2]NonStandard DIS'!$Q$1:$X$542,8,FALSE)</f>
        <v>0</v>
      </c>
      <c r="BI443" s="77">
        <f t="shared" si="989"/>
        <v>1</v>
      </c>
      <c r="BJ443" s="77">
        <f t="shared" si="990"/>
        <v>5.77692E-2</v>
      </c>
      <c r="BK443" s="77">
        <f t="shared" si="971"/>
        <v>4.6911493316654784E-3</v>
      </c>
      <c r="BL443" s="79">
        <v>0</v>
      </c>
      <c r="BM443" s="77">
        <f t="shared" si="1002"/>
        <v>0</v>
      </c>
      <c r="BN443" s="77">
        <f t="shared" si="1003"/>
        <v>0</v>
      </c>
      <c r="BO443" s="77">
        <f t="shared" si="1004"/>
        <v>4.5728500000000007E-3</v>
      </c>
      <c r="BP443" s="77">
        <f t="shared" si="1005"/>
        <v>3.8027447657551505E-4</v>
      </c>
    </row>
    <row r="444" spans="1:68">
      <c r="A444" t="s">
        <v>175</v>
      </c>
      <c r="B444" t="s">
        <v>176</v>
      </c>
      <c r="C444" s="197" t="str">
        <f t="shared" si="1040"/>
        <v>Lifecycle_Balanced_101</v>
      </c>
      <c r="D444">
        <v>101</v>
      </c>
      <c r="E444">
        <f>VLOOKUP($D444,'[2]LC Balanced'!$Q$2:$U$542,2,FALSE)</f>
        <v>0.40033333333333332</v>
      </c>
      <c r="F444">
        <f>VLOOKUP($D444,'[2]LC Balanced'!$Q$2:$U$542,3,FALSE)</f>
        <v>0.23533333333333334</v>
      </c>
      <c r="G444">
        <f>VLOOKUP($D444,'[2]LC Balanced'!$Q$2:$U$542,4,FALSE)</f>
        <v>0.36433333333333334</v>
      </c>
      <c r="H444">
        <f>VLOOKUP($D444,'[2]LC Balanced'!$Q$2:$U$542,5,FALSE)</f>
        <v>0</v>
      </c>
      <c r="I444" s="77">
        <f t="shared" si="984"/>
        <v>1</v>
      </c>
      <c r="J444" s="77">
        <f t="shared" si="985"/>
        <v>5.1602224999999995E-2</v>
      </c>
      <c r="K444" s="77">
        <f t="shared" si="975"/>
        <v>4.2017133568941212E-3</v>
      </c>
      <c r="L444" s="76">
        <v>0</v>
      </c>
      <c r="M444" s="77">
        <f t="shared" si="991"/>
        <v>0</v>
      </c>
      <c r="N444" s="77">
        <f t="shared" si="992"/>
        <v>0</v>
      </c>
      <c r="O444" s="77">
        <f t="shared" si="993"/>
        <v>4.9724666666666664E-3</v>
      </c>
      <c r="P444" s="77">
        <f t="shared" si="994"/>
        <v>4.1531960714213945E-4</v>
      </c>
      <c r="R444" t="s">
        <v>177</v>
      </c>
      <c r="S444" t="s">
        <v>176</v>
      </c>
      <c r="T444" s="197" t="str">
        <f t="shared" si="1083"/>
        <v>Autopilot_Balanced_101</v>
      </c>
      <c r="U444">
        <v>101</v>
      </c>
      <c r="V444">
        <f>VLOOKUP($U444,'[2]AP Balanced'!$Q$1:$T$542,2,FALSE)</f>
        <v>7.969763333333349E-2</v>
      </c>
      <c r="W444">
        <f>VLOOKUP($U444,'[2]AP Balanced'!$Q$1:$T$542,3,FALSE)</f>
        <v>0.92030236666666654</v>
      </c>
      <c r="X444">
        <f>VLOOKUP($U444,'[2]AP Balanced'!$Q$1:$T$542,4,FALSE)</f>
        <v>0</v>
      </c>
      <c r="Y444" s="77">
        <f t="shared" si="1041"/>
        <v>1</v>
      </c>
      <c r="Z444" s="77">
        <f t="shared" si="1030"/>
        <v>5.2407986082499997E-2</v>
      </c>
      <c r="AA444" s="77">
        <f t="shared" si="1031"/>
        <v>4.2658109959576862E-3</v>
      </c>
      <c r="AB444" s="79">
        <v>1</v>
      </c>
      <c r="AC444" s="77">
        <f t="shared" si="995"/>
        <v>6.6593952666666673E-3</v>
      </c>
      <c r="AD444" s="77">
        <f t="shared" si="986"/>
        <v>5.5665067718047023E-4</v>
      </c>
      <c r="AE444" s="77">
        <f t="shared" si="996"/>
        <v>2.5000000000000001E-3</v>
      </c>
      <c r="AF444" s="77">
        <f t="shared" si="986"/>
        <v>2.0857243058891584E-4</v>
      </c>
      <c r="AH444" t="s">
        <v>175</v>
      </c>
      <c r="AI444" t="s">
        <v>176</v>
      </c>
      <c r="AJ444" s="197" t="str">
        <f t="shared" si="1042"/>
        <v>Lifecycle_Balanced_101</v>
      </c>
      <c r="AK444">
        <v>101</v>
      </c>
      <c r="AL444">
        <f>VLOOKUP($U444,[2]Standard_Balanced!$Q$1:$T$542,2,FALSE)</f>
        <v>5.5798058333333421E-2</v>
      </c>
      <c r="AM444">
        <f>VLOOKUP($U444,[2]Standard_Balanced!$Q$1:$T$542,3,FALSE)</f>
        <v>0.9442019416666666</v>
      </c>
      <c r="AN444">
        <f>VLOOKUP($U444,[2]Standard_Balanced!$Q$1:$T$542,4,FALSE)</f>
        <v>0</v>
      </c>
      <c r="AO444" s="77">
        <f t="shared" si="972"/>
        <v>1</v>
      </c>
      <c r="AP444" s="77">
        <f t="shared" si="997"/>
        <v>5.2090719224374998E-2</v>
      </c>
      <c r="AQ444" s="77">
        <f t="shared" si="1043"/>
        <v>4.2405780463894427E-3</v>
      </c>
      <c r="AR444" s="79">
        <v>0</v>
      </c>
      <c r="AS444" s="77">
        <f t="shared" si="998"/>
        <v>0</v>
      </c>
      <c r="AT444" s="77">
        <f t="shared" ref="AT444" si="1120">1-(1-AS444)^(1/12)</f>
        <v>0</v>
      </c>
      <c r="AU444" s="77">
        <f t="shared" si="1000"/>
        <v>2.5000000000000001E-3</v>
      </c>
      <c r="AV444" s="77">
        <f t="shared" ref="AV444" si="1121">1-(1-AU444)^(1/12)</f>
        <v>2.0857243058891584E-4</v>
      </c>
      <c r="AX444" t="s">
        <v>178</v>
      </c>
      <c r="AY444" t="s">
        <v>160</v>
      </c>
      <c r="AZ444" s="197" t="str">
        <f t="shared" si="1046"/>
        <v>DIS_Non-Standard_101</v>
      </c>
      <c r="BA444">
        <v>101</v>
      </c>
      <c r="BB444" s="258">
        <v>1.1666666666666669E-2</v>
      </c>
      <c r="BC444" s="258">
        <v>0.13458333333333336</v>
      </c>
      <c r="BD444" s="258">
        <v>0.27041666666666669</v>
      </c>
      <c r="BE444" s="258">
        <f>VLOOKUP($BA444,'[2]NonStandard DIS'!$Q$1:$X$542,5,FALSE)</f>
        <v>0</v>
      </c>
      <c r="BF444" s="258">
        <f>VLOOKUP($BA444,'[2]NonStandard DIS'!$Q$1:$X$542,6,FALSE)</f>
        <v>0</v>
      </c>
      <c r="BG444" s="258">
        <v>0.58333333333333326</v>
      </c>
      <c r="BH444">
        <f>VLOOKUP($BA444,'[2]NonStandard DIS'!$Q$1:$X$542,8,FALSE)</f>
        <v>0</v>
      </c>
      <c r="BI444" s="77">
        <f t="shared" si="989"/>
        <v>1</v>
      </c>
      <c r="BJ444" s="77">
        <f t="shared" si="990"/>
        <v>5.768266666666666E-2</v>
      </c>
      <c r="BK444" s="77">
        <f t="shared" si="971"/>
        <v>4.6842998117762047E-3</v>
      </c>
      <c r="BL444" s="79">
        <v>0</v>
      </c>
      <c r="BM444" s="77">
        <f t="shared" si="1002"/>
        <v>0</v>
      </c>
      <c r="BN444" s="77">
        <f t="shared" si="1003"/>
        <v>0</v>
      </c>
      <c r="BO444" s="77">
        <f t="shared" si="1004"/>
        <v>4.2273750000000002E-3</v>
      </c>
      <c r="BP444" s="77">
        <f t="shared" si="1005"/>
        <v>3.5160052637883688E-4</v>
      </c>
    </row>
    <row r="445" spans="1:68">
      <c r="A445" t="s">
        <v>175</v>
      </c>
      <c r="B445" t="s">
        <v>176</v>
      </c>
      <c r="C445" s="197" t="str">
        <f t="shared" si="1040"/>
        <v>Lifecycle_Balanced_100</v>
      </c>
      <c r="D445">
        <v>100</v>
      </c>
      <c r="E445">
        <f>VLOOKUP($D445,'[2]LC Balanced'!$Q$2:$U$542,2,FALSE)</f>
        <v>0.40366666666666667</v>
      </c>
      <c r="F445">
        <f>VLOOKUP($D445,'[2]LC Balanced'!$Q$2:$U$542,3,FALSE)</f>
        <v>0.23366666666666666</v>
      </c>
      <c r="G445">
        <f>VLOOKUP($D445,'[2]LC Balanced'!$Q$2:$U$542,4,FALSE)</f>
        <v>0.36266666666666664</v>
      </c>
      <c r="H445">
        <f>VLOOKUP($D445,'[2]LC Balanced'!$Q$2:$U$542,5,FALSE)</f>
        <v>0</v>
      </c>
      <c r="I445" s="77">
        <f t="shared" si="984"/>
        <v>1</v>
      </c>
      <c r="J445" s="77">
        <f t="shared" si="985"/>
        <v>5.1557974999999992E-2</v>
      </c>
      <c r="K445" s="77">
        <f t="shared" si="975"/>
        <v>4.1981920014346752E-3</v>
      </c>
      <c r="L445" s="76">
        <v>0</v>
      </c>
      <c r="M445" s="77">
        <f t="shared" si="991"/>
        <v>0</v>
      </c>
      <c r="N445" s="77">
        <f t="shared" si="992"/>
        <v>0</v>
      </c>
      <c r="O445" s="77">
        <f t="shared" si="993"/>
        <v>4.9586333333333336E-3</v>
      </c>
      <c r="P445" s="77">
        <f t="shared" si="994"/>
        <v>4.141615571127133E-4</v>
      </c>
      <c r="R445" t="s">
        <v>177</v>
      </c>
      <c r="S445" t="s">
        <v>176</v>
      </c>
      <c r="T445" s="197" t="str">
        <f t="shared" si="1083"/>
        <v>Autopilot_Balanced_100</v>
      </c>
      <c r="U445">
        <v>100</v>
      </c>
      <c r="V445">
        <f>VLOOKUP($U445,'[2]AP Balanced'!$Q$1:$T$542,2,FALSE)</f>
        <v>7.969763333333349E-2</v>
      </c>
      <c r="W445">
        <f>VLOOKUP($U445,'[2]AP Balanced'!$Q$1:$T$542,3,FALSE)</f>
        <v>0.92030236666666654</v>
      </c>
      <c r="X445">
        <f>VLOOKUP($U445,'[2]AP Balanced'!$Q$1:$T$542,4,FALSE)</f>
        <v>0</v>
      </c>
      <c r="Y445" s="77">
        <f t="shared" si="1041"/>
        <v>1</v>
      </c>
      <c r="Z445" s="77">
        <f t="shared" si="1030"/>
        <v>5.2407986082499997E-2</v>
      </c>
      <c r="AA445" s="77">
        <f t="shared" si="1031"/>
        <v>4.2658109959576862E-3</v>
      </c>
      <c r="AB445" s="79">
        <v>1</v>
      </c>
      <c r="AC445" s="77">
        <f t="shared" si="995"/>
        <v>6.6593952666666673E-3</v>
      </c>
      <c r="AD445" s="77">
        <f t="shared" si="986"/>
        <v>5.5665067718047023E-4</v>
      </c>
      <c r="AE445" s="77">
        <f t="shared" si="996"/>
        <v>2.5000000000000001E-3</v>
      </c>
      <c r="AF445" s="77">
        <f t="shared" si="986"/>
        <v>2.0857243058891584E-4</v>
      </c>
      <c r="AH445" t="s">
        <v>175</v>
      </c>
      <c r="AI445" t="s">
        <v>176</v>
      </c>
      <c r="AJ445" s="197" t="str">
        <f t="shared" si="1042"/>
        <v>Lifecycle_Balanced_100</v>
      </c>
      <c r="AK445">
        <v>100</v>
      </c>
      <c r="AL445">
        <f>VLOOKUP($U445,[2]Standard_Balanced!$Q$1:$T$542,2,FALSE)</f>
        <v>5.2383833333333414E-2</v>
      </c>
      <c r="AM445">
        <f>VLOOKUP($U445,[2]Standard_Balanced!$Q$1:$T$542,3,FALSE)</f>
        <v>0.94761616666666659</v>
      </c>
      <c r="AN445">
        <f>VLOOKUP($U445,[2]Standard_Balanced!$Q$1:$T$542,4,FALSE)</f>
        <v>0</v>
      </c>
      <c r="AO445" s="77">
        <f t="shared" si="972"/>
        <v>1</v>
      </c>
      <c r="AP445" s="77">
        <f t="shared" si="997"/>
        <v>5.2045395387499992E-2</v>
      </c>
      <c r="AQ445" s="77">
        <f t="shared" si="1043"/>
        <v>4.236972769926961E-3</v>
      </c>
      <c r="AR445" s="79">
        <v>0</v>
      </c>
      <c r="AS445" s="77">
        <f t="shared" si="998"/>
        <v>0</v>
      </c>
      <c r="AT445" s="77">
        <f t="shared" ref="AT445" si="1122">1-(1-AS445)^(1/12)</f>
        <v>0</v>
      </c>
      <c r="AU445" s="77">
        <f t="shared" si="1000"/>
        <v>2.5000000000000001E-3</v>
      </c>
      <c r="AV445" s="77">
        <f t="shared" ref="AV445" si="1123">1-(1-AU445)^(1/12)</f>
        <v>2.0857243058891584E-4</v>
      </c>
      <c r="AX445" t="s">
        <v>178</v>
      </c>
      <c r="AY445" t="s">
        <v>160</v>
      </c>
      <c r="AZ445" s="197" t="str">
        <f t="shared" si="1046"/>
        <v>DIS_Non-Standard_100</v>
      </c>
      <c r="BA445">
        <v>100</v>
      </c>
      <c r="BB445" s="258">
        <v>9.3333333333333358E-3</v>
      </c>
      <c r="BC445" s="258">
        <v>0.10766666666666669</v>
      </c>
      <c r="BD445" s="258">
        <v>0.21633333333333335</v>
      </c>
      <c r="BE445" s="258">
        <f>VLOOKUP($BA445,'[2]NonStandard DIS'!$Q$1:$X$542,5,FALSE)</f>
        <v>0</v>
      </c>
      <c r="BF445" s="258">
        <f>VLOOKUP($BA445,'[2]NonStandard DIS'!$Q$1:$X$542,6,FALSE)</f>
        <v>0</v>
      </c>
      <c r="BG445" s="258">
        <v>0.66666666666666663</v>
      </c>
      <c r="BH445">
        <f>VLOOKUP($BA445,'[2]NonStandard DIS'!$Q$1:$X$542,8,FALSE)</f>
        <v>0</v>
      </c>
      <c r="BI445" s="77">
        <f t="shared" si="989"/>
        <v>1</v>
      </c>
      <c r="BJ445" s="77">
        <f t="shared" si="990"/>
        <v>5.7596133333333327E-2</v>
      </c>
      <c r="BK445" s="77">
        <f t="shared" si="971"/>
        <v>4.6774497781791879E-3</v>
      </c>
      <c r="BL445" s="79">
        <v>0</v>
      </c>
      <c r="BM445" s="77">
        <f t="shared" si="1002"/>
        <v>0</v>
      </c>
      <c r="BN445" s="77">
        <f t="shared" si="1003"/>
        <v>0</v>
      </c>
      <c r="BO445" s="77">
        <f t="shared" si="1004"/>
        <v>3.8819000000000002E-3</v>
      </c>
      <c r="BP445" s="77">
        <f t="shared" si="1005"/>
        <v>3.2291753235957898E-4</v>
      </c>
    </row>
    <row r="446" spans="1:68">
      <c r="A446" t="s">
        <v>175</v>
      </c>
      <c r="B446" t="s">
        <v>176</v>
      </c>
      <c r="C446" s="197" t="str">
        <f t="shared" si="1040"/>
        <v>Lifecycle_Balanced_99</v>
      </c>
      <c r="D446">
        <v>99</v>
      </c>
      <c r="E446">
        <f>VLOOKUP($D446,'[2]LC Balanced'!$Q$2:$U$542,2,FALSE)</f>
        <v>0.40699999999999997</v>
      </c>
      <c r="F446">
        <f>VLOOKUP($D446,'[2]LC Balanced'!$Q$2:$U$542,3,FALSE)</f>
        <v>0.23200000000000001</v>
      </c>
      <c r="G446">
        <f>VLOOKUP($D446,'[2]LC Balanced'!$Q$2:$U$542,4,FALSE)</f>
        <v>0.36099999999999999</v>
      </c>
      <c r="H446">
        <f>VLOOKUP($D446,'[2]LC Balanced'!$Q$2:$U$542,5,FALSE)</f>
        <v>0</v>
      </c>
      <c r="I446" s="77">
        <f t="shared" si="984"/>
        <v>1</v>
      </c>
      <c r="J446" s="77">
        <f t="shared" si="985"/>
        <v>5.1513724999999996E-2</v>
      </c>
      <c r="K446" s="77">
        <f t="shared" si="975"/>
        <v>4.1946705101409965E-3</v>
      </c>
      <c r="L446" s="76">
        <v>0</v>
      </c>
      <c r="M446" s="77">
        <f t="shared" si="991"/>
        <v>0</v>
      </c>
      <c r="N446" s="77">
        <f t="shared" si="992"/>
        <v>0</v>
      </c>
      <c r="O446" s="77">
        <f t="shared" si="993"/>
        <v>4.9447999999999992E-3</v>
      </c>
      <c r="P446" s="77">
        <f t="shared" si="994"/>
        <v>4.1300352184114875E-4</v>
      </c>
      <c r="R446" t="s">
        <v>177</v>
      </c>
      <c r="S446" t="s">
        <v>176</v>
      </c>
      <c r="T446" s="197" t="str">
        <f t="shared" si="1083"/>
        <v>Autopilot_Balanced_99</v>
      </c>
      <c r="U446">
        <v>99</v>
      </c>
      <c r="V446">
        <f>VLOOKUP($U446,'[2]AP Balanced'!$Q$1:$T$542,2,FALSE)</f>
        <v>7.969763333333349E-2</v>
      </c>
      <c r="W446">
        <f>VLOOKUP($U446,'[2]AP Balanced'!$Q$1:$T$542,3,FALSE)</f>
        <v>0.92030236666666654</v>
      </c>
      <c r="X446">
        <f>VLOOKUP($U446,'[2]AP Balanced'!$Q$1:$T$542,4,FALSE)</f>
        <v>0</v>
      </c>
      <c r="Y446" s="77">
        <f t="shared" si="1041"/>
        <v>1</v>
      </c>
      <c r="Z446" s="77">
        <f t="shared" si="1030"/>
        <v>5.2407986082499997E-2</v>
      </c>
      <c r="AA446" s="77">
        <f t="shared" si="1031"/>
        <v>4.2658109959576862E-3</v>
      </c>
      <c r="AB446" s="79">
        <v>1</v>
      </c>
      <c r="AC446" s="77">
        <f t="shared" si="995"/>
        <v>6.6593952666666673E-3</v>
      </c>
      <c r="AD446" s="77">
        <f t="shared" si="986"/>
        <v>5.5665067718047023E-4</v>
      </c>
      <c r="AE446" s="77">
        <f t="shared" si="996"/>
        <v>2.5000000000000001E-3</v>
      </c>
      <c r="AF446" s="77">
        <f t="shared" si="986"/>
        <v>2.0857243058891584E-4</v>
      </c>
      <c r="AH446" t="s">
        <v>175</v>
      </c>
      <c r="AI446" t="s">
        <v>176</v>
      </c>
      <c r="AJ446" s="197" t="str">
        <f t="shared" si="1042"/>
        <v>Lifecycle_Balanced_99</v>
      </c>
      <c r="AK446">
        <v>99</v>
      </c>
      <c r="AL446">
        <f>VLOOKUP($U446,[2]Standard_Balanced!$Q$1:$T$542,2,FALSE)</f>
        <v>4.89696083333334E-2</v>
      </c>
      <c r="AM446">
        <f>VLOOKUP($U446,[2]Standard_Balanced!$Q$1:$T$542,3,FALSE)</f>
        <v>0.9510303916666667</v>
      </c>
      <c r="AN446">
        <f>VLOOKUP($U446,[2]Standard_Balanced!$Q$1:$T$542,4,FALSE)</f>
        <v>0</v>
      </c>
      <c r="AO446" s="77">
        <f t="shared" si="972"/>
        <v>1</v>
      </c>
      <c r="AP446" s="77">
        <f t="shared" si="997"/>
        <v>5.2000071550624999E-2</v>
      </c>
      <c r="AQ446" s="77">
        <f t="shared" si="1043"/>
        <v>4.2333673510839276E-3</v>
      </c>
      <c r="AR446" s="79">
        <v>0</v>
      </c>
      <c r="AS446" s="77">
        <f t="shared" si="998"/>
        <v>0</v>
      </c>
      <c r="AT446" s="77">
        <f t="shared" ref="AT446" si="1124">1-(1-AS446)^(1/12)</f>
        <v>0</v>
      </c>
      <c r="AU446" s="77">
        <f t="shared" si="1000"/>
        <v>2.5000000000000005E-3</v>
      </c>
      <c r="AV446" s="77">
        <f t="shared" ref="AV446" si="1125">1-(1-AU446)^(1/12)</f>
        <v>2.0857243058891584E-4</v>
      </c>
      <c r="AX446" t="s">
        <v>178</v>
      </c>
      <c r="AY446" t="s">
        <v>160</v>
      </c>
      <c r="AZ446" s="197" t="str">
        <f t="shared" si="1046"/>
        <v>DIS_Non-Standard_99</v>
      </c>
      <c r="BA446">
        <v>99</v>
      </c>
      <c r="BB446" s="258">
        <v>7.0000000000000027E-3</v>
      </c>
      <c r="BC446" s="258">
        <v>8.0750000000000016E-2</v>
      </c>
      <c r="BD446" s="258">
        <v>0.16225000000000001</v>
      </c>
      <c r="BE446" s="258">
        <f>VLOOKUP($BA446,'[2]NonStandard DIS'!$Q$1:$X$542,5,FALSE)</f>
        <v>0</v>
      </c>
      <c r="BF446" s="258">
        <f>VLOOKUP($BA446,'[2]NonStandard DIS'!$Q$1:$X$542,6,FALSE)</f>
        <v>0</v>
      </c>
      <c r="BG446" s="258">
        <v>0.75</v>
      </c>
      <c r="BH446">
        <f>VLOOKUP($BA446,'[2]NonStandard DIS'!$Q$1:$X$542,8,FALSE)</f>
        <v>0</v>
      </c>
      <c r="BI446" s="77">
        <f t="shared" si="989"/>
        <v>1</v>
      </c>
      <c r="BJ446" s="77">
        <f t="shared" si="990"/>
        <v>5.7509599999999994E-2</v>
      </c>
      <c r="BK446" s="77">
        <f t="shared" si="971"/>
        <v>4.6705992307942701E-3</v>
      </c>
      <c r="BL446" s="79">
        <v>0</v>
      </c>
      <c r="BM446" s="77">
        <f t="shared" si="1002"/>
        <v>0</v>
      </c>
      <c r="BN446" s="77">
        <f t="shared" si="1003"/>
        <v>0</v>
      </c>
      <c r="BO446" s="77">
        <f t="shared" si="1004"/>
        <v>3.5364250000000002E-3</v>
      </c>
      <c r="BP446" s="77">
        <f t="shared" si="1005"/>
        <v>2.9422548855162489E-4</v>
      </c>
    </row>
    <row r="447" spans="1:68">
      <c r="A447" t="s">
        <v>175</v>
      </c>
      <c r="B447" t="s">
        <v>176</v>
      </c>
      <c r="C447" s="197" t="str">
        <f t="shared" si="1040"/>
        <v>Lifecycle_Balanced_98</v>
      </c>
      <c r="D447">
        <v>98</v>
      </c>
      <c r="E447">
        <f>VLOOKUP($D447,'[2]LC Balanced'!$Q$2:$U$542,2,FALSE)</f>
        <v>0.41033333333333333</v>
      </c>
      <c r="F447">
        <f>VLOOKUP($D447,'[2]LC Balanced'!$Q$2:$U$542,3,FALSE)</f>
        <v>0.23033333333333333</v>
      </c>
      <c r="G447">
        <f>VLOOKUP($D447,'[2]LC Balanced'!$Q$2:$U$542,4,FALSE)</f>
        <v>0.35933333333333334</v>
      </c>
      <c r="H447">
        <f>VLOOKUP($D447,'[2]LC Balanced'!$Q$2:$U$542,5,FALSE)</f>
        <v>0</v>
      </c>
      <c r="I447" s="77">
        <f t="shared" si="984"/>
        <v>1</v>
      </c>
      <c r="J447" s="77">
        <f t="shared" si="985"/>
        <v>5.1469475000000001E-2</v>
      </c>
      <c r="K447" s="77">
        <f t="shared" si="975"/>
        <v>4.1911488830019827E-3</v>
      </c>
      <c r="L447" s="76">
        <v>0</v>
      </c>
      <c r="M447" s="77">
        <f t="shared" si="991"/>
        <v>0</v>
      </c>
      <c r="N447" s="77">
        <f t="shared" si="992"/>
        <v>0</v>
      </c>
      <c r="O447" s="77">
        <f t="shared" si="993"/>
        <v>4.9309666666666665E-3</v>
      </c>
      <c r="P447" s="77">
        <f t="shared" si="994"/>
        <v>4.1184550132700171E-4</v>
      </c>
      <c r="R447" t="s">
        <v>177</v>
      </c>
      <c r="S447" t="s">
        <v>176</v>
      </c>
      <c r="T447" s="197" t="str">
        <f t="shared" si="1083"/>
        <v>Autopilot_Balanced_98</v>
      </c>
      <c r="U447">
        <v>98</v>
      </c>
      <c r="V447">
        <f>VLOOKUP($U447,'[2]AP Balanced'!$Q$1:$T$542,2,FALSE)</f>
        <v>7.969763333333349E-2</v>
      </c>
      <c r="W447">
        <f>VLOOKUP($U447,'[2]AP Balanced'!$Q$1:$T$542,3,FALSE)</f>
        <v>0.92030236666666654</v>
      </c>
      <c r="X447">
        <f>VLOOKUP($U447,'[2]AP Balanced'!$Q$1:$T$542,4,FALSE)</f>
        <v>0</v>
      </c>
      <c r="Y447" s="77">
        <f t="shared" si="1041"/>
        <v>1</v>
      </c>
      <c r="Z447" s="77">
        <f t="shared" si="1030"/>
        <v>5.2407986082499997E-2</v>
      </c>
      <c r="AA447" s="77">
        <f t="shared" si="1031"/>
        <v>4.2658109959576862E-3</v>
      </c>
      <c r="AB447" s="79">
        <v>1</v>
      </c>
      <c r="AC447" s="77">
        <f t="shared" si="995"/>
        <v>6.6593952666666673E-3</v>
      </c>
      <c r="AD447" s="77">
        <f t="shared" si="986"/>
        <v>5.5665067718047023E-4</v>
      </c>
      <c r="AE447" s="77">
        <f t="shared" si="996"/>
        <v>2.5000000000000001E-3</v>
      </c>
      <c r="AF447" s="77">
        <f t="shared" si="986"/>
        <v>2.0857243058891584E-4</v>
      </c>
      <c r="AH447" t="s">
        <v>175</v>
      </c>
      <c r="AI447" t="s">
        <v>176</v>
      </c>
      <c r="AJ447" s="197" t="str">
        <f t="shared" si="1042"/>
        <v>Lifecycle_Balanced_98</v>
      </c>
      <c r="AK447">
        <v>98</v>
      </c>
      <c r="AL447">
        <f>VLOOKUP($U447,[2]Standard_Balanced!$Q$1:$T$542,2,FALSE)</f>
        <v>4.5555383333333394E-2</v>
      </c>
      <c r="AM447">
        <f>VLOOKUP($U447,[2]Standard_Balanced!$Q$1:$T$542,3,FALSE)</f>
        <v>0.95444461666666669</v>
      </c>
      <c r="AN447">
        <f>VLOOKUP($U447,[2]Standard_Balanced!$Q$1:$T$542,4,FALSE)</f>
        <v>0</v>
      </c>
      <c r="AO447" s="77">
        <f t="shared" si="972"/>
        <v>1</v>
      </c>
      <c r="AP447" s="77">
        <f t="shared" si="997"/>
        <v>5.1954747713749999E-2</v>
      </c>
      <c r="AQ447" s="77">
        <f t="shared" si="1043"/>
        <v>4.229761789848574E-3</v>
      </c>
      <c r="AR447" s="79">
        <v>0</v>
      </c>
      <c r="AS447" s="77">
        <f t="shared" si="998"/>
        <v>0</v>
      </c>
      <c r="AT447" s="77">
        <f t="shared" ref="AT447" si="1126">1-(1-AS447)^(1/12)</f>
        <v>0</v>
      </c>
      <c r="AU447" s="77">
        <f t="shared" si="1000"/>
        <v>2.5000000000000001E-3</v>
      </c>
      <c r="AV447" s="77">
        <f t="shared" ref="AV447" si="1127">1-(1-AU447)^(1/12)</f>
        <v>2.0857243058891584E-4</v>
      </c>
      <c r="AX447" t="s">
        <v>178</v>
      </c>
      <c r="AY447" t="s">
        <v>160</v>
      </c>
      <c r="AZ447" s="197" t="str">
        <f t="shared" si="1046"/>
        <v>DIS_Non-Standard_98</v>
      </c>
      <c r="BA447">
        <v>98</v>
      </c>
      <c r="BB447" s="258">
        <v>4.6666666666666697E-3</v>
      </c>
      <c r="BC447" s="258">
        <v>5.3833333333333344E-2</v>
      </c>
      <c r="BD447" s="258">
        <v>0.10816666666666666</v>
      </c>
      <c r="BE447" s="258">
        <f>VLOOKUP($BA447,'[2]NonStandard DIS'!$Q$1:$X$542,5,FALSE)</f>
        <v>0</v>
      </c>
      <c r="BF447" s="258">
        <f>VLOOKUP($BA447,'[2]NonStandard DIS'!$Q$1:$X$542,6,FALSE)</f>
        <v>0</v>
      </c>
      <c r="BG447" s="258">
        <v>0.83333333333333326</v>
      </c>
      <c r="BH447">
        <f>VLOOKUP($BA447,'[2]NonStandard DIS'!$Q$1:$X$542,8,FALSE)</f>
        <v>0</v>
      </c>
      <c r="BI447" s="77">
        <f t="shared" si="989"/>
        <v>1</v>
      </c>
      <c r="BJ447" s="77">
        <f t="shared" si="990"/>
        <v>5.7423066666666661E-2</v>
      </c>
      <c r="BK447" s="77">
        <f t="shared" ref="BK447:BK510" si="1128">(1+BJ447)^(1/12)-1</f>
        <v>4.6637481695408489E-3</v>
      </c>
      <c r="BL447" s="79">
        <v>0</v>
      </c>
      <c r="BM447" s="77">
        <f t="shared" si="1002"/>
        <v>0</v>
      </c>
      <c r="BN447" s="77">
        <f t="shared" si="1003"/>
        <v>0</v>
      </c>
      <c r="BO447" s="77">
        <f t="shared" si="1004"/>
        <v>3.1909499999999997E-3</v>
      </c>
      <c r="BP447" s="77">
        <f t="shared" si="1005"/>
        <v>2.6552438898264086E-4</v>
      </c>
    </row>
    <row r="448" spans="1:68">
      <c r="A448" t="s">
        <v>175</v>
      </c>
      <c r="B448" t="s">
        <v>176</v>
      </c>
      <c r="C448" s="197" t="str">
        <f t="shared" si="1040"/>
        <v>Lifecycle_Balanced_97</v>
      </c>
      <c r="D448">
        <v>97</v>
      </c>
      <c r="E448">
        <f>VLOOKUP($D448,'[2]LC Balanced'!$Q$2:$U$542,2,FALSE)</f>
        <v>0.41366666666666663</v>
      </c>
      <c r="F448">
        <f>VLOOKUP($D448,'[2]LC Balanced'!$Q$2:$U$542,3,FALSE)</f>
        <v>0.22866666666666668</v>
      </c>
      <c r="G448">
        <f>VLOOKUP($D448,'[2]LC Balanced'!$Q$2:$U$542,4,FALSE)</f>
        <v>0.35766666666666663</v>
      </c>
      <c r="H448">
        <f>VLOOKUP($D448,'[2]LC Balanced'!$Q$2:$U$542,5,FALSE)</f>
        <v>0</v>
      </c>
      <c r="I448" s="77">
        <f t="shared" si="984"/>
        <v>1</v>
      </c>
      <c r="J448" s="77">
        <f t="shared" si="985"/>
        <v>5.1425224999999991E-2</v>
      </c>
      <c r="K448" s="77">
        <f t="shared" si="975"/>
        <v>4.1876271200065318E-3</v>
      </c>
      <c r="L448" s="76">
        <v>0</v>
      </c>
      <c r="M448" s="77">
        <f t="shared" si="991"/>
        <v>0</v>
      </c>
      <c r="N448" s="77">
        <f t="shared" si="992"/>
        <v>0</v>
      </c>
      <c r="O448" s="77">
        <f t="shared" si="993"/>
        <v>4.9171333333333329E-3</v>
      </c>
      <c r="P448" s="77">
        <f t="shared" si="994"/>
        <v>4.1068749556982809E-4</v>
      </c>
      <c r="R448" t="s">
        <v>177</v>
      </c>
      <c r="S448" t="s">
        <v>176</v>
      </c>
      <c r="T448" s="197" t="str">
        <f t="shared" si="1083"/>
        <v>Autopilot_Balanced_97</v>
      </c>
      <c r="U448">
        <v>97</v>
      </c>
      <c r="V448">
        <f>VLOOKUP($U448,'[2]AP Balanced'!$Q$1:$T$542,2,FALSE)</f>
        <v>7.969763333333349E-2</v>
      </c>
      <c r="W448">
        <f>VLOOKUP($U448,'[2]AP Balanced'!$Q$1:$T$542,3,FALSE)</f>
        <v>0.92030236666666654</v>
      </c>
      <c r="X448">
        <f>VLOOKUP($U448,'[2]AP Balanced'!$Q$1:$T$542,4,FALSE)</f>
        <v>0</v>
      </c>
      <c r="Y448" s="77">
        <f t="shared" si="1041"/>
        <v>1</v>
      </c>
      <c r="Z448" s="77">
        <f t="shared" si="1030"/>
        <v>5.2407986082499997E-2</v>
      </c>
      <c r="AA448" s="77">
        <f t="shared" si="1031"/>
        <v>4.2658109959576862E-3</v>
      </c>
      <c r="AB448" s="79">
        <v>1</v>
      </c>
      <c r="AC448" s="77">
        <f t="shared" si="995"/>
        <v>6.6593952666666673E-3</v>
      </c>
      <c r="AD448" s="77">
        <f t="shared" si="986"/>
        <v>5.5665067718047023E-4</v>
      </c>
      <c r="AE448" s="77">
        <f t="shared" si="996"/>
        <v>2.5000000000000001E-3</v>
      </c>
      <c r="AF448" s="77">
        <f t="shared" si="986"/>
        <v>2.0857243058891584E-4</v>
      </c>
      <c r="AH448" t="s">
        <v>175</v>
      </c>
      <c r="AI448" t="s">
        <v>176</v>
      </c>
      <c r="AJ448" s="197" t="str">
        <f t="shared" si="1042"/>
        <v>Lifecycle_Balanced_97</v>
      </c>
      <c r="AK448">
        <v>97</v>
      </c>
      <c r="AL448">
        <f>VLOOKUP($U448,[2]Standard_Balanced!$Q$1:$T$542,2,FALSE)</f>
        <v>4.214115833333338E-2</v>
      </c>
      <c r="AM448">
        <f>VLOOKUP($U448,[2]Standard_Balanced!$Q$1:$T$542,3,FALSE)</f>
        <v>0.95785884166666668</v>
      </c>
      <c r="AN448">
        <f>VLOOKUP($U448,[2]Standard_Balanced!$Q$1:$T$542,4,FALSE)</f>
        <v>0</v>
      </c>
      <c r="AO448" s="77">
        <f t="shared" ref="AO448:AO511" si="1129">SUM(AL448:AN448)</f>
        <v>1</v>
      </c>
      <c r="AP448" s="77">
        <f t="shared" si="997"/>
        <v>5.1909423876874999E-2</v>
      </c>
      <c r="AQ448" s="77">
        <f t="shared" si="1043"/>
        <v>4.2261560862091319E-3</v>
      </c>
      <c r="AR448" s="79">
        <v>0</v>
      </c>
      <c r="AS448" s="77">
        <f t="shared" si="998"/>
        <v>0</v>
      </c>
      <c r="AT448" s="77">
        <f t="shared" ref="AT448" si="1130">1-(1-AS448)^(1/12)</f>
        <v>0</v>
      </c>
      <c r="AU448" s="77">
        <f t="shared" si="1000"/>
        <v>2.5000000000000001E-3</v>
      </c>
      <c r="AV448" s="77">
        <f t="shared" ref="AV448" si="1131">1-(1-AU448)^(1/12)</f>
        <v>2.0857243058891584E-4</v>
      </c>
      <c r="AX448" t="s">
        <v>178</v>
      </c>
      <c r="AY448" t="s">
        <v>160</v>
      </c>
      <c r="AZ448" s="197" t="str">
        <f t="shared" si="1046"/>
        <v>DIS_Non-Standard_97</v>
      </c>
      <c r="BA448">
        <v>97</v>
      </c>
      <c r="BB448" s="258">
        <v>2.3333333333333361E-3</v>
      </c>
      <c r="BC448" s="258">
        <v>2.6916666666666676E-2</v>
      </c>
      <c r="BD448" s="258">
        <v>5.4083333333333324E-2</v>
      </c>
      <c r="BE448" s="258">
        <f>VLOOKUP($BA448,'[2]NonStandard DIS'!$Q$1:$X$542,5,FALSE)</f>
        <v>0</v>
      </c>
      <c r="BF448" s="258">
        <f>VLOOKUP($BA448,'[2]NonStandard DIS'!$Q$1:$X$542,6,FALSE)</f>
        <v>0</v>
      </c>
      <c r="BG448" s="258">
        <v>0.91666666666666663</v>
      </c>
      <c r="BH448">
        <f>VLOOKUP($BA448,'[2]NonStandard DIS'!$Q$1:$X$542,8,FALSE)</f>
        <v>0</v>
      </c>
      <c r="BI448" s="77">
        <f t="shared" si="989"/>
        <v>1</v>
      </c>
      <c r="BJ448" s="77">
        <f t="shared" si="990"/>
        <v>5.7336533333333328E-2</v>
      </c>
      <c r="BK448" s="77">
        <f t="shared" si="1128"/>
        <v>4.6568965943378782E-3</v>
      </c>
      <c r="BL448" s="79">
        <v>0</v>
      </c>
      <c r="BM448" s="77">
        <f t="shared" si="1002"/>
        <v>0</v>
      </c>
      <c r="BN448" s="77">
        <f t="shared" si="1003"/>
        <v>0</v>
      </c>
      <c r="BO448" s="77">
        <f t="shared" si="1004"/>
        <v>2.8454750000000001E-3</v>
      </c>
      <c r="BP448" s="77">
        <f t="shared" si="1005"/>
        <v>2.3681422767474203E-4</v>
      </c>
    </row>
    <row r="449" spans="1:68">
      <c r="A449" t="s">
        <v>175</v>
      </c>
      <c r="B449" t="s">
        <v>176</v>
      </c>
      <c r="C449" s="197" t="str">
        <f t="shared" si="1040"/>
        <v>Lifecycle_Balanced_96</v>
      </c>
      <c r="D449">
        <v>96</v>
      </c>
      <c r="E449">
        <f>VLOOKUP($D449,'[2]LC Balanced'!$Q$2:$U$542,2,FALSE)</f>
        <v>0.41699999999999998</v>
      </c>
      <c r="F449">
        <f>VLOOKUP($D449,'[2]LC Balanced'!$Q$2:$U$542,3,FALSE)</f>
        <v>0.22700000000000001</v>
      </c>
      <c r="G449">
        <f>VLOOKUP($D449,'[2]LC Balanced'!$Q$2:$U$542,4,FALSE)</f>
        <v>0.35599999999999998</v>
      </c>
      <c r="H449">
        <f>VLOOKUP($D449,'[2]LC Balanced'!$Q$2:$U$542,5,FALSE)</f>
        <v>0</v>
      </c>
      <c r="I449" s="77">
        <f t="shared" si="984"/>
        <v>1</v>
      </c>
      <c r="J449" s="77">
        <f t="shared" si="985"/>
        <v>5.1380974999999995E-2</v>
      </c>
      <c r="K449" s="77">
        <f t="shared" ref="K449:K512" si="1132">(1+J449)^(1/12)-1</f>
        <v>4.1841052211439855E-3</v>
      </c>
      <c r="L449" s="76">
        <v>0</v>
      </c>
      <c r="M449" s="77">
        <f t="shared" si="991"/>
        <v>0</v>
      </c>
      <c r="N449" s="77">
        <f t="shared" si="992"/>
        <v>0</v>
      </c>
      <c r="O449" s="77">
        <f t="shared" si="993"/>
        <v>4.9032999999999993E-3</v>
      </c>
      <c r="P449" s="77">
        <f t="shared" si="994"/>
        <v>4.0952950456929482E-4</v>
      </c>
      <c r="R449" t="s">
        <v>177</v>
      </c>
      <c r="S449" t="s">
        <v>176</v>
      </c>
      <c r="T449" s="197" t="str">
        <f t="shared" si="1083"/>
        <v>Autopilot_Balanced_96</v>
      </c>
      <c r="U449">
        <v>96</v>
      </c>
      <c r="V449">
        <f>VLOOKUP($U449,'[2]AP Balanced'!$Q$1:$T$542,2,FALSE)</f>
        <v>3.8726933333333373E-2</v>
      </c>
      <c r="W449">
        <f>VLOOKUP($U449,'[2]AP Balanced'!$Q$1:$T$542,3,FALSE)</f>
        <v>0.96127306666666668</v>
      </c>
      <c r="X449">
        <f>VLOOKUP($U449,'[2]AP Balanced'!$Q$1:$T$542,4,FALSE)</f>
        <v>0</v>
      </c>
      <c r="Y449" s="77">
        <f t="shared" si="1041"/>
        <v>1</v>
      </c>
      <c r="Z449" s="77">
        <f t="shared" si="1030"/>
        <v>5.1864100039999993E-2</v>
      </c>
      <c r="AA449" s="77">
        <f t="shared" si="1031"/>
        <v>4.2225502401536108E-3</v>
      </c>
      <c r="AB449" s="79">
        <v>1</v>
      </c>
      <c r="AC449" s="77">
        <f t="shared" si="995"/>
        <v>6.5774538666666668E-3</v>
      </c>
      <c r="AD449" s="77">
        <f t="shared" si="986"/>
        <v>5.4978053526566484E-4</v>
      </c>
      <c r="AE449" s="77">
        <f t="shared" si="996"/>
        <v>2.5000000000000001E-3</v>
      </c>
      <c r="AF449" s="77">
        <f t="shared" si="986"/>
        <v>2.0857243058891584E-4</v>
      </c>
      <c r="AH449" t="s">
        <v>175</v>
      </c>
      <c r="AI449" t="s">
        <v>176</v>
      </c>
      <c r="AJ449" s="197" t="str">
        <f t="shared" si="1042"/>
        <v>Lifecycle_Balanced_96</v>
      </c>
      <c r="AK449">
        <v>96</v>
      </c>
      <c r="AL449">
        <f>VLOOKUP($U449,[2]Standard_Balanced!$Q$1:$T$542,2,FALSE)</f>
        <v>3.8726933333333373E-2</v>
      </c>
      <c r="AM449">
        <f>VLOOKUP($U449,[2]Standard_Balanced!$Q$1:$T$542,3,FALSE)</f>
        <v>0.96127306666666668</v>
      </c>
      <c r="AN449">
        <f>VLOOKUP($U449,[2]Standard_Balanced!$Q$1:$T$542,4,FALSE)</f>
        <v>0</v>
      </c>
      <c r="AO449" s="77">
        <f t="shared" si="1129"/>
        <v>1</v>
      </c>
      <c r="AP449" s="77">
        <f t="shared" si="997"/>
        <v>5.1864100039999993E-2</v>
      </c>
      <c r="AQ449" s="77">
        <f t="shared" si="1043"/>
        <v>4.2225502401536108E-3</v>
      </c>
      <c r="AR449" s="79">
        <v>0</v>
      </c>
      <c r="AS449" s="77">
        <f t="shared" si="998"/>
        <v>0</v>
      </c>
      <c r="AT449" s="77">
        <f t="shared" ref="AT449" si="1133">1-(1-AS449)^(1/12)</f>
        <v>0</v>
      </c>
      <c r="AU449" s="77">
        <f t="shared" si="1000"/>
        <v>2.5000000000000001E-3</v>
      </c>
      <c r="AV449" s="77">
        <f t="shared" ref="AV449" si="1134">1-(1-AU449)^(1/12)</f>
        <v>2.0857243058891584E-4</v>
      </c>
      <c r="AX449" t="s">
        <v>178</v>
      </c>
      <c r="AY449" t="s">
        <v>160</v>
      </c>
      <c r="AZ449" s="197" t="str">
        <f t="shared" si="1046"/>
        <v>DIS_Non-Standard_96</v>
      </c>
      <c r="BA449">
        <v>96</v>
      </c>
      <c r="BB449">
        <f>VLOOKUP($BA449,'[2]NonStandard DIS'!$Q$1:$X$542,2,FALSE)</f>
        <v>0</v>
      </c>
      <c r="BC449">
        <f>VLOOKUP($BA449,'[2]NonStandard DIS'!$Q$1:$X$542,3,FALSE)</f>
        <v>0</v>
      </c>
      <c r="BD449">
        <f>VLOOKUP($BA449,'[2]NonStandard DIS'!$Q$1:$X$542,4,FALSE)</f>
        <v>0</v>
      </c>
      <c r="BE449">
        <f>VLOOKUP($BA449,'[2]NonStandard DIS'!$Q$1:$X$542,5,FALSE)</f>
        <v>0</v>
      </c>
      <c r="BF449">
        <f>VLOOKUP($BA449,'[2]NonStandard DIS'!$Q$1:$X$542,6,FALSE)</f>
        <v>0</v>
      </c>
      <c r="BG449">
        <f>VLOOKUP($BA449,'[2]NonStandard DIS'!$Q$1:$X$542,7,FALSE)</f>
        <v>1</v>
      </c>
      <c r="BH449">
        <f>VLOOKUP($BA449,'[2]NonStandard DIS'!$Q$1:$X$542,8,FALSE)</f>
        <v>0</v>
      </c>
      <c r="BI449" s="77">
        <f t="shared" si="989"/>
        <v>1</v>
      </c>
      <c r="BJ449" s="77">
        <f t="shared" si="990"/>
        <v>5.7249999999999995E-2</v>
      </c>
      <c r="BK449" s="77">
        <f t="shared" si="1128"/>
        <v>4.6500445051051997E-3</v>
      </c>
      <c r="BL449" s="79">
        <v>1</v>
      </c>
      <c r="BM449" s="77">
        <f t="shared" si="1002"/>
        <v>7.4999999999999997E-3</v>
      </c>
      <c r="BN449" s="77">
        <f t="shared" si="1003"/>
        <v>6.2286180112658407E-4</v>
      </c>
      <c r="BO449" s="77">
        <f t="shared" si="1004"/>
        <v>2.5000000000000001E-3</v>
      </c>
      <c r="BP449" s="77">
        <f t="shared" si="1005"/>
        <v>2.0809499864316017E-4</v>
      </c>
    </row>
    <row r="450" spans="1:68">
      <c r="A450" t="s">
        <v>175</v>
      </c>
      <c r="B450" t="s">
        <v>176</v>
      </c>
      <c r="C450" s="197" t="str">
        <f t="shared" si="1040"/>
        <v>Lifecycle_Balanced_95</v>
      </c>
      <c r="D450">
        <v>95</v>
      </c>
      <c r="E450">
        <f>VLOOKUP($D450,'[2]LC Balanced'!$Q$2:$U$542,2,FALSE)</f>
        <v>0.41991666666666666</v>
      </c>
      <c r="F450">
        <f>VLOOKUP($D450,'[2]LC Balanced'!$Q$2:$U$542,3,FALSE)</f>
        <v>0.22541666666666668</v>
      </c>
      <c r="G450">
        <f>VLOOKUP($D450,'[2]LC Balanced'!$Q$2:$U$542,4,FALSE)</f>
        <v>0.35466666666666663</v>
      </c>
      <c r="H450">
        <f>VLOOKUP($D450,'[2]LC Balanced'!$Q$2:$U$542,5,FALSE)</f>
        <v>0</v>
      </c>
      <c r="I450" s="77">
        <f t="shared" si="984"/>
        <v>1</v>
      </c>
      <c r="J450" s="77">
        <f t="shared" si="985"/>
        <v>5.1344468749999997E-2</v>
      </c>
      <c r="K450" s="77">
        <f t="shared" si="1132"/>
        <v>4.1811995522920142E-3</v>
      </c>
      <c r="L450" s="76">
        <v>0</v>
      </c>
      <c r="M450" s="77">
        <f t="shared" si="991"/>
        <v>0</v>
      </c>
      <c r="N450" s="77">
        <f t="shared" si="992"/>
        <v>0</v>
      </c>
      <c r="O450" s="77">
        <f t="shared" si="993"/>
        <v>4.8913583333333333E-3</v>
      </c>
      <c r="P450" s="77">
        <f t="shared" si="994"/>
        <v>4.0852987721751166E-4</v>
      </c>
      <c r="R450" t="s">
        <v>177</v>
      </c>
      <c r="S450" t="s">
        <v>176</v>
      </c>
      <c r="T450" s="197" t="str">
        <f t="shared" si="1083"/>
        <v>Autopilot_Balanced_95</v>
      </c>
      <c r="U450">
        <v>95</v>
      </c>
      <c r="V450">
        <f>VLOOKUP($U450,'[2]AP Balanced'!$Q$1:$T$542,2,FALSE)</f>
        <v>3.8726933333333373E-2</v>
      </c>
      <c r="W450">
        <f>VLOOKUP($U450,'[2]AP Balanced'!$Q$1:$T$542,3,FALSE)</f>
        <v>0.96127306666666668</v>
      </c>
      <c r="X450">
        <f>VLOOKUP($U450,'[2]AP Balanced'!$Q$1:$T$542,4,FALSE)</f>
        <v>0</v>
      </c>
      <c r="Y450" s="77">
        <f t="shared" si="1041"/>
        <v>1</v>
      </c>
      <c r="Z450" s="77">
        <f t="shared" si="1030"/>
        <v>5.1864100039999993E-2</v>
      </c>
      <c r="AA450" s="77">
        <f t="shared" si="1031"/>
        <v>4.2225502401536108E-3</v>
      </c>
      <c r="AB450" s="79">
        <v>1</v>
      </c>
      <c r="AC450" s="77">
        <f t="shared" si="995"/>
        <v>6.5774538666666668E-3</v>
      </c>
      <c r="AD450" s="77">
        <f t="shared" si="986"/>
        <v>5.4978053526566484E-4</v>
      </c>
      <c r="AE450" s="77">
        <f t="shared" si="996"/>
        <v>2.5000000000000001E-3</v>
      </c>
      <c r="AF450" s="77">
        <f t="shared" si="986"/>
        <v>2.0857243058891584E-4</v>
      </c>
      <c r="AH450" t="s">
        <v>175</v>
      </c>
      <c r="AI450" t="s">
        <v>176</v>
      </c>
      <c r="AJ450" s="197" t="str">
        <f t="shared" si="1042"/>
        <v>Lifecycle_Balanced_95</v>
      </c>
      <c r="AK450">
        <v>95</v>
      </c>
      <c r="AL450">
        <f>VLOOKUP($U450,[2]Standard_Balanced!$Q$1:$T$542,2,FALSE)</f>
        <v>3.5917433333333373E-2</v>
      </c>
      <c r="AM450">
        <f>VLOOKUP($U450,[2]Standard_Balanced!$Q$1:$T$542,3,FALSE)</f>
        <v>0.9640825666666667</v>
      </c>
      <c r="AN450">
        <f>VLOOKUP($U450,[2]Standard_Balanced!$Q$1:$T$542,4,FALSE)</f>
        <v>0</v>
      </c>
      <c r="AO450" s="77">
        <f t="shared" si="1129"/>
        <v>1</v>
      </c>
      <c r="AP450" s="77">
        <f t="shared" si="997"/>
        <v>5.1826803927499998E-2</v>
      </c>
      <c r="AQ450" s="77">
        <f t="shared" si="1043"/>
        <v>4.2195829520563777E-3</v>
      </c>
      <c r="AR450" s="79">
        <v>0</v>
      </c>
      <c r="AS450" s="77">
        <f t="shared" si="998"/>
        <v>0</v>
      </c>
      <c r="AT450" s="77">
        <f t="shared" ref="AT450" si="1135">1-(1-AS450)^(1/12)</f>
        <v>0</v>
      </c>
      <c r="AU450" s="77">
        <f t="shared" si="1000"/>
        <v>2.5000000000000001E-3</v>
      </c>
      <c r="AV450" s="77">
        <f t="shared" ref="AV450" si="1136">1-(1-AU450)^(1/12)</f>
        <v>2.0857243058891584E-4</v>
      </c>
      <c r="AX450" t="s">
        <v>178</v>
      </c>
      <c r="AY450" t="s">
        <v>160</v>
      </c>
      <c r="AZ450" s="197" t="str">
        <f t="shared" si="1046"/>
        <v>DIS_Non-Standard_95</v>
      </c>
      <c r="BA450">
        <v>95</v>
      </c>
      <c r="BB450">
        <f>VLOOKUP($BA450,'[2]NonStandard DIS'!$Q$1:$X$542,2,FALSE)</f>
        <v>0</v>
      </c>
      <c r="BC450">
        <f>VLOOKUP($BA450,'[2]NonStandard DIS'!$Q$1:$X$542,3,FALSE)</f>
        <v>0</v>
      </c>
      <c r="BD450">
        <f>VLOOKUP($BA450,'[2]NonStandard DIS'!$Q$1:$X$542,4,FALSE)</f>
        <v>0</v>
      </c>
      <c r="BE450">
        <f>VLOOKUP($BA450,'[2]NonStandard DIS'!$Q$1:$X$542,5,FALSE)</f>
        <v>0</v>
      </c>
      <c r="BF450">
        <f>VLOOKUP($BA450,'[2]NonStandard DIS'!$Q$1:$X$542,6,FALSE)</f>
        <v>0</v>
      </c>
      <c r="BG450">
        <f>VLOOKUP($BA450,'[2]NonStandard DIS'!$Q$1:$X$542,7,FALSE)</f>
        <v>1</v>
      </c>
      <c r="BH450">
        <f>VLOOKUP($BA450,'[2]NonStandard DIS'!$Q$1:$X$542,8,FALSE)</f>
        <v>0</v>
      </c>
      <c r="BI450" s="77">
        <f t="shared" si="989"/>
        <v>1</v>
      </c>
      <c r="BJ450" s="77">
        <f t="shared" si="990"/>
        <v>5.7249999999999995E-2</v>
      </c>
      <c r="BK450" s="77">
        <f t="shared" si="1128"/>
        <v>4.6500445051051997E-3</v>
      </c>
      <c r="BL450" s="79">
        <v>1</v>
      </c>
      <c r="BM450" s="77">
        <f t="shared" si="1002"/>
        <v>7.4999999999999997E-3</v>
      </c>
      <c r="BN450" s="77">
        <f t="shared" si="1003"/>
        <v>6.2286180112658407E-4</v>
      </c>
      <c r="BO450" s="77">
        <f t="shared" si="1004"/>
        <v>2.5000000000000001E-3</v>
      </c>
      <c r="BP450" s="77">
        <f t="shared" si="1005"/>
        <v>2.0809499864316017E-4</v>
      </c>
    </row>
    <row r="451" spans="1:68">
      <c r="A451" t="s">
        <v>175</v>
      </c>
      <c r="B451" t="s">
        <v>176</v>
      </c>
      <c r="C451" s="197" t="str">
        <f t="shared" si="1040"/>
        <v>Lifecycle_Balanced_94</v>
      </c>
      <c r="D451">
        <v>94</v>
      </c>
      <c r="E451">
        <f>VLOOKUP($D451,'[2]LC Balanced'!$Q$2:$U$542,2,FALSE)</f>
        <v>0.42283333333333334</v>
      </c>
      <c r="F451">
        <f>VLOOKUP($D451,'[2]LC Balanced'!$Q$2:$U$542,3,FALSE)</f>
        <v>0.22383333333333333</v>
      </c>
      <c r="G451">
        <f>VLOOKUP($D451,'[2]LC Balanced'!$Q$2:$U$542,4,FALSE)</f>
        <v>0.35333333333333333</v>
      </c>
      <c r="H451">
        <f>VLOOKUP($D451,'[2]LC Balanced'!$Q$2:$U$542,5,FALSE)</f>
        <v>0</v>
      </c>
      <c r="I451" s="77">
        <f t="shared" si="984"/>
        <v>1</v>
      </c>
      <c r="J451" s="77">
        <f t="shared" si="985"/>
        <v>5.1307962499999998E-2</v>
      </c>
      <c r="K451" s="77">
        <f t="shared" si="1132"/>
        <v>4.1782937909515816E-3</v>
      </c>
      <c r="L451" s="76">
        <v>0</v>
      </c>
      <c r="M451" s="77">
        <f t="shared" si="991"/>
        <v>0</v>
      </c>
      <c r="N451" s="77">
        <f t="shared" si="992"/>
        <v>0</v>
      </c>
      <c r="O451" s="77">
        <f t="shared" si="993"/>
        <v>4.8794166666666665E-3</v>
      </c>
      <c r="P451" s="77">
        <f t="shared" si="994"/>
        <v>4.0753026086204347E-4</v>
      </c>
      <c r="R451" t="s">
        <v>177</v>
      </c>
      <c r="S451" t="s">
        <v>176</v>
      </c>
      <c r="T451" s="197" t="str">
        <f t="shared" si="1083"/>
        <v>Autopilot_Balanced_94</v>
      </c>
      <c r="U451">
        <v>94</v>
      </c>
      <c r="V451">
        <f>VLOOKUP($U451,'[2]AP Balanced'!$Q$1:$T$542,2,FALSE)</f>
        <v>3.8726933333333373E-2</v>
      </c>
      <c r="W451">
        <f>VLOOKUP($U451,'[2]AP Balanced'!$Q$1:$T$542,3,FALSE)</f>
        <v>0.96127306666666668</v>
      </c>
      <c r="X451">
        <f>VLOOKUP($U451,'[2]AP Balanced'!$Q$1:$T$542,4,FALSE)</f>
        <v>0</v>
      </c>
      <c r="Y451" s="77">
        <f t="shared" si="1041"/>
        <v>1</v>
      </c>
      <c r="Z451" s="77">
        <f t="shared" si="1030"/>
        <v>5.1864100039999993E-2</v>
      </c>
      <c r="AA451" s="77">
        <f t="shared" si="1031"/>
        <v>4.2225502401536108E-3</v>
      </c>
      <c r="AB451" s="79">
        <v>1</v>
      </c>
      <c r="AC451" s="77">
        <f t="shared" si="995"/>
        <v>6.5774538666666668E-3</v>
      </c>
      <c r="AD451" s="77">
        <f t="shared" si="986"/>
        <v>5.4978053526566484E-4</v>
      </c>
      <c r="AE451" s="77">
        <f t="shared" si="996"/>
        <v>2.5000000000000001E-3</v>
      </c>
      <c r="AF451" s="77">
        <f t="shared" si="986"/>
        <v>2.0857243058891584E-4</v>
      </c>
      <c r="AH451" t="s">
        <v>175</v>
      </c>
      <c r="AI451" t="s">
        <v>176</v>
      </c>
      <c r="AJ451" s="197" t="str">
        <f t="shared" si="1042"/>
        <v>Lifecycle_Balanced_94</v>
      </c>
      <c r="AK451">
        <v>94</v>
      </c>
      <c r="AL451">
        <f>VLOOKUP($U451,[2]Standard_Balanced!$Q$1:$T$542,2,FALSE)</f>
        <v>3.3107933333333374E-2</v>
      </c>
      <c r="AM451">
        <f>VLOOKUP($U451,[2]Standard_Balanced!$Q$1:$T$542,3,FALSE)</f>
        <v>0.96689206666666672</v>
      </c>
      <c r="AN451">
        <f>VLOOKUP($U451,[2]Standard_Balanced!$Q$1:$T$542,4,FALSE)</f>
        <v>0</v>
      </c>
      <c r="AO451" s="77">
        <f t="shared" si="1129"/>
        <v>1</v>
      </c>
      <c r="AP451" s="77">
        <f t="shared" si="997"/>
        <v>5.1789507814999997E-2</v>
      </c>
      <c r="AQ451" s="77">
        <f t="shared" si="1043"/>
        <v>4.2166155675100736E-3</v>
      </c>
      <c r="AR451" s="79">
        <v>0</v>
      </c>
      <c r="AS451" s="77">
        <f t="shared" si="998"/>
        <v>0</v>
      </c>
      <c r="AT451" s="77">
        <f t="shared" ref="AT451" si="1137">1-(1-AS451)^(1/12)</f>
        <v>0</v>
      </c>
      <c r="AU451" s="77">
        <f t="shared" si="1000"/>
        <v>2.5000000000000001E-3</v>
      </c>
      <c r="AV451" s="77">
        <f t="shared" ref="AV451" si="1138">1-(1-AU451)^(1/12)</f>
        <v>2.0857243058891584E-4</v>
      </c>
      <c r="AX451" t="s">
        <v>178</v>
      </c>
      <c r="AY451" t="s">
        <v>160</v>
      </c>
      <c r="AZ451" s="197" t="str">
        <f t="shared" si="1046"/>
        <v>DIS_Non-Standard_94</v>
      </c>
      <c r="BA451">
        <v>94</v>
      </c>
      <c r="BB451">
        <f>VLOOKUP($BA451,'[2]NonStandard DIS'!$Q$1:$X$542,2,FALSE)</f>
        <v>0</v>
      </c>
      <c r="BC451">
        <f>VLOOKUP($BA451,'[2]NonStandard DIS'!$Q$1:$X$542,3,FALSE)</f>
        <v>0</v>
      </c>
      <c r="BD451">
        <f>VLOOKUP($BA451,'[2]NonStandard DIS'!$Q$1:$X$542,4,FALSE)</f>
        <v>0</v>
      </c>
      <c r="BE451">
        <f>VLOOKUP($BA451,'[2]NonStandard DIS'!$Q$1:$X$542,5,FALSE)</f>
        <v>0</v>
      </c>
      <c r="BF451">
        <f>VLOOKUP($BA451,'[2]NonStandard DIS'!$Q$1:$X$542,6,FALSE)</f>
        <v>0</v>
      </c>
      <c r="BG451">
        <f>VLOOKUP($BA451,'[2]NonStandard DIS'!$Q$1:$X$542,7,FALSE)</f>
        <v>1</v>
      </c>
      <c r="BH451">
        <f>VLOOKUP($BA451,'[2]NonStandard DIS'!$Q$1:$X$542,8,FALSE)</f>
        <v>0</v>
      </c>
      <c r="BI451" s="77">
        <f t="shared" si="989"/>
        <v>1</v>
      </c>
      <c r="BJ451" s="77">
        <f t="shared" si="990"/>
        <v>5.7249999999999995E-2</v>
      </c>
      <c r="BK451" s="77">
        <f t="shared" si="1128"/>
        <v>4.6500445051051997E-3</v>
      </c>
      <c r="BL451" s="79">
        <v>1</v>
      </c>
      <c r="BM451" s="77">
        <f t="shared" si="1002"/>
        <v>7.4999999999999997E-3</v>
      </c>
      <c r="BN451" s="77">
        <f t="shared" si="1003"/>
        <v>6.2286180112658407E-4</v>
      </c>
      <c r="BO451" s="77">
        <f t="shared" si="1004"/>
        <v>2.5000000000000001E-3</v>
      </c>
      <c r="BP451" s="77">
        <f t="shared" si="1005"/>
        <v>2.0809499864316017E-4</v>
      </c>
    </row>
    <row r="452" spans="1:68">
      <c r="A452" t="s">
        <v>175</v>
      </c>
      <c r="B452" t="s">
        <v>176</v>
      </c>
      <c r="C452" s="197" t="str">
        <f t="shared" si="1040"/>
        <v>Lifecycle_Balanced_93</v>
      </c>
      <c r="D452">
        <v>93</v>
      </c>
      <c r="E452">
        <f>VLOOKUP($D452,'[2]LC Balanced'!$Q$2:$U$542,2,FALSE)</f>
        <v>0.42574999999999996</v>
      </c>
      <c r="F452">
        <f>VLOOKUP($D452,'[2]LC Balanced'!$Q$2:$U$542,3,FALSE)</f>
        <v>0.22225</v>
      </c>
      <c r="G452">
        <f>VLOOKUP($D452,'[2]LC Balanced'!$Q$2:$U$542,4,FALSE)</f>
        <v>0.35199999999999998</v>
      </c>
      <c r="H452">
        <f>VLOOKUP($D452,'[2]LC Balanced'!$Q$2:$U$542,5,FALSE)</f>
        <v>0</v>
      </c>
      <c r="I452" s="77">
        <f t="shared" si="984"/>
        <v>0.99999999999999989</v>
      </c>
      <c r="J452" s="77">
        <f t="shared" si="985"/>
        <v>5.1271456249999993E-2</v>
      </c>
      <c r="K452" s="77">
        <f t="shared" si="1132"/>
        <v>4.1753879371169145E-3</v>
      </c>
      <c r="L452" s="76">
        <v>0</v>
      </c>
      <c r="M452" s="77">
        <f t="shared" si="991"/>
        <v>0</v>
      </c>
      <c r="N452" s="77">
        <f t="shared" si="992"/>
        <v>0</v>
      </c>
      <c r="O452" s="77">
        <f t="shared" si="993"/>
        <v>4.8674749999999996E-3</v>
      </c>
      <c r="P452" s="77">
        <f t="shared" si="994"/>
        <v>4.0653065550233514E-4</v>
      </c>
      <c r="R452" t="s">
        <v>177</v>
      </c>
      <c r="S452" t="s">
        <v>176</v>
      </c>
      <c r="T452" s="197" t="str">
        <f t="shared" si="1083"/>
        <v>Autopilot_Balanced_93</v>
      </c>
      <c r="U452">
        <v>93</v>
      </c>
      <c r="V452">
        <f>VLOOKUP($U452,'[2]AP Balanced'!$Q$1:$T$542,2,FALSE)</f>
        <v>3.8726933333333373E-2</v>
      </c>
      <c r="W452">
        <f>VLOOKUP($U452,'[2]AP Balanced'!$Q$1:$T$542,3,FALSE)</f>
        <v>0.96127306666666668</v>
      </c>
      <c r="X452">
        <f>VLOOKUP($U452,'[2]AP Balanced'!$Q$1:$T$542,4,FALSE)</f>
        <v>0</v>
      </c>
      <c r="Y452" s="77">
        <f t="shared" si="1041"/>
        <v>1</v>
      </c>
      <c r="Z452" s="77">
        <f t="shared" si="1030"/>
        <v>5.1864100039999993E-2</v>
      </c>
      <c r="AA452" s="77">
        <f t="shared" si="1031"/>
        <v>4.2225502401536108E-3</v>
      </c>
      <c r="AB452" s="79">
        <v>1</v>
      </c>
      <c r="AC452" s="77">
        <f t="shared" si="995"/>
        <v>6.5774538666666668E-3</v>
      </c>
      <c r="AD452" s="77">
        <f t="shared" si="986"/>
        <v>5.4978053526566484E-4</v>
      </c>
      <c r="AE452" s="77">
        <f t="shared" si="996"/>
        <v>2.5000000000000001E-3</v>
      </c>
      <c r="AF452" s="77">
        <f t="shared" si="986"/>
        <v>2.0857243058891584E-4</v>
      </c>
      <c r="AH452" t="s">
        <v>175</v>
      </c>
      <c r="AI452" t="s">
        <v>176</v>
      </c>
      <c r="AJ452" s="197" t="str">
        <f t="shared" si="1042"/>
        <v>Lifecycle_Balanced_93</v>
      </c>
      <c r="AK452">
        <v>93</v>
      </c>
      <c r="AL452">
        <f>VLOOKUP($U452,[2]Standard_Balanced!$Q$1:$T$542,2,FALSE)</f>
        <v>3.0298433333333374E-2</v>
      </c>
      <c r="AM452">
        <f>VLOOKUP($U452,[2]Standard_Balanced!$Q$1:$T$542,3,FALSE)</f>
        <v>0.96970156666666663</v>
      </c>
      <c r="AN452">
        <f>VLOOKUP($U452,[2]Standard_Balanced!$Q$1:$T$542,4,FALSE)</f>
        <v>0</v>
      </c>
      <c r="AO452" s="77">
        <f t="shared" si="1129"/>
        <v>1</v>
      </c>
      <c r="AP452" s="77">
        <f t="shared" si="997"/>
        <v>5.1752211702499995E-2</v>
      </c>
      <c r="AQ452" s="77">
        <f t="shared" si="1043"/>
        <v>4.2136480865082593E-3</v>
      </c>
      <c r="AR452" s="79">
        <v>0</v>
      </c>
      <c r="AS452" s="77">
        <f t="shared" si="998"/>
        <v>0</v>
      </c>
      <c r="AT452" s="77">
        <f t="shared" ref="AT452" si="1139">1-(1-AS452)^(1/12)</f>
        <v>0</v>
      </c>
      <c r="AU452" s="77">
        <f t="shared" si="1000"/>
        <v>2.5000000000000001E-3</v>
      </c>
      <c r="AV452" s="77">
        <f t="shared" ref="AV452" si="1140">1-(1-AU452)^(1/12)</f>
        <v>2.0857243058891584E-4</v>
      </c>
      <c r="AX452" t="s">
        <v>178</v>
      </c>
      <c r="AY452" t="s">
        <v>160</v>
      </c>
      <c r="AZ452" s="197" t="str">
        <f t="shared" si="1046"/>
        <v>DIS_Non-Standard_93</v>
      </c>
      <c r="BA452">
        <v>93</v>
      </c>
      <c r="BB452">
        <f>VLOOKUP($BA452,'[2]NonStandard DIS'!$Q$1:$X$542,2,FALSE)</f>
        <v>0</v>
      </c>
      <c r="BC452">
        <f>VLOOKUP($BA452,'[2]NonStandard DIS'!$Q$1:$X$542,3,FALSE)</f>
        <v>0</v>
      </c>
      <c r="BD452">
        <f>VLOOKUP($BA452,'[2]NonStandard DIS'!$Q$1:$X$542,4,FALSE)</f>
        <v>0</v>
      </c>
      <c r="BE452">
        <f>VLOOKUP($BA452,'[2]NonStandard DIS'!$Q$1:$X$542,5,FALSE)</f>
        <v>0</v>
      </c>
      <c r="BF452">
        <f>VLOOKUP($BA452,'[2]NonStandard DIS'!$Q$1:$X$542,6,FALSE)</f>
        <v>0</v>
      </c>
      <c r="BG452">
        <f>VLOOKUP($BA452,'[2]NonStandard DIS'!$Q$1:$X$542,7,FALSE)</f>
        <v>1</v>
      </c>
      <c r="BH452">
        <f>VLOOKUP($BA452,'[2]NonStandard DIS'!$Q$1:$X$542,8,FALSE)</f>
        <v>0</v>
      </c>
      <c r="BI452" s="77">
        <f t="shared" si="989"/>
        <v>1</v>
      </c>
      <c r="BJ452" s="77">
        <f t="shared" si="990"/>
        <v>5.7249999999999995E-2</v>
      </c>
      <c r="BK452" s="77">
        <f t="shared" si="1128"/>
        <v>4.6500445051051997E-3</v>
      </c>
      <c r="BL452" s="79">
        <v>1</v>
      </c>
      <c r="BM452" s="77">
        <f t="shared" si="1002"/>
        <v>7.4999999999999997E-3</v>
      </c>
      <c r="BN452" s="77">
        <f t="shared" si="1003"/>
        <v>6.2286180112658407E-4</v>
      </c>
      <c r="BO452" s="77">
        <f t="shared" si="1004"/>
        <v>2.5000000000000001E-3</v>
      </c>
      <c r="BP452" s="77">
        <f t="shared" si="1005"/>
        <v>2.0809499864316017E-4</v>
      </c>
    </row>
    <row r="453" spans="1:68">
      <c r="A453" t="s">
        <v>175</v>
      </c>
      <c r="B453" t="s">
        <v>176</v>
      </c>
      <c r="C453" s="197" t="str">
        <f t="shared" si="1040"/>
        <v>Lifecycle_Balanced_92</v>
      </c>
      <c r="D453">
        <v>92</v>
      </c>
      <c r="E453">
        <f>VLOOKUP($D453,'[2]LC Balanced'!$Q$2:$U$542,2,FALSE)</f>
        <v>0.42866666666666664</v>
      </c>
      <c r="F453">
        <f>VLOOKUP($D453,'[2]LC Balanced'!$Q$2:$U$542,3,FALSE)</f>
        <v>0.22066666666666668</v>
      </c>
      <c r="G453">
        <f>VLOOKUP($D453,'[2]LC Balanced'!$Q$2:$U$542,4,FALSE)</f>
        <v>0.35066666666666668</v>
      </c>
      <c r="H453">
        <f>VLOOKUP($D453,'[2]LC Balanced'!$Q$2:$U$542,5,FALSE)</f>
        <v>0</v>
      </c>
      <c r="I453" s="77">
        <f t="shared" ref="I453:I516" si="1141">SUM(E453:H453)</f>
        <v>1</v>
      </c>
      <c r="J453" s="77">
        <f t="shared" ref="J453:J516" si="1142">SUMPRODUCT($E$1:$H$1,E453:H453)</f>
        <v>5.1234950000000001E-2</v>
      </c>
      <c r="K453" s="77">
        <f t="shared" si="1132"/>
        <v>4.1724819907817956E-3</v>
      </c>
      <c r="L453" s="76">
        <v>0</v>
      </c>
      <c r="M453" s="77">
        <f t="shared" si="991"/>
        <v>0</v>
      </c>
      <c r="N453" s="77">
        <f t="shared" si="992"/>
        <v>0</v>
      </c>
      <c r="O453" s="77">
        <f t="shared" si="993"/>
        <v>4.8555333333333336E-3</v>
      </c>
      <c r="P453" s="77">
        <f t="shared" si="994"/>
        <v>4.0553106113838666E-4</v>
      </c>
      <c r="R453" t="s">
        <v>177</v>
      </c>
      <c r="S453" t="s">
        <v>176</v>
      </c>
      <c r="T453" s="197" t="str">
        <f t="shared" si="1083"/>
        <v>Autopilot_Balanced_92</v>
      </c>
      <c r="U453">
        <v>92</v>
      </c>
      <c r="V453">
        <f>VLOOKUP($U453,'[2]AP Balanced'!$Q$1:$T$542,2,FALSE)</f>
        <v>3.8726933333333373E-2</v>
      </c>
      <c r="W453">
        <f>VLOOKUP($U453,'[2]AP Balanced'!$Q$1:$T$542,3,FALSE)</f>
        <v>0.96127306666666668</v>
      </c>
      <c r="X453">
        <f>VLOOKUP($U453,'[2]AP Balanced'!$Q$1:$T$542,4,FALSE)</f>
        <v>0</v>
      </c>
      <c r="Y453" s="77">
        <f t="shared" si="1041"/>
        <v>1</v>
      </c>
      <c r="Z453" s="77">
        <f t="shared" si="1030"/>
        <v>5.1864100039999993E-2</v>
      </c>
      <c r="AA453" s="77">
        <f t="shared" si="1031"/>
        <v>4.2225502401536108E-3</v>
      </c>
      <c r="AB453" s="79">
        <v>1</v>
      </c>
      <c r="AC453" s="77">
        <f t="shared" si="995"/>
        <v>6.5774538666666668E-3</v>
      </c>
      <c r="AD453" s="77">
        <f t="shared" ref="AD453:AF516" si="1143">1-(1-AC453)^(1/12)</f>
        <v>5.4978053526566484E-4</v>
      </c>
      <c r="AE453" s="77">
        <f t="shared" si="996"/>
        <v>2.5000000000000001E-3</v>
      </c>
      <c r="AF453" s="77">
        <f t="shared" si="1143"/>
        <v>2.0857243058891584E-4</v>
      </c>
      <c r="AH453" t="s">
        <v>175</v>
      </c>
      <c r="AI453" t="s">
        <v>176</v>
      </c>
      <c r="AJ453" s="197" t="str">
        <f t="shared" si="1042"/>
        <v>Lifecycle_Balanced_92</v>
      </c>
      <c r="AK453">
        <v>92</v>
      </c>
      <c r="AL453">
        <f>VLOOKUP($U453,[2]Standard_Balanced!$Q$1:$T$542,2,FALSE)</f>
        <v>2.7488933333333375E-2</v>
      </c>
      <c r="AM453">
        <f>VLOOKUP($U453,[2]Standard_Balanced!$Q$1:$T$542,3,FALSE)</f>
        <v>0.97251106666666665</v>
      </c>
      <c r="AN453">
        <f>VLOOKUP($U453,[2]Standard_Balanced!$Q$1:$T$542,4,FALSE)</f>
        <v>0</v>
      </c>
      <c r="AO453" s="77">
        <f t="shared" si="1129"/>
        <v>1</v>
      </c>
      <c r="AP453" s="77">
        <f t="shared" si="997"/>
        <v>5.1714915589999993E-2</v>
      </c>
      <c r="AQ453" s="77">
        <f t="shared" si="1043"/>
        <v>4.2106805090444954E-3</v>
      </c>
      <c r="AR453" s="79">
        <v>0</v>
      </c>
      <c r="AS453" s="77">
        <f t="shared" si="998"/>
        <v>0</v>
      </c>
      <c r="AT453" s="77">
        <f t="shared" ref="AT453" si="1144">1-(1-AS453)^(1/12)</f>
        <v>0</v>
      </c>
      <c r="AU453" s="77">
        <f t="shared" si="1000"/>
        <v>2.5000000000000001E-3</v>
      </c>
      <c r="AV453" s="77">
        <f t="shared" ref="AV453" si="1145">1-(1-AU453)^(1/12)</f>
        <v>2.0857243058891584E-4</v>
      </c>
      <c r="AX453" t="s">
        <v>178</v>
      </c>
      <c r="AY453" t="s">
        <v>160</v>
      </c>
      <c r="AZ453" s="197" t="str">
        <f t="shared" si="1046"/>
        <v>DIS_Non-Standard_92</v>
      </c>
      <c r="BA453">
        <v>92</v>
      </c>
      <c r="BB453">
        <f>VLOOKUP($BA453,'[2]NonStandard DIS'!$Q$1:$X$542,2,FALSE)</f>
        <v>0</v>
      </c>
      <c r="BC453">
        <f>VLOOKUP($BA453,'[2]NonStandard DIS'!$Q$1:$X$542,3,FALSE)</f>
        <v>0</v>
      </c>
      <c r="BD453">
        <f>VLOOKUP($BA453,'[2]NonStandard DIS'!$Q$1:$X$542,4,FALSE)</f>
        <v>0</v>
      </c>
      <c r="BE453">
        <f>VLOOKUP($BA453,'[2]NonStandard DIS'!$Q$1:$X$542,5,FALSE)</f>
        <v>0</v>
      </c>
      <c r="BF453">
        <f>VLOOKUP($BA453,'[2]NonStandard DIS'!$Q$1:$X$542,6,FALSE)</f>
        <v>0</v>
      </c>
      <c r="BG453">
        <f>VLOOKUP($BA453,'[2]NonStandard DIS'!$Q$1:$X$542,7,FALSE)</f>
        <v>1</v>
      </c>
      <c r="BH453">
        <f>VLOOKUP($BA453,'[2]NonStandard DIS'!$Q$1:$X$542,8,FALSE)</f>
        <v>0</v>
      </c>
      <c r="BI453" s="77">
        <f t="shared" ref="BI453:BI516" si="1146">SUM(BB453:BH453)</f>
        <v>1</v>
      </c>
      <c r="BJ453" s="77">
        <f t="shared" ref="BJ453:BJ516" si="1147">SUMPRODUCT($BB$1:$BH$1,BB453:BH453)</f>
        <v>5.7249999999999995E-2</v>
      </c>
      <c r="BK453" s="77">
        <f t="shared" si="1128"/>
        <v>4.6500445051051997E-3</v>
      </c>
      <c r="BL453" s="79">
        <v>1</v>
      </c>
      <c r="BM453" s="77">
        <f t="shared" si="1002"/>
        <v>7.4999999999999997E-3</v>
      </c>
      <c r="BN453" s="77">
        <f t="shared" si="1003"/>
        <v>6.2286180112658407E-4</v>
      </c>
      <c r="BO453" s="77">
        <f t="shared" si="1004"/>
        <v>2.5000000000000001E-3</v>
      </c>
      <c r="BP453" s="77">
        <f t="shared" si="1005"/>
        <v>2.0809499864316017E-4</v>
      </c>
    </row>
    <row r="454" spans="1:68">
      <c r="A454" t="s">
        <v>175</v>
      </c>
      <c r="B454" t="s">
        <v>176</v>
      </c>
      <c r="C454" s="197" t="str">
        <f t="shared" si="1040"/>
        <v>Lifecycle_Balanced_91</v>
      </c>
      <c r="D454">
        <v>91</v>
      </c>
      <c r="E454">
        <f>VLOOKUP($D454,'[2]LC Balanced'!$Q$2:$U$542,2,FALSE)</f>
        <v>0.43158333333333332</v>
      </c>
      <c r="F454">
        <f>VLOOKUP($D454,'[2]LC Balanced'!$Q$2:$U$542,3,FALSE)</f>
        <v>0.21908333333333332</v>
      </c>
      <c r="G454">
        <f>VLOOKUP($D454,'[2]LC Balanced'!$Q$2:$U$542,4,FALSE)</f>
        <v>0.34933333333333333</v>
      </c>
      <c r="H454">
        <f>VLOOKUP($D454,'[2]LC Balanced'!$Q$2:$U$542,5,FALSE)</f>
        <v>0</v>
      </c>
      <c r="I454" s="77">
        <f t="shared" si="1141"/>
        <v>1</v>
      </c>
      <c r="J454" s="77">
        <f t="shared" si="1142"/>
        <v>5.1198443749999996E-2</v>
      </c>
      <c r="K454" s="77">
        <f t="shared" si="1132"/>
        <v>4.1695759519395637E-3</v>
      </c>
      <c r="L454" s="76">
        <v>0</v>
      </c>
      <c r="M454" s="77">
        <f t="shared" ref="M454:M517" si="1148">IF($L454=0,0,SUMPRODUCT($E$3:$H$3,E454:H454))</f>
        <v>0</v>
      </c>
      <c r="N454" s="77">
        <f t="shared" ref="N454:N517" si="1149">1-(1-M454)^(1/12)</f>
        <v>0</v>
      </c>
      <c r="O454" s="77">
        <f t="shared" ref="O454:O517" si="1150">SUMPRODUCT($E$2:$H$2,E454:H454)</f>
        <v>4.8435916666666658E-3</v>
      </c>
      <c r="P454" s="77">
        <f t="shared" ref="P454:P517" si="1151">1-(1-O454)^(1/12)</f>
        <v>4.0453147776986498E-4</v>
      </c>
      <c r="R454" t="s">
        <v>177</v>
      </c>
      <c r="S454" t="s">
        <v>176</v>
      </c>
      <c r="T454" s="197" t="str">
        <f t="shared" si="1083"/>
        <v>Autopilot_Balanced_91</v>
      </c>
      <c r="U454">
        <v>91</v>
      </c>
      <c r="V454">
        <f>VLOOKUP($U454,'[2]AP Balanced'!$Q$1:$T$542,2,FALSE)</f>
        <v>3.8726933333333373E-2</v>
      </c>
      <c r="W454">
        <f>VLOOKUP($U454,'[2]AP Balanced'!$Q$1:$T$542,3,FALSE)</f>
        <v>0.96127306666666668</v>
      </c>
      <c r="X454">
        <f>VLOOKUP($U454,'[2]AP Balanced'!$Q$1:$T$542,4,FALSE)</f>
        <v>0</v>
      </c>
      <c r="Y454" s="77">
        <f t="shared" si="1041"/>
        <v>1</v>
      </c>
      <c r="Z454" s="77">
        <f t="shared" si="1030"/>
        <v>5.1864100039999993E-2</v>
      </c>
      <c r="AA454" s="77">
        <f t="shared" si="1031"/>
        <v>4.2225502401536108E-3</v>
      </c>
      <c r="AB454" s="79">
        <v>1</v>
      </c>
      <c r="AC454" s="77">
        <f t="shared" ref="AC454:AC517" si="1152">IF($AB454=0,0,SUMPRODUCT($V$3:$X$3,V454:X454))</f>
        <v>6.5774538666666668E-3</v>
      </c>
      <c r="AD454" s="77">
        <f t="shared" si="1143"/>
        <v>5.4978053526566484E-4</v>
      </c>
      <c r="AE454" s="77">
        <f t="shared" ref="AE454:AE517" si="1153">SUMPRODUCT($V$2:$X$2,V454:X454)</f>
        <v>2.5000000000000001E-3</v>
      </c>
      <c r="AF454" s="77">
        <f t="shared" si="1143"/>
        <v>2.0857243058891584E-4</v>
      </c>
      <c r="AH454" t="s">
        <v>175</v>
      </c>
      <c r="AI454" t="s">
        <v>176</v>
      </c>
      <c r="AJ454" s="197" t="str">
        <f t="shared" si="1042"/>
        <v>Lifecycle_Balanced_91</v>
      </c>
      <c r="AK454">
        <v>91</v>
      </c>
      <c r="AL454">
        <f>VLOOKUP($U454,[2]Standard_Balanced!$Q$1:$T$542,2,FALSE)</f>
        <v>2.4679433333333375E-2</v>
      </c>
      <c r="AM454">
        <f>VLOOKUP($U454,[2]Standard_Balanced!$Q$1:$T$542,3,FALSE)</f>
        <v>0.97532056666666667</v>
      </c>
      <c r="AN454">
        <f>VLOOKUP($U454,[2]Standard_Balanced!$Q$1:$T$542,4,FALSE)</f>
        <v>0</v>
      </c>
      <c r="AO454" s="77">
        <f t="shared" si="1129"/>
        <v>1</v>
      </c>
      <c r="AP454" s="77">
        <f t="shared" ref="AP454:AP517" si="1154">SUMPRODUCT($AL$1:$AN$1,AL454:AN454)</f>
        <v>5.1677619477499999E-2</v>
      </c>
      <c r="AQ454" s="77">
        <f t="shared" si="1043"/>
        <v>4.2077128351118986E-3</v>
      </c>
      <c r="AR454" s="79">
        <v>0</v>
      </c>
      <c r="AS454" s="77">
        <f t="shared" ref="AS454:AS517" si="1155">IF(AR454=0,0,SUMPRODUCT($AL$3:$AN$3,AL454:AN454))</f>
        <v>0</v>
      </c>
      <c r="AT454" s="77">
        <f t="shared" ref="AT454" si="1156">1-(1-AS454)^(1/12)</f>
        <v>0</v>
      </c>
      <c r="AU454" s="77">
        <f t="shared" ref="AU454:AU517" si="1157">SUMPRODUCT($AL$2:$AN$2,AL454:AN454)</f>
        <v>2.5000000000000001E-3</v>
      </c>
      <c r="AV454" s="77">
        <f t="shared" ref="AV454" si="1158">1-(1-AU454)^(1/12)</f>
        <v>2.0857243058891584E-4</v>
      </c>
      <c r="AX454" t="s">
        <v>178</v>
      </c>
      <c r="AY454" t="s">
        <v>160</v>
      </c>
      <c r="AZ454" s="197" t="str">
        <f t="shared" si="1046"/>
        <v>DIS_Non-Standard_91</v>
      </c>
      <c r="BA454">
        <v>91</v>
      </c>
      <c r="BB454">
        <f>VLOOKUP($BA454,'[2]NonStandard DIS'!$Q$1:$X$542,2,FALSE)</f>
        <v>0</v>
      </c>
      <c r="BC454">
        <f>VLOOKUP($BA454,'[2]NonStandard DIS'!$Q$1:$X$542,3,FALSE)</f>
        <v>0</v>
      </c>
      <c r="BD454">
        <f>VLOOKUP($BA454,'[2]NonStandard DIS'!$Q$1:$X$542,4,FALSE)</f>
        <v>0</v>
      </c>
      <c r="BE454">
        <f>VLOOKUP($BA454,'[2]NonStandard DIS'!$Q$1:$X$542,5,FALSE)</f>
        <v>0</v>
      </c>
      <c r="BF454">
        <f>VLOOKUP($BA454,'[2]NonStandard DIS'!$Q$1:$X$542,6,FALSE)</f>
        <v>0</v>
      </c>
      <c r="BG454">
        <f>VLOOKUP($BA454,'[2]NonStandard DIS'!$Q$1:$X$542,7,FALSE)</f>
        <v>1</v>
      </c>
      <c r="BH454">
        <f>VLOOKUP($BA454,'[2]NonStandard DIS'!$Q$1:$X$542,8,FALSE)</f>
        <v>0</v>
      </c>
      <c r="BI454" s="77">
        <f t="shared" si="1146"/>
        <v>1</v>
      </c>
      <c r="BJ454" s="77">
        <f t="shared" si="1147"/>
        <v>5.7249999999999995E-2</v>
      </c>
      <c r="BK454" s="77">
        <f t="shared" si="1128"/>
        <v>4.6500445051051997E-3</v>
      </c>
      <c r="BL454" s="79">
        <v>1</v>
      </c>
      <c r="BM454" s="77">
        <f t="shared" ref="BM454:BM517" si="1159">IF(BL454=0,0,SUMPRODUCT($BB$3:$BH$3,BB454:BH454))</f>
        <v>7.4999999999999997E-3</v>
      </c>
      <c r="BN454" s="77">
        <f t="shared" ref="BN454:BN517" si="1160">(1+BM454)^(1/12)-1</f>
        <v>6.2286180112658407E-4</v>
      </c>
      <c r="BO454" s="77">
        <f t="shared" ref="BO454:BO517" si="1161">SUMPRODUCT($BB$2:$BH$2,BB454:BH454)</f>
        <v>2.5000000000000001E-3</v>
      </c>
      <c r="BP454" s="77">
        <f t="shared" ref="BP454:BP517" si="1162">(1+BO454)^(1/12)-1</f>
        <v>2.0809499864316017E-4</v>
      </c>
    </row>
    <row r="455" spans="1:68">
      <c r="A455" t="s">
        <v>175</v>
      </c>
      <c r="B455" t="s">
        <v>176</v>
      </c>
      <c r="C455" s="197" t="str">
        <f t="shared" si="1040"/>
        <v>Lifecycle_Balanced_90</v>
      </c>
      <c r="D455">
        <v>90</v>
      </c>
      <c r="E455">
        <f>VLOOKUP($D455,'[2]LC Balanced'!$Q$2:$U$542,2,FALSE)</f>
        <v>0.4345</v>
      </c>
      <c r="F455">
        <f>VLOOKUP($D455,'[2]LC Balanced'!$Q$2:$U$542,3,FALSE)</f>
        <v>0.2175</v>
      </c>
      <c r="G455">
        <f>VLOOKUP($D455,'[2]LC Balanced'!$Q$2:$U$542,4,FALSE)</f>
        <v>0.34799999999999998</v>
      </c>
      <c r="H455">
        <f>VLOOKUP($D455,'[2]LC Balanced'!$Q$2:$U$542,5,FALSE)</f>
        <v>0</v>
      </c>
      <c r="I455" s="77">
        <f t="shared" si="1141"/>
        <v>1</v>
      </c>
      <c r="J455" s="77">
        <f t="shared" si="1142"/>
        <v>5.1161937499999997E-2</v>
      </c>
      <c r="K455" s="77">
        <f t="shared" si="1132"/>
        <v>4.1666698205846675E-3</v>
      </c>
      <c r="L455" s="76">
        <v>0</v>
      </c>
      <c r="M455" s="77">
        <f t="shared" si="1148"/>
        <v>0</v>
      </c>
      <c r="N455" s="77">
        <f t="shared" si="1149"/>
        <v>0</v>
      </c>
      <c r="O455" s="77">
        <f t="shared" si="1150"/>
        <v>4.8316499999999998E-3</v>
      </c>
      <c r="P455" s="77">
        <f t="shared" si="1151"/>
        <v>4.0353190539643702E-4</v>
      </c>
      <c r="R455" t="s">
        <v>177</v>
      </c>
      <c r="S455" t="s">
        <v>176</v>
      </c>
      <c r="T455" s="197" t="str">
        <f t="shared" si="1083"/>
        <v>Autopilot_Balanced_90</v>
      </c>
      <c r="U455">
        <v>90</v>
      </c>
      <c r="V455">
        <f>VLOOKUP($U455,'[2]AP Balanced'!$Q$1:$T$542,2,FALSE)</f>
        <v>3.8726933333333373E-2</v>
      </c>
      <c r="W455">
        <f>VLOOKUP($U455,'[2]AP Balanced'!$Q$1:$T$542,3,FALSE)</f>
        <v>0.96127306666666668</v>
      </c>
      <c r="X455">
        <f>VLOOKUP($U455,'[2]AP Balanced'!$Q$1:$T$542,4,FALSE)</f>
        <v>0</v>
      </c>
      <c r="Y455" s="77">
        <f t="shared" si="1041"/>
        <v>1</v>
      </c>
      <c r="Z455" s="77">
        <f t="shared" si="1030"/>
        <v>5.1864100039999993E-2</v>
      </c>
      <c r="AA455" s="77">
        <f t="shared" si="1031"/>
        <v>4.2225502401536108E-3</v>
      </c>
      <c r="AB455" s="79">
        <v>1</v>
      </c>
      <c r="AC455" s="77">
        <f t="shared" si="1152"/>
        <v>6.5774538666666668E-3</v>
      </c>
      <c r="AD455" s="77">
        <f t="shared" si="1143"/>
        <v>5.4978053526566484E-4</v>
      </c>
      <c r="AE455" s="77">
        <f t="shared" si="1153"/>
        <v>2.5000000000000001E-3</v>
      </c>
      <c r="AF455" s="77">
        <f t="shared" si="1143"/>
        <v>2.0857243058891584E-4</v>
      </c>
      <c r="AH455" t="s">
        <v>175</v>
      </c>
      <c r="AI455" t="s">
        <v>176</v>
      </c>
      <c r="AJ455" s="197" t="str">
        <f t="shared" si="1042"/>
        <v>Lifecycle_Balanced_90</v>
      </c>
      <c r="AK455">
        <v>90</v>
      </c>
      <c r="AL455">
        <f>VLOOKUP($U455,[2]Standard_Balanced!$Q$1:$T$542,2,FALSE)</f>
        <v>2.1869933333333376E-2</v>
      </c>
      <c r="AM455">
        <f>VLOOKUP($U455,[2]Standard_Balanced!$Q$1:$T$542,3,FALSE)</f>
        <v>0.97813006666666658</v>
      </c>
      <c r="AN455">
        <f>VLOOKUP($U455,[2]Standard_Balanced!$Q$1:$T$542,4,FALSE)</f>
        <v>0</v>
      </c>
      <c r="AO455" s="77">
        <f t="shared" si="1129"/>
        <v>1</v>
      </c>
      <c r="AP455" s="77">
        <f t="shared" si="1154"/>
        <v>5.1640323364999997E-2</v>
      </c>
      <c r="AQ455" s="77">
        <f t="shared" si="1043"/>
        <v>4.2047450647042517E-3</v>
      </c>
      <c r="AR455" s="79">
        <v>0</v>
      </c>
      <c r="AS455" s="77">
        <f t="shared" si="1155"/>
        <v>0</v>
      </c>
      <c r="AT455" s="77">
        <f t="shared" ref="AT455" si="1163">1-(1-AS455)^(1/12)</f>
        <v>0</v>
      </c>
      <c r="AU455" s="77">
        <f t="shared" si="1157"/>
        <v>2.5000000000000001E-3</v>
      </c>
      <c r="AV455" s="77">
        <f t="shared" ref="AV455" si="1164">1-(1-AU455)^(1/12)</f>
        <v>2.0857243058891584E-4</v>
      </c>
      <c r="AX455" t="s">
        <v>178</v>
      </c>
      <c r="AY455" t="s">
        <v>160</v>
      </c>
      <c r="AZ455" s="197" t="str">
        <f t="shared" si="1046"/>
        <v>DIS_Non-Standard_90</v>
      </c>
      <c r="BA455">
        <v>90</v>
      </c>
      <c r="BB455">
        <f>VLOOKUP($BA455,'[2]NonStandard DIS'!$Q$1:$X$542,2,FALSE)</f>
        <v>0</v>
      </c>
      <c r="BC455">
        <f>VLOOKUP($BA455,'[2]NonStandard DIS'!$Q$1:$X$542,3,FALSE)</f>
        <v>0</v>
      </c>
      <c r="BD455">
        <f>VLOOKUP($BA455,'[2]NonStandard DIS'!$Q$1:$X$542,4,FALSE)</f>
        <v>0</v>
      </c>
      <c r="BE455">
        <f>VLOOKUP($BA455,'[2]NonStandard DIS'!$Q$1:$X$542,5,FALSE)</f>
        <v>0</v>
      </c>
      <c r="BF455">
        <f>VLOOKUP($BA455,'[2]NonStandard DIS'!$Q$1:$X$542,6,FALSE)</f>
        <v>0</v>
      </c>
      <c r="BG455">
        <f>VLOOKUP($BA455,'[2]NonStandard DIS'!$Q$1:$X$542,7,FALSE)</f>
        <v>1</v>
      </c>
      <c r="BH455">
        <f>VLOOKUP($BA455,'[2]NonStandard DIS'!$Q$1:$X$542,8,FALSE)</f>
        <v>0</v>
      </c>
      <c r="BI455" s="77">
        <f t="shared" si="1146"/>
        <v>1</v>
      </c>
      <c r="BJ455" s="77">
        <f t="shared" si="1147"/>
        <v>5.7249999999999995E-2</v>
      </c>
      <c r="BK455" s="77">
        <f t="shared" si="1128"/>
        <v>4.6500445051051997E-3</v>
      </c>
      <c r="BL455" s="79">
        <v>1</v>
      </c>
      <c r="BM455" s="77">
        <f t="shared" si="1159"/>
        <v>7.4999999999999997E-3</v>
      </c>
      <c r="BN455" s="77">
        <f t="shared" si="1160"/>
        <v>6.2286180112658407E-4</v>
      </c>
      <c r="BO455" s="77">
        <f t="shared" si="1161"/>
        <v>2.5000000000000001E-3</v>
      </c>
      <c r="BP455" s="77">
        <f t="shared" si="1162"/>
        <v>2.0809499864316017E-4</v>
      </c>
    </row>
    <row r="456" spans="1:68">
      <c r="A456" t="s">
        <v>175</v>
      </c>
      <c r="B456" t="s">
        <v>176</v>
      </c>
      <c r="C456" s="197" t="str">
        <f t="shared" si="1040"/>
        <v>Lifecycle_Balanced_89</v>
      </c>
      <c r="D456">
        <v>89</v>
      </c>
      <c r="E456">
        <f>VLOOKUP($D456,'[2]LC Balanced'!$Q$2:$U$542,2,FALSE)</f>
        <v>0.43741666666666668</v>
      </c>
      <c r="F456">
        <f>VLOOKUP($D456,'[2]LC Balanced'!$Q$2:$U$542,3,FALSE)</f>
        <v>0.21591666666666667</v>
      </c>
      <c r="G456">
        <f>VLOOKUP($D456,'[2]LC Balanced'!$Q$2:$U$542,4,FALSE)</f>
        <v>0.34666666666666668</v>
      </c>
      <c r="H456">
        <f>VLOOKUP($D456,'[2]LC Balanced'!$Q$2:$U$542,5,FALSE)</f>
        <v>0</v>
      </c>
      <c r="I456" s="77">
        <f t="shared" si="1141"/>
        <v>1</v>
      </c>
      <c r="J456" s="77">
        <f t="shared" si="1142"/>
        <v>5.1125431249999999E-2</v>
      </c>
      <c r="K456" s="77">
        <f t="shared" si="1132"/>
        <v>4.1637635967106679E-3</v>
      </c>
      <c r="L456" s="76">
        <v>0</v>
      </c>
      <c r="M456" s="77">
        <f t="shared" si="1148"/>
        <v>0</v>
      </c>
      <c r="N456" s="77">
        <f t="shared" si="1149"/>
        <v>0</v>
      </c>
      <c r="O456" s="77">
        <f t="shared" si="1150"/>
        <v>4.819708333333333E-3</v>
      </c>
      <c r="P456" s="77">
        <f t="shared" si="1151"/>
        <v>4.0253234401799176E-4</v>
      </c>
      <c r="R456" t="s">
        <v>177</v>
      </c>
      <c r="S456" t="s">
        <v>176</v>
      </c>
      <c r="T456" s="197" t="str">
        <f t="shared" si="1083"/>
        <v>Autopilot_Balanced_89</v>
      </c>
      <c r="U456">
        <v>89</v>
      </c>
      <c r="V456">
        <f>VLOOKUP($U456,'[2]AP Balanced'!$Q$1:$T$542,2,FALSE)</f>
        <v>3.8726933333333373E-2</v>
      </c>
      <c r="W456">
        <f>VLOOKUP($U456,'[2]AP Balanced'!$Q$1:$T$542,3,FALSE)</f>
        <v>0.96127306666666668</v>
      </c>
      <c r="X456">
        <f>VLOOKUP($U456,'[2]AP Balanced'!$Q$1:$T$542,4,FALSE)</f>
        <v>0</v>
      </c>
      <c r="Y456" s="77">
        <f t="shared" si="1041"/>
        <v>1</v>
      </c>
      <c r="Z456" s="77">
        <f t="shared" si="1030"/>
        <v>5.1864100039999993E-2</v>
      </c>
      <c r="AA456" s="77">
        <f t="shared" si="1031"/>
        <v>4.2225502401536108E-3</v>
      </c>
      <c r="AB456" s="79">
        <v>1</v>
      </c>
      <c r="AC456" s="77">
        <f t="shared" si="1152"/>
        <v>6.5774538666666668E-3</v>
      </c>
      <c r="AD456" s="77">
        <f t="shared" si="1143"/>
        <v>5.4978053526566484E-4</v>
      </c>
      <c r="AE456" s="77">
        <f t="shared" si="1153"/>
        <v>2.5000000000000001E-3</v>
      </c>
      <c r="AF456" s="77">
        <f t="shared" si="1143"/>
        <v>2.0857243058891584E-4</v>
      </c>
      <c r="AH456" t="s">
        <v>175</v>
      </c>
      <c r="AI456" t="s">
        <v>176</v>
      </c>
      <c r="AJ456" s="197" t="str">
        <f t="shared" si="1042"/>
        <v>Lifecycle_Balanced_89</v>
      </c>
      <c r="AK456">
        <v>89</v>
      </c>
      <c r="AL456">
        <f>VLOOKUP($U456,[2]Standard_Balanced!$Q$1:$T$542,2,FALSE)</f>
        <v>1.9060433333333376E-2</v>
      </c>
      <c r="AM456">
        <f>VLOOKUP($U456,[2]Standard_Balanced!$Q$1:$T$542,3,FALSE)</f>
        <v>0.9809395666666666</v>
      </c>
      <c r="AN456">
        <f>VLOOKUP($U456,[2]Standard_Balanced!$Q$1:$T$542,4,FALSE)</f>
        <v>0</v>
      </c>
      <c r="AO456" s="77">
        <f t="shared" si="1129"/>
        <v>1</v>
      </c>
      <c r="AP456" s="77">
        <f t="shared" si="1154"/>
        <v>5.1603027252499989E-2</v>
      </c>
      <c r="AQ456" s="77">
        <f t="shared" si="1043"/>
        <v>4.2017771978148932E-3</v>
      </c>
      <c r="AR456" s="79">
        <v>0</v>
      </c>
      <c r="AS456" s="77">
        <f t="shared" si="1155"/>
        <v>0</v>
      </c>
      <c r="AT456" s="77">
        <f t="shared" ref="AT456" si="1165">1-(1-AS456)^(1/12)</f>
        <v>0</v>
      </c>
      <c r="AU456" s="77">
        <f t="shared" si="1157"/>
        <v>2.5000000000000001E-3</v>
      </c>
      <c r="AV456" s="77">
        <f t="shared" ref="AV456" si="1166">1-(1-AU456)^(1/12)</f>
        <v>2.0857243058891584E-4</v>
      </c>
      <c r="AX456" t="s">
        <v>178</v>
      </c>
      <c r="AY456" t="s">
        <v>160</v>
      </c>
      <c r="AZ456" s="197" t="str">
        <f t="shared" si="1046"/>
        <v>DIS_Non-Standard_89</v>
      </c>
      <c r="BA456">
        <v>89</v>
      </c>
      <c r="BB456">
        <f>VLOOKUP($BA456,'[2]NonStandard DIS'!$Q$1:$X$542,2,FALSE)</f>
        <v>0</v>
      </c>
      <c r="BC456">
        <f>VLOOKUP($BA456,'[2]NonStandard DIS'!$Q$1:$X$542,3,FALSE)</f>
        <v>0</v>
      </c>
      <c r="BD456">
        <f>VLOOKUP($BA456,'[2]NonStandard DIS'!$Q$1:$X$542,4,FALSE)</f>
        <v>0</v>
      </c>
      <c r="BE456">
        <f>VLOOKUP($BA456,'[2]NonStandard DIS'!$Q$1:$X$542,5,FALSE)</f>
        <v>0</v>
      </c>
      <c r="BF456">
        <f>VLOOKUP($BA456,'[2]NonStandard DIS'!$Q$1:$X$542,6,FALSE)</f>
        <v>0</v>
      </c>
      <c r="BG456">
        <f>VLOOKUP($BA456,'[2]NonStandard DIS'!$Q$1:$X$542,7,FALSE)</f>
        <v>1</v>
      </c>
      <c r="BH456">
        <f>VLOOKUP($BA456,'[2]NonStandard DIS'!$Q$1:$X$542,8,FALSE)</f>
        <v>0</v>
      </c>
      <c r="BI456" s="77">
        <f t="shared" si="1146"/>
        <v>1</v>
      </c>
      <c r="BJ456" s="77">
        <f t="shared" si="1147"/>
        <v>5.7249999999999995E-2</v>
      </c>
      <c r="BK456" s="77">
        <f t="shared" si="1128"/>
        <v>4.6500445051051997E-3</v>
      </c>
      <c r="BL456" s="79">
        <v>1</v>
      </c>
      <c r="BM456" s="77">
        <f t="shared" si="1159"/>
        <v>7.4999999999999997E-3</v>
      </c>
      <c r="BN456" s="77">
        <f t="shared" si="1160"/>
        <v>6.2286180112658407E-4</v>
      </c>
      <c r="BO456" s="77">
        <f t="shared" si="1161"/>
        <v>2.5000000000000001E-3</v>
      </c>
      <c r="BP456" s="77">
        <f t="shared" si="1162"/>
        <v>2.0809499864316017E-4</v>
      </c>
    </row>
    <row r="457" spans="1:68">
      <c r="A457" t="s">
        <v>175</v>
      </c>
      <c r="B457" t="s">
        <v>176</v>
      </c>
      <c r="C457" s="197" t="str">
        <f t="shared" si="1040"/>
        <v>Lifecycle_Balanced_88</v>
      </c>
      <c r="D457">
        <v>88</v>
      </c>
      <c r="E457">
        <f>VLOOKUP($D457,'[2]LC Balanced'!$Q$2:$U$542,2,FALSE)</f>
        <v>0.44033333333333335</v>
      </c>
      <c r="F457">
        <f>VLOOKUP($D457,'[2]LC Balanced'!$Q$2:$U$542,3,FALSE)</f>
        <v>0.21433333333333332</v>
      </c>
      <c r="G457">
        <f>VLOOKUP($D457,'[2]LC Balanced'!$Q$2:$U$542,4,FALSE)</f>
        <v>0.34533333333333333</v>
      </c>
      <c r="H457">
        <f>VLOOKUP($D457,'[2]LC Balanced'!$Q$2:$U$542,5,FALSE)</f>
        <v>0</v>
      </c>
      <c r="I457" s="77">
        <f t="shared" si="1141"/>
        <v>1</v>
      </c>
      <c r="J457" s="77">
        <f t="shared" si="1142"/>
        <v>5.1088924999999993E-2</v>
      </c>
      <c r="K457" s="77">
        <f t="shared" si="1132"/>
        <v>4.1608572803115695E-3</v>
      </c>
      <c r="L457" s="76">
        <v>0</v>
      </c>
      <c r="M457" s="77">
        <f t="shared" si="1148"/>
        <v>0</v>
      </c>
      <c r="N457" s="77">
        <f t="shared" si="1149"/>
        <v>0</v>
      </c>
      <c r="O457" s="77">
        <f t="shared" si="1150"/>
        <v>4.8077666666666661E-3</v>
      </c>
      <c r="P457" s="77">
        <f t="shared" si="1151"/>
        <v>4.0153279363419614E-4</v>
      </c>
      <c r="R457" t="s">
        <v>177</v>
      </c>
      <c r="S457" t="s">
        <v>176</v>
      </c>
      <c r="T457" s="197" t="str">
        <f t="shared" si="1083"/>
        <v>Autopilot_Balanced_88</v>
      </c>
      <c r="U457">
        <v>88</v>
      </c>
      <c r="V457">
        <f>VLOOKUP($U457,'[2]AP Balanced'!$Q$1:$T$542,2,FALSE)</f>
        <v>3.8726933333333373E-2</v>
      </c>
      <c r="W457">
        <f>VLOOKUP($U457,'[2]AP Balanced'!$Q$1:$T$542,3,FALSE)</f>
        <v>0.96127306666666668</v>
      </c>
      <c r="X457">
        <f>VLOOKUP($U457,'[2]AP Balanced'!$Q$1:$T$542,4,FALSE)</f>
        <v>0</v>
      </c>
      <c r="Y457" s="77">
        <f t="shared" si="1041"/>
        <v>1</v>
      </c>
      <c r="Z457" s="77">
        <f t="shared" si="1030"/>
        <v>5.1864100039999993E-2</v>
      </c>
      <c r="AA457" s="77">
        <f t="shared" si="1031"/>
        <v>4.2225502401536108E-3</v>
      </c>
      <c r="AB457" s="79">
        <v>1</v>
      </c>
      <c r="AC457" s="77">
        <f t="shared" si="1152"/>
        <v>6.5774538666666668E-3</v>
      </c>
      <c r="AD457" s="77">
        <f t="shared" si="1143"/>
        <v>5.4978053526566484E-4</v>
      </c>
      <c r="AE457" s="77">
        <f t="shared" si="1153"/>
        <v>2.5000000000000001E-3</v>
      </c>
      <c r="AF457" s="77">
        <f t="shared" si="1143"/>
        <v>2.0857243058891584E-4</v>
      </c>
      <c r="AH457" t="s">
        <v>175</v>
      </c>
      <c r="AI457" t="s">
        <v>176</v>
      </c>
      <c r="AJ457" s="197" t="str">
        <f t="shared" si="1042"/>
        <v>Lifecycle_Balanced_88</v>
      </c>
      <c r="AK457">
        <v>88</v>
      </c>
      <c r="AL457">
        <f>VLOOKUP($U457,[2]Standard_Balanced!$Q$1:$T$542,2,FALSE)</f>
        <v>1.6250933333333377E-2</v>
      </c>
      <c r="AM457">
        <f>VLOOKUP($U457,[2]Standard_Balanced!$Q$1:$T$542,3,FALSE)</f>
        <v>0.98374906666666662</v>
      </c>
      <c r="AN457">
        <f>VLOOKUP($U457,[2]Standard_Balanced!$Q$1:$T$542,4,FALSE)</f>
        <v>0</v>
      </c>
      <c r="AO457" s="77">
        <f t="shared" si="1129"/>
        <v>1</v>
      </c>
      <c r="AP457" s="77">
        <f t="shared" si="1154"/>
        <v>5.1565731139999994E-2</v>
      </c>
      <c r="AQ457" s="77">
        <f t="shared" si="1043"/>
        <v>4.1988092344371619E-3</v>
      </c>
      <c r="AR457" s="79">
        <v>0</v>
      </c>
      <c r="AS457" s="77">
        <f t="shared" si="1155"/>
        <v>0</v>
      </c>
      <c r="AT457" s="77">
        <f t="shared" ref="AT457" si="1167">1-(1-AS457)^(1/12)</f>
        <v>0</v>
      </c>
      <c r="AU457" s="77">
        <f t="shared" si="1157"/>
        <v>2.5000000000000001E-3</v>
      </c>
      <c r="AV457" s="77">
        <f t="shared" ref="AV457" si="1168">1-(1-AU457)^(1/12)</f>
        <v>2.0857243058891584E-4</v>
      </c>
      <c r="AX457" t="s">
        <v>178</v>
      </c>
      <c r="AY457" t="s">
        <v>160</v>
      </c>
      <c r="AZ457" s="197" t="str">
        <f t="shared" si="1046"/>
        <v>DIS_Non-Standard_88</v>
      </c>
      <c r="BA457">
        <v>88</v>
      </c>
      <c r="BB457">
        <f>VLOOKUP($BA457,'[2]NonStandard DIS'!$Q$1:$X$542,2,FALSE)</f>
        <v>0</v>
      </c>
      <c r="BC457">
        <f>VLOOKUP($BA457,'[2]NonStandard DIS'!$Q$1:$X$542,3,FALSE)</f>
        <v>0</v>
      </c>
      <c r="BD457">
        <f>VLOOKUP($BA457,'[2]NonStandard DIS'!$Q$1:$X$542,4,FALSE)</f>
        <v>0</v>
      </c>
      <c r="BE457">
        <f>VLOOKUP($BA457,'[2]NonStandard DIS'!$Q$1:$X$542,5,FALSE)</f>
        <v>0</v>
      </c>
      <c r="BF457">
        <f>VLOOKUP($BA457,'[2]NonStandard DIS'!$Q$1:$X$542,6,FALSE)</f>
        <v>0</v>
      </c>
      <c r="BG457">
        <f>VLOOKUP($BA457,'[2]NonStandard DIS'!$Q$1:$X$542,7,FALSE)</f>
        <v>1</v>
      </c>
      <c r="BH457">
        <f>VLOOKUP($BA457,'[2]NonStandard DIS'!$Q$1:$X$542,8,FALSE)</f>
        <v>0</v>
      </c>
      <c r="BI457" s="77">
        <f t="shared" si="1146"/>
        <v>1</v>
      </c>
      <c r="BJ457" s="77">
        <f t="shared" si="1147"/>
        <v>5.7249999999999995E-2</v>
      </c>
      <c r="BK457" s="77">
        <f t="shared" si="1128"/>
        <v>4.6500445051051997E-3</v>
      </c>
      <c r="BL457" s="79">
        <v>1</v>
      </c>
      <c r="BM457" s="77">
        <f t="shared" si="1159"/>
        <v>7.4999999999999997E-3</v>
      </c>
      <c r="BN457" s="77">
        <f t="shared" si="1160"/>
        <v>6.2286180112658407E-4</v>
      </c>
      <c r="BO457" s="77">
        <f t="shared" si="1161"/>
        <v>2.5000000000000001E-3</v>
      </c>
      <c r="BP457" s="77">
        <f t="shared" si="1162"/>
        <v>2.0809499864316017E-4</v>
      </c>
    </row>
    <row r="458" spans="1:68">
      <c r="A458" t="s">
        <v>175</v>
      </c>
      <c r="B458" t="s">
        <v>176</v>
      </c>
      <c r="C458" s="197" t="str">
        <f t="shared" si="1040"/>
        <v>Lifecycle_Balanced_87</v>
      </c>
      <c r="D458">
        <v>87</v>
      </c>
      <c r="E458">
        <f>VLOOKUP($D458,'[2]LC Balanced'!$Q$2:$U$542,2,FALSE)</f>
        <v>0.44325000000000003</v>
      </c>
      <c r="F458">
        <f>VLOOKUP($D458,'[2]LC Balanced'!$Q$2:$U$542,3,FALSE)</f>
        <v>0.21274999999999999</v>
      </c>
      <c r="G458">
        <f>VLOOKUP($D458,'[2]LC Balanced'!$Q$2:$U$542,4,FALSE)</f>
        <v>0.34400000000000003</v>
      </c>
      <c r="H458">
        <f>VLOOKUP($D458,'[2]LC Balanced'!$Q$2:$U$542,5,FALSE)</f>
        <v>0</v>
      </c>
      <c r="I458" s="77">
        <f t="shared" si="1141"/>
        <v>1</v>
      </c>
      <c r="J458" s="77">
        <f t="shared" si="1142"/>
        <v>5.1052418750000002E-2</v>
      </c>
      <c r="K458" s="77">
        <f t="shared" si="1132"/>
        <v>4.1579508713809332E-3</v>
      </c>
      <c r="L458" s="76">
        <v>0</v>
      </c>
      <c r="M458" s="77">
        <f t="shared" si="1148"/>
        <v>0</v>
      </c>
      <c r="N458" s="77">
        <f t="shared" si="1149"/>
        <v>0</v>
      </c>
      <c r="O458" s="77">
        <f t="shared" si="1150"/>
        <v>4.7958250000000001E-3</v>
      </c>
      <c r="P458" s="77">
        <f t="shared" si="1151"/>
        <v>4.0053325424471709E-4</v>
      </c>
      <c r="R458" t="s">
        <v>177</v>
      </c>
      <c r="S458" t="s">
        <v>176</v>
      </c>
      <c r="T458" s="197" t="str">
        <f t="shared" si="1083"/>
        <v>Autopilot_Balanced_87</v>
      </c>
      <c r="U458">
        <v>87</v>
      </c>
      <c r="V458">
        <f>VLOOKUP($U458,'[2]AP Balanced'!$Q$1:$T$542,2,FALSE)</f>
        <v>3.8726933333333373E-2</v>
      </c>
      <c r="W458">
        <f>VLOOKUP($U458,'[2]AP Balanced'!$Q$1:$T$542,3,FALSE)</f>
        <v>0.96127306666666668</v>
      </c>
      <c r="X458">
        <f>VLOOKUP($U458,'[2]AP Balanced'!$Q$1:$T$542,4,FALSE)</f>
        <v>0</v>
      </c>
      <c r="Y458" s="77">
        <f t="shared" si="1041"/>
        <v>1</v>
      </c>
      <c r="Z458" s="77">
        <f t="shared" si="1030"/>
        <v>5.1864100039999993E-2</v>
      </c>
      <c r="AA458" s="77">
        <f t="shared" si="1031"/>
        <v>4.2225502401536108E-3</v>
      </c>
      <c r="AB458" s="79">
        <v>1</v>
      </c>
      <c r="AC458" s="77">
        <f t="shared" si="1152"/>
        <v>6.5774538666666668E-3</v>
      </c>
      <c r="AD458" s="77">
        <f t="shared" si="1143"/>
        <v>5.4978053526566484E-4</v>
      </c>
      <c r="AE458" s="77">
        <f t="shared" si="1153"/>
        <v>2.5000000000000001E-3</v>
      </c>
      <c r="AF458" s="77">
        <f t="shared" si="1143"/>
        <v>2.0857243058891584E-4</v>
      </c>
      <c r="AH458" t="s">
        <v>175</v>
      </c>
      <c r="AI458" t="s">
        <v>176</v>
      </c>
      <c r="AJ458" s="197" t="str">
        <f t="shared" si="1042"/>
        <v>Lifecycle_Balanced_87</v>
      </c>
      <c r="AK458">
        <v>87</v>
      </c>
      <c r="AL458">
        <f>VLOOKUP($U458,[2]Standard_Balanced!$Q$1:$T$542,2,FALSE)</f>
        <v>1.3441433333333376E-2</v>
      </c>
      <c r="AM458">
        <f>VLOOKUP($U458,[2]Standard_Balanced!$Q$1:$T$542,3,FALSE)</f>
        <v>0.98655856666666664</v>
      </c>
      <c r="AN458">
        <f>VLOOKUP($U458,[2]Standard_Balanced!$Q$1:$T$542,4,FALSE)</f>
        <v>0</v>
      </c>
      <c r="AO458" s="77">
        <f t="shared" si="1129"/>
        <v>1</v>
      </c>
      <c r="AP458" s="77">
        <f t="shared" si="1154"/>
        <v>5.1528435027499993E-2</v>
      </c>
      <c r="AQ458" s="77">
        <f t="shared" si="1043"/>
        <v>4.1958411745646185E-3</v>
      </c>
      <c r="AR458" s="79">
        <v>0</v>
      </c>
      <c r="AS458" s="77">
        <f t="shared" si="1155"/>
        <v>0</v>
      </c>
      <c r="AT458" s="77">
        <f t="shared" ref="AT458" si="1169">1-(1-AS458)^(1/12)</f>
        <v>0</v>
      </c>
      <c r="AU458" s="77">
        <f t="shared" si="1157"/>
        <v>2.5000000000000001E-3</v>
      </c>
      <c r="AV458" s="77">
        <f t="shared" ref="AV458" si="1170">1-(1-AU458)^(1/12)</f>
        <v>2.0857243058891584E-4</v>
      </c>
      <c r="AX458" t="s">
        <v>178</v>
      </c>
      <c r="AY458" t="s">
        <v>160</v>
      </c>
      <c r="AZ458" s="197" t="str">
        <f t="shared" si="1046"/>
        <v>DIS_Non-Standard_87</v>
      </c>
      <c r="BA458">
        <v>87</v>
      </c>
      <c r="BB458">
        <f>VLOOKUP($BA458,'[2]NonStandard DIS'!$Q$1:$X$542,2,FALSE)</f>
        <v>0</v>
      </c>
      <c r="BC458">
        <f>VLOOKUP($BA458,'[2]NonStandard DIS'!$Q$1:$X$542,3,FALSE)</f>
        <v>0</v>
      </c>
      <c r="BD458">
        <f>VLOOKUP($BA458,'[2]NonStandard DIS'!$Q$1:$X$542,4,FALSE)</f>
        <v>0</v>
      </c>
      <c r="BE458">
        <f>VLOOKUP($BA458,'[2]NonStandard DIS'!$Q$1:$X$542,5,FALSE)</f>
        <v>0</v>
      </c>
      <c r="BF458">
        <f>VLOOKUP($BA458,'[2]NonStandard DIS'!$Q$1:$X$542,6,FALSE)</f>
        <v>0</v>
      </c>
      <c r="BG458">
        <f>VLOOKUP($BA458,'[2]NonStandard DIS'!$Q$1:$X$542,7,FALSE)</f>
        <v>1</v>
      </c>
      <c r="BH458">
        <f>VLOOKUP($BA458,'[2]NonStandard DIS'!$Q$1:$X$542,8,FALSE)</f>
        <v>0</v>
      </c>
      <c r="BI458" s="77">
        <f t="shared" si="1146"/>
        <v>1</v>
      </c>
      <c r="BJ458" s="77">
        <f t="shared" si="1147"/>
        <v>5.7249999999999995E-2</v>
      </c>
      <c r="BK458" s="77">
        <f t="shared" si="1128"/>
        <v>4.6500445051051997E-3</v>
      </c>
      <c r="BL458" s="79">
        <v>1</v>
      </c>
      <c r="BM458" s="77">
        <f t="shared" si="1159"/>
        <v>7.4999999999999997E-3</v>
      </c>
      <c r="BN458" s="77">
        <f t="shared" si="1160"/>
        <v>6.2286180112658407E-4</v>
      </c>
      <c r="BO458" s="77">
        <f t="shared" si="1161"/>
        <v>2.5000000000000001E-3</v>
      </c>
      <c r="BP458" s="77">
        <f t="shared" si="1162"/>
        <v>2.0809499864316017E-4</v>
      </c>
    </row>
    <row r="459" spans="1:68">
      <c r="A459" t="s">
        <v>175</v>
      </c>
      <c r="B459" t="s">
        <v>176</v>
      </c>
      <c r="C459" s="197" t="str">
        <f t="shared" si="1040"/>
        <v>Lifecycle_Balanced_86</v>
      </c>
      <c r="D459">
        <v>86</v>
      </c>
      <c r="E459">
        <f>VLOOKUP($D459,'[2]LC Balanced'!$Q$2:$U$542,2,FALSE)</f>
        <v>0.44616666666666666</v>
      </c>
      <c r="F459">
        <f>VLOOKUP($D459,'[2]LC Balanced'!$Q$2:$U$542,3,FALSE)</f>
        <v>0.21116666666666667</v>
      </c>
      <c r="G459">
        <f>VLOOKUP($D459,'[2]LC Balanced'!$Q$2:$U$542,4,FALSE)</f>
        <v>0.34266666666666667</v>
      </c>
      <c r="H459">
        <f>VLOOKUP($D459,'[2]LC Balanced'!$Q$2:$U$542,5,FALSE)</f>
        <v>0</v>
      </c>
      <c r="I459" s="77">
        <f t="shared" si="1141"/>
        <v>1</v>
      </c>
      <c r="J459" s="77">
        <f t="shared" si="1142"/>
        <v>5.1015912499999996E-2</v>
      </c>
      <c r="K459" s="77">
        <f t="shared" si="1132"/>
        <v>4.1550443699129858E-3</v>
      </c>
      <c r="L459" s="76">
        <v>0</v>
      </c>
      <c r="M459" s="77">
        <f t="shared" si="1148"/>
        <v>0</v>
      </c>
      <c r="N459" s="77">
        <f t="shared" si="1149"/>
        <v>0</v>
      </c>
      <c r="O459" s="77">
        <f t="shared" si="1150"/>
        <v>4.7838833333333332E-3</v>
      </c>
      <c r="P459" s="77">
        <f t="shared" si="1151"/>
        <v>3.9953372584944358E-4</v>
      </c>
      <c r="R459" t="s">
        <v>177</v>
      </c>
      <c r="S459" t="s">
        <v>176</v>
      </c>
      <c r="T459" s="197" t="str">
        <f t="shared" si="1083"/>
        <v>Autopilot_Balanced_86</v>
      </c>
      <c r="U459">
        <v>86</v>
      </c>
      <c r="V459">
        <f>VLOOKUP($U459,'[2]AP Balanced'!$Q$1:$T$542,2,FALSE)</f>
        <v>3.8726933333333373E-2</v>
      </c>
      <c r="W459">
        <f>VLOOKUP($U459,'[2]AP Balanced'!$Q$1:$T$542,3,FALSE)</f>
        <v>0.96127306666666668</v>
      </c>
      <c r="X459">
        <f>VLOOKUP($U459,'[2]AP Balanced'!$Q$1:$T$542,4,FALSE)</f>
        <v>0</v>
      </c>
      <c r="Y459" s="77">
        <f t="shared" si="1041"/>
        <v>1</v>
      </c>
      <c r="Z459" s="77">
        <f t="shared" si="1030"/>
        <v>5.1864100039999993E-2</v>
      </c>
      <c r="AA459" s="77">
        <f t="shared" si="1031"/>
        <v>4.2225502401536108E-3</v>
      </c>
      <c r="AB459" s="79">
        <v>1</v>
      </c>
      <c r="AC459" s="77">
        <f t="shared" si="1152"/>
        <v>6.5774538666666668E-3</v>
      </c>
      <c r="AD459" s="77">
        <f t="shared" si="1143"/>
        <v>5.4978053526566484E-4</v>
      </c>
      <c r="AE459" s="77">
        <f t="shared" si="1153"/>
        <v>2.5000000000000001E-3</v>
      </c>
      <c r="AF459" s="77">
        <f t="shared" si="1143"/>
        <v>2.0857243058891584E-4</v>
      </c>
      <c r="AH459" t="s">
        <v>175</v>
      </c>
      <c r="AI459" t="s">
        <v>176</v>
      </c>
      <c r="AJ459" s="197" t="str">
        <f t="shared" si="1042"/>
        <v>Lifecycle_Balanced_86</v>
      </c>
      <c r="AK459">
        <v>86</v>
      </c>
      <c r="AL459">
        <f>VLOOKUP($U459,[2]Standard_Balanced!$Q$1:$T$542,2,FALSE)</f>
        <v>1.0631933333333376E-2</v>
      </c>
      <c r="AM459">
        <f>VLOOKUP($U459,[2]Standard_Balanced!$Q$1:$T$542,3,FALSE)</f>
        <v>0.98936806666666666</v>
      </c>
      <c r="AN459">
        <f>VLOOKUP($U459,[2]Standard_Balanced!$Q$1:$T$542,4,FALSE)</f>
        <v>0</v>
      </c>
      <c r="AO459" s="77">
        <f t="shared" si="1129"/>
        <v>1</v>
      </c>
      <c r="AP459" s="77">
        <f t="shared" si="1154"/>
        <v>5.1491138914999998E-2</v>
      </c>
      <c r="AQ459" s="77">
        <f t="shared" si="1043"/>
        <v>4.1928730181906015E-3</v>
      </c>
      <c r="AR459" s="79">
        <v>0</v>
      </c>
      <c r="AS459" s="77">
        <f t="shared" si="1155"/>
        <v>0</v>
      </c>
      <c r="AT459" s="77">
        <f t="shared" ref="AT459" si="1171">1-(1-AS459)^(1/12)</f>
        <v>0</v>
      </c>
      <c r="AU459" s="77">
        <f t="shared" si="1157"/>
        <v>2.5000000000000001E-3</v>
      </c>
      <c r="AV459" s="77">
        <f t="shared" ref="AV459" si="1172">1-(1-AU459)^(1/12)</f>
        <v>2.0857243058891584E-4</v>
      </c>
      <c r="AX459" t="s">
        <v>178</v>
      </c>
      <c r="AY459" t="s">
        <v>160</v>
      </c>
      <c r="AZ459" s="197" t="str">
        <f t="shared" si="1046"/>
        <v>DIS_Non-Standard_86</v>
      </c>
      <c r="BA459">
        <v>86</v>
      </c>
      <c r="BB459">
        <f>VLOOKUP($BA459,'[2]NonStandard DIS'!$Q$1:$X$542,2,FALSE)</f>
        <v>0</v>
      </c>
      <c r="BC459">
        <f>VLOOKUP($BA459,'[2]NonStandard DIS'!$Q$1:$X$542,3,FALSE)</f>
        <v>0</v>
      </c>
      <c r="BD459">
        <f>VLOOKUP($BA459,'[2]NonStandard DIS'!$Q$1:$X$542,4,FALSE)</f>
        <v>0</v>
      </c>
      <c r="BE459">
        <f>VLOOKUP($BA459,'[2]NonStandard DIS'!$Q$1:$X$542,5,FALSE)</f>
        <v>0</v>
      </c>
      <c r="BF459">
        <f>VLOOKUP($BA459,'[2]NonStandard DIS'!$Q$1:$X$542,6,FALSE)</f>
        <v>0</v>
      </c>
      <c r="BG459">
        <f>VLOOKUP($BA459,'[2]NonStandard DIS'!$Q$1:$X$542,7,FALSE)</f>
        <v>1</v>
      </c>
      <c r="BH459">
        <f>VLOOKUP($BA459,'[2]NonStandard DIS'!$Q$1:$X$542,8,FALSE)</f>
        <v>0</v>
      </c>
      <c r="BI459" s="77">
        <f t="shared" si="1146"/>
        <v>1</v>
      </c>
      <c r="BJ459" s="77">
        <f t="shared" si="1147"/>
        <v>5.7249999999999995E-2</v>
      </c>
      <c r="BK459" s="77">
        <f t="shared" si="1128"/>
        <v>4.6500445051051997E-3</v>
      </c>
      <c r="BL459" s="79">
        <v>1</v>
      </c>
      <c r="BM459" s="77">
        <f t="shared" si="1159"/>
        <v>7.4999999999999997E-3</v>
      </c>
      <c r="BN459" s="77">
        <f t="shared" si="1160"/>
        <v>6.2286180112658407E-4</v>
      </c>
      <c r="BO459" s="77">
        <f t="shared" si="1161"/>
        <v>2.5000000000000001E-3</v>
      </c>
      <c r="BP459" s="77">
        <f t="shared" si="1162"/>
        <v>2.0809499864316017E-4</v>
      </c>
    </row>
    <row r="460" spans="1:68">
      <c r="A460" t="s">
        <v>175</v>
      </c>
      <c r="B460" t="s">
        <v>176</v>
      </c>
      <c r="C460" s="197" t="str">
        <f t="shared" si="1040"/>
        <v>Lifecycle_Balanced_85</v>
      </c>
      <c r="D460">
        <v>85</v>
      </c>
      <c r="E460">
        <f>VLOOKUP($D460,'[2]LC Balanced'!$Q$2:$U$542,2,FALSE)</f>
        <v>0.44908333333333333</v>
      </c>
      <c r="F460">
        <f>VLOOKUP($D460,'[2]LC Balanced'!$Q$2:$U$542,3,FALSE)</f>
        <v>0.20958333333333332</v>
      </c>
      <c r="G460">
        <f>VLOOKUP($D460,'[2]LC Balanced'!$Q$2:$U$542,4,FALSE)</f>
        <v>0.34133333333333338</v>
      </c>
      <c r="H460">
        <f>VLOOKUP($D460,'[2]LC Balanced'!$Q$2:$U$542,5,FALSE)</f>
        <v>0</v>
      </c>
      <c r="I460" s="77">
        <f t="shared" si="1141"/>
        <v>1</v>
      </c>
      <c r="J460" s="77">
        <f t="shared" si="1142"/>
        <v>5.0979406249999998E-2</v>
      </c>
      <c r="K460" s="77">
        <f t="shared" si="1132"/>
        <v>4.1521377759010658E-3</v>
      </c>
      <c r="L460" s="76">
        <v>0</v>
      </c>
      <c r="M460" s="77">
        <f t="shared" si="1148"/>
        <v>0</v>
      </c>
      <c r="N460" s="77">
        <f t="shared" si="1149"/>
        <v>0</v>
      </c>
      <c r="O460" s="77">
        <f t="shared" si="1150"/>
        <v>4.7719416666666663E-3</v>
      </c>
      <c r="P460" s="77">
        <f t="shared" si="1151"/>
        <v>3.9853420844804255E-4</v>
      </c>
      <c r="R460" t="s">
        <v>177</v>
      </c>
      <c r="S460" t="s">
        <v>176</v>
      </c>
      <c r="T460" s="197" t="str">
        <f t="shared" si="1083"/>
        <v>Autopilot_Balanced_85</v>
      </c>
      <c r="U460">
        <v>85</v>
      </c>
      <c r="V460">
        <f>VLOOKUP($U460,'[2]AP Balanced'!$Q$1:$T$542,2,FALSE)</f>
        <v>3.8726933333333373E-2</v>
      </c>
      <c r="W460">
        <f>VLOOKUP($U460,'[2]AP Balanced'!$Q$1:$T$542,3,FALSE)</f>
        <v>0.96127306666666668</v>
      </c>
      <c r="X460">
        <f>VLOOKUP($U460,'[2]AP Balanced'!$Q$1:$T$542,4,FALSE)</f>
        <v>0</v>
      </c>
      <c r="Y460" s="77">
        <f t="shared" si="1041"/>
        <v>1</v>
      </c>
      <c r="Z460" s="77">
        <f t="shared" si="1030"/>
        <v>5.1864100039999993E-2</v>
      </c>
      <c r="AA460" s="77">
        <f t="shared" si="1031"/>
        <v>4.2225502401536108E-3</v>
      </c>
      <c r="AB460" s="79">
        <v>1</v>
      </c>
      <c r="AC460" s="77">
        <f t="shared" si="1152"/>
        <v>6.5774538666666668E-3</v>
      </c>
      <c r="AD460" s="77">
        <f t="shared" si="1143"/>
        <v>5.4978053526566484E-4</v>
      </c>
      <c r="AE460" s="77">
        <f t="shared" si="1153"/>
        <v>2.5000000000000001E-3</v>
      </c>
      <c r="AF460" s="77">
        <f t="shared" si="1143"/>
        <v>2.0857243058891584E-4</v>
      </c>
      <c r="AH460" t="s">
        <v>175</v>
      </c>
      <c r="AI460" t="s">
        <v>176</v>
      </c>
      <c r="AJ460" s="197" t="str">
        <f t="shared" si="1042"/>
        <v>Lifecycle_Balanced_85</v>
      </c>
      <c r="AK460">
        <v>85</v>
      </c>
      <c r="AL460">
        <f>VLOOKUP($U460,[2]Standard_Balanced!$Q$1:$T$542,2,FALSE)</f>
        <v>7.8224333333333767E-3</v>
      </c>
      <c r="AM460">
        <f>VLOOKUP($U460,[2]Standard_Balanced!$Q$1:$T$542,3,FALSE)</f>
        <v>0.99217756666666657</v>
      </c>
      <c r="AN460">
        <f>VLOOKUP($U460,[2]Standard_Balanced!$Q$1:$T$542,4,FALSE)</f>
        <v>0</v>
      </c>
      <c r="AO460" s="77">
        <f t="shared" si="1129"/>
        <v>0.99999999999999989</v>
      </c>
      <c r="AP460" s="77">
        <f t="shared" si="1154"/>
        <v>5.145384280249999E-2</v>
      </c>
      <c r="AQ460" s="77">
        <f t="shared" si="1043"/>
        <v>4.1899047653086718E-3</v>
      </c>
      <c r="AR460" s="79">
        <v>0</v>
      </c>
      <c r="AS460" s="77">
        <f t="shared" si="1155"/>
        <v>0</v>
      </c>
      <c r="AT460" s="77">
        <f t="shared" ref="AT460" si="1173">1-(1-AS460)^(1/12)</f>
        <v>0</v>
      </c>
      <c r="AU460" s="77">
        <f t="shared" si="1157"/>
        <v>2.4999999999999996E-3</v>
      </c>
      <c r="AV460" s="77">
        <f t="shared" ref="AV460" si="1174">1-(1-AU460)^(1/12)</f>
        <v>2.0857243058891584E-4</v>
      </c>
      <c r="AX460" t="s">
        <v>178</v>
      </c>
      <c r="AY460" t="s">
        <v>160</v>
      </c>
      <c r="AZ460" s="197" t="str">
        <f t="shared" si="1046"/>
        <v>DIS_Non-Standard_85</v>
      </c>
      <c r="BA460">
        <v>85</v>
      </c>
      <c r="BB460">
        <f>VLOOKUP($BA460,'[2]NonStandard DIS'!$Q$1:$X$542,2,FALSE)</f>
        <v>0</v>
      </c>
      <c r="BC460">
        <f>VLOOKUP($BA460,'[2]NonStandard DIS'!$Q$1:$X$542,3,FALSE)</f>
        <v>0</v>
      </c>
      <c r="BD460">
        <f>VLOOKUP($BA460,'[2]NonStandard DIS'!$Q$1:$X$542,4,FALSE)</f>
        <v>0</v>
      </c>
      <c r="BE460">
        <f>VLOOKUP($BA460,'[2]NonStandard DIS'!$Q$1:$X$542,5,FALSE)</f>
        <v>0</v>
      </c>
      <c r="BF460">
        <f>VLOOKUP($BA460,'[2]NonStandard DIS'!$Q$1:$X$542,6,FALSE)</f>
        <v>0</v>
      </c>
      <c r="BG460">
        <f>VLOOKUP($BA460,'[2]NonStandard DIS'!$Q$1:$X$542,7,FALSE)</f>
        <v>1</v>
      </c>
      <c r="BH460">
        <f>VLOOKUP($BA460,'[2]NonStandard DIS'!$Q$1:$X$542,8,FALSE)</f>
        <v>0</v>
      </c>
      <c r="BI460" s="77">
        <f t="shared" si="1146"/>
        <v>1</v>
      </c>
      <c r="BJ460" s="77">
        <f t="shared" si="1147"/>
        <v>5.7249999999999995E-2</v>
      </c>
      <c r="BK460" s="77">
        <f t="shared" si="1128"/>
        <v>4.6500445051051997E-3</v>
      </c>
      <c r="BL460" s="79">
        <v>1</v>
      </c>
      <c r="BM460" s="77">
        <f t="shared" si="1159"/>
        <v>7.4999999999999997E-3</v>
      </c>
      <c r="BN460" s="77">
        <f t="shared" si="1160"/>
        <v>6.2286180112658407E-4</v>
      </c>
      <c r="BO460" s="77">
        <f t="shared" si="1161"/>
        <v>2.5000000000000001E-3</v>
      </c>
      <c r="BP460" s="77">
        <f t="shared" si="1162"/>
        <v>2.0809499864316017E-4</v>
      </c>
    </row>
    <row r="461" spans="1:68">
      <c r="A461" t="s">
        <v>175</v>
      </c>
      <c r="B461" t="s">
        <v>176</v>
      </c>
      <c r="C461" s="197" t="str">
        <f t="shared" si="1040"/>
        <v>Lifecycle_Balanced_84</v>
      </c>
      <c r="D461">
        <v>84</v>
      </c>
      <c r="E461">
        <f>VLOOKUP($D461,'[2]LC Balanced'!$Q$2:$U$542,2,FALSE)</f>
        <v>0.45200000000000001</v>
      </c>
      <c r="F461">
        <f>VLOOKUP($D461,'[2]LC Balanced'!$Q$2:$U$542,3,FALSE)</f>
        <v>0.20799999999999999</v>
      </c>
      <c r="G461">
        <f>VLOOKUP($D461,'[2]LC Balanced'!$Q$2:$U$542,4,FALSE)</f>
        <v>0.34</v>
      </c>
      <c r="H461">
        <f>VLOOKUP($D461,'[2]LC Balanced'!$Q$2:$U$542,5,FALSE)</f>
        <v>0</v>
      </c>
      <c r="I461" s="77">
        <f t="shared" si="1141"/>
        <v>1</v>
      </c>
      <c r="J461" s="77">
        <f t="shared" si="1142"/>
        <v>5.0942899999999999E-2</v>
      </c>
      <c r="K461" s="77">
        <f t="shared" si="1132"/>
        <v>4.1492310893394002E-3</v>
      </c>
      <c r="L461" s="76">
        <v>0</v>
      </c>
      <c r="M461" s="77">
        <f t="shared" si="1148"/>
        <v>0</v>
      </c>
      <c r="N461" s="77">
        <f t="shared" si="1149"/>
        <v>0</v>
      </c>
      <c r="O461" s="77">
        <f t="shared" si="1150"/>
        <v>4.7600000000000003E-3</v>
      </c>
      <c r="P461" s="77">
        <f t="shared" si="1151"/>
        <v>3.9753470204040298E-4</v>
      </c>
      <c r="R461" t="s">
        <v>177</v>
      </c>
      <c r="S461" t="s">
        <v>176</v>
      </c>
      <c r="T461" s="197" t="str">
        <f t="shared" si="1083"/>
        <v>Autopilot_Balanced_84</v>
      </c>
      <c r="U461">
        <v>84</v>
      </c>
      <c r="V461">
        <f>VLOOKUP($U461,'[2]AP Balanced'!$Q$1:$T$542,2,FALSE)</f>
        <v>5.0129333333333763E-3</v>
      </c>
      <c r="W461">
        <f>VLOOKUP($U461,'[2]AP Balanced'!$Q$1:$T$542,3,FALSE)</f>
        <v>0.99498706666666659</v>
      </c>
      <c r="X461">
        <f>VLOOKUP($U461,'[2]AP Balanced'!$Q$1:$T$542,4,FALSE)</f>
        <v>0</v>
      </c>
      <c r="Y461" s="77">
        <f t="shared" si="1041"/>
        <v>1</v>
      </c>
      <c r="Z461" s="77">
        <f t="shared" si="1030"/>
        <v>5.1416546689999995E-2</v>
      </c>
      <c r="AA461" s="77">
        <f t="shared" si="1031"/>
        <v>4.186936415912168E-3</v>
      </c>
      <c r="AB461" s="79">
        <v>1</v>
      </c>
      <c r="AC461" s="77">
        <f t="shared" si="1152"/>
        <v>6.5100258666666664E-3</v>
      </c>
      <c r="AD461" s="77">
        <f t="shared" si="1143"/>
        <v>5.4412761737432369E-4</v>
      </c>
      <c r="AE461" s="77">
        <f t="shared" si="1153"/>
        <v>2.5000000000000001E-3</v>
      </c>
      <c r="AF461" s="77">
        <f t="shared" si="1143"/>
        <v>2.0857243058891584E-4</v>
      </c>
      <c r="AH461" t="s">
        <v>175</v>
      </c>
      <c r="AI461" t="s">
        <v>176</v>
      </c>
      <c r="AJ461" s="197" t="str">
        <f t="shared" si="1042"/>
        <v>Lifecycle_Balanced_84</v>
      </c>
      <c r="AK461">
        <v>84</v>
      </c>
      <c r="AL461">
        <f>VLOOKUP($U461,[2]Standard_Balanced!$Q$1:$T$542,2,FALSE)</f>
        <v>5.0129333333333763E-3</v>
      </c>
      <c r="AM461">
        <f>VLOOKUP($U461,[2]Standard_Balanced!$Q$1:$T$542,3,FALSE)</f>
        <v>0.99498706666666659</v>
      </c>
      <c r="AN461">
        <f>VLOOKUP($U461,[2]Standard_Balanced!$Q$1:$T$542,4,FALSE)</f>
        <v>0</v>
      </c>
      <c r="AO461" s="77">
        <f t="shared" si="1129"/>
        <v>1</v>
      </c>
      <c r="AP461" s="77">
        <f t="shared" si="1154"/>
        <v>5.1416546689999995E-2</v>
      </c>
      <c r="AQ461" s="77">
        <f t="shared" si="1043"/>
        <v>4.186936415912168E-3</v>
      </c>
      <c r="AR461" s="79">
        <v>0</v>
      </c>
      <c r="AS461" s="77">
        <f t="shared" si="1155"/>
        <v>0</v>
      </c>
      <c r="AT461" s="77">
        <f t="shared" ref="AT461" si="1175">1-(1-AS461)^(1/12)</f>
        <v>0</v>
      </c>
      <c r="AU461" s="77">
        <f t="shared" si="1157"/>
        <v>2.5000000000000001E-3</v>
      </c>
      <c r="AV461" s="77">
        <f t="shared" ref="AV461" si="1176">1-(1-AU461)^(1/12)</f>
        <v>2.0857243058891584E-4</v>
      </c>
      <c r="AX461" t="s">
        <v>178</v>
      </c>
      <c r="AY461" t="s">
        <v>160</v>
      </c>
      <c r="AZ461" s="197" t="str">
        <f t="shared" si="1046"/>
        <v>DIS_Non-Standard_84</v>
      </c>
      <c r="BA461">
        <v>84</v>
      </c>
      <c r="BB461">
        <f>VLOOKUP($BA461,'[2]NonStandard DIS'!$Q$1:$X$542,2,FALSE)</f>
        <v>0</v>
      </c>
      <c r="BC461">
        <f>VLOOKUP($BA461,'[2]NonStandard DIS'!$Q$1:$X$542,3,FALSE)</f>
        <v>0</v>
      </c>
      <c r="BD461">
        <f>VLOOKUP($BA461,'[2]NonStandard DIS'!$Q$1:$X$542,4,FALSE)</f>
        <v>0</v>
      </c>
      <c r="BE461">
        <f>VLOOKUP($BA461,'[2]NonStandard DIS'!$Q$1:$X$542,5,FALSE)</f>
        <v>0</v>
      </c>
      <c r="BF461">
        <f>VLOOKUP($BA461,'[2]NonStandard DIS'!$Q$1:$X$542,6,FALSE)</f>
        <v>0</v>
      </c>
      <c r="BG461">
        <f>VLOOKUP($BA461,'[2]NonStandard DIS'!$Q$1:$X$542,7,FALSE)</f>
        <v>0.875</v>
      </c>
      <c r="BH461">
        <f>VLOOKUP($BA461,'[2]NonStandard DIS'!$Q$1:$X$542,8,FALSE)</f>
        <v>0.125</v>
      </c>
      <c r="BI461" s="77">
        <f t="shared" si="1146"/>
        <v>1</v>
      </c>
      <c r="BJ461" s="77">
        <f t="shared" si="1147"/>
        <v>5.6512499999999993E-2</v>
      </c>
      <c r="BK461" s="77">
        <f t="shared" si="1128"/>
        <v>4.591625146612266E-3</v>
      </c>
      <c r="BL461" s="79">
        <v>1</v>
      </c>
      <c r="BM461" s="77">
        <f t="shared" si="1159"/>
        <v>7.3749999999999996E-3</v>
      </c>
      <c r="BN461" s="77">
        <f t="shared" si="1160"/>
        <v>6.1251564969033723E-4</v>
      </c>
      <c r="BO461" s="77">
        <f t="shared" si="1161"/>
        <v>2.5000000000000001E-3</v>
      </c>
      <c r="BP461" s="77">
        <f t="shared" si="1162"/>
        <v>2.0809499864316017E-4</v>
      </c>
    </row>
    <row r="462" spans="1:68">
      <c r="A462" t="s">
        <v>175</v>
      </c>
      <c r="B462" t="s">
        <v>176</v>
      </c>
      <c r="C462" s="197" t="str">
        <f t="shared" si="1040"/>
        <v>Lifecycle_Balanced_83</v>
      </c>
      <c r="D462">
        <v>83</v>
      </c>
      <c r="E462">
        <f>VLOOKUP($D462,'[2]LC Balanced'!$Q$2:$U$542,2,FALSE)</f>
        <v>0.45466666666666666</v>
      </c>
      <c r="F462">
        <f>VLOOKUP($D462,'[2]LC Balanced'!$Q$2:$U$542,3,FALSE)</f>
        <v>0.20666666666666667</v>
      </c>
      <c r="G462">
        <f>VLOOKUP($D462,'[2]LC Balanced'!$Q$2:$U$542,4,FALSE)</f>
        <v>0.33866666666666667</v>
      </c>
      <c r="H462">
        <f>VLOOKUP($D462,'[2]LC Balanced'!$Q$2:$U$542,5,FALSE)</f>
        <v>0</v>
      </c>
      <c r="I462" s="77">
        <f t="shared" si="1141"/>
        <v>1</v>
      </c>
      <c r="J462" s="77">
        <f t="shared" si="1142"/>
        <v>5.0907499999999994E-2</v>
      </c>
      <c r="K462" s="77">
        <f t="shared" si="1132"/>
        <v>4.1464123957974941E-3</v>
      </c>
      <c r="L462" s="76">
        <v>0</v>
      </c>
      <c r="M462" s="77">
        <f t="shared" si="1148"/>
        <v>0</v>
      </c>
      <c r="N462" s="77">
        <f t="shared" si="1149"/>
        <v>0</v>
      </c>
      <c r="O462" s="77">
        <f t="shared" si="1150"/>
        <v>4.7489333333333335E-3</v>
      </c>
      <c r="P462" s="77">
        <f t="shared" si="1151"/>
        <v>3.9660844213451618E-4</v>
      </c>
      <c r="R462" t="s">
        <v>177</v>
      </c>
      <c r="S462" t="s">
        <v>176</v>
      </c>
      <c r="T462" s="197" t="str">
        <f t="shared" si="1083"/>
        <v>Autopilot_Balanced_83</v>
      </c>
      <c r="U462">
        <v>83</v>
      </c>
      <c r="V462">
        <f>VLOOKUP($U462,'[2]AP Balanced'!$Q$1:$T$542,2,FALSE)</f>
        <v>5.0129333333333763E-3</v>
      </c>
      <c r="W462">
        <f>VLOOKUP($U462,'[2]AP Balanced'!$Q$1:$T$542,3,FALSE)</f>
        <v>0.99498706666666659</v>
      </c>
      <c r="X462">
        <f>VLOOKUP($U462,'[2]AP Balanced'!$Q$1:$T$542,4,FALSE)</f>
        <v>0</v>
      </c>
      <c r="Y462" s="77">
        <f t="shared" si="1041"/>
        <v>1</v>
      </c>
      <c r="Z462" s="77">
        <f t="shared" si="1030"/>
        <v>5.1416546689999995E-2</v>
      </c>
      <c r="AA462" s="77">
        <f t="shared" si="1031"/>
        <v>4.186936415912168E-3</v>
      </c>
      <c r="AB462" s="79">
        <v>1</v>
      </c>
      <c r="AC462" s="77">
        <f t="shared" si="1152"/>
        <v>6.5100258666666664E-3</v>
      </c>
      <c r="AD462" s="77">
        <f t="shared" si="1143"/>
        <v>5.4412761737432369E-4</v>
      </c>
      <c r="AE462" s="77">
        <f t="shared" si="1153"/>
        <v>2.5000000000000001E-3</v>
      </c>
      <c r="AF462" s="77">
        <f t="shared" si="1143"/>
        <v>2.0857243058891584E-4</v>
      </c>
      <c r="AH462" t="s">
        <v>175</v>
      </c>
      <c r="AI462" t="s">
        <v>176</v>
      </c>
      <c r="AJ462" s="197" t="str">
        <f t="shared" si="1042"/>
        <v>Lifecycle_Balanced_83</v>
      </c>
      <c r="AK462">
        <v>83</v>
      </c>
      <c r="AL462">
        <f>VLOOKUP($U462,[2]Standard_Balanced!$Q$1:$T$542,2,FALSE)</f>
        <v>4.5951888888889287E-3</v>
      </c>
      <c r="AM462">
        <f>VLOOKUP($U462,[2]Standard_Balanced!$Q$1:$T$542,3,FALSE)</f>
        <v>0.99193537777777774</v>
      </c>
      <c r="AN462">
        <f>VLOOKUP($U462,[2]Standard_Balanced!$Q$1:$T$542,4,FALSE)</f>
        <v>3.4694333333333363E-3</v>
      </c>
      <c r="AO462" s="77">
        <f t="shared" si="1129"/>
        <v>1</v>
      </c>
      <c r="AP462" s="77">
        <f t="shared" si="1154"/>
        <v>5.1380296647499997E-2</v>
      </c>
      <c r="AQ462" s="77">
        <f t="shared" si="1043"/>
        <v>4.1840512293769283E-3</v>
      </c>
      <c r="AR462" s="79">
        <v>0</v>
      </c>
      <c r="AS462" s="77">
        <f t="shared" si="1155"/>
        <v>0</v>
      </c>
      <c r="AT462" s="77">
        <f t="shared" ref="AT462" si="1177">1-(1-AS462)^(1/12)</f>
        <v>0</v>
      </c>
      <c r="AU462" s="77">
        <f t="shared" si="1157"/>
        <v>2.4996530566666663E-3</v>
      </c>
      <c r="AV462" s="77">
        <f t="shared" ref="AV462" si="1178">1-(1-AU462)^(1/12)</f>
        <v>2.0854345223342285E-4</v>
      </c>
      <c r="AX462" t="s">
        <v>178</v>
      </c>
      <c r="AY462" t="s">
        <v>160</v>
      </c>
      <c r="AZ462" s="197" t="str">
        <f t="shared" si="1046"/>
        <v>DIS_Non-Standard_83</v>
      </c>
      <c r="BA462">
        <v>83</v>
      </c>
      <c r="BB462">
        <f>VLOOKUP($BA462,'[2]NonStandard DIS'!$Q$1:$X$542,2,FALSE)</f>
        <v>0</v>
      </c>
      <c r="BC462">
        <f>VLOOKUP($BA462,'[2]NonStandard DIS'!$Q$1:$X$542,3,FALSE)</f>
        <v>0</v>
      </c>
      <c r="BD462">
        <f>VLOOKUP($BA462,'[2]NonStandard DIS'!$Q$1:$X$542,4,FALSE)</f>
        <v>0</v>
      </c>
      <c r="BE462">
        <f>VLOOKUP($BA462,'[2]NonStandard DIS'!$Q$1:$X$542,5,FALSE)</f>
        <v>0</v>
      </c>
      <c r="BF462">
        <f>VLOOKUP($BA462,'[2]NonStandard DIS'!$Q$1:$X$542,6,FALSE)</f>
        <v>0</v>
      </c>
      <c r="BG462">
        <f>VLOOKUP($BA462,'[2]NonStandard DIS'!$Q$1:$X$542,7,FALSE)</f>
        <v>0.875</v>
      </c>
      <c r="BH462">
        <f>VLOOKUP($BA462,'[2]NonStandard DIS'!$Q$1:$X$542,8,FALSE)</f>
        <v>0.125</v>
      </c>
      <c r="BI462" s="77">
        <f t="shared" si="1146"/>
        <v>1</v>
      </c>
      <c r="BJ462" s="77">
        <f t="shared" si="1147"/>
        <v>5.6512499999999993E-2</v>
      </c>
      <c r="BK462" s="77">
        <f t="shared" si="1128"/>
        <v>4.591625146612266E-3</v>
      </c>
      <c r="BL462" s="79">
        <v>1</v>
      </c>
      <c r="BM462" s="77">
        <f t="shared" si="1159"/>
        <v>7.3749999999999996E-3</v>
      </c>
      <c r="BN462" s="77">
        <f t="shared" si="1160"/>
        <v>6.1251564969033723E-4</v>
      </c>
      <c r="BO462" s="77">
        <f t="shared" si="1161"/>
        <v>2.5000000000000001E-3</v>
      </c>
      <c r="BP462" s="77">
        <f t="shared" si="1162"/>
        <v>2.0809499864316017E-4</v>
      </c>
    </row>
    <row r="463" spans="1:68">
      <c r="A463" t="s">
        <v>175</v>
      </c>
      <c r="B463" t="s">
        <v>176</v>
      </c>
      <c r="C463" s="197" t="str">
        <f t="shared" si="1040"/>
        <v>Lifecycle_Balanced_82</v>
      </c>
      <c r="D463">
        <v>82</v>
      </c>
      <c r="E463">
        <f>VLOOKUP($D463,'[2]LC Balanced'!$Q$2:$U$542,2,FALSE)</f>
        <v>0.45733333333333337</v>
      </c>
      <c r="F463">
        <f>VLOOKUP($D463,'[2]LC Balanced'!$Q$2:$U$542,3,FALSE)</f>
        <v>0.20533333333333331</v>
      </c>
      <c r="G463">
        <f>VLOOKUP($D463,'[2]LC Balanced'!$Q$2:$U$542,4,FALSE)</f>
        <v>0.33733333333333337</v>
      </c>
      <c r="H463">
        <f>VLOOKUP($D463,'[2]LC Balanced'!$Q$2:$U$542,5,FALSE)</f>
        <v>0</v>
      </c>
      <c r="I463" s="77">
        <f t="shared" si="1141"/>
        <v>1</v>
      </c>
      <c r="J463" s="77">
        <f t="shared" si="1142"/>
        <v>5.0872100000000003E-2</v>
      </c>
      <c r="K463" s="77">
        <f t="shared" si="1132"/>
        <v>4.1435936152183217E-3</v>
      </c>
      <c r="L463" s="76">
        <v>0</v>
      </c>
      <c r="M463" s="77">
        <f t="shared" si="1148"/>
        <v>0</v>
      </c>
      <c r="N463" s="77">
        <f t="shared" si="1149"/>
        <v>0</v>
      </c>
      <c r="O463" s="77">
        <f t="shared" si="1150"/>
        <v>4.7378666666666666E-3</v>
      </c>
      <c r="P463" s="77">
        <f t="shared" si="1151"/>
        <v>3.9568219166985497E-4</v>
      </c>
      <c r="R463" t="s">
        <v>177</v>
      </c>
      <c r="S463" t="s">
        <v>176</v>
      </c>
      <c r="T463" s="197" t="str">
        <f t="shared" si="1083"/>
        <v>Autopilot_Balanced_82</v>
      </c>
      <c r="U463">
        <v>82</v>
      </c>
      <c r="V463">
        <f>VLOOKUP($U463,'[2]AP Balanced'!$Q$1:$T$542,2,FALSE)</f>
        <v>5.0129333333333763E-3</v>
      </c>
      <c r="W463">
        <f>VLOOKUP($U463,'[2]AP Balanced'!$Q$1:$T$542,3,FALSE)</f>
        <v>0.99498706666666659</v>
      </c>
      <c r="X463">
        <f>VLOOKUP($U463,'[2]AP Balanced'!$Q$1:$T$542,4,FALSE)</f>
        <v>0</v>
      </c>
      <c r="Y463" s="77">
        <f t="shared" si="1041"/>
        <v>1</v>
      </c>
      <c r="Z463" s="77">
        <f t="shared" si="1030"/>
        <v>5.1416546689999995E-2</v>
      </c>
      <c r="AA463" s="77">
        <f t="shared" si="1031"/>
        <v>4.186936415912168E-3</v>
      </c>
      <c r="AB463" s="79">
        <v>1</v>
      </c>
      <c r="AC463" s="77">
        <f t="shared" si="1152"/>
        <v>6.5100258666666664E-3</v>
      </c>
      <c r="AD463" s="77">
        <f t="shared" si="1143"/>
        <v>5.4412761737432369E-4</v>
      </c>
      <c r="AE463" s="77">
        <f t="shared" si="1153"/>
        <v>2.5000000000000001E-3</v>
      </c>
      <c r="AF463" s="77">
        <f t="shared" si="1143"/>
        <v>2.0857243058891584E-4</v>
      </c>
      <c r="AH463" t="s">
        <v>175</v>
      </c>
      <c r="AI463" t="s">
        <v>176</v>
      </c>
      <c r="AJ463" s="197" t="str">
        <f t="shared" si="1042"/>
        <v>Lifecycle_Balanced_82</v>
      </c>
      <c r="AK463">
        <v>82</v>
      </c>
      <c r="AL463">
        <f>VLOOKUP($U463,[2]Standard_Balanced!$Q$1:$T$542,2,FALSE)</f>
        <v>4.1774444444444801E-3</v>
      </c>
      <c r="AM463">
        <f>VLOOKUP($U463,[2]Standard_Balanced!$Q$1:$T$542,3,FALSE)</f>
        <v>0.98888368888888878</v>
      </c>
      <c r="AN463">
        <f>VLOOKUP($U463,[2]Standard_Balanced!$Q$1:$T$542,4,FALSE)</f>
        <v>6.9388666666666725E-3</v>
      </c>
      <c r="AO463" s="77">
        <f t="shared" si="1129"/>
        <v>0.99999999999999989</v>
      </c>
      <c r="AP463" s="77">
        <f t="shared" si="1154"/>
        <v>5.1344046604999992E-2</v>
      </c>
      <c r="AQ463" s="77">
        <f t="shared" si="1043"/>
        <v>4.1811659516530764E-3</v>
      </c>
      <c r="AR463" s="79">
        <v>0</v>
      </c>
      <c r="AS463" s="77">
        <f t="shared" si="1155"/>
        <v>0</v>
      </c>
      <c r="AT463" s="77">
        <f t="shared" ref="AT463" si="1179">1-(1-AS463)^(1/12)</f>
        <v>0</v>
      </c>
      <c r="AU463" s="77">
        <f t="shared" si="1157"/>
        <v>2.4993061133333329E-3</v>
      </c>
      <c r="AV463" s="77">
        <f t="shared" ref="AV463" si="1180">1-(1-AU463)^(1/12)</f>
        <v>2.0851447388714472E-4</v>
      </c>
      <c r="AX463" t="s">
        <v>178</v>
      </c>
      <c r="AY463" t="s">
        <v>160</v>
      </c>
      <c r="AZ463" s="197" t="str">
        <f t="shared" si="1046"/>
        <v>DIS_Non-Standard_82</v>
      </c>
      <c r="BA463">
        <v>82</v>
      </c>
      <c r="BB463">
        <f>VLOOKUP($BA463,'[2]NonStandard DIS'!$Q$1:$X$542,2,FALSE)</f>
        <v>0</v>
      </c>
      <c r="BC463">
        <f>VLOOKUP($BA463,'[2]NonStandard DIS'!$Q$1:$X$542,3,FALSE)</f>
        <v>0</v>
      </c>
      <c r="BD463">
        <f>VLOOKUP($BA463,'[2]NonStandard DIS'!$Q$1:$X$542,4,FALSE)</f>
        <v>0</v>
      </c>
      <c r="BE463">
        <f>VLOOKUP($BA463,'[2]NonStandard DIS'!$Q$1:$X$542,5,FALSE)</f>
        <v>0</v>
      </c>
      <c r="BF463">
        <f>VLOOKUP($BA463,'[2]NonStandard DIS'!$Q$1:$X$542,6,FALSE)</f>
        <v>0</v>
      </c>
      <c r="BG463">
        <f>VLOOKUP($BA463,'[2]NonStandard DIS'!$Q$1:$X$542,7,FALSE)</f>
        <v>0.875</v>
      </c>
      <c r="BH463">
        <f>VLOOKUP($BA463,'[2]NonStandard DIS'!$Q$1:$X$542,8,FALSE)</f>
        <v>0.125</v>
      </c>
      <c r="BI463" s="77">
        <f t="shared" si="1146"/>
        <v>1</v>
      </c>
      <c r="BJ463" s="77">
        <f t="shared" si="1147"/>
        <v>5.6512499999999993E-2</v>
      </c>
      <c r="BK463" s="77">
        <f t="shared" si="1128"/>
        <v>4.591625146612266E-3</v>
      </c>
      <c r="BL463" s="79">
        <v>1</v>
      </c>
      <c r="BM463" s="77">
        <f t="shared" si="1159"/>
        <v>7.3749999999999996E-3</v>
      </c>
      <c r="BN463" s="77">
        <f t="shared" si="1160"/>
        <v>6.1251564969033723E-4</v>
      </c>
      <c r="BO463" s="77">
        <f t="shared" si="1161"/>
        <v>2.5000000000000001E-3</v>
      </c>
      <c r="BP463" s="77">
        <f t="shared" si="1162"/>
        <v>2.0809499864316017E-4</v>
      </c>
    </row>
    <row r="464" spans="1:68">
      <c r="A464" t="s">
        <v>175</v>
      </c>
      <c r="B464" t="s">
        <v>176</v>
      </c>
      <c r="C464" s="197" t="str">
        <f t="shared" si="1040"/>
        <v>Lifecycle_Balanced_81</v>
      </c>
      <c r="D464">
        <v>81</v>
      </c>
      <c r="E464">
        <f>VLOOKUP($D464,'[2]LC Balanced'!$Q$2:$U$542,2,FALSE)</f>
        <v>0.46</v>
      </c>
      <c r="F464">
        <f>VLOOKUP($D464,'[2]LC Balanced'!$Q$2:$U$542,3,FALSE)</f>
        <v>0.20399999999999999</v>
      </c>
      <c r="G464">
        <f>VLOOKUP($D464,'[2]LC Balanced'!$Q$2:$U$542,4,FALSE)</f>
        <v>0.33600000000000002</v>
      </c>
      <c r="H464">
        <f>VLOOKUP($D464,'[2]LC Balanced'!$Q$2:$U$542,5,FALSE)</f>
        <v>0</v>
      </c>
      <c r="I464" s="77">
        <f t="shared" si="1141"/>
        <v>1</v>
      </c>
      <c r="J464" s="77">
        <f t="shared" si="1142"/>
        <v>5.0836699999999999E-2</v>
      </c>
      <c r="K464" s="77">
        <f t="shared" si="1132"/>
        <v>4.1407747475961099E-3</v>
      </c>
      <c r="L464" s="76">
        <v>0</v>
      </c>
      <c r="M464" s="77">
        <f t="shared" si="1148"/>
        <v>0</v>
      </c>
      <c r="N464" s="77">
        <f t="shared" si="1149"/>
        <v>0</v>
      </c>
      <c r="O464" s="77">
        <f t="shared" si="1150"/>
        <v>4.7267999999999998E-3</v>
      </c>
      <c r="P464" s="77">
        <f t="shared" si="1151"/>
        <v>3.9475595064619728E-4</v>
      </c>
      <c r="R464" t="s">
        <v>177</v>
      </c>
      <c r="S464" t="s">
        <v>176</v>
      </c>
      <c r="T464" s="197" t="str">
        <f t="shared" si="1083"/>
        <v>Autopilot_Balanced_81</v>
      </c>
      <c r="U464">
        <v>81</v>
      </c>
      <c r="V464">
        <f>VLOOKUP($U464,'[2]AP Balanced'!$Q$1:$T$542,2,FALSE)</f>
        <v>5.0129333333333763E-3</v>
      </c>
      <c r="W464">
        <f>VLOOKUP($U464,'[2]AP Balanced'!$Q$1:$T$542,3,FALSE)</f>
        <v>0.99498706666666659</v>
      </c>
      <c r="X464">
        <f>VLOOKUP($U464,'[2]AP Balanced'!$Q$1:$T$542,4,FALSE)</f>
        <v>0</v>
      </c>
      <c r="Y464" s="77">
        <f t="shared" si="1041"/>
        <v>1</v>
      </c>
      <c r="Z464" s="77">
        <f t="shared" si="1030"/>
        <v>5.1416546689999995E-2</v>
      </c>
      <c r="AA464" s="77">
        <f t="shared" si="1031"/>
        <v>4.186936415912168E-3</v>
      </c>
      <c r="AB464" s="79">
        <v>1</v>
      </c>
      <c r="AC464" s="77">
        <f t="shared" si="1152"/>
        <v>6.5100258666666664E-3</v>
      </c>
      <c r="AD464" s="77">
        <f t="shared" si="1143"/>
        <v>5.4412761737432369E-4</v>
      </c>
      <c r="AE464" s="77">
        <f t="shared" si="1153"/>
        <v>2.5000000000000001E-3</v>
      </c>
      <c r="AF464" s="77">
        <f t="shared" si="1143"/>
        <v>2.0857243058891584E-4</v>
      </c>
      <c r="AH464" t="s">
        <v>175</v>
      </c>
      <c r="AI464" t="s">
        <v>176</v>
      </c>
      <c r="AJ464" s="197" t="str">
        <f t="shared" si="1042"/>
        <v>Lifecycle_Balanced_81</v>
      </c>
      <c r="AK464">
        <v>81</v>
      </c>
      <c r="AL464">
        <f>VLOOKUP($U464,[2]Standard_Balanced!$Q$1:$T$542,2,FALSE)</f>
        <v>3.7597000000000325E-3</v>
      </c>
      <c r="AM464">
        <f>VLOOKUP($U464,[2]Standard_Balanced!$Q$1:$T$542,3,FALSE)</f>
        <v>0.98583199999999993</v>
      </c>
      <c r="AN464">
        <f>VLOOKUP($U464,[2]Standard_Balanced!$Q$1:$T$542,4,FALSE)</f>
        <v>1.0408300000000009E-2</v>
      </c>
      <c r="AO464" s="77">
        <f t="shared" si="1129"/>
        <v>1</v>
      </c>
      <c r="AP464" s="77">
        <f t="shared" si="1154"/>
        <v>5.1307796562499994E-2</v>
      </c>
      <c r="AQ464" s="77">
        <f t="shared" si="1043"/>
        <v>4.178280582734395E-3</v>
      </c>
      <c r="AR464" s="79">
        <v>0</v>
      </c>
      <c r="AS464" s="77">
        <f t="shared" si="1155"/>
        <v>0</v>
      </c>
      <c r="AT464" s="77">
        <f t="shared" ref="AT464" si="1181">1-(1-AS464)^(1/12)</f>
        <v>0</v>
      </c>
      <c r="AU464" s="77">
        <f t="shared" si="1157"/>
        <v>2.49895917E-3</v>
      </c>
      <c r="AV464" s="77">
        <f t="shared" ref="AV464" si="1182">1-(1-AU464)^(1/12)</f>
        <v>2.0848549555008145E-4</v>
      </c>
      <c r="AX464" t="s">
        <v>178</v>
      </c>
      <c r="AY464" t="s">
        <v>160</v>
      </c>
      <c r="AZ464" s="197" t="str">
        <f t="shared" si="1046"/>
        <v>DIS_Non-Standard_81</v>
      </c>
      <c r="BA464">
        <v>81</v>
      </c>
      <c r="BB464">
        <f>VLOOKUP($BA464,'[2]NonStandard DIS'!$Q$1:$X$542,2,FALSE)</f>
        <v>0</v>
      </c>
      <c r="BC464">
        <f>VLOOKUP($BA464,'[2]NonStandard DIS'!$Q$1:$X$542,3,FALSE)</f>
        <v>0</v>
      </c>
      <c r="BD464">
        <f>VLOOKUP($BA464,'[2]NonStandard DIS'!$Q$1:$X$542,4,FALSE)</f>
        <v>0</v>
      </c>
      <c r="BE464">
        <f>VLOOKUP($BA464,'[2]NonStandard DIS'!$Q$1:$X$542,5,FALSE)</f>
        <v>0</v>
      </c>
      <c r="BF464">
        <f>VLOOKUP($BA464,'[2]NonStandard DIS'!$Q$1:$X$542,6,FALSE)</f>
        <v>0</v>
      </c>
      <c r="BG464">
        <f>VLOOKUP($BA464,'[2]NonStandard DIS'!$Q$1:$X$542,7,FALSE)</f>
        <v>0.875</v>
      </c>
      <c r="BH464">
        <f>VLOOKUP($BA464,'[2]NonStandard DIS'!$Q$1:$X$542,8,FALSE)</f>
        <v>0.125</v>
      </c>
      <c r="BI464" s="77">
        <f t="shared" si="1146"/>
        <v>1</v>
      </c>
      <c r="BJ464" s="77">
        <f t="shared" si="1147"/>
        <v>5.6512499999999993E-2</v>
      </c>
      <c r="BK464" s="77">
        <f t="shared" si="1128"/>
        <v>4.591625146612266E-3</v>
      </c>
      <c r="BL464" s="79">
        <v>1</v>
      </c>
      <c r="BM464" s="77">
        <f t="shared" si="1159"/>
        <v>7.3749999999999996E-3</v>
      </c>
      <c r="BN464" s="77">
        <f t="shared" si="1160"/>
        <v>6.1251564969033723E-4</v>
      </c>
      <c r="BO464" s="77">
        <f t="shared" si="1161"/>
        <v>2.5000000000000001E-3</v>
      </c>
      <c r="BP464" s="77">
        <f t="shared" si="1162"/>
        <v>2.0809499864316017E-4</v>
      </c>
    </row>
    <row r="465" spans="1:68">
      <c r="A465" t="s">
        <v>175</v>
      </c>
      <c r="B465" t="s">
        <v>176</v>
      </c>
      <c r="C465" s="197" t="str">
        <f t="shared" si="1040"/>
        <v>Lifecycle_Balanced_80</v>
      </c>
      <c r="D465">
        <v>80</v>
      </c>
      <c r="E465">
        <f>VLOOKUP($D465,'[2]LC Balanced'!$Q$2:$U$542,2,FALSE)</f>
        <v>0.46266666666666667</v>
      </c>
      <c r="F465">
        <f>VLOOKUP($D465,'[2]LC Balanced'!$Q$2:$U$542,3,FALSE)</f>
        <v>0.20266666666666666</v>
      </c>
      <c r="G465">
        <f>VLOOKUP($D465,'[2]LC Balanced'!$Q$2:$U$542,4,FALSE)</f>
        <v>0.33466666666666667</v>
      </c>
      <c r="H465">
        <f>VLOOKUP($D465,'[2]LC Balanced'!$Q$2:$U$542,5,FALSE)</f>
        <v>0</v>
      </c>
      <c r="I465" s="77">
        <f t="shared" si="1141"/>
        <v>1</v>
      </c>
      <c r="J465" s="77">
        <f t="shared" si="1142"/>
        <v>5.0801299999999994E-2</v>
      </c>
      <c r="K465" s="77">
        <f t="shared" si="1132"/>
        <v>4.1379557929257516E-3</v>
      </c>
      <c r="L465" s="76">
        <v>0</v>
      </c>
      <c r="M465" s="77">
        <f t="shared" si="1148"/>
        <v>0</v>
      </c>
      <c r="N465" s="77">
        <f t="shared" si="1149"/>
        <v>0</v>
      </c>
      <c r="O465" s="77">
        <f t="shared" si="1150"/>
        <v>4.7157333333333329E-3</v>
      </c>
      <c r="P465" s="77">
        <f t="shared" si="1151"/>
        <v>3.9382971906321007E-4</v>
      </c>
      <c r="R465" t="s">
        <v>177</v>
      </c>
      <c r="S465" t="s">
        <v>176</v>
      </c>
      <c r="T465" s="197" t="str">
        <f t="shared" si="1083"/>
        <v>Autopilot_Balanced_80</v>
      </c>
      <c r="U465">
        <v>80</v>
      </c>
      <c r="V465">
        <f>VLOOKUP($U465,'[2]AP Balanced'!$Q$1:$T$542,2,FALSE)</f>
        <v>5.0129333333333763E-3</v>
      </c>
      <c r="W465">
        <f>VLOOKUP($U465,'[2]AP Balanced'!$Q$1:$T$542,3,FALSE)</f>
        <v>0.99498706666666659</v>
      </c>
      <c r="X465">
        <f>VLOOKUP($U465,'[2]AP Balanced'!$Q$1:$T$542,4,FALSE)</f>
        <v>0</v>
      </c>
      <c r="Y465" s="77">
        <f t="shared" si="1041"/>
        <v>1</v>
      </c>
      <c r="Z465" s="77">
        <f t="shared" si="1030"/>
        <v>5.1416546689999995E-2</v>
      </c>
      <c r="AA465" s="77">
        <f t="shared" si="1031"/>
        <v>4.186936415912168E-3</v>
      </c>
      <c r="AB465" s="79">
        <v>1</v>
      </c>
      <c r="AC465" s="77">
        <f t="shared" si="1152"/>
        <v>6.5100258666666664E-3</v>
      </c>
      <c r="AD465" s="77">
        <f t="shared" si="1143"/>
        <v>5.4412761737432369E-4</v>
      </c>
      <c r="AE465" s="77">
        <f t="shared" si="1153"/>
        <v>2.5000000000000001E-3</v>
      </c>
      <c r="AF465" s="77">
        <f t="shared" si="1143"/>
        <v>2.0857243058891584E-4</v>
      </c>
      <c r="AH465" t="s">
        <v>175</v>
      </c>
      <c r="AI465" t="s">
        <v>176</v>
      </c>
      <c r="AJ465" s="197" t="str">
        <f t="shared" si="1042"/>
        <v>Lifecycle_Balanced_80</v>
      </c>
      <c r="AK465">
        <v>80</v>
      </c>
      <c r="AL465">
        <f>VLOOKUP($U465,[2]Standard_Balanced!$Q$1:$T$542,2,FALSE)</f>
        <v>3.3419555555555844E-3</v>
      </c>
      <c r="AM465">
        <f>VLOOKUP($U465,[2]Standard_Balanced!$Q$1:$T$542,3,FALSE)</f>
        <v>0.98278031111111108</v>
      </c>
      <c r="AN465">
        <f>VLOOKUP($U465,[2]Standard_Balanced!$Q$1:$T$542,4,FALSE)</f>
        <v>1.3877733333333345E-2</v>
      </c>
      <c r="AO465" s="77">
        <f t="shared" si="1129"/>
        <v>1</v>
      </c>
      <c r="AP465" s="77">
        <f t="shared" si="1154"/>
        <v>5.1271546519999996E-2</v>
      </c>
      <c r="AQ465" s="77">
        <f t="shared" si="1043"/>
        <v>4.1753951226151109E-3</v>
      </c>
      <c r="AR465" s="79">
        <v>0</v>
      </c>
      <c r="AS465" s="77">
        <f t="shared" si="1155"/>
        <v>0</v>
      </c>
      <c r="AT465" s="77">
        <f t="shared" ref="AT465" si="1183">1-(1-AS465)^(1/12)</f>
        <v>0</v>
      </c>
      <c r="AU465" s="77">
        <f t="shared" si="1157"/>
        <v>2.4986122266666671E-3</v>
      </c>
      <c r="AV465" s="77">
        <f t="shared" ref="AV465" si="1184">1-(1-AU465)^(1/12)</f>
        <v>2.0845651722234404E-4</v>
      </c>
      <c r="AX465" t="s">
        <v>178</v>
      </c>
      <c r="AY465" t="s">
        <v>160</v>
      </c>
      <c r="AZ465" s="197" t="str">
        <f t="shared" si="1046"/>
        <v>DIS_Non-Standard_80</v>
      </c>
      <c r="BA465">
        <v>80</v>
      </c>
      <c r="BB465">
        <f>VLOOKUP($BA465,'[2]NonStandard DIS'!$Q$1:$X$542,2,FALSE)</f>
        <v>0</v>
      </c>
      <c r="BC465">
        <f>VLOOKUP($BA465,'[2]NonStandard DIS'!$Q$1:$X$542,3,FALSE)</f>
        <v>0</v>
      </c>
      <c r="BD465">
        <f>VLOOKUP($BA465,'[2]NonStandard DIS'!$Q$1:$X$542,4,FALSE)</f>
        <v>0</v>
      </c>
      <c r="BE465">
        <f>VLOOKUP($BA465,'[2]NonStandard DIS'!$Q$1:$X$542,5,FALSE)</f>
        <v>0</v>
      </c>
      <c r="BF465">
        <f>VLOOKUP($BA465,'[2]NonStandard DIS'!$Q$1:$X$542,6,FALSE)</f>
        <v>0</v>
      </c>
      <c r="BG465">
        <f>VLOOKUP($BA465,'[2]NonStandard DIS'!$Q$1:$X$542,7,FALSE)</f>
        <v>0.875</v>
      </c>
      <c r="BH465">
        <f>VLOOKUP($BA465,'[2]NonStandard DIS'!$Q$1:$X$542,8,FALSE)</f>
        <v>0.125</v>
      </c>
      <c r="BI465" s="77">
        <f t="shared" si="1146"/>
        <v>1</v>
      </c>
      <c r="BJ465" s="77">
        <f t="shared" si="1147"/>
        <v>5.6512499999999993E-2</v>
      </c>
      <c r="BK465" s="77">
        <f t="shared" si="1128"/>
        <v>4.591625146612266E-3</v>
      </c>
      <c r="BL465" s="79">
        <v>1</v>
      </c>
      <c r="BM465" s="77">
        <f t="shared" si="1159"/>
        <v>7.3749999999999996E-3</v>
      </c>
      <c r="BN465" s="77">
        <f t="shared" si="1160"/>
        <v>6.1251564969033723E-4</v>
      </c>
      <c r="BO465" s="77">
        <f t="shared" si="1161"/>
        <v>2.5000000000000001E-3</v>
      </c>
      <c r="BP465" s="77">
        <f t="shared" si="1162"/>
        <v>2.0809499864316017E-4</v>
      </c>
    </row>
    <row r="466" spans="1:68">
      <c r="A466" t="s">
        <v>175</v>
      </c>
      <c r="B466" t="s">
        <v>176</v>
      </c>
      <c r="C466" s="197" t="str">
        <f t="shared" si="1040"/>
        <v>Lifecycle_Balanced_79</v>
      </c>
      <c r="D466">
        <v>79</v>
      </c>
      <c r="E466">
        <f>VLOOKUP($D466,'[2]LC Balanced'!$Q$2:$U$542,2,FALSE)</f>
        <v>0.46533333333333332</v>
      </c>
      <c r="F466">
        <f>VLOOKUP($D466,'[2]LC Balanced'!$Q$2:$U$542,3,FALSE)</f>
        <v>0.20133333333333334</v>
      </c>
      <c r="G466">
        <f>VLOOKUP($D466,'[2]LC Balanced'!$Q$2:$U$542,4,FALSE)</f>
        <v>0.33333333333333337</v>
      </c>
      <c r="H466">
        <f>VLOOKUP($D466,'[2]LC Balanced'!$Q$2:$U$542,5,FALSE)</f>
        <v>0</v>
      </c>
      <c r="I466" s="77">
        <f t="shared" si="1141"/>
        <v>1</v>
      </c>
      <c r="J466" s="77">
        <f t="shared" si="1142"/>
        <v>5.0765900000000003E-2</v>
      </c>
      <c r="K466" s="77">
        <f t="shared" si="1132"/>
        <v>4.1351367512012516E-3</v>
      </c>
      <c r="L466" s="76">
        <v>0</v>
      </c>
      <c r="M466" s="77">
        <f t="shared" si="1148"/>
        <v>0</v>
      </c>
      <c r="N466" s="77">
        <f t="shared" si="1149"/>
        <v>0</v>
      </c>
      <c r="O466" s="77">
        <f t="shared" si="1150"/>
        <v>4.7046666666666669E-3</v>
      </c>
      <c r="P466" s="77">
        <f t="shared" si="1151"/>
        <v>3.9290349692089332E-4</v>
      </c>
      <c r="R466" t="s">
        <v>177</v>
      </c>
      <c r="S466" t="s">
        <v>176</v>
      </c>
      <c r="T466" s="197" t="str">
        <f t="shared" si="1083"/>
        <v>Autopilot_Balanced_79</v>
      </c>
      <c r="U466">
        <v>79</v>
      </c>
      <c r="V466">
        <f>VLOOKUP($U466,'[2]AP Balanced'!$Q$1:$T$542,2,FALSE)</f>
        <v>5.0129333333333763E-3</v>
      </c>
      <c r="W466">
        <f>VLOOKUP($U466,'[2]AP Balanced'!$Q$1:$T$542,3,FALSE)</f>
        <v>0.99498706666666659</v>
      </c>
      <c r="X466">
        <f>VLOOKUP($U466,'[2]AP Balanced'!$Q$1:$T$542,4,FALSE)</f>
        <v>0</v>
      </c>
      <c r="Y466" s="77">
        <f t="shared" si="1041"/>
        <v>1</v>
      </c>
      <c r="Z466" s="77">
        <f t="shared" si="1030"/>
        <v>5.1416546689999995E-2</v>
      </c>
      <c r="AA466" s="77">
        <f t="shared" si="1031"/>
        <v>4.186936415912168E-3</v>
      </c>
      <c r="AB466" s="79">
        <v>1</v>
      </c>
      <c r="AC466" s="77">
        <f t="shared" si="1152"/>
        <v>6.5100258666666664E-3</v>
      </c>
      <c r="AD466" s="77">
        <f t="shared" si="1143"/>
        <v>5.4412761737432369E-4</v>
      </c>
      <c r="AE466" s="77">
        <f t="shared" si="1153"/>
        <v>2.5000000000000001E-3</v>
      </c>
      <c r="AF466" s="77">
        <f t="shared" si="1143"/>
        <v>2.0857243058891584E-4</v>
      </c>
      <c r="AH466" t="s">
        <v>175</v>
      </c>
      <c r="AI466" t="s">
        <v>176</v>
      </c>
      <c r="AJ466" s="197" t="str">
        <f t="shared" si="1042"/>
        <v>Lifecycle_Balanced_79</v>
      </c>
      <c r="AK466">
        <v>79</v>
      </c>
      <c r="AL466">
        <f>VLOOKUP($U466,[2]Standard_Balanced!$Q$1:$T$542,2,FALSE)</f>
        <v>2.9242111111111363E-3</v>
      </c>
      <c r="AM466">
        <f>VLOOKUP($U466,[2]Standard_Balanced!$Q$1:$T$542,3,FALSE)</f>
        <v>0.97972862222222212</v>
      </c>
      <c r="AN466">
        <f>VLOOKUP($U466,[2]Standard_Balanced!$Q$1:$T$542,4,FALSE)</f>
        <v>1.7347166666666681E-2</v>
      </c>
      <c r="AO466" s="77">
        <f t="shared" si="1129"/>
        <v>1</v>
      </c>
      <c r="AP466" s="77">
        <f t="shared" si="1154"/>
        <v>5.1235296477499991E-2</v>
      </c>
      <c r="AQ466" s="77">
        <f t="shared" si="1043"/>
        <v>4.172509571289007E-3</v>
      </c>
      <c r="AR466" s="79">
        <v>0</v>
      </c>
      <c r="AS466" s="77">
        <f t="shared" si="1155"/>
        <v>0</v>
      </c>
      <c r="AT466" s="77">
        <f t="shared" ref="AT466" si="1185">1-(1-AS466)^(1/12)</f>
        <v>0</v>
      </c>
      <c r="AU466" s="77">
        <f t="shared" si="1157"/>
        <v>2.4982652833333337E-3</v>
      </c>
      <c r="AV466" s="77">
        <f t="shared" ref="AV466" si="1186">1-(1-AU466)^(1/12)</f>
        <v>2.0842753890382149E-4</v>
      </c>
      <c r="AX466" t="s">
        <v>178</v>
      </c>
      <c r="AY466" t="s">
        <v>160</v>
      </c>
      <c r="AZ466" s="197" t="str">
        <f t="shared" si="1046"/>
        <v>DIS_Non-Standard_79</v>
      </c>
      <c r="BA466">
        <v>79</v>
      </c>
      <c r="BB466">
        <f>VLOOKUP($BA466,'[2]NonStandard DIS'!$Q$1:$X$542,2,FALSE)</f>
        <v>0</v>
      </c>
      <c r="BC466">
        <f>VLOOKUP($BA466,'[2]NonStandard DIS'!$Q$1:$X$542,3,FALSE)</f>
        <v>0</v>
      </c>
      <c r="BD466">
        <f>VLOOKUP($BA466,'[2]NonStandard DIS'!$Q$1:$X$542,4,FALSE)</f>
        <v>0</v>
      </c>
      <c r="BE466">
        <f>VLOOKUP($BA466,'[2]NonStandard DIS'!$Q$1:$X$542,5,FALSE)</f>
        <v>0</v>
      </c>
      <c r="BF466">
        <f>VLOOKUP($BA466,'[2]NonStandard DIS'!$Q$1:$X$542,6,FALSE)</f>
        <v>0</v>
      </c>
      <c r="BG466">
        <f>VLOOKUP($BA466,'[2]NonStandard DIS'!$Q$1:$X$542,7,FALSE)</f>
        <v>0.875</v>
      </c>
      <c r="BH466">
        <f>VLOOKUP($BA466,'[2]NonStandard DIS'!$Q$1:$X$542,8,FALSE)</f>
        <v>0.125</v>
      </c>
      <c r="BI466" s="77">
        <f t="shared" si="1146"/>
        <v>1</v>
      </c>
      <c r="BJ466" s="77">
        <f t="shared" si="1147"/>
        <v>5.6512499999999993E-2</v>
      </c>
      <c r="BK466" s="77">
        <f t="shared" si="1128"/>
        <v>4.591625146612266E-3</v>
      </c>
      <c r="BL466" s="79">
        <v>1</v>
      </c>
      <c r="BM466" s="77">
        <f t="shared" si="1159"/>
        <v>7.3749999999999996E-3</v>
      </c>
      <c r="BN466" s="77">
        <f t="shared" si="1160"/>
        <v>6.1251564969033723E-4</v>
      </c>
      <c r="BO466" s="77">
        <f t="shared" si="1161"/>
        <v>2.5000000000000001E-3</v>
      </c>
      <c r="BP466" s="77">
        <f t="shared" si="1162"/>
        <v>2.0809499864316017E-4</v>
      </c>
    </row>
    <row r="467" spans="1:68">
      <c r="A467" t="s">
        <v>175</v>
      </c>
      <c r="B467" t="s">
        <v>176</v>
      </c>
      <c r="C467" s="197" t="str">
        <f t="shared" si="1040"/>
        <v>Lifecycle_Balanced_78</v>
      </c>
      <c r="D467">
        <v>78</v>
      </c>
      <c r="E467">
        <f>VLOOKUP($D467,'[2]LC Balanced'!$Q$2:$U$542,2,FALSE)</f>
        <v>0.46799999999999997</v>
      </c>
      <c r="F467">
        <f>VLOOKUP($D467,'[2]LC Balanced'!$Q$2:$U$542,3,FALSE)</f>
        <v>0.2</v>
      </c>
      <c r="G467">
        <f>VLOOKUP($D467,'[2]LC Balanced'!$Q$2:$U$542,4,FALSE)</f>
        <v>0.33200000000000002</v>
      </c>
      <c r="H467">
        <f>VLOOKUP($D467,'[2]LC Balanced'!$Q$2:$U$542,5,FALSE)</f>
        <v>0</v>
      </c>
      <c r="I467" s="77">
        <f t="shared" si="1141"/>
        <v>1</v>
      </c>
      <c r="J467" s="77">
        <f t="shared" si="1142"/>
        <v>5.0730499999999998E-2</v>
      </c>
      <c r="K467" s="77">
        <f t="shared" si="1132"/>
        <v>4.1323176224172808E-3</v>
      </c>
      <c r="L467" s="76">
        <v>0</v>
      </c>
      <c r="M467" s="77">
        <f t="shared" si="1148"/>
        <v>0</v>
      </c>
      <c r="N467" s="77">
        <f t="shared" si="1149"/>
        <v>0</v>
      </c>
      <c r="O467" s="77">
        <f t="shared" si="1150"/>
        <v>4.6936E-3</v>
      </c>
      <c r="P467" s="77">
        <f t="shared" si="1151"/>
        <v>3.9197728421891398E-4</v>
      </c>
      <c r="R467" t="s">
        <v>177</v>
      </c>
      <c r="S467" t="s">
        <v>176</v>
      </c>
      <c r="T467" s="197" t="str">
        <f t="shared" si="1083"/>
        <v>Autopilot_Balanced_78</v>
      </c>
      <c r="U467">
        <v>78</v>
      </c>
      <c r="V467">
        <f>VLOOKUP($U467,'[2]AP Balanced'!$Q$1:$T$542,2,FALSE)</f>
        <v>5.0129333333333763E-3</v>
      </c>
      <c r="W467">
        <f>VLOOKUP($U467,'[2]AP Balanced'!$Q$1:$T$542,3,FALSE)</f>
        <v>0.99498706666666659</v>
      </c>
      <c r="X467">
        <f>VLOOKUP($U467,'[2]AP Balanced'!$Q$1:$T$542,4,FALSE)</f>
        <v>0</v>
      </c>
      <c r="Y467" s="77">
        <f t="shared" si="1041"/>
        <v>1</v>
      </c>
      <c r="Z467" s="77">
        <f t="shared" ref="Z467:Z530" si="1187">SUMPRODUCT($V$1:$X$1,V467:X467)</f>
        <v>5.1416546689999995E-2</v>
      </c>
      <c r="AA467" s="77">
        <f t="shared" ref="AA467:AA530" si="1188">(1+Z467)^(1/12)-1</f>
        <v>4.186936415912168E-3</v>
      </c>
      <c r="AB467" s="79">
        <v>1</v>
      </c>
      <c r="AC467" s="77">
        <f t="shared" si="1152"/>
        <v>6.5100258666666664E-3</v>
      </c>
      <c r="AD467" s="77">
        <f t="shared" si="1143"/>
        <v>5.4412761737432369E-4</v>
      </c>
      <c r="AE467" s="77">
        <f t="shared" si="1153"/>
        <v>2.5000000000000001E-3</v>
      </c>
      <c r="AF467" s="77">
        <f t="shared" si="1143"/>
        <v>2.0857243058891584E-4</v>
      </c>
      <c r="AH467" t="s">
        <v>175</v>
      </c>
      <c r="AI467" t="s">
        <v>176</v>
      </c>
      <c r="AJ467" s="197" t="str">
        <f t="shared" si="1042"/>
        <v>Lifecycle_Balanced_78</v>
      </c>
      <c r="AK467">
        <v>78</v>
      </c>
      <c r="AL467">
        <f>VLOOKUP($U467,[2]Standard_Balanced!$Q$1:$T$542,2,FALSE)</f>
        <v>2.5064666666666882E-3</v>
      </c>
      <c r="AM467">
        <f>VLOOKUP($U467,[2]Standard_Balanced!$Q$1:$T$542,3,FALSE)</f>
        <v>0.97667693333333327</v>
      </c>
      <c r="AN467">
        <f>VLOOKUP($U467,[2]Standard_Balanced!$Q$1:$T$542,4,FALSE)</f>
        <v>2.0816600000000018E-2</v>
      </c>
      <c r="AO467" s="77">
        <f t="shared" si="1129"/>
        <v>1</v>
      </c>
      <c r="AP467" s="77">
        <f t="shared" si="1154"/>
        <v>5.1199046434999985E-2</v>
      </c>
      <c r="AQ467" s="77">
        <f t="shared" si="1043"/>
        <v>4.169623928750088E-3</v>
      </c>
      <c r="AR467" s="79">
        <v>0</v>
      </c>
      <c r="AS467" s="77">
        <f t="shared" si="1155"/>
        <v>0</v>
      </c>
      <c r="AT467" s="77">
        <f t="shared" ref="AT467" si="1189">1-(1-AS467)^(1/12)</f>
        <v>0</v>
      </c>
      <c r="AU467" s="77">
        <f t="shared" si="1157"/>
        <v>2.49791834E-3</v>
      </c>
      <c r="AV467" s="77">
        <f t="shared" ref="AV467" si="1190">1-(1-AU467)^(1/12)</f>
        <v>2.0839856059451378E-4</v>
      </c>
      <c r="AX467" t="s">
        <v>178</v>
      </c>
      <c r="AY467" t="s">
        <v>160</v>
      </c>
      <c r="AZ467" s="197" t="str">
        <f t="shared" si="1046"/>
        <v>DIS_Non-Standard_78</v>
      </c>
      <c r="BA467">
        <v>78</v>
      </c>
      <c r="BB467">
        <f>VLOOKUP($BA467,'[2]NonStandard DIS'!$Q$1:$X$542,2,FALSE)</f>
        <v>0</v>
      </c>
      <c r="BC467">
        <f>VLOOKUP($BA467,'[2]NonStandard DIS'!$Q$1:$X$542,3,FALSE)</f>
        <v>0</v>
      </c>
      <c r="BD467">
        <f>VLOOKUP($BA467,'[2]NonStandard DIS'!$Q$1:$X$542,4,FALSE)</f>
        <v>0</v>
      </c>
      <c r="BE467">
        <f>VLOOKUP($BA467,'[2]NonStandard DIS'!$Q$1:$X$542,5,FALSE)</f>
        <v>0</v>
      </c>
      <c r="BF467">
        <f>VLOOKUP($BA467,'[2]NonStandard DIS'!$Q$1:$X$542,6,FALSE)</f>
        <v>0</v>
      </c>
      <c r="BG467">
        <f>VLOOKUP($BA467,'[2]NonStandard DIS'!$Q$1:$X$542,7,FALSE)</f>
        <v>0.875</v>
      </c>
      <c r="BH467">
        <f>VLOOKUP($BA467,'[2]NonStandard DIS'!$Q$1:$X$542,8,FALSE)</f>
        <v>0.125</v>
      </c>
      <c r="BI467" s="77">
        <f t="shared" si="1146"/>
        <v>1</v>
      </c>
      <c r="BJ467" s="77">
        <f t="shared" si="1147"/>
        <v>5.6512499999999993E-2</v>
      </c>
      <c r="BK467" s="77">
        <f t="shared" si="1128"/>
        <v>4.591625146612266E-3</v>
      </c>
      <c r="BL467" s="79">
        <v>1</v>
      </c>
      <c r="BM467" s="77">
        <f t="shared" si="1159"/>
        <v>7.3749999999999996E-3</v>
      </c>
      <c r="BN467" s="77">
        <f t="shared" si="1160"/>
        <v>6.1251564969033723E-4</v>
      </c>
      <c r="BO467" s="77">
        <f t="shared" si="1161"/>
        <v>2.5000000000000001E-3</v>
      </c>
      <c r="BP467" s="77">
        <f t="shared" si="1162"/>
        <v>2.0809499864316017E-4</v>
      </c>
    </row>
    <row r="468" spans="1:68">
      <c r="A468" t="s">
        <v>175</v>
      </c>
      <c r="B468" t="s">
        <v>176</v>
      </c>
      <c r="C468" s="197" t="str">
        <f t="shared" si="1040"/>
        <v>Lifecycle_Balanced_77</v>
      </c>
      <c r="D468">
        <v>77</v>
      </c>
      <c r="E468">
        <f>VLOOKUP($D468,'[2]LC Balanced'!$Q$2:$U$542,2,FALSE)</f>
        <v>0.47066666666666668</v>
      </c>
      <c r="F468">
        <f>VLOOKUP($D468,'[2]LC Balanced'!$Q$2:$U$542,3,FALSE)</f>
        <v>0.19866666666666666</v>
      </c>
      <c r="G468">
        <f>VLOOKUP($D468,'[2]LC Balanced'!$Q$2:$U$542,4,FALSE)</f>
        <v>0.33066666666666666</v>
      </c>
      <c r="H468">
        <f>VLOOKUP($D468,'[2]LC Balanced'!$Q$2:$U$542,5,FALSE)</f>
        <v>0</v>
      </c>
      <c r="I468" s="77">
        <f t="shared" si="1141"/>
        <v>1</v>
      </c>
      <c r="J468" s="77">
        <f t="shared" si="1142"/>
        <v>5.06951E-2</v>
      </c>
      <c r="K468" s="77">
        <f t="shared" si="1132"/>
        <v>4.1294984065678442E-3</v>
      </c>
      <c r="L468" s="76">
        <v>0</v>
      </c>
      <c r="M468" s="77">
        <f t="shared" si="1148"/>
        <v>0</v>
      </c>
      <c r="N468" s="77">
        <f t="shared" si="1149"/>
        <v>0</v>
      </c>
      <c r="O468" s="77">
        <f t="shared" si="1150"/>
        <v>4.6825333333333332E-3</v>
      </c>
      <c r="P468" s="77">
        <f t="shared" si="1151"/>
        <v>3.9105108095716101E-4</v>
      </c>
      <c r="R468" t="s">
        <v>177</v>
      </c>
      <c r="S468" t="s">
        <v>176</v>
      </c>
      <c r="T468" s="197" t="str">
        <f t="shared" si="1083"/>
        <v>Autopilot_Balanced_77</v>
      </c>
      <c r="U468">
        <v>77</v>
      </c>
      <c r="V468">
        <f>VLOOKUP($U468,'[2]AP Balanced'!$Q$1:$T$542,2,FALSE)</f>
        <v>5.0129333333333763E-3</v>
      </c>
      <c r="W468">
        <f>VLOOKUP($U468,'[2]AP Balanced'!$Q$1:$T$542,3,FALSE)</f>
        <v>0.99498706666666659</v>
      </c>
      <c r="X468">
        <f>VLOOKUP($U468,'[2]AP Balanced'!$Q$1:$T$542,4,FALSE)</f>
        <v>0</v>
      </c>
      <c r="Y468" s="77">
        <f t="shared" si="1041"/>
        <v>1</v>
      </c>
      <c r="Z468" s="77">
        <f t="shared" si="1187"/>
        <v>5.1416546689999995E-2</v>
      </c>
      <c r="AA468" s="77">
        <f t="shared" si="1188"/>
        <v>4.186936415912168E-3</v>
      </c>
      <c r="AB468" s="79">
        <v>1</v>
      </c>
      <c r="AC468" s="77">
        <f t="shared" si="1152"/>
        <v>6.5100258666666664E-3</v>
      </c>
      <c r="AD468" s="77">
        <f t="shared" si="1143"/>
        <v>5.4412761737432369E-4</v>
      </c>
      <c r="AE468" s="77">
        <f t="shared" si="1153"/>
        <v>2.5000000000000001E-3</v>
      </c>
      <c r="AF468" s="77">
        <f t="shared" si="1143"/>
        <v>2.0857243058891584E-4</v>
      </c>
      <c r="AH468" t="s">
        <v>175</v>
      </c>
      <c r="AI468" t="s">
        <v>176</v>
      </c>
      <c r="AJ468" s="197" t="str">
        <f t="shared" si="1042"/>
        <v>Lifecycle_Balanced_77</v>
      </c>
      <c r="AK468">
        <v>77</v>
      </c>
      <c r="AL468">
        <f>VLOOKUP($U468,[2]Standard_Balanced!$Q$1:$T$542,2,FALSE)</f>
        <v>2.0887222222222401E-3</v>
      </c>
      <c r="AM468">
        <f>VLOOKUP($U468,[2]Standard_Balanced!$Q$1:$T$542,3,FALSE)</f>
        <v>0.97362524444444443</v>
      </c>
      <c r="AN468">
        <f>VLOOKUP($U468,[2]Standard_Balanced!$Q$1:$T$542,4,FALSE)</f>
        <v>2.4286033333333356E-2</v>
      </c>
      <c r="AO468" s="77">
        <f t="shared" si="1129"/>
        <v>1</v>
      </c>
      <c r="AP468" s="77">
        <f t="shared" si="1154"/>
        <v>5.1162796392499987E-2</v>
      </c>
      <c r="AQ468" s="77">
        <f t="shared" si="1043"/>
        <v>4.1667381949923588E-3</v>
      </c>
      <c r="AR468" s="79">
        <v>0</v>
      </c>
      <c r="AS468" s="77">
        <f t="shared" si="1155"/>
        <v>0</v>
      </c>
      <c r="AT468" s="77">
        <f t="shared" ref="AT468" si="1191">1-(1-AS468)^(1/12)</f>
        <v>0</v>
      </c>
      <c r="AU468" s="77">
        <f t="shared" si="1157"/>
        <v>2.4975713966666666E-3</v>
      </c>
      <c r="AV468" s="77">
        <f t="shared" ref="AV468" si="1192">1-(1-AU468)^(1/12)</f>
        <v>2.0836958229442093E-4</v>
      </c>
      <c r="AX468" t="s">
        <v>178</v>
      </c>
      <c r="AY468" t="s">
        <v>160</v>
      </c>
      <c r="AZ468" s="197" t="str">
        <f t="shared" si="1046"/>
        <v>DIS_Non-Standard_77</v>
      </c>
      <c r="BA468">
        <v>77</v>
      </c>
      <c r="BB468">
        <f>VLOOKUP($BA468,'[2]NonStandard DIS'!$Q$1:$X$542,2,FALSE)</f>
        <v>0</v>
      </c>
      <c r="BC468">
        <f>VLOOKUP($BA468,'[2]NonStandard DIS'!$Q$1:$X$542,3,FALSE)</f>
        <v>0</v>
      </c>
      <c r="BD468">
        <f>VLOOKUP($BA468,'[2]NonStandard DIS'!$Q$1:$X$542,4,FALSE)</f>
        <v>0</v>
      </c>
      <c r="BE468">
        <f>VLOOKUP($BA468,'[2]NonStandard DIS'!$Q$1:$X$542,5,FALSE)</f>
        <v>0</v>
      </c>
      <c r="BF468">
        <f>VLOOKUP($BA468,'[2]NonStandard DIS'!$Q$1:$X$542,6,FALSE)</f>
        <v>0</v>
      </c>
      <c r="BG468">
        <f>VLOOKUP($BA468,'[2]NonStandard DIS'!$Q$1:$X$542,7,FALSE)</f>
        <v>0.875</v>
      </c>
      <c r="BH468">
        <f>VLOOKUP($BA468,'[2]NonStandard DIS'!$Q$1:$X$542,8,FALSE)</f>
        <v>0.125</v>
      </c>
      <c r="BI468" s="77">
        <f t="shared" si="1146"/>
        <v>1</v>
      </c>
      <c r="BJ468" s="77">
        <f t="shared" si="1147"/>
        <v>5.6512499999999993E-2</v>
      </c>
      <c r="BK468" s="77">
        <f t="shared" si="1128"/>
        <v>4.591625146612266E-3</v>
      </c>
      <c r="BL468" s="79">
        <v>1</v>
      </c>
      <c r="BM468" s="77">
        <f t="shared" si="1159"/>
        <v>7.3749999999999996E-3</v>
      </c>
      <c r="BN468" s="77">
        <f t="shared" si="1160"/>
        <v>6.1251564969033723E-4</v>
      </c>
      <c r="BO468" s="77">
        <f t="shared" si="1161"/>
        <v>2.5000000000000001E-3</v>
      </c>
      <c r="BP468" s="77">
        <f t="shared" si="1162"/>
        <v>2.0809499864316017E-4</v>
      </c>
    </row>
    <row r="469" spans="1:68">
      <c r="A469" t="s">
        <v>175</v>
      </c>
      <c r="B469" t="s">
        <v>176</v>
      </c>
      <c r="C469" s="197" t="str">
        <f t="shared" si="1040"/>
        <v>Lifecycle_Balanced_76</v>
      </c>
      <c r="D469">
        <v>76</v>
      </c>
      <c r="E469">
        <f>VLOOKUP($D469,'[2]LC Balanced'!$Q$2:$U$542,2,FALSE)</f>
        <v>0.47333333333333333</v>
      </c>
      <c r="F469">
        <f>VLOOKUP($D469,'[2]LC Balanced'!$Q$2:$U$542,3,FALSE)</f>
        <v>0.19733333333333333</v>
      </c>
      <c r="G469">
        <f>VLOOKUP($D469,'[2]LC Balanced'!$Q$2:$U$542,4,FALSE)</f>
        <v>0.32933333333333337</v>
      </c>
      <c r="H469">
        <f>VLOOKUP($D469,'[2]LC Balanced'!$Q$2:$U$542,5,FALSE)</f>
        <v>0</v>
      </c>
      <c r="I469" s="77">
        <f t="shared" si="1141"/>
        <v>1</v>
      </c>
      <c r="J469" s="77">
        <f t="shared" si="1142"/>
        <v>5.0659700000000002E-2</v>
      </c>
      <c r="K469" s="77">
        <f t="shared" si="1132"/>
        <v>4.1266791036473904E-3</v>
      </c>
      <c r="L469" s="76">
        <v>0</v>
      </c>
      <c r="M469" s="77">
        <f t="shared" si="1148"/>
        <v>0</v>
      </c>
      <c r="N469" s="77">
        <f t="shared" si="1149"/>
        <v>0</v>
      </c>
      <c r="O469" s="77">
        <f t="shared" si="1150"/>
        <v>4.6714666666666672E-3</v>
      </c>
      <c r="P469" s="77">
        <f t="shared" si="1151"/>
        <v>3.9012488713530136E-4</v>
      </c>
      <c r="R469" t="s">
        <v>177</v>
      </c>
      <c r="S469" t="s">
        <v>176</v>
      </c>
      <c r="T469" s="197" t="str">
        <f t="shared" si="1083"/>
        <v>Autopilot_Balanced_76</v>
      </c>
      <c r="U469">
        <v>76</v>
      </c>
      <c r="V469">
        <f>VLOOKUP($U469,'[2]AP Balanced'!$Q$1:$T$542,2,FALSE)</f>
        <v>5.0129333333333763E-3</v>
      </c>
      <c r="W469">
        <f>VLOOKUP($U469,'[2]AP Balanced'!$Q$1:$T$542,3,FALSE)</f>
        <v>0.99498706666666659</v>
      </c>
      <c r="X469">
        <f>VLOOKUP($U469,'[2]AP Balanced'!$Q$1:$T$542,4,FALSE)</f>
        <v>0</v>
      </c>
      <c r="Y469" s="77">
        <f t="shared" si="1041"/>
        <v>1</v>
      </c>
      <c r="Z469" s="77">
        <f t="shared" si="1187"/>
        <v>5.1416546689999995E-2</v>
      </c>
      <c r="AA469" s="77">
        <f t="shared" si="1188"/>
        <v>4.186936415912168E-3</v>
      </c>
      <c r="AB469" s="79">
        <v>1</v>
      </c>
      <c r="AC469" s="77">
        <f t="shared" si="1152"/>
        <v>6.5100258666666664E-3</v>
      </c>
      <c r="AD469" s="77">
        <f t="shared" si="1143"/>
        <v>5.4412761737432369E-4</v>
      </c>
      <c r="AE469" s="77">
        <f t="shared" si="1153"/>
        <v>2.5000000000000001E-3</v>
      </c>
      <c r="AF469" s="77">
        <f t="shared" si="1143"/>
        <v>2.0857243058891584E-4</v>
      </c>
      <c r="AH469" t="s">
        <v>175</v>
      </c>
      <c r="AI469" t="s">
        <v>176</v>
      </c>
      <c r="AJ469" s="197" t="str">
        <f t="shared" si="1042"/>
        <v>Lifecycle_Balanced_76</v>
      </c>
      <c r="AK469">
        <v>76</v>
      </c>
      <c r="AL469">
        <f>VLOOKUP($U469,[2]Standard_Balanced!$Q$1:$T$542,2,FALSE)</f>
        <v>1.6709777777777922E-3</v>
      </c>
      <c r="AM469">
        <f>VLOOKUP($U469,[2]Standard_Balanced!$Q$1:$T$542,3,FALSE)</f>
        <v>0.97057355555555547</v>
      </c>
      <c r="AN469">
        <f>VLOOKUP($U469,[2]Standard_Balanced!$Q$1:$T$542,4,FALSE)</f>
        <v>2.775546666666669E-2</v>
      </c>
      <c r="AO469" s="77">
        <f t="shared" si="1129"/>
        <v>1</v>
      </c>
      <c r="AP469" s="77">
        <f t="shared" si="1154"/>
        <v>5.1126546349999989E-2</v>
      </c>
      <c r="AQ469" s="77">
        <f t="shared" si="1043"/>
        <v>4.163852370009824E-3</v>
      </c>
      <c r="AR469" s="79">
        <v>0</v>
      </c>
      <c r="AS469" s="77">
        <f t="shared" si="1155"/>
        <v>0</v>
      </c>
      <c r="AT469" s="77">
        <f t="shared" ref="AT469" si="1193">1-(1-AS469)^(1/12)</f>
        <v>0</v>
      </c>
      <c r="AU469" s="77">
        <f t="shared" si="1157"/>
        <v>2.4972244533333333E-3</v>
      </c>
      <c r="AV469" s="77">
        <f t="shared" ref="AV469" si="1194">1-(1-AU469)^(1/12)</f>
        <v>2.0834060400365395E-4</v>
      </c>
      <c r="AX469" t="s">
        <v>178</v>
      </c>
      <c r="AY469" t="s">
        <v>160</v>
      </c>
      <c r="AZ469" s="197" t="str">
        <f t="shared" si="1046"/>
        <v>DIS_Non-Standard_76</v>
      </c>
      <c r="BA469">
        <v>76</v>
      </c>
      <c r="BB469">
        <f>VLOOKUP($BA469,'[2]NonStandard DIS'!$Q$1:$X$542,2,FALSE)</f>
        <v>0</v>
      </c>
      <c r="BC469">
        <f>VLOOKUP($BA469,'[2]NonStandard DIS'!$Q$1:$X$542,3,FALSE)</f>
        <v>0</v>
      </c>
      <c r="BD469">
        <f>VLOOKUP($BA469,'[2]NonStandard DIS'!$Q$1:$X$542,4,FALSE)</f>
        <v>0</v>
      </c>
      <c r="BE469">
        <f>VLOOKUP($BA469,'[2]NonStandard DIS'!$Q$1:$X$542,5,FALSE)</f>
        <v>0</v>
      </c>
      <c r="BF469">
        <f>VLOOKUP($BA469,'[2]NonStandard DIS'!$Q$1:$X$542,6,FALSE)</f>
        <v>0</v>
      </c>
      <c r="BG469">
        <f>VLOOKUP($BA469,'[2]NonStandard DIS'!$Q$1:$X$542,7,FALSE)</f>
        <v>0.875</v>
      </c>
      <c r="BH469">
        <f>VLOOKUP($BA469,'[2]NonStandard DIS'!$Q$1:$X$542,8,FALSE)</f>
        <v>0.125</v>
      </c>
      <c r="BI469" s="77">
        <f t="shared" si="1146"/>
        <v>1</v>
      </c>
      <c r="BJ469" s="77">
        <f t="shared" si="1147"/>
        <v>5.6512499999999993E-2</v>
      </c>
      <c r="BK469" s="77">
        <f t="shared" si="1128"/>
        <v>4.591625146612266E-3</v>
      </c>
      <c r="BL469" s="79">
        <v>1</v>
      </c>
      <c r="BM469" s="77">
        <f t="shared" si="1159"/>
        <v>7.3749999999999996E-3</v>
      </c>
      <c r="BN469" s="77">
        <f t="shared" si="1160"/>
        <v>6.1251564969033723E-4</v>
      </c>
      <c r="BO469" s="77">
        <f t="shared" si="1161"/>
        <v>2.5000000000000001E-3</v>
      </c>
      <c r="BP469" s="77">
        <f t="shared" si="1162"/>
        <v>2.0809499864316017E-4</v>
      </c>
    </row>
    <row r="470" spans="1:68">
      <c r="A470" t="s">
        <v>175</v>
      </c>
      <c r="B470" t="s">
        <v>176</v>
      </c>
      <c r="C470" s="197" t="str">
        <f t="shared" si="1040"/>
        <v>Lifecycle_Balanced_75</v>
      </c>
      <c r="D470">
        <v>75</v>
      </c>
      <c r="E470">
        <f>VLOOKUP($D470,'[2]LC Balanced'!$Q$2:$U$542,2,FALSE)</f>
        <v>0.47599999999999998</v>
      </c>
      <c r="F470">
        <f>VLOOKUP($D470,'[2]LC Balanced'!$Q$2:$U$542,3,FALSE)</f>
        <v>0.19600000000000001</v>
      </c>
      <c r="G470">
        <f>VLOOKUP($D470,'[2]LC Balanced'!$Q$2:$U$542,4,FALSE)</f>
        <v>0.32800000000000001</v>
      </c>
      <c r="H470">
        <f>VLOOKUP($D470,'[2]LC Balanced'!$Q$2:$U$542,5,FALSE)</f>
        <v>0</v>
      </c>
      <c r="I470" s="77">
        <f t="shared" si="1141"/>
        <v>1</v>
      </c>
      <c r="J470" s="77">
        <f t="shared" si="1142"/>
        <v>5.0624299999999997E-2</v>
      </c>
      <c r="K470" s="77">
        <f t="shared" si="1132"/>
        <v>4.1238597136505906E-3</v>
      </c>
      <c r="L470" s="76">
        <v>0</v>
      </c>
      <c r="M470" s="77">
        <f t="shared" si="1148"/>
        <v>0</v>
      </c>
      <c r="N470" s="77">
        <f t="shared" si="1149"/>
        <v>0</v>
      </c>
      <c r="O470" s="77">
        <f t="shared" si="1150"/>
        <v>4.6604000000000003E-3</v>
      </c>
      <c r="P470" s="77">
        <f t="shared" si="1151"/>
        <v>3.8919870275333501E-4</v>
      </c>
      <c r="R470" t="s">
        <v>177</v>
      </c>
      <c r="S470" t="s">
        <v>176</v>
      </c>
      <c r="T470" s="197" t="str">
        <f t="shared" si="1083"/>
        <v>Autopilot_Balanced_75</v>
      </c>
      <c r="U470">
        <v>75</v>
      </c>
      <c r="V470">
        <f>VLOOKUP($U470,'[2]AP Balanced'!$Q$1:$T$542,2,FALSE)</f>
        <v>5.0129333333333763E-3</v>
      </c>
      <c r="W470">
        <f>VLOOKUP($U470,'[2]AP Balanced'!$Q$1:$T$542,3,FALSE)</f>
        <v>0.99498706666666659</v>
      </c>
      <c r="X470">
        <f>VLOOKUP($U470,'[2]AP Balanced'!$Q$1:$T$542,4,FALSE)</f>
        <v>0</v>
      </c>
      <c r="Y470" s="77">
        <f t="shared" si="1041"/>
        <v>1</v>
      </c>
      <c r="Z470" s="77">
        <f t="shared" si="1187"/>
        <v>5.1416546689999995E-2</v>
      </c>
      <c r="AA470" s="77">
        <f t="shared" si="1188"/>
        <v>4.186936415912168E-3</v>
      </c>
      <c r="AB470" s="79">
        <v>1</v>
      </c>
      <c r="AC470" s="77">
        <f t="shared" si="1152"/>
        <v>6.5100258666666664E-3</v>
      </c>
      <c r="AD470" s="77">
        <f t="shared" si="1143"/>
        <v>5.4412761737432369E-4</v>
      </c>
      <c r="AE470" s="77">
        <f t="shared" si="1153"/>
        <v>2.5000000000000001E-3</v>
      </c>
      <c r="AF470" s="77">
        <f t="shared" si="1143"/>
        <v>2.0857243058891584E-4</v>
      </c>
      <c r="AH470" t="s">
        <v>175</v>
      </c>
      <c r="AI470" t="s">
        <v>176</v>
      </c>
      <c r="AJ470" s="197" t="str">
        <f t="shared" si="1042"/>
        <v>Lifecycle_Balanced_75</v>
      </c>
      <c r="AK470">
        <v>75</v>
      </c>
      <c r="AL470">
        <f>VLOOKUP($U470,[2]Standard_Balanced!$Q$1:$T$542,2,FALSE)</f>
        <v>1.2532333333333441E-3</v>
      </c>
      <c r="AM470">
        <f>VLOOKUP($U470,[2]Standard_Balanced!$Q$1:$T$542,3,FALSE)</f>
        <v>0.96752186666666662</v>
      </c>
      <c r="AN470">
        <f>VLOOKUP($U470,[2]Standard_Balanced!$Q$1:$T$542,4,FALSE)</f>
        <v>3.1224900000000028E-2</v>
      </c>
      <c r="AO470" s="77">
        <f t="shared" si="1129"/>
        <v>1</v>
      </c>
      <c r="AP470" s="77">
        <f t="shared" si="1154"/>
        <v>5.1090296307499991E-2</v>
      </c>
      <c r="AQ470" s="77">
        <f t="shared" si="1043"/>
        <v>4.1609664537964886E-3</v>
      </c>
      <c r="AR470" s="79">
        <v>0</v>
      </c>
      <c r="AS470" s="77">
        <f t="shared" si="1155"/>
        <v>0</v>
      </c>
      <c r="AT470" s="77">
        <f t="shared" ref="AT470" si="1195">1-(1-AS470)^(1/12)</f>
        <v>0</v>
      </c>
      <c r="AU470" s="77">
        <f t="shared" si="1157"/>
        <v>2.4968775099999999E-3</v>
      </c>
      <c r="AV470" s="77">
        <f t="shared" ref="AV470" si="1196">1-(1-AU470)^(1/12)</f>
        <v>2.0831162572210182E-4</v>
      </c>
      <c r="AX470" t="s">
        <v>178</v>
      </c>
      <c r="AY470" t="s">
        <v>160</v>
      </c>
      <c r="AZ470" s="197" t="str">
        <f t="shared" si="1046"/>
        <v>DIS_Non-Standard_75</v>
      </c>
      <c r="BA470">
        <v>75</v>
      </c>
      <c r="BB470">
        <f>VLOOKUP($BA470,'[2]NonStandard DIS'!$Q$1:$X$542,2,FALSE)</f>
        <v>0</v>
      </c>
      <c r="BC470">
        <f>VLOOKUP($BA470,'[2]NonStandard DIS'!$Q$1:$X$542,3,FALSE)</f>
        <v>0</v>
      </c>
      <c r="BD470">
        <f>VLOOKUP($BA470,'[2]NonStandard DIS'!$Q$1:$X$542,4,FALSE)</f>
        <v>0</v>
      </c>
      <c r="BE470">
        <f>VLOOKUP($BA470,'[2]NonStandard DIS'!$Q$1:$X$542,5,FALSE)</f>
        <v>0</v>
      </c>
      <c r="BF470">
        <f>VLOOKUP($BA470,'[2]NonStandard DIS'!$Q$1:$X$542,6,FALSE)</f>
        <v>0</v>
      </c>
      <c r="BG470">
        <f>VLOOKUP($BA470,'[2]NonStandard DIS'!$Q$1:$X$542,7,FALSE)</f>
        <v>0.875</v>
      </c>
      <c r="BH470">
        <f>VLOOKUP($BA470,'[2]NonStandard DIS'!$Q$1:$X$542,8,FALSE)</f>
        <v>0.125</v>
      </c>
      <c r="BI470" s="77">
        <f t="shared" si="1146"/>
        <v>1</v>
      </c>
      <c r="BJ470" s="77">
        <f t="shared" si="1147"/>
        <v>5.6512499999999993E-2</v>
      </c>
      <c r="BK470" s="77">
        <f t="shared" si="1128"/>
        <v>4.591625146612266E-3</v>
      </c>
      <c r="BL470" s="79">
        <v>1</v>
      </c>
      <c r="BM470" s="77">
        <f t="shared" si="1159"/>
        <v>7.3749999999999996E-3</v>
      </c>
      <c r="BN470" s="77">
        <f t="shared" si="1160"/>
        <v>6.1251564969033723E-4</v>
      </c>
      <c r="BO470" s="77">
        <f t="shared" si="1161"/>
        <v>2.5000000000000001E-3</v>
      </c>
      <c r="BP470" s="77">
        <f t="shared" si="1162"/>
        <v>2.0809499864316017E-4</v>
      </c>
    </row>
    <row r="471" spans="1:68">
      <c r="A471" t="s">
        <v>175</v>
      </c>
      <c r="B471" t="s">
        <v>176</v>
      </c>
      <c r="C471" s="197" t="str">
        <f t="shared" ref="C471:C534" si="1197">A471&amp;"_"&amp;B471&amp;"_"&amp;D471</f>
        <v>Lifecycle_Balanced_74</v>
      </c>
      <c r="D471">
        <v>74</v>
      </c>
      <c r="E471">
        <f>VLOOKUP($D471,'[2]LC Balanced'!$Q$2:$U$542,2,FALSE)</f>
        <v>0.47866666666666668</v>
      </c>
      <c r="F471">
        <f>VLOOKUP($D471,'[2]LC Balanced'!$Q$2:$U$542,3,FALSE)</f>
        <v>0.19466666666666665</v>
      </c>
      <c r="G471">
        <f>VLOOKUP($D471,'[2]LC Balanced'!$Q$2:$U$542,4,FALSE)</f>
        <v>0.32666666666666666</v>
      </c>
      <c r="H471">
        <f>VLOOKUP($D471,'[2]LC Balanced'!$Q$2:$U$542,5,FALSE)</f>
        <v>0</v>
      </c>
      <c r="I471" s="77">
        <f t="shared" si="1141"/>
        <v>1</v>
      </c>
      <c r="J471" s="77">
        <f t="shared" si="1142"/>
        <v>5.0588899999999992E-2</v>
      </c>
      <c r="K471" s="77">
        <f t="shared" si="1132"/>
        <v>4.1210402365716714E-3</v>
      </c>
      <c r="L471" s="76">
        <v>0</v>
      </c>
      <c r="M471" s="77">
        <f t="shared" si="1148"/>
        <v>0</v>
      </c>
      <c r="N471" s="77">
        <f t="shared" si="1149"/>
        <v>0</v>
      </c>
      <c r="O471" s="77">
        <f t="shared" si="1150"/>
        <v>4.6493333333333334E-3</v>
      </c>
      <c r="P471" s="77">
        <f t="shared" si="1151"/>
        <v>3.8827252781081789E-4</v>
      </c>
      <c r="R471" t="s">
        <v>177</v>
      </c>
      <c r="S471" t="s">
        <v>176</v>
      </c>
      <c r="T471" s="197" t="str">
        <f t="shared" si="1083"/>
        <v>Autopilot_Balanced_74</v>
      </c>
      <c r="U471">
        <v>74</v>
      </c>
      <c r="V471">
        <f>VLOOKUP($U471,'[2]AP Balanced'!$Q$1:$T$542,2,FALSE)</f>
        <v>5.0129333333333763E-3</v>
      </c>
      <c r="W471">
        <f>VLOOKUP($U471,'[2]AP Balanced'!$Q$1:$T$542,3,FALSE)</f>
        <v>0.99498706666666659</v>
      </c>
      <c r="X471">
        <f>VLOOKUP($U471,'[2]AP Balanced'!$Q$1:$T$542,4,FALSE)</f>
        <v>0</v>
      </c>
      <c r="Y471" s="77">
        <f t="shared" ref="Y471:Y534" si="1198">SUM(V471:X471)</f>
        <v>1</v>
      </c>
      <c r="Z471" s="77">
        <f t="shared" si="1187"/>
        <v>5.1416546689999995E-2</v>
      </c>
      <c r="AA471" s="77">
        <f t="shared" si="1188"/>
        <v>4.186936415912168E-3</v>
      </c>
      <c r="AB471" s="79">
        <v>1</v>
      </c>
      <c r="AC471" s="77">
        <f t="shared" si="1152"/>
        <v>6.5100258666666664E-3</v>
      </c>
      <c r="AD471" s="77">
        <f t="shared" si="1143"/>
        <v>5.4412761737432369E-4</v>
      </c>
      <c r="AE471" s="77">
        <f t="shared" si="1153"/>
        <v>2.5000000000000001E-3</v>
      </c>
      <c r="AF471" s="77">
        <f t="shared" si="1143"/>
        <v>2.0857243058891584E-4</v>
      </c>
      <c r="AH471" t="s">
        <v>175</v>
      </c>
      <c r="AI471" t="s">
        <v>176</v>
      </c>
      <c r="AJ471" s="197" t="str">
        <f t="shared" ref="AJ471:AJ534" si="1199">AH471&amp;"_"&amp;AI471&amp;"_"&amp;AK471</f>
        <v>Lifecycle_Balanced_74</v>
      </c>
      <c r="AK471">
        <v>74</v>
      </c>
      <c r="AL471">
        <f>VLOOKUP($U471,[2]Standard_Balanced!$Q$1:$T$542,2,FALSE)</f>
        <v>8.3548888888889609E-4</v>
      </c>
      <c r="AM471">
        <f>VLOOKUP($U471,[2]Standard_Balanced!$Q$1:$T$542,3,FALSE)</f>
        <v>0.96447017777777777</v>
      </c>
      <c r="AN471">
        <f>VLOOKUP($U471,[2]Standard_Balanced!$Q$1:$T$542,4,FALSE)</f>
        <v>3.4694333333333362E-2</v>
      </c>
      <c r="AO471" s="77">
        <f t="shared" si="1129"/>
        <v>1</v>
      </c>
      <c r="AP471" s="77">
        <f t="shared" si="1154"/>
        <v>5.1054046264999993E-2</v>
      </c>
      <c r="AQ471" s="77">
        <f t="shared" ref="AQ471:AQ534" si="1200">(1+AP471)^(1/12)-1</f>
        <v>4.1580804463463572E-3</v>
      </c>
      <c r="AR471" s="79">
        <v>0</v>
      </c>
      <c r="AS471" s="77">
        <f t="shared" si="1155"/>
        <v>0</v>
      </c>
      <c r="AT471" s="77">
        <f t="shared" ref="AT471" si="1201">1-(1-AS471)^(1/12)</f>
        <v>0</v>
      </c>
      <c r="AU471" s="77">
        <f t="shared" si="1157"/>
        <v>2.4965305666666666E-3</v>
      </c>
      <c r="AV471" s="77">
        <f t="shared" ref="AV471" si="1202">1-(1-AU471)^(1/12)</f>
        <v>2.0828264744976455E-4</v>
      </c>
      <c r="AX471" t="s">
        <v>178</v>
      </c>
      <c r="AY471" t="s">
        <v>160</v>
      </c>
      <c r="AZ471" s="197" t="str">
        <f t="shared" ref="AZ471:AZ534" si="1203">AX471&amp;"_"&amp;AY471&amp;"_"&amp;BA471</f>
        <v>DIS_Non-Standard_74</v>
      </c>
      <c r="BA471">
        <v>74</v>
      </c>
      <c r="BB471">
        <f>VLOOKUP($BA471,'[2]NonStandard DIS'!$Q$1:$X$542,2,FALSE)</f>
        <v>0</v>
      </c>
      <c r="BC471">
        <f>VLOOKUP($BA471,'[2]NonStandard DIS'!$Q$1:$X$542,3,FALSE)</f>
        <v>0</v>
      </c>
      <c r="BD471">
        <f>VLOOKUP($BA471,'[2]NonStandard DIS'!$Q$1:$X$542,4,FALSE)</f>
        <v>0</v>
      </c>
      <c r="BE471">
        <f>VLOOKUP($BA471,'[2]NonStandard DIS'!$Q$1:$X$542,5,FALSE)</f>
        <v>0</v>
      </c>
      <c r="BF471">
        <f>VLOOKUP($BA471,'[2]NonStandard DIS'!$Q$1:$X$542,6,FALSE)</f>
        <v>0</v>
      </c>
      <c r="BG471">
        <f>VLOOKUP($BA471,'[2]NonStandard DIS'!$Q$1:$X$542,7,FALSE)</f>
        <v>0.875</v>
      </c>
      <c r="BH471">
        <f>VLOOKUP($BA471,'[2]NonStandard DIS'!$Q$1:$X$542,8,FALSE)</f>
        <v>0.125</v>
      </c>
      <c r="BI471" s="77">
        <f t="shared" si="1146"/>
        <v>1</v>
      </c>
      <c r="BJ471" s="77">
        <f t="shared" si="1147"/>
        <v>5.6512499999999993E-2</v>
      </c>
      <c r="BK471" s="77">
        <f t="shared" si="1128"/>
        <v>4.591625146612266E-3</v>
      </c>
      <c r="BL471" s="79">
        <v>1</v>
      </c>
      <c r="BM471" s="77">
        <f t="shared" si="1159"/>
        <v>7.3749999999999996E-3</v>
      </c>
      <c r="BN471" s="77">
        <f t="shared" si="1160"/>
        <v>6.1251564969033723E-4</v>
      </c>
      <c r="BO471" s="77">
        <f t="shared" si="1161"/>
        <v>2.5000000000000001E-3</v>
      </c>
      <c r="BP471" s="77">
        <f t="shared" si="1162"/>
        <v>2.0809499864316017E-4</v>
      </c>
    </row>
    <row r="472" spans="1:68">
      <c r="A472" t="s">
        <v>175</v>
      </c>
      <c r="B472" t="s">
        <v>176</v>
      </c>
      <c r="C472" s="197" t="str">
        <f t="shared" si="1197"/>
        <v>Lifecycle_Balanced_73</v>
      </c>
      <c r="D472">
        <v>73</v>
      </c>
      <c r="E472">
        <f>VLOOKUP($D472,'[2]LC Balanced'!$Q$2:$U$542,2,FALSE)</f>
        <v>0.48133333333333334</v>
      </c>
      <c r="F472">
        <f>VLOOKUP($D472,'[2]LC Balanced'!$Q$2:$U$542,3,FALSE)</f>
        <v>0.19333333333333333</v>
      </c>
      <c r="G472">
        <f>VLOOKUP($D472,'[2]LC Balanced'!$Q$2:$U$542,4,FALSE)</f>
        <v>0.32533333333333336</v>
      </c>
      <c r="H472">
        <f>VLOOKUP($D472,'[2]LC Balanced'!$Q$2:$U$542,5,FALSE)</f>
        <v>0</v>
      </c>
      <c r="I472" s="77">
        <f t="shared" si="1141"/>
        <v>1</v>
      </c>
      <c r="J472" s="77">
        <f t="shared" si="1142"/>
        <v>5.0553500000000001E-2</v>
      </c>
      <c r="K472" s="77">
        <f t="shared" si="1132"/>
        <v>4.1182206724050818E-3</v>
      </c>
      <c r="L472" s="76">
        <v>0</v>
      </c>
      <c r="M472" s="77">
        <f t="shared" si="1148"/>
        <v>0</v>
      </c>
      <c r="N472" s="77">
        <f t="shared" si="1149"/>
        <v>0</v>
      </c>
      <c r="O472" s="77">
        <f t="shared" si="1150"/>
        <v>4.6382666666666666E-3</v>
      </c>
      <c r="P472" s="77">
        <f t="shared" si="1151"/>
        <v>3.8734636230774999E-4</v>
      </c>
      <c r="R472" t="s">
        <v>177</v>
      </c>
      <c r="S472" t="s">
        <v>176</v>
      </c>
      <c r="T472" s="197" t="str">
        <f t="shared" si="1083"/>
        <v>Autopilot_Balanced_73</v>
      </c>
      <c r="U472">
        <v>73</v>
      </c>
      <c r="V472">
        <f>VLOOKUP($U472,'[2]AP Balanced'!$Q$1:$T$542,2,FALSE)</f>
        <v>5.0129333333333763E-3</v>
      </c>
      <c r="W472">
        <f>VLOOKUP($U472,'[2]AP Balanced'!$Q$1:$T$542,3,FALSE)</f>
        <v>0.99498706666666659</v>
      </c>
      <c r="X472">
        <f>VLOOKUP($U472,'[2]AP Balanced'!$Q$1:$T$542,4,FALSE)</f>
        <v>0</v>
      </c>
      <c r="Y472" s="77">
        <f t="shared" si="1198"/>
        <v>1</v>
      </c>
      <c r="Z472" s="77">
        <f t="shared" si="1187"/>
        <v>5.1416546689999995E-2</v>
      </c>
      <c r="AA472" s="77">
        <f t="shared" si="1188"/>
        <v>4.186936415912168E-3</v>
      </c>
      <c r="AB472" s="79">
        <v>1</v>
      </c>
      <c r="AC472" s="77">
        <f t="shared" si="1152"/>
        <v>6.5100258666666664E-3</v>
      </c>
      <c r="AD472" s="77">
        <f t="shared" si="1143"/>
        <v>5.4412761737432369E-4</v>
      </c>
      <c r="AE472" s="77">
        <f t="shared" si="1153"/>
        <v>2.5000000000000001E-3</v>
      </c>
      <c r="AF472" s="77">
        <f t="shared" si="1143"/>
        <v>2.0857243058891584E-4</v>
      </c>
      <c r="AH472" t="s">
        <v>175</v>
      </c>
      <c r="AI472" t="s">
        <v>176</v>
      </c>
      <c r="AJ472" s="197" t="str">
        <f t="shared" si="1199"/>
        <v>Lifecycle_Balanced_73</v>
      </c>
      <c r="AK472">
        <v>73</v>
      </c>
      <c r="AL472">
        <f>VLOOKUP($U472,[2]Standard_Balanced!$Q$1:$T$542,2,FALSE)</f>
        <v>4.1774444444444805E-4</v>
      </c>
      <c r="AM472">
        <f>VLOOKUP($U472,[2]Standard_Balanced!$Q$1:$T$542,3,FALSE)</f>
        <v>0.96141848888888881</v>
      </c>
      <c r="AN472">
        <f>VLOOKUP($U472,[2]Standard_Balanced!$Q$1:$T$542,4,FALSE)</f>
        <v>3.8163766666666703E-2</v>
      </c>
      <c r="AO472" s="77">
        <f t="shared" si="1129"/>
        <v>0.99999999999999989</v>
      </c>
      <c r="AP472" s="77">
        <f t="shared" si="1154"/>
        <v>5.1017796222499988E-2</v>
      </c>
      <c r="AQ472" s="77">
        <f t="shared" si="1200"/>
        <v>4.1551943476529907E-3</v>
      </c>
      <c r="AR472" s="79">
        <v>0</v>
      </c>
      <c r="AS472" s="77">
        <f t="shared" si="1155"/>
        <v>0</v>
      </c>
      <c r="AT472" s="77">
        <f t="shared" ref="AT472" si="1204">1-(1-AS472)^(1/12)</f>
        <v>0</v>
      </c>
      <c r="AU472" s="77">
        <f t="shared" si="1157"/>
        <v>2.4961836233333332E-3</v>
      </c>
      <c r="AV472" s="77">
        <f t="shared" ref="AV472" si="1205">1-(1-AU472)^(1/12)</f>
        <v>2.0825366918664212E-4</v>
      </c>
      <c r="AX472" t="s">
        <v>178</v>
      </c>
      <c r="AY472" t="s">
        <v>160</v>
      </c>
      <c r="AZ472" s="197" t="str">
        <f t="shared" si="1203"/>
        <v>DIS_Non-Standard_73</v>
      </c>
      <c r="BA472">
        <v>73</v>
      </c>
      <c r="BB472">
        <f>VLOOKUP($BA472,'[2]NonStandard DIS'!$Q$1:$X$542,2,FALSE)</f>
        <v>0</v>
      </c>
      <c r="BC472">
        <f>VLOOKUP($BA472,'[2]NonStandard DIS'!$Q$1:$X$542,3,FALSE)</f>
        <v>0</v>
      </c>
      <c r="BD472">
        <f>VLOOKUP($BA472,'[2]NonStandard DIS'!$Q$1:$X$542,4,FALSE)</f>
        <v>0</v>
      </c>
      <c r="BE472">
        <f>VLOOKUP($BA472,'[2]NonStandard DIS'!$Q$1:$X$542,5,FALSE)</f>
        <v>0</v>
      </c>
      <c r="BF472">
        <f>VLOOKUP($BA472,'[2]NonStandard DIS'!$Q$1:$X$542,6,FALSE)</f>
        <v>0</v>
      </c>
      <c r="BG472">
        <f>VLOOKUP($BA472,'[2]NonStandard DIS'!$Q$1:$X$542,7,FALSE)</f>
        <v>0.875</v>
      </c>
      <c r="BH472">
        <f>VLOOKUP($BA472,'[2]NonStandard DIS'!$Q$1:$X$542,8,FALSE)</f>
        <v>0.125</v>
      </c>
      <c r="BI472" s="77">
        <f t="shared" si="1146"/>
        <v>1</v>
      </c>
      <c r="BJ472" s="77">
        <f t="shared" si="1147"/>
        <v>5.6512499999999993E-2</v>
      </c>
      <c r="BK472" s="77">
        <f t="shared" si="1128"/>
        <v>4.591625146612266E-3</v>
      </c>
      <c r="BL472" s="79">
        <v>1</v>
      </c>
      <c r="BM472" s="77">
        <f t="shared" si="1159"/>
        <v>7.3749999999999996E-3</v>
      </c>
      <c r="BN472" s="77">
        <f t="shared" si="1160"/>
        <v>6.1251564969033723E-4</v>
      </c>
      <c r="BO472" s="77">
        <f t="shared" si="1161"/>
        <v>2.5000000000000001E-3</v>
      </c>
      <c r="BP472" s="77">
        <f t="shared" si="1162"/>
        <v>2.0809499864316017E-4</v>
      </c>
    </row>
    <row r="473" spans="1:68">
      <c r="A473" t="s">
        <v>175</v>
      </c>
      <c r="B473" t="s">
        <v>176</v>
      </c>
      <c r="C473" s="197" t="str">
        <f t="shared" si="1197"/>
        <v>Lifecycle_Balanced_72</v>
      </c>
      <c r="D473">
        <v>72</v>
      </c>
      <c r="E473">
        <f>VLOOKUP($D473,'[2]LC Balanced'!$Q$2:$U$542,2,FALSE)</f>
        <v>0.48399999999999999</v>
      </c>
      <c r="F473">
        <f>VLOOKUP($D473,'[2]LC Balanced'!$Q$2:$U$542,3,FALSE)</f>
        <v>0.192</v>
      </c>
      <c r="G473">
        <f>VLOOKUP($D473,'[2]LC Balanced'!$Q$2:$U$542,4,FALSE)</f>
        <v>0.32400000000000001</v>
      </c>
      <c r="H473">
        <f>VLOOKUP($D473,'[2]LC Balanced'!$Q$2:$U$542,5,FALSE)</f>
        <v>0</v>
      </c>
      <c r="I473" s="77">
        <f t="shared" si="1141"/>
        <v>1</v>
      </c>
      <c r="J473" s="77">
        <f t="shared" si="1142"/>
        <v>5.0518099999999996E-2</v>
      </c>
      <c r="K473" s="77">
        <f t="shared" si="1132"/>
        <v>4.1154010211448266E-3</v>
      </c>
      <c r="L473" s="76">
        <v>0</v>
      </c>
      <c r="M473" s="77">
        <f t="shared" si="1148"/>
        <v>0</v>
      </c>
      <c r="N473" s="77">
        <f t="shared" si="1149"/>
        <v>0</v>
      </c>
      <c r="O473" s="77">
        <f t="shared" si="1150"/>
        <v>4.6271999999999997E-3</v>
      </c>
      <c r="P473" s="77">
        <f t="shared" si="1151"/>
        <v>3.8642020624379825E-4</v>
      </c>
      <c r="R473" t="s">
        <v>177</v>
      </c>
      <c r="S473" t="s">
        <v>176</v>
      </c>
      <c r="T473" s="197" t="str">
        <f t="shared" si="1083"/>
        <v>Autopilot_Balanced_72</v>
      </c>
      <c r="U473">
        <v>72</v>
      </c>
      <c r="V473">
        <f>VLOOKUP($U473,'[2]AP Balanced'!$Q$1:$T$542,2,FALSE)</f>
        <v>0</v>
      </c>
      <c r="W473">
        <f>VLOOKUP($U473,'[2]AP Balanced'!$Q$1:$T$542,3,FALSE)</f>
        <v>0.95836679999999996</v>
      </c>
      <c r="X473">
        <f>VLOOKUP($U473,'[2]AP Balanced'!$Q$1:$T$542,4,FALSE)</f>
        <v>4.1633200000000037E-2</v>
      </c>
      <c r="Y473" s="77">
        <f t="shared" si="1198"/>
        <v>1</v>
      </c>
      <c r="Z473" s="77">
        <f t="shared" si="1187"/>
        <v>5.098154617999999E-2</v>
      </c>
      <c r="AA473" s="77">
        <f t="shared" si="1188"/>
        <v>4.1523081577108378E-3</v>
      </c>
      <c r="AB473" s="79">
        <v>1</v>
      </c>
      <c r="AC473" s="77">
        <f t="shared" si="1152"/>
        <v>6.2293841999999993E-3</v>
      </c>
      <c r="AD473" s="77">
        <f t="shared" si="1143"/>
        <v>5.2060341979354163E-4</v>
      </c>
      <c r="AE473" s="77">
        <f t="shared" si="1153"/>
        <v>2.4958366800000003E-3</v>
      </c>
      <c r="AF473" s="77">
        <f t="shared" si="1143"/>
        <v>2.0822469093273455E-4</v>
      </c>
      <c r="AH473" t="s">
        <v>175</v>
      </c>
      <c r="AI473" t="s">
        <v>176</v>
      </c>
      <c r="AJ473" s="197" t="str">
        <f t="shared" si="1199"/>
        <v>Lifecycle_Balanced_72</v>
      </c>
      <c r="AK473">
        <v>72</v>
      </c>
      <c r="AL473">
        <f>VLOOKUP($U473,[2]Standard_Balanced!$Q$1:$T$542,2,FALSE)</f>
        <v>0</v>
      </c>
      <c r="AM473">
        <f>VLOOKUP($U473,[2]Standard_Balanced!$Q$1:$T$542,3,FALSE)</f>
        <v>0.95836679999999996</v>
      </c>
      <c r="AN473">
        <f>VLOOKUP($U473,[2]Standard_Balanced!$Q$1:$T$542,4,FALSE)</f>
        <v>4.1633200000000037E-2</v>
      </c>
      <c r="AO473" s="77">
        <f t="shared" si="1129"/>
        <v>1</v>
      </c>
      <c r="AP473" s="77">
        <f t="shared" si="1154"/>
        <v>5.098154617999999E-2</v>
      </c>
      <c r="AQ473" s="77">
        <f t="shared" si="1200"/>
        <v>4.1523081577108378E-3</v>
      </c>
      <c r="AR473" s="79">
        <v>0</v>
      </c>
      <c r="AS473" s="77">
        <f t="shared" si="1155"/>
        <v>0</v>
      </c>
      <c r="AT473" s="77">
        <f t="shared" ref="AT473" si="1206">1-(1-AS473)^(1/12)</f>
        <v>0</v>
      </c>
      <c r="AU473" s="77">
        <f t="shared" si="1157"/>
        <v>2.4958366800000003E-3</v>
      </c>
      <c r="AV473" s="77">
        <f t="shared" ref="AV473" si="1207">1-(1-AU473)^(1/12)</f>
        <v>2.0822469093273455E-4</v>
      </c>
      <c r="AX473" t="s">
        <v>178</v>
      </c>
      <c r="AY473" t="s">
        <v>160</v>
      </c>
      <c r="AZ473" s="197" t="str">
        <f t="shared" si="1203"/>
        <v>DIS_Non-Standard_72</v>
      </c>
      <c r="BA473">
        <v>72</v>
      </c>
      <c r="BB473">
        <f>VLOOKUP($BA473,'[2]NonStandard DIS'!$Q$1:$X$542,2,FALSE)</f>
        <v>0</v>
      </c>
      <c r="BC473">
        <f>VLOOKUP($BA473,'[2]NonStandard DIS'!$Q$1:$X$542,3,FALSE)</f>
        <v>0</v>
      </c>
      <c r="BD473">
        <f>VLOOKUP($BA473,'[2]NonStandard DIS'!$Q$1:$X$542,4,FALSE)</f>
        <v>0</v>
      </c>
      <c r="BE473">
        <f>VLOOKUP($BA473,'[2]NonStandard DIS'!$Q$1:$X$542,5,FALSE)</f>
        <v>0</v>
      </c>
      <c r="BF473">
        <f>VLOOKUP($BA473,'[2]NonStandard DIS'!$Q$1:$X$542,6,FALSE)</f>
        <v>0</v>
      </c>
      <c r="BG473">
        <f>VLOOKUP($BA473,'[2]NonStandard DIS'!$Q$1:$X$542,7,FALSE)</f>
        <v>0.75</v>
      </c>
      <c r="BH473">
        <f>VLOOKUP($BA473,'[2]NonStandard DIS'!$Q$1:$X$542,8,FALSE)</f>
        <v>0.25</v>
      </c>
      <c r="BI473" s="77">
        <f t="shared" si="1146"/>
        <v>1</v>
      </c>
      <c r="BJ473" s="77">
        <f t="shared" si="1147"/>
        <v>5.5774999999999991E-2</v>
      </c>
      <c r="BK473" s="77">
        <f t="shared" si="1128"/>
        <v>4.533168394748488E-3</v>
      </c>
      <c r="BL473" s="79">
        <v>1</v>
      </c>
      <c r="BM473" s="77">
        <f t="shared" si="1159"/>
        <v>7.2499999999999995E-3</v>
      </c>
      <c r="BN473" s="77">
        <f t="shared" si="1160"/>
        <v>6.0216832136972265E-4</v>
      </c>
      <c r="BO473" s="77">
        <f t="shared" si="1161"/>
        <v>2.5000000000000001E-3</v>
      </c>
      <c r="BP473" s="77">
        <f t="shared" si="1162"/>
        <v>2.0809499864316017E-4</v>
      </c>
    </row>
    <row r="474" spans="1:68">
      <c r="A474" t="s">
        <v>175</v>
      </c>
      <c r="B474" t="s">
        <v>176</v>
      </c>
      <c r="C474" s="197" t="str">
        <f t="shared" si="1197"/>
        <v>Lifecycle_Balanced_71</v>
      </c>
      <c r="D474">
        <v>71</v>
      </c>
      <c r="E474">
        <f>VLOOKUP($D474,'[2]LC Balanced'!$Q$2:$U$542,2,FALSE)</f>
        <v>0.48633333333333334</v>
      </c>
      <c r="F474">
        <f>VLOOKUP($D474,'[2]LC Balanced'!$Q$2:$U$542,3,FALSE)</f>
        <v>0.19083333333333333</v>
      </c>
      <c r="G474">
        <f>VLOOKUP($D474,'[2]LC Balanced'!$Q$2:$U$542,4,FALSE)</f>
        <v>0.32283333333333336</v>
      </c>
      <c r="H474">
        <f>VLOOKUP($D474,'[2]LC Balanced'!$Q$2:$U$542,5,FALSE)</f>
        <v>0</v>
      </c>
      <c r="I474" s="77">
        <f t="shared" si="1141"/>
        <v>1</v>
      </c>
      <c r="J474" s="77">
        <f t="shared" si="1142"/>
        <v>5.0487124999999994E-2</v>
      </c>
      <c r="K474" s="77">
        <f t="shared" si="1132"/>
        <v>4.1129337548440059E-3</v>
      </c>
      <c r="L474" s="76">
        <v>0</v>
      </c>
      <c r="M474" s="77">
        <f t="shared" si="1148"/>
        <v>0</v>
      </c>
      <c r="N474" s="77">
        <f t="shared" si="1149"/>
        <v>0</v>
      </c>
      <c r="O474" s="77">
        <f t="shared" si="1150"/>
        <v>4.6175166666666666E-3</v>
      </c>
      <c r="P474" s="77">
        <f t="shared" si="1151"/>
        <v>3.8560982743074401E-4</v>
      </c>
      <c r="R474" t="s">
        <v>177</v>
      </c>
      <c r="S474" t="s">
        <v>176</v>
      </c>
      <c r="T474" s="197" t="str">
        <f t="shared" si="1083"/>
        <v>Autopilot_Balanced_71</v>
      </c>
      <c r="U474">
        <v>71</v>
      </c>
      <c r="V474">
        <f>VLOOKUP($U474,'[2]AP Balanced'!$Q$1:$T$542,2,FALSE)</f>
        <v>0</v>
      </c>
      <c r="W474">
        <f>VLOOKUP($U474,'[2]AP Balanced'!$Q$1:$T$542,3,FALSE)</f>
        <v>0.95836679999999996</v>
      </c>
      <c r="X474">
        <f>VLOOKUP($U474,'[2]AP Balanced'!$Q$1:$T$542,4,FALSE)</f>
        <v>4.1633200000000037E-2</v>
      </c>
      <c r="Y474" s="77">
        <f t="shared" si="1198"/>
        <v>1</v>
      </c>
      <c r="Z474" s="77">
        <f t="shared" si="1187"/>
        <v>5.098154617999999E-2</v>
      </c>
      <c r="AA474" s="77">
        <f t="shared" si="1188"/>
        <v>4.1523081577108378E-3</v>
      </c>
      <c r="AB474" s="79">
        <v>1</v>
      </c>
      <c r="AC474" s="77">
        <f t="shared" si="1152"/>
        <v>6.2293841999999993E-3</v>
      </c>
      <c r="AD474" s="77">
        <f t="shared" si="1143"/>
        <v>5.2060341979354163E-4</v>
      </c>
      <c r="AE474" s="77">
        <f t="shared" si="1153"/>
        <v>2.4958366800000003E-3</v>
      </c>
      <c r="AF474" s="77">
        <f t="shared" si="1143"/>
        <v>2.0822469093273455E-4</v>
      </c>
      <c r="AH474" t="s">
        <v>175</v>
      </c>
      <c r="AI474" t="s">
        <v>176</v>
      </c>
      <c r="AJ474" s="197" t="str">
        <f t="shared" si="1199"/>
        <v>Lifecycle_Balanced_71</v>
      </c>
      <c r="AK474">
        <v>71</v>
      </c>
      <c r="AL474">
        <f>VLOOKUP($U474,[2]Standard_Balanced!$Q$1:$T$542,2,FALSE)</f>
        <v>0</v>
      </c>
      <c r="AM474">
        <f>VLOOKUP($U474,[2]Standard_Balanced!$Q$1:$T$542,3,FALSE)</f>
        <v>0.95478689999999999</v>
      </c>
      <c r="AN474">
        <f>VLOOKUP($U474,[2]Standard_Balanced!$Q$1:$T$542,4,FALSE)</f>
        <v>4.5213100000000055E-2</v>
      </c>
      <c r="AO474" s="77">
        <f t="shared" si="1129"/>
        <v>1</v>
      </c>
      <c r="AP474" s="77">
        <f t="shared" si="1154"/>
        <v>5.0949864064999996E-2</v>
      </c>
      <c r="AQ474" s="77">
        <f t="shared" si="1200"/>
        <v>4.1497855865815225E-3</v>
      </c>
      <c r="AR474" s="79">
        <v>0</v>
      </c>
      <c r="AS474" s="77">
        <f t="shared" si="1155"/>
        <v>0</v>
      </c>
      <c r="AT474" s="77">
        <f t="shared" ref="AT474" si="1208">1-(1-AS474)^(1/12)</f>
        <v>0</v>
      </c>
      <c r="AU474" s="77">
        <f t="shared" si="1157"/>
        <v>2.49547869E-3</v>
      </c>
      <c r="AV474" s="77">
        <f t="shared" ref="AV474" si="1209">1-(1-AU474)^(1/12)</f>
        <v>2.0819479002176511E-4</v>
      </c>
      <c r="AX474" t="s">
        <v>178</v>
      </c>
      <c r="AY474" t="s">
        <v>160</v>
      </c>
      <c r="AZ474" s="197" t="str">
        <f t="shared" si="1203"/>
        <v>DIS_Non-Standard_71</v>
      </c>
      <c r="BA474">
        <v>71</v>
      </c>
      <c r="BB474">
        <f>VLOOKUP($BA474,'[2]NonStandard DIS'!$Q$1:$X$542,2,FALSE)</f>
        <v>0</v>
      </c>
      <c r="BC474">
        <f>VLOOKUP($BA474,'[2]NonStandard DIS'!$Q$1:$X$542,3,FALSE)</f>
        <v>0</v>
      </c>
      <c r="BD474">
        <f>VLOOKUP($BA474,'[2]NonStandard DIS'!$Q$1:$X$542,4,FALSE)</f>
        <v>0</v>
      </c>
      <c r="BE474">
        <f>VLOOKUP($BA474,'[2]NonStandard DIS'!$Q$1:$X$542,5,FALSE)</f>
        <v>0</v>
      </c>
      <c r="BF474">
        <f>VLOOKUP($BA474,'[2]NonStandard DIS'!$Q$1:$X$542,6,FALSE)</f>
        <v>0</v>
      </c>
      <c r="BG474">
        <f>VLOOKUP($BA474,'[2]NonStandard DIS'!$Q$1:$X$542,7,FALSE)</f>
        <v>0.75</v>
      </c>
      <c r="BH474">
        <f>VLOOKUP($BA474,'[2]NonStandard DIS'!$Q$1:$X$542,8,FALSE)</f>
        <v>0.25</v>
      </c>
      <c r="BI474" s="77">
        <f t="shared" si="1146"/>
        <v>1</v>
      </c>
      <c r="BJ474" s="77">
        <f t="shared" si="1147"/>
        <v>5.5774999999999991E-2</v>
      </c>
      <c r="BK474" s="77">
        <f t="shared" si="1128"/>
        <v>4.533168394748488E-3</v>
      </c>
      <c r="BL474" s="79">
        <v>1</v>
      </c>
      <c r="BM474" s="77">
        <f t="shared" si="1159"/>
        <v>7.2499999999999995E-3</v>
      </c>
      <c r="BN474" s="77">
        <f t="shared" si="1160"/>
        <v>6.0216832136972265E-4</v>
      </c>
      <c r="BO474" s="77">
        <f t="shared" si="1161"/>
        <v>2.5000000000000001E-3</v>
      </c>
      <c r="BP474" s="77">
        <f t="shared" si="1162"/>
        <v>2.0809499864316017E-4</v>
      </c>
    </row>
    <row r="475" spans="1:68">
      <c r="A475" t="s">
        <v>175</v>
      </c>
      <c r="B475" t="s">
        <v>176</v>
      </c>
      <c r="C475" s="197" t="str">
        <f t="shared" si="1197"/>
        <v>Lifecycle_Balanced_70</v>
      </c>
      <c r="D475">
        <v>70</v>
      </c>
      <c r="E475">
        <f>VLOOKUP($D475,'[2]LC Balanced'!$Q$2:$U$542,2,FALSE)</f>
        <v>0.48866666666666664</v>
      </c>
      <c r="F475">
        <f>VLOOKUP($D475,'[2]LC Balanced'!$Q$2:$U$542,3,FALSE)</f>
        <v>0.18966666666666668</v>
      </c>
      <c r="G475">
        <f>VLOOKUP($D475,'[2]LC Balanced'!$Q$2:$U$542,4,FALSE)</f>
        <v>0.32166666666666666</v>
      </c>
      <c r="H475">
        <f>VLOOKUP($D475,'[2]LC Balanced'!$Q$2:$U$542,5,FALSE)</f>
        <v>0</v>
      </c>
      <c r="I475" s="77">
        <f t="shared" si="1141"/>
        <v>1</v>
      </c>
      <c r="J475" s="77">
        <f t="shared" si="1142"/>
        <v>5.0456149999999991E-2</v>
      </c>
      <c r="K475" s="77">
        <f t="shared" si="1132"/>
        <v>4.1104664218543085E-3</v>
      </c>
      <c r="L475" s="76">
        <v>0</v>
      </c>
      <c r="M475" s="77">
        <f t="shared" si="1148"/>
        <v>0</v>
      </c>
      <c r="N475" s="77">
        <f t="shared" si="1149"/>
        <v>0</v>
      </c>
      <c r="O475" s="77">
        <f t="shared" si="1150"/>
        <v>4.6078333333333336E-3</v>
      </c>
      <c r="P475" s="77">
        <f t="shared" si="1151"/>
        <v>3.8479945584424247E-4</v>
      </c>
      <c r="R475" t="s">
        <v>177</v>
      </c>
      <c r="S475" t="s">
        <v>176</v>
      </c>
      <c r="T475" s="197" t="str">
        <f t="shared" si="1083"/>
        <v>Autopilot_Balanced_70</v>
      </c>
      <c r="U475">
        <v>70</v>
      </c>
      <c r="V475">
        <f>VLOOKUP($U475,'[2]AP Balanced'!$Q$1:$T$542,2,FALSE)</f>
        <v>0</v>
      </c>
      <c r="W475">
        <f>VLOOKUP($U475,'[2]AP Balanced'!$Q$1:$T$542,3,FALSE)</f>
        <v>0.95836679999999996</v>
      </c>
      <c r="X475">
        <f>VLOOKUP($U475,'[2]AP Balanced'!$Q$1:$T$542,4,FALSE)</f>
        <v>4.1633200000000037E-2</v>
      </c>
      <c r="Y475" s="77">
        <f t="shared" si="1198"/>
        <v>1</v>
      </c>
      <c r="Z475" s="77">
        <f t="shared" si="1187"/>
        <v>5.098154617999999E-2</v>
      </c>
      <c r="AA475" s="77">
        <f t="shared" si="1188"/>
        <v>4.1523081577108378E-3</v>
      </c>
      <c r="AB475" s="79">
        <v>1</v>
      </c>
      <c r="AC475" s="77">
        <f t="shared" si="1152"/>
        <v>6.2293841999999993E-3</v>
      </c>
      <c r="AD475" s="77">
        <f t="shared" si="1143"/>
        <v>5.2060341979354163E-4</v>
      </c>
      <c r="AE475" s="77">
        <f t="shared" si="1153"/>
        <v>2.4958366800000003E-3</v>
      </c>
      <c r="AF475" s="77">
        <f t="shared" si="1143"/>
        <v>2.0822469093273455E-4</v>
      </c>
      <c r="AH475" t="s">
        <v>175</v>
      </c>
      <c r="AI475" t="s">
        <v>176</v>
      </c>
      <c r="AJ475" s="197" t="str">
        <f t="shared" si="1199"/>
        <v>Lifecycle_Balanced_70</v>
      </c>
      <c r="AK475">
        <v>70</v>
      </c>
      <c r="AL475">
        <f>VLOOKUP($U475,[2]Standard_Balanced!$Q$1:$T$542,2,FALSE)</f>
        <v>0</v>
      </c>
      <c r="AM475">
        <f>VLOOKUP($U475,[2]Standard_Balanced!$Q$1:$T$542,3,FALSE)</f>
        <v>0.95120699999999991</v>
      </c>
      <c r="AN475">
        <f>VLOOKUP($U475,[2]Standard_Balanced!$Q$1:$T$542,4,FALSE)</f>
        <v>4.8793000000000065E-2</v>
      </c>
      <c r="AO475" s="77">
        <f t="shared" si="1129"/>
        <v>1</v>
      </c>
      <c r="AP475" s="77">
        <f t="shared" si="1154"/>
        <v>5.0918181949999995E-2</v>
      </c>
      <c r="AQ475" s="77">
        <f t="shared" si="1200"/>
        <v>4.1472629457426358E-3</v>
      </c>
      <c r="AR475" s="79">
        <v>0</v>
      </c>
      <c r="AS475" s="77">
        <f t="shared" si="1155"/>
        <v>0</v>
      </c>
      <c r="AT475" s="77">
        <f t="shared" ref="AT475" si="1210">1-(1-AS475)^(1/12)</f>
        <v>0</v>
      </c>
      <c r="AU475" s="77">
        <f t="shared" si="1157"/>
        <v>2.4951206999999998E-3</v>
      </c>
      <c r="AV475" s="77">
        <f t="shared" ref="AV475" si="1211">1-(1-AU475)^(1/12)</f>
        <v>2.0816488912056563E-4</v>
      </c>
      <c r="AX475" t="s">
        <v>178</v>
      </c>
      <c r="AY475" t="s">
        <v>160</v>
      </c>
      <c r="AZ475" s="197" t="str">
        <f t="shared" si="1203"/>
        <v>DIS_Non-Standard_70</v>
      </c>
      <c r="BA475">
        <v>70</v>
      </c>
      <c r="BB475">
        <f>VLOOKUP($BA475,'[2]NonStandard DIS'!$Q$1:$X$542,2,FALSE)</f>
        <v>0</v>
      </c>
      <c r="BC475">
        <f>VLOOKUP($BA475,'[2]NonStandard DIS'!$Q$1:$X$542,3,FALSE)</f>
        <v>0</v>
      </c>
      <c r="BD475">
        <f>VLOOKUP($BA475,'[2]NonStandard DIS'!$Q$1:$X$542,4,FALSE)</f>
        <v>0</v>
      </c>
      <c r="BE475">
        <f>VLOOKUP($BA475,'[2]NonStandard DIS'!$Q$1:$X$542,5,FALSE)</f>
        <v>0</v>
      </c>
      <c r="BF475">
        <f>VLOOKUP($BA475,'[2]NonStandard DIS'!$Q$1:$X$542,6,FALSE)</f>
        <v>0</v>
      </c>
      <c r="BG475">
        <f>VLOOKUP($BA475,'[2]NonStandard DIS'!$Q$1:$X$542,7,FALSE)</f>
        <v>0.75</v>
      </c>
      <c r="BH475">
        <f>VLOOKUP($BA475,'[2]NonStandard DIS'!$Q$1:$X$542,8,FALSE)</f>
        <v>0.25</v>
      </c>
      <c r="BI475" s="77">
        <f t="shared" si="1146"/>
        <v>1</v>
      </c>
      <c r="BJ475" s="77">
        <f t="shared" si="1147"/>
        <v>5.5774999999999991E-2</v>
      </c>
      <c r="BK475" s="77">
        <f t="shared" si="1128"/>
        <v>4.533168394748488E-3</v>
      </c>
      <c r="BL475" s="79">
        <v>1</v>
      </c>
      <c r="BM475" s="77">
        <f t="shared" si="1159"/>
        <v>7.2499999999999995E-3</v>
      </c>
      <c r="BN475" s="77">
        <f t="shared" si="1160"/>
        <v>6.0216832136972265E-4</v>
      </c>
      <c r="BO475" s="77">
        <f t="shared" si="1161"/>
        <v>2.5000000000000001E-3</v>
      </c>
      <c r="BP475" s="77">
        <f t="shared" si="1162"/>
        <v>2.0809499864316017E-4</v>
      </c>
    </row>
    <row r="476" spans="1:68">
      <c r="A476" t="s">
        <v>175</v>
      </c>
      <c r="B476" t="s">
        <v>176</v>
      </c>
      <c r="C476" s="197" t="str">
        <f t="shared" si="1197"/>
        <v>Lifecycle_Balanced_69</v>
      </c>
      <c r="D476">
        <v>69</v>
      </c>
      <c r="E476">
        <f>VLOOKUP($D476,'[2]LC Balanced'!$Q$2:$U$542,2,FALSE)</f>
        <v>0.49099999999999999</v>
      </c>
      <c r="F476">
        <f>VLOOKUP($D476,'[2]LC Balanced'!$Q$2:$U$542,3,FALSE)</f>
        <v>0.1885</v>
      </c>
      <c r="G476">
        <f>VLOOKUP($D476,'[2]LC Balanced'!$Q$2:$U$542,4,FALSE)</f>
        <v>0.32050000000000001</v>
      </c>
      <c r="H476">
        <f>VLOOKUP($D476,'[2]LC Balanced'!$Q$2:$U$542,5,FALSE)</f>
        <v>0</v>
      </c>
      <c r="I476" s="77">
        <f t="shared" si="1141"/>
        <v>1</v>
      </c>
      <c r="J476" s="77">
        <f t="shared" si="1142"/>
        <v>5.0425174999999996E-2</v>
      </c>
      <c r="K476" s="77">
        <f t="shared" si="1132"/>
        <v>4.1079990221717377E-3</v>
      </c>
      <c r="L476" s="76">
        <v>0</v>
      </c>
      <c r="M476" s="77">
        <f t="shared" si="1148"/>
        <v>0</v>
      </c>
      <c r="N476" s="77">
        <f t="shared" si="1149"/>
        <v>0</v>
      </c>
      <c r="O476" s="77">
        <f t="shared" si="1150"/>
        <v>4.5981499999999996E-3</v>
      </c>
      <c r="P476" s="77">
        <f t="shared" si="1151"/>
        <v>3.8398909148418259E-4</v>
      </c>
      <c r="R476" t="s">
        <v>177</v>
      </c>
      <c r="S476" t="s">
        <v>176</v>
      </c>
      <c r="T476" s="197" t="str">
        <f t="shared" si="1083"/>
        <v>Autopilot_Balanced_69</v>
      </c>
      <c r="U476">
        <v>69</v>
      </c>
      <c r="V476">
        <f>VLOOKUP($U476,'[2]AP Balanced'!$Q$1:$T$542,2,FALSE)</f>
        <v>0</v>
      </c>
      <c r="W476">
        <f>VLOOKUP($U476,'[2]AP Balanced'!$Q$1:$T$542,3,FALSE)</f>
        <v>0.95836679999999996</v>
      </c>
      <c r="X476">
        <f>VLOOKUP($U476,'[2]AP Balanced'!$Q$1:$T$542,4,FALSE)</f>
        <v>4.1633200000000037E-2</v>
      </c>
      <c r="Y476" s="77">
        <f t="shared" si="1198"/>
        <v>1</v>
      </c>
      <c r="Z476" s="77">
        <f t="shared" si="1187"/>
        <v>5.098154617999999E-2</v>
      </c>
      <c r="AA476" s="77">
        <f t="shared" si="1188"/>
        <v>4.1523081577108378E-3</v>
      </c>
      <c r="AB476" s="79">
        <v>1</v>
      </c>
      <c r="AC476" s="77">
        <f t="shared" si="1152"/>
        <v>6.2293841999999993E-3</v>
      </c>
      <c r="AD476" s="77">
        <f t="shared" si="1143"/>
        <v>5.2060341979354163E-4</v>
      </c>
      <c r="AE476" s="77">
        <f t="shared" si="1153"/>
        <v>2.4958366800000003E-3</v>
      </c>
      <c r="AF476" s="77">
        <f t="shared" si="1143"/>
        <v>2.0822469093273455E-4</v>
      </c>
      <c r="AH476" t="s">
        <v>175</v>
      </c>
      <c r="AI476" t="s">
        <v>176</v>
      </c>
      <c r="AJ476" s="197" t="str">
        <f t="shared" si="1199"/>
        <v>Lifecycle_Balanced_69</v>
      </c>
      <c r="AK476">
        <v>69</v>
      </c>
      <c r="AL476">
        <f>VLOOKUP($U476,[2]Standard_Balanced!$Q$1:$T$542,2,FALSE)</f>
        <v>0</v>
      </c>
      <c r="AM476">
        <f>VLOOKUP($U476,[2]Standard_Balanced!$Q$1:$T$542,3,FALSE)</f>
        <v>0.94762709999999994</v>
      </c>
      <c r="AN476">
        <f>VLOOKUP($U476,[2]Standard_Balanced!$Q$1:$T$542,4,FALSE)</f>
        <v>5.2372900000000083E-2</v>
      </c>
      <c r="AO476" s="77">
        <f t="shared" si="1129"/>
        <v>1</v>
      </c>
      <c r="AP476" s="77">
        <f t="shared" si="1154"/>
        <v>5.0886499834999994E-2</v>
      </c>
      <c r="AQ476" s="77">
        <f t="shared" si="1200"/>
        <v>4.1447402351901808E-3</v>
      </c>
      <c r="AR476" s="79">
        <v>0</v>
      </c>
      <c r="AS476" s="77">
        <f t="shared" si="1155"/>
        <v>0</v>
      </c>
      <c r="AT476" s="77">
        <f t="shared" ref="AT476" si="1212">1-(1-AS476)^(1/12)</f>
        <v>0</v>
      </c>
      <c r="AU476" s="77">
        <f t="shared" si="1157"/>
        <v>2.49476271E-3</v>
      </c>
      <c r="AV476" s="77">
        <f t="shared" ref="AV476" si="1213">1-(1-AU476)^(1/12)</f>
        <v>2.0813498822924714E-4</v>
      </c>
      <c r="AX476" t="s">
        <v>178</v>
      </c>
      <c r="AY476" t="s">
        <v>160</v>
      </c>
      <c r="AZ476" s="197" t="str">
        <f t="shared" si="1203"/>
        <v>DIS_Non-Standard_69</v>
      </c>
      <c r="BA476">
        <v>69</v>
      </c>
      <c r="BB476">
        <f>VLOOKUP($BA476,'[2]NonStandard DIS'!$Q$1:$X$542,2,FALSE)</f>
        <v>0</v>
      </c>
      <c r="BC476">
        <f>VLOOKUP($BA476,'[2]NonStandard DIS'!$Q$1:$X$542,3,FALSE)</f>
        <v>0</v>
      </c>
      <c r="BD476">
        <f>VLOOKUP($BA476,'[2]NonStandard DIS'!$Q$1:$X$542,4,FALSE)</f>
        <v>0</v>
      </c>
      <c r="BE476">
        <f>VLOOKUP($BA476,'[2]NonStandard DIS'!$Q$1:$X$542,5,FALSE)</f>
        <v>0</v>
      </c>
      <c r="BF476">
        <f>VLOOKUP($BA476,'[2]NonStandard DIS'!$Q$1:$X$542,6,FALSE)</f>
        <v>0</v>
      </c>
      <c r="BG476">
        <f>VLOOKUP($BA476,'[2]NonStandard DIS'!$Q$1:$X$542,7,FALSE)</f>
        <v>0.75</v>
      </c>
      <c r="BH476">
        <f>VLOOKUP($BA476,'[2]NonStandard DIS'!$Q$1:$X$542,8,FALSE)</f>
        <v>0.25</v>
      </c>
      <c r="BI476" s="77">
        <f t="shared" si="1146"/>
        <v>1</v>
      </c>
      <c r="BJ476" s="77">
        <f t="shared" si="1147"/>
        <v>5.5774999999999991E-2</v>
      </c>
      <c r="BK476" s="77">
        <f t="shared" si="1128"/>
        <v>4.533168394748488E-3</v>
      </c>
      <c r="BL476" s="79">
        <v>1</v>
      </c>
      <c r="BM476" s="77">
        <f t="shared" si="1159"/>
        <v>7.2499999999999995E-3</v>
      </c>
      <c r="BN476" s="77">
        <f t="shared" si="1160"/>
        <v>6.0216832136972265E-4</v>
      </c>
      <c r="BO476" s="77">
        <f t="shared" si="1161"/>
        <v>2.5000000000000001E-3</v>
      </c>
      <c r="BP476" s="77">
        <f t="shared" si="1162"/>
        <v>2.0809499864316017E-4</v>
      </c>
    </row>
    <row r="477" spans="1:68">
      <c r="A477" t="s">
        <v>175</v>
      </c>
      <c r="B477" t="s">
        <v>176</v>
      </c>
      <c r="C477" s="197" t="str">
        <f t="shared" si="1197"/>
        <v>Lifecycle_Balanced_68</v>
      </c>
      <c r="D477">
        <v>68</v>
      </c>
      <c r="E477">
        <f>VLOOKUP($D477,'[2]LC Balanced'!$Q$2:$U$542,2,FALSE)</f>
        <v>0.49333333333333335</v>
      </c>
      <c r="F477">
        <f>VLOOKUP($D477,'[2]LC Balanced'!$Q$2:$U$542,3,FALSE)</f>
        <v>0.18733333333333332</v>
      </c>
      <c r="G477">
        <f>VLOOKUP($D477,'[2]LC Balanced'!$Q$2:$U$542,4,FALSE)</f>
        <v>0.31933333333333336</v>
      </c>
      <c r="H477">
        <f>VLOOKUP($D477,'[2]LC Balanced'!$Q$2:$U$542,5,FALSE)</f>
        <v>0</v>
      </c>
      <c r="I477" s="77">
        <f t="shared" si="1141"/>
        <v>1</v>
      </c>
      <c r="J477" s="77">
        <f t="shared" si="1142"/>
        <v>5.03942E-2</v>
      </c>
      <c r="K477" s="77">
        <f t="shared" si="1132"/>
        <v>4.1055315557927408E-3</v>
      </c>
      <c r="L477" s="76">
        <v>0</v>
      </c>
      <c r="M477" s="77">
        <f t="shared" si="1148"/>
        <v>0</v>
      </c>
      <c r="N477" s="77">
        <f t="shared" si="1149"/>
        <v>0</v>
      </c>
      <c r="O477" s="77">
        <f t="shared" si="1150"/>
        <v>4.5884666666666666E-3</v>
      </c>
      <c r="P477" s="77">
        <f t="shared" si="1151"/>
        <v>3.8317873435056438E-4</v>
      </c>
      <c r="R477" t="s">
        <v>177</v>
      </c>
      <c r="S477" t="s">
        <v>176</v>
      </c>
      <c r="T477" s="197" t="str">
        <f t="shared" si="1083"/>
        <v>Autopilot_Balanced_68</v>
      </c>
      <c r="U477">
        <v>68</v>
      </c>
      <c r="V477">
        <f>VLOOKUP($U477,'[2]AP Balanced'!$Q$1:$T$542,2,FALSE)</f>
        <v>0</v>
      </c>
      <c r="W477">
        <f>VLOOKUP($U477,'[2]AP Balanced'!$Q$1:$T$542,3,FALSE)</f>
        <v>0.95836679999999996</v>
      </c>
      <c r="X477">
        <f>VLOOKUP($U477,'[2]AP Balanced'!$Q$1:$T$542,4,FALSE)</f>
        <v>4.1633200000000037E-2</v>
      </c>
      <c r="Y477" s="77">
        <f t="shared" si="1198"/>
        <v>1</v>
      </c>
      <c r="Z477" s="77">
        <f t="shared" si="1187"/>
        <v>5.098154617999999E-2</v>
      </c>
      <c r="AA477" s="77">
        <f t="shared" si="1188"/>
        <v>4.1523081577108378E-3</v>
      </c>
      <c r="AB477" s="79">
        <v>1</v>
      </c>
      <c r="AC477" s="77">
        <f t="shared" si="1152"/>
        <v>6.2293841999999993E-3</v>
      </c>
      <c r="AD477" s="77">
        <f t="shared" si="1143"/>
        <v>5.2060341979354163E-4</v>
      </c>
      <c r="AE477" s="77">
        <f t="shared" si="1153"/>
        <v>2.4958366800000003E-3</v>
      </c>
      <c r="AF477" s="77">
        <f t="shared" si="1143"/>
        <v>2.0822469093273455E-4</v>
      </c>
      <c r="AH477" t="s">
        <v>175</v>
      </c>
      <c r="AI477" t="s">
        <v>176</v>
      </c>
      <c r="AJ477" s="197" t="str">
        <f t="shared" si="1199"/>
        <v>Lifecycle_Balanced_68</v>
      </c>
      <c r="AK477">
        <v>68</v>
      </c>
      <c r="AL477">
        <f>VLOOKUP($U477,[2]Standard_Balanced!$Q$1:$T$542,2,FALSE)</f>
        <v>0</v>
      </c>
      <c r="AM477">
        <f>VLOOKUP($U477,[2]Standard_Balanced!$Q$1:$T$542,3,FALSE)</f>
        <v>0.94404719999999986</v>
      </c>
      <c r="AN477">
        <f>VLOOKUP($U477,[2]Standard_Balanced!$Q$1:$T$542,4,FALSE)</f>
        <v>5.5952800000000101E-2</v>
      </c>
      <c r="AO477" s="77">
        <f t="shared" si="1129"/>
        <v>1</v>
      </c>
      <c r="AP477" s="77">
        <f t="shared" si="1154"/>
        <v>5.0854817719999987E-2</v>
      </c>
      <c r="AQ477" s="77">
        <f t="shared" si="1200"/>
        <v>4.1422174549197166E-3</v>
      </c>
      <c r="AR477" s="79">
        <v>0</v>
      </c>
      <c r="AS477" s="77">
        <f t="shared" si="1155"/>
        <v>0</v>
      </c>
      <c r="AT477" s="77">
        <f t="shared" ref="AT477" si="1214">1-(1-AS477)^(1/12)</f>
        <v>0</v>
      </c>
      <c r="AU477" s="77">
        <f t="shared" si="1157"/>
        <v>2.4944047199999997E-3</v>
      </c>
      <c r="AV477" s="77">
        <f t="shared" ref="AV477" si="1215">1-(1-AU477)^(1/12)</f>
        <v>2.0810508734769861E-4</v>
      </c>
      <c r="AX477" t="s">
        <v>178</v>
      </c>
      <c r="AY477" t="s">
        <v>160</v>
      </c>
      <c r="AZ477" s="197" t="str">
        <f t="shared" si="1203"/>
        <v>DIS_Non-Standard_68</v>
      </c>
      <c r="BA477">
        <v>68</v>
      </c>
      <c r="BB477">
        <f>VLOOKUP($BA477,'[2]NonStandard DIS'!$Q$1:$X$542,2,FALSE)</f>
        <v>0</v>
      </c>
      <c r="BC477">
        <f>VLOOKUP($BA477,'[2]NonStandard DIS'!$Q$1:$X$542,3,FALSE)</f>
        <v>0</v>
      </c>
      <c r="BD477">
        <f>VLOOKUP($BA477,'[2]NonStandard DIS'!$Q$1:$X$542,4,FALSE)</f>
        <v>0</v>
      </c>
      <c r="BE477">
        <f>VLOOKUP($BA477,'[2]NonStandard DIS'!$Q$1:$X$542,5,FALSE)</f>
        <v>0</v>
      </c>
      <c r="BF477">
        <f>VLOOKUP($BA477,'[2]NonStandard DIS'!$Q$1:$X$542,6,FALSE)</f>
        <v>0</v>
      </c>
      <c r="BG477">
        <f>VLOOKUP($BA477,'[2]NonStandard DIS'!$Q$1:$X$542,7,FALSE)</f>
        <v>0.75</v>
      </c>
      <c r="BH477">
        <f>VLOOKUP($BA477,'[2]NonStandard DIS'!$Q$1:$X$542,8,FALSE)</f>
        <v>0.25</v>
      </c>
      <c r="BI477" s="77">
        <f t="shared" si="1146"/>
        <v>1</v>
      </c>
      <c r="BJ477" s="77">
        <f t="shared" si="1147"/>
        <v>5.5774999999999991E-2</v>
      </c>
      <c r="BK477" s="77">
        <f t="shared" si="1128"/>
        <v>4.533168394748488E-3</v>
      </c>
      <c r="BL477" s="79">
        <v>1</v>
      </c>
      <c r="BM477" s="77">
        <f t="shared" si="1159"/>
        <v>7.2499999999999995E-3</v>
      </c>
      <c r="BN477" s="77">
        <f t="shared" si="1160"/>
        <v>6.0216832136972265E-4</v>
      </c>
      <c r="BO477" s="77">
        <f t="shared" si="1161"/>
        <v>2.5000000000000001E-3</v>
      </c>
      <c r="BP477" s="77">
        <f t="shared" si="1162"/>
        <v>2.0809499864316017E-4</v>
      </c>
    </row>
    <row r="478" spans="1:68">
      <c r="A478" t="s">
        <v>175</v>
      </c>
      <c r="B478" t="s">
        <v>176</v>
      </c>
      <c r="C478" s="197" t="str">
        <f t="shared" si="1197"/>
        <v>Lifecycle_Balanced_67</v>
      </c>
      <c r="D478">
        <v>67</v>
      </c>
      <c r="E478">
        <f>VLOOKUP($D478,'[2]LC Balanced'!$Q$2:$U$542,2,FALSE)</f>
        <v>0.49566666666666664</v>
      </c>
      <c r="F478">
        <f>VLOOKUP($D478,'[2]LC Balanced'!$Q$2:$U$542,3,FALSE)</f>
        <v>0.18616666666666667</v>
      </c>
      <c r="G478">
        <f>VLOOKUP($D478,'[2]LC Balanced'!$Q$2:$U$542,4,FALSE)</f>
        <v>0.31816666666666665</v>
      </c>
      <c r="H478">
        <f>VLOOKUP($D478,'[2]LC Balanced'!$Q$2:$U$542,5,FALSE)</f>
        <v>0</v>
      </c>
      <c r="I478" s="77">
        <f t="shared" si="1141"/>
        <v>1</v>
      </c>
      <c r="J478" s="77">
        <f t="shared" si="1142"/>
        <v>5.0363224999999998E-2</v>
      </c>
      <c r="K478" s="77">
        <f t="shared" si="1132"/>
        <v>4.1030640227135429E-3</v>
      </c>
      <c r="L478" s="76">
        <v>0</v>
      </c>
      <c r="M478" s="77">
        <f t="shared" si="1148"/>
        <v>0</v>
      </c>
      <c r="N478" s="77">
        <f t="shared" si="1149"/>
        <v>0</v>
      </c>
      <c r="O478" s="77">
        <f t="shared" si="1150"/>
        <v>4.5787833333333335E-3</v>
      </c>
      <c r="P478" s="77">
        <f t="shared" si="1151"/>
        <v>3.8236838444294374E-4</v>
      </c>
      <c r="R478" t="s">
        <v>177</v>
      </c>
      <c r="S478" t="s">
        <v>176</v>
      </c>
      <c r="T478" s="197" t="str">
        <f t="shared" si="1083"/>
        <v>Autopilot_Balanced_67</v>
      </c>
      <c r="U478">
        <v>67</v>
      </c>
      <c r="V478">
        <f>VLOOKUP($U478,'[2]AP Balanced'!$Q$1:$T$542,2,FALSE)</f>
        <v>0</v>
      </c>
      <c r="W478">
        <f>VLOOKUP($U478,'[2]AP Balanced'!$Q$1:$T$542,3,FALSE)</f>
        <v>0.95836679999999996</v>
      </c>
      <c r="X478">
        <f>VLOOKUP($U478,'[2]AP Balanced'!$Q$1:$T$542,4,FALSE)</f>
        <v>4.1633200000000037E-2</v>
      </c>
      <c r="Y478" s="77">
        <f t="shared" si="1198"/>
        <v>1</v>
      </c>
      <c r="Z478" s="77">
        <f t="shared" si="1187"/>
        <v>5.098154617999999E-2</v>
      </c>
      <c r="AA478" s="77">
        <f t="shared" si="1188"/>
        <v>4.1523081577108378E-3</v>
      </c>
      <c r="AB478" s="79">
        <v>1</v>
      </c>
      <c r="AC478" s="77">
        <f t="shared" si="1152"/>
        <v>6.2293841999999993E-3</v>
      </c>
      <c r="AD478" s="77">
        <f t="shared" si="1143"/>
        <v>5.2060341979354163E-4</v>
      </c>
      <c r="AE478" s="77">
        <f t="shared" si="1153"/>
        <v>2.4958366800000003E-3</v>
      </c>
      <c r="AF478" s="77">
        <f t="shared" si="1143"/>
        <v>2.0822469093273455E-4</v>
      </c>
      <c r="AH478" t="s">
        <v>175</v>
      </c>
      <c r="AI478" t="s">
        <v>176</v>
      </c>
      <c r="AJ478" s="197" t="str">
        <f t="shared" si="1199"/>
        <v>Lifecycle_Balanced_67</v>
      </c>
      <c r="AK478">
        <v>67</v>
      </c>
      <c r="AL478">
        <f>VLOOKUP($U478,[2]Standard_Balanced!$Q$1:$T$542,2,FALSE)</f>
        <v>0</v>
      </c>
      <c r="AM478">
        <f>VLOOKUP($U478,[2]Standard_Balanced!$Q$1:$T$542,3,FALSE)</f>
        <v>0.9404672999999999</v>
      </c>
      <c r="AN478">
        <f>VLOOKUP($U478,[2]Standard_Balanced!$Q$1:$T$542,4,FALSE)</f>
        <v>5.9532700000000112E-2</v>
      </c>
      <c r="AO478" s="77">
        <f t="shared" si="1129"/>
        <v>1</v>
      </c>
      <c r="AP478" s="77">
        <f t="shared" si="1154"/>
        <v>5.0823135604999993E-2</v>
      </c>
      <c r="AQ478" s="77">
        <f t="shared" si="1200"/>
        <v>4.1396946049276906E-3</v>
      </c>
      <c r="AR478" s="79">
        <v>0</v>
      </c>
      <c r="AS478" s="77">
        <f t="shared" si="1155"/>
        <v>0</v>
      </c>
      <c r="AT478" s="77">
        <f t="shared" ref="AT478" si="1216">1-(1-AS478)^(1/12)</f>
        <v>0</v>
      </c>
      <c r="AU478" s="77">
        <f t="shared" si="1157"/>
        <v>2.4940467299999999E-3</v>
      </c>
      <c r="AV478" s="77">
        <f t="shared" ref="AV478" si="1217">1-(1-AU478)^(1/12)</f>
        <v>2.0807518647603107E-4</v>
      </c>
      <c r="AX478" t="s">
        <v>178</v>
      </c>
      <c r="AY478" t="s">
        <v>160</v>
      </c>
      <c r="AZ478" s="197" t="str">
        <f t="shared" si="1203"/>
        <v>DIS_Non-Standard_67</v>
      </c>
      <c r="BA478">
        <v>67</v>
      </c>
      <c r="BB478">
        <f>VLOOKUP($BA478,'[2]NonStandard DIS'!$Q$1:$X$542,2,FALSE)</f>
        <v>0</v>
      </c>
      <c r="BC478">
        <f>VLOOKUP($BA478,'[2]NonStandard DIS'!$Q$1:$X$542,3,FALSE)</f>
        <v>0</v>
      </c>
      <c r="BD478">
        <f>VLOOKUP($BA478,'[2]NonStandard DIS'!$Q$1:$X$542,4,FALSE)</f>
        <v>0</v>
      </c>
      <c r="BE478">
        <f>VLOOKUP($BA478,'[2]NonStandard DIS'!$Q$1:$X$542,5,FALSE)</f>
        <v>0</v>
      </c>
      <c r="BF478">
        <f>VLOOKUP($BA478,'[2]NonStandard DIS'!$Q$1:$X$542,6,FALSE)</f>
        <v>0</v>
      </c>
      <c r="BG478">
        <f>VLOOKUP($BA478,'[2]NonStandard DIS'!$Q$1:$X$542,7,FALSE)</f>
        <v>0.75</v>
      </c>
      <c r="BH478">
        <f>VLOOKUP($BA478,'[2]NonStandard DIS'!$Q$1:$X$542,8,FALSE)</f>
        <v>0.25</v>
      </c>
      <c r="BI478" s="77">
        <f t="shared" si="1146"/>
        <v>1</v>
      </c>
      <c r="BJ478" s="77">
        <f t="shared" si="1147"/>
        <v>5.5774999999999991E-2</v>
      </c>
      <c r="BK478" s="77">
        <f t="shared" si="1128"/>
        <v>4.533168394748488E-3</v>
      </c>
      <c r="BL478" s="79">
        <v>1</v>
      </c>
      <c r="BM478" s="77">
        <f t="shared" si="1159"/>
        <v>7.2499999999999995E-3</v>
      </c>
      <c r="BN478" s="77">
        <f t="shared" si="1160"/>
        <v>6.0216832136972265E-4</v>
      </c>
      <c r="BO478" s="77">
        <f t="shared" si="1161"/>
        <v>2.5000000000000001E-3</v>
      </c>
      <c r="BP478" s="77">
        <f t="shared" si="1162"/>
        <v>2.0809499864316017E-4</v>
      </c>
    </row>
    <row r="479" spans="1:68">
      <c r="A479" t="s">
        <v>175</v>
      </c>
      <c r="B479" t="s">
        <v>176</v>
      </c>
      <c r="C479" s="197" t="str">
        <f t="shared" si="1197"/>
        <v>Lifecycle_Balanced_66</v>
      </c>
      <c r="D479">
        <v>66</v>
      </c>
      <c r="E479">
        <f>VLOOKUP($D479,'[2]LC Balanced'!$Q$2:$U$542,2,FALSE)</f>
        <v>0.498</v>
      </c>
      <c r="F479">
        <f>VLOOKUP($D479,'[2]LC Balanced'!$Q$2:$U$542,3,FALSE)</f>
        <v>0.185</v>
      </c>
      <c r="G479">
        <f>VLOOKUP($D479,'[2]LC Balanced'!$Q$2:$U$542,4,FALSE)</f>
        <v>0.317</v>
      </c>
      <c r="H479">
        <f>VLOOKUP($D479,'[2]LC Balanced'!$Q$2:$U$542,5,FALSE)</f>
        <v>0</v>
      </c>
      <c r="I479" s="77">
        <f t="shared" si="1141"/>
        <v>1</v>
      </c>
      <c r="J479" s="77">
        <f t="shared" si="1142"/>
        <v>5.0332249999999995E-2</v>
      </c>
      <c r="K479" s="77">
        <f t="shared" si="1132"/>
        <v>4.1005964229301473E-3</v>
      </c>
      <c r="L479" s="76">
        <v>0</v>
      </c>
      <c r="M479" s="77">
        <f t="shared" si="1148"/>
        <v>0</v>
      </c>
      <c r="N479" s="77">
        <f t="shared" si="1149"/>
        <v>0</v>
      </c>
      <c r="O479" s="77">
        <f t="shared" si="1150"/>
        <v>4.5690999999999996E-3</v>
      </c>
      <c r="P479" s="77">
        <f t="shared" si="1151"/>
        <v>3.8155804176143171E-4</v>
      </c>
      <c r="R479" t="s">
        <v>177</v>
      </c>
      <c r="S479" t="s">
        <v>176</v>
      </c>
      <c r="T479" s="197" t="str">
        <f t="shared" si="1083"/>
        <v>Autopilot_Balanced_66</v>
      </c>
      <c r="U479">
        <v>66</v>
      </c>
      <c r="V479">
        <f>VLOOKUP($U479,'[2]AP Balanced'!$Q$1:$T$542,2,FALSE)</f>
        <v>0</v>
      </c>
      <c r="W479">
        <f>VLOOKUP($U479,'[2]AP Balanced'!$Q$1:$T$542,3,FALSE)</f>
        <v>0.95836679999999996</v>
      </c>
      <c r="X479">
        <f>VLOOKUP($U479,'[2]AP Balanced'!$Q$1:$T$542,4,FALSE)</f>
        <v>4.1633200000000037E-2</v>
      </c>
      <c r="Y479" s="77">
        <f t="shared" si="1198"/>
        <v>1</v>
      </c>
      <c r="Z479" s="77">
        <f t="shared" si="1187"/>
        <v>5.098154617999999E-2</v>
      </c>
      <c r="AA479" s="77">
        <f t="shared" si="1188"/>
        <v>4.1523081577108378E-3</v>
      </c>
      <c r="AB479" s="79">
        <v>1</v>
      </c>
      <c r="AC479" s="77">
        <f t="shared" si="1152"/>
        <v>6.2293841999999993E-3</v>
      </c>
      <c r="AD479" s="77">
        <f t="shared" si="1143"/>
        <v>5.2060341979354163E-4</v>
      </c>
      <c r="AE479" s="77">
        <f t="shared" si="1153"/>
        <v>2.4958366800000003E-3</v>
      </c>
      <c r="AF479" s="77">
        <f t="shared" si="1143"/>
        <v>2.0822469093273455E-4</v>
      </c>
      <c r="AH479" t="s">
        <v>175</v>
      </c>
      <c r="AI479" t="s">
        <v>176</v>
      </c>
      <c r="AJ479" s="197" t="str">
        <f t="shared" si="1199"/>
        <v>Lifecycle_Balanced_66</v>
      </c>
      <c r="AK479">
        <v>66</v>
      </c>
      <c r="AL479">
        <f>VLOOKUP($U479,[2]Standard_Balanced!$Q$1:$T$542,2,FALSE)</f>
        <v>0</v>
      </c>
      <c r="AM479">
        <f>VLOOKUP($U479,[2]Standard_Balanced!$Q$1:$T$542,3,FALSE)</f>
        <v>0.93688739999999981</v>
      </c>
      <c r="AN479">
        <f>VLOOKUP($U479,[2]Standard_Balanced!$Q$1:$T$542,4,FALSE)</f>
        <v>6.311260000000013E-2</v>
      </c>
      <c r="AO479" s="77">
        <f t="shared" si="1129"/>
        <v>1</v>
      </c>
      <c r="AP479" s="77">
        <f t="shared" si="1154"/>
        <v>5.0791453489999992E-2</v>
      </c>
      <c r="AQ479" s="77">
        <f t="shared" si="1200"/>
        <v>4.1371716852098839E-3</v>
      </c>
      <c r="AR479" s="79">
        <v>0</v>
      </c>
      <c r="AS479" s="77">
        <f t="shared" si="1155"/>
        <v>0</v>
      </c>
      <c r="AT479" s="77">
        <f t="shared" ref="AT479" si="1218">1-(1-AS479)^(1/12)</f>
        <v>0</v>
      </c>
      <c r="AU479" s="77">
        <f t="shared" si="1157"/>
        <v>2.4936887399999996E-3</v>
      </c>
      <c r="AV479" s="77">
        <f t="shared" ref="AV479" si="1219">1-(1-AU479)^(1/12)</f>
        <v>2.0804528561413349E-4</v>
      </c>
      <c r="AX479" t="s">
        <v>178</v>
      </c>
      <c r="AY479" t="s">
        <v>160</v>
      </c>
      <c r="AZ479" s="197" t="str">
        <f t="shared" si="1203"/>
        <v>DIS_Non-Standard_66</v>
      </c>
      <c r="BA479">
        <v>66</v>
      </c>
      <c r="BB479">
        <f>VLOOKUP($BA479,'[2]NonStandard DIS'!$Q$1:$X$542,2,FALSE)</f>
        <v>0</v>
      </c>
      <c r="BC479">
        <f>VLOOKUP($BA479,'[2]NonStandard DIS'!$Q$1:$X$542,3,FALSE)</f>
        <v>0</v>
      </c>
      <c r="BD479">
        <f>VLOOKUP($BA479,'[2]NonStandard DIS'!$Q$1:$X$542,4,FALSE)</f>
        <v>0</v>
      </c>
      <c r="BE479">
        <f>VLOOKUP($BA479,'[2]NonStandard DIS'!$Q$1:$X$542,5,FALSE)</f>
        <v>0</v>
      </c>
      <c r="BF479">
        <f>VLOOKUP($BA479,'[2]NonStandard DIS'!$Q$1:$X$542,6,FALSE)</f>
        <v>0</v>
      </c>
      <c r="BG479">
        <f>VLOOKUP($BA479,'[2]NonStandard DIS'!$Q$1:$X$542,7,FALSE)</f>
        <v>0.75</v>
      </c>
      <c r="BH479">
        <f>VLOOKUP($BA479,'[2]NonStandard DIS'!$Q$1:$X$542,8,FALSE)</f>
        <v>0.25</v>
      </c>
      <c r="BI479" s="77">
        <f t="shared" si="1146"/>
        <v>1</v>
      </c>
      <c r="BJ479" s="77">
        <f t="shared" si="1147"/>
        <v>5.5774999999999991E-2</v>
      </c>
      <c r="BK479" s="77">
        <f t="shared" si="1128"/>
        <v>4.533168394748488E-3</v>
      </c>
      <c r="BL479" s="79">
        <v>1</v>
      </c>
      <c r="BM479" s="77">
        <f t="shared" si="1159"/>
        <v>7.2499999999999995E-3</v>
      </c>
      <c r="BN479" s="77">
        <f t="shared" si="1160"/>
        <v>6.0216832136972265E-4</v>
      </c>
      <c r="BO479" s="77">
        <f t="shared" si="1161"/>
        <v>2.5000000000000001E-3</v>
      </c>
      <c r="BP479" s="77">
        <f t="shared" si="1162"/>
        <v>2.0809499864316017E-4</v>
      </c>
    </row>
    <row r="480" spans="1:68">
      <c r="A480" t="s">
        <v>175</v>
      </c>
      <c r="B480" t="s">
        <v>176</v>
      </c>
      <c r="C480" s="197" t="str">
        <f t="shared" si="1197"/>
        <v>Lifecycle_Balanced_65</v>
      </c>
      <c r="D480">
        <v>65</v>
      </c>
      <c r="E480">
        <f>VLOOKUP($D480,'[2]LC Balanced'!$Q$2:$U$542,2,FALSE)</f>
        <v>0.5003333333333333</v>
      </c>
      <c r="F480">
        <f>VLOOKUP($D480,'[2]LC Balanced'!$Q$2:$U$542,3,FALSE)</f>
        <v>0.18383333333333332</v>
      </c>
      <c r="G480">
        <f>VLOOKUP($D480,'[2]LC Balanced'!$Q$2:$U$542,4,FALSE)</f>
        <v>0.31583333333333335</v>
      </c>
      <c r="H480">
        <f>VLOOKUP($D480,'[2]LC Balanced'!$Q$2:$U$542,5,FALSE)</f>
        <v>0</v>
      </c>
      <c r="I480" s="77">
        <f t="shared" si="1141"/>
        <v>1</v>
      </c>
      <c r="J480" s="77">
        <f t="shared" si="1142"/>
        <v>5.0301274999999999E-2</v>
      </c>
      <c r="K480" s="77">
        <f t="shared" si="1132"/>
        <v>4.0981287564390012E-3</v>
      </c>
      <c r="L480" s="76">
        <v>0</v>
      </c>
      <c r="M480" s="77">
        <f t="shared" si="1148"/>
        <v>0</v>
      </c>
      <c r="N480" s="77">
        <f t="shared" si="1149"/>
        <v>0</v>
      </c>
      <c r="O480" s="77">
        <f t="shared" si="1150"/>
        <v>4.5594166666666665E-3</v>
      </c>
      <c r="P480" s="77">
        <f t="shared" si="1151"/>
        <v>3.8074770630580623E-4</v>
      </c>
      <c r="R480" t="s">
        <v>177</v>
      </c>
      <c r="S480" t="s">
        <v>176</v>
      </c>
      <c r="T480" s="197" t="str">
        <f t="shared" si="1083"/>
        <v>Autopilot_Balanced_65</v>
      </c>
      <c r="U480">
        <v>65</v>
      </c>
      <c r="V480">
        <f>VLOOKUP($U480,'[2]AP Balanced'!$Q$1:$T$542,2,FALSE)</f>
        <v>0</v>
      </c>
      <c r="W480">
        <f>VLOOKUP($U480,'[2]AP Balanced'!$Q$1:$T$542,3,FALSE)</f>
        <v>0.95836679999999996</v>
      </c>
      <c r="X480">
        <f>VLOOKUP($U480,'[2]AP Balanced'!$Q$1:$T$542,4,FALSE)</f>
        <v>4.1633200000000037E-2</v>
      </c>
      <c r="Y480" s="77">
        <f t="shared" si="1198"/>
        <v>1</v>
      </c>
      <c r="Z480" s="77">
        <f t="shared" si="1187"/>
        <v>5.098154617999999E-2</v>
      </c>
      <c r="AA480" s="77">
        <f t="shared" si="1188"/>
        <v>4.1523081577108378E-3</v>
      </c>
      <c r="AB480" s="79">
        <v>1</v>
      </c>
      <c r="AC480" s="77">
        <f t="shared" si="1152"/>
        <v>6.2293841999999993E-3</v>
      </c>
      <c r="AD480" s="77">
        <f t="shared" si="1143"/>
        <v>5.2060341979354163E-4</v>
      </c>
      <c r="AE480" s="77">
        <f t="shared" si="1153"/>
        <v>2.4958366800000003E-3</v>
      </c>
      <c r="AF480" s="77">
        <f t="shared" si="1143"/>
        <v>2.0822469093273455E-4</v>
      </c>
      <c r="AH480" t="s">
        <v>175</v>
      </c>
      <c r="AI480" t="s">
        <v>176</v>
      </c>
      <c r="AJ480" s="197" t="str">
        <f t="shared" si="1199"/>
        <v>Lifecycle_Balanced_65</v>
      </c>
      <c r="AK480">
        <v>65</v>
      </c>
      <c r="AL480">
        <f>VLOOKUP($U480,[2]Standard_Balanced!$Q$1:$T$542,2,FALSE)</f>
        <v>0</v>
      </c>
      <c r="AM480">
        <f>VLOOKUP($U480,[2]Standard_Balanced!$Q$1:$T$542,3,FALSE)</f>
        <v>0.93330749999999985</v>
      </c>
      <c r="AN480">
        <f>VLOOKUP($U480,[2]Standard_Balanced!$Q$1:$T$542,4,FALSE)</f>
        <v>6.6692500000000141E-2</v>
      </c>
      <c r="AO480" s="77">
        <f t="shared" si="1129"/>
        <v>1</v>
      </c>
      <c r="AP480" s="77">
        <f t="shared" si="1154"/>
        <v>5.0759771374999992E-2</v>
      </c>
      <c r="AQ480" s="77">
        <f t="shared" si="1200"/>
        <v>4.1346486957620776E-3</v>
      </c>
      <c r="AR480" s="79">
        <v>0</v>
      </c>
      <c r="AS480" s="77">
        <f t="shared" si="1155"/>
        <v>0</v>
      </c>
      <c r="AT480" s="77">
        <f t="shared" ref="AT480" si="1220">1-(1-AS480)^(1/12)</f>
        <v>0</v>
      </c>
      <c r="AU480" s="77">
        <f t="shared" si="1157"/>
        <v>2.4933307499999998E-3</v>
      </c>
      <c r="AV480" s="77">
        <f t="shared" ref="AV480" si="1221">1-(1-AU480)^(1/12)</f>
        <v>2.0801538476222792E-4</v>
      </c>
      <c r="AX480" t="s">
        <v>178</v>
      </c>
      <c r="AY480" t="s">
        <v>160</v>
      </c>
      <c r="AZ480" s="197" t="str">
        <f t="shared" si="1203"/>
        <v>DIS_Non-Standard_65</v>
      </c>
      <c r="BA480">
        <v>65</v>
      </c>
      <c r="BB480">
        <f>VLOOKUP($BA480,'[2]NonStandard DIS'!$Q$1:$X$542,2,FALSE)</f>
        <v>0</v>
      </c>
      <c r="BC480">
        <f>VLOOKUP($BA480,'[2]NonStandard DIS'!$Q$1:$X$542,3,FALSE)</f>
        <v>0</v>
      </c>
      <c r="BD480">
        <f>VLOOKUP($BA480,'[2]NonStandard DIS'!$Q$1:$X$542,4,FALSE)</f>
        <v>0</v>
      </c>
      <c r="BE480">
        <f>VLOOKUP($BA480,'[2]NonStandard DIS'!$Q$1:$X$542,5,FALSE)</f>
        <v>0</v>
      </c>
      <c r="BF480">
        <f>VLOOKUP($BA480,'[2]NonStandard DIS'!$Q$1:$X$542,6,FALSE)</f>
        <v>0</v>
      </c>
      <c r="BG480">
        <f>VLOOKUP($BA480,'[2]NonStandard DIS'!$Q$1:$X$542,7,FALSE)</f>
        <v>0.75</v>
      </c>
      <c r="BH480">
        <f>VLOOKUP($BA480,'[2]NonStandard DIS'!$Q$1:$X$542,8,FALSE)</f>
        <v>0.25</v>
      </c>
      <c r="BI480" s="77">
        <f t="shared" si="1146"/>
        <v>1</v>
      </c>
      <c r="BJ480" s="77">
        <f t="shared" si="1147"/>
        <v>5.5774999999999991E-2</v>
      </c>
      <c r="BK480" s="77">
        <f t="shared" si="1128"/>
        <v>4.533168394748488E-3</v>
      </c>
      <c r="BL480" s="79">
        <v>1</v>
      </c>
      <c r="BM480" s="77">
        <f t="shared" si="1159"/>
        <v>7.2499999999999995E-3</v>
      </c>
      <c r="BN480" s="77">
        <f t="shared" si="1160"/>
        <v>6.0216832136972265E-4</v>
      </c>
      <c r="BO480" s="77">
        <f t="shared" si="1161"/>
        <v>2.5000000000000001E-3</v>
      </c>
      <c r="BP480" s="77">
        <f t="shared" si="1162"/>
        <v>2.0809499864316017E-4</v>
      </c>
    </row>
    <row r="481" spans="1:68">
      <c r="A481" t="s">
        <v>175</v>
      </c>
      <c r="B481" t="s">
        <v>176</v>
      </c>
      <c r="C481" s="197" t="str">
        <f t="shared" si="1197"/>
        <v>Lifecycle_Balanced_64</v>
      </c>
      <c r="D481">
        <v>64</v>
      </c>
      <c r="E481">
        <f>VLOOKUP($D481,'[2]LC Balanced'!$Q$2:$U$542,2,FALSE)</f>
        <v>0.50266666666666671</v>
      </c>
      <c r="F481">
        <f>VLOOKUP($D481,'[2]LC Balanced'!$Q$2:$U$542,3,FALSE)</f>
        <v>0.18266666666666667</v>
      </c>
      <c r="G481">
        <f>VLOOKUP($D481,'[2]LC Balanced'!$Q$2:$U$542,4,FALSE)</f>
        <v>0.31466666666666665</v>
      </c>
      <c r="H481">
        <f>VLOOKUP($D481,'[2]LC Balanced'!$Q$2:$U$542,5,FALSE)</f>
        <v>0</v>
      </c>
      <c r="I481" s="77">
        <f t="shared" si="1141"/>
        <v>1</v>
      </c>
      <c r="J481" s="77">
        <f t="shared" si="1142"/>
        <v>5.027029999999999E-2</v>
      </c>
      <c r="K481" s="77">
        <f t="shared" si="1132"/>
        <v>4.09566102323633E-3</v>
      </c>
      <c r="L481" s="76">
        <v>0</v>
      </c>
      <c r="M481" s="77">
        <f t="shared" si="1148"/>
        <v>0</v>
      </c>
      <c r="N481" s="77">
        <f t="shared" si="1149"/>
        <v>0</v>
      </c>
      <c r="O481" s="77">
        <f t="shared" si="1150"/>
        <v>4.5497333333333334E-3</v>
      </c>
      <c r="P481" s="77">
        <f t="shared" si="1151"/>
        <v>3.7993737807595629E-4</v>
      </c>
      <c r="R481" t="s">
        <v>177</v>
      </c>
      <c r="S481" t="s">
        <v>176</v>
      </c>
      <c r="T481" s="197" t="str">
        <f t="shared" si="1083"/>
        <v>Autopilot_Balanced_64</v>
      </c>
      <c r="U481">
        <v>64</v>
      </c>
      <c r="V481">
        <f>VLOOKUP($U481,'[2]AP Balanced'!$Q$1:$T$542,2,FALSE)</f>
        <v>0</v>
      </c>
      <c r="W481">
        <f>VLOOKUP($U481,'[2]AP Balanced'!$Q$1:$T$542,3,FALSE)</f>
        <v>0.95836679999999996</v>
      </c>
      <c r="X481">
        <f>VLOOKUP($U481,'[2]AP Balanced'!$Q$1:$T$542,4,FALSE)</f>
        <v>4.1633200000000037E-2</v>
      </c>
      <c r="Y481" s="77">
        <f t="shared" si="1198"/>
        <v>1</v>
      </c>
      <c r="Z481" s="77">
        <f t="shared" si="1187"/>
        <v>5.098154617999999E-2</v>
      </c>
      <c r="AA481" s="77">
        <f t="shared" si="1188"/>
        <v>4.1523081577108378E-3</v>
      </c>
      <c r="AB481" s="79">
        <v>1</v>
      </c>
      <c r="AC481" s="77">
        <f t="shared" si="1152"/>
        <v>6.2293841999999993E-3</v>
      </c>
      <c r="AD481" s="77">
        <f t="shared" si="1143"/>
        <v>5.2060341979354163E-4</v>
      </c>
      <c r="AE481" s="77">
        <f t="shared" si="1153"/>
        <v>2.4958366800000003E-3</v>
      </c>
      <c r="AF481" s="77">
        <f t="shared" si="1143"/>
        <v>2.0822469093273455E-4</v>
      </c>
      <c r="AH481" t="s">
        <v>175</v>
      </c>
      <c r="AI481" t="s">
        <v>176</v>
      </c>
      <c r="AJ481" s="197" t="str">
        <f t="shared" si="1199"/>
        <v>Lifecycle_Balanced_64</v>
      </c>
      <c r="AK481">
        <v>64</v>
      </c>
      <c r="AL481">
        <f>VLOOKUP($U481,[2]Standard_Balanced!$Q$1:$T$542,2,FALSE)</f>
        <v>0</v>
      </c>
      <c r="AM481">
        <f>VLOOKUP($U481,[2]Standard_Balanced!$Q$1:$T$542,3,FALSE)</f>
        <v>0.92972759999999988</v>
      </c>
      <c r="AN481">
        <f>VLOOKUP($U481,[2]Standard_Balanced!$Q$1:$T$542,4,FALSE)</f>
        <v>7.0272400000000165E-2</v>
      </c>
      <c r="AO481" s="77">
        <f t="shared" si="1129"/>
        <v>1</v>
      </c>
      <c r="AP481" s="77">
        <f t="shared" si="1154"/>
        <v>5.0728089259999991E-2</v>
      </c>
      <c r="AQ481" s="77">
        <f t="shared" si="1200"/>
        <v>4.132125636580497E-3</v>
      </c>
      <c r="AR481" s="79">
        <v>0</v>
      </c>
      <c r="AS481" s="77">
        <f t="shared" si="1155"/>
        <v>0</v>
      </c>
      <c r="AT481" s="77">
        <f t="shared" ref="AT481" si="1222">1-(1-AS481)^(1/12)</f>
        <v>0</v>
      </c>
      <c r="AU481" s="77">
        <f t="shared" si="1157"/>
        <v>2.49297276E-3</v>
      </c>
      <c r="AV481" s="77">
        <f t="shared" ref="AV481" si="1223">1-(1-AU481)^(1/12)</f>
        <v>2.0798548391998128E-4</v>
      </c>
      <c r="AX481" t="s">
        <v>178</v>
      </c>
      <c r="AY481" t="s">
        <v>160</v>
      </c>
      <c r="AZ481" s="197" t="str">
        <f t="shared" si="1203"/>
        <v>DIS_Non-Standard_64</v>
      </c>
      <c r="BA481">
        <v>64</v>
      </c>
      <c r="BB481">
        <f>VLOOKUP($BA481,'[2]NonStandard DIS'!$Q$1:$X$542,2,FALSE)</f>
        <v>0</v>
      </c>
      <c r="BC481">
        <f>VLOOKUP($BA481,'[2]NonStandard DIS'!$Q$1:$X$542,3,FALSE)</f>
        <v>0</v>
      </c>
      <c r="BD481">
        <f>VLOOKUP($BA481,'[2]NonStandard DIS'!$Q$1:$X$542,4,FALSE)</f>
        <v>0</v>
      </c>
      <c r="BE481">
        <f>VLOOKUP($BA481,'[2]NonStandard DIS'!$Q$1:$X$542,5,FALSE)</f>
        <v>0</v>
      </c>
      <c r="BF481">
        <f>VLOOKUP($BA481,'[2]NonStandard DIS'!$Q$1:$X$542,6,FALSE)</f>
        <v>0</v>
      </c>
      <c r="BG481">
        <f>VLOOKUP($BA481,'[2]NonStandard DIS'!$Q$1:$X$542,7,FALSE)</f>
        <v>0.75</v>
      </c>
      <c r="BH481">
        <f>VLOOKUP($BA481,'[2]NonStandard DIS'!$Q$1:$X$542,8,FALSE)</f>
        <v>0.25</v>
      </c>
      <c r="BI481" s="77">
        <f t="shared" si="1146"/>
        <v>1</v>
      </c>
      <c r="BJ481" s="77">
        <f t="shared" si="1147"/>
        <v>5.5774999999999991E-2</v>
      </c>
      <c r="BK481" s="77">
        <f t="shared" si="1128"/>
        <v>4.533168394748488E-3</v>
      </c>
      <c r="BL481" s="79">
        <v>1</v>
      </c>
      <c r="BM481" s="77">
        <f t="shared" si="1159"/>
        <v>7.2499999999999995E-3</v>
      </c>
      <c r="BN481" s="77">
        <f t="shared" si="1160"/>
        <v>6.0216832136972265E-4</v>
      </c>
      <c r="BO481" s="77">
        <f t="shared" si="1161"/>
        <v>2.5000000000000001E-3</v>
      </c>
      <c r="BP481" s="77">
        <f t="shared" si="1162"/>
        <v>2.0809499864316017E-4</v>
      </c>
    </row>
    <row r="482" spans="1:68">
      <c r="A482" t="s">
        <v>175</v>
      </c>
      <c r="B482" t="s">
        <v>176</v>
      </c>
      <c r="C482" s="197" t="str">
        <f t="shared" si="1197"/>
        <v>Lifecycle_Balanced_63</v>
      </c>
      <c r="D482">
        <v>63</v>
      </c>
      <c r="E482">
        <f>VLOOKUP($D482,'[2]LC Balanced'!$Q$2:$U$542,2,FALSE)</f>
        <v>0.505</v>
      </c>
      <c r="F482">
        <f>VLOOKUP($D482,'[2]LC Balanced'!$Q$2:$U$542,3,FALSE)</f>
        <v>0.18149999999999999</v>
      </c>
      <c r="G482">
        <f>VLOOKUP($D482,'[2]LC Balanced'!$Q$2:$U$542,4,FALSE)</f>
        <v>0.3135</v>
      </c>
      <c r="H482">
        <f>VLOOKUP($D482,'[2]LC Balanced'!$Q$2:$U$542,5,FALSE)</f>
        <v>0</v>
      </c>
      <c r="I482" s="77">
        <f t="shared" si="1141"/>
        <v>1</v>
      </c>
      <c r="J482" s="77">
        <f t="shared" si="1142"/>
        <v>5.0239325000000001E-2</v>
      </c>
      <c r="K482" s="77">
        <f t="shared" si="1132"/>
        <v>4.0931932233183588E-3</v>
      </c>
      <c r="L482" s="76">
        <v>0</v>
      </c>
      <c r="M482" s="77">
        <f t="shared" si="1148"/>
        <v>0</v>
      </c>
      <c r="N482" s="77">
        <f t="shared" si="1149"/>
        <v>0</v>
      </c>
      <c r="O482" s="77">
        <f t="shared" si="1150"/>
        <v>4.5400500000000003E-3</v>
      </c>
      <c r="P482" s="77">
        <f t="shared" si="1151"/>
        <v>3.7912705707177086E-4</v>
      </c>
      <c r="R482" t="s">
        <v>177</v>
      </c>
      <c r="S482" t="s">
        <v>176</v>
      </c>
      <c r="T482" s="197" t="str">
        <f t="shared" si="1083"/>
        <v>Autopilot_Balanced_63</v>
      </c>
      <c r="U482">
        <v>63</v>
      </c>
      <c r="V482">
        <f>VLOOKUP($U482,'[2]AP Balanced'!$Q$1:$T$542,2,FALSE)</f>
        <v>0</v>
      </c>
      <c r="W482">
        <f>VLOOKUP($U482,'[2]AP Balanced'!$Q$1:$T$542,3,FALSE)</f>
        <v>0.95836679999999996</v>
      </c>
      <c r="X482">
        <f>VLOOKUP($U482,'[2]AP Balanced'!$Q$1:$T$542,4,FALSE)</f>
        <v>4.1633200000000037E-2</v>
      </c>
      <c r="Y482" s="77">
        <f t="shared" si="1198"/>
        <v>1</v>
      </c>
      <c r="Z482" s="77">
        <f t="shared" si="1187"/>
        <v>5.098154617999999E-2</v>
      </c>
      <c r="AA482" s="77">
        <f t="shared" si="1188"/>
        <v>4.1523081577108378E-3</v>
      </c>
      <c r="AB482" s="79">
        <v>1</v>
      </c>
      <c r="AC482" s="77">
        <f t="shared" si="1152"/>
        <v>6.2293841999999993E-3</v>
      </c>
      <c r="AD482" s="77">
        <f t="shared" si="1143"/>
        <v>5.2060341979354163E-4</v>
      </c>
      <c r="AE482" s="77">
        <f t="shared" si="1153"/>
        <v>2.4958366800000003E-3</v>
      </c>
      <c r="AF482" s="77">
        <f t="shared" si="1143"/>
        <v>2.0822469093273455E-4</v>
      </c>
      <c r="AH482" t="s">
        <v>175</v>
      </c>
      <c r="AI482" t="s">
        <v>176</v>
      </c>
      <c r="AJ482" s="197" t="str">
        <f t="shared" si="1199"/>
        <v>Lifecycle_Balanced_63</v>
      </c>
      <c r="AK482">
        <v>63</v>
      </c>
      <c r="AL482">
        <f>VLOOKUP($U482,[2]Standard_Balanced!$Q$1:$T$542,2,FALSE)</f>
        <v>0</v>
      </c>
      <c r="AM482">
        <f>VLOOKUP($U482,[2]Standard_Balanced!$Q$1:$T$542,3,FALSE)</f>
        <v>0.9261476999999998</v>
      </c>
      <c r="AN482">
        <f>VLOOKUP($U482,[2]Standard_Balanced!$Q$1:$T$542,4,FALSE)</f>
        <v>7.3852300000000176E-2</v>
      </c>
      <c r="AO482" s="77">
        <f t="shared" si="1129"/>
        <v>1</v>
      </c>
      <c r="AP482" s="77">
        <f t="shared" si="1154"/>
        <v>5.069640714499999E-2</v>
      </c>
      <c r="AQ482" s="77">
        <f t="shared" si="1200"/>
        <v>4.1296025076611453E-3</v>
      </c>
      <c r="AR482" s="79">
        <v>0</v>
      </c>
      <c r="AS482" s="77">
        <f t="shared" si="1155"/>
        <v>0</v>
      </c>
      <c r="AT482" s="77">
        <f t="shared" ref="AT482" si="1224">1-(1-AS482)^(1/12)</f>
        <v>0</v>
      </c>
      <c r="AU482" s="77">
        <f t="shared" si="1157"/>
        <v>2.4926147700000002E-3</v>
      </c>
      <c r="AV482" s="77">
        <f t="shared" ref="AV482" si="1225">1-(1-AU482)^(1/12)</f>
        <v>2.0795558308772666E-4</v>
      </c>
      <c r="AX482" t="s">
        <v>178</v>
      </c>
      <c r="AY482" t="s">
        <v>160</v>
      </c>
      <c r="AZ482" s="197" t="str">
        <f t="shared" si="1203"/>
        <v>DIS_Non-Standard_63</v>
      </c>
      <c r="BA482">
        <v>63</v>
      </c>
      <c r="BB482">
        <f>VLOOKUP($BA482,'[2]NonStandard DIS'!$Q$1:$X$542,2,FALSE)</f>
        <v>0</v>
      </c>
      <c r="BC482">
        <f>VLOOKUP($BA482,'[2]NonStandard DIS'!$Q$1:$X$542,3,FALSE)</f>
        <v>0</v>
      </c>
      <c r="BD482">
        <f>VLOOKUP($BA482,'[2]NonStandard DIS'!$Q$1:$X$542,4,FALSE)</f>
        <v>0</v>
      </c>
      <c r="BE482">
        <f>VLOOKUP($BA482,'[2]NonStandard DIS'!$Q$1:$X$542,5,FALSE)</f>
        <v>0</v>
      </c>
      <c r="BF482">
        <f>VLOOKUP($BA482,'[2]NonStandard DIS'!$Q$1:$X$542,6,FALSE)</f>
        <v>0</v>
      </c>
      <c r="BG482">
        <f>VLOOKUP($BA482,'[2]NonStandard DIS'!$Q$1:$X$542,7,FALSE)</f>
        <v>0.75</v>
      </c>
      <c r="BH482">
        <f>VLOOKUP($BA482,'[2]NonStandard DIS'!$Q$1:$X$542,8,FALSE)</f>
        <v>0.25</v>
      </c>
      <c r="BI482" s="77">
        <f t="shared" si="1146"/>
        <v>1</v>
      </c>
      <c r="BJ482" s="77">
        <f t="shared" si="1147"/>
        <v>5.5774999999999991E-2</v>
      </c>
      <c r="BK482" s="77">
        <f t="shared" si="1128"/>
        <v>4.533168394748488E-3</v>
      </c>
      <c r="BL482" s="79">
        <v>1</v>
      </c>
      <c r="BM482" s="77">
        <f t="shared" si="1159"/>
        <v>7.2499999999999995E-3</v>
      </c>
      <c r="BN482" s="77">
        <f t="shared" si="1160"/>
        <v>6.0216832136972265E-4</v>
      </c>
      <c r="BO482" s="77">
        <f t="shared" si="1161"/>
        <v>2.5000000000000001E-3</v>
      </c>
      <c r="BP482" s="77">
        <f t="shared" si="1162"/>
        <v>2.0809499864316017E-4</v>
      </c>
    </row>
    <row r="483" spans="1:68">
      <c r="A483" t="s">
        <v>175</v>
      </c>
      <c r="B483" t="s">
        <v>176</v>
      </c>
      <c r="C483" s="197" t="str">
        <f t="shared" si="1197"/>
        <v>Lifecycle_Balanced_62</v>
      </c>
      <c r="D483">
        <v>62</v>
      </c>
      <c r="E483">
        <f>VLOOKUP($D483,'[2]LC Balanced'!$Q$2:$U$542,2,FALSE)</f>
        <v>0.5073333333333333</v>
      </c>
      <c r="F483">
        <f>VLOOKUP($D483,'[2]LC Balanced'!$Q$2:$U$542,3,FALSE)</f>
        <v>0.18033333333333332</v>
      </c>
      <c r="G483">
        <f>VLOOKUP($D483,'[2]LC Balanced'!$Q$2:$U$542,4,FALSE)</f>
        <v>0.31233333333333335</v>
      </c>
      <c r="H483">
        <f>VLOOKUP($D483,'[2]LC Balanced'!$Q$2:$U$542,5,FALSE)</f>
        <v>0</v>
      </c>
      <c r="I483" s="77">
        <f t="shared" si="1141"/>
        <v>1</v>
      </c>
      <c r="J483" s="77">
        <f t="shared" si="1142"/>
        <v>5.0208349999999999E-2</v>
      </c>
      <c r="K483" s="77">
        <f t="shared" si="1132"/>
        <v>4.0907253566810908E-3</v>
      </c>
      <c r="L483" s="76">
        <v>0</v>
      </c>
      <c r="M483" s="77">
        <f t="shared" si="1148"/>
        <v>0</v>
      </c>
      <c r="N483" s="77">
        <f t="shared" si="1149"/>
        <v>0</v>
      </c>
      <c r="O483" s="77">
        <f t="shared" si="1150"/>
        <v>4.5303666666666664E-3</v>
      </c>
      <c r="P483" s="77">
        <f t="shared" si="1151"/>
        <v>3.7831674329302789E-4</v>
      </c>
      <c r="R483" t="s">
        <v>177</v>
      </c>
      <c r="S483" t="s">
        <v>176</v>
      </c>
      <c r="T483" s="197" t="str">
        <f t="shared" si="1083"/>
        <v>Autopilot_Balanced_62</v>
      </c>
      <c r="U483">
        <v>62</v>
      </c>
      <c r="V483">
        <f>VLOOKUP($U483,'[2]AP Balanced'!$Q$1:$T$542,2,FALSE)</f>
        <v>0</v>
      </c>
      <c r="W483">
        <f>VLOOKUP($U483,'[2]AP Balanced'!$Q$1:$T$542,3,FALSE)</f>
        <v>0.95836679999999996</v>
      </c>
      <c r="X483">
        <f>VLOOKUP($U483,'[2]AP Balanced'!$Q$1:$T$542,4,FALSE)</f>
        <v>4.1633200000000037E-2</v>
      </c>
      <c r="Y483" s="77">
        <f t="shared" si="1198"/>
        <v>1</v>
      </c>
      <c r="Z483" s="77">
        <f t="shared" si="1187"/>
        <v>5.098154617999999E-2</v>
      </c>
      <c r="AA483" s="77">
        <f t="shared" si="1188"/>
        <v>4.1523081577108378E-3</v>
      </c>
      <c r="AB483" s="79">
        <v>1</v>
      </c>
      <c r="AC483" s="77">
        <f t="shared" si="1152"/>
        <v>6.2293841999999993E-3</v>
      </c>
      <c r="AD483" s="77">
        <f t="shared" si="1143"/>
        <v>5.2060341979354163E-4</v>
      </c>
      <c r="AE483" s="77">
        <f t="shared" si="1153"/>
        <v>2.4958366800000003E-3</v>
      </c>
      <c r="AF483" s="77">
        <f t="shared" si="1143"/>
        <v>2.0822469093273455E-4</v>
      </c>
      <c r="AH483" t="s">
        <v>175</v>
      </c>
      <c r="AI483" t="s">
        <v>176</v>
      </c>
      <c r="AJ483" s="197" t="str">
        <f t="shared" si="1199"/>
        <v>Lifecycle_Balanced_62</v>
      </c>
      <c r="AK483">
        <v>62</v>
      </c>
      <c r="AL483">
        <f>VLOOKUP($U483,[2]Standard_Balanced!$Q$1:$T$542,2,FALSE)</f>
        <v>0</v>
      </c>
      <c r="AM483">
        <f>VLOOKUP($U483,[2]Standard_Balanced!$Q$1:$T$542,3,FALSE)</f>
        <v>0.92256779999999983</v>
      </c>
      <c r="AN483">
        <f>VLOOKUP($U483,[2]Standard_Balanced!$Q$1:$T$542,4,FALSE)</f>
        <v>7.7432200000000187E-2</v>
      </c>
      <c r="AO483" s="77">
        <f t="shared" si="1129"/>
        <v>1</v>
      </c>
      <c r="AP483" s="77">
        <f t="shared" si="1154"/>
        <v>5.0664725029999996E-2</v>
      </c>
      <c r="AQ483" s="77">
        <f t="shared" si="1200"/>
        <v>4.1270793089998037E-3</v>
      </c>
      <c r="AR483" s="79">
        <v>0</v>
      </c>
      <c r="AS483" s="77">
        <f t="shared" si="1155"/>
        <v>0</v>
      </c>
      <c r="AT483" s="77">
        <f t="shared" ref="AT483" si="1226">1-(1-AS483)^(1/12)</f>
        <v>0</v>
      </c>
      <c r="AU483" s="77">
        <f t="shared" si="1157"/>
        <v>2.4922567800000003E-3</v>
      </c>
      <c r="AV483" s="77">
        <f t="shared" ref="AV483" si="1227">1-(1-AU483)^(1/12)</f>
        <v>2.07925682265242E-4</v>
      </c>
      <c r="AX483" t="s">
        <v>178</v>
      </c>
      <c r="AY483" t="s">
        <v>160</v>
      </c>
      <c r="AZ483" s="197" t="str">
        <f t="shared" si="1203"/>
        <v>DIS_Non-Standard_62</v>
      </c>
      <c r="BA483">
        <v>62</v>
      </c>
      <c r="BB483">
        <f>VLOOKUP($BA483,'[2]NonStandard DIS'!$Q$1:$X$542,2,FALSE)</f>
        <v>0</v>
      </c>
      <c r="BC483">
        <f>VLOOKUP($BA483,'[2]NonStandard DIS'!$Q$1:$X$542,3,FALSE)</f>
        <v>0</v>
      </c>
      <c r="BD483">
        <f>VLOOKUP($BA483,'[2]NonStandard DIS'!$Q$1:$X$542,4,FALSE)</f>
        <v>0</v>
      </c>
      <c r="BE483">
        <f>VLOOKUP($BA483,'[2]NonStandard DIS'!$Q$1:$X$542,5,FALSE)</f>
        <v>0</v>
      </c>
      <c r="BF483">
        <f>VLOOKUP($BA483,'[2]NonStandard DIS'!$Q$1:$X$542,6,FALSE)</f>
        <v>0</v>
      </c>
      <c r="BG483">
        <f>VLOOKUP($BA483,'[2]NonStandard DIS'!$Q$1:$X$542,7,FALSE)</f>
        <v>0.75</v>
      </c>
      <c r="BH483">
        <f>VLOOKUP($BA483,'[2]NonStandard DIS'!$Q$1:$X$542,8,FALSE)</f>
        <v>0.25</v>
      </c>
      <c r="BI483" s="77">
        <f t="shared" si="1146"/>
        <v>1</v>
      </c>
      <c r="BJ483" s="77">
        <f t="shared" si="1147"/>
        <v>5.5774999999999991E-2</v>
      </c>
      <c r="BK483" s="77">
        <f t="shared" si="1128"/>
        <v>4.533168394748488E-3</v>
      </c>
      <c r="BL483" s="79">
        <v>1</v>
      </c>
      <c r="BM483" s="77">
        <f t="shared" si="1159"/>
        <v>7.2499999999999995E-3</v>
      </c>
      <c r="BN483" s="77">
        <f t="shared" si="1160"/>
        <v>6.0216832136972265E-4</v>
      </c>
      <c r="BO483" s="77">
        <f t="shared" si="1161"/>
        <v>2.5000000000000001E-3</v>
      </c>
      <c r="BP483" s="77">
        <f t="shared" si="1162"/>
        <v>2.0809499864316017E-4</v>
      </c>
    </row>
    <row r="484" spans="1:68">
      <c r="A484" t="s">
        <v>175</v>
      </c>
      <c r="B484" t="s">
        <v>176</v>
      </c>
      <c r="C484" s="197" t="str">
        <f t="shared" si="1197"/>
        <v>Lifecycle_Balanced_61</v>
      </c>
      <c r="D484">
        <v>61</v>
      </c>
      <c r="E484">
        <f>VLOOKUP($D484,'[2]LC Balanced'!$Q$2:$U$542,2,FALSE)</f>
        <v>0.50966666666666671</v>
      </c>
      <c r="F484">
        <f>VLOOKUP($D484,'[2]LC Balanced'!$Q$2:$U$542,3,FALSE)</f>
        <v>0.17916666666666667</v>
      </c>
      <c r="G484">
        <f>VLOOKUP($D484,'[2]LC Balanced'!$Q$2:$U$542,4,FALSE)</f>
        <v>0.31116666666666665</v>
      </c>
      <c r="H484">
        <f>VLOOKUP($D484,'[2]LC Balanced'!$Q$2:$U$542,5,FALSE)</f>
        <v>0</v>
      </c>
      <c r="I484" s="77">
        <f t="shared" si="1141"/>
        <v>1</v>
      </c>
      <c r="J484" s="77">
        <f t="shared" si="1142"/>
        <v>5.0177374999999996E-2</v>
      </c>
      <c r="K484" s="77">
        <f t="shared" si="1132"/>
        <v>4.0882574233211955E-3</v>
      </c>
      <c r="L484" s="76">
        <v>0</v>
      </c>
      <c r="M484" s="77">
        <f t="shared" si="1148"/>
        <v>0</v>
      </c>
      <c r="N484" s="77">
        <f t="shared" si="1149"/>
        <v>0</v>
      </c>
      <c r="O484" s="77">
        <f t="shared" si="1150"/>
        <v>4.5206833333333325E-3</v>
      </c>
      <c r="P484" s="77">
        <f t="shared" si="1151"/>
        <v>3.7750643673972739E-4</v>
      </c>
      <c r="R484" t="s">
        <v>177</v>
      </c>
      <c r="S484" t="s">
        <v>176</v>
      </c>
      <c r="T484" s="197" t="str">
        <f t="shared" si="1083"/>
        <v>Autopilot_Balanced_61</v>
      </c>
      <c r="U484">
        <v>61</v>
      </c>
      <c r="V484">
        <f>VLOOKUP($U484,'[2]AP Balanced'!$Q$1:$T$542,2,FALSE)</f>
        <v>0</v>
      </c>
      <c r="W484">
        <f>VLOOKUP($U484,'[2]AP Balanced'!$Q$1:$T$542,3,FALSE)</f>
        <v>0.95836679999999996</v>
      </c>
      <c r="X484">
        <f>VLOOKUP($U484,'[2]AP Balanced'!$Q$1:$T$542,4,FALSE)</f>
        <v>4.1633200000000037E-2</v>
      </c>
      <c r="Y484" s="77">
        <f t="shared" si="1198"/>
        <v>1</v>
      </c>
      <c r="Z484" s="77">
        <f t="shared" si="1187"/>
        <v>5.098154617999999E-2</v>
      </c>
      <c r="AA484" s="77">
        <f t="shared" si="1188"/>
        <v>4.1523081577108378E-3</v>
      </c>
      <c r="AB484" s="79">
        <v>1</v>
      </c>
      <c r="AC484" s="77">
        <f t="shared" si="1152"/>
        <v>6.2293841999999993E-3</v>
      </c>
      <c r="AD484" s="77">
        <f t="shared" si="1143"/>
        <v>5.2060341979354163E-4</v>
      </c>
      <c r="AE484" s="77">
        <f t="shared" si="1153"/>
        <v>2.4958366800000003E-3</v>
      </c>
      <c r="AF484" s="77">
        <f t="shared" si="1143"/>
        <v>2.0822469093273455E-4</v>
      </c>
      <c r="AH484" t="s">
        <v>175</v>
      </c>
      <c r="AI484" t="s">
        <v>176</v>
      </c>
      <c r="AJ484" s="197" t="str">
        <f t="shared" si="1199"/>
        <v>Lifecycle_Balanced_61</v>
      </c>
      <c r="AK484">
        <v>61</v>
      </c>
      <c r="AL484">
        <f>VLOOKUP($U484,[2]Standard_Balanced!$Q$1:$T$542,2,FALSE)</f>
        <v>0</v>
      </c>
      <c r="AM484">
        <f>VLOOKUP($U484,[2]Standard_Balanced!$Q$1:$T$542,3,FALSE)</f>
        <v>0.91898789999999975</v>
      </c>
      <c r="AN484">
        <f>VLOOKUP($U484,[2]Standard_Balanced!$Q$1:$T$542,4,FALSE)</f>
        <v>8.1012100000000212E-2</v>
      </c>
      <c r="AO484" s="77">
        <f t="shared" si="1129"/>
        <v>1</v>
      </c>
      <c r="AP484" s="77">
        <f t="shared" si="1154"/>
        <v>5.0633042914999989E-2</v>
      </c>
      <c r="AQ484" s="77">
        <f t="shared" si="1200"/>
        <v>4.1245560405926973E-3</v>
      </c>
      <c r="AR484" s="79">
        <v>0</v>
      </c>
      <c r="AS484" s="77">
        <f t="shared" si="1155"/>
        <v>0</v>
      </c>
      <c r="AT484" s="77">
        <f t="shared" ref="AT484" si="1228">1-(1-AS484)^(1/12)</f>
        <v>0</v>
      </c>
      <c r="AU484" s="77">
        <f t="shared" si="1157"/>
        <v>2.4918987900000001E-3</v>
      </c>
      <c r="AV484" s="77">
        <f t="shared" ref="AV484" si="1229">1-(1-AU484)^(1/12)</f>
        <v>2.078957814525273E-4</v>
      </c>
      <c r="AX484" t="s">
        <v>178</v>
      </c>
      <c r="AY484" t="s">
        <v>160</v>
      </c>
      <c r="AZ484" s="197" t="str">
        <f t="shared" si="1203"/>
        <v>DIS_Non-Standard_61</v>
      </c>
      <c r="BA484">
        <v>61</v>
      </c>
      <c r="BB484">
        <f>VLOOKUP($BA484,'[2]NonStandard DIS'!$Q$1:$X$542,2,FALSE)</f>
        <v>0</v>
      </c>
      <c r="BC484">
        <f>VLOOKUP($BA484,'[2]NonStandard DIS'!$Q$1:$X$542,3,FALSE)</f>
        <v>0</v>
      </c>
      <c r="BD484">
        <f>VLOOKUP($BA484,'[2]NonStandard DIS'!$Q$1:$X$542,4,FALSE)</f>
        <v>0</v>
      </c>
      <c r="BE484">
        <f>VLOOKUP($BA484,'[2]NonStandard DIS'!$Q$1:$X$542,5,FALSE)</f>
        <v>0</v>
      </c>
      <c r="BF484">
        <f>VLOOKUP($BA484,'[2]NonStandard DIS'!$Q$1:$X$542,6,FALSE)</f>
        <v>0</v>
      </c>
      <c r="BG484">
        <f>VLOOKUP($BA484,'[2]NonStandard DIS'!$Q$1:$X$542,7,FALSE)</f>
        <v>0.75</v>
      </c>
      <c r="BH484">
        <f>VLOOKUP($BA484,'[2]NonStandard DIS'!$Q$1:$X$542,8,FALSE)</f>
        <v>0.25</v>
      </c>
      <c r="BI484" s="77">
        <f t="shared" si="1146"/>
        <v>1</v>
      </c>
      <c r="BJ484" s="77">
        <f t="shared" si="1147"/>
        <v>5.5774999999999991E-2</v>
      </c>
      <c r="BK484" s="77">
        <f t="shared" si="1128"/>
        <v>4.533168394748488E-3</v>
      </c>
      <c r="BL484" s="79">
        <v>1</v>
      </c>
      <c r="BM484" s="77">
        <f t="shared" si="1159"/>
        <v>7.2499999999999995E-3</v>
      </c>
      <c r="BN484" s="77">
        <f t="shared" si="1160"/>
        <v>6.0216832136972265E-4</v>
      </c>
      <c r="BO484" s="77">
        <f t="shared" si="1161"/>
        <v>2.5000000000000001E-3</v>
      </c>
      <c r="BP484" s="77">
        <f t="shared" si="1162"/>
        <v>2.0809499864316017E-4</v>
      </c>
    </row>
    <row r="485" spans="1:68">
      <c r="A485" t="s">
        <v>175</v>
      </c>
      <c r="B485" t="s">
        <v>176</v>
      </c>
      <c r="C485" s="197" t="str">
        <f t="shared" si="1197"/>
        <v>Lifecycle_Balanced_60</v>
      </c>
      <c r="D485">
        <v>60</v>
      </c>
      <c r="E485">
        <f>VLOOKUP($D485,'[2]LC Balanced'!$Q$2:$U$542,2,FALSE)</f>
        <v>0.51200000000000001</v>
      </c>
      <c r="F485">
        <f>VLOOKUP($D485,'[2]LC Balanced'!$Q$2:$U$542,3,FALSE)</f>
        <v>0.17799999999999999</v>
      </c>
      <c r="G485">
        <f>VLOOKUP($D485,'[2]LC Balanced'!$Q$2:$U$542,4,FALSE)</f>
        <v>0.31</v>
      </c>
      <c r="H485">
        <f>VLOOKUP($D485,'[2]LC Balanced'!$Q$2:$U$542,5,FALSE)</f>
        <v>0</v>
      </c>
      <c r="I485" s="77">
        <f t="shared" si="1141"/>
        <v>1</v>
      </c>
      <c r="J485" s="77">
        <f t="shared" si="1142"/>
        <v>5.0146399999999994E-2</v>
      </c>
      <c r="K485" s="77">
        <f t="shared" si="1132"/>
        <v>4.0857894232344538E-3</v>
      </c>
      <c r="L485" s="76">
        <v>0</v>
      </c>
      <c r="M485" s="77">
        <f t="shared" si="1148"/>
        <v>0</v>
      </c>
      <c r="N485" s="77">
        <f t="shared" si="1149"/>
        <v>0</v>
      </c>
      <c r="O485" s="77">
        <f t="shared" si="1150"/>
        <v>4.5109999999999994E-3</v>
      </c>
      <c r="P485" s="77">
        <f t="shared" si="1151"/>
        <v>3.7669613741153629E-4</v>
      </c>
      <c r="R485" t="s">
        <v>177</v>
      </c>
      <c r="S485" t="s">
        <v>176</v>
      </c>
      <c r="T485" s="197" t="str">
        <f t="shared" si="1083"/>
        <v>Autopilot_Balanced_60</v>
      </c>
      <c r="U485">
        <v>60</v>
      </c>
      <c r="V485">
        <f>VLOOKUP($U485,'[2]AP Balanced'!$Q$1:$T$542,2,FALSE)</f>
        <v>0</v>
      </c>
      <c r="W485">
        <f>VLOOKUP($U485,'[2]AP Balanced'!$Q$1:$T$542,3,FALSE)</f>
        <v>0.91540799999999978</v>
      </c>
      <c r="X485">
        <f>VLOOKUP($U485,'[2]AP Balanced'!$Q$1:$T$542,4,FALSE)</f>
        <v>8.4592000000000223E-2</v>
      </c>
      <c r="Y485" s="77">
        <f t="shared" si="1198"/>
        <v>1</v>
      </c>
      <c r="Z485" s="77">
        <f t="shared" si="1187"/>
        <v>5.0601360799999988E-2</v>
      </c>
      <c r="AA485" s="77">
        <f t="shared" si="1188"/>
        <v>4.1220327024353853E-3</v>
      </c>
      <c r="AB485" s="79">
        <v>1</v>
      </c>
      <c r="AC485" s="77">
        <f t="shared" si="1152"/>
        <v>5.9501519999999985E-3</v>
      </c>
      <c r="AD485" s="77">
        <f t="shared" si="1143"/>
        <v>4.9720341086545439E-4</v>
      </c>
      <c r="AE485" s="77">
        <f t="shared" si="1153"/>
        <v>2.4915408000000003E-3</v>
      </c>
      <c r="AF485" s="77">
        <f t="shared" si="1143"/>
        <v>2.0786588064969358E-4</v>
      </c>
      <c r="AH485" t="s">
        <v>175</v>
      </c>
      <c r="AI485" t="s">
        <v>176</v>
      </c>
      <c r="AJ485" s="197" t="str">
        <f t="shared" si="1199"/>
        <v>Lifecycle_Balanced_60</v>
      </c>
      <c r="AK485">
        <v>60</v>
      </c>
      <c r="AL485">
        <f>VLOOKUP($U485,[2]Standard_Balanced!$Q$1:$T$542,2,FALSE)</f>
        <v>0</v>
      </c>
      <c r="AM485">
        <f>VLOOKUP($U485,[2]Standard_Balanced!$Q$1:$T$542,3,FALSE)</f>
        <v>0.91540799999999978</v>
      </c>
      <c r="AN485">
        <f>VLOOKUP($U485,[2]Standard_Balanced!$Q$1:$T$542,4,FALSE)</f>
        <v>8.4592000000000223E-2</v>
      </c>
      <c r="AO485" s="77">
        <f t="shared" si="1129"/>
        <v>1</v>
      </c>
      <c r="AP485" s="77">
        <f t="shared" si="1154"/>
        <v>5.0601360799999988E-2</v>
      </c>
      <c r="AQ485" s="77">
        <f t="shared" si="1200"/>
        <v>4.1220327024353853E-3</v>
      </c>
      <c r="AR485" s="79">
        <v>0</v>
      </c>
      <c r="AS485" s="77">
        <f t="shared" si="1155"/>
        <v>0</v>
      </c>
      <c r="AT485" s="77">
        <f t="shared" ref="AT485" si="1230">1-(1-AS485)^(1/12)</f>
        <v>0</v>
      </c>
      <c r="AU485" s="77">
        <f t="shared" si="1157"/>
        <v>2.4915408000000003E-3</v>
      </c>
      <c r="AV485" s="77">
        <f t="shared" ref="AV485" si="1231">1-(1-AU485)^(1/12)</f>
        <v>2.0786588064969358E-4</v>
      </c>
      <c r="AX485" t="s">
        <v>178</v>
      </c>
      <c r="AY485" t="s">
        <v>160</v>
      </c>
      <c r="AZ485" s="197" t="str">
        <f t="shared" si="1203"/>
        <v>DIS_Non-Standard_60</v>
      </c>
      <c r="BA485">
        <v>60</v>
      </c>
      <c r="BB485">
        <f>VLOOKUP($BA485,'[2]NonStandard DIS'!$Q$1:$X$542,2,FALSE)</f>
        <v>0</v>
      </c>
      <c r="BC485">
        <f>VLOOKUP($BA485,'[2]NonStandard DIS'!$Q$1:$X$542,3,FALSE)</f>
        <v>0</v>
      </c>
      <c r="BD485">
        <f>VLOOKUP($BA485,'[2]NonStandard DIS'!$Q$1:$X$542,4,FALSE)</f>
        <v>0</v>
      </c>
      <c r="BE485">
        <f>VLOOKUP($BA485,'[2]NonStandard DIS'!$Q$1:$X$542,5,FALSE)</f>
        <v>0</v>
      </c>
      <c r="BF485">
        <f>VLOOKUP($BA485,'[2]NonStandard DIS'!$Q$1:$X$542,6,FALSE)</f>
        <v>0</v>
      </c>
      <c r="BG485">
        <f>VLOOKUP($BA485,'[2]NonStandard DIS'!$Q$1:$X$542,7,FALSE)</f>
        <v>0.625</v>
      </c>
      <c r="BH485">
        <f>VLOOKUP($BA485,'[2]NonStandard DIS'!$Q$1:$X$542,8,FALSE)</f>
        <v>0.375</v>
      </c>
      <c r="BI485" s="77">
        <f t="shared" si="1146"/>
        <v>1</v>
      </c>
      <c r="BJ485" s="77">
        <f t="shared" si="1147"/>
        <v>5.5037499999999996E-2</v>
      </c>
      <c r="BK485" s="77">
        <f t="shared" si="1128"/>
        <v>4.4746741994332595E-3</v>
      </c>
      <c r="BL485" s="79">
        <v>1</v>
      </c>
      <c r="BM485" s="77">
        <f t="shared" si="1159"/>
        <v>7.1249999999999994E-3</v>
      </c>
      <c r="BN485" s="77">
        <f t="shared" si="1160"/>
        <v>5.9181981588474208E-4</v>
      </c>
      <c r="BO485" s="77">
        <f t="shared" si="1161"/>
        <v>2.5000000000000001E-3</v>
      </c>
      <c r="BP485" s="77">
        <f t="shared" si="1162"/>
        <v>2.0809499864316017E-4</v>
      </c>
    </row>
    <row r="486" spans="1:68">
      <c r="A486" t="s">
        <v>175</v>
      </c>
      <c r="B486" t="s">
        <v>176</v>
      </c>
      <c r="C486" s="197" t="str">
        <f t="shared" si="1197"/>
        <v>Lifecycle_Balanced_59</v>
      </c>
      <c r="D486">
        <v>59</v>
      </c>
      <c r="E486">
        <f>VLOOKUP($D486,'[2]LC Balanced'!$Q$2:$U$542,2,FALSE)</f>
        <v>0.51408333333333334</v>
      </c>
      <c r="F486">
        <f>VLOOKUP($D486,'[2]LC Balanced'!$Q$2:$U$542,3,FALSE)</f>
        <v>0.17691666666666667</v>
      </c>
      <c r="G486">
        <f>VLOOKUP($D486,'[2]LC Balanced'!$Q$2:$U$542,4,FALSE)</f>
        <v>0.309</v>
      </c>
      <c r="H486">
        <f>VLOOKUP($D486,'[2]LC Balanced'!$Q$2:$U$542,5,FALSE)</f>
        <v>0</v>
      </c>
      <c r="I486" s="77">
        <f t="shared" si="1141"/>
        <v>1</v>
      </c>
      <c r="J486" s="77">
        <f t="shared" si="1142"/>
        <v>5.011948125E-2</v>
      </c>
      <c r="K486" s="77">
        <f t="shared" si="1132"/>
        <v>4.0836445594405468E-3</v>
      </c>
      <c r="L486" s="76">
        <v>0</v>
      </c>
      <c r="M486" s="77">
        <f t="shared" si="1148"/>
        <v>0</v>
      </c>
      <c r="N486" s="77">
        <f t="shared" si="1149"/>
        <v>0</v>
      </c>
      <c r="O486" s="77">
        <f t="shared" si="1150"/>
        <v>4.5024083333333334E-3</v>
      </c>
      <c r="P486" s="77">
        <f t="shared" si="1151"/>
        <v>3.7597719457327372E-4</v>
      </c>
      <c r="R486" t="s">
        <v>177</v>
      </c>
      <c r="S486" t="s">
        <v>176</v>
      </c>
      <c r="T486" s="197" t="str">
        <f t="shared" si="1083"/>
        <v>Autopilot_Balanced_59</v>
      </c>
      <c r="U486">
        <v>59</v>
      </c>
      <c r="V486">
        <f>VLOOKUP($U486,'[2]AP Balanced'!$Q$1:$T$542,2,FALSE)</f>
        <v>0</v>
      </c>
      <c r="W486">
        <f>VLOOKUP($U486,'[2]AP Balanced'!$Q$1:$T$542,3,FALSE)</f>
        <v>0.91540799999999978</v>
      </c>
      <c r="X486">
        <f>VLOOKUP($U486,'[2]AP Balanced'!$Q$1:$T$542,4,FALSE)</f>
        <v>8.4592000000000223E-2</v>
      </c>
      <c r="Y486" s="77">
        <f t="shared" si="1198"/>
        <v>1</v>
      </c>
      <c r="Z486" s="77">
        <f t="shared" si="1187"/>
        <v>5.0601360799999988E-2</v>
      </c>
      <c r="AA486" s="77">
        <f t="shared" si="1188"/>
        <v>4.1220327024353853E-3</v>
      </c>
      <c r="AB486" s="79">
        <v>1</v>
      </c>
      <c r="AC486" s="77">
        <f t="shared" si="1152"/>
        <v>5.9501519999999985E-3</v>
      </c>
      <c r="AD486" s="77">
        <f t="shared" si="1143"/>
        <v>4.9720341086545439E-4</v>
      </c>
      <c r="AE486" s="77">
        <f t="shared" si="1153"/>
        <v>2.4915408000000003E-3</v>
      </c>
      <c r="AF486" s="77">
        <f t="shared" si="1143"/>
        <v>2.0786588064969358E-4</v>
      </c>
      <c r="AH486" t="s">
        <v>175</v>
      </c>
      <c r="AI486" t="s">
        <v>176</v>
      </c>
      <c r="AJ486" s="197" t="str">
        <f t="shared" si="1199"/>
        <v>Lifecycle_Balanced_59</v>
      </c>
      <c r="AK486">
        <v>59</v>
      </c>
      <c r="AL486">
        <f>VLOOKUP($U486,[2]Standard_Balanced!$Q$1:$T$542,2,FALSE)</f>
        <v>0</v>
      </c>
      <c r="AM486">
        <f>VLOOKUP($U486,[2]Standard_Balanced!$Q$1:$T$542,3,FALSE)</f>
        <v>0.91230258333333314</v>
      </c>
      <c r="AN486">
        <f>VLOOKUP($U486,[2]Standard_Balanced!$Q$1:$T$542,4,FALSE)</f>
        <v>8.7697416666666889E-2</v>
      </c>
      <c r="AO486" s="77">
        <f t="shared" si="1129"/>
        <v>1</v>
      </c>
      <c r="AP486" s="77">
        <f t="shared" si="1154"/>
        <v>5.0573877862499991E-2</v>
      </c>
      <c r="AQ486" s="77">
        <f t="shared" si="1200"/>
        <v>4.1198437534064603E-3</v>
      </c>
      <c r="AR486" s="79">
        <v>0</v>
      </c>
      <c r="AS486" s="77">
        <f t="shared" si="1155"/>
        <v>0</v>
      </c>
      <c r="AT486" s="77">
        <f t="shared" ref="AT486" si="1232">1-(1-AS486)^(1/12)</f>
        <v>0</v>
      </c>
      <c r="AU486" s="77">
        <f t="shared" si="1157"/>
        <v>2.4912302583333331E-3</v>
      </c>
      <c r="AV486" s="77">
        <f t="shared" ref="AV486" si="1233">1-(1-AU486)^(1/12)</f>
        <v>2.0783994293560593E-4</v>
      </c>
      <c r="AX486" t="s">
        <v>178</v>
      </c>
      <c r="AY486" t="s">
        <v>160</v>
      </c>
      <c r="AZ486" s="197" t="str">
        <f t="shared" si="1203"/>
        <v>DIS_Non-Standard_59</v>
      </c>
      <c r="BA486">
        <v>59</v>
      </c>
      <c r="BB486">
        <f>VLOOKUP($BA486,'[2]NonStandard DIS'!$Q$1:$X$542,2,FALSE)</f>
        <v>0</v>
      </c>
      <c r="BC486">
        <f>VLOOKUP($BA486,'[2]NonStandard DIS'!$Q$1:$X$542,3,FALSE)</f>
        <v>0</v>
      </c>
      <c r="BD486">
        <f>VLOOKUP($BA486,'[2]NonStandard DIS'!$Q$1:$X$542,4,FALSE)</f>
        <v>0</v>
      </c>
      <c r="BE486">
        <f>VLOOKUP($BA486,'[2]NonStandard DIS'!$Q$1:$X$542,5,FALSE)</f>
        <v>0</v>
      </c>
      <c r="BF486">
        <f>VLOOKUP($BA486,'[2]NonStandard DIS'!$Q$1:$X$542,6,FALSE)</f>
        <v>0</v>
      </c>
      <c r="BG486">
        <f>VLOOKUP($BA486,'[2]NonStandard DIS'!$Q$1:$X$542,7,FALSE)</f>
        <v>0.625</v>
      </c>
      <c r="BH486">
        <f>VLOOKUP($BA486,'[2]NonStandard DIS'!$Q$1:$X$542,8,FALSE)</f>
        <v>0.375</v>
      </c>
      <c r="BI486" s="77">
        <f t="shared" si="1146"/>
        <v>1</v>
      </c>
      <c r="BJ486" s="77">
        <f t="shared" si="1147"/>
        <v>5.5037499999999996E-2</v>
      </c>
      <c r="BK486" s="77">
        <f t="shared" si="1128"/>
        <v>4.4746741994332595E-3</v>
      </c>
      <c r="BL486" s="79">
        <v>1</v>
      </c>
      <c r="BM486" s="77">
        <f t="shared" si="1159"/>
        <v>7.1249999999999994E-3</v>
      </c>
      <c r="BN486" s="77">
        <f t="shared" si="1160"/>
        <v>5.9181981588474208E-4</v>
      </c>
      <c r="BO486" s="77">
        <f t="shared" si="1161"/>
        <v>2.5000000000000001E-3</v>
      </c>
      <c r="BP486" s="77">
        <f t="shared" si="1162"/>
        <v>2.0809499864316017E-4</v>
      </c>
    </row>
    <row r="487" spans="1:68">
      <c r="A487" t="s">
        <v>175</v>
      </c>
      <c r="B487" t="s">
        <v>176</v>
      </c>
      <c r="C487" s="197" t="str">
        <f t="shared" si="1197"/>
        <v>Lifecycle_Balanced_58</v>
      </c>
      <c r="D487">
        <v>58</v>
      </c>
      <c r="E487">
        <f>VLOOKUP($D487,'[2]LC Balanced'!$Q$2:$U$542,2,FALSE)</f>
        <v>0.51616666666666666</v>
      </c>
      <c r="F487">
        <f>VLOOKUP($D487,'[2]LC Balanced'!$Q$2:$U$542,3,FALSE)</f>
        <v>0.17583333333333334</v>
      </c>
      <c r="G487">
        <f>VLOOKUP($D487,'[2]LC Balanced'!$Q$2:$U$542,4,FALSE)</f>
        <v>0.308</v>
      </c>
      <c r="H487">
        <f>VLOOKUP($D487,'[2]LC Balanced'!$Q$2:$U$542,5,FALSE)</f>
        <v>0</v>
      </c>
      <c r="I487" s="77">
        <f t="shared" si="1141"/>
        <v>1</v>
      </c>
      <c r="J487" s="77">
        <f t="shared" si="1142"/>
        <v>5.0092562499999993E-2</v>
      </c>
      <c r="K487" s="77">
        <f t="shared" si="1132"/>
        <v>4.0814996452465113E-3</v>
      </c>
      <c r="L487" s="76">
        <v>0</v>
      </c>
      <c r="M487" s="77">
        <f t="shared" si="1148"/>
        <v>0</v>
      </c>
      <c r="N487" s="77">
        <f t="shared" si="1149"/>
        <v>0</v>
      </c>
      <c r="O487" s="77">
        <f t="shared" si="1150"/>
        <v>4.4938166666666666E-3</v>
      </c>
      <c r="P487" s="77">
        <f t="shared" si="1151"/>
        <v>3.7525825742268371E-4</v>
      </c>
      <c r="R487" t="s">
        <v>177</v>
      </c>
      <c r="S487" t="s">
        <v>176</v>
      </c>
      <c r="T487" s="197" t="str">
        <f t="shared" si="1083"/>
        <v>Autopilot_Balanced_58</v>
      </c>
      <c r="U487">
        <v>58</v>
      </c>
      <c r="V487">
        <f>VLOOKUP($U487,'[2]AP Balanced'!$Q$1:$T$542,2,FALSE)</f>
        <v>0</v>
      </c>
      <c r="W487">
        <f>VLOOKUP($U487,'[2]AP Balanced'!$Q$1:$T$542,3,FALSE)</f>
        <v>0.91540799999999978</v>
      </c>
      <c r="X487">
        <f>VLOOKUP($U487,'[2]AP Balanced'!$Q$1:$T$542,4,FALSE)</f>
        <v>8.4592000000000223E-2</v>
      </c>
      <c r="Y487" s="77">
        <f t="shared" si="1198"/>
        <v>1</v>
      </c>
      <c r="Z487" s="77">
        <f t="shared" si="1187"/>
        <v>5.0601360799999988E-2</v>
      </c>
      <c r="AA487" s="77">
        <f t="shared" si="1188"/>
        <v>4.1220327024353853E-3</v>
      </c>
      <c r="AB487" s="79">
        <v>1</v>
      </c>
      <c r="AC487" s="77">
        <f t="shared" si="1152"/>
        <v>5.9501519999999985E-3</v>
      </c>
      <c r="AD487" s="77">
        <f t="shared" si="1143"/>
        <v>4.9720341086545439E-4</v>
      </c>
      <c r="AE487" s="77">
        <f t="shared" si="1153"/>
        <v>2.4915408000000003E-3</v>
      </c>
      <c r="AF487" s="77">
        <f t="shared" si="1143"/>
        <v>2.0786588064969358E-4</v>
      </c>
      <c r="AH487" t="s">
        <v>175</v>
      </c>
      <c r="AI487" t="s">
        <v>176</v>
      </c>
      <c r="AJ487" s="197" t="str">
        <f t="shared" si="1199"/>
        <v>Lifecycle_Balanced_58</v>
      </c>
      <c r="AK487">
        <v>58</v>
      </c>
      <c r="AL487">
        <f>VLOOKUP($U487,[2]Standard_Balanced!$Q$1:$T$542,2,FALSE)</f>
        <v>0</v>
      </c>
      <c r="AM487">
        <f>VLOOKUP($U487,[2]Standard_Balanced!$Q$1:$T$542,3,FALSE)</f>
        <v>0.9091971666666665</v>
      </c>
      <c r="AN487">
        <f>VLOOKUP($U487,[2]Standard_Balanced!$Q$1:$T$542,4,FALSE)</f>
        <v>9.0802833333333555E-2</v>
      </c>
      <c r="AO487" s="77">
        <f t="shared" si="1129"/>
        <v>1</v>
      </c>
      <c r="AP487" s="77">
        <f t="shared" si="1154"/>
        <v>5.0546394924999995E-2</v>
      </c>
      <c r="AQ487" s="77">
        <f t="shared" si="1200"/>
        <v>4.1176547518861906E-3</v>
      </c>
      <c r="AR487" s="79">
        <v>0</v>
      </c>
      <c r="AS487" s="77">
        <f t="shared" si="1155"/>
        <v>0</v>
      </c>
      <c r="AT487" s="77">
        <f t="shared" ref="AT487" si="1234">1-(1-AS487)^(1/12)</f>
        <v>0</v>
      </c>
      <c r="AU487" s="77">
        <f t="shared" si="1157"/>
        <v>2.4909197166666668E-3</v>
      </c>
      <c r="AV487" s="77">
        <f t="shared" ref="AV487" si="1235">1-(1-AU487)^(1/12)</f>
        <v>2.0781400522884574E-4</v>
      </c>
      <c r="AX487" t="s">
        <v>178</v>
      </c>
      <c r="AY487" t="s">
        <v>160</v>
      </c>
      <c r="AZ487" s="197" t="str">
        <f t="shared" si="1203"/>
        <v>DIS_Non-Standard_58</v>
      </c>
      <c r="BA487">
        <v>58</v>
      </c>
      <c r="BB487">
        <f>VLOOKUP($BA487,'[2]NonStandard DIS'!$Q$1:$X$542,2,FALSE)</f>
        <v>0</v>
      </c>
      <c r="BC487">
        <f>VLOOKUP($BA487,'[2]NonStandard DIS'!$Q$1:$X$542,3,FALSE)</f>
        <v>0</v>
      </c>
      <c r="BD487">
        <f>VLOOKUP($BA487,'[2]NonStandard DIS'!$Q$1:$X$542,4,FALSE)</f>
        <v>0</v>
      </c>
      <c r="BE487">
        <f>VLOOKUP($BA487,'[2]NonStandard DIS'!$Q$1:$X$542,5,FALSE)</f>
        <v>0</v>
      </c>
      <c r="BF487">
        <f>VLOOKUP($BA487,'[2]NonStandard DIS'!$Q$1:$X$542,6,FALSE)</f>
        <v>0</v>
      </c>
      <c r="BG487">
        <f>VLOOKUP($BA487,'[2]NonStandard DIS'!$Q$1:$X$542,7,FALSE)</f>
        <v>0.625</v>
      </c>
      <c r="BH487">
        <f>VLOOKUP($BA487,'[2]NonStandard DIS'!$Q$1:$X$542,8,FALSE)</f>
        <v>0.375</v>
      </c>
      <c r="BI487" s="77">
        <f t="shared" si="1146"/>
        <v>1</v>
      </c>
      <c r="BJ487" s="77">
        <f t="shared" si="1147"/>
        <v>5.5037499999999996E-2</v>
      </c>
      <c r="BK487" s="77">
        <f t="shared" si="1128"/>
        <v>4.4746741994332595E-3</v>
      </c>
      <c r="BL487" s="79">
        <v>1</v>
      </c>
      <c r="BM487" s="77">
        <f t="shared" si="1159"/>
        <v>7.1249999999999994E-3</v>
      </c>
      <c r="BN487" s="77">
        <f t="shared" si="1160"/>
        <v>5.9181981588474208E-4</v>
      </c>
      <c r="BO487" s="77">
        <f t="shared" si="1161"/>
        <v>2.5000000000000001E-3</v>
      </c>
      <c r="BP487" s="77">
        <f t="shared" si="1162"/>
        <v>2.0809499864316017E-4</v>
      </c>
    </row>
    <row r="488" spans="1:68">
      <c r="A488" t="s">
        <v>175</v>
      </c>
      <c r="B488" t="s">
        <v>176</v>
      </c>
      <c r="C488" s="197" t="str">
        <f t="shared" si="1197"/>
        <v>Lifecycle_Balanced_57</v>
      </c>
      <c r="D488">
        <v>57</v>
      </c>
      <c r="E488">
        <f>VLOOKUP($D488,'[2]LC Balanced'!$Q$2:$U$542,2,FALSE)</f>
        <v>0.51824999999999999</v>
      </c>
      <c r="F488">
        <f>VLOOKUP($D488,'[2]LC Balanced'!$Q$2:$U$542,3,FALSE)</f>
        <v>0.17474999999999999</v>
      </c>
      <c r="G488">
        <f>VLOOKUP($D488,'[2]LC Balanced'!$Q$2:$U$542,4,FALSE)</f>
        <v>0.307</v>
      </c>
      <c r="H488">
        <f>VLOOKUP($D488,'[2]LC Balanced'!$Q$2:$U$542,5,FALSE)</f>
        <v>0</v>
      </c>
      <c r="I488" s="77">
        <f t="shared" si="1141"/>
        <v>1</v>
      </c>
      <c r="J488" s="77">
        <f t="shared" si="1142"/>
        <v>5.006564375E-2</v>
      </c>
      <c r="K488" s="77">
        <f t="shared" si="1132"/>
        <v>4.0793546806496828E-3</v>
      </c>
      <c r="L488" s="76">
        <v>0</v>
      </c>
      <c r="M488" s="77">
        <f t="shared" si="1148"/>
        <v>0</v>
      </c>
      <c r="N488" s="77">
        <f t="shared" si="1149"/>
        <v>0</v>
      </c>
      <c r="O488" s="77">
        <f t="shared" si="1150"/>
        <v>4.4852249999999989E-3</v>
      </c>
      <c r="P488" s="77">
        <f t="shared" si="1151"/>
        <v>3.7453932595987727E-4</v>
      </c>
      <c r="R488" t="s">
        <v>177</v>
      </c>
      <c r="S488" t="s">
        <v>176</v>
      </c>
      <c r="T488" s="197" t="str">
        <f t="shared" si="1083"/>
        <v>Autopilot_Balanced_57</v>
      </c>
      <c r="U488">
        <v>57</v>
      </c>
      <c r="V488">
        <f>VLOOKUP($U488,'[2]AP Balanced'!$Q$1:$T$542,2,FALSE)</f>
        <v>0</v>
      </c>
      <c r="W488">
        <f>VLOOKUP($U488,'[2]AP Balanced'!$Q$1:$T$542,3,FALSE)</f>
        <v>0.91540799999999978</v>
      </c>
      <c r="X488">
        <f>VLOOKUP($U488,'[2]AP Balanced'!$Q$1:$T$542,4,FALSE)</f>
        <v>8.4592000000000223E-2</v>
      </c>
      <c r="Y488" s="77">
        <f t="shared" si="1198"/>
        <v>1</v>
      </c>
      <c r="Z488" s="77">
        <f t="shared" si="1187"/>
        <v>5.0601360799999988E-2</v>
      </c>
      <c r="AA488" s="77">
        <f t="shared" si="1188"/>
        <v>4.1220327024353853E-3</v>
      </c>
      <c r="AB488" s="79">
        <v>1</v>
      </c>
      <c r="AC488" s="77">
        <f t="shared" si="1152"/>
        <v>5.9501519999999985E-3</v>
      </c>
      <c r="AD488" s="77">
        <f t="shared" si="1143"/>
        <v>4.9720341086545439E-4</v>
      </c>
      <c r="AE488" s="77">
        <f t="shared" si="1153"/>
        <v>2.4915408000000003E-3</v>
      </c>
      <c r="AF488" s="77">
        <f t="shared" si="1143"/>
        <v>2.0786588064969358E-4</v>
      </c>
      <c r="AH488" t="s">
        <v>175</v>
      </c>
      <c r="AI488" t="s">
        <v>176</v>
      </c>
      <c r="AJ488" s="197" t="str">
        <f t="shared" si="1199"/>
        <v>Lifecycle_Balanced_57</v>
      </c>
      <c r="AK488">
        <v>57</v>
      </c>
      <c r="AL488">
        <f>VLOOKUP($U488,[2]Standard_Balanced!$Q$1:$T$542,2,FALSE)</f>
        <v>0</v>
      </c>
      <c r="AM488">
        <f>VLOOKUP($U488,[2]Standard_Balanced!$Q$1:$T$542,3,FALSE)</f>
        <v>0.90609174999999975</v>
      </c>
      <c r="AN488">
        <f>VLOOKUP($U488,[2]Standard_Balanced!$Q$1:$T$542,4,FALSE)</f>
        <v>9.3908250000000221E-2</v>
      </c>
      <c r="AO488" s="77">
        <f t="shared" si="1129"/>
        <v>1</v>
      </c>
      <c r="AP488" s="77">
        <f t="shared" si="1154"/>
        <v>5.0518911987499991E-2</v>
      </c>
      <c r="AQ488" s="77">
        <f t="shared" si="1200"/>
        <v>4.1154656978716897E-3</v>
      </c>
      <c r="AR488" s="79">
        <v>0</v>
      </c>
      <c r="AS488" s="77">
        <f t="shared" si="1155"/>
        <v>0</v>
      </c>
      <c r="AT488" s="77">
        <f t="shared" ref="AT488" si="1236">1-(1-AS488)^(1/12)</f>
        <v>0</v>
      </c>
      <c r="AU488" s="77">
        <f t="shared" si="1157"/>
        <v>2.4906091750000001E-3</v>
      </c>
      <c r="AV488" s="77">
        <f t="shared" ref="AV488" si="1237">1-(1-AU488)^(1/12)</f>
        <v>2.0778806752952406E-4</v>
      </c>
      <c r="AX488" t="s">
        <v>178</v>
      </c>
      <c r="AY488" t="s">
        <v>160</v>
      </c>
      <c r="AZ488" s="197" t="str">
        <f t="shared" si="1203"/>
        <v>DIS_Non-Standard_57</v>
      </c>
      <c r="BA488">
        <v>57</v>
      </c>
      <c r="BB488">
        <f>VLOOKUP($BA488,'[2]NonStandard DIS'!$Q$1:$X$542,2,FALSE)</f>
        <v>0</v>
      </c>
      <c r="BC488">
        <f>VLOOKUP($BA488,'[2]NonStandard DIS'!$Q$1:$X$542,3,FALSE)</f>
        <v>0</v>
      </c>
      <c r="BD488">
        <f>VLOOKUP($BA488,'[2]NonStandard DIS'!$Q$1:$X$542,4,FALSE)</f>
        <v>0</v>
      </c>
      <c r="BE488">
        <f>VLOOKUP($BA488,'[2]NonStandard DIS'!$Q$1:$X$542,5,FALSE)</f>
        <v>0</v>
      </c>
      <c r="BF488">
        <f>VLOOKUP($BA488,'[2]NonStandard DIS'!$Q$1:$X$542,6,FALSE)</f>
        <v>0</v>
      </c>
      <c r="BG488">
        <f>VLOOKUP($BA488,'[2]NonStandard DIS'!$Q$1:$X$542,7,FALSE)</f>
        <v>0.625</v>
      </c>
      <c r="BH488">
        <f>VLOOKUP($BA488,'[2]NonStandard DIS'!$Q$1:$X$542,8,FALSE)</f>
        <v>0.375</v>
      </c>
      <c r="BI488" s="77">
        <f t="shared" si="1146"/>
        <v>1</v>
      </c>
      <c r="BJ488" s="77">
        <f t="shared" si="1147"/>
        <v>5.5037499999999996E-2</v>
      </c>
      <c r="BK488" s="77">
        <f t="shared" si="1128"/>
        <v>4.4746741994332595E-3</v>
      </c>
      <c r="BL488" s="79">
        <v>1</v>
      </c>
      <c r="BM488" s="77">
        <f t="shared" si="1159"/>
        <v>7.1249999999999994E-3</v>
      </c>
      <c r="BN488" s="77">
        <f t="shared" si="1160"/>
        <v>5.9181981588474208E-4</v>
      </c>
      <c r="BO488" s="77">
        <f t="shared" si="1161"/>
        <v>2.5000000000000001E-3</v>
      </c>
      <c r="BP488" s="77">
        <f t="shared" si="1162"/>
        <v>2.0809499864316017E-4</v>
      </c>
    </row>
    <row r="489" spans="1:68">
      <c r="A489" t="s">
        <v>175</v>
      </c>
      <c r="B489" t="s">
        <v>176</v>
      </c>
      <c r="C489" s="197" t="str">
        <f t="shared" si="1197"/>
        <v>Lifecycle_Balanced_56</v>
      </c>
      <c r="D489">
        <v>56</v>
      </c>
      <c r="E489">
        <f>VLOOKUP($D489,'[2]LC Balanced'!$Q$2:$U$542,2,FALSE)</f>
        <v>0.52033333333333331</v>
      </c>
      <c r="F489">
        <f>VLOOKUP($D489,'[2]LC Balanced'!$Q$2:$U$542,3,FALSE)</f>
        <v>0.17366666666666666</v>
      </c>
      <c r="G489">
        <f>VLOOKUP($D489,'[2]LC Balanced'!$Q$2:$U$542,4,FALSE)</f>
        <v>0.30599999999999999</v>
      </c>
      <c r="H489">
        <f>VLOOKUP($D489,'[2]LC Balanced'!$Q$2:$U$542,5,FALSE)</f>
        <v>0</v>
      </c>
      <c r="I489" s="77">
        <f t="shared" si="1141"/>
        <v>1</v>
      </c>
      <c r="J489" s="77">
        <f t="shared" si="1142"/>
        <v>5.0038724999999999E-2</v>
      </c>
      <c r="K489" s="77">
        <f t="shared" si="1132"/>
        <v>4.0772096656478407E-3</v>
      </c>
      <c r="L489" s="76">
        <v>0</v>
      </c>
      <c r="M489" s="77">
        <f t="shared" si="1148"/>
        <v>0</v>
      </c>
      <c r="N489" s="77">
        <f t="shared" si="1149"/>
        <v>0</v>
      </c>
      <c r="O489" s="77">
        <f t="shared" si="1150"/>
        <v>4.476633333333333E-3</v>
      </c>
      <c r="P489" s="77">
        <f t="shared" si="1151"/>
        <v>3.7382040018452134E-4</v>
      </c>
      <c r="R489" t="s">
        <v>177</v>
      </c>
      <c r="S489" t="s">
        <v>176</v>
      </c>
      <c r="T489" s="197" t="str">
        <f t="shared" si="1083"/>
        <v>Autopilot_Balanced_56</v>
      </c>
      <c r="U489">
        <v>56</v>
      </c>
      <c r="V489">
        <f>VLOOKUP($U489,'[2]AP Balanced'!$Q$1:$T$542,2,FALSE)</f>
        <v>0</v>
      </c>
      <c r="W489">
        <f>VLOOKUP($U489,'[2]AP Balanced'!$Q$1:$T$542,3,FALSE)</f>
        <v>0.91540799999999978</v>
      </c>
      <c r="X489">
        <f>VLOOKUP($U489,'[2]AP Balanced'!$Q$1:$T$542,4,FALSE)</f>
        <v>8.4592000000000223E-2</v>
      </c>
      <c r="Y489" s="77">
        <f t="shared" si="1198"/>
        <v>1</v>
      </c>
      <c r="Z489" s="77">
        <f t="shared" si="1187"/>
        <v>5.0601360799999988E-2</v>
      </c>
      <c r="AA489" s="77">
        <f t="shared" si="1188"/>
        <v>4.1220327024353853E-3</v>
      </c>
      <c r="AB489" s="79">
        <v>1</v>
      </c>
      <c r="AC489" s="77">
        <f t="shared" si="1152"/>
        <v>5.9501519999999985E-3</v>
      </c>
      <c r="AD489" s="77">
        <f t="shared" si="1143"/>
        <v>4.9720341086545439E-4</v>
      </c>
      <c r="AE489" s="77">
        <f t="shared" si="1153"/>
        <v>2.4915408000000003E-3</v>
      </c>
      <c r="AF489" s="77">
        <f t="shared" si="1143"/>
        <v>2.0786588064969358E-4</v>
      </c>
      <c r="AH489" t="s">
        <v>175</v>
      </c>
      <c r="AI489" t="s">
        <v>176</v>
      </c>
      <c r="AJ489" s="197" t="str">
        <f t="shared" si="1199"/>
        <v>Lifecycle_Balanced_56</v>
      </c>
      <c r="AK489">
        <v>56</v>
      </c>
      <c r="AL489">
        <f>VLOOKUP($U489,[2]Standard_Balanced!$Q$1:$T$542,2,FALSE)</f>
        <v>0</v>
      </c>
      <c r="AM489">
        <f>VLOOKUP($U489,[2]Standard_Balanced!$Q$1:$T$542,3,FALSE)</f>
        <v>0.90298633333333311</v>
      </c>
      <c r="AN489">
        <f>VLOOKUP($U489,[2]Standard_Balanced!$Q$1:$T$542,4,FALSE)</f>
        <v>9.7013666666666887E-2</v>
      </c>
      <c r="AO489" s="77">
        <f t="shared" si="1129"/>
        <v>1</v>
      </c>
      <c r="AP489" s="77">
        <f t="shared" si="1154"/>
        <v>5.0491429049999988E-2</v>
      </c>
      <c r="AQ489" s="77">
        <f t="shared" si="1200"/>
        <v>4.1132765913602931E-3</v>
      </c>
      <c r="AR489" s="79">
        <v>0</v>
      </c>
      <c r="AS489" s="77">
        <f t="shared" si="1155"/>
        <v>0</v>
      </c>
      <c r="AT489" s="77">
        <f t="shared" ref="AT489" si="1238">1-(1-AS489)^(1/12)</f>
        <v>0</v>
      </c>
      <c r="AU489" s="77">
        <f t="shared" si="1157"/>
        <v>2.490298633333333E-3</v>
      </c>
      <c r="AV489" s="77">
        <f t="shared" ref="AV489" si="1239">1-(1-AU489)^(1/12)</f>
        <v>2.0776212983752984E-4</v>
      </c>
      <c r="AX489" t="s">
        <v>178</v>
      </c>
      <c r="AY489" t="s">
        <v>160</v>
      </c>
      <c r="AZ489" s="197" t="str">
        <f t="shared" si="1203"/>
        <v>DIS_Non-Standard_56</v>
      </c>
      <c r="BA489">
        <v>56</v>
      </c>
      <c r="BB489">
        <f>VLOOKUP($BA489,'[2]NonStandard DIS'!$Q$1:$X$542,2,FALSE)</f>
        <v>0</v>
      </c>
      <c r="BC489">
        <f>VLOOKUP($BA489,'[2]NonStandard DIS'!$Q$1:$X$542,3,FALSE)</f>
        <v>0</v>
      </c>
      <c r="BD489">
        <f>VLOOKUP($BA489,'[2]NonStandard DIS'!$Q$1:$X$542,4,FALSE)</f>
        <v>0</v>
      </c>
      <c r="BE489">
        <f>VLOOKUP($BA489,'[2]NonStandard DIS'!$Q$1:$X$542,5,FALSE)</f>
        <v>0</v>
      </c>
      <c r="BF489">
        <f>VLOOKUP($BA489,'[2]NonStandard DIS'!$Q$1:$X$542,6,FALSE)</f>
        <v>0</v>
      </c>
      <c r="BG489">
        <f>VLOOKUP($BA489,'[2]NonStandard DIS'!$Q$1:$X$542,7,FALSE)</f>
        <v>0.625</v>
      </c>
      <c r="BH489">
        <f>VLOOKUP($BA489,'[2]NonStandard DIS'!$Q$1:$X$542,8,FALSE)</f>
        <v>0.375</v>
      </c>
      <c r="BI489" s="77">
        <f t="shared" si="1146"/>
        <v>1</v>
      </c>
      <c r="BJ489" s="77">
        <f t="shared" si="1147"/>
        <v>5.5037499999999996E-2</v>
      </c>
      <c r="BK489" s="77">
        <f t="shared" si="1128"/>
        <v>4.4746741994332595E-3</v>
      </c>
      <c r="BL489" s="79">
        <v>1</v>
      </c>
      <c r="BM489" s="77">
        <f t="shared" si="1159"/>
        <v>7.1249999999999994E-3</v>
      </c>
      <c r="BN489" s="77">
        <f t="shared" si="1160"/>
        <v>5.9181981588474208E-4</v>
      </c>
      <c r="BO489" s="77">
        <f t="shared" si="1161"/>
        <v>2.5000000000000001E-3</v>
      </c>
      <c r="BP489" s="77">
        <f t="shared" si="1162"/>
        <v>2.0809499864316017E-4</v>
      </c>
    </row>
    <row r="490" spans="1:68">
      <c r="A490" t="s">
        <v>175</v>
      </c>
      <c r="B490" t="s">
        <v>176</v>
      </c>
      <c r="C490" s="197" t="str">
        <f t="shared" si="1197"/>
        <v>Lifecycle_Balanced_55</v>
      </c>
      <c r="D490">
        <v>55</v>
      </c>
      <c r="E490">
        <f>VLOOKUP($D490,'[2]LC Balanced'!$Q$2:$U$542,2,FALSE)</f>
        <v>0.52241666666666664</v>
      </c>
      <c r="F490">
        <f>VLOOKUP($D490,'[2]LC Balanced'!$Q$2:$U$542,3,FALSE)</f>
        <v>0.17258333333333334</v>
      </c>
      <c r="G490">
        <f>VLOOKUP($D490,'[2]LC Balanced'!$Q$2:$U$542,4,FALSE)</f>
        <v>0.30499999999999999</v>
      </c>
      <c r="H490">
        <f>VLOOKUP($D490,'[2]LC Balanced'!$Q$2:$U$542,5,FALSE)</f>
        <v>0</v>
      </c>
      <c r="I490" s="77">
        <f t="shared" si="1141"/>
        <v>1</v>
      </c>
      <c r="J490" s="77">
        <f t="shared" si="1142"/>
        <v>5.0011806249999999E-2</v>
      </c>
      <c r="K490" s="77">
        <f t="shared" si="1132"/>
        <v>4.0750646002380986E-3</v>
      </c>
      <c r="L490" s="76">
        <v>0</v>
      </c>
      <c r="M490" s="77">
        <f t="shared" si="1148"/>
        <v>0</v>
      </c>
      <c r="N490" s="77">
        <f t="shared" si="1149"/>
        <v>0</v>
      </c>
      <c r="O490" s="77">
        <f t="shared" si="1150"/>
        <v>4.468041666666667E-3</v>
      </c>
      <c r="P490" s="77">
        <f t="shared" si="1151"/>
        <v>3.7310148009672695E-4</v>
      </c>
      <c r="R490" t="s">
        <v>177</v>
      </c>
      <c r="S490" t="s">
        <v>176</v>
      </c>
      <c r="T490" s="197" t="str">
        <f t="shared" ref="T490:T544" si="1240">R490&amp;"_"&amp;S490&amp;"_"&amp;U490</f>
        <v>Autopilot_Balanced_55</v>
      </c>
      <c r="U490">
        <v>55</v>
      </c>
      <c r="V490">
        <f>VLOOKUP($U490,'[2]AP Balanced'!$Q$1:$T$542,2,FALSE)</f>
        <v>0</v>
      </c>
      <c r="W490">
        <f>VLOOKUP($U490,'[2]AP Balanced'!$Q$1:$T$542,3,FALSE)</f>
        <v>0.91540799999999978</v>
      </c>
      <c r="X490">
        <f>VLOOKUP($U490,'[2]AP Balanced'!$Q$1:$T$542,4,FALSE)</f>
        <v>8.4592000000000223E-2</v>
      </c>
      <c r="Y490" s="77">
        <f t="shared" si="1198"/>
        <v>1</v>
      </c>
      <c r="Z490" s="77">
        <f t="shared" si="1187"/>
        <v>5.0601360799999988E-2</v>
      </c>
      <c r="AA490" s="77">
        <f t="shared" si="1188"/>
        <v>4.1220327024353853E-3</v>
      </c>
      <c r="AB490" s="79">
        <v>1</v>
      </c>
      <c r="AC490" s="77">
        <f t="shared" si="1152"/>
        <v>5.9501519999999985E-3</v>
      </c>
      <c r="AD490" s="77">
        <f t="shared" si="1143"/>
        <v>4.9720341086545439E-4</v>
      </c>
      <c r="AE490" s="77">
        <f t="shared" si="1153"/>
        <v>2.4915408000000003E-3</v>
      </c>
      <c r="AF490" s="77">
        <f t="shared" si="1143"/>
        <v>2.0786588064969358E-4</v>
      </c>
      <c r="AH490" t="s">
        <v>175</v>
      </c>
      <c r="AI490" t="s">
        <v>176</v>
      </c>
      <c r="AJ490" s="197" t="str">
        <f t="shared" si="1199"/>
        <v>Lifecycle_Balanced_55</v>
      </c>
      <c r="AK490">
        <v>55</v>
      </c>
      <c r="AL490">
        <f>VLOOKUP($U490,[2]Standard_Balanced!$Q$1:$T$542,2,FALSE)</f>
        <v>0</v>
      </c>
      <c r="AM490">
        <f>VLOOKUP($U490,[2]Standard_Balanced!$Q$1:$T$542,3,FALSE)</f>
        <v>0.89988091666666647</v>
      </c>
      <c r="AN490">
        <f>VLOOKUP($U490,[2]Standard_Balanced!$Q$1:$T$542,4,FALSE)</f>
        <v>0.10011908333333355</v>
      </c>
      <c r="AO490" s="77">
        <f t="shared" si="1129"/>
        <v>1</v>
      </c>
      <c r="AP490" s="77">
        <f t="shared" si="1154"/>
        <v>5.0463946112499991E-2</v>
      </c>
      <c r="AQ490" s="77">
        <f t="shared" si="1200"/>
        <v>4.1110874323497804E-3</v>
      </c>
      <c r="AR490" s="79">
        <v>0</v>
      </c>
      <c r="AS490" s="77">
        <f t="shared" si="1155"/>
        <v>0</v>
      </c>
      <c r="AT490" s="77">
        <f t="shared" ref="AT490" si="1241">1-(1-AS490)^(1/12)</f>
        <v>0</v>
      </c>
      <c r="AU490" s="77">
        <f t="shared" si="1157"/>
        <v>2.4899880916666667E-3</v>
      </c>
      <c r="AV490" s="77">
        <f t="shared" ref="AV490" si="1242">1-(1-AU490)^(1/12)</f>
        <v>2.0773619215297412E-4</v>
      </c>
      <c r="AX490" t="s">
        <v>178</v>
      </c>
      <c r="AY490" t="s">
        <v>160</v>
      </c>
      <c r="AZ490" s="197" t="str">
        <f t="shared" si="1203"/>
        <v>DIS_Non-Standard_55</v>
      </c>
      <c r="BA490">
        <v>55</v>
      </c>
      <c r="BB490">
        <f>VLOOKUP($BA490,'[2]NonStandard DIS'!$Q$1:$X$542,2,FALSE)</f>
        <v>0</v>
      </c>
      <c r="BC490">
        <f>VLOOKUP($BA490,'[2]NonStandard DIS'!$Q$1:$X$542,3,FALSE)</f>
        <v>0</v>
      </c>
      <c r="BD490">
        <f>VLOOKUP($BA490,'[2]NonStandard DIS'!$Q$1:$X$542,4,FALSE)</f>
        <v>0</v>
      </c>
      <c r="BE490">
        <f>VLOOKUP($BA490,'[2]NonStandard DIS'!$Q$1:$X$542,5,FALSE)</f>
        <v>0</v>
      </c>
      <c r="BF490">
        <f>VLOOKUP($BA490,'[2]NonStandard DIS'!$Q$1:$X$542,6,FALSE)</f>
        <v>0</v>
      </c>
      <c r="BG490">
        <f>VLOOKUP($BA490,'[2]NonStandard DIS'!$Q$1:$X$542,7,FALSE)</f>
        <v>0.625</v>
      </c>
      <c r="BH490">
        <f>VLOOKUP($BA490,'[2]NonStandard DIS'!$Q$1:$X$542,8,FALSE)</f>
        <v>0.375</v>
      </c>
      <c r="BI490" s="77">
        <f t="shared" si="1146"/>
        <v>1</v>
      </c>
      <c r="BJ490" s="77">
        <f t="shared" si="1147"/>
        <v>5.5037499999999996E-2</v>
      </c>
      <c r="BK490" s="77">
        <f t="shared" si="1128"/>
        <v>4.4746741994332595E-3</v>
      </c>
      <c r="BL490" s="79">
        <v>1</v>
      </c>
      <c r="BM490" s="77">
        <f t="shared" si="1159"/>
        <v>7.1249999999999994E-3</v>
      </c>
      <c r="BN490" s="77">
        <f t="shared" si="1160"/>
        <v>5.9181981588474208E-4</v>
      </c>
      <c r="BO490" s="77">
        <f t="shared" si="1161"/>
        <v>2.5000000000000001E-3</v>
      </c>
      <c r="BP490" s="77">
        <f t="shared" si="1162"/>
        <v>2.0809499864316017E-4</v>
      </c>
    </row>
    <row r="491" spans="1:68">
      <c r="A491" t="s">
        <v>175</v>
      </c>
      <c r="B491" t="s">
        <v>176</v>
      </c>
      <c r="C491" s="197" t="str">
        <f t="shared" si="1197"/>
        <v>Lifecycle_Balanced_54</v>
      </c>
      <c r="D491">
        <v>54</v>
      </c>
      <c r="E491">
        <f>VLOOKUP($D491,'[2]LC Balanced'!$Q$2:$U$542,2,FALSE)</f>
        <v>0.52449999999999997</v>
      </c>
      <c r="F491">
        <f>VLOOKUP($D491,'[2]LC Balanced'!$Q$2:$U$542,3,FALSE)</f>
        <v>0.17149999999999999</v>
      </c>
      <c r="G491">
        <f>VLOOKUP($D491,'[2]LC Balanced'!$Q$2:$U$542,4,FALSE)</f>
        <v>0.30399999999999999</v>
      </c>
      <c r="H491">
        <f>VLOOKUP($D491,'[2]LC Balanced'!$Q$2:$U$542,5,FALSE)</f>
        <v>0</v>
      </c>
      <c r="I491" s="77">
        <f t="shared" si="1141"/>
        <v>1</v>
      </c>
      <c r="J491" s="77">
        <f t="shared" si="1142"/>
        <v>4.9984887499999991E-2</v>
      </c>
      <c r="K491" s="77">
        <f t="shared" si="1132"/>
        <v>4.072919484418458E-3</v>
      </c>
      <c r="L491" s="76">
        <v>0</v>
      </c>
      <c r="M491" s="77">
        <f t="shared" si="1148"/>
        <v>0</v>
      </c>
      <c r="N491" s="77">
        <f t="shared" si="1149"/>
        <v>0</v>
      </c>
      <c r="O491" s="77">
        <f t="shared" si="1150"/>
        <v>4.4594500000000002E-3</v>
      </c>
      <c r="P491" s="77">
        <f t="shared" si="1151"/>
        <v>3.7238256569627204E-4</v>
      </c>
      <c r="R491" t="s">
        <v>177</v>
      </c>
      <c r="S491" t="s">
        <v>176</v>
      </c>
      <c r="T491" s="197" t="str">
        <f t="shared" si="1240"/>
        <v>Autopilot_Balanced_54</v>
      </c>
      <c r="U491">
        <v>54</v>
      </c>
      <c r="V491">
        <f>VLOOKUP($U491,'[2]AP Balanced'!$Q$1:$T$542,2,FALSE)</f>
        <v>0</v>
      </c>
      <c r="W491">
        <f>VLOOKUP($U491,'[2]AP Balanced'!$Q$1:$T$542,3,FALSE)</f>
        <v>0.91540799999999978</v>
      </c>
      <c r="X491">
        <f>VLOOKUP($U491,'[2]AP Balanced'!$Q$1:$T$542,4,FALSE)</f>
        <v>8.4592000000000223E-2</v>
      </c>
      <c r="Y491" s="77">
        <f t="shared" si="1198"/>
        <v>1</v>
      </c>
      <c r="Z491" s="77">
        <f t="shared" si="1187"/>
        <v>5.0601360799999988E-2</v>
      </c>
      <c r="AA491" s="77">
        <f t="shared" si="1188"/>
        <v>4.1220327024353853E-3</v>
      </c>
      <c r="AB491" s="79">
        <v>1</v>
      </c>
      <c r="AC491" s="77">
        <f t="shared" si="1152"/>
        <v>5.9501519999999985E-3</v>
      </c>
      <c r="AD491" s="77">
        <f t="shared" si="1143"/>
        <v>4.9720341086545439E-4</v>
      </c>
      <c r="AE491" s="77">
        <f t="shared" si="1153"/>
        <v>2.4915408000000003E-3</v>
      </c>
      <c r="AF491" s="77">
        <f t="shared" si="1143"/>
        <v>2.0786588064969358E-4</v>
      </c>
      <c r="AH491" t="s">
        <v>175</v>
      </c>
      <c r="AI491" t="s">
        <v>176</v>
      </c>
      <c r="AJ491" s="197" t="str">
        <f t="shared" si="1199"/>
        <v>Lifecycle_Balanced_54</v>
      </c>
      <c r="AK491">
        <v>54</v>
      </c>
      <c r="AL491">
        <f>VLOOKUP($U491,[2]Standard_Balanced!$Q$1:$T$542,2,FALSE)</f>
        <v>0</v>
      </c>
      <c r="AM491">
        <f>VLOOKUP($U491,[2]Standard_Balanced!$Q$1:$T$542,3,FALSE)</f>
        <v>0.89677549999999973</v>
      </c>
      <c r="AN491">
        <f>VLOOKUP($U491,[2]Standard_Balanced!$Q$1:$T$542,4,FALSE)</f>
        <v>0.10322450000000022</v>
      </c>
      <c r="AO491" s="77">
        <f t="shared" si="1129"/>
        <v>1</v>
      </c>
      <c r="AP491" s="77">
        <f t="shared" si="1154"/>
        <v>5.0436463174999988E-2</v>
      </c>
      <c r="AQ491" s="77">
        <f t="shared" si="1200"/>
        <v>4.1088982208370428E-3</v>
      </c>
      <c r="AR491" s="79">
        <v>0</v>
      </c>
      <c r="AS491" s="77">
        <f t="shared" si="1155"/>
        <v>0</v>
      </c>
      <c r="AT491" s="77">
        <f t="shared" ref="AT491" si="1243">1-(1-AS491)^(1/12)</f>
        <v>0</v>
      </c>
      <c r="AU491" s="77">
        <f t="shared" si="1157"/>
        <v>2.48967755E-3</v>
      </c>
      <c r="AV491" s="77">
        <f t="shared" ref="AV491" si="1244">1-(1-AU491)^(1/12)</f>
        <v>2.0771025447585689E-4</v>
      </c>
      <c r="AX491" t="s">
        <v>178</v>
      </c>
      <c r="AY491" t="s">
        <v>160</v>
      </c>
      <c r="AZ491" s="197" t="str">
        <f t="shared" si="1203"/>
        <v>DIS_Non-Standard_54</v>
      </c>
      <c r="BA491">
        <v>54</v>
      </c>
      <c r="BB491">
        <f>VLOOKUP($BA491,'[2]NonStandard DIS'!$Q$1:$X$542,2,FALSE)</f>
        <v>0</v>
      </c>
      <c r="BC491">
        <f>VLOOKUP($BA491,'[2]NonStandard DIS'!$Q$1:$X$542,3,FALSE)</f>
        <v>0</v>
      </c>
      <c r="BD491">
        <f>VLOOKUP($BA491,'[2]NonStandard DIS'!$Q$1:$X$542,4,FALSE)</f>
        <v>0</v>
      </c>
      <c r="BE491">
        <f>VLOOKUP($BA491,'[2]NonStandard DIS'!$Q$1:$X$542,5,FALSE)</f>
        <v>0</v>
      </c>
      <c r="BF491">
        <f>VLOOKUP($BA491,'[2]NonStandard DIS'!$Q$1:$X$542,6,FALSE)</f>
        <v>0</v>
      </c>
      <c r="BG491">
        <f>VLOOKUP($BA491,'[2]NonStandard DIS'!$Q$1:$X$542,7,FALSE)</f>
        <v>0.625</v>
      </c>
      <c r="BH491">
        <f>VLOOKUP($BA491,'[2]NonStandard DIS'!$Q$1:$X$542,8,FALSE)</f>
        <v>0.375</v>
      </c>
      <c r="BI491" s="77">
        <f t="shared" si="1146"/>
        <v>1</v>
      </c>
      <c r="BJ491" s="77">
        <f t="shared" si="1147"/>
        <v>5.5037499999999996E-2</v>
      </c>
      <c r="BK491" s="77">
        <f t="shared" si="1128"/>
        <v>4.4746741994332595E-3</v>
      </c>
      <c r="BL491" s="79">
        <v>1</v>
      </c>
      <c r="BM491" s="77">
        <f t="shared" si="1159"/>
        <v>7.1249999999999994E-3</v>
      </c>
      <c r="BN491" s="77">
        <f t="shared" si="1160"/>
        <v>5.9181981588474208E-4</v>
      </c>
      <c r="BO491" s="77">
        <f t="shared" si="1161"/>
        <v>2.5000000000000001E-3</v>
      </c>
      <c r="BP491" s="77">
        <f t="shared" si="1162"/>
        <v>2.0809499864316017E-4</v>
      </c>
    </row>
    <row r="492" spans="1:68">
      <c r="A492" t="s">
        <v>175</v>
      </c>
      <c r="B492" t="s">
        <v>176</v>
      </c>
      <c r="C492" s="197" t="str">
        <f t="shared" si="1197"/>
        <v>Lifecycle_Balanced_53</v>
      </c>
      <c r="D492">
        <v>53</v>
      </c>
      <c r="E492">
        <f>VLOOKUP($D492,'[2]LC Balanced'!$Q$2:$U$542,2,FALSE)</f>
        <v>0.5265833333333334</v>
      </c>
      <c r="F492">
        <f>VLOOKUP($D492,'[2]LC Balanced'!$Q$2:$U$542,3,FALSE)</f>
        <v>0.17041666666666666</v>
      </c>
      <c r="G492">
        <f>VLOOKUP($D492,'[2]LC Balanced'!$Q$2:$U$542,4,FALSE)</f>
        <v>0.30299999999999999</v>
      </c>
      <c r="H492">
        <f>VLOOKUP($D492,'[2]LC Balanced'!$Q$2:$U$542,5,FALSE)</f>
        <v>0</v>
      </c>
      <c r="I492" s="77">
        <f t="shared" si="1141"/>
        <v>1</v>
      </c>
      <c r="J492" s="77">
        <f t="shared" si="1142"/>
        <v>4.9957968749999998E-2</v>
      </c>
      <c r="K492" s="77">
        <f t="shared" si="1132"/>
        <v>4.0707743181862543E-3</v>
      </c>
      <c r="L492" s="76">
        <v>0</v>
      </c>
      <c r="M492" s="77">
        <f t="shared" si="1148"/>
        <v>0</v>
      </c>
      <c r="N492" s="77">
        <f t="shared" si="1149"/>
        <v>0</v>
      </c>
      <c r="O492" s="77">
        <f t="shared" si="1150"/>
        <v>4.4508583333333334E-3</v>
      </c>
      <c r="P492" s="77">
        <f t="shared" si="1151"/>
        <v>3.716636569830456E-4</v>
      </c>
      <c r="R492" t="s">
        <v>177</v>
      </c>
      <c r="S492" t="s">
        <v>176</v>
      </c>
      <c r="T492" s="197" t="str">
        <f t="shared" si="1240"/>
        <v>Autopilot_Balanced_53</v>
      </c>
      <c r="U492">
        <v>53</v>
      </c>
      <c r="V492">
        <f>VLOOKUP($U492,'[2]AP Balanced'!$Q$1:$T$542,2,FALSE)</f>
        <v>0</v>
      </c>
      <c r="W492">
        <f>VLOOKUP($U492,'[2]AP Balanced'!$Q$1:$T$542,3,FALSE)</f>
        <v>0.91540799999999978</v>
      </c>
      <c r="X492">
        <f>VLOOKUP($U492,'[2]AP Balanced'!$Q$1:$T$542,4,FALSE)</f>
        <v>8.4592000000000223E-2</v>
      </c>
      <c r="Y492" s="77">
        <f t="shared" si="1198"/>
        <v>1</v>
      </c>
      <c r="Z492" s="77">
        <f t="shared" si="1187"/>
        <v>5.0601360799999988E-2</v>
      </c>
      <c r="AA492" s="77">
        <f t="shared" si="1188"/>
        <v>4.1220327024353853E-3</v>
      </c>
      <c r="AB492" s="79">
        <v>1</v>
      </c>
      <c r="AC492" s="77">
        <f t="shared" si="1152"/>
        <v>5.9501519999999985E-3</v>
      </c>
      <c r="AD492" s="77">
        <f t="shared" si="1143"/>
        <v>4.9720341086545439E-4</v>
      </c>
      <c r="AE492" s="77">
        <f t="shared" si="1153"/>
        <v>2.4915408000000003E-3</v>
      </c>
      <c r="AF492" s="77">
        <f t="shared" si="1143"/>
        <v>2.0786588064969358E-4</v>
      </c>
      <c r="AH492" t="s">
        <v>175</v>
      </c>
      <c r="AI492" t="s">
        <v>176</v>
      </c>
      <c r="AJ492" s="197" t="str">
        <f t="shared" si="1199"/>
        <v>Lifecycle_Balanced_53</v>
      </c>
      <c r="AK492">
        <v>53</v>
      </c>
      <c r="AL492">
        <f>VLOOKUP($U492,[2]Standard_Balanced!$Q$1:$T$542,2,FALSE)</f>
        <v>0</v>
      </c>
      <c r="AM492">
        <f>VLOOKUP($U492,[2]Standard_Balanced!$Q$1:$T$542,3,FALSE)</f>
        <v>0.89367008333333309</v>
      </c>
      <c r="AN492">
        <f>VLOOKUP($U492,[2]Standard_Balanced!$Q$1:$T$542,4,FALSE)</f>
        <v>0.10632991666666688</v>
      </c>
      <c r="AO492" s="77">
        <f t="shared" si="1129"/>
        <v>1</v>
      </c>
      <c r="AP492" s="77">
        <f t="shared" si="1154"/>
        <v>5.0408980237499991E-2</v>
      </c>
      <c r="AQ492" s="77">
        <f t="shared" si="1200"/>
        <v>4.10670895681986E-3</v>
      </c>
      <c r="AR492" s="79">
        <v>0</v>
      </c>
      <c r="AS492" s="77">
        <f t="shared" si="1155"/>
        <v>0</v>
      </c>
      <c r="AT492" s="77">
        <f t="shared" ref="AT492" si="1245">1-(1-AS492)^(1/12)</f>
        <v>0</v>
      </c>
      <c r="AU492" s="77">
        <f t="shared" si="1157"/>
        <v>2.4893670083333333E-3</v>
      </c>
      <c r="AV492" s="77">
        <f t="shared" ref="AV492" si="1246">1-(1-AU492)^(1/12)</f>
        <v>2.0768431680606714E-4</v>
      </c>
      <c r="AX492" t="s">
        <v>178</v>
      </c>
      <c r="AY492" t="s">
        <v>160</v>
      </c>
      <c r="AZ492" s="197" t="str">
        <f t="shared" si="1203"/>
        <v>DIS_Non-Standard_53</v>
      </c>
      <c r="BA492">
        <v>53</v>
      </c>
      <c r="BB492">
        <f>VLOOKUP($BA492,'[2]NonStandard DIS'!$Q$1:$X$542,2,FALSE)</f>
        <v>0</v>
      </c>
      <c r="BC492">
        <f>VLOOKUP($BA492,'[2]NonStandard DIS'!$Q$1:$X$542,3,FALSE)</f>
        <v>0</v>
      </c>
      <c r="BD492">
        <f>VLOOKUP($BA492,'[2]NonStandard DIS'!$Q$1:$X$542,4,FALSE)</f>
        <v>0</v>
      </c>
      <c r="BE492">
        <f>VLOOKUP($BA492,'[2]NonStandard DIS'!$Q$1:$X$542,5,FALSE)</f>
        <v>0</v>
      </c>
      <c r="BF492">
        <f>VLOOKUP($BA492,'[2]NonStandard DIS'!$Q$1:$X$542,6,FALSE)</f>
        <v>0</v>
      </c>
      <c r="BG492">
        <f>VLOOKUP($BA492,'[2]NonStandard DIS'!$Q$1:$X$542,7,FALSE)</f>
        <v>0.625</v>
      </c>
      <c r="BH492">
        <f>VLOOKUP($BA492,'[2]NonStandard DIS'!$Q$1:$X$542,8,FALSE)</f>
        <v>0.375</v>
      </c>
      <c r="BI492" s="77">
        <f t="shared" si="1146"/>
        <v>1</v>
      </c>
      <c r="BJ492" s="77">
        <f t="shared" si="1147"/>
        <v>5.5037499999999996E-2</v>
      </c>
      <c r="BK492" s="77">
        <f t="shared" si="1128"/>
        <v>4.4746741994332595E-3</v>
      </c>
      <c r="BL492" s="79">
        <v>1</v>
      </c>
      <c r="BM492" s="77">
        <f t="shared" si="1159"/>
        <v>7.1249999999999994E-3</v>
      </c>
      <c r="BN492" s="77">
        <f t="shared" si="1160"/>
        <v>5.9181981588474208E-4</v>
      </c>
      <c r="BO492" s="77">
        <f t="shared" si="1161"/>
        <v>2.5000000000000001E-3</v>
      </c>
      <c r="BP492" s="77">
        <f t="shared" si="1162"/>
        <v>2.0809499864316017E-4</v>
      </c>
    </row>
    <row r="493" spans="1:68">
      <c r="A493" t="s">
        <v>175</v>
      </c>
      <c r="B493" t="s">
        <v>176</v>
      </c>
      <c r="C493" s="197" t="str">
        <f t="shared" si="1197"/>
        <v>Lifecycle_Balanced_52</v>
      </c>
      <c r="D493">
        <v>52</v>
      </c>
      <c r="E493">
        <f>VLOOKUP($D493,'[2]LC Balanced'!$Q$2:$U$542,2,FALSE)</f>
        <v>0.52866666666666673</v>
      </c>
      <c r="F493">
        <f>VLOOKUP($D493,'[2]LC Balanced'!$Q$2:$U$542,3,FALSE)</f>
        <v>0.16933333333333334</v>
      </c>
      <c r="G493">
        <f>VLOOKUP($D493,'[2]LC Balanced'!$Q$2:$U$542,4,FALSE)</f>
        <v>0.30199999999999999</v>
      </c>
      <c r="H493">
        <f>VLOOKUP($D493,'[2]LC Balanced'!$Q$2:$U$542,5,FALSE)</f>
        <v>0</v>
      </c>
      <c r="I493" s="77">
        <f t="shared" si="1141"/>
        <v>1</v>
      </c>
      <c r="J493" s="77">
        <f t="shared" si="1142"/>
        <v>4.9931050000000005E-2</v>
      </c>
      <c r="K493" s="77">
        <f t="shared" si="1132"/>
        <v>4.0686291015388232E-3</v>
      </c>
      <c r="L493" s="76">
        <v>0</v>
      </c>
      <c r="M493" s="77">
        <f t="shared" si="1148"/>
        <v>0</v>
      </c>
      <c r="N493" s="77">
        <f t="shared" si="1149"/>
        <v>0</v>
      </c>
      <c r="O493" s="77">
        <f t="shared" si="1150"/>
        <v>4.4422666666666666E-3</v>
      </c>
      <c r="P493" s="77">
        <f t="shared" si="1151"/>
        <v>3.7094475395704762E-4</v>
      </c>
      <c r="R493" t="s">
        <v>177</v>
      </c>
      <c r="S493" t="s">
        <v>176</v>
      </c>
      <c r="T493" s="197" t="str">
        <f t="shared" si="1240"/>
        <v>Autopilot_Balanced_52</v>
      </c>
      <c r="U493">
        <v>52</v>
      </c>
      <c r="V493">
        <f>VLOOKUP($U493,'[2]AP Balanced'!$Q$1:$T$542,2,FALSE)</f>
        <v>0</v>
      </c>
      <c r="W493">
        <f>VLOOKUP($U493,'[2]AP Balanced'!$Q$1:$T$542,3,FALSE)</f>
        <v>0.91540799999999978</v>
      </c>
      <c r="X493">
        <f>VLOOKUP($U493,'[2]AP Balanced'!$Q$1:$T$542,4,FALSE)</f>
        <v>8.4592000000000223E-2</v>
      </c>
      <c r="Y493" s="77">
        <f t="shared" si="1198"/>
        <v>1</v>
      </c>
      <c r="Z493" s="77">
        <f t="shared" si="1187"/>
        <v>5.0601360799999988E-2</v>
      </c>
      <c r="AA493" s="77">
        <f t="shared" si="1188"/>
        <v>4.1220327024353853E-3</v>
      </c>
      <c r="AB493" s="79">
        <v>1</v>
      </c>
      <c r="AC493" s="77">
        <f t="shared" si="1152"/>
        <v>5.9501519999999985E-3</v>
      </c>
      <c r="AD493" s="77">
        <f t="shared" si="1143"/>
        <v>4.9720341086545439E-4</v>
      </c>
      <c r="AE493" s="77">
        <f t="shared" si="1153"/>
        <v>2.4915408000000003E-3</v>
      </c>
      <c r="AF493" s="77">
        <f t="shared" si="1143"/>
        <v>2.0786588064969358E-4</v>
      </c>
      <c r="AH493" t="s">
        <v>175</v>
      </c>
      <c r="AI493" t="s">
        <v>176</v>
      </c>
      <c r="AJ493" s="197" t="str">
        <f t="shared" si="1199"/>
        <v>Lifecycle_Balanced_52</v>
      </c>
      <c r="AK493">
        <v>52</v>
      </c>
      <c r="AL493">
        <f>VLOOKUP($U493,[2]Standard_Balanced!$Q$1:$T$542,2,FALSE)</f>
        <v>0</v>
      </c>
      <c r="AM493">
        <f>VLOOKUP($U493,[2]Standard_Balanced!$Q$1:$T$542,3,FALSE)</f>
        <v>0.89056466666666645</v>
      </c>
      <c r="AN493">
        <f>VLOOKUP($U493,[2]Standard_Balanced!$Q$1:$T$542,4,FALSE)</f>
        <v>0.10943533333333355</v>
      </c>
      <c r="AO493" s="77">
        <f t="shared" si="1129"/>
        <v>1</v>
      </c>
      <c r="AP493" s="77">
        <f t="shared" si="1154"/>
        <v>5.0381497299999987E-2</v>
      </c>
      <c r="AQ493" s="77">
        <f t="shared" si="1200"/>
        <v>4.1045196402953454E-3</v>
      </c>
      <c r="AR493" s="79">
        <v>0</v>
      </c>
      <c r="AS493" s="77">
        <f t="shared" si="1155"/>
        <v>0</v>
      </c>
      <c r="AT493" s="77">
        <f t="shared" ref="AT493" si="1247">1-(1-AS493)^(1/12)</f>
        <v>0</v>
      </c>
      <c r="AU493" s="77">
        <f t="shared" si="1157"/>
        <v>2.4890564666666666E-3</v>
      </c>
      <c r="AV493" s="77">
        <f t="shared" ref="AV493" si="1248">1-(1-AU493)^(1/12)</f>
        <v>2.0765837914371588E-4</v>
      </c>
      <c r="AX493" t="s">
        <v>178</v>
      </c>
      <c r="AY493" t="s">
        <v>160</v>
      </c>
      <c r="AZ493" s="197" t="str">
        <f t="shared" si="1203"/>
        <v>DIS_Non-Standard_52</v>
      </c>
      <c r="BA493">
        <v>52</v>
      </c>
      <c r="BB493">
        <f>VLOOKUP($BA493,'[2]NonStandard DIS'!$Q$1:$X$542,2,FALSE)</f>
        <v>0</v>
      </c>
      <c r="BC493">
        <f>VLOOKUP($BA493,'[2]NonStandard DIS'!$Q$1:$X$542,3,FALSE)</f>
        <v>0</v>
      </c>
      <c r="BD493">
        <f>VLOOKUP($BA493,'[2]NonStandard DIS'!$Q$1:$X$542,4,FALSE)</f>
        <v>0</v>
      </c>
      <c r="BE493">
        <f>VLOOKUP($BA493,'[2]NonStandard DIS'!$Q$1:$X$542,5,FALSE)</f>
        <v>0</v>
      </c>
      <c r="BF493">
        <f>VLOOKUP($BA493,'[2]NonStandard DIS'!$Q$1:$X$542,6,FALSE)</f>
        <v>0</v>
      </c>
      <c r="BG493">
        <f>VLOOKUP($BA493,'[2]NonStandard DIS'!$Q$1:$X$542,7,FALSE)</f>
        <v>0.625</v>
      </c>
      <c r="BH493">
        <f>VLOOKUP($BA493,'[2]NonStandard DIS'!$Q$1:$X$542,8,FALSE)</f>
        <v>0.375</v>
      </c>
      <c r="BI493" s="77">
        <f t="shared" si="1146"/>
        <v>1</v>
      </c>
      <c r="BJ493" s="77">
        <f t="shared" si="1147"/>
        <v>5.5037499999999996E-2</v>
      </c>
      <c r="BK493" s="77">
        <f t="shared" si="1128"/>
        <v>4.4746741994332595E-3</v>
      </c>
      <c r="BL493" s="79">
        <v>1</v>
      </c>
      <c r="BM493" s="77">
        <f t="shared" si="1159"/>
        <v>7.1249999999999994E-3</v>
      </c>
      <c r="BN493" s="77">
        <f t="shared" si="1160"/>
        <v>5.9181981588474208E-4</v>
      </c>
      <c r="BO493" s="77">
        <f t="shared" si="1161"/>
        <v>2.5000000000000001E-3</v>
      </c>
      <c r="BP493" s="77">
        <f t="shared" si="1162"/>
        <v>2.0809499864316017E-4</v>
      </c>
    </row>
    <row r="494" spans="1:68">
      <c r="A494" t="s">
        <v>175</v>
      </c>
      <c r="B494" t="s">
        <v>176</v>
      </c>
      <c r="C494" s="197" t="str">
        <f t="shared" si="1197"/>
        <v>Lifecycle_Balanced_51</v>
      </c>
      <c r="D494">
        <v>51</v>
      </c>
      <c r="E494">
        <f>VLOOKUP($D494,'[2]LC Balanced'!$Q$2:$U$542,2,FALSE)</f>
        <v>0.53075000000000006</v>
      </c>
      <c r="F494">
        <f>VLOOKUP($D494,'[2]LC Balanced'!$Q$2:$U$542,3,FALSE)</f>
        <v>0.16825000000000001</v>
      </c>
      <c r="G494">
        <f>VLOOKUP($D494,'[2]LC Balanced'!$Q$2:$U$542,4,FALSE)</f>
        <v>0.30099999999999999</v>
      </c>
      <c r="H494">
        <f>VLOOKUP($D494,'[2]LC Balanced'!$Q$2:$U$542,5,FALSE)</f>
        <v>0</v>
      </c>
      <c r="I494" s="77">
        <f t="shared" si="1141"/>
        <v>1</v>
      </c>
      <c r="J494" s="77">
        <f t="shared" si="1142"/>
        <v>4.9904131249999997E-2</v>
      </c>
      <c r="K494" s="77">
        <f t="shared" si="1132"/>
        <v>4.066483834473722E-3</v>
      </c>
      <c r="L494" s="76">
        <v>0</v>
      </c>
      <c r="M494" s="77">
        <f t="shared" si="1148"/>
        <v>0</v>
      </c>
      <c r="N494" s="77">
        <f t="shared" si="1149"/>
        <v>0</v>
      </c>
      <c r="O494" s="77">
        <f t="shared" si="1150"/>
        <v>4.4336749999999998E-3</v>
      </c>
      <c r="P494" s="77">
        <f t="shared" si="1151"/>
        <v>3.7022585661827812E-4</v>
      </c>
      <c r="R494" t="s">
        <v>177</v>
      </c>
      <c r="S494" t="s">
        <v>176</v>
      </c>
      <c r="T494" s="197" t="str">
        <f t="shared" si="1240"/>
        <v>Autopilot_Balanced_51</v>
      </c>
      <c r="U494">
        <v>51</v>
      </c>
      <c r="V494">
        <f>VLOOKUP($U494,'[2]AP Balanced'!$Q$1:$T$542,2,FALSE)</f>
        <v>0</v>
      </c>
      <c r="W494">
        <f>VLOOKUP($U494,'[2]AP Balanced'!$Q$1:$T$542,3,FALSE)</f>
        <v>0.91540799999999978</v>
      </c>
      <c r="X494">
        <f>VLOOKUP($U494,'[2]AP Balanced'!$Q$1:$T$542,4,FALSE)</f>
        <v>8.4592000000000223E-2</v>
      </c>
      <c r="Y494" s="77">
        <f t="shared" si="1198"/>
        <v>1</v>
      </c>
      <c r="Z494" s="77">
        <f t="shared" si="1187"/>
        <v>5.0601360799999988E-2</v>
      </c>
      <c r="AA494" s="77">
        <f t="shared" si="1188"/>
        <v>4.1220327024353853E-3</v>
      </c>
      <c r="AB494" s="79">
        <v>1</v>
      </c>
      <c r="AC494" s="77">
        <f t="shared" si="1152"/>
        <v>5.9501519999999985E-3</v>
      </c>
      <c r="AD494" s="77">
        <f t="shared" si="1143"/>
        <v>4.9720341086545439E-4</v>
      </c>
      <c r="AE494" s="77">
        <f t="shared" si="1153"/>
        <v>2.4915408000000003E-3</v>
      </c>
      <c r="AF494" s="77">
        <f t="shared" si="1143"/>
        <v>2.0786588064969358E-4</v>
      </c>
      <c r="AH494" t="s">
        <v>175</v>
      </c>
      <c r="AI494" t="s">
        <v>176</v>
      </c>
      <c r="AJ494" s="197" t="str">
        <f t="shared" si="1199"/>
        <v>Lifecycle_Balanced_51</v>
      </c>
      <c r="AK494">
        <v>51</v>
      </c>
      <c r="AL494">
        <f>VLOOKUP($U494,[2]Standard_Balanced!$Q$1:$T$542,2,FALSE)</f>
        <v>0</v>
      </c>
      <c r="AM494">
        <f>VLOOKUP($U494,[2]Standard_Balanced!$Q$1:$T$542,3,FALSE)</f>
        <v>0.88745924999999981</v>
      </c>
      <c r="AN494">
        <f>VLOOKUP($U494,[2]Standard_Balanced!$Q$1:$T$542,4,FALSE)</f>
        <v>0.11254075000000022</v>
      </c>
      <c r="AO494" s="77">
        <f t="shared" si="1129"/>
        <v>1</v>
      </c>
      <c r="AP494" s="77">
        <f t="shared" si="1154"/>
        <v>5.0354014362499991E-2</v>
      </c>
      <c r="AQ494" s="77">
        <f t="shared" si="1200"/>
        <v>4.1023302712608345E-3</v>
      </c>
      <c r="AR494" s="79">
        <v>0</v>
      </c>
      <c r="AS494" s="77">
        <f t="shared" si="1155"/>
        <v>0</v>
      </c>
      <c r="AT494" s="77">
        <f t="shared" ref="AT494" si="1249">1-(1-AS494)^(1/12)</f>
        <v>0</v>
      </c>
      <c r="AU494" s="77">
        <f t="shared" si="1157"/>
        <v>2.4887459250000003E-3</v>
      </c>
      <c r="AV494" s="77">
        <f t="shared" ref="AV494" si="1250">1-(1-AU494)^(1/12)</f>
        <v>2.0763244148880311E-4</v>
      </c>
      <c r="AX494" t="s">
        <v>178</v>
      </c>
      <c r="AY494" t="s">
        <v>160</v>
      </c>
      <c r="AZ494" s="197" t="str">
        <f t="shared" si="1203"/>
        <v>DIS_Non-Standard_51</v>
      </c>
      <c r="BA494">
        <v>51</v>
      </c>
      <c r="BB494">
        <f>VLOOKUP($BA494,'[2]NonStandard DIS'!$Q$1:$X$542,2,FALSE)</f>
        <v>0</v>
      </c>
      <c r="BC494">
        <f>VLOOKUP($BA494,'[2]NonStandard DIS'!$Q$1:$X$542,3,FALSE)</f>
        <v>0</v>
      </c>
      <c r="BD494">
        <f>VLOOKUP($BA494,'[2]NonStandard DIS'!$Q$1:$X$542,4,FALSE)</f>
        <v>0</v>
      </c>
      <c r="BE494">
        <f>VLOOKUP($BA494,'[2]NonStandard DIS'!$Q$1:$X$542,5,FALSE)</f>
        <v>0</v>
      </c>
      <c r="BF494">
        <f>VLOOKUP($BA494,'[2]NonStandard DIS'!$Q$1:$X$542,6,FALSE)</f>
        <v>0</v>
      </c>
      <c r="BG494">
        <f>VLOOKUP($BA494,'[2]NonStandard DIS'!$Q$1:$X$542,7,FALSE)</f>
        <v>0.625</v>
      </c>
      <c r="BH494">
        <f>VLOOKUP($BA494,'[2]NonStandard DIS'!$Q$1:$X$542,8,FALSE)</f>
        <v>0.375</v>
      </c>
      <c r="BI494" s="77">
        <f t="shared" si="1146"/>
        <v>1</v>
      </c>
      <c r="BJ494" s="77">
        <f t="shared" si="1147"/>
        <v>5.5037499999999996E-2</v>
      </c>
      <c r="BK494" s="77">
        <f t="shared" si="1128"/>
        <v>4.4746741994332595E-3</v>
      </c>
      <c r="BL494" s="79">
        <v>1</v>
      </c>
      <c r="BM494" s="77">
        <f t="shared" si="1159"/>
        <v>7.1249999999999994E-3</v>
      </c>
      <c r="BN494" s="77">
        <f t="shared" si="1160"/>
        <v>5.9181981588474208E-4</v>
      </c>
      <c r="BO494" s="77">
        <f t="shared" si="1161"/>
        <v>2.5000000000000001E-3</v>
      </c>
      <c r="BP494" s="77">
        <f t="shared" si="1162"/>
        <v>2.0809499864316017E-4</v>
      </c>
    </row>
    <row r="495" spans="1:68">
      <c r="A495" t="s">
        <v>175</v>
      </c>
      <c r="B495" t="s">
        <v>176</v>
      </c>
      <c r="C495" s="197" t="str">
        <f t="shared" si="1197"/>
        <v>Lifecycle_Balanced_50</v>
      </c>
      <c r="D495">
        <v>50</v>
      </c>
      <c r="E495">
        <f>VLOOKUP($D495,'[2]LC Balanced'!$Q$2:$U$542,2,FALSE)</f>
        <v>0.53283333333333338</v>
      </c>
      <c r="F495">
        <f>VLOOKUP($D495,'[2]LC Balanced'!$Q$2:$U$542,3,FALSE)</f>
        <v>0.16716666666666669</v>
      </c>
      <c r="G495">
        <f>VLOOKUP($D495,'[2]LC Balanced'!$Q$2:$U$542,4,FALSE)</f>
        <v>0.3</v>
      </c>
      <c r="H495">
        <f>VLOOKUP($D495,'[2]LC Balanced'!$Q$2:$U$542,5,FALSE)</f>
        <v>0</v>
      </c>
      <c r="I495" s="77">
        <f t="shared" si="1141"/>
        <v>1</v>
      </c>
      <c r="J495" s="77">
        <f t="shared" si="1142"/>
        <v>4.9877212500000004E-2</v>
      </c>
      <c r="K495" s="77">
        <f t="shared" si="1132"/>
        <v>4.0643385169887303E-3</v>
      </c>
      <c r="L495" s="76">
        <v>0</v>
      </c>
      <c r="M495" s="77">
        <f t="shared" si="1148"/>
        <v>0</v>
      </c>
      <c r="N495" s="77">
        <f t="shared" si="1149"/>
        <v>0</v>
      </c>
      <c r="O495" s="77">
        <f t="shared" si="1150"/>
        <v>4.425083333333333E-3</v>
      </c>
      <c r="P495" s="77">
        <f t="shared" si="1151"/>
        <v>3.6950696496640401E-4</v>
      </c>
      <c r="R495" t="s">
        <v>177</v>
      </c>
      <c r="S495" t="s">
        <v>176</v>
      </c>
      <c r="T495" s="197" t="str">
        <f t="shared" si="1240"/>
        <v>Autopilot_Balanced_50</v>
      </c>
      <c r="U495">
        <v>50</v>
      </c>
      <c r="V495">
        <f>VLOOKUP($U495,'[2]AP Balanced'!$Q$1:$T$542,2,FALSE)</f>
        <v>0</v>
      </c>
      <c r="W495">
        <f>VLOOKUP($U495,'[2]AP Balanced'!$Q$1:$T$542,3,FALSE)</f>
        <v>0.91540799999999978</v>
      </c>
      <c r="X495">
        <f>VLOOKUP($U495,'[2]AP Balanced'!$Q$1:$T$542,4,FALSE)</f>
        <v>8.4592000000000223E-2</v>
      </c>
      <c r="Y495" s="77">
        <f t="shared" si="1198"/>
        <v>1</v>
      </c>
      <c r="Z495" s="77">
        <f t="shared" si="1187"/>
        <v>5.0601360799999988E-2</v>
      </c>
      <c r="AA495" s="77">
        <f t="shared" si="1188"/>
        <v>4.1220327024353853E-3</v>
      </c>
      <c r="AB495" s="79">
        <v>1</v>
      </c>
      <c r="AC495" s="77">
        <f t="shared" si="1152"/>
        <v>5.9501519999999985E-3</v>
      </c>
      <c r="AD495" s="77">
        <f t="shared" si="1143"/>
        <v>4.9720341086545439E-4</v>
      </c>
      <c r="AE495" s="77">
        <f t="shared" si="1153"/>
        <v>2.4915408000000003E-3</v>
      </c>
      <c r="AF495" s="77">
        <f t="shared" si="1143"/>
        <v>2.0786588064969358E-4</v>
      </c>
      <c r="AH495" t="s">
        <v>175</v>
      </c>
      <c r="AI495" t="s">
        <v>176</v>
      </c>
      <c r="AJ495" s="197" t="str">
        <f t="shared" si="1199"/>
        <v>Lifecycle_Balanced_50</v>
      </c>
      <c r="AK495">
        <v>50</v>
      </c>
      <c r="AL495">
        <f>VLOOKUP($U495,[2]Standard_Balanced!$Q$1:$T$542,2,FALSE)</f>
        <v>0</v>
      </c>
      <c r="AM495">
        <f>VLOOKUP($U495,[2]Standard_Balanced!$Q$1:$T$542,3,FALSE)</f>
        <v>0.88435383333333317</v>
      </c>
      <c r="AN495">
        <f>VLOOKUP($U495,[2]Standard_Balanced!$Q$1:$T$542,4,FALSE)</f>
        <v>0.11564616666666688</v>
      </c>
      <c r="AO495" s="77">
        <f t="shared" si="1129"/>
        <v>1</v>
      </c>
      <c r="AP495" s="77">
        <f t="shared" si="1154"/>
        <v>5.0326531424999994E-2</v>
      </c>
      <c r="AQ495" s="77">
        <f t="shared" si="1200"/>
        <v>4.1001408497136627E-3</v>
      </c>
      <c r="AR495" s="79">
        <v>0</v>
      </c>
      <c r="AS495" s="77">
        <f t="shared" si="1155"/>
        <v>0</v>
      </c>
      <c r="AT495" s="77">
        <f t="shared" ref="AT495" si="1251">1-(1-AS495)^(1/12)</f>
        <v>0</v>
      </c>
      <c r="AU495" s="77">
        <f t="shared" si="1157"/>
        <v>2.4884353833333332E-3</v>
      </c>
      <c r="AV495" s="77">
        <f t="shared" ref="AV495" si="1252">1-(1-AU495)^(1/12)</f>
        <v>2.0760650384132884E-4</v>
      </c>
      <c r="AX495" t="s">
        <v>178</v>
      </c>
      <c r="AY495" t="s">
        <v>160</v>
      </c>
      <c r="AZ495" s="197" t="str">
        <f t="shared" si="1203"/>
        <v>DIS_Non-Standard_50</v>
      </c>
      <c r="BA495">
        <v>50</v>
      </c>
      <c r="BB495">
        <f>VLOOKUP($BA495,'[2]NonStandard DIS'!$Q$1:$X$542,2,FALSE)</f>
        <v>0</v>
      </c>
      <c r="BC495">
        <f>VLOOKUP($BA495,'[2]NonStandard DIS'!$Q$1:$X$542,3,FALSE)</f>
        <v>0</v>
      </c>
      <c r="BD495">
        <f>VLOOKUP($BA495,'[2]NonStandard DIS'!$Q$1:$X$542,4,FALSE)</f>
        <v>0</v>
      </c>
      <c r="BE495">
        <f>VLOOKUP($BA495,'[2]NonStandard DIS'!$Q$1:$X$542,5,FALSE)</f>
        <v>0</v>
      </c>
      <c r="BF495">
        <f>VLOOKUP($BA495,'[2]NonStandard DIS'!$Q$1:$X$542,6,FALSE)</f>
        <v>0</v>
      </c>
      <c r="BG495">
        <f>VLOOKUP($BA495,'[2]NonStandard DIS'!$Q$1:$X$542,7,FALSE)</f>
        <v>0.625</v>
      </c>
      <c r="BH495">
        <f>VLOOKUP($BA495,'[2]NonStandard DIS'!$Q$1:$X$542,8,FALSE)</f>
        <v>0.375</v>
      </c>
      <c r="BI495" s="77">
        <f t="shared" si="1146"/>
        <v>1</v>
      </c>
      <c r="BJ495" s="77">
        <f t="shared" si="1147"/>
        <v>5.5037499999999996E-2</v>
      </c>
      <c r="BK495" s="77">
        <f t="shared" si="1128"/>
        <v>4.4746741994332595E-3</v>
      </c>
      <c r="BL495" s="79">
        <v>1</v>
      </c>
      <c r="BM495" s="77">
        <f t="shared" si="1159"/>
        <v>7.1249999999999994E-3</v>
      </c>
      <c r="BN495" s="77">
        <f t="shared" si="1160"/>
        <v>5.9181981588474208E-4</v>
      </c>
      <c r="BO495" s="77">
        <f t="shared" si="1161"/>
        <v>2.5000000000000001E-3</v>
      </c>
      <c r="BP495" s="77">
        <f t="shared" si="1162"/>
        <v>2.0809499864316017E-4</v>
      </c>
    </row>
    <row r="496" spans="1:68">
      <c r="A496" t="s">
        <v>175</v>
      </c>
      <c r="B496" t="s">
        <v>176</v>
      </c>
      <c r="C496" s="197" t="str">
        <f t="shared" si="1197"/>
        <v>Lifecycle_Balanced_49</v>
      </c>
      <c r="D496">
        <v>49</v>
      </c>
      <c r="E496">
        <f>VLOOKUP($D496,'[2]LC Balanced'!$Q$2:$U$542,2,FALSE)</f>
        <v>0.53491666666666671</v>
      </c>
      <c r="F496">
        <f>VLOOKUP($D496,'[2]LC Balanced'!$Q$2:$U$542,3,FALSE)</f>
        <v>0.16608333333333333</v>
      </c>
      <c r="G496">
        <f>VLOOKUP($D496,'[2]LC Balanced'!$Q$2:$U$542,4,FALSE)</f>
        <v>0.29899999999999999</v>
      </c>
      <c r="H496">
        <f>VLOOKUP($D496,'[2]LC Balanced'!$Q$2:$U$542,5,FALSE)</f>
        <v>0</v>
      </c>
      <c r="I496" s="77">
        <f t="shared" si="1141"/>
        <v>1</v>
      </c>
      <c r="J496" s="77">
        <f t="shared" si="1142"/>
        <v>4.9850293749999997E-2</v>
      </c>
      <c r="K496" s="77">
        <f t="shared" si="1132"/>
        <v>4.0621931490811836E-3</v>
      </c>
      <c r="L496" s="76">
        <v>0</v>
      </c>
      <c r="M496" s="77">
        <f t="shared" si="1148"/>
        <v>0</v>
      </c>
      <c r="N496" s="77">
        <f t="shared" si="1149"/>
        <v>0</v>
      </c>
      <c r="O496" s="77">
        <f t="shared" si="1150"/>
        <v>4.4164916666666661E-3</v>
      </c>
      <c r="P496" s="77">
        <f t="shared" si="1151"/>
        <v>3.687880790014253E-4</v>
      </c>
      <c r="R496" t="s">
        <v>177</v>
      </c>
      <c r="S496" t="s">
        <v>176</v>
      </c>
      <c r="T496" s="197" t="str">
        <f t="shared" si="1240"/>
        <v>Autopilot_Balanced_49</v>
      </c>
      <c r="U496">
        <v>49</v>
      </c>
      <c r="V496">
        <f>VLOOKUP($U496,'[2]AP Balanced'!$Q$1:$T$542,2,FALSE)</f>
        <v>0</v>
      </c>
      <c r="W496">
        <f>VLOOKUP($U496,'[2]AP Balanced'!$Q$1:$T$542,3,FALSE)</f>
        <v>0.91540799999999978</v>
      </c>
      <c r="X496">
        <f>VLOOKUP($U496,'[2]AP Balanced'!$Q$1:$T$542,4,FALSE)</f>
        <v>8.4592000000000223E-2</v>
      </c>
      <c r="Y496" s="77">
        <f t="shared" si="1198"/>
        <v>1</v>
      </c>
      <c r="Z496" s="77">
        <f t="shared" si="1187"/>
        <v>5.0601360799999988E-2</v>
      </c>
      <c r="AA496" s="77">
        <f t="shared" si="1188"/>
        <v>4.1220327024353853E-3</v>
      </c>
      <c r="AB496" s="79">
        <v>1</v>
      </c>
      <c r="AC496" s="77">
        <f t="shared" si="1152"/>
        <v>5.9501519999999985E-3</v>
      </c>
      <c r="AD496" s="77">
        <f t="shared" si="1143"/>
        <v>4.9720341086545439E-4</v>
      </c>
      <c r="AE496" s="77">
        <f t="shared" si="1153"/>
        <v>2.4915408000000003E-3</v>
      </c>
      <c r="AF496" s="77">
        <f t="shared" si="1143"/>
        <v>2.0786588064969358E-4</v>
      </c>
      <c r="AH496" t="s">
        <v>175</v>
      </c>
      <c r="AI496" t="s">
        <v>176</v>
      </c>
      <c r="AJ496" s="197" t="str">
        <f t="shared" si="1199"/>
        <v>Lifecycle_Balanced_49</v>
      </c>
      <c r="AK496">
        <v>49</v>
      </c>
      <c r="AL496">
        <f>VLOOKUP($U496,[2]Standard_Balanced!$Q$1:$T$542,2,FALSE)</f>
        <v>0</v>
      </c>
      <c r="AM496">
        <f>VLOOKUP($U496,[2]Standard_Balanced!$Q$1:$T$542,3,FALSE)</f>
        <v>0.88124841666666642</v>
      </c>
      <c r="AN496">
        <f>VLOOKUP($U496,[2]Standard_Balanced!$Q$1:$T$542,4,FALSE)</f>
        <v>0.11875158333333355</v>
      </c>
      <c r="AO496" s="77">
        <f t="shared" si="1129"/>
        <v>1</v>
      </c>
      <c r="AP496" s="77">
        <f t="shared" si="1154"/>
        <v>5.0299048487499991E-2</v>
      </c>
      <c r="AQ496" s="77">
        <f t="shared" si="1200"/>
        <v>4.0979513756516095E-3</v>
      </c>
      <c r="AR496" s="79">
        <v>0</v>
      </c>
      <c r="AS496" s="77">
        <f t="shared" si="1155"/>
        <v>0</v>
      </c>
      <c r="AT496" s="77">
        <f t="shared" ref="AT496" si="1253">1-(1-AS496)^(1/12)</f>
        <v>0</v>
      </c>
      <c r="AU496" s="77">
        <f t="shared" si="1157"/>
        <v>2.4881248416666665E-3</v>
      </c>
      <c r="AV496" s="77">
        <f t="shared" ref="AV496" si="1254">1-(1-AU496)^(1/12)</f>
        <v>2.0758056620118204E-4</v>
      </c>
      <c r="AX496" t="s">
        <v>178</v>
      </c>
      <c r="AY496" t="s">
        <v>160</v>
      </c>
      <c r="AZ496" s="197" t="str">
        <f t="shared" si="1203"/>
        <v>DIS_Non-Standard_49</v>
      </c>
      <c r="BA496">
        <v>49</v>
      </c>
      <c r="BB496">
        <f>VLOOKUP($BA496,'[2]NonStandard DIS'!$Q$1:$X$542,2,FALSE)</f>
        <v>0</v>
      </c>
      <c r="BC496">
        <f>VLOOKUP($BA496,'[2]NonStandard DIS'!$Q$1:$X$542,3,FALSE)</f>
        <v>0</v>
      </c>
      <c r="BD496">
        <f>VLOOKUP($BA496,'[2]NonStandard DIS'!$Q$1:$X$542,4,FALSE)</f>
        <v>0</v>
      </c>
      <c r="BE496">
        <f>VLOOKUP($BA496,'[2]NonStandard DIS'!$Q$1:$X$542,5,FALSE)</f>
        <v>0</v>
      </c>
      <c r="BF496">
        <f>VLOOKUP($BA496,'[2]NonStandard DIS'!$Q$1:$X$542,6,FALSE)</f>
        <v>0</v>
      </c>
      <c r="BG496">
        <f>VLOOKUP($BA496,'[2]NonStandard DIS'!$Q$1:$X$542,7,FALSE)</f>
        <v>0.625</v>
      </c>
      <c r="BH496">
        <f>VLOOKUP($BA496,'[2]NonStandard DIS'!$Q$1:$X$542,8,FALSE)</f>
        <v>0.375</v>
      </c>
      <c r="BI496" s="77">
        <f t="shared" si="1146"/>
        <v>1</v>
      </c>
      <c r="BJ496" s="77">
        <f t="shared" si="1147"/>
        <v>5.5037499999999996E-2</v>
      </c>
      <c r="BK496" s="77">
        <f t="shared" si="1128"/>
        <v>4.4746741994332595E-3</v>
      </c>
      <c r="BL496" s="79">
        <v>1</v>
      </c>
      <c r="BM496" s="77">
        <f t="shared" si="1159"/>
        <v>7.1249999999999994E-3</v>
      </c>
      <c r="BN496" s="77">
        <f t="shared" si="1160"/>
        <v>5.9181981588474208E-4</v>
      </c>
      <c r="BO496" s="77">
        <f t="shared" si="1161"/>
        <v>2.5000000000000001E-3</v>
      </c>
      <c r="BP496" s="77">
        <f t="shared" si="1162"/>
        <v>2.0809499864316017E-4</v>
      </c>
    </row>
    <row r="497" spans="1:68">
      <c r="A497" t="s">
        <v>175</v>
      </c>
      <c r="B497" t="s">
        <v>176</v>
      </c>
      <c r="C497" s="197" t="str">
        <f t="shared" si="1197"/>
        <v>Lifecycle_Balanced_48</v>
      </c>
      <c r="D497">
        <v>48</v>
      </c>
      <c r="E497">
        <f>VLOOKUP($D497,'[2]LC Balanced'!$Q$2:$U$542,2,FALSE)</f>
        <v>0.53700000000000003</v>
      </c>
      <c r="F497">
        <f>VLOOKUP($D497,'[2]LC Balanced'!$Q$2:$U$542,3,FALSE)</f>
        <v>0.16500000000000001</v>
      </c>
      <c r="G497">
        <f>VLOOKUP($D497,'[2]LC Balanced'!$Q$2:$U$542,4,FALSE)</f>
        <v>0.29799999999999999</v>
      </c>
      <c r="H497">
        <f>VLOOKUP($D497,'[2]LC Balanced'!$Q$2:$U$542,5,FALSE)</f>
        <v>0</v>
      </c>
      <c r="I497" s="77">
        <f t="shared" si="1141"/>
        <v>1</v>
      </c>
      <c r="J497" s="77">
        <f t="shared" si="1142"/>
        <v>4.9823374999999996E-2</v>
      </c>
      <c r="K497" s="77">
        <f t="shared" si="1132"/>
        <v>4.0600477307486393E-3</v>
      </c>
      <c r="L497" s="76">
        <v>0</v>
      </c>
      <c r="M497" s="77">
        <f t="shared" si="1148"/>
        <v>0</v>
      </c>
      <c r="N497" s="77">
        <f t="shared" si="1149"/>
        <v>0</v>
      </c>
      <c r="O497" s="77">
        <f t="shared" si="1150"/>
        <v>4.4078999999999993E-3</v>
      </c>
      <c r="P497" s="77">
        <f t="shared" si="1151"/>
        <v>3.6806919872334198E-4</v>
      </c>
      <c r="R497" t="s">
        <v>177</v>
      </c>
      <c r="S497" t="s">
        <v>176</v>
      </c>
      <c r="T497" s="197" t="str">
        <f t="shared" si="1240"/>
        <v>Autopilot_Balanced_48</v>
      </c>
      <c r="U497">
        <v>48</v>
      </c>
      <c r="V497">
        <f>VLOOKUP($U497,'[2]AP Balanced'!$Q$1:$T$542,2,FALSE)</f>
        <v>0</v>
      </c>
      <c r="W497">
        <f>VLOOKUP($U497,'[2]AP Balanced'!$Q$1:$T$542,3,FALSE)</f>
        <v>0.87814299999999978</v>
      </c>
      <c r="X497">
        <f>VLOOKUP($U497,'[2]AP Balanced'!$Q$1:$T$542,4,FALSE)</f>
        <v>0.12185700000000022</v>
      </c>
      <c r="Y497" s="77">
        <f t="shared" si="1198"/>
        <v>1</v>
      </c>
      <c r="Z497" s="77">
        <f t="shared" si="1187"/>
        <v>5.0271565549999994E-2</v>
      </c>
      <c r="AA497" s="77">
        <f t="shared" si="1188"/>
        <v>4.0957618490715664E-3</v>
      </c>
      <c r="AB497" s="79">
        <v>1</v>
      </c>
      <c r="AC497" s="77">
        <f t="shared" si="1152"/>
        <v>5.7079294999999985E-3</v>
      </c>
      <c r="AD497" s="77">
        <f t="shared" si="1143"/>
        <v>4.7690974114367179E-4</v>
      </c>
      <c r="AE497" s="77">
        <f t="shared" si="1153"/>
        <v>2.4878143000000002E-3</v>
      </c>
      <c r="AF497" s="77">
        <f t="shared" si="1143"/>
        <v>2.0755462856847373E-4</v>
      </c>
      <c r="AH497" t="s">
        <v>175</v>
      </c>
      <c r="AI497" t="s">
        <v>176</v>
      </c>
      <c r="AJ497" s="197" t="str">
        <f t="shared" si="1199"/>
        <v>Lifecycle_Balanced_48</v>
      </c>
      <c r="AK497">
        <v>48</v>
      </c>
      <c r="AL497">
        <f>VLOOKUP($U497,[2]Standard_Balanced!$Q$1:$T$542,2,FALSE)</f>
        <v>0</v>
      </c>
      <c r="AM497">
        <f>VLOOKUP($U497,[2]Standard_Balanced!$Q$1:$T$542,3,FALSE)</f>
        <v>0.87814299999999978</v>
      </c>
      <c r="AN497">
        <f>VLOOKUP($U497,[2]Standard_Balanced!$Q$1:$T$542,4,FALSE)</f>
        <v>0.12185700000000022</v>
      </c>
      <c r="AO497" s="77">
        <f t="shared" si="1129"/>
        <v>1</v>
      </c>
      <c r="AP497" s="77">
        <f t="shared" si="1154"/>
        <v>5.0271565549999994E-2</v>
      </c>
      <c r="AQ497" s="77">
        <f t="shared" si="1200"/>
        <v>4.0957618490715664E-3</v>
      </c>
      <c r="AR497" s="79">
        <v>0</v>
      </c>
      <c r="AS497" s="77">
        <f t="shared" si="1155"/>
        <v>0</v>
      </c>
      <c r="AT497" s="77">
        <f t="shared" ref="AT497" si="1255">1-(1-AS497)^(1/12)</f>
        <v>0</v>
      </c>
      <c r="AU497" s="77">
        <f t="shared" si="1157"/>
        <v>2.4878143000000002E-3</v>
      </c>
      <c r="AV497" s="77">
        <f t="shared" ref="AV497" si="1256">1-(1-AU497)^(1/12)</f>
        <v>2.0755462856847373E-4</v>
      </c>
      <c r="AX497" t="s">
        <v>178</v>
      </c>
      <c r="AY497" t="s">
        <v>160</v>
      </c>
      <c r="AZ497" s="197" t="str">
        <f t="shared" si="1203"/>
        <v>DIS_Non-Standard_48</v>
      </c>
      <c r="BA497">
        <v>48</v>
      </c>
      <c r="BB497">
        <f>VLOOKUP($BA497,'[2]NonStandard DIS'!$Q$1:$X$542,2,FALSE)</f>
        <v>0</v>
      </c>
      <c r="BC497">
        <f>VLOOKUP($BA497,'[2]NonStandard DIS'!$Q$1:$X$542,3,FALSE)</f>
        <v>0</v>
      </c>
      <c r="BD497">
        <f>VLOOKUP($BA497,'[2]NonStandard DIS'!$Q$1:$X$542,4,FALSE)</f>
        <v>0</v>
      </c>
      <c r="BE497">
        <f>VLOOKUP($BA497,'[2]NonStandard DIS'!$Q$1:$X$542,5,FALSE)</f>
        <v>0</v>
      </c>
      <c r="BF497">
        <f>VLOOKUP($BA497,'[2]NonStandard DIS'!$Q$1:$X$542,6,FALSE)</f>
        <v>0</v>
      </c>
      <c r="BG497">
        <f>VLOOKUP($BA497,'[2]NonStandard DIS'!$Q$1:$X$542,7,FALSE)</f>
        <v>0.5</v>
      </c>
      <c r="BH497">
        <f>VLOOKUP($BA497,'[2]NonStandard DIS'!$Q$1:$X$542,8,FALSE)</f>
        <v>0.5</v>
      </c>
      <c r="BI497" s="77">
        <f t="shared" si="1146"/>
        <v>1</v>
      </c>
      <c r="BJ497" s="77">
        <f t="shared" si="1147"/>
        <v>5.4299999999999994E-2</v>
      </c>
      <c r="BK497" s="77">
        <f t="shared" si="1128"/>
        <v>4.4161425104838337E-3</v>
      </c>
      <c r="BL497" s="79">
        <v>1</v>
      </c>
      <c r="BM497" s="77">
        <f t="shared" si="1159"/>
        <v>6.9999999999999993E-3</v>
      </c>
      <c r="BN497" s="77">
        <f t="shared" si="1160"/>
        <v>5.8147013295517525E-4</v>
      </c>
      <c r="BO497" s="77">
        <f t="shared" si="1161"/>
        <v>2.5000000000000001E-3</v>
      </c>
      <c r="BP497" s="77">
        <f t="shared" si="1162"/>
        <v>2.0809499864316017E-4</v>
      </c>
    </row>
    <row r="498" spans="1:68">
      <c r="A498" t="s">
        <v>175</v>
      </c>
      <c r="B498" t="s">
        <v>176</v>
      </c>
      <c r="C498" s="197" t="str">
        <f t="shared" si="1197"/>
        <v>Lifecycle_Balanced_47</v>
      </c>
      <c r="D498">
        <v>47</v>
      </c>
      <c r="E498">
        <f>VLOOKUP($D498,'[2]LC Balanced'!$Q$2:$U$542,2,FALSE)</f>
        <v>0.53891666666666671</v>
      </c>
      <c r="F498">
        <f>VLOOKUP($D498,'[2]LC Balanced'!$Q$2:$U$542,3,FALSE)</f>
        <v>0.16400000000000001</v>
      </c>
      <c r="G498">
        <f>VLOOKUP($D498,'[2]LC Balanced'!$Q$2:$U$542,4,FALSE)</f>
        <v>0.29708333333333331</v>
      </c>
      <c r="H498">
        <f>VLOOKUP($D498,'[2]LC Balanced'!$Q$2:$U$542,5,FALSE)</f>
        <v>0</v>
      </c>
      <c r="I498" s="77">
        <f t="shared" si="1141"/>
        <v>1</v>
      </c>
      <c r="J498" s="77">
        <f t="shared" si="1142"/>
        <v>4.9798668749999997E-2</v>
      </c>
      <c r="K498" s="77">
        <f t="shared" si="1132"/>
        <v>4.0580786037889283E-3</v>
      </c>
      <c r="L498" s="76">
        <v>0</v>
      </c>
      <c r="M498" s="77">
        <f t="shared" si="1148"/>
        <v>0</v>
      </c>
      <c r="N498" s="77">
        <f t="shared" si="1149"/>
        <v>0</v>
      </c>
      <c r="O498" s="77">
        <f t="shared" si="1150"/>
        <v>4.3999999999999994E-3</v>
      </c>
      <c r="P498" s="77">
        <f t="shared" si="1151"/>
        <v>3.6740819646374767E-4</v>
      </c>
      <c r="R498" t="s">
        <v>177</v>
      </c>
      <c r="S498" t="s">
        <v>176</v>
      </c>
      <c r="T498" s="197" t="str">
        <f t="shared" si="1240"/>
        <v>Autopilot_Balanced_47</v>
      </c>
      <c r="U498">
        <v>47</v>
      </c>
      <c r="V498">
        <f>VLOOKUP($U498,'[2]AP Balanced'!$Q$1:$T$542,2,FALSE)</f>
        <v>0</v>
      </c>
      <c r="W498">
        <f>VLOOKUP($U498,'[2]AP Balanced'!$Q$1:$T$542,3,FALSE)</f>
        <v>0.87814299999999978</v>
      </c>
      <c r="X498">
        <f>VLOOKUP($U498,'[2]AP Balanced'!$Q$1:$T$542,4,FALSE)</f>
        <v>0.12185700000000022</v>
      </c>
      <c r="Y498" s="77">
        <f t="shared" si="1198"/>
        <v>1</v>
      </c>
      <c r="Z498" s="77">
        <f t="shared" si="1187"/>
        <v>5.0271565549999994E-2</v>
      </c>
      <c r="AA498" s="77">
        <f t="shared" si="1188"/>
        <v>4.0957618490715664E-3</v>
      </c>
      <c r="AB498" s="79">
        <v>1</v>
      </c>
      <c r="AC498" s="77">
        <f t="shared" si="1152"/>
        <v>5.7079294999999985E-3</v>
      </c>
      <c r="AD498" s="77">
        <f t="shared" si="1143"/>
        <v>4.7690974114367179E-4</v>
      </c>
      <c r="AE498" s="77">
        <f t="shared" si="1153"/>
        <v>2.4878143000000002E-3</v>
      </c>
      <c r="AF498" s="77">
        <f t="shared" si="1143"/>
        <v>2.0755462856847373E-4</v>
      </c>
      <c r="AH498" t="s">
        <v>175</v>
      </c>
      <c r="AI498" t="s">
        <v>176</v>
      </c>
      <c r="AJ498" s="197" t="str">
        <f t="shared" si="1199"/>
        <v>Lifecycle_Balanced_47</v>
      </c>
      <c r="AK498">
        <v>47</v>
      </c>
      <c r="AL498">
        <f>VLOOKUP($U498,[2]Standard_Balanced!$Q$1:$T$542,2,FALSE)</f>
        <v>0</v>
      </c>
      <c r="AM498">
        <f>VLOOKUP($U498,[2]Standard_Balanced!$Q$1:$T$542,3,FALSE)</f>
        <v>0.87529296666666645</v>
      </c>
      <c r="AN498">
        <f>VLOOKUP($U498,[2]Standard_Balanced!$Q$1:$T$542,4,FALSE)</f>
        <v>0.12470703333333354</v>
      </c>
      <c r="AO498" s="77">
        <f t="shared" si="1129"/>
        <v>1</v>
      </c>
      <c r="AP498" s="77">
        <f t="shared" si="1154"/>
        <v>5.0246342754999992E-2</v>
      </c>
      <c r="AQ498" s="77">
        <f t="shared" si="1200"/>
        <v>4.0937523386137542E-3</v>
      </c>
      <c r="AR498" s="79">
        <v>0</v>
      </c>
      <c r="AS498" s="77">
        <f t="shared" si="1155"/>
        <v>0</v>
      </c>
      <c r="AT498" s="77">
        <f t="shared" ref="AT498" si="1257">1-(1-AS498)^(1/12)</f>
        <v>0</v>
      </c>
      <c r="AU498" s="77">
        <f t="shared" si="1157"/>
        <v>2.4875292966666665E-3</v>
      </c>
      <c r="AV498" s="77">
        <f t="shared" ref="AV498" si="1258">1-(1-AU498)^(1/12)</f>
        <v>2.0753082400193357E-4</v>
      </c>
      <c r="AX498" t="s">
        <v>178</v>
      </c>
      <c r="AY498" t="s">
        <v>160</v>
      </c>
      <c r="AZ498" s="197" t="str">
        <f t="shared" si="1203"/>
        <v>DIS_Non-Standard_47</v>
      </c>
      <c r="BA498">
        <v>47</v>
      </c>
      <c r="BB498">
        <f>VLOOKUP($BA498,'[2]NonStandard DIS'!$Q$1:$X$542,2,FALSE)</f>
        <v>0</v>
      </c>
      <c r="BC498">
        <f>VLOOKUP($BA498,'[2]NonStandard DIS'!$Q$1:$X$542,3,FALSE)</f>
        <v>0</v>
      </c>
      <c r="BD498">
        <f>VLOOKUP($BA498,'[2]NonStandard DIS'!$Q$1:$X$542,4,FALSE)</f>
        <v>0</v>
      </c>
      <c r="BE498">
        <f>VLOOKUP($BA498,'[2]NonStandard DIS'!$Q$1:$X$542,5,FALSE)</f>
        <v>0</v>
      </c>
      <c r="BF498">
        <f>VLOOKUP($BA498,'[2]NonStandard DIS'!$Q$1:$X$542,6,FALSE)</f>
        <v>0</v>
      </c>
      <c r="BG498">
        <f>VLOOKUP($BA498,'[2]NonStandard DIS'!$Q$1:$X$542,7,FALSE)</f>
        <v>0.5</v>
      </c>
      <c r="BH498">
        <f>VLOOKUP($BA498,'[2]NonStandard DIS'!$Q$1:$X$542,8,FALSE)</f>
        <v>0.5</v>
      </c>
      <c r="BI498" s="77">
        <f t="shared" si="1146"/>
        <v>1</v>
      </c>
      <c r="BJ498" s="77">
        <f t="shared" si="1147"/>
        <v>5.4299999999999994E-2</v>
      </c>
      <c r="BK498" s="77">
        <f t="shared" si="1128"/>
        <v>4.4161425104838337E-3</v>
      </c>
      <c r="BL498" s="79">
        <v>1</v>
      </c>
      <c r="BM498" s="77">
        <f t="shared" si="1159"/>
        <v>6.9999999999999993E-3</v>
      </c>
      <c r="BN498" s="77">
        <f t="shared" si="1160"/>
        <v>5.8147013295517525E-4</v>
      </c>
      <c r="BO498" s="77">
        <f t="shared" si="1161"/>
        <v>2.5000000000000001E-3</v>
      </c>
      <c r="BP498" s="77">
        <f t="shared" si="1162"/>
        <v>2.0809499864316017E-4</v>
      </c>
    </row>
    <row r="499" spans="1:68">
      <c r="A499" t="s">
        <v>175</v>
      </c>
      <c r="B499" t="s">
        <v>176</v>
      </c>
      <c r="C499" s="197" t="str">
        <f t="shared" si="1197"/>
        <v>Lifecycle_Balanced_46</v>
      </c>
      <c r="D499">
        <v>46</v>
      </c>
      <c r="E499">
        <f>VLOOKUP($D499,'[2]LC Balanced'!$Q$2:$U$542,2,FALSE)</f>
        <v>0.54083333333333339</v>
      </c>
      <c r="F499">
        <f>VLOOKUP($D499,'[2]LC Balanced'!$Q$2:$U$542,3,FALSE)</f>
        <v>0.16300000000000001</v>
      </c>
      <c r="G499">
        <f>VLOOKUP($D499,'[2]LC Balanced'!$Q$2:$U$542,4,FALSE)</f>
        <v>0.29616666666666663</v>
      </c>
      <c r="H499">
        <f>VLOOKUP($D499,'[2]LC Balanced'!$Q$2:$U$542,5,FALSE)</f>
        <v>0</v>
      </c>
      <c r="I499" s="77">
        <f t="shared" si="1141"/>
        <v>1</v>
      </c>
      <c r="J499" s="77">
        <f t="shared" si="1142"/>
        <v>4.9773962499999998E-2</v>
      </c>
      <c r="K499" s="77">
        <f t="shared" si="1132"/>
        <v>4.0561094343485316E-3</v>
      </c>
      <c r="L499" s="76">
        <v>0</v>
      </c>
      <c r="M499" s="77">
        <f t="shared" si="1148"/>
        <v>0</v>
      </c>
      <c r="N499" s="77">
        <f t="shared" si="1149"/>
        <v>0</v>
      </c>
      <c r="O499" s="77">
        <f t="shared" si="1150"/>
        <v>4.3920999999999995E-3</v>
      </c>
      <c r="P499" s="77">
        <f t="shared" si="1151"/>
        <v>3.6674719901197417E-4</v>
      </c>
      <c r="R499" t="s">
        <v>177</v>
      </c>
      <c r="S499" t="s">
        <v>176</v>
      </c>
      <c r="T499" s="197" t="str">
        <f t="shared" si="1240"/>
        <v>Autopilot_Balanced_46</v>
      </c>
      <c r="U499">
        <v>46</v>
      </c>
      <c r="V499">
        <f>VLOOKUP($U499,'[2]AP Balanced'!$Q$1:$T$542,2,FALSE)</f>
        <v>0</v>
      </c>
      <c r="W499">
        <f>VLOOKUP($U499,'[2]AP Balanced'!$Q$1:$T$542,3,FALSE)</f>
        <v>0.87814299999999978</v>
      </c>
      <c r="X499">
        <f>VLOOKUP($U499,'[2]AP Balanced'!$Q$1:$T$542,4,FALSE)</f>
        <v>0.12185700000000022</v>
      </c>
      <c r="Y499" s="77">
        <f t="shared" si="1198"/>
        <v>1</v>
      </c>
      <c r="Z499" s="77">
        <f t="shared" si="1187"/>
        <v>5.0271565549999994E-2</v>
      </c>
      <c r="AA499" s="77">
        <f t="shared" si="1188"/>
        <v>4.0957618490715664E-3</v>
      </c>
      <c r="AB499" s="79">
        <v>1</v>
      </c>
      <c r="AC499" s="77">
        <f t="shared" si="1152"/>
        <v>5.7079294999999985E-3</v>
      </c>
      <c r="AD499" s="77">
        <f t="shared" si="1143"/>
        <v>4.7690974114367179E-4</v>
      </c>
      <c r="AE499" s="77">
        <f t="shared" si="1153"/>
        <v>2.4878143000000002E-3</v>
      </c>
      <c r="AF499" s="77">
        <f t="shared" si="1143"/>
        <v>2.0755462856847373E-4</v>
      </c>
      <c r="AH499" t="s">
        <v>175</v>
      </c>
      <c r="AI499" t="s">
        <v>176</v>
      </c>
      <c r="AJ499" s="197" t="str">
        <f t="shared" si="1199"/>
        <v>Lifecycle_Balanced_46</v>
      </c>
      <c r="AK499">
        <v>46</v>
      </c>
      <c r="AL499">
        <f>VLOOKUP($U499,[2]Standard_Balanced!$Q$1:$T$542,2,FALSE)</f>
        <v>0</v>
      </c>
      <c r="AM499">
        <f>VLOOKUP($U499,[2]Standard_Balanced!$Q$1:$T$542,3,FALSE)</f>
        <v>0.87244293333333311</v>
      </c>
      <c r="AN499">
        <f>VLOOKUP($U499,[2]Standard_Balanced!$Q$1:$T$542,4,FALSE)</f>
        <v>0.12755706666666686</v>
      </c>
      <c r="AO499" s="77">
        <f t="shared" si="1129"/>
        <v>1</v>
      </c>
      <c r="AP499" s="77">
        <f t="shared" si="1154"/>
        <v>5.0221119959999991E-2</v>
      </c>
      <c r="AQ499" s="77">
        <f t="shared" si="1200"/>
        <v>4.0917427839168852E-3</v>
      </c>
      <c r="AR499" s="79">
        <v>0</v>
      </c>
      <c r="AS499" s="77">
        <f t="shared" si="1155"/>
        <v>0</v>
      </c>
      <c r="AT499" s="77">
        <f t="shared" ref="AT499" si="1259">1-(1-AS499)^(1/12)</f>
        <v>0</v>
      </c>
      <c r="AU499" s="77">
        <f t="shared" si="1157"/>
        <v>2.4872442933333333E-3</v>
      </c>
      <c r="AV499" s="77">
        <f t="shared" ref="AV499" si="1260">1-(1-AU499)^(1/12)</f>
        <v>2.0750701944161065E-4</v>
      </c>
      <c r="AX499" t="s">
        <v>178</v>
      </c>
      <c r="AY499" t="s">
        <v>160</v>
      </c>
      <c r="AZ499" s="197" t="str">
        <f t="shared" si="1203"/>
        <v>DIS_Non-Standard_46</v>
      </c>
      <c r="BA499">
        <v>46</v>
      </c>
      <c r="BB499">
        <f>VLOOKUP($BA499,'[2]NonStandard DIS'!$Q$1:$X$542,2,FALSE)</f>
        <v>0</v>
      </c>
      <c r="BC499">
        <f>VLOOKUP($BA499,'[2]NonStandard DIS'!$Q$1:$X$542,3,FALSE)</f>
        <v>0</v>
      </c>
      <c r="BD499">
        <f>VLOOKUP($BA499,'[2]NonStandard DIS'!$Q$1:$X$542,4,FALSE)</f>
        <v>0</v>
      </c>
      <c r="BE499">
        <f>VLOOKUP($BA499,'[2]NonStandard DIS'!$Q$1:$X$542,5,FALSE)</f>
        <v>0</v>
      </c>
      <c r="BF499">
        <f>VLOOKUP($BA499,'[2]NonStandard DIS'!$Q$1:$X$542,6,FALSE)</f>
        <v>0</v>
      </c>
      <c r="BG499">
        <f>VLOOKUP($BA499,'[2]NonStandard DIS'!$Q$1:$X$542,7,FALSE)</f>
        <v>0.5</v>
      </c>
      <c r="BH499">
        <f>VLOOKUP($BA499,'[2]NonStandard DIS'!$Q$1:$X$542,8,FALSE)</f>
        <v>0.5</v>
      </c>
      <c r="BI499" s="77">
        <f t="shared" si="1146"/>
        <v>1</v>
      </c>
      <c r="BJ499" s="77">
        <f t="shared" si="1147"/>
        <v>5.4299999999999994E-2</v>
      </c>
      <c r="BK499" s="77">
        <f t="shared" si="1128"/>
        <v>4.4161425104838337E-3</v>
      </c>
      <c r="BL499" s="79">
        <v>1</v>
      </c>
      <c r="BM499" s="77">
        <f t="shared" si="1159"/>
        <v>6.9999999999999993E-3</v>
      </c>
      <c r="BN499" s="77">
        <f t="shared" si="1160"/>
        <v>5.8147013295517525E-4</v>
      </c>
      <c r="BO499" s="77">
        <f t="shared" si="1161"/>
        <v>2.5000000000000001E-3</v>
      </c>
      <c r="BP499" s="77">
        <f t="shared" si="1162"/>
        <v>2.0809499864316017E-4</v>
      </c>
    </row>
    <row r="500" spans="1:68">
      <c r="A500" t="s">
        <v>175</v>
      </c>
      <c r="B500" t="s">
        <v>176</v>
      </c>
      <c r="C500" s="197" t="str">
        <f t="shared" si="1197"/>
        <v>Lifecycle_Balanced_45</v>
      </c>
      <c r="D500">
        <v>45</v>
      </c>
      <c r="E500">
        <f>VLOOKUP($D500,'[2]LC Balanced'!$Q$2:$U$542,2,FALSE)</f>
        <v>0.54275000000000007</v>
      </c>
      <c r="F500">
        <f>VLOOKUP($D500,'[2]LC Balanced'!$Q$2:$U$542,3,FALSE)</f>
        <v>0.16200000000000001</v>
      </c>
      <c r="G500">
        <f>VLOOKUP($D500,'[2]LC Balanced'!$Q$2:$U$542,4,FALSE)</f>
        <v>0.29525000000000001</v>
      </c>
      <c r="H500">
        <f>VLOOKUP($D500,'[2]LC Balanced'!$Q$2:$U$542,5,FALSE)</f>
        <v>0</v>
      </c>
      <c r="I500" s="77">
        <f t="shared" si="1141"/>
        <v>1</v>
      </c>
      <c r="J500" s="77">
        <f t="shared" si="1142"/>
        <v>4.9749256249999999E-2</v>
      </c>
      <c r="K500" s="77">
        <f t="shared" si="1132"/>
        <v>4.0541402224256728E-3</v>
      </c>
      <c r="L500" s="76">
        <v>0</v>
      </c>
      <c r="M500" s="77">
        <f t="shared" si="1148"/>
        <v>0</v>
      </c>
      <c r="N500" s="77">
        <f t="shared" si="1149"/>
        <v>0</v>
      </c>
      <c r="O500" s="77">
        <f t="shared" si="1150"/>
        <v>4.3842000000000004E-3</v>
      </c>
      <c r="P500" s="77">
        <f t="shared" si="1151"/>
        <v>3.6608620636813249E-4</v>
      </c>
      <c r="R500" t="s">
        <v>177</v>
      </c>
      <c r="S500" t="s">
        <v>176</v>
      </c>
      <c r="T500" s="197" t="str">
        <f t="shared" si="1240"/>
        <v>Autopilot_Balanced_45</v>
      </c>
      <c r="U500">
        <v>45</v>
      </c>
      <c r="V500">
        <f>VLOOKUP($U500,'[2]AP Balanced'!$Q$1:$T$542,2,FALSE)</f>
        <v>0</v>
      </c>
      <c r="W500">
        <f>VLOOKUP($U500,'[2]AP Balanced'!$Q$1:$T$542,3,FALSE)</f>
        <v>0.87814299999999978</v>
      </c>
      <c r="X500">
        <f>VLOOKUP($U500,'[2]AP Balanced'!$Q$1:$T$542,4,FALSE)</f>
        <v>0.12185700000000022</v>
      </c>
      <c r="Y500" s="77">
        <f t="shared" si="1198"/>
        <v>1</v>
      </c>
      <c r="Z500" s="77">
        <f t="shared" si="1187"/>
        <v>5.0271565549999994E-2</v>
      </c>
      <c r="AA500" s="77">
        <f t="shared" si="1188"/>
        <v>4.0957618490715664E-3</v>
      </c>
      <c r="AB500" s="79">
        <v>1</v>
      </c>
      <c r="AC500" s="77">
        <f t="shared" si="1152"/>
        <v>5.7079294999999985E-3</v>
      </c>
      <c r="AD500" s="77">
        <f t="shared" si="1143"/>
        <v>4.7690974114367179E-4</v>
      </c>
      <c r="AE500" s="77">
        <f t="shared" si="1153"/>
        <v>2.4878143000000002E-3</v>
      </c>
      <c r="AF500" s="77">
        <f t="shared" si="1143"/>
        <v>2.0755462856847373E-4</v>
      </c>
      <c r="AH500" t="s">
        <v>175</v>
      </c>
      <c r="AI500" t="s">
        <v>176</v>
      </c>
      <c r="AJ500" s="197" t="str">
        <f t="shared" si="1199"/>
        <v>Lifecycle_Balanced_45</v>
      </c>
      <c r="AK500">
        <v>45</v>
      </c>
      <c r="AL500">
        <f>VLOOKUP($U500,[2]Standard_Balanced!$Q$1:$T$542,2,FALSE)</f>
        <v>0</v>
      </c>
      <c r="AM500">
        <f>VLOOKUP($U500,[2]Standard_Balanced!$Q$1:$T$542,3,FALSE)</f>
        <v>0.86959289999999978</v>
      </c>
      <c r="AN500">
        <f>VLOOKUP($U500,[2]Standard_Balanced!$Q$1:$T$542,4,FALSE)</f>
        <v>0.13040710000000016</v>
      </c>
      <c r="AO500" s="77">
        <f t="shared" si="1129"/>
        <v>1</v>
      </c>
      <c r="AP500" s="77">
        <f t="shared" si="1154"/>
        <v>5.0195897164999989E-2</v>
      </c>
      <c r="AQ500" s="77">
        <f t="shared" si="1200"/>
        <v>4.0897331849785168E-3</v>
      </c>
      <c r="AR500" s="79">
        <v>0</v>
      </c>
      <c r="AS500" s="77">
        <f t="shared" si="1155"/>
        <v>0</v>
      </c>
      <c r="AT500" s="77">
        <f t="shared" ref="AT500" si="1261">1-(1-AS500)^(1/12)</f>
        <v>0</v>
      </c>
      <c r="AU500" s="77">
        <f t="shared" si="1157"/>
        <v>2.4869592900000001E-3</v>
      </c>
      <c r="AV500" s="77">
        <f t="shared" ref="AV500" si="1262">1-(1-AU500)^(1/12)</f>
        <v>2.0748321488750499E-4</v>
      </c>
      <c r="AX500" t="s">
        <v>178</v>
      </c>
      <c r="AY500" t="s">
        <v>160</v>
      </c>
      <c r="AZ500" s="197" t="str">
        <f t="shared" si="1203"/>
        <v>DIS_Non-Standard_45</v>
      </c>
      <c r="BA500">
        <v>45</v>
      </c>
      <c r="BB500">
        <f>VLOOKUP($BA500,'[2]NonStandard DIS'!$Q$1:$X$542,2,FALSE)</f>
        <v>0</v>
      </c>
      <c r="BC500">
        <f>VLOOKUP($BA500,'[2]NonStandard DIS'!$Q$1:$X$542,3,FALSE)</f>
        <v>0</v>
      </c>
      <c r="BD500">
        <f>VLOOKUP($BA500,'[2]NonStandard DIS'!$Q$1:$X$542,4,FALSE)</f>
        <v>0</v>
      </c>
      <c r="BE500">
        <f>VLOOKUP($BA500,'[2]NonStandard DIS'!$Q$1:$X$542,5,FALSE)</f>
        <v>0</v>
      </c>
      <c r="BF500">
        <f>VLOOKUP($BA500,'[2]NonStandard DIS'!$Q$1:$X$542,6,FALSE)</f>
        <v>0</v>
      </c>
      <c r="BG500">
        <f>VLOOKUP($BA500,'[2]NonStandard DIS'!$Q$1:$X$542,7,FALSE)</f>
        <v>0.5</v>
      </c>
      <c r="BH500">
        <f>VLOOKUP($BA500,'[2]NonStandard DIS'!$Q$1:$X$542,8,FALSE)</f>
        <v>0.5</v>
      </c>
      <c r="BI500" s="77">
        <f t="shared" si="1146"/>
        <v>1</v>
      </c>
      <c r="BJ500" s="77">
        <f t="shared" si="1147"/>
        <v>5.4299999999999994E-2</v>
      </c>
      <c r="BK500" s="77">
        <f t="shared" si="1128"/>
        <v>4.4161425104838337E-3</v>
      </c>
      <c r="BL500" s="79">
        <v>1</v>
      </c>
      <c r="BM500" s="77">
        <f t="shared" si="1159"/>
        <v>6.9999999999999993E-3</v>
      </c>
      <c r="BN500" s="77">
        <f t="shared" si="1160"/>
        <v>5.8147013295517525E-4</v>
      </c>
      <c r="BO500" s="77">
        <f t="shared" si="1161"/>
        <v>2.5000000000000001E-3</v>
      </c>
      <c r="BP500" s="77">
        <f t="shared" si="1162"/>
        <v>2.0809499864316017E-4</v>
      </c>
    </row>
    <row r="501" spans="1:68">
      <c r="A501" t="s">
        <v>175</v>
      </c>
      <c r="B501" t="s">
        <v>176</v>
      </c>
      <c r="C501" s="197" t="str">
        <f t="shared" si="1197"/>
        <v>Lifecycle_Balanced_44</v>
      </c>
      <c r="D501">
        <v>44</v>
      </c>
      <c r="E501">
        <f>VLOOKUP($D501,'[2]LC Balanced'!$Q$2:$U$542,2,FALSE)</f>
        <v>0.54466666666666674</v>
      </c>
      <c r="F501">
        <f>VLOOKUP($D501,'[2]LC Balanced'!$Q$2:$U$542,3,FALSE)</f>
        <v>0.161</v>
      </c>
      <c r="G501">
        <f>VLOOKUP($D501,'[2]LC Balanced'!$Q$2:$U$542,4,FALSE)</f>
        <v>0.29433333333333334</v>
      </c>
      <c r="H501">
        <f>VLOOKUP($D501,'[2]LC Balanced'!$Q$2:$U$542,5,FALSE)</f>
        <v>0</v>
      </c>
      <c r="I501" s="77">
        <f t="shared" si="1141"/>
        <v>1</v>
      </c>
      <c r="J501" s="77">
        <f t="shared" si="1142"/>
        <v>4.9724549999999999E-2</v>
      </c>
      <c r="K501" s="77">
        <f t="shared" si="1132"/>
        <v>4.0521709680183537E-3</v>
      </c>
      <c r="L501" s="76">
        <v>0</v>
      </c>
      <c r="M501" s="77">
        <f t="shared" si="1148"/>
        <v>0</v>
      </c>
      <c r="N501" s="77">
        <f t="shared" si="1149"/>
        <v>0</v>
      </c>
      <c r="O501" s="77">
        <f t="shared" si="1150"/>
        <v>4.3762999999999996E-3</v>
      </c>
      <c r="P501" s="77">
        <f t="shared" si="1151"/>
        <v>3.6542521853200061E-4</v>
      </c>
      <c r="R501" t="s">
        <v>177</v>
      </c>
      <c r="S501" t="s">
        <v>176</v>
      </c>
      <c r="T501" s="197" t="str">
        <f t="shared" si="1240"/>
        <v>Autopilot_Balanced_44</v>
      </c>
      <c r="U501">
        <v>44</v>
      </c>
      <c r="V501">
        <f>VLOOKUP($U501,'[2]AP Balanced'!$Q$1:$T$542,2,FALSE)</f>
        <v>0</v>
      </c>
      <c r="W501">
        <f>VLOOKUP($U501,'[2]AP Balanced'!$Q$1:$T$542,3,FALSE)</f>
        <v>0.87814299999999978</v>
      </c>
      <c r="X501">
        <f>VLOOKUP($U501,'[2]AP Balanced'!$Q$1:$T$542,4,FALSE)</f>
        <v>0.12185700000000022</v>
      </c>
      <c r="Y501" s="77">
        <f t="shared" si="1198"/>
        <v>1</v>
      </c>
      <c r="Z501" s="77">
        <f t="shared" si="1187"/>
        <v>5.0271565549999994E-2</v>
      </c>
      <c r="AA501" s="77">
        <f t="shared" si="1188"/>
        <v>4.0957618490715664E-3</v>
      </c>
      <c r="AB501" s="79">
        <v>1</v>
      </c>
      <c r="AC501" s="77">
        <f t="shared" si="1152"/>
        <v>5.7079294999999985E-3</v>
      </c>
      <c r="AD501" s="77">
        <f t="shared" si="1143"/>
        <v>4.7690974114367179E-4</v>
      </c>
      <c r="AE501" s="77">
        <f t="shared" si="1153"/>
        <v>2.4878143000000002E-3</v>
      </c>
      <c r="AF501" s="77">
        <f t="shared" si="1143"/>
        <v>2.0755462856847373E-4</v>
      </c>
      <c r="AH501" t="s">
        <v>175</v>
      </c>
      <c r="AI501" t="s">
        <v>176</v>
      </c>
      <c r="AJ501" s="197" t="str">
        <f t="shared" si="1199"/>
        <v>Lifecycle_Balanced_44</v>
      </c>
      <c r="AK501">
        <v>44</v>
      </c>
      <c r="AL501">
        <f>VLOOKUP($U501,[2]Standard_Balanced!$Q$1:$T$542,2,FALSE)</f>
        <v>0</v>
      </c>
      <c r="AM501">
        <f>VLOOKUP($U501,[2]Standard_Balanced!$Q$1:$T$542,3,FALSE)</f>
        <v>0.86674286666666656</v>
      </c>
      <c r="AN501">
        <f>VLOOKUP($U501,[2]Standard_Balanced!$Q$1:$T$542,4,FALSE)</f>
        <v>0.13325713333333347</v>
      </c>
      <c r="AO501" s="77">
        <f t="shared" si="1129"/>
        <v>1</v>
      </c>
      <c r="AP501" s="77">
        <f t="shared" si="1154"/>
        <v>5.0170674369999994E-2</v>
      </c>
      <c r="AQ501" s="77">
        <f t="shared" si="1200"/>
        <v>4.0877235417966507E-3</v>
      </c>
      <c r="AR501" s="79">
        <v>0</v>
      </c>
      <c r="AS501" s="77">
        <f t="shared" si="1155"/>
        <v>0</v>
      </c>
      <c r="AT501" s="77">
        <f t="shared" ref="AT501" si="1263">1-(1-AS501)^(1/12)</f>
        <v>0</v>
      </c>
      <c r="AU501" s="77">
        <f t="shared" si="1157"/>
        <v>2.4866742866666669E-3</v>
      </c>
      <c r="AV501" s="77">
        <f t="shared" ref="AV501" si="1264">1-(1-AU501)^(1/12)</f>
        <v>2.0745941033972759E-4</v>
      </c>
      <c r="AX501" t="s">
        <v>178</v>
      </c>
      <c r="AY501" t="s">
        <v>160</v>
      </c>
      <c r="AZ501" s="197" t="str">
        <f t="shared" si="1203"/>
        <v>DIS_Non-Standard_44</v>
      </c>
      <c r="BA501">
        <v>44</v>
      </c>
      <c r="BB501">
        <f>VLOOKUP($BA501,'[2]NonStandard DIS'!$Q$1:$X$542,2,FALSE)</f>
        <v>0</v>
      </c>
      <c r="BC501">
        <f>VLOOKUP($BA501,'[2]NonStandard DIS'!$Q$1:$X$542,3,FALSE)</f>
        <v>0</v>
      </c>
      <c r="BD501">
        <f>VLOOKUP($BA501,'[2]NonStandard DIS'!$Q$1:$X$542,4,FALSE)</f>
        <v>0</v>
      </c>
      <c r="BE501">
        <f>VLOOKUP($BA501,'[2]NonStandard DIS'!$Q$1:$X$542,5,FALSE)</f>
        <v>0</v>
      </c>
      <c r="BF501">
        <f>VLOOKUP($BA501,'[2]NonStandard DIS'!$Q$1:$X$542,6,FALSE)</f>
        <v>0</v>
      </c>
      <c r="BG501">
        <f>VLOOKUP($BA501,'[2]NonStandard DIS'!$Q$1:$X$542,7,FALSE)</f>
        <v>0.5</v>
      </c>
      <c r="BH501">
        <f>VLOOKUP($BA501,'[2]NonStandard DIS'!$Q$1:$X$542,8,FALSE)</f>
        <v>0.5</v>
      </c>
      <c r="BI501" s="77">
        <f t="shared" si="1146"/>
        <v>1</v>
      </c>
      <c r="BJ501" s="77">
        <f t="shared" si="1147"/>
        <v>5.4299999999999994E-2</v>
      </c>
      <c r="BK501" s="77">
        <f t="shared" si="1128"/>
        <v>4.4161425104838337E-3</v>
      </c>
      <c r="BL501" s="79">
        <v>1</v>
      </c>
      <c r="BM501" s="77">
        <f t="shared" si="1159"/>
        <v>6.9999999999999993E-3</v>
      </c>
      <c r="BN501" s="77">
        <f t="shared" si="1160"/>
        <v>5.8147013295517525E-4</v>
      </c>
      <c r="BO501" s="77">
        <f t="shared" si="1161"/>
        <v>2.5000000000000001E-3</v>
      </c>
      <c r="BP501" s="77">
        <f t="shared" si="1162"/>
        <v>2.0809499864316017E-4</v>
      </c>
    </row>
    <row r="502" spans="1:68">
      <c r="A502" t="s">
        <v>175</v>
      </c>
      <c r="B502" t="s">
        <v>176</v>
      </c>
      <c r="C502" s="197" t="str">
        <f t="shared" si="1197"/>
        <v>Lifecycle_Balanced_43</v>
      </c>
      <c r="D502">
        <v>43</v>
      </c>
      <c r="E502">
        <f>VLOOKUP($D502,'[2]LC Balanced'!$Q$2:$U$542,2,FALSE)</f>
        <v>0.54658333333333342</v>
      </c>
      <c r="F502">
        <f>VLOOKUP($D502,'[2]LC Balanced'!$Q$2:$U$542,3,FALSE)</f>
        <v>0.16</v>
      </c>
      <c r="G502">
        <f>VLOOKUP($D502,'[2]LC Balanced'!$Q$2:$U$542,4,FALSE)</f>
        <v>0.29341666666666666</v>
      </c>
      <c r="H502">
        <f>VLOOKUP($D502,'[2]LC Balanced'!$Q$2:$U$542,5,FALSE)</f>
        <v>0</v>
      </c>
      <c r="I502" s="77">
        <f t="shared" si="1141"/>
        <v>1</v>
      </c>
      <c r="J502" s="77">
        <f t="shared" si="1142"/>
        <v>4.969984375E-2</v>
      </c>
      <c r="K502" s="77">
        <f t="shared" si="1132"/>
        <v>4.0502016711245759E-3</v>
      </c>
      <c r="L502" s="76">
        <v>0</v>
      </c>
      <c r="M502" s="77">
        <f t="shared" si="1148"/>
        <v>0</v>
      </c>
      <c r="N502" s="77">
        <f t="shared" si="1149"/>
        <v>0</v>
      </c>
      <c r="O502" s="77">
        <f t="shared" si="1150"/>
        <v>4.3683999999999997E-3</v>
      </c>
      <c r="P502" s="77">
        <f t="shared" si="1151"/>
        <v>3.647642355035785E-4</v>
      </c>
      <c r="R502" t="s">
        <v>177</v>
      </c>
      <c r="S502" t="s">
        <v>176</v>
      </c>
      <c r="T502" s="197" t="str">
        <f t="shared" si="1240"/>
        <v>Autopilot_Balanced_43</v>
      </c>
      <c r="U502">
        <v>43</v>
      </c>
      <c r="V502">
        <f>VLOOKUP($U502,'[2]AP Balanced'!$Q$1:$T$542,2,FALSE)</f>
        <v>0</v>
      </c>
      <c r="W502">
        <f>VLOOKUP($U502,'[2]AP Balanced'!$Q$1:$T$542,3,FALSE)</f>
        <v>0.87814299999999978</v>
      </c>
      <c r="X502">
        <f>VLOOKUP($U502,'[2]AP Balanced'!$Q$1:$T$542,4,FALSE)</f>
        <v>0.12185700000000022</v>
      </c>
      <c r="Y502" s="77">
        <f t="shared" si="1198"/>
        <v>1</v>
      </c>
      <c r="Z502" s="77">
        <f t="shared" si="1187"/>
        <v>5.0271565549999994E-2</v>
      </c>
      <c r="AA502" s="77">
        <f t="shared" si="1188"/>
        <v>4.0957618490715664E-3</v>
      </c>
      <c r="AB502" s="79">
        <v>1</v>
      </c>
      <c r="AC502" s="77">
        <f t="shared" si="1152"/>
        <v>5.7079294999999985E-3</v>
      </c>
      <c r="AD502" s="77">
        <f t="shared" si="1143"/>
        <v>4.7690974114367179E-4</v>
      </c>
      <c r="AE502" s="77">
        <f t="shared" si="1153"/>
        <v>2.4878143000000002E-3</v>
      </c>
      <c r="AF502" s="77">
        <f t="shared" si="1143"/>
        <v>2.0755462856847373E-4</v>
      </c>
      <c r="AH502" t="s">
        <v>175</v>
      </c>
      <c r="AI502" t="s">
        <v>176</v>
      </c>
      <c r="AJ502" s="197" t="str">
        <f t="shared" si="1199"/>
        <v>Lifecycle_Balanced_43</v>
      </c>
      <c r="AK502">
        <v>43</v>
      </c>
      <c r="AL502">
        <f>VLOOKUP($U502,[2]Standard_Balanced!$Q$1:$T$542,2,FALSE)</f>
        <v>0</v>
      </c>
      <c r="AM502">
        <f>VLOOKUP($U502,[2]Standard_Balanced!$Q$1:$T$542,3,FALSE)</f>
        <v>0.86389283333333322</v>
      </c>
      <c r="AN502">
        <f>VLOOKUP($U502,[2]Standard_Balanced!$Q$1:$T$542,4,FALSE)</f>
        <v>0.13610716666666681</v>
      </c>
      <c r="AO502" s="77">
        <f t="shared" si="1129"/>
        <v>1</v>
      </c>
      <c r="AP502" s="77">
        <f t="shared" si="1154"/>
        <v>5.0145451574999993E-2</v>
      </c>
      <c r="AQ502" s="77">
        <f t="shared" si="1200"/>
        <v>4.0857138543692884E-3</v>
      </c>
      <c r="AR502" s="79">
        <v>0</v>
      </c>
      <c r="AS502" s="77">
        <f t="shared" si="1155"/>
        <v>0</v>
      </c>
      <c r="AT502" s="77">
        <f t="shared" ref="AT502" si="1265">1-(1-AS502)^(1/12)</f>
        <v>0</v>
      </c>
      <c r="AU502" s="77">
        <f t="shared" si="1157"/>
        <v>2.4863892833333332E-3</v>
      </c>
      <c r="AV502" s="77">
        <f t="shared" ref="AV502" si="1266">1-(1-AU502)^(1/12)</f>
        <v>2.0743560579816744E-4</v>
      </c>
      <c r="AX502" t="s">
        <v>178</v>
      </c>
      <c r="AY502" t="s">
        <v>160</v>
      </c>
      <c r="AZ502" s="197" t="str">
        <f t="shared" si="1203"/>
        <v>DIS_Non-Standard_43</v>
      </c>
      <c r="BA502">
        <v>43</v>
      </c>
      <c r="BB502">
        <f>VLOOKUP($BA502,'[2]NonStandard DIS'!$Q$1:$X$542,2,FALSE)</f>
        <v>0</v>
      </c>
      <c r="BC502">
        <f>VLOOKUP($BA502,'[2]NonStandard DIS'!$Q$1:$X$542,3,FALSE)</f>
        <v>0</v>
      </c>
      <c r="BD502">
        <f>VLOOKUP($BA502,'[2]NonStandard DIS'!$Q$1:$X$542,4,FALSE)</f>
        <v>0</v>
      </c>
      <c r="BE502">
        <f>VLOOKUP($BA502,'[2]NonStandard DIS'!$Q$1:$X$542,5,FALSE)</f>
        <v>0</v>
      </c>
      <c r="BF502">
        <f>VLOOKUP($BA502,'[2]NonStandard DIS'!$Q$1:$X$542,6,FALSE)</f>
        <v>0</v>
      </c>
      <c r="BG502">
        <f>VLOOKUP($BA502,'[2]NonStandard DIS'!$Q$1:$X$542,7,FALSE)</f>
        <v>0.5</v>
      </c>
      <c r="BH502">
        <f>VLOOKUP($BA502,'[2]NonStandard DIS'!$Q$1:$X$542,8,FALSE)</f>
        <v>0.5</v>
      </c>
      <c r="BI502" s="77">
        <f t="shared" si="1146"/>
        <v>1</v>
      </c>
      <c r="BJ502" s="77">
        <f t="shared" si="1147"/>
        <v>5.4299999999999994E-2</v>
      </c>
      <c r="BK502" s="77">
        <f t="shared" si="1128"/>
        <v>4.4161425104838337E-3</v>
      </c>
      <c r="BL502" s="79">
        <v>1</v>
      </c>
      <c r="BM502" s="77">
        <f t="shared" si="1159"/>
        <v>6.9999999999999993E-3</v>
      </c>
      <c r="BN502" s="77">
        <f t="shared" si="1160"/>
        <v>5.8147013295517525E-4</v>
      </c>
      <c r="BO502" s="77">
        <f t="shared" si="1161"/>
        <v>2.5000000000000001E-3</v>
      </c>
      <c r="BP502" s="77">
        <f t="shared" si="1162"/>
        <v>2.0809499864316017E-4</v>
      </c>
    </row>
    <row r="503" spans="1:68">
      <c r="A503" t="s">
        <v>175</v>
      </c>
      <c r="B503" t="s">
        <v>176</v>
      </c>
      <c r="C503" s="197" t="str">
        <f t="shared" si="1197"/>
        <v>Lifecycle_Balanced_42</v>
      </c>
      <c r="D503">
        <v>42</v>
      </c>
      <c r="E503">
        <f>VLOOKUP($D503,'[2]LC Balanced'!$Q$2:$U$542,2,FALSE)</f>
        <v>0.54849999999999999</v>
      </c>
      <c r="F503">
        <f>VLOOKUP($D503,'[2]LC Balanced'!$Q$2:$U$542,3,FALSE)</f>
        <v>0.159</v>
      </c>
      <c r="G503">
        <f>VLOOKUP($D503,'[2]LC Balanced'!$Q$2:$U$542,4,FALSE)</f>
        <v>0.29249999999999998</v>
      </c>
      <c r="H503">
        <f>VLOOKUP($D503,'[2]LC Balanced'!$Q$2:$U$542,5,FALSE)</f>
        <v>0</v>
      </c>
      <c r="I503" s="77">
        <f t="shared" si="1141"/>
        <v>1</v>
      </c>
      <c r="J503" s="77">
        <f t="shared" si="1142"/>
        <v>4.9675137499999994E-2</v>
      </c>
      <c r="K503" s="77">
        <f t="shared" si="1132"/>
        <v>4.0482323317425628E-3</v>
      </c>
      <c r="L503" s="76">
        <v>0</v>
      </c>
      <c r="M503" s="77">
        <f t="shared" si="1148"/>
        <v>0</v>
      </c>
      <c r="N503" s="77">
        <f t="shared" si="1149"/>
        <v>0</v>
      </c>
      <c r="O503" s="77">
        <f t="shared" si="1150"/>
        <v>4.3604999999999998E-3</v>
      </c>
      <c r="P503" s="77">
        <f t="shared" si="1151"/>
        <v>3.6410325728275517E-4</v>
      </c>
      <c r="R503" t="s">
        <v>177</v>
      </c>
      <c r="S503" t="s">
        <v>176</v>
      </c>
      <c r="T503" s="197" t="str">
        <f t="shared" si="1240"/>
        <v>Autopilot_Balanced_42</v>
      </c>
      <c r="U503">
        <v>42</v>
      </c>
      <c r="V503">
        <f>VLOOKUP($U503,'[2]AP Balanced'!$Q$1:$T$542,2,FALSE)</f>
        <v>0</v>
      </c>
      <c r="W503">
        <f>VLOOKUP($U503,'[2]AP Balanced'!$Q$1:$T$542,3,FALSE)</f>
        <v>0.87814299999999978</v>
      </c>
      <c r="X503">
        <f>VLOOKUP($U503,'[2]AP Balanced'!$Q$1:$T$542,4,FALSE)</f>
        <v>0.12185700000000022</v>
      </c>
      <c r="Y503" s="77">
        <f t="shared" si="1198"/>
        <v>1</v>
      </c>
      <c r="Z503" s="77">
        <f t="shared" si="1187"/>
        <v>5.0271565549999994E-2</v>
      </c>
      <c r="AA503" s="77">
        <f t="shared" si="1188"/>
        <v>4.0957618490715664E-3</v>
      </c>
      <c r="AB503" s="79">
        <v>1</v>
      </c>
      <c r="AC503" s="77">
        <f t="shared" si="1152"/>
        <v>5.7079294999999985E-3</v>
      </c>
      <c r="AD503" s="77">
        <f t="shared" si="1143"/>
        <v>4.7690974114367179E-4</v>
      </c>
      <c r="AE503" s="77">
        <f t="shared" si="1153"/>
        <v>2.4878143000000002E-3</v>
      </c>
      <c r="AF503" s="77">
        <f t="shared" si="1143"/>
        <v>2.0755462856847373E-4</v>
      </c>
      <c r="AH503" t="s">
        <v>175</v>
      </c>
      <c r="AI503" t="s">
        <v>176</v>
      </c>
      <c r="AJ503" s="197" t="str">
        <f t="shared" si="1199"/>
        <v>Lifecycle_Balanced_42</v>
      </c>
      <c r="AK503">
        <v>42</v>
      </c>
      <c r="AL503">
        <f>VLOOKUP($U503,[2]Standard_Balanced!$Q$1:$T$542,2,FALSE)</f>
        <v>0</v>
      </c>
      <c r="AM503">
        <f>VLOOKUP($U503,[2]Standard_Balanced!$Q$1:$T$542,3,FALSE)</f>
        <v>0.86104279999999989</v>
      </c>
      <c r="AN503">
        <f>VLOOKUP($U503,[2]Standard_Balanced!$Q$1:$T$542,4,FALSE)</f>
        <v>0.13895720000000011</v>
      </c>
      <c r="AO503" s="77">
        <f t="shared" si="1129"/>
        <v>1</v>
      </c>
      <c r="AP503" s="77">
        <f t="shared" si="1154"/>
        <v>5.0120228779999991E-2</v>
      </c>
      <c r="AQ503" s="77">
        <f t="shared" si="1200"/>
        <v>4.0837041226946535E-3</v>
      </c>
      <c r="AR503" s="79">
        <v>0</v>
      </c>
      <c r="AS503" s="77">
        <f t="shared" si="1155"/>
        <v>0</v>
      </c>
      <c r="AT503" s="77">
        <f t="shared" ref="AT503" si="1267">1-(1-AS503)^(1/12)</f>
        <v>0</v>
      </c>
      <c r="AU503" s="77">
        <f t="shared" si="1157"/>
        <v>2.48610428E-3</v>
      </c>
      <c r="AV503" s="77">
        <f t="shared" ref="AV503" si="1268">1-(1-AU503)^(1/12)</f>
        <v>2.0741180126271352E-4</v>
      </c>
      <c r="AX503" t="s">
        <v>178</v>
      </c>
      <c r="AY503" t="s">
        <v>160</v>
      </c>
      <c r="AZ503" s="197" t="str">
        <f t="shared" si="1203"/>
        <v>DIS_Non-Standard_42</v>
      </c>
      <c r="BA503">
        <v>42</v>
      </c>
      <c r="BB503">
        <f>VLOOKUP($BA503,'[2]NonStandard DIS'!$Q$1:$X$542,2,FALSE)</f>
        <v>0</v>
      </c>
      <c r="BC503">
        <f>VLOOKUP($BA503,'[2]NonStandard DIS'!$Q$1:$X$542,3,FALSE)</f>
        <v>0</v>
      </c>
      <c r="BD503">
        <f>VLOOKUP($BA503,'[2]NonStandard DIS'!$Q$1:$X$542,4,FALSE)</f>
        <v>0</v>
      </c>
      <c r="BE503">
        <f>VLOOKUP($BA503,'[2]NonStandard DIS'!$Q$1:$X$542,5,FALSE)</f>
        <v>0</v>
      </c>
      <c r="BF503">
        <f>VLOOKUP($BA503,'[2]NonStandard DIS'!$Q$1:$X$542,6,FALSE)</f>
        <v>0</v>
      </c>
      <c r="BG503">
        <f>VLOOKUP($BA503,'[2]NonStandard DIS'!$Q$1:$X$542,7,FALSE)</f>
        <v>0.5</v>
      </c>
      <c r="BH503">
        <f>VLOOKUP($BA503,'[2]NonStandard DIS'!$Q$1:$X$542,8,FALSE)</f>
        <v>0.5</v>
      </c>
      <c r="BI503" s="77">
        <f t="shared" si="1146"/>
        <v>1</v>
      </c>
      <c r="BJ503" s="77">
        <f t="shared" si="1147"/>
        <v>5.4299999999999994E-2</v>
      </c>
      <c r="BK503" s="77">
        <f t="shared" si="1128"/>
        <v>4.4161425104838337E-3</v>
      </c>
      <c r="BL503" s="79">
        <v>1</v>
      </c>
      <c r="BM503" s="77">
        <f t="shared" si="1159"/>
        <v>6.9999999999999993E-3</v>
      </c>
      <c r="BN503" s="77">
        <f t="shared" si="1160"/>
        <v>5.8147013295517525E-4</v>
      </c>
      <c r="BO503" s="77">
        <f t="shared" si="1161"/>
        <v>2.5000000000000001E-3</v>
      </c>
      <c r="BP503" s="77">
        <f t="shared" si="1162"/>
        <v>2.0809499864316017E-4</v>
      </c>
    </row>
    <row r="504" spans="1:68">
      <c r="A504" t="s">
        <v>175</v>
      </c>
      <c r="B504" t="s">
        <v>176</v>
      </c>
      <c r="C504" s="197" t="str">
        <f t="shared" si="1197"/>
        <v>Lifecycle_Balanced_41</v>
      </c>
      <c r="D504">
        <v>41</v>
      </c>
      <c r="E504">
        <f>VLOOKUP($D504,'[2]LC Balanced'!$Q$2:$U$542,2,FALSE)</f>
        <v>0.55041666666666667</v>
      </c>
      <c r="F504">
        <f>VLOOKUP($D504,'[2]LC Balanced'!$Q$2:$U$542,3,FALSE)</f>
        <v>0.158</v>
      </c>
      <c r="G504">
        <f>VLOOKUP($D504,'[2]LC Balanced'!$Q$2:$U$542,4,FALSE)</f>
        <v>0.29158333333333331</v>
      </c>
      <c r="H504">
        <f>VLOOKUP($D504,'[2]LC Balanced'!$Q$2:$U$542,5,FALSE)</f>
        <v>0</v>
      </c>
      <c r="I504" s="77">
        <f t="shared" si="1141"/>
        <v>1</v>
      </c>
      <c r="J504" s="77">
        <f t="shared" si="1142"/>
        <v>4.9650431250000002E-2</v>
      </c>
      <c r="K504" s="77">
        <f t="shared" si="1132"/>
        <v>4.0462629498703162E-3</v>
      </c>
      <c r="L504" s="76">
        <v>0</v>
      </c>
      <c r="M504" s="77">
        <f t="shared" si="1148"/>
        <v>0</v>
      </c>
      <c r="N504" s="77">
        <f t="shared" si="1149"/>
        <v>0</v>
      </c>
      <c r="O504" s="77">
        <f t="shared" si="1150"/>
        <v>4.3525999999999999E-3</v>
      </c>
      <c r="P504" s="77">
        <f t="shared" si="1151"/>
        <v>3.6344228386941957E-4</v>
      </c>
      <c r="R504" t="s">
        <v>177</v>
      </c>
      <c r="S504" t="s">
        <v>176</v>
      </c>
      <c r="T504" s="197" t="str">
        <f t="shared" si="1240"/>
        <v>Autopilot_Balanced_41</v>
      </c>
      <c r="U504">
        <v>41</v>
      </c>
      <c r="V504">
        <f>VLOOKUP($U504,'[2]AP Balanced'!$Q$1:$T$542,2,FALSE)</f>
        <v>0</v>
      </c>
      <c r="W504">
        <f>VLOOKUP($U504,'[2]AP Balanced'!$Q$1:$T$542,3,FALSE)</f>
        <v>0.87814299999999978</v>
      </c>
      <c r="X504">
        <f>VLOOKUP($U504,'[2]AP Balanced'!$Q$1:$T$542,4,FALSE)</f>
        <v>0.12185700000000022</v>
      </c>
      <c r="Y504" s="77">
        <f t="shared" si="1198"/>
        <v>1</v>
      </c>
      <c r="Z504" s="77">
        <f t="shared" si="1187"/>
        <v>5.0271565549999994E-2</v>
      </c>
      <c r="AA504" s="77">
        <f t="shared" si="1188"/>
        <v>4.0957618490715664E-3</v>
      </c>
      <c r="AB504" s="79">
        <v>1</v>
      </c>
      <c r="AC504" s="77">
        <f t="shared" si="1152"/>
        <v>5.7079294999999985E-3</v>
      </c>
      <c r="AD504" s="77">
        <f t="shared" si="1143"/>
        <v>4.7690974114367179E-4</v>
      </c>
      <c r="AE504" s="77">
        <f t="shared" si="1153"/>
        <v>2.4878143000000002E-3</v>
      </c>
      <c r="AF504" s="77">
        <f t="shared" si="1143"/>
        <v>2.0755462856847373E-4</v>
      </c>
      <c r="AH504" t="s">
        <v>175</v>
      </c>
      <c r="AI504" t="s">
        <v>176</v>
      </c>
      <c r="AJ504" s="197" t="str">
        <f t="shared" si="1199"/>
        <v>Lifecycle_Balanced_41</v>
      </c>
      <c r="AK504">
        <v>41</v>
      </c>
      <c r="AL504">
        <f>VLOOKUP($U504,[2]Standard_Balanced!$Q$1:$T$542,2,FALSE)</f>
        <v>0</v>
      </c>
      <c r="AM504">
        <f>VLOOKUP($U504,[2]Standard_Balanced!$Q$1:$T$542,3,FALSE)</f>
        <v>0.85819276666666655</v>
      </c>
      <c r="AN504">
        <f>VLOOKUP($U504,[2]Standard_Balanced!$Q$1:$T$542,4,FALSE)</f>
        <v>0.14180723333333342</v>
      </c>
      <c r="AO504" s="77">
        <f t="shared" si="1129"/>
        <v>1</v>
      </c>
      <c r="AP504" s="77">
        <f t="shared" si="1154"/>
        <v>5.0095005984999989E-2</v>
      </c>
      <c r="AQ504" s="77">
        <f t="shared" si="1200"/>
        <v>4.0816943467705258E-3</v>
      </c>
      <c r="AR504" s="79">
        <v>0</v>
      </c>
      <c r="AS504" s="77">
        <f t="shared" si="1155"/>
        <v>0</v>
      </c>
      <c r="AT504" s="77">
        <f t="shared" ref="AT504" si="1269">1-(1-AS504)^(1/12)</f>
        <v>0</v>
      </c>
      <c r="AU504" s="77">
        <f t="shared" si="1157"/>
        <v>2.4858192766666668E-3</v>
      </c>
      <c r="AV504" s="77">
        <f t="shared" ref="AV504" si="1270">1-(1-AU504)^(1/12)</f>
        <v>2.073879967336989E-4</v>
      </c>
      <c r="AX504" t="s">
        <v>178</v>
      </c>
      <c r="AY504" t="s">
        <v>160</v>
      </c>
      <c r="AZ504" s="197" t="str">
        <f t="shared" si="1203"/>
        <v>DIS_Non-Standard_41</v>
      </c>
      <c r="BA504">
        <v>41</v>
      </c>
      <c r="BB504">
        <f>VLOOKUP($BA504,'[2]NonStandard DIS'!$Q$1:$X$542,2,FALSE)</f>
        <v>0</v>
      </c>
      <c r="BC504">
        <f>VLOOKUP($BA504,'[2]NonStandard DIS'!$Q$1:$X$542,3,FALSE)</f>
        <v>0</v>
      </c>
      <c r="BD504">
        <f>VLOOKUP($BA504,'[2]NonStandard DIS'!$Q$1:$X$542,4,FALSE)</f>
        <v>0</v>
      </c>
      <c r="BE504">
        <f>VLOOKUP($BA504,'[2]NonStandard DIS'!$Q$1:$X$542,5,FALSE)</f>
        <v>0</v>
      </c>
      <c r="BF504">
        <f>VLOOKUP($BA504,'[2]NonStandard DIS'!$Q$1:$X$542,6,FALSE)</f>
        <v>0</v>
      </c>
      <c r="BG504">
        <f>VLOOKUP($BA504,'[2]NonStandard DIS'!$Q$1:$X$542,7,FALSE)</f>
        <v>0.5</v>
      </c>
      <c r="BH504">
        <f>VLOOKUP($BA504,'[2]NonStandard DIS'!$Q$1:$X$542,8,FALSE)</f>
        <v>0.5</v>
      </c>
      <c r="BI504" s="77">
        <f t="shared" si="1146"/>
        <v>1</v>
      </c>
      <c r="BJ504" s="77">
        <f t="shared" si="1147"/>
        <v>5.4299999999999994E-2</v>
      </c>
      <c r="BK504" s="77">
        <f t="shared" si="1128"/>
        <v>4.4161425104838337E-3</v>
      </c>
      <c r="BL504" s="79">
        <v>1</v>
      </c>
      <c r="BM504" s="77">
        <f t="shared" si="1159"/>
        <v>6.9999999999999993E-3</v>
      </c>
      <c r="BN504" s="77">
        <f t="shared" si="1160"/>
        <v>5.8147013295517525E-4</v>
      </c>
      <c r="BO504" s="77">
        <f t="shared" si="1161"/>
        <v>2.5000000000000001E-3</v>
      </c>
      <c r="BP504" s="77">
        <f t="shared" si="1162"/>
        <v>2.0809499864316017E-4</v>
      </c>
    </row>
    <row r="505" spans="1:68">
      <c r="A505" t="s">
        <v>175</v>
      </c>
      <c r="B505" t="s">
        <v>176</v>
      </c>
      <c r="C505" s="197" t="str">
        <f t="shared" si="1197"/>
        <v>Lifecycle_Balanced_40</v>
      </c>
      <c r="D505">
        <v>40</v>
      </c>
      <c r="E505">
        <f>VLOOKUP($D505,'[2]LC Balanced'!$Q$2:$U$542,2,FALSE)</f>
        <v>0.55233333333333334</v>
      </c>
      <c r="F505">
        <f>VLOOKUP($D505,'[2]LC Balanced'!$Q$2:$U$542,3,FALSE)</f>
        <v>0.157</v>
      </c>
      <c r="G505">
        <f>VLOOKUP($D505,'[2]LC Balanced'!$Q$2:$U$542,4,FALSE)</f>
        <v>0.29066666666666663</v>
      </c>
      <c r="H505">
        <f>VLOOKUP($D505,'[2]LC Balanced'!$Q$2:$U$542,5,FALSE)</f>
        <v>0</v>
      </c>
      <c r="I505" s="77">
        <f t="shared" si="1141"/>
        <v>1</v>
      </c>
      <c r="J505" s="77">
        <f t="shared" si="1142"/>
        <v>4.9625724999999996E-2</v>
      </c>
      <c r="K505" s="77">
        <f t="shared" si="1132"/>
        <v>4.0442935255060597E-3</v>
      </c>
      <c r="L505" s="76">
        <v>0</v>
      </c>
      <c r="M505" s="77">
        <f t="shared" si="1148"/>
        <v>0</v>
      </c>
      <c r="N505" s="77">
        <f t="shared" si="1149"/>
        <v>0</v>
      </c>
      <c r="O505" s="77">
        <f t="shared" si="1150"/>
        <v>4.3447E-3</v>
      </c>
      <c r="P505" s="77">
        <f t="shared" si="1151"/>
        <v>3.6278131526357171E-4</v>
      </c>
      <c r="R505" t="s">
        <v>177</v>
      </c>
      <c r="S505" t="s">
        <v>176</v>
      </c>
      <c r="T505" s="197" t="str">
        <f t="shared" si="1240"/>
        <v>Autopilot_Balanced_40</v>
      </c>
      <c r="U505">
        <v>40</v>
      </c>
      <c r="V505">
        <f>VLOOKUP($U505,'[2]AP Balanced'!$Q$1:$T$542,2,FALSE)</f>
        <v>0</v>
      </c>
      <c r="W505">
        <f>VLOOKUP($U505,'[2]AP Balanced'!$Q$1:$T$542,3,FALSE)</f>
        <v>0.87814299999999978</v>
      </c>
      <c r="X505">
        <f>VLOOKUP($U505,'[2]AP Balanced'!$Q$1:$T$542,4,FALSE)</f>
        <v>0.12185700000000022</v>
      </c>
      <c r="Y505" s="77">
        <f t="shared" si="1198"/>
        <v>1</v>
      </c>
      <c r="Z505" s="77">
        <f t="shared" si="1187"/>
        <v>5.0271565549999994E-2</v>
      </c>
      <c r="AA505" s="77">
        <f t="shared" si="1188"/>
        <v>4.0957618490715664E-3</v>
      </c>
      <c r="AB505" s="79">
        <v>1</v>
      </c>
      <c r="AC505" s="77">
        <f t="shared" si="1152"/>
        <v>5.7079294999999985E-3</v>
      </c>
      <c r="AD505" s="77">
        <f t="shared" si="1143"/>
        <v>4.7690974114367179E-4</v>
      </c>
      <c r="AE505" s="77">
        <f t="shared" si="1153"/>
        <v>2.4878143000000002E-3</v>
      </c>
      <c r="AF505" s="77">
        <f t="shared" si="1143"/>
        <v>2.0755462856847373E-4</v>
      </c>
      <c r="AH505" t="s">
        <v>175</v>
      </c>
      <c r="AI505" t="s">
        <v>176</v>
      </c>
      <c r="AJ505" s="197" t="str">
        <f t="shared" si="1199"/>
        <v>Lifecycle_Balanced_40</v>
      </c>
      <c r="AK505">
        <v>40</v>
      </c>
      <c r="AL505">
        <f>VLOOKUP($U505,[2]Standard_Balanced!$Q$1:$T$542,2,FALSE)</f>
        <v>0</v>
      </c>
      <c r="AM505">
        <f>VLOOKUP($U505,[2]Standard_Balanced!$Q$1:$T$542,3,FALSE)</f>
        <v>0.85534273333333322</v>
      </c>
      <c r="AN505">
        <f>VLOOKUP($U505,[2]Standard_Balanced!$Q$1:$T$542,4,FALSE)</f>
        <v>0.14465726666666676</v>
      </c>
      <c r="AO505" s="77">
        <f t="shared" si="1129"/>
        <v>1</v>
      </c>
      <c r="AP505" s="77">
        <f t="shared" si="1154"/>
        <v>5.0069783189999995E-2</v>
      </c>
      <c r="AQ505" s="77">
        <f t="shared" si="1200"/>
        <v>4.0796845265946846E-3</v>
      </c>
      <c r="AR505" s="79">
        <v>0</v>
      </c>
      <c r="AS505" s="77">
        <f t="shared" si="1155"/>
        <v>0</v>
      </c>
      <c r="AT505" s="77">
        <f t="shared" ref="AT505" si="1271">1-(1-AS505)^(1/12)</f>
        <v>0</v>
      </c>
      <c r="AU505" s="77">
        <f t="shared" si="1157"/>
        <v>2.4855342733333331E-3</v>
      </c>
      <c r="AV505" s="77">
        <f t="shared" ref="AV505" si="1272">1-(1-AU505)^(1/12)</f>
        <v>2.073641922107905E-4</v>
      </c>
      <c r="AX505" t="s">
        <v>178</v>
      </c>
      <c r="AY505" t="s">
        <v>160</v>
      </c>
      <c r="AZ505" s="197" t="str">
        <f t="shared" si="1203"/>
        <v>DIS_Non-Standard_40</v>
      </c>
      <c r="BA505">
        <v>40</v>
      </c>
      <c r="BB505">
        <f>VLOOKUP($BA505,'[2]NonStandard DIS'!$Q$1:$X$542,2,FALSE)</f>
        <v>0</v>
      </c>
      <c r="BC505">
        <f>VLOOKUP($BA505,'[2]NonStandard DIS'!$Q$1:$X$542,3,FALSE)</f>
        <v>0</v>
      </c>
      <c r="BD505">
        <f>VLOOKUP($BA505,'[2]NonStandard DIS'!$Q$1:$X$542,4,FALSE)</f>
        <v>0</v>
      </c>
      <c r="BE505">
        <f>VLOOKUP($BA505,'[2]NonStandard DIS'!$Q$1:$X$542,5,FALSE)</f>
        <v>0</v>
      </c>
      <c r="BF505">
        <f>VLOOKUP($BA505,'[2]NonStandard DIS'!$Q$1:$X$542,6,FALSE)</f>
        <v>0</v>
      </c>
      <c r="BG505">
        <f>VLOOKUP($BA505,'[2]NonStandard DIS'!$Q$1:$X$542,7,FALSE)</f>
        <v>0.5</v>
      </c>
      <c r="BH505">
        <f>VLOOKUP($BA505,'[2]NonStandard DIS'!$Q$1:$X$542,8,FALSE)</f>
        <v>0.5</v>
      </c>
      <c r="BI505" s="77">
        <f t="shared" si="1146"/>
        <v>1</v>
      </c>
      <c r="BJ505" s="77">
        <f t="shared" si="1147"/>
        <v>5.4299999999999994E-2</v>
      </c>
      <c r="BK505" s="77">
        <f t="shared" si="1128"/>
        <v>4.4161425104838337E-3</v>
      </c>
      <c r="BL505" s="79">
        <v>1</v>
      </c>
      <c r="BM505" s="77">
        <f t="shared" si="1159"/>
        <v>6.9999999999999993E-3</v>
      </c>
      <c r="BN505" s="77">
        <f t="shared" si="1160"/>
        <v>5.8147013295517525E-4</v>
      </c>
      <c r="BO505" s="77">
        <f t="shared" si="1161"/>
        <v>2.5000000000000001E-3</v>
      </c>
      <c r="BP505" s="77">
        <f t="shared" si="1162"/>
        <v>2.0809499864316017E-4</v>
      </c>
    </row>
    <row r="506" spans="1:68">
      <c r="A506" t="s">
        <v>175</v>
      </c>
      <c r="B506" t="s">
        <v>176</v>
      </c>
      <c r="C506" s="197" t="str">
        <f t="shared" si="1197"/>
        <v>Lifecycle_Balanced_39</v>
      </c>
      <c r="D506">
        <v>39</v>
      </c>
      <c r="E506">
        <f>VLOOKUP($D506,'[2]LC Balanced'!$Q$2:$U$542,2,FALSE)</f>
        <v>0.55425000000000002</v>
      </c>
      <c r="F506">
        <f>VLOOKUP($D506,'[2]LC Balanced'!$Q$2:$U$542,3,FALSE)</f>
        <v>0.156</v>
      </c>
      <c r="G506">
        <f>VLOOKUP($D506,'[2]LC Balanced'!$Q$2:$U$542,4,FALSE)</f>
        <v>0.28974999999999995</v>
      </c>
      <c r="H506">
        <f>VLOOKUP($D506,'[2]LC Balanced'!$Q$2:$U$542,5,FALSE)</f>
        <v>0</v>
      </c>
      <c r="I506" s="77">
        <f t="shared" si="1141"/>
        <v>1</v>
      </c>
      <c r="J506" s="77">
        <f t="shared" si="1142"/>
        <v>4.9601018750000003E-2</v>
      </c>
      <c r="K506" s="77">
        <f t="shared" si="1132"/>
        <v>4.0423240586477949E-3</v>
      </c>
      <c r="L506" s="76">
        <v>0</v>
      </c>
      <c r="M506" s="77">
        <f t="shared" si="1148"/>
        <v>0</v>
      </c>
      <c r="N506" s="77">
        <f t="shared" si="1149"/>
        <v>0</v>
      </c>
      <c r="O506" s="77">
        <f t="shared" si="1150"/>
        <v>4.3367999999999992E-3</v>
      </c>
      <c r="P506" s="77">
        <f t="shared" si="1151"/>
        <v>3.6212035146498955E-4</v>
      </c>
      <c r="R506" t="s">
        <v>177</v>
      </c>
      <c r="S506" t="s">
        <v>176</v>
      </c>
      <c r="T506" s="197" t="str">
        <f t="shared" si="1240"/>
        <v>Autopilot_Balanced_39</v>
      </c>
      <c r="U506">
        <v>39</v>
      </c>
      <c r="V506">
        <f>VLOOKUP($U506,'[2]AP Balanced'!$Q$1:$T$542,2,FALSE)</f>
        <v>0</v>
      </c>
      <c r="W506">
        <f>VLOOKUP($U506,'[2]AP Balanced'!$Q$1:$T$542,3,FALSE)</f>
        <v>0.87814299999999978</v>
      </c>
      <c r="X506">
        <f>VLOOKUP($U506,'[2]AP Balanced'!$Q$1:$T$542,4,FALSE)</f>
        <v>0.12185700000000022</v>
      </c>
      <c r="Y506" s="77">
        <f t="shared" si="1198"/>
        <v>1</v>
      </c>
      <c r="Z506" s="77">
        <f t="shared" si="1187"/>
        <v>5.0271565549999994E-2</v>
      </c>
      <c r="AA506" s="77">
        <f t="shared" si="1188"/>
        <v>4.0957618490715664E-3</v>
      </c>
      <c r="AB506" s="79">
        <v>1</v>
      </c>
      <c r="AC506" s="77">
        <f t="shared" si="1152"/>
        <v>5.7079294999999985E-3</v>
      </c>
      <c r="AD506" s="77">
        <f t="shared" si="1143"/>
        <v>4.7690974114367179E-4</v>
      </c>
      <c r="AE506" s="77">
        <f t="shared" si="1153"/>
        <v>2.4878143000000002E-3</v>
      </c>
      <c r="AF506" s="77">
        <f t="shared" si="1143"/>
        <v>2.0755462856847373E-4</v>
      </c>
      <c r="AH506" t="s">
        <v>175</v>
      </c>
      <c r="AI506" t="s">
        <v>176</v>
      </c>
      <c r="AJ506" s="197" t="str">
        <f t="shared" si="1199"/>
        <v>Lifecycle_Balanced_39</v>
      </c>
      <c r="AK506">
        <v>39</v>
      </c>
      <c r="AL506">
        <f>VLOOKUP($U506,[2]Standard_Balanced!$Q$1:$T$542,2,FALSE)</f>
        <v>0</v>
      </c>
      <c r="AM506">
        <f>VLOOKUP($U506,[2]Standard_Balanced!$Q$1:$T$542,3,FALSE)</f>
        <v>0.85249269999999999</v>
      </c>
      <c r="AN506">
        <f>VLOOKUP($U506,[2]Standard_Balanced!$Q$1:$T$542,4,FALSE)</f>
        <v>0.14750730000000006</v>
      </c>
      <c r="AO506" s="77">
        <f t="shared" si="1129"/>
        <v>1</v>
      </c>
      <c r="AP506" s="77">
        <f t="shared" si="1154"/>
        <v>5.0044560394999993E-2</v>
      </c>
      <c r="AQ506" s="77">
        <f t="shared" si="1200"/>
        <v>4.0776746621653537E-3</v>
      </c>
      <c r="AR506" s="79">
        <v>0</v>
      </c>
      <c r="AS506" s="77">
        <f t="shared" si="1155"/>
        <v>0</v>
      </c>
      <c r="AT506" s="77">
        <f t="shared" ref="AT506" si="1273">1-(1-AS506)^(1/12)</f>
        <v>0</v>
      </c>
      <c r="AU506" s="77">
        <f t="shared" si="1157"/>
        <v>2.4852492699999999E-3</v>
      </c>
      <c r="AV506" s="77">
        <f t="shared" ref="AV506" si="1274">1-(1-AU506)^(1/12)</f>
        <v>2.0734038769409935E-4</v>
      </c>
      <c r="AX506" t="s">
        <v>178</v>
      </c>
      <c r="AY506" t="s">
        <v>160</v>
      </c>
      <c r="AZ506" s="197" t="str">
        <f t="shared" si="1203"/>
        <v>DIS_Non-Standard_39</v>
      </c>
      <c r="BA506">
        <v>39</v>
      </c>
      <c r="BB506">
        <f>VLOOKUP($BA506,'[2]NonStandard DIS'!$Q$1:$X$542,2,FALSE)</f>
        <v>0</v>
      </c>
      <c r="BC506">
        <f>VLOOKUP($BA506,'[2]NonStandard DIS'!$Q$1:$X$542,3,FALSE)</f>
        <v>0</v>
      </c>
      <c r="BD506">
        <f>VLOOKUP($BA506,'[2]NonStandard DIS'!$Q$1:$X$542,4,FALSE)</f>
        <v>0</v>
      </c>
      <c r="BE506">
        <f>VLOOKUP($BA506,'[2]NonStandard DIS'!$Q$1:$X$542,5,FALSE)</f>
        <v>0</v>
      </c>
      <c r="BF506">
        <f>VLOOKUP($BA506,'[2]NonStandard DIS'!$Q$1:$X$542,6,FALSE)</f>
        <v>0</v>
      </c>
      <c r="BG506">
        <f>VLOOKUP($BA506,'[2]NonStandard DIS'!$Q$1:$X$542,7,FALSE)</f>
        <v>0.5</v>
      </c>
      <c r="BH506">
        <f>VLOOKUP($BA506,'[2]NonStandard DIS'!$Q$1:$X$542,8,FALSE)</f>
        <v>0.5</v>
      </c>
      <c r="BI506" s="77">
        <f t="shared" si="1146"/>
        <v>1</v>
      </c>
      <c r="BJ506" s="77">
        <f t="shared" si="1147"/>
        <v>5.4299999999999994E-2</v>
      </c>
      <c r="BK506" s="77">
        <f t="shared" si="1128"/>
        <v>4.4161425104838337E-3</v>
      </c>
      <c r="BL506" s="79">
        <v>1</v>
      </c>
      <c r="BM506" s="77">
        <f t="shared" si="1159"/>
        <v>6.9999999999999993E-3</v>
      </c>
      <c r="BN506" s="77">
        <f t="shared" si="1160"/>
        <v>5.8147013295517525E-4</v>
      </c>
      <c r="BO506" s="77">
        <f t="shared" si="1161"/>
        <v>2.5000000000000001E-3</v>
      </c>
      <c r="BP506" s="77">
        <f t="shared" si="1162"/>
        <v>2.0809499864316017E-4</v>
      </c>
    </row>
    <row r="507" spans="1:68">
      <c r="A507" t="s">
        <v>175</v>
      </c>
      <c r="B507" t="s">
        <v>176</v>
      </c>
      <c r="C507" s="197" t="str">
        <f t="shared" si="1197"/>
        <v>Lifecycle_Balanced_38</v>
      </c>
      <c r="D507">
        <v>38</v>
      </c>
      <c r="E507">
        <f>VLOOKUP($D507,'[2]LC Balanced'!$Q$2:$U$542,2,FALSE)</f>
        <v>0.5561666666666667</v>
      </c>
      <c r="F507">
        <f>VLOOKUP($D507,'[2]LC Balanced'!$Q$2:$U$542,3,FALSE)</f>
        <v>0.155</v>
      </c>
      <c r="G507">
        <f>VLOOKUP($D507,'[2]LC Balanced'!$Q$2:$U$542,4,FALSE)</f>
        <v>0.28883333333333333</v>
      </c>
      <c r="H507">
        <f>VLOOKUP($D507,'[2]LC Balanced'!$Q$2:$U$542,5,FALSE)</f>
        <v>0</v>
      </c>
      <c r="I507" s="77">
        <f t="shared" si="1141"/>
        <v>1</v>
      </c>
      <c r="J507" s="77">
        <f t="shared" si="1142"/>
        <v>4.9576312499999997E-2</v>
      </c>
      <c r="K507" s="77">
        <f t="shared" si="1132"/>
        <v>4.0403545492937454E-3</v>
      </c>
      <c r="L507" s="76">
        <v>0</v>
      </c>
      <c r="M507" s="77">
        <f t="shared" si="1148"/>
        <v>0</v>
      </c>
      <c r="N507" s="77">
        <f t="shared" si="1149"/>
        <v>0</v>
      </c>
      <c r="O507" s="77">
        <f t="shared" si="1150"/>
        <v>4.3289000000000001E-3</v>
      </c>
      <c r="P507" s="77">
        <f t="shared" si="1151"/>
        <v>3.6145939247389514E-4</v>
      </c>
      <c r="R507" t="s">
        <v>177</v>
      </c>
      <c r="S507" t="s">
        <v>176</v>
      </c>
      <c r="T507" s="197" t="str">
        <f t="shared" si="1240"/>
        <v>Autopilot_Balanced_38</v>
      </c>
      <c r="U507">
        <v>38</v>
      </c>
      <c r="V507">
        <f>VLOOKUP($U507,'[2]AP Balanced'!$Q$1:$T$542,2,FALSE)</f>
        <v>0</v>
      </c>
      <c r="W507">
        <f>VLOOKUP($U507,'[2]AP Balanced'!$Q$1:$T$542,3,FALSE)</f>
        <v>0.87814299999999978</v>
      </c>
      <c r="X507">
        <f>VLOOKUP($U507,'[2]AP Balanced'!$Q$1:$T$542,4,FALSE)</f>
        <v>0.12185700000000022</v>
      </c>
      <c r="Y507" s="77">
        <f t="shared" si="1198"/>
        <v>1</v>
      </c>
      <c r="Z507" s="77">
        <f t="shared" si="1187"/>
        <v>5.0271565549999994E-2</v>
      </c>
      <c r="AA507" s="77">
        <f t="shared" si="1188"/>
        <v>4.0957618490715664E-3</v>
      </c>
      <c r="AB507" s="79">
        <v>1</v>
      </c>
      <c r="AC507" s="77">
        <f t="shared" si="1152"/>
        <v>5.7079294999999985E-3</v>
      </c>
      <c r="AD507" s="77">
        <f t="shared" si="1143"/>
        <v>4.7690974114367179E-4</v>
      </c>
      <c r="AE507" s="77">
        <f t="shared" si="1153"/>
        <v>2.4878143000000002E-3</v>
      </c>
      <c r="AF507" s="77">
        <f t="shared" si="1143"/>
        <v>2.0755462856847373E-4</v>
      </c>
      <c r="AH507" t="s">
        <v>175</v>
      </c>
      <c r="AI507" t="s">
        <v>176</v>
      </c>
      <c r="AJ507" s="197" t="str">
        <f t="shared" si="1199"/>
        <v>Lifecycle_Balanced_38</v>
      </c>
      <c r="AK507">
        <v>38</v>
      </c>
      <c r="AL507">
        <f>VLOOKUP($U507,[2]Standard_Balanced!$Q$1:$T$542,2,FALSE)</f>
        <v>0</v>
      </c>
      <c r="AM507">
        <f>VLOOKUP($U507,[2]Standard_Balanced!$Q$1:$T$542,3,FALSE)</f>
        <v>0.84964266666666666</v>
      </c>
      <c r="AN507">
        <f>VLOOKUP($U507,[2]Standard_Balanced!$Q$1:$T$542,4,FALSE)</f>
        <v>0.15035733333333337</v>
      </c>
      <c r="AO507" s="77">
        <f t="shared" si="1129"/>
        <v>1</v>
      </c>
      <c r="AP507" s="77">
        <f t="shared" si="1154"/>
        <v>5.0019337599999991E-2</v>
      </c>
      <c r="AQ507" s="77">
        <f t="shared" si="1200"/>
        <v>4.0756647534803125E-3</v>
      </c>
      <c r="AR507" s="79">
        <v>0</v>
      </c>
      <c r="AS507" s="77">
        <f t="shared" si="1155"/>
        <v>0</v>
      </c>
      <c r="AT507" s="77">
        <f t="shared" ref="AT507" si="1275">1-(1-AS507)^(1/12)</f>
        <v>0</v>
      </c>
      <c r="AU507" s="77">
        <f t="shared" si="1157"/>
        <v>2.4849642666666667E-3</v>
      </c>
      <c r="AV507" s="77">
        <f t="shared" ref="AV507" si="1276">1-(1-AU507)^(1/12)</f>
        <v>2.0731658318373647E-4</v>
      </c>
      <c r="AX507" t="s">
        <v>178</v>
      </c>
      <c r="AY507" t="s">
        <v>160</v>
      </c>
      <c r="AZ507" s="197" t="str">
        <f t="shared" si="1203"/>
        <v>DIS_Non-Standard_38</v>
      </c>
      <c r="BA507">
        <v>38</v>
      </c>
      <c r="BB507">
        <f>VLOOKUP($BA507,'[2]NonStandard DIS'!$Q$1:$X$542,2,FALSE)</f>
        <v>0</v>
      </c>
      <c r="BC507">
        <f>VLOOKUP($BA507,'[2]NonStandard DIS'!$Q$1:$X$542,3,FALSE)</f>
        <v>0</v>
      </c>
      <c r="BD507">
        <f>VLOOKUP($BA507,'[2]NonStandard DIS'!$Q$1:$X$542,4,FALSE)</f>
        <v>0</v>
      </c>
      <c r="BE507">
        <f>VLOOKUP($BA507,'[2]NonStandard DIS'!$Q$1:$X$542,5,FALSE)</f>
        <v>0</v>
      </c>
      <c r="BF507">
        <f>VLOOKUP($BA507,'[2]NonStandard DIS'!$Q$1:$X$542,6,FALSE)</f>
        <v>0</v>
      </c>
      <c r="BG507">
        <f>VLOOKUP($BA507,'[2]NonStandard DIS'!$Q$1:$X$542,7,FALSE)</f>
        <v>0.5</v>
      </c>
      <c r="BH507">
        <f>VLOOKUP($BA507,'[2]NonStandard DIS'!$Q$1:$X$542,8,FALSE)</f>
        <v>0.5</v>
      </c>
      <c r="BI507" s="77">
        <f t="shared" si="1146"/>
        <v>1</v>
      </c>
      <c r="BJ507" s="77">
        <f t="shared" si="1147"/>
        <v>5.4299999999999994E-2</v>
      </c>
      <c r="BK507" s="77">
        <f t="shared" si="1128"/>
        <v>4.4161425104838337E-3</v>
      </c>
      <c r="BL507" s="79">
        <v>1</v>
      </c>
      <c r="BM507" s="77">
        <f t="shared" si="1159"/>
        <v>6.9999999999999993E-3</v>
      </c>
      <c r="BN507" s="77">
        <f t="shared" si="1160"/>
        <v>5.8147013295517525E-4</v>
      </c>
      <c r="BO507" s="77">
        <f t="shared" si="1161"/>
        <v>2.5000000000000001E-3</v>
      </c>
      <c r="BP507" s="77">
        <f t="shared" si="1162"/>
        <v>2.0809499864316017E-4</v>
      </c>
    </row>
    <row r="508" spans="1:68">
      <c r="A508" t="s">
        <v>175</v>
      </c>
      <c r="B508" t="s">
        <v>176</v>
      </c>
      <c r="C508" s="197" t="str">
        <f t="shared" si="1197"/>
        <v>Lifecycle_Balanced_37</v>
      </c>
      <c r="D508">
        <v>37</v>
      </c>
      <c r="E508">
        <f>VLOOKUP($D508,'[2]LC Balanced'!$Q$2:$U$542,2,FALSE)</f>
        <v>0.55808333333333338</v>
      </c>
      <c r="F508">
        <f>VLOOKUP($D508,'[2]LC Balanced'!$Q$2:$U$542,3,FALSE)</f>
        <v>0.154</v>
      </c>
      <c r="G508">
        <f>VLOOKUP($D508,'[2]LC Balanced'!$Q$2:$U$542,4,FALSE)</f>
        <v>0.28791666666666665</v>
      </c>
      <c r="H508">
        <f>VLOOKUP($D508,'[2]LC Balanced'!$Q$2:$U$542,5,FALSE)</f>
        <v>0</v>
      </c>
      <c r="I508" s="77">
        <f t="shared" si="1141"/>
        <v>1</v>
      </c>
      <c r="J508" s="77">
        <f t="shared" si="1142"/>
        <v>4.9551606249999998E-2</v>
      </c>
      <c r="K508" s="77">
        <f t="shared" si="1132"/>
        <v>4.0383849974416908E-3</v>
      </c>
      <c r="L508" s="76">
        <v>0</v>
      </c>
      <c r="M508" s="77">
        <f t="shared" si="1148"/>
        <v>0</v>
      </c>
      <c r="N508" s="77">
        <f t="shared" si="1149"/>
        <v>0</v>
      </c>
      <c r="O508" s="77">
        <f t="shared" si="1150"/>
        <v>4.3210000000000002E-3</v>
      </c>
      <c r="P508" s="77">
        <f t="shared" si="1151"/>
        <v>3.6079843828995539E-4</v>
      </c>
      <c r="R508" t="s">
        <v>177</v>
      </c>
      <c r="S508" t="s">
        <v>176</v>
      </c>
      <c r="T508" s="197" t="str">
        <f t="shared" si="1240"/>
        <v>Autopilot_Balanced_37</v>
      </c>
      <c r="U508">
        <v>37</v>
      </c>
      <c r="V508">
        <f>VLOOKUP($U508,'[2]AP Balanced'!$Q$1:$T$542,2,FALSE)</f>
        <v>0</v>
      </c>
      <c r="W508">
        <f>VLOOKUP($U508,'[2]AP Balanced'!$Q$1:$T$542,3,FALSE)</f>
        <v>0.87814299999999978</v>
      </c>
      <c r="X508">
        <f>VLOOKUP($U508,'[2]AP Balanced'!$Q$1:$T$542,4,FALSE)</f>
        <v>0.12185700000000022</v>
      </c>
      <c r="Y508" s="77">
        <f t="shared" si="1198"/>
        <v>1</v>
      </c>
      <c r="Z508" s="77">
        <f t="shared" si="1187"/>
        <v>5.0271565549999994E-2</v>
      </c>
      <c r="AA508" s="77">
        <f t="shared" si="1188"/>
        <v>4.0957618490715664E-3</v>
      </c>
      <c r="AB508" s="79">
        <v>1</v>
      </c>
      <c r="AC508" s="77">
        <f t="shared" si="1152"/>
        <v>5.7079294999999985E-3</v>
      </c>
      <c r="AD508" s="77">
        <f t="shared" si="1143"/>
        <v>4.7690974114367179E-4</v>
      </c>
      <c r="AE508" s="77">
        <f t="shared" si="1153"/>
        <v>2.4878143000000002E-3</v>
      </c>
      <c r="AF508" s="77">
        <f t="shared" si="1143"/>
        <v>2.0755462856847373E-4</v>
      </c>
      <c r="AH508" t="s">
        <v>175</v>
      </c>
      <c r="AI508" t="s">
        <v>176</v>
      </c>
      <c r="AJ508" s="197" t="str">
        <f t="shared" si="1199"/>
        <v>Lifecycle_Balanced_37</v>
      </c>
      <c r="AK508">
        <v>37</v>
      </c>
      <c r="AL508">
        <f>VLOOKUP($U508,[2]Standard_Balanced!$Q$1:$T$542,2,FALSE)</f>
        <v>0</v>
      </c>
      <c r="AM508">
        <f>VLOOKUP($U508,[2]Standard_Balanced!$Q$1:$T$542,3,FALSE)</f>
        <v>0.84679263333333332</v>
      </c>
      <c r="AN508">
        <f>VLOOKUP($U508,[2]Standard_Balanced!$Q$1:$T$542,4,FALSE)</f>
        <v>0.15320736666666671</v>
      </c>
      <c r="AO508" s="77">
        <f t="shared" si="1129"/>
        <v>1</v>
      </c>
      <c r="AP508" s="77">
        <f t="shared" si="1154"/>
        <v>4.9994114804999996E-2</v>
      </c>
      <c r="AQ508" s="77">
        <f t="shared" si="1200"/>
        <v>4.0736548005377848E-3</v>
      </c>
      <c r="AR508" s="79">
        <v>0</v>
      </c>
      <c r="AS508" s="77">
        <f t="shared" si="1155"/>
        <v>0</v>
      </c>
      <c r="AT508" s="77">
        <f t="shared" ref="AT508" si="1277">1-(1-AS508)^(1/12)</f>
        <v>0</v>
      </c>
      <c r="AU508" s="77">
        <f t="shared" si="1157"/>
        <v>2.4846792633333335E-3</v>
      </c>
      <c r="AV508" s="77">
        <f t="shared" ref="AV508" si="1278">1-(1-AU508)^(1/12)</f>
        <v>2.0729277867947982E-4</v>
      </c>
      <c r="AX508" t="s">
        <v>178</v>
      </c>
      <c r="AY508" t="s">
        <v>160</v>
      </c>
      <c r="AZ508" s="197" t="str">
        <f t="shared" si="1203"/>
        <v>DIS_Non-Standard_37</v>
      </c>
      <c r="BA508">
        <v>37</v>
      </c>
      <c r="BB508">
        <f>VLOOKUP($BA508,'[2]NonStandard DIS'!$Q$1:$X$542,2,FALSE)</f>
        <v>0</v>
      </c>
      <c r="BC508">
        <f>VLOOKUP($BA508,'[2]NonStandard DIS'!$Q$1:$X$542,3,FALSE)</f>
        <v>0</v>
      </c>
      <c r="BD508">
        <f>VLOOKUP($BA508,'[2]NonStandard DIS'!$Q$1:$X$542,4,FALSE)</f>
        <v>0</v>
      </c>
      <c r="BE508">
        <f>VLOOKUP($BA508,'[2]NonStandard DIS'!$Q$1:$X$542,5,FALSE)</f>
        <v>0</v>
      </c>
      <c r="BF508">
        <f>VLOOKUP($BA508,'[2]NonStandard DIS'!$Q$1:$X$542,6,FALSE)</f>
        <v>0</v>
      </c>
      <c r="BG508">
        <f>VLOOKUP($BA508,'[2]NonStandard DIS'!$Q$1:$X$542,7,FALSE)</f>
        <v>0.5</v>
      </c>
      <c r="BH508">
        <f>VLOOKUP($BA508,'[2]NonStandard DIS'!$Q$1:$X$542,8,FALSE)</f>
        <v>0.5</v>
      </c>
      <c r="BI508" s="77">
        <f t="shared" si="1146"/>
        <v>1</v>
      </c>
      <c r="BJ508" s="77">
        <f t="shared" si="1147"/>
        <v>5.4299999999999994E-2</v>
      </c>
      <c r="BK508" s="77">
        <f t="shared" si="1128"/>
        <v>4.4161425104838337E-3</v>
      </c>
      <c r="BL508" s="79">
        <v>1</v>
      </c>
      <c r="BM508" s="77">
        <f t="shared" si="1159"/>
        <v>6.9999999999999993E-3</v>
      </c>
      <c r="BN508" s="77">
        <f t="shared" si="1160"/>
        <v>5.8147013295517525E-4</v>
      </c>
      <c r="BO508" s="77">
        <f t="shared" si="1161"/>
        <v>2.5000000000000001E-3</v>
      </c>
      <c r="BP508" s="77">
        <f t="shared" si="1162"/>
        <v>2.0809499864316017E-4</v>
      </c>
    </row>
    <row r="509" spans="1:68">
      <c r="A509" t="s">
        <v>175</v>
      </c>
      <c r="B509" t="s">
        <v>176</v>
      </c>
      <c r="C509" s="197" t="str">
        <f t="shared" si="1197"/>
        <v>Lifecycle_Balanced_36</v>
      </c>
      <c r="D509">
        <v>36</v>
      </c>
      <c r="E509">
        <f>VLOOKUP($D509,'[2]LC Balanced'!$Q$2:$U$542,2,FALSE)</f>
        <v>0.56000000000000005</v>
      </c>
      <c r="F509">
        <f>VLOOKUP($D509,'[2]LC Balanced'!$Q$2:$U$542,3,FALSE)</f>
        <v>0.153</v>
      </c>
      <c r="G509">
        <f>VLOOKUP($D509,'[2]LC Balanced'!$Q$2:$U$542,4,FALSE)</f>
        <v>0.28699999999999998</v>
      </c>
      <c r="H509">
        <f>VLOOKUP($D509,'[2]LC Balanced'!$Q$2:$U$542,5,FALSE)</f>
        <v>0</v>
      </c>
      <c r="I509" s="77">
        <f t="shared" si="1141"/>
        <v>1</v>
      </c>
      <c r="J509" s="77">
        <f t="shared" si="1142"/>
        <v>4.9526899999999999E-2</v>
      </c>
      <c r="K509" s="77">
        <f t="shared" si="1132"/>
        <v>4.0364154030898547E-3</v>
      </c>
      <c r="L509" s="76">
        <v>0</v>
      </c>
      <c r="M509" s="77">
        <f t="shared" si="1148"/>
        <v>0</v>
      </c>
      <c r="N509" s="77">
        <f t="shared" si="1149"/>
        <v>0</v>
      </c>
      <c r="O509" s="77">
        <f t="shared" si="1150"/>
        <v>4.3131000000000003E-3</v>
      </c>
      <c r="P509" s="77">
        <f t="shared" si="1151"/>
        <v>3.6013748891317032E-4</v>
      </c>
      <c r="R509" t="s">
        <v>177</v>
      </c>
      <c r="S509" t="s">
        <v>176</v>
      </c>
      <c r="T509" s="197" t="str">
        <f t="shared" si="1240"/>
        <v>Autopilot_Balanced_36</v>
      </c>
      <c r="U509">
        <v>36</v>
      </c>
      <c r="V509">
        <f>VLOOKUP($U509,'[2]AP Balanced'!$Q$1:$T$542,2,FALSE)</f>
        <v>0</v>
      </c>
      <c r="W509">
        <f>VLOOKUP($U509,'[2]AP Balanced'!$Q$1:$T$542,3,FALSE)</f>
        <v>0.84394259999999999</v>
      </c>
      <c r="X509">
        <f>VLOOKUP($U509,'[2]AP Balanced'!$Q$1:$T$542,4,FALSE)</f>
        <v>0.15605740000000001</v>
      </c>
      <c r="Y509" s="77">
        <f t="shared" si="1198"/>
        <v>1</v>
      </c>
      <c r="Z509" s="77">
        <f t="shared" si="1187"/>
        <v>4.9968892009999995E-2</v>
      </c>
      <c r="AA509" s="77">
        <f t="shared" si="1188"/>
        <v>4.0716448033353281E-3</v>
      </c>
      <c r="AB509" s="79">
        <v>1</v>
      </c>
      <c r="AC509" s="77">
        <f t="shared" si="1152"/>
        <v>5.4856268999999994E-3</v>
      </c>
      <c r="AD509" s="77">
        <f t="shared" si="1143"/>
        <v>4.5828897045641082E-4</v>
      </c>
      <c r="AE509" s="77">
        <f t="shared" si="1153"/>
        <v>2.4843942599999998E-3</v>
      </c>
      <c r="AF509" s="77">
        <f t="shared" si="1143"/>
        <v>2.0726897418155144E-4</v>
      </c>
      <c r="AH509" t="s">
        <v>175</v>
      </c>
      <c r="AI509" t="s">
        <v>176</v>
      </c>
      <c r="AJ509" s="197" t="str">
        <f t="shared" si="1199"/>
        <v>Lifecycle_Balanced_36</v>
      </c>
      <c r="AK509">
        <v>36</v>
      </c>
      <c r="AL509">
        <f>VLOOKUP($U509,[2]Standard_Balanced!$Q$1:$T$542,2,FALSE)</f>
        <v>0</v>
      </c>
      <c r="AM509">
        <f>VLOOKUP($U509,[2]Standard_Balanced!$Q$1:$T$542,3,FALSE)</f>
        <v>0.84394259999999999</v>
      </c>
      <c r="AN509">
        <f>VLOOKUP($U509,[2]Standard_Balanced!$Q$1:$T$542,4,FALSE)</f>
        <v>0.15605740000000001</v>
      </c>
      <c r="AO509" s="77">
        <f t="shared" si="1129"/>
        <v>1</v>
      </c>
      <c r="AP509" s="77">
        <f t="shared" si="1154"/>
        <v>4.9968892009999995E-2</v>
      </c>
      <c r="AQ509" s="77">
        <f t="shared" si="1200"/>
        <v>4.0716448033353281E-3</v>
      </c>
      <c r="AR509" s="79">
        <v>0</v>
      </c>
      <c r="AS509" s="77">
        <f t="shared" si="1155"/>
        <v>0</v>
      </c>
      <c r="AT509" s="77">
        <f t="shared" ref="AT509" si="1279">1-(1-AS509)^(1/12)</f>
        <v>0</v>
      </c>
      <c r="AU509" s="77">
        <f t="shared" si="1157"/>
        <v>2.4843942599999998E-3</v>
      </c>
      <c r="AV509" s="77">
        <f t="shared" ref="AV509" si="1280">1-(1-AU509)^(1/12)</f>
        <v>2.0726897418155144E-4</v>
      </c>
      <c r="AX509" t="s">
        <v>178</v>
      </c>
      <c r="AY509" t="s">
        <v>160</v>
      </c>
      <c r="AZ509" s="197" t="str">
        <f t="shared" si="1203"/>
        <v>DIS_Non-Standard_36</v>
      </c>
      <c r="BA509">
        <v>36</v>
      </c>
      <c r="BB509">
        <f>VLOOKUP($BA509,'[2]NonStandard DIS'!$Q$1:$X$542,2,FALSE)</f>
        <v>0</v>
      </c>
      <c r="BC509">
        <f>VLOOKUP($BA509,'[2]NonStandard DIS'!$Q$1:$X$542,3,FALSE)</f>
        <v>0</v>
      </c>
      <c r="BD509">
        <f>VLOOKUP($BA509,'[2]NonStandard DIS'!$Q$1:$X$542,4,FALSE)</f>
        <v>0</v>
      </c>
      <c r="BE509">
        <f>VLOOKUP($BA509,'[2]NonStandard DIS'!$Q$1:$X$542,5,FALSE)</f>
        <v>0</v>
      </c>
      <c r="BF509">
        <f>VLOOKUP($BA509,'[2]NonStandard DIS'!$Q$1:$X$542,6,FALSE)</f>
        <v>0</v>
      </c>
      <c r="BG509">
        <f>VLOOKUP($BA509,'[2]NonStandard DIS'!$Q$1:$X$542,7,FALSE)</f>
        <v>0.375</v>
      </c>
      <c r="BH509">
        <f>VLOOKUP($BA509,'[2]NonStandard DIS'!$Q$1:$X$542,8,FALSE)</f>
        <v>0.625</v>
      </c>
      <c r="BI509" s="77">
        <f t="shared" si="1146"/>
        <v>1</v>
      </c>
      <c r="BJ509" s="77">
        <f t="shared" si="1147"/>
        <v>5.3562499999999999E-2</v>
      </c>
      <c r="BK509" s="77">
        <f t="shared" si="1128"/>
        <v>4.3575732776144349E-3</v>
      </c>
      <c r="BL509" s="79">
        <v>1</v>
      </c>
      <c r="BM509" s="77">
        <f t="shared" si="1159"/>
        <v>6.875E-3</v>
      </c>
      <c r="BN509" s="77">
        <f t="shared" si="1160"/>
        <v>5.7111927230124593E-4</v>
      </c>
      <c r="BO509" s="77">
        <f t="shared" si="1161"/>
        <v>2.5000000000000001E-3</v>
      </c>
      <c r="BP509" s="77">
        <f t="shared" si="1162"/>
        <v>2.0809499864316017E-4</v>
      </c>
    </row>
    <row r="510" spans="1:68">
      <c r="A510" t="s">
        <v>175</v>
      </c>
      <c r="B510" t="s">
        <v>176</v>
      </c>
      <c r="C510" s="197" t="str">
        <f t="shared" si="1197"/>
        <v>Lifecycle_Balanced_35</v>
      </c>
      <c r="D510">
        <v>35</v>
      </c>
      <c r="E510">
        <f>VLOOKUP($D510,'[2]LC Balanced'!$Q$2:$U$542,2,FALSE)</f>
        <v>0.56175000000000008</v>
      </c>
      <c r="F510">
        <f>VLOOKUP($D510,'[2]LC Balanced'!$Q$2:$U$542,3,FALSE)</f>
        <v>0.15208333333333332</v>
      </c>
      <c r="G510">
        <f>VLOOKUP($D510,'[2]LC Balanced'!$Q$2:$U$542,4,FALSE)</f>
        <v>0.28616666666666662</v>
      </c>
      <c r="H510">
        <f>VLOOKUP($D510,'[2]LC Balanced'!$Q$2:$U$542,5,FALSE)</f>
        <v>0</v>
      </c>
      <c r="I510" s="77">
        <f t="shared" si="1141"/>
        <v>1</v>
      </c>
      <c r="J510" s="77">
        <f t="shared" si="1142"/>
        <v>4.9504406250000001E-2</v>
      </c>
      <c r="K510" s="77">
        <f t="shared" si="1132"/>
        <v>4.0346221533587023E-3</v>
      </c>
      <c r="L510" s="76">
        <v>0</v>
      </c>
      <c r="M510" s="77">
        <f t="shared" si="1148"/>
        <v>0</v>
      </c>
      <c r="N510" s="77">
        <f t="shared" si="1149"/>
        <v>0</v>
      </c>
      <c r="O510" s="77">
        <f t="shared" si="1150"/>
        <v>4.3058916666666664E-3</v>
      </c>
      <c r="P510" s="77">
        <f t="shared" si="1151"/>
        <v>3.5953441166125533E-4</v>
      </c>
      <c r="R510" t="s">
        <v>177</v>
      </c>
      <c r="S510" t="s">
        <v>176</v>
      </c>
      <c r="T510" s="197" t="str">
        <f t="shared" si="1240"/>
        <v>Autopilot_Balanced_35</v>
      </c>
      <c r="U510">
        <v>35</v>
      </c>
      <c r="V510">
        <f>VLOOKUP($U510,'[2]AP Balanced'!$Q$1:$T$542,2,FALSE)</f>
        <v>0</v>
      </c>
      <c r="W510">
        <f>VLOOKUP($U510,'[2]AP Balanced'!$Q$1:$T$542,3,FALSE)</f>
        <v>0.84394259999999999</v>
      </c>
      <c r="X510">
        <f>VLOOKUP($U510,'[2]AP Balanced'!$Q$1:$T$542,4,FALSE)</f>
        <v>0.15605740000000001</v>
      </c>
      <c r="Y510" s="77">
        <f t="shared" si="1198"/>
        <v>1</v>
      </c>
      <c r="Z510" s="77">
        <f t="shared" si="1187"/>
        <v>4.9968892009999995E-2</v>
      </c>
      <c r="AA510" s="77">
        <f t="shared" si="1188"/>
        <v>4.0716448033353281E-3</v>
      </c>
      <c r="AB510" s="79">
        <v>1</v>
      </c>
      <c r="AC510" s="77">
        <f t="shared" si="1152"/>
        <v>5.4856268999999994E-3</v>
      </c>
      <c r="AD510" s="77">
        <f t="shared" si="1143"/>
        <v>4.5828897045641082E-4</v>
      </c>
      <c r="AE510" s="77">
        <f t="shared" si="1153"/>
        <v>2.4843942599999998E-3</v>
      </c>
      <c r="AF510" s="77">
        <f t="shared" si="1143"/>
        <v>2.0726897418155144E-4</v>
      </c>
      <c r="AH510" t="s">
        <v>175</v>
      </c>
      <c r="AI510" t="s">
        <v>176</v>
      </c>
      <c r="AJ510" s="197" t="str">
        <f t="shared" si="1199"/>
        <v>Lifecycle_Balanced_35</v>
      </c>
      <c r="AK510">
        <v>35</v>
      </c>
      <c r="AL510">
        <f>VLOOKUP($U510,[2]Standard_Balanced!$Q$1:$T$542,2,FALSE)</f>
        <v>0</v>
      </c>
      <c r="AM510">
        <f>VLOOKUP($U510,[2]Standard_Balanced!$Q$1:$T$542,3,FALSE)</f>
        <v>0.84134922499999998</v>
      </c>
      <c r="AN510">
        <f>VLOOKUP($U510,[2]Standard_Balanced!$Q$1:$T$542,4,FALSE)</f>
        <v>0.15865077499999999</v>
      </c>
      <c r="AO510" s="77">
        <f t="shared" si="1129"/>
        <v>1</v>
      </c>
      <c r="AP510" s="77">
        <f t="shared" si="1154"/>
        <v>4.9945940641249992E-2</v>
      </c>
      <c r="AQ510" s="77">
        <f t="shared" si="1200"/>
        <v>4.0698157769685217E-3</v>
      </c>
      <c r="AR510" s="79">
        <v>0</v>
      </c>
      <c r="AS510" s="77">
        <f t="shared" si="1155"/>
        <v>0</v>
      </c>
      <c r="AT510" s="77">
        <f t="shared" ref="AT510" si="1281">1-(1-AS510)^(1/12)</f>
        <v>0</v>
      </c>
      <c r="AU510" s="77">
        <f t="shared" si="1157"/>
        <v>2.4841349224999998E-3</v>
      </c>
      <c r="AV510" s="77">
        <f t="shared" ref="AV510" si="1282">1-(1-AU510)^(1/12)</f>
        <v>2.0724731339127889E-4</v>
      </c>
      <c r="AX510" t="s">
        <v>178</v>
      </c>
      <c r="AY510" t="s">
        <v>160</v>
      </c>
      <c r="AZ510" s="197" t="str">
        <f t="shared" si="1203"/>
        <v>DIS_Non-Standard_35</v>
      </c>
      <c r="BA510">
        <v>35</v>
      </c>
      <c r="BB510">
        <f>VLOOKUP($BA510,'[2]NonStandard DIS'!$Q$1:$X$542,2,FALSE)</f>
        <v>0</v>
      </c>
      <c r="BC510">
        <f>VLOOKUP($BA510,'[2]NonStandard DIS'!$Q$1:$X$542,3,FALSE)</f>
        <v>0</v>
      </c>
      <c r="BD510">
        <f>VLOOKUP($BA510,'[2]NonStandard DIS'!$Q$1:$X$542,4,FALSE)</f>
        <v>0</v>
      </c>
      <c r="BE510">
        <f>VLOOKUP($BA510,'[2]NonStandard DIS'!$Q$1:$X$542,5,FALSE)</f>
        <v>0</v>
      </c>
      <c r="BF510">
        <f>VLOOKUP($BA510,'[2]NonStandard DIS'!$Q$1:$X$542,6,FALSE)</f>
        <v>0</v>
      </c>
      <c r="BG510">
        <f>VLOOKUP($BA510,'[2]NonStandard DIS'!$Q$1:$X$542,7,FALSE)</f>
        <v>0.375</v>
      </c>
      <c r="BH510">
        <f>VLOOKUP($BA510,'[2]NonStandard DIS'!$Q$1:$X$542,8,FALSE)</f>
        <v>0.625</v>
      </c>
      <c r="BI510" s="77">
        <f t="shared" si="1146"/>
        <v>1</v>
      </c>
      <c r="BJ510" s="77">
        <f t="shared" si="1147"/>
        <v>5.3562499999999999E-2</v>
      </c>
      <c r="BK510" s="77">
        <f t="shared" si="1128"/>
        <v>4.3575732776144349E-3</v>
      </c>
      <c r="BL510" s="79">
        <v>1</v>
      </c>
      <c r="BM510" s="77">
        <f t="shared" si="1159"/>
        <v>6.875E-3</v>
      </c>
      <c r="BN510" s="77">
        <f t="shared" si="1160"/>
        <v>5.7111927230124593E-4</v>
      </c>
      <c r="BO510" s="77">
        <f t="shared" si="1161"/>
        <v>2.5000000000000001E-3</v>
      </c>
      <c r="BP510" s="77">
        <f t="shared" si="1162"/>
        <v>2.0809499864316017E-4</v>
      </c>
    </row>
    <row r="511" spans="1:68">
      <c r="A511" t="s">
        <v>175</v>
      </c>
      <c r="B511" t="s">
        <v>176</v>
      </c>
      <c r="C511" s="197" t="str">
        <f t="shared" si="1197"/>
        <v>Lifecycle_Balanced_34</v>
      </c>
      <c r="D511">
        <v>34</v>
      </c>
      <c r="E511">
        <f>VLOOKUP($D511,'[2]LC Balanced'!$Q$2:$U$542,2,FALSE)</f>
        <v>0.5635</v>
      </c>
      <c r="F511">
        <f>VLOOKUP($D511,'[2]LC Balanced'!$Q$2:$U$542,3,FALSE)</f>
        <v>0.15116666666666667</v>
      </c>
      <c r="G511">
        <f>VLOOKUP($D511,'[2]LC Balanced'!$Q$2:$U$542,4,FALSE)</f>
        <v>0.28533333333333333</v>
      </c>
      <c r="H511">
        <f>VLOOKUP($D511,'[2]LC Balanced'!$Q$2:$U$542,5,FALSE)</f>
        <v>0</v>
      </c>
      <c r="I511" s="77">
        <f t="shared" si="1141"/>
        <v>1</v>
      </c>
      <c r="J511" s="77">
        <f t="shared" si="1142"/>
        <v>4.9481912500000003E-2</v>
      </c>
      <c r="K511" s="77">
        <f t="shared" si="1132"/>
        <v>4.0328288683961766E-3</v>
      </c>
      <c r="L511" s="76">
        <v>0</v>
      </c>
      <c r="M511" s="77">
        <f t="shared" si="1148"/>
        <v>0</v>
      </c>
      <c r="N511" s="77">
        <f t="shared" si="1149"/>
        <v>0</v>
      </c>
      <c r="O511" s="77">
        <f t="shared" si="1150"/>
        <v>4.2986833333333333E-3</v>
      </c>
      <c r="P511" s="77">
        <f t="shared" si="1151"/>
        <v>3.5893133841147229E-4</v>
      </c>
      <c r="R511" t="s">
        <v>177</v>
      </c>
      <c r="S511" t="s">
        <v>176</v>
      </c>
      <c r="T511" s="197" t="str">
        <f t="shared" si="1240"/>
        <v>Autopilot_Balanced_34</v>
      </c>
      <c r="U511">
        <v>34</v>
      </c>
      <c r="V511">
        <f>VLOOKUP($U511,'[2]AP Balanced'!$Q$1:$T$542,2,FALSE)</f>
        <v>0</v>
      </c>
      <c r="W511">
        <f>VLOOKUP($U511,'[2]AP Balanced'!$Q$1:$T$542,3,FALSE)</f>
        <v>0.84394259999999999</v>
      </c>
      <c r="X511">
        <f>VLOOKUP($U511,'[2]AP Balanced'!$Q$1:$T$542,4,FALSE)</f>
        <v>0.15605740000000001</v>
      </c>
      <c r="Y511" s="77">
        <f t="shared" si="1198"/>
        <v>1</v>
      </c>
      <c r="Z511" s="77">
        <f t="shared" si="1187"/>
        <v>4.9968892009999995E-2</v>
      </c>
      <c r="AA511" s="77">
        <f t="shared" si="1188"/>
        <v>4.0716448033353281E-3</v>
      </c>
      <c r="AB511" s="79">
        <v>1</v>
      </c>
      <c r="AC511" s="77">
        <f t="shared" si="1152"/>
        <v>5.4856268999999994E-3</v>
      </c>
      <c r="AD511" s="77">
        <f t="shared" si="1143"/>
        <v>4.5828897045641082E-4</v>
      </c>
      <c r="AE511" s="77">
        <f t="shared" si="1153"/>
        <v>2.4843942599999998E-3</v>
      </c>
      <c r="AF511" s="77">
        <f t="shared" si="1143"/>
        <v>2.0726897418155144E-4</v>
      </c>
      <c r="AH511" t="s">
        <v>175</v>
      </c>
      <c r="AI511" t="s">
        <v>176</v>
      </c>
      <c r="AJ511" s="197" t="str">
        <f t="shared" si="1199"/>
        <v>Lifecycle_Balanced_34</v>
      </c>
      <c r="AK511">
        <v>34</v>
      </c>
      <c r="AL511">
        <f>VLOOKUP($U511,[2]Standard_Balanced!$Q$1:$T$542,2,FALSE)</f>
        <v>0</v>
      </c>
      <c r="AM511">
        <f>VLOOKUP($U511,[2]Standard_Balanced!$Q$1:$T$542,3,FALSE)</f>
        <v>0.83875584999999997</v>
      </c>
      <c r="AN511">
        <f>VLOOKUP($U511,[2]Standard_Balanced!$Q$1:$T$542,4,FALSE)</f>
        <v>0.16124415</v>
      </c>
      <c r="AO511" s="77">
        <f t="shared" si="1129"/>
        <v>1</v>
      </c>
      <c r="AP511" s="77">
        <f t="shared" si="1154"/>
        <v>4.9922989272499996E-2</v>
      </c>
      <c r="AQ511" s="77">
        <f t="shared" si="1200"/>
        <v>4.0679867139512549E-3</v>
      </c>
      <c r="AR511" s="79">
        <v>0</v>
      </c>
      <c r="AS511" s="77">
        <f t="shared" si="1155"/>
        <v>0</v>
      </c>
      <c r="AT511" s="77">
        <f t="shared" ref="AT511" si="1283">1-(1-AS511)^(1/12)</f>
        <v>0</v>
      </c>
      <c r="AU511" s="77">
        <f t="shared" si="1157"/>
        <v>2.4838755849999998E-3</v>
      </c>
      <c r="AV511" s="77">
        <f t="shared" ref="AV511" si="1284">1-(1-AU511)^(1/12)</f>
        <v>2.0722565260611336E-4</v>
      </c>
      <c r="AX511" t="s">
        <v>178</v>
      </c>
      <c r="AY511" t="s">
        <v>160</v>
      </c>
      <c r="AZ511" s="197" t="str">
        <f t="shared" si="1203"/>
        <v>DIS_Non-Standard_34</v>
      </c>
      <c r="BA511">
        <v>34</v>
      </c>
      <c r="BB511">
        <f>VLOOKUP($BA511,'[2]NonStandard DIS'!$Q$1:$X$542,2,FALSE)</f>
        <v>0</v>
      </c>
      <c r="BC511">
        <f>VLOOKUP($BA511,'[2]NonStandard DIS'!$Q$1:$X$542,3,FALSE)</f>
        <v>0</v>
      </c>
      <c r="BD511">
        <f>VLOOKUP($BA511,'[2]NonStandard DIS'!$Q$1:$X$542,4,FALSE)</f>
        <v>0</v>
      </c>
      <c r="BE511">
        <f>VLOOKUP($BA511,'[2]NonStandard DIS'!$Q$1:$X$542,5,FALSE)</f>
        <v>0</v>
      </c>
      <c r="BF511">
        <f>VLOOKUP($BA511,'[2]NonStandard DIS'!$Q$1:$X$542,6,FALSE)</f>
        <v>0</v>
      </c>
      <c r="BG511">
        <f>VLOOKUP($BA511,'[2]NonStandard DIS'!$Q$1:$X$542,7,FALSE)</f>
        <v>0.375</v>
      </c>
      <c r="BH511">
        <f>VLOOKUP($BA511,'[2]NonStandard DIS'!$Q$1:$X$542,8,FALSE)</f>
        <v>0.625</v>
      </c>
      <c r="BI511" s="77">
        <f t="shared" si="1146"/>
        <v>1</v>
      </c>
      <c r="BJ511" s="77">
        <f t="shared" si="1147"/>
        <v>5.3562499999999999E-2</v>
      </c>
      <c r="BK511" s="77">
        <f t="shared" ref="BK511:BK544" si="1285">(1+BJ511)^(1/12)-1</f>
        <v>4.3575732776144349E-3</v>
      </c>
      <c r="BL511" s="79">
        <v>1</v>
      </c>
      <c r="BM511" s="77">
        <f t="shared" si="1159"/>
        <v>6.875E-3</v>
      </c>
      <c r="BN511" s="77">
        <f t="shared" si="1160"/>
        <v>5.7111927230124593E-4</v>
      </c>
      <c r="BO511" s="77">
        <f t="shared" si="1161"/>
        <v>2.5000000000000001E-3</v>
      </c>
      <c r="BP511" s="77">
        <f t="shared" si="1162"/>
        <v>2.0809499864316017E-4</v>
      </c>
    </row>
    <row r="512" spans="1:68">
      <c r="A512" t="s">
        <v>175</v>
      </c>
      <c r="B512" t="s">
        <v>176</v>
      </c>
      <c r="C512" s="197" t="str">
        <f t="shared" si="1197"/>
        <v>Lifecycle_Balanced_33</v>
      </c>
      <c r="D512">
        <v>33</v>
      </c>
      <c r="E512">
        <f>VLOOKUP($D512,'[2]LC Balanced'!$Q$2:$U$542,2,FALSE)</f>
        <v>0.56525000000000003</v>
      </c>
      <c r="F512">
        <f>VLOOKUP($D512,'[2]LC Balanced'!$Q$2:$U$542,3,FALSE)</f>
        <v>0.15024999999999999</v>
      </c>
      <c r="G512">
        <f>VLOOKUP($D512,'[2]LC Balanced'!$Q$2:$U$542,4,FALSE)</f>
        <v>0.28449999999999998</v>
      </c>
      <c r="H512">
        <f>VLOOKUP($D512,'[2]LC Balanced'!$Q$2:$U$542,5,FALSE)</f>
        <v>0</v>
      </c>
      <c r="I512" s="77">
        <f t="shared" si="1141"/>
        <v>1</v>
      </c>
      <c r="J512" s="77">
        <f t="shared" si="1142"/>
        <v>4.9459418749999998E-2</v>
      </c>
      <c r="K512" s="77">
        <f t="shared" si="1132"/>
        <v>4.0310355482002791E-3</v>
      </c>
      <c r="L512" s="76">
        <v>0</v>
      </c>
      <c r="M512" s="77">
        <f t="shared" si="1148"/>
        <v>0</v>
      </c>
      <c r="N512" s="77">
        <f t="shared" si="1149"/>
        <v>0</v>
      </c>
      <c r="O512" s="77">
        <f t="shared" si="1150"/>
        <v>4.2914749999999995E-3</v>
      </c>
      <c r="P512" s="77">
        <f t="shared" si="1151"/>
        <v>3.5832826916382121E-4</v>
      </c>
      <c r="R512" t="s">
        <v>177</v>
      </c>
      <c r="S512" t="s">
        <v>176</v>
      </c>
      <c r="T512" s="197" t="str">
        <f t="shared" si="1240"/>
        <v>Autopilot_Balanced_33</v>
      </c>
      <c r="U512">
        <v>33</v>
      </c>
      <c r="V512">
        <f>VLOOKUP($U512,'[2]AP Balanced'!$Q$1:$T$542,2,FALSE)</f>
        <v>0</v>
      </c>
      <c r="W512">
        <f>VLOOKUP($U512,'[2]AP Balanced'!$Q$1:$T$542,3,FALSE)</f>
        <v>0.84394259999999999</v>
      </c>
      <c r="X512">
        <f>VLOOKUP($U512,'[2]AP Balanced'!$Q$1:$T$542,4,FALSE)</f>
        <v>0.15605740000000001</v>
      </c>
      <c r="Y512" s="77">
        <f t="shared" si="1198"/>
        <v>1</v>
      </c>
      <c r="Z512" s="77">
        <f t="shared" si="1187"/>
        <v>4.9968892009999995E-2</v>
      </c>
      <c r="AA512" s="77">
        <f t="shared" si="1188"/>
        <v>4.0716448033353281E-3</v>
      </c>
      <c r="AB512" s="79">
        <v>1</v>
      </c>
      <c r="AC512" s="77">
        <f t="shared" si="1152"/>
        <v>5.4856268999999994E-3</v>
      </c>
      <c r="AD512" s="77">
        <f t="shared" si="1143"/>
        <v>4.5828897045641082E-4</v>
      </c>
      <c r="AE512" s="77">
        <f t="shared" si="1153"/>
        <v>2.4843942599999998E-3</v>
      </c>
      <c r="AF512" s="77">
        <f t="shared" si="1143"/>
        <v>2.0726897418155144E-4</v>
      </c>
      <c r="AH512" t="s">
        <v>175</v>
      </c>
      <c r="AI512" t="s">
        <v>176</v>
      </c>
      <c r="AJ512" s="197" t="str">
        <f t="shared" si="1199"/>
        <v>Lifecycle_Balanced_33</v>
      </c>
      <c r="AK512">
        <v>33</v>
      </c>
      <c r="AL512">
        <f>VLOOKUP($U512,[2]Standard_Balanced!$Q$1:$T$542,2,FALSE)</f>
        <v>0</v>
      </c>
      <c r="AM512">
        <f>VLOOKUP($U512,[2]Standard_Balanced!$Q$1:$T$542,3,FALSE)</f>
        <v>0.83616247500000007</v>
      </c>
      <c r="AN512">
        <f>VLOOKUP($U512,[2]Standard_Balanced!$Q$1:$T$542,4,FALSE)</f>
        <v>0.16383752499999998</v>
      </c>
      <c r="AO512" s="77">
        <f t="shared" ref="AO512:AO545" si="1286">SUM(AL512:AN512)</f>
        <v>1</v>
      </c>
      <c r="AP512" s="77">
        <f t="shared" si="1154"/>
        <v>4.990003790375E-2</v>
      </c>
      <c r="AQ512" s="77">
        <f t="shared" si="1200"/>
        <v>4.0661576142821954E-3</v>
      </c>
      <c r="AR512" s="79">
        <v>0</v>
      </c>
      <c r="AS512" s="77">
        <f t="shared" si="1155"/>
        <v>0</v>
      </c>
      <c r="AT512" s="77">
        <f t="shared" ref="AT512" si="1287">1-(1-AS512)^(1/12)</f>
        <v>0</v>
      </c>
      <c r="AU512" s="77">
        <f t="shared" si="1157"/>
        <v>2.4836162475000002E-3</v>
      </c>
      <c r="AV512" s="77">
        <f t="shared" ref="AV512" si="1288">1-(1-AU512)^(1/12)</f>
        <v>2.0720399182605487E-4</v>
      </c>
      <c r="AX512" t="s">
        <v>178</v>
      </c>
      <c r="AY512" t="s">
        <v>160</v>
      </c>
      <c r="AZ512" s="197" t="str">
        <f t="shared" si="1203"/>
        <v>DIS_Non-Standard_33</v>
      </c>
      <c r="BA512">
        <v>33</v>
      </c>
      <c r="BB512">
        <f>VLOOKUP($BA512,'[2]NonStandard DIS'!$Q$1:$X$542,2,FALSE)</f>
        <v>0</v>
      </c>
      <c r="BC512">
        <f>VLOOKUP($BA512,'[2]NonStandard DIS'!$Q$1:$X$542,3,FALSE)</f>
        <v>0</v>
      </c>
      <c r="BD512">
        <f>VLOOKUP($BA512,'[2]NonStandard DIS'!$Q$1:$X$542,4,FALSE)</f>
        <v>0</v>
      </c>
      <c r="BE512">
        <f>VLOOKUP($BA512,'[2]NonStandard DIS'!$Q$1:$X$542,5,FALSE)</f>
        <v>0</v>
      </c>
      <c r="BF512">
        <f>VLOOKUP($BA512,'[2]NonStandard DIS'!$Q$1:$X$542,6,FALSE)</f>
        <v>0</v>
      </c>
      <c r="BG512">
        <f>VLOOKUP($BA512,'[2]NonStandard DIS'!$Q$1:$X$542,7,FALSE)</f>
        <v>0.375</v>
      </c>
      <c r="BH512">
        <f>VLOOKUP($BA512,'[2]NonStandard DIS'!$Q$1:$X$542,8,FALSE)</f>
        <v>0.625</v>
      </c>
      <c r="BI512" s="77">
        <f t="shared" si="1146"/>
        <v>1</v>
      </c>
      <c r="BJ512" s="77">
        <f t="shared" si="1147"/>
        <v>5.3562499999999999E-2</v>
      </c>
      <c r="BK512" s="77">
        <f t="shared" si="1285"/>
        <v>4.3575732776144349E-3</v>
      </c>
      <c r="BL512" s="79">
        <v>1</v>
      </c>
      <c r="BM512" s="77">
        <f t="shared" si="1159"/>
        <v>6.875E-3</v>
      </c>
      <c r="BN512" s="77">
        <f t="shared" si="1160"/>
        <v>5.7111927230124593E-4</v>
      </c>
      <c r="BO512" s="77">
        <f t="shared" si="1161"/>
        <v>2.5000000000000001E-3</v>
      </c>
      <c r="BP512" s="77">
        <f t="shared" si="1162"/>
        <v>2.0809499864316017E-4</v>
      </c>
    </row>
    <row r="513" spans="1:68">
      <c r="A513" t="s">
        <v>175</v>
      </c>
      <c r="B513" t="s">
        <v>176</v>
      </c>
      <c r="C513" s="197" t="str">
        <f t="shared" si="1197"/>
        <v>Lifecycle_Balanced_32</v>
      </c>
      <c r="D513">
        <v>32</v>
      </c>
      <c r="E513">
        <f>VLOOKUP($D513,'[2]LC Balanced'!$Q$2:$U$542,2,FALSE)</f>
        <v>0.56700000000000006</v>
      </c>
      <c r="F513">
        <f>VLOOKUP($D513,'[2]LC Balanced'!$Q$2:$U$542,3,FALSE)</f>
        <v>0.14933333333333332</v>
      </c>
      <c r="G513">
        <f>VLOOKUP($D513,'[2]LC Balanced'!$Q$2:$U$542,4,FALSE)</f>
        <v>0.28366666666666668</v>
      </c>
      <c r="H513">
        <f>VLOOKUP($D513,'[2]LC Balanced'!$Q$2:$U$542,5,FALSE)</f>
        <v>0</v>
      </c>
      <c r="I513" s="77">
        <f t="shared" si="1141"/>
        <v>1</v>
      </c>
      <c r="J513" s="77">
        <f t="shared" si="1142"/>
        <v>4.9436925000000007E-2</v>
      </c>
      <c r="K513" s="77">
        <f t="shared" ref="K513:K544" si="1289">(1+J513)^(1/12)-1</f>
        <v>4.0292421927696775E-3</v>
      </c>
      <c r="L513" s="76">
        <v>0</v>
      </c>
      <c r="M513" s="77">
        <f t="shared" si="1148"/>
        <v>0</v>
      </c>
      <c r="N513" s="77">
        <f t="shared" si="1149"/>
        <v>0</v>
      </c>
      <c r="O513" s="77">
        <f t="shared" si="1150"/>
        <v>4.2842666666666664E-3</v>
      </c>
      <c r="P513" s="77">
        <f t="shared" si="1151"/>
        <v>3.5772520391819107E-4</v>
      </c>
      <c r="R513" t="s">
        <v>177</v>
      </c>
      <c r="S513" t="s">
        <v>176</v>
      </c>
      <c r="T513" s="197" t="str">
        <f t="shared" si="1240"/>
        <v>Autopilot_Balanced_32</v>
      </c>
      <c r="U513">
        <v>32</v>
      </c>
      <c r="V513">
        <f>VLOOKUP($U513,'[2]AP Balanced'!$Q$1:$T$542,2,FALSE)</f>
        <v>0</v>
      </c>
      <c r="W513">
        <f>VLOOKUP($U513,'[2]AP Balanced'!$Q$1:$T$542,3,FALSE)</f>
        <v>0.84394259999999999</v>
      </c>
      <c r="X513">
        <f>VLOOKUP($U513,'[2]AP Balanced'!$Q$1:$T$542,4,FALSE)</f>
        <v>0.15605740000000001</v>
      </c>
      <c r="Y513" s="77">
        <f t="shared" si="1198"/>
        <v>1</v>
      </c>
      <c r="Z513" s="77">
        <f t="shared" si="1187"/>
        <v>4.9968892009999995E-2</v>
      </c>
      <c r="AA513" s="77">
        <f t="shared" si="1188"/>
        <v>4.0716448033353281E-3</v>
      </c>
      <c r="AB513" s="79">
        <v>1</v>
      </c>
      <c r="AC513" s="77">
        <f t="shared" si="1152"/>
        <v>5.4856268999999994E-3</v>
      </c>
      <c r="AD513" s="77">
        <f t="shared" si="1143"/>
        <v>4.5828897045641082E-4</v>
      </c>
      <c r="AE513" s="77">
        <f t="shared" si="1153"/>
        <v>2.4843942599999998E-3</v>
      </c>
      <c r="AF513" s="77">
        <f t="shared" si="1143"/>
        <v>2.0726897418155144E-4</v>
      </c>
      <c r="AH513" t="s">
        <v>175</v>
      </c>
      <c r="AI513" t="s">
        <v>176</v>
      </c>
      <c r="AJ513" s="197" t="str">
        <f t="shared" si="1199"/>
        <v>Lifecycle_Balanced_32</v>
      </c>
      <c r="AK513">
        <v>32</v>
      </c>
      <c r="AL513">
        <f>VLOOKUP($U513,[2]Standard_Balanced!$Q$1:$T$542,2,FALSE)</f>
        <v>0</v>
      </c>
      <c r="AM513">
        <f>VLOOKUP($U513,[2]Standard_Balanced!$Q$1:$T$542,3,FALSE)</f>
        <v>0.83356910000000006</v>
      </c>
      <c r="AN513">
        <f>VLOOKUP($U513,[2]Standard_Balanced!$Q$1:$T$542,4,FALSE)</f>
        <v>0.16643089999999996</v>
      </c>
      <c r="AO513" s="77">
        <f t="shared" si="1286"/>
        <v>1</v>
      </c>
      <c r="AP513" s="77">
        <f t="shared" si="1154"/>
        <v>4.9877086534999997E-2</v>
      </c>
      <c r="AQ513" s="77">
        <f t="shared" si="1200"/>
        <v>4.0643284779600108E-3</v>
      </c>
      <c r="AR513" s="79">
        <v>0</v>
      </c>
      <c r="AS513" s="77">
        <f t="shared" si="1155"/>
        <v>0</v>
      </c>
      <c r="AT513" s="77">
        <f t="shared" ref="AT513" si="1290">1-(1-AS513)^(1/12)</f>
        <v>0</v>
      </c>
      <c r="AU513" s="77">
        <f t="shared" si="1157"/>
        <v>2.4833569100000002E-3</v>
      </c>
      <c r="AV513" s="77">
        <f t="shared" ref="AV513" si="1291">1-(1-AU513)^(1/12)</f>
        <v>2.0718233105121442E-4</v>
      </c>
      <c r="AX513" t="s">
        <v>178</v>
      </c>
      <c r="AY513" t="s">
        <v>160</v>
      </c>
      <c r="AZ513" s="197" t="str">
        <f t="shared" si="1203"/>
        <v>DIS_Non-Standard_32</v>
      </c>
      <c r="BA513">
        <v>32</v>
      </c>
      <c r="BB513">
        <f>VLOOKUP($BA513,'[2]NonStandard DIS'!$Q$1:$X$542,2,FALSE)</f>
        <v>0</v>
      </c>
      <c r="BC513">
        <f>VLOOKUP($BA513,'[2]NonStandard DIS'!$Q$1:$X$542,3,FALSE)</f>
        <v>0</v>
      </c>
      <c r="BD513">
        <f>VLOOKUP($BA513,'[2]NonStandard DIS'!$Q$1:$X$542,4,FALSE)</f>
        <v>0</v>
      </c>
      <c r="BE513">
        <f>VLOOKUP($BA513,'[2]NonStandard DIS'!$Q$1:$X$542,5,FALSE)</f>
        <v>0</v>
      </c>
      <c r="BF513">
        <f>VLOOKUP($BA513,'[2]NonStandard DIS'!$Q$1:$X$542,6,FALSE)</f>
        <v>0</v>
      </c>
      <c r="BG513">
        <f>VLOOKUP($BA513,'[2]NonStandard DIS'!$Q$1:$X$542,7,FALSE)</f>
        <v>0.375</v>
      </c>
      <c r="BH513">
        <f>VLOOKUP($BA513,'[2]NonStandard DIS'!$Q$1:$X$542,8,FALSE)</f>
        <v>0.625</v>
      </c>
      <c r="BI513" s="77">
        <f t="shared" si="1146"/>
        <v>1</v>
      </c>
      <c r="BJ513" s="77">
        <f t="shared" si="1147"/>
        <v>5.3562499999999999E-2</v>
      </c>
      <c r="BK513" s="77">
        <f t="shared" si="1285"/>
        <v>4.3575732776144349E-3</v>
      </c>
      <c r="BL513" s="79">
        <v>1</v>
      </c>
      <c r="BM513" s="77">
        <f t="shared" si="1159"/>
        <v>6.875E-3</v>
      </c>
      <c r="BN513" s="77">
        <f t="shared" si="1160"/>
        <v>5.7111927230124593E-4</v>
      </c>
      <c r="BO513" s="77">
        <f t="shared" si="1161"/>
        <v>2.5000000000000001E-3</v>
      </c>
      <c r="BP513" s="77">
        <f t="shared" si="1162"/>
        <v>2.0809499864316017E-4</v>
      </c>
    </row>
    <row r="514" spans="1:68">
      <c r="A514" t="s">
        <v>175</v>
      </c>
      <c r="B514" t="s">
        <v>176</v>
      </c>
      <c r="C514" s="197" t="str">
        <f t="shared" si="1197"/>
        <v>Lifecycle_Balanced_31</v>
      </c>
      <c r="D514">
        <v>31</v>
      </c>
      <c r="E514">
        <f>VLOOKUP($D514,'[2]LC Balanced'!$Q$2:$U$542,2,FALSE)</f>
        <v>0.56874999999999998</v>
      </c>
      <c r="F514">
        <f>VLOOKUP($D514,'[2]LC Balanced'!$Q$2:$U$542,3,FALSE)</f>
        <v>0.14841666666666667</v>
      </c>
      <c r="G514">
        <f>VLOOKUP($D514,'[2]LC Balanced'!$Q$2:$U$542,4,FALSE)</f>
        <v>0.28283333333333333</v>
      </c>
      <c r="H514">
        <f>VLOOKUP($D514,'[2]LC Balanced'!$Q$2:$U$542,5,FALSE)</f>
        <v>0</v>
      </c>
      <c r="I514" s="77">
        <f t="shared" si="1141"/>
        <v>1</v>
      </c>
      <c r="J514" s="77">
        <f t="shared" si="1142"/>
        <v>4.9414431250000002E-2</v>
      </c>
      <c r="K514" s="77">
        <f t="shared" si="1289"/>
        <v>4.0274488021030397E-3</v>
      </c>
      <c r="L514" s="76">
        <v>0</v>
      </c>
      <c r="M514" s="77">
        <f t="shared" si="1148"/>
        <v>0</v>
      </c>
      <c r="N514" s="77">
        <f t="shared" si="1149"/>
        <v>0</v>
      </c>
      <c r="O514" s="77">
        <f t="shared" si="1150"/>
        <v>4.2770583333333334E-3</v>
      </c>
      <c r="P514" s="77">
        <f t="shared" si="1151"/>
        <v>3.5712214267447084E-4</v>
      </c>
      <c r="R514" t="s">
        <v>177</v>
      </c>
      <c r="S514" t="s">
        <v>176</v>
      </c>
      <c r="T514" s="197" t="str">
        <f t="shared" si="1240"/>
        <v>Autopilot_Balanced_31</v>
      </c>
      <c r="U514">
        <v>31</v>
      </c>
      <c r="V514">
        <f>VLOOKUP($U514,'[2]AP Balanced'!$Q$1:$T$542,2,FALSE)</f>
        <v>0</v>
      </c>
      <c r="W514">
        <f>VLOOKUP($U514,'[2]AP Balanced'!$Q$1:$T$542,3,FALSE)</f>
        <v>0.84394259999999999</v>
      </c>
      <c r="X514">
        <f>VLOOKUP($U514,'[2]AP Balanced'!$Q$1:$T$542,4,FALSE)</f>
        <v>0.15605740000000001</v>
      </c>
      <c r="Y514" s="77">
        <f t="shared" si="1198"/>
        <v>1</v>
      </c>
      <c r="Z514" s="77">
        <f t="shared" si="1187"/>
        <v>4.9968892009999995E-2</v>
      </c>
      <c r="AA514" s="77">
        <f t="shared" si="1188"/>
        <v>4.0716448033353281E-3</v>
      </c>
      <c r="AB514" s="79">
        <v>1</v>
      </c>
      <c r="AC514" s="77">
        <f t="shared" si="1152"/>
        <v>5.4856268999999994E-3</v>
      </c>
      <c r="AD514" s="77">
        <f t="shared" si="1143"/>
        <v>4.5828897045641082E-4</v>
      </c>
      <c r="AE514" s="77">
        <f t="shared" si="1153"/>
        <v>2.4843942599999998E-3</v>
      </c>
      <c r="AF514" s="77">
        <f t="shared" si="1143"/>
        <v>2.0726897418155144E-4</v>
      </c>
      <c r="AH514" t="s">
        <v>175</v>
      </c>
      <c r="AI514" t="s">
        <v>176</v>
      </c>
      <c r="AJ514" s="197" t="str">
        <f t="shared" si="1199"/>
        <v>Lifecycle_Balanced_31</v>
      </c>
      <c r="AK514">
        <v>31</v>
      </c>
      <c r="AL514">
        <f>VLOOKUP($U514,[2]Standard_Balanced!$Q$1:$T$542,2,FALSE)</f>
        <v>0</v>
      </c>
      <c r="AM514">
        <f>VLOOKUP($U514,[2]Standard_Balanced!$Q$1:$T$542,3,FALSE)</f>
        <v>0.83097572500000005</v>
      </c>
      <c r="AN514">
        <f>VLOOKUP($U514,[2]Standard_Balanced!$Q$1:$T$542,4,FALSE)</f>
        <v>0.16902427499999997</v>
      </c>
      <c r="AO514" s="77">
        <f t="shared" si="1286"/>
        <v>1</v>
      </c>
      <c r="AP514" s="77">
        <f t="shared" si="1154"/>
        <v>4.9854135166250001E-2</v>
      </c>
      <c r="AQ514" s="77">
        <f t="shared" si="1200"/>
        <v>4.062499304982703E-3</v>
      </c>
      <c r="AR514" s="79">
        <v>0</v>
      </c>
      <c r="AS514" s="77">
        <f t="shared" si="1155"/>
        <v>0</v>
      </c>
      <c r="AT514" s="77">
        <f t="shared" ref="AT514" si="1292">1-(1-AS514)^(1/12)</f>
        <v>0</v>
      </c>
      <c r="AU514" s="77">
        <f t="shared" si="1157"/>
        <v>2.4830975725000002E-3</v>
      </c>
      <c r="AV514" s="77">
        <f t="shared" ref="AV514" si="1293">1-(1-AU514)^(1/12)</f>
        <v>2.0716067028159202E-4</v>
      </c>
      <c r="AX514" t="s">
        <v>178</v>
      </c>
      <c r="AY514" t="s">
        <v>160</v>
      </c>
      <c r="AZ514" s="197" t="str">
        <f t="shared" si="1203"/>
        <v>DIS_Non-Standard_31</v>
      </c>
      <c r="BA514">
        <v>31</v>
      </c>
      <c r="BB514">
        <f>VLOOKUP($BA514,'[2]NonStandard DIS'!$Q$1:$X$542,2,FALSE)</f>
        <v>0</v>
      </c>
      <c r="BC514">
        <f>VLOOKUP($BA514,'[2]NonStandard DIS'!$Q$1:$X$542,3,FALSE)</f>
        <v>0</v>
      </c>
      <c r="BD514">
        <f>VLOOKUP($BA514,'[2]NonStandard DIS'!$Q$1:$X$542,4,FALSE)</f>
        <v>0</v>
      </c>
      <c r="BE514">
        <f>VLOOKUP($BA514,'[2]NonStandard DIS'!$Q$1:$X$542,5,FALSE)</f>
        <v>0</v>
      </c>
      <c r="BF514">
        <f>VLOOKUP($BA514,'[2]NonStandard DIS'!$Q$1:$X$542,6,FALSE)</f>
        <v>0</v>
      </c>
      <c r="BG514">
        <f>VLOOKUP($BA514,'[2]NonStandard DIS'!$Q$1:$X$542,7,FALSE)</f>
        <v>0.375</v>
      </c>
      <c r="BH514">
        <f>VLOOKUP($BA514,'[2]NonStandard DIS'!$Q$1:$X$542,8,FALSE)</f>
        <v>0.625</v>
      </c>
      <c r="BI514" s="77">
        <f t="shared" si="1146"/>
        <v>1</v>
      </c>
      <c r="BJ514" s="77">
        <f t="shared" si="1147"/>
        <v>5.3562499999999999E-2</v>
      </c>
      <c r="BK514" s="77">
        <f t="shared" si="1285"/>
        <v>4.3575732776144349E-3</v>
      </c>
      <c r="BL514" s="79">
        <v>1</v>
      </c>
      <c r="BM514" s="77">
        <f t="shared" si="1159"/>
        <v>6.875E-3</v>
      </c>
      <c r="BN514" s="77">
        <f t="shared" si="1160"/>
        <v>5.7111927230124593E-4</v>
      </c>
      <c r="BO514" s="77">
        <f t="shared" si="1161"/>
        <v>2.5000000000000001E-3</v>
      </c>
      <c r="BP514" s="77">
        <f t="shared" si="1162"/>
        <v>2.0809499864316017E-4</v>
      </c>
    </row>
    <row r="515" spans="1:68">
      <c r="A515" t="s">
        <v>175</v>
      </c>
      <c r="B515" t="s">
        <v>176</v>
      </c>
      <c r="C515" s="197" t="str">
        <f t="shared" si="1197"/>
        <v>Lifecycle_Balanced_30</v>
      </c>
      <c r="D515">
        <v>30</v>
      </c>
      <c r="E515">
        <f>VLOOKUP($D515,'[2]LC Balanced'!$Q$2:$U$542,2,FALSE)</f>
        <v>0.57050000000000001</v>
      </c>
      <c r="F515">
        <f>VLOOKUP($D515,'[2]LC Balanced'!$Q$2:$U$542,3,FALSE)</f>
        <v>0.14749999999999999</v>
      </c>
      <c r="G515">
        <f>VLOOKUP($D515,'[2]LC Balanced'!$Q$2:$U$542,4,FALSE)</f>
        <v>0.28200000000000003</v>
      </c>
      <c r="H515">
        <f>VLOOKUP($D515,'[2]LC Balanced'!$Q$2:$U$542,5,FALSE)</f>
        <v>0</v>
      </c>
      <c r="I515" s="77">
        <f t="shared" si="1141"/>
        <v>1</v>
      </c>
      <c r="J515" s="77">
        <f t="shared" si="1142"/>
        <v>4.9391937499999997E-2</v>
      </c>
      <c r="K515" s="77">
        <f t="shared" si="1289"/>
        <v>4.0256553761988112E-3</v>
      </c>
      <c r="L515" s="76">
        <v>0</v>
      </c>
      <c r="M515" s="77">
        <f t="shared" si="1148"/>
        <v>0</v>
      </c>
      <c r="N515" s="77">
        <f t="shared" si="1149"/>
        <v>0</v>
      </c>
      <c r="O515" s="77">
        <f t="shared" si="1150"/>
        <v>4.2698500000000004E-3</v>
      </c>
      <c r="P515" s="77">
        <f t="shared" si="1151"/>
        <v>3.5651908543277155E-4</v>
      </c>
      <c r="R515" t="s">
        <v>177</v>
      </c>
      <c r="S515" t="s">
        <v>176</v>
      </c>
      <c r="T515" s="197" t="str">
        <f t="shared" si="1240"/>
        <v>Autopilot_Balanced_30</v>
      </c>
      <c r="U515">
        <v>30</v>
      </c>
      <c r="V515">
        <f>VLOOKUP($U515,'[2]AP Balanced'!$Q$1:$T$542,2,FALSE)</f>
        <v>0</v>
      </c>
      <c r="W515">
        <f>VLOOKUP($U515,'[2]AP Balanced'!$Q$1:$T$542,3,FALSE)</f>
        <v>0.84394259999999999</v>
      </c>
      <c r="X515">
        <f>VLOOKUP($U515,'[2]AP Balanced'!$Q$1:$T$542,4,FALSE)</f>
        <v>0.15605740000000001</v>
      </c>
      <c r="Y515" s="77">
        <f t="shared" si="1198"/>
        <v>1</v>
      </c>
      <c r="Z515" s="77">
        <f t="shared" si="1187"/>
        <v>4.9968892009999995E-2</v>
      </c>
      <c r="AA515" s="77">
        <f t="shared" si="1188"/>
        <v>4.0716448033353281E-3</v>
      </c>
      <c r="AB515" s="79">
        <v>1</v>
      </c>
      <c r="AC515" s="77">
        <f t="shared" si="1152"/>
        <v>5.4856268999999994E-3</v>
      </c>
      <c r="AD515" s="77">
        <f t="shared" si="1143"/>
        <v>4.5828897045641082E-4</v>
      </c>
      <c r="AE515" s="77">
        <f t="shared" si="1153"/>
        <v>2.4843942599999998E-3</v>
      </c>
      <c r="AF515" s="77">
        <f t="shared" si="1143"/>
        <v>2.0726897418155144E-4</v>
      </c>
      <c r="AH515" t="s">
        <v>175</v>
      </c>
      <c r="AI515" t="s">
        <v>176</v>
      </c>
      <c r="AJ515" s="197" t="str">
        <f t="shared" si="1199"/>
        <v>Lifecycle_Balanced_30</v>
      </c>
      <c r="AK515">
        <v>30</v>
      </c>
      <c r="AL515">
        <f>VLOOKUP($U515,[2]Standard_Balanced!$Q$1:$T$542,2,FALSE)</f>
        <v>0</v>
      </c>
      <c r="AM515">
        <f>VLOOKUP($U515,[2]Standard_Balanced!$Q$1:$T$542,3,FALSE)</f>
        <v>0.82838235000000005</v>
      </c>
      <c r="AN515">
        <f>VLOOKUP($U515,[2]Standard_Balanced!$Q$1:$T$542,4,FALSE)</f>
        <v>0.17161764999999995</v>
      </c>
      <c r="AO515" s="77">
        <f t="shared" si="1286"/>
        <v>1</v>
      </c>
      <c r="AP515" s="77">
        <f t="shared" si="1154"/>
        <v>4.9831183797499998E-2</v>
      </c>
      <c r="AQ515" s="77">
        <f t="shared" si="1200"/>
        <v>4.0606700953489394E-3</v>
      </c>
      <c r="AR515" s="79">
        <v>0</v>
      </c>
      <c r="AS515" s="77">
        <f t="shared" si="1155"/>
        <v>0</v>
      </c>
      <c r="AT515" s="77">
        <f t="shared" ref="AT515" si="1294">1-(1-AS515)^(1/12)</f>
        <v>0</v>
      </c>
      <c r="AU515" s="77">
        <f t="shared" si="1157"/>
        <v>2.4828382350000002E-3</v>
      </c>
      <c r="AV515" s="77">
        <f t="shared" ref="AV515" si="1295">1-(1-AU515)^(1/12)</f>
        <v>2.0713900951707664E-4</v>
      </c>
      <c r="AX515" t="s">
        <v>178</v>
      </c>
      <c r="AY515" t="s">
        <v>160</v>
      </c>
      <c r="AZ515" s="197" t="str">
        <f t="shared" si="1203"/>
        <v>DIS_Non-Standard_30</v>
      </c>
      <c r="BA515">
        <v>30</v>
      </c>
      <c r="BB515">
        <f>VLOOKUP($BA515,'[2]NonStandard DIS'!$Q$1:$X$542,2,FALSE)</f>
        <v>0</v>
      </c>
      <c r="BC515">
        <f>VLOOKUP($BA515,'[2]NonStandard DIS'!$Q$1:$X$542,3,FALSE)</f>
        <v>0</v>
      </c>
      <c r="BD515">
        <f>VLOOKUP($BA515,'[2]NonStandard DIS'!$Q$1:$X$542,4,FALSE)</f>
        <v>0</v>
      </c>
      <c r="BE515">
        <f>VLOOKUP($BA515,'[2]NonStandard DIS'!$Q$1:$X$542,5,FALSE)</f>
        <v>0</v>
      </c>
      <c r="BF515">
        <f>VLOOKUP($BA515,'[2]NonStandard DIS'!$Q$1:$X$542,6,FALSE)</f>
        <v>0</v>
      </c>
      <c r="BG515">
        <f>VLOOKUP($BA515,'[2]NonStandard DIS'!$Q$1:$X$542,7,FALSE)</f>
        <v>0.375</v>
      </c>
      <c r="BH515">
        <f>VLOOKUP($BA515,'[2]NonStandard DIS'!$Q$1:$X$542,8,FALSE)</f>
        <v>0.625</v>
      </c>
      <c r="BI515" s="77">
        <f t="shared" si="1146"/>
        <v>1</v>
      </c>
      <c r="BJ515" s="77">
        <f t="shared" si="1147"/>
        <v>5.3562499999999999E-2</v>
      </c>
      <c r="BK515" s="77">
        <f t="shared" si="1285"/>
        <v>4.3575732776144349E-3</v>
      </c>
      <c r="BL515" s="79">
        <v>1</v>
      </c>
      <c r="BM515" s="77">
        <f t="shared" si="1159"/>
        <v>6.875E-3</v>
      </c>
      <c r="BN515" s="77">
        <f t="shared" si="1160"/>
        <v>5.7111927230124593E-4</v>
      </c>
      <c r="BO515" s="77">
        <f t="shared" si="1161"/>
        <v>2.5000000000000001E-3</v>
      </c>
      <c r="BP515" s="77">
        <f t="shared" si="1162"/>
        <v>2.0809499864316017E-4</v>
      </c>
    </row>
    <row r="516" spans="1:68">
      <c r="A516" t="s">
        <v>175</v>
      </c>
      <c r="B516" t="s">
        <v>176</v>
      </c>
      <c r="C516" s="197" t="str">
        <f t="shared" si="1197"/>
        <v>Lifecycle_Balanced_29</v>
      </c>
      <c r="D516">
        <v>29</v>
      </c>
      <c r="E516">
        <f>VLOOKUP($D516,'[2]LC Balanced'!$Q$2:$U$542,2,FALSE)</f>
        <v>0.57225000000000004</v>
      </c>
      <c r="F516">
        <f>VLOOKUP($D516,'[2]LC Balanced'!$Q$2:$U$542,3,FALSE)</f>
        <v>0.14658333333333332</v>
      </c>
      <c r="G516">
        <f>VLOOKUP($D516,'[2]LC Balanced'!$Q$2:$U$542,4,FALSE)</f>
        <v>0.28116666666666668</v>
      </c>
      <c r="H516">
        <f>VLOOKUP($D516,'[2]LC Balanced'!$Q$2:$U$542,5,FALSE)</f>
        <v>0</v>
      </c>
      <c r="I516" s="77">
        <f t="shared" si="1141"/>
        <v>1</v>
      </c>
      <c r="J516" s="77">
        <f t="shared" si="1142"/>
        <v>4.9369443749999999E-2</v>
      </c>
      <c r="K516" s="77">
        <f t="shared" si="1289"/>
        <v>4.0238619150558819E-3</v>
      </c>
      <c r="L516" s="76">
        <v>0</v>
      </c>
      <c r="M516" s="77">
        <f t="shared" si="1148"/>
        <v>0</v>
      </c>
      <c r="N516" s="77">
        <f t="shared" si="1149"/>
        <v>0</v>
      </c>
      <c r="O516" s="77">
        <f t="shared" si="1150"/>
        <v>4.2626416666666665E-3</v>
      </c>
      <c r="P516" s="77">
        <f t="shared" si="1151"/>
        <v>3.5591603219287116E-4</v>
      </c>
      <c r="R516" t="s">
        <v>177</v>
      </c>
      <c r="S516" t="s">
        <v>176</v>
      </c>
      <c r="T516" s="197" t="str">
        <f t="shared" si="1240"/>
        <v>Autopilot_Balanced_29</v>
      </c>
      <c r="U516">
        <v>29</v>
      </c>
      <c r="V516">
        <f>VLOOKUP($U516,'[2]AP Balanced'!$Q$1:$T$542,2,FALSE)</f>
        <v>0</v>
      </c>
      <c r="W516">
        <f>VLOOKUP($U516,'[2]AP Balanced'!$Q$1:$T$542,3,FALSE)</f>
        <v>0.84394259999999999</v>
      </c>
      <c r="X516">
        <f>VLOOKUP($U516,'[2]AP Balanced'!$Q$1:$T$542,4,FALSE)</f>
        <v>0.15605740000000001</v>
      </c>
      <c r="Y516" s="77">
        <f t="shared" si="1198"/>
        <v>1</v>
      </c>
      <c r="Z516" s="77">
        <f t="shared" si="1187"/>
        <v>4.9968892009999995E-2</v>
      </c>
      <c r="AA516" s="77">
        <f t="shared" si="1188"/>
        <v>4.0716448033353281E-3</v>
      </c>
      <c r="AB516" s="79">
        <v>1</v>
      </c>
      <c r="AC516" s="77">
        <f t="shared" si="1152"/>
        <v>5.4856268999999994E-3</v>
      </c>
      <c r="AD516" s="77">
        <f t="shared" si="1143"/>
        <v>4.5828897045641082E-4</v>
      </c>
      <c r="AE516" s="77">
        <f t="shared" si="1153"/>
        <v>2.4843942599999998E-3</v>
      </c>
      <c r="AF516" s="77">
        <f t="shared" si="1143"/>
        <v>2.0726897418155144E-4</v>
      </c>
      <c r="AH516" t="s">
        <v>175</v>
      </c>
      <c r="AI516" t="s">
        <v>176</v>
      </c>
      <c r="AJ516" s="197" t="str">
        <f t="shared" si="1199"/>
        <v>Lifecycle_Balanced_29</v>
      </c>
      <c r="AK516">
        <v>29</v>
      </c>
      <c r="AL516">
        <f>VLOOKUP($U516,[2]Standard_Balanced!$Q$1:$T$542,2,FALSE)</f>
        <v>0</v>
      </c>
      <c r="AM516">
        <f>VLOOKUP($U516,[2]Standard_Balanced!$Q$1:$T$542,3,FALSE)</f>
        <v>0.82578897500000004</v>
      </c>
      <c r="AN516">
        <f>VLOOKUP($U516,[2]Standard_Balanced!$Q$1:$T$542,4,FALSE)</f>
        <v>0.17421102499999994</v>
      </c>
      <c r="AO516" s="77">
        <f t="shared" si="1286"/>
        <v>1</v>
      </c>
      <c r="AP516" s="77">
        <f t="shared" si="1154"/>
        <v>4.9808232428749988E-2</v>
      </c>
      <c r="AQ516" s="77">
        <f t="shared" si="1200"/>
        <v>4.058840849057388E-3</v>
      </c>
      <c r="AR516" s="79">
        <v>0</v>
      </c>
      <c r="AS516" s="77">
        <f t="shared" si="1155"/>
        <v>0</v>
      </c>
      <c r="AT516" s="77">
        <f t="shared" ref="AT516" si="1296">1-(1-AS516)^(1/12)</f>
        <v>0</v>
      </c>
      <c r="AU516" s="77">
        <f t="shared" si="1157"/>
        <v>2.4825788974999997E-3</v>
      </c>
      <c r="AV516" s="77">
        <f t="shared" ref="AV516" si="1297">1-(1-AU516)^(1/12)</f>
        <v>2.0711734875777932E-4</v>
      </c>
      <c r="AX516" t="s">
        <v>178</v>
      </c>
      <c r="AY516" t="s">
        <v>160</v>
      </c>
      <c r="AZ516" s="197" t="str">
        <f t="shared" si="1203"/>
        <v>DIS_Non-Standard_29</v>
      </c>
      <c r="BA516">
        <v>29</v>
      </c>
      <c r="BB516">
        <f>VLOOKUP($BA516,'[2]NonStandard DIS'!$Q$1:$X$542,2,FALSE)</f>
        <v>0</v>
      </c>
      <c r="BC516">
        <f>VLOOKUP($BA516,'[2]NonStandard DIS'!$Q$1:$X$542,3,FALSE)</f>
        <v>0</v>
      </c>
      <c r="BD516">
        <f>VLOOKUP($BA516,'[2]NonStandard DIS'!$Q$1:$X$542,4,FALSE)</f>
        <v>0</v>
      </c>
      <c r="BE516">
        <f>VLOOKUP($BA516,'[2]NonStandard DIS'!$Q$1:$X$542,5,FALSE)</f>
        <v>0</v>
      </c>
      <c r="BF516">
        <f>VLOOKUP($BA516,'[2]NonStandard DIS'!$Q$1:$X$542,6,FALSE)</f>
        <v>0</v>
      </c>
      <c r="BG516">
        <f>VLOOKUP($BA516,'[2]NonStandard DIS'!$Q$1:$X$542,7,FALSE)</f>
        <v>0.375</v>
      </c>
      <c r="BH516">
        <f>VLOOKUP($BA516,'[2]NonStandard DIS'!$Q$1:$X$542,8,FALSE)</f>
        <v>0.625</v>
      </c>
      <c r="BI516" s="77">
        <f t="shared" si="1146"/>
        <v>1</v>
      </c>
      <c r="BJ516" s="77">
        <f t="shared" si="1147"/>
        <v>5.3562499999999999E-2</v>
      </c>
      <c r="BK516" s="77">
        <f t="shared" si="1285"/>
        <v>4.3575732776144349E-3</v>
      </c>
      <c r="BL516" s="79">
        <v>1</v>
      </c>
      <c r="BM516" s="77">
        <f t="shared" si="1159"/>
        <v>6.875E-3</v>
      </c>
      <c r="BN516" s="77">
        <f t="shared" si="1160"/>
        <v>5.7111927230124593E-4</v>
      </c>
      <c r="BO516" s="77">
        <f t="shared" si="1161"/>
        <v>2.5000000000000001E-3</v>
      </c>
      <c r="BP516" s="77">
        <f t="shared" si="1162"/>
        <v>2.0809499864316017E-4</v>
      </c>
    </row>
    <row r="517" spans="1:68">
      <c r="A517" t="s">
        <v>175</v>
      </c>
      <c r="B517" t="s">
        <v>176</v>
      </c>
      <c r="C517" s="197" t="str">
        <f t="shared" si="1197"/>
        <v>Lifecycle_Balanced_28</v>
      </c>
      <c r="D517">
        <v>28</v>
      </c>
      <c r="E517">
        <f>VLOOKUP($D517,'[2]LC Balanced'!$Q$2:$U$542,2,FALSE)</f>
        <v>0.57399999999999995</v>
      </c>
      <c r="F517">
        <f>VLOOKUP($D517,'[2]LC Balanced'!$Q$2:$U$542,3,FALSE)</f>
        <v>0.14566666666666667</v>
      </c>
      <c r="G517">
        <f>VLOOKUP($D517,'[2]LC Balanced'!$Q$2:$U$542,4,FALSE)</f>
        <v>0.28033333333333332</v>
      </c>
      <c r="H517">
        <f>VLOOKUP($D517,'[2]LC Balanced'!$Q$2:$U$542,5,FALSE)</f>
        <v>0</v>
      </c>
      <c r="I517" s="77">
        <f t="shared" ref="I517:I545" si="1298">SUM(E517:H517)</f>
        <v>1</v>
      </c>
      <c r="J517" s="77">
        <f t="shared" ref="J517:J545" si="1299">SUMPRODUCT($E$1:$H$1,E517:H517)</f>
        <v>4.9346950000000001E-2</v>
      </c>
      <c r="K517" s="77">
        <f t="shared" si="1289"/>
        <v>4.0220684186722533E-3</v>
      </c>
      <c r="L517" s="76">
        <v>0</v>
      </c>
      <c r="M517" s="77">
        <f t="shared" si="1148"/>
        <v>0</v>
      </c>
      <c r="N517" s="77">
        <f t="shared" si="1149"/>
        <v>0</v>
      </c>
      <c r="O517" s="77">
        <f t="shared" si="1150"/>
        <v>4.2554333333333335E-3</v>
      </c>
      <c r="P517" s="77">
        <f t="shared" si="1151"/>
        <v>3.5531298295476965E-4</v>
      </c>
      <c r="R517" t="s">
        <v>177</v>
      </c>
      <c r="S517" t="s">
        <v>176</v>
      </c>
      <c r="T517" s="197" t="str">
        <f t="shared" si="1240"/>
        <v>Autopilot_Balanced_28</v>
      </c>
      <c r="U517">
        <v>28</v>
      </c>
      <c r="V517">
        <f>VLOOKUP($U517,'[2]AP Balanced'!$Q$1:$T$542,2,FALSE)</f>
        <v>0</v>
      </c>
      <c r="W517">
        <f>VLOOKUP($U517,'[2]AP Balanced'!$Q$1:$T$542,3,FALSE)</f>
        <v>0.84394259999999999</v>
      </c>
      <c r="X517">
        <f>VLOOKUP($U517,'[2]AP Balanced'!$Q$1:$T$542,4,FALSE)</f>
        <v>0.15605740000000001</v>
      </c>
      <c r="Y517" s="77">
        <f t="shared" si="1198"/>
        <v>1</v>
      </c>
      <c r="Z517" s="77">
        <f t="shared" si="1187"/>
        <v>4.9968892009999995E-2</v>
      </c>
      <c r="AA517" s="77">
        <f t="shared" si="1188"/>
        <v>4.0716448033353281E-3</v>
      </c>
      <c r="AB517" s="79">
        <v>1</v>
      </c>
      <c r="AC517" s="77">
        <f t="shared" si="1152"/>
        <v>5.4856268999999994E-3</v>
      </c>
      <c r="AD517" s="77">
        <f t="shared" ref="AD517:AF545" si="1300">1-(1-AC517)^(1/12)</f>
        <v>4.5828897045641082E-4</v>
      </c>
      <c r="AE517" s="77">
        <f t="shared" si="1153"/>
        <v>2.4843942599999998E-3</v>
      </c>
      <c r="AF517" s="77">
        <f t="shared" si="1300"/>
        <v>2.0726897418155144E-4</v>
      </c>
      <c r="AH517" t="s">
        <v>175</v>
      </c>
      <c r="AI517" t="s">
        <v>176</v>
      </c>
      <c r="AJ517" s="197" t="str">
        <f t="shared" si="1199"/>
        <v>Lifecycle_Balanced_28</v>
      </c>
      <c r="AK517">
        <v>28</v>
      </c>
      <c r="AL517">
        <f>VLOOKUP($U517,[2]Standard_Balanced!$Q$1:$T$542,2,FALSE)</f>
        <v>0</v>
      </c>
      <c r="AM517">
        <f>VLOOKUP($U517,[2]Standard_Balanced!$Q$1:$T$542,3,FALSE)</f>
        <v>0.82319560000000003</v>
      </c>
      <c r="AN517">
        <f>VLOOKUP($U517,[2]Standard_Balanced!$Q$1:$T$542,4,FALSE)</f>
        <v>0.17680439999999994</v>
      </c>
      <c r="AO517" s="77">
        <f t="shared" si="1286"/>
        <v>1</v>
      </c>
      <c r="AP517" s="77">
        <f t="shared" si="1154"/>
        <v>4.9785281059999992E-2</v>
      </c>
      <c r="AQ517" s="77">
        <f t="shared" si="1200"/>
        <v>4.0570115661060502E-3</v>
      </c>
      <c r="AR517" s="79">
        <v>0</v>
      </c>
      <c r="AS517" s="77">
        <f t="shared" si="1155"/>
        <v>0</v>
      </c>
      <c r="AT517" s="77">
        <f t="shared" ref="AT517" si="1301">1-(1-AS517)^(1/12)</f>
        <v>0</v>
      </c>
      <c r="AU517" s="77">
        <f t="shared" si="1157"/>
        <v>2.4823195599999997E-3</v>
      </c>
      <c r="AV517" s="77">
        <f t="shared" ref="AV517" si="1302">1-(1-AU517)^(1/12)</f>
        <v>2.0709568800358902E-4</v>
      </c>
      <c r="AX517" t="s">
        <v>178</v>
      </c>
      <c r="AY517" t="s">
        <v>160</v>
      </c>
      <c r="AZ517" s="197" t="str">
        <f t="shared" si="1203"/>
        <v>DIS_Non-Standard_28</v>
      </c>
      <c r="BA517">
        <v>28</v>
      </c>
      <c r="BB517">
        <f>VLOOKUP($BA517,'[2]NonStandard DIS'!$Q$1:$X$542,2,FALSE)</f>
        <v>0</v>
      </c>
      <c r="BC517">
        <f>VLOOKUP($BA517,'[2]NonStandard DIS'!$Q$1:$X$542,3,FALSE)</f>
        <v>0</v>
      </c>
      <c r="BD517">
        <f>VLOOKUP($BA517,'[2]NonStandard DIS'!$Q$1:$X$542,4,FALSE)</f>
        <v>0</v>
      </c>
      <c r="BE517">
        <f>VLOOKUP($BA517,'[2]NonStandard DIS'!$Q$1:$X$542,5,FALSE)</f>
        <v>0</v>
      </c>
      <c r="BF517">
        <f>VLOOKUP($BA517,'[2]NonStandard DIS'!$Q$1:$X$542,6,FALSE)</f>
        <v>0</v>
      </c>
      <c r="BG517">
        <f>VLOOKUP($BA517,'[2]NonStandard DIS'!$Q$1:$X$542,7,FALSE)</f>
        <v>0.375</v>
      </c>
      <c r="BH517">
        <f>VLOOKUP($BA517,'[2]NonStandard DIS'!$Q$1:$X$542,8,FALSE)</f>
        <v>0.625</v>
      </c>
      <c r="BI517" s="77">
        <f t="shared" ref="BI517:BI545" si="1303">SUM(BB517:BH517)</f>
        <v>1</v>
      </c>
      <c r="BJ517" s="77">
        <f t="shared" ref="BJ517:BJ545" si="1304">SUMPRODUCT($BB$1:$BH$1,BB517:BH517)</f>
        <v>5.3562499999999999E-2</v>
      </c>
      <c r="BK517" s="77">
        <f t="shared" si="1285"/>
        <v>4.3575732776144349E-3</v>
      </c>
      <c r="BL517" s="79">
        <v>1</v>
      </c>
      <c r="BM517" s="77">
        <f t="shared" si="1159"/>
        <v>6.875E-3</v>
      </c>
      <c r="BN517" s="77">
        <f t="shared" si="1160"/>
        <v>5.7111927230124593E-4</v>
      </c>
      <c r="BO517" s="77">
        <f t="shared" si="1161"/>
        <v>2.5000000000000001E-3</v>
      </c>
      <c r="BP517" s="77">
        <f t="shared" si="1162"/>
        <v>2.0809499864316017E-4</v>
      </c>
    </row>
    <row r="518" spans="1:68">
      <c r="A518" t="s">
        <v>175</v>
      </c>
      <c r="B518" t="s">
        <v>176</v>
      </c>
      <c r="C518" s="197" t="str">
        <f t="shared" si="1197"/>
        <v>Lifecycle_Balanced_27</v>
      </c>
      <c r="D518">
        <v>27</v>
      </c>
      <c r="E518">
        <f>VLOOKUP($D518,'[2]LC Balanced'!$Q$2:$U$542,2,FALSE)</f>
        <v>0.57574999999999998</v>
      </c>
      <c r="F518">
        <f>VLOOKUP($D518,'[2]LC Balanced'!$Q$2:$U$542,3,FALSE)</f>
        <v>0.14474999999999999</v>
      </c>
      <c r="G518">
        <f>VLOOKUP($D518,'[2]LC Balanced'!$Q$2:$U$542,4,FALSE)</f>
        <v>0.27950000000000003</v>
      </c>
      <c r="H518">
        <f>VLOOKUP($D518,'[2]LC Balanced'!$Q$2:$U$542,5,FALSE)</f>
        <v>0</v>
      </c>
      <c r="I518" s="77">
        <f t="shared" si="1298"/>
        <v>1</v>
      </c>
      <c r="J518" s="77">
        <f t="shared" si="1299"/>
        <v>4.9324456249999996E-2</v>
      </c>
      <c r="K518" s="77">
        <f t="shared" si="1289"/>
        <v>4.0202748870468152E-3</v>
      </c>
      <c r="L518" s="76">
        <v>0</v>
      </c>
      <c r="M518" s="77">
        <f t="shared" ref="M518:M545" si="1305">IF($L518=0,0,SUMPRODUCT($E$3:$H$3,E518:H518))</f>
        <v>0</v>
      </c>
      <c r="N518" s="77">
        <f t="shared" ref="N518:N545" si="1306">1-(1-M518)^(1/12)</f>
        <v>0</v>
      </c>
      <c r="O518" s="77">
        <f t="shared" ref="O518:O545" si="1307">SUMPRODUCT($E$2:$H$2,E518:H518)</f>
        <v>4.2482249999999996E-3</v>
      </c>
      <c r="P518" s="77">
        <f t="shared" ref="P518:P545" si="1308">1-(1-O518)^(1/12)</f>
        <v>3.5470993771835602E-4</v>
      </c>
      <c r="R518" t="s">
        <v>177</v>
      </c>
      <c r="S518" t="s">
        <v>176</v>
      </c>
      <c r="T518" s="197" t="str">
        <f t="shared" si="1240"/>
        <v>Autopilot_Balanced_27</v>
      </c>
      <c r="U518">
        <v>27</v>
      </c>
      <c r="V518">
        <f>VLOOKUP($U518,'[2]AP Balanced'!$Q$1:$T$542,2,FALSE)</f>
        <v>0</v>
      </c>
      <c r="W518">
        <f>VLOOKUP($U518,'[2]AP Balanced'!$Q$1:$T$542,3,FALSE)</f>
        <v>0.84394259999999999</v>
      </c>
      <c r="X518">
        <f>VLOOKUP($U518,'[2]AP Balanced'!$Q$1:$T$542,4,FALSE)</f>
        <v>0.15605740000000001</v>
      </c>
      <c r="Y518" s="77">
        <f t="shared" si="1198"/>
        <v>1</v>
      </c>
      <c r="Z518" s="77">
        <f t="shared" si="1187"/>
        <v>4.9968892009999995E-2</v>
      </c>
      <c r="AA518" s="77">
        <f t="shared" si="1188"/>
        <v>4.0716448033353281E-3</v>
      </c>
      <c r="AB518" s="79">
        <v>1</v>
      </c>
      <c r="AC518" s="77">
        <f t="shared" ref="AC518:AC545" si="1309">IF($AB518=0,0,SUMPRODUCT($V$3:$X$3,V518:X518))</f>
        <v>5.4856268999999994E-3</v>
      </c>
      <c r="AD518" s="77">
        <f t="shared" si="1300"/>
        <v>4.5828897045641082E-4</v>
      </c>
      <c r="AE518" s="77">
        <f t="shared" ref="AE518:AE545" si="1310">SUMPRODUCT($V$2:$X$2,V518:X518)</f>
        <v>2.4843942599999998E-3</v>
      </c>
      <c r="AF518" s="77">
        <f t="shared" si="1300"/>
        <v>2.0726897418155144E-4</v>
      </c>
      <c r="AH518" t="s">
        <v>175</v>
      </c>
      <c r="AI518" t="s">
        <v>176</v>
      </c>
      <c r="AJ518" s="197" t="str">
        <f t="shared" si="1199"/>
        <v>Lifecycle_Balanced_27</v>
      </c>
      <c r="AK518">
        <v>27</v>
      </c>
      <c r="AL518">
        <f>VLOOKUP($U518,[2]Standard_Balanced!$Q$1:$T$542,2,FALSE)</f>
        <v>0</v>
      </c>
      <c r="AM518">
        <f>VLOOKUP($U518,[2]Standard_Balanced!$Q$1:$T$542,3,FALSE)</f>
        <v>0.82060222500000002</v>
      </c>
      <c r="AN518">
        <f>VLOOKUP($U518,[2]Standard_Balanced!$Q$1:$T$542,4,FALSE)</f>
        <v>0.17939777499999993</v>
      </c>
      <c r="AO518" s="77">
        <f t="shared" si="1286"/>
        <v>1</v>
      </c>
      <c r="AP518" s="77">
        <f t="shared" ref="AP518:AP545" si="1311">SUMPRODUCT($AL$1:$AN$1,AL518:AN518)</f>
        <v>4.9762329691249989E-2</v>
      </c>
      <c r="AQ518" s="77">
        <f t="shared" si="1200"/>
        <v>4.0551822464940379E-3</v>
      </c>
      <c r="AR518" s="79">
        <v>0</v>
      </c>
      <c r="AS518" s="77">
        <f t="shared" ref="AS518:AS545" si="1312">IF(AR518=0,0,SUMPRODUCT($AL$3:$AN$3,AL518:AN518))</f>
        <v>0</v>
      </c>
      <c r="AT518" s="77">
        <f t="shared" ref="AT518" si="1313">1-(1-AS518)^(1/12)</f>
        <v>0</v>
      </c>
      <c r="AU518" s="77">
        <f t="shared" ref="AU518:AU545" si="1314">SUMPRODUCT($AL$2:$AN$2,AL518:AN518)</f>
        <v>2.4820602224999997E-3</v>
      </c>
      <c r="AV518" s="77">
        <f t="shared" ref="AV518" si="1315">1-(1-AU518)^(1/12)</f>
        <v>2.0707402725450574E-4</v>
      </c>
      <c r="AX518" t="s">
        <v>178</v>
      </c>
      <c r="AY518" t="s">
        <v>160</v>
      </c>
      <c r="AZ518" s="197" t="str">
        <f t="shared" si="1203"/>
        <v>DIS_Non-Standard_27</v>
      </c>
      <c r="BA518">
        <v>27</v>
      </c>
      <c r="BB518">
        <f>VLOOKUP($BA518,'[2]NonStandard DIS'!$Q$1:$X$542,2,FALSE)</f>
        <v>0</v>
      </c>
      <c r="BC518">
        <f>VLOOKUP($BA518,'[2]NonStandard DIS'!$Q$1:$X$542,3,FALSE)</f>
        <v>0</v>
      </c>
      <c r="BD518">
        <f>VLOOKUP($BA518,'[2]NonStandard DIS'!$Q$1:$X$542,4,FALSE)</f>
        <v>0</v>
      </c>
      <c r="BE518">
        <f>VLOOKUP($BA518,'[2]NonStandard DIS'!$Q$1:$X$542,5,FALSE)</f>
        <v>0</v>
      </c>
      <c r="BF518">
        <f>VLOOKUP($BA518,'[2]NonStandard DIS'!$Q$1:$X$542,6,FALSE)</f>
        <v>0</v>
      </c>
      <c r="BG518">
        <f>VLOOKUP($BA518,'[2]NonStandard DIS'!$Q$1:$X$542,7,FALSE)</f>
        <v>0.375</v>
      </c>
      <c r="BH518">
        <f>VLOOKUP($BA518,'[2]NonStandard DIS'!$Q$1:$X$542,8,FALSE)</f>
        <v>0.625</v>
      </c>
      <c r="BI518" s="77">
        <f t="shared" si="1303"/>
        <v>1</v>
      </c>
      <c r="BJ518" s="77">
        <f t="shared" si="1304"/>
        <v>5.3562499999999999E-2</v>
      </c>
      <c r="BK518" s="77">
        <f t="shared" si="1285"/>
        <v>4.3575732776144349E-3</v>
      </c>
      <c r="BL518" s="79">
        <v>1</v>
      </c>
      <c r="BM518" s="77">
        <f t="shared" ref="BM518:BM545" si="1316">IF(BL518=0,0,SUMPRODUCT($BB$3:$BH$3,BB518:BH518))</f>
        <v>6.875E-3</v>
      </c>
      <c r="BN518" s="77">
        <f t="shared" ref="BN518:BN545" si="1317">(1+BM518)^(1/12)-1</f>
        <v>5.7111927230124593E-4</v>
      </c>
      <c r="BO518" s="77">
        <f t="shared" ref="BO518:BO545" si="1318">SUMPRODUCT($BB$2:$BH$2,BB518:BH518)</f>
        <v>2.5000000000000001E-3</v>
      </c>
      <c r="BP518" s="77">
        <f t="shared" ref="BP518:BP545" si="1319">(1+BO518)^(1/12)-1</f>
        <v>2.0809499864316017E-4</v>
      </c>
    </row>
    <row r="519" spans="1:68">
      <c r="A519" t="s">
        <v>175</v>
      </c>
      <c r="B519" t="s">
        <v>176</v>
      </c>
      <c r="C519" s="197" t="str">
        <f t="shared" si="1197"/>
        <v>Lifecycle_Balanced_26</v>
      </c>
      <c r="D519">
        <v>26</v>
      </c>
      <c r="E519">
        <f>VLOOKUP($D519,'[2]LC Balanced'!$Q$2:$U$542,2,FALSE)</f>
        <v>0.57750000000000001</v>
      </c>
      <c r="F519">
        <f>VLOOKUP($D519,'[2]LC Balanced'!$Q$2:$U$542,3,FALSE)</f>
        <v>0.14383333333333331</v>
      </c>
      <c r="G519">
        <f>VLOOKUP($D519,'[2]LC Balanced'!$Q$2:$U$542,4,FALSE)</f>
        <v>0.27866666666666667</v>
      </c>
      <c r="H519">
        <f>VLOOKUP($D519,'[2]LC Balanced'!$Q$2:$U$542,5,FALSE)</f>
        <v>0</v>
      </c>
      <c r="I519" s="77">
        <f t="shared" si="1298"/>
        <v>1</v>
      </c>
      <c r="J519" s="77">
        <f t="shared" si="1299"/>
        <v>4.9301962500000004E-2</v>
      </c>
      <c r="K519" s="77">
        <f t="shared" si="1289"/>
        <v>4.0184813201780134E-3</v>
      </c>
      <c r="L519" s="76">
        <v>0</v>
      </c>
      <c r="M519" s="77">
        <f t="shared" si="1305"/>
        <v>0</v>
      </c>
      <c r="N519" s="77">
        <f t="shared" si="1306"/>
        <v>0</v>
      </c>
      <c r="O519" s="77">
        <f t="shared" si="1307"/>
        <v>4.2410166666666665E-3</v>
      </c>
      <c r="P519" s="77">
        <f t="shared" si="1308"/>
        <v>3.5410689648363025E-4</v>
      </c>
      <c r="R519" t="s">
        <v>177</v>
      </c>
      <c r="S519" t="s">
        <v>176</v>
      </c>
      <c r="T519" s="197" t="str">
        <f t="shared" si="1240"/>
        <v>Autopilot_Balanced_26</v>
      </c>
      <c r="U519">
        <v>26</v>
      </c>
      <c r="V519">
        <f>VLOOKUP($U519,'[2]AP Balanced'!$Q$1:$T$542,2,FALSE)</f>
        <v>0</v>
      </c>
      <c r="W519">
        <f>VLOOKUP($U519,'[2]AP Balanced'!$Q$1:$T$542,3,FALSE)</f>
        <v>0.84394259999999999</v>
      </c>
      <c r="X519">
        <f>VLOOKUP($U519,'[2]AP Balanced'!$Q$1:$T$542,4,FALSE)</f>
        <v>0.15605740000000001</v>
      </c>
      <c r="Y519" s="77">
        <f t="shared" si="1198"/>
        <v>1</v>
      </c>
      <c r="Z519" s="77">
        <f t="shared" si="1187"/>
        <v>4.9968892009999995E-2</v>
      </c>
      <c r="AA519" s="77">
        <f t="shared" si="1188"/>
        <v>4.0716448033353281E-3</v>
      </c>
      <c r="AB519" s="79">
        <v>1</v>
      </c>
      <c r="AC519" s="77">
        <f t="shared" si="1309"/>
        <v>5.4856268999999994E-3</v>
      </c>
      <c r="AD519" s="77">
        <f t="shared" si="1300"/>
        <v>4.5828897045641082E-4</v>
      </c>
      <c r="AE519" s="77">
        <f t="shared" si="1310"/>
        <v>2.4843942599999998E-3</v>
      </c>
      <c r="AF519" s="77">
        <f t="shared" si="1300"/>
        <v>2.0726897418155144E-4</v>
      </c>
      <c r="AH519" t="s">
        <v>175</v>
      </c>
      <c r="AI519" t="s">
        <v>176</v>
      </c>
      <c r="AJ519" s="197" t="str">
        <f t="shared" si="1199"/>
        <v>Lifecycle_Balanced_26</v>
      </c>
      <c r="AK519">
        <v>26</v>
      </c>
      <c r="AL519">
        <f>VLOOKUP($U519,[2]Standard_Balanced!$Q$1:$T$542,2,FALSE)</f>
        <v>0</v>
      </c>
      <c r="AM519">
        <f>VLOOKUP($U519,[2]Standard_Balanced!$Q$1:$T$542,3,FALSE)</f>
        <v>0.81800885000000012</v>
      </c>
      <c r="AN519">
        <f>VLOOKUP($U519,[2]Standard_Balanced!$Q$1:$T$542,4,FALSE)</f>
        <v>0.18199114999999991</v>
      </c>
      <c r="AO519" s="77">
        <f t="shared" si="1286"/>
        <v>1</v>
      </c>
      <c r="AP519" s="77">
        <f t="shared" si="1311"/>
        <v>4.97393783225E-2</v>
      </c>
      <c r="AQ519" s="77">
        <f t="shared" si="1200"/>
        <v>4.0533528902191307E-3</v>
      </c>
      <c r="AR519" s="79">
        <v>0</v>
      </c>
      <c r="AS519" s="77">
        <f t="shared" si="1312"/>
        <v>0</v>
      </c>
      <c r="AT519" s="77">
        <f t="shared" ref="AT519" si="1320">1-(1-AS519)^(1/12)</f>
        <v>0</v>
      </c>
      <c r="AU519" s="77">
        <f t="shared" si="1314"/>
        <v>2.4818008850000001E-3</v>
      </c>
      <c r="AV519" s="77">
        <f t="shared" ref="AV519" si="1321">1-(1-AU519)^(1/12)</f>
        <v>2.0705236651064052E-4</v>
      </c>
      <c r="AX519" t="s">
        <v>178</v>
      </c>
      <c r="AY519" t="s">
        <v>160</v>
      </c>
      <c r="AZ519" s="197" t="str">
        <f t="shared" si="1203"/>
        <v>DIS_Non-Standard_26</v>
      </c>
      <c r="BA519">
        <v>26</v>
      </c>
      <c r="BB519">
        <f>VLOOKUP($BA519,'[2]NonStandard DIS'!$Q$1:$X$542,2,FALSE)</f>
        <v>0</v>
      </c>
      <c r="BC519">
        <f>VLOOKUP($BA519,'[2]NonStandard DIS'!$Q$1:$X$542,3,FALSE)</f>
        <v>0</v>
      </c>
      <c r="BD519">
        <f>VLOOKUP($BA519,'[2]NonStandard DIS'!$Q$1:$X$542,4,FALSE)</f>
        <v>0</v>
      </c>
      <c r="BE519">
        <f>VLOOKUP($BA519,'[2]NonStandard DIS'!$Q$1:$X$542,5,FALSE)</f>
        <v>0</v>
      </c>
      <c r="BF519">
        <f>VLOOKUP($BA519,'[2]NonStandard DIS'!$Q$1:$X$542,6,FALSE)</f>
        <v>0</v>
      </c>
      <c r="BG519">
        <f>VLOOKUP($BA519,'[2]NonStandard DIS'!$Q$1:$X$542,7,FALSE)</f>
        <v>0.375</v>
      </c>
      <c r="BH519">
        <f>VLOOKUP($BA519,'[2]NonStandard DIS'!$Q$1:$X$542,8,FALSE)</f>
        <v>0.625</v>
      </c>
      <c r="BI519" s="77">
        <f t="shared" si="1303"/>
        <v>1</v>
      </c>
      <c r="BJ519" s="77">
        <f t="shared" si="1304"/>
        <v>5.3562499999999999E-2</v>
      </c>
      <c r="BK519" s="77">
        <f t="shared" si="1285"/>
        <v>4.3575732776144349E-3</v>
      </c>
      <c r="BL519" s="79">
        <v>1</v>
      </c>
      <c r="BM519" s="77">
        <f t="shared" si="1316"/>
        <v>6.875E-3</v>
      </c>
      <c r="BN519" s="77">
        <f t="shared" si="1317"/>
        <v>5.7111927230124593E-4</v>
      </c>
      <c r="BO519" s="77">
        <f t="shared" si="1318"/>
        <v>2.5000000000000001E-3</v>
      </c>
      <c r="BP519" s="77">
        <f t="shared" si="1319"/>
        <v>2.0809499864316017E-4</v>
      </c>
    </row>
    <row r="520" spans="1:68">
      <c r="A520" t="s">
        <v>175</v>
      </c>
      <c r="B520" t="s">
        <v>176</v>
      </c>
      <c r="C520" s="197" t="str">
        <f t="shared" si="1197"/>
        <v>Lifecycle_Balanced_25</v>
      </c>
      <c r="D520">
        <v>25</v>
      </c>
      <c r="E520">
        <f>VLOOKUP($D520,'[2]LC Balanced'!$Q$2:$U$542,2,FALSE)</f>
        <v>0.57924999999999993</v>
      </c>
      <c r="F520">
        <f>VLOOKUP($D520,'[2]LC Balanced'!$Q$2:$U$542,3,FALSE)</f>
        <v>0.14291666666666666</v>
      </c>
      <c r="G520">
        <f>VLOOKUP($D520,'[2]LC Balanced'!$Q$2:$U$542,4,FALSE)</f>
        <v>0.27783333333333338</v>
      </c>
      <c r="H520">
        <f>VLOOKUP($D520,'[2]LC Balanced'!$Q$2:$U$542,5,FALSE)</f>
        <v>0</v>
      </c>
      <c r="I520" s="77">
        <f t="shared" si="1298"/>
        <v>1</v>
      </c>
      <c r="J520" s="77">
        <f t="shared" si="1299"/>
        <v>4.9279468749999999E-2</v>
      </c>
      <c r="K520" s="77">
        <f t="shared" si="1289"/>
        <v>4.0166877180645155E-3</v>
      </c>
      <c r="L520" s="76">
        <v>0</v>
      </c>
      <c r="M520" s="77">
        <f t="shared" si="1305"/>
        <v>0</v>
      </c>
      <c r="N520" s="77">
        <f t="shared" si="1306"/>
        <v>0</v>
      </c>
      <c r="O520" s="77">
        <f t="shared" si="1307"/>
        <v>4.2338083333333335E-3</v>
      </c>
      <c r="P520" s="77">
        <f t="shared" si="1308"/>
        <v>3.5350385925070338E-4</v>
      </c>
      <c r="R520" t="s">
        <v>177</v>
      </c>
      <c r="S520" t="s">
        <v>176</v>
      </c>
      <c r="T520" s="197" t="str">
        <f t="shared" si="1240"/>
        <v>Autopilot_Balanced_25</v>
      </c>
      <c r="U520">
        <v>25</v>
      </c>
      <c r="V520">
        <f>VLOOKUP($U520,'[2]AP Balanced'!$Q$1:$T$542,2,FALSE)</f>
        <v>0</v>
      </c>
      <c r="W520">
        <f>VLOOKUP($U520,'[2]AP Balanced'!$Q$1:$T$542,3,FALSE)</f>
        <v>0.84394259999999999</v>
      </c>
      <c r="X520">
        <f>VLOOKUP($U520,'[2]AP Balanced'!$Q$1:$T$542,4,FALSE)</f>
        <v>0.15605740000000001</v>
      </c>
      <c r="Y520" s="77">
        <f t="shared" si="1198"/>
        <v>1</v>
      </c>
      <c r="Z520" s="77">
        <f t="shared" si="1187"/>
        <v>4.9968892009999995E-2</v>
      </c>
      <c r="AA520" s="77">
        <f t="shared" si="1188"/>
        <v>4.0716448033353281E-3</v>
      </c>
      <c r="AB520" s="79">
        <v>1</v>
      </c>
      <c r="AC520" s="77">
        <f t="shared" si="1309"/>
        <v>5.4856268999999994E-3</v>
      </c>
      <c r="AD520" s="77">
        <f t="shared" si="1300"/>
        <v>4.5828897045641082E-4</v>
      </c>
      <c r="AE520" s="77">
        <f t="shared" si="1310"/>
        <v>2.4843942599999998E-3</v>
      </c>
      <c r="AF520" s="77">
        <f t="shared" si="1300"/>
        <v>2.0726897418155144E-4</v>
      </c>
      <c r="AH520" t="s">
        <v>175</v>
      </c>
      <c r="AI520" t="s">
        <v>176</v>
      </c>
      <c r="AJ520" s="197" t="str">
        <f t="shared" si="1199"/>
        <v>Lifecycle_Balanced_25</v>
      </c>
      <c r="AK520">
        <v>25</v>
      </c>
      <c r="AL520">
        <f>VLOOKUP($U520,[2]Standard_Balanced!$Q$1:$T$542,2,FALSE)</f>
        <v>0</v>
      </c>
      <c r="AM520">
        <f>VLOOKUP($U520,[2]Standard_Balanced!$Q$1:$T$542,3,FALSE)</f>
        <v>0.81541547500000011</v>
      </c>
      <c r="AN520">
        <f>VLOOKUP($U520,[2]Standard_Balanced!$Q$1:$T$542,4,FALSE)</f>
        <v>0.18458452499999992</v>
      </c>
      <c r="AO520" s="77">
        <f t="shared" si="1286"/>
        <v>1</v>
      </c>
      <c r="AP520" s="77">
        <f t="shared" si="1311"/>
        <v>4.9716426953749997E-2</v>
      </c>
      <c r="AQ520" s="77">
        <f t="shared" si="1200"/>
        <v>4.0515234972802183E-3</v>
      </c>
      <c r="AR520" s="79">
        <v>0</v>
      </c>
      <c r="AS520" s="77">
        <f t="shared" si="1312"/>
        <v>0</v>
      </c>
      <c r="AT520" s="77">
        <f t="shared" ref="AT520" si="1322">1-(1-AS520)^(1/12)</f>
        <v>0</v>
      </c>
      <c r="AU520" s="77">
        <f t="shared" si="1314"/>
        <v>2.4815415475000001E-3</v>
      </c>
      <c r="AV520" s="77">
        <f t="shared" ref="AV520" si="1323">1-(1-AU520)^(1/12)</f>
        <v>2.0703070577199334E-4</v>
      </c>
      <c r="AX520" t="s">
        <v>178</v>
      </c>
      <c r="AY520" t="s">
        <v>160</v>
      </c>
      <c r="AZ520" s="197" t="str">
        <f t="shared" si="1203"/>
        <v>DIS_Non-Standard_25</v>
      </c>
      <c r="BA520">
        <v>25</v>
      </c>
      <c r="BB520">
        <f>VLOOKUP($BA520,'[2]NonStandard DIS'!$Q$1:$X$542,2,FALSE)</f>
        <v>0</v>
      </c>
      <c r="BC520">
        <f>VLOOKUP($BA520,'[2]NonStandard DIS'!$Q$1:$X$542,3,FALSE)</f>
        <v>0</v>
      </c>
      <c r="BD520">
        <f>VLOOKUP($BA520,'[2]NonStandard DIS'!$Q$1:$X$542,4,FALSE)</f>
        <v>0</v>
      </c>
      <c r="BE520">
        <f>VLOOKUP($BA520,'[2]NonStandard DIS'!$Q$1:$X$542,5,FALSE)</f>
        <v>0</v>
      </c>
      <c r="BF520">
        <f>VLOOKUP($BA520,'[2]NonStandard DIS'!$Q$1:$X$542,6,FALSE)</f>
        <v>0</v>
      </c>
      <c r="BG520">
        <f>VLOOKUP($BA520,'[2]NonStandard DIS'!$Q$1:$X$542,7,FALSE)</f>
        <v>0.375</v>
      </c>
      <c r="BH520">
        <f>VLOOKUP($BA520,'[2]NonStandard DIS'!$Q$1:$X$542,8,FALSE)</f>
        <v>0.625</v>
      </c>
      <c r="BI520" s="77">
        <f t="shared" si="1303"/>
        <v>1</v>
      </c>
      <c r="BJ520" s="77">
        <f t="shared" si="1304"/>
        <v>5.3562499999999999E-2</v>
      </c>
      <c r="BK520" s="77">
        <f t="shared" si="1285"/>
        <v>4.3575732776144349E-3</v>
      </c>
      <c r="BL520" s="79">
        <v>1</v>
      </c>
      <c r="BM520" s="77">
        <f t="shared" si="1316"/>
        <v>6.875E-3</v>
      </c>
      <c r="BN520" s="77">
        <f t="shared" si="1317"/>
        <v>5.7111927230124593E-4</v>
      </c>
      <c r="BO520" s="77">
        <f t="shared" si="1318"/>
        <v>2.5000000000000001E-3</v>
      </c>
      <c r="BP520" s="77">
        <f t="shared" si="1319"/>
        <v>2.0809499864316017E-4</v>
      </c>
    </row>
    <row r="521" spans="1:68">
      <c r="A521" t="s">
        <v>175</v>
      </c>
      <c r="B521" t="s">
        <v>176</v>
      </c>
      <c r="C521" s="197" t="str">
        <f t="shared" si="1197"/>
        <v>Lifecycle_Balanced_24</v>
      </c>
      <c r="D521">
        <v>24</v>
      </c>
      <c r="E521">
        <f>VLOOKUP($D521,'[2]LC Balanced'!$Q$2:$U$542,2,FALSE)</f>
        <v>0.58099999999999996</v>
      </c>
      <c r="F521">
        <f>VLOOKUP($D521,'[2]LC Balanced'!$Q$2:$U$542,3,FALSE)</f>
        <v>0.14199999999999999</v>
      </c>
      <c r="G521">
        <f>VLOOKUP($D521,'[2]LC Balanced'!$Q$2:$U$542,4,FALSE)</f>
        <v>0.27700000000000002</v>
      </c>
      <c r="H521">
        <f>VLOOKUP($D521,'[2]LC Balanced'!$Q$2:$U$542,5,FALSE)</f>
        <v>0</v>
      </c>
      <c r="I521" s="77">
        <f t="shared" si="1298"/>
        <v>1</v>
      </c>
      <c r="J521" s="77">
        <f t="shared" si="1299"/>
        <v>4.9256974999999995E-2</v>
      </c>
      <c r="K521" s="77">
        <f t="shared" si="1289"/>
        <v>4.0148940807049893E-3</v>
      </c>
      <c r="L521" s="76">
        <v>0</v>
      </c>
      <c r="M521" s="77">
        <f t="shared" si="1305"/>
        <v>0</v>
      </c>
      <c r="N521" s="77">
        <f t="shared" si="1306"/>
        <v>0</v>
      </c>
      <c r="O521" s="77">
        <f t="shared" si="1307"/>
        <v>4.2265999999999996E-3</v>
      </c>
      <c r="P521" s="77">
        <f t="shared" si="1308"/>
        <v>3.5290082601924233E-4</v>
      </c>
      <c r="R521" t="s">
        <v>177</v>
      </c>
      <c r="S521" t="s">
        <v>176</v>
      </c>
      <c r="T521" s="197" t="str">
        <f t="shared" si="1240"/>
        <v>Autopilot_Balanced_24</v>
      </c>
      <c r="U521">
        <v>24</v>
      </c>
      <c r="V521">
        <f>VLOOKUP($U521,'[2]AP Balanced'!$Q$1:$T$542,2,FALSE)</f>
        <v>0</v>
      </c>
      <c r="W521">
        <f>VLOOKUP($U521,'[2]AP Balanced'!$Q$1:$T$542,3,FALSE)</f>
        <v>0.8128221000000001</v>
      </c>
      <c r="X521">
        <f>VLOOKUP($U521,'[2]AP Balanced'!$Q$1:$T$542,4,FALSE)</f>
        <v>0.1871778999999999</v>
      </c>
      <c r="Y521" s="77">
        <f t="shared" si="1198"/>
        <v>1</v>
      </c>
      <c r="Z521" s="77">
        <f t="shared" si="1187"/>
        <v>4.9693475584999994E-2</v>
      </c>
      <c r="AA521" s="77">
        <f t="shared" si="1188"/>
        <v>4.0496940676757465E-3</v>
      </c>
      <c r="AB521" s="79">
        <v>1</v>
      </c>
      <c r="AC521" s="77">
        <f t="shared" si="1309"/>
        <v>5.2833436500000002E-3</v>
      </c>
      <c r="AD521" s="77">
        <f t="shared" si="1300"/>
        <v>4.413483992077305E-4</v>
      </c>
      <c r="AE521" s="77">
        <f t="shared" si="1310"/>
        <v>2.48128221E-3</v>
      </c>
      <c r="AF521" s="77">
        <f t="shared" si="1300"/>
        <v>2.0700904503845319E-4</v>
      </c>
      <c r="AH521" t="s">
        <v>175</v>
      </c>
      <c r="AI521" t="s">
        <v>176</v>
      </c>
      <c r="AJ521" s="197" t="str">
        <f t="shared" si="1199"/>
        <v>Lifecycle_Balanced_24</v>
      </c>
      <c r="AK521">
        <v>24</v>
      </c>
      <c r="AL521">
        <f>VLOOKUP($U521,[2]Standard_Balanced!$Q$1:$T$542,2,FALSE)</f>
        <v>0</v>
      </c>
      <c r="AM521">
        <f>VLOOKUP($U521,[2]Standard_Balanced!$Q$1:$T$542,3,FALSE)</f>
        <v>0.8128221000000001</v>
      </c>
      <c r="AN521">
        <f>VLOOKUP($U521,[2]Standard_Balanced!$Q$1:$T$542,4,FALSE)</f>
        <v>0.1871778999999999</v>
      </c>
      <c r="AO521" s="77">
        <f t="shared" si="1286"/>
        <v>1</v>
      </c>
      <c r="AP521" s="77">
        <f t="shared" si="1311"/>
        <v>4.9693475584999994E-2</v>
      </c>
      <c r="AQ521" s="77">
        <f t="shared" si="1200"/>
        <v>4.0496940676757465E-3</v>
      </c>
      <c r="AR521" s="79">
        <v>0</v>
      </c>
      <c r="AS521" s="77">
        <f t="shared" si="1312"/>
        <v>0</v>
      </c>
      <c r="AT521" s="77">
        <f t="shared" ref="AT521" si="1324">1-(1-AS521)^(1/12)</f>
        <v>0</v>
      </c>
      <c r="AU521" s="77">
        <f t="shared" si="1314"/>
        <v>2.48128221E-3</v>
      </c>
      <c r="AV521" s="77">
        <f t="shared" ref="AV521" si="1325">1-(1-AU521)^(1/12)</f>
        <v>2.0700904503845319E-4</v>
      </c>
      <c r="AX521" t="s">
        <v>178</v>
      </c>
      <c r="AY521" t="s">
        <v>160</v>
      </c>
      <c r="AZ521" s="197" t="str">
        <f t="shared" si="1203"/>
        <v>DIS_Non-Standard_24</v>
      </c>
      <c r="BA521">
        <v>24</v>
      </c>
      <c r="BB521">
        <f>VLOOKUP($BA521,'[2]NonStandard DIS'!$Q$1:$X$542,2,FALSE)</f>
        <v>0</v>
      </c>
      <c r="BC521">
        <f>VLOOKUP($BA521,'[2]NonStandard DIS'!$Q$1:$X$542,3,FALSE)</f>
        <v>0</v>
      </c>
      <c r="BD521">
        <f>VLOOKUP($BA521,'[2]NonStandard DIS'!$Q$1:$X$542,4,FALSE)</f>
        <v>0</v>
      </c>
      <c r="BE521">
        <f>VLOOKUP($BA521,'[2]NonStandard DIS'!$Q$1:$X$542,5,FALSE)</f>
        <v>0</v>
      </c>
      <c r="BF521">
        <f>VLOOKUP($BA521,'[2]NonStandard DIS'!$Q$1:$X$542,6,FALSE)</f>
        <v>0</v>
      </c>
      <c r="BG521">
        <f>VLOOKUP($BA521,'[2]NonStandard DIS'!$Q$1:$X$542,7,FALSE)</f>
        <v>0.25</v>
      </c>
      <c r="BH521">
        <f>VLOOKUP($BA521,'[2]NonStandard DIS'!$Q$1:$X$542,8,FALSE)</f>
        <v>0.75</v>
      </c>
      <c r="BI521" s="77">
        <f t="shared" si="1303"/>
        <v>1</v>
      </c>
      <c r="BJ521" s="77">
        <f t="shared" si="1304"/>
        <v>5.282499999999999E-2</v>
      </c>
      <c r="BK521" s="77">
        <f t="shared" si="1285"/>
        <v>4.2989664504375913E-3</v>
      </c>
      <c r="BL521" s="79">
        <v>1</v>
      </c>
      <c r="BM521" s="77">
        <f t="shared" si="1316"/>
        <v>6.7499999999999999E-3</v>
      </c>
      <c r="BN521" s="77">
        <f t="shared" si="1317"/>
        <v>5.607672336425118E-4</v>
      </c>
      <c r="BO521" s="77">
        <f t="shared" si="1318"/>
        <v>2.5000000000000001E-3</v>
      </c>
      <c r="BP521" s="77">
        <f t="shared" si="1319"/>
        <v>2.0809499864316017E-4</v>
      </c>
    </row>
    <row r="522" spans="1:68">
      <c r="A522" t="s">
        <v>175</v>
      </c>
      <c r="B522" t="s">
        <v>176</v>
      </c>
      <c r="C522" s="197" t="str">
        <f t="shared" si="1197"/>
        <v>Lifecycle_Balanced_23</v>
      </c>
      <c r="D522">
        <v>23</v>
      </c>
      <c r="E522">
        <f>VLOOKUP($D522,'[2]LC Balanced'!$Q$2:$U$542,2,FALSE)</f>
        <v>0.58250000000000002</v>
      </c>
      <c r="F522">
        <f>VLOOKUP($D522,'[2]LC Balanced'!$Q$2:$U$542,3,FALSE)</f>
        <v>0.14124999999999999</v>
      </c>
      <c r="G522">
        <f>VLOOKUP($D522,'[2]LC Balanced'!$Q$2:$U$542,4,FALSE)</f>
        <v>0.27625</v>
      </c>
      <c r="H522">
        <f>VLOOKUP($D522,'[2]LC Balanced'!$Q$2:$U$542,5,FALSE)</f>
        <v>0</v>
      </c>
      <c r="I522" s="77">
        <f t="shared" si="1298"/>
        <v>1</v>
      </c>
      <c r="J522" s="77">
        <f t="shared" si="1299"/>
        <v>4.9237062499999998E-2</v>
      </c>
      <c r="K522" s="77">
        <f t="shared" si="1289"/>
        <v>4.0133062411706888E-3</v>
      </c>
      <c r="L522" s="76">
        <v>0</v>
      </c>
      <c r="M522" s="77">
        <f t="shared" si="1305"/>
        <v>0</v>
      </c>
      <c r="N522" s="77">
        <f t="shared" si="1306"/>
        <v>0</v>
      </c>
      <c r="O522" s="77">
        <f t="shared" si="1307"/>
        <v>4.2203750000000002E-3</v>
      </c>
      <c r="P522" s="77">
        <f t="shared" si="1308"/>
        <v>3.5238005950055662E-4</v>
      </c>
      <c r="R522" t="s">
        <v>177</v>
      </c>
      <c r="S522" t="s">
        <v>176</v>
      </c>
      <c r="T522" s="197" t="str">
        <f t="shared" si="1240"/>
        <v>Autopilot_Balanced_23</v>
      </c>
      <c r="U522">
        <v>23</v>
      </c>
      <c r="V522">
        <f>VLOOKUP($U522,'[2]AP Balanced'!$Q$1:$T$542,2,FALSE)</f>
        <v>0</v>
      </c>
      <c r="W522">
        <f>VLOOKUP($U522,'[2]AP Balanced'!$Q$1:$T$542,3,FALSE)</f>
        <v>0.8128221000000001</v>
      </c>
      <c r="X522">
        <f>VLOOKUP($U522,'[2]AP Balanced'!$Q$1:$T$542,4,FALSE)</f>
        <v>0.1871778999999999</v>
      </c>
      <c r="Y522" s="77">
        <f t="shared" si="1198"/>
        <v>1</v>
      </c>
      <c r="Z522" s="77">
        <f t="shared" si="1187"/>
        <v>4.9693475584999994E-2</v>
      </c>
      <c r="AA522" s="77">
        <f t="shared" si="1188"/>
        <v>4.0496940676757465E-3</v>
      </c>
      <c r="AB522" s="79">
        <v>1</v>
      </c>
      <c r="AC522" s="77">
        <f t="shared" si="1309"/>
        <v>5.2833436500000002E-3</v>
      </c>
      <c r="AD522" s="77">
        <f t="shared" si="1300"/>
        <v>4.413483992077305E-4</v>
      </c>
      <c r="AE522" s="77">
        <f t="shared" si="1310"/>
        <v>2.48128221E-3</v>
      </c>
      <c r="AF522" s="77">
        <f t="shared" si="1300"/>
        <v>2.0700904503845319E-4</v>
      </c>
      <c r="AH522" t="s">
        <v>175</v>
      </c>
      <c r="AI522" t="s">
        <v>176</v>
      </c>
      <c r="AJ522" s="197" t="str">
        <f t="shared" si="1199"/>
        <v>Lifecycle_Balanced_23</v>
      </c>
      <c r="AK522">
        <v>23</v>
      </c>
      <c r="AL522">
        <f>VLOOKUP($U522,[2]Standard_Balanced!$Q$1:$T$542,2,FALSE)</f>
        <v>0</v>
      </c>
      <c r="AM522">
        <f>VLOOKUP($U522,[2]Standard_Balanced!$Q$1:$T$542,3,FALSE)</f>
        <v>0.81053108750000014</v>
      </c>
      <c r="AN522">
        <f>VLOOKUP($U522,[2]Standard_Balanced!$Q$1:$T$542,4,FALSE)</f>
        <v>0.18946891249999989</v>
      </c>
      <c r="AO522" s="77">
        <f t="shared" si="1286"/>
        <v>1</v>
      </c>
      <c r="AP522" s="77">
        <f t="shared" si="1311"/>
        <v>4.9673200124374997E-2</v>
      </c>
      <c r="AQ522" s="77">
        <f t="shared" si="1200"/>
        <v>4.0480779014060442E-3</v>
      </c>
      <c r="AR522" s="79">
        <v>0</v>
      </c>
      <c r="AS522" s="77">
        <f t="shared" si="1312"/>
        <v>0</v>
      </c>
      <c r="AT522" s="77">
        <f t="shared" ref="AT522" si="1326">1-(1-AS522)^(1/12)</f>
        <v>0</v>
      </c>
      <c r="AU522" s="77">
        <f t="shared" si="1314"/>
        <v>2.4810531087500003E-3</v>
      </c>
      <c r="AV522" s="77">
        <f t="shared" ref="AV522" si="1327">1-(1-AU522)^(1/12)</f>
        <v>2.0698990974177267E-4</v>
      </c>
      <c r="AX522" t="s">
        <v>178</v>
      </c>
      <c r="AY522" t="s">
        <v>160</v>
      </c>
      <c r="AZ522" s="197" t="str">
        <f t="shared" si="1203"/>
        <v>DIS_Non-Standard_23</v>
      </c>
      <c r="BA522">
        <v>23</v>
      </c>
      <c r="BB522">
        <f>VLOOKUP($BA522,'[2]NonStandard DIS'!$Q$1:$X$542,2,FALSE)</f>
        <v>0</v>
      </c>
      <c r="BC522">
        <f>VLOOKUP($BA522,'[2]NonStandard DIS'!$Q$1:$X$542,3,FALSE)</f>
        <v>0</v>
      </c>
      <c r="BD522">
        <f>VLOOKUP($BA522,'[2]NonStandard DIS'!$Q$1:$X$542,4,FALSE)</f>
        <v>0</v>
      </c>
      <c r="BE522">
        <f>VLOOKUP($BA522,'[2]NonStandard DIS'!$Q$1:$X$542,5,FALSE)</f>
        <v>0</v>
      </c>
      <c r="BF522">
        <f>VLOOKUP($BA522,'[2]NonStandard DIS'!$Q$1:$X$542,6,FALSE)</f>
        <v>0</v>
      </c>
      <c r="BG522">
        <f>VLOOKUP($BA522,'[2]NonStandard DIS'!$Q$1:$X$542,7,FALSE)</f>
        <v>0.25</v>
      </c>
      <c r="BH522">
        <f>VLOOKUP($BA522,'[2]NonStandard DIS'!$Q$1:$X$542,8,FALSE)</f>
        <v>0.75</v>
      </c>
      <c r="BI522" s="77">
        <f t="shared" si="1303"/>
        <v>1</v>
      </c>
      <c r="BJ522" s="77">
        <f t="shared" si="1304"/>
        <v>5.282499999999999E-2</v>
      </c>
      <c r="BK522" s="77">
        <f t="shared" si="1285"/>
        <v>4.2989664504375913E-3</v>
      </c>
      <c r="BL522" s="79">
        <v>1</v>
      </c>
      <c r="BM522" s="77">
        <f t="shared" si="1316"/>
        <v>6.7499999999999999E-3</v>
      </c>
      <c r="BN522" s="77">
        <f t="shared" si="1317"/>
        <v>5.607672336425118E-4</v>
      </c>
      <c r="BO522" s="77">
        <f t="shared" si="1318"/>
        <v>2.5000000000000001E-3</v>
      </c>
      <c r="BP522" s="77">
        <f t="shared" si="1319"/>
        <v>2.0809499864316017E-4</v>
      </c>
    </row>
    <row r="523" spans="1:68">
      <c r="A523" t="s">
        <v>175</v>
      </c>
      <c r="B523" t="s">
        <v>176</v>
      </c>
      <c r="C523" s="197" t="str">
        <f t="shared" si="1197"/>
        <v>Lifecycle_Balanced_22</v>
      </c>
      <c r="D523">
        <v>22</v>
      </c>
      <c r="E523">
        <f>VLOOKUP($D523,'[2]LC Balanced'!$Q$2:$U$542,2,FALSE)</f>
        <v>0.58399999999999996</v>
      </c>
      <c r="F523">
        <f>VLOOKUP($D523,'[2]LC Balanced'!$Q$2:$U$542,3,FALSE)</f>
        <v>0.14049999999999999</v>
      </c>
      <c r="G523">
        <f>VLOOKUP($D523,'[2]LC Balanced'!$Q$2:$U$542,4,FALSE)</f>
        <v>0.27550000000000002</v>
      </c>
      <c r="H523">
        <f>VLOOKUP($D523,'[2]LC Balanced'!$Q$2:$U$542,5,FALSE)</f>
        <v>0</v>
      </c>
      <c r="I523" s="77">
        <f t="shared" si="1298"/>
        <v>1</v>
      </c>
      <c r="J523" s="77">
        <f t="shared" si="1299"/>
        <v>4.9217150000000001E-2</v>
      </c>
      <c r="K523" s="77">
        <f t="shared" si="1289"/>
        <v>4.0117183740133733E-3</v>
      </c>
      <c r="L523" s="76">
        <v>0</v>
      </c>
      <c r="M523" s="77">
        <f t="shared" si="1305"/>
        <v>0</v>
      </c>
      <c r="N523" s="77">
        <f t="shared" si="1306"/>
        <v>0</v>
      </c>
      <c r="O523" s="77">
        <f t="shared" si="1307"/>
        <v>4.2141499999999998E-3</v>
      </c>
      <c r="P523" s="77">
        <f t="shared" si="1308"/>
        <v>3.518592959661504E-4</v>
      </c>
      <c r="R523" t="s">
        <v>177</v>
      </c>
      <c r="S523" t="s">
        <v>176</v>
      </c>
      <c r="T523" s="197" t="str">
        <f t="shared" si="1240"/>
        <v>Autopilot_Balanced_22</v>
      </c>
      <c r="U523">
        <v>22</v>
      </c>
      <c r="V523">
        <f>VLOOKUP($U523,'[2]AP Balanced'!$Q$1:$T$542,2,FALSE)</f>
        <v>0</v>
      </c>
      <c r="W523">
        <f>VLOOKUP($U523,'[2]AP Balanced'!$Q$1:$T$542,3,FALSE)</f>
        <v>0.8128221000000001</v>
      </c>
      <c r="X523">
        <f>VLOOKUP($U523,'[2]AP Balanced'!$Q$1:$T$542,4,FALSE)</f>
        <v>0.1871778999999999</v>
      </c>
      <c r="Y523" s="77">
        <f t="shared" si="1198"/>
        <v>1</v>
      </c>
      <c r="Z523" s="77">
        <f t="shared" si="1187"/>
        <v>4.9693475584999994E-2</v>
      </c>
      <c r="AA523" s="77">
        <f t="shared" si="1188"/>
        <v>4.0496940676757465E-3</v>
      </c>
      <c r="AB523" s="79">
        <v>1</v>
      </c>
      <c r="AC523" s="77">
        <f t="shared" si="1309"/>
        <v>5.2833436500000002E-3</v>
      </c>
      <c r="AD523" s="77">
        <f t="shared" si="1300"/>
        <v>4.413483992077305E-4</v>
      </c>
      <c r="AE523" s="77">
        <f t="shared" si="1310"/>
        <v>2.48128221E-3</v>
      </c>
      <c r="AF523" s="77">
        <f t="shared" si="1300"/>
        <v>2.0700904503845319E-4</v>
      </c>
      <c r="AH523" t="s">
        <v>175</v>
      </c>
      <c r="AI523" t="s">
        <v>176</v>
      </c>
      <c r="AJ523" s="197" t="str">
        <f t="shared" si="1199"/>
        <v>Lifecycle_Balanced_22</v>
      </c>
      <c r="AK523">
        <v>22</v>
      </c>
      <c r="AL523">
        <f>VLOOKUP($U523,[2]Standard_Balanced!$Q$1:$T$542,2,FALSE)</f>
        <v>0</v>
      </c>
      <c r="AM523">
        <f>VLOOKUP($U523,[2]Standard_Balanced!$Q$1:$T$542,3,FALSE)</f>
        <v>0.80824007500000006</v>
      </c>
      <c r="AN523">
        <f>VLOOKUP($U523,[2]Standard_Balanced!$Q$1:$T$542,4,FALSE)</f>
        <v>0.19175992499999991</v>
      </c>
      <c r="AO523" s="77">
        <f t="shared" si="1286"/>
        <v>1</v>
      </c>
      <c r="AP523" s="77">
        <f t="shared" si="1311"/>
        <v>4.9652924663749994E-2</v>
      </c>
      <c r="AQ523" s="77">
        <f t="shared" si="1200"/>
        <v>4.0464617065196773E-3</v>
      </c>
      <c r="AR523" s="79">
        <v>0</v>
      </c>
      <c r="AS523" s="77">
        <f t="shared" si="1312"/>
        <v>0</v>
      </c>
      <c r="AT523" s="77">
        <f t="shared" ref="AT523" si="1328">1-(1-AS523)^(1/12)</f>
        <v>0</v>
      </c>
      <c r="AU523" s="77">
        <f t="shared" si="1314"/>
        <v>2.4808240075000002E-3</v>
      </c>
      <c r="AV523" s="77">
        <f t="shared" ref="AV523" si="1329">1-(1-AU523)^(1/12)</f>
        <v>2.0697077444908896E-4</v>
      </c>
      <c r="AX523" t="s">
        <v>178</v>
      </c>
      <c r="AY523" t="s">
        <v>160</v>
      </c>
      <c r="AZ523" s="197" t="str">
        <f t="shared" si="1203"/>
        <v>DIS_Non-Standard_22</v>
      </c>
      <c r="BA523">
        <v>22</v>
      </c>
      <c r="BB523">
        <f>VLOOKUP($BA523,'[2]NonStandard DIS'!$Q$1:$X$542,2,FALSE)</f>
        <v>0</v>
      </c>
      <c r="BC523">
        <f>VLOOKUP($BA523,'[2]NonStandard DIS'!$Q$1:$X$542,3,FALSE)</f>
        <v>0</v>
      </c>
      <c r="BD523">
        <f>VLOOKUP($BA523,'[2]NonStandard DIS'!$Q$1:$X$542,4,FALSE)</f>
        <v>0</v>
      </c>
      <c r="BE523">
        <f>VLOOKUP($BA523,'[2]NonStandard DIS'!$Q$1:$X$542,5,FALSE)</f>
        <v>0</v>
      </c>
      <c r="BF523">
        <f>VLOOKUP($BA523,'[2]NonStandard DIS'!$Q$1:$X$542,6,FALSE)</f>
        <v>0</v>
      </c>
      <c r="BG523">
        <f>VLOOKUP($BA523,'[2]NonStandard DIS'!$Q$1:$X$542,7,FALSE)</f>
        <v>0.25</v>
      </c>
      <c r="BH523">
        <f>VLOOKUP($BA523,'[2]NonStandard DIS'!$Q$1:$X$542,8,FALSE)</f>
        <v>0.75</v>
      </c>
      <c r="BI523" s="77">
        <f t="shared" si="1303"/>
        <v>1</v>
      </c>
      <c r="BJ523" s="77">
        <f t="shared" si="1304"/>
        <v>5.282499999999999E-2</v>
      </c>
      <c r="BK523" s="77">
        <f t="shared" si="1285"/>
        <v>4.2989664504375913E-3</v>
      </c>
      <c r="BL523" s="79">
        <v>1</v>
      </c>
      <c r="BM523" s="77">
        <f t="shared" si="1316"/>
        <v>6.7499999999999999E-3</v>
      </c>
      <c r="BN523" s="77">
        <f t="shared" si="1317"/>
        <v>5.607672336425118E-4</v>
      </c>
      <c r="BO523" s="77">
        <f t="shared" si="1318"/>
        <v>2.5000000000000001E-3</v>
      </c>
      <c r="BP523" s="77">
        <f t="shared" si="1319"/>
        <v>2.0809499864316017E-4</v>
      </c>
    </row>
    <row r="524" spans="1:68">
      <c r="A524" t="s">
        <v>175</v>
      </c>
      <c r="B524" t="s">
        <v>176</v>
      </c>
      <c r="C524" s="197" t="str">
        <f t="shared" si="1197"/>
        <v>Lifecycle_Balanced_21</v>
      </c>
      <c r="D524">
        <v>21</v>
      </c>
      <c r="E524">
        <f>VLOOKUP($D524,'[2]LC Balanced'!$Q$2:$U$542,2,FALSE)</f>
        <v>0.58549999999999991</v>
      </c>
      <c r="F524">
        <f>VLOOKUP($D524,'[2]LC Balanced'!$Q$2:$U$542,3,FALSE)</f>
        <v>0.13974999999999999</v>
      </c>
      <c r="G524">
        <f>VLOOKUP($D524,'[2]LC Balanced'!$Q$2:$U$542,4,FALSE)</f>
        <v>0.27475000000000005</v>
      </c>
      <c r="H524">
        <f>VLOOKUP($D524,'[2]LC Balanced'!$Q$2:$U$542,5,FALSE)</f>
        <v>0</v>
      </c>
      <c r="I524" s="77">
        <f t="shared" si="1298"/>
        <v>1</v>
      </c>
      <c r="J524" s="77">
        <f t="shared" si="1299"/>
        <v>4.9197237500000005E-2</v>
      </c>
      <c r="K524" s="77">
        <f t="shared" si="1289"/>
        <v>4.0101304792317105E-3</v>
      </c>
      <c r="L524" s="76">
        <v>0</v>
      </c>
      <c r="M524" s="77">
        <f t="shared" si="1305"/>
        <v>0</v>
      </c>
      <c r="N524" s="77">
        <f t="shared" si="1306"/>
        <v>0</v>
      </c>
      <c r="O524" s="77">
        <f t="shared" si="1307"/>
        <v>4.2079249999999995E-3</v>
      </c>
      <c r="P524" s="77">
        <f t="shared" si="1308"/>
        <v>3.5133853541580162E-4</v>
      </c>
      <c r="R524" t="s">
        <v>177</v>
      </c>
      <c r="S524" t="s">
        <v>176</v>
      </c>
      <c r="T524" s="197" t="str">
        <f t="shared" si="1240"/>
        <v>Autopilot_Balanced_21</v>
      </c>
      <c r="U524">
        <v>21</v>
      </c>
      <c r="V524">
        <f>VLOOKUP($U524,'[2]AP Balanced'!$Q$1:$T$542,2,FALSE)</f>
        <v>0</v>
      </c>
      <c r="W524">
        <f>VLOOKUP($U524,'[2]AP Balanced'!$Q$1:$T$542,3,FALSE)</f>
        <v>0.8128221000000001</v>
      </c>
      <c r="X524">
        <f>VLOOKUP($U524,'[2]AP Balanced'!$Q$1:$T$542,4,FALSE)</f>
        <v>0.1871778999999999</v>
      </c>
      <c r="Y524" s="77">
        <f t="shared" si="1198"/>
        <v>1</v>
      </c>
      <c r="Z524" s="77">
        <f t="shared" si="1187"/>
        <v>4.9693475584999994E-2</v>
      </c>
      <c r="AA524" s="77">
        <f t="shared" si="1188"/>
        <v>4.0496940676757465E-3</v>
      </c>
      <c r="AB524" s="79">
        <v>1</v>
      </c>
      <c r="AC524" s="77">
        <f t="shared" si="1309"/>
        <v>5.2833436500000002E-3</v>
      </c>
      <c r="AD524" s="77">
        <f t="shared" si="1300"/>
        <v>4.413483992077305E-4</v>
      </c>
      <c r="AE524" s="77">
        <f t="shared" si="1310"/>
        <v>2.48128221E-3</v>
      </c>
      <c r="AF524" s="77">
        <f t="shared" si="1300"/>
        <v>2.0700904503845319E-4</v>
      </c>
      <c r="AH524" t="s">
        <v>175</v>
      </c>
      <c r="AI524" t="s">
        <v>176</v>
      </c>
      <c r="AJ524" s="197" t="str">
        <f t="shared" si="1199"/>
        <v>Lifecycle_Balanced_21</v>
      </c>
      <c r="AK524">
        <v>21</v>
      </c>
      <c r="AL524">
        <f>VLOOKUP($U524,[2]Standard_Balanced!$Q$1:$T$542,2,FALSE)</f>
        <v>0</v>
      </c>
      <c r="AM524">
        <f>VLOOKUP($U524,[2]Standard_Balanced!$Q$1:$T$542,3,FALSE)</f>
        <v>0.80594906250000009</v>
      </c>
      <c r="AN524">
        <f>VLOOKUP($U524,[2]Standard_Balanced!$Q$1:$T$542,4,FALSE)</f>
        <v>0.19405093749999991</v>
      </c>
      <c r="AO524" s="77">
        <f t="shared" si="1286"/>
        <v>1</v>
      </c>
      <c r="AP524" s="77">
        <f t="shared" si="1311"/>
        <v>4.9632649203124997E-2</v>
      </c>
      <c r="AQ524" s="77">
        <f t="shared" si="1200"/>
        <v>4.0448454830157576E-3</v>
      </c>
      <c r="AR524" s="79">
        <v>0</v>
      </c>
      <c r="AS524" s="77">
        <f t="shared" si="1312"/>
        <v>0</v>
      </c>
      <c r="AT524" s="77">
        <f t="shared" ref="AT524" si="1330">1-(1-AS524)^(1/12)</f>
        <v>0</v>
      </c>
      <c r="AU524" s="77">
        <f t="shared" si="1314"/>
        <v>2.48059490625E-3</v>
      </c>
      <c r="AV524" s="77">
        <f t="shared" ref="AV524" si="1331">1-(1-AU524)^(1/12)</f>
        <v>2.0695163916040205E-4</v>
      </c>
      <c r="AX524" t="s">
        <v>178</v>
      </c>
      <c r="AY524" t="s">
        <v>160</v>
      </c>
      <c r="AZ524" s="197" t="str">
        <f t="shared" si="1203"/>
        <v>DIS_Non-Standard_21</v>
      </c>
      <c r="BA524">
        <v>21</v>
      </c>
      <c r="BB524">
        <f>VLOOKUP($BA524,'[2]NonStandard DIS'!$Q$1:$X$542,2,FALSE)</f>
        <v>0</v>
      </c>
      <c r="BC524">
        <f>VLOOKUP($BA524,'[2]NonStandard DIS'!$Q$1:$X$542,3,FALSE)</f>
        <v>0</v>
      </c>
      <c r="BD524">
        <f>VLOOKUP($BA524,'[2]NonStandard DIS'!$Q$1:$X$542,4,FALSE)</f>
        <v>0</v>
      </c>
      <c r="BE524">
        <f>VLOOKUP($BA524,'[2]NonStandard DIS'!$Q$1:$X$542,5,FALSE)</f>
        <v>0</v>
      </c>
      <c r="BF524">
        <f>VLOOKUP($BA524,'[2]NonStandard DIS'!$Q$1:$X$542,6,FALSE)</f>
        <v>0</v>
      </c>
      <c r="BG524">
        <f>VLOOKUP($BA524,'[2]NonStandard DIS'!$Q$1:$X$542,7,FALSE)</f>
        <v>0.25</v>
      </c>
      <c r="BH524">
        <f>VLOOKUP($BA524,'[2]NonStandard DIS'!$Q$1:$X$542,8,FALSE)</f>
        <v>0.75</v>
      </c>
      <c r="BI524" s="77">
        <f t="shared" si="1303"/>
        <v>1</v>
      </c>
      <c r="BJ524" s="77">
        <f t="shared" si="1304"/>
        <v>5.282499999999999E-2</v>
      </c>
      <c r="BK524" s="77">
        <f t="shared" si="1285"/>
        <v>4.2989664504375913E-3</v>
      </c>
      <c r="BL524" s="79">
        <v>1</v>
      </c>
      <c r="BM524" s="77">
        <f t="shared" si="1316"/>
        <v>6.7499999999999999E-3</v>
      </c>
      <c r="BN524" s="77">
        <f t="shared" si="1317"/>
        <v>5.607672336425118E-4</v>
      </c>
      <c r="BO524" s="77">
        <f t="shared" si="1318"/>
        <v>2.5000000000000001E-3</v>
      </c>
      <c r="BP524" s="77">
        <f t="shared" si="1319"/>
        <v>2.0809499864316017E-4</v>
      </c>
    </row>
    <row r="525" spans="1:68">
      <c r="A525" t="s">
        <v>175</v>
      </c>
      <c r="B525" t="s">
        <v>176</v>
      </c>
      <c r="C525" s="197" t="str">
        <f t="shared" si="1197"/>
        <v>Lifecycle_Balanced_20</v>
      </c>
      <c r="D525">
        <v>20</v>
      </c>
      <c r="E525">
        <f>VLOOKUP($D525,'[2]LC Balanced'!$Q$2:$U$542,2,FALSE)</f>
        <v>0.58699999999999997</v>
      </c>
      <c r="F525">
        <f>VLOOKUP($D525,'[2]LC Balanced'!$Q$2:$U$542,3,FALSE)</f>
        <v>0.13899999999999998</v>
      </c>
      <c r="G525">
        <f>VLOOKUP($D525,'[2]LC Balanced'!$Q$2:$U$542,4,FALSE)</f>
        <v>0.27400000000000002</v>
      </c>
      <c r="H525">
        <f>VLOOKUP($D525,'[2]LC Balanced'!$Q$2:$U$542,5,FALSE)</f>
        <v>0</v>
      </c>
      <c r="I525" s="77">
        <f t="shared" si="1298"/>
        <v>1</v>
      </c>
      <c r="J525" s="77">
        <f t="shared" si="1299"/>
        <v>4.9177324999999994E-2</v>
      </c>
      <c r="K525" s="77">
        <f t="shared" si="1289"/>
        <v>4.0085425568248123E-3</v>
      </c>
      <c r="L525" s="76">
        <v>0</v>
      </c>
      <c r="M525" s="77">
        <f t="shared" si="1305"/>
        <v>0</v>
      </c>
      <c r="N525" s="77">
        <f t="shared" si="1306"/>
        <v>0</v>
      </c>
      <c r="O525" s="77">
        <f t="shared" si="1307"/>
        <v>4.2017000000000001E-3</v>
      </c>
      <c r="P525" s="77">
        <f t="shared" si="1308"/>
        <v>3.5081777784973234E-4</v>
      </c>
      <c r="R525" t="s">
        <v>177</v>
      </c>
      <c r="S525" t="s">
        <v>176</v>
      </c>
      <c r="T525" s="197" t="str">
        <f t="shared" si="1240"/>
        <v>Autopilot_Balanced_20</v>
      </c>
      <c r="U525">
        <v>20</v>
      </c>
      <c r="V525">
        <f>VLOOKUP($U525,'[2]AP Balanced'!$Q$1:$T$542,2,FALSE)</f>
        <v>0</v>
      </c>
      <c r="W525">
        <f>VLOOKUP($U525,'[2]AP Balanced'!$Q$1:$T$542,3,FALSE)</f>
        <v>0.8128221000000001</v>
      </c>
      <c r="X525">
        <f>VLOOKUP($U525,'[2]AP Balanced'!$Q$1:$T$542,4,FALSE)</f>
        <v>0.1871778999999999</v>
      </c>
      <c r="Y525" s="77">
        <f t="shared" si="1198"/>
        <v>1</v>
      </c>
      <c r="Z525" s="77">
        <f t="shared" si="1187"/>
        <v>4.9693475584999994E-2</v>
      </c>
      <c r="AA525" s="77">
        <f t="shared" si="1188"/>
        <v>4.0496940676757465E-3</v>
      </c>
      <c r="AB525" s="79">
        <v>1</v>
      </c>
      <c r="AC525" s="77">
        <f t="shared" si="1309"/>
        <v>5.2833436500000002E-3</v>
      </c>
      <c r="AD525" s="77">
        <f t="shared" si="1300"/>
        <v>4.413483992077305E-4</v>
      </c>
      <c r="AE525" s="77">
        <f t="shared" si="1310"/>
        <v>2.48128221E-3</v>
      </c>
      <c r="AF525" s="77">
        <f t="shared" si="1300"/>
        <v>2.0700904503845319E-4</v>
      </c>
      <c r="AH525" t="s">
        <v>175</v>
      </c>
      <c r="AI525" t="s">
        <v>176</v>
      </c>
      <c r="AJ525" s="197" t="str">
        <f t="shared" si="1199"/>
        <v>Lifecycle_Balanced_20</v>
      </c>
      <c r="AK525">
        <v>20</v>
      </c>
      <c r="AL525">
        <f>VLOOKUP($U525,[2]Standard_Balanced!$Q$1:$T$542,2,FALSE)</f>
        <v>0</v>
      </c>
      <c r="AM525">
        <f>VLOOKUP($U525,[2]Standard_Balanced!$Q$1:$T$542,3,FALSE)</f>
        <v>0.80365805000000012</v>
      </c>
      <c r="AN525">
        <f>VLOOKUP($U525,[2]Standard_Balanced!$Q$1:$T$542,4,FALSE)</f>
        <v>0.1963419499999999</v>
      </c>
      <c r="AO525" s="77">
        <f t="shared" si="1286"/>
        <v>1</v>
      </c>
      <c r="AP525" s="77">
        <f t="shared" si="1311"/>
        <v>4.96123737425E-2</v>
      </c>
      <c r="AQ525" s="77">
        <f t="shared" si="1200"/>
        <v>4.043229230893175E-3</v>
      </c>
      <c r="AR525" s="79">
        <v>0</v>
      </c>
      <c r="AS525" s="77">
        <f t="shared" si="1312"/>
        <v>0</v>
      </c>
      <c r="AT525" s="77">
        <f t="shared" ref="AT525" si="1332">1-(1-AS525)^(1/12)</f>
        <v>0</v>
      </c>
      <c r="AU525" s="77">
        <f t="shared" si="1314"/>
        <v>2.4803658049999998E-3</v>
      </c>
      <c r="AV525" s="77">
        <f t="shared" ref="AV525" si="1333">1-(1-AU525)^(1/12)</f>
        <v>2.0693250387571194E-4</v>
      </c>
      <c r="AX525" t="s">
        <v>178</v>
      </c>
      <c r="AY525" t="s">
        <v>160</v>
      </c>
      <c r="AZ525" s="197" t="str">
        <f t="shared" si="1203"/>
        <v>DIS_Non-Standard_20</v>
      </c>
      <c r="BA525">
        <v>20</v>
      </c>
      <c r="BB525">
        <f>VLOOKUP($BA525,'[2]NonStandard DIS'!$Q$1:$X$542,2,FALSE)</f>
        <v>0</v>
      </c>
      <c r="BC525">
        <f>VLOOKUP($BA525,'[2]NonStandard DIS'!$Q$1:$X$542,3,FALSE)</f>
        <v>0</v>
      </c>
      <c r="BD525">
        <f>VLOOKUP($BA525,'[2]NonStandard DIS'!$Q$1:$X$542,4,FALSE)</f>
        <v>0</v>
      </c>
      <c r="BE525">
        <f>VLOOKUP($BA525,'[2]NonStandard DIS'!$Q$1:$X$542,5,FALSE)</f>
        <v>0</v>
      </c>
      <c r="BF525">
        <f>VLOOKUP($BA525,'[2]NonStandard DIS'!$Q$1:$X$542,6,FALSE)</f>
        <v>0</v>
      </c>
      <c r="BG525">
        <f>VLOOKUP($BA525,'[2]NonStandard DIS'!$Q$1:$X$542,7,FALSE)</f>
        <v>0.25</v>
      </c>
      <c r="BH525">
        <f>VLOOKUP($BA525,'[2]NonStandard DIS'!$Q$1:$X$542,8,FALSE)</f>
        <v>0.75</v>
      </c>
      <c r="BI525" s="77">
        <f t="shared" si="1303"/>
        <v>1</v>
      </c>
      <c r="BJ525" s="77">
        <f t="shared" si="1304"/>
        <v>5.282499999999999E-2</v>
      </c>
      <c r="BK525" s="77">
        <f t="shared" si="1285"/>
        <v>4.2989664504375913E-3</v>
      </c>
      <c r="BL525" s="79">
        <v>1</v>
      </c>
      <c r="BM525" s="77">
        <f t="shared" si="1316"/>
        <v>6.7499999999999999E-3</v>
      </c>
      <c r="BN525" s="77">
        <f t="shared" si="1317"/>
        <v>5.607672336425118E-4</v>
      </c>
      <c r="BO525" s="77">
        <f t="shared" si="1318"/>
        <v>2.5000000000000001E-3</v>
      </c>
      <c r="BP525" s="77">
        <f t="shared" si="1319"/>
        <v>2.0809499864316017E-4</v>
      </c>
    </row>
    <row r="526" spans="1:68">
      <c r="A526" t="s">
        <v>175</v>
      </c>
      <c r="B526" t="s">
        <v>176</v>
      </c>
      <c r="C526" s="197" t="str">
        <f t="shared" si="1197"/>
        <v>Lifecycle_Balanced_19</v>
      </c>
      <c r="D526">
        <v>19</v>
      </c>
      <c r="E526">
        <f>VLOOKUP($D526,'[2]LC Balanced'!$Q$2:$U$542,2,FALSE)</f>
        <v>0.58850000000000002</v>
      </c>
      <c r="F526">
        <f>VLOOKUP($D526,'[2]LC Balanced'!$Q$2:$U$542,3,FALSE)</f>
        <v>0.13824999999999998</v>
      </c>
      <c r="G526">
        <f>VLOOKUP($D526,'[2]LC Balanced'!$Q$2:$U$542,4,FALSE)</f>
        <v>0.27324999999999999</v>
      </c>
      <c r="H526">
        <f>VLOOKUP($D526,'[2]LC Balanced'!$Q$2:$U$542,5,FALSE)</f>
        <v>0</v>
      </c>
      <c r="I526" s="77">
        <f t="shared" si="1298"/>
        <v>1</v>
      </c>
      <c r="J526" s="77">
        <f t="shared" si="1299"/>
        <v>4.9157412499999997E-2</v>
      </c>
      <c r="K526" s="77">
        <f t="shared" si="1289"/>
        <v>4.0069546067917905E-3</v>
      </c>
      <c r="L526" s="76">
        <v>0</v>
      </c>
      <c r="M526" s="77">
        <f t="shared" si="1305"/>
        <v>0</v>
      </c>
      <c r="N526" s="77">
        <f t="shared" si="1306"/>
        <v>0</v>
      </c>
      <c r="O526" s="77">
        <f t="shared" si="1307"/>
        <v>4.1954749999999989E-3</v>
      </c>
      <c r="P526" s="77">
        <f t="shared" si="1308"/>
        <v>3.502970232677205E-4</v>
      </c>
      <c r="R526" t="s">
        <v>177</v>
      </c>
      <c r="S526" t="s">
        <v>176</v>
      </c>
      <c r="T526" s="197" t="str">
        <f t="shared" si="1240"/>
        <v>Autopilot_Balanced_19</v>
      </c>
      <c r="U526">
        <v>19</v>
      </c>
      <c r="V526">
        <f>VLOOKUP($U526,'[2]AP Balanced'!$Q$1:$T$542,2,FALSE)</f>
        <v>0</v>
      </c>
      <c r="W526">
        <f>VLOOKUP($U526,'[2]AP Balanced'!$Q$1:$T$542,3,FALSE)</f>
        <v>0.8128221000000001</v>
      </c>
      <c r="X526">
        <f>VLOOKUP($U526,'[2]AP Balanced'!$Q$1:$T$542,4,FALSE)</f>
        <v>0.1871778999999999</v>
      </c>
      <c r="Y526" s="77">
        <f t="shared" si="1198"/>
        <v>1</v>
      </c>
      <c r="Z526" s="77">
        <f t="shared" si="1187"/>
        <v>4.9693475584999994E-2</v>
      </c>
      <c r="AA526" s="77">
        <f t="shared" si="1188"/>
        <v>4.0496940676757465E-3</v>
      </c>
      <c r="AB526" s="79">
        <v>1</v>
      </c>
      <c r="AC526" s="77">
        <f t="shared" si="1309"/>
        <v>5.2833436500000002E-3</v>
      </c>
      <c r="AD526" s="77">
        <f t="shared" si="1300"/>
        <v>4.413483992077305E-4</v>
      </c>
      <c r="AE526" s="77">
        <f t="shared" si="1310"/>
        <v>2.48128221E-3</v>
      </c>
      <c r="AF526" s="77">
        <f t="shared" si="1300"/>
        <v>2.0700904503845319E-4</v>
      </c>
      <c r="AH526" t="s">
        <v>175</v>
      </c>
      <c r="AI526" t="s">
        <v>176</v>
      </c>
      <c r="AJ526" s="197" t="str">
        <f t="shared" si="1199"/>
        <v>Lifecycle_Balanced_19</v>
      </c>
      <c r="AK526">
        <v>19</v>
      </c>
      <c r="AL526">
        <f>VLOOKUP($U526,[2]Standard_Balanced!$Q$1:$T$542,2,FALSE)</f>
        <v>0</v>
      </c>
      <c r="AM526">
        <f>VLOOKUP($U526,[2]Standard_Balanced!$Q$1:$T$542,3,FALSE)</f>
        <v>0.80136703750000005</v>
      </c>
      <c r="AN526">
        <f>VLOOKUP($U526,[2]Standard_Balanced!$Q$1:$T$542,4,FALSE)</f>
        <v>0.19863296249999993</v>
      </c>
      <c r="AO526" s="77">
        <f t="shared" si="1286"/>
        <v>1</v>
      </c>
      <c r="AP526" s="77">
        <f t="shared" si="1311"/>
        <v>4.9592098281874997E-2</v>
      </c>
      <c r="AQ526" s="77">
        <f t="shared" si="1200"/>
        <v>4.0416129501505971E-3</v>
      </c>
      <c r="AR526" s="79">
        <v>0</v>
      </c>
      <c r="AS526" s="77">
        <f t="shared" si="1312"/>
        <v>0</v>
      </c>
      <c r="AT526" s="77">
        <f t="shared" ref="AT526" si="1334">1-(1-AS526)^(1/12)</f>
        <v>0</v>
      </c>
      <c r="AU526" s="77">
        <f t="shared" si="1314"/>
        <v>2.4801367037500001E-3</v>
      </c>
      <c r="AV526" s="77">
        <f t="shared" ref="AV526" si="1335">1-(1-AU526)^(1/12)</f>
        <v>2.0691336859512965E-4</v>
      </c>
      <c r="AX526" t="s">
        <v>178</v>
      </c>
      <c r="AY526" t="s">
        <v>160</v>
      </c>
      <c r="AZ526" s="197" t="str">
        <f t="shared" si="1203"/>
        <v>DIS_Non-Standard_19</v>
      </c>
      <c r="BA526">
        <v>19</v>
      </c>
      <c r="BB526">
        <f>VLOOKUP($BA526,'[2]NonStandard DIS'!$Q$1:$X$542,2,FALSE)</f>
        <v>0</v>
      </c>
      <c r="BC526">
        <f>VLOOKUP($BA526,'[2]NonStandard DIS'!$Q$1:$X$542,3,FALSE)</f>
        <v>0</v>
      </c>
      <c r="BD526">
        <f>VLOOKUP($BA526,'[2]NonStandard DIS'!$Q$1:$X$542,4,FALSE)</f>
        <v>0</v>
      </c>
      <c r="BE526">
        <f>VLOOKUP($BA526,'[2]NonStandard DIS'!$Q$1:$X$542,5,FALSE)</f>
        <v>0</v>
      </c>
      <c r="BF526">
        <f>VLOOKUP($BA526,'[2]NonStandard DIS'!$Q$1:$X$542,6,FALSE)</f>
        <v>0</v>
      </c>
      <c r="BG526">
        <f>VLOOKUP($BA526,'[2]NonStandard DIS'!$Q$1:$X$542,7,FALSE)</f>
        <v>0.25</v>
      </c>
      <c r="BH526">
        <f>VLOOKUP($BA526,'[2]NonStandard DIS'!$Q$1:$X$542,8,FALSE)</f>
        <v>0.75</v>
      </c>
      <c r="BI526" s="77">
        <f t="shared" si="1303"/>
        <v>1</v>
      </c>
      <c r="BJ526" s="77">
        <f t="shared" si="1304"/>
        <v>5.282499999999999E-2</v>
      </c>
      <c r="BK526" s="77">
        <f t="shared" si="1285"/>
        <v>4.2989664504375913E-3</v>
      </c>
      <c r="BL526" s="79">
        <v>1</v>
      </c>
      <c r="BM526" s="77">
        <f t="shared" si="1316"/>
        <v>6.7499999999999999E-3</v>
      </c>
      <c r="BN526" s="77">
        <f t="shared" si="1317"/>
        <v>5.607672336425118E-4</v>
      </c>
      <c r="BO526" s="77">
        <f t="shared" si="1318"/>
        <v>2.5000000000000001E-3</v>
      </c>
      <c r="BP526" s="77">
        <f t="shared" si="1319"/>
        <v>2.0809499864316017E-4</v>
      </c>
    </row>
    <row r="527" spans="1:68">
      <c r="A527" t="s">
        <v>175</v>
      </c>
      <c r="B527" t="s">
        <v>176</v>
      </c>
      <c r="C527" s="197" t="str">
        <f t="shared" si="1197"/>
        <v>Lifecycle_Balanced_18</v>
      </c>
      <c r="D527">
        <v>18</v>
      </c>
      <c r="E527">
        <f>VLOOKUP($D527,'[2]LC Balanced'!$Q$2:$U$542,2,FALSE)</f>
        <v>0.59</v>
      </c>
      <c r="F527">
        <f>VLOOKUP($D527,'[2]LC Balanced'!$Q$2:$U$542,3,FALSE)</f>
        <v>0.13750000000000001</v>
      </c>
      <c r="G527">
        <f>VLOOKUP($D527,'[2]LC Balanced'!$Q$2:$U$542,4,FALSE)</f>
        <v>0.27250000000000002</v>
      </c>
      <c r="H527">
        <f>VLOOKUP($D527,'[2]LC Balanced'!$Q$2:$U$542,5,FALSE)</f>
        <v>0</v>
      </c>
      <c r="I527" s="77">
        <f t="shared" si="1298"/>
        <v>1</v>
      </c>
      <c r="J527" s="77">
        <f t="shared" si="1299"/>
        <v>4.9137500000000001E-2</v>
      </c>
      <c r="K527" s="77">
        <f t="shared" si="1289"/>
        <v>4.0053666291315349E-3</v>
      </c>
      <c r="L527" s="76">
        <v>0</v>
      </c>
      <c r="M527" s="77">
        <f t="shared" si="1305"/>
        <v>0</v>
      </c>
      <c r="N527" s="77">
        <f t="shared" si="1306"/>
        <v>0</v>
      </c>
      <c r="O527" s="77">
        <f t="shared" si="1307"/>
        <v>4.1892500000000003E-3</v>
      </c>
      <c r="P527" s="77">
        <f t="shared" si="1308"/>
        <v>3.497762716697661E-4</v>
      </c>
      <c r="R527" t="s">
        <v>177</v>
      </c>
      <c r="S527" t="s">
        <v>176</v>
      </c>
      <c r="T527" s="197" t="str">
        <f t="shared" si="1240"/>
        <v>Autopilot_Balanced_18</v>
      </c>
      <c r="U527">
        <v>18</v>
      </c>
      <c r="V527">
        <f>VLOOKUP($U527,'[2]AP Balanced'!$Q$1:$T$542,2,FALSE)</f>
        <v>0</v>
      </c>
      <c r="W527">
        <f>VLOOKUP($U527,'[2]AP Balanced'!$Q$1:$T$542,3,FALSE)</f>
        <v>0.8128221000000001</v>
      </c>
      <c r="X527">
        <f>VLOOKUP($U527,'[2]AP Balanced'!$Q$1:$T$542,4,FALSE)</f>
        <v>0.1871778999999999</v>
      </c>
      <c r="Y527" s="77">
        <f t="shared" si="1198"/>
        <v>1</v>
      </c>
      <c r="Z527" s="77">
        <f t="shared" si="1187"/>
        <v>4.9693475584999994E-2</v>
      </c>
      <c r="AA527" s="77">
        <f t="shared" si="1188"/>
        <v>4.0496940676757465E-3</v>
      </c>
      <c r="AB527" s="79">
        <v>1</v>
      </c>
      <c r="AC527" s="77">
        <f t="shared" si="1309"/>
        <v>5.2833436500000002E-3</v>
      </c>
      <c r="AD527" s="77">
        <f t="shared" si="1300"/>
        <v>4.413483992077305E-4</v>
      </c>
      <c r="AE527" s="77">
        <f t="shared" si="1310"/>
        <v>2.48128221E-3</v>
      </c>
      <c r="AF527" s="77">
        <f t="shared" si="1300"/>
        <v>2.0700904503845319E-4</v>
      </c>
      <c r="AH527" t="s">
        <v>175</v>
      </c>
      <c r="AI527" t="s">
        <v>176</v>
      </c>
      <c r="AJ527" s="197" t="str">
        <f t="shared" si="1199"/>
        <v>Lifecycle_Balanced_18</v>
      </c>
      <c r="AK527">
        <v>18</v>
      </c>
      <c r="AL527">
        <f>VLOOKUP($U527,[2]Standard_Balanced!$Q$1:$T$542,2,FALSE)</f>
        <v>0</v>
      </c>
      <c r="AM527">
        <f>VLOOKUP($U527,[2]Standard_Balanced!$Q$1:$T$542,3,FALSE)</f>
        <v>0.79907602500000008</v>
      </c>
      <c r="AN527">
        <f>VLOOKUP($U527,[2]Standard_Balanced!$Q$1:$T$542,4,FALSE)</f>
        <v>0.20092397499999992</v>
      </c>
      <c r="AO527" s="77">
        <f t="shared" si="1286"/>
        <v>1</v>
      </c>
      <c r="AP527" s="77">
        <f t="shared" si="1311"/>
        <v>4.9571822821249993E-2</v>
      </c>
      <c r="AQ527" s="77">
        <f t="shared" si="1200"/>
        <v>4.0399966407873578E-3</v>
      </c>
      <c r="AR527" s="79">
        <v>0</v>
      </c>
      <c r="AS527" s="77">
        <f t="shared" si="1312"/>
        <v>0</v>
      </c>
      <c r="AT527" s="77">
        <f t="shared" ref="AT527" si="1336">1-(1-AS527)^(1/12)</f>
        <v>0</v>
      </c>
      <c r="AU527" s="77">
        <f t="shared" si="1314"/>
        <v>2.4799076024999999E-3</v>
      </c>
      <c r="AV527" s="77">
        <f t="shared" ref="AV527" si="1337">1-(1-AU527)^(1/12)</f>
        <v>2.0689423331854417E-4</v>
      </c>
      <c r="AX527" t="s">
        <v>178</v>
      </c>
      <c r="AY527" t="s">
        <v>160</v>
      </c>
      <c r="AZ527" s="197" t="str">
        <f t="shared" si="1203"/>
        <v>DIS_Non-Standard_18</v>
      </c>
      <c r="BA527">
        <v>18</v>
      </c>
      <c r="BB527">
        <f>VLOOKUP($BA527,'[2]NonStandard DIS'!$Q$1:$X$542,2,FALSE)</f>
        <v>0</v>
      </c>
      <c r="BC527">
        <f>VLOOKUP($BA527,'[2]NonStandard DIS'!$Q$1:$X$542,3,FALSE)</f>
        <v>0</v>
      </c>
      <c r="BD527">
        <f>VLOOKUP($BA527,'[2]NonStandard DIS'!$Q$1:$X$542,4,FALSE)</f>
        <v>0</v>
      </c>
      <c r="BE527">
        <f>VLOOKUP($BA527,'[2]NonStandard DIS'!$Q$1:$X$542,5,FALSE)</f>
        <v>0</v>
      </c>
      <c r="BF527">
        <f>VLOOKUP($BA527,'[2]NonStandard DIS'!$Q$1:$X$542,6,FALSE)</f>
        <v>0</v>
      </c>
      <c r="BG527">
        <f>VLOOKUP($BA527,'[2]NonStandard DIS'!$Q$1:$X$542,7,FALSE)</f>
        <v>0.25</v>
      </c>
      <c r="BH527">
        <f>VLOOKUP($BA527,'[2]NonStandard DIS'!$Q$1:$X$542,8,FALSE)</f>
        <v>0.75</v>
      </c>
      <c r="BI527" s="77">
        <f t="shared" si="1303"/>
        <v>1</v>
      </c>
      <c r="BJ527" s="77">
        <f t="shared" si="1304"/>
        <v>5.282499999999999E-2</v>
      </c>
      <c r="BK527" s="77">
        <f t="shared" si="1285"/>
        <v>4.2989664504375913E-3</v>
      </c>
      <c r="BL527" s="79">
        <v>1</v>
      </c>
      <c r="BM527" s="77">
        <f t="shared" si="1316"/>
        <v>6.7499999999999999E-3</v>
      </c>
      <c r="BN527" s="77">
        <f t="shared" si="1317"/>
        <v>5.607672336425118E-4</v>
      </c>
      <c r="BO527" s="77">
        <f t="shared" si="1318"/>
        <v>2.5000000000000001E-3</v>
      </c>
      <c r="BP527" s="77">
        <f t="shared" si="1319"/>
        <v>2.0809499864316017E-4</v>
      </c>
    </row>
    <row r="528" spans="1:68">
      <c r="A528" t="s">
        <v>175</v>
      </c>
      <c r="B528" t="s">
        <v>176</v>
      </c>
      <c r="C528" s="197" t="str">
        <f t="shared" si="1197"/>
        <v>Lifecycle_Balanced_17</v>
      </c>
      <c r="D528">
        <v>17</v>
      </c>
      <c r="E528">
        <f>VLOOKUP($D528,'[2]LC Balanced'!$Q$2:$U$542,2,FALSE)</f>
        <v>0.59149999999999991</v>
      </c>
      <c r="F528">
        <f>VLOOKUP($D528,'[2]LC Balanced'!$Q$2:$U$542,3,FALSE)</f>
        <v>0.13675000000000001</v>
      </c>
      <c r="G528">
        <f>VLOOKUP($D528,'[2]LC Balanced'!$Q$2:$U$542,4,FALSE)</f>
        <v>0.27175000000000005</v>
      </c>
      <c r="H528">
        <f>VLOOKUP($D528,'[2]LC Balanced'!$Q$2:$U$542,5,FALSE)</f>
        <v>0</v>
      </c>
      <c r="I528" s="77">
        <f t="shared" si="1298"/>
        <v>1</v>
      </c>
      <c r="J528" s="77">
        <f t="shared" si="1299"/>
        <v>4.9117587499999997E-2</v>
      </c>
      <c r="K528" s="77">
        <f t="shared" si="1289"/>
        <v>4.0037786238431572E-3</v>
      </c>
      <c r="L528" s="76">
        <v>0</v>
      </c>
      <c r="M528" s="77">
        <f t="shared" si="1305"/>
        <v>0</v>
      </c>
      <c r="N528" s="77">
        <f t="shared" si="1306"/>
        <v>0</v>
      </c>
      <c r="O528" s="77">
        <f t="shared" si="1307"/>
        <v>4.1830249999999999E-3</v>
      </c>
      <c r="P528" s="77">
        <f t="shared" si="1308"/>
        <v>3.4925552305575813E-4</v>
      </c>
      <c r="R528" t="s">
        <v>177</v>
      </c>
      <c r="S528" t="s">
        <v>176</v>
      </c>
      <c r="T528" s="197" t="str">
        <f t="shared" si="1240"/>
        <v>Autopilot_Balanced_17</v>
      </c>
      <c r="U528">
        <v>17</v>
      </c>
      <c r="V528">
        <f>VLOOKUP($U528,'[2]AP Balanced'!$Q$1:$T$542,2,FALSE)</f>
        <v>0</v>
      </c>
      <c r="W528">
        <f>VLOOKUP($U528,'[2]AP Balanced'!$Q$1:$T$542,3,FALSE)</f>
        <v>0.8128221000000001</v>
      </c>
      <c r="X528">
        <f>VLOOKUP($U528,'[2]AP Balanced'!$Q$1:$T$542,4,FALSE)</f>
        <v>0.1871778999999999</v>
      </c>
      <c r="Y528" s="77">
        <f t="shared" si="1198"/>
        <v>1</v>
      </c>
      <c r="Z528" s="77">
        <f t="shared" si="1187"/>
        <v>4.9693475584999994E-2</v>
      </c>
      <c r="AA528" s="77">
        <f t="shared" si="1188"/>
        <v>4.0496940676757465E-3</v>
      </c>
      <c r="AB528" s="79">
        <v>1</v>
      </c>
      <c r="AC528" s="77">
        <f t="shared" si="1309"/>
        <v>5.2833436500000002E-3</v>
      </c>
      <c r="AD528" s="77">
        <f t="shared" si="1300"/>
        <v>4.413483992077305E-4</v>
      </c>
      <c r="AE528" s="77">
        <f t="shared" si="1310"/>
        <v>2.48128221E-3</v>
      </c>
      <c r="AF528" s="77">
        <f t="shared" si="1300"/>
        <v>2.0700904503845319E-4</v>
      </c>
      <c r="AH528" t="s">
        <v>175</v>
      </c>
      <c r="AI528" t="s">
        <v>176</v>
      </c>
      <c r="AJ528" s="197" t="str">
        <f t="shared" si="1199"/>
        <v>Lifecycle_Balanced_17</v>
      </c>
      <c r="AK528">
        <v>17</v>
      </c>
      <c r="AL528">
        <f>VLOOKUP($U528,[2]Standard_Balanced!$Q$1:$T$542,2,FALSE)</f>
        <v>0</v>
      </c>
      <c r="AM528">
        <f>VLOOKUP($U528,[2]Standard_Balanced!$Q$1:$T$542,3,FALSE)</f>
        <v>0.79678501250000011</v>
      </c>
      <c r="AN528">
        <f>VLOOKUP($U528,[2]Standard_Balanced!$Q$1:$T$542,4,FALSE)</f>
        <v>0.20321498749999992</v>
      </c>
      <c r="AO528" s="77">
        <f t="shared" si="1286"/>
        <v>1</v>
      </c>
      <c r="AP528" s="77">
        <f t="shared" si="1311"/>
        <v>4.9551547360625003E-2</v>
      </c>
      <c r="AQ528" s="77">
        <f t="shared" si="1200"/>
        <v>4.0383803028023468E-3</v>
      </c>
      <c r="AR528" s="79">
        <v>0</v>
      </c>
      <c r="AS528" s="77">
        <f t="shared" si="1312"/>
        <v>0</v>
      </c>
      <c r="AT528" s="77">
        <f t="shared" ref="AT528" si="1338">1-(1-AS528)^(1/12)</f>
        <v>0</v>
      </c>
      <c r="AU528" s="77">
        <f t="shared" si="1314"/>
        <v>2.4796785012500002E-3</v>
      </c>
      <c r="AV528" s="77">
        <f t="shared" ref="AV528" si="1339">1-(1-AU528)^(1/12)</f>
        <v>2.068750980459555E-4</v>
      </c>
      <c r="AX528" t="s">
        <v>178</v>
      </c>
      <c r="AY528" t="s">
        <v>160</v>
      </c>
      <c r="AZ528" s="197" t="str">
        <f t="shared" si="1203"/>
        <v>DIS_Non-Standard_17</v>
      </c>
      <c r="BA528">
        <v>17</v>
      </c>
      <c r="BB528">
        <f>VLOOKUP($BA528,'[2]NonStandard DIS'!$Q$1:$X$542,2,FALSE)</f>
        <v>0</v>
      </c>
      <c r="BC528">
        <f>VLOOKUP($BA528,'[2]NonStandard DIS'!$Q$1:$X$542,3,FALSE)</f>
        <v>0</v>
      </c>
      <c r="BD528">
        <f>VLOOKUP($BA528,'[2]NonStandard DIS'!$Q$1:$X$542,4,FALSE)</f>
        <v>0</v>
      </c>
      <c r="BE528">
        <f>VLOOKUP($BA528,'[2]NonStandard DIS'!$Q$1:$X$542,5,FALSE)</f>
        <v>0</v>
      </c>
      <c r="BF528">
        <f>VLOOKUP($BA528,'[2]NonStandard DIS'!$Q$1:$X$542,6,FALSE)</f>
        <v>0</v>
      </c>
      <c r="BG528">
        <f>VLOOKUP($BA528,'[2]NonStandard DIS'!$Q$1:$X$542,7,FALSE)</f>
        <v>0.25</v>
      </c>
      <c r="BH528">
        <f>VLOOKUP($BA528,'[2]NonStandard DIS'!$Q$1:$X$542,8,FALSE)</f>
        <v>0.75</v>
      </c>
      <c r="BI528" s="77">
        <f t="shared" si="1303"/>
        <v>1</v>
      </c>
      <c r="BJ528" s="77">
        <f t="shared" si="1304"/>
        <v>5.282499999999999E-2</v>
      </c>
      <c r="BK528" s="77">
        <f t="shared" si="1285"/>
        <v>4.2989664504375913E-3</v>
      </c>
      <c r="BL528" s="79">
        <v>1</v>
      </c>
      <c r="BM528" s="77">
        <f t="shared" si="1316"/>
        <v>6.7499999999999999E-3</v>
      </c>
      <c r="BN528" s="77">
        <f t="shared" si="1317"/>
        <v>5.607672336425118E-4</v>
      </c>
      <c r="BO528" s="77">
        <f t="shared" si="1318"/>
        <v>2.5000000000000001E-3</v>
      </c>
      <c r="BP528" s="77">
        <f t="shared" si="1319"/>
        <v>2.0809499864316017E-4</v>
      </c>
    </row>
    <row r="529" spans="1:68">
      <c r="A529" t="s">
        <v>175</v>
      </c>
      <c r="B529" t="s">
        <v>176</v>
      </c>
      <c r="C529" s="197" t="str">
        <f t="shared" si="1197"/>
        <v>Lifecycle_Balanced_16</v>
      </c>
      <c r="D529">
        <v>16</v>
      </c>
      <c r="E529">
        <f>VLOOKUP($D529,'[2]LC Balanced'!$Q$2:$U$542,2,FALSE)</f>
        <v>0.59299999999999997</v>
      </c>
      <c r="F529">
        <f>VLOOKUP($D529,'[2]LC Balanced'!$Q$2:$U$542,3,FALSE)</f>
        <v>0.13600000000000001</v>
      </c>
      <c r="G529">
        <f>VLOOKUP($D529,'[2]LC Balanced'!$Q$2:$U$542,4,FALSE)</f>
        <v>0.27100000000000002</v>
      </c>
      <c r="H529">
        <f>VLOOKUP($D529,'[2]LC Balanced'!$Q$2:$U$542,5,FALSE)</f>
        <v>0</v>
      </c>
      <c r="I529" s="77">
        <f t="shared" si="1298"/>
        <v>1</v>
      </c>
      <c r="J529" s="77">
        <f t="shared" si="1299"/>
        <v>4.9097675E-2</v>
      </c>
      <c r="K529" s="77">
        <f t="shared" si="1289"/>
        <v>4.0021905909255473E-3</v>
      </c>
      <c r="L529" s="76">
        <v>0</v>
      </c>
      <c r="M529" s="77">
        <f t="shared" si="1305"/>
        <v>0</v>
      </c>
      <c r="N529" s="77">
        <f t="shared" si="1306"/>
        <v>0</v>
      </c>
      <c r="O529" s="77">
        <f t="shared" si="1307"/>
        <v>4.1767999999999996E-3</v>
      </c>
      <c r="P529" s="77">
        <f t="shared" si="1308"/>
        <v>3.4873477742580761E-4</v>
      </c>
      <c r="R529" t="s">
        <v>177</v>
      </c>
      <c r="S529" t="s">
        <v>176</v>
      </c>
      <c r="T529" s="197" t="str">
        <f t="shared" si="1240"/>
        <v>Autopilot_Balanced_16</v>
      </c>
      <c r="U529">
        <v>16</v>
      </c>
      <c r="V529">
        <f>VLOOKUP($U529,'[2]AP Balanced'!$Q$1:$T$542,2,FALSE)</f>
        <v>0</v>
      </c>
      <c r="W529">
        <f>VLOOKUP($U529,'[2]AP Balanced'!$Q$1:$T$542,3,FALSE)</f>
        <v>0.8128221000000001</v>
      </c>
      <c r="X529">
        <f>VLOOKUP($U529,'[2]AP Balanced'!$Q$1:$T$542,4,FALSE)</f>
        <v>0.1871778999999999</v>
      </c>
      <c r="Y529" s="77">
        <f t="shared" si="1198"/>
        <v>1</v>
      </c>
      <c r="Z529" s="77">
        <f t="shared" si="1187"/>
        <v>4.9693475584999994E-2</v>
      </c>
      <c r="AA529" s="77">
        <f t="shared" si="1188"/>
        <v>4.0496940676757465E-3</v>
      </c>
      <c r="AB529" s="79">
        <v>1</v>
      </c>
      <c r="AC529" s="77">
        <f t="shared" si="1309"/>
        <v>5.2833436500000002E-3</v>
      </c>
      <c r="AD529" s="77">
        <f t="shared" si="1300"/>
        <v>4.413483992077305E-4</v>
      </c>
      <c r="AE529" s="77">
        <f t="shared" si="1310"/>
        <v>2.48128221E-3</v>
      </c>
      <c r="AF529" s="77">
        <f t="shared" si="1300"/>
        <v>2.0700904503845319E-4</v>
      </c>
      <c r="AH529" t="s">
        <v>175</v>
      </c>
      <c r="AI529" t="s">
        <v>176</v>
      </c>
      <c r="AJ529" s="197" t="str">
        <f t="shared" si="1199"/>
        <v>Lifecycle_Balanced_16</v>
      </c>
      <c r="AK529">
        <v>16</v>
      </c>
      <c r="AL529">
        <f>VLOOKUP($U529,[2]Standard_Balanced!$Q$1:$T$542,2,FALSE)</f>
        <v>0</v>
      </c>
      <c r="AM529">
        <f>VLOOKUP($U529,[2]Standard_Balanced!$Q$1:$T$542,3,FALSE)</f>
        <v>0.79449400000000003</v>
      </c>
      <c r="AN529">
        <f>VLOOKUP($U529,[2]Standard_Balanced!$Q$1:$T$542,4,FALSE)</f>
        <v>0.20550599999999994</v>
      </c>
      <c r="AO529" s="77">
        <f t="shared" si="1286"/>
        <v>1</v>
      </c>
      <c r="AP529" s="77">
        <f t="shared" si="1311"/>
        <v>4.9531271899999993E-2</v>
      </c>
      <c r="AQ529" s="77">
        <f t="shared" si="1200"/>
        <v>4.036763936194232E-3</v>
      </c>
      <c r="AR529" s="79">
        <v>0</v>
      </c>
      <c r="AS529" s="77">
        <f t="shared" si="1312"/>
        <v>0</v>
      </c>
      <c r="AT529" s="77">
        <f t="shared" ref="AT529" si="1340">1-(1-AS529)^(1/12)</f>
        <v>0</v>
      </c>
      <c r="AU529" s="77">
        <f t="shared" si="1314"/>
        <v>2.4794494E-3</v>
      </c>
      <c r="AV529" s="77">
        <f t="shared" ref="AV529" si="1341">1-(1-AU529)^(1/12)</f>
        <v>2.0685596277747464E-4</v>
      </c>
      <c r="AX529" t="s">
        <v>178</v>
      </c>
      <c r="AY529" t="s">
        <v>160</v>
      </c>
      <c r="AZ529" s="197" t="str">
        <f t="shared" si="1203"/>
        <v>DIS_Non-Standard_16</v>
      </c>
      <c r="BA529">
        <v>16</v>
      </c>
      <c r="BB529">
        <f>VLOOKUP($BA529,'[2]NonStandard DIS'!$Q$1:$X$542,2,FALSE)</f>
        <v>0</v>
      </c>
      <c r="BC529">
        <f>VLOOKUP($BA529,'[2]NonStandard DIS'!$Q$1:$X$542,3,FALSE)</f>
        <v>0</v>
      </c>
      <c r="BD529">
        <f>VLOOKUP($BA529,'[2]NonStandard DIS'!$Q$1:$X$542,4,FALSE)</f>
        <v>0</v>
      </c>
      <c r="BE529">
        <f>VLOOKUP($BA529,'[2]NonStandard DIS'!$Q$1:$X$542,5,FALSE)</f>
        <v>0</v>
      </c>
      <c r="BF529">
        <f>VLOOKUP($BA529,'[2]NonStandard DIS'!$Q$1:$X$542,6,FALSE)</f>
        <v>0</v>
      </c>
      <c r="BG529">
        <f>VLOOKUP($BA529,'[2]NonStandard DIS'!$Q$1:$X$542,7,FALSE)</f>
        <v>0.25</v>
      </c>
      <c r="BH529">
        <f>VLOOKUP($BA529,'[2]NonStandard DIS'!$Q$1:$X$542,8,FALSE)</f>
        <v>0.75</v>
      </c>
      <c r="BI529" s="77">
        <f t="shared" si="1303"/>
        <v>1</v>
      </c>
      <c r="BJ529" s="77">
        <f t="shared" si="1304"/>
        <v>5.282499999999999E-2</v>
      </c>
      <c r="BK529" s="77">
        <f t="shared" si="1285"/>
        <v>4.2989664504375913E-3</v>
      </c>
      <c r="BL529" s="79">
        <v>1</v>
      </c>
      <c r="BM529" s="77">
        <f t="shared" si="1316"/>
        <v>6.7499999999999999E-3</v>
      </c>
      <c r="BN529" s="77">
        <f t="shared" si="1317"/>
        <v>5.607672336425118E-4</v>
      </c>
      <c r="BO529" s="77">
        <f t="shared" si="1318"/>
        <v>2.5000000000000001E-3</v>
      </c>
      <c r="BP529" s="77">
        <f t="shared" si="1319"/>
        <v>2.0809499864316017E-4</v>
      </c>
    </row>
    <row r="530" spans="1:68">
      <c r="A530" t="s">
        <v>175</v>
      </c>
      <c r="B530" t="s">
        <v>176</v>
      </c>
      <c r="C530" s="197" t="str">
        <f t="shared" si="1197"/>
        <v>Lifecycle_Balanced_15</v>
      </c>
      <c r="D530">
        <v>15</v>
      </c>
      <c r="E530">
        <f>VLOOKUP($D530,'[2]LC Balanced'!$Q$2:$U$542,2,FALSE)</f>
        <v>0.59450000000000003</v>
      </c>
      <c r="F530">
        <f>VLOOKUP($D530,'[2]LC Balanced'!$Q$2:$U$542,3,FALSE)</f>
        <v>0.13525000000000001</v>
      </c>
      <c r="G530">
        <f>VLOOKUP($D530,'[2]LC Balanced'!$Q$2:$U$542,4,FALSE)</f>
        <v>0.27024999999999999</v>
      </c>
      <c r="H530">
        <f>VLOOKUP($D530,'[2]LC Balanced'!$Q$2:$U$542,5,FALSE)</f>
        <v>0</v>
      </c>
      <c r="I530" s="77">
        <f t="shared" si="1298"/>
        <v>1</v>
      </c>
      <c r="J530" s="77">
        <f t="shared" si="1299"/>
        <v>4.9077762499999997E-2</v>
      </c>
      <c r="K530" s="77">
        <f t="shared" si="1289"/>
        <v>4.0006025303775949E-3</v>
      </c>
      <c r="L530" s="76">
        <v>0</v>
      </c>
      <c r="M530" s="77">
        <f t="shared" si="1305"/>
        <v>0</v>
      </c>
      <c r="N530" s="77">
        <f t="shared" si="1306"/>
        <v>0</v>
      </c>
      <c r="O530" s="77">
        <f t="shared" si="1307"/>
        <v>4.1705750000000002E-3</v>
      </c>
      <c r="P530" s="77">
        <f t="shared" si="1308"/>
        <v>3.4821403477991453E-4</v>
      </c>
      <c r="R530" t="s">
        <v>177</v>
      </c>
      <c r="S530" t="s">
        <v>176</v>
      </c>
      <c r="T530" s="197" t="str">
        <f t="shared" si="1240"/>
        <v>Autopilot_Balanced_15</v>
      </c>
      <c r="U530">
        <v>15</v>
      </c>
      <c r="V530">
        <f>VLOOKUP($U530,'[2]AP Balanced'!$Q$1:$T$542,2,FALSE)</f>
        <v>0</v>
      </c>
      <c r="W530">
        <f>VLOOKUP($U530,'[2]AP Balanced'!$Q$1:$T$542,3,FALSE)</f>
        <v>0.8128221000000001</v>
      </c>
      <c r="X530">
        <f>VLOOKUP($U530,'[2]AP Balanced'!$Q$1:$T$542,4,FALSE)</f>
        <v>0.1871778999999999</v>
      </c>
      <c r="Y530" s="77">
        <f t="shared" si="1198"/>
        <v>1</v>
      </c>
      <c r="Z530" s="77">
        <f t="shared" si="1187"/>
        <v>4.9693475584999994E-2</v>
      </c>
      <c r="AA530" s="77">
        <f t="shared" si="1188"/>
        <v>4.0496940676757465E-3</v>
      </c>
      <c r="AB530" s="79">
        <v>1</v>
      </c>
      <c r="AC530" s="77">
        <f t="shared" si="1309"/>
        <v>5.2833436500000002E-3</v>
      </c>
      <c r="AD530" s="77">
        <f t="shared" si="1300"/>
        <v>4.413483992077305E-4</v>
      </c>
      <c r="AE530" s="77">
        <f t="shared" si="1310"/>
        <v>2.48128221E-3</v>
      </c>
      <c r="AF530" s="77">
        <f t="shared" si="1300"/>
        <v>2.0700904503845319E-4</v>
      </c>
      <c r="AH530" t="s">
        <v>175</v>
      </c>
      <c r="AI530" t="s">
        <v>176</v>
      </c>
      <c r="AJ530" s="197" t="str">
        <f t="shared" si="1199"/>
        <v>Lifecycle_Balanced_15</v>
      </c>
      <c r="AK530">
        <v>15</v>
      </c>
      <c r="AL530">
        <f>VLOOKUP($U530,[2]Standard_Balanced!$Q$1:$T$542,2,FALSE)</f>
        <v>0</v>
      </c>
      <c r="AM530">
        <f>VLOOKUP($U530,[2]Standard_Balanced!$Q$1:$T$542,3,FALSE)</f>
        <v>0.79220298750000007</v>
      </c>
      <c r="AN530">
        <f>VLOOKUP($U530,[2]Standard_Balanced!$Q$1:$T$542,4,FALSE)</f>
        <v>0.20779701249999993</v>
      </c>
      <c r="AO530" s="77">
        <f t="shared" si="1286"/>
        <v>1</v>
      </c>
      <c r="AP530" s="77">
        <f t="shared" si="1311"/>
        <v>4.9510996439374996E-2</v>
      </c>
      <c r="AQ530" s="77">
        <f t="shared" si="1200"/>
        <v>4.0351475409621251E-3</v>
      </c>
      <c r="AR530" s="79">
        <v>0</v>
      </c>
      <c r="AS530" s="77">
        <f t="shared" si="1312"/>
        <v>0</v>
      </c>
      <c r="AT530" s="77">
        <f t="shared" ref="AT530" si="1342">1-(1-AS530)^(1/12)</f>
        <v>0</v>
      </c>
      <c r="AU530" s="77">
        <f t="shared" si="1314"/>
        <v>2.4792202987499999E-3</v>
      </c>
      <c r="AV530" s="77">
        <f t="shared" ref="AV530" si="1343">1-(1-AU530)^(1/12)</f>
        <v>2.068368275129906E-4</v>
      </c>
      <c r="AX530" t="s">
        <v>178</v>
      </c>
      <c r="AY530" t="s">
        <v>160</v>
      </c>
      <c r="AZ530" s="197" t="str">
        <f t="shared" si="1203"/>
        <v>DIS_Non-Standard_15</v>
      </c>
      <c r="BA530">
        <v>15</v>
      </c>
      <c r="BB530">
        <f>VLOOKUP($BA530,'[2]NonStandard DIS'!$Q$1:$X$542,2,FALSE)</f>
        <v>0</v>
      </c>
      <c r="BC530">
        <f>VLOOKUP($BA530,'[2]NonStandard DIS'!$Q$1:$X$542,3,FALSE)</f>
        <v>0</v>
      </c>
      <c r="BD530">
        <f>VLOOKUP($BA530,'[2]NonStandard DIS'!$Q$1:$X$542,4,FALSE)</f>
        <v>0</v>
      </c>
      <c r="BE530">
        <f>VLOOKUP($BA530,'[2]NonStandard DIS'!$Q$1:$X$542,5,FALSE)</f>
        <v>0</v>
      </c>
      <c r="BF530">
        <f>VLOOKUP($BA530,'[2]NonStandard DIS'!$Q$1:$X$542,6,FALSE)</f>
        <v>0</v>
      </c>
      <c r="BG530">
        <f>VLOOKUP($BA530,'[2]NonStandard DIS'!$Q$1:$X$542,7,FALSE)</f>
        <v>0.25</v>
      </c>
      <c r="BH530">
        <f>VLOOKUP($BA530,'[2]NonStandard DIS'!$Q$1:$X$542,8,FALSE)</f>
        <v>0.75</v>
      </c>
      <c r="BI530" s="77">
        <f t="shared" si="1303"/>
        <v>1</v>
      </c>
      <c r="BJ530" s="77">
        <f t="shared" si="1304"/>
        <v>5.282499999999999E-2</v>
      </c>
      <c r="BK530" s="77">
        <f t="shared" si="1285"/>
        <v>4.2989664504375913E-3</v>
      </c>
      <c r="BL530" s="79">
        <v>1</v>
      </c>
      <c r="BM530" s="77">
        <f t="shared" si="1316"/>
        <v>6.7499999999999999E-3</v>
      </c>
      <c r="BN530" s="77">
        <f t="shared" si="1317"/>
        <v>5.607672336425118E-4</v>
      </c>
      <c r="BO530" s="77">
        <f t="shared" si="1318"/>
        <v>2.5000000000000001E-3</v>
      </c>
      <c r="BP530" s="77">
        <f t="shared" si="1319"/>
        <v>2.0809499864316017E-4</v>
      </c>
    </row>
    <row r="531" spans="1:68">
      <c r="A531" t="s">
        <v>175</v>
      </c>
      <c r="B531" t="s">
        <v>176</v>
      </c>
      <c r="C531" s="197" t="str">
        <f t="shared" si="1197"/>
        <v>Lifecycle_Balanced_14</v>
      </c>
      <c r="D531">
        <v>14</v>
      </c>
      <c r="E531">
        <f>VLOOKUP($D531,'[2]LC Balanced'!$Q$2:$U$542,2,FALSE)</f>
        <v>0.59599999999999997</v>
      </c>
      <c r="F531">
        <f>VLOOKUP($D531,'[2]LC Balanced'!$Q$2:$U$542,3,FALSE)</f>
        <v>0.13450000000000001</v>
      </c>
      <c r="G531">
        <f>VLOOKUP($D531,'[2]LC Balanced'!$Q$2:$U$542,4,FALSE)</f>
        <v>0.26950000000000002</v>
      </c>
      <c r="H531">
        <f>VLOOKUP($D531,'[2]LC Balanced'!$Q$2:$U$542,5,FALSE)</f>
        <v>0</v>
      </c>
      <c r="I531" s="77">
        <f t="shared" si="1298"/>
        <v>1</v>
      </c>
      <c r="J531" s="77">
        <f t="shared" si="1299"/>
        <v>4.905785E-2</v>
      </c>
      <c r="K531" s="77">
        <f t="shared" si="1289"/>
        <v>3.999014442198412E-3</v>
      </c>
      <c r="L531" s="76">
        <v>0</v>
      </c>
      <c r="M531" s="77">
        <f t="shared" si="1305"/>
        <v>0</v>
      </c>
      <c r="N531" s="77">
        <f t="shared" si="1306"/>
        <v>0</v>
      </c>
      <c r="O531" s="77">
        <f t="shared" si="1307"/>
        <v>4.1643499999999998E-3</v>
      </c>
      <c r="P531" s="77">
        <f t="shared" si="1308"/>
        <v>3.4769329511785685E-4</v>
      </c>
      <c r="R531" t="s">
        <v>177</v>
      </c>
      <c r="S531" t="s">
        <v>176</v>
      </c>
      <c r="T531" s="197" t="str">
        <f t="shared" si="1240"/>
        <v>Autopilot_Balanced_14</v>
      </c>
      <c r="U531">
        <v>14</v>
      </c>
      <c r="V531">
        <f>VLOOKUP($U531,'[2]AP Balanced'!$Q$1:$T$542,2,FALSE)</f>
        <v>0</v>
      </c>
      <c r="W531">
        <f>VLOOKUP($U531,'[2]AP Balanced'!$Q$1:$T$542,3,FALSE)</f>
        <v>0.8128221000000001</v>
      </c>
      <c r="X531">
        <f>VLOOKUP($U531,'[2]AP Balanced'!$Q$1:$T$542,4,FALSE)</f>
        <v>0.1871778999999999</v>
      </c>
      <c r="Y531" s="77">
        <f t="shared" si="1198"/>
        <v>1</v>
      </c>
      <c r="Z531" s="77">
        <f t="shared" ref="Z531:Z544" si="1344">SUMPRODUCT($V$1:$X$1,V531:X531)</f>
        <v>4.9693475584999994E-2</v>
      </c>
      <c r="AA531" s="77">
        <f t="shared" ref="AA531:AA544" si="1345">(1+Z531)^(1/12)-1</f>
        <v>4.0496940676757465E-3</v>
      </c>
      <c r="AB531" s="79">
        <v>1</v>
      </c>
      <c r="AC531" s="77">
        <f t="shared" si="1309"/>
        <v>5.2833436500000002E-3</v>
      </c>
      <c r="AD531" s="77">
        <f t="shared" si="1300"/>
        <v>4.413483992077305E-4</v>
      </c>
      <c r="AE531" s="77">
        <f t="shared" si="1310"/>
        <v>2.48128221E-3</v>
      </c>
      <c r="AF531" s="77">
        <f t="shared" si="1300"/>
        <v>2.0700904503845319E-4</v>
      </c>
      <c r="AH531" t="s">
        <v>175</v>
      </c>
      <c r="AI531" t="s">
        <v>176</v>
      </c>
      <c r="AJ531" s="197" t="str">
        <f t="shared" si="1199"/>
        <v>Lifecycle_Balanced_14</v>
      </c>
      <c r="AK531">
        <v>14</v>
      </c>
      <c r="AL531">
        <f>VLOOKUP($U531,[2]Standard_Balanced!$Q$1:$T$542,2,FALSE)</f>
        <v>0</v>
      </c>
      <c r="AM531">
        <f>VLOOKUP($U531,[2]Standard_Balanced!$Q$1:$T$542,3,FALSE)</f>
        <v>0.7899119750000001</v>
      </c>
      <c r="AN531">
        <f>VLOOKUP($U531,[2]Standard_Balanced!$Q$1:$T$542,4,FALSE)</f>
        <v>0.21008802499999993</v>
      </c>
      <c r="AO531" s="77">
        <f t="shared" si="1286"/>
        <v>1</v>
      </c>
      <c r="AP531" s="77">
        <f t="shared" si="1311"/>
        <v>4.9490720978749993E-2</v>
      </c>
      <c r="AQ531" s="77">
        <f t="shared" si="1200"/>
        <v>4.033531117104916E-3</v>
      </c>
      <c r="AR531" s="79">
        <v>0</v>
      </c>
      <c r="AS531" s="77">
        <f t="shared" si="1312"/>
        <v>0</v>
      </c>
      <c r="AT531" s="77">
        <f t="shared" ref="AT531" si="1346">1-(1-AS531)^(1/12)</f>
        <v>0</v>
      </c>
      <c r="AU531" s="77">
        <f t="shared" si="1314"/>
        <v>2.4789911975000001E-3</v>
      </c>
      <c r="AV531" s="77">
        <f t="shared" ref="AV531" si="1347">1-(1-AU531)^(1/12)</f>
        <v>2.0681769225250335E-4</v>
      </c>
      <c r="AX531" t="s">
        <v>178</v>
      </c>
      <c r="AY531" t="s">
        <v>160</v>
      </c>
      <c r="AZ531" s="197" t="str">
        <f t="shared" si="1203"/>
        <v>DIS_Non-Standard_14</v>
      </c>
      <c r="BA531">
        <v>14</v>
      </c>
      <c r="BB531">
        <f>VLOOKUP($BA531,'[2]NonStandard DIS'!$Q$1:$X$542,2,FALSE)</f>
        <v>0</v>
      </c>
      <c r="BC531">
        <f>VLOOKUP($BA531,'[2]NonStandard DIS'!$Q$1:$X$542,3,FALSE)</f>
        <v>0</v>
      </c>
      <c r="BD531">
        <f>VLOOKUP($BA531,'[2]NonStandard DIS'!$Q$1:$X$542,4,FALSE)</f>
        <v>0</v>
      </c>
      <c r="BE531">
        <f>VLOOKUP($BA531,'[2]NonStandard DIS'!$Q$1:$X$542,5,FALSE)</f>
        <v>0</v>
      </c>
      <c r="BF531">
        <f>VLOOKUP($BA531,'[2]NonStandard DIS'!$Q$1:$X$542,6,FALSE)</f>
        <v>0</v>
      </c>
      <c r="BG531">
        <f>VLOOKUP($BA531,'[2]NonStandard DIS'!$Q$1:$X$542,7,FALSE)</f>
        <v>0.25</v>
      </c>
      <c r="BH531">
        <f>VLOOKUP($BA531,'[2]NonStandard DIS'!$Q$1:$X$542,8,FALSE)</f>
        <v>0.75</v>
      </c>
      <c r="BI531" s="77">
        <f t="shared" si="1303"/>
        <v>1</v>
      </c>
      <c r="BJ531" s="77">
        <f t="shared" si="1304"/>
        <v>5.282499999999999E-2</v>
      </c>
      <c r="BK531" s="77">
        <f t="shared" si="1285"/>
        <v>4.2989664504375913E-3</v>
      </c>
      <c r="BL531" s="79">
        <v>1</v>
      </c>
      <c r="BM531" s="77">
        <f t="shared" si="1316"/>
        <v>6.7499999999999999E-3</v>
      </c>
      <c r="BN531" s="77">
        <f t="shared" si="1317"/>
        <v>5.607672336425118E-4</v>
      </c>
      <c r="BO531" s="77">
        <f t="shared" si="1318"/>
        <v>2.5000000000000001E-3</v>
      </c>
      <c r="BP531" s="77">
        <f t="shared" si="1319"/>
        <v>2.0809499864316017E-4</v>
      </c>
    </row>
    <row r="532" spans="1:68">
      <c r="A532" t="s">
        <v>175</v>
      </c>
      <c r="B532" t="s">
        <v>176</v>
      </c>
      <c r="C532" s="197" t="str">
        <f t="shared" si="1197"/>
        <v>Lifecycle_Balanced_13</v>
      </c>
      <c r="D532">
        <v>13</v>
      </c>
      <c r="E532">
        <f>VLOOKUP($D532,'[2]LC Balanced'!$Q$2:$U$542,2,FALSE)</f>
        <v>0.59749999999999992</v>
      </c>
      <c r="F532">
        <f>VLOOKUP($D532,'[2]LC Balanced'!$Q$2:$U$542,3,FALSE)</f>
        <v>0.13375000000000001</v>
      </c>
      <c r="G532">
        <f>VLOOKUP($D532,'[2]LC Balanced'!$Q$2:$U$542,4,FALSE)</f>
        <v>0.26875000000000004</v>
      </c>
      <c r="H532">
        <f>VLOOKUP($D532,'[2]LC Balanced'!$Q$2:$U$542,5,FALSE)</f>
        <v>0</v>
      </c>
      <c r="I532" s="77">
        <f t="shared" si="1298"/>
        <v>1</v>
      </c>
      <c r="J532" s="77">
        <f t="shared" si="1299"/>
        <v>4.9037937500000003E-2</v>
      </c>
      <c r="K532" s="77">
        <f t="shared" si="1289"/>
        <v>3.9974263263868881E-3</v>
      </c>
      <c r="L532" s="76">
        <v>0</v>
      </c>
      <c r="M532" s="77">
        <f t="shared" si="1305"/>
        <v>0</v>
      </c>
      <c r="N532" s="77">
        <f t="shared" si="1306"/>
        <v>0</v>
      </c>
      <c r="O532" s="77">
        <f t="shared" si="1307"/>
        <v>4.1581250000000004E-3</v>
      </c>
      <c r="P532" s="77">
        <f t="shared" si="1308"/>
        <v>3.4717255843963457E-4</v>
      </c>
      <c r="R532" t="s">
        <v>177</v>
      </c>
      <c r="S532" t="s">
        <v>176</v>
      </c>
      <c r="T532" s="197" t="str">
        <f t="shared" si="1240"/>
        <v>Autopilot_Balanced_13</v>
      </c>
      <c r="U532">
        <v>13</v>
      </c>
      <c r="V532">
        <f>VLOOKUP($U532,'[2]AP Balanced'!$Q$1:$T$542,2,FALSE)</f>
        <v>0</v>
      </c>
      <c r="W532">
        <f>VLOOKUP($U532,'[2]AP Balanced'!$Q$1:$T$542,3,FALSE)</f>
        <v>0.8128221000000001</v>
      </c>
      <c r="X532">
        <f>VLOOKUP($U532,'[2]AP Balanced'!$Q$1:$T$542,4,FALSE)</f>
        <v>0.1871778999999999</v>
      </c>
      <c r="Y532" s="77">
        <f t="shared" si="1198"/>
        <v>1</v>
      </c>
      <c r="Z532" s="77">
        <f t="shared" si="1344"/>
        <v>4.9693475584999994E-2</v>
      </c>
      <c r="AA532" s="77">
        <f t="shared" si="1345"/>
        <v>4.0496940676757465E-3</v>
      </c>
      <c r="AB532" s="79">
        <v>1</v>
      </c>
      <c r="AC532" s="77">
        <f t="shared" si="1309"/>
        <v>5.2833436500000002E-3</v>
      </c>
      <c r="AD532" s="77">
        <f t="shared" si="1300"/>
        <v>4.413483992077305E-4</v>
      </c>
      <c r="AE532" s="77">
        <f t="shared" si="1310"/>
        <v>2.48128221E-3</v>
      </c>
      <c r="AF532" s="77">
        <f t="shared" si="1300"/>
        <v>2.0700904503845319E-4</v>
      </c>
      <c r="AH532" t="s">
        <v>175</v>
      </c>
      <c r="AI532" t="s">
        <v>176</v>
      </c>
      <c r="AJ532" s="197" t="str">
        <f t="shared" si="1199"/>
        <v>Lifecycle_Balanced_13</v>
      </c>
      <c r="AK532">
        <v>13</v>
      </c>
      <c r="AL532">
        <f>VLOOKUP($U532,[2]Standard_Balanced!$Q$1:$T$542,2,FALSE)</f>
        <v>0</v>
      </c>
      <c r="AM532">
        <f>VLOOKUP($U532,[2]Standard_Balanced!$Q$1:$T$542,3,FALSE)</f>
        <v>0.78762096250000002</v>
      </c>
      <c r="AN532">
        <f>VLOOKUP($U532,[2]Standard_Balanced!$Q$1:$T$542,4,FALSE)</f>
        <v>0.21237903749999995</v>
      </c>
      <c r="AO532" s="77">
        <f t="shared" si="1286"/>
        <v>1</v>
      </c>
      <c r="AP532" s="77">
        <f t="shared" si="1311"/>
        <v>4.9470445518124996E-2</v>
      </c>
      <c r="AQ532" s="77">
        <f t="shared" si="1200"/>
        <v>4.0319146646214943E-3</v>
      </c>
      <c r="AR532" s="79">
        <v>0</v>
      </c>
      <c r="AS532" s="77">
        <f t="shared" si="1312"/>
        <v>0</v>
      </c>
      <c r="AT532" s="77">
        <f t="shared" ref="AT532" si="1348">1-(1-AS532)^(1/12)</f>
        <v>0</v>
      </c>
      <c r="AU532" s="77">
        <f t="shared" si="1314"/>
        <v>2.47876209625E-3</v>
      </c>
      <c r="AV532" s="77">
        <f t="shared" ref="AV532" si="1349">1-(1-AU532)^(1/12)</f>
        <v>2.0679855699601291E-4</v>
      </c>
      <c r="AX532" t="s">
        <v>178</v>
      </c>
      <c r="AY532" t="s">
        <v>160</v>
      </c>
      <c r="AZ532" s="197" t="str">
        <f t="shared" si="1203"/>
        <v>DIS_Non-Standard_13</v>
      </c>
      <c r="BA532">
        <v>13</v>
      </c>
      <c r="BB532">
        <f>VLOOKUP($BA532,'[2]NonStandard DIS'!$Q$1:$X$542,2,FALSE)</f>
        <v>0</v>
      </c>
      <c r="BC532">
        <f>VLOOKUP($BA532,'[2]NonStandard DIS'!$Q$1:$X$542,3,FALSE)</f>
        <v>0</v>
      </c>
      <c r="BD532">
        <f>VLOOKUP($BA532,'[2]NonStandard DIS'!$Q$1:$X$542,4,FALSE)</f>
        <v>0</v>
      </c>
      <c r="BE532">
        <f>VLOOKUP($BA532,'[2]NonStandard DIS'!$Q$1:$X$542,5,FALSE)</f>
        <v>0</v>
      </c>
      <c r="BF532">
        <f>VLOOKUP($BA532,'[2]NonStandard DIS'!$Q$1:$X$542,6,FALSE)</f>
        <v>0</v>
      </c>
      <c r="BG532">
        <f>VLOOKUP($BA532,'[2]NonStandard DIS'!$Q$1:$X$542,7,FALSE)</f>
        <v>0.25</v>
      </c>
      <c r="BH532">
        <f>VLOOKUP($BA532,'[2]NonStandard DIS'!$Q$1:$X$542,8,FALSE)</f>
        <v>0.75</v>
      </c>
      <c r="BI532" s="77">
        <f t="shared" si="1303"/>
        <v>1</v>
      </c>
      <c r="BJ532" s="77">
        <f t="shared" si="1304"/>
        <v>5.282499999999999E-2</v>
      </c>
      <c r="BK532" s="77">
        <f t="shared" si="1285"/>
        <v>4.2989664504375913E-3</v>
      </c>
      <c r="BL532" s="79">
        <v>1</v>
      </c>
      <c r="BM532" s="77">
        <f t="shared" si="1316"/>
        <v>6.7499999999999999E-3</v>
      </c>
      <c r="BN532" s="77">
        <f t="shared" si="1317"/>
        <v>5.607672336425118E-4</v>
      </c>
      <c r="BO532" s="77">
        <f t="shared" si="1318"/>
        <v>2.5000000000000001E-3</v>
      </c>
      <c r="BP532" s="77">
        <f t="shared" si="1319"/>
        <v>2.0809499864316017E-4</v>
      </c>
    </row>
    <row r="533" spans="1:68">
      <c r="A533" t="s">
        <v>175</v>
      </c>
      <c r="B533" t="s">
        <v>176</v>
      </c>
      <c r="C533" s="197" t="str">
        <f t="shared" si="1197"/>
        <v>Lifecycle_Balanced_12</v>
      </c>
      <c r="D533">
        <v>12</v>
      </c>
      <c r="E533">
        <f>VLOOKUP($D533,'[2]LC Balanced'!$Q$2:$U$542,2,FALSE)</f>
        <v>0.59899999999999998</v>
      </c>
      <c r="F533">
        <f>VLOOKUP($D533,'[2]LC Balanced'!$Q$2:$U$542,3,FALSE)</f>
        <v>0.13300000000000001</v>
      </c>
      <c r="G533">
        <f>VLOOKUP($D533,'[2]LC Balanced'!$Q$2:$U$542,4,FALSE)</f>
        <v>0.26800000000000002</v>
      </c>
      <c r="H533">
        <f>VLOOKUP($D533,'[2]LC Balanced'!$Q$2:$U$542,5,FALSE)</f>
        <v>0</v>
      </c>
      <c r="I533" s="77">
        <f t="shared" si="1298"/>
        <v>1</v>
      </c>
      <c r="J533" s="77">
        <f t="shared" si="1299"/>
        <v>4.9018025000000007E-2</v>
      </c>
      <c r="K533" s="77">
        <f t="shared" si="1289"/>
        <v>3.9958381829423573E-3</v>
      </c>
      <c r="L533" s="76">
        <v>0</v>
      </c>
      <c r="M533" s="77">
        <f t="shared" si="1305"/>
        <v>0</v>
      </c>
      <c r="N533" s="77">
        <f t="shared" si="1306"/>
        <v>0</v>
      </c>
      <c r="O533" s="77">
        <f t="shared" si="1307"/>
        <v>4.1519E-3</v>
      </c>
      <c r="P533" s="77">
        <f t="shared" si="1308"/>
        <v>3.4665182474535872E-4</v>
      </c>
      <c r="R533" t="s">
        <v>177</v>
      </c>
      <c r="S533" t="s">
        <v>176</v>
      </c>
      <c r="T533" s="197" t="str">
        <f t="shared" si="1240"/>
        <v>Autopilot_Balanced_12</v>
      </c>
      <c r="U533">
        <v>12</v>
      </c>
      <c r="V533">
        <f>VLOOKUP($U533,'[2]AP Balanced'!$Q$1:$T$542,2,FALSE)</f>
        <v>0</v>
      </c>
      <c r="W533">
        <f>VLOOKUP($U533,'[2]AP Balanced'!$Q$1:$T$542,3,FALSE)</f>
        <v>0.78532995000000005</v>
      </c>
      <c r="X533">
        <f>VLOOKUP($U533,'[2]AP Balanced'!$Q$1:$T$542,4,FALSE)</f>
        <v>0.21467004999999995</v>
      </c>
      <c r="Y533" s="77">
        <f t="shared" si="1198"/>
        <v>1</v>
      </c>
      <c r="Z533" s="77">
        <f t="shared" si="1344"/>
        <v>4.9450170057499993E-2</v>
      </c>
      <c r="AA533" s="77">
        <f t="shared" si="1345"/>
        <v>4.0302981835109719E-3</v>
      </c>
      <c r="AB533" s="79">
        <v>1</v>
      </c>
      <c r="AC533" s="77">
        <f t="shared" si="1309"/>
        <v>5.1046446750000005E-3</v>
      </c>
      <c r="AD533" s="77">
        <f t="shared" si="1300"/>
        <v>4.2638556199425803E-4</v>
      </c>
      <c r="AE533" s="77">
        <f t="shared" si="1310"/>
        <v>2.4785329950000002E-3</v>
      </c>
      <c r="AF533" s="77">
        <f t="shared" si="1300"/>
        <v>2.0677942174363029E-4</v>
      </c>
      <c r="AH533" t="s">
        <v>175</v>
      </c>
      <c r="AI533" t="s">
        <v>176</v>
      </c>
      <c r="AJ533" s="197" t="str">
        <f t="shared" si="1199"/>
        <v>Lifecycle_Balanced_12</v>
      </c>
      <c r="AK533">
        <v>12</v>
      </c>
      <c r="AL533">
        <f>VLOOKUP($U533,[2]Standard_Balanced!$Q$1:$T$542,2,FALSE)</f>
        <v>0</v>
      </c>
      <c r="AM533">
        <f>VLOOKUP($U533,[2]Standard_Balanced!$Q$1:$T$542,3,FALSE)</f>
        <v>0.78532995000000005</v>
      </c>
      <c r="AN533">
        <f>VLOOKUP($U533,[2]Standard_Balanced!$Q$1:$T$542,4,FALSE)</f>
        <v>0.21467004999999995</v>
      </c>
      <c r="AO533" s="77">
        <f t="shared" si="1286"/>
        <v>1</v>
      </c>
      <c r="AP533" s="77">
        <f t="shared" si="1311"/>
        <v>4.9450170057499993E-2</v>
      </c>
      <c r="AQ533" s="77">
        <f t="shared" si="1200"/>
        <v>4.0302981835109719E-3</v>
      </c>
      <c r="AR533" s="79">
        <v>0</v>
      </c>
      <c r="AS533" s="77">
        <f t="shared" si="1312"/>
        <v>0</v>
      </c>
      <c r="AT533" s="77">
        <f t="shared" ref="AT533" si="1350">1-(1-AS533)^(1/12)</f>
        <v>0</v>
      </c>
      <c r="AU533" s="77">
        <f t="shared" si="1314"/>
        <v>2.4785329950000002E-3</v>
      </c>
      <c r="AV533" s="77">
        <f t="shared" ref="AV533" si="1351">1-(1-AU533)^(1/12)</f>
        <v>2.0677942174363029E-4</v>
      </c>
      <c r="AX533" t="s">
        <v>178</v>
      </c>
      <c r="AY533" t="s">
        <v>160</v>
      </c>
      <c r="AZ533" s="197" t="str">
        <f t="shared" si="1203"/>
        <v>DIS_Non-Standard_12</v>
      </c>
      <c r="BA533">
        <v>12</v>
      </c>
      <c r="BB533">
        <f>VLOOKUP($BA533,'[2]NonStandard DIS'!$Q$1:$X$542,2,FALSE)</f>
        <v>0</v>
      </c>
      <c r="BC533">
        <f>VLOOKUP($BA533,'[2]NonStandard DIS'!$Q$1:$X$542,3,FALSE)</f>
        <v>0</v>
      </c>
      <c r="BD533">
        <f>VLOOKUP($BA533,'[2]NonStandard DIS'!$Q$1:$X$542,4,FALSE)</f>
        <v>0</v>
      </c>
      <c r="BE533">
        <f>VLOOKUP($BA533,'[2]NonStandard DIS'!$Q$1:$X$542,5,FALSE)</f>
        <v>0</v>
      </c>
      <c r="BF533">
        <f>VLOOKUP($BA533,'[2]NonStandard DIS'!$Q$1:$X$542,6,FALSE)</f>
        <v>0</v>
      </c>
      <c r="BG533">
        <f>VLOOKUP($BA533,'[2]NonStandard DIS'!$Q$1:$X$542,7,FALSE)</f>
        <v>0.125</v>
      </c>
      <c r="BH533">
        <f>VLOOKUP($BA533,'[2]NonStandard DIS'!$Q$1:$X$542,8,FALSE)</f>
        <v>0.875</v>
      </c>
      <c r="BI533" s="77">
        <f t="shared" si="1303"/>
        <v>1</v>
      </c>
      <c r="BJ533" s="77">
        <f t="shared" si="1304"/>
        <v>5.2087499999999995E-2</v>
      </c>
      <c r="BK533" s="77">
        <f t="shared" si="1285"/>
        <v>4.2403219784619139E-3</v>
      </c>
      <c r="BL533" s="79">
        <v>1</v>
      </c>
      <c r="BM533" s="77">
        <f t="shared" si="1316"/>
        <v>6.6249999999999998E-3</v>
      </c>
      <c r="BN533" s="77">
        <f t="shared" si="1317"/>
        <v>5.5041401669853052E-4</v>
      </c>
      <c r="BO533" s="77">
        <f t="shared" si="1318"/>
        <v>2.5000000000000001E-3</v>
      </c>
      <c r="BP533" s="77">
        <f t="shared" si="1319"/>
        <v>2.0809499864316017E-4</v>
      </c>
    </row>
    <row r="534" spans="1:68">
      <c r="A534" t="s">
        <v>175</v>
      </c>
      <c r="B534" t="s">
        <v>176</v>
      </c>
      <c r="C534" s="197" t="str">
        <f t="shared" si="1197"/>
        <v>Lifecycle_Balanced_11</v>
      </c>
      <c r="D534">
        <v>11</v>
      </c>
      <c r="E534">
        <f>VLOOKUP($D534,'[2]LC Balanced'!$Q$2:$U$542,2,FALSE)</f>
        <v>0.6004166666666666</v>
      </c>
      <c r="F534">
        <f>VLOOKUP($D534,'[2]LC Balanced'!$Q$2:$U$542,3,FALSE)</f>
        <v>0.13225000000000001</v>
      </c>
      <c r="G534">
        <f>VLOOKUP($D534,'[2]LC Balanced'!$Q$2:$U$542,4,FALSE)</f>
        <v>0.26733333333333337</v>
      </c>
      <c r="H534">
        <f>VLOOKUP($D534,'[2]LC Balanced'!$Q$2:$U$542,5,FALSE)</f>
        <v>0</v>
      </c>
      <c r="I534" s="77">
        <f t="shared" si="1298"/>
        <v>1</v>
      </c>
      <c r="J534" s="77">
        <f t="shared" si="1299"/>
        <v>4.8999956250000004E-2</v>
      </c>
      <c r="K534" s="77">
        <f t="shared" si="1289"/>
        <v>3.994397065901989E-3</v>
      </c>
      <c r="L534" s="76">
        <v>0</v>
      </c>
      <c r="M534" s="77">
        <f t="shared" si="1305"/>
        <v>0</v>
      </c>
      <c r="N534" s="77">
        <f t="shared" si="1306"/>
        <v>0</v>
      </c>
      <c r="O534" s="77">
        <f t="shared" si="1307"/>
        <v>4.1460749999999999E-3</v>
      </c>
      <c r="P534" s="77">
        <f t="shared" si="1308"/>
        <v>3.4616455455305228E-4</v>
      </c>
      <c r="R534" t="s">
        <v>177</v>
      </c>
      <c r="S534" t="s">
        <v>176</v>
      </c>
      <c r="T534" s="197" t="str">
        <f t="shared" si="1240"/>
        <v>Autopilot_Balanced_11</v>
      </c>
      <c r="U534">
        <v>11</v>
      </c>
      <c r="V534">
        <f>VLOOKUP($U534,'[2]AP Balanced'!$Q$1:$T$542,2,FALSE)</f>
        <v>0</v>
      </c>
      <c r="W534">
        <f>VLOOKUP($U534,'[2]AP Balanced'!$Q$1:$T$542,3,FALSE)</f>
        <v>0.78532995000000005</v>
      </c>
      <c r="X534">
        <f>VLOOKUP($U534,'[2]AP Balanced'!$Q$1:$T$542,4,FALSE)</f>
        <v>0.21467004999999995</v>
      </c>
      <c r="Y534" s="77">
        <f t="shared" si="1198"/>
        <v>1</v>
      </c>
      <c r="Z534" s="77">
        <f t="shared" si="1344"/>
        <v>4.9450170057499993E-2</v>
      </c>
      <c r="AA534" s="77">
        <f t="shared" si="1345"/>
        <v>4.0302981835109719E-3</v>
      </c>
      <c r="AB534" s="79">
        <v>1</v>
      </c>
      <c r="AC534" s="77">
        <f t="shared" si="1309"/>
        <v>5.1046446750000005E-3</v>
      </c>
      <c r="AD534" s="77">
        <f t="shared" si="1300"/>
        <v>4.2638556199425803E-4</v>
      </c>
      <c r="AE534" s="77">
        <f t="shared" si="1310"/>
        <v>2.4785329950000002E-3</v>
      </c>
      <c r="AF534" s="77">
        <f t="shared" si="1300"/>
        <v>2.0677942174363029E-4</v>
      </c>
      <c r="AH534" t="s">
        <v>175</v>
      </c>
      <c r="AI534" t="s">
        <v>176</v>
      </c>
      <c r="AJ534" s="197" t="str">
        <f t="shared" si="1199"/>
        <v>Lifecycle_Balanced_11</v>
      </c>
      <c r="AK534">
        <v>11</v>
      </c>
      <c r="AL534">
        <f>VLOOKUP($U534,[2]Standard_Balanced!$Q$1:$T$542,2,FALSE)</f>
        <v>0</v>
      </c>
      <c r="AM534">
        <f>VLOOKUP($U534,[2]Standard_Balanced!$Q$1:$T$542,3,FALSE)</f>
        <v>0.77921912083333345</v>
      </c>
      <c r="AN534">
        <f>VLOOKUP($U534,[2]Standard_Balanced!$Q$1:$T$542,4,FALSE)</f>
        <v>0.22078087916666661</v>
      </c>
      <c r="AO534" s="77">
        <f t="shared" si="1286"/>
        <v>1</v>
      </c>
      <c r="AP534" s="77">
        <f t="shared" si="1311"/>
        <v>4.9396089219374995E-2</v>
      </c>
      <c r="AQ534" s="77">
        <f t="shared" si="1200"/>
        <v>4.0259863952918362E-3</v>
      </c>
      <c r="AR534" s="79">
        <v>0</v>
      </c>
      <c r="AS534" s="77">
        <f t="shared" si="1312"/>
        <v>0</v>
      </c>
      <c r="AT534" s="77">
        <f t="shared" ref="AT534" si="1352">1-(1-AS534)^(1/12)</f>
        <v>0</v>
      </c>
      <c r="AU534" s="77">
        <f t="shared" si="1314"/>
        <v>2.4779219120833335E-3</v>
      </c>
      <c r="AV534" s="77">
        <f t="shared" ref="AV534" si="1353">1-(1-AU534)^(1/12)</f>
        <v>2.067283822082544E-4</v>
      </c>
      <c r="AX534" t="s">
        <v>178</v>
      </c>
      <c r="AY534" t="s">
        <v>160</v>
      </c>
      <c r="AZ534" s="197" t="str">
        <f t="shared" si="1203"/>
        <v>DIS_Non-Standard_11</v>
      </c>
      <c r="BA534">
        <v>11</v>
      </c>
      <c r="BB534">
        <f>VLOOKUP($BA534,'[2]NonStandard DIS'!$Q$1:$X$542,2,FALSE)</f>
        <v>0</v>
      </c>
      <c r="BC534">
        <f>VLOOKUP($BA534,'[2]NonStandard DIS'!$Q$1:$X$542,3,FALSE)</f>
        <v>0</v>
      </c>
      <c r="BD534">
        <f>VLOOKUP($BA534,'[2]NonStandard DIS'!$Q$1:$X$542,4,FALSE)</f>
        <v>0</v>
      </c>
      <c r="BE534">
        <f>VLOOKUP($BA534,'[2]NonStandard DIS'!$Q$1:$X$542,5,FALSE)</f>
        <v>0</v>
      </c>
      <c r="BF534">
        <f>VLOOKUP($BA534,'[2]NonStandard DIS'!$Q$1:$X$542,6,FALSE)</f>
        <v>0</v>
      </c>
      <c r="BG534">
        <f>VLOOKUP($BA534,'[2]NonStandard DIS'!$Q$1:$X$542,7,FALSE)</f>
        <v>0.125</v>
      </c>
      <c r="BH534">
        <f>VLOOKUP($BA534,'[2]NonStandard DIS'!$Q$1:$X$542,8,FALSE)</f>
        <v>0.875</v>
      </c>
      <c r="BI534" s="77">
        <f t="shared" si="1303"/>
        <v>1</v>
      </c>
      <c r="BJ534" s="77">
        <f t="shared" si="1304"/>
        <v>5.2087499999999995E-2</v>
      </c>
      <c r="BK534" s="77">
        <f t="shared" si="1285"/>
        <v>4.2403219784619139E-3</v>
      </c>
      <c r="BL534" s="79">
        <v>1</v>
      </c>
      <c r="BM534" s="77">
        <f t="shared" si="1316"/>
        <v>6.6249999999999998E-3</v>
      </c>
      <c r="BN534" s="77">
        <f t="shared" si="1317"/>
        <v>5.5041401669853052E-4</v>
      </c>
      <c r="BO534" s="77">
        <f t="shared" si="1318"/>
        <v>2.5000000000000001E-3</v>
      </c>
      <c r="BP534" s="77">
        <f t="shared" si="1319"/>
        <v>2.0809499864316017E-4</v>
      </c>
    </row>
    <row r="535" spans="1:68">
      <c r="A535" t="s">
        <v>175</v>
      </c>
      <c r="B535" t="s">
        <v>176</v>
      </c>
      <c r="C535" s="197" t="str">
        <f t="shared" ref="C535:C545" si="1354">A535&amp;"_"&amp;B535&amp;"_"&amp;D535</f>
        <v>Lifecycle_Balanced_10</v>
      </c>
      <c r="D535">
        <v>10</v>
      </c>
      <c r="E535">
        <f>VLOOKUP($D535,'[2]LC Balanced'!$Q$2:$U$542,2,FALSE)</f>
        <v>0.60183333333333333</v>
      </c>
      <c r="F535">
        <f>VLOOKUP($D535,'[2]LC Balanced'!$Q$2:$U$542,3,FALSE)</f>
        <v>0.13150000000000001</v>
      </c>
      <c r="G535">
        <f>VLOOKUP($D535,'[2]LC Balanced'!$Q$2:$U$542,4,FALSE)</f>
        <v>0.26666666666666666</v>
      </c>
      <c r="H535">
        <f>VLOOKUP($D535,'[2]LC Balanced'!$Q$2:$U$542,5,FALSE)</f>
        <v>0</v>
      </c>
      <c r="I535" s="77">
        <f t="shared" si="1298"/>
        <v>1</v>
      </c>
      <c r="J535" s="77">
        <f t="shared" si="1299"/>
        <v>4.8981887500000001E-2</v>
      </c>
      <c r="K535" s="77">
        <f t="shared" si="1289"/>
        <v>3.9929559261071557E-3</v>
      </c>
      <c r="L535" s="76">
        <v>0</v>
      </c>
      <c r="M535" s="77">
        <f t="shared" si="1305"/>
        <v>0</v>
      </c>
      <c r="N535" s="77">
        <f t="shared" si="1306"/>
        <v>0</v>
      </c>
      <c r="O535" s="77">
        <f t="shared" si="1307"/>
        <v>4.1402499999999998E-3</v>
      </c>
      <c r="P535" s="77">
        <f t="shared" si="1308"/>
        <v>3.456772869734337E-4</v>
      </c>
      <c r="R535" t="s">
        <v>177</v>
      </c>
      <c r="S535" t="s">
        <v>176</v>
      </c>
      <c r="T535" s="197" t="str">
        <f t="shared" si="1240"/>
        <v>Autopilot_Balanced_10</v>
      </c>
      <c r="U535">
        <v>10</v>
      </c>
      <c r="V535">
        <f>VLOOKUP($U535,'[2]AP Balanced'!$Q$1:$T$542,2,FALSE)</f>
        <v>0</v>
      </c>
      <c r="W535">
        <f>VLOOKUP($U535,'[2]AP Balanced'!$Q$1:$T$542,3,FALSE)</f>
        <v>0.78532995000000005</v>
      </c>
      <c r="X535">
        <f>VLOOKUP($U535,'[2]AP Balanced'!$Q$1:$T$542,4,FALSE)</f>
        <v>0.21467004999999995</v>
      </c>
      <c r="Y535" s="77">
        <f t="shared" ref="Y535:Y544" si="1355">SUM(V535:X535)</f>
        <v>1</v>
      </c>
      <c r="Z535" s="77">
        <f t="shared" si="1344"/>
        <v>4.9450170057499993E-2</v>
      </c>
      <c r="AA535" s="77">
        <f t="shared" si="1345"/>
        <v>4.0302981835109719E-3</v>
      </c>
      <c r="AB535" s="79">
        <v>1</v>
      </c>
      <c r="AC535" s="77">
        <f t="shared" si="1309"/>
        <v>5.1046446750000005E-3</v>
      </c>
      <c r="AD535" s="77">
        <f t="shared" si="1300"/>
        <v>4.2638556199425803E-4</v>
      </c>
      <c r="AE535" s="77">
        <f t="shared" si="1310"/>
        <v>2.4785329950000002E-3</v>
      </c>
      <c r="AF535" s="77">
        <f t="shared" si="1300"/>
        <v>2.0677942174363029E-4</v>
      </c>
      <c r="AH535" t="s">
        <v>175</v>
      </c>
      <c r="AI535" t="s">
        <v>176</v>
      </c>
      <c r="AJ535" s="197" t="str">
        <f t="shared" ref="AJ535:AJ545" si="1356">AH535&amp;"_"&amp;AI535&amp;"_"&amp;AK535</f>
        <v>Lifecycle_Balanced_10</v>
      </c>
      <c r="AK535">
        <v>10</v>
      </c>
      <c r="AL535">
        <f>VLOOKUP($U535,[2]Standard_Balanced!$Q$1:$T$542,2,FALSE)</f>
        <v>0</v>
      </c>
      <c r="AM535">
        <f>VLOOKUP($U535,[2]Standard_Balanced!$Q$1:$T$542,3,FALSE)</f>
        <v>0.77310829166666672</v>
      </c>
      <c r="AN535">
        <f>VLOOKUP($U535,[2]Standard_Balanced!$Q$1:$T$542,4,FALSE)</f>
        <v>0.22689170833333328</v>
      </c>
      <c r="AO535" s="77">
        <f t="shared" si="1286"/>
        <v>1</v>
      </c>
      <c r="AP535" s="77">
        <f t="shared" si="1311"/>
        <v>4.9342008381249997E-2</v>
      </c>
      <c r="AQ535" s="77">
        <f t="shared" ref="AQ535:AQ545" si="1357">(1+AP535)^(1/12)-1</f>
        <v>4.0216744033763074E-3</v>
      </c>
      <c r="AR535" s="79">
        <v>0</v>
      </c>
      <c r="AS535" s="77">
        <f t="shared" si="1312"/>
        <v>0</v>
      </c>
      <c r="AT535" s="77">
        <f t="shared" ref="AT535" si="1358">1-(1-AS535)^(1/12)</f>
        <v>0</v>
      </c>
      <c r="AU535" s="77">
        <f t="shared" si="1314"/>
        <v>2.4773108291666667E-3</v>
      </c>
      <c r="AV535" s="77">
        <f t="shared" ref="AV535" si="1359">1-(1-AU535)^(1/12)</f>
        <v>2.0667734270163329E-4</v>
      </c>
      <c r="AX535" t="s">
        <v>178</v>
      </c>
      <c r="AY535" t="s">
        <v>160</v>
      </c>
      <c r="AZ535" s="197" t="str">
        <f t="shared" ref="AZ535:AZ544" si="1360">AX535&amp;"_"&amp;AY535&amp;"_"&amp;BA535</f>
        <v>DIS_Non-Standard_10</v>
      </c>
      <c r="BA535">
        <v>10</v>
      </c>
      <c r="BB535">
        <f>VLOOKUP($BA535,'[2]NonStandard DIS'!$Q$1:$X$542,2,FALSE)</f>
        <v>0</v>
      </c>
      <c r="BC535">
        <f>VLOOKUP($BA535,'[2]NonStandard DIS'!$Q$1:$X$542,3,FALSE)</f>
        <v>0</v>
      </c>
      <c r="BD535">
        <f>VLOOKUP($BA535,'[2]NonStandard DIS'!$Q$1:$X$542,4,FALSE)</f>
        <v>0</v>
      </c>
      <c r="BE535">
        <f>VLOOKUP($BA535,'[2]NonStandard DIS'!$Q$1:$X$542,5,FALSE)</f>
        <v>0</v>
      </c>
      <c r="BF535">
        <f>VLOOKUP($BA535,'[2]NonStandard DIS'!$Q$1:$X$542,6,FALSE)</f>
        <v>0</v>
      </c>
      <c r="BG535">
        <f>VLOOKUP($BA535,'[2]NonStandard DIS'!$Q$1:$X$542,7,FALSE)</f>
        <v>0.125</v>
      </c>
      <c r="BH535">
        <f>VLOOKUP($BA535,'[2]NonStandard DIS'!$Q$1:$X$542,8,FALSE)</f>
        <v>0.875</v>
      </c>
      <c r="BI535" s="77">
        <f t="shared" si="1303"/>
        <v>1</v>
      </c>
      <c r="BJ535" s="77">
        <f t="shared" si="1304"/>
        <v>5.2087499999999995E-2</v>
      </c>
      <c r="BK535" s="77">
        <f t="shared" si="1285"/>
        <v>4.2403219784619139E-3</v>
      </c>
      <c r="BL535" s="79">
        <v>1</v>
      </c>
      <c r="BM535" s="77">
        <f t="shared" si="1316"/>
        <v>6.6249999999999998E-3</v>
      </c>
      <c r="BN535" s="77">
        <f t="shared" si="1317"/>
        <v>5.5041401669853052E-4</v>
      </c>
      <c r="BO535" s="77">
        <f t="shared" si="1318"/>
        <v>2.5000000000000001E-3</v>
      </c>
      <c r="BP535" s="77">
        <f t="shared" si="1319"/>
        <v>2.0809499864316017E-4</v>
      </c>
    </row>
    <row r="536" spans="1:68">
      <c r="A536" t="s">
        <v>175</v>
      </c>
      <c r="B536" t="s">
        <v>176</v>
      </c>
      <c r="C536" s="197" t="str">
        <f t="shared" si="1354"/>
        <v>Lifecycle_Balanced_9</v>
      </c>
      <c r="D536">
        <v>9</v>
      </c>
      <c r="E536">
        <f>VLOOKUP($D536,'[2]LC Balanced'!$Q$2:$U$542,2,FALSE)</f>
        <v>0.60324999999999995</v>
      </c>
      <c r="F536">
        <f>VLOOKUP($D536,'[2]LC Balanced'!$Q$2:$U$542,3,FALSE)</f>
        <v>0.13075000000000001</v>
      </c>
      <c r="G536">
        <f>VLOOKUP($D536,'[2]LC Balanced'!$Q$2:$U$542,4,FALSE)</f>
        <v>0.26600000000000001</v>
      </c>
      <c r="H536">
        <f>VLOOKUP($D536,'[2]LC Balanced'!$Q$2:$U$542,5,FALSE)</f>
        <v>0</v>
      </c>
      <c r="I536" s="77">
        <f t="shared" si="1298"/>
        <v>1</v>
      </c>
      <c r="J536" s="77">
        <f t="shared" si="1299"/>
        <v>4.8963818749999999E-2</v>
      </c>
      <c r="K536" s="77">
        <f t="shared" si="1289"/>
        <v>3.9915147635571913E-3</v>
      </c>
      <c r="L536" s="76">
        <v>0</v>
      </c>
      <c r="M536" s="77">
        <f t="shared" si="1305"/>
        <v>0</v>
      </c>
      <c r="N536" s="77">
        <f t="shared" si="1306"/>
        <v>0</v>
      </c>
      <c r="O536" s="77">
        <f t="shared" si="1307"/>
        <v>4.1344250000000006E-3</v>
      </c>
      <c r="P536" s="77">
        <f t="shared" si="1308"/>
        <v>3.4519002200639193E-4</v>
      </c>
      <c r="R536" t="s">
        <v>177</v>
      </c>
      <c r="S536" t="s">
        <v>176</v>
      </c>
      <c r="T536" s="197" t="str">
        <f t="shared" si="1240"/>
        <v>Autopilot_Balanced_9</v>
      </c>
      <c r="U536">
        <v>9</v>
      </c>
      <c r="V536">
        <f>VLOOKUP($U536,'[2]AP Balanced'!$Q$1:$T$542,2,FALSE)</f>
        <v>0</v>
      </c>
      <c r="W536">
        <f>VLOOKUP($U536,'[2]AP Balanced'!$Q$1:$T$542,3,FALSE)</f>
        <v>0.78532995000000005</v>
      </c>
      <c r="X536">
        <f>VLOOKUP($U536,'[2]AP Balanced'!$Q$1:$T$542,4,FALSE)</f>
        <v>0.21467004999999995</v>
      </c>
      <c r="Y536" s="77">
        <f t="shared" si="1355"/>
        <v>1</v>
      </c>
      <c r="Z536" s="77">
        <f t="shared" si="1344"/>
        <v>4.9450170057499993E-2</v>
      </c>
      <c r="AA536" s="77">
        <f t="shared" si="1345"/>
        <v>4.0302981835109719E-3</v>
      </c>
      <c r="AB536" s="79">
        <v>1</v>
      </c>
      <c r="AC536" s="77">
        <f t="shared" si="1309"/>
        <v>5.1046446750000005E-3</v>
      </c>
      <c r="AD536" s="77">
        <f t="shared" si="1300"/>
        <v>4.2638556199425803E-4</v>
      </c>
      <c r="AE536" s="77">
        <f t="shared" si="1310"/>
        <v>2.4785329950000002E-3</v>
      </c>
      <c r="AF536" s="77">
        <f t="shared" si="1300"/>
        <v>2.0677942174363029E-4</v>
      </c>
      <c r="AH536" t="s">
        <v>175</v>
      </c>
      <c r="AI536" t="s">
        <v>176</v>
      </c>
      <c r="AJ536" s="197" t="str">
        <f t="shared" si="1356"/>
        <v>Lifecycle_Balanced_9</v>
      </c>
      <c r="AK536">
        <v>9</v>
      </c>
      <c r="AL536">
        <f>VLOOKUP($U536,[2]Standard_Balanced!$Q$1:$T$542,2,FALSE)</f>
        <v>0</v>
      </c>
      <c r="AM536">
        <f>VLOOKUP($U536,[2]Standard_Balanced!$Q$1:$T$542,3,FALSE)</f>
        <v>0.7669974625</v>
      </c>
      <c r="AN536">
        <f>VLOOKUP($U536,[2]Standard_Balanced!$Q$1:$T$542,4,FALSE)</f>
        <v>0.23300253749999994</v>
      </c>
      <c r="AO536" s="77">
        <f t="shared" si="1286"/>
        <v>1</v>
      </c>
      <c r="AP536" s="77">
        <f t="shared" si="1311"/>
        <v>4.9287927543124999E-2</v>
      </c>
      <c r="AQ536" s="77">
        <f t="shared" si="1357"/>
        <v>4.0173622077444016E-3</v>
      </c>
      <c r="AR536" s="79">
        <v>0</v>
      </c>
      <c r="AS536" s="77">
        <f t="shared" si="1312"/>
        <v>0</v>
      </c>
      <c r="AT536" s="77">
        <f t="shared" ref="AT536" si="1361">1-(1-AS536)^(1/12)</f>
        <v>0</v>
      </c>
      <c r="AU536" s="77">
        <f t="shared" si="1314"/>
        <v>2.4766997462499999E-3</v>
      </c>
      <c r="AV536" s="77">
        <f t="shared" ref="AV536" si="1362">1-(1-AU536)^(1/12)</f>
        <v>2.0662630322365594E-4</v>
      </c>
      <c r="AX536" t="s">
        <v>178</v>
      </c>
      <c r="AY536" t="s">
        <v>160</v>
      </c>
      <c r="AZ536" s="197" t="str">
        <f t="shared" si="1360"/>
        <v>DIS_Non-Standard_9</v>
      </c>
      <c r="BA536">
        <v>9</v>
      </c>
      <c r="BB536">
        <f>VLOOKUP($BA536,'[2]NonStandard DIS'!$Q$1:$X$542,2,FALSE)</f>
        <v>0</v>
      </c>
      <c r="BC536">
        <f>VLOOKUP($BA536,'[2]NonStandard DIS'!$Q$1:$X$542,3,FALSE)</f>
        <v>0</v>
      </c>
      <c r="BD536">
        <f>VLOOKUP($BA536,'[2]NonStandard DIS'!$Q$1:$X$542,4,FALSE)</f>
        <v>0</v>
      </c>
      <c r="BE536">
        <f>VLOOKUP($BA536,'[2]NonStandard DIS'!$Q$1:$X$542,5,FALSE)</f>
        <v>0</v>
      </c>
      <c r="BF536">
        <f>VLOOKUP($BA536,'[2]NonStandard DIS'!$Q$1:$X$542,6,FALSE)</f>
        <v>0</v>
      </c>
      <c r="BG536">
        <f>VLOOKUP($BA536,'[2]NonStandard DIS'!$Q$1:$X$542,7,FALSE)</f>
        <v>0.125</v>
      </c>
      <c r="BH536">
        <f>VLOOKUP($BA536,'[2]NonStandard DIS'!$Q$1:$X$542,8,FALSE)</f>
        <v>0.875</v>
      </c>
      <c r="BI536" s="77">
        <f t="shared" si="1303"/>
        <v>1</v>
      </c>
      <c r="BJ536" s="77">
        <f t="shared" si="1304"/>
        <v>5.2087499999999995E-2</v>
      </c>
      <c r="BK536" s="77">
        <f t="shared" si="1285"/>
        <v>4.2403219784619139E-3</v>
      </c>
      <c r="BL536" s="79">
        <v>1</v>
      </c>
      <c r="BM536" s="77">
        <f t="shared" si="1316"/>
        <v>6.6249999999999998E-3</v>
      </c>
      <c r="BN536" s="77">
        <f t="shared" si="1317"/>
        <v>5.5041401669853052E-4</v>
      </c>
      <c r="BO536" s="77">
        <f t="shared" si="1318"/>
        <v>2.5000000000000001E-3</v>
      </c>
      <c r="BP536" s="77">
        <f t="shared" si="1319"/>
        <v>2.0809499864316017E-4</v>
      </c>
    </row>
    <row r="537" spans="1:68">
      <c r="A537" t="s">
        <v>175</v>
      </c>
      <c r="B537" t="s">
        <v>176</v>
      </c>
      <c r="C537" s="197" t="str">
        <f t="shared" si="1354"/>
        <v>Lifecycle_Balanced_8</v>
      </c>
      <c r="D537">
        <v>8</v>
      </c>
      <c r="E537">
        <f>VLOOKUP($D537,'[2]LC Balanced'!$Q$2:$U$542,2,FALSE)</f>
        <v>0.60466666666666669</v>
      </c>
      <c r="F537">
        <f>VLOOKUP($D537,'[2]LC Balanced'!$Q$2:$U$542,3,FALSE)</f>
        <v>0.13</v>
      </c>
      <c r="G537">
        <f>VLOOKUP($D537,'[2]LC Balanced'!$Q$2:$U$542,4,FALSE)</f>
        <v>0.26533333333333337</v>
      </c>
      <c r="H537">
        <f>VLOOKUP($D537,'[2]LC Balanced'!$Q$2:$U$542,5,FALSE)</f>
        <v>0</v>
      </c>
      <c r="I537" s="77">
        <f t="shared" si="1298"/>
        <v>1</v>
      </c>
      <c r="J537" s="77">
        <f t="shared" si="1299"/>
        <v>4.8945750000000003E-2</v>
      </c>
      <c r="K537" s="77">
        <f t="shared" si="1289"/>
        <v>3.9900735782512076E-3</v>
      </c>
      <c r="L537" s="76">
        <v>0</v>
      </c>
      <c r="M537" s="77">
        <f t="shared" si="1305"/>
        <v>0</v>
      </c>
      <c r="N537" s="77">
        <f t="shared" si="1306"/>
        <v>0</v>
      </c>
      <c r="O537" s="77">
        <f t="shared" si="1307"/>
        <v>4.1286000000000005E-3</v>
      </c>
      <c r="P537" s="77">
        <f t="shared" si="1308"/>
        <v>3.4470275965192698E-4</v>
      </c>
      <c r="R537" t="s">
        <v>177</v>
      </c>
      <c r="S537" t="s">
        <v>176</v>
      </c>
      <c r="T537" s="197" t="str">
        <f t="shared" si="1240"/>
        <v>Autopilot_Balanced_8</v>
      </c>
      <c r="U537">
        <v>8</v>
      </c>
      <c r="V537">
        <f>VLOOKUP($U537,'[2]AP Balanced'!$Q$1:$T$542,2,FALSE)</f>
        <v>0</v>
      </c>
      <c r="W537">
        <f>VLOOKUP($U537,'[2]AP Balanced'!$Q$1:$T$542,3,FALSE)</f>
        <v>0.78532995000000005</v>
      </c>
      <c r="X537">
        <f>VLOOKUP($U537,'[2]AP Balanced'!$Q$1:$T$542,4,FALSE)</f>
        <v>0.21467004999999995</v>
      </c>
      <c r="Y537" s="77">
        <f t="shared" si="1355"/>
        <v>1</v>
      </c>
      <c r="Z537" s="77">
        <f t="shared" si="1344"/>
        <v>4.9450170057499993E-2</v>
      </c>
      <c r="AA537" s="77">
        <f t="shared" si="1345"/>
        <v>4.0302981835109719E-3</v>
      </c>
      <c r="AB537" s="79">
        <v>1</v>
      </c>
      <c r="AC537" s="77">
        <f t="shared" si="1309"/>
        <v>5.1046446750000005E-3</v>
      </c>
      <c r="AD537" s="77">
        <f t="shared" si="1300"/>
        <v>4.2638556199425803E-4</v>
      </c>
      <c r="AE537" s="77">
        <f t="shared" si="1310"/>
        <v>2.4785329950000002E-3</v>
      </c>
      <c r="AF537" s="77">
        <f t="shared" si="1300"/>
        <v>2.0677942174363029E-4</v>
      </c>
      <c r="AH537" t="s">
        <v>175</v>
      </c>
      <c r="AI537" t="s">
        <v>176</v>
      </c>
      <c r="AJ537" s="197" t="str">
        <f t="shared" si="1356"/>
        <v>Lifecycle_Balanced_8</v>
      </c>
      <c r="AK537">
        <v>8</v>
      </c>
      <c r="AL537">
        <f>VLOOKUP($U537,[2]Standard_Balanced!$Q$1:$T$542,2,FALSE)</f>
        <v>0</v>
      </c>
      <c r="AM537">
        <f>VLOOKUP($U537,[2]Standard_Balanced!$Q$1:$T$542,3,FALSE)</f>
        <v>0.7608866333333334</v>
      </c>
      <c r="AN537">
        <f>VLOOKUP($U537,[2]Standard_Balanced!$Q$1:$T$542,4,FALSE)</f>
        <v>0.2391133666666666</v>
      </c>
      <c r="AO537" s="77">
        <f t="shared" si="1286"/>
        <v>1</v>
      </c>
      <c r="AP537" s="77">
        <f t="shared" si="1311"/>
        <v>4.9233846704999994E-2</v>
      </c>
      <c r="AQ537" s="77">
        <f t="shared" si="1357"/>
        <v>4.0130498083761346E-3</v>
      </c>
      <c r="AR537" s="79">
        <v>0</v>
      </c>
      <c r="AS537" s="77">
        <f t="shared" si="1312"/>
        <v>0</v>
      </c>
      <c r="AT537" s="77">
        <f t="shared" ref="AT537" si="1363">1-(1-AS537)^(1/12)</f>
        <v>0</v>
      </c>
      <c r="AU537" s="77">
        <f t="shared" si="1314"/>
        <v>2.4760886633333331E-3</v>
      </c>
      <c r="AV537" s="77">
        <f t="shared" ref="AV537" si="1364">1-(1-AU537)^(1/12)</f>
        <v>2.0657526377432234E-4</v>
      </c>
      <c r="AX537" t="s">
        <v>178</v>
      </c>
      <c r="AY537" t="s">
        <v>160</v>
      </c>
      <c r="AZ537" s="197" t="str">
        <f t="shared" si="1360"/>
        <v>DIS_Non-Standard_8</v>
      </c>
      <c r="BA537">
        <v>8</v>
      </c>
      <c r="BB537">
        <f>VLOOKUP($BA537,'[2]NonStandard DIS'!$Q$1:$X$542,2,FALSE)</f>
        <v>0</v>
      </c>
      <c r="BC537">
        <f>VLOOKUP($BA537,'[2]NonStandard DIS'!$Q$1:$X$542,3,FALSE)</f>
        <v>0</v>
      </c>
      <c r="BD537">
        <f>VLOOKUP($BA537,'[2]NonStandard DIS'!$Q$1:$X$542,4,FALSE)</f>
        <v>0</v>
      </c>
      <c r="BE537">
        <f>VLOOKUP($BA537,'[2]NonStandard DIS'!$Q$1:$X$542,5,FALSE)</f>
        <v>0</v>
      </c>
      <c r="BF537">
        <f>VLOOKUP($BA537,'[2]NonStandard DIS'!$Q$1:$X$542,6,FALSE)</f>
        <v>0</v>
      </c>
      <c r="BG537">
        <f>VLOOKUP($BA537,'[2]NonStandard DIS'!$Q$1:$X$542,7,FALSE)</f>
        <v>0.125</v>
      </c>
      <c r="BH537">
        <f>VLOOKUP($BA537,'[2]NonStandard DIS'!$Q$1:$X$542,8,FALSE)</f>
        <v>0.875</v>
      </c>
      <c r="BI537" s="77">
        <f t="shared" si="1303"/>
        <v>1</v>
      </c>
      <c r="BJ537" s="77">
        <f t="shared" si="1304"/>
        <v>5.2087499999999995E-2</v>
      </c>
      <c r="BK537" s="77">
        <f t="shared" si="1285"/>
        <v>4.2403219784619139E-3</v>
      </c>
      <c r="BL537" s="79">
        <v>1</v>
      </c>
      <c r="BM537" s="77">
        <f t="shared" si="1316"/>
        <v>6.6249999999999998E-3</v>
      </c>
      <c r="BN537" s="77">
        <f t="shared" si="1317"/>
        <v>5.5041401669853052E-4</v>
      </c>
      <c r="BO537" s="77">
        <f t="shared" si="1318"/>
        <v>2.5000000000000001E-3</v>
      </c>
      <c r="BP537" s="77">
        <f t="shared" si="1319"/>
        <v>2.0809499864316017E-4</v>
      </c>
    </row>
    <row r="538" spans="1:68">
      <c r="A538" t="s">
        <v>175</v>
      </c>
      <c r="B538" t="s">
        <v>176</v>
      </c>
      <c r="C538" s="197" t="str">
        <f t="shared" si="1354"/>
        <v>Lifecycle_Balanced_7</v>
      </c>
      <c r="D538">
        <v>7</v>
      </c>
      <c r="E538">
        <f>VLOOKUP($D538,'[2]LC Balanced'!$Q$2:$U$542,2,FALSE)</f>
        <v>0.60608333333333331</v>
      </c>
      <c r="F538">
        <f>VLOOKUP($D538,'[2]LC Balanced'!$Q$2:$U$542,3,FALSE)</f>
        <v>0.12925</v>
      </c>
      <c r="G538">
        <f>VLOOKUP($D538,'[2]LC Balanced'!$Q$2:$U$542,4,FALSE)</f>
        <v>0.26466666666666666</v>
      </c>
      <c r="H538">
        <f>VLOOKUP($D538,'[2]LC Balanced'!$Q$2:$U$542,5,FALSE)</f>
        <v>0</v>
      </c>
      <c r="I538" s="77">
        <f t="shared" si="1298"/>
        <v>1</v>
      </c>
      <c r="J538" s="77">
        <f t="shared" si="1299"/>
        <v>4.8927681249999994E-2</v>
      </c>
      <c r="K538" s="77">
        <f t="shared" si="1289"/>
        <v>3.9886323701885384E-3</v>
      </c>
      <c r="L538" s="76">
        <v>0</v>
      </c>
      <c r="M538" s="77">
        <f t="shared" si="1305"/>
        <v>0</v>
      </c>
      <c r="N538" s="77">
        <f t="shared" si="1306"/>
        <v>0</v>
      </c>
      <c r="O538" s="77">
        <f t="shared" si="1307"/>
        <v>4.1227750000000004E-3</v>
      </c>
      <c r="P538" s="77">
        <f t="shared" si="1308"/>
        <v>3.4421549991003886E-4</v>
      </c>
      <c r="R538" t="s">
        <v>177</v>
      </c>
      <c r="S538" t="s">
        <v>176</v>
      </c>
      <c r="T538" s="197" t="str">
        <f t="shared" si="1240"/>
        <v>Autopilot_Balanced_7</v>
      </c>
      <c r="U538">
        <v>7</v>
      </c>
      <c r="V538">
        <f>VLOOKUP($U538,'[2]AP Balanced'!$Q$1:$T$542,2,FALSE)</f>
        <v>0</v>
      </c>
      <c r="W538">
        <f>VLOOKUP($U538,'[2]AP Balanced'!$Q$1:$T$542,3,FALSE)</f>
        <v>0.78532995000000005</v>
      </c>
      <c r="X538">
        <f>VLOOKUP($U538,'[2]AP Balanced'!$Q$1:$T$542,4,FALSE)</f>
        <v>0.21467004999999995</v>
      </c>
      <c r="Y538" s="77">
        <f t="shared" si="1355"/>
        <v>1</v>
      </c>
      <c r="Z538" s="77">
        <f t="shared" si="1344"/>
        <v>4.9450170057499993E-2</v>
      </c>
      <c r="AA538" s="77">
        <f t="shared" si="1345"/>
        <v>4.0302981835109719E-3</v>
      </c>
      <c r="AB538" s="79">
        <v>1</v>
      </c>
      <c r="AC538" s="77">
        <f t="shared" si="1309"/>
        <v>5.1046446750000005E-3</v>
      </c>
      <c r="AD538" s="77">
        <f t="shared" si="1300"/>
        <v>4.2638556199425803E-4</v>
      </c>
      <c r="AE538" s="77">
        <f t="shared" si="1310"/>
        <v>2.4785329950000002E-3</v>
      </c>
      <c r="AF538" s="77">
        <f t="shared" si="1300"/>
        <v>2.0677942174363029E-4</v>
      </c>
      <c r="AH538" t="s">
        <v>175</v>
      </c>
      <c r="AI538" t="s">
        <v>176</v>
      </c>
      <c r="AJ538" s="197" t="str">
        <f t="shared" si="1356"/>
        <v>Lifecycle_Balanced_7</v>
      </c>
      <c r="AK538">
        <v>7</v>
      </c>
      <c r="AL538">
        <f>VLOOKUP($U538,[2]Standard_Balanced!$Q$1:$T$542,2,FALSE)</f>
        <v>0</v>
      </c>
      <c r="AM538">
        <f>VLOOKUP($U538,[2]Standard_Balanced!$Q$1:$T$542,3,FALSE)</f>
        <v>0.75477580416666679</v>
      </c>
      <c r="AN538">
        <f>VLOOKUP($U538,[2]Standard_Balanced!$Q$1:$T$542,4,FALSE)</f>
        <v>0.24522419583333327</v>
      </c>
      <c r="AO538" s="77">
        <f t="shared" si="1286"/>
        <v>1</v>
      </c>
      <c r="AP538" s="77">
        <f t="shared" si="1311"/>
        <v>4.9179765866875003E-2</v>
      </c>
      <c r="AQ538" s="77">
        <f t="shared" si="1357"/>
        <v>4.0087372052510784E-3</v>
      </c>
      <c r="AR538" s="79">
        <v>0</v>
      </c>
      <c r="AS538" s="77">
        <f t="shared" si="1312"/>
        <v>0</v>
      </c>
      <c r="AT538" s="77">
        <f t="shared" ref="AT538" si="1365">1-(1-AS538)^(1/12)</f>
        <v>0</v>
      </c>
      <c r="AU538" s="77">
        <f t="shared" si="1314"/>
        <v>2.4754775804166668E-3</v>
      </c>
      <c r="AV538" s="77">
        <f t="shared" ref="AV538" si="1366">1-(1-AU538)^(1/12)</f>
        <v>2.0652422435363249E-4</v>
      </c>
      <c r="AX538" t="s">
        <v>178</v>
      </c>
      <c r="AY538" t="s">
        <v>160</v>
      </c>
      <c r="AZ538" s="197" t="str">
        <f t="shared" si="1360"/>
        <v>DIS_Non-Standard_7</v>
      </c>
      <c r="BA538">
        <v>7</v>
      </c>
      <c r="BB538">
        <f>VLOOKUP($BA538,'[2]NonStandard DIS'!$Q$1:$X$542,2,FALSE)</f>
        <v>0</v>
      </c>
      <c r="BC538">
        <f>VLOOKUP($BA538,'[2]NonStandard DIS'!$Q$1:$X$542,3,FALSE)</f>
        <v>0</v>
      </c>
      <c r="BD538">
        <f>VLOOKUP($BA538,'[2]NonStandard DIS'!$Q$1:$X$542,4,FALSE)</f>
        <v>0</v>
      </c>
      <c r="BE538">
        <f>VLOOKUP($BA538,'[2]NonStandard DIS'!$Q$1:$X$542,5,FALSE)</f>
        <v>0</v>
      </c>
      <c r="BF538">
        <f>VLOOKUP($BA538,'[2]NonStandard DIS'!$Q$1:$X$542,6,FALSE)</f>
        <v>0</v>
      </c>
      <c r="BG538">
        <f>VLOOKUP($BA538,'[2]NonStandard DIS'!$Q$1:$X$542,7,FALSE)</f>
        <v>0.125</v>
      </c>
      <c r="BH538">
        <f>VLOOKUP($BA538,'[2]NonStandard DIS'!$Q$1:$X$542,8,FALSE)</f>
        <v>0.875</v>
      </c>
      <c r="BI538" s="77">
        <f t="shared" si="1303"/>
        <v>1</v>
      </c>
      <c r="BJ538" s="77">
        <f t="shared" si="1304"/>
        <v>5.2087499999999995E-2</v>
      </c>
      <c r="BK538" s="77">
        <f t="shared" si="1285"/>
        <v>4.2403219784619139E-3</v>
      </c>
      <c r="BL538" s="79">
        <v>1</v>
      </c>
      <c r="BM538" s="77">
        <f t="shared" si="1316"/>
        <v>6.6249999999999998E-3</v>
      </c>
      <c r="BN538" s="77">
        <f t="shared" si="1317"/>
        <v>5.5041401669853052E-4</v>
      </c>
      <c r="BO538" s="77">
        <f t="shared" si="1318"/>
        <v>2.5000000000000001E-3</v>
      </c>
      <c r="BP538" s="77">
        <f t="shared" si="1319"/>
        <v>2.0809499864316017E-4</v>
      </c>
    </row>
    <row r="539" spans="1:68">
      <c r="A539" t="s">
        <v>175</v>
      </c>
      <c r="B539" t="s">
        <v>176</v>
      </c>
      <c r="C539" s="197" t="str">
        <f t="shared" si="1354"/>
        <v>Lifecycle_Balanced_6</v>
      </c>
      <c r="D539">
        <v>6</v>
      </c>
      <c r="E539">
        <f>VLOOKUP($D539,'[2]LC Balanced'!$Q$2:$U$542,2,FALSE)</f>
        <v>0.60749999999999993</v>
      </c>
      <c r="F539">
        <f>VLOOKUP($D539,'[2]LC Balanced'!$Q$2:$U$542,3,FALSE)</f>
        <v>0.1285</v>
      </c>
      <c r="G539">
        <f>VLOOKUP($D539,'[2]LC Balanced'!$Q$2:$U$542,4,FALSE)</f>
        <v>0.26400000000000001</v>
      </c>
      <c r="H539">
        <f>VLOOKUP($D539,'[2]LC Balanced'!$Q$2:$U$542,5,FALSE)</f>
        <v>0</v>
      </c>
      <c r="I539" s="77">
        <f t="shared" si="1298"/>
        <v>1</v>
      </c>
      <c r="J539" s="77">
        <f t="shared" si="1299"/>
        <v>4.8909612499999991E-2</v>
      </c>
      <c r="K539" s="77">
        <f t="shared" si="1289"/>
        <v>3.9871911393682957E-3</v>
      </c>
      <c r="L539" s="76">
        <v>0</v>
      </c>
      <c r="M539" s="77">
        <f t="shared" si="1305"/>
        <v>0</v>
      </c>
      <c r="N539" s="77">
        <f t="shared" si="1306"/>
        <v>0</v>
      </c>
      <c r="O539" s="77">
        <f t="shared" si="1307"/>
        <v>4.1169499999999994E-3</v>
      </c>
      <c r="P539" s="77">
        <f t="shared" si="1308"/>
        <v>3.4372824278061653E-4</v>
      </c>
      <c r="R539" t="s">
        <v>177</v>
      </c>
      <c r="S539" t="s">
        <v>176</v>
      </c>
      <c r="T539" s="197" t="str">
        <f t="shared" si="1240"/>
        <v>Autopilot_Balanced_6</v>
      </c>
      <c r="U539">
        <v>6</v>
      </c>
      <c r="V539">
        <f>VLOOKUP($U539,'[2]AP Balanced'!$Q$1:$T$542,2,FALSE)</f>
        <v>0</v>
      </c>
      <c r="W539">
        <f>VLOOKUP($U539,'[2]AP Balanced'!$Q$1:$T$542,3,FALSE)</f>
        <v>0.78532995000000005</v>
      </c>
      <c r="X539">
        <f>VLOOKUP($U539,'[2]AP Balanced'!$Q$1:$T$542,4,FALSE)</f>
        <v>0.21467004999999995</v>
      </c>
      <c r="Y539" s="77">
        <f t="shared" si="1355"/>
        <v>1</v>
      </c>
      <c r="Z539" s="77">
        <f t="shared" si="1344"/>
        <v>4.9450170057499993E-2</v>
      </c>
      <c r="AA539" s="77">
        <f t="shared" si="1345"/>
        <v>4.0302981835109719E-3</v>
      </c>
      <c r="AB539" s="79">
        <v>1</v>
      </c>
      <c r="AC539" s="77">
        <f t="shared" si="1309"/>
        <v>5.1046446750000005E-3</v>
      </c>
      <c r="AD539" s="77">
        <f t="shared" si="1300"/>
        <v>4.2638556199425803E-4</v>
      </c>
      <c r="AE539" s="77">
        <f t="shared" si="1310"/>
        <v>2.4785329950000002E-3</v>
      </c>
      <c r="AF539" s="77">
        <f t="shared" si="1300"/>
        <v>2.0677942174363029E-4</v>
      </c>
      <c r="AH539" t="s">
        <v>175</v>
      </c>
      <c r="AI539" t="s">
        <v>176</v>
      </c>
      <c r="AJ539" s="197" t="str">
        <f t="shared" si="1356"/>
        <v>Lifecycle_Balanced_6</v>
      </c>
      <c r="AK539">
        <v>6</v>
      </c>
      <c r="AL539">
        <f>VLOOKUP($U539,[2]Standard_Balanced!$Q$1:$T$542,2,FALSE)</f>
        <v>0</v>
      </c>
      <c r="AM539">
        <f>VLOOKUP($U539,[2]Standard_Balanced!$Q$1:$T$542,3,FALSE)</f>
        <v>0.74866497500000007</v>
      </c>
      <c r="AN539">
        <f>VLOOKUP($U539,[2]Standard_Balanced!$Q$1:$T$542,4,FALSE)</f>
        <v>0.25133502499999993</v>
      </c>
      <c r="AO539" s="77">
        <f t="shared" si="1286"/>
        <v>1</v>
      </c>
      <c r="AP539" s="77">
        <f t="shared" si="1311"/>
        <v>4.9125685028749991E-2</v>
      </c>
      <c r="AQ539" s="77">
        <f t="shared" si="1357"/>
        <v>4.0044243983492489E-3</v>
      </c>
      <c r="AR539" s="79">
        <v>0</v>
      </c>
      <c r="AS539" s="77">
        <f t="shared" si="1312"/>
        <v>0</v>
      </c>
      <c r="AT539" s="77">
        <f t="shared" ref="AT539" si="1367">1-(1-AS539)^(1/12)</f>
        <v>0</v>
      </c>
      <c r="AU539" s="77">
        <f t="shared" si="1314"/>
        <v>2.4748664975E-3</v>
      </c>
      <c r="AV539" s="77">
        <f t="shared" ref="AV539" si="1368">1-(1-AU539)^(1/12)</f>
        <v>2.064731849615864E-4</v>
      </c>
      <c r="AX539" t="s">
        <v>178</v>
      </c>
      <c r="AY539" t="s">
        <v>160</v>
      </c>
      <c r="AZ539" s="197" t="str">
        <f t="shared" si="1360"/>
        <v>DIS_Non-Standard_6</v>
      </c>
      <c r="BA539">
        <v>6</v>
      </c>
      <c r="BB539">
        <f>VLOOKUP($BA539,'[2]NonStandard DIS'!$Q$1:$X$542,2,FALSE)</f>
        <v>0</v>
      </c>
      <c r="BC539">
        <f>VLOOKUP($BA539,'[2]NonStandard DIS'!$Q$1:$X$542,3,FALSE)</f>
        <v>0</v>
      </c>
      <c r="BD539">
        <f>VLOOKUP($BA539,'[2]NonStandard DIS'!$Q$1:$X$542,4,FALSE)</f>
        <v>0</v>
      </c>
      <c r="BE539">
        <f>VLOOKUP($BA539,'[2]NonStandard DIS'!$Q$1:$X$542,5,FALSE)</f>
        <v>0</v>
      </c>
      <c r="BF539">
        <f>VLOOKUP($BA539,'[2]NonStandard DIS'!$Q$1:$X$542,6,FALSE)</f>
        <v>0</v>
      </c>
      <c r="BG539">
        <f>VLOOKUP($BA539,'[2]NonStandard DIS'!$Q$1:$X$542,7,FALSE)</f>
        <v>0.125</v>
      </c>
      <c r="BH539">
        <f>VLOOKUP($BA539,'[2]NonStandard DIS'!$Q$1:$X$542,8,FALSE)</f>
        <v>0.875</v>
      </c>
      <c r="BI539" s="77">
        <f t="shared" si="1303"/>
        <v>1</v>
      </c>
      <c r="BJ539" s="77">
        <f t="shared" si="1304"/>
        <v>5.2087499999999995E-2</v>
      </c>
      <c r="BK539" s="77">
        <f t="shared" si="1285"/>
        <v>4.2403219784619139E-3</v>
      </c>
      <c r="BL539" s="79">
        <v>1</v>
      </c>
      <c r="BM539" s="77">
        <f t="shared" si="1316"/>
        <v>6.6249999999999998E-3</v>
      </c>
      <c r="BN539" s="77">
        <f t="shared" si="1317"/>
        <v>5.5041401669853052E-4</v>
      </c>
      <c r="BO539" s="77">
        <f t="shared" si="1318"/>
        <v>2.5000000000000001E-3</v>
      </c>
      <c r="BP539" s="77">
        <f t="shared" si="1319"/>
        <v>2.0809499864316017E-4</v>
      </c>
    </row>
    <row r="540" spans="1:68">
      <c r="A540" t="s">
        <v>175</v>
      </c>
      <c r="B540" t="s">
        <v>176</v>
      </c>
      <c r="C540" s="197" t="str">
        <f t="shared" si="1354"/>
        <v>Lifecycle_Balanced_5</v>
      </c>
      <c r="D540">
        <v>5</v>
      </c>
      <c r="E540">
        <f>VLOOKUP($D540,'[2]LC Balanced'!$Q$2:$U$542,2,FALSE)</f>
        <v>0.60891666666666666</v>
      </c>
      <c r="F540">
        <f>VLOOKUP($D540,'[2]LC Balanced'!$Q$2:$U$542,3,FALSE)</f>
        <v>0.12775</v>
      </c>
      <c r="G540">
        <f>VLOOKUP($D540,'[2]LC Balanced'!$Q$2:$U$542,4,FALSE)</f>
        <v>0.26333333333333336</v>
      </c>
      <c r="H540">
        <f>VLOOKUP($D540,'[2]LC Balanced'!$Q$2:$U$542,5,FALSE)</f>
        <v>0</v>
      </c>
      <c r="I540" s="77">
        <f t="shared" si="1298"/>
        <v>1</v>
      </c>
      <c r="J540" s="77">
        <f t="shared" si="1299"/>
        <v>4.8891543750000002E-2</v>
      </c>
      <c r="K540" s="77">
        <f t="shared" si="1289"/>
        <v>3.9857498857898133E-3</v>
      </c>
      <c r="L540" s="76">
        <v>0</v>
      </c>
      <c r="M540" s="77">
        <f t="shared" si="1305"/>
        <v>0</v>
      </c>
      <c r="N540" s="77">
        <f t="shared" si="1306"/>
        <v>0</v>
      </c>
      <c r="O540" s="77">
        <f t="shared" si="1307"/>
        <v>4.1111250000000002E-3</v>
      </c>
      <c r="P540" s="77">
        <f t="shared" si="1308"/>
        <v>3.4324098826377103E-4</v>
      </c>
      <c r="R540" t="s">
        <v>177</v>
      </c>
      <c r="S540" t="s">
        <v>176</v>
      </c>
      <c r="T540" s="197" t="str">
        <f t="shared" si="1240"/>
        <v>Autopilot_Balanced_5</v>
      </c>
      <c r="U540">
        <v>5</v>
      </c>
      <c r="V540">
        <f>VLOOKUP($U540,'[2]AP Balanced'!$Q$1:$T$542,2,FALSE)</f>
        <v>0</v>
      </c>
      <c r="W540">
        <f>VLOOKUP($U540,'[2]AP Balanced'!$Q$1:$T$542,3,FALSE)</f>
        <v>0.78532995000000005</v>
      </c>
      <c r="X540">
        <f>VLOOKUP($U540,'[2]AP Balanced'!$Q$1:$T$542,4,FALSE)</f>
        <v>0.21467004999999995</v>
      </c>
      <c r="Y540" s="77">
        <f t="shared" si="1355"/>
        <v>1</v>
      </c>
      <c r="Z540" s="77">
        <f t="shared" si="1344"/>
        <v>4.9450170057499993E-2</v>
      </c>
      <c r="AA540" s="77">
        <f t="shared" si="1345"/>
        <v>4.0302981835109719E-3</v>
      </c>
      <c r="AB540" s="79">
        <v>1</v>
      </c>
      <c r="AC540" s="77">
        <f t="shared" si="1309"/>
        <v>5.1046446750000005E-3</v>
      </c>
      <c r="AD540" s="77">
        <f t="shared" si="1300"/>
        <v>4.2638556199425803E-4</v>
      </c>
      <c r="AE540" s="77">
        <f t="shared" si="1310"/>
        <v>2.4785329950000002E-3</v>
      </c>
      <c r="AF540" s="77">
        <f t="shared" si="1300"/>
        <v>2.0677942174363029E-4</v>
      </c>
      <c r="AH540" t="s">
        <v>175</v>
      </c>
      <c r="AI540" t="s">
        <v>176</v>
      </c>
      <c r="AJ540" s="197" t="str">
        <f t="shared" si="1356"/>
        <v>Lifecycle_Balanced_5</v>
      </c>
      <c r="AK540">
        <v>5</v>
      </c>
      <c r="AL540">
        <f>VLOOKUP($U540,[2]Standard_Balanced!$Q$1:$T$542,2,FALSE)</f>
        <v>0</v>
      </c>
      <c r="AM540">
        <f>VLOOKUP($U540,[2]Standard_Balanced!$Q$1:$T$542,3,FALSE)</f>
        <v>0.74255414583333335</v>
      </c>
      <c r="AN540">
        <f>VLOOKUP($U540,[2]Standard_Balanced!$Q$1:$T$542,4,FALSE)</f>
        <v>0.2574458541666666</v>
      </c>
      <c r="AO540" s="77">
        <f t="shared" si="1286"/>
        <v>1</v>
      </c>
      <c r="AP540" s="77">
        <f t="shared" si="1311"/>
        <v>4.9071604190624993E-2</v>
      </c>
      <c r="AQ540" s="77">
        <f t="shared" si="1357"/>
        <v>4.0001113876504402E-3</v>
      </c>
      <c r="AR540" s="79">
        <v>0</v>
      </c>
      <c r="AS540" s="77">
        <f t="shared" si="1312"/>
        <v>0</v>
      </c>
      <c r="AT540" s="77">
        <f t="shared" ref="AT540" si="1369">1-(1-AS540)^(1/12)</f>
        <v>0</v>
      </c>
      <c r="AU540" s="77">
        <f t="shared" si="1314"/>
        <v>2.4742554145833332E-3</v>
      </c>
      <c r="AV540" s="77">
        <f t="shared" ref="AV540" si="1370">1-(1-AU540)^(1/12)</f>
        <v>2.0642214559829508E-4</v>
      </c>
      <c r="AX540" t="s">
        <v>178</v>
      </c>
      <c r="AY540" t="s">
        <v>160</v>
      </c>
      <c r="AZ540" s="197" t="str">
        <f t="shared" si="1360"/>
        <v>DIS_Non-Standard_5</v>
      </c>
      <c r="BA540">
        <v>5</v>
      </c>
      <c r="BB540">
        <f>VLOOKUP($BA540,'[2]NonStandard DIS'!$Q$1:$X$542,2,FALSE)</f>
        <v>0</v>
      </c>
      <c r="BC540">
        <f>VLOOKUP($BA540,'[2]NonStandard DIS'!$Q$1:$X$542,3,FALSE)</f>
        <v>0</v>
      </c>
      <c r="BD540">
        <f>VLOOKUP($BA540,'[2]NonStandard DIS'!$Q$1:$X$542,4,FALSE)</f>
        <v>0</v>
      </c>
      <c r="BE540">
        <f>VLOOKUP($BA540,'[2]NonStandard DIS'!$Q$1:$X$542,5,FALSE)</f>
        <v>0</v>
      </c>
      <c r="BF540">
        <f>VLOOKUP($BA540,'[2]NonStandard DIS'!$Q$1:$X$542,6,FALSE)</f>
        <v>0</v>
      </c>
      <c r="BG540">
        <f>VLOOKUP($BA540,'[2]NonStandard DIS'!$Q$1:$X$542,7,FALSE)</f>
        <v>0.125</v>
      </c>
      <c r="BH540">
        <f>VLOOKUP($BA540,'[2]NonStandard DIS'!$Q$1:$X$542,8,FALSE)</f>
        <v>0.875</v>
      </c>
      <c r="BI540" s="77">
        <f t="shared" si="1303"/>
        <v>1</v>
      </c>
      <c r="BJ540" s="77">
        <f t="shared" si="1304"/>
        <v>5.2087499999999995E-2</v>
      </c>
      <c r="BK540" s="77">
        <f t="shared" si="1285"/>
        <v>4.2403219784619139E-3</v>
      </c>
      <c r="BL540" s="79">
        <v>1</v>
      </c>
      <c r="BM540" s="77">
        <f t="shared" si="1316"/>
        <v>6.6249999999999998E-3</v>
      </c>
      <c r="BN540" s="77">
        <f t="shared" si="1317"/>
        <v>5.5041401669853052E-4</v>
      </c>
      <c r="BO540" s="77">
        <f t="shared" si="1318"/>
        <v>2.5000000000000001E-3</v>
      </c>
      <c r="BP540" s="77">
        <f t="shared" si="1319"/>
        <v>2.0809499864316017E-4</v>
      </c>
    </row>
    <row r="541" spans="1:68">
      <c r="A541" t="s">
        <v>175</v>
      </c>
      <c r="B541" t="s">
        <v>176</v>
      </c>
      <c r="C541" s="197" t="str">
        <f t="shared" si="1354"/>
        <v>Lifecycle_Balanced_4</v>
      </c>
      <c r="D541">
        <v>4</v>
      </c>
      <c r="E541">
        <f>VLOOKUP($D541,'[2]LC Balanced'!$Q$2:$U$542,2,FALSE)</f>
        <v>0.61033333333333328</v>
      </c>
      <c r="F541">
        <f>VLOOKUP($D541,'[2]LC Balanced'!$Q$2:$U$542,3,FALSE)</f>
        <v>0.127</v>
      </c>
      <c r="G541">
        <f>VLOOKUP($D541,'[2]LC Balanced'!$Q$2:$U$542,4,FALSE)</f>
        <v>0.26266666666666666</v>
      </c>
      <c r="H541">
        <f>VLOOKUP($D541,'[2]LC Balanced'!$Q$2:$U$542,5,FALSE)</f>
        <v>0</v>
      </c>
      <c r="I541" s="77">
        <f t="shared" si="1298"/>
        <v>1</v>
      </c>
      <c r="J541" s="77">
        <f t="shared" si="1299"/>
        <v>4.8873475E-2</v>
      </c>
      <c r="K541" s="77">
        <f t="shared" si="1289"/>
        <v>3.9843086094524249E-3</v>
      </c>
      <c r="L541" s="76">
        <v>0</v>
      </c>
      <c r="M541" s="77">
        <f t="shared" si="1305"/>
        <v>0</v>
      </c>
      <c r="N541" s="77">
        <f t="shared" si="1306"/>
        <v>0</v>
      </c>
      <c r="O541" s="77">
        <f t="shared" si="1307"/>
        <v>4.1052999999999992E-3</v>
      </c>
      <c r="P541" s="77">
        <f t="shared" si="1308"/>
        <v>3.4275373635939133E-4</v>
      </c>
      <c r="R541" t="s">
        <v>177</v>
      </c>
      <c r="S541" t="s">
        <v>176</v>
      </c>
      <c r="T541" s="197" t="str">
        <f t="shared" si="1240"/>
        <v>Autopilot_Balanced_4</v>
      </c>
      <c r="U541">
        <v>4</v>
      </c>
      <c r="V541">
        <f>VLOOKUP($U541,'[2]AP Balanced'!$Q$1:$T$542,2,FALSE)</f>
        <v>0</v>
      </c>
      <c r="W541">
        <f>VLOOKUP($U541,'[2]AP Balanced'!$Q$1:$T$542,3,FALSE)</f>
        <v>0.78532995000000005</v>
      </c>
      <c r="X541">
        <f>VLOOKUP($U541,'[2]AP Balanced'!$Q$1:$T$542,4,FALSE)</f>
        <v>0.21467004999999995</v>
      </c>
      <c r="Y541" s="77">
        <f t="shared" si="1355"/>
        <v>1</v>
      </c>
      <c r="Z541" s="77">
        <f t="shared" si="1344"/>
        <v>4.9450170057499993E-2</v>
      </c>
      <c r="AA541" s="77">
        <f t="shared" si="1345"/>
        <v>4.0302981835109719E-3</v>
      </c>
      <c r="AB541" s="79">
        <v>1</v>
      </c>
      <c r="AC541" s="77">
        <f t="shared" si="1309"/>
        <v>5.1046446750000005E-3</v>
      </c>
      <c r="AD541" s="77">
        <f t="shared" si="1300"/>
        <v>4.2638556199425803E-4</v>
      </c>
      <c r="AE541" s="77">
        <f t="shared" si="1310"/>
        <v>2.4785329950000002E-3</v>
      </c>
      <c r="AF541" s="77">
        <f t="shared" si="1300"/>
        <v>2.0677942174363029E-4</v>
      </c>
      <c r="AH541" t="s">
        <v>175</v>
      </c>
      <c r="AI541" t="s">
        <v>176</v>
      </c>
      <c r="AJ541" s="197" t="str">
        <f t="shared" si="1356"/>
        <v>Lifecycle_Balanced_4</v>
      </c>
      <c r="AK541">
        <v>4</v>
      </c>
      <c r="AL541">
        <f>VLOOKUP($U541,[2]Standard_Balanced!$Q$1:$T$542,2,FALSE)</f>
        <v>0</v>
      </c>
      <c r="AM541">
        <f>VLOOKUP($U541,[2]Standard_Balanced!$Q$1:$T$542,3,FALSE)</f>
        <v>0.73644331666666674</v>
      </c>
      <c r="AN541">
        <f>VLOOKUP($U541,[2]Standard_Balanced!$Q$1:$T$542,4,FALSE)</f>
        <v>0.26355668333333326</v>
      </c>
      <c r="AO541" s="77">
        <f t="shared" si="1286"/>
        <v>1</v>
      </c>
      <c r="AP541" s="77">
        <f t="shared" si="1311"/>
        <v>4.9017523352499995E-2</v>
      </c>
      <c r="AQ541" s="77">
        <f t="shared" si="1357"/>
        <v>3.9957981731346681E-3</v>
      </c>
      <c r="AR541" s="79">
        <v>0</v>
      </c>
      <c r="AS541" s="77">
        <f t="shared" si="1312"/>
        <v>0</v>
      </c>
      <c r="AT541" s="77">
        <f t="shared" ref="AT541" si="1371">1-(1-AS541)^(1/12)</f>
        <v>0</v>
      </c>
      <c r="AU541" s="77">
        <f t="shared" si="1314"/>
        <v>2.4736443316666669E-3</v>
      </c>
      <c r="AV541" s="77">
        <f t="shared" ref="AV541" si="1372">1-(1-AU541)^(1/12)</f>
        <v>2.063711062635365E-4</v>
      </c>
      <c r="AX541" t="s">
        <v>178</v>
      </c>
      <c r="AY541" t="s">
        <v>160</v>
      </c>
      <c r="AZ541" s="197" t="str">
        <f t="shared" si="1360"/>
        <v>DIS_Non-Standard_4</v>
      </c>
      <c r="BA541">
        <v>4</v>
      </c>
      <c r="BB541">
        <f>VLOOKUP($BA541,'[2]NonStandard DIS'!$Q$1:$X$542,2,FALSE)</f>
        <v>0</v>
      </c>
      <c r="BC541">
        <f>VLOOKUP($BA541,'[2]NonStandard DIS'!$Q$1:$X$542,3,FALSE)</f>
        <v>0</v>
      </c>
      <c r="BD541">
        <f>VLOOKUP($BA541,'[2]NonStandard DIS'!$Q$1:$X$542,4,FALSE)</f>
        <v>0</v>
      </c>
      <c r="BE541">
        <f>VLOOKUP($BA541,'[2]NonStandard DIS'!$Q$1:$X$542,5,FALSE)</f>
        <v>0</v>
      </c>
      <c r="BF541">
        <f>VLOOKUP($BA541,'[2]NonStandard DIS'!$Q$1:$X$542,6,FALSE)</f>
        <v>0</v>
      </c>
      <c r="BG541">
        <f>VLOOKUP($BA541,'[2]NonStandard DIS'!$Q$1:$X$542,7,FALSE)</f>
        <v>0.125</v>
      </c>
      <c r="BH541">
        <f>VLOOKUP($BA541,'[2]NonStandard DIS'!$Q$1:$X$542,8,FALSE)</f>
        <v>0.875</v>
      </c>
      <c r="BI541" s="77">
        <f t="shared" si="1303"/>
        <v>1</v>
      </c>
      <c r="BJ541" s="77">
        <f t="shared" si="1304"/>
        <v>5.2087499999999995E-2</v>
      </c>
      <c r="BK541" s="77">
        <f t="shared" si="1285"/>
        <v>4.2403219784619139E-3</v>
      </c>
      <c r="BL541" s="79">
        <v>1</v>
      </c>
      <c r="BM541" s="77">
        <f t="shared" si="1316"/>
        <v>6.6249999999999998E-3</v>
      </c>
      <c r="BN541" s="77">
        <f t="shared" si="1317"/>
        <v>5.5041401669853052E-4</v>
      </c>
      <c r="BO541" s="77">
        <f t="shared" si="1318"/>
        <v>2.5000000000000001E-3</v>
      </c>
      <c r="BP541" s="77">
        <f t="shared" si="1319"/>
        <v>2.0809499864316017E-4</v>
      </c>
    </row>
    <row r="542" spans="1:68">
      <c r="A542" t="s">
        <v>175</v>
      </c>
      <c r="B542" t="s">
        <v>176</v>
      </c>
      <c r="C542" s="197" t="str">
        <f t="shared" si="1354"/>
        <v>Lifecycle_Balanced_3</v>
      </c>
      <c r="D542">
        <v>3</v>
      </c>
      <c r="E542">
        <f>VLOOKUP($D542,'[2]LC Balanced'!$Q$2:$U$542,2,FALSE)</f>
        <v>0.61175000000000002</v>
      </c>
      <c r="F542">
        <f>VLOOKUP($D542,'[2]LC Balanced'!$Q$2:$U$542,3,FALSE)</f>
        <v>0.12625</v>
      </c>
      <c r="G542">
        <f>VLOOKUP($D542,'[2]LC Balanced'!$Q$2:$U$542,4,FALSE)</f>
        <v>0.26200000000000001</v>
      </c>
      <c r="H542">
        <f>VLOOKUP($D542,'[2]LC Balanced'!$Q$2:$U$542,5,FALSE)</f>
        <v>0</v>
      </c>
      <c r="I542" s="77">
        <f t="shared" si="1298"/>
        <v>1</v>
      </c>
      <c r="J542" s="77">
        <f t="shared" si="1299"/>
        <v>4.8855406249999997E-2</v>
      </c>
      <c r="K542" s="77">
        <f t="shared" si="1289"/>
        <v>3.9828673103552426E-3</v>
      </c>
      <c r="L542" s="76">
        <v>0</v>
      </c>
      <c r="M542" s="77">
        <f t="shared" si="1305"/>
        <v>0</v>
      </c>
      <c r="N542" s="77">
        <f t="shared" si="1306"/>
        <v>0</v>
      </c>
      <c r="O542" s="77">
        <f t="shared" si="1307"/>
        <v>4.099475E-3</v>
      </c>
      <c r="P542" s="77">
        <f t="shared" si="1308"/>
        <v>3.4226648706747742E-4</v>
      </c>
      <c r="R542" t="s">
        <v>177</v>
      </c>
      <c r="S542" t="s">
        <v>176</v>
      </c>
      <c r="T542" s="197" t="str">
        <f t="shared" si="1240"/>
        <v>Autopilot_Balanced_3</v>
      </c>
      <c r="U542">
        <v>3</v>
      </c>
      <c r="V542">
        <f>VLOOKUP($U542,'[2]AP Balanced'!$Q$1:$T$542,2,FALSE)</f>
        <v>0</v>
      </c>
      <c r="W542">
        <f>VLOOKUP($U542,'[2]AP Balanced'!$Q$1:$T$542,3,FALSE)</f>
        <v>0.78532995000000005</v>
      </c>
      <c r="X542">
        <f>VLOOKUP($U542,'[2]AP Balanced'!$Q$1:$T$542,4,FALSE)</f>
        <v>0.21467004999999995</v>
      </c>
      <c r="Y542" s="77">
        <f t="shared" si="1355"/>
        <v>1</v>
      </c>
      <c r="Z542" s="77">
        <f t="shared" si="1344"/>
        <v>4.9450170057499993E-2</v>
      </c>
      <c r="AA542" s="77">
        <f t="shared" si="1345"/>
        <v>4.0302981835109719E-3</v>
      </c>
      <c r="AB542" s="79">
        <v>1</v>
      </c>
      <c r="AC542" s="77">
        <f t="shared" si="1309"/>
        <v>5.1046446750000005E-3</v>
      </c>
      <c r="AD542" s="77">
        <f t="shared" si="1300"/>
        <v>4.2638556199425803E-4</v>
      </c>
      <c r="AE542" s="77">
        <f t="shared" si="1310"/>
        <v>2.4785329950000002E-3</v>
      </c>
      <c r="AF542" s="77">
        <f t="shared" si="1300"/>
        <v>2.0677942174363029E-4</v>
      </c>
      <c r="AH542" t="s">
        <v>175</v>
      </c>
      <c r="AI542" t="s">
        <v>176</v>
      </c>
      <c r="AJ542" s="197" t="str">
        <f t="shared" si="1356"/>
        <v>Lifecycle_Balanced_3</v>
      </c>
      <c r="AK542">
        <v>3</v>
      </c>
      <c r="AL542">
        <f>VLOOKUP($U542,[2]Standard_Balanced!$Q$1:$T$542,2,FALSE)</f>
        <v>0</v>
      </c>
      <c r="AM542">
        <f>VLOOKUP($U542,[2]Standard_Balanced!$Q$1:$T$542,3,FALSE)</f>
        <v>0.73033248750000013</v>
      </c>
      <c r="AN542">
        <f>VLOOKUP($U542,[2]Standard_Balanced!$Q$1:$T$542,4,FALSE)</f>
        <v>0.26966751249999993</v>
      </c>
      <c r="AO542" s="77">
        <f t="shared" si="1286"/>
        <v>1</v>
      </c>
      <c r="AP542" s="77">
        <f t="shared" si="1311"/>
        <v>4.8963442514374997E-2</v>
      </c>
      <c r="AQ542" s="77">
        <f t="shared" si="1357"/>
        <v>3.9914847547817267E-3</v>
      </c>
      <c r="AR542" s="79">
        <v>0</v>
      </c>
      <c r="AS542" s="77">
        <f t="shared" si="1312"/>
        <v>0</v>
      </c>
      <c r="AT542" s="77">
        <f t="shared" ref="AT542" si="1373">1-(1-AS542)^(1/12)</f>
        <v>0</v>
      </c>
      <c r="AU542" s="77">
        <f t="shared" si="1314"/>
        <v>2.4730332487500001E-3</v>
      </c>
      <c r="AV542" s="77">
        <f t="shared" ref="AV542" si="1374">1-(1-AU542)^(1/12)</f>
        <v>2.0632006695753269E-4</v>
      </c>
      <c r="AX542" t="s">
        <v>178</v>
      </c>
      <c r="AY542" t="s">
        <v>160</v>
      </c>
      <c r="AZ542" s="197" t="str">
        <f t="shared" si="1360"/>
        <v>DIS_Non-Standard_3</v>
      </c>
      <c r="BA542">
        <v>3</v>
      </c>
      <c r="BB542">
        <f>VLOOKUP($BA542,'[2]NonStandard DIS'!$Q$1:$X$542,2,FALSE)</f>
        <v>0</v>
      </c>
      <c r="BC542">
        <f>VLOOKUP($BA542,'[2]NonStandard DIS'!$Q$1:$X$542,3,FALSE)</f>
        <v>0</v>
      </c>
      <c r="BD542">
        <f>VLOOKUP($BA542,'[2]NonStandard DIS'!$Q$1:$X$542,4,FALSE)</f>
        <v>0</v>
      </c>
      <c r="BE542">
        <f>VLOOKUP($BA542,'[2]NonStandard DIS'!$Q$1:$X$542,5,FALSE)</f>
        <v>0</v>
      </c>
      <c r="BF542">
        <f>VLOOKUP($BA542,'[2]NonStandard DIS'!$Q$1:$X$542,6,FALSE)</f>
        <v>0</v>
      </c>
      <c r="BG542">
        <f>VLOOKUP($BA542,'[2]NonStandard DIS'!$Q$1:$X$542,7,FALSE)</f>
        <v>0.125</v>
      </c>
      <c r="BH542">
        <f>VLOOKUP($BA542,'[2]NonStandard DIS'!$Q$1:$X$542,8,FALSE)</f>
        <v>0.875</v>
      </c>
      <c r="BI542" s="77">
        <f t="shared" si="1303"/>
        <v>1</v>
      </c>
      <c r="BJ542" s="77">
        <f t="shared" si="1304"/>
        <v>5.2087499999999995E-2</v>
      </c>
      <c r="BK542" s="77">
        <f t="shared" si="1285"/>
        <v>4.2403219784619139E-3</v>
      </c>
      <c r="BL542" s="79">
        <v>1</v>
      </c>
      <c r="BM542" s="77">
        <f t="shared" si="1316"/>
        <v>6.6249999999999998E-3</v>
      </c>
      <c r="BN542" s="77">
        <f t="shared" si="1317"/>
        <v>5.5041401669853052E-4</v>
      </c>
      <c r="BO542" s="77">
        <f t="shared" si="1318"/>
        <v>2.5000000000000001E-3</v>
      </c>
      <c r="BP542" s="77">
        <f t="shared" si="1319"/>
        <v>2.0809499864316017E-4</v>
      </c>
    </row>
    <row r="543" spans="1:68">
      <c r="A543" t="s">
        <v>175</v>
      </c>
      <c r="B543" t="s">
        <v>176</v>
      </c>
      <c r="C543" s="197" t="str">
        <f t="shared" si="1354"/>
        <v>Lifecycle_Balanced_2</v>
      </c>
      <c r="D543">
        <v>2</v>
      </c>
      <c r="E543">
        <f>VLOOKUP($D543,'[2]LC Balanced'!$Q$2:$U$542,2,FALSE)</f>
        <v>0.61316666666666664</v>
      </c>
      <c r="F543">
        <f>VLOOKUP($D543,'[2]LC Balanced'!$Q$2:$U$542,3,FALSE)</f>
        <v>0.1255</v>
      </c>
      <c r="G543">
        <f>VLOOKUP($D543,'[2]LC Balanced'!$Q$2:$U$542,4,FALSE)</f>
        <v>0.26133333333333336</v>
      </c>
      <c r="H543">
        <f>VLOOKUP($D543,'[2]LC Balanced'!$Q$2:$U$542,5,FALSE)</f>
        <v>0</v>
      </c>
      <c r="I543" s="77">
        <f t="shared" si="1298"/>
        <v>1</v>
      </c>
      <c r="J543" s="77">
        <f t="shared" si="1299"/>
        <v>4.8837337499999994E-2</v>
      </c>
      <c r="K543" s="77">
        <f t="shared" si="1289"/>
        <v>3.981425988497822E-3</v>
      </c>
      <c r="L543" s="76">
        <v>0</v>
      </c>
      <c r="M543" s="77">
        <f t="shared" si="1305"/>
        <v>0</v>
      </c>
      <c r="N543" s="77">
        <f t="shared" si="1306"/>
        <v>0</v>
      </c>
      <c r="O543" s="77">
        <f t="shared" si="1307"/>
        <v>4.0936499999999999E-3</v>
      </c>
      <c r="P543" s="77">
        <f t="shared" si="1308"/>
        <v>3.4177924038791829E-4</v>
      </c>
      <c r="R543" t="s">
        <v>177</v>
      </c>
      <c r="S543" t="s">
        <v>176</v>
      </c>
      <c r="T543" s="197" t="str">
        <f t="shared" si="1240"/>
        <v>Autopilot_Balanced_2</v>
      </c>
      <c r="U543">
        <v>2</v>
      </c>
      <c r="V543">
        <f>VLOOKUP($U543,'[2]AP Balanced'!$Q$1:$T$542,2,FALSE)</f>
        <v>0</v>
      </c>
      <c r="W543">
        <f>VLOOKUP($U543,'[2]AP Balanced'!$Q$1:$T$542,3,FALSE)</f>
        <v>0.78532995000000005</v>
      </c>
      <c r="X543">
        <f>VLOOKUP($U543,'[2]AP Balanced'!$Q$1:$T$542,4,FALSE)</f>
        <v>0.21467004999999995</v>
      </c>
      <c r="Y543" s="77">
        <f t="shared" si="1355"/>
        <v>1</v>
      </c>
      <c r="Z543" s="77">
        <f t="shared" si="1344"/>
        <v>4.9450170057499993E-2</v>
      </c>
      <c r="AA543" s="77">
        <f t="shared" si="1345"/>
        <v>4.0302981835109719E-3</v>
      </c>
      <c r="AB543" s="79">
        <v>1</v>
      </c>
      <c r="AC543" s="77">
        <f t="shared" si="1309"/>
        <v>5.1046446750000005E-3</v>
      </c>
      <c r="AD543" s="77">
        <f t="shared" si="1300"/>
        <v>4.2638556199425803E-4</v>
      </c>
      <c r="AE543" s="77">
        <f t="shared" si="1310"/>
        <v>2.4785329950000002E-3</v>
      </c>
      <c r="AF543" s="77">
        <f t="shared" si="1300"/>
        <v>2.0677942174363029E-4</v>
      </c>
      <c r="AH543" t="s">
        <v>175</v>
      </c>
      <c r="AI543" t="s">
        <v>176</v>
      </c>
      <c r="AJ543" s="197" t="str">
        <f t="shared" si="1356"/>
        <v>Lifecycle_Balanced_2</v>
      </c>
      <c r="AK543">
        <v>2</v>
      </c>
      <c r="AL543">
        <f>VLOOKUP($U543,[2]Standard_Balanced!$Q$1:$T$542,2,FALSE)</f>
        <v>0</v>
      </c>
      <c r="AM543">
        <f>VLOOKUP($U543,[2]Standard_Balanced!$Q$1:$T$542,3,FALSE)</f>
        <v>0.72422165833333341</v>
      </c>
      <c r="AN543">
        <f>VLOOKUP($U543,[2]Standard_Balanced!$Q$1:$T$542,4,FALSE)</f>
        <v>0.27577834166666659</v>
      </c>
      <c r="AO543" s="77">
        <f t="shared" si="1286"/>
        <v>1</v>
      </c>
      <c r="AP543" s="77">
        <f t="shared" si="1311"/>
        <v>4.8909361676249992E-2</v>
      </c>
      <c r="AQ543" s="77">
        <f t="shared" si="1357"/>
        <v>3.9871711325714099E-3</v>
      </c>
      <c r="AR543" s="79">
        <v>0</v>
      </c>
      <c r="AS543" s="77">
        <f t="shared" si="1312"/>
        <v>0</v>
      </c>
      <c r="AT543" s="77">
        <f t="shared" ref="AT543" si="1375">1-(1-AS543)^(1/12)</f>
        <v>0</v>
      </c>
      <c r="AU543" s="77">
        <f t="shared" si="1314"/>
        <v>2.4724221658333333E-3</v>
      </c>
      <c r="AV543" s="77">
        <f t="shared" ref="AV543" si="1376">1-(1-AU543)^(1/12)</f>
        <v>2.0626902768017263E-4</v>
      </c>
      <c r="AX543" t="s">
        <v>178</v>
      </c>
      <c r="AY543" t="s">
        <v>160</v>
      </c>
      <c r="AZ543" s="197" t="str">
        <f t="shared" si="1360"/>
        <v>DIS_Non-Standard_2</v>
      </c>
      <c r="BA543">
        <v>2</v>
      </c>
      <c r="BB543">
        <f>VLOOKUP($BA543,'[2]NonStandard DIS'!$Q$1:$X$542,2,FALSE)</f>
        <v>0</v>
      </c>
      <c r="BC543">
        <f>VLOOKUP($BA543,'[2]NonStandard DIS'!$Q$1:$X$542,3,FALSE)</f>
        <v>0</v>
      </c>
      <c r="BD543">
        <f>VLOOKUP($BA543,'[2]NonStandard DIS'!$Q$1:$X$542,4,FALSE)</f>
        <v>0</v>
      </c>
      <c r="BE543">
        <f>VLOOKUP($BA543,'[2]NonStandard DIS'!$Q$1:$X$542,5,FALSE)</f>
        <v>0</v>
      </c>
      <c r="BF543">
        <f>VLOOKUP($BA543,'[2]NonStandard DIS'!$Q$1:$X$542,6,FALSE)</f>
        <v>0</v>
      </c>
      <c r="BG543">
        <f>VLOOKUP($BA543,'[2]NonStandard DIS'!$Q$1:$X$542,7,FALSE)</f>
        <v>0.125</v>
      </c>
      <c r="BH543">
        <f>VLOOKUP($BA543,'[2]NonStandard DIS'!$Q$1:$X$542,8,FALSE)</f>
        <v>0.875</v>
      </c>
      <c r="BI543" s="77">
        <f t="shared" si="1303"/>
        <v>1</v>
      </c>
      <c r="BJ543" s="77">
        <f t="shared" si="1304"/>
        <v>5.2087499999999995E-2</v>
      </c>
      <c r="BK543" s="77">
        <f t="shared" si="1285"/>
        <v>4.2403219784619139E-3</v>
      </c>
      <c r="BL543" s="79">
        <v>1</v>
      </c>
      <c r="BM543" s="77">
        <f t="shared" si="1316"/>
        <v>6.6249999999999998E-3</v>
      </c>
      <c r="BN543" s="77">
        <f t="shared" si="1317"/>
        <v>5.5041401669853052E-4</v>
      </c>
      <c r="BO543" s="77">
        <f t="shared" si="1318"/>
        <v>2.5000000000000001E-3</v>
      </c>
      <c r="BP543" s="77">
        <f t="shared" si="1319"/>
        <v>2.0809499864316017E-4</v>
      </c>
    </row>
    <row r="544" spans="1:68">
      <c r="A544" t="s">
        <v>175</v>
      </c>
      <c r="B544" t="s">
        <v>176</v>
      </c>
      <c r="C544" s="197" t="str">
        <f t="shared" si="1354"/>
        <v>Lifecycle_Balanced_1</v>
      </c>
      <c r="D544">
        <v>1</v>
      </c>
      <c r="E544">
        <f>VLOOKUP($D544,'[2]LC Balanced'!$Q$2:$U$542,2,FALSE)</f>
        <v>0.61458333333333337</v>
      </c>
      <c r="F544">
        <f>VLOOKUP($D544,'[2]LC Balanced'!$Q$2:$U$542,3,FALSE)</f>
        <v>0.12475</v>
      </c>
      <c r="G544">
        <f>VLOOKUP($D544,'[2]LC Balanced'!$Q$2:$U$542,4,FALSE)</f>
        <v>0.26066666666666666</v>
      </c>
      <c r="H544">
        <f>VLOOKUP($D544,'[2]LC Balanced'!$Q$2:$U$542,5,FALSE)</f>
        <v>0</v>
      </c>
      <c r="I544" s="77">
        <f t="shared" si="1298"/>
        <v>1</v>
      </c>
      <c r="J544" s="77">
        <f t="shared" si="1299"/>
        <v>4.8819268749999999E-2</v>
      </c>
      <c r="K544" s="77">
        <f t="shared" si="1289"/>
        <v>3.9799846438788311E-3</v>
      </c>
      <c r="L544" s="76">
        <v>0</v>
      </c>
      <c r="M544" s="77">
        <f t="shared" si="1305"/>
        <v>0</v>
      </c>
      <c r="N544" s="77">
        <f t="shared" si="1306"/>
        <v>0</v>
      </c>
      <c r="O544" s="77">
        <f t="shared" si="1307"/>
        <v>4.0878249999999998E-3</v>
      </c>
      <c r="P544" s="77">
        <f t="shared" si="1308"/>
        <v>3.4129199632071394E-4</v>
      </c>
      <c r="R544" t="s">
        <v>177</v>
      </c>
      <c r="S544" t="s">
        <v>176</v>
      </c>
      <c r="T544" s="197" t="str">
        <f t="shared" si="1240"/>
        <v>Autopilot_Balanced_1</v>
      </c>
      <c r="U544">
        <v>1</v>
      </c>
      <c r="V544">
        <f>VLOOKUP($U544,'[2]AP Balanced'!$Q$1:$T$542,2,FALSE)</f>
        <v>0</v>
      </c>
      <c r="W544">
        <f>VLOOKUP($U544,'[2]AP Balanced'!$Q$1:$T$542,3,FALSE)</f>
        <v>0.78532995000000005</v>
      </c>
      <c r="X544">
        <f>VLOOKUP($U544,'[2]AP Balanced'!$Q$1:$T$542,4,FALSE)</f>
        <v>0.21467004999999995</v>
      </c>
      <c r="Y544" s="77">
        <f t="shared" si="1355"/>
        <v>1</v>
      </c>
      <c r="Z544" s="77">
        <f t="shared" si="1344"/>
        <v>4.9450170057499993E-2</v>
      </c>
      <c r="AA544" s="77">
        <f t="shared" si="1345"/>
        <v>4.0302981835109719E-3</v>
      </c>
      <c r="AB544" s="79">
        <v>1</v>
      </c>
      <c r="AC544" s="77">
        <f t="shared" si="1309"/>
        <v>5.1046446750000005E-3</v>
      </c>
      <c r="AD544" s="77">
        <f t="shared" si="1300"/>
        <v>4.2638556199425803E-4</v>
      </c>
      <c r="AE544" s="77">
        <f t="shared" si="1310"/>
        <v>2.4785329950000002E-3</v>
      </c>
      <c r="AF544" s="77">
        <f t="shared" si="1300"/>
        <v>2.0677942174363029E-4</v>
      </c>
      <c r="AH544" t="s">
        <v>175</v>
      </c>
      <c r="AI544" t="s">
        <v>176</v>
      </c>
      <c r="AJ544" s="197" t="str">
        <f t="shared" si="1356"/>
        <v>Lifecycle_Balanced_1</v>
      </c>
      <c r="AK544">
        <v>1</v>
      </c>
      <c r="AL544">
        <f>VLOOKUP($U544,[2]Standard_Balanced!$Q$1:$T$542,2,FALSE)</f>
        <v>0</v>
      </c>
      <c r="AM544">
        <f>VLOOKUP($U544,[2]Standard_Balanced!$Q$1:$T$542,3,FALSE)</f>
        <v>0.71811082916666669</v>
      </c>
      <c r="AN544">
        <f>VLOOKUP($U544,[2]Standard_Balanced!$Q$1:$T$542,4,FALSE)</f>
        <v>0.28188917083333326</v>
      </c>
      <c r="AO544" s="77">
        <f t="shared" si="1286"/>
        <v>1</v>
      </c>
      <c r="AP544" s="77">
        <f t="shared" si="1311"/>
        <v>4.8855280838124994E-2</v>
      </c>
      <c r="AQ544" s="77">
        <f t="shared" si="1357"/>
        <v>3.9828573064835116E-3</v>
      </c>
      <c r="AR544" s="79">
        <v>0</v>
      </c>
      <c r="AS544" s="77">
        <f t="shared" si="1312"/>
        <v>0</v>
      </c>
      <c r="AT544" s="77">
        <f t="shared" ref="AT544" si="1377">1-(1-AS544)^(1/12)</f>
        <v>0</v>
      </c>
      <c r="AU544" s="77">
        <f t="shared" si="1314"/>
        <v>2.4718110829166666E-3</v>
      </c>
      <c r="AV544" s="77">
        <f t="shared" ref="AV544" si="1378">1-(1-AU544)^(1/12)</f>
        <v>2.0621798843145633E-4</v>
      </c>
      <c r="AX544" t="s">
        <v>178</v>
      </c>
      <c r="AY544" t="s">
        <v>160</v>
      </c>
      <c r="AZ544" s="197" t="str">
        <f t="shared" si="1360"/>
        <v>DIS_Non-Standard_1</v>
      </c>
      <c r="BA544">
        <v>1</v>
      </c>
      <c r="BB544">
        <f>VLOOKUP($BA544,'[2]NonStandard DIS'!$Q$1:$X$542,2,FALSE)</f>
        <v>0</v>
      </c>
      <c r="BC544">
        <f>VLOOKUP($BA544,'[2]NonStandard DIS'!$Q$1:$X$542,3,FALSE)</f>
        <v>0</v>
      </c>
      <c r="BD544">
        <f>VLOOKUP($BA544,'[2]NonStandard DIS'!$Q$1:$X$542,4,FALSE)</f>
        <v>0</v>
      </c>
      <c r="BE544">
        <f>VLOOKUP($BA544,'[2]NonStandard DIS'!$Q$1:$X$542,5,FALSE)</f>
        <v>0</v>
      </c>
      <c r="BF544">
        <f>VLOOKUP($BA544,'[2]NonStandard DIS'!$Q$1:$X$542,6,FALSE)</f>
        <v>0</v>
      </c>
      <c r="BG544">
        <f>VLOOKUP($BA544,'[2]NonStandard DIS'!$Q$1:$X$542,7,FALSE)</f>
        <v>0.125</v>
      </c>
      <c r="BH544">
        <f>VLOOKUP($BA544,'[2]NonStandard DIS'!$Q$1:$X$542,8,FALSE)</f>
        <v>0.875</v>
      </c>
      <c r="BI544" s="77">
        <f t="shared" si="1303"/>
        <v>1</v>
      </c>
      <c r="BJ544" s="77">
        <f t="shared" si="1304"/>
        <v>5.2087499999999995E-2</v>
      </c>
      <c r="BK544" s="77">
        <f t="shared" si="1285"/>
        <v>4.2403219784619139E-3</v>
      </c>
      <c r="BL544" s="79">
        <v>1</v>
      </c>
      <c r="BM544" s="77">
        <f t="shared" si="1316"/>
        <v>6.6249999999999998E-3</v>
      </c>
      <c r="BN544" s="77">
        <f t="shared" si="1317"/>
        <v>5.5041401669853052E-4</v>
      </c>
      <c r="BO544" s="77">
        <f t="shared" si="1318"/>
        <v>2.5000000000000001E-3</v>
      </c>
      <c r="BP544" s="77">
        <f t="shared" si="1319"/>
        <v>2.0809499864316017E-4</v>
      </c>
    </row>
    <row r="545" spans="1:68">
      <c r="A545" t="s">
        <v>175</v>
      </c>
      <c r="B545" t="s">
        <v>176</v>
      </c>
      <c r="C545" s="197" t="str">
        <f t="shared" si="1354"/>
        <v>Lifecycle_Balanced_0</v>
      </c>
      <c r="D545">
        <v>0</v>
      </c>
      <c r="E545">
        <f>VLOOKUP($D545,'[2]LC Balanced'!$Q$2:$U$542,2,FALSE)</f>
        <v>0.61599999999999999</v>
      </c>
      <c r="F545">
        <f>VLOOKUP($D545,'[2]LC Balanced'!$Q$2:$U$542,3,FALSE)</f>
        <v>0.124</v>
      </c>
      <c r="G545">
        <f>VLOOKUP($D545,'[2]LC Balanced'!$Q$2:$U$542,4,FALSE)</f>
        <v>0.26</v>
      </c>
      <c r="H545">
        <f>VLOOKUP($D545,'[2]LC Balanced'!$Q$2:$U$542,5,FALSE)</f>
        <v>0</v>
      </c>
      <c r="I545" s="77">
        <f t="shared" si="1298"/>
        <v>1</v>
      </c>
      <c r="J545" s="77">
        <f t="shared" si="1299"/>
        <v>4.8801200000000003E-2</v>
      </c>
      <c r="K545" s="77">
        <f t="shared" ref="K545" si="1379">(1+J545)^(1/12)-1</f>
        <v>3.9785432764980477E-3</v>
      </c>
      <c r="L545" s="76">
        <v>0</v>
      </c>
      <c r="M545" s="77">
        <f t="shared" si="1305"/>
        <v>0</v>
      </c>
      <c r="N545" s="77">
        <f t="shared" si="1306"/>
        <v>0</v>
      </c>
      <c r="O545" s="77">
        <f t="shared" si="1307"/>
        <v>4.0820000000000006E-3</v>
      </c>
      <c r="P545" s="77">
        <f t="shared" si="1308"/>
        <v>3.4080475486597539E-4</v>
      </c>
      <c r="R545" t="s">
        <v>177</v>
      </c>
      <c r="S545" t="s">
        <v>176</v>
      </c>
      <c r="T545" s="197" t="str">
        <f t="shared" ref="T545" si="1380">R545&amp;"_"&amp;S545&amp;"_"&amp;U545</f>
        <v>Autopilot_Balanced_0</v>
      </c>
      <c r="U545">
        <v>0</v>
      </c>
      <c r="V545">
        <f>VLOOKUP($U545,'[2]AP Balanced'!$Q$1:$T$542,2,FALSE)</f>
        <v>0</v>
      </c>
      <c r="W545">
        <f>VLOOKUP($U545,'[2]AP Balanced'!$Q$1:$T$542,3,FALSE)</f>
        <v>0.71200000000000008</v>
      </c>
      <c r="X545">
        <f>VLOOKUP($U545,'[2]AP Balanced'!$Q$1:$T$542,4,FALSE)</f>
        <v>0.28799999999999992</v>
      </c>
      <c r="Y545" s="77">
        <f t="shared" ref="Y545" si="1381">SUM(V545:X545)</f>
        <v>1</v>
      </c>
      <c r="Z545" s="77">
        <f t="shared" ref="Z545" si="1382">SUMPRODUCT($V$1:$X$1,V545:X545)</f>
        <v>4.8801200000000003E-2</v>
      </c>
      <c r="AA545" s="77">
        <f t="shared" ref="AA545" si="1383">(1+Z545)^(1/12)-1</f>
        <v>3.9785432764980477E-3</v>
      </c>
      <c r="AB545" s="79">
        <v>1</v>
      </c>
      <c r="AC545" s="77">
        <f t="shared" si="1309"/>
        <v>4.6280000000000002E-3</v>
      </c>
      <c r="AD545" s="77">
        <f t="shared" si="1300"/>
        <v>3.8648715696798508E-4</v>
      </c>
      <c r="AE545" s="77">
        <f t="shared" si="1310"/>
        <v>2.4712000000000002E-3</v>
      </c>
      <c r="AF545" s="77">
        <f t="shared" si="1300"/>
        <v>2.0616694921149481E-4</v>
      </c>
      <c r="AH545" t="s">
        <v>175</v>
      </c>
      <c r="AI545" t="s">
        <v>176</v>
      </c>
      <c r="AJ545" s="197" t="str">
        <f t="shared" si="1356"/>
        <v>Lifecycle_Balanced_0</v>
      </c>
      <c r="AK545">
        <v>0</v>
      </c>
      <c r="AL545">
        <f>VLOOKUP($U545,[2]Standard_Balanced!$Q$1:$T$542,2,FALSE)</f>
        <v>0</v>
      </c>
      <c r="AM545">
        <f>VLOOKUP($U545,[2]Standard_Balanced!$Q$1:$T$542,3,FALSE)</f>
        <v>0.71200000000000008</v>
      </c>
      <c r="AN545">
        <f>VLOOKUP($U545,[2]Standard_Balanced!$Q$1:$T$542,4,FALSE)</f>
        <v>0.28799999999999992</v>
      </c>
      <c r="AO545" s="77">
        <f t="shared" si="1286"/>
        <v>1</v>
      </c>
      <c r="AP545" s="77">
        <f t="shared" si="1311"/>
        <v>4.8801200000000003E-2</v>
      </c>
      <c r="AQ545" s="77">
        <f t="shared" si="1357"/>
        <v>3.9785432764980477E-3</v>
      </c>
      <c r="AR545" s="79">
        <v>0</v>
      </c>
      <c r="AS545" s="77">
        <f t="shared" si="1312"/>
        <v>0</v>
      </c>
      <c r="AT545" s="77">
        <f t="shared" ref="AT545" si="1384">1-(1-AS545)^(1/12)</f>
        <v>0</v>
      </c>
      <c r="AU545" s="77">
        <f t="shared" si="1314"/>
        <v>2.4712000000000002E-3</v>
      </c>
      <c r="AV545" s="77">
        <f t="shared" ref="AV545" si="1385">1-(1-AU545)^(1/12)</f>
        <v>2.0616694921149481E-4</v>
      </c>
      <c r="AX545" t="s">
        <v>178</v>
      </c>
      <c r="AY545" t="s">
        <v>160</v>
      </c>
      <c r="AZ545" s="197" t="str">
        <f t="shared" ref="AZ545" si="1386">AX545&amp;"_"&amp;AY545&amp;"_"&amp;BA545</f>
        <v>DIS_Non-Standard_0</v>
      </c>
      <c r="BA545">
        <v>0</v>
      </c>
      <c r="BB545">
        <f>VLOOKUP($BA545,'[2]NonStandard DIS'!$Q$1:$X$542,2,FALSE)</f>
        <v>0</v>
      </c>
      <c r="BC545">
        <f>VLOOKUP($BA545,'[2]NonStandard DIS'!$Q$1:$X$542,3,FALSE)</f>
        <v>0</v>
      </c>
      <c r="BD545">
        <f>VLOOKUP($BA545,'[2]NonStandard DIS'!$Q$1:$X$542,4,FALSE)</f>
        <v>0</v>
      </c>
      <c r="BE545">
        <f>VLOOKUP($BA545,'[2]NonStandard DIS'!$Q$1:$X$542,5,FALSE)</f>
        <v>0</v>
      </c>
      <c r="BF545">
        <f>VLOOKUP($BA545,'[2]NonStandard DIS'!$Q$1:$X$542,6,FALSE)</f>
        <v>0</v>
      </c>
      <c r="BG545">
        <f>VLOOKUP($BA545,'[2]NonStandard DIS'!$Q$1:$X$542,7,FALSE)</f>
        <v>0</v>
      </c>
      <c r="BH545">
        <f>VLOOKUP($BA545,'[2]NonStandard DIS'!$Q$1:$X$542,8,FALSE)</f>
        <v>1</v>
      </c>
      <c r="BI545" s="77">
        <f t="shared" si="1303"/>
        <v>1</v>
      </c>
      <c r="BJ545" s="77">
        <f t="shared" si="1304"/>
        <v>5.1349999999999993E-2</v>
      </c>
      <c r="BK545" s="77">
        <f t="shared" ref="BK545" si="1387">(1+BJ545)^(1/12)-1</f>
        <v>4.1816398110932074E-3</v>
      </c>
      <c r="BL545" s="79">
        <v>1</v>
      </c>
      <c r="BM545" s="77">
        <f t="shared" si="1316"/>
        <v>6.4999999999999997E-3</v>
      </c>
      <c r="BN545" s="77">
        <f t="shared" si="1317"/>
        <v>5.4005962118885975E-4</v>
      </c>
      <c r="BO545" s="77">
        <f t="shared" si="1318"/>
        <v>2.5000000000000001E-3</v>
      </c>
      <c r="BP545" s="77">
        <f t="shared" si="1319"/>
        <v>2.0809499864316017E-4</v>
      </c>
    </row>
    <row r="546" spans="1:68">
      <c r="C546" s="197"/>
      <c r="T546" s="197"/>
      <c r="AJ546" s="197"/>
      <c r="AZ546" s="197"/>
    </row>
    <row r="547" spans="1:68">
      <c r="A547" t="s">
        <v>175</v>
      </c>
      <c r="B547" t="s">
        <v>179</v>
      </c>
      <c r="C547" s="197" t="str">
        <f t="shared" ref="C547:C558" si="1388">A547&amp;"_"&amp;B547&amp;"_"&amp;D547</f>
        <v>Lifecycle_Dynamic_540</v>
      </c>
      <c r="D547">
        <v>540</v>
      </c>
      <c r="E547">
        <f>VLOOKUP($D547,'[2]LC Dynamic'!$Q$2:$U$542,2,FALSE)</f>
        <v>0</v>
      </c>
      <c r="F547">
        <f>VLOOKUP($D547,'[2]LC Dynamic'!$Q$2:$U$542,3,FALSE)</f>
        <v>0</v>
      </c>
      <c r="G547">
        <f>VLOOKUP($D547,'[2]LC Dynamic'!$Q$2:$U$542,4,FALSE)</f>
        <v>0.308</v>
      </c>
      <c r="H547">
        <f>VLOOKUP($D547,'[2]LC Dynamic'!$Q$2:$U$542,5,FALSE)</f>
        <v>0.69199999999999995</v>
      </c>
      <c r="I547" s="77">
        <f t="shared" ref="I547:I610" si="1389">SUM(E547:H547)</f>
        <v>1</v>
      </c>
      <c r="J547" s="77">
        <f t="shared" ref="J547:J610" si="1390">SUMPRODUCT($E$1:$H$1,E547:H547)</f>
        <v>6.9728499999999985E-2</v>
      </c>
      <c r="K547" s="78">
        <f t="shared" ref="K547:K558" si="1391">(1+J547)^(1/12)-1</f>
        <v>5.632878498097682E-3</v>
      </c>
      <c r="L547" s="76">
        <v>0</v>
      </c>
      <c r="M547" s="77">
        <f>IF($L547=0,0,SUMPRODUCT($E$3:$H$3,E547:H547))</f>
        <v>0</v>
      </c>
      <c r="N547" s="77">
        <f>1-(1-M547)^(1/12)</f>
        <v>0</v>
      </c>
      <c r="O547" s="77">
        <f>SUMPRODUCT($E$2:$H$2,E547:H547)</f>
        <v>5.6775999999999997E-3</v>
      </c>
      <c r="P547" s="77">
        <f>1-(1-O547)^(1/12)</f>
        <v>4.7436902124819991E-4</v>
      </c>
      <c r="R547" t="s">
        <v>177</v>
      </c>
      <c r="S547" t="s">
        <v>179</v>
      </c>
      <c r="T547" s="197" t="str">
        <f t="shared" ref="T547:T558" si="1392">R547&amp;"_"&amp;S547&amp;"_"&amp;U547</f>
        <v>Autopilot_Dynamic_540</v>
      </c>
      <c r="U547">
        <v>540</v>
      </c>
      <c r="V547">
        <f>VLOOKUP($U547,'[2]AP Dynamic'!$Q$1:$T$542,2,FALSE)</f>
        <v>0.88888888888888884</v>
      </c>
      <c r="W547">
        <f>VLOOKUP($U547,'[2]AP Dynamic'!$Q$1:$T$542,3,FALSE)</f>
        <v>0.11111111111111116</v>
      </c>
      <c r="X547">
        <f>VLOOKUP($U547,'[2]AP Dynamic'!$Q$1:$T$542,4,FALSE)</f>
        <v>0</v>
      </c>
      <c r="Y547" s="77">
        <f t="shared" ref="Y547:Y558" si="1393">SUM(V547:X547)</f>
        <v>1</v>
      </c>
      <c r="Z547" s="77">
        <f t="shared" ref="Z547:Z558" si="1394">SUMPRODUCT($V$1:$X$1,V547:X547)</f>
        <v>6.3149999999999984E-2</v>
      </c>
      <c r="AA547" s="77">
        <f t="shared" ref="AA547:AA558" si="1395">(1+Z547)^(1/12)-1</f>
        <v>5.1160591879111372E-3</v>
      </c>
      <c r="AB547" s="79">
        <v>1</v>
      </c>
      <c r="AC547" s="77">
        <f>IF($AB547=0,0,SUMPRODUCT($V$3:$X$3,V547:X547))</f>
        <v>8.277777777777778E-3</v>
      </c>
      <c r="AD547" s="77">
        <f t="shared" ref="AD547" si="1396">1-(1-AC547)^(1/12)</f>
        <v>6.9244588451522482E-4</v>
      </c>
      <c r="AE547" s="77">
        <f>SUMPRODUCT($V$2:$X$2,V547:X547)</f>
        <v>2.5000000000000001E-3</v>
      </c>
      <c r="AF547" s="77">
        <f t="shared" ref="AF547" si="1397">1-(1-AE547)^(1/12)</f>
        <v>2.0857243058891584E-4</v>
      </c>
      <c r="AH547" t="s">
        <v>175</v>
      </c>
      <c r="AI547" t="s">
        <v>179</v>
      </c>
      <c r="AJ547" s="197" t="str">
        <f t="shared" ref="AJ547:AJ610" si="1398">AH547&amp;"_"&amp;AI547&amp;"_"&amp;AK547</f>
        <v>Lifecycle_Dynamic_540</v>
      </c>
      <c r="AK547">
        <v>540</v>
      </c>
      <c r="AL547">
        <f>VLOOKUP($U547,[2]Standard_Dynamic!$Q$1:$T$542,2,FALSE)</f>
        <v>0.88888888888888884</v>
      </c>
      <c r="AM547">
        <f>VLOOKUP($U547,[2]Standard_Dynamic!$Q$1:$T$542,3,FALSE)</f>
        <v>0.11111111111111116</v>
      </c>
      <c r="AN547">
        <f>VLOOKUP($U547,[2]Standard_Dynamic!$Q$1:$T$542,4,FALSE)</f>
        <v>0</v>
      </c>
      <c r="AO547" s="77">
        <f t="shared" ref="AO547:AO610" si="1399">SUM(AL547:AN547)</f>
        <v>1</v>
      </c>
      <c r="AP547" s="77">
        <f>SUMPRODUCT($AL$1:$AN$1,AL547:AN547)</f>
        <v>6.3149999999999984E-2</v>
      </c>
      <c r="AQ547" s="77">
        <f t="shared" ref="AQ547:AQ610" si="1400">(1+AP547)^(1/12)-1</f>
        <v>5.1160591879111372E-3</v>
      </c>
      <c r="AR547" s="79">
        <v>0</v>
      </c>
      <c r="AS547" s="77">
        <f>IF(AR547=0,0,SUMPRODUCT($AL$3:$AN$3,AL547:AN547))</f>
        <v>0</v>
      </c>
      <c r="AT547" s="77">
        <f t="shared" ref="AT547" si="1401">1-(1-AS547)^(1/12)</f>
        <v>0</v>
      </c>
      <c r="AU547" s="77">
        <f>SUMPRODUCT($AL$2:$AN$2,AL547:AN547)</f>
        <v>2.5000000000000001E-3</v>
      </c>
      <c r="AV547" s="77">
        <f t="shared" ref="AV547" si="1402">1-(1-AU547)^(1/12)</f>
        <v>2.0857243058891584E-4</v>
      </c>
      <c r="AX547" t="s">
        <v>178</v>
      </c>
      <c r="AY547" t="s">
        <v>162</v>
      </c>
      <c r="AZ547" s="197" t="str">
        <f t="shared" ref="AZ547:AZ563" si="1403">AX547&amp;"_"&amp;AY547&amp;"_"&amp;BA547</f>
        <v>DIS_Standard_540</v>
      </c>
      <c r="BA547">
        <v>540</v>
      </c>
      <c r="BB547">
        <f>VLOOKUP($BA547,'[2]Standard DIS'!$Q$1:$X$542,4,FALSE)</f>
        <v>0</v>
      </c>
      <c r="BF547">
        <f>VLOOKUP($BA547,'[2]Standard DIS'!$Q$1:$X$542,2,FALSE)</f>
        <v>0.88888888888888884</v>
      </c>
      <c r="BH547">
        <f>VLOOKUP($BA547,'[2]Standard DIS'!$Q$1:$X$542,3,FALSE)</f>
        <v>0.11111111111111116</v>
      </c>
      <c r="BI547" s="77">
        <f t="shared" ref="BI547:BI610" si="1404">SUM(BB547:BH547)</f>
        <v>1</v>
      </c>
      <c r="BJ547" s="77">
        <f t="shared" ref="BJ547:BJ610" si="1405">SUMPRODUCT($BB$1:$BH$1,BB547:BH547)</f>
        <v>6.3149999999999984E-2</v>
      </c>
      <c r="BK547" s="80">
        <f t="shared" ref="BK547:BK563" si="1406">(1+BJ547)^(1/12)-1</f>
        <v>5.1160591879111372E-3</v>
      </c>
      <c r="BL547" s="79">
        <v>0</v>
      </c>
      <c r="BM547" s="77">
        <f>IF(BL547=0,0,SUMPRODUCT($BB$3:$BH$3,BB547:BH547))</f>
        <v>0</v>
      </c>
      <c r="BN547" s="77">
        <f t="shared" ref="BN547" si="1407">(1+BM547)^(1/12)-1</f>
        <v>0</v>
      </c>
      <c r="BO547" s="77">
        <f>SUMPRODUCT($BB$2:$BH$2,BB547:BH547)</f>
        <v>2.5000000000000001E-3</v>
      </c>
      <c r="BP547" s="77">
        <f>(1+BO547)^(1/12)-1</f>
        <v>2.0809499864316017E-4</v>
      </c>
    </row>
    <row r="548" spans="1:68">
      <c r="A548" t="s">
        <v>175</v>
      </c>
      <c r="B548" t="s">
        <v>179</v>
      </c>
      <c r="C548" s="197" t="str">
        <f t="shared" si="1388"/>
        <v>Lifecycle_Dynamic_539</v>
      </c>
      <c r="D548">
        <v>539</v>
      </c>
      <c r="E548">
        <f>VLOOKUP($D548,'[2]LC Dynamic'!$Q$2:$U$542,2,FALSE)</f>
        <v>0</v>
      </c>
      <c r="F548">
        <f>VLOOKUP($D548,'[2]LC Dynamic'!$Q$2:$U$542,3,FALSE)</f>
        <v>0</v>
      </c>
      <c r="G548">
        <f>VLOOKUP($D548,'[2]LC Dynamic'!$Q$2:$U$542,4,FALSE)</f>
        <v>0.308</v>
      </c>
      <c r="H548">
        <f>VLOOKUP($D548,'[2]LC Dynamic'!$Q$2:$U$542,5,FALSE)</f>
        <v>0.69199999999999995</v>
      </c>
      <c r="I548" s="77">
        <f t="shared" si="1389"/>
        <v>1</v>
      </c>
      <c r="J548" s="77">
        <f t="shared" si="1390"/>
        <v>6.9728499999999985E-2</v>
      </c>
      <c r="K548" s="77">
        <f t="shared" si="1391"/>
        <v>5.632878498097682E-3</v>
      </c>
      <c r="L548" s="76">
        <v>0</v>
      </c>
      <c r="M548" s="77">
        <f t="shared" ref="M548:M611" si="1408">IF($L548=0,0,SUMPRODUCT($E$3:$H$3,E548:H548))</f>
        <v>0</v>
      </c>
      <c r="N548" s="77">
        <f t="shared" ref="N548:N611" si="1409">1-(1-M548)^(1/12)</f>
        <v>0</v>
      </c>
      <c r="O548" s="77">
        <f t="shared" ref="O548:O611" si="1410">SUMPRODUCT($E$2:$H$2,E548:H548)</f>
        <v>5.6775999999999997E-3</v>
      </c>
      <c r="P548" s="77">
        <f t="shared" ref="P548:P611" si="1411">1-(1-O548)^(1/12)</f>
        <v>4.7436902124819991E-4</v>
      </c>
      <c r="R548" t="s">
        <v>177</v>
      </c>
      <c r="S548" t="s">
        <v>179</v>
      </c>
      <c r="T548" s="197" t="str">
        <f t="shared" si="1392"/>
        <v>Autopilot_Dynamic_539</v>
      </c>
      <c r="U548">
        <v>539</v>
      </c>
      <c r="V548">
        <f>VLOOKUP($U548,'[2]AP Dynamic'!$Q$1:$T$542,2,FALSE)</f>
        <v>0.88888888888888884</v>
      </c>
      <c r="W548">
        <f>VLOOKUP($U548,'[2]AP Dynamic'!$Q$1:$T$542,3,FALSE)</f>
        <v>0.11111111111111116</v>
      </c>
      <c r="X548">
        <f>VLOOKUP($U548,'[2]AP Dynamic'!$Q$1:$T$542,4,FALSE)</f>
        <v>0</v>
      </c>
      <c r="Y548" s="77">
        <f t="shared" si="1393"/>
        <v>1</v>
      </c>
      <c r="Z548" s="77">
        <f t="shared" si="1394"/>
        <v>6.3149999999999984E-2</v>
      </c>
      <c r="AA548" s="77">
        <f t="shared" si="1395"/>
        <v>5.1160591879111372E-3</v>
      </c>
      <c r="AB548" s="79">
        <v>1</v>
      </c>
      <c r="AC548" s="77">
        <f t="shared" ref="AC548:AC611" si="1412">IF($AB548=0,0,SUMPRODUCT($V$3:$X$3,V548:X548))</f>
        <v>8.277777777777778E-3</v>
      </c>
      <c r="AD548" s="77">
        <f t="shared" ref="AD548" si="1413">1-(1-AC548)^(1/12)</f>
        <v>6.9244588451522482E-4</v>
      </c>
      <c r="AE548" s="77">
        <f t="shared" ref="AE548:AE611" si="1414">SUMPRODUCT($V$2:$X$2,V548:X548)</f>
        <v>2.5000000000000001E-3</v>
      </c>
      <c r="AF548" s="77">
        <f t="shared" ref="AF548" si="1415">1-(1-AE548)^(1/12)</f>
        <v>2.0857243058891584E-4</v>
      </c>
      <c r="AH548" t="s">
        <v>175</v>
      </c>
      <c r="AI548" t="s">
        <v>179</v>
      </c>
      <c r="AJ548" s="197" t="str">
        <f t="shared" si="1398"/>
        <v>Lifecycle_Dynamic_539</v>
      </c>
      <c r="AK548">
        <v>539</v>
      </c>
      <c r="AL548">
        <f>VLOOKUP($U548,[2]Standard_Dynamic!$Q$1:$T$542,2,FALSE)</f>
        <v>0.88888888888888884</v>
      </c>
      <c r="AM548">
        <f>VLOOKUP($U548,[2]Standard_Dynamic!$Q$1:$T$542,3,FALSE)</f>
        <v>0.11111111111111116</v>
      </c>
      <c r="AN548">
        <f>VLOOKUP($U548,[2]Standard_Dynamic!$Q$1:$T$542,4,FALSE)</f>
        <v>0</v>
      </c>
      <c r="AO548" s="77">
        <f t="shared" si="1399"/>
        <v>1</v>
      </c>
      <c r="AP548" s="77">
        <f t="shared" ref="AP548:AP611" si="1416">SUMPRODUCT($AL$1:$AN$1,AL548:AN548)</f>
        <v>6.3149999999999984E-2</v>
      </c>
      <c r="AQ548" s="77">
        <f t="shared" si="1400"/>
        <v>5.1160591879111372E-3</v>
      </c>
      <c r="AR548" s="79">
        <v>0</v>
      </c>
      <c r="AS548" s="77">
        <f t="shared" ref="AS548:AS611" si="1417">IF(AR548=0,0,SUMPRODUCT($AL$3:$AN$3,AL548:AN548))</f>
        <v>0</v>
      </c>
      <c r="AT548" s="77">
        <f t="shared" ref="AT548" si="1418">1-(1-AS548)^(1/12)</f>
        <v>0</v>
      </c>
      <c r="AU548" s="77">
        <f t="shared" ref="AU548:AU611" si="1419">SUMPRODUCT($AL$2:$AN$2,AL548:AN548)</f>
        <v>2.5000000000000001E-3</v>
      </c>
      <c r="AV548" s="77">
        <f t="shared" ref="AV548" si="1420">1-(1-AU548)^(1/12)</f>
        <v>2.0857243058891584E-4</v>
      </c>
      <c r="AX548" t="s">
        <v>178</v>
      </c>
      <c r="AY548" t="s">
        <v>162</v>
      </c>
      <c r="AZ548" s="197" t="str">
        <f t="shared" si="1403"/>
        <v>DIS_Standard_539</v>
      </c>
      <c r="BA548">
        <v>539</v>
      </c>
      <c r="BB548">
        <f>VLOOKUP($BA548,'[2]Standard DIS'!$Q$1:$X$542,4,FALSE)</f>
        <v>0</v>
      </c>
      <c r="BF548">
        <f>VLOOKUP($BA548,'[2]Standard DIS'!$Q$1:$X$542,2,FALSE)</f>
        <v>0.88888888888888884</v>
      </c>
      <c r="BH548">
        <f>VLOOKUP($BA548,'[2]Standard DIS'!$Q$1:$X$542,3,FALSE)</f>
        <v>0.11111111111111116</v>
      </c>
      <c r="BI548" s="77">
        <f t="shared" si="1404"/>
        <v>1</v>
      </c>
      <c r="BJ548" s="77">
        <f t="shared" si="1405"/>
        <v>6.3149999999999984E-2</v>
      </c>
      <c r="BK548" s="77">
        <f t="shared" si="1406"/>
        <v>5.1160591879111372E-3</v>
      </c>
      <c r="BL548" s="79">
        <v>0</v>
      </c>
      <c r="BM548" s="77">
        <f t="shared" ref="BM548:BM611" si="1421">IF(BL548=0,0,SUMPRODUCT($BB$3:$BH$3,BB548:BH548))</f>
        <v>0</v>
      </c>
      <c r="BN548" s="77">
        <f t="shared" ref="BN548:BN611" si="1422">(1+BM548)^(1/12)-1</f>
        <v>0</v>
      </c>
      <c r="BO548" s="77">
        <f t="shared" ref="BO548:BO611" si="1423">SUMPRODUCT($BB$2:$BH$2,BB548:BH548)</f>
        <v>2.5000000000000001E-3</v>
      </c>
      <c r="BP548" s="77">
        <f t="shared" ref="BP548:BP611" si="1424">(1+BO548)^(1/12)-1</f>
        <v>2.0809499864316017E-4</v>
      </c>
    </row>
    <row r="549" spans="1:68">
      <c r="A549" t="s">
        <v>175</v>
      </c>
      <c r="B549" t="s">
        <v>179</v>
      </c>
      <c r="C549" s="197" t="str">
        <f t="shared" si="1388"/>
        <v>Lifecycle_Dynamic_538</v>
      </c>
      <c r="D549">
        <v>538</v>
      </c>
      <c r="E549">
        <f>VLOOKUP($D549,'[2]LC Dynamic'!$Q$2:$U$542,2,FALSE)</f>
        <v>0</v>
      </c>
      <c r="F549">
        <f>VLOOKUP($D549,'[2]LC Dynamic'!$Q$2:$U$542,3,FALSE)</f>
        <v>0</v>
      </c>
      <c r="G549">
        <f>VLOOKUP($D549,'[2]LC Dynamic'!$Q$2:$U$542,4,FALSE)</f>
        <v>0.308</v>
      </c>
      <c r="H549">
        <f>VLOOKUP($D549,'[2]LC Dynamic'!$Q$2:$U$542,5,FALSE)</f>
        <v>0.69199999999999995</v>
      </c>
      <c r="I549" s="77">
        <f t="shared" si="1389"/>
        <v>1</v>
      </c>
      <c r="J549" s="77">
        <f t="shared" si="1390"/>
        <v>6.9728499999999985E-2</v>
      </c>
      <c r="K549" s="77">
        <f t="shared" si="1391"/>
        <v>5.632878498097682E-3</v>
      </c>
      <c r="L549" s="76">
        <v>0</v>
      </c>
      <c r="M549" s="77">
        <f t="shared" si="1408"/>
        <v>0</v>
      </c>
      <c r="N549" s="77">
        <f t="shared" si="1409"/>
        <v>0</v>
      </c>
      <c r="O549" s="77">
        <f t="shared" si="1410"/>
        <v>5.6775999999999997E-3</v>
      </c>
      <c r="P549" s="77">
        <f t="shared" si="1411"/>
        <v>4.7436902124819991E-4</v>
      </c>
      <c r="R549" t="s">
        <v>177</v>
      </c>
      <c r="S549" t="s">
        <v>179</v>
      </c>
      <c r="T549" s="197" t="str">
        <f t="shared" si="1392"/>
        <v>Autopilot_Dynamic_538</v>
      </c>
      <c r="U549">
        <v>538</v>
      </c>
      <c r="V549">
        <f>VLOOKUP($U549,'[2]AP Dynamic'!$Q$1:$T$542,2,FALSE)</f>
        <v>0.88888888888888884</v>
      </c>
      <c r="W549">
        <f>VLOOKUP($U549,'[2]AP Dynamic'!$Q$1:$T$542,3,FALSE)</f>
        <v>0.11111111111111116</v>
      </c>
      <c r="X549">
        <f>VLOOKUP($U549,'[2]AP Dynamic'!$Q$1:$T$542,4,FALSE)</f>
        <v>0</v>
      </c>
      <c r="Y549" s="77">
        <f t="shared" si="1393"/>
        <v>1</v>
      </c>
      <c r="Z549" s="77">
        <f t="shared" si="1394"/>
        <v>6.3149999999999984E-2</v>
      </c>
      <c r="AA549" s="77">
        <f t="shared" si="1395"/>
        <v>5.1160591879111372E-3</v>
      </c>
      <c r="AB549" s="79">
        <v>1</v>
      </c>
      <c r="AC549" s="77">
        <f t="shared" si="1412"/>
        <v>8.277777777777778E-3</v>
      </c>
      <c r="AD549" s="77">
        <f t="shared" ref="AD549" si="1425">1-(1-AC549)^(1/12)</f>
        <v>6.9244588451522482E-4</v>
      </c>
      <c r="AE549" s="77">
        <f t="shared" si="1414"/>
        <v>2.5000000000000001E-3</v>
      </c>
      <c r="AF549" s="77">
        <f t="shared" ref="AF549" si="1426">1-(1-AE549)^(1/12)</f>
        <v>2.0857243058891584E-4</v>
      </c>
      <c r="AH549" t="s">
        <v>175</v>
      </c>
      <c r="AI549" t="s">
        <v>179</v>
      </c>
      <c r="AJ549" s="197" t="str">
        <f t="shared" si="1398"/>
        <v>Lifecycle_Dynamic_538</v>
      </c>
      <c r="AK549">
        <v>538</v>
      </c>
      <c r="AL549">
        <f>VLOOKUP($U549,[2]Standard_Dynamic!$Q$1:$T$542,2,FALSE)</f>
        <v>0.88888888888888884</v>
      </c>
      <c r="AM549">
        <f>VLOOKUP($U549,[2]Standard_Dynamic!$Q$1:$T$542,3,FALSE)</f>
        <v>0.11111111111111116</v>
      </c>
      <c r="AN549">
        <f>VLOOKUP($U549,[2]Standard_Dynamic!$Q$1:$T$542,4,FALSE)</f>
        <v>0</v>
      </c>
      <c r="AO549" s="77">
        <f t="shared" si="1399"/>
        <v>1</v>
      </c>
      <c r="AP549" s="77">
        <f t="shared" si="1416"/>
        <v>6.3149999999999984E-2</v>
      </c>
      <c r="AQ549" s="77">
        <f t="shared" si="1400"/>
        <v>5.1160591879111372E-3</v>
      </c>
      <c r="AR549" s="79">
        <v>0</v>
      </c>
      <c r="AS549" s="77">
        <f t="shared" si="1417"/>
        <v>0</v>
      </c>
      <c r="AT549" s="77">
        <f t="shared" ref="AT549" si="1427">1-(1-AS549)^(1/12)</f>
        <v>0</v>
      </c>
      <c r="AU549" s="77">
        <f t="shared" si="1419"/>
        <v>2.5000000000000001E-3</v>
      </c>
      <c r="AV549" s="77">
        <f t="shared" ref="AV549" si="1428">1-(1-AU549)^(1/12)</f>
        <v>2.0857243058891584E-4</v>
      </c>
      <c r="AX549" t="s">
        <v>178</v>
      </c>
      <c r="AY549" t="s">
        <v>162</v>
      </c>
      <c r="AZ549" s="197" t="str">
        <f t="shared" si="1403"/>
        <v>DIS_Standard_538</v>
      </c>
      <c r="BA549">
        <v>538</v>
      </c>
      <c r="BB549">
        <f>VLOOKUP($BA549,'[2]Standard DIS'!$Q$1:$X$542,4,FALSE)</f>
        <v>0</v>
      </c>
      <c r="BF549">
        <f>VLOOKUP($BA549,'[2]Standard DIS'!$Q$1:$X$542,2,FALSE)</f>
        <v>0.88888888888888884</v>
      </c>
      <c r="BH549">
        <f>VLOOKUP($BA549,'[2]Standard DIS'!$Q$1:$X$542,3,FALSE)</f>
        <v>0.11111111111111116</v>
      </c>
      <c r="BI549" s="77">
        <f t="shared" si="1404"/>
        <v>1</v>
      </c>
      <c r="BJ549" s="77">
        <f t="shared" si="1405"/>
        <v>6.3149999999999984E-2</v>
      </c>
      <c r="BK549" s="77">
        <f t="shared" si="1406"/>
        <v>5.1160591879111372E-3</v>
      </c>
      <c r="BL549" s="79">
        <v>0</v>
      </c>
      <c r="BM549" s="77">
        <f t="shared" si="1421"/>
        <v>0</v>
      </c>
      <c r="BN549" s="77">
        <f t="shared" si="1422"/>
        <v>0</v>
      </c>
      <c r="BO549" s="77">
        <f t="shared" si="1423"/>
        <v>2.5000000000000001E-3</v>
      </c>
      <c r="BP549" s="77">
        <f t="shared" si="1424"/>
        <v>2.0809499864316017E-4</v>
      </c>
    </row>
    <row r="550" spans="1:68">
      <c r="A550" t="s">
        <v>175</v>
      </c>
      <c r="B550" t="s">
        <v>179</v>
      </c>
      <c r="C550" s="197" t="str">
        <f t="shared" si="1388"/>
        <v>Lifecycle_Dynamic_537</v>
      </c>
      <c r="D550">
        <v>537</v>
      </c>
      <c r="E550">
        <f>VLOOKUP($D550,'[2]LC Dynamic'!$Q$2:$U$542,2,FALSE)</f>
        <v>0</v>
      </c>
      <c r="F550">
        <f>VLOOKUP($D550,'[2]LC Dynamic'!$Q$2:$U$542,3,FALSE)</f>
        <v>0</v>
      </c>
      <c r="G550">
        <f>VLOOKUP($D550,'[2]LC Dynamic'!$Q$2:$U$542,4,FALSE)</f>
        <v>0.308</v>
      </c>
      <c r="H550">
        <f>VLOOKUP($D550,'[2]LC Dynamic'!$Q$2:$U$542,5,FALSE)</f>
        <v>0.69199999999999995</v>
      </c>
      <c r="I550" s="77">
        <f t="shared" si="1389"/>
        <v>1</v>
      </c>
      <c r="J550" s="77">
        <f t="shared" si="1390"/>
        <v>6.9728499999999985E-2</v>
      </c>
      <c r="K550" s="77">
        <f t="shared" si="1391"/>
        <v>5.632878498097682E-3</v>
      </c>
      <c r="L550" s="76">
        <v>0</v>
      </c>
      <c r="M550" s="77">
        <f t="shared" si="1408"/>
        <v>0</v>
      </c>
      <c r="N550" s="77">
        <f t="shared" si="1409"/>
        <v>0</v>
      </c>
      <c r="O550" s="77">
        <f t="shared" si="1410"/>
        <v>5.6775999999999997E-3</v>
      </c>
      <c r="P550" s="77">
        <f t="shared" si="1411"/>
        <v>4.7436902124819991E-4</v>
      </c>
      <c r="R550" t="s">
        <v>177</v>
      </c>
      <c r="S550" t="s">
        <v>179</v>
      </c>
      <c r="T550" s="197" t="str">
        <f t="shared" si="1392"/>
        <v>Autopilot_Dynamic_537</v>
      </c>
      <c r="U550">
        <v>537</v>
      </c>
      <c r="V550">
        <f>VLOOKUP($U550,'[2]AP Dynamic'!$Q$1:$T$542,2,FALSE)</f>
        <v>0.88888888888888884</v>
      </c>
      <c r="W550">
        <f>VLOOKUP($U550,'[2]AP Dynamic'!$Q$1:$T$542,3,FALSE)</f>
        <v>0.11111111111111116</v>
      </c>
      <c r="X550">
        <f>VLOOKUP($U550,'[2]AP Dynamic'!$Q$1:$T$542,4,FALSE)</f>
        <v>0</v>
      </c>
      <c r="Y550" s="77">
        <f t="shared" si="1393"/>
        <v>1</v>
      </c>
      <c r="Z550" s="77">
        <f t="shared" si="1394"/>
        <v>6.3149999999999984E-2</v>
      </c>
      <c r="AA550" s="77">
        <f t="shared" si="1395"/>
        <v>5.1160591879111372E-3</v>
      </c>
      <c r="AB550" s="79">
        <v>1</v>
      </c>
      <c r="AC550" s="77">
        <f t="shared" si="1412"/>
        <v>8.277777777777778E-3</v>
      </c>
      <c r="AD550" s="77">
        <f t="shared" ref="AD550" si="1429">1-(1-AC550)^(1/12)</f>
        <v>6.9244588451522482E-4</v>
      </c>
      <c r="AE550" s="77">
        <f t="shared" si="1414"/>
        <v>2.5000000000000001E-3</v>
      </c>
      <c r="AF550" s="77">
        <f t="shared" ref="AF550" si="1430">1-(1-AE550)^(1/12)</f>
        <v>2.0857243058891584E-4</v>
      </c>
      <c r="AH550" t="s">
        <v>175</v>
      </c>
      <c r="AI550" t="s">
        <v>179</v>
      </c>
      <c r="AJ550" s="197" t="str">
        <f t="shared" si="1398"/>
        <v>Lifecycle_Dynamic_537</v>
      </c>
      <c r="AK550">
        <v>537</v>
      </c>
      <c r="AL550">
        <f>VLOOKUP($U550,[2]Standard_Dynamic!$Q$1:$T$542,2,FALSE)</f>
        <v>0.88888888888888884</v>
      </c>
      <c r="AM550">
        <f>VLOOKUP($U550,[2]Standard_Dynamic!$Q$1:$T$542,3,FALSE)</f>
        <v>0.11111111111111116</v>
      </c>
      <c r="AN550">
        <f>VLOOKUP($U550,[2]Standard_Dynamic!$Q$1:$T$542,4,FALSE)</f>
        <v>0</v>
      </c>
      <c r="AO550" s="77">
        <f t="shared" si="1399"/>
        <v>1</v>
      </c>
      <c r="AP550" s="77">
        <f t="shared" si="1416"/>
        <v>6.3149999999999984E-2</v>
      </c>
      <c r="AQ550" s="77">
        <f t="shared" si="1400"/>
        <v>5.1160591879111372E-3</v>
      </c>
      <c r="AR550" s="79">
        <v>0</v>
      </c>
      <c r="AS550" s="77">
        <f t="shared" si="1417"/>
        <v>0</v>
      </c>
      <c r="AT550" s="77">
        <f t="shared" ref="AT550" si="1431">1-(1-AS550)^(1/12)</f>
        <v>0</v>
      </c>
      <c r="AU550" s="77">
        <f t="shared" si="1419"/>
        <v>2.5000000000000001E-3</v>
      </c>
      <c r="AV550" s="77">
        <f t="shared" ref="AV550" si="1432">1-(1-AU550)^(1/12)</f>
        <v>2.0857243058891584E-4</v>
      </c>
      <c r="AX550" t="s">
        <v>178</v>
      </c>
      <c r="AY550" t="s">
        <v>162</v>
      </c>
      <c r="AZ550" s="197" t="str">
        <f t="shared" si="1403"/>
        <v>DIS_Standard_537</v>
      </c>
      <c r="BA550">
        <v>537</v>
      </c>
      <c r="BB550">
        <f>VLOOKUP($BA550,'[2]Standard DIS'!$Q$1:$X$542,4,FALSE)</f>
        <v>0</v>
      </c>
      <c r="BF550">
        <f>VLOOKUP($BA550,'[2]Standard DIS'!$Q$1:$X$542,2,FALSE)</f>
        <v>0.88888888888888884</v>
      </c>
      <c r="BH550">
        <f>VLOOKUP($BA550,'[2]Standard DIS'!$Q$1:$X$542,3,FALSE)</f>
        <v>0.11111111111111116</v>
      </c>
      <c r="BI550" s="77">
        <f t="shared" si="1404"/>
        <v>1</v>
      </c>
      <c r="BJ550" s="77">
        <f t="shared" si="1405"/>
        <v>6.3149999999999984E-2</v>
      </c>
      <c r="BK550" s="77">
        <f t="shared" si="1406"/>
        <v>5.1160591879111372E-3</v>
      </c>
      <c r="BL550" s="79">
        <v>0</v>
      </c>
      <c r="BM550" s="77">
        <f t="shared" si="1421"/>
        <v>0</v>
      </c>
      <c r="BN550" s="77">
        <f t="shared" si="1422"/>
        <v>0</v>
      </c>
      <c r="BO550" s="77">
        <f t="shared" si="1423"/>
        <v>2.5000000000000001E-3</v>
      </c>
      <c r="BP550" s="77">
        <f t="shared" si="1424"/>
        <v>2.0809499864316017E-4</v>
      </c>
    </row>
    <row r="551" spans="1:68">
      <c r="A551" t="s">
        <v>175</v>
      </c>
      <c r="B551" t="s">
        <v>179</v>
      </c>
      <c r="C551" s="197" t="str">
        <f t="shared" si="1388"/>
        <v>Lifecycle_Dynamic_536</v>
      </c>
      <c r="D551">
        <v>536</v>
      </c>
      <c r="E551">
        <f>VLOOKUP($D551,'[2]LC Dynamic'!$Q$2:$U$542,2,FALSE)</f>
        <v>0</v>
      </c>
      <c r="F551">
        <f>VLOOKUP($D551,'[2]LC Dynamic'!$Q$2:$U$542,3,FALSE)</f>
        <v>0</v>
      </c>
      <c r="G551">
        <f>VLOOKUP($D551,'[2]LC Dynamic'!$Q$2:$U$542,4,FALSE)</f>
        <v>0.308</v>
      </c>
      <c r="H551">
        <f>VLOOKUP($D551,'[2]LC Dynamic'!$Q$2:$U$542,5,FALSE)</f>
        <v>0.69199999999999995</v>
      </c>
      <c r="I551" s="77">
        <f t="shared" si="1389"/>
        <v>1</v>
      </c>
      <c r="J551" s="77">
        <f t="shared" si="1390"/>
        <v>6.9728499999999985E-2</v>
      </c>
      <c r="K551" s="77">
        <f t="shared" si="1391"/>
        <v>5.632878498097682E-3</v>
      </c>
      <c r="L551" s="76">
        <v>0</v>
      </c>
      <c r="M551" s="77">
        <f t="shared" si="1408"/>
        <v>0</v>
      </c>
      <c r="N551" s="77">
        <f t="shared" si="1409"/>
        <v>0</v>
      </c>
      <c r="O551" s="77">
        <f t="shared" si="1410"/>
        <v>5.6775999999999997E-3</v>
      </c>
      <c r="P551" s="77">
        <f t="shared" si="1411"/>
        <v>4.7436902124819991E-4</v>
      </c>
      <c r="R551" t="s">
        <v>177</v>
      </c>
      <c r="S551" t="s">
        <v>179</v>
      </c>
      <c r="T551" s="197" t="str">
        <f t="shared" si="1392"/>
        <v>Autopilot_Dynamic_536</v>
      </c>
      <c r="U551">
        <v>536</v>
      </c>
      <c r="V551">
        <f>VLOOKUP($U551,'[2]AP Dynamic'!$Q$1:$T$542,2,FALSE)</f>
        <v>0.88888888888888884</v>
      </c>
      <c r="W551">
        <f>VLOOKUP($U551,'[2]AP Dynamic'!$Q$1:$T$542,3,FALSE)</f>
        <v>0.11111111111111116</v>
      </c>
      <c r="X551">
        <f>VLOOKUP($U551,'[2]AP Dynamic'!$Q$1:$T$542,4,FALSE)</f>
        <v>0</v>
      </c>
      <c r="Y551" s="77">
        <f t="shared" si="1393"/>
        <v>1</v>
      </c>
      <c r="Z551" s="77">
        <f t="shared" si="1394"/>
        <v>6.3149999999999984E-2</v>
      </c>
      <c r="AA551" s="77">
        <f t="shared" si="1395"/>
        <v>5.1160591879111372E-3</v>
      </c>
      <c r="AB551" s="79">
        <v>1</v>
      </c>
      <c r="AC551" s="77">
        <f t="shared" si="1412"/>
        <v>8.277777777777778E-3</v>
      </c>
      <c r="AD551" s="77">
        <f t="shared" ref="AD551" si="1433">1-(1-AC551)^(1/12)</f>
        <v>6.9244588451522482E-4</v>
      </c>
      <c r="AE551" s="77">
        <f t="shared" si="1414"/>
        <v>2.5000000000000001E-3</v>
      </c>
      <c r="AF551" s="77">
        <f t="shared" ref="AF551" si="1434">1-(1-AE551)^(1/12)</f>
        <v>2.0857243058891584E-4</v>
      </c>
      <c r="AH551" t="s">
        <v>175</v>
      </c>
      <c r="AI551" t="s">
        <v>179</v>
      </c>
      <c r="AJ551" s="197" t="str">
        <f t="shared" si="1398"/>
        <v>Lifecycle_Dynamic_536</v>
      </c>
      <c r="AK551">
        <v>536</v>
      </c>
      <c r="AL551">
        <f>VLOOKUP($U551,[2]Standard_Dynamic!$Q$1:$T$542,2,FALSE)</f>
        <v>0.88888888888888884</v>
      </c>
      <c r="AM551">
        <f>VLOOKUP($U551,[2]Standard_Dynamic!$Q$1:$T$542,3,FALSE)</f>
        <v>0.11111111111111116</v>
      </c>
      <c r="AN551">
        <f>VLOOKUP($U551,[2]Standard_Dynamic!$Q$1:$T$542,4,FALSE)</f>
        <v>0</v>
      </c>
      <c r="AO551" s="77">
        <f t="shared" si="1399"/>
        <v>1</v>
      </c>
      <c r="AP551" s="77">
        <f t="shared" si="1416"/>
        <v>6.3149999999999984E-2</v>
      </c>
      <c r="AQ551" s="77">
        <f t="shared" si="1400"/>
        <v>5.1160591879111372E-3</v>
      </c>
      <c r="AR551" s="79">
        <v>0</v>
      </c>
      <c r="AS551" s="77">
        <f t="shared" si="1417"/>
        <v>0</v>
      </c>
      <c r="AT551" s="77">
        <f t="shared" ref="AT551" si="1435">1-(1-AS551)^(1/12)</f>
        <v>0</v>
      </c>
      <c r="AU551" s="77">
        <f t="shared" si="1419"/>
        <v>2.5000000000000001E-3</v>
      </c>
      <c r="AV551" s="77">
        <f t="shared" ref="AV551" si="1436">1-(1-AU551)^(1/12)</f>
        <v>2.0857243058891584E-4</v>
      </c>
      <c r="AX551" t="s">
        <v>178</v>
      </c>
      <c r="AY551" t="s">
        <v>162</v>
      </c>
      <c r="AZ551" s="197" t="str">
        <f t="shared" si="1403"/>
        <v>DIS_Standard_536</v>
      </c>
      <c r="BA551">
        <v>536</v>
      </c>
      <c r="BB551">
        <f>VLOOKUP($BA551,'[2]Standard DIS'!$Q$1:$X$542,4,FALSE)</f>
        <v>0</v>
      </c>
      <c r="BF551">
        <f>VLOOKUP($BA551,'[2]Standard DIS'!$Q$1:$X$542,2,FALSE)</f>
        <v>0.88888888888888884</v>
      </c>
      <c r="BH551">
        <f>VLOOKUP($BA551,'[2]Standard DIS'!$Q$1:$X$542,3,FALSE)</f>
        <v>0.11111111111111116</v>
      </c>
      <c r="BI551" s="77">
        <f t="shared" si="1404"/>
        <v>1</v>
      </c>
      <c r="BJ551" s="77">
        <f t="shared" si="1405"/>
        <v>6.3149999999999984E-2</v>
      </c>
      <c r="BK551" s="77">
        <f t="shared" si="1406"/>
        <v>5.1160591879111372E-3</v>
      </c>
      <c r="BL551" s="79">
        <v>0</v>
      </c>
      <c r="BM551" s="77">
        <f t="shared" si="1421"/>
        <v>0</v>
      </c>
      <c r="BN551" s="77">
        <f t="shared" si="1422"/>
        <v>0</v>
      </c>
      <c r="BO551" s="77">
        <f t="shared" si="1423"/>
        <v>2.5000000000000001E-3</v>
      </c>
      <c r="BP551" s="77">
        <f t="shared" si="1424"/>
        <v>2.0809499864316017E-4</v>
      </c>
    </row>
    <row r="552" spans="1:68">
      <c r="A552" t="s">
        <v>175</v>
      </c>
      <c r="B552" t="s">
        <v>179</v>
      </c>
      <c r="C552" s="197" t="str">
        <f t="shared" si="1388"/>
        <v>Lifecycle_Dynamic_535</v>
      </c>
      <c r="D552">
        <v>535</v>
      </c>
      <c r="E552">
        <f>VLOOKUP($D552,'[2]LC Dynamic'!$Q$2:$U$542,2,FALSE)</f>
        <v>0</v>
      </c>
      <c r="F552">
        <f>VLOOKUP($D552,'[2]LC Dynamic'!$Q$2:$U$542,3,FALSE)</f>
        <v>0</v>
      </c>
      <c r="G552">
        <f>VLOOKUP($D552,'[2]LC Dynamic'!$Q$2:$U$542,4,FALSE)</f>
        <v>0.308</v>
      </c>
      <c r="H552">
        <f>VLOOKUP($D552,'[2]LC Dynamic'!$Q$2:$U$542,5,FALSE)</f>
        <v>0.69199999999999995</v>
      </c>
      <c r="I552" s="77">
        <f t="shared" si="1389"/>
        <v>1</v>
      </c>
      <c r="J552" s="77">
        <f t="shared" si="1390"/>
        <v>6.9728499999999985E-2</v>
      </c>
      <c r="K552" s="77">
        <f t="shared" si="1391"/>
        <v>5.632878498097682E-3</v>
      </c>
      <c r="L552" s="76">
        <v>0</v>
      </c>
      <c r="M552" s="77">
        <f t="shared" si="1408"/>
        <v>0</v>
      </c>
      <c r="N552" s="77">
        <f t="shared" si="1409"/>
        <v>0</v>
      </c>
      <c r="O552" s="77">
        <f t="shared" si="1410"/>
        <v>5.6775999999999997E-3</v>
      </c>
      <c r="P552" s="77">
        <f t="shared" si="1411"/>
        <v>4.7436902124819991E-4</v>
      </c>
      <c r="R552" t="s">
        <v>177</v>
      </c>
      <c r="S552" t="s">
        <v>179</v>
      </c>
      <c r="T552" s="197" t="str">
        <f t="shared" si="1392"/>
        <v>Autopilot_Dynamic_535</v>
      </c>
      <c r="U552">
        <v>535</v>
      </c>
      <c r="V552">
        <f>VLOOKUP($U552,'[2]AP Dynamic'!$Q$1:$T$542,2,FALSE)</f>
        <v>0.88888888888888884</v>
      </c>
      <c r="W552">
        <f>VLOOKUP($U552,'[2]AP Dynamic'!$Q$1:$T$542,3,FALSE)</f>
        <v>0.11111111111111116</v>
      </c>
      <c r="X552">
        <f>VLOOKUP($U552,'[2]AP Dynamic'!$Q$1:$T$542,4,FALSE)</f>
        <v>0</v>
      </c>
      <c r="Y552" s="77">
        <f t="shared" si="1393"/>
        <v>1</v>
      </c>
      <c r="Z552" s="77">
        <f t="shared" si="1394"/>
        <v>6.3149999999999984E-2</v>
      </c>
      <c r="AA552" s="77">
        <f t="shared" si="1395"/>
        <v>5.1160591879111372E-3</v>
      </c>
      <c r="AB552" s="79">
        <v>1</v>
      </c>
      <c r="AC552" s="77">
        <f t="shared" si="1412"/>
        <v>8.277777777777778E-3</v>
      </c>
      <c r="AD552" s="77">
        <f t="shared" ref="AD552" si="1437">1-(1-AC552)^(1/12)</f>
        <v>6.9244588451522482E-4</v>
      </c>
      <c r="AE552" s="77">
        <f t="shared" si="1414"/>
        <v>2.5000000000000001E-3</v>
      </c>
      <c r="AF552" s="77">
        <f t="shared" ref="AF552" si="1438">1-(1-AE552)^(1/12)</f>
        <v>2.0857243058891584E-4</v>
      </c>
      <c r="AH552" t="s">
        <v>175</v>
      </c>
      <c r="AI552" t="s">
        <v>179</v>
      </c>
      <c r="AJ552" s="197" t="str">
        <f t="shared" si="1398"/>
        <v>Lifecycle_Dynamic_535</v>
      </c>
      <c r="AK552">
        <v>535</v>
      </c>
      <c r="AL552">
        <f>VLOOKUP($U552,[2]Standard_Dynamic!$Q$1:$T$542,2,FALSE)</f>
        <v>0.88888888888888884</v>
      </c>
      <c r="AM552">
        <f>VLOOKUP($U552,[2]Standard_Dynamic!$Q$1:$T$542,3,FALSE)</f>
        <v>0.11111111111111116</v>
      </c>
      <c r="AN552">
        <f>VLOOKUP($U552,[2]Standard_Dynamic!$Q$1:$T$542,4,FALSE)</f>
        <v>0</v>
      </c>
      <c r="AO552" s="77">
        <f t="shared" si="1399"/>
        <v>1</v>
      </c>
      <c r="AP552" s="77">
        <f t="shared" si="1416"/>
        <v>6.3149999999999984E-2</v>
      </c>
      <c r="AQ552" s="77">
        <f t="shared" si="1400"/>
        <v>5.1160591879111372E-3</v>
      </c>
      <c r="AR552" s="79">
        <v>0</v>
      </c>
      <c r="AS552" s="77">
        <f t="shared" si="1417"/>
        <v>0</v>
      </c>
      <c r="AT552" s="77">
        <f t="shared" ref="AT552" si="1439">1-(1-AS552)^(1/12)</f>
        <v>0</v>
      </c>
      <c r="AU552" s="77">
        <f t="shared" si="1419"/>
        <v>2.5000000000000001E-3</v>
      </c>
      <c r="AV552" s="77">
        <f t="shared" ref="AV552" si="1440">1-(1-AU552)^(1/12)</f>
        <v>2.0857243058891584E-4</v>
      </c>
      <c r="AX552" t="s">
        <v>178</v>
      </c>
      <c r="AY552" t="s">
        <v>162</v>
      </c>
      <c r="AZ552" s="197" t="str">
        <f t="shared" si="1403"/>
        <v>DIS_Standard_535</v>
      </c>
      <c r="BA552">
        <v>535</v>
      </c>
      <c r="BB552">
        <f>VLOOKUP($BA552,'[2]Standard DIS'!$Q$1:$X$542,4,FALSE)</f>
        <v>0</v>
      </c>
      <c r="BF552">
        <f>VLOOKUP($BA552,'[2]Standard DIS'!$Q$1:$X$542,2,FALSE)</f>
        <v>0.88888888888888884</v>
      </c>
      <c r="BH552">
        <f>VLOOKUP($BA552,'[2]Standard DIS'!$Q$1:$X$542,3,FALSE)</f>
        <v>0.11111111111111116</v>
      </c>
      <c r="BI552" s="77">
        <f t="shared" si="1404"/>
        <v>1</v>
      </c>
      <c r="BJ552" s="77">
        <f t="shared" si="1405"/>
        <v>6.3149999999999984E-2</v>
      </c>
      <c r="BK552" s="77">
        <f t="shared" si="1406"/>
        <v>5.1160591879111372E-3</v>
      </c>
      <c r="BL552" s="79">
        <v>0</v>
      </c>
      <c r="BM552" s="77">
        <f t="shared" si="1421"/>
        <v>0</v>
      </c>
      <c r="BN552" s="77">
        <f t="shared" si="1422"/>
        <v>0</v>
      </c>
      <c r="BO552" s="77">
        <f t="shared" si="1423"/>
        <v>2.5000000000000001E-3</v>
      </c>
      <c r="BP552" s="77">
        <f t="shared" si="1424"/>
        <v>2.0809499864316017E-4</v>
      </c>
    </row>
    <row r="553" spans="1:68">
      <c r="A553" t="s">
        <v>175</v>
      </c>
      <c r="B553" t="s">
        <v>179</v>
      </c>
      <c r="C553" s="197" t="str">
        <f t="shared" si="1388"/>
        <v>Lifecycle_Dynamic_534</v>
      </c>
      <c r="D553">
        <v>534</v>
      </c>
      <c r="E553">
        <f>VLOOKUP($D553,'[2]LC Dynamic'!$Q$2:$U$542,2,FALSE)</f>
        <v>0</v>
      </c>
      <c r="F553">
        <f>VLOOKUP($D553,'[2]LC Dynamic'!$Q$2:$U$542,3,FALSE)</f>
        <v>0</v>
      </c>
      <c r="G553">
        <f>VLOOKUP($D553,'[2]LC Dynamic'!$Q$2:$U$542,4,FALSE)</f>
        <v>0.308</v>
      </c>
      <c r="H553">
        <f>VLOOKUP($D553,'[2]LC Dynamic'!$Q$2:$U$542,5,FALSE)</f>
        <v>0.69199999999999995</v>
      </c>
      <c r="I553" s="77">
        <f t="shared" si="1389"/>
        <v>1</v>
      </c>
      <c r="J553" s="77">
        <f t="shared" si="1390"/>
        <v>6.9728499999999985E-2</v>
      </c>
      <c r="K553" s="77">
        <f t="shared" si="1391"/>
        <v>5.632878498097682E-3</v>
      </c>
      <c r="L553" s="76">
        <v>0</v>
      </c>
      <c r="M553" s="77">
        <f t="shared" si="1408"/>
        <v>0</v>
      </c>
      <c r="N553" s="77">
        <f t="shared" si="1409"/>
        <v>0</v>
      </c>
      <c r="O553" s="77">
        <f t="shared" si="1410"/>
        <v>5.6775999999999997E-3</v>
      </c>
      <c r="P553" s="77">
        <f t="shared" si="1411"/>
        <v>4.7436902124819991E-4</v>
      </c>
      <c r="R553" t="s">
        <v>177</v>
      </c>
      <c r="S553" t="s">
        <v>179</v>
      </c>
      <c r="T553" s="197" t="str">
        <f t="shared" si="1392"/>
        <v>Autopilot_Dynamic_534</v>
      </c>
      <c r="U553">
        <v>534</v>
      </c>
      <c r="V553">
        <f>VLOOKUP($U553,'[2]AP Dynamic'!$Q$1:$T$542,2,FALSE)</f>
        <v>0.88888888888888884</v>
      </c>
      <c r="W553">
        <f>VLOOKUP($U553,'[2]AP Dynamic'!$Q$1:$T$542,3,FALSE)</f>
        <v>0.11111111111111116</v>
      </c>
      <c r="X553">
        <f>VLOOKUP($U553,'[2]AP Dynamic'!$Q$1:$T$542,4,FALSE)</f>
        <v>0</v>
      </c>
      <c r="Y553" s="77">
        <f t="shared" si="1393"/>
        <v>1</v>
      </c>
      <c r="Z553" s="77">
        <f t="shared" si="1394"/>
        <v>6.3149999999999984E-2</v>
      </c>
      <c r="AA553" s="77">
        <f t="shared" si="1395"/>
        <v>5.1160591879111372E-3</v>
      </c>
      <c r="AB553" s="79">
        <v>1</v>
      </c>
      <c r="AC553" s="77">
        <f t="shared" si="1412"/>
        <v>8.277777777777778E-3</v>
      </c>
      <c r="AD553" s="77">
        <f t="shared" ref="AD553" si="1441">1-(1-AC553)^(1/12)</f>
        <v>6.9244588451522482E-4</v>
      </c>
      <c r="AE553" s="77">
        <f t="shared" si="1414"/>
        <v>2.5000000000000001E-3</v>
      </c>
      <c r="AF553" s="77">
        <f t="shared" ref="AF553" si="1442">1-(1-AE553)^(1/12)</f>
        <v>2.0857243058891584E-4</v>
      </c>
      <c r="AH553" t="s">
        <v>175</v>
      </c>
      <c r="AI553" t="s">
        <v>179</v>
      </c>
      <c r="AJ553" s="197" t="str">
        <f t="shared" si="1398"/>
        <v>Lifecycle_Dynamic_534</v>
      </c>
      <c r="AK553">
        <v>534</v>
      </c>
      <c r="AL553">
        <f>VLOOKUP($U553,[2]Standard_Dynamic!$Q$1:$T$542,2,FALSE)</f>
        <v>0.88888888888888884</v>
      </c>
      <c r="AM553">
        <f>VLOOKUP($U553,[2]Standard_Dynamic!$Q$1:$T$542,3,FALSE)</f>
        <v>0.11111111111111116</v>
      </c>
      <c r="AN553">
        <f>VLOOKUP($U553,[2]Standard_Dynamic!$Q$1:$T$542,4,FALSE)</f>
        <v>0</v>
      </c>
      <c r="AO553" s="77">
        <f t="shared" si="1399"/>
        <v>1</v>
      </c>
      <c r="AP553" s="77">
        <f t="shared" si="1416"/>
        <v>6.3149999999999984E-2</v>
      </c>
      <c r="AQ553" s="77">
        <f t="shared" si="1400"/>
        <v>5.1160591879111372E-3</v>
      </c>
      <c r="AR553" s="79">
        <v>0</v>
      </c>
      <c r="AS553" s="77">
        <f t="shared" si="1417"/>
        <v>0</v>
      </c>
      <c r="AT553" s="77">
        <f t="shared" ref="AT553" si="1443">1-(1-AS553)^(1/12)</f>
        <v>0</v>
      </c>
      <c r="AU553" s="77">
        <f t="shared" si="1419"/>
        <v>2.5000000000000001E-3</v>
      </c>
      <c r="AV553" s="77">
        <f t="shared" ref="AV553" si="1444">1-(1-AU553)^(1/12)</f>
        <v>2.0857243058891584E-4</v>
      </c>
      <c r="AX553" t="s">
        <v>178</v>
      </c>
      <c r="AY553" t="s">
        <v>162</v>
      </c>
      <c r="AZ553" s="197" t="str">
        <f t="shared" si="1403"/>
        <v>DIS_Standard_534</v>
      </c>
      <c r="BA553">
        <v>534</v>
      </c>
      <c r="BB553">
        <f>VLOOKUP($BA553,'[2]Standard DIS'!$Q$1:$X$542,4,FALSE)</f>
        <v>0</v>
      </c>
      <c r="BF553">
        <f>VLOOKUP($BA553,'[2]Standard DIS'!$Q$1:$X$542,2,FALSE)</f>
        <v>0.88888888888888884</v>
      </c>
      <c r="BH553">
        <f>VLOOKUP($BA553,'[2]Standard DIS'!$Q$1:$X$542,3,FALSE)</f>
        <v>0.11111111111111116</v>
      </c>
      <c r="BI553" s="77">
        <f t="shared" si="1404"/>
        <v>1</v>
      </c>
      <c r="BJ553" s="77">
        <f t="shared" si="1405"/>
        <v>6.3149999999999984E-2</v>
      </c>
      <c r="BK553" s="77">
        <f t="shared" si="1406"/>
        <v>5.1160591879111372E-3</v>
      </c>
      <c r="BL553" s="79">
        <v>0</v>
      </c>
      <c r="BM553" s="77">
        <f t="shared" si="1421"/>
        <v>0</v>
      </c>
      <c r="BN553" s="77">
        <f t="shared" si="1422"/>
        <v>0</v>
      </c>
      <c r="BO553" s="77">
        <f t="shared" si="1423"/>
        <v>2.5000000000000001E-3</v>
      </c>
      <c r="BP553" s="77">
        <f t="shared" si="1424"/>
        <v>2.0809499864316017E-4</v>
      </c>
    </row>
    <row r="554" spans="1:68">
      <c r="A554" t="s">
        <v>175</v>
      </c>
      <c r="B554" t="s">
        <v>179</v>
      </c>
      <c r="C554" s="197" t="str">
        <f t="shared" si="1388"/>
        <v>Lifecycle_Dynamic_533</v>
      </c>
      <c r="D554">
        <v>533</v>
      </c>
      <c r="E554">
        <f>VLOOKUP($D554,'[2]LC Dynamic'!$Q$2:$U$542,2,FALSE)</f>
        <v>0</v>
      </c>
      <c r="F554">
        <f>VLOOKUP($D554,'[2]LC Dynamic'!$Q$2:$U$542,3,FALSE)</f>
        <v>0</v>
      </c>
      <c r="G554">
        <f>VLOOKUP($D554,'[2]LC Dynamic'!$Q$2:$U$542,4,FALSE)</f>
        <v>0.308</v>
      </c>
      <c r="H554">
        <f>VLOOKUP($D554,'[2]LC Dynamic'!$Q$2:$U$542,5,FALSE)</f>
        <v>0.69199999999999995</v>
      </c>
      <c r="I554" s="77">
        <f t="shared" si="1389"/>
        <v>1</v>
      </c>
      <c r="J554" s="77">
        <f t="shared" si="1390"/>
        <v>6.9728499999999985E-2</v>
      </c>
      <c r="K554" s="77">
        <f t="shared" si="1391"/>
        <v>5.632878498097682E-3</v>
      </c>
      <c r="L554" s="76">
        <v>0</v>
      </c>
      <c r="M554" s="77">
        <f t="shared" si="1408"/>
        <v>0</v>
      </c>
      <c r="N554" s="77">
        <f t="shared" si="1409"/>
        <v>0</v>
      </c>
      <c r="O554" s="77">
        <f t="shared" si="1410"/>
        <v>5.6775999999999997E-3</v>
      </c>
      <c r="P554" s="77">
        <f t="shared" si="1411"/>
        <v>4.7436902124819991E-4</v>
      </c>
      <c r="R554" t="s">
        <v>177</v>
      </c>
      <c r="S554" t="s">
        <v>179</v>
      </c>
      <c r="T554" s="197" t="str">
        <f t="shared" si="1392"/>
        <v>Autopilot_Dynamic_533</v>
      </c>
      <c r="U554">
        <v>533</v>
      </c>
      <c r="V554">
        <f>VLOOKUP($U554,'[2]AP Dynamic'!$Q$1:$T$542,2,FALSE)</f>
        <v>0.88888888888888884</v>
      </c>
      <c r="W554">
        <f>VLOOKUP($U554,'[2]AP Dynamic'!$Q$1:$T$542,3,FALSE)</f>
        <v>0.11111111111111116</v>
      </c>
      <c r="X554">
        <f>VLOOKUP($U554,'[2]AP Dynamic'!$Q$1:$T$542,4,FALSE)</f>
        <v>0</v>
      </c>
      <c r="Y554" s="77">
        <f t="shared" si="1393"/>
        <v>1</v>
      </c>
      <c r="Z554" s="77">
        <f t="shared" si="1394"/>
        <v>6.3149999999999984E-2</v>
      </c>
      <c r="AA554" s="77">
        <f t="shared" si="1395"/>
        <v>5.1160591879111372E-3</v>
      </c>
      <c r="AB554" s="79">
        <v>1</v>
      </c>
      <c r="AC554" s="77">
        <f t="shared" si="1412"/>
        <v>8.277777777777778E-3</v>
      </c>
      <c r="AD554" s="77">
        <f t="shared" ref="AD554" si="1445">1-(1-AC554)^(1/12)</f>
        <v>6.9244588451522482E-4</v>
      </c>
      <c r="AE554" s="77">
        <f t="shared" si="1414"/>
        <v>2.5000000000000001E-3</v>
      </c>
      <c r="AF554" s="77">
        <f t="shared" ref="AF554" si="1446">1-(1-AE554)^(1/12)</f>
        <v>2.0857243058891584E-4</v>
      </c>
      <c r="AH554" t="s">
        <v>175</v>
      </c>
      <c r="AI554" t="s">
        <v>179</v>
      </c>
      <c r="AJ554" s="197" t="str">
        <f t="shared" si="1398"/>
        <v>Lifecycle_Dynamic_533</v>
      </c>
      <c r="AK554">
        <v>533</v>
      </c>
      <c r="AL554">
        <f>VLOOKUP($U554,[2]Standard_Dynamic!$Q$1:$T$542,2,FALSE)</f>
        <v>0.88888888888888884</v>
      </c>
      <c r="AM554">
        <f>VLOOKUP($U554,[2]Standard_Dynamic!$Q$1:$T$542,3,FALSE)</f>
        <v>0.11111111111111116</v>
      </c>
      <c r="AN554">
        <f>VLOOKUP($U554,[2]Standard_Dynamic!$Q$1:$T$542,4,FALSE)</f>
        <v>0</v>
      </c>
      <c r="AO554" s="77">
        <f t="shared" si="1399"/>
        <v>1</v>
      </c>
      <c r="AP554" s="77">
        <f t="shared" si="1416"/>
        <v>6.3149999999999984E-2</v>
      </c>
      <c r="AQ554" s="77">
        <f t="shared" si="1400"/>
        <v>5.1160591879111372E-3</v>
      </c>
      <c r="AR554" s="79">
        <v>0</v>
      </c>
      <c r="AS554" s="77">
        <f t="shared" si="1417"/>
        <v>0</v>
      </c>
      <c r="AT554" s="77">
        <f t="shared" ref="AT554" si="1447">1-(1-AS554)^(1/12)</f>
        <v>0</v>
      </c>
      <c r="AU554" s="77">
        <f t="shared" si="1419"/>
        <v>2.5000000000000001E-3</v>
      </c>
      <c r="AV554" s="77">
        <f t="shared" ref="AV554" si="1448">1-(1-AU554)^(1/12)</f>
        <v>2.0857243058891584E-4</v>
      </c>
      <c r="AX554" t="s">
        <v>178</v>
      </c>
      <c r="AY554" t="s">
        <v>162</v>
      </c>
      <c r="AZ554" s="197" t="str">
        <f t="shared" si="1403"/>
        <v>DIS_Standard_533</v>
      </c>
      <c r="BA554">
        <v>533</v>
      </c>
      <c r="BB554">
        <f>VLOOKUP($BA554,'[2]Standard DIS'!$Q$1:$X$542,4,FALSE)</f>
        <v>0</v>
      </c>
      <c r="BF554">
        <f>VLOOKUP($BA554,'[2]Standard DIS'!$Q$1:$X$542,2,FALSE)</f>
        <v>0.88888888888888884</v>
      </c>
      <c r="BH554">
        <f>VLOOKUP($BA554,'[2]Standard DIS'!$Q$1:$X$542,3,FALSE)</f>
        <v>0.11111111111111116</v>
      </c>
      <c r="BI554" s="77">
        <f t="shared" si="1404"/>
        <v>1</v>
      </c>
      <c r="BJ554" s="77">
        <f t="shared" si="1405"/>
        <v>6.3149999999999984E-2</v>
      </c>
      <c r="BK554" s="77">
        <f t="shared" si="1406"/>
        <v>5.1160591879111372E-3</v>
      </c>
      <c r="BL554" s="79">
        <v>0</v>
      </c>
      <c r="BM554" s="77">
        <f t="shared" si="1421"/>
        <v>0</v>
      </c>
      <c r="BN554" s="77">
        <f t="shared" si="1422"/>
        <v>0</v>
      </c>
      <c r="BO554" s="77">
        <f t="shared" si="1423"/>
        <v>2.5000000000000001E-3</v>
      </c>
      <c r="BP554" s="77">
        <f t="shared" si="1424"/>
        <v>2.0809499864316017E-4</v>
      </c>
    </row>
    <row r="555" spans="1:68">
      <c r="A555" t="s">
        <v>175</v>
      </c>
      <c r="B555" t="s">
        <v>179</v>
      </c>
      <c r="C555" s="197" t="str">
        <f t="shared" si="1388"/>
        <v>Lifecycle_Dynamic_532</v>
      </c>
      <c r="D555">
        <v>532</v>
      </c>
      <c r="E555">
        <f>VLOOKUP($D555,'[2]LC Dynamic'!$Q$2:$U$542,2,FALSE)</f>
        <v>0</v>
      </c>
      <c r="F555">
        <f>VLOOKUP($D555,'[2]LC Dynamic'!$Q$2:$U$542,3,FALSE)</f>
        <v>0</v>
      </c>
      <c r="G555">
        <f>VLOOKUP($D555,'[2]LC Dynamic'!$Q$2:$U$542,4,FALSE)</f>
        <v>0.308</v>
      </c>
      <c r="H555">
        <f>VLOOKUP($D555,'[2]LC Dynamic'!$Q$2:$U$542,5,FALSE)</f>
        <v>0.69199999999999995</v>
      </c>
      <c r="I555" s="77">
        <f t="shared" si="1389"/>
        <v>1</v>
      </c>
      <c r="J555" s="77">
        <f t="shared" si="1390"/>
        <v>6.9728499999999985E-2</v>
      </c>
      <c r="K555" s="77">
        <f t="shared" si="1391"/>
        <v>5.632878498097682E-3</v>
      </c>
      <c r="L555" s="76">
        <v>0</v>
      </c>
      <c r="M555" s="77">
        <f t="shared" si="1408"/>
        <v>0</v>
      </c>
      <c r="N555" s="77">
        <f t="shared" si="1409"/>
        <v>0</v>
      </c>
      <c r="O555" s="77">
        <f t="shared" si="1410"/>
        <v>5.6775999999999997E-3</v>
      </c>
      <c r="P555" s="77">
        <f t="shared" si="1411"/>
        <v>4.7436902124819991E-4</v>
      </c>
      <c r="R555" t="s">
        <v>177</v>
      </c>
      <c r="S555" t="s">
        <v>179</v>
      </c>
      <c r="T555" s="197" t="str">
        <f t="shared" si="1392"/>
        <v>Autopilot_Dynamic_532</v>
      </c>
      <c r="U555">
        <v>532</v>
      </c>
      <c r="V555">
        <f>VLOOKUP($U555,'[2]AP Dynamic'!$Q$1:$T$542,2,FALSE)</f>
        <v>0.88888888888888884</v>
      </c>
      <c r="W555">
        <f>VLOOKUP($U555,'[2]AP Dynamic'!$Q$1:$T$542,3,FALSE)</f>
        <v>0.11111111111111116</v>
      </c>
      <c r="X555">
        <f>VLOOKUP($U555,'[2]AP Dynamic'!$Q$1:$T$542,4,FALSE)</f>
        <v>0</v>
      </c>
      <c r="Y555" s="77">
        <f t="shared" si="1393"/>
        <v>1</v>
      </c>
      <c r="Z555" s="77">
        <f t="shared" si="1394"/>
        <v>6.3149999999999984E-2</v>
      </c>
      <c r="AA555" s="77">
        <f t="shared" si="1395"/>
        <v>5.1160591879111372E-3</v>
      </c>
      <c r="AB555" s="79">
        <v>1</v>
      </c>
      <c r="AC555" s="77">
        <f t="shared" si="1412"/>
        <v>8.277777777777778E-3</v>
      </c>
      <c r="AD555" s="77">
        <f t="shared" ref="AD555" si="1449">1-(1-AC555)^(1/12)</f>
        <v>6.9244588451522482E-4</v>
      </c>
      <c r="AE555" s="77">
        <f t="shared" si="1414"/>
        <v>2.5000000000000001E-3</v>
      </c>
      <c r="AF555" s="77">
        <f t="shared" ref="AF555" si="1450">1-(1-AE555)^(1/12)</f>
        <v>2.0857243058891584E-4</v>
      </c>
      <c r="AH555" t="s">
        <v>175</v>
      </c>
      <c r="AI555" t="s">
        <v>179</v>
      </c>
      <c r="AJ555" s="197" t="str">
        <f t="shared" si="1398"/>
        <v>Lifecycle_Dynamic_532</v>
      </c>
      <c r="AK555">
        <v>532</v>
      </c>
      <c r="AL555">
        <f>VLOOKUP($U555,[2]Standard_Dynamic!$Q$1:$T$542,2,FALSE)</f>
        <v>0.88888888888888884</v>
      </c>
      <c r="AM555">
        <f>VLOOKUP($U555,[2]Standard_Dynamic!$Q$1:$T$542,3,FALSE)</f>
        <v>0.11111111111111116</v>
      </c>
      <c r="AN555">
        <f>VLOOKUP($U555,[2]Standard_Dynamic!$Q$1:$T$542,4,FALSE)</f>
        <v>0</v>
      </c>
      <c r="AO555" s="77">
        <f t="shared" si="1399"/>
        <v>1</v>
      </c>
      <c r="AP555" s="77">
        <f t="shared" si="1416"/>
        <v>6.3149999999999984E-2</v>
      </c>
      <c r="AQ555" s="77">
        <f t="shared" si="1400"/>
        <v>5.1160591879111372E-3</v>
      </c>
      <c r="AR555" s="79">
        <v>0</v>
      </c>
      <c r="AS555" s="77">
        <f t="shared" si="1417"/>
        <v>0</v>
      </c>
      <c r="AT555" s="77">
        <f t="shared" ref="AT555" si="1451">1-(1-AS555)^(1/12)</f>
        <v>0</v>
      </c>
      <c r="AU555" s="77">
        <f t="shared" si="1419"/>
        <v>2.5000000000000001E-3</v>
      </c>
      <c r="AV555" s="77">
        <f t="shared" ref="AV555" si="1452">1-(1-AU555)^(1/12)</f>
        <v>2.0857243058891584E-4</v>
      </c>
      <c r="AX555" t="s">
        <v>178</v>
      </c>
      <c r="AY555" t="s">
        <v>162</v>
      </c>
      <c r="AZ555" s="197" t="str">
        <f t="shared" si="1403"/>
        <v>DIS_Standard_532</v>
      </c>
      <c r="BA555">
        <v>532</v>
      </c>
      <c r="BB555">
        <f>VLOOKUP($BA555,'[2]Standard DIS'!$Q$1:$X$542,4,FALSE)</f>
        <v>0</v>
      </c>
      <c r="BF555">
        <f>VLOOKUP($BA555,'[2]Standard DIS'!$Q$1:$X$542,2,FALSE)</f>
        <v>0.88888888888888884</v>
      </c>
      <c r="BH555">
        <f>VLOOKUP($BA555,'[2]Standard DIS'!$Q$1:$X$542,3,FALSE)</f>
        <v>0.11111111111111116</v>
      </c>
      <c r="BI555" s="77">
        <f t="shared" si="1404"/>
        <v>1</v>
      </c>
      <c r="BJ555" s="77">
        <f t="shared" si="1405"/>
        <v>6.3149999999999984E-2</v>
      </c>
      <c r="BK555" s="77">
        <f t="shared" si="1406"/>
        <v>5.1160591879111372E-3</v>
      </c>
      <c r="BL555" s="79">
        <v>0</v>
      </c>
      <c r="BM555" s="77">
        <f t="shared" si="1421"/>
        <v>0</v>
      </c>
      <c r="BN555" s="77">
        <f t="shared" si="1422"/>
        <v>0</v>
      </c>
      <c r="BO555" s="77">
        <f t="shared" si="1423"/>
        <v>2.5000000000000001E-3</v>
      </c>
      <c r="BP555" s="77">
        <f t="shared" si="1424"/>
        <v>2.0809499864316017E-4</v>
      </c>
    </row>
    <row r="556" spans="1:68">
      <c r="A556" t="s">
        <v>175</v>
      </c>
      <c r="B556" t="s">
        <v>179</v>
      </c>
      <c r="C556" s="197" t="str">
        <f t="shared" si="1388"/>
        <v>Lifecycle_Dynamic_531</v>
      </c>
      <c r="D556">
        <v>531</v>
      </c>
      <c r="E556">
        <f>VLOOKUP($D556,'[2]LC Dynamic'!$Q$2:$U$542,2,FALSE)</f>
        <v>0</v>
      </c>
      <c r="F556">
        <f>VLOOKUP($D556,'[2]LC Dynamic'!$Q$2:$U$542,3,FALSE)</f>
        <v>0</v>
      </c>
      <c r="G556">
        <f>VLOOKUP($D556,'[2]LC Dynamic'!$Q$2:$U$542,4,FALSE)</f>
        <v>0.308</v>
      </c>
      <c r="H556">
        <f>VLOOKUP($D556,'[2]LC Dynamic'!$Q$2:$U$542,5,FALSE)</f>
        <v>0.69199999999999995</v>
      </c>
      <c r="I556" s="77">
        <f t="shared" si="1389"/>
        <v>1</v>
      </c>
      <c r="J556" s="77">
        <f t="shared" si="1390"/>
        <v>6.9728499999999985E-2</v>
      </c>
      <c r="K556" s="77">
        <f t="shared" si="1391"/>
        <v>5.632878498097682E-3</v>
      </c>
      <c r="L556" s="76">
        <v>0</v>
      </c>
      <c r="M556" s="77">
        <f t="shared" si="1408"/>
        <v>0</v>
      </c>
      <c r="N556" s="77">
        <f t="shared" si="1409"/>
        <v>0</v>
      </c>
      <c r="O556" s="77">
        <f t="shared" si="1410"/>
        <v>5.6775999999999997E-3</v>
      </c>
      <c r="P556" s="77">
        <f t="shared" si="1411"/>
        <v>4.7436902124819991E-4</v>
      </c>
      <c r="R556" t="s">
        <v>177</v>
      </c>
      <c r="S556" t="s">
        <v>179</v>
      </c>
      <c r="T556" s="197" t="str">
        <f t="shared" si="1392"/>
        <v>Autopilot_Dynamic_531</v>
      </c>
      <c r="U556">
        <v>531</v>
      </c>
      <c r="V556">
        <f>VLOOKUP($U556,'[2]AP Dynamic'!$Q$1:$T$542,2,FALSE)</f>
        <v>0.88888888888888884</v>
      </c>
      <c r="W556">
        <f>VLOOKUP($U556,'[2]AP Dynamic'!$Q$1:$T$542,3,FALSE)</f>
        <v>0.11111111111111116</v>
      </c>
      <c r="X556">
        <f>VLOOKUP($U556,'[2]AP Dynamic'!$Q$1:$T$542,4,FALSE)</f>
        <v>0</v>
      </c>
      <c r="Y556" s="77">
        <f t="shared" si="1393"/>
        <v>1</v>
      </c>
      <c r="Z556" s="77">
        <f t="shared" si="1394"/>
        <v>6.3149999999999984E-2</v>
      </c>
      <c r="AA556" s="77">
        <f t="shared" si="1395"/>
        <v>5.1160591879111372E-3</v>
      </c>
      <c r="AB556" s="79">
        <v>1</v>
      </c>
      <c r="AC556" s="77">
        <f t="shared" si="1412"/>
        <v>8.277777777777778E-3</v>
      </c>
      <c r="AD556" s="77">
        <f t="shared" ref="AD556" si="1453">1-(1-AC556)^(1/12)</f>
        <v>6.9244588451522482E-4</v>
      </c>
      <c r="AE556" s="77">
        <f t="shared" si="1414"/>
        <v>2.5000000000000001E-3</v>
      </c>
      <c r="AF556" s="77">
        <f t="shared" ref="AF556" si="1454">1-(1-AE556)^(1/12)</f>
        <v>2.0857243058891584E-4</v>
      </c>
      <c r="AH556" t="s">
        <v>175</v>
      </c>
      <c r="AI556" t="s">
        <v>179</v>
      </c>
      <c r="AJ556" s="197" t="str">
        <f t="shared" si="1398"/>
        <v>Lifecycle_Dynamic_531</v>
      </c>
      <c r="AK556">
        <v>531</v>
      </c>
      <c r="AL556">
        <f>VLOOKUP($U556,[2]Standard_Dynamic!$Q$1:$T$542,2,FALSE)</f>
        <v>0.88888888888888884</v>
      </c>
      <c r="AM556">
        <f>VLOOKUP($U556,[2]Standard_Dynamic!$Q$1:$T$542,3,FALSE)</f>
        <v>0.11111111111111116</v>
      </c>
      <c r="AN556">
        <f>VLOOKUP($U556,[2]Standard_Dynamic!$Q$1:$T$542,4,FALSE)</f>
        <v>0</v>
      </c>
      <c r="AO556" s="77">
        <f t="shared" si="1399"/>
        <v>1</v>
      </c>
      <c r="AP556" s="77">
        <f t="shared" si="1416"/>
        <v>6.3149999999999984E-2</v>
      </c>
      <c r="AQ556" s="77">
        <f t="shared" si="1400"/>
        <v>5.1160591879111372E-3</v>
      </c>
      <c r="AR556" s="79">
        <v>0</v>
      </c>
      <c r="AS556" s="77">
        <f t="shared" si="1417"/>
        <v>0</v>
      </c>
      <c r="AT556" s="77">
        <f t="shared" ref="AT556" si="1455">1-(1-AS556)^(1/12)</f>
        <v>0</v>
      </c>
      <c r="AU556" s="77">
        <f t="shared" si="1419"/>
        <v>2.5000000000000001E-3</v>
      </c>
      <c r="AV556" s="77">
        <f t="shared" ref="AV556" si="1456">1-(1-AU556)^(1/12)</f>
        <v>2.0857243058891584E-4</v>
      </c>
      <c r="AX556" t="s">
        <v>178</v>
      </c>
      <c r="AY556" t="s">
        <v>162</v>
      </c>
      <c r="AZ556" s="197" t="str">
        <f t="shared" si="1403"/>
        <v>DIS_Standard_531</v>
      </c>
      <c r="BA556">
        <v>531</v>
      </c>
      <c r="BB556">
        <f>VLOOKUP($BA556,'[2]Standard DIS'!$Q$1:$X$542,4,FALSE)</f>
        <v>0</v>
      </c>
      <c r="BF556">
        <f>VLOOKUP($BA556,'[2]Standard DIS'!$Q$1:$X$542,2,FALSE)</f>
        <v>0.88888888888888884</v>
      </c>
      <c r="BH556">
        <f>VLOOKUP($BA556,'[2]Standard DIS'!$Q$1:$X$542,3,FALSE)</f>
        <v>0.11111111111111116</v>
      </c>
      <c r="BI556" s="77">
        <f t="shared" si="1404"/>
        <v>1</v>
      </c>
      <c r="BJ556" s="77">
        <f t="shared" si="1405"/>
        <v>6.3149999999999984E-2</v>
      </c>
      <c r="BK556" s="77">
        <f t="shared" si="1406"/>
        <v>5.1160591879111372E-3</v>
      </c>
      <c r="BL556" s="79">
        <v>0</v>
      </c>
      <c r="BM556" s="77">
        <f t="shared" si="1421"/>
        <v>0</v>
      </c>
      <c r="BN556" s="77">
        <f t="shared" si="1422"/>
        <v>0</v>
      </c>
      <c r="BO556" s="77">
        <f t="shared" si="1423"/>
        <v>2.5000000000000001E-3</v>
      </c>
      <c r="BP556" s="77">
        <f t="shared" si="1424"/>
        <v>2.0809499864316017E-4</v>
      </c>
    </row>
    <row r="557" spans="1:68">
      <c r="A557" t="s">
        <v>175</v>
      </c>
      <c r="B557" t="s">
        <v>179</v>
      </c>
      <c r="C557" s="197" t="str">
        <f t="shared" si="1388"/>
        <v>Lifecycle_Dynamic_530</v>
      </c>
      <c r="D557">
        <v>530</v>
      </c>
      <c r="E557">
        <f>VLOOKUP($D557,'[2]LC Dynamic'!$Q$2:$U$542,2,FALSE)</f>
        <v>0</v>
      </c>
      <c r="F557">
        <f>VLOOKUP($D557,'[2]LC Dynamic'!$Q$2:$U$542,3,FALSE)</f>
        <v>0</v>
      </c>
      <c r="G557">
        <f>VLOOKUP($D557,'[2]LC Dynamic'!$Q$2:$U$542,4,FALSE)</f>
        <v>0.308</v>
      </c>
      <c r="H557">
        <f>VLOOKUP($D557,'[2]LC Dynamic'!$Q$2:$U$542,5,FALSE)</f>
        <v>0.69199999999999995</v>
      </c>
      <c r="I557" s="77">
        <f t="shared" si="1389"/>
        <v>1</v>
      </c>
      <c r="J557" s="77">
        <f t="shared" si="1390"/>
        <v>6.9728499999999985E-2</v>
      </c>
      <c r="K557" s="77">
        <f t="shared" si="1391"/>
        <v>5.632878498097682E-3</v>
      </c>
      <c r="L557" s="76">
        <v>0</v>
      </c>
      <c r="M557" s="77">
        <f t="shared" si="1408"/>
        <v>0</v>
      </c>
      <c r="N557" s="77">
        <f t="shared" si="1409"/>
        <v>0</v>
      </c>
      <c r="O557" s="77">
        <f t="shared" si="1410"/>
        <v>5.6775999999999997E-3</v>
      </c>
      <c r="P557" s="77">
        <f t="shared" si="1411"/>
        <v>4.7436902124819991E-4</v>
      </c>
      <c r="R557" t="s">
        <v>177</v>
      </c>
      <c r="S557" t="s">
        <v>179</v>
      </c>
      <c r="T557" s="197" t="str">
        <f t="shared" si="1392"/>
        <v>Autopilot_Dynamic_530</v>
      </c>
      <c r="U557">
        <v>530</v>
      </c>
      <c r="V557">
        <f>VLOOKUP($U557,'[2]AP Dynamic'!$Q$1:$T$542,2,FALSE)</f>
        <v>0.88888888888888884</v>
      </c>
      <c r="W557">
        <f>VLOOKUP($U557,'[2]AP Dynamic'!$Q$1:$T$542,3,FALSE)</f>
        <v>0.11111111111111116</v>
      </c>
      <c r="X557">
        <f>VLOOKUP($U557,'[2]AP Dynamic'!$Q$1:$T$542,4,FALSE)</f>
        <v>0</v>
      </c>
      <c r="Y557" s="77">
        <f t="shared" si="1393"/>
        <v>1</v>
      </c>
      <c r="Z557" s="77">
        <f t="shared" si="1394"/>
        <v>6.3149999999999984E-2</v>
      </c>
      <c r="AA557" s="77">
        <f t="shared" si="1395"/>
        <v>5.1160591879111372E-3</v>
      </c>
      <c r="AB557" s="79">
        <v>1</v>
      </c>
      <c r="AC557" s="77">
        <f t="shared" si="1412"/>
        <v>8.277777777777778E-3</v>
      </c>
      <c r="AD557" s="77">
        <f t="shared" ref="AD557" si="1457">1-(1-AC557)^(1/12)</f>
        <v>6.9244588451522482E-4</v>
      </c>
      <c r="AE557" s="77">
        <f t="shared" si="1414"/>
        <v>2.5000000000000001E-3</v>
      </c>
      <c r="AF557" s="77">
        <f t="shared" ref="AF557" si="1458">1-(1-AE557)^(1/12)</f>
        <v>2.0857243058891584E-4</v>
      </c>
      <c r="AH557" t="s">
        <v>175</v>
      </c>
      <c r="AI557" t="s">
        <v>179</v>
      </c>
      <c r="AJ557" s="197" t="str">
        <f t="shared" si="1398"/>
        <v>Lifecycle_Dynamic_530</v>
      </c>
      <c r="AK557">
        <v>530</v>
      </c>
      <c r="AL557">
        <f>VLOOKUP($U557,[2]Standard_Dynamic!$Q$1:$T$542,2,FALSE)</f>
        <v>0.88888888888888884</v>
      </c>
      <c r="AM557">
        <f>VLOOKUP($U557,[2]Standard_Dynamic!$Q$1:$T$542,3,FALSE)</f>
        <v>0.11111111111111116</v>
      </c>
      <c r="AN557">
        <f>VLOOKUP($U557,[2]Standard_Dynamic!$Q$1:$T$542,4,FALSE)</f>
        <v>0</v>
      </c>
      <c r="AO557" s="77">
        <f t="shared" si="1399"/>
        <v>1</v>
      </c>
      <c r="AP557" s="77">
        <f t="shared" si="1416"/>
        <v>6.3149999999999984E-2</v>
      </c>
      <c r="AQ557" s="77">
        <f t="shared" si="1400"/>
        <v>5.1160591879111372E-3</v>
      </c>
      <c r="AR557" s="79">
        <v>0</v>
      </c>
      <c r="AS557" s="77">
        <f t="shared" si="1417"/>
        <v>0</v>
      </c>
      <c r="AT557" s="77">
        <f t="shared" ref="AT557" si="1459">1-(1-AS557)^(1/12)</f>
        <v>0</v>
      </c>
      <c r="AU557" s="77">
        <f t="shared" si="1419"/>
        <v>2.5000000000000001E-3</v>
      </c>
      <c r="AV557" s="77">
        <f t="shared" ref="AV557" si="1460">1-(1-AU557)^(1/12)</f>
        <v>2.0857243058891584E-4</v>
      </c>
      <c r="AX557" t="s">
        <v>178</v>
      </c>
      <c r="AY557" t="s">
        <v>162</v>
      </c>
      <c r="AZ557" s="197" t="str">
        <f t="shared" si="1403"/>
        <v>DIS_Standard_530</v>
      </c>
      <c r="BA557">
        <v>530</v>
      </c>
      <c r="BB557">
        <f>VLOOKUP($BA557,'[2]Standard DIS'!$Q$1:$X$542,4,FALSE)</f>
        <v>0</v>
      </c>
      <c r="BF557">
        <f>VLOOKUP($BA557,'[2]Standard DIS'!$Q$1:$X$542,2,FALSE)</f>
        <v>0.88888888888888884</v>
      </c>
      <c r="BH557">
        <f>VLOOKUP($BA557,'[2]Standard DIS'!$Q$1:$X$542,3,FALSE)</f>
        <v>0.11111111111111116</v>
      </c>
      <c r="BI557" s="77">
        <f t="shared" si="1404"/>
        <v>1</v>
      </c>
      <c r="BJ557" s="77">
        <f t="shared" si="1405"/>
        <v>6.3149999999999984E-2</v>
      </c>
      <c r="BK557" s="77">
        <f t="shared" si="1406"/>
        <v>5.1160591879111372E-3</v>
      </c>
      <c r="BL557" s="79">
        <v>0</v>
      </c>
      <c r="BM557" s="77">
        <f t="shared" si="1421"/>
        <v>0</v>
      </c>
      <c r="BN557" s="77">
        <f t="shared" si="1422"/>
        <v>0</v>
      </c>
      <c r="BO557" s="77">
        <f t="shared" si="1423"/>
        <v>2.5000000000000001E-3</v>
      </c>
      <c r="BP557" s="77">
        <f t="shared" si="1424"/>
        <v>2.0809499864316017E-4</v>
      </c>
    </row>
    <row r="558" spans="1:68">
      <c r="A558" t="s">
        <v>175</v>
      </c>
      <c r="B558" t="s">
        <v>179</v>
      </c>
      <c r="C558" s="197" t="str">
        <f t="shared" si="1388"/>
        <v>Lifecycle_Dynamic_529</v>
      </c>
      <c r="D558">
        <v>529</v>
      </c>
      <c r="E558">
        <f>VLOOKUP($D558,'[2]LC Dynamic'!$Q$2:$U$542,2,FALSE)</f>
        <v>0</v>
      </c>
      <c r="F558">
        <f>VLOOKUP($D558,'[2]LC Dynamic'!$Q$2:$U$542,3,FALSE)</f>
        <v>0</v>
      </c>
      <c r="G558">
        <f>VLOOKUP($D558,'[2]LC Dynamic'!$Q$2:$U$542,4,FALSE)</f>
        <v>0.308</v>
      </c>
      <c r="H558">
        <f>VLOOKUP($D558,'[2]LC Dynamic'!$Q$2:$U$542,5,FALSE)</f>
        <v>0.69199999999999995</v>
      </c>
      <c r="I558" s="77">
        <f t="shared" si="1389"/>
        <v>1</v>
      </c>
      <c r="J558" s="77">
        <f t="shared" si="1390"/>
        <v>6.9728499999999985E-2</v>
      </c>
      <c r="K558" s="77">
        <f t="shared" si="1391"/>
        <v>5.632878498097682E-3</v>
      </c>
      <c r="L558" s="76">
        <v>0</v>
      </c>
      <c r="M558" s="77">
        <f t="shared" si="1408"/>
        <v>0</v>
      </c>
      <c r="N558" s="77">
        <f t="shared" si="1409"/>
        <v>0</v>
      </c>
      <c r="O558" s="77">
        <f t="shared" si="1410"/>
        <v>5.6775999999999997E-3</v>
      </c>
      <c r="P558" s="77">
        <f t="shared" si="1411"/>
        <v>4.7436902124819991E-4</v>
      </c>
      <c r="R558" t="s">
        <v>177</v>
      </c>
      <c r="S558" t="s">
        <v>179</v>
      </c>
      <c r="T558" s="197" t="str">
        <f t="shared" si="1392"/>
        <v>Autopilot_Dynamic_529</v>
      </c>
      <c r="U558">
        <v>529</v>
      </c>
      <c r="V558">
        <f>VLOOKUP($U558,'[2]AP Dynamic'!$Q$1:$T$542,2,FALSE)</f>
        <v>0.88888888888888884</v>
      </c>
      <c r="W558">
        <f>VLOOKUP($U558,'[2]AP Dynamic'!$Q$1:$T$542,3,FALSE)</f>
        <v>0.11111111111111116</v>
      </c>
      <c r="X558">
        <f>VLOOKUP($U558,'[2]AP Dynamic'!$Q$1:$T$542,4,FALSE)</f>
        <v>0</v>
      </c>
      <c r="Y558" s="77">
        <f t="shared" si="1393"/>
        <v>1</v>
      </c>
      <c r="Z558" s="77">
        <f t="shared" si="1394"/>
        <v>6.3149999999999984E-2</v>
      </c>
      <c r="AA558" s="77">
        <f t="shared" si="1395"/>
        <v>5.1160591879111372E-3</v>
      </c>
      <c r="AB558" s="79">
        <v>1</v>
      </c>
      <c r="AC558" s="77">
        <f t="shared" si="1412"/>
        <v>8.277777777777778E-3</v>
      </c>
      <c r="AD558" s="77">
        <f t="shared" ref="AD558" si="1461">1-(1-AC558)^(1/12)</f>
        <v>6.9244588451522482E-4</v>
      </c>
      <c r="AE558" s="77">
        <f t="shared" si="1414"/>
        <v>2.5000000000000001E-3</v>
      </c>
      <c r="AF558" s="77">
        <f t="shared" ref="AF558" si="1462">1-(1-AE558)^(1/12)</f>
        <v>2.0857243058891584E-4</v>
      </c>
      <c r="AH558" t="s">
        <v>175</v>
      </c>
      <c r="AI558" t="s">
        <v>179</v>
      </c>
      <c r="AJ558" s="197" t="str">
        <f t="shared" si="1398"/>
        <v>Lifecycle_Dynamic_529</v>
      </c>
      <c r="AK558">
        <v>529</v>
      </c>
      <c r="AL558">
        <f>VLOOKUP($U558,[2]Standard_Dynamic!$Q$1:$T$542,2,FALSE)</f>
        <v>0.88888888888888884</v>
      </c>
      <c r="AM558">
        <f>VLOOKUP($U558,[2]Standard_Dynamic!$Q$1:$T$542,3,FALSE)</f>
        <v>0.11111111111111116</v>
      </c>
      <c r="AN558">
        <f>VLOOKUP($U558,[2]Standard_Dynamic!$Q$1:$T$542,4,FALSE)</f>
        <v>0</v>
      </c>
      <c r="AO558" s="77">
        <f t="shared" si="1399"/>
        <v>1</v>
      </c>
      <c r="AP558" s="77">
        <f t="shared" si="1416"/>
        <v>6.3149999999999984E-2</v>
      </c>
      <c r="AQ558" s="77">
        <f t="shared" si="1400"/>
        <v>5.1160591879111372E-3</v>
      </c>
      <c r="AR558" s="79">
        <v>0</v>
      </c>
      <c r="AS558" s="77">
        <f t="shared" si="1417"/>
        <v>0</v>
      </c>
      <c r="AT558" s="77">
        <f t="shared" ref="AT558" si="1463">1-(1-AS558)^(1/12)</f>
        <v>0</v>
      </c>
      <c r="AU558" s="77">
        <f t="shared" si="1419"/>
        <v>2.5000000000000001E-3</v>
      </c>
      <c r="AV558" s="77">
        <f t="shared" ref="AV558" si="1464">1-(1-AU558)^(1/12)</f>
        <v>2.0857243058891584E-4</v>
      </c>
      <c r="AX558" t="s">
        <v>178</v>
      </c>
      <c r="AY558" t="s">
        <v>162</v>
      </c>
      <c r="AZ558" s="197" t="str">
        <f t="shared" si="1403"/>
        <v>DIS_Standard_529</v>
      </c>
      <c r="BA558">
        <v>529</v>
      </c>
      <c r="BB558">
        <f>VLOOKUP($BA558,'[2]Standard DIS'!$Q$1:$X$542,4,FALSE)</f>
        <v>0</v>
      </c>
      <c r="BF558">
        <f>VLOOKUP($BA558,'[2]Standard DIS'!$Q$1:$X$542,2,FALSE)</f>
        <v>0.88888888888888884</v>
      </c>
      <c r="BH558">
        <f>VLOOKUP($BA558,'[2]Standard DIS'!$Q$1:$X$542,3,FALSE)</f>
        <v>0.11111111111111116</v>
      </c>
      <c r="BI558" s="77">
        <f t="shared" si="1404"/>
        <v>1</v>
      </c>
      <c r="BJ558" s="77">
        <f t="shared" si="1405"/>
        <v>6.3149999999999984E-2</v>
      </c>
      <c r="BK558" s="77">
        <f t="shared" si="1406"/>
        <v>5.1160591879111372E-3</v>
      </c>
      <c r="BL558" s="79">
        <v>0</v>
      </c>
      <c r="BM558" s="77">
        <f t="shared" si="1421"/>
        <v>0</v>
      </c>
      <c r="BN558" s="77">
        <f t="shared" si="1422"/>
        <v>0</v>
      </c>
      <c r="BO558" s="77">
        <f t="shared" si="1423"/>
        <v>2.5000000000000001E-3</v>
      </c>
      <c r="BP558" s="77">
        <f t="shared" si="1424"/>
        <v>2.0809499864316017E-4</v>
      </c>
    </row>
    <row r="559" spans="1:68">
      <c r="A559" t="s">
        <v>175</v>
      </c>
      <c r="B559" t="s">
        <v>179</v>
      </c>
      <c r="C559" s="197" t="str">
        <f t="shared" ref="C559:C622" si="1465">A559&amp;"_"&amp;B559&amp;"_"&amp;D559</f>
        <v>Lifecycle_Dynamic_528</v>
      </c>
      <c r="D559">
        <v>528</v>
      </c>
      <c r="E559">
        <f>VLOOKUP($D559,'[2]LC Dynamic'!$Q$2:$U$542,2,FALSE)</f>
        <v>0</v>
      </c>
      <c r="F559">
        <f>VLOOKUP($D559,'[2]LC Dynamic'!$Q$2:$U$542,3,FALSE)</f>
        <v>0</v>
      </c>
      <c r="G559">
        <f>VLOOKUP($D559,'[2]LC Dynamic'!$Q$2:$U$542,4,FALSE)</f>
        <v>0.308</v>
      </c>
      <c r="H559">
        <f>VLOOKUP($D559,'[2]LC Dynamic'!$Q$2:$U$542,5,FALSE)</f>
        <v>0.69199999999999995</v>
      </c>
      <c r="I559" s="77">
        <f t="shared" si="1389"/>
        <v>1</v>
      </c>
      <c r="J559" s="77">
        <f t="shared" si="1390"/>
        <v>6.9728499999999985E-2</v>
      </c>
      <c r="K559" s="77">
        <f t="shared" ref="K559" si="1466">(1+J559)^(1/12)-1</f>
        <v>5.632878498097682E-3</v>
      </c>
      <c r="L559" s="76">
        <v>0</v>
      </c>
      <c r="M559" s="77">
        <f t="shared" si="1408"/>
        <v>0</v>
      </c>
      <c r="N559" s="77">
        <f t="shared" si="1409"/>
        <v>0</v>
      </c>
      <c r="O559" s="77">
        <f t="shared" si="1410"/>
        <v>5.6775999999999997E-3</v>
      </c>
      <c r="P559" s="77">
        <f t="shared" si="1411"/>
        <v>4.7436902124819991E-4</v>
      </c>
      <c r="R559" t="s">
        <v>177</v>
      </c>
      <c r="S559" t="s">
        <v>179</v>
      </c>
      <c r="T559" s="197" t="str">
        <f t="shared" ref="T559:T622" si="1467">R559&amp;"_"&amp;S559&amp;"_"&amp;U559</f>
        <v>Autopilot_Dynamic_528</v>
      </c>
      <c r="U559">
        <v>528</v>
      </c>
      <c r="V559">
        <f>VLOOKUP($U559,'[2]AP Dynamic'!$Q$1:$T$542,2,FALSE)</f>
        <v>0.88888888888888884</v>
      </c>
      <c r="W559">
        <f>VLOOKUP($U559,'[2]AP Dynamic'!$Q$1:$T$542,3,FALSE)</f>
        <v>0.11111111111111116</v>
      </c>
      <c r="X559">
        <f>VLOOKUP($U559,'[2]AP Dynamic'!$Q$1:$T$542,4,FALSE)</f>
        <v>0</v>
      </c>
      <c r="Y559" s="77">
        <f t="shared" ref="Y559:Y622" si="1468">SUM(V559:X559)</f>
        <v>1</v>
      </c>
      <c r="Z559" s="77">
        <f t="shared" ref="Z559" si="1469">SUMPRODUCT($V$1:$X$1,V559:X559)</f>
        <v>6.3149999999999984E-2</v>
      </c>
      <c r="AA559" s="77">
        <f t="shared" ref="AA559" si="1470">(1+Z559)^(1/12)-1</f>
        <v>5.1160591879111372E-3</v>
      </c>
      <c r="AB559" s="79">
        <v>1</v>
      </c>
      <c r="AC559" s="77">
        <f t="shared" si="1412"/>
        <v>8.277777777777778E-3</v>
      </c>
      <c r="AD559" s="77">
        <f t="shared" ref="AD559" si="1471">1-(1-AC559)^(1/12)</f>
        <v>6.9244588451522482E-4</v>
      </c>
      <c r="AE559" s="77">
        <f t="shared" si="1414"/>
        <v>2.5000000000000001E-3</v>
      </c>
      <c r="AF559" s="77">
        <f t="shared" ref="AF559" si="1472">1-(1-AE559)^(1/12)</f>
        <v>2.0857243058891584E-4</v>
      </c>
      <c r="AH559" t="s">
        <v>175</v>
      </c>
      <c r="AI559" t="s">
        <v>179</v>
      </c>
      <c r="AJ559" s="197" t="str">
        <f t="shared" si="1398"/>
        <v>Lifecycle_Dynamic_528</v>
      </c>
      <c r="AK559">
        <v>528</v>
      </c>
      <c r="AL559">
        <f>VLOOKUP($U559,[2]Standard_Dynamic!$Q$1:$T$542,2,FALSE)</f>
        <v>0.88888888888888884</v>
      </c>
      <c r="AM559">
        <f>VLOOKUP($U559,[2]Standard_Dynamic!$Q$1:$T$542,3,FALSE)</f>
        <v>0.11111111111111116</v>
      </c>
      <c r="AN559">
        <f>VLOOKUP($U559,[2]Standard_Dynamic!$Q$1:$T$542,4,FALSE)</f>
        <v>0</v>
      </c>
      <c r="AO559" s="77">
        <f t="shared" si="1399"/>
        <v>1</v>
      </c>
      <c r="AP559" s="77">
        <f t="shared" si="1416"/>
        <v>6.3149999999999984E-2</v>
      </c>
      <c r="AQ559" s="77">
        <f t="shared" si="1400"/>
        <v>5.1160591879111372E-3</v>
      </c>
      <c r="AR559" s="79">
        <v>0</v>
      </c>
      <c r="AS559" s="77">
        <f t="shared" si="1417"/>
        <v>0</v>
      </c>
      <c r="AT559" s="77">
        <f t="shared" ref="AT559" si="1473">1-(1-AS559)^(1/12)</f>
        <v>0</v>
      </c>
      <c r="AU559" s="77">
        <f t="shared" si="1419"/>
        <v>2.5000000000000001E-3</v>
      </c>
      <c r="AV559" s="77">
        <f t="shared" ref="AV559" si="1474">1-(1-AU559)^(1/12)</f>
        <v>2.0857243058891584E-4</v>
      </c>
      <c r="AX559" t="s">
        <v>178</v>
      </c>
      <c r="AY559" t="s">
        <v>162</v>
      </c>
      <c r="AZ559" s="197" t="str">
        <f t="shared" si="1403"/>
        <v>DIS_Standard_528</v>
      </c>
      <c r="BA559">
        <v>528</v>
      </c>
      <c r="BB559">
        <f>VLOOKUP($BA559,'[2]Standard DIS'!$Q$1:$X$542,4,FALSE)</f>
        <v>0</v>
      </c>
      <c r="BF559">
        <f>VLOOKUP($BA559,'[2]Standard DIS'!$Q$1:$X$542,2,FALSE)</f>
        <v>0.88888888888888884</v>
      </c>
      <c r="BH559">
        <f>VLOOKUP($BA559,'[2]Standard DIS'!$Q$1:$X$542,3,FALSE)</f>
        <v>0.11111111111111116</v>
      </c>
      <c r="BI559" s="77">
        <f t="shared" si="1404"/>
        <v>1</v>
      </c>
      <c r="BJ559" s="77">
        <f t="shared" si="1405"/>
        <v>6.3149999999999984E-2</v>
      </c>
      <c r="BK559" s="77">
        <f t="shared" si="1406"/>
        <v>5.1160591879111372E-3</v>
      </c>
      <c r="BL559" s="79">
        <v>0</v>
      </c>
      <c r="BM559" s="77">
        <f t="shared" si="1421"/>
        <v>0</v>
      </c>
      <c r="BN559" s="77">
        <f t="shared" si="1422"/>
        <v>0</v>
      </c>
      <c r="BO559" s="77">
        <f t="shared" si="1423"/>
        <v>2.5000000000000001E-3</v>
      </c>
      <c r="BP559" s="77">
        <f t="shared" si="1424"/>
        <v>2.0809499864316017E-4</v>
      </c>
    </row>
    <row r="560" spans="1:68">
      <c r="A560" t="s">
        <v>175</v>
      </c>
      <c r="B560" t="s">
        <v>179</v>
      </c>
      <c r="C560" s="197" t="str">
        <f t="shared" si="1465"/>
        <v>Lifecycle_Dynamic_527</v>
      </c>
      <c r="D560">
        <v>527</v>
      </c>
      <c r="E560">
        <f>VLOOKUP($D560,'[2]LC Dynamic'!$Q$2:$U$542,2,FALSE)</f>
        <v>0</v>
      </c>
      <c r="F560">
        <f>VLOOKUP($D560,'[2]LC Dynamic'!$Q$2:$U$542,3,FALSE)</f>
        <v>0</v>
      </c>
      <c r="G560">
        <f>VLOOKUP($D560,'[2]LC Dynamic'!$Q$2:$U$542,4,FALSE)</f>
        <v>0.308</v>
      </c>
      <c r="H560">
        <f>VLOOKUP($D560,'[2]LC Dynamic'!$Q$2:$U$542,5,FALSE)</f>
        <v>0.69199999999999995</v>
      </c>
      <c r="I560" s="77">
        <f t="shared" si="1389"/>
        <v>1</v>
      </c>
      <c r="J560" s="77">
        <f t="shared" si="1390"/>
        <v>6.9728499999999985E-2</v>
      </c>
      <c r="K560" s="77">
        <f t="shared" ref="K560:K623" si="1475">(1+J560)^(1/12)-1</f>
        <v>5.632878498097682E-3</v>
      </c>
      <c r="L560" s="76">
        <v>0</v>
      </c>
      <c r="M560" s="77">
        <f t="shared" si="1408"/>
        <v>0</v>
      </c>
      <c r="N560" s="77">
        <f t="shared" si="1409"/>
        <v>0</v>
      </c>
      <c r="O560" s="77">
        <f t="shared" si="1410"/>
        <v>5.6775999999999997E-3</v>
      </c>
      <c r="P560" s="77">
        <f t="shared" si="1411"/>
        <v>4.7436902124819991E-4</v>
      </c>
      <c r="R560" t="s">
        <v>177</v>
      </c>
      <c r="S560" t="s">
        <v>179</v>
      </c>
      <c r="T560" s="197" t="str">
        <f t="shared" si="1467"/>
        <v>Autopilot_Dynamic_527</v>
      </c>
      <c r="U560">
        <v>527</v>
      </c>
      <c r="V560">
        <f>VLOOKUP($U560,'[2]AP Dynamic'!$Q$1:$T$542,2,FALSE)</f>
        <v>0.88888888888888884</v>
      </c>
      <c r="W560">
        <f>VLOOKUP($U560,'[2]AP Dynamic'!$Q$1:$T$542,3,FALSE)</f>
        <v>0.11111111111111116</v>
      </c>
      <c r="X560">
        <f>VLOOKUP($U560,'[2]AP Dynamic'!$Q$1:$T$542,4,FALSE)</f>
        <v>0</v>
      </c>
      <c r="Y560" s="77">
        <f t="shared" si="1468"/>
        <v>1</v>
      </c>
      <c r="Z560" s="77">
        <f t="shared" ref="Z560:Z623" si="1476">SUMPRODUCT($V$1:$X$1,V560:X560)</f>
        <v>6.3149999999999984E-2</v>
      </c>
      <c r="AA560" s="77">
        <f t="shared" ref="AA560:AA623" si="1477">(1+Z560)^(1/12)-1</f>
        <v>5.1160591879111372E-3</v>
      </c>
      <c r="AB560" s="79">
        <v>1</v>
      </c>
      <c r="AC560" s="77">
        <f t="shared" si="1412"/>
        <v>8.277777777777778E-3</v>
      </c>
      <c r="AD560" s="77">
        <f t="shared" ref="AD560" si="1478">1-(1-AC560)^(1/12)</f>
        <v>6.9244588451522482E-4</v>
      </c>
      <c r="AE560" s="77">
        <f t="shared" si="1414"/>
        <v>2.5000000000000001E-3</v>
      </c>
      <c r="AF560" s="77">
        <f t="shared" ref="AF560" si="1479">1-(1-AE560)^(1/12)</f>
        <v>2.0857243058891584E-4</v>
      </c>
      <c r="AH560" t="s">
        <v>175</v>
      </c>
      <c r="AI560" t="s">
        <v>179</v>
      </c>
      <c r="AJ560" s="197" t="str">
        <f t="shared" si="1398"/>
        <v>Lifecycle_Dynamic_527</v>
      </c>
      <c r="AK560">
        <v>527</v>
      </c>
      <c r="AL560">
        <f>VLOOKUP($U560,[2]Standard_Dynamic!$Q$1:$T$542,2,FALSE)</f>
        <v>0.88888888888888884</v>
      </c>
      <c r="AM560">
        <f>VLOOKUP($U560,[2]Standard_Dynamic!$Q$1:$T$542,3,FALSE)</f>
        <v>0.11111111111111116</v>
      </c>
      <c r="AN560">
        <f>VLOOKUP($U560,[2]Standard_Dynamic!$Q$1:$T$542,4,FALSE)</f>
        <v>0</v>
      </c>
      <c r="AO560" s="77">
        <f t="shared" si="1399"/>
        <v>1</v>
      </c>
      <c r="AP560" s="77">
        <f t="shared" si="1416"/>
        <v>6.3149999999999984E-2</v>
      </c>
      <c r="AQ560" s="77">
        <f t="shared" si="1400"/>
        <v>5.1160591879111372E-3</v>
      </c>
      <c r="AR560" s="79">
        <v>0</v>
      </c>
      <c r="AS560" s="77">
        <f t="shared" si="1417"/>
        <v>0</v>
      </c>
      <c r="AT560" s="77">
        <f t="shared" ref="AT560" si="1480">1-(1-AS560)^(1/12)</f>
        <v>0</v>
      </c>
      <c r="AU560" s="77">
        <f t="shared" si="1419"/>
        <v>2.5000000000000001E-3</v>
      </c>
      <c r="AV560" s="77">
        <f t="shared" ref="AV560" si="1481">1-(1-AU560)^(1/12)</f>
        <v>2.0857243058891584E-4</v>
      </c>
      <c r="AX560" t="s">
        <v>178</v>
      </c>
      <c r="AY560" t="s">
        <v>162</v>
      </c>
      <c r="AZ560" s="197" t="str">
        <f t="shared" si="1403"/>
        <v>DIS_Standard_527</v>
      </c>
      <c r="BA560">
        <v>527</v>
      </c>
      <c r="BB560">
        <f>VLOOKUP($BA560,'[2]Standard DIS'!$Q$1:$X$542,4,FALSE)</f>
        <v>0</v>
      </c>
      <c r="BF560">
        <f>VLOOKUP($BA560,'[2]Standard DIS'!$Q$1:$X$542,2,FALSE)</f>
        <v>0.88888888888888884</v>
      </c>
      <c r="BH560">
        <f>VLOOKUP($BA560,'[2]Standard DIS'!$Q$1:$X$542,3,FALSE)</f>
        <v>0.11111111111111116</v>
      </c>
      <c r="BI560" s="77">
        <f t="shared" si="1404"/>
        <v>1</v>
      </c>
      <c r="BJ560" s="77">
        <f t="shared" si="1405"/>
        <v>6.3149999999999984E-2</v>
      </c>
      <c r="BK560" s="77">
        <f t="shared" si="1406"/>
        <v>5.1160591879111372E-3</v>
      </c>
      <c r="BL560" s="79">
        <v>0</v>
      </c>
      <c r="BM560" s="77">
        <f t="shared" si="1421"/>
        <v>0</v>
      </c>
      <c r="BN560" s="77">
        <f t="shared" si="1422"/>
        <v>0</v>
      </c>
      <c r="BO560" s="77">
        <f t="shared" si="1423"/>
        <v>2.5000000000000001E-3</v>
      </c>
      <c r="BP560" s="77">
        <f t="shared" si="1424"/>
        <v>2.0809499864316017E-4</v>
      </c>
    </row>
    <row r="561" spans="1:68">
      <c r="A561" t="s">
        <v>175</v>
      </c>
      <c r="B561" t="s">
        <v>179</v>
      </c>
      <c r="C561" s="197" t="str">
        <f t="shared" si="1465"/>
        <v>Lifecycle_Dynamic_526</v>
      </c>
      <c r="D561">
        <v>526</v>
      </c>
      <c r="E561">
        <f>VLOOKUP($D561,'[2]LC Dynamic'!$Q$2:$U$542,2,FALSE)</f>
        <v>0</v>
      </c>
      <c r="F561">
        <f>VLOOKUP($D561,'[2]LC Dynamic'!$Q$2:$U$542,3,FALSE)</f>
        <v>0</v>
      </c>
      <c r="G561">
        <f>VLOOKUP($D561,'[2]LC Dynamic'!$Q$2:$U$542,4,FALSE)</f>
        <v>0.308</v>
      </c>
      <c r="H561">
        <f>VLOOKUP($D561,'[2]LC Dynamic'!$Q$2:$U$542,5,FALSE)</f>
        <v>0.69199999999999995</v>
      </c>
      <c r="I561" s="77">
        <f t="shared" si="1389"/>
        <v>1</v>
      </c>
      <c r="J561" s="77">
        <f t="shared" si="1390"/>
        <v>6.9728499999999985E-2</v>
      </c>
      <c r="K561" s="77">
        <f t="shared" si="1475"/>
        <v>5.632878498097682E-3</v>
      </c>
      <c r="L561" s="76">
        <v>0</v>
      </c>
      <c r="M561" s="77">
        <f t="shared" si="1408"/>
        <v>0</v>
      </c>
      <c r="N561" s="77">
        <f t="shared" si="1409"/>
        <v>0</v>
      </c>
      <c r="O561" s="77">
        <f t="shared" si="1410"/>
        <v>5.6775999999999997E-3</v>
      </c>
      <c r="P561" s="77">
        <f t="shared" si="1411"/>
        <v>4.7436902124819991E-4</v>
      </c>
      <c r="R561" t="s">
        <v>177</v>
      </c>
      <c r="S561" t="s">
        <v>179</v>
      </c>
      <c r="T561" s="197" t="str">
        <f t="shared" si="1467"/>
        <v>Autopilot_Dynamic_526</v>
      </c>
      <c r="U561">
        <v>526</v>
      </c>
      <c r="V561">
        <f>VLOOKUP($U561,'[2]AP Dynamic'!$Q$1:$T$542,2,FALSE)</f>
        <v>0.88888888888888884</v>
      </c>
      <c r="W561">
        <f>VLOOKUP($U561,'[2]AP Dynamic'!$Q$1:$T$542,3,FALSE)</f>
        <v>0.11111111111111116</v>
      </c>
      <c r="X561">
        <f>VLOOKUP($U561,'[2]AP Dynamic'!$Q$1:$T$542,4,FALSE)</f>
        <v>0</v>
      </c>
      <c r="Y561" s="77">
        <f t="shared" si="1468"/>
        <v>1</v>
      </c>
      <c r="Z561" s="77">
        <f t="shared" si="1476"/>
        <v>6.3149999999999984E-2</v>
      </c>
      <c r="AA561" s="77">
        <f t="shared" si="1477"/>
        <v>5.1160591879111372E-3</v>
      </c>
      <c r="AB561" s="79">
        <v>1</v>
      </c>
      <c r="AC561" s="77">
        <f t="shared" si="1412"/>
        <v>8.277777777777778E-3</v>
      </c>
      <c r="AD561" s="77">
        <f t="shared" ref="AD561" si="1482">1-(1-AC561)^(1/12)</f>
        <v>6.9244588451522482E-4</v>
      </c>
      <c r="AE561" s="77">
        <f t="shared" si="1414"/>
        <v>2.5000000000000001E-3</v>
      </c>
      <c r="AF561" s="77">
        <f t="shared" ref="AF561" si="1483">1-(1-AE561)^(1/12)</f>
        <v>2.0857243058891584E-4</v>
      </c>
      <c r="AH561" t="s">
        <v>175</v>
      </c>
      <c r="AI561" t="s">
        <v>179</v>
      </c>
      <c r="AJ561" s="197" t="str">
        <f t="shared" si="1398"/>
        <v>Lifecycle_Dynamic_526</v>
      </c>
      <c r="AK561">
        <v>526</v>
      </c>
      <c r="AL561">
        <f>VLOOKUP($U561,[2]Standard_Dynamic!$Q$1:$T$542,2,FALSE)</f>
        <v>0.88888888888888884</v>
      </c>
      <c r="AM561">
        <f>VLOOKUP($U561,[2]Standard_Dynamic!$Q$1:$T$542,3,FALSE)</f>
        <v>0.11111111111111116</v>
      </c>
      <c r="AN561">
        <f>VLOOKUP($U561,[2]Standard_Dynamic!$Q$1:$T$542,4,FALSE)</f>
        <v>0</v>
      </c>
      <c r="AO561" s="77">
        <f t="shared" si="1399"/>
        <v>1</v>
      </c>
      <c r="AP561" s="77">
        <f t="shared" si="1416"/>
        <v>6.3149999999999984E-2</v>
      </c>
      <c r="AQ561" s="77">
        <f t="shared" si="1400"/>
        <v>5.1160591879111372E-3</v>
      </c>
      <c r="AR561" s="79">
        <v>0</v>
      </c>
      <c r="AS561" s="77">
        <f t="shared" si="1417"/>
        <v>0</v>
      </c>
      <c r="AT561" s="77">
        <f t="shared" ref="AT561" si="1484">1-(1-AS561)^(1/12)</f>
        <v>0</v>
      </c>
      <c r="AU561" s="77">
        <f t="shared" si="1419"/>
        <v>2.5000000000000001E-3</v>
      </c>
      <c r="AV561" s="77">
        <f t="shared" ref="AV561" si="1485">1-(1-AU561)^(1/12)</f>
        <v>2.0857243058891584E-4</v>
      </c>
      <c r="AX561" t="s">
        <v>178</v>
      </c>
      <c r="AY561" t="s">
        <v>162</v>
      </c>
      <c r="AZ561" s="197" t="str">
        <f t="shared" si="1403"/>
        <v>DIS_Standard_526</v>
      </c>
      <c r="BA561">
        <v>526</v>
      </c>
      <c r="BB561">
        <f>VLOOKUP($BA561,'[2]Standard DIS'!$Q$1:$X$542,4,FALSE)</f>
        <v>0</v>
      </c>
      <c r="BF561">
        <f>VLOOKUP($BA561,'[2]Standard DIS'!$Q$1:$X$542,2,FALSE)</f>
        <v>0.88888888888888884</v>
      </c>
      <c r="BH561">
        <f>VLOOKUP($BA561,'[2]Standard DIS'!$Q$1:$X$542,3,FALSE)</f>
        <v>0.11111111111111116</v>
      </c>
      <c r="BI561" s="77">
        <f t="shared" si="1404"/>
        <v>1</v>
      </c>
      <c r="BJ561" s="77">
        <f t="shared" si="1405"/>
        <v>6.3149999999999984E-2</v>
      </c>
      <c r="BK561" s="77">
        <f t="shared" si="1406"/>
        <v>5.1160591879111372E-3</v>
      </c>
      <c r="BL561" s="79">
        <v>0</v>
      </c>
      <c r="BM561" s="77">
        <f t="shared" si="1421"/>
        <v>0</v>
      </c>
      <c r="BN561" s="77">
        <f t="shared" si="1422"/>
        <v>0</v>
      </c>
      <c r="BO561" s="77">
        <f t="shared" si="1423"/>
        <v>2.5000000000000001E-3</v>
      </c>
      <c r="BP561" s="77">
        <f t="shared" si="1424"/>
        <v>2.0809499864316017E-4</v>
      </c>
    </row>
    <row r="562" spans="1:68">
      <c r="A562" t="s">
        <v>175</v>
      </c>
      <c r="B562" t="s">
        <v>179</v>
      </c>
      <c r="C562" s="197" t="str">
        <f t="shared" si="1465"/>
        <v>Lifecycle_Dynamic_525</v>
      </c>
      <c r="D562">
        <v>525</v>
      </c>
      <c r="E562">
        <f>VLOOKUP($D562,'[2]LC Dynamic'!$Q$2:$U$542,2,FALSE)</f>
        <v>0</v>
      </c>
      <c r="F562">
        <f>VLOOKUP($D562,'[2]LC Dynamic'!$Q$2:$U$542,3,FALSE)</f>
        <v>0</v>
      </c>
      <c r="G562">
        <f>VLOOKUP($D562,'[2]LC Dynamic'!$Q$2:$U$542,4,FALSE)</f>
        <v>0.308</v>
      </c>
      <c r="H562">
        <f>VLOOKUP($D562,'[2]LC Dynamic'!$Q$2:$U$542,5,FALSE)</f>
        <v>0.69199999999999995</v>
      </c>
      <c r="I562" s="77">
        <f t="shared" si="1389"/>
        <v>1</v>
      </c>
      <c r="J562" s="77">
        <f t="shared" si="1390"/>
        <v>6.9728499999999985E-2</v>
      </c>
      <c r="K562" s="77">
        <f t="shared" si="1475"/>
        <v>5.632878498097682E-3</v>
      </c>
      <c r="L562" s="76">
        <v>0</v>
      </c>
      <c r="M562" s="77">
        <f t="shared" si="1408"/>
        <v>0</v>
      </c>
      <c r="N562" s="77">
        <f t="shared" si="1409"/>
        <v>0</v>
      </c>
      <c r="O562" s="77">
        <f t="shared" si="1410"/>
        <v>5.6775999999999997E-3</v>
      </c>
      <c r="P562" s="77">
        <f t="shared" si="1411"/>
        <v>4.7436902124819991E-4</v>
      </c>
      <c r="R562" t="s">
        <v>177</v>
      </c>
      <c r="S562" t="s">
        <v>179</v>
      </c>
      <c r="T562" s="197" t="str">
        <f t="shared" si="1467"/>
        <v>Autopilot_Dynamic_525</v>
      </c>
      <c r="U562">
        <v>525</v>
      </c>
      <c r="V562">
        <f>VLOOKUP($U562,'[2]AP Dynamic'!$Q$1:$T$542,2,FALSE)</f>
        <v>0.88888888888888884</v>
      </c>
      <c r="W562">
        <f>VLOOKUP($U562,'[2]AP Dynamic'!$Q$1:$T$542,3,FALSE)</f>
        <v>0.11111111111111116</v>
      </c>
      <c r="X562">
        <f>VLOOKUP($U562,'[2]AP Dynamic'!$Q$1:$T$542,4,FALSE)</f>
        <v>0</v>
      </c>
      <c r="Y562" s="77">
        <f t="shared" si="1468"/>
        <v>1</v>
      </c>
      <c r="Z562" s="77">
        <f t="shared" si="1476"/>
        <v>6.3149999999999984E-2</v>
      </c>
      <c r="AA562" s="77">
        <f t="shared" si="1477"/>
        <v>5.1160591879111372E-3</v>
      </c>
      <c r="AB562" s="79">
        <v>1</v>
      </c>
      <c r="AC562" s="77">
        <f t="shared" si="1412"/>
        <v>8.277777777777778E-3</v>
      </c>
      <c r="AD562" s="77">
        <f t="shared" ref="AD562" si="1486">1-(1-AC562)^(1/12)</f>
        <v>6.9244588451522482E-4</v>
      </c>
      <c r="AE562" s="77">
        <f t="shared" si="1414"/>
        <v>2.5000000000000001E-3</v>
      </c>
      <c r="AF562" s="77">
        <f t="shared" ref="AF562" si="1487">1-(1-AE562)^(1/12)</f>
        <v>2.0857243058891584E-4</v>
      </c>
      <c r="AH562" t="s">
        <v>175</v>
      </c>
      <c r="AI562" t="s">
        <v>179</v>
      </c>
      <c r="AJ562" s="197" t="str">
        <f t="shared" si="1398"/>
        <v>Lifecycle_Dynamic_525</v>
      </c>
      <c r="AK562">
        <v>525</v>
      </c>
      <c r="AL562">
        <f>VLOOKUP($U562,[2]Standard_Dynamic!$Q$1:$T$542,2,FALSE)</f>
        <v>0.88888888888888884</v>
      </c>
      <c r="AM562">
        <f>VLOOKUP($U562,[2]Standard_Dynamic!$Q$1:$T$542,3,FALSE)</f>
        <v>0.11111111111111116</v>
      </c>
      <c r="AN562">
        <f>VLOOKUP($U562,[2]Standard_Dynamic!$Q$1:$T$542,4,FALSE)</f>
        <v>0</v>
      </c>
      <c r="AO562" s="77">
        <f t="shared" si="1399"/>
        <v>1</v>
      </c>
      <c r="AP562" s="77">
        <f t="shared" si="1416"/>
        <v>6.3149999999999984E-2</v>
      </c>
      <c r="AQ562" s="77">
        <f t="shared" si="1400"/>
        <v>5.1160591879111372E-3</v>
      </c>
      <c r="AR562" s="79">
        <v>0</v>
      </c>
      <c r="AS562" s="77">
        <f t="shared" si="1417"/>
        <v>0</v>
      </c>
      <c r="AT562" s="77">
        <f t="shared" ref="AT562" si="1488">1-(1-AS562)^(1/12)</f>
        <v>0</v>
      </c>
      <c r="AU562" s="77">
        <f t="shared" si="1419"/>
        <v>2.5000000000000001E-3</v>
      </c>
      <c r="AV562" s="77">
        <f t="shared" ref="AV562" si="1489">1-(1-AU562)^(1/12)</f>
        <v>2.0857243058891584E-4</v>
      </c>
      <c r="AX562" t="s">
        <v>178</v>
      </c>
      <c r="AY562" t="s">
        <v>162</v>
      </c>
      <c r="AZ562" s="197" t="str">
        <f t="shared" si="1403"/>
        <v>DIS_Standard_525</v>
      </c>
      <c r="BA562">
        <v>525</v>
      </c>
      <c r="BB562">
        <f>VLOOKUP($BA562,'[2]Standard DIS'!$Q$1:$X$542,4,FALSE)</f>
        <v>0</v>
      </c>
      <c r="BF562">
        <f>VLOOKUP($BA562,'[2]Standard DIS'!$Q$1:$X$542,2,FALSE)</f>
        <v>0.88888888888888884</v>
      </c>
      <c r="BH562">
        <f>VLOOKUP($BA562,'[2]Standard DIS'!$Q$1:$X$542,3,FALSE)</f>
        <v>0.11111111111111116</v>
      </c>
      <c r="BI562" s="77">
        <f t="shared" si="1404"/>
        <v>1</v>
      </c>
      <c r="BJ562" s="77">
        <f t="shared" si="1405"/>
        <v>6.3149999999999984E-2</v>
      </c>
      <c r="BK562" s="77">
        <f t="shared" si="1406"/>
        <v>5.1160591879111372E-3</v>
      </c>
      <c r="BL562" s="79">
        <v>0</v>
      </c>
      <c r="BM562" s="77">
        <f t="shared" si="1421"/>
        <v>0</v>
      </c>
      <c r="BN562" s="77">
        <f t="shared" si="1422"/>
        <v>0</v>
      </c>
      <c r="BO562" s="77">
        <f t="shared" si="1423"/>
        <v>2.5000000000000001E-3</v>
      </c>
      <c r="BP562" s="77">
        <f t="shared" si="1424"/>
        <v>2.0809499864316017E-4</v>
      </c>
    </row>
    <row r="563" spans="1:68">
      <c r="A563" t="s">
        <v>175</v>
      </c>
      <c r="B563" t="s">
        <v>179</v>
      </c>
      <c r="C563" s="197" t="str">
        <f t="shared" si="1465"/>
        <v>Lifecycle_Dynamic_524</v>
      </c>
      <c r="D563">
        <v>524</v>
      </c>
      <c r="E563">
        <f>VLOOKUP($D563,'[2]LC Dynamic'!$Q$2:$U$542,2,FALSE)</f>
        <v>0</v>
      </c>
      <c r="F563">
        <f>VLOOKUP($D563,'[2]LC Dynamic'!$Q$2:$U$542,3,FALSE)</f>
        <v>0</v>
      </c>
      <c r="G563">
        <f>VLOOKUP($D563,'[2]LC Dynamic'!$Q$2:$U$542,4,FALSE)</f>
        <v>0.308</v>
      </c>
      <c r="H563">
        <f>VLOOKUP($D563,'[2]LC Dynamic'!$Q$2:$U$542,5,FALSE)</f>
        <v>0.69199999999999995</v>
      </c>
      <c r="I563" s="77">
        <f t="shared" si="1389"/>
        <v>1</v>
      </c>
      <c r="J563" s="77">
        <f t="shared" si="1390"/>
        <v>6.9728499999999985E-2</v>
      </c>
      <c r="K563" s="77">
        <f t="shared" si="1475"/>
        <v>5.632878498097682E-3</v>
      </c>
      <c r="L563" s="76">
        <v>0</v>
      </c>
      <c r="M563" s="77">
        <f t="shared" si="1408"/>
        <v>0</v>
      </c>
      <c r="N563" s="77">
        <f t="shared" si="1409"/>
        <v>0</v>
      </c>
      <c r="O563" s="77">
        <f t="shared" si="1410"/>
        <v>5.6775999999999997E-3</v>
      </c>
      <c r="P563" s="77">
        <f t="shared" si="1411"/>
        <v>4.7436902124819991E-4</v>
      </c>
      <c r="R563" t="s">
        <v>177</v>
      </c>
      <c r="S563" t="s">
        <v>179</v>
      </c>
      <c r="T563" s="197" t="str">
        <f t="shared" si="1467"/>
        <v>Autopilot_Dynamic_524</v>
      </c>
      <c r="U563">
        <v>524</v>
      </c>
      <c r="V563">
        <f>VLOOKUP($U563,'[2]AP Dynamic'!$Q$1:$T$542,2,FALSE)</f>
        <v>0.88888888888888884</v>
      </c>
      <c r="W563">
        <f>VLOOKUP($U563,'[2]AP Dynamic'!$Q$1:$T$542,3,FALSE)</f>
        <v>0.11111111111111116</v>
      </c>
      <c r="X563">
        <f>VLOOKUP($U563,'[2]AP Dynamic'!$Q$1:$T$542,4,FALSE)</f>
        <v>0</v>
      </c>
      <c r="Y563" s="77">
        <f t="shared" si="1468"/>
        <v>1</v>
      </c>
      <c r="Z563" s="77">
        <f t="shared" si="1476"/>
        <v>6.3149999999999984E-2</v>
      </c>
      <c r="AA563" s="77">
        <f t="shared" si="1477"/>
        <v>5.1160591879111372E-3</v>
      </c>
      <c r="AB563" s="79">
        <v>1</v>
      </c>
      <c r="AC563" s="77">
        <f t="shared" si="1412"/>
        <v>8.277777777777778E-3</v>
      </c>
      <c r="AD563" s="77">
        <f t="shared" ref="AD563" si="1490">1-(1-AC563)^(1/12)</f>
        <v>6.9244588451522482E-4</v>
      </c>
      <c r="AE563" s="77">
        <f t="shared" si="1414"/>
        <v>2.5000000000000001E-3</v>
      </c>
      <c r="AF563" s="77">
        <f t="shared" ref="AF563" si="1491">1-(1-AE563)^(1/12)</f>
        <v>2.0857243058891584E-4</v>
      </c>
      <c r="AH563" t="s">
        <v>175</v>
      </c>
      <c r="AI563" t="s">
        <v>179</v>
      </c>
      <c r="AJ563" s="197" t="str">
        <f t="shared" si="1398"/>
        <v>Lifecycle_Dynamic_524</v>
      </c>
      <c r="AK563">
        <v>524</v>
      </c>
      <c r="AL563">
        <f>VLOOKUP($U563,[2]Standard_Dynamic!$Q$1:$T$542,2,FALSE)</f>
        <v>0.88888888888888884</v>
      </c>
      <c r="AM563">
        <f>VLOOKUP($U563,[2]Standard_Dynamic!$Q$1:$T$542,3,FALSE)</f>
        <v>0.11111111111111116</v>
      </c>
      <c r="AN563">
        <f>VLOOKUP($U563,[2]Standard_Dynamic!$Q$1:$T$542,4,FALSE)</f>
        <v>0</v>
      </c>
      <c r="AO563" s="77">
        <f t="shared" si="1399"/>
        <v>1</v>
      </c>
      <c r="AP563" s="77">
        <f t="shared" si="1416"/>
        <v>6.3149999999999984E-2</v>
      </c>
      <c r="AQ563" s="77">
        <f t="shared" si="1400"/>
        <v>5.1160591879111372E-3</v>
      </c>
      <c r="AR563" s="79">
        <v>0</v>
      </c>
      <c r="AS563" s="77">
        <f t="shared" si="1417"/>
        <v>0</v>
      </c>
      <c r="AT563" s="77">
        <f t="shared" ref="AT563" si="1492">1-(1-AS563)^(1/12)</f>
        <v>0</v>
      </c>
      <c r="AU563" s="77">
        <f t="shared" si="1419"/>
        <v>2.5000000000000001E-3</v>
      </c>
      <c r="AV563" s="77">
        <f t="shared" ref="AV563" si="1493">1-(1-AU563)^(1/12)</f>
        <v>2.0857243058891584E-4</v>
      </c>
      <c r="AX563" t="s">
        <v>178</v>
      </c>
      <c r="AY563" t="s">
        <v>162</v>
      </c>
      <c r="AZ563" s="197" t="str">
        <f t="shared" si="1403"/>
        <v>DIS_Standard_524</v>
      </c>
      <c r="BA563">
        <v>524</v>
      </c>
      <c r="BB563">
        <f>VLOOKUP($BA563,'[2]Standard DIS'!$Q$1:$X$542,4,FALSE)</f>
        <v>0</v>
      </c>
      <c r="BF563">
        <f>VLOOKUP($BA563,'[2]Standard DIS'!$Q$1:$X$542,2,FALSE)</f>
        <v>0.88888888888888884</v>
      </c>
      <c r="BH563">
        <f>VLOOKUP($BA563,'[2]Standard DIS'!$Q$1:$X$542,3,FALSE)</f>
        <v>0.11111111111111116</v>
      </c>
      <c r="BI563" s="77">
        <f t="shared" si="1404"/>
        <v>1</v>
      </c>
      <c r="BJ563" s="77">
        <f t="shared" si="1405"/>
        <v>6.3149999999999984E-2</v>
      </c>
      <c r="BK563" s="77">
        <f t="shared" si="1406"/>
        <v>5.1160591879111372E-3</v>
      </c>
      <c r="BL563" s="79">
        <v>0</v>
      </c>
      <c r="BM563" s="77">
        <f t="shared" si="1421"/>
        <v>0</v>
      </c>
      <c r="BN563" s="77">
        <f t="shared" si="1422"/>
        <v>0</v>
      </c>
      <c r="BO563" s="77">
        <f t="shared" si="1423"/>
        <v>2.5000000000000001E-3</v>
      </c>
      <c r="BP563" s="77">
        <f t="shared" si="1424"/>
        <v>2.0809499864316017E-4</v>
      </c>
    </row>
    <row r="564" spans="1:68">
      <c r="A564" t="s">
        <v>175</v>
      </c>
      <c r="B564" t="s">
        <v>179</v>
      </c>
      <c r="C564" s="197" t="str">
        <f t="shared" si="1465"/>
        <v>Lifecycle_Dynamic_523</v>
      </c>
      <c r="D564">
        <v>523</v>
      </c>
      <c r="E564">
        <f>VLOOKUP($D564,'[2]LC Dynamic'!$Q$2:$U$542,2,FALSE)</f>
        <v>0</v>
      </c>
      <c r="F564">
        <f>VLOOKUP($D564,'[2]LC Dynamic'!$Q$2:$U$542,3,FALSE)</f>
        <v>0</v>
      </c>
      <c r="G564">
        <f>VLOOKUP($D564,'[2]LC Dynamic'!$Q$2:$U$542,4,FALSE)</f>
        <v>0.308</v>
      </c>
      <c r="H564">
        <f>VLOOKUP($D564,'[2]LC Dynamic'!$Q$2:$U$542,5,FALSE)</f>
        <v>0.69199999999999995</v>
      </c>
      <c r="I564" s="77">
        <f t="shared" si="1389"/>
        <v>1</v>
      </c>
      <c r="J564" s="77">
        <f t="shared" si="1390"/>
        <v>6.9728499999999985E-2</v>
      </c>
      <c r="K564" s="77">
        <f t="shared" si="1475"/>
        <v>5.632878498097682E-3</v>
      </c>
      <c r="L564" s="76">
        <v>0</v>
      </c>
      <c r="M564" s="77">
        <f t="shared" si="1408"/>
        <v>0</v>
      </c>
      <c r="N564" s="77">
        <f t="shared" si="1409"/>
        <v>0</v>
      </c>
      <c r="O564" s="77">
        <f t="shared" si="1410"/>
        <v>5.6775999999999997E-3</v>
      </c>
      <c r="P564" s="77">
        <f t="shared" si="1411"/>
        <v>4.7436902124819991E-4</v>
      </c>
      <c r="R564" t="s">
        <v>177</v>
      </c>
      <c r="S564" t="s">
        <v>179</v>
      </c>
      <c r="T564" s="197" t="str">
        <f t="shared" si="1467"/>
        <v>Autopilot_Dynamic_523</v>
      </c>
      <c r="U564">
        <v>523</v>
      </c>
      <c r="V564">
        <f>VLOOKUP($U564,'[2]AP Dynamic'!$Q$1:$T$542,2,FALSE)</f>
        <v>0.88888888888888884</v>
      </c>
      <c r="W564">
        <f>VLOOKUP($U564,'[2]AP Dynamic'!$Q$1:$T$542,3,FALSE)</f>
        <v>0.11111111111111116</v>
      </c>
      <c r="X564">
        <f>VLOOKUP($U564,'[2]AP Dynamic'!$Q$1:$T$542,4,FALSE)</f>
        <v>0</v>
      </c>
      <c r="Y564" s="77">
        <f t="shared" si="1468"/>
        <v>1</v>
      </c>
      <c r="Z564" s="77">
        <f t="shared" si="1476"/>
        <v>6.3149999999999984E-2</v>
      </c>
      <c r="AA564" s="77">
        <f t="shared" si="1477"/>
        <v>5.1160591879111372E-3</v>
      </c>
      <c r="AB564" s="79">
        <v>1</v>
      </c>
      <c r="AC564" s="77">
        <f t="shared" si="1412"/>
        <v>8.277777777777778E-3</v>
      </c>
      <c r="AD564" s="77">
        <f t="shared" ref="AD564" si="1494">1-(1-AC564)^(1/12)</f>
        <v>6.9244588451522482E-4</v>
      </c>
      <c r="AE564" s="77">
        <f t="shared" si="1414"/>
        <v>2.5000000000000001E-3</v>
      </c>
      <c r="AF564" s="77">
        <f t="shared" ref="AF564" si="1495">1-(1-AE564)^(1/12)</f>
        <v>2.0857243058891584E-4</v>
      </c>
      <c r="AH564" t="s">
        <v>175</v>
      </c>
      <c r="AI564" t="s">
        <v>179</v>
      </c>
      <c r="AJ564" s="197" t="str">
        <f t="shared" si="1398"/>
        <v>Lifecycle_Dynamic_523</v>
      </c>
      <c r="AK564">
        <v>523</v>
      </c>
      <c r="AL564">
        <f>VLOOKUP($U564,[2]Standard_Dynamic!$Q$1:$T$542,2,FALSE)</f>
        <v>0.88888888888888884</v>
      </c>
      <c r="AM564">
        <f>VLOOKUP($U564,[2]Standard_Dynamic!$Q$1:$T$542,3,FALSE)</f>
        <v>0.11111111111111116</v>
      </c>
      <c r="AN564">
        <f>VLOOKUP($U564,[2]Standard_Dynamic!$Q$1:$T$542,4,FALSE)</f>
        <v>0</v>
      </c>
      <c r="AO564" s="77">
        <f t="shared" si="1399"/>
        <v>1</v>
      </c>
      <c r="AP564" s="77">
        <f t="shared" si="1416"/>
        <v>6.3149999999999984E-2</v>
      </c>
      <c r="AQ564" s="77">
        <f t="shared" si="1400"/>
        <v>5.1160591879111372E-3</v>
      </c>
      <c r="AR564" s="79">
        <v>0</v>
      </c>
      <c r="AS564" s="77">
        <f t="shared" si="1417"/>
        <v>0</v>
      </c>
      <c r="AT564" s="77">
        <f t="shared" ref="AT564" si="1496">1-(1-AS564)^(1/12)</f>
        <v>0</v>
      </c>
      <c r="AU564" s="77">
        <f t="shared" si="1419"/>
        <v>2.5000000000000001E-3</v>
      </c>
      <c r="AV564" s="77">
        <f t="shared" ref="AV564" si="1497">1-(1-AU564)^(1/12)</f>
        <v>2.0857243058891584E-4</v>
      </c>
      <c r="AX564" t="s">
        <v>178</v>
      </c>
      <c r="AY564" t="s">
        <v>162</v>
      </c>
      <c r="AZ564" s="197" t="str">
        <f>AX564&amp;"_"&amp;AY564&amp;"_"&amp;BA564</f>
        <v>DIS_Standard_523</v>
      </c>
      <c r="BA564">
        <v>523</v>
      </c>
      <c r="BB564">
        <f>VLOOKUP($BA564,'[2]Standard DIS'!$Q$1:$X$542,4,FALSE)</f>
        <v>0</v>
      </c>
      <c r="BF564">
        <f>VLOOKUP($BA564,'[2]Standard DIS'!$Q$1:$X$542,2,FALSE)</f>
        <v>0.88888888888888884</v>
      </c>
      <c r="BH564">
        <f>VLOOKUP($BA564,'[2]Standard DIS'!$Q$1:$X$542,3,FALSE)</f>
        <v>0.11111111111111116</v>
      </c>
      <c r="BI564" s="77">
        <f t="shared" si="1404"/>
        <v>1</v>
      </c>
      <c r="BJ564" s="77">
        <f t="shared" si="1405"/>
        <v>6.3149999999999984E-2</v>
      </c>
      <c r="BK564" s="77">
        <f>(1+BJ564)^(1/12)-1</f>
        <v>5.1160591879111372E-3</v>
      </c>
      <c r="BL564" s="79">
        <v>0</v>
      </c>
      <c r="BM564" s="77">
        <f t="shared" si="1421"/>
        <v>0</v>
      </c>
      <c r="BN564" s="77">
        <f t="shared" si="1422"/>
        <v>0</v>
      </c>
      <c r="BO564" s="77">
        <f t="shared" si="1423"/>
        <v>2.5000000000000001E-3</v>
      </c>
      <c r="BP564" s="77">
        <f t="shared" si="1424"/>
        <v>2.0809499864316017E-4</v>
      </c>
    </row>
    <row r="565" spans="1:68">
      <c r="A565" t="s">
        <v>175</v>
      </c>
      <c r="B565" t="s">
        <v>179</v>
      </c>
      <c r="C565" s="197" t="str">
        <f t="shared" si="1465"/>
        <v>Lifecycle_Dynamic_522</v>
      </c>
      <c r="D565">
        <v>522</v>
      </c>
      <c r="E565">
        <f>VLOOKUP($D565,'[2]LC Dynamic'!$Q$2:$U$542,2,FALSE)</f>
        <v>0</v>
      </c>
      <c r="F565">
        <f>VLOOKUP($D565,'[2]LC Dynamic'!$Q$2:$U$542,3,FALSE)</f>
        <v>0</v>
      </c>
      <c r="G565">
        <f>VLOOKUP($D565,'[2]LC Dynamic'!$Q$2:$U$542,4,FALSE)</f>
        <v>0.308</v>
      </c>
      <c r="H565">
        <f>VLOOKUP($D565,'[2]LC Dynamic'!$Q$2:$U$542,5,FALSE)</f>
        <v>0.69199999999999995</v>
      </c>
      <c r="I565" s="77">
        <f t="shared" si="1389"/>
        <v>1</v>
      </c>
      <c r="J565" s="77">
        <f t="shared" si="1390"/>
        <v>6.9728499999999985E-2</v>
      </c>
      <c r="K565" s="77">
        <f t="shared" si="1475"/>
        <v>5.632878498097682E-3</v>
      </c>
      <c r="L565" s="76">
        <v>0</v>
      </c>
      <c r="M565" s="77">
        <f t="shared" si="1408"/>
        <v>0</v>
      </c>
      <c r="N565" s="77">
        <f t="shared" si="1409"/>
        <v>0</v>
      </c>
      <c r="O565" s="77">
        <f t="shared" si="1410"/>
        <v>5.6775999999999997E-3</v>
      </c>
      <c r="P565" s="77">
        <f t="shared" si="1411"/>
        <v>4.7436902124819991E-4</v>
      </c>
      <c r="R565" t="s">
        <v>177</v>
      </c>
      <c r="S565" t="s">
        <v>179</v>
      </c>
      <c r="T565" s="197" t="str">
        <f t="shared" si="1467"/>
        <v>Autopilot_Dynamic_522</v>
      </c>
      <c r="U565">
        <v>522</v>
      </c>
      <c r="V565">
        <f>VLOOKUP($U565,'[2]AP Dynamic'!$Q$1:$T$542,2,FALSE)</f>
        <v>0.88888888888888884</v>
      </c>
      <c r="W565">
        <f>VLOOKUP($U565,'[2]AP Dynamic'!$Q$1:$T$542,3,FALSE)</f>
        <v>0.11111111111111116</v>
      </c>
      <c r="X565">
        <f>VLOOKUP($U565,'[2]AP Dynamic'!$Q$1:$T$542,4,FALSE)</f>
        <v>0</v>
      </c>
      <c r="Y565" s="77">
        <f t="shared" si="1468"/>
        <v>1</v>
      </c>
      <c r="Z565" s="77">
        <f t="shared" si="1476"/>
        <v>6.3149999999999984E-2</v>
      </c>
      <c r="AA565" s="77">
        <f t="shared" si="1477"/>
        <v>5.1160591879111372E-3</v>
      </c>
      <c r="AB565" s="79">
        <v>1</v>
      </c>
      <c r="AC565" s="77">
        <f t="shared" si="1412"/>
        <v>8.277777777777778E-3</v>
      </c>
      <c r="AD565" s="77">
        <f t="shared" ref="AD565" si="1498">1-(1-AC565)^(1/12)</f>
        <v>6.9244588451522482E-4</v>
      </c>
      <c r="AE565" s="77">
        <f t="shared" si="1414"/>
        <v>2.5000000000000001E-3</v>
      </c>
      <c r="AF565" s="77">
        <f t="shared" ref="AF565" si="1499">1-(1-AE565)^(1/12)</f>
        <v>2.0857243058891584E-4</v>
      </c>
      <c r="AH565" t="s">
        <v>175</v>
      </c>
      <c r="AI565" t="s">
        <v>179</v>
      </c>
      <c r="AJ565" s="197" t="str">
        <f t="shared" si="1398"/>
        <v>Lifecycle_Dynamic_522</v>
      </c>
      <c r="AK565">
        <v>522</v>
      </c>
      <c r="AL565">
        <f>VLOOKUP($U565,[2]Standard_Dynamic!$Q$1:$T$542,2,FALSE)</f>
        <v>0.88888888888888884</v>
      </c>
      <c r="AM565">
        <f>VLOOKUP($U565,[2]Standard_Dynamic!$Q$1:$T$542,3,FALSE)</f>
        <v>0.11111111111111116</v>
      </c>
      <c r="AN565">
        <f>VLOOKUP($U565,[2]Standard_Dynamic!$Q$1:$T$542,4,FALSE)</f>
        <v>0</v>
      </c>
      <c r="AO565" s="77">
        <f t="shared" si="1399"/>
        <v>1</v>
      </c>
      <c r="AP565" s="77">
        <f t="shared" si="1416"/>
        <v>6.3149999999999984E-2</v>
      </c>
      <c r="AQ565" s="77">
        <f t="shared" si="1400"/>
        <v>5.1160591879111372E-3</v>
      </c>
      <c r="AR565" s="79">
        <v>0</v>
      </c>
      <c r="AS565" s="77">
        <f t="shared" si="1417"/>
        <v>0</v>
      </c>
      <c r="AT565" s="77">
        <f t="shared" ref="AT565" si="1500">1-(1-AS565)^(1/12)</f>
        <v>0</v>
      </c>
      <c r="AU565" s="77">
        <f t="shared" si="1419"/>
        <v>2.5000000000000001E-3</v>
      </c>
      <c r="AV565" s="77">
        <f t="shared" ref="AV565" si="1501">1-(1-AU565)^(1/12)</f>
        <v>2.0857243058891584E-4</v>
      </c>
      <c r="AX565" t="s">
        <v>178</v>
      </c>
      <c r="AY565" t="s">
        <v>162</v>
      </c>
      <c r="AZ565" s="197" t="str">
        <f t="shared" ref="AZ565:AZ628" si="1502">AX565&amp;"_"&amp;AY565&amp;"_"&amp;BA565</f>
        <v>DIS_Standard_522</v>
      </c>
      <c r="BA565">
        <v>522</v>
      </c>
      <c r="BB565">
        <f>VLOOKUP($BA565,'[2]Standard DIS'!$Q$1:$X$542,4,FALSE)</f>
        <v>0</v>
      </c>
      <c r="BF565">
        <f>VLOOKUP($BA565,'[2]Standard DIS'!$Q$1:$X$542,2,FALSE)</f>
        <v>0.88888888888888884</v>
      </c>
      <c r="BH565">
        <f>VLOOKUP($BA565,'[2]Standard DIS'!$Q$1:$X$542,3,FALSE)</f>
        <v>0.11111111111111116</v>
      </c>
      <c r="BI565" s="77">
        <f t="shared" si="1404"/>
        <v>1</v>
      </c>
      <c r="BJ565" s="77">
        <f t="shared" si="1405"/>
        <v>6.3149999999999984E-2</v>
      </c>
      <c r="BK565" s="77">
        <f t="shared" ref="BK565:BK628" si="1503">(1+BJ565)^(1/12)-1</f>
        <v>5.1160591879111372E-3</v>
      </c>
      <c r="BL565" s="79">
        <v>0</v>
      </c>
      <c r="BM565" s="77">
        <f t="shared" si="1421"/>
        <v>0</v>
      </c>
      <c r="BN565" s="77">
        <f t="shared" si="1422"/>
        <v>0</v>
      </c>
      <c r="BO565" s="77">
        <f t="shared" si="1423"/>
        <v>2.5000000000000001E-3</v>
      </c>
      <c r="BP565" s="77">
        <f t="shared" si="1424"/>
        <v>2.0809499864316017E-4</v>
      </c>
    </row>
    <row r="566" spans="1:68">
      <c r="A566" t="s">
        <v>175</v>
      </c>
      <c r="B566" t="s">
        <v>179</v>
      </c>
      <c r="C566" s="197" t="str">
        <f t="shared" si="1465"/>
        <v>Lifecycle_Dynamic_521</v>
      </c>
      <c r="D566">
        <v>521</v>
      </c>
      <c r="E566">
        <f>VLOOKUP($D566,'[2]LC Dynamic'!$Q$2:$U$542,2,FALSE)</f>
        <v>0</v>
      </c>
      <c r="F566">
        <f>VLOOKUP($D566,'[2]LC Dynamic'!$Q$2:$U$542,3,FALSE)</f>
        <v>0</v>
      </c>
      <c r="G566">
        <f>VLOOKUP($D566,'[2]LC Dynamic'!$Q$2:$U$542,4,FALSE)</f>
        <v>0.308</v>
      </c>
      <c r="H566">
        <f>VLOOKUP($D566,'[2]LC Dynamic'!$Q$2:$U$542,5,FALSE)</f>
        <v>0.69199999999999995</v>
      </c>
      <c r="I566" s="77">
        <f t="shared" si="1389"/>
        <v>1</v>
      </c>
      <c r="J566" s="77">
        <f t="shared" si="1390"/>
        <v>6.9728499999999985E-2</v>
      </c>
      <c r="K566" s="77">
        <f t="shared" si="1475"/>
        <v>5.632878498097682E-3</v>
      </c>
      <c r="L566" s="76">
        <v>0</v>
      </c>
      <c r="M566" s="77">
        <f t="shared" si="1408"/>
        <v>0</v>
      </c>
      <c r="N566" s="77">
        <f t="shared" si="1409"/>
        <v>0</v>
      </c>
      <c r="O566" s="77">
        <f t="shared" si="1410"/>
        <v>5.6775999999999997E-3</v>
      </c>
      <c r="P566" s="77">
        <f t="shared" si="1411"/>
        <v>4.7436902124819991E-4</v>
      </c>
      <c r="R566" t="s">
        <v>177</v>
      </c>
      <c r="S566" t="s">
        <v>179</v>
      </c>
      <c r="T566" s="197" t="str">
        <f t="shared" si="1467"/>
        <v>Autopilot_Dynamic_521</v>
      </c>
      <c r="U566">
        <v>521</v>
      </c>
      <c r="V566">
        <f>VLOOKUP($U566,'[2]AP Dynamic'!$Q$1:$T$542,2,FALSE)</f>
        <v>0.88888888888888884</v>
      </c>
      <c r="W566">
        <f>VLOOKUP($U566,'[2]AP Dynamic'!$Q$1:$T$542,3,FALSE)</f>
        <v>0.11111111111111116</v>
      </c>
      <c r="X566">
        <f>VLOOKUP($U566,'[2]AP Dynamic'!$Q$1:$T$542,4,FALSE)</f>
        <v>0</v>
      </c>
      <c r="Y566" s="77">
        <f t="shared" si="1468"/>
        <v>1</v>
      </c>
      <c r="Z566" s="77">
        <f t="shared" si="1476"/>
        <v>6.3149999999999984E-2</v>
      </c>
      <c r="AA566" s="77">
        <f t="shared" si="1477"/>
        <v>5.1160591879111372E-3</v>
      </c>
      <c r="AB566" s="79">
        <v>1</v>
      </c>
      <c r="AC566" s="77">
        <f t="shared" si="1412"/>
        <v>8.277777777777778E-3</v>
      </c>
      <c r="AD566" s="77">
        <f t="shared" ref="AD566" si="1504">1-(1-AC566)^(1/12)</f>
        <v>6.9244588451522482E-4</v>
      </c>
      <c r="AE566" s="77">
        <f t="shared" si="1414"/>
        <v>2.5000000000000001E-3</v>
      </c>
      <c r="AF566" s="77">
        <f t="shared" ref="AF566" si="1505">1-(1-AE566)^(1/12)</f>
        <v>2.0857243058891584E-4</v>
      </c>
      <c r="AH566" t="s">
        <v>175</v>
      </c>
      <c r="AI566" t="s">
        <v>179</v>
      </c>
      <c r="AJ566" s="197" t="str">
        <f t="shared" si="1398"/>
        <v>Lifecycle_Dynamic_521</v>
      </c>
      <c r="AK566">
        <v>521</v>
      </c>
      <c r="AL566">
        <f>VLOOKUP($U566,[2]Standard_Dynamic!$Q$1:$T$542,2,FALSE)</f>
        <v>0.88888888888888884</v>
      </c>
      <c r="AM566">
        <f>VLOOKUP($U566,[2]Standard_Dynamic!$Q$1:$T$542,3,FALSE)</f>
        <v>0.11111111111111116</v>
      </c>
      <c r="AN566">
        <f>VLOOKUP($U566,[2]Standard_Dynamic!$Q$1:$T$542,4,FALSE)</f>
        <v>0</v>
      </c>
      <c r="AO566" s="77">
        <f t="shared" si="1399"/>
        <v>1</v>
      </c>
      <c r="AP566" s="77">
        <f t="shared" si="1416"/>
        <v>6.3149999999999984E-2</v>
      </c>
      <c r="AQ566" s="77">
        <f t="shared" si="1400"/>
        <v>5.1160591879111372E-3</v>
      </c>
      <c r="AR566" s="79">
        <v>0</v>
      </c>
      <c r="AS566" s="77">
        <f t="shared" si="1417"/>
        <v>0</v>
      </c>
      <c r="AT566" s="77">
        <f t="shared" ref="AT566" si="1506">1-(1-AS566)^(1/12)</f>
        <v>0</v>
      </c>
      <c r="AU566" s="77">
        <f t="shared" si="1419"/>
        <v>2.5000000000000001E-3</v>
      </c>
      <c r="AV566" s="77">
        <f t="shared" ref="AV566" si="1507">1-(1-AU566)^(1/12)</f>
        <v>2.0857243058891584E-4</v>
      </c>
      <c r="AX566" t="s">
        <v>178</v>
      </c>
      <c r="AY566" t="s">
        <v>162</v>
      </c>
      <c r="AZ566" s="197" t="str">
        <f t="shared" si="1502"/>
        <v>DIS_Standard_521</v>
      </c>
      <c r="BA566">
        <v>521</v>
      </c>
      <c r="BB566">
        <f>VLOOKUP($BA566,'[2]Standard DIS'!$Q$1:$X$542,4,FALSE)</f>
        <v>0</v>
      </c>
      <c r="BF566">
        <f>VLOOKUP($BA566,'[2]Standard DIS'!$Q$1:$X$542,2,FALSE)</f>
        <v>0.88888888888888884</v>
      </c>
      <c r="BH566">
        <f>VLOOKUP($BA566,'[2]Standard DIS'!$Q$1:$X$542,3,FALSE)</f>
        <v>0.11111111111111116</v>
      </c>
      <c r="BI566" s="77">
        <f t="shared" si="1404"/>
        <v>1</v>
      </c>
      <c r="BJ566" s="77">
        <f t="shared" si="1405"/>
        <v>6.3149999999999984E-2</v>
      </c>
      <c r="BK566" s="77">
        <f t="shared" si="1503"/>
        <v>5.1160591879111372E-3</v>
      </c>
      <c r="BL566" s="79">
        <v>0</v>
      </c>
      <c r="BM566" s="77">
        <f t="shared" si="1421"/>
        <v>0</v>
      </c>
      <c r="BN566" s="77">
        <f t="shared" si="1422"/>
        <v>0</v>
      </c>
      <c r="BO566" s="77">
        <f t="shared" si="1423"/>
        <v>2.5000000000000001E-3</v>
      </c>
      <c r="BP566" s="77">
        <f t="shared" si="1424"/>
        <v>2.0809499864316017E-4</v>
      </c>
    </row>
    <row r="567" spans="1:68">
      <c r="A567" t="s">
        <v>175</v>
      </c>
      <c r="B567" t="s">
        <v>179</v>
      </c>
      <c r="C567" s="197" t="str">
        <f t="shared" si="1465"/>
        <v>Lifecycle_Dynamic_520</v>
      </c>
      <c r="D567">
        <v>520</v>
      </c>
      <c r="E567">
        <f>VLOOKUP($D567,'[2]LC Dynamic'!$Q$2:$U$542,2,FALSE)</f>
        <v>0</v>
      </c>
      <c r="F567">
        <f>VLOOKUP($D567,'[2]LC Dynamic'!$Q$2:$U$542,3,FALSE)</f>
        <v>0</v>
      </c>
      <c r="G567">
        <f>VLOOKUP($D567,'[2]LC Dynamic'!$Q$2:$U$542,4,FALSE)</f>
        <v>0.308</v>
      </c>
      <c r="H567">
        <f>VLOOKUP($D567,'[2]LC Dynamic'!$Q$2:$U$542,5,FALSE)</f>
        <v>0.69199999999999995</v>
      </c>
      <c r="I567" s="77">
        <f t="shared" si="1389"/>
        <v>1</v>
      </c>
      <c r="J567" s="77">
        <f t="shared" si="1390"/>
        <v>6.9728499999999985E-2</v>
      </c>
      <c r="K567" s="77">
        <f t="shared" si="1475"/>
        <v>5.632878498097682E-3</v>
      </c>
      <c r="L567" s="76">
        <v>0</v>
      </c>
      <c r="M567" s="77">
        <f t="shared" si="1408"/>
        <v>0</v>
      </c>
      <c r="N567" s="77">
        <f t="shared" si="1409"/>
        <v>0</v>
      </c>
      <c r="O567" s="77">
        <f t="shared" si="1410"/>
        <v>5.6775999999999997E-3</v>
      </c>
      <c r="P567" s="77">
        <f t="shared" si="1411"/>
        <v>4.7436902124819991E-4</v>
      </c>
      <c r="R567" t="s">
        <v>177</v>
      </c>
      <c r="S567" t="s">
        <v>179</v>
      </c>
      <c r="T567" s="197" t="str">
        <f t="shared" si="1467"/>
        <v>Autopilot_Dynamic_520</v>
      </c>
      <c r="U567">
        <v>520</v>
      </c>
      <c r="V567">
        <f>VLOOKUP($U567,'[2]AP Dynamic'!$Q$1:$T$542,2,FALSE)</f>
        <v>0.88888888888888884</v>
      </c>
      <c r="W567">
        <f>VLOOKUP($U567,'[2]AP Dynamic'!$Q$1:$T$542,3,FALSE)</f>
        <v>0.11111111111111116</v>
      </c>
      <c r="X567">
        <f>VLOOKUP($U567,'[2]AP Dynamic'!$Q$1:$T$542,4,FALSE)</f>
        <v>0</v>
      </c>
      <c r="Y567" s="77">
        <f t="shared" si="1468"/>
        <v>1</v>
      </c>
      <c r="Z567" s="77">
        <f t="shared" si="1476"/>
        <v>6.3149999999999984E-2</v>
      </c>
      <c r="AA567" s="77">
        <f t="shared" si="1477"/>
        <v>5.1160591879111372E-3</v>
      </c>
      <c r="AB567" s="79">
        <v>1</v>
      </c>
      <c r="AC567" s="77">
        <f t="shared" si="1412"/>
        <v>8.277777777777778E-3</v>
      </c>
      <c r="AD567" s="77">
        <f t="shared" ref="AD567" si="1508">1-(1-AC567)^(1/12)</f>
        <v>6.9244588451522482E-4</v>
      </c>
      <c r="AE567" s="77">
        <f t="shared" si="1414"/>
        <v>2.5000000000000001E-3</v>
      </c>
      <c r="AF567" s="77">
        <f t="shared" ref="AF567" si="1509">1-(1-AE567)^(1/12)</f>
        <v>2.0857243058891584E-4</v>
      </c>
      <c r="AH567" t="s">
        <v>175</v>
      </c>
      <c r="AI567" t="s">
        <v>179</v>
      </c>
      <c r="AJ567" s="197" t="str">
        <f t="shared" si="1398"/>
        <v>Lifecycle_Dynamic_520</v>
      </c>
      <c r="AK567">
        <v>520</v>
      </c>
      <c r="AL567">
        <f>VLOOKUP($U567,[2]Standard_Dynamic!$Q$1:$T$542,2,FALSE)</f>
        <v>0.88888888888888884</v>
      </c>
      <c r="AM567">
        <f>VLOOKUP($U567,[2]Standard_Dynamic!$Q$1:$T$542,3,FALSE)</f>
        <v>0.11111111111111116</v>
      </c>
      <c r="AN567">
        <f>VLOOKUP($U567,[2]Standard_Dynamic!$Q$1:$T$542,4,FALSE)</f>
        <v>0</v>
      </c>
      <c r="AO567" s="77">
        <f t="shared" si="1399"/>
        <v>1</v>
      </c>
      <c r="AP567" s="77">
        <f t="shared" si="1416"/>
        <v>6.3149999999999984E-2</v>
      </c>
      <c r="AQ567" s="77">
        <f t="shared" si="1400"/>
        <v>5.1160591879111372E-3</v>
      </c>
      <c r="AR567" s="79">
        <v>0</v>
      </c>
      <c r="AS567" s="77">
        <f t="shared" si="1417"/>
        <v>0</v>
      </c>
      <c r="AT567" s="77">
        <f t="shared" ref="AT567" si="1510">1-(1-AS567)^(1/12)</f>
        <v>0</v>
      </c>
      <c r="AU567" s="77">
        <f t="shared" si="1419"/>
        <v>2.5000000000000001E-3</v>
      </c>
      <c r="AV567" s="77">
        <f t="shared" ref="AV567" si="1511">1-(1-AU567)^(1/12)</f>
        <v>2.0857243058891584E-4</v>
      </c>
      <c r="AX567" t="s">
        <v>178</v>
      </c>
      <c r="AY567" t="s">
        <v>162</v>
      </c>
      <c r="AZ567" s="197" t="str">
        <f t="shared" si="1502"/>
        <v>DIS_Standard_520</v>
      </c>
      <c r="BA567">
        <v>520</v>
      </c>
      <c r="BB567">
        <f>VLOOKUP($BA567,'[2]Standard DIS'!$Q$1:$X$542,4,FALSE)</f>
        <v>0</v>
      </c>
      <c r="BF567">
        <f>VLOOKUP($BA567,'[2]Standard DIS'!$Q$1:$X$542,2,FALSE)</f>
        <v>0.88888888888888884</v>
      </c>
      <c r="BH567">
        <f>VLOOKUP($BA567,'[2]Standard DIS'!$Q$1:$X$542,3,FALSE)</f>
        <v>0.11111111111111116</v>
      </c>
      <c r="BI567" s="77">
        <f t="shared" si="1404"/>
        <v>1</v>
      </c>
      <c r="BJ567" s="77">
        <f t="shared" si="1405"/>
        <v>6.3149999999999984E-2</v>
      </c>
      <c r="BK567" s="77">
        <f t="shared" si="1503"/>
        <v>5.1160591879111372E-3</v>
      </c>
      <c r="BL567" s="79">
        <v>0</v>
      </c>
      <c r="BM567" s="77">
        <f t="shared" si="1421"/>
        <v>0</v>
      </c>
      <c r="BN567" s="77">
        <f t="shared" si="1422"/>
        <v>0</v>
      </c>
      <c r="BO567" s="77">
        <f t="shared" si="1423"/>
        <v>2.5000000000000001E-3</v>
      </c>
      <c r="BP567" s="77">
        <f t="shared" si="1424"/>
        <v>2.0809499864316017E-4</v>
      </c>
    </row>
    <row r="568" spans="1:68">
      <c r="A568" t="s">
        <v>175</v>
      </c>
      <c r="B568" t="s">
        <v>179</v>
      </c>
      <c r="C568" s="197" t="str">
        <f t="shared" si="1465"/>
        <v>Lifecycle_Dynamic_519</v>
      </c>
      <c r="D568">
        <v>519</v>
      </c>
      <c r="E568">
        <f>VLOOKUP($D568,'[2]LC Dynamic'!$Q$2:$U$542,2,FALSE)</f>
        <v>0</v>
      </c>
      <c r="F568">
        <f>VLOOKUP($D568,'[2]LC Dynamic'!$Q$2:$U$542,3,FALSE)</f>
        <v>0</v>
      </c>
      <c r="G568">
        <f>VLOOKUP($D568,'[2]LC Dynamic'!$Q$2:$U$542,4,FALSE)</f>
        <v>0.308</v>
      </c>
      <c r="H568">
        <f>VLOOKUP($D568,'[2]LC Dynamic'!$Q$2:$U$542,5,FALSE)</f>
        <v>0.69199999999999995</v>
      </c>
      <c r="I568" s="77">
        <f t="shared" si="1389"/>
        <v>1</v>
      </c>
      <c r="J568" s="77">
        <f t="shared" si="1390"/>
        <v>6.9728499999999985E-2</v>
      </c>
      <c r="K568" s="77">
        <f t="shared" si="1475"/>
        <v>5.632878498097682E-3</v>
      </c>
      <c r="L568" s="76">
        <v>0</v>
      </c>
      <c r="M568" s="77">
        <f t="shared" si="1408"/>
        <v>0</v>
      </c>
      <c r="N568" s="77">
        <f t="shared" si="1409"/>
        <v>0</v>
      </c>
      <c r="O568" s="77">
        <f t="shared" si="1410"/>
        <v>5.6775999999999997E-3</v>
      </c>
      <c r="P568" s="77">
        <f t="shared" si="1411"/>
        <v>4.7436902124819991E-4</v>
      </c>
      <c r="R568" t="s">
        <v>177</v>
      </c>
      <c r="S568" t="s">
        <v>179</v>
      </c>
      <c r="T568" s="197" t="str">
        <f t="shared" si="1467"/>
        <v>Autopilot_Dynamic_519</v>
      </c>
      <c r="U568">
        <v>519</v>
      </c>
      <c r="V568">
        <f>VLOOKUP($U568,'[2]AP Dynamic'!$Q$1:$T$542,2,FALSE)</f>
        <v>0.88888888888888884</v>
      </c>
      <c r="W568">
        <f>VLOOKUP($U568,'[2]AP Dynamic'!$Q$1:$T$542,3,FALSE)</f>
        <v>0.11111111111111116</v>
      </c>
      <c r="X568">
        <f>VLOOKUP($U568,'[2]AP Dynamic'!$Q$1:$T$542,4,FALSE)</f>
        <v>0</v>
      </c>
      <c r="Y568" s="77">
        <f t="shared" si="1468"/>
        <v>1</v>
      </c>
      <c r="Z568" s="77">
        <f t="shared" si="1476"/>
        <v>6.3149999999999984E-2</v>
      </c>
      <c r="AA568" s="77">
        <f t="shared" si="1477"/>
        <v>5.1160591879111372E-3</v>
      </c>
      <c r="AB568" s="79">
        <v>1</v>
      </c>
      <c r="AC568" s="77">
        <f t="shared" si="1412"/>
        <v>8.277777777777778E-3</v>
      </c>
      <c r="AD568" s="77">
        <f t="shared" ref="AD568" si="1512">1-(1-AC568)^(1/12)</f>
        <v>6.9244588451522482E-4</v>
      </c>
      <c r="AE568" s="77">
        <f t="shared" si="1414"/>
        <v>2.5000000000000001E-3</v>
      </c>
      <c r="AF568" s="77">
        <f t="shared" ref="AF568" si="1513">1-(1-AE568)^(1/12)</f>
        <v>2.0857243058891584E-4</v>
      </c>
      <c r="AH568" t="s">
        <v>175</v>
      </c>
      <c r="AI568" t="s">
        <v>179</v>
      </c>
      <c r="AJ568" s="197" t="str">
        <f t="shared" si="1398"/>
        <v>Lifecycle_Dynamic_519</v>
      </c>
      <c r="AK568">
        <v>519</v>
      </c>
      <c r="AL568">
        <f>VLOOKUP($U568,[2]Standard_Dynamic!$Q$1:$T$542,2,FALSE)</f>
        <v>0.88888888888888884</v>
      </c>
      <c r="AM568">
        <f>VLOOKUP($U568,[2]Standard_Dynamic!$Q$1:$T$542,3,FALSE)</f>
        <v>0.11111111111111116</v>
      </c>
      <c r="AN568">
        <f>VLOOKUP($U568,[2]Standard_Dynamic!$Q$1:$T$542,4,FALSE)</f>
        <v>0</v>
      </c>
      <c r="AO568" s="77">
        <f t="shared" si="1399"/>
        <v>1</v>
      </c>
      <c r="AP568" s="77">
        <f t="shared" si="1416"/>
        <v>6.3149999999999984E-2</v>
      </c>
      <c r="AQ568" s="77">
        <f t="shared" si="1400"/>
        <v>5.1160591879111372E-3</v>
      </c>
      <c r="AR568" s="79">
        <v>0</v>
      </c>
      <c r="AS568" s="77">
        <f t="shared" si="1417"/>
        <v>0</v>
      </c>
      <c r="AT568" s="77">
        <f t="shared" ref="AT568" si="1514">1-(1-AS568)^(1/12)</f>
        <v>0</v>
      </c>
      <c r="AU568" s="77">
        <f t="shared" si="1419"/>
        <v>2.5000000000000001E-3</v>
      </c>
      <c r="AV568" s="77">
        <f t="shared" ref="AV568" si="1515">1-(1-AU568)^(1/12)</f>
        <v>2.0857243058891584E-4</v>
      </c>
      <c r="AX568" t="s">
        <v>178</v>
      </c>
      <c r="AY568" t="s">
        <v>162</v>
      </c>
      <c r="AZ568" s="197" t="str">
        <f t="shared" si="1502"/>
        <v>DIS_Standard_519</v>
      </c>
      <c r="BA568">
        <v>519</v>
      </c>
      <c r="BB568">
        <f>VLOOKUP($BA568,'[2]Standard DIS'!$Q$1:$X$542,4,FALSE)</f>
        <v>0</v>
      </c>
      <c r="BF568">
        <f>VLOOKUP($BA568,'[2]Standard DIS'!$Q$1:$X$542,2,FALSE)</f>
        <v>0.88888888888888884</v>
      </c>
      <c r="BH568">
        <f>VLOOKUP($BA568,'[2]Standard DIS'!$Q$1:$X$542,3,FALSE)</f>
        <v>0.11111111111111116</v>
      </c>
      <c r="BI568" s="77">
        <f t="shared" si="1404"/>
        <v>1</v>
      </c>
      <c r="BJ568" s="77">
        <f t="shared" si="1405"/>
        <v>6.3149999999999984E-2</v>
      </c>
      <c r="BK568" s="77">
        <f t="shared" si="1503"/>
        <v>5.1160591879111372E-3</v>
      </c>
      <c r="BL568" s="79">
        <v>0</v>
      </c>
      <c r="BM568" s="77">
        <f t="shared" si="1421"/>
        <v>0</v>
      </c>
      <c r="BN568" s="77">
        <f t="shared" si="1422"/>
        <v>0</v>
      </c>
      <c r="BO568" s="77">
        <f t="shared" si="1423"/>
        <v>2.5000000000000001E-3</v>
      </c>
      <c r="BP568" s="77">
        <f t="shared" si="1424"/>
        <v>2.0809499864316017E-4</v>
      </c>
    </row>
    <row r="569" spans="1:68">
      <c r="A569" t="s">
        <v>175</v>
      </c>
      <c r="B569" t="s">
        <v>179</v>
      </c>
      <c r="C569" s="197" t="str">
        <f t="shared" si="1465"/>
        <v>Lifecycle_Dynamic_518</v>
      </c>
      <c r="D569">
        <v>518</v>
      </c>
      <c r="E569">
        <f>VLOOKUP($D569,'[2]LC Dynamic'!$Q$2:$U$542,2,FALSE)</f>
        <v>0</v>
      </c>
      <c r="F569">
        <f>VLOOKUP($D569,'[2]LC Dynamic'!$Q$2:$U$542,3,FALSE)</f>
        <v>0</v>
      </c>
      <c r="G569">
        <f>VLOOKUP($D569,'[2]LC Dynamic'!$Q$2:$U$542,4,FALSE)</f>
        <v>0.308</v>
      </c>
      <c r="H569">
        <f>VLOOKUP($D569,'[2]LC Dynamic'!$Q$2:$U$542,5,FALSE)</f>
        <v>0.69199999999999995</v>
      </c>
      <c r="I569" s="77">
        <f t="shared" si="1389"/>
        <v>1</v>
      </c>
      <c r="J569" s="77">
        <f t="shared" si="1390"/>
        <v>6.9728499999999985E-2</v>
      </c>
      <c r="K569" s="77">
        <f t="shared" si="1475"/>
        <v>5.632878498097682E-3</v>
      </c>
      <c r="L569" s="76">
        <v>0</v>
      </c>
      <c r="M569" s="77">
        <f t="shared" si="1408"/>
        <v>0</v>
      </c>
      <c r="N569" s="77">
        <f t="shared" si="1409"/>
        <v>0</v>
      </c>
      <c r="O569" s="77">
        <f t="shared" si="1410"/>
        <v>5.6775999999999997E-3</v>
      </c>
      <c r="P569" s="77">
        <f t="shared" si="1411"/>
        <v>4.7436902124819991E-4</v>
      </c>
      <c r="R569" t="s">
        <v>177</v>
      </c>
      <c r="S569" t="s">
        <v>179</v>
      </c>
      <c r="T569" s="197" t="str">
        <f t="shared" si="1467"/>
        <v>Autopilot_Dynamic_518</v>
      </c>
      <c r="U569">
        <v>518</v>
      </c>
      <c r="V569">
        <f>VLOOKUP($U569,'[2]AP Dynamic'!$Q$1:$T$542,2,FALSE)</f>
        <v>0.88888888888888884</v>
      </c>
      <c r="W569">
        <f>VLOOKUP($U569,'[2]AP Dynamic'!$Q$1:$T$542,3,FALSE)</f>
        <v>0.11111111111111116</v>
      </c>
      <c r="X569">
        <f>VLOOKUP($U569,'[2]AP Dynamic'!$Q$1:$T$542,4,FALSE)</f>
        <v>0</v>
      </c>
      <c r="Y569" s="77">
        <f t="shared" si="1468"/>
        <v>1</v>
      </c>
      <c r="Z569" s="77">
        <f t="shared" si="1476"/>
        <v>6.3149999999999984E-2</v>
      </c>
      <c r="AA569" s="77">
        <f t="shared" si="1477"/>
        <v>5.1160591879111372E-3</v>
      </c>
      <c r="AB569" s="79">
        <v>1</v>
      </c>
      <c r="AC569" s="77">
        <f t="shared" si="1412"/>
        <v>8.277777777777778E-3</v>
      </c>
      <c r="AD569" s="77">
        <f t="shared" ref="AD569" si="1516">1-(1-AC569)^(1/12)</f>
        <v>6.9244588451522482E-4</v>
      </c>
      <c r="AE569" s="77">
        <f t="shared" si="1414"/>
        <v>2.5000000000000001E-3</v>
      </c>
      <c r="AF569" s="77">
        <f t="shared" ref="AF569" si="1517">1-(1-AE569)^(1/12)</f>
        <v>2.0857243058891584E-4</v>
      </c>
      <c r="AH569" t="s">
        <v>175</v>
      </c>
      <c r="AI569" t="s">
        <v>179</v>
      </c>
      <c r="AJ569" s="197" t="str">
        <f t="shared" si="1398"/>
        <v>Lifecycle_Dynamic_518</v>
      </c>
      <c r="AK569">
        <v>518</v>
      </c>
      <c r="AL569">
        <f>VLOOKUP($U569,[2]Standard_Dynamic!$Q$1:$T$542,2,FALSE)</f>
        <v>0.88888888888888884</v>
      </c>
      <c r="AM569">
        <f>VLOOKUP($U569,[2]Standard_Dynamic!$Q$1:$T$542,3,FALSE)</f>
        <v>0.11111111111111116</v>
      </c>
      <c r="AN569">
        <f>VLOOKUP($U569,[2]Standard_Dynamic!$Q$1:$T$542,4,FALSE)</f>
        <v>0</v>
      </c>
      <c r="AO569" s="77">
        <f t="shared" si="1399"/>
        <v>1</v>
      </c>
      <c r="AP569" s="77">
        <f t="shared" si="1416"/>
        <v>6.3149999999999984E-2</v>
      </c>
      <c r="AQ569" s="77">
        <f t="shared" si="1400"/>
        <v>5.1160591879111372E-3</v>
      </c>
      <c r="AR569" s="79">
        <v>0</v>
      </c>
      <c r="AS569" s="77">
        <f t="shared" si="1417"/>
        <v>0</v>
      </c>
      <c r="AT569" s="77">
        <f t="shared" ref="AT569" si="1518">1-(1-AS569)^(1/12)</f>
        <v>0</v>
      </c>
      <c r="AU569" s="77">
        <f t="shared" si="1419"/>
        <v>2.5000000000000001E-3</v>
      </c>
      <c r="AV569" s="77">
        <f t="shared" ref="AV569" si="1519">1-(1-AU569)^(1/12)</f>
        <v>2.0857243058891584E-4</v>
      </c>
      <c r="AX569" t="s">
        <v>178</v>
      </c>
      <c r="AY569" t="s">
        <v>162</v>
      </c>
      <c r="AZ569" s="197" t="str">
        <f t="shared" si="1502"/>
        <v>DIS_Standard_518</v>
      </c>
      <c r="BA569">
        <v>518</v>
      </c>
      <c r="BB569">
        <f>VLOOKUP($BA569,'[2]Standard DIS'!$Q$1:$X$542,4,FALSE)</f>
        <v>0</v>
      </c>
      <c r="BF569">
        <f>VLOOKUP($BA569,'[2]Standard DIS'!$Q$1:$X$542,2,FALSE)</f>
        <v>0.88888888888888884</v>
      </c>
      <c r="BH569">
        <f>VLOOKUP($BA569,'[2]Standard DIS'!$Q$1:$X$542,3,FALSE)</f>
        <v>0.11111111111111116</v>
      </c>
      <c r="BI569" s="77">
        <f t="shared" si="1404"/>
        <v>1</v>
      </c>
      <c r="BJ569" s="77">
        <f t="shared" si="1405"/>
        <v>6.3149999999999984E-2</v>
      </c>
      <c r="BK569" s="77">
        <f t="shared" si="1503"/>
        <v>5.1160591879111372E-3</v>
      </c>
      <c r="BL569" s="79">
        <v>0</v>
      </c>
      <c r="BM569" s="77">
        <f t="shared" si="1421"/>
        <v>0</v>
      </c>
      <c r="BN569" s="77">
        <f t="shared" si="1422"/>
        <v>0</v>
      </c>
      <c r="BO569" s="77">
        <f t="shared" si="1423"/>
        <v>2.5000000000000001E-3</v>
      </c>
      <c r="BP569" s="77">
        <f t="shared" si="1424"/>
        <v>2.0809499864316017E-4</v>
      </c>
    </row>
    <row r="570" spans="1:68">
      <c r="A570" t="s">
        <v>175</v>
      </c>
      <c r="B570" t="s">
        <v>179</v>
      </c>
      <c r="C570" s="197" t="str">
        <f t="shared" si="1465"/>
        <v>Lifecycle_Dynamic_517</v>
      </c>
      <c r="D570">
        <v>517</v>
      </c>
      <c r="E570">
        <f>VLOOKUP($D570,'[2]LC Dynamic'!$Q$2:$U$542,2,FALSE)</f>
        <v>0</v>
      </c>
      <c r="F570">
        <f>VLOOKUP($D570,'[2]LC Dynamic'!$Q$2:$U$542,3,FALSE)</f>
        <v>0</v>
      </c>
      <c r="G570">
        <f>VLOOKUP($D570,'[2]LC Dynamic'!$Q$2:$U$542,4,FALSE)</f>
        <v>0.308</v>
      </c>
      <c r="H570">
        <f>VLOOKUP($D570,'[2]LC Dynamic'!$Q$2:$U$542,5,FALSE)</f>
        <v>0.69199999999999995</v>
      </c>
      <c r="I570" s="77">
        <f t="shared" si="1389"/>
        <v>1</v>
      </c>
      <c r="J570" s="77">
        <f t="shared" si="1390"/>
        <v>6.9728499999999985E-2</v>
      </c>
      <c r="K570" s="77">
        <f t="shared" si="1475"/>
        <v>5.632878498097682E-3</v>
      </c>
      <c r="L570" s="76">
        <v>0</v>
      </c>
      <c r="M570" s="77">
        <f t="shared" si="1408"/>
        <v>0</v>
      </c>
      <c r="N570" s="77">
        <f t="shared" si="1409"/>
        <v>0</v>
      </c>
      <c r="O570" s="77">
        <f t="shared" si="1410"/>
        <v>5.6775999999999997E-3</v>
      </c>
      <c r="P570" s="77">
        <f t="shared" si="1411"/>
        <v>4.7436902124819991E-4</v>
      </c>
      <c r="R570" t="s">
        <v>177</v>
      </c>
      <c r="S570" t="s">
        <v>179</v>
      </c>
      <c r="T570" s="197" t="str">
        <f t="shared" si="1467"/>
        <v>Autopilot_Dynamic_517</v>
      </c>
      <c r="U570">
        <v>517</v>
      </c>
      <c r="V570">
        <f>VLOOKUP($U570,'[2]AP Dynamic'!$Q$1:$T$542,2,FALSE)</f>
        <v>0.88888888888888884</v>
      </c>
      <c r="W570">
        <f>VLOOKUP($U570,'[2]AP Dynamic'!$Q$1:$T$542,3,FALSE)</f>
        <v>0.11111111111111116</v>
      </c>
      <c r="X570">
        <f>VLOOKUP($U570,'[2]AP Dynamic'!$Q$1:$T$542,4,FALSE)</f>
        <v>0</v>
      </c>
      <c r="Y570" s="77">
        <f t="shared" si="1468"/>
        <v>1</v>
      </c>
      <c r="Z570" s="77">
        <f t="shared" si="1476"/>
        <v>6.3149999999999984E-2</v>
      </c>
      <c r="AA570" s="77">
        <f t="shared" si="1477"/>
        <v>5.1160591879111372E-3</v>
      </c>
      <c r="AB570" s="79">
        <v>1</v>
      </c>
      <c r="AC570" s="77">
        <f t="shared" si="1412"/>
        <v>8.277777777777778E-3</v>
      </c>
      <c r="AD570" s="77">
        <f t="shared" ref="AD570" si="1520">1-(1-AC570)^(1/12)</f>
        <v>6.9244588451522482E-4</v>
      </c>
      <c r="AE570" s="77">
        <f t="shared" si="1414"/>
        <v>2.5000000000000001E-3</v>
      </c>
      <c r="AF570" s="77">
        <f t="shared" ref="AF570" si="1521">1-(1-AE570)^(1/12)</f>
        <v>2.0857243058891584E-4</v>
      </c>
      <c r="AH570" t="s">
        <v>175</v>
      </c>
      <c r="AI570" t="s">
        <v>179</v>
      </c>
      <c r="AJ570" s="197" t="str">
        <f t="shared" si="1398"/>
        <v>Lifecycle_Dynamic_517</v>
      </c>
      <c r="AK570">
        <v>517</v>
      </c>
      <c r="AL570">
        <f>VLOOKUP($U570,[2]Standard_Dynamic!$Q$1:$T$542,2,FALSE)</f>
        <v>0.88888888888888884</v>
      </c>
      <c r="AM570">
        <f>VLOOKUP($U570,[2]Standard_Dynamic!$Q$1:$T$542,3,FALSE)</f>
        <v>0.11111111111111116</v>
      </c>
      <c r="AN570">
        <f>VLOOKUP($U570,[2]Standard_Dynamic!$Q$1:$T$542,4,FALSE)</f>
        <v>0</v>
      </c>
      <c r="AO570" s="77">
        <f t="shared" si="1399"/>
        <v>1</v>
      </c>
      <c r="AP570" s="77">
        <f t="shared" si="1416"/>
        <v>6.3149999999999984E-2</v>
      </c>
      <c r="AQ570" s="77">
        <f t="shared" si="1400"/>
        <v>5.1160591879111372E-3</v>
      </c>
      <c r="AR570" s="79">
        <v>0</v>
      </c>
      <c r="AS570" s="77">
        <f t="shared" si="1417"/>
        <v>0</v>
      </c>
      <c r="AT570" s="77">
        <f t="shared" ref="AT570" si="1522">1-(1-AS570)^(1/12)</f>
        <v>0</v>
      </c>
      <c r="AU570" s="77">
        <f t="shared" si="1419"/>
        <v>2.5000000000000001E-3</v>
      </c>
      <c r="AV570" s="77">
        <f t="shared" ref="AV570" si="1523">1-(1-AU570)^(1/12)</f>
        <v>2.0857243058891584E-4</v>
      </c>
      <c r="AX570" t="s">
        <v>178</v>
      </c>
      <c r="AY570" t="s">
        <v>162</v>
      </c>
      <c r="AZ570" s="197" t="str">
        <f t="shared" si="1502"/>
        <v>DIS_Standard_517</v>
      </c>
      <c r="BA570">
        <v>517</v>
      </c>
      <c r="BB570">
        <f>VLOOKUP($BA570,'[2]Standard DIS'!$Q$1:$X$542,4,FALSE)</f>
        <v>0</v>
      </c>
      <c r="BF570">
        <f>VLOOKUP($BA570,'[2]Standard DIS'!$Q$1:$X$542,2,FALSE)</f>
        <v>0.88888888888888884</v>
      </c>
      <c r="BH570">
        <f>VLOOKUP($BA570,'[2]Standard DIS'!$Q$1:$X$542,3,FALSE)</f>
        <v>0.11111111111111116</v>
      </c>
      <c r="BI570" s="77">
        <f t="shared" si="1404"/>
        <v>1</v>
      </c>
      <c r="BJ570" s="77">
        <f t="shared" si="1405"/>
        <v>6.3149999999999984E-2</v>
      </c>
      <c r="BK570" s="77">
        <f t="shared" si="1503"/>
        <v>5.1160591879111372E-3</v>
      </c>
      <c r="BL570" s="79">
        <v>0</v>
      </c>
      <c r="BM570" s="77">
        <f t="shared" si="1421"/>
        <v>0</v>
      </c>
      <c r="BN570" s="77">
        <f t="shared" si="1422"/>
        <v>0</v>
      </c>
      <c r="BO570" s="77">
        <f t="shared" si="1423"/>
        <v>2.5000000000000001E-3</v>
      </c>
      <c r="BP570" s="77">
        <f t="shared" si="1424"/>
        <v>2.0809499864316017E-4</v>
      </c>
    </row>
    <row r="571" spans="1:68">
      <c r="A571" t="s">
        <v>175</v>
      </c>
      <c r="B571" t="s">
        <v>179</v>
      </c>
      <c r="C571" s="197" t="str">
        <f t="shared" si="1465"/>
        <v>Lifecycle_Dynamic_516</v>
      </c>
      <c r="D571">
        <v>516</v>
      </c>
      <c r="E571">
        <f>VLOOKUP($D571,'[2]LC Dynamic'!$Q$2:$U$542,2,FALSE)</f>
        <v>0</v>
      </c>
      <c r="F571">
        <f>VLOOKUP($D571,'[2]LC Dynamic'!$Q$2:$U$542,3,FALSE)</f>
        <v>0</v>
      </c>
      <c r="G571">
        <f>VLOOKUP($D571,'[2]LC Dynamic'!$Q$2:$U$542,4,FALSE)</f>
        <v>0.308</v>
      </c>
      <c r="H571">
        <f>VLOOKUP($D571,'[2]LC Dynamic'!$Q$2:$U$542,5,FALSE)</f>
        <v>0.69199999999999995</v>
      </c>
      <c r="I571" s="77">
        <f t="shared" si="1389"/>
        <v>1</v>
      </c>
      <c r="J571" s="77">
        <f t="shared" si="1390"/>
        <v>6.9728499999999985E-2</v>
      </c>
      <c r="K571" s="77">
        <f t="shared" si="1475"/>
        <v>5.632878498097682E-3</v>
      </c>
      <c r="L571" s="76">
        <v>0</v>
      </c>
      <c r="M571" s="77">
        <f t="shared" si="1408"/>
        <v>0</v>
      </c>
      <c r="N571" s="77">
        <f t="shared" si="1409"/>
        <v>0</v>
      </c>
      <c r="O571" s="77">
        <f t="shared" si="1410"/>
        <v>5.6775999999999997E-3</v>
      </c>
      <c r="P571" s="77">
        <f t="shared" si="1411"/>
        <v>4.7436902124819991E-4</v>
      </c>
      <c r="R571" t="s">
        <v>177</v>
      </c>
      <c r="S571" t="s">
        <v>179</v>
      </c>
      <c r="T571" s="197" t="str">
        <f t="shared" si="1467"/>
        <v>Autopilot_Dynamic_516</v>
      </c>
      <c r="U571">
        <v>516</v>
      </c>
      <c r="V571">
        <f>VLOOKUP($U571,'[2]AP Dynamic'!$Q$1:$T$542,2,FALSE)</f>
        <v>0.88888888888888884</v>
      </c>
      <c r="W571">
        <f>VLOOKUP($U571,'[2]AP Dynamic'!$Q$1:$T$542,3,FALSE)</f>
        <v>0.11111111111111116</v>
      </c>
      <c r="X571">
        <f>VLOOKUP($U571,'[2]AP Dynamic'!$Q$1:$T$542,4,FALSE)</f>
        <v>0</v>
      </c>
      <c r="Y571" s="77">
        <f t="shared" si="1468"/>
        <v>1</v>
      </c>
      <c r="Z571" s="77">
        <f t="shared" si="1476"/>
        <v>6.3149999999999984E-2</v>
      </c>
      <c r="AA571" s="77">
        <f t="shared" si="1477"/>
        <v>5.1160591879111372E-3</v>
      </c>
      <c r="AB571" s="79">
        <v>1</v>
      </c>
      <c r="AC571" s="77">
        <f t="shared" si="1412"/>
        <v>8.277777777777778E-3</v>
      </c>
      <c r="AD571" s="77">
        <f t="shared" ref="AD571" si="1524">1-(1-AC571)^(1/12)</f>
        <v>6.9244588451522482E-4</v>
      </c>
      <c r="AE571" s="77">
        <f t="shared" si="1414"/>
        <v>2.5000000000000001E-3</v>
      </c>
      <c r="AF571" s="77">
        <f t="shared" ref="AF571" si="1525">1-(1-AE571)^(1/12)</f>
        <v>2.0857243058891584E-4</v>
      </c>
      <c r="AH571" t="s">
        <v>175</v>
      </c>
      <c r="AI571" t="s">
        <v>179</v>
      </c>
      <c r="AJ571" s="197" t="str">
        <f t="shared" si="1398"/>
        <v>Lifecycle_Dynamic_516</v>
      </c>
      <c r="AK571">
        <v>516</v>
      </c>
      <c r="AL571">
        <f>VLOOKUP($U571,[2]Standard_Dynamic!$Q$1:$T$542,2,FALSE)</f>
        <v>0.88888888888888884</v>
      </c>
      <c r="AM571">
        <f>VLOOKUP($U571,[2]Standard_Dynamic!$Q$1:$T$542,3,FALSE)</f>
        <v>0.11111111111111116</v>
      </c>
      <c r="AN571">
        <f>VLOOKUP($U571,[2]Standard_Dynamic!$Q$1:$T$542,4,FALSE)</f>
        <v>0</v>
      </c>
      <c r="AO571" s="77">
        <f t="shared" si="1399"/>
        <v>1</v>
      </c>
      <c r="AP571" s="77">
        <f t="shared" si="1416"/>
        <v>6.3149999999999984E-2</v>
      </c>
      <c r="AQ571" s="77">
        <f t="shared" si="1400"/>
        <v>5.1160591879111372E-3</v>
      </c>
      <c r="AR571" s="79">
        <v>0</v>
      </c>
      <c r="AS571" s="77">
        <f t="shared" si="1417"/>
        <v>0</v>
      </c>
      <c r="AT571" s="77">
        <f t="shared" ref="AT571" si="1526">1-(1-AS571)^(1/12)</f>
        <v>0</v>
      </c>
      <c r="AU571" s="77">
        <f t="shared" si="1419"/>
        <v>2.5000000000000001E-3</v>
      </c>
      <c r="AV571" s="77">
        <f t="shared" ref="AV571" si="1527">1-(1-AU571)^(1/12)</f>
        <v>2.0857243058891584E-4</v>
      </c>
      <c r="AX571" t="s">
        <v>178</v>
      </c>
      <c r="AY571" t="s">
        <v>162</v>
      </c>
      <c r="AZ571" s="197" t="str">
        <f t="shared" si="1502"/>
        <v>DIS_Standard_516</v>
      </c>
      <c r="BA571">
        <v>516</v>
      </c>
      <c r="BB571">
        <f>VLOOKUP($BA571,'[2]Standard DIS'!$Q$1:$X$542,4,FALSE)</f>
        <v>0</v>
      </c>
      <c r="BF571">
        <f>VLOOKUP($BA571,'[2]Standard DIS'!$Q$1:$X$542,2,FALSE)</f>
        <v>0.88888888888888884</v>
      </c>
      <c r="BH571">
        <f>VLOOKUP($BA571,'[2]Standard DIS'!$Q$1:$X$542,3,FALSE)</f>
        <v>0.11111111111111116</v>
      </c>
      <c r="BI571" s="77">
        <f t="shared" si="1404"/>
        <v>1</v>
      </c>
      <c r="BJ571" s="77">
        <f t="shared" si="1405"/>
        <v>6.3149999999999984E-2</v>
      </c>
      <c r="BK571" s="77">
        <f t="shared" si="1503"/>
        <v>5.1160591879111372E-3</v>
      </c>
      <c r="BL571" s="79">
        <v>0</v>
      </c>
      <c r="BM571" s="77">
        <f t="shared" si="1421"/>
        <v>0</v>
      </c>
      <c r="BN571" s="77">
        <f t="shared" si="1422"/>
        <v>0</v>
      </c>
      <c r="BO571" s="77">
        <f t="shared" si="1423"/>
        <v>2.5000000000000001E-3</v>
      </c>
      <c r="BP571" s="77">
        <f t="shared" si="1424"/>
        <v>2.0809499864316017E-4</v>
      </c>
    </row>
    <row r="572" spans="1:68">
      <c r="A572" t="s">
        <v>175</v>
      </c>
      <c r="B572" t="s">
        <v>179</v>
      </c>
      <c r="C572" s="197" t="str">
        <f t="shared" si="1465"/>
        <v>Lifecycle_Dynamic_515</v>
      </c>
      <c r="D572">
        <v>515</v>
      </c>
      <c r="E572">
        <f>VLOOKUP($D572,'[2]LC Dynamic'!$Q$2:$U$542,2,FALSE)</f>
        <v>0</v>
      </c>
      <c r="F572">
        <f>VLOOKUP($D572,'[2]LC Dynamic'!$Q$2:$U$542,3,FALSE)</f>
        <v>0</v>
      </c>
      <c r="G572">
        <f>VLOOKUP($D572,'[2]LC Dynamic'!$Q$2:$U$542,4,FALSE)</f>
        <v>0.308</v>
      </c>
      <c r="H572">
        <f>VLOOKUP($D572,'[2]LC Dynamic'!$Q$2:$U$542,5,FALSE)</f>
        <v>0.69199999999999995</v>
      </c>
      <c r="I572" s="77">
        <f t="shared" si="1389"/>
        <v>1</v>
      </c>
      <c r="J572" s="77">
        <f t="shared" si="1390"/>
        <v>6.9728499999999985E-2</v>
      </c>
      <c r="K572" s="77">
        <f t="shared" si="1475"/>
        <v>5.632878498097682E-3</v>
      </c>
      <c r="L572" s="76">
        <v>0</v>
      </c>
      <c r="M572" s="77">
        <f t="shared" si="1408"/>
        <v>0</v>
      </c>
      <c r="N572" s="77">
        <f t="shared" si="1409"/>
        <v>0</v>
      </c>
      <c r="O572" s="77">
        <f t="shared" si="1410"/>
        <v>5.6775999999999997E-3</v>
      </c>
      <c r="P572" s="77">
        <f t="shared" si="1411"/>
        <v>4.7436902124819991E-4</v>
      </c>
      <c r="R572" t="s">
        <v>177</v>
      </c>
      <c r="S572" t="s">
        <v>179</v>
      </c>
      <c r="T572" s="197" t="str">
        <f t="shared" si="1467"/>
        <v>Autopilot_Dynamic_515</v>
      </c>
      <c r="U572">
        <v>515</v>
      </c>
      <c r="V572">
        <f>VLOOKUP($U572,'[2]AP Dynamic'!$Q$1:$T$542,2,FALSE)</f>
        <v>0.88888888888888884</v>
      </c>
      <c r="W572">
        <f>VLOOKUP($U572,'[2]AP Dynamic'!$Q$1:$T$542,3,FALSE)</f>
        <v>0.11111111111111116</v>
      </c>
      <c r="X572">
        <f>VLOOKUP($U572,'[2]AP Dynamic'!$Q$1:$T$542,4,FALSE)</f>
        <v>0</v>
      </c>
      <c r="Y572" s="77">
        <f t="shared" si="1468"/>
        <v>1</v>
      </c>
      <c r="Z572" s="77">
        <f t="shared" si="1476"/>
        <v>6.3149999999999984E-2</v>
      </c>
      <c r="AA572" s="77">
        <f t="shared" si="1477"/>
        <v>5.1160591879111372E-3</v>
      </c>
      <c r="AB572" s="79">
        <v>1</v>
      </c>
      <c r="AC572" s="77">
        <f t="shared" si="1412"/>
        <v>8.277777777777778E-3</v>
      </c>
      <c r="AD572" s="77">
        <f t="shared" ref="AD572" si="1528">1-(1-AC572)^(1/12)</f>
        <v>6.9244588451522482E-4</v>
      </c>
      <c r="AE572" s="77">
        <f t="shared" si="1414"/>
        <v>2.5000000000000001E-3</v>
      </c>
      <c r="AF572" s="77">
        <f t="shared" ref="AF572" si="1529">1-(1-AE572)^(1/12)</f>
        <v>2.0857243058891584E-4</v>
      </c>
      <c r="AH572" t="s">
        <v>175</v>
      </c>
      <c r="AI572" t="s">
        <v>179</v>
      </c>
      <c r="AJ572" s="197" t="str">
        <f t="shared" si="1398"/>
        <v>Lifecycle_Dynamic_515</v>
      </c>
      <c r="AK572">
        <v>515</v>
      </c>
      <c r="AL572">
        <f>VLOOKUP($U572,[2]Standard_Dynamic!$Q$1:$T$542,2,FALSE)</f>
        <v>0.88888888888888884</v>
      </c>
      <c r="AM572">
        <f>VLOOKUP($U572,[2]Standard_Dynamic!$Q$1:$T$542,3,FALSE)</f>
        <v>0.11111111111111116</v>
      </c>
      <c r="AN572">
        <f>VLOOKUP($U572,[2]Standard_Dynamic!$Q$1:$T$542,4,FALSE)</f>
        <v>0</v>
      </c>
      <c r="AO572" s="77">
        <f t="shared" si="1399"/>
        <v>1</v>
      </c>
      <c r="AP572" s="77">
        <f t="shared" si="1416"/>
        <v>6.3149999999999984E-2</v>
      </c>
      <c r="AQ572" s="77">
        <f t="shared" si="1400"/>
        <v>5.1160591879111372E-3</v>
      </c>
      <c r="AR572" s="79">
        <v>0</v>
      </c>
      <c r="AS572" s="77">
        <f t="shared" si="1417"/>
        <v>0</v>
      </c>
      <c r="AT572" s="77">
        <f t="shared" ref="AT572" si="1530">1-(1-AS572)^(1/12)</f>
        <v>0</v>
      </c>
      <c r="AU572" s="77">
        <f t="shared" si="1419"/>
        <v>2.5000000000000001E-3</v>
      </c>
      <c r="AV572" s="77">
        <f t="shared" ref="AV572" si="1531">1-(1-AU572)^(1/12)</f>
        <v>2.0857243058891584E-4</v>
      </c>
      <c r="AX572" t="s">
        <v>178</v>
      </c>
      <c r="AY572" t="s">
        <v>162</v>
      </c>
      <c r="AZ572" s="197" t="str">
        <f t="shared" si="1502"/>
        <v>DIS_Standard_515</v>
      </c>
      <c r="BA572">
        <v>515</v>
      </c>
      <c r="BB572">
        <f>VLOOKUP($BA572,'[2]Standard DIS'!$Q$1:$X$542,4,FALSE)</f>
        <v>0</v>
      </c>
      <c r="BF572">
        <f>VLOOKUP($BA572,'[2]Standard DIS'!$Q$1:$X$542,2,FALSE)</f>
        <v>0.88888888888888884</v>
      </c>
      <c r="BH572">
        <f>VLOOKUP($BA572,'[2]Standard DIS'!$Q$1:$X$542,3,FALSE)</f>
        <v>0.11111111111111116</v>
      </c>
      <c r="BI572" s="77">
        <f t="shared" si="1404"/>
        <v>1</v>
      </c>
      <c r="BJ572" s="77">
        <f t="shared" si="1405"/>
        <v>6.3149999999999984E-2</v>
      </c>
      <c r="BK572" s="77">
        <f t="shared" si="1503"/>
        <v>5.1160591879111372E-3</v>
      </c>
      <c r="BL572" s="79">
        <v>0</v>
      </c>
      <c r="BM572" s="77">
        <f t="shared" si="1421"/>
        <v>0</v>
      </c>
      <c r="BN572" s="77">
        <f t="shared" si="1422"/>
        <v>0</v>
      </c>
      <c r="BO572" s="77">
        <f t="shared" si="1423"/>
        <v>2.5000000000000001E-3</v>
      </c>
      <c r="BP572" s="77">
        <f t="shared" si="1424"/>
        <v>2.0809499864316017E-4</v>
      </c>
    </row>
    <row r="573" spans="1:68">
      <c r="A573" t="s">
        <v>175</v>
      </c>
      <c r="B573" t="s">
        <v>179</v>
      </c>
      <c r="C573" s="197" t="str">
        <f t="shared" si="1465"/>
        <v>Lifecycle_Dynamic_514</v>
      </c>
      <c r="D573">
        <v>514</v>
      </c>
      <c r="E573">
        <f>VLOOKUP($D573,'[2]LC Dynamic'!$Q$2:$U$542,2,FALSE)</f>
        <v>0</v>
      </c>
      <c r="F573">
        <f>VLOOKUP($D573,'[2]LC Dynamic'!$Q$2:$U$542,3,FALSE)</f>
        <v>0</v>
      </c>
      <c r="G573">
        <f>VLOOKUP($D573,'[2]LC Dynamic'!$Q$2:$U$542,4,FALSE)</f>
        <v>0.308</v>
      </c>
      <c r="H573">
        <f>VLOOKUP($D573,'[2]LC Dynamic'!$Q$2:$U$542,5,FALSE)</f>
        <v>0.69199999999999995</v>
      </c>
      <c r="I573" s="77">
        <f t="shared" si="1389"/>
        <v>1</v>
      </c>
      <c r="J573" s="77">
        <f t="shared" si="1390"/>
        <v>6.9728499999999985E-2</v>
      </c>
      <c r="K573" s="77">
        <f t="shared" si="1475"/>
        <v>5.632878498097682E-3</v>
      </c>
      <c r="L573" s="76">
        <v>0</v>
      </c>
      <c r="M573" s="77">
        <f t="shared" si="1408"/>
        <v>0</v>
      </c>
      <c r="N573" s="77">
        <f t="shared" si="1409"/>
        <v>0</v>
      </c>
      <c r="O573" s="77">
        <f t="shared" si="1410"/>
        <v>5.6775999999999997E-3</v>
      </c>
      <c r="P573" s="77">
        <f t="shared" si="1411"/>
        <v>4.7436902124819991E-4</v>
      </c>
      <c r="R573" t="s">
        <v>177</v>
      </c>
      <c r="S573" t="s">
        <v>179</v>
      </c>
      <c r="T573" s="197" t="str">
        <f t="shared" si="1467"/>
        <v>Autopilot_Dynamic_514</v>
      </c>
      <c r="U573">
        <v>514</v>
      </c>
      <c r="V573">
        <f>VLOOKUP($U573,'[2]AP Dynamic'!$Q$1:$T$542,2,FALSE)</f>
        <v>0.88888888888888884</v>
      </c>
      <c r="W573">
        <f>VLOOKUP($U573,'[2]AP Dynamic'!$Q$1:$T$542,3,FALSE)</f>
        <v>0.11111111111111116</v>
      </c>
      <c r="X573">
        <f>VLOOKUP($U573,'[2]AP Dynamic'!$Q$1:$T$542,4,FALSE)</f>
        <v>0</v>
      </c>
      <c r="Y573" s="77">
        <f t="shared" si="1468"/>
        <v>1</v>
      </c>
      <c r="Z573" s="77">
        <f t="shared" si="1476"/>
        <v>6.3149999999999984E-2</v>
      </c>
      <c r="AA573" s="77">
        <f t="shared" si="1477"/>
        <v>5.1160591879111372E-3</v>
      </c>
      <c r="AB573" s="79">
        <v>1</v>
      </c>
      <c r="AC573" s="77">
        <f t="shared" si="1412"/>
        <v>8.277777777777778E-3</v>
      </c>
      <c r="AD573" s="77">
        <f t="shared" ref="AD573" si="1532">1-(1-AC573)^(1/12)</f>
        <v>6.9244588451522482E-4</v>
      </c>
      <c r="AE573" s="77">
        <f t="shared" si="1414"/>
        <v>2.5000000000000001E-3</v>
      </c>
      <c r="AF573" s="77">
        <f t="shared" ref="AF573" si="1533">1-(1-AE573)^(1/12)</f>
        <v>2.0857243058891584E-4</v>
      </c>
      <c r="AH573" t="s">
        <v>175</v>
      </c>
      <c r="AI573" t="s">
        <v>179</v>
      </c>
      <c r="AJ573" s="197" t="str">
        <f t="shared" si="1398"/>
        <v>Lifecycle_Dynamic_514</v>
      </c>
      <c r="AK573">
        <v>514</v>
      </c>
      <c r="AL573">
        <f>VLOOKUP($U573,[2]Standard_Dynamic!$Q$1:$T$542,2,FALSE)</f>
        <v>0.88888888888888884</v>
      </c>
      <c r="AM573">
        <f>VLOOKUP($U573,[2]Standard_Dynamic!$Q$1:$T$542,3,FALSE)</f>
        <v>0.11111111111111116</v>
      </c>
      <c r="AN573">
        <f>VLOOKUP($U573,[2]Standard_Dynamic!$Q$1:$T$542,4,FALSE)</f>
        <v>0</v>
      </c>
      <c r="AO573" s="77">
        <f t="shared" si="1399"/>
        <v>1</v>
      </c>
      <c r="AP573" s="77">
        <f t="shared" si="1416"/>
        <v>6.3149999999999984E-2</v>
      </c>
      <c r="AQ573" s="77">
        <f t="shared" si="1400"/>
        <v>5.1160591879111372E-3</v>
      </c>
      <c r="AR573" s="79">
        <v>0</v>
      </c>
      <c r="AS573" s="77">
        <f t="shared" si="1417"/>
        <v>0</v>
      </c>
      <c r="AT573" s="77">
        <f t="shared" ref="AT573" si="1534">1-(1-AS573)^(1/12)</f>
        <v>0</v>
      </c>
      <c r="AU573" s="77">
        <f t="shared" si="1419"/>
        <v>2.5000000000000001E-3</v>
      </c>
      <c r="AV573" s="77">
        <f t="shared" ref="AV573" si="1535">1-(1-AU573)^(1/12)</f>
        <v>2.0857243058891584E-4</v>
      </c>
      <c r="AX573" t="s">
        <v>178</v>
      </c>
      <c r="AY573" t="s">
        <v>162</v>
      </c>
      <c r="AZ573" s="197" t="str">
        <f t="shared" si="1502"/>
        <v>DIS_Standard_514</v>
      </c>
      <c r="BA573">
        <v>514</v>
      </c>
      <c r="BB573">
        <f>VLOOKUP($BA573,'[2]Standard DIS'!$Q$1:$X$542,4,FALSE)</f>
        <v>0</v>
      </c>
      <c r="BF573">
        <f>VLOOKUP($BA573,'[2]Standard DIS'!$Q$1:$X$542,2,FALSE)</f>
        <v>0.88888888888888884</v>
      </c>
      <c r="BH573">
        <f>VLOOKUP($BA573,'[2]Standard DIS'!$Q$1:$X$542,3,FALSE)</f>
        <v>0.11111111111111116</v>
      </c>
      <c r="BI573" s="77">
        <f t="shared" si="1404"/>
        <v>1</v>
      </c>
      <c r="BJ573" s="77">
        <f t="shared" si="1405"/>
        <v>6.3149999999999984E-2</v>
      </c>
      <c r="BK573" s="77">
        <f t="shared" si="1503"/>
        <v>5.1160591879111372E-3</v>
      </c>
      <c r="BL573" s="79">
        <v>0</v>
      </c>
      <c r="BM573" s="77">
        <f t="shared" si="1421"/>
        <v>0</v>
      </c>
      <c r="BN573" s="77">
        <f t="shared" si="1422"/>
        <v>0</v>
      </c>
      <c r="BO573" s="77">
        <f t="shared" si="1423"/>
        <v>2.5000000000000001E-3</v>
      </c>
      <c r="BP573" s="77">
        <f t="shared" si="1424"/>
        <v>2.0809499864316017E-4</v>
      </c>
    </row>
    <row r="574" spans="1:68">
      <c r="A574" t="s">
        <v>175</v>
      </c>
      <c r="B574" t="s">
        <v>179</v>
      </c>
      <c r="C574" s="197" t="str">
        <f t="shared" si="1465"/>
        <v>Lifecycle_Dynamic_513</v>
      </c>
      <c r="D574">
        <v>513</v>
      </c>
      <c r="E574">
        <f>VLOOKUP($D574,'[2]LC Dynamic'!$Q$2:$U$542,2,FALSE)</f>
        <v>0</v>
      </c>
      <c r="F574">
        <f>VLOOKUP($D574,'[2]LC Dynamic'!$Q$2:$U$542,3,FALSE)</f>
        <v>0</v>
      </c>
      <c r="G574">
        <f>VLOOKUP($D574,'[2]LC Dynamic'!$Q$2:$U$542,4,FALSE)</f>
        <v>0.308</v>
      </c>
      <c r="H574">
        <f>VLOOKUP($D574,'[2]LC Dynamic'!$Q$2:$U$542,5,FALSE)</f>
        <v>0.69199999999999995</v>
      </c>
      <c r="I574" s="77">
        <f t="shared" si="1389"/>
        <v>1</v>
      </c>
      <c r="J574" s="77">
        <f t="shared" si="1390"/>
        <v>6.9728499999999985E-2</v>
      </c>
      <c r="K574" s="77">
        <f t="shared" si="1475"/>
        <v>5.632878498097682E-3</v>
      </c>
      <c r="L574" s="76">
        <v>0</v>
      </c>
      <c r="M574" s="77">
        <f t="shared" si="1408"/>
        <v>0</v>
      </c>
      <c r="N574" s="77">
        <f t="shared" si="1409"/>
        <v>0</v>
      </c>
      <c r="O574" s="77">
        <f t="shared" si="1410"/>
        <v>5.6775999999999997E-3</v>
      </c>
      <c r="P574" s="77">
        <f t="shared" si="1411"/>
        <v>4.7436902124819991E-4</v>
      </c>
      <c r="R574" t="s">
        <v>177</v>
      </c>
      <c r="S574" t="s">
        <v>179</v>
      </c>
      <c r="T574" s="197" t="str">
        <f t="shared" si="1467"/>
        <v>Autopilot_Dynamic_513</v>
      </c>
      <c r="U574">
        <v>513</v>
      </c>
      <c r="V574">
        <f>VLOOKUP($U574,'[2]AP Dynamic'!$Q$1:$T$542,2,FALSE)</f>
        <v>0.88888888888888884</v>
      </c>
      <c r="W574">
        <f>VLOOKUP($U574,'[2]AP Dynamic'!$Q$1:$T$542,3,FALSE)</f>
        <v>0.11111111111111116</v>
      </c>
      <c r="X574">
        <f>VLOOKUP($U574,'[2]AP Dynamic'!$Q$1:$T$542,4,FALSE)</f>
        <v>0</v>
      </c>
      <c r="Y574" s="77">
        <f t="shared" si="1468"/>
        <v>1</v>
      </c>
      <c r="Z574" s="77">
        <f t="shared" si="1476"/>
        <v>6.3149999999999984E-2</v>
      </c>
      <c r="AA574" s="77">
        <f t="shared" si="1477"/>
        <v>5.1160591879111372E-3</v>
      </c>
      <c r="AB574" s="79">
        <v>1</v>
      </c>
      <c r="AC574" s="77">
        <f t="shared" si="1412"/>
        <v>8.277777777777778E-3</v>
      </c>
      <c r="AD574" s="77">
        <f t="shared" ref="AD574" si="1536">1-(1-AC574)^(1/12)</f>
        <v>6.9244588451522482E-4</v>
      </c>
      <c r="AE574" s="77">
        <f t="shared" si="1414"/>
        <v>2.5000000000000001E-3</v>
      </c>
      <c r="AF574" s="77">
        <f t="shared" ref="AF574" si="1537">1-(1-AE574)^(1/12)</f>
        <v>2.0857243058891584E-4</v>
      </c>
      <c r="AH574" t="s">
        <v>175</v>
      </c>
      <c r="AI574" t="s">
        <v>179</v>
      </c>
      <c r="AJ574" s="197" t="str">
        <f t="shared" si="1398"/>
        <v>Lifecycle_Dynamic_513</v>
      </c>
      <c r="AK574">
        <v>513</v>
      </c>
      <c r="AL574">
        <f>VLOOKUP($U574,[2]Standard_Dynamic!$Q$1:$T$542,2,FALSE)</f>
        <v>0.88888888888888884</v>
      </c>
      <c r="AM574">
        <f>VLOOKUP($U574,[2]Standard_Dynamic!$Q$1:$T$542,3,FALSE)</f>
        <v>0.11111111111111116</v>
      </c>
      <c r="AN574">
        <f>VLOOKUP($U574,[2]Standard_Dynamic!$Q$1:$T$542,4,FALSE)</f>
        <v>0</v>
      </c>
      <c r="AO574" s="77">
        <f t="shared" si="1399"/>
        <v>1</v>
      </c>
      <c r="AP574" s="77">
        <f t="shared" si="1416"/>
        <v>6.3149999999999984E-2</v>
      </c>
      <c r="AQ574" s="77">
        <f t="shared" si="1400"/>
        <v>5.1160591879111372E-3</v>
      </c>
      <c r="AR574" s="79">
        <v>0</v>
      </c>
      <c r="AS574" s="77">
        <f t="shared" si="1417"/>
        <v>0</v>
      </c>
      <c r="AT574" s="77">
        <f t="shared" ref="AT574" si="1538">1-(1-AS574)^(1/12)</f>
        <v>0</v>
      </c>
      <c r="AU574" s="77">
        <f t="shared" si="1419"/>
        <v>2.5000000000000001E-3</v>
      </c>
      <c r="AV574" s="77">
        <f t="shared" ref="AV574" si="1539">1-(1-AU574)^(1/12)</f>
        <v>2.0857243058891584E-4</v>
      </c>
      <c r="AX574" t="s">
        <v>178</v>
      </c>
      <c r="AY574" t="s">
        <v>162</v>
      </c>
      <c r="AZ574" s="197" t="str">
        <f t="shared" si="1502"/>
        <v>DIS_Standard_513</v>
      </c>
      <c r="BA574">
        <v>513</v>
      </c>
      <c r="BB574">
        <f>VLOOKUP($BA574,'[2]Standard DIS'!$Q$1:$X$542,4,FALSE)</f>
        <v>0</v>
      </c>
      <c r="BF574">
        <f>VLOOKUP($BA574,'[2]Standard DIS'!$Q$1:$X$542,2,FALSE)</f>
        <v>0.88888888888888884</v>
      </c>
      <c r="BH574">
        <f>VLOOKUP($BA574,'[2]Standard DIS'!$Q$1:$X$542,3,FALSE)</f>
        <v>0.11111111111111116</v>
      </c>
      <c r="BI574" s="77">
        <f t="shared" si="1404"/>
        <v>1</v>
      </c>
      <c r="BJ574" s="77">
        <f t="shared" si="1405"/>
        <v>6.3149999999999984E-2</v>
      </c>
      <c r="BK574" s="77">
        <f t="shared" si="1503"/>
        <v>5.1160591879111372E-3</v>
      </c>
      <c r="BL574" s="79">
        <v>0</v>
      </c>
      <c r="BM574" s="77">
        <f t="shared" si="1421"/>
        <v>0</v>
      </c>
      <c r="BN574" s="77">
        <f t="shared" si="1422"/>
        <v>0</v>
      </c>
      <c r="BO574" s="77">
        <f t="shared" si="1423"/>
        <v>2.5000000000000001E-3</v>
      </c>
      <c r="BP574" s="77">
        <f t="shared" si="1424"/>
        <v>2.0809499864316017E-4</v>
      </c>
    </row>
    <row r="575" spans="1:68">
      <c r="A575" t="s">
        <v>175</v>
      </c>
      <c r="B575" t="s">
        <v>179</v>
      </c>
      <c r="C575" s="197" t="str">
        <f t="shared" si="1465"/>
        <v>Lifecycle_Dynamic_512</v>
      </c>
      <c r="D575">
        <v>512</v>
      </c>
      <c r="E575">
        <f>VLOOKUP($D575,'[2]LC Dynamic'!$Q$2:$U$542,2,FALSE)</f>
        <v>0</v>
      </c>
      <c r="F575">
        <f>VLOOKUP($D575,'[2]LC Dynamic'!$Q$2:$U$542,3,FALSE)</f>
        <v>0</v>
      </c>
      <c r="G575">
        <f>VLOOKUP($D575,'[2]LC Dynamic'!$Q$2:$U$542,4,FALSE)</f>
        <v>0.308</v>
      </c>
      <c r="H575">
        <f>VLOOKUP($D575,'[2]LC Dynamic'!$Q$2:$U$542,5,FALSE)</f>
        <v>0.69199999999999995</v>
      </c>
      <c r="I575" s="77">
        <f t="shared" si="1389"/>
        <v>1</v>
      </c>
      <c r="J575" s="77">
        <f t="shared" si="1390"/>
        <v>6.9728499999999985E-2</v>
      </c>
      <c r="K575" s="77">
        <f t="shared" si="1475"/>
        <v>5.632878498097682E-3</v>
      </c>
      <c r="L575" s="76">
        <v>0</v>
      </c>
      <c r="M575" s="77">
        <f t="shared" si="1408"/>
        <v>0</v>
      </c>
      <c r="N575" s="77">
        <f t="shared" si="1409"/>
        <v>0</v>
      </c>
      <c r="O575" s="77">
        <f t="shared" si="1410"/>
        <v>5.6775999999999997E-3</v>
      </c>
      <c r="P575" s="77">
        <f t="shared" si="1411"/>
        <v>4.7436902124819991E-4</v>
      </c>
      <c r="R575" t="s">
        <v>177</v>
      </c>
      <c r="S575" t="s">
        <v>179</v>
      </c>
      <c r="T575" s="197" t="str">
        <f t="shared" si="1467"/>
        <v>Autopilot_Dynamic_512</v>
      </c>
      <c r="U575">
        <v>512</v>
      </c>
      <c r="V575">
        <f>VLOOKUP($U575,'[2]AP Dynamic'!$Q$1:$T$542,2,FALSE)</f>
        <v>0.88888888888888884</v>
      </c>
      <c r="W575">
        <f>VLOOKUP($U575,'[2]AP Dynamic'!$Q$1:$T$542,3,FALSE)</f>
        <v>0.11111111111111116</v>
      </c>
      <c r="X575">
        <f>VLOOKUP($U575,'[2]AP Dynamic'!$Q$1:$T$542,4,FALSE)</f>
        <v>0</v>
      </c>
      <c r="Y575" s="77">
        <f t="shared" si="1468"/>
        <v>1</v>
      </c>
      <c r="Z575" s="77">
        <f t="shared" si="1476"/>
        <v>6.3149999999999984E-2</v>
      </c>
      <c r="AA575" s="77">
        <f t="shared" si="1477"/>
        <v>5.1160591879111372E-3</v>
      </c>
      <c r="AB575" s="79">
        <v>1</v>
      </c>
      <c r="AC575" s="77">
        <f t="shared" si="1412"/>
        <v>8.277777777777778E-3</v>
      </c>
      <c r="AD575" s="77">
        <f t="shared" ref="AD575" si="1540">1-(1-AC575)^(1/12)</f>
        <v>6.9244588451522482E-4</v>
      </c>
      <c r="AE575" s="77">
        <f t="shared" si="1414"/>
        <v>2.5000000000000001E-3</v>
      </c>
      <c r="AF575" s="77">
        <f t="shared" ref="AF575" si="1541">1-(1-AE575)^(1/12)</f>
        <v>2.0857243058891584E-4</v>
      </c>
      <c r="AH575" t="s">
        <v>175</v>
      </c>
      <c r="AI575" t="s">
        <v>179</v>
      </c>
      <c r="AJ575" s="197" t="str">
        <f t="shared" si="1398"/>
        <v>Lifecycle_Dynamic_512</v>
      </c>
      <c r="AK575">
        <v>512</v>
      </c>
      <c r="AL575">
        <f>VLOOKUP($U575,[2]Standard_Dynamic!$Q$1:$T$542,2,FALSE)</f>
        <v>0.88888888888888884</v>
      </c>
      <c r="AM575">
        <f>VLOOKUP($U575,[2]Standard_Dynamic!$Q$1:$T$542,3,FALSE)</f>
        <v>0.11111111111111116</v>
      </c>
      <c r="AN575">
        <f>VLOOKUP($U575,[2]Standard_Dynamic!$Q$1:$T$542,4,FALSE)</f>
        <v>0</v>
      </c>
      <c r="AO575" s="77">
        <f t="shared" si="1399"/>
        <v>1</v>
      </c>
      <c r="AP575" s="77">
        <f t="shared" si="1416"/>
        <v>6.3149999999999984E-2</v>
      </c>
      <c r="AQ575" s="77">
        <f t="shared" si="1400"/>
        <v>5.1160591879111372E-3</v>
      </c>
      <c r="AR575" s="79">
        <v>0</v>
      </c>
      <c r="AS575" s="77">
        <f t="shared" si="1417"/>
        <v>0</v>
      </c>
      <c r="AT575" s="77">
        <f t="shared" ref="AT575" si="1542">1-(1-AS575)^(1/12)</f>
        <v>0</v>
      </c>
      <c r="AU575" s="77">
        <f t="shared" si="1419"/>
        <v>2.5000000000000001E-3</v>
      </c>
      <c r="AV575" s="77">
        <f t="shared" ref="AV575" si="1543">1-(1-AU575)^(1/12)</f>
        <v>2.0857243058891584E-4</v>
      </c>
      <c r="AX575" t="s">
        <v>178</v>
      </c>
      <c r="AY575" t="s">
        <v>162</v>
      </c>
      <c r="AZ575" s="197" t="str">
        <f t="shared" si="1502"/>
        <v>DIS_Standard_512</v>
      </c>
      <c r="BA575">
        <v>512</v>
      </c>
      <c r="BB575">
        <f>VLOOKUP($BA575,'[2]Standard DIS'!$Q$1:$X$542,4,FALSE)</f>
        <v>0</v>
      </c>
      <c r="BF575">
        <f>VLOOKUP($BA575,'[2]Standard DIS'!$Q$1:$X$542,2,FALSE)</f>
        <v>0.88888888888888884</v>
      </c>
      <c r="BH575">
        <f>VLOOKUP($BA575,'[2]Standard DIS'!$Q$1:$X$542,3,FALSE)</f>
        <v>0.11111111111111116</v>
      </c>
      <c r="BI575" s="77">
        <f t="shared" si="1404"/>
        <v>1</v>
      </c>
      <c r="BJ575" s="77">
        <f t="shared" si="1405"/>
        <v>6.3149999999999984E-2</v>
      </c>
      <c r="BK575" s="77">
        <f t="shared" si="1503"/>
        <v>5.1160591879111372E-3</v>
      </c>
      <c r="BL575" s="79">
        <v>0</v>
      </c>
      <c r="BM575" s="77">
        <f t="shared" si="1421"/>
        <v>0</v>
      </c>
      <c r="BN575" s="77">
        <f t="shared" si="1422"/>
        <v>0</v>
      </c>
      <c r="BO575" s="77">
        <f t="shared" si="1423"/>
        <v>2.5000000000000001E-3</v>
      </c>
      <c r="BP575" s="77">
        <f t="shared" si="1424"/>
        <v>2.0809499864316017E-4</v>
      </c>
    </row>
    <row r="576" spans="1:68">
      <c r="A576" t="s">
        <v>175</v>
      </c>
      <c r="B576" t="s">
        <v>179</v>
      </c>
      <c r="C576" s="197" t="str">
        <f t="shared" si="1465"/>
        <v>Lifecycle_Dynamic_511</v>
      </c>
      <c r="D576">
        <v>511</v>
      </c>
      <c r="E576">
        <f>VLOOKUP($D576,'[2]LC Dynamic'!$Q$2:$U$542,2,FALSE)</f>
        <v>0</v>
      </c>
      <c r="F576">
        <f>VLOOKUP($D576,'[2]LC Dynamic'!$Q$2:$U$542,3,FALSE)</f>
        <v>0</v>
      </c>
      <c r="G576">
        <f>VLOOKUP($D576,'[2]LC Dynamic'!$Q$2:$U$542,4,FALSE)</f>
        <v>0.308</v>
      </c>
      <c r="H576">
        <f>VLOOKUP($D576,'[2]LC Dynamic'!$Q$2:$U$542,5,FALSE)</f>
        <v>0.69199999999999995</v>
      </c>
      <c r="I576" s="77">
        <f t="shared" si="1389"/>
        <v>1</v>
      </c>
      <c r="J576" s="77">
        <f t="shared" si="1390"/>
        <v>6.9728499999999985E-2</v>
      </c>
      <c r="K576" s="77">
        <f t="shared" si="1475"/>
        <v>5.632878498097682E-3</v>
      </c>
      <c r="L576" s="76">
        <v>0</v>
      </c>
      <c r="M576" s="77">
        <f t="shared" si="1408"/>
        <v>0</v>
      </c>
      <c r="N576" s="77">
        <f t="shared" si="1409"/>
        <v>0</v>
      </c>
      <c r="O576" s="77">
        <f t="shared" si="1410"/>
        <v>5.6775999999999997E-3</v>
      </c>
      <c r="P576" s="77">
        <f t="shared" si="1411"/>
        <v>4.7436902124819991E-4</v>
      </c>
      <c r="R576" t="s">
        <v>177</v>
      </c>
      <c r="S576" t="s">
        <v>179</v>
      </c>
      <c r="T576" s="197" t="str">
        <f t="shared" si="1467"/>
        <v>Autopilot_Dynamic_511</v>
      </c>
      <c r="U576">
        <v>511</v>
      </c>
      <c r="V576">
        <f>VLOOKUP($U576,'[2]AP Dynamic'!$Q$1:$T$542,2,FALSE)</f>
        <v>0.88888888888888884</v>
      </c>
      <c r="W576">
        <f>VLOOKUP($U576,'[2]AP Dynamic'!$Q$1:$T$542,3,FALSE)</f>
        <v>0.11111111111111116</v>
      </c>
      <c r="X576">
        <f>VLOOKUP($U576,'[2]AP Dynamic'!$Q$1:$T$542,4,FALSE)</f>
        <v>0</v>
      </c>
      <c r="Y576" s="77">
        <f t="shared" si="1468"/>
        <v>1</v>
      </c>
      <c r="Z576" s="77">
        <f t="shared" si="1476"/>
        <v>6.3149999999999984E-2</v>
      </c>
      <c r="AA576" s="77">
        <f t="shared" si="1477"/>
        <v>5.1160591879111372E-3</v>
      </c>
      <c r="AB576" s="79">
        <v>1</v>
      </c>
      <c r="AC576" s="77">
        <f t="shared" si="1412"/>
        <v>8.277777777777778E-3</v>
      </c>
      <c r="AD576" s="77">
        <f t="shared" ref="AD576" si="1544">1-(1-AC576)^(1/12)</f>
        <v>6.9244588451522482E-4</v>
      </c>
      <c r="AE576" s="77">
        <f t="shared" si="1414"/>
        <v>2.5000000000000001E-3</v>
      </c>
      <c r="AF576" s="77">
        <f t="shared" ref="AF576" si="1545">1-(1-AE576)^(1/12)</f>
        <v>2.0857243058891584E-4</v>
      </c>
      <c r="AH576" t="s">
        <v>175</v>
      </c>
      <c r="AI576" t="s">
        <v>179</v>
      </c>
      <c r="AJ576" s="197" t="str">
        <f t="shared" si="1398"/>
        <v>Lifecycle_Dynamic_511</v>
      </c>
      <c r="AK576">
        <v>511</v>
      </c>
      <c r="AL576">
        <f>VLOOKUP($U576,[2]Standard_Dynamic!$Q$1:$T$542,2,FALSE)</f>
        <v>0.88888888888888884</v>
      </c>
      <c r="AM576">
        <f>VLOOKUP($U576,[2]Standard_Dynamic!$Q$1:$T$542,3,FALSE)</f>
        <v>0.11111111111111116</v>
      </c>
      <c r="AN576">
        <f>VLOOKUP($U576,[2]Standard_Dynamic!$Q$1:$T$542,4,FALSE)</f>
        <v>0</v>
      </c>
      <c r="AO576" s="77">
        <f t="shared" si="1399"/>
        <v>1</v>
      </c>
      <c r="AP576" s="77">
        <f t="shared" si="1416"/>
        <v>6.3149999999999984E-2</v>
      </c>
      <c r="AQ576" s="77">
        <f t="shared" si="1400"/>
        <v>5.1160591879111372E-3</v>
      </c>
      <c r="AR576" s="79">
        <v>0</v>
      </c>
      <c r="AS576" s="77">
        <f t="shared" si="1417"/>
        <v>0</v>
      </c>
      <c r="AT576" s="77">
        <f t="shared" ref="AT576" si="1546">1-(1-AS576)^(1/12)</f>
        <v>0</v>
      </c>
      <c r="AU576" s="77">
        <f t="shared" si="1419"/>
        <v>2.5000000000000001E-3</v>
      </c>
      <c r="AV576" s="77">
        <f t="shared" ref="AV576" si="1547">1-(1-AU576)^(1/12)</f>
        <v>2.0857243058891584E-4</v>
      </c>
      <c r="AX576" t="s">
        <v>178</v>
      </c>
      <c r="AY576" t="s">
        <v>162</v>
      </c>
      <c r="AZ576" s="197" t="str">
        <f t="shared" si="1502"/>
        <v>DIS_Standard_511</v>
      </c>
      <c r="BA576">
        <v>511</v>
      </c>
      <c r="BB576">
        <f>VLOOKUP($BA576,'[2]Standard DIS'!$Q$1:$X$542,4,FALSE)</f>
        <v>0</v>
      </c>
      <c r="BF576">
        <f>VLOOKUP($BA576,'[2]Standard DIS'!$Q$1:$X$542,2,FALSE)</f>
        <v>0.88888888888888884</v>
      </c>
      <c r="BH576">
        <f>VLOOKUP($BA576,'[2]Standard DIS'!$Q$1:$X$542,3,FALSE)</f>
        <v>0.11111111111111116</v>
      </c>
      <c r="BI576" s="77">
        <f t="shared" si="1404"/>
        <v>1</v>
      </c>
      <c r="BJ576" s="77">
        <f t="shared" si="1405"/>
        <v>6.3149999999999984E-2</v>
      </c>
      <c r="BK576" s="77">
        <f t="shared" si="1503"/>
        <v>5.1160591879111372E-3</v>
      </c>
      <c r="BL576" s="79">
        <v>0</v>
      </c>
      <c r="BM576" s="77">
        <f t="shared" si="1421"/>
        <v>0</v>
      </c>
      <c r="BN576" s="77">
        <f t="shared" si="1422"/>
        <v>0</v>
      </c>
      <c r="BO576" s="77">
        <f t="shared" si="1423"/>
        <v>2.5000000000000001E-3</v>
      </c>
      <c r="BP576" s="77">
        <f t="shared" si="1424"/>
        <v>2.0809499864316017E-4</v>
      </c>
    </row>
    <row r="577" spans="1:68">
      <c r="A577" t="s">
        <v>175</v>
      </c>
      <c r="B577" t="s">
        <v>179</v>
      </c>
      <c r="C577" s="197" t="str">
        <f t="shared" si="1465"/>
        <v>Lifecycle_Dynamic_510</v>
      </c>
      <c r="D577">
        <v>510</v>
      </c>
      <c r="E577">
        <f>VLOOKUP($D577,'[2]LC Dynamic'!$Q$2:$U$542,2,FALSE)</f>
        <v>0</v>
      </c>
      <c r="F577">
        <f>VLOOKUP($D577,'[2]LC Dynamic'!$Q$2:$U$542,3,FALSE)</f>
        <v>0</v>
      </c>
      <c r="G577">
        <f>VLOOKUP($D577,'[2]LC Dynamic'!$Q$2:$U$542,4,FALSE)</f>
        <v>0.308</v>
      </c>
      <c r="H577">
        <f>VLOOKUP($D577,'[2]LC Dynamic'!$Q$2:$U$542,5,FALSE)</f>
        <v>0.69199999999999995</v>
      </c>
      <c r="I577" s="77">
        <f t="shared" si="1389"/>
        <v>1</v>
      </c>
      <c r="J577" s="77">
        <f t="shared" si="1390"/>
        <v>6.9728499999999985E-2</v>
      </c>
      <c r="K577" s="77">
        <f t="shared" si="1475"/>
        <v>5.632878498097682E-3</v>
      </c>
      <c r="L577" s="76">
        <v>0</v>
      </c>
      <c r="M577" s="77">
        <f t="shared" si="1408"/>
        <v>0</v>
      </c>
      <c r="N577" s="77">
        <f t="shared" si="1409"/>
        <v>0</v>
      </c>
      <c r="O577" s="77">
        <f t="shared" si="1410"/>
        <v>5.6775999999999997E-3</v>
      </c>
      <c r="P577" s="77">
        <f t="shared" si="1411"/>
        <v>4.7436902124819991E-4</v>
      </c>
      <c r="R577" t="s">
        <v>177</v>
      </c>
      <c r="S577" t="s">
        <v>179</v>
      </c>
      <c r="T577" s="197" t="str">
        <f t="shared" si="1467"/>
        <v>Autopilot_Dynamic_510</v>
      </c>
      <c r="U577">
        <v>510</v>
      </c>
      <c r="V577">
        <f>VLOOKUP($U577,'[2]AP Dynamic'!$Q$1:$T$542,2,FALSE)</f>
        <v>0.88888888888888884</v>
      </c>
      <c r="W577">
        <f>VLOOKUP($U577,'[2]AP Dynamic'!$Q$1:$T$542,3,FALSE)</f>
        <v>0.11111111111111116</v>
      </c>
      <c r="X577">
        <f>VLOOKUP($U577,'[2]AP Dynamic'!$Q$1:$T$542,4,FALSE)</f>
        <v>0</v>
      </c>
      <c r="Y577" s="77">
        <f t="shared" si="1468"/>
        <v>1</v>
      </c>
      <c r="Z577" s="77">
        <f t="shared" si="1476"/>
        <v>6.3149999999999984E-2</v>
      </c>
      <c r="AA577" s="77">
        <f t="shared" si="1477"/>
        <v>5.1160591879111372E-3</v>
      </c>
      <c r="AB577" s="79">
        <v>1</v>
      </c>
      <c r="AC577" s="77">
        <f t="shared" si="1412"/>
        <v>8.277777777777778E-3</v>
      </c>
      <c r="AD577" s="77">
        <f t="shared" ref="AD577" si="1548">1-(1-AC577)^(1/12)</f>
        <v>6.9244588451522482E-4</v>
      </c>
      <c r="AE577" s="77">
        <f t="shared" si="1414"/>
        <v>2.5000000000000001E-3</v>
      </c>
      <c r="AF577" s="77">
        <f t="shared" ref="AF577" si="1549">1-(1-AE577)^(1/12)</f>
        <v>2.0857243058891584E-4</v>
      </c>
      <c r="AH577" t="s">
        <v>175</v>
      </c>
      <c r="AI577" t="s">
        <v>179</v>
      </c>
      <c r="AJ577" s="197" t="str">
        <f t="shared" si="1398"/>
        <v>Lifecycle_Dynamic_510</v>
      </c>
      <c r="AK577">
        <v>510</v>
      </c>
      <c r="AL577">
        <f>VLOOKUP($U577,[2]Standard_Dynamic!$Q$1:$T$542,2,FALSE)</f>
        <v>0.88888888888888884</v>
      </c>
      <c r="AM577">
        <f>VLOOKUP($U577,[2]Standard_Dynamic!$Q$1:$T$542,3,FALSE)</f>
        <v>0.11111111111111116</v>
      </c>
      <c r="AN577">
        <f>VLOOKUP($U577,[2]Standard_Dynamic!$Q$1:$T$542,4,FALSE)</f>
        <v>0</v>
      </c>
      <c r="AO577" s="77">
        <f t="shared" si="1399"/>
        <v>1</v>
      </c>
      <c r="AP577" s="77">
        <f t="shared" si="1416"/>
        <v>6.3149999999999984E-2</v>
      </c>
      <c r="AQ577" s="77">
        <f t="shared" si="1400"/>
        <v>5.1160591879111372E-3</v>
      </c>
      <c r="AR577" s="79">
        <v>0</v>
      </c>
      <c r="AS577" s="77">
        <f t="shared" si="1417"/>
        <v>0</v>
      </c>
      <c r="AT577" s="77">
        <f t="shared" ref="AT577" si="1550">1-(1-AS577)^(1/12)</f>
        <v>0</v>
      </c>
      <c r="AU577" s="77">
        <f t="shared" si="1419"/>
        <v>2.5000000000000001E-3</v>
      </c>
      <c r="AV577" s="77">
        <f t="shared" ref="AV577" si="1551">1-(1-AU577)^(1/12)</f>
        <v>2.0857243058891584E-4</v>
      </c>
      <c r="AX577" t="s">
        <v>178</v>
      </c>
      <c r="AY577" t="s">
        <v>162</v>
      </c>
      <c r="AZ577" s="197" t="str">
        <f t="shared" si="1502"/>
        <v>DIS_Standard_510</v>
      </c>
      <c r="BA577">
        <v>510</v>
      </c>
      <c r="BB577">
        <f>VLOOKUP($BA577,'[2]Standard DIS'!$Q$1:$X$542,4,FALSE)</f>
        <v>0</v>
      </c>
      <c r="BF577">
        <f>VLOOKUP($BA577,'[2]Standard DIS'!$Q$1:$X$542,2,FALSE)</f>
        <v>0.88888888888888884</v>
      </c>
      <c r="BH577">
        <f>VLOOKUP($BA577,'[2]Standard DIS'!$Q$1:$X$542,3,FALSE)</f>
        <v>0.11111111111111116</v>
      </c>
      <c r="BI577" s="77">
        <f t="shared" si="1404"/>
        <v>1</v>
      </c>
      <c r="BJ577" s="77">
        <f t="shared" si="1405"/>
        <v>6.3149999999999984E-2</v>
      </c>
      <c r="BK577" s="77">
        <f t="shared" si="1503"/>
        <v>5.1160591879111372E-3</v>
      </c>
      <c r="BL577" s="79">
        <v>0</v>
      </c>
      <c r="BM577" s="77">
        <f t="shared" si="1421"/>
        <v>0</v>
      </c>
      <c r="BN577" s="77">
        <f t="shared" si="1422"/>
        <v>0</v>
      </c>
      <c r="BO577" s="77">
        <f t="shared" si="1423"/>
        <v>2.5000000000000001E-3</v>
      </c>
      <c r="BP577" s="77">
        <f t="shared" si="1424"/>
        <v>2.0809499864316017E-4</v>
      </c>
    </row>
    <row r="578" spans="1:68">
      <c r="A578" t="s">
        <v>175</v>
      </c>
      <c r="B578" t="s">
        <v>179</v>
      </c>
      <c r="C578" s="197" t="str">
        <f t="shared" si="1465"/>
        <v>Lifecycle_Dynamic_509</v>
      </c>
      <c r="D578">
        <v>509</v>
      </c>
      <c r="E578">
        <f>VLOOKUP($D578,'[2]LC Dynamic'!$Q$2:$U$542,2,FALSE)</f>
        <v>0</v>
      </c>
      <c r="F578">
        <f>VLOOKUP($D578,'[2]LC Dynamic'!$Q$2:$U$542,3,FALSE)</f>
        <v>0</v>
      </c>
      <c r="G578">
        <f>VLOOKUP($D578,'[2]LC Dynamic'!$Q$2:$U$542,4,FALSE)</f>
        <v>0.308</v>
      </c>
      <c r="H578">
        <f>VLOOKUP($D578,'[2]LC Dynamic'!$Q$2:$U$542,5,FALSE)</f>
        <v>0.69199999999999995</v>
      </c>
      <c r="I578" s="77">
        <f t="shared" si="1389"/>
        <v>1</v>
      </c>
      <c r="J578" s="77">
        <f t="shared" si="1390"/>
        <v>6.9728499999999985E-2</v>
      </c>
      <c r="K578" s="77">
        <f t="shared" si="1475"/>
        <v>5.632878498097682E-3</v>
      </c>
      <c r="L578" s="76">
        <v>0</v>
      </c>
      <c r="M578" s="77">
        <f t="shared" si="1408"/>
        <v>0</v>
      </c>
      <c r="N578" s="77">
        <f t="shared" si="1409"/>
        <v>0</v>
      </c>
      <c r="O578" s="77">
        <f t="shared" si="1410"/>
        <v>5.6775999999999997E-3</v>
      </c>
      <c r="P578" s="77">
        <f t="shared" si="1411"/>
        <v>4.7436902124819991E-4</v>
      </c>
      <c r="R578" t="s">
        <v>177</v>
      </c>
      <c r="S578" t="s">
        <v>179</v>
      </c>
      <c r="T578" s="197" t="str">
        <f t="shared" si="1467"/>
        <v>Autopilot_Dynamic_509</v>
      </c>
      <c r="U578">
        <v>509</v>
      </c>
      <c r="V578">
        <f>VLOOKUP($U578,'[2]AP Dynamic'!$Q$1:$T$542,2,FALSE)</f>
        <v>0.88888888888888884</v>
      </c>
      <c r="W578">
        <f>VLOOKUP($U578,'[2]AP Dynamic'!$Q$1:$T$542,3,FALSE)</f>
        <v>0.11111111111111116</v>
      </c>
      <c r="X578">
        <f>VLOOKUP($U578,'[2]AP Dynamic'!$Q$1:$T$542,4,FALSE)</f>
        <v>0</v>
      </c>
      <c r="Y578" s="77">
        <f t="shared" si="1468"/>
        <v>1</v>
      </c>
      <c r="Z578" s="77">
        <f t="shared" si="1476"/>
        <v>6.3149999999999984E-2</v>
      </c>
      <c r="AA578" s="77">
        <f t="shared" si="1477"/>
        <v>5.1160591879111372E-3</v>
      </c>
      <c r="AB578" s="79">
        <v>1</v>
      </c>
      <c r="AC578" s="77">
        <f t="shared" si="1412"/>
        <v>8.277777777777778E-3</v>
      </c>
      <c r="AD578" s="77">
        <f t="shared" ref="AD578" si="1552">1-(1-AC578)^(1/12)</f>
        <v>6.9244588451522482E-4</v>
      </c>
      <c r="AE578" s="77">
        <f t="shared" si="1414"/>
        <v>2.5000000000000001E-3</v>
      </c>
      <c r="AF578" s="77">
        <f t="shared" ref="AF578" si="1553">1-(1-AE578)^(1/12)</f>
        <v>2.0857243058891584E-4</v>
      </c>
      <c r="AH578" t="s">
        <v>175</v>
      </c>
      <c r="AI578" t="s">
        <v>179</v>
      </c>
      <c r="AJ578" s="197" t="str">
        <f t="shared" si="1398"/>
        <v>Lifecycle_Dynamic_509</v>
      </c>
      <c r="AK578">
        <v>509</v>
      </c>
      <c r="AL578">
        <f>VLOOKUP($U578,[2]Standard_Dynamic!$Q$1:$T$542,2,FALSE)</f>
        <v>0.88888888888888884</v>
      </c>
      <c r="AM578">
        <f>VLOOKUP($U578,[2]Standard_Dynamic!$Q$1:$T$542,3,FALSE)</f>
        <v>0.11111111111111116</v>
      </c>
      <c r="AN578">
        <f>VLOOKUP($U578,[2]Standard_Dynamic!$Q$1:$T$542,4,FALSE)</f>
        <v>0</v>
      </c>
      <c r="AO578" s="77">
        <f t="shared" si="1399"/>
        <v>1</v>
      </c>
      <c r="AP578" s="77">
        <f t="shared" si="1416"/>
        <v>6.3149999999999984E-2</v>
      </c>
      <c r="AQ578" s="77">
        <f t="shared" si="1400"/>
        <v>5.1160591879111372E-3</v>
      </c>
      <c r="AR578" s="79">
        <v>0</v>
      </c>
      <c r="AS578" s="77">
        <f t="shared" si="1417"/>
        <v>0</v>
      </c>
      <c r="AT578" s="77">
        <f t="shared" ref="AT578" si="1554">1-(1-AS578)^(1/12)</f>
        <v>0</v>
      </c>
      <c r="AU578" s="77">
        <f t="shared" si="1419"/>
        <v>2.5000000000000001E-3</v>
      </c>
      <c r="AV578" s="77">
        <f t="shared" ref="AV578" si="1555">1-(1-AU578)^(1/12)</f>
        <v>2.0857243058891584E-4</v>
      </c>
      <c r="AX578" t="s">
        <v>178</v>
      </c>
      <c r="AY578" t="s">
        <v>162</v>
      </c>
      <c r="AZ578" s="197" t="str">
        <f t="shared" si="1502"/>
        <v>DIS_Standard_509</v>
      </c>
      <c r="BA578">
        <v>509</v>
      </c>
      <c r="BB578">
        <f>VLOOKUP($BA578,'[2]Standard DIS'!$Q$1:$X$542,4,FALSE)</f>
        <v>0</v>
      </c>
      <c r="BF578">
        <f>VLOOKUP($BA578,'[2]Standard DIS'!$Q$1:$X$542,2,FALSE)</f>
        <v>0.88888888888888884</v>
      </c>
      <c r="BH578">
        <f>VLOOKUP($BA578,'[2]Standard DIS'!$Q$1:$X$542,3,FALSE)</f>
        <v>0.11111111111111116</v>
      </c>
      <c r="BI578" s="77">
        <f t="shared" si="1404"/>
        <v>1</v>
      </c>
      <c r="BJ578" s="77">
        <f t="shared" si="1405"/>
        <v>6.3149999999999984E-2</v>
      </c>
      <c r="BK578" s="77">
        <f t="shared" si="1503"/>
        <v>5.1160591879111372E-3</v>
      </c>
      <c r="BL578" s="79">
        <v>0</v>
      </c>
      <c r="BM578" s="77">
        <f t="shared" si="1421"/>
        <v>0</v>
      </c>
      <c r="BN578" s="77">
        <f t="shared" si="1422"/>
        <v>0</v>
      </c>
      <c r="BO578" s="77">
        <f t="shared" si="1423"/>
        <v>2.5000000000000001E-3</v>
      </c>
      <c r="BP578" s="77">
        <f t="shared" si="1424"/>
        <v>2.0809499864316017E-4</v>
      </c>
    </row>
    <row r="579" spans="1:68">
      <c r="A579" t="s">
        <v>175</v>
      </c>
      <c r="B579" t="s">
        <v>179</v>
      </c>
      <c r="C579" s="197" t="str">
        <f t="shared" si="1465"/>
        <v>Lifecycle_Dynamic_508</v>
      </c>
      <c r="D579">
        <v>508</v>
      </c>
      <c r="E579">
        <f>VLOOKUP($D579,'[2]LC Dynamic'!$Q$2:$U$542,2,FALSE)</f>
        <v>0</v>
      </c>
      <c r="F579">
        <f>VLOOKUP($D579,'[2]LC Dynamic'!$Q$2:$U$542,3,FALSE)</f>
        <v>0</v>
      </c>
      <c r="G579">
        <f>VLOOKUP($D579,'[2]LC Dynamic'!$Q$2:$U$542,4,FALSE)</f>
        <v>0.308</v>
      </c>
      <c r="H579">
        <f>VLOOKUP($D579,'[2]LC Dynamic'!$Q$2:$U$542,5,FALSE)</f>
        <v>0.69199999999999995</v>
      </c>
      <c r="I579" s="77">
        <f t="shared" si="1389"/>
        <v>1</v>
      </c>
      <c r="J579" s="77">
        <f t="shared" si="1390"/>
        <v>6.9728499999999985E-2</v>
      </c>
      <c r="K579" s="77">
        <f t="shared" si="1475"/>
        <v>5.632878498097682E-3</v>
      </c>
      <c r="L579" s="76">
        <v>0</v>
      </c>
      <c r="M579" s="77">
        <f t="shared" si="1408"/>
        <v>0</v>
      </c>
      <c r="N579" s="77">
        <f t="shared" si="1409"/>
        <v>0</v>
      </c>
      <c r="O579" s="77">
        <f t="shared" si="1410"/>
        <v>5.6775999999999997E-3</v>
      </c>
      <c r="P579" s="77">
        <f t="shared" si="1411"/>
        <v>4.7436902124819991E-4</v>
      </c>
      <c r="R579" t="s">
        <v>177</v>
      </c>
      <c r="S579" t="s">
        <v>179</v>
      </c>
      <c r="T579" s="197" t="str">
        <f t="shared" si="1467"/>
        <v>Autopilot_Dynamic_508</v>
      </c>
      <c r="U579">
        <v>508</v>
      </c>
      <c r="V579">
        <f>VLOOKUP($U579,'[2]AP Dynamic'!$Q$1:$T$542,2,FALSE)</f>
        <v>0.88888888888888884</v>
      </c>
      <c r="W579">
        <f>VLOOKUP($U579,'[2]AP Dynamic'!$Q$1:$T$542,3,FALSE)</f>
        <v>0.11111111111111116</v>
      </c>
      <c r="X579">
        <f>VLOOKUP($U579,'[2]AP Dynamic'!$Q$1:$T$542,4,FALSE)</f>
        <v>0</v>
      </c>
      <c r="Y579" s="77">
        <f t="shared" si="1468"/>
        <v>1</v>
      </c>
      <c r="Z579" s="77">
        <f t="shared" si="1476"/>
        <v>6.3149999999999984E-2</v>
      </c>
      <c r="AA579" s="77">
        <f t="shared" si="1477"/>
        <v>5.1160591879111372E-3</v>
      </c>
      <c r="AB579" s="79">
        <v>1</v>
      </c>
      <c r="AC579" s="77">
        <f t="shared" si="1412"/>
        <v>8.277777777777778E-3</v>
      </c>
      <c r="AD579" s="77">
        <f t="shared" ref="AD579" si="1556">1-(1-AC579)^(1/12)</f>
        <v>6.9244588451522482E-4</v>
      </c>
      <c r="AE579" s="77">
        <f t="shared" si="1414"/>
        <v>2.5000000000000001E-3</v>
      </c>
      <c r="AF579" s="77">
        <f t="shared" ref="AF579" si="1557">1-(1-AE579)^(1/12)</f>
        <v>2.0857243058891584E-4</v>
      </c>
      <c r="AH579" t="s">
        <v>175</v>
      </c>
      <c r="AI579" t="s">
        <v>179</v>
      </c>
      <c r="AJ579" s="197" t="str">
        <f t="shared" si="1398"/>
        <v>Lifecycle_Dynamic_508</v>
      </c>
      <c r="AK579">
        <v>508</v>
      </c>
      <c r="AL579">
        <f>VLOOKUP($U579,[2]Standard_Dynamic!$Q$1:$T$542,2,FALSE)</f>
        <v>0.88888888888888884</v>
      </c>
      <c r="AM579">
        <f>VLOOKUP($U579,[2]Standard_Dynamic!$Q$1:$T$542,3,FALSE)</f>
        <v>0.11111111111111116</v>
      </c>
      <c r="AN579">
        <f>VLOOKUP($U579,[2]Standard_Dynamic!$Q$1:$T$542,4,FALSE)</f>
        <v>0</v>
      </c>
      <c r="AO579" s="77">
        <f t="shared" si="1399"/>
        <v>1</v>
      </c>
      <c r="AP579" s="77">
        <f t="shared" si="1416"/>
        <v>6.3149999999999984E-2</v>
      </c>
      <c r="AQ579" s="77">
        <f t="shared" si="1400"/>
        <v>5.1160591879111372E-3</v>
      </c>
      <c r="AR579" s="79">
        <v>0</v>
      </c>
      <c r="AS579" s="77">
        <f t="shared" si="1417"/>
        <v>0</v>
      </c>
      <c r="AT579" s="77">
        <f t="shared" ref="AT579" si="1558">1-(1-AS579)^(1/12)</f>
        <v>0</v>
      </c>
      <c r="AU579" s="77">
        <f t="shared" si="1419"/>
        <v>2.5000000000000001E-3</v>
      </c>
      <c r="AV579" s="77">
        <f t="shared" ref="AV579" si="1559">1-(1-AU579)^(1/12)</f>
        <v>2.0857243058891584E-4</v>
      </c>
      <c r="AX579" t="s">
        <v>178</v>
      </c>
      <c r="AY579" t="s">
        <v>162</v>
      </c>
      <c r="AZ579" s="197" t="str">
        <f t="shared" si="1502"/>
        <v>DIS_Standard_508</v>
      </c>
      <c r="BA579">
        <v>508</v>
      </c>
      <c r="BB579">
        <f>VLOOKUP($BA579,'[2]Standard DIS'!$Q$1:$X$542,4,FALSE)</f>
        <v>0</v>
      </c>
      <c r="BF579">
        <f>VLOOKUP($BA579,'[2]Standard DIS'!$Q$1:$X$542,2,FALSE)</f>
        <v>0.88888888888888884</v>
      </c>
      <c r="BH579">
        <f>VLOOKUP($BA579,'[2]Standard DIS'!$Q$1:$X$542,3,FALSE)</f>
        <v>0.11111111111111116</v>
      </c>
      <c r="BI579" s="77">
        <f t="shared" si="1404"/>
        <v>1</v>
      </c>
      <c r="BJ579" s="77">
        <f t="shared" si="1405"/>
        <v>6.3149999999999984E-2</v>
      </c>
      <c r="BK579" s="77">
        <f t="shared" si="1503"/>
        <v>5.1160591879111372E-3</v>
      </c>
      <c r="BL579" s="79">
        <v>0</v>
      </c>
      <c r="BM579" s="77">
        <f t="shared" si="1421"/>
        <v>0</v>
      </c>
      <c r="BN579" s="77">
        <f t="shared" si="1422"/>
        <v>0</v>
      </c>
      <c r="BO579" s="77">
        <f t="shared" si="1423"/>
        <v>2.5000000000000001E-3</v>
      </c>
      <c r="BP579" s="77">
        <f t="shared" si="1424"/>
        <v>2.0809499864316017E-4</v>
      </c>
    </row>
    <row r="580" spans="1:68">
      <c r="A580" t="s">
        <v>175</v>
      </c>
      <c r="B580" t="s">
        <v>179</v>
      </c>
      <c r="C580" s="197" t="str">
        <f t="shared" si="1465"/>
        <v>Lifecycle_Dynamic_507</v>
      </c>
      <c r="D580">
        <v>507</v>
      </c>
      <c r="E580">
        <f>VLOOKUP($D580,'[2]LC Dynamic'!$Q$2:$U$542,2,FALSE)</f>
        <v>0</v>
      </c>
      <c r="F580">
        <f>VLOOKUP($D580,'[2]LC Dynamic'!$Q$2:$U$542,3,FALSE)</f>
        <v>0</v>
      </c>
      <c r="G580">
        <f>VLOOKUP($D580,'[2]LC Dynamic'!$Q$2:$U$542,4,FALSE)</f>
        <v>0.308</v>
      </c>
      <c r="H580">
        <f>VLOOKUP($D580,'[2]LC Dynamic'!$Q$2:$U$542,5,FALSE)</f>
        <v>0.69199999999999995</v>
      </c>
      <c r="I580" s="77">
        <f t="shared" si="1389"/>
        <v>1</v>
      </c>
      <c r="J580" s="77">
        <f t="shared" si="1390"/>
        <v>6.9728499999999985E-2</v>
      </c>
      <c r="K580" s="77">
        <f t="shared" si="1475"/>
        <v>5.632878498097682E-3</v>
      </c>
      <c r="L580" s="76">
        <v>0</v>
      </c>
      <c r="M580" s="77">
        <f t="shared" si="1408"/>
        <v>0</v>
      </c>
      <c r="N580" s="77">
        <f t="shared" si="1409"/>
        <v>0</v>
      </c>
      <c r="O580" s="77">
        <f t="shared" si="1410"/>
        <v>5.6775999999999997E-3</v>
      </c>
      <c r="P580" s="77">
        <f t="shared" si="1411"/>
        <v>4.7436902124819991E-4</v>
      </c>
      <c r="R580" t="s">
        <v>177</v>
      </c>
      <c r="S580" t="s">
        <v>179</v>
      </c>
      <c r="T580" s="197" t="str">
        <f t="shared" si="1467"/>
        <v>Autopilot_Dynamic_507</v>
      </c>
      <c r="U580">
        <v>507</v>
      </c>
      <c r="V580">
        <f>VLOOKUP($U580,'[2]AP Dynamic'!$Q$1:$T$542,2,FALSE)</f>
        <v>0.88888888888888884</v>
      </c>
      <c r="W580">
        <f>VLOOKUP($U580,'[2]AP Dynamic'!$Q$1:$T$542,3,FALSE)</f>
        <v>0.11111111111111116</v>
      </c>
      <c r="X580">
        <f>VLOOKUP($U580,'[2]AP Dynamic'!$Q$1:$T$542,4,FALSE)</f>
        <v>0</v>
      </c>
      <c r="Y580" s="77">
        <f t="shared" si="1468"/>
        <v>1</v>
      </c>
      <c r="Z580" s="77">
        <f t="shared" si="1476"/>
        <v>6.3149999999999984E-2</v>
      </c>
      <c r="AA580" s="77">
        <f t="shared" si="1477"/>
        <v>5.1160591879111372E-3</v>
      </c>
      <c r="AB580" s="79">
        <v>1</v>
      </c>
      <c r="AC580" s="77">
        <f t="shared" si="1412"/>
        <v>8.277777777777778E-3</v>
      </c>
      <c r="AD580" s="77">
        <f t="shared" ref="AD580" si="1560">1-(1-AC580)^(1/12)</f>
        <v>6.9244588451522482E-4</v>
      </c>
      <c r="AE580" s="77">
        <f t="shared" si="1414"/>
        <v>2.5000000000000001E-3</v>
      </c>
      <c r="AF580" s="77">
        <f t="shared" ref="AF580" si="1561">1-(1-AE580)^(1/12)</f>
        <v>2.0857243058891584E-4</v>
      </c>
      <c r="AH580" t="s">
        <v>175</v>
      </c>
      <c r="AI580" t="s">
        <v>179</v>
      </c>
      <c r="AJ580" s="197" t="str">
        <f t="shared" si="1398"/>
        <v>Lifecycle_Dynamic_507</v>
      </c>
      <c r="AK580">
        <v>507</v>
      </c>
      <c r="AL580">
        <f>VLOOKUP($U580,[2]Standard_Dynamic!$Q$1:$T$542,2,FALSE)</f>
        <v>0.88888888888888884</v>
      </c>
      <c r="AM580">
        <f>VLOOKUP($U580,[2]Standard_Dynamic!$Q$1:$T$542,3,FALSE)</f>
        <v>0.11111111111111116</v>
      </c>
      <c r="AN580">
        <f>VLOOKUP($U580,[2]Standard_Dynamic!$Q$1:$T$542,4,FALSE)</f>
        <v>0</v>
      </c>
      <c r="AO580" s="77">
        <f t="shared" si="1399"/>
        <v>1</v>
      </c>
      <c r="AP580" s="77">
        <f t="shared" si="1416"/>
        <v>6.3149999999999984E-2</v>
      </c>
      <c r="AQ580" s="77">
        <f t="shared" si="1400"/>
        <v>5.1160591879111372E-3</v>
      </c>
      <c r="AR580" s="79">
        <v>0</v>
      </c>
      <c r="AS580" s="77">
        <f t="shared" si="1417"/>
        <v>0</v>
      </c>
      <c r="AT580" s="77">
        <f t="shared" ref="AT580" si="1562">1-(1-AS580)^(1/12)</f>
        <v>0</v>
      </c>
      <c r="AU580" s="77">
        <f t="shared" si="1419"/>
        <v>2.5000000000000001E-3</v>
      </c>
      <c r="AV580" s="77">
        <f t="shared" ref="AV580" si="1563">1-(1-AU580)^(1/12)</f>
        <v>2.0857243058891584E-4</v>
      </c>
      <c r="AX580" t="s">
        <v>178</v>
      </c>
      <c r="AY580" t="s">
        <v>162</v>
      </c>
      <c r="AZ580" s="197" t="str">
        <f t="shared" si="1502"/>
        <v>DIS_Standard_507</v>
      </c>
      <c r="BA580">
        <v>507</v>
      </c>
      <c r="BB580">
        <f>VLOOKUP($BA580,'[2]Standard DIS'!$Q$1:$X$542,4,FALSE)</f>
        <v>0</v>
      </c>
      <c r="BF580">
        <f>VLOOKUP($BA580,'[2]Standard DIS'!$Q$1:$X$542,2,FALSE)</f>
        <v>0.88888888888888884</v>
      </c>
      <c r="BH580">
        <f>VLOOKUP($BA580,'[2]Standard DIS'!$Q$1:$X$542,3,FALSE)</f>
        <v>0.11111111111111116</v>
      </c>
      <c r="BI580" s="77">
        <f t="shared" si="1404"/>
        <v>1</v>
      </c>
      <c r="BJ580" s="77">
        <f t="shared" si="1405"/>
        <v>6.3149999999999984E-2</v>
      </c>
      <c r="BK580" s="77">
        <f t="shared" si="1503"/>
        <v>5.1160591879111372E-3</v>
      </c>
      <c r="BL580" s="79">
        <v>0</v>
      </c>
      <c r="BM580" s="77">
        <f t="shared" si="1421"/>
        <v>0</v>
      </c>
      <c r="BN580" s="77">
        <f t="shared" si="1422"/>
        <v>0</v>
      </c>
      <c r="BO580" s="77">
        <f t="shared" si="1423"/>
        <v>2.5000000000000001E-3</v>
      </c>
      <c r="BP580" s="77">
        <f t="shared" si="1424"/>
        <v>2.0809499864316017E-4</v>
      </c>
    </row>
    <row r="581" spans="1:68">
      <c r="A581" t="s">
        <v>175</v>
      </c>
      <c r="B581" t="s">
        <v>179</v>
      </c>
      <c r="C581" s="197" t="str">
        <f t="shared" si="1465"/>
        <v>Lifecycle_Dynamic_506</v>
      </c>
      <c r="D581">
        <v>506</v>
      </c>
      <c r="E581">
        <f>VLOOKUP($D581,'[2]LC Dynamic'!$Q$2:$U$542,2,FALSE)</f>
        <v>0</v>
      </c>
      <c r="F581">
        <f>VLOOKUP($D581,'[2]LC Dynamic'!$Q$2:$U$542,3,FALSE)</f>
        <v>0</v>
      </c>
      <c r="G581">
        <f>VLOOKUP($D581,'[2]LC Dynamic'!$Q$2:$U$542,4,FALSE)</f>
        <v>0.308</v>
      </c>
      <c r="H581">
        <f>VLOOKUP($D581,'[2]LC Dynamic'!$Q$2:$U$542,5,FALSE)</f>
        <v>0.69199999999999995</v>
      </c>
      <c r="I581" s="77">
        <f t="shared" si="1389"/>
        <v>1</v>
      </c>
      <c r="J581" s="77">
        <f t="shared" si="1390"/>
        <v>6.9728499999999985E-2</v>
      </c>
      <c r="K581" s="77">
        <f t="shared" si="1475"/>
        <v>5.632878498097682E-3</v>
      </c>
      <c r="L581" s="76">
        <v>0</v>
      </c>
      <c r="M581" s="77">
        <f t="shared" si="1408"/>
        <v>0</v>
      </c>
      <c r="N581" s="77">
        <f t="shared" si="1409"/>
        <v>0</v>
      </c>
      <c r="O581" s="77">
        <f t="shared" si="1410"/>
        <v>5.6775999999999997E-3</v>
      </c>
      <c r="P581" s="77">
        <f t="shared" si="1411"/>
        <v>4.7436902124819991E-4</v>
      </c>
      <c r="R581" t="s">
        <v>177</v>
      </c>
      <c r="S581" t="s">
        <v>179</v>
      </c>
      <c r="T581" s="197" t="str">
        <f t="shared" si="1467"/>
        <v>Autopilot_Dynamic_506</v>
      </c>
      <c r="U581">
        <v>506</v>
      </c>
      <c r="V581">
        <f>VLOOKUP($U581,'[2]AP Dynamic'!$Q$1:$T$542,2,FALSE)</f>
        <v>0.88888888888888884</v>
      </c>
      <c r="W581">
        <f>VLOOKUP($U581,'[2]AP Dynamic'!$Q$1:$T$542,3,FALSE)</f>
        <v>0.11111111111111116</v>
      </c>
      <c r="X581">
        <f>VLOOKUP($U581,'[2]AP Dynamic'!$Q$1:$T$542,4,FALSE)</f>
        <v>0</v>
      </c>
      <c r="Y581" s="77">
        <f t="shared" si="1468"/>
        <v>1</v>
      </c>
      <c r="Z581" s="77">
        <f t="shared" si="1476"/>
        <v>6.3149999999999984E-2</v>
      </c>
      <c r="AA581" s="77">
        <f t="shared" si="1477"/>
        <v>5.1160591879111372E-3</v>
      </c>
      <c r="AB581" s="79">
        <v>1</v>
      </c>
      <c r="AC581" s="77">
        <f t="shared" si="1412"/>
        <v>8.277777777777778E-3</v>
      </c>
      <c r="AD581" s="77">
        <f t="shared" ref="AD581" si="1564">1-(1-AC581)^(1/12)</f>
        <v>6.9244588451522482E-4</v>
      </c>
      <c r="AE581" s="77">
        <f t="shared" si="1414"/>
        <v>2.5000000000000001E-3</v>
      </c>
      <c r="AF581" s="77">
        <f t="shared" ref="AF581" si="1565">1-(1-AE581)^(1/12)</f>
        <v>2.0857243058891584E-4</v>
      </c>
      <c r="AH581" t="s">
        <v>175</v>
      </c>
      <c r="AI581" t="s">
        <v>179</v>
      </c>
      <c r="AJ581" s="197" t="str">
        <f t="shared" si="1398"/>
        <v>Lifecycle_Dynamic_506</v>
      </c>
      <c r="AK581">
        <v>506</v>
      </c>
      <c r="AL581">
        <f>VLOOKUP($U581,[2]Standard_Dynamic!$Q$1:$T$542,2,FALSE)</f>
        <v>0.88888888888888884</v>
      </c>
      <c r="AM581">
        <f>VLOOKUP($U581,[2]Standard_Dynamic!$Q$1:$T$542,3,FALSE)</f>
        <v>0.11111111111111116</v>
      </c>
      <c r="AN581">
        <f>VLOOKUP($U581,[2]Standard_Dynamic!$Q$1:$T$542,4,FALSE)</f>
        <v>0</v>
      </c>
      <c r="AO581" s="77">
        <f t="shared" si="1399"/>
        <v>1</v>
      </c>
      <c r="AP581" s="77">
        <f t="shared" si="1416"/>
        <v>6.3149999999999984E-2</v>
      </c>
      <c r="AQ581" s="77">
        <f t="shared" si="1400"/>
        <v>5.1160591879111372E-3</v>
      </c>
      <c r="AR581" s="79">
        <v>0</v>
      </c>
      <c r="AS581" s="77">
        <f t="shared" si="1417"/>
        <v>0</v>
      </c>
      <c r="AT581" s="77">
        <f t="shared" ref="AT581" si="1566">1-(1-AS581)^(1/12)</f>
        <v>0</v>
      </c>
      <c r="AU581" s="77">
        <f t="shared" si="1419"/>
        <v>2.5000000000000001E-3</v>
      </c>
      <c r="AV581" s="77">
        <f t="shared" ref="AV581" si="1567">1-(1-AU581)^(1/12)</f>
        <v>2.0857243058891584E-4</v>
      </c>
      <c r="AX581" t="s">
        <v>178</v>
      </c>
      <c r="AY581" t="s">
        <v>162</v>
      </c>
      <c r="AZ581" s="197" t="str">
        <f t="shared" si="1502"/>
        <v>DIS_Standard_506</v>
      </c>
      <c r="BA581">
        <v>506</v>
      </c>
      <c r="BB581">
        <f>VLOOKUP($BA581,'[2]Standard DIS'!$Q$1:$X$542,4,FALSE)</f>
        <v>0</v>
      </c>
      <c r="BF581">
        <f>VLOOKUP($BA581,'[2]Standard DIS'!$Q$1:$X$542,2,FALSE)</f>
        <v>0.88888888888888884</v>
      </c>
      <c r="BH581">
        <f>VLOOKUP($BA581,'[2]Standard DIS'!$Q$1:$X$542,3,FALSE)</f>
        <v>0.11111111111111116</v>
      </c>
      <c r="BI581" s="77">
        <f t="shared" si="1404"/>
        <v>1</v>
      </c>
      <c r="BJ581" s="77">
        <f t="shared" si="1405"/>
        <v>6.3149999999999984E-2</v>
      </c>
      <c r="BK581" s="77">
        <f t="shared" si="1503"/>
        <v>5.1160591879111372E-3</v>
      </c>
      <c r="BL581" s="79">
        <v>0</v>
      </c>
      <c r="BM581" s="77">
        <f t="shared" si="1421"/>
        <v>0</v>
      </c>
      <c r="BN581" s="77">
        <f t="shared" si="1422"/>
        <v>0</v>
      </c>
      <c r="BO581" s="77">
        <f t="shared" si="1423"/>
        <v>2.5000000000000001E-3</v>
      </c>
      <c r="BP581" s="77">
        <f t="shared" si="1424"/>
        <v>2.0809499864316017E-4</v>
      </c>
    </row>
    <row r="582" spans="1:68">
      <c r="A582" t="s">
        <v>175</v>
      </c>
      <c r="B582" t="s">
        <v>179</v>
      </c>
      <c r="C582" s="197" t="str">
        <f t="shared" si="1465"/>
        <v>Lifecycle_Dynamic_505</v>
      </c>
      <c r="D582">
        <v>505</v>
      </c>
      <c r="E582">
        <f>VLOOKUP($D582,'[2]LC Dynamic'!$Q$2:$U$542,2,FALSE)</f>
        <v>0</v>
      </c>
      <c r="F582">
        <f>VLOOKUP($D582,'[2]LC Dynamic'!$Q$2:$U$542,3,FALSE)</f>
        <v>0</v>
      </c>
      <c r="G582">
        <f>VLOOKUP($D582,'[2]LC Dynamic'!$Q$2:$U$542,4,FALSE)</f>
        <v>0.308</v>
      </c>
      <c r="H582">
        <f>VLOOKUP($D582,'[2]LC Dynamic'!$Q$2:$U$542,5,FALSE)</f>
        <v>0.69199999999999995</v>
      </c>
      <c r="I582" s="77">
        <f t="shared" si="1389"/>
        <v>1</v>
      </c>
      <c r="J582" s="77">
        <f t="shared" si="1390"/>
        <v>6.9728499999999985E-2</v>
      </c>
      <c r="K582" s="77">
        <f t="shared" si="1475"/>
        <v>5.632878498097682E-3</v>
      </c>
      <c r="L582" s="76">
        <v>0</v>
      </c>
      <c r="M582" s="77">
        <f t="shared" si="1408"/>
        <v>0</v>
      </c>
      <c r="N582" s="77">
        <f t="shared" si="1409"/>
        <v>0</v>
      </c>
      <c r="O582" s="77">
        <f t="shared" si="1410"/>
        <v>5.6775999999999997E-3</v>
      </c>
      <c r="P582" s="77">
        <f t="shared" si="1411"/>
        <v>4.7436902124819991E-4</v>
      </c>
      <c r="R582" t="s">
        <v>177</v>
      </c>
      <c r="S582" t="s">
        <v>179</v>
      </c>
      <c r="T582" s="197" t="str">
        <f t="shared" si="1467"/>
        <v>Autopilot_Dynamic_505</v>
      </c>
      <c r="U582">
        <v>505</v>
      </c>
      <c r="V582">
        <f>VLOOKUP($U582,'[2]AP Dynamic'!$Q$1:$T$542,2,FALSE)</f>
        <v>0.88888888888888884</v>
      </c>
      <c r="W582">
        <f>VLOOKUP($U582,'[2]AP Dynamic'!$Q$1:$T$542,3,FALSE)</f>
        <v>0.11111111111111116</v>
      </c>
      <c r="X582">
        <f>VLOOKUP($U582,'[2]AP Dynamic'!$Q$1:$T$542,4,FALSE)</f>
        <v>0</v>
      </c>
      <c r="Y582" s="77">
        <f t="shared" si="1468"/>
        <v>1</v>
      </c>
      <c r="Z582" s="77">
        <f t="shared" si="1476"/>
        <v>6.3149999999999984E-2</v>
      </c>
      <c r="AA582" s="77">
        <f t="shared" si="1477"/>
        <v>5.1160591879111372E-3</v>
      </c>
      <c r="AB582" s="79">
        <v>1</v>
      </c>
      <c r="AC582" s="77">
        <f t="shared" si="1412"/>
        <v>8.277777777777778E-3</v>
      </c>
      <c r="AD582" s="77">
        <f t="shared" ref="AD582" si="1568">1-(1-AC582)^(1/12)</f>
        <v>6.9244588451522482E-4</v>
      </c>
      <c r="AE582" s="77">
        <f t="shared" si="1414"/>
        <v>2.5000000000000001E-3</v>
      </c>
      <c r="AF582" s="77">
        <f t="shared" ref="AF582" si="1569">1-(1-AE582)^(1/12)</f>
        <v>2.0857243058891584E-4</v>
      </c>
      <c r="AH582" t="s">
        <v>175</v>
      </c>
      <c r="AI582" t="s">
        <v>179</v>
      </c>
      <c r="AJ582" s="197" t="str">
        <f t="shared" si="1398"/>
        <v>Lifecycle_Dynamic_505</v>
      </c>
      <c r="AK582">
        <v>505</v>
      </c>
      <c r="AL582">
        <f>VLOOKUP($U582,[2]Standard_Dynamic!$Q$1:$T$542,2,FALSE)</f>
        <v>0.88888888888888884</v>
      </c>
      <c r="AM582">
        <f>VLOOKUP($U582,[2]Standard_Dynamic!$Q$1:$T$542,3,FALSE)</f>
        <v>0.11111111111111116</v>
      </c>
      <c r="AN582">
        <f>VLOOKUP($U582,[2]Standard_Dynamic!$Q$1:$T$542,4,FALSE)</f>
        <v>0</v>
      </c>
      <c r="AO582" s="77">
        <f t="shared" si="1399"/>
        <v>1</v>
      </c>
      <c r="AP582" s="77">
        <f t="shared" si="1416"/>
        <v>6.3149999999999984E-2</v>
      </c>
      <c r="AQ582" s="77">
        <f t="shared" si="1400"/>
        <v>5.1160591879111372E-3</v>
      </c>
      <c r="AR582" s="79">
        <v>0</v>
      </c>
      <c r="AS582" s="77">
        <f t="shared" si="1417"/>
        <v>0</v>
      </c>
      <c r="AT582" s="77">
        <f t="shared" ref="AT582" si="1570">1-(1-AS582)^(1/12)</f>
        <v>0</v>
      </c>
      <c r="AU582" s="77">
        <f t="shared" si="1419"/>
        <v>2.5000000000000001E-3</v>
      </c>
      <c r="AV582" s="77">
        <f t="shared" ref="AV582" si="1571">1-(1-AU582)^(1/12)</f>
        <v>2.0857243058891584E-4</v>
      </c>
      <c r="AX582" t="s">
        <v>178</v>
      </c>
      <c r="AY582" t="s">
        <v>162</v>
      </c>
      <c r="AZ582" s="197" t="str">
        <f t="shared" si="1502"/>
        <v>DIS_Standard_505</v>
      </c>
      <c r="BA582">
        <v>505</v>
      </c>
      <c r="BB582">
        <f>VLOOKUP($BA582,'[2]Standard DIS'!$Q$1:$X$542,4,FALSE)</f>
        <v>0</v>
      </c>
      <c r="BF582">
        <f>VLOOKUP($BA582,'[2]Standard DIS'!$Q$1:$X$542,2,FALSE)</f>
        <v>0.88888888888888884</v>
      </c>
      <c r="BH582">
        <f>VLOOKUP($BA582,'[2]Standard DIS'!$Q$1:$X$542,3,FALSE)</f>
        <v>0.11111111111111116</v>
      </c>
      <c r="BI582" s="77">
        <f t="shared" si="1404"/>
        <v>1</v>
      </c>
      <c r="BJ582" s="77">
        <f t="shared" si="1405"/>
        <v>6.3149999999999984E-2</v>
      </c>
      <c r="BK582" s="77">
        <f t="shared" si="1503"/>
        <v>5.1160591879111372E-3</v>
      </c>
      <c r="BL582" s="79">
        <v>0</v>
      </c>
      <c r="BM582" s="77">
        <f t="shared" si="1421"/>
        <v>0</v>
      </c>
      <c r="BN582" s="77">
        <f t="shared" si="1422"/>
        <v>0</v>
      </c>
      <c r="BO582" s="77">
        <f t="shared" si="1423"/>
        <v>2.5000000000000001E-3</v>
      </c>
      <c r="BP582" s="77">
        <f t="shared" si="1424"/>
        <v>2.0809499864316017E-4</v>
      </c>
    </row>
    <row r="583" spans="1:68">
      <c r="A583" t="s">
        <v>175</v>
      </c>
      <c r="B583" t="s">
        <v>179</v>
      </c>
      <c r="C583" s="197" t="str">
        <f t="shared" si="1465"/>
        <v>Lifecycle_Dynamic_504</v>
      </c>
      <c r="D583">
        <v>504</v>
      </c>
      <c r="E583">
        <f>VLOOKUP($D583,'[2]LC Dynamic'!$Q$2:$U$542,2,FALSE)</f>
        <v>0</v>
      </c>
      <c r="F583">
        <f>VLOOKUP($D583,'[2]LC Dynamic'!$Q$2:$U$542,3,FALSE)</f>
        <v>0</v>
      </c>
      <c r="G583">
        <f>VLOOKUP($D583,'[2]LC Dynamic'!$Q$2:$U$542,4,FALSE)</f>
        <v>0.308</v>
      </c>
      <c r="H583">
        <f>VLOOKUP($D583,'[2]LC Dynamic'!$Q$2:$U$542,5,FALSE)</f>
        <v>0.69199999999999995</v>
      </c>
      <c r="I583" s="77">
        <f t="shared" si="1389"/>
        <v>1</v>
      </c>
      <c r="J583" s="77">
        <f t="shared" si="1390"/>
        <v>6.9728499999999985E-2</v>
      </c>
      <c r="K583" s="77">
        <f t="shared" si="1475"/>
        <v>5.632878498097682E-3</v>
      </c>
      <c r="L583" s="76">
        <v>0</v>
      </c>
      <c r="M583" s="77">
        <f t="shared" si="1408"/>
        <v>0</v>
      </c>
      <c r="N583" s="77">
        <f t="shared" si="1409"/>
        <v>0</v>
      </c>
      <c r="O583" s="77">
        <f t="shared" si="1410"/>
        <v>5.6775999999999997E-3</v>
      </c>
      <c r="P583" s="77">
        <f t="shared" si="1411"/>
        <v>4.7436902124819991E-4</v>
      </c>
      <c r="R583" t="s">
        <v>177</v>
      </c>
      <c r="S583" t="s">
        <v>179</v>
      </c>
      <c r="T583" s="197" t="str">
        <f t="shared" si="1467"/>
        <v>Autopilot_Dynamic_504</v>
      </c>
      <c r="U583">
        <v>504</v>
      </c>
      <c r="V583">
        <f>VLOOKUP($U583,'[2]AP Dynamic'!$Q$1:$T$542,2,FALSE)</f>
        <v>0.88888888888888884</v>
      </c>
      <c r="W583">
        <f>VLOOKUP($U583,'[2]AP Dynamic'!$Q$1:$T$542,3,FALSE)</f>
        <v>0.11111111111111116</v>
      </c>
      <c r="X583">
        <f>VLOOKUP($U583,'[2]AP Dynamic'!$Q$1:$T$542,4,FALSE)</f>
        <v>0</v>
      </c>
      <c r="Y583" s="77">
        <f t="shared" si="1468"/>
        <v>1</v>
      </c>
      <c r="Z583" s="77">
        <f t="shared" si="1476"/>
        <v>6.3149999999999984E-2</v>
      </c>
      <c r="AA583" s="77">
        <f t="shared" si="1477"/>
        <v>5.1160591879111372E-3</v>
      </c>
      <c r="AB583" s="79">
        <v>1</v>
      </c>
      <c r="AC583" s="77">
        <f t="shared" si="1412"/>
        <v>8.277777777777778E-3</v>
      </c>
      <c r="AD583" s="77">
        <f t="shared" ref="AD583" si="1572">1-(1-AC583)^(1/12)</f>
        <v>6.9244588451522482E-4</v>
      </c>
      <c r="AE583" s="77">
        <f t="shared" si="1414"/>
        <v>2.5000000000000001E-3</v>
      </c>
      <c r="AF583" s="77">
        <f t="shared" ref="AF583" si="1573">1-(1-AE583)^(1/12)</f>
        <v>2.0857243058891584E-4</v>
      </c>
      <c r="AH583" t="s">
        <v>175</v>
      </c>
      <c r="AI583" t="s">
        <v>179</v>
      </c>
      <c r="AJ583" s="197" t="str">
        <f t="shared" si="1398"/>
        <v>Lifecycle_Dynamic_504</v>
      </c>
      <c r="AK583">
        <v>504</v>
      </c>
      <c r="AL583">
        <f>VLOOKUP($U583,[2]Standard_Dynamic!$Q$1:$T$542,2,FALSE)</f>
        <v>0.88888888888888884</v>
      </c>
      <c r="AM583">
        <f>VLOOKUP($U583,[2]Standard_Dynamic!$Q$1:$T$542,3,FALSE)</f>
        <v>0.11111111111111116</v>
      </c>
      <c r="AN583">
        <f>VLOOKUP($U583,[2]Standard_Dynamic!$Q$1:$T$542,4,FALSE)</f>
        <v>0</v>
      </c>
      <c r="AO583" s="77">
        <f t="shared" si="1399"/>
        <v>1</v>
      </c>
      <c r="AP583" s="77">
        <f t="shared" si="1416"/>
        <v>6.3149999999999984E-2</v>
      </c>
      <c r="AQ583" s="77">
        <f t="shared" si="1400"/>
        <v>5.1160591879111372E-3</v>
      </c>
      <c r="AR583" s="79">
        <v>0</v>
      </c>
      <c r="AS583" s="77">
        <f t="shared" si="1417"/>
        <v>0</v>
      </c>
      <c r="AT583" s="77">
        <f t="shared" ref="AT583" si="1574">1-(1-AS583)^(1/12)</f>
        <v>0</v>
      </c>
      <c r="AU583" s="77">
        <f t="shared" si="1419"/>
        <v>2.5000000000000001E-3</v>
      </c>
      <c r="AV583" s="77">
        <f t="shared" ref="AV583" si="1575">1-(1-AU583)^(1/12)</f>
        <v>2.0857243058891584E-4</v>
      </c>
      <c r="AX583" t="s">
        <v>178</v>
      </c>
      <c r="AY583" t="s">
        <v>162</v>
      </c>
      <c r="AZ583" s="197" t="str">
        <f t="shared" si="1502"/>
        <v>DIS_Standard_504</v>
      </c>
      <c r="BA583">
        <v>504</v>
      </c>
      <c r="BB583">
        <f>VLOOKUP($BA583,'[2]Standard DIS'!$Q$1:$X$542,4,FALSE)</f>
        <v>0</v>
      </c>
      <c r="BF583">
        <f>VLOOKUP($BA583,'[2]Standard DIS'!$Q$1:$X$542,2,FALSE)</f>
        <v>0.88888888888888884</v>
      </c>
      <c r="BH583">
        <f>VLOOKUP($BA583,'[2]Standard DIS'!$Q$1:$X$542,3,FALSE)</f>
        <v>0.11111111111111116</v>
      </c>
      <c r="BI583" s="77">
        <f t="shared" si="1404"/>
        <v>1</v>
      </c>
      <c r="BJ583" s="77">
        <f t="shared" si="1405"/>
        <v>6.3149999999999984E-2</v>
      </c>
      <c r="BK583" s="77">
        <f t="shared" si="1503"/>
        <v>5.1160591879111372E-3</v>
      </c>
      <c r="BL583" s="79">
        <v>0</v>
      </c>
      <c r="BM583" s="77">
        <f t="shared" si="1421"/>
        <v>0</v>
      </c>
      <c r="BN583" s="77">
        <f t="shared" si="1422"/>
        <v>0</v>
      </c>
      <c r="BO583" s="77">
        <f t="shared" si="1423"/>
        <v>2.5000000000000001E-3</v>
      </c>
      <c r="BP583" s="77">
        <f t="shared" si="1424"/>
        <v>2.0809499864316017E-4</v>
      </c>
    </row>
    <row r="584" spans="1:68">
      <c r="A584" t="s">
        <v>175</v>
      </c>
      <c r="B584" t="s">
        <v>179</v>
      </c>
      <c r="C584" s="197" t="str">
        <f t="shared" si="1465"/>
        <v>Lifecycle_Dynamic_503</v>
      </c>
      <c r="D584">
        <v>503</v>
      </c>
      <c r="E584">
        <f>VLOOKUP($D584,'[2]LC Dynamic'!$Q$2:$U$542,2,FALSE)</f>
        <v>0</v>
      </c>
      <c r="F584">
        <f>VLOOKUP($D584,'[2]LC Dynamic'!$Q$2:$U$542,3,FALSE)</f>
        <v>0</v>
      </c>
      <c r="G584">
        <f>VLOOKUP($D584,'[2]LC Dynamic'!$Q$2:$U$542,4,FALSE)</f>
        <v>0.308</v>
      </c>
      <c r="H584">
        <f>VLOOKUP($D584,'[2]LC Dynamic'!$Q$2:$U$542,5,FALSE)</f>
        <v>0.69199999999999995</v>
      </c>
      <c r="I584" s="77">
        <f t="shared" si="1389"/>
        <v>1</v>
      </c>
      <c r="J584" s="77">
        <f t="shared" si="1390"/>
        <v>6.9728499999999985E-2</v>
      </c>
      <c r="K584" s="77">
        <f t="shared" si="1475"/>
        <v>5.632878498097682E-3</v>
      </c>
      <c r="L584" s="76">
        <v>0</v>
      </c>
      <c r="M584" s="77">
        <f t="shared" si="1408"/>
        <v>0</v>
      </c>
      <c r="N584" s="77">
        <f t="shared" si="1409"/>
        <v>0</v>
      </c>
      <c r="O584" s="77">
        <f t="shared" si="1410"/>
        <v>5.6775999999999997E-3</v>
      </c>
      <c r="P584" s="77">
        <f t="shared" si="1411"/>
        <v>4.7436902124819991E-4</v>
      </c>
      <c r="R584" t="s">
        <v>177</v>
      </c>
      <c r="S584" t="s">
        <v>179</v>
      </c>
      <c r="T584" s="197" t="str">
        <f t="shared" si="1467"/>
        <v>Autopilot_Dynamic_503</v>
      </c>
      <c r="U584">
        <v>503</v>
      </c>
      <c r="V584">
        <f>VLOOKUP($U584,'[2]AP Dynamic'!$Q$1:$T$542,2,FALSE)</f>
        <v>0.88888888888888884</v>
      </c>
      <c r="W584">
        <f>VLOOKUP($U584,'[2]AP Dynamic'!$Q$1:$T$542,3,FALSE)</f>
        <v>0.11111111111111116</v>
      </c>
      <c r="X584">
        <f>VLOOKUP($U584,'[2]AP Dynamic'!$Q$1:$T$542,4,FALSE)</f>
        <v>0</v>
      </c>
      <c r="Y584" s="77">
        <f t="shared" si="1468"/>
        <v>1</v>
      </c>
      <c r="Z584" s="77">
        <f t="shared" si="1476"/>
        <v>6.3149999999999984E-2</v>
      </c>
      <c r="AA584" s="77">
        <f t="shared" si="1477"/>
        <v>5.1160591879111372E-3</v>
      </c>
      <c r="AB584" s="79">
        <v>1</v>
      </c>
      <c r="AC584" s="77">
        <f t="shared" si="1412"/>
        <v>8.277777777777778E-3</v>
      </c>
      <c r="AD584" s="77">
        <f t="shared" ref="AD584" si="1576">1-(1-AC584)^(1/12)</f>
        <v>6.9244588451522482E-4</v>
      </c>
      <c r="AE584" s="77">
        <f t="shared" si="1414"/>
        <v>2.5000000000000001E-3</v>
      </c>
      <c r="AF584" s="77">
        <f t="shared" ref="AF584" si="1577">1-(1-AE584)^(1/12)</f>
        <v>2.0857243058891584E-4</v>
      </c>
      <c r="AH584" t="s">
        <v>175</v>
      </c>
      <c r="AI584" t="s">
        <v>179</v>
      </c>
      <c r="AJ584" s="197" t="str">
        <f t="shared" si="1398"/>
        <v>Lifecycle_Dynamic_503</v>
      </c>
      <c r="AK584">
        <v>503</v>
      </c>
      <c r="AL584">
        <f>VLOOKUP($U584,[2]Standard_Dynamic!$Q$1:$T$542,2,FALSE)</f>
        <v>0.88888888888888884</v>
      </c>
      <c r="AM584">
        <f>VLOOKUP($U584,[2]Standard_Dynamic!$Q$1:$T$542,3,FALSE)</f>
        <v>0.11111111111111116</v>
      </c>
      <c r="AN584">
        <f>VLOOKUP($U584,[2]Standard_Dynamic!$Q$1:$T$542,4,FALSE)</f>
        <v>0</v>
      </c>
      <c r="AO584" s="77">
        <f t="shared" si="1399"/>
        <v>1</v>
      </c>
      <c r="AP584" s="77">
        <f t="shared" si="1416"/>
        <v>6.3149999999999984E-2</v>
      </c>
      <c r="AQ584" s="77">
        <f t="shared" si="1400"/>
        <v>5.1160591879111372E-3</v>
      </c>
      <c r="AR584" s="79">
        <v>0</v>
      </c>
      <c r="AS584" s="77">
        <f t="shared" si="1417"/>
        <v>0</v>
      </c>
      <c r="AT584" s="77">
        <f t="shared" ref="AT584" si="1578">1-(1-AS584)^(1/12)</f>
        <v>0</v>
      </c>
      <c r="AU584" s="77">
        <f t="shared" si="1419"/>
        <v>2.5000000000000001E-3</v>
      </c>
      <c r="AV584" s="77">
        <f t="shared" ref="AV584" si="1579">1-(1-AU584)^(1/12)</f>
        <v>2.0857243058891584E-4</v>
      </c>
      <c r="AX584" t="s">
        <v>178</v>
      </c>
      <c r="AY584" t="s">
        <v>162</v>
      </c>
      <c r="AZ584" s="197" t="str">
        <f t="shared" si="1502"/>
        <v>DIS_Standard_503</v>
      </c>
      <c r="BA584">
        <v>503</v>
      </c>
      <c r="BB584">
        <f>VLOOKUP($BA584,'[2]Standard DIS'!$Q$1:$X$542,4,FALSE)</f>
        <v>0</v>
      </c>
      <c r="BF584">
        <f>VLOOKUP($BA584,'[2]Standard DIS'!$Q$1:$X$542,2,FALSE)</f>
        <v>0.88888888888888884</v>
      </c>
      <c r="BH584">
        <f>VLOOKUP($BA584,'[2]Standard DIS'!$Q$1:$X$542,3,FALSE)</f>
        <v>0.11111111111111116</v>
      </c>
      <c r="BI584" s="77">
        <f t="shared" si="1404"/>
        <v>1</v>
      </c>
      <c r="BJ584" s="77">
        <f t="shared" si="1405"/>
        <v>6.3149999999999984E-2</v>
      </c>
      <c r="BK584" s="77">
        <f t="shared" si="1503"/>
        <v>5.1160591879111372E-3</v>
      </c>
      <c r="BL584" s="79">
        <v>0</v>
      </c>
      <c r="BM584" s="77">
        <f t="shared" si="1421"/>
        <v>0</v>
      </c>
      <c r="BN584" s="77">
        <f t="shared" si="1422"/>
        <v>0</v>
      </c>
      <c r="BO584" s="77">
        <f t="shared" si="1423"/>
        <v>2.5000000000000001E-3</v>
      </c>
      <c r="BP584" s="77">
        <f t="shared" si="1424"/>
        <v>2.0809499864316017E-4</v>
      </c>
    </row>
    <row r="585" spans="1:68">
      <c r="A585" t="s">
        <v>175</v>
      </c>
      <c r="B585" t="s">
        <v>179</v>
      </c>
      <c r="C585" s="197" t="str">
        <f t="shared" si="1465"/>
        <v>Lifecycle_Dynamic_502</v>
      </c>
      <c r="D585">
        <v>502</v>
      </c>
      <c r="E585">
        <f>VLOOKUP($D585,'[2]LC Dynamic'!$Q$2:$U$542,2,FALSE)</f>
        <v>0</v>
      </c>
      <c r="F585">
        <f>VLOOKUP($D585,'[2]LC Dynamic'!$Q$2:$U$542,3,FALSE)</f>
        <v>0</v>
      </c>
      <c r="G585">
        <f>VLOOKUP($D585,'[2]LC Dynamic'!$Q$2:$U$542,4,FALSE)</f>
        <v>0.308</v>
      </c>
      <c r="H585">
        <f>VLOOKUP($D585,'[2]LC Dynamic'!$Q$2:$U$542,5,FALSE)</f>
        <v>0.69199999999999995</v>
      </c>
      <c r="I585" s="77">
        <f t="shared" si="1389"/>
        <v>1</v>
      </c>
      <c r="J585" s="77">
        <f t="shared" si="1390"/>
        <v>6.9728499999999985E-2</v>
      </c>
      <c r="K585" s="77">
        <f t="shared" si="1475"/>
        <v>5.632878498097682E-3</v>
      </c>
      <c r="L585" s="76">
        <v>0</v>
      </c>
      <c r="M585" s="77">
        <f t="shared" si="1408"/>
        <v>0</v>
      </c>
      <c r="N585" s="77">
        <f t="shared" si="1409"/>
        <v>0</v>
      </c>
      <c r="O585" s="77">
        <f t="shared" si="1410"/>
        <v>5.6775999999999997E-3</v>
      </c>
      <c r="P585" s="77">
        <f t="shared" si="1411"/>
        <v>4.7436902124819991E-4</v>
      </c>
      <c r="R585" t="s">
        <v>177</v>
      </c>
      <c r="S585" t="s">
        <v>179</v>
      </c>
      <c r="T585" s="197" t="str">
        <f t="shared" si="1467"/>
        <v>Autopilot_Dynamic_502</v>
      </c>
      <c r="U585">
        <v>502</v>
      </c>
      <c r="V585">
        <f>VLOOKUP($U585,'[2]AP Dynamic'!$Q$1:$T$542,2,FALSE)</f>
        <v>0.88888888888888884</v>
      </c>
      <c r="W585">
        <f>VLOOKUP($U585,'[2]AP Dynamic'!$Q$1:$T$542,3,FALSE)</f>
        <v>0.11111111111111116</v>
      </c>
      <c r="X585">
        <f>VLOOKUP($U585,'[2]AP Dynamic'!$Q$1:$T$542,4,FALSE)</f>
        <v>0</v>
      </c>
      <c r="Y585" s="77">
        <f t="shared" si="1468"/>
        <v>1</v>
      </c>
      <c r="Z585" s="77">
        <f t="shared" si="1476"/>
        <v>6.3149999999999984E-2</v>
      </c>
      <c r="AA585" s="77">
        <f t="shared" si="1477"/>
        <v>5.1160591879111372E-3</v>
      </c>
      <c r="AB585" s="79">
        <v>1</v>
      </c>
      <c r="AC585" s="77">
        <f t="shared" si="1412"/>
        <v>8.277777777777778E-3</v>
      </c>
      <c r="AD585" s="77">
        <f t="shared" ref="AD585" si="1580">1-(1-AC585)^(1/12)</f>
        <v>6.9244588451522482E-4</v>
      </c>
      <c r="AE585" s="77">
        <f t="shared" si="1414"/>
        <v>2.5000000000000001E-3</v>
      </c>
      <c r="AF585" s="77">
        <f t="shared" ref="AF585" si="1581">1-(1-AE585)^(1/12)</f>
        <v>2.0857243058891584E-4</v>
      </c>
      <c r="AH585" t="s">
        <v>175</v>
      </c>
      <c r="AI585" t="s">
        <v>179</v>
      </c>
      <c r="AJ585" s="197" t="str">
        <f t="shared" si="1398"/>
        <v>Lifecycle_Dynamic_502</v>
      </c>
      <c r="AK585">
        <v>502</v>
      </c>
      <c r="AL585">
        <f>VLOOKUP($U585,[2]Standard_Dynamic!$Q$1:$T$542,2,FALSE)</f>
        <v>0.88888888888888884</v>
      </c>
      <c r="AM585">
        <f>VLOOKUP($U585,[2]Standard_Dynamic!$Q$1:$T$542,3,FALSE)</f>
        <v>0.11111111111111116</v>
      </c>
      <c r="AN585">
        <f>VLOOKUP($U585,[2]Standard_Dynamic!$Q$1:$T$542,4,FALSE)</f>
        <v>0</v>
      </c>
      <c r="AO585" s="77">
        <f t="shared" si="1399"/>
        <v>1</v>
      </c>
      <c r="AP585" s="77">
        <f t="shared" si="1416"/>
        <v>6.3149999999999984E-2</v>
      </c>
      <c r="AQ585" s="77">
        <f t="shared" si="1400"/>
        <v>5.1160591879111372E-3</v>
      </c>
      <c r="AR585" s="79">
        <v>0</v>
      </c>
      <c r="AS585" s="77">
        <f t="shared" si="1417"/>
        <v>0</v>
      </c>
      <c r="AT585" s="77">
        <f t="shared" ref="AT585" si="1582">1-(1-AS585)^(1/12)</f>
        <v>0</v>
      </c>
      <c r="AU585" s="77">
        <f t="shared" si="1419"/>
        <v>2.5000000000000001E-3</v>
      </c>
      <c r="AV585" s="77">
        <f t="shared" ref="AV585" si="1583">1-(1-AU585)^(1/12)</f>
        <v>2.0857243058891584E-4</v>
      </c>
      <c r="AX585" t="s">
        <v>178</v>
      </c>
      <c r="AY585" t="s">
        <v>162</v>
      </c>
      <c r="AZ585" s="197" t="str">
        <f t="shared" si="1502"/>
        <v>DIS_Standard_502</v>
      </c>
      <c r="BA585">
        <v>502</v>
      </c>
      <c r="BB585">
        <f>VLOOKUP($BA585,'[2]Standard DIS'!$Q$1:$X$542,4,FALSE)</f>
        <v>0</v>
      </c>
      <c r="BF585">
        <f>VLOOKUP($BA585,'[2]Standard DIS'!$Q$1:$X$542,2,FALSE)</f>
        <v>0.88888888888888884</v>
      </c>
      <c r="BH585">
        <f>VLOOKUP($BA585,'[2]Standard DIS'!$Q$1:$X$542,3,FALSE)</f>
        <v>0.11111111111111116</v>
      </c>
      <c r="BI585" s="77">
        <f t="shared" si="1404"/>
        <v>1</v>
      </c>
      <c r="BJ585" s="77">
        <f t="shared" si="1405"/>
        <v>6.3149999999999984E-2</v>
      </c>
      <c r="BK585" s="77">
        <f t="shared" si="1503"/>
        <v>5.1160591879111372E-3</v>
      </c>
      <c r="BL585" s="79">
        <v>0</v>
      </c>
      <c r="BM585" s="77">
        <f t="shared" si="1421"/>
        <v>0</v>
      </c>
      <c r="BN585" s="77">
        <f t="shared" si="1422"/>
        <v>0</v>
      </c>
      <c r="BO585" s="77">
        <f t="shared" si="1423"/>
        <v>2.5000000000000001E-3</v>
      </c>
      <c r="BP585" s="77">
        <f t="shared" si="1424"/>
        <v>2.0809499864316017E-4</v>
      </c>
    </row>
    <row r="586" spans="1:68">
      <c r="A586" t="s">
        <v>175</v>
      </c>
      <c r="B586" t="s">
        <v>179</v>
      </c>
      <c r="C586" s="197" t="str">
        <f t="shared" si="1465"/>
        <v>Lifecycle_Dynamic_501</v>
      </c>
      <c r="D586">
        <v>501</v>
      </c>
      <c r="E586">
        <f>VLOOKUP($D586,'[2]LC Dynamic'!$Q$2:$U$542,2,FALSE)</f>
        <v>0</v>
      </c>
      <c r="F586">
        <f>VLOOKUP($D586,'[2]LC Dynamic'!$Q$2:$U$542,3,FALSE)</f>
        <v>0</v>
      </c>
      <c r="G586">
        <f>VLOOKUP($D586,'[2]LC Dynamic'!$Q$2:$U$542,4,FALSE)</f>
        <v>0.308</v>
      </c>
      <c r="H586">
        <f>VLOOKUP($D586,'[2]LC Dynamic'!$Q$2:$U$542,5,FALSE)</f>
        <v>0.69199999999999995</v>
      </c>
      <c r="I586" s="77">
        <f t="shared" si="1389"/>
        <v>1</v>
      </c>
      <c r="J586" s="77">
        <f t="shared" si="1390"/>
        <v>6.9728499999999985E-2</v>
      </c>
      <c r="K586" s="77">
        <f t="shared" si="1475"/>
        <v>5.632878498097682E-3</v>
      </c>
      <c r="L586" s="76">
        <v>0</v>
      </c>
      <c r="M586" s="77">
        <f t="shared" si="1408"/>
        <v>0</v>
      </c>
      <c r="N586" s="77">
        <f t="shared" si="1409"/>
        <v>0</v>
      </c>
      <c r="O586" s="77">
        <f t="shared" si="1410"/>
        <v>5.6775999999999997E-3</v>
      </c>
      <c r="P586" s="77">
        <f t="shared" si="1411"/>
        <v>4.7436902124819991E-4</v>
      </c>
      <c r="R586" t="s">
        <v>177</v>
      </c>
      <c r="S586" t="s">
        <v>179</v>
      </c>
      <c r="T586" s="197" t="str">
        <f t="shared" si="1467"/>
        <v>Autopilot_Dynamic_501</v>
      </c>
      <c r="U586">
        <v>501</v>
      </c>
      <c r="V586">
        <f>VLOOKUP($U586,'[2]AP Dynamic'!$Q$1:$T$542,2,FALSE)</f>
        <v>0.88888888888888884</v>
      </c>
      <c r="W586">
        <f>VLOOKUP($U586,'[2]AP Dynamic'!$Q$1:$T$542,3,FALSE)</f>
        <v>0.11111111111111116</v>
      </c>
      <c r="X586">
        <f>VLOOKUP($U586,'[2]AP Dynamic'!$Q$1:$T$542,4,FALSE)</f>
        <v>0</v>
      </c>
      <c r="Y586" s="77">
        <f t="shared" si="1468"/>
        <v>1</v>
      </c>
      <c r="Z586" s="77">
        <f t="shared" si="1476"/>
        <v>6.3149999999999984E-2</v>
      </c>
      <c r="AA586" s="77">
        <f t="shared" si="1477"/>
        <v>5.1160591879111372E-3</v>
      </c>
      <c r="AB586" s="79">
        <v>1</v>
      </c>
      <c r="AC586" s="77">
        <f t="shared" si="1412"/>
        <v>8.277777777777778E-3</v>
      </c>
      <c r="AD586" s="77">
        <f t="shared" ref="AD586" si="1584">1-(1-AC586)^(1/12)</f>
        <v>6.9244588451522482E-4</v>
      </c>
      <c r="AE586" s="77">
        <f t="shared" si="1414"/>
        <v>2.5000000000000001E-3</v>
      </c>
      <c r="AF586" s="77">
        <f t="shared" ref="AF586" si="1585">1-(1-AE586)^(1/12)</f>
        <v>2.0857243058891584E-4</v>
      </c>
      <c r="AH586" t="s">
        <v>175</v>
      </c>
      <c r="AI586" t="s">
        <v>179</v>
      </c>
      <c r="AJ586" s="197" t="str">
        <f t="shared" si="1398"/>
        <v>Lifecycle_Dynamic_501</v>
      </c>
      <c r="AK586">
        <v>501</v>
      </c>
      <c r="AL586">
        <f>VLOOKUP($U586,[2]Standard_Dynamic!$Q$1:$T$542,2,FALSE)</f>
        <v>0.88888888888888884</v>
      </c>
      <c r="AM586">
        <f>VLOOKUP($U586,[2]Standard_Dynamic!$Q$1:$T$542,3,FALSE)</f>
        <v>0.11111111111111116</v>
      </c>
      <c r="AN586">
        <f>VLOOKUP($U586,[2]Standard_Dynamic!$Q$1:$T$542,4,FALSE)</f>
        <v>0</v>
      </c>
      <c r="AO586" s="77">
        <f t="shared" si="1399"/>
        <v>1</v>
      </c>
      <c r="AP586" s="77">
        <f t="shared" si="1416"/>
        <v>6.3149999999999984E-2</v>
      </c>
      <c r="AQ586" s="77">
        <f t="shared" si="1400"/>
        <v>5.1160591879111372E-3</v>
      </c>
      <c r="AR586" s="79">
        <v>0</v>
      </c>
      <c r="AS586" s="77">
        <f t="shared" si="1417"/>
        <v>0</v>
      </c>
      <c r="AT586" s="77">
        <f t="shared" ref="AT586" si="1586">1-(1-AS586)^(1/12)</f>
        <v>0</v>
      </c>
      <c r="AU586" s="77">
        <f t="shared" si="1419"/>
        <v>2.5000000000000001E-3</v>
      </c>
      <c r="AV586" s="77">
        <f t="shared" ref="AV586" si="1587">1-(1-AU586)^(1/12)</f>
        <v>2.0857243058891584E-4</v>
      </c>
      <c r="AX586" t="s">
        <v>178</v>
      </c>
      <c r="AY586" t="s">
        <v>162</v>
      </c>
      <c r="AZ586" s="197" t="str">
        <f t="shared" si="1502"/>
        <v>DIS_Standard_501</v>
      </c>
      <c r="BA586">
        <v>501</v>
      </c>
      <c r="BB586">
        <f>VLOOKUP($BA586,'[2]Standard DIS'!$Q$1:$X$542,4,FALSE)</f>
        <v>0</v>
      </c>
      <c r="BF586">
        <f>VLOOKUP($BA586,'[2]Standard DIS'!$Q$1:$X$542,2,FALSE)</f>
        <v>0.88888888888888884</v>
      </c>
      <c r="BH586">
        <f>VLOOKUP($BA586,'[2]Standard DIS'!$Q$1:$X$542,3,FALSE)</f>
        <v>0.11111111111111116</v>
      </c>
      <c r="BI586" s="77">
        <f t="shared" si="1404"/>
        <v>1</v>
      </c>
      <c r="BJ586" s="77">
        <f t="shared" si="1405"/>
        <v>6.3149999999999984E-2</v>
      </c>
      <c r="BK586" s="77">
        <f t="shared" si="1503"/>
        <v>5.1160591879111372E-3</v>
      </c>
      <c r="BL586" s="79">
        <v>0</v>
      </c>
      <c r="BM586" s="77">
        <f t="shared" si="1421"/>
        <v>0</v>
      </c>
      <c r="BN586" s="77">
        <f t="shared" si="1422"/>
        <v>0</v>
      </c>
      <c r="BO586" s="77">
        <f t="shared" si="1423"/>
        <v>2.5000000000000001E-3</v>
      </c>
      <c r="BP586" s="77">
        <f t="shared" si="1424"/>
        <v>2.0809499864316017E-4</v>
      </c>
    </row>
    <row r="587" spans="1:68">
      <c r="A587" t="s">
        <v>175</v>
      </c>
      <c r="B587" t="s">
        <v>179</v>
      </c>
      <c r="C587" s="197" t="str">
        <f t="shared" si="1465"/>
        <v>Lifecycle_Dynamic_500</v>
      </c>
      <c r="D587">
        <v>500</v>
      </c>
      <c r="E587">
        <f>VLOOKUP($D587,'[2]LC Dynamic'!$Q$2:$U$542,2,FALSE)</f>
        <v>0</v>
      </c>
      <c r="F587">
        <f>VLOOKUP($D587,'[2]LC Dynamic'!$Q$2:$U$542,3,FALSE)</f>
        <v>0</v>
      </c>
      <c r="G587">
        <f>VLOOKUP($D587,'[2]LC Dynamic'!$Q$2:$U$542,4,FALSE)</f>
        <v>0.308</v>
      </c>
      <c r="H587">
        <f>VLOOKUP($D587,'[2]LC Dynamic'!$Q$2:$U$542,5,FALSE)</f>
        <v>0.69199999999999995</v>
      </c>
      <c r="I587" s="77">
        <f t="shared" si="1389"/>
        <v>1</v>
      </c>
      <c r="J587" s="77">
        <f t="shared" si="1390"/>
        <v>6.9728499999999985E-2</v>
      </c>
      <c r="K587" s="77">
        <f t="shared" si="1475"/>
        <v>5.632878498097682E-3</v>
      </c>
      <c r="L587" s="76">
        <v>0</v>
      </c>
      <c r="M587" s="77">
        <f t="shared" si="1408"/>
        <v>0</v>
      </c>
      <c r="N587" s="77">
        <f t="shared" si="1409"/>
        <v>0</v>
      </c>
      <c r="O587" s="77">
        <f t="shared" si="1410"/>
        <v>5.6775999999999997E-3</v>
      </c>
      <c r="P587" s="77">
        <f t="shared" si="1411"/>
        <v>4.7436902124819991E-4</v>
      </c>
      <c r="R587" t="s">
        <v>177</v>
      </c>
      <c r="S587" t="s">
        <v>179</v>
      </c>
      <c r="T587" s="197" t="str">
        <f t="shared" si="1467"/>
        <v>Autopilot_Dynamic_500</v>
      </c>
      <c r="U587">
        <v>500</v>
      </c>
      <c r="V587">
        <f>VLOOKUP($U587,'[2]AP Dynamic'!$Q$1:$T$542,2,FALSE)</f>
        <v>0.88888888888888884</v>
      </c>
      <c r="W587">
        <f>VLOOKUP($U587,'[2]AP Dynamic'!$Q$1:$T$542,3,FALSE)</f>
        <v>0.11111111111111116</v>
      </c>
      <c r="X587">
        <f>VLOOKUP($U587,'[2]AP Dynamic'!$Q$1:$T$542,4,FALSE)</f>
        <v>0</v>
      </c>
      <c r="Y587" s="77">
        <f t="shared" si="1468"/>
        <v>1</v>
      </c>
      <c r="Z587" s="77">
        <f t="shared" si="1476"/>
        <v>6.3149999999999984E-2</v>
      </c>
      <c r="AA587" s="77">
        <f t="shared" si="1477"/>
        <v>5.1160591879111372E-3</v>
      </c>
      <c r="AB587" s="79">
        <v>1</v>
      </c>
      <c r="AC587" s="77">
        <f t="shared" si="1412"/>
        <v>8.277777777777778E-3</v>
      </c>
      <c r="AD587" s="77">
        <f t="shared" ref="AD587" si="1588">1-(1-AC587)^(1/12)</f>
        <v>6.9244588451522482E-4</v>
      </c>
      <c r="AE587" s="77">
        <f t="shared" si="1414"/>
        <v>2.5000000000000001E-3</v>
      </c>
      <c r="AF587" s="77">
        <f t="shared" ref="AF587" si="1589">1-(1-AE587)^(1/12)</f>
        <v>2.0857243058891584E-4</v>
      </c>
      <c r="AH587" t="s">
        <v>175</v>
      </c>
      <c r="AI587" t="s">
        <v>179</v>
      </c>
      <c r="AJ587" s="197" t="str">
        <f t="shared" si="1398"/>
        <v>Lifecycle_Dynamic_500</v>
      </c>
      <c r="AK587">
        <v>500</v>
      </c>
      <c r="AL587">
        <f>VLOOKUP($U587,[2]Standard_Dynamic!$Q$1:$T$542,2,FALSE)</f>
        <v>0.88888888888888884</v>
      </c>
      <c r="AM587">
        <f>VLOOKUP($U587,[2]Standard_Dynamic!$Q$1:$T$542,3,FALSE)</f>
        <v>0.11111111111111116</v>
      </c>
      <c r="AN587">
        <f>VLOOKUP($U587,[2]Standard_Dynamic!$Q$1:$T$542,4,FALSE)</f>
        <v>0</v>
      </c>
      <c r="AO587" s="77">
        <f t="shared" si="1399"/>
        <v>1</v>
      </c>
      <c r="AP587" s="77">
        <f t="shared" si="1416"/>
        <v>6.3149999999999984E-2</v>
      </c>
      <c r="AQ587" s="77">
        <f t="shared" si="1400"/>
        <v>5.1160591879111372E-3</v>
      </c>
      <c r="AR587" s="79">
        <v>0</v>
      </c>
      <c r="AS587" s="77">
        <f t="shared" si="1417"/>
        <v>0</v>
      </c>
      <c r="AT587" s="77">
        <f t="shared" ref="AT587" si="1590">1-(1-AS587)^(1/12)</f>
        <v>0</v>
      </c>
      <c r="AU587" s="77">
        <f t="shared" si="1419"/>
        <v>2.5000000000000001E-3</v>
      </c>
      <c r="AV587" s="77">
        <f t="shared" ref="AV587" si="1591">1-(1-AU587)^(1/12)</f>
        <v>2.0857243058891584E-4</v>
      </c>
      <c r="AX587" t="s">
        <v>178</v>
      </c>
      <c r="AY587" t="s">
        <v>162</v>
      </c>
      <c r="AZ587" s="197" t="str">
        <f t="shared" si="1502"/>
        <v>DIS_Standard_500</v>
      </c>
      <c r="BA587">
        <v>500</v>
      </c>
      <c r="BB587">
        <f>VLOOKUP($BA587,'[2]Standard DIS'!$Q$1:$X$542,4,FALSE)</f>
        <v>0</v>
      </c>
      <c r="BF587">
        <f>VLOOKUP($BA587,'[2]Standard DIS'!$Q$1:$X$542,2,FALSE)</f>
        <v>0.88888888888888884</v>
      </c>
      <c r="BH587">
        <f>VLOOKUP($BA587,'[2]Standard DIS'!$Q$1:$X$542,3,FALSE)</f>
        <v>0.11111111111111116</v>
      </c>
      <c r="BI587" s="77">
        <f t="shared" si="1404"/>
        <v>1</v>
      </c>
      <c r="BJ587" s="77">
        <f t="shared" si="1405"/>
        <v>6.3149999999999984E-2</v>
      </c>
      <c r="BK587" s="77">
        <f t="shared" si="1503"/>
        <v>5.1160591879111372E-3</v>
      </c>
      <c r="BL587" s="79">
        <v>0</v>
      </c>
      <c r="BM587" s="77">
        <f t="shared" si="1421"/>
        <v>0</v>
      </c>
      <c r="BN587" s="77">
        <f t="shared" si="1422"/>
        <v>0</v>
      </c>
      <c r="BO587" s="77">
        <f t="shared" si="1423"/>
        <v>2.5000000000000001E-3</v>
      </c>
      <c r="BP587" s="77">
        <f t="shared" si="1424"/>
        <v>2.0809499864316017E-4</v>
      </c>
    </row>
    <row r="588" spans="1:68">
      <c r="A588" t="s">
        <v>175</v>
      </c>
      <c r="B588" t="s">
        <v>179</v>
      </c>
      <c r="C588" s="197" t="str">
        <f t="shared" si="1465"/>
        <v>Lifecycle_Dynamic_499</v>
      </c>
      <c r="D588">
        <v>499</v>
      </c>
      <c r="E588">
        <f>VLOOKUP($D588,'[2]LC Dynamic'!$Q$2:$U$542,2,FALSE)</f>
        <v>0</v>
      </c>
      <c r="F588">
        <f>VLOOKUP($D588,'[2]LC Dynamic'!$Q$2:$U$542,3,FALSE)</f>
        <v>0</v>
      </c>
      <c r="G588">
        <f>VLOOKUP($D588,'[2]LC Dynamic'!$Q$2:$U$542,4,FALSE)</f>
        <v>0.308</v>
      </c>
      <c r="H588">
        <f>VLOOKUP($D588,'[2]LC Dynamic'!$Q$2:$U$542,5,FALSE)</f>
        <v>0.69199999999999995</v>
      </c>
      <c r="I588" s="77">
        <f t="shared" si="1389"/>
        <v>1</v>
      </c>
      <c r="J588" s="77">
        <f t="shared" si="1390"/>
        <v>6.9728499999999985E-2</v>
      </c>
      <c r="K588" s="77">
        <f t="shared" si="1475"/>
        <v>5.632878498097682E-3</v>
      </c>
      <c r="L588" s="76">
        <v>0</v>
      </c>
      <c r="M588" s="77">
        <f t="shared" si="1408"/>
        <v>0</v>
      </c>
      <c r="N588" s="77">
        <f t="shared" si="1409"/>
        <v>0</v>
      </c>
      <c r="O588" s="77">
        <f t="shared" si="1410"/>
        <v>5.6775999999999997E-3</v>
      </c>
      <c r="P588" s="77">
        <f t="shared" si="1411"/>
        <v>4.7436902124819991E-4</v>
      </c>
      <c r="R588" t="s">
        <v>177</v>
      </c>
      <c r="S588" t="s">
        <v>179</v>
      </c>
      <c r="T588" s="197" t="str">
        <f t="shared" si="1467"/>
        <v>Autopilot_Dynamic_499</v>
      </c>
      <c r="U588">
        <v>499</v>
      </c>
      <c r="V588">
        <f>VLOOKUP($U588,'[2]AP Dynamic'!$Q$1:$T$542,2,FALSE)</f>
        <v>0.88888888888888884</v>
      </c>
      <c r="W588">
        <f>VLOOKUP($U588,'[2]AP Dynamic'!$Q$1:$T$542,3,FALSE)</f>
        <v>0.11111111111111116</v>
      </c>
      <c r="X588">
        <f>VLOOKUP($U588,'[2]AP Dynamic'!$Q$1:$T$542,4,FALSE)</f>
        <v>0</v>
      </c>
      <c r="Y588" s="77">
        <f t="shared" si="1468"/>
        <v>1</v>
      </c>
      <c r="Z588" s="77">
        <f t="shared" si="1476"/>
        <v>6.3149999999999984E-2</v>
      </c>
      <c r="AA588" s="77">
        <f t="shared" si="1477"/>
        <v>5.1160591879111372E-3</v>
      </c>
      <c r="AB588" s="79">
        <v>1</v>
      </c>
      <c r="AC588" s="77">
        <f t="shared" si="1412"/>
        <v>8.277777777777778E-3</v>
      </c>
      <c r="AD588" s="77">
        <f t="shared" ref="AD588" si="1592">1-(1-AC588)^(1/12)</f>
        <v>6.9244588451522482E-4</v>
      </c>
      <c r="AE588" s="77">
        <f t="shared" si="1414"/>
        <v>2.5000000000000001E-3</v>
      </c>
      <c r="AF588" s="77">
        <f t="shared" ref="AF588" si="1593">1-(1-AE588)^(1/12)</f>
        <v>2.0857243058891584E-4</v>
      </c>
      <c r="AH588" t="s">
        <v>175</v>
      </c>
      <c r="AI588" t="s">
        <v>179</v>
      </c>
      <c r="AJ588" s="197" t="str">
        <f t="shared" si="1398"/>
        <v>Lifecycle_Dynamic_499</v>
      </c>
      <c r="AK588">
        <v>499</v>
      </c>
      <c r="AL588">
        <f>VLOOKUP($U588,[2]Standard_Dynamic!$Q$1:$T$542,2,FALSE)</f>
        <v>0.88888888888888884</v>
      </c>
      <c r="AM588">
        <f>VLOOKUP($U588,[2]Standard_Dynamic!$Q$1:$T$542,3,FALSE)</f>
        <v>0.11111111111111116</v>
      </c>
      <c r="AN588">
        <f>VLOOKUP($U588,[2]Standard_Dynamic!$Q$1:$T$542,4,FALSE)</f>
        <v>0</v>
      </c>
      <c r="AO588" s="77">
        <f t="shared" si="1399"/>
        <v>1</v>
      </c>
      <c r="AP588" s="77">
        <f t="shared" si="1416"/>
        <v>6.3149999999999984E-2</v>
      </c>
      <c r="AQ588" s="77">
        <f t="shared" si="1400"/>
        <v>5.1160591879111372E-3</v>
      </c>
      <c r="AR588" s="79">
        <v>0</v>
      </c>
      <c r="AS588" s="77">
        <f t="shared" si="1417"/>
        <v>0</v>
      </c>
      <c r="AT588" s="77">
        <f t="shared" ref="AT588" si="1594">1-(1-AS588)^(1/12)</f>
        <v>0</v>
      </c>
      <c r="AU588" s="77">
        <f t="shared" si="1419"/>
        <v>2.5000000000000001E-3</v>
      </c>
      <c r="AV588" s="77">
        <f t="shared" ref="AV588" si="1595">1-(1-AU588)^(1/12)</f>
        <v>2.0857243058891584E-4</v>
      </c>
      <c r="AX588" t="s">
        <v>178</v>
      </c>
      <c r="AY588" t="s">
        <v>162</v>
      </c>
      <c r="AZ588" s="197" t="str">
        <f t="shared" si="1502"/>
        <v>DIS_Standard_499</v>
      </c>
      <c r="BA588">
        <v>499</v>
      </c>
      <c r="BB588">
        <f>VLOOKUP($BA588,'[2]Standard DIS'!$Q$1:$X$542,4,FALSE)</f>
        <v>0</v>
      </c>
      <c r="BF588">
        <f>VLOOKUP($BA588,'[2]Standard DIS'!$Q$1:$X$542,2,FALSE)</f>
        <v>0.88888888888888884</v>
      </c>
      <c r="BH588">
        <f>VLOOKUP($BA588,'[2]Standard DIS'!$Q$1:$X$542,3,FALSE)</f>
        <v>0.11111111111111116</v>
      </c>
      <c r="BI588" s="77">
        <f t="shared" si="1404"/>
        <v>1</v>
      </c>
      <c r="BJ588" s="77">
        <f t="shared" si="1405"/>
        <v>6.3149999999999984E-2</v>
      </c>
      <c r="BK588" s="77">
        <f t="shared" si="1503"/>
        <v>5.1160591879111372E-3</v>
      </c>
      <c r="BL588" s="79">
        <v>0</v>
      </c>
      <c r="BM588" s="77">
        <f t="shared" si="1421"/>
        <v>0</v>
      </c>
      <c r="BN588" s="77">
        <f t="shared" si="1422"/>
        <v>0</v>
      </c>
      <c r="BO588" s="77">
        <f t="shared" si="1423"/>
        <v>2.5000000000000001E-3</v>
      </c>
      <c r="BP588" s="77">
        <f t="shared" si="1424"/>
        <v>2.0809499864316017E-4</v>
      </c>
    </row>
    <row r="589" spans="1:68">
      <c r="A589" t="s">
        <v>175</v>
      </c>
      <c r="B589" t="s">
        <v>179</v>
      </c>
      <c r="C589" s="197" t="str">
        <f t="shared" si="1465"/>
        <v>Lifecycle_Dynamic_498</v>
      </c>
      <c r="D589">
        <v>498</v>
      </c>
      <c r="E589">
        <f>VLOOKUP($D589,'[2]LC Dynamic'!$Q$2:$U$542,2,FALSE)</f>
        <v>0</v>
      </c>
      <c r="F589">
        <f>VLOOKUP($D589,'[2]LC Dynamic'!$Q$2:$U$542,3,FALSE)</f>
        <v>0</v>
      </c>
      <c r="G589">
        <f>VLOOKUP($D589,'[2]LC Dynamic'!$Q$2:$U$542,4,FALSE)</f>
        <v>0.308</v>
      </c>
      <c r="H589">
        <f>VLOOKUP($D589,'[2]LC Dynamic'!$Q$2:$U$542,5,FALSE)</f>
        <v>0.69199999999999995</v>
      </c>
      <c r="I589" s="77">
        <f t="shared" si="1389"/>
        <v>1</v>
      </c>
      <c r="J589" s="77">
        <f t="shared" si="1390"/>
        <v>6.9728499999999985E-2</v>
      </c>
      <c r="K589" s="77">
        <f t="shared" si="1475"/>
        <v>5.632878498097682E-3</v>
      </c>
      <c r="L589" s="76">
        <v>0</v>
      </c>
      <c r="M589" s="77">
        <f t="shared" si="1408"/>
        <v>0</v>
      </c>
      <c r="N589" s="77">
        <f t="shared" si="1409"/>
        <v>0</v>
      </c>
      <c r="O589" s="77">
        <f t="shared" si="1410"/>
        <v>5.6775999999999997E-3</v>
      </c>
      <c r="P589" s="77">
        <f t="shared" si="1411"/>
        <v>4.7436902124819991E-4</v>
      </c>
      <c r="R589" t="s">
        <v>177</v>
      </c>
      <c r="S589" t="s">
        <v>179</v>
      </c>
      <c r="T589" s="197" t="str">
        <f t="shared" si="1467"/>
        <v>Autopilot_Dynamic_498</v>
      </c>
      <c r="U589">
        <v>498</v>
      </c>
      <c r="V589">
        <f>VLOOKUP($U589,'[2]AP Dynamic'!$Q$1:$T$542,2,FALSE)</f>
        <v>0.88888888888888884</v>
      </c>
      <c r="W589">
        <f>VLOOKUP($U589,'[2]AP Dynamic'!$Q$1:$T$542,3,FALSE)</f>
        <v>0.11111111111111116</v>
      </c>
      <c r="X589">
        <f>VLOOKUP($U589,'[2]AP Dynamic'!$Q$1:$T$542,4,FALSE)</f>
        <v>0</v>
      </c>
      <c r="Y589" s="77">
        <f t="shared" si="1468"/>
        <v>1</v>
      </c>
      <c r="Z589" s="77">
        <f t="shared" si="1476"/>
        <v>6.3149999999999984E-2</v>
      </c>
      <c r="AA589" s="77">
        <f t="shared" si="1477"/>
        <v>5.1160591879111372E-3</v>
      </c>
      <c r="AB589" s="79">
        <v>1</v>
      </c>
      <c r="AC589" s="77">
        <f t="shared" si="1412"/>
        <v>8.277777777777778E-3</v>
      </c>
      <c r="AD589" s="77">
        <f t="shared" ref="AD589" si="1596">1-(1-AC589)^(1/12)</f>
        <v>6.9244588451522482E-4</v>
      </c>
      <c r="AE589" s="77">
        <f t="shared" si="1414"/>
        <v>2.5000000000000001E-3</v>
      </c>
      <c r="AF589" s="77">
        <f t="shared" ref="AF589" si="1597">1-(1-AE589)^(1/12)</f>
        <v>2.0857243058891584E-4</v>
      </c>
      <c r="AH589" t="s">
        <v>175</v>
      </c>
      <c r="AI589" t="s">
        <v>179</v>
      </c>
      <c r="AJ589" s="197" t="str">
        <f t="shared" si="1398"/>
        <v>Lifecycle_Dynamic_498</v>
      </c>
      <c r="AK589">
        <v>498</v>
      </c>
      <c r="AL589">
        <f>VLOOKUP($U589,[2]Standard_Dynamic!$Q$1:$T$542,2,FALSE)</f>
        <v>0.88888888888888884</v>
      </c>
      <c r="AM589">
        <f>VLOOKUP($U589,[2]Standard_Dynamic!$Q$1:$T$542,3,FALSE)</f>
        <v>0.11111111111111116</v>
      </c>
      <c r="AN589">
        <f>VLOOKUP($U589,[2]Standard_Dynamic!$Q$1:$T$542,4,FALSE)</f>
        <v>0</v>
      </c>
      <c r="AO589" s="77">
        <f t="shared" si="1399"/>
        <v>1</v>
      </c>
      <c r="AP589" s="77">
        <f t="shared" si="1416"/>
        <v>6.3149999999999984E-2</v>
      </c>
      <c r="AQ589" s="77">
        <f t="shared" si="1400"/>
        <v>5.1160591879111372E-3</v>
      </c>
      <c r="AR589" s="79">
        <v>0</v>
      </c>
      <c r="AS589" s="77">
        <f t="shared" si="1417"/>
        <v>0</v>
      </c>
      <c r="AT589" s="77">
        <f t="shared" ref="AT589" si="1598">1-(1-AS589)^(1/12)</f>
        <v>0</v>
      </c>
      <c r="AU589" s="77">
        <f t="shared" si="1419"/>
        <v>2.5000000000000001E-3</v>
      </c>
      <c r="AV589" s="77">
        <f t="shared" ref="AV589" si="1599">1-(1-AU589)^(1/12)</f>
        <v>2.0857243058891584E-4</v>
      </c>
      <c r="AX589" t="s">
        <v>178</v>
      </c>
      <c r="AY589" t="s">
        <v>162</v>
      </c>
      <c r="AZ589" s="197" t="str">
        <f t="shared" si="1502"/>
        <v>DIS_Standard_498</v>
      </c>
      <c r="BA589">
        <v>498</v>
      </c>
      <c r="BB589">
        <f>VLOOKUP($BA589,'[2]Standard DIS'!$Q$1:$X$542,4,FALSE)</f>
        <v>0</v>
      </c>
      <c r="BF589">
        <f>VLOOKUP($BA589,'[2]Standard DIS'!$Q$1:$X$542,2,FALSE)</f>
        <v>0.88888888888888884</v>
      </c>
      <c r="BH589">
        <f>VLOOKUP($BA589,'[2]Standard DIS'!$Q$1:$X$542,3,FALSE)</f>
        <v>0.11111111111111116</v>
      </c>
      <c r="BI589" s="77">
        <f t="shared" si="1404"/>
        <v>1</v>
      </c>
      <c r="BJ589" s="77">
        <f t="shared" si="1405"/>
        <v>6.3149999999999984E-2</v>
      </c>
      <c r="BK589" s="77">
        <f t="shared" si="1503"/>
        <v>5.1160591879111372E-3</v>
      </c>
      <c r="BL589" s="79">
        <v>0</v>
      </c>
      <c r="BM589" s="77">
        <f t="shared" si="1421"/>
        <v>0</v>
      </c>
      <c r="BN589" s="77">
        <f t="shared" si="1422"/>
        <v>0</v>
      </c>
      <c r="BO589" s="77">
        <f t="shared" si="1423"/>
        <v>2.5000000000000001E-3</v>
      </c>
      <c r="BP589" s="77">
        <f t="shared" si="1424"/>
        <v>2.0809499864316017E-4</v>
      </c>
    </row>
    <row r="590" spans="1:68">
      <c r="A590" t="s">
        <v>175</v>
      </c>
      <c r="B590" t="s">
        <v>179</v>
      </c>
      <c r="C590" s="197" t="str">
        <f t="shared" si="1465"/>
        <v>Lifecycle_Dynamic_497</v>
      </c>
      <c r="D590">
        <v>497</v>
      </c>
      <c r="E590">
        <f>VLOOKUP($D590,'[2]LC Dynamic'!$Q$2:$U$542,2,FALSE)</f>
        <v>0</v>
      </c>
      <c r="F590">
        <f>VLOOKUP($D590,'[2]LC Dynamic'!$Q$2:$U$542,3,FALSE)</f>
        <v>0</v>
      </c>
      <c r="G590">
        <f>VLOOKUP($D590,'[2]LC Dynamic'!$Q$2:$U$542,4,FALSE)</f>
        <v>0.308</v>
      </c>
      <c r="H590">
        <f>VLOOKUP($D590,'[2]LC Dynamic'!$Q$2:$U$542,5,FALSE)</f>
        <v>0.69199999999999995</v>
      </c>
      <c r="I590" s="77">
        <f t="shared" si="1389"/>
        <v>1</v>
      </c>
      <c r="J590" s="77">
        <f t="shared" si="1390"/>
        <v>6.9728499999999985E-2</v>
      </c>
      <c r="K590" s="77">
        <f t="shared" si="1475"/>
        <v>5.632878498097682E-3</v>
      </c>
      <c r="L590" s="76">
        <v>0</v>
      </c>
      <c r="M590" s="77">
        <f t="shared" si="1408"/>
        <v>0</v>
      </c>
      <c r="N590" s="77">
        <f t="shared" si="1409"/>
        <v>0</v>
      </c>
      <c r="O590" s="77">
        <f t="shared" si="1410"/>
        <v>5.6775999999999997E-3</v>
      </c>
      <c r="P590" s="77">
        <f t="shared" si="1411"/>
        <v>4.7436902124819991E-4</v>
      </c>
      <c r="R590" t="s">
        <v>177</v>
      </c>
      <c r="S590" t="s">
        <v>179</v>
      </c>
      <c r="T590" s="197" t="str">
        <f t="shared" si="1467"/>
        <v>Autopilot_Dynamic_497</v>
      </c>
      <c r="U590">
        <v>497</v>
      </c>
      <c r="V590">
        <f>VLOOKUP($U590,'[2]AP Dynamic'!$Q$1:$T$542,2,FALSE)</f>
        <v>0.88888888888888884</v>
      </c>
      <c r="W590">
        <f>VLOOKUP($U590,'[2]AP Dynamic'!$Q$1:$T$542,3,FALSE)</f>
        <v>0.11111111111111116</v>
      </c>
      <c r="X590">
        <f>VLOOKUP($U590,'[2]AP Dynamic'!$Q$1:$T$542,4,FALSE)</f>
        <v>0</v>
      </c>
      <c r="Y590" s="77">
        <f t="shared" si="1468"/>
        <v>1</v>
      </c>
      <c r="Z590" s="77">
        <f t="shared" si="1476"/>
        <v>6.3149999999999984E-2</v>
      </c>
      <c r="AA590" s="77">
        <f t="shared" si="1477"/>
        <v>5.1160591879111372E-3</v>
      </c>
      <c r="AB590" s="79">
        <v>1</v>
      </c>
      <c r="AC590" s="77">
        <f t="shared" si="1412"/>
        <v>8.277777777777778E-3</v>
      </c>
      <c r="AD590" s="77">
        <f t="shared" ref="AD590" si="1600">1-(1-AC590)^(1/12)</f>
        <v>6.9244588451522482E-4</v>
      </c>
      <c r="AE590" s="77">
        <f t="shared" si="1414"/>
        <v>2.5000000000000001E-3</v>
      </c>
      <c r="AF590" s="77">
        <f t="shared" ref="AF590" si="1601">1-(1-AE590)^(1/12)</f>
        <v>2.0857243058891584E-4</v>
      </c>
      <c r="AH590" t="s">
        <v>175</v>
      </c>
      <c r="AI590" t="s">
        <v>179</v>
      </c>
      <c r="AJ590" s="197" t="str">
        <f t="shared" si="1398"/>
        <v>Lifecycle_Dynamic_497</v>
      </c>
      <c r="AK590">
        <v>497</v>
      </c>
      <c r="AL590">
        <f>VLOOKUP($U590,[2]Standard_Dynamic!$Q$1:$T$542,2,FALSE)</f>
        <v>0.88888888888888884</v>
      </c>
      <c r="AM590">
        <f>VLOOKUP($U590,[2]Standard_Dynamic!$Q$1:$T$542,3,FALSE)</f>
        <v>0.11111111111111116</v>
      </c>
      <c r="AN590">
        <f>VLOOKUP($U590,[2]Standard_Dynamic!$Q$1:$T$542,4,FALSE)</f>
        <v>0</v>
      </c>
      <c r="AO590" s="77">
        <f t="shared" si="1399"/>
        <v>1</v>
      </c>
      <c r="AP590" s="77">
        <f t="shared" si="1416"/>
        <v>6.3149999999999984E-2</v>
      </c>
      <c r="AQ590" s="77">
        <f t="shared" si="1400"/>
        <v>5.1160591879111372E-3</v>
      </c>
      <c r="AR590" s="79">
        <v>0</v>
      </c>
      <c r="AS590" s="77">
        <f t="shared" si="1417"/>
        <v>0</v>
      </c>
      <c r="AT590" s="77">
        <f t="shared" ref="AT590" si="1602">1-(1-AS590)^(1/12)</f>
        <v>0</v>
      </c>
      <c r="AU590" s="77">
        <f t="shared" si="1419"/>
        <v>2.5000000000000001E-3</v>
      </c>
      <c r="AV590" s="77">
        <f t="shared" ref="AV590" si="1603">1-(1-AU590)^(1/12)</f>
        <v>2.0857243058891584E-4</v>
      </c>
      <c r="AX590" t="s">
        <v>178</v>
      </c>
      <c r="AY590" t="s">
        <v>162</v>
      </c>
      <c r="AZ590" s="197" t="str">
        <f t="shared" si="1502"/>
        <v>DIS_Standard_497</v>
      </c>
      <c r="BA590">
        <v>497</v>
      </c>
      <c r="BB590">
        <f>VLOOKUP($BA590,'[2]Standard DIS'!$Q$1:$X$542,4,FALSE)</f>
        <v>0</v>
      </c>
      <c r="BF590">
        <f>VLOOKUP($BA590,'[2]Standard DIS'!$Q$1:$X$542,2,FALSE)</f>
        <v>0.88888888888888884</v>
      </c>
      <c r="BH590">
        <f>VLOOKUP($BA590,'[2]Standard DIS'!$Q$1:$X$542,3,FALSE)</f>
        <v>0.11111111111111116</v>
      </c>
      <c r="BI590" s="77">
        <f t="shared" si="1404"/>
        <v>1</v>
      </c>
      <c r="BJ590" s="77">
        <f t="shared" si="1405"/>
        <v>6.3149999999999984E-2</v>
      </c>
      <c r="BK590" s="77">
        <f t="shared" si="1503"/>
        <v>5.1160591879111372E-3</v>
      </c>
      <c r="BL590" s="79">
        <v>0</v>
      </c>
      <c r="BM590" s="77">
        <f t="shared" si="1421"/>
        <v>0</v>
      </c>
      <c r="BN590" s="77">
        <f t="shared" si="1422"/>
        <v>0</v>
      </c>
      <c r="BO590" s="77">
        <f t="shared" si="1423"/>
        <v>2.5000000000000001E-3</v>
      </c>
      <c r="BP590" s="77">
        <f t="shared" si="1424"/>
        <v>2.0809499864316017E-4</v>
      </c>
    </row>
    <row r="591" spans="1:68">
      <c r="A591" t="s">
        <v>175</v>
      </c>
      <c r="B591" t="s">
        <v>179</v>
      </c>
      <c r="C591" s="197" t="str">
        <f t="shared" si="1465"/>
        <v>Lifecycle_Dynamic_496</v>
      </c>
      <c r="D591">
        <v>496</v>
      </c>
      <c r="E591">
        <f>VLOOKUP($D591,'[2]LC Dynamic'!$Q$2:$U$542,2,FALSE)</f>
        <v>0</v>
      </c>
      <c r="F591">
        <f>VLOOKUP($D591,'[2]LC Dynamic'!$Q$2:$U$542,3,FALSE)</f>
        <v>0</v>
      </c>
      <c r="G591">
        <f>VLOOKUP($D591,'[2]LC Dynamic'!$Q$2:$U$542,4,FALSE)</f>
        <v>0.308</v>
      </c>
      <c r="H591">
        <f>VLOOKUP($D591,'[2]LC Dynamic'!$Q$2:$U$542,5,FALSE)</f>
        <v>0.69199999999999995</v>
      </c>
      <c r="I591" s="77">
        <f t="shared" si="1389"/>
        <v>1</v>
      </c>
      <c r="J591" s="77">
        <f t="shared" si="1390"/>
        <v>6.9728499999999985E-2</v>
      </c>
      <c r="K591" s="77">
        <f t="shared" si="1475"/>
        <v>5.632878498097682E-3</v>
      </c>
      <c r="L591" s="76">
        <v>0</v>
      </c>
      <c r="M591" s="77">
        <f t="shared" si="1408"/>
        <v>0</v>
      </c>
      <c r="N591" s="77">
        <f t="shared" si="1409"/>
        <v>0</v>
      </c>
      <c r="O591" s="77">
        <f t="shared" si="1410"/>
        <v>5.6775999999999997E-3</v>
      </c>
      <c r="P591" s="77">
        <f t="shared" si="1411"/>
        <v>4.7436902124819991E-4</v>
      </c>
      <c r="R591" t="s">
        <v>177</v>
      </c>
      <c r="S591" t="s">
        <v>179</v>
      </c>
      <c r="T591" s="197" t="str">
        <f t="shared" si="1467"/>
        <v>Autopilot_Dynamic_496</v>
      </c>
      <c r="U591">
        <v>496</v>
      </c>
      <c r="V591">
        <f>VLOOKUP($U591,'[2]AP Dynamic'!$Q$1:$T$542,2,FALSE)</f>
        <v>0.88888888888888884</v>
      </c>
      <c r="W591">
        <f>VLOOKUP($U591,'[2]AP Dynamic'!$Q$1:$T$542,3,FALSE)</f>
        <v>0.11111111111111116</v>
      </c>
      <c r="X591">
        <f>VLOOKUP($U591,'[2]AP Dynamic'!$Q$1:$T$542,4,FALSE)</f>
        <v>0</v>
      </c>
      <c r="Y591" s="77">
        <f t="shared" si="1468"/>
        <v>1</v>
      </c>
      <c r="Z591" s="77">
        <f t="shared" si="1476"/>
        <v>6.3149999999999984E-2</v>
      </c>
      <c r="AA591" s="77">
        <f t="shared" si="1477"/>
        <v>5.1160591879111372E-3</v>
      </c>
      <c r="AB591" s="79">
        <v>1</v>
      </c>
      <c r="AC591" s="77">
        <f t="shared" si="1412"/>
        <v>8.277777777777778E-3</v>
      </c>
      <c r="AD591" s="77">
        <f t="shared" ref="AD591" si="1604">1-(1-AC591)^(1/12)</f>
        <v>6.9244588451522482E-4</v>
      </c>
      <c r="AE591" s="77">
        <f t="shared" si="1414"/>
        <v>2.5000000000000001E-3</v>
      </c>
      <c r="AF591" s="77">
        <f t="shared" ref="AF591" si="1605">1-(1-AE591)^(1/12)</f>
        <v>2.0857243058891584E-4</v>
      </c>
      <c r="AH591" t="s">
        <v>175</v>
      </c>
      <c r="AI591" t="s">
        <v>179</v>
      </c>
      <c r="AJ591" s="197" t="str">
        <f t="shared" si="1398"/>
        <v>Lifecycle_Dynamic_496</v>
      </c>
      <c r="AK591">
        <v>496</v>
      </c>
      <c r="AL591">
        <f>VLOOKUP($U591,[2]Standard_Dynamic!$Q$1:$T$542,2,FALSE)</f>
        <v>0.88888888888888884</v>
      </c>
      <c r="AM591">
        <f>VLOOKUP($U591,[2]Standard_Dynamic!$Q$1:$T$542,3,FALSE)</f>
        <v>0.11111111111111116</v>
      </c>
      <c r="AN591">
        <f>VLOOKUP($U591,[2]Standard_Dynamic!$Q$1:$T$542,4,FALSE)</f>
        <v>0</v>
      </c>
      <c r="AO591" s="77">
        <f t="shared" si="1399"/>
        <v>1</v>
      </c>
      <c r="AP591" s="77">
        <f t="shared" si="1416"/>
        <v>6.3149999999999984E-2</v>
      </c>
      <c r="AQ591" s="77">
        <f t="shared" si="1400"/>
        <v>5.1160591879111372E-3</v>
      </c>
      <c r="AR591" s="79">
        <v>0</v>
      </c>
      <c r="AS591" s="77">
        <f t="shared" si="1417"/>
        <v>0</v>
      </c>
      <c r="AT591" s="77">
        <f t="shared" ref="AT591" si="1606">1-(1-AS591)^(1/12)</f>
        <v>0</v>
      </c>
      <c r="AU591" s="77">
        <f t="shared" si="1419"/>
        <v>2.5000000000000001E-3</v>
      </c>
      <c r="AV591" s="77">
        <f t="shared" ref="AV591" si="1607">1-(1-AU591)^(1/12)</f>
        <v>2.0857243058891584E-4</v>
      </c>
      <c r="AX591" t="s">
        <v>178</v>
      </c>
      <c r="AY591" t="s">
        <v>162</v>
      </c>
      <c r="AZ591" s="197" t="str">
        <f t="shared" si="1502"/>
        <v>DIS_Standard_496</v>
      </c>
      <c r="BA591">
        <v>496</v>
      </c>
      <c r="BB591">
        <f>VLOOKUP($BA591,'[2]Standard DIS'!$Q$1:$X$542,4,FALSE)</f>
        <v>0</v>
      </c>
      <c r="BF591">
        <f>VLOOKUP($BA591,'[2]Standard DIS'!$Q$1:$X$542,2,FALSE)</f>
        <v>0.88888888888888884</v>
      </c>
      <c r="BH591">
        <f>VLOOKUP($BA591,'[2]Standard DIS'!$Q$1:$X$542,3,FALSE)</f>
        <v>0.11111111111111116</v>
      </c>
      <c r="BI591" s="77">
        <f t="shared" si="1404"/>
        <v>1</v>
      </c>
      <c r="BJ591" s="77">
        <f t="shared" si="1405"/>
        <v>6.3149999999999984E-2</v>
      </c>
      <c r="BK591" s="77">
        <f t="shared" si="1503"/>
        <v>5.1160591879111372E-3</v>
      </c>
      <c r="BL591" s="79">
        <v>0</v>
      </c>
      <c r="BM591" s="77">
        <f t="shared" si="1421"/>
        <v>0</v>
      </c>
      <c r="BN591" s="77">
        <f t="shared" si="1422"/>
        <v>0</v>
      </c>
      <c r="BO591" s="77">
        <f t="shared" si="1423"/>
        <v>2.5000000000000001E-3</v>
      </c>
      <c r="BP591" s="77">
        <f t="shared" si="1424"/>
        <v>2.0809499864316017E-4</v>
      </c>
    </row>
    <row r="592" spans="1:68">
      <c r="A592" t="s">
        <v>175</v>
      </c>
      <c r="B592" t="s">
        <v>179</v>
      </c>
      <c r="C592" s="197" t="str">
        <f t="shared" si="1465"/>
        <v>Lifecycle_Dynamic_495</v>
      </c>
      <c r="D592">
        <v>495</v>
      </c>
      <c r="E592">
        <f>VLOOKUP($D592,'[2]LC Dynamic'!$Q$2:$U$542,2,FALSE)</f>
        <v>0</v>
      </c>
      <c r="F592">
        <f>VLOOKUP($D592,'[2]LC Dynamic'!$Q$2:$U$542,3,FALSE)</f>
        <v>0</v>
      </c>
      <c r="G592">
        <f>VLOOKUP($D592,'[2]LC Dynamic'!$Q$2:$U$542,4,FALSE)</f>
        <v>0.308</v>
      </c>
      <c r="H592">
        <f>VLOOKUP($D592,'[2]LC Dynamic'!$Q$2:$U$542,5,FALSE)</f>
        <v>0.69199999999999995</v>
      </c>
      <c r="I592" s="77">
        <f t="shared" si="1389"/>
        <v>1</v>
      </c>
      <c r="J592" s="77">
        <f t="shared" si="1390"/>
        <v>6.9728499999999985E-2</v>
      </c>
      <c r="K592" s="77">
        <f t="shared" si="1475"/>
        <v>5.632878498097682E-3</v>
      </c>
      <c r="L592" s="76">
        <v>0</v>
      </c>
      <c r="M592" s="77">
        <f t="shared" si="1408"/>
        <v>0</v>
      </c>
      <c r="N592" s="77">
        <f t="shared" si="1409"/>
        <v>0</v>
      </c>
      <c r="O592" s="77">
        <f t="shared" si="1410"/>
        <v>5.6775999999999997E-3</v>
      </c>
      <c r="P592" s="77">
        <f t="shared" si="1411"/>
        <v>4.7436902124819991E-4</v>
      </c>
      <c r="R592" t="s">
        <v>177</v>
      </c>
      <c r="S592" t="s">
        <v>179</v>
      </c>
      <c r="T592" s="197" t="str">
        <f t="shared" si="1467"/>
        <v>Autopilot_Dynamic_495</v>
      </c>
      <c r="U592">
        <v>495</v>
      </c>
      <c r="V592">
        <f>VLOOKUP($U592,'[2]AP Dynamic'!$Q$1:$T$542,2,FALSE)</f>
        <v>0.88888888888888884</v>
      </c>
      <c r="W592">
        <f>VLOOKUP($U592,'[2]AP Dynamic'!$Q$1:$T$542,3,FALSE)</f>
        <v>0.11111111111111116</v>
      </c>
      <c r="X592">
        <f>VLOOKUP($U592,'[2]AP Dynamic'!$Q$1:$T$542,4,FALSE)</f>
        <v>0</v>
      </c>
      <c r="Y592" s="77">
        <f t="shared" si="1468"/>
        <v>1</v>
      </c>
      <c r="Z592" s="77">
        <f t="shared" si="1476"/>
        <v>6.3149999999999984E-2</v>
      </c>
      <c r="AA592" s="77">
        <f t="shared" si="1477"/>
        <v>5.1160591879111372E-3</v>
      </c>
      <c r="AB592" s="79">
        <v>1</v>
      </c>
      <c r="AC592" s="77">
        <f t="shared" si="1412"/>
        <v>8.277777777777778E-3</v>
      </c>
      <c r="AD592" s="77">
        <f t="shared" ref="AD592" si="1608">1-(1-AC592)^(1/12)</f>
        <v>6.9244588451522482E-4</v>
      </c>
      <c r="AE592" s="77">
        <f t="shared" si="1414"/>
        <v>2.5000000000000001E-3</v>
      </c>
      <c r="AF592" s="77">
        <f t="shared" ref="AF592" si="1609">1-(1-AE592)^(1/12)</f>
        <v>2.0857243058891584E-4</v>
      </c>
      <c r="AH592" t="s">
        <v>175</v>
      </c>
      <c r="AI592" t="s">
        <v>179</v>
      </c>
      <c r="AJ592" s="197" t="str">
        <f t="shared" si="1398"/>
        <v>Lifecycle_Dynamic_495</v>
      </c>
      <c r="AK592">
        <v>495</v>
      </c>
      <c r="AL592">
        <f>VLOOKUP($U592,[2]Standard_Dynamic!$Q$1:$T$542,2,FALSE)</f>
        <v>0.88888888888888884</v>
      </c>
      <c r="AM592">
        <f>VLOOKUP($U592,[2]Standard_Dynamic!$Q$1:$T$542,3,FALSE)</f>
        <v>0.11111111111111116</v>
      </c>
      <c r="AN592">
        <f>VLOOKUP($U592,[2]Standard_Dynamic!$Q$1:$T$542,4,FALSE)</f>
        <v>0</v>
      </c>
      <c r="AO592" s="77">
        <f t="shared" si="1399"/>
        <v>1</v>
      </c>
      <c r="AP592" s="77">
        <f t="shared" si="1416"/>
        <v>6.3149999999999984E-2</v>
      </c>
      <c r="AQ592" s="77">
        <f t="shared" si="1400"/>
        <v>5.1160591879111372E-3</v>
      </c>
      <c r="AR592" s="79">
        <v>0</v>
      </c>
      <c r="AS592" s="77">
        <f t="shared" si="1417"/>
        <v>0</v>
      </c>
      <c r="AT592" s="77">
        <f t="shared" ref="AT592" si="1610">1-(1-AS592)^(1/12)</f>
        <v>0</v>
      </c>
      <c r="AU592" s="77">
        <f t="shared" si="1419"/>
        <v>2.5000000000000001E-3</v>
      </c>
      <c r="AV592" s="77">
        <f t="shared" ref="AV592" si="1611">1-(1-AU592)^(1/12)</f>
        <v>2.0857243058891584E-4</v>
      </c>
      <c r="AX592" t="s">
        <v>178</v>
      </c>
      <c r="AY592" t="s">
        <v>162</v>
      </c>
      <c r="AZ592" s="197" t="str">
        <f t="shared" si="1502"/>
        <v>DIS_Standard_495</v>
      </c>
      <c r="BA592">
        <v>495</v>
      </c>
      <c r="BB592">
        <f>VLOOKUP($BA592,'[2]Standard DIS'!$Q$1:$X$542,4,FALSE)</f>
        <v>0</v>
      </c>
      <c r="BF592">
        <f>VLOOKUP($BA592,'[2]Standard DIS'!$Q$1:$X$542,2,FALSE)</f>
        <v>0.88888888888888884</v>
      </c>
      <c r="BH592">
        <f>VLOOKUP($BA592,'[2]Standard DIS'!$Q$1:$X$542,3,FALSE)</f>
        <v>0.11111111111111116</v>
      </c>
      <c r="BI592" s="77">
        <f t="shared" si="1404"/>
        <v>1</v>
      </c>
      <c r="BJ592" s="77">
        <f t="shared" si="1405"/>
        <v>6.3149999999999984E-2</v>
      </c>
      <c r="BK592" s="77">
        <f t="shared" si="1503"/>
        <v>5.1160591879111372E-3</v>
      </c>
      <c r="BL592" s="79">
        <v>0</v>
      </c>
      <c r="BM592" s="77">
        <f t="shared" si="1421"/>
        <v>0</v>
      </c>
      <c r="BN592" s="77">
        <f t="shared" si="1422"/>
        <v>0</v>
      </c>
      <c r="BO592" s="77">
        <f t="shared" si="1423"/>
        <v>2.5000000000000001E-3</v>
      </c>
      <c r="BP592" s="77">
        <f t="shared" si="1424"/>
        <v>2.0809499864316017E-4</v>
      </c>
    </row>
    <row r="593" spans="1:68">
      <c r="A593" t="s">
        <v>175</v>
      </c>
      <c r="B593" t="s">
        <v>179</v>
      </c>
      <c r="C593" s="197" t="str">
        <f t="shared" si="1465"/>
        <v>Lifecycle_Dynamic_494</v>
      </c>
      <c r="D593">
        <v>494</v>
      </c>
      <c r="E593">
        <f>VLOOKUP($D593,'[2]LC Dynamic'!$Q$2:$U$542,2,FALSE)</f>
        <v>0</v>
      </c>
      <c r="F593">
        <f>VLOOKUP($D593,'[2]LC Dynamic'!$Q$2:$U$542,3,FALSE)</f>
        <v>0</v>
      </c>
      <c r="G593">
        <f>VLOOKUP($D593,'[2]LC Dynamic'!$Q$2:$U$542,4,FALSE)</f>
        <v>0.308</v>
      </c>
      <c r="H593">
        <f>VLOOKUP($D593,'[2]LC Dynamic'!$Q$2:$U$542,5,FALSE)</f>
        <v>0.69199999999999995</v>
      </c>
      <c r="I593" s="77">
        <f t="shared" si="1389"/>
        <v>1</v>
      </c>
      <c r="J593" s="77">
        <f t="shared" si="1390"/>
        <v>6.9728499999999985E-2</v>
      </c>
      <c r="K593" s="77">
        <f t="shared" si="1475"/>
        <v>5.632878498097682E-3</v>
      </c>
      <c r="L593" s="76">
        <v>0</v>
      </c>
      <c r="M593" s="77">
        <f t="shared" si="1408"/>
        <v>0</v>
      </c>
      <c r="N593" s="77">
        <f t="shared" si="1409"/>
        <v>0</v>
      </c>
      <c r="O593" s="77">
        <f t="shared" si="1410"/>
        <v>5.6775999999999997E-3</v>
      </c>
      <c r="P593" s="77">
        <f t="shared" si="1411"/>
        <v>4.7436902124819991E-4</v>
      </c>
      <c r="R593" t="s">
        <v>177</v>
      </c>
      <c r="S593" t="s">
        <v>179</v>
      </c>
      <c r="T593" s="197" t="str">
        <f t="shared" si="1467"/>
        <v>Autopilot_Dynamic_494</v>
      </c>
      <c r="U593">
        <v>494</v>
      </c>
      <c r="V593">
        <f>VLOOKUP($U593,'[2]AP Dynamic'!$Q$1:$T$542,2,FALSE)</f>
        <v>0.88888888888888884</v>
      </c>
      <c r="W593">
        <f>VLOOKUP($U593,'[2]AP Dynamic'!$Q$1:$T$542,3,FALSE)</f>
        <v>0.11111111111111116</v>
      </c>
      <c r="X593">
        <f>VLOOKUP($U593,'[2]AP Dynamic'!$Q$1:$T$542,4,FALSE)</f>
        <v>0</v>
      </c>
      <c r="Y593" s="77">
        <f t="shared" si="1468"/>
        <v>1</v>
      </c>
      <c r="Z593" s="77">
        <f t="shared" si="1476"/>
        <v>6.3149999999999984E-2</v>
      </c>
      <c r="AA593" s="77">
        <f t="shared" si="1477"/>
        <v>5.1160591879111372E-3</v>
      </c>
      <c r="AB593" s="79">
        <v>1</v>
      </c>
      <c r="AC593" s="77">
        <f t="shared" si="1412"/>
        <v>8.277777777777778E-3</v>
      </c>
      <c r="AD593" s="77">
        <f t="shared" ref="AD593" si="1612">1-(1-AC593)^(1/12)</f>
        <v>6.9244588451522482E-4</v>
      </c>
      <c r="AE593" s="77">
        <f t="shared" si="1414"/>
        <v>2.5000000000000001E-3</v>
      </c>
      <c r="AF593" s="77">
        <f t="shared" ref="AF593" si="1613">1-(1-AE593)^(1/12)</f>
        <v>2.0857243058891584E-4</v>
      </c>
      <c r="AH593" t="s">
        <v>175</v>
      </c>
      <c r="AI593" t="s">
        <v>179</v>
      </c>
      <c r="AJ593" s="197" t="str">
        <f t="shared" si="1398"/>
        <v>Lifecycle_Dynamic_494</v>
      </c>
      <c r="AK593">
        <v>494</v>
      </c>
      <c r="AL593">
        <f>VLOOKUP($U593,[2]Standard_Dynamic!$Q$1:$T$542,2,FALSE)</f>
        <v>0.88888888888888884</v>
      </c>
      <c r="AM593">
        <f>VLOOKUP($U593,[2]Standard_Dynamic!$Q$1:$T$542,3,FALSE)</f>
        <v>0.11111111111111116</v>
      </c>
      <c r="AN593">
        <f>VLOOKUP($U593,[2]Standard_Dynamic!$Q$1:$T$542,4,FALSE)</f>
        <v>0</v>
      </c>
      <c r="AO593" s="77">
        <f t="shared" si="1399"/>
        <v>1</v>
      </c>
      <c r="AP593" s="77">
        <f t="shared" si="1416"/>
        <v>6.3149999999999984E-2</v>
      </c>
      <c r="AQ593" s="77">
        <f t="shared" si="1400"/>
        <v>5.1160591879111372E-3</v>
      </c>
      <c r="AR593" s="79">
        <v>0</v>
      </c>
      <c r="AS593" s="77">
        <f t="shared" si="1417"/>
        <v>0</v>
      </c>
      <c r="AT593" s="77">
        <f t="shared" ref="AT593" si="1614">1-(1-AS593)^(1/12)</f>
        <v>0</v>
      </c>
      <c r="AU593" s="77">
        <f t="shared" si="1419"/>
        <v>2.5000000000000001E-3</v>
      </c>
      <c r="AV593" s="77">
        <f t="shared" ref="AV593" si="1615">1-(1-AU593)^(1/12)</f>
        <v>2.0857243058891584E-4</v>
      </c>
      <c r="AX593" t="s">
        <v>178</v>
      </c>
      <c r="AY593" t="s">
        <v>162</v>
      </c>
      <c r="AZ593" s="197" t="str">
        <f t="shared" si="1502"/>
        <v>DIS_Standard_494</v>
      </c>
      <c r="BA593">
        <v>494</v>
      </c>
      <c r="BB593">
        <f>VLOOKUP($BA593,'[2]Standard DIS'!$Q$1:$X$542,4,FALSE)</f>
        <v>0</v>
      </c>
      <c r="BF593">
        <f>VLOOKUP($BA593,'[2]Standard DIS'!$Q$1:$X$542,2,FALSE)</f>
        <v>0.88888888888888884</v>
      </c>
      <c r="BH593">
        <f>VLOOKUP($BA593,'[2]Standard DIS'!$Q$1:$X$542,3,FALSE)</f>
        <v>0.11111111111111116</v>
      </c>
      <c r="BI593" s="77">
        <f t="shared" si="1404"/>
        <v>1</v>
      </c>
      <c r="BJ593" s="77">
        <f t="shared" si="1405"/>
        <v>6.3149999999999984E-2</v>
      </c>
      <c r="BK593" s="77">
        <f t="shared" si="1503"/>
        <v>5.1160591879111372E-3</v>
      </c>
      <c r="BL593" s="79">
        <v>0</v>
      </c>
      <c r="BM593" s="77">
        <f t="shared" si="1421"/>
        <v>0</v>
      </c>
      <c r="BN593" s="77">
        <f t="shared" si="1422"/>
        <v>0</v>
      </c>
      <c r="BO593" s="77">
        <f t="shared" si="1423"/>
        <v>2.5000000000000001E-3</v>
      </c>
      <c r="BP593" s="77">
        <f t="shared" si="1424"/>
        <v>2.0809499864316017E-4</v>
      </c>
    </row>
    <row r="594" spans="1:68">
      <c r="A594" t="s">
        <v>175</v>
      </c>
      <c r="B594" t="s">
        <v>179</v>
      </c>
      <c r="C594" s="197" t="str">
        <f t="shared" si="1465"/>
        <v>Lifecycle_Dynamic_493</v>
      </c>
      <c r="D594">
        <v>493</v>
      </c>
      <c r="E594">
        <f>VLOOKUP($D594,'[2]LC Dynamic'!$Q$2:$U$542,2,FALSE)</f>
        <v>0</v>
      </c>
      <c r="F594">
        <f>VLOOKUP($D594,'[2]LC Dynamic'!$Q$2:$U$542,3,FALSE)</f>
        <v>0</v>
      </c>
      <c r="G594">
        <f>VLOOKUP($D594,'[2]LC Dynamic'!$Q$2:$U$542,4,FALSE)</f>
        <v>0.308</v>
      </c>
      <c r="H594">
        <f>VLOOKUP($D594,'[2]LC Dynamic'!$Q$2:$U$542,5,FALSE)</f>
        <v>0.69199999999999995</v>
      </c>
      <c r="I594" s="77">
        <f t="shared" si="1389"/>
        <v>1</v>
      </c>
      <c r="J594" s="77">
        <f t="shared" si="1390"/>
        <v>6.9728499999999985E-2</v>
      </c>
      <c r="K594" s="77">
        <f t="shared" si="1475"/>
        <v>5.632878498097682E-3</v>
      </c>
      <c r="L594" s="76">
        <v>0</v>
      </c>
      <c r="M594" s="77">
        <f t="shared" si="1408"/>
        <v>0</v>
      </c>
      <c r="N594" s="77">
        <f t="shared" si="1409"/>
        <v>0</v>
      </c>
      <c r="O594" s="77">
        <f t="shared" si="1410"/>
        <v>5.6775999999999997E-3</v>
      </c>
      <c r="P594" s="77">
        <f t="shared" si="1411"/>
        <v>4.7436902124819991E-4</v>
      </c>
      <c r="R594" t="s">
        <v>177</v>
      </c>
      <c r="S594" t="s">
        <v>179</v>
      </c>
      <c r="T594" s="197" t="str">
        <f t="shared" si="1467"/>
        <v>Autopilot_Dynamic_493</v>
      </c>
      <c r="U594">
        <v>493</v>
      </c>
      <c r="V594">
        <f>VLOOKUP($U594,'[2]AP Dynamic'!$Q$1:$T$542,2,FALSE)</f>
        <v>0.88888888888888884</v>
      </c>
      <c r="W594">
        <f>VLOOKUP($U594,'[2]AP Dynamic'!$Q$1:$T$542,3,FALSE)</f>
        <v>0.11111111111111116</v>
      </c>
      <c r="X594">
        <f>VLOOKUP($U594,'[2]AP Dynamic'!$Q$1:$T$542,4,FALSE)</f>
        <v>0</v>
      </c>
      <c r="Y594" s="77">
        <f t="shared" si="1468"/>
        <v>1</v>
      </c>
      <c r="Z594" s="77">
        <f t="shared" si="1476"/>
        <v>6.3149999999999984E-2</v>
      </c>
      <c r="AA594" s="77">
        <f t="shared" si="1477"/>
        <v>5.1160591879111372E-3</v>
      </c>
      <c r="AB594" s="79">
        <v>1</v>
      </c>
      <c r="AC594" s="77">
        <f t="shared" si="1412"/>
        <v>8.277777777777778E-3</v>
      </c>
      <c r="AD594" s="77">
        <f t="shared" ref="AD594" si="1616">1-(1-AC594)^(1/12)</f>
        <v>6.9244588451522482E-4</v>
      </c>
      <c r="AE594" s="77">
        <f t="shared" si="1414"/>
        <v>2.5000000000000001E-3</v>
      </c>
      <c r="AF594" s="77">
        <f t="shared" ref="AF594" si="1617">1-(1-AE594)^(1/12)</f>
        <v>2.0857243058891584E-4</v>
      </c>
      <c r="AH594" t="s">
        <v>175</v>
      </c>
      <c r="AI594" t="s">
        <v>179</v>
      </c>
      <c r="AJ594" s="197" t="str">
        <f t="shared" si="1398"/>
        <v>Lifecycle_Dynamic_493</v>
      </c>
      <c r="AK594">
        <v>493</v>
      </c>
      <c r="AL594">
        <f>VLOOKUP($U594,[2]Standard_Dynamic!$Q$1:$T$542,2,FALSE)</f>
        <v>0.88888888888888884</v>
      </c>
      <c r="AM594">
        <f>VLOOKUP($U594,[2]Standard_Dynamic!$Q$1:$T$542,3,FALSE)</f>
        <v>0.11111111111111116</v>
      </c>
      <c r="AN594">
        <f>VLOOKUP($U594,[2]Standard_Dynamic!$Q$1:$T$542,4,FALSE)</f>
        <v>0</v>
      </c>
      <c r="AO594" s="77">
        <f t="shared" si="1399"/>
        <v>1</v>
      </c>
      <c r="AP594" s="77">
        <f t="shared" si="1416"/>
        <v>6.3149999999999984E-2</v>
      </c>
      <c r="AQ594" s="77">
        <f t="shared" si="1400"/>
        <v>5.1160591879111372E-3</v>
      </c>
      <c r="AR594" s="79">
        <v>0</v>
      </c>
      <c r="AS594" s="77">
        <f t="shared" si="1417"/>
        <v>0</v>
      </c>
      <c r="AT594" s="77">
        <f t="shared" ref="AT594" si="1618">1-(1-AS594)^(1/12)</f>
        <v>0</v>
      </c>
      <c r="AU594" s="77">
        <f t="shared" si="1419"/>
        <v>2.5000000000000001E-3</v>
      </c>
      <c r="AV594" s="77">
        <f t="shared" ref="AV594" si="1619">1-(1-AU594)^(1/12)</f>
        <v>2.0857243058891584E-4</v>
      </c>
      <c r="AX594" t="s">
        <v>178</v>
      </c>
      <c r="AY594" t="s">
        <v>162</v>
      </c>
      <c r="AZ594" s="197" t="str">
        <f t="shared" si="1502"/>
        <v>DIS_Standard_493</v>
      </c>
      <c r="BA594">
        <v>493</v>
      </c>
      <c r="BB594">
        <f>VLOOKUP($BA594,'[2]Standard DIS'!$Q$1:$X$542,4,FALSE)</f>
        <v>0</v>
      </c>
      <c r="BF594">
        <f>VLOOKUP($BA594,'[2]Standard DIS'!$Q$1:$X$542,2,FALSE)</f>
        <v>0.88888888888888884</v>
      </c>
      <c r="BH594">
        <f>VLOOKUP($BA594,'[2]Standard DIS'!$Q$1:$X$542,3,FALSE)</f>
        <v>0.11111111111111116</v>
      </c>
      <c r="BI594" s="77">
        <f t="shared" si="1404"/>
        <v>1</v>
      </c>
      <c r="BJ594" s="77">
        <f t="shared" si="1405"/>
        <v>6.3149999999999984E-2</v>
      </c>
      <c r="BK594" s="77">
        <f t="shared" si="1503"/>
        <v>5.1160591879111372E-3</v>
      </c>
      <c r="BL594" s="79">
        <v>0</v>
      </c>
      <c r="BM594" s="77">
        <f t="shared" si="1421"/>
        <v>0</v>
      </c>
      <c r="BN594" s="77">
        <f t="shared" si="1422"/>
        <v>0</v>
      </c>
      <c r="BO594" s="77">
        <f t="shared" si="1423"/>
        <v>2.5000000000000001E-3</v>
      </c>
      <c r="BP594" s="77">
        <f t="shared" si="1424"/>
        <v>2.0809499864316017E-4</v>
      </c>
    </row>
    <row r="595" spans="1:68">
      <c r="A595" t="s">
        <v>175</v>
      </c>
      <c r="B595" t="s">
        <v>179</v>
      </c>
      <c r="C595" s="197" t="str">
        <f t="shared" si="1465"/>
        <v>Lifecycle_Dynamic_492</v>
      </c>
      <c r="D595">
        <v>492</v>
      </c>
      <c r="E595">
        <f>VLOOKUP($D595,'[2]LC Dynamic'!$Q$2:$U$542,2,FALSE)</f>
        <v>0</v>
      </c>
      <c r="F595">
        <f>VLOOKUP($D595,'[2]LC Dynamic'!$Q$2:$U$542,3,FALSE)</f>
        <v>0</v>
      </c>
      <c r="G595">
        <f>VLOOKUP($D595,'[2]LC Dynamic'!$Q$2:$U$542,4,FALSE)</f>
        <v>0.308</v>
      </c>
      <c r="H595">
        <f>VLOOKUP($D595,'[2]LC Dynamic'!$Q$2:$U$542,5,FALSE)</f>
        <v>0.69199999999999995</v>
      </c>
      <c r="I595" s="77">
        <f t="shared" si="1389"/>
        <v>1</v>
      </c>
      <c r="J595" s="77">
        <f t="shared" si="1390"/>
        <v>6.9728499999999985E-2</v>
      </c>
      <c r="K595" s="77">
        <f t="shared" si="1475"/>
        <v>5.632878498097682E-3</v>
      </c>
      <c r="L595" s="76">
        <v>0</v>
      </c>
      <c r="M595" s="77">
        <f t="shared" si="1408"/>
        <v>0</v>
      </c>
      <c r="N595" s="77">
        <f t="shared" si="1409"/>
        <v>0</v>
      </c>
      <c r="O595" s="77">
        <f t="shared" si="1410"/>
        <v>5.6775999999999997E-3</v>
      </c>
      <c r="P595" s="77">
        <f t="shared" si="1411"/>
        <v>4.7436902124819991E-4</v>
      </c>
      <c r="R595" t="s">
        <v>177</v>
      </c>
      <c r="S595" t="s">
        <v>179</v>
      </c>
      <c r="T595" s="197" t="str">
        <f t="shared" si="1467"/>
        <v>Autopilot_Dynamic_492</v>
      </c>
      <c r="U595">
        <v>492</v>
      </c>
      <c r="V595">
        <f>VLOOKUP($U595,'[2]AP Dynamic'!$Q$1:$T$542,2,FALSE)</f>
        <v>0.88888888888888884</v>
      </c>
      <c r="W595">
        <f>VLOOKUP($U595,'[2]AP Dynamic'!$Q$1:$T$542,3,FALSE)</f>
        <v>0.11111111111111116</v>
      </c>
      <c r="X595">
        <f>VLOOKUP($U595,'[2]AP Dynamic'!$Q$1:$T$542,4,FALSE)</f>
        <v>0</v>
      </c>
      <c r="Y595" s="77">
        <f t="shared" si="1468"/>
        <v>1</v>
      </c>
      <c r="Z595" s="77">
        <f t="shared" si="1476"/>
        <v>6.3149999999999984E-2</v>
      </c>
      <c r="AA595" s="77">
        <f t="shared" si="1477"/>
        <v>5.1160591879111372E-3</v>
      </c>
      <c r="AB595" s="79">
        <v>1</v>
      </c>
      <c r="AC595" s="77">
        <f t="shared" si="1412"/>
        <v>8.277777777777778E-3</v>
      </c>
      <c r="AD595" s="77">
        <f t="shared" ref="AD595" si="1620">1-(1-AC595)^(1/12)</f>
        <v>6.9244588451522482E-4</v>
      </c>
      <c r="AE595" s="77">
        <f t="shared" si="1414"/>
        <v>2.5000000000000001E-3</v>
      </c>
      <c r="AF595" s="77">
        <f t="shared" ref="AF595" si="1621">1-(1-AE595)^(1/12)</f>
        <v>2.0857243058891584E-4</v>
      </c>
      <c r="AH595" t="s">
        <v>175</v>
      </c>
      <c r="AI595" t="s">
        <v>179</v>
      </c>
      <c r="AJ595" s="197" t="str">
        <f t="shared" si="1398"/>
        <v>Lifecycle_Dynamic_492</v>
      </c>
      <c r="AK595">
        <v>492</v>
      </c>
      <c r="AL595">
        <f>VLOOKUP($U595,[2]Standard_Dynamic!$Q$1:$T$542,2,FALSE)</f>
        <v>0.88888888888888884</v>
      </c>
      <c r="AM595">
        <f>VLOOKUP($U595,[2]Standard_Dynamic!$Q$1:$T$542,3,FALSE)</f>
        <v>0.11111111111111116</v>
      </c>
      <c r="AN595">
        <f>VLOOKUP($U595,[2]Standard_Dynamic!$Q$1:$T$542,4,FALSE)</f>
        <v>0</v>
      </c>
      <c r="AO595" s="77">
        <f t="shared" si="1399"/>
        <v>1</v>
      </c>
      <c r="AP595" s="77">
        <f t="shared" si="1416"/>
        <v>6.3149999999999984E-2</v>
      </c>
      <c r="AQ595" s="77">
        <f t="shared" si="1400"/>
        <v>5.1160591879111372E-3</v>
      </c>
      <c r="AR595" s="79">
        <v>0</v>
      </c>
      <c r="AS595" s="77">
        <f t="shared" si="1417"/>
        <v>0</v>
      </c>
      <c r="AT595" s="77">
        <f t="shared" ref="AT595" si="1622">1-(1-AS595)^(1/12)</f>
        <v>0</v>
      </c>
      <c r="AU595" s="77">
        <f t="shared" si="1419"/>
        <v>2.5000000000000001E-3</v>
      </c>
      <c r="AV595" s="77">
        <f t="shared" ref="AV595" si="1623">1-(1-AU595)^(1/12)</f>
        <v>2.0857243058891584E-4</v>
      </c>
      <c r="AX595" t="s">
        <v>178</v>
      </c>
      <c r="AY595" t="s">
        <v>162</v>
      </c>
      <c r="AZ595" s="197" t="str">
        <f t="shared" si="1502"/>
        <v>DIS_Standard_492</v>
      </c>
      <c r="BA595">
        <v>492</v>
      </c>
      <c r="BB595">
        <f>VLOOKUP($BA595,'[2]Standard DIS'!$Q$1:$X$542,4,FALSE)</f>
        <v>0</v>
      </c>
      <c r="BF595">
        <f>VLOOKUP($BA595,'[2]Standard DIS'!$Q$1:$X$542,2,FALSE)</f>
        <v>0.88888888888888884</v>
      </c>
      <c r="BH595">
        <f>VLOOKUP($BA595,'[2]Standard DIS'!$Q$1:$X$542,3,FALSE)</f>
        <v>0.11111111111111116</v>
      </c>
      <c r="BI595" s="77">
        <f t="shared" si="1404"/>
        <v>1</v>
      </c>
      <c r="BJ595" s="77">
        <f t="shared" si="1405"/>
        <v>6.3149999999999984E-2</v>
      </c>
      <c r="BK595" s="77">
        <f t="shared" si="1503"/>
        <v>5.1160591879111372E-3</v>
      </c>
      <c r="BL595" s="79">
        <v>0</v>
      </c>
      <c r="BM595" s="77">
        <f t="shared" si="1421"/>
        <v>0</v>
      </c>
      <c r="BN595" s="77">
        <f t="shared" si="1422"/>
        <v>0</v>
      </c>
      <c r="BO595" s="77">
        <f t="shared" si="1423"/>
        <v>2.5000000000000001E-3</v>
      </c>
      <c r="BP595" s="77">
        <f t="shared" si="1424"/>
        <v>2.0809499864316017E-4</v>
      </c>
    </row>
    <row r="596" spans="1:68">
      <c r="A596" t="s">
        <v>175</v>
      </c>
      <c r="B596" t="s">
        <v>179</v>
      </c>
      <c r="C596" s="197" t="str">
        <f t="shared" si="1465"/>
        <v>Lifecycle_Dynamic_491</v>
      </c>
      <c r="D596">
        <v>491</v>
      </c>
      <c r="E596">
        <f>VLOOKUP($D596,'[2]LC Dynamic'!$Q$2:$U$542,2,FALSE)</f>
        <v>0</v>
      </c>
      <c r="F596">
        <f>VLOOKUP($D596,'[2]LC Dynamic'!$Q$2:$U$542,3,FALSE)</f>
        <v>0</v>
      </c>
      <c r="G596">
        <f>VLOOKUP($D596,'[2]LC Dynamic'!$Q$2:$U$542,4,FALSE)</f>
        <v>0.308</v>
      </c>
      <c r="H596">
        <f>VLOOKUP($D596,'[2]LC Dynamic'!$Q$2:$U$542,5,FALSE)</f>
        <v>0.69199999999999995</v>
      </c>
      <c r="I596" s="77">
        <f t="shared" si="1389"/>
        <v>1</v>
      </c>
      <c r="J596" s="77">
        <f t="shared" si="1390"/>
        <v>6.9728499999999985E-2</v>
      </c>
      <c r="K596" s="77">
        <f t="shared" si="1475"/>
        <v>5.632878498097682E-3</v>
      </c>
      <c r="L596" s="76">
        <v>0</v>
      </c>
      <c r="M596" s="77">
        <f t="shared" si="1408"/>
        <v>0</v>
      </c>
      <c r="N596" s="77">
        <f t="shared" si="1409"/>
        <v>0</v>
      </c>
      <c r="O596" s="77">
        <f t="shared" si="1410"/>
        <v>5.6775999999999997E-3</v>
      </c>
      <c r="P596" s="77">
        <f t="shared" si="1411"/>
        <v>4.7436902124819991E-4</v>
      </c>
      <c r="R596" t="s">
        <v>177</v>
      </c>
      <c r="S596" t="s">
        <v>179</v>
      </c>
      <c r="T596" s="197" t="str">
        <f t="shared" si="1467"/>
        <v>Autopilot_Dynamic_491</v>
      </c>
      <c r="U596">
        <v>491</v>
      </c>
      <c r="V596">
        <f>VLOOKUP($U596,'[2]AP Dynamic'!$Q$1:$T$542,2,FALSE)</f>
        <v>0.88888888888888884</v>
      </c>
      <c r="W596">
        <f>VLOOKUP($U596,'[2]AP Dynamic'!$Q$1:$T$542,3,FALSE)</f>
        <v>0.11111111111111116</v>
      </c>
      <c r="X596">
        <f>VLOOKUP($U596,'[2]AP Dynamic'!$Q$1:$T$542,4,FALSE)</f>
        <v>0</v>
      </c>
      <c r="Y596" s="77">
        <f t="shared" si="1468"/>
        <v>1</v>
      </c>
      <c r="Z596" s="77">
        <f t="shared" si="1476"/>
        <v>6.3149999999999984E-2</v>
      </c>
      <c r="AA596" s="77">
        <f t="shared" si="1477"/>
        <v>5.1160591879111372E-3</v>
      </c>
      <c r="AB596" s="79">
        <v>1</v>
      </c>
      <c r="AC596" s="77">
        <f t="shared" si="1412"/>
        <v>8.277777777777778E-3</v>
      </c>
      <c r="AD596" s="77">
        <f t="shared" ref="AD596" si="1624">1-(1-AC596)^(1/12)</f>
        <v>6.9244588451522482E-4</v>
      </c>
      <c r="AE596" s="77">
        <f t="shared" si="1414"/>
        <v>2.5000000000000001E-3</v>
      </c>
      <c r="AF596" s="77">
        <f t="shared" ref="AF596" si="1625">1-(1-AE596)^(1/12)</f>
        <v>2.0857243058891584E-4</v>
      </c>
      <c r="AH596" t="s">
        <v>175</v>
      </c>
      <c r="AI596" t="s">
        <v>179</v>
      </c>
      <c r="AJ596" s="197" t="str">
        <f t="shared" si="1398"/>
        <v>Lifecycle_Dynamic_491</v>
      </c>
      <c r="AK596">
        <v>491</v>
      </c>
      <c r="AL596">
        <f>VLOOKUP($U596,[2]Standard_Dynamic!$Q$1:$T$542,2,FALSE)</f>
        <v>0.88888888888888884</v>
      </c>
      <c r="AM596">
        <f>VLOOKUP($U596,[2]Standard_Dynamic!$Q$1:$T$542,3,FALSE)</f>
        <v>0.11111111111111116</v>
      </c>
      <c r="AN596">
        <f>VLOOKUP($U596,[2]Standard_Dynamic!$Q$1:$T$542,4,FALSE)</f>
        <v>0</v>
      </c>
      <c r="AO596" s="77">
        <f t="shared" si="1399"/>
        <v>1</v>
      </c>
      <c r="AP596" s="77">
        <f t="shared" si="1416"/>
        <v>6.3149999999999984E-2</v>
      </c>
      <c r="AQ596" s="77">
        <f t="shared" si="1400"/>
        <v>5.1160591879111372E-3</v>
      </c>
      <c r="AR596" s="79">
        <v>0</v>
      </c>
      <c r="AS596" s="77">
        <f t="shared" si="1417"/>
        <v>0</v>
      </c>
      <c r="AT596" s="77">
        <f t="shared" ref="AT596" si="1626">1-(1-AS596)^(1/12)</f>
        <v>0</v>
      </c>
      <c r="AU596" s="77">
        <f t="shared" si="1419"/>
        <v>2.5000000000000001E-3</v>
      </c>
      <c r="AV596" s="77">
        <f t="shared" ref="AV596" si="1627">1-(1-AU596)^(1/12)</f>
        <v>2.0857243058891584E-4</v>
      </c>
      <c r="AX596" t="s">
        <v>178</v>
      </c>
      <c r="AY596" t="s">
        <v>162</v>
      </c>
      <c r="AZ596" s="197" t="str">
        <f t="shared" si="1502"/>
        <v>DIS_Standard_491</v>
      </c>
      <c r="BA596">
        <v>491</v>
      </c>
      <c r="BB596">
        <f>VLOOKUP($BA596,'[2]Standard DIS'!$Q$1:$X$542,4,FALSE)</f>
        <v>0</v>
      </c>
      <c r="BF596">
        <f>VLOOKUP($BA596,'[2]Standard DIS'!$Q$1:$X$542,2,FALSE)</f>
        <v>0.88888888888888884</v>
      </c>
      <c r="BH596">
        <f>VLOOKUP($BA596,'[2]Standard DIS'!$Q$1:$X$542,3,FALSE)</f>
        <v>0.11111111111111116</v>
      </c>
      <c r="BI596" s="77">
        <f t="shared" si="1404"/>
        <v>1</v>
      </c>
      <c r="BJ596" s="77">
        <f t="shared" si="1405"/>
        <v>6.3149999999999984E-2</v>
      </c>
      <c r="BK596" s="77">
        <f t="shared" si="1503"/>
        <v>5.1160591879111372E-3</v>
      </c>
      <c r="BL596" s="79">
        <v>0</v>
      </c>
      <c r="BM596" s="77">
        <f t="shared" si="1421"/>
        <v>0</v>
      </c>
      <c r="BN596" s="77">
        <f t="shared" si="1422"/>
        <v>0</v>
      </c>
      <c r="BO596" s="77">
        <f t="shared" si="1423"/>
        <v>2.5000000000000001E-3</v>
      </c>
      <c r="BP596" s="77">
        <f t="shared" si="1424"/>
        <v>2.0809499864316017E-4</v>
      </c>
    </row>
    <row r="597" spans="1:68">
      <c r="A597" t="s">
        <v>175</v>
      </c>
      <c r="B597" t="s">
        <v>179</v>
      </c>
      <c r="C597" s="197" t="str">
        <f t="shared" si="1465"/>
        <v>Lifecycle_Dynamic_490</v>
      </c>
      <c r="D597">
        <v>490</v>
      </c>
      <c r="E597">
        <f>VLOOKUP($D597,'[2]LC Dynamic'!$Q$2:$U$542,2,FALSE)</f>
        <v>0</v>
      </c>
      <c r="F597">
        <f>VLOOKUP($D597,'[2]LC Dynamic'!$Q$2:$U$542,3,FALSE)</f>
        <v>0</v>
      </c>
      <c r="G597">
        <f>VLOOKUP($D597,'[2]LC Dynamic'!$Q$2:$U$542,4,FALSE)</f>
        <v>0.308</v>
      </c>
      <c r="H597">
        <f>VLOOKUP($D597,'[2]LC Dynamic'!$Q$2:$U$542,5,FALSE)</f>
        <v>0.69199999999999995</v>
      </c>
      <c r="I597" s="77">
        <f t="shared" si="1389"/>
        <v>1</v>
      </c>
      <c r="J597" s="77">
        <f t="shared" si="1390"/>
        <v>6.9728499999999985E-2</v>
      </c>
      <c r="K597" s="77">
        <f t="shared" si="1475"/>
        <v>5.632878498097682E-3</v>
      </c>
      <c r="L597" s="76">
        <v>0</v>
      </c>
      <c r="M597" s="77">
        <f t="shared" si="1408"/>
        <v>0</v>
      </c>
      <c r="N597" s="77">
        <f t="shared" si="1409"/>
        <v>0</v>
      </c>
      <c r="O597" s="77">
        <f t="shared" si="1410"/>
        <v>5.6775999999999997E-3</v>
      </c>
      <c r="P597" s="77">
        <f t="shared" si="1411"/>
        <v>4.7436902124819991E-4</v>
      </c>
      <c r="R597" t="s">
        <v>177</v>
      </c>
      <c r="S597" t="s">
        <v>179</v>
      </c>
      <c r="T597" s="197" t="str">
        <f t="shared" si="1467"/>
        <v>Autopilot_Dynamic_490</v>
      </c>
      <c r="U597">
        <v>490</v>
      </c>
      <c r="V597">
        <f>VLOOKUP($U597,'[2]AP Dynamic'!$Q$1:$T$542,2,FALSE)</f>
        <v>0.88888888888888884</v>
      </c>
      <c r="W597">
        <f>VLOOKUP($U597,'[2]AP Dynamic'!$Q$1:$T$542,3,FALSE)</f>
        <v>0.11111111111111116</v>
      </c>
      <c r="X597">
        <f>VLOOKUP($U597,'[2]AP Dynamic'!$Q$1:$T$542,4,FALSE)</f>
        <v>0</v>
      </c>
      <c r="Y597" s="77">
        <f t="shared" si="1468"/>
        <v>1</v>
      </c>
      <c r="Z597" s="77">
        <f t="shared" si="1476"/>
        <v>6.3149999999999984E-2</v>
      </c>
      <c r="AA597" s="77">
        <f t="shared" si="1477"/>
        <v>5.1160591879111372E-3</v>
      </c>
      <c r="AB597" s="79">
        <v>1</v>
      </c>
      <c r="AC597" s="77">
        <f t="shared" si="1412"/>
        <v>8.277777777777778E-3</v>
      </c>
      <c r="AD597" s="77">
        <f t="shared" ref="AD597" si="1628">1-(1-AC597)^(1/12)</f>
        <v>6.9244588451522482E-4</v>
      </c>
      <c r="AE597" s="77">
        <f t="shared" si="1414"/>
        <v>2.5000000000000001E-3</v>
      </c>
      <c r="AF597" s="77">
        <f t="shared" ref="AF597" si="1629">1-(1-AE597)^(1/12)</f>
        <v>2.0857243058891584E-4</v>
      </c>
      <c r="AH597" t="s">
        <v>175</v>
      </c>
      <c r="AI597" t="s">
        <v>179</v>
      </c>
      <c r="AJ597" s="197" t="str">
        <f t="shared" si="1398"/>
        <v>Lifecycle_Dynamic_490</v>
      </c>
      <c r="AK597">
        <v>490</v>
      </c>
      <c r="AL597">
        <f>VLOOKUP($U597,[2]Standard_Dynamic!$Q$1:$T$542,2,FALSE)</f>
        <v>0.88888888888888884</v>
      </c>
      <c r="AM597">
        <f>VLOOKUP($U597,[2]Standard_Dynamic!$Q$1:$T$542,3,FALSE)</f>
        <v>0.11111111111111116</v>
      </c>
      <c r="AN597">
        <f>VLOOKUP($U597,[2]Standard_Dynamic!$Q$1:$T$542,4,FALSE)</f>
        <v>0</v>
      </c>
      <c r="AO597" s="77">
        <f t="shared" si="1399"/>
        <v>1</v>
      </c>
      <c r="AP597" s="77">
        <f t="shared" si="1416"/>
        <v>6.3149999999999984E-2</v>
      </c>
      <c r="AQ597" s="77">
        <f t="shared" si="1400"/>
        <v>5.1160591879111372E-3</v>
      </c>
      <c r="AR597" s="79">
        <v>0</v>
      </c>
      <c r="AS597" s="77">
        <f t="shared" si="1417"/>
        <v>0</v>
      </c>
      <c r="AT597" s="77">
        <f t="shared" ref="AT597" si="1630">1-(1-AS597)^(1/12)</f>
        <v>0</v>
      </c>
      <c r="AU597" s="77">
        <f t="shared" si="1419"/>
        <v>2.5000000000000001E-3</v>
      </c>
      <c r="AV597" s="77">
        <f t="shared" ref="AV597" si="1631">1-(1-AU597)^(1/12)</f>
        <v>2.0857243058891584E-4</v>
      </c>
      <c r="AX597" t="s">
        <v>178</v>
      </c>
      <c r="AY597" t="s">
        <v>162</v>
      </c>
      <c r="AZ597" s="197" t="str">
        <f t="shared" si="1502"/>
        <v>DIS_Standard_490</v>
      </c>
      <c r="BA597">
        <v>490</v>
      </c>
      <c r="BB597">
        <f>VLOOKUP($BA597,'[2]Standard DIS'!$Q$1:$X$542,4,FALSE)</f>
        <v>0</v>
      </c>
      <c r="BF597">
        <f>VLOOKUP($BA597,'[2]Standard DIS'!$Q$1:$X$542,2,FALSE)</f>
        <v>0.88888888888888884</v>
      </c>
      <c r="BH597">
        <f>VLOOKUP($BA597,'[2]Standard DIS'!$Q$1:$X$542,3,FALSE)</f>
        <v>0.11111111111111116</v>
      </c>
      <c r="BI597" s="77">
        <f t="shared" si="1404"/>
        <v>1</v>
      </c>
      <c r="BJ597" s="77">
        <f t="shared" si="1405"/>
        <v>6.3149999999999984E-2</v>
      </c>
      <c r="BK597" s="77">
        <f t="shared" si="1503"/>
        <v>5.1160591879111372E-3</v>
      </c>
      <c r="BL597" s="79">
        <v>0</v>
      </c>
      <c r="BM597" s="77">
        <f t="shared" si="1421"/>
        <v>0</v>
      </c>
      <c r="BN597" s="77">
        <f t="shared" si="1422"/>
        <v>0</v>
      </c>
      <c r="BO597" s="77">
        <f t="shared" si="1423"/>
        <v>2.5000000000000001E-3</v>
      </c>
      <c r="BP597" s="77">
        <f t="shared" si="1424"/>
        <v>2.0809499864316017E-4</v>
      </c>
    </row>
    <row r="598" spans="1:68">
      <c r="A598" t="s">
        <v>175</v>
      </c>
      <c r="B598" t="s">
        <v>179</v>
      </c>
      <c r="C598" s="197" t="str">
        <f t="shared" si="1465"/>
        <v>Lifecycle_Dynamic_489</v>
      </c>
      <c r="D598">
        <v>489</v>
      </c>
      <c r="E598">
        <f>VLOOKUP($D598,'[2]LC Dynamic'!$Q$2:$U$542,2,FALSE)</f>
        <v>0</v>
      </c>
      <c r="F598">
        <f>VLOOKUP($D598,'[2]LC Dynamic'!$Q$2:$U$542,3,FALSE)</f>
        <v>0</v>
      </c>
      <c r="G598">
        <f>VLOOKUP($D598,'[2]LC Dynamic'!$Q$2:$U$542,4,FALSE)</f>
        <v>0.308</v>
      </c>
      <c r="H598">
        <f>VLOOKUP($D598,'[2]LC Dynamic'!$Q$2:$U$542,5,FALSE)</f>
        <v>0.69199999999999995</v>
      </c>
      <c r="I598" s="77">
        <f t="shared" si="1389"/>
        <v>1</v>
      </c>
      <c r="J598" s="77">
        <f t="shared" si="1390"/>
        <v>6.9728499999999985E-2</v>
      </c>
      <c r="K598" s="77">
        <f t="shared" si="1475"/>
        <v>5.632878498097682E-3</v>
      </c>
      <c r="L598" s="76">
        <v>0</v>
      </c>
      <c r="M598" s="77">
        <f t="shared" si="1408"/>
        <v>0</v>
      </c>
      <c r="N598" s="77">
        <f t="shared" si="1409"/>
        <v>0</v>
      </c>
      <c r="O598" s="77">
        <f t="shared" si="1410"/>
        <v>5.6775999999999997E-3</v>
      </c>
      <c r="P598" s="77">
        <f t="shared" si="1411"/>
        <v>4.7436902124819991E-4</v>
      </c>
      <c r="R598" t="s">
        <v>177</v>
      </c>
      <c r="S598" t="s">
        <v>179</v>
      </c>
      <c r="T598" s="197" t="str">
        <f t="shared" si="1467"/>
        <v>Autopilot_Dynamic_489</v>
      </c>
      <c r="U598">
        <v>489</v>
      </c>
      <c r="V598">
        <f>VLOOKUP($U598,'[2]AP Dynamic'!$Q$1:$T$542,2,FALSE)</f>
        <v>0.88888888888888884</v>
      </c>
      <c r="W598">
        <f>VLOOKUP($U598,'[2]AP Dynamic'!$Q$1:$T$542,3,FALSE)</f>
        <v>0.11111111111111116</v>
      </c>
      <c r="X598">
        <f>VLOOKUP($U598,'[2]AP Dynamic'!$Q$1:$T$542,4,FALSE)</f>
        <v>0</v>
      </c>
      <c r="Y598" s="77">
        <f t="shared" si="1468"/>
        <v>1</v>
      </c>
      <c r="Z598" s="77">
        <f t="shared" si="1476"/>
        <v>6.3149999999999984E-2</v>
      </c>
      <c r="AA598" s="77">
        <f t="shared" si="1477"/>
        <v>5.1160591879111372E-3</v>
      </c>
      <c r="AB598" s="79">
        <v>1</v>
      </c>
      <c r="AC598" s="77">
        <f t="shared" si="1412"/>
        <v>8.277777777777778E-3</v>
      </c>
      <c r="AD598" s="77">
        <f t="shared" ref="AD598" si="1632">1-(1-AC598)^(1/12)</f>
        <v>6.9244588451522482E-4</v>
      </c>
      <c r="AE598" s="77">
        <f t="shared" si="1414"/>
        <v>2.5000000000000001E-3</v>
      </c>
      <c r="AF598" s="77">
        <f t="shared" ref="AF598" si="1633">1-(1-AE598)^(1/12)</f>
        <v>2.0857243058891584E-4</v>
      </c>
      <c r="AH598" t="s">
        <v>175</v>
      </c>
      <c r="AI598" t="s">
        <v>179</v>
      </c>
      <c r="AJ598" s="197" t="str">
        <f t="shared" si="1398"/>
        <v>Lifecycle_Dynamic_489</v>
      </c>
      <c r="AK598">
        <v>489</v>
      </c>
      <c r="AL598">
        <f>VLOOKUP($U598,[2]Standard_Dynamic!$Q$1:$T$542,2,FALSE)</f>
        <v>0.88888888888888884</v>
      </c>
      <c r="AM598">
        <f>VLOOKUP($U598,[2]Standard_Dynamic!$Q$1:$T$542,3,FALSE)</f>
        <v>0.11111111111111116</v>
      </c>
      <c r="AN598">
        <f>VLOOKUP($U598,[2]Standard_Dynamic!$Q$1:$T$542,4,FALSE)</f>
        <v>0</v>
      </c>
      <c r="AO598" s="77">
        <f t="shared" si="1399"/>
        <v>1</v>
      </c>
      <c r="AP598" s="77">
        <f t="shared" si="1416"/>
        <v>6.3149999999999984E-2</v>
      </c>
      <c r="AQ598" s="77">
        <f t="shared" si="1400"/>
        <v>5.1160591879111372E-3</v>
      </c>
      <c r="AR598" s="79">
        <v>0</v>
      </c>
      <c r="AS598" s="77">
        <f t="shared" si="1417"/>
        <v>0</v>
      </c>
      <c r="AT598" s="77">
        <f t="shared" ref="AT598" si="1634">1-(1-AS598)^(1/12)</f>
        <v>0</v>
      </c>
      <c r="AU598" s="77">
        <f t="shared" si="1419"/>
        <v>2.5000000000000001E-3</v>
      </c>
      <c r="AV598" s="77">
        <f t="shared" ref="AV598" si="1635">1-(1-AU598)^(1/12)</f>
        <v>2.0857243058891584E-4</v>
      </c>
      <c r="AX598" t="s">
        <v>178</v>
      </c>
      <c r="AY598" t="s">
        <v>162</v>
      </c>
      <c r="AZ598" s="197" t="str">
        <f t="shared" si="1502"/>
        <v>DIS_Standard_489</v>
      </c>
      <c r="BA598">
        <v>489</v>
      </c>
      <c r="BB598">
        <f>VLOOKUP($BA598,'[2]Standard DIS'!$Q$1:$X$542,4,FALSE)</f>
        <v>0</v>
      </c>
      <c r="BF598">
        <f>VLOOKUP($BA598,'[2]Standard DIS'!$Q$1:$X$542,2,FALSE)</f>
        <v>0.88888888888888884</v>
      </c>
      <c r="BH598">
        <f>VLOOKUP($BA598,'[2]Standard DIS'!$Q$1:$X$542,3,FALSE)</f>
        <v>0.11111111111111116</v>
      </c>
      <c r="BI598" s="77">
        <f t="shared" si="1404"/>
        <v>1</v>
      </c>
      <c r="BJ598" s="77">
        <f t="shared" si="1405"/>
        <v>6.3149999999999984E-2</v>
      </c>
      <c r="BK598" s="77">
        <f t="shared" si="1503"/>
        <v>5.1160591879111372E-3</v>
      </c>
      <c r="BL598" s="79">
        <v>0</v>
      </c>
      <c r="BM598" s="77">
        <f t="shared" si="1421"/>
        <v>0</v>
      </c>
      <c r="BN598" s="77">
        <f t="shared" si="1422"/>
        <v>0</v>
      </c>
      <c r="BO598" s="77">
        <f t="shared" si="1423"/>
        <v>2.5000000000000001E-3</v>
      </c>
      <c r="BP598" s="77">
        <f t="shared" si="1424"/>
        <v>2.0809499864316017E-4</v>
      </c>
    </row>
    <row r="599" spans="1:68">
      <c r="A599" t="s">
        <v>175</v>
      </c>
      <c r="B599" t="s">
        <v>179</v>
      </c>
      <c r="C599" s="197" t="str">
        <f t="shared" si="1465"/>
        <v>Lifecycle_Dynamic_488</v>
      </c>
      <c r="D599">
        <v>488</v>
      </c>
      <c r="E599">
        <f>VLOOKUP($D599,'[2]LC Dynamic'!$Q$2:$U$542,2,FALSE)</f>
        <v>0</v>
      </c>
      <c r="F599">
        <f>VLOOKUP($D599,'[2]LC Dynamic'!$Q$2:$U$542,3,FALSE)</f>
        <v>0</v>
      </c>
      <c r="G599">
        <f>VLOOKUP($D599,'[2]LC Dynamic'!$Q$2:$U$542,4,FALSE)</f>
        <v>0.308</v>
      </c>
      <c r="H599">
        <f>VLOOKUP($D599,'[2]LC Dynamic'!$Q$2:$U$542,5,FALSE)</f>
        <v>0.69199999999999995</v>
      </c>
      <c r="I599" s="77">
        <f t="shared" si="1389"/>
        <v>1</v>
      </c>
      <c r="J599" s="77">
        <f t="shared" si="1390"/>
        <v>6.9728499999999985E-2</v>
      </c>
      <c r="K599" s="77">
        <f t="shared" si="1475"/>
        <v>5.632878498097682E-3</v>
      </c>
      <c r="L599" s="76">
        <v>0</v>
      </c>
      <c r="M599" s="77">
        <f t="shared" si="1408"/>
        <v>0</v>
      </c>
      <c r="N599" s="77">
        <f t="shared" si="1409"/>
        <v>0</v>
      </c>
      <c r="O599" s="77">
        <f t="shared" si="1410"/>
        <v>5.6775999999999997E-3</v>
      </c>
      <c r="P599" s="77">
        <f t="shared" si="1411"/>
        <v>4.7436902124819991E-4</v>
      </c>
      <c r="R599" t="s">
        <v>177</v>
      </c>
      <c r="S599" t="s">
        <v>179</v>
      </c>
      <c r="T599" s="197" t="str">
        <f t="shared" si="1467"/>
        <v>Autopilot_Dynamic_488</v>
      </c>
      <c r="U599">
        <v>488</v>
      </c>
      <c r="V599">
        <f>VLOOKUP($U599,'[2]AP Dynamic'!$Q$1:$T$542,2,FALSE)</f>
        <v>0.88888888888888884</v>
      </c>
      <c r="W599">
        <f>VLOOKUP($U599,'[2]AP Dynamic'!$Q$1:$T$542,3,FALSE)</f>
        <v>0.11111111111111116</v>
      </c>
      <c r="X599">
        <f>VLOOKUP($U599,'[2]AP Dynamic'!$Q$1:$T$542,4,FALSE)</f>
        <v>0</v>
      </c>
      <c r="Y599" s="77">
        <f t="shared" si="1468"/>
        <v>1</v>
      </c>
      <c r="Z599" s="77">
        <f t="shared" si="1476"/>
        <v>6.3149999999999984E-2</v>
      </c>
      <c r="AA599" s="77">
        <f t="shared" si="1477"/>
        <v>5.1160591879111372E-3</v>
      </c>
      <c r="AB599" s="79">
        <v>1</v>
      </c>
      <c r="AC599" s="77">
        <f t="shared" si="1412"/>
        <v>8.277777777777778E-3</v>
      </c>
      <c r="AD599" s="77">
        <f t="shared" ref="AD599" si="1636">1-(1-AC599)^(1/12)</f>
        <v>6.9244588451522482E-4</v>
      </c>
      <c r="AE599" s="77">
        <f t="shared" si="1414"/>
        <v>2.5000000000000001E-3</v>
      </c>
      <c r="AF599" s="77">
        <f t="shared" ref="AF599" si="1637">1-(1-AE599)^(1/12)</f>
        <v>2.0857243058891584E-4</v>
      </c>
      <c r="AH599" t="s">
        <v>175</v>
      </c>
      <c r="AI599" t="s">
        <v>179</v>
      </c>
      <c r="AJ599" s="197" t="str">
        <f t="shared" si="1398"/>
        <v>Lifecycle_Dynamic_488</v>
      </c>
      <c r="AK599">
        <v>488</v>
      </c>
      <c r="AL599">
        <f>VLOOKUP($U599,[2]Standard_Dynamic!$Q$1:$T$542,2,FALSE)</f>
        <v>0.88888888888888884</v>
      </c>
      <c r="AM599">
        <f>VLOOKUP($U599,[2]Standard_Dynamic!$Q$1:$T$542,3,FALSE)</f>
        <v>0.11111111111111116</v>
      </c>
      <c r="AN599">
        <f>VLOOKUP($U599,[2]Standard_Dynamic!$Q$1:$T$542,4,FALSE)</f>
        <v>0</v>
      </c>
      <c r="AO599" s="77">
        <f t="shared" si="1399"/>
        <v>1</v>
      </c>
      <c r="AP599" s="77">
        <f t="shared" si="1416"/>
        <v>6.3149999999999984E-2</v>
      </c>
      <c r="AQ599" s="77">
        <f t="shared" si="1400"/>
        <v>5.1160591879111372E-3</v>
      </c>
      <c r="AR599" s="79">
        <v>0</v>
      </c>
      <c r="AS599" s="77">
        <f t="shared" si="1417"/>
        <v>0</v>
      </c>
      <c r="AT599" s="77">
        <f t="shared" ref="AT599" si="1638">1-(1-AS599)^(1/12)</f>
        <v>0</v>
      </c>
      <c r="AU599" s="77">
        <f t="shared" si="1419"/>
        <v>2.5000000000000001E-3</v>
      </c>
      <c r="AV599" s="77">
        <f t="shared" ref="AV599" si="1639">1-(1-AU599)^(1/12)</f>
        <v>2.0857243058891584E-4</v>
      </c>
      <c r="AX599" t="s">
        <v>178</v>
      </c>
      <c r="AY599" t="s">
        <v>162</v>
      </c>
      <c r="AZ599" s="197" t="str">
        <f t="shared" si="1502"/>
        <v>DIS_Standard_488</v>
      </c>
      <c r="BA599">
        <v>488</v>
      </c>
      <c r="BB599">
        <f>VLOOKUP($BA599,'[2]Standard DIS'!$Q$1:$X$542,4,FALSE)</f>
        <v>0</v>
      </c>
      <c r="BF599">
        <f>VLOOKUP($BA599,'[2]Standard DIS'!$Q$1:$X$542,2,FALSE)</f>
        <v>0.88888888888888884</v>
      </c>
      <c r="BH599">
        <f>VLOOKUP($BA599,'[2]Standard DIS'!$Q$1:$X$542,3,FALSE)</f>
        <v>0.11111111111111116</v>
      </c>
      <c r="BI599" s="77">
        <f t="shared" si="1404"/>
        <v>1</v>
      </c>
      <c r="BJ599" s="77">
        <f t="shared" si="1405"/>
        <v>6.3149999999999984E-2</v>
      </c>
      <c r="BK599" s="77">
        <f t="shared" si="1503"/>
        <v>5.1160591879111372E-3</v>
      </c>
      <c r="BL599" s="79">
        <v>0</v>
      </c>
      <c r="BM599" s="77">
        <f t="shared" si="1421"/>
        <v>0</v>
      </c>
      <c r="BN599" s="77">
        <f t="shared" si="1422"/>
        <v>0</v>
      </c>
      <c r="BO599" s="77">
        <f t="shared" si="1423"/>
        <v>2.5000000000000001E-3</v>
      </c>
      <c r="BP599" s="77">
        <f t="shared" si="1424"/>
        <v>2.0809499864316017E-4</v>
      </c>
    </row>
    <row r="600" spans="1:68">
      <c r="A600" t="s">
        <v>175</v>
      </c>
      <c r="B600" t="s">
        <v>179</v>
      </c>
      <c r="C600" s="197" t="str">
        <f t="shared" si="1465"/>
        <v>Lifecycle_Dynamic_487</v>
      </c>
      <c r="D600">
        <v>487</v>
      </c>
      <c r="E600">
        <f>VLOOKUP($D600,'[2]LC Dynamic'!$Q$2:$U$542,2,FALSE)</f>
        <v>0</v>
      </c>
      <c r="F600">
        <f>VLOOKUP($D600,'[2]LC Dynamic'!$Q$2:$U$542,3,FALSE)</f>
        <v>0</v>
      </c>
      <c r="G600">
        <f>VLOOKUP($D600,'[2]LC Dynamic'!$Q$2:$U$542,4,FALSE)</f>
        <v>0.308</v>
      </c>
      <c r="H600">
        <f>VLOOKUP($D600,'[2]LC Dynamic'!$Q$2:$U$542,5,FALSE)</f>
        <v>0.69199999999999995</v>
      </c>
      <c r="I600" s="77">
        <f t="shared" si="1389"/>
        <v>1</v>
      </c>
      <c r="J600" s="77">
        <f t="shared" si="1390"/>
        <v>6.9728499999999985E-2</v>
      </c>
      <c r="K600" s="77">
        <f t="shared" si="1475"/>
        <v>5.632878498097682E-3</v>
      </c>
      <c r="L600" s="76">
        <v>0</v>
      </c>
      <c r="M600" s="77">
        <f t="shared" si="1408"/>
        <v>0</v>
      </c>
      <c r="N600" s="77">
        <f t="shared" si="1409"/>
        <v>0</v>
      </c>
      <c r="O600" s="77">
        <f t="shared" si="1410"/>
        <v>5.6775999999999997E-3</v>
      </c>
      <c r="P600" s="77">
        <f t="shared" si="1411"/>
        <v>4.7436902124819991E-4</v>
      </c>
      <c r="R600" t="s">
        <v>177</v>
      </c>
      <c r="S600" t="s">
        <v>179</v>
      </c>
      <c r="T600" s="197" t="str">
        <f t="shared" si="1467"/>
        <v>Autopilot_Dynamic_487</v>
      </c>
      <c r="U600">
        <v>487</v>
      </c>
      <c r="V600">
        <f>VLOOKUP($U600,'[2]AP Dynamic'!$Q$1:$T$542,2,FALSE)</f>
        <v>0.88888888888888884</v>
      </c>
      <c r="W600">
        <f>VLOOKUP($U600,'[2]AP Dynamic'!$Q$1:$T$542,3,FALSE)</f>
        <v>0.11111111111111116</v>
      </c>
      <c r="X600">
        <f>VLOOKUP($U600,'[2]AP Dynamic'!$Q$1:$T$542,4,FALSE)</f>
        <v>0</v>
      </c>
      <c r="Y600" s="77">
        <f t="shared" si="1468"/>
        <v>1</v>
      </c>
      <c r="Z600" s="77">
        <f t="shared" si="1476"/>
        <v>6.3149999999999984E-2</v>
      </c>
      <c r="AA600" s="77">
        <f t="shared" si="1477"/>
        <v>5.1160591879111372E-3</v>
      </c>
      <c r="AB600" s="79">
        <v>1</v>
      </c>
      <c r="AC600" s="77">
        <f t="shared" si="1412"/>
        <v>8.277777777777778E-3</v>
      </c>
      <c r="AD600" s="77">
        <f t="shared" ref="AD600" si="1640">1-(1-AC600)^(1/12)</f>
        <v>6.9244588451522482E-4</v>
      </c>
      <c r="AE600" s="77">
        <f t="shared" si="1414"/>
        <v>2.5000000000000001E-3</v>
      </c>
      <c r="AF600" s="77">
        <f t="shared" ref="AF600" si="1641">1-(1-AE600)^(1/12)</f>
        <v>2.0857243058891584E-4</v>
      </c>
      <c r="AH600" t="s">
        <v>175</v>
      </c>
      <c r="AI600" t="s">
        <v>179</v>
      </c>
      <c r="AJ600" s="197" t="str">
        <f t="shared" si="1398"/>
        <v>Lifecycle_Dynamic_487</v>
      </c>
      <c r="AK600">
        <v>487</v>
      </c>
      <c r="AL600">
        <f>VLOOKUP($U600,[2]Standard_Dynamic!$Q$1:$T$542,2,FALSE)</f>
        <v>0.88888888888888884</v>
      </c>
      <c r="AM600">
        <f>VLOOKUP($U600,[2]Standard_Dynamic!$Q$1:$T$542,3,FALSE)</f>
        <v>0.11111111111111116</v>
      </c>
      <c r="AN600">
        <f>VLOOKUP($U600,[2]Standard_Dynamic!$Q$1:$T$542,4,FALSE)</f>
        <v>0</v>
      </c>
      <c r="AO600" s="77">
        <f t="shared" si="1399"/>
        <v>1</v>
      </c>
      <c r="AP600" s="77">
        <f t="shared" si="1416"/>
        <v>6.3149999999999984E-2</v>
      </c>
      <c r="AQ600" s="77">
        <f t="shared" si="1400"/>
        <v>5.1160591879111372E-3</v>
      </c>
      <c r="AR600" s="79">
        <v>0</v>
      </c>
      <c r="AS600" s="77">
        <f t="shared" si="1417"/>
        <v>0</v>
      </c>
      <c r="AT600" s="77">
        <f t="shared" ref="AT600" si="1642">1-(1-AS600)^(1/12)</f>
        <v>0</v>
      </c>
      <c r="AU600" s="77">
        <f t="shared" si="1419"/>
        <v>2.5000000000000001E-3</v>
      </c>
      <c r="AV600" s="77">
        <f t="shared" ref="AV600" si="1643">1-(1-AU600)^(1/12)</f>
        <v>2.0857243058891584E-4</v>
      </c>
      <c r="AX600" t="s">
        <v>178</v>
      </c>
      <c r="AY600" t="s">
        <v>162</v>
      </c>
      <c r="AZ600" s="197" t="str">
        <f t="shared" si="1502"/>
        <v>DIS_Standard_487</v>
      </c>
      <c r="BA600">
        <v>487</v>
      </c>
      <c r="BB600">
        <f>VLOOKUP($BA600,'[2]Standard DIS'!$Q$1:$X$542,4,FALSE)</f>
        <v>0</v>
      </c>
      <c r="BF600">
        <f>VLOOKUP($BA600,'[2]Standard DIS'!$Q$1:$X$542,2,FALSE)</f>
        <v>0.88888888888888884</v>
      </c>
      <c r="BH600">
        <f>VLOOKUP($BA600,'[2]Standard DIS'!$Q$1:$X$542,3,FALSE)</f>
        <v>0.11111111111111116</v>
      </c>
      <c r="BI600" s="77">
        <f t="shared" si="1404"/>
        <v>1</v>
      </c>
      <c r="BJ600" s="77">
        <f t="shared" si="1405"/>
        <v>6.3149999999999984E-2</v>
      </c>
      <c r="BK600" s="77">
        <f t="shared" si="1503"/>
        <v>5.1160591879111372E-3</v>
      </c>
      <c r="BL600" s="79">
        <v>0</v>
      </c>
      <c r="BM600" s="77">
        <f t="shared" si="1421"/>
        <v>0</v>
      </c>
      <c r="BN600" s="77">
        <f t="shared" si="1422"/>
        <v>0</v>
      </c>
      <c r="BO600" s="77">
        <f t="shared" si="1423"/>
        <v>2.5000000000000001E-3</v>
      </c>
      <c r="BP600" s="77">
        <f t="shared" si="1424"/>
        <v>2.0809499864316017E-4</v>
      </c>
    </row>
    <row r="601" spans="1:68">
      <c r="A601" t="s">
        <v>175</v>
      </c>
      <c r="B601" t="s">
        <v>179</v>
      </c>
      <c r="C601" s="197" t="str">
        <f t="shared" si="1465"/>
        <v>Lifecycle_Dynamic_486</v>
      </c>
      <c r="D601">
        <v>486</v>
      </c>
      <c r="E601">
        <f>VLOOKUP($D601,'[2]LC Dynamic'!$Q$2:$U$542,2,FALSE)</f>
        <v>0</v>
      </c>
      <c r="F601">
        <f>VLOOKUP($D601,'[2]LC Dynamic'!$Q$2:$U$542,3,FALSE)</f>
        <v>0</v>
      </c>
      <c r="G601">
        <f>VLOOKUP($D601,'[2]LC Dynamic'!$Q$2:$U$542,4,FALSE)</f>
        <v>0.308</v>
      </c>
      <c r="H601">
        <f>VLOOKUP($D601,'[2]LC Dynamic'!$Q$2:$U$542,5,FALSE)</f>
        <v>0.69199999999999995</v>
      </c>
      <c r="I601" s="77">
        <f t="shared" si="1389"/>
        <v>1</v>
      </c>
      <c r="J601" s="77">
        <f t="shared" si="1390"/>
        <v>6.9728499999999985E-2</v>
      </c>
      <c r="K601" s="77">
        <f t="shared" si="1475"/>
        <v>5.632878498097682E-3</v>
      </c>
      <c r="L601" s="76">
        <v>0</v>
      </c>
      <c r="M601" s="77">
        <f t="shared" si="1408"/>
        <v>0</v>
      </c>
      <c r="N601" s="77">
        <f t="shared" si="1409"/>
        <v>0</v>
      </c>
      <c r="O601" s="77">
        <f t="shared" si="1410"/>
        <v>5.6775999999999997E-3</v>
      </c>
      <c r="P601" s="77">
        <f t="shared" si="1411"/>
        <v>4.7436902124819991E-4</v>
      </c>
      <c r="R601" t="s">
        <v>177</v>
      </c>
      <c r="S601" t="s">
        <v>179</v>
      </c>
      <c r="T601" s="197" t="str">
        <f t="shared" si="1467"/>
        <v>Autopilot_Dynamic_486</v>
      </c>
      <c r="U601">
        <v>486</v>
      </c>
      <c r="V601">
        <f>VLOOKUP($U601,'[2]AP Dynamic'!$Q$1:$T$542,2,FALSE)</f>
        <v>0.88888888888888884</v>
      </c>
      <c r="W601">
        <f>VLOOKUP($U601,'[2]AP Dynamic'!$Q$1:$T$542,3,FALSE)</f>
        <v>0.11111111111111116</v>
      </c>
      <c r="X601">
        <f>VLOOKUP($U601,'[2]AP Dynamic'!$Q$1:$T$542,4,FALSE)</f>
        <v>0</v>
      </c>
      <c r="Y601" s="77">
        <f t="shared" si="1468"/>
        <v>1</v>
      </c>
      <c r="Z601" s="77">
        <f t="shared" si="1476"/>
        <v>6.3149999999999984E-2</v>
      </c>
      <c r="AA601" s="77">
        <f t="shared" si="1477"/>
        <v>5.1160591879111372E-3</v>
      </c>
      <c r="AB601" s="79">
        <v>1</v>
      </c>
      <c r="AC601" s="77">
        <f t="shared" si="1412"/>
        <v>8.277777777777778E-3</v>
      </c>
      <c r="AD601" s="77">
        <f t="shared" ref="AD601" si="1644">1-(1-AC601)^(1/12)</f>
        <v>6.9244588451522482E-4</v>
      </c>
      <c r="AE601" s="77">
        <f t="shared" si="1414"/>
        <v>2.5000000000000001E-3</v>
      </c>
      <c r="AF601" s="77">
        <f t="shared" ref="AF601" si="1645">1-(1-AE601)^(1/12)</f>
        <v>2.0857243058891584E-4</v>
      </c>
      <c r="AH601" t="s">
        <v>175</v>
      </c>
      <c r="AI601" t="s">
        <v>179</v>
      </c>
      <c r="AJ601" s="197" t="str">
        <f t="shared" si="1398"/>
        <v>Lifecycle_Dynamic_486</v>
      </c>
      <c r="AK601">
        <v>486</v>
      </c>
      <c r="AL601">
        <f>VLOOKUP($U601,[2]Standard_Dynamic!$Q$1:$T$542,2,FALSE)</f>
        <v>0.88888888888888884</v>
      </c>
      <c r="AM601">
        <f>VLOOKUP($U601,[2]Standard_Dynamic!$Q$1:$T$542,3,FALSE)</f>
        <v>0.11111111111111116</v>
      </c>
      <c r="AN601">
        <f>VLOOKUP($U601,[2]Standard_Dynamic!$Q$1:$T$542,4,FALSE)</f>
        <v>0</v>
      </c>
      <c r="AO601" s="77">
        <f t="shared" si="1399"/>
        <v>1</v>
      </c>
      <c r="AP601" s="77">
        <f t="shared" si="1416"/>
        <v>6.3149999999999984E-2</v>
      </c>
      <c r="AQ601" s="77">
        <f t="shared" si="1400"/>
        <v>5.1160591879111372E-3</v>
      </c>
      <c r="AR601" s="79">
        <v>0</v>
      </c>
      <c r="AS601" s="77">
        <f t="shared" si="1417"/>
        <v>0</v>
      </c>
      <c r="AT601" s="77">
        <f t="shared" ref="AT601" si="1646">1-(1-AS601)^(1/12)</f>
        <v>0</v>
      </c>
      <c r="AU601" s="77">
        <f t="shared" si="1419"/>
        <v>2.5000000000000001E-3</v>
      </c>
      <c r="AV601" s="77">
        <f t="shared" ref="AV601" si="1647">1-(1-AU601)^(1/12)</f>
        <v>2.0857243058891584E-4</v>
      </c>
      <c r="AX601" t="s">
        <v>178</v>
      </c>
      <c r="AY601" t="s">
        <v>162</v>
      </c>
      <c r="AZ601" s="197" t="str">
        <f t="shared" si="1502"/>
        <v>DIS_Standard_486</v>
      </c>
      <c r="BA601">
        <v>486</v>
      </c>
      <c r="BB601">
        <f>VLOOKUP($BA601,'[2]Standard DIS'!$Q$1:$X$542,4,FALSE)</f>
        <v>0</v>
      </c>
      <c r="BF601">
        <f>VLOOKUP($BA601,'[2]Standard DIS'!$Q$1:$X$542,2,FALSE)</f>
        <v>0.88888888888888884</v>
      </c>
      <c r="BH601">
        <f>VLOOKUP($BA601,'[2]Standard DIS'!$Q$1:$X$542,3,FALSE)</f>
        <v>0.11111111111111116</v>
      </c>
      <c r="BI601" s="77">
        <f t="shared" si="1404"/>
        <v>1</v>
      </c>
      <c r="BJ601" s="77">
        <f t="shared" si="1405"/>
        <v>6.3149999999999984E-2</v>
      </c>
      <c r="BK601" s="77">
        <f t="shared" si="1503"/>
        <v>5.1160591879111372E-3</v>
      </c>
      <c r="BL601" s="79">
        <v>0</v>
      </c>
      <c r="BM601" s="77">
        <f t="shared" si="1421"/>
        <v>0</v>
      </c>
      <c r="BN601" s="77">
        <f t="shared" si="1422"/>
        <v>0</v>
      </c>
      <c r="BO601" s="77">
        <f t="shared" si="1423"/>
        <v>2.5000000000000001E-3</v>
      </c>
      <c r="BP601" s="77">
        <f t="shared" si="1424"/>
        <v>2.0809499864316017E-4</v>
      </c>
    </row>
    <row r="602" spans="1:68">
      <c r="A602" t="s">
        <v>175</v>
      </c>
      <c r="B602" t="s">
        <v>179</v>
      </c>
      <c r="C602" s="197" t="str">
        <f t="shared" si="1465"/>
        <v>Lifecycle_Dynamic_485</v>
      </c>
      <c r="D602">
        <v>485</v>
      </c>
      <c r="E602">
        <f>VLOOKUP($D602,'[2]LC Dynamic'!$Q$2:$U$542,2,FALSE)</f>
        <v>0</v>
      </c>
      <c r="F602">
        <f>VLOOKUP($D602,'[2]LC Dynamic'!$Q$2:$U$542,3,FALSE)</f>
        <v>0</v>
      </c>
      <c r="G602">
        <f>VLOOKUP($D602,'[2]LC Dynamic'!$Q$2:$U$542,4,FALSE)</f>
        <v>0.308</v>
      </c>
      <c r="H602">
        <f>VLOOKUP($D602,'[2]LC Dynamic'!$Q$2:$U$542,5,FALSE)</f>
        <v>0.69199999999999995</v>
      </c>
      <c r="I602" s="77">
        <f t="shared" si="1389"/>
        <v>1</v>
      </c>
      <c r="J602" s="77">
        <f t="shared" si="1390"/>
        <v>6.9728499999999985E-2</v>
      </c>
      <c r="K602" s="77">
        <f t="shared" si="1475"/>
        <v>5.632878498097682E-3</v>
      </c>
      <c r="L602" s="76">
        <v>0</v>
      </c>
      <c r="M602" s="77">
        <f t="shared" si="1408"/>
        <v>0</v>
      </c>
      <c r="N602" s="77">
        <f t="shared" si="1409"/>
        <v>0</v>
      </c>
      <c r="O602" s="77">
        <f t="shared" si="1410"/>
        <v>5.6775999999999997E-3</v>
      </c>
      <c r="P602" s="77">
        <f t="shared" si="1411"/>
        <v>4.7436902124819991E-4</v>
      </c>
      <c r="R602" t="s">
        <v>177</v>
      </c>
      <c r="S602" t="s">
        <v>179</v>
      </c>
      <c r="T602" s="197" t="str">
        <f t="shared" si="1467"/>
        <v>Autopilot_Dynamic_485</v>
      </c>
      <c r="U602">
        <v>485</v>
      </c>
      <c r="V602">
        <f>VLOOKUP($U602,'[2]AP Dynamic'!$Q$1:$T$542,2,FALSE)</f>
        <v>0.88888888888888884</v>
      </c>
      <c r="W602">
        <f>VLOOKUP($U602,'[2]AP Dynamic'!$Q$1:$T$542,3,FALSE)</f>
        <v>0.11111111111111116</v>
      </c>
      <c r="X602">
        <f>VLOOKUP($U602,'[2]AP Dynamic'!$Q$1:$T$542,4,FALSE)</f>
        <v>0</v>
      </c>
      <c r="Y602" s="77">
        <f t="shared" si="1468"/>
        <v>1</v>
      </c>
      <c r="Z602" s="77">
        <f t="shared" si="1476"/>
        <v>6.3149999999999984E-2</v>
      </c>
      <c r="AA602" s="77">
        <f t="shared" si="1477"/>
        <v>5.1160591879111372E-3</v>
      </c>
      <c r="AB602" s="79">
        <v>1</v>
      </c>
      <c r="AC602" s="77">
        <f t="shared" si="1412"/>
        <v>8.277777777777778E-3</v>
      </c>
      <c r="AD602" s="77">
        <f t="shared" ref="AD602" si="1648">1-(1-AC602)^(1/12)</f>
        <v>6.9244588451522482E-4</v>
      </c>
      <c r="AE602" s="77">
        <f t="shared" si="1414"/>
        <v>2.5000000000000001E-3</v>
      </c>
      <c r="AF602" s="77">
        <f t="shared" ref="AF602" si="1649">1-(1-AE602)^(1/12)</f>
        <v>2.0857243058891584E-4</v>
      </c>
      <c r="AH602" t="s">
        <v>175</v>
      </c>
      <c r="AI602" t="s">
        <v>179</v>
      </c>
      <c r="AJ602" s="197" t="str">
        <f t="shared" si="1398"/>
        <v>Lifecycle_Dynamic_485</v>
      </c>
      <c r="AK602">
        <v>485</v>
      </c>
      <c r="AL602">
        <f>VLOOKUP($U602,[2]Standard_Dynamic!$Q$1:$T$542,2,FALSE)</f>
        <v>0.88888888888888884</v>
      </c>
      <c r="AM602">
        <f>VLOOKUP($U602,[2]Standard_Dynamic!$Q$1:$T$542,3,FALSE)</f>
        <v>0.11111111111111116</v>
      </c>
      <c r="AN602">
        <f>VLOOKUP($U602,[2]Standard_Dynamic!$Q$1:$T$542,4,FALSE)</f>
        <v>0</v>
      </c>
      <c r="AO602" s="77">
        <f t="shared" si="1399"/>
        <v>1</v>
      </c>
      <c r="AP602" s="77">
        <f t="shared" si="1416"/>
        <v>6.3149999999999984E-2</v>
      </c>
      <c r="AQ602" s="77">
        <f t="shared" si="1400"/>
        <v>5.1160591879111372E-3</v>
      </c>
      <c r="AR602" s="79">
        <v>0</v>
      </c>
      <c r="AS602" s="77">
        <f t="shared" si="1417"/>
        <v>0</v>
      </c>
      <c r="AT602" s="77">
        <f t="shared" ref="AT602" si="1650">1-(1-AS602)^(1/12)</f>
        <v>0</v>
      </c>
      <c r="AU602" s="77">
        <f t="shared" si="1419"/>
        <v>2.5000000000000001E-3</v>
      </c>
      <c r="AV602" s="77">
        <f t="shared" ref="AV602" si="1651">1-(1-AU602)^(1/12)</f>
        <v>2.0857243058891584E-4</v>
      </c>
      <c r="AX602" t="s">
        <v>178</v>
      </c>
      <c r="AY602" t="s">
        <v>162</v>
      </c>
      <c r="AZ602" s="197" t="str">
        <f t="shared" si="1502"/>
        <v>DIS_Standard_485</v>
      </c>
      <c r="BA602">
        <v>485</v>
      </c>
      <c r="BB602">
        <f>VLOOKUP($BA602,'[2]Standard DIS'!$Q$1:$X$542,4,FALSE)</f>
        <v>0</v>
      </c>
      <c r="BF602">
        <f>VLOOKUP($BA602,'[2]Standard DIS'!$Q$1:$X$542,2,FALSE)</f>
        <v>0.88888888888888884</v>
      </c>
      <c r="BH602">
        <f>VLOOKUP($BA602,'[2]Standard DIS'!$Q$1:$X$542,3,FALSE)</f>
        <v>0.11111111111111116</v>
      </c>
      <c r="BI602" s="77">
        <f t="shared" si="1404"/>
        <v>1</v>
      </c>
      <c r="BJ602" s="77">
        <f t="shared" si="1405"/>
        <v>6.3149999999999984E-2</v>
      </c>
      <c r="BK602" s="77">
        <f t="shared" si="1503"/>
        <v>5.1160591879111372E-3</v>
      </c>
      <c r="BL602" s="79">
        <v>0</v>
      </c>
      <c r="BM602" s="77">
        <f t="shared" si="1421"/>
        <v>0</v>
      </c>
      <c r="BN602" s="77">
        <f t="shared" si="1422"/>
        <v>0</v>
      </c>
      <c r="BO602" s="77">
        <f t="shared" si="1423"/>
        <v>2.5000000000000001E-3</v>
      </c>
      <c r="BP602" s="77">
        <f t="shared" si="1424"/>
        <v>2.0809499864316017E-4</v>
      </c>
    </row>
    <row r="603" spans="1:68">
      <c r="A603" t="s">
        <v>175</v>
      </c>
      <c r="B603" t="s">
        <v>179</v>
      </c>
      <c r="C603" s="197" t="str">
        <f t="shared" si="1465"/>
        <v>Lifecycle_Dynamic_484</v>
      </c>
      <c r="D603">
        <v>484</v>
      </c>
      <c r="E603">
        <f>VLOOKUP($D603,'[2]LC Dynamic'!$Q$2:$U$542,2,FALSE)</f>
        <v>0</v>
      </c>
      <c r="F603">
        <f>VLOOKUP($D603,'[2]LC Dynamic'!$Q$2:$U$542,3,FALSE)</f>
        <v>0</v>
      </c>
      <c r="G603">
        <f>VLOOKUP($D603,'[2]LC Dynamic'!$Q$2:$U$542,4,FALSE)</f>
        <v>0.308</v>
      </c>
      <c r="H603">
        <f>VLOOKUP($D603,'[2]LC Dynamic'!$Q$2:$U$542,5,FALSE)</f>
        <v>0.69199999999999995</v>
      </c>
      <c r="I603" s="77">
        <f t="shared" si="1389"/>
        <v>1</v>
      </c>
      <c r="J603" s="77">
        <f t="shared" si="1390"/>
        <v>6.9728499999999985E-2</v>
      </c>
      <c r="K603" s="77">
        <f t="shared" si="1475"/>
        <v>5.632878498097682E-3</v>
      </c>
      <c r="L603" s="76">
        <v>0</v>
      </c>
      <c r="M603" s="77">
        <f t="shared" si="1408"/>
        <v>0</v>
      </c>
      <c r="N603" s="77">
        <f t="shared" si="1409"/>
        <v>0</v>
      </c>
      <c r="O603" s="77">
        <f t="shared" si="1410"/>
        <v>5.6775999999999997E-3</v>
      </c>
      <c r="P603" s="77">
        <f t="shared" si="1411"/>
        <v>4.7436902124819991E-4</v>
      </c>
      <c r="R603" t="s">
        <v>177</v>
      </c>
      <c r="S603" t="s">
        <v>179</v>
      </c>
      <c r="T603" s="197" t="str">
        <f t="shared" si="1467"/>
        <v>Autopilot_Dynamic_484</v>
      </c>
      <c r="U603">
        <v>484</v>
      </c>
      <c r="V603">
        <f>VLOOKUP($U603,'[2]AP Dynamic'!$Q$1:$T$542,2,FALSE)</f>
        <v>0.88888888888888884</v>
      </c>
      <c r="W603">
        <f>VLOOKUP($U603,'[2]AP Dynamic'!$Q$1:$T$542,3,FALSE)</f>
        <v>0.11111111111111116</v>
      </c>
      <c r="X603">
        <f>VLOOKUP($U603,'[2]AP Dynamic'!$Q$1:$T$542,4,FALSE)</f>
        <v>0</v>
      </c>
      <c r="Y603" s="77">
        <f t="shared" si="1468"/>
        <v>1</v>
      </c>
      <c r="Z603" s="77">
        <f t="shared" si="1476"/>
        <v>6.3149999999999984E-2</v>
      </c>
      <c r="AA603" s="77">
        <f t="shared" si="1477"/>
        <v>5.1160591879111372E-3</v>
      </c>
      <c r="AB603" s="79">
        <v>1</v>
      </c>
      <c r="AC603" s="77">
        <f t="shared" si="1412"/>
        <v>8.277777777777778E-3</v>
      </c>
      <c r="AD603" s="77">
        <f t="shared" ref="AD603" si="1652">1-(1-AC603)^(1/12)</f>
        <v>6.9244588451522482E-4</v>
      </c>
      <c r="AE603" s="77">
        <f t="shared" si="1414"/>
        <v>2.5000000000000001E-3</v>
      </c>
      <c r="AF603" s="77">
        <f t="shared" ref="AF603" si="1653">1-(1-AE603)^(1/12)</f>
        <v>2.0857243058891584E-4</v>
      </c>
      <c r="AH603" t="s">
        <v>175</v>
      </c>
      <c r="AI603" t="s">
        <v>179</v>
      </c>
      <c r="AJ603" s="197" t="str">
        <f t="shared" si="1398"/>
        <v>Lifecycle_Dynamic_484</v>
      </c>
      <c r="AK603">
        <v>484</v>
      </c>
      <c r="AL603">
        <f>VLOOKUP($U603,[2]Standard_Dynamic!$Q$1:$T$542,2,FALSE)</f>
        <v>0.88888888888888884</v>
      </c>
      <c r="AM603">
        <f>VLOOKUP($U603,[2]Standard_Dynamic!$Q$1:$T$542,3,FALSE)</f>
        <v>0.11111111111111116</v>
      </c>
      <c r="AN603">
        <f>VLOOKUP($U603,[2]Standard_Dynamic!$Q$1:$T$542,4,FALSE)</f>
        <v>0</v>
      </c>
      <c r="AO603" s="77">
        <f t="shared" si="1399"/>
        <v>1</v>
      </c>
      <c r="AP603" s="77">
        <f t="shared" si="1416"/>
        <v>6.3149999999999984E-2</v>
      </c>
      <c r="AQ603" s="77">
        <f t="shared" si="1400"/>
        <v>5.1160591879111372E-3</v>
      </c>
      <c r="AR603" s="79">
        <v>0</v>
      </c>
      <c r="AS603" s="77">
        <f t="shared" si="1417"/>
        <v>0</v>
      </c>
      <c r="AT603" s="77">
        <f t="shared" ref="AT603" si="1654">1-(1-AS603)^(1/12)</f>
        <v>0</v>
      </c>
      <c r="AU603" s="77">
        <f t="shared" si="1419"/>
        <v>2.5000000000000001E-3</v>
      </c>
      <c r="AV603" s="77">
        <f t="shared" ref="AV603" si="1655">1-(1-AU603)^(1/12)</f>
        <v>2.0857243058891584E-4</v>
      </c>
      <c r="AX603" t="s">
        <v>178</v>
      </c>
      <c r="AY603" t="s">
        <v>162</v>
      </c>
      <c r="AZ603" s="197" t="str">
        <f t="shared" si="1502"/>
        <v>DIS_Standard_484</v>
      </c>
      <c r="BA603">
        <v>484</v>
      </c>
      <c r="BB603">
        <f>VLOOKUP($BA603,'[2]Standard DIS'!$Q$1:$X$542,4,FALSE)</f>
        <v>0</v>
      </c>
      <c r="BF603">
        <f>VLOOKUP($BA603,'[2]Standard DIS'!$Q$1:$X$542,2,FALSE)</f>
        <v>0.88888888888888884</v>
      </c>
      <c r="BH603">
        <f>VLOOKUP($BA603,'[2]Standard DIS'!$Q$1:$X$542,3,FALSE)</f>
        <v>0.11111111111111116</v>
      </c>
      <c r="BI603" s="77">
        <f t="shared" si="1404"/>
        <v>1</v>
      </c>
      <c r="BJ603" s="77">
        <f t="shared" si="1405"/>
        <v>6.3149999999999984E-2</v>
      </c>
      <c r="BK603" s="77">
        <f t="shared" si="1503"/>
        <v>5.1160591879111372E-3</v>
      </c>
      <c r="BL603" s="79">
        <v>0</v>
      </c>
      <c r="BM603" s="77">
        <f t="shared" si="1421"/>
        <v>0</v>
      </c>
      <c r="BN603" s="77">
        <f t="shared" si="1422"/>
        <v>0</v>
      </c>
      <c r="BO603" s="77">
        <f t="shared" si="1423"/>
        <v>2.5000000000000001E-3</v>
      </c>
      <c r="BP603" s="77">
        <f t="shared" si="1424"/>
        <v>2.0809499864316017E-4</v>
      </c>
    </row>
    <row r="604" spans="1:68">
      <c r="A604" t="s">
        <v>175</v>
      </c>
      <c r="B604" t="s">
        <v>179</v>
      </c>
      <c r="C604" s="197" t="str">
        <f t="shared" si="1465"/>
        <v>Lifecycle_Dynamic_483</v>
      </c>
      <c r="D604">
        <v>483</v>
      </c>
      <c r="E604">
        <f>VLOOKUP($D604,'[2]LC Dynamic'!$Q$2:$U$542,2,FALSE)</f>
        <v>0</v>
      </c>
      <c r="F604">
        <f>VLOOKUP($D604,'[2]LC Dynamic'!$Q$2:$U$542,3,FALSE)</f>
        <v>0</v>
      </c>
      <c r="G604">
        <f>VLOOKUP($D604,'[2]LC Dynamic'!$Q$2:$U$542,4,FALSE)</f>
        <v>0.308</v>
      </c>
      <c r="H604">
        <f>VLOOKUP($D604,'[2]LC Dynamic'!$Q$2:$U$542,5,FALSE)</f>
        <v>0.69199999999999995</v>
      </c>
      <c r="I604" s="77">
        <f t="shared" si="1389"/>
        <v>1</v>
      </c>
      <c r="J604" s="77">
        <f t="shared" si="1390"/>
        <v>6.9728499999999985E-2</v>
      </c>
      <c r="K604" s="77">
        <f t="shared" si="1475"/>
        <v>5.632878498097682E-3</v>
      </c>
      <c r="L604" s="76">
        <v>0</v>
      </c>
      <c r="M604" s="77">
        <f t="shared" si="1408"/>
        <v>0</v>
      </c>
      <c r="N604" s="77">
        <f t="shared" si="1409"/>
        <v>0</v>
      </c>
      <c r="O604" s="77">
        <f t="shared" si="1410"/>
        <v>5.6775999999999997E-3</v>
      </c>
      <c r="P604" s="77">
        <f t="shared" si="1411"/>
        <v>4.7436902124819991E-4</v>
      </c>
      <c r="R604" t="s">
        <v>177</v>
      </c>
      <c r="S604" t="s">
        <v>179</v>
      </c>
      <c r="T604" s="197" t="str">
        <f t="shared" si="1467"/>
        <v>Autopilot_Dynamic_483</v>
      </c>
      <c r="U604">
        <v>483</v>
      </c>
      <c r="V604">
        <f>VLOOKUP($U604,'[2]AP Dynamic'!$Q$1:$T$542,2,FALSE)</f>
        <v>0.88888888888888884</v>
      </c>
      <c r="W604">
        <f>VLOOKUP($U604,'[2]AP Dynamic'!$Q$1:$T$542,3,FALSE)</f>
        <v>0.11111111111111116</v>
      </c>
      <c r="X604">
        <f>VLOOKUP($U604,'[2]AP Dynamic'!$Q$1:$T$542,4,FALSE)</f>
        <v>0</v>
      </c>
      <c r="Y604" s="77">
        <f t="shared" si="1468"/>
        <v>1</v>
      </c>
      <c r="Z604" s="77">
        <f t="shared" si="1476"/>
        <v>6.3149999999999984E-2</v>
      </c>
      <c r="AA604" s="77">
        <f t="shared" si="1477"/>
        <v>5.1160591879111372E-3</v>
      </c>
      <c r="AB604" s="79">
        <v>1</v>
      </c>
      <c r="AC604" s="77">
        <f t="shared" si="1412"/>
        <v>8.277777777777778E-3</v>
      </c>
      <c r="AD604" s="77">
        <f t="shared" ref="AD604" si="1656">1-(1-AC604)^(1/12)</f>
        <v>6.9244588451522482E-4</v>
      </c>
      <c r="AE604" s="77">
        <f t="shared" si="1414"/>
        <v>2.5000000000000001E-3</v>
      </c>
      <c r="AF604" s="77">
        <f t="shared" ref="AF604" si="1657">1-(1-AE604)^(1/12)</f>
        <v>2.0857243058891584E-4</v>
      </c>
      <c r="AH604" t="s">
        <v>175</v>
      </c>
      <c r="AI604" t="s">
        <v>179</v>
      </c>
      <c r="AJ604" s="197" t="str">
        <f t="shared" si="1398"/>
        <v>Lifecycle_Dynamic_483</v>
      </c>
      <c r="AK604">
        <v>483</v>
      </c>
      <c r="AL604">
        <f>VLOOKUP($U604,[2]Standard_Dynamic!$Q$1:$T$542,2,FALSE)</f>
        <v>0.88888888888888884</v>
      </c>
      <c r="AM604">
        <f>VLOOKUP($U604,[2]Standard_Dynamic!$Q$1:$T$542,3,FALSE)</f>
        <v>0.11111111111111116</v>
      </c>
      <c r="AN604">
        <f>VLOOKUP($U604,[2]Standard_Dynamic!$Q$1:$T$542,4,FALSE)</f>
        <v>0</v>
      </c>
      <c r="AO604" s="77">
        <f t="shared" si="1399"/>
        <v>1</v>
      </c>
      <c r="AP604" s="77">
        <f t="shared" si="1416"/>
        <v>6.3149999999999984E-2</v>
      </c>
      <c r="AQ604" s="77">
        <f t="shared" si="1400"/>
        <v>5.1160591879111372E-3</v>
      </c>
      <c r="AR604" s="79">
        <v>0</v>
      </c>
      <c r="AS604" s="77">
        <f t="shared" si="1417"/>
        <v>0</v>
      </c>
      <c r="AT604" s="77">
        <f t="shared" ref="AT604" si="1658">1-(1-AS604)^(1/12)</f>
        <v>0</v>
      </c>
      <c r="AU604" s="77">
        <f t="shared" si="1419"/>
        <v>2.5000000000000001E-3</v>
      </c>
      <c r="AV604" s="77">
        <f t="shared" ref="AV604" si="1659">1-(1-AU604)^(1/12)</f>
        <v>2.0857243058891584E-4</v>
      </c>
      <c r="AX604" t="s">
        <v>178</v>
      </c>
      <c r="AY604" t="s">
        <v>162</v>
      </c>
      <c r="AZ604" s="197" t="str">
        <f t="shared" si="1502"/>
        <v>DIS_Standard_483</v>
      </c>
      <c r="BA604">
        <v>483</v>
      </c>
      <c r="BB604">
        <f>VLOOKUP($BA604,'[2]Standard DIS'!$Q$1:$X$542,4,FALSE)</f>
        <v>0</v>
      </c>
      <c r="BF604">
        <f>VLOOKUP($BA604,'[2]Standard DIS'!$Q$1:$X$542,2,FALSE)</f>
        <v>0.88888888888888884</v>
      </c>
      <c r="BH604">
        <f>VLOOKUP($BA604,'[2]Standard DIS'!$Q$1:$X$542,3,FALSE)</f>
        <v>0.11111111111111116</v>
      </c>
      <c r="BI604" s="77">
        <f t="shared" si="1404"/>
        <v>1</v>
      </c>
      <c r="BJ604" s="77">
        <f t="shared" si="1405"/>
        <v>6.3149999999999984E-2</v>
      </c>
      <c r="BK604" s="77">
        <f t="shared" si="1503"/>
        <v>5.1160591879111372E-3</v>
      </c>
      <c r="BL604" s="79">
        <v>0</v>
      </c>
      <c r="BM604" s="77">
        <f t="shared" si="1421"/>
        <v>0</v>
      </c>
      <c r="BN604" s="77">
        <f t="shared" si="1422"/>
        <v>0</v>
      </c>
      <c r="BO604" s="77">
        <f t="shared" si="1423"/>
        <v>2.5000000000000001E-3</v>
      </c>
      <c r="BP604" s="77">
        <f t="shared" si="1424"/>
        <v>2.0809499864316017E-4</v>
      </c>
    </row>
    <row r="605" spans="1:68">
      <c r="A605" t="s">
        <v>175</v>
      </c>
      <c r="B605" t="s">
        <v>179</v>
      </c>
      <c r="C605" s="197" t="str">
        <f t="shared" si="1465"/>
        <v>Lifecycle_Dynamic_482</v>
      </c>
      <c r="D605">
        <v>482</v>
      </c>
      <c r="E605">
        <f>VLOOKUP($D605,'[2]LC Dynamic'!$Q$2:$U$542,2,FALSE)</f>
        <v>0</v>
      </c>
      <c r="F605">
        <f>VLOOKUP($D605,'[2]LC Dynamic'!$Q$2:$U$542,3,FALSE)</f>
        <v>0</v>
      </c>
      <c r="G605">
        <f>VLOOKUP($D605,'[2]LC Dynamic'!$Q$2:$U$542,4,FALSE)</f>
        <v>0.308</v>
      </c>
      <c r="H605">
        <f>VLOOKUP($D605,'[2]LC Dynamic'!$Q$2:$U$542,5,FALSE)</f>
        <v>0.69199999999999995</v>
      </c>
      <c r="I605" s="77">
        <f t="shared" si="1389"/>
        <v>1</v>
      </c>
      <c r="J605" s="77">
        <f t="shared" si="1390"/>
        <v>6.9728499999999985E-2</v>
      </c>
      <c r="K605" s="77">
        <f t="shared" si="1475"/>
        <v>5.632878498097682E-3</v>
      </c>
      <c r="L605" s="76">
        <v>0</v>
      </c>
      <c r="M605" s="77">
        <f t="shared" si="1408"/>
        <v>0</v>
      </c>
      <c r="N605" s="77">
        <f t="shared" si="1409"/>
        <v>0</v>
      </c>
      <c r="O605" s="77">
        <f t="shared" si="1410"/>
        <v>5.6775999999999997E-3</v>
      </c>
      <c r="P605" s="77">
        <f t="shared" si="1411"/>
        <v>4.7436902124819991E-4</v>
      </c>
      <c r="R605" t="s">
        <v>177</v>
      </c>
      <c r="S605" t="s">
        <v>179</v>
      </c>
      <c r="T605" s="197" t="str">
        <f t="shared" si="1467"/>
        <v>Autopilot_Dynamic_482</v>
      </c>
      <c r="U605">
        <v>482</v>
      </c>
      <c r="V605">
        <f>VLOOKUP($U605,'[2]AP Dynamic'!$Q$1:$T$542,2,FALSE)</f>
        <v>0.88888888888888884</v>
      </c>
      <c r="W605">
        <f>VLOOKUP($U605,'[2]AP Dynamic'!$Q$1:$T$542,3,FALSE)</f>
        <v>0.11111111111111116</v>
      </c>
      <c r="X605">
        <f>VLOOKUP($U605,'[2]AP Dynamic'!$Q$1:$T$542,4,FALSE)</f>
        <v>0</v>
      </c>
      <c r="Y605" s="77">
        <f t="shared" si="1468"/>
        <v>1</v>
      </c>
      <c r="Z605" s="77">
        <f t="shared" si="1476"/>
        <v>6.3149999999999984E-2</v>
      </c>
      <c r="AA605" s="77">
        <f t="shared" si="1477"/>
        <v>5.1160591879111372E-3</v>
      </c>
      <c r="AB605" s="79">
        <v>1</v>
      </c>
      <c r="AC605" s="77">
        <f t="shared" si="1412"/>
        <v>8.277777777777778E-3</v>
      </c>
      <c r="AD605" s="77">
        <f t="shared" ref="AD605" si="1660">1-(1-AC605)^(1/12)</f>
        <v>6.9244588451522482E-4</v>
      </c>
      <c r="AE605" s="77">
        <f t="shared" si="1414"/>
        <v>2.5000000000000001E-3</v>
      </c>
      <c r="AF605" s="77">
        <f t="shared" ref="AF605" si="1661">1-(1-AE605)^(1/12)</f>
        <v>2.0857243058891584E-4</v>
      </c>
      <c r="AH605" t="s">
        <v>175</v>
      </c>
      <c r="AI605" t="s">
        <v>179</v>
      </c>
      <c r="AJ605" s="197" t="str">
        <f t="shared" si="1398"/>
        <v>Lifecycle_Dynamic_482</v>
      </c>
      <c r="AK605">
        <v>482</v>
      </c>
      <c r="AL605">
        <f>VLOOKUP($U605,[2]Standard_Dynamic!$Q$1:$T$542,2,FALSE)</f>
        <v>0.88888888888888884</v>
      </c>
      <c r="AM605">
        <f>VLOOKUP($U605,[2]Standard_Dynamic!$Q$1:$T$542,3,FALSE)</f>
        <v>0.11111111111111116</v>
      </c>
      <c r="AN605">
        <f>VLOOKUP($U605,[2]Standard_Dynamic!$Q$1:$T$542,4,FALSE)</f>
        <v>0</v>
      </c>
      <c r="AO605" s="77">
        <f t="shared" si="1399"/>
        <v>1</v>
      </c>
      <c r="AP605" s="77">
        <f t="shared" si="1416"/>
        <v>6.3149999999999984E-2</v>
      </c>
      <c r="AQ605" s="77">
        <f t="shared" si="1400"/>
        <v>5.1160591879111372E-3</v>
      </c>
      <c r="AR605" s="79">
        <v>0</v>
      </c>
      <c r="AS605" s="77">
        <f t="shared" si="1417"/>
        <v>0</v>
      </c>
      <c r="AT605" s="77">
        <f t="shared" ref="AT605" si="1662">1-(1-AS605)^(1/12)</f>
        <v>0</v>
      </c>
      <c r="AU605" s="77">
        <f t="shared" si="1419"/>
        <v>2.5000000000000001E-3</v>
      </c>
      <c r="AV605" s="77">
        <f t="shared" ref="AV605" si="1663">1-(1-AU605)^(1/12)</f>
        <v>2.0857243058891584E-4</v>
      </c>
      <c r="AX605" t="s">
        <v>178</v>
      </c>
      <c r="AY605" t="s">
        <v>162</v>
      </c>
      <c r="AZ605" s="197" t="str">
        <f t="shared" si="1502"/>
        <v>DIS_Standard_482</v>
      </c>
      <c r="BA605">
        <v>482</v>
      </c>
      <c r="BB605">
        <f>VLOOKUP($BA605,'[2]Standard DIS'!$Q$1:$X$542,4,FALSE)</f>
        <v>0</v>
      </c>
      <c r="BF605">
        <f>VLOOKUP($BA605,'[2]Standard DIS'!$Q$1:$X$542,2,FALSE)</f>
        <v>0.88888888888888884</v>
      </c>
      <c r="BH605">
        <f>VLOOKUP($BA605,'[2]Standard DIS'!$Q$1:$X$542,3,FALSE)</f>
        <v>0.11111111111111116</v>
      </c>
      <c r="BI605" s="77">
        <f t="shared" si="1404"/>
        <v>1</v>
      </c>
      <c r="BJ605" s="77">
        <f t="shared" si="1405"/>
        <v>6.3149999999999984E-2</v>
      </c>
      <c r="BK605" s="77">
        <f t="shared" si="1503"/>
        <v>5.1160591879111372E-3</v>
      </c>
      <c r="BL605" s="79">
        <v>0</v>
      </c>
      <c r="BM605" s="77">
        <f t="shared" si="1421"/>
        <v>0</v>
      </c>
      <c r="BN605" s="77">
        <f t="shared" si="1422"/>
        <v>0</v>
      </c>
      <c r="BO605" s="77">
        <f t="shared" si="1423"/>
        <v>2.5000000000000001E-3</v>
      </c>
      <c r="BP605" s="77">
        <f t="shared" si="1424"/>
        <v>2.0809499864316017E-4</v>
      </c>
    </row>
    <row r="606" spans="1:68">
      <c r="A606" t="s">
        <v>175</v>
      </c>
      <c r="B606" t="s">
        <v>179</v>
      </c>
      <c r="C606" s="197" t="str">
        <f t="shared" si="1465"/>
        <v>Lifecycle_Dynamic_481</v>
      </c>
      <c r="D606">
        <v>481</v>
      </c>
      <c r="E606">
        <f>VLOOKUP($D606,'[2]LC Dynamic'!$Q$2:$U$542,2,FALSE)</f>
        <v>0</v>
      </c>
      <c r="F606">
        <f>VLOOKUP($D606,'[2]LC Dynamic'!$Q$2:$U$542,3,FALSE)</f>
        <v>0</v>
      </c>
      <c r="G606">
        <f>VLOOKUP($D606,'[2]LC Dynamic'!$Q$2:$U$542,4,FALSE)</f>
        <v>0.308</v>
      </c>
      <c r="H606">
        <f>VLOOKUP($D606,'[2]LC Dynamic'!$Q$2:$U$542,5,FALSE)</f>
        <v>0.69199999999999995</v>
      </c>
      <c r="I606" s="77">
        <f t="shared" si="1389"/>
        <v>1</v>
      </c>
      <c r="J606" s="77">
        <f t="shared" si="1390"/>
        <v>6.9728499999999985E-2</v>
      </c>
      <c r="K606" s="77">
        <f t="shared" si="1475"/>
        <v>5.632878498097682E-3</v>
      </c>
      <c r="L606" s="76">
        <v>0</v>
      </c>
      <c r="M606" s="77">
        <f t="shared" si="1408"/>
        <v>0</v>
      </c>
      <c r="N606" s="77">
        <f t="shared" si="1409"/>
        <v>0</v>
      </c>
      <c r="O606" s="77">
        <f t="shared" si="1410"/>
        <v>5.6775999999999997E-3</v>
      </c>
      <c r="P606" s="77">
        <f t="shared" si="1411"/>
        <v>4.7436902124819991E-4</v>
      </c>
      <c r="R606" t="s">
        <v>177</v>
      </c>
      <c r="S606" t="s">
        <v>179</v>
      </c>
      <c r="T606" s="197" t="str">
        <f t="shared" si="1467"/>
        <v>Autopilot_Dynamic_481</v>
      </c>
      <c r="U606">
        <v>481</v>
      </c>
      <c r="V606">
        <f>VLOOKUP($U606,'[2]AP Dynamic'!$Q$1:$T$542,2,FALSE)</f>
        <v>0.88888888888888884</v>
      </c>
      <c r="W606">
        <f>VLOOKUP($U606,'[2]AP Dynamic'!$Q$1:$T$542,3,FALSE)</f>
        <v>0.11111111111111116</v>
      </c>
      <c r="X606">
        <f>VLOOKUP($U606,'[2]AP Dynamic'!$Q$1:$T$542,4,FALSE)</f>
        <v>0</v>
      </c>
      <c r="Y606" s="77">
        <f t="shared" si="1468"/>
        <v>1</v>
      </c>
      <c r="Z606" s="77">
        <f t="shared" si="1476"/>
        <v>6.3149999999999984E-2</v>
      </c>
      <c r="AA606" s="77">
        <f t="shared" si="1477"/>
        <v>5.1160591879111372E-3</v>
      </c>
      <c r="AB606" s="79">
        <v>1</v>
      </c>
      <c r="AC606" s="77">
        <f t="shared" si="1412"/>
        <v>8.277777777777778E-3</v>
      </c>
      <c r="AD606" s="77">
        <f t="shared" ref="AD606" si="1664">1-(1-AC606)^(1/12)</f>
        <v>6.9244588451522482E-4</v>
      </c>
      <c r="AE606" s="77">
        <f t="shared" si="1414"/>
        <v>2.5000000000000001E-3</v>
      </c>
      <c r="AF606" s="77">
        <f t="shared" ref="AF606" si="1665">1-(1-AE606)^(1/12)</f>
        <v>2.0857243058891584E-4</v>
      </c>
      <c r="AH606" t="s">
        <v>175</v>
      </c>
      <c r="AI606" t="s">
        <v>179</v>
      </c>
      <c r="AJ606" s="197" t="str">
        <f t="shared" si="1398"/>
        <v>Lifecycle_Dynamic_481</v>
      </c>
      <c r="AK606">
        <v>481</v>
      </c>
      <c r="AL606">
        <f>VLOOKUP($U606,[2]Standard_Dynamic!$Q$1:$T$542,2,FALSE)</f>
        <v>0.88888888888888884</v>
      </c>
      <c r="AM606">
        <f>VLOOKUP($U606,[2]Standard_Dynamic!$Q$1:$T$542,3,FALSE)</f>
        <v>0.11111111111111116</v>
      </c>
      <c r="AN606">
        <f>VLOOKUP($U606,[2]Standard_Dynamic!$Q$1:$T$542,4,FALSE)</f>
        <v>0</v>
      </c>
      <c r="AO606" s="77">
        <f t="shared" si="1399"/>
        <v>1</v>
      </c>
      <c r="AP606" s="77">
        <f t="shared" si="1416"/>
        <v>6.3149999999999984E-2</v>
      </c>
      <c r="AQ606" s="77">
        <f t="shared" si="1400"/>
        <v>5.1160591879111372E-3</v>
      </c>
      <c r="AR606" s="79">
        <v>0</v>
      </c>
      <c r="AS606" s="77">
        <f t="shared" si="1417"/>
        <v>0</v>
      </c>
      <c r="AT606" s="77">
        <f t="shared" ref="AT606" si="1666">1-(1-AS606)^(1/12)</f>
        <v>0</v>
      </c>
      <c r="AU606" s="77">
        <f t="shared" si="1419"/>
        <v>2.5000000000000001E-3</v>
      </c>
      <c r="AV606" s="77">
        <f t="shared" ref="AV606" si="1667">1-(1-AU606)^(1/12)</f>
        <v>2.0857243058891584E-4</v>
      </c>
      <c r="AX606" t="s">
        <v>178</v>
      </c>
      <c r="AY606" t="s">
        <v>162</v>
      </c>
      <c r="AZ606" s="197" t="str">
        <f t="shared" si="1502"/>
        <v>DIS_Standard_481</v>
      </c>
      <c r="BA606">
        <v>481</v>
      </c>
      <c r="BB606">
        <f>VLOOKUP($BA606,'[2]Standard DIS'!$Q$1:$X$542,4,FALSE)</f>
        <v>0</v>
      </c>
      <c r="BF606">
        <f>VLOOKUP($BA606,'[2]Standard DIS'!$Q$1:$X$542,2,FALSE)</f>
        <v>0.88888888888888884</v>
      </c>
      <c r="BH606">
        <f>VLOOKUP($BA606,'[2]Standard DIS'!$Q$1:$X$542,3,FALSE)</f>
        <v>0.11111111111111116</v>
      </c>
      <c r="BI606" s="77">
        <f t="shared" si="1404"/>
        <v>1</v>
      </c>
      <c r="BJ606" s="77">
        <f t="shared" si="1405"/>
        <v>6.3149999999999984E-2</v>
      </c>
      <c r="BK606" s="77">
        <f t="shared" si="1503"/>
        <v>5.1160591879111372E-3</v>
      </c>
      <c r="BL606" s="79">
        <v>0</v>
      </c>
      <c r="BM606" s="77">
        <f t="shared" si="1421"/>
        <v>0</v>
      </c>
      <c r="BN606" s="77">
        <f t="shared" si="1422"/>
        <v>0</v>
      </c>
      <c r="BO606" s="77">
        <f t="shared" si="1423"/>
        <v>2.5000000000000001E-3</v>
      </c>
      <c r="BP606" s="77">
        <f t="shared" si="1424"/>
        <v>2.0809499864316017E-4</v>
      </c>
    </row>
    <row r="607" spans="1:68">
      <c r="A607" t="s">
        <v>175</v>
      </c>
      <c r="B607" t="s">
        <v>179</v>
      </c>
      <c r="C607" s="197" t="str">
        <f t="shared" si="1465"/>
        <v>Lifecycle_Dynamic_480</v>
      </c>
      <c r="D607">
        <v>480</v>
      </c>
      <c r="E607">
        <f>VLOOKUP($D607,'[2]LC Dynamic'!$Q$2:$U$542,2,FALSE)</f>
        <v>0</v>
      </c>
      <c r="F607">
        <f>VLOOKUP($D607,'[2]LC Dynamic'!$Q$2:$U$542,3,FALSE)</f>
        <v>0</v>
      </c>
      <c r="G607">
        <f>VLOOKUP($D607,'[2]LC Dynamic'!$Q$2:$U$542,4,FALSE)</f>
        <v>0.308</v>
      </c>
      <c r="H607">
        <f>VLOOKUP($D607,'[2]LC Dynamic'!$Q$2:$U$542,5,FALSE)</f>
        <v>0.69199999999999995</v>
      </c>
      <c r="I607" s="77">
        <f t="shared" si="1389"/>
        <v>1</v>
      </c>
      <c r="J607" s="77">
        <f t="shared" si="1390"/>
        <v>6.9728499999999985E-2</v>
      </c>
      <c r="K607" s="77">
        <f t="shared" si="1475"/>
        <v>5.632878498097682E-3</v>
      </c>
      <c r="L607" s="76">
        <v>0</v>
      </c>
      <c r="M607" s="77">
        <f t="shared" si="1408"/>
        <v>0</v>
      </c>
      <c r="N607" s="77">
        <f t="shared" si="1409"/>
        <v>0</v>
      </c>
      <c r="O607" s="77">
        <f t="shared" si="1410"/>
        <v>5.6775999999999997E-3</v>
      </c>
      <c r="P607" s="77">
        <f t="shared" si="1411"/>
        <v>4.7436902124819991E-4</v>
      </c>
      <c r="R607" t="s">
        <v>177</v>
      </c>
      <c r="S607" t="s">
        <v>179</v>
      </c>
      <c r="T607" s="197" t="str">
        <f t="shared" si="1467"/>
        <v>Autopilot_Dynamic_480</v>
      </c>
      <c r="U607">
        <v>480</v>
      </c>
      <c r="V607">
        <f>VLOOKUP($U607,'[2]AP Dynamic'!$Q$1:$T$542,2,FALSE)</f>
        <v>0.88888888888888884</v>
      </c>
      <c r="W607">
        <f>VLOOKUP($U607,'[2]AP Dynamic'!$Q$1:$T$542,3,FALSE)</f>
        <v>0.11111111111111116</v>
      </c>
      <c r="X607">
        <f>VLOOKUP($U607,'[2]AP Dynamic'!$Q$1:$T$542,4,FALSE)</f>
        <v>0</v>
      </c>
      <c r="Y607" s="77">
        <f t="shared" si="1468"/>
        <v>1</v>
      </c>
      <c r="Z607" s="77">
        <f t="shared" si="1476"/>
        <v>6.3149999999999984E-2</v>
      </c>
      <c r="AA607" s="77">
        <f t="shared" si="1477"/>
        <v>5.1160591879111372E-3</v>
      </c>
      <c r="AB607" s="79">
        <v>1</v>
      </c>
      <c r="AC607" s="77">
        <f t="shared" si="1412"/>
        <v>8.277777777777778E-3</v>
      </c>
      <c r="AD607" s="77">
        <f t="shared" ref="AD607" si="1668">1-(1-AC607)^(1/12)</f>
        <v>6.9244588451522482E-4</v>
      </c>
      <c r="AE607" s="77">
        <f t="shared" si="1414"/>
        <v>2.5000000000000001E-3</v>
      </c>
      <c r="AF607" s="77">
        <f t="shared" ref="AF607" si="1669">1-(1-AE607)^(1/12)</f>
        <v>2.0857243058891584E-4</v>
      </c>
      <c r="AH607" t="s">
        <v>175</v>
      </c>
      <c r="AI607" t="s">
        <v>179</v>
      </c>
      <c r="AJ607" s="197" t="str">
        <f t="shared" si="1398"/>
        <v>Lifecycle_Dynamic_480</v>
      </c>
      <c r="AK607">
        <v>480</v>
      </c>
      <c r="AL607">
        <f>VLOOKUP($U607,[2]Standard_Dynamic!$Q$1:$T$542,2,FALSE)</f>
        <v>0.88888888888888884</v>
      </c>
      <c r="AM607">
        <f>VLOOKUP($U607,[2]Standard_Dynamic!$Q$1:$T$542,3,FALSE)</f>
        <v>0.11111111111111116</v>
      </c>
      <c r="AN607">
        <f>VLOOKUP($U607,[2]Standard_Dynamic!$Q$1:$T$542,4,FALSE)</f>
        <v>0</v>
      </c>
      <c r="AO607" s="77">
        <f t="shared" si="1399"/>
        <v>1</v>
      </c>
      <c r="AP607" s="77">
        <f t="shared" si="1416"/>
        <v>6.3149999999999984E-2</v>
      </c>
      <c r="AQ607" s="77">
        <f t="shared" si="1400"/>
        <v>5.1160591879111372E-3</v>
      </c>
      <c r="AR607" s="79">
        <v>0</v>
      </c>
      <c r="AS607" s="77">
        <f t="shared" si="1417"/>
        <v>0</v>
      </c>
      <c r="AT607" s="77">
        <f t="shared" ref="AT607" si="1670">1-(1-AS607)^(1/12)</f>
        <v>0</v>
      </c>
      <c r="AU607" s="77">
        <f t="shared" si="1419"/>
        <v>2.5000000000000001E-3</v>
      </c>
      <c r="AV607" s="77">
        <f t="shared" ref="AV607" si="1671">1-(1-AU607)^(1/12)</f>
        <v>2.0857243058891584E-4</v>
      </c>
      <c r="AX607" t="s">
        <v>178</v>
      </c>
      <c r="AY607" t="s">
        <v>162</v>
      </c>
      <c r="AZ607" s="197" t="str">
        <f t="shared" si="1502"/>
        <v>DIS_Standard_480</v>
      </c>
      <c r="BA607">
        <v>480</v>
      </c>
      <c r="BB607">
        <f>VLOOKUP($BA607,'[2]Standard DIS'!$Q$1:$X$542,4,FALSE)</f>
        <v>0</v>
      </c>
      <c r="BF607">
        <f>VLOOKUP($BA607,'[2]Standard DIS'!$Q$1:$X$542,2,FALSE)</f>
        <v>0.88888888888888884</v>
      </c>
      <c r="BH607">
        <f>VLOOKUP($BA607,'[2]Standard DIS'!$Q$1:$X$542,3,FALSE)</f>
        <v>0.11111111111111116</v>
      </c>
      <c r="BI607" s="77">
        <f t="shared" si="1404"/>
        <v>1</v>
      </c>
      <c r="BJ607" s="77">
        <f t="shared" si="1405"/>
        <v>6.3149999999999984E-2</v>
      </c>
      <c r="BK607" s="77">
        <f t="shared" si="1503"/>
        <v>5.1160591879111372E-3</v>
      </c>
      <c r="BL607" s="79">
        <v>0</v>
      </c>
      <c r="BM607" s="77">
        <f t="shared" si="1421"/>
        <v>0</v>
      </c>
      <c r="BN607" s="77">
        <f t="shared" si="1422"/>
        <v>0</v>
      </c>
      <c r="BO607" s="77">
        <f t="shared" si="1423"/>
        <v>2.5000000000000001E-3</v>
      </c>
      <c r="BP607" s="77">
        <f t="shared" si="1424"/>
        <v>2.0809499864316017E-4</v>
      </c>
    </row>
    <row r="608" spans="1:68">
      <c r="A608" t="s">
        <v>175</v>
      </c>
      <c r="B608" t="s">
        <v>179</v>
      </c>
      <c r="C608" s="197" t="str">
        <f t="shared" si="1465"/>
        <v>Lifecycle_Dynamic_479</v>
      </c>
      <c r="D608">
        <v>479</v>
      </c>
      <c r="E608">
        <f>VLOOKUP($D608,'[2]LC Dynamic'!$Q$2:$U$542,2,FALSE)</f>
        <v>0</v>
      </c>
      <c r="F608">
        <f>VLOOKUP($D608,'[2]LC Dynamic'!$Q$2:$U$542,3,FALSE)</f>
        <v>0</v>
      </c>
      <c r="G608">
        <f>VLOOKUP($D608,'[2]LC Dynamic'!$Q$2:$U$542,4,FALSE)</f>
        <v>0.308</v>
      </c>
      <c r="H608">
        <f>VLOOKUP($D608,'[2]LC Dynamic'!$Q$2:$U$542,5,FALSE)</f>
        <v>0.69199999999999995</v>
      </c>
      <c r="I608" s="77">
        <f t="shared" si="1389"/>
        <v>1</v>
      </c>
      <c r="J608" s="77">
        <f t="shared" si="1390"/>
        <v>6.9728499999999985E-2</v>
      </c>
      <c r="K608" s="77">
        <f t="shared" si="1475"/>
        <v>5.632878498097682E-3</v>
      </c>
      <c r="L608" s="76">
        <v>0</v>
      </c>
      <c r="M608" s="77">
        <f t="shared" si="1408"/>
        <v>0</v>
      </c>
      <c r="N608" s="77">
        <f t="shared" si="1409"/>
        <v>0</v>
      </c>
      <c r="O608" s="77">
        <f t="shared" si="1410"/>
        <v>5.6775999999999997E-3</v>
      </c>
      <c r="P608" s="77">
        <f t="shared" si="1411"/>
        <v>4.7436902124819991E-4</v>
      </c>
      <c r="R608" t="s">
        <v>177</v>
      </c>
      <c r="S608" t="s">
        <v>179</v>
      </c>
      <c r="T608" s="197" t="str">
        <f t="shared" si="1467"/>
        <v>Autopilot_Dynamic_479</v>
      </c>
      <c r="U608">
        <v>479</v>
      </c>
      <c r="V608">
        <f>VLOOKUP($U608,'[2]AP Dynamic'!$Q$1:$T$542,2,FALSE)</f>
        <v>0.88888888888888884</v>
      </c>
      <c r="W608">
        <f>VLOOKUP($U608,'[2]AP Dynamic'!$Q$1:$T$542,3,FALSE)</f>
        <v>0.11111111111111116</v>
      </c>
      <c r="X608">
        <f>VLOOKUP($U608,'[2]AP Dynamic'!$Q$1:$T$542,4,FALSE)</f>
        <v>0</v>
      </c>
      <c r="Y608" s="77">
        <f t="shared" si="1468"/>
        <v>1</v>
      </c>
      <c r="Z608" s="77">
        <f t="shared" si="1476"/>
        <v>6.3149999999999984E-2</v>
      </c>
      <c r="AA608" s="77">
        <f t="shared" si="1477"/>
        <v>5.1160591879111372E-3</v>
      </c>
      <c r="AB608" s="79">
        <v>1</v>
      </c>
      <c r="AC608" s="77">
        <f t="shared" si="1412"/>
        <v>8.277777777777778E-3</v>
      </c>
      <c r="AD608" s="77">
        <f t="shared" ref="AD608" si="1672">1-(1-AC608)^(1/12)</f>
        <v>6.9244588451522482E-4</v>
      </c>
      <c r="AE608" s="77">
        <f t="shared" si="1414"/>
        <v>2.5000000000000001E-3</v>
      </c>
      <c r="AF608" s="77">
        <f t="shared" ref="AF608" si="1673">1-(1-AE608)^(1/12)</f>
        <v>2.0857243058891584E-4</v>
      </c>
      <c r="AH608" t="s">
        <v>175</v>
      </c>
      <c r="AI608" t="s">
        <v>179</v>
      </c>
      <c r="AJ608" s="197" t="str">
        <f t="shared" si="1398"/>
        <v>Lifecycle_Dynamic_479</v>
      </c>
      <c r="AK608">
        <v>479</v>
      </c>
      <c r="AL608">
        <f>VLOOKUP($U608,[2]Standard_Dynamic!$Q$1:$T$542,2,FALSE)</f>
        <v>0.88888888888888884</v>
      </c>
      <c r="AM608">
        <f>VLOOKUP($U608,[2]Standard_Dynamic!$Q$1:$T$542,3,FALSE)</f>
        <v>0.11111111111111116</v>
      </c>
      <c r="AN608">
        <f>VLOOKUP($U608,[2]Standard_Dynamic!$Q$1:$T$542,4,FALSE)</f>
        <v>0</v>
      </c>
      <c r="AO608" s="77">
        <f t="shared" si="1399"/>
        <v>1</v>
      </c>
      <c r="AP608" s="77">
        <f t="shared" si="1416"/>
        <v>6.3149999999999984E-2</v>
      </c>
      <c r="AQ608" s="77">
        <f t="shared" si="1400"/>
        <v>5.1160591879111372E-3</v>
      </c>
      <c r="AR608" s="79">
        <v>0</v>
      </c>
      <c r="AS608" s="77">
        <f t="shared" si="1417"/>
        <v>0</v>
      </c>
      <c r="AT608" s="77">
        <f t="shared" ref="AT608" si="1674">1-(1-AS608)^(1/12)</f>
        <v>0</v>
      </c>
      <c r="AU608" s="77">
        <f t="shared" si="1419"/>
        <v>2.5000000000000001E-3</v>
      </c>
      <c r="AV608" s="77">
        <f t="shared" ref="AV608" si="1675">1-(1-AU608)^(1/12)</f>
        <v>2.0857243058891584E-4</v>
      </c>
      <c r="AX608" t="s">
        <v>178</v>
      </c>
      <c r="AY608" t="s">
        <v>162</v>
      </c>
      <c r="AZ608" s="197" t="str">
        <f t="shared" si="1502"/>
        <v>DIS_Standard_479</v>
      </c>
      <c r="BA608">
        <v>479</v>
      </c>
      <c r="BB608">
        <f>VLOOKUP($BA608,'[2]Standard DIS'!$Q$1:$X$542,4,FALSE)</f>
        <v>0</v>
      </c>
      <c r="BF608">
        <f>VLOOKUP($BA608,'[2]Standard DIS'!$Q$1:$X$542,2,FALSE)</f>
        <v>0.88888888888888884</v>
      </c>
      <c r="BH608">
        <f>VLOOKUP($BA608,'[2]Standard DIS'!$Q$1:$X$542,3,FALSE)</f>
        <v>0.11111111111111116</v>
      </c>
      <c r="BI608" s="77">
        <f t="shared" si="1404"/>
        <v>1</v>
      </c>
      <c r="BJ608" s="77">
        <f t="shared" si="1405"/>
        <v>6.3149999999999984E-2</v>
      </c>
      <c r="BK608" s="77">
        <f t="shared" si="1503"/>
        <v>5.1160591879111372E-3</v>
      </c>
      <c r="BL608" s="79">
        <v>0</v>
      </c>
      <c r="BM608" s="77">
        <f t="shared" si="1421"/>
        <v>0</v>
      </c>
      <c r="BN608" s="77">
        <f t="shared" si="1422"/>
        <v>0</v>
      </c>
      <c r="BO608" s="77">
        <f t="shared" si="1423"/>
        <v>2.5000000000000001E-3</v>
      </c>
      <c r="BP608" s="77">
        <f t="shared" si="1424"/>
        <v>2.0809499864316017E-4</v>
      </c>
    </row>
    <row r="609" spans="1:68">
      <c r="A609" t="s">
        <v>175</v>
      </c>
      <c r="B609" t="s">
        <v>179</v>
      </c>
      <c r="C609" s="197" t="str">
        <f t="shared" si="1465"/>
        <v>Lifecycle_Dynamic_478</v>
      </c>
      <c r="D609">
        <v>478</v>
      </c>
      <c r="E609">
        <f>VLOOKUP($D609,'[2]LC Dynamic'!$Q$2:$U$542,2,FALSE)</f>
        <v>0</v>
      </c>
      <c r="F609">
        <f>VLOOKUP($D609,'[2]LC Dynamic'!$Q$2:$U$542,3,FALSE)</f>
        <v>0</v>
      </c>
      <c r="G609">
        <f>VLOOKUP($D609,'[2]LC Dynamic'!$Q$2:$U$542,4,FALSE)</f>
        <v>0.308</v>
      </c>
      <c r="H609">
        <f>VLOOKUP($D609,'[2]LC Dynamic'!$Q$2:$U$542,5,FALSE)</f>
        <v>0.69199999999999995</v>
      </c>
      <c r="I609" s="77">
        <f t="shared" si="1389"/>
        <v>1</v>
      </c>
      <c r="J609" s="77">
        <f t="shared" si="1390"/>
        <v>6.9728499999999985E-2</v>
      </c>
      <c r="K609" s="77">
        <f t="shared" si="1475"/>
        <v>5.632878498097682E-3</v>
      </c>
      <c r="L609" s="76">
        <v>0</v>
      </c>
      <c r="M609" s="77">
        <f t="shared" si="1408"/>
        <v>0</v>
      </c>
      <c r="N609" s="77">
        <f t="shared" si="1409"/>
        <v>0</v>
      </c>
      <c r="O609" s="77">
        <f t="shared" si="1410"/>
        <v>5.6775999999999997E-3</v>
      </c>
      <c r="P609" s="77">
        <f t="shared" si="1411"/>
        <v>4.7436902124819991E-4</v>
      </c>
      <c r="R609" t="s">
        <v>177</v>
      </c>
      <c r="S609" t="s">
        <v>179</v>
      </c>
      <c r="T609" s="197" t="str">
        <f t="shared" si="1467"/>
        <v>Autopilot_Dynamic_478</v>
      </c>
      <c r="U609">
        <v>478</v>
      </c>
      <c r="V609">
        <f>VLOOKUP($U609,'[2]AP Dynamic'!$Q$1:$T$542,2,FALSE)</f>
        <v>0.88888888888888884</v>
      </c>
      <c r="W609">
        <f>VLOOKUP($U609,'[2]AP Dynamic'!$Q$1:$T$542,3,FALSE)</f>
        <v>0.11111111111111116</v>
      </c>
      <c r="X609">
        <f>VLOOKUP($U609,'[2]AP Dynamic'!$Q$1:$T$542,4,FALSE)</f>
        <v>0</v>
      </c>
      <c r="Y609" s="77">
        <f t="shared" si="1468"/>
        <v>1</v>
      </c>
      <c r="Z609" s="77">
        <f t="shared" si="1476"/>
        <v>6.3149999999999984E-2</v>
      </c>
      <c r="AA609" s="77">
        <f t="shared" si="1477"/>
        <v>5.1160591879111372E-3</v>
      </c>
      <c r="AB609" s="79">
        <v>1</v>
      </c>
      <c r="AC609" s="77">
        <f t="shared" si="1412"/>
        <v>8.277777777777778E-3</v>
      </c>
      <c r="AD609" s="77">
        <f t="shared" ref="AD609" si="1676">1-(1-AC609)^(1/12)</f>
        <v>6.9244588451522482E-4</v>
      </c>
      <c r="AE609" s="77">
        <f t="shared" si="1414"/>
        <v>2.5000000000000001E-3</v>
      </c>
      <c r="AF609" s="77">
        <f t="shared" ref="AF609" si="1677">1-(1-AE609)^(1/12)</f>
        <v>2.0857243058891584E-4</v>
      </c>
      <c r="AH609" t="s">
        <v>175</v>
      </c>
      <c r="AI609" t="s">
        <v>179</v>
      </c>
      <c r="AJ609" s="197" t="str">
        <f t="shared" si="1398"/>
        <v>Lifecycle_Dynamic_478</v>
      </c>
      <c r="AK609">
        <v>478</v>
      </c>
      <c r="AL609">
        <f>VLOOKUP($U609,[2]Standard_Dynamic!$Q$1:$T$542,2,FALSE)</f>
        <v>0.88888888888888884</v>
      </c>
      <c r="AM609">
        <f>VLOOKUP($U609,[2]Standard_Dynamic!$Q$1:$T$542,3,FALSE)</f>
        <v>0.11111111111111116</v>
      </c>
      <c r="AN609">
        <f>VLOOKUP($U609,[2]Standard_Dynamic!$Q$1:$T$542,4,FALSE)</f>
        <v>0</v>
      </c>
      <c r="AO609" s="77">
        <f t="shared" si="1399"/>
        <v>1</v>
      </c>
      <c r="AP609" s="77">
        <f t="shared" si="1416"/>
        <v>6.3149999999999984E-2</v>
      </c>
      <c r="AQ609" s="77">
        <f t="shared" si="1400"/>
        <v>5.1160591879111372E-3</v>
      </c>
      <c r="AR609" s="79">
        <v>0</v>
      </c>
      <c r="AS609" s="77">
        <f t="shared" si="1417"/>
        <v>0</v>
      </c>
      <c r="AT609" s="77">
        <f t="shared" ref="AT609" si="1678">1-(1-AS609)^(1/12)</f>
        <v>0</v>
      </c>
      <c r="AU609" s="77">
        <f t="shared" si="1419"/>
        <v>2.5000000000000001E-3</v>
      </c>
      <c r="AV609" s="77">
        <f t="shared" ref="AV609" si="1679">1-(1-AU609)^(1/12)</f>
        <v>2.0857243058891584E-4</v>
      </c>
      <c r="AX609" t="s">
        <v>178</v>
      </c>
      <c r="AY609" t="s">
        <v>162</v>
      </c>
      <c r="AZ609" s="197" t="str">
        <f t="shared" si="1502"/>
        <v>DIS_Standard_478</v>
      </c>
      <c r="BA609">
        <v>478</v>
      </c>
      <c r="BB609">
        <f>VLOOKUP($BA609,'[2]Standard DIS'!$Q$1:$X$542,4,FALSE)</f>
        <v>0</v>
      </c>
      <c r="BF609">
        <f>VLOOKUP($BA609,'[2]Standard DIS'!$Q$1:$X$542,2,FALSE)</f>
        <v>0.88888888888888884</v>
      </c>
      <c r="BH609">
        <f>VLOOKUP($BA609,'[2]Standard DIS'!$Q$1:$X$542,3,FALSE)</f>
        <v>0.11111111111111116</v>
      </c>
      <c r="BI609" s="77">
        <f t="shared" si="1404"/>
        <v>1</v>
      </c>
      <c r="BJ609" s="77">
        <f t="shared" si="1405"/>
        <v>6.3149999999999984E-2</v>
      </c>
      <c r="BK609" s="77">
        <f t="shared" si="1503"/>
        <v>5.1160591879111372E-3</v>
      </c>
      <c r="BL609" s="79">
        <v>0</v>
      </c>
      <c r="BM609" s="77">
        <f t="shared" si="1421"/>
        <v>0</v>
      </c>
      <c r="BN609" s="77">
        <f t="shared" si="1422"/>
        <v>0</v>
      </c>
      <c r="BO609" s="77">
        <f t="shared" si="1423"/>
        <v>2.5000000000000001E-3</v>
      </c>
      <c r="BP609" s="77">
        <f t="shared" si="1424"/>
        <v>2.0809499864316017E-4</v>
      </c>
    </row>
    <row r="610" spans="1:68">
      <c r="A610" t="s">
        <v>175</v>
      </c>
      <c r="B610" t="s">
        <v>179</v>
      </c>
      <c r="C610" s="197" t="str">
        <f t="shared" si="1465"/>
        <v>Lifecycle_Dynamic_477</v>
      </c>
      <c r="D610">
        <v>477</v>
      </c>
      <c r="E610">
        <f>VLOOKUP($D610,'[2]LC Dynamic'!$Q$2:$U$542,2,FALSE)</f>
        <v>0</v>
      </c>
      <c r="F610">
        <f>VLOOKUP($D610,'[2]LC Dynamic'!$Q$2:$U$542,3,FALSE)</f>
        <v>0</v>
      </c>
      <c r="G610">
        <f>VLOOKUP($D610,'[2]LC Dynamic'!$Q$2:$U$542,4,FALSE)</f>
        <v>0.308</v>
      </c>
      <c r="H610">
        <f>VLOOKUP($D610,'[2]LC Dynamic'!$Q$2:$U$542,5,FALSE)</f>
        <v>0.69199999999999995</v>
      </c>
      <c r="I610" s="77">
        <f t="shared" si="1389"/>
        <v>1</v>
      </c>
      <c r="J610" s="77">
        <f t="shared" si="1390"/>
        <v>6.9728499999999985E-2</v>
      </c>
      <c r="K610" s="77">
        <f t="shared" si="1475"/>
        <v>5.632878498097682E-3</v>
      </c>
      <c r="L610" s="76">
        <v>0</v>
      </c>
      <c r="M610" s="77">
        <f t="shared" si="1408"/>
        <v>0</v>
      </c>
      <c r="N610" s="77">
        <f t="shared" si="1409"/>
        <v>0</v>
      </c>
      <c r="O610" s="77">
        <f t="shared" si="1410"/>
        <v>5.6775999999999997E-3</v>
      </c>
      <c r="P610" s="77">
        <f t="shared" si="1411"/>
        <v>4.7436902124819991E-4</v>
      </c>
      <c r="R610" t="s">
        <v>177</v>
      </c>
      <c r="S610" t="s">
        <v>179</v>
      </c>
      <c r="T610" s="197" t="str">
        <f t="shared" si="1467"/>
        <v>Autopilot_Dynamic_477</v>
      </c>
      <c r="U610">
        <v>477</v>
      </c>
      <c r="V610">
        <f>VLOOKUP($U610,'[2]AP Dynamic'!$Q$1:$T$542,2,FALSE)</f>
        <v>0.88888888888888884</v>
      </c>
      <c r="W610">
        <f>VLOOKUP($U610,'[2]AP Dynamic'!$Q$1:$T$542,3,FALSE)</f>
        <v>0.11111111111111116</v>
      </c>
      <c r="X610">
        <f>VLOOKUP($U610,'[2]AP Dynamic'!$Q$1:$T$542,4,FALSE)</f>
        <v>0</v>
      </c>
      <c r="Y610" s="77">
        <f t="shared" si="1468"/>
        <v>1</v>
      </c>
      <c r="Z610" s="77">
        <f t="shared" si="1476"/>
        <v>6.3149999999999984E-2</v>
      </c>
      <c r="AA610" s="77">
        <f t="shared" si="1477"/>
        <v>5.1160591879111372E-3</v>
      </c>
      <c r="AB610" s="79">
        <v>1</v>
      </c>
      <c r="AC610" s="77">
        <f t="shared" si="1412"/>
        <v>8.277777777777778E-3</v>
      </c>
      <c r="AD610" s="77">
        <f t="shared" ref="AD610" si="1680">1-(1-AC610)^(1/12)</f>
        <v>6.9244588451522482E-4</v>
      </c>
      <c r="AE610" s="77">
        <f t="shared" si="1414"/>
        <v>2.5000000000000001E-3</v>
      </c>
      <c r="AF610" s="77">
        <f t="shared" ref="AF610" si="1681">1-(1-AE610)^(1/12)</f>
        <v>2.0857243058891584E-4</v>
      </c>
      <c r="AH610" t="s">
        <v>175</v>
      </c>
      <c r="AI610" t="s">
        <v>179</v>
      </c>
      <c r="AJ610" s="197" t="str">
        <f t="shared" si="1398"/>
        <v>Lifecycle_Dynamic_477</v>
      </c>
      <c r="AK610">
        <v>477</v>
      </c>
      <c r="AL610">
        <f>VLOOKUP($U610,[2]Standard_Dynamic!$Q$1:$T$542,2,FALSE)</f>
        <v>0.88888888888888884</v>
      </c>
      <c r="AM610">
        <f>VLOOKUP($U610,[2]Standard_Dynamic!$Q$1:$T$542,3,FALSE)</f>
        <v>0.11111111111111116</v>
      </c>
      <c r="AN610">
        <f>VLOOKUP($U610,[2]Standard_Dynamic!$Q$1:$T$542,4,FALSE)</f>
        <v>0</v>
      </c>
      <c r="AO610" s="77">
        <f t="shared" si="1399"/>
        <v>1</v>
      </c>
      <c r="AP610" s="77">
        <f t="shared" si="1416"/>
        <v>6.3149999999999984E-2</v>
      </c>
      <c r="AQ610" s="77">
        <f t="shared" si="1400"/>
        <v>5.1160591879111372E-3</v>
      </c>
      <c r="AR610" s="79">
        <v>0</v>
      </c>
      <c r="AS610" s="77">
        <f t="shared" si="1417"/>
        <v>0</v>
      </c>
      <c r="AT610" s="77">
        <f t="shared" ref="AT610" si="1682">1-(1-AS610)^(1/12)</f>
        <v>0</v>
      </c>
      <c r="AU610" s="77">
        <f t="shared" si="1419"/>
        <v>2.5000000000000001E-3</v>
      </c>
      <c r="AV610" s="77">
        <f t="shared" ref="AV610" si="1683">1-(1-AU610)^(1/12)</f>
        <v>2.0857243058891584E-4</v>
      </c>
      <c r="AX610" t="s">
        <v>178</v>
      </c>
      <c r="AY610" t="s">
        <v>162</v>
      </c>
      <c r="AZ610" s="197" t="str">
        <f t="shared" si="1502"/>
        <v>DIS_Standard_477</v>
      </c>
      <c r="BA610">
        <v>477</v>
      </c>
      <c r="BB610">
        <f>VLOOKUP($BA610,'[2]Standard DIS'!$Q$1:$X$542,4,FALSE)</f>
        <v>0</v>
      </c>
      <c r="BF610">
        <f>VLOOKUP($BA610,'[2]Standard DIS'!$Q$1:$X$542,2,FALSE)</f>
        <v>0.88888888888888884</v>
      </c>
      <c r="BH610">
        <f>VLOOKUP($BA610,'[2]Standard DIS'!$Q$1:$X$542,3,FALSE)</f>
        <v>0.11111111111111116</v>
      </c>
      <c r="BI610" s="77">
        <f t="shared" si="1404"/>
        <v>1</v>
      </c>
      <c r="BJ610" s="77">
        <f t="shared" si="1405"/>
        <v>6.3149999999999984E-2</v>
      </c>
      <c r="BK610" s="77">
        <f t="shared" si="1503"/>
        <v>5.1160591879111372E-3</v>
      </c>
      <c r="BL610" s="79">
        <v>0</v>
      </c>
      <c r="BM610" s="77">
        <f t="shared" si="1421"/>
        <v>0</v>
      </c>
      <c r="BN610" s="77">
        <f t="shared" si="1422"/>
        <v>0</v>
      </c>
      <c r="BO610" s="77">
        <f t="shared" si="1423"/>
        <v>2.5000000000000001E-3</v>
      </c>
      <c r="BP610" s="77">
        <f t="shared" si="1424"/>
        <v>2.0809499864316017E-4</v>
      </c>
    </row>
    <row r="611" spans="1:68">
      <c r="A611" t="s">
        <v>175</v>
      </c>
      <c r="B611" t="s">
        <v>179</v>
      </c>
      <c r="C611" s="197" t="str">
        <f t="shared" si="1465"/>
        <v>Lifecycle_Dynamic_476</v>
      </c>
      <c r="D611">
        <v>476</v>
      </c>
      <c r="E611">
        <f>VLOOKUP($D611,'[2]LC Dynamic'!$Q$2:$U$542,2,FALSE)</f>
        <v>0</v>
      </c>
      <c r="F611">
        <f>VLOOKUP($D611,'[2]LC Dynamic'!$Q$2:$U$542,3,FALSE)</f>
        <v>0</v>
      </c>
      <c r="G611">
        <f>VLOOKUP($D611,'[2]LC Dynamic'!$Q$2:$U$542,4,FALSE)</f>
        <v>0.308</v>
      </c>
      <c r="H611">
        <f>VLOOKUP($D611,'[2]LC Dynamic'!$Q$2:$U$542,5,FALSE)</f>
        <v>0.69199999999999995</v>
      </c>
      <c r="I611" s="77">
        <f t="shared" ref="I611:I674" si="1684">SUM(E611:H611)</f>
        <v>1</v>
      </c>
      <c r="J611" s="77">
        <f t="shared" ref="J611:J674" si="1685">SUMPRODUCT($E$1:$H$1,E611:H611)</f>
        <v>6.9728499999999985E-2</v>
      </c>
      <c r="K611" s="77">
        <f t="shared" si="1475"/>
        <v>5.632878498097682E-3</v>
      </c>
      <c r="L611" s="76">
        <v>0</v>
      </c>
      <c r="M611" s="77">
        <f t="shared" si="1408"/>
        <v>0</v>
      </c>
      <c r="N611" s="77">
        <f t="shared" si="1409"/>
        <v>0</v>
      </c>
      <c r="O611" s="77">
        <f t="shared" si="1410"/>
        <v>5.6775999999999997E-3</v>
      </c>
      <c r="P611" s="77">
        <f t="shared" si="1411"/>
        <v>4.7436902124819991E-4</v>
      </c>
      <c r="R611" t="s">
        <v>177</v>
      </c>
      <c r="S611" t="s">
        <v>179</v>
      </c>
      <c r="T611" s="197" t="str">
        <f t="shared" si="1467"/>
        <v>Autopilot_Dynamic_476</v>
      </c>
      <c r="U611">
        <v>476</v>
      </c>
      <c r="V611">
        <f>VLOOKUP($U611,'[2]AP Dynamic'!$Q$1:$T$542,2,FALSE)</f>
        <v>0.88888888888888884</v>
      </c>
      <c r="W611">
        <f>VLOOKUP($U611,'[2]AP Dynamic'!$Q$1:$T$542,3,FALSE)</f>
        <v>0.11111111111111116</v>
      </c>
      <c r="X611">
        <f>VLOOKUP($U611,'[2]AP Dynamic'!$Q$1:$T$542,4,FALSE)</f>
        <v>0</v>
      </c>
      <c r="Y611" s="77">
        <f t="shared" si="1468"/>
        <v>1</v>
      </c>
      <c r="Z611" s="77">
        <f t="shared" si="1476"/>
        <v>6.3149999999999984E-2</v>
      </c>
      <c r="AA611" s="77">
        <f t="shared" si="1477"/>
        <v>5.1160591879111372E-3</v>
      </c>
      <c r="AB611" s="79">
        <v>1</v>
      </c>
      <c r="AC611" s="77">
        <f t="shared" si="1412"/>
        <v>8.277777777777778E-3</v>
      </c>
      <c r="AD611" s="77">
        <f t="shared" ref="AD611" si="1686">1-(1-AC611)^(1/12)</f>
        <v>6.9244588451522482E-4</v>
      </c>
      <c r="AE611" s="77">
        <f t="shared" si="1414"/>
        <v>2.5000000000000001E-3</v>
      </c>
      <c r="AF611" s="77">
        <f t="shared" ref="AF611" si="1687">1-(1-AE611)^(1/12)</f>
        <v>2.0857243058891584E-4</v>
      </c>
      <c r="AH611" t="s">
        <v>175</v>
      </c>
      <c r="AI611" t="s">
        <v>179</v>
      </c>
      <c r="AJ611" s="197" t="str">
        <f t="shared" ref="AJ611:AJ674" si="1688">AH611&amp;"_"&amp;AI611&amp;"_"&amp;AK611</f>
        <v>Lifecycle_Dynamic_476</v>
      </c>
      <c r="AK611">
        <v>476</v>
      </c>
      <c r="AL611">
        <f>VLOOKUP($U611,[2]Standard_Dynamic!$Q$1:$T$542,2,FALSE)</f>
        <v>0.88888888888888884</v>
      </c>
      <c r="AM611">
        <f>VLOOKUP($U611,[2]Standard_Dynamic!$Q$1:$T$542,3,FALSE)</f>
        <v>0.11111111111111116</v>
      </c>
      <c r="AN611">
        <f>VLOOKUP($U611,[2]Standard_Dynamic!$Q$1:$T$542,4,FALSE)</f>
        <v>0</v>
      </c>
      <c r="AO611" s="77">
        <f t="shared" ref="AO611:AO674" si="1689">SUM(AL611:AN611)</f>
        <v>1</v>
      </c>
      <c r="AP611" s="77">
        <f t="shared" si="1416"/>
        <v>6.3149999999999984E-2</v>
      </c>
      <c r="AQ611" s="77">
        <f t="shared" ref="AQ611:AQ674" si="1690">(1+AP611)^(1/12)-1</f>
        <v>5.1160591879111372E-3</v>
      </c>
      <c r="AR611" s="79">
        <v>0</v>
      </c>
      <c r="AS611" s="77">
        <f t="shared" si="1417"/>
        <v>0</v>
      </c>
      <c r="AT611" s="77">
        <f t="shared" ref="AT611" si="1691">1-(1-AS611)^(1/12)</f>
        <v>0</v>
      </c>
      <c r="AU611" s="77">
        <f t="shared" si="1419"/>
        <v>2.5000000000000001E-3</v>
      </c>
      <c r="AV611" s="77">
        <f t="shared" ref="AV611" si="1692">1-(1-AU611)^(1/12)</f>
        <v>2.0857243058891584E-4</v>
      </c>
      <c r="AX611" t="s">
        <v>178</v>
      </c>
      <c r="AY611" t="s">
        <v>162</v>
      </c>
      <c r="AZ611" s="197" t="str">
        <f t="shared" si="1502"/>
        <v>DIS_Standard_476</v>
      </c>
      <c r="BA611">
        <v>476</v>
      </c>
      <c r="BB611">
        <f>VLOOKUP($BA611,'[2]Standard DIS'!$Q$1:$X$542,4,FALSE)</f>
        <v>0</v>
      </c>
      <c r="BF611">
        <f>VLOOKUP($BA611,'[2]Standard DIS'!$Q$1:$X$542,2,FALSE)</f>
        <v>0.88888888888888884</v>
      </c>
      <c r="BH611">
        <f>VLOOKUP($BA611,'[2]Standard DIS'!$Q$1:$X$542,3,FALSE)</f>
        <v>0.11111111111111116</v>
      </c>
      <c r="BI611" s="77">
        <f t="shared" ref="BI611:BI674" si="1693">SUM(BB611:BH611)</f>
        <v>1</v>
      </c>
      <c r="BJ611" s="77">
        <f t="shared" ref="BJ611:BJ674" si="1694">SUMPRODUCT($BB$1:$BH$1,BB611:BH611)</f>
        <v>6.3149999999999984E-2</v>
      </c>
      <c r="BK611" s="77">
        <f t="shared" si="1503"/>
        <v>5.1160591879111372E-3</v>
      </c>
      <c r="BL611" s="79">
        <v>0</v>
      </c>
      <c r="BM611" s="77">
        <f t="shared" si="1421"/>
        <v>0</v>
      </c>
      <c r="BN611" s="77">
        <f t="shared" si="1422"/>
        <v>0</v>
      </c>
      <c r="BO611" s="77">
        <f t="shared" si="1423"/>
        <v>2.5000000000000001E-3</v>
      </c>
      <c r="BP611" s="77">
        <f t="shared" si="1424"/>
        <v>2.0809499864316017E-4</v>
      </c>
    </row>
    <row r="612" spans="1:68">
      <c r="A612" t="s">
        <v>175</v>
      </c>
      <c r="B612" t="s">
        <v>179</v>
      </c>
      <c r="C612" s="197" t="str">
        <f t="shared" si="1465"/>
        <v>Lifecycle_Dynamic_475</v>
      </c>
      <c r="D612">
        <v>475</v>
      </c>
      <c r="E612">
        <f>VLOOKUP($D612,'[2]LC Dynamic'!$Q$2:$U$542,2,FALSE)</f>
        <v>0</v>
      </c>
      <c r="F612">
        <f>VLOOKUP($D612,'[2]LC Dynamic'!$Q$2:$U$542,3,FALSE)</f>
        <v>0</v>
      </c>
      <c r="G612">
        <f>VLOOKUP($D612,'[2]LC Dynamic'!$Q$2:$U$542,4,FALSE)</f>
        <v>0.308</v>
      </c>
      <c r="H612">
        <f>VLOOKUP($D612,'[2]LC Dynamic'!$Q$2:$U$542,5,FALSE)</f>
        <v>0.69199999999999995</v>
      </c>
      <c r="I612" s="77">
        <f t="shared" si="1684"/>
        <v>1</v>
      </c>
      <c r="J612" s="77">
        <f t="shared" si="1685"/>
        <v>6.9728499999999985E-2</v>
      </c>
      <c r="K612" s="77">
        <f t="shared" si="1475"/>
        <v>5.632878498097682E-3</v>
      </c>
      <c r="L612" s="76">
        <v>0</v>
      </c>
      <c r="M612" s="77">
        <f t="shared" ref="M612:M675" si="1695">IF($L612=0,0,SUMPRODUCT($E$3:$H$3,E612:H612))</f>
        <v>0</v>
      </c>
      <c r="N612" s="77">
        <f t="shared" ref="N612:N675" si="1696">1-(1-M612)^(1/12)</f>
        <v>0</v>
      </c>
      <c r="O612" s="77">
        <f t="shared" ref="O612:O675" si="1697">SUMPRODUCT($E$2:$H$2,E612:H612)</f>
        <v>5.6775999999999997E-3</v>
      </c>
      <c r="P612" s="77">
        <f t="shared" ref="P612:P675" si="1698">1-(1-O612)^(1/12)</f>
        <v>4.7436902124819991E-4</v>
      </c>
      <c r="R612" t="s">
        <v>177</v>
      </c>
      <c r="S612" t="s">
        <v>179</v>
      </c>
      <c r="T612" s="197" t="str">
        <f t="shared" si="1467"/>
        <v>Autopilot_Dynamic_475</v>
      </c>
      <c r="U612">
        <v>475</v>
      </c>
      <c r="V612">
        <f>VLOOKUP($U612,'[2]AP Dynamic'!$Q$1:$T$542,2,FALSE)</f>
        <v>0.88888888888888884</v>
      </c>
      <c r="W612">
        <f>VLOOKUP($U612,'[2]AP Dynamic'!$Q$1:$T$542,3,FALSE)</f>
        <v>0.11111111111111116</v>
      </c>
      <c r="X612">
        <f>VLOOKUP($U612,'[2]AP Dynamic'!$Q$1:$T$542,4,FALSE)</f>
        <v>0</v>
      </c>
      <c r="Y612" s="77">
        <f t="shared" si="1468"/>
        <v>1</v>
      </c>
      <c r="Z612" s="77">
        <f t="shared" si="1476"/>
        <v>6.3149999999999984E-2</v>
      </c>
      <c r="AA612" s="77">
        <f t="shared" si="1477"/>
        <v>5.1160591879111372E-3</v>
      </c>
      <c r="AB612" s="79">
        <v>1</v>
      </c>
      <c r="AC612" s="77">
        <f t="shared" ref="AC612:AC675" si="1699">IF($AB612=0,0,SUMPRODUCT($V$3:$X$3,V612:X612))</f>
        <v>8.277777777777778E-3</v>
      </c>
      <c r="AD612" s="77">
        <f t="shared" ref="AD612" si="1700">1-(1-AC612)^(1/12)</f>
        <v>6.9244588451522482E-4</v>
      </c>
      <c r="AE612" s="77">
        <f t="shared" ref="AE612:AE675" si="1701">SUMPRODUCT($V$2:$X$2,V612:X612)</f>
        <v>2.5000000000000001E-3</v>
      </c>
      <c r="AF612" s="77">
        <f t="shared" ref="AF612" si="1702">1-(1-AE612)^(1/12)</f>
        <v>2.0857243058891584E-4</v>
      </c>
      <c r="AH612" t="s">
        <v>175</v>
      </c>
      <c r="AI612" t="s">
        <v>179</v>
      </c>
      <c r="AJ612" s="197" t="str">
        <f t="shared" si="1688"/>
        <v>Lifecycle_Dynamic_475</v>
      </c>
      <c r="AK612">
        <v>475</v>
      </c>
      <c r="AL612">
        <f>VLOOKUP($U612,[2]Standard_Dynamic!$Q$1:$T$542,2,FALSE)</f>
        <v>0.88888888888888884</v>
      </c>
      <c r="AM612">
        <f>VLOOKUP($U612,[2]Standard_Dynamic!$Q$1:$T$542,3,FALSE)</f>
        <v>0.11111111111111116</v>
      </c>
      <c r="AN612">
        <f>VLOOKUP($U612,[2]Standard_Dynamic!$Q$1:$T$542,4,FALSE)</f>
        <v>0</v>
      </c>
      <c r="AO612" s="77">
        <f t="shared" si="1689"/>
        <v>1</v>
      </c>
      <c r="AP612" s="77">
        <f t="shared" ref="AP612:AP675" si="1703">SUMPRODUCT($AL$1:$AN$1,AL612:AN612)</f>
        <v>6.3149999999999984E-2</v>
      </c>
      <c r="AQ612" s="77">
        <f t="shared" si="1690"/>
        <v>5.1160591879111372E-3</v>
      </c>
      <c r="AR612" s="79">
        <v>0</v>
      </c>
      <c r="AS612" s="77">
        <f t="shared" ref="AS612:AS675" si="1704">IF(AR612=0,0,SUMPRODUCT($AL$3:$AN$3,AL612:AN612))</f>
        <v>0</v>
      </c>
      <c r="AT612" s="77">
        <f t="shared" ref="AT612" si="1705">1-(1-AS612)^(1/12)</f>
        <v>0</v>
      </c>
      <c r="AU612" s="77">
        <f t="shared" ref="AU612:AU675" si="1706">SUMPRODUCT($AL$2:$AN$2,AL612:AN612)</f>
        <v>2.5000000000000001E-3</v>
      </c>
      <c r="AV612" s="77">
        <f t="shared" ref="AV612" si="1707">1-(1-AU612)^(1/12)</f>
        <v>2.0857243058891584E-4</v>
      </c>
      <c r="AX612" t="s">
        <v>178</v>
      </c>
      <c r="AY612" t="s">
        <v>162</v>
      </c>
      <c r="AZ612" s="197" t="str">
        <f t="shared" si="1502"/>
        <v>DIS_Standard_475</v>
      </c>
      <c r="BA612">
        <v>475</v>
      </c>
      <c r="BB612">
        <f>VLOOKUP($BA612,'[2]Standard DIS'!$Q$1:$X$542,4,FALSE)</f>
        <v>0</v>
      </c>
      <c r="BF612">
        <f>VLOOKUP($BA612,'[2]Standard DIS'!$Q$1:$X$542,2,FALSE)</f>
        <v>0.88888888888888884</v>
      </c>
      <c r="BH612">
        <f>VLOOKUP($BA612,'[2]Standard DIS'!$Q$1:$X$542,3,FALSE)</f>
        <v>0.11111111111111116</v>
      </c>
      <c r="BI612" s="77">
        <f t="shared" si="1693"/>
        <v>1</v>
      </c>
      <c r="BJ612" s="77">
        <f t="shared" si="1694"/>
        <v>6.3149999999999984E-2</v>
      </c>
      <c r="BK612" s="77">
        <f t="shared" si="1503"/>
        <v>5.1160591879111372E-3</v>
      </c>
      <c r="BL612" s="79">
        <v>0</v>
      </c>
      <c r="BM612" s="77">
        <f t="shared" ref="BM612:BM675" si="1708">IF(BL612=0,0,SUMPRODUCT($BB$3:$BH$3,BB612:BH612))</f>
        <v>0</v>
      </c>
      <c r="BN612" s="77">
        <f t="shared" ref="BN612:BN675" si="1709">(1+BM612)^(1/12)-1</f>
        <v>0</v>
      </c>
      <c r="BO612" s="77">
        <f t="shared" ref="BO612:BO675" si="1710">SUMPRODUCT($BB$2:$BH$2,BB612:BH612)</f>
        <v>2.5000000000000001E-3</v>
      </c>
      <c r="BP612" s="77">
        <f t="shared" ref="BP612:BP675" si="1711">(1+BO612)^(1/12)-1</f>
        <v>2.0809499864316017E-4</v>
      </c>
    </row>
    <row r="613" spans="1:68">
      <c r="A613" t="s">
        <v>175</v>
      </c>
      <c r="B613" t="s">
        <v>179</v>
      </c>
      <c r="C613" s="197" t="str">
        <f t="shared" si="1465"/>
        <v>Lifecycle_Dynamic_474</v>
      </c>
      <c r="D613">
        <v>474</v>
      </c>
      <c r="E613">
        <f>VLOOKUP($D613,'[2]LC Dynamic'!$Q$2:$U$542,2,FALSE)</f>
        <v>0</v>
      </c>
      <c r="F613">
        <f>VLOOKUP($D613,'[2]LC Dynamic'!$Q$2:$U$542,3,FALSE)</f>
        <v>0</v>
      </c>
      <c r="G613">
        <f>VLOOKUP($D613,'[2]LC Dynamic'!$Q$2:$U$542,4,FALSE)</f>
        <v>0.308</v>
      </c>
      <c r="H613">
        <f>VLOOKUP($D613,'[2]LC Dynamic'!$Q$2:$U$542,5,FALSE)</f>
        <v>0.69199999999999995</v>
      </c>
      <c r="I613" s="77">
        <f t="shared" si="1684"/>
        <v>1</v>
      </c>
      <c r="J613" s="77">
        <f t="shared" si="1685"/>
        <v>6.9728499999999985E-2</v>
      </c>
      <c r="K613" s="77">
        <f t="shared" si="1475"/>
        <v>5.632878498097682E-3</v>
      </c>
      <c r="L613" s="76">
        <v>0</v>
      </c>
      <c r="M613" s="77">
        <f t="shared" si="1695"/>
        <v>0</v>
      </c>
      <c r="N613" s="77">
        <f t="shared" si="1696"/>
        <v>0</v>
      </c>
      <c r="O613" s="77">
        <f t="shared" si="1697"/>
        <v>5.6775999999999997E-3</v>
      </c>
      <c r="P613" s="77">
        <f t="shared" si="1698"/>
        <v>4.7436902124819991E-4</v>
      </c>
      <c r="R613" t="s">
        <v>177</v>
      </c>
      <c r="S613" t="s">
        <v>179</v>
      </c>
      <c r="T613" s="197" t="str">
        <f t="shared" si="1467"/>
        <v>Autopilot_Dynamic_474</v>
      </c>
      <c r="U613">
        <v>474</v>
      </c>
      <c r="V613">
        <f>VLOOKUP($U613,'[2]AP Dynamic'!$Q$1:$T$542,2,FALSE)</f>
        <v>0.88888888888888884</v>
      </c>
      <c r="W613">
        <f>VLOOKUP($U613,'[2]AP Dynamic'!$Q$1:$T$542,3,FALSE)</f>
        <v>0.11111111111111116</v>
      </c>
      <c r="X613">
        <f>VLOOKUP($U613,'[2]AP Dynamic'!$Q$1:$T$542,4,FALSE)</f>
        <v>0</v>
      </c>
      <c r="Y613" s="77">
        <f t="shared" si="1468"/>
        <v>1</v>
      </c>
      <c r="Z613" s="77">
        <f t="shared" si="1476"/>
        <v>6.3149999999999984E-2</v>
      </c>
      <c r="AA613" s="77">
        <f t="shared" si="1477"/>
        <v>5.1160591879111372E-3</v>
      </c>
      <c r="AB613" s="79">
        <v>1</v>
      </c>
      <c r="AC613" s="77">
        <f t="shared" si="1699"/>
        <v>8.277777777777778E-3</v>
      </c>
      <c r="AD613" s="77">
        <f t="shared" ref="AD613" si="1712">1-(1-AC613)^(1/12)</f>
        <v>6.9244588451522482E-4</v>
      </c>
      <c r="AE613" s="77">
        <f t="shared" si="1701"/>
        <v>2.5000000000000001E-3</v>
      </c>
      <c r="AF613" s="77">
        <f t="shared" ref="AF613" si="1713">1-(1-AE613)^(1/12)</f>
        <v>2.0857243058891584E-4</v>
      </c>
      <c r="AH613" t="s">
        <v>175</v>
      </c>
      <c r="AI613" t="s">
        <v>179</v>
      </c>
      <c r="AJ613" s="197" t="str">
        <f t="shared" si="1688"/>
        <v>Lifecycle_Dynamic_474</v>
      </c>
      <c r="AK613">
        <v>474</v>
      </c>
      <c r="AL613">
        <f>VLOOKUP($U613,[2]Standard_Dynamic!$Q$1:$T$542,2,FALSE)</f>
        <v>0.88888888888888884</v>
      </c>
      <c r="AM613">
        <f>VLOOKUP($U613,[2]Standard_Dynamic!$Q$1:$T$542,3,FALSE)</f>
        <v>0.11111111111111116</v>
      </c>
      <c r="AN613">
        <f>VLOOKUP($U613,[2]Standard_Dynamic!$Q$1:$T$542,4,FALSE)</f>
        <v>0</v>
      </c>
      <c r="AO613" s="77">
        <f t="shared" si="1689"/>
        <v>1</v>
      </c>
      <c r="AP613" s="77">
        <f t="shared" si="1703"/>
        <v>6.3149999999999984E-2</v>
      </c>
      <c r="AQ613" s="77">
        <f t="shared" si="1690"/>
        <v>5.1160591879111372E-3</v>
      </c>
      <c r="AR613" s="79">
        <v>0</v>
      </c>
      <c r="AS613" s="77">
        <f t="shared" si="1704"/>
        <v>0</v>
      </c>
      <c r="AT613" s="77">
        <f t="shared" ref="AT613" si="1714">1-(1-AS613)^(1/12)</f>
        <v>0</v>
      </c>
      <c r="AU613" s="77">
        <f t="shared" si="1706"/>
        <v>2.5000000000000001E-3</v>
      </c>
      <c r="AV613" s="77">
        <f t="shared" ref="AV613" si="1715">1-(1-AU613)^(1/12)</f>
        <v>2.0857243058891584E-4</v>
      </c>
      <c r="AX613" t="s">
        <v>178</v>
      </c>
      <c r="AY613" t="s">
        <v>162</v>
      </c>
      <c r="AZ613" s="197" t="str">
        <f t="shared" si="1502"/>
        <v>DIS_Standard_474</v>
      </c>
      <c r="BA613">
        <v>474</v>
      </c>
      <c r="BB613">
        <f>VLOOKUP($BA613,'[2]Standard DIS'!$Q$1:$X$542,4,FALSE)</f>
        <v>0</v>
      </c>
      <c r="BF613">
        <f>VLOOKUP($BA613,'[2]Standard DIS'!$Q$1:$X$542,2,FALSE)</f>
        <v>0.88888888888888884</v>
      </c>
      <c r="BH613">
        <f>VLOOKUP($BA613,'[2]Standard DIS'!$Q$1:$X$542,3,FALSE)</f>
        <v>0.11111111111111116</v>
      </c>
      <c r="BI613" s="77">
        <f t="shared" si="1693"/>
        <v>1</v>
      </c>
      <c r="BJ613" s="77">
        <f t="shared" si="1694"/>
        <v>6.3149999999999984E-2</v>
      </c>
      <c r="BK613" s="77">
        <f t="shared" si="1503"/>
        <v>5.1160591879111372E-3</v>
      </c>
      <c r="BL613" s="79">
        <v>0</v>
      </c>
      <c r="BM613" s="77">
        <f t="shared" si="1708"/>
        <v>0</v>
      </c>
      <c r="BN613" s="77">
        <f t="shared" si="1709"/>
        <v>0</v>
      </c>
      <c r="BO613" s="77">
        <f t="shared" si="1710"/>
        <v>2.5000000000000001E-3</v>
      </c>
      <c r="BP613" s="77">
        <f t="shared" si="1711"/>
        <v>2.0809499864316017E-4</v>
      </c>
    </row>
    <row r="614" spans="1:68">
      <c r="A614" t="s">
        <v>175</v>
      </c>
      <c r="B614" t="s">
        <v>179</v>
      </c>
      <c r="C614" s="197" t="str">
        <f t="shared" si="1465"/>
        <v>Lifecycle_Dynamic_473</v>
      </c>
      <c r="D614">
        <v>473</v>
      </c>
      <c r="E614">
        <f>VLOOKUP($D614,'[2]LC Dynamic'!$Q$2:$U$542,2,FALSE)</f>
        <v>0</v>
      </c>
      <c r="F614">
        <f>VLOOKUP($D614,'[2]LC Dynamic'!$Q$2:$U$542,3,FALSE)</f>
        <v>0</v>
      </c>
      <c r="G614">
        <f>VLOOKUP($D614,'[2]LC Dynamic'!$Q$2:$U$542,4,FALSE)</f>
        <v>0.308</v>
      </c>
      <c r="H614">
        <f>VLOOKUP($D614,'[2]LC Dynamic'!$Q$2:$U$542,5,FALSE)</f>
        <v>0.69199999999999995</v>
      </c>
      <c r="I614" s="77">
        <f t="shared" si="1684"/>
        <v>1</v>
      </c>
      <c r="J614" s="77">
        <f t="shared" si="1685"/>
        <v>6.9728499999999985E-2</v>
      </c>
      <c r="K614" s="77">
        <f t="shared" si="1475"/>
        <v>5.632878498097682E-3</v>
      </c>
      <c r="L614" s="76">
        <v>0</v>
      </c>
      <c r="M614" s="77">
        <f t="shared" si="1695"/>
        <v>0</v>
      </c>
      <c r="N614" s="77">
        <f t="shared" si="1696"/>
        <v>0</v>
      </c>
      <c r="O614" s="77">
        <f t="shared" si="1697"/>
        <v>5.6775999999999997E-3</v>
      </c>
      <c r="P614" s="77">
        <f t="shared" si="1698"/>
        <v>4.7436902124819991E-4</v>
      </c>
      <c r="R614" t="s">
        <v>177</v>
      </c>
      <c r="S614" t="s">
        <v>179</v>
      </c>
      <c r="T614" s="197" t="str">
        <f t="shared" si="1467"/>
        <v>Autopilot_Dynamic_473</v>
      </c>
      <c r="U614">
        <v>473</v>
      </c>
      <c r="V614">
        <f>VLOOKUP($U614,'[2]AP Dynamic'!$Q$1:$T$542,2,FALSE)</f>
        <v>0.88888888888888884</v>
      </c>
      <c r="W614">
        <f>VLOOKUP($U614,'[2]AP Dynamic'!$Q$1:$T$542,3,FALSE)</f>
        <v>0.11111111111111116</v>
      </c>
      <c r="X614">
        <f>VLOOKUP($U614,'[2]AP Dynamic'!$Q$1:$T$542,4,FALSE)</f>
        <v>0</v>
      </c>
      <c r="Y614" s="77">
        <f t="shared" si="1468"/>
        <v>1</v>
      </c>
      <c r="Z614" s="77">
        <f t="shared" si="1476"/>
        <v>6.3149999999999984E-2</v>
      </c>
      <c r="AA614" s="77">
        <f t="shared" si="1477"/>
        <v>5.1160591879111372E-3</v>
      </c>
      <c r="AB614" s="79">
        <v>1</v>
      </c>
      <c r="AC614" s="77">
        <f t="shared" si="1699"/>
        <v>8.277777777777778E-3</v>
      </c>
      <c r="AD614" s="77">
        <f t="shared" ref="AD614" si="1716">1-(1-AC614)^(1/12)</f>
        <v>6.9244588451522482E-4</v>
      </c>
      <c r="AE614" s="77">
        <f t="shared" si="1701"/>
        <v>2.5000000000000001E-3</v>
      </c>
      <c r="AF614" s="77">
        <f t="shared" ref="AF614" si="1717">1-(1-AE614)^(1/12)</f>
        <v>2.0857243058891584E-4</v>
      </c>
      <c r="AH614" t="s">
        <v>175</v>
      </c>
      <c r="AI614" t="s">
        <v>179</v>
      </c>
      <c r="AJ614" s="197" t="str">
        <f t="shared" si="1688"/>
        <v>Lifecycle_Dynamic_473</v>
      </c>
      <c r="AK614">
        <v>473</v>
      </c>
      <c r="AL614">
        <f>VLOOKUP($U614,[2]Standard_Dynamic!$Q$1:$T$542,2,FALSE)</f>
        <v>0.88888888888888884</v>
      </c>
      <c r="AM614">
        <f>VLOOKUP($U614,[2]Standard_Dynamic!$Q$1:$T$542,3,FALSE)</f>
        <v>0.11111111111111116</v>
      </c>
      <c r="AN614">
        <f>VLOOKUP($U614,[2]Standard_Dynamic!$Q$1:$T$542,4,FALSE)</f>
        <v>0</v>
      </c>
      <c r="AO614" s="77">
        <f t="shared" si="1689"/>
        <v>1</v>
      </c>
      <c r="AP614" s="77">
        <f t="shared" si="1703"/>
        <v>6.3149999999999984E-2</v>
      </c>
      <c r="AQ614" s="77">
        <f t="shared" si="1690"/>
        <v>5.1160591879111372E-3</v>
      </c>
      <c r="AR614" s="79">
        <v>0</v>
      </c>
      <c r="AS614" s="77">
        <f t="shared" si="1704"/>
        <v>0</v>
      </c>
      <c r="AT614" s="77">
        <f t="shared" ref="AT614" si="1718">1-(1-AS614)^(1/12)</f>
        <v>0</v>
      </c>
      <c r="AU614" s="77">
        <f t="shared" si="1706"/>
        <v>2.5000000000000001E-3</v>
      </c>
      <c r="AV614" s="77">
        <f t="shared" ref="AV614" si="1719">1-(1-AU614)^(1/12)</f>
        <v>2.0857243058891584E-4</v>
      </c>
      <c r="AX614" t="s">
        <v>178</v>
      </c>
      <c r="AY614" t="s">
        <v>162</v>
      </c>
      <c r="AZ614" s="197" t="str">
        <f t="shared" si="1502"/>
        <v>DIS_Standard_473</v>
      </c>
      <c r="BA614">
        <v>473</v>
      </c>
      <c r="BB614">
        <f>VLOOKUP($BA614,'[2]Standard DIS'!$Q$1:$X$542,4,FALSE)</f>
        <v>0</v>
      </c>
      <c r="BF614">
        <f>VLOOKUP($BA614,'[2]Standard DIS'!$Q$1:$X$542,2,FALSE)</f>
        <v>0.88888888888888884</v>
      </c>
      <c r="BH614">
        <f>VLOOKUP($BA614,'[2]Standard DIS'!$Q$1:$X$542,3,FALSE)</f>
        <v>0.11111111111111116</v>
      </c>
      <c r="BI614" s="77">
        <f t="shared" si="1693"/>
        <v>1</v>
      </c>
      <c r="BJ614" s="77">
        <f t="shared" si="1694"/>
        <v>6.3149999999999984E-2</v>
      </c>
      <c r="BK614" s="77">
        <f t="shared" si="1503"/>
        <v>5.1160591879111372E-3</v>
      </c>
      <c r="BL614" s="79">
        <v>0</v>
      </c>
      <c r="BM614" s="77">
        <f t="shared" si="1708"/>
        <v>0</v>
      </c>
      <c r="BN614" s="77">
        <f t="shared" si="1709"/>
        <v>0</v>
      </c>
      <c r="BO614" s="77">
        <f t="shared" si="1710"/>
        <v>2.5000000000000001E-3</v>
      </c>
      <c r="BP614" s="77">
        <f t="shared" si="1711"/>
        <v>2.0809499864316017E-4</v>
      </c>
    </row>
    <row r="615" spans="1:68">
      <c r="A615" t="s">
        <v>175</v>
      </c>
      <c r="B615" t="s">
        <v>179</v>
      </c>
      <c r="C615" s="197" t="str">
        <f t="shared" si="1465"/>
        <v>Lifecycle_Dynamic_472</v>
      </c>
      <c r="D615">
        <v>472</v>
      </c>
      <c r="E615">
        <f>VLOOKUP($D615,'[2]LC Dynamic'!$Q$2:$U$542,2,FALSE)</f>
        <v>0</v>
      </c>
      <c r="F615">
        <f>VLOOKUP($D615,'[2]LC Dynamic'!$Q$2:$U$542,3,FALSE)</f>
        <v>0</v>
      </c>
      <c r="G615">
        <f>VLOOKUP($D615,'[2]LC Dynamic'!$Q$2:$U$542,4,FALSE)</f>
        <v>0.308</v>
      </c>
      <c r="H615">
        <f>VLOOKUP($D615,'[2]LC Dynamic'!$Q$2:$U$542,5,FALSE)</f>
        <v>0.69199999999999995</v>
      </c>
      <c r="I615" s="77">
        <f t="shared" si="1684"/>
        <v>1</v>
      </c>
      <c r="J615" s="77">
        <f t="shared" si="1685"/>
        <v>6.9728499999999985E-2</v>
      </c>
      <c r="K615" s="77">
        <f t="shared" si="1475"/>
        <v>5.632878498097682E-3</v>
      </c>
      <c r="L615" s="76">
        <v>0</v>
      </c>
      <c r="M615" s="77">
        <f t="shared" si="1695"/>
        <v>0</v>
      </c>
      <c r="N615" s="77">
        <f t="shared" si="1696"/>
        <v>0</v>
      </c>
      <c r="O615" s="77">
        <f t="shared" si="1697"/>
        <v>5.6775999999999997E-3</v>
      </c>
      <c r="P615" s="77">
        <f t="shared" si="1698"/>
        <v>4.7436902124819991E-4</v>
      </c>
      <c r="R615" t="s">
        <v>177</v>
      </c>
      <c r="S615" t="s">
        <v>179</v>
      </c>
      <c r="T615" s="197" t="str">
        <f t="shared" si="1467"/>
        <v>Autopilot_Dynamic_472</v>
      </c>
      <c r="U615">
        <v>472</v>
      </c>
      <c r="V615">
        <f>VLOOKUP($U615,'[2]AP Dynamic'!$Q$1:$T$542,2,FALSE)</f>
        <v>0.88888888888888884</v>
      </c>
      <c r="W615">
        <f>VLOOKUP($U615,'[2]AP Dynamic'!$Q$1:$T$542,3,FALSE)</f>
        <v>0.11111111111111116</v>
      </c>
      <c r="X615">
        <f>VLOOKUP($U615,'[2]AP Dynamic'!$Q$1:$T$542,4,FALSE)</f>
        <v>0</v>
      </c>
      <c r="Y615" s="77">
        <f t="shared" si="1468"/>
        <v>1</v>
      </c>
      <c r="Z615" s="77">
        <f t="shared" si="1476"/>
        <v>6.3149999999999984E-2</v>
      </c>
      <c r="AA615" s="77">
        <f t="shared" si="1477"/>
        <v>5.1160591879111372E-3</v>
      </c>
      <c r="AB615" s="79">
        <v>1</v>
      </c>
      <c r="AC615" s="77">
        <f t="shared" si="1699"/>
        <v>8.277777777777778E-3</v>
      </c>
      <c r="AD615" s="77">
        <f t="shared" ref="AD615" si="1720">1-(1-AC615)^(1/12)</f>
        <v>6.9244588451522482E-4</v>
      </c>
      <c r="AE615" s="77">
        <f t="shared" si="1701"/>
        <v>2.5000000000000001E-3</v>
      </c>
      <c r="AF615" s="77">
        <f t="shared" ref="AF615" si="1721">1-(1-AE615)^(1/12)</f>
        <v>2.0857243058891584E-4</v>
      </c>
      <c r="AH615" t="s">
        <v>175</v>
      </c>
      <c r="AI615" t="s">
        <v>179</v>
      </c>
      <c r="AJ615" s="197" t="str">
        <f t="shared" si="1688"/>
        <v>Lifecycle_Dynamic_472</v>
      </c>
      <c r="AK615">
        <v>472</v>
      </c>
      <c r="AL615">
        <f>VLOOKUP($U615,[2]Standard_Dynamic!$Q$1:$T$542,2,FALSE)</f>
        <v>0.88888888888888884</v>
      </c>
      <c r="AM615">
        <f>VLOOKUP($U615,[2]Standard_Dynamic!$Q$1:$T$542,3,FALSE)</f>
        <v>0.11111111111111116</v>
      </c>
      <c r="AN615">
        <f>VLOOKUP($U615,[2]Standard_Dynamic!$Q$1:$T$542,4,FALSE)</f>
        <v>0</v>
      </c>
      <c r="AO615" s="77">
        <f t="shared" si="1689"/>
        <v>1</v>
      </c>
      <c r="AP615" s="77">
        <f t="shared" si="1703"/>
        <v>6.3149999999999984E-2</v>
      </c>
      <c r="AQ615" s="77">
        <f t="shared" si="1690"/>
        <v>5.1160591879111372E-3</v>
      </c>
      <c r="AR615" s="79">
        <v>0</v>
      </c>
      <c r="AS615" s="77">
        <f t="shared" si="1704"/>
        <v>0</v>
      </c>
      <c r="AT615" s="77">
        <f t="shared" ref="AT615" si="1722">1-(1-AS615)^(1/12)</f>
        <v>0</v>
      </c>
      <c r="AU615" s="77">
        <f t="shared" si="1706"/>
        <v>2.5000000000000001E-3</v>
      </c>
      <c r="AV615" s="77">
        <f t="shared" ref="AV615" si="1723">1-(1-AU615)^(1/12)</f>
        <v>2.0857243058891584E-4</v>
      </c>
      <c r="AX615" t="s">
        <v>178</v>
      </c>
      <c r="AY615" t="s">
        <v>162</v>
      </c>
      <c r="AZ615" s="197" t="str">
        <f t="shared" si="1502"/>
        <v>DIS_Standard_472</v>
      </c>
      <c r="BA615">
        <v>472</v>
      </c>
      <c r="BB615">
        <f>VLOOKUP($BA615,'[2]Standard DIS'!$Q$1:$X$542,4,FALSE)</f>
        <v>0</v>
      </c>
      <c r="BF615">
        <f>VLOOKUP($BA615,'[2]Standard DIS'!$Q$1:$X$542,2,FALSE)</f>
        <v>0.88888888888888884</v>
      </c>
      <c r="BH615">
        <f>VLOOKUP($BA615,'[2]Standard DIS'!$Q$1:$X$542,3,FALSE)</f>
        <v>0.11111111111111116</v>
      </c>
      <c r="BI615" s="77">
        <f t="shared" si="1693"/>
        <v>1</v>
      </c>
      <c r="BJ615" s="77">
        <f t="shared" si="1694"/>
        <v>6.3149999999999984E-2</v>
      </c>
      <c r="BK615" s="77">
        <f t="shared" si="1503"/>
        <v>5.1160591879111372E-3</v>
      </c>
      <c r="BL615" s="79">
        <v>0</v>
      </c>
      <c r="BM615" s="77">
        <f t="shared" si="1708"/>
        <v>0</v>
      </c>
      <c r="BN615" s="77">
        <f t="shared" si="1709"/>
        <v>0</v>
      </c>
      <c r="BO615" s="77">
        <f t="shared" si="1710"/>
        <v>2.5000000000000001E-3</v>
      </c>
      <c r="BP615" s="77">
        <f t="shared" si="1711"/>
        <v>2.0809499864316017E-4</v>
      </c>
    </row>
    <row r="616" spans="1:68">
      <c r="A616" t="s">
        <v>175</v>
      </c>
      <c r="B616" t="s">
        <v>179</v>
      </c>
      <c r="C616" s="197" t="str">
        <f t="shared" si="1465"/>
        <v>Lifecycle_Dynamic_471</v>
      </c>
      <c r="D616">
        <v>471</v>
      </c>
      <c r="E616">
        <f>VLOOKUP($D616,'[2]LC Dynamic'!$Q$2:$U$542,2,FALSE)</f>
        <v>0</v>
      </c>
      <c r="F616">
        <f>VLOOKUP($D616,'[2]LC Dynamic'!$Q$2:$U$542,3,FALSE)</f>
        <v>0</v>
      </c>
      <c r="G616">
        <f>VLOOKUP($D616,'[2]LC Dynamic'!$Q$2:$U$542,4,FALSE)</f>
        <v>0.308</v>
      </c>
      <c r="H616">
        <f>VLOOKUP($D616,'[2]LC Dynamic'!$Q$2:$U$542,5,FALSE)</f>
        <v>0.69199999999999995</v>
      </c>
      <c r="I616" s="77">
        <f t="shared" si="1684"/>
        <v>1</v>
      </c>
      <c r="J616" s="77">
        <f t="shared" si="1685"/>
        <v>6.9728499999999985E-2</v>
      </c>
      <c r="K616" s="77">
        <f t="shared" si="1475"/>
        <v>5.632878498097682E-3</v>
      </c>
      <c r="L616" s="76">
        <v>0</v>
      </c>
      <c r="M616" s="77">
        <f t="shared" si="1695"/>
        <v>0</v>
      </c>
      <c r="N616" s="77">
        <f t="shared" si="1696"/>
        <v>0</v>
      </c>
      <c r="O616" s="77">
        <f t="shared" si="1697"/>
        <v>5.6775999999999997E-3</v>
      </c>
      <c r="P616" s="77">
        <f t="shared" si="1698"/>
        <v>4.7436902124819991E-4</v>
      </c>
      <c r="R616" t="s">
        <v>177</v>
      </c>
      <c r="S616" t="s">
        <v>179</v>
      </c>
      <c r="T616" s="197" t="str">
        <f t="shared" si="1467"/>
        <v>Autopilot_Dynamic_471</v>
      </c>
      <c r="U616">
        <v>471</v>
      </c>
      <c r="V616">
        <f>VLOOKUP($U616,'[2]AP Dynamic'!$Q$1:$T$542,2,FALSE)</f>
        <v>0.88888888888888884</v>
      </c>
      <c r="W616">
        <f>VLOOKUP($U616,'[2]AP Dynamic'!$Q$1:$T$542,3,FALSE)</f>
        <v>0.11111111111111116</v>
      </c>
      <c r="X616">
        <f>VLOOKUP($U616,'[2]AP Dynamic'!$Q$1:$T$542,4,FALSE)</f>
        <v>0</v>
      </c>
      <c r="Y616" s="77">
        <f t="shared" si="1468"/>
        <v>1</v>
      </c>
      <c r="Z616" s="77">
        <f t="shared" si="1476"/>
        <v>6.3149999999999984E-2</v>
      </c>
      <c r="AA616" s="77">
        <f t="shared" si="1477"/>
        <v>5.1160591879111372E-3</v>
      </c>
      <c r="AB616" s="79">
        <v>1</v>
      </c>
      <c r="AC616" s="77">
        <f t="shared" si="1699"/>
        <v>8.277777777777778E-3</v>
      </c>
      <c r="AD616" s="77">
        <f t="shared" ref="AD616" si="1724">1-(1-AC616)^(1/12)</f>
        <v>6.9244588451522482E-4</v>
      </c>
      <c r="AE616" s="77">
        <f t="shared" si="1701"/>
        <v>2.5000000000000001E-3</v>
      </c>
      <c r="AF616" s="77">
        <f t="shared" ref="AF616" si="1725">1-(1-AE616)^(1/12)</f>
        <v>2.0857243058891584E-4</v>
      </c>
      <c r="AH616" t="s">
        <v>175</v>
      </c>
      <c r="AI616" t="s">
        <v>179</v>
      </c>
      <c r="AJ616" s="197" t="str">
        <f t="shared" si="1688"/>
        <v>Lifecycle_Dynamic_471</v>
      </c>
      <c r="AK616">
        <v>471</v>
      </c>
      <c r="AL616">
        <f>VLOOKUP($U616,[2]Standard_Dynamic!$Q$1:$T$542,2,FALSE)</f>
        <v>0.88888888888888884</v>
      </c>
      <c r="AM616">
        <f>VLOOKUP($U616,[2]Standard_Dynamic!$Q$1:$T$542,3,FALSE)</f>
        <v>0.11111111111111116</v>
      </c>
      <c r="AN616">
        <f>VLOOKUP($U616,[2]Standard_Dynamic!$Q$1:$T$542,4,FALSE)</f>
        <v>0</v>
      </c>
      <c r="AO616" s="77">
        <f t="shared" si="1689"/>
        <v>1</v>
      </c>
      <c r="AP616" s="77">
        <f t="shared" si="1703"/>
        <v>6.3149999999999984E-2</v>
      </c>
      <c r="AQ616" s="77">
        <f t="shared" si="1690"/>
        <v>5.1160591879111372E-3</v>
      </c>
      <c r="AR616" s="79">
        <v>0</v>
      </c>
      <c r="AS616" s="77">
        <f t="shared" si="1704"/>
        <v>0</v>
      </c>
      <c r="AT616" s="77">
        <f t="shared" ref="AT616" si="1726">1-(1-AS616)^(1/12)</f>
        <v>0</v>
      </c>
      <c r="AU616" s="77">
        <f t="shared" si="1706"/>
        <v>2.5000000000000001E-3</v>
      </c>
      <c r="AV616" s="77">
        <f t="shared" ref="AV616" si="1727">1-(1-AU616)^(1/12)</f>
        <v>2.0857243058891584E-4</v>
      </c>
      <c r="AX616" t="s">
        <v>178</v>
      </c>
      <c r="AY616" t="s">
        <v>162</v>
      </c>
      <c r="AZ616" s="197" t="str">
        <f t="shared" si="1502"/>
        <v>DIS_Standard_471</v>
      </c>
      <c r="BA616">
        <v>471</v>
      </c>
      <c r="BB616">
        <f>VLOOKUP($BA616,'[2]Standard DIS'!$Q$1:$X$542,4,FALSE)</f>
        <v>0</v>
      </c>
      <c r="BF616">
        <f>VLOOKUP($BA616,'[2]Standard DIS'!$Q$1:$X$542,2,FALSE)</f>
        <v>0.88888888888888884</v>
      </c>
      <c r="BH616">
        <f>VLOOKUP($BA616,'[2]Standard DIS'!$Q$1:$X$542,3,FALSE)</f>
        <v>0.11111111111111116</v>
      </c>
      <c r="BI616" s="77">
        <f t="shared" si="1693"/>
        <v>1</v>
      </c>
      <c r="BJ616" s="77">
        <f t="shared" si="1694"/>
        <v>6.3149999999999984E-2</v>
      </c>
      <c r="BK616" s="77">
        <f t="shared" si="1503"/>
        <v>5.1160591879111372E-3</v>
      </c>
      <c r="BL616" s="79">
        <v>0</v>
      </c>
      <c r="BM616" s="77">
        <f t="shared" si="1708"/>
        <v>0</v>
      </c>
      <c r="BN616" s="77">
        <f t="shared" si="1709"/>
        <v>0</v>
      </c>
      <c r="BO616" s="77">
        <f t="shared" si="1710"/>
        <v>2.5000000000000001E-3</v>
      </c>
      <c r="BP616" s="77">
        <f t="shared" si="1711"/>
        <v>2.0809499864316017E-4</v>
      </c>
    </row>
    <row r="617" spans="1:68">
      <c r="A617" t="s">
        <v>175</v>
      </c>
      <c r="B617" t="s">
        <v>179</v>
      </c>
      <c r="C617" s="197" t="str">
        <f t="shared" si="1465"/>
        <v>Lifecycle_Dynamic_470</v>
      </c>
      <c r="D617">
        <v>470</v>
      </c>
      <c r="E617">
        <f>VLOOKUP($D617,'[2]LC Dynamic'!$Q$2:$U$542,2,FALSE)</f>
        <v>0</v>
      </c>
      <c r="F617">
        <f>VLOOKUP($D617,'[2]LC Dynamic'!$Q$2:$U$542,3,FALSE)</f>
        <v>0</v>
      </c>
      <c r="G617">
        <f>VLOOKUP($D617,'[2]LC Dynamic'!$Q$2:$U$542,4,FALSE)</f>
        <v>0.308</v>
      </c>
      <c r="H617">
        <f>VLOOKUP($D617,'[2]LC Dynamic'!$Q$2:$U$542,5,FALSE)</f>
        <v>0.69199999999999995</v>
      </c>
      <c r="I617" s="77">
        <f t="shared" si="1684"/>
        <v>1</v>
      </c>
      <c r="J617" s="77">
        <f t="shared" si="1685"/>
        <v>6.9728499999999985E-2</v>
      </c>
      <c r="K617" s="77">
        <f t="shared" si="1475"/>
        <v>5.632878498097682E-3</v>
      </c>
      <c r="L617" s="76">
        <v>0</v>
      </c>
      <c r="M617" s="77">
        <f t="shared" si="1695"/>
        <v>0</v>
      </c>
      <c r="N617" s="77">
        <f t="shared" si="1696"/>
        <v>0</v>
      </c>
      <c r="O617" s="77">
        <f t="shared" si="1697"/>
        <v>5.6775999999999997E-3</v>
      </c>
      <c r="P617" s="77">
        <f t="shared" si="1698"/>
        <v>4.7436902124819991E-4</v>
      </c>
      <c r="R617" t="s">
        <v>177</v>
      </c>
      <c r="S617" t="s">
        <v>179</v>
      </c>
      <c r="T617" s="197" t="str">
        <f t="shared" si="1467"/>
        <v>Autopilot_Dynamic_470</v>
      </c>
      <c r="U617">
        <v>470</v>
      </c>
      <c r="V617">
        <f>VLOOKUP($U617,'[2]AP Dynamic'!$Q$1:$T$542,2,FALSE)</f>
        <v>0.88888888888888884</v>
      </c>
      <c r="W617">
        <f>VLOOKUP($U617,'[2]AP Dynamic'!$Q$1:$T$542,3,FALSE)</f>
        <v>0.11111111111111116</v>
      </c>
      <c r="X617">
        <f>VLOOKUP($U617,'[2]AP Dynamic'!$Q$1:$T$542,4,FALSE)</f>
        <v>0</v>
      </c>
      <c r="Y617" s="77">
        <f t="shared" si="1468"/>
        <v>1</v>
      </c>
      <c r="Z617" s="77">
        <f t="shared" si="1476"/>
        <v>6.3149999999999984E-2</v>
      </c>
      <c r="AA617" s="77">
        <f t="shared" si="1477"/>
        <v>5.1160591879111372E-3</v>
      </c>
      <c r="AB617" s="79">
        <v>1</v>
      </c>
      <c r="AC617" s="77">
        <f t="shared" si="1699"/>
        <v>8.277777777777778E-3</v>
      </c>
      <c r="AD617" s="77">
        <f t="shared" ref="AD617" si="1728">1-(1-AC617)^(1/12)</f>
        <v>6.9244588451522482E-4</v>
      </c>
      <c r="AE617" s="77">
        <f t="shared" si="1701"/>
        <v>2.5000000000000001E-3</v>
      </c>
      <c r="AF617" s="77">
        <f t="shared" ref="AF617" si="1729">1-(1-AE617)^(1/12)</f>
        <v>2.0857243058891584E-4</v>
      </c>
      <c r="AH617" t="s">
        <v>175</v>
      </c>
      <c r="AI617" t="s">
        <v>179</v>
      </c>
      <c r="AJ617" s="197" t="str">
        <f t="shared" si="1688"/>
        <v>Lifecycle_Dynamic_470</v>
      </c>
      <c r="AK617">
        <v>470</v>
      </c>
      <c r="AL617">
        <f>VLOOKUP($U617,[2]Standard_Dynamic!$Q$1:$T$542,2,FALSE)</f>
        <v>0.88888888888888884</v>
      </c>
      <c r="AM617">
        <f>VLOOKUP($U617,[2]Standard_Dynamic!$Q$1:$T$542,3,FALSE)</f>
        <v>0.11111111111111116</v>
      </c>
      <c r="AN617">
        <f>VLOOKUP($U617,[2]Standard_Dynamic!$Q$1:$T$542,4,FALSE)</f>
        <v>0</v>
      </c>
      <c r="AO617" s="77">
        <f t="shared" si="1689"/>
        <v>1</v>
      </c>
      <c r="AP617" s="77">
        <f t="shared" si="1703"/>
        <v>6.3149999999999984E-2</v>
      </c>
      <c r="AQ617" s="77">
        <f t="shared" si="1690"/>
        <v>5.1160591879111372E-3</v>
      </c>
      <c r="AR617" s="79">
        <v>0</v>
      </c>
      <c r="AS617" s="77">
        <f t="shared" si="1704"/>
        <v>0</v>
      </c>
      <c r="AT617" s="77">
        <f t="shared" ref="AT617" si="1730">1-(1-AS617)^(1/12)</f>
        <v>0</v>
      </c>
      <c r="AU617" s="77">
        <f t="shared" si="1706"/>
        <v>2.5000000000000001E-3</v>
      </c>
      <c r="AV617" s="77">
        <f t="shared" ref="AV617" si="1731">1-(1-AU617)^(1/12)</f>
        <v>2.0857243058891584E-4</v>
      </c>
      <c r="AX617" t="s">
        <v>178</v>
      </c>
      <c r="AY617" t="s">
        <v>162</v>
      </c>
      <c r="AZ617" s="197" t="str">
        <f t="shared" si="1502"/>
        <v>DIS_Standard_470</v>
      </c>
      <c r="BA617">
        <v>470</v>
      </c>
      <c r="BB617">
        <f>VLOOKUP($BA617,'[2]Standard DIS'!$Q$1:$X$542,4,FALSE)</f>
        <v>0</v>
      </c>
      <c r="BF617">
        <f>VLOOKUP($BA617,'[2]Standard DIS'!$Q$1:$X$542,2,FALSE)</f>
        <v>0.88888888888888884</v>
      </c>
      <c r="BH617">
        <f>VLOOKUP($BA617,'[2]Standard DIS'!$Q$1:$X$542,3,FALSE)</f>
        <v>0.11111111111111116</v>
      </c>
      <c r="BI617" s="77">
        <f t="shared" si="1693"/>
        <v>1</v>
      </c>
      <c r="BJ617" s="77">
        <f t="shared" si="1694"/>
        <v>6.3149999999999984E-2</v>
      </c>
      <c r="BK617" s="77">
        <f t="shared" si="1503"/>
        <v>5.1160591879111372E-3</v>
      </c>
      <c r="BL617" s="79">
        <v>0</v>
      </c>
      <c r="BM617" s="77">
        <f t="shared" si="1708"/>
        <v>0</v>
      </c>
      <c r="BN617" s="77">
        <f t="shared" si="1709"/>
        <v>0</v>
      </c>
      <c r="BO617" s="77">
        <f t="shared" si="1710"/>
        <v>2.5000000000000001E-3</v>
      </c>
      <c r="BP617" s="77">
        <f t="shared" si="1711"/>
        <v>2.0809499864316017E-4</v>
      </c>
    </row>
    <row r="618" spans="1:68">
      <c r="A618" t="s">
        <v>175</v>
      </c>
      <c r="B618" t="s">
        <v>179</v>
      </c>
      <c r="C618" s="197" t="str">
        <f t="shared" si="1465"/>
        <v>Lifecycle_Dynamic_469</v>
      </c>
      <c r="D618">
        <v>469</v>
      </c>
      <c r="E618">
        <f>VLOOKUP($D618,'[2]LC Dynamic'!$Q$2:$U$542,2,FALSE)</f>
        <v>0</v>
      </c>
      <c r="F618">
        <f>VLOOKUP($D618,'[2]LC Dynamic'!$Q$2:$U$542,3,FALSE)</f>
        <v>0</v>
      </c>
      <c r="G618">
        <f>VLOOKUP($D618,'[2]LC Dynamic'!$Q$2:$U$542,4,FALSE)</f>
        <v>0.308</v>
      </c>
      <c r="H618">
        <f>VLOOKUP($D618,'[2]LC Dynamic'!$Q$2:$U$542,5,FALSE)</f>
        <v>0.69199999999999995</v>
      </c>
      <c r="I618" s="77">
        <f t="shared" si="1684"/>
        <v>1</v>
      </c>
      <c r="J618" s="77">
        <f t="shared" si="1685"/>
        <v>6.9728499999999985E-2</v>
      </c>
      <c r="K618" s="77">
        <f t="shared" si="1475"/>
        <v>5.632878498097682E-3</v>
      </c>
      <c r="L618" s="76">
        <v>0</v>
      </c>
      <c r="M618" s="77">
        <f t="shared" si="1695"/>
        <v>0</v>
      </c>
      <c r="N618" s="77">
        <f t="shared" si="1696"/>
        <v>0</v>
      </c>
      <c r="O618" s="77">
        <f t="shared" si="1697"/>
        <v>5.6775999999999997E-3</v>
      </c>
      <c r="P618" s="77">
        <f t="shared" si="1698"/>
        <v>4.7436902124819991E-4</v>
      </c>
      <c r="R618" t="s">
        <v>177</v>
      </c>
      <c r="S618" t="s">
        <v>179</v>
      </c>
      <c r="T618" s="197" t="str">
        <f t="shared" si="1467"/>
        <v>Autopilot_Dynamic_469</v>
      </c>
      <c r="U618">
        <v>469</v>
      </c>
      <c r="V618">
        <f>VLOOKUP($U618,'[2]AP Dynamic'!$Q$1:$T$542,2,FALSE)</f>
        <v>0.88888888888888884</v>
      </c>
      <c r="W618">
        <f>VLOOKUP($U618,'[2]AP Dynamic'!$Q$1:$T$542,3,FALSE)</f>
        <v>0.11111111111111116</v>
      </c>
      <c r="X618">
        <f>VLOOKUP($U618,'[2]AP Dynamic'!$Q$1:$T$542,4,FALSE)</f>
        <v>0</v>
      </c>
      <c r="Y618" s="77">
        <f t="shared" si="1468"/>
        <v>1</v>
      </c>
      <c r="Z618" s="77">
        <f t="shared" si="1476"/>
        <v>6.3149999999999984E-2</v>
      </c>
      <c r="AA618" s="77">
        <f t="shared" si="1477"/>
        <v>5.1160591879111372E-3</v>
      </c>
      <c r="AB618" s="79">
        <v>1</v>
      </c>
      <c r="AC618" s="77">
        <f t="shared" si="1699"/>
        <v>8.277777777777778E-3</v>
      </c>
      <c r="AD618" s="77">
        <f t="shared" ref="AD618" si="1732">1-(1-AC618)^(1/12)</f>
        <v>6.9244588451522482E-4</v>
      </c>
      <c r="AE618" s="77">
        <f t="shared" si="1701"/>
        <v>2.5000000000000001E-3</v>
      </c>
      <c r="AF618" s="77">
        <f t="shared" ref="AF618" si="1733">1-(1-AE618)^(1/12)</f>
        <v>2.0857243058891584E-4</v>
      </c>
      <c r="AH618" t="s">
        <v>175</v>
      </c>
      <c r="AI618" t="s">
        <v>179</v>
      </c>
      <c r="AJ618" s="197" t="str">
        <f t="shared" si="1688"/>
        <v>Lifecycle_Dynamic_469</v>
      </c>
      <c r="AK618">
        <v>469</v>
      </c>
      <c r="AL618">
        <f>VLOOKUP($U618,[2]Standard_Dynamic!$Q$1:$T$542,2,FALSE)</f>
        <v>0.88888888888888884</v>
      </c>
      <c r="AM618">
        <f>VLOOKUP($U618,[2]Standard_Dynamic!$Q$1:$T$542,3,FALSE)</f>
        <v>0.11111111111111116</v>
      </c>
      <c r="AN618">
        <f>VLOOKUP($U618,[2]Standard_Dynamic!$Q$1:$T$542,4,FALSE)</f>
        <v>0</v>
      </c>
      <c r="AO618" s="77">
        <f t="shared" si="1689"/>
        <v>1</v>
      </c>
      <c r="AP618" s="77">
        <f t="shared" si="1703"/>
        <v>6.3149999999999984E-2</v>
      </c>
      <c r="AQ618" s="77">
        <f t="shared" si="1690"/>
        <v>5.1160591879111372E-3</v>
      </c>
      <c r="AR618" s="79">
        <v>0</v>
      </c>
      <c r="AS618" s="77">
        <f t="shared" si="1704"/>
        <v>0</v>
      </c>
      <c r="AT618" s="77">
        <f t="shared" ref="AT618" si="1734">1-(1-AS618)^(1/12)</f>
        <v>0</v>
      </c>
      <c r="AU618" s="77">
        <f t="shared" si="1706"/>
        <v>2.5000000000000001E-3</v>
      </c>
      <c r="AV618" s="77">
        <f t="shared" ref="AV618" si="1735">1-(1-AU618)^(1/12)</f>
        <v>2.0857243058891584E-4</v>
      </c>
      <c r="AX618" t="s">
        <v>178</v>
      </c>
      <c r="AY618" t="s">
        <v>162</v>
      </c>
      <c r="AZ618" s="197" t="str">
        <f t="shared" si="1502"/>
        <v>DIS_Standard_469</v>
      </c>
      <c r="BA618">
        <v>469</v>
      </c>
      <c r="BB618">
        <f>VLOOKUP($BA618,'[2]Standard DIS'!$Q$1:$X$542,4,FALSE)</f>
        <v>0</v>
      </c>
      <c r="BF618">
        <f>VLOOKUP($BA618,'[2]Standard DIS'!$Q$1:$X$542,2,FALSE)</f>
        <v>0.88888888888888884</v>
      </c>
      <c r="BH618">
        <f>VLOOKUP($BA618,'[2]Standard DIS'!$Q$1:$X$542,3,FALSE)</f>
        <v>0.11111111111111116</v>
      </c>
      <c r="BI618" s="77">
        <f t="shared" si="1693"/>
        <v>1</v>
      </c>
      <c r="BJ618" s="77">
        <f t="shared" si="1694"/>
        <v>6.3149999999999984E-2</v>
      </c>
      <c r="BK618" s="77">
        <f t="shared" si="1503"/>
        <v>5.1160591879111372E-3</v>
      </c>
      <c r="BL618" s="79">
        <v>0</v>
      </c>
      <c r="BM618" s="77">
        <f t="shared" si="1708"/>
        <v>0</v>
      </c>
      <c r="BN618" s="77">
        <f t="shared" si="1709"/>
        <v>0</v>
      </c>
      <c r="BO618" s="77">
        <f t="shared" si="1710"/>
        <v>2.5000000000000001E-3</v>
      </c>
      <c r="BP618" s="77">
        <f t="shared" si="1711"/>
        <v>2.0809499864316017E-4</v>
      </c>
    </row>
    <row r="619" spans="1:68">
      <c r="A619" t="s">
        <v>175</v>
      </c>
      <c r="B619" t="s">
        <v>179</v>
      </c>
      <c r="C619" s="197" t="str">
        <f t="shared" si="1465"/>
        <v>Lifecycle_Dynamic_468</v>
      </c>
      <c r="D619">
        <v>468</v>
      </c>
      <c r="E619">
        <f>VLOOKUP($D619,'[2]LC Dynamic'!$Q$2:$U$542,2,FALSE)</f>
        <v>0</v>
      </c>
      <c r="F619">
        <f>VLOOKUP($D619,'[2]LC Dynamic'!$Q$2:$U$542,3,FALSE)</f>
        <v>0</v>
      </c>
      <c r="G619">
        <f>VLOOKUP($D619,'[2]LC Dynamic'!$Q$2:$U$542,4,FALSE)</f>
        <v>0.308</v>
      </c>
      <c r="H619">
        <f>VLOOKUP($D619,'[2]LC Dynamic'!$Q$2:$U$542,5,FALSE)</f>
        <v>0.69199999999999995</v>
      </c>
      <c r="I619" s="77">
        <f t="shared" si="1684"/>
        <v>1</v>
      </c>
      <c r="J619" s="77">
        <f t="shared" si="1685"/>
        <v>6.9728499999999985E-2</v>
      </c>
      <c r="K619" s="77">
        <f t="shared" si="1475"/>
        <v>5.632878498097682E-3</v>
      </c>
      <c r="L619" s="76">
        <v>0</v>
      </c>
      <c r="M619" s="77">
        <f t="shared" si="1695"/>
        <v>0</v>
      </c>
      <c r="N619" s="77">
        <f t="shared" si="1696"/>
        <v>0</v>
      </c>
      <c r="O619" s="77">
        <f t="shared" si="1697"/>
        <v>5.6775999999999997E-3</v>
      </c>
      <c r="P619" s="77">
        <f t="shared" si="1698"/>
        <v>4.7436902124819991E-4</v>
      </c>
      <c r="R619" t="s">
        <v>177</v>
      </c>
      <c r="S619" t="s">
        <v>179</v>
      </c>
      <c r="T619" s="197" t="str">
        <f t="shared" si="1467"/>
        <v>Autopilot_Dynamic_468</v>
      </c>
      <c r="U619">
        <v>468</v>
      </c>
      <c r="V619">
        <f>VLOOKUP($U619,'[2]AP Dynamic'!$Q$1:$T$542,2,FALSE)</f>
        <v>0.88888888888888884</v>
      </c>
      <c r="W619">
        <f>VLOOKUP($U619,'[2]AP Dynamic'!$Q$1:$T$542,3,FALSE)</f>
        <v>0.11111111111111116</v>
      </c>
      <c r="X619">
        <f>VLOOKUP($U619,'[2]AP Dynamic'!$Q$1:$T$542,4,FALSE)</f>
        <v>0</v>
      </c>
      <c r="Y619" s="77">
        <f t="shared" si="1468"/>
        <v>1</v>
      </c>
      <c r="Z619" s="77">
        <f t="shared" si="1476"/>
        <v>6.3149999999999984E-2</v>
      </c>
      <c r="AA619" s="77">
        <f t="shared" si="1477"/>
        <v>5.1160591879111372E-3</v>
      </c>
      <c r="AB619" s="79">
        <v>1</v>
      </c>
      <c r="AC619" s="77">
        <f t="shared" si="1699"/>
        <v>8.277777777777778E-3</v>
      </c>
      <c r="AD619" s="77">
        <f t="shared" ref="AD619" si="1736">1-(1-AC619)^(1/12)</f>
        <v>6.9244588451522482E-4</v>
      </c>
      <c r="AE619" s="77">
        <f t="shared" si="1701"/>
        <v>2.5000000000000001E-3</v>
      </c>
      <c r="AF619" s="77">
        <f t="shared" ref="AF619" si="1737">1-(1-AE619)^(1/12)</f>
        <v>2.0857243058891584E-4</v>
      </c>
      <c r="AH619" t="s">
        <v>175</v>
      </c>
      <c r="AI619" t="s">
        <v>179</v>
      </c>
      <c r="AJ619" s="197" t="str">
        <f t="shared" si="1688"/>
        <v>Lifecycle_Dynamic_468</v>
      </c>
      <c r="AK619">
        <v>468</v>
      </c>
      <c r="AL619">
        <f>VLOOKUP($U619,[2]Standard_Dynamic!$Q$1:$T$542,2,FALSE)</f>
        <v>0.88888888888888884</v>
      </c>
      <c r="AM619">
        <f>VLOOKUP($U619,[2]Standard_Dynamic!$Q$1:$T$542,3,FALSE)</f>
        <v>0.11111111111111116</v>
      </c>
      <c r="AN619">
        <f>VLOOKUP($U619,[2]Standard_Dynamic!$Q$1:$T$542,4,FALSE)</f>
        <v>0</v>
      </c>
      <c r="AO619" s="77">
        <f t="shared" si="1689"/>
        <v>1</v>
      </c>
      <c r="AP619" s="77">
        <f t="shared" si="1703"/>
        <v>6.3149999999999984E-2</v>
      </c>
      <c r="AQ619" s="77">
        <f t="shared" si="1690"/>
        <v>5.1160591879111372E-3</v>
      </c>
      <c r="AR619" s="79">
        <v>0</v>
      </c>
      <c r="AS619" s="77">
        <f t="shared" si="1704"/>
        <v>0</v>
      </c>
      <c r="AT619" s="77">
        <f t="shared" ref="AT619" si="1738">1-(1-AS619)^(1/12)</f>
        <v>0</v>
      </c>
      <c r="AU619" s="77">
        <f t="shared" si="1706"/>
        <v>2.5000000000000001E-3</v>
      </c>
      <c r="AV619" s="77">
        <f t="shared" ref="AV619" si="1739">1-(1-AU619)^(1/12)</f>
        <v>2.0857243058891584E-4</v>
      </c>
      <c r="AX619" t="s">
        <v>178</v>
      </c>
      <c r="AY619" t="s">
        <v>162</v>
      </c>
      <c r="AZ619" s="197" t="str">
        <f t="shared" si="1502"/>
        <v>DIS_Standard_468</v>
      </c>
      <c r="BA619">
        <v>468</v>
      </c>
      <c r="BB619">
        <f>VLOOKUP($BA619,'[2]Standard DIS'!$Q$1:$X$542,4,FALSE)</f>
        <v>0</v>
      </c>
      <c r="BF619">
        <f>VLOOKUP($BA619,'[2]Standard DIS'!$Q$1:$X$542,2,FALSE)</f>
        <v>0.88888888888888884</v>
      </c>
      <c r="BH619">
        <f>VLOOKUP($BA619,'[2]Standard DIS'!$Q$1:$X$542,3,FALSE)</f>
        <v>0.11111111111111116</v>
      </c>
      <c r="BI619" s="77">
        <f t="shared" si="1693"/>
        <v>1</v>
      </c>
      <c r="BJ619" s="77">
        <f t="shared" si="1694"/>
        <v>6.3149999999999984E-2</v>
      </c>
      <c r="BK619" s="77">
        <f t="shared" si="1503"/>
        <v>5.1160591879111372E-3</v>
      </c>
      <c r="BL619" s="79">
        <v>0</v>
      </c>
      <c r="BM619" s="77">
        <f t="shared" si="1708"/>
        <v>0</v>
      </c>
      <c r="BN619" s="77">
        <f t="shared" si="1709"/>
        <v>0</v>
      </c>
      <c r="BO619" s="77">
        <f t="shared" si="1710"/>
        <v>2.5000000000000001E-3</v>
      </c>
      <c r="BP619" s="77">
        <f t="shared" si="1711"/>
        <v>2.0809499864316017E-4</v>
      </c>
    </row>
    <row r="620" spans="1:68">
      <c r="A620" t="s">
        <v>175</v>
      </c>
      <c r="B620" t="s">
        <v>179</v>
      </c>
      <c r="C620" s="197" t="str">
        <f t="shared" si="1465"/>
        <v>Lifecycle_Dynamic_467</v>
      </c>
      <c r="D620">
        <v>467</v>
      </c>
      <c r="E620">
        <f>VLOOKUP($D620,'[2]LC Dynamic'!$Q$2:$U$542,2,FALSE)</f>
        <v>0</v>
      </c>
      <c r="F620">
        <f>VLOOKUP($D620,'[2]LC Dynamic'!$Q$2:$U$542,3,FALSE)</f>
        <v>0</v>
      </c>
      <c r="G620">
        <f>VLOOKUP($D620,'[2]LC Dynamic'!$Q$2:$U$542,4,FALSE)</f>
        <v>0.308</v>
      </c>
      <c r="H620">
        <f>VLOOKUP($D620,'[2]LC Dynamic'!$Q$2:$U$542,5,FALSE)</f>
        <v>0.69199999999999995</v>
      </c>
      <c r="I620" s="77">
        <f t="shared" si="1684"/>
        <v>1</v>
      </c>
      <c r="J620" s="77">
        <f t="shared" si="1685"/>
        <v>6.9728499999999985E-2</v>
      </c>
      <c r="K620" s="77">
        <f t="shared" si="1475"/>
        <v>5.632878498097682E-3</v>
      </c>
      <c r="L620" s="76">
        <v>0</v>
      </c>
      <c r="M620" s="77">
        <f t="shared" si="1695"/>
        <v>0</v>
      </c>
      <c r="N620" s="77">
        <f t="shared" si="1696"/>
        <v>0</v>
      </c>
      <c r="O620" s="77">
        <f t="shared" si="1697"/>
        <v>5.6775999999999997E-3</v>
      </c>
      <c r="P620" s="77">
        <f t="shared" si="1698"/>
        <v>4.7436902124819991E-4</v>
      </c>
      <c r="R620" t="s">
        <v>177</v>
      </c>
      <c r="S620" t="s">
        <v>179</v>
      </c>
      <c r="T620" s="197" t="str">
        <f t="shared" si="1467"/>
        <v>Autopilot_Dynamic_467</v>
      </c>
      <c r="U620">
        <v>467</v>
      </c>
      <c r="V620">
        <f>VLOOKUP($U620,'[2]AP Dynamic'!$Q$1:$T$542,2,FALSE)</f>
        <v>0.88888888888888884</v>
      </c>
      <c r="W620">
        <f>VLOOKUP($U620,'[2]AP Dynamic'!$Q$1:$T$542,3,FALSE)</f>
        <v>0.11111111111111116</v>
      </c>
      <c r="X620">
        <f>VLOOKUP($U620,'[2]AP Dynamic'!$Q$1:$T$542,4,FALSE)</f>
        <v>0</v>
      </c>
      <c r="Y620" s="77">
        <f t="shared" si="1468"/>
        <v>1</v>
      </c>
      <c r="Z620" s="77">
        <f t="shared" si="1476"/>
        <v>6.3149999999999984E-2</v>
      </c>
      <c r="AA620" s="77">
        <f t="shared" si="1477"/>
        <v>5.1160591879111372E-3</v>
      </c>
      <c r="AB620" s="79">
        <v>1</v>
      </c>
      <c r="AC620" s="77">
        <f t="shared" si="1699"/>
        <v>8.277777777777778E-3</v>
      </c>
      <c r="AD620" s="77">
        <f t="shared" ref="AD620" si="1740">1-(1-AC620)^(1/12)</f>
        <v>6.9244588451522482E-4</v>
      </c>
      <c r="AE620" s="77">
        <f t="shared" si="1701"/>
        <v>2.5000000000000001E-3</v>
      </c>
      <c r="AF620" s="77">
        <f t="shared" ref="AF620" si="1741">1-(1-AE620)^(1/12)</f>
        <v>2.0857243058891584E-4</v>
      </c>
      <c r="AH620" t="s">
        <v>175</v>
      </c>
      <c r="AI620" t="s">
        <v>179</v>
      </c>
      <c r="AJ620" s="197" t="str">
        <f t="shared" si="1688"/>
        <v>Lifecycle_Dynamic_467</v>
      </c>
      <c r="AK620">
        <v>467</v>
      </c>
      <c r="AL620">
        <f>VLOOKUP($U620,[2]Standard_Dynamic!$Q$1:$T$542,2,FALSE)</f>
        <v>0.88888888888888884</v>
      </c>
      <c r="AM620">
        <f>VLOOKUP($U620,[2]Standard_Dynamic!$Q$1:$T$542,3,FALSE)</f>
        <v>0.11111111111111116</v>
      </c>
      <c r="AN620">
        <f>VLOOKUP($U620,[2]Standard_Dynamic!$Q$1:$T$542,4,FALSE)</f>
        <v>0</v>
      </c>
      <c r="AO620" s="77">
        <f t="shared" si="1689"/>
        <v>1</v>
      </c>
      <c r="AP620" s="77">
        <f t="shared" si="1703"/>
        <v>6.3149999999999984E-2</v>
      </c>
      <c r="AQ620" s="77">
        <f t="shared" si="1690"/>
        <v>5.1160591879111372E-3</v>
      </c>
      <c r="AR620" s="79">
        <v>0</v>
      </c>
      <c r="AS620" s="77">
        <f t="shared" si="1704"/>
        <v>0</v>
      </c>
      <c r="AT620" s="77">
        <f t="shared" ref="AT620" si="1742">1-(1-AS620)^(1/12)</f>
        <v>0</v>
      </c>
      <c r="AU620" s="77">
        <f t="shared" si="1706"/>
        <v>2.5000000000000001E-3</v>
      </c>
      <c r="AV620" s="77">
        <f t="shared" ref="AV620" si="1743">1-(1-AU620)^(1/12)</f>
        <v>2.0857243058891584E-4</v>
      </c>
      <c r="AX620" t="s">
        <v>178</v>
      </c>
      <c r="AY620" t="s">
        <v>162</v>
      </c>
      <c r="AZ620" s="197" t="str">
        <f t="shared" si="1502"/>
        <v>DIS_Standard_467</v>
      </c>
      <c r="BA620">
        <v>467</v>
      </c>
      <c r="BB620">
        <f>VLOOKUP($BA620,'[2]Standard DIS'!$Q$1:$X$542,4,FALSE)</f>
        <v>0</v>
      </c>
      <c r="BF620">
        <f>VLOOKUP($BA620,'[2]Standard DIS'!$Q$1:$X$542,2,FALSE)</f>
        <v>0.88888888888888884</v>
      </c>
      <c r="BH620">
        <f>VLOOKUP($BA620,'[2]Standard DIS'!$Q$1:$X$542,3,FALSE)</f>
        <v>0.11111111111111116</v>
      </c>
      <c r="BI620" s="77">
        <f t="shared" si="1693"/>
        <v>1</v>
      </c>
      <c r="BJ620" s="77">
        <f t="shared" si="1694"/>
        <v>6.3149999999999984E-2</v>
      </c>
      <c r="BK620" s="77">
        <f t="shared" si="1503"/>
        <v>5.1160591879111372E-3</v>
      </c>
      <c r="BL620" s="79">
        <v>0</v>
      </c>
      <c r="BM620" s="77">
        <f t="shared" si="1708"/>
        <v>0</v>
      </c>
      <c r="BN620" s="77">
        <f t="shared" si="1709"/>
        <v>0</v>
      </c>
      <c r="BO620" s="77">
        <f t="shared" si="1710"/>
        <v>2.5000000000000001E-3</v>
      </c>
      <c r="BP620" s="77">
        <f t="shared" si="1711"/>
        <v>2.0809499864316017E-4</v>
      </c>
    </row>
    <row r="621" spans="1:68">
      <c r="A621" t="s">
        <v>175</v>
      </c>
      <c r="B621" t="s">
        <v>179</v>
      </c>
      <c r="C621" s="197" t="str">
        <f t="shared" si="1465"/>
        <v>Lifecycle_Dynamic_466</v>
      </c>
      <c r="D621">
        <v>466</v>
      </c>
      <c r="E621">
        <f>VLOOKUP($D621,'[2]LC Dynamic'!$Q$2:$U$542,2,FALSE)</f>
        <v>0</v>
      </c>
      <c r="F621">
        <f>VLOOKUP($D621,'[2]LC Dynamic'!$Q$2:$U$542,3,FALSE)</f>
        <v>0</v>
      </c>
      <c r="G621">
        <f>VLOOKUP($D621,'[2]LC Dynamic'!$Q$2:$U$542,4,FALSE)</f>
        <v>0.308</v>
      </c>
      <c r="H621">
        <f>VLOOKUP($D621,'[2]LC Dynamic'!$Q$2:$U$542,5,FALSE)</f>
        <v>0.69199999999999995</v>
      </c>
      <c r="I621" s="77">
        <f t="shared" si="1684"/>
        <v>1</v>
      </c>
      <c r="J621" s="77">
        <f t="shared" si="1685"/>
        <v>6.9728499999999985E-2</v>
      </c>
      <c r="K621" s="77">
        <f t="shared" si="1475"/>
        <v>5.632878498097682E-3</v>
      </c>
      <c r="L621" s="76">
        <v>0</v>
      </c>
      <c r="M621" s="77">
        <f t="shared" si="1695"/>
        <v>0</v>
      </c>
      <c r="N621" s="77">
        <f t="shared" si="1696"/>
        <v>0</v>
      </c>
      <c r="O621" s="77">
        <f t="shared" si="1697"/>
        <v>5.6775999999999997E-3</v>
      </c>
      <c r="P621" s="77">
        <f t="shared" si="1698"/>
        <v>4.7436902124819991E-4</v>
      </c>
      <c r="R621" t="s">
        <v>177</v>
      </c>
      <c r="S621" t="s">
        <v>179</v>
      </c>
      <c r="T621" s="197" t="str">
        <f t="shared" si="1467"/>
        <v>Autopilot_Dynamic_466</v>
      </c>
      <c r="U621">
        <v>466</v>
      </c>
      <c r="V621">
        <f>VLOOKUP($U621,'[2]AP Dynamic'!$Q$1:$T$542,2,FALSE)</f>
        <v>0.88888888888888884</v>
      </c>
      <c r="W621">
        <f>VLOOKUP($U621,'[2]AP Dynamic'!$Q$1:$T$542,3,FALSE)</f>
        <v>0.11111111111111116</v>
      </c>
      <c r="X621">
        <f>VLOOKUP($U621,'[2]AP Dynamic'!$Q$1:$T$542,4,FALSE)</f>
        <v>0</v>
      </c>
      <c r="Y621" s="77">
        <f t="shared" si="1468"/>
        <v>1</v>
      </c>
      <c r="Z621" s="77">
        <f t="shared" si="1476"/>
        <v>6.3149999999999984E-2</v>
      </c>
      <c r="AA621" s="77">
        <f t="shared" si="1477"/>
        <v>5.1160591879111372E-3</v>
      </c>
      <c r="AB621" s="79">
        <v>1</v>
      </c>
      <c r="AC621" s="77">
        <f t="shared" si="1699"/>
        <v>8.277777777777778E-3</v>
      </c>
      <c r="AD621" s="77">
        <f t="shared" ref="AD621" si="1744">1-(1-AC621)^(1/12)</f>
        <v>6.9244588451522482E-4</v>
      </c>
      <c r="AE621" s="77">
        <f t="shared" si="1701"/>
        <v>2.5000000000000001E-3</v>
      </c>
      <c r="AF621" s="77">
        <f t="shared" ref="AF621" si="1745">1-(1-AE621)^(1/12)</f>
        <v>2.0857243058891584E-4</v>
      </c>
      <c r="AH621" t="s">
        <v>175</v>
      </c>
      <c r="AI621" t="s">
        <v>179</v>
      </c>
      <c r="AJ621" s="197" t="str">
        <f t="shared" si="1688"/>
        <v>Lifecycle_Dynamic_466</v>
      </c>
      <c r="AK621">
        <v>466</v>
      </c>
      <c r="AL621">
        <f>VLOOKUP($U621,[2]Standard_Dynamic!$Q$1:$T$542,2,FALSE)</f>
        <v>0.88888888888888884</v>
      </c>
      <c r="AM621">
        <f>VLOOKUP($U621,[2]Standard_Dynamic!$Q$1:$T$542,3,FALSE)</f>
        <v>0.11111111111111116</v>
      </c>
      <c r="AN621">
        <f>VLOOKUP($U621,[2]Standard_Dynamic!$Q$1:$T$542,4,FALSE)</f>
        <v>0</v>
      </c>
      <c r="AO621" s="77">
        <f t="shared" si="1689"/>
        <v>1</v>
      </c>
      <c r="AP621" s="77">
        <f t="shared" si="1703"/>
        <v>6.3149999999999984E-2</v>
      </c>
      <c r="AQ621" s="77">
        <f t="shared" si="1690"/>
        <v>5.1160591879111372E-3</v>
      </c>
      <c r="AR621" s="79">
        <v>0</v>
      </c>
      <c r="AS621" s="77">
        <f t="shared" si="1704"/>
        <v>0</v>
      </c>
      <c r="AT621" s="77">
        <f t="shared" ref="AT621" si="1746">1-(1-AS621)^(1/12)</f>
        <v>0</v>
      </c>
      <c r="AU621" s="77">
        <f t="shared" si="1706"/>
        <v>2.5000000000000001E-3</v>
      </c>
      <c r="AV621" s="77">
        <f t="shared" ref="AV621" si="1747">1-(1-AU621)^(1/12)</f>
        <v>2.0857243058891584E-4</v>
      </c>
      <c r="AX621" t="s">
        <v>178</v>
      </c>
      <c r="AY621" t="s">
        <v>162</v>
      </c>
      <c r="AZ621" s="197" t="str">
        <f t="shared" si="1502"/>
        <v>DIS_Standard_466</v>
      </c>
      <c r="BA621">
        <v>466</v>
      </c>
      <c r="BB621">
        <f>VLOOKUP($BA621,'[2]Standard DIS'!$Q$1:$X$542,4,FALSE)</f>
        <v>0</v>
      </c>
      <c r="BF621">
        <f>VLOOKUP($BA621,'[2]Standard DIS'!$Q$1:$X$542,2,FALSE)</f>
        <v>0.88888888888888884</v>
      </c>
      <c r="BH621">
        <f>VLOOKUP($BA621,'[2]Standard DIS'!$Q$1:$X$542,3,FALSE)</f>
        <v>0.11111111111111116</v>
      </c>
      <c r="BI621" s="77">
        <f t="shared" si="1693"/>
        <v>1</v>
      </c>
      <c r="BJ621" s="77">
        <f t="shared" si="1694"/>
        <v>6.3149999999999984E-2</v>
      </c>
      <c r="BK621" s="77">
        <f t="shared" si="1503"/>
        <v>5.1160591879111372E-3</v>
      </c>
      <c r="BL621" s="79">
        <v>0</v>
      </c>
      <c r="BM621" s="77">
        <f t="shared" si="1708"/>
        <v>0</v>
      </c>
      <c r="BN621" s="77">
        <f t="shared" si="1709"/>
        <v>0</v>
      </c>
      <c r="BO621" s="77">
        <f t="shared" si="1710"/>
        <v>2.5000000000000001E-3</v>
      </c>
      <c r="BP621" s="77">
        <f t="shared" si="1711"/>
        <v>2.0809499864316017E-4</v>
      </c>
    </row>
    <row r="622" spans="1:68">
      <c r="A622" t="s">
        <v>175</v>
      </c>
      <c r="B622" t="s">
        <v>179</v>
      </c>
      <c r="C622" s="197" t="str">
        <f t="shared" si="1465"/>
        <v>Lifecycle_Dynamic_465</v>
      </c>
      <c r="D622">
        <v>465</v>
      </c>
      <c r="E622">
        <f>VLOOKUP($D622,'[2]LC Dynamic'!$Q$2:$U$542,2,FALSE)</f>
        <v>0</v>
      </c>
      <c r="F622">
        <f>VLOOKUP($D622,'[2]LC Dynamic'!$Q$2:$U$542,3,FALSE)</f>
        <v>0</v>
      </c>
      <c r="G622">
        <f>VLOOKUP($D622,'[2]LC Dynamic'!$Q$2:$U$542,4,FALSE)</f>
        <v>0.308</v>
      </c>
      <c r="H622">
        <f>VLOOKUP($D622,'[2]LC Dynamic'!$Q$2:$U$542,5,FALSE)</f>
        <v>0.69199999999999995</v>
      </c>
      <c r="I622" s="77">
        <f t="shared" si="1684"/>
        <v>1</v>
      </c>
      <c r="J622" s="77">
        <f t="shared" si="1685"/>
        <v>6.9728499999999985E-2</v>
      </c>
      <c r="K622" s="77">
        <f t="shared" si="1475"/>
        <v>5.632878498097682E-3</v>
      </c>
      <c r="L622" s="76">
        <v>0</v>
      </c>
      <c r="M622" s="77">
        <f t="shared" si="1695"/>
        <v>0</v>
      </c>
      <c r="N622" s="77">
        <f t="shared" si="1696"/>
        <v>0</v>
      </c>
      <c r="O622" s="77">
        <f t="shared" si="1697"/>
        <v>5.6775999999999997E-3</v>
      </c>
      <c r="P622" s="77">
        <f t="shared" si="1698"/>
        <v>4.7436902124819991E-4</v>
      </c>
      <c r="R622" t="s">
        <v>177</v>
      </c>
      <c r="S622" t="s">
        <v>179</v>
      </c>
      <c r="T622" s="197" t="str">
        <f t="shared" si="1467"/>
        <v>Autopilot_Dynamic_465</v>
      </c>
      <c r="U622">
        <v>465</v>
      </c>
      <c r="V622">
        <f>VLOOKUP($U622,'[2]AP Dynamic'!$Q$1:$T$542,2,FALSE)</f>
        <v>0.88888888888888884</v>
      </c>
      <c r="W622">
        <f>VLOOKUP($U622,'[2]AP Dynamic'!$Q$1:$T$542,3,FALSE)</f>
        <v>0.11111111111111116</v>
      </c>
      <c r="X622">
        <f>VLOOKUP($U622,'[2]AP Dynamic'!$Q$1:$T$542,4,FALSE)</f>
        <v>0</v>
      </c>
      <c r="Y622" s="77">
        <f t="shared" si="1468"/>
        <v>1</v>
      </c>
      <c r="Z622" s="77">
        <f t="shared" si="1476"/>
        <v>6.3149999999999984E-2</v>
      </c>
      <c r="AA622" s="77">
        <f t="shared" si="1477"/>
        <v>5.1160591879111372E-3</v>
      </c>
      <c r="AB622" s="79">
        <v>1</v>
      </c>
      <c r="AC622" s="77">
        <f t="shared" si="1699"/>
        <v>8.277777777777778E-3</v>
      </c>
      <c r="AD622" s="77">
        <f t="shared" ref="AD622" si="1748">1-(1-AC622)^(1/12)</f>
        <v>6.9244588451522482E-4</v>
      </c>
      <c r="AE622" s="77">
        <f t="shared" si="1701"/>
        <v>2.5000000000000001E-3</v>
      </c>
      <c r="AF622" s="77">
        <f t="shared" ref="AF622" si="1749">1-(1-AE622)^(1/12)</f>
        <v>2.0857243058891584E-4</v>
      </c>
      <c r="AH622" t="s">
        <v>175</v>
      </c>
      <c r="AI622" t="s">
        <v>179</v>
      </c>
      <c r="AJ622" s="197" t="str">
        <f t="shared" si="1688"/>
        <v>Lifecycle_Dynamic_465</v>
      </c>
      <c r="AK622">
        <v>465</v>
      </c>
      <c r="AL622">
        <f>VLOOKUP($U622,[2]Standard_Dynamic!$Q$1:$T$542,2,FALSE)</f>
        <v>0.88888888888888884</v>
      </c>
      <c r="AM622">
        <f>VLOOKUP($U622,[2]Standard_Dynamic!$Q$1:$T$542,3,FALSE)</f>
        <v>0.11111111111111116</v>
      </c>
      <c r="AN622">
        <f>VLOOKUP($U622,[2]Standard_Dynamic!$Q$1:$T$542,4,FALSE)</f>
        <v>0</v>
      </c>
      <c r="AO622" s="77">
        <f t="shared" si="1689"/>
        <v>1</v>
      </c>
      <c r="AP622" s="77">
        <f t="shared" si="1703"/>
        <v>6.3149999999999984E-2</v>
      </c>
      <c r="AQ622" s="77">
        <f t="shared" si="1690"/>
        <v>5.1160591879111372E-3</v>
      </c>
      <c r="AR622" s="79">
        <v>0</v>
      </c>
      <c r="AS622" s="77">
        <f t="shared" si="1704"/>
        <v>0</v>
      </c>
      <c r="AT622" s="77">
        <f t="shared" ref="AT622" si="1750">1-(1-AS622)^(1/12)</f>
        <v>0</v>
      </c>
      <c r="AU622" s="77">
        <f t="shared" si="1706"/>
        <v>2.5000000000000001E-3</v>
      </c>
      <c r="AV622" s="77">
        <f t="shared" ref="AV622" si="1751">1-(1-AU622)^(1/12)</f>
        <v>2.0857243058891584E-4</v>
      </c>
      <c r="AX622" t="s">
        <v>178</v>
      </c>
      <c r="AY622" t="s">
        <v>162</v>
      </c>
      <c r="AZ622" s="197" t="str">
        <f t="shared" si="1502"/>
        <v>DIS_Standard_465</v>
      </c>
      <c r="BA622">
        <v>465</v>
      </c>
      <c r="BB622">
        <f>VLOOKUP($BA622,'[2]Standard DIS'!$Q$1:$X$542,4,FALSE)</f>
        <v>0</v>
      </c>
      <c r="BF622">
        <f>VLOOKUP($BA622,'[2]Standard DIS'!$Q$1:$X$542,2,FALSE)</f>
        <v>0.88888888888888884</v>
      </c>
      <c r="BH622">
        <f>VLOOKUP($BA622,'[2]Standard DIS'!$Q$1:$X$542,3,FALSE)</f>
        <v>0.11111111111111116</v>
      </c>
      <c r="BI622" s="77">
        <f t="shared" si="1693"/>
        <v>1</v>
      </c>
      <c r="BJ622" s="77">
        <f t="shared" si="1694"/>
        <v>6.3149999999999984E-2</v>
      </c>
      <c r="BK622" s="77">
        <f t="shared" si="1503"/>
        <v>5.1160591879111372E-3</v>
      </c>
      <c r="BL622" s="79">
        <v>0</v>
      </c>
      <c r="BM622" s="77">
        <f t="shared" si="1708"/>
        <v>0</v>
      </c>
      <c r="BN622" s="77">
        <f t="shared" si="1709"/>
        <v>0</v>
      </c>
      <c r="BO622" s="77">
        <f t="shared" si="1710"/>
        <v>2.5000000000000001E-3</v>
      </c>
      <c r="BP622" s="77">
        <f t="shared" si="1711"/>
        <v>2.0809499864316017E-4</v>
      </c>
    </row>
    <row r="623" spans="1:68">
      <c r="A623" t="s">
        <v>175</v>
      </c>
      <c r="B623" t="s">
        <v>179</v>
      </c>
      <c r="C623" s="197" t="str">
        <f t="shared" ref="C623:C686" si="1752">A623&amp;"_"&amp;B623&amp;"_"&amp;D623</f>
        <v>Lifecycle_Dynamic_464</v>
      </c>
      <c r="D623">
        <v>464</v>
      </c>
      <c r="E623">
        <f>VLOOKUP($D623,'[2]LC Dynamic'!$Q$2:$U$542,2,FALSE)</f>
        <v>0</v>
      </c>
      <c r="F623">
        <f>VLOOKUP($D623,'[2]LC Dynamic'!$Q$2:$U$542,3,FALSE)</f>
        <v>0</v>
      </c>
      <c r="G623">
        <f>VLOOKUP($D623,'[2]LC Dynamic'!$Q$2:$U$542,4,FALSE)</f>
        <v>0.308</v>
      </c>
      <c r="H623">
        <f>VLOOKUP($D623,'[2]LC Dynamic'!$Q$2:$U$542,5,FALSE)</f>
        <v>0.69199999999999995</v>
      </c>
      <c r="I623" s="77">
        <f t="shared" si="1684"/>
        <v>1</v>
      </c>
      <c r="J623" s="77">
        <f t="shared" si="1685"/>
        <v>6.9728499999999985E-2</v>
      </c>
      <c r="K623" s="77">
        <f t="shared" si="1475"/>
        <v>5.632878498097682E-3</v>
      </c>
      <c r="L623" s="76">
        <v>0</v>
      </c>
      <c r="M623" s="77">
        <f t="shared" si="1695"/>
        <v>0</v>
      </c>
      <c r="N623" s="77">
        <f t="shared" si="1696"/>
        <v>0</v>
      </c>
      <c r="O623" s="77">
        <f t="shared" si="1697"/>
        <v>5.6775999999999997E-3</v>
      </c>
      <c r="P623" s="77">
        <f t="shared" si="1698"/>
        <v>4.7436902124819991E-4</v>
      </c>
      <c r="R623" t="s">
        <v>177</v>
      </c>
      <c r="S623" t="s">
        <v>179</v>
      </c>
      <c r="T623" s="197" t="str">
        <f t="shared" ref="T623:T686" si="1753">R623&amp;"_"&amp;S623&amp;"_"&amp;U623</f>
        <v>Autopilot_Dynamic_464</v>
      </c>
      <c r="U623">
        <v>464</v>
      </c>
      <c r="V623">
        <f>VLOOKUP($U623,'[2]AP Dynamic'!$Q$1:$T$542,2,FALSE)</f>
        <v>0.88888888888888884</v>
      </c>
      <c r="W623">
        <f>VLOOKUP($U623,'[2]AP Dynamic'!$Q$1:$T$542,3,FALSE)</f>
        <v>0.11111111111111116</v>
      </c>
      <c r="X623">
        <f>VLOOKUP($U623,'[2]AP Dynamic'!$Q$1:$T$542,4,FALSE)</f>
        <v>0</v>
      </c>
      <c r="Y623" s="77">
        <f t="shared" ref="Y623:Y686" si="1754">SUM(V623:X623)</f>
        <v>1</v>
      </c>
      <c r="Z623" s="77">
        <f t="shared" si="1476"/>
        <v>6.3149999999999984E-2</v>
      </c>
      <c r="AA623" s="77">
        <f t="shared" si="1477"/>
        <v>5.1160591879111372E-3</v>
      </c>
      <c r="AB623" s="79">
        <v>1</v>
      </c>
      <c r="AC623" s="77">
        <f t="shared" si="1699"/>
        <v>8.277777777777778E-3</v>
      </c>
      <c r="AD623" s="77">
        <f t="shared" ref="AD623" si="1755">1-(1-AC623)^(1/12)</f>
        <v>6.9244588451522482E-4</v>
      </c>
      <c r="AE623" s="77">
        <f t="shared" si="1701"/>
        <v>2.5000000000000001E-3</v>
      </c>
      <c r="AF623" s="77">
        <f t="shared" ref="AF623" si="1756">1-(1-AE623)^(1/12)</f>
        <v>2.0857243058891584E-4</v>
      </c>
      <c r="AH623" t="s">
        <v>175</v>
      </c>
      <c r="AI623" t="s">
        <v>179</v>
      </c>
      <c r="AJ623" s="197" t="str">
        <f t="shared" si="1688"/>
        <v>Lifecycle_Dynamic_464</v>
      </c>
      <c r="AK623">
        <v>464</v>
      </c>
      <c r="AL623">
        <f>VLOOKUP($U623,[2]Standard_Dynamic!$Q$1:$T$542,2,FALSE)</f>
        <v>0.88888888888888884</v>
      </c>
      <c r="AM623">
        <f>VLOOKUP($U623,[2]Standard_Dynamic!$Q$1:$T$542,3,FALSE)</f>
        <v>0.11111111111111116</v>
      </c>
      <c r="AN623">
        <f>VLOOKUP($U623,[2]Standard_Dynamic!$Q$1:$T$542,4,FALSE)</f>
        <v>0</v>
      </c>
      <c r="AO623" s="77">
        <f t="shared" si="1689"/>
        <v>1</v>
      </c>
      <c r="AP623" s="77">
        <f t="shared" si="1703"/>
        <v>6.3149999999999984E-2</v>
      </c>
      <c r="AQ623" s="77">
        <f t="shared" si="1690"/>
        <v>5.1160591879111372E-3</v>
      </c>
      <c r="AR623" s="79">
        <v>0</v>
      </c>
      <c r="AS623" s="77">
        <f t="shared" si="1704"/>
        <v>0</v>
      </c>
      <c r="AT623" s="77">
        <f t="shared" ref="AT623" si="1757">1-(1-AS623)^(1/12)</f>
        <v>0</v>
      </c>
      <c r="AU623" s="77">
        <f t="shared" si="1706"/>
        <v>2.5000000000000001E-3</v>
      </c>
      <c r="AV623" s="77">
        <f t="shared" ref="AV623" si="1758">1-(1-AU623)^(1/12)</f>
        <v>2.0857243058891584E-4</v>
      </c>
      <c r="AX623" t="s">
        <v>178</v>
      </c>
      <c r="AY623" t="s">
        <v>162</v>
      </c>
      <c r="AZ623" s="197" t="str">
        <f t="shared" si="1502"/>
        <v>DIS_Standard_464</v>
      </c>
      <c r="BA623">
        <v>464</v>
      </c>
      <c r="BB623">
        <f>VLOOKUP($BA623,'[2]Standard DIS'!$Q$1:$X$542,4,FALSE)</f>
        <v>0</v>
      </c>
      <c r="BF623">
        <f>VLOOKUP($BA623,'[2]Standard DIS'!$Q$1:$X$542,2,FALSE)</f>
        <v>0.88888888888888884</v>
      </c>
      <c r="BH623">
        <f>VLOOKUP($BA623,'[2]Standard DIS'!$Q$1:$X$542,3,FALSE)</f>
        <v>0.11111111111111116</v>
      </c>
      <c r="BI623" s="77">
        <f t="shared" si="1693"/>
        <v>1</v>
      </c>
      <c r="BJ623" s="77">
        <f t="shared" si="1694"/>
        <v>6.3149999999999984E-2</v>
      </c>
      <c r="BK623" s="77">
        <f t="shared" si="1503"/>
        <v>5.1160591879111372E-3</v>
      </c>
      <c r="BL623" s="79">
        <v>0</v>
      </c>
      <c r="BM623" s="77">
        <f t="shared" si="1708"/>
        <v>0</v>
      </c>
      <c r="BN623" s="77">
        <f t="shared" si="1709"/>
        <v>0</v>
      </c>
      <c r="BO623" s="77">
        <f t="shared" si="1710"/>
        <v>2.5000000000000001E-3</v>
      </c>
      <c r="BP623" s="77">
        <f t="shared" si="1711"/>
        <v>2.0809499864316017E-4</v>
      </c>
    </row>
    <row r="624" spans="1:68">
      <c r="A624" t="s">
        <v>175</v>
      </c>
      <c r="B624" t="s">
        <v>179</v>
      </c>
      <c r="C624" s="197" t="str">
        <f t="shared" si="1752"/>
        <v>Lifecycle_Dynamic_463</v>
      </c>
      <c r="D624">
        <v>463</v>
      </c>
      <c r="E624">
        <f>VLOOKUP($D624,'[2]LC Dynamic'!$Q$2:$U$542,2,FALSE)</f>
        <v>0</v>
      </c>
      <c r="F624">
        <f>VLOOKUP($D624,'[2]LC Dynamic'!$Q$2:$U$542,3,FALSE)</f>
        <v>0</v>
      </c>
      <c r="G624">
        <f>VLOOKUP($D624,'[2]LC Dynamic'!$Q$2:$U$542,4,FALSE)</f>
        <v>0.308</v>
      </c>
      <c r="H624">
        <f>VLOOKUP($D624,'[2]LC Dynamic'!$Q$2:$U$542,5,FALSE)</f>
        <v>0.69199999999999995</v>
      </c>
      <c r="I624" s="77">
        <f t="shared" si="1684"/>
        <v>1</v>
      </c>
      <c r="J624" s="77">
        <f t="shared" si="1685"/>
        <v>6.9728499999999985E-2</v>
      </c>
      <c r="K624" s="77">
        <f t="shared" ref="K624:K687" si="1759">(1+J624)^(1/12)-1</f>
        <v>5.632878498097682E-3</v>
      </c>
      <c r="L624" s="76">
        <v>0</v>
      </c>
      <c r="M624" s="77">
        <f t="shared" si="1695"/>
        <v>0</v>
      </c>
      <c r="N624" s="77">
        <f t="shared" si="1696"/>
        <v>0</v>
      </c>
      <c r="O624" s="77">
        <f t="shared" si="1697"/>
        <v>5.6775999999999997E-3</v>
      </c>
      <c r="P624" s="77">
        <f t="shared" si="1698"/>
        <v>4.7436902124819991E-4</v>
      </c>
      <c r="R624" t="s">
        <v>177</v>
      </c>
      <c r="S624" t="s">
        <v>179</v>
      </c>
      <c r="T624" s="197" t="str">
        <f t="shared" si="1753"/>
        <v>Autopilot_Dynamic_463</v>
      </c>
      <c r="U624">
        <v>463</v>
      </c>
      <c r="V624">
        <f>VLOOKUP($U624,'[2]AP Dynamic'!$Q$1:$T$542,2,FALSE)</f>
        <v>0.88888888888888884</v>
      </c>
      <c r="W624">
        <f>VLOOKUP($U624,'[2]AP Dynamic'!$Q$1:$T$542,3,FALSE)</f>
        <v>0.11111111111111116</v>
      </c>
      <c r="X624">
        <f>VLOOKUP($U624,'[2]AP Dynamic'!$Q$1:$T$542,4,FALSE)</f>
        <v>0</v>
      </c>
      <c r="Y624" s="77">
        <f t="shared" si="1754"/>
        <v>1</v>
      </c>
      <c r="Z624" s="77">
        <f t="shared" ref="Z624:Z687" si="1760">SUMPRODUCT($V$1:$X$1,V624:X624)</f>
        <v>6.3149999999999984E-2</v>
      </c>
      <c r="AA624" s="77">
        <f t="shared" ref="AA624:AA687" si="1761">(1+Z624)^(1/12)-1</f>
        <v>5.1160591879111372E-3</v>
      </c>
      <c r="AB624" s="79">
        <v>1</v>
      </c>
      <c r="AC624" s="77">
        <f t="shared" si="1699"/>
        <v>8.277777777777778E-3</v>
      </c>
      <c r="AD624" s="77">
        <f t="shared" ref="AD624" si="1762">1-(1-AC624)^(1/12)</f>
        <v>6.9244588451522482E-4</v>
      </c>
      <c r="AE624" s="77">
        <f t="shared" si="1701"/>
        <v>2.5000000000000001E-3</v>
      </c>
      <c r="AF624" s="77">
        <f t="shared" ref="AF624" si="1763">1-(1-AE624)^(1/12)</f>
        <v>2.0857243058891584E-4</v>
      </c>
      <c r="AH624" t="s">
        <v>175</v>
      </c>
      <c r="AI624" t="s">
        <v>179</v>
      </c>
      <c r="AJ624" s="197" t="str">
        <f t="shared" si="1688"/>
        <v>Lifecycle_Dynamic_463</v>
      </c>
      <c r="AK624">
        <v>463</v>
      </c>
      <c r="AL624">
        <f>VLOOKUP($U624,[2]Standard_Dynamic!$Q$1:$T$542,2,FALSE)</f>
        <v>0.88888888888888884</v>
      </c>
      <c r="AM624">
        <f>VLOOKUP($U624,[2]Standard_Dynamic!$Q$1:$T$542,3,FALSE)</f>
        <v>0.11111111111111116</v>
      </c>
      <c r="AN624">
        <f>VLOOKUP($U624,[2]Standard_Dynamic!$Q$1:$T$542,4,FALSE)</f>
        <v>0</v>
      </c>
      <c r="AO624" s="77">
        <f t="shared" si="1689"/>
        <v>1</v>
      </c>
      <c r="AP624" s="77">
        <f t="shared" si="1703"/>
        <v>6.3149999999999984E-2</v>
      </c>
      <c r="AQ624" s="77">
        <f t="shared" si="1690"/>
        <v>5.1160591879111372E-3</v>
      </c>
      <c r="AR624" s="79">
        <v>0</v>
      </c>
      <c r="AS624" s="77">
        <f t="shared" si="1704"/>
        <v>0</v>
      </c>
      <c r="AT624" s="77">
        <f t="shared" ref="AT624" si="1764">1-(1-AS624)^(1/12)</f>
        <v>0</v>
      </c>
      <c r="AU624" s="77">
        <f t="shared" si="1706"/>
        <v>2.5000000000000001E-3</v>
      </c>
      <c r="AV624" s="77">
        <f t="shared" ref="AV624" si="1765">1-(1-AU624)^(1/12)</f>
        <v>2.0857243058891584E-4</v>
      </c>
      <c r="AX624" t="s">
        <v>178</v>
      </c>
      <c r="AY624" t="s">
        <v>162</v>
      </c>
      <c r="AZ624" s="197" t="str">
        <f t="shared" si="1502"/>
        <v>DIS_Standard_463</v>
      </c>
      <c r="BA624">
        <v>463</v>
      </c>
      <c r="BB624">
        <f>VLOOKUP($BA624,'[2]Standard DIS'!$Q$1:$X$542,4,FALSE)</f>
        <v>0</v>
      </c>
      <c r="BF624">
        <f>VLOOKUP($BA624,'[2]Standard DIS'!$Q$1:$X$542,2,FALSE)</f>
        <v>0.88888888888888884</v>
      </c>
      <c r="BH624">
        <f>VLOOKUP($BA624,'[2]Standard DIS'!$Q$1:$X$542,3,FALSE)</f>
        <v>0.11111111111111116</v>
      </c>
      <c r="BI624" s="77">
        <f t="shared" si="1693"/>
        <v>1</v>
      </c>
      <c r="BJ624" s="77">
        <f t="shared" si="1694"/>
        <v>6.3149999999999984E-2</v>
      </c>
      <c r="BK624" s="77">
        <f t="shared" si="1503"/>
        <v>5.1160591879111372E-3</v>
      </c>
      <c r="BL624" s="79">
        <v>0</v>
      </c>
      <c r="BM624" s="77">
        <f t="shared" si="1708"/>
        <v>0</v>
      </c>
      <c r="BN624" s="77">
        <f t="shared" si="1709"/>
        <v>0</v>
      </c>
      <c r="BO624" s="77">
        <f t="shared" si="1710"/>
        <v>2.5000000000000001E-3</v>
      </c>
      <c r="BP624" s="77">
        <f t="shared" si="1711"/>
        <v>2.0809499864316017E-4</v>
      </c>
    </row>
    <row r="625" spans="1:68">
      <c r="A625" t="s">
        <v>175</v>
      </c>
      <c r="B625" t="s">
        <v>179</v>
      </c>
      <c r="C625" s="197" t="str">
        <f t="shared" si="1752"/>
        <v>Lifecycle_Dynamic_462</v>
      </c>
      <c r="D625">
        <v>462</v>
      </c>
      <c r="E625">
        <f>VLOOKUP($D625,'[2]LC Dynamic'!$Q$2:$U$542,2,FALSE)</f>
        <v>0</v>
      </c>
      <c r="F625">
        <f>VLOOKUP($D625,'[2]LC Dynamic'!$Q$2:$U$542,3,FALSE)</f>
        <v>0</v>
      </c>
      <c r="G625">
        <f>VLOOKUP($D625,'[2]LC Dynamic'!$Q$2:$U$542,4,FALSE)</f>
        <v>0.308</v>
      </c>
      <c r="H625">
        <f>VLOOKUP($D625,'[2]LC Dynamic'!$Q$2:$U$542,5,FALSE)</f>
        <v>0.69199999999999995</v>
      </c>
      <c r="I625" s="77">
        <f t="shared" si="1684"/>
        <v>1</v>
      </c>
      <c r="J625" s="77">
        <f t="shared" si="1685"/>
        <v>6.9728499999999985E-2</v>
      </c>
      <c r="K625" s="77">
        <f t="shared" si="1759"/>
        <v>5.632878498097682E-3</v>
      </c>
      <c r="L625" s="76">
        <v>0</v>
      </c>
      <c r="M625" s="77">
        <f t="shared" si="1695"/>
        <v>0</v>
      </c>
      <c r="N625" s="77">
        <f t="shared" si="1696"/>
        <v>0</v>
      </c>
      <c r="O625" s="77">
        <f t="shared" si="1697"/>
        <v>5.6775999999999997E-3</v>
      </c>
      <c r="P625" s="77">
        <f t="shared" si="1698"/>
        <v>4.7436902124819991E-4</v>
      </c>
      <c r="R625" t="s">
        <v>177</v>
      </c>
      <c r="S625" t="s">
        <v>179</v>
      </c>
      <c r="T625" s="197" t="str">
        <f t="shared" si="1753"/>
        <v>Autopilot_Dynamic_462</v>
      </c>
      <c r="U625">
        <v>462</v>
      </c>
      <c r="V625">
        <f>VLOOKUP($U625,'[2]AP Dynamic'!$Q$1:$T$542,2,FALSE)</f>
        <v>0.88888888888888884</v>
      </c>
      <c r="W625">
        <f>VLOOKUP($U625,'[2]AP Dynamic'!$Q$1:$T$542,3,FALSE)</f>
        <v>0.11111111111111116</v>
      </c>
      <c r="X625">
        <f>VLOOKUP($U625,'[2]AP Dynamic'!$Q$1:$T$542,4,FALSE)</f>
        <v>0</v>
      </c>
      <c r="Y625" s="77">
        <f t="shared" si="1754"/>
        <v>1</v>
      </c>
      <c r="Z625" s="77">
        <f t="shared" si="1760"/>
        <v>6.3149999999999984E-2</v>
      </c>
      <c r="AA625" s="77">
        <f t="shared" si="1761"/>
        <v>5.1160591879111372E-3</v>
      </c>
      <c r="AB625" s="79">
        <v>1</v>
      </c>
      <c r="AC625" s="77">
        <f t="shared" si="1699"/>
        <v>8.277777777777778E-3</v>
      </c>
      <c r="AD625" s="77">
        <f t="shared" ref="AD625" si="1766">1-(1-AC625)^(1/12)</f>
        <v>6.9244588451522482E-4</v>
      </c>
      <c r="AE625" s="77">
        <f t="shared" si="1701"/>
        <v>2.5000000000000001E-3</v>
      </c>
      <c r="AF625" s="77">
        <f t="shared" ref="AF625" si="1767">1-(1-AE625)^(1/12)</f>
        <v>2.0857243058891584E-4</v>
      </c>
      <c r="AH625" t="s">
        <v>175</v>
      </c>
      <c r="AI625" t="s">
        <v>179</v>
      </c>
      <c r="AJ625" s="197" t="str">
        <f t="shared" si="1688"/>
        <v>Lifecycle_Dynamic_462</v>
      </c>
      <c r="AK625">
        <v>462</v>
      </c>
      <c r="AL625">
        <f>VLOOKUP($U625,[2]Standard_Dynamic!$Q$1:$T$542,2,FALSE)</f>
        <v>0.88888888888888884</v>
      </c>
      <c r="AM625">
        <f>VLOOKUP($U625,[2]Standard_Dynamic!$Q$1:$T$542,3,FALSE)</f>
        <v>0.11111111111111116</v>
      </c>
      <c r="AN625">
        <f>VLOOKUP($U625,[2]Standard_Dynamic!$Q$1:$T$542,4,FALSE)</f>
        <v>0</v>
      </c>
      <c r="AO625" s="77">
        <f t="shared" si="1689"/>
        <v>1</v>
      </c>
      <c r="AP625" s="77">
        <f t="shared" si="1703"/>
        <v>6.3149999999999984E-2</v>
      </c>
      <c r="AQ625" s="77">
        <f t="shared" si="1690"/>
        <v>5.1160591879111372E-3</v>
      </c>
      <c r="AR625" s="79">
        <v>0</v>
      </c>
      <c r="AS625" s="77">
        <f t="shared" si="1704"/>
        <v>0</v>
      </c>
      <c r="AT625" s="77">
        <f t="shared" ref="AT625" si="1768">1-(1-AS625)^(1/12)</f>
        <v>0</v>
      </c>
      <c r="AU625" s="77">
        <f t="shared" si="1706"/>
        <v>2.5000000000000001E-3</v>
      </c>
      <c r="AV625" s="77">
        <f t="shared" ref="AV625" si="1769">1-(1-AU625)^(1/12)</f>
        <v>2.0857243058891584E-4</v>
      </c>
      <c r="AX625" t="s">
        <v>178</v>
      </c>
      <c r="AY625" t="s">
        <v>162</v>
      </c>
      <c r="AZ625" s="197" t="str">
        <f t="shared" si="1502"/>
        <v>DIS_Standard_462</v>
      </c>
      <c r="BA625">
        <v>462</v>
      </c>
      <c r="BB625">
        <f>VLOOKUP($BA625,'[2]Standard DIS'!$Q$1:$X$542,4,FALSE)</f>
        <v>0</v>
      </c>
      <c r="BF625">
        <f>VLOOKUP($BA625,'[2]Standard DIS'!$Q$1:$X$542,2,FALSE)</f>
        <v>0.88888888888888884</v>
      </c>
      <c r="BH625">
        <f>VLOOKUP($BA625,'[2]Standard DIS'!$Q$1:$X$542,3,FALSE)</f>
        <v>0.11111111111111116</v>
      </c>
      <c r="BI625" s="77">
        <f t="shared" si="1693"/>
        <v>1</v>
      </c>
      <c r="BJ625" s="77">
        <f t="shared" si="1694"/>
        <v>6.3149999999999984E-2</v>
      </c>
      <c r="BK625" s="77">
        <f t="shared" si="1503"/>
        <v>5.1160591879111372E-3</v>
      </c>
      <c r="BL625" s="79">
        <v>0</v>
      </c>
      <c r="BM625" s="77">
        <f t="shared" si="1708"/>
        <v>0</v>
      </c>
      <c r="BN625" s="77">
        <f t="shared" si="1709"/>
        <v>0</v>
      </c>
      <c r="BO625" s="77">
        <f t="shared" si="1710"/>
        <v>2.5000000000000001E-3</v>
      </c>
      <c r="BP625" s="77">
        <f t="shared" si="1711"/>
        <v>2.0809499864316017E-4</v>
      </c>
    </row>
    <row r="626" spans="1:68">
      <c r="A626" t="s">
        <v>175</v>
      </c>
      <c r="B626" t="s">
        <v>179</v>
      </c>
      <c r="C626" s="197" t="str">
        <f t="shared" si="1752"/>
        <v>Lifecycle_Dynamic_461</v>
      </c>
      <c r="D626">
        <v>461</v>
      </c>
      <c r="E626">
        <f>VLOOKUP($D626,'[2]LC Dynamic'!$Q$2:$U$542,2,FALSE)</f>
        <v>0</v>
      </c>
      <c r="F626">
        <f>VLOOKUP($D626,'[2]LC Dynamic'!$Q$2:$U$542,3,FALSE)</f>
        <v>0</v>
      </c>
      <c r="G626">
        <f>VLOOKUP($D626,'[2]LC Dynamic'!$Q$2:$U$542,4,FALSE)</f>
        <v>0.308</v>
      </c>
      <c r="H626">
        <f>VLOOKUP($D626,'[2]LC Dynamic'!$Q$2:$U$542,5,FALSE)</f>
        <v>0.69199999999999995</v>
      </c>
      <c r="I626" s="77">
        <f t="shared" si="1684"/>
        <v>1</v>
      </c>
      <c r="J626" s="77">
        <f t="shared" si="1685"/>
        <v>6.9728499999999985E-2</v>
      </c>
      <c r="K626" s="77">
        <f t="shared" si="1759"/>
        <v>5.632878498097682E-3</v>
      </c>
      <c r="L626" s="76">
        <v>0</v>
      </c>
      <c r="M626" s="77">
        <f t="shared" si="1695"/>
        <v>0</v>
      </c>
      <c r="N626" s="77">
        <f t="shared" si="1696"/>
        <v>0</v>
      </c>
      <c r="O626" s="77">
        <f t="shared" si="1697"/>
        <v>5.6775999999999997E-3</v>
      </c>
      <c r="P626" s="77">
        <f t="shared" si="1698"/>
        <v>4.7436902124819991E-4</v>
      </c>
      <c r="R626" t="s">
        <v>177</v>
      </c>
      <c r="S626" t="s">
        <v>179</v>
      </c>
      <c r="T626" s="197" t="str">
        <f t="shared" si="1753"/>
        <v>Autopilot_Dynamic_461</v>
      </c>
      <c r="U626">
        <v>461</v>
      </c>
      <c r="V626">
        <f>VLOOKUP($U626,'[2]AP Dynamic'!$Q$1:$T$542,2,FALSE)</f>
        <v>0.88888888888888884</v>
      </c>
      <c r="W626">
        <f>VLOOKUP($U626,'[2]AP Dynamic'!$Q$1:$T$542,3,FALSE)</f>
        <v>0.11111111111111116</v>
      </c>
      <c r="X626">
        <f>VLOOKUP($U626,'[2]AP Dynamic'!$Q$1:$T$542,4,FALSE)</f>
        <v>0</v>
      </c>
      <c r="Y626" s="77">
        <f t="shared" si="1754"/>
        <v>1</v>
      </c>
      <c r="Z626" s="77">
        <f t="shared" si="1760"/>
        <v>6.3149999999999984E-2</v>
      </c>
      <c r="AA626" s="77">
        <f t="shared" si="1761"/>
        <v>5.1160591879111372E-3</v>
      </c>
      <c r="AB626" s="79">
        <v>1</v>
      </c>
      <c r="AC626" s="77">
        <f t="shared" si="1699"/>
        <v>8.277777777777778E-3</v>
      </c>
      <c r="AD626" s="77">
        <f t="shared" ref="AD626" si="1770">1-(1-AC626)^(1/12)</f>
        <v>6.9244588451522482E-4</v>
      </c>
      <c r="AE626" s="77">
        <f t="shared" si="1701"/>
        <v>2.5000000000000001E-3</v>
      </c>
      <c r="AF626" s="77">
        <f t="shared" ref="AF626" si="1771">1-(1-AE626)^(1/12)</f>
        <v>2.0857243058891584E-4</v>
      </c>
      <c r="AH626" t="s">
        <v>175</v>
      </c>
      <c r="AI626" t="s">
        <v>179</v>
      </c>
      <c r="AJ626" s="197" t="str">
        <f t="shared" si="1688"/>
        <v>Lifecycle_Dynamic_461</v>
      </c>
      <c r="AK626">
        <v>461</v>
      </c>
      <c r="AL626">
        <f>VLOOKUP($U626,[2]Standard_Dynamic!$Q$1:$T$542,2,FALSE)</f>
        <v>0.88888888888888884</v>
      </c>
      <c r="AM626">
        <f>VLOOKUP($U626,[2]Standard_Dynamic!$Q$1:$T$542,3,FALSE)</f>
        <v>0.11111111111111116</v>
      </c>
      <c r="AN626">
        <f>VLOOKUP($U626,[2]Standard_Dynamic!$Q$1:$T$542,4,FALSE)</f>
        <v>0</v>
      </c>
      <c r="AO626" s="77">
        <f t="shared" si="1689"/>
        <v>1</v>
      </c>
      <c r="AP626" s="77">
        <f t="shared" si="1703"/>
        <v>6.3149999999999984E-2</v>
      </c>
      <c r="AQ626" s="77">
        <f t="shared" si="1690"/>
        <v>5.1160591879111372E-3</v>
      </c>
      <c r="AR626" s="79">
        <v>0</v>
      </c>
      <c r="AS626" s="77">
        <f t="shared" si="1704"/>
        <v>0</v>
      </c>
      <c r="AT626" s="77">
        <f t="shared" ref="AT626" si="1772">1-(1-AS626)^(1/12)</f>
        <v>0</v>
      </c>
      <c r="AU626" s="77">
        <f t="shared" si="1706"/>
        <v>2.5000000000000001E-3</v>
      </c>
      <c r="AV626" s="77">
        <f t="shared" ref="AV626" si="1773">1-(1-AU626)^(1/12)</f>
        <v>2.0857243058891584E-4</v>
      </c>
      <c r="AX626" t="s">
        <v>178</v>
      </c>
      <c r="AY626" t="s">
        <v>162</v>
      </c>
      <c r="AZ626" s="197" t="str">
        <f t="shared" si="1502"/>
        <v>DIS_Standard_461</v>
      </c>
      <c r="BA626">
        <v>461</v>
      </c>
      <c r="BB626">
        <f>VLOOKUP($BA626,'[2]Standard DIS'!$Q$1:$X$542,4,FALSE)</f>
        <v>0</v>
      </c>
      <c r="BF626">
        <f>VLOOKUP($BA626,'[2]Standard DIS'!$Q$1:$X$542,2,FALSE)</f>
        <v>0.88888888888888884</v>
      </c>
      <c r="BH626">
        <f>VLOOKUP($BA626,'[2]Standard DIS'!$Q$1:$X$542,3,FALSE)</f>
        <v>0.11111111111111116</v>
      </c>
      <c r="BI626" s="77">
        <f t="shared" si="1693"/>
        <v>1</v>
      </c>
      <c r="BJ626" s="77">
        <f t="shared" si="1694"/>
        <v>6.3149999999999984E-2</v>
      </c>
      <c r="BK626" s="77">
        <f t="shared" si="1503"/>
        <v>5.1160591879111372E-3</v>
      </c>
      <c r="BL626" s="79">
        <v>0</v>
      </c>
      <c r="BM626" s="77">
        <f t="shared" si="1708"/>
        <v>0</v>
      </c>
      <c r="BN626" s="77">
        <f t="shared" si="1709"/>
        <v>0</v>
      </c>
      <c r="BO626" s="77">
        <f t="shared" si="1710"/>
        <v>2.5000000000000001E-3</v>
      </c>
      <c r="BP626" s="77">
        <f t="shared" si="1711"/>
        <v>2.0809499864316017E-4</v>
      </c>
    </row>
    <row r="627" spans="1:68">
      <c r="A627" t="s">
        <v>175</v>
      </c>
      <c r="B627" t="s">
        <v>179</v>
      </c>
      <c r="C627" s="197" t="str">
        <f t="shared" si="1752"/>
        <v>Lifecycle_Dynamic_460</v>
      </c>
      <c r="D627">
        <v>460</v>
      </c>
      <c r="E627">
        <f>VLOOKUP($D627,'[2]LC Dynamic'!$Q$2:$U$542,2,FALSE)</f>
        <v>0</v>
      </c>
      <c r="F627">
        <f>VLOOKUP($D627,'[2]LC Dynamic'!$Q$2:$U$542,3,FALSE)</f>
        <v>0</v>
      </c>
      <c r="G627">
        <f>VLOOKUP($D627,'[2]LC Dynamic'!$Q$2:$U$542,4,FALSE)</f>
        <v>0.308</v>
      </c>
      <c r="H627">
        <f>VLOOKUP($D627,'[2]LC Dynamic'!$Q$2:$U$542,5,FALSE)</f>
        <v>0.69199999999999995</v>
      </c>
      <c r="I627" s="77">
        <f t="shared" si="1684"/>
        <v>1</v>
      </c>
      <c r="J627" s="77">
        <f t="shared" si="1685"/>
        <v>6.9728499999999985E-2</v>
      </c>
      <c r="K627" s="77">
        <f t="shared" si="1759"/>
        <v>5.632878498097682E-3</v>
      </c>
      <c r="L627" s="76">
        <v>0</v>
      </c>
      <c r="M627" s="77">
        <f t="shared" si="1695"/>
        <v>0</v>
      </c>
      <c r="N627" s="77">
        <f t="shared" si="1696"/>
        <v>0</v>
      </c>
      <c r="O627" s="77">
        <f t="shared" si="1697"/>
        <v>5.6775999999999997E-3</v>
      </c>
      <c r="P627" s="77">
        <f t="shared" si="1698"/>
        <v>4.7436902124819991E-4</v>
      </c>
      <c r="R627" t="s">
        <v>177</v>
      </c>
      <c r="S627" t="s">
        <v>179</v>
      </c>
      <c r="T627" s="197" t="str">
        <f t="shared" si="1753"/>
        <v>Autopilot_Dynamic_460</v>
      </c>
      <c r="U627">
        <v>460</v>
      </c>
      <c r="V627">
        <f>VLOOKUP($U627,'[2]AP Dynamic'!$Q$1:$T$542,2,FALSE)</f>
        <v>0.88888888888888884</v>
      </c>
      <c r="W627">
        <f>VLOOKUP($U627,'[2]AP Dynamic'!$Q$1:$T$542,3,FALSE)</f>
        <v>0.11111111111111116</v>
      </c>
      <c r="X627">
        <f>VLOOKUP($U627,'[2]AP Dynamic'!$Q$1:$T$542,4,FALSE)</f>
        <v>0</v>
      </c>
      <c r="Y627" s="77">
        <f t="shared" si="1754"/>
        <v>1</v>
      </c>
      <c r="Z627" s="77">
        <f t="shared" si="1760"/>
        <v>6.3149999999999984E-2</v>
      </c>
      <c r="AA627" s="77">
        <f t="shared" si="1761"/>
        <v>5.1160591879111372E-3</v>
      </c>
      <c r="AB627" s="79">
        <v>1</v>
      </c>
      <c r="AC627" s="77">
        <f t="shared" si="1699"/>
        <v>8.277777777777778E-3</v>
      </c>
      <c r="AD627" s="77">
        <f t="shared" ref="AD627" si="1774">1-(1-AC627)^(1/12)</f>
        <v>6.9244588451522482E-4</v>
      </c>
      <c r="AE627" s="77">
        <f t="shared" si="1701"/>
        <v>2.5000000000000001E-3</v>
      </c>
      <c r="AF627" s="77">
        <f t="shared" ref="AF627" si="1775">1-(1-AE627)^(1/12)</f>
        <v>2.0857243058891584E-4</v>
      </c>
      <c r="AH627" t="s">
        <v>175</v>
      </c>
      <c r="AI627" t="s">
        <v>179</v>
      </c>
      <c r="AJ627" s="197" t="str">
        <f t="shared" si="1688"/>
        <v>Lifecycle_Dynamic_460</v>
      </c>
      <c r="AK627">
        <v>460</v>
      </c>
      <c r="AL627">
        <f>VLOOKUP($U627,[2]Standard_Dynamic!$Q$1:$T$542,2,FALSE)</f>
        <v>0.88888888888888884</v>
      </c>
      <c r="AM627">
        <f>VLOOKUP($U627,[2]Standard_Dynamic!$Q$1:$T$542,3,FALSE)</f>
        <v>0.11111111111111116</v>
      </c>
      <c r="AN627">
        <f>VLOOKUP($U627,[2]Standard_Dynamic!$Q$1:$T$542,4,FALSE)</f>
        <v>0</v>
      </c>
      <c r="AO627" s="77">
        <f t="shared" si="1689"/>
        <v>1</v>
      </c>
      <c r="AP627" s="77">
        <f t="shared" si="1703"/>
        <v>6.3149999999999984E-2</v>
      </c>
      <c r="AQ627" s="77">
        <f t="shared" si="1690"/>
        <v>5.1160591879111372E-3</v>
      </c>
      <c r="AR627" s="79">
        <v>0</v>
      </c>
      <c r="AS627" s="77">
        <f t="shared" si="1704"/>
        <v>0</v>
      </c>
      <c r="AT627" s="77">
        <f t="shared" ref="AT627" si="1776">1-(1-AS627)^(1/12)</f>
        <v>0</v>
      </c>
      <c r="AU627" s="77">
        <f t="shared" si="1706"/>
        <v>2.5000000000000001E-3</v>
      </c>
      <c r="AV627" s="77">
        <f t="shared" ref="AV627" si="1777">1-(1-AU627)^(1/12)</f>
        <v>2.0857243058891584E-4</v>
      </c>
      <c r="AX627" t="s">
        <v>178</v>
      </c>
      <c r="AY627" t="s">
        <v>162</v>
      </c>
      <c r="AZ627" s="197" t="str">
        <f t="shared" si="1502"/>
        <v>DIS_Standard_460</v>
      </c>
      <c r="BA627">
        <v>460</v>
      </c>
      <c r="BB627">
        <f>VLOOKUP($BA627,'[2]Standard DIS'!$Q$1:$X$542,4,FALSE)</f>
        <v>0</v>
      </c>
      <c r="BF627">
        <f>VLOOKUP($BA627,'[2]Standard DIS'!$Q$1:$X$542,2,FALSE)</f>
        <v>0.88888888888888884</v>
      </c>
      <c r="BH627">
        <f>VLOOKUP($BA627,'[2]Standard DIS'!$Q$1:$X$542,3,FALSE)</f>
        <v>0.11111111111111116</v>
      </c>
      <c r="BI627" s="77">
        <f t="shared" si="1693"/>
        <v>1</v>
      </c>
      <c r="BJ627" s="77">
        <f t="shared" si="1694"/>
        <v>6.3149999999999984E-2</v>
      </c>
      <c r="BK627" s="77">
        <f t="shared" si="1503"/>
        <v>5.1160591879111372E-3</v>
      </c>
      <c r="BL627" s="79">
        <v>0</v>
      </c>
      <c r="BM627" s="77">
        <f t="shared" si="1708"/>
        <v>0</v>
      </c>
      <c r="BN627" s="77">
        <f t="shared" si="1709"/>
        <v>0</v>
      </c>
      <c r="BO627" s="77">
        <f t="shared" si="1710"/>
        <v>2.5000000000000001E-3</v>
      </c>
      <c r="BP627" s="77">
        <f t="shared" si="1711"/>
        <v>2.0809499864316017E-4</v>
      </c>
    </row>
    <row r="628" spans="1:68">
      <c r="A628" t="s">
        <v>175</v>
      </c>
      <c r="B628" t="s">
        <v>179</v>
      </c>
      <c r="C628" s="197" t="str">
        <f t="shared" si="1752"/>
        <v>Lifecycle_Dynamic_459</v>
      </c>
      <c r="D628">
        <v>459</v>
      </c>
      <c r="E628">
        <f>VLOOKUP($D628,'[2]LC Dynamic'!$Q$2:$U$542,2,FALSE)</f>
        <v>0</v>
      </c>
      <c r="F628">
        <f>VLOOKUP($D628,'[2]LC Dynamic'!$Q$2:$U$542,3,FALSE)</f>
        <v>0</v>
      </c>
      <c r="G628">
        <f>VLOOKUP($D628,'[2]LC Dynamic'!$Q$2:$U$542,4,FALSE)</f>
        <v>0.308</v>
      </c>
      <c r="H628">
        <f>VLOOKUP($D628,'[2]LC Dynamic'!$Q$2:$U$542,5,FALSE)</f>
        <v>0.69199999999999995</v>
      </c>
      <c r="I628" s="77">
        <f t="shared" si="1684"/>
        <v>1</v>
      </c>
      <c r="J628" s="77">
        <f t="shared" si="1685"/>
        <v>6.9728499999999985E-2</v>
      </c>
      <c r="K628" s="77">
        <f t="shared" si="1759"/>
        <v>5.632878498097682E-3</v>
      </c>
      <c r="L628" s="76">
        <v>0</v>
      </c>
      <c r="M628" s="77">
        <f t="shared" si="1695"/>
        <v>0</v>
      </c>
      <c r="N628" s="77">
        <f t="shared" si="1696"/>
        <v>0</v>
      </c>
      <c r="O628" s="77">
        <f t="shared" si="1697"/>
        <v>5.6775999999999997E-3</v>
      </c>
      <c r="P628" s="77">
        <f t="shared" si="1698"/>
        <v>4.7436902124819991E-4</v>
      </c>
      <c r="R628" t="s">
        <v>177</v>
      </c>
      <c r="S628" t="s">
        <v>179</v>
      </c>
      <c r="T628" s="197" t="str">
        <f t="shared" si="1753"/>
        <v>Autopilot_Dynamic_459</v>
      </c>
      <c r="U628">
        <v>459</v>
      </c>
      <c r="V628">
        <f>VLOOKUP($U628,'[2]AP Dynamic'!$Q$1:$T$542,2,FALSE)</f>
        <v>0.88888888888888884</v>
      </c>
      <c r="W628">
        <f>VLOOKUP($U628,'[2]AP Dynamic'!$Q$1:$T$542,3,FALSE)</f>
        <v>0.11111111111111116</v>
      </c>
      <c r="X628">
        <f>VLOOKUP($U628,'[2]AP Dynamic'!$Q$1:$T$542,4,FALSE)</f>
        <v>0</v>
      </c>
      <c r="Y628" s="77">
        <f t="shared" si="1754"/>
        <v>1</v>
      </c>
      <c r="Z628" s="77">
        <f t="shared" si="1760"/>
        <v>6.3149999999999984E-2</v>
      </c>
      <c r="AA628" s="77">
        <f t="shared" si="1761"/>
        <v>5.1160591879111372E-3</v>
      </c>
      <c r="AB628" s="79">
        <v>1</v>
      </c>
      <c r="AC628" s="77">
        <f t="shared" si="1699"/>
        <v>8.277777777777778E-3</v>
      </c>
      <c r="AD628" s="77">
        <f t="shared" ref="AD628" si="1778">1-(1-AC628)^(1/12)</f>
        <v>6.9244588451522482E-4</v>
      </c>
      <c r="AE628" s="77">
        <f t="shared" si="1701"/>
        <v>2.5000000000000001E-3</v>
      </c>
      <c r="AF628" s="77">
        <f t="shared" ref="AF628" si="1779">1-(1-AE628)^(1/12)</f>
        <v>2.0857243058891584E-4</v>
      </c>
      <c r="AH628" t="s">
        <v>175</v>
      </c>
      <c r="AI628" t="s">
        <v>179</v>
      </c>
      <c r="AJ628" s="197" t="str">
        <f t="shared" si="1688"/>
        <v>Lifecycle_Dynamic_459</v>
      </c>
      <c r="AK628">
        <v>459</v>
      </c>
      <c r="AL628">
        <f>VLOOKUP($U628,[2]Standard_Dynamic!$Q$1:$T$542,2,FALSE)</f>
        <v>0.88888888888888884</v>
      </c>
      <c r="AM628">
        <f>VLOOKUP($U628,[2]Standard_Dynamic!$Q$1:$T$542,3,FALSE)</f>
        <v>0.11111111111111116</v>
      </c>
      <c r="AN628">
        <f>VLOOKUP($U628,[2]Standard_Dynamic!$Q$1:$T$542,4,FALSE)</f>
        <v>0</v>
      </c>
      <c r="AO628" s="77">
        <f t="shared" si="1689"/>
        <v>1</v>
      </c>
      <c r="AP628" s="77">
        <f t="shared" si="1703"/>
        <v>6.3149999999999984E-2</v>
      </c>
      <c r="AQ628" s="77">
        <f t="shared" si="1690"/>
        <v>5.1160591879111372E-3</v>
      </c>
      <c r="AR628" s="79">
        <v>0</v>
      </c>
      <c r="AS628" s="77">
        <f t="shared" si="1704"/>
        <v>0</v>
      </c>
      <c r="AT628" s="77">
        <f t="shared" ref="AT628" si="1780">1-(1-AS628)^(1/12)</f>
        <v>0</v>
      </c>
      <c r="AU628" s="77">
        <f t="shared" si="1706"/>
        <v>2.5000000000000001E-3</v>
      </c>
      <c r="AV628" s="77">
        <f t="shared" ref="AV628" si="1781">1-(1-AU628)^(1/12)</f>
        <v>2.0857243058891584E-4</v>
      </c>
      <c r="AX628" t="s">
        <v>178</v>
      </c>
      <c r="AY628" t="s">
        <v>162</v>
      </c>
      <c r="AZ628" s="197" t="str">
        <f t="shared" si="1502"/>
        <v>DIS_Standard_459</v>
      </c>
      <c r="BA628">
        <v>459</v>
      </c>
      <c r="BB628">
        <f>VLOOKUP($BA628,'[2]Standard DIS'!$Q$1:$X$542,4,FALSE)</f>
        <v>0</v>
      </c>
      <c r="BF628">
        <f>VLOOKUP($BA628,'[2]Standard DIS'!$Q$1:$X$542,2,FALSE)</f>
        <v>0.88888888888888884</v>
      </c>
      <c r="BH628">
        <f>VLOOKUP($BA628,'[2]Standard DIS'!$Q$1:$X$542,3,FALSE)</f>
        <v>0.11111111111111116</v>
      </c>
      <c r="BI628" s="77">
        <f t="shared" si="1693"/>
        <v>1</v>
      </c>
      <c r="BJ628" s="77">
        <f t="shared" si="1694"/>
        <v>6.3149999999999984E-2</v>
      </c>
      <c r="BK628" s="77">
        <f t="shared" si="1503"/>
        <v>5.1160591879111372E-3</v>
      </c>
      <c r="BL628" s="79">
        <v>0</v>
      </c>
      <c r="BM628" s="77">
        <f t="shared" si="1708"/>
        <v>0</v>
      </c>
      <c r="BN628" s="77">
        <f t="shared" si="1709"/>
        <v>0</v>
      </c>
      <c r="BO628" s="77">
        <f t="shared" si="1710"/>
        <v>2.5000000000000001E-3</v>
      </c>
      <c r="BP628" s="77">
        <f t="shared" si="1711"/>
        <v>2.0809499864316017E-4</v>
      </c>
    </row>
    <row r="629" spans="1:68">
      <c r="A629" t="s">
        <v>175</v>
      </c>
      <c r="B629" t="s">
        <v>179</v>
      </c>
      <c r="C629" s="197" t="str">
        <f t="shared" si="1752"/>
        <v>Lifecycle_Dynamic_458</v>
      </c>
      <c r="D629">
        <v>458</v>
      </c>
      <c r="E629">
        <f>VLOOKUP($D629,'[2]LC Dynamic'!$Q$2:$U$542,2,FALSE)</f>
        <v>0</v>
      </c>
      <c r="F629">
        <f>VLOOKUP($D629,'[2]LC Dynamic'!$Q$2:$U$542,3,FALSE)</f>
        <v>0</v>
      </c>
      <c r="G629">
        <f>VLOOKUP($D629,'[2]LC Dynamic'!$Q$2:$U$542,4,FALSE)</f>
        <v>0.308</v>
      </c>
      <c r="H629">
        <f>VLOOKUP($D629,'[2]LC Dynamic'!$Q$2:$U$542,5,FALSE)</f>
        <v>0.69199999999999995</v>
      </c>
      <c r="I629" s="77">
        <f t="shared" si="1684"/>
        <v>1</v>
      </c>
      <c r="J629" s="77">
        <f t="shared" si="1685"/>
        <v>6.9728499999999985E-2</v>
      </c>
      <c r="K629" s="77">
        <f t="shared" si="1759"/>
        <v>5.632878498097682E-3</v>
      </c>
      <c r="L629" s="76">
        <v>0</v>
      </c>
      <c r="M629" s="77">
        <f t="shared" si="1695"/>
        <v>0</v>
      </c>
      <c r="N629" s="77">
        <f t="shared" si="1696"/>
        <v>0</v>
      </c>
      <c r="O629" s="77">
        <f t="shared" si="1697"/>
        <v>5.6775999999999997E-3</v>
      </c>
      <c r="P629" s="77">
        <f t="shared" si="1698"/>
        <v>4.7436902124819991E-4</v>
      </c>
      <c r="R629" t="s">
        <v>177</v>
      </c>
      <c r="S629" t="s">
        <v>179</v>
      </c>
      <c r="T629" s="197" t="str">
        <f t="shared" si="1753"/>
        <v>Autopilot_Dynamic_458</v>
      </c>
      <c r="U629">
        <v>458</v>
      </c>
      <c r="V629">
        <f>VLOOKUP($U629,'[2]AP Dynamic'!$Q$1:$T$542,2,FALSE)</f>
        <v>0.88888888888888884</v>
      </c>
      <c r="W629">
        <f>VLOOKUP($U629,'[2]AP Dynamic'!$Q$1:$T$542,3,FALSE)</f>
        <v>0.11111111111111116</v>
      </c>
      <c r="X629">
        <f>VLOOKUP($U629,'[2]AP Dynamic'!$Q$1:$T$542,4,FALSE)</f>
        <v>0</v>
      </c>
      <c r="Y629" s="77">
        <f t="shared" si="1754"/>
        <v>1</v>
      </c>
      <c r="Z629" s="77">
        <f t="shared" si="1760"/>
        <v>6.3149999999999984E-2</v>
      </c>
      <c r="AA629" s="77">
        <f t="shared" si="1761"/>
        <v>5.1160591879111372E-3</v>
      </c>
      <c r="AB629" s="79">
        <v>1</v>
      </c>
      <c r="AC629" s="77">
        <f t="shared" si="1699"/>
        <v>8.277777777777778E-3</v>
      </c>
      <c r="AD629" s="77">
        <f t="shared" ref="AD629" si="1782">1-(1-AC629)^(1/12)</f>
        <v>6.9244588451522482E-4</v>
      </c>
      <c r="AE629" s="77">
        <f t="shared" si="1701"/>
        <v>2.5000000000000001E-3</v>
      </c>
      <c r="AF629" s="77">
        <f t="shared" ref="AF629" si="1783">1-(1-AE629)^(1/12)</f>
        <v>2.0857243058891584E-4</v>
      </c>
      <c r="AH629" t="s">
        <v>175</v>
      </c>
      <c r="AI629" t="s">
        <v>179</v>
      </c>
      <c r="AJ629" s="197" t="str">
        <f t="shared" si="1688"/>
        <v>Lifecycle_Dynamic_458</v>
      </c>
      <c r="AK629">
        <v>458</v>
      </c>
      <c r="AL629">
        <f>VLOOKUP($U629,[2]Standard_Dynamic!$Q$1:$T$542,2,FALSE)</f>
        <v>0.88888888888888884</v>
      </c>
      <c r="AM629">
        <f>VLOOKUP($U629,[2]Standard_Dynamic!$Q$1:$T$542,3,FALSE)</f>
        <v>0.11111111111111116</v>
      </c>
      <c r="AN629">
        <f>VLOOKUP($U629,[2]Standard_Dynamic!$Q$1:$T$542,4,FALSE)</f>
        <v>0</v>
      </c>
      <c r="AO629" s="77">
        <f t="shared" si="1689"/>
        <v>1</v>
      </c>
      <c r="AP629" s="77">
        <f t="shared" si="1703"/>
        <v>6.3149999999999984E-2</v>
      </c>
      <c r="AQ629" s="77">
        <f t="shared" si="1690"/>
        <v>5.1160591879111372E-3</v>
      </c>
      <c r="AR629" s="79">
        <v>0</v>
      </c>
      <c r="AS629" s="77">
        <f t="shared" si="1704"/>
        <v>0</v>
      </c>
      <c r="AT629" s="77">
        <f t="shared" ref="AT629" si="1784">1-(1-AS629)^(1/12)</f>
        <v>0</v>
      </c>
      <c r="AU629" s="77">
        <f t="shared" si="1706"/>
        <v>2.5000000000000001E-3</v>
      </c>
      <c r="AV629" s="77">
        <f t="shared" ref="AV629" si="1785">1-(1-AU629)^(1/12)</f>
        <v>2.0857243058891584E-4</v>
      </c>
      <c r="AX629" t="s">
        <v>178</v>
      </c>
      <c r="AY629" t="s">
        <v>162</v>
      </c>
      <c r="AZ629" s="197" t="str">
        <f t="shared" ref="AZ629:AZ692" si="1786">AX629&amp;"_"&amp;AY629&amp;"_"&amp;BA629</f>
        <v>DIS_Standard_458</v>
      </c>
      <c r="BA629">
        <v>458</v>
      </c>
      <c r="BB629">
        <f>VLOOKUP($BA629,'[2]Standard DIS'!$Q$1:$X$542,4,FALSE)</f>
        <v>0</v>
      </c>
      <c r="BF629">
        <f>VLOOKUP($BA629,'[2]Standard DIS'!$Q$1:$X$542,2,FALSE)</f>
        <v>0.88888888888888884</v>
      </c>
      <c r="BH629">
        <f>VLOOKUP($BA629,'[2]Standard DIS'!$Q$1:$X$542,3,FALSE)</f>
        <v>0.11111111111111116</v>
      </c>
      <c r="BI629" s="77">
        <f t="shared" si="1693"/>
        <v>1</v>
      </c>
      <c r="BJ629" s="77">
        <f t="shared" si="1694"/>
        <v>6.3149999999999984E-2</v>
      </c>
      <c r="BK629" s="77">
        <f t="shared" ref="BK629:BK692" si="1787">(1+BJ629)^(1/12)-1</f>
        <v>5.1160591879111372E-3</v>
      </c>
      <c r="BL629" s="79">
        <v>0</v>
      </c>
      <c r="BM629" s="77">
        <f t="shared" si="1708"/>
        <v>0</v>
      </c>
      <c r="BN629" s="77">
        <f t="shared" si="1709"/>
        <v>0</v>
      </c>
      <c r="BO629" s="77">
        <f t="shared" si="1710"/>
        <v>2.5000000000000001E-3</v>
      </c>
      <c r="BP629" s="77">
        <f t="shared" si="1711"/>
        <v>2.0809499864316017E-4</v>
      </c>
    </row>
    <row r="630" spans="1:68">
      <c r="A630" t="s">
        <v>175</v>
      </c>
      <c r="B630" t="s">
        <v>179</v>
      </c>
      <c r="C630" s="197" t="str">
        <f t="shared" si="1752"/>
        <v>Lifecycle_Dynamic_457</v>
      </c>
      <c r="D630">
        <v>457</v>
      </c>
      <c r="E630">
        <f>VLOOKUP($D630,'[2]LC Dynamic'!$Q$2:$U$542,2,FALSE)</f>
        <v>0</v>
      </c>
      <c r="F630">
        <f>VLOOKUP($D630,'[2]LC Dynamic'!$Q$2:$U$542,3,FALSE)</f>
        <v>0</v>
      </c>
      <c r="G630">
        <f>VLOOKUP($D630,'[2]LC Dynamic'!$Q$2:$U$542,4,FALSE)</f>
        <v>0.308</v>
      </c>
      <c r="H630">
        <f>VLOOKUP($D630,'[2]LC Dynamic'!$Q$2:$U$542,5,FALSE)</f>
        <v>0.69199999999999995</v>
      </c>
      <c r="I630" s="77">
        <f t="shared" si="1684"/>
        <v>1</v>
      </c>
      <c r="J630" s="77">
        <f t="shared" si="1685"/>
        <v>6.9728499999999985E-2</v>
      </c>
      <c r="K630" s="77">
        <f t="shared" si="1759"/>
        <v>5.632878498097682E-3</v>
      </c>
      <c r="L630" s="76">
        <v>0</v>
      </c>
      <c r="M630" s="77">
        <f t="shared" si="1695"/>
        <v>0</v>
      </c>
      <c r="N630" s="77">
        <f t="shared" si="1696"/>
        <v>0</v>
      </c>
      <c r="O630" s="77">
        <f t="shared" si="1697"/>
        <v>5.6775999999999997E-3</v>
      </c>
      <c r="P630" s="77">
        <f t="shared" si="1698"/>
        <v>4.7436902124819991E-4</v>
      </c>
      <c r="R630" t="s">
        <v>177</v>
      </c>
      <c r="S630" t="s">
        <v>179</v>
      </c>
      <c r="T630" s="197" t="str">
        <f t="shared" si="1753"/>
        <v>Autopilot_Dynamic_457</v>
      </c>
      <c r="U630">
        <v>457</v>
      </c>
      <c r="V630">
        <f>VLOOKUP($U630,'[2]AP Dynamic'!$Q$1:$T$542,2,FALSE)</f>
        <v>0.88888888888888884</v>
      </c>
      <c r="W630">
        <f>VLOOKUP($U630,'[2]AP Dynamic'!$Q$1:$T$542,3,FALSE)</f>
        <v>0.11111111111111116</v>
      </c>
      <c r="X630">
        <f>VLOOKUP($U630,'[2]AP Dynamic'!$Q$1:$T$542,4,FALSE)</f>
        <v>0</v>
      </c>
      <c r="Y630" s="77">
        <f t="shared" si="1754"/>
        <v>1</v>
      </c>
      <c r="Z630" s="77">
        <f t="shared" si="1760"/>
        <v>6.3149999999999984E-2</v>
      </c>
      <c r="AA630" s="77">
        <f t="shared" si="1761"/>
        <v>5.1160591879111372E-3</v>
      </c>
      <c r="AB630" s="79">
        <v>1</v>
      </c>
      <c r="AC630" s="77">
        <f t="shared" si="1699"/>
        <v>8.277777777777778E-3</v>
      </c>
      <c r="AD630" s="77">
        <f t="shared" ref="AD630" si="1788">1-(1-AC630)^(1/12)</f>
        <v>6.9244588451522482E-4</v>
      </c>
      <c r="AE630" s="77">
        <f t="shared" si="1701"/>
        <v>2.5000000000000001E-3</v>
      </c>
      <c r="AF630" s="77">
        <f t="shared" ref="AF630" si="1789">1-(1-AE630)^(1/12)</f>
        <v>2.0857243058891584E-4</v>
      </c>
      <c r="AH630" t="s">
        <v>175</v>
      </c>
      <c r="AI630" t="s">
        <v>179</v>
      </c>
      <c r="AJ630" s="197" t="str">
        <f t="shared" si="1688"/>
        <v>Lifecycle_Dynamic_457</v>
      </c>
      <c r="AK630">
        <v>457</v>
      </c>
      <c r="AL630">
        <f>VLOOKUP($U630,[2]Standard_Dynamic!$Q$1:$T$542,2,FALSE)</f>
        <v>0.88888888888888884</v>
      </c>
      <c r="AM630">
        <f>VLOOKUP($U630,[2]Standard_Dynamic!$Q$1:$T$542,3,FALSE)</f>
        <v>0.11111111111111116</v>
      </c>
      <c r="AN630">
        <f>VLOOKUP($U630,[2]Standard_Dynamic!$Q$1:$T$542,4,FALSE)</f>
        <v>0</v>
      </c>
      <c r="AO630" s="77">
        <f t="shared" si="1689"/>
        <v>1</v>
      </c>
      <c r="AP630" s="77">
        <f t="shared" si="1703"/>
        <v>6.3149999999999984E-2</v>
      </c>
      <c r="AQ630" s="77">
        <f t="shared" si="1690"/>
        <v>5.1160591879111372E-3</v>
      </c>
      <c r="AR630" s="79">
        <v>0</v>
      </c>
      <c r="AS630" s="77">
        <f t="shared" si="1704"/>
        <v>0</v>
      </c>
      <c r="AT630" s="77">
        <f t="shared" ref="AT630" si="1790">1-(1-AS630)^(1/12)</f>
        <v>0</v>
      </c>
      <c r="AU630" s="77">
        <f t="shared" si="1706"/>
        <v>2.5000000000000001E-3</v>
      </c>
      <c r="AV630" s="77">
        <f t="shared" ref="AV630" si="1791">1-(1-AU630)^(1/12)</f>
        <v>2.0857243058891584E-4</v>
      </c>
      <c r="AX630" t="s">
        <v>178</v>
      </c>
      <c r="AY630" t="s">
        <v>162</v>
      </c>
      <c r="AZ630" s="197" t="str">
        <f t="shared" si="1786"/>
        <v>DIS_Standard_457</v>
      </c>
      <c r="BA630">
        <v>457</v>
      </c>
      <c r="BB630">
        <f>VLOOKUP($BA630,'[2]Standard DIS'!$Q$1:$X$542,4,FALSE)</f>
        <v>0</v>
      </c>
      <c r="BF630">
        <f>VLOOKUP($BA630,'[2]Standard DIS'!$Q$1:$X$542,2,FALSE)</f>
        <v>0.88888888888888884</v>
      </c>
      <c r="BH630">
        <f>VLOOKUP($BA630,'[2]Standard DIS'!$Q$1:$X$542,3,FALSE)</f>
        <v>0.11111111111111116</v>
      </c>
      <c r="BI630" s="77">
        <f t="shared" si="1693"/>
        <v>1</v>
      </c>
      <c r="BJ630" s="77">
        <f t="shared" si="1694"/>
        <v>6.3149999999999984E-2</v>
      </c>
      <c r="BK630" s="77">
        <f t="shared" si="1787"/>
        <v>5.1160591879111372E-3</v>
      </c>
      <c r="BL630" s="79">
        <v>0</v>
      </c>
      <c r="BM630" s="77">
        <f t="shared" si="1708"/>
        <v>0</v>
      </c>
      <c r="BN630" s="77">
        <f t="shared" si="1709"/>
        <v>0</v>
      </c>
      <c r="BO630" s="77">
        <f t="shared" si="1710"/>
        <v>2.5000000000000001E-3</v>
      </c>
      <c r="BP630" s="77">
        <f t="shared" si="1711"/>
        <v>2.0809499864316017E-4</v>
      </c>
    </row>
    <row r="631" spans="1:68">
      <c r="A631" t="s">
        <v>175</v>
      </c>
      <c r="B631" t="s">
        <v>179</v>
      </c>
      <c r="C631" s="197" t="str">
        <f t="shared" si="1752"/>
        <v>Lifecycle_Dynamic_456</v>
      </c>
      <c r="D631">
        <v>456</v>
      </c>
      <c r="E631">
        <f>VLOOKUP($D631,'[2]LC Dynamic'!$Q$2:$U$542,2,FALSE)</f>
        <v>0</v>
      </c>
      <c r="F631">
        <f>VLOOKUP($D631,'[2]LC Dynamic'!$Q$2:$U$542,3,FALSE)</f>
        <v>0</v>
      </c>
      <c r="G631">
        <f>VLOOKUP($D631,'[2]LC Dynamic'!$Q$2:$U$542,4,FALSE)</f>
        <v>0.308</v>
      </c>
      <c r="H631">
        <f>VLOOKUP($D631,'[2]LC Dynamic'!$Q$2:$U$542,5,FALSE)</f>
        <v>0.69199999999999995</v>
      </c>
      <c r="I631" s="77">
        <f t="shared" si="1684"/>
        <v>1</v>
      </c>
      <c r="J631" s="77">
        <f t="shared" si="1685"/>
        <v>6.9728499999999985E-2</v>
      </c>
      <c r="K631" s="77">
        <f t="shared" si="1759"/>
        <v>5.632878498097682E-3</v>
      </c>
      <c r="L631" s="76">
        <v>0</v>
      </c>
      <c r="M631" s="77">
        <f t="shared" si="1695"/>
        <v>0</v>
      </c>
      <c r="N631" s="77">
        <f t="shared" si="1696"/>
        <v>0</v>
      </c>
      <c r="O631" s="77">
        <f t="shared" si="1697"/>
        <v>5.6775999999999997E-3</v>
      </c>
      <c r="P631" s="77">
        <f t="shared" si="1698"/>
        <v>4.7436902124819991E-4</v>
      </c>
      <c r="R631" t="s">
        <v>177</v>
      </c>
      <c r="S631" t="s">
        <v>179</v>
      </c>
      <c r="T631" s="197" t="str">
        <f t="shared" si="1753"/>
        <v>Autopilot_Dynamic_456</v>
      </c>
      <c r="U631">
        <v>456</v>
      </c>
      <c r="V631">
        <f>VLOOKUP($U631,'[2]AP Dynamic'!$Q$1:$T$542,2,FALSE)</f>
        <v>0.88888888888888884</v>
      </c>
      <c r="W631">
        <f>VLOOKUP($U631,'[2]AP Dynamic'!$Q$1:$T$542,3,FALSE)</f>
        <v>0.11111111111111116</v>
      </c>
      <c r="X631">
        <f>VLOOKUP($U631,'[2]AP Dynamic'!$Q$1:$T$542,4,FALSE)</f>
        <v>0</v>
      </c>
      <c r="Y631" s="77">
        <f t="shared" si="1754"/>
        <v>1</v>
      </c>
      <c r="Z631" s="77">
        <f t="shared" si="1760"/>
        <v>6.3149999999999984E-2</v>
      </c>
      <c r="AA631" s="77">
        <f t="shared" si="1761"/>
        <v>5.1160591879111372E-3</v>
      </c>
      <c r="AB631" s="79">
        <v>1</v>
      </c>
      <c r="AC631" s="77">
        <f t="shared" si="1699"/>
        <v>8.277777777777778E-3</v>
      </c>
      <c r="AD631" s="77">
        <f t="shared" ref="AD631" si="1792">1-(1-AC631)^(1/12)</f>
        <v>6.9244588451522482E-4</v>
      </c>
      <c r="AE631" s="77">
        <f t="shared" si="1701"/>
        <v>2.5000000000000001E-3</v>
      </c>
      <c r="AF631" s="77">
        <f t="shared" ref="AF631" si="1793">1-(1-AE631)^(1/12)</f>
        <v>2.0857243058891584E-4</v>
      </c>
      <c r="AH631" t="s">
        <v>175</v>
      </c>
      <c r="AI631" t="s">
        <v>179</v>
      </c>
      <c r="AJ631" s="197" t="str">
        <f t="shared" si="1688"/>
        <v>Lifecycle_Dynamic_456</v>
      </c>
      <c r="AK631">
        <v>456</v>
      </c>
      <c r="AL631">
        <f>VLOOKUP($U631,[2]Standard_Dynamic!$Q$1:$T$542,2,FALSE)</f>
        <v>0.88888888888888884</v>
      </c>
      <c r="AM631">
        <f>VLOOKUP($U631,[2]Standard_Dynamic!$Q$1:$T$542,3,FALSE)</f>
        <v>0.11111111111111116</v>
      </c>
      <c r="AN631">
        <f>VLOOKUP($U631,[2]Standard_Dynamic!$Q$1:$T$542,4,FALSE)</f>
        <v>0</v>
      </c>
      <c r="AO631" s="77">
        <f t="shared" si="1689"/>
        <v>1</v>
      </c>
      <c r="AP631" s="77">
        <f t="shared" si="1703"/>
        <v>6.3149999999999984E-2</v>
      </c>
      <c r="AQ631" s="77">
        <f t="shared" si="1690"/>
        <v>5.1160591879111372E-3</v>
      </c>
      <c r="AR631" s="79">
        <v>0</v>
      </c>
      <c r="AS631" s="77">
        <f t="shared" si="1704"/>
        <v>0</v>
      </c>
      <c r="AT631" s="77">
        <f t="shared" ref="AT631" si="1794">1-(1-AS631)^(1/12)</f>
        <v>0</v>
      </c>
      <c r="AU631" s="77">
        <f t="shared" si="1706"/>
        <v>2.5000000000000001E-3</v>
      </c>
      <c r="AV631" s="77">
        <f t="shared" ref="AV631" si="1795">1-(1-AU631)^(1/12)</f>
        <v>2.0857243058891584E-4</v>
      </c>
      <c r="AX631" t="s">
        <v>178</v>
      </c>
      <c r="AY631" t="s">
        <v>162</v>
      </c>
      <c r="AZ631" s="197" t="str">
        <f t="shared" si="1786"/>
        <v>DIS_Standard_456</v>
      </c>
      <c r="BA631">
        <v>456</v>
      </c>
      <c r="BB631">
        <f>VLOOKUP($BA631,'[2]Standard DIS'!$Q$1:$X$542,4,FALSE)</f>
        <v>0</v>
      </c>
      <c r="BF631">
        <f>VLOOKUP($BA631,'[2]Standard DIS'!$Q$1:$X$542,2,FALSE)</f>
        <v>0.88888888888888884</v>
      </c>
      <c r="BH631">
        <f>VLOOKUP($BA631,'[2]Standard DIS'!$Q$1:$X$542,3,FALSE)</f>
        <v>0.11111111111111116</v>
      </c>
      <c r="BI631" s="77">
        <f t="shared" si="1693"/>
        <v>1</v>
      </c>
      <c r="BJ631" s="77">
        <f t="shared" si="1694"/>
        <v>6.3149999999999984E-2</v>
      </c>
      <c r="BK631" s="77">
        <f t="shared" si="1787"/>
        <v>5.1160591879111372E-3</v>
      </c>
      <c r="BL631" s="79">
        <v>0</v>
      </c>
      <c r="BM631" s="77">
        <f t="shared" si="1708"/>
        <v>0</v>
      </c>
      <c r="BN631" s="77">
        <f t="shared" si="1709"/>
        <v>0</v>
      </c>
      <c r="BO631" s="77">
        <f t="shared" si="1710"/>
        <v>2.5000000000000001E-3</v>
      </c>
      <c r="BP631" s="77">
        <f t="shared" si="1711"/>
        <v>2.0809499864316017E-4</v>
      </c>
    </row>
    <row r="632" spans="1:68">
      <c r="A632" t="s">
        <v>175</v>
      </c>
      <c r="B632" t="s">
        <v>179</v>
      </c>
      <c r="C632" s="197" t="str">
        <f t="shared" si="1752"/>
        <v>Lifecycle_Dynamic_455</v>
      </c>
      <c r="D632">
        <v>455</v>
      </c>
      <c r="E632">
        <f>VLOOKUP($D632,'[2]LC Dynamic'!$Q$2:$U$542,2,FALSE)</f>
        <v>0</v>
      </c>
      <c r="F632">
        <f>VLOOKUP($D632,'[2]LC Dynamic'!$Q$2:$U$542,3,FALSE)</f>
        <v>0</v>
      </c>
      <c r="G632">
        <f>VLOOKUP($D632,'[2]LC Dynamic'!$Q$2:$U$542,4,FALSE)</f>
        <v>0.308</v>
      </c>
      <c r="H632">
        <f>VLOOKUP($D632,'[2]LC Dynamic'!$Q$2:$U$542,5,FALSE)</f>
        <v>0.69199999999999995</v>
      </c>
      <c r="I632" s="77">
        <f t="shared" si="1684"/>
        <v>1</v>
      </c>
      <c r="J632" s="77">
        <f t="shared" si="1685"/>
        <v>6.9728499999999985E-2</v>
      </c>
      <c r="K632" s="77">
        <f t="shared" si="1759"/>
        <v>5.632878498097682E-3</v>
      </c>
      <c r="L632" s="76">
        <v>0</v>
      </c>
      <c r="M632" s="77">
        <f t="shared" si="1695"/>
        <v>0</v>
      </c>
      <c r="N632" s="77">
        <f t="shared" si="1696"/>
        <v>0</v>
      </c>
      <c r="O632" s="77">
        <f t="shared" si="1697"/>
        <v>5.6775999999999997E-3</v>
      </c>
      <c r="P632" s="77">
        <f t="shared" si="1698"/>
        <v>4.7436902124819991E-4</v>
      </c>
      <c r="R632" t="s">
        <v>177</v>
      </c>
      <c r="S632" t="s">
        <v>179</v>
      </c>
      <c r="T632" s="197" t="str">
        <f t="shared" si="1753"/>
        <v>Autopilot_Dynamic_455</v>
      </c>
      <c r="U632">
        <v>455</v>
      </c>
      <c r="V632">
        <f>VLOOKUP($U632,'[2]AP Dynamic'!$Q$1:$T$542,2,FALSE)</f>
        <v>0.88888888888888884</v>
      </c>
      <c r="W632">
        <f>VLOOKUP($U632,'[2]AP Dynamic'!$Q$1:$T$542,3,FALSE)</f>
        <v>0.11111111111111116</v>
      </c>
      <c r="X632">
        <f>VLOOKUP($U632,'[2]AP Dynamic'!$Q$1:$T$542,4,FALSE)</f>
        <v>0</v>
      </c>
      <c r="Y632" s="77">
        <f t="shared" si="1754"/>
        <v>1</v>
      </c>
      <c r="Z632" s="77">
        <f t="shared" si="1760"/>
        <v>6.3149999999999984E-2</v>
      </c>
      <c r="AA632" s="77">
        <f t="shared" si="1761"/>
        <v>5.1160591879111372E-3</v>
      </c>
      <c r="AB632" s="79">
        <v>1</v>
      </c>
      <c r="AC632" s="77">
        <f t="shared" si="1699"/>
        <v>8.277777777777778E-3</v>
      </c>
      <c r="AD632" s="77">
        <f t="shared" ref="AD632" si="1796">1-(1-AC632)^(1/12)</f>
        <v>6.9244588451522482E-4</v>
      </c>
      <c r="AE632" s="77">
        <f t="shared" si="1701"/>
        <v>2.5000000000000001E-3</v>
      </c>
      <c r="AF632" s="77">
        <f t="shared" ref="AF632" si="1797">1-(1-AE632)^(1/12)</f>
        <v>2.0857243058891584E-4</v>
      </c>
      <c r="AH632" t="s">
        <v>175</v>
      </c>
      <c r="AI632" t="s">
        <v>179</v>
      </c>
      <c r="AJ632" s="197" t="str">
        <f t="shared" si="1688"/>
        <v>Lifecycle_Dynamic_455</v>
      </c>
      <c r="AK632">
        <v>455</v>
      </c>
      <c r="AL632">
        <f>VLOOKUP($U632,[2]Standard_Dynamic!$Q$1:$T$542,2,FALSE)</f>
        <v>0.88888888888888884</v>
      </c>
      <c r="AM632">
        <f>VLOOKUP($U632,[2]Standard_Dynamic!$Q$1:$T$542,3,FALSE)</f>
        <v>0.11111111111111116</v>
      </c>
      <c r="AN632">
        <f>VLOOKUP($U632,[2]Standard_Dynamic!$Q$1:$T$542,4,FALSE)</f>
        <v>0</v>
      </c>
      <c r="AO632" s="77">
        <f t="shared" si="1689"/>
        <v>1</v>
      </c>
      <c r="AP632" s="77">
        <f t="shared" si="1703"/>
        <v>6.3149999999999984E-2</v>
      </c>
      <c r="AQ632" s="77">
        <f t="shared" si="1690"/>
        <v>5.1160591879111372E-3</v>
      </c>
      <c r="AR632" s="79">
        <v>0</v>
      </c>
      <c r="AS632" s="77">
        <f t="shared" si="1704"/>
        <v>0</v>
      </c>
      <c r="AT632" s="77">
        <f t="shared" ref="AT632" si="1798">1-(1-AS632)^(1/12)</f>
        <v>0</v>
      </c>
      <c r="AU632" s="77">
        <f t="shared" si="1706"/>
        <v>2.5000000000000001E-3</v>
      </c>
      <c r="AV632" s="77">
        <f t="shared" ref="AV632" si="1799">1-(1-AU632)^(1/12)</f>
        <v>2.0857243058891584E-4</v>
      </c>
      <c r="AX632" t="s">
        <v>178</v>
      </c>
      <c r="AY632" t="s">
        <v>162</v>
      </c>
      <c r="AZ632" s="197" t="str">
        <f t="shared" si="1786"/>
        <v>DIS_Standard_455</v>
      </c>
      <c r="BA632">
        <v>455</v>
      </c>
      <c r="BB632">
        <f>VLOOKUP($BA632,'[2]Standard DIS'!$Q$1:$X$542,4,FALSE)</f>
        <v>0</v>
      </c>
      <c r="BF632">
        <f>VLOOKUP($BA632,'[2]Standard DIS'!$Q$1:$X$542,2,FALSE)</f>
        <v>0.88888888888888884</v>
      </c>
      <c r="BH632">
        <f>VLOOKUP($BA632,'[2]Standard DIS'!$Q$1:$X$542,3,FALSE)</f>
        <v>0.11111111111111116</v>
      </c>
      <c r="BI632" s="77">
        <f t="shared" si="1693"/>
        <v>1</v>
      </c>
      <c r="BJ632" s="77">
        <f t="shared" si="1694"/>
        <v>6.3149999999999984E-2</v>
      </c>
      <c r="BK632" s="77">
        <f t="shared" si="1787"/>
        <v>5.1160591879111372E-3</v>
      </c>
      <c r="BL632" s="79">
        <v>0</v>
      </c>
      <c r="BM632" s="77">
        <f t="shared" si="1708"/>
        <v>0</v>
      </c>
      <c r="BN632" s="77">
        <f t="shared" si="1709"/>
        <v>0</v>
      </c>
      <c r="BO632" s="77">
        <f t="shared" si="1710"/>
        <v>2.5000000000000001E-3</v>
      </c>
      <c r="BP632" s="77">
        <f t="shared" si="1711"/>
        <v>2.0809499864316017E-4</v>
      </c>
    </row>
    <row r="633" spans="1:68">
      <c r="A633" t="s">
        <v>175</v>
      </c>
      <c r="B633" t="s">
        <v>179</v>
      </c>
      <c r="C633" s="197" t="str">
        <f t="shared" si="1752"/>
        <v>Lifecycle_Dynamic_454</v>
      </c>
      <c r="D633">
        <v>454</v>
      </c>
      <c r="E633">
        <f>VLOOKUP($D633,'[2]LC Dynamic'!$Q$2:$U$542,2,FALSE)</f>
        <v>0</v>
      </c>
      <c r="F633">
        <f>VLOOKUP($D633,'[2]LC Dynamic'!$Q$2:$U$542,3,FALSE)</f>
        <v>0</v>
      </c>
      <c r="G633">
        <f>VLOOKUP($D633,'[2]LC Dynamic'!$Q$2:$U$542,4,FALSE)</f>
        <v>0.308</v>
      </c>
      <c r="H633">
        <f>VLOOKUP($D633,'[2]LC Dynamic'!$Q$2:$U$542,5,FALSE)</f>
        <v>0.69199999999999995</v>
      </c>
      <c r="I633" s="77">
        <f t="shared" si="1684"/>
        <v>1</v>
      </c>
      <c r="J633" s="77">
        <f t="shared" si="1685"/>
        <v>6.9728499999999985E-2</v>
      </c>
      <c r="K633" s="77">
        <f t="shared" si="1759"/>
        <v>5.632878498097682E-3</v>
      </c>
      <c r="L633" s="76">
        <v>0</v>
      </c>
      <c r="M633" s="77">
        <f t="shared" si="1695"/>
        <v>0</v>
      </c>
      <c r="N633" s="77">
        <f t="shared" si="1696"/>
        <v>0</v>
      </c>
      <c r="O633" s="77">
        <f t="shared" si="1697"/>
        <v>5.6775999999999997E-3</v>
      </c>
      <c r="P633" s="77">
        <f t="shared" si="1698"/>
        <v>4.7436902124819991E-4</v>
      </c>
      <c r="R633" t="s">
        <v>177</v>
      </c>
      <c r="S633" t="s">
        <v>179</v>
      </c>
      <c r="T633" s="197" t="str">
        <f t="shared" si="1753"/>
        <v>Autopilot_Dynamic_454</v>
      </c>
      <c r="U633">
        <v>454</v>
      </c>
      <c r="V633">
        <f>VLOOKUP($U633,'[2]AP Dynamic'!$Q$1:$T$542,2,FALSE)</f>
        <v>0.88888888888888884</v>
      </c>
      <c r="W633">
        <f>VLOOKUP($U633,'[2]AP Dynamic'!$Q$1:$T$542,3,FALSE)</f>
        <v>0.11111111111111116</v>
      </c>
      <c r="X633">
        <f>VLOOKUP($U633,'[2]AP Dynamic'!$Q$1:$T$542,4,FALSE)</f>
        <v>0</v>
      </c>
      <c r="Y633" s="77">
        <f t="shared" si="1754"/>
        <v>1</v>
      </c>
      <c r="Z633" s="77">
        <f t="shared" si="1760"/>
        <v>6.3149999999999984E-2</v>
      </c>
      <c r="AA633" s="77">
        <f t="shared" si="1761"/>
        <v>5.1160591879111372E-3</v>
      </c>
      <c r="AB633" s="79">
        <v>1</v>
      </c>
      <c r="AC633" s="77">
        <f t="shared" si="1699"/>
        <v>8.277777777777778E-3</v>
      </c>
      <c r="AD633" s="77">
        <f t="shared" ref="AD633" si="1800">1-(1-AC633)^(1/12)</f>
        <v>6.9244588451522482E-4</v>
      </c>
      <c r="AE633" s="77">
        <f t="shared" si="1701"/>
        <v>2.5000000000000001E-3</v>
      </c>
      <c r="AF633" s="77">
        <f t="shared" ref="AF633" si="1801">1-(1-AE633)^(1/12)</f>
        <v>2.0857243058891584E-4</v>
      </c>
      <c r="AH633" t="s">
        <v>175</v>
      </c>
      <c r="AI633" t="s">
        <v>179</v>
      </c>
      <c r="AJ633" s="197" t="str">
        <f t="shared" si="1688"/>
        <v>Lifecycle_Dynamic_454</v>
      </c>
      <c r="AK633">
        <v>454</v>
      </c>
      <c r="AL633">
        <f>VLOOKUP($U633,[2]Standard_Dynamic!$Q$1:$T$542,2,FALSE)</f>
        <v>0.88888888888888884</v>
      </c>
      <c r="AM633">
        <f>VLOOKUP($U633,[2]Standard_Dynamic!$Q$1:$T$542,3,FALSE)</f>
        <v>0.11111111111111116</v>
      </c>
      <c r="AN633">
        <f>VLOOKUP($U633,[2]Standard_Dynamic!$Q$1:$T$542,4,FALSE)</f>
        <v>0</v>
      </c>
      <c r="AO633" s="77">
        <f t="shared" si="1689"/>
        <v>1</v>
      </c>
      <c r="AP633" s="77">
        <f t="shared" si="1703"/>
        <v>6.3149999999999984E-2</v>
      </c>
      <c r="AQ633" s="77">
        <f t="shared" si="1690"/>
        <v>5.1160591879111372E-3</v>
      </c>
      <c r="AR633" s="79">
        <v>0</v>
      </c>
      <c r="AS633" s="77">
        <f t="shared" si="1704"/>
        <v>0</v>
      </c>
      <c r="AT633" s="77">
        <f t="shared" ref="AT633" si="1802">1-(1-AS633)^(1/12)</f>
        <v>0</v>
      </c>
      <c r="AU633" s="77">
        <f t="shared" si="1706"/>
        <v>2.5000000000000001E-3</v>
      </c>
      <c r="AV633" s="77">
        <f t="shared" ref="AV633" si="1803">1-(1-AU633)^(1/12)</f>
        <v>2.0857243058891584E-4</v>
      </c>
      <c r="AX633" t="s">
        <v>178</v>
      </c>
      <c r="AY633" t="s">
        <v>162</v>
      </c>
      <c r="AZ633" s="197" t="str">
        <f t="shared" si="1786"/>
        <v>DIS_Standard_454</v>
      </c>
      <c r="BA633">
        <v>454</v>
      </c>
      <c r="BB633">
        <f>VLOOKUP($BA633,'[2]Standard DIS'!$Q$1:$X$542,4,FALSE)</f>
        <v>0</v>
      </c>
      <c r="BF633">
        <f>VLOOKUP($BA633,'[2]Standard DIS'!$Q$1:$X$542,2,FALSE)</f>
        <v>0.88888888888888884</v>
      </c>
      <c r="BH633">
        <f>VLOOKUP($BA633,'[2]Standard DIS'!$Q$1:$X$542,3,FALSE)</f>
        <v>0.11111111111111116</v>
      </c>
      <c r="BI633" s="77">
        <f t="shared" si="1693"/>
        <v>1</v>
      </c>
      <c r="BJ633" s="77">
        <f t="shared" si="1694"/>
        <v>6.3149999999999984E-2</v>
      </c>
      <c r="BK633" s="77">
        <f t="shared" si="1787"/>
        <v>5.1160591879111372E-3</v>
      </c>
      <c r="BL633" s="79">
        <v>0</v>
      </c>
      <c r="BM633" s="77">
        <f t="shared" si="1708"/>
        <v>0</v>
      </c>
      <c r="BN633" s="77">
        <f t="shared" si="1709"/>
        <v>0</v>
      </c>
      <c r="BO633" s="77">
        <f t="shared" si="1710"/>
        <v>2.5000000000000001E-3</v>
      </c>
      <c r="BP633" s="77">
        <f t="shared" si="1711"/>
        <v>2.0809499864316017E-4</v>
      </c>
    </row>
    <row r="634" spans="1:68">
      <c r="A634" t="s">
        <v>175</v>
      </c>
      <c r="B634" t="s">
        <v>179</v>
      </c>
      <c r="C634" s="197" t="str">
        <f t="shared" si="1752"/>
        <v>Lifecycle_Dynamic_453</v>
      </c>
      <c r="D634">
        <v>453</v>
      </c>
      <c r="E634">
        <f>VLOOKUP($D634,'[2]LC Dynamic'!$Q$2:$U$542,2,FALSE)</f>
        <v>0</v>
      </c>
      <c r="F634">
        <f>VLOOKUP($D634,'[2]LC Dynamic'!$Q$2:$U$542,3,FALSE)</f>
        <v>0</v>
      </c>
      <c r="G634">
        <f>VLOOKUP($D634,'[2]LC Dynamic'!$Q$2:$U$542,4,FALSE)</f>
        <v>0.308</v>
      </c>
      <c r="H634">
        <f>VLOOKUP($D634,'[2]LC Dynamic'!$Q$2:$U$542,5,FALSE)</f>
        <v>0.69199999999999995</v>
      </c>
      <c r="I634" s="77">
        <f t="shared" si="1684"/>
        <v>1</v>
      </c>
      <c r="J634" s="77">
        <f t="shared" si="1685"/>
        <v>6.9728499999999985E-2</v>
      </c>
      <c r="K634" s="77">
        <f t="shared" si="1759"/>
        <v>5.632878498097682E-3</v>
      </c>
      <c r="L634" s="76">
        <v>0</v>
      </c>
      <c r="M634" s="77">
        <f t="shared" si="1695"/>
        <v>0</v>
      </c>
      <c r="N634" s="77">
        <f t="shared" si="1696"/>
        <v>0</v>
      </c>
      <c r="O634" s="77">
        <f t="shared" si="1697"/>
        <v>5.6775999999999997E-3</v>
      </c>
      <c r="P634" s="77">
        <f t="shared" si="1698"/>
        <v>4.7436902124819991E-4</v>
      </c>
      <c r="R634" t="s">
        <v>177</v>
      </c>
      <c r="S634" t="s">
        <v>179</v>
      </c>
      <c r="T634" s="197" t="str">
        <f t="shared" si="1753"/>
        <v>Autopilot_Dynamic_453</v>
      </c>
      <c r="U634">
        <v>453</v>
      </c>
      <c r="V634">
        <f>VLOOKUP($U634,'[2]AP Dynamic'!$Q$1:$T$542,2,FALSE)</f>
        <v>0.88888888888888884</v>
      </c>
      <c r="W634">
        <f>VLOOKUP($U634,'[2]AP Dynamic'!$Q$1:$T$542,3,FALSE)</f>
        <v>0.11111111111111116</v>
      </c>
      <c r="X634">
        <f>VLOOKUP($U634,'[2]AP Dynamic'!$Q$1:$T$542,4,FALSE)</f>
        <v>0</v>
      </c>
      <c r="Y634" s="77">
        <f t="shared" si="1754"/>
        <v>1</v>
      </c>
      <c r="Z634" s="77">
        <f t="shared" si="1760"/>
        <v>6.3149999999999984E-2</v>
      </c>
      <c r="AA634" s="77">
        <f t="shared" si="1761"/>
        <v>5.1160591879111372E-3</v>
      </c>
      <c r="AB634" s="79">
        <v>1</v>
      </c>
      <c r="AC634" s="77">
        <f t="shared" si="1699"/>
        <v>8.277777777777778E-3</v>
      </c>
      <c r="AD634" s="77">
        <f t="shared" ref="AD634" si="1804">1-(1-AC634)^(1/12)</f>
        <v>6.9244588451522482E-4</v>
      </c>
      <c r="AE634" s="77">
        <f t="shared" si="1701"/>
        <v>2.5000000000000001E-3</v>
      </c>
      <c r="AF634" s="77">
        <f t="shared" ref="AF634" si="1805">1-(1-AE634)^(1/12)</f>
        <v>2.0857243058891584E-4</v>
      </c>
      <c r="AH634" t="s">
        <v>175</v>
      </c>
      <c r="AI634" t="s">
        <v>179</v>
      </c>
      <c r="AJ634" s="197" t="str">
        <f t="shared" si="1688"/>
        <v>Lifecycle_Dynamic_453</v>
      </c>
      <c r="AK634">
        <v>453</v>
      </c>
      <c r="AL634">
        <f>VLOOKUP($U634,[2]Standard_Dynamic!$Q$1:$T$542,2,FALSE)</f>
        <v>0.88888888888888884</v>
      </c>
      <c r="AM634">
        <f>VLOOKUP($U634,[2]Standard_Dynamic!$Q$1:$T$542,3,FALSE)</f>
        <v>0.11111111111111116</v>
      </c>
      <c r="AN634">
        <f>VLOOKUP($U634,[2]Standard_Dynamic!$Q$1:$T$542,4,FALSE)</f>
        <v>0</v>
      </c>
      <c r="AO634" s="77">
        <f t="shared" si="1689"/>
        <v>1</v>
      </c>
      <c r="AP634" s="77">
        <f t="shared" si="1703"/>
        <v>6.3149999999999984E-2</v>
      </c>
      <c r="AQ634" s="77">
        <f t="shared" si="1690"/>
        <v>5.1160591879111372E-3</v>
      </c>
      <c r="AR634" s="79">
        <v>0</v>
      </c>
      <c r="AS634" s="77">
        <f t="shared" si="1704"/>
        <v>0</v>
      </c>
      <c r="AT634" s="77">
        <f t="shared" ref="AT634" si="1806">1-(1-AS634)^(1/12)</f>
        <v>0</v>
      </c>
      <c r="AU634" s="77">
        <f t="shared" si="1706"/>
        <v>2.5000000000000001E-3</v>
      </c>
      <c r="AV634" s="77">
        <f t="shared" ref="AV634" si="1807">1-(1-AU634)^(1/12)</f>
        <v>2.0857243058891584E-4</v>
      </c>
      <c r="AX634" t="s">
        <v>178</v>
      </c>
      <c r="AY634" t="s">
        <v>162</v>
      </c>
      <c r="AZ634" s="197" t="str">
        <f t="shared" si="1786"/>
        <v>DIS_Standard_453</v>
      </c>
      <c r="BA634">
        <v>453</v>
      </c>
      <c r="BB634">
        <f>VLOOKUP($BA634,'[2]Standard DIS'!$Q$1:$X$542,4,FALSE)</f>
        <v>0</v>
      </c>
      <c r="BF634">
        <f>VLOOKUP($BA634,'[2]Standard DIS'!$Q$1:$X$542,2,FALSE)</f>
        <v>0.88888888888888884</v>
      </c>
      <c r="BH634">
        <f>VLOOKUP($BA634,'[2]Standard DIS'!$Q$1:$X$542,3,FALSE)</f>
        <v>0.11111111111111116</v>
      </c>
      <c r="BI634" s="77">
        <f t="shared" si="1693"/>
        <v>1</v>
      </c>
      <c r="BJ634" s="77">
        <f t="shared" si="1694"/>
        <v>6.3149999999999984E-2</v>
      </c>
      <c r="BK634" s="77">
        <f t="shared" si="1787"/>
        <v>5.1160591879111372E-3</v>
      </c>
      <c r="BL634" s="79">
        <v>0</v>
      </c>
      <c r="BM634" s="77">
        <f t="shared" si="1708"/>
        <v>0</v>
      </c>
      <c r="BN634" s="77">
        <f t="shared" si="1709"/>
        <v>0</v>
      </c>
      <c r="BO634" s="77">
        <f t="shared" si="1710"/>
        <v>2.5000000000000001E-3</v>
      </c>
      <c r="BP634" s="77">
        <f t="shared" si="1711"/>
        <v>2.0809499864316017E-4</v>
      </c>
    </row>
    <row r="635" spans="1:68">
      <c r="A635" t="s">
        <v>175</v>
      </c>
      <c r="B635" t="s">
        <v>179</v>
      </c>
      <c r="C635" s="197" t="str">
        <f t="shared" si="1752"/>
        <v>Lifecycle_Dynamic_452</v>
      </c>
      <c r="D635">
        <v>452</v>
      </c>
      <c r="E635">
        <f>VLOOKUP($D635,'[2]LC Dynamic'!$Q$2:$U$542,2,FALSE)</f>
        <v>0</v>
      </c>
      <c r="F635">
        <f>VLOOKUP($D635,'[2]LC Dynamic'!$Q$2:$U$542,3,FALSE)</f>
        <v>0</v>
      </c>
      <c r="G635">
        <f>VLOOKUP($D635,'[2]LC Dynamic'!$Q$2:$U$542,4,FALSE)</f>
        <v>0.308</v>
      </c>
      <c r="H635">
        <f>VLOOKUP($D635,'[2]LC Dynamic'!$Q$2:$U$542,5,FALSE)</f>
        <v>0.69199999999999995</v>
      </c>
      <c r="I635" s="77">
        <f t="shared" si="1684"/>
        <v>1</v>
      </c>
      <c r="J635" s="77">
        <f t="shared" si="1685"/>
        <v>6.9728499999999985E-2</v>
      </c>
      <c r="K635" s="77">
        <f t="shared" si="1759"/>
        <v>5.632878498097682E-3</v>
      </c>
      <c r="L635" s="76">
        <v>0</v>
      </c>
      <c r="M635" s="77">
        <f t="shared" si="1695"/>
        <v>0</v>
      </c>
      <c r="N635" s="77">
        <f t="shared" si="1696"/>
        <v>0</v>
      </c>
      <c r="O635" s="77">
        <f t="shared" si="1697"/>
        <v>5.6775999999999997E-3</v>
      </c>
      <c r="P635" s="77">
        <f t="shared" si="1698"/>
        <v>4.7436902124819991E-4</v>
      </c>
      <c r="R635" t="s">
        <v>177</v>
      </c>
      <c r="S635" t="s">
        <v>179</v>
      </c>
      <c r="T635" s="197" t="str">
        <f t="shared" si="1753"/>
        <v>Autopilot_Dynamic_452</v>
      </c>
      <c r="U635">
        <v>452</v>
      </c>
      <c r="V635">
        <f>VLOOKUP($U635,'[2]AP Dynamic'!$Q$1:$T$542,2,FALSE)</f>
        <v>0.88888888888888884</v>
      </c>
      <c r="W635">
        <f>VLOOKUP($U635,'[2]AP Dynamic'!$Q$1:$T$542,3,FALSE)</f>
        <v>0.11111111111111116</v>
      </c>
      <c r="X635">
        <f>VLOOKUP($U635,'[2]AP Dynamic'!$Q$1:$T$542,4,FALSE)</f>
        <v>0</v>
      </c>
      <c r="Y635" s="77">
        <f t="shared" si="1754"/>
        <v>1</v>
      </c>
      <c r="Z635" s="77">
        <f t="shared" si="1760"/>
        <v>6.3149999999999984E-2</v>
      </c>
      <c r="AA635" s="77">
        <f t="shared" si="1761"/>
        <v>5.1160591879111372E-3</v>
      </c>
      <c r="AB635" s="79">
        <v>1</v>
      </c>
      <c r="AC635" s="77">
        <f t="shared" si="1699"/>
        <v>8.277777777777778E-3</v>
      </c>
      <c r="AD635" s="77">
        <f t="shared" ref="AD635" si="1808">1-(1-AC635)^(1/12)</f>
        <v>6.9244588451522482E-4</v>
      </c>
      <c r="AE635" s="77">
        <f t="shared" si="1701"/>
        <v>2.5000000000000001E-3</v>
      </c>
      <c r="AF635" s="77">
        <f t="shared" ref="AF635" si="1809">1-(1-AE635)^(1/12)</f>
        <v>2.0857243058891584E-4</v>
      </c>
      <c r="AH635" t="s">
        <v>175</v>
      </c>
      <c r="AI635" t="s">
        <v>179</v>
      </c>
      <c r="AJ635" s="197" t="str">
        <f t="shared" si="1688"/>
        <v>Lifecycle_Dynamic_452</v>
      </c>
      <c r="AK635">
        <v>452</v>
      </c>
      <c r="AL635">
        <f>VLOOKUP($U635,[2]Standard_Dynamic!$Q$1:$T$542,2,FALSE)</f>
        <v>0.88888888888888884</v>
      </c>
      <c r="AM635">
        <f>VLOOKUP($U635,[2]Standard_Dynamic!$Q$1:$T$542,3,FALSE)</f>
        <v>0.11111111111111116</v>
      </c>
      <c r="AN635">
        <f>VLOOKUP($U635,[2]Standard_Dynamic!$Q$1:$T$542,4,FALSE)</f>
        <v>0</v>
      </c>
      <c r="AO635" s="77">
        <f t="shared" si="1689"/>
        <v>1</v>
      </c>
      <c r="AP635" s="77">
        <f t="shared" si="1703"/>
        <v>6.3149999999999984E-2</v>
      </c>
      <c r="AQ635" s="77">
        <f t="shared" si="1690"/>
        <v>5.1160591879111372E-3</v>
      </c>
      <c r="AR635" s="79">
        <v>0</v>
      </c>
      <c r="AS635" s="77">
        <f t="shared" si="1704"/>
        <v>0</v>
      </c>
      <c r="AT635" s="77">
        <f t="shared" ref="AT635" si="1810">1-(1-AS635)^(1/12)</f>
        <v>0</v>
      </c>
      <c r="AU635" s="77">
        <f t="shared" si="1706"/>
        <v>2.5000000000000001E-3</v>
      </c>
      <c r="AV635" s="77">
        <f t="shared" ref="AV635" si="1811">1-(1-AU635)^(1/12)</f>
        <v>2.0857243058891584E-4</v>
      </c>
      <c r="AX635" t="s">
        <v>178</v>
      </c>
      <c r="AY635" t="s">
        <v>162</v>
      </c>
      <c r="AZ635" s="197" t="str">
        <f t="shared" si="1786"/>
        <v>DIS_Standard_452</v>
      </c>
      <c r="BA635">
        <v>452</v>
      </c>
      <c r="BB635">
        <f>VLOOKUP($BA635,'[2]Standard DIS'!$Q$1:$X$542,4,FALSE)</f>
        <v>0</v>
      </c>
      <c r="BF635">
        <f>VLOOKUP($BA635,'[2]Standard DIS'!$Q$1:$X$542,2,FALSE)</f>
        <v>0.88888888888888884</v>
      </c>
      <c r="BH635">
        <f>VLOOKUP($BA635,'[2]Standard DIS'!$Q$1:$X$542,3,FALSE)</f>
        <v>0.11111111111111116</v>
      </c>
      <c r="BI635" s="77">
        <f t="shared" si="1693"/>
        <v>1</v>
      </c>
      <c r="BJ635" s="77">
        <f t="shared" si="1694"/>
        <v>6.3149999999999984E-2</v>
      </c>
      <c r="BK635" s="77">
        <f t="shared" si="1787"/>
        <v>5.1160591879111372E-3</v>
      </c>
      <c r="BL635" s="79">
        <v>0</v>
      </c>
      <c r="BM635" s="77">
        <f t="shared" si="1708"/>
        <v>0</v>
      </c>
      <c r="BN635" s="77">
        <f t="shared" si="1709"/>
        <v>0</v>
      </c>
      <c r="BO635" s="77">
        <f t="shared" si="1710"/>
        <v>2.5000000000000001E-3</v>
      </c>
      <c r="BP635" s="77">
        <f t="shared" si="1711"/>
        <v>2.0809499864316017E-4</v>
      </c>
    </row>
    <row r="636" spans="1:68">
      <c r="A636" t="s">
        <v>175</v>
      </c>
      <c r="B636" t="s">
        <v>179</v>
      </c>
      <c r="C636" s="197" t="str">
        <f t="shared" si="1752"/>
        <v>Lifecycle_Dynamic_451</v>
      </c>
      <c r="D636">
        <v>451</v>
      </c>
      <c r="E636">
        <f>VLOOKUP($D636,'[2]LC Dynamic'!$Q$2:$U$542,2,FALSE)</f>
        <v>0</v>
      </c>
      <c r="F636">
        <f>VLOOKUP($D636,'[2]LC Dynamic'!$Q$2:$U$542,3,FALSE)</f>
        <v>0</v>
      </c>
      <c r="G636">
        <f>VLOOKUP($D636,'[2]LC Dynamic'!$Q$2:$U$542,4,FALSE)</f>
        <v>0.308</v>
      </c>
      <c r="H636">
        <f>VLOOKUP($D636,'[2]LC Dynamic'!$Q$2:$U$542,5,FALSE)</f>
        <v>0.69199999999999995</v>
      </c>
      <c r="I636" s="77">
        <f t="shared" si="1684"/>
        <v>1</v>
      </c>
      <c r="J636" s="77">
        <f t="shared" si="1685"/>
        <v>6.9728499999999985E-2</v>
      </c>
      <c r="K636" s="77">
        <f t="shared" si="1759"/>
        <v>5.632878498097682E-3</v>
      </c>
      <c r="L636" s="76">
        <v>0</v>
      </c>
      <c r="M636" s="77">
        <f t="shared" si="1695"/>
        <v>0</v>
      </c>
      <c r="N636" s="77">
        <f t="shared" si="1696"/>
        <v>0</v>
      </c>
      <c r="O636" s="77">
        <f t="shared" si="1697"/>
        <v>5.6775999999999997E-3</v>
      </c>
      <c r="P636" s="77">
        <f t="shared" si="1698"/>
        <v>4.7436902124819991E-4</v>
      </c>
      <c r="R636" t="s">
        <v>177</v>
      </c>
      <c r="S636" t="s">
        <v>179</v>
      </c>
      <c r="T636" s="197" t="str">
        <f t="shared" si="1753"/>
        <v>Autopilot_Dynamic_451</v>
      </c>
      <c r="U636">
        <v>451</v>
      </c>
      <c r="V636">
        <f>VLOOKUP($U636,'[2]AP Dynamic'!$Q$1:$T$542,2,FALSE)</f>
        <v>0.88888888888888884</v>
      </c>
      <c r="W636">
        <f>VLOOKUP($U636,'[2]AP Dynamic'!$Q$1:$T$542,3,FALSE)</f>
        <v>0.11111111111111116</v>
      </c>
      <c r="X636">
        <f>VLOOKUP($U636,'[2]AP Dynamic'!$Q$1:$T$542,4,FALSE)</f>
        <v>0</v>
      </c>
      <c r="Y636" s="77">
        <f t="shared" si="1754"/>
        <v>1</v>
      </c>
      <c r="Z636" s="77">
        <f t="shared" si="1760"/>
        <v>6.3149999999999984E-2</v>
      </c>
      <c r="AA636" s="77">
        <f t="shared" si="1761"/>
        <v>5.1160591879111372E-3</v>
      </c>
      <c r="AB636" s="79">
        <v>1</v>
      </c>
      <c r="AC636" s="77">
        <f t="shared" si="1699"/>
        <v>8.277777777777778E-3</v>
      </c>
      <c r="AD636" s="77">
        <f t="shared" ref="AD636" si="1812">1-(1-AC636)^(1/12)</f>
        <v>6.9244588451522482E-4</v>
      </c>
      <c r="AE636" s="77">
        <f t="shared" si="1701"/>
        <v>2.5000000000000001E-3</v>
      </c>
      <c r="AF636" s="77">
        <f t="shared" ref="AF636" si="1813">1-(1-AE636)^(1/12)</f>
        <v>2.0857243058891584E-4</v>
      </c>
      <c r="AH636" t="s">
        <v>175</v>
      </c>
      <c r="AI636" t="s">
        <v>179</v>
      </c>
      <c r="AJ636" s="197" t="str">
        <f t="shared" si="1688"/>
        <v>Lifecycle_Dynamic_451</v>
      </c>
      <c r="AK636">
        <v>451</v>
      </c>
      <c r="AL636">
        <f>VLOOKUP($U636,[2]Standard_Dynamic!$Q$1:$T$542,2,FALSE)</f>
        <v>0.88888888888888884</v>
      </c>
      <c r="AM636">
        <f>VLOOKUP($U636,[2]Standard_Dynamic!$Q$1:$T$542,3,FALSE)</f>
        <v>0.11111111111111116</v>
      </c>
      <c r="AN636">
        <f>VLOOKUP($U636,[2]Standard_Dynamic!$Q$1:$T$542,4,FALSE)</f>
        <v>0</v>
      </c>
      <c r="AO636" s="77">
        <f t="shared" si="1689"/>
        <v>1</v>
      </c>
      <c r="AP636" s="77">
        <f t="shared" si="1703"/>
        <v>6.3149999999999984E-2</v>
      </c>
      <c r="AQ636" s="77">
        <f t="shared" si="1690"/>
        <v>5.1160591879111372E-3</v>
      </c>
      <c r="AR636" s="79">
        <v>0</v>
      </c>
      <c r="AS636" s="77">
        <f t="shared" si="1704"/>
        <v>0</v>
      </c>
      <c r="AT636" s="77">
        <f t="shared" ref="AT636" si="1814">1-(1-AS636)^(1/12)</f>
        <v>0</v>
      </c>
      <c r="AU636" s="77">
        <f t="shared" si="1706"/>
        <v>2.5000000000000001E-3</v>
      </c>
      <c r="AV636" s="77">
        <f t="shared" ref="AV636" si="1815">1-(1-AU636)^(1/12)</f>
        <v>2.0857243058891584E-4</v>
      </c>
      <c r="AX636" t="s">
        <v>178</v>
      </c>
      <c r="AY636" t="s">
        <v>162</v>
      </c>
      <c r="AZ636" s="197" t="str">
        <f t="shared" si="1786"/>
        <v>DIS_Standard_451</v>
      </c>
      <c r="BA636">
        <v>451</v>
      </c>
      <c r="BB636">
        <f>VLOOKUP($BA636,'[2]Standard DIS'!$Q$1:$X$542,4,FALSE)</f>
        <v>0</v>
      </c>
      <c r="BF636">
        <f>VLOOKUP($BA636,'[2]Standard DIS'!$Q$1:$X$542,2,FALSE)</f>
        <v>0.88888888888888884</v>
      </c>
      <c r="BH636">
        <f>VLOOKUP($BA636,'[2]Standard DIS'!$Q$1:$X$542,3,FALSE)</f>
        <v>0.11111111111111116</v>
      </c>
      <c r="BI636" s="77">
        <f t="shared" si="1693"/>
        <v>1</v>
      </c>
      <c r="BJ636" s="77">
        <f t="shared" si="1694"/>
        <v>6.3149999999999984E-2</v>
      </c>
      <c r="BK636" s="77">
        <f t="shared" si="1787"/>
        <v>5.1160591879111372E-3</v>
      </c>
      <c r="BL636" s="79">
        <v>0</v>
      </c>
      <c r="BM636" s="77">
        <f t="shared" si="1708"/>
        <v>0</v>
      </c>
      <c r="BN636" s="77">
        <f t="shared" si="1709"/>
        <v>0</v>
      </c>
      <c r="BO636" s="77">
        <f t="shared" si="1710"/>
        <v>2.5000000000000001E-3</v>
      </c>
      <c r="BP636" s="77">
        <f t="shared" si="1711"/>
        <v>2.0809499864316017E-4</v>
      </c>
    </row>
    <row r="637" spans="1:68">
      <c r="A637" t="s">
        <v>175</v>
      </c>
      <c r="B637" t="s">
        <v>179</v>
      </c>
      <c r="C637" s="197" t="str">
        <f t="shared" si="1752"/>
        <v>Lifecycle_Dynamic_450</v>
      </c>
      <c r="D637">
        <v>450</v>
      </c>
      <c r="E637">
        <f>VLOOKUP($D637,'[2]LC Dynamic'!$Q$2:$U$542,2,FALSE)</f>
        <v>0</v>
      </c>
      <c r="F637">
        <f>VLOOKUP($D637,'[2]LC Dynamic'!$Q$2:$U$542,3,FALSE)</f>
        <v>0</v>
      </c>
      <c r="G637">
        <f>VLOOKUP($D637,'[2]LC Dynamic'!$Q$2:$U$542,4,FALSE)</f>
        <v>0.308</v>
      </c>
      <c r="H637">
        <f>VLOOKUP($D637,'[2]LC Dynamic'!$Q$2:$U$542,5,FALSE)</f>
        <v>0.69199999999999995</v>
      </c>
      <c r="I637" s="77">
        <f t="shared" si="1684"/>
        <v>1</v>
      </c>
      <c r="J637" s="77">
        <f t="shared" si="1685"/>
        <v>6.9728499999999985E-2</v>
      </c>
      <c r="K637" s="77">
        <f t="shared" si="1759"/>
        <v>5.632878498097682E-3</v>
      </c>
      <c r="L637" s="76">
        <v>0</v>
      </c>
      <c r="M637" s="77">
        <f t="shared" si="1695"/>
        <v>0</v>
      </c>
      <c r="N637" s="77">
        <f t="shared" si="1696"/>
        <v>0</v>
      </c>
      <c r="O637" s="77">
        <f t="shared" si="1697"/>
        <v>5.6775999999999997E-3</v>
      </c>
      <c r="P637" s="77">
        <f t="shared" si="1698"/>
        <v>4.7436902124819991E-4</v>
      </c>
      <c r="R637" t="s">
        <v>177</v>
      </c>
      <c r="S637" t="s">
        <v>179</v>
      </c>
      <c r="T637" s="197" t="str">
        <f t="shared" si="1753"/>
        <v>Autopilot_Dynamic_450</v>
      </c>
      <c r="U637">
        <v>450</v>
      </c>
      <c r="V637">
        <f>VLOOKUP($U637,'[2]AP Dynamic'!$Q$1:$T$542,2,FALSE)</f>
        <v>0.88888888888888884</v>
      </c>
      <c r="W637">
        <f>VLOOKUP($U637,'[2]AP Dynamic'!$Q$1:$T$542,3,FALSE)</f>
        <v>0.11111111111111116</v>
      </c>
      <c r="X637">
        <f>VLOOKUP($U637,'[2]AP Dynamic'!$Q$1:$T$542,4,FALSE)</f>
        <v>0</v>
      </c>
      <c r="Y637" s="77">
        <f t="shared" si="1754"/>
        <v>1</v>
      </c>
      <c r="Z637" s="77">
        <f t="shared" si="1760"/>
        <v>6.3149999999999984E-2</v>
      </c>
      <c r="AA637" s="77">
        <f t="shared" si="1761"/>
        <v>5.1160591879111372E-3</v>
      </c>
      <c r="AB637" s="79">
        <v>1</v>
      </c>
      <c r="AC637" s="77">
        <f t="shared" si="1699"/>
        <v>8.277777777777778E-3</v>
      </c>
      <c r="AD637" s="77">
        <f t="shared" ref="AD637" si="1816">1-(1-AC637)^(1/12)</f>
        <v>6.9244588451522482E-4</v>
      </c>
      <c r="AE637" s="77">
        <f t="shared" si="1701"/>
        <v>2.5000000000000001E-3</v>
      </c>
      <c r="AF637" s="77">
        <f t="shared" ref="AF637" si="1817">1-(1-AE637)^(1/12)</f>
        <v>2.0857243058891584E-4</v>
      </c>
      <c r="AH637" t="s">
        <v>175</v>
      </c>
      <c r="AI637" t="s">
        <v>179</v>
      </c>
      <c r="AJ637" s="197" t="str">
        <f t="shared" si="1688"/>
        <v>Lifecycle_Dynamic_450</v>
      </c>
      <c r="AK637">
        <v>450</v>
      </c>
      <c r="AL637">
        <f>VLOOKUP($U637,[2]Standard_Dynamic!$Q$1:$T$542,2,FALSE)</f>
        <v>0.88888888888888884</v>
      </c>
      <c r="AM637">
        <f>VLOOKUP($U637,[2]Standard_Dynamic!$Q$1:$T$542,3,FALSE)</f>
        <v>0.11111111111111116</v>
      </c>
      <c r="AN637">
        <f>VLOOKUP($U637,[2]Standard_Dynamic!$Q$1:$T$542,4,FALSE)</f>
        <v>0</v>
      </c>
      <c r="AO637" s="77">
        <f t="shared" si="1689"/>
        <v>1</v>
      </c>
      <c r="AP637" s="77">
        <f t="shared" si="1703"/>
        <v>6.3149999999999984E-2</v>
      </c>
      <c r="AQ637" s="77">
        <f t="shared" si="1690"/>
        <v>5.1160591879111372E-3</v>
      </c>
      <c r="AR637" s="79">
        <v>0</v>
      </c>
      <c r="AS637" s="77">
        <f t="shared" si="1704"/>
        <v>0</v>
      </c>
      <c r="AT637" s="77">
        <f t="shared" ref="AT637" si="1818">1-(1-AS637)^(1/12)</f>
        <v>0</v>
      </c>
      <c r="AU637" s="77">
        <f t="shared" si="1706"/>
        <v>2.5000000000000001E-3</v>
      </c>
      <c r="AV637" s="77">
        <f t="shared" ref="AV637" si="1819">1-(1-AU637)^(1/12)</f>
        <v>2.0857243058891584E-4</v>
      </c>
      <c r="AX637" t="s">
        <v>178</v>
      </c>
      <c r="AY637" t="s">
        <v>162</v>
      </c>
      <c r="AZ637" s="197" t="str">
        <f t="shared" si="1786"/>
        <v>DIS_Standard_450</v>
      </c>
      <c r="BA637">
        <v>450</v>
      </c>
      <c r="BB637">
        <f>VLOOKUP($BA637,'[2]Standard DIS'!$Q$1:$X$542,4,FALSE)</f>
        <v>0</v>
      </c>
      <c r="BF637">
        <f>VLOOKUP($BA637,'[2]Standard DIS'!$Q$1:$X$542,2,FALSE)</f>
        <v>0.88888888888888884</v>
      </c>
      <c r="BH637">
        <f>VLOOKUP($BA637,'[2]Standard DIS'!$Q$1:$X$542,3,FALSE)</f>
        <v>0.11111111111111116</v>
      </c>
      <c r="BI637" s="77">
        <f t="shared" si="1693"/>
        <v>1</v>
      </c>
      <c r="BJ637" s="77">
        <f t="shared" si="1694"/>
        <v>6.3149999999999984E-2</v>
      </c>
      <c r="BK637" s="77">
        <f t="shared" si="1787"/>
        <v>5.1160591879111372E-3</v>
      </c>
      <c r="BL637" s="79">
        <v>0</v>
      </c>
      <c r="BM637" s="77">
        <f t="shared" si="1708"/>
        <v>0</v>
      </c>
      <c r="BN637" s="77">
        <f t="shared" si="1709"/>
        <v>0</v>
      </c>
      <c r="BO637" s="77">
        <f t="shared" si="1710"/>
        <v>2.5000000000000001E-3</v>
      </c>
      <c r="BP637" s="77">
        <f t="shared" si="1711"/>
        <v>2.0809499864316017E-4</v>
      </c>
    </row>
    <row r="638" spans="1:68">
      <c r="A638" t="s">
        <v>175</v>
      </c>
      <c r="B638" t="s">
        <v>179</v>
      </c>
      <c r="C638" s="197" t="str">
        <f t="shared" si="1752"/>
        <v>Lifecycle_Dynamic_449</v>
      </c>
      <c r="D638">
        <v>449</v>
      </c>
      <c r="E638">
        <f>VLOOKUP($D638,'[2]LC Dynamic'!$Q$2:$U$542,2,FALSE)</f>
        <v>0</v>
      </c>
      <c r="F638">
        <f>VLOOKUP($D638,'[2]LC Dynamic'!$Q$2:$U$542,3,FALSE)</f>
        <v>0</v>
      </c>
      <c r="G638">
        <f>VLOOKUP($D638,'[2]LC Dynamic'!$Q$2:$U$542,4,FALSE)</f>
        <v>0.308</v>
      </c>
      <c r="H638">
        <f>VLOOKUP($D638,'[2]LC Dynamic'!$Q$2:$U$542,5,FALSE)</f>
        <v>0.69199999999999995</v>
      </c>
      <c r="I638" s="77">
        <f t="shared" si="1684"/>
        <v>1</v>
      </c>
      <c r="J638" s="77">
        <f t="shared" si="1685"/>
        <v>6.9728499999999985E-2</v>
      </c>
      <c r="K638" s="77">
        <f t="shared" si="1759"/>
        <v>5.632878498097682E-3</v>
      </c>
      <c r="L638" s="76">
        <v>0</v>
      </c>
      <c r="M638" s="77">
        <f t="shared" si="1695"/>
        <v>0</v>
      </c>
      <c r="N638" s="77">
        <f t="shared" si="1696"/>
        <v>0</v>
      </c>
      <c r="O638" s="77">
        <f t="shared" si="1697"/>
        <v>5.6775999999999997E-3</v>
      </c>
      <c r="P638" s="77">
        <f t="shared" si="1698"/>
        <v>4.7436902124819991E-4</v>
      </c>
      <c r="R638" t="s">
        <v>177</v>
      </c>
      <c r="S638" t="s">
        <v>179</v>
      </c>
      <c r="T638" s="197" t="str">
        <f t="shared" si="1753"/>
        <v>Autopilot_Dynamic_449</v>
      </c>
      <c r="U638">
        <v>449</v>
      </c>
      <c r="V638">
        <f>VLOOKUP($U638,'[2]AP Dynamic'!$Q$1:$T$542,2,FALSE)</f>
        <v>0.88888888888888884</v>
      </c>
      <c r="W638">
        <f>VLOOKUP($U638,'[2]AP Dynamic'!$Q$1:$T$542,3,FALSE)</f>
        <v>0.11111111111111116</v>
      </c>
      <c r="X638">
        <f>VLOOKUP($U638,'[2]AP Dynamic'!$Q$1:$T$542,4,FALSE)</f>
        <v>0</v>
      </c>
      <c r="Y638" s="77">
        <f t="shared" si="1754"/>
        <v>1</v>
      </c>
      <c r="Z638" s="77">
        <f t="shared" si="1760"/>
        <v>6.3149999999999984E-2</v>
      </c>
      <c r="AA638" s="77">
        <f t="shared" si="1761"/>
        <v>5.1160591879111372E-3</v>
      </c>
      <c r="AB638" s="79">
        <v>1</v>
      </c>
      <c r="AC638" s="77">
        <f t="shared" si="1699"/>
        <v>8.277777777777778E-3</v>
      </c>
      <c r="AD638" s="77">
        <f t="shared" ref="AD638" si="1820">1-(1-AC638)^(1/12)</f>
        <v>6.9244588451522482E-4</v>
      </c>
      <c r="AE638" s="77">
        <f t="shared" si="1701"/>
        <v>2.5000000000000001E-3</v>
      </c>
      <c r="AF638" s="77">
        <f t="shared" ref="AF638" si="1821">1-(1-AE638)^(1/12)</f>
        <v>2.0857243058891584E-4</v>
      </c>
      <c r="AH638" t="s">
        <v>175</v>
      </c>
      <c r="AI638" t="s">
        <v>179</v>
      </c>
      <c r="AJ638" s="197" t="str">
        <f t="shared" si="1688"/>
        <v>Lifecycle_Dynamic_449</v>
      </c>
      <c r="AK638">
        <v>449</v>
      </c>
      <c r="AL638">
        <f>VLOOKUP($U638,[2]Standard_Dynamic!$Q$1:$T$542,2,FALSE)</f>
        <v>0.88888888888888884</v>
      </c>
      <c r="AM638">
        <f>VLOOKUP($U638,[2]Standard_Dynamic!$Q$1:$T$542,3,FALSE)</f>
        <v>0.11111111111111116</v>
      </c>
      <c r="AN638">
        <f>VLOOKUP($U638,[2]Standard_Dynamic!$Q$1:$T$542,4,FALSE)</f>
        <v>0</v>
      </c>
      <c r="AO638" s="77">
        <f t="shared" si="1689"/>
        <v>1</v>
      </c>
      <c r="AP638" s="77">
        <f t="shared" si="1703"/>
        <v>6.3149999999999984E-2</v>
      </c>
      <c r="AQ638" s="77">
        <f t="shared" si="1690"/>
        <v>5.1160591879111372E-3</v>
      </c>
      <c r="AR638" s="79">
        <v>0</v>
      </c>
      <c r="AS638" s="77">
        <f t="shared" si="1704"/>
        <v>0</v>
      </c>
      <c r="AT638" s="77">
        <f t="shared" ref="AT638" si="1822">1-(1-AS638)^(1/12)</f>
        <v>0</v>
      </c>
      <c r="AU638" s="77">
        <f t="shared" si="1706"/>
        <v>2.5000000000000001E-3</v>
      </c>
      <c r="AV638" s="77">
        <f t="shared" ref="AV638" si="1823">1-(1-AU638)^(1/12)</f>
        <v>2.0857243058891584E-4</v>
      </c>
      <c r="AX638" t="s">
        <v>178</v>
      </c>
      <c r="AY638" t="s">
        <v>162</v>
      </c>
      <c r="AZ638" s="197" t="str">
        <f t="shared" si="1786"/>
        <v>DIS_Standard_449</v>
      </c>
      <c r="BA638">
        <v>449</v>
      </c>
      <c r="BB638">
        <f>VLOOKUP($BA638,'[2]Standard DIS'!$Q$1:$X$542,4,FALSE)</f>
        <v>0</v>
      </c>
      <c r="BF638">
        <f>VLOOKUP($BA638,'[2]Standard DIS'!$Q$1:$X$542,2,FALSE)</f>
        <v>0.88888888888888884</v>
      </c>
      <c r="BH638">
        <f>VLOOKUP($BA638,'[2]Standard DIS'!$Q$1:$X$542,3,FALSE)</f>
        <v>0.11111111111111116</v>
      </c>
      <c r="BI638" s="77">
        <f t="shared" si="1693"/>
        <v>1</v>
      </c>
      <c r="BJ638" s="77">
        <f t="shared" si="1694"/>
        <v>6.3149999999999984E-2</v>
      </c>
      <c r="BK638" s="77">
        <f t="shared" si="1787"/>
        <v>5.1160591879111372E-3</v>
      </c>
      <c r="BL638" s="79">
        <v>0</v>
      </c>
      <c r="BM638" s="77">
        <f t="shared" si="1708"/>
        <v>0</v>
      </c>
      <c r="BN638" s="77">
        <f t="shared" si="1709"/>
        <v>0</v>
      </c>
      <c r="BO638" s="77">
        <f t="shared" si="1710"/>
        <v>2.5000000000000001E-3</v>
      </c>
      <c r="BP638" s="77">
        <f t="shared" si="1711"/>
        <v>2.0809499864316017E-4</v>
      </c>
    </row>
    <row r="639" spans="1:68">
      <c r="A639" t="s">
        <v>175</v>
      </c>
      <c r="B639" t="s">
        <v>179</v>
      </c>
      <c r="C639" s="197" t="str">
        <f t="shared" si="1752"/>
        <v>Lifecycle_Dynamic_448</v>
      </c>
      <c r="D639">
        <v>448</v>
      </c>
      <c r="E639">
        <f>VLOOKUP($D639,'[2]LC Dynamic'!$Q$2:$U$542,2,FALSE)</f>
        <v>0</v>
      </c>
      <c r="F639">
        <f>VLOOKUP($D639,'[2]LC Dynamic'!$Q$2:$U$542,3,FALSE)</f>
        <v>0</v>
      </c>
      <c r="G639">
        <f>VLOOKUP($D639,'[2]LC Dynamic'!$Q$2:$U$542,4,FALSE)</f>
        <v>0.308</v>
      </c>
      <c r="H639">
        <f>VLOOKUP($D639,'[2]LC Dynamic'!$Q$2:$U$542,5,FALSE)</f>
        <v>0.69199999999999995</v>
      </c>
      <c r="I639" s="77">
        <f t="shared" si="1684"/>
        <v>1</v>
      </c>
      <c r="J639" s="77">
        <f t="shared" si="1685"/>
        <v>6.9728499999999985E-2</v>
      </c>
      <c r="K639" s="77">
        <f t="shared" si="1759"/>
        <v>5.632878498097682E-3</v>
      </c>
      <c r="L639" s="76">
        <v>0</v>
      </c>
      <c r="M639" s="77">
        <f t="shared" si="1695"/>
        <v>0</v>
      </c>
      <c r="N639" s="77">
        <f t="shared" si="1696"/>
        <v>0</v>
      </c>
      <c r="O639" s="77">
        <f t="shared" si="1697"/>
        <v>5.6775999999999997E-3</v>
      </c>
      <c r="P639" s="77">
        <f t="shared" si="1698"/>
        <v>4.7436902124819991E-4</v>
      </c>
      <c r="R639" t="s">
        <v>177</v>
      </c>
      <c r="S639" t="s">
        <v>179</v>
      </c>
      <c r="T639" s="197" t="str">
        <f t="shared" si="1753"/>
        <v>Autopilot_Dynamic_448</v>
      </c>
      <c r="U639">
        <v>448</v>
      </c>
      <c r="V639">
        <f>VLOOKUP($U639,'[2]AP Dynamic'!$Q$1:$T$542,2,FALSE)</f>
        <v>0.88888888888888884</v>
      </c>
      <c r="W639">
        <f>VLOOKUP($U639,'[2]AP Dynamic'!$Q$1:$T$542,3,FALSE)</f>
        <v>0.11111111111111116</v>
      </c>
      <c r="X639">
        <f>VLOOKUP($U639,'[2]AP Dynamic'!$Q$1:$T$542,4,FALSE)</f>
        <v>0</v>
      </c>
      <c r="Y639" s="77">
        <f t="shared" si="1754"/>
        <v>1</v>
      </c>
      <c r="Z639" s="77">
        <f t="shared" si="1760"/>
        <v>6.3149999999999984E-2</v>
      </c>
      <c r="AA639" s="77">
        <f t="shared" si="1761"/>
        <v>5.1160591879111372E-3</v>
      </c>
      <c r="AB639" s="79">
        <v>1</v>
      </c>
      <c r="AC639" s="77">
        <f t="shared" si="1699"/>
        <v>8.277777777777778E-3</v>
      </c>
      <c r="AD639" s="77">
        <f t="shared" ref="AD639" si="1824">1-(1-AC639)^(1/12)</f>
        <v>6.9244588451522482E-4</v>
      </c>
      <c r="AE639" s="77">
        <f t="shared" si="1701"/>
        <v>2.5000000000000001E-3</v>
      </c>
      <c r="AF639" s="77">
        <f t="shared" ref="AF639" si="1825">1-(1-AE639)^(1/12)</f>
        <v>2.0857243058891584E-4</v>
      </c>
      <c r="AH639" t="s">
        <v>175</v>
      </c>
      <c r="AI639" t="s">
        <v>179</v>
      </c>
      <c r="AJ639" s="197" t="str">
        <f t="shared" si="1688"/>
        <v>Lifecycle_Dynamic_448</v>
      </c>
      <c r="AK639">
        <v>448</v>
      </c>
      <c r="AL639">
        <f>VLOOKUP($U639,[2]Standard_Dynamic!$Q$1:$T$542,2,FALSE)</f>
        <v>0.88888888888888884</v>
      </c>
      <c r="AM639">
        <f>VLOOKUP($U639,[2]Standard_Dynamic!$Q$1:$T$542,3,FALSE)</f>
        <v>0.11111111111111116</v>
      </c>
      <c r="AN639">
        <f>VLOOKUP($U639,[2]Standard_Dynamic!$Q$1:$T$542,4,FALSE)</f>
        <v>0</v>
      </c>
      <c r="AO639" s="77">
        <f t="shared" si="1689"/>
        <v>1</v>
      </c>
      <c r="AP639" s="77">
        <f t="shared" si="1703"/>
        <v>6.3149999999999984E-2</v>
      </c>
      <c r="AQ639" s="77">
        <f t="shared" si="1690"/>
        <v>5.1160591879111372E-3</v>
      </c>
      <c r="AR639" s="79">
        <v>0</v>
      </c>
      <c r="AS639" s="77">
        <f t="shared" si="1704"/>
        <v>0</v>
      </c>
      <c r="AT639" s="77">
        <f t="shared" ref="AT639" si="1826">1-(1-AS639)^(1/12)</f>
        <v>0</v>
      </c>
      <c r="AU639" s="77">
        <f t="shared" si="1706"/>
        <v>2.5000000000000001E-3</v>
      </c>
      <c r="AV639" s="77">
        <f t="shared" ref="AV639" si="1827">1-(1-AU639)^(1/12)</f>
        <v>2.0857243058891584E-4</v>
      </c>
      <c r="AX639" t="s">
        <v>178</v>
      </c>
      <c r="AY639" t="s">
        <v>162</v>
      </c>
      <c r="AZ639" s="197" t="str">
        <f t="shared" si="1786"/>
        <v>DIS_Standard_448</v>
      </c>
      <c r="BA639">
        <v>448</v>
      </c>
      <c r="BB639">
        <f>VLOOKUP($BA639,'[2]Standard DIS'!$Q$1:$X$542,4,FALSE)</f>
        <v>0</v>
      </c>
      <c r="BF639">
        <f>VLOOKUP($BA639,'[2]Standard DIS'!$Q$1:$X$542,2,FALSE)</f>
        <v>0.88888888888888884</v>
      </c>
      <c r="BH639">
        <f>VLOOKUP($BA639,'[2]Standard DIS'!$Q$1:$X$542,3,FALSE)</f>
        <v>0.11111111111111116</v>
      </c>
      <c r="BI639" s="77">
        <f t="shared" si="1693"/>
        <v>1</v>
      </c>
      <c r="BJ639" s="77">
        <f t="shared" si="1694"/>
        <v>6.3149999999999984E-2</v>
      </c>
      <c r="BK639" s="77">
        <f t="shared" si="1787"/>
        <v>5.1160591879111372E-3</v>
      </c>
      <c r="BL639" s="79">
        <v>0</v>
      </c>
      <c r="BM639" s="77">
        <f t="shared" si="1708"/>
        <v>0</v>
      </c>
      <c r="BN639" s="77">
        <f t="shared" si="1709"/>
        <v>0</v>
      </c>
      <c r="BO639" s="77">
        <f t="shared" si="1710"/>
        <v>2.5000000000000001E-3</v>
      </c>
      <c r="BP639" s="77">
        <f t="shared" si="1711"/>
        <v>2.0809499864316017E-4</v>
      </c>
    </row>
    <row r="640" spans="1:68">
      <c r="A640" t="s">
        <v>175</v>
      </c>
      <c r="B640" t="s">
        <v>179</v>
      </c>
      <c r="C640" s="197" t="str">
        <f t="shared" si="1752"/>
        <v>Lifecycle_Dynamic_447</v>
      </c>
      <c r="D640">
        <v>447</v>
      </c>
      <c r="E640">
        <f>VLOOKUP($D640,'[2]LC Dynamic'!$Q$2:$U$542,2,FALSE)</f>
        <v>0</v>
      </c>
      <c r="F640">
        <f>VLOOKUP($D640,'[2]LC Dynamic'!$Q$2:$U$542,3,FALSE)</f>
        <v>0</v>
      </c>
      <c r="G640">
        <f>VLOOKUP($D640,'[2]LC Dynamic'!$Q$2:$U$542,4,FALSE)</f>
        <v>0.308</v>
      </c>
      <c r="H640">
        <f>VLOOKUP($D640,'[2]LC Dynamic'!$Q$2:$U$542,5,FALSE)</f>
        <v>0.69199999999999995</v>
      </c>
      <c r="I640" s="77">
        <f t="shared" si="1684"/>
        <v>1</v>
      </c>
      <c r="J640" s="77">
        <f t="shared" si="1685"/>
        <v>6.9728499999999985E-2</v>
      </c>
      <c r="K640" s="77">
        <f t="shared" si="1759"/>
        <v>5.632878498097682E-3</v>
      </c>
      <c r="L640" s="76">
        <v>0</v>
      </c>
      <c r="M640" s="77">
        <f t="shared" si="1695"/>
        <v>0</v>
      </c>
      <c r="N640" s="77">
        <f t="shared" si="1696"/>
        <v>0</v>
      </c>
      <c r="O640" s="77">
        <f t="shared" si="1697"/>
        <v>5.6775999999999997E-3</v>
      </c>
      <c r="P640" s="77">
        <f t="shared" si="1698"/>
        <v>4.7436902124819991E-4</v>
      </c>
      <c r="R640" t="s">
        <v>177</v>
      </c>
      <c r="S640" t="s">
        <v>179</v>
      </c>
      <c r="T640" s="197" t="str">
        <f t="shared" si="1753"/>
        <v>Autopilot_Dynamic_447</v>
      </c>
      <c r="U640">
        <v>447</v>
      </c>
      <c r="V640">
        <f>VLOOKUP($U640,'[2]AP Dynamic'!$Q$1:$T$542,2,FALSE)</f>
        <v>0.88888888888888884</v>
      </c>
      <c r="W640">
        <f>VLOOKUP($U640,'[2]AP Dynamic'!$Q$1:$T$542,3,FALSE)</f>
        <v>0.11111111111111116</v>
      </c>
      <c r="X640">
        <f>VLOOKUP($U640,'[2]AP Dynamic'!$Q$1:$T$542,4,FALSE)</f>
        <v>0</v>
      </c>
      <c r="Y640" s="77">
        <f t="shared" si="1754"/>
        <v>1</v>
      </c>
      <c r="Z640" s="77">
        <f t="shared" si="1760"/>
        <v>6.3149999999999984E-2</v>
      </c>
      <c r="AA640" s="77">
        <f t="shared" si="1761"/>
        <v>5.1160591879111372E-3</v>
      </c>
      <c r="AB640" s="79">
        <v>1</v>
      </c>
      <c r="AC640" s="77">
        <f t="shared" si="1699"/>
        <v>8.277777777777778E-3</v>
      </c>
      <c r="AD640" s="77">
        <f t="shared" ref="AD640" si="1828">1-(1-AC640)^(1/12)</f>
        <v>6.9244588451522482E-4</v>
      </c>
      <c r="AE640" s="77">
        <f t="shared" si="1701"/>
        <v>2.5000000000000001E-3</v>
      </c>
      <c r="AF640" s="77">
        <f t="shared" ref="AF640" si="1829">1-(1-AE640)^(1/12)</f>
        <v>2.0857243058891584E-4</v>
      </c>
      <c r="AH640" t="s">
        <v>175</v>
      </c>
      <c r="AI640" t="s">
        <v>179</v>
      </c>
      <c r="AJ640" s="197" t="str">
        <f t="shared" si="1688"/>
        <v>Lifecycle_Dynamic_447</v>
      </c>
      <c r="AK640">
        <v>447</v>
      </c>
      <c r="AL640">
        <f>VLOOKUP($U640,[2]Standard_Dynamic!$Q$1:$T$542,2,FALSE)</f>
        <v>0.88888888888888884</v>
      </c>
      <c r="AM640">
        <f>VLOOKUP($U640,[2]Standard_Dynamic!$Q$1:$T$542,3,FALSE)</f>
        <v>0.11111111111111116</v>
      </c>
      <c r="AN640">
        <f>VLOOKUP($U640,[2]Standard_Dynamic!$Q$1:$T$542,4,FALSE)</f>
        <v>0</v>
      </c>
      <c r="AO640" s="77">
        <f t="shared" si="1689"/>
        <v>1</v>
      </c>
      <c r="AP640" s="77">
        <f t="shared" si="1703"/>
        <v>6.3149999999999984E-2</v>
      </c>
      <c r="AQ640" s="77">
        <f t="shared" si="1690"/>
        <v>5.1160591879111372E-3</v>
      </c>
      <c r="AR640" s="79">
        <v>0</v>
      </c>
      <c r="AS640" s="77">
        <f t="shared" si="1704"/>
        <v>0</v>
      </c>
      <c r="AT640" s="77">
        <f t="shared" ref="AT640" si="1830">1-(1-AS640)^(1/12)</f>
        <v>0</v>
      </c>
      <c r="AU640" s="77">
        <f t="shared" si="1706"/>
        <v>2.5000000000000001E-3</v>
      </c>
      <c r="AV640" s="77">
        <f t="shared" ref="AV640" si="1831">1-(1-AU640)^(1/12)</f>
        <v>2.0857243058891584E-4</v>
      </c>
      <c r="AX640" t="s">
        <v>178</v>
      </c>
      <c r="AY640" t="s">
        <v>162</v>
      </c>
      <c r="AZ640" s="197" t="str">
        <f t="shared" si="1786"/>
        <v>DIS_Standard_447</v>
      </c>
      <c r="BA640">
        <v>447</v>
      </c>
      <c r="BB640">
        <f>VLOOKUP($BA640,'[2]Standard DIS'!$Q$1:$X$542,4,FALSE)</f>
        <v>0</v>
      </c>
      <c r="BF640">
        <f>VLOOKUP($BA640,'[2]Standard DIS'!$Q$1:$X$542,2,FALSE)</f>
        <v>0.88888888888888884</v>
      </c>
      <c r="BH640">
        <f>VLOOKUP($BA640,'[2]Standard DIS'!$Q$1:$X$542,3,FALSE)</f>
        <v>0.11111111111111116</v>
      </c>
      <c r="BI640" s="77">
        <f t="shared" si="1693"/>
        <v>1</v>
      </c>
      <c r="BJ640" s="77">
        <f t="shared" si="1694"/>
        <v>6.3149999999999984E-2</v>
      </c>
      <c r="BK640" s="77">
        <f t="shared" si="1787"/>
        <v>5.1160591879111372E-3</v>
      </c>
      <c r="BL640" s="79">
        <v>0</v>
      </c>
      <c r="BM640" s="77">
        <f t="shared" si="1708"/>
        <v>0</v>
      </c>
      <c r="BN640" s="77">
        <f t="shared" si="1709"/>
        <v>0</v>
      </c>
      <c r="BO640" s="77">
        <f t="shared" si="1710"/>
        <v>2.5000000000000001E-3</v>
      </c>
      <c r="BP640" s="77">
        <f t="shared" si="1711"/>
        <v>2.0809499864316017E-4</v>
      </c>
    </row>
    <row r="641" spans="1:68">
      <c r="A641" t="s">
        <v>175</v>
      </c>
      <c r="B641" t="s">
        <v>179</v>
      </c>
      <c r="C641" s="197" t="str">
        <f t="shared" si="1752"/>
        <v>Lifecycle_Dynamic_446</v>
      </c>
      <c r="D641">
        <v>446</v>
      </c>
      <c r="E641">
        <f>VLOOKUP($D641,'[2]LC Dynamic'!$Q$2:$U$542,2,FALSE)</f>
        <v>0</v>
      </c>
      <c r="F641">
        <f>VLOOKUP($D641,'[2]LC Dynamic'!$Q$2:$U$542,3,FALSE)</f>
        <v>0</v>
      </c>
      <c r="G641">
        <f>VLOOKUP($D641,'[2]LC Dynamic'!$Q$2:$U$542,4,FALSE)</f>
        <v>0.308</v>
      </c>
      <c r="H641">
        <f>VLOOKUP($D641,'[2]LC Dynamic'!$Q$2:$U$542,5,FALSE)</f>
        <v>0.69199999999999995</v>
      </c>
      <c r="I641" s="77">
        <f t="shared" si="1684"/>
        <v>1</v>
      </c>
      <c r="J641" s="77">
        <f t="shared" si="1685"/>
        <v>6.9728499999999985E-2</v>
      </c>
      <c r="K641" s="77">
        <f t="shared" si="1759"/>
        <v>5.632878498097682E-3</v>
      </c>
      <c r="L641" s="76">
        <v>0</v>
      </c>
      <c r="M641" s="77">
        <f t="shared" si="1695"/>
        <v>0</v>
      </c>
      <c r="N641" s="77">
        <f t="shared" si="1696"/>
        <v>0</v>
      </c>
      <c r="O641" s="77">
        <f t="shared" si="1697"/>
        <v>5.6775999999999997E-3</v>
      </c>
      <c r="P641" s="77">
        <f t="shared" si="1698"/>
        <v>4.7436902124819991E-4</v>
      </c>
      <c r="R641" t="s">
        <v>177</v>
      </c>
      <c r="S641" t="s">
        <v>179</v>
      </c>
      <c r="T641" s="197" t="str">
        <f t="shared" si="1753"/>
        <v>Autopilot_Dynamic_446</v>
      </c>
      <c r="U641">
        <v>446</v>
      </c>
      <c r="V641">
        <f>VLOOKUP($U641,'[2]AP Dynamic'!$Q$1:$T$542,2,FALSE)</f>
        <v>0.88888888888888884</v>
      </c>
      <c r="W641">
        <f>VLOOKUP($U641,'[2]AP Dynamic'!$Q$1:$T$542,3,FALSE)</f>
        <v>0.11111111111111116</v>
      </c>
      <c r="X641">
        <f>VLOOKUP($U641,'[2]AP Dynamic'!$Q$1:$T$542,4,FALSE)</f>
        <v>0</v>
      </c>
      <c r="Y641" s="77">
        <f t="shared" si="1754"/>
        <v>1</v>
      </c>
      <c r="Z641" s="77">
        <f t="shared" si="1760"/>
        <v>6.3149999999999984E-2</v>
      </c>
      <c r="AA641" s="77">
        <f t="shared" si="1761"/>
        <v>5.1160591879111372E-3</v>
      </c>
      <c r="AB641" s="79">
        <v>1</v>
      </c>
      <c r="AC641" s="77">
        <f t="shared" si="1699"/>
        <v>8.277777777777778E-3</v>
      </c>
      <c r="AD641" s="77">
        <f t="shared" ref="AD641" si="1832">1-(1-AC641)^(1/12)</f>
        <v>6.9244588451522482E-4</v>
      </c>
      <c r="AE641" s="77">
        <f t="shared" si="1701"/>
        <v>2.5000000000000001E-3</v>
      </c>
      <c r="AF641" s="77">
        <f t="shared" ref="AF641" si="1833">1-(1-AE641)^(1/12)</f>
        <v>2.0857243058891584E-4</v>
      </c>
      <c r="AH641" t="s">
        <v>175</v>
      </c>
      <c r="AI641" t="s">
        <v>179</v>
      </c>
      <c r="AJ641" s="197" t="str">
        <f t="shared" si="1688"/>
        <v>Lifecycle_Dynamic_446</v>
      </c>
      <c r="AK641">
        <v>446</v>
      </c>
      <c r="AL641">
        <f>VLOOKUP($U641,[2]Standard_Dynamic!$Q$1:$T$542,2,FALSE)</f>
        <v>0.88888888888888884</v>
      </c>
      <c r="AM641">
        <f>VLOOKUP($U641,[2]Standard_Dynamic!$Q$1:$T$542,3,FALSE)</f>
        <v>0.11111111111111116</v>
      </c>
      <c r="AN641">
        <f>VLOOKUP($U641,[2]Standard_Dynamic!$Q$1:$T$542,4,FALSE)</f>
        <v>0</v>
      </c>
      <c r="AO641" s="77">
        <f t="shared" si="1689"/>
        <v>1</v>
      </c>
      <c r="AP641" s="77">
        <f t="shared" si="1703"/>
        <v>6.3149999999999984E-2</v>
      </c>
      <c r="AQ641" s="77">
        <f t="shared" si="1690"/>
        <v>5.1160591879111372E-3</v>
      </c>
      <c r="AR641" s="79">
        <v>0</v>
      </c>
      <c r="AS641" s="77">
        <f t="shared" si="1704"/>
        <v>0</v>
      </c>
      <c r="AT641" s="77">
        <f t="shared" ref="AT641" si="1834">1-(1-AS641)^(1/12)</f>
        <v>0</v>
      </c>
      <c r="AU641" s="77">
        <f t="shared" si="1706"/>
        <v>2.5000000000000001E-3</v>
      </c>
      <c r="AV641" s="77">
        <f t="shared" ref="AV641" si="1835">1-(1-AU641)^(1/12)</f>
        <v>2.0857243058891584E-4</v>
      </c>
      <c r="AX641" t="s">
        <v>178</v>
      </c>
      <c r="AY641" t="s">
        <v>162</v>
      </c>
      <c r="AZ641" s="197" t="str">
        <f t="shared" si="1786"/>
        <v>DIS_Standard_446</v>
      </c>
      <c r="BA641">
        <v>446</v>
      </c>
      <c r="BB641">
        <f>VLOOKUP($BA641,'[2]Standard DIS'!$Q$1:$X$542,4,FALSE)</f>
        <v>0</v>
      </c>
      <c r="BF641">
        <f>VLOOKUP($BA641,'[2]Standard DIS'!$Q$1:$X$542,2,FALSE)</f>
        <v>0.88888888888888884</v>
      </c>
      <c r="BH641">
        <f>VLOOKUP($BA641,'[2]Standard DIS'!$Q$1:$X$542,3,FALSE)</f>
        <v>0.11111111111111116</v>
      </c>
      <c r="BI641" s="77">
        <f t="shared" si="1693"/>
        <v>1</v>
      </c>
      <c r="BJ641" s="77">
        <f t="shared" si="1694"/>
        <v>6.3149999999999984E-2</v>
      </c>
      <c r="BK641" s="77">
        <f t="shared" si="1787"/>
        <v>5.1160591879111372E-3</v>
      </c>
      <c r="BL641" s="79">
        <v>0</v>
      </c>
      <c r="BM641" s="77">
        <f t="shared" si="1708"/>
        <v>0</v>
      </c>
      <c r="BN641" s="77">
        <f t="shared" si="1709"/>
        <v>0</v>
      </c>
      <c r="BO641" s="77">
        <f t="shared" si="1710"/>
        <v>2.5000000000000001E-3</v>
      </c>
      <c r="BP641" s="77">
        <f t="shared" si="1711"/>
        <v>2.0809499864316017E-4</v>
      </c>
    </row>
    <row r="642" spans="1:68">
      <c r="A642" t="s">
        <v>175</v>
      </c>
      <c r="B642" t="s">
        <v>179</v>
      </c>
      <c r="C642" s="197" t="str">
        <f t="shared" si="1752"/>
        <v>Lifecycle_Dynamic_445</v>
      </c>
      <c r="D642">
        <v>445</v>
      </c>
      <c r="E642">
        <f>VLOOKUP($D642,'[2]LC Dynamic'!$Q$2:$U$542,2,FALSE)</f>
        <v>0</v>
      </c>
      <c r="F642">
        <f>VLOOKUP($D642,'[2]LC Dynamic'!$Q$2:$U$542,3,FALSE)</f>
        <v>0</v>
      </c>
      <c r="G642">
        <f>VLOOKUP($D642,'[2]LC Dynamic'!$Q$2:$U$542,4,FALSE)</f>
        <v>0.308</v>
      </c>
      <c r="H642">
        <f>VLOOKUP($D642,'[2]LC Dynamic'!$Q$2:$U$542,5,FALSE)</f>
        <v>0.69199999999999995</v>
      </c>
      <c r="I642" s="77">
        <f t="shared" si="1684"/>
        <v>1</v>
      </c>
      <c r="J642" s="77">
        <f t="shared" si="1685"/>
        <v>6.9728499999999985E-2</v>
      </c>
      <c r="K642" s="77">
        <f t="shared" si="1759"/>
        <v>5.632878498097682E-3</v>
      </c>
      <c r="L642" s="76">
        <v>0</v>
      </c>
      <c r="M642" s="77">
        <f t="shared" si="1695"/>
        <v>0</v>
      </c>
      <c r="N642" s="77">
        <f t="shared" si="1696"/>
        <v>0</v>
      </c>
      <c r="O642" s="77">
        <f t="shared" si="1697"/>
        <v>5.6775999999999997E-3</v>
      </c>
      <c r="P642" s="77">
        <f t="shared" si="1698"/>
        <v>4.7436902124819991E-4</v>
      </c>
      <c r="R642" t="s">
        <v>177</v>
      </c>
      <c r="S642" t="s">
        <v>179</v>
      </c>
      <c r="T642" s="197" t="str">
        <f t="shared" si="1753"/>
        <v>Autopilot_Dynamic_445</v>
      </c>
      <c r="U642">
        <v>445</v>
      </c>
      <c r="V642">
        <f>VLOOKUP($U642,'[2]AP Dynamic'!$Q$1:$T$542,2,FALSE)</f>
        <v>0.88888888888888884</v>
      </c>
      <c r="W642">
        <f>VLOOKUP($U642,'[2]AP Dynamic'!$Q$1:$T$542,3,FALSE)</f>
        <v>0.11111111111111116</v>
      </c>
      <c r="X642">
        <f>VLOOKUP($U642,'[2]AP Dynamic'!$Q$1:$T$542,4,FALSE)</f>
        <v>0</v>
      </c>
      <c r="Y642" s="77">
        <f t="shared" si="1754"/>
        <v>1</v>
      </c>
      <c r="Z642" s="77">
        <f t="shared" si="1760"/>
        <v>6.3149999999999984E-2</v>
      </c>
      <c r="AA642" s="77">
        <f t="shared" si="1761"/>
        <v>5.1160591879111372E-3</v>
      </c>
      <c r="AB642" s="79">
        <v>1</v>
      </c>
      <c r="AC642" s="77">
        <f t="shared" si="1699"/>
        <v>8.277777777777778E-3</v>
      </c>
      <c r="AD642" s="77">
        <f t="shared" ref="AD642" si="1836">1-(1-AC642)^(1/12)</f>
        <v>6.9244588451522482E-4</v>
      </c>
      <c r="AE642" s="77">
        <f t="shared" si="1701"/>
        <v>2.5000000000000001E-3</v>
      </c>
      <c r="AF642" s="77">
        <f t="shared" ref="AF642" si="1837">1-(1-AE642)^(1/12)</f>
        <v>2.0857243058891584E-4</v>
      </c>
      <c r="AH642" t="s">
        <v>175</v>
      </c>
      <c r="AI642" t="s">
        <v>179</v>
      </c>
      <c r="AJ642" s="197" t="str">
        <f t="shared" si="1688"/>
        <v>Lifecycle_Dynamic_445</v>
      </c>
      <c r="AK642">
        <v>445</v>
      </c>
      <c r="AL642">
        <f>VLOOKUP($U642,[2]Standard_Dynamic!$Q$1:$T$542,2,FALSE)</f>
        <v>0.88888888888888884</v>
      </c>
      <c r="AM642">
        <f>VLOOKUP($U642,[2]Standard_Dynamic!$Q$1:$T$542,3,FALSE)</f>
        <v>0.11111111111111116</v>
      </c>
      <c r="AN642">
        <f>VLOOKUP($U642,[2]Standard_Dynamic!$Q$1:$T$542,4,FALSE)</f>
        <v>0</v>
      </c>
      <c r="AO642" s="77">
        <f t="shared" si="1689"/>
        <v>1</v>
      </c>
      <c r="AP642" s="77">
        <f t="shared" si="1703"/>
        <v>6.3149999999999984E-2</v>
      </c>
      <c r="AQ642" s="77">
        <f t="shared" si="1690"/>
        <v>5.1160591879111372E-3</v>
      </c>
      <c r="AR642" s="79">
        <v>0</v>
      </c>
      <c r="AS642" s="77">
        <f t="shared" si="1704"/>
        <v>0</v>
      </c>
      <c r="AT642" s="77">
        <f t="shared" ref="AT642" si="1838">1-(1-AS642)^(1/12)</f>
        <v>0</v>
      </c>
      <c r="AU642" s="77">
        <f t="shared" si="1706"/>
        <v>2.5000000000000001E-3</v>
      </c>
      <c r="AV642" s="77">
        <f t="shared" ref="AV642" si="1839">1-(1-AU642)^(1/12)</f>
        <v>2.0857243058891584E-4</v>
      </c>
      <c r="AX642" t="s">
        <v>178</v>
      </c>
      <c r="AY642" t="s">
        <v>162</v>
      </c>
      <c r="AZ642" s="197" t="str">
        <f t="shared" si="1786"/>
        <v>DIS_Standard_445</v>
      </c>
      <c r="BA642">
        <v>445</v>
      </c>
      <c r="BB642">
        <f>VLOOKUP($BA642,'[2]Standard DIS'!$Q$1:$X$542,4,FALSE)</f>
        <v>0</v>
      </c>
      <c r="BF642">
        <f>VLOOKUP($BA642,'[2]Standard DIS'!$Q$1:$X$542,2,FALSE)</f>
        <v>0.88888888888888884</v>
      </c>
      <c r="BH642">
        <f>VLOOKUP($BA642,'[2]Standard DIS'!$Q$1:$X$542,3,FALSE)</f>
        <v>0.11111111111111116</v>
      </c>
      <c r="BI642" s="77">
        <f t="shared" si="1693"/>
        <v>1</v>
      </c>
      <c r="BJ642" s="77">
        <f t="shared" si="1694"/>
        <v>6.3149999999999984E-2</v>
      </c>
      <c r="BK642" s="77">
        <f t="shared" si="1787"/>
        <v>5.1160591879111372E-3</v>
      </c>
      <c r="BL642" s="79">
        <v>0</v>
      </c>
      <c r="BM642" s="77">
        <f t="shared" si="1708"/>
        <v>0</v>
      </c>
      <c r="BN642" s="77">
        <f t="shared" si="1709"/>
        <v>0</v>
      </c>
      <c r="BO642" s="77">
        <f t="shared" si="1710"/>
        <v>2.5000000000000001E-3</v>
      </c>
      <c r="BP642" s="77">
        <f t="shared" si="1711"/>
        <v>2.0809499864316017E-4</v>
      </c>
    </row>
    <row r="643" spans="1:68">
      <c r="A643" t="s">
        <v>175</v>
      </c>
      <c r="B643" t="s">
        <v>179</v>
      </c>
      <c r="C643" s="197" t="str">
        <f t="shared" si="1752"/>
        <v>Lifecycle_Dynamic_444</v>
      </c>
      <c r="D643">
        <v>444</v>
      </c>
      <c r="E643">
        <f>VLOOKUP($D643,'[2]LC Dynamic'!$Q$2:$U$542,2,FALSE)</f>
        <v>0</v>
      </c>
      <c r="F643">
        <f>VLOOKUP($D643,'[2]LC Dynamic'!$Q$2:$U$542,3,FALSE)</f>
        <v>0</v>
      </c>
      <c r="G643">
        <f>VLOOKUP($D643,'[2]LC Dynamic'!$Q$2:$U$542,4,FALSE)</f>
        <v>0.308</v>
      </c>
      <c r="H643">
        <f>VLOOKUP($D643,'[2]LC Dynamic'!$Q$2:$U$542,5,FALSE)</f>
        <v>0.69199999999999995</v>
      </c>
      <c r="I643" s="77">
        <f t="shared" si="1684"/>
        <v>1</v>
      </c>
      <c r="J643" s="77">
        <f t="shared" si="1685"/>
        <v>6.9728499999999985E-2</v>
      </c>
      <c r="K643" s="77">
        <f t="shared" si="1759"/>
        <v>5.632878498097682E-3</v>
      </c>
      <c r="L643" s="76">
        <v>0</v>
      </c>
      <c r="M643" s="77">
        <f t="shared" si="1695"/>
        <v>0</v>
      </c>
      <c r="N643" s="77">
        <f t="shared" si="1696"/>
        <v>0</v>
      </c>
      <c r="O643" s="77">
        <f t="shared" si="1697"/>
        <v>5.6775999999999997E-3</v>
      </c>
      <c r="P643" s="77">
        <f t="shared" si="1698"/>
        <v>4.7436902124819991E-4</v>
      </c>
      <c r="R643" t="s">
        <v>177</v>
      </c>
      <c r="S643" t="s">
        <v>179</v>
      </c>
      <c r="T643" s="197" t="str">
        <f t="shared" si="1753"/>
        <v>Autopilot_Dynamic_444</v>
      </c>
      <c r="U643">
        <v>444</v>
      </c>
      <c r="V643">
        <f>VLOOKUP($U643,'[2]AP Dynamic'!$Q$1:$T$542,2,FALSE)</f>
        <v>0.88888888888888884</v>
      </c>
      <c r="W643">
        <f>VLOOKUP($U643,'[2]AP Dynamic'!$Q$1:$T$542,3,FALSE)</f>
        <v>0.11111111111111116</v>
      </c>
      <c r="X643">
        <f>VLOOKUP($U643,'[2]AP Dynamic'!$Q$1:$T$542,4,FALSE)</f>
        <v>0</v>
      </c>
      <c r="Y643" s="77">
        <f t="shared" si="1754"/>
        <v>1</v>
      </c>
      <c r="Z643" s="77">
        <f t="shared" si="1760"/>
        <v>6.3149999999999984E-2</v>
      </c>
      <c r="AA643" s="77">
        <f t="shared" si="1761"/>
        <v>5.1160591879111372E-3</v>
      </c>
      <c r="AB643" s="79">
        <v>1</v>
      </c>
      <c r="AC643" s="77">
        <f t="shared" si="1699"/>
        <v>8.277777777777778E-3</v>
      </c>
      <c r="AD643" s="77">
        <f t="shared" ref="AD643" si="1840">1-(1-AC643)^(1/12)</f>
        <v>6.9244588451522482E-4</v>
      </c>
      <c r="AE643" s="77">
        <f t="shared" si="1701"/>
        <v>2.5000000000000001E-3</v>
      </c>
      <c r="AF643" s="77">
        <f t="shared" ref="AF643" si="1841">1-(1-AE643)^(1/12)</f>
        <v>2.0857243058891584E-4</v>
      </c>
      <c r="AH643" t="s">
        <v>175</v>
      </c>
      <c r="AI643" t="s">
        <v>179</v>
      </c>
      <c r="AJ643" s="197" t="str">
        <f t="shared" si="1688"/>
        <v>Lifecycle_Dynamic_444</v>
      </c>
      <c r="AK643">
        <v>444</v>
      </c>
      <c r="AL643">
        <f>VLOOKUP($U643,[2]Standard_Dynamic!$Q$1:$T$542,2,FALSE)</f>
        <v>0.88888888888888884</v>
      </c>
      <c r="AM643">
        <f>VLOOKUP($U643,[2]Standard_Dynamic!$Q$1:$T$542,3,FALSE)</f>
        <v>0.11111111111111116</v>
      </c>
      <c r="AN643">
        <f>VLOOKUP($U643,[2]Standard_Dynamic!$Q$1:$T$542,4,FALSE)</f>
        <v>0</v>
      </c>
      <c r="AO643" s="77">
        <f t="shared" si="1689"/>
        <v>1</v>
      </c>
      <c r="AP643" s="77">
        <f t="shared" si="1703"/>
        <v>6.3149999999999984E-2</v>
      </c>
      <c r="AQ643" s="77">
        <f t="shared" si="1690"/>
        <v>5.1160591879111372E-3</v>
      </c>
      <c r="AR643" s="79">
        <v>0</v>
      </c>
      <c r="AS643" s="77">
        <f t="shared" si="1704"/>
        <v>0</v>
      </c>
      <c r="AT643" s="77">
        <f t="shared" ref="AT643" si="1842">1-(1-AS643)^(1/12)</f>
        <v>0</v>
      </c>
      <c r="AU643" s="77">
        <f t="shared" si="1706"/>
        <v>2.5000000000000001E-3</v>
      </c>
      <c r="AV643" s="77">
        <f t="shared" ref="AV643" si="1843">1-(1-AU643)^(1/12)</f>
        <v>2.0857243058891584E-4</v>
      </c>
      <c r="AX643" t="s">
        <v>178</v>
      </c>
      <c r="AY643" t="s">
        <v>162</v>
      </c>
      <c r="AZ643" s="197" t="str">
        <f t="shared" si="1786"/>
        <v>DIS_Standard_444</v>
      </c>
      <c r="BA643">
        <v>444</v>
      </c>
      <c r="BB643">
        <f>VLOOKUP($BA643,'[2]Standard DIS'!$Q$1:$X$542,4,FALSE)</f>
        <v>0</v>
      </c>
      <c r="BF643">
        <f>VLOOKUP($BA643,'[2]Standard DIS'!$Q$1:$X$542,2,FALSE)</f>
        <v>0.88888888888888884</v>
      </c>
      <c r="BH643">
        <f>VLOOKUP($BA643,'[2]Standard DIS'!$Q$1:$X$542,3,FALSE)</f>
        <v>0.11111111111111116</v>
      </c>
      <c r="BI643" s="77">
        <f t="shared" si="1693"/>
        <v>1</v>
      </c>
      <c r="BJ643" s="77">
        <f t="shared" si="1694"/>
        <v>6.3149999999999984E-2</v>
      </c>
      <c r="BK643" s="77">
        <f t="shared" si="1787"/>
        <v>5.1160591879111372E-3</v>
      </c>
      <c r="BL643" s="79">
        <v>0</v>
      </c>
      <c r="BM643" s="77">
        <f t="shared" si="1708"/>
        <v>0</v>
      </c>
      <c r="BN643" s="77">
        <f t="shared" si="1709"/>
        <v>0</v>
      </c>
      <c r="BO643" s="77">
        <f t="shared" si="1710"/>
        <v>2.5000000000000001E-3</v>
      </c>
      <c r="BP643" s="77">
        <f t="shared" si="1711"/>
        <v>2.0809499864316017E-4</v>
      </c>
    </row>
    <row r="644" spans="1:68">
      <c r="A644" t="s">
        <v>175</v>
      </c>
      <c r="B644" t="s">
        <v>179</v>
      </c>
      <c r="C644" s="197" t="str">
        <f t="shared" si="1752"/>
        <v>Lifecycle_Dynamic_443</v>
      </c>
      <c r="D644">
        <v>443</v>
      </c>
      <c r="E644">
        <f>VLOOKUP($D644,'[2]LC Dynamic'!$Q$2:$U$542,2,FALSE)</f>
        <v>0</v>
      </c>
      <c r="F644">
        <f>VLOOKUP($D644,'[2]LC Dynamic'!$Q$2:$U$542,3,FALSE)</f>
        <v>0</v>
      </c>
      <c r="G644">
        <f>VLOOKUP($D644,'[2]LC Dynamic'!$Q$2:$U$542,4,FALSE)</f>
        <v>0.308</v>
      </c>
      <c r="H644">
        <f>VLOOKUP($D644,'[2]LC Dynamic'!$Q$2:$U$542,5,FALSE)</f>
        <v>0.69199999999999995</v>
      </c>
      <c r="I644" s="77">
        <f t="shared" si="1684"/>
        <v>1</v>
      </c>
      <c r="J644" s="77">
        <f t="shared" si="1685"/>
        <v>6.9728499999999985E-2</v>
      </c>
      <c r="K644" s="77">
        <f t="shared" si="1759"/>
        <v>5.632878498097682E-3</v>
      </c>
      <c r="L644" s="76">
        <v>0</v>
      </c>
      <c r="M644" s="77">
        <f t="shared" si="1695"/>
        <v>0</v>
      </c>
      <c r="N644" s="77">
        <f t="shared" si="1696"/>
        <v>0</v>
      </c>
      <c r="O644" s="77">
        <f t="shared" si="1697"/>
        <v>5.6775999999999997E-3</v>
      </c>
      <c r="P644" s="77">
        <f t="shared" si="1698"/>
        <v>4.7436902124819991E-4</v>
      </c>
      <c r="R644" t="s">
        <v>177</v>
      </c>
      <c r="S644" t="s">
        <v>179</v>
      </c>
      <c r="T644" s="197" t="str">
        <f t="shared" si="1753"/>
        <v>Autopilot_Dynamic_443</v>
      </c>
      <c r="U644">
        <v>443</v>
      </c>
      <c r="V644">
        <f>VLOOKUP($U644,'[2]AP Dynamic'!$Q$1:$T$542,2,FALSE)</f>
        <v>0.88888888888888884</v>
      </c>
      <c r="W644">
        <f>VLOOKUP($U644,'[2]AP Dynamic'!$Q$1:$T$542,3,FALSE)</f>
        <v>0.11111111111111116</v>
      </c>
      <c r="X644">
        <f>VLOOKUP($U644,'[2]AP Dynamic'!$Q$1:$T$542,4,FALSE)</f>
        <v>0</v>
      </c>
      <c r="Y644" s="77">
        <f t="shared" si="1754"/>
        <v>1</v>
      </c>
      <c r="Z644" s="77">
        <f t="shared" si="1760"/>
        <v>6.3149999999999984E-2</v>
      </c>
      <c r="AA644" s="77">
        <f t="shared" si="1761"/>
        <v>5.1160591879111372E-3</v>
      </c>
      <c r="AB644" s="79">
        <v>1</v>
      </c>
      <c r="AC644" s="77">
        <f t="shared" si="1699"/>
        <v>8.277777777777778E-3</v>
      </c>
      <c r="AD644" s="77">
        <f t="shared" ref="AD644" si="1844">1-(1-AC644)^(1/12)</f>
        <v>6.9244588451522482E-4</v>
      </c>
      <c r="AE644" s="77">
        <f t="shared" si="1701"/>
        <v>2.5000000000000001E-3</v>
      </c>
      <c r="AF644" s="77">
        <f t="shared" ref="AF644" si="1845">1-(1-AE644)^(1/12)</f>
        <v>2.0857243058891584E-4</v>
      </c>
      <c r="AH644" t="s">
        <v>175</v>
      </c>
      <c r="AI644" t="s">
        <v>179</v>
      </c>
      <c r="AJ644" s="197" t="str">
        <f t="shared" si="1688"/>
        <v>Lifecycle_Dynamic_443</v>
      </c>
      <c r="AK644">
        <v>443</v>
      </c>
      <c r="AL644">
        <f>VLOOKUP($U644,[2]Standard_Dynamic!$Q$1:$T$542,2,FALSE)</f>
        <v>0.88888888888888884</v>
      </c>
      <c r="AM644">
        <f>VLOOKUP($U644,[2]Standard_Dynamic!$Q$1:$T$542,3,FALSE)</f>
        <v>0.11111111111111116</v>
      </c>
      <c r="AN644">
        <f>VLOOKUP($U644,[2]Standard_Dynamic!$Q$1:$T$542,4,FALSE)</f>
        <v>0</v>
      </c>
      <c r="AO644" s="77">
        <f t="shared" si="1689"/>
        <v>1</v>
      </c>
      <c r="AP644" s="77">
        <f t="shared" si="1703"/>
        <v>6.3149999999999984E-2</v>
      </c>
      <c r="AQ644" s="77">
        <f t="shared" si="1690"/>
        <v>5.1160591879111372E-3</v>
      </c>
      <c r="AR644" s="79">
        <v>0</v>
      </c>
      <c r="AS644" s="77">
        <f t="shared" si="1704"/>
        <v>0</v>
      </c>
      <c r="AT644" s="77">
        <f t="shared" ref="AT644" si="1846">1-(1-AS644)^(1/12)</f>
        <v>0</v>
      </c>
      <c r="AU644" s="77">
        <f t="shared" si="1706"/>
        <v>2.5000000000000001E-3</v>
      </c>
      <c r="AV644" s="77">
        <f t="shared" ref="AV644" si="1847">1-(1-AU644)^(1/12)</f>
        <v>2.0857243058891584E-4</v>
      </c>
      <c r="AX644" t="s">
        <v>178</v>
      </c>
      <c r="AY644" t="s">
        <v>162</v>
      </c>
      <c r="AZ644" s="197" t="str">
        <f t="shared" si="1786"/>
        <v>DIS_Standard_443</v>
      </c>
      <c r="BA644">
        <v>443</v>
      </c>
      <c r="BB644">
        <f>VLOOKUP($BA644,'[2]Standard DIS'!$Q$1:$X$542,4,FALSE)</f>
        <v>0</v>
      </c>
      <c r="BF644">
        <f>VLOOKUP($BA644,'[2]Standard DIS'!$Q$1:$X$542,2,FALSE)</f>
        <v>0.88888888888888884</v>
      </c>
      <c r="BH644">
        <f>VLOOKUP($BA644,'[2]Standard DIS'!$Q$1:$X$542,3,FALSE)</f>
        <v>0.11111111111111116</v>
      </c>
      <c r="BI644" s="77">
        <f t="shared" si="1693"/>
        <v>1</v>
      </c>
      <c r="BJ644" s="77">
        <f t="shared" si="1694"/>
        <v>6.3149999999999984E-2</v>
      </c>
      <c r="BK644" s="77">
        <f t="shared" si="1787"/>
        <v>5.1160591879111372E-3</v>
      </c>
      <c r="BL644" s="79">
        <v>0</v>
      </c>
      <c r="BM644" s="77">
        <f t="shared" si="1708"/>
        <v>0</v>
      </c>
      <c r="BN644" s="77">
        <f t="shared" si="1709"/>
        <v>0</v>
      </c>
      <c r="BO644" s="77">
        <f t="shared" si="1710"/>
        <v>2.5000000000000001E-3</v>
      </c>
      <c r="BP644" s="77">
        <f t="shared" si="1711"/>
        <v>2.0809499864316017E-4</v>
      </c>
    </row>
    <row r="645" spans="1:68">
      <c r="A645" t="s">
        <v>175</v>
      </c>
      <c r="B645" t="s">
        <v>179</v>
      </c>
      <c r="C645" s="197" t="str">
        <f t="shared" si="1752"/>
        <v>Lifecycle_Dynamic_442</v>
      </c>
      <c r="D645">
        <v>442</v>
      </c>
      <c r="E645">
        <f>VLOOKUP($D645,'[2]LC Dynamic'!$Q$2:$U$542,2,FALSE)</f>
        <v>0</v>
      </c>
      <c r="F645">
        <f>VLOOKUP($D645,'[2]LC Dynamic'!$Q$2:$U$542,3,FALSE)</f>
        <v>0</v>
      </c>
      <c r="G645">
        <f>VLOOKUP($D645,'[2]LC Dynamic'!$Q$2:$U$542,4,FALSE)</f>
        <v>0.308</v>
      </c>
      <c r="H645">
        <f>VLOOKUP($D645,'[2]LC Dynamic'!$Q$2:$U$542,5,FALSE)</f>
        <v>0.69199999999999995</v>
      </c>
      <c r="I645" s="77">
        <f t="shared" si="1684"/>
        <v>1</v>
      </c>
      <c r="J645" s="77">
        <f t="shared" si="1685"/>
        <v>6.9728499999999985E-2</v>
      </c>
      <c r="K645" s="77">
        <f t="shared" si="1759"/>
        <v>5.632878498097682E-3</v>
      </c>
      <c r="L645" s="76">
        <v>0</v>
      </c>
      <c r="M645" s="77">
        <f t="shared" si="1695"/>
        <v>0</v>
      </c>
      <c r="N645" s="77">
        <f t="shared" si="1696"/>
        <v>0</v>
      </c>
      <c r="O645" s="77">
        <f t="shared" si="1697"/>
        <v>5.6775999999999997E-3</v>
      </c>
      <c r="P645" s="77">
        <f t="shared" si="1698"/>
        <v>4.7436902124819991E-4</v>
      </c>
      <c r="R645" t="s">
        <v>177</v>
      </c>
      <c r="S645" t="s">
        <v>179</v>
      </c>
      <c r="T645" s="197" t="str">
        <f t="shared" si="1753"/>
        <v>Autopilot_Dynamic_442</v>
      </c>
      <c r="U645">
        <v>442</v>
      </c>
      <c r="V645">
        <f>VLOOKUP($U645,'[2]AP Dynamic'!$Q$1:$T$542,2,FALSE)</f>
        <v>0.88888888888888884</v>
      </c>
      <c r="W645">
        <f>VLOOKUP($U645,'[2]AP Dynamic'!$Q$1:$T$542,3,FALSE)</f>
        <v>0.11111111111111116</v>
      </c>
      <c r="X645">
        <f>VLOOKUP($U645,'[2]AP Dynamic'!$Q$1:$T$542,4,FALSE)</f>
        <v>0</v>
      </c>
      <c r="Y645" s="77">
        <f t="shared" si="1754"/>
        <v>1</v>
      </c>
      <c r="Z645" s="77">
        <f t="shared" si="1760"/>
        <v>6.3149999999999984E-2</v>
      </c>
      <c r="AA645" s="77">
        <f t="shared" si="1761"/>
        <v>5.1160591879111372E-3</v>
      </c>
      <c r="AB645" s="79">
        <v>1</v>
      </c>
      <c r="AC645" s="77">
        <f t="shared" si="1699"/>
        <v>8.277777777777778E-3</v>
      </c>
      <c r="AD645" s="77">
        <f t="shared" ref="AD645" si="1848">1-(1-AC645)^(1/12)</f>
        <v>6.9244588451522482E-4</v>
      </c>
      <c r="AE645" s="77">
        <f t="shared" si="1701"/>
        <v>2.5000000000000001E-3</v>
      </c>
      <c r="AF645" s="77">
        <f t="shared" ref="AF645" si="1849">1-(1-AE645)^(1/12)</f>
        <v>2.0857243058891584E-4</v>
      </c>
      <c r="AH645" t="s">
        <v>175</v>
      </c>
      <c r="AI645" t="s">
        <v>179</v>
      </c>
      <c r="AJ645" s="197" t="str">
        <f t="shared" si="1688"/>
        <v>Lifecycle_Dynamic_442</v>
      </c>
      <c r="AK645">
        <v>442</v>
      </c>
      <c r="AL645">
        <f>VLOOKUP($U645,[2]Standard_Dynamic!$Q$1:$T$542,2,FALSE)</f>
        <v>0.88888888888888884</v>
      </c>
      <c r="AM645">
        <f>VLOOKUP($U645,[2]Standard_Dynamic!$Q$1:$T$542,3,FALSE)</f>
        <v>0.11111111111111116</v>
      </c>
      <c r="AN645">
        <f>VLOOKUP($U645,[2]Standard_Dynamic!$Q$1:$T$542,4,FALSE)</f>
        <v>0</v>
      </c>
      <c r="AO645" s="77">
        <f t="shared" si="1689"/>
        <v>1</v>
      </c>
      <c r="AP645" s="77">
        <f t="shared" si="1703"/>
        <v>6.3149999999999984E-2</v>
      </c>
      <c r="AQ645" s="77">
        <f t="shared" si="1690"/>
        <v>5.1160591879111372E-3</v>
      </c>
      <c r="AR645" s="79">
        <v>0</v>
      </c>
      <c r="AS645" s="77">
        <f t="shared" si="1704"/>
        <v>0</v>
      </c>
      <c r="AT645" s="77">
        <f t="shared" ref="AT645" si="1850">1-(1-AS645)^(1/12)</f>
        <v>0</v>
      </c>
      <c r="AU645" s="77">
        <f t="shared" si="1706"/>
        <v>2.5000000000000001E-3</v>
      </c>
      <c r="AV645" s="77">
        <f t="shared" ref="AV645" si="1851">1-(1-AU645)^(1/12)</f>
        <v>2.0857243058891584E-4</v>
      </c>
      <c r="AX645" t="s">
        <v>178</v>
      </c>
      <c r="AY645" t="s">
        <v>162</v>
      </c>
      <c r="AZ645" s="197" t="str">
        <f t="shared" si="1786"/>
        <v>DIS_Standard_442</v>
      </c>
      <c r="BA645">
        <v>442</v>
      </c>
      <c r="BB645">
        <f>VLOOKUP($BA645,'[2]Standard DIS'!$Q$1:$X$542,4,FALSE)</f>
        <v>0</v>
      </c>
      <c r="BF645">
        <f>VLOOKUP($BA645,'[2]Standard DIS'!$Q$1:$X$542,2,FALSE)</f>
        <v>0.88888888888888884</v>
      </c>
      <c r="BH645">
        <f>VLOOKUP($BA645,'[2]Standard DIS'!$Q$1:$X$542,3,FALSE)</f>
        <v>0.11111111111111116</v>
      </c>
      <c r="BI645" s="77">
        <f t="shared" si="1693"/>
        <v>1</v>
      </c>
      <c r="BJ645" s="77">
        <f t="shared" si="1694"/>
        <v>6.3149999999999984E-2</v>
      </c>
      <c r="BK645" s="77">
        <f t="shared" si="1787"/>
        <v>5.1160591879111372E-3</v>
      </c>
      <c r="BL645" s="79">
        <v>0</v>
      </c>
      <c r="BM645" s="77">
        <f t="shared" si="1708"/>
        <v>0</v>
      </c>
      <c r="BN645" s="77">
        <f t="shared" si="1709"/>
        <v>0</v>
      </c>
      <c r="BO645" s="77">
        <f t="shared" si="1710"/>
        <v>2.5000000000000001E-3</v>
      </c>
      <c r="BP645" s="77">
        <f t="shared" si="1711"/>
        <v>2.0809499864316017E-4</v>
      </c>
    </row>
    <row r="646" spans="1:68">
      <c r="A646" t="s">
        <v>175</v>
      </c>
      <c r="B646" t="s">
        <v>179</v>
      </c>
      <c r="C646" s="197" t="str">
        <f t="shared" si="1752"/>
        <v>Lifecycle_Dynamic_441</v>
      </c>
      <c r="D646">
        <v>441</v>
      </c>
      <c r="E646">
        <f>VLOOKUP($D646,'[2]LC Dynamic'!$Q$2:$U$542,2,FALSE)</f>
        <v>0</v>
      </c>
      <c r="F646">
        <f>VLOOKUP($D646,'[2]LC Dynamic'!$Q$2:$U$542,3,FALSE)</f>
        <v>0</v>
      </c>
      <c r="G646">
        <f>VLOOKUP($D646,'[2]LC Dynamic'!$Q$2:$U$542,4,FALSE)</f>
        <v>0.308</v>
      </c>
      <c r="H646">
        <f>VLOOKUP($D646,'[2]LC Dynamic'!$Q$2:$U$542,5,FALSE)</f>
        <v>0.69199999999999995</v>
      </c>
      <c r="I646" s="77">
        <f t="shared" si="1684"/>
        <v>1</v>
      </c>
      <c r="J646" s="77">
        <f t="shared" si="1685"/>
        <v>6.9728499999999985E-2</v>
      </c>
      <c r="K646" s="77">
        <f t="shared" si="1759"/>
        <v>5.632878498097682E-3</v>
      </c>
      <c r="L646" s="76">
        <v>0</v>
      </c>
      <c r="M646" s="77">
        <f t="shared" si="1695"/>
        <v>0</v>
      </c>
      <c r="N646" s="77">
        <f t="shared" si="1696"/>
        <v>0</v>
      </c>
      <c r="O646" s="77">
        <f t="shared" si="1697"/>
        <v>5.6775999999999997E-3</v>
      </c>
      <c r="P646" s="77">
        <f t="shared" si="1698"/>
        <v>4.7436902124819991E-4</v>
      </c>
      <c r="R646" t="s">
        <v>177</v>
      </c>
      <c r="S646" t="s">
        <v>179</v>
      </c>
      <c r="T646" s="197" t="str">
        <f t="shared" si="1753"/>
        <v>Autopilot_Dynamic_441</v>
      </c>
      <c r="U646">
        <v>441</v>
      </c>
      <c r="V646">
        <f>VLOOKUP($U646,'[2]AP Dynamic'!$Q$1:$T$542,2,FALSE)</f>
        <v>0.88888888888888884</v>
      </c>
      <c r="W646">
        <f>VLOOKUP($U646,'[2]AP Dynamic'!$Q$1:$T$542,3,FALSE)</f>
        <v>0.11111111111111116</v>
      </c>
      <c r="X646">
        <f>VLOOKUP($U646,'[2]AP Dynamic'!$Q$1:$T$542,4,FALSE)</f>
        <v>0</v>
      </c>
      <c r="Y646" s="77">
        <f t="shared" si="1754"/>
        <v>1</v>
      </c>
      <c r="Z646" s="77">
        <f t="shared" si="1760"/>
        <v>6.3149999999999984E-2</v>
      </c>
      <c r="AA646" s="77">
        <f t="shared" si="1761"/>
        <v>5.1160591879111372E-3</v>
      </c>
      <c r="AB646" s="79">
        <v>1</v>
      </c>
      <c r="AC646" s="77">
        <f t="shared" si="1699"/>
        <v>8.277777777777778E-3</v>
      </c>
      <c r="AD646" s="77">
        <f t="shared" ref="AD646" si="1852">1-(1-AC646)^(1/12)</f>
        <v>6.9244588451522482E-4</v>
      </c>
      <c r="AE646" s="77">
        <f t="shared" si="1701"/>
        <v>2.5000000000000001E-3</v>
      </c>
      <c r="AF646" s="77">
        <f t="shared" ref="AF646" si="1853">1-(1-AE646)^(1/12)</f>
        <v>2.0857243058891584E-4</v>
      </c>
      <c r="AH646" t="s">
        <v>175</v>
      </c>
      <c r="AI646" t="s">
        <v>179</v>
      </c>
      <c r="AJ646" s="197" t="str">
        <f t="shared" si="1688"/>
        <v>Lifecycle_Dynamic_441</v>
      </c>
      <c r="AK646">
        <v>441</v>
      </c>
      <c r="AL646">
        <f>VLOOKUP($U646,[2]Standard_Dynamic!$Q$1:$T$542,2,FALSE)</f>
        <v>0.88888888888888884</v>
      </c>
      <c r="AM646">
        <f>VLOOKUP($U646,[2]Standard_Dynamic!$Q$1:$T$542,3,FALSE)</f>
        <v>0.11111111111111116</v>
      </c>
      <c r="AN646">
        <f>VLOOKUP($U646,[2]Standard_Dynamic!$Q$1:$T$542,4,FALSE)</f>
        <v>0</v>
      </c>
      <c r="AO646" s="77">
        <f t="shared" si="1689"/>
        <v>1</v>
      </c>
      <c r="AP646" s="77">
        <f t="shared" si="1703"/>
        <v>6.3149999999999984E-2</v>
      </c>
      <c r="AQ646" s="77">
        <f t="shared" si="1690"/>
        <v>5.1160591879111372E-3</v>
      </c>
      <c r="AR646" s="79">
        <v>0</v>
      </c>
      <c r="AS646" s="77">
        <f t="shared" si="1704"/>
        <v>0</v>
      </c>
      <c r="AT646" s="77">
        <f t="shared" ref="AT646" si="1854">1-(1-AS646)^(1/12)</f>
        <v>0</v>
      </c>
      <c r="AU646" s="77">
        <f t="shared" si="1706"/>
        <v>2.5000000000000001E-3</v>
      </c>
      <c r="AV646" s="77">
        <f t="shared" ref="AV646" si="1855">1-(1-AU646)^(1/12)</f>
        <v>2.0857243058891584E-4</v>
      </c>
      <c r="AX646" t="s">
        <v>178</v>
      </c>
      <c r="AY646" t="s">
        <v>162</v>
      </c>
      <c r="AZ646" s="197" t="str">
        <f t="shared" si="1786"/>
        <v>DIS_Standard_441</v>
      </c>
      <c r="BA646">
        <v>441</v>
      </c>
      <c r="BB646">
        <f>VLOOKUP($BA646,'[2]Standard DIS'!$Q$1:$X$542,4,FALSE)</f>
        <v>0</v>
      </c>
      <c r="BF646">
        <f>VLOOKUP($BA646,'[2]Standard DIS'!$Q$1:$X$542,2,FALSE)</f>
        <v>0.88888888888888884</v>
      </c>
      <c r="BH646">
        <f>VLOOKUP($BA646,'[2]Standard DIS'!$Q$1:$X$542,3,FALSE)</f>
        <v>0.11111111111111116</v>
      </c>
      <c r="BI646" s="77">
        <f t="shared" si="1693"/>
        <v>1</v>
      </c>
      <c r="BJ646" s="77">
        <f t="shared" si="1694"/>
        <v>6.3149999999999984E-2</v>
      </c>
      <c r="BK646" s="77">
        <f t="shared" si="1787"/>
        <v>5.1160591879111372E-3</v>
      </c>
      <c r="BL646" s="79">
        <v>0</v>
      </c>
      <c r="BM646" s="77">
        <f t="shared" si="1708"/>
        <v>0</v>
      </c>
      <c r="BN646" s="77">
        <f t="shared" si="1709"/>
        <v>0</v>
      </c>
      <c r="BO646" s="77">
        <f t="shared" si="1710"/>
        <v>2.5000000000000001E-3</v>
      </c>
      <c r="BP646" s="77">
        <f t="shared" si="1711"/>
        <v>2.0809499864316017E-4</v>
      </c>
    </row>
    <row r="647" spans="1:68">
      <c r="A647" t="s">
        <v>175</v>
      </c>
      <c r="B647" t="s">
        <v>179</v>
      </c>
      <c r="C647" s="197" t="str">
        <f t="shared" si="1752"/>
        <v>Lifecycle_Dynamic_440</v>
      </c>
      <c r="D647">
        <v>440</v>
      </c>
      <c r="E647">
        <f>VLOOKUP($D647,'[2]LC Dynamic'!$Q$2:$U$542,2,FALSE)</f>
        <v>0</v>
      </c>
      <c r="F647">
        <f>VLOOKUP($D647,'[2]LC Dynamic'!$Q$2:$U$542,3,FALSE)</f>
        <v>0</v>
      </c>
      <c r="G647">
        <f>VLOOKUP($D647,'[2]LC Dynamic'!$Q$2:$U$542,4,FALSE)</f>
        <v>0.308</v>
      </c>
      <c r="H647">
        <f>VLOOKUP($D647,'[2]LC Dynamic'!$Q$2:$U$542,5,FALSE)</f>
        <v>0.69199999999999995</v>
      </c>
      <c r="I647" s="77">
        <f t="shared" si="1684"/>
        <v>1</v>
      </c>
      <c r="J647" s="77">
        <f t="shared" si="1685"/>
        <v>6.9728499999999985E-2</v>
      </c>
      <c r="K647" s="77">
        <f t="shared" si="1759"/>
        <v>5.632878498097682E-3</v>
      </c>
      <c r="L647" s="76">
        <v>0</v>
      </c>
      <c r="M647" s="77">
        <f t="shared" si="1695"/>
        <v>0</v>
      </c>
      <c r="N647" s="77">
        <f t="shared" si="1696"/>
        <v>0</v>
      </c>
      <c r="O647" s="77">
        <f t="shared" si="1697"/>
        <v>5.6775999999999997E-3</v>
      </c>
      <c r="P647" s="77">
        <f t="shared" si="1698"/>
        <v>4.7436902124819991E-4</v>
      </c>
      <c r="R647" t="s">
        <v>177</v>
      </c>
      <c r="S647" t="s">
        <v>179</v>
      </c>
      <c r="T647" s="197" t="str">
        <f t="shared" si="1753"/>
        <v>Autopilot_Dynamic_440</v>
      </c>
      <c r="U647">
        <v>440</v>
      </c>
      <c r="V647">
        <f>VLOOKUP($U647,'[2]AP Dynamic'!$Q$1:$T$542,2,FALSE)</f>
        <v>0.88888888888888884</v>
      </c>
      <c r="W647">
        <f>VLOOKUP($U647,'[2]AP Dynamic'!$Q$1:$T$542,3,FALSE)</f>
        <v>0.11111111111111116</v>
      </c>
      <c r="X647">
        <f>VLOOKUP($U647,'[2]AP Dynamic'!$Q$1:$T$542,4,FALSE)</f>
        <v>0</v>
      </c>
      <c r="Y647" s="77">
        <f t="shared" si="1754"/>
        <v>1</v>
      </c>
      <c r="Z647" s="77">
        <f t="shared" si="1760"/>
        <v>6.3149999999999984E-2</v>
      </c>
      <c r="AA647" s="77">
        <f t="shared" si="1761"/>
        <v>5.1160591879111372E-3</v>
      </c>
      <c r="AB647" s="79">
        <v>1</v>
      </c>
      <c r="AC647" s="77">
        <f t="shared" si="1699"/>
        <v>8.277777777777778E-3</v>
      </c>
      <c r="AD647" s="77">
        <f t="shared" ref="AD647" si="1856">1-(1-AC647)^(1/12)</f>
        <v>6.9244588451522482E-4</v>
      </c>
      <c r="AE647" s="77">
        <f t="shared" si="1701"/>
        <v>2.5000000000000001E-3</v>
      </c>
      <c r="AF647" s="77">
        <f t="shared" ref="AF647" si="1857">1-(1-AE647)^(1/12)</f>
        <v>2.0857243058891584E-4</v>
      </c>
      <c r="AH647" t="s">
        <v>175</v>
      </c>
      <c r="AI647" t="s">
        <v>179</v>
      </c>
      <c r="AJ647" s="197" t="str">
        <f t="shared" si="1688"/>
        <v>Lifecycle_Dynamic_440</v>
      </c>
      <c r="AK647">
        <v>440</v>
      </c>
      <c r="AL647">
        <f>VLOOKUP($U647,[2]Standard_Dynamic!$Q$1:$T$542,2,FALSE)</f>
        <v>0.88888888888888884</v>
      </c>
      <c r="AM647">
        <f>VLOOKUP($U647,[2]Standard_Dynamic!$Q$1:$T$542,3,FALSE)</f>
        <v>0.11111111111111116</v>
      </c>
      <c r="AN647">
        <f>VLOOKUP($U647,[2]Standard_Dynamic!$Q$1:$T$542,4,FALSE)</f>
        <v>0</v>
      </c>
      <c r="AO647" s="77">
        <f t="shared" si="1689"/>
        <v>1</v>
      </c>
      <c r="AP647" s="77">
        <f t="shared" si="1703"/>
        <v>6.3149999999999984E-2</v>
      </c>
      <c r="AQ647" s="77">
        <f t="shared" si="1690"/>
        <v>5.1160591879111372E-3</v>
      </c>
      <c r="AR647" s="79">
        <v>0</v>
      </c>
      <c r="AS647" s="77">
        <f t="shared" si="1704"/>
        <v>0</v>
      </c>
      <c r="AT647" s="77">
        <f t="shared" ref="AT647" si="1858">1-(1-AS647)^(1/12)</f>
        <v>0</v>
      </c>
      <c r="AU647" s="77">
        <f t="shared" si="1706"/>
        <v>2.5000000000000001E-3</v>
      </c>
      <c r="AV647" s="77">
        <f t="shared" ref="AV647" si="1859">1-(1-AU647)^(1/12)</f>
        <v>2.0857243058891584E-4</v>
      </c>
      <c r="AX647" t="s">
        <v>178</v>
      </c>
      <c r="AY647" t="s">
        <v>162</v>
      </c>
      <c r="AZ647" s="197" t="str">
        <f t="shared" si="1786"/>
        <v>DIS_Standard_440</v>
      </c>
      <c r="BA647">
        <v>440</v>
      </c>
      <c r="BB647">
        <f>VLOOKUP($BA647,'[2]Standard DIS'!$Q$1:$X$542,4,FALSE)</f>
        <v>0</v>
      </c>
      <c r="BF647">
        <f>VLOOKUP($BA647,'[2]Standard DIS'!$Q$1:$X$542,2,FALSE)</f>
        <v>0.88888888888888884</v>
      </c>
      <c r="BH647">
        <f>VLOOKUP($BA647,'[2]Standard DIS'!$Q$1:$X$542,3,FALSE)</f>
        <v>0.11111111111111116</v>
      </c>
      <c r="BI647" s="77">
        <f t="shared" si="1693"/>
        <v>1</v>
      </c>
      <c r="BJ647" s="77">
        <f t="shared" si="1694"/>
        <v>6.3149999999999984E-2</v>
      </c>
      <c r="BK647" s="77">
        <f t="shared" si="1787"/>
        <v>5.1160591879111372E-3</v>
      </c>
      <c r="BL647" s="79">
        <v>0</v>
      </c>
      <c r="BM647" s="77">
        <f t="shared" si="1708"/>
        <v>0</v>
      </c>
      <c r="BN647" s="77">
        <f t="shared" si="1709"/>
        <v>0</v>
      </c>
      <c r="BO647" s="77">
        <f t="shared" si="1710"/>
        <v>2.5000000000000001E-3</v>
      </c>
      <c r="BP647" s="77">
        <f t="shared" si="1711"/>
        <v>2.0809499864316017E-4</v>
      </c>
    </row>
    <row r="648" spans="1:68">
      <c r="A648" t="s">
        <v>175</v>
      </c>
      <c r="B648" t="s">
        <v>179</v>
      </c>
      <c r="C648" s="197" t="str">
        <f t="shared" si="1752"/>
        <v>Lifecycle_Dynamic_439</v>
      </c>
      <c r="D648">
        <v>439</v>
      </c>
      <c r="E648">
        <f>VLOOKUP($D648,'[2]LC Dynamic'!$Q$2:$U$542,2,FALSE)</f>
        <v>0</v>
      </c>
      <c r="F648">
        <f>VLOOKUP($D648,'[2]LC Dynamic'!$Q$2:$U$542,3,FALSE)</f>
        <v>0</v>
      </c>
      <c r="G648">
        <f>VLOOKUP($D648,'[2]LC Dynamic'!$Q$2:$U$542,4,FALSE)</f>
        <v>0.308</v>
      </c>
      <c r="H648">
        <f>VLOOKUP($D648,'[2]LC Dynamic'!$Q$2:$U$542,5,FALSE)</f>
        <v>0.69199999999999995</v>
      </c>
      <c r="I648" s="77">
        <f t="shared" si="1684"/>
        <v>1</v>
      </c>
      <c r="J648" s="77">
        <f t="shared" si="1685"/>
        <v>6.9728499999999985E-2</v>
      </c>
      <c r="K648" s="77">
        <f t="shared" si="1759"/>
        <v>5.632878498097682E-3</v>
      </c>
      <c r="L648" s="76">
        <v>0</v>
      </c>
      <c r="M648" s="77">
        <f t="shared" si="1695"/>
        <v>0</v>
      </c>
      <c r="N648" s="77">
        <f t="shared" si="1696"/>
        <v>0</v>
      </c>
      <c r="O648" s="77">
        <f t="shared" si="1697"/>
        <v>5.6775999999999997E-3</v>
      </c>
      <c r="P648" s="77">
        <f t="shared" si="1698"/>
        <v>4.7436902124819991E-4</v>
      </c>
      <c r="R648" t="s">
        <v>177</v>
      </c>
      <c r="S648" t="s">
        <v>179</v>
      </c>
      <c r="T648" s="197" t="str">
        <f t="shared" si="1753"/>
        <v>Autopilot_Dynamic_439</v>
      </c>
      <c r="U648">
        <v>439</v>
      </c>
      <c r="V648">
        <f>VLOOKUP($U648,'[2]AP Dynamic'!$Q$1:$T$542,2,FALSE)</f>
        <v>0.88888888888888884</v>
      </c>
      <c r="W648">
        <f>VLOOKUP($U648,'[2]AP Dynamic'!$Q$1:$T$542,3,FALSE)</f>
        <v>0.11111111111111116</v>
      </c>
      <c r="X648">
        <f>VLOOKUP($U648,'[2]AP Dynamic'!$Q$1:$T$542,4,FALSE)</f>
        <v>0</v>
      </c>
      <c r="Y648" s="77">
        <f t="shared" si="1754"/>
        <v>1</v>
      </c>
      <c r="Z648" s="77">
        <f t="shared" si="1760"/>
        <v>6.3149999999999984E-2</v>
      </c>
      <c r="AA648" s="77">
        <f t="shared" si="1761"/>
        <v>5.1160591879111372E-3</v>
      </c>
      <c r="AB648" s="79">
        <v>1</v>
      </c>
      <c r="AC648" s="77">
        <f t="shared" si="1699"/>
        <v>8.277777777777778E-3</v>
      </c>
      <c r="AD648" s="77">
        <f t="shared" ref="AD648" si="1860">1-(1-AC648)^(1/12)</f>
        <v>6.9244588451522482E-4</v>
      </c>
      <c r="AE648" s="77">
        <f t="shared" si="1701"/>
        <v>2.5000000000000001E-3</v>
      </c>
      <c r="AF648" s="77">
        <f t="shared" ref="AF648" si="1861">1-(1-AE648)^(1/12)</f>
        <v>2.0857243058891584E-4</v>
      </c>
      <c r="AH648" t="s">
        <v>175</v>
      </c>
      <c r="AI648" t="s">
        <v>179</v>
      </c>
      <c r="AJ648" s="197" t="str">
        <f t="shared" si="1688"/>
        <v>Lifecycle_Dynamic_439</v>
      </c>
      <c r="AK648">
        <v>439</v>
      </c>
      <c r="AL648">
        <f>VLOOKUP($U648,[2]Standard_Dynamic!$Q$1:$T$542,2,FALSE)</f>
        <v>0.88888888888888884</v>
      </c>
      <c r="AM648">
        <f>VLOOKUP($U648,[2]Standard_Dynamic!$Q$1:$T$542,3,FALSE)</f>
        <v>0.11111111111111116</v>
      </c>
      <c r="AN648">
        <f>VLOOKUP($U648,[2]Standard_Dynamic!$Q$1:$T$542,4,FALSE)</f>
        <v>0</v>
      </c>
      <c r="AO648" s="77">
        <f t="shared" si="1689"/>
        <v>1</v>
      </c>
      <c r="AP648" s="77">
        <f t="shared" si="1703"/>
        <v>6.3149999999999984E-2</v>
      </c>
      <c r="AQ648" s="77">
        <f t="shared" si="1690"/>
        <v>5.1160591879111372E-3</v>
      </c>
      <c r="AR648" s="79">
        <v>0</v>
      </c>
      <c r="AS648" s="77">
        <f t="shared" si="1704"/>
        <v>0</v>
      </c>
      <c r="AT648" s="77">
        <f t="shared" ref="AT648" si="1862">1-(1-AS648)^(1/12)</f>
        <v>0</v>
      </c>
      <c r="AU648" s="77">
        <f t="shared" si="1706"/>
        <v>2.5000000000000001E-3</v>
      </c>
      <c r="AV648" s="77">
        <f t="shared" ref="AV648" si="1863">1-(1-AU648)^(1/12)</f>
        <v>2.0857243058891584E-4</v>
      </c>
      <c r="AX648" t="s">
        <v>178</v>
      </c>
      <c r="AY648" t="s">
        <v>162</v>
      </c>
      <c r="AZ648" s="197" t="str">
        <f t="shared" si="1786"/>
        <v>DIS_Standard_439</v>
      </c>
      <c r="BA648">
        <v>439</v>
      </c>
      <c r="BB648">
        <f>VLOOKUP($BA648,'[2]Standard DIS'!$Q$1:$X$542,4,FALSE)</f>
        <v>0</v>
      </c>
      <c r="BF648">
        <f>VLOOKUP($BA648,'[2]Standard DIS'!$Q$1:$X$542,2,FALSE)</f>
        <v>0.88888888888888884</v>
      </c>
      <c r="BH648">
        <f>VLOOKUP($BA648,'[2]Standard DIS'!$Q$1:$X$542,3,FALSE)</f>
        <v>0.11111111111111116</v>
      </c>
      <c r="BI648" s="77">
        <f t="shared" si="1693"/>
        <v>1</v>
      </c>
      <c r="BJ648" s="77">
        <f t="shared" si="1694"/>
        <v>6.3149999999999984E-2</v>
      </c>
      <c r="BK648" s="77">
        <f t="shared" si="1787"/>
        <v>5.1160591879111372E-3</v>
      </c>
      <c r="BL648" s="79">
        <v>0</v>
      </c>
      <c r="BM648" s="77">
        <f t="shared" si="1708"/>
        <v>0</v>
      </c>
      <c r="BN648" s="77">
        <f t="shared" si="1709"/>
        <v>0</v>
      </c>
      <c r="BO648" s="77">
        <f t="shared" si="1710"/>
        <v>2.5000000000000001E-3</v>
      </c>
      <c r="BP648" s="77">
        <f t="shared" si="1711"/>
        <v>2.0809499864316017E-4</v>
      </c>
    </row>
    <row r="649" spans="1:68">
      <c r="A649" t="s">
        <v>175</v>
      </c>
      <c r="B649" t="s">
        <v>179</v>
      </c>
      <c r="C649" s="197" t="str">
        <f t="shared" si="1752"/>
        <v>Lifecycle_Dynamic_438</v>
      </c>
      <c r="D649">
        <v>438</v>
      </c>
      <c r="E649">
        <f>VLOOKUP($D649,'[2]LC Dynamic'!$Q$2:$U$542,2,FALSE)</f>
        <v>0</v>
      </c>
      <c r="F649">
        <f>VLOOKUP($D649,'[2]LC Dynamic'!$Q$2:$U$542,3,FALSE)</f>
        <v>0</v>
      </c>
      <c r="G649">
        <f>VLOOKUP($D649,'[2]LC Dynamic'!$Q$2:$U$542,4,FALSE)</f>
        <v>0.308</v>
      </c>
      <c r="H649">
        <f>VLOOKUP($D649,'[2]LC Dynamic'!$Q$2:$U$542,5,FALSE)</f>
        <v>0.69199999999999995</v>
      </c>
      <c r="I649" s="77">
        <f t="shared" si="1684"/>
        <v>1</v>
      </c>
      <c r="J649" s="77">
        <f t="shared" si="1685"/>
        <v>6.9728499999999985E-2</v>
      </c>
      <c r="K649" s="77">
        <f t="shared" si="1759"/>
        <v>5.632878498097682E-3</v>
      </c>
      <c r="L649" s="76">
        <v>0</v>
      </c>
      <c r="M649" s="77">
        <f t="shared" si="1695"/>
        <v>0</v>
      </c>
      <c r="N649" s="77">
        <f t="shared" si="1696"/>
        <v>0</v>
      </c>
      <c r="O649" s="77">
        <f t="shared" si="1697"/>
        <v>5.6775999999999997E-3</v>
      </c>
      <c r="P649" s="77">
        <f t="shared" si="1698"/>
        <v>4.7436902124819991E-4</v>
      </c>
      <c r="R649" t="s">
        <v>177</v>
      </c>
      <c r="S649" t="s">
        <v>179</v>
      </c>
      <c r="T649" s="197" t="str">
        <f t="shared" si="1753"/>
        <v>Autopilot_Dynamic_438</v>
      </c>
      <c r="U649">
        <v>438</v>
      </c>
      <c r="V649">
        <f>VLOOKUP($U649,'[2]AP Dynamic'!$Q$1:$T$542,2,FALSE)</f>
        <v>0.88888888888888884</v>
      </c>
      <c r="W649">
        <f>VLOOKUP($U649,'[2]AP Dynamic'!$Q$1:$T$542,3,FALSE)</f>
        <v>0.11111111111111116</v>
      </c>
      <c r="X649">
        <f>VLOOKUP($U649,'[2]AP Dynamic'!$Q$1:$T$542,4,FALSE)</f>
        <v>0</v>
      </c>
      <c r="Y649" s="77">
        <f t="shared" si="1754"/>
        <v>1</v>
      </c>
      <c r="Z649" s="77">
        <f t="shared" si="1760"/>
        <v>6.3149999999999984E-2</v>
      </c>
      <c r="AA649" s="77">
        <f t="shared" si="1761"/>
        <v>5.1160591879111372E-3</v>
      </c>
      <c r="AB649" s="79">
        <v>1</v>
      </c>
      <c r="AC649" s="77">
        <f t="shared" si="1699"/>
        <v>8.277777777777778E-3</v>
      </c>
      <c r="AD649" s="77">
        <f t="shared" ref="AD649" si="1864">1-(1-AC649)^(1/12)</f>
        <v>6.9244588451522482E-4</v>
      </c>
      <c r="AE649" s="77">
        <f t="shared" si="1701"/>
        <v>2.5000000000000001E-3</v>
      </c>
      <c r="AF649" s="77">
        <f t="shared" ref="AF649" si="1865">1-(1-AE649)^(1/12)</f>
        <v>2.0857243058891584E-4</v>
      </c>
      <c r="AH649" t="s">
        <v>175</v>
      </c>
      <c r="AI649" t="s">
        <v>179</v>
      </c>
      <c r="AJ649" s="197" t="str">
        <f t="shared" si="1688"/>
        <v>Lifecycle_Dynamic_438</v>
      </c>
      <c r="AK649">
        <v>438</v>
      </c>
      <c r="AL649">
        <f>VLOOKUP($U649,[2]Standard_Dynamic!$Q$1:$T$542,2,FALSE)</f>
        <v>0.88888888888888884</v>
      </c>
      <c r="AM649">
        <f>VLOOKUP($U649,[2]Standard_Dynamic!$Q$1:$T$542,3,FALSE)</f>
        <v>0.11111111111111116</v>
      </c>
      <c r="AN649">
        <f>VLOOKUP($U649,[2]Standard_Dynamic!$Q$1:$T$542,4,FALSE)</f>
        <v>0</v>
      </c>
      <c r="AO649" s="77">
        <f t="shared" si="1689"/>
        <v>1</v>
      </c>
      <c r="AP649" s="77">
        <f t="shared" si="1703"/>
        <v>6.3149999999999984E-2</v>
      </c>
      <c r="AQ649" s="77">
        <f t="shared" si="1690"/>
        <v>5.1160591879111372E-3</v>
      </c>
      <c r="AR649" s="79">
        <v>0</v>
      </c>
      <c r="AS649" s="77">
        <f t="shared" si="1704"/>
        <v>0</v>
      </c>
      <c r="AT649" s="77">
        <f t="shared" ref="AT649" si="1866">1-(1-AS649)^(1/12)</f>
        <v>0</v>
      </c>
      <c r="AU649" s="77">
        <f t="shared" si="1706"/>
        <v>2.5000000000000001E-3</v>
      </c>
      <c r="AV649" s="77">
        <f t="shared" ref="AV649" si="1867">1-(1-AU649)^(1/12)</f>
        <v>2.0857243058891584E-4</v>
      </c>
      <c r="AX649" t="s">
        <v>178</v>
      </c>
      <c r="AY649" t="s">
        <v>162</v>
      </c>
      <c r="AZ649" s="197" t="str">
        <f t="shared" si="1786"/>
        <v>DIS_Standard_438</v>
      </c>
      <c r="BA649">
        <v>438</v>
      </c>
      <c r="BB649">
        <f>VLOOKUP($BA649,'[2]Standard DIS'!$Q$1:$X$542,4,FALSE)</f>
        <v>0</v>
      </c>
      <c r="BF649">
        <f>VLOOKUP($BA649,'[2]Standard DIS'!$Q$1:$X$542,2,FALSE)</f>
        <v>0.88888888888888884</v>
      </c>
      <c r="BH649">
        <f>VLOOKUP($BA649,'[2]Standard DIS'!$Q$1:$X$542,3,FALSE)</f>
        <v>0.11111111111111116</v>
      </c>
      <c r="BI649" s="77">
        <f t="shared" si="1693"/>
        <v>1</v>
      </c>
      <c r="BJ649" s="77">
        <f t="shared" si="1694"/>
        <v>6.3149999999999984E-2</v>
      </c>
      <c r="BK649" s="77">
        <f t="shared" si="1787"/>
        <v>5.1160591879111372E-3</v>
      </c>
      <c r="BL649" s="79">
        <v>0</v>
      </c>
      <c r="BM649" s="77">
        <f t="shared" si="1708"/>
        <v>0</v>
      </c>
      <c r="BN649" s="77">
        <f t="shared" si="1709"/>
        <v>0</v>
      </c>
      <c r="BO649" s="77">
        <f t="shared" si="1710"/>
        <v>2.5000000000000001E-3</v>
      </c>
      <c r="BP649" s="77">
        <f t="shared" si="1711"/>
        <v>2.0809499864316017E-4</v>
      </c>
    </row>
    <row r="650" spans="1:68">
      <c r="A650" t="s">
        <v>175</v>
      </c>
      <c r="B650" t="s">
        <v>179</v>
      </c>
      <c r="C650" s="197" t="str">
        <f t="shared" si="1752"/>
        <v>Lifecycle_Dynamic_437</v>
      </c>
      <c r="D650">
        <v>437</v>
      </c>
      <c r="E650">
        <f>VLOOKUP($D650,'[2]LC Dynamic'!$Q$2:$U$542,2,FALSE)</f>
        <v>0</v>
      </c>
      <c r="F650">
        <f>VLOOKUP($D650,'[2]LC Dynamic'!$Q$2:$U$542,3,FALSE)</f>
        <v>0</v>
      </c>
      <c r="G650">
        <f>VLOOKUP($D650,'[2]LC Dynamic'!$Q$2:$U$542,4,FALSE)</f>
        <v>0.308</v>
      </c>
      <c r="H650">
        <f>VLOOKUP($D650,'[2]LC Dynamic'!$Q$2:$U$542,5,FALSE)</f>
        <v>0.69199999999999995</v>
      </c>
      <c r="I650" s="77">
        <f t="shared" si="1684"/>
        <v>1</v>
      </c>
      <c r="J650" s="77">
        <f t="shared" si="1685"/>
        <v>6.9728499999999985E-2</v>
      </c>
      <c r="K650" s="77">
        <f t="shared" si="1759"/>
        <v>5.632878498097682E-3</v>
      </c>
      <c r="L650" s="76">
        <v>0</v>
      </c>
      <c r="M650" s="77">
        <f t="shared" si="1695"/>
        <v>0</v>
      </c>
      <c r="N650" s="77">
        <f t="shared" si="1696"/>
        <v>0</v>
      </c>
      <c r="O650" s="77">
        <f t="shared" si="1697"/>
        <v>5.6775999999999997E-3</v>
      </c>
      <c r="P650" s="77">
        <f t="shared" si="1698"/>
        <v>4.7436902124819991E-4</v>
      </c>
      <c r="R650" t="s">
        <v>177</v>
      </c>
      <c r="S650" t="s">
        <v>179</v>
      </c>
      <c r="T650" s="197" t="str">
        <f t="shared" si="1753"/>
        <v>Autopilot_Dynamic_437</v>
      </c>
      <c r="U650">
        <v>437</v>
      </c>
      <c r="V650">
        <f>VLOOKUP($U650,'[2]AP Dynamic'!$Q$1:$T$542,2,FALSE)</f>
        <v>0.88888888888888884</v>
      </c>
      <c r="W650">
        <f>VLOOKUP($U650,'[2]AP Dynamic'!$Q$1:$T$542,3,FALSE)</f>
        <v>0.11111111111111116</v>
      </c>
      <c r="X650">
        <f>VLOOKUP($U650,'[2]AP Dynamic'!$Q$1:$T$542,4,FALSE)</f>
        <v>0</v>
      </c>
      <c r="Y650" s="77">
        <f t="shared" si="1754"/>
        <v>1</v>
      </c>
      <c r="Z650" s="77">
        <f t="shared" si="1760"/>
        <v>6.3149999999999984E-2</v>
      </c>
      <c r="AA650" s="77">
        <f t="shared" si="1761"/>
        <v>5.1160591879111372E-3</v>
      </c>
      <c r="AB650" s="79">
        <v>1</v>
      </c>
      <c r="AC650" s="77">
        <f t="shared" si="1699"/>
        <v>8.277777777777778E-3</v>
      </c>
      <c r="AD650" s="77">
        <f t="shared" ref="AD650" si="1868">1-(1-AC650)^(1/12)</f>
        <v>6.9244588451522482E-4</v>
      </c>
      <c r="AE650" s="77">
        <f t="shared" si="1701"/>
        <v>2.5000000000000001E-3</v>
      </c>
      <c r="AF650" s="77">
        <f t="shared" ref="AF650" si="1869">1-(1-AE650)^(1/12)</f>
        <v>2.0857243058891584E-4</v>
      </c>
      <c r="AH650" t="s">
        <v>175</v>
      </c>
      <c r="AI650" t="s">
        <v>179</v>
      </c>
      <c r="AJ650" s="197" t="str">
        <f t="shared" si="1688"/>
        <v>Lifecycle_Dynamic_437</v>
      </c>
      <c r="AK650">
        <v>437</v>
      </c>
      <c r="AL650">
        <f>VLOOKUP($U650,[2]Standard_Dynamic!$Q$1:$T$542,2,FALSE)</f>
        <v>0.88888888888888884</v>
      </c>
      <c r="AM650">
        <f>VLOOKUP($U650,[2]Standard_Dynamic!$Q$1:$T$542,3,FALSE)</f>
        <v>0.11111111111111116</v>
      </c>
      <c r="AN650">
        <f>VLOOKUP($U650,[2]Standard_Dynamic!$Q$1:$T$542,4,FALSE)</f>
        <v>0</v>
      </c>
      <c r="AO650" s="77">
        <f t="shared" si="1689"/>
        <v>1</v>
      </c>
      <c r="AP650" s="77">
        <f t="shared" si="1703"/>
        <v>6.3149999999999984E-2</v>
      </c>
      <c r="AQ650" s="77">
        <f t="shared" si="1690"/>
        <v>5.1160591879111372E-3</v>
      </c>
      <c r="AR650" s="79">
        <v>0</v>
      </c>
      <c r="AS650" s="77">
        <f t="shared" si="1704"/>
        <v>0</v>
      </c>
      <c r="AT650" s="77">
        <f t="shared" ref="AT650" si="1870">1-(1-AS650)^(1/12)</f>
        <v>0</v>
      </c>
      <c r="AU650" s="77">
        <f t="shared" si="1706"/>
        <v>2.5000000000000001E-3</v>
      </c>
      <c r="AV650" s="77">
        <f t="shared" ref="AV650" si="1871">1-(1-AU650)^(1/12)</f>
        <v>2.0857243058891584E-4</v>
      </c>
      <c r="AX650" t="s">
        <v>178</v>
      </c>
      <c r="AY650" t="s">
        <v>162</v>
      </c>
      <c r="AZ650" s="197" t="str">
        <f t="shared" si="1786"/>
        <v>DIS_Standard_437</v>
      </c>
      <c r="BA650">
        <v>437</v>
      </c>
      <c r="BB650">
        <f>VLOOKUP($BA650,'[2]Standard DIS'!$Q$1:$X$542,4,FALSE)</f>
        <v>0</v>
      </c>
      <c r="BF650">
        <f>VLOOKUP($BA650,'[2]Standard DIS'!$Q$1:$X$542,2,FALSE)</f>
        <v>0.88888888888888884</v>
      </c>
      <c r="BH650">
        <f>VLOOKUP($BA650,'[2]Standard DIS'!$Q$1:$X$542,3,FALSE)</f>
        <v>0.11111111111111116</v>
      </c>
      <c r="BI650" s="77">
        <f t="shared" si="1693"/>
        <v>1</v>
      </c>
      <c r="BJ650" s="77">
        <f t="shared" si="1694"/>
        <v>6.3149999999999984E-2</v>
      </c>
      <c r="BK650" s="77">
        <f t="shared" si="1787"/>
        <v>5.1160591879111372E-3</v>
      </c>
      <c r="BL650" s="79">
        <v>0</v>
      </c>
      <c r="BM650" s="77">
        <f t="shared" si="1708"/>
        <v>0</v>
      </c>
      <c r="BN650" s="77">
        <f t="shared" si="1709"/>
        <v>0</v>
      </c>
      <c r="BO650" s="77">
        <f t="shared" si="1710"/>
        <v>2.5000000000000001E-3</v>
      </c>
      <c r="BP650" s="77">
        <f t="shared" si="1711"/>
        <v>2.0809499864316017E-4</v>
      </c>
    </row>
    <row r="651" spans="1:68">
      <c r="A651" t="s">
        <v>175</v>
      </c>
      <c r="B651" t="s">
        <v>179</v>
      </c>
      <c r="C651" s="197" t="str">
        <f t="shared" si="1752"/>
        <v>Lifecycle_Dynamic_436</v>
      </c>
      <c r="D651">
        <v>436</v>
      </c>
      <c r="E651">
        <f>VLOOKUP($D651,'[2]LC Dynamic'!$Q$2:$U$542,2,FALSE)</f>
        <v>0</v>
      </c>
      <c r="F651">
        <f>VLOOKUP($D651,'[2]LC Dynamic'!$Q$2:$U$542,3,FALSE)</f>
        <v>0</v>
      </c>
      <c r="G651">
        <f>VLOOKUP($D651,'[2]LC Dynamic'!$Q$2:$U$542,4,FALSE)</f>
        <v>0.308</v>
      </c>
      <c r="H651">
        <f>VLOOKUP($D651,'[2]LC Dynamic'!$Q$2:$U$542,5,FALSE)</f>
        <v>0.69199999999999995</v>
      </c>
      <c r="I651" s="77">
        <f t="shared" si="1684"/>
        <v>1</v>
      </c>
      <c r="J651" s="77">
        <f t="shared" si="1685"/>
        <v>6.9728499999999985E-2</v>
      </c>
      <c r="K651" s="77">
        <f t="shared" si="1759"/>
        <v>5.632878498097682E-3</v>
      </c>
      <c r="L651" s="76">
        <v>0</v>
      </c>
      <c r="M651" s="77">
        <f t="shared" si="1695"/>
        <v>0</v>
      </c>
      <c r="N651" s="77">
        <f t="shared" si="1696"/>
        <v>0</v>
      </c>
      <c r="O651" s="77">
        <f t="shared" si="1697"/>
        <v>5.6775999999999997E-3</v>
      </c>
      <c r="P651" s="77">
        <f t="shared" si="1698"/>
        <v>4.7436902124819991E-4</v>
      </c>
      <c r="R651" t="s">
        <v>177</v>
      </c>
      <c r="S651" t="s">
        <v>179</v>
      </c>
      <c r="T651" s="197" t="str">
        <f t="shared" si="1753"/>
        <v>Autopilot_Dynamic_436</v>
      </c>
      <c r="U651">
        <v>436</v>
      </c>
      <c r="V651">
        <f>VLOOKUP($U651,'[2]AP Dynamic'!$Q$1:$T$542,2,FALSE)</f>
        <v>0.88888888888888884</v>
      </c>
      <c r="W651">
        <f>VLOOKUP($U651,'[2]AP Dynamic'!$Q$1:$T$542,3,FALSE)</f>
        <v>0.11111111111111116</v>
      </c>
      <c r="X651">
        <f>VLOOKUP($U651,'[2]AP Dynamic'!$Q$1:$T$542,4,FALSE)</f>
        <v>0</v>
      </c>
      <c r="Y651" s="77">
        <f t="shared" si="1754"/>
        <v>1</v>
      </c>
      <c r="Z651" s="77">
        <f t="shared" si="1760"/>
        <v>6.3149999999999984E-2</v>
      </c>
      <c r="AA651" s="77">
        <f t="shared" si="1761"/>
        <v>5.1160591879111372E-3</v>
      </c>
      <c r="AB651" s="79">
        <v>1</v>
      </c>
      <c r="AC651" s="77">
        <f t="shared" si="1699"/>
        <v>8.277777777777778E-3</v>
      </c>
      <c r="AD651" s="77">
        <f t="shared" ref="AD651" si="1872">1-(1-AC651)^(1/12)</f>
        <v>6.9244588451522482E-4</v>
      </c>
      <c r="AE651" s="77">
        <f t="shared" si="1701"/>
        <v>2.5000000000000001E-3</v>
      </c>
      <c r="AF651" s="77">
        <f t="shared" ref="AF651" si="1873">1-(1-AE651)^(1/12)</f>
        <v>2.0857243058891584E-4</v>
      </c>
      <c r="AH651" t="s">
        <v>175</v>
      </c>
      <c r="AI651" t="s">
        <v>179</v>
      </c>
      <c r="AJ651" s="197" t="str">
        <f t="shared" si="1688"/>
        <v>Lifecycle_Dynamic_436</v>
      </c>
      <c r="AK651">
        <v>436</v>
      </c>
      <c r="AL651">
        <f>VLOOKUP($U651,[2]Standard_Dynamic!$Q$1:$T$542,2,FALSE)</f>
        <v>0.88888888888888884</v>
      </c>
      <c r="AM651">
        <f>VLOOKUP($U651,[2]Standard_Dynamic!$Q$1:$T$542,3,FALSE)</f>
        <v>0.11111111111111116</v>
      </c>
      <c r="AN651">
        <f>VLOOKUP($U651,[2]Standard_Dynamic!$Q$1:$T$542,4,FALSE)</f>
        <v>0</v>
      </c>
      <c r="AO651" s="77">
        <f t="shared" si="1689"/>
        <v>1</v>
      </c>
      <c r="AP651" s="77">
        <f t="shared" si="1703"/>
        <v>6.3149999999999984E-2</v>
      </c>
      <c r="AQ651" s="77">
        <f t="shared" si="1690"/>
        <v>5.1160591879111372E-3</v>
      </c>
      <c r="AR651" s="79">
        <v>0</v>
      </c>
      <c r="AS651" s="77">
        <f t="shared" si="1704"/>
        <v>0</v>
      </c>
      <c r="AT651" s="77">
        <f t="shared" ref="AT651" si="1874">1-(1-AS651)^(1/12)</f>
        <v>0</v>
      </c>
      <c r="AU651" s="77">
        <f t="shared" si="1706"/>
        <v>2.5000000000000001E-3</v>
      </c>
      <c r="AV651" s="77">
        <f t="shared" ref="AV651" si="1875">1-(1-AU651)^(1/12)</f>
        <v>2.0857243058891584E-4</v>
      </c>
      <c r="AX651" t="s">
        <v>178</v>
      </c>
      <c r="AY651" t="s">
        <v>162</v>
      </c>
      <c r="AZ651" s="197" t="str">
        <f t="shared" si="1786"/>
        <v>DIS_Standard_436</v>
      </c>
      <c r="BA651">
        <v>436</v>
      </c>
      <c r="BB651">
        <f>VLOOKUP($BA651,'[2]Standard DIS'!$Q$1:$X$542,4,FALSE)</f>
        <v>0</v>
      </c>
      <c r="BF651">
        <f>VLOOKUP($BA651,'[2]Standard DIS'!$Q$1:$X$542,2,FALSE)</f>
        <v>0.88888888888888884</v>
      </c>
      <c r="BH651">
        <f>VLOOKUP($BA651,'[2]Standard DIS'!$Q$1:$X$542,3,FALSE)</f>
        <v>0.11111111111111116</v>
      </c>
      <c r="BI651" s="77">
        <f t="shared" si="1693"/>
        <v>1</v>
      </c>
      <c r="BJ651" s="77">
        <f t="shared" si="1694"/>
        <v>6.3149999999999984E-2</v>
      </c>
      <c r="BK651" s="77">
        <f t="shared" si="1787"/>
        <v>5.1160591879111372E-3</v>
      </c>
      <c r="BL651" s="79">
        <v>0</v>
      </c>
      <c r="BM651" s="77">
        <f t="shared" si="1708"/>
        <v>0</v>
      </c>
      <c r="BN651" s="77">
        <f t="shared" si="1709"/>
        <v>0</v>
      </c>
      <c r="BO651" s="77">
        <f t="shared" si="1710"/>
        <v>2.5000000000000001E-3</v>
      </c>
      <c r="BP651" s="77">
        <f t="shared" si="1711"/>
        <v>2.0809499864316017E-4</v>
      </c>
    </row>
    <row r="652" spans="1:68">
      <c r="A652" t="s">
        <v>175</v>
      </c>
      <c r="B652" t="s">
        <v>179</v>
      </c>
      <c r="C652" s="197" t="str">
        <f t="shared" si="1752"/>
        <v>Lifecycle_Dynamic_435</v>
      </c>
      <c r="D652">
        <v>435</v>
      </c>
      <c r="E652">
        <f>VLOOKUP($D652,'[2]LC Dynamic'!$Q$2:$U$542,2,FALSE)</f>
        <v>0</v>
      </c>
      <c r="F652">
        <f>VLOOKUP($D652,'[2]LC Dynamic'!$Q$2:$U$542,3,FALSE)</f>
        <v>0</v>
      </c>
      <c r="G652">
        <f>VLOOKUP($D652,'[2]LC Dynamic'!$Q$2:$U$542,4,FALSE)</f>
        <v>0.308</v>
      </c>
      <c r="H652">
        <f>VLOOKUP($D652,'[2]LC Dynamic'!$Q$2:$U$542,5,FALSE)</f>
        <v>0.69199999999999995</v>
      </c>
      <c r="I652" s="77">
        <f t="shared" si="1684"/>
        <v>1</v>
      </c>
      <c r="J652" s="77">
        <f t="shared" si="1685"/>
        <v>6.9728499999999985E-2</v>
      </c>
      <c r="K652" s="77">
        <f t="shared" si="1759"/>
        <v>5.632878498097682E-3</v>
      </c>
      <c r="L652" s="76">
        <v>0</v>
      </c>
      <c r="M652" s="77">
        <f t="shared" si="1695"/>
        <v>0</v>
      </c>
      <c r="N652" s="77">
        <f t="shared" si="1696"/>
        <v>0</v>
      </c>
      <c r="O652" s="77">
        <f t="shared" si="1697"/>
        <v>5.6775999999999997E-3</v>
      </c>
      <c r="P652" s="77">
        <f t="shared" si="1698"/>
        <v>4.7436902124819991E-4</v>
      </c>
      <c r="R652" t="s">
        <v>177</v>
      </c>
      <c r="S652" t="s">
        <v>179</v>
      </c>
      <c r="T652" s="197" t="str">
        <f t="shared" si="1753"/>
        <v>Autopilot_Dynamic_435</v>
      </c>
      <c r="U652">
        <v>435</v>
      </c>
      <c r="V652">
        <f>VLOOKUP($U652,'[2]AP Dynamic'!$Q$1:$T$542,2,FALSE)</f>
        <v>0.88888888888888884</v>
      </c>
      <c r="W652">
        <f>VLOOKUP($U652,'[2]AP Dynamic'!$Q$1:$T$542,3,FALSE)</f>
        <v>0.11111111111111116</v>
      </c>
      <c r="X652">
        <f>VLOOKUP($U652,'[2]AP Dynamic'!$Q$1:$T$542,4,FALSE)</f>
        <v>0</v>
      </c>
      <c r="Y652" s="77">
        <f t="shared" si="1754"/>
        <v>1</v>
      </c>
      <c r="Z652" s="77">
        <f t="shared" si="1760"/>
        <v>6.3149999999999984E-2</v>
      </c>
      <c r="AA652" s="77">
        <f t="shared" si="1761"/>
        <v>5.1160591879111372E-3</v>
      </c>
      <c r="AB652" s="79">
        <v>1</v>
      </c>
      <c r="AC652" s="77">
        <f t="shared" si="1699"/>
        <v>8.277777777777778E-3</v>
      </c>
      <c r="AD652" s="77">
        <f t="shared" ref="AD652" si="1876">1-(1-AC652)^(1/12)</f>
        <v>6.9244588451522482E-4</v>
      </c>
      <c r="AE652" s="77">
        <f t="shared" si="1701"/>
        <v>2.5000000000000001E-3</v>
      </c>
      <c r="AF652" s="77">
        <f t="shared" ref="AF652" si="1877">1-(1-AE652)^(1/12)</f>
        <v>2.0857243058891584E-4</v>
      </c>
      <c r="AH652" t="s">
        <v>175</v>
      </c>
      <c r="AI652" t="s">
        <v>179</v>
      </c>
      <c r="AJ652" s="197" t="str">
        <f t="shared" si="1688"/>
        <v>Lifecycle_Dynamic_435</v>
      </c>
      <c r="AK652">
        <v>435</v>
      </c>
      <c r="AL652">
        <f>VLOOKUP($U652,[2]Standard_Dynamic!$Q$1:$T$542,2,FALSE)</f>
        <v>0.88888888888888884</v>
      </c>
      <c r="AM652">
        <f>VLOOKUP($U652,[2]Standard_Dynamic!$Q$1:$T$542,3,FALSE)</f>
        <v>0.11111111111111116</v>
      </c>
      <c r="AN652">
        <f>VLOOKUP($U652,[2]Standard_Dynamic!$Q$1:$T$542,4,FALSE)</f>
        <v>0</v>
      </c>
      <c r="AO652" s="77">
        <f t="shared" si="1689"/>
        <v>1</v>
      </c>
      <c r="AP652" s="77">
        <f t="shared" si="1703"/>
        <v>6.3149999999999984E-2</v>
      </c>
      <c r="AQ652" s="77">
        <f t="shared" si="1690"/>
        <v>5.1160591879111372E-3</v>
      </c>
      <c r="AR652" s="79">
        <v>0</v>
      </c>
      <c r="AS652" s="77">
        <f t="shared" si="1704"/>
        <v>0</v>
      </c>
      <c r="AT652" s="77">
        <f t="shared" ref="AT652" si="1878">1-(1-AS652)^(1/12)</f>
        <v>0</v>
      </c>
      <c r="AU652" s="77">
        <f t="shared" si="1706"/>
        <v>2.5000000000000001E-3</v>
      </c>
      <c r="AV652" s="77">
        <f t="shared" ref="AV652" si="1879">1-(1-AU652)^(1/12)</f>
        <v>2.0857243058891584E-4</v>
      </c>
      <c r="AX652" t="s">
        <v>178</v>
      </c>
      <c r="AY652" t="s">
        <v>162</v>
      </c>
      <c r="AZ652" s="197" t="str">
        <f t="shared" si="1786"/>
        <v>DIS_Standard_435</v>
      </c>
      <c r="BA652">
        <v>435</v>
      </c>
      <c r="BB652">
        <f>VLOOKUP($BA652,'[2]Standard DIS'!$Q$1:$X$542,4,FALSE)</f>
        <v>0</v>
      </c>
      <c r="BF652">
        <f>VLOOKUP($BA652,'[2]Standard DIS'!$Q$1:$X$542,2,FALSE)</f>
        <v>0.88888888888888884</v>
      </c>
      <c r="BH652">
        <f>VLOOKUP($BA652,'[2]Standard DIS'!$Q$1:$X$542,3,FALSE)</f>
        <v>0.11111111111111116</v>
      </c>
      <c r="BI652" s="77">
        <f t="shared" si="1693"/>
        <v>1</v>
      </c>
      <c r="BJ652" s="77">
        <f t="shared" si="1694"/>
        <v>6.3149999999999984E-2</v>
      </c>
      <c r="BK652" s="77">
        <f t="shared" si="1787"/>
        <v>5.1160591879111372E-3</v>
      </c>
      <c r="BL652" s="79">
        <v>0</v>
      </c>
      <c r="BM652" s="77">
        <f t="shared" si="1708"/>
        <v>0</v>
      </c>
      <c r="BN652" s="77">
        <f t="shared" si="1709"/>
        <v>0</v>
      </c>
      <c r="BO652" s="77">
        <f t="shared" si="1710"/>
        <v>2.5000000000000001E-3</v>
      </c>
      <c r="BP652" s="77">
        <f t="shared" si="1711"/>
        <v>2.0809499864316017E-4</v>
      </c>
    </row>
    <row r="653" spans="1:68">
      <c r="A653" t="s">
        <v>175</v>
      </c>
      <c r="B653" t="s">
        <v>179</v>
      </c>
      <c r="C653" s="197" t="str">
        <f t="shared" si="1752"/>
        <v>Lifecycle_Dynamic_434</v>
      </c>
      <c r="D653">
        <v>434</v>
      </c>
      <c r="E653">
        <f>VLOOKUP($D653,'[2]LC Dynamic'!$Q$2:$U$542,2,FALSE)</f>
        <v>0</v>
      </c>
      <c r="F653">
        <f>VLOOKUP($D653,'[2]LC Dynamic'!$Q$2:$U$542,3,FALSE)</f>
        <v>0</v>
      </c>
      <c r="G653">
        <f>VLOOKUP($D653,'[2]LC Dynamic'!$Q$2:$U$542,4,FALSE)</f>
        <v>0.308</v>
      </c>
      <c r="H653">
        <f>VLOOKUP($D653,'[2]LC Dynamic'!$Q$2:$U$542,5,FALSE)</f>
        <v>0.69199999999999995</v>
      </c>
      <c r="I653" s="77">
        <f t="shared" si="1684"/>
        <v>1</v>
      </c>
      <c r="J653" s="77">
        <f t="shared" si="1685"/>
        <v>6.9728499999999985E-2</v>
      </c>
      <c r="K653" s="77">
        <f t="shared" si="1759"/>
        <v>5.632878498097682E-3</v>
      </c>
      <c r="L653" s="76">
        <v>0</v>
      </c>
      <c r="M653" s="77">
        <f t="shared" si="1695"/>
        <v>0</v>
      </c>
      <c r="N653" s="77">
        <f t="shared" si="1696"/>
        <v>0</v>
      </c>
      <c r="O653" s="77">
        <f t="shared" si="1697"/>
        <v>5.6775999999999997E-3</v>
      </c>
      <c r="P653" s="77">
        <f t="shared" si="1698"/>
        <v>4.7436902124819991E-4</v>
      </c>
      <c r="R653" t="s">
        <v>177</v>
      </c>
      <c r="S653" t="s">
        <v>179</v>
      </c>
      <c r="T653" s="197" t="str">
        <f t="shared" si="1753"/>
        <v>Autopilot_Dynamic_434</v>
      </c>
      <c r="U653">
        <v>434</v>
      </c>
      <c r="V653">
        <f>VLOOKUP($U653,'[2]AP Dynamic'!$Q$1:$T$542,2,FALSE)</f>
        <v>0.88888888888888884</v>
      </c>
      <c r="W653">
        <f>VLOOKUP($U653,'[2]AP Dynamic'!$Q$1:$T$542,3,FALSE)</f>
        <v>0.11111111111111116</v>
      </c>
      <c r="X653">
        <f>VLOOKUP($U653,'[2]AP Dynamic'!$Q$1:$T$542,4,FALSE)</f>
        <v>0</v>
      </c>
      <c r="Y653" s="77">
        <f t="shared" si="1754"/>
        <v>1</v>
      </c>
      <c r="Z653" s="77">
        <f t="shared" si="1760"/>
        <v>6.3149999999999984E-2</v>
      </c>
      <c r="AA653" s="77">
        <f t="shared" si="1761"/>
        <v>5.1160591879111372E-3</v>
      </c>
      <c r="AB653" s="79">
        <v>1</v>
      </c>
      <c r="AC653" s="77">
        <f t="shared" si="1699"/>
        <v>8.277777777777778E-3</v>
      </c>
      <c r="AD653" s="77">
        <f t="shared" ref="AD653" si="1880">1-(1-AC653)^(1/12)</f>
        <v>6.9244588451522482E-4</v>
      </c>
      <c r="AE653" s="77">
        <f t="shared" si="1701"/>
        <v>2.5000000000000001E-3</v>
      </c>
      <c r="AF653" s="77">
        <f t="shared" ref="AF653" si="1881">1-(1-AE653)^(1/12)</f>
        <v>2.0857243058891584E-4</v>
      </c>
      <c r="AH653" t="s">
        <v>175</v>
      </c>
      <c r="AI653" t="s">
        <v>179</v>
      </c>
      <c r="AJ653" s="197" t="str">
        <f t="shared" si="1688"/>
        <v>Lifecycle_Dynamic_434</v>
      </c>
      <c r="AK653">
        <v>434</v>
      </c>
      <c r="AL653">
        <f>VLOOKUP($U653,[2]Standard_Dynamic!$Q$1:$T$542,2,FALSE)</f>
        <v>0.88888888888888884</v>
      </c>
      <c r="AM653">
        <f>VLOOKUP($U653,[2]Standard_Dynamic!$Q$1:$T$542,3,FALSE)</f>
        <v>0.11111111111111116</v>
      </c>
      <c r="AN653">
        <f>VLOOKUP($U653,[2]Standard_Dynamic!$Q$1:$T$542,4,FALSE)</f>
        <v>0</v>
      </c>
      <c r="AO653" s="77">
        <f t="shared" si="1689"/>
        <v>1</v>
      </c>
      <c r="AP653" s="77">
        <f t="shared" si="1703"/>
        <v>6.3149999999999984E-2</v>
      </c>
      <c r="AQ653" s="77">
        <f t="shared" si="1690"/>
        <v>5.1160591879111372E-3</v>
      </c>
      <c r="AR653" s="79">
        <v>0</v>
      </c>
      <c r="AS653" s="77">
        <f t="shared" si="1704"/>
        <v>0</v>
      </c>
      <c r="AT653" s="77">
        <f t="shared" ref="AT653" si="1882">1-(1-AS653)^(1/12)</f>
        <v>0</v>
      </c>
      <c r="AU653" s="77">
        <f t="shared" si="1706"/>
        <v>2.5000000000000001E-3</v>
      </c>
      <c r="AV653" s="77">
        <f t="shared" ref="AV653" si="1883">1-(1-AU653)^(1/12)</f>
        <v>2.0857243058891584E-4</v>
      </c>
      <c r="AX653" t="s">
        <v>178</v>
      </c>
      <c r="AY653" t="s">
        <v>162</v>
      </c>
      <c r="AZ653" s="197" t="str">
        <f t="shared" si="1786"/>
        <v>DIS_Standard_434</v>
      </c>
      <c r="BA653">
        <v>434</v>
      </c>
      <c r="BB653">
        <f>VLOOKUP($BA653,'[2]Standard DIS'!$Q$1:$X$542,4,FALSE)</f>
        <v>0</v>
      </c>
      <c r="BF653">
        <f>VLOOKUP($BA653,'[2]Standard DIS'!$Q$1:$X$542,2,FALSE)</f>
        <v>0.88888888888888884</v>
      </c>
      <c r="BH653">
        <f>VLOOKUP($BA653,'[2]Standard DIS'!$Q$1:$X$542,3,FALSE)</f>
        <v>0.11111111111111116</v>
      </c>
      <c r="BI653" s="77">
        <f t="shared" si="1693"/>
        <v>1</v>
      </c>
      <c r="BJ653" s="77">
        <f t="shared" si="1694"/>
        <v>6.3149999999999984E-2</v>
      </c>
      <c r="BK653" s="77">
        <f t="shared" si="1787"/>
        <v>5.1160591879111372E-3</v>
      </c>
      <c r="BL653" s="79">
        <v>0</v>
      </c>
      <c r="BM653" s="77">
        <f t="shared" si="1708"/>
        <v>0</v>
      </c>
      <c r="BN653" s="77">
        <f t="shared" si="1709"/>
        <v>0</v>
      </c>
      <c r="BO653" s="77">
        <f t="shared" si="1710"/>
        <v>2.5000000000000001E-3</v>
      </c>
      <c r="BP653" s="77">
        <f t="shared" si="1711"/>
        <v>2.0809499864316017E-4</v>
      </c>
    </row>
    <row r="654" spans="1:68">
      <c r="A654" t="s">
        <v>175</v>
      </c>
      <c r="B654" t="s">
        <v>179</v>
      </c>
      <c r="C654" s="197" t="str">
        <f t="shared" si="1752"/>
        <v>Lifecycle_Dynamic_433</v>
      </c>
      <c r="D654">
        <v>433</v>
      </c>
      <c r="E654">
        <f>VLOOKUP($D654,'[2]LC Dynamic'!$Q$2:$U$542,2,FALSE)</f>
        <v>0</v>
      </c>
      <c r="F654">
        <f>VLOOKUP($D654,'[2]LC Dynamic'!$Q$2:$U$542,3,FALSE)</f>
        <v>0</v>
      </c>
      <c r="G654">
        <f>VLOOKUP($D654,'[2]LC Dynamic'!$Q$2:$U$542,4,FALSE)</f>
        <v>0.308</v>
      </c>
      <c r="H654">
        <f>VLOOKUP($D654,'[2]LC Dynamic'!$Q$2:$U$542,5,FALSE)</f>
        <v>0.69199999999999995</v>
      </c>
      <c r="I654" s="77">
        <f t="shared" si="1684"/>
        <v>1</v>
      </c>
      <c r="J654" s="77">
        <f t="shared" si="1685"/>
        <v>6.9728499999999985E-2</v>
      </c>
      <c r="K654" s="77">
        <f t="shared" si="1759"/>
        <v>5.632878498097682E-3</v>
      </c>
      <c r="L654" s="76">
        <v>0</v>
      </c>
      <c r="M654" s="77">
        <f t="shared" si="1695"/>
        <v>0</v>
      </c>
      <c r="N654" s="77">
        <f t="shared" si="1696"/>
        <v>0</v>
      </c>
      <c r="O654" s="77">
        <f t="shared" si="1697"/>
        <v>5.6775999999999997E-3</v>
      </c>
      <c r="P654" s="77">
        <f t="shared" si="1698"/>
        <v>4.7436902124819991E-4</v>
      </c>
      <c r="R654" t="s">
        <v>177</v>
      </c>
      <c r="S654" t="s">
        <v>179</v>
      </c>
      <c r="T654" s="197" t="str">
        <f t="shared" si="1753"/>
        <v>Autopilot_Dynamic_433</v>
      </c>
      <c r="U654">
        <v>433</v>
      </c>
      <c r="V654">
        <f>VLOOKUP($U654,'[2]AP Dynamic'!$Q$1:$T$542,2,FALSE)</f>
        <v>0.88888888888888884</v>
      </c>
      <c r="W654">
        <f>VLOOKUP($U654,'[2]AP Dynamic'!$Q$1:$T$542,3,FALSE)</f>
        <v>0.11111111111111116</v>
      </c>
      <c r="X654">
        <f>VLOOKUP($U654,'[2]AP Dynamic'!$Q$1:$T$542,4,FALSE)</f>
        <v>0</v>
      </c>
      <c r="Y654" s="77">
        <f t="shared" si="1754"/>
        <v>1</v>
      </c>
      <c r="Z654" s="77">
        <f t="shared" si="1760"/>
        <v>6.3149999999999984E-2</v>
      </c>
      <c r="AA654" s="77">
        <f t="shared" si="1761"/>
        <v>5.1160591879111372E-3</v>
      </c>
      <c r="AB654" s="79">
        <v>1</v>
      </c>
      <c r="AC654" s="77">
        <f t="shared" si="1699"/>
        <v>8.277777777777778E-3</v>
      </c>
      <c r="AD654" s="77">
        <f t="shared" ref="AD654" si="1884">1-(1-AC654)^(1/12)</f>
        <v>6.9244588451522482E-4</v>
      </c>
      <c r="AE654" s="77">
        <f t="shared" si="1701"/>
        <v>2.5000000000000001E-3</v>
      </c>
      <c r="AF654" s="77">
        <f t="shared" ref="AF654" si="1885">1-(1-AE654)^(1/12)</f>
        <v>2.0857243058891584E-4</v>
      </c>
      <c r="AH654" t="s">
        <v>175</v>
      </c>
      <c r="AI654" t="s">
        <v>179</v>
      </c>
      <c r="AJ654" s="197" t="str">
        <f t="shared" si="1688"/>
        <v>Lifecycle_Dynamic_433</v>
      </c>
      <c r="AK654">
        <v>433</v>
      </c>
      <c r="AL654">
        <f>VLOOKUP($U654,[2]Standard_Dynamic!$Q$1:$T$542,2,FALSE)</f>
        <v>0.88888888888888884</v>
      </c>
      <c r="AM654">
        <f>VLOOKUP($U654,[2]Standard_Dynamic!$Q$1:$T$542,3,FALSE)</f>
        <v>0.11111111111111116</v>
      </c>
      <c r="AN654">
        <f>VLOOKUP($U654,[2]Standard_Dynamic!$Q$1:$T$542,4,FALSE)</f>
        <v>0</v>
      </c>
      <c r="AO654" s="77">
        <f t="shared" si="1689"/>
        <v>1</v>
      </c>
      <c r="AP654" s="77">
        <f t="shared" si="1703"/>
        <v>6.3149999999999984E-2</v>
      </c>
      <c r="AQ654" s="77">
        <f t="shared" si="1690"/>
        <v>5.1160591879111372E-3</v>
      </c>
      <c r="AR654" s="79">
        <v>0</v>
      </c>
      <c r="AS654" s="77">
        <f t="shared" si="1704"/>
        <v>0</v>
      </c>
      <c r="AT654" s="77">
        <f t="shared" ref="AT654" si="1886">1-(1-AS654)^(1/12)</f>
        <v>0</v>
      </c>
      <c r="AU654" s="77">
        <f t="shared" si="1706"/>
        <v>2.5000000000000001E-3</v>
      </c>
      <c r="AV654" s="77">
        <f t="shared" ref="AV654" si="1887">1-(1-AU654)^(1/12)</f>
        <v>2.0857243058891584E-4</v>
      </c>
      <c r="AX654" t="s">
        <v>178</v>
      </c>
      <c r="AY654" t="s">
        <v>162</v>
      </c>
      <c r="AZ654" s="197" t="str">
        <f t="shared" si="1786"/>
        <v>DIS_Standard_433</v>
      </c>
      <c r="BA654">
        <v>433</v>
      </c>
      <c r="BB654">
        <f>VLOOKUP($BA654,'[2]Standard DIS'!$Q$1:$X$542,4,FALSE)</f>
        <v>0</v>
      </c>
      <c r="BF654">
        <f>VLOOKUP($BA654,'[2]Standard DIS'!$Q$1:$X$542,2,FALSE)</f>
        <v>0.88888888888888884</v>
      </c>
      <c r="BH654">
        <f>VLOOKUP($BA654,'[2]Standard DIS'!$Q$1:$X$542,3,FALSE)</f>
        <v>0.11111111111111116</v>
      </c>
      <c r="BI654" s="77">
        <f t="shared" si="1693"/>
        <v>1</v>
      </c>
      <c r="BJ654" s="77">
        <f t="shared" si="1694"/>
        <v>6.3149999999999984E-2</v>
      </c>
      <c r="BK654" s="77">
        <f t="shared" si="1787"/>
        <v>5.1160591879111372E-3</v>
      </c>
      <c r="BL654" s="79">
        <v>0</v>
      </c>
      <c r="BM654" s="77">
        <f t="shared" si="1708"/>
        <v>0</v>
      </c>
      <c r="BN654" s="77">
        <f t="shared" si="1709"/>
        <v>0</v>
      </c>
      <c r="BO654" s="77">
        <f t="shared" si="1710"/>
        <v>2.5000000000000001E-3</v>
      </c>
      <c r="BP654" s="77">
        <f t="shared" si="1711"/>
        <v>2.0809499864316017E-4</v>
      </c>
    </row>
    <row r="655" spans="1:68">
      <c r="A655" t="s">
        <v>175</v>
      </c>
      <c r="B655" t="s">
        <v>179</v>
      </c>
      <c r="C655" s="197" t="str">
        <f t="shared" si="1752"/>
        <v>Lifecycle_Dynamic_432</v>
      </c>
      <c r="D655">
        <v>432</v>
      </c>
      <c r="E655">
        <f>VLOOKUP($D655,'[2]LC Dynamic'!$Q$2:$U$542,2,FALSE)</f>
        <v>0</v>
      </c>
      <c r="F655">
        <f>VLOOKUP($D655,'[2]LC Dynamic'!$Q$2:$U$542,3,FALSE)</f>
        <v>0</v>
      </c>
      <c r="G655">
        <f>VLOOKUP($D655,'[2]LC Dynamic'!$Q$2:$U$542,4,FALSE)</f>
        <v>0.308</v>
      </c>
      <c r="H655">
        <f>VLOOKUP($D655,'[2]LC Dynamic'!$Q$2:$U$542,5,FALSE)</f>
        <v>0.69199999999999995</v>
      </c>
      <c r="I655" s="77">
        <f t="shared" si="1684"/>
        <v>1</v>
      </c>
      <c r="J655" s="77">
        <f t="shared" si="1685"/>
        <v>6.9728499999999985E-2</v>
      </c>
      <c r="K655" s="77">
        <f t="shared" si="1759"/>
        <v>5.632878498097682E-3</v>
      </c>
      <c r="L655" s="76">
        <v>0</v>
      </c>
      <c r="M655" s="77">
        <f t="shared" si="1695"/>
        <v>0</v>
      </c>
      <c r="N655" s="77">
        <f t="shared" si="1696"/>
        <v>0</v>
      </c>
      <c r="O655" s="77">
        <f t="shared" si="1697"/>
        <v>5.6775999999999997E-3</v>
      </c>
      <c r="P655" s="77">
        <f t="shared" si="1698"/>
        <v>4.7436902124819991E-4</v>
      </c>
      <c r="R655" t="s">
        <v>177</v>
      </c>
      <c r="S655" t="s">
        <v>179</v>
      </c>
      <c r="T655" s="197" t="str">
        <f t="shared" si="1753"/>
        <v>Autopilot_Dynamic_432</v>
      </c>
      <c r="U655">
        <v>432</v>
      </c>
      <c r="V655">
        <f>VLOOKUP($U655,'[2]AP Dynamic'!$Q$1:$T$542,2,FALSE)</f>
        <v>0.88888888888888884</v>
      </c>
      <c r="W655">
        <f>VLOOKUP($U655,'[2]AP Dynamic'!$Q$1:$T$542,3,FALSE)</f>
        <v>0.11111111111111116</v>
      </c>
      <c r="X655">
        <f>VLOOKUP($U655,'[2]AP Dynamic'!$Q$1:$T$542,4,FALSE)</f>
        <v>0</v>
      </c>
      <c r="Y655" s="77">
        <f t="shared" si="1754"/>
        <v>1</v>
      </c>
      <c r="Z655" s="77">
        <f t="shared" si="1760"/>
        <v>6.3149999999999984E-2</v>
      </c>
      <c r="AA655" s="77">
        <f t="shared" si="1761"/>
        <v>5.1160591879111372E-3</v>
      </c>
      <c r="AB655" s="79">
        <v>1</v>
      </c>
      <c r="AC655" s="77">
        <f t="shared" si="1699"/>
        <v>8.277777777777778E-3</v>
      </c>
      <c r="AD655" s="77">
        <f t="shared" ref="AD655" si="1888">1-(1-AC655)^(1/12)</f>
        <v>6.9244588451522482E-4</v>
      </c>
      <c r="AE655" s="77">
        <f t="shared" si="1701"/>
        <v>2.5000000000000001E-3</v>
      </c>
      <c r="AF655" s="77">
        <f t="shared" ref="AF655" si="1889">1-(1-AE655)^(1/12)</f>
        <v>2.0857243058891584E-4</v>
      </c>
      <c r="AH655" t="s">
        <v>175</v>
      </c>
      <c r="AI655" t="s">
        <v>179</v>
      </c>
      <c r="AJ655" s="197" t="str">
        <f t="shared" si="1688"/>
        <v>Lifecycle_Dynamic_432</v>
      </c>
      <c r="AK655">
        <v>432</v>
      </c>
      <c r="AL655">
        <f>VLOOKUP($U655,[2]Standard_Dynamic!$Q$1:$T$542,2,FALSE)</f>
        <v>0.88888888888888884</v>
      </c>
      <c r="AM655">
        <f>VLOOKUP($U655,[2]Standard_Dynamic!$Q$1:$T$542,3,FALSE)</f>
        <v>0.11111111111111116</v>
      </c>
      <c r="AN655">
        <f>VLOOKUP($U655,[2]Standard_Dynamic!$Q$1:$T$542,4,FALSE)</f>
        <v>0</v>
      </c>
      <c r="AO655" s="77">
        <f t="shared" si="1689"/>
        <v>1</v>
      </c>
      <c r="AP655" s="77">
        <f t="shared" si="1703"/>
        <v>6.3149999999999984E-2</v>
      </c>
      <c r="AQ655" s="77">
        <f t="shared" si="1690"/>
        <v>5.1160591879111372E-3</v>
      </c>
      <c r="AR655" s="79">
        <v>0</v>
      </c>
      <c r="AS655" s="77">
        <f t="shared" si="1704"/>
        <v>0</v>
      </c>
      <c r="AT655" s="77">
        <f t="shared" ref="AT655" si="1890">1-(1-AS655)^(1/12)</f>
        <v>0</v>
      </c>
      <c r="AU655" s="77">
        <f t="shared" si="1706"/>
        <v>2.5000000000000001E-3</v>
      </c>
      <c r="AV655" s="77">
        <f t="shared" ref="AV655" si="1891">1-(1-AU655)^(1/12)</f>
        <v>2.0857243058891584E-4</v>
      </c>
      <c r="AX655" t="s">
        <v>178</v>
      </c>
      <c r="AY655" t="s">
        <v>162</v>
      </c>
      <c r="AZ655" s="197" t="str">
        <f t="shared" si="1786"/>
        <v>DIS_Standard_432</v>
      </c>
      <c r="BA655">
        <v>432</v>
      </c>
      <c r="BB655">
        <f>VLOOKUP($BA655,'[2]Standard DIS'!$Q$1:$X$542,4,FALSE)</f>
        <v>0</v>
      </c>
      <c r="BF655">
        <f>VLOOKUP($BA655,'[2]Standard DIS'!$Q$1:$X$542,2,FALSE)</f>
        <v>0.88888888888888884</v>
      </c>
      <c r="BH655">
        <f>VLOOKUP($BA655,'[2]Standard DIS'!$Q$1:$X$542,3,FALSE)</f>
        <v>0.11111111111111116</v>
      </c>
      <c r="BI655" s="77">
        <f t="shared" si="1693"/>
        <v>1</v>
      </c>
      <c r="BJ655" s="77">
        <f t="shared" si="1694"/>
        <v>6.3149999999999984E-2</v>
      </c>
      <c r="BK655" s="77">
        <f t="shared" si="1787"/>
        <v>5.1160591879111372E-3</v>
      </c>
      <c r="BL655" s="79">
        <v>0</v>
      </c>
      <c r="BM655" s="77">
        <f t="shared" si="1708"/>
        <v>0</v>
      </c>
      <c r="BN655" s="77">
        <f t="shared" si="1709"/>
        <v>0</v>
      </c>
      <c r="BO655" s="77">
        <f t="shared" si="1710"/>
        <v>2.5000000000000001E-3</v>
      </c>
      <c r="BP655" s="77">
        <f t="shared" si="1711"/>
        <v>2.0809499864316017E-4</v>
      </c>
    </row>
    <row r="656" spans="1:68">
      <c r="A656" t="s">
        <v>175</v>
      </c>
      <c r="B656" t="s">
        <v>179</v>
      </c>
      <c r="C656" s="197" t="str">
        <f t="shared" si="1752"/>
        <v>Lifecycle_Dynamic_431</v>
      </c>
      <c r="D656">
        <v>431</v>
      </c>
      <c r="E656">
        <f>VLOOKUP($D656,'[2]LC Dynamic'!$Q$2:$U$542,2,FALSE)</f>
        <v>0</v>
      </c>
      <c r="F656">
        <f>VLOOKUP($D656,'[2]LC Dynamic'!$Q$2:$U$542,3,FALSE)</f>
        <v>0</v>
      </c>
      <c r="G656">
        <f>VLOOKUP($D656,'[2]LC Dynamic'!$Q$2:$U$542,4,FALSE)</f>
        <v>0.308</v>
      </c>
      <c r="H656">
        <f>VLOOKUP($D656,'[2]LC Dynamic'!$Q$2:$U$542,5,FALSE)</f>
        <v>0.69199999999999995</v>
      </c>
      <c r="I656" s="77">
        <f t="shared" si="1684"/>
        <v>1</v>
      </c>
      <c r="J656" s="77">
        <f t="shared" si="1685"/>
        <v>6.9728499999999985E-2</v>
      </c>
      <c r="K656" s="77">
        <f t="shared" si="1759"/>
        <v>5.632878498097682E-3</v>
      </c>
      <c r="L656" s="76">
        <v>0</v>
      </c>
      <c r="M656" s="77">
        <f t="shared" si="1695"/>
        <v>0</v>
      </c>
      <c r="N656" s="77">
        <f t="shared" si="1696"/>
        <v>0</v>
      </c>
      <c r="O656" s="77">
        <f t="shared" si="1697"/>
        <v>5.6775999999999997E-3</v>
      </c>
      <c r="P656" s="77">
        <f t="shared" si="1698"/>
        <v>4.7436902124819991E-4</v>
      </c>
      <c r="R656" t="s">
        <v>177</v>
      </c>
      <c r="S656" t="s">
        <v>179</v>
      </c>
      <c r="T656" s="197" t="str">
        <f t="shared" si="1753"/>
        <v>Autopilot_Dynamic_431</v>
      </c>
      <c r="U656">
        <v>431</v>
      </c>
      <c r="V656">
        <f>VLOOKUP($U656,'[2]AP Dynamic'!$Q$1:$T$542,2,FALSE)</f>
        <v>0.88888888888888884</v>
      </c>
      <c r="W656">
        <f>VLOOKUP($U656,'[2]AP Dynamic'!$Q$1:$T$542,3,FALSE)</f>
        <v>0.11111111111111116</v>
      </c>
      <c r="X656">
        <f>VLOOKUP($U656,'[2]AP Dynamic'!$Q$1:$T$542,4,FALSE)</f>
        <v>0</v>
      </c>
      <c r="Y656" s="77">
        <f t="shared" si="1754"/>
        <v>1</v>
      </c>
      <c r="Z656" s="77">
        <f t="shared" si="1760"/>
        <v>6.3149999999999984E-2</v>
      </c>
      <c r="AA656" s="77">
        <f t="shared" si="1761"/>
        <v>5.1160591879111372E-3</v>
      </c>
      <c r="AB656" s="79">
        <v>1</v>
      </c>
      <c r="AC656" s="77">
        <f t="shared" si="1699"/>
        <v>8.277777777777778E-3</v>
      </c>
      <c r="AD656" s="77">
        <f t="shared" ref="AD656" si="1892">1-(1-AC656)^(1/12)</f>
        <v>6.9244588451522482E-4</v>
      </c>
      <c r="AE656" s="77">
        <f t="shared" si="1701"/>
        <v>2.5000000000000001E-3</v>
      </c>
      <c r="AF656" s="77">
        <f t="shared" ref="AF656" si="1893">1-(1-AE656)^(1/12)</f>
        <v>2.0857243058891584E-4</v>
      </c>
      <c r="AH656" t="s">
        <v>175</v>
      </c>
      <c r="AI656" t="s">
        <v>179</v>
      </c>
      <c r="AJ656" s="197" t="str">
        <f t="shared" si="1688"/>
        <v>Lifecycle_Dynamic_431</v>
      </c>
      <c r="AK656">
        <v>431</v>
      </c>
      <c r="AL656">
        <f>VLOOKUP($U656,[2]Standard_Dynamic!$Q$1:$T$542,2,FALSE)</f>
        <v>0.88888888888888884</v>
      </c>
      <c r="AM656">
        <f>VLOOKUP($U656,[2]Standard_Dynamic!$Q$1:$T$542,3,FALSE)</f>
        <v>0.11111111111111116</v>
      </c>
      <c r="AN656">
        <f>VLOOKUP($U656,[2]Standard_Dynamic!$Q$1:$T$542,4,FALSE)</f>
        <v>0</v>
      </c>
      <c r="AO656" s="77">
        <f t="shared" si="1689"/>
        <v>1</v>
      </c>
      <c r="AP656" s="77">
        <f t="shared" si="1703"/>
        <v>6.3149999999999984E-2</v>
      </c>
      <c r="AQ656" s="77">
        <f t="shared" si="1690"/>
        <v>5.1160591879111372E-3</v>
      </c>
      <c r="AR656" s="79">
        <v>0</v>
      </c>
      <c r="AS656" s="77">
        <f t="shared" si="1704"/>
        <v>0</v>
      </c>
      <c r="AT656" s="77">
        <f t="shared" ref="AT656" si="1894">1-(1-AS656)^(1/12)</f>
        <v>0</v>
      </c>
      <c r="AU656" s="77">
        <f t="shared" si="1706"/>
        <v>2.5000000000000001E-3</v>
      </c>
      <c r="AV656" s="77">
        <f t="shared" ref="AV656" si="1895">1-(1-AU656)^(1/12)</f>
        <v>2.0857243058891584E-4</v>
      </c>
      <c r="AX656" t="s">
        <v>178</v>
      </c>
      <c r="AY656" t="s">
        <v>162</v>
      </c>
      <c r="AZ656" s="197" t="str">
        <f t="shared" si="1786"/>
        <v>DIS_Standard_431</v>
      </c>
      <c r="BA656">
        <v>431</v>
      </c>
      <c r="BB656">
        <f>VLOOKUP($BA656,'[2]Standard DIS'!$Q$1:$X$542,4,FALSE)</f>
        <v>0</v>
      </c>
      <c r="BF656">
        <f>VLOOKUP($BA656,'[2]Standard DIS'!$Q$1:$X$542,2,FALSE)</f>
        <v>0.88888888888888884</v>
      </c>
      <c r="BH656">
        <f>VLOOKUP($BA656,'[2]Standard DIS'!$Q$1:$X$542,3,FALSE)</f>
        <v>0.11111111111111116</v>
      </c>
      <c r="BI656" s="77">
        <f t="shared" si="1693"/>
        <v>1</v>
      </c>
      <c r="BJ656" s="77">
        <f t="shared" si="1694"/>
        <v>6.3149999999999984E-2</v>
      </c>
      <c r="BK656" s="77">
        <f t="shared" si="1787"/>
        <v>5.1160591879111372E-3</v>
      </c>
      <c r="BL656" s="79">
        <v>0</v>
      </c>
      <c r="BM656" s="77">
        <f t="shared" si="1708"/>
        <v>0</v>
      </c>
      <c r="BN656" s="77">
        <f t="shared" si="1709"/>
        <v>0</v>
      </c>
      <c r="BO656" s="77">
        <f t="shared" si="1710"/>
        <v>2.5000000000000001E-3</v>
      </c>
      <c r="BP656" s="77">
        <f t="shared" si="1711"/>
        <v>2.0809499864316017E-4</v>
      </c>
    </row>
    <row r="657" spans="1:68">
      <c r="A657" t="s">
        <v>175</v>
      </c>
      <c r="B657" t="s">
        <v>179</v>
      </c>
      <c r="C657" s="197" t="str">
        <f t="shared" si="1752"/>
        <v>Lifecycle_Dynamic_430</v>
      </c>
      <c r="D657">
        <v>430</v>
      </c>
      <c r="E657">
        <f>VLOOKUP($D657,'[2]LC Dynamic'!$Q$2:$U$542,2,FALSE)</f>
        <v>0</v>
      </c>
      <c r="F657">
        <f>VLOOKUP($D657,'[2]LC Dynamic'!$Q$2:$U$542,3,FALSE)</f>
        <v>0</v>
      </c>
      <c r="G657">
        <f>VLOOKUP($D657,'[2]LC Dynamic'!$Q$2:$U$542,4,FALSE)</f>
        <v>0.308</v>
      </c>
      <c r="H657">
        <f>VLOOKUP($D657,'[2]LC Dynamic'!$Q$2:$U$542,5,FALSE)</f>
        <v>0.69199999999999995</v>
      </c>
      <c r="I657" s="77">
        <f t="shared" si="1684"/>
        <v>1</v>
      </c>
      <c r="J657" s="77">
        <f t="shared" si="1685"/>
        <v>6.9728499999999985E-2</v>
      </c>
      <c r="K657" s="77">
        <f t="shared" si="1759"/>
        <v>5.632878498097682E-3</v>
      </c>
      <c r="L657" s="76">
        <v>0</v>
      </c>
      <c r="M657" s="77">
        <f t="shared" si="1695"/>
        <v>0</v>
      </c>
      <c r="N657" s="77">
        <f t="shared" si="1696"/>
        <v>0</v>
      </c>
      <c r="O657" s="77">
        <f t="shared" si="1697"/>
        <v>5.6775999999999997E-3</v>
      </c>
      <c r="P657" s="77">
        <f t="shared" si="1698"/>
        <v>4.7436902124819991E-4</v>
      </c>
      <c r="R657" t="s">
        <v>177</v>
      </c>
      <c r="S657" t="s">
        <v>179</v>
      </c>
      <c r="T657" s="197" t="str">
        <f t="shared" si="1753"/>
        <v>Autopilot_Dynamic_430</v>
      </c>
      <c r="U657">
        <v>430</v>
      </c>
      <c r="V657">
        <f>VLOOKUP($U657,'[2]AP Dynamic'!$Q$1:$T$542,2,FALSE)</f>
        <v>0.88888888888888884</v>
      </c>
      <c r="W657">
        <f>VLOOKUP($U657,'[2]AP Dynamic'!$Q$1:$T$542,3,FALSE)</f>
        <v>0.11111111111111116</v>
      </c>
      <c r="X657">
        <f>VLOOKUP($U657,'[2]AP Dynamic'!$Q$1:$T$542,4,FALSE)</f>
        <v>0</v>
      </c>
      <c r="Y657" s="77">
        <f t="shared" si="1754"/>
        <v>1</v>
      </c>
      <c r="Z657" s="77">
        <f t="shared" si="1760"/>
        <v>6.3149999999999984E-2</v>
      </c>
      <c r="AA657" s="77">
        <f t="shared" si="1761"/>
        <v>5.1160591879111372E-3</v>
      </c>
      <c r="AB657" s="79">
        <v>1</v>
      </c>
      <c r="AC657" s="77">
        <f t="shared" si="1699"/>
        <v>8.277777777777778E-3</v>
      </c>
      <c r="AD657" s="77">
        <f t="shared" ref="AD657" si="1896">1-(1-AC657)^(1/12)</f>
        <v>6.9244588451522482E-4</v>
      </c>
      <c r="AE657" s="77">
        <f t="shared" si="1701"/>
        <v>2.5000000000000001E-3</v>
      </c>
      <c r="AF657" s="77">
        <f t="shared" ref="AF657" si="1897">1-(1-AE657)^(1/12)</f>
        <v>2.0857243058891584E-4</v>
      </c>
      <c r="AH657" t="s">
        <v>175</v>
      </c>
      <c r="AI657" t="s">
        <v>179</v>
      </c>
      <c r="AJ657" s="197" t="str">
        <f t="shared" si="1688"/>
        <v>Lifecycle_Dynamic_430</v>
      </c>
      <c r="AK657">
        <v>430</v>
      </c>
      <c r="AL657">
        <f>VLOOKUP($U657,[2]Standard_Dynamic!$Q$1:$T$542,2,FALSE)</f>
        <v>0.88888888888888884</v>
      </c>
      <c r="AM657">
        <f>VLOOKUP($U657,[2]Standard_Dynamic!$Q$1:$T$542,3,FALSE)</f>
        <v>0.11111111111111116</v>
      </c>
      <c r="AN657">
        <f>VLOOKUP($U657,[2]Standard_Dynamic!$Q$1:$T$542,4,FALSE)</f>
        <v>0</v>
      </c>
      <c r="AO657" s="77">
        <f t="shared" si="1689"/>
        <v>1</v>
      </c>
      <c r="AP657" s="77">
        <f t="shared" si="1703"/>
        <v>6.3149999999999984E-2</v>
      </c>
      <c r="AQ657" s="77">
        <f t="shared" si="1690"/>
        <v>5.1160591879111372E-3</v>
      </c>
      <c r="AR657" s="79">
        <v>0</v>
      </c>
      <c r="AS657" s="77">
        <f t="shared" si="1704"/>
        <v>0</v>
      </c>
      <c r="AT657" s="77">
        <f t="shared" ref="AT657" si="1898">1-(1-AS657)^(1/12)</f>
        <v>0</v>
      </c>
      <c r="AU657" s="77">
        <f t="shared" si="1706"/>
        <v>2.5000000000000001E-3</v>
      </c>
      <c r="AV657" s="77">
        <f t="shared" ref="AV657" si="1899">1-(1-AU657)^(1/12)</f>
        <v>2.0857243058891584E-4</v>
      </c>
      <c r="AX657" t="s">
        <v>178</v>
      </c>
      <c r="AY657" t="s">
        <v>162</v>
      </c>
      <c r="AZ657" s="197" t="str">
        <f t="shared" si="1786"/>
        <v>DIS_Standard_430</v>
      </c>
      <c r="BA657">
        <v>430</v>
      </c>
      <c r="BB657">
        <f>VLOOKUP($BA657,'[2]Standard DIS'!$Q$1:$X$542,4,FALSE)</f>
        <v>0</v>
      </c>
      <c r="BF657">
        <f>VLOOKUP($BA657,'[2]Standard DIS'!$Q$1:$X$542,2,FALSE)</f>
        <v>0.88888888888888884</v>
      </c>
      <c r="BH657">
        <f>VLOOKUP($BA657,'[2]Standard DIS'!$Q$1:$X$542,3,FALSE)</f>
        <v>0.11111111111111116</v>
      </c>
      <c r="BI657" s="77">
        <f t="shared" si="1693"/>
        <v>1</v>
      </c>
      <c r="BJ657" s="77">
        <f t="shared" si="1694"/>
        <v>6.3149999999999984E-2</v>
      </c>
      <c r="BK657" s="77">
        <f t="shared" si="1787"/>
        <v>5.1160591879111372E-3</v>
      </c>
      <c r="BL657" s="79">
        <v>0</v>
      </c>
      <c r="BM657" s="77">
        <f t="shared" si="1708"/>
        <v>0</v>
      </c>
      <c r="BN657" s="77">
        <f t="shared" si="1709"/>
        <v>0</v>
      </c>
      <c r="BO657" s="77">
        <f t="shared" si="1710"/>
        <v>2.5000000000000001E-3</v>
      </c>
      <c r="BP657" s="77">
        <f t="shared" si="1711"/>
        <v>2.0809499864316017E-4</v>
      </c>
    </row>
    <row r="658" spans="1:68">
      <c r="A658" t="s">
        <v>175</v>
      </c>
      <c r="B658" t="s">
        <v>179</v>
      </c>
      <c r="C658" s="197" t="str">
        <f t="shared" si="1752"/>
        <v>Lifecycle_Dynamic_429</v>
      </c>
      <c r="D658">
        <v>429</v>
      </c>
      <c r="E658">
        <f>VLOOKUP($D658,'[2]LC Dynamic'!$Q$2:$U$542,2,FALSE)</f>
        <v>0</v>
      </c>
      <c r="F658">
        <f>VLOOKUP($D658,'[2]LC Dynamic'!$Q$2:$U$542,3,FALSE)</f>
        <v>0</v>
      </c>
      <c r="G658">
        <f>VLOOKUP($D658,'[2]LC Dynamic'!$Q$2:$U$542,4,FALSE)</f>
        <v>0.308</v>
      </c>
      <c r="H658">
        <f>VLOOKUP($D658,'[2]LC Dynamic'!$Q$2:$U$542,5,FALSE)</f>
        <v>0.69199999999999995</v>
      </c>
      <c r="I658" s="77">
        <f t="shared" si="1684"/>
        <v>1</v>
      </c>
      <c r="J658" s="77">
        <f t="shared" si="1685"/>
        <v>6.9728499999999985E-2</v>
      </c>
      <c r="K658" s="77">
        <f t="shared" si="1759"/>
        <v>5.632878498097682E-3</v>
      </c>
      <c r="L658" s="76">
        <v>0</v>
      </c>
      <c r="M658" s="77">
        <f t="shared" si="1695"/>
        <v>0</v>
      </c>
      <c r="N658" s="77">
        <f t="shared" si="1696"/>
        <v>0</v>
      </c>
      <c r="O658" s="77">
        <f t="shared" si="1697"/>
        <v>5.6775999999999997E-3</v>
      </c>
      <c r="P658" s="77">
        <f t="shared" si="1698"/>
        <v>4.7436902124819991E-4</v>
      </c>
      <c r="R658" t="s">
        <v>177</v>
      </c>
      <c r="S658" t="s">
        <v>179</v>
      </c>
      <c r="T658" s="197" t="str">
        <f t="shared" si="1753"/>
        <v>Autopilot_Dynamic_429</v>
      </c>
      <c r="U658">
        <v>429</v>
      </c>
      <c r="V658">
        <f>VLOOKUP($U658,'[2]AP Dynamic'!$Q$1:$T$542,2,FALSE)</f>
        <v>0.88888888888888884</v>
      </c>
      <c r="W658">
        <f>VLOOKUP($U658,'[2]AP Dynamic'!$Q$1:$T$542,3,FALSE)</f>
        <v>0.11111111111111116</v>
      </c>
      <c r="X658">
        <f>VLOOKUP($U658,'[2]AP Dynamic'!$Q$1:$T$542,4,FALSE)</f>
        <v>0</v>
      </c>
      <c r="Y658" s="77">
        <f t="shared" si="1754"/>
        <v>1</v>
      </c>
      <c r="Z658" s="77">
        <f t="shared" si="1760"/>
        <v>6.3149999999999984E-2</v>
      </c>
      <c r="AA658" s="77">
        <f t="shared" si="1761"/>
        <v>5.1160591879111372E-3</v>
      </c>
      <c r="AB658" s="79">
        <v>1</v>
      </c>
      <c r="AC658" s="77">
        <f t="shared" si="1699"/>
        <v>8.277777777777778E-3</v>
      </c>
      <c r="AD658" s="77">
        <f t="shared" ref="AD658" si="1900">1-(1-AC658)^(1/12)</f>
        <v>6.9244588451522482E-4</v>
      </c>
      <c r="AE658" s="77">
        <f t="shared" si="1701"/>
        <v>2.5000000000000001E-3</v>
      </c>
      <c r="AF658" s="77">
        <f t="shared" ref="AF658" si="1901">1-(1-AE658)^(1/12)</f>
        <v>2.0857243058891584E-4</v>
      </c>
      <c r="AH658" t="s">
        <v>175</v>
      </c>
      <c r="AI658" t="s">
        <v>179</v>
      </c>
      <c r="AJ658" s="197" t="str">
        <f t="shared" si="1688"/>
        <v>Lifecycle_Dynamic_429</v>
      </c>
      <c r="AK658">
        <v>429</v>
      </c>
      <c r="AL658">
        <f>VLOOKUP($U658,[2]Standard_Dynamic!$Q$1:$T$542,2,FALSE)</f>
        <v>0.88888888888888884</v>
      </c>
      <c r="AM658">
        <f>VLOOKUP($U658,[2]Standard_Dynamic!$Q$1:$T$542,3,FALSE)</f>
        <v>0.11111111111111116</v>
      </c>
      <c r="AN658">
        <f>VLOOKUP($U658,[2]Standard_Dynamic!$Q$1:$T$542,4,FALSE)</f>
        <v>0</v>
      </c>
      <c r="AO658" s="77">
        <f t="shared" si="1689"/>
        <v>1</v>
      </c>
      <c r="AP658" s="77">
        <f t="shared" si="1703"/>
        <v>6.3149999999999984E-2</v>
      </c>
      <c r="AQ658" s="77">
        <f t="shared" si="1690"/>
        <v>5.1160591879111372E-3</v>
      </c>
      <c r="AR658" s="79">
        <v>0</v>
      </c>
      <c r="AS658" s="77">
        <f t="shared" si="1704"/>
        <v>0</v>
      </c>
      <c r="AT658" s="77">
        <f t="shared" ref="AT658" si="1902">1-(1-AS658)^(1/12)</f>
        <v>0</v>
      </c>
      <c r="AU658" s="77">
        <f t="shared" si="1706"/>
        <v>2.5000000000000001E-3</v>
      </c>
      <c r="AV658" s="77">
        <f t="shared" ref="AV658" si="1903">1-(1-AU658)^(1/12)</f>
        <v>2.0857243058891584E-4</v>
      </c>
      <c r="AX658" t="s">
        <v>178</v>
      </c>
      <c r="AY658" t="s">
        <v>162</v>
      </c>
      <c r="AZ658" s="197" t="str">
        <f t="shared" si="1786"/>
        <v>DIS_Standard_429</v>
      </c>
      <c r="BA658">
        <v>429</v>
      </c>
      <c r="BB658">
        <f>VLOOKUP($BA658,'[2]Standard DIS'!$Q$1:$X$542,4,FALSE)</f>
        <v>0</v>
      </c>
      <c r="BF658">
        <f>VLOOKUP($BA658,'[2]Standard DIS'!$Q$1:$X$542,2,FALSE)</f>
        <v>0.88888888888888884</v>
      </c>
      <c r="BH658">
        <f>VLOOKUP($BA658,'[2]Standard DIS'!$Q$1:$X$542,3,FALSE)</f>
        <v>0.11111111111111116</v>
      </c>
      <c r="BI658" s="77">
        <f t="shared" si="1693"/>
        <v>1</v>
      </c>
      <c r="BJ658" s="77">
        <f t="shared" si="1694"/>
        <v>6.3149999999999984E-2</v>
      </c>
      <c r="BK658" s="77">
        <f t="shared" si="1787"/>
        <v>5.1160591879111372E-3</v>
      </c>
      <c r="BL658" s="79">
        <v>0</v>
      </c>
      <c r="BM658" s="77">
        <f t="shared" si="1708"/>
        <v>0</v>
      </c>
      <c r="BN658" s="77">
        <f t="shared" si="1709"/>
        <v>0</v>
      </c>
      <c r="BO658" s="77">
        <f t="shared" si="1710"/>
        <v>2.5000000000000001E-3</v>
      </c>
      <c r="BP658" s="77">
        <f t="shared" si="1711"/>
        <v>2.0809499864316017E-4</v>
      </c>
    </row>
    <row r="659" spans="1:68">
      <c r="A659" t="s">
        <v>175</v>
      </c>
      <c r="B659" t="s">
        <v>179</v>
      </c>
      <c r="C659" s="197" t="str">
        <f t="shared" si="1752"/>
        <v>Lifecycle_Dynamic_428</v>
      </c>
      <c r="D659">
        <v>428</v>
      </c>
      <c r="E659">
        <f>VLOOKUP($D659,'[2]LC Dynamic'!$Q$2:$U$542,2,FALSE)</f>
        <v>0</v>
      </c>
      <c r="F659">
        <f>VLOOKUP($D659,'[2]LC Dynamic'!$Q$2:$U$542,3,FALSE)</f>
        <v>0</v>
      </c>
      <c r="G659">
        <f>VLOOKUP($D659,'[2]LC Dynamic'!$Q$2:$U$542,4,FALSE)</f>
        <v>0.308</v>
      </c>
      <c r="H659">
        <f>VLOOKUP($D659,'[2]LC Dynamic'!$Q$2:$U$542,5,FALSE)</f>
        <v>0.69199999999999995</v>
      </c>
      <c r="I659" s="77">
        <f t="shared" si="1684"/>
        <v>1</v>
      </c>
      <c r="J659" s="77">
        <f t="shared" si="1685"/>
        <v>6.9728499999999985E-2</v>
      </c>
      <c r="K659" s="77">
        <f t="shared" si="1759"/>
        <v>5.632878498097682E-3</v>
      </c>
      <c r="L659" s="76">
        <v>0</v>
      </c>
      <c r="M659" s="77">
        <f t="shared" si="1695"/>
        <v>0</v>
      </c>
      <c r="N659" s="77">
        <f t="shared" si="1696"/>
        <v>0</v>
      </c>
      <c r="O659" s="77">
        <f t="shared" si="1697"/>
        <v>5.6775999999999997E-3</v>
      </c>
      <c r="P659" s="77">
        <f t="shared" si="1698"/>
        <v>4.7436902124819991E-4</v>
      </c>
      <c r="R659" t="s">
        <v>177</v>
      </c>
      <c r="S659" t="s">
        <v>179</v>
      </c>
      <c r="T659" s="197" t="str">
        <f t="shared" si="1753"/>
        <v>Autopilot_Dynamic_428</v>
      </c>
      <c r="U659">
        <v>428</v>
      </c>
      <c r="V659">
        <f>VLOOKUP($U659,'[2]AP Dynamic'!$Q$1:$T$542,2,FALSE)</f>
        <v>0.88888888888888884</v>
      </c>
      <c r="W659">
        <f>VLOOKUP($U659,'[2]AP Dynamic'!$Q$1:$T$542,3,FALSE)</f>
        <v>0.11111111111111116</v>
      </c>
      <c r="X659">
        <f>VLOOKUP($U659,'[2]AP Dynamic'!$Q$1:$T$542,4,FALSE)</f>
        <v>0</v>
      </c>
      <c r="Y659" s="77">
        <f t="shared" si="1754"/>
        <v>1</v>
      </c>
      <c r="Z659" s="77">
        <f t="shared" si="1760"/>
        <v>6.3149999999999984E-2</v>
      </c>
      <c r="AA659" s="77">
        <f t="shared" si="1761"/>
        <v>5.1160591879111372E-3</v>
      </c>
      <c r="AB659" s="79">
        <v>1</v>
      </c>
      <c r="AC659" s="77">
        <f t="shared" si="1699"/>
        <v>8.277777777777778E-3</v>
      </c>
      <c r="AD659" s="77">
        <f t="shared" ref="AD659" si="1904">1-(1-AC659)^(1/12)</f>
        <v>6.9244588451522482E-4</v>
      </c>
      <c r="AE659" s="77">
        <f t="shared" si="1701"/>
        <v>2.5000000000000001E-3</v>
      </c>
      <c r="AF659" s="77">
        <f t="shared" ref="AF659" si="1905">1-(1-AE659)^(1/12)</f>
        <v>2.0857243058891584E-4</v>
      </c>
      <c r="AH659" t="s">
        <v>175</v>
      </c>
      <c r="AI659" t="s">
        <v>179</v>
      </c>
      <c r="AJ659" s="197" t="str">
        <f t="shared" si="1688"/>
        <v>Lifecycle_Dynamic_428</v>
      </c>
      <c r="AK659">
        <v>428</v>
      </c>
      <c r="AL659">
        <f>VLOOKUP($U659,[2]Standard_Dynamic!$Q$1:$T$542,2,FALSE)</f>
        <v>0.88888888888888884</v>
      </c>
      <c r="AM659">
        <f>VLOOKUP($U659,[2]Standard_Dynamic!$Q$1:$T$542,3,FALSE)</f>
        <v>0.11111111111111116</v>
      </c>
      <c r="AN659">
        <f>VLOOKUP($U659,[2]Standard_Dynamic!$Q$1:$T$542,4,FALSE)</f>
        <v>0</v>
      </c>
      <c r="AO659" s="77">
        <f t="shared" si="1689"/>
        <v>1</v>
      </c>
      <c r="AP659" s="77">
        <f t="shared" si="1703"/>
        <v>6.3149999999999984E-2</v>
      </c>
      <c r="AQ659" s="77">
        <f t="shared" si="1690"/>
        <v>5.1160591879111372E-3</v>
      </c>
      <c r="AR659" s="79">
        <v>0</v>
      </c>
      <c r="AS659" s="77">
        <f t="shared" si="1704"/>
        <v>0</v>
      </c>
      <c r="AT659" s="77">
        <f t="shared" ref="AT659" si="1906">1-(1-AS659)^(1/12)</f>
        <v>0</v>
      </c>
      <c r="AU659" s="77">
        <f t="shared" si="1706"/>
        <v>2.5000000000000001E-3</v>
      </c>
      <c r="AV659" s="77">
        <f t="shared" ref="AV659" si="1907">1-(1-AU659)^(1/12)</f>
        <v>2.0857243058891584E-4</v>
      </c>
      <c r="AX659" t="s">
        <v>178</v>
      </c>
      <c r="AY659" t="s">
        <v>162</v>
      </c>
      <c r="AZ659" s="197" t="str">
        <f t="shared" si="1786"/>
        <v>DIS_Standard_428</v>
      </c>
      <c r="BA659">
        <v>428</v>
      </c>
      <c r="BB659">
        <f>VLOOKUP($BA659,'[2]Standard DIS'!$Q$1:$X$542,4,FALSE)</f>
        <v>0</v>
      </c>
      <c r="BF659">
        <f>VLOOKUP($BA659,'[2]Standard DIS'!$Q$1:$X$542,2,FALSE)</f>
        <v>0.88888888888888884</v>
      </c>
      <c r="BH659">
        <f>VLOOKUP($BA659,'[2]Standard DIS'!$Q$1:$X$542,3,FALSE)</f>
        <v>0.11111111111111116</v>
      </c>
      <c r="BI659" s="77">
        <f t="shared" si="1693"/>
        <v>1</v>
      </c>
      <c r="BJ659" s="77">
        <f t="shared" si="1694"/>
        <v>6.3149999999999984E-2</v>
      </c>
      <c r="BK659" s="77">
        <f t="shared" si="1787"/>
        <v>5.1160591879111372E-3</v>
      </c>
      <c r="BL659" s="79">
        <v>0</v>
      </c>
      <c r="BM659" s="77">
        <f t="shared" si="1708"/>
        <v>0</v>
      </c>
      <c r="BN659" s="77">
        <f t="shared" si="1709"/>
        <v>0</v>
      </c>
      <c r="BO659" s="77">
        <f t="shared" si="1710"/>
        <v>2.5000000000000001E-3</v>
      </c>
      <c r="BP659" s="77">
        <f t="shared" si="1711"/>
        <v>2.0809499864316017E-4</v>
      </c>
    </row>
    <row r="660" spans="1:68">
      <c r="A660" t="s">
        <v>175</v>
      </c>
      <c r="B660" t="s">
        <v>179</v>
      </c>
      <c r="C660" s="197" t="str">
        <f t="shared" si="1752"/>
        <v>Lifecycle_Dynamic_427</v>
      </c>
      <c r="D660">
        <v>427</v>
      </c>
      <c r="E660">
        <f>VLOOKUP($D660,'[2]LC Dynamic'!$Q$2:$U$542,2,FALSE)</f>
        <v>0</v>
      </c>
      <c r="F660">
        <f>VLOOKUP($D660,'[2]LC Dynamic'!$Q$2:$U$542,3,FALSE)</f>
        <v>0</v>
      </c>
      <c r="G660">
        <f>VLOOKUP($D660,'[2]LC Dynamic'!$Q$2:$U$542,4,FALSE)</f>
        <v>0.308</v>
      </c>
      <c r="H660">
        <f>VLOOKUP($D660,'[2]LC Dynamic'!$Q$2:$U$542,5,FALSE)</f>
        <v>0.69199999999999995</v>
      </c>
      <c r="I660" s="77">
        <f t="shared" si="1684"/>
        <v>1</v>
      </c>
      <c r="J660" s="77">
        <f t="shared" si="1685"/>
        <v>6.9728499999999985E-2</v>
      </c>
      <c r="K660" s="77">
        <f t="shared" si="1759"/>
        <v>5.632878498097682E-3</v>
      </c>
      <c r="L660" s="76">
        <v>0</v>
      </c>
      <c r="M660" s="77">
        <f t="shared" si="1695"/>
        <v>0</v>
      </c>
      <c r="N660" s="77">
        <f t="shared" si="1696"/>
        <v>0</v>
      </c>
      <c r="O660" s="77">
        <f t="shared" si="1697"/>
        <v>5.6775999999999997E-3</v>
      </c>
      <c r="P660" s="77">
        <f t="shared" si="1698"/>
        <v>4.7436902124819991E-4</v>
      </c>
      <c r="R660" t="s">
        <v>177</v>
      </c>
      <c r="S660" t="s">
        <v>179</v>
      </c>
      <c r="T660" s="197" t="str">
        <f t="shared" si="1753"/>
        <v>Autopilot_Dynamic_427</v>
      </c>
      <c r="U660">
        <v>427</v>
      </c>
      <c r="V660">
        <f>VLOOKUP($U660,'[2]AP Dynamic'!$Q$1:$T$542,2,FALSE)</f>
        <v>0.88888888888888884</v>
      </c>
      <c r="W660">
        <f>VLOOKUP($U660,'[2]AP Dynamic'!$Q$1:$T$542,3,FALSE)</f>
        <v>0.11111111111111116</v>
      </c>
      <c r="X660">
        <f>VLOOKUP($U660,'[2]AP Dynamic'!$Q$1:$T$542,4,FALSE)</f>
        <v>0</v>
      </c>
      <c r="Y660" s="77">
        <f t="shared" si="1754"/>
        <v>1</v>
      </c>
      <c r="Z660" s="77">
        <f t="shared" si="1760"/>
        <v>6.3149999999999984E-2</v>
      </c>
      <c r="AA660" s="77">
        <f t="shared" si="1761"/>
        <v>5.1160591879111372E-3</v>
      </c>
      <c r="AB660" s="79">
        <v>1</v>
      </c>
      <c r="AC660" s="77">
        <f t="shared" si="1699"/>
        <v>8.277777777777778E-3</v>
      </c>
      <c r="AD660" s="77">
        <f t="shared" ref="AD660" si="1908">1-(1-AC660)^(1/12)</f>
        <v>6.9244588451522482E-4</v>
      </c>
      <c r="AE660" s="77">
        <f t="shared" si="1701"/>
        <v>2.5000000000000001E-3</v>
      </c>
      <c r="AF660" s="77">
        <f t="shared" ref="AF660" si="1909">1-(1-AE660)^(1/12)</f>
        <v>2.0857243058891584E-4</v>
      </c>
      <c r="AH660" t="s">
        <v>175</v>
      </c>
      <c r="AI660" t="s">
        <v>179</v>
      </c>
      <c r="AJ660" s="197" t="str">
        <f t="shared" si="1688"/>
        <v>Lifecycle_Dynamic_427</v>
      </c>
      <c r="AK660">
        <v>427</v>
      </c>
      <c r="AL660">
        <f>VLOOKUP($U660,[2]Standard_Dynamic!$Q$1:$T$542,2,FALSE)</f>
        <v>0.88888888888888884</v>
      </c>
      <c r="AM660">
        <f>VLOOKUP($U660,[2]Standard_Dynamic!$Q$1:$T$542,3,FALSE)</f>
        <v>0.11111111111111116</v>
      </c>
      <c r="AN660">
        <f>VLOOKUP($U660,[2]Standard_Dynamic!$Q$1:$T$542,4,FALSE)</f>
        <v>0</v>
      </c>
      <c r="AO660" s="77">
        <f t="shared" si="1689"/>
        <v>1</v>
      </c>
      <c r="AP660" s="77">
        <f t="shared" si="1703"/>
        <v>6.3149999999999984E-2</v>
      </c>
      <c r="AQ660" s="77">
        <f t="shared" si="1690"/>
        <v>5.1160591879111372E-3</v>
      </c>
      <c r="AR660" s="79">
        <v>0</v>
      </c>
      <c r="AS660" s="77">
        <f t="shared" si="1704"/>
        <v>0</v>
      </c>
      <c r="AT660" s="77">
        <f t="shared" ref="AT660" si="1910">1-(1-AS660)^(1/12)</f>
        <v>0</v>
      </c>
      <c r="AU660" s="77">
        <f t="shared" si="1706"/>
        <v>2.5000000000000001E-3</v>
      </c>
      <c r="AV660" s="77">
        <f t="shared" ref="AV660" si="1911">1-(1-AU660)^(1/12)</f>
        <v>2.0857243058891584E-4</v>
      </c>
      <c r="AX660" t="s">
        <v>178</v>
      </c>
      <c r="AY660" t="s">
        <v>162</v>
      </c>
      <c r="AZ660" s="197" t="str">
        <f t="shared" si="1786"/>
        <v>DIS_Standard_427</v>
      </c>
      <c r="BA660">
        <v>427</v>
      </c>
      <c r="BB660">
        <f>VLOOKUP($BA660,'[2]Standard DIS'!$Q$1:$X$542,4,FALSE)</f>
        <v>0</v>
      </c>
      <c r="BF660">
        <f>VLOOKUP($BA660,'[2]Standard DIS'!$Q$1:$X$542,2,FALSE)</f>
        <v>0.88888888888888884</v>
      </c>
      <c r="BH660">
        <f>VLOOKUP($BA660,'[2]Standard DIS'!$Q$1:$X$542,3,FALSE)</f>
        <v>0.11111111111111116</v>
      </c>
      <c r="BI660" s="77">
        <f t="shared" si="1693"/>
        <v>1</v>
      </c>
      <c r="BJ660" s="77">
        <f t="shared" si="1694"/>
        <v>6.3149999999999984E-2</v>
      </c>
      <c r="BK660" s="77">
        <f t="shared" si="1787"/>
        <v>5.1160591879111372E-3</v>
      </c>
      <c r="BL660" s="79">
        <v>0</v>
      </c>
      <c r="BM660" s="77">
        <f t="shared" si="1708"/>
        <v>0</v>
      </c>
      <c r="BN660" s="77">
        <f t="shared" si="1709"/>
        <v>0</v>
      </c>
      <c r="BO660" s="77">
        <f t="shared" si="1710"/>
        <v>2.5000000000000001E-3</v>
      </c>
      <c r="BP660" s="77">
        <f t="shared" si="1711"/>
        <v>2.0809499864316017E-4</v>
      </c>
    </row>
    <row r="661" spans="1:68">
      <c r="A661" t="s">
        <v>175</v>
      </c>
      <c r="B661" t="s">
        <v>179</v>
      </c>
      <c r="C661" s="197" t="str">
        <f t="shared" si="1752"/>
        <v>Lifecycle_Dynamic_426</v>
      </c>
      <c r="D661">
        <v>426</v>
      </c>
      <c r="E661">
        <f>VLOOKUP($D661,'[2]LC Dynamic'!$Q$2:$U$542,2,FALSE)</f>
        <v>0</v>
      </c>
      <c r="F661">
        <f>VLOOKUP($D661,'[2]LC Dynamic'!$Q$2:$U$542,3,FALSE)</f>
        <v>0</v>
      </c>
      <c r="G661">
        <f>VLOOKUP($D661,'[2]LC Dynamic'!$Q$2:$U$542,4,FALSE)</f>
        <v>0.308</v>
      </c>
      <c r="H661">
        <f>VLOOKUP($D661,'[2]LC Dynamic'!$Q$2:$U$542,5,FALSE)</f>
        <v>0.69199999999999995</v>
      </c>
      <c r="I661" s="77">
        <f t="shared" si="1684"/>
        <v>1</v>
      </c>
      <c r="J661" s="77">
        <f t="shared" si="1685"/>
        <v>6.9728499999999985E-2</v>
      </c>
      <c r="K661" s="77">
        <f t="shared" si="1759"/>
        <v>5.632878498097682E-3</v>
      </c>
      <c r="L661" s="76">
        <v>0</v>
      </c>
      <c r="M661" s="77">
        <f t="shared" si="1695"/>
        <v>0</v>
      </c>
      <c r="N661" s="77">
        <f t="shared" si="1696"/>
        <v>0</v>
      </c>
      <c r="O661" s="77">
        <f t="shared" si="1697"/>
        <v>5.6775999999999997E-3</v>
      </c>
      <c r="P661" s="77">
        <f t="shared" si="1698"/>
        <v>4.7436902124819991E-4</v>
      </c>
      <c r="R661" t="s">
        <v>177</v>
      </c>
      <c r="S661" t="s">
        <v>179</v>
      </c>
      <c r="T661" s="197" t="str">
        <f t="shared" si="1753"/>
        <v>Autopilot_Dynamic_426</v>
      </c>
      <c r="U661">
        <v>426</v>
      </c>
      <c r="V661">
        <f>VLOOKUP($U661,'[2]AP Dynamic'!$Q$1:$T$542,2,FALSE)</f>
        <v>0.88888888888888884</v>
      </c>
      <c r="W661">
        <f>VLOOKUP($U661,'[2]AP Dynamic'!$Q$1:$T$542,3,FALSE)</f>
        <v>0.11111111111111116</v>
      </c>
      <c r="X661">
        <f>VLOOKUP($U661,'[2]AP Dynamic'!$Q$1:$T$542,4,FALSE)</f>
        <v>0</v>
      </c>
      <c r="Y661" s="77">
        <f t="shared" si="1754"/>
        <v>1</v>
      </c>
      <c r="Z661" s="77">
        <f t="shared" si="1760"/>
        <v>6.3149999999999984E-2</v>
      </c>
      <c r="AA661" s="77">
        <f t="shared" si="1761"/>
        <v>5.1160591879111372E-3</v>
      </c>
      <c r="AB661" s="79">
        <v>1</v>
      </c>
      <c r="AC661" s="77">
        <f t="shared" si="1699"/>
        <v>8.277777777777778E-3</v>
      </c>
      <c r="AD661" s="77">
        <f t="shared" ref="AD661" si="1912">1-(1-AC661)^(1/12)</f>
        <v>6.9244588451522482E-4</v>
      </c>
      <c r="AE661" s="77">
        <f t="shared" si="1701"/>
        <v>2.5000000000000001E-3</v>
      </c>
      <c r="AF661" s="77">
        <f t="shared" ref="AF661" si="1913">1-(1-AE661)^(1/12)</f>
        <v>2.0857243058891584E-4</v>
      </c>
      <c r="AH661" t="s">
        <v>175</v>
      </c>
      <c r="AI661" t="s">
        <v>179</v>
      </c>
      <c r="AJ661" s="197" t="str">
        <f t="shared" si="1688"/>
        <v>Lifecycle_Dynamic_426</v>
      </c>
      <c r="AK661">
        <v>426</v>
      </c>
      <c r="AL661">
        <f>VLOOKUP($U661,[2]Standard_Dynamic!$Q$1:$T$542,2,FALSE)</f>
        <v>0.88888888888888884</v>
      </c>
      <c r="AM661">
        <f>VLOOKUP($U661,[2]Standard_Dynamic!$Q$1:$T$542,3,FALSE)</f>
        <v>0.11111111111111116</v>
      </c>
      <c r="AN661">
        <f>VLOOKUP($U661,[2]Standard_Dynamic!$Q$1:$T$542,4,FALSE)</f>
        <v>0</v>
      </c>
      <c r="AO661" s="77">
        <f t="shared" si="1689"/>
        <v>1</v>
      </c>
      <c r="AP661" s="77">
        <f t="shared" si="1703"/>
        <v>6.3149999999999984E-2</v>
      </c>
      <c r="AQ661" s="77">
        <f t="shared" si="1690"/>
        <v>5.1160591879111372E-3</v>
      </c>
      <c r="AR661" s="79">
        <v>0</v>
      </c>
      <c r="AS661" s="77">
        <f t="shared" si="1704"/>
        <v>0</v>
      </c>
      <c r="AT661" s="77">
        <f t="shared" ref="AT661" si="1914">1-(1-AS661)^(1/12)</f>
        <v>0</v>
      </c>
      <c r="AU661" s="77">
        <f t="shared" si="1706"/>
        <v>2.5000000000000001E-3</v>
      </c>
      <c r="AV661" s="77">
        <f t="shared" ref="AV661" si="1915">1-(1-AU661)^(1/12)</f>
        <v>2.0857243058891584E-4</v>
      </c>
      <c r="AX661" t="s">
        <v>178</v>
      </c>
      <c r="AY661" t="s">
        <v>162</v>
      </c>
      <c r="AZ661" s="197" t="str">
        <f t="shared" si="1786"/>
        <v>DIS_Standard_426</v>
      </c>
      <c r="BA661">
        <v>426</v>
      </c>
      <c r="BB661">
        <f>VLOOKUP($BA661,'[2]Standard DIS'!$Q$1:$X$542,4,FALSE)</f>
        <v>0</v>
      </c>
      <c r="BF661">
        <f>VLOOKUP($BA661,'[2]Standard DIS'!$Q$1:$X$542,2,FALSE)</f>
        <v>0.88888888888888884</v>
      </c>
      <c r="BH661">
        <f>VLOOKUP($BA661,'[2]Standard DIS'!$Q$1:$X$542,3,FALSE)</f>
        <v>0.11111111111111116</v>
      </c>
      <c r="BI661" s="77">
        <f t="shared" si="1693"/>
        <v>1</v>
      </c>
      <c r="BJ661" s="77">
        <f t="shared" si="1694"/>
        <v>6.3149999999999984E-2</v>
      </c>
      <c r="BK661" s="77">
        <f t="shared" si="1787"/>
        <v>5.1160591879111372E-3</v>
      </c>
      <c r="BL661" s="79">
        <v>0</v>
      </c>
      <c r="BM661" s="77">
        <f t="shared" si="1708"/>
        <v>0</v>
      </c>
      <c r="BN661" s="77">
        <f t="shared" si="1709"/>
        <v>0</v>
      </c>
      <c r="BO661" s="77">
        <f t="shared" si="1710"/>
        <v>2.5000000000000001E-3</v>
      </c>
      <c r="BP661" s="77">
        <f t="shared" si="1711"/>
        <v>2.0809499864316017E-4</v>
      </c>
    </row>
    <row r="662" spans="1:68">
      <c r="A662" t="s">
        <v>175</v>
      </c>
      <c r="B662" t="s">
        <v>179</v>
      </c>
      <c r="C662" s="197" t="str">
        <f t="shared" si="1752"/>
        <v>Lifecycle_Dynamic_425</v>
      </c>
      <c r="D662">
        <v>425</v>
      </c>
      <c r="E662">
        <f>VLOOKUP($D662,'[2]LC Dynamic'!$Q$2:$U$542,2,FALSE)</f>
        <v>0</v>
      </c>
      <c r="F662">
        <f>VLOOKUP($D662,'[2]LC Dynamic'!$Q$2:$U$542,3,FALSE)</f>
        <v>0</v>
      </c>
      <c r="G662">
        <f>VLOOKUP($D662,'[2]LC Dynamic'!$Q$2:$U$542,4,FALSE)</f>
        <v>0.308</v>
      </c>
      <c r="H662">
        <f>VLOOKUP($D662,'[2]LC Dynamic'!$Q$2:$U$542,5,FALSE)</f>
        <v>0.69199999999999995</v>
      </c>
      <c r="I662" s="77">
        <f t="shared" si="1684"/>
        <v>1</v>
      </c>
      <c r="J662" s="77">
        <f t="shared" si="1685"/>
        <v>6.9728499999999985E-2</v>
      </c>
      <c r="K662" s="77">
        <f t="shared" si="1759"/>
        <v>5.632878498097682E-3</v>
      </c>
      <c r="L662" s="76">
        <v>0</v>
      </c>
      <c r="M662" s="77">
        <f t="shared" si="1695"/>
        <v>0</v>
      </c>
      <c r="N662" s="77">
        <f t="shared" si="1696"/>
        <v>0</v>
      </c>
      <c r="O662" s="77">
        <f t="shared" si="1697"/>
        <v>5.6775999999999997E-3</v>
      </c>
      <c r="P662" s="77">
        <f t="shared" si="1698"/>
        <v>4.7436902124819991E-4</v>
      </c>
      <c r="R662" t="s">
        <v>177</v>
      </c>
      <c r="S662" t="s">
        <v>179</v>
      </c>
      <c r="T662" s="197" t="str">
        <f t="shared" si="1753"/>
        <v>Autopilot_Dynamic_425</v>
      </c>
      <c r="U662">
        <v>425</v>
      </c>
      <c r="V662">
        <f>VLOOKUP($U662,'[2]AP Dynamic'!$Q$1:$T$542,2,FALSE)</f>
        <v>0.88888888888888884</v>
      </c>
      <c r="W662">
        <f>VLOOKUP($U662,'[2]AP Dynamic'!$Q$1:$T$542,3,FALSE)</f>
        <v>0.11111111111111116</v>
      </c>
      <c r="X662">
        <f>VLOOKUP($U662,'[2]AP Dynamic'!$Q$1:$T$542,4,FALSE)</f>
        <v>0</v>
      </c>
      <c r="Y662" s="77">
        <f t="shared" si="1754"/>
        <v>1</v>
      </c>
      <c r="Z662" s="77">
        <f t="shared" si="1760"/>
        <v>6.3149999999999984E-2</v>
      </c>
      <c r="AA662" s="77">
        <f t="shared" si="1761"/>
        <v>5.1160591879111372E-3</v>
      </c>
      <c r="AB662" s="79">
        <v>1</v>
      </c>
      <c r="AC662" s="77">
        <f t="shared" si="1699"/>
        <v>8.277777777777778E-3</v>
      </c>
      <c r="AD662" s="77">
        <f t="shared" ref="AD662" si="1916">1-(1-AC662)^(1/12)</f>
        <v>6.9244588451522482E-4</v>
      </c>
      <c r="AE662" s="77">
        <f t="shared" si="1701"/>
        <v>2.5000000000000001E-3</v>
      </c>
      <c r="AF662" s="77">
        <f t="shared" ref="AF662" si="1917">1-(1-AE662)^(1/12)</f>
        <v>2.0857243058891584E-4</v>
      </c>
      <c r="AH662" t="s">
        <v>175</v>
      </c>
      <c r="AI662" t="s">
        <v>179</v>
      </c>
      <c r="AJ662" s="197" t="str">
        <f t="shared" si="1688"/>
        <v>Lifecycle_Dynamic_425</v>
      </c>
      <c r="AK662">
        <v>425</v>
      </c>
      <c r="AL662">
        <f>VLOOKUP($U662,[2]Standard_Dynamic!$Q$1:$T$542,2,FALSE)</f>
        <v>0.88888888888888884</v>
      </c>
      <c r="AM662">
        <f>VLOOKUP($U662,[2]Standard_Dynamic!$Q$1:$T$542,3,FALSE)</f>
        <v>0.11111111111111116</v>
      </c>
      <c r="AN662">
        <f>VLOOKUP($U662,[2]Standard_Dynamic!$Q$1:$T$542,4,FALSE)</f>
        <v>0</v>
      </c>
      <c r="AO662" s="77">
        <f t="shared" si="1689"/>
        <v>1</v>
      </c>
      <c r="AP662" s="77">
        <f t="shared" si="1703"/>
        <v>6.3149999999999984E-2</v>
      </c>
      <c r="AQ662" s="77">
        <f t="shared" si="1690"/>
        <v>5.1160591879111372E-3</v>
      </c>
      <c r="AR662" s="79">
        <v>0</v>
      </c>
      <c r="AS662" s="77">
        <f t="shared" si="1704"/>
        <v>0</v>
      </c>
      <c r="AT662" s="77">
        <f t="shared" ref="AT662" si="1918">1-(1-AS662)^(1/12)</f>
        <v>0</v>
      </c>
      <c r="AU662" s="77">
        <f t="shared" si="1706"/>
        <v>2.5000000000000001E-3</v>
      </c>
      <c r="AV662" s="77">
        <f t="shared" ref="AV662" si="1919">1-(1-AU662)^(1/12)</f>
        <v>2.0857243058891584E-4</v>
      </c>
      <c r="AX662" t="s">
        <v>178</v>
      </c>
      <c r="AY662" t="s">
        <v>162</v>
      </c>
      <c r="AZ662" s="197" t="str">
        <f t="shared" si="1786"/>
        <v>DIS_Standard_425</v>
      </c>
      <c r="BA662">
        <v>425</v>
      </c>
      <c r="BB662">
        <f>VLOOKUP($BA662,'[2]Standard DIS'!$Q$1:$X$542,4,FALSE)</f>
        <v>0</v>
      </c>
      <c r="BF662">
        <f>VLOOKUP($BA662,'[2]Standard DIS'!$Q$1:$X$542,2,FALSE)</f>
        <v>0.88888888888888884</v>
      </c>
      <c r="BH662">
        <f>VLOOKUP($BA662,'[2]Standard DIS'!$Q$1:$X$542,3,FALSE)</f>
        <v>0.11111111111111116</v>
      </c>
      <c r="BI662" s="77">
        <f t="shared" si="1693"/>
        <v>1</v>
      </c>
      <c r="BJ662" s="77">
        <f t="shared" si="1694"/>
        <v>6.3149999999999984E-2</v>
      </c>
      <c r="BK662" s="77">
        <f t="shared" si="1787"/>
        <v>5.1160591879111372E-3</v>
      </c>
      <c r="BL662" s="79">
        <v>0</v>
      </c>
      <c r="BM662" s="77">
        <f t="shared" si="1708"/>
        <v>0</v>
      </c>
      <c r="BN662" s="77">
        <f t="shared" si="1709"/>
        <v>0</v>
      </c>
      <c r="BO662" s="77">
        <f t="shared" si="1710"/>
        <v>2.5000000000000001E-3</v>
      </c>
      <c r="BP662" s="77">
        <f t="shared" si="1711"/>
        <v>2.0809499864316017E-4</v>
      </c>
    </row>
    <row r="663" spans="1:68">
      <c r="A663" t="s">
        <v>175</v>
      </c>
      <c r="B663" t="s">
        <v>179</v>
      </c>
      <c r="C663" s="197" t="str">
        <f t="shared" si="1752"/>
        <v>Lifecycle_Dynamic_424</v>
      </c>
      <c r="D663">
        <v>424</v>
      </c>
      <c r="E663">
        <f>VLOOKUP($D663,'[2]LC Dynamic'!$Q$2:$U$542,2,FALSE)</f>
        <v>0</v>
      </c>
      <c r="F663">
        <f>VLOOKUP($D663,'[2]LC Dynamic'!$Q$2:$U$542,3,FALSE)</f>
        <v>0</v>
      </c>
      <c r="G663">
        <f>VLOOKUP($D663,'[2]LC Dynamic'!$Q$2:$U$542,4,FALSE)</f>
        <v>0.308</v>
      </c>
      <c r="H663">
        <f>VLOOKUP($D663,'[2]LC Dynamic'!$Q$2:$U$542,5,FALSE)</f>
        <v>0.69199999999999995</v>
      </c>
      <c r="I663" s="77">
        <f t="shared" si="1684"/>
        <v>1</v>
      </c>
      <c r="J663" s="77">
        <f t="shared" si="1685"/>
        <v>6.9728499999999985E-2</v>
      </c>
      <c r="K663" s="77">
        <f t="shared" si="1759"/>
        <v>5.632878498097682E-3</v>
      </c>
      <c r="L663" s="76">
        <v>0</v>
      </c>
      <c r="M663" s="77">
        <f t="shared" si="1695"/>
        <v>0</v>
      </c>
      <c r="N663" s="77">
        <f t="shared" si="1696"/>
        <v>0</v>
      </c>
      <c r="O663" s="77">
        <f t="shared" si="1697"/>
        <v>5.6775999999999997E-3</v>
      </c>
      <c r="P663" s="77">
        <f t="shared" si="1698"/>
        <v>4.7436902124819991E-4</v>
      </c>
      <c r="R663" t="s">
        <v>177</v>
      </c>
      <c r="S663" t="s">
        <v>179</v>
      </c>
      <c r="T663" s="197" t="str">
        <f t="shared" si="1753"/>
        <v>Autopilot_Dynamic_424</v>
      </c>
      <c r="U663">
        <v>424</v>
      </c>
      <c r="V663">
        <f>VLOOKUP($U663,'[2]AP Dynamic'!$Q$1:$T$542,2,FALSE)</f>
        <v>0.88888888888888884</v>
      </c>
      <c r="W663">
        <f>VLOOKUP($U663,'[2]AP Dynamic'!$Q$1:$T$542,3,FALSE)</f>
        <v>0.11111111111111116</v>
      </c>
      <c r="X663">
        <f>VLOOKUP($U663,'[2]AP Dynamic'!$Q$1:$T$542,4,FALSE)</f>
        <v>0</v>
      </c>
      <c r="Y663" s="77">
        <f t="shared" si="1754"/>
        <v>1</v>
      </c>
      <c r="Z663" s="77">
        <f t="shared" si="1760"/>
        <v>6.3149999999999984E-2</v>
      </c>
      <c r="AA663" s="77">
        <f t="shared" si="1761"/>
        <v>5.1160591879111372E-3</v>
      </c>
      <c r="AB663" s="79">
        <v>1</v>
      </c>
      <c r="AC663" s="77">
        <f t="shared" si="1699"/>
        <v>8.277777777777778E-3</v>
      </c>
      <c r="AD663" s="77">
        <f t="shared" ref="AD663" si="1920">1-(1-AC663)^(1/12)</f>
        <v>6.9244588451522482E-4</v>
      </c>
      <c r="AE663" s="77">
        <f t="shared" si="1701"/>
        <v>2.5000000000000001E-3</v>
      </c>
      <c r="AF663" s="77">
        <f t="shared" ref="AF663" si="1921">1-(1-AE663)^(1/12)</f>
        <v>2.0857243058891584E-4</v>
      </c>
      <c r="AH663" t="s">
        <v>175</v>
      </c>
      <c r="AI663" t="s">
        <v>179</v>
      </c>
      <c r="AJ663" s="197" t="str">
        <f t="shared" si="1688"/>
        <v>Lifecycle_Dynamic_424</v>
      </c>
      <c r="AK663">
        <v>424</v>
      </c>
      <c r="AL663">
        <f>VLOOKUP($U663,[2]Standard_Dynamic!$Q$1:$T$542,2,FALSE)</f>
        <v>0.88888888888888884</v>
      </c>
      <c r="AM663">
        <f>VLOOKUP($U663,[2]Standard_Dynamic!$Q$1:$T$542,3,FALSE)</f>
        <v>0.11111111111111116</v>
      </c>
      <c r="AN663">
        <f>VLOOKUP($U663,[2]Standard_Dynamic!$Q$1:$T$542,4,FALSE)</f>
        <v>0</v>
      </c>
      <c r="AO663" s="77">
        <f t="shared" si="1689"/>
        <v>1</v>
      </c>
      <c r="AP663" s="77">
        <f t="shared" si="1703"/>
        <v>6.3149999999999984E-2</v>
      </c>
      <c r="AQ663" s="77">
        <f t="shared" si="1690"/>
        <v>5.1160591879111372E-3</v>
      </c>
      <c r="AR663" s="79">
        <v>0</v>
      </c>
      <c r="AS663" s="77">
        <f t="shared" si="1704"/>
        <v>0</v>
      </c>
      <c r="AT663" s="77">
        <f t="shared" ref="AT663" si="1922">1-(1-AS663)^(1/12)</f>
        <v>0</v>
      </c>
      <c r="AU663" s="77">
        <f t="shared" si="1706"/>
        <v>2.5000000000000001E-3</v>
      </c>
      <c r="AV663" s="77">
        <f t="shared" ref="AV663" si="1923">1-(1-AU663)^(1/12)</f>
        <v>2.0857243058891584E-4</v>
      </c>
      <c r="AX663" t="s">
        <v>178</v>
      </c>
      <c r="AY663" t="s">
        <v>162</v>
      </c>
      <c r="AZ663" s="197" t="str">
        <f t="shared" si="1786"/>
        <v>DIS_Standard_424</v>
      </c>
      <c r="BA663">
        <v>424</v>
      </c>
      <c r="BB663">
        <f>VLOOKUP($BA663,'[2]Standard DIS'!$Q$1:$X$542,4,FALSE)</f>
        <v>0</v>
      </c>
      <c r="BF663">
        <f>VLOOKUP($BA663,'[2]Standard DIS'!$Q$1:$X$542,2,FALSE)</f>
        <v>0.88888888888888884</v>
      </c>
      <c r="BH663">
        <f>VLOOKUP($BA663,'[2]Standard DIS'!$Q$1:$X$542,3,FALSE)</f>
        <v>0.11111111111111116</v>
      </c>
      <c r="BI663" s="77">
        <f t="shared" si="1693"/>
        <v>1</v>
      </c>
      <c r="BJ663" s="77">
        <f t="shared" si="1694"/>
        <v>6.3149999999999984E-2</v>
      </c>
      <c r="BK663" s="77">
        <f t="shared" si="1787"/>
        <v>5.1160591879111372E-3</v>
      </c>
      <c r="BL663" s="79">
        <v>0</v>
      </c>
      <c r="BM663" s="77">
        <f t="shared" si="1708"/>
        <v>0</v>
      </c>
      <c r="BN663" s="77">
        <f t="shared" si="1709"/>
        <v>0</v>
      </c>
      <c r="BO663" s="77">
        <f t="shared" si="1710"/>
        <v>2.5000000000000001E-3</v>
      </c>
      <c r="BP663" s="77">
        <f t="shared" si="1711"/>
        <v>2.0809499864316017E-4</v>
      </c>
    </row>
    <row r="664" spans="1:68">
      <c r="A664" t="s">
        <v>175</v>
      </c>
      <c r="B664" t="s">
        <v>179</v>
      </c>
      <c r="C664" s="197" t="str">
        <f t="shared" si="1752"/>
        <v>Lifecycle_Dynamic_423</v>
      </c>
      <c r="D664">
        <v>423</v>
      </c>
      <c r="E664">
        <f>VLOOKUP($D664,'[2]LC Dynamic'!$Q$2:$U$542,2,FALSE)</f>
        <v>0</v>
      </c>
      <c r="F664">
        <f>VLOOKUP($D664,'[2]LC Dynamic'!$Q$2:$U$542,3,FALSE)</f>
        <v>0</v>
      </c>
      <c r="G664">
        <f>VLOOKUP($D664,'[2]LC Dynamic'!$Q$2:$U$542,4,FALSE)</f>
        <v>0.308</v>
      </c>
      <c r="H664">
        <f>VLOOKUP($D664,'[2]LC Dynamic'!$Q$2:$U$542,5,FALSE)</f>
        <v>0.69199999999999995</v>
      </c>
      <c r="I664" s="77">
        <f t="shared" si="1684"/>
        <v>1</v>
      </c>
      <c r="J664" s="77">
        <f t="shared" si="1685"/>
        <v>6.9728499999999985E-2</v>
      </c>
      <c r="K664" s="77">
        <f t="shared" si="1759"/>
        <v>5.632878498097682E-3</v>
      </c>
      <c r="L664" s="76">
        <v>0</v>
      </c>
      <c r="M664" s="77">
        <f t="shared" si="1695"/>
        <v>0</v>
      </c>
      <c r="N664" s="77">
        <f t="shared" si="1696"/>
        <v>0</v>
      </c>
      <c r="O664" s="77">
        <f t="shared" si="1697"/>
        <v>5.6775999999999997E-3</v>
      </c>
      <c r="P664" s="77">
        <f t="shared" si="1698"/>
        <v>4.7436902124819991E-4</v>
      </c>
      <c r="R664" t="s">
        <v>177</v>
      </c>
      <c r="S664" t="s">
        <v>179</v>
      </c>
      <c r="T664" s="197" t="str">
        <f t="shared" si="1753"/>
        <v>Autopilot_Dynamic_423</v>
      </c>
      <c r="U664">
        <v>423</v>
      </c>
      <c r="V664">
        <f>VLOOKUP($U664,'[2]AP Dynamic'!$Q$1:$T$542,2,FALSE)</f>
        <v>0.88888888888888884</v>
      </c>
      <c r="W664">
        <f>VLOOKUP($U664,'[2]AP Dynamic'!$Q$1:$T$542,3,FALSE)</f>
        <v>0.11111111111111116</v>
      </c>
      <c r="X664">
        <f>VLOOKUP($U664,'[2]AP Dynamic'!$Q$1:$T$542,4,FALSE)</f>
        <v>0</v>
      </c>
      <c r="Y664" s="77">
        <f t="shared" si="1754"/>
        <v>1</v>
      </c>
      <c r="Z664" s="77">
        <f t="shared" si="1760"/>
        <v>6.3149999999999984E-2</v>
      </c>
      <c r="AA664" s="77">
        <f t="shared" si="1761"/>
        <v>5.1160591879111372E-3</v>
      </c>
      <c r="AB664" s="79">
        <v>1</v>
      </c>
      <c r="AC664" s="77">
        <f t="shared" si="1699"/>
        <v>8.277777777777778E-3</v>
      </c>
      <c r="AD664" s="77">
        <f t="shared" ref="AD664" si="1924">1-(1-AC664)^(1/12)</f>
        <v>6.9244588451522482E-4</v>
      </c>
      <c r="AE664" s="77">
        <f t="shared" si="1701"/>
        <v>2.5000000000000001E-3</v>
      </c>
      <c r="AF664" s="77">
        <f t="shared" ref="AF664" si="1925">1-(1-AE664)^(1/12)</f>
        <v>2.0857243058891584E-4</v>
      </c>
      <c r="AH664" t="s">
        <v>175</v>
      </c>
      <c r="AI664" t="s">
        <v>179</v>
      </c>
      <c r="AJ664" s="197" t="str">
        <f t="shared" si="1688"/>
        <v>Lifecycle_Dynamic_423</v>
      </c>
      <c r="AK664">
        <v>423</v>
      </c>
      <c r="AL664">
        <f>VLOOKUP($U664,[2]Standard_Dynamic!$Q$1:$T$542,2,FALSE)</f>
        <v>0.88888888888888884</v>
      </c>
      <c r="AM664">
        <f>VLOOKUP($U664,[2]Standard_Dynamic!$Q$1:$T$542,3,FALSE)</f>
        <v>0.11111111111111116</v>
      </c>
      <c r="AN664">
        <f>VLOOKUP($U664,[2]Standard_Dynamic!$Q$1:$T$542,4,FALSE)</f>
        <v>0</v>
      </c>
      <c r="AO664" s="77">
        <f t="shared" si="1689"/>
        <v>1</v>
      </c>
      <c r="AP664" s="77">
        <f t="shared" si="1703"/>
        <v>6.3149999999999984E-2</v>
      </c>
      <c r="AQ664" s="77">
        <f t="shared" si="1690"/>
        <v>5.1160591879111372E-3</v>
      </c>
      <c r="AR664" s="79">
        <v>0</v>
      </c>
      <c r="AS664" s="77">
        <f t="shared" si="1704"/>
        <v>0</v>
      </c>
      <c r="AT664" s="77">
        <f t="shared" ref="AT664" si="1926">1-(1-AS664)^(1/12)</f>
        <v>0</v>
      </c>
      <c r="AU664" s="77">
        <f t="shared" si="1706"/>
        <v>2.5000000000000001E-3</v>
      </c>
      <c r="AV664" s="77">
        <f t="shared" ref="AV664" si="1927">1-(1-AU664)^(1/12)</f>
        <v>2.0857243058891584E-4</v>
      </c>
      <c r="AX664" t="s">
        <v>178</v>
      </c>
      <c r="AY664" t="s">
        <v>162</v>
      </c>
      <c r="AZ664" s="197" t="str">
        <f t="shared" si="1786"/>
        <v>DIS_Standard_423</v>
      </c>
      <c r="BA664">
        <v>423</v>
      </c>
      <c r="BB664">
        <f>VLOOKUP($BA664,'[2]Standard DIS'!$Q$1:$X$542,4,FALSE)</f>
        <v>0</v>
      </c>
      <c r="BF664">
        <f>VLOOKUP($BA664,'[2]Standard DIS'!$Q$1:$X$542,2,FALSE)</f>
        <v>0.88888888888888884</v>
      </c>
      <c r="BH664">
        <f>VLOOKUP($BA664,'[2]Standard DIS'!$Q$1:$X$542,3,FALSE)</f>
        <v>0.11111111111111116</v>
      </c>
      <c r="BI664" s="77">
        <f t="shared" si="1693"/>
        <v>1</v>
      </c>
      <c r="BJ664" s="77">
        <f t="shared" si="1694"/>
        <v>6.3149999999999984E-2</v>
      </c>
      <c r="BK664" s="77">
        <f t="shared" si="1787"/>
        <v>5.1160591879111372E-3</v>
      </c>
      <c r="BL664" s="79">
        <v>0</v>
      </c>
      <c r="BM664" s="77">
        <f t="shared" si="1708"/>
        <v>0</v>
      </c>
      <c r="BN664" s="77">
        <f t="shared" si="1709"/>
        <v>0</v>
      </c>
      <c r="BO664" s="77">
        <f t="shared" si="1710"/>
        <v>2.5000000000000001E-3</v>
      </c>
      <c r="BP664" s="77">
        <f t="shared" si="1711"/>
        <v>2.0809499864316017E-4</v>
      </c>
    </row>
    <row r="665" spans="1:68">
      <c r="A665" t="s">
        <v>175</v>
      </c>
      <c r="B665" t="s">
        <v>179</v>
      </c>
      <c r="C665" s="197" t="str">
        <f t="shared" si="1752"/>
        <v>Lifecycle_Dynamic_422</v>
      </c>
      <c r="D665">
        <v>422</v>
      </c>
      <c r="E665">
        <f>VLOOKUP($D665,'[2]LC Dynamic'!$Q$2:$U$542,2,FALSE)</f>
        <v>0</v>
      </c>
      <c r="F665">
        <f>VLOOKUP($D665,'[2]LC Dynamic'!$Q$2:$U$542,3,FALSE)</f>
        <v>0</v>
      </c>
      <c r="G665">
        <f>VLOOKUP($D665,'[2]LC Dynamic'!$Q$2:$U$542,4,FALSE)</f>
        <v>0.308</v>
      </c>
      <c r="H665">
        <f>VLOOKUP($D665,'[2]LC Dynamic'!$Q$2:$U$542,5,FALSE)</f>
        <v>0.69199999999999995</v>
      </c>
      <c r="I665" s="77">
        <f t="shared" si="1684"/>
        <v>1</v>
      </c>
      <c r="J665" s="77">
        <f t="shared" si="1685"/>
        <v>6.9728499999999985E-2</v>
      </c>
      <c r="K665" s="77">
        <f t="shared" si="1759"/>
        <v>5.632878498097682E-3</v>
      </c>
      <c r="L665" s="76">
        <v>0</v>
      </c>
      <c r="M665" s="77">
        <f t="shared" si="1695"/>
        <v>0</v>
      </c>
      <c r="N665" s="77">
        <f t="shared" si="1696"/>
        <v>0</v>
      </c>
      <c r="O665" s="77">
        <f t="shared" si="1697"/>
        <v>5.6775999999999997E-3</v>
      </c>
      <c r="P665" s="77">
        <f t="shared" si="1698"/>
        <v>4.7436902124819991E-4</v>
      </c>
      <c r="R665" t="s">
        <v>177</v>
      </c>
      <c r="S665" t="s">
        <v>179</v>
      </c>
      <c r="T665" s="197" t="str">
        <f t="shared" si="1753"/>
        <v>Autopilot_Dynamic_422</v>
      </c>
      <c r="U665">
        <v>422</v>
      </c>
      <c r="V665">
        <f>VLOOKUP($U665,'[2]AP Dynamic'!$Q$1:$T$542,2,FALSE)</f>
        <v>0.88888888888888884</v>
      </c>
      <c r="W665">
        <f>VLOOKUP($U665,'[2]AP Dynamic'!$Q$1:$T$542,3,FALSE)</f>
        <v>0.11111111111111116</v>
      </c>
      <c r="X665">
        <f>VLOOKUP($U665,'[2]AP Dynamic'!$Q$1:$T$542,4,FALSE)</f>
        <v>0</v>
      </c>
      <c r="Y665" s="77">
        <f t="shared" si="1754"/>
        <v>1</v>
      </c>
      <c r="Z665" s="77">
        <f t="shared" si="1760"/>
        <v>6.3149999999999984E-2</v>
      </c>
      <c r="AA665" s="77">
        <f t="shared" si="1761"/>
        <v>5.1160591879111372E-3</v>
      </c>
      <c r="AB665" s="79">
        <v>1</v>
      </c>
      <c r="AC665" s="77">
        <f t="shared" si="1699"/>
        <v>8.277777777777778E-3</v>
      </c>
      <c r="AD665" s="77">
        <f t="shared" ref="AD665" si="1928">1-(1-AC665)^(1/12)</f>
        <v>6.9244588451522482E-4</v>
      </c>
      <c r="AE665" s="77">
        <f t="shared" si="1701"/>
        <v>2.5000000000000001E-3</v>
      </c>
      <c r="AF665" s="77">
        <f t="shared" ref="AF665" si="1929">1-(1-AE665)^(1/12)</f>
        <v>2.0857243058891584E-4</v>
      </c>
      <c r="AH665" t="s">
        <v>175</v>
      </c>
      <c r="AI665" t="s">
        <v>179</v>
      </c>
      <c r="AJ665" s="197" t="str">
        <f t="shared" si="1688"/>
        <v>Lifecycle_Dynamic_422</v>
      </c>
      <c r="AK665">
        <v>422</v>
      </c>
      <c r="AL665">
        <f>VLOOKUP($U665,[2]Standard_Dynamic!$Q$1:$T$542,2,FALSE)</f>
        <v>0.88888888888888884</v>
      </c>
      <c r="AM665">
        <f>VLOOKUP($U665,[2]Standard_Dynamic!$Q$1:$T$542,3,FALSE)</f>
        <v>0.11111111111111116</v>
      </c>
      <c r="AN665">
        <f>VLOOKUP($U665,[2]Standard_Dynamic!$Q$1:$T$542,4,FALSE)</f>
        <v>0</v>
      </c>
      <c r="AO665" s="77">
        <f t="shared" si="1689"/>
        <v>1</v>
      </c>
      <c r="AP665" s="77">
        <f t="shared" si="1703"/>
        <v>6.3149999999999984E-2</v>
      </c>
      <c r="AQ665" s="77">
        <f t="shared" si="1690"/>
        <v>5.1160591879111372E-3</v>
      </c>
      <c r="AR665" s="79">
        <v>0</v>
      </c>
      <c r="AS665" s="77">
        <f t="shared" si="1704"/>
        <v>0</v>
      </c>
      <c r="AT665" s="77">
        <f t="shared" ref="AT665" si="1930">1-(1-AS665)^(1/12)</f>
        <v>0</v>
      </c>
      <c r="AU665" s="77">
        <f t="shared" si="1706"/>
        <v>2.5000000000000001E-3</v>
      </c>
      <c r="AV665" s="77">
        <f t="shared" ref="AV665" si="1931">1-(1-AU665)^(1/12)</f>
        <v>2.0857243058891584E-4</v>
      </c>
      <c r="AX665" t="s">
        <v>178</v>
      </c>
      <c r="AY665" t="s">
        <v>162</v>
      </c>
      <c r="AZ665" s="197" t="str">
        <f t="shared" si="1786"/>
        <v>DIS_Standard_422</v>
      </c>
      <c r="BA665">
        <v>422</v>
      </c>
      <c r="BB665">
        <f>VLOOKUP($BA665,'[2]Standard DIS'!$Q$1:$X$542,4,FALSE)</f>
        <v>0</v>
      </c>
      <c r="BF665">
        <f>VLOOKUP($BA665,'[2]Standard DIS'!$Q$1:$X$542,2,FALSE)</f>
        <v>0.88888888888888884</v>
      </c>
      <c r="BH665">
        <f>VLOOKUP($BA665,'[2]Standard DIS'!$Q$1:$X$542,3,FALSE)</f>
        <v>0.11111111111111116</v>
      </c>
      <c r="BI665" s="77">
        <f t="shared" si="1693"/>
        <v>1</v>
      </c>
      <c r="BJ665" s="77">
        <f t="shared" si="1694"/>
        <v>6.3149999999999984E-2</v>
      </c>
      <c r="BK665" s="77">
        <f t="shared" si="1787"/>
        <v>5.1160591879111372E-3</v>
      </c>
      <c r="BL665" s="79">
        <v>0</v>
      </c>
      <c r="BM665" s="77">
        <f t="shared" si="1708"/>
        <v>0</v>
      </c>
      <c r="BN665" s="77">
        <f t="shared" si="1709"/>
        <v>0</v>
      </c>
      <c r="BO665" s="77">
        <f t="shared" si="1710"/>
        <v>2.5000000000000001E-3</v>
      </c>
      <c r="BP665" s="77">
        <f t="shared" si="1711"/>
        <v>2.0809499864316017E-4</v>
      </c>
    </row>
    <row r="666" spans="1:68">
      <c r="A666" t="s">
        <v>175</v>
      </c>
      <c r="B666" t="s">
        <v>179</v>
      </c>
      <c r="C666" s="197" t="str">
        <f t="shared" si="1752"/>
        <v>Lifecycle_Dynamic_421</v>
      </c>
      <c r="D666">
        <v>421</v>
      </c>
      <c r="E666">
        <f>VLOOKUP($D666,'[2]LC Dynamic'!$Q$2:$U$542,2,FALSE)</f>
        <v>0</v>
      </c>
      <c r="F666">
        <f>VLOOKUP($D666,'[2]LC Dynamic'!$Q$2:$U$542,3,FALSE)</f>
        <v>0</v>
      </c>
      <c r="G666">
        <f>VLOOKUP($D666,'[2]LC Dynamic'!$Q$2:$U$542,4,FALSE)</f>
        <v>0.308</v>
      </c>
      <c r="H666">
        <f>VLOOKUP($D666,'[2]LC Dynamic'!$Q$2:$U$542,5,FALSE)</f>
        <v>0.69199999999999995</v>
      </c>
      <c r="I666" s="77">
        <f t="shared" si="1684"/>
        <v>1</v>
      </c>
      <c r="J666" s="77">
        <f t="shared" si="1685"/>
        <v>6.9728499999999985E-2</v>
      </c>
      <c r="K666" s="77">
        <f t="shared" si="1759"/>
        <v>5.632878498097682E-3</v>
      </c>
      <c r="L666" s="76">
        <v>0</v>
      </c>
      <c r="M666" s="77">
        <f t="shared" si="1695"/>
        <v>0</v>
      </c>
      <c r="N666" s="77">
        <f t="shared" si="1696"/>
        <v>0</v>
      </c>
      <c r="O666" s="77">
        <f t="shared" si="1697"/>
        <v>5.6775999999999997E-3</v>
      </c>
      <c r="P666" s="77">
        <f t="shared" si="1698"/>
        <v>4.7436902124819991E-4</v>
      </c>
      <c r="R666" t="s">
        <v>177</v>
      </c>
      <c r="S666" t="s">
        <v>179</v>
      </c>
      <c r="T666" s="197" t="str">
        <f t="shared" si="1753"/>
        <v>Autopilot_Dynamic_421</v>
      </c>
      <c r="U666">
        <v>421</v>
      </c>
      <c r="V666">
        <f>VLOOKUP($U666,'[2]AP Dynamic'!$Q$1:$T$542,2,FALSE)</f>
        <v>0.88888888888888884</v>
      </c>
      <c r="W666">
        <f>VLOOKUP($U666,'[2]AP Dynamic'!$Q$1:$T$542,3,FALSE)</f>
        <v>0.11111111111111116</v>
      </c>
      <c r="X666">
        <f>VLOOKUP($U666,'[2]AP Dynamic'!$Q$1:$T$542,4,FALSE)</f>
        <v>0</v>
      </c>
      <c r="Y666" s="77">
        <f t="shared" si="1754"/>
        <v>1</v>
      </c>
      <c r="Z666" s="77">
        <f t="shared" si="1760"/>
        <v>6.3149999999999984E-2</v>
      </c>
      <c r="AA666" s="77">
        <f t="shared" si="1761"/>
        <v>5.1160591879111372E-3</v>
      </c>
      <c r="AB666" s="79">
        <v>1</v>
      </c>
      <c r="AC666" s="77">
        <f t="shared" si="1699"/>
        <v>8.277777777777778E-3</v>
      </c>
      <c r="AD666" s="77">
        <f t="shared" ref="AD666" si="1932">1-(1-AC666)^(1/12)</f>
        <v>6.9244588451522482E-4</v>
      </c>
      <c r="AE666" s="77">
        <f t="shared" si="1701"/>
        <v>2.5000000000000001E-3</v>
      </c>
      <c r="AF666" s="77">
        <f t="shared" ref="AF666" si="1933">1-(1-AE666)^(1/12)</f>
        <v>2.0857243058891584E-4</v>
      </c>
      <c r="AH666" t="s">
        <v>175</v>
      </c>
      <c r="AI666" t="s">
        <v>179</v>
      </c>
      <c r="AJ666" s="197" t="str">
        <f t="shared" si="1688"/>
        <v>Lifecycle_Dynamic_421</v>
      </c>
      <c r="AK666">
        <v>421</v>
      </c>
      <c r="AL666">
        <f>VLOOKUP($U666,[2]Standard_Dynamic!$Q$1:$T$542,2,FALSE)</f>
        <v>0.88888888888888884</v>
      </c>
      <c r="AM666">
        <f>VLOOKUP($U666,[2]Standard_Dynamic!$Q$1:$T$542,3,FALSE)</f>
        <v>0.11111111111111116</v>
      </c>
      <c r="AN666">
        <f>VLOOKUP($U666,[2]Standard_Dynamic!$Q$1:$T$542,4,FALSE)</f>
        <v>0</v>
      </c>
      <c r="AO666" s="77">
        <f t="shared" si="1689"/>
        <v>1</v>
      </c>
      <c r="AP666" s="77">
        <f t="shared" si="1703"/>
        <v>6.3149999999999984E-2</v>
      </c>
      <c r="AQ666" s="77">
        <f t="shared" si="1690"/>
        <v>5.1160591879111372E-3</v>
      </c>
      <c r="AR666" s="79">
        <v>0</v>
      </c>
      <c r="AS666" s="77">
        <f t="shared" si="1704"/>
        <v>0</v>
      </c>
      <c r="AT666" s="77">
        <f t="shared" ref="AT666" si="1934">1-(1-AS666)^(1/12)</f>
        <v>0</v>
      </c>
      <c r="AU666" s="77">
        <f t="shared" si="1706"/>
        <v>2.5000000000000001E-3</v>
      </c>
      <c r="AV666" s="77">
        <f t="shared" ref="AV666" si="1935">1-(1-AU666)^(1/12)</f>
        <v>2.0857243058891584E-4</v>
      </c>
      <c r="AX666" t="s">
        <v>178</v>
      </c>
      <c r="AY666" t="s">
        <v>162</v>
      </c>
      <c r="AZ666" s="197" t="str">
        <f t="shared" si="1786"/>
        <v>DIS_Standard_421</v>
      </c>
      <c r="BA666">
        <v>421</v>
      </c>
      <c r="BB666">
        <f>VLOOKUP($BA666,'[2]Standard DIS'!$Q$1:$X$542,4,FALSE)</f>
        <v>0</v>
      </c>
      <c r="BF666">
        <f>VLOOKUP($BA666,'[2]Standard DIS'!$Q$1:$X$542,2,FALSE)</f>
        <v>0.88888888888888884</v>
      </c>
      <c r="BH666">
        <f>VLOOKUP($BA666,'[2]Standard DIS'!$Q$1:$X$542,3,FALSE)</f>
        <v>0.11111111111111116</v>
      </c>
      <c r="BI666" s="77">
        <f t="shared" si="1693"/>
        <v>1</v>
      </c>
      <c r="BJ666" s="77">
        <f t="shared" si="1694"/>
        <v>6.3149999999999984E-2</v>
      </c>
      <c r="BK666" s="77">
        <f t="shared" si="1787"/>
        <v>5.1160591879111372E-3</v>
      </c>
      <c r="BL666" s="79">
        <v>0</v>
      </c>
      <c r="BM666" s="77">
        <f t="shared" si="1708"/>
        <v>0</v>
      </c>
      <c r="BN666" s="77">
        <f t="shared" si="1709"/>
        <v>0</v>
      </c>
      <c r="BO666" s="77">
        <f t="shared" si="1710"/>
        <v>2.5000000000000001E-3</v>
      </c>
      <c r="BP666" s="77">
        <f t="shared" si="1711"/>
        <v>2.0809499864316017E-4</v>
      </c>
    </row>
    <row r="667" spans="1:68">
      <c r="A667" t="s">
        <v>175</v>
      </c>
      <c r="B667" t="s">
        <v>179</v>
      </c>
      <c r="C667" s="197" t="str">
        <f t="shared" si="1752"/>
        <v>Lifecycle_Dynamic_420</v>
      </c>
      <c r="D667">
        <v>420</v>
      </c>
      <c r="E667">
        <f>VLOOKUP($D667,'[2]LC Dynamic'!$Q$2:$U$542,2,FALSE)</f>
        <v>0</v>
      </c>
      <c r="F667">
        <f>VLOOKUP($D667,'[2]LC Dynamic'!$Q$2:$U$542,3,FALSE)</f>
        <v>0</v>
      </c>
      <c r="G667">
        <f>VLOOKUP($D667,'[2]LC Dynamic'!$Q$2:$U$542,4,FALSE)</f>
        <v>0.308</v>
      </c>
      <c r="H667">
        <f>VLOOKUP($D667,'[2]LC Dynamic'!$Q$2:$U$542,5,FALSE)</f>
        <v>0.69199999999999995</v>
      </c>
      <c r="I667" s="77">
        <f t="shared" si="1684"/>
        <v>1</v>
      </c>
      <c r="J667" s="77">
        <f t="shared" si="1685"/>
        <v>6.9728499999999985E-2</v>
      </c>
      <c r="K667" s="77">
        <f t="shared" si="1759"/>
        <v>5.632878498097682E-3</v>
      </c>
      <c r="L667" s="76">
        <v>0</v>
      </c>
      <c r="M667" s="77">
        <f t="shared" si="1695"/>
        <v>0</v>
      </c>
      <c r="N667" s="77">
        <f t="shared" si="1696"/>
        <v>0</v>
      </c>
      <c r="O667" s="77">
        <f t="shared" si="1697"/>
        <v>5.6775999999999997E-3</v>
      </c>
      <c r="P667" s="77">
        <f t="shared" si="1698"/>
        <v>4.7436902124819991E-4</v>
      </c>
      <c r="R667" t="s">
        <v>177</v>
      </c>
      <c r="S667" t="s">
        <v>179</v>
      </c>
      <c r="T667" s="197" t="str">
        <f t="shared" si="1753"/>
        <v>Autopilot_Dynamic_420</v>
      </c>
      <c r="U667">
        <v>420</v>
      </c>
      <c r="V667">
        <f>VLOOKUP($U667,'[2]AP Dynamic'!$Q$1:$T$542,2,FALSE)</f>
        <v>0.88888888888888884</v>
      </c>
      <c r="W667">
        <f>VLOOKUP($U667,'[2]AP Dynamic'!$Q$1:$T$542,3,FALSE)</f>
        <v>0.11111111111111116</v>
      </c>
      <c r="X667">
        <f>VLOOKUP($U667,'[2]AP Dynamic'!$Q$1:$T$542,4,FALSE)</f>
        <v>0</v>
      </c>
      <c r="Y667" s="77">
        <f t="shared" si="1754"/>
        <v>1</v>
      </c>
      <c r="Z667" s="77">
        <f t="shared" si="1760"/>
        <v>6.3149999999999984E-2</v>
      </c>
      <c r="AA667" s="77">
        <f t="shared" si="1761"/>
        <v>5.1160591879111372E-3</v>
      </c>
      <c r="AB667" s="79">
        <v>1</v>
      </c>
      <c r="AC667" s="77">
        <f t="shared" si="1699"/>
        <v>8.277777777777778E-3</v>
      </c>
      <c r="AD667" s="77">
        <f t="shared" ref="AD667" si="1936">1-(1-AC667)^(1/12)</f>
        <v>6.9244588451522482E-4</v>
      </c>
      <c r="AE667" s="77">
        <f t="shared" si="1701"/>
        <v>2.5000000000000001E-3</v>
      </c>
      <c r="AF667" s="77">
        <f t="shared" ref="AF667" si="1937">1-(1-AE667)^(1/12)</f>
        <v>2.0857243058891584E-4</v>
      </c>
      <c r="AH667" t="s">
        <v>175</v>
      </c>
      <c r="AI667" t="s">
        <v>179</v>
      </c>
      <c r="AJ667" s="197" t="str">
        <f t="shared" si="1688"/>
        <v>Lifecycle_Dynamic_420</v>
      </c>
      <c r="AK667">
        <v>420</v>
      </c>
      <c r="AL667">
        <f>VLOOKUP($U667,[2]Standard_Dynamic!$Q$1:$T$542,2,FALSE)</f>
        <v>0.88888888888888884</v>
      </c>
      <c r="AM667">
        <f>VLOOKUP($U667,[2]Standard_Dynamic!$Q$1:$T$542,3,FALSE)</f>
        <v>0.11111111111111116</v>
      </c>
      <c r="AN667">
        <f>VLOOKUP($U667,[2]Standard_Dynamic!$Q$1:$T$542,4,FALSE)</f>
        <v>0</v>
      </c>
      <c r="AO667" s="77">
        <f t="shared" si="1689"/>
        <v>1</v>
      </c>
      <c r="AP667" s="77">
        <f t="shared" si="1703"/>
        <v>6.3149999999999984E-2</v>
      </c>
      <c r="AQ667" s="77">
        <f t="shared" si="1690"/>
        <v>5.1160591879111372E-3</v>
      </c>
      <c r="AR667" s="79">
        <v>0</v>
      </c>
      <c r="AS667" s="77">
        <f t="shared" si="1704"/>
        <v>0</v>
      </c>
      <c r="AT667" s="77">
        <f t="shared" ref="AT667" si="1938">1-(1-AS667)^(1/12)</f>
        <v>0</v>
      </c>
      <c r="AU667" s="77">
        <f t="shared" si="1706"/>
        <v>2.5000000000000001E-3</v>
      </c>
      <c r="AV667" s="77">
        <f t="shared" ref="AV667" si="1939">1-(1-AU667)^(1/12)</f>
        <v>2.0857243058891584E-4</v>
      </c>
      <c r="AX667" t="s">
        <v>178</v>
      </c>
      <c r="AY667" t="s">
        <v>162</v>
      </c>
      <c r="AZ667" s="197" t="str">
        <f t="shared" si="1786"/>
        <v>DIS_Standard_420</v>
      </c>
      <c r="BA667">
        <v>420</v>
      </c>
      <c r="BB667">
        <f>VLOOKUP($BA667,'[2]Standard DIS'!$Q$1:$X$542,4,FALSE)</f>
        <v>0</v>
      </c>
      <c r="BF667">
        <f>VLOOKUP($BA667,'[2]Standard DIS'!$Q$1:$X$542,2,FALSE)</f>
        <v>0.88888888888888884</v>
      </c>
      <c r="BH667">
        <f>VLOOKUP($BA667,'[2]Standard DIS'!$Q$1:$X$542,3,FALSE)</f>
        <v>0.11111111111111116</v>
      </c>
      <c r="BI667" s="77">
        <f t="shared" si="1693"/>
        <v>1</v>
      </c>
      <c r="BJ667" s="77">
        <f t="shared" si="1694"/>
        <v>6.3149999999999984E-2</v>
      </c>
      <c r="BK667" s="77">
        <f t="shared" si="1787"/>
        <v>5.1160591879111372E-3</v>
      </c>
      <c r="BL667" s="79">
        <v>0</v>
      </c>
      <c r="BM667" s="77">
        <f t="shared" si="1708"/>
        <v>0</v>
      </c>
      <c r="BN667" s="77">
        <f t="shared" si="1709"/>
        <v>0</v>
      </c>
      <c r="BO667" s="77">
        <f t="shared" si="1710"/>
        <v>2.5000000000000001E-3</v>
      </c>
      <c r="BP667" s="77">
        <f t="shared" si="1711"/>
        <v>2.0809499864316017E-4</v>
      </c>
    </row>
    <row r="668" spans="1:68">
      <c r="A668" t="s">
        <v>175</v>
      </c>
      <c r="B668" t="s">
        <v>179</v>
      </c>
      <c r="C668" s="197" t="str">
        <f t="shared" si="1752"/>
        <v>Lifecycle_Dynamic_419</v>
      </c>
      <c r="D668">
        <v>419</v>
      </c>
      <c r="E668">
        <f>VLOOKUP($D668,'[2]LC Dynamic'!$Q$2:$U$542,2,FALSE)</f>
        <v>0</v>
      </c>
      <c r="F668">
        <f>VLOOKUP($D668,'[2]LC Dynamic'!$Q$2:$U$542,3,FALSE)</f>
        <v>0</v>
      </c>
      <c r="G668">
        <f>VLOOKUP($D668,'[2]LC Dynamic'!$Q$2:$U$542,4,FALSE)</f>
        <v>0.308</v>
      </c>
      <c r="H668">
        <f>VLOOKUP($D668,'[2]LC Dynamic'!$Q$2:$U$542,5,FALSE)</f>
        <v>0.69199999999999995</v>
      </c>
      <c r="I668" s="77">
        <f t="shared" si="1684"/>
        <v>1</v>
      </c>
      <c r="J668" s="77">
        <f t="shared" si="1685"/>
        <v>6.9728499999999985E-2</v>
      </c>
      <c r="K668" s="77">
        <f t="shared" si="1759"/>
        <v>5.632878498097682E-3</v>
      </c>
      <c r="L668" s="76">
        <v>0</v>
      </c>
      <c r="M668" s="77">
        <f t="shared" si="1695"/>
        <v>0</v>
      </c>
      <c r="N668" s="77">
        <f t="shared" si="1696"/>
        <v>0</v>
      </c>
      <c r="O668" s="77">
        <f t="shared" si="1697"/>
        <v>5.6775999999999997E-3</v>
      </c>
      <c r="P668" s="77">
        <f t="shared" si="1698"/>
        <v>4.7436902124819991E-4</v>
      </c>
      <c r="R668" t="s">
        <v>177</v>
      </c>
      <c r="S668" t="s">
        <v>179</v>
      </c>
      <c r="T668" s="197" t="str">
        <f t="shared" si="1753"/>
        <v>Autopilot_Dynamic_419</v>
      </c>
      <c r="U668">
        <v>419</v>
      </c>
      <c r="V668">
        <f>VLOOKUP($U668,'[2]AP Dynamic'!$Q$1:$T$542,2,FALSE)</f>
        <v>0.88888888888888884</v>
      </c>
      <c r="W668">
        <f>VLOOKUP($U668,'[2]AP Dynamic'!$Q$1:$T$542,3,FALSE)</f>
        <v>0.11111111111111116</v>
      </c>
      <c r="X668">
        <f>VLOOKUP($U668,'[2]AP Dynamic'!$Q$1:$T$542,4,FALSE)</f>
        <v>0</v>
      </c>
      <c r="Y668" s="77">
        <f t="shared" si="1754"/>
        <v>1</v>
      </c>
      <c r="Z668" s="77">
        <f t="shared" si="1760"/>
        <v>6.3149999999999984E-2</v>
      </c>
      <c r="AA668" s="77">
        <f t="shared" si="1761"/>
        <v>5.1160591879111372E-3</v>
      </c>
      <c r="AB668" s="79">
        <v>1</v>
      </c>
      <c r="AC668" s="77">
        <f t="shared" si="1699"/>
        <v>8.277777777777778E-3</v>
      </c>
      <c r="AD668" s="77">
        <f t="shared" ref="AD668" si="1940">1-(1-AC668)^(1/12)</f>
        <v>6.9244588451522482E-4</v>
      </c>
      <c r="AE668" s="77">
        <f t="shared" si="1701"/>
        <v>2.5000000000000001E-3</v>
      </c>
      <c r="AF668" s="77">
        <f t="shared" ref="AF668" si="1941">1-(1-AE668)^(1/12)</f>
        <v>2.0857243058891584E-4</v>
      </c>
      <c r="AH668" t="s">
        <v>175</v>
      </c>
      <c r="AI668" t="s">
        <v>179</v>
      </c>
      <c r="AJ668" s="197" t="str">
        <f t="shared" si="1688"/>
        <v>Lifecycle_Dynamic_419</v>
      </c>
      <c r="AK668">
        <v>419</v>
      </c>
      <c r="AL668">
        <f>VLOOKUP($U668,[2]Standard_Dynamic!$Q$1:$T$542,2,FALSE)</f>
        <v>0.88888888888888884</v>
      </c>
      <c r="AM668">
        <f>VLOOKUP($U668,[2]Standard_Dynamic!$Q$1:$T$542,3,FALSE)</f>
        <v>0.11111111111111116</v>
      </c>
      <c r="AN668">
        <f>VLOOKUP($U668,[2]Standard_Dynamic!$Q$1:$T$542,4,FALSE)</f>
        <v>0</v>
      </c>
      <c r="AO668" s="77">
        <f t="shared" si="1689"/>
        <v>1</v>
      </c>
      <c r="AP668" s="77">
        <f t="shared" si="1703"/>
        <v>6.3149999999999984E-2</v>
      </c>
      <c r="AQ668" s="77">
        <f t="shared" si="1690"/>
        <v>5.1160591879111372E-3</v>
      </c>
      <c r="AR668" s="79">
        <v>0</v>
      </c>
      <c r="AS668" s="77">
        <f t="shared" si="1704"/>
        <v>0</v>
      </c>
      <c r="AT668" s="77">
        <f t="shared" ref="AT668" si="1942">1-(1-AS668)^(1/12)</f>
        <v>0</v>
      </c>
      <c r="AU668" s="77">
        <f t="shared" si="1706"/>
        <v>2.5000000000000001E-3</v>
      </c>
      <c r="AV668" s="77">
        <f t="shared" ref="AV668" si="1943">1-(1-AU668)^(1/12)</f>
        <v>2.0857243058891584E-4</v>
      </c>
      <c r="AX668" t="s">
        <v>178</v>
      </c>
      <c r="AY668" t="s">
        <v>162</v>
      </c>
      <c r="AZ668" s="197" t="str">
        <f t="shared" si="1786"/>
        <v>DIS_Standard_419</v>
      </c>
      <c r="BA668">
        <v>419</v>
      </c>
      <c r="BB668">
        <f>VLOOKUP($BA668,'[2]Standard DIS'!$Q$1:$X$542,4,FALSE)</f>
        <v>0</v>
      </c>
      <c r="BF668">
        <f>VLOOKUP($BA668,'[2]Standard DIS'!$Q$1:$X$542,2,FALSE)</f>
        <v>0.88888888888888884</v>
      </c>
      <c r="BH668">
        <f>VLOOKUP($BA668,'[2]Standard DIS'!$Q$1:$X$542,3,FALSE)</f>
        <v>0.11111111111111116</v>
      </c>
      <c r="BI668" s="77">
        <f t="shared" si="1693"/>
        <v>1</v>
      </c>
      <c r="BJ668" s="77">
        <f t="shared" si="1694"/>
        <v>6.3149999999999984E-2</v>
      </c>
      <c r="BK668" s="77">
        <f t="shared" si="1787"/>
        <v>5.1160591879111372E-3</v>
      </c>
      <c r="BL668" s="79">
        <v>0</v>
      </c>
      <c r="BM668" s="77">
        <f t="shared" si="1708"/>
        <v>0</v>
      </c>
      <c r="BN668" s="77">
        <f t="shared" si="1709"/>
        <v>0</v>
      </c>
      <c r="BO668" s="77">
        <f t="shared" si="1710"/>
        <v>2.5000000000000001E-3</v>
      </c>
      <c r="BP668" s="77">
        <f t="shared" si="1711"/>
        <v>2.0809499864316017E-4</v>
      </c>
    </row>
    <row r="669" spans="1:68">
      <c r="A669" t="s">
        <v>175</v>
      </c>
      <c r="B669" t="s">
        <v>179</v>
      </c>
      <c r="C669" s="197" t="str">
        <f t="shared" si="1752"/>
        <v>Lifecycle_Dynamic_418</v>
      </c>
      <c r="D669">
        <v>418</v>
      </c>
      <c r="E669">
        <f>VLOOKUP($D669,'[2]LC Dynamic'!$Q$2:$U$542,2,FALSE)</f>
        <v>0</v>
      </c>
      <c r="F669">
        <f>VLOOKUP($D669,'[2]LC Dynamic'!$Q$2:$U$542,3,FALSE)</f>
        <v>0</v>
      </c>
      <c r="G669">
        <f>VLOOKUP($D669,'[2]LC Dynamic'!$Q$2:$U$542,4,FALSE)</f>
        <v>0.308</v>
      </c>
      <c r="H669">
        <f>VLOOKUP($D669,'[2]LC Dynamic'!$Q$2:$U$542,5,FALSE)</f>
        <v>0.69199999999999995</v>
      </c>
      <c r="I669" s="77">
        <f t="shared" si="1684"/>
        <v>1</v>
      </c>
      <c r="J669" s="77">
        <f t="shared" si="1685"/>
        <v>6.9728499999999985E-2</v>
      </c>
      <c r="K669" s="77">
        <f t="shared" si="1759"/>
        <v>5.632878498097682E-3</v>
      </c>
      <c r="L669" s="76">
        <v>0</v>
      </c>
      <c r="M669" s="77">
        <f t="shared" si="1695"/>
        <v>0</v>
      </c>
      <c r="N669" s="77">
        <f t="shared" si="1696"/>
        <v>0</v>
      </c>
      <c r="O669" s="77">
        <f t="shared" si="1697"/>
        <v>5.6775999999999997E-3</v>
      </c>
      <c r="P669" s="77">
        <f t="shared" si="1698"/>
        <v>4.7436902124819991E-4</v>
      </c>
      <c r="R669" t="s">
        <v>177</v>
      </c>
      <c r="S669" t="s">
        <v>179</v>
      </c>
      <c r="T669" s="197" t="str">
        <f t="shared" si="1753"/>
        <v>Autopilot_Dynamic_418</v>
      </c>
      <c r="U669">
        <v>418</v>
      </c>
      <c r="V669">
        <f>VLOOKUP($U669,'[2]AP Dynamic'!$Q$1:$T$542,2,FALSE)</f>
        <v>0.88888888888888884</v>
      </c>
      <c r="W669">
        <f>VLOOKUP($U669,'[2]AP Dynamic'!$Q$1:$T$542,3,FALSE)</f>
        <v>0.11111111111111116</v>
      </c>
      <c r="X669">
        <f>VLOOKUP($U669,'[2]AP Dynamic'!$Q$1:$T$542,4,FALSE)</f>
        <v>0</v>
      </c>
      <c r="Y669" s="77">
        <f t="shared" si="1754"/>
        <v>1</v>
      </c>
      <c r="Z669" s="77">
        <f t="shared" si="1760"/>
        <v>6.3149999999999984E-2</v>
      </c>
      <c r="AA669" s="77">
        <f t="shared" si="1761"/>
        <v>5.1160591879111372E-3</v>
      </c>
      <c r="AB669" s="79">
        <v>1</v>
      </c>
      <c r="AC669" s="77">
        <f t="shared" si="1699"/>
        <v>8.277777777777778E-3</v>
      </c>
      <c r="AD669" s="77">
        <f t="shared" ref="AD669" si="1944">1-(1-AC669)^(1/12)</f>
        <v>6.9244588451522482E-4</v>
      </c>
      <c r="AE669" s="77">
        <f t="shared" si="1701"/>
        <v>2.5000000000000001E-3</v>
      </c>
      <c r="AF669" s="77">
        <f t="shared" ref="AF669" si="1945">1-(1-AE669)^(1/12)</f>
        <v>2.0857243058891584E-4</v>
      </c>
      <c r="AH669" t="s">
        <v>175</v>
      </c>
      <c r="AI669" t="s">
        <v>179</v>
      </c>
      <c r="AJ669" s="197" t="str">
        <f t="shared" si="1688"/>
        <v>Lifecycle_Dynamic_418</v>
      </c>
      <c r="AK669">
        <v>418</v>
      </c>
      <c r="AL669">
        <f>VLOOKUP($U669,[2]Standard_Dynamic!$Q$1:$T$542,2,FALSE)</f>
        <v>0.88888888888888884</v>
      </c>
      <c r="AM669">
        <f>VLOOKUP($U669,[2]Standard_Dynamic!$Q$1:$T$542,3,FALSE)</f>
        <v>0.11111111111111116</v>
      </c>
      <c r="AN669">
        <f>VLOOKUP($U669,[2]Standard_Dynamic!$Q$1:$T$542,4,FALSE)</f>
        <v>0</v>
      </c>
      <c r="AO669" s="77">
        <f t="shared" si="1689"/>
        <v>1</v>
      </c>
      <c r="AP669" s="77">
        <f t="shared" si="1703"/>
        <v>6.3149999999999984E-2</v>
      </c>
      <c r="AQ669" s="77">
        <f t="shared" si="1690"/>
        <v>5.1160591879111372E-3</v>
      </c>
      <c r="AR669" s="79">
        <v>0</v>
      </c>
      <c r="AS669" s="77">
        <f t="shared" si="1704"/>
        <v>0</v>
      </c>
      <c r="AT669" s="77">
        <f t="shared" ref="AT669" si="1946">1-(1-AS669)^(1/12)</f>
        <v>0</v>
      </c>
      <c r="AU669" s="77">
        <f t="shared" si="1706"/>
        <v>2.5000000000000001E-3</v>
      </c>
      <c r="AV669" s="77">
        <f t="shared" ref="AV669" si="1947">1-(1-AU669)^(1/12)</f>
        <v>2.0857243058891584E-4</v>
      </c>
      <c r="AX669" t="s">
        <v>178</v>
      </c>
      <c r="AY669" t="s">
        <v>162</v>
      </c>
      <c r="AZ669" s="197" t="str">
        <f t="shared" si="1786"/>
        <v>DIS_Standard_418</v>
      </c>
      <c r="BA669">
        <v>418</v>
      </c>
      <c r="BB669">
        <f>VLOOKUP($BA669,'[2]Standard DIS'!$Q$1:$X$542,4,FALSE)</f>
        <v>0</v>
      </c>
      <c r="BF669">
        <f>VLOOKUP($BA669,'[2]Standard DIS'!$Q$1:$X$542,2,FALSE)</f>
        <v>0.88888888888888884</v>
      </c>
      <c r="BH669">
        <f>VLOOKUP($BA669,'[2]Standard DIS'!$Q$1:$X$542,3,FALSE)</f>
        <v>0.11111111111111116</v>
      </c>
      <c r="BI669" s="77">
        <f t="shared" si="1693"/>
        <v>1</v>
      </c>
      <c r="BJ669" s="77">
        <f t="shared" si="1694"/>
        <v>6.3149999999999984E-2</v>
      </c>
      <c r="BK669" s="77">
        <f t="shared" si="1787"/>
        <v>5.1160591879111372E-3</v>
      </c>
      <c r="BL669" s="79">
        <v>0</v>
      </c>
      <c r="BM669" s="77">
        <f t="shared" si="1708"/>
        <v>0</v>
      </c>
      <c r="BN669" s="77">
        <f t="shared" si="1709"/>
        <v>0</v>
      </c>
      <c r="BO669" s="77">
        <f t="shared" si="1710"/>
        <v>2.5000000000000001E-3</v>
      </c>
      <c r="BP669" s="77">
        <f t="shared" si="1711"/>
        <v>2.0809499864316017E-4</v>
      </c>
    </row>
    <row r="670" spans="1:68">
      <c r="A670" t="s">
        <v>175</v>
      </c>
      <c r="B670" t="s">
        <v>179</v>
      </c>
      <c r="C670" s="197" t="str">
        <f t="shared" si="1752"/>
        <v>Lifecycle_Dynamic_417</v>
      </c>
      <c r="D670">
        <v>417</v>
      </c>
      <c r="E670">
        <f>VLOOKUP($D670,'[2]LC Dynamic'!$Q$2:$U$542,2,FALSE)</f>
        <v>0</v>
      </c>
      <c r="F670">
        <f>VLOOKUP($D670,'[2]LC Dynamic'!$Q$2:$U$542,3,FALSE)</f>
        <v>0</v>
      </c>
      <c r="G670">
        <f>VLOOKUP($D670,'[2]LC Dynamic'!$Q$2:$U$542,4,FALSE)</f>
        <v>0.308</v>
      </c>
      <c r="H670">
        <f>VLOOKUP($D670,'[2]LC Dynamic'!$Q$2:$U$542,5,FALSE)</f>
        <v>0.69199999999999995</v>
      </c>
      <c r="I670" s="77">
        <f t="shared" si="1684"/>
        <v>1</v>
      </c>
      <c r="J670" s="77">
        <f t="shared" si="1685"/>
        <v>6.9728499999999985E-2</v>
      </c>
      <c r="K670" s="77">
        <f t="shared" si="1759"/>
        <v>5.632878498097682E-3</v>
      </c>
      <c r="L670" s="76">
        <v>0</v>
      </c>
      <c r="M670" s="77">
        <f t="shared" si="1695"/>
        <v>0</v>
      </c>
      <c r="N670" s="77">
        <f t="shared" si="1696"/>
        <v>0</v>
      </c>
      <c r="O670" s="77">
        <f t="shared" si="1697"/>
        <v>5.6775999999999997E-3</v>
      </c>
      <c r="P670" s="77">
        <f t="shared" si="1698"/>
        <v>4.7436902124819991E-4</v>
      </c>
      <c r="R670" t="s">
        <v>177</v>
      </c>
      <c r="S670" t="s">
        <v>179</v>
      </c>
      <c r="T670" s="197" t="str">
        <f t="shared" si="1753"/>
        <v>Autopilot_Dynamic_417</v>
      </c>
      <c r="U670">
        <v>417</v>
      </c>
      <c r="V670">
        <f>VLOOKUP($U670,'[2]AP Dynamic'!$Q$1:$T$542,2,FALSE)</f>
        <v>0.88888888888888884</v>
      </c>
      <c r="W670">
        <f>VLOOKUP($U670,'[2]AP Dynamic'!$Q$1:$T$542,3,FALSE)</f>
        <v>0.11111111111111116</v>
      </c>
      <c r="X670">
        <f>VLOOKUP($U670,'[2]AP Dynamic'!$Q$1:$T$542,4,FALSE)</f>
        <v>0</v>
      </c>
      <c r="Y670" s="77">
        <f t="shared" si="1754"/>
        <v>1</v>
      </c>
      <c r="Z670" s="77">
        <f t="shared" si="1760"/>
        <v>6.3149999999999984E-2</v>
      </c>
      <c r="AA670" s="77">
        <f t="shared" si="1761"/>
        <v>5.1160591879111372E-3</v>
      </c>
      <c r="AB670" s="79">
        <v>1</v>
      </c>
      <c r="AC670" s="77">
        <f t="shared" si="1699"/>
        <v>8.277777777777778E-3</v>
      </c>
      <c r="AD670" s="77">
        <f t="shared" ref="AD670" si="1948">1-(1-AC670)^(1/12)</f>
        <v>6.9244588451522482E-4</v>
      </c>
      <c r="AE670" s="77">
        <f t="shared" si="1701"/>
        <v>2.5000000000000001E-3</v>
      </c>
      <c r="AF670" s="77">
        <f t="shared" ref="AF670" si="1949">1-(1-AE670)^(1/12)</f>
        <v>2.0857243058891584E-4</v>
      </c>
      <c r="AH670" t="s">
        <v>175</v>
      </c>
      <c r="AI670" t="s">
        <v>179</v>
      </c>
      <c r="AJ670" s="197" t="str">
        <f t="shared" si="1688"/>
        <v>Lifecycle_Dynamic_417</v>
      </c>
      <c r="AK670">
        <v>417</v>
      </c>
      <c r="AL670">
        <f>VLOOKUP($U670,[2]Standard_Dynamic!$Q$1:$T$542,2,FALSE)</f>
        <v>0.88888888888888884</v>
      </c>
      <c r="AM670">
        <f>VLOOKUP($U670,[2]Standard_Dynamic!$Q$1:$T$542,3,FALSE)</f>
        <v>0.11111111111111116</v>
      </c>
      <c r="AN670">
        <f>VLOOKUP($U670,[2]Standard_Dynamic!$Q$1:$T$542,4,FALSE)</f>
        <v>0</v>
      </c>
      <c r="AO670" s="77">
        <f t="shared" si="1689"/>
        <v>1</v>
      </c>
      <c r="AP670" s="77">
        <f t="shared" si="1703"/>
        <v>6.3149999999999984E-2</v>
      </c>
      <c r="AQ670" s="77">
        <f t="shared" si="1690"/>
        <v>5.1160591879111372E-3</v>
      </c>
      <c r="AR670" s="79">
        <v>0</v>
      </c>
      <c r="AS670" s="77">
        <f t="shared" si="1704"/>
        <v>0</v>
      </c>
      <c r="AT670" s="77">
        <f t="shared" ref="AT670" si="1950">1-(1-AS670)^(1/12)</f>
        <v>0</v>
      </c>
      <c r="AU670" s="77">
        <f t="shared" si="1706"/>
        <v>2.5000000000000001E-3</v>
      </c>
      <c r="AV670" s="77">
        <f t="shared" ref="AV670" si="1951">1-(1-AU670)^(1/12)</f>
        <v>2.0857243058891584E-4</v>
      </c>
      <c r="AX670" t="s">
        <v>178</v>
      </c>
      <c r="AY670" t="s">
        <v>162</v>
      </c>
      <c r="AZ670" s="197" t="str">
        <f t="shared" si="1786"/>
        <v>DIS_Standard_417</v>
      </c>
      <c r="BA670">
        <v>417</v>
      </c>
      <c r="BB670">
        <f>VLOOKUP($BA670,'[2]Standard DIS'!$Q$1:$X$542,4,FALSE)</f>
        <v>0</v>
      </c>
      <c r="BF670">
        <f>VLOOKUP($BA670,'[2]Standard DIS'!$Q$1:$X$542,2,FALSE)</f>
        <v>0.88888888888888884</v>
      </c>
      <c r="BH670">
        <f>VLOOKUP($BA670,'[2]Standard DIS'!$Q$1:$X$542,3,FALSE)</f>
        <v>0.11111111111111116</v>
      </c>
      <c r="BI670" s="77">
        <f t="shared" si="1693"/>
        <v>1</v>
      </c>
      <c r="BJ670" s="77">
        <f t="shared" si="1694"/>
        <v>6.3149999999999984E-2</v>
      </c>
      <c r="BK670" s="77">
        <f t="shared" si="1787"/>
        <v>5.1160591879111372E-3</v>
      </c>
      <c r="BL670" s="79">
        <v>0</v>
      </c>
      <c r="BM670" s="77">
        <f t="shared" si="1708"/>
        <v>0</v>
      </c>
      <c r="BN670" s="77">
        <f t="shared" si="1709"/>
        <v>0</v>
      </c>
      <c r="BO670" s="77">
        <f t="shared" si="1710"/>
        <v>2.5000000000000001E-3</v>
      </c>
      <c r="BP670" s="77">
        <f t="shared" si="1711"/>
        <v>2.0809499864316017E-4</v>
      </c>
    </row>
    <row r="671" spans="1:68">
      <c r="A671" t="s">
        <v>175</v>
      </c>
      <c r="B671" t="s">
        <v>179</v>
      </c>
      <c r="C671" s="197" t="str">
        <f t="shared" si="1752"/>
        <v>Lifecycle_Dynamic_416</v>
      </c>
      <c r="D671">
        <v>416</v>
      </c>
      <c r="E671">
        <f>VLOOKUP($D671,'[2]LC Dynamic'!$Q$2:$U$542,2,FALSE)</f>
        <v>0</v>
      </c>
      <c r="F671">
        <f>VLOOKUP($D671,'[2]LC Dynamic'!$Q$2:$U$542,3,FALSE)</f>
        <v>0</v>
      </c>
      <c r="G671">
        <f>VLOOKUP($D671,'[2]LC Dynamic'!$Q$2:$U$542,4,FALSE)</f>
        <v>0.308</v>
      </c>
      <c r="H671">
        <f>VLOOKUP($D671,'[2]LC Dynamic'!$Q$2:$U$542,5,FALSE)</f>
        <v>0.69199999999999995</v>
      </c>
      <c r="I671" s="77">
        <f t="shared" si="1684"/>
        <v>1</v>
      </c>
      <c r="J671" s="77">
        <f t="shared" si="1685"/>
        <v>6.9728499999999985E-2</v>
      </c>
      <c r="K671" s="77">
        <f t="shared" si="1759"/>
        <v>5.632878498097682E-3</v>
      </c>
      <c r="L671" s="76">
        <v>0</v>
      </c>
      <c r="M671" s="77">
        <f t="shared" si="1695"/>
        <v>0</v>
      </c>
      <c r="N671" s="77">
        <f t="shared" si="1696"/>
        <v>0</v>
      </c>
      <c r="O671" s="77">
        <f t="shared" si="1697"/>
        <v>5.6775999999999997E-3</v>
      </c>
      <c r="P671" s="77">
        <f t="shared" si="1698"/>
        <v>4.7436902124819991E-4</v>
      </c>
      <c r="R671" t="s">
        <v>177</v>
      </c>
      <c r="S671" t="s">
        <v>179</v>
      </c>
      <c r="T671" s="197" t="str">
        <f t="shared" si="1753"/>
        <v>Autopilot_Dynamic_416</v>
      </c>
      <c r="U671">
        <v>416</v>
      </c>
      <c r="V671">
        <f>VLOOKUP($U671,'[2]AP Dynamic'!$Q$1:$T$542,2,FALSE)</f>
        <v>0.88888888888888884</v>
      </c>
      <c r="W671">
        <f>VLOOKUP($U671,'[2]AP Dynamic'!$Q$1:$T$542,3,FALSE)</f>
        <v>0.11111111111111116</v>
      </c>
      <c r="X671">
        <f>VLOOKUP($U671,'[2]AP Dynamic'!$Q$1:$T$542,4,FALSE)</f>
        <v>0</v>
      </c>
      <c r="Y671" s="77">
        <f t="shared" si="1754"/>
        <v>1</v>
      </c>
      <c r="Z671" s="77">
        <f t="shared" si="1760"/>
        <v>6.3149999999999984E-2</v>
      </c>
      <c r="AA671" s="77">
        <f t="shared" si="1761"/>
        <v>5.1160591879111372E-3</v>
      </c>
      <c r="AB671" s="79">
        <v>1</v>
      </c>
      <c r="AC671" s="77">
        <f t="shared" si="1699"/>
        <v>8.277777777777778E-3</v>
      </c>
      <c r="AD671" s="77">
        <f t="shared" ref="AD671" si="1952">1-(1-AC671)^(1/12)</f>
        <v>6.9244588451522482E-4</v>
      </c>
      <c r="AE671" s="77">
        <f t="shared" si="1701"/>
        <v>2.5000000000000001E-3</v>
      </c>
      <c r="AF671" s="77">
        <f t="shared" ref="AF671" si="1953">1-(1-AE671)^(1/12)</f>
        <v>2.0857243058891584E-4</v>
      </c>
      <c r="AH671" t="s">
        <v>175</v>
      </c>
      <c r="AI671" t="s">
        <v>179</v>
      </c>
      <c r="AJ671" s="197" t="str">
        <f t="shared" si="1688"/>
        <v>Lifecycle_Dynamic_416</v>
      </c>
      <c r="AK671">
        <v>416</v>
      </c>
      <c r="AL671">
        <f>VLOOKUP($U671,[2]Standard_Dynamic!$Q$1:$T$542,2,FALSE)</f>
        <v>0.88888888888888884</v>
      </c>
      <c r="AM671">
        <f>VLOOKUP($U671,[2]Standard_Dynamic!$Q$1:$T$542,3,FALSE)</f>
        <v>0.11111111111111116</v>
      </c>
      <c r="AN671">
        <f>VLOOKUP($U671,[2]Standard_Dynamic!$Q$1:$T$542,4,FALSE)</f>
        <v>0</v>
      </c>
      <c r="AO671" s="77">
        <f t="shared" si="1689"/>
        <v>1</v>
      </c>
      <c r="AP671" s="77">
        <f t="shared" si="1703"/>
        <v>6.3149999999999984E-2</v>
      </c>
      <c r="AQ671" s="77">
        <f t="shared" si="1690"/>
        <v>5.1160591879111372E-3</v>
      </c>
      <c r="AR671" s="79">
        <v>0</v>
      </c>
      <c r="AS671" s="77">
        <f t="shared" si="1704"/>
        <v>0</v>
      </c>
      <c r="AT671" s="77">
        <f t="shared" ref="AT671" si="1954">1-(1-AS671)^(1/12)</f>
        <v>0</v>
      </c>
      <c r="AU671" s="77">
        <f t="shared" si="1706"/>
        <v>2.5000000000000001E-3</v>
      </c>
      <c r="AV671" s="77">
        <f t="shared" ref="AV671" si="1955">1-(1-AU671)^(1/12)</f>
        <v>2.0857243058891584E-4</v>
      </c>
      <c r="AX671" t="s">
        <v>178</v>
      </c>
      <c r="AY671" t="s">
        <v>162</v>
      </c>
      <c r="AZ671" s="197" t="str">
        <f t="shared" si="1786"/>
        <v>DIS_Standard_416</v>
      </c>
      <c r="BA671">
        <v>416</v>
      </c>
      <c r="BB671">
        <f>VLOOKUP($BA671,'[2]Standard DIS'!$Q$1:$X$542,4,FALSE)</f>
        <v>0</v>
      </c>
      <c r="BF671">
        <f>VLOOKUP($BA671,'[2]Standard DIS'!$Q$1:$X$542,2,FALSE)</f>
        <v>0.88888888888888884</v>
      </c>
      <c r="BH671">
        <f>VLOOKUP($BA671,'[2]Standard DIS'!$Q$1:$X$542,3,FALSE)</f>
        <v>0.11111111111111116</v>
      </c>
      <c r="BI671" s="77">
        <f t="shared" si="1693"/>
        <v>1</v>
      </c>
      <c r="BJ671" s="77">
        <f t="shared" si="1694"/>
        <v>6.3149999999999984E-2</v>
      </c>
      <c r="BK671" s="77">
        <f t="shared" si="1787"/>
        <v>5.1160591879111372E-3</v>
      </c>
      <c r="BL671" s="79">
        <v>0</v>
      </c>
      <c r="BM671" s="77">
        <f t="shared" si="1708"/>
        <v>0</v>
      </c>
      <c r="BN671" s="77">
        <f t="shared" si="1709"/>
        <v>0</v>
      </c>
      <c r="BO671" s="77">
        <f t="shared" si="1710"/>
        <v>2.5000000000000001E-3</v>
      </c>
      <c r="BP671" s="77">
        <f t="shared" si="1711"/>
        <v>2.0809499864316017E-4</v>
      </c>
    </row>
    <row r="672" spans="1:68">
      <c r="A672" t="s">
        <v>175</v>
      </c>
      <c r="B672" t="s">
        <v>179</v>
      </c>
      <c r="C672" s="197" t="str">
        <f t="shared" si="1752"/>
        <v>Lifecycle_Dynamic_415</v>
      </c>
      <c r="D672">
        <v>415</v>
      </c>
      <c r="E672">
        <f>VLOOKUP($D672,'[2]LC Dynamic'!$Q$2:$U$542,2,FALSE)</f>
        <v>0</v>
      </c>
      <c r="F672">
        <f>VLOOKUP($D672,'[2]LC Dynamic'!$Q$2:$U$542,3,FALSE)</f>
        <v>0</v>
      </c>
      <c r="G672">
        <f>VLOOKUP($D672,'[2]LC Dynamic'!$Q$2:$U$542,4,FALSE)</f>
        <v>0.308</v>
      </c>
      <c r="H672">
        <f>VLOOKUP($D672,'[2]LC Dynamic'!$Q$2:$U$542,5,FALSE)</f>
        <v>0.69199999999999995</v>
      </c>
      <c r="I672" s="77">
        <f t="shared" si="1684"/>
        <v>1</v>
      </c>
      <c r="J672" s="77">
        <f t="shared" si="1685"/>
        <v>6.9728499999999985E-2</v>
      </c>
      <c r="K672" s="77">
        <f t="shared" si="1759"/>
        <v>5.632878498097682E-3</v>
      </c>
      <c r="L672" s="76">
        <v>0</v>
      </c>
      <c r="M672" s="77">
        <f t="shared" si="1695"/>
        <v>0</v>
      </c>
      <c r="N672" s="77">
        <f t="shared" si="1696"/>
        <v>0</v>
      </c>
      <c r="O672" s="77">
        <f t="shared" si="1697"/>
        <v>5.6775999999999997E-3</v>
      </c>
      <c r="P672" s="77">
        <f t="shared" si="1698"/>
        <v>4.7436902124819991E-4</v>
      </c>
      <c r="R672" t="s">
        <v>177</v>
      </c>
      <c r="S672" t="s">
        <v>179</v>
      </c>
      <c r="T672" s="197" t="str">
        <f t="shared" si="1753"/>
        <v>Autopilot_Dynamic_415</v>
      </c>
      <c r="U672">
        <v>415</v>
      </c>
      <c r="V672">
        <f>VLOOKUP($U672,'[2]AP Dynamic'!$Q$1:$T$542,2,FALSE)</f>
        <v>0.88888888888888884</v>
      </c>
      <c r="W672">
        <f>VLOOKUP($U672,'[2]AP Dynamic'!$Q$1:$T$542,3,FALSE)</f>
        <v>0.11111111111111116</v>
      </c>
      <c r="X672">
        <f>VLOOKUP($U672,'[2]AP Dynamic'!$Q$1:$T$542,4,FALSE)</f>
        <v>0</v>
      </c>
      <c r="Y672" s="77">
        <f t="shared" si="1754"/>
        <v>1</v>
      </c>
      <c r="Z672" s="77">
        <f t="shared" si="1760"/>
        <v>6.3149999999999984E-2</v>
      </c>
      <c r="AA672" s="77">
        <f t="shared" si="1761"/>
        <v>5.1160591879111372E-3</v>
      </c>
      <c r="AB672" s="79">
        <v>1</v>
      </c>
      <c r="AC672" s="77">
        <f t="shared" si="1699"/>
        <v>8.277777777777778E-3</v>
      </c>
      <c r="AD672" s="77">
        <f t="shared" ref="AD672" si="1956">1-(1-AC672)^(1/12)</f>
        <v>6.9244588451522482E-4</v>
      </c>
      <c r="AE672" s="77">
        <f t="shared" si="1701"/>
        <v>2.5000000000000001E-3</v>
      </c>
      <c r="AF672" s="77">
        <f t="shared" ref="AF672" si="1957">1-(1-AE672)^(1/12)</f>
        <v>2.0857243058891584E-4</v>
      </c>
      <c r="AH672" t="s">
        <v>175</v>
      </c>
      <c r="AI672" t="s">
        <v>179</v>
      </c>
      <c r="AJ672" s="197" t="str">
        <f t="shared" si="1688"/>
        <v>Lifecycle_Dynamic_415</v>
      </c>
      <c r="AK672">
        <v>415</v>
      </c>
      <c r="AL672">
        <f>VLOOKUP($U672,[2]Standard_Dynamic!$Q$1:$T$542,2,FALSE)</f>
        <v>0.88888888888888884</v>
      </c>
      <c r="AM672">
        <f>VLOOKUP($U672,[2]Standard_Dynamic!$Q$1:$T$542,3,FALSE)</f>
        <v>0.11111111111111116</v>
      </c>
      <c r="AN672">
        <f>VLOOKUP($U672,[2]Standard_Dynamic!$Q$1:$T$542,4,FALSE)</f>
        <v>0</v>
      </c>
      <c r="AO672" s="77">
        <f t="shared" si="1689"/>
        <v>1</v>
      </c>
      <c r="AP672" s="77">
        <f t="shared" si="1703"/>
        <v>6.3149999999999984E-2</v>
      </c>
      <c r="AQ672" s="77">
        <f t="shared" si="1690"/>
        <v>5.1160591879111372E-3</v>
      </c>
      <c r="AR672" s="79">
        <v>0</v>
      </c>
      <c r="AS672" s="77">
        <f t="shared" si="1704"/>
        <v>0</v>
      </c>
      <c r="AT672" s="77">
        <f t="shared" ref="AT672" si="1958">1-(1-AS672)^(1/12)</f>
        <v>0</v>
      </c>
      <c r="AU672" s="77">
        <f t="shared" si="1706"/>
        <v>2.5000000000000001E-3</v>
      </c>
      <c r="AV672" s="77">
        <f t="shared" ref="AV672" si="1959">1-(1-AU672)^(1/12)</f>
        <v>2.0857243058891584E-4</v>
      </c>
      <c r="AX672" t="s">
        <v>178</v>
      </c>
      <c r="AY672" t="s">
        <v>162</v>
      </c>
      <c r="AZ672" s="197" t="str">
        <f t="shared" si="1786"/>
        <v>DIS_Standard_415</v>
      </c>
      <c r="BA672">
        <v>415</v>
      </c>
      <c r="BB672">
        <f>VLOOKUP($BA672,'[2]Standard DIS'!$Q$1:$X$542,4,FALSE)</f>
        <v>0</v>
      </c>
      <c r="BF672">
        <f>VLOOKUP($BA672,'[2]Standard DIS'!$Q$1:$X$542,2,FALSE)</f>
        <v>0.88888888888888884</v>
      </c>
      <c r="BH672">
        <f>VLOOKUP($BA672,'[2]Standard DIS'!$Q$1:$X$542,3,FALSE)</f>
        <v>0.11111111111111116</v>
      </c>
      <c r="BI672" s="77">
        <f t="shared" si="1693"/>
        <v>1</v>
      </c>
      <c r="BJ672" s="77">
        <f t="shared" si="1694"/>
        <v>6.3149999999999984E-2</v>
      </c>
      <c r="BK672" s="77">
        <f t="shared" si="1787"/>
        <v>5.1160591879111372E-3</v>
      </c>
      <c r="BL672" s="79">
        <v>0</v>
      </c>
      <c r="BM672" s="77">
        <f t="shared" si="1708"/>
        <v>0</v>
      </c>
      <c r="BN672" s="77">
        <f t="shared" si="1709"/>
        <v>0</v>
      </c>
      <c r="BO672" s="77">
        <f t="shared" si="1710"/>
        <v>2.5000000000000001E-3</v>
      </c>
      <c r="BP672" s="77">
        <f t="shared" si="1711"/>
        <v>2.0809499864316017E-4</v>
      </c>
    </row>
    <row r="673" spans="1:68">
      <c r="A673" t="s">
        <v>175</v>
      </c>
      <c r="B673" t="s">
        <v>179</v>
      </c>
      <c r="C673" s="197" t="str">
        <f t="shared" si="1752"/>
        <v>Lifecycle_Dynamic_414</v>
      </c>
      <c r="D673">
        <v>414</v>
      </c>
      <c r="E673">
        <f>VLOOKUP($D673,'[2]LC Dynamic'!$Q$2:$U$542,2,FALSE)</f>
        <v>0</v>
      </c>
      <c r="F673">
        <f>VLOOKUP($D673,'[2]LC Dynamic'!$Q$2:$U$542,3,FALSE)</f>
        <v>0</v>
      </c>
      <c r="G673">
        <f>VLOOKUP($D673,'[2]LC Dynamic'!$Q$2:$U$542,4,FALSE)</f>
        <v>0.308</v>
      </c>
      <c r="H673">
        <f>VLOOKUP($D673,'[2]LC Dynamic'!$Q$2:$U$542,5,FALSE)</f>
        <v>0.69199999999999995</v>
      </c>
      <c r="I673" s="77">
        <f t="shared" si="1684"/>
        <v>1</v>
      </c>
      <c r="J673" s="77">
        <f t="shared" si="1685"/>
        <v>6.9728499999999985E-2</v>
      </c>
      <c r="K673" s="77">
        <f t="shared" si="1759"/>
        <v>5.632878498097682E-3</v>
      </c>
      <c r="L673" s="76">
        <v>0</v>
      </c>
      <c r="M673" s="77">
        <f t="shared" si="1695"/>
        <v>0</v>
      </c>
      <c r="N673" s="77">
        <f t="shared" si="1696"/>
        <v>0</v>
      </c>
      <c r="O673" s="77">
        <f t="shared" si="1697"/>
        <v>5.6775999999999997E-3</v>
      </c>
      <c r="P673" s="77">
        <f t="shared" si="1698"/>
        <v>4.7436902124819991E-4</v>
      </c>
      <c r="R673" t="s">
        <v>177</v>
      </c>
      <c r="S673" t="s">
        <v>179</v>
      </c>
      <c r="T673" s="197" t="str">
        <f t="shared" si="1753"/>
        <v>Autopilot_Dynamic_414</v>
      </c>
      <c r="U673">
        <v>414</v>
      </c>
      <c r="V673">
        <f>VLOOKUP($U673,'[2]AP Dynamic'!$Q$1:$T$542,2,FALSE)</f>
        <v>0.88888888888888884</v>
      </c>
      <c r="W673">
        <f>VLOOKUP($U673,'[2]AP Dynamic'!$Q$1:$T$542,3,FALSE)</f>
        <v>0.11111111111111116</v>
      </c>
      <c r="X673">
        <f>VLOOKUP($U673,'[2]AP Dynamic'!$Q$1:$T$542,4,FALSE)</f>
        <v>0</v>
      </c>
      <c r="Y673" s="77">
        <f t="shared" si="1754"/>
        <v>1</v>
      </c>
      <c r="Z673" s="77">
        <f t="shared" si="1760"/>
        <v>6.3149999999999984E-2</v>
      </c>
      <c r="AA673" s="77">
        <f t="shared" si="1761"/>
        <v>5.1160591879111372E-3</v>
      </c>
      <c r="AB673" s="79">
        <v>1</v>
      </c>
      <c r="AC673" s="77">
        <f t="shared" si="1699"/>
        <v>8.277777777777778E-3</v>
      </c>
      <c r="AD673" s="77">
        <f t="shared" ref="AD673" si="1960">1-(1-AC673)^(1/12)</f>
        <v>6.9244588451522482E-4</v>
      </c>
      <c r="AE673" s="77">
        <f t="shared" si="1701"/>
        <v>2.5000000000000001E-3</v>
      </c>
      <c r="AF673" s="77">
        <f t="shared" ref="AF673" si="1961">1-(1-AE673)^(1/12)</f>
        <v>2.0857243058891584E-4</v>
      </c>
      <c r="AH673" t="s">
        <v>175</v>
      </c>
      <c r="AI673" t="s">
        <v>179</v>
      </c>
      <c r="AJ673" s="197" t="str">
        <f t="shared" si="1688"/>
        <v>Lifecycle_Dynamic_414</v>
      </c>
      <c r="AK673">
        <v>414</v>
      </c>
      <c r="AL673">
        <f>VLOOKUP($U673,[2]Standard_Dynamic!$Q$1:$T$542,2,FALSE)</f>
        <v>0.88888888888888884</v>
      </c>
      <c r="AM673">
        <f>VLOOKUP($U673,[2]Standard_Dynamic!$Q$1:$T$542,3,FALSE)</f>
        <v>0.11111111111111116</v>
      </c>
      <c r="AN673">
        <f>VLOOKUP($U673,[2]Standard_Dynamic!$Q$1:$T$542,4,FALSE)</f>
        <v>0</v>
      </c>
      <c r="AO673" s="77">
        <f t="shared" si="1689"/>
        <v>1</v>
      </c>
      <c r="AP673" s="77">
        <f t="shared" si="1703"/>
        <v>6.3149999999999984E-2</v>
      </c>
      <c r="AQ673" s="77">
        <f t="shared" si="1690"/>
        <v>5.1160591879111372E-3</v>
      </c>
      <c r="AR673" s="79">
        <v>0</v>
      </c>
      <c r="AS673" s="77">
        <f t="shared" si="1704"/>
        <v>0</v>
      </c>
      <c r="AT673" s="77">
        <f t="shared" ref="AT673" si="1962">1-(1-AS673)^(1/12)</f>
        <v>0</v>
      </c>
      <c r="AU673" s="77">
        <f t="shared" si="1706"/>
        <v>2.5000000000000001E-3</v>
      </c>
      <c r="AV673" s="77">
        <f t="shared" ref="AV673" si="1963">1-(1-AU673)^(1/12)</f>
        <v>2.0857243058891584E-4</v>
      </c>
      <c r="AX673" t="s">
        <v>178</v>
      </c>
      <c r="AY673" t="s">
        <v>162</v>
      </c>
      <c r="AZ673" s="197" t="str">
        <f t="shared" si="1786"/>
        <v>DIS_Standard_414</v>
      </c>
      <c r="BA673">
        <v>414</v>
      </c>
      <c r="BB673">
        <f>VLOOKUP($BA673,'[2]Standard DIS'!$Q$1:$X$542,4,FALSE)</f>
        <v>0</v>
      </c>
      <c r="BF673">
        <f>VLOOKUP($BA673,'[2]Standard DIS'!$Q$1:$X$542,2,FALSE)</f>
        <v>0.88888888888888884</v>
      </c>
      <c r="BH673">
        <f>VLOOKUP($BA673,'[2]Standard DIS'!$Q$1:$X$542,3,FALSE)</f>
        <v>0.11111111111111116</v>
      </c>
      <c r="BI673" s="77">
        <f t="shared" si="1693"/>
        <v>1</v>
      </c>
      <c r="BJ673" s="77">
        <f t="shared" si="1694"/>
        <v>6.3149999999999984E-2</v>
      </c>
      <c r="BK673" s="77">
        <f t="shared" si="1787"/>
        <v>5.1160591879111372E-3</v>
      </c>
      <c r="BL673" s="79">
        <v>0</v>
      </c>
      <c r="BM673" s="77">
        <f t="shared" si="1708"/>
        <v>0</v>
      </c>
      <c r="BN673" s="77">
        <f t="shared" si="1709"/>
        <v>0</v>
      </c>
      <c r="BO673" s="77">
        <f t="shared" si="1710"/>
        <v>2.5000000000000001E-3</v>
      </c>
      <c r="BP673" s="77">
        <f t="shared" si="1711"/>
        <v>2.0809499864316017E-4</v>
      </c>
    </row>
    <row r="674" spans="1:68">
      <c r="A674" t="s">
        <v>175</v>
      </c>
      <c r="B674" t="s">
        <v>179</v>
      </c>
      <c r="C674" s="197" t="str">
        <f t="shared" si="1752"/>
        <v>Lifecycle_Dynamic_413</v>
      </c>
      <c r="D674">
        <v>413</v>
      </c>
      <c r="E674">
        <f>VLOOKUP($D674,'[2]LC Dynamic'!$Q$2:$U$542,2,FALSE)</f>
        <v>0</v>
      </c>
      <c r="F674">
        <f>VLOOKUP($D674,'[2]LC Dynamic'!$Q$2:$U$542,3,FALSE)</f>
        <v>0</v>
      </c>
      <c r="G674">
        <f>VLOOKUP($D674,'[2]LC Dynamic'!$Q$2:$U$542,4,FALSE)</f>
        <v>0.308</v>
      </c>
      <c r="H674">
        <f>VLOOKUP($D674,'[2]LC Dynamic'!$Q$2:$U$542,5,FALSE)</f>
        <v>0.69199999999999995</v>
      </c>
      <c r="I674" s="77">
        <f t="shared" si="1684"/>
        <v>1</v>
      </c>
      <c r="J674" s="77">
        <f t="shared" si="1685"/>
        <v>6.9728499999999985E-2</v>
      </c>
      <c r="K674" s="77">
        <f t="shared" si="1759"/>
        <v>5.632878498097682E-3</v>
      </c>
      <c r="L674" s="76">
        <v>0</v>
      </c>
      <c r="M674" s="77">
        <f t="shared" si="1695"/>
        <v>0</v>
      </c>
      <c r="N674" s="77">
        <f t="shared" si="1696"/>
        <v>0</v>
      </c>
      <c r="O674" s="77">
        <f t="shared" si="1697"/>
        <v>5.6775999999999997E-3</v>
      </c>
      <c r="P674" s="77">
        <f t="shared" si="1698"/>
        <v>4.7436902124819991E-4</v>
      </c>
      <c r="R674" t="s">
        <v>177</v>
      </c>
      <c r="S674" t="s">
        <v>179</v>
      </c>
      <c r="T674" s="197" t="str">
        <f t="shared" si="1753"/>
        <v>Autopilot_Dynamic_413</v>
      </c>
      <c r="U674">
        <v>413</v>
      </c>
      <c r="V674">
        <f>VLOOKUP($U674,'[2]AP Dynamic'!$Q$1:$T$542,2,FALSE)</f>
        <v>0.88888888888888884</v>
      </c>
      <c r="W674">
        <f>VLOOKUP($U674,'[2]AP Dynamic'!$Q$1:$T$542,3,FALSE)</f>
        <v>0.11111111111111116</v>
      </c>
      <c r="X674">
        <f>VLOOKUP($U674,'[2]AP Dynamic'!$Q$1:$T$542,4,FALSE)</f>
        <v>0</v>
      </c>
      <c r="Y674" s="77">
        <f t="shared" si="1754"/>
        <v>1</v>
      </c>
      <c r="Z674" s="77">
        <f t="shared" si="1760"/>
        <v>6.3149999999999984E-2</v>
      </c>
      <c r="AA674" s="77">
        <f t="shared" si="1761"/>
        <v>5.1160591879111372E-3</v>
      </c>
      <c r="AB674" s="79">
        <v>1</v>
      </c>
      <c r="AC674" s="77">
        <f t="shared" si="1699"/>
        <v>8.277777777777778E-3</v>
      </c>
      <c r="AD674" s="77">
        <f t="shared" ref="AD674" si="1964">1-(1-AC674)^(1/12)</f>
        <v>6.9244588451522482E-4</v>
      </c>
      <c r="AE674" s="77">
        <f t="shared" si="1701"/>
        <v>2.5000000000000001E-3</v>
      </c>
      <c r="AF674" s="77">
        <f t="shared" ref="AF674" si="1965">1-(1-AE674)^(1/12)</f>
        <v>2.0857243058891584E-4</v>
      </c>
      <c r="AH674" t="s">
        <v>175</v>
      </c>
      <c r="AI674" t="s">
        <v>179</v>
      </c>
      <c r="AJ674" s="197" t="str">
        <f t="shared" si="1688"/>
        <v>Lifecycle_Dynamic_413</v>
      </c>
      <c r="AK674">
        <v>413</v>
      </c>
      <c r="AL674">
        <f>VLOOKUP($U674,[2]Standard_Dynamic!$Q$1:$T$542,2,FALSE)</f>
        <v>0.88888888888888884</v>
      </c>
      <c r="AM674">
        <f>VLOOKUP($U674,[2]Standard_Dynamic!$Q$1:$T$542,3,FALSE)</f>
        <v>0.11111111111111116</v>
      </c>
      <c r="AN674">
        <f>VLOOKUP($U674,[2]Standard_Dynamic!$Q$1:$T$542,4,FALSE)</f>
        <v>0</v>
      </c>
      <c r="AO674" s="77">
        <f t="shared" si="1689"/>
        <v>1</v>
      </c>
      <c r="AP674" s="77">
        <f t="shared" si="1703"/>
        <v>6.3149999999999984E-2</v>
      </c>
      <c r="AQ674" s="77">
        <f t="shared" si="1690"/>
        <v>5.1160591879111372E-3</v>
      </c>
      <c r="AR674" s="79">
        <v>0</v>
      </c>
      <c r="AS674" s="77">
        <f t="shared" si="1704"/>
        <v>0</v>
      </c>
      <c r="AT674" s="77">
        <f t="shared" ref="AT674" si="1966">1-(1-AS674)^(1/12)</f>
        <v>0</v>
      </c>
      <c r="AU674" s="77">
        <f t="shared" si="1706"/>
        <v>2.5000000000000001E-3</v>
      </c>
      <c r="AV674" s="77">
        <f t="shared" ref="AV674" si="1967">1-(1-AU674)^(1/12)</f>
        <v>2.0857243058891584E-4</v>
      </c>
      <c r="AX674" t="s">
        <v>178</v>
      </c>
      <c r="AY674" t="s">
        <v>162</v>
      </c>
      <c r="AZ674" s="197" t="str">
        <f t="shared" si="1786"/>
        <v>DIS_Standard_413</v>
      </c>
      <c r="BA674">
        <v>413</v>
      </c>
      <c r="BB674">
        <f>VLOOKUP($BA674,'[2]Standard DIS'!$Q$1:$X$542,4,FALSE)</f>
        <v>0</v>
      </c>
      <c r="BF674">
        <f>VLOOKUP($BA674,'[2]Standard DIS'!$Q$1:$X$542,2,FALSE)</f>
        <v>0.88888888888888884</v>
      </c>
      <c r="BH674">
        <f>VLOOKUP($BA674,'[2]Standard DIS'!$Q$1:$X$542,3,FALSE)</f>
        <v>0.11111111111111116</v>
      </c>
      <c r="BI674" s="77">
        <f t="shared" si="1693"/>
        <v>1</v>
      </c>
      <c r="BJ674" s="77">
        <f t="shared" si="1694"/>
        <v>6.3149999999999984E-2</v>
      </c>
      <c r="BK674" s="77">
        <f t="shared" si="1787"/>
        <v>5.1160591879111372E-3</v>
      </c>
      <c r="BL674" s="79">
        <v>0</v>
      </c>
      <c r="BM674" s="77">
        <f t="shared" si="1708"/>
        <v>0</v>
      </c>
      <c r="BN674" s="77">
        <f t="shared" si="1709"/>
        <v>0</v>
      </c>
      <c r="BO674" s="77">
        <f t="shared" si="1710"/>
        <v>2.5000000000000001E-3</v>
      </c>
      <c r="BP674" s="77">
        <f t="shared" si="1711"/>
        <v>2.0809499864316017E-4</v>
      </c>
    </row>
    <row r="675" spans="1:68">
      <c r="A675" t="s">
        <v>175</v>
      </c>
      <c r="B675" t="s">
        <v>179</v>
      </c>
      <c r="C675" s="197" t="str">
        <f t="shared" si="1752"/>
        <v>Lifecycle_Dynamic_412</v>
      </c>
      <c r="D675">
        <v>412</v>
      </c>
      <c r="E675">
        <f>VLOOKUP($D675,'[2]LC Dynamic'!$Q$2:$U$542,2,FALSE)</f>
        <v>0</v>
      </c>
      <c r="F675">
        <f>VLOOKUP($D675,'[2]LC Dynamic'!$Q$2:$U$542,3,FALSE)</f>
        <v>0</v>
      </c>
      <c r="G675">
        <f>VLOOKUP($D675,'[2]LC Dynamic'!$Q$2:$U$542,4,FALSE)</f>
        <v>0.308</v>
      </c>
      <c r="H675">
        <f>VLOOKUP($D675,'[2]LC Dynamic'!$Q$2:$U$542,5,FALSE)</f>
        <v>0.69199999999999995</v>
      </c>
      <c r="I675" s="77">
        <f t="shared" ref="I675:I738" si="1968">SUM(E675:H675)</f>
        <v>1</v>
      </c>
      <c r="J675" s="77">
        <f t="shared" ref="J675:J738" si="1969">SUMPRODUCT($E$1:$H$1,E675:H675)</f>
        <v>6.9728499999999985E-2</v>
      </c>
      <c r="K675" s="77">
        <f t="shared" si="1759"/>
        <v>5.632878498097682E-3</v>
      </c>
      <c r="L675" s="76">
        <v>0</v>
      </c>
      <c r="M675" s="77">
        <f t="shared" si="1695"/>
        <v>0</v>
      </c>
      <c r="N675" s="77">
        <f t="shared" si="1696"/>
        <v>0</v>
      </c>
      <c r="O675" s="77">
        <f t="shared" si="1697"/>
        <v>5.6775999999999997E-3</v>
      </c>
      <c r="P675" s="77">
        <f t="shared" si="1698"/>
        <v>4.7436902124819991E-4</v>
      </c>
      <c r="R675" t="s">
        <v>177</v>
      </c>
      <c r="S675" t="s">
        <v>179</v>
      </c>
      <c r="T675" s="197" t="str">
        <f t="shared" si="1753"/>
        <v>Autopilot_Dynamic_412</v>
      </c>
      <c r="U675">
        <v>412</v>
      </c>
      <c r="V675">
        <f>VLOOKUP($U675,'[2]AP Dynamic'!$Q$1:$T$542,2,FALSE)</f>
        <v>0.88888888888888884</v>
      </c>
      <c r="W675">
        <f>VLOOKUP($U675,'[2]AP Dynamic'!$Q$1:$T$542,3,FALSE)</f>
        <v>0.11111111111111116</v>
      </c>
      <c r="X675">
        <f>VLOOKUP($U675,'[2]AP Dynamic'!$Q$1:$T$542,4,FALSE)</f>
        <v>0</v>
      </c>
      <c r="Y675" s="77">
        <f t="shared" si="1754"/>
        <v>1</v>
      </c>
      <c r="Z675" s="77">
        <f t="shared" si="1760"/>
        <v>6.3149999999999984E-2</v>
      </c>
      <c r="AA675" s="77">
        <f t="shared" si="1761"/>
        <v>5.1160591879111372E-3</v>
      </c>
      <c r="AB675" s="79">
        <v>1</v>
      </c>
      <c r="AC675" s="77">
        <f t="shared" si="1699"/>
        <v>8.277777777777778E-3</v>
      </c>
      <c r="AD675" s="77">
        <f t="shared" ref="AD675" si="1970">1-(1-AC675)^(1/12)</f>
        <v>6.9244588451522482E-4</v>
      </c>
      <c r="AE675" s="77">
        <f t="shared" si="1701"/>
        <v>2.5000000000000001E-3</v>
      </c>
      <c r="AF675" s="77">
        <f t="shared" ref="AF675" si="1971">1-(1-AE675)^(1/12)</f>
        <v>2.0857243058891584E-4</v>
      </c>
      <c r="AH675" t="s">
        <v>175</v>
      </c>
      <c r="AI675" t="s">
        <v>179</v>
      </c>
      <c r="AJ675" s="197" t="str">
        <f t="shared" ref="AJ675:AJ738" si="1972">AH675&amp;"_"&amp;AI675&amp;"_"&amp;AK675</f>
        <v>Lifecycle_Dynamic_412</v>
      </c>
      <c r="AK675">
        <v>412</v>
      </c>
      <c r="AL675">
        <f>VLOOKUP($U675,[2]Standard_Dynamic!$Q$1:$T$542,2,FALSE)</f>
        <v>0.88888888888888884</v>
      </c>
      <c r="AM675">
        <f>VLOOKUP($U675,[2]Standard_Dynamic!$Q$1:$T$542,3,FALSE)</f>
        <v>0.11111111111111116</v>
      </c>
      <c r="AN675">
        <f>VLOOKUP($U675,[2]Standard_Dynamic!$Q$1:$T$542,4,FALSE)</f>
        <v>0</v>
      </c>
      <c r="AO675" s="77">
        <f t="shared" ref="AO675:AO738" si="1973">SUM(AL675:AN675)</f>
        <v>1</v>
      </c>
      <c r="AP675" s="77">
        <f t="shared" si="1703"/>
        <v>6.3149999999999984E-2</v>
      </c>
      <c r="AQ675" s="77">
        <f t="shared" ref="AQ675:AQ738" si="1974">(1+AP675)^(1/12)-1</f>
        <v>5.1160591879111372E-3</v>
      </c>
      <c r="AR675" s="79">
        <v>0</v>
      </c>
      <c r="AS675" s="77">
        <f t="shared" si="1704"/>
        <v>0</v>
      </c>
      <c r="AT675" s="77">
        <f t="shared" ref="AT675" si="1975">1-(1-AS675)^(1/12)</f>
        <v>0</v>
      </c>
      <c r="AU675" s="77">
        <f t="shared" si="1706"/>
        <v>2.5000000000000001E-3</v>
      </c>
      <c r="AV675" s="77">
        <f t="shared" ref="AV675" si="1976">1-(1-AU675)^(1/12)</f>
        <v>2.0857243058891584E-4</v>
      </c>
      <c r="AX675" t="s">
        <v>178</v>
      </c>
      <c r="AY675" t="s">
        <v>162</v>
      </c>
      <c r="AZ675" s="197" t="str">
        <f t="shared" si="1786"/>
        <v>DIS_Standard_412</v>
      </c>
      <c r="BA675">
        <v>412</v>
      </c>
      <c r="BB675">
        <f>VLOOKUP($BA675,'[2]Standard DIS'!$Q$1:$X$542,4,FALSE)</f>
        <v>0</v>
      </c>
      <c r="BF675">
        <f>VLOOKUP($BA675,'[2]Standard DIS'!$Q$1:$X$542,2,FALSE)</f>
        <v>0.88888888888888884</v>
      </c>
      <c r="BH675">
        <f>VLOOKUP($BA675,'[2]Standard DIS'!$Q$1:$X$542,3,FALSE)</f>
        <v>0.11111111111111116</v>
      </c>
      <c r="BI675" s="77">
        <f t="shared" ref="BI675:BI738" si="1977">SUM(BB675:BH675)</f>
        <v>1</v>
      </c>
      <c r="BJ675" s="77">
        <f t="shared" ref="BJ675:BJ738" si="1978">SUMPRODUCT($BB$1:$BH$1,BB675:BH675)</f>
        <v>6.3149999999999984E-2</v>
      </c>
      <c r="BK675" s="77">
        <f t="shared" si="1787"/>
        <v>5.1160591879111372E-3</v>
      </c>
      <c r="BL675" s="79">
        <v>0</v>
      </c>
      <c r="BM675" s="77">
        <f t="shared" si="1708"/>
        <v>0</v>
      </c>
      <c r="BN675" s="77">
        <f t="shared" si="1709"/>
        <v>0</v>
      </c>
      <c r="BO675" s="77">
        <f t="shared" si="1710"/>
        <v>2.5000000000000001E-3</v>
      </c>
      <c r="BP675" s="77">
        <f t="shared" si="1711"/>
        <v>2.0809499864316017E-4</v>
      </c>
    </row>
    <row r="676" spans="1:68">
      <c r="A676" t="s">
        <v>175</v>
      </c>
      <c r="B676" t="s">
        <v>179</v>
      </c>
      <c r="C676" s="197" t="str">
        <f t="shared" si="1752"/>
        <v>Lifecycle_Dynamic_411</v>
      </c>
      <c r="D676">
        <v>411</v>
      </c>
      <c r="E676">
        <f>VLOOKUP($D676,'[2]LC Dynamic'!$Q$2:$U$542,2,FALSE)</f>
        <v>0</v>
      </c>
      <c r="F676">
        <f>VLOOKUP($D676,'[2]LC Dynamic'!$Q$2:$U$542,3,FALSE)</f>
        <v>0</v>
      </c>
      <c r="G676">
        <f>VLOOKUP($D676,'[2]LC Dynamic'!$Q$2:$U$542,4,FALSE)</f>
        <v>0.308</v>
      </c>
      <c r="H676">
        <f>VLOOKUP($D676,'[2]LC Dynamic'!$Q$2:$U$542,5,FALSE)</f>
        <v>0.69199999999999995</v>
      </c>
      <c r="I676" s="77">
        <f t="shared" si="1968"/>
        <v>1</v>
      </c>
      <c r="J676" s="77">
        <f t="shared" si="1969"/>
        <v>6.9728499999999985E-2</v>
      </c>
      <c r="K676" s="77">
        <f t="shared" si="1759"/>
        <v>5.632878498097682E-3</v>
      </c>
      <c r="L676" s="76">
        <v>0</v>
      </c>
      <c r="M676" s="77">
        <f t="shared" ref="M676:M739" si="1979">IF($L676=0,0,SUMPRODUCT($E$3:$H$3,E676:H676))</f>
        <v>0</v>
      </c>
      <c r="N676" s="77">
        <f t="shared" ref="N676:N739" si="1980">1-(1-M676)^(1/12)</f>
        <v>0</v>
      </c>
      <c r="O676" s="77">
        <f t="shared" ref="O676:O739" si="1981">SUMPRODUCT($E$2:$H$2,E676:H676)</f>
        <v>5.6775999999999997E-3</v>
      </c>
      <c r="P676" s="77">
        <f t="shared" ref="P676:P739" si="1982">1-(1-O676)^(1/12)</f>
        <v>4.7436902124819991E-4</v>
      </c>
      <c r="R676" t="s">
        <v>177</v>
      </c>
      <c r="S676" t="s">
        <v>179</v>
      </c>
      <c r="T676" s="197" t="str">
        <f t="shared" si="1753"/>
        <v>Autopilot_Dynamic_411</v>
      </c>
      <c r="U676">
        <v>411</v>
      </c>
      <c r="V676">
        <f>VLOOKUP($U676,'[2]AP Dynamic'!$Q$1:$T$542,2,FALSE)</f>
        <v>0.88888888888888884</v>
      </c>
      <c r="W676">
        <f>VLOOKUP($U676,'[2]AP Dynamic'!$Q$1:$T$542,3,FALSE)</f>
        <v>0.11111111111111116</v>
      </c>
      <c r="X676">
        <f>VLOOKUP($U676,'[2]AP Dynamic'!$Q$1:$T$542,4,FALSE)</f>
        <v>0</v>
      </c>
      <c r="Y676" s="77">
        <f t="shared" si="1754"/>
        <v>1</v>
      </c>
      <c r="Z676" s="77">
        <f t="shared" si="1760"/>
        <v>6.3149999999999984E-2</v>
      </c>
      <c r="AA676" s="77">
        <f t="shared" si="1761"/>
        <v>5.1160591879111372E-3</v>
      </c>
      <c r="AB676" s="79">
        <v>1</v>
      </c>
      <c r="AC676" s="77">
        <f t="shared" ref="AC676:AC739" si="1983">IF($AB676=0,0,SUMPRODUCT($V$3:$X$3,V676:X676))</f>
        <v>8.277777777777778E-3</v>
      </c>
      <c r="AD676" s="77">
        <f t="shared" ref="AD676" si="1984">1-(1-AC676)^(1/12)</f>
        <v>6.9244588451522482E-4</v>
      </c>
      <c r="AE676" s="77">
        <f t="shared" ref="AE676:AE739" si="1985">SUMPRODUCT($V$2:$X$2,V676:X676)</f>
        <v>2.5000000000000001E-3</v>
      </c>
      <c r="AF676" s="77">
        <f t="shared" ref="AF676" si="1986">1-(1-AE676)^(1/12)</f>
        <v>2.0857243058891584E-4</v>
      </c>
      <c r="AH676" t="s">
        <v>175</v>
      </c>
      <c r="AI676" t="s">
        <v>179</v>
      </c>
      <c r="AJ676" s="197" t="str">
        <f t="shared" si="1972"/>
        <v>Lifecycle_Dynamic_411</v>
      </c>
      <c r="AK676">
        <v>411</v>
      </c>
      <c r="AL676">
        <f>VLOOKUP($U676,[2]Standard_Dynamic!$Q$1:$T$542,2,FALSE)</f>
        <v>0.88888888888888884</v>
      </c>
      <c r="AM676">
        <f>VLOOKUP($U676,[2]Standard_Dynamic!$Q$1:$T$542,3,FALSE)</f>
        <v>0.11111111111111116</v>
      </c>
      <c r="AN676">
        <f>VLOOKUP($U676,[2]Standard_Dynamic!$Q$1:$T$542,4,FALSE)</f>
        <v>0</v>
      </c>
      <c r="AO676" s="77">
        <f t="shared" si="1973"/>
        <v>1</v>
      </c>
      <c r="AP676" s="77">
        <f t="shared" ref="AP676:AP739" si="1987">SUMPRODUCT($AL$1:$AN$1,AL676:AN676)</f>
        <v>6.3149999999999984E-2</v>
      </c>
      <c r="AQ676" s="77">
        <f t="shared" si="1974"/>
        <v>5.1160591879111372E-3</v>
      </c>
      <c r="AR676" s="79">
        <v>0</v>
      </c>
      <c r="AS676" s="77">
        <f t="shared" ref="AS676:AS739" si="1988">IF(AR676=0,0,SUMPRODUCT($AL$3:$AN$3,AL676:AN676))</f>
        <v>0</v>
      </c>
      <c r="AT676" s="77">
        <f t="shared" ref="AT676" si="1989">1-(1-AS676)^(1/12)</f>
        <v>0</v>
      </c>
      <c r="AU676" s="77">
        <f t="shared" ref="AU676:AU739" si="1990">SUMPRODUCT($AL$2:$AN$2,AL676:AN676)</f>
        <v>2.5000000000000001E-3</v>
      </c>
      <c r="AV676" s="77">
        <f t="shared" ref="AV676" si="1991">1-(1-AU676)^(1/12)</f>
        <v>2.0857243058891584E-4</v>
      </c>
      <c r="AX676" t="s">
        <v>178</v>
      </c>
      <c r="AY676" t="s">
        <v>162</v>
      </c>
      <c r="AZ676" s="197" t="str">
        <f t="shared" si="1786"/>
        <v>DIS_Standard_411</v>
      </c>
      <c r="BA676">
        <v>411</v>
      </c>
      <c r="BB676">
        <f>VLOOKUP($BA676,'[2]Standard DIS'!$Q$1:$X$542,4,FALSE)</f>
        <v>0</v>
      </c>
      <c r="BF676">
        <f>VLOOKUP($BA676,'[2]Standard DIS'!$Q$1:$X$542,2,FALSE)</f>
        <v>0.88888888888888884</v>
      </c>
      <c r="BH676">
        <f>VLOOKUP($BA676,'[2]Standard DIS'!$Q$1:$X$542,3,FALSE)</f>
        <v>0.11111111111111116</v>
      </c>
      <c r="BI676" s="77">
        <f t="shared" si="1977"/>
        <v>1</v>
      </c>
      <c r="BJ676" s="77">
        <f t="shared" si="1978"/>
        <v>6.3149999999999984E-2</v>
      </c>
      <c r="BK676" s="77">
        <f t="shared" si="1787"/>
        <v>5.1160591879111372E-3</v>
      </c>
      <c r="BL676" s="79">
        <v>0</v>
      </c>
      <c r="BM676" s="77">
        <f t="shared" ref="BM676:BM739" si="1992">IF(BL676=0,0,SUMPRODUCT($BB$3:$BH$3,BB676:BH676))</f>
        <v>0</v>
      </c>
      <c r="BN676" s="77">
        <f t="shared" ref="BN676:BN739" si="1993">(1+BM676)^(1/12)-1</f>
        <v>0</v>
      </c>
      <c r="BO676" s="77">
        <f t="shared" ref="BO676:BO739" si="1994">SUMPRODUCT($BB$2:$BH$2,BB676:BH676)</f>
        <v>2.5000000000000001E-3</v>
      </c>
      <c r="BP676" s="77">
        <f t="shared" ref="BP676:BP739" si="1995">(1+BO676)^(1/12)-1</f>
        <v>2.0809499864316017E-4</v>
      </c>
    </row>
    <row r="677" spans="1:68">
      <c r="A677" t="s">
        <v>175</v>
      </c>
      <c r="B677" t="s">
        <v>179</v>
      </c>
      <c r="C677" s="197" t="str">
        <f t="shared" si="1752"/>
        <v>Lifecycle_Dynamic_410</v>
      </c>
      <c r="D677">
        <v>410</v>
      </c>
      <c r="E677">
        <f>VLOOKUP($D677,'[2]LC Dynamic'!$Q$2:$U$542,2,FALSE)</f>
        <v>0</v>
      </c>
      <c r="F677">
        <f>VLOOKUP($D677,'[2]LC Dynamic'!$Q$2:$U$542,3,FALSE)</f>
        <v>0</v>
      </c>
      <c r="G677">
        <f>VLOOKUP($D677,'[2]LC Dynamic'!$Q$2:$U$542,4,FALSE)</f>
        <v>0.308</v>
      </c>
      <c r="H677">
        <f>VLOOKUP($D677,'[2]LC Dynamic'!$Q$2:$U$542,5,FALSE)</f>
        <v>0.69199999999999995</v>
      </c>
      <c r="I677" s="77">
        <f t="shared" si="1968"/>
        <v>1</v>
      </c>
      <c r="J677" s="77">
        <f t="shared" si="1969"/>
        <v>6.9728499999999985E-2</v>
      </c>
      <c r="K677" s="77">
        <f t="shared" si="1759"/>
        <v>5.632878498097682E-3</v>
      </c>
      <c r="L677" s="76">
        <v>0</v>
      </c>
      <c r="M677" s="77">
        <f t="shared" si="1979"/>
        <v>0</v>
      </c>
      <c r="N677" s="77">
        <f t="shared" si="1980"/>
        <v>0</v>
      </c>
      <c r="O677" s="77">
        <f t="shared" si="1981"/>
        <v>5.6775999999999997E-3</v>
      </c>
      <c r="P677" s="77">
        <f t="shared" si="1982"/>
        <v>4.7436902124819991E-4</v>
      </c>
      <c r="R677" t="s">
        <v>177</v>
      </c>
      <c r="S677" t="s">
        <v>179</v>
      </c>
      <c r="T677" s="197" t="str">
        <f t="shared" si="1753"/>
        <v>Autopilot_Dynamic_410</v>
      </c>
      <c r="U677">
        <v>410</v>
      </c>
      <c r="V677">
        <f>VLOOKUP($U677,'[2]AP Dynamic'!$Q$1:$T$542,2,FALSE)</f>
        <v>0.88888888888888884</v>
      </c>
      <c r="W677">
        <f>VLOOKUP($U677,'[2]AP Dynamic'!$Q$1:$T$542,3,FALSE)</f>
        <v>0.11111111111111116</v>
      </c>
      <c r="X677">
        <f>VLOOKUP($U677,'[2]AP Dynamic'!$Q$1:$T$542,4,FALSE)</f>
        <v>0</v>
      </c>
      <c r="Y677" s="77">
        <f t="shared" si="1754"/>
        <v>1</v>
      </c>
      <c r="Z677" s="77">
        <f t="shared" si="1760"/>
        <v>6.3149999999999984E-2</v>
      </c>
      <c r="AA677" s="77">
        <f t="shared" si="1761"/>
        <v>5.1160591879111372E-3</v>
      </c>
      <c r="AB677" s="79">
        <v>1</v>
      </c>
      <c r="AC677" s="77">
        <f t="shared" si="1983"/>
        <v>8.277777777777778E-3</v>
      </c>
      <c r="AD677" s="77">
        <f t="shared" ref="AD677" si="1996">1-(1-AC677)^(1/12)</f>
        <v>6.9244588451522482E-4</v>
      </c>
      <c r="AE677" s="77">
        <f t="shared" si="1985"/>
        <v>2.5000000000000001E-3</v>
      </c>
      <c r="AF677" s="77">
        <f t="shared" ref="AF677" si="1997">1-(1-AE677)^(1/12)</f>
        <v>2.0857243058891584E-4</v>
      </c>
      <c r="AH677" t="s">
        <v>175</v>
      </c>
      <c r="AI677" t="s">
        <v>179</v>
      </c>
      <c r="AJ677" s="197" t="str">
        <f t="shared" si="1972"/>
        <v>Lifecycle_Dynamic_410</v>
      </c>
      <c r="AK677">
        <v>410</v>
      </c>
      <c r="AL677">
        <f>VLOOKUP($U677,[2]Standard_Dynamic!$Q$1:$T$542,2,FALSE)</f>
        <v>0.88888888888888884</v>
      </c>
      <c r="AM677">
        <f>VLOOKUP($U677,[2]Standard_Dynamic!$Q$1:$T$542,3,FALSE)</f>
        <v>0.11111111111111116</v>
      </c>
      <c r="AN677">
        <f>VLOOKUP($U677,[2]Standard_Dynamic!$Q$1:$T$542,4,FALSE)</f>
        <v>0</v>
      </c>
      <c r="AO677" s="77">
        <f t="shared" si="1973"/>
        <v>1</v>
      </c>
      <c r="AP677" s="77">
        <f t="shared" si="1987"/>
        <v>6.3149999999999984E-2</v>
      </c>
      <c r="AQ677" s="77">
        <f t="shared" si="1974"/>
        <v>5.1160591879111372E-3</v>
      </c>
      <c r="AR677" s="79">
        <v>0</v>
      </c>
      <c r="AS677" s="77">
        <f t="shared" si="1988"/>
        <v>0</v>
      </c>
      <c r="AT677" s="77">
        <f t="shared" ref="AT677" si="1998">1-(1-AS677)^(1/12)</f>
        <v>0</v>
      </c>
      <c r="AU677" s="77">
        <f t="shared" si="1990"/>
        <v>2.5000000000000001E-3</v>
      </c>
      <c r="AV677" s="77">
        <f t="shared" ref="AV677" si="1999">1-(1-AU677)^(1/12)</f>
        <v>2.0857243058891584E-4</v>
      </c>
      <c r="AX677" t="s">
        <v>178</v>
      </c>
      <c r="AY677" t="s">
        <v>162</v>
      </c>
      <c r="AZ677" s="197" t="str">
        <f t="shared" si="1786"/>
        <v>DIS_Standard_410</v>
      </c>
      <c r="BA677">
        <v>410</v>
      </c>
      <c r="BB677">
        <f>VLOOKUP($BA677,'[2]Standard DIS'!$Q$1:$X$542,4,FALSE)</f>
        <v>0</v>
      </c>
      <c r="BF677">
        <f>VLOOKUP($BA677,'[2]Standard DIS'!$Q$1:$X$542,2,FALSE)</f>
        <v>0.88888888888888884</v>
      </c>
      <c r="BH677">
        <f>VLOOKUP($BA677,'[2]Standard DIS'!$Q$1:$X$542,3,FALSE)</f>
        <v>0.11111111111111116</v>
      </c>
      <c r="BI677" s="77">
        <f t="shared" si="1977"/>
        <v>1</v>
      </c>
      <c r="BJ677" s="77">
        <f t="shared" si="1978"/>
        <v>6.3149999999999984E-2</v>
      </c>
      <c r="BK677" s="77">
        <f t="shared" si="1787"/>
        <v>5.1160591879111372E-3</v>
      </c>
      <c r="BL677" s="79">
        <v>0</v>
      </c>
      <c r="BM677" s="77">
        <f t="shared" si="1992"/>
        <v>0</v>
      </c>
      <c r="BN677" s="77">
        <f t="shared" si="1993"/>
        <v>0</v>
      </c>
      <c r="BO677" s="77">
        <f t="shared" si="1994"/>
        <v>2.5000000000000001E-3</v>
      </c>
      <c r="BP677" s="77">
        <f t="shared" si="1995"/>
        <v>2.0809499864316017E-4</v>
      </c>
    </row>
    <row r="678" spans="1:68">
      <c r="A678" t="s">
        <v>175</v>
      </c>
      <c r="B678" t="s">
        <v>179</v>
      </c>
      <c r="C678" s="197" t="str">
        <f t="shared" si="1752"/>
        <v>Lifecycle_Dynamic_409</v>
      </c>
      <c r="D678">
        <v>409</v>
      </c>
      <c r="E678">
        <f>VLOOKUP($D678,'[2]LC Dynamic'!$Q$2:$U$542,2,FALSE)</f>
        <v>0</v>
      </c>
      <c r="F678">
        <f>VLOOKUP($D678,'[2]LC Dynamic'!$Q$2:$U$542,3,FALSE)</f>
        <v>0</v>
      </c>
      <c r="G678">
        <f>VLOOKUP($D678,'[2]LC Dynamic'!$Q$2:$U$542,4,FALSE)</f>
        <v>0.308</v>
      </c>
      <c r="H678">
        <f>VLOOKUP($D678,'[2]LC Dynamic'!$Q$2:$U$542,5,FALSE)</f>
        <v>0.69199999999999995</v>
      </c>
      <c r="I678" s="77">
        <f t="shared" si="1968"/>
        <v>1</v>
      </c>
      <c r="J678" s="77">
        <f t="shared" si="1969"/>
        <v>6.9728499999999985E-2</v>
      </c>
      <c r="K678" s="77">
        <f t="shared" si="1759"/>
        <v>5.632878498097682E-3</v>
      </c>
      <c r="L678" s="76">
        <v>0</v>
      </c>
      <c r="M678" s="77">
        <f t="shared" si="1979"/>
        <v>0</v>
      </c>
      <c r="N678" s="77">
        <f t="shared" si="1980"/>
        <v>0</v>
      </c>
      <c r="O678" s="77">
        <f t="shared" si="1981"/>
        <v>5.6775999999999997E-3</v>
      </c>
      <c r="P678" s="77">
        <f t="shared" si="1982"/>
        <v>4.7436902124819991E-4</v>
      </c>
      <c r="R678" t="s">
        <v>177</v>
      </c>
      <c r="S678" t="s">
        <v>179</v>
      </c>
      <c r="T678" s="197" t="str">
        <f t="shared" si="1753"/>
        <v>Autopilot_Dynamic_409</v>
      </c>
      <c r="U678">
        <v>409</v>
      </c>
      <c r="V678">
        <f>VLOOKUP($U678,'[2]AP Dynamic'!$Q$1:$T$542,2,FALSE)</f>
        <v>0.88888888888888884</v>
      </c>
      <c r="W678">
        <f>VLOOKUP($U678,'[2]AP Dynamic'!$Q$1:$T$542,3,FALSE)</f>
        <v>0.11111111111111116</v>
      </c>
      <c r="X678">
        <f>VLOOKUP($U678,'[2]AP Dynamic'!$Q$1:$T$542,4,FALSE)</f>
        <v>0</v>
      </c>
      <c r="Y678" s="77">
        <f t="shared" si="1754"/>
        <v>1</v>
      </c>
      <c r="Z678" s="77">
        <f t="shared" si="1760"/>
        <v>6.3149999999999984E-2</v>
      </c>
      <c r="AA678" s="77">
        <f t="shared" si="1761"/>
        <v>5.1160591879111372E-3</v>
      </c>
      <c r="AB678" s="79">
        <v>1</v>
      </c>
      <c r="AC678" s="77">
        <f t="shared" si="1983"/>
        <v>8.277777777777778E-3</v>
      </c>
      <c r="AD678" s="77">
        <f t="shared" ref="AD678" si="2000">1-(1-AC678)^(1/12)</f>
        <v>6.9244588451522482E-4</v>
      </c>
      <c r="AE678" s="77">
        <f t="shared" si="1985"/>
        <v>2.5000000000000001E-3</v>
      </c>
      <c r="AF678" s="77">
        <f t="shared" ref="AF678" si="2001">1-(1-AE678)^(1/12)</f>
        <v>2.0857243058891584E-4</v>
      </c>
      <c r="AH678" t="s">
        <v>175</v>
      </c>
      <c r="AI678" t="s">
        <v>179</v>
      </c>
      <c r="AJ678" s="197" t="str">
        <f t="shared" si="1972"/>
        <v>Lifecycle_Dynamic_409</v>
      </c>
      <c r="AK678">
        <v>409</v>
      </c>
      <c r="AL678">
        <f>VLOOKUP($U678,[2]Standard_Dynamic!$Q$1:$T$542,2,FALSE)</f>
        <v>0.88888888888888884</v>
      </c>
      <c r="AM678">
        <f>VLOOKUP($U678,[2]Standard_Dynamic!$Q$1:$T$542,3,FALSE)</f>
        <v>0.11111111111111116</v>
      </c>
      <c r="AN678">
        <f>VLOOKUP($U678,[2]Standard_Dynamic!$Q$1:$T$542,4,FALSE)</f>
        <v>0</v>
      </c>
      <c r="AO678" s="77">
        <f t="shared" si="1973"/>
        <v>1</v>
      </c>
      <c r="AP678" s="77">
        <f t="shared" si="1987"/>
        <v>6.3149999999999984E-2</v>
      </c>
      <c r="AQ678" s="77">
        <f t="shared" si="1974"/>
        <v>5.1160591879111372E-3</v>
      </c>
      <c r="AR678" s="79">
        <v>0</v>
      </c>
      <c r="AS678" s="77">
        <f t="shared" si="1988"/>
        <v>0</v>
      </c>
      <c r="AT678" s="77">
        <f t="shared" ref="AT678" si="2002">1-(1-AS678)^(1/12)</f>
        <v>0</v>
      </c>
      <c r="AU678" s="77">
        <f t="shared" si="1990"/>
        <v>2.5000000000000001E-3</v>
      </c>
      <c r="AV678" s="77">
        <f t="shared" ref="AV678" si="2003">1-(1-AU678)^(1/12)</f>
        <v>2.0857243058891584E-4</v>
      </c>
      <c r="AX678" t="s">
        <v>178</v>
      </c>
      <c r="AY678" t="s">
        <v>162</v>
      </c>
      <c r="AZ678" s="197" t="str">
        <f t="shared" si="1786"/>
        <v>DIS_Standard_409</v>
      </c>
      <c r="BA678">
        <v>409</v>
      </c>
      <c r="BB678">
        <f>VLOOKUP($BA678,'[2]Standard DIS'!$Q$1:$X$542,4,FALSE)</f>
        <v>0</v>
      </c>
      <c r="BF678">
        <f>VLOOKUP($BA678,'[2]Standard DIS'!$Q$1:$X$542,2,FALSE)</f>
        <v>0.88888888888888884</v>
      </c>
      <c r="BH678">
        <f>VLOOKUP($BA678,'[2]Standard DIS'!$Q$1:$X$542,3,FALSE)</f>
        <v>0.11111111111111116</v>
      </c>
      <c r="BI678" s="77">
        <f t="shared" si="1977"/>
        <v>1</v>
      </c>
      <c r="BJ678" s="77">
        <f t="shared" si="1978"/>
        <v>6.3149999999999984E-2</v>
      </c>
      <c r="BK678" s="77">
        <f t="shared" si="1787"/>
        <v>5.1160591879111372E-3</v>
      </c>
      <c r="BL678" s="79">
        <v>0</v>
      </c>
      <c r="BM678" s="77">
        <f t="shared" si="1992"/>
        <v>0</v>
      </c>
      <c r="BN678" s="77">
        <f t="shared" si="1993"/>
        <v>0</v>
      </c>
      <c r="BO678" s="77">
        <f t="shared" si="1994"/>
        <v>2.5000000000000001E-3</v>
      </c>
      <c r="BP678" s="77">
        <f t="shared" si="1995"/>
        <v>2.0809499864316017E-4</v>
      </c>
    </row>
    <row r="679" spans="1:68">
      <c r="A679" t="s">
        <v>175</v>
      </c>
      <c r="B679" t="s">
        <v>179</v>
      </c>
      <c r="C679" s="197" t="str">
        <f t="shared" si="1752"/>
        <v>Lifecycle_Dynamic_408</v>
      </c>
      <c r="D679">
        <v>408</v>
      </c>
      <c r="E679">
        <f>VLOOKUP($D679,'[2]LC Dynamic'!$Q$2:$U$542,2,FALSE)</f>
        <v>0</v>
      </c>
      <c r="F679">
        <f>VLOOKUP($D679,'[2]LC Dynamic'!$Q$2:$U$542,3,FALSE)</f>
        <v>0</v>
      </c>
      <c r="G679">
        <f>VLOOKUP($D679,'[2]LC Dynamic'!$Q$2:$U$542,4,FALSE)</f>
        <v>0.308</v>
      </c>
      <c r="H679">
        <f>VLOOKUP($D679,'[2]LC Dynamic'!$Q$2:$U$542,5,FALSE)</f>
        <v>0.69199999999999995</v>
      </c>
      <c r="I679" s="77">
        <f t="shared" si="1968"/>
        <v>1</v>
      </c>
      <c r="J679" s="77">
        <f t="shared" si="1969"/>
        <v>6.9728499999999985E-2</v>
      </c>
      <c r="K679" s="77">
        <f t="shared" si="1759"/>
        <v>5.632878498097682E-3</v>
      </c>
      <c r="L679" s="76">
        <v>0</v>
      </c>
      <c r="M679" s="77">
        <f t="shared" si="1979"/>
        <v>0</v>
      </c>
      <c r="N679" s="77">
        <f t="shared" si="1980"/>
        <v>0</v>
      </c>
      <c r="O679" s="77">
        <f t="shared" si="1981"/>
        <v>5.6775999999999997E-3</v>
      </c>
      <c r="P679" s="77">
        <f t="shared" si="1982"/>
        <v>4.7436902124819991E-4</v>
      </c>
      <c r="R679" t="s">
        <v>177</v>
      </c>
      <c r="S679" t="s">
        <v>179</v>
      </c>
      <c r="T679" s="197" t="str">
        <f t="shared" si="1753"/>
        <v>Autopilot_Dynamic_408</v>
      </c>
      <c r="U679">
        <v>408</v>
      </c>
      <c r="V679">
        <f>VLOOKUP($U679,'[2]AP Dynamic'!$Q$1:$T$542,2,FALSE)</f>
        <v>0.88888888888888884</v>
      </c>
      <c r="W679">
        <f>VLOOKUP($U679,'[2]AP Dynamic'!$Q$1:$T$542,3,FALSE)</f>
        <v>0.11111111111111116</v>
      </c>
      <c r="X679">
        <f>VLOOKUP($U679,'[2]AP Dynamic'!$Q$1:$T$542,4,FALSE)</f>
        <v>0</v>
      </c>
      <c r="Y679" s="77">
        <f t="shared" si="1754"/>
        <v>1</v>
      </c>
      <c r="Z679" s="77">
        <f t="shared" si="1760"/>
        <v>6.3149999999999984E-2</v>
      </c>
      <c r="AA679" s="77">
        <f t="shared" si="1761"/>
        <v>5.1160591879111372E-3</v>
      </c>
      <c r="AB679" s="79">
        <v>1</v>
      </c>
      <c r="AC679" s="77">
        <f t="shared" si="1983"/>
        <v>8.277777777777778E-3</v>
      </c>
      <c r="AD679" s="77">
        <f t="shared" ref="AD679" si="2004">1-(1-AC679)^(1/12)</f>
        <v>6.9244588451522482E-4</v>
      </c>
      <c r="AE679" s="77">
        <f t="shared" si="1985"/>
        <v>2.5000000000000001E-3</v>
      </c>
      <c r="AF679" s="77">
        <f t="shared" ref="AF679" si="2005">1-(1-AE679)^(1/12)</f>
        <v>2.0857243058891584E-4</v>
      </c>
      <c r="AH679" t="s">
        <v>175</v>
      </c>
      <c r="AI679" t="s">
        <v>179</v>
      </c>
      <c r="AJ679" s="197" t="str">
        <f t="shared" si="1972"/>
        <v>Lifecycle_Dynamic_408</v>
      </c>
      <c r="AK679">
        <v>408</v>
      </c>
      <c r="AL679">
        <f>VLOOKUP($U679,[2]Standard_Dynamic!$Q$1:$T$542,2,FALSE)</f>
        <v>0.88888888888888884</v>
      </c>
      <c r="AM679">
        <f>VLOOKUP($U679,[2]Standard_Dynamic!$Q$1:$T$542,3,FALSE)</f>
        <v>0.11111111111111116</v>
      </c>
      <c r="AN679">
        <f>VLOOKUP($U679,[2]Standard_Dynamic!$Q$1:$T$542,4,FALSE)</f>
        <v>0</v>
      </c>
      <c r="AO679" s="77">
        <f t="shared" si="1973"/>
        <v>1</v>
      </c>
      <c r="AP679" s="77">
        <f t="shared" si="1987"/>
        <v>6.3149999999999984E-2</v>
      </c>
      <c r="AQ679" s="77">
        <f t="shared" si="1974"/>
        <v>5.1160591879111372E-3</v>
      </c>
      <c r="AR679" s="79">
        <v>0</v>
      </c>
      <c r="AS679" s="77">
        <f t="shared" si="1988"/>
        <v>0</v>
      </c>
      <c r="AT679" s="77">
        <f t="shared" ref="AT679" si="2006">1-(1-AS679)^(1/12)</f>
        <v>0</v>
      </c>
      <c r="AU679" s="77">
        <f t="shared" si="1990"/>
        <v>2.5000000000000001E-3</v>
      </c>
      <c r="AV679" s="77">
        <f t="shared" ref="AV679" si="2007">1-(1-AU679)^(1/12)</f>
        <v>2.0857243058891584E-4</v>
      </c>
      <c r="AX679" t="s">
        <v>178</v>
      </c>
      <c r="AY679" t="s">
        <v>162</v>
      </c>
      <c r="AZ679" s="197" t="str">
        <f t="shared" si="1786"/>
        <v>DIS_Standard_408</v>
      </c>
      <c r="BA679">
        <v>408</v>
      </c>
      <c r="BB679">
        <f>VLOOKUP($BA679,'[2]Standard DIS'!$Q$1:$X$542,4,FALSE)</f>
        <v>0</v>
      </c>
      <c r="BF679">
        <f>VLOOKUP($BA679,'[2]Standard DIS'!$Q$1:$X$542,2,FALSE)</f>
        <v>0.88888888888888884</v>
      </c>
      <c r="BH679">
        <f>VLOOKUP($BA679,'[2]Standard DIS'!$Q$1:$X$542,3,FALSE)</f>
        <v>0.11111111111111116</v>
      </c>
      <c r="BI679" s="77">
        <f t="shared" si="1977"/>
        <v>1</v>
      </c>
      <c r="BJ679" s="77">
        <f t="shared" si="1978"/>
        <v>6.3149999999999984E-2</v>
      </c>
      <c r="BK679" s="77">
        <f t="shared" si="1787"/>
        <v>5.1160591879111372E-3</v>
      </c>
      <c r="BL679" s="79">
        <v>0</v>
      </c>
      <c r="BM679" s="77">
        <f t="shared" si="1992"/>
        <v>0</v>
      </c>
      <c r="BN679" s="77">
        <f t="shared" si="1993"/>
        <v>0</v>
      </c>
      <c r="BO679" s="77">
        <f t="shared" si="1994"/>
        <v>2.5000000000000001E-3</v>
      </c>
      <c r="BP679" s="77">
        <f t="shared" si="1995"/>
        <v>2.0809499864316017E-4</v>
      </c>
    </row>
    <row r="680" spans="1:68">
      <c r="A680" t="s">
        <v>175</v>
      </c>
      <c r="B680" t="s">
        <v>179</v>
      </c>
      <c r="C680" s="197" t="str">
        <f t="shared" si="1752"/>
        <v>Lifecycle_Dynamic_407</v>
      </c>
      <c r="D680">
        <v>407</v>
      </c>
      <c r="E680">
        <f>VLOOKUP($D680,'[2]LC Dynamic'!$Q$2:$U$542,2,FALSE)</f>
        <v>0</v>
      </c>
      <c r="F680">
        <f>VLOOKUP($D680,'[2]LC Dynamic'!$Q$2:$U$542,3,FALSE)</f>
        <v>0</v>
      </c>
      <c r="G680">
        <f>VLOOKUP($D680,'[2]LC Dynamic'!$Q$2:$U$542,4,FALSE)</f>
        <v>0.308</v>
      </c>
      <c r="H680">
        <f>VLOOKUP($D680,'[2]LC Dynamic'!$Q$2:$U$542,5,FALSE)</f>
        <v>0.69199999999999995</v>
      </c>
      <c r="I680" s="77">
        <f t="shared" si="1968"/>
        <v>1</v>
      </c>
      <c r="J680" s="77">
        <f t="shared" si="1969"/>
        <v>6.9728499999999985E-2</v>
      </c>
      <c r="K680" s="77">
        <f t="shared" si="1759"/>
        <v>5.632878498097682E-3</v>
      </c>
      <c r="L680" s="76">
        <v>0</v>
      </c>
      <c r="M680" s="77">
        <f t="shared" si="1979"/>
        <v>0</v>
      </c>
      <c r="N680" s="77">
        <f t="shared" si="1980"/>
        <v>0</v>
      </c>
      <c r="O680" s="77">
        <f t="shared" si="1981"/>
        <v>5.6775999999999997E-3</v>
      </c>
      <c r="P680" s="77">
        <f t="shared" si="1982"/>
        <v>4.7436902124819991E-4</v>
      </c>
      <c r="R680" t="s">
        <v>177</v>
      </c>
      <c r="S680" t="s">
        <v>179</v>
      </c>
      <c r="T680" s="197" t="str">
        <f t="shared" si="1753"/>
        <v>Autopilot_Dynamic_407</v>
      </c>
      <c r="U680">
        <v>407</v>
      </c>
      <c r="V680">
        <f>VLOOKUP($U680,'[2]AP Dynamic'!$Q$1:$T$542,2,FALSE)</f>
        <v>0.88888888888888884</v>
      </c>
      <c r="W680">
        <f>VLOOKUP($U680,'[2]AP Dynamic'!$Q$1:$T$542,3,FALSE)</f>
        <v>0.11111111111111116</v>
      </c>
      <c r="X680">
        <f>VLOOKUP($U680,'[2]AP Dynamic'!$Q$1:$T$542,4,FALSE)</f>
        <v>0</v>
      </c>
      <c r="Y680" s="77">
        <f t="shared" si="1754"/>
        <v>1</v>
      </c>
      <c r="Z680" s="77">
        <f t="shared" si="1760"/>
        <v>6.3149999999999984E-2</v>
      </c>
      <c r="AA680" s="77">
        <f t="shared" si="1761"/>
        <v>5.1160591879111372E-3</v>
      </c>
      <c r="AB680" s="79">
        <v>1</v>
      </c>
      <c r="AC680" s="77">
        <f t="shared" si="1983"/>
        <v>8.277777777777778E-3</v>
      </c>
      <c r="AD680" s="77">
        <f t="shared" ref="AD680" si="2008">1-(1-AC680)^(1/12)</f>
        <v>6.9244588451522482E-4</v>
      </c>
      <c r="AE680" s="77">
        <f t="shared" si="1985"/>
        <v>2.5000000000000001E-3</v>
      </c>
      <c r="AF680" s="77">
        <f t="shared" ref="AF680" si="2009">1-(1-AE680)^(1/12)</f>
        <v>2.0857243058891584E-4</v>
      </c>
      <c r="AH680" t="s">
        <v>175</v>
      </c>
      <c r="AI680" t="s">
        <v>179</v>
      </c>
      <c r="AJ680" s="197" t="str">
        <f t="shared" si="1972"/>
        <v>Lifecycle_Dynamic_407</v>
      </c>
      <c r="AK680">
        <v>407</v>
      </c>
      <c r="AL680">
        <f>VLOOKUP($U680,[2]Standard_Dynamic!$Q$1:$T$542,2,FALSE)</f>
        <v>0.88888888888888884</v>
      </c>
      <c r="AM680">
        <f>VLOOKUP($U680,[2]Standard_Dynamic!$Q$1:$T$542,3,FALSE)</f>
        <v>0.11111111111111116</v>
      </c>
      <c r="AN680">
        <f>VLOOKUP($U680,[2]Standard_Dynamic!$Q$1:$T$542,4,FALSE)</f>
        <v>0</v>
      </c>
      <c r="AO680" s="77">
        <f t="shared" si="1973"/>
        <v>1</v>
      </c>
      <c r="AP680" s="77">
        <f t="shared" si="1987"/>
        <v>6.3149999999999984E-2</v>
      </c>
      <c r="AQ680" s="77">
        <f t="shared" si="1974"/>
        <v>5.1160591879111372E-3</v>
      </c>
      <c r="AR680" s="79">
        <v>0</v>
      </c>
      <c r="AS680" s="77">
        <f t="shared" si="1988"/>
        <v>0</v>
      </c>
      <c r="AT680" s="77">
        <f t="shared" ref="AT680" si="2010">1-(1-AS680)^(1/12)</f>
        <v>0</v>
      </c>
      <c r="AU680" s="77">
        <f t="shared" si="1990"/>
        <v>2.5000000000000001E-3</v>
      </c>
      <c r="AV680" s="77">
        <f t="shared" ref="AV680" si="2011">1-(1-AU680)^(1/12)</f>
        <v>2.0857243058891584E-4</v>
      </c>
      <c r="AX680" t="s">
        <v>178</v>
      </c>
      <c r="AY680" t="s">
        <v>162</v>
      </c>
      <c r="AZ680" s="197" t="str">
        <f t="shared" si="1786"/>
        <v>DIS_Standard_407</v>
      </c>
      <c r="BA680">
        <v>407</v>
      </c>
      <c r="BB680">
        <f>VLOOKUP($BA680,'[2]Standard DIS'!$Q$1:$X$542,4,FALSE)</f>
        <v>0</v>
      </c>
      <c r="BF680">
        <f>VLOOKUP($BA680,'[2]Standard DIS'!$Q$1:$X$542,2,FALSE)</f>
        <v>0.88888888888888884</v>
      </c>
      <c r="BH680">
        <f>VLOOKUP($BA680,'[2]Standard DIS'!$Q$1:$X$542,3,FALSE)</f>
        <v>0.11111111111111116</v>
      </c>
      <c r="BI680" s="77">
        <f t="shared" si="1977"/>
        <v>1</v>
      </c>
      <c r="BJ680" s="77">
        <f t="shared" si="1978"/>
        <v>6.3149999999999984E-2</v>
      </c>
      <c r="BK680" s="77">
        <f t="shared" si="1787"/>
        <v>5.1160591879111372E-3</v>
      </c>
      <c r="BL680" s="79">
        <v>0</v>
      </c>
      <c r="BM680" s="77">
        <f t="shared" si="1992"/>
        <v>0</v>
      </c>
      <c r="BN680" s="77">
        <f t="shared" si="1993"/>
        <v>0</v>
      </c>
      <c r="BO680" s="77">
        <f t="shared" si="1994"/>
        <v>2.5000000000000001E-3</v>
      </c>
      <c r="BP680" s="77">
        <f t="shared" si="1995"/>
        <v>2.0809499864316017E-4</v>
      </c>
    </row>
    <row r="681" spans="1:68">
      <c r="A681" t="s">
        <v>175</v>
      </c>
      <c r="B681" t="s">
        <v>179</v>
      </c>
      <c r="C681" s="197" t="str">
        <f t="shared" si="1752"/>
        <v>Lifecycle_Dynamic_406</v>
      </c>
      <c r="D681">
        <v>406</v>
      </c>
      <c r="E681">
        <f>VLOOKUP($D681,'[2]LC Dynamic'!$Q$2:$U$542,2,FALSE)</f>
        <v>0</v>
      </c>
      <c r="F681">
        <f>VLOOKUP($D681,'[2]LC Dynamic'!$Q$2:$U$542,3,FALSE)</f>
        <v>0</v>
      </c>
      <c r="G681">
        <f>VLOOKUP($D681,'[2]LC Dynamic'!$Q$2:$U$542,4,FALSE)</f>
        <v>0.308</v>
      </c>
      <c r="H681">
        <f>VLOOKUP($D681,'[2]LC Dynamic'!$Q$2:$U$542,5,FALSE)</f>
        <v>0.69199999999999995</v>
      </c>
      <c r="I681" s="77">
        <f t="shared" si="1968"/>
        <v>1</v>
      </c>
      <c r="J681" s="77">
        <f t="shared" si="1969"/>
        <v>6.9728499999999985E-2</v>
      </c>
      <c r="K681" s="77">
        <f t="shared" si="1759"/>
        <v>5.632878498097682E-3</v>
      </c>
      <c r="L681" s="76">
        <v>0</v>
      </c>
      <c r="M681" s="77">
        <f t="shared" si="1979"/>
        <v>0</v>
      </c>
      <c r="N681" s="77">
        <f t="shared" si="1980"/>
        <v>0</v>
      </c>
      <c r="O681" s="77">
        <f t="shared" si="1981"/>
        <v>5.6775999999999997E-3</v>
      </c>
      <c r="P681" s="77">
        <f t="shared" si="1982"/>
        <v>4.7436902124819991E-4</v>
      </c>
      <c r="R681" t="s">
        <v>177</v>
      </c>
      <c r="S681" t="s">
        <v>179</v>
      </c>
      <c r="T681" s="197" t="str">
        <f t="shared" si="1753"/>
        <v>Autopilot_Dynamic_406</v>
      </c>
      <c r="U681">
        <v>406</v>
      </c>
      <c r="V681">
        <f>VLOOKUP($U681,'[2]AP Dynamic'!$Q$1:$T$542,2,FALSE)</f>
        <v>0.88888888888888884</v>
      </c>
      <c r="W681">
        <f>VLOOKUP($U681,'[2]AP Dynamic'!$Q$1:$T$542,3,FALSE)</f>
        <v>0.11111111111111116</v>
      </c>
      <c r="X681">
        <f>VLOOKUP($U681,'[2]AP Dynamic'!$Q$1:$T$542,4,FALSE)</f>
        <v>0</v>
      </c>
      <c r="Y681" s="77">
        <f t="shared" si="1754"/>
        <v>1</v>
      </c>
      <c r="Z681" s="77">
        <f t="shared" si="1760"/>
        <v>6.3149999999999984E-2</v>
      </c>
      <c r="AA681" s="77">
        <f t="shared" si="1761"/>
        <v>5.1160591879111372E-3</v>
      </c>
      <c r="AB681" s="79">
        <v>1</v>
      </c>
      <c r="AC681" s="77">
        <f t="shared" si="1983"/>
        <v>8.277777777777778E-3</v>
      </c>
      <c r="AD681" s="77">
        <f t="shared" ref="AD681" si="2012">1-(1-AC681)^(1/12)</f>
        <v>6.9244588451522482E-4</v>
      </c>
      <c r="AE681" s="77">
        <f t="shared" si="1985"/>
        <v>2.5000000000000001E-3</v>
      </c>
      <c r="AF681" s="77">
        <f t="shared" ref="AF681" si="2013">1-(1-AE681)^(1/12)</f>
        <v>2.0857243058891584E-4</v>
      </c>
      <c r="AH681" t="s">
        <v>175</v>
      </c>
      <c r="AI681" t="s">
        <v>179</v>
      </c>
      <c r="AJ681" s="197" t="str">
        <f t="shared" si="1972"/>
        <v>Lifecycle_Dynamic_406</v>
      </c>
      <c r="AK681">
        <v>406</v>
      </c>
      <c r="AL681">
        <f>VLOOKUP($U681,[2]Standard_Dynamic!$Q$1:$T$542,2,FALSE)</f>
        <v>0.88888888888888884</v>
      </c>
      <c r="AM681">
        <f>VLOOKUP($U681,[2]Standard_Dynamic!$Q$1:$T$542,3,FALSE)</f>
        <v>0.11111111111111116</v>
      </c>
      <c r="AN681">
        <f>VLOOKUP($U681,[2]Standard_Dynamic!$Q$1:$T$542,4,FALSE)</f>
        <v>0</v>
      </c>
      <c r="AO681" s="77">
        <f t="shared" si="1973"/>
        <v>1</v>
      </c>
      <c r="AP681" s="77">
        <f t="shared" si="1987"/>
        <v>6.3149999999999984E-2</v>
      </c>
      <c r="AQ681" s="77">
        <f t="shared" si="1974"/>
        <v>5.1160591879111372E-3</v>
      </c>
      <c r="AR681" s="79">
        <v>0</v>
      </c>
      <c r="AS681" s="77">
        <f t="shared" si="1988"/>
        <v>0</v>
      </c>
      <c r="AT681" s="77">
        <f t="shared" ref="AT681" si="2014">1-(1-AS681)^(1/12)</f>
        <v>0</v>
      </c>
      <c r="AU681" s="77">
        <f t="shared" si="1990"/>
        <v>2.5000000000000001E-3</v>
      </c>
      <c r="AV681" s="77">
        <f t="shared" ref="AV681" si="2015">1-(1-AU681)^(1/12)</f>
        <v>2.0857243058891584E-4</v>
      </c>
      <c r="AX681" t="s">
        <v>178</v>
      </c>
      <c r="AY681" t="s">
        <v>162</v>
      </c>
      <c r="AZ681" s="197" t="str">
        <f t="shared" si="1786"/>
        <v>DIS_Standard_406</v>
      </c>
      <c r="BA681">
        <v>406</v>
      </c>
      <c r="BB681">
        <f>VLOOKUP($BA681,'[2]Standard DIS'!$Q$1:$X$542,4,FALSE)</f>
        <v>0</v>
      </c>
      <c r="BF681">
        <f>VLOOKUP($BA681,'[2]Standard DIS'!$Q$1:$X$542,2,FALSE)</f>
        <v>0.88888888888888884</v>
      </c>
      <c r="BH681">
        <f>VLOOKUP($BA681,'[2]Standard DIS'!$Q$1:$X$542,3,FALSE)</f>
        <v>0.11111111111111116</v>
      </c>
      <c r="BI681" s="77">
        <f t="shared" si="1977"/>
        <v>1</v>
      </c>
      <c r="BJ681" s="77">
        <f t="shared" si="1978"/>
        <v>6.3149999999999984E-2</v>
      </c>
      <c r="BK681" s="77">
        <f t="shared" si="1787"/>
        <v>5.1160591879111372E-3</v>
      </c>
      <c r="BL681" s="79">
        <v>0</v>
      </c>
      <c r="BM681" s="77">
        <f t="shared" si="1992"/>
        <v>0</v>
      </c>
      <c r="BN681" s="77">
        <f t="shared" si="1993"/>
        <v>0</v>
      </c>
      <c r="BO681" s="77">
        <f t="shared" si="1994"/>
        <v>2.5000000000000001E-3</v>
      </c>
      <c r="BP681" s="77">
        <f t="shared" si="1995"/>
        <v>2.0809499864316017E-4</v>
      </c>
    </row>
    <row r="682" spans="1:68">
      <c r="A682" t="s">
        <v>175</v>
      </c>
      <c r="B682" t="s">
        <v>179</v>
      </c>
      <c r="C682" s="197" t="str">
        <f t="shared" si="1752"/>
        <v>Lifecycle_Dynamic_405</v>
      </c>
      <c r="D682">
        <v>405</v>
      </c>
      <c r="E682">
        <f>VLOOKUP($D682,'[2]LC Dynamic'!$Q$2:$U$542,2,FALSE)</f>
        <v>0</v>
      </c>
      <c r="F682">
        <f>VLOOKUP($D682,'[2]LC Dynamic'!$Q$2:$U$542,3,FALSE)</f>
        <v>0</v>
      </c>
      <c r="G682">
        <f>VLOOKUP($D682,'[2]LC Dynamic'!$Q$2:$U$542,4,FALSE)</f>
        <v>0.308</v>
      </c>
      <c r="H682">
        <f>VLOOKUP($D682,'[2]LC Dynamic'!$Q$2:$U$542,5,FALSE)</f>
        <v>0.69199999999999995</v>
      </c>
      <c r="I682" s="77">
        <f t="shared" si="1968"/>
        <v>1</v>
      </c>
      <c r="J682" s="77">
        <f t="shared" si="1969"/>
        <v>6.9728499999999985E-2</v>
      </c>
      <c r="K682" s="77">
        <f t="shared" si="1759"/>
        <v>5.632878498097682E-3</v>
      </c>
      <c r="L682" s="76">
        <v>0</v>
      </c>
      <c r="M682" s="77">
        <f t="shared" si="1979"/>
        <v>0</v>
      </c>
      <c r="N682" s="77">
        <f t="shared" si="1980"/>
        <v>0</v>
      </c>
      <c r="O682" s="77">
        <f t="shared" si="1981"/>
        <v>5.6775999999999997E-3</v>
      </c>
      <c r="P682" s="77">
        <f t="shared" si="1982"/>
        <v>4.7436902124819991E-4</v>
      </c>
      <c r="R682" t="s">
        <v>177</v>
      </c>
      <c r="S682" t="s">
        <v>179</v>
      </c>
      <c r="T682" s="197" t="str">
        <f t="shared" si="1753"/>
        <v>Autopilot_Dynamic_405</v>
      </c>
      <c r="U682">
        <v>405</v>
      </c>
      <c r="V682">
        <f>VLOOKUP($U682,'[2]AP Dynamic'!$Q$1:$T$542,2,FALSE)</f>
        <v>0.88888888888888884</v>
      </c>
      <c r="W682">
        <f>VLOOKUP($U682,'[2]AP Dynamic'!$Q$1:$T$542,3,FALSE)</f>
        <v>0.11111111111111116</v>
      </c>
      <c r="X682">
        <f>VLOOKUP($U682,'[2]AP Dynamic'!$Q$1:$T$542,4,FALSE)</f>
        <v>0</v>
      </c>
      <c r="Y682" s="77">
        <f t="shared" si="1754"/>
        <v>1</v>
      </c>
      <c r="Z682" s="77">
        <f t="shared" si="1760"/>
        <v>6.3149999999999984E-2</v>
      </c>
      <c r="AA682" s="77">
        <f t="shared" si="1761"/>
        <v>5.1160591879111372E-3</v>
      </c>
      <c r="AB682" s="79">
        <v>1</v>
      </c>
      <c r="AC682" s="77">
        <f t="shared" si="1983"/>
        <v>8.277777777777778E-3</v>
      </c>
      <c r="AD682" s="77">
        <f t="shared" ref="AD682" si="2016">1-(1-AC682)^(1/12)</f>
        <v>6.9244588451522482E-4</v>
      </c>
      <c r="AE682" s="77">
        <f t="shared" si="1985"/>
        <v>2.5000000000000001E-3</v>
      </c>
      <c r="AF682" s="77">
        <f t="shared" ref="AF682" si="2017">1-(1-AE682)^(1/12)</f>
        <v>2.0857243058891584E-4</v>
      </c>
      <c r="AH682" t="s">
        <v>175</v>
      </c>
      <c r="AI682" t="s">
        <v>179</v>
      </c>
      <c r="AJ682" s="197" t="str">
        <f t="shared" si="1972"/>
        <v>Lifecycle_Dynamic_405</v>
      </c>
      <c r="AK682">
        <v>405</v>
      </c>
      <c r="AL682">
        <f>VLOOKUP($U682,[2]Standard_Dynamic!$Q$1:$T$542,2,FALSE)</f>
        <v>0.88888888888888884</v>
      </c>
      <c r="AM682">
        <f>VLOOKUP($U682,[2]Standard_Dynamic!$Q$1:$T$542,3,FALSE)</f>
        <v>0.11111111111111116</v>
      </c>
      <c r="AN682">
        <f>VLOOKUP($U682,[2]Standard_Dynamic!$Q$1:$T$542,4,FALSE)</f>
        <v>0</v>
      </c>
      <c r="AO682" s="77">
        <f t="shared" si="1973"/>
        <v>1</v>
      </c>
      <c r="AP682" s="77">
        <f t="shared" si="1987"/>
        <v>6.3149999999999984E-2</v>
      </c>
      <c r="AQ682" s="77">
        <f t="shared" si="1974"/>
        <v>5.1160591879111372E-3</v>
      </c>
      <c r="AR682" s="79">
        <v>0</v>
      </c>
      <c r="AS682" s="77">
        <f t="shared" si="1988"/>
        <v>0</v>
      </c>
      <c r="AT682" s="77">
        <f t="shared" ref="AT682" si="2018">1-(1-AS682)^(1/12)</f>
        <v>0</v>
      </c>
      <c r="AU682" s="77">
        <f t="shared" si="1990"/>
        <v>2.5000000000000001E-3</v>
      </c>
      <c r="AV682" s="77">
        <f t="shared" ref="AV682" si="2019">1-(1-AU682)^(1/12)</f>
        <v>2.0857243058891584E-4</v>
      </c>
      <c r="AX682" t="s">
        <v>178</v>
      </c>
      <c r="AY682" t="s">
        <v>162</v>
      </c>
      <c r="AZ682" s="197" t="str">
        <f t="shared" si="1786"/>
        <v>DIS_Standard_405</v>
      </c>
      <c r="BA682">
        <v>405</v>
      </c>
      <c r="BB682">
        <f>VLOOKUP($BA682,'[2]Standard DIS'!$Q$1:$X$542,4,FALSE)</f>
        <v>0</v>
      </c>
      <c r="BF682">
        <f>VLOOKUP($BA682,'[2]Standard DIS'!$Q$1:$X$542,2,FALSE)</f>
        <v>0.88888888888888884</v>
      </c>
      <c r="BH682">
        <f>VLOOKUP($BA682,'[2]Standard DIS'!$Q$1:$X$542,3,FALSE)</f>
        <v>0.11111111111111116</v>
      </c>
      <c r="BI682" s="77">
        <f t="shared" si="1977"/>
        <v>1</v>
      </c>
      <c r="BJ682" s="77">
        <f t="shared" si="1978"/>
        <v>6.3149999999999984E-2</v>
      </c>
      <c r="BK682" s="77">
        <f t="shared" si="1787"/>
        <v>5.1160591879111372E-3</v>
      </c>
      <c r="BL682" s="79">
        <v>0</v>
      </c>
      <c r="BM682" s="77">
        <f t="shared" si="1992"/>
        <v>0</v>
      </c>
      <c r="BN682" s="77">
        <f t="shared" si="1993"/>
        <v>0</v>
      </c>
      <c r="BO682" s="77">
        <f t="shared" si="1994"/>
        <v>2.5000000000000001E-3</v>
      </c>
      <c r="BP682" s="77">
        <f t="shared" si="1995"/>
        <v>2.0809499864316017E-4</v>
      </c>
    </row>
    <row r="683" spans="1:68">
      <c r="A683" t="s">
        <v>175</v>
      </c>
      <c r="B683" t="s">
        <v>179</v>
      </c>
      <c r="C683" s="197" t="str">
        <f t="shared" si="1752"/>
        <v>Lifecycle_Dynamic_404</v>
      </c>
      <c r="D683">
        <v>404</v>
      </c>
      <c r="E683">
        <f>VLOOKUP($D683,'[2]LC Dynamic'!$Q$2:$U$542,2,FALSE)</f>
        <v>0</v>
      </c>
      <c r="F683">
        <f>VLOOKUP($D683,'[2]LC Dynamic'!$Q$2:$U$542,3,FALSE)</f>
        <v>0</v>
      </c>
      <c r="G683">
        <f>VLOOKUP($D683,'[2]LC Dynamic'!$Q$2:$U$542,4,FALSE)</f>
        <v>0.308</v>
      </c>
      <c r="H683">
        <f>VLOOKUP($D683,'[2]LC Dynamic'!$Q$2:$U$542,5,FALSE)</f>
        <v>0.69199999999999995</v>
      </c>
      <c r="I683" s="77">
        <f t="shared" si="1968"/>
        <v>1</v>
      </c>
      <c r="J683" s="77">
        <f t="shared" si="1969"/>
        <v>6.9728499999999985E-2</v>
      </c>
      <c r="K683" s="77">
        <f t="shared" si="1759"/>
        <v>5.632878498097682E-3</v>
      </c>
      <c r="L683" s="76">
        <v>0</v>
      </c>
      <c r="M683" s="77">
        <f t="shared" si="1979"/>
        <v>0</v>
      </c>
      <c r="N683" s="77">
        <f t="shared" si="1980"/>
        <v>0</v>
      </c>
      <c r="O683" s="77">
        <f t="shared" si="1981"/>
        <v>5.6775999999999997E-3</v>
      </c>
      <c r="P683" s="77">
        <f t="shared" si="1982"/>
        <v>4.7436902124819991E-4</v>
      </c>
      <c r="R683" t="s">
        <v>177</v>
      </c>
      <c r="S683" t="s">
        <v>179</v>
      </c>
      <c r="T683" s="197" t="str">
        <f t="shared" si="1753"/>
        <v>Autopilot_Dynamic_404</v>
      </c>
      <c r="U683">
        <v>404</v>
      </c>
      <c r="V683">
        <f>VLOOKUP($U683,'[2]AP Dynamic'!$Q$1:$T$542,2,FALSE)</f>
        <v>0.88888888888888884</v>
      </c>
      <c r="W683">
        <f>VLOOKUP($U683,'[2]AP Dynamic'!$Q$1:$T$542,3,FALSE)</f>
        <v>0.11111111111111116</v>
      </c>
      <c r="X683">
        <f>VLOOKUP($U683,'[2]AP Dynamic'!$Q$1:$T$542,4,FALSE)</f>
        <v>0</v>
      </c>
      <c r="Y683" s="77">
        <f t="shared" si="1754"/>
        <v>1</v>
      </c>
      <c r="Z683" s="77">
        <f t="shared" si="1760"/>
        <v>6.3149999999999984E-2</v>
      </c>
      <c r="AA683" s="77">
        <f t="shared" si="1761"/>
        <v>5.1160591879111372E-3</v>
      </c>
      <c r="AB683" s="79">
        <v>1</v>
      </c>
      <c r="AC683" s="77">
        <f t="shared" si="1983"/>
        <v>8.277777777777778E-3</v>
      </c>
      <c r="AD683" s="77">
        <f t="shared" ref="AD683" si="2020">1-(1-AC683)^(1/12)</f>
        <v>6.9244588451522482E-4</v>
      </c>
      <c r="AE683" s="77">
        <f t="shared" si="1985"/>
        <v>2.5000000000000001E-3</v>
      </c>
      <c r="AF683" s="77">
        <f t="shared" ref="AF683" si="2021">1-(1-AE683)^(1/12)</f>
        <v>2.0857243058891584E-4</v>
      </c>
      <c r="AH683" t="s">
        <v>175</v>
      </c>
      <c r="AI683" t="s">
        <v>179</v>
      </c>
      <c r="AJ683" s="197" t="str">
        <f t="shared" si="1972"/>
        <v>Lifecycle_Dynamic_404</v>
      </c>
      <c r="AK683">
        <v>404</v>
      </c>
      <c r="AL683">
        <f>VLOOKUP($U683,[2]Standard_Dynamic!$Q$1:$T$542,2,FALSE)</f>
        <v>0.88888888888888884</v>
      </c>
      <c r="AM683">
        <f>VLOOKUP($U683,[2]Standard_Dynamic!$Q$1:$T$542,3,FALSE)</f>
        <v>0.11111111111111116</v>
      </c>
      <c r="AN683">
        <f>VLOOKUP($U683,[2]Standard_Dynamic!$Q$1:$T$542,4,FALSE)</f>
        <v>0</v>
      </c>
      <c r="AO683" s="77">
        <f t="shared" si="1973"/>
        <v>1</v>
      </c>
      <c r="AP683" s="77">
        <f t="shared" si="1987"/>
        <v>6.3149999999999984E-2</v>
      </c>
      <c r="AQ683" s="77">
        <f t="shared" si="1974"/>
        <v>5.1160591879111372E-3</v>
      </c>
      <c r="AR683" s="79">
        <v>0</v>
      </c>
      <c r="AS683" s="77">
        <f t="shared" si="1988"/>
        <v>0</v>
      </c>
      <c r="AT683" s="77">
        <f t="shared" ref="AT683" si="2022">1-(1-AS683)^(1/12)</f>
        <v>0</v>
      </c>
      <c r="AU683" s="77">
        <f t="shared" si="1990"/>
        <v>2.5000000000000001E-3</v>
      </c>
      <c r="AV683" s="77">
        <f t="shared" ref="AV683" si="2023">1-(1-AU683)^(1/12)</f>
        <v>2.0857243058891584E-4</v>
      </c>
      <c r="AX683" t="s">
        <v>178</v>
      </c>
      <c r="AY683" t="s">
        <v>162</v>
      </c>
      <c r="AZ683" s="197" t="str">
        <f t="shared" si="1786"/>
        <v>DIS_Standard_404</v>
      </c>
      <c r="BA683">
        <v>404</v>
      </c>
      <c r="BB683">
        <f>VLOOKUP($BA683,'[2]Standard DIS'!$Q$1:$X$542,4,FALSE)</f>
        <v>0</v>
      </c>
      <c r="BF683">
        <f>VLOOKUP($BA683,'[2]Standard DIS'!$Q$1:$X$542,2,FALSE)</f>
        <v>0.88888888888888884</v>
      </c>
      <c r="BH683">
        <f>VLOOKUP($BA683,'[2]Standard DIS'!$Q$1:$X$542,3,FALSE)</f>
        <v>0.11111111111111116</v>
      </c>
      <c r="BI683" s="77">
        <f t="shared" si="1977"/>
        <v>1</v>
      </c>
      <c r="BJ683" s="77">
        <f t="shared" si="1978"/>
        <v>6.3149999999999984E-2</v>
      </c>
      <c r="BK683" s="77">
        <f t="shared" si="1787"/>
        <v>5.1160591879111372E-3</v>
      </c>
      <c r="BL683" s="79">
        <v>0</v>
      </c>
      <c r="BM683" s="77">
        <f t="shared" si="1992"/>
        <v>0</v>
      </c>
      <c r="BN683" s="77">
        <f t="shared" si="1993"/>
        <v>0</v>
      </c>
      <c r="BO683" s="77">
        <f t="shared" si="1994"/>
        <v>2.5000000000000001E-3</v>
      </c>
      <c r="BP683" s="77">
        <f t="shared" si="1995"/>
        <v>2.0809499864316017E-4</v>
      </c>
    </row>
    <row r="684" spans="1:68">
      <c r="A684" t="s">
        <v>175</v>
      </c>
      <c r="B684" t="s">
        <v>179</v>
      </c>
      <c r="C684" s="197" t="str">
        <f t="shared" si="1752"/>
        <v>Lifecycle_Dynamic_403</v>
      </c>
      <c r="D684">
        <v>403</v>
      </c>
      <c r="E684">
        <f>VLOOKUP($D684,'[2]LC Dynamic'!$Q$2:$U$542,2,FALSE)</f>
        <v>0</v>
      </c>
      <c r="F684">
        <f>VLOOKUP($D684,'[2]LC Dynamic'!$Q$2:$U$542,3,FALSE)</f>
        <v>0</v>
      </c>
      <c r="G684">
        <f>VLOOKUP($D684,'[2]LC Dynamic'!$Q$2:$U$542,4,FALSE)</f>
        <v>0.308</v>
      </c>
      <c r="H684">
        <f>VLOOKUP($D684,'[2]LC Dynamic'!$Q$2:$U$542,5,FALSE)</f>
        <v>0.69199999999999995</v>
      </c>
      <c r="I684" s="77">
        <f t="shared" si="1968"/>
        <v>1</v>
      </c>
      <c r="J684" s="77">
        <f t="shared" si="1969"/>
        <v>6.9728499999999985E-2</v>
      </c>
      <c r="K684" s="77">
        <f t="shared" si="1759"/>
        <v>5.632878498097682E-3</v>
      </c>
      <c r="L684" s="76">
        <v>0</v>
      </c>
      <c r="M684" s="77">
        <f t="shared" si="1979"/>
        <v>0</v>
      </c>
      <c r="N684" s="77">
        <f t="shared" si="1980"/>
        <v>0</v>
      </c>
      <c r="O684" s="77">
        <f t="shared" si="1981"/>
        <v>5.6775999999999997E-3</v>
      </c>
      <c r="P684" s="77">
        <f t="shared" si="1982"/>
        <v>4.7436902124819991E-4</v>
      </c>
      <c r="R684" t="s">
        <v>177</v>
      </c>
      <c r="S684" t="s">
        <v>179</v>
      </c>
      <c r="T684" s="197" t="str">
        <f t="shared" si="1753"/>
        <v>Autopilot_Dynamic_403</v>
      </c>
      <c r="U684">
        <v>403</v>
      </c>
      <c r="V684">
        <f>VLOOKUP($U684,'[2]AP Dynamic'!$Q$1:$T$542,2,FALSE)</f>
        <v>0.88888888888888884</v>
      </c>
      <c r="W684">
        <f>VLOOKUP($U684,'[2]AP Dynamic'!$Q$1:$T$542,3,FALSE)</f>
        <v>0.11111111111111116</v>
      </c>
      <c r="X684">
        <f>VLOOKUP($U684,'[2]AP Dynamic'!$Q$1:$T$542,4,FALSE)</f>
        <v>0</v>
      </c>
      <c r="Y684" s="77">
        <f t="shared" si="1754"/>
        <v>1</v>
      </c>
      <c r="Z684" s="77">
        <f t="shared" si="1760"/>
        <v>6.3149999999999984E-2</v>
      </c>
      <c r="AA684" s="77">
        <f t="shared" si="1761"/>
        <v>5.1160591879111372E-3</v>
      </c>
      <c r="AB684" s="79">
        <v>1</v>
      </c>
      <c r="AC684" s="77">
        <f t="shared" si="1983"/>
        <v>8.277777777777778E-3</v>
      </c>
      <c r="AD684" s="77">
        <f t="shared" ref="AD684" si="2024">1-(1-AC684)^(1/12)</f>
        <v>6.9244588451522482E-4</v>
      </c>
      <c r="AE684" s="77">
        <f t="shared" si="1985"/>
        <v>2.5000000000000001E-3</v>
      </c>
      <c r="AF684" s="77">
        <f t="shared" ref="AF684" si="2025">1-(1-AE684)^(1/12)</f>
        <v>2.0857243058891584E-4</v>
      </c>
      <c r="AH684" t="s">
        <v>175</v>
      </c>
      <c r="AI684" t="s">
        <v>179</v>
      </c>
      <c r="AJ684" s="197" t="str">
        <f t="shared" si="1972"/>
        <v>Lifecycle_Dynamic_403</v>
      </c>
      <c r="AK684">
        <v>403</v>
      </c>
      <c r="AL684">
        <f>VLOOKUP($U684,[2]Standard_Dynamic!$Q$1:$T$542,2,FALSE)</f>
        <v>0.88888888888888884</v>
      </c>
      <c r="AM684">
        <f>VLOOKUP($U684,[2]Standard_Dynamic!$Q$1:$T$542,3,FALSE)</f>
        <v>0.11111111111111116</v>
      </c>
      <c r="AN684">
        <f>VLOOKUP($U684,[2]Standard_Dynamic!$Q$1:$T$542,4,FALSE)</f>
        <v>0</v>
      </c>
      <c r="AO684" s="77">
        <f t="shared" si="1973"/>
        <v>1</v>
      </c>
      <c r="AP684" s="77">
        <f t="shared" si="1987"/>
        <v>6.3149999999999984E-2</v>
      </c>
      <c r="AQ684" s="77">
        <f t="shared" si="1974"/>
        <v>5.1160591879111372E-3</v>
      </c>
      <c r="AR684" s="79">
        <v>0</v>
      </c>
      <c r="AS684" s="77">
        <f t="shared" si="1988"/>
        <v>0</v>
      </c>
      <c r="AT684" s="77">
        <f t="shared" ref="AT684" si="2026">1-(1-AS684)^(1/12)</f>
        <v>0</v>
      </c>
      <c r="AU684" s="77">
        <f t="shared" si="1990"/>
        <v>2.5000000000000001E-3</v>
      </c>
      <c r="AV684" s="77">
        <f t="shared" ref="AV684" si="2027">1-(1-AU684)^(1/12)</f>
        <v>2.0857243058891584E-4</v>
      </c>
      <c r="AX684" t="s">
        <v>178</v>
      </c>
      <c r="AY684" t="s">
        <v>162</v>
      </c>
      <c r="AZ684" s="197" t="str">
        <f t="shared" si="1786"/>
        <v>DIS_Standard_403</v>
      </c>
      <c r="BA684">
        <v>403</v>
      </c>
      <c r="BB684">
        <f>VLOOKUP($BA684,'[2]Standard DIS'!$Q$1:$X$542,4,FALSE)</f>
        <v>0</v>
      </c>
      <c r="BF684">
        <f>VLOOKUP($BA684,'[2]Standard DIS'!$Q$1:$X$542,2,FALSE)</f>
        <v>0.88888888888888884</v>
      </c>
      <c r="BH684">
        <f>VLOOKUP($BA684,'[2]Standard DIS'!$Q$1:$X$542,3,FALSE)</f>
        <v>0.11111111111111116</v>
      </c>
      <c r="BI684" s="77">
        <f t="shared" si="1977"/>
        <v>1</v>
      </c>
      <c r="BJ684" s="77">
        <f t="shared" si="1978"/>
        <v>6.3149999999999984E-2</v>
      </c>
      <c r="BK684" s="77">
        <f t="shared" si="1787"/>
        <v>5.1160591879111372E-3</v>
      </c>
      <c r="BL684" s="79">
        <v>0</v>
      </c>
      <c r="BM684" s="77">
        <f t="shared" si="1992"/>
        <v>0</v>
      </c>
      <c r="BN684" s="77">
        <f t="shared" si="1993"/>
        <v>0</v>
      </c>
      <c r="BO684" s="77">
        <f t="shared" si="1994"/>
        <v>2.5000000000000001E-3</v>
      </c>
      <c r="BP684" s="77">
        <f t="shared" si="1995"/>
        <v>2.0809499864316017E-4</v>
      </c>
    </row>
    <row r="685" spans="1:68">
      <c r="A685" t="s">
        <v>175</v>
      </c>
      <c r="B685" t="s">
        <v>179</v>
      </c>
      <c r="C685" s="197" t="str">
        <f t="shared" si="1752"/>
        <v>Lifecycle_Dynamic_402</v>
      </c>
      <c r="D685">
        <v>402</v>
      </c>
      <c r="E685">
        <f>VLOOKUP($D685,'[2]LC Dynamic'!$Q$2:$U$542,2,FALSE)</f>
        <v>0</v>
      </c>
      <c r="F685">
        <f>VLOOKUP($D685,'[2]LC Dynamic'!$Q$2:$U$542,3,FALSE)</f>
        <v>0</v>
      </c>
      <c r="G685">
        <f>VLOOKUP($D685,'[2]LC Dynamic'!$Q$2:$U$542,4,FALSE)</f>
        <v>0.308</v>
      </c>
      <c r="H685">
        <f>VLOOKUP($D685,'[2]LC Dynamic'!$Q$2:$U$542,5,FALSE)</f>
        <v>0.69199999999999995</v>
      </c>
      <c r="I685" s="77">
        <f t="shared" si="1968"/>
        <v>1</v>
      </c>
      <c r="J685" s="77">
        <f t="shared" si="1969"/>
        <v>6.9728499999999985E-2</v>
      </c>
      <c r="K685" s="77">
        <f t="shared" si="1759"/>
        <v>5.632878498097682E-3</v>
      </c>
      <c r="L685" s="76">
        <v>0</v>
      </c>
      <c r="M685" s="77">
        <f t="shared" si="1979"/>
        <v>0</v>
      </c>
      <c r="N685" s="77">
        <f t="shared" si="1980"/>
        <v>0</v>
      </c>
      <c r="O685" s="77">
        <f t="shared" si="1981"/>
        <v>5.6775999999999997E-3</v>
      </c>
      <c r="P685" s="77">
        <f t="shared" si="1982"/>
        <v>4.7436902124819991E-4</v>
      </c>
      <c r="R685" t="s">
        <v>177</v>
      </c>
      <c r="S685" t="s">
        <v>179</v>
      </c>
      <c r="T685" s="197" t="str">
        <f t="shared" si="1753"/>
        <v>Autopilot_Dynamic_402</v>
      </c>
      <c r="U685">
        <v>402</v>
      </c>
      <c r="V685">
        <f>VLOOKUP($U685,'[2]AP Dynamic'!$Q$1:$T$542,2,FALSE)</f>
        <v>0.88888888888888884</v>
      </c>
      <c r="W685">
        <f>VLOOKUP($U685,'[2]AP Dynamic'!$Q$1:$T$542,3,FALSE)</f>
        <v>0.11111111111111116</v>
      </c>
      <c r="X685">
        <f>VLOOKUP($U685,'[2]AP Dynamic'!$Q$1:$T$542,4,FALSE)</f>
        <v>0</v>
      </c>
      <c r="Y685" s="77">
        <f t="shared" si="1754"/>
        <v>1</v>
      </c>
      <c r="Z685" s="77">
        <f t="shared" si="1760"/>
        <v>6.3149999999999984E-2</v>
      </c>
      <c r="AA685" s="77">
        <f t="shared" si="1761"/>
        <v>5.1160591879111372E-3</v>
      </c>
      <c r="AB685" s="79">
        <v>1</v>
      </c>
      <c r="AC685" s="77">
        <f t="shared" si="1983"/>
        <v>8.277777777777778E-3</v>
      </c>
      <c r="AD685" s="77">
        <f t="shared" ref="AD685" si="2028">1-(1-AC685)^(1/12)</f>
        <v>6.9244588451522482E-4</v>
      </c>
      <c r="AE685" s="77">
        <f t="shared" si="1985"/>
        <v>2.5000000000000001E-3</v>
      </c>
      <c r="AF685" s="77">
        <f t="shared" ref="AF685" si="2029">1-(1-AE685)^(1/12)</f>
        <v>2.0857243058891584E-4</v>
      </c>
      <c r="AH685" t="s">
        <v>175</v>
      </c>
      <c r="AI685" t="s">
        <v>179</v>
      </c>
      <c r="AJ685" s="197" t="str">
        <f t="shared" si="1972"/>
        <v>Lifecycle_Dynamic_402</v>
      </c>
      <c r="AK685">
        <v>402</v>
      </c>
      <c r="AL685">
        <f>VLOOKUP($U685,[2]Standard_Dynamic!$Q$1:$T$542,2,FALSE)</f>
        <v>0.88888888888888884</v>
      </c>
      <c r="AM685">
        <f>VLOOKUP($U685,[2]Standard_Dynamic!$Q$1:$T$542,3,FALSE)</f>
        <v>0.11111111111111116</v>
      </c>
      <c r="AN685">
        <f>VLOOKUP($U685,[2]Standard_Dynamic!$Q$1:$T$542,4,FALSE)</f>
        <v>0</v>
      </c>
      <c r="AO685" s="77">
        <f t="shared" si="1973"/>
        <v>1</v>
      </c>
      <c r="AP685" s="77">
        <f t="shared" si="1987"/>
        <v>6.3149999999999984E-2</v>
      </c>
      <c r="AQ685" s="77">
        <f t="shared" si="1974"/>
        <v>5.1160591879111372E-3</v>
      </c>
      <c r="AR685" s="79">
        <v>0</v>
      </c>
      <c r="AS685" s="77">
        <f t="shared" si="1988"/>
        <v>0</v>
      </c>
      <c r="AT685" s="77">
        <f t="shared" ref="AT685" si="2030">1-(1-AS685)^(1/12)</f>
        <v>0</v>
      </c>
      <c r="AU685" s="77">
        <f t="shared" si="1990"/>
        <v>2.5000000000000001E-3</v>
      </c>
      <c r="AV685" s="77">
        <f t="shared" ref="AV685" si="2031">1-(1-AU685)^(1/12)</f>
        <v>2.0857243058891584E-4</v>
      </c>
      <c r="AX685" t="s">
        <v>178</v>
      </c>
      <c r="AY685" t="s">
        <v>162</v>
      </c>
      <c r="AZ685" s="197" t="str">
        <f t="shared" si="1786"/>
        <v>DIS_Standard_402</v>
      </c>
      <c r="BA685">
        <v>402</v>
      </c>
      <c r="BB685">
        <f>VLOOKUP($BA685,'[2]Standard DIS'!$Q$1:$X$542,4,FALSE)</f>
        <v>0</v>
      </c>
      <c r="BF685">
        <f>VLOOKUP($BA685,'[2]Standard DIS'!$Q$1:$X$542,2,FALSE)</f>
        <v>0.88888888888888884</v>
      </c>
      <c r="BH685">
        <f>VLOOKUP($BA685,'[2]Standard DIS'!$Q$1:$X$542,3,FALSE)</f>
        <v>0.11111111111111116</v>
      </c>
      <c r="BI685" s="77">
        <f t="shared" si="1977"/>
        <v>1</v>
      </c>
      <c r="BJ685" s="77">
        <f t="shared" si="1978"/>
        <v>6.3149999999999984E-2</v>
      </c>
      <c r="BK685" s="77">
        <f t="shared" si="1787"/>
        <v>5.1160591879111372E-3</v>
      </c>
      <c r="BL685" s="79">
        <v>0</v>
      </c>
      <c r="BM685" s="77">
        <f t="shared" si="1992"/>
        <v>0</v>
      </c>
      <c r="BN685" s="77">
        <f t="shared" si="1993"/>
        <v>0</v>
      </c>
      <c r="BO685" s="77">
        <f t="shared" si="1994"/>
        <v>2.5000000000000001E-3</v>
      </c>
      <c r="BP685" s="77">
        <f t="shared" si="1995"/>
        <v>2.0809499864316017E-4</v>
      </c>
    </row>
    <row r="686" spans="1:68">
      <c r="A686" t="s">
        <v>175</v>
      </c>
      <c r="B686" t="s">
        <v>179</v>
      </c>
      <c r="C686" s="197" t="str">
        <f t="shared" si="1752"/>
        <v>Lifecycle_Dynamic_401</v>
      </c>
      <c r="D686">
        <v>401</v>
      </c>
      <c r="E686">
        <f>VLOOKUP($D686,'[2]LC Dynamic'!$Q$2:$U$542,2,FALSE)</f>
        <v>0</v>
      </c>
      <c r="F686">
        <f>VLOOKUP($D686,'[2]LC Dynamic'!$Q$2:$U$542,3,FALSE)</f>
        <v>0</v>
      </c>
      <c r="G686">
        <f>VLOOKUP($D686,'[2]LC Dynamic'!$Q$2:$U$542,4,FALSE)</f>
        <v>0.308</v>
      </c>
      <c r="H686">
        <f>VLOOKUP($D686,'[2]LC Dynamic'!$Q$2:$U$542,5,FALSE)</f>
        <v>0.69199999999999995</v>
      </c>
      <c r="I686" s="77">
        <f t="shared" si="1968"/>
        <v>1</v>
      </c>
      <c r="J686" s="77">
        <f t="shared" si="1969"/>
        <v>6.9728499999999985E-2</v>
      </c>
      <c r="K686" s="77">
        <f t="shared" si="1759"/>
        <v>5.632878498097682E-3</v>
      </c>
      <c r="L686" s="76">
        <v>0</v>
      </c>
      <c r="M686" s="77">
        <f t="shared" si="1979"/>
        <v>0</v>
      </c>
      <c r="N686" s="77">
        <f t="shared" si="1980"/>
        <v>0</v>
      </c>
      <c r="O686" s="77">
        <f t="shared" si="1981"/>
        <v>5.6775999999999997E-3</v>
      </c>
      <c r="P686" s="77">
        <f t="shared" si="1982"/>
        <v>4.7436902124819991E-4</v>
      </c>
      <c r="R686" t="s">
        <v>177</v>
      </c>
      <c r="S686" t="s">
        <v>179</v>
      </c>
      <c r="T686" s="197" t="str">
        <f t="shared" si="1753"/>
        <v>Autopilot_Dynamic_401</v>
      </c>
      <c r="U686">
        <v>401</v>
      </c>
      <c r="V686">
        <f>VLOOKUP($U686,'[2]AP Dynamic'!$Q$1:$T$542,2,FALSE)</f>
        <v>0.88888888888888884</v>
      </c>
      <c r="W686">
        <f>VLOOKUP($U686,'[2]AP Dynamic'!$Q$1:$T$542,3,FALSE)</f>
        <v>0.11111111111111116</v>
      </c>
      <c r="X686">
        <f>VLOOKUP($U686,'[2]AP Dynamic'!$Q$1:$T$542,4,FALSE)</f>
        <v>0</v>
      </c>
      <c r="Y686" s="77">
        <f t="shared" si="1754"/>
        <v>1</v>
      </c>
      <c r="Z686" s="77">
        <f t="shared" si="1760"/>
        <v>6.3149999999999984E-2</v>
      </c>
      <c r="AA686" s="77">
        <f t="shared" si="1761"/>
        <v>5.1160591879111372E-3</v>
      </c>
      <c r="AB686" s="79">
        <v>1</v>
      </c>
      <c r="AC686" s="77">
        <f t="shared" si="1983"/>
        <v>8.277777777777778E-3</v>
      </c>
      <c r="AD686" s="77">
        <f t="shared" ref="AD686" si="2032">1-(1-AC686)^(1/12)</f>
        <v>6.9244588451522482E-4</v>
      </c>
      <c r="AE686" s="77">
        <f t="shared" si="1985"/>
        <v>2.5000000000000001E-3</v>
      </c>
      <c r="AF686" s="77">
        <f t="shared" ref="AF686" si="2033">1-(1-AE686)^(1/12)</f>
        <v>2.0857243058891584E-4</v>
      </c>
      <c r="AH686" t="s">
        <v>175</v>
      </c>
      <c r="AI686" t="s">
        <v>179</v>
      </c>
      <c r="AJ686" s="197" t="str">
        <f t="shared" si="1972"/>
        <v>Lifecycle_Dynamic_401</v>
      </c>
      <c r="AK686">
        <v>401</v>
      </c>
      <c r="AL686">
        <f>VLOOKUP($U686,[2]Standard_Dynamic!$Q$1:$T$542,2,FALSE)</f>
        <v>0.88888888888888884</v>
      </c>
      <c r="AM686">
        <f>VLOOKUP($U686,[2]Standard_Dynamic!$Q$1:$T$542,3,FALSE)</f>
        <v>0.11111111111111116</v>
      </c>
      <c r="AN686">
        <f>VLOOKUP($U686,[2]Standard_Dynamic!$Q$1:$T$542,4,FALSE)</f>
        <v>0</v>
      </c>
      <c r="AO686" s="77">
        <f t="shared" si="1973"/>
        <v>1</v>
      </c>
      <c r="AP686" s="77">
        <f t="shared" si="1987"/>
        <v>6.3149999999999984E-2</v>
      </c>
      <c r="AQ686" s="77">
        <f t="shared" si="1974"/>
        <v>5.1160591879111372E-3</v>
      </c>
      <c r="AR686" s="79">
        <v>0</v>
      </c>
      <c r="AS686" s="77">
        <f t="shared" si="1988"/>
        <v>0</v>
      </c>
      <c r="AT686" s="77">
        <f t="shared" ref="AT686" si="2034">1-(1-AS686)^(1/12)</f>
        <v>0</v>
      </c>
      <c r="AU686" s="77">
        <f t="shared" si="1990"/>
        <v>2.5000000000000001E-3</v>
      </c>
      <c r="AV686" s="77">
        <f t="shared" ref="AV686" si="2035">1-(1-AU686)^(1/12)</f>
        <v>2.0857243058891584E-4</v>
      </c>
      <c r="AX686" t="s">
        <v>178</v>
      </c>
      <c r="AY686" t="s">
        <v>162</v>
      </c>
      <c r="AZ686" s="197" t="str">
        <f t="shared" si="1786"/>
        <v>DIS_Standard_401</v>
      </c>
      <c r="BA686">
        <v>401</v>
      </c>
      <c r="BB686">
        <f>VLOOKUP($BA686,'[2]Standard DIS'!$Q$1:$X$542,4,FALSE)</f>
        <v>0</v>
      </c>
      <c r="BF686">
        <f>VLOOKUP($BA686,'[2]Standard DIS'!$Q$1:$X$542,2,FALSE)</f>
        <v>0.88888888888888884</v>
      </c>
      <c r="BH686">
        <f>VLOOKUP($BA686,'[2]Standard DIS'!$Q$1:$X$542,3,FALSE)</f>
        <v>0.11111111111111116</v>
      </c>
      <c r="BI686" s="77">
        <f t="shared" si="1977"/>
        <v>1</v>
      </c>
      <c r="BJ686" s="77">
        <f t="shared" si="1978"/>
        <v>6.3149999999999984E-2</v>
      </c>
      <c r="BK686" s="77">
        <f t="shared" si="1787"/>
        <v>5.1160591879111372E-3</v>
      </c>
      <c r="BL686" s="79">
        <v>0</v>
      </c>
      <c r="BM686" s="77">
        <f t="shared" si="1992"/>
        <v>0</v>
      </c>
      <c r="BN686" s="77">
        <f t="shared" si="1993"/>
        <v>0</v>
      </c>
      <c r="BO686" s="77">
        <f t="shared" si="1994"/>
        <v>2.5000000000000001E-3</v>
      </c>
      <c r="BP686" s="77">
        <f t="shared" si="1995"/>
        <v>2.0809499864316017E-4</v>
      </c>
    </row>
    <row r="687" spans="1:68">
      <c r="A687" t="s">
        <v>175</v>
      </c>
      <c r="B687" t="s">
        <v>179</v>
      </c>
      <c r="C687" s="197" t="str">
        <f t="shared" ref="C687:C750" si="2036">A687&amp;"_"&amp;B687&amp;"_"&amp;D687</f>
        <v>Lifecycle_Dynamic_400</v>
      </c>
      <c r="D687">
        <v>400</v>
      </c>
      <c r="E687">
        <f>VLOOKUP($D687,'[2]LC Dynamic'!$Q$2:$U$542,2,FALSE)</f>
        <v>0</v>
      </c>
      <c r="F687">
        <f>VLOOKUP($D687,'[2]LC Dynamic'!$Q$2:$U$542,3,FALSE)</f>
        <v>0</v>
      </c>
      <c r="G687">
        <f>VLOOKUP($D687,'[2]LC Dynamic'!$Q$2:$U$542,4,FALSE)</f>
        <v>0.308</v>
      </c>
      <c r="H687">
        <f>VLOOKUP($D687,'[2]LC Dynamic'!$Q$2:$U$542,5,FALSE)</f>
        <v>0.69199999999999995</v>
      </c>
      <c r="I687" s="77">
        <f t="shared" si="1968"/>
        <v>1</v>
      </c>
      <c r="J687" s="77">
        <f t="shared" si="1969"/>
        <v>6.9728499999999985E-2</v>
      </c>
      <c r="K687" s="77">
        <f t="shared" si="1759"/>
        <v>5.632878498097682E-3</v>
      </c>
      <c r="L687" s="76">
        <v>0</v>
      </c>
      <c r="M687" s="77">
        <f t="shared" si="1979"/>
        <v>0</v>
      </c>
      <c r="N687" s="77">
        <f t="shared" si="1980"/>
        <v>0</v>
      </c>
      <c r="O687" s="77">
        <f t="shared" si="1981"/>
        <v>5.6775999999999997E-3</v>
      </c>
      <c r="P687" s="77">
        <f t="shared" si="1982"/>
        <v>4.7436902124819991E-4</v>
      </c>
      <c r="R687" t="s">
        <v>177</v>
      </c>
      <c r="S687" t="s">
        <v>179</v>
      </c>
      <c r="T687" s="197" t="str">
        <f t="shared" ref="T687:T750" si="2037">R687&amp;"_"&amp;S687&amp;"_"&amp;U687</f>
        <v>Autopilot_Dynamic_400</v>
      </c>
      <c r="U687">
        <v>400</v>
      </c>
      <c r="V687">
        <f>VLOOKUP($U687,'[2]AP Dynamic'!$Q$1:$T$542,2,FALSE)</f>
        <v>0.88888888888888884</v>
      </c>
      <c r="W687">
        <f>VLOOKUP($U687,'[2]AP Dynamic'!$Q$1:$T$542,3,FALSE)</f>
        <v>0.11111111111111116</v>
      </c>
      <c r="X687">
        <f>VLOOKUP($U687,'[2]AP Dynamic'!$Q$1:$T$542,4,FALSE)</f>
        <v>0</v>
      </c>
      <c r="Y687" s="77">
        <f t="shared" ref="Y687:Y750" si="2038">SUM(V687:X687)</f>
        <v>1</v>
      </c>
      <c r="Z687" s="77">
        <f t="shared" si="1760"/>
        <v>6.3149999999999984E-2</v>
      </c>
      <c r="AA687" s="77">
        <f t="shared" si="1761"/>
        <v>5.1160591879111372E-3</v>
      </c>
      <c r="AB687" s="79">
        <v>1</v>
      </c>
      <c r="AC687" s="77">
        <f t="shared" si="1983"/>
        <v>8.277777777777778E-3</v>
      </c>
      <c r="AD687" s="77">
        <f t="shared" ref="AD687" si="2039">1-(1-AC687)^(1/12)</f>
        <v>6.9244588451522482E-4</v>
      </c>
      <c r="AE687" s="77">
        <f t="shared" si="1985"/>
        <v>2.5000000000000001E-3</v>
      </c>
      <c r="AF687" s="77">
        <f t="shared" ref="AF687" si="2040">1-(1-AE687)^(1/12)</f>
        <v>2.0857243058891584E-4</v>
      </c>
      <c r="AH687" t="s">
        <v>175</v>
      </c>
      <c r="AI687" t="s">
        <v>179</v>
      </c>
      <c r="AJ687" s="197" t="str">
        <f t="shared" si="1972"/>
        <v>Lifecycle_Dynamic_400</v>
      </c>
      <c r="AK687">
        <v>400</v>
      </c>
      <c r="AL687">
        <f>VLOOKUP($U687,[2]Standard_Dynamic!$Q$1:$T$542,2,FALSE)</f>
        <v>0.88888888888888884</v>
      </c>
      <c r="AM687">
        <f>VLOOKUP($U687,[2]Standard_Dynamic!$Q$1:$T$542,3,FALSE)</f>
        <v>0.11111111111111116</v>
      </c>
      <c r="AN687">
        <f>VLOOKUP($U687,[2]Standard_Dynamic!$Q$1:$T$542,4,FALSE)</f>
        <v>0</v>
      </c>
      <c r="AO687" s="77">
        <f t="shared" si="1973"/>
        <v>1</v>
      </c>
      <c r="AP687" s="77">
        <f t="shared" si="1987"/>
        <v>6.3149999999999984E-2</v>
      </c>
      <c r="AQ687" s="77">
        <f t="shared" si="1974"/>
        <v>5.1160591879111372E-3</v>
      </c>
      <c r="AR687" s="79">
        <v>0</v>
      </c>
      <c r="AS687" s="77">
        <f t="shared" si="1988"/>
        <v>0</v>
      </c>
      <c r="AT687" s="77">
        <f t="shared" ref="AT687" si="2041">1-(1-AS687)^(1/12)</f>
        <v>0</v>
      </c>
      <c r="AU687" s="77">
        <f t="shared" si="1990"/>
        <v>2.5000000000000001E-3</v>
      </c>
      <c r="AV687" s="77">
        <f t="shared" ref="AV687" si="2042">1-(1-AU687)^(1/12)</f>
        <v>2.0857243058891584E-4</v>
      </c>
      <c r="AX687" t="s">
        <v>178</v>
      </c>
      <c r="AY687" t="s">
        <v>162</v>
      </c>
      <c r="AZ687" s="197" t="str">
        <f t="shared" si="1786"/>
        <v>DIS_Standard_400</v>
      </c>
      <c r="BA687">
        <v>400</v>
      </c>
      <c r="BB687">
        <f>VLOOKUP($BA687,'[2]Standard DIS'!$Q$1:$X$542,4,FALSE)</f>
        <v>0</v>
      </c>
      <c r="BF687">
        <f>VLOOKUP($BA687,'[2]Standard DIS'!$Q$1:$X$542,2,FALSE)</f>
        <v>0.88888888888888884</v>
      </c>
      <c r="BH687">
        <f>VLOOKUP($BA687,'[2]Standard DIS'!$Q$1:$X$542,3,FALSE)</f>
        <v>0.11111111111111116</v>
      </c>
      <c r="BI687" s="77">
        <f t="shared" si="1977"/>
        <v>1</v>
      </c>
      <c r="BJ687" s="77">
        <f t="shared" si="1978"/>
        <v>6.3149999999999984E-2</v>
      </c>
      <c r="BK687" s="77">
        <f t="shared" si="1787"/>
        <v>5.1160591879111372E-3</v>
      </c>
      <c r="BL687" s="79">
        <v>0</v>
      </c>
      <c r="BM687" s="77">
        <f t="shared" si="1992"/>
        <v>0</v>
      </c>
      <c r="BN687" s="77">
        <f t="shared" si="1993"/>
        <v>0</v>
      </c>
      <c r="BO687" s="77">
        <f t="shared" si="1994"/>
        <v>2.5000000000000001E-3</v>
      </c>
      <c r="BP687" s="77">
        <f t="shared" si="1995"/>
        <v>2.0809499864316017E-4</v>
      </c>
    </row>
    <row r="688" spans="1:68">
      <c r="A688" t="s">
        <v>175</v>
      </c>
      <c r="B688" t="s">
        <v>179</v>
      </c>
      <c r="C688" s="197" t="str">
        <f t="shared" si="2036"/>
        <v>Lifecycle_Dynamic_399</v>
      </c>
      <c r="D688">
        <v>399</v>
      </c>
      <c r="E688">
        <f>VLOOKUP($D688,'[2]LC Dynamic'!$Q$2:$U$542,2,FALSE)</f>
        <v>0</v>
      </c>
      <c r="F688">
        <f>VLOOKUP($D688,'[2]LC Dynamic'!$Q$2:$U$542,3,FALSE)</f>
        <v>0</v>
      </c>
      <c r="G688">
        <f>VLOOKUP($D688,'[2]LC Dynamic'!$Q$2:$U$542,4,FALSE)</f>
        <v>0.308</v>
      </c>
      <c r="H688">
        <f>VLOOKUP($D688,'[2]LC Dynamic'!$Q$2:$U$542,5,FALSE)</f>
        <v>0.69199999999999995</v>
      </c>
      <c r="I688" s="77">
        <f t="shared" si="1968"/>
        <v>1</v>
      </c>
      <c r="J688" s="77">
        <f t="shared" si="1969"/>
        <v>6.9728499999999985E-2</v>
      </c>
      <c r="K688" s="77">
        <f t="shared" ref="K688:K751" si="2043">(1+J688)^(1/12)-1</f>
        <v>5.632878498097682E-3</v>
      </c>
      <c r="L688" s="76">
        <v>0</v>
      </c>
      <c r="M688" s="77">
        <f t="shared" si="1979"/>
        <v>0</v>
      </c>
      <c r="N688" s="77">
        <f t="shared" si="1980"/>
        <v>0</v>
      </c>
      <c r="O688" s="77">
        <f t="shared" si="1981"/>
        <v>5.6775999999999997E-3</v>
      </c>
      <c r="P688" s="77">
        <f t="shared" si="1982"/>
        <v>4.7436902124819991E-4</v>
      </c>
      <c r="R688" t="s">
        <v>177</v>
      </c>
      <c r="S688" t="s">
        <v>179</v>
      </c>
      <c r="T688" s="197" t="str">
        <f t="shared" si="2037"/>
        <v>Autopilot_Dynamic_399</v>
      </c>
      <c r="U688">
        <v>399</v>
      </c>
      <c r="V688">
        <f>VLOOKUP($U688,'[2]AP Dynamic'!$Q$1:$T$542,2,FALSE)</f>
        <v>0.88888888888888884</v>
      </c>
      <c r="W688">
        <f>VLOOKUP($U688,'[2]AP Dynamic'!$Q$1:$T$542,3,FALSE)</f>
        <v>0.11111111111111116</v>
      </c>
      <c r="X688">
        <f>VLOOKUP($U688,'[2]AP Dynamic'!$Q$1:$T$542,4,FALSE)</f>
        <v>0</v>
      </c>
      <c r="Y688" s="77">
        <f t="shared" si="2038"/>
        <v>1</v>
      </c>
      <c r="Z688" s="77">
        <f t="shared" ref="Z688:Z751" si="2044">SUMPRODUCT($V$1:$X$1,V688:X688)</f>
        <v>6.3149999999999984E-2</v>
      </c>
      <c r="AA688" s="77">
        <f t="shared" ref="AA688:AA751" si="2045">(1+Z688)^(1/12)-1</f>
        <v>5.1160591879111372E-3</v>
      </c>
      <c r="AB688" s="79">
        <v>1</v>
      </c>
      <c r="AC688" s="77">
        <f t="shared" si="1983"/>
        <v>8.277777777777778E-3</v>
      </c>
      <c r="AD688" s="77">
        <f t="shared" ref="AD688" si="2046">1-(1-AC688)^(1/12)</f>
        <v>6.9244588451522482E-4</v>
      </c>
      <c r="AE688" s="77">
        <f t="shared" si="1985"/>
        <v>2.5000000000000001E-3</v>
      </c>
      <c r="AF688" s="77">
        <f t="shared" ref="AF688" si="2047">1-(1-AE688)^(1/12)</f>
        <v>2.0857243058891584E-4</v>
      </c>
      <c r="AH688" t="s">
        <v>175</v>
      </c>
      <c r="AI688" t="s">
        <v>179</v>
      </c>
      <c r="AJ688" s="197" t="str">
        <f t="shared" si="1972"/>
        <v>Lifecycle_Dynamic_399</v>
      </c>
      <c r="AK688">
        <v>399</v>
      </c>
      <c r="AL688">
        <f>VLOOKUP($U688,[2]Standard_Dynamic!$Q$1:$T$542,2,FALSE)</f>
        <v>0.88888888888888884</v>
      </c>
      <c r="AM688">
        <f>VLOOKUP($U688,[2]Standard_Dynamic!$Q$1:$T$542,3,FALSE)</f>
        <v>0.11111111111111116</v>
      </c>
      <c r="AN688">
        <f>VLOOKUP($U688,[2]Standard_Dynamic!$Q$1:$T$542,4,FALSE)</f>
        <v>0</v>
      </c>
      <c r="AO688" s="77">
        <f t="shared" si="1973"/>
        <v>1</v>
      </c>
      <c r="AP688" s="77">
        <f t="shared" si="1987"/>
        <v>6.3149999999999984E-2</v>
      </c>
      <c r="AQ688" s="77">
        <f t="shared" si="1974"/>
        <v>5.1160591879111372E-3</v>
      </c>
      <c r="AR688" s="79">
        <v>0</v>
      </c>
      <c r="AS688" s="77">
        <f t="shared" si="1988"/>
        <v>0</v>
      </c>
      <c r="AT688" s="77">
        <f t="shared" ref="AT688" si="2048">1-(1-AS688)^(1/12)</f>
        <v>0</v>
      </c>
      <c r="AU688" s="77">
        <f t="shared" si="1990"/>
        <v>2.5000000000000001E-3</v>
      </c>
      <c r="AV688" s="77">
        <f t="shared" ref="AV688" si="2049">1-(1-AU688)^(1/12)</f>
        <v>2.0857243058891584E-4</v>
      </c>
      <c r="AX688" t="s">
        <v>178</v>
      </c>
      <c r="AY688" t="s">
        <v>162</v>
      </c>
      <c r="AZ688" s="197" t="str">
        <f t="shared" si="1786"/>
        <v>DIS_Standard_399</v>
      </c>
      <c r="BA688">
        <v>399</v>
      </c>
      <c r="BB688">
        <f>VLOOKUP($BA688,'[2]Standard DIS'!$Q$1:$X$542,4,FALSE)</f>
        <v>0</v>
      </c>
      <c r="BF688">
        <f>VLOOKUP($BA688,'[2]Standard DIS'!$Q$1:$X$542,2,FALSE)</f>
        <v>0.88888888888888884</v>
      </c>
      <c r="BH688">
        <f>VLOOKUP($BA688,'[2]Standard DIS'!$Q$1:$X$542,3,FALSE)</f>
        <v>0.11111111111111116</v>
      </c>
      <c r="BI688" s="77">
        <f t="shared" si="1977"/>
        <v>1</v>
      </c>
      <c r="BJ688" s="77">
        <f t="shared" si="1978"/>
        <v>6.3149999999999984E-2</v>
      </c>
      <c r="BK688" s="77">
        <f t="shared" si="1787"/>
        <v>5.1160591879111372E-3</v>
      </c>
      <c r="BL688" s="79">
        <v>0</v>
      </c>
      <c r="BM688" s="77">
        <f t="shared" si="1992"/>
        <v>0</v>
      </c>
      <c r="BN688" s="77">
        <f t="shared" si="1993"/>
        <v>0</v>
      </c>
      <c r="BO688" s="77">
        <f t="shared" si="1994"/>
        <v>2.5000000000000001E-3</v>
      </c>
      <c r="BP688" s="77">
        <f t="shared" si="1995"/>
        <v>2.0809499864316017E-4</v>
      </c>
    </row>
    <row r="689" spans="1:68">
      <c r="A689" t="s">
        <v>175</v>
      </c>
      <c r="B689" t="s">
        <v>179</v>
      </c>
      <c r="C689" s="197" t="str">
        <f t="shared" si="2036"/>
        <v>Lifecycle_Dynamic_398</v>
      </c>
      <c r="D689">
        <v>398</v>
      </c>
      <c r="E689">
        <f>VLOOKUP($D689,'[2]LC Dynamic'!$Q$2:$U$542,2,FALSE)</f>
        <v>0</v>
      </c>
      <c r="F689">
        <f>VLOOKUP($D689,'[2]LC Dynamic'!$Q$2:$U$542,3,FALSE)</f>
        <v>0</v>
      </c>
      <c r="G689">
        <f>VLOOKUP($D689,'[2]LC Dynamic'!$Q$2:$U$542,4,FALSE)</f>
        <v>0.308</v>
      </c>
      <c r="H689">
        <f>VLOOKUP($D689,'[2]LC Dynamic'!$Q$2:$U$542,5,FALSE)</f>
        <v>0.69199999999999995</v>
      </c>
      <c r="I689" s="77">
        <f t="shared" si="1968"/>
        <v>1</v>
      </c>
      <c r="J689" s="77">
        <f t="shared" si="1969"/>
        <v>6.9728499999999985E-2</v>
      </c>
      <c r="K689" s="77">
        <f t="shared" si="2043"/>
        <v>5.632878498097682E-3</v>
      </c>
      <c r="L689" s="76">
        <v>0</v>
      </c>
      <c r="M689" s="77">
        <f t="shared" si="1979"/>
        <v>0</v>
      </c>
      <c r="N689" s="77">
        <f t="shared" si="1980"/>
        <v>0</v>
      </c>
      <c r="O689" s="77">
        <f t="shared" si="1981"/>
        <v>5.6775999999999997E-3</v>
      </c>
      <c r="P689" s="77">
        <f t="shared" si="1982"/>
        <v>4.7436902124819991E-4</v>
      </c>
      <c r="R689" t="s">
        <v>177</v>
      </c>
      <c r="S689" t="s">
        <v>179</v>
      </c>
      <c r="T689" s="197" t="str">
        <f t="shared" si="2037"/>
        <v>Autopilot_Dynamic_398</v>
      </c>
      <c r="U689">
        <v>398</v>
      </c>
      <c r="V689">
        <f>VLOOKUP($U689,'[2]AP Dynamic'!$Q$1:$T$542,2,FALSE)</f>
        <v>0.88888888888888884</v>
      </c>
      <c r="W689">
        <f>VLOOKUP($U689,'[2]AP Dynamic'!$Q$1:$T$542,3,FALSE)</f>
        <v>0.11111111111111116</v>
      </c>
      <c r="X689">
        <f>VLOOKUP($U689,'[2]AP Dynamic'!$Q$1:$T$542,4,FALSE)</f>
        <v>0</v>
      </c>
      <c r="Y689" s="77">
        <f t="shared" si="2038"/>
        <v>1</v>
      </c>
      <c r="Z689" s="77">
        <f t="shared" si="2044"/>
        <v>6.3149999999999984E-2</v>
      </c>
      <c r="AA689" s="77">
        <f t="shared" si="2045"/>
        <v>5.1160591879111372E-3</v>
      </c>
      <c r="AB689" s="79">
        <v>1</v>
      </c>
      <c r="AC689" s="77">
        <f t="shared" si="1983"/>
        <v>8.277777777777778E-3</v>
      </c>
      <c r="AD689" s="77">
        <f t="shared" ref="AD689" si="2050">1-(1-AC689)^(1/12)</f>
        <v>6.9244588451522482E-4</v>
      </c>
      <c r="AE689" s="77">
        <f t="shared" si="1985"/>
        <v>2.5000000000000001E-3</v>
      </c>
      <c r="AF689" s="77">
        <f t="shared" ref="AF689" si="2051">1-(1-AE689)^(1/12)</f>
        <v>2.0857243058891584E-4</v>
      </c>
      <c r="AH689" t="s">
        <v>175</v>
      </c>
      <c r="AI689" t="s">
        <v>179</v>
      </c>
      <c r="AJ689" s="197" t="str">
        <f t="shared" si="1972"/>
        <v>Lifecycle_Dynamic_398</v>
      </c>
      <c r="AK689">
        <v>398</v>
      </c>
      <c r="AL689">
        <f>VLOOKUP($U689,[2]Standard_Dynamic!$Q$1:$T$542,2,FALSE)</f>
        <v>0.88888888888888884</v>
      </c>
      <c r="AM689">
        <f>VLOOKUP($U689,[2]Standard_Dynamic!$Q$1:$T$542,3,FALSE)</f>
        <v>0.11111111111111116</v>
      </c>
      <c r="AN689">
        <f>VLOOKUP($U689,[2]Standard_Dynamic!$Q$1:$T$542,4,FALSE)</f>
        <v>0</v>
      </c>
      <c r="AO689" s="77">
        <f t="shared" si="1973"/>
        <v>1</v>
      </c>
      <c r="AP689" s="77">
        <f t="shared" si="1987"/>
        <v>6.3149999999999984E-2</v>
      </c>
      <c r="AQ689" s="77">
        <f t="shared" si="1974"/>
        <v>5.1160591879111372E-3</v>
      </c>
      <c r="AR689" s="79">
        <v>0</v>
      </c>
      <c r="AS689" s="77">
        <f t="shared" si="1988"/>
        <v>0</v>
      </c>
      <c r="AT689" s="77">
        <f t="shared" ref="AT689" si="2052">1-(1-AS689)^(1/12)</f>
        <v>0</v>
      </c>
      <c r="AU689" s="77">
        <f t="shared" si="1990"/>
        <v>2.5000000000000001E-3</v>
      </c>
      <c r="AV689" s="77">
        <f t="shared" ref="AV689" si="2053">1-(1-AU689)^(1/12)</f>
        <v>2.0857243058891584E-4</v>
      </c>
      <c r="AX689" t="s">
        <v>178</v>
      </c>
      <c r="AY689" t="s">
        <v>162</v>
      </c>
      <c r="AZ689" s="197" t="str">
        <f t="shared" si="1786"/>
        <v>DIS_Standard_398</v>
      </c>
      <c r="BA689">
        <v>398</v>
      </c>
      <c r="BB689">
        <f>VLOOKUP($BA689,'[2]Standard DIS'!$Q$1:$X$542,4,FALSE)</f>
        <v>0</v>
      </c>
      <c r="BF689">
        <f>VLOOKUP($BA689,'[2]Standard DIS'!$Q$1:$X$542,2,FALSE)</f>
        <v>0.88888888888888884</v>
      </c>
      <c r="BH689">
        <f>VLOOKUP($BA689,'[2]Standard DIS'!$Q$1:$X$542,3,FALSE)</f>
        <v>0.11111111111111116</v>
      </c>
      <c r="BI689" s="77">
        <f t="shared" si="1977"/>
        <v>1</v>
      </c>
      <c r="BJ689" s="77">
        <f t="shared" si="1978"/>
        <v>6.3149999999999984E-2</v>
      </c>
      <c r="BK689" s="77">
        <f t="shared" si="1787"/>
        <v>5.1160591879111372E-3</v>
      </c>
      <c r="BL689" s="79">
        <v>0</v>
      </c>
      <c r="BM689" s="77">
        <f t="shared" si="1992"/>
        <v>0</v>
      </c>
      <c r="BN689" s="77">
        <f t="shared" si="1993"/>
        <v>0</v>
      </c>
      <c r="BO689" s="77">
        <f t="shared" si="1994"/>
        <v>2.5000000000000001E-3</v>
      </c>
      <c r="BP689" s="77">
        <f t="shared" si="1995"/>
        <v>2.0809499864316017E-4</v>
      </c>
    </row>
    <row r="690" spans="1:68">
      <c r="A690" t="s">
        <v>175</v>
      </c>
      <c r="B690" t="s">
        <v>179</v>
      </c>
      <c r="C690" s="197" t="str">
        <f t="shared" si="2036"/>
        <v>Lifecycle_Dynamic_397</v>
      </c>
      <c r="D690">
        <v>397</v>
      </c>
      <c r="E690">
        <f>VLOOKUP($D690,'[2]LC Dynamic'!$Q$2:$U$542,2,FALSE)</f>
        <v>0</v>
      </c>
      <c r="F690">
        <f>VLOOKUP($D690,'[2]LC Dynamic'!$Q$2:$U$542,3,FALSE)</f>
        <v>0</v>
      </c>
      <c r="G690">
        <f>VLOOKUP($D690,'[2]LC Dynamic'!$Q$2:$U$542,4,FALSE)</f>
        <v>0.308</v>
      </c>
      <c r="H690">
        <f>VLOOKUP($D690,'[2]LC Dynamic'!$Q$2:$U$542,5,FALSE)</f>
        <v>0.69199999999999995</v>
      </c>
      <c r="I690" s="77">
        <f t="shared" si="1968"/>
        <v>1</v>
      </c>
      <c r="J690" s="77">
        <f t="shared" si="1969"/>
        <v>6.9728499999999985E-2</v>
      </c>
      <c r="K690" s="77">
        <f t="shared" si="2043"/>
        <v>5.632878498097682E-3</v>
      </c>
      <c r="L690" s="76">
        <v>0</v>
      </c>
      <c r="M690" s="77">
        <f t="shared" si="1979"/>
        <v>0</v>
      </c>
      <c r="N690" s="77">
        <f t="shared" si="1980"/>
        <v>0</v>
      </c>
      <c r="O690" s="77">
        <f t="shared" si="1981"/>
        <v>5.6775999999999997E-3</v>
      </c>
      <c r="P690" s="77">
        <f t="shared" si="1982"/>
        <v>4.7436902124819991E-4</v>
      </c>
      <c r="R690" t="s">
        <v>177</v>
      </c>
      <c r="S690" t="s">
        <v>179</v>
      </c>
      <c r="T690" s="197" t="str">
        <f t="shared" si="2037"/>
        <v>Autopilot_Dynamic_397</v>
      </c>
      <c r="U690">
        <v>397</v>
      </c>
      <c r="V690">
        <f>VLOOKUP($U690,'[2]AP Dynamic'!$Q$1:$T$542,2,FALSE)</f>
        <v>0.88888888888888884</v>
      </c>
      <c r="W690">
        <f>VLOOKUP($U690,'[2]AP Dynamic'!$Q$1:$T$542,3,FALSE)</f>
        <v>0.11111111111111116</v>
      </c>
      <c r="X690">
        <f>VLOOKUP($U690,'[2]AP Dynamic'!$Q$1:$T$542,4,FALSE)</f>
        <v>0</v>
      </c>
      <c r="Y690" s="77">
        <f t="shared" si="2038"/>
        <v>1</v>
      </c>
      <c r="Z690" s="77">
        <f t="shared" si="2044"/>
        <v>6.3149999999999984E-2</v>
      </c>
      <c r="AA690" s="77">
        <f t="shared" si="2045"/>
        <v>5.1160591879111372E-3</v>
      </c>
      <c r="AB690" s="79">
        <v>1</v>
      </c>
      <c r="AC690" s="77">
        <f t="shared" si="1983"/>
        <v>8.277777777777778E-3</v>
      </c>
      <c r="AD690" s="77">
        <f t="shared" ref="AD690" si="2054">1-(1-AC690)^(1/12)</f>
        <v>6.9244588451522482E-4</v>
      </c>
      <c r="AE690" s="77">
        <f t="shared" si="1985"/>
        <v>2.5000000000000001E-3</v>
      </c>
      <c r="AF690" s="77">
        <f t="shared" ref="AF690" si="2055">1-(1-AE690)^(1/12)</f>
        <v>2.0857243058891584E-4</v>
      </c>
      <c r="AH690" t="s">
        <v>175</v>
      </c>
      <c r="AI690" t="s">
        <v>179</v>
      </c>
      <c r="AJ690" s="197" t="str">
        <f t="shared" si="1972"/>
        <v>Lifecycle_Dynamic_397</v>
      </c>
      <c r="AK690">
        <v>397</v>
      </c>
      <c r="AL690">
        <f>VLOOKUP($U690,[2]Standard_Dynamic!$Q$1:$T$542,2,FALSE)</f>
        <v>0.88888888888888884</v>
      </c>
      <c r="AM690">
        <f>VLOOKUP($U690,[2]Standard_Dynamic!$Q$1:$T$542,3,FALSE)</f>
        <v>0.11111111111111116</v>
      </c>
      <c r="AN690">
        <f>VLOOKUP($U690,[2]Standard_Dynamic!$Q$1:$T$542,4,FALSE)</f>
        <v>0</v>
      </c>
      <c r="AO690" s="77">
        <f t="shared" si="1973"/>
        <v>1</v>
      </c>
      <c r="AP690" s="77">
        <f t="shared" si="1987"/>
        <v>6.3149999999999984E-2</v>
      </c>
      <c r="AQ690" s="77">
        <f t="shared" si="1974"/>
        <v>5.1160591879111372E-3</v>
      </c>
      <c r="AR690" s="79">
        <v>0</v>
      </c>
      <c r="AS690" s="77">
        <f t="shared" si="1988"/>
        <v>0</v>
      </c>
      <c r="AT690" s="77">
        <f t="shared" ref="AT690" si="2056">1-(1-AS690)^(1/12)</f>
        <v>0</v>
      </c>
      <c r="AU690" s="77">
        <f t="shared" si="1990"/>
        <v>2.5000000000000001E-3</v>
      </c>
      <c r="AV690" s="77">
        <f t="shared" ref="AV690" si="2057">1-(1-AU690)^(1/12)</f>
        <v>2.0857243058891584E-4</v>
      </c>
      <c r="AX690" t="s">
        <v>178</v>
      </c>
      <c r="AY690" t="s">
        <v>162</v>
      </c>
      <c r="AZ690" s="197" t="str">
        <f t="shared" si="1786"/>
        <v>DIS_Standard_397</v>
      </c>
      <c r="BA690">
        <v>397</v>
      </c>
      <c r="BB690">
        <f>VLOOKUP($BA690,'[2]Standard DIS'!$Q$1:$X$542,4,FALSE)</f>
        <v>0</v>
      </c>
      <c r="BF690">
        <f>VLOOKUP($BA690,'[2]Standard DIS'!$Q$1:$X$542,2,FALSE)</f>
        <v>0.88888888888888884</v>
      </c>
      <c r="BH690">
        <f>VLOOKUP($BA690,'[2]Standard DIS'!$Q$1:$X$542,3,FALSE)</f>
        <v>0.11111111111111116</v>
      </c>
      <c r="BI690" s="77">
        <f t="shared" si="1977"/>
        <v>1</v>
      </c>
      <c r="BJ690" s="77">
        <f t="shared" si="1978"/>
        <v>6.3149999999999984E-2</v>
      </c>
      <c r="BK690" s="77">
        <f t="shared" si="1787"/>
        <v>5.1160591879111372E-3</v>
      </c>
      <c r="BL690" s="79">
        <v>0</v>
      </c>
      <c r="BM690" s="77">
        <f t="shared" si="1992"/>
        <v>0</v>
      </c>
      <c r="BN690" s="77">
        <f t="shared" si="1993"/>
        <v>0</v>
      </c>
      <c r="BO690" s="77">
        <f t="shared" si="1994"/>
        <v>2.5000000000000001E-3</v>
      </c>
      <c r="BP690" s="77">
        <f t="shared" si="1995"/>
        <v>2.0809499864316017E-4</v>
      </c>
    </row>
    <row r="691" spans="1:68">
      <c r="A691" t="s">
        <v>175</v>
      </c>
      <c r="B691" t="s">
        <v>179</v>
      </c>
      <c r="C691" s="197" t="str">
        <f t="shared" si="2036"/>
        <v>Lifecycle_Dynamic_396</v>
      </c>
      <c r="D691">
        <v>396</v>
      </c>
      <c r="E691">
        <f>VLOOKUP($D691,'[2]LC Dynamic'!$Q$2:$U$542,2,FALSE)</f>
        <v>0</v>
      </c>
      <c r="F691">
        <f>VLOOKUP($D691,'[2]LC Dynamic'!$Q$2:$U$542,3,FALSE)</f>
        <v>0</v>
      </c>
      <c r="G691">
        <f>VLOOKUP($D691,'[2]LC Dynamic'!$Q$2:$U$542,4,FALSE)</f>
        <v>0.308</v>
      </c>
      <c r="H691">
        <f>VLOOKUP($D691,'[2]LC Dynamic'!$Q$2:$U$542,5,FALSE)</f>
        <v>0.69199999999999995</v>
      </c>
      <c r="I691" s="77">
        <f t="shared" si="1968"/>
        <v>1</v>
      </c>
      <c r="J691" s="77">
        <f t="shared" si="1969"/>
        <v>6.9728499999999985E-2</v>
      </c>
      <c r="K691" s="77">
        <f t="shared" si="2043"/>
        <v>5.632878498097682E-3</v>
      </c>
      <c r="L691" s="76">
        <v>0</v>
      </c>
      <c r="M691" s="77">
        <f t="shared" si="1979"/>
        <v>0</v>
      </c>
      <c r="N691" s="77">
        <f t="shared" si="1980"/>
        <v>0</v>
      </c>
      <c r="O691" s="77">
        <f t="shared" si="1981"/>
        <v>5.6775999999999997E-3</v>
      </c>
      <c r="P691" s="77">
        <f t="shared" si="1982"/>
        <v>4.7436902124819991E-4</v>
      </c>
      <c r="R691" t="s">
        <v>177</v>
      </c>
      <c r="S691" t="s">
        <v>179</v>
      </c>
      <c r="T691" s="197" t="str">
        <f t="shared" si="2037"/>
        <v>Autopilot_Dynamic_396</v>
      </c>
      <c r="U691">
        <v>396</v>
      </c>
      <c r="V691">
        <f>VLOOKUP($U691,'[2]AP Dynamic'!$Q$1:$T$542,2,FALSE)</f>
        <v>0.88888888888888884</v>
      </c>
      <c r="W691">
        <f>VLOOKUP($U691,'[2]AP Dynamic'!$Q$1:$T$542,3,FALSE)</f>
        <v>0.11111111111111116</v>
      </c>
      <c r="X691">
        <f>VLOOKUP($U691,'[2]AP Dynamic'!$Q$1:$T$542,4,FALSE)</f>
        <v>0</v>
      </c>
      <c r="Y691" s="77">
        <f t="shared" si="2038"/>
        <v>1</v>
      </c>
      <c r="Z691" s="77">
        <f t="shared" si="2044"/>
        <v>6.3149999999999984E-2</v>
      </c>
      <c r="AA691" s="77">
        <f t="shared" si="2045"/>
        <v>5.1160591879111372E-3</v>
      </c>
      <c r="AB691" s="79">
        <v>1</v>
      </c>
      <c r="AC691" s="77">
        <f t="shared" si="1983"/>
        <v>8.277777777777778E-3</v>
      </c>
      <c r="AD691" s="77">
        <f t="shared" ref="AD691" si="2058">1-(1-AC691)^(1/12)</f>
        <v>6.9244588451522482E-4</v>
      </c>
      <c r="AE691" s="77">
        <f t="shared" si="1985"/>
        <v>2.5000000000000001E-3</v>
      </c>
      <c r="AF691" s="77">
        <f t="shared" ref="AF691" si="2059">1-(1-AE691)^(1/12)</f>
        <v>2.0857243058891584E-4</v>
      </c>
      <c r="AH691" t="s">
        <v>175</v>
      </c>
      <c r="AI691" t="s">
        <v>179</v>
      </c>
      <c r="AJ691" s="197" t="str">
        <f t="shared" si="1972"/>
        <v>Lifecycle_Dynamic_396</v>
      </c>
      <c r="AK691">
        <v>396</v>
      </c>
      <c r="AL691">
        <f>VLOOKUP($U691,[2]Standard_Dynamic!$Q$1:$T$542,2,FALSE)</f>
        <v>0.88888888888888884</v>
      </c>
      <c r="AM691">
        <f>VLOOKUP($U691,[2]Standard_Dynamic!$Q$1:$T$542,3,FALSE)</f>
        <v>0.11111111111111116</v>
      </c>
      <c r="AN691">
        <f>VLOOKUP($U691,[2]Standard_Dynamic!$Q$1:$T$542,4,FALSE)</f>
        <v>0</v>
      </c>
      <c r="AO691" s="77">
        <f t="shared" si="1973"/>
        <v>1</v>
      </c>
      <c r="AP691" s="77">
        <f t="shared" si="1987"/>
        <v>6.3149999999999984E-2</v>
      </c>
      <c r="AQ691" s="77">
        <f t="shared" si="1974"/>
        <v>5.1160591879111372E-3</v>
      </c>
      <c r="AR691" s="79">
        <v>0</v>
      </c>
      <c r="AS691" s="77">
        <f t="shared" si="1988"/>
        <v>0</v>
      </c>
      <c r="AT691" s="77">
        <f t="shared" ref="AT691" si="2060">1-(1-AS691)^(1/12)</f>
        <v>0</v>
      </c>
      <c r="AU691" s="77">
        <f t="shared" si="1990"/>
        <v>2.5000000000000001E-3</v>
      </c>
      <c r="AV691" s="77">
        <f t="shared" ref="AV691" si="2061">1-(1-AU691)^(1/12)</f>
        <v>2.0857243058891584E-4</v>
      </c>
      <c r="AX691" t="s">
        <v>178</v>
      </c>
      <c r="AY691" t="s">
        <v>162</v>
      </c>
      <c r="AZ691" s="197" t="str">
        <f t="shared" si="1786"/>
        <v>DIS_Standard_396</v>
      </c>
      <c r="BA691">
        <v>396</v>
      </c>
      <c r="BB691">
        <f>VLOOKUP($BA691,'[2]Standard DIS'!$Q$1:$X$542,4,FALSE)</f>
        <v>0</v>
      </c>
      <c r="BF691">
        <f>VLOOKUP($BA691,'[2]Standard DIS'!$Q$1:$X$542,2,FALSE)</f>
        <v>0.88888888888888884</v>
      </c>
      <c r="BH691">
        <f>VLOOKUP($BA691,'[2]Standard DIS'!$Q$1:$X$542,3,FALSE)</f>
        <v>0.11111111111111116</v>
      </c>
      <c r="BI691" s="77">
        <f t="shared" si="1977"/>
        <v>1</v>
      </c>
      <c r="BJ691" s="77">
        <f t="shared" si="1978"/>
        <v>6.3149999999999984E-2</v>
      </c>
      <c r="BK691" s="77">
        <f t="shared" si="1787"/>
        <v>5.1160591879111372E-3</v>
      </c>
      <c r="BL691" s="79">
        <v>0</v>
      </c>
      <c r="BM691" s="77">
        <f t="shared" si="1992"/>
        <v>0</v>
      </c>
      <c r="BN691" s="77">
        <f t="shared" si="1993"/>
        <v>0</v>
      </c>
      <c r="BO691" s="77">
        <f t="shared" si="1994"/>
        <v>2.5000000000000001E-3</v>
      </c>
      <c r="BP691" s="77">
        <f t="shared" si="1995"/>
        <v>2.0809499864316017E-4</v>
      </c>
    </row>
    <row r="692" spans="1:68">
      <c r="A692" t="s">
        <v>175</v>
      </c>
      <c r="B692" t="s">
        <v>179</v>
      </c>
      <c r="C692" s="197" t="str">
        <f t="shared" si="2036"/>
        <v>Lifecycle_Dynamic_395</v>
      </c>
      <c r="D692">
        <v>395</v>
      </c>
      <c r="E692">
        <f>VLOOKUP($D692,'[2]LC Dynamic'!$Q$2:$U$542,2,FALSE)</f>
        <v>0</v>
      </c>
      <c r="F692">
        <f>VLOOKUP($D692,'[2]LC Dynamic'!$Q$2:$U$542,3,FALSE)</f>
        <v>0</v>
      </c>
      <c r="G692">
        <f>VLOOKUP($D692,'[2]LC Dynamic'!$Q$2:$U$542,4,FALSE)</f>
        <v>0.308</v>
      </c>
      <c r="H692">
        <f>VLOOKUP($D692,'[2]LC Dynamic'!$Q$2:$U$542,5,FALSE)</f>
        <v>0.69199999999999995</v>
      </c>
      <c r="I692" s="77">
        <f t="shared" si="1968"/>
        <v>1</v>
      </c>
      <c r="J692" s="77">
        <f t="shared" si="1969"/>
        <v>6.9728499999999985E-2</v>
      </c>
      <c r="K692" s="77">
        <f t="shared" si="2043"/>
        <v>5.632878498097682E-3</v>
      </c>
      <c r="L692" s="76">
        <v>0</v>
      </c>
      <c r="M692" s="77">
        <f t="shared" si="1979"/>
        <v>0</v>
      </c>
      <c r="N692" s="77">
        <f t="shared" si="1980"/>
        <v>0</v>
      </c>
      <c r="O692" s="77">
        <f t="shared" si="1981"/>
        <v>5.6775999999999997E-3</v>
      </c>
      <c r="P692" s="77">
        <f t="shared" si="1982"/>
        <v>4.7436902124819991E-4</v>
      </c>
      <c r="R692" t="s">
        <v>177</v>
      </c>
      <c r="S692" t="s">
        <v>179</v>
      </c>
      <c r="T692" s="197" t="str">
        <f t="shared" si="2037"/>
        <v>Autopilot_Dynamic_395</v>
      </c>
      <c r="U692">
        <v>395</v>
      </c>
      <c r="V692">
        <f>VLOOKUP($U692,'[2]AP Dynamic'!$Q$1:$T$542,2,FALSE)</f>
        <v>0.88888888888888884</v>
      </c>
      <c r="W692">
        <f>VLOOKUP($U692,'[2]AP Dynamic'!$Q$1:$T$542,3,FALSE)</f>
        <v>0.11111111111111116</v>
      </c>
      <c r="X692">
        <f>VLOOKUP($U692,'[2]AP Dynamic'!$Q$1:$T$542,4,FALSE)</f>
        <v>0</v>
      </c>
      <c r="Y692" s="77">
        <f t="shared" si="2038"/>
        <v>1</v>
      </c>
      <c r="Z692" s="77">
        <f t="shared" si="2044"/>
        <v>6.3149999999999984E-2</v>
      </c>
      <c r="AA692" s="77">
        <f t="shared" si="2045"/>
        <v>5.1160591879111372E-3</v>
      </c>
      <c r="AB692" s="79">
        <v>1</v>
      </c>
      <c r="AC692" s="77">
        <f t="shared" si="1983"/>
        <v>8.277777777777778E-3</v>
      </c>
      <c r="AD692" s="77">
        <f t="shared" ref="AD692" si="2062">1-(1-AC692)^(1/12)</f>
        <v>6.9244588451522482E-4</v>
      </c>
      <c r="AE692" s="77">
        <f t="shared" si="1985"/>
        <v>2.5000000000000001E-3</v>
      </c>
      <c r="AF692" s="77">
        <f t="shared" ref="AF692" si="2063">1-(1-AE692)^(1/12)</f>
        <v>2.0857243058891584E-4</v>
      </c>
      <c r="AH692" t="s">
        <v>175</v>
      </c>
      <c r="AI692" t="s">
        <v>179</v>
      </c>
      <c r="AJ692" s="197" t="str">
        <f t="shared" si="1972"/>
        <v>Lifecycle_Dynamic_395</v>
      </c>
      <c r="AK692">
        <v>395</v>
      </c>
      <c r="AL692">
        <f>VLOOKUP($U692,[2]Standard_Dynamic!$Q$1:$T$542,2,FALSE)</f>
        <v>0.88888888888888884</v>
      </c>
      <c r="AM692">
        <f>VLOOKUP($U692,[2]Standard_Dynamic!$Q$1:$T$542,3,FALSE)</f>
        <v>0.11111111111111116</v>
      </c>
      <c r="AN692">
        <f>VLOOKUP($U692,[2]Standard_Dynamic!$Q$1:$T$542,4,FALSE)</f>
        <v>0</v>
      </c>
      <c r="AO692" s="77">
        <f t="shared" si="1973"/>
        <v>1</v>
      </c>
      <c r="AP692" s="77">
        <f t="shared" si="1987"/>
        <v>6.3149999999999984E-2</v>
      </c>
      <c r="AQ692" s="77">
        <f t="shared" si="1974"/>
        <v>5.1160591879111372E-3</v>
      </c>
      <c r="AR692" s="79">
        <v>0</v>
      </c>
      <c r="AS692" s="77">
        <f t="shared" si="1988"/>
        <v>0</v>
      </c>
      <c r="AT692" s="77">
        <f t="shared" ref="AT692" si="2064">1-(1-AS692)^(1/12)</f>
        <v>0</v>
      </c>
      <c r="AU692" s="77">
        <f t="shared" si="1990"/>
        <v>2.5000000000000001E-3</v>
      </c>
      <c r="AV692" s="77">
        <f t="shared" ref="AV692" si="2065">1-(1-AU692)^(1/12)</f>
        <v>2.0857243058891584E-4</v>
      </c>
      <c r="AX692" t="s">
        <v>178</v>
      </c>
      <c r="AY692" t="s">
        <v>162</v>
      </c>
      <c r="AZ692" s="197" t="str">
        <f t="shared" si="1786"/>
        <v>DIS_Standard_395</v>
      </c>
      <c r="BA692">
        <v>395</v>
      </c>
      <c r="BB692">
        <f>VLOOKUP($BA692,'[2]Standard DIS'!$Q$1:$X$542,4,FALSE)</f>
        <v>0</v>
      </c>
      <c r="BF692">
        <f>VLOOKUP($BA692,'[2]Standard DIS'!$Q$1:$X$542,2,FALSE)</f>
        <v>0.88888888888888884</v>
      </c>
      <c r="BH692">
        <f>VLOOKUP($BA692,'[2]Standard DIS'!$Q$1:$X$542,3,FALSE)</f>
        <v>0.11111111111111116</v>
      </c>
      <c r="BI692" s="77">
        <f t="shared" si="1977"/>
        <v>1</v>
      </c>
      <c r="BJ692" s="77">
        <f t="shared" si="1978"/>
        <v>6.3149999999999984E-2</v>
      </c>
      <c r="BK692" s="77">
        <f t="shared" si="1787"/>
        <v>5.1160591879111372E-3</v>
      </c>
      <c r="BL692" s="79">
        <v>0</v>
      </c>
      <c r="BM692" s="77">
        <f t="shared" si="1992"/>
        <v>0</v>
      </c>
      <c r="BN692" s="77">
        <f t="shared" si="1993"/>
        <v>0</v>
      </c>
      <c r="BO692" s="77">
        <f t="shared" si="1994"/>
        <v>2.5000000000000001E-3</v>
      </c>
      <c r="BP692" s="77">
        <f t="shared" si="1995"/>
        <v>2.0809499864316017E-4</v>
      </c>
    </row>
    <row r="693" spans="1:68">
      <c r="A693" t="s">
        <v>175</v>
      </c>
      <c r="B693" t="s">
        <v>179</v>
      </c>
      <c r="C693" s="197" t="str">
        <f t="shared" si="2036"/>
        <v>Lifecycle_Dynamic_394</v>
      </c>
      <c r="D693">
        <v>394</v>
      </c>
      <c r="E693">
        <f>VLOOKUP($D693,'[2]LC Dynamic'!$Q$2:$U$542,2,FALSE)</f>
        <v>0</v>
      </c>
      <c r="F693">
        <f>VLOOKUP($D693,'[2]LC Dynamic'!$Q$2:$U$542,3,FALSE)</f>
        <v>0</v>
      </c>
      <c r="G693">
        <f>VLOOKUP($D693,'[2]LC Dynamic'!$Q$2:$U$542,4,FALSE)</f>
        <v>0.308</v>
      </c>
      <c r="H693">
        <f>VLOOKUP($D693,'[2]LC Dynamic'!$Q$2:$U$542,5,FALSE)</f>
        <v>0.69199999999999995</v>
      </c>
      <c r="I693" s="77">
        <f t="shared" si="1968"/>
        <v>1</v>
      </c>
      <c r="J693" s="77">
        <f t="shared" si="1969"/>
        <v>6.9728499999999985E-2</v>
      </c>
      <c r="K693" s="77">
        <f t="shared" si="2043"/>
        <v>5.632878498097682E-3</v>
      </c>
      <c r="L693" s="76">
        <v>0</v>
      </c>
      <c r="M693" s="77">
        <f t="shared" si="1979"/>
        <v>0</v>
      </c>
      <c r="N693" s="77">
        <f t="shared" si="1980"/>
        <v>0</v>
      </c>
      <c r="O693" s="77">
        <f t="shared" si="1981"/>
        <v>5.6775999999999997E-3</v>
      </c>
      <c r="P693" s="77">
        <f t="shared" si="1982"/>
        <v>4.7436902124819991E-4</v>
      </c>
      <c r="R693" t="s">
        <v>177</v>
      </c>
      <c r="S693" t="s">
        <v>179</v>
      </c>
      <c r="T693" s="197" t="str">
        <f t="shared" si="2037"/>
        <v>Autopilot_Dynamic_394</v>
      </c>
      <c r="U693">
        <v>394</v>
      </c>
      <c r="V693">
        <f>VLOOKUP($U693,'[2]AP Dynamic'!$Q$1:$T$542,2,FALSE)</f>
        <v>0.88888888888888884</v>
      </c>
      <c r="W693">
        <f>VLOOKUP($U693,'[2]AP Dynamic'!$Q$1:$T$542,3,FALSE)</f>
        <v>0.11111111111111116</v>
      </c>
      <c r="X693">
        <f>VLOOKUP($U693,'[2]AP Dynamic'!$Q$1:$T$542,4,FALSE)</f>
        <v>0</v>
      </c>
      <c r="Y693" s="77">
        <f t="shared" si="2038"/>
        <v>1</v>
      </c>
      <c r="Z693" s="77">
        <f t="shared" si="2044"/>
        <v>6.3149999999999984E-2</v>
      </c>
      <c r="AA693" s="77">
        <f t="shared" si="2045"/>
        <v>5.1160591879111372E-3</v>
      </c>
      <c r="AB693" s="79">
        <v>1</v>
      </c>
      <c r="AC693" s="77">
        <f t="shared" si="1983"/>
        <v>8.277777777777778E-3</v>
      </c>
      <c r="AD693" s="77">
        <f t="shared" ref="AD693" si="2066">1-(1-AC693)^(1/12)</f>
        <v>6.9244588451522482E-4</v>
      </c>
      <c r="AE693" s="77">
        <f t="shared" si="1985"/>
        <v>2.5000000000000001E-3</v>
      </c>
      <c r="AF693" s="77">
        <f t="shared" ref="AF693" si="2067">1-(1-AE693)^(1/12)</f>
        <v>2.0857243058891584E-4</v>
      </c>
      <c r="AH693" t="s">
        <v>175</v>
      </c>
      <c r="AI693" t="s">
        <v>179</v>
      </c>
      <c r="AJ693" s="197" t="str">
        <f t="shared" si="1972"/>
        <v>Lifecycle_Dynamic_394</v>
      </c>
      <c r="AK693">
        <v>394</v>
      </c>
      <c r="AL693">
        <f>VLOOKUP($U693,[2]Standard_Dynamic!$Q$1:$T$542,2,FALSE)</f>
        <v>0.88888888888888884</v>
      </c>
      <c r="AM693">
        <f>VLOOKUP($U693,[2]Standard_Dynamic!$Q$1:$T$542,3,FALSE)</f>
        <v>0.11111111111111116</v>
      </c>
      <c r="AN693">
        <f>VLOOKUP($U693,[2]Standard_Dynamic!$Q$1:$T$542,4,FALSE)</f>
        <v>0</v>
      </c>
      <c r="AO693" s="77">
        <f t="shared" si="1973"/>
        <v>1</v>
      </c>
      <c r="AP693" s="77">
        <f t="shared" si="1987"/>
        <v>6.3149999999999984E-2</v>
      </c>
      <c r="AQ693" s="77">
        <f t="shared" si="1974"/>
        <v>5.1160591879111372E-3</v>
      </c>
      <c r="AR693" s="79">
        <v>0</v>
      </c>
      <c r="AS693" s="77">
        <f t="shared" si="1988"/>
        <v>0</v>
      </c>
      <c r="AT693" s="77">
        <f t="shared" ref="AT693" si="2068">1-(1-AS693)^(1/12)</f>
        <v>0</v>
      </c>
      <c r="AU693" s="77">
        <f t="shared" si="1990"/>
        <v>2.5000000000000001E-3</v>
      </c>
      <c r="AV693" s="77">
        <f t="shared" ref="AV693" si="2069">1-(1-AU693)^(1/12)</f>
        <v>2.0857243058891584E-4</v>
      </c>
      <c r="AX693" t="s">
        <v>178</v>
      </c>
      <c r="AY693" t="s">
        <v>162</v>
      </c>
      <c r="AZ693" s="197" t="str">
        <f t="shared" ref="AZ693:AZ756" si="2070">AX693&amp;"_"&amp;AY693&amp;"_"&amp;BA693</f>
        <v>DIS_Standard_394</v>
      </c>
      <c r="BA693">
        <v>394</v>
      </c>
      <c r="BB693">
        <f>VLOOKUP($BA693,'[2]Standard DIS'!$Q$1:$X$542,4,FALSE)</f>
        <v>0</v>
      </c>
      <c r="BF693">
        <f>VLOOKUP($BA693,'[2]Standard DIS'!$Q$1:$X$542,2,FALSE)</f>
        <v>0.88888888888888884</v>
      </c>
      <c r="BH693">
        <f>VLOOKUP($BA693,'[2]Standard DIS'!$Q$1:$X$542,3,FALSE)</f>
        <v>0.11111111111111116</v>
      </c>
      <c r="BI693" s="77">
        <f t="shared" si="1977"/>
        <v>1</v>
      </c>
      <c r="BJ693" s="77">
        <f t="shared" si="1978"/>
        <v>6.3149999999999984E-2</v>
      </c>
      <c r="BK693" s="77">
        <f t="shared" ref="BK693:BK756" si="2071">(1+BJ693)^(1/12)-1</f>
        <v>5.1160591879111372E-3</v>
      </c>
      <c r="BL693" s="79">
        <v>0</v>
      </c>
      <c r="BM693" s="77">
        <f t="shared" si="1992"/>
        <v>0</v>
      </c>
      <c r="BN693" s="77">
        <f t="shared" si="1993"/>
        <v>0</v>
      </c>
      <c r="BO693" s="77">
        <f t="shared" si="1994"/>
        <v>2.5000000000000001E-3</v>
      </c>
      <c r="BP693" s="77">
        <f t="shared" si="1995"/>
        <v>2.0809499864316017E-4</v>
      </c>
    </row>
    <row r="694" spans="1:68">
      <c r="A694" t="s">
        <v>175</v>
      </c>
      <c r="B694" t="s">
        <v>179</v>
      </c>
      <c r="C694" s="197" t="str">
        <f t="shared" si="2036"/>
        <v>Lifecycle_Dynamic_393</v>
      </c>
      <c r="D694">
        <v>393</v>
      </c>
      <c r="E694">
        <f>VLOOKUP($D694,'[2]LC Dynamic'!$Q$2:$U$542,2,FALSE)</f>
        <v>0</v>
      </c>
      <c r="F694">
        <f>VLOOKUP($D694,'[2]LC Dynamic'!$Q$2:$U$542,3,FALSE)</f>
        <v>0</v>
      </c>
      <c r="G694">
        <f>VLOOKUP($D694,'[2]LC Dynamic'!$Q$2:$U$542,4,FALSE)</f>
        <v>0.308</v>
      </c>
      <c r="H694">
        <f>VLOOKUP($D694,'[2]LC Dynamic'!$Q$2:$U$542,5,FALSE)</f>
        <v>0.69199999999999995</v>
      </c>
      <c r="I694" s="77">
        <f t="shared" si="1968"/>
        <v>1</v>
      </c>
      <c r="J694" s="77">
        <f t="shared" si="1969"/>
        <v>6.9728499999999985E-2</v>
      </c>
      <c r="K694" s="77">
        <f t="shared" si="2043"/>
        <v>5.632878498097682E-3</v>
      </c>
      <c r="L694" s="76">
        <v>0</v>
      </c>
      <c r="M694" s="77">
        <f t="shared" si="1979"/>
        <v>0</v>
      </c>
      <c r="N694" s="77">
        <f t="shared" si="1980"/>
        <v>0</v>
      </c>
      <c r="O694" s="77">
        <f t="shared" si="1981"/>
        <v>5.6775999999999997E-3</v>
      </c>
      <c r="P694" s="77">
        <f t="shared" si="1982"/>
        <v>4.7436902124819991E-4</v>
      </c>
      <c r="R694" t="s">
        <v>177</v>
      </c>
      <c r="S694" t="s">
        <v>179</v>
      </c>
      <c r="T694" s="197" t="str">
        <f t="shared" si="2037"/>
        <v>Autopilot_Dynamic_393</v>
      </c>
      <c r="U694">
        <v>393</v>
      </c>
      <c r="V694">
        <f>VLOOKUP($U694,'[2]AP Dynamic'!$Q$1:$T$542,2,FALSE)</f>
        <v>0.88888888888888884</v>
      </c>
      <c r="W694">
        <f>VLOOKUP($U694,'[2]AP Dynamic'!$Q$1:$T$542,3,FALSE)</f>
        <v>0.11111111111111116</v>
      </c>
      <c r="X694">
        <f>VLOOKUP($U694,'[2]AP Dynamic'!$Q$1:$T$542,4,FALSE)</f>
        <v>0</v>
      </c>
      <c r="Y694" s="77">
        <f t="shared" si="2038"/>
        <v>1</v>
      </c>
      <c r="Z694" s="77">
        <f t="shared" si="2044"/>
        <v>6.3149999999999984E-2</v>
      </c>
      <c r="AA694" s="77">
        <f t="shared" si="2045"/>
        <v>5.1160591879111372E-3</v>
      </c>
      <c r="AB694" s="79">
        <v>1</v>
      </c>
      <c r="AC694" s="77">
        <f t="shared" si="1983"/>
        <v>8.277777777777778E-3</v>
      </c>
      <c r="AD694" s="77">
        <f t="shared" ref="AD694" si="2072">1-(1-AC694)^(1/12)</f>
        <v>6.9244588451522482E-4</v>
      </c>
      <c r="AE694" s="77">
        <f t="shared" si="1985"/>
        <v>2.5000000000000001E-3</v>
      </c>
      <c r="AF694" s="77">
        <f t="shared" ref="AF694" si="2073">1-(1-AE694)^(1/12)</f>
        <v>2.0857243058891584E-4</v>
      </c>
      <c r="AH694" t="s">
        <v>175</v>
      </c>
      <c r="AI694" t="s">
        <v>179</v>
      </c>
      <c r="AJ694" s="197" t="str">
        <f t="shared" si="1972"/>
        <v>Lifecycle_Dynamic_393</v>
      </c>
      <c r="AK694">
        <v>393</v>
      </c>
      <c r="AL694">
        <f>VLOOKUP($U694,[2]Standard_Dynamic!$Q$1:$T$542,2,FALSE)</f>
        <v>0.88888888888888884</v>
      </c>
      <c r="AM694">
        <f>VLOOKUP($U694,[2]Standard_Dynamic!$Q$1:$T$542,3,FALSE)</f>
        <v>0.11111111111111116</v>
      </c>
      <c r="AN694">
        <f>VLOOKUP($U694,[2]Standard_Dynamic!$Q$1:$T$542,4,FALSE)</f>
        <v>0</v>
      </c>
      <c r="AO694" s="77">
        <f t="shared" si="1973"/>
        <v>1</v>
      </c>
      <c r="AP694" s="77">
        <f t="shared" si="1987"/>
        <v>6.3149999999999984E-2</v>
      </c>
      <c r="AQ694" s="77">
        <f t="shared" si="1974"/>
        <v>5.1160591879111372E-3</v>
      </c>
      <c r="AR694" s="79">
        <v>0</v>
      </c>
      <c r="AS694" s="77">
        <f t="shared" si="1988"/>
        <v>0</v>
      </c>
      <c r="AT694" s="77">
        <f t="shared" ref="AT694" si="2074">1-(1-AS694)^(1/12)</f>
        <v>0</v>
      </c>
      <c r="AU694" s="77">
        <f t="shared" si="1990"/>
        <v>2.5000000000000001E-3</v>
      </c>
      <c r="AV694" s="77">
        <f t="shared" ref="AV694" si="2075">1-(1-AU694)^(1/12)</f>
        <v>2.0857243058891584E-4</v>
      </c>
      <c r="AX694" t="s">
        <v>178</v>
      </c>
      <c r="AY694" t="s">
        <v>162</v>
      </c>
      <c r="AZ694" s="197" t="str">
        <f t="shared" si="2070"/>
        <v>DIS_Standard_393</v>
      </c>
      <c r="BA694">
        <v>393</v>
      </c>
      <c r="BB694">
        <f>VLOOKUP($BA694,'[2]Standard DIS'!$Q$1:$X$542,4,FALSE)</f>
        <v>0</v>
      </c>
      <c r="BF694">
        <f>VLOOKUP($BA694,'[2]Standard DIS'!$Q$1:$X$542,2,FALSE)</f>
        <v>0.88888888888888884</v>
      </c>
      <c r="BH694">
        <f>VLOOKUP($BA694,'[2]Standard DIS'!$Q$1:$X$542,3,FALSE)</f>
        <v>0.11111111111111116</v>
      </c>
      <c r="BI694" s="77">
        <f t="shared" si="1977"/>
        <v>1</v>
      </c>
      <c r="BJ694" s="77">
        <f t="shared" si="1978"/>
        <v>6.3149999999999984E-2</v>
      </c>
      <c r="BK694" s="77">
        <f t="shared" si="2071"/>
        <v>5.1160591879111372E-3</v>
      </c>
      <c r="BL694" s="79">
        <v>0</v>
      </c>
      <c r="BM694" s="77">
        <f t="shared" si="1992"/>
        <v>0</v>
      </c>
      <c r="BN694" s="77">
        <f t="shared" si="1993"/>
        <v>0</v>
      </c>
      <c r="BO694" s="77">
        <f t="shared" si="1994"/>
        <v>2.5000000000000001E-3</v>
      </c>
      <c r="BP694" s="77">
        <f t="shared" si="1995"/>
        <v>2.0809499864316017E-4</v>
      </c>
    </row>
    <row r="695" spans="1:68">
      <c r="A695" t="s">
        <v>175</v>
      </c>
      <c r="B695" t="s">
        <v>179</v>
      </c>
      <c r="C695" s="197" t="str">
        <f t="shared" si="2036"/>
        <v>Lifecycle_Dynamic_392</v>
      </c>
      <c r="D695">
        <v>392</v>
      </c>
      <c r="E695">
        <f>VLOOKUP($D695,'[2]LC Dynamic'!$Q$2:$U$542,2,FALSE)</f>
        <v>0</v>
      </c>
      <c r="F695">
        <f>VLOOKUP($D695,'[2]LC Dynamic'!$Q$2:$U$542,3,FALSE)</f>
        <v>0</v>
      </c>
      <c r="G695">
        <f>VLOOKUP($D695,'[2]LC Dynamic'!$Q$2:$U$542,4,FALSE)</f>
        <v>0.308</v>
      </c>
      <c r="H695">
        <f>VLOOKUP($D695,'[2]LC Dynamic'!$Q$2:$U$542,5,FALSE)</f>
        <v>0.69199999999999995</v>
      </c>
      <c r="I695" s="77">
        <f t="shared" si="1968"/>
        <v>1</v>
      </c>
      <c r="J695" s="77">
        <f t="shared" si="1969"/>
        <v>6.9728499999999985E-2</v>
      </c>
      <c r="K695" s="77">
        <f t="shared" si="2043"/>
        <v>5.632878498097682E-3</v>
      </c>
      <c r="L695" s="76">
        <v>0</v>
      </c>
      <c r="M695" s="77">
        <f t="shared" si="1979"/>
        <v>0</v>
      </c>
      <c r="N695" s="77">
        <f t="shared" si="1980"/>
        <v>0</v>
      </c>
      <c r="O695" s="77">
        <f t="shared" si="1981"/>
        <v>5.6775999999999997E-3</v>
      </c>
      <c r="P695" s="77">
        <f t="shared" si="1982"/>
        <v>4.7436902124819991E-4</v>
      </c>
      <c r="R695" t="s">
        <v>177</v>
      </c>
      <c r="S695" t="s">
        <v>179</v>
      </c>
      <c r="T695" s="197" t="str">
        <f t="shared" si="2037"/>
        <v>Autopilot_Dynamic_392</v>
      </c>
      <c r="U695">
        <v>392</v>
      </c>
      <c r="V695">
        <f>VLOOKUP($U695,'[2]AP Dynamic'!$Q$1:$T$542,2,FALSE)</f>
        <v>0.88888888888888884</v>
      </c>
      <c r="W695">
        <f>VLOOKUP($U695,'[2]AP Dynamic'!$Q$1:$T$542,3,FALSE)</f>
        <v>0.11111111111111116</v>
      </c>
      <c r="X695">
        <f>VLOOKUP($U695,'[2]AP Dynamic'!$Q$1:$T$542,4,FALSE)</f>
        <v>0</v>
      </c>
      <c r="Y695" s="77">
        <f t="shared" si="2038"/>
        <v>1</v>
      </c>
      <c r="Z695" s="77">
        <f t="shared" si="2044"/>
        <v>6.3149999999999984E-2</v>
      </c>
      <c r="AA695" s="77">
        <f t="shared" si="2045"/>
        <v>5.1160591879111372E-3</v>
      </c>
      <c r="AB695" s="79">
        <v>1</v>
      </c>
      <c r="AC695" s="77">
        <f t="shared" si="1983"/>
        <v>8.277777777777778E-3</v>
      </c>
      <c r="AD695" s="77">
        <f t="shared" ref="AD695" si="2076">1-(1-AC695)^(1/12)</f>
        <v>6.9244588451522482E-4</v>
      </c>
      <c r="AE695" s="77">
        <f t="shared" si="1985"/>
        <v>2.5000000000000001E-3</v>
      </c>
      <c r="AF695" s="77">
        <f t="shared" ref="AF695" si="2077">1-(1-AE695)^(1/12)</f>
        <v>2.0857243058891584E-4</v>
      </c>
      <c r="AH695" t="s">
        <v>175</v>
      </c>
      <c r="AI695" t="s">
        <v>179</v>
      </c>
      <c r="AJ695" s="197" t="str">
        <f t="shared" si="1972"/>
        <v>Lifecycle_Dynamic_392</v>
      </c>
      <c r="AK695">
        <v>392</v>
      </c>
      <c r="AL695">
        <f>VLOOKUP($U695,[2]Standard_Dynamic!$Q$1:$T$542,2,FALSE)</f>
        <v>0.88888888888888884</v>
      </c>
      <c r="AM695">
        <f>VLOOKUP($U695,[2]Standard_Dynamic!$Q$1:$T$542,3,FALSE)</f>
        <v>0.11111111111111116</v>
      </c>
      <c r="AN695">
        <f>VLOOKUP($U695,[2]Standard_Dynamic!$Q$1:$T$542,4,FALSE)</f>
        <v>0</v>
      </c>
      <c r="AO695" s="77">
        <f t="shared" si="1973"/>
        <v>1</v>
      </c>
      <c r="AP695" s="77">
        <f t="shared" si="1987"/>
        <v>6.3149999999999984E-2</v>
      </c>
      <c r="AQ695" s="77">
        <f t="shared" si="1974"/>
        <v>5.1160591879111372E-3</v>
      </c>
      <c r="AR695" s="79">
        <v>0</v>
      </c>
      <c r="AS695" s="77">
        <f t="shared" si="1988"/>
        <v>0</v>
      </c>
      <c r="AT695" s="77">
        <f t="shared" ref="AT695" si="2078">1-(1-AS695)^(1/12)</f>
        <v>0</v>
      </c>
      <c r="AU695" s="77">
        <f t="shared" si="1990"/>
        <v>2.5000000000000001E-3</v>
      </c>
      <c r="AV695" s="77">
        <f t="shared" ref="AV695" si="2079">1-(1-AU695)^(1/12)</f>
        <v>2.0857243058891584E-4</v>
      </c>
      <c r="AX695" t="s">
        <v>178</v>
      </c>
      <c r="AY695" t="s">
        <v>162</v>
      </c>
      <c r="AZ695" s="197" t="str">
        <f t="shared" si="2070"/>
        <v>DIS_Standard_392</v>
      </c>
      <c r="BA695">
        <v>392</v>
      </c>
      <c r="BB695">
        <f>VLOOKUP($BA695,'[2]Standard DIS'!$Q$1:$X$542,4,FALSE)</f>
        <v>0</v>
      </c>
      <c r="BF695">
        <f>VLOOKUP($BA695,'[2]Standard DIS'!$Q$1:$X$542,2,FALSE)</f>
        <v>0.88888888888888884</v>
      </c>
      <c r="BH695">
        <f>VLOOKUP($BA695,'[2]Standard DIS'!$Q$1:$X$542,3,FALSE)</f>
        <v>0.11111111111111116</v>
      </c>
      <c r="BI695" s="77">
        <f t="shared" si="1977"/>
        <v>1</v>
      </c>
      <c r="BJ695" s="77">
        <f t="shared" si="1978"/>
        <v>6.3149999999999984E-2</v>
      </c>
      <c r="BK695" s="77">
        <f t="shared" si="2071"/>
        <v>5.1160591879111372E-3</v>
      </c>
      <c r="BL695" s="79">
        <v>0</v>
      </c>
      <c r="BM695" s="77">
        <f t="shared" si="1992"/>
        <v>0</v>
      </c>
      <c r="BN695" s="77">
        <f t="shared" si="1993"/>
        <v>0</v>
      </c>
      <c r="BO695" s="77">
        <f t="shared" si="1994"/>
        <v>2.5000000000000001E-3</v>
      </c>
      <c r="BP695" s="77">
        <f t="shared" si="1995"/>
        <v>2.0809499864316017E-4</v>
      </c>
    </row>
    <row r="696" spans="1:68">
      <c r="A696" t="s">
        <v>175</v>
      </c>
      <c r="B696" t="s">
        <v>179</v>
      </c>
      <c r="C696" s="197" t="str">
        <f t="shared" si="2036"/>
        <v>Lifecycle_Dynamic_391</v>
      </c>
      <c r="D696">
        <v>391</v>
      </c>
      <c r="E696">
        <f>VLOOKUP($D696,'[2]LC Dynamic'!$Q$2:$U$542,2,FALSE)</f>
        <v>0</v>
      </c>
      <c r="F696">
        <f>VLOOKUP($D696,'[2]LC Dynamic'!$Q$2:$U$542,3,FALSE)</f>
        <v>0</v>
      </c>
      <c r="G696">
        <f>VLOOKUP($D696,'[2]LC Dynamic'!$Q$2:$U$542,4,FALSE)</f>
        <v>0.308</v>
      </c>
      <c r="H696">
        <f>VLOOKUP($D696,'[2]LC Dynamic'!$Q$2:$U$542,5,FALSE)</f>
        <v>0.69199999999999995</v>
      </c>
      <c r="I696" s="77">
        <f t="shared" si="1968"/>
        <v>1</v>
      </c>
      <c r="J696" s="77">
        <f t="shared" si="1969"/>
        <v>6.9728499999999985E-2</v>
      </c>
      <c r="K696" s="77">
        <f t="shared" si="2043"/>
        <v>5.632878498097682E-3</v>
      </c>
      <c r="L696" s="76">
        <v>0</v>
      </c>
      <c r="M696" s="77">
        <f t="shared" si="1979"/>
        <v>0</v>
      </c>
      <c r="N696" s="77">
        <f t="shared" si="1980"/>
        <v>0</v>
      </c>
      <c r="O696" s="77">
        <f t="shared" si="1981"/>
        <v>5.6775999999999997E-3</v>
      </c>
      <c r="P696" s="77">
        <f t="shared" si="1982"/>
        <v>4.7436902124819991E-4</v>
      </c>
      <c r="R696" t="s">
        <v>177</v>
      </c>
      <c r="S696" t="s">
        <v>179</v>
      </c>
      <c r="T696" s="197" t="str">
        <f t="shared" si="2037"/>
        <v>Autopilot_Dynamic_391</v>
      </c>
      <c r="U696">
        <v>391</v>
      </c>
      <c r="V696">
        <f>VLOOKUP($U696,'[2]AP Dynamic'!$Q$1:$T$542,2,FALSE)</f>
        <v>0.88888888888888884</v>
      </c>
      <c r="W696">
        <f>VLOOKUP($U696,'[2]AP Dynamic'!$Q$1:$T$542,3,FALSE)</f>
        <v>0.11111111111111116</v>
      </c>
      <c r="X696">
        <f>VLOOKUP($U696,'[2]AP Dynamic'!$Q$1:$T$542,4,FALSE)</f>
        <v>0</v>
      </c>
      <c r="Y696" s="77">
        <f t="shared" si="2038"/>
        <v>1</v>
      </c>
      <c r="Z696" s="77">
        <f t="shared" si="2044"/>
        <v>6.3149999999999984E-2</v>
      </c>
      <c r="AA696" s="77">
        <f t="shared" si="2045"/>
        <v>5.1160591879111372E-3</v>
      </c>
      <c r="AB696" s="79">
        <v>1</v>
      </c>
      <c r="AC696" s="77">
        <f t="shared" si="1983"/>
        <v>8.277777777777778E-3</v>
      </c>
      <c r="AD696" s="77">
        <f t="shared" ref="AD696" si="2080">1-(1-AC696)^(1/12)</f>
        <v>6.9244588451522482E-4</v>
      </c>
      <c r="AE696" s="77">
        <f t="shared" si="1985"/>
        <v>2.5000000000000001E-3</v>
      </c>
      <c r="AF696" s="77">
        <f t="shared" ref="AF696" si="2081">1-(1-AE696)^(1/12)</f>
        <v>2.0857243058891584E-4</v>
      </c>
      <c r="AH696" t="s">
        <v>175</v>
      </c>
      <c r="AI696" t="s">
        <v>179</v>
      </c>
      <c r="AJ696" s="197" t="str">
        <f t="shared" si="1972"/>
        <v>Lifecycle_Dynamic_391</v>
      </c>
      <c r="AK696">
        <v>391</v>
      </c>
      <c r="AL696">
        <f>VLOOKUP($U696,[2]Standard_Dynamic!$Q$1:$T$542,2,FALSE)</f>
        <v>0.88888888888888884</v>
      </c>
      <c r="AM696">
        <f>VLOOKUP($U696,[2]Standard_Dynamic!$Q$1:$T$542,3,FALSE)</f>
        <v>0.11111111111111116</v>
      </c>
      <c r="AN696">
        <f>VLOOKUP($U696,[2]Standard_Dynamic!$Q$1:$T$542,4,FALSE)</f>
        <v>0</v>
      </c>
      <c r="AO696" s="77">
        <f t="shared" si="1973"/>
        <v>1</v>
      </c>
      <c r="AP696" s="77">
        <f t="shared" si="1987"/>
        <v>6.3149999999999984E-2</v>
      </c>
      <c r="AQ696" s="77">
        <f t="shared" si="1974"/>
        <v>5.1160591879111372E-3</v>
      </c>
      <c r="AR696" s="79">
        <v>0</v>
      </c>
      <c r="AS696" s="77">
        <f t="shared" si="1988"/>
        <v>0</v>
      </c>
      <c r="AT696" s="77">
        <f t="shared" ref="AT696" si="2082">1-(1-AS696)^(1/12)</f>
        <v>0</v>
      </c>
      <c r="AU696" s="77">
        <f t="shared" si="1990"/>
        <v>2.5000000000000001E-3</v>
      </c>
      <c r="AV696" s="77">
        <f t="shared" ref="AV696" si="2083">1-(1-AU696)^(1/12)</f>
        <v>2.0857243058891584E-4</v>
      </c>
      <c r="AX696" t="s">
        <v>178</v>
      </c>
      <c r="AY696" t="s">
        <v>162</v>
      </c>
      <c r="AZ696" s="197" t="str">
        <f t="shared" si="2070"/>
        <v>DIS_Standard_391</v>
      </c>
      <c r="BA696">
        <v>391</v>
      </c>
      <c r="BB696">
        <f>VLOOKUP($BA696,'[2]Standard DIS'!$Q$1:$X$542,4,FALSE)</f>
        <v>0</v>
      </c>
      <c r="BF696">
        <f>VLOOKUP($BA696,'[2]Standard DIS'!$Q$1:$X$542,2,FALSE)</f>
        <v>0.88888888888888884</v>
      </c>
      <c r="BH696">
        <f>VLOOKUP($BA696,'[2]Standard DIS'!$Q$1:$X$542,3,FALSE)</f>
        <v>0.11111111111111116</v>
      </c>
      <c r="BI696" s="77">
        <f t="shared" si="1977"/>
        <v>1</v>
      </c>
      <c r="BJ696" s="77">
        <f t="shared" si="1978"/>
        <v>6.3149999999999984E-2</v>
      </c>
      <c r="BK696" s="77">
        <f t="shared" si="2071"/>
        <v>5.1160591879111372E-3</v>
      </c>
      <c r="BL696" s="79">
        <v>0</v>
      </c>
      <c r="BM696" s="77">
        <f t="shared" si="1992"/>
        <v>0</v>
      </c>
      <c r="BN696" s="77">
        <f t="shared" si="1993"/>
        <v>0</v>
      </c>
      <c r="BO696" s="77">
        <f t="shared" si="1994"/>
        <v>2.5000000000000001E-3</v>
      </c>
      <c r="BP696" s="77">
        <f t="shared" si="1995"/>
        <v>2.0809499864316017E-4</v>
      </c>
    </row>
    <row r="697" spans="1:68">
      <c r="A697" t="s">
        <v>175</v>
      </c>
      <c r="B697" t="s">
        <v>179</v>
      </c>
      <c r="C697" s="197" t="str">
        <f t="shared" si="2036"/>
        <v>Lifecycle_Dynamic_390</v>
      </c>
      <c r="D697">
        <v>390</v>
      </c>
      <c r="E697">
        <f>VLOOKUP($D697,'[2]LC Dynamic'!$Q$2:$U$542,2,FALSE)</f>
        <v>0</v>
      </c>
      <c r="F697">
        <f>VLOOKUP($D697,'[2]LC Dynamic'!$Q$2:$U$542,3,FALSE)</f>
        <v>0</v>
      </c>
      <c r="G697">
        <f>VLOOKUP($D697,'[2]LC Dynamic'!$Q$2:$U$542,4,FALSE)</f>
        <v>0.308</v>
      </c>
      <c r="H697">
        <f>VLOOKUP($D697,'[2]LC Dynamic'!$Q$2:$U$542,5,FALSE)</f>
        <v>0.69199999999999995</v>
      </c>
      <c r="I697" s="77">
        <f t="shared" si="1968"/>
        <v>1</v>
      </c>
      <c r="J697" s="77">
        <f t="shared" si="1969"/>
        <v>6.9728499999999985E-2</v>
      </c>
      <c r="K697" s="77">
        <f t="shared" si="2043"/>
        <v>5.632878498097682E-3</v>
      </c>
      <c r="L697" s="76">
        <v>0</v>
      </c>
      <c r="M697" s="77">
        <f t="shared" si="1979"/>
        <v>0</v>
      </c>
      <c r="N697" s="77">
        <f t="shared" si="1980"/>
        <v>0</v>
      </c>
      <c r="O697" s="77">
        <f t="shared" si="1981"/>
        <v>5.6775999999999997E-3</v>
      </c>
      <c r="P697" s="77">
        <f t="shared" si="1982"/>
        <v>4.7436902124819991E-4</v>
      </c>
      <c r="R697" t="s">
        <v>177</v>
      </c>
      <c r="S697" t="s">
        <v>179</v>
      </c>
      <c r="T697" s="197" t="str">
        <f t="shared" si="2037"/>
        <v>Autopilot_Dynamic_390</v>
      </c>
      <c r="U697">
        <v>390</v>
      </c>
      <c r="V697">
        <f>VLOOKUP($U697,'[2]AP Dynamic'!$Q$1:$T$542,2,FALSE)</f>
        <v>0.88888888888888884</v>
      </c>
      <c r="W697">
        <f>VLOOKUP($U697,'[2]AP Dynamic'!$Q$1:$T$542,3,FALSE)</f>
        <v>0.11111111111111116</v>
      </c>
      <c r="X697">
        <f>VLOOKUP($U697,'[2]AP Dynamic'!$Q$1:$T$542,4,FALSE)</f>
        <v>0</v>
      </c>
      <c r="Y697" s="77">
        <f t="shared" si="2038"/>
        <v>1</v>
      </c>
      <c r="Z697" s="77">
        <f t="shared" si="2044"/>
        <v>6.3149999999999984E-2</v>
      </c>
      <c r="AA697" s="77">
        <f t="shared" si="2045"/>
        <v>5.1160591879111372E-3</v>
      </c>
      <c r="AB697" s="79">
        <v>1</v>
      </c>
      <c r="AC697" s="77">
        <f t="shared" si="1983"/>
        <v>8.277777777777778E-3</v>
      </c>
      <c r="AD697" s="77">
        <f t="shared" ref="AD697" si="2084">1-(1-AC697)^(1/12)</f>
        <v>6.9244588451522482E-4</v>
      </c>
      <c r="AE697" s="77">
        <f t="shared" si="1985"/>
        <v>2.5000000000000001E-3</v>
      </c>
      <c r="AF697" s="77">
        <f t="shared" ref="AF697" si="2085">1-(1-AE697)^(1/12)</f>
        <v>2.0857243058891584E-4</v>
      </c>
      <c r="AH697" t="s">
        <v>175</v>
      </c>
      <c r="AI697" t="s">
        <v>179</v>
      </c>
      <c r="AJ697" s="197" t="str">
        <f t="shared" si="1972"/>
        <v>Lifecycle_Dynamic_390</v>
      </c>
      <c r="AK697">
        <v>390</v>
      </c>
      <c r="AL697">
        <f>VLOOKUP($U697,[2]Standard_Dynamic!$Q$1:$T$542,2,FALSE)</f>
        <v>0.88888888888888884</v>
      </c>
      <c r="AM697">
        <f>VLOOKUP($U697,[2]Standard_Dynamic!$Q$1:$T$542,3,FALSE)</f>
        <v>0.11111111111111116</v>
      </c>
      <c r="AN697">
        <f>VLOOKUP($U697,[2]Standard_Dynamic!$Q$1:$T$542,4,FALSE)</f>
        <v>0</v>
      </c>
      <c r="AO697" s="77">
        <f t="shared" si="1973"/>
        <v>1</v>
      </c>
      <c r="AP697" s="77">
        <f t="shared" si="1987"/>
        <v>6.3149999999999984E-2</v>
      </c>
      <c r="AQ697" s="77">
        <f t="shared" si="1974"/>
        <v>5.1160591879111372E-3</v>
      </c>
      <c r="AR697" s="79">
        <v>0</v>
      </c>
      <c r="AS697" s="77">
        <f t="shared" si="1988"/>
        <v>0</v>
      </c>
      <c r="AT697" s="77">
        <f t="shared" ref="AT697" si="2086">1-(1-AS697)^(1/12)</f>
        <v>0</v>
      </c>
      <c r="AU697" s="77">
        <f t="shared" si="1990"/>
        <v>2.5000000000000001E-3</v>
      </c>
      <c r="AV697" s="77">
        <f t="shared" ref="AV697" si="2087">1-(1-AU697)^(1/12)</f>
        <v>2.0857243058891584E-4</v>
      </c>
      <c r="AX697" t="s">
        <v>178</v>
      </c>
      <c r="AY697" t="s">
        <v>162</v>
      </c>
      <c r="AZ697" s="197" t="str">
        <f t="shared" si="2070"/>
        <v>DIS_Standard_390</v>
      </c>
      <c r="BA697">
        <v>390</v>
      </c>
      <c r="BB697">
        <f>VLOOKUP($BA697,'[2]Standard DIS'!$Q$1:$X$542,4,FALSE)</f>
        <v>0</v>
      </c>
      <c r="BF697">
        <f>VLOOKUP($BA697,'[2]Standard DIS'!$Q$1:$X$542,2,FALSE)</f>
        <v>0.88888888888888884</v>
      </c>
      <c r="BH697">
        <f>VLOOKUP($BA697,'[2]Standard DIS'!$Q$1:$X$542,3,FALSE)</f>
        <v>0.11111111111111116</v>
      </c>
      <c r="BI697" s="77">
        <f t="shared" si="1977"/>
        <v>1</v>
      </c>
      <c r="BJ697" s="77">
        <f t="shared" si="1978"/>
        <v>6.3149999999999984E-2</v>
      </c>
      <c r="BK697" s="77">
        <f t="shared" si="2071"/>
        <v>5.1160591879111372E-3</v>
      </c>
      <c r="BL697" s="79">
        <v>0</v>
      </c>
      <c r="BM697" s="77">
        <f t="shared" si="1992"/>
        <v>0</v>
      </c>
      <c r="BN697" s="77">
        <f t="shared" si="1993"/>
        <v>0</v>
      </c>
      <c r="BO697" s="77">
        <f t="shared" si="1994"/>
        <v>2.5000000000000001E-3</v>
      </c>
      <c r="BP697" s="77">
        <f t="shared" si="1995"/>
        <v>2.0809499864316017E-4</v>
      </c>
    </row>
    <row r="698" spans="1:68">
      <c r="A698" t="s">
        <v>175</v>
      </c>
      <c r="B698" t="s">
        <v>179</v>
      </c>
      <c r="C698" s="197" t="str">
        <f t="shared" si="2036"/>
        <v>Lifecycle_Dynamic_389</v>
      </c>
      <c r="D698">
        <v>389</v>
      </c>
      <c r="E698">
        <f>VLOOKUP($D698,'[2]LC Dynamic'!$Q$2:$U$542,2,FALSE)</f>
        <v>0</v>
      </c>
      <c r="F698">
        <f>VLOOKUP($D698,'[2]LC Dynamic'!$Q$2:$U$542,3,FALSE)</f>
        <v>0</v>
      </c>
      <c r="G698">
        <f>VLOOKUP($D698,'[2]LC Dynamic'!$Q$2:$U$542,4,FALSE)</f>
        <v>0.308</v>
      </c>
      <c r="H698">
        <f>VLOOKUP($D698,'[2]LC Dynamic'!$Q$2:$U$542,5,FALSE)</f>
        <v>0.69199999999999995</v>
      </c>
      <c r="I698" s="77">
        <f t="shared" si="1968"/>
        <v>1</v>
      </c>
      <c r="J698" s="77">
        <f t="shared" si="1969"/>
        <v>6.9728499999999985E-2</v>
      </c>
      <c r="K698" s="77">
        <f t="shared" si="2043"/>
        <v>5.632878498097682E-3</v>
      </c>
      <c r="L698" s="76">
        <v>0</v>
      </c>
      <c r="M698" s="77">
        <f t="shared" si="1979"/>
        <v>0</v>
      </c>
      <c r="N698" s="77">
        <f t="shared" si="1980"/>
        <v>0</v>
      </c>
      <c r="O698" s="77">
        <f t="shared" si="1981"/>
        <v>5.6775999999999997E-3</v>
      </c>
      <c r="P698" s="77">
        <f t="shared" si="1982"/>
        <v>4.7436902124819991E-4</v>
      </c>
      <c r="R698" t="s">
        <v>177</v>
      </c>
      <c r="S698" t="s">
        <v>179</v>
      </c>
      <c r="T698" s="197" t="str">
        <f t="shared" si="2037"/>
        <v>Autopilot_Dynamic_389</v>
      </c>
      <c r="U698">
        <v>389</v>
      </c>
      <c r="V698">
        <f>VLOOKUP($U698,'[2]AP Dynamic'!$Q$1:$T$542,2,FALSE)</f>
        <v>0.88888888888888884</v>
      </c>
      <c r="W698">
        <f>VLOOKUP($U698,'[2]AP Dynamic'!$Q$1:$T$542,3,FALSE)</f>
        <v>0.11111111111111116</v>
      </c>
      <c r="X698">
        <f>VLOOKUP($U698,'[2]AP Dynamic'!$Q$1:$T$542,4,FALSE)</f>
        <v>0</v>
      </c>
      <c r="Y698" s="77">
        <f t="shared" si="2038"/>
        <v>1</v>
      </c>
      <c r="Z698" s="77">
        <f t="shared" si="2044"/>
        <v>6.3149999999999984E-2</v>
      </c>
      <c r="AA698" s="77">
        <f t="shared" si="2045"/>
        <v>5.1160591879111372E-3</v>
      </c>
      <c r="AB698" s="79">
        <v>1</v>
      </c>
      <c r="AC698" s="77">
        <f t="shared" si="1983"/>
        <v>8.277777777777778E-3</v>
      </c>
      <c r="AD698" s="77">
        <f t="shared" ref="AD698" si="2088">1-(1-AC698)^(1/12)</f>
        <v>6.9244588451522482E-4</v>
      </c>
      <c r="AE698" s="77">
        <f t="shared" si="1985"/>
        <v>2.5000000000000001E-3</v>
      </c>
      <c r="AF698" s="77">
        <f t="shared" ref="AF698" si="2089">1-(1-AE698)^(1/12)</f>
        <v>2.0857243058891584E-4</v>
      </c>
      <c r="AH698" t="s">
        <v>175</v>
      </c>
      <c r="AI698" t="s">
        <v>179</v>
      </c>
      <c r="AJ698" s="197" t="str">
        <f t="shared" si="1972"/>
        <v>Lifecycle_Dynamic_389</v>
      </c>
      <c r="AK698">
        <v>389</v>
      </c>
      <c r="AL698">
        <f>VLOOKUP($U698,[2]Standard_Dynamic!$Q$1:$T$542,2,FALSE)</f>
        <v>0.88888888888888884</v>
      </c>
      <c r="AM698">
        <f>VLOOKUP($U698,[2]Standard_Dynamic!$Q$1:$T$542,3,FALSE)</f>
        <v>0.11111111111111116</v>
      </c>
      <c r="AN698">
        <f>VLOOKUP($U698,[2]Standard_Dynamic!$Q$1:$T$542,4,FALSE)</f>
        <v>0</v>
      </c>
      <c r="AO698" s="77">
        <f t="shared" si="1973"/>
        <v>1</v>
      </c>
      <c r="AP698" s="77">
        <f t="shared" si="1987"/>
        <v>6.3149999999999984E-2</v>
      </c>
      <c r="AQ698" s="77">
        <f t="shared" si="1974"/>
        <v>5.1160591879111372E-3</v>
      </c>
      <c r="AR698" s="79">
        <v>0</v>
      </c>
      <c r="AS698" s="77">
        <f t="shared" si="1988"/>
        <v>0</v>
      </c>
      <c r="AT698" s="77">
        <f t="shared" ref="AT698" si="2090">1-(1-AS698)^(1/12)</f>
        <v>0</v>
      </c>
      <c r="AU698" s="77">
        <f t="shared" si="1990"/>
        <v>2.5000000000000001E-3</v>
      </c>
      <c r="AV698" s="77">
        <f t="shared" ref="AV698" si="2091">1-(1-AU698)^(1/12)</f>
        <v>2.0857243058891584E-4</v>
      </c>
      <c r="AX698" t="s">
        <v>178</v>
      </c>
      <c r="AY698" t="s">
        <v>162</v>
      </c>
      <c r="AZ698" s="197" t="str">
        <f t="shared" si="2070"/>
        <v>DIS_Standard_389</v>
      </c>
      <c r="BA698">
        <v>389</v>
      </c>
      <c r="BB698">
        <f>VLOOKUP($BA698,'[2]Standard DIS'!$Q$1:$X$542,4,FALSE)</f>
        <v>0</v>
      </c>
      <c r="BF698">
        <f>VLOOKUP($BA698,'[2]Standard DIS'!$Q$1:$X$542,2,FALSE)</f>
        <v>0.88888888888888884</v>
      </c>
      <c r="BH698">
        <f>VLOOKUP($BA698,'[2]Standard DIS'!$Q$1:$X$542,3,FALSE)</f>
        <v>0.11111111111111116</v>
      </c>
      <c r="BI698" s="77">
        <f t="shared" si="1977"/>
        <v>1</v>
      </c>
      <c r="BJ698" s="77">
        <f t="shared" si="1978"/>
        <v>6.3149999999999984E-2</v>
      </c>
      <c r="BK698" s="77">
        <f t="shared" si="2071"/>
        <v>5.1160591879111372E-3</v>
      </c>
      <c r="BL698" s="79">
        <v>0</v>
      </c>
      <c r="BM698" s="77">
        <f t="shared" si="1992"/>
        <v>0</v>
      </c>
      <c r="BN698" s="77">
        <f t="shared" si="1993"/>
        <v>0</v>
      </c>
      <c r="BO698" s="77">
        <f t="shared" si="1994"/>
        <v>2.5000000000000001E-3</v>
      </c>
      <c r="BP698" s="77">
        <f t="shared" si="1995"/>
        <v>2.0809499864316017E-4</v>
      </c>
    </row>
    <row r="699" spans="1:68">
      <c r="A699" t="s">
        <v>175</v>
      </c>
      <c r="B699" t="s">
        <v>179</v>
      </c>
      <c r="C699" s="197" t="str">
        <f t="shared" si="2036"/>
        <v>Lifecycle_Dynamic_388</v>
      </c>
      <c r="D699">
        <v>388</v>
      </c>
      <c r="E699">
        <f>VLOOKUP($D699,'[2]LC Dynamic'!$Q$2:$U$542,2,FALSE)</f>
        <v>0</v>
      </c>
      <c r="F699">
        <f>VLOOKUP($D699,'[2]LC Dynamic'!$Q$2:$U$542,3,FALSE)</f>
        <v>0</v>
      </c>
      <c r="G699">
        <f>VLOOKUP($D699,'[2]LC Dynamic'!$Q$2:$U$542,4,FALSE)</f>
        <v>0.308</v>
      </c>
      <c r="H699">
        <f>VLOOKUP($D699,'[2]LC Dynamic'!$Q$2:$U$542,5,FALSE)</f>
        <v>0.69199999999999995</v>
      </c>
      <c r="I699" s="77">
        <f t="shared" si="1968"/>
        <v>1</v>
      </c>
      <c r="J699" s="77">
        <f t="shared" si="1969"/>
        <v>6.9728499999999985E-2</v>
      </c>
      <c r="K699" s="77">
        <f t="shared" si="2043"/>
        <v>5.632878498097682E-3</v>
      </c>
      <c r="L699" s="76">
        <v>0</v>
      </c>
      <c r="M699" s="77">
        <f t="shared" si="1979"/>
        <v>0</v>
      </c>
      <c r="N699" s="77">
        <f t="shared" si="1980"/>
        <v>0</v>
      </c>
      <c r="O699" s="77">
        <f t="shared" si="1981"/>
        <v>5.6775999999999997E-3</v>
      </c>
      <c r="P699" s="77">
        <f t="shared" si="1982"/>
        <v>4.7436902124819991E-4</v>
      </c>
      <c r="R699" t="s">
        <v>177</v>
      </c>
      <c r="S699" t="s">
        <v>179</v>
      </c>
      <c r="T699" s="197" t="str">
        <f t="shared" si="2037"/>
        <v>Autopilot_Dynamic_388</v>
      </c>
      <c r="U699">
        <v>388</v>
      </c>
      <c r="V699">
        <f>VLOOKUP($U699,'[2]AP Dynamic'!$Q$1:$T$542,2,FALSE)</f>
        <v>0.88888888888888884</v>
      </c>
      <c r="W699">
        <f>VLOOKUP($U699,'[2]AP Dynamic'!$Q$1:$T$542,3,FALSE)</f>
        <v>0.11111111111111116</v>
      </c>
      <c r="X699">
        <f>VLOOKUP($U699,'[2]AP Dynamic'!$Q$1:$T$542,4,FALSE)</f>
        <v>0</v>
      </c>
      <c r="Y699" s="77">
        <f t="shared" si="2038"/>
        <v>1</v>
      </c>
      <c r="Z699" s="77">
        <f t="shared" si="2044"/>
        <v>6.3149999999999984E-2</v>
      </c>
      <c r="AA699" s="77">
        <f t="shared" si="2045"/>
        <v>5.1160591879111372E-3</v>
      </c>
      <c r="AB699" s="79">
        <v>1</v>
      </c>
      <c r="AC699" s="77">
        <f t="shared" si="1983"/>
        <v>8.277777777777778E-3</v>
      </c>
      <c r="AD699" s="77">
        <f t="shared" ref="AD699" si="2092">1-(1-AC699)^(1/12)</f>
        <v>6.9244588451522482E-4</v>
      </c>
      <c r="AE699" s="77">
        <f t="shared" si="1985"/>
        <v>2.5000000000000001E-3</v>
      </c>
      <c r="AF699" s="77">
        <f t="shared" ref="AF699" si="2093">1-(1-AE699)^(1/12)</f>
        <v>2.0857243058891584E-4</v>
      </c>
      <c r="AH699" t="s">
        <v>175</v>
      </c>
      <c r="AI699" t="s">
        <v>179</v>
      </c>
      <c r="AJ699" s="197" t="str">
        <f t="shared" si="1972"/>
        <v>Lifecycle_Dynamic_388</v>
      </c>
      <c r="AK699">
        <v>388</v>
      </c>
      <c r="AL699">
        <f>VLOOKUP($U699,[2]Standard_Dynamic!$Q$1:$T$542,2,FALSE)</f>
        <v>0.88888888888888884</v>
      </c>
      <c r="AM699">
        <f>VLOOKUP($U699,[2]Standard_Dynamic!$Q$1:$T$542,3,FALSE)</f>
        <v>0.11111111111111116</v>
      </c>
      <c r="AN699">
        <f>VLOOKUP($U699,[2]Standard_Dynamic!$Q$1:$T$542,4,FALSE)</f>
        <v>0</v>
      </c>
      <c r="AO699" s="77">
        <f t="shared" si="1973"/>
        <v>1</v>
      </c>
      <c r="AP699" s="77">
        <f t="shared" si="1987"/>
        <v>6.3149999999999984E-2</v>
      </c>
      <c r="AQ699" s="77">
        <f t="shared" si="1974"/>
        <v>5.1160591879111372E-3</v>
      </c>
      <c r="AR699" s="79">
        <v>0</v>
      </c>
      <c r="AS699" s="77">
        <f t="shared" si="1988"/>
        <v>0</v>
      </c>
      <c r="AT699" s="77">
        <f t="shared" ref="AT699" si="2094">1-(1-AS699)^(1/12)</f>
        <v>0</v>
      </c>
      <c r="AU699" s="77">
        <f t="shared" si="1990"/>
        <v>2.5000000000000001E-3</v>
      </c>
      <c r="AV699" s="77">
        <f t="shared" ref="AV699" si="2095">1-(1-AU699)^(1/12)</f>
        <v>2.0857243058891584E-4</v>
      </c>
      <c r="AX699" t="s">
        <v>178</v>
      </c>
      <c r="AY699" t="s">
        <v>162</v>
      </c>
      <c r="AZ699" s="197" t="str">
        <f t="shared" si="2070"/>
        <v>DIS_Standard_388</v>
      </c>
      <c r="BA699">
        <v>388</v>
      </c>
      <c r="BB699">
        <f>VLOOKUP($BA699,'[2]Standard DIS'!$Q$1:$X$542,4,FALSE)</f>
        <v>0</v>
      </c>
      <c r="BF699">
        <f>VLOOKUP($BA699,'[2]Standard DIS'!$Q$1:$X$542,2,FALSE)</f>
        <v>0.88888888888888884</v>
      </c>
      <c r="BH699">
        <f>VLOOKUP($BA699,'[2]Standard DIS'!$Q$1:$X$542,3,FALSE)</f>
        <v>0.11111111111111116</v>
      </c>
      <c r="BI699" s="77">
        <f t="shared" si="1977"/>
        <v>1</v>
      </c>
      <c r="BJ699" s="77">
        <f t="shared" si="1978"/>
        <v>6.3149999999999984E-2</v>
      </c>
      <c r="BK699" s="77">
        <f t="shared" si="2071"/>
        <v>5.1160591879111372E-3</v>
      </c>
      <c r="BL699" s="79">
        <v>0</v>
      </c>
      <c r="BM699" s="77">
        <f t="shared" si="1992"/>
        <v>0</v>
      </c>
      <c r="BN699" s="77">
        <f t="shared" si="1993"/>
        <v>0</v>
      </c>
      <c r="BO699" s="77">
        <f t="shared" si="1994"/>
        <v>2.5000000000000001E-3</v>
      </c>
      <c r="BP699" s="77">
        <f t="shared" si="1995"/>
        <v>2.0809499864316017E-4</v>
      </c>
    </row>
    <row r="700" spans="1:68">
      <c r="A700" t="s">
        <v>175</v>
      </c>
      <c r="B700" t="s">
        <v>179</v>
      </c>
      <c r="C700" s="197" t="str">
        <f t="shared" si="2036"/>
        <v>Lifecycle_Dynamic_387</v>
      </c>
      <c r="D700">
        <v>387</v>
      </c>
      <c r="E700">
        <f>VLOOKUP($D700,'[2]LC Dynamic'!$Q$2:$U$542,2,FALSE)</f>
        <v>0</v>
      </c>
      <c r="F700">
        <f>VLOOKUP($D700,'[2]LC Dynamic'!$Q$2:$U$542,3,FALSE)</f>
        <v>0</v>
      </c>
      <c r="G700">
        <f>VLOOKUP($D700,'[2]LC Dynamic'!$Q$2:$U$542,4,FALSE)</f>
        <v>0.308</v>
      </c>
      <c r="H700">
        <f>VLOOKUP($D700,'[2]LC Dynamic'!$Q$2:$U$542,5,FALSE)</f>
        <v>0.69199999999999995</v>
      </c>
      <c r="I700" s="77">
        <f t="shared" si="1968"/>
        <v>1</v>
      </c>
      <c r="J700" s="77">
        <f t="shared" si="1969"/>
        <v>6.9728499999999985E-2</v>
      </c>
      <c r="K700" s="77">
        <f t="shared" si="2043"/>
        <v>5.632878498097682E-3</v>
      </c>
      <c r="L700" s="76">
        <v>0</v>
      </c>
      <c r="M700" s="77">
        <f t="shared" si="1979"/>
        <v>0</v>
      </c>
      <c r="N700" s="77">
        <f t="shared" si="1980"/>
        <v>0</v>
      </c>
      <c r="O700" s="77">
        <f t="shared" si="1981"/>
        <v>5.6775999999999997E-3</v>
      </c>
      <c r="P700" s="77">
        <f t="shared" si="1982"/>
        <v>4.7436902124819991E-4</v>
      </c>
      <c r="R700" t="s">
        <v>177</v>
      </c>
      <c r="S700" t="s">
        <v>179</v>
      </c>
      <c r="T700" s="197" t="str">
        <f t="shared" si="2037"/>
        <v>Autopilot_Dynamic_387</v>
      </c>
      <c r="U700">
        <v>387</v>
      </c>
      <c r="V700">
        <f>VLOOKUP($U700,'[2]AP Dynamic'!$Q$1:$T$542,2,FALSE)</f>
        <v>0.88888888888888884</v>
      </c>
      <c r="W700">
        <f>VLOOKUP($U700,'[2]AP Dynamic'!$Q$1:$T$542,3,FALSE)</f>
        <v>0.11111111111111116</v>
      </c>
      <c r="X700">
        <f>VLOOKUP($U700,'[2]AP Dynamic'!$Q$1:$T$542,4,FALSE)</f>
        <v>0</v>
      </c>
      <c r="Y700" s="77">
        <f t="shared" si="2038"/>
        <v>1</v>
      </c>
      <c r="Z700" s="77">
        <f t="shared" si="2044"/>
        <v>6.3149999999999984E-2</v>
      </c>
      <c r="AA700" s="77">
        <f t="shared" si="2045"/>
        <v>5.1160591879111372E-3</v>
      </c>
      <c r="AB700" s="79">
        <v>1</v>
      </c>
      <c r="AC700" s="77">
        <f t="shared" si="1983"/>
        <v>8.277777777777778E-3</v>
      </c>
      <c r="AD700" s="77">
        <f t="shared" ref="AD700" si="2096">1-(1-AC700)^(1/12)</f>
        <v>6.9244588451522482E-4</v>
      </c>
      <c r="AE700" s="77">
        <f t="shared" si="1985"/>
        <v>2.5000000000000001E-3</v>
      </c>
      <c r="AF700" s="77">
        <f t="shared" ref="AF700" si="2097">1-(1-AE700)^(1/12)</f>
        <v>2.0857243058891584E-4</v>
      </c>
      <c r="AH700" t="s">
        <v>175</v>
      </c>
      <c r="AI700" t="s">
        <v>179</v>
      </c>
      <c r="AJ700" s="197" t="str">
        <f t="shared" si="1972"/>
        <v>Lifecycle_Dynamic_387</v>
      </c>
      <c r="AK700">
        <v>387</v>
      </c>
      <c r="AL700">
        <f>VLOOKUP($U700,[2]Standard_Dynamic!$Q$1:$T$542,2,FALSE)</f>
        <v>0.88888888888888884</v>
      </c>
      <c r="AM700">
        <f>VLOOKUP($U700,[2]Standard_Dynamic!$Q$1:$T$542,3,FALSE)</f>
        <v>0.11111111111111116</v>
      </c>
      <c r="AN700">
        <f>VLOOKUP($U700,[2]Standard_Dynamic!$Q$1:$T$542,4,FALSE)</f>
        <v>0</v>
      </c>
      <c r="AO700" s="77">
        <f t="shared" si="1973"/>
        <v>1</v>
      </c>
      <c r="AP700" s="77">
        <f t="shared" si="1987"/>
        <v>6.3149999999999984E-2</v>
      </c>
      <c r="AQ700" s="77">
        <f t="shared" si="1974"/>
        <v>5.1160591879111372E-3</v>
      </c>
      <c r="AR700" s="79">
        <v>0</v>
      </c>
      <c r="AS700" s="77">
        <f t="shared" si="1988"/>
        <v>0</v>
      </c>
      <c r="AT700" s="77">
        <f t="shared" ref="AT700" si="2098">1-(1-AS700)^(1/12)</f>
        <v>0</v>
      </c>
      <c r="AU700" s="77">
        <f t="shared" si="1990"/>
        <v>2.5000000000000001E-3</v>
      </c>
      <c r="AV700" s="77">
        <f t="shared" ref="AV700" si="2099">1-(1-AU700)^(1/12)</f>
        <v>2.0857243058891584E-4</v>
      </c>
      <c r="AX700" t="s">
        <v>178</v>
      </c>
      <c r="AY700" t="s">
        <v>162</v>
      </c>
      <c r="AZ700" s="197" t="str">
        <f t="shared" si="2070"/>
        <v>DIS_Standard_387</v>
      </c>
      <c r="BA700">
        <v>387</v>
      </c>
      <c r="BB700">
        <f>VLOOKUP($BA700,'[2]Standard DIS'!$Q$1:$X$542,4,FALSE)</f>
        <v>0</v>
      </c>
      <c r="BF700">
        <f>VLOOKUP($BA700,'[2]Standard DIS'!$Q$1:$X$542,2,FALSE)</f>
        <v>0.88888888888888884</v>
      </c>
      <c r="BH700">
        <f>VLOOKUP($BA700,'[2]Standard DIS'!$Q$1:$X$542,3,FALSE)</f>
        <v>0.11111111111111116</v>
      </c>
      <c r="BI700" s="77">
        <f t="shared" si="1977"/>
        <v>1</v>
      </c>
      <c r="BJ700" s="77">
        <f t="shared" si="1978"/>
        <v>6.3149999999999984E-2</v>
      </c>
      <c r="BK700" s="77">
        <f t="shared" si="2071"/>
        <v>5.1160591879111372E-3</v>
      </c>
      <c r="BL700" s="79">
        <v>0</v>
      </c>
      <c r="BM700" s="77">
        <f t="shared" si="1992"/>
        <v>0</v>
      </c>
      <c r="BN700" s="77">
        <f t="shared" si="1993"/>
        <v>0</v>
      </c>
      <c r="BO700" s="77">
        <f t="shared" si="1994"/>
        <v>2.5000000000000001E-3</v>
      </c>
      <c r="BP700" s="77">
        <f t="shared" si="1995"/>
        <v>2.0809499864316017E-4</v>
      </c>
    </row>
    <row r="701" spans="1:68">
      <c r="A701" t="s">
        <v>175</v>
      </c>
      <c r="B701" t="s">
        <v>179</v>
      </c>
      <c r="C701" s="197" t="str">
        <f t="shared" si="2036"/>
        <v>Lifecycle_Dynamic_386</v>
      </c>
      <c r="D701">
        <v>386</v>
      </c>
      <c r="E701">
        <f>VLOOKUP($D701,'[2]LC Dynamic'!$Q$2:$U$542,2,FALSE)</f>
        <v>0</v>
      </c>
      <c r="F701">
        <f>VLOOKUP($D701,'[2]LC Dynamic'!$Q$2:$U$542,3,FALSE)</f>
        <v>0</v>
      </c>
      <c r="G701">
        <f>VLOOKUP($D701,'[2]LC Dynamic'!$Q$2:$U$542,4,FALSE)</f>
        <v>0.308</v>
      </c>
      <c r="H701">
        <f>VLOOKUP($D701,'[2]LC Dynamic'!$Q$2:$U$542,5,FALSE)</f>
        <v>0.69199999999999995</v>
      </c>
      <c r="I701" s="77">
        <f t="shared" si="1968"/>
        <v>1</v>
      </c>
      <c r="J701" s="77">
        <f t="shared" si="1969"/>
        <v>6.9728499999999985E-2</v>
      </c>
      <c r="K701" s="77">
        <f t="shared" si="2043"/>
        <v>5.632878498097682E-3</v>
      </c>
      <c r="L701" s="76">
        <v>0</v>
      </c>
      <c r="M701" s="77">
        <f t="shared" si="1979"/>
        <v>0</v>
      </c>
      <c r="N701" s="77">
        <f t="shared" si="1980"/>
        <v>0</v>
      </c>
      <c r="O701" s="77">
        <f t="shared" si="1981"/>
        <v>5.6775999999999997E-3</v>
      </c>
      <c r="P701" s="77">
        <f t="shared" si="1982"/>
        <v>4.7436902124819991E-4</v>
      </c>
      <c r="R701" t="s">
        <v>177</v>
      </c>
      <c r="S701" t="s">
        <v>179</v>
      </c>
      <c r="T701" s="197" t="str">
        <f t="shared" si="2037"/>
        <v>Autopilot_Dynamic_386</v>
      </c>
      <c r="U701">
        <v>386</v>
      </c>
      <c r="V701">
        <f>VLOOKUP($U701,'[2]AP Dynamic'!$Q$1:$T$542,2,FALSE)</f>
        <v>0.88888888888888884</v>
      </c>
      <c r="W701">
        <f>VLOOKUP($U701,'[2]AP Dynamic'!$Q$1:$T$542,3,FALSE)</f>
        <v>0.11111111111111116</v>
      </c>
      <c r="X701">
        <f>VLOOKUP($U701,'[2]AP Dynamic'!$Q$1:$T$542,4,FALSE)</f>
        <v>0</v>
      </c>
      <c r="Y701" s="77">
        <f t="shared" si="2038"/>
        <v>1</v>
      </c>
      <c r="Z701" s="77">
        <f t="shared" si="2044"/>
        <v>6.3149999999999984E-2</v>
      </c>
      <c r="AA701" s="77">
        <f t="shared" si="2045"/>
        <v>5.1160591879111372E-3</v>
      </c>
      <c r="AB701" s="79">
        <v>1</v>
      </c>
      <c r="AC701" s="77">
        <f t="shared" si="1983"/>
        <v>8.277777777777778E-3</v>
      </c>
      <c r="AD701" s="77">
        <f t="shared" ref="AD701" si="2100">1-(1-AC701)^(1/12)</f>
        <v>6.9244588451522482E-4</v>
      </c>
      <c r="AE701" s="77">
        <f t="shared" si="1985"/>
        <v>2.5000000000000001E-3</v>
      </c>
      <c r="AF701" s="77">
        <f t="shared" ref="AF701" si="2101">1-(1-AE701)^(1/12)</f>
        <v>2.0857243058891584E-4</v>
      </c>
      <c r="AH701" t="s">
        <v>175</v>
      </c>
      <c r="AI701" t="s">
        <v>179</v>
      </c>
      <c r="AJ701" s="197" t="str">
        <f t="shared" si="1972"/>
        <v>Lifecycle_Dynamic_386</v>
      </c>
      <c r="AK701">
        <v>386</v>
      </c>
      <c r="AL701">
        <f>VLOOKUP($U701,[2]Standard_Dynamic!$Q$1:$T$542,2,FALSE)</f>
        <v>0.88888888888888884</v>
      </c>
      <c r="AM701">
        <f>VLOOKUP($U701,[2]Standard_Dynamic!$Q$1:$T$542,3,FALSE)</f>
        <v>0.11111111111111116</v>
      </c>
      <c r="AN701">
        <f>VLOOKUP($U701,[2]Standard_Dynamic!$Q$1:$T$542,4,FALSE)</f>
        <v>0</v>
      </c>
      <c r="AO701" s="77">
        <f t="shared" si="1973"/>
        <v>1</v>
      </c>
      <c r="AP701" s="77">
        <f t="shared" si="1987"/>
        <v>6.3149999999999984E-2</v>
      </c>
      <c r="AQ701" s="77">
        <f t="shared" si="1974"/>
        <v>5.1160591879111372E-3</v>
      </c>
      <c r="AR701" s="79">
        <v>0</v>
      </c>
      <c r="AS701" s="77">
        <f t="shared" si="1988"/>
        <v>0</v>
      </c>
      <c r="AT701" s="77">
        <f t="shared" ref="AT701" si="2102">1-(1-AS701)^(1/12)</f>
        <v>0</v>
      </c>
      <c r="AU701" s="77">
        <f t="shared" si="1990"/>
        <v>2.5000000000000001E-3</v>
      </c>
      <c r="AV701" s="77">
        <f t="shared" ref="AV701" si="2103">1-(1-AU701)^(1/12)</f>
        <v>2.0857243058891584E-4</v>
      </c>
      <c r="AX701" t="s">
        <v>178</v>
      </c>
      <c r="AY701" t="s">
        <v>162</v>
      </c>
      <c r="AZ701" s="197" t="str">
        <f t="shared" si="2070"/>
        <v>DIS_Standard_386</v>
      </c>
      <c r="BA701">
        <v>386</v>
      </c>
      <c r="BB701">
        <f>VLOOKUP($BA701,'[2]Standard DIS'!$Q$1:$X$542,4,FALSE)</f>
        <v>0</v>
      </c>
      <c r="BF701">
        <f>VLOOKUP($BA701,'[2]Standard DIS'!$Q$1:$X$542,2,FALSE)</f>
        <v>0.88888888888888884</v>
      </c>
      <c r="BH701">
        <f>VLOOKUP($BA701,'[2]Standard DIS'!$Q$1:$X$542,3,FALSE)</f>
        <v>0.11111111111111116</v>
      </c>
      <c r="BI701" s="77">
        <f t="shared" si="1977"/>
        <v>1</v>
      </c>
      <c r="BJ701" s="77">
        <f t="shared" si="1978"/>
        <v>6.3149999999999984E-2</v>
      </c>
      <c r="BK701" s="77">
        <f t="shared" si="2071"/>
        <v>5.1160591879111372E-3</v>
      </c>
      <c r="BL701" s="79">
        <v>0</v>
      </c>
      <c r="BM701" s="77">
        <f t="shared" si="1992"/>
        <v>0</v>
      </c>
      <c r="BN701" s="77">
        <f t="shared" si="1993"/>
        <v>0</v>
      </c>
      <c r="BO701" s="77">
        <f t="shared" si="1994"/>
        <v>2.5000000000000001E-3</v>
      </c>
      <c r="BP701" s="77">
        <f t="shared" si="1995"/>
        <v>2.0809499864316017E-4</v>
      </c>
    </row>
    <row r="702" spans="1:68">
      <c r="A702" t="s">
        <v>175</v>
      </c>
      <c r="B702" t="s">
        <v>179</v>
      </c>
      <c r="C702" s="197" t="str">
        <f t="shared" si="2036"/>
        <v>Lifecycle_Dynamic_385</v>
      </c>
      <c r="D702">
        <v>385</v>
      </c>
      <c r="E702">
        <f>VLOOKUP($D702,'[2]LC Dynamic'!$Q$2:$U$542,2,FALSE)</f>
        <v>0</v>
      </c>
      <c r="F702">
        <f>VLOOKUP($D702,'[2]LC Dynamic'!$Q$2:$U$542,3,FALSE)</f>
        <v>0</v>
      </c>
      <c r="G702">
        <f>VLOOKUP($D702,'[2]LC Dynamic'!$Q$2:$U$542,4,FALSE)</f>
        <v>0.308</v>
      </c>
      <c r="H702">
        <f>VLOOKUP($D702,'[2]LC Dynamic'!$Q$2:$U$542,5,FALSE)</f>
        <v>0.69199999999999995</v>
      </c>
      <c r="I702" s="77">
        <f t="shared" si="1968"/>
        <v>1</v>
      </c>
      <c r="J702" s="77">
        <f t="shared" si="1969"/>
        <v>6.9728499999999985E-2</v>
      </c>
      <c r="K702" s="77">
        <f t="shared" si="2043"/>
        <v>5.632878498097682E-3</v>
      </c>
      <c r="L702" s="76">
        <v>0</v>
      </c>
      <c r="M702" s="77">
        <f t="shared" si="1979"/>
        <v>0</v>
      </c>
      <c r="N702" s="77">
        <f t="shared" si="1980"/>
        <v>0</v>
      </c>
      <c r="O702" s="77">
        <f t="shared" si="1981"/>
        <v>5.6775999999999997E-3</v>
      </c>
      <c r="P702" s="77">
        <f t="shared" si="1982"/>
        <v>4.7436902124819991E-4</v>
      </c>
      <c r="R702" t="s">
        <v>177</v>
      </c>
      <c r="S702" t="s">
        <v>179</v>
      </c>
      <c r="T702" s="197" t="str">
        <f t="shared" si="2037"/>
        <v>Autopilot_Dynamic_385</v>
      </c>
      <c r="U702">
        <v>385</v>
      </c>
      <c r="V702">
        <f>VLOOKUP($U702,'[2]AP Dynamic'!$Q$1:$T$542,2,FALSE)</f>
        <v>0.88888888888888884</v>
      </c>
      <c r="W702">
        <f>VLOOKUP($U702,'[2]AP Dynamic'!$Q$1:$T$542,3,FALSE)</f>
        <v>0.11111111111111116</v>
      </c>
      <c r="X702">
        <f>VLOOKUP($U702,'[2]AP Dynamic'!$Q$1:$T$542,4,FALSE)</f>
        <v>0</v>
      </c>
      <c r="Y702" s="77">
        <f t="shared" si="2038"/>
        <v>1</v>
      </c>
      <c r="Z702" s="77">
        <f t="shared" si="2044"/>
        <v>6.3149999999999984E-2</v>
      </c>
      <c r="AA702" s="77">
        <f t="shared" si="2045"/>
        <v>5.1160591879111372E-3</v>
      </c>
      <c r="AB702" s="79">
        <v>1</v>
      </c>
      <c r="AC702" s="77">
        <f t="shared" si="1983"/>
        <v>8.277777777777778E-3</v>
      </c>
      <c r="AD702" s="77">
        <f t="shared" ref="AD702" si="2104">1-(1-AC702)^(1/12)</f>
        <v>6.9244588451522482E-4</v>
      </c>
      <c r="AE702" s="77">
        <f t="shared" si="1985"/>
        <v>2.5000000000000001E-3</v>
      </c>
      <c r="AF702" s="77">
        <f t="shared" ref="AF702" si="2105">1-(1-AE702)^(1/12)</f>
        <v>2.0857243058891584E-4</v>
      </c>
      <c r="AH702" t="s">
        <v>175</v>
      </c>
      <c r="AI702" t="s">
        <v>179</v>
      </c>
      <c r="AJ702" s="197" t="str">
        <f t="shared" si="1972"/>
        <v>Lifecycle_Dynamic_385</v>
      </c>
      <c r="AK702">
        <v>385</v>
      </c>
      <c r="AL702">
        <f>VLOOKUP($U702,[2]Standard_Dynamic!$Q$1:$T$542,2,FALSE)</f>
        <v>0.88888888888888884</v>
      </c>
      <c r="AM702">
        <f>VLOOKUP($U702,[2]Standard_Dynamic!$Q$1:$T$542,3,FALSE)</f>
        <v>0.11111111111111116</v>
      </c>
      <c r="AN702">
        <f>VLOOKUP($U702,[2]Standard_Dynamic!$Q$1:$T$542,4,FALSE)</f>
        <v>0</v>
      </c>
      <c r="AO702" s="77">
        <f t="shared" si="1973"/>
        <v>1</v>
      </c>
      <c r="AP702" s="77">
        <f t="shared" si="1987"/>
        <v>6.3149999999999984E-2</v>
      </c>
      <c r="AQ702" s="77">
        <f t="shared" si="1974"/>
        <v>5.1160591879111372E-3</v>
      </c>
      <c r="AR702" s="79">
        <v>0</v>
      </c>
      <c r="AS702" s="77">
        <f t="shared" si="1988"/>
        <v>0</v>
      </c>
      <c r="AT702" s="77">
        <f t="shared" ref="AT702" si="2106">1-(1-AS702)^(1/12)</f>
        <v>0</v>
      </c>
      <c r="AU702" s="77">
        <f t="shared" si="1990"/>
        <v>2.5000000000000001E-3</v>
      </c>
      <c r="AV702" s="77">
        <f t="shared" ref="AV702" si="2107">1-(1-AU702)^(1/12)</f>
        <v>2.0857243058891584E-4</v>
      </c>
      <c r="AX702" t="s">
        <v>178</v>
      </c>
      <c r="AY702" t="s">
        <v>162</v>
      </c>
      <c r="AZ702" s="197" t="str">
        <f t="shared" si="2070"/>
        <v>DIS_Standard_385</v>
      </c>
      <c r="BA702">
        <v>385</v>
      </c>
      <c r="BB702">
        <f>VLOOKUP($BA702,'[2]Standard DIS'!$Q$1:$X$542,4,FALSE)</f>
        <v>0</v>
      </c>
      <c r="BF702">
        <f>VLOOKUP($BA702,'[2]Standard DIS'!$Q$1:$X$542,2,FALSE)</f>
        <v>0.88888888888888884</v>
      </c>
      <c r="BH702">
        <f>VLOOKUP($BA702,'[2]Standard DIS'!$Q$1:$X$542,3,FALSE)</f>
        <v>0.11111111111111116</v>
      </c>
      <c r="BI702" s="77">
        <f t="shared" si="1977"/>
        <v>1</v>
      </c>
      <c r="BJ702" s="77">
        <f t="shared" si="1978"/>
        <v>6.3149999999999984E-2</v>
      </c>
      <c r="BK702" s="77">
        <f t="shared" si="2071"/>
        <v>5.1160591879111372E-3</v>
      </c>
      <c r="BL702" s="79">
        <v>0</v>
      </c>
      <c r="BM702" s="77">
        <f t="shared" si="1992"/>
        <v>0</v>
      </c>
      <c r="BN702" s="77">
        <f t="shared" si="1993"/>
        <v>0</v>
      </c>
      <c r="BO702" s="77">
        <f t="shared" si="1994"/>
        <v>2.5000000000000001E-3</v>
      </c>
      <c r="BP702" s="77">
        <f t="shared" si="1995"/>
        <v>2.0809499864316017E-4</v>
      </c>
    </row>
    <row r="703" spans="1:68">
      <c r="A703" t="s">
        <v>175</v>
      </c>
      <c r="B703" t="s">
        <v>179</v>
      </c>
      <c r="C703" s="197" t="str">
        <f t="shared" si="2036"/>
        <v>Lifecycle_Dynamic_384</v>
      </c>
      <c r="D703">
        <v>384</v>
      </c>
      <c r="E703">
        <f>VLOOKUP($D703,'[2]LC Dynamic'!$Q$2:$U$542,2,FALSE)</f>
        <v>0</v>
      </c>
      <c r="F703">
        <f>VLOOKUP($D703,'[2]LC Dynamic'!$Q$2:$U$542,3,FALSE)</f>
        <v>0</v>
      </c>
      <c r="G703">
        <f>VLOOKUP($D703,'[2]LC Dynamic'!$Q$2:$U$542,4,FALSE)</f>
        <v>0.308</v>
      </c>
      <c r="H703">
        <f>VLOOKUP($D703,'[2]LC Dynamic'!$Q$2:$U$542,5,FALSE)</f>
        <v>0.69199999999999995</v>
      </c>
      <c r="I703" s="77">
        <f t="shared" si="1968"/>
        <v>1</v>
      </c>
      <c r="J703" s="77">
        <f t="shared" si="1969"/>
        <v>6.9728499999999985E-2</v>
      </c>
      <c r="K703" s="77">
        <f t="shared" si="2043"/>
        <v>5.632878498097682E-3</v>
      </c>
      <c r="L703" s="76">
        <v>0</v>
      </c>
      <c r="M703" s="77">
        <f t="shared" si="1979"/>
        <v>0</v>
      </c>
      <c r="N703" s="77">
        <f t="shared" si="1980"/>
        <v>0</v>
      </c>
      <c r="O703" s="77">
        <f t="shared" si="1981"/>
        <v>5.6775999999999997E-3</v>
      </c>
      <c r="P703" s="77">
        <f t="shared" si="1982"/>
        <v>4.7436902124819991E-4</v>
      </c>
      <c r="R703" t="s">
        <v>177</v>
      </c>
      <c r="S703" t="s">
        <v>179</v>
      </c>
      <c r="T703" s="197" t="str">
        <f t="shared" si="2037"/>
        <v>Autopilot_Dynamic_384</v>
      </c>
      <c r="U703">
        <v>384</v>
      </c>
      <c r="V703">
        <f>VLOOKUP($U703,'[2]AP Dynamic'!$Q$1:$T$542,2,FALSE)</f>
        <v>0.88888888888888884</v>
      </c>
      <c r="W703">
        <f>VLOOKUP($U703,'[2]AP Dynamic'!$Q$1:$T$542,3,FALSE)</f>
        <v>0.11111111111111116</v>
      </c>
      <c r="X703">
        <f>VLOOKUP($U703,'[2]AP Dynamic'!$Q$1:$T$542,4,FALSE)</f>
        <v>0</v>
      </c>
      <c r="Y703" s="77">
        <f t="shared" si="2038"/>
        <v>1</v>
      </c>
      <c r="Z703" s="77">
        <f t="shared" si="2044"/>
        <v>6.3149999999999984E-2</v>
      </c>
      <c r="AA703" s="77">
        <f t="shared" si="2045"/>
        <v>5.1160591879111372E-3</v>
      </c>
      <c r="AB703" s="79">
        <v>1</v>
      </c>
      <c r="AC703" s="77">
        <f t="shared" si="1983"/>
        <v>8.277777777777778E-3</v>
      </c>
      <c r="AD703" s="77">
        <f t="shared" ref="AD703" si="2108">1-(1-AC703)^(1/12)</f>
        <v>6.9244588451522482E-4</v>
      </c>
      <c r="AE703" s="77">
        <f t="shared" si="1985"/>
        <v>2.5000000000000001E-3</v>
      </c>
      <c r="AF703" s="77">
        <f t="shared" ref="AF703" si="2109">1-(1-AE703)^(1/12)</f>
        <v>2.0857243058891584E-4</v>
      </c>
      <c r="AH703" t="s">
        <v>175</v>
      </c>
      <c r="AI703" t="s">
        <v>179</v>
      </c>
      <c r="AJ703" s="197" t="str">
        <f t="shared" si="1972"/>
        <v>Lifecycle_Dynamic_384</v>
      </c>
      <c r="AK703">
        <v>384</v>
      </c>
      <c r="AL703">
        <f>VLOOKUP($U703,[2]Standard_Dynamic!$Q$1:$T$542,2,FALSE)</f>
        <v>0.88888888888888884</v>
      </c>
      <c r="AM703">
        <f>VLOOKUP($U703,[2]Standard_Dynamic!$Q$1:$T$542,3,FALSE)</f>
        <v>0.11111111111111116</v>
      </c>
      <c r="AN703">
        <f>VLOOKUP($U703,[2]Standard_Dynamic!$Q$1:$T$542,4,FALSE)</f>
        <v>0</v>
      </c>
      <c r="AO703" s="77">
        <f t="shared" si="1973"/>
        <v>1</v>
      </c>
      <c r="AP703" s="77">
        <f t="shared" si="1987"/>
        <v>6.3149999999999984E-2</v>
      </c>
      <c r="AQ703" s="77">
        <f t="shared" si="1974"/>
        <v>5.1160591879111372E-3</v>
      </c>
      <c r="AR703" s="79">
        <v>0</v>
      </c>
      <c r="AS703" s="77">
        <f t="shared" si="1988"/>
        <v>0</v>
      </c>
      <c r="AT703" s="77">
        <f t="shared" ref="AT703" si="2110">1-(1-AS703)^(1/12)</f>
        <v>0</v>
      </c>
      <c r="AU703" s="77">
        <f t="shared" si="1990"/>
        <v>2.5000000000000001E-3</v>
      </c>
      <c r="AV703" s="77">
        <f t="shared" ref="AV703" si="2111">1-(1-AU703)^(1/12)</f>
        <v>2.0857243058891584E-4</v>
      </c>
      <c r="AX703" t="s">
        <v>178</v>
      </c>
      <c r="AY703" t="s">
        <v>162</v>
      </c>
      <c r="AZ703" s="197" t="str">
        <f t="shared" si="2070"/>
        <v>DIS_Standard_384</v>
      </c>
      <c r="BA703">
        <v>384</v>
      </c>
      <c r="BB703">
        <f>VLOOKUP($BA703,'[2]Standard DIS'!$Q$1:$X$542,4,FALSE)</f>
        <v>0</v>
      </c>
      <c r="BF703">
        <f>VLOOKUP($BA703,'[2]Standard DIS'!$Q$1:$X$542,2,FALSE)</f>
        <v>0.88888888888888884</v>
      </c>
      <c r="BH703">
        <f>VLOOKUP($BA703,'[2]Standard DIS'!$Q$1:$X$542,3,FALSE)</f>
        <v>0.11111111111111116</v>
      </c>
      <c r="BI703" s="77">
        <f t="shared" si="1977"/>
        <v>1</v>
      </c>
      <c r="BJ703" s="77">
        <f t="shared" si="1978"/>
        <v>6.3149999999999984E-2</v>
      </c>
      <c r="BK703" s="77">
        <f t="shared" si="2071"/>
        <v>5.1160591879111372E-3</v>
      </c>
      <c r="BL703" s="79">
        <v>0</v>
      </c>
      <c r="BM703" s="77">
        <f t="shared" si="1992"/>
        <v>0</v>
      </c>
      <c r="BN703" s="77">
        <f t="shared" si="1993"/>
        <v>0</v>
      </c>
      <c r="BO703" s="77">
        <f t="shared" si="1994"/>
        <v>2.5000000000000001E-3</v>
      </c>
      <c r="BP703" s="77">
        <f t="shared" si="1995"/>
        <v>2.0809499864316017E-4</v>
      </c>
    </row>
    <row r="704" spans="1:68">
      <c r="A704" t="s">
        <v>175</v>
      </c>
      <c r="B704" t="s">
        <v>179</v>
      </c>
      <c r="C704" s="197" t="str">
        <f t="shared" si="2036"/>
        <v>Lifecycle_Dynamic_383</v>
      </c>
      <c r="D704">
        <v>383</v>
      </c>
      <c r="E704">
        <f>VLOOKUP($D704,'[2]LC Dynamic'!$Q$2:$U$542,2,FALSE)</f>
        <v>0</v>
      </c>
      <c r="F704">
        <f>VLOOKUP($D704,'[2]LC Dynamic'!$Q$2:$U$542,3,FALSE)</f>
        <v>0</v>
      </c>
      <c r="G704">
        <f>VLOOKUP($D704,'[2]LC Dynamic'!$Q$2:$U$542,4,FALSE)</f>
        <v>0.308</v>
      </c>
      <c r="H704">
        <f>VLOOKUP($D704,'[2]LC Dynamic'!$Q$2:$U$542,5,FALSE)</f>
        <v>0.69199999999999995</v>
      </c>
      <c r="I704" s="77">
        <f t="shared" si="1968"/>
        <v>1</v>
      </c>
      <c r="J704" s="77">
        <f t="shared" si="1969"/>
        <v>6.9728499999999985E-2</v>
      </c>
      <c r="K704" s="77">
        <f t="shared" si="2043"/>
        <v>5.632878498097682E-3</v>
      </c>
      <c r="L704" s="76">
        <v>0</v>
      </c>
      <c r="M704" s="77">
        <f t="shared" si="1979"/>
        <v>0</v>
      </c>
      <c r="N704" s="77">
        <f t="shared" si="1980"/>
        <v>0</v>
      </c>
      <c r="O704" s="77">
        <f t="shared" si="1981"/>
        <v>5.6775999999999997E-3</v>
      </c>
      <c r="P704" s="77">
        <f t="shared" si="1982"/>
        <v>4.7436902124819991E-4</v>
      </c>
      <c r="R704" t="s">
        <v>177</v>
      </c>
      <c r="S704" t="s">
        <v>179</v>
      </c>
      <c r="T704" s="197" t="str">
        <f t="shared" si="2037"/>
        <v>Autopilot_Dynamic_383</v>
      </c>
      <c r="U704">
        <v>383</v>
      </c>
      <c r="V704">
        <f>VLOOKUP($U704,'[2]AP Dynamic'!$Q$1:$T$542,2,FALSE)</f>
        <v>0.88888888888888884</v>
      </c>
      <c r="W704">
        <f>VLOOKUP($U704,'[2]AP Dynamic'!$Q$1:$T$542,3,FALSE)</f>
        <v>0.11111111111111116</v>
      </c>
      <c r="X704">
        <f>VLOOKUP($U704,'[2]AP Dynamic'!$Q$1:$T$542,4,FALSE)</f>
        <v>0</v>
      </c>
      <c r="Y704" s="77">
        <f t="shared" si="2038"/>
        <v>1</v>
      </c>
      <c r="Z704" s="77">
        <f t="shared" si="2044"/>
        <v>6.3149999999999984E-2</v>
      </c>
      <c r="AA704" s="77">
        <f t="shared" si="2045"/>
        <v>5.1160591879111372E-3</v>
      </c>
      <c r="AB704" s="79">
        <v>1</v>
      </c>
      <c r="AC704" s="77">
        <f t="shared" si="1983"/>
        <v>8.277777777777778E-3</v>
      </c>
      <c r="AD704" s="77">
        <f t="shared" ref="AD704" si="2112">1-(1-AC704)^(1/12)</f>
        <v>6.9244588451522482E-4</v>
      </c>
      <c r="AE704" s="77">
        <f t="shared" si="1985"/>
        <v>2.5000000000000001E-3</v>
      </c>
      <c r="AF704" s="77">
        <f t="shared" ref="AF704" si="2113">1-(1-AE704)^(1/12)</f>
        <v>2.0857243058891584E-4</v>
      </c>
      <c r="AH704" t="s">
        <v>175</v>
      </c>
      <c r="AI704" t="s">
        <v>179</v>
      </c>
      <c r="AJ704" s="197" t="str">
        <f t="shared" si="1972"/>
        <v>Lifecycle_Dynamic_383</v>
      </c>
      <c r="AK704">
        <v>383</v>
      </c>
      <c r="AL704">
        <f>VLOOKUP($U704,[2]Standard_Dynamic!$Q$1:$T$542,2,FALSE)</f>
        <v>0.88888888888888884</v>
      </c>
      <c r="AM704">
        <f>VLOOKUP($U704,[2]Standard_Dynamic!$Q$1:$T$542,3,FALSE)</f>
        <v>0.11111111111111116</v>
      </c>
      <c r="AN704">
        <f>VLOOKUP($U704,[2]Standard_Dynamic!$Q$1:$T$542,4,FALSE)</f>
        <v>0</v>
      </c>
      <c r="AO704" s="77">
        <f t="shared" si="1973"/>
        <v>1</v>
      </c>
      <c r="AP704" s="77">
        <f t="shared" si="1987"/>
        <v>6.3149999999999984E-2</v>
      </c>
      <c r="AQ704" s="77">
        <f t="shared" si="1974"/>
        <v>5.1160591879111372E-3</v>
      </c>
      <c r="AR704" s="79">
        <v>0</v>
      </c>
      <c r="AS704" s="77">
        <f t="shared" si="1988"/>
        <v>0</v>
      </c>
      <c r="AT704" s="77">
        <f t="shared" ref="AT704" si="2114">1-(1-AS704)^(1/12)</f>
        <v>0</v>
      </c>
      <c r="AU704" s="77">
        <f t="shared" si="1990"/>
        <v>2.5000000000000001E-3</v>
      </c>
      <c r="AV704" s="77">
        <f t="shared" ref="AV704" si="2115">1-(1-AU704)^(1/12)</f>
        <v>2.0857243058891584E-4</v>
      </c>
      <c r="AX704" t="s">
        <v>178</v>
      </c>
      <c r="AY704" t="s">
        <v>162</v>
      </c>
      <c r="AZ704" s="197" t="str">
        <f t="shared" si="2070"/>
        <v>DIS_Standard_383</v>
      </c>
      <c r="BA704">
        <v>383</v>
      </c>
      <c r="BB704">
        <f>VLOOKUP($BA704,'[2]Standard DIS'!$Q$1:$X$542,4,FALSE)</f>
        <v>0</v>
      </c>
      <c r="BF704">
        <f>VLOOKUP($BA704,'[2]Standard DIS'!$Q$1:$X$542,2,FALSE)</f>
        <v>0.88888888888888884</v>
      </c>
      <c r="BH704">
        <f>VLOOKUP($BA704,'[2]Standard DIS'!$Q$1:$X$542,3,FALSE)</f>
        <v>0.11111111111111116</v>
      </c>
      <c r="BI704" s="77">
        <f t="shared" si="1977"/>
        <v>1</v>
      </c>
      <c r="BJ704" s="77">
        <f t="shared" si="1978"/>
        <v>6.3149999999999984E-2</v>
      </c>
      <c r="BK704" s="77">
        <f t="shared" si="2071"/>
        <v>5.1160591879111372E-3</v>
      </c>
      <c r="BL704" s="79">
        <v>0</v>
      </c>
      <c r="BM704" s="77">
        <f t="shared" si="1992"/>
        <v>0</v>
      </c>
      <c r="BN704" s="77">
        <f t="shared" si="1993"/>
        <v>0</v>
      </c>
      <c r="BO704" s="77">
        <f t="shared" si="1994"/>
        <v>2.5000000000000001E-3</v>
      </c>
      <c r="BP704" s="77">
        <f t="shared" si="1995"/>
        <v>2.0809499864316017E-4</v>
      </c>
    </row>
    <row r="705" spans="1:68">
      <c r="A705" t="s">
        <v>175</v>
      </c>
      <c r="B705" t="s">
        <v>179</v>
      </c>
      <c r="C705" s="197" t="str">
        <f t="shared" si="2036"/>
        <v>Lifecycle_Dynamic_382</v>
      </c>
      <c r="D705">
        <v>382</v>
      </c>
      <c r="E705">
        <f>VLOOKUP($D705,'[2]LC Dynamic'!$Q$2:$U$542,2,FALSE)</f>
        <v>0</v>
      </c>
      <c r="F705">
        <f>VLOOKUP($D705,'[2]LC Dynamic'!$Q$2:$U$542,3,FALSE)</f>
        <v>0</v>
      </c>
      <c r="G705">
        <f>VLOOKUP($D705,'[2]LC Dynamic'!$Q$2:$U$542,4,FALSE)</f>
        <v>0.308</v>
      </c>
      <c r="H705">
        <f>VLOOKUP($D705,'[2]LC Dynamic'!$Q$2:$U$542,5,FALSE)</f>
        <v>0.69199999999999995</v>
      </c>
      <c r="I705" s="77">
        <f t="shared" si="1968"/>
        <v>1</v>
      </c>
      <c r="J705" s="77">
        <f t="shared" si="1969"/>
        <v>6.9728499999999985E-2</v>
      </c>
      <c r="K705" s="77">
        <f t="shared" si="2043"/>
        <v>5.632878498097682E-3</v>
      </c>
      <c r="L705" s="76">
        <v>0</v>
      </c>
      <c r="M705" s="77">
        <f t="shared" si="1979"/>
        <v>0</v>
      </c>
      <c r="N705" s="77">
        <f t="shared" si="1980"/>
        <v>0</v>
      </c>
      <c r="O705" s="77">
        <f t="shared" si="1981"/>
        <v>5.6775999999999997E-3</v>
      </c>
      <c r="P705" s="77">
        <f t="shared" si="1982"/>
        <v>4.7436902124819991E-4</v>
      </c>
      <c r="R705" t="s">
        <v>177</v>
      </c>
      <c r="S705" t="s">
        <v>179</v>
      </c>
      <c r="T705" s="197" t="str">
        <f t="shared" si="2037"/>
        <v>Autopilot_Dynamic_382</v>
      </c>
      <c r="U705">
        <v>382</v>
      </c>
      <c r="V705">
        <f>VLOOKUP($U705,'[2]AP Dynamic'!$Q$1:$T$542,2,FALSE)</f>
        <v>0.88888888888888884</v>
      </c>
      <c r="W705">
        <f>VLOOKUP($U705,'[2]AP Dynamic'!$Q$1:$T$542,3,FALSE)</f>
        <v>0.11111111111111116</v>
      </c>
      <c r="X705">
        <f>VLOOKUP($U705,'[2]AP Dynamic'!$Q$1:$T$542,4,FALSE)</f>
        <v>0</v>
      </c>
      <c r="Y705" s="77">
        <f t="shared" si="2038"/>
        <v>1</v>
      </c>
      <c r="Z705" s="77">
        <f t="shared" si="2044"/>
        <v>6.3149999999999984E-2</v>
      </c>
      <c r="AA705" s="77">
        <f t="shared" si="2045"/>
        <v>5.1160591879111372E-3</v>
      </c>
      <c r="AB705" s="79">
        <v>1</v>
      </c>
      <c r="AC705" s="77">
        <f t="shared" si="1983"/>
        <v>8.277777777777778E-3</v>
      </c>
      <c r="AD705" s="77">
        <f t="shared" ref="AD705" si="2116">1-(1-AC705)^(1/12)</f>
        <v>6.9244588451522482E-4</v>
      </c>
      <c r="AE705" s="77">
        <f t="shared" si="1985"/>
        <v>2.5000000000000001E-3</v>
      </c>
      <c r="AF705" s="77">
        <f t="shared" ref="AF705" si="2117">1-(1-AE705)^(1/12)</f>
        <v>2.0857243058891584E-4</v>
      </c>
      <c r="AH705" t="s">
        <v>175</v>
      </c>
      <c r="AI705" t="s">
        <v>179</v>
      </c>
      <c r="AJ705" s="197" t="str">
        <f t="shared" si="1972"/>
        <v>Lifecycle_Dynamic_382</v>
      </c>
      <c r="AK705">
        <v>382</v>
      </c>
      <c r="AL705">
        <f>VLOOKUP($U705,[2]Standard_Dynamic!$Q$1:$T$542,2,FALSE)</f>
        <v>0.88888888888888884</v>
      </c>
      <c r="AM705">
        <f>VLOOKUP($U705,[2]Standard_Dynamic!$Q$1:$T$542,3,FALSE)</f>
        <v>0.11111111111111116</v>
      </c>
      <c r="AN705">
        <f>VLOOKUP($U705,[2]Standard_Dynamic!$Q$1:$T$542,4,FALSE)</f>
        <v>0</v>
      </c>
      <c r="AO705" s="77">
        <f t="shared" si="1973"/>
        <v>1</v>
      </c>
      <c r="AP705" s="77">
        <f t="shared" si="1987"/>
        <v>6.3149999999999984E-2</v>
      </c>
      <c r="AQ705" s="77">
        <f t="shared" si="1974"/>
        <v>5.1160591879111372E-3</v>
      </c>
      <c r="AR705" s="79">
        <v>0</v>
      </c>
      <c r="AS705" s="77">
        <f t="shared" si="1988"/>
        <v>0</v>
      </c>
      <c r="AT705" s="77">
        <f t="shared" ref="AT705" si="2118">1-(1-AS705)^(1/12)</f>
        <v>0</v>
      </c>
      <c r="AU705" s="77">
        <f t="shared" si="1990"/>
        <v>2.5000000000000001E-3</v>
      </c>
      <c r="AV705" s="77">
        <f t="shared" ref="AV705" si="2119">1-(1-AU705)^(1/12)</f>
        <v>2.0857243058891584E-4</v>
      </c>
      <c r="AX705" t="s">
        <v>178</v>
      </c>
      <c r="AY705" t="s">
        <v>162</v>
      </c>
      <c r="AZ705" s="197" t="str">
        <f t="shared" si="2070"/>
        <v>DIS_Standard_382</v>
      </c>
      <c r="BA705">
        <v>382</v>
      </c>
      <c r="BB705">
        <f>VLOOKUP($BA705,'[2]Standard DIS'!$Q$1:$X$542,4,FALSE)</f>
        <v>0</v>
      </c>
      <c r="BF705">
        <f>VLOOKUP($BA705,'[2]Standard DIS'!$Q$1:$X$542,2,FALSE)</f>
        <v>0.88888888888888884</v>
      </c>
      <c r="BH705">
        <f>VLOOKUP($BA705,'[2]Standard DIS'!$Q$1:$X$542,3,FALSE)</f>
        <v>0.11111111111111116</v>
      </c>
      <c r="BI705" s="77">
        <f t="shared" si="1977"/>
        <v>1</v>
      </c>
      <c r="BJ705" s="77">
        <f t="shared" si="1978"/>
        <v>6.3149999999999984E-2</v>
      </c>
      <c r="BK705" s="77">
        <f t="shared" si="2071"/>
        <v>5.1160591879111372E-3</v>
      </c>
      <c r="BL705" s="79">
        <v>0</v>
      </c>
      <c r="BM705" s="77">
        <f t="shared" si="1992"/>
        <v>0</v>
      </c>
      <c r="BN705" s="77">
        <f t="shared" si="1993"/>
        <v>0</v>
      </c>
      <c r="BO705" s="77">
        <f t="shared" si="1994"/>
        <v>2.5000000000000001E-3</v>
      </c>
      <c r="BP705" s="77">
        <f t="shared" si="1995"/>
        <v>2.0809499864316017E-4</v>
      </c>
    </row>
    <row r="706" spans="1:68">
      <c r="A706" t="s">
        <v>175</v>
      </c>
      <c r="B706" t="s">
        <v>179</v>
      </c>
      <c r="C706" s="197" t="str">
        <f t="shared" si="2036"/>
        <v>Lifecycle_Dynamic_381</v>
      </c>
      <c r="D706">
        <v>381</v>
      </c>
      <c r="E706">
        <f>VLOOKUP($D706,'[2]LC Dynamic'!$Q$2:$U$542,2,FALSE)</f>
        <v>0</v>
      </c>
      <c r="F706">
        <f>VLOOKUP($D706,'[2]LC Dynamic'!$Q$2:$U$542,3,FALSE)</f>
        <v>0</v>
      </c>
      <c r="G706">
        <f>VLOOKUP($D706,'[2]LC Dynamic'!$Q$2:$U$542,4,FALSE)</f>
        <v>0.308</v>
      </c>
      <c r="H706">
        <f>VLOOKUP($D706,'[2]LC Dynamic'!$Q$2:$U$542,5,FALSE)</f>
        <v>0.69199999999999995</v>
      </c>
      <c r="I706" s="77">
        <f t="shared" si="1968"/>
        <v>1</v>
      </c>
      <c r="J706" s="77">
        <f t="shared" si="1969"/>
        <v>6.9728499999999985E-2</v>
      </c>
      <c r="K706" s="77">
        <f t="shared" si="2043"/>
        <v>5.632878498097682E-3</v>
      </c>
      <c r="L706" s="76">
        <v>0</v>
      </c>
      <c r="M706" s="77">
        <f t="shared" si="1979"/>
        <v>0</v>
      </c>
      <c r="N706" s="77">
        <f t="shared" si="1980"/>
        <v>0</v>
      </c>
      <c r="O706" s="77">
        <f t="shared" si="1981"/>
        <v>5.6775999999999997E-3</v>
      </c>
      <c r="P706" s="77">
        <f t="shared" si="1982"/>
        <v>4.7436902124819991E-4</v>
      </c>
      <c r="R706" t="s">
        <v>177</v>
      </c>
      <c r="S706" t="s">
        <v>179</v>
      </c>
      <c r="T706" s="197" t="str">
        <f t="shared" si="2037"/>
        <v>Autopilot_Dynamic_381</v>
      </c>
      <c r="U706">
        <v>381</v>
      </c>
      <c r="V706">
        <f>VLOOKUP($U706,'[2]AP Dynamic'!$Q$1:$T$542,2,FALSE)</f>
        <v>0.88888888888888884</v>
      </c>
      <c r="W706">
        <f>VLOOKUP($U706,'[2]AP Dynamic'!$Q$1:$T$542,3,FALSE)</f>
        <v>0.11111111111111116</v>
      </c>
      <c r="X706">
        <f>VLOOKUP($U706,'[2]AP Dynamic'!$Q$1:$T$542,4,FALSE)</f>
        <v>0</v>
      </c>
      <c r="Y706" s="77">
        <f t="shared" si="2038"/>
        <v>1</v>
      </c>
      <c r="Z706" s="77">
        <f t="shared" si="2044"/>
        <v>6.3149999999999984E-2</v>
      </c>
      <c r="AA706" s="77">
        <f t="shared" si="2045"/>
        <v>5.1160591879111372E-3</v>
      </c>
      <c r="AB706" s="79">
        <v>1</v>
      </c>
      <c r="AC706" s="77">
        <f t="shared" si="1983"/>
        <v>8.277777777777778E-3</v>
      </c>
      <c r="AD706" s="77">
        <f t="shared" ref="AD706" si="2120">1-(1-AC706)^(1/12)</f>
        <v>6.9244588451522482E-4</v>
      </c>
      <c r="AE706" s="77">
        <f t="shared" si="1985"/>
        <v>2.5000000000000001E-3</v>
      </c>
      <c r="AF706" s="77">
        <f t="shared" ref="AF706" si="2121">1-(1-AE706)^(1/12)</f>
        <v>2.0857243058891584E-4</v>
      </c>
      <c r="AH706" t="s">
        <v>175</v>
      </c>
      <c r="AI706" t="s">
        <v>179</v>
      </c>
      <c r="AJ706" s="197" t="str">
        <f t="shared" si="1972"/>
        <v>Lifecycle_Dynamic_381</v>
      </c>
      <c r="AK706">
        <v>381</v>
      </c>
      <c r="AL706">
        <f>VLOOKUP($U706,[2]Standard_Dynamic!$Q$1:$T$542,2,FALSE)</f>
        <v>0.88888888888888884</v>
      </c>
      <c r="AM706">
        <f>VLOOKUP($U706,[2]Standard_Dynamic!$Q$1:$T$542,3,FALSE)</f>
        <v>0.11111111111111116</v>
      </c>
      <c r="AN706">
        <f>VLOOKUP($U706,[2]Standard_Dynamic!$Q$1:$T$542,4,FALSE)</f>
        <v>0</v>
      </c>
      <c r="AO706" s="77">
        <f t="shared" si="1973"/>
        <v>1</v>
      </c>
      <c r="AP706" s="77">
        <f t="shared" si="1987"/>
        <v>6.3149999999999984E-2</v>
      </c>
      <c r="AQ706" s="77">
        <f t="shared" si="1974"/>
        <v>5.1160591879111372E-3</v>
      </c>
      <c r="AR706" s="79">
        <v>0</v>
      </c>
      <c r="AS706" s="77">
        <f t="shared" si="1988"/>
        <v>0</v>
      </c>
      <c r="AT706" s="77">
        <f t="shared" ref="AT706" si="2122">1-(1-AS706)^(1/12)</f>
        <v>0</v>
      </c>
      <c r="AU706" s="77">
        <f t="shared" si="1990"/>
        <v>2.5000000000000001E-3</v>
      </c>
      <c r="AV706" s="77">
        <f t="shared" ref="AV706" si="2123">1-(1-AU706)^(1/12)</f>
        <v>2.0857243058891584E-4</v>
      </c>
      <c r="AX706" t="s">
        <v>178</v>
      </c>
      <c r="AY706" t="s">
        <v>162</v>
      </c>
      <c r="AZ706" s="197" t="str">
        <f t="shared" si="2070"/>
        <v>DIS_Standard_381</v>
      </c>
      <c r="BA706">
        <v>381</v>
      </c>
      <c r="BB706">
        <f>VLOOKUP($BA706,'[2]Standard DIS'!$Q$1:$X$542,4,FALSE)</f>
        <v>0</v>
      </c>
      <c r="BF706">
        <f>VLOOKUP($BA706,'[2]Standard DIS'!$Q$1:$X$542,2,FALSE)</f>
        <v>0.88888888888888884</v>
      </c>
      <c r="BH706">
        <f>VLOOKUP($BA706,'[2]Standard DIS'!$Q$1:$X$542,3,FALSE)</f>
        <v>0.11111111111111116</v>
      </c>
      <c r="BI706" s="77">
        <f t="shared" si="1977"/>
        <v>1</v>
      </c>
      <c r="BJ706" s="77">
        <f t="shared" si="1978"/>
        <v>6.3149999999999984E-2</v>
      </c>
      <c r="BK706" s="77">
        <f t="shared" si="2071"/>
        <v>5.1160591879111372E-3</v>
      </c>
      <c r="BL706" s="79">
        <v>0</v>
      </c>
      <c r="BM706" s="77">
        <f t="shared" si="1992"/>
        <v>0</v>
      </c>
      <c r="BN706" s="77">
        <f t="shared" si="1993"/>
        <v>0</v>
      </c>
      <c r="BO706" s="77">
        <f t="shared" si="1994"/>
        <v>2.5000000000000001E-3</v>
      </c>
      <c r="BP706" s="77">
        <f t="shared" si="1995"/>
        <v>2.0809499864316017E-4</v>
      </c>
    </row>
    <row r="707" spans="1:68">
      <c r="A707" t="s">
        <v>175</v>
      </c>
      <c r="B707" t="s">
        <v>179</v>
      </c>
      <c r="C707" s="197" t="str">
        <f t="shared" si="2036"/>
        <v>Lifecycle_Dynamic_380</v>
      </c>
      <c r="D707">
        <v>380</v>
      </c>
      <c r="E707">
        <f>VLOOKUP($D707,'[2]LC Dynamic'!$Q$2:$U$542,2,FALSE)</f>
        <v>0</v>
      </c>
      <c r="F707">
        <f>VLOOKUP($D707,'[2]LC Dynamic'!$Q$2:$U$542,3,FALSE)</f>
        <v>0</v>
      </c>
      <c r="G707">
        <f>VLOOKUP($D707,'[2]LC Dynamic'!$Q$2:$U$542,4,FALSE)</f>
        <v>0.308</v>
      </c>
      <c r="H707">
        <f>VLOOKUP($D707,'[2]LC Dynamic'!$Q$2:$U$542,5,FALSE)</f>
        <v>0.69199999999999995</v>
      </c>
      <c r="I707" s="77">
        <f t="shared" si="1968"/>
        <v>1</v>
      </c>
      <c r="J707" s="77">
        <f t="shared" si="1969"/>
        <v>6.9728499999999985E-2</v>
      </c>
      <c r="K707" s="77">
        <f t="shared" si="2043"/>
        <v>5.632878498097682E-3</v>
      </c>
      <c r="L707" s="76">
        <v>0</v>
      </c>
      <c r="M707" s="77">
        <f t="shared" si="1979"/>
        <v>0</v>
      </c>
      <c r="N707" s="77">
        <f t="shared" si="1980"/>
        <v>0</v>
      </c>
      <c r="O707" s="77">
        <f t="shared" si="1981"/>
        <v>5.6775999999999997E-3</v>
      </c>
      <c r="P707" s="77">
        <f t="shared" si="1982"/>
        <v>4.7436902124819991E-4</v>
      </c>
      <c r="R707" t="s">
        <v>177</v>
      </c>
      <c r="S707" t="s">
        <v>179</v>
      </c>
      <c r="T707" s="197" t="str">
        <f t="shared" si="2037"/>
        <v>Autopilot_Dynamic_380</v>
      </c>
      <c r="U707">
        <v>380</v>
      </c>
      <c r="V707">
        <f>VLOOKUP($U707,'[2]AP Dynamic'!$Q$1:$T$542,2,FALSE)</f>
        <v>0.88888888888888884</v>
      </c>
      <c r="W707">
        <f>VLOOKUP($U707,'[2]AP Dynamic'!$Q$1:$T$542,3,FALSE)</f>
        <v>0.11111111111111116</v>
      </c>
      <c r="X707">
        <f>VLOOKUP($U707,'[2]AP Dynamic'!$Q$1:$T$542,4,FALSE)</f>
        <v>0</v>
      </c>
      <c r="Y707" s="77">
        <f t="shared" si="2038"/>
        <v>1</v>
      </c>
      <c r="Z707" s="77">
        <f t="shared" si="2044"/>
        <v>6.3149999999999984E-2</v>
      </c>
      <c r="AA707" s="77">
        <f t="shared" si="2045"/>
        <v>5.1160591879111372E-3</v>
      </c>
      <c r="AB707" s="79">
        <v>1</v>
      </c>
      <c r="AC707" s="77">
        <f t="shared" si="1983"/>
        <v>8.277777777777778E-3</v>
      </c>
      <c r="AD707" s="77">
        <f t="shared" ref="AD707" si="2124">1-(1-AC707)^(1/12)</f>
        <v>6.9244588451522482E-4</v>
      </c>
      <c r="AE707" s="77">
        <f t="shared" si="1985"/>
        <v>2.5000000000000001E-3</v>
      </c>
      <c r="AF707" s="77">
        <f t="shared" ref="AF707" si="2125">1-(1-AE707)^(1/12)</f>
        <v>2.0857243058891584E-4</v>
      </c>
      <c r="AH707" t="s">
        <v>175</v>
      </c>
      <c r="AI707" t="s">
        <v>179</v>
      </c>
      <c r="AJ707" s="197" t="str">
        <f t="shared" si="1972"/>
        <v>Lifecycle_Dynamic_380</v>
      </c>
      <c r="AK707">
        <v>380</v>
      </c>
      <c r="AL707">
        <f>VLOOKUP($U707,[2]Standard_Dynamic!$Q$1:$T$542,2,FALSE)</f>
        <v>0.88888888888888884</v>
      </c>
      <c r="AM707">
        <f>VLOOKUP($U707,[2]Standard_Dynamic!$Q$1:$T$542,3,FALSE)</f>
        <v>0.11111111111111116</v>
      </c>
      <c r="AN707">
        <f>VLOOKUP($U707,[2]Standard_Dynamic!$Q$1:$T$542,4,FALSE)</f>
        <v>0</v>
      </c>
      <c r="AO707" s="77">
        <f t="shared" si="1973"/>
        <v>1</v>
      </c>
      <c r="AP707" s="77">
        <f t="shared" si="1987"/>
        <v>6.3149999999999984E-2</v>
      </c>
      <c r="AQ707" s="77">
        <f t="shared" si="1974"/>
        <v>5.1160591879111372E-3</v>
      </c>
      <c r="AR707" s="79">
        <v>0</v>
      </c>
      <c r="AS707" s="77">
        <f t="shared" si="1988"/>
        <v>0</v>
      </c>
      <c r="AT707" s="77">
        <f t="shared" ref="AT707" si="2126">1-(1-AS707)^(1/12)</f>
        <v>0</v>
      </c>
      <c r="AU707" s="77">
        <f t="shared" si="1990"/>
        <v>2.5000000000000001E-3</v>
      </c>
      <c r="AV707" s="77">
        <f t="shared" ref="AV707" si="2127">1-(1-AU707)^(1/12)</f>
        <v>2.0857243058891584E-4</v>
      </c>
      <c r="AX707" t="s">
        <v>178</v>
      </c>
      <c r="AY707" t="s">
        <v>162</v>
      </c>
      <c r="AZ707" s="197" t="str">
        <f t="shared" si="2070"/>
        <v>DIS_Standard_380</v>
      </c>
      <c r="BA707">
        <v>380</v>
      </c>
      <c r="BB707">
        <f>VLOOKUP($BA707,'[2]Standard DIS'!$Q$1:$X$542,4,FALSE)</f>
        <v>0</v>
      </c>
      <c r="BF707">
        <f>VLOOKUP($BA707,'[2]Standard DIS'!$Q$1:$X$542,2,FALSE)</f>
        <v>0.88888888888888884</v>
      </c>
      <c r="BH707">
        <f>VLOOKUP($BA707,'[2]Standard DIS'!$Q$1:$X$542,3,FALSE)</f>
        <v>0.11111111111111116</v>
      </c>
      <c r="BI707" s="77">
        <f t="shared" si="1977"/>
        <v>1</v>
      </c>
      <c r="BJ707" s="77">
        <f t="shared" si="1978"/>
        <v>6.3149999999999984E-2</v>
      </c>
      <c r="BK707" s="77">
        <f t="shared" si="2071"/>
        <v>5.1160591879111372E-3</v>
      </c>
      <c r="BL707" s="79">
        <v>0</v>
      </c>
      <c r="BM707" s="77">
        <f t="shared" si="1992"/>
        <v>0</v>
      </c>
      <c r="BN707" s="77">
        <f t="shared" si="1993"/>
        <v>0</v>
      </c>
      <c r="BO707" s="77">
        <f t="shared" si="1994"/>
        <v>2.5000000000000001E-3</v>
      </c>
      <c r="BP707" s="77">
        <f t="shared" si="1995"/>
        <v>2.0809499864316017E-4</v>
      </c>
    </row>
    <row r="708" spans="1:68">
      <c r="A708" t="s">
        <v>175</v>
      </c>
      <c r="B708" t="s">
        <v>179</v>
      </c>
      <c r="C708" s="197" t="str">
        <f t="shared" si="2036"/>
        <v>Lifecycle_Dynamic_379</v>
      </c>
      <c r="D708">
        <v>379</v>
      </c>
      <c r="E708">
        <f>VLOOKUP($D708,'[2]LC Dynamic'!$Q$2:$U$542,2,FALSE)</f>
        <v>0</v>
      </c>
      <c r="F708">
        <f>VLOOKUP($D708,'[2]LC Dynamic'!$Q$2:$U$542,3,FALSE)</f>
        <v>0</v>
      </c>
      <c r="G708">
        <f>VLOOKUP($D708,'[2]LC Dynamic'!$Q$2:$U$542,4,FALSE)</f>
        <v>0.308</v>
      </c>
      <c r="H708">
        <f>VLOOKUP($D708,'[2]LC Dynamic'!$Q$2:$U$542,5,FALSE)</f>
        <v>0.69199999999999995</v>
      </c>
      <c r="I708" s="77">
        <f t="shared" si="1968"/>
        <v>1</v>
      </c>
      <c r="J708" s="77">
        <f t="shared" si="1969"/>
        <v>6.9728499999999985E-2</v>
      </c>
      <c r="K708" s="77">
        <f t="shared" si="2043"/>
        <v>5.632878498097682E-3</v>
      </c>
      <c r="L708" s="76">
        <v>0</v>
      </c>
      <c r="M708" s="77">
        <f t="shared" si="1979"/>
        <v>0</v>
      </c>
      <c r="N708" s="77">
        <f t="shared" si="1980"/>
        <v>0</v>
      </c>
      <c r="O708" s="77">
        <f t="shared" si="1981"/>
        <v>5.6775999999999997E-3</v>
      </c>
      <c r="P708" s="77">
        <f t="shared" si="1982"/>
        <v>4.7436902124819991E-4</v>
      </c>
      <c r="R708" t="s">
        <v>177</v>
      </c>
      <c r="S708" t="s">
        <v>179</v>
      </c>
      <c r="T708" s="197" t="str">
        <f t="shared" si="2037"/>
        <v>Autopilot_Dynamic_379</v>
      </c>
      <c r="U708">
        <v>379</v>
      </c>
      <c r="V708">
        <f>VLOOKUP($U708,'[2]AP Dynamic'!$Q$1:$T$542,2,FALSE)</f>
        <v>0.88888888888888884</v>
      </c>
      <c r="W708">
        <f>VLOOKUP($U708,'[2]AP Dynamic'!$Q$1:$T$542,3,FALSE)</f>
        <v>0.11111111111111116</v>
      </c>
      <c r="X708">
        <f>VLOOKUP($U708,'[2]AP Dynamic'!$Q$1:$T$542,4,FALSE)</f>
        <v>0</v>
      </c>
      <c r="Y708" s="77">
        <f t="shared" si="2038"/>
        <v>1</v>
      </c>
      <c r="Z708" s="77">
        <f t="shared" si="2044"/>
        <v>6.3149999999999984E-2</v>
      </c>
      <c r="AA708" s="77">
        <f t="shared" si="2045"/>
        <v>5.1160591879111372E-3</v>
      </c>
      <c r="AB708" s="79">
        <v>1</v>
      </c>
      <c r="AC708" s="77">
        <f t="shared" si="1983"/>
        <v>8.277777777777778E-3</v>
      </c>
      <c r="AD708" s="77">
        <f t="shared" ref="AD708" si="2128">1-(1-AC708)^(1/12)</f>
        <v>6.9244588451522482E-4</v>
      </c>
      <c r="AE708" s="77">
        <f t="shared" si="1985"/>
        <v>2.5000000000000001E-3</v>
      </c>
      <c r="AF708" s="77">
        <f t="shared" ref="AF708" si="2129">1-(1-AE708)^(1/12)</f>
        <v>2.0857243058891584E-4</v>
      </c>
      <c r="AH708" t="s">
        <v>175</v>
      </c>
      <c r="AI708" t="s">
        <v>179</v>
      </c>
      <c r="AJ708" s="197" t="str">
        <f t="shared" si="1972"/>
        <v>Lifecycle_Dynamic_379</v>
      </c>
      <c r="AK708">
        <v>379</v>
      </c>
      <c r="AL708">
        <f>VLOOKUP($U708,[2]Standard_Dynamic!$Q$1:$T$542,2,FALSE)</f>
        <v>0.88888888888888884</v>
      </c>
      <c r="AM708">
        <f>VLOOKUP($U708,[2]Standard_Dynamic!$Q$1:$T$542,3,FALSE)</f>
        <v>0.11111111111111116</v>
      </c>
      <c r="AN708">
        <f>VLOOKUP($U708,[2]Standard_Dynamic!$Q$1:$T$542,4,FALSE)</f>
        <v>0</v>
      </c>
      <c r="AO708" s="77">
        <f t="shared" si="1973"/>
        <v>1</v>
      </c>
      <c r="AP708" s="77">
        <f t="shared" si="1987"/>
        <v>6.3149999999999984E-2</v>
      </c>
      <c r="AQ708" s="77">
        <f t="shared" si="1974"/>
        <v>5.1160591879111372E-3</v>
      </c>
      <c r="AR708" s="79">
        <v>0</v>
      </c>
      <c r="AS708" s="77">
        <f t="shared" si="1988"/>
        <v>0</v>
      </c>
      <c r="AT708" s="77">
        <f t="shared" ref="AT708" si="2130">1-(1-AS708)^(1/12)</f>
        <v>0</v>
      </c>
      <c r="AU708" s="77">
        <f t="shared" si="1990"/>
        <v>2.5000000000000001E-3</v>
      </c>
      <c r="AV708" s="77">
        <f t="shared" ref="AV708" si="2131">1-(1-AU708)^(1/12)</f>
        <v>2.0857243058891584E-4</v>
      </c>
      <c r="AX708" t="s">
        <v>178</v>
      </c>
      <c r="AY708" t="s">
        <v>162</v>
      </c>
      <c r="AZ708" s="197" t="str">
        <f t="shared" si="2070"/>
        <v>DIS_Standard_379</v>
      </c>
      <c r="BA708">
        <v>379</v>
      </c>
      <c r="BB708">
        <f>VLOOKUP($BA708,'[2]Standard DIS'!$Q$1:$X$542,4,FALSE)</f>
        <v>0</v>
      </c>
      <c r="BF708">
        <f>VLOOKUP($BA708,'[2]Standard DIS'!$Q$1:$X$542,2,FALSE)</f>
        <v>0.88888888888888884</v>
      </c>
      <c r="BH708">
        <f>VLOOKUP($BA708,'[2]Standard DIS'!$Q$1:$X$542,3,FALSE)</f>
        <v>0.11111111111111116</v>
      </c>
      <c r="BI708" s="77">
        <f t="shared" si="1977"/>
        <v>1</v>
      </c>
      <c r="BJ708" s="77">
        <f t="shared" si="1978"/>
        <v>6.3149999999999984E-2</v>
      </c>
      <c r="BK708" s="77">
        <f t="shared" si="2071"/>
        <v>5.1160591879111372E-3</v>
      </c>
      <c r="BL708" s="79">
        <v>0</v>
      </c>
      <c r="BM708" s="77">
        <f t="shared" si="1992"/>
        <v>0</v>
      </c>
      <c r="BN708" s="77">
        <f t="shared" si="1993"/>
        <v>0</v>
      </c>
      <c r="BO708" s="77">
        <f t="shared" si="1994"/>
        <v>2.5000000000000001E-3</v>
      </c>
      <c r="BP708" s="77">
        <f t="shared" si="1995"/>
        <v>2.0809499864316017E-4</v>
      </c>
    </row>
    <row r="709" spans="1:68">
      <c r="A709" t="s">
        <v>175</v>
      </c>
      <c r="B709" t="s">
        <v>179</v>
      </c>
      <c r="C709" s="197" t="str">
        <f t="shared" si="2036"/>
        <v>Lifecycle_Dynamic_378</v>
      </c>
      <c r="D709">
        <v>378</v>
      </c>
      <c r="E709">
        <f>VLOOKUP($D709,'[2]LC Dynamic'!$Q$2:$U$542,2,FALSE)</f>
        <v>0</v>
      </c>
      <c r="F709">
        <f>VLOOKUP($D709,'[2]LC Dynamic'!$Q$2:$U$542,3,FALSE)</f>
        <v>0</v>
      </c>
      <c r="G709">
        <f>VLOOKUP($D709,'[2]LC Dynamic'!$Q$2:$U$542,4,FALSE)</f>
        <v>0.308</v>
      </c>
      <c r="H709">
        <f>VLOOKUP($D709,'[2]LC Dynamic'!$Q$2:$U$542,5,FALSE)</f>
        <v>0.69199999999999995</v>
      </c>
      <c r="I709" s="77">
        <f t="shared" si="1968"/>
        <v>1</v>
      </c>
      <c r="J709" s="77">
        <f t="shared" si="1969"/>
        <v>6.9728499999999985E-2</v>
      </c>
      <c r="K709" s="77">
        <f t="shared" si="2043"/>
        <v>5.632878498097682E-3</v>
      </c>
      <c r="L709" s="76">
        <v>0</v>
      </c>
      <c r="M709" s="77">
        <f t="shared" si="1979"/>
        <v>0</v>
      </c>
      <c r="N709" s="77">
        <f t="shared" si="1980"/>
        <v>0</v>
      </c>
      <c r="O709" s="77">
        <f t="shared" si="1981"/>
        <v>5.6775999999999997E-3</v>
      </c>
      <c r="P709" s="77">
        <f t="shared" si="1982"/>
        <v>4.7436902124819991E-4</v>
      </c>
      <c r="R709" t="s">
        <v>177</v>
      </c>
      <c r="S709" t="s">
        <v>179</v>
      </c>
      <c r="T709" s="197" t="str">
        <f t="shared" si="2037"/>
        <v>Autopilot_Dynamic_378</v>
      </c>
      <c r="U709">
        <v>378</v>
      </c>
      <c r="V709">
        <f>VLOOKUP($U709,'[2]AP Dynamic'!$Q$1:$T$542,2,FALSE)</f>
        <v>0.88888888888888884</v>
      </c>
      <c r="W709">
        <f>VLOOKUP($U709,'[2]AP Dynamic'!$Q$1:$T$542,3,FALSE)</f>
        <v>0.11111111111111116</v>
      </c>
      <c r="X709">
        <f>VLOOKUP($U709,'[2]AP Dynamic'!$Q$1:$T$542,4,FALSE)</f>
        <v>0</v>
      </c>
      <c r="Y709" s="77">
        <f t="shared" si="2038"/>
        <v>1</v>
      </c>
      <c r="Z709" s="77">
        <f t="shared" si="2044"/>
        <v>6.3149999999999984E-2</v>
      </c>
      <c r="AA709" s="77">
        <f t="shared" si="2045"/>
        <v>5.1160591879111372E-3</v>
      </c>
      <c r="AB709" s="79">
        <v>1</v>
      </c>
      <c r="AC709" s="77">
        <f t="shared" si="1983"/>
        <v>8.277777777777778E-3</v>
      </c>
      <c r="AD709" s="77">
        <f t="shared" ref="AD709" si="2132">1-(1-AC709)^(1/12)</f>
        <v>6.9244588451522482E-4</v>
      </c>
      <c r="AE709" s="77">
        <f t="shared" si="1985"/>
        <v>2.5000000000000001E-3</v>
      </c>
      <c r="AF709" s="77">
        <f t="shared" ref="AF709" si="2133">1-(1-AE709)^(1/12)</f>
        <v>2.0857243058891584E-4</v>
      </c>
      <c r="AH709" t="s">
        <v>175</v>
      </c>
      <c r="AI709" t="s">
        <v>179</v>
      </c>
      <c r="AJ709" s="197" t="str">
        <f t="shared" si="1972"/>
        <v>Lifecycle_Dynamic_378</v>
      </c>
      <c r="AK709">
        <v>378</v>
      </c>
      <c r="AL709">
        <f>VLOOKUP($U709,[2]Standard_Dynamic!$Q$1:$T$542,2,FALSE)</f>
        <v>0.88888888888888884</v>
      </c>
      <c r="AM709">
        <f>VLOOKUP($U709,[2]Standard_Dynamic!$Q$1:$T$542,3,FALSE)</f>
        <v>0.11111111111111116</v>
      </c>
      <c r="AN709">
        <f>VLOOKUP($U709,[2]Standard_Dynamic!$Q$1:$T$542,4,FALSE)</f>
        <v>0</v>
      </c>
      <c r="AO709" s="77">
        <f t="shared" si="1973"/>
        <v>1</v>
      </c>
      <c r="AP709" s="77">
        <f t="shared" si="1987"/>
        <v>6.3149999999999984E-2</v>
      </c>
      <c r="AQ709" s="77">
        <f t="shared" si="1974"/>
        <v>5.1160591879111372E-3</v>
      </c>
      <c r="AR709" s="79">
        <v>0</v>
      </c>
      <c r="AS709" s="77">
        <f t="shared" si="1988"/>
        <v>0</v>
      </c>
      <c r="AT709" s="77">
        <f t="shared" ref="AT709" si="2134">1-(1-AS709)^(1/12)</f>
        <v>0</v>
      </c>
      <c r="AU709" s="77">
        <f t="shared" si="1990"/>
        <v>2.5000000000000001E-3</v>
      </c>
      <c r="AV709" s="77">
        <f t="shared" ref="AV709" si="2135">1-(1-AU709)^(1/12)</f>
        <v>2.0857243058891584E-4</v>
      </c>
      <c r="AX709" t="s">
        <v>178</v>
      </c>
      <c r="AY709" t="s">
        <v>162</v>
      </c>
      <c r="AZ709" s="197" t="str">
        <f t="shared" si="2070"/>
        <v>DIS_Standard_378</v>
      </c>
      <c r="BA709">
        <v>378</v>
      </c>
      <c r="BB709">
        <f>VLOOKUP($BA709,'[2]Standard DIS'!$Q$1:$X$542,4,FALSE)</f>
        <v>0</v>
      </c>
      <c r="BF709">
        <f>VLOOKUP($BA709,'[2]Standard DIS'!$Q$1:$X$542,2,FALSE)</f>
        <v>0.88888888888888884</v>
      </c>
      <c r="BH709">
        <f>VLOOKUP($BA709,'[2]Standard DIS'!$Q$1:$X$542,3,FALSE)</f>
        <v>0.11111111111111116</v>
      </c>
      <c r="BI709" s="77">
        <f t="shared" si="1977"/>
        <v>1</v>
      </c>
      <c r="BJ709" s="77">
        <f t="shared" si="1978"/>
        <v>6.3149999999999984E-2</v>
      </c>
      <c r="BK709" s="77">
        <f t="shared" si="2071"/>
        <v>5.1160591879111372E-3</v>
      </c>
      <c r="BL709" s="79">
        <v>0</v>
      </c>
      <c r="BM709" s="77">
        <f t="shared" si="1992"/>
        <v>0</v>
      </c>
      <c r="BN709" s="77">
        <f t="shared" si="1993"/>
        <v>0</v>
      </c>
      <c r="BO709" s="77">
        <f t="shared" si="1994"/>
        <v>2.5000000000000001E-3</v>
      </c>
      <c r="BP709" s="77">
        <f t="shared" si="1995"/>
        <v>2.0809499864316017E-4</v>
      </c>
    </row>
    <row r="710" spans="1:68">
      <c r="A710" t="s">
        <v>175</v>
      </c>
      <c r="B710" t="s">
        <v>179</v>
      </c>
      <c r="C710" s="197" t="str">
        <f t="shared" si="2036"/>
        <v>Lifecycle_Dynamic_377</v>
      </c>
      <c r="D710">
        <v>377</v>
      </c>
      <c r="E710">
        <f>VLOOKUP($D710,'[2]LC Dynamic'!$Q$2:$U$542,2,FALSE)</f>
        <v>0</v>
      </c>
      <c r="F710">
        <f>VLOOKUP($D710,'[2]LC Dynamic'!$Q$2:$U$542,3,FALSE)</f>
        <v>0</v>
      </c>
      <c r="G710">
        <f>VLOOKUP($D710,'[2]LC Dynamic'!$Q$2:$U$542,4,FALSE)</f>
        <v>0.308</v>
      </c>
      <c r="H710">
        <f>VLOOKUP($D710,'[2]LC Dynamic'!$Q$2:$U$542,5,FALSE)</f>
        <v>0.69199999999999995</v>
      </c>
      <c r="I710" s="77">
        <f t="shared" si="1968"/>
        <v>1</v>
      </c>
      <c r="J710" s="77">
        <f t="shared" si="1969"/>
        <v>6.9728499999999985E-2</v>
      </c>
      <c r="K710" s="77">
        <f t="shared" si="2043"/>
        <v>5.632878498097682E-3</v>
      </c>
      <c r="L710" s="76">
        <v>0</v>
      </c>
      <c r="M710" s="77">
        <f t="shared" si="1979"/>
        <v>0</v>
      </c>
      <c r="N710" s="77">
        <f t="shared" si="1980"/>
        <v>0</v>
      </c>
      <c r="O710" s="77">
        <f t="shared" si="1981"/>
        <v>5.6775999999999997E-3</v>
      </c>
      <c r="P710" s="77">
        <f t="shared" si="1982"/>
        <v>4.7436902124819991E-4</v>
      </c>
      <c r="R710" t="s">
        <v>177</v>
      </c>
      <c r="S710" t="s">
        <v>179</v>
      </c>
      <c r="T710" s="197" t="str">
        <f t="shared" si="2037"/>
        <v>Autopilot_Dynamic_377</v>
      </c>
      <c r="U710">
        <v>377</v>
      </c>
      <c r="V710">
        <f>VLOOKUP($U710,'[2]AP Dynamic'!$Q$1:$T$542,2,FALSE)</f>
        <v>0.88888888888888884</v>
      </c>
      <c r="W710">
        <f>VLOOKUP($U710,'[2]AP Dynamic'!$Q$1:$T$542,3,FALSE)</f>
        <v>0.11111111111111116</v>
      </c>
      <c r="X710">
        <f>VLOOKUP($U710,'[2]AP Dynamic'!$Q$1:$T$542,4,FALSE)</f>
        <v>0</v>
      </c>
      <c r="Y710" s="77">
        <f t="shared" si="2038"/>
        <v>1</v>
      </c>
      <c r="Z710" s="77">
        <f t="shared" si="2044"/>
        <v>6.3149999999999984E-2</v>
      </c>
      <c r="AA710" s="77">
        <f t="shared" si="2045"/>
        <v>5.1160591879111372E-3</v>
      </c>
      <c r="AB710" s="79">
        <v>1</v>
      </c>
      <c r="AC710" s="77">
        <f t="shared" si="1983"/>
        <v>8.277777777777778E-3</v>
      </c>
      <c r="AD710" s="77">
        <f t="shared" ref="AD710" si="2136">1-(1-AC710)^(1/12)</f>
        <v>6.9244588451522482E-4</v>
      </c>
      <c r="AE710" s="77">
        <f t="shared" si="1985"/>
        <v>2.5000000000000001E-3</v>
      </c>
      <c r="AF710" s="77">
        <f t="shared" ref="AF710" si="2137">1-(1-AE710)^(1/12)</f>
        <v>2.0857243058891584E-4</v>
      </c>
      <c r="AH710" t="s">
        <v>175</v>
      </c>
      <c r="AI710" t="s">
        <v>179</v>
      </c>
      <c r="AJ710" s="197" t="str">
        <f t="shared" si="1972"/>
        <v>Lifecycle_Dynamic_377</v>
      </c>
      <c r="AK710">
        <v>377</v>
      </c>
      <c r="AL710">
        <f>VLOOKUP($U710,[2]Standard_Dynamic!$Q$1:$T$542,2,FALSE)</f>
        <v>0.88888888888888884</v>
      </c>
      <c r="AM710">
        <f>VLOOKUP($U710,[2]Standard_Dynamic!$Q$1:$T$542,3,FALSE)</f>
        <v>0.11111111111111116</v>
      </c>
      <c r="AN710">
        <f>VLOOKUP($U710,[2]Standard_Dynamic!$Q$1:$T$542,4,FALSE)</f>
        <v>0</v>
      </c>
      <c r="AO710" s="77">
        <f t="shared" si="1973"/>
        <v>1</v>
      </c>
      <c r="AP710" s="77">
        <f t="shared" si="1987"/>
        <v>6.3149999999999984E-2</v>
      </c>
      <c r="AQ710" s="77">
        <f t="shared" si="1974"/>
        <v>5.1160591879111372E-3</v>
      </c>
      <c r="AR710" s="79">
        <v>0</v>
      </c>
      <c r="AS710" s="77">
        <f t="shared" si="1988"/>
        <v>0</v>
      </c>
      <c r="AT710" s="77">
        <f t="shared" ref="AT710" si="2138">1-(1-AS710)^(1/12)</f>
        <v>0</v>
      </c>
      <c r="AU710" s="77">
        <f t="shared" si="1990"/>
        <v>2.5000000000000001E-3</v>
      </c>
      <c r="AV710" s="77">
        <f t="shared" ref="AV710" si="2139">1-(1-AU710)^(1/12)</f>
        <v>2.0857243058891584E-4</v>
      </c>
      <c r="AX710" t="s">
        <v>178</v>
      </c>
      <c r="AY710" t="s">
        <v>162</v>
      </c>
      <c r="AZ710" s="197" t="str">
        <f t="shared" si="2070"/>
        <v>DIS_Standard_377</v>
      </c>
      <c r="BA710">
        <v>377</v>
      </c>
      <c r="BB710">
        <f>VLOOKUP($BA710,'[2]Standard DIS'!$Q$1:$X$542,4,FALSE)</f>
        <v>0</v>
      </c>
      <c r="BF710">
        <f>VLOOKUP($BA710,'[2]Standard DIS'!$Q$1:$X$542,2,FALSE)</f>
        <v>0.88888888888888884</v>
      </c>
      <c r="BH710">
        <f>VLOOKUP($BA710,'[2]Standard DIS'!$Q$1:$X$542,3,FALSE)</f>
        <v>0.11111111111111116</v>
      </c>
      <c r="BI710" s="77">
        <f t="shared" si="1977"/>
        <v>1</v>
      </c>
      <c r="BJ710" s="77">
        <f t="shared" si="1978"/>
        <v>6.3149999999999984E-2</v>
      </c>
      <c r="BK710" s="77">
        <f t="shared" si="2071"/>
        <v>5.1160591879111372E-3</v>
      </c>
      <c r="BL710" s="79">
        <v>0</v>
      </c>
      <c r="BM710" s="77">
        <f t="shared" si="1992"/>
        <v>0</v>
      </c>
      <c r="BN710" s="77">
        <f t="shared" si="1993"/>
        <v>0</v>
      </c>
      <c r="BO710" s="77">
        <f t="shared" si="1994"/>
        <v>2.5000000000000001E-3</v>
      </c>
      <c r="BP710" s="77">
        <f t="shared" si="1995"/>
        <v>2.0809499864316017E-4</v>
      </c>
    </row>
    <row r="711" spans="1:68">
      <c r="A711" t="s">
        <v>175</v>
      </c>
      <c r="B711" t="s">
        <v>179</v>
      </c>
      <c r="C711" s="197" t="str">
        <f t="shared" si="2036"/>
        <v>Lifecycle_Dynamic_376</v>
      </c>
      <c r="D711">
        <v>376</v>
      </c>
      <c r="E711">
        <f>VLOOKUP($D711,'[2]LC Dynamic'!$Q$2:$U$542,2,FALSE)</f>
        <v>0</v>
      </c>
      <c r="F711">
        <f>VLOOKUP($D711,'[2]LC Dynamic'!$Q$2:$U$542,3,FALSE)</f>
        <v>0</v>
      </c>
      <c r="G711">
        <f>VLOOKUP($D711,'[2]LC Dynamic'!$Q$2:$U$542,4,FALSE)</f>
        <v>0.308</v>
      </c>
      <c r="H711">
        <f>VLOOKUP($D711,'[2]LC Dynamic'!$Q$2:$U$542,5,FALSE)</f>
        <v>0.69199999999999995</v>
      </c>
      <c r="I711" s="77">
        <f t="shared" si="1968"/>
        <v>1</v>
      </c>
      <c r="J711" s="77">
        <f t="shared" si="1969"/>
        <v>6.9728499999999985E-2</v>
      </c>
      <c r="K711" s="77">
        <f t="shared" si="2043"/>
        <v>5.632878498097682E-3</v>
      </c>
      <c r="L711" s="76">
        <v>0</v>
      </c>
      <c r="M711" s="77">
        <f t="shared" si="1979"/>
        <v>0</v>
      </c>
      <c r="N711" s="77">
        <f t="shared" si="1980"/>
        <v>0</v>
      </c>
      <c r="O711" s="77">
        <f t="shared" si="1981"/>
        <v>5.6775999999999997E-3</v>
      </c>
      <c r="P711" s="77">
        <f t="shared" si="1982"/>
        <v>4.7436902124819991E-4</v>
      </c>
      <c r="R711" t="s">
        <v>177</v>
      </c>
      <c r="S711" t="s">
        <v>179</v>
      </c>
      <c r="T711" s="197" t="str">
        <f t="shared" si="2037"/>
        <v>Autopilot_Dynamic_376</v>
      </c>
      <c r="U711">
        <v>376</v>
      </c>
      <c r="V711">
        <f>VLOOKUP($U711,'[2]AP Dynamic'!$Q$1:$T$542,2,FALSE)</f>
        <v>0.88888888888888884</v>
      </c>
      <c r="W711">
        <f>VLOOKUP($U711,'[2]AP Dynamic'!$Q$1:$T$542,3,FALSE)</f>
        <v>0.11111111111111116</v>
      </c>
      <c r="X711">
        <f>VLOOKUP($U711,'[2]AP Dynamic'!$Q$1:$T$542,4,FALSE)</f>
        <v>0</v>
      </c>
      <c r="Y711" s="77">
        <f t="shared" si="2038"/>
        <v>1</v>
      </c>
      <c r="Z711" s="77">
        <f t="shared" si="2044"/>
        <v>6.3149999999999984E-2</v>
      </c>
      <c r="AA711" s="77">
        <f t="shared" si="2045"/>
        <v>5.1160591879111372E-3</v>
      </c>
      <c r="AB711" s="79">
        <v>1</v>
      </c>
      <c r="AC711" s="77">
        <f t="shared" si="1983"/>
        <v>8.277777777777778E-3</v>
      </c>
      <c r="AD711" s="77">
        <f t="shared" ref="AD711" si="2140">1-(1-AC711)^(1/12)</f>
        <v>6.9244588451522482E-4</v>
      </c>
      <c r="AE711" s="77">
        <f t="shared" si="1985"/>
        <v>2.5000000000000001E-3</v>
      </c>
      <c r="AF711" s="77">
        <f t="shared" ref="AF711" si="2141">1-(1-AE711)^(1/12)</f>
        <v>2.0857243058891584E-4</v>
      </c>
      <c r="AH711" t="s">
        <v>175</v>
      </c>
      <c r="AI711" t="s">
        <v>179</v>
      </c>
      <c r="AJ711" s="197" t="str">
        <f t="shared" si="1972"/>
        <v>Lifecycle_Dynamic_376</v>
      </c>
      <c r="AK711">
        <v>376</v>
      </c>
      <c r="AL711">
        <f>VLOOKUP($U711,[2]Standard_Dynamic!$Q$1:$T$542,2,FALSE)</f>
        <v>0.88888888888888884</v>
      </c>
      <c r="AM711">
        <f>VLOOKUP($U711,[2]Standard_Dynamic!$Q$1:$T$542,3,FALSE)</f>
        <v>0.11111111111111116</v>
      </c>
      <c r="AN711">
        <f>VLOOKUP($U711,[2]Standard_Dynamic!$Q$1:$T$542,4,FALSE)</f>
        <v>0</v>
      </c>
      <c r="AO711" s="77">
        <f t="shared" si="1973"/>
        <v>1</v>
      </c>
      <c r="AP711" s="77">
        <f t="shared" si="1987"/>
        <v>6.3149999999999984E-2</v>
      </c>
      <c r="AQ711" s="77">
        <f t="shared" si="1974"/>
        <v>5.1160591879111372E-3</v>
      </c>
      <c r="AR711" s="79">
        <v>0</v>
      </c>
      <c r="AS711" s="77">
        <f t="shared" si="1988"/>
        <v>0</v>
      </c>
      <c r="AT711" s="77">
        <f t="shared" ref="AT711" si="2142">1-(1-AS711)^(1/12)</f>
        <v>0</v>
      </c>
      <c r="AU711" s="77">
        <f t="shared" si="1990"/>
        <v>2.5000000000000001E-3</v>
      </c>
      <c r="AV711" s="77">
        <f t="shared" ref="AV711" si="2143">1-(1-AU711)^(1/12)</f>
        <v>2.0857243058891584E-4</v>
      </c>
      <c r="AX711" t="s">
        <v>178</v>
      </c>
      <c r="AY711" t="s">
        <v>162</v>
      </c>
      <c r="AZ711" s="197" t="str">
        <f t="shared" si="2070"/>
        <v>DIS_Standard_376</v>
      </c>
      <c r="BA711">
        <v>376</v>
      </c>
      <c r="BB711">
        <f>VLOOKUP($BA711,'[2]Standard DIS'!$Q$1:$X$542,4,FALSE)</f>
        <v>0</v>
      </c>
      <c r="BF711">
        <f>VLOOKUP($BA711,'[2]Standard DIS'!$Q$1:$X$542,2,FALSE)</f>
        <v>0.88888888888888884</v>
      </c>
      <c r="BH711">
        <f>VLOOKUP($BA711,'[2]Standard DIS'!$Q$1:$X$542,3,FALSE)</f>
        <v>0.11111111111111116</v>
      </c>
      <c r="BI711" s="77">
        <f t="shared" si="1977"/>
        <v>1</v>
      </c>
      <c r="BJ711" s="77">
        <f t="shared" si="1978"/>
        <v>6.3149999999999984E-2</v>
      </c>
      <c r="BK711" s="77">
        <f t="shared" si="2071"/>
        <v>5.1160591879111372E-3</v>
      </c>
      <c r="BL711" s="79">
        <v>0</v>
      </c>
      <c r="BM711" s="77">
        <f t="shared" si="1992"/>
        <v>0</v>
      </c>
      <c r="BN711" s="77">
        <f t="shared" si="1993"/>
        <v>0</v>
      </c>
      <c r="BO711" s="77">
        <f t="shared" si="1994"/>
        <v>2.5000000000000001E-3</v>
      </c>
      <c r="BP711" s="77">
        <f t="shared" si="1995"/>
        <v>2.0809499864316017E-4</v>
      </c>
    </row>
    <row r="712" spans="1:68">
      <c r="A712" t="s">
        <v>175</v>
      </c>
      <c r="B712" t="s">
        <v>179</v>
      </c>
      <c r="C712" s="197" t="str">
        <f t="shared" si="2036"/>
        <v>Lifecycle_Dynamic_375</v>
      </c>
      <c r="D712">
        <v>375</v>
      </c>
      <c r="E712">
        <f>VLOOKUP($D712,'[2]LC Dynamic'!$Q$2:$U$542,2,FALSE)</f>
        <v>0</v>
      </c>
      <c r="F712">
        <f>VLOOKUP($D712,'[2]LC Dynamic'!$Q$2:$U$542,3,FALSE)</f>
        <v>0</v>
      </c>
      <c r="G712">
        <f>VLOOKUP($D712,'[2]LC Dynamic'!$Q$2:$U$542,4,FALSE)</f>
        <v>0.308</v>
      </c>
      <c r="H712">
        <f>VLOOKUP($D712,'[2]LC Dynamic'!$Q$2:$U$542,5,FALSE)</f>
        <v>0.69199999999999995</v>
      </c>
      <c r="I712" s="77">
        <f t="shared" si="1968"/>
        <v>1</v>
      </c>
      <c r="J712" s="77">
        <f t="shared" si="1969"/>
        <v>6.9728499999999985E-2</v>
      </c>
      <c r="K712" s="77">
        <f t="shared" si="2043"/>
        <v>5.632878498097682E-3</v>
      </c>
      <c r="L712" s="76">
        <v>0</v>
      </c>
      <c r="M712" s="77">
        <f t="shared" si="1979"/>
        <v>0</v>
      </c>
      <c r="N712" s="77">
        <f t="shared" si="1980"/>
        <v>0</v>
      </c>
      <c r="O712" s="77">
        <f t="shared" si="1981"/>
        <v>5.6775999999999997E-3</v>
      </c>
      <c r="P712" s="77">
        <f t="shared" si="1982"/>
        <v>4.7436902124819991E-4</v>
      </c>
      <c r="R712" t="s">
        <v>177</v>
      </c>
      <c r="S712" t="s">
        <v>179</v>
      </c>
      <c r="T712" s="197" t="str">
        <f t="shared" si="2037"/>
        <v>Autopilot_Dynamic_375</v>
      </c>
      <c r="U712">
        <v>375</v>
      </c>
      <c r="V712">
        <f>VLOOKUP($U712,'[2]AP Dynamic'!$Q$1:$T$542,2,FALSE)</f>
        <v>0.88888888888888884</v>
      </c>
      <c r="W712">
        <f>VLOOKUP($U712,'[2]AP Dynamic'!$Q$1:$T$542,3,FALSE)</f>
        <v>0.11111111111111116</v>
      </c>
      <c r="X712">
        <f>VLOOKUP($U712,'[2]AP Dynamic'!$Q$1:$T$542,4,FALSE)</f>
        <v>0</v>
      </c>
      <c r="Y712" s="77">
        <f t="shared" si="2038"/>
        <v>1</v>
      </c>
      <c r="Z712" s="77">
        <f t="shared" si="2044"/>
        <v>6.3149999999999984E-2</v>
      </c>
      <c r="AA712" s="77">
        <f t="shared" si="2045"/>
        <v>5.1160591879111372E-3</v>
      </c>
      <c r="AB712" s="79">
        <v>1</v>
      </c>
      <c r="AC712" s="77">
        <f t="shared" si="1983"/>
        <v>8.277777777777778E-3</v>
      </c>
      <c r="AD712" s="77">
        <f t="shared" ref="AD712" si="2144">1-(1-AC712)^(1/12)</f>
        <v>6.9244588451522482E-4</v>
      </c>
      <c r="AE712" s="77">
        <f t="shared" si="1985"/>
        <v>2.5000000000000001E-3</v>
      </c>
      <c r="AF712" s="77">
        <f t="shared" ref="AF712" si="2145">1-(1-AE712)^(1/12)</f>
        <v>2.0857243058891584E-4</v>
      </c>
      <c r="AH712" t="s">
        <v>175</v>
      </c>
      <c r="AI712" t="s">
        <v>179</v>
      </c>
      <c r="AJ712" s="197" t="str">
        <f t="shared" si="1972"/>
        <v>Lifecycle_Dynamic_375</v>
      </c>
      <c r="AK712">
        <v>375</v>
      </c>
      <c r="AL712">
        <f>VLOOKUP($U712,[2]Standard_Dynamic!$Q$1:$T$542,2,FALSE)</f>
        <v>0.88888888888888884</v>
      </c>
      <c r="AM712">
        <f>VLOOKUP($U712,[2]Standard_Dynamic!$Q$1:$T$542,3,FALSE)</f>
        <v>0.11111111111111116</v>
      </c>
      <c r="AN712">
        <f>VLOOKUP($U712,[2]Standard_Dynamic!$Q$1:$T$542,4,FALSE)</f>
        <v>0</v>
      </c>
      <c r="AO712" s="77">
        <f t="shared" si="1973"/>
        <v>1</v>
      </c>
      <c r="AP712" s="77">
        <f t="shared" si="1987"/>
        <v>6.3149999999999984E-2</v>
      </c>
      <c r="AQ712" s="77">
        <f t="shared" si="1974"/>
        <v>5.1160591879111372E-3</v>
      </c>
      <c r="AR712" s="79">
        <v>0</v>
      </c>
      <c r="AS712" s="77">
        <f t="shared" si="1988"/>
        <v>0</v>
      </c>
      <c r="AT712" s="77">
        <f t="shared" ref="AT712" si="2146">1-(1-AS712)^(1/12)</f>
        <v>0</v>
      </c>
      <c r="AU712" s="77">
        <f t="shared" si="1990"/>
        <v>2.5000000000000001E-3</v>
      </c>
      <c r="AV712" s="77">
        <f t="shared" ref="AV712" si="2147">1-(1-AU712)^(1/12)</f>
        <v>2.0857243058891584E-4</v>
      </c>
      <c r="AX712" t="s">
        <v>178</v>
      </c>
      <c r="AY712" t="s">
        <v>162</v>
      </c>
      <c r="AZ712" s="197" t="str">
        <f t="shared" si="2070"/>
        <v>DIS_Standard_375</v>
      </c>
      <c r="BA712">
        <v>375</v>
      </c>
      <c r="BB712">
        <f>VLOOKUP($BA712,'[2]Standard DIS'!$Q$1:$X$542,4,FALSE)</f>
        <v>0</v>
      </c>
      <c r="BF712">
        <f>VLOOKUP($BA712,'[2]Standard DIS'!$Q$1:$X$542,2,FALSE)</f>
        <v>0.88888888888888884</v>
      </c>
      <c r="BH712">
        <f>VLOOKUP($BA712,'[2]Standard DIS'!$Q$1:$X$542,3,FALSE)</f>
        <v>0.11111111111111116</v>
      </c>
      <c r="BI712" s="77">
        <f t="shared" si="1977"/>
        <v>1</v>
      </c>
      <c r="BJ712" s="77">
        <f t="shared" si="1978"/>
        <v>6.3149999999999984E-2</v>
      </c>
      <c r="BK712" s="77">
        <f t="shared" si="2071"/>
        <v>5.1160591879111372E-3</v>
      </c>
      <c r="BL712" s="79">
        <v>0</v>
      </c>
      <c r="BM712" s="77">
        <f t="shared" si="1992"/>
        <v>0</v>
      </c>
      <c r="BN712" s="77">
        <f t="shared" si="1993"/>
        <v>0</v>
      </c>
      <c r="BO712" s="77">
        <f t="shared" si="1994"/>
        <v>2.5000000000000001E-3</v>
      </c>
      <c r="BP712" s="77">
        <f t="shared" si="1995"/>
        <v>2.0809499864316017E-4</v>
      </c>
    </row>
    <row r="713" spans="1:68">
      <c r="A713" t="s">
        <v>175</v>
      </c>
      <c r="B713" t="s">
        <v>179</v>
      </c>
      <c r="C713" s="197" t="str">
        <f t="shared" si="2036"/>
        <v>Lifecycle_Dynamic_374</v>
      </c>
      <c r="D713">
        <v>374</v>
      </c>
      <c r="E713">
        <f>VLOOKUP($D713,'[2]LC Dynamic'!$Q$2:$U$542,2,FALSE)</f>
        <v>0</v>
      </c>
      <c r="F713">
        <f>VLOOKUP($D713,'[2]LC Dynamic'!$Q$2:$U$542,3,FALSE)</f>
        <v>0</v>
      </c>
      <c r="G713">
        <f>VLOOKUP($D713,'[2]LC Dynamic'!$Q$2:$U$542,4,FALSE)</f>
        <v>0.308</v>
      </c>
      <c r="H713">
        <f>VLOOKUP($D713,'[2]LC Dynamic'!$Q$2:$U$542,5,FALSE)</f>
        <v>0.69199999999999995</v>
      </c>
      <c r="I713" s="77">
        <f t="shared" si="1968"/>
        <v>1</v>
      </c>
      <c r="J713" s="77">
        <f t="shared" si="1969"/>
        <v>6.9728499999999985E-2</v>
      </c>
      <c r="K713" s="77">
        <f t="shared" si="2043"/>
        <v>5.632878498097682E-3</v>
      </c>
      <c r="L713" s="76">
        <v>0</v>
      </c>
      <c r="M713" s="77">
        <f t="shared" si="1979"/>
        <v>0</v>
      </c>
      <c r="N713" s="77">
        <f t="shared" si="1980"/>
        <v>0</v>
      </c>
      <c r="O713" s="77">
        <f t="shared" si="1981"/>
        <v>5.6775999999999997E-3</v>
      </c>
      <c r="P713" s="77">
        <f t="shared" si="1982"/>
        <v>4.7436902124819991E-4</v>
      </c>
      <c r="R713" t="s">
        <v>177</v>
      </c>
      <c r="S713" t="s">
        <v>179</v>
      </c>
      <c r="T713" s="197" t="str">
        <f t="shared" si="2037"/>
        <v>Autopilot_Dynamic_374</v>
      </c>
      <c r="U713">
        <v>374</v>
      </c>
      <c r="V713">
        <f>VLOOKUP($U713,'[2]AP Dynamic'!$Q$1:$T$542,2,FALSE)</f>
        <v>0.88888888888888884</v>
      </c>
      <c r="W713">
        <f>VLOOKUP($U713,'[2]AP Dynamic'!$Q$1:$T$542,3,FALSE)</f>
        <v>0.11111111111111116</v>
      </c>
      <c r="X713">
        <f>VLOOKUP($U713,'[2]AP Dynamic'!$Q$1:$T$542,4,FALSE)</f>
        <v>0</v>
      </c>
      <c r="Y713" s="77">
        <f t="shared" si="2038"/>
        <v>1</v>
      </c>
      <c r="Z713" s="77">
        <f t="shared" si="2044"/>
        <v>6.3149999999999984E-2</v>
      </c>
      <c r="AA713" s="77">
        <f t="shared" si="2045"/>
        <v>5.1160591879111372E-3</v>
      </c>
      <c r="AB713" s="79">
        <v>1</v>
      </c>
      <c r="AC713" s="77">
        <f t="shared" si="1983"/>
        <v>8.277777777777778E-3</v>
      </c>
      <c r="AD713" s="77">
        <f t="shared" ref="AD713" si="2148">1-(1-AC713)^(1/12)</f>
        <v>6.9244588451522482E-4</v>
      </c>
      <c r="AE713" s="77">
        <f t="shared" si="1985"/>
        <v>2.5000000000000001E-3</v>
      </c>
      <c r="AF713" s="77">
        <f t="shared" ref="AF713" si="2149">1-(1-AE713)^(1/12)</f>
        <v>2.0857243058891584E-4</v>
      </c>
      <c r="AH713" t="s">
        <v>175</v>
      </c>
      <c r="AI713" t="s">
        <v>179</v>
      </c>
      <c r="AJ713" s="197" t="str">
        <f t="shared" si="1972"/>
        <v>Lifecycle_Dynamic_374</v>
      </c>
      <c r="AK713">
        <v>374</v>
      </c>
      <c r="AL713">
        <f>VLOOKUP($U713,[2]Standard_Dynamic!$Q$1:$T$542,2,FALSE)</f>
        <v>0.88888888888888884</v>
      </c>
      <c r="AM713">
        <f>VLOOKUP($U713,[2]Standard_Dynamic!$Q$1:$T$542,3,FALSE)</f>
        <v>0.11111111111111116</v>
      </c>
      <c r="AN713">
        <f>VLOOKUP($U713,[2]Standard_Dynamic!$Q$1:$T$542,4,FALSE)</f>
        <v>0</v>
      </c>
      <c r="AO713" s="77">
        <f t="shared" si="1973"/>
        <v>1</v>
      </c>
      <c r="AP713" s="77">
        <f t="shared" si="1987"/>
        <v>6.3149999999999984E-2</v>
      </c>
      <c r="AQ713" s="77">
        <f t="shared" si="1974"/>
        <v>5.1160591879111372E-3</v>
      </c>
      <c r="AR713" s="79">
        <v>0</v>
      </c>
      <c r="AS713" s="77">
        <f t="shared" si="1988"/>
        <v>0</v>
      </c>
      <c r="AT713" s="77">
        <f t="shared" ref="AT713" si="2150">1-(1-AS713)^(1/12)</f>
        <v>0</v>
      </c>
      <c r="AU713" s="77">
        <f t="shared" si="1990"/>
        <v>2.5000000000000001E-3</v>
      </c>
      <c r="AV713" s="77">
        <f t="shared" ref="AV713" si="2151">1-(1-AU713)^(1/12)</f>
        <v>2.0857243058891584E-4</v>
      </c>
      <c r="AX713" t="s">
        <v>178</v>
      </c>
      <c r="AY713" t="s">
        <v>162</v>
      </c>
      <c r="AZ713" s="197" t="str">
        <f t="shared" si="2070"/>
        <v>DIS_Standard_374</v>
      </c>
      <c r="BA713">
        <v>374</v>
      </c>
      <c r="BB713">
        <f>VLOOKUP($BA713,'[2]Standard DIS'!$Q$1:$X$542,4,FALSE)</f>
        <v>0</v>
      </c>
      <c r="BF713">
        <f>VLOOKUP($BA713,'[2]Standard DIS'!$Q$1:$X$542,2,FALSE)</f>
        <v>0.88888888888888884</v>
      </c>
      <c r="BH713">
        <f>VLOOKUP($BA713,'[2]Standard DIS'!$Q$1:$X$542,3,FALSE)</f>
        <v>0.11111111111111116</v>
      </c>
      <c r="BI713" s="77">
        <f t="shared" si="1977"/>
        <v>1</v>
      </c>
      <c r="BJ713" s="77">
        <f t="shared" si="1978"/>
        <v>6.3149999999999984E-2</v>
      </c>
      <c r="BK713" s="77">
        <f t="shared" si="2071"/>
        <v>5.1160591879111372E-3</v>
      </c>
      <c r="BL713" s="79">
        <v>0</v>
      </c>
      <c r="BM713" s="77">
        <f t="shared" si="1992"/>
        <v>0</v>
      </c>
      <c r="BN713" s="77">
        <f t="shared" si="1993"/>
        <v>0</v>
      </c>
      <c r="BO713" s="77">
        <f t="shared" si="1994"/>
        <v>2.5000000000000001E-3</v>
      </c>
      <c r="BP713" s="77">
        <f t="shared" si="1995"/>
        <v>2.0809499864316017E-4</v>
      </c>
    </row>
    <row r="714" spans="1:68">
      <c r="A714" t="s">
        <v>175</v>
      </c>
      <c r="B714" t="s">
        <v>179</v>
      </c>
      <c r="C714" s="197" t="str">
        <f t="shared" si="2036"/>
        <v>Lifecycle_Dynamic_373</v>
      </c>
      <c r="D714">
        <v>373</v>
      </c>
      <c r="E714">
        <f>VLOOKUP($D714,'[2]LC Dynamic'!$Q$2:$U$542,2,FALSE)</f>
        <v>0</v>
      </c>
      <c r="F714">
        <f>VLOOKUP($D714,'[2]LC Dynamic'!$Q$2:$U$542,3,FALSE)</f>
        <v>0</v>
      </c>
      <c r="G714">
        <f>VLOOKUP($D714,'[2]LC Dynamic'!$Q$2:$U$542,4,FALSE)</f>
        <v>0.308</v>
      </c>
      <c r="H714">
        <f>VLOOKUP($D714,'[2]LC Dynamic'!$Q$2:$U$542,5,FALSE)</f>
        <v>0.69199999999999995</v>
      </c>
      <c r="I714" s="77">
        <f t="shared" si="1968"/>
        <v>1</v>
      </c>
      <c r="J714" s="77">
        <f t="shared" si="1969"/>
        <v>6.9728499999999985E-2</v>
      </c>
      <c r="K714" s="77">
        <f t="shared" si="2043"/>
        <v>5.632878498097682E-3</v>
      </c>
      <c r="L714" s="76">
        <v>0</v>
      </c>
      <c r="M714" s="77">
        <f t="shared" si="1979"/>
        <v>0</v>
      </c>
      <c r="N714" s="77">
        <f t="shared" si="1980"/>
        <v>0</v>
      </c>
      <c r="O714" s="77">
        <f t="shared" si="1981"/>
        <v>5.6775999999999997E-3</v>
      </c>
      <c r="P714" s="77">
        <f t="shared" si="1982"/>
        <v>4.7436902124819991E-4</v>
      </c>
      <c r="R714" t="s">
        <v>177</v>
      </c>
      <c r="S714" t="s">
        <v>179</v>
      </c>
      <c r="T714" s="197" t="str">
        <f t="shared" si="2037"/>
        <v>Autopilot_Dynamic_373</v>
      </c>
      <c r="U714">
        <v>373</v>
      </c>
      <c r="V714">
        <f>VLOOKUP($U714,'[2]AP Dynamic'!$Q$1:$T$542,2,FALSE)</f>
        <v>0.88888888888888884</v>
      </c>
      <c r="W714">
        <f>VLOOKUP($U714,'[2]AP Dynamic'!$Q$1:$T$542,3,FALSE)</f>
        <v>0.11111111111111116</v>
      </c>
      <c r="X714">
        <f>VLOOKUP($U714,'[2]AP Dynamic'!$Q$1:$T$542,4,FALSE)</f>
        <v>0</v>
      </c>
      <c r="Y714" s="77">
        <f t="shared" si="2038"/>
        <v>1</v>
      </c>
      <c r="Z714" s="77">
        <f t="shared" si="2044"/>
        <v>6.3149999999999984E-2</v>
      </c>
      <c r="AA714" s="77">
        <f t="shared" si="2045"/>
        <v>5.1160591879111372E-3</v>
      </c>
      <c r="AB714" s="79">
        <v>1</v>
      </c>
      <c r="AC714" s="77">
        <f t="shared" si="1983"/>
        <v>8.277777777777778E-3</v>
      </c>
      <c r="AD714" s="77">
        <f t="shared" ref="AD714" si="2152">1-(1-AC714)^(1/12)</f>
        <v>6.9244588451522482E-4</v>
      </c>
      <c r="AE714" s="77">
        <f t="shared" si="1985"/>
        <v>2.5000000000000001E-3</v>
      </c>
      <c r="AF714" s="77">
        <f t="shared" ref="AF714" si="2153">1-(1-AE714)^(1/12)</f>
        <v>2.0857243058891584E-4</v>
      </c>
      <c r="AH714" t="s">
        <v>175</v>
      </c>
      <c r="AI714" t="s">
        <v>179</v>
      </c>
      <c r="AJ714" s="197" t="str">
        <f t="shared" si="1972"/>
        <v>Lifecycle_Dynamic_373</v>
      </c>
      <c r="AK714">
        <v>373</v>
      </c>
      <c r="AL714">
        <f>VLOOKUP($U714,[2]Standard_Dynamic!$Q$1:$T$542,2,FALSE)</f>
        <v>0.88888888888888884</v>
      </c>
      <c r="AM714">
        <f>VLOOKUP($U714,[2]Standard_Dynamic!$Q$1:$T$542,3,FALSE)</f>
        <v>0.11111111111111116</v>
      </c>
      <c r="AN714">
        <f>VLOOKUP($U714,[2]Standard_Dynamic!$Q$1:$T$542,4,FALSE)</f>
        <v>0</v>
      </c>
      <c r="AO714" s="77">
        <f t="shared" si="1973"/>
        <v>1</v>
      </c>
      <c r="AP714" s="77">
        <f t="shared" si="1987"/>
        <v>6.3149999999999984E-2</v>
      </c>
      <c r="AQ714" s="77">
        <f t="shared" si="1974"/>
        <v>5.1160591879111372E-3</v>
      </c>
      <c r="AR714" s="79">
        <v>0</v>
      </c>
      <c r="AS714" s="77">
        <f t="shared" si="1988"/>
        <v>0</v>
      </c>
      <c r="AT714" s="77">
        <f t="shared" ref="AT714" si="2154">1-(1-AS714)^(1/12)</f>
        <v>0</v>
      </c>
      <c r="AU714" s="77">
        <f t="shared" si="1990"/>
        <v>2.5000000000000001E-3</v>
      </c>
      <c r="AV714" s="77">
        <f t="shared" ref="AV714" si="2155">1-(1-AU714)^(1/12)</f>
        <v>2.0857243058891584E-4</v>
      </c>
      <c r="AX714" t="s">
        <v>178</v>
      </c>
      <c r="AY714" t="s">
        <v>162</v>
      </c>
      <c r="AZ714" s="197" t="str">
        <f t="shared" si="2070"/>
        <v>DIS_Standard_373</v>
      </c>
      <c r="BA714">
        <v>373</v>
      </c>
      <c r="BB714">
        <f>VLOOKUP($BA714,'[2]Standard DIS'!$Q$1:$X$542,4,FALSE)</f>
        <v>0</v>
      </c>
      <c r="BF714">
        <f>VLOOKUP($BA714,'[2]Standard DIS'!$Q$1:$X$542,2,FALSE)</f>
        <v>0.88888888888888884</v>
      </c>
      <c r="BH714">
        <f>VLOOKUP($BA714,'[2]Standard DIS'!$Q$1:$X$542,3,FALSE)</f>
        <v>0.11111111111111116</v>
      </c>
      <c r="BI714" s="77">
        <f t="shared" si="1977"/>
        <v>1</v>
      </c>
      <c r="BJ714" s="77">
        <f t="shared" si="1978"/>
        <v>6.3149999999999984E-2</v>
      </c>
      <c r="BK714" s="77">
        <f t="shared" si="2071"/>
        <v>5.1160591879111372E-3</v>
      </c>
      <c r="BL714" s="79">
        <v>0</v>
      </c>
      <c r="BM714" s="77">
        <f t="shared" si="1992"/>
        <v>0</v>
      </c>
      <c r="BN714" s="77">
        <f t="shared" si="1993"/>
        <v>0</v>
      </c>
      <c r="BO714" s="77">
        <f t="shared" si="1994"/>
        <v>2.5000000000000001E-3</v>
      </c>
      <c r="BP714" s="77">
        <f t="shared" si="1995"/>
        <v>2.0809499864316017E-4</v>
      </c>
    </row>
    <row r="715" spans="1:68">
      <c r="A715" t="s">
        <v>175</v>
      </c>
      <c r="B715" t="s">
        <v>179</v>
      </c>
      <c r="C715" s="197" t="str">
        <f t="shared" si="2036"/>
        <v>Lifecycle_Dynamic_372</v>
      </c>
      <c r="D715">
        <v>372</v>
      </c>
      <c r="E715">
        <f>VLOOKUP($D715,'[2]LC Dynamic'!$Q$2:$U$542,2,FALSE)</f>
        <v>0</v>
      </c>
      <c r="F715">
        <f>VLOOKUP($D715,'[2]LC Dynamic'!$Q$2:$U$542,3,FALSE)</f>
        <v>0</v>
      </c>
      <c r="G715">
        <f>VLOOKUP($D715,'[2]LC Dynamic'!$Q$2:$U$542,4,FALSE)</f>
        <v>0.308</v>
      </c>
      <c r="H715">
        <f>VLOOKUP($D715,'[2]LC Dynamic'!$Q$2:$U$542,5,FALSE)</f>
        <v>0.69199999999999995</v>
      </c>
      <c r="I715" s="77">
        <f t="shared" si="1968"/>
        <v>1</v>
      </c>
      <c r="J715" s="77">
        <f t="shared" si="1969"/>
        <v>6.9728499999999985E-2</v>
      </c>
      <c r="K715" s="77">
        <f t="shared" si="2043"/>
        <v>5.632878498097682E-3</v>
      </c>
      <c r="L715" s="76">
        <v>0</v>
      </c>
      <c r="M715" s="77">
        <f t="shared" si="1979"/>
        <v>0</v>
      </c>
      <c r="N715" s="77">
        <f t="shared" si="1980"/>
        <v>0</v>
      </c>
      <c r="O715" s="77">
        <f t="shared" si="1981"/>
        <v>5.6775999999999997E-3</v>
      </c>
      <c r="P715" s="77">
        <f t="shared" si="1982"/>
        <v>4.7436902124819991E-4</v>
      </c>
      <c r="R715" t="s">
        <v>177</v>
      </c>
      <c r="S715" t="s">
        <v>179</v>
      </c>
      <c r="T715" s="197" t="str">
        <f t="shared" si="2037"/>
        <v>Autopilot_Dynamic_372</v>
      </c>
      <c r="U715">
        <v>372</v>
      </c>
      <c r="V715">
        <f>VLOOKUP($U715,'[2]AP Dynamic'!$Q$1:$T$542,2,FALSE)</f>
        <v>0.88888888888888884</v>
      </c>
      <c r="W715">
        <f>VLOOKUP($U715,'[2]AP Dynamic'!$Q$1:$T$542,3,FALSE)</f>
        <v>0.11111111111111116</v>
      </c>
      <c r="X715">
        <f>VLOOKUP($U715,'[2]AP Dynamic'!$Q$1:$T$542,4,FALSE)</f>
        <v>0</v>
      </c>
      <c r="Y715" s="77">
        <f t="shared" si="2038"/>
        <v>1</v>
      </c>
      <c r="Z715" s="77">
        <f t="shared" si="2044"/>
        <v>6.3149999999999984E-2</v>
      </c>
      <c r="AA715" s="77">
        <f t="shared" si="2045"/>
        <v>5.1160591879111372E-3</v>
      </c>
      <c r="AB715" s="79">
        <v>1</v>
      </c>
      <c r="AC715" s="77">
        <f t="shared" si="1983"/>
        <v>8.277777777777778E-3</v>
      </c>
      <c r="AD715" s="77">
        <f t="shared" ref="AD715" si="2156">1-(1-AC715)^(1/12)</f>
        <v>6.9244588451522482E-4</v>
      </c>
      <c r="AE715" s="77">
        <f t="shared" si="1985"/>
        <v>2.5000000000000001E-3</v>
      </c>
      <c r="AF715" s="77">
        <f t="shared" ref="AF715" si="2157">1-(1-AE715)^(1/12)</f>
        <v>2.0857243058891584E-4</v>
      </c>
      <c r="AH715" t="s">
        <v>175</v>
      </c>
      <c r="AI715" t="s">
        <v>179</v>
      </c>
      <c r="AJ715" s="197" t="str">
        <f t="shared" si="1972"/>
        <v>Lifecycle_Dynamic_372</v>
      </c>
      <c r="AK715">
        <v>372</v>
      </c>
      <c r="AL715">
        <f>VLOOKUP($U715,[2]Standard_Dynamic!$Q$1:$T$542,2,FALSE)</f>
        <v>0.88888888888888884</v>
      </c>
      <c r="AM715">
        <f>VLOOKUP($U715,[2]Standard_Dynamic!$Q$1:$T$542,3,FALSE)</f>
        <v>0.11111111111111116</v>
      </c>
      <c r="AN715">
        <f>VLOOKUP($U715,[2]Standard_Dynamic!$Q$1:$T$542,4,FALSE)</f>
        <v>0</v>
      </c>
      <c r="AO715" s="77">
        <f t="shared" si="1973"/>
        <v>1</v>
      </c>
      <c r="AP715" s="77">
        <f t="shared" si="1987"/>
        <v>6.3149999999999984E-2</v>
      </c>
      <c r="AQ715" s="77">
        <f t="shared" si="1974"/>
        <v>5.1160591879111372E-3</v>
      </c>
      <c r="AR715" s="79">
        <v>0</v>
      </c>
      <c r="AS715" s="77">
        <f t="shared" si="1988"/>
        <v>0</v>
      </c>
      <c r="AT715" s="77">
        <f t="shared" ref="AT715" si="2158">1-(1-AS715)^(1/12)</f>
        <v>0</v>
      </c>
      <c r="AU715" s="77">
        <f t="shared" si="1990"/>
        <v>2.5000000000000001E-3</v>
      </c>
      <c r="AV715" s="77">
        <f t="shared" ref="AV715" si="2159">1-(1-AU715)^(1/12)</f>
        <v>2.0857243058891584E-4</v>
      </c>
      <c r="AX715" t="s">
        <v>178</v>
      </c>
      <c r="AY715" t="s">
        <v>162</v>
      </c>
      <c r="AZ715" s="197" t="str">
        <f t="shared" si="2070"/>
        <v>DIS_Standard_372</v>
      </c>
      <c r="BA715">
        <v>372</v>
      </c>
      <c r="BB715">
        <f>VLOOKUP($BA715,'[2]Standard DIS'!$Q$1:$X$542,4,FALSE)</f>
        <v>0</v>
      </c>
      <c r="BF715">
        <f>VLOOKUP($BA715,'[2]Standard DIS'!$Q$1:$X$542,2,FALSE)</f>
        <v>0.88888888888888884</v>
      </c>
      <c r="BH715">
        <f>VLOOKUP($BA715,'[2]Standard DIS'!$Q$1:$X$542,3,FALSE)</f>
        <v>0.11111111111111116</v>
      </c>
      <c r="BI715" s="77">
        <f t="shared" si="1977"/>
        <v>1</v>
      </c>
      <c r="BJ715" s="77">
        <f t="shared" si="1978"/>
        <v>6.3149999999999984E-2</v>
      </c>
      <c r="BK715" s="77">
        <f t="shared" si="2071"/>
        <v>5.1160591879111372E-3</v>
      </c>
      <c r="BL715" s="79">
        <v>0</v>
      </c>
      <c r="BM715" s="77">
        <f t="shared" si="1992"/>
        <v>0</v>
      </c>
      <c r="BN715" s="77">
        <f t="shared" si="1993"/>
        <v>0</v>
      </c>
      <c r="BO715" s="77">
        <f t="shared" si="1994"/>
        <v>2.5000000000000001E-3</v>
      </c>
      <c r="BP715" s="77">
        <f t="shared" si="1995"/>
        <v>2.0809499864316017E-4</v>
      </c>
    </row>
    <row r="716" spans="1:68">
      <c r="A716" t="s">
        <v>175</v>
      </c>
      <c r="B716" t="s">
        <v>179</v>
      </c>
      <c r="C716" s="197" t="str">
        <f t="shared" si="2036"/>
        <v>Lifecycle_Dynamic_371</v>
      </c>
      <c r="D716">
        <v>371</v>
      </c>
      <c r="E716">
        <f>VLOOKUP($D716,'[2]LC Dynamic'!$Q$2:$U$542,2,FALSE)</f>
        <v>0</v>
      </c>
      <c r="F716">
        <f>VLOOKUP($D716,'[2]LC Dynamic'!$Q$2:$U$542,3,FALSE)</f>
        <v>0</v>
      </c>
      <c r="G716">
        <f>VLOOKUP($D716,'[2]LC Dynamic'!$Q$2:$U$542,4,FALSE)</f>
        <v>0.308</v>
      </c>
      <c r="H716">
        <f>VLOOKUP($D716,'[2]LC Dynamic'!$Q$2:$U$542,5,FALSE)</f>
        <v>0.69199999999999995</v>
      </c>
      <c r="I716" s="77">
        <f t="shared" si="1968"/>
        <v>1</v>
      </c>
      <c r="J716" s="77">
        <f t="shared" si="1969"/>
        <v>6.9728499999999985E-2</v>
      </c>
      <c r="K716" s="77">
        <f t="shared" si="2043"/>
        <v>5.632878498097682E-3</v>
      </c>
      <c r="L716" s="76">
        <v>0</v>
      </c>
      <c r="M716" s="77">
        <f t="shared" si="1979"/>
        <v>0</v>
      </c>
      <c r="N716" s="77">
        <f t="shared" si="1980"/>
        <v>0</v>
      </c>
      <c r="O716" s="77">
        <f t="shared" si="1981"/>
        <v>5.6775999999999997E-3</v>
      </c>
      <c r="P716" s="77">
        <f t="shared" si="1982"/>
        <v>4.7436902124819991E-4</v>
      </c>
      <c r="R716" t="s">
        <v>177</v>
      </c>
      <c r="S716" t="s">
        <v>179</v>
      </c>
      <c r="T716" s="197" t="str">
        <f t="shared" si="2037"/>
        <v>Autopilot_Dynamic_371</v>
      </c>
      <c r="U716">
        <v>371</v>
      </c>
      <c r="V716">
        <f>VLOOKUP($U716,'[2]AP Dynamic'!$Q$1:$T$542,2,FALSE)</f>
        <v>0.88888888888888884</v>
      </c>
      <c r="W716">
        <f>VLOOKUP($U716,'[2]AP Dynamic'!$Q$1:$T$542,3,FALSE)</f>
        <v>0.11111111111111116</v>
      </c>
      <c r="X716">
        <f>VLOOKUP($U716,'[2]AP Dynamic'!$Q$1:$T$542,4,FALSE)</f>
        <v>0</v>
      </c>
      <c r="Y716" s="77">
        <f t="shared" si="2038"/>
        <v>1</v>
      </c>
      <c r="Z716" s="77">
        <f t="shared" si="2044"/>
        <v>6.3149999999999984E-2</v>
      </c>
      <c r="AA716" s="77">
        <f t="shared" si="2045"/>
        <v>5.1160591879111372E-3</v>
      </c>
      <c r="AB716" s="79">
        <v>1</v>
      </c>
      <c r="AC716" s="77">
        <f t="shared" si="1983"/>
        <v>8.277777777777778E-3</v>
      </c>
      <c r="AD716" s="77">
        <f t="shared" ref="AD716" si="2160">1-(1-AC716)^(1/12)</f>
        <v>6.9244588451522482E-4</v>
      </c>
      <c r="AE716" s="77">
        <f t="shared" si="1985"/>
        <v>2.5000000000000001E-3</v>
      </c>
      <c r="AF716" s="77">
        <f t="shared" ref="AF716" si="2161">1-(1-AE716)^(1/12)</f>
        <v>2.0857243058891584E-4</v>
      </c>
      <c r="AH716" t="s">
        <v>175</v>
      </c>
      <c r="AI716" t="s">
        <v>179</v>
      </c>
      <c r="AJ716" s="197" t="str">
        <f t="shared" si="1972"/>
        <v>Lifecycle_Dynamic_371</v>
      </c>
      <c r="AK716">
        <v>371</v>
      </c>
      <c r="AL716">
        <f>VLOOKUP($U716,[2]Standard_Dynamic!$Q$1:$T$542,2,FALSE)</f>
        <v>0.88888888888888884</v>
      </c>
      <c r="AM716">
        <f>VLOOKUP($U716,[2]Standard_Dynamic!$Q$1:$T$542,3,FALSE)</f>
        <v>0.11111111111111116</v>
      </c>
      <c r="AN716">
        <f>VLOOKUP($U716,[2]Standard_Dynamic!$Q$1:$T$542,4,FALSE)</f>
        <v>0</v>
      </c>
      <c r="AO716" s="77">
        <f t="shared" si="1973"/>
        <v>1</v>
      </c>
      <c r="AP716" s="77">
        <f t="shared" si="1987"/>
        <v>6.3149999999999984E-2</v>
      </c>
      <c r="AQ716" s="77">
        <f t="shared" si="1974"/>
        <v>5.1160591879111372E-3</v>
      </c>
      <c r="AR716" s="79">
        <v>0</v>
      </c>
      <c r="AS716" s="77">
        <f t="shared" si="1988"/>
        <v>0</v>
      </c>
      <c r="AT716" s="77">
        <f t="shared" ref="AT716" si="2162">1-(1-AS716)^(1/12)</f>
        <v>0</v>
      </c>
      <c r="AU716" s="77">
        <f t="shared" si="1990"/>
        <v>2.5000000000000001E-3</v>
      </c>
      <c r="AV716" s="77">
        <f t="shared" ref="AV716" si="2163">1-(1-AU716)^(1/12)</f>
        <v>2.0857243058891584E-4</v>
      </c>
      <c r="AX716" t="s">
        <v>178</v>
      </c>
      <c r="AY716" t="s">
        <v>162</v>
      </c>
      <c r="AZ716" s="197" t="str">
        <f t="shared" si="2070"/>
        <v>DIS_Standard_371</v>
      </c>
      <c r="BA716">
        <v>371</v>
      </c>
      <c r="BB716">
        <f>VLOOKUP($BA716,'[2]Standard DIS'!$Q$1:$X$542,4,FALSE)</f>
        <v>0</v>
      </c>
      <c r="BF716">
        <f>VLOOKUP($BA716,'[2]Standard DIS'!$Q$1:$X$542,2,FALSE)</f>
        <v>0.88888888888888884</v>
      </c>
      <c r="BH716">
        <f>VLOOKUP($BA716,'[2]Standard DIS'!$Q$1:$X$542,3,FALSE)</f>
        <v>0.11111111111111116</v>
      </c>
      <c r="BI716" s="77">
        <f t="shared" si="1977"/>
        <v>1</v>
      </c>
      <c r="BJ716" s="77">
        <f t="shared" si="1978"/>
        <v>6.3149999999999984E-2</v>
      </c>
      <c r="BK716" s="77">
        <f t="shared" si="2071"/>
        <v>5.1160591879111372E-3</v>
      </c>
      <c r="BL716" s="79">
        <v>0</v>
      </c>
      <c r="BM716" s="77">
        <f t="shared" si="1992"/>
        <v>0</v>
      </c>
      <c r="BN716" s="77">
        <f t="shared" si="1993"/>
        <v>0</v>
      </c>
      <c r="BO716" s="77">
        <f t="shared" si="1994"/>
        <v>2.5000000000000001E-3</v>
      </c>
      <c r="BP716" s="77">
        <f t="shared" si="1995"/>
        <v>2.0809499864316017E-4</v>
      </c>
    </row>
    <row r="717" spans="1:68">
      <c r="A717" t="s">
        <v>175</v>
      </c>
      <c r="B717" t="s">
        <v>179</v>
      </c>
      <c r="C717" s="197" t="str">
        <f t="shared" si="2036"/>
        <v>Lifecycle_Dynamic_370</v>
      </c>
      <c r="D717">
        <v>370</v>
      </c>
      <c r="E717">
        <f>VLOOKUP($D717,'[2]LC Dynamic'!$Q$2:$U$542,2,FALSE)</f>
        <v>0</v>
      </c>
      <c r="F717">
        <f>VLOOKUP($D717,'[2]LC Dynamic'!$Q$2:$U$542,3,FALSE)</f>
        <v>0</v>
      </c>
      <c r="G717">
        <f>VLOOKUP($D717,'[2]LC Dynamic'!$Q$2:$U$542,4,FALSE)</f>
        <v>0.308</v>
      </c>
      <c r="H717">
        <f>VLOOKUP($D717,'[2]LC Dynamic'!$Q$2:$U$542,5,FALSE)</f>
        <v>0.69199999999999995</v>
      </c>
      <c r="I717" s="77">
        <f t="shared" si="1968"/>
        <v>1</v>
      </c>
      <c r="J717" s="77">
        <f t="shared" si="1969"/>
        <v>6.9728499999999985E-2</v>
      </c>
      <c r="K717" s="77">
        <f t="shared" si="2043"/>
        <v>5.632878498097682E-3</v>
      </c>
      <c r="L717" s="76">
        <v>0</v>
      </c>
      <c r="M717" s="77">
        <f t="shared" si="1979"/>
        <v>0</v>
      </c>
      <c r="N717" s="77">
        <f t="shared" si="1980"/>
        <v>0</v>
      </c>
      <c r="O717" s="77">
        <f t="shared" si="1981"/>
        <v>5.6775999999999997E-3</v>
      </c>
      <c r="P717" s="77">
        <f t="shared" si="1982"/>
        <v>4.7436902124819991E-4</v>
      </c>
      <c r="R717" t="s">
        <v>177</v>
      </c>
      <c r="S717" t="s">
        <v>179</v>
      </c>
      <c r="T717" s="197" t="str">
        <f t="shared" si="2037"/>
        <v>Autopilot_Dynamic_370</v>
      </c>
      <c r="U717">
        <v>370</v>
      </c>
      <c r="V717">
        <f>VLOOKUP($U717,'[2]AP Dynamic'!$Q$1:$T$542,2,FALSE)</f>
        <v>0.88888888888888884</v>
      </c>
      <c r="W717">
        <f>VLOOKUP($U717,'[2]AP Dynamic'!$Q$1:$T$542,3,FALSE)</f>
        <v>0.11111111111111116</v>
      </c>
      <c r="X717">
        <f>VLOOKUP($U717,'[2]AP Dynamic'!$Q$1:$T$542,4,FALSE)</f>
        <v>0</v>
      </c>
      <c r="Y717" s="77">
        <f t="shared" si="2038"/>
        <v>1</v>
      </c>
      <c r="Z717" s="77">
        <f t="shared" si="2044"/>
        <v>6.3149999999999984E-2</v>
      </c>
      <c r="AA717" s="77">
        <f t="shared" si="2045"/>
        <v>5.1160591879111372E-3</v>
      </c>
      <c r="AB717" s="79">
        <v>1</v>
      </c>
      <c r="AC717" s="77">
        <f t="shared" si="1983"/>
        <v>8.277777777777778E-3</v>
      </c>
      <c r="AD717" s="77">
        <f t="shared" ref="AD717" si="2164">1-(1-AC717)^(1/12)</f>
        <v>6.9244588451522482E-4</v>
      </c>
      <c r="AE717" s="77">
        <f t="shared" si="1985"/>
        <v>2.5000000000000001E-3</v>
      </c>
      <c r="AF717" s="77">
        <f t="shared" ref="AF717" si="2165">1-(1-AE717)^(1/12)</f>
        <v>2.0857243058891584E-4</v>
      </c>
      <c r="AH717" t="s">
        <v>175</v>
      </c>
      <c r="AI717" t="s">
        <v>179</v>
      </c>
      <c r="AJ717" s="197" t="str">
        <f t="shared" si="1972"/>
        <v>Lifecycle_Dynamic_370</v>
      </c>
      <c r="AK717">
        <v>370</v>
      </c>
      <c r="AL717">
        <f>VLOOKUP($U717,[2]Standard_Dynamic!$Q$1:$T$542,2,FALSE)</f>
        <v>0.88888888888888884</v>
      </c>
      <c r="AM717">
        <f>VLOOKUP($U717,[2]Standard_Dynamic!$Q$1:$T$542,3,FALSE)</f>
        <v>0.11111111111111116</v>
      </c>
      <c r="AN717">
        <f>VLOOKUP($U717,[2]Standard_Dynamic!$Q$1:$T$542,4,FALSE)</f>
        <v>0</v>
      </c>
      <c r="AO717" s="77">
        <f t="shared" si="1973"/>
        <v>1</v>
      </c>
      <c r="AP717" s="77">
        <f t="shared" si="1987"/>
        <v>6.3149999999999984E-2</v>
      </c>
      <c r="AQ717" s="77">
        <f t="shared" si="1974"/>
        <v>5.1160591879111372E-3</v>
      </c>
      <c r="AR717" s="79">
        <v>0</v>
      </c>
      <c r="AS717" s="77">
        <f t="shared" si="1988"/>
        <v>0</v>
      </c>
      <c r="AT717" s="77">
        <f t="shared" ref="AT717" si="2166">1-(1-AS717)^(1/12)</f>
        <v>0</v>
      </c>
      <c r="AU717" s="77">
        <f t="shared" si="1990"/>
        <v>2.5000000000000001E-3</v>
      </c>
      <c r="AV717" s="77">
        <f t="shared" ref="AV717" si="2167">1-(1-AU717)^(1/12)</f>
        <v>2.0857243058891584E-4</v>
      </c>
      <c r="AX717" t="s">
        <v>178</v>
      </c>
      <c r="AY717" t="s">
        <v>162</v>
      </c>
      <c r="AZ717" s="197" t="str">
        <f t="shared" si="2070"/>
        <v>DIS_Standard_370</v>
      </c>
      <c r="BA717">
        <v>370</v>
      </c>
      <c r="BB717">
        <f>VLOOKUP($BA717,'[2]Standard DIS'!$Q$1:$X$542,4,FALSE)</f>
        <v>0</v>
      </c>
      <c r="BF717">
        <f>VLOOKUP($BA717,'[2]Standard DIS'!$Q$1:$X$542,2,FALSE)</f>
        <v>0.88888888888888884</v>
      </c>
      <c r="BH717">
        <f>VLOOKUP($BA717,'[2]Standard DIS'!$Q$1:$X$542,3,FALSE)</f>
        <v>0.11111111111111116</v>
      </c>
      <c r="BI717" s="77">
        <f t="shared" si="1977"/>
        <v>1</v>
      </c>
      <c r="BJ717" s="77">
        <f t="shared" si="1978"/>
        <v>6.3149999999999984E-2</v>
      </c>
      <c r="BK717" s="77">
        <f t="shared" si="2071"/>
        <v>5.1160591879111372E-3</v>
      </c>
      <c r="BL717" s="79">
        <v>0</v>
      </c>
      <c r="BM717" s="77">
        <f t="shared" si="1992"/>
        <v>0</v>
      </c>
      <c r="BN717" s="77">
        <f t="shared" si="1993"/>
        <v>0</v>
      </c>
      <c r="BO717" s="77">
        <f t="shared" si="1994"/>
        <v>2.5000000000000001E-3</v>
      </c>
      <c r="BP717" s="77">
        <f t="shared" si="1995"/>
        <v>2.0809499864316017E-4</v>
      </c>
    </row>
    <row r="718" spans="1:68">
      <c r="A718" t="s">
        <v>175</v>
      </c>
      <c r="B718" t="s">
        <v>179</v>
      </c>
      <c r="C718" s="197" t="str">
        <f t="shared" si="2036"/>
        <v>Lifecycle_Dynamic_369</v>
      </c>
      <c r="D718">
        <v>369</v>
      </c>
      <c r="E718">
        <f>VLOOKUP($D718,'[2]LC Dynamic'!$Q$2:$U$542,2,FALSE)</f>
        <v>0</v>
      </c>
      <c r="F718">
        <f>VLOOKUP($D718,'[2]LC Dynamic'!$Q$2:$U$542,3,FALSE)</f>
        <v>0</v>
      </c>
      <c r="G718">
        <f>VLOOKUP($D718,'[2]LC Dynamic'!$Q$2:$U$542,4,FALSE)</f>
        <v>0.308</v>
      </c>
      <c r="H718">
        <f>VLOOKUP($D718,'[2]LC Dynamic'!$Q$2:$U$542,5,FALSE)</f>
        <v>0.69199999999999995</v>
      </c>
      <c r="I718" s="77">
        <f t="shared" si="1968"/>
        <v>1</v>
      </c>
      <c r="J718" s="77">
        <f t="shared" si="1969"/>
        <v>6.9728499999999985E-2</v>
      </c>
      <c r="K718" s="77">
        <f t="shared" si="2043"/>
        <v>5.632878498097682E-3</v>
      </c>
      <c r="L718" s="76">
        <v>0</v>
      </c>
      <c r="M718" s="77">
        <f t="shared" si="1979"/>
        <v>0</v>
      </c>
      <c r="N718" s="77">
        <f t="shared" si="1980"/>
        <v>0</v>
      </c>
      <c r="O718" s="77">
        <f t="shared" si="1981"/>
        <v>5.6775999999999997E-3</v>
      </c>
      <c r="P718" s="77">
        <f t="shared" si="1982"/>
        <v>4.7436902124819991E-4</v>
      </c>
      <c r="R718" t="s">
        <v>177</v>
      </c>
      <c r="S718" t="s">
        <v>179</v>
      </c>
      <c r="T718" s="197" t="str">
        <f t="shared" si="2037"/>
        <v>Autopilot_Dynamic_369</v>
      </c>
      <c r="U718">
        <v>369</v>
      </c>
      <c r="V718">
        <f>VLOOKUP($U718,'[2]AP Dynamic'!$Q$1:$T$542,2,FALSE)</f>
        <v>0.88888888888888884</v>
      </c>
      <c r="W718">
        <f>VLOOKUP($U718,'[2]AP Dynamic'!$Q$1:$T$542,3,FALSE)</f>
        <v>0.11111111111111116</v>
      </c>
      <c r="X718">
        <f>VLOOKUP($U718,'[2]AP Dynamic'!$Q$1:$T$542,4,FALSE)</f>
        <v>0</v>
      </c>
      <c r="Y718" s="77">
        <f t="shared" si="2038"/>
        <v>1</v>
      </c>
      <c r="Z718" s="77">
        <f t="shared" si="2044"/>
        <v>6.3149999999999984E-2</v>
      </c>
      <c r="AA718" s="77">
        <f t="shared" si="2045"/>
        <v>5.1160591879111372E-3</v>
      </c>
      <c r="AB718" s="79">
        <v>1</v>
      </c>
      <c r="AC718" s="77">
        <f t="shared" si="1983"/>
        <v>8.277777777777778E-3</v>
      </c>
      <c r="AD718" s="77">
        <f t="shared" ref="AD718" si="2168">1-(1-AC718)^(1/12)</f>
        <v>6.9244588451522482E-4</v>
      </c>
      <c r="AE718" s="77">
        <f t="shared" si="1985"/>
        <v>2.5000000000000001E-3</v>
      </c>
      <c r="AF718" s="77">
        <f t="shared" ref="AF718" si="2169">1-(1-AE718)^(1/12)</f>
        <v>2.0857243058891584E-4</v>
      </c>
      <c r="AH718" t="s">
        <v>175</v>
      </c>
      <c r="AI718" t="s">
        <v>179</v>
      </c>
      <c r="AJ718" s="197" t="str">
        <f t="shared" si="1972"/>
        <v>Lifecycle_Dynamic_369</v>
      </c>
      <c r="AK718">
        <v>369</v>
      </c>
      <c r="AL718">
        <f>VLOOKUP($U718,[2]Standard_Dynamic!$Q$1:$T$542,2,FALSE)</f>
        <v>0.88888888888888884</v>
      </c>
      <c r="AM718">
        <f>VLOOKUP($U718,[2]Standard_Dynamic!$Q$1:$T$542,3,FALSE)</f>
        <v>0.11111111111111116</v>
      </c>
      <c r="AN718">
        <f>VLOOKUP($U718,[2]Standard_Dynamic!$Q$1:$T$542,4,FALSE)</f>
        <v>0</v>
      </c>
      <c r="AO718" s="77">
        <f t="shared" si="1973"/>
        <v>1</v>
      </c>
      <c r="AP718" s="77">
        <f t="shared" si="1987"/>
        <v>6.3149999999999984E-2</v>
      </c>
      <c r="AQ718" s="77">
        <f t="shared" si="1974"/>
        <v>5.1160591879111372E-3</v>
      </c>
      <c r="AR718" s="79">
        <v>0</v>
      </c>
      <c r="AS718" s="77">
        <f t="shared" si="1988"/>
        <v>0</v>
      </c>
      <c r="AT718" s="77">
        <f t="shared" ref="AT718" si="2170">1-(1-AS718)^(1/12)</f>
        <v>0</v>
      </c>
      <c r="AU718" s="77">
        <f t="shared" si="1990"/>
        <v>2.5000000000000001E-3</v>
      </c>
      <c r="AV718" s="77">
        <f t="shared" ref="AV718" si="2171">1-(1-AU718)^(1/12)</f>
        <v>2.0857243058891584E-4</v>
      </c>
      <c r="AX718" t="s">
        <v>178</v>
      </c>
      <c r="AY718" t="s">
        <v>162</v>
      </c>
      <c r="AZ718" s="197" t="str">
        <f t="shared" si="2070"/>
        <v>DIS_Standard_369</v>
      </c>
      <c r="BA718">
        <v>369</v>
      </c>
      <c r="BB718">
        <f>VLOOKUP($BA718,'[2]Standard DIS'!$Q$1:$X$542,4,FALSE)</f>
        <v>0</v>
      </c>
      <c r="BF718">
        <f>VLOOKUP($BA718,'[2]Standard DIS'!$Q$1:$X$542,2,FALSE)</f>
        <v>0.88888888888888884</v>
      </c>
      <c r="BH718">
        <f>VLOOKUP($BA718,'[2]Standard DIS'!$Q$1:$X$542,3,FALSE)</f>
        <v>0.11111111111111116</v>
      </c>
      <c r="BI718" s="77">
        <f t="shared" si="1977"/>
        <v>1</v>
      </c>
      <c r="BJ718" s="77">
        <f t="shared" si="1978"/>
        <v>6.3149999999999984E-2</v>
      </c>
      <c r="BK718" s="77">
        <f t="shared" si="2071"/>
        <v>5.1160591879111372E-3</v>
      </c>
      <c r="BL718" s="79">
        <v>0</v>
      </c>
      <c r="BM718" s="77">
        <f t="shared" si="1992"/>
        <v>0</v>
      </c>
      <c r="BN718" s="77">
        <f t="shared" si="1993"/>
        <v>0</v>
      </c>
      <c r="BO718" s="77">
        <f t="shared" si="1994"/>
        <v>2.5000000000000001E-3</v>
      </c>
      <c r="BP718" s="77">
        <f t="shared" si="1995"/>
        <v>2.0809499864316017E-4</v>
      </c>
    </row>
    <row r="719" spans="1:68">
      <c r="A719" t="s">
        <v>175</v>
      </c>
      <c r="B719" t="s">
        <v>179</v>
      </c>
      <c r="C719" s="197" t="str">
        <f t="shared" si="2036"/>
        <v>Lifecycle_Dynamic_368</v>
      </c>
      <c r="D719">
        <v>368</v>
      </c>
      <c r="E719">
        <f>VLOOKUP($D719,'[2]LC Dynamic'!$Q$2:$U$542,2,FALSE)</f>
        <v>0</v>
      </c>
      <c r="F719">
        <f>VLOOKUP($D719,'[2]LC Dynamic'!$Q$2:$U$542,3,FALSE)</f>
        <v>0</v>
      </c>
      <c r="G719">
        <f>VLOOKUP($D719,'[2]LC Dynamic'!$Q$2:$U$542,4,FALSE)</f>
        <v>0.308</v>
      </c>
      <c r="H719">
        <f>VLOOKUP($D719,'[2]LC Dynamic'!$Q$2:$U$542,5,FALSE)</f>
        <v>0.69199999999999995</v>
      </c>
      <c r="I719" s="77">
        <f t="shared" si="1968"/>
        <v>1</v>
      </c>
      <c r="J719" s="77">
        <f t="shared" si="1969"/>
        <v>6.9728499999999985E-2</v>
      </c>
      <c r="K719" s="77">
        <f t="shared" si="2043"/>
        <v>5.632878498097682E-3</v>
      </c>
      <c r="L719" s="76">
        <v>0</v>
      </c>
      <c r="M719" s="77">
        <f t="shared" si="1979"/>
        <v>0</v>
      </c>
      <c r="N719" s="77">
        <f t="shared" si="1980"/>
        <v>0</v>
      </c>
      <c r="O719" s="77">
        <f t="shared" si="1981"/>
        <v>5.6775999999999997E-3</v>
      </c>
      <c r="P719" s="77">
        <f t="shared" si="1982"/>
        <v>4.7436902124819991E-4</v>
      </c>
      <c r="R719" t="s">
        <v>177</v>
      </c>
      <c r="S719" t="s">
        <v>179</v>
      </c>
      <c r="T719" s="197" t="str">
        <f t="shared" si="2037"/>
        <v>Autopilot_Dynamic_368</v>
      </c>
      <c r="U719">
        <v>368</v>
      </c>
      <c r="V719">
        <f>VLOOKUP($U719,'[2]AP Dynamic'!$Q$1:$T$542,2,FALSE)</f>
        <v>0.88888888888888884</v>
      </c>
      <c r="W719">
        <f>VLOOKUP($U719,'[2]AP Dynamic'!$Q$1:$T$542,3,FALSE)</f>
        <v>0.11111111111111116</v>
      </c>
      <c r="X719">
        <f>VLOOKUP($U719,'[2]AP Dynamic'!$Q$1:$T$542,4,FALSE)</f>
        <v>0</v>
      </c>
      <c r="Y719" s="77">
        <f t="shared" si="2038"/>
        <v>1</v>
      </c>
      <c r="Z719" s="77">
        <f t="shared" si="2044"/>
        <v>6.3149999999999984E-2</v>
      </c>
      <c r="AA719" s="77">
        <f t="shared" si="2045"/>
        <v>5.1160591879111372E-3</v>
      </c>
      <c r="AB719" s="79">
        <v>1</v>
      </c>
      <c r="AC719" s="77">
        <f t="shared" si="1983"/>
        <v>8.277777777777778E-3</v>
      </c>
      <c r="AD719" s="77">
        <f t="shared" ref="AD719" si="2172">1-(1-AC719)^(1/12)</f>
        <v>6.9244588451522482E-4</v>
      </c>
      <c r="AE719" s="77">
        <f t="shared" si="1985"/>
        <v>2.5000000000000001E-3</v>
      </c>
      <c r="AF719" s="77">
        <f t="shared" ref="AF719" si="2173">1-(1-AE719)^(1/12)</f>
        <v>2.0857243058891584E-4</v>
      </c>
      <c r="AH719" t="s">
        <v>175</v>
      </c>
      <c r="AI719" t="s">
        <v>179</v>
      </c>
      <c r="AJ719" s="197" t="str">
        <f t="shared" si="1972"/>
        <v>Lifecycle_Dynamic_368</v>
      </c>
      <c r="AK719">
        <v>368</v>
      </c>
      <c r="AL719">
        <f>VLOOKUP($U719,[2]Standard_Dynamic!$Q$1:$T$542,2,FALSE)</f>
        <v>0.88888888888888884</v>
      </c>
      <c r="AM719">
        <f>VLOOKUP($U719,[2]Standard_Dynamic!$Q$1:$T$542,3,FALSE)</f>
        <v>0.11111111111111116</v>
      </c>
      <c r="AN719">
        <f>VLOOKUP($U719,[2]Standard_Dynamic!$Q$1:$T$542,4,FALSE)</f>
        <v>0</v>
      </c>
      <c r="AO719" s="77">
        <f t="shared" si="1973"/>
        <v>1</v>
      </c>
      <c r="AP719" s="77">
        <f t="shared" si="1987"/>
        <v>6.3149999999999984E-2</v>
      </c>
      <c r="AQ719" s="77">
        <f t="shared" si="1974"/>
        <v>5.1160591879111372E-3</v>
      </c>
      <c r="AR719" s="79">
        <v>0</v>
      </c>
      <c r="AS719" s="77">
        <f t="shared" si="1988"/>
        <v>0</v>
      </c>
      <c r="AT719" s="77">
        <f t="shared" ref="AT719" si="2174">1-(1-AS719)^(1/12)</f>
        <v>0</v>
      </c>
      <c r="AU719" s="77">
        <f t="shared" si="1990"/>
        <v>2.5000000000000001E-3</v>
      </c>
      <c r="AV719" s="77">
        <f t="shared" ref="AV719" si="2175">1-(1-AU719)^(1/12)</f>
        <v>2.0857243058891584E-4</v>
      </c>
      <c r="AX719" t="s">
        <v>178</v>
      </c>
      <c r="AY719" t="s">
        <v>162</v>
      </c>
      <c r="AZ719" s="197" t="str">
        <f t="shared" si="2070"/>
        <v>DIS_Standard_368</v>
      </c>
      <c r="BA719">
        <v>368</v>
      </c>
      <c r="BB719">
        <f>VLOOKUP($BA719,'[2]Standard DIS'!$Q$1:$X$542,4,FALSE)</f>
        <v>0</v>
      </c>
      <c r="BF719">
        <f>VLOOKUP($BA719,'[2]Standard DIS'!$Q$1:$X$542,2,FALSE)</f>
        <v>0.88888888888888884</v>
      </c>
      <c r="BH719">
        <f>VLOOKUP($BA719,'[2]Standard DIS'!$Q$1:$X$542,3,FALSE)</f>
        <v>0.11111111111111116</v>
      </c>
      <c r="BI719" s="77">
        <f t="shared" si="1977"/>
        <v>1</v>
      </c>
      <c r="BJ719" s="77">
        <f t="shared" si="1978"/>
        <v>6.3149999999999984E-2</v>
      </c>
      <c r="BK719" s="77">
        <f t="shared" si="2071"/>
        <v>5.1160591879111372E-3</v>
      </c>
      <c r="BL719" s="79">
        <v>0</v>
      </c>
      <c r="BM719" s="77">
        <f t="shared" si="1992"/>
        <v>0</v>
      </c>
      <c r="BN719" s="77">
        <f t="shared" si="1993"/>
        <v>0</v>
      </c>
      <c r="BO719" s="77">
        <f t="shared" si="1994"/>
        <v>2.5000000000000001E-3</v>
      </c>
      <c r="BP719" s="77">
        <f t="shared" si="1995"/>
        <v>2.0809499864316017E-4</v>
      </c>
    </row>
    <row r="720" spans="1:68">
      <c r="A720" t="s">
        <v>175</v>
      </c>
      <c r="B720" t="s">
        <v>179</v>
      </c>
      <c r="C720" s="197" t="str">
        <f t="shared" si="2036"/>
        <v>Lifecycle_Dynamic_367</v>
      </c>
      <c r="D720">
        <v>367</v>
      </c>
      <c r="E720">
        <f>VLOOKUP($D720,'[2]LC Dynamic'!$Q$2:$U$542,2,FALSE)</f>
        <v>0</v>
      </c>
      <c r="F720">
        <f>VLOOKUP($D720,'[2]LC Dynamic'!$Q$2:$U$542,3,FALSE)</f>
        <v>0</v>
      </c>
      <c r="G720">
        <f>VLOOKUP($D720,'[2]LC Dynamic'!$Q$2:$U$542,4,FALSE)</f>
        <v>0.308</v>
      </c>
      <c r="H720">
        <f>VLOOKUP($D720,'[2]LC Dynamic'!$Q$2:$U$542,5,FALSE)</f>
        <v>0.69199999999999995</v>
      </c>
      <c r="I720" s="77">
        <f t="shared" si="1968"/>
        <v>1</v>
      </c>
      <c r="J720" s="77">
        <f t="shared" si="1969"/>
        <v>6.9728499999999985E-2</v>
      </c>
      <c r="K720" s="77">
        <f t="shared" si="2043"/>
        <v>5.632878498097682E-3</v>
      </c>
      <c r="L720" s="76">
        <v>0</v>
      </c>
      <c r="M720" s="77">
        <f t="shared" si="1979"/>
        <v>0</v>
      </c>
      <c r="N720" s="77">
        <f t="shared" si="1980"/>
        <v>0</v>
      </c>
      <c r="O720" s="77">
        <f t="shared" si="1981"/>
        <v>5.6775999999999997E-3</v>
      </c>
      <c r="P720" s="77">
        <f t="shared" si="1982"/>
        <v>4.7436902124819991E-4</v>
      </c>
      <c r="R720" t="s">
        <v>177</v>
      </c>
      <c r="S720" t="s">
        <v>179</v>
      </c>
      <c r="T720" s="197" t="str">
        <f t="shared" si="2037"/>
        <v>Autopilot_Dynamic_367</v>
      </c>
      <c r="U720">
        <v>367</v>
      </c>
      <c r="V720">
        <f>VLOOKUP($U720,'[2]AP Dynamic'!$Q$1:$T$542,2,FALSE)</f>
        <v>0.88888888888888884</v>
      </c>
      <c r="W720">
        <f>VLOOKUP($U720,'[2]AP Dynamic'!$Q$1:$T$542,3,FALSE)</f>
        <v>0.11111111111111116</v>
      </c>
      <c r="X720">
        <f>VLOOKUP($U720,'[2]AP Dynamic'!$Q$1:$T$542,4,FALSE)</f>
        <v>0</v>
      </c>
      <c r="Y720" s="77">
        <f t="shared" si="2038"/>
        <v>1</v>
      </c>
      <c r="Z720" s="77">
        <f t="shared" si="2044"/>
        <v>6.3149999999999984E-2</v>
      </c>
      <c r="AA720" s="77">
        <f t="shared" si="2045"/>
        <v>5.1160591879111372E-3</v>
      </c>
      <c r="AB720" s="79">
        <v>1</v>
      </c>
      <c r="AC720" s="77">
        <f t="shared" si="1983"/>
        <v>8.277777777777778E-3</v>
      </c>
      <c r="AD720" s="77">
        <f t="shared" ref="AD720" si="2176">1-(1-AC720)^(1/12)</f>
        <v>6.9244588451522482E-4</v>
      </c>
      <c r="AE720" s="77">
        <f t="shared" si="1985"/>
        <v>2.5000000000000001E-3</v>
      </c>
      <c r="AF720" s="77">
        <f t="shared" ref="AF720" si="2177">1-(1-AE720)^(1/12)</f>
        <v>2.0857243058891584E-4</v>
      </c>
      <c r="AH720" t="s">
        <v>175</v>
      </c>
      <c r="AI720" t="s">
        <v>179</v>
      </c>
      <c r="AJ720" s="197" t="str">
        <f t="shared" si="1972"/>
        <v>Lifecycle_Dynamic_367</v>
      </c>
      <c r="AK720">
        <v>367</v>
      </c>
      <c r="AL720">
        <f>VLOOKUP($U720,[2]Standard_Dynamic!$Q$1:$T$542,2,FALSE)</f>
        <v>0.88888888888888884</v>
      </c>
      <c r="AM720">
        <f>VLOOKUP($U720,[2]Standard_Dynamic!$Q$1:$T$542,3,FALSE)</f>
        <v>0.11111111111111116</v>
      </c>
      <c r="AN720">
        <f>VLOOKUP($U720,[2]Standard_Dynamic!$Q$1:$T$542,4,FALSE)</f>
        <v>0</v>
      </c>
      <c r="AO720" s="77">
        <f t="shared" si="1973"/>
        <v>1</v>
      </c>
      <c r="AP720" s="77">
        <f t="shared" si="1987"/>
        <v>6.3149999999999984E-2</v>
      </c>
      <c r="AQ720" s="77">
        <f t="shared" si="1974"/>
        <v>5.1160591879111372E-3</v>
      </c>
      <c r="AR720" s="79">
        <v>0</v>
      </c>
      <c r="AS720" s="77">
        <f t="shared" si="1988"/>
        <v>0</v>
      </c>
      <c r="AT720" s="77">
        <f t="shared" ref="AT720" si="2178">1-(1-AS720)^(1/12)</f>
        <v>0</v>
      </c>
      <c r="AU720" s="77">
        <f t="shared" si="1990"/>
        <v>2.5000000000000001E-3</v>
      </c>
      <c r="AV720" s="77">
        <f t="shared" ref="AV720" si="2179">1-(1-AU720)^(1/12)</f>
        <v>2.0857243058891584E-4</v>
      </c>
      <c r="AX720" t="s">
        <v>178</v>
      </c>
      <c r="AY720" t="s">
        <v>162</v>
      </c>
      <c r="AZ720" s="197" t="str">
        <f t="shared" si="2070"/>
        <v>DIS_Standard_367</v>
      </c>
      <c r="BA720">
        <v>367</v>
      </c>
      <c r="BB720">
        <f>VLOOKUP($BA720,'[2]Standard DIS'!$Q$1:$X$542,4,FALSE)</f>
        <v>0</v>
      </c>
      <c r="BF720">
        <f>VLOOKUP($BA720,'[2]Standard DIS'!$Q$1:$X$542,2,FALSE)</f>
        <v>0.88888888888888884</v>
      </c>
      <c r="BH720">
        <f>VLOOKUP($BA720,'[2]Standard DIS'!$Q$1:$X$542,3,FALSE)</f>
        <v>0.11111111111111116</v>
      </c>
      <c r="BI720" s="77">
        <f t="shared" si="1977"/>
        <v>1</v>
      </c>
      <c r="BJ720" s="77">
        <f t="shared" si="1978"/>
        <v>6.3149999999999984E-2</v>
      </c>
      <c r="BK720" s="77">
        <f t="shared" si="2071"/>
        <v>5.1160591879111372E-3</v>
      </c>
      <c r="BL720" s="79">
        <v>0</v>
      </c>
      <c r="BM720" s="77">
        <f t="shared" si="1992"/>
        <v>0</v>
      </c>
      <c r="BN720" s="77">
        <f t="shared" si="1993"/>
        <v>0</v>
      </c>
      <c r="BO720" s="77">
        <f t="shared" si="1994"/>
        <v>2.5000000000000001E-3</v>
      </c>
      <c r="BP720" s="77">
        <f t="shared" si="1995"/>
        <v>2.0809499864316017E-4</v>
      </c>
    </row>
    <row r="721" spans="1:68">
      <c r="A721" t="s">
        <v>175</v>
      </c>
      <c r="B721" t="s">
        <v>179</v>
      </c>
      <c r="C721" s="197" t="str">
        <f t="shared" si="2036"/>
        <v>Lifecycle_Dynamic_366</v>
      </c>
      <c r="D721">
        <v>366</v>
      </c>
      <c r="E721">
        <f>VLOOKUP($D721,'[2]LC Dynamic'!$Q$2:$U$542,2,FALSE)</f>
        <v>0</v>
      </c>
      <c r="F721">
        <f>VLOOKUP($D721,'[2]LC Dynamic'!$Q$2:$U$542,3,FALSE)</f>
        <v>0</v>
      </c>
      <c r="G721">
        <f>VLOOKUP($D721,'[2]LC Dynamic'!$Q$2:$U$542,4,FALSE)</f>
        <v>0.308</v>
      </c>
      <c r="H721">
        <f>VLOOKUP($D721,'[2]LC Dynamic'!$Q$2:$U$542,5,FALSE)</f>
        <v>0.69199999999999995</v>
      </c>
      <c r="I721" s="77">
        <f t="shared" si="1968"/>
        <v>1</v>
      </c>
      <c r="J721" s="77">
        <f t="shared" si="1969"/>
        <v>6.9728499999999985E-2</v>
      </c>
      <c r="K721" s="77">
        <f t="shared" si="2043"/>
        <v>5.632878498097682E-3</v>
      </c>
      <c r="L721" s="76">
        <v>0</v>
      </c>
      <c r="M721" s="77">
        <f t="shared" si="1979"/>
        <v>0</v>
      </c>
      <c r="N721" s="77">
        <f t="shared" si="1980"/>
        <v>0</v>
      </c>
      <c r="O721" s="77">
        <f t="shared" si="1981"/>
        <v>5.6775999999999997E-3</v>
      </c>
      <c r="P721" s="77">
        <f t="shared" si="1982"/>
        <v>4.7436902124819991E-4</v>
      </c>
      <c r="R721" t="s">
        <v>177</v>
      </c>
      <c r="S721" t="s">
        <v>179</v>
      </c>
      <c r="T721" s="197" t="str">
        <f t="shared" si="2037"/>
        <v>Autopilot_Dynamic_366</v>
      </c>
      <c r="U721">
        <v>366</v>
      </c>
      <c r="V721">
        <f>VLOOKUP($U721,'[2]AP Dynamic'!$Q$1:$T$542,2,FALSE)</f>
        <v>0.88888888888888884</v>
      </c>
      <c r="W721">
        <f>VLOOKUP($U721,'[2]AP Dynamic'!$Q$1:$T$542,3,FALSE)</f>
        <v>0.11111111111111116</v>
      </c>
      <c r="X721">
        <f>VLOOKUP($U721,'[2]AP Dynamic'!$Q$1:$T$542,4,FALSE)</f>
        <v>0</v>
      </c>
      <c r="Y721" s="77">
        <f t="shared" si="2038"/>
        <v>1</v>
      </c>
      <c r="Z721" s="77">
        <f t="shared" si="2044"/>
        <v>6.3149999999999984E-2</v>
      </c>
      <c r="AA721" s="77">
        <f t="shared" si="2045"/>
        <v>5.1160591879111372E-3</v>
      </c>
      <c r="AB721" s="79">
        <v>1</v>
      </c>
      <c r="AC721" s="77">
        <f t="shared" si="1983"/>
        <v>8.277777777777778E-3</v>
      </c>
      <c r="AD721" s="77">
        <f t="shared" ref="AD721" si="2180">1-(1-AC721)^(1/12)</f>
        <v>6.9244588451522482E-4</v>
      </c>
      <c r="AE721" s="77">
        <f t="shared" si="1985"/>
        <v>2.5000000000000001E-3</v>
      </c>
      <c r="AF721" s="77">
        <f t="shared" ref="AF721" si="2181">1-(1-AE721)^(1/12)</f>
        <v>2.0857243058891584E-4</v>
      </c>
      <c r="AH721" t="s">
        <v>175</v>
      </c>
      <c r="AI721" t="s">
        <v>179</v>
      </c>
      <c r="AJ721" s="197" t="str">
        <f t="shared" si="1972"/>
        <v>Lifecycle_Dynamic_366</v>
      </c>
      <c r="AK721">
        <v>366</v>
      </c>
      <c r="AL721">
        <f>VLOOKUP($U721,[2]Standard_Dynamic!$Q$1:$T$542,2,FALSE)</f>
        <v>0.88888888888888884</v>
      </c>
      <c r="AM721">
        <f>VLOOKUP($U721,[2]Standard_Dynamic!$Q$1:$T$542,3,FALSE)</f>
        <v>0.11111111111111116</v>
      </c>
      <c r="AN721">
        <f>VLOOKUP($U721,[2]Standard_Dynamic!$Q$1:$T$542,4,FALSE)</f>
        <v>0</v>
      </c>
      <c r="AO721" s="77">
        <f t="shared" si="1973"/>
        <v>1</v>
      </c>
      <c r="AP721" s="77">
        <f t="shared" si="1987"/>
        <v>6.3149999999999984E-2</v>
      </c>
      <c r="AQ721" s="77">
        <f t="shared" si="1974"/>
        <v>5.1160591879111372E-3</v>
      </c>
      <c r="AR721" s="79">
        <v>0</v>
      </c>
      <c r="AS721" s="77">
        <f t="shared" si="1988"/>
        <v>0</v>
      </c>
      <c r="AT721" s="77">
        <f t="shared" ref="AT721" si="2182">1-(1-AS721)^(1/12)</f>
        <v>0</v>
      </c>
      <c r="AU721" s="77">
        <f t="shared" si="1990"/>
        <v>2.5000000000000001E-3</v>
      </c>
      <c r="AV721" s="77">
        <f t="shared" ref="AV721" si="2183">1-(1-AU721)^(1/12)</f>
        <v>2.0857243058891584E-4</v>
      </c>
      <c r="AX721" t="s">
        <v>178</v>
      </c>
      <c r="AY721" t="s">
        <v>162</v>
      </c>
      <c r="AZ721" s="197" t="str">
        <f t="shared" si="2070"/>
        <v>DIS_Standard_366</v>
      </c>
      <c r="BA721">
        <v>366</v>
      </c>
      <c r="BB721">
        <f>VLOOKUP($BA721,'[2]Standard DIS'!$Q$1:$X$542,4,FALSE)</f>
        <v>0</v>
      </c>
      <c r="BF721">
        <f>VLOOKUP($BA721,'[2]Standard DIS'!$Q$1:$X$542,2,FALSE)</f>
        <v>0.88888888888888884</v>
      </c>
      <c r="BH721">
        <f>VLOOKUP($BA721,'[2]Standard DIS'!$Q$1:$X$542,3,FALSE)</f>
        <v>0.11111111111111116</v>
      </c>
      <c r="BI721" s="77">
        <f t="shared" si="1977"/>
        <v>1</v>
      </c>
      <c r="BJ721" s="77">
        <f t="shared" si="1978"/>
        <v>6.3149999999999984E-2</v>
      </c>
      <c r="BK721" s="77">
        <f t="shared" si="2071"/>
        <v>5.1160591879111372E-3</v>
      </c>
      <c r="BL721" s="79">
        <v>0</v>
      </c>
      <c r="BM721" s="77">
        <f t="shared" si="1992"/>
        <v>0</v>
      </c>
      <c r="BN721" s="77">
        <f t="shared" si="1993"/>
        <v>0</v>
      </c>
      <c r="BO721" s="77">
        <f t="shared" si="1994"/>
        <v>2.5000000000000001E-3</v>
      </c>
      <c r="BP721" s="77">
        <f t="shared" si="1995"/>
        <v>2.0809499864316017E-4</v>
      </c>
    </row>
    <row r="722" spans="1:68">
      <c r="A722" t="s">
        <v>175</v>
      </c>
      <c r="B722" t="s">
        <v>179</v>
      </c>
      <c r="C722" s="197" t="str">
        <f t="shared" si="2036"/>
        <v>Lifecycle_Dynamic_365</v>
      </c>
      <c r="D722">
        <v>365</v>
      </c>
      <c r="E722">
        <f>VLOOKUP($D722,'[2]LC Dynamic'!$Q$2:$U$542,2,FALSE)</f>
        <v>0</v>
      </c>
      <c r="F722">
        <f>VLOOKUP($D722,'[2]LC Dynamic'!$Q$2:$U$542,3,FALSE)</f>
        <v>0</v>
      </c>
      <c r="G722">
        <f>VLOOKUP($D722,'[2]LC Dynamic'!$Q$2:$U$542,4,FALSE)</f>
        <v>0.308</v>
      </c>
      <c r="H722">
        <f>VLOOKUP($D722,'[2]LC Dynamic'!$Q$2:$U$542,5,FALSE)</f>
        <v>0.69199999999999995</v>
      </c>
      <c r="I722" s="77">
        <f t="shared" si="1968"/>
        <v>1</v>
      </c>
      <c r="J722" s="77">
        <f t="shared" si="1969"/>
        <v>6.9728499999999985E-2</v>
      </c>
      <c r="K722" s="77">
        <f t="shared" si="2043"/>
        <v>5.632878498097682E-3</v>
      </c>
      <c r="L722" s="76">
        <v>0</v>
      </c>
      <c r="M722" s="77">
        <f t="shared" si="1979"/>
        <v>0</v>
      </c>
      <c r="N722" s="77">
        <f t="shared" si="1980"/>
        <v>0</v>
      </c>
      <c r="O722" s="77">
        <f t="shared" si="1981"/>
        <v>5.6775999999999997E-3</v>
      </c>
      <c r="P722" s="77">
        <f t="shared" si="1982"/>
        <v>4.7436902124819991E-4</v>
      </c>
      <c r="R722" t="s">
        <v>177</v>
      </c>
      <c r="S722" t="s">
        <v>179</v>
      </c>
      <c r="T722" s="197" t="str">
        <f t="shared" si="2037"/>
        <v>Autopilot_Dynamic_365</v>
      </c>
      <c r="U722">
        <v>365</v>
      </c>
      <c r="V722">
        <f>VLOOKUP($U722,'[2]AP Dynamic'!$Q$1:$T$542,2,FALSE)</f>
        <v>0.88888888888888884</v>
      </c>
      <c r="W722">
        <f>VLOOKUP($U722,'[2]AP Dynamic'!$Q$1:$T$542,3,FALSE)</f>
        <v>0.11111111111111116</v>
      </c>
      <c r="X722">
        <f>VLOOKUP($U722,'[2]AP Dynamic'!$Q$1:$T$542,4,FALSE)</f>
        <v>0</v>
      </c>
      <c r="Y722" s="77">
        <f t="shared" si="2038"/>
        <v>1</v>
      </c>
      <c r="Z722" s="77">
        <f t="shared" si="2044"/>
        <v>6.3149999999999984E-2</v>
      </c>
      <c r="AA722" s="77">
        <f t="shared" si="2045"/>
        <v>5.1160591879111372E-3</v>
      </c>
      <c r="AB722" s="79">
        <v>1</v>
      </c>
      <c r="AC722" s="77">
        <f t="shared" si="1983"/>
        <v>8.277777777777778E-3</v>
      </c>
      <c r="AD722" s="77">
        <f t="shared" ref="AD722" si="2184">1-(1-AC722)^(1/12)</f>
        <v>6.9244588451522482E-4</v>
      </c>
      <c r="AE722" s="77">
        <f t="shared" si="1985"/>
        <v>2.5000000000000001E-3</v>
      </c>
      <c r="AF722" s="77">
        <f t="shared" ref="AF722" si="2185">1-(1-AE722)^(1/12)</f>
        <v>2.0857243058891584E-4</v>
      </c>
      <c r="AH722" t="s">
        <v>175</v>
      </c>
      <c r="AI722" t="s">
        <v>179</v>
      </c>
      <c r="AJ722" s="197" t="str">
        <f t="shared" si="1972"/>
        <v>Lifecycle_Dynamic_365</v>
      </c>
      <c r="AK722">
        <v>365</v>
      </c>
      <c r="AL722">
        <f>VLOOKUP($U722,[2]Standard_Dynamic!$Q$1:$T$542,2,FALSE)</f>
        <v>0.88888888888888884</v>
      </c>
      <c r="AM722">
        <f>VLOOKUP($U722,[2]Standard_Dynamic!$Q$1:$T$542,3,FALSE)</f>
        <v>0.11111111111111116</v>
      </c>
      <c r="AN722">
        <f>VLOOKUP($U722,[2]Standard_Dynamic!$Q$1:$T$542,4,FALSE)</f>
        <v>0</v>
      </c>
      <c r="AO722" s="77">
        <f t="shared" si="1973"/>
        <v>1</v>
      </c>
      <c r="AP722" s="77">
        <f t="shared" si="1987"/>
        <v>6.3149999999999984E-2</v>
      </c>
      <c r="AQ722" s="77">
        <f t="shared" si="1974"/>
        <v>5.1160591879111372E-3</v>
      </c>
      <c r="AR722" s="79">
        <v>0</v>
      </c>
      <c r="AS722" s="77">
        <f t="shared" si="1988"/>
        <v>0</v>
      </c>
      <c r="AT722" s="77">
        <f t="shared" ref="AT722" si="2186">1-(1-AS722)^(1/12)</f>
        <v>0</v>
      </c>
      <c r="AU722" s="77">
        <f t="shared" si="1990"/>
        <v>2.5000000000000001E-3</v>
      </c>
      <c r="AV722" s="77">
        <f t="shared" ref="AV722" si="2187">1-(1-AU722)^(1/12)</f>
        <v>2.0857243058891584E-4</v>
      </c>
      <c r="AX722" t="s">
        <v>178</v>
      </c>
      <c r="AY722" t="s">
        <v>162</v>
      </c>
      <c r="AZ722" s="197" t="str">
        <f t="shared" si="2070"/>
        <v>DIS_Standard_365</v>
      </c>
      <c r="BA722">
        <v>365</v>
      </c>
      <c r="BB722">
        <f>VLOOKUP($BA722,'[2]Standard DIS'!$Q$1:$X$542,4,FALSE)</f>
        <v>0</v>
      </c>
      <c r="BF722">
        <f>VLOOKUP($BA722,'[2]Standard DIS'!$Q$1:$X$542,2,FALSE)</f>
        <v>0.88888888888888884</v>
      </c>
      <c r="BH722">
        <f>VLOOKUP($BA722,'[2]Standard DIS'!$Q$1:$X$542,3,FALSE)</f>
        <v>0.11111111111111116</v>
      </c>
      <c r="BI722" s="77">
        <f t="shared" si="1977"/>
        <v>1</v>
      </c>
      <c r="BJ722" s="77">
        <f t="shared" si="1978"/>
        <v>6.3149999999999984E-2</v>
      </c>
      <c r="BK722" s="77">
        <f t="shared" si="2071"/>
        <v>5.1160591879111372E-3</v>
      </c>
      <c r="BL722" s="79">
        <v>0</v>
      </c>
      <c r="BM722" s="77">
        <f t="shared" si="1992"/>
        <v>0</v>
      </c>
      <c r="BN722" s="77">
        <f t="shared" si="1993"/>
        <v>0</v>
      </c>
      <c r="BO722" s="77">
        <f t="shared" si="1994"/>
        <v>2.5000000000000001E-3</v>
      </c>
      <c r="BP722" s="77">
        <f t="shared" si="1995"/>
        <v>2.0809499864316017E-4</v>
      </c>
    </row>
    <row r="723" spans="1:68">
      <c r="A723" t="s">
        <v>175</v>
      </c>
      <c r="B723" t="s">
        <v>179</v>
      </c>
      <c r="C723" s="197" t="str">
        <f t="shared" si="2036"/>
        <v>Lifecycle_Dynamic_364</v>
      </c>
      <c r="D723">
        <v>364</v>
      </c>
      <c r="E723">
        <f>VLOOKUP($D723,'[2]LC Dynamic'!$Q$2:$U$542,2,FALSE)</f>
        <v>0</v>
      </c>
      <c r="F723">
        <f>VLOOKUP($D723,'[2]LC Dynamic'!$Q$2:$U$542,3,FALSE)</f>
        <v>0</v>
      </c>
      <c r="G723">
        <f>VLOOKUP($D723,'[2]LC Dynamic'!$Q$2:$U$542,4,FALSE)</f>
        <v>0.308</v>
      </c>
      <c r="H723">
        <f>VLOOKUP($D723,'[2]LC Dynamic'!$Q$2:$U$542,5,FALSE)</f>
        <v>0.69199999999999995</v>
      </c>
      <c r="I723" s="77">
        <f t="shared" si="1968"/>
        <v>1</v>
      </c>
      <c r="J723" s="77">
        <f t="shared" si="1969"/>
        <v>6.9728499999999985E-2</v>
      </c>
      <c r="K723" s="77">
        <f t="shared" si="2043"/>
        <v>5.632878498097682E-3</v>
      </c>
      <c r="L723" s="76">
        <v>0</v>
      </c>
      <c r="M723" s="77">
        <f t="shared" si="1979"/>
        <v>0</v>
      </c>
      <c r="N723" s="77">
        <f t="shared" si="1980"/>
        <v>0</v>
      </c>
      <c r="O723" s="77">
        <f t="shared" si="1981"/>
        <v>5.6775999999999997E-3</v>
      </c>
      <c r="P723" s="77">
        <f t="shared" si="1982"/>
        <v>4.7436902124819991E-4</v>
      </c>
      <c r="R723" t="s">
        <v>177</v>
      </c>
      <c r="S723" t="s">
        <v>179</v>
      </c>
      <c r="T723" s="197" t="str">
        <f t="shared" si="2037"/>
        <v>Autopilot_Dynamic_364</v>
      </c>
      <c r="U723">
        <v>364</v>
      </c>
      <c r="V723">
        <f>VLOOKUP($U723,'[2]AP Dynamic'!$Q$1:$T$542,2,FALSE)</f>
        <v>0.88888888888888884</v>
      </c>
      <c r="W723">
        <f>VLOOKUP($U723,'[2]AP Dynamic'!$Q$1:$T$542,3,FALSE)</f>
        <v>0.11111111111111116</v>
      </c>
      <c r="X723">
        <f>VLOOKUP($U723,'[2]AP Dynamic'!$Q$1:$T$542,4,FALSE)</f>
        <v>0</v>
      </c>
      <c r="Y723" s="77">
        <f t="shared" si="2038"/>
        <v>1</v>
      </c>
      <c r="Z723" s="77">
        <f t="shared" si="2044"/>
        <v>6.3149999999999984E-2</v>
      </c>
      <c r="AA723" s="77">
        <f t="shared" si="2045"/>
        <v>5.1160591879111372E-3</v>
      </c>
      <c r="AB723" s="79">
        <v>1</v>
      </c>
      <c r="AC723" s="77">
        <f t="shared" si="1983"/>
        <v>8.277777777777778E-3</v>
      </c>
      <c r="AD723" s="77">
        <f t="shared" ref="AD723" si="2188">1-(1-AC723)^(1/12)</f>
        <v>6.9244588451522482E-4</v>
      </c>
      <c r="AE723" s="77">
        <f t="shared" si="1985"/>
        <v>2.5000000000000001E-3</v>
      </c>
      <c r="AF723" s="77">
        <f t="shared" ref="AF723" si="2189">1-(1-AE723)^(1/12)</f>
        <v>2.0857243058891584E-4</v>
      </c>
      <c r="AH723" t="s">
        <v>175</v>
      </c>
      <c r="AI723" t="s">
        <v>179</v>
      </c>
      <c r="AJ723" s="197" t="str">
        <f t="shared" si="1972"/>
        <v>Lifecycle_Dynamic_364</v>
      </c>
      <c r="AK723">
        <v>364</v>
      </c>
      <c r="AL723">
        <f>VLOOKUP($U723,[2]Standard_Dynamic!$Q$1:$T$542,2,FALSE)</f>
        <v>0.88888888888888884</v>
      </c>
      <c r="AM723">
        <f>VLOOKUP($U723,[2]Standard_Dynamic!$Q$1:$T$542,3,FALSE)</f>
        <v>0.11111111111111116</v>
      </c>
      <c r="AN723">
        <f>VLOOKUP($U723,[2]Standard_Dynamic!$Q$1:$T$542,4,FALSE)</f>
        <v>0</v>
      </c>
      <c r="AO723" s="77">
        <f t="shared" si="1973"/>
        <v>1</v>
      </c>
      <c r="AP723" s="77">
        <f t="shared" si="1987"/>
        <v>6.3149999999999984E-2</v>
      </c>
      <c r="AQ723" s="77">
        <f t="shared" si="1974"/>
        <v>5.1160591879111372E-3</v>
      </c>
      <c r="AR723" s="79">
        <v>0</v>
      </c>
      <c r="AS723" s="77">
        <f t="shared" si="1988"/>
        <v>0</v>
      </c>
      <c r="AT723" s="77">
        <f t="shared" ref="AT723" si="2190">1-(1-AS723)^(1/12)</f>
        <v>0</v>
      </c>
      <c r="AU723" s="77">
        <f t="shared" si="1990"/>
        <v>2.5000000000000001E-3</v>
      </c>
      <c r="AV723" s="77">
        <f t="shared" ref="AV723" si="2191">1-(1-AU723)^(1/12)</f>
        <v>2.0857243058891584E-4</v>
      </c>
      <c r="AX723" t="s">
        <v>178</v>
      </c>
      <c r="AY723" t="s">
        <v>162</v>
      </c>
      <c r="AZ723" s="197" t="str">
        <f t="shared" si="2070"/>
        <v>DIS_Standard_364</v>
      </c>
      <c r="BA723">
        <v>364</v>
      </c>
      <c r="BB723">
        <f>VLOOKUP($BA723,'[2]Standard DIS'!$Q$1:$X$542,4,FALSE)</f>
        <v>0</v>
      </c>
      <c r="BF723">
        <f>VLOOKUP($BA723,'[2]Standard DIS'!$Q$1:$X$542,2,FALSE)</f>
        <v>0.88888888888888884</v>
      </c>
      <c r="BH723">
        <f>VLOOKUP($BA723,'[2]Standard DIS'!$Q$1:$X$542,3,FALSE)</f>
        <v>0.11111111111111116</v>
      </c>
      <c r="BI723" s="77">
        <f t="shared" si="1977"/>
        <v>1</v>
      </c>
      <c r="BJ723" s="77">
        <f t="shared" si="1978"/>
        <v>6.3149999999999984E-2</v>
      </c>
      <c r="BK723" s="77">
        <f t="shared" si="2071"/>
        <v>5.1160591879111372E-3</v>
      </c>
      <c r="BL723" s="79">
        <v>0</v>
      </c>
      <c r="BM723" s="77">
        <f t="shared" si="1992"/>
        <v>0</v>
      </c>
      <c r="BN723" s="77">
        <f t="shared" si="1993"/>
        <v>0</v>
      </c>
      <c r="BO723" s="77">
        <f t="shared" si="1994"/>
        <v>2.5000000000000001E-3</v>
      </c>
      <c r="BP723" s="77">
        <f t="shared" si="1995"/>
        <v>2.0809499864316017E-4</v>
      </c>
    </row>
    <row r="724" spans="1:68">
      <c r="A724" t="s">
        <v>175</v>
      </c>
      <c r="B724" t="s">
        <v>179</v>
      </c>
      <c r="C724" s="197" t="str">
        <f t="shared" si="2036"/>
        <v>Lifecycle_Dynamic_363</v>
      </c>
      <c r="D724">
        <v>363</v>
      </c>
      <c r="E724">
        <f>VLOOKUP($D724,'[2]LC Dynamic'!$Q$2:$U$542,2,FALSE)</f>
        <v>0</v>
      </c>
      <c r="F724">
        <f>VLOOKUP($D724,'[2]LC Dynamic'!$Q$2:$U$542,3,FALSE)</f>
        <v>0</v>
      </c>
      <c r="G724">
        <f>VLOOKUP($D724,'[2]LC Dynamic'!$Q$2:$U$542,4,FALSE)</f>
        <v>0.308</v>
      </c>
      <c r="H724">
        <f>VLOOKUP($D724,'[2]LC Dynamic'!$Q$2:$U$542,5,FALSE)</f>
        <v>0.69199999999999995</v>
      </c>
      <c r="I724" s="77">
        <f t="shared" si="1968"/>
        <v>1</v>
      </c>
      <c r="J724" s="77">
        <f t="shared" si="1969"/>
        <v>6.9728499999999985E-2</v>
      </c>
      <c r="K724" s="77">
        <f t="shared" si="2043"/>
        <v>5.632878498097682E-3</v>
      </c>
      <c r="L724" s="76">
        <v>0</v>
      </c>
      <c r="M724" s="77">
        <f t="shared" si="1979"/>
        <v>0</v>
      </c>
      <c r="N724" s="77">
        <f t="shared" si="1980"/>
        <v>0</v>
      </c>
      <c r="O724" s="77">
        <f t="shared" si="1981"/>
        <v>5.6775999999999997E-3</v>
      </c>
      <c r="P724" s="77">
        <f t="shared" si="1982"/>
        <v>4.7436902124819991E-4</v>
      </c>
      <c r="R724" t="s">
        <v>177</v>
      </c>
      <c r="S724" t="s">
        <v>179</v>
      </c>
      <c r="T724" s="197" t="str">
        <f t="shared" si="2037"/>
        <v>Autopilot_Dynamic_363</v>
      </c>
      <c r="U724">
        <v>363</v>
      </c>
      <c r="V724">
        <f>VLOOKUP($U724,'[2]AP Dynamic'!$Q$1:$T$542,2,FALSE)</f>
        <v>0.88888888888888884</v>
      </c>
      <c r="W724">
        <f>VLOOKUP($U724,'[2]AP Dynamic'!$Q$1:$T$542,3,FALSE)</f>
        <v>0.11111111111111116</v>
      </c>
      <c r="X724">
        <f>VLOOKUP($U724,'[2]AP Dynamic'!$Q$1:$T$542,4,FALSE)</f>
        <v>0</v>
      </c>
      <c r="Y724" s="77">
        <f t="shared" si="2038"/>
        <v>1</v>
      </c>
      <c r="Z724" s="77">
        <f t="shared" si="2044"/>
        <v>6.3149999999999984E-2</v>
      </c>
      <c r="AA724" s="77">
        <f t="shared" si="2045"/>
        <v>5.1160591879111372E-3</v>
      </c>
      <c r="AB724" s="79">
        <v>1</v>
      </c>
      <c r="AC724" s="77">
        <f t="shared" si="1983"/>
        <v>8.277777777777778E-3</v>
      </c>
      <c r="AD724" s="77">
        <f t="shared" ref="AD724" si="2192">1-(1-AC724)^(1/12)</f>
        <v>6.9244588451522482E-4</v>
      </c>
      <c r="AE724" s="77">
        <f t="shared" si="1985"/>
        <v>2.5000000000000001E-3</v>
      </c>
      <c r="AF724" s="77">
        <f t="shared" ref="AF724" si="2193">1-(1-AE724)^(1/12)</f>
        <v>2.0857243058891584E-4</v>
      </c>
      <c r="AH724" t="s">
        <v>175</v>
      </c>
      <c r="AI724" t="s">
        <v>179</v>
      </c>
      <c r="AJ724" s="197" t="str">
        <f t="shared" si="1972"/>
        <v>Lifecycle_Dynamic_363</v>
      </c>
      <c r="AK724">
        <v>363</v>
      </c>
      <c r="AL724">
        <f>VLOOKUP($U724,[2]Standard_Dynamic!$Q$1:$T$542,2,FALSE)</f>
        <v>0.88888888888888884</v>
      </c>
      <c r="AM724">
        <f>VLOOKUP($U724,[2]Standard_Dynamic!$Q$1:$T$542,3,FALSE)</f>
        <v>0.11111111111111116</v>
      </c>
      <c r="AN724">
        <f>VLOOKUP($U724,[2]Standard_Dynamic!$Q$1:$T$542,4,FALSE)</f>
        <v>0</v>
      </c>
      <c r="AO724" s="77">
        <f t="shared" si="1973"/>
        <v>1</v>
      </c>
      <c r="AP724" s="77">
        <f t="shared" si="1987"/>
        <v>6.3149999999999984E-2</v>
      </c>
      <c r="AQ724" s="77">
        <f t="shared" si="1974"/>
        <v>5.1160591879111372E-3</v>
      </c>
      <c r="AR724" s="79">
        <v>0</v>
      </c>
      <c r="AS724" s="77">
        <f t="shared" si="1988"/>
        <v>0</v>
      </c>
      <c r="AT724" s="77">
        <f t="shared" ref="AT724" si="2194">1-(1-AS724)^(1/12)</f>
        <v>0</v>
      </c>
      <c r="AU724" s="77">
        <f t="shared" si="1990"/>
        <v>2.5000000000000001E-3</v>
      </c>
      <c r="AV724" s="77">
        <f t="shared" ref="AV724" si="2195">1-(1-AU724)^(1/12)</f>
        <v>2.0857243058891584E-4</v>
      </c>
      <c r="AX724" t="s">
        <v>178</v>
      </c>
      <c r="AY724" t="s">
        <v>162</v>
      </c>
      <c r="AZ724" s="197" t="str">
        <f t="shared" si="2070"/>
        <v>DIS_Standard_363</v>
      </c>
      <c r="BA724">
        <v>363</v>
      </c>
      <c r="BB724">
        <f>VLOOKUP($BA724,'[2]Standard DIS'!$Q$1:$X$542,4,FALSE)</f>
        <v>0</v>
      </c>
      <c r="BF724">
        <f>VLOOKUP($BA724,'[2]Standard DIS'!$Q$1:$X$542,2,FALSE)</f>
        <v>0.88888888888888884</v>
      </c>
      <c r="BH724">
        <f>VLOOKUP($BA724,'[2]Standard DIS'!$Q$1:$X$542,3,FALSE)</f>
        <v>0.11111111111111116</v>
      </c>
      <c r="BI724" s="77">
        <f t="shared" si="1977"/>
        <v>1</v>
      </c>
      <c r="BJ724" s="77">
        <f t="shared" si="1978"/>
        <v>6.3149999999999984E-2</v>
      </c>
      <c r="BK724" s="77">
        <f t="shared" si="2071"/>
        <v>5.1160591879111372E-3</v>
      </c>
      <c r="BL724" s="79">
        <v>0</v>
      </c>
      <c r="BM724" s="77">
        <f t="shared" si="1992"/>
        <v>0</v>
      </c>
      <c r="BN724" s="77">
        <f t="shared" si="1993"/>
        <v>0</v>
      </c>
      <c r="BO724" s="77">
        <f t="shared" si="1994"/>
        <v>2.5000000000000001E-3</v>
      </c>
      <c r="BP724" s="77">
        <f t="shared" si="1995"/>
        <v>2.0809499864316017E-4</v>
      </c>
    </row>
    <row r="725" spans="1:68">
      <c r="A725" t="s">
        <v>175</v>
      </c>
      <c r="B725" t="s">
        <v>179</v>
      </c>
      <c r="C725" s="197" t="str">
        <f t="shared" si="2036"/>
        <v>Lifecycle_Dynamic_362</v>
      </c>
      <c r="D725">
        <v>362</v>
      </c>
      <c r="E725">
        <f>VLOOKUP($D725,'[2]LC Dynamic'!$Q$2:$U$542,2,FALSE)</f>
        <v>0</v>
      </c>
      <c r="F725">
        <f>VLOOKUP($D725,'[2]LC Dynamic'!$Q$2:$U$542,3,FALSE)</f>
        <v>0</v>
      </c>
      <c r="G725">
        <f>VLOOKUP($D725,'[2]LC Dynamic'!$Q$2:$U$542,4,FALSE)</f>
        <v>0.308</v>
      </c>
      <c r="H725">
        <f>VLOOKUP($D725,'[2]LC Dynamic'!$Q$2:$U$542,5,FALSE)</f>
        <v>0.69199999999999995</v>
      </c>
      <c r="I725" s="77">
        <f t="shared" si="1968"/>
        <v>1</v>
      </c>
      <c r="J725" s="77">
        <f t="shared" si="1969"/>
        <v>6.9728499999999985E-2</v>
      </c>
      <c r="K725" s="77">
        <f t="shared" si="2043"/>
        <v>5.632878498097682E-3</v>
      </c>
      <c r="L725" s="76">
        <v>0</v>
      </c>
      <c r="M725" s="77">
        <f t="shared" si="1979"/>
        <v>0</v>
      </c>
      <c r="N725" s="77">
        <f t="shared" si="1980"/>
        <v>0</v>
      </c>
      <c r="O725" s="77">
        <f t="shared" si="1981"/>
        <v>5.6775999999999997E-3</v>
      </c>
      <c r="P725" s="77">
        <f t="shared" si="1982"/>
        <v>4.7436902124819991E-4</v>
      </c>
      <c r="R725" t="s">
        <v>177</v>
      </c>
      <c r="S725" t="s">
        <v>179</v>
      </c>
      <c r="T725" s="197" t="str">
        <f t="shared" si="2037"/>
        <v>Autopilot_Dynamic_362</v>
      </c>
      <c r="U725">
        <v>362</v>
      </c>
      <c r="V725">
        <f>VLOOKUP($U725,'[2]AP Dynamic'!$Q$1:$T$542,2,FALSE)</f>
        <v>0.88888888888888884</v>
      </c>
      <c r="W725">
        <f>VLOOKUP($U725,'[2]AP Dynamic'!$Q$1:$T$542,3,FALSE)</f>
        <v>0.11111111111111116</v>
      </c>
      <c r="X725">
        <f>VLOOKUP($U725,'[2]AP Dynamic'!$Q$1:$T$542,4,FALSE)</f>
        <v>0</v>
      </c>
      <c r="Y725" s="77">
        <f t="shared" si="2038"/>
        <v>1</v>
      </c>
      <c r="Z725" s="77">
        <f t="shared" si="2044"/>
        <v>6.3149999999999984E-2</v>
      </c>
      <c r="AA725" s="77">
        <f t="shared" si="2045"/>
        <v>5.1160591879111372E-3</v>
      </c>
      <c r="AB725" s="79">
        <v>1</v>
      </c>
      <c r="AC725" s="77">
        <f t="shared" si="1983"/>
        <v>8.277777777777778E-3</v>
      </c>
      <c r="AD725" s="77">
        <f t="shared" ref="AD725" si="2196">1-(1-AC725)^(1/12)</f>
        <v>6.9244588451522482E-4</v>
      </c>
      <c r="AE725" s="77">
        <f t="shared" si="1985"/>
        <v>2.5000000000000001E-3</v>
      </c>
      <c r="AF725" s="77">
        <f t="shared" ref="AF725" si="2197">1-(1-AE725)^(1/12)</f>
        <v>2.0857243058891584E-4</v>
      </c>
      <c r="AH725" t="s">
        <v>175</v>
      </c>
      <c r="AI725" t="s">
        <v>179</v>
      </c>
      <c r="AJ725" s="197" t="str">
        <f t="shared" si="1972"/>
        <v>Lifecycle_Dynamic_362</v>
      </c>
      <c r="AK725">
        <v>362</v>
      </c>
      <c r="AL725">
        <f>VLOOKUP($U725,[2]Standard_Dynamic!$Q$1:$T$542,2,FALSE)</f>
        <v>0.88888888888888884</v>
      </c>
      <c r="AM725">
        <f>VLOOKUP($U725,[2]Standard_Dynamic!$Q$1:$T$542,3,FALSE)</f>
        <v>0.11111111111111116</v>
      </c>
      <c r="AN725">
        <f>VLOOKUP($U725,[2]Standard_Dynamic!$Q$1:$T$542,4,FALSE)</f>
        <v>0</v>
      </c>
      <c r="AO725" s="77">
        <f t="shared" si="1973"/>
        <v>1</v>
      </c>
      <c r="AP725" s="77">
        <f t="shared" si="1987"/>
        <v>6.3149999999999984E-2</v>
      </c>
      <c r="AQ725" s="77">
        <f t="shared" si="1974"/>
        <v>5.1160591879111372E-3</v>
      </c>
      <c r="AR725" s="79">
        <v>0</v>
      </c>
      <c r="AS725" s="77">
        <f t="shared" si="1988"/>
        <v>0</v>
      </c>
      <c r="AT725" s="77">
        <f t="shared" ref="AT725" si="2198">1-(1-AS725)^(1/12)</f>
        <v>0</v>
      </c>
      <c r="AU725" s="77">
        <f t="shared" si="1990"/>
        <v>2.5000000000000001E-3</v>
      </c>
      <c r="AV725" s="77">
        <f t="shared" ref="AV725" si="2199">1-(1-AU725)^(1/12)</f>
        <v>2.0857243058891584E-4</v>
      </c>
      <c r="AX725" t="s">
        <v>178</v>
      </c>
      <c r="AY725" t="s">
        <v>162</v>
      </c>
      <c r="AZ725" s="197" t="str">
        <f t="shared" si="2070"/>
        <v>DIS_Standard_362</v>
      </c>
      <c r="BA725">
        <v>362</v>
      </c>
      <c r="BB725">
        <f>VLOOKUP($BA725,'[2]Standard DIS'!$Q$1:$X$542,4,FALSE)</f>
        <v>0</v>
      </c>
      <c r="BF725">
        <f>VLOOKUP($BA725,'[2]Standard DIS'!$Q$1:$X$542,2,FALSE)</f>
        <v>0.88888888888888884</v>
      </c>
      <c r="BH725">
        <f>VLOOKUP($BA725,'[2]Standard DIS'!$Q$1:$X$542,3,FALSE)</f>
        <v>0.11111111111111116</v>
      </c>
      <c r="BI725" s="77">
        <f t="shared" si="1977"/>
        <v>1</v>
      </c>
      <c r="BJ725" s="77">
        <f t="shared" si="1978"/>
        <v>6.3149999999999984E-2</v>
      </c>
      <c r="BK725" s="77">
        <f t="shared" si="2071"/>
        <v>5.1160591879111372E-3</v>
      </c>
      <c r="BL725" s="79">
        <v>0</v>
      </c>
      <c r="BM725" s="77">
        <f t="shared" si="1992"/>
        <v>0</v>
      </c>
      <c r="BN725" s="77">
        <f t="shared" si="1993"/>
        <v>0</v>
      </c>
      <c r="BO725" s="77">
        <f t="shared" si="1994"/>
        <v>2.5000000000000001E-3</v>
      </c>
      <c r="BP725" s="77">
        <f t="shared" si="1995"/>
        <v>2.0809499864316017E-4</v>
      </c>
    </row>
    <row r="726" spans="1:68">
      <c r="A726" t="s">
        <v>175</v>
      </c>
      <c r="B726" t="s">
        <v>179</v>
      </c>
      <c r="C726" s="197" t="str">
        <f t="shared" si="2036"/>
        <v>Lifecycle_Dynamic_361</v>
      </c>
      <c r="D726">
        <v>361</v>
      </c>
      <c r="E726">
        <f>VLOOKUP($D726,'[2]LC Dynamic'!$Q$2:$U$542,2,FALSE)</f>
        <v>0</v>
      </c>
      <c r="F726">
        <f>VLOOKUP($D726,'[2]LC Dynamic'!$Q$2:$U$542,3,FALSE)</f>
        <v>0</v>
      </c>
      <c r="G726">
        <f>VLOOKUP($D726,'[2]LC Dynamic'!$Q$2:$U$542,4,FALSE)</f>
        <v>0.308</v>
      </c>
      <c r="H726">
        <f>VLOOKUP($D726,'[2]LC Dynamic'!$Q$2:$U$542,5,FALSE)</f>
        <v>0.69199999999999995</v>
      </c>
      <c r="I726" s="77">
        <f t="shared" si="1968"/>
        <v>1</v>
      </c>
      <c r="J726" s="77">
        <f t="shared" si="1969"/>
        <v>6.9728499999999985E-2</v>
      </c>
      <c r="K726" s="77">
        <f t="shared" si="2043"/>
        <v>5.632878498097682E-3</v>
      </c>
      <c r="L726" s="76">
        <v>0</v>
      </c>
      <c r="M726" s="77">
        <f t="shared" si="1979"/>
        <v>0</v>
      </c>
      <c r="N726" s="77">
        <f t="shared" si="1980"/>
        <v>0</v>
      </c>
      <c r="O726" s="77">
        <f t="shared" si="1981"/>
        <v>5.6775999999999997E-3</v>
      </c>
      <c r="P726" s="77">
        <f t="shared" si="1982"/>
        <v>4.7436902124819991E-4</v>
      </c>
      <c r="R726" t="s">
        <v>177</v>
      </c>
      <c r="S726" t="s">
        <v>179</v>
      </c>
      <c r="T726" s="197" t="str">
        <f t="shared" si="2037"/>
        <v>Autopilot_Dynamic_361</v>
      </c>
      <c r="U726">
        <v>361</v>
      </c>
      <c r="V726">
        <f>VLOOKUP($U726,'[2]AP Dynamic'!$Q$1:$T$542,2,FALSE)</f>
        <v>0.88888888888888884</v>
      </c>
      <c r="W726">
        <f>VLOOKUP($U726,'[2]AP Dynamic'!$Q$1:$T$542,3,FALSE)</f>
        <v>0.11111111111111116</v>
      </c>
      <c r="X726">
        <f>VLOOKUP($U726,'[2]AP Dynamic'!$Q$1:$T$542,4,FALSE)</f>
        <v>0</v>
      </c>
      <c r="Y726" s="77">
        <f t="shared" si="2038"/>
        <v>1</v>
      </c>
      <c r="Z726" s="77">
        <f t="shared" si="2044"/>
        <v>6.3149999999999984E-2</v>
      </c>
      <c r="AA726" s="77">
        <f t="shared" si="2045"/>
        <v>5.1160591879111372E-3</v>
      </c>
      <c r="AB726" s="79">
        <v>1</v>
      </c>
      <c r="AC726" s="77">
        <f t="shared" si="1983"/>
        <v>8.277777777777778E-3</v>
      </c>
      <c r="AD726" s="77">
        <f t="shared" ref="AD726" si="2200">1-(1-AC726)^(1/12)</f>
        <v>6.9244588451522482E-4</v>
      </c>
      <c r="AE726" s="77">
        <f t="shared" si="1985"/>
        <v>2.5000000000000001E-3</v>
      </c>
      <c r="AF726" s="77">
        <f t="shared" ref="AF726" si="2201">1-(1-AE726)^(1/12)</f>
        <v>2.0857243058891584E-4</v>
      </c>
      <c r="AH726" t="s">
        <v>175</v>
      </c>
      <c r="AI726" t="s">
        <v>179</v>
      </c>
      <c r="AJ726" s="197" t="str">
        <f t="shared" si="1972"/>
        <v>Lifecycle_Dynamic_361</v>
      </c>
      <c r="AK726">
        <v>361</v>
      </c>
      <c r="AL726">
        <f>VLOOKUP($U726,[2]Standard_Dynamic!$Q$1:$T$542,2,FALSE)</f>
        <v>0.88888888888888884</v>
      </c>
      <c r="AM726">
        <f>VLOOKUP($U726,[2]Standard_Dynamic!$Q$1:$T$542,3,FALSE)</f>
        <v>0.11111111111111116</v>
      </c>
      <c r="AN726">
        <f>VLOOKUP($U726,[2]Standard_Dynamic!$Q$1:$T$542,4,FALSE)</f>
        <v>0</v>
      </c>
      <c r="AO726" s="77">
        <f t="shared" si="1973"/>
        <v>1</v>
      </c>
      <c r="AP726" s="77">
        <f t="shared" si="1987"/>
        <v>6.3149999999999984E-2</v>
      </c>
      <c r="AQ726" s="77">
        <f t="shared" si="1974"/>
        <v>5.1160591879111372E-3</v>
      </c>
      <c r="AR726" s="79">
        <v>0</v>
      </c>
      <c r="AS726" s="77">
        <f t="shared" si="1988"/>
        <v>0</v>
      </c>
      <c r="AT726" s="77">
        <f t="shared" ref="AT726" si="2202">1-(1-AS726)^(1/12)</f>
        <v>0</v>
      </c>
      <c r="AU726" s="77">
        <f t="shared" si="1990"/>
        <v>2.5000000000000001E-3</v>
      </c>
      <c r="AV726" s="77">
        <f t="shared" ref="AV726" si="2203">1-(1-AU726)^(1/12)</f>
        <v>2.0857243058891584E-4</v>
      </c>
      <c r="AX726" t="s">
        <v>178</v>
      </c>
      <c r="AY726" t="s">
        <v>162</v>
      </c>
      <c r="AZ726" s="197" t="str">
        <f t="shared" si="2070"/>
        <v>DIS_Standard_361</v>
      </c>
      <c r="BA726">
        <v>361</v>
      </c>
      <c r="BB726">
        <f>VLOOKUP($BA726,'[2]Standard DIS'!$Q$1:$X$542,4,FALSE)</f>
        <v>0</v>
      </c>
      <c r="BF726">
        <f>VLOOKUP($BA726,'[2]Standard DIS'!$Q$1:$X$542,2,FALSE)</f>
        <v>0.88888888888888884</v>
      </c>
      <c r="BH726">
        <f>VLOOKUP($BA726,'[2]Standard DIS'!$Q$1:$X$542,3,FALSE)</f>
        <v>0.11111111111111116</v>
      </c>
      <c r="BI726" s="77">
        <f t="shared" si="1977"/>
        <v>1</v>
      </c>
      <c r="BJ726" s="77">
        <f t="shared" si="1978"/>
        <v>6.3149999999999984E-2</v>
      </c>
      <c r="BK726" s="77">
        <f t="shared" si="2071"/>
        <v>5.1160591879111372E-3</v>
      </c>
      <c r="BL726" s="79">
        <v>0</v>
      </c>
      <c r="BM726" s="77">
        <f t="shared" si="1992"/>
        <v>0</v>
      </c>
      <c r="BN726" s="77">
        <f t="shared" si="1993"/>
        <v>0</v>
      </c>
      <c r="BO726" s="77">
        <f t="shared" si="1994"/>
        <v>2.5000000000000001E-3</v>
      </c>
      <c r="BP726" s="77">
        <f t="shared" si="1995"/>
        <v>2.0809499864316017E-4</v>
      </c>
    </row>
    <row r="727" spans="1:68">
      <c r="A727" t="s">
        <v>175</v>
      </c>
      <c r="B727" t="s">
        <v>179</v>
      </c>
      <c r="C727" s="197" t="str">
        <f t="shared" si="2036"/>
        <v>Lifecycle_Dynamic_360</v>
      </c>
      <c r="D727">
        <v>360</v>
      </c>
      <c r="E727">
        <f>VLOOKUP($D727,'[2]LC Dynamic'!$Q$2:$U$542,2,FALSE)</f>
        <v>0</v>
      </c>
      <c r="F727">
        <f>VLOOKUP($D727,'[2]LC Dynamic'!$Q$2:$U$542,3,FALSE)</f>
        <v>0</v>
      </c>
      <c r="G727">
        <f>VLOOKUP($D727,'[2]LC Dynamic'!$Q$2:$U$542,4,FALSE)</f>
        <v>0.308</v>
      </c>
      <c r="H727">
        <f>VLOOKUP($D727,'[2]LC Dynamic'!$Q$2:$U$542,5,FALSE)</f>
        <v>0.69199999999999995</v>
      </c>
      <c r="I727" s="77">
        <f t="shared" si="1968"/>
        <v>1</v>
      </c>
      <c r="J727" s="77">
        <f t="shared" si="1969"/>
        <v>6.9728499999999985E-2</v>
      </c>
      <c r="K727" s="77">
        <f t="shared" si="2043"/>
        <v>5.632878498097682E-3</v>
      </c>
      <c r="L727" s="76">
        <v>0</v>
      </c>
      <c r="M727" s="77">
        <f t="shared" si="1979"/>
        <v>0</v>
      </c>
      <c r="N727" s="77">
        <f t="shared" si="1980"/>
        <v>0</v>
      </c>
      <c r="O727" s="77">
        <f t="shared" si="1981"/>
        <v>5.6775999999999997E-3</v>
      </c>
      <c r="P727" s="77">
        <f t="shared" si="1982"/>
        <v>4.7436902124819991E-4</v>
      </c>
      <c r="R727" t="s">
        <v>177</v>
      </c>
      <c r="S727" t="s">
        <v>179</v>
      </c>
      <c r="T727" s="197" t="str">
        <f t="shared" si="2037"/>
        <v>Autopilot_Dynamic_360</v>
      </c>
      <c r="U727">
        <v>360</v>
      </c>
      <c r="V727">
        <f>VLOOKUP($U727,'[2]AP Dynamic'!$Q$1:$T$542,2,FALSE)</f>
        <v>0.88888888888888884</v>
      </c>
      <c r="W727">
        <f>VLOOKUP($U727,'[2]AP Dynamic'!$Q$1:$T$542,3,FALSE)</f>
        <v>0.11111111111111116</v>
      </c>
      <c r="X727">
        <f>VLOOKUP($U727,'[2]AP Dynamic'!$Q$1:$T$542,4,FALSE)</f>
        <v>0</v>
      </c>
      <c r="Y727" s="77">
        <f t="shared" si="2038"/>
        <v>1</v>
      </c>
      <c r="Z727" s="77">
        <f t="shared" si="2044"/>
        <v>6.3149999999999984E-2</v>
      </c>
      <c r="AA727" s="77">
        <f t="shared" si="2045"/>
        <v>5.1160591879111372E-3</v>
      </c>
      <c r="AB727" s="79">
        <v>1</v>
      </c>
      <c r="AC727" s="77">
        <f t="shared" si="1983"/>
        <v>8.277777777777778E-3</v>
      </c>
      <c r="AD727" s="77">
        <f t="shared" ref="AD727" si="2204">1-(1-AC727)^(1/12)</f>
        <v>6.9244588451522482E-4</v>
      </c>
      <c r="AE727" s="77">
        <f t="shared" si="1985"/>
        <v>2.5000000000000001E-3</v>
      </c>
      <c r="AF727" s="77">
        <f t="shared" ref="AF727" si="2205">1-(1-AE727)^(1/12)</f>
        <v>2.0857243058891584E-4</v>
      </c>
      <c r="AH727" t="s">
        <v>175</v>
      </c>
      <c r="AI727" t="s">
        <v>179</v>
      </c>
      <c r="AJ727" s="197" t="str">
        <f t="shared" si="1972"/>
        <v>Lifecycle_Dynamic_360</v>
      </c>
      <c r="AK727">
        <v>360</v>
      </c>
      <c r="AL727">
        <f>VLOOKUP($U727,[2]Standard_Dynamic!$Q$1:$T$542,2,FALSE)</f>
        <v>0.88888888888888884</v>
      </c>
      <c r="AM727">
        <f>VLOOKUP($U727,[2]Standard_Dynamic!$Q$1:$T$542,3,FALSE)</f>
        <v>0.11111111111111116</v>
      </c>
      <c r="AN727">
        <f>VLOOKUP($U727,[2]Standard_Dynamic!$Q$1:$T$542,4,FALSE)</f>
        <v>0</v>
      </c>
      <c r="AO727" s="77">
        <f t="shared" si="1973"/>
        <v>1</v>
      </c>
      <c r="AP727" s="77">
        <f t="shared" si="1987"/>
        <v>6.3149999999999984E-2</v>
      </c>
      <c r="AQ727" s="77">
        <f t="shared" si="1974"/>
        <v>5.1160591879111372E-3</v>
      </c>
      <c r="AR727" s="79">
        <v>0</v>
      </c>
      <c r="AS727" s="77">
        <f t="shared" si="1988"/>
        <v>0</v>
      </c>
      <c r="AT727" s="77">
        <f t="shared" ref="AT727" si="2206">1-(1-AS727)^(1/12)</f>
        <v>0</v>
      </c>
      <c r="AU727" s="77">
        <f t="shared" si="1990"/>
        <v>2.5000000000000001E-3</v>
      </c>
      <c r="AV727" s="77">
        <f t="shared" ref="AV727" si="2207">1-(1-AU727)^(1/12)</f>
        <v>2.0857243058891584E-4</v>
      </c>
      <c r="AX727" t="s">
        <v>178</v>
      </c>
      <c r="AY727" t="s">
        <v>162</v>
      </c>
      <c r="AZ727" s="197" t="str">
        <f t="shared" si="2070"/>
        <v>DIS_Standard_360</v>
      </c>
      <c r="BA727">
        <v>360</v>
      </c>
      <c r="BB727">
        <f>VLOOKUP($BA727,'[2]Standard DIS'!$Q$1:$X$542,4,FALSE)</f>
        <v>0</v>
      </c>
      <c r="BF727">
        <f>VLOOKUP($BA727,'[2]Standard DIS'!$Q$1:$X$542,2,FALSE)</f>
        <v>0.88888888888888884</v>
      </c>
      <c r="BH727">
        <f>VLOOKUP($BA727,'[2]Standard DIS'!$Q$1:$X$542,3,FALSE)</f>
        <v>0.11111111111111116</v>
      </c>
      <c r="BI727" s="77">
        <f t="shared" si="1977"/>
        <v>1</v>
      </c>
      <c r="BJ727" s="77">
        <f t="shared" si="1978"/>
        <v>6.3149999999999984E-2</v>
      </c>
      <c r="BK727" s="77">
        <f t="shared" si="2071"/>
        <v>5.1160591879111372E-3</v>
      </c>
      <c r="BL727" s="79">
        <v>0</v>
      </c>
      <c r="BM727" s="77">
        <f t="shared" si="1992"/>
        <v>0</v>
      </c>
      <c r="BN727" s="77">
        <f t="shared" si="1993"/>
        <v>0</v>
      </c>
      <c r="BO727" s="77">
        <f t="shared" si="1994"/>
        <v>2.5000000000000001E-3</v>
      </c>
      <c r="BP727" s="77">
        <f t="shared" si="1995"/>
        <v>2.0809499864316017E-4</v>
      </c>
    </row>
    <row r="728" spans="1:68">
      <c r="A728" t="s">
        <v>175</v>
      </c>
      <c r="B728" t="s">
        <v>179</v>
      </c>
      <c r="C728" s="197" t="str">
        <f t="shared" si="2036"/>
        <v>Lifecycle_Dynamic_359</v>
      </c>
      <c r="D728">
        <v>359</v>
      </c>
      <c r="E728">
        <f>VLOOKUP($D728,'[2]LC Dynamic'!$Q$2:$U$542,2,FALSE)</f>
        <v>0</v>
      </c>
      <c r="F728">
        <f>VLOOKUP($D728,'[2]LC Dynamic'!$Q$2:$U$542,3,FALSE)</f>
        <v>0</v>
      </c>
      <c r="G728">
        <f>VLOOKUP($D728,'[2]LC Dynamic'!$Q$2:$U$542,4,FALSE)</f>
        <v>0.308</v>
      </c>
      <c r="H728">
        <f>VLOOKUP($D728,'[2]LC Dynamic'!$Q$2:$U$542,5,FALSE)</f>
        <v>0.69199999999999995</v>
      </c>
      <c r="I728" s="77">
        <f t="shared" si="1968"/>
        <v>1</v>
      </c>
      <c r="J728" s="77">
        <f t="shared" si="1969"/>
        <v>6.9728499999999985E-2</v>
      </c>
      <c r="K728" s="77">
        <f t="shared" si="2043"/>
        <v>5.632878498097682E-3</v>
      </c>
      <c r="L728" s="76">
        <v>0</v>
      </c>
      <c r="M728" s="77">
        <f t="shared" si="1979"/>
        <v>0</v>
      </c>
      <c r="N728" s="77">
        <f t="shared" si="1980"/>
        <v>0</v>
      </c>
      <c r="O728" s="77">
        <f t="shared" si="1981"/>
        <v>5.6775999999999997E-3</v>
      </c>
      <c r="P728" s="77">
        <f t="shared" si="1982"/>
        <v>4.7436902124819991E-4</v>
      </c>
      <c r="R728" t="s">
        <v>177</v>
      </c>
      <c r="S728" t="s">
        <v>179</v>
      </c>
      <c r="T728" s="197" t="str">
        <f t="shared" si="2037"/>
        <v>Autopilot_Dynamic_359</v>
      </c>
      <c r="U728">
        <v>359</v>
      </c>
      <c r="V728">
        <f>VLOOKUP($U728,'[2]AP Dynamic'!$Q$1:$T$542,2,FALSE)</f>
        <v>0.88888888888888884</v>
      </c>
      <c r="W728">
        <f>VLOOKUP($U728,'[2]AP Dynamic'!$Q$1:$T$542,3,FALSE)</f>
        <v>0.11111111111111116</v>
      </c>
      <c r="X728">
        <f>VLOOKUP($U728,'[2]AP Dynamic'!$Q$1:$T$542,4,FALSE)</f>
        <v>0</v>
      </c>
      <c r="Y728" s="77">
        <f t="shared" si="2038"/>
        <v>1</v>
      </c>
      <c r="Z728" s="77">
        <f t="shared" si="2044"/>
        <v>6.3149999999999984E-2</v>
      </c>
      <c r="AA728" s="77">
        <f t="shared" si="2045"/>
        <v>5.1160591879111372E-3</v>
      </c>
      <c r="AB728" s="79">
        <v>1</v>
      </c>
      <c r="AC728" s="77">
        <f t="shared" si="1983"/>
        <v>8.277777777777778E-3</v>
      </c>
      <c r="AD728" s="77">
        <f t="shared" ref="AD728" si="2208">1-(1-AC728)^(1/12)</f>
        <v>6.9244588451522482E-4</v>
      </c>
      <c r="AE728" s="77">
        <f t="shared" si="1985"/>
        <v>2.5000000000000001E-3</v>
      </c>
      <c r="AF728" s="77">
        <f t="shared" ref="AF728" si="2209">1-(1-AE728)^(1/12)</f>
        <v>2.0857243058891584E-4</v>
      </c>
      <c r="AH728" t="s">
        <v>175</v>
      </c>
      <c r="AI728" t="s">
        <v>179</v>
      </c>
      <c r="AJ728" s="197" t="str">
        <f t="shared" si="1972"/>
        <v>Lifecycle_Dynamic_359</v>
      </c>
      <c r="AK728">
        <v>359</v>
      </c>
      <c r="AL728">
        <f>VLOOKUP($U728,[2]Standard_Dynamic!$Q$1:$T$542,2,FALSE)</f>
        <v>0.88888888888888884</v>
      </c>
      <c r="AM728">
        <f>VLOOKUP($U728,[2]Standard_Dynamic!$Q$1:$T$542,3,FALSE)</f>
        <v>0.11111111111111116</v>
      </c>
      <c r="AN728">
        <f>VLOOKUP($U728,[2]Standard_Dynamic!$Q$1:$T$542,4,FALSE)</f>
        <v>0</v>
      </c>
      <c r="AO728" s="77">
        <f t="shared" si="1973"/>
        <v>1</v>
      </c>
      <c r="AP728" s="77">
        <f t="shared" si="1987"/>
        <v>6.3149999999999984E-2</v>
      </c>
      <c r="AQ728" s="77">
        <f t="shared" si="1974"/>
        <v>5.1160591879111372E-3</v>
      </c>
      <c r="AR728" s="79">
        <v>0</v>
      </c>
      <c r="AS728" s="77">
        <f t="shared" si="1988"/>
        <v>0</v>
      </c>
      <c r="AT728" s="77">
        <f t="shared" ref="AT728" si="2210">1-(1-AS728)^(1/12)</f>
        <v>0</v>
      </c>
      <c r="AU728" s="77">
        <f t="shared" si="1990"/>
        <v>2.5000000000000001E-3</v>
      </c>
      <c r="AV728" s="77">
        <f t="shared" ref="AV728" si="2211">1-(1-AU728)^(1/12)</f>
        <v>2.0857243058891584E-4</v>
      </c>
      <c r="AX728" t="s">
        <v>178</v>
      </c>
      <c r="AY728" t="s">
        <v>162</v>
      </c>
      <c r="AZ728" s="197" t="str">
        <f t="shared" si="2070"/>
        <v>DIS_Standard_359</v>
      </c>
      <c r="BA728">
        <v>359</v>
      </c>
      <c r="BB728">
        <f>VLOOKUP($BA728,'[2]Standard DIS'!$Q$1:$X$542,4,FALSE)</f>
        <v>0</v>
      </c>
      <c r="BF728">
        <f>VLOOKUP($BA728,'[2]Standard DIS'!$Q$1:$X$542,2,FALSE)</f>
        <v>0.88888888888888884</v>
      </c>
      <c r="BH728">
        <f>VLOOKUP($BA728,'[2]Standard DIS'!$Q$1:$X$542,3,FALSE)</f>
        <v>0.11111111111111116</v>
      </c>
      <c r="BI728" s="77">
        <f t="shared" si="1977"/>
        <v>1</v>
      </c>
      <c r="BJ728" s="77">
        <f t="shared" si="1978"/>
        <v>6.3149999999999984E-2</v>
      </c>
      <c r="BK728" s="77">
        <f t="shared" si="2071"/>
        <v>5.1160591879111372E-3</v>
      </c>
      <c r="BL728" s="79">
        <v>0</v>
      </c>
      <c r="BM728" s="77">
        <f t="shared" si="1992"/>
        <v>0</v>
      </c>
      <c r="BN728" s="77">
        <f t="shared" si="1993"/>
        <v>0</v>
      </c>
      <c r="BO728" s="77">
        <f t="shared" si="1994"/>
        <v>2.5000000000000001E-3</v>
      </c>
      <c r="BP728" s="77">
        <f t="shared" si="1995"/>
        <v>2.0809499864316017E-4</v>
      </c>
    </row>
    <row r="729" spans="1:68">
      <c r="A729" t="s">
        <v>175</v>
      </c>
      <c r="B729" t="s">
        <v>179</v>
      </c>
      <c r="C729" s="197" t="str">
        <f t="shared" si="2036"/>
        <v>Lifecycle_Dynamic_358</v>
      </c>
      <c r="D729">
        <v>358</v>
      </c>
      <c r="E729">
        <f>VLOOKUP($D729,'[2]LC Dynamic'!$Q$2:$U$542,2,FALSE)</f>
        <v>0</v>
      </c>
      <c r="F729">
        <f>VLOOKUP($D729,'[2]LC Dynamic'!$Q$2:$U$542,3,FALSE)</f>
        <v>0</v>
      </c>
      <c r="G729">
        <f>VLOOKUP($D729,'[2]LC Dynamic'!$Q$2:$U$542,4,FALSE)</f>
        <v>0.308</v>
      </c>
      <c r="H729">
        <f>VLOOKUP($D729,'[2]LC Dynamic'!$Q$2:$U$542,5,FALSE)</f>
        <v>0.69199999999999995</v>
      </c>
      <c r="I729" s="77">
        <f t="shared" si="1968"/>
        <v>1</v>
      </c>
      <c r="J729" s="77">
        <f t="shared" si="1969"/>
        <v>6.9728499999999985E-2</v>
      </c>
      <c r="K729" s="77">
        <f t="shared" si="2043"/>
        <v>5.632878498097682E-3</v>
      </c>
      <c r="L729" s="76">
        <v>0</v>
      </c>
      <c r="M729" s="77">
        <f t="shared" si="1979"/>
        <v>0</v>
      </c>
      <c r="N729" s="77">
        <f t="shared" si="1980"/>
        <v>0</v>
      </c>
      <c r="O729" s="77">
        <f t="shared" si="1981"/>
        <v>5.6775999999999997E-3</v>
      </c>
      <c r="P729" s="77">
        <f t="shared" si="1982"/>
        <v>4.7436902124819991E-4</v>
      </c>
      <c r="R729" t="s">
        <v>177</v>
      </c>
      <c r="S729" t="s">
        <v>179</v>
      </c>
      <c r="T729" s="197" t="str">
        <f t="shared" si="2037"/>
        <v>Autopilot_Dynamic_358</v>
      </c>
      <c r="U729">
        <v>358</v>
      </c>
      <c r="V729">
        <f>VLOOKUP($U729,'[2]AP Dynamic'!$Q$1:$T$542,2,FALSE)</f>
        <v>0.88888888888888884</v>
      </c>
      <c r="W729">
        <f>VLOOKUP($U729,'[2]AP Dynamic'!$Q$1:$T$542,3,FALSE)</f>
        <v>0.11111111111111116</v>
      </c>
      <c r="X729">
        <f>VLOOKUP($U729,'[2]AP Dynamic'!$Q$1:$T$542,4,FALSE)</f>
        <v>0</v>
      </c>
      <c r="Y729" s="77">
        <f t="shared" si="2038"/>
        <v>1</v>
      </c>
      <c r="Z729" s="77">
        <f t="shared" si="2044"/>
        <v>6.3149999999999984E-2</v>
      </c>
      <c r="AA729" s="77">
        <f t="shared" si="2045"/>
        <v>5.1160591879111372E-3</v>
      </c>
      <c r="AB729" s="79">
        <v>1</v>
      </c>
      <c r="AC729" s="77">
        <f t="shared" si="1983"/>
        <v>8.277777777777778E-3</v>
      </c>
      <c r="AD729" s="77">
        <f t="shared" ref="AD729" si="2212">1-(1-AC729)^(1/12)</f>
        <v>6.9244588451522482E-4</v>
      </c>
      <c r="AE729" s="77">
        <f t="shared" si="1985"/>
        <v>2.5000000000000001E-3</v>
      </c>
      <c r="AF729" s="77">
        <f t="shared" ref="AF729" si="2213">1-(1-AE729)^(1/12)</f>
        <v>2.0857243058891584E-4</v>
      </c>
      <c r="AH729" t="s">
        <v>175</v>
      </c>
      <c r="AI729" t="s">
        <v>179</v>
      </c>
      <c r="AJ729" s="197" t="str">
        <f t="shared" si="1972"/>
        <v>Lifecycle_Dynamic_358</v>
      </c>
      <c r="AK729">
        <v>358</v>
      </c>
      <c r="AL729">
        <f>VLOOKUP($U729,[2]Standard_Dynamic!$Q$1:$T$542,2,FALSE)</f>
        <v>0.88888888888888884</v>
      </c>
      <c r="AM729">
        <f>VLOOKUP($U729,[2]Standard_Dynamic!$Q$1:$T$542,3,FALSE)</f>
        <v>0.11111111111111116</v>
      </c>
      <c r="AN729">
        <f>VLOOKUP($U729,[2]Standard_Dynamic!$Q$1:$T$542,4,FALSE)</f>
        <v>0</v>
      </c>
      <c r="AO729" s="77">
        <f t="shared" si="1973"/>
        <v>1</v>
      </c>
      <c r="AP729" s="77">
        <f t="shared" si="1987"/>
        <v>6.3149999999999984E-2</v>
      </c>
      <c r="AQ729" s="77">
        <f t="shared" si="1974"/>
        <v>5.1160591879111372E-3</v>
      </c>
      <c r="AR729" s="79">
        <v>0</v>
      </c>
      <c r="AS729" s="77">
        <f t="shared" si="1988"/>
        <v>0</v>
      </c>
      <c r="AT729" s="77">
        <f t="shared" ref="AT729" si="2214">1-(1-AS729)^(1/12)</f>
        <v>0</v>
      </c>
      <c r="AU729" s="77">
        <f t="shared" si="1990"/>
        <v>2.5000000000000001E-3</v>
      </c>
      <c r="AV729" s="77">
        <f t="shared" ref="AV729" si="2215">1-(1-AU729)^(1/12)</f>
        <v>2.0857243058891584E-4</v>
      </c>
      <c r="AX729" t="s">
        <v>178</v>
      </c>
      <c r="AY729" t="s">
        <v>162</v>
      </c>
      <c r="AZ729" s="197" t="str">
        <f t="shared" si="2070"/>
        <v>DIS_Standard_358</v>
      </c>
      <c r="BA729">
        <v>358</v>
      </c>
      <c r="BB729">
        <f>VLOOKUP($BA729,'[2]Standard DIS'!$Q$1:$X$542,4,FALSE)</f>
        <v>0</v>
      </c>
      <c r="BF729">
        <f>VLOOKUP($BA729,'[2]Standard DIS'!$Q$1:$X$542,2,FALSE)</f>
        <v>0.88888888888888884</v>
      </c>
      <c r="BH729">
        <f>VLOOKUP($BA729,'[2]Standard DIS'!$Q$1:$X$542,3,FALSE)</f>
        <v>0.11111111111111116</v>
      </c>
      <c r="BI729" s="77">
        <f t="shared" si="1977"/>
        <v>1</v>
      </c>
      <c r="BJ729" s="77">
        <f t="shared" si="1978"/>
        <v>6.3149999999999984E-2</v>
      </c>
      <c r="BK729" s="77">
        <f t="shared" si="2071"/>
        <v>5.1160591879111372E-3</v>
      </c>
      <c r="BL729" s="79">
        <v>0</v>
      </c>
      <c r="BM729" s="77">
        <f t="shared" si="1992"/>
        <v>0</v>
      </c>
      <c r="BN729" s="77">
        <f t="shared" si="1993"/>
        <v>0</v>
      </c>
      <c r="BO729" s="77">
        <f t="shared" si="1994"/>
        <v>2.5000000000000001E-3</v>
      </c>
      <c r="BP729" s="77">
        <f t="shared" si="1995"/>
        <v>2.0809499864316017E-4</v>
      </c>
    </row>
    <row r="730" spans="1:68">
      <c r="A730" t="s">
        <v>175</v>
      </c>
      <c r="B730" t="s">
        <v>179</v>
      </c>
      <c r="C730" s="197" t="str">
        <f t="shared" si="2036"/>
        <v>Lifecycle_Dynamic_357</v>
      </c>
      <c r="D730">
        <v>357</v>
      </c>
      <c r="E730">
        <f>VLOOKUP($D730,'[2]LC Dynamic'!$Q$2:$U$542,2,FALSE)</f>
        <v>0</v>
      </c>
      <c r="F730">
        <f>VLOOKUP($D730,'[2]LC Dynamic'!$Q$2:$U$542,3,FALSE)</f>
        <v>0</v>
      </c>
      <c r="G730">
        <f>VLOOKUP($D730,'[2]LC Dynamic'!$Q$2:$U$542,4,FALSE)</f>
        <v>0.308</v>
      </c>
      <c r="H730">
        <f>VLOOKUP($D730,'[2]LC Dynamic'!$Q$2:$U$542,5,FALSE)</f>
        <v>0.69199999999999995</v>
      </c>
      <c r="I730" s="77">
        <f t="shared" si="1968"/>
        <v>1</v>
      </c>
      <c r="J730" s="77">
        <f t="shared" si="1969"/>
        <v>6.9728499999999985E-2</v>
      </c>
      <c r="K730" s="77">
        <f t="shared" si="2043"/>
        <v>5.632878498097682E-3</v>
      </c>
      <c r="L730" s="76">
        <v>0</v>
      </c>
      <c r="M730" s="77">
        <f t="shared" si="1979"/>
        <v>0</v>
      </c>
      <c r="N730" s="77">
        <f t="shared" si="1980"/>
        <v>0</v>
      </c>
      <c r="O730" s="77">
        <f t="shared" si="1981"/>
        <v>5.6775999999999997E-3</v>
      </c>
      <c r="P730" s="77">
        <f t="shared" si="1982"/>
        <v>4.7436902124819991E-4</v>
      </c>
      <c r="R730" t="s">
        <v>177</v>
      </c>
      <c r="S730" t="s">
        <v>179</v>
      </c>
      <c r="T730" s="197" t="str">
        <f t="shared" si="2037"/>
        <v>Autopilot_Dynamic_357</v>
      </c>
      <c r="U730">
        <v>357</v>
      </c>
      <c r="V730">
        <f>VLOOKUP($U730,'[2]AP Dynamic'!$Q$1:$T$542,2,FALSE)</f>
        <v>0.88888888888888884</v>
      </c>
      <c r="W730">
        <f>VLOOKUP($U730,'[2]AP Dynamic'!$Q$1:$T$542,3,FALSE)</f>
        <v>0.11111111111111116</v>
      </c>
      <c r="X730">
        <f>VLOOKUP($U730,'[2]AP Dynamic'!$Q$1:$T$542,4,FALSE)</f>
        <v>0</v>
      </c>
      <c r="Y730" s="77">
        <f t="shared" si="2038"/>
        <v>1</v>
      </c>
      <c r="Z730" s="77">
        <f t="shared" si="2044"/>
        <v>6.3149999999999984E-2</v>
      </c>
      <c r="AA730" s="77">
        <f t="shared" si="2045"/>
        <v>5.1160591879111372E-3</v>
      </c>
      <c r="AB730" s="79">
        <v>1</v>
      </c>
      <c r="AC730" s="77">
        <f t="shared" si="1983"/>
        <v>8.277777777777778E-3</v>
      </c>
      <c r="AD730" s="77">
        <f t="shared" ref="AD730" si="2216">1-(1-AC730)^(1/12)</f>
        <v>6.9244588451522482E-4</v>
      </c>
      <c r="AE730" s="77">
        <f t="shared" si="1985"/>
        <v>2.5000000000000001E-3</v>
      </c>
      <c r="AF730" s="77">
        <f t="shared" ref="AF730" si="2217">1-(1-AE730)^(1/12)</f>
        <v>2.0857243058891584E-4</v>
      </c>
      <c r="AH730" t="s">
        <v>175</v>
      </c>
      <c r="AI730" t="s">
        <v>179</v>
      </c>
      <c r="AJ730" s="197" t="str">
        <f t="shared" si="1972"/>
        <v>Lifecycle_Dynamic_357</v>
      </c>
      <c r="AK730">
        <v>357</v>
      </c>
      <c r="AL730">
        <f>VLOOKUP($U730,[2]Standard_Dynamic!$Q$1:$T$542,2,FALSE)</f>
        <v>0.88888888888888884</v>
      </c>
      <c r="AM730">
        <f>VLOOKUP($U730,[2]Standard_Dynamic!$Q$1:$T$542,3,FALSE)</f>
        <v>0.11111111111111116</v>
      </c>
      <c r="AN730">
        <f>VLOOKUP($U730,[2]Standard_Dynamic!$Q$1:$T$542,4,FALSE)</f>
        <v>0</v>
      </c>
      <c r="AO730" s="77">
        <f t="shared" si="1973"/>
        <v>1</v>
      </c>
      <c r="AP730" s="77">
        <f t="shared" si="1987"/>
        <v>6.3149999999999984E-2</v>
      </c>
      <c r="AQ730" s="77">
        <f t="shared" si="1974"/>
        <v>5.1160591879111372E-3</v>
      </c>
      <c r="AR730" s="79">
        <v>0</v>
      </c>
      <c r="AS730" s="77">
        <f t="shared" si="1988"/>
        <v>0</v>
      </c>
      <c r="AT730" s="77">
        <f t="shared" ref="AT730" si="2218">1-(1-AS730)^(1/12)</f>
        <v>0</v>
      </c>
      <c r="AU730" s="77">
        <f t="shared" si="1990"/>
        <v>2.5000000000000001E-3</v>
      </c>
      <c r="AV730" s="77">
        <f t="shared" ref="AV730" si="2219">1-(1-AU730)^(1/12)</f>
        <v>2.0857243058891584E-4</v>
      </c>
      <c r="AX730" t="s">
        <v>178</v>
      </c>
      <c r="AY730" t="s">
        <v>162</v>
      </c>
      <c r="AZ730" s="197" t="str">
        <f t="shared" si="2070"/>
        <v>DIS_Standard_357</v>
      </c>
      <c r="BA730">
        <v>357</v>
      </c>
      <c r="BB730">
        <f>VLOOKUP($BA730,'[2]Standard DIS'!$Q$1:$X$542,4,FALSE)</f>
        <v>0</v>
      </c>
      <c r="BF730">
        <f>VLOOKUP($BA730,'[2]Standard DIS'!$Q$1:$X$542,2,FALSE)</f>
        <v>0.88888888888888884</v>
      </c>
      <c r="BH730">
        <f>VLOOKUP($BA730,'[2]Standard DIS'!$Q$1:$X$542,3,FALSE)</f>
        <v>0.11111111111111116</v>
      </c>
      <c r="BI730" s="77">
        <f t="shared" si="1977"/>
        <v>1</v>
      </c>
      <c r="BJ730" s="77">
        <f t="shared" si="1978"/>
        <v>6.3149999999999984E-2</v>
      </c>
      <c r="BK730" s="77">
        <f t="shared" si="2071"/>
        <v>5.1160591879111372E-3</v>
      </c>
      <c r="BL730" s="79">
        <v>0</v>
      </c>
      <c r="BM730" s="77">
        <f t="shared" si="1992"/>
        <v>0</v>
      </c>
      <c r="BN730" s="77">
        <f t="shared" si="1993"/>
        <v>0</v>
      </c>
      <c r="BO730" s="77">
        <f t="shared" si="1994"/>
        <v>2.5000000000000001E-3</v>
      </c>
      <c r="BP730" s="77">
        <f t="shared" si="1995"/>
        <v>2.0809499864316017E-4</v>
      </c>
    </row>
    <row r="731" spans="1:68">
      <c r="A731" t="s">
        <v>175</v>
      </c>
      <c r="B731" t="s">
        <v>179</v>
      </c>
      <c r="C731" s="197" t="str">
        <f t="shared" si="2036"/>
        <v>Lifecycle_Dynamic_356</v>
      </c>
      <c r="D731">
        <v>356</v>
      </c>
      <c r="E731">
        <f>VLOOKUP($D731,'[2]LC Dynamic'!$Q$2:$U$542,2,FALSE)</f>
        <v>0</v>
      </c>
      <c r="F731">
        <f>VLOOKUP($D731,'[2]LC Dynamic'!$Q$2:$U$542,3,FALSE)</f>
        <v>0</v>
      </c>
      <c r="G731">
        <f>VLOOKUP($D731,'[2]LC Dynamic'!$Q$2:$U$542,4,FALSE)</f>
        <v>0.308</v>
      </c>
      <c r="H731">
        <f>VLOOKUP($D731,'[2]LC Dynamic'!$Q$2:$U$542,5,FALSE)</f>
        <v>0.69199999999999995</v>
      </c>
      <c r="I731" s="77">
        <f t="shared" si="1968"/>
        <v>1</v>
      </c>
      <c r="J731" s="77">
        <f t="shared" si="1969"/>
        <v>6.9728499999999985E-2</v>
      </c>
      <c r="K731" s="77">
        <f t="shared" si="2043"/>
        <v>5.632878498097682E-3</v>
      </c>
      <c r="L731" s="76">
        <v>0</v>
      </c>
      <c r="M731" s="77">
        <f t="shared" si="1979"/>
        <v>0</v>
      </c>
      <c r="N731" s="77">
        <f t="shared" si="1980"/>
        <v>0</v>
      </c>
      <c r="O731" s="77">
        <f t="shared" si="1981"/>
        <v>5.6775999999999997E-3</v>
      </c>
      <c r="P731" s="77">
        <f t="shared" si="1982"/>
        <v>4.7436902124819991E-4</v>
      </c>
      <c r="R731" t="s">
        <v>177</v>
      </c>
      <c r="S731" t="s">
        <v>179</v>
      </c>
      <c r="T731" s="197" t="str">
        <f t="shared" si="2037"/>
        <v>Autopilot_Dynamic_356</v>
      </c>
      <c r="U731">
        <v>356</v>
      </c>
      <c r="V731">
        <f>VLOOKUP($U731,'[2]AP Dynamic'!$Q$1:$T$542,2,FALSE)</f>
        <v>0.88888888888888884</v>
      </c>
      <c r="W731">
        <f>VLOOKUP($U731,'[2]AP Dynamic'!$Q$1:$T$542,3,FALSE)</f>
        <v>0.11111111111111116</v>
      </c>
      <c r="X731">
        <f>VLOOKUP($U731,'[2]AP Dynamic'!$Q$1:$T$542,4,FALSE)</f>
        <v>0</v>
      </c>
      <c r="Y731" s="77">
        <f t="shared" si="2038"/>
        <v>1</v>
      </c>
      <c r="Z731" s="77">
        <f t="shared" si="2044"/>
        <v>6.3149999999999984E-2</v>
      </c>
      <c r="AA731" s="77">
        <f t="shared" si="2045"/>
        <v>5.1160591879111372E-3</v>
      </c>
      <c r="AB731" s="79">
        <v>1</v>
      </c>
      <c r="AC731" s="77">
        <f t="shared" si="1983"/>
        <v>8.277777777777778E-3</v>
      </c>
      <c r="AD731" s="77">
        <f t="shared" ref="AD731" si="2220">1-(1-AC731)^(1/12)</f>
        <v>6.9244588451522482E-4</v>
      </c>
      <c r="AE731" s="77">
        <f t="shared" si="1985"/>
        <v>2.5000000000000001E-3</v>
      </c>
      <c r="AF731" s="77">
        <f t="shared" ref="AF731" si="2221">1-(1-AE731)^(1/12)</f>
        <v>2.0857243058891584E-4</v>
      </c>
      <c r="AH731" t="s">
        <v>175</v>
      </c>
      <c r="AI731" t="s">
        <v>179</v>
      </c>
      <c r="AJ731" s="197" t="str">
        <f t="shared" si="1972"/>
        <v>Lifecycle_Dynamic_356</v>
      </c>
      <c r="AK731">
        <v>356</v>
      </c>
      <c r="AL731">
        <f>VLOOKUP($U731,[2]Standard_Dynamic!$Q$1:$T$542,2,FALSE)</f>
        <v>0.88888888888888884</v>
      </c>
      <c r="AM731">
        <f>VLOOKUP($U731,[2]Standard_Dynamic!$Q$1:$T$542,3,FALSE)</f>
        <v>0.11111111111111116</v>
      </c>
      <c r="AN731">
        <f>VLOOKUP($U731,[2]Standard_Dynamic!$Q$1:$T$542,4,FALSE)</f>
        <v>0</v>
      </c>
      <c r="AO731" s="77">
        <f t="shared" si="1973"/>
        <v>1</v>
      </c>
      <c r="AP731" s="77">
        <f t="shared" si="1987"/>
        <v>6.3149999999999984E-2</v>
      </c>
      <c r="AQ731" s="77">
        <f t="shared" si="1974"/>
        <v>5.1160591879111372E-3</v>
      </c>
      <c r="AR731" s="79">
        <v>0</v>
      </c>
      <c r="AS731" s="77">
        <f t="shared" si="1988"/>
        <v>0</v>
      </c>
      <c r="AT731" s="77">
        <f t="shared" ref="AT731" si="2222">1-(1-AS731)^(1/12)</f>
        <v>0</v>
      </c>
      <c r="AU731" s="77">
        <f t="shared" si="1990"/>
        <v>2.5000000000000001E-3</v>
      </c>
      <c r="AV731" s="77">
        <f t="shared" ref="AV731" si="2223">1-(1-AU731)^(1/12)</f>
        <v>2.0857243058891584E-4</v>
      </c>
      <c r="AX731" t="s">
        <v>178</v>
      </c>
      <c r="AY731" t="s">
        <v>162</v>
      </c>
      <c r="AZ731" s="197" t="str">
        <f t="shared" si="2070"/>
        <v>DIS_Standard_356</v>
      </c>
      <c r="BA731">
        <v>356</v>
      </c>
      <c r="BB731">
        <f>VLOOKUP($BA731,'[2]Standard DIS'!$Q$1:$X$542,4,FALSE)</f>
        <v>0</v>
      </c>
      <c r="BF731">
        <f>VLOOKUP($BA731,'[2]Standard DIS'!$Q$1:$X$542,2,FALSE)</f>
        <v>0.88888888888888884</v>
      </c>
      <c r="BH731">
        <f>VLOOKUP($BA731,'[2]Standard DIS'!$Q$1:$X$542,3,FALSE)</f>
        <v>0.11111111111111116</v>
      </c>
      <c r="BI731" s="77">
        <f t="shared" si="1977"/>
        <v>1</v>
      </c>
      <c r="BJ731" s="77">
        <f t="shared" si="1978"/>
        <v>6.3149999999999984E-2</v>
      </c>
      <c r="BK731" s="77">
        <f t="shared" si="2071"/>
        <v>5.1160591879111372E-3</v>
      </c>
      <c r="BL731" s="79">
        <v>0</v>
      </c>
      <c r="BM731" s="77">
        <f t="shared" si="1992"/>
        <v>0</v>
      </c>
      <c r="BN731" s="77">
        <f t="shared" si="1993"/>
        <v>0</v>
      </c>
      <c r="BO731" s="77">
        <f t="shared" si="1994"/>
        <v>2.5000000000000001E-3</v>
      </c>
      <c r="BP731" s="77">
        <f t="shared" si="1995"/>
        <v>2.0809499864316017E-4</v>
      </c>
    </row>
    <row r="732" spans="1:68">
      <c r="A732" t="s">
        <v>175</v>
      </c>
      <c r="B732" t="s">
        <v>179</v>
      </c>
      <c r="C732" s="197" t="str">
        <f t="shared" si="2036"/>
        <v>Lifecycle_Dynamic_355</v>
      </c>
      <c r="D732">
        <v>355</v>
      </c>
      <c r="E732">
        <f>VLOOKUP($D732,'[2]LC Dynamic'!$Q$2:$U$542,2,FALSE)</f>
        <v>0</v>
      </c>
      <c r="F732">
        <f>VLOOKUP($D732,'[2]LC Dynamic'!$Q$2:$U$542,3,FALSE)</f>
        <v>0</v>
      </c>
      <c r="G732">
        <f>VLOOKUP($D732,'[2]LC Dynamic'!$Q$2:$U$542,4,FALSE)</f>
        <v>0.308</v>
      </c>
      <c r="H732">
        <f>VLOOKUP($D732,'[2]LC Dynamic'!$Q$2:$U$542,5,FALSE)</f>
        <v>0.69199999999999995</v>
      </c>
      <c r="I732" s="77">
        <f t="shared" si="1968"/>
        <v>1</v>
      </c>
      <c r="J732" s="77">
        <f t="shared" si="1969"/>
        <v>6.9728499999999985E-2</v>
      </c>
      <c r="K732" s="77">
        <f t="shared" si="2043"/>
        <v>5.632878498097682E-3</v>
      </c>
      <c r="L732" s="76">
        <v>0</v>
      </c>
      <c r="M732" s="77">
        <f t="shared" si="1979"/>
        <v>0</v>
      </c>
      <c r="N732" s="77">
        <f t="shared" si="1980"/>
        <v>0</v>
      </c>
      <c r="O732" s="77">
        <f t="shared" si="1981"/>
        <v>5.6775999999999997E-3</v>
      </c>
      <c r="P732" s="77">
        <f t="shared" si="1982"/>
        <v>4.7436902124819991E-4</v>
      </c>
      <c r="R732" t="s">
        <v>177</v>
      </c>
      <c r="S732" t="s">
        <v>179</v>
      </c>
      <c r="T732" s="197" t="str">
        <f t="shared" si="2037"/>
        <v>Autopilot_Dynamic_355</v>
      </c>
      <c r="U732">
        <v>355</v>
      </c>
      <c r="V732">
        <f>VLOOKUP($U732,'[2]AP Dynamic'!$Q$1:$T$542,2,FALSE)</f>
        <v>0.88888888888888884</v>
      </c>
      <c r="W732">
        <f>VLOOKUP($U732,'[2]AP Dynamic'!$Q$1:$T$542,3,FALSE)</f>
        <v>0.11111111111111116</v>
      </c>
      <c r="X732">
        <f>VLOOKUP($U732,'[2]AP Dynamic'!$Q$1:$T$542,4,FALSE)</f>
        <v>0</v>
      </c>
      <c r="Y732" s="77">
        <f t="shared" si="2038"/>
        <v>1</v>
      </c>
      <c r="Z732" s="77">
        <f t="shared" si="2044"/>
        <v>6.3149999999999984E-2</v>
      </c>
      <c r="AA732" s="77">
        <f t="shared" si="2045"/>
        <v>5.1160591879111372E-3</v>
      </c>
      <c r="AB732" s="79">
        <v>1</v>
      </c>
      <c r="AC732" s="77">
        <f t="shared" si="1983"/>
        <v>8.277777777777778E-3</v>
      </c>
      <c r="AD732" s="77">
        <f t="shared" ref="AD732" si="2224">1-(1-AC732)^(1/12)</f>
        <v>6.9244588451522482E-4</v>
      </c>
      <c r="AE732" s="77">
        <f t="shared" si="1985"/>
        <v>2.5000000000000001E-3</v>
      </c>
      <c r="AF732" s="77">
        <f t="shared" ref="AF732" si="2225">1-(1-AE732)^(1/12)</f>
        <v>2.0857243058891584E-4</v>
      </c>
      <c r="AH732" t="s">
        <v>175</v>
      </c>
      <c r="AI732" t="s">
        <v>179</v>
      </c>
      <c r="AJ732" s="197" t="str">
        <f t="shared" si="1972"/>
        <v>Lifecycle_Dynamic_355</v>
      </c>
      <c r="AK732">
        <v>355</v>
      </c>
      <c r="AL732">
        <f>VLOOKUP($U732,[2]Standard_Dynamic!$Q$1:$T$542,2,FALSE)</f>
        <v>0.88888888888888884</v>
      </c>
      <c r="AM732">
        <f>VLOOKUP($U732,[2]Standard_Dynamic!$Q$1:$T$542,3,FALSE)</f>
        <v>0.11111111111111116</v>
      </c>
      <c r="AN732">
        <f>VLOOKUP($U732,[2]Standard_Dynamic!$Q$1:$T$542,4,FALSE)</f>
        <v>0</v>
      </c>
      <c r="AO732" s="77">
        <f t="shared" si="1973"/>
        <v>1</v>
      </c>
      <c r="AP732" s="77">
        <f t="shared" si="1987"/>
        <v>6.3149999999999984E-2</v>
      </c>
      <c r="AQ732" s="77">
        <f t="shared" si="1974"/>
        <v>5.1160591879111372E-3</v>
      </c>
      <c r="AR732" s="79">
        <v>0</v>
      </c>
      <c r="AS732" s="77">
        <f t="shared" si="1988"/>
        <v>0</v>
      </c>
      <c r="AT732" s="77">
        <f t="shared" ref="AT732" si="2226">1-(1-AS732)^(1/12)</f>
        <v>0</v>
      </c>
      <c r="AU732" s="77">
        <f t="shared" si="1990"/>
        <v>2.5000000000000001E-3</v>
      </c>
      <c r="AV732" s="77">
        <f t="shared" ref="AV732" si="2227">1-(1-AU732)^(1/12)</f>
        <v>2.0857243058891584E-4</v>
      </c>
      <c r="AX732" t="s">
        <v>178</v>
      </c>
      <c r="AY732" t="s">
        <v>162</v>
      </c>
      <c r="AZ732" s="197" t="str">
        <f t="shared" si="2070"/>
        <v>DIS_Standard_355</v>
      </c>
      <c r="BA732">
        <v>355</v>
      </c>
      <c r="BB732">
        <f>VLOOKUP($BA732,'[2]Standard DIS'!$Q$1:$X$542,4,FALSE)</f>
        <v>0</v>
      </c>
      <c r="BF732">
        <f>VLOOKUP($BA732,'[2]Standard DIS'!$Q$1:$X$542,2,FALSE)</f>
        <v>0.88888888888888884</v>
      </c>
      <c r="BH732">
        <f>VLOOKUP($BA732,'[2]Standard DIS'!$Q$1:$X$542,3,FALSE)</f>
        <v>0.11111111111111116</v>
      </c>
      <c r="BI732" s="77">
        <f t="shared" si="1977"/>
        <v>1</v>
      </c>
      <c r="BJ732" s="77">
        <f t="shared" si="1978"/>
        <v>6.3149999999999984E-2</v>
      </c>
      <c r="BK732" s="77">
        <f t="shared" si="2071"/>
        <v>5.1160591879111372E-3</v>
      </c>
      <c r="BL732" s="79">
        <v>0</v>
      </c>
      <c r="BM732" s="77">
        <f t="shared" si="1992"/>
        <v>0</v>
      </c>
      <c r="BN732" s="77">
        <f t="shared" si="1993"/>
        <v>0</v>
      </c>
      <c r="BO732" s="77">
        <f t="shared" si="1994"/>
        <v>2.5000000000000001E-3</v>
      </c>
      <c r="BP732" s="77">
        <f t="shared" si="1995"/>
        <v>2.0809499864316017E-4</v>
      </c>
    </row>
    <row r="733" spans="1:68">
      <c r="A733" t="s">
        <v>175</v>
      </c>
      <c r="B733" t="s">
        <v>179</v>
      </c>
      <c r="C733" s="197" t="str">
        <f t="shared" si="2036"/>
        <v>Lifecycle_Dynamic_354</v>
      </c>
      <c r="D733">
        <v>354</v>
      </c>
      <c r="E733">
        <f>VLOOKUP($D733,'[2]LC Dynamic'!$Q$2:$U$542,2,FALSE)</f>
        <v>0</v>
      </c>
      <c r="F733">
        <f>VLOOKUP($D733,'[2]LC Dynamic'!$Q$2:$U$542,3,FALSE)</f>
        <v>0</v>
      </c>
      <c r="G733">
        <f>VLOOKUP($D733,'[2]LC Dynamic'!$Q$2:$U$542,4,FALSE)</f>
        <v>0.308</v>
      </c>
      <c r="H733">
        <f>VLOOKUP($D733,'[2]LC Dynamic'!$Q$2:$U$542,5,FALSE)</f>
        <v>0.69199999999999995</v>
      </c>
      <c r="I733" s="77">
        <f t="shared" si="1968"/>
        <v>1</v>
      </c>
      <c r="J733" s="77">
        <f t="shared" si="1969"/>
        <v>6.9728499999999985E-2</v>
      </c>
      <c r="K733" s="77">
        <f t="shared" si="2043"/>
        <v>5.632878498097682E-3</v>
      </c>
      <c r="L733" s="76">
        <v>0</v>
      </c>
      <c r="M733" s="77">
        <f t="shared" si="1979"/>
        <v>0</v>
      </c>
      <c r="N733" s="77">
        <f t="shared" si="1980"/>
        <v>0</v>
      </c>
      <c r="O733" s="77">
        <f t="shared" si="1981"/>
        <v>5.6775999999999997E-3</v>
      </c>
      <c r="P733" s="77">
        <f t="shared" si="1982"/>
        <v>4.7436902124819991E-4</v>
      </c>
      <c r="R733" t="s">
        <v>177</v>
      </c>
      <c r="S733" t="s">
        <v>179</v>
      </c>
      <c r="T733" s="197" t="str">
        <f t="shared" si="2037"/>
        <v>Autopilot_Dynamic_354</v>
      </c>
      <c r="U733">
        <v>354</v>
      </c>
      <c r="V733">
        <f>VLOOKUP($U733,'[2]AP Dynamic'!$Q$1:$T$542,2,FALSE)</f>
        <v>0.88888888888888884</v>
      </c>
      <c r="W733">
        <f>VLOOKUP($U733,'[2]AP Dynamic'!$Q$1:$T$542,3,FALSE)</f>
        <v>0.11111111111111116</v>
      </c>
      <c r="X733">
        <f>VLOOKUP($U733,'[2]AP Dynamic'!$Q$1:$T$542,4,FALSE)</f>
        <v>0</v>
      </c>
      <c r="Y733" s="77">
        <f t="shared" si="2038"/>
        <v>1</v>
      </c>
      <c r="Z733" s="77">
        <f t="shared" si="2044"/>
        <v>6.3149999999999984E-2</v>
      </c>
      <c r="AA733" s="77">
        <f t="shared" si="2045"/>
        <v>5.1160591879111372E-3</v>
      </c>
      <c r="AB733" s="79">
        <v>1</v>
      </c>
      <c r="AC733" s="77">
        <f t="shared" si="1983"/>
        <v>8.277777777777778E-3</v>
      </c>
      <c r="AD733" s="77">
        <f t="shared" ref="AD733" si="2228">1-(1-AC733)^(1/12)</f>
        <v>6.9244588451522482E-4</v>
      </c>
      <c r="AE733" s="77">
        <f t="shared" si="1985"/>
        <v>2.5000000000000001E-3</v>
      </c>
      <c r="AF733" s="77">
        <f t="shared" ref="AF733" si="2229">1-(1-AE733)^(1/12)</f>
        <v>2.0857243058891584E-4</v>
      </c>
      <c r="AH733" t="s">
        <v>175</v>
      </c>
      <c r="AI733" t="s">
        <v>179</v>
      </c>
      <c r="AJ733" s="197" t="str">
        <f t="shared" si="1972"/>
        <v>Lifecycle_Dynamic_354</v>
      </c>
      <c r="AK733">
        <v>354</v>
      </c>
      <c r="AL733">
        <f>VLOOKUP($U733,[2]Standard_Dynamic!$Q$1:$T$542,2,FALSE)</f>
        <v>0.88888888888888884</v>
      </c>
      <c r="AM733">
        <f>VLOOKUP($U733,[2]Standard_Dynamic!$Q$1:$T$542,3,FALSE)</f>
        <v>0.11111111111111116</v>
      </c>
      <c r="AN733">
        <f>VLOOKUP($U733,[2]Standard_Dynamic!$Q$1:$T$542,4,FALSE)</f>
        <v>0</v>
      </c>
      <c r="AO733" s="77">
        <f t="shared" si="1973"/>
        <v>1</v>
      </c>
      <c r="AP733" s="77">
        <f t="shared" si="1987"/>
        <v>6.3149999999999984E-2</v>
      </c>
      <c r="AQ733" s="77">
        <f t="shared" si="1974"/>
        <v>5.1160591879111372E-3</v>
      </c>
      <c r="AR733" s="79">
        <v>0</v>
      </c>
      <c r="AS733" s="77">
        <f t="shared" si="1988"/>
        <v>0</v>
      </c>
      <c r="AT733" s="77">
        <f t="shared" ref="AT733" si="2230">1-(1-AS733)^(1/12)</f>
        <v>0</v>
      </c>
      <c r="AU733" s="77">
        <f t="shared" si="1990"/>
        <v>2.5000000000000001E-3</v>
      </c>
      <c r="AV733" s="77">
        <f t="shared" ref="AV733" si="2231">1-(1-AU733)^(1/12)</f>
        <v>2.0857243058891584E-4</v>
      </c>
      <c r="AX733" t="s">
        <v>178</v>
      </c>
      <c r="AY733" t="s">
        <v>162</v>
      </c>
      <c r="AZ733" s="197" t="str">
        <f t="shared" si="2070"/>
        <v>DIS_Standard_354</v>
      </c>
      <c r="BA733">
        <v>354</v>
      </c>
      <c r="BB733">
        <f>VLOOKUP($BA733,'[2]Standard DIS'!$Q$1:$X$542,4,FALSE)</f>
        <v>0</v>
      </c>
      <c r="BF733">
        <f>VLOOKUP($BA733,'[2]Standard DIS'!$Q$1:$X$542,2,FALSE)</f>
        <v>0.88888888888888884</v>
      </c>
      <c r="BH733">
        <f>VLOOKUP($BA733,'[2]Standard DIS'!$Q$1:$X$542,3,FALSE)</f>
        <v>0.11111111111111116</v>
      </c>
      <c r="BI733" s="77">
        <f t="shared" si="1977"/>
        <v>1</v>
      </c>
      <c r="BJ733" s="77">
        <f t="shared" si="1978"/>
        <v>6.3149999999999984E-2</v>
      </c>
      <c r="BK733" s="77">
        <f t="shared" si="2071"/>
        <v>5.1160591879111372E-3</v>
      </c>
      <c r="BL733" s="79">
        <v>0</v>
      </c>
      <c r="BM733" s="77">
        <f t="shared" si="1992"/>
        <v>0</v>
      </c>
      <c r="BN733" s="77">
        <f t="shared" si="1993"/>
        <v>0</v>
      </c>
      <c r="BO733" s="77">
        <f t="shared" si="1994"/>
        <v>2.5000000000000001E-3</v>
      </c>
      <c r="BP733" s="77">
        <f t="shared" si="1995"/>
        <v>2.0809499864316017E-4</v>
      </c>
    </row>
    <row r="734" spans="1:68">
      <c r="A734" t="s">
        <v>175</v>
      </c>
      <c r="B734" t="s">
        <v>179</v>
      </c>
      <c r="C734" s="197" t="str">
        <f t="shared" si="2036"/>
        <v>Lifecycle_Dynamic_353</v>
      </c>
      <c r="D734">
        <v>353</v>
      </c>
      <c r="E734">
        <f>VLOOKUP($D734,'[2]LC Dynamic'!$Q$2:$U$542,2,FALSE)</f>
        <v>0</v>
      </c>
      <c r="F734">
        <f>VLOOKUP($D734,'[2]LC Dynamic'!$Q$2:$U$542,3,FALSE)</f>
        <v>0</v>
      </c>
      <c r="G734">
        <f>VLOOKUP($D734,'[2]LC Dynamic'!$Q$2:$U$542,4,FALSE)</f>
        <v>0.308</v>
      </c>
      <c r="H734">
        <f>VLOOKUP($D734,'[2]LC Dynamic'!$Q$2:$U$542,5,FALSE)</f>
        <v>0.69199999999999995</v>
      </c>
      <c r="I734" s="77">
        <f t="shared" si="1968"/>
        <v>1</v>
      </c>
      <c r="J734" s="77">
        <f t="shared" si="1969"/>
        <v>6.9728499999999985E-2</v>
      </c>
      <c r="K734" s="77">
        <f t="shared" si="2043"/>
        <v>5.632878498097682E-3</v>
      </c>
      <c r="L734" s="76">
        <v>0</v>
      </c>
      <c r="M734" s="77">
        <f t="shared" si="1979"/>
        <v>0</v>
      </c>
      <c r="N734" s="77">
        <f t="shared" si="1980"/>
        <v>0</v>
      </c>
      <c r="O734" s="77">
        <f t="shared" si="1981"/>
        <v>5.6775999999999997E-3</v>
      </c>
      <c r="P734" s="77">
        <f t="shared" si="1982"/>
        <v>4.7436902124819991E-4</v>
      </c>
      <c r="R734" t="s">
        <v>177</v>
      </c>
      <c r="S734" t="s">
        <v>179</v>
      </c>
      <c r="T734" s="197" t="str">
        <f t="shared" si="2037"/>
        <v>Autopilot_Dynamic_353</v>
      </c>
      <c r="U734">
        <v>353</v>
      </c>
      <c r="V734">
        <f>VLOOKUP($U734,'[2]AP Dynamic'!$Q$1:$T$542,2,FALSE)</f>
        <v>0.88888888888888884</v>
      </c>
      <c r="W734">
        <f>VLOOKUP($U734,'[2]AP Dynamic'!$Q$1:$T$542,3,FALSE)</f>
        <v>0.11111111111111116</v>
      </c>
      <c r="X734">
        <f>VLOOKUP($U734,'[2]AP Dynamic'!$Q$1:$T$542,4,FALSE)</f>
        <v>0</v>
      </c>
      <c r="Y734" s="77">
        <f t="shared" si="2038"/>
        <v>1</v>
      </c>
      <c r="Z734" s="77">
        <f t="shared" si="2044"/>
        <v>6.3149999999999984E-2</v>
      </c>
      <c r="AA734" s="77">
        <f t="shared" si="2045"/>
        <v>5.1160591879111372E-3</v>
      </c>
      <c r="AB734" s="79">
        <v>1</v>
      </c>
      <c r="AC734" s="77">
        <f t="shared" si="1983"/>
        <v>8.277777777777778E-3</v>
      </c>
      <c r="AD734" s="77">
        <f t="shared" ref="AD734" si="2232">1-(1-AC734)^(1/12)</f>
        <v>6.9244588451522482E-4</v>
      </c>
      <c r="AE734" s="77">
        <f t="shared" si="1985"/>
        <v>2.5000000000000001E-3</v>
      </c>
      <c r="AF734" s="77">
        <f t="shared" ref="AF734" si="2233">1-(1-AE734)^(1/12)</f>
        <v>2.0857243058891584E-4</v>
      </c>
      <c r="AH734" t="s">
        <v>175</v>
      </c>
      <c r="AI734" t="s">
        <v>179</v>
      </c>
      <c r="AJ734" s="197" t="str">
        <f t="shared" si="1972"/>
        <v>Lifecycle_Dynamic_353</v>
      </c>
      <c r="AK734">
        <v>353</v>
      </c>
      <c r="AL734">
        <f>VLOOKUP($U734,[2]Standard_Dynamic!$Q$1:$T$542,2,FALSE)</f>
        <v>0.88888888888888884</v>
      </c>
      <c r="AM734">
        <f>VLOOKUP($U734,[2]Standard_Dynamic!$Q$1:$T$542,3,FALSE)</f>
        <v>0.11111111111111116</v>
      </c>
      <c r="AN734">
        <f>VLOOKUP($U734,[2]Standard_Dynamic!$Q$1:$T$542,4,FALSE)</f>
        <v>0</v>
      </c>
      <c r="AO734" s="77">
        <f t="shared" si="1973"/>
        <v>1</v>
      </c>
      <c r="AP734" s="77">
        <f t="shared" si="1987"/>
        <v>6.3149999999999984E-2</v>
      </c>
      <c r="AQ734" s="77">
        <f t="shared" si="1974"/>
        <v>5.1160591879111372E-3</v>
      </c>
      <c r="AR734" s="79">
        <v>0</v>
      </c>
      <c r="AS734" s="77">
        <f t="shared" si="1988"/>
        <v>0</v>
      </c>
      <c r="AT734" s="77">
        <f t="shared" ref="AT734" si="2234">1-(1-AS734)^(1/12)</f>
        <v>0</v>
      </c>
      <c r="AU734" s="77">
        <f t="shared" si="1990"/>
        <v>2.5000000000000001E-3</v>
      </c>
      <c r="AV734" s="77">
        <f t="shared" ref="AV734" si="2235">1-(1-AU734)^(1/12)</f>
        <v>2.0857243058891584E-4</v>
      </c>
      <c r="AX734" t="s">
        <v>178</v>
      </c>
      <c r="AY734" t="s">
        <v>162</v>
      </c>
      <c r="AZ734" s="197" t="str">
        <f t="shared" si="2070"/>
        <v>DIS_Standard_353</v>
      </c>
      <c r="BA734">
        <v>353</v>
      </c>
      <c r="BB734">
        <f>VLOOKUP($BA734,'[2]Standard DIS'!$Q$1:$X$542,4,FALSE)</f>
        <v>0</v>
      </c>
      <c r="BF734">
        <f>VLOOKUP($BA734,'[2]Standard DIS'!$Q$1:$X$542,2,FALSE)</f>
        <v>0.88888888888888884</v>
      </c>
      <c r="BH734">
        <f>VLOOKUP($BA734,'[2]Standard DIS'!$Q$1:$X$542,3,FALSE)</f>
        <v>0.11111111111111116</v>
      </c>
      <c r="BI734" s="77">
        <f t="shared" si="1977"/>
        <v>1</v>
      </c>
      <c r="BJ734" s="77">
        <f t="shared" si="1978"/>
        <v>6.3149999999999984E-2</v>
      </c>
      <c r="BK734" s="77">
        <f t="shared" si="2071"/>
        <v>5.1160591879111372E-3</v>
      </c>
      <c r="BL734" s="79">
        <v>0</v>
      </c>
      <c r="BM734" s="77">
        <f t="shared" si="1992"/>
        <v>0</v>
      </c>
      <c r="BN734" s="77">
        <f t="shared" si="1993"/>
        <v>0</v>
      </c>
      <c r="BO734" s="77">
        <f t="shared" si="1994"/>
        <v>2.5000000000000001E-3</v>
      </c>
      <c r="BP734" s="77">
        <f t="shared" si="1995"/>
        <v>2.0809499864316017E-4</v>
      </c>
    </row>
    <row r="735" spans="1:68">
      <c r="A735" t="s">
        <v>175</v>
      </c>
      <c r="B735" t="s">
        <v>179</v>
      </c>
      <c r="C735" s="197" t="str">
        <f t="shared" si="2036"/>
        <v>Lifecycle_Dynamic_352</v>
      </c>
      <c r="D735">
        <v>352</v>
      </c>
      <c r="E735">
        <f>VLOOKUP($D735,'[2]LC Dynamic'!$Q$2:$U$542,2,FALSE)</f>
        <v>0</v>
      </c>
      <c r="F735">
        <f>VLOOKUP($D735,'[2]LC Dynamic'!$Q$2:$U$542,3,FALSE)</f>
        <v>0</v>
      </c>
      <c r="G735">
        <f>VLOOKUP($D735,'[2]LC Dynamic'!$Q$2:$U$542,4,FALSE)</f>
        <v>0.308</v>
      </c>
      <c r="H735">
        <f>VLOOKUP($D735,'[2]LC Dynamic'!$Q$2:$U$542,5,FALSE)</f>
        <v>0.69199999999999995</v>
      </c>
      <c r="I735" s="77">
        <f t="shared" si="1968"/>
        <v>1</v>
      </c>
      <c r="J735" s="77">
        <f t="shared" si="1969"/>
        <v>6.9728499999999985E-2</v>
      </c>
      <c r="K735" s="77">
        <f t="shared" si="2043"/>
        <v>5.632878498097682E-3</v>
      </c>
      <c r="L735" s="76">
        <v>0</v>
      </c>
      <c r="M735" s="77">
        <f t="shared" si="1979"/>
        <v>0</v>
      </c>
      <c r="N735" s="77">
        <f t="shared" si="1980"/>
        <v>0</v>
      </c>
      <c r="O735" s="77">
        <f t="shared" si="1981"/>
        <v>5.6775999999999997E-3</v>
      </c>
      <c r="P735" s="77">
        <f t="shared" si="1982"/>
        <v>4.7436902124819991E-4</v>
      </c>
      <c r="R735" t="s">
        <v>177</v>
      </c>
      <c r="S735" t="s">
        <v>179</v>
      </c>
      <c r="T735" s="197" t="str">
        <f t="shared" si="2037"/>
        <v>Autopilot_Dynamic_352</v>
      </c>
      <c r="U735">
        <v>352</v>
      </c>
      <c r="V735">
        <f>VLOOKUP($U735,'[2]AP Dynamic'!$Q$1:$T$542,2,FALSE)</f>
        <v>0.88888888888888884</v>
      </c>
      <c r="W735">
        <f>VLOOKUP($U735,'[2]AP Dynamic'!$Q$1:$T$542,3,FALSE)</f>
        <v>0.11111111111111116</v>
      </c>
      <c r="X735">
        <f>VLOOKUP($U735,'[2]AP Dynamic'!$Q$1:$T$542,4,FALSE)</f>
        <v>0</v>
      </c>
      <c r="Y735" s="77">
        <f t="shared" si="2038"/>
        <v>1</v>
      </c>
      <c r="Z735" s="77">
        <f t="shared" si="2044"/>
        <v>6.3149999999999984E-2</v>
      </c>
      <c r="AA735" s="77">
        <f t="shared" si="2045"/>
        <v>5.1160591879111372E-3</v>
      </c>
      <c r="AB735" s="79">
        <v>1</v>
      </c>
      <c r="AC735" s="77">
        <f t="shared" si="1983"/>
        <v>8.277777777777778E-3</v>
      </c>
      <c r="AD735" s="77">
        <f t="shared" ref="AD735" si="2236">1-(1-AC735)^(1/12)</f>
        <v>6.9244588451522482E-4</v>
      </c>
      <c r="AE735" s="77">
        <f t="shared" si="1985"/>
        <v>2.5000000000000001E-3</v>
      </c>
      <c r="AF735" s="77">
        <f t="shared" ref="AF735" si="2237">1-(1-AE735)^(1/12)</f>
        <v>2.0857243058891584E-4</v>
      </c>
      <c r="AH735" t="s">
        <v>175</v>
      </c>
      <c r="AI735" t="s">
        <v>179</v>
      </c>
      <c r="AJ735" s="197" t="str">
        <f t="shared" si="1972"/>
        <v>Lifecycle_Dynamic_352</v>
      </c>
      <c r="AK735">
        <v>352</v>
      </c>
      <c r="AL735">
        <f>VLOOKUP($U735,[2]Standard_Dynamic!$Q$1:$T$542,2,FALSE)</f>
        <v>0.88888888888888884</v>
      </c>
      <c r="AM735">
        <f>VLOOKUP($U735,[2]Standard_Dynamic!$Q$1:$T$542,3,FALSE)</f>
        <v>0.11111111111111116</v>
      </c>
      <c r="AN735">
        <f>VLOOKUP($U735,[2]Standard_Dynamic!$Q$1:$T$542,4,FALSE)</f>
        <v>0</v>
      </c>
      <c r="AO735" s="77">
        <f t="shared" si="1973"/>
        <v>1</v>
      </c>
      <c r="AP735" s="77">
        <f t="shared" si="1987"/>
        <v>6.3149999999999984E-2</v>
      </c>
      <c r="AQ735" s="77">
        <f t="shared" si="1974"/>
        <v>5.1160591879111372E-3</v>
      </c>
      <c r="AR735" s="79">
        <v>0</v>
      </c>
      <c r="AS735" s="77">
        <f t="shared" si="1988"/>
        <v>0</v>
      </c>
      <c r="AT735" s="77">
        <f t="shared" ref="AT735" si="2238">1-(1-AS735)^(1/12)</f>
        <v>0</v>
      </c>
      <c r="AU735" s="77">
        <f t="shared" si="1990"/>
        <v>2.5000000000000001E-3</v>
      </c>
      <c r="AV735" s="77">
        <f t="shared" ref="AV735" si="2239">1-(1-AU735)^(1/12)</f>
        <v>2.0857243058891584E-4</v>
      </c>
      <c r="AX735" t="s">
        <v>178</v>
      </c>
      <c r="AY735" t="s">
        <v>162</v>
      </c>
      <c r="AZ735" s="197" t="str">
        <f t="shared" si="2070"/>
        <v>DIS_Standard_352</v>
      </c>
      <c r="BA735">
        <v>352</v>
      </c>
      <c r="BB735">
        <f>VLOOKUP($BA735,'[2]Standard DIS'!$Q$1:$X$542,4,FALSE)</f>
        <v>0</v>
      </c>
      <c r="BF735">
        <f>VLOOKUP($BA735,'[2]Standard DIS'!$Q$1:$X$542,2,FALSE)</f>
        <v>0.88888888888888884</v>
      </c>
      <c r="BH735">
        <f>VLOOKUP($BA735,'[2]Standard DIS'!$Q$1:$X$542,3,FALSE)</f>
        <v>0.11111111111111116</v>
      </c>
      <c r="BI735" s="77">
        <f t="shared" si="1977"/>
        <v>1</v>
      </c>
      <c r="BJ735" s="77">
        <f t="shared" si="1978"/>
        <v>6.3149999999999984E-2</v>
      </c>
      <c r="BK735" s="77">
        <f t="shared" si="2071"/>
        <v>5.1160591879111372E-3</v>
      </c>
      <c r="BL735" s="79">
        <v>0</v>
      </c>
      <c r="BM735" s="77">
        <f t="shared" si="1992"/>
        <v>0</v>
      </c>
      <c r="BN735" s="77">
        <f t="shared" si="1993"/>
        <v>0</v>
      </c>
      <c r="BO735" s="77">
        <f t="shared" si="1994"/>
        <v>2.5000000000000001E-3</v>
      </c>
      <c r="BP735" s="77">
        <f t="shared" si="1995"/>
        <v>2.0809499864316017E-4</v>
      </c>
    </row>
    <row r="736" spans="1:68">
      <c r="A736" t="s">
        <v>175</v>
      </c>
      <c r="B736" t="s">
        <v>179</v>
      </c>
      <c r="C736" s="197" t="str">
        <f t="shared" si="2036"/>
        <v>Lifecycle_Dynamic_351</v>
      </c>
      <c r="D736">
        <v>351</v>
      </c>
      <c r="E736">
        <f>VLOOKUP($D736,'[2]LC Dynamic'!$Q$2:$U$542,2,FALSE)</f>
        <v>0</v>
      </c>
      <c r="F736">
        <f>VLOOKUP($D736,'[2]LC Dynamic'!$Q$2:$U$542,3,FALSE)</f>
        <v>0</v>
      </c>
      <c r="G736">
        <f>VLOOKUP($D736,'[2]LC Dynamic'!$Q$2:$U$542,4,FALSE)</f>
        <v>0.308</v>
      </c>
      <c r="H736">
        <f>VLOOKUP($D736,'[2]LC Dynamic'!$Q$2:$U$542,5,FALSE)</f>
        <v>0.69199999999999995</v>
      </c>
      <c r="I736" s="77">
        <f t="shared" si="1968"/>
        <v>1</v>
      </c>
      <c r="J736" s="77">
        <f t="shared" si="1969"/>
        <v>6.9728499999999985E-2</v>
      </c>
      <c r="K736" s="77">
        <f t="shared" si="2043"/>
        <v>5.632878498097682E-3</v>
      </c>
      <c r="L736" s="76">
        <v>0</v>
      </c>
      <c r="M736" s="77">
        <f t="shared" si="1979"/>
        <v>0</v>
      </c>
      <c r="N736" s="77">
        <f t="shared" si="1980"/>
        <v>0</v>
      </c>
      <c r="O736" s="77">
        <f t="shared" si="1981"/>
        <v>5.6775999999999997E-3</v>
      </c>
      <c r="P736" s="77">
        <f t="shared" si="1982"/>
        <v>4.7436902124819991E-4</v>
      </c>
      <c r="R736" t="s">
        <v>177</v>
      </c>
      <c r="S736" t="s">
        <v>179</v>
      </c>
      <c r="T736" s="197" t="str">
        <f t="shared" si="2037"/>
        <v>Autopilot_Dynamic_351</v>
      </c>
      <c r="U736">
        <v>351</v>
      </c>
      <c r="V736">
        <f>VLOOKUP($U736,'[2]AP Dynamic'!$Q$1:$T$542,2,FALSE)</f>
        <v>0.88888888888888884</v>
      </c>
      <c r="W736">
        <f>VLOOKUP($U736,'[2]AP Dynamic'!$Q$1:$T$542,3,FALSE)</f>
        <v>0.11111111111111116</v>
      </c>
      <c r="X736">
        <f>VLOOKUP($U736,'[2]AP Dynamic'!$Q$1:$T$542,4,FALSE)</f>
        <v>0</v>
      </c>
      <c r="Y736" s="77">
        <f t="shared" si="2038"/>
        <v>1</v>
      </c>
      <c r="Z736" s="77">
        <f t="shared" si="2044"/>
        <v>6.3149999999999984E-2</v>
      </c>
      <c r="AA736" s="77">
        <f t="shared" si="2045"/>
        <v>5.1160591879111372E-3</v>
      </c>
      <c r="AB736" s="79">
        <v>1</v>
      </c>
      <c r="AC736" s="77">
        <f t="shared" si="1983"/>
        <v>8.277777777777778E-3</v>
      </c>
      <c r="AD736" s="77">
        <f t="shared" ref="AD736" si="2240">1-(1-AC736)^(1/12)</f>
        <v>6.9244588451522482E-4</v>
      </c>
      <c r="AE736" s="77">
        <f t="shared" si="1985"/>
        <v>2.5000000000000001E-3</v>
      </c>
      <c r="AF736" s="77">
        <f t="shared" ref="AF736" si="2241">1-(1-AE736)^(1/12)</f>
        <v>2.0857243058891584E-4</v>
      </c>
      <c r="AH736" t="s">
        <v>175</v>
      </c>
      <c r="AI736" t="s">
        <v>179</v>
      </c>
      <c r="AJ736" s="197" t="str">
        <f t="shared" si="1972"/>
        <v>Lifecycle_Dynamic_351</v>
      </c>
      <c r="AK736">
        <v>351</v>
      </c>
      <c r="AL736">
        <f>VLOOKUP($U736,[2]Standard_Dynamic!$Q$1:$T$542,2,FALSE)</f>
        <v>0.88888888888888884</v>
      </c>
      <c r="AM736">
        <f>VLOOKUP($U736,[2]Standard_Dynamic!$Q$1:$T$542,3,FALSE)</f>
        <v>0.11111111111111116</v>
      </c>
      <c r="AN736">
        <f>VLOOKUP($U736,[2]Standard_Dynamic!$Q$1:$T$542,4,FALSE)</f>
        <v>0</v>
      </c>
      <c r="AO736" s="77">
        <f t="shared" si="1973"/>
        <v>1</v>
      </c>
      <c r="AP736" s="77">
        <f t="shared" si="1987"/>
        <v>6.3149999999999984E-2</v>
      </c>
      <c r="AQ736" s="77">
        <f t="shared" si="1974"/>
        <v>5.1160591879111372E-3</v>
      </c>
      <c r="AR736" s="79">
        <v>0</v>
      </c>
      <c r="AS736" s="77">
        <f t="shared" si="1988"/>
        <v>0</v>
      </c>
      <c r="AT736" s="77">
        <f t="shared" ref="AT736" si="2242">1-(1-AS736)^(1/12)</f>
        <v>0</v>
      </c>
      <c r="AU736" s="77">
        <f t="shared" si="1990"/>
        <v>2.5000000000000001E-3</v>
      </c>
      <c r="AV736" s="77">
        <f t="shared" ref="AV736" si="2243">1-(1-AU736)^(1/12)</f>
        <v>2.0857243058891584E-4</v>
      </c>
      <c r="AX736" t="s">
        <v>178</v>
      </c>
      <c r="AY736" t="s">
        <v>162</v>
      </c>
      <c r="AZ736" s="197" t="str">
        <f t="shared" si="2070"/>
        <v>DIS_Standard_351</v>
      </c>
      <c r="BA736">
        <v>351</v>
      </c>
      <c r="BB736">
        <f>VLOOKUP($BA736,'[2]Standard DIS'!$Q$1:$X$542,4,FALSE)</f>
        <v>0</v>
      </c>
      <c r="BF736">
        <f>VLOOKUP($BA736,'[2]Standard DIS'!$Q$1:$X$542,2,FALSE)</f>
        <v>0.88888888888888884</v>
      </c>
      <c r="BH736">
        <f>VLOOKUP($BA736,'[2]Standard DIS'!$Q$1:$X$542,3,FALSE)</f>
        <v>0.11111111111111116</v>
      </c>
      <c r="BI736" s="77">
        <f t="shared" si="1977"/>
        <v>1</v>
      </c>
      <c r="BJ736" s="77">
        <f t="shared" si="1978"/>
        <v>6.3149999999999984E-2</v>
      </c>
      <c r="BK736" s="77">
        <f t="shared" si="2071"/>
        <v>5.1160591879111372E-3</v>
      </c>
      <c r="BL736" s="79">
        <v>0</v>
      </c>
      <c r="BM736" s="77">
        <f t="shared" si="1992"/>
        <v>0</v>
      </c>
      <c r="BN736" s="77">
        <f t="shared" si="1993"/>
        <v>0</v>
      </c>
      <c r="BO736" s="77">
        <f t="shared" si="1994"/>
        <v>2.5000000000000001E-3</v>
      </c>
      <c r="BP736" s="77">
        <f t="shared" si="1995"/>
        <v>2.0809499864316017E-4</v>
      </c>
    </row>
    <row r="737" spans="1:68">
      <c r="A737" t="s">
        <v>175</v>
      </c>
      <c r="B737" t="s">
        <v>179</v>
      </c>
      <c r="C737" s="197" t="str">
        <f t="shared" si="2036"/>
        <v>Lifecycle_Dynamic_350</v>
      </c>
      <c r="D737">
        <v>350</v>
      </c>
      <c r="E737">
        <f>VLOOKUP($D737,'[2]LC Dynamic'!$Q$2:$U$542,2,FALSE)</f>
        <v>0</v>
      </c>
      <c r="F737">
        <f>VLOOKUP($D737,'[2]LC Dynamic'!$Q$2:$U$542,3,FALSE)</f>
        <v>0</v>
      </c>
      <c r="G737">
        <f>VLOOKUP($D737,'[2]LC Dynamic'!$Q$2:$U$542,4,FALSE)</f>
        <v>0.308</v>
      </c>
      <c r="H737">
        <f>VLOOKUP($D737,'[2]LC Dynamic'!$Q$2:$U$542,5,FALSE)</f>
        <v>0.69199999999999995</v>
      </c>
      <c r="I737" s="77">
        <f t="shared" si="1968"/>
        <v>1</v>
      </c>
      <c r="J737" s="77">
        <f t="shared" si="1969"/>
        <v>6.9728499999999985E-2</v>
      </c>
      <c r="K737" s="77">
        <f t="shared" si="2043"/>
        <v>5.632878498097682E-3</v>
      </c>
      <c r="L737" s="76">
        <v>0</v>
      </c>
      <c r="M737" s="77">
        <f t="shared" si="1979"/>
        <v>0</v>
      </c>
      <c r="N737" s="77">
        <f t="shared" si="1980"/>
        <v>0</v>
      </c>
      <c r="O737" s="77">
        <f t="shared" si="1981"/>
        <v>5.6775999999999997E-3</v>
      </c>
      <c r="P737" s="77">
        <f t="shared" si="1982"/>
        <v>4.7436902124819991E-4</v>
      </c>
      <c r="R737" t="s">
        <v>177</v>
      </c>
      <c r="S737" t="s">
        <v>179</v>
      </c>
      <c r="T737" s="197" t="str">
        <f t="shared" si="2037"/>
        <v>Autopilot_Dynamic_350</v>
      </c>
      <c r="U737">
        <v>350</v>
      </c>
      <c r="V737">
        <f>VLOOKUP($U737,'[2]AP Dynamic'!$Q$1:$T$542,2,FALSE)</f>
        <v>0.88888888888888884</v>
      </c>
      <c r="W737">
        <f>VLOOKUP($U737,'[2]AP Dynamic'!$Q$1:$T$542,3,FALSE)</f>
        <v>0.11111111111111116</v>
      </c>
      <c r="X737">
        <f>VLOOKUP($U737,'[2]AP Dynamic'!$Q$1:$T$542,4,FALSE)</f>
        <v>0</v>
      </c>
      <c r="Y737" s="77">
        <f t="shared" si="2038"/>
        <v>1</v>
      </c>
      <c r="Z737" s="77">
        <f t="shared" si="2044"/>
        <v>6.3149999999999984E-2</v>
      </c>
      <c r="AA737" s="77">
        <f t="shared" si="2045"/>
        <v>5.1160591879111372E-3</v>
      </c>
      <c r="AB737" s="79">
        <v>1</v>
      </c>
      <c r="AC737" s="77">
        <f t="shared" si="1983"/>
        <v>8.277777777777778E-3</v>
      </c>
      <c r="AD737" s="77">
        <f t="shared" ref="AD737" si="2244">1-(1-AC737)^(1/12)</f>
        <v>6.9244588451522482E-4</v>
      </c>
      <c r="AE737" s="77">
        <f t="shared" si="1985"/>
        <v>2.5000000000000001E-3</v>
      </c>
      <c r="AF737" s="77">
        <f t="shared" ref="AF737" si="2245">1-(1-AE737)^(1/12)</f>
        <v>2.0857243058891584E-4</v>
      </c>
      <c r="AH737" t="s">
        <v>175</v>
      </c>
      <c r="AI737" t="s">
        <v>179</v>
      </c>
      <c r="AJ737" s="197" t="str">
        <f t="shared" si="1972"/>
        <v>Lifecycle_Dynamic_350</v>
      </c>
      <c r="AK737">
        <v>350</v>
      </c>
      <c r="AL737">
        <f>VLOOKUP($U737,[2]Standard_Dynamic!$Q$1:$T$542,2,FALSE)</f>
        <v>0.88888888888888884</v>
      </c>
      <c r="AM737">
        <f>VLOOKUP($U737,[2]Standard_Dynamic!$Q$1:$T$542,3,FALSE)</f>
        <v>0.11111111111111116</v>
      </c>
      <c r="AN737">
        <f>VLOOKUP($U737,[2]Standard_Dynamic!$Q$1:$T$542,4,FALSE)</f>
        <v>0</v>
      </c>
      <c r="AO737" s="77">
        <f t="shared" si="1973"/>
        <v>1</v>
      </c>
      <c r="AP737" s="77">
        <f t="shared" si="1987"/>
        <v>6.3149999999999984E-2</v>
      </c>
      <c r="AQ737" s="77">
        <f t="shared" si="1974"/>
        <v>5.1160591879111372E-3</v>
      </c>
      <c r="AR737" s="79">
        <v>0</v>
      </c>
      <c r="AS737" s="77">
        <f t="shared" si="1988"/>
        <v>0</v>
      </c>
      <c r="AT737" s="77">
        <f t="shared" ref="AT737" si="2246">1-(1-AS737)^(1/12)</f>
        <v>0</v>
      </c>
      <c r="AU737" s="77">
        <f t="shared" si="1990"/>
        <v>2.5000000000000001E-3</v>
      </c>
      <c r="AV737" s="77">
        <f t="shared" ref="AV737" si="2247">1-(1-AU737)^(1/12)</f>
        <v>2.0857243058891584E-4</v>
      </c>
      <c r="AX737" t="s">
        <v>178</v>
      </c>
      <c r="AY737" t="s">
        <v>162</v>
      </c>
      <c r="AZ737" s="197" t="str">
        <f t="shared" si="2070"/>
        <v>DIS_Standard_350</v>
      </c>
      <c r="BA737">
        <v>350</v>
      </c>
      <c r="BB737">
        <f>VLOOKUP($BA737,'[2]Standard DIS'!$Q$1:$X$542,4,FALSE)</f>
        <v>0</v>
      </c>
      <c r="BF737">
        <f>VLOOKUP($BA737,'[2]Standard DIS'!$Q$1:$X$542,2,FALSE)</f>
        <v>0.88888888888888884</v>
      </c>
      <c r="BH737">
        <f>VLOOKUP($BA737,'[2]Standard DIS'!$Q$1:$X$542,3,FALSE)</f>
        <v>0.11111111111111116</v>
      </c>
      <c r="BI737" s="77">
        <f t="shared" si="1977"/>
        <v>1</v>
      </c>
      <c r="BJ737" s="77">
        <f t="shared" si="1978"/>
        <v>6.3149999999999984E-2</v>
      </c>
      <c r="BK737" s="77">
        <f t="shared" si="2071"/>
        <v>5.1160591879111372E-3</v>
      </c>
      <c r="BL737" s="79">
        <v>0</v>
      </c>
      <c r="BM737" s="77">
        <f t="shared" si="1992"/>
        <v>0</v>
      </c>
      <c r="BN737" s="77">
        <f t="shared" si="1993"/>
        <v>0</v>
      </c>
      <c r="BO737" s="77">
        <f t="shared" si="1994"/>
        <v>2.5000000000000001E-3</v>
      </c>
      <c r="BP737" s="77">
        <f t="shared" si="1995"/>
        <v>2.0809499864316017E-4</v>
      </c>
    </row>
    <row r="738" spans="1:68">
      <c r="A738" t="s">
        <v>175</v>
      </c>
      <c r="B738" t="s">
        <v>179</v>
      </c>
      <c r="C738" s="197" t="str">
        <f t="shared" si="2036"/>
        <v>Lifecycle_Dynamic_349</v>
      </c>
      <c r="D738">
        <v>349</v>
      </c>
      <c r="E738">
        <f>VLOOKUP($D738,'[2]LC Dynamic'!$Q$2:$U$542,2,FALSE)</f>
        <v>0</v>
      </c>
      <c r="F738">
        <f>VLOOKUP($D738,'[2]LC Dynamic'!$Q$2:$U$542,3,FALSE)</f>
        <v>0</v>
      </c>
      <c r="G738">
        <f>VLOOKUP($D738,'[2]LC Dynamic'!$Q$2:$U$542,4,FALSE)</f>
        <v>0.308</v>
      </c>
      <c r="H738">
        <f>VLOOKUP($D738,'[2]LC Dynamic'!$Q$2:$U$542,5,FALSE)</f>
        <v>0.69199999999999995</v>
      </c>
      <c r="I738" s="77">
        <f t="shared" si="1968"/>
        <v>1</v>
      </c>
      <c r="J738" s="77">
        <f t="shared" si="1969"/>
        <v>6.9728499999999985E-2</v>
      </c>
      <c r="K738" s="77">
        <f t="shared" si="2043"/>
        <v>5.632878498097682E-3</v>
      </c>
      <c r="L738" s="76">
        <v>0</v>
      </c>
      <c r="M738" s="77">
        <f t="shared" si="1979"/>
        <v>0</v>
      </c>
      <c r="N738" s="77">
        <f t="shared" si="1980"/>
        <v>0</v>
      </c>
      <c r="O738" s="77">
        <f t="shared" si="1981"/>
        <v>5.6775999999999997E-3</v>
      </c>
      <c r="P738" s="77">
        <f t="shared" si="1982"/>
        <v>4.7436902124819991E-4</v>
      </c>
      <c r="R738" t="s">
        <v>177</v>
      </c>
      <c r="S738" t="s">
        <v>179</v>
      </c>
      <c r="T738" s="197" t="str">
        <f t="shared" si="2037"/>
        <v>Autopilot_Dynamic_349</v>
      </c>
      <c r="U738">
        <v>349</v>
      </c>
      <c r="V738">
        <f>VLOOKUP($U738,'[2]AP Dynamic'!$Q$1:$T$542,2,FALSE)</f>
        <v>0.88888888888888884</v>
      </c>
      <c r="W738">
        <f>VLOOKUP($U738,'[2]AP Dynamic'!$Q$1:$T$542,3,FALSE)</f>
        <v>0.11111111111111116</v>
      </c>
      <c r="X738">
        <f>VLOOKUP($U738,'[2]AP Dynamic'!$Q$1:$T$542,4,FALSE)</f>
        <v>0</v>
      </c>
      <c r="Y738" s="77">
        <f t="shared" si="2038"/>
        <v>1</v>
      </c>
      <c r="Z738" s="77">
        <f t="shared" si="2044"/>
        <v>6.3149999999999984E-2</v>
      </c>
      <c r="AA738" s="77">
        <f t="shared" si="2045"/>
        <v>5.1160591879111372E-3</v>
      </c>
      <c r="AB738" s="79">
        <v>1</v>
      </c>
      <c r="AC738" s="77">
        <f t="shared" si="1983"/>
        <v>8.277777777777778E-3</v>
      </c>
      <c r="AD738" s="77">
        <f t="shared" ref="AD738" si="2248">1-(1-AC738)^(1/12)</f>
        <v>6.9244588451522482E-4</v>
      </c>
      <c r="AE738" s="77">
        <f t="shared" si="1985"/>
        <v>2.5000000000000001E-3</v>
      </c>
      <c r="AF738" s="77">
        <f t="shared" ref="AF738" si="2249">1-(1-AE738)^(1/12)</f>
        <v>2.0857243058891584E-4</v>
      </c>
      <c r="AH738" t="s">
        <v>175</v>
      </c>
      <c r="AI738" t="s">
        <v>179</v>
      </c>
      <c r="AJ738" s="197" t="str">
        <f t="shared" si="1972"/>
        <v>Lifecycle_Dynamic_349</v>
      </c>
      <c r="AK738">
        <v>349</v>
      </c>
      <c r="AL738">
        <f>VLOOKUP($U738,[2]Standard_Dynamic!$Q$1:$T$542,2,FALSE)</f>
        <v>0.88888888888888884</v>
      </c>
      <c r="AM738">
        <f>VLOOKUP($U738,[2]Standard_Dynamic!$Q$1:$T$542,3,FALSE)</f>
        <v>0.11111111111111116</v>
      </c>
      <c r="AN738">
        <f>VLOOKUP($U738,[2]Standard_Dynamic!$Q$1:$T$542,4,FALSE)</f>
        <v>0</v>
      </c>
      <c r="AO738" s="77">
        <f t="shared" si="1973"/>
        <v>1</v>
      </c>
      <c r="AP738" s="77">
        <f t="shared" si="1987"/>
        <v>6.3149999999999984E-2</v>
      </c>
      <c r="AQ738" s="77">
        <f t="shared" si="1974"/>
        <v>5.1160591879111372E-3</v>
      </c>
      <c r="AR738" s="79">
        <v>0</v>
      </c>
      <c r="AS738" s="77">
        <f t="shared" si="1988"/>
        <v>0</v>
      </c>
      <c r="AT738" s="77">
        <f t="shared" ref="AT738" si="2250">1-(1-AS738)^(1/12)</f>
        <v>0</v>
      </c>
      <c r="AU738" s="77">
        <f t="shared" si="1990"/>
        <v>2.5000000000000001E-3</v>
      </c>
      <c r="AV738" s="77">
        <f t="shared" ref="AV738" si="2251">1-(1-AU738)^(1/12)</f>
        <v>2.0857243058891584E-4</v>
      </c>
      <c r="AX738" t="s">
        <v>178</v>
      </c>
      <c r="AY738" t="s">
        <v>162</v>
      </c>
      <c r="AZ738" s="197" t="str">
        <f t="shared" si="2070"/>
        <v>DIS_Standard_349</v>
      </c>
      <c r="BA738">
        <v>349</v>
      </c>
      <c r="BB738">
        <f>VLOOKUP($BA738,'[2]Standard DIS'!$Q$1:$X$542,4,FALSE)</f>
        <v>0</v>
      </c>
      <c r="BF738">
        <f>VLOOKUP($BA738,'[2]Standard DIS'!$Q$1:$X$542,2,FALSE)</f>
        <v>0.88888888888888884</v>
      </c>
      <c r="BH738">
        <f>VLOOKUP($BA738,'[2]Standard DIS'!$Q$1:$X$542,3,FALSE)</f>
        <v>0.11111111111111116</v>
      </c>
      <c r="BI738" s="77">
        <f t="shared" si="1977"/>
        <v>1</v>
      </c>
      <c r="BJ738" s="77">
        <f t="shared" si="1978"/>
        <v>6.3149999999999984E-2</v>
      </c>
      <c r="BK738" s="77">
        <f t="shared" si="2071"/>
        <v>5.1160591879111372E-3</v>
      </c>
      <c r="BL738" s="79">
        <v>0</v>
      </c>
      <c r="BM738" s="77">
        <f t="shared" si="1992"/>
        <v>0</v>
      </c>
      <c r="BN738" s="77">
        <f t="shared" si="1993"/>
        <v>0</v>
      </c>
      <c r="BO738" s="77">
        <f t="shared" si="1994"/>
        <v>2.5000000000000001E-3</v>
      </c>
      <c r="BP738" s="77">
        <f t="shared" si="1995"/>
        <v>2.0809499864316017E-4</v>
      </c>
    </row>
    <row r="739" spans="1:68">
      <c r="A739" t="s">
        <v>175</v>
      </c>
      <c r="B739" t="s">
        <v>179</v>
      </c>
      <c r="C739" s="197" t="str">
        <f t="shared" si="2036"/>
        <v>Lifecycle_Dynamic_348</v>
      </c>
      <c r="D739">
        <v>348</v>
      </c>
      <c r="E739">
        <f>VLOOKUP($D739,'[2]LC Dynamic'!$Q$2:$U$542,2,FALSE)</f>
        <v>0</v>
      </c>
      <c r="F739">
        <f>VLOOKUP($D739,'[2]LC Dynamic'!$Q$2:$U$542,3,FALSE)</f>
        <v>0</v>
      </c>
      <c r="G739">
        <f>VLOOKUP($D739,'[2]LC Dynamic'!$Q$2:$U$542,4,FALSE)</f>
        <v>0.308</v>
      </c>
      <c r="H739">
        <f>VLOOKUP($D739,'[2]LC Dynamic'!$Q$2:$U$542,5,FALSE)</f>
        <v>0.69199999999999995</v>
      </c>
      <c r="I739" s="77">
        <f t="shared" ref="I739:I802" si="2252">SUM(E739:H739)</f>
        <v>1</v>
      </c>
      <c r="J739" s="77">
        <f t="shared" ref="J739:J802" si="2253">SUMPRODUCT($E$1:$H$1,E739:H739)</f>
        <v>6.9728499999999985E-2</v>
      </c>
      <c r="K739" s="77">
        <f t="shared" si="2043"/>
        <v>5.632878498097682E-3</v>
      </c>
      <c r="L739" s="76">
        <v>0</v>
      </c>
      <c r="M739" s="77">
        <f t="shared" si="1979"/>
        <v>0</v>
      </c>
      <c r="N739" s="77">
        <f t="shared" si="1980"/>
        <v>0</v>
      </c>
      <c r="O739" s="77">
        <f t="shared" si="1981"/>
        <v>5.6775999999999997E-3</v>
      </c>
      <c r="P739" s="77">
        <f t="shared" si="1982"/>
        <v>4.7436902124819991E-4</v>
      </c>
      <c r="R739" t="s">
        <v>177</v>
      </c>
      <c r="S739" t="s">
        <v>179</v>
      </c>
      <c r="T739" s="197" t="str">
        <f t="shared" si="2037"/>
        <v>Autopilot_Dynamic_348</v>
      </c>
      <c r="U739">
        <v>348</v>
      </c>
      <c r="V739">
        <f>VLOOKUP($U739,'[2]AP Dynamic'!$Q$1:$T$542,2,FALSE)</f>
        <v>0.88888888888888884</v>
      </c>
      <c r="W739">
        <f>VLOOKUP($U739,'[2]AP Dynamic'!$Q$1:$T$542,3,FALSE)</f>
        <v>0.11111111111111116</v>
      </c>
      <c r="X739">
        <f>VLOOKUP($U739,'[2]AP Dynamic'!$Q$1:$T$542,4,FALSE)</f>
        <v>0</v>
      </c>
      <c r="Y739" s="77">
        <f t="shared" si="2038"/>
        <v>1</v>
      </c>
      <c r="Z739" s="77">
        <f t="shared" si="2044"/>
        <v>6.3149999999999984E-2</v>
      </c>
      <c r="AA739" s="77">
        <f t="shared" si="2045"/>
        <v>5.1160591879111372E-3</v>
      </c>
      <c r="AB739" s="79">
        <v>1</v>
      </c>
      <c r="AC739" s="77">
        <f t="shared" si="1983"/>
        <v>8.277777777777778E-3</v>
      </c>
      <c r="AD739" s="77">
        <f t="shared" ref="AD739" si="2254">1-(1-AC739)^(1/12)</f>
        <v>6.9244588451522482E-4</v>
      </c>
      <c r="AE739" s="77">
        <f t="shared" si="1985"/>
        <v>2.5000000000000001E-3</v>
      </c>
      <c r="AF739" s="77">
        <f t="shared" ref="AF739" si="2255">1-(1-AE739)^(1/12)</f>
        <v>2.0857243058891584E-4</v>
      </c>
      <c r="AH739" t="s">
        <v>175</v>
      </c>
      <c r="AI739" t="s">
        <v>179</v>
      </c>
      <c r="AJ739" s="197" t="str">
        <f t="shared" ref="AJ739:AJ802" si="2256">AH739&amp;"_"&amp;AI739&amp;"_"&amp;AK739</f>
        <v>Lifecycle_Dynamic_348</v>
      </c>
      <c r="AK739">
        <v>348</v>
      </c>
      <c r="AL739">
        <f>VLOOKUP($U739,[2]Standard_Dynamic!$Q$1:$T$542,2,FALSE)</f>
        <v>0.88888888888888884</v>
      </c>
      <c r="AM739">
        <f>VLOOKUP($U739,[2]Standard_Dynamic!$Q$1:$T$542,3,FALSE)</f>
        <v>0.11111111111111116</v>
      </c>
      <c r="AN739">
        <f>VLOOKUP($U739,[2]Standard_Dynamic!$Q$1:$T$542,4,FALSE)</f>
        <v>0</v>
      </c>
      <c r="AO739" s="77">
        <f t="shared" ref="AO739:AO802" si="2257">SUM(AL739:AN739)</f>
        <v>1</v>
      </c>
      <c r="AP739" s="77">
        <f t="shared" si="1987"/>
        <v>6.3149999999999984E-2</v>
      </c>
      <c r="AQ739" s="77">
        <f t="shared" ref="AQ739:AQ802" si="2258">(1+AP739)^(1/12)-1</f>
        <v>5.1160591879111372E-3</v>
      </c>
      <c r="AR739" s="79">
        <v>0</v>
      </c>
      <c r="AS739" s="77">
        <f t="shared" si="1988"/>
        <v>0</v>
      </c>
      <c r="AT739" s="77">
        <f t="shared" ref="AT739" si="2259">1-(1-AS739)^(1/12)</f>
        <v>0</v>
      </c>
      <c r="AU739" s="77">
        <f t="shared" si="1990"/>
        <v>2.5000000000000001E-3</v>
      </c>
      <c r="AV739" s="77">
        <f t="shared" ref="AV739" si="2260">1-(1-AU739)^(1/12)</f>
        <v>2.0857243058891584E-4</v>
      </c>
      <c r="AX739" t="s">
        <v>178</v>
      </c>
      <c r="AY739" t="s">
        <v>162</v>
      </c>
      <c r="AZ739" s="197" t="str">
        <f t="shared" si="2070"/>
        <v>DIS_Standard_348</v>
      </c>
      <c r="BA739">
        <v>348</v>
      </c>
      <c r="BB739">
        <f>VLOOKUP($BA739,'[2]Standard DIS'!$Q$1:$X$542,4,FALSE)</f>
        <v>0</v>
      </c>
      <c r="BF739">
        <f>VLOOKUP($BA739,'[2]Standard DIS'!$Q$1:$X$542,2,FALSE)</f>
        <v>0.88888888888888884</v>
      </c>
      <c r="BH739">
        <f>VLOOKUP($BA739,'[2]Standard DIS'!$Q$1:$X$542,3,FALSE)</f>
        <v>0.11111111111111116</v>
      </c>
      <c r="BI739" s="77">
        <f t="shared" ref="BI739:BI802" si="2261">SUM(BB739:BH739)</f>
        <v>1</v>
      </c>
      <c r="BJ739" s="77">
        <f t="shared" ref="BJ739:BJ802" si="2262">SUMPRODUCT($BB$1:$BH$1,BB739:BH739)</f>
        <v>6.3149999999999984E-2</v>
      </c>
      <c r="BK739" s="77">
        <f t="shared" si="2071"/>
        <v>5.1160591879111372E-3</v>
      </c>
      <c r="BL739" s="79">
        <v>0</v>
      </c>
      <c r="BM739" s="77">
        <f t="shared" si="1992"/>
        <v>0</v>
      </c>
      <c r="BN739" s="77">
        <f t="shared" si="1993"/>
        <v>0</v>
      </c>
      <c r="BO739" s="77">
        <f t="shared" si="1994"/>
        <v>2.5000000000000001E-3</v>
      </c>
      <c r="BP739" s="77">
        <f t="shared" si="1995"/>
        <v>2.0809499864316017E-4</v>
      </c>
    </row>
    <row r="740" spans="1:68">
      <c r="A740" t="s">
        <v>175</v>
      </c>
      <c r="B740" t="s">
        <v>179</v>
      </c>
      <c r="C740" s="197" t="str">
        <f t="shared" si="2036"/>
        <v>Lifecycle_Dynamic_347</v>
      </c>
      <c r="D740">
        <v>347</v>
      </c>
      <c r="E740">
        <f>VLOOKUP($D740,'[2]LC Dynamic'!$Q$2:$U$542,2,FALSE)</f>
        <v>0</v>
      </c>
      <c r="F740">
        <f>VLOOKUP($D740,'[2]LC Dynamic'!$Q$2:$U$542,3,FALSE)</f>
        <v>0</v>
      </c>
      <c r="G740">
        <f>VLOOKUP($D740,'[2]LC Dynamic'!$Q$2:$U$542,4,FALSE)</f>
        <v>0.308</v>
      </c>
      <c r="H740">
        <f>VLOOKUP($D740,'[2]LC Dynamic'!$Q$2:$U$542,5,FALSE)</f>
        <v>0.69199999999999995</v>
      </c>
      <c r="I740" s="77">
        <f t="shared" si="2252"/>
        <v>1</v>
      </c>
      <c r="J740" s="77">
        <f t="shared" si="2253"/>
        <v>6.9728499999999985E-2</v>
      </c>
      <c r="K740" s="77">
        <f t="shared" si="2043"/>
        <v>5.632878498097682E-3</v>
      </c>
      <c r="L740" s="76">
        <v>0</v>
      </c>
      <c r="M740" s="77">
        <f t="shared" ref="M740:M803" si="2263">IF($L740=0,0,SUMPRODUCT($E$3:$H$3,E740:H740))</f>
        <v>0</v>
      </c>
      <c r="N740" s="77">
        <f t="shared" ref="N740:N803" si="2264">1-(1-M740)^(1/12)</f>
        <v>0</v>
      </c>
      <c r="O740" s="77">
        <f t="shared" ref="O740:O803" si="2265">SUMPRODUCT($E$2:$H$2,E740:H740)</f>
        <v>5.6775999999999997E-3</v>
      </c>
      <c r="P740" s="77">
        <f t="shared" ref="P740:P803" si="2266">1-(1-O740)^(1/12)</f>
        <v>4.7436902124819991E-4</v>
      </c>
      <c r="R740" t="s">
        <v>177</v>
      </c>
      <c r="S740" t="s">
        <v>179</v>
      </c>
      <c r="T740" s="197" t="str">
        <f t="shared" si="2037"/>
        <v>Autopilot_Dynamic_347</v>
      </c>
      <c r="U740">
        <v>347</v>
      </c>
      <c r="V740">
        <f>VLOOKUP($U740,'[2]AP Dynamic'!$Q$1:$T$542,2,FALSE)</f>
        <v>0.88888888888888884</v>
      </c>
      <c r="W740">
        <f>VLOOKUP($U740,'[2]AP Dynamic'!$Q$1:$T$542,3,FALSE)</f>
        <v>0.11111111111111116</v>
      </c>
      <c r="X740">
        <f>VLOOKUP($U740,'[2]AP Dynamic'!$Q$1:$T$542,4,FALSE)</f>
        <v>0</v>
      </c>
      <c r="Y740" s="77">
        <f t="shared" si="2038"/>
        <v>1</v>
      </c>
      <c r="Z740" s="77">
        <f t="shared" si="2044"/>
        <v>6.3149999999999984E-2</v>
      </c>
      <c r="AA740" s="77">
        <f t="shared" si="2045"/>
        <v>5.1160591879111372E-3</v>
      </c>
      <c r="AB740" s="79">
        <v>1</v>
      </c>
      <c r="AC740" s="77">
        <f t="shared" ref="AC740:AC803" si="2267">IF($AB740=0,0,SUMPRODUCT($V$3:$X$3,V740:X740))</f>
        <v>8.277777777777778E-3</v>
      </c>
      <c r="AD740" s="77">
        <f t="shared" ref="AD740" si="2268">1-(1-AC740)^(1/12)</f>
        <v>6.9244588451522482E-4</v>
      </c>
      <c r="AE740" s="77">
        <f t="shared" ref="AE740:AE803" si="2269">SUMPRODUCT($V$2:$X$2,V740:X740)</f>
        <v>2.5000000000000001E-3</v>
      </c>
      <c r="AF740" s="77">
        <f t="shared" ref="AF740" si="2270">1-(1-AE740)^(1/12)</f>
        <v>2.0857243058891584E-4</v>
      </c>
      <c r="AH740" t="s">
        <v>175</v>
      </c>
      <c r="AI740" t="s">
        <v>179</v>
      </c>
      <c r="AJ740" s="197" t="str">
        <f t="shared" si="2256"/>
        <v>Lifecycle_Dynamic_347</v>
      </c>
      <c r="AK740">
        <v>347</v>
      </c>
      <c r="AL740">
        <f>VLOOKUP($U740,[2]Standard_Dynamic!$Q$1:$T$542,2,FALSE)</f>
        <v>0.88888888888888884</v>
      </c>
      <c r="AM740">
        <f>VLOOKUP($U740,[2]Standard_Dynamic!$Q$1:$T$542,3,FALSE)</f>
        <v>0.11111111111111116</v>
      </c>
      <c r="AN740">
        <f>VLOOKUP($U740,[2]Standard_Dynamic!$Q$1:$T$542,4,FALSE)</f>
        <v>0</v>
      </c>
      <c r="AO740" s="77">
        <f t="shared" si="2257"/>
        <v>1</v>
      </c>
      <c r="AP740" s="77">
        <f t="shared" ref="AP740:AP803" si="2271">SUMPRODUCT($AL$1:$AN$1,AL740:AN740)</f>
        <v>6.3149999999999984E-2</v>
      </c>
      <c r="AQ740" s="77">
        <f t="shared" si="2258"/>
        <v>5.1160591879111372E-3</v>
      </c>
      <c r="AR740" s="79">
        <v>0</v>
      </c>
      <c r="AS740" s="77">
        <f t="shared" ref="AS740:AS803" si="2272">IF(AR740=0,0,SUMPRODUCT($AL$3:$AN$3,AL740:AN740))</f>
        <v>0</v>
      </c>
      <c r="AT740" s="77">
        <f t="shared" ref="AT740" si="2273">1-(1-AS740)^(1/12)</f>
        <v>0</v>
      </c>
      <c r="AU740" s="77">
        <f t="shared" ref="AU740:AU803" si="2274">SUMPRODUCT($AL$2:$AN$2,AL740:AN740)</f>
        <v>2.5000000000000001E-3</v>
      </c>
      <c r="AV740" s="77">
        <f t="shared" ref="AV740" si="2275">1-(1-AU740)^(1/12)</f>
        <v>2.0857243058891584E-4</v>
      </c>
      <c r="AX740" t="s">
        <v>178</v>
      </c>
      <c r="AY740" t="s">
        <v>162</v>
      </c>
      <c r="AZ740" s="197" t="str">
        <f t="shared" si="2070"/>
        <v>DIS_Standard_347</v>
      </c>
      <c r="BA740">
        <v>347</v>
      </c>
      <c r="BB740">
        <f>VLOOKUP($BA740,'[2]Standard DIS'!$Q$1:$X$542,4,FALSE)</f>
        <v>0</v>
      </c>
      <c r="BF740">
        <f>VLOOKUP($BA740,'[2]Standard DIS'!$Q$1:$X$542,2,FALSE)</f>
        <v>0.88888888888888884</v>
      </c>
      <c r="BH740">
        <f>VLOOKUP($BA740,'[2]Standard DIS'!$Q$1:$X$542,3,FALSE)</f>
        <v>0.11111111111111116</v>
      </c>
      <c r="BI740" s="77">
        <f t="shared" si="2261"/>
        <v>1</v>
      </c>
      <c r="BJ740" s="77">
        <f t="shared" si="2262"/>
        <v>6.3149999999999984E-2</v>
      </c>
      <c r="BK740" s="77">
        <f t="shared" si="2071"/>
        <v>5.1160591879111372E-3</v>
      </c>
      <c r="BL740" s="79">
        <v>0</v>
      </c>
      <c r="BM740" s="77">
        <f t="shared" ref="BM740:BM803" si="2276">IF(BL740=0,0,SUMPRODUCT($BB$3:$BH$3,BB740:BH740))</f>
        <v>0</v>
      </c>
      <c r="BN740" s="77">
        <f t="shared" ref="BN740:BN803" si="2277">(1+BM740)^(1/12)-1</f>
        <v>0</v>
      </c>
      <c r="BO740" s="77">
        <f t="shared" ref="BO740:BO803" si="2278">SUMPRODUCT($BB$2:$BH$2,BB740:BH740)</f>
        <v>2.5000000000000001E-3</v>
      </c>
      <c r="BP740" s="77">
        <f t="shared" ref="BP740:BP803" si="2279">(1+BO740)^(1/12)-1</f>
        <v>2.0809499864316017E-4</v>
      </c>
    </row>
    <row r="741" spans="1:68">
      <c r="A741" t="s">
        <v>175</v>
      </c>
      <c r="B741" t="s">
        <v>179</v>
      </c>
      <c r="C741" s="197" t="str">
        <f t="shared" si="2036"/>
        <v>Lifecycle_Dynamic_346</v>
      </c>
      <c r="D741">
        <v>346</v>
      </c>
      <c r="E741">
        <f>VLOOKUP($D741,'[2]LC Dynamic'!$Q$2:$U$542,2,FALSE)</f>
        <v>0</v>
      </c>
      <c r="F741">
        <f>VLOOKUP($D741,'[2]LC Dynamic'!$Q$2:$U$542,3,FALSE)</f>
        <v>0</v>
      </c>
      <c r="G741">
        <f>VLOOKUP($D741,'[2]LC Dynamic'!$Q$2:$U$542,4,FALSE)</f>
        <v>0.308</v>
      </c>
      <c r="H741">
        <f>VLOOKUP($D741,'[2]LC Dynamic'!$Q$2:$U$542,5,FALSE)</f>
        <v>0.69199999999999995</v>
      </c>
      <c r="I741" s="77">
        <f t="shared" si="2252"/>
        <v>1</v>
      </c>
      <c r="J741" s="77">
        <f t="shared" si="2253"/>
        <v>6.9728499999999985E-2</v>
      </c>
      <c r="K741" s="77">
        <f t="shared" si="2043"/>
        <v>5.632878498097682E-3</v>
      </c>
      <c r="L741" s="76">
        <v>0</v>
      </c>
      <c r="M741" s="77">
        <f t="shared" si="2263"/>
        <v>0</v>
      </c>
      <c r="N741" s="77">
        <f t="shared" si="2264"/>
        <v>0</v>
      </c>
      <c r="O741" s="77">
        <f t="shared" si="2265"/>
        <v>5.6775999999999997E-3</v>
      </c>
      <c r="P741" s="77">
        <f t="shared" si="2266"/>
        <v>4.7436902124819991E-4</v>
      </c>
      <c r="R741" t="s">
        <v>177</v>
      </c>
      <c r="S741" t="s">
        <v>179</v>
      </c>
      <c r="T741" s="197" t="str">
        <f t="shared" si="2037"/>
        <v>Autopilot_Dynamic_346</v>
      </c>
      <c r="U741">
        <v>346</v>
      </c>
      <c r="V741">
        <f>VLOOKUP($U741,'[2]AP Dynamic'!$Q$1:$T$542,2,FALSE)</f>
        <v>0.88888888888888884</v>
      </c>
      <c r="W741">
        <f>VLOOKUP($U741,'[2]AP Dynamic'!$Q$1:$T$542,3,FALSE)</f>
        <v>0.11111111111111116</v>
      </c>
      <c r="X741">
        <f>VLOOKUP($U741,'[2]AP Dynamic'!$Q$1:$T$542,4,FALSE)</f>
        <v>0</v>
      </c>
      <c r="Y741" s="77">
        <f t="shared" si="2038"/>
        <v>1</v>
      </c>
      <c r="Z741" s="77">
        <f t="shared" si="2044"/>
        <v>6.3149999999999984E-2</v>
      </c>
      <c r="AA741" s="77">
        <f t="shared" si="2045"/>
        <v>5.1160591879111372E-3</v>
      </c>
      <c r="AB741" s="79">
        <v>1</v>
      </c>
      <c r="AC741" s="77">
        <f t="shared" si="2267"/>
        <v>8.277777777777778E-3</v>
      </c>
      <c r="AD741" s="77">
        <f t="shared" ref="AD741" si="2280">1-(1-AC741)^(1/12)</f>
        <v>6.9244588451522482E-4</v>
      </c>
      <c r="AE741" s="77">
        <f t="shared" si="2269"/>
        <v>2.5000000000000001E-3</v>
      </c>
      <c r="AF741" s="77">
        <f t="shared" ref="AF741" si="2281">1-(1-AE741)^(1/12)</f>
        <v>2.0857243058891584E-4</v>
      </c>
      <c r="AH741" t="s">
        <v>175</v>
      </c>
      <c r="AI741" t="s">
        <v>179</v>
      </c>
      <c r="AJ741" s="197" t="str">
        <f t="shared" si="2256"/>
        <v>Lifecycle_Dynamic_346</v>
      </c>
      <c r="AK741">
        <v>346</v>
      </c>
      <c r="AL741">
        <f>VLOOKUP($U741,[2]Standard_Dynamic!$Q$1:$T$542,2,FALSE)</f>
        <v>0.88888888888888884</v>
      </c>
      <c r="AM741">
        <f>VLOOKUP($U741,[2]Standard_Dynamic!$Q$1:$T$542,3,FALSE)</f>
        <v>0.11111111111111116</v>
      </c>
      <c r="AN741">
        <f>VLOOKUP($U741,[2]Standard_Dynamic!$Q$1:$T$542,4,FALSE)</f>
        <v>0</v>
      </c>
      <c r="AO741" s="77">
        <f t="shared" si="2257"/>
        <v>1</v>
      </c>
      <c r="AP741" s="77">
        <f t="shared" si="2271"/>
        <v>6.3149999999999984E-2</v>
      </c>
      <c r="AQ741" s="77">
        <f t="shared" si="2258"/>
        <v>5.1160591879111372E-3</v>
      </c>
      <c r="AR741" s="79">
        <v>0</v>
      </c>
      <c r="AS741" s="77">
        <f t="shared" si="2272"/>
        <v>0</v>
      </c>
      <c r="AT741" s="77">
        <f t="shared" ref="AT741" si="2282">1-(1-AS741)^(1/12)</f>
        <v>0</v>
      </c>
      <c r="AU741" s="77">
        <f t="shared" si="2274"/>
        <v>2.5000000000000001E-3</v>
      </c>
      <c r="AV741" s="77">
        <f t="shared" ref="AV741" si="2283">1-(1-AU741)^(1/12)</f>
        <v>2.0857243058891584E-4</v>
      </c>
      <c r="AX741" t="s">
        <v>178</v>
      </c>
      <c r="AY741" t="s">
        <v>162</v>
      </c>
      <c r="AZ741" s="197" t="str">
        <f t="shared" si="2070"/>
        <v>DIS_Standard_346</v>
      </c>
      <c r="BA741">
        <v>346</v>
      </c>
      <c r="BB741">
        <f>VLOOKUP($BA741,'[2]Standard DIS'!$Q$1:$X$542,4,FALSE)</f>
        <v>0</v>
      </c>
      <c r="BF741">
        <f>VLOOKUP($BA741,'[2]Standard DIS'!$Q$1:$X$542,2,FALSE)</f>
        <v>0.88888888888888884</v>
      </c>
      <c r="BH741">
        <f>VLOOKUP($BA741,'[2]Standard DIS'!$Q$1:$X$542,3,FALSE)</f>
        <v>0.11111111111111116</v>
      </c>
      <c r="BI741" s="77">
        <f t="shared" si="2261"/>
        <v>1</v>
      </c>
      <c r="BJ741" s="77">
        <f t="shared" si="2262"/>
        <v>6.3149999999999984E-2</v>
      </c>
      <c r="BK741" s="77">
        <f t="shared" si="2071"/>
        <v>5.1160591879111372E-3</v>
      </c>
      <c r="BL741" s="79">
        <v>0</v>
      </c>
      <c r="BM741" s="77">
        <f t="shared" si="2276"/>
        <v>0</v>
      </c>
      <c r="BN741" s="77">
        <f t="shared" si="2277"/>
        <v>0</v>
      </c>
      <c r="BO741" s="77">
        <f t="shared" si="2278"/>
        <v>2.5000000000000001E-3</v>
      </c>
      <c r="BP741" s="77">
        <f t="shared" si="2279"/>
        <v>2.0809499864316017E-4</v>
      </c>
    </row>
    <row r="742" spans="1:68">
      <c r="A742" t="s">
        <v>175</v>
      </c>
      <c r="B742" t="s">
        <v>179</v>
      </c>
      <c r="C742" s="197" t="str">
        <f t="shared" si="2036"/>
        <v>Lifecycle_Dynamic_345</v>
      </c>
      <c r="D742">
        <v>345</v>
      </c>
      <c r="E742">
        <f>VLOOKUP($D742,'[2]LC Dynamic'!$Q$2:$U$542,2,FALSE)</f>
        <v>0</v>
      </c>
      <c r="F742">
        <f>VLOOKUP($D742,'[2]LC Dynamic'!$Q$2:$U$542,3,FALSE)</f>
        <v>0</v>
      </c>
      <c r="G742">
        <f>VLOOKUP($D742,'[2]LC Dynamic'!$Q$2:$U$542,4,FALSE)</f>
        <v>0.308</v>
      </c>
      <c r="H742">
        <f>VLOOKUP($D742,'[2]LC Dynamic'!$Q$2:$U$542,5,FALSE)</f>
        <v>0.69199999999999995</v>
      </c>
      <c r="I742" s="77">
        <f t="shared" si="2252"/>
        <v>1</v>
      </c>
      <c r="J742" s="77">
        <f t="shared" si="2253"/>
        <v>6.9728499999999985E-2</v>
      </c>
      <c r="K742" s="77">
        <f t="shared" si="2043"/>
        <v>5.632878498097682E-3</v>
      </c>
      <c r="L742" s="76">
        <v>0</v>
      </c>
      <c r="M742" s="77">
        <f t="shared" si="2263"/>
        <v>0</v>
      </c>
      <c r="N742" s="77">
        <f t="shared" si="2264"/>
        <v>0</v>
      </c>
      <c r="O742" s="77">
        <f t="shared" si="2265"/>
        <v>5.6775999999999997E-3</v>
      </c>
      <c r="P742" s="77">
        <f t="shared" si="2266"/>
        <v>4.7436902124819991E-4</v>
      </c>
      <c r="R742" t="s">
        <v>177</v>
      </c>
      <c r="S742" t="s">
        <v>179</v>
      </c>
      <c r="T742" s="197" t="str">
        <f t="shared" si="2037"/>
        <v>Autopilot_Dynamic_345</v>
      </c>
      <c r="U742">
        <v>345</v>
      </c>
      <c r="V742">
        <f>VLOOKUP($U742,'[2]AP Dynamic'!$Q$1:$T$542,2,FALSE)</f>
        <v>0.88888888888888884</v>
      </c>
      <c r="W742">
        <f>VLOOKUP($U742,'[2]AP Dynamic'!$Q$1:$T$542,3,FALSE)</f>
        <v>0.11111111111111116</v>
      </c>
      <c r="X742">
        <f>VLOOKUP($U742,'[2]AP Dynamic'!$Q$1:$T$542,4,FALSE)</f>
        <v>0</v>
      </c>
      <c r="Y742" s="77">
        <f t="shared" si="2038"/>
        <v>1</v>
      </c>
      <c r="Z742" s="77">
        <f t="shared" si="2044"/>
        <v>6.3149999999999984E-2</v>
      </c>
      <c r="AA742" s="77">
        <f t="shared" si="2045"/>
        <v>5.1160591879111372E-3</v>
      </c>
      <c r="AB742" s="79">
        <v>1</v>
      </c>
      <c r="AC742" s="77">
        <f t="shared" si="2267"/>
        <v>8.277777777777778E-3</v>
      </c>
      <c r="AD742" s="77">
        <f t="shared" ref="AD742" si="2284">1-(1-AC742)^(1/12)</f>
        <v>6.9244588451522482E-4</v>
      </c>
      <c r="AE742" s="77">
        <f t="shared" si="2269"/>
        <v>2.5000000000000001E-3</v>
      </c>
      <c r="AF742" s="77">
        <f t="shared" ref="AF742" si="2285">1-(1-AE742)^(1/12)</f>
        <v>2.0857243058891584E-4</v>
      </c>
      <c r="AH742" t="s">
        <v>175</v>
      </c>
      <c r="AI742" t="s">
        <v>179</v>
      </c>
      <c r="AJ742" s="197" t="str">
        <f t="shared" si="2256"/>
        <v>Lifecycle_Dynamic_345</v>
      </c>
      <c r="AK742">
        <v>345</v>
      </c>
      <c r="AL742">
        <f>VLOOKUP($U742,[2]Standard_Dynamic!$Q$1:$T$542,2,FALSE)</f>
        <v>0.88888888888888884</v>
      </c>
      <c r="AM742">
        <f>VLOOKUP($U742,[2]Standard_Dynamic!$Q$1:$T$542,3,FALSE)</f>
        <v>0.11111111111111116</v>
      </c>
      <c r="AN742">
        <f>VLOOKUP($U742,[2]Standard_Dynamic!$Q$1:$T$542,4,FALSE)</f>
        <v>0</v>
      </c>
      <c r="AO742" s="77">
        <f t="shared" si="2257"/>
        <v>1</v>
      </c>
      <c r="AP742" s="77">
        <f t="shared" si="2271"/>
        <v>6.3149999999999984E-2</v>
      </c>
      <c r="AQ742" s="77">
        <f t="shared" si="2258"/>
        <v>5.1160591879111372E-3</v>
      </c>
      <c r="AR742" s="79">
        <v>0</v>
      </c>
      <c r="AS742" s="77">
        <f t="shared" si="2272"/>
        <v>0</v>
      </c>
      <c r="AT742" s="77">
        <f t="shared" ref="AT742" si="2286">1-(1-AS742)^(1/12)</f>
        <v>0</v>
      </c>
      <c r="AU742" s="77">
        <f t="shared" si="2274"/>
        <v>2.5000000000000001E-3</v>
      </c>
      <c r="AV742" s="77">
        <f t="shared" ref="AV742" si="2287">1-(1-AU742)^(1/12)</f>
        <v>2.0857243058891584E-4</v>
      </c>
      <c r="AX742" t="s">
        <v>178</v>
      </c>
      <c r="AY742" t="s">
        <v>162</v>
      </c>
      <c r="AZ742" s="197" t="str">
        <f t="shared" si="2070"/>
        <v>DIS_Standard_345</v>
      </c>
      <c r="BA742">
        <v>345</v>
      </c>
      <c r="BB742">
        <f>VLOOKUP($BA742,'[2]Standard DIS'!$Q$1:$X$542,4,FALSE)</f>
        <v>0</v>
      </c>
      <c r="BF742">
        <f>VLOOKUP($BA742,'[2]Standard DIS'!$Q$1:$X$542,2,FALSE)</f>
        <v>0.88888888888888884</v>
      </c>
      <c r="BH742">
        <f>VLOOKUP($BA742,'[2]Standard DIS'!$Q$1:$X$542,3,FALSE)</f>
        <v>0.11111111111111116</v>
      </c>
      <c r="BI742" s="77">
        <f t="shared" si="2261"/>
        <v>1</v>
      </c>
      <c r="BJ742" s="77">
        <f t="shared" si="2262"/>
        <v>6.3149999999999984E-2</v>
      </c>
      <c r="BK742" s="77">
        <f t="shared" si="2071"/>
        <v>5.1160591879111372E-3</v>
      </c>
      <c r="BL742" s="79">
        <v>0</v>
      </c>
      <c r="BM742" s="77">
        <f t="shared" si="2276"/>
        <v>0</v>
      </c>
      <c r="BN742" s="77">
        <f t="shared" si="2277"/>
        <v>0</v>
      </c>
      <c r="BO742" s="77">
        <f t="shared" si="2278"/>
        <v>2.5000000000000001E-3</v>
      </c>
      <c r="BP742" s="77">
        <f t="shared" si="2279"/>
        <v>2.0809499864316017E-4</v>
      </c>
    </row>
    <row r="743" spans="1:68">
      <c r="A743" t="s">
        <v>175</v>
      </c>
      <c r="B743" t="s">
        <v>179</v>
      </c>
      <c r="C743" s="197" t="str">
        <f t="shared" si="2036"/>
        <v>Lifecycle_Dynamic_344</v>
      </c>
      <c r="D743">
        <v>344</v>
      </c>
      <c r="E743">
        <f>VLOOKUP($D743,'[2]LC Dynamic'!$Q$2:$U$542,2,FALSE)</f>
        <v>0</v>
      </c>
      <c r="F743">
        <f>VLOOKUP($D743,'[2]LC Dynamic'!$Q$2:$U$542,3,FALSE)</f>
        <v>0</v>
      </c>
      <c r="G743">
        <f>VLOOKUP($D743,'[2]LC Dynamic'!$Q$2:$U$542,4,FALSE)</f>
        <v>0.308</v>
      </c>
      <c r="H743">
        <f>VLOOKUP($D743,'[2]LC Dynamic'!$Q$2:$U$542,5,FALSE)</f>
        <v>0.69199999999999995</v>
      </c>
      <c r="I743" s="77">
        <f t="shared" si="2252"/>
        <v>1</v>
      </c>
      <c r="J743" s="77">
        <f t="shared" si="2253"/>
        <v>6.9728499999999985E-2</v>
      </c>
      <c r="K743" s="77">
        <f t="shared" si="2043"/>
        <v>5.632878498097682E-3</v>
      </c>
      <c r="L743" s="76">
        <v>0</v>
      </c>
      <c r="M743" s="77">
        <f t="shared" si="2263"/>
        <v>0</v>
      </c>
      <c r="N743" s="77">
        <f t="shared" si="2264"/>
        <v>0</v>
      </c>
      <c r="O743" s="77">
        <f t="shared" si="2265"/>
        <v>5.6775999999999997E-3</v>
      </c>
      <c r="P743" s="77">
        <f t="shared" si="2266"/>
        <v>4.7436902124819991E-4</v>
      </c>
      <c r="R743" t="s">
        <v>177</v>
      </c>
      <c r="S743" t="s">
        <v>179</v>
      </c>
      <c r="T743" s="197" t="str">
        <f t="shared" si="2037"/>
        <v>Autopilot_Dynamic_344</v>
      </c>
      <c r="U743">
        <v>344</v>
      </c>
      <c r="V743">
        <f>VLOOKUP($U743,'[2]AP Dynamic'!$Q$1:$T$542,2,FALSE)</f>
        <v>0.88888888888888884</v>
      </c>
      <c r="W743">
        <f>VLOOKUP($U743,'[2]AP Dynamic'!$Q$1:$T$542,3,FALSE)</f>
        <v>0.11111111111111116</v>
      </c>
      <c r="X743">
        <f>VLOOKUP($U743,'[2]AP Dynamic'!$Q$1:$T$542,4,FALSE)</f>
        <v>0</v>
      </c>
      <c r="Y743" s="77">
        <f t="shared" si="2038"/>
        <v>1</v>
      </c>
      <c r="Z743" s="77">
        <f t="shared" si="2044"/>
        <v>6.3149999999999984E-2</v>
      </c>
      <c r="AA743" s="77">
        <f t="shared" si="2045"/>
        <v>5.1160591879111372E-3</v>
      </c>
      <c r="AB743" s="79">
        <v>1</v>
      </c>
      <c r="AC743" s="77">
        <f t="shared" si="2267"/>
        <v>8.277777777777778E-3</v>
      </c>
      <c r="AD743" s="77">
        <f t="shared" ref="AD743" si="2288">1-(1-AC743)^(1/12)</f>
        <v>6.9244588451522482E-4</v>
      </c>
      <c r="AE743" s="77">
        <f t="shared" si="2269"/>
        <v>2.5000000000000001E-3</v>
      </c>
      <c r="AF743" s="77">
        <f t="shared" ref="AF743" si="2289">1-(1-AE743)^(1/12)</f>
        <v>2.0857243058891584E-4</v>
      </c>
      <c r="AH743" t="s">
        <v>175</v>
      </c>
      <c r="AI743" t="s">
        <v>179</v>
      </c>
      <c r="AJ743" s="197" t="str">
        <f t="shared" si="2256"/>
        <v>Lifecycle_Dynamic_344</v>
      </c>
      <c r="AK743">
        <v>344</v>
      </c>
      <c r="AL743">
        <f>VLOOKUP($U743,[2]Standard_Dynamic!$Q$1:$T$542,2,FALSE)</f>
        <v>0.88888888888888884</v>
      </c>
      <c r="AM743">
        <f>VLOOKUP($U743,[2]Standard_Dynamic!$Q$1:$T$542,3,FALSE)</f>
        <v>0.11111111111111116</v>
      </c>
      <c r="AN743">
        <f>VLOOKUP($U743,[2]Standard_Dynamic!$Q$1:$T$542,4,FALSE)</f>
        <v>0</v>
      </c>
      <c r="AO743" s="77">
        <f t="shared" si="2257"/>
        <v>1</v>
      </c>
      <c r="AP743" s="77">
        <f t="shared" si="2271"/>
        <v>6.3149999999999984E-2</v>
      </c>
      <c r="AQ743" s="77">
        <f t="shared" si="2258"/>
        <v>5.1160591879111372E-3</v>
      </c>
      <c r="AR743" s="79">
        <v>0</v>
      </c>
      <c r="AS743" s="77">
        <f t="shared" si="2272"/>
        <v>0</v>
      </c>
      <c r="AT743" s="77">
        <f t="shared" ref="AT743" si="2290">1-(1-AS743)^(1/12)</f>
        <v>0</v>
      </c>
      <c r="AU743" s="77">
        <f t="shared" si="2274"/>
        <v>2.5000000000000001E-3</v>
      </c>
      <c r="AV743" s="77">
        <f t="shared" ref="AV743" si="2291">1-(1-AU743)^(1/12)</f>
        <v>2.0857243058891584E-4</v>
      </c>
      <c r="AX743" t="s">
        <v>178</v>
      </c>
      <c r="AY743" t="s">
        <v>162</v>
      </c>
      <c r="AZ743" s="197" t="str">
        <f t="shared" si="2070"/>
        <v>DIS_Standard_344</v>
      </c>
      <c r="BA743">
        <v>344</v>
      </c>
      <c r="BB743">
        <f>VLOOKUP($BA743,'[2]Standard DIS'!$Q$1:$X$542,4,FALSE)</f>
        <v>0</v>
      </c>
      <c r="BF743">
        <f>VLOOKUP($BA743,'[2]Standard DIS'!$Q$1:$X$542,2,FALSE)</f>
        <v>0.88888888888888884</v>
      </c>
      <c r="BH743">
        <f>VLOOKUP($BA743,'[2]Standard DIS'!$Q$1:$X$542,3,FALSE)</f>
        <v>0.11111111111111116</v>
      </c>
      <c r="BI743" s="77">
        <f t="shared" si="2261"/>
        <v>1</v>
      </c>
      <c r="BJ743" s="77">
        <f t="shared" si="2262"/>
        <v>6.3149999999999984E-2</v>
      </c>
      <c r="BK743" s="77">
        <f t="shared" si="2071"/>
        <v>5.1160591879111372E-3</v>
      </c>
      <c r="BL743" s="79">
        <v>0</v>
      </c>
      <c r="BM743" s="77">
        <f t="shared" si="2276"/>
        <v>0</v>
      </c>
      <c r="BN743" s="77">
        <f t="shared" si="2277"/>
        <v>0</v>
      </c>
      <c r="BO743" s="77">
        <f t="shared" si="2278"/>
        <v>2.5000000000000001E-3</v>
      </c>
      <c r="BP743" s="77">
        <f t="shared" si="2279"/>
        <v>2.0809499864316017E-4</v>
      </c>
    </row>
    <row r="744" spans="1:68">
      <c r="A744" t="s">
        <v>175</v>
      </c>
      <c r="B744" t="s">
        <v>179</v>
      </c>
      <c r="C744" s="197" t="str">
        <f t="shared" si="2036"/>
        <v>Lifecycle_Dynamic_343</v>
      </c>
      <c r="D744">
        <v>343</v>
      </c>
      <c r="E744">
        <f>VLOOKUP($D744,'[2]LC Dynamic'!$Q$2:$U$542,2,FALSE)</f>
        <v>0</v>
      </c>
      <c r="F744">
        <f>VLOOKUP($D744,'[2]LC Dynamic'!$Q$2:$U$542,3,FALSE)</f>
        <v>0</v>
      </c>
      <c r="G744">
        <f>VLOOKUP($D744,'[2]LC Dynamic'!$Q$2:$U$542,4,FALSE)</f>
        <v>0.308</v>
      </c>
      <c r="H744">
        <f>VLOOKUP($D744,'[2]LC Dynamic'!$Q$2:$U$542,5,FALSE)</f>
        <v>0.69199999999999995</v>
      </c>
      <c r="I744" s="77">
        <f t="shared" si="2252"/>
        <v>1</v>
      </c>
      <c r="J744" s="77">
        <f t="shared" si="2253"/>
        <v>6.9728499999999985E-2</v>
      </c>
      <c r="K744" s="77">
        <f t="shared" si="2043"/>
        <v>5.632878498097682E-3</v>
      </c>
      <c r="L744" s="76">
        <v>0</v>
      </c>
      <c r="M744" s="77">
        <f t="shared" si="2263"/>
        <v>0</v>
      </c>
      <c r="N744" s="77">
        <f t="shared" si="2264"/>
        <v>0</v>
      </c>
      <c r="O744" s="77">
        <f t="shared" si="2265"/>
        <v>5.6775999999999997E-3</v>
      </c>
      <c r="P744" s="77">
        <f t="shared" si="2266"/>
        <v>4.7436902124819991E-4</v>
      </c>
      <c r="R744" t="s">
        <v>177</v>
      </c>
      <c r="S744" t="s">
        <v>179</v>
      </c>
      <c r="T744" s="197" t="str">
        <f t="shared" si="2037"/>
        <v>Autopilot_Dynamic_343</v>
      </c>
      <c r="U744">
        <v>343</v>
      </c>
      <c r="V744">
        <f>VLOOKUP($U744,'[2]AP Dynamic'!$Q$1:$T$542,2,FALSE)</f>
        <v>0.88888888888888884</v>
      </c>
      <c r="W744">
        <f>VLOOKUP($U744,'[2]AP Dynamic'!$Q$1:$T$542,3,FALSE)</f>
        <v>0.11111111111111116</v>
      </c>
      <c r="X744">
        <f>VLOOKUP($U744,'[2]AP Dynamic'!$Q$1:$T$542,4,FALSE)</f>
        <v>0</v>
      </c>
      <c r="Y744" s="77">
        <f t="shared" si="2038"/>
        <v>1</v>
      </c>
      <c r="Z744" s="77">
        <f t="shared" si="2044"/>
        <v>6.3149999999999984E-2</v>
      </c>
      <c r="AA744" s="77">
        <f t="shared" si="2045"/>
        <v>5.1160591879111372E-3</v>
      </c>
      <c r="AB744" s="79">
        <v>1</v>
      </c>
      <c r="AC744" s="77">
        <f t="shared" si="2267"/>
        <v>8.277777777777778E-3</v>
      </c>
      <c r="AD744" s="77">
        <f t="shared" ref="AD744" si="2292">1-(1-AC744)^(1/12)</f>
        <v>6.9244588451522482E-4</v>
      </c>
      <c r="AE744" s="77">
        <f t="shared" si="2269"/>
        <v>2.5000000000000001E-3</v>
      </c>
      <c r="AF744" s="77">
        <f t="shared" ref="AF744" si="2293">1-(1-AE744)^(1/12)</f>
        <v>2.0857243058891584E-4</v>
      </c>
      <c r="AH744" t="s">
        <v>175</v>
      </c>
      <c r="AI744" t="s">
        <v>179</v>
      </c>
      <c r="AJ744" s="197" t="str">
        <f t="shared" si="2256"/>
        <v>Lifecycle_Dynamic_343</v>
      </c>
      <c r="AK744">
        <v>343</v>
      </c>
      <c r="AL744">
        <f>VLOOKUP($U744,[2]Standard_Dynamic!$Q$1:$T$542,2,FALSE)</f>
        <v>0.88888888888888884</v>
      </c>
      <c r="AM744">
        <f>VLOOKUP($U744,[2]Standard_Dynamic!$Q$1:$T$542,3,FALSE)</f>
        <v>0.11111111111111116</v>
      </c>
      <c r="AN744">
        <f>VLOOKUP($U744,[2]Standard_Dynamic!$Q$1:$T$542,4,FALSE)</f>
        <v>0</v>
      </c>
      <c r="AO744" s="77">
        <f t="shared" si="2257"/>
        <v>1</v>
      </c>
      <c r="AP744" s="77">
        <f t="shared" si="2271"/>
        <v>6.3149999999999984E-2</v>
      </c>
      <c r="AQ744" s="77">
        <f t="shared" si="2258"/>
        <v>5.1160591879111372E-3</v>
      </c>
      <c r="AR744" s="79">
        <v>0</v>
      </c>
      <c r="AS744" s="77">
        <f t="shared" si="2272"/>
        <v>0</v>
      </c>
      <c r="AT744" s="77">
        <f t="shared" ref="AT744" si="2294">1-(1-AS744)^(1/12)</f>
        <v>0</v>
      </c>
      <c r="AU744" s="77">
        <f t="shared" si="2274"/>
        <v>2.5000000000000001E-3</v>
      </c>
      <c r="AV744" s="77">
        <f t="shared" ref="AV744" si="2295">1-(1-AU744)^(1/12)</f>
        <v>2.0857243058891584E-4</v>
      </c>
      <c r="AX744" t="s">
        <v>178</v>
      </c>
      <c r="AY744" t="s">
        <v>162</v>
      </c>
      <c r="AZ744" s="197" t="str">
        <f t="shared" si="2070"/>
        <v>DIS_Standard_343</v>
      </c>
      <c r="BA744">
        <v>343</v>
      </c>
      <c r="BB744">
        <f>VLOOKUP($BA744,'[2]Standard DIS'!$Q$1:$X$542,4,FALSE)</f>
        <v>0</v>
      </c>
      <c r="BF744">
        <f>VLOOKUP($BA744,'[2]Standard DIS'!$Q$1:$X$542,2,FALSE)</f>
        <v>0.88888888888888884</v>
      </c>
      <c r="BH744">
        <f>VLOOKUP($BA744,'[2]Standard DIS'!$Q$1:$X$542,3,FALSE)</f>
        <v>0.11111111111111116</v>
      </c>
      <c r="BI744" s="77">
        <f t="shared" si="2261"/>
        <v>1</v>
      </c>
      <c r="BJ744" s="77">
        <f t="shared" si="2262"/>
        <v>6.3149999999999984E-2</v>
      </c>
      <c r="BK744" s="77">
        <f t="shared" si="2071"/>
        <v>5.1160591879111372E-3</v>
      </c>
      <c r="BL744" s="79">
        <v>0</v>
      </c>
      <c r="BM744" s="77">
        <f t="shared" si="2276"/>
        <v>0</v>
      </c>
      <c r="BN744" s="77">
        <f t="shared" si="2277"/>
        <v>0</v>
      </c>
      <c r="BO744" s="77">
        <f t="shared" si="2278"/>
        <v>2.5000000000000001E-3</v>
      </c>
      <c r="BP744" s="77">
        <f t="shared" si="2279"/>
        <v>2.0809499864316017E-4</v>
      </c>
    </row>
    <row r="745" spans="1:68">
      <c r="A745" t="s">
        <v>175</v>
      </c>
      <c r="B745" t="s">
        <v>179</v>
      </c>
      <c r="C745" s="197" t="str">
        <f t="shared" si="2036"/>
        <v>Lifecycle_Dynamic_342</v>
      </c>
      <c r="D745">
        <v>342</v>
      </c>
      <c r="E745">
        <f>VLOOKUP($D745,'[2]LC Dynamic'!$Q$2:$U$542,2,FALSE)</f>
        <v>0</v>
      </c>
      <c r="F745">
        <f>VLOOKUP($D745,'[2]LC Dynamic'!$Q$2:$U$542,3,FALSE)</f>
        <v>0</v>
      </c>
      <c r="G745">
        <f>VLOOKUP($D745,'[2]LC Dynamic'!$Q$2:$U$542,4,FALSE)</f>
        <v>0.308</v>
      </c>
      <c r="H745">
        <f>VLOOKUP($D745,'[2]LC Dynamic'!$Q$2:$U$542,5,FALSE)</f>
        <v>0.69199999999999995</v>
      </c>
      <c r="I745" s="77">
        <f t="shared" si="2252"/>
        <v>1</v>
      </c>
      <c r="J745" s="77">
        <f t="shared" si="2253"/>
        <v>6.9728499999999985E-2</v>
      </c>
      <c r="K745" s="77">
        <f t="shared" si="2043"/>
        <v>5.632878498097682E-3</v>
      </c>
      <c r="L745" s="76">
        <v>0</v>
      </c>
      <c r="M745" s="77">
        <f t="shared" si="2263"/>
        <v>0</v>
      </c>
      <c r="N745" s="77">
        <f t="shared" si="2264"/>
        <v>0</v>
      </c>
      <c r="O745" s="77">
        <f t="shared" si="2265"/>
        <v>5.6775999999999997E-3</v>
      </c>
      <c r="P745" s="77">
        <f t="shared" si="2266"/>
        <v>4.7436902124819991E-4</v>
      </c>
      <c r="R745" t="s">
        <v>177</v>
      </c>
      <c r="S745" t="s">
        <v>179</v>
      </c>
      <c r="T745" s="197" t="str">
        <f t="shared" si="2037"/>
        <v>Autopilot_Dynamic_342</v>
      </c>
      <c r="U745">
        <v>342</v>
      </c>
      <c r="V745">
        <f>VLOOKUP($U745,'[2]AP Dynamic'!$Q$1:$T$542,2,FALSE)</f>
        <v>0.88888888888888884</v>
      </c>
      <c r="W745">
        <f>VLOOKUP($U745,'[2]AP Dynamic'!$Q$1:$T$542,3,FALSE)</f>
        <v>0.11111111111111116</v>
      </c>
      <c r="X745">
        <f>VLOOKUP($U745,'[2]AP Dynamic'!$Q$1:$T$542,4,FALSE)</f>
        <v>0</v>
      </c>
      <c r="Y745" s="77">
        <f t="shared" si="2038"/>
        <v>1</v>
      </c>
      <c r="Z745" s="77">
        <f t="shared" si="2044"/>
        <v>6.3149999999999984E-2</v>
      </c>
      <c r="AA745" s="77">
        <f t="shared" si="2045"/>
        <v>5.1160591879111372E-3</v>
      </c>
      <c r="AB745" s="79">
        <v>1</v>
      </c>
      <c r="AC745" s="77">
        <f t="shared" si="2267"/>
        <v>8.277777777777778E-3</v>
      </c>
      <c r="AD745" s="77">
        <f t="shared" ref="AD745" si="2296">1-(1-AC745)^(1/12)</f>
        <v>6.9244588451522482E-4</v>
      </c>
      <c r="AE745" s="77">
        <f t="shared" si="2269"/>
        <v>2.5000000000000001E-3</v>
      </c>
      <c r="AF745" s="77">
        <f t="shared" ref="AF745" si="2297">1-(1-AE745)^(1/12)</f>
        <v>2.0857243058891584E-4</v>
      </c>
      <c r="AH745" t="s">
        <v>175</v>
      </c>
      <c r="AI745" t="s">
        <v>179</v>
      </c>
      <c r="AJ745" s="197" t="str">
        <f t="shared" si="2256"/>
        <v>Lifecycle_Dynamic_342</v>
      </c>
      <c r="AK745">
        <v>342</v>
      </c>
      <c r="AL745">
        <f>VLOOKUP($U745,[2]Standard_Dynamic!$Q$1:$T$542,2,FALSE)</f>
        <v>0.88888888888888884</v>
      </c>
      <c r="AM745">
        <f>VLOOKUP($U745,[2]Standard_Dynamic!$Q$1:$T$542,3,FALSE)</f>
        <v>0.11111111111111116</v>
      </c>
      <c r="AN745">
        <f>VLOOKUP($U745,[2]Standard_Dynamic!$Q$1:$T$542,4,FALSE)</f>
        <v>0</v>
      </c>
      <c r="AO745" s="77">
        <f t="shared" si="2257"/>
        <v>1</v>
      </c>
      <c r="AP745" s="77">
        <f t="shared" si="2271"/>
        <v>6.3149999999999984E-2</v>
      </c>
      <c r="AQ745" s="77">
        <f t="shared" si="2258"/>
        <v>5.1160591879111372E-3</v>
      </c>
      <c r="AR745" s="79">
        <v>0</v>
      </c>
      <c r="AS745" s="77">
        <f t="shared" si="2272"/>
        <v>0</v>
      </c>
      <c r="AT745" s="77">
        <f t="shared" ref="AT745" si="2298">1-(1-AS745)^(1/12)</f>
        <v>0</v>
      </c>
      <c r="AU745" s="77">
        <f t="shared" si="2274"/>
        <v>2.5000000000000001E-3</v>
      </c>
      <c r="AV745" s="77">
        <f t="shared" ref="AV745" si="2299">1-(1-AU745)^(1/12)</f>
        <v>2.0857243058891584E-4</v>
      </c>
      <c r="AX745" t="s">
        <v>178</v>
      </c>
      <c r="AY745" t="s">
        <v>162</v>
      </c>
      <c r="AZ745" s="197" t="str">
        <f t="shared" si="2070"/>
        <v>DIS_Standard_342</v>
      </c>
      <c r="BA745">
        <v>342</v>
      </c>
      <c r="BB745">
        <f>VLOOKUP($BA745,'[2]Standard DIS'!$Q$1:$X$542,4,FALSE)</f>
        <v>0</v>
      </c>
      <c r="BF745">
        <f>VLOOKUP($BA745,'[2]Standard DIS'!$Q$1:$X$542,2,FALSE)</f>
        <v>0.88888888888888884</v>
      </c>
      <c r="BH745">
        <f>VLOOKUP($BA745,'[2]Standard DIS'!$Q$1:$X$542,3,FALSE)</f>
        <v>0.11111111111111116</v>
      </c>
      <c r="BI745" s="77">
        <f t="shared" si="2261"/>
        <v>1</v>
      </c>
      <c r="BJ745" s="77">
        <f t="shared" si="2262"/>
        <v>6.3149999999999984E-2</v>
      </c>
      <c r="BK745" s="77">
        <f t="shared" si="2071"/>
        <v>5.1160591879111372E-3</v>
      </c>
      <c r="BL745" s="79">
        <v>0</v>
      </c>
      <c r="BM745" s="77">
        <f t="shared" si="2276"/>
        <v>0</v>
      </c>
      <c r="BN745" s="77">
        <f t="shared" si="2277"/>
        <v>0</v>
      </c>
      <c r="BO745" s="77">
        <f t="shared" si="2278"/>
        <v>2.5000000000000001E-3</v>
      </c>
      <c r="BP745" s="77">
        <f t="shared" si="2279"/>
        <v>2.0809499864316017E-4</v>
      </c>
    </row>
    <row r="746" spans="1:68">
      <c r="A746" t="s">
        <v>175</v>
      </c>
      <c r="B746" t="s">
        <v>179</v>
      </c>
      <c r="C746" s="197" t="str">
        <f t="shared" si="2036"/>
        <v>Lifecycle_Dynamic_341</v>
      </c>
      <c r="D746">
        <v>341</v>
      </c>
      <c r="E746">
        <f>VLOOKUP($D746,'[2]LC Dynamic'!$Q$2:$U$542,2,FALSE)</f>
        <v>0</v>
      </c>
      <c r="F746">
        <f>VLOOKUP($D746,'[2]LC Dynamic'!$Q$2:$U$542,3,FALSE)</f>
        <v>0</v>
      </c>
      <c r="G746">
        <f>VLOOKUP($D746,'[2]LC Dynamic'!$Q$2:$U$542,4,FALSE)</f>
        <v>0.308</v>
      </c>
      <c r="H746">
        <f>VLOOKUP($D746,'[2]LC Dynamic'!$Q$2:$U$542,5,FALSE)</f>
        <v>0.69199999999999995</v>
      </c>
      <c r="I746" s="77">
        <f t="shared" si="2252"/>
        <v>1</v>
      </c>
      <c r="J746" s="77">
        <f t="shared" si="2253"/>
        <v>6.9728499999999985E-2</v>
      </c>
      <c r="K746" s="77">
        <f t="shared" si="2043"/>
        <v>5.632878498097682E-3</v>
      </c>
      <c r="L746" s="76">
        <v>0</v>
      </c>
      <c r="M746" s="77">
        <f t="shared" si="2263"/>
        <v>0</v>
      </c>
      <c r="N746" s="77">
        <f t="shared" si="2264"/>
        <v>0</v>
      </c>
      <c r="O746" s="77">
        <f t="shared" si="2265"/>
        <v>5.6775999999999997E-3</v>
      </c>
      <c r="P746" s="77">
        <f t="shared" si="2266"/>
        <v>4.7436902124819991E-4</v>
      </c>
      <c r="R746" t="s">
        <v>177</v>
      </c>
      <c r="S746" t="s">
        <v>179</v>
      </c>
      <c r="T746" s="197" t="str">
        <f t="shared" si="2037"/>
        <v>Autopilot_Dynamic_341</v>
      </c>
      <c r="U746">
        <v>341</v>
      </c>
      <c r="V746">
        <f>VLOOKUP($U746,'[2]AP Dynamic'!$Q$1:$T$542,2,FALSE)</f>
        <v>0.88888888888888884</v>
      </c>
      <c r="W746">
        <f>VLOOKUP($U746,'[2]AP Dynamic'!$Q$1:$T$542,3,FALSE)</f>
        <v>0.11111111111111116</v>
      </c>
      <c r="X746">
        <f>VLOOKUP($U746,'[2]AP Dynamic'!$Q$1:$T$542,4,FALSE)</f>
        <v>0</v>
      </c>
      <c r="Y746" s="77">
        <f t="shared" si="2038"/>
        <v>1</v>
      </c>
      <c r="Z746" s="77">
        <f t="shared" si="2044"/>
        <v>6.3149999999999984E-2</v>
      </c>
      <c r="AA746" s="77">
        <f t="shared" si="2045"/>
        <v>5.1160591879111372E-3</v>
      </c>
      <c r="AB746" s="79">
        <v>1</v>
      </c>
      <c r="AC746" s="77">
        <f t="shared" si="2267"/>
        <v>8.277777777777778E-3</v>
      </c>
      <c r="AD746" s="77">
        <f t="shared" ref="AD746" si="2300">1-(1-AC746)^(1/12)</f>
        <v>6.9244588451522482E-4</v>
      </c>
      <c r="AE746" s="77">
        <f t="shared" si="2269"/>
        <v>2.5000000000000001E-3</v>
      </c>
      <c r="AF746" s="77">
        <f t="shared" ref="AF746" si="2301">1-(1-AE746)^(1/12)</f>
        <v>2.0857243058891584E-4</v>
      </c>
      <c r="AH746" t="s">
        <v>175</v>
      </c>
      <c r="AI746" t="s">
        <v>179</v>
      </c>
      <c r="AJ746" s="197" t="str">
        <f t="shared" si="2256"/>
        <v>Lifecycle_Dynamic_341</v>
      </c>
      <c r="AK746">
        <v>341</v>
      </c>
      <c r="AL746">
        <f>VLOOKUP($U746,[2]Standard_Dynamic!$Q$1:$T$542,2,FALSE)</f>
        <v>0.88888888888888884</v>
      </c>
      <c r="AM746">
        <f>VLOOKUP($U746,[2]Standard_Dynamic!$Q$1:$T$542,3,FALSE)</f>
        <v>0.11111111111111116</v>
      </c>
      <c r="AN746">
        <f>VLOOKUP($U746,[2]Standard_Dynamic!$Q$1:$T$542,4,FALSE)</f>
        <v>0</v>
      </c>
      <c r="AO746" s="77">
        <f t="shared" si="2257"/>
        <v>1</v>
      </c>
      <c r="AP746" s="77">
        <f t="shared" si="2271"/>
        <v>6.3149999999999984E-2</v>
      </c>
      <c r="AQ746" s="77">
        <f t="shared" si="2258"/>
        <v>5.1160591879111372E-3</v>
      </c>
      <c r="AR746" s="79">
        <v>0</v>
      </c>
      <c r="AS746" s="77">
        <f t="shared" si="2272"/>
        <v>0</v>
      </c>
      <c r="AT746" s="77">
        <f t="shared" ref="AT746" si="2302">1-(1-AS746)^(1/12)</f>
        <v>0</v>
      </c>
      <c r="AU746" s="77">
        <f t="shared" si="2274"/>
        <v>2.5000000000000001E-3</v>
      </c>
      <c r="AV746" s="77">
        <f t="shared" ref="AV746" si="2303">1-(1-AU746)^(1/12)</f>
        <v>2.0857243058891584E-4</v>
      </c>
      <c r="AX746" t="s">
        <v>178</v>
      </c>
      <c r="AY746" t="s">
        <v>162</v>
      </c>
      <c r="AZ746" s="197" t="str">
        <f t="shared" si="2070"/>
        <v>DIS_Standard_341</v>
      </c>
      <c r="BA746">
        <v>341</v>
      </c>
      <c r="BB746">
        <f>VLOOKUP($BA746,'[2]Standard DIS'!$Q$1:$X$542,4,FALSE)</f>
        <v>0</v>
      </c>
      <c r="BF746">
        <f>VLOOKUP($BA746,'[2]Standard DIS'!$Q$1:$X$542,2,FALSE)</f>
        <v>0.88888888888888884</v>
      </c>
      <c r="BH746">
        <f>VLOOKUP($BA746,'[2]Standard DIS'!$Q$1:$X$542,3,FALSE)</f>
        <v>0.11111111111111116</v>
      </c>
      <c r="BI746" s="77">
        <f t="shared" si="2261"/>
        <v>1</v>
      </c>
      <c r="BJ746" s="77">
        <f t="shared" si="2262"/>
        <v>6.3149999999999984E-2</v>
      </c>
      <c r="BK746" s="77">
        <f t="shared" si="2071"/>
        <v>5.1160591879111372E-3</v>
      </c>
      <c r="BL746" s="79">
        <v>0</v>
      </c>
      <c r="BM746" s="77">
        <f t="shared" si="2276"/>
        <v>0</v>
      </c>
      <c r="BN746" s="77">
        <f t="shared" si="2277"/>
        <v>0</v>
      </c>
      <c r="BO746" s="77">
        <f t="shared" si="2278"/>
        <v>2.5000000000000001E-3</v>
      </c>
      <c r="BP746" s="77">
        <f t="shared" si="2279"/>
        <v>2.0809499864316017E-4</v>
      </c>
    </row>
    <row r="747" spans="1:68">
      <c r="A747" t="s">
        <v>175</v>
      </c>
      <c r="B747" t="s">
        <v>179</v>
      </c>
      <c r="C747" s="197" t="str">
        <f t="shared" si="2036"/>
        <v>Lifecycle_Dynamic_340</v>
      </c>
      <c r="D747">
        <v>340</v>
      </c>
      <c r="E747">
        <f>VLOOKUP($D747,'[2]LC Dynamic'!$Q$2:$U$542,2,FALSE)</f>
        <v>0</v>
      </c>
      <c r="F747">
        <f>VLOOKUP($D747,'[2]LC Dynamic'!$Q$2:$U$542,3,FALSE)</f>
        <v>0</v>
      </c>
      <c r="G747">
        <f>VLOOKUP($D747,'[2]LC Dynamic'!$Q$2:$U$542,4,FALSE)</f>
        <v>0.308</v>
      </c>
      <c r="H747">
        <f>VLOOKUP($D747,'[2]LC Dynamic'!$Q$2:$U$542,5,FALSE)</f>
        <v>0.69199999999999995</v>
      </c>
      <c r="I747" s="77">
        <f t="shared" si="2252"/>
        <v>1</v>
      </c>
      <c r="J747" s="77">
        <f t="shared" si="2253"/>
        <v>6.9728499999999985E-2</v>
      </c>
      <c r="K747" s="77">
        <f t="shared" si="2043"/>
        <v>5.632878498097682E-3</v>
      </c>
      <c r="L747" s="76">
        <v>0</v>
      </c>
      <c r="M747" s="77">
        <f t="shared" si="2263"/>
        <v>0</v>
      </c>
      <c r="N747" s="77">
        <f t="shared" si="2264"/>
        <v>0</v>
      </c>
      <c r="O747" s="77">
        <f t="shared" si="2265"/>
        <v>5.6775999999999997E-3</v>
      </c>
      <c r="P747" s="77">
        <f t="shared" si="2266"/>
        <v>4.7436902124819991E-4</v>
      </c>
      <c r="R747" t="s">
        <v>177</v>
      </c>
      <c r="S747" t="s">
        <v>179</v>
      </c>
      <c r="T747" s="197" t="str">
        <f t="shared" si="2037"/>
        <v>Autopilot_Dynamic_340</v>
      </c>
      <c r="U747">
        <v>340</v>
      </c>
      <c r="V747">
        <f>VLOOKUP($U747,'[2]AP Dynamic'!$Q$1:$T$542,2,FALSE)</f>
        <v>0.88888888888888884</v>
      </c>
      <c r="W747">
        <f>VLOOKUP($U747,'[2]AP Dynamic'!$Q$1:$T$542,3,FALSE)</f>
        <v>0.11111111111111116</v>
      </c>
      <c r="X747">
        <f>VLOOKUP($U747,'[2]AP Dynamic'!$Q$1:$T$542,4,FALSE)</f>
        <v>0</v>
      </c>
      <c r="Y747" s="77">
        <f t="shared" si="2038"/>
        <v>1</v>
      </c>
      <c r="Z747" s="77">
        <f t="shared" si="2044"/>
        <v>6.3149999999999984E-2</v>
      </c>
      <c r="AA747" s="77">
        <f t="shared" si="2045"/>
        <v>5.1160591879111372E-3</v>
      </c>
      <c r="AB747" s="79">
        <v>1</v>
      </c>
      <c r="AC747" s="77">
        <f t="shared" si="2267"/>
        <v>8.277777777777778E-3</v>
      </c>
      <c r="AD747" s="77">
        <f t="shared" ref="AD747" si="2304">1-(1-AC747)^(1/12)</f>
        <v>6.9244588451522482E-4</v>
      </c>
      <c r="AE747" s="77">
        <f t="shared" si="2269"/>
        <v>2.5000000000000001E-3</v>
      </c>
      <c r="AF747" s="77">
        <f t="shared" ref="AF747" si="2305">1-(1-AE747)^(1/12)</f>
        <v>2.0857243058891584E-4</v>
      </c>
      <c r="AH747" t="s">
        <v>175</v>
      </c>
      <c r="AI747" t="s">
        <v>179</v>
      </c>
      <c r="AJ747" s="197" t="str">
        <f t="shared" si="2256"/>
        <v>Lifecycle_Dynamic_340</v>
      </c>
      <c r="AK747">
        <v>340</v>
      </c>
      <c r="AL747">
        <f>VLOOKUP($U747,[2]Standard_Dynamic!$Q$1:$T$542,2,FALSE)</f>
        <v>0.88888888888888884</v>
      </c>
      <c r="AM747">
        <f>VLOOKUP($U747,[2]Standard_Dynamic!$Q$1:$T$542,3,FALSE)</f>
        <v>0.11111111111111116</v>
      </c>
      <c r="AN747">
        <f>VLOOKUP($U747,[2]Standard_Dynamic!$Q$1:$T$542,4,FALSE)</f>
        <v>0</v>
      </c>
      <c r="AO747" s="77">
        <f t="shared" si="2257"/>
        <v>1</v>
      </c>
      <c r="AP747" s="77">
        <f t="shared" si="2271"/>
        <v>6.3149999999999984E-2</v>
      </c>
      <c r="AQ747" s="77">
        <f t="shared" si="2258"/>
        <v>5.1160591879111372E-3</v>
      </c>
      <c r="AR747" s="79">
        <v>0</v>
      </c>
      <c r="AS747" s="77">
        <f t="shared" si="2272"/>
        <v>0</v>
      </c>
      <c r="AT747" s="77">
        <f t="shared" ref="AT747" si="2306">1-(1-AS747)^(1/12)</f>
        <v>0</v>
      </c>
      <c r="AU747" s="77">
        <f t="shared" si="2274"/>
        <v>2.5000000000000001E-3</v>
      </c>
      <c r="AV747" s="77">
        <f t="shared" ref="AV747" si="2307">1-(1-AU747)^(1/12)</f>
        <v>2.0857243058891584E-4</v>
      </c>
      <c r="AX747" t="s">
        <v>178</v>
      </c>
      <c r="AY747" t="s">
        <v>162</v>
      </c>
      <c r="AZ747" s="197" t="str">
        <f t="shared" si="2070"/>
        <v>DIS_Standard_340</v>
      </c>
      <c r="BA747">
        <v>340</v>
      </c>
      <c r="BB747">
        <f>VLOOKUP($BA747,'[2]Standard DIS'!$Q$1:$X$542,4,FALSE)</f>
        <v>0</v>
      </c>
      <c r="BF747">
        <f>VLOOKUP($BA747,'[2]Standard DIS'!$Q$1:$X$542,2,FALSE)</f>
        <v>0.88888888888888884</v>
      </c>
      <c r="BH747">
        <f>VLOOKUP($BA747,'[2]Standard DIS'!$Q$1:$X$542,3,FALSE)</f>
        <v>0.11111111111111116</v>
      </c>
      <c r="BI747" s="77">
        <f t="shared" si="2261"/>
        <v>1</v>
      </c>
      <c r="BJ747" s="77">
        <f t="shared" si="2262"/>
        <v>6.3149999999999984E-2</v>
      </c>
      <c r="BK747" s="77">
        <f t="shared" si="2071"/>
        <v>5.1160591879111372E-3</v>
      </c>
      <c r="BL747" s="79">
        <v>0</v>
      </c>
      <c r="BM747" s="77">
        <f t="shared" si="2276"/>
        <v>0</v>
      </c>
      <c r="BN747" s="77">
        <f t="shared" si="2277"/>
        <v>0</v>
      </c>
      <c r="BO747" s="77">
        <f t="shared" si="2278"/>
        <v>2.5000000000000001E-3</v>
      </c>
      <c r="BP747" s="77">
        <f t="shared" si="2279"/>
        <v>2.0809499864316017E-4</v>
      </c>
    </row>
    <row r="748" spans="1:68">
      <c r="A748" t="s">
        <v>175</v>
      </c>
      <c r="B748" t="s">
        <v>179</v>
      </c>
      <c r="C748" s="197" t="str">
        <f t="shared" si="2036"/>
        <v>Lifecycle_Dynamic_339</v>
      </c>
      <c r="D748">
        <v>339</v>
      </c>
      <c r="E748">
        <f>VLOOKUP($D748,'[2]LC Dynamic'!$Q$2:$U$542,2,FALSE)</f>
        <v>0</v>
      </c>
      <c r="F748">
        <f>VLOOKUP($D748,'[2]LC Dynamic'!$Q$2:$U$542,3,FALSE)</f>
        <v>0</v>
      </c>
      <c r="G748">
        <f>VLOOKUP($D748,'[2]LC Dynamic'!$Q$2:$U$542,4,FALSE)</f>
        <v>0.308</v>
      </c>
      <c r="H748">
        <f>VLOOKUP($D748,'[2]LC Dynamic'!$Q$2:$U$542,5,FALSE)</f>
        <v>0.69199999999999995</v>
      </c>
      <c r="I748" s="77">
        <f t="shared" si="2252"/>
        <v>1</v>
      </c>
      <c r="J748" s="77">
        <f t="shared" si="2253"/>
        <v>6.9728499999999985E-2</v>
      </c>
      <c r="K748" s="77">
        <f t="shared" si="2043"/>
        <v>5.632878498097682E-3</v>
      </c>
      <c r="L748" s="76">
        <v>0</v>
      </c>
      <c r="M748" s="77">
        <f t="shared" si="2263"/>
        <v>0</v>
      </c>
      <c r="N748" s="77">
        <f t="shared" si="2264"/>
        <v>0</v>
      </c>
      <c r="O748" s="77">
        <f t="shared" si="2265"/>
        <v>5.6775999999999997E-3</v>
      </c>
      <c r="P748" s="77">
        <f t="shared" si="2266"/>
        <v>4.7436902124819991E-4</v>
      </c>
      <c r="R748" t="s">
        <v>177</v>
      </c>
      <c r="S748" t="s">
        <v>179</v>
      </c>
      <c r="T748" s="197" t="str">
        <f t="shared" si="2037"/>
        <v>Autopilot_Dynamic_339</v>
      </c>
      <c r="U748">
        <v>339</v>
      </c>
      <c r="V748">
        <f>VLOOKUP($U748,'[2]AP Dynamic'!$Q$1:$T$542,2,FALSE)</f>
        <v>0.88888888888888884</v>
      </c>
      <c r="W748">
        <f>VLOOKUP($U748,'[2]AP Dynamic'!$Q$1:$T$542,3,FALSE)</f>
        <v>0.11111111111111116</v>
      </c>
      <c r="X748">
        <f>VLOOKUP($U748,'[2]AP Dynamic'!$Q$1:$T$542,4,FALSE)</f>
        <v>0</v>
      </c>
      <c r="Y748" s="77">
        <f t="shared" si="2038"/>
        <v>1</v>
      </c>
      <c r="Z748" s="77">
        <f t="shared" si="2044"/>
        <v>6.3149999999999984E-2</v>
      </c>
      <c r="AA748" s="77">
        <f t="shared" si="2045"/>
        <v>5.1160591879111372E-3</v>
      </c>
      <c r="AB748" s="79">
        <v>1</v>
      </c>
      <c r="AC748" s="77">
        <f t="shared" si="2267"/>
        <v>8.277777777777778E-3</v>
      </c>
      <c r="AD748" s="77">
        <f t="shared" ref="AD748" si="2308">1-(1-AC748)^(1/12)</f>
        <v>6.9244588451522482E-4</v>
      </c>
      <c r="AE748" s="77">
        <f t="shared" si="2269"/>
        <v>2.5000000000000001E-3</v>
      </c>
      <c r="AF748" s="77">
        <f t="shared" ref="AF748" si="2309">1-(1-AE748)^(1/12)</f>
        <v>2.0857243058891584E-4</v>
      </c>
      <c r="AH748" t="s">
        <v>175</v>
      </c>
      <c r="AI748" t="s">
        <v>179</v>
      </c>
      <c r="AJ748" s="197" t="str">
        <f t="shared" si="2256"/>
        <v>Lifecycle_Dynamic_339</v>
      </c>
      <c r="AK748">
        <v>339</v>
      </c>
      <c r="AL748">
        <f>VLOOKUP($U748,[2]Standard_Dynamic!$Q$1:$T$542,2,FALSE)</f>
        <v>0.88888888888888884</v>
      </c>
      <c r="AM748">
        <f>VLOOKUP($U748,[2]Standard_Dynamic!$Q$1:$T$542,3,FALSE)</f>
        <v>0.11111111111111116</v>
      </c>
      <c r="AN748">
        <f>VLOOKUP($U748,[2]Standard_Dynamic!$Q$1:$T$542,4,FALSE)</f>
        <v>0</v>
      </c>
      <c r="AO748" s="77">
        <f t="shared" si="2257"/>
        <v>1</v>
      </c>
      <c r="AP748" s="77">
        <f t="shared" si="2271"/>
        <v>6.3149999999999984E-2</v>
      </c>
      <c r="AQ748" s="77">
        <f t="shared" si="2258"/>
        <v>5.1160591879111372E-3</v>
      </c>
      <c r="AR748" s="79">
        <v>0</v>
      </c>
      <c r="AS748" s="77">
        <f t="shared" si="2272"/>
        <v>0</v>
      </c>
      <c r="AT748" s="77">
        <f t="shared" ref="AT748" si="2310">1-(1-AS748)^(1/12)</f>
        <v>0</v>
      </c>
      <c r="AU748" s="77">
        <f t="shared" si="2274"/>
        <v>2.5000000000000001E-3</v>
      </c>
      <c r="AV748" s="77">
        <f t="shared" ref="AV748" si="2311">1-(1-AU748)^(1/12)</f>
        <v>2.0857243058891584E-4</v>
      </c>
      <c r="AX748" t="s">
        <v>178</v>
      </c>
      <c r="AY748" t="s">
        <v>162</v>
      </c>
      <c r="AZ748" s="197" t="str">
        <f t="shared" si="2070"/>
        <v>DIS_Standard_339</v>
      </c>
      <c r="BA748">
        <v>339</v>
      </c>
      <c r="BB748">
        <f>VLOOKUP($BA748,'[2]Standard DIS'!$Q$1:$X$542,4,FALSE)</f>
        <v>0</v>
      </c>
      <c r="BF748">
        <f>VLOOKUP($BA748,'[2]Standard DIS'!$Q$1:$X$542,2,FALSE)</f>
        <v>0.88888888888888884</v>
      </c>
      <c r="BH748">
        <f>VLOOKUP($BA748,'[2]Standard DIS'!$Q$1:$X$542,3,FALSE)</f>
        <v>0.11111111111111116</v>
      </c>
      <c r="BI748" s="77">
        <f t="shared" si="2261"/>
        <v>1</v>
      </c>
      <c r="BJ748" s="77">
        <f t="shared" si="2262"/>
        <v>6.3149999999999984E-2</v>
      </c>
      <c r="BK748" s="77">
        <f t="shared" si="2071"/>
        <v>5.1160591879111372E-3</v>
      </c>
      <c r="BL748" s="79">
        <v>0</v>
      </c>
      <c r="BM748" s="77">
        <f t="shared" si="2276"/>
        <v>0</v>
      </c>
      <c r="BN748" s="77">
        <f t="shared" si="2277"/>
        <v>0</v>
      </c>
      <c r="BO748" s="77">
        <f t="shared" si="2278"/>
        <v>2.5000000000000001E-3</v>
      </c>
      <c r="BP748" s="77">
        <f t="shared" si="2279"/>
        <v>2.0809499864316017E-4</v>
      </c>
    </row>
    <row r="749" spans="1:68">
      <c r="A749" t="s">
        <v>175</v>
      </c>
      <c r="B749" t="s">
        <v>179</v>
      </c>
      <c r="C749" s="197" t="str">
        <f t="shared" si="2036"/>
        <v>Lifecycle_Dynamic_338</v>
      </c>
      <c r="D749">
        <v>338</v>
      </c>
      <c r="E749">
        <f>VLOOKUP($D749,'[2]LC Dynamic'!$Q$2:$U$542,2,FALSE)</f>
        <v>0</v>
      </c>
      <c r="F749">
        <f>VLOOKUP($D749,'[2]LC Dynamic'!$Q$2:$U$542,3,FALSE)</f>
        <v>0</v>
      </c>
      <c r="G749">
        <f>VLOOKUP($D749,'[2]LC Dynamic'!$Q$2:$U$542,4,FALSE)</f>
        <v>0.308</v>
      </c>
      <c r="H749">
        <f>VLOOKUP($D749,'[2]LC Dynamic'!$Q$2:$U$542,5,FALSE)</f>
        <v>0.69199999999999995</v>
      </c>
      <c r="I749" s="77">
        <f t="shared" si="2252"/>
        <v>1</v>
      </c>
      <c r="J749" s="77">
        <f t="shared" si="2253"/>
        <v>6.9728499999999985E-2</v>
      </c>
      <c r="K749" s="77">
        <f t="shared" si="2043"/>
        <v>5.632878498097682E-3</v>
      </c>
      <c r="L749" s="76">
        <v>0</v>
      </c>
      <c r="M749" s="77">
        <f t="shared" si="2263"/>
        <v>0</v>
      </c>
      <c r="N749" s="77">
        <f t="shared" si="2264"/>
        <v>0</v>
      </c>
      <c r="O749" s="77">
        <f t="shared" si="2265"/>
        <v>5.6775999999999997E-3</v>
      </c>
      <c r="P749" s="77">
        <f t="shared" si="2266"/>
        <v>4.7436902124819991E-4</v>
      </c>
      <c r="R749" t="s">
        <v>177</v>
      </c>
      <c r="S749" t="s">
        <v>179</v>
      </c>
      <c r="T749" s="197" t="str">
        <f t="shared" si="2037"/>
        <v>Autopilot_Dynamic_338</v>
      </c>
      <c r="U749">
        <v>338</v>
      </c>
      <c r="V749">
        <f>VLOOKUP($U749,'[2]AP Dynamic'!$Q$1:$T$542,2,FALSE)</f>
        <v>0.88888888888888884</v>
      </c>
      <c r="W749">
        <f>VLOOKUP($U749,'[2]AP Dynamic'!$Q$1:$T$542,3,FALSE)</f>
        <v>0.11111111111111116</v>
      </c>
      <c r="X749">
        <f>VLOOKUP($U749,'[2]AP Dynamic'!$Q$1:$T$542,4,FALSE)</f>
        <v>0</v>
      </c>
      <c r="Y749" s="77">
        <f t="shared" si="2038"/>
        <v>1</v>
      </c>
      <c r="Z749" s="77">
        <f t="shared" si="2044"/>
        <v>6.3149999999999984E-2</v>
      </c>
      <c r="AA749" s="77">
        <f t="shared" si="2045"/>
        <v>5.1160591879111372E-3</v>
      </c>
      <c r="AB749" s="79">
        <v>1</v>
      </c>
      <c r="AC749" s="77">
        <f t="shared" si="2267"/>
        <v>8.277777777777778E-3</v>
      </c>
      <c r="AD749" s="77">
        <f t="shared" ref="AD749" si="2312">1-(1-AC749)^(1/12)</f>
        <v>6.9244588451522482E-4</v>
      </c>
      <c r="AE749" s="77">
        <f t="shared" si="2269"/>
        <v>2.5000000000000001E-3</v>
      </c>
      <c r="AF749" s="77">
        <f t="shared" ref="AF749" si="2313">1-(1-AE749)^(1/12)</f>
        <v>2.0857243058891584E-4</v>
      </c>
      <c r="AH749" t="s">
        <v>175</v>
      </c>
      <c r="AI749" t="s">
        <v>179</v>
      </c>
      <c r="AJ749" s="197" t="str">
        <f t="shared" si="2256"/>
        <v>Lifecycle_Dynamic_338</v>
      </c>
      <c r="AK749">
        <v>338</v>
      </c>
      <c r="AL749">
        <f>VLOOKUP($U749,[2]Standard_Dynamic!$Q$1:$T$542,2,FALSE)</f>
        <v>0.88888888888888884</v>
      </c>
      <c r="AM749">
        <f>VLOOKUP($U749,[2]Standard_Dynamic!$Q$1:$T$542,3,FALSE)</f>
        <v>0.11111111111111116</v>
      </c>
      <c r="AN749">
        <f>VLOOKUP($U749,[2]Standard_Dynamic!$Q$1:$T$542,4,FALSE)</f>
        <v>0</v>
      </c>
      <c r="AO749" s="77">
        <f t="shared" si="2257"/>
        <v>1</v>
      </c>
      <c r="AP749" s="77">
        <f t="shared" si="2271"/>
        <v>6.3149999999999984E-2</v>
      </c>
      <c r="AQ749" s="77">
        <f t="shared" si="2258"/>
        <v>5.1160591879111372E-3</v>
      </c>
      <c r="AR749" s="79">
        <v>0</v>
      </c>
      <c r="AS749" s="77">
        <f t="shared" si="2272"/>
        <v>0</v>
      </c>
      <c r="AT749" s="77">
        <f t="shared" ref="AT749" si="2314">1-(1-AS749)^(1/12)</f>
        <v>0</v>
      </c>
      <c r="AU749" s="77">
        <f t="shared" si="2274"/>
        <v>2.5000000000000001E-3</v>
      </c>
      <c r="AV749" s="77">
        <f t="shared" ref="AV749" si="2315">1-(1-AU749)^(1/12)</f>
        <v>2.0857243058891584E-4</v>
      </c>
      <c r="AX749" t="s">
        <v>178</v>
      </c>
      <c r="AY749" t="s">
        <v>162</v>
      </c>
      <c r="AZ749" s="197" t="str">
        <f t="shared" si="2070"/>
        <v>DIS_Standard_338</v>
      </c>
      <c r="BA749">
        <v>338</v>
      </c>
      <c r="BB749">
        <f>VLOOKUP($BA749,'[2]Standard DIS'!$Q$1:$X$542,4,FALSE)</f>
        <v>0</v>
      </c>
      <c r="BF749">
        <f>VLOOKUP($BA749,'[2]Standard DIS'!$Q$1:$X$542,2,FALSE)</f>
        <v>0.88888888888888884</v>
      </c>
      <c r="BH749">
        <f>VLOOKUP($BA749,'[2]Standard DIS'!$Q$1:$X$542,3,FALSE)</f>
        <v>0.11111111111111116</v>
      </c>
      <c r="BI749" s="77">
        <f t="shared" si="2261"/>
        <v>1</v>
      </c>
      <c r="BJ749" s="77">
        <f t="shared" si="2262"/>
        <v>6.3149999999999984E-2</v>
      </c>
      <c r="BK749" s="77">
        <f t="shared" si="2071"/>
        <v>5.1160591879111372E-3</v>
      </c>
      <c r="BL749" s="79">
        <v>0</v>
      </c>
      <c r="BM749" s="77">
        <f t="shared" si="2276"/>
        <v>0</v>
      </c>
      <c r="BN749" s="77">
        <f t="shared" si="2277"/>
        <v>0</v>
      </c>
      <c r="BO749" s="77">
        <f t="shared" si="2278"/>
        <v>2.5000000000000001E-3</v>
      </c>
      <c r="BP749" s="77">
        <f t="shared" si="2279"/>
        <v>2.0809499864316017E-4</v>
      </c>
    </row>
    <row r="750" spans="1:68">
      <c r="A750" t="s">
        <v>175</v>
      </c>
      <c r="B750" t="s">
        <v>179</v>
      </c>
      <c r="C750" s="197" t="str">
        <f t="shared" si="2036"/>
        <v>Lifecycle_Dynamic_337</v>
      </c>
      <c r="D750">
        <v>337</v>
      </c>
      <c r="E750">
        <f>VLOOKUP($D750,'[2]LC Dynamic'!$Q$2:$U$542,2,FALSE)</f>
        <v>0</v>
      </c>
      <c r="F750">
        <f>VLOOKUP($D750,'[2]LC Dynamic'!$Q$2:$U$542,3,FALSE)</f>
        <v>0</v>
      </c>
      <c r="G750">
        <f>VLOOKUP($D750,'[2]LC Dynamic'!$Q$2:$U$542,4,FALSE)</f>
        <v>0.308</v>
      </c>
      <c r="H750">
        <f>VLOOKUP($D750,'[2]LC Dynamic'!$Q$2:$U$542,5,FALSE)</f>
        <v>0.69199999999999995</v>
      </c>
      <c r="I750" s="77">
        <f t="shared" si="2252"/>
        <v>1</v>
      </c>
      <c r="J750" s="77">
        <f t="shared" si="2253"/>
        <v>6.9728499999999985E-2</v>
      </c>
      <c r="K750" s="77">
        <f t="shared" si="2043"/>
        <v>5.632878498097682E-3</v>
      </c>
      <c r="L750" s="76">
        <v>0</v>
      </c>
      <c r="M750" s="77">
        <f t="shared" si="2263"/>
        <v>0</v>
      </c>
      <c r="N750" s="77">
        <f t="shared" si="2264"/>
        <v>0</v>
      </c>
      <c r="O750" s="77">
        <f t="shared" si="2265"/>
        <v>5.6775999999999997E-3</v>
      </c>
      <c r="P750" s="77">
        <f t="shared" si="2266"/>
        <v>4.7436902124819991E-4</v>
      </c>
      <c r="R750" t="s">
        <v>177</v>
      </c>
      <c r="S750" t="s">
        <v>179</v>
      </c>
      <c r="T750" s="197" t="str">
        <f t="shared" si="2037"/>
        <v>Autopilot_Dynamic_337</v>
      </c>
      <c r="U750">
        <v>337</v>
      </c>
      <c r="V750">
        <f>VLOOKUP($U750,'[2]AP Dynamic'!$Q$1:$T$542,2,FALSE)</f>
        <v>0.88888888888888884</v>
      </c>
      <c r="W750">
        <f>VLOOKUP($U750,'[2]AP Dynamic'!$Q$1:$T$542,3,FALSE)</f>
        <v>0.11111111111111116</v>
      </c>
      <c r="X750">
        <f>VLOOKUP($U750,'[2]AP Dynamic'!$Q$1:$T$542,4,FALSE)</f>
        <v>0</v>
      </c>
      <c r="Y750" s="77">
        <f t="shared" si="2038"/>
        <v>1</v>
      </c>
      <c r="Z750" s="77">
        <f t="shared" si="2044"/>
        <v>6.3149999999999984E-2</v>
      </c>
      <c r="AA750" s="77">
        <f t="shared" si="2045"/>
        <v>5.1160591879111372E-3</v>
      </c>
      <c r="AB750" s="79">
        <v>1</v>
      </c>
      <c r="AC750" s="77">
        <f t="shared" si="2267"/>
        <v>8.277777777777778E-3</v>
      </c>
      <c r="AD750" s="77">
        <f t="shared" ref="AD750" si="2316">1-(1-AC750)^(1/12)</f>
        <v>6.9244588451522482E-4</v>
      </c>
      <c r="AE750" s="77">
        <f t="shared" si="2269"/>
        <v>2.5000000000000001E-3</v>
      </c>
      <c r="AF750" s="77">
        <f t="shared" ref="AF750" si="2317">1-(1-AE750)^(1/12)</f>
        <v>2.0857243058891584E-4</v>
      </c>
      <c r="AH750" t="s">
        <v>175</v>
      </c>
      <c r="AI750" t="s">
        <v>179</v>
      </c>
      <c r="AJ750" s="197" t="str">
        <f t="shared" si="2256"/>
        <v>Lifecycle_Dynamic_337</v>
      </c>
      <c r="AK750">
        <v>337</v>
      </c>
      <c r="AL750">
        <f>VLOOKUP($U750,[2]Standard_Dynamic!$Q$1:$T$542,2,FALSE)</f>
        <v>0.88888888888888884</v>
      </c>
      <c r="AM750">
        <f>VLOOKUP($U750,[2]Standard_Dynamic!$Q$1:$T$542,3,FALSE)</f>
        <v>0.11111111111111116</v>
      </c>
      <c r="AN750">
        <f>VLOOKUP($U750,[2]Standard_Dynamic!$Q$1:$T$542,4,FALSE)</f>
        <v>0</v>
      </c>
      <c r="AO750" s="77">
        <f t="shared" si="2257"/>
        <v>1</v>
      </c>
      <c r="AP750" s="77">
        <f t="shared" si="2271"/>
        <v>6.3149999999999984E-2</v>
      </c>
      <c r="AQ750" s="77">
        <f t="shared" si="2258"/>
        <v>5.1160591879111372E-3</v>
      </c>
      <c r="AR750" s="79">
        <v>0</v>
      </c>
      <c r="AS750" s="77">
        <f t="shared" si="2272"/>
        <v>0</v>
      </c>
      <c r="AT750" s="77">
        <f t="shared" ref="AT750" si="2318">1-(1-AS750)^(1/12)</f>
        <v>0</v>
      </c>
      <c r="AU750" s="77">
        <f t="shared" si="2274"/>
        <v>2.5000000000000001E-3</v>
      </c>
      <c r="AV750" s="77">
        <f t="shared" ref="AV750" si="2319">1-(1-AU750)^(1/12)</f>
        <v>2.0857243058891584E-4</v>
      </c>
      <c r="AX750" t="s">
        <v>178</v>
      </c>
      <c r="AY750" t="s">
        <v>162</v>
      </c>
      <c r="AZ750" s="197" t="str">
        <f t="shared" si="2070"/>
        <v>DIS_Standard_337</v>
      </c>
      <c r="BA750">
        <v>337</v>
      </c>
      <c r="BB750">
        <f>VLOOKUP($BA750,'[2]Standard DIS'!$Q$1:$X$542,4,FALSE)</f>
        <v>0</v>
      </c>
      <c r="BF750">
        <f>VLOOKUP($BA750,'[2]Standard DIS'!$Q$1:$X$542,2,FALSE)</f>
        <v>0.88888888888888884</v>
      </c>
      <c r="BH750">
        <f>VLOOKUP($BA750,'[2]Standard DIS'!$Q$1:$X$542,3,FALSE)</f>
        <v>0.11111111111111116</v>
      </c>
      <c r="BI750" s="77">
        <f t="shared" si="2261"/>
        <v>1</v>
      </c>
      <c r="BJ750" s="77">
        <f t="shared" si="2262"/>
        <v>6.3149999999999984E-2</v>
      </c>
      <c r="BK750" s="77">
        <f t="shared" si="2071"/>
        <v>5.1160591879111372E-3</v>
      </c>
      <c r="BL750" s="79">
        <v>0</v>
      </c>
      <c r="BM750" s="77">
        <f t="shared" si="2276"/>
        <v>0</v>
      </c>
      <c r="BN750" s="77">
        <f t="shared" si="2277"/>
        <v>0</v>
      </c>
      <c r="BO750" s="77">
        <f t="shared" si="2278"/>
        <v>2.5000000000000001E-3</v>
      </c>
      <c r="BP750" s="77">
        <f t="shared" si="2279"/>
        <v>2.0809499864316017E-4</v>
      </c>
    </row>
    <row r="751" spans="1:68">
      <c r="A751" t="s">
        <v>175</v>
      </c>
      <c r="B751" t="s">
        <v>179</v>
      </c>
      <c r="C751" s="197" t="str">
        <f t="shared" ref="C751:C814" si="2320">A751&amp;"_"&amp;B751&amp;"_"&amp;D751</f>
        <v>Lifecycle_Dynamic_336</v>
      </c>
      <c r="D751">
        <v>336</v>
      </c>
      <c r="E751">
        <f>VLOOKUP($D751,'[2]LC Dynamic'!$Q$2:$U$542,2,FALSE)</f>
        <v>0</v>
      </c>
      <c r="F751">
        <f>VLOOKUP($D751,'[2]LC Dynamic'!$Q$2:$U$542,3,FALSE)</f>
        <v>0</v>
      </c>
      <c r="G751">
        <f>VLOOKUP($D751,'[2]LC Dynamic'!$Q$2:$U$542,4,FALSE)</f>
        <v>0.308</v>
      </c>
      <c r="H751">
        <f>VLOOKUP($D751,'[2]LC Dynamic'!$Q$2:$U$542,5,FALSE)</f>
        <v>0.69199999999999995</v>
      </c>
      <c r="I751" s="77">
        <f t="shared" si="2252"/>
        <v>1</v>
      </c>
      <c r="J751" s="77">
        <f t="shared" si="2253"/>
        <v>6.9728499999999985E-2</v>
      </c>
      <c r="K751" s="77">
        <f t="shared" si="2043"/>
        <v>5.632878498097682E-3</v>
      </c>
      <c r="L751" s="76">
        <v>0</v>
      </c>
      <c r="M751" s="77">
        <f t="shared" si="2263"/>
        <v>0</v>
      </c>
      <c r="N751" s="77">
        <f t="shared" si="2264"/>
        <v>0</v>
      </c>
      <c r="O751" s="77">
        <f t="shared" si="2265"/>
        <v>5.6775999999999997E-3</v>
      </c>
      <c r="P751" s="77">
        <f t="shared" si="2266"/>
        <v>4.7436902124819991E-4</v>
      </c>
      <c r="R751" t="s">
        <v>177</v>
      </c>
      <c r="S751" t="s">
        <v>179</v>
      </c>
      <c r="T751" s="197" t="str">
        <f t="shared" ref="T751:T814" si="2321">R751&amp;"_"&amp;S751&amp;"_"&amp;U751</f>
        <v>Autopilot_Dynamic_336</v>
      </c>
      <c r="U751">
        <v>336</v>
      </c>
      <c r="V751">
        <f>VLOOKUP($U751,'[2]AP Dynamic'!$Q$1:$T$542,2,FALSE)</f>
        <v>0.88888888888888884</v>
      </c>
      <c r="W751">
        <f>VLOOKUP($U751,'[2]AP Dynamic'!$Q$1:$T$542,3,FALSE)</f>
        <v>0.11111111111111116</v>
      </c>
      <c r="X751">
        <f>VLOOKUP($U751,'[2]AP Dynamic'!$Q$1:$T$542,4,FALSE)</f>
        <v>0</v>
      </c>
      <c r="Y751" s="77">
        <f t="shared" ref="Y751:Y814" si="2322">SUM(V751:X751)</f>
        <v>1</v>
      </c>
      <c r="Z751" s="77">
        <f t="shared" si="2044"/>
        <v>6.3149999999999984E-2</v>
      </c>
      <c r="AA751" s="77">
        <f t="shared" si="2045"/>
        <v>5.1160591879111372E-3</v>
      </c>
      <c r="AB751" s="79">
        <v>1</v>
      </c>
      <c r="AC751" s="77">
        <f t="shared" si="2267"/>
        <v>8.277777777777778E-3</v>
      </c>
      <c r="AD751" s="77">
        <f t="shared" ref="AD751" si="2323">1-(1-AC751)^(1/12)</f>
        <v>6.9244588451522482E-4</v>
      </c>
      <c r="AE751" s="77">
        <f t="shared" si="2269"/>
        <v>2.5000000000000001E-3</v>
      </c>
      <c r="AF751" s="77">
        <f t="shared" ref="AF751" si="2324">1-(1-AE751)^(1/12)</f>
        <v>2.0857243058891584E-4</v>
      </c>
      <c r="AH751" t="s">
        <v>175</v>
      </c>
      <c r="AI751" t="s">
        <v>179</v>
      </c>
      <c r="AJ751" s="197" t="str">
        <f t="shared" si="2256"/>
        <v>Lifecycle_Dynamic_336</v>
      </c>
      <c r="AK751">
        <v>336</v>
      </c>
      <c r="AL751">
        <f>VLOOKUP($U751,[2]Standard_Dynamic!$Q$1:$T$542,2,FALSE)</f>
        <v>0.88888888888888884</v>
      </c>
      <c r="AM751">
        <f>VLOOKUP($U751,[2]Standard_Dynamic!$Q$1:$T$542,3,FALSE)</f>
        <v>0.11111111111111116</v>
      </c>
      <c r="AN751">
        <f>VLOOKUP($U751,[2]Standard_Dynamic!$Q$1:$T$542,4,FALSE)</f>
        <v>0</v>
      </c>
      <c r="AO751" s="77">
        <f t="shared" si="2257"/>
        <v>1</v>
      </c>
      <c r="AP751" s="77">
        <f t="shared" si="2271"/>
        <v>6.3149999999999984E-2</v>
      </c>
      <c r="AQ751" s="77">
        <f t="shared" si="2258"/>
        <v>5.1160591879111372E-3</v>
      </c>
      <c r="AR751" s="79">
        <v>0</v>
      </c>
      <c r="AS751" s="77">
        <f t="shared" si="2272"/>
        <v>0</v>
      </c>
      <c r="AT751" s="77">
        <f t="shared" ref="AT751" si="2325">1-(1-AS751)^(1/12)</f>
        <v>0</v>
      </c>
      <c r="AU751" s="77">
        <f t="shared" si="2274"/>
        <v>2.5000000000000001E-3</v>
      </c>
      <c r="AV751" s="77">
        <f t="shared" ref="AV751" si="2326">1-(1-AU751)^(1/12)</f>
        <v>2.0857243058891584E-4</v>
      </c>
      <c r="AX751" t="s">
        <v>178</v>
      </c>
      <c r="AY751" t="s">
        <v>162</v>
      </c>
      <c r="AZ751" s="197" t="str">
        <f t="shared" si="2070"/>
        <v>DIS_Standard_336</v>
      </c>
      <c r="BA751">
        <v>336</v>
      </c>
      <c r="BB751">
        <f>VLOOKUP($BA751,'[2]Standard DIS'!$Q$1:$X$542,4,FALSE)</f>
        <v>0</v>
      </c>
      <c r="BF751">
        <f>VLOOKUP($BA751,'[2]Standard DIS'!$Q$1:$X$542,2,FALSE)</f>
        <v>0.88888888888888884</v>
      </c>
      <c r="BH751">
        <f>VLOOKUP($BA751,'[2]Standard DIS'!$Q$1:$X$542,3,FALSE)</f>
        <v>0.11111111111111116</v>
      </c>
      <c r="BI751" s="77">
        <f t="shared" si="2261"/>
        <v>1</v>
      </c>
      <c r="BJ751" s="77">
        <f t="shared" si="2262"/>
        <v>6.3149999999999984E-2</v>
      </c>
      <c r="BK751" s="77">
        <f t="shared" si="2071"/>
        <v>5.1160591879111372E-3</v>
      </c>
      <c r="BL751" s="79">
        <v>0</v>
      </c>
      <c r="BM751" s="77">
        <f t="shared" si="2276"/>
        <v>0</v>
      </c>
      <c r="BN751" s="77">
        <f t="shared" si="2277"/>
        <v>0</v>
      </c>
      <c r="BO751" s="77">
        <f t="shared" si="2278"/>
        <v>2.5000000000000001E-3</v>
      </c>
      <c r="BP751" s="77">
        <f t="shared" si="2279"/>
        <v>2.0809499864316017E-4</v>
      </c>
    </row>
    <row r="752" spans="1:68">
      <c r="A752" t="s">
        <v>175</v>
      </c>
      <c r="B752" t="s">
        <v>179</v>
      </c>
      <c r="C752" s="197" t="str">
        <f t="shared" si="2320"/>
        <v>Lifecycle_Dynamic_335</v>
      </c>
      <c r="D752">
        <v>335</v>
      </c>
      <c r="E752">
        <f>VLOOKUP($D752,'[2]LC Dynamic'!$Q$2:$U$542,2,FALSE)</f>
        <v>0</v>
      </c>
      <c r="F752">
        <f>VLOOKUP($D752,'[2]LC Dynamic'!$Q$2:$U$542,3,FALSE)</f>
        <v>0</v>
      </c>
      <c r="G752">
        <f>VLOOKUP($D752,'[2]LC Dynamic'!$Q$2:$U$542,4,FALSE)</f>
        <v>0.308</v>
      </c>
      <c r="H752">
        <f>VLOOKUP($D752,'[2]LC Dynamic'!$Q$2:$U$542,5,FALSE)</f>
        <v>0.69199999999999995</v>
      </c>
      <c r="I752" s="77">
        <f t="shared" si="2252"/>
        <v>1</v>
      </c>
      <c r="J752" s="77">
        <f t="shared" si="2253"/>
        <v>6.9728499999999985E-2</v>
      </c>
      <c r="K752" s="77">
        <f t="shared" ref="K752:K815" si="2327">(1+J752)^(1/12)-1</f>
        <v>5.632878498097682E-3</v>
      </c>
      <c r="L752" s="76">
        <v>0</v>
      </c>
      <c r="M752" s="77">
        <f t="shared" si="2263"/>
        <v>0</v>
      </c>
      <c r="N752" s="77">
        <f t="shared" si="2264"/>
        <v>0</v>
      </c>
      <c r="O752" s="77">
        <f t="shared" si="2265"/>
        <v>5.6775999999999997E-3</v>
      </c>
      <c r="P752" s="77">
        <f t="shared" si="2266"/>
        <v>4.7436902124819991E-4</v>
      </c>
      <c r="R752" t="s">
        <v>177</v>
      </c>
      <c r="S752" t="s">
        <v>179</v>
      </c>
      <c r="T752" s="197" t="str">
        <f t="shared" si="2321"/>
        <v>Autopilot_Dynamic_335</v>
      </c>
      <c r="U752">
        <v>335</v>
      </c>
      <c r="V752">
        <f>VLOOKUP($U752,'[2]AP Dynamic'!$Q$1:$T$542,2,FALSE)</f>
        <v>0.88888888888888884</v>
      </c>
      <c r="W752">
        <f>VLOOKUP($U752,'[2]AP Dynamic'!$Q$1:$T$542,3,FALSE)</f>
        <v>0.11111111111111116</v>
      </c>
      <c r="X752">
        <f>VLOOKUP($U752,'[2]AP Dynamic'!$Q$1:$T$542,4,FALSE)</f>
        <v>0</v>
      </c>
      <c r="Y752" s="77">
        <f t="shared" si="2322"/>
        <v>1</v>
      </c>
      <c r="Z752" s="77">
        <f t="shared" ref="Z752:Z815" si="2328">SUMPRODUCT($V$1:$X$1,V752:X752)</f>
        <v>6.3149999999999984E-2</v>
      </c>
      <c r="AA752" s="77">
        <f t="shared" ref="AA752:AA815" si="2329">(1+Z752)^(1/12)-1</f>
        <v>5.1160591879111372E-3</v>
      </c>
      <c r="AB752" s="79">
        <v>1</v>
      </c>
      <c r="AC752" s="77">
        <f t="shared" si="2267"/>
        <v>8.277777777777778E-3</v>
      </c>
      <c r="AD752" s="77">
        <f t="shared" ref="AD752" si="2330">1-(1-AC752)^(1/12)</f>
        <v>6.9244588451522482E-4</v>
      </c>
      <c r="AE752" s="77">
        <f t="shared" si="2269"/>
        <v>2.5000000000000001E-3</v>
      </c>
      <c r="AF752" s="77">
        <f t="shared" ref="AF752" si="2331">1-(1-AE752)^(1/12)</f>
        <v>2.0857243058891584E-4</v>
      </c>
      <c r="AH752" t="s">
        <v>175</v>
      </c>
      <c r="AI752" t="s">
        <v>179</v>
      </c>
      <c r="AJ752" s="197" t="str">
        <f t="shared" si="2256"/>
        <v>Lifecycle_Dynamic_335</v>
      </c>
      <c r="AK752">
        <v>335</v>
      </c>
      <c r="AL752">
        <f>VLOOKUP($U752,[2]Standard_Dynamic!$Q$1:$T$542,2,FALSE)</f>
        <v>0.88888888888888884</v>
      </c>
      <c r="AM752">
        <f>VLOOKUP($U752,[2]Standard_Dynamic!$Q$1:$T$542,3,FALSE)</f>
        <v>0.11111111111111116</v>
      </c>
      <c r="AN752">
        <f>VLOOKUP($U752,[2]Standard_Dynamic!$Q$1:$T$542,4,FALSE)</f>
        <v>0</v>
      </c>
      <c r="AO752" s="77">
        <f t="shared" si="2257"/>
        <v>1</v>
      </c>
      <c r="AP752" s="77">
        <f t="shared" si="2271"/>
        <v>6.3149999999999984E-2</v>
      </c>
      <c r="AQ752" s="77">
        <f t="shared" si="2258"/>
        <v>5.1160591879111372E-3</v>
      </c>
      <c r="AR752" s="79">
        <v>0</v>
      </c>
      <c r="AS752" s="77">
        <f t="shared" si="2272"/>
        <v>0</v>
      </c>
      <c r="AT752" s="77">
        <f t="shared" ref="AT752" si="2332">1-(1-AS752)^(1/12)</f>
        <v>0</v>
      </c>
      <c r="AU752" s="77">
        <f t="shared" si="2274"/>
        <v>2.5000000000000001E-3</v>
      </c>
      <c r="AV752" s="77">
        <f t="shared" ref="AV752" si="2333">1-(1-AU752)^(1/12)</f>
        <v>2.0857243058891584E-4</v>
      </c>
      <c r="AX752" t="s">
        <v>178</v>
      </c>
      <c r="AY752" t="s">
        <v>162</v>
      </c>
      <c r="AZ752" s="197" t="str">
        <f t="shared" si="2070"/>
        <v>DIS_Standard_335</v>
      </c>
      <c r="BA752">
        <v>335</v>
      </c>
      <c r="BB752">
        <f>VLOOKUP($BA752,'[2]Standard DIS'!$Q$1:$X$542,4,FALSE)</f>
        <v>0</v>
      </c>
      <c r="BF752">
        <f>VLOOKUP($BA752,'[2]Standard DIS'!$Q$1:$X$542,2,FALSE)</f>
        <v>0.88888888888888884</v>
      </c>
      <c r="BH752">
        <f>VLOOKUP($BA752,'[2]Standard DIS'!$Q$1:$X$542,3,FALSE)</f>
        <v>0.11111111111111116</v>
      </c>
      <c r="BI752" s="77">
        <f t="shared" si="2261"/>
        <v>1</v>
      </c>
      <c r="BJ752" s="77">
        <f t="shared" si="2262"/>
        <v>6.3149999999999984E-2</v>
      </c>
      <c r="BK752" s="77">
        <f t="shared" si="2071"/>
        <v>5.1160591879111372E-3</v>
      </c>
      <c r="BL752" s="79">
        <v>0</v>
      </c>
      <c r="BM752" s="77">
        <f t="shared" si="2276"/>
        <v>0</v>
      </c>
      <c r="BN752" s="77">
        <f t="shared" si="2277"/>
        <v>0</v>
      </c>
      <c r="BO752" s="77">
        <f t="shared" si="2278"/>
        <v>2.5000000000000001E-3</v>
      </c>
      <c r="BP752" s="77">
        <f t="shared" si="2279"/>
        <v>2.0809499864316017E-4</v>
      </c>
    </row>
    <row r="753" spans="1:68">
      <c r="A753" t="s">
        <v>175</v>
      </c>
      <c r="B753" t="s">
        <v>179</v>
      </c>
      <c r="C753" s="197" t="str">
        <f t="shared" si="2320"/>
        <v>Lifecycle_Dynamic_334</v>
      </c>
      <c r="D753">
        <v>334</v>
      </c>
      <c r="E753">
        <f>VLOOKUP($D753,'[2]LC Dynamic'!$Q$2:$U$542,2,FALSE)</f>
        <v>0</v>
      </c>
      <c r="F753">
        <f>VLOOKUP($D753,'[2]LC Dynamic'!$Q$2:$U$542,3,FALSE)</f>
        <v>0</v>
      </c>
      <c r="G753">
        <f>VLOOKUP($D753,'[2]LC Dynamic'!$Q$2:$U$542,4,FALSE)</f>
        <v>0.308</v>
      </c>
      <c r="H753">
        <f>VLOOKUP($D753,'[2]LC Dynamic'!$Q$2:$U$542,5,FALSE)</f>
        <v>0.69199999999999995</v>
      </c>
      <c r="I753" s="77">
        <f t="shared" si="2252"/>
        <v>1</v>
      </c>
      <c r="J753" s="77">
        <f t="shared" si="2253"/>
        <v>6.9728499999999985E-2</v>
      </c>
      <c r="K753" s="77">
        <f t="shared" si="2327"/>
        <v>5.632878498097682E-3</v>
      </c>
      <c r="L753" s="76">
        <v>0</v>
      </c>
      <c r="M753" s="77">
        <f t="shared" si="2263"/>
        <v>0</v>
      </c>
      <c r="N753" s="77">
        <f t="shared" si="2264"/>
        <v>0</v>
      </c>
      <c r="O753" s="77">
        <f t="shared" si="2265"/>
        <v>5.6775999999999997E-3</v>
      </c>
      <c r="P753" s="77">
        <f t="shared" si="2266"/>
        <v>4.7436902124819991E-4</v>
      </c>
      <c r="R753" t="s">
        <v>177</v>
      </c>
      <c r="S753" t="s">
        <v>179</v>
      </c>
      <c r="T753" s="197" t="str">
        <f t="shared" si="2321"/>
        <v>Autopilot_Dynamic_334</v>
      </c>
      <c r="U753">
        <v>334</v>
      </c>
      <c r="V753">
        <f>VLOOKUP($U753,'[2]AP Dynamic'!$Q$1:$T$542,2,FALSE)</f>
        <v>0.88888888888888884</v>
      </c>
      <c r="W753">
        <f>VLOOKUP($U753,'[2]AP Dynamic'!$Q$1:$T$542,3,FALSE)</f>
        <v>0.11111111111111116</v>
      </c>
      <c r="X753">
        <f>VLOOKUP($U753,'[2]AP Dynamic'!$Q$1:$T$542,4,FALSE)</f>
        <v>0</v>
      </c>
      <c r="Y753" s="77">
        <f t="shared" si="2322"/>
        <v>1</v>
      </c>
      <c r="Z753" s="77">
        <f t="shared" si="2328"/>
        <v>6.3149999999999984E-2</v>
      </c>
      <c r="AA753" s="77">
        <f t="shared" si="2329"/>
        <v>5.1160591879111372E-3</v>
      </c>
      <c r="AB753" s="79">
        <v>1</v>
      </c>
      <c r="AC753" s="77">
        <f t="shared" si="2267"/>
        <v>8.277777777777778E-3</v>
      </c>
      <c r="AD753" s="77">
        <f t="shared" ref="AD753" si="2334">1-(1-AC753)^(1/12)</f>
        <v>6.9244588451522482E-4</v>
      </c>
      <c r="AE753" s="77">
        <f t="shared" si="2269"/>
        <v>2.5000000000000001E-3</v>
      </c>
      <c r="AF753" s="77">
        <f t="shared" ref="AF753" si="2335">1-(1-AE753)^(1/12)</f>
        <v>2.0857243058891584E-4</v>
      </c>
      <c r="AH753" t="s">
        <v>175</v>
      </c>
      <c r="AI753" t="s">
        <v>179</v>
      </c>
      <c r="AJ753" s="197" t="str">
        <f t="shared" si="2256"/>
        <v>Lifecycle_Dynamic_334</v>
      </c>
      <c r="AK753">
        <v>334</v>
      </c>
      <c r="AL753">
        <f>VLOOKUP($U753,[2]Standard_Dynamic!$Q$1:$T$542,2,FALSE)</f>
        <v>0.88888888888888884</v>
      </c>
      <c r="AM753">
        <f>VLOOKUP($U753,[2]Standard_Dynamic!$Q$1:$T$542,3,FALSE)</f>
        <v>0.11111111111111116</v>
      </c>
      <c r="AN753">
        <f>VLOOKUP($U753,[2]Standard_Dynamic!$Q$1:$T$542,4,FALSE)</f>
        <v>0</v>
      </c>
      <c r="AO753" s="77">
        <f t="shared" si="2257"/>
        <v>1</v>
      </c>
      <c r="AP753" s="77">
        <f t="shared" si="2271"/>
        <v>6.3149999999999984E-2</v>
      </c>
      <c r="AQ753" s="77">
        <f t="shared" si="2258"/>
        <v>5.1160591879111372E-3</v>
      </c>
      <c r="AR753" s="79">
        <v>0</v>
      </c>
      <c r="AS753" s="77">
        <f t="shared" si="2272"/>
        <v>0</v>
      </c>
      <c r="AT753" s="77">
        <f t="shared" ref="AT753" si="2336">1-(1-AS753)^(1/12)</f>
        <v>0</v>
      </c>
      <c r="AU753" s="77">
        <f t="shared" si="2274"/>
        <v>2.5000000000000001E-3</v>
      </c>
      <c r="AV753" s="77">
        <f t="shared" ref="AV753" si="2337">1-(1-AU753)^(1/12)</f>
        <v>2.0857243058891584E-4</v>
      </c>
      <c r="AX753" t="s">
        <v>178</v>
      </c>
      <c r="AY753" t="s">
        <v>162</v>
      </c>
      <c r="AZ753" s="197" t="str">
        <f t="shared" si="2070"/>
        <v>DIS_Standard_334</v>
      </c>
      <c r="BA753">
        <v>334</v>
      </c>
      <c r="BB753">
        <f>VLOOKUP($BA753,'[2]Standard DIS'!$Q$1:$X$542,4,FALSE)</f>
        <v>0</v>
      </c>
      <c r="BF753">
        <f>VLOOKUP($BA753,'[2]Standard DIS'!$Q$1:$X$542,2,FALSE)</f>
        <v>0.88888888888888884</v>
      </c>
      <c r="BH753">
        <f>VLOOKUP($BA753,'[2]Standard DIS'!$Q$1:$X$542,3,FALSE)</f>
        <v>0.11111111111111116</v>
      </c>
      <c r="BI753" s="77">
        <f t="shared" si="2261"/>
        <v>1</v>
      </c>
      <c r="BJ753" s="77">
        <f t="shared" si="2262"/>
        <v>6.3149999999999984E-2</v>
      </c>
      <c r="BK753" s="77">
        <f t="shared" si="2071"/>
        <v>5.1160591879111372E-3</v>
      </c>
      <c r="BL753" s="79">
        <v>0</v>
      </c>
      <c r="BM753" s="77">
        <f t="shared" si="2276"/>
        <v>0</v>
      </c>
      <c r="BN753" s="77">
        <f t="shared" si="2277"/>
        <v>0</v>
      </c>
      <c r="BO753" s="77">
        <f t="shared" si="2278"/>
        <v>2.5000000000000001E-3</v>
      </c>
      <c r="BP753" s="77">
        <f t="shared" si="2279"/>
        <v>2.0809499864316017E-4</v>
      </c>
    </row>
    <row r="754" spans="1:68">
      <c r="A754" t="s">
        <v>175</v>
      </c>
      <c r="B754" t="s">
        <v>179</v>
      </c>
      <c r="C754" s="197" t="str">
        <f t="shared" si="2320"/>
        <v>Lifecycle_Dynamic_333</v>
      </c>
      <c r="D754">
        <v>333</v>
      </c>
      <c r="E754">
        <f>VLOOKUP($D754,'[2]LC Dynamic'!$Q$2:$U$542,2,FALSE)</f>
        <v>0</v>
      </c>
      <c r="F754">
        <f>VLOOKUP($D754,'[2]LC Dynamic'!$Q$2:$U$542,3,FALSE)</f>
        <v>0</v>
      </c>
      <c r="G754">
        <f>VLOOKUP($D754,'[2]LC Dynamic'!$Q$2:$U$542,4,FALSE)</f>
        <v>0.308</v>
      </c>
      <c r="H754">
        <f>VLOOKUP($D754,'[2]LC Dynamic'!$Q$2:$U$542,5,FALSE)</f>
        <v>0.69199999999999995</v>
      </c>
      <c r="I754" s="77">
        <f t="shared" si="2252"/>
        <v>1</v>
      </c>
      <c r="J754" s="77">
        <f t="shared" si="2253"/>
        <v>6.9728499999999985E-2</v>
      </c>
      <c r="K754" s="77">
        <f t="shared" si="2327"/>
        <v>5.632878498097682E-3</v>
      </c>
      <c r="L754" s="76">
        <v>0</v>
      </c>
      <c r="M754" s="77">
        <f t="shared" si="2263"/>
        <v>0</v>
      </c>
      <c r="N754" s="77">
        <f t="shared" si="2264"/>
        <v>0</v>
      </c>
      <c r="O754" s="77">
        <f t="shared" si="2265"/>
        <v>5.6775999999999997E-3</v>
      </c>
      <c r="P754" s="77">
        <f t="shared" si="2266"/>
        <v>4.7436902124819991E-4</v>
      </c>
      <c r="R754" t="s">
        <v>177</v>
      </c>
      <c r="S754" t="s">
        <v>179</v>
      </c>
      <c r="T754" s="197" t="str">
        <f t="shared" si="2321"/>
        <v>Autopilot_Dynamic_333</v>
      </c>
      <c r="U754">
        <v>333</v>
      </c>
      <c r="V754">
        <f>VLOOKUP($U754,'[2]AP Dynamic'!$Q$1:$T$542,2,FALSE)</f>
        <v>0.88888888888888884</v>
      </c>
      <c r="W754">
        <f>VLOOKUP($U754,'[2]AP Dynamic'!$Q$1:$T$542,3,FALSE)</f>
        <v>0.11111111111111116</v>
      </c>
      <c r="X754">
        <f>VLOOKUP($U754,'[2]AP Dynamic'!$Q$1:$T$542,4,FALSE)</f>
        <v>0</v>
      </c>
      <c r="Y754" s="77">
        <f t="shared" si="2322"/>
        <v>1</v>
      </c>
      <c r="Z754" s="77">
        <f t="shared" si="2328"/>
        <v>6.3149999999999984E-2</v>
      </c>
      <c r="AA754" s="77">
        <f t="shared" si="2329"/>
        <v>5.1160591879111372E-3</v>
      </c>
      <c r="AB754" s="79">
        <v>1</v>
      </c>
      <c r="AC754" s="77">
        <f t="shared" si="2267"/>
        <v>8.277777777777778E-3</v>
      </c>
      <c r="AD754" s="77">
        <f t="shared" ref="AD754" si="2338">1-(1-AC754)^(1/12)</f>
        <v>6.9244588451522482E-4</v>
      </c>
      <c r="AE754" s="77">
        <f t="shared" si="2269"/>
        <v>2.5000000000000001E-3</v>
      </c>
      <c r="AF754" s="77">
        <f t="shared" ref="AF754" si="2339">1-(1-AE754)^(1/12)</f>
        <v>2.0857243058891584E-4</v>
      </c>
      <c r="AH754" t="s">
        <v>175</v>
      </c>
      <c r="AI754" t="s">
        <v>179</v>
      </c>
      <c r="AJ754" s="197" t="str">
        <f t="shared" si="2256"/>
        <v>Lifecycle_Dynamic_333</v>
      </c>
      <c r="AK754">
        <v>333</v>
      </c>
      <c r="AL754">
        <f>VLOOKUP($U754,[2]Standard_Dynamic!$Q$1:$T$542,2,FALSE)</f>
        <v>0.88888888888888884</v>
      </c>
      <c r="AM754">
        <f>VLOOKUP($U754,[2]Standard_Dynamic!$Q$1:$T$542,3,FALSE)</f>
        <v>0.11111111111111116</v>
      </c>
      <c r="AN754">
        <f>VLOOKUP($U754,[2]Standard_Dynamic!$Q$1:$T$542,4,FALSE)</f>
        <v>0</v>
      </c>
      <c r="AO754" s="77">
        <f t="shared" si="2257"/>
        <v>1</v>
      </c>
      <c r="AP754" s="77">
        <f t="shared" si="2271"/>
        <v>6.3149999999999984E-2</v>
      </c>
      <c r="AQ754" s="77">
        <f t="shared" si="2258"/>
        <v>5.1160591879111372E-3</v>
      </c>
      <c r="AR754" s="79">
        <v>0</v>
      </c>
      <c r="AS754" s="77">
        <f t="shared" si="2272"/>
        <v>0</v>
      </c>
      <c r="AT754" s="77">
        <f t="shared" ref="AT754" si="2340">1-(1-AS754)^(1/12)</f>
        <v>0</v>
      </c>
      <c r="AU754" s="77">
        <f t="shared" si="2274"/>
        <v>2.5000000000000001E-3</v>
      </c>
      <c r="AV754" s="77">
        <f t="shared" ref="AV754" si="2341">1-(1-AU754)^(1/12)</f>
        <v>2.0857243058891584E-4</v>
      </c>
      <c r="AX754" t="s">
        <v>178</v>
      </c>
      <c r="AY754" t="s">
        <v>162</v>
      </c>
      <c r="AZ754" s="197" t="str">
        <f t="shared" si="2070"/>
        <v>DIS_Standard_333</v>
      </c>
      <c r="BA754">
        <v>333</v>
      </c>
      <c r="BB754">
        <f>VLOOKUP($BA754,'[2]Standard DIS'!$Q$1:$X$542,4,FALSE)</f>
        <v>0</v>
      </c>
      <c r="BF754">
        <f>VLOOKUP($BA754,'[2]Standard DIS'!$Q$1:$X$542,2,FALSE)</f>
        <v>0.88888888888888884</v>
      </c>
      <c r="BH754">
        <f>VLOOKUP($BA754,'[2]Standard DIS'!$Q$1:$X$542,3,FALSE)</f>
        <v>0.11111111111111116</v>
      </c>
      <c r="BI754" s="77">
        <f t="shared" si="2261"/>
        <v>1</v>
      </c>
      <c r="BJ754" s="77">
        <f t="shared" si="2262"/>
        <v>6.3149999999999984E-2</v>
      </c>
      <c r="BK754" s="77">
        <f t="shared" si="2071"/>
        <v>5.1160591879111372E-3</v>
      </c>
      <c r="BL754" s="79">
        <v>0</v>
      </c>
      <c r="BM754" s="77">
        <f t="shared" si="2276"/>
        <v>0</v>
      </c>
      <c r="BN754" s="77">
        <f t="shared" si="2277"/>
        <v>0</v>
      </c>
      <c r="BO754" s="77">
        <f t="shared" si="2278"/>
        <v>2.5000000000000001E-3</v>
      </c>
      <c r="BP754" s="77">
        <f t="shared" si="2279"/>
        <v>2.0809499864316017E-4</v>
      </c>
    </row>
    <row r="755" spans="1:68">
      <c r="A755" t="s">
        <v>175</v>
      </c>
      <c r="B755" t="s">
        <v>179</v>
      </c>
      <c r="C755" s="197" t="str">
        <f t="shared" si="2320"/>
        <v>Lifecycle_Dynamic_332</v>
      </c>
      <c r="D755">
        <v>332</v>
      </c>
      <c r="E755">
        <f>VLOOKUP($D755,'[2]LC Dynamic'!$Q$2:$U$542,2,FALSE)</f>
        <v>0</v>
      </c>
      <c r="F755">
        <f>VLOOKUP($D755,'[2]LC Dynamic'!$Q$2:$U$542,3,FALSE)</f>
        <v>0</v>
      </c>
      <c r="G755">
        <f>VLOOKUP($D755,'[2]LC Dynamic'!$Q$2:$U$542,4,FALSE)</f>
        <v>0.308</v>
      </c>
      <c r="H755">
        <f>VLOOKUP($D755,'[2]LC Dynamic'!$Q$2:$U$542,5,FALSE)</f>
        <v>0.69199999999999995</v>
      </c>
      <c r="I755" s="77">
        <f t="shared" si="2252"/>
        <v>1</v>
      </c>
      <c r="J755" s="77">
        <f t="shared" si="2253"/>
        <v>6.9728499999999985E-2</v>
      </c>
      <c r="K755" s="77">
        <f t="shared" si="2327"/>
        <v>5.632878498097682E-3</v>
      </c>
      <c r="L755" s="76">
        <v>0</v>
      </c>
      <c r="M755" s="77">
        <f t="shared" si="2263"/>
        <v>0</v>
      </c>
      <c r="N755" s="77">
        <f t="shared" si="2264"/>
        <v>0</v>
      </c>
      <c r="O755" s="77">
        <f t="shared" si="2265"/>
        <v>5.6775999999999997E-3</v>
      </c>
      <c r="P755" s="77">
        <f t="shared" si="2266"/>
        <v>4.7436902124819991E-4</v>
      </c>
      <c r="R755" t="s">
        <v>177</v>
      </c>
      <c r="S755" t="s">
        <v>179</v>
      </c>
      <c r="T755" s="197" t="str">
        <f t="shared" si="2321"/>
        <v>Autopilot_Dynamic_332</v>
      </c>
      <c r="U755">
        <v>332</v>
      </c>
      <c r="V755">
        <f>VLOOKUP($U755,'[2]AP Dynamic'!$Q$1:$T$542,2,FALSE)</f>
        <v>0.88888888888888884</v>
      </c>
      <c r="W755">
        <f>VLOOKUP($U755,'[2]AP Dynamic'!$Q$1:$T$542,3,FALSE)</f>
        <v>0.11111111111111116</v>
      </c>
      <c r="X755">
        <f>VLOOKUP($U755,'[2]AP Dynamic'!$Q$1:$T$542,4,FALSE)</f>
        <v>0</v>
      </c>
      <c r="Y755" s="77">
        <f t="shared" si="2322"/>
        <v>1</v>
      </c>
      <c r="Z755" s="77">
        <f t="shared" si="2328"/>
        <v>6.3149999999999984E-2</v>
      </c>
      <c r="AA755" s="77">
        <f t="shared" si="2329"/>
        <v>5.1160591879111372E-3</v>
      </c>
      <c r="AB755" s="79">
        <v>1</v>
      </c>
      <c r="AC755" s="77">
        <f t="shared" si="2267"/>
        <v>8.277777777777778E-3</v>
      </c>
      <c r="AD755" s="77">
        <f t="shared" ref="AD755" si="2342">1-(1-AC755)^(1/12)</f>
        <v>6.9244588451522482E-4</v>
      </c>
      <c r="AE755" s="77">
        <f t="shared" si="2269"/>
        <v>2.5000000000000001E-3</v>
      </c>
      <c r="AF755" s="77">
        <f t="shared" ref="AF755" si="2343">1-(1-AE755)^(1/12)</f>
        <v>2.0857243058891584E-4</v>
      </c>
      <c r="AH755" t="s">
        <v>175</v>
      </c>
      <c r="AI755" t="s">
        <v>179</v>
      </c>
      <c r="AJ755" s="197" t="str">
        <f t="shared" si="2256"/>
        <v>Lifecycle_Dynamic_332</v>
      </c>
      <c r="AK755">
        <v>332</v>
      </c>
      <c r="AL755">
        <f>VLOOKUP($U755,[2]Standard_Dynamic!$Q$1:$T$542,2,FALSE)</f>
        <v>0.88888888888888884</v>
      </c>
      <c r="AM755">
        <f>VLOOKUP($U755,[2]Standard_Dynamic!$Q$1:$T$542,3,FALSE)</f>
        <v>0.11111111111111116</v>
      </c>
      <c r="AN755">
        <f>VLOOKUP($U755,[2]Standard_Dynamic!$Q$1:$T$542,4,FALSE)</f>
        <v>0</v>
      </c>
      <c r="AO755" s="77">
        <f t="shared" si="2257"/>
        <v>1</v>
      </c>
      <c r="AP755" s="77">
        <f t="shared" si="2271"/>
        <v>6.3149999999999984E-2</v>
      </c>
      <c r="AQ755" s="77">
        <f t="shared" si="2258"/>
        <v>5.1160591879111372E-3</v>
      </c>
      <c r="AR755" s="79">
        <v>0</v>
      </c>
      <c r="AS755" s="77">
        <f t="shared" si="2272"/>
        <v>0</v>
      </c>
      <c r="AT755" s="77">
        <f t="shared" ref="AT755" si="2344">1-(1-AS755)^(1/12)</f>
        <v>0</v>
      </c>
      <c r="AU755" s="77">
        <f t="shared" si="2274"/>
        <v>2.5000000000000001E-3</v>
      </c>
      <c r="AV755" s="77">
        <f t="shared" ref="AV755" si="2345">1-(1-AU755)^(1/12)</f>
        <v>2.0857243058891584E-4</v>
      </c>
      <c r="AX755" t="s">
        <v>178</v>
      </c>
      <c r="AY755" t="s">
        <v>162</v>
      </c>
      <c r="AZ755" s="197" t="str">
        <f t="shared" si="2070"/>
        <v>DIS_Standard_332</v>
      </c>
      <c r="BA755">
        <v>332</v>
      </c>
      <c r="BB755">
        <f>VLOOKUP($BA755,'[2]Standard DIS'!$Q$1:$X$542,4,FALSE)</f>
        <v>0</v>
      </c>
      <c r="BF755">
        <f>VLOOKUP($BA755,'[2]Standard DIS'!$Q$1:$X$542,2,FALSE)</f>
        <v>0.88888888888888884</v>
      </c>
      <c r="BH755">
        <f>VLOOKUP($BA755,'[2]Standard DIS'!$Q$1:$X$542,3,FALSE)</f>
        <v>0.11111111111111116</v>
      </c>
      <c r="BI755" s="77">
        <f t="shared" si="2261"/>
        <v>1</v>
      </c>
      <c r="BJ755" s="77">
        <f t="shared" si="2262"/>
        <v>6.3149999999999984E-2</v>
      </c>
      <c r="BK755" s="77">
        <f t="shared" si="2071"/>
        <v>5.1160591879111372E-3</v>
      </c>
      <c r="BL755" s="79">
        <v>0</v>
      </c>
      <c r="BM755" s="77">
        <f t="shared" si="2276"/>
        <v>0</v>
      </c>
      <c r="BN755" s="77">
        <f t="shared" si="2277"/>
        <v>0</v>
      </c>
      <c r="BO755" s="77">
        <f t="shared" si="2278"/>
        <v>2.5000000000000001E-3</v>
      </c>
      <c r="BP755" s="77">
        <f t="shared" si="2279"/>
        <v>2.0809499864316017E-4</v>
      </c>
    </row>
    <row r="756" spans="1:68">
      <c r="A756" t="s">
        <v>175</v>
      </c>
      <c r="B756" t="s">
        <v>179</v>
      </c>
      <c r="C756" s="197" t="str">
        <f t="shared" si="2320"/>
        <v>Lifecycle_Dynamic_331</v>
      </c>
      <c r="D756">
        <v>331</v>
      </c>
      <c r="E756">
        <f>VLOOKUP($D756,'[2]LC Dynamic'!$Q$2:$U$542,2,FALSE)</f>
        <v>0</v>
      </c>
      <c r="F756">
        <f>VLOOKUP($D756,'[2]LC Dynamic'!$Q$2:$U$542,3,FALSE)</f>
        <v>0</v>
      </c>
      <c r="G756">
        <f>VLOOKUP($D756,'[2]LC Dynamic'!$Q$2:$U$542,4,FALSE)</f>
        <v>0.308</v>
      </c>
      <c r="H756">
        <f>VLOOKUP($D756,'[2]LC Dynamic'!$Q$2:$U$542,5,FALSE)</f>
        <v>0.69199999999999995</v>
      </c>
      <c r="I756" s="77">
        <f t="shared" si="2252"/>
        <v>1</v>
      </c>
      <c r="J756" s="77">
        <f t="shared" si="2253"/>
        <v>6.9728499999999985E-2</v>
      </c>
      <c r="K756" s="77">
        <f t="shared" si="2327"/>
        <v>5.632878498097682E-3</v>
      </c>
      <c r="L756" s="76">
        <v>0</v>
      </c>
      <c r="M756" s="77">
        <f t="shared" si="2263"/>
        <v>0</v>
      </c>
      <c r="N756" s="77">
        <f t="shared" si="2264"/>
        <v>0</v>
      </c>
      <c r="O756" s="77">
        <f t="shared" si="2265"/>
        <v>5.6775999999999997E-3</v>
      </c>
      <c r="P756" s="77">
        <f t="shared" si="2266"/>
        <v>4.7436902124819991E-4</v>
      </c>
      <c r="R756" t="s">
        <v>177</v>
      </c>
      <c r="S756" t="s">
        <v>179</v>
      </c>
      <c r="T756" s="197" t="str">
        <f t="shared" si="2321"/>
        <v>Autopilot_Dynamic_331</v>
      </c>
      <c r="U756">
        <v>331</v>
      </c>
      <c r="V756">
        <f>VLOOKUP($U756,'[2]AP Dynamic'!$Q$1:$T$542,2,FALSE)</f>
        <v>0.88888888888888884</v>
      </c>
      <c r="W756">
        <f>VLOOKUP($U756,'[2]AP Dynamic'!$Q$1:$T$542,3,FALSE)</f>
        <v>0.11111111111111116</v>
      </c>
      <c r="X756">
        <f>VLOOKUP($U756,'[2]AP Dynamic'!$Q$1:$T$542,4,FALSE)</f>
        <v>0</v>
      </c>
      <c r="Y756" s="77">
        <f t="shared" si="2322"/>
        <v>1</v>
      </c>
      <c r="Z756" s="77">
        <f t="shared" si="2328"/>
        <v>6.3149999999999984E-2</v>
      </c>
      <c r="AA756" s="77">
        <f t="shared" si="2329"/>
        <v>5.1160591879111372E-3</v>
      </c>
      <c r="AB756" s="79">
        <v>1</v>
      </c>
      <c r="AC756" s="77">
        <f t="shared" si="2267"/>
        <v>8.277777777777778E-3</v>
      </c>
      <c r="AD756" s="77">
        <f t="shared" ref="AD756" si="2346">1-(1-AC756)^(1/12)</f>
        <v>6.9244588451522482E-4</v>
      </c>
      <c r="AE756" s="77">
        <f t="shared" si="2269"/>
        <v>2.5000000000000001E-3</v>
      </c>
      <c r="AF756" s="77">
        <f t="shared" ref="AF756" si="2347">1-(1-AE756)^(1/12)</f>
        <v>2.0857243058891584E-4</v>
      </c>
      <c r="AH756" t="s">
        <v>175</v>
      </c>
      <c r="AI756" t="s">
        <v>179</v>
      </c>
      <c r="AJ756" s="197" t="str">
        <f t="shared" si="2256"/>
        <v>Lifecycle_Dynamic_331</v>
      </c>
      <c r="AK756">
        <v>331</v>
      </c>
      <c r="AL756">
        <f>VLOOKUP($U756,[2]Standard_Dynamic!$Q$1:$T$542,2,FALSE)</f>
        <v>0.88888888888888884</v>
      </c>
      <c r="AM756">
        <f>VLOOKUP($U756,[2]Standard_Dynamic!$Q$1:$T$542,3,FALSE)</f>
        <v>0.11111111111111116</v>
      </c>
      <c r="AN756">
        <f>VLOOKUP($U756,[2]Standard_Dynamic!$Q$1:$T$542,4,FALSE)</f>
        <v>0</v>
      </c>
      <c r="AO756" s="77">
        <f t="shared" si="2257"/>
        <v>1</v>
      </c>
      <c r="AP756" s="77">
        <f t="shared" si="2271"/>
        <v>6.3149999999999984E-2</v>
      </c>
      <c r="AQ756" s="77">
        <f t="shared" si="2258"/>
        <v>5.1160591879111372E-3</v>
      </c>
      <c r="AR756" s="79">
        <v>0</v>
      </c>
      <c r="AS756" s="77">
        <f t="shared" si="2272"/>
        <v>0</v>
      </c>
      <c r="AT756" s="77">
        <f t="shared" ref="AT756" si="2348">1-(1-AS756)^(1/12)</f>
        <v>0</v>
      </c>
      <c r="AU756" s="77">
        <f t="shared" si="2274"/>
        <v>2.5000000000000001E-3</v>
      </c>
      <c r="AV756" s="77">
        <f t="shared" ref="AV756" si="2349">1-(1-AU756)^(1/12)</f>
        <v>2.0857243058891584E-4</v>
      </c>
      <c r="AX756" t="s">
        <v>178</v>
      </c>
      <c r="AY756" t="s">
        <v>162</v>
      </c>
      <c r="AZ756" s="197" t="str">
        <f t="shared" si="2070"/>
        <v>DIS_Standard_331</v>
      </c>
      <c r="BA756">
        <v>331</v>
      </c>
      <c r="BB756">
        <f>VLOOKUP($BA756,'[2]Standard DIS'!$Q$1:$X$542,4,FALSE)</f>
        <v>0</v>
      </c>
      <c r="BF756">
        <f>VLOOKUP($BA756,'[2]Standard DIS'!$Q$1:$X$542,2,FALSE)</f>
        <v>0.88888888888888884</v>
      </c>
      <c r="BH756">
        <f>VLOOKUP($BA756,'[2]Standard DIS'!$Q$1:$X$542,3,FALSE)</f>
        <v>0.11111111111111116</v>
      </c>
      <c r="BI756" s="77">
        <f t="shared" si="2261"/>
        <v>1</v>
      </c>
      <c r="BJ756" s="77">
        <f t="shared" si="2262"/>
        <v>6.3149999999999984E-2</v>
      </c>
      <c r="BK756" s="77">
        <f t="shared" si="2071"/>
        <v>5.1160591879111372E-3</v>
      </c>
      <c r="BL756" s="79">
        <v>0</v>
      </c>
      <c r="BM756" s="77">
        <f t="shared" si="2276"/>
        <v>0</v>
      </c>
      <c r="BN756" s="77">
        <f t="shared" si="2277"/>
        <v>0</v>
      </c>
      <c r="BO756" s="77">
        <f t="shared" si="2278"/>
        <v>2.5000000000000001E-3</v>
      </c>
      <c r="BP756" s="77">
        <f t="shared" si="2279"/>
        <v>2.0809499864316017E-4</v>
      </c>
    </row>
    <row r="757" spans="1:68">
      <c r="A757" t="s">
        <v>175</v>
      </c>
      <c r="B757" t="s">
        <v>179</v>
      </c>
      <c r="C757" s="197" t="str">
        <f t="shared" si="2320"/>
        <v>Lifecycle_Dynamic_330</v>
      </c>
      <c r="D757">
        <v>330</v>
      </c>
      <c r="E757">
        <f>VLOOKUP($D757,'[2]LC Dynamic'!$Q$2:$U$542,2,FALSE)</f>
        <v>0</v>
      </c>
      <c r="F757">
        <f>VLOOKUP($D757,'[2]LC Dynamic'!$Q$2:$U$542,3,FALSE)</f>
        <v>0</v>
      </c>
      <c r="G757">
        <f>VLOOKUP($D757,'[2]LC Dynamic'!$Q$2:$U$542,4,FALSE)</f>
        <v>0.308</v>
      </c>
      <c r="H757">
        <f>VLOOKUP($D757,'[2]LC Dynamic'!$Q$2:$U$542,5,FALSE)</f>
        <v>0.69199999999999995</v>
      </c>
      <c r="I757" s="77">
        <f t="shared" si="2252"/>
        <v>1</v>
      </c>
      <c r="J757" s="77">
        <f t="shared" si="2253"/>
        <v>6.9728499999999985E-2</v>
      </c>
      <c r="K757" s="77">
        <f t="shared" si="2327"/>
        <v>5.632878498097682E-3</v>
      </c>
      <c r="L757" s="76">
        <v>0</v>
      </c>
      <c r="M757" s="77">
        <f t="shared" si="2263"/>
        <v>0</v>
      </c>
      <c r="N757" s="77">
        <f t="shared" si="2264"/>
        <v>0</v>
      </c>
      <c r="O757" s="77">
        <f t="shared" si="2265"/>
        <v>5.6775999999999997E-3</v>
      </c>
      <c r="P757" s="77">
        <f t="shared" si="2266"/>
        <v>4.7436902124819991E-4</v>
      </c>
      <c r="R757" t="s">
        <v>177</v>
      </c>
      <c r="S757" t="s">
        <v>179</v>
      </c>
      <c r="T757" s="197" t="str">
        <f t="shared" si="2321"/>
        <v>Autopilot_Dynamic_330</v>
      </c>
      <c r="U757">
        <v>330</v>
      </c>
      <c r="V757">
        <f>VLOOKUP($U757,'[2]AP Dynamic'!$Q$1:$T$542,2,FALSE)</f>
        <v>0.88888888888888884</v>
      </c>
      <c r="W757">
        <f>VLOOKUP($U757,'[2]AP Dynamic'!$Q$1:$T$542,3,FALSE)</f>
        <v>0.11111111111111116</v>
      </c>
      <c r="X757">
        <f>VLOOKUP($U757,'[2]AP Dynamic'!$Q$1:$T$542,4,FALSE)</f>
        <v>0</v>
      </c>
      <c r="Y757" s="77">
        <f t="shared" si="2322"/>
        <v>1</v>
      </c>
      <c r="Z757" s="77">
        <f t="shared" si="2328"/>
        <v>6.3149999999999984E-2</v>
      </c>
      <c r="AA757" s="77">
        <f t="shared" si="2329"/>
        <v>5.1160591879111372E-3</v>
      </c>
      <c r="AB757" s="79">
        <v>1</v>
      </c>
      <c r="AC757" s="77">
        <f t="shared" si="2267"/>
        <v>8.277777777777778E-3</v>
      </c>
      <c r="AD757" s="77">
        <f t="shared" ref="AD757" si="2350">1-(1-AC757)^(1/12)</f>
        <v>6.9244588451522482E-4</v>
      </c>
      <c r="AE757" s="77">
        <f t="shared" si="2269"/>
        <v>2.5000000000000001E-3</v>
      </c>
      <c r="AF757" s="77">
        <f t="shared" ref="AF757" si="2351">1-(1-AE757)^(1/12)</f>
        <v>2.0857243058891584E-4</v>
      </c>
      <c r="AH757" t="s">
        <v>175</v>
      </c>
      <c r="AI757" t="s">
        <v>179</v>
      </c>
      <c r="AJ757" s="197" t="str">
        <f t="shared" si="2256"/>
        <v>Lifecycle_Dynamic_330</v>
      </c>
      <c r="AK757">
        <v>330</v>
      </c>
      <c r="AL757">
        <f>VLOOKUP($U757,[2]Standard_Dynamic!$Q$1:$T$542,2,FALSE)</f>
        <v>0.88888888888888884</v>
      </c>
      <c r="AM757">
        <f>VLOOKUP($U757,[2]Standard_Dynamic!$Q$1:$T$542,3,FALSE)</f>
        <v>0.11111111111111116</v>
      </c>
      <c r="AN757">
        <f>VLOOKUP($U757,[2]Standard_Dynamic!$Q$1:$T$542,4,FALSE)</f>
        <v>0</v>
      </c>
      <c r="AO757" s="77">
        <f t="shared" si="2257"/>
        <v>1</v>
      </c>
      <c r="AP757" s="77">
        <f t="shared" si="2271"/>
        <v>6.3149999999999984E-2</v>
      </c>
      <c r="AQ757" s="77">
        <f t="shared" si="2258"/>
        <v>5.1160591879111372E-3</v>
      </c>
      <c r="AR757" s="79">
        <v>0</v>
      </c>
      <c r="AS757" s="77">
        <f t="shared" si="2272"/>
        <v>0</v>
      </c>
      <c r="AT757" s="77">
        <f t="shared" ref="AT757" si="2352">1-(1-AS757)^(1/12)</f>
        <v>0</v>
      </c>
      <c r="AU757" s="77">
        <f t="shared" si="2274"/>
        <v>2.5000000000000001E-3</v>
      </c>
      <c r="AV757" s="77">
        <f t="shared" ref="AV757" si="2353">1-(1-AU757)^(1/12)</f>
        <v>2.0857243058891584E-4</v>
      </c>
      <c r="AX757" t="s">
        <v>178</v>
      </c>
      <c r="AY757" t="s">
        <v>162</v>
      </c>
      <c r="AZ757" s="197" t="str">
        <f t="shared" ref="AZ757:AZ820" si="2354">AX757&amp;"_"&amp;AY757&amp;"_"&amp;BA757</f>
        <v>DIS_Standard_330</v>
      </c>
      <c r="BA757">
        <v>330</v>
      </c>
      <c r="BB757">
        <f>VLOOKUP($BA757,'[2]Standard DIS'!$Q$1:$X$542,4,FALSE)</f>
        <v>0</v>
      </c>
      <c r="BF757">
        <f>VLOOKUP($BA757,'[2]Standard DIS'!$Q$1:$X$542,2,FALSE)</f>
        <v>0.88888888888888884</v>
      </c>
      <c r="BH757">
        <f>VLOOKUP($BA757,'[2]Standard DIS'!$Q$1:$X$542,3,FALSE)</f>
        <v>0.11111111111111116</v>
      </c>
      <c r="BI757" s="77">
        <f t="shared" si="2261"/>
        <v>1</v>
      </c>
      <c r="BJ757" s="77">
        <f t="shared" si="2262"/>
        <v>6.3149999999999984E-2</v>
      </c>
      <c r="BK757" s="77">
        <f t="shared" ref="BK757:BK820" si="2355">(1+BJ757)^(1/12)-1</f>
        <v>5.1160591879111372E-3</v>
      </c>
      <c r="BL757" s="79">
        <v>0</v>
      </c>
      <c r="BM757" s="77">
        <f t="shared" si="2276"/>
        <v>0</v>
      </c>
      <c r="BN757" s="77">
        <f t="shared" si="2277"/>
        <v>0</v>
      </c>
      <c r="BO757" s="77">
        <f t="shared" si="2278"/>
        <v>2.5000000000000001E-3</v>
      </c>
      <c r="BP757" s="77">
        <f t="shared" si="2279"/>
        <v>2.0809499864316017E-4</v>
      </c>
    </row>
    <row r="758" spans="1:68">
      <c r="A758" t="s">
        <v>175</v>
      </c>
      <c r="B758" t="s">
        <v>179</v>
      </c>
      <c r="C758" s="197" t="str">
        <f t="shared" si="2320"/>
        <v>Lifecycle_Dynamic_329</v>
      </c>
      <c r="D758">
        <v>329</v>
      </c>
      <c r="E758">
        <f>VLOOKUP($D758,'[2]LC Dynamic'!$Q$2:$U$542,2,FALSE)</f>
        <v>0</v>
      </c>
      <c r="F758">
        <f>VLOOKUP($D758,'[2]LC Dynamic'!$Q$2:$U$542,3,FALSE)</f>
        <v>0</v>
      </c>
      <c r="G758">
        <f>VLOOKUP($D758,'[2]LC Dynamic'!$Q$2:$U$542,4,FALSE)</f>
        <v>0.308</v>
      </c>
      <c r="H758">
        <f>VLOOKUP($D758,'[2]LC Dynamic'!$Q$2:$U$542,5,FALSE)</f>
        <v>0.69199999999999995</v>
      </c>
      <c r="I758" s="77">
        <f t="shared" si="2252"/>
        <v>1</v>
      </c>
      <c r="J758" s="77">
        <f t="shared" si="2253"/>
        <v>6.9728499999999985E-2</v>
      </c>
      <c r="K758" s="77">
        <f t="shared" si="2327"/>
        <v>5.632878498097682E-3</v>
      </c>
      <c r="L758" s="76">
        <v>0</v>
      </c>
      <c r="M758" s="77">
        <f t="shared" si="2263"/>
        <v>0</v>
      </c>
      <c r="N758" s="77">
        <f t="shared" si="2264"/>
        <v>0</v>
      </c>
      <c r="O758" s="77">
        <f t="shared" si="2265"/>
        <v>5.6775999999999997E-3</v>
      </c>
      <c r="P758" s="77">
        <f t="shared" si="2266"/>
        <v>4.7436902124819991E-4</v>
      </c>
      <c r="R758" t="s">
        <v>177</v>
      </c>
      <c r="S758" t="s">
        <v>179</v>
      </c>
      <c r="T758" s="197" t="str">
        <f t="shared" si="2321"/>
        <v>Autopilot_Dynamic_329</v>
      </c>
      <c r="U758">
        <v>329</v>
      </c>
      <c r="V758">
        <f>VLOOKUP($U758,'[2]AP Dynamic'!$Q$1:$T$542,2,FALSE)</f>
        <v>0.88888888888888884</v>
      </c>
      <c r="W758">
        <f>VLOOKUP($U758,'[2]AP Dynamic'!$Q$1:$T$542,3,FALSE)</f>
        <v>0.11111111111111116</v>
      </c>
      <c r="X758">
        <f>VLOOKUP($U758,'[2]AP Dynamic'!$Q$1:$T$542,4,FALSE)</f>
        <v>0</v>
      </c>
      <c r="Y758" s="77">
        <f t="shared" si="2322"/>
        <v>1</v>
      </c>
      <c r="Z758" s="77">
        <f t="shared" si="2328"/>
        <v>6.3149999999999984E-2</v>
      </c>
      <c r="AA758" s="77">
        <f t="shared" si="2329"/>
        <v>5.1160591879111372E-3</v>
      </c>
      <c r="AB758" s="79">
        <v>1</v>
      </c>
      <c r="AC758" s="77">
        <f t="shared" si="2267"/>
        <v>8.277777777777778E-3</v>
      </c>
      <c r="AD758" s="77">
        <f t="shared" ref="AD758" si="2356">1-(1-AC758)^(1/12)</f>
        <v>6.9244588451522482E-4</v>
      </c>
      <c r="AE758" s="77">
        <f t="shared" si="2269"/>
        <v>2.5000000000000001E-3</v>
      </c>
      <c r="AF758" s="77">
        <f t="shared" ref="AF758" si="2357">1-(1-AE758)^(1/12)</f>
        <v>2.0857243058891584E-4</v>
      </c>
      <c r="AH758" t="s">
        <v>175</v>
      </c>
      <c r="AI758" t="s">
        <v>179</v>
      </c>
      <c r="AJ758" s="197" t="str">
        <f t="shared" si="2256"/>
        <v>Lifecycle_Dynamic_329</v>
      </c>
      <c r="AK758">
        <v>329</v>
      </c>
      <c r="AL758">
        <f>VLOOKUP($U758,[2]Standard_Dynamic!$Q$1:$T$542,2,FALSE)</f>
        <v>0.88888888888888884</v>
      </c>
      <c r="AM758">
        <f>VLOOKUP($U758,[2]Standard_Dynamic!$Q$1:$T$542,3,FALSE)</f>
        <v>0.11111111111111116</v>
      </c>
      <c r="AN758">
        <f>VLOOKUP($U758,[2]Standard_Dynamic!$Q$1:$T$542,4,FALSE)</f>
        <v>0</v>
      </c>
      <c r="AO758" s="77">
        <f t="shared" si="2257"/>
        <v>1</v>
      </c>
      <c r="AP758" s="77">
        <f t="shared" si="2271"/>
        <v>6.3149999999999984E-2</v>
      </c>
      <c r="AQ758" s="77">
        <f t="shared" si="2258"/>
        <v>5.1160591879111372E-3</v>
      </c>
      <c r="AR758" s="79">
        <v>0</v>
      </c>
      <c r="AS758" s="77">
        <f t="shared" si="2272"/>
        <v>0</v>
      </c>
      <c r="AT758" s="77">
        <f t="shared" ref="AT758" si="2358">1-(1-AS758)^(1/12)</f>
        <v>0</v>
      </c>
      <c r="AU758" s="77">
        <f t="shared" si="2274"/>
        <v>2.5000000000000001E-3</v>
      </c>
      <c r="AV758" s="77">
        <f t="shared" ref="AV758" si="2359">1-(1-AU758)^(1/12)</f>
        <v>2.0857243058891584E-4</v>
      </c>
      <c r="AX758" t="s">
        <v>178</v>
      </c>
      <c r="AY758" t="s">
        <v>162</v>
      </c>
      <c r="AZ758" s="197" t="str">
        <f t="shared" si="2354"/>
        <v>DIS_Standard_329</v>
      </c>
      <c r="BA758">
        <v>329</v>
      </c>
      <c r="BB758">
        <f>VLOOKUP($BA758,'[2]Standard DIS'!$Q$1:$X$542,4,FALSE)</f>
        <v>0</v>
      </c>
      <c r="BF758">
        <f>VLOOKUP($BA758,'[2]Standard DIS'!$Q$1:$X$542,2,FALSE)</f>
        <v>0.88888888888888884</v>
      </c>
      <c r="BH758">
        <f>VLOOKUP($BA758,'[2]Standard DIS'!$Q$1:$X$542,3,FALSE)</f>
        <v>0.11111111111111116</v>
      </c>
      <c r="BI758" s="77">
        <f t="shared" si="2261"/>
        <v>1</v>
      </c>
      <c r="BJ758" s="77">
        <f t="shared" si="2262"/>
        <v>6.3149999999999984E-2</v>
      </c>
      <c r="BK758" s="77">
        <f t="shared" si="2355"/>
        <v>5.1160591879111372E-3</v>
      </c>
      <c r="BL758" s="79">
        <v>0</v>
      </c>
      <c r="BM758" s="77">
        <f t="shared" si="2276"/>
        <v>0</v>
      </c>
      <c r="BN758" s="77">
        <f t="shared" si="2277"/>
        <v>0</v>
      </c>
      <c r="BO758" s="77">
        <f t="shared" si="2278"/>
        <v>2.5000000000000001E-3</v>
      </c>
      <c r="BP758" s="77">
        <f t="shared" si="2279"/>
        <v>2.0809499864316017E-4</v>
      </c>
    </row>
    <row r="759" spans="1:68">
      <c r="A759" t="s">
        <v>175</v>
      </c>
      <c r="B759" t="s">
        <v>179</v>
      </c>
      <c r="C759" s="197" t="str">
        <f t="shared" si="2320"/>
        <v>Lifecycle_Dynamic_328</v>
      </c>
      <c r="D759">
        <v>328</v>
      </c>
      <c r="E759">
        <f>VLOOKUP($D759,'[2]LC Dynamic'!$Q$2:$U$542,2,FALSE)</f>
        <v>0</v>
      </c>
      <c r="F759">
        <f>VLOOKUP($D759,'[2]LC Dynamic'!$Q$2:$U$542,3,FALSE)</f>
        <v>0</v>
      </c>
      <c r="G759">
        <f>VLOOKUP($D759,'[2]LC Dynamic'!$Q$2:$U$542,4,FALSE)</f>
        <v>0.308</v>
      </c>
      <c r="H759">
        <f>VLOOKUP($D759,'[2]LC Dynamic'!$Q$2:$U$542,5,FALSE)</f>
        <v>0.69199999999999995</v>
      </c>
      <c r="I759" s="77">
        <f t="shared" si="2252"/>
        <v>1</v>
      </c>
      <c r="J759" s="77">
        <f t="shared" si="2253"/>
        <v>6.9728499999999985E-2</v>
      </c>
      <c r="K759" s="77">
        <f t="shared" si="2327"/>
        <v>5.632878498097682E-3</v>
      </c>
      <c r="L759" s="76">
        <v>0</v>
      </c>
      <c r="M759" s="77">
        <f t="shared" si="2263"/>
        <v>0</v>
      </c>
      <c r="N759" s="77">
        <f t="shared" si="2264"/>
        <v>0</v>
      </c>
      <c r="O759" s="77">
        <f t="shared" si="2265"/>
        <v>5.6775999999999997E-3</v>
      </c>
      <c r="P759" s="77">
        <f t="shared" si="2266"/>
        <v>4.7436902124819991E-4</v>
      </c>
      <c r="R759" t="s">
        <v>177</v>
      </c>
      <c r="S759" t="s">
        <v>179</v>
      </c>
      <c r="T759" s="197" t="str">
        <f t="shared" si="2321"/>
        <v>Autopilot_Dynamic_328</v>
      </c>
      <c r="U759">
        <v>328</v>
      </c>
      <c r="V759">
        <f>VLOOKUP($U759,'[2]AP Dynamic'!$Q$1:$T$542,2,FALSE)</f>
        <v>0.88888888888888884</v>
      </c>
      <c r="W759">
        <f>VLOOKUP($U759,'[2]AP Dynamic'!$Q$1:$T$542,3,FALSE)</f>
        <v>0.11111111111111116</v>
      </c>
      <c r="X759">
        <f>VLOOKUP($U759,'[2]AP Dynamic'!$Q$1:$T$542,4,FALSE)</f>
        <v>0</v>
      </c>
      <c r="Y759" s="77">
        <f t="shared" si="2322"/>
        <v>1</v>
      </c>
      <c r="Z759" s="77">
        <f t="shared" si="2328"/>
        <v>6.3149999999999984E-2</v>
      </c>
      <c r="AA759" s="77">
        <f t="shared" si="2329"/>
        <v>5.1160591879111372E-3</v>
      </c>
      <c r="AB759" s="79">
        <v>1</v>
      </c>
      <c r="AC759" s="77">
        <f t="shared" si="2267"/>
        <v>8.277777777777778E-3</v>
      </c>
      <c r="AD759" s="77">
        <f t="shared" ref="AD759" si="2360">1-(1-AC759)^(1/12)</f>
        <v>6.9244588451522482E-4</v>
      </c>
      <c r="AE759" s="77">
        <f t="shared" si="2269"/>
        <v>2.5000000000000001E-3</v>
      </c>
      <c r="AF759" s="77">
        <f t="shared" ref="AF759" si="2361">1-(1-AE759)^(1/12)</f>
        <v>2.0857243058891584E-4</v>
      </c>
      <c r="AH759" t="s">
        <v>175</v>
      </c>
      <c r="AI759" t="s">
        <v>179</v>
      </c>
      <c r="AJ759" s="197" t="str">
        <f t="shared" si="2256"/>
        <v>Lifecycle_Dynamic_328</v>
      </c>
      <c r="AK759">
        <v>328</v>
      </c>
      <c r="AL759">
        <f>VLOOKUP($U759,[2]Standard_Dynamic!$Q$1:$T$542,2,FALSE)</f>
        <v>0.88888888888888884</v>
      </c>
      <c r="AM759">
        <f>VLOOKUP($U759,[2]Standard_Dynamic!$Q$1:$T$542,3,FALSE)</f>
        <v>0.11111111111111116</v>
      </c>
      <c r="AN759">
        <f>VLOOKUP($U759,[2]Standard_Dynamic!$Q$1:$T$542,4,FALSE)</f>
        <v>0</v>
      </c>
      <c r="AO759" s="77">
        <f t="shared" si="2257"/>
        <v>1</v>
      </c>
      <c r="AP759" s="77">
        <f t="shared" si="2271"/>
        <v>6.3149999999999984E-2</v>
      </c>
      <c r="AQ759" s="77">
        <f t="shared" si="2258"/>
        <v>5.1160591879111372E-3</v>
      </c>
      <c r="AR759" s="79">
        <v>0</v>
      </c>
      <c r="AS759" s="77">
        <f t="shared" si="2272"/>
        <v>0</v>
      </c>
      <c r="AT759" s="77">
        <f t="shared" ref="AT759" si="2362">1-(1-AS759)^(1/12)</f>
        <v>0</v>
      </c>
      <c r="AU759" s="77">
        <f t="shared" si="2274"/>
        <v>2.5000000000000001E-3</v>
      </c>
      <c r="AV759" s="77">
        <f t="shared" ref="AV759" si="2363">1-(1-AU759)^(1/12)</f>
        <v>2.0857243058891584E-4</v>
      </c>
      <c r="AX759" t="s">
        <v>178</v>
      </c>
      <c r="AY759" t="s">
        <v>162</v>
      </c>
      <c r="AZ759" s="197" t="str">
        <f t="shared" si="2354"/>
        <v>DIS_Standard_328</v>
      </c>
      <c r="BA759">
        <v>328</v>
      </c>
      <c r="BB759">
        <f>VLOOKUP($BA759,'[2]Standard DIS'!$Q$1:$X$542,4,FALSE)</f>
        <v>0</v>
      </c>
      <c r="BF759">
        <f>VLOOKUP($BA759,'[2]Standard DIS'!$Q$1:$X$542,2,FALSE)</f>
        <v>0.88888888888888884</v>
      </c>
      <c r="BH759">
        <f>VLOOKUP($BA759,'[2]Standard DIS'!$Q$1:$X$542,3,FALSE)</f>
        <v>0.11111111111111116</v>
      </c>
      <c r="BI759" s="77">
        <f t="shared" si="2261"/>
        <v>1</v>
      </c>
      <c r="BJ759" s="77">
        <f t="shared" si="2262"/>
        <v>6.3149999999999984E-2</v>
      </c>
      <c r="BK759" s="77">
        <f t="shared" si="2355"/>
        <v>5.1160591879111372E-3</v>
      </c>
      <c r="BL759" s="79">
        <v>0</v>
      </c>
      <c r="BM759" s="77">
        <f t="shared" si="2276"/>
        <v>0</v>
      </c>
      <c r="BN759" s="77">
        <f t="shared" si="2277"/>
        <v>0</v>
      </c>
      <c r="BO759" s="77">
        <f t="shared" si="2278"/>
        <v>2.5000000000000001E-3</v>
      </c>
      <c r="BP759" s="77">
        <f t="shared" si="2279"/>
        <v>2.0809499864316017E-4</v>
      </c>
    </row>
    <row r="760" spans="1:68">
      <c r="A760" t="s">
        <v>175</v>
      </c>
      <c r="B760" t="s">
        <v>179</v>
      </c>
      <c r="C760" s="197" t="str">
        <f t="shared" si="2320"/>
        <v>Lifecycle_Dynamic_327</v>
      </c>
      <c r="D760">
        <v>327</v>
      </c>
      <c r="E760">
        <f>VLOOKUP($D760,'[2]LC Dynamic'!$Q$2:$U$542,2,FALSE)</f>
        <v>0</v>
      </c>
      <c r="F760">
        <f>VLOOKUP($D760,'[2]LC Dynamic'!$Q$2:$U$542,3,FALSE)</f>
        <v>0</v>
      </c>
      <c r="G760">
        <f>VLOOKUP($D760,'[2]LC Dynamic'!$Q$2:$U$542,4,FALSE)</f>
        <v>0.308</v>
      </c>
      <c r="H760">
        <f>VLOOKUP($D760,'[2]LC Dynamic'!$Q$2:$U$542,5,FALSE)</f>
        <v>0.69199999999999995</v>
      </c>
      <c r="I760" s="77">
        <f t="shared" si="2252"/>
        <v>1</v>
      </c>
      <c r="J760" s="77">
        <f t="shared" si="2253"/>
        <v>6.9728499999999985E-2</v>
      </c>
      <c r="K760" s="77">
        <f t="shared" si="2327"/>
        <v>5.632878498097682E-3</v>
      </c>
      <c r="L760" s="76">
        <v>0</v>
      </c>
      <c r="M760" s="77">
        <f t="shared" si="2263"/>
        <v>0</v>
      </c>
      <c r="N760" s="77">
        <f t="shared" si="2264"/>
        <v>0</v>
      </c>
      <c r="O760" s="77">
        <f t="shared" si="2265"/>
        <v>5.6775999999999997E-3</v>
      </c>
      <c r="P760" s="77">
        <f t="shared" si="2266"/>
        <v>4.7436902124819991E-4</v>
      </c>
      <c r="R760" t="s">
        <v>177</v>
      </c>
      <c r="S760" t="s">
        <v>179</v>
      </c>
      <c r="T760" s="197" t="str">
        <f t="shared" si="2321"/>
        <v>Autopilot_Dynamic_327</v>
      </c>
      <c r="U760">
        <v>327</v>
      </c>
      <c r="V760">
        <f>VLOOKUP($U760,'[2]AP Dynamic'!$Q$1:$T$542,2,FALSE)</f>
        <v>0.88888888888888884</v>
      </c>
      <c r="W760">
        <f>VLOOKUP($U760,'[2]AP Dynamic'!$Q$1:$T$542,3,FALSE)</f>
        <v>0.11111111111111116</v>
      </c>
      <c r="X760">
        <f>VLOOKUP($U760,'[2]AP Dynamic'!$Q$1:$T$542,4,FALSE)</f>
        <v>0</v>
      </c>
      <c r="Y760" s="77">
        <f t="shared" si="2322"/>
        <v>1</v>
      </c>
      <c r="Z760" s="77">
        <f t="shared" si="2328"/>
        <v>6.3149999999999984E-2</v>
      </c>
      <c r="AA760" s="77">
        <f t="shared" si="2329"/>
        <v>5.1160591879111372E-3</v>
      </c>
      <c r="AB760" s="79">
        <v>1</v>
      </c>
      <c r="AC760" s="77">
        <f t="shared" si="2267"/>
        <v>8.277777777777778E-3</v>
      </c>
      <c r="AD760" s="77">
        <f t="shared" ref="AD760" si="2364">1-(1-AC760)^(1/12)</f>
        <v>6.9244588451522482E-4</v>
      </c>
      <c r="AE760" s="77">
        <f t="shared" si="2269"/>
        <v>2.5000000000000001E-3</v>
      </c>
      <c r="AF760" s="77">
        <f t="shared" ref="AF760" si="2365">1-(1-AE760)^(1/12)</f>
        <v>2.0857243058891584E-4</v>
      </c>
      <c r="AH760" t="s">
        <v>175</v>
      </c>
      <c r="AI760" t="s">
        <v>179</v>
      </c>
      <c r="AJ760" s="197" t="str">
        <f t="shared" si="2256"/>
        <v>Lifecycle_Dynamic_327</v>
      </c>
      <c r="AK760">
        <v>327</v>
      </c>
      <c r="AL760">
        <f>VLOOKUP($U760,[2]Standard_Dynamic!$Q$1:$T$542,2,FALSE)</f>
        <v>0.88888888888888884</v>
      </c>
      <c r="AM760">
        <f>VLOOKUP($U760,[2]Standard_Dynamic!$Q$1:$T$542,3,FALSE)</f>
        <v>0.11111111111111116</v>
      </c>
      <c r="AN760">
        <f>VLOOKUP($U760,[2]Standard_Dynamic!$Q$1:$T$542,4,FALSE)</f>
        <v>0</v>
      </c>
      <c r="AO760" s="77">
        <f t="shared" si="2257"/>
        <v>1</v>
      </c>
      <c r="AP760" s="77">
        <f t="shared" si="2271"/>
        <v>6.3149999999999984E-2</v>
      </c>
      <c r="AQ760" s="77">
        <f t="shared" si="2258"/>
        <v>5.1160591879111372E-3</v>
      </c>
      <c r="AR760" s="79">
        <v>0</v>
      </c>
      <c r="AS760" s="77">
        <f t="shared" si="2272"/>
        <v>0</v>
      </c>
      <c r="AT760" s="77">
        <f t="shared" ref="AT760" si="2366">1-(1-AS760)^(1/12)</f>
        <v>0</v>
      </c>
      <c r="AU760" s="77">
        <f t="shared" si="2274"/>
        <v>2.5000000000000001E-3</v>
      </c>
      <c r="AV760" s="77">
        <f t="shared" ref="AV760" si="2367">1-(1-AU760)^(1/12)</f>
        <v>2.0857243058891584E-4</v>
      </c>
      <c r="AX760" t="s">
        <v>178</v>
      </c>
      <c r="AY760" t="s">
        <v>162</v>
      </c>
      <c r="AZ760" s="197" t="str">
        <f t="shared" si="2354"/>
        <v>DIS_Standard_327</v>
      </c>
      <c r="BA760">
        <v>327</v>
      </c>
      <c r="BB760">
        <f>VLOOKUP($BA760,'[2]Standard DIS'!$Q$1:$X$542,4,FALSE)</f>
        <v>0</v>
      </c>
      <c r="BF760">
        <f>VLOOKUP($BA760,'[2]Standard DIS'!$Q$1:$X$542,2,FALSE)</f>
        <v>0.88888888888888884</v>
      </c>
      <c r="BH760">
        <f>VLOOKUP($BA760,'[2]Standard DIS'!$Q$1:$X$542,3,FALSE)</f>
        <v>0.11111111111111116</v>
      </c>
      <c r="BI760" s="77">
        <f t="shared" si="2261"/>
        <v>1</v>
      </c>
      <c r="BJ760" s="77">
        <f t="shared" si="2262"/>
        <v>6.3149999999999984E-2</v>
      </c>
      <c r="BK760" s="77">
        <f t="shared" si="2355"/>
        <v>5.1160591879111372E-3</v>
      </c>
      <c r="BL760" s="79">
        <v>0</v>
      </c>
      <c r="BM760" s="77">
        <f t="shared" si="2276"/>
        <v>0</v>
      </c>
      <c r="BN760" s="77">
        <f t="shared" si="2277"/>
        <v>0</v>
      </c>
      <c r="BO760" s="77">
        <f t="shared" si="2278"/>
        <v>2.5000000000000001E-3</v>
      </c>
      <c r="BP760" s="77">
        <f t="shared" si="2279"/>
        <v>2.0809499864316017E-4</v>
      </c>
    </row>
    <row r="761" spans="1:68">
      <c r="A761" t="s">
        <v>175</v>
      </c>
      <c r="B761" t="s">
        <v>179</v>
      </c>
      <c r="C761" s="197" t="str">
        <f t="shared" si="2320"/>
        <v>Lifecycle_Dynamic_326</v>
      </c>
      <c r="D761">
        <v>326</v>
      </c>
      <c r="E761">
        <f>VLOOKUP($D761,'[2]LC Dynamic'!$Q$2:$U$542,2,FALSE)</f>
        <v>0</v>
      </c>
      <c r="F761">
        <f>VLOOKUP($D761,'[2]LC Dynamic'!$Q$2:$U$542,3,FALSE)</f>
        <v>0</v>
      </c>
      <c r="G761">
        <f>VLOOKUP($D761,'[2]LC Dynamic'!$Q$2:$U$542,4,FALSE)</f>
        <v>0.308</v>
      </c>
      <c r="H761">
        <f>VLOOKUP($D761,'[2]LC Dynamic'!$Q$2:$U$542,5,FALSE)</f>
        <v>0.69199999999999995</v>
      </c>
      <c r="I761" s="77">
        <f t="shared" si="2252"/>
        <v>1</v>
      </c>
      <c r="J761" s="77">
        <f t="shared" si="2253"/>
        <v>6.9728499999999985E-2</v>
      </c>
      <c r="K761" s="77">
        <f t="shared" si="2327"/>
        <v>5.632878498097682E-3</v>
      </c>
      <c r="L761" s="76">
        <v>0</v>
      </c>
      <c r="M761" s="77">
        <f t="shared" si="2263"/>
        <v>0</v>
      </c>
      <c r="N761" s="77">
        <f t="shared" si="2264"/>
        <v>0</v>
      </c>
      <c r="O761" s="77">
        <f t="shared" si="2265"/>
        <v>5.6775999999999997E-3</v>
      </c>
      <c r="P761" s="77">
        <f t="shared" si="2266"/>
        <v>4.7436902124819991E-4</v>
      </c>
      <c r="R761" t="s">
        <v>177</v>
      </c>
      <c r="S761" t="s">
        <v>179</v>
      </c>
      <c r="T761" s="197" t="str">
        <f t="shared" si="2321"/>
        <v>Autopilot_Dynamic_326</v>
      </c>
      <c r="U761">
        <v>326</v>
      </c>
      <c r="V761">
        <f>VLOOKUP($U761,'[2]AP Dynamic'!$Q$1:$T$542,2,FALSE)</f>
        <v>0.88888888888888884</v>
      </c>
      <c r="W761">
        <f>VLOOKUP($U761,'[2]AP Dynamic'!$Q$1:$T$542,3,FALSE)</f>
        <v>0.11111111111111116</v>
      </c>
      <c r="X761">
        <f>VLOOKUP($U761,'[2]AP Dynamic'!$Q$1:$T$542,4,FALSE)</f>
        <v>0</v>
      </c>
      <c r="Y761" s="77">
        <f t="shared" si="2322"/>
        <v>1</v>
      </c>
      <c r="Z761" s="77">
        <f t="shared" si="2328"/>
        <v>6.3149999999999984E-2</v>
      </c>
      <c r="AA761" s="77">
        <f t="shared" si="2329"/>
        <v>5.1160591879111372E-3</v>
      </c>
      <c r="AB761" s="79">
        <v>1</v>
      </c>
      <c r="AC761" s="77">
        <f t="shared" si="2267"/>
        <v>8.277777777777778E-3</v>
      </c>
      <c r="AD761" s="77">
        <f t="shared" ref="AD761" si="2368">1-(1-AC761)^(1/12)</f>
        <v>6.9244588451522482E-4</v>
      </c>
      <c r="AE761" s="77">
        <f t="shared" si="2269"/>
        <v>2.5000000000000001E-3</v>
      </c>
      <c r="AF761" s="77">
        <f t="shared" ref="AF761" si="2369">1-(1-AE761)^(1/12)</f>
        <v>2.0857243058891584E-4</v>
      </c>
      <c r="AH761" t="s">
        <v>175</v>
      </c>
      <c r="AI761" t="s">
        <v>179</v>
      </c>
      <c r="AJ761" s="197" t="str">
        <f t="shared" si="2256"/>
        <v>Lifecycle_Dynamic_326</v>
      </c>
      <c r="AK761">
        <v>326</v>
      </c>
      <c r="AL761">
        <f>VLOOKUP($U761,[2]Standard_Dynamic!$Q$1:$T$542,2,FALSE)</f>
        <v>0.88888888888888884</v>
      </c>
      <c r="AM761">
        <f>VLOOKUP($U761,[2]Standard_Dynamic!$Q$1:$T$542,3,FALSE)</f>
        <v>0.11111111111111116</v>
      </c>
      <c r="AN761">
        <f>VLOOKUP($U761,[2]Standard_Dynamic!$Q$1:$T$542,4,FALSE)</f>
        <v>0</v>
      </c>
      <c r="AO761" s="77">
        <f t="shared" si="2257"/>
        <v>1</v>
      </c>
      <c r="AP761" s="77">
        <f t="shared" si="2271"/>
        <v>6.3149999999999984E-2</v>
      </c>
      <c r="AQ761" s="77">
        <f t="shared" si="2258"/>
        <v>5.1160591879111372E-3</v>
      </c>
      <c r="AR761" s="79">
        <v>0</v>
      </c>
      <c r="AS761" s="77">
        <f t="shared" si="2272"/>
        <v>0</v>
      </c>
      <c r="AT761" s="77">
        <f t="shared" ref="AT761" si="2370">1-(1-AS761)^(1/12)</f>
        <v>0</v>
      </c>
      <c r="AU761" s="77">
        <f t="shared" si="2274"/>
        <v>2.5000000000000001E-3</v>
      </c>
      <c r="AV761" s="77">
        <f t="shared" ref="AV761" si="2371">1-(1-AU761)^(1/12)</f>
        <v>2.0857243058891584E-4</v>
      </c>
      <c r="AX761" t="s">
        <v>178</v>
      </c>
      <c r="AY761" t="s">
        <v>162</v>
      </c>
      <c r="AZ761" s="197" t="str">
        <f t="shared" si="2354"/>
        <v>DIS_Standard_326</v>
      </c>
      <c r="BA761">
        <v>326</v>
      </c>
      <c r="BB761">
        <f>VLOOKUP($BA761,'[2]Standard DIS'!$Q$1:$X$542,4,FALSE)</f>
        <v>0</v>
      </c>
      <c r="BF761">
        <f>VLOOKUP($BA761,'[2]Standard DIS'!$Q$1:$X$542,2,FALSE)</f>
        <v>0.88888888888888884</v>
      </c>
      <c r="BH761">
        <f>VLOOKUP($BA761,'[2]Standard DIS'!$Q$1:$X$542,3,FALSE)</f>
        <v>0.11111111111111116</v>
      </c>
      <c r="BI761" s="77">
        <f t="shared" si="2261"/>
        <v>1</v>
      </c>
      <c r="BJ761" s="77">
        <f t="shared" si="2262"/>
        <v>6.3149999999999984E-2</v>
      </c>
      <c r="BK761" s="77">
        <f t="shared" si="2355"/>
        <v>5.1160591879111372E-3</v>
      </c>
      <c r="BL761" s="79">
        <v>0</v>
      </c>
      <c r="BM761" s="77">
        <f t="shared" si="2276"/>
        <v>0</v>
      </c>
      <c r="BN761" s="77">
        <f t="shared" si="2277"/>
        <v>0</v>
      </c>
      <c r="BO761" s="77">
        <f t="shared" si="2278"/>
        <v>2.5000000000000001E-3</v>
      </c>
      <c r="BP761" s="77">
        <f t="shared" si="2279"/>
        <v>2.0809499864316017E-4</v>
      </c>
    </row>
    <row r="762" spans="1:68">
      <c r="A762" t="s">
        <v>175</v>
      </c>
      <c r="B762" t="s">
        <v>179</v>
      </c>
      <c r="C762" s="197" t="str">
        <f t="shared" si="2320"/>
        <v>Lifecycle_Dynamic_325</v>
      </c>
      <c r="D762">
        <v>325</v>
      </c>
      <c r="E762">
        <f>VLOOKUP($D762,'[2]LC Dynamic'!$Q$2:$U$542,2,FALSE)</f>
        <v>0</v>
      </c>
      <c r="F762">
        <f>VLOOKUP($D762,'[2]LC Dynamic'!$Q$2:$U$542,3,FALSE)</f>
        <v>0</v>
      </c>
      <c r="G762">
        <f>VLOOKUP($D762,'[2]LC Dynamic'!$Q$2:$U$542,4,FALSE)</f>
        <v>0.308</v>
      </c>
      <c r="H762">
        <f>VLOOKUP($D762,'[2]LC Dynamic'!$Q$2:$U$542,5,FALSE)</f>
        <v>0.69199999999999995</v>
      </c>
      <c r="I762" s="77">
        <f t="shared" si="2252"/>
        <v>1</v>
      </c>
      <c r="J762" s="77">
        <f t="shared" si="2253"/>
        <v>6.9728499999999985E-2</v>
      </c>
      <c r="K762" s="77">
        <f t="shared" si="2327"/>
        <v>5.632878498097682E-3</v>
      </c>
      <c r="L762" s="76">
        <v>0</v>
      </c>
      <c r="M762" s="77">
        <f t="shared" si="2263"/>
        <v>0</v>
      </c>
      <c r="N762" s="77">
        <f t="shared" si="2264"/>
        <v>0</v>
      </c>
      <c r="O762" s="77">
        <f t="shared" si="2265"/>
        <v>5.6775999999999997E-3</v>
      </c>
      <c r="P762" s="77">
        <f t="shared" si="2266"/>
        <v>4.7436902124819991E-4</v>
      </c>
      <c r="R762" t="s">
        <v>177</v>
      </c>
      <c r="S762" t="s">
        <v>179</v>
      </c>
      <c r="T762" s="197" t="str">
        <f t="shared" si="2321"/>
        <v>Autopilot_Dynamic_325</v>
      </c>
      <c r="U762">
        <v>325</v>
      </c>
      <c r="V762">
        <f>VLOOKUP($U762,'[2]AP Dynamic'!$Q$1:$T$542,2,FALSE)</f>
        <v>0.88888888888888884</v>
      </c>
      <c r="W762">
        <f>VLOOKUP($U762,'[2]AP Dynamic'!$Q$1:$T$542,3,FALSE)</f>
        <v>0.11111111111111116</v>
      </c>
      <c r="X762">
        <f>VLOOKUP($U762,'[2]AP Dynamic'!$Q$1:$T$542,4,FALSE)</f>
        <v>0</v>
      </c>
      <c r="Y762" s="77">
        <f t="shared" si="2322"/>
        <v>1</v>
      </c>
      <c r="Z762" s="77">
        <f t="shared" si="2328"/>
        <v>6.3149999999999984E-2</v>
      </c>
      <c r="AA762" s="77">
        <f t="shared" si="2329"/>
        <v>5.1160591879111372E-3</v>
      </c>
      <c r="AB762" s="79">
        <v>1</v>
      </c>
      <c r="AC762" s="77">
        <f t="shared" si="2267"/>
        <v>8.277777777777778E-3</v>
      </c>
      <c r="AD762" s="77">
        <f t="shared" ref="AD762" si="2372">1-(1-AC762)^(1/12)</f>
        <v>6.9244588451522482E-4</v>
      </c>
      <c r="AE762" s="77">
        <f t="shared" si="2269"/>
        <v>2.5000000000000001E-3</v>
      </c>
      <c r="AF762" s="77">
        <f t="shared" ref="AF762" si="2373">1-(1-AE762)^(1/12)</f>
        <v>2.0857243058891584E-4</v>
      </c>
      <c r="AH762" t="s">
        <v>175</v>
      </c>
      <c r="AI762" t="s">
        <v>179</v>
      </c>
      <c r="AJ762" s="197" t="str">
        <f t="shared" si="2256"/>
        <v>Lifecycle_Dynamic_325</v>
      </c>
      <c r="AK762">
        <v>325</v>
      </c>
      <c r="AL762">
        <f>VLOOKUP($U762,[2]Standard_Dynamic!$Q$1:$T$542,2,FALSE)</f>
        <v>0.88888888888888884</v>
      </c>
      <c r="AM762">
        <f>VLOOKUP($U762,[2]Standard_Dynamic!$Q$1:$T$542,3,FALSE)</f>
        <v>0.11111111111111116</v>
      </c>
      <c r="AN762">
        <f>VLOOKUP($U762,[2]Standard_Dynamic!$Q$1:$T$542,4,FALSE)</f>
        <v>0</v>
      </c>
      <c r="AO762" s="77">
        <f t="shared" si="2257"/>
        <v>1</v>
      </c>
      <c r="AP762" s="77">
        <f t="shared" si="2271"/>
        <v>6.3149999999999984E-2</v>
      </c>
      <c r="AQ762" s="77">
        <f t="shared" si="2258"/>
        <v>5.1160591879111372E-3</v>
      </c>
      <c r="AR762" s="79">
        <v>0</v>
      </c>
      <c r="AS762" s="77">
        <f t="shared" si="2272"/>
        <v>0</v>
      </c>
      <c r="AT762" s="77">
        <f t="shared" ref="AT762" si="2374">1-(1-AS762)^(1/12)</f>
        <v>0</v>
      </c>
      <c r="AU762" s="77">
        <f t="shared" si="2274"/>
        <v>2.5000000000000001E-3</v>
      </c>
      <c r="AV762" s="77">
        <f t="shared" ref="AV762" si="2375">1-(1-AU762)^(1/12)</f>
        <v>2.0857243058891584E-4</v>
      </c>
      <c r="AX762" t="s">
        <v>178</v>
      </c>
      <c r="AY762" t="s">
        <v>162</v>
      </c>
      <c r="AZ762" s="197" t="str">
        <f t="shared" si="2354"/>
        <v>DIS_Standard_325</v>
      </c>
      <c r="BA762">
        <v>325</v>
      </c>
      <c r="BB762">
        <f>VLOOKUP($BA762,'[2]Standard DIS'!$Q$1:$X$542,4,FALSE)</f>
        <v>0</v>
      </c>
      <c r="BF762">
        <f>VLOOKUP($BA762,'[2]Standard DIS'!$Q$1:$X$542,2,FALSE)</f>
        <v>0.88888888888888884</v>
      </c>
      <c r="BH762">
        <f>VLOOKUP($BA762,'[2]Standard DIS'!$Q$1:$X$542,3,FALSE)</f>
        <v>0.11111111111111116</v>
      </c>
      <c r="BI762" s="77">
        <f t="shared" si="2261"/>
        <v>1</v>
      </c>
      <c r="BJ762" s="77">
        <f t="shared" si="2262"/>
        <v>6.3149999999999984E-2</v>
      </c>
      <c r="BK762" s="77">
        <f t="shared" si="2355"/>
        <v>5.1160591879111372E-3</v>
      </c>
      <c r="BL762" s="79">
        <v>0</v>
      </c>
      <c r="BM762" s="77">
        <f t="shared" si="2276"/>
        <v>0</v>
      </c>
      <c r="BN762" s="77">
        <f t="shared" si="2277"/>
        <v>0</v>
      </c>
      <c r="BO762" s="77">
        <f t="shared" si="2278"/>
        <v>2.5000000000000001E-3</v>
      </c>
      <c r="BP762" s="77">
        <f t="shared" si="2279"/>
        <v>2.0809499864316017E-4</v>
      </c>
    </row>
    <row r="763" spans="1:68">
      <c r="A763" t="s">
        <v>175</v>
      </c>
      <c r="B763" t="s">
        <v>179</v>
      </c>
      <c r="C763" s="197" t="str">
        <f t="shared" si="2320"/>
        <v>Lifecycle_Dynamic_324</v>
      </c>
      <c r="D763">
        <v>324</v>
      </c>
      <c r="E763">
        <f>VLOOKUP($D763,'[2]LC Dynamic'!$Q$2:$U$542,2,FALSE)</f>
        <v>0</v>
      </c>
      <c r="F763">
        <f>VLOOKUP($D763,'[2]LC Dynamic'!$Q$2:$U$542,3,FALSE)</f>
        <v>0</v>
      </c>
      <c r="G763">
        <f>VLOOKUP($D763,'[2]LC Dynamic'!$Q$2:$U$542,4,FALSE)</f>
        <v>0.308</v>
      </c>
      <c r="H763">
        <f>VLOOKUP($D763,'[2]LC Dynamic'!$Q$2:$U$542,5,FALSE)</f>
        <v>0.69199999999999995</v>
      </c>
      <c r="I763" s="77">
        <f t="shared" si="2252"/>
        <v>1</v>
      </c>
      <c r="J763" s="77">
        <f t="shared" si="2253"/>
        <v>6.9728499999999985E-2</v>
      </c>
      <c r="K763" s="77">
        <f t="shared" si="2327"/>
        <v>5.632878498097682E-3</v>
      </c>
      <c r="L763" s="76">
        <v>0</v>
      </c>
      <c r="M763" s="77">
        <f t="shared" si="2263"/>
        <v>0</v>
      </c>
      <c r="N763" s="77">
        <f t="shared" si="2264"/>
        <v>0</v>
      </c>
      <c r="O763" s="77">
        <f t="shared" si="2265"/>
        <v>5.6775999999999997E-3</v>
      </c>
      <c r="P763" s="77">
        <f t="shared" si="2266"/>
        <v>4.7436902124819991E-4</v>
      </c>
      <c r="R763" t="s">
        <v>177</v>
      </c>
      <c r="S763" t="s">
        <v>179</v>
      </c>
      <c r="T763" s="197" t="str">
        <f t="shared" si="2321"/>
        <v>Autopilot_Dynamic_324</v>
      </c>
      <c r="U763">
        <v>324</v>
      </c>
      <c r="V763">
        <f>VLOOKUP($U763,'[2]AP Dynamic'!$Q$1:$T$542,2,FALSE)</f>
        <v>0.88888888888888884</v>
      </c>
      <c r="W763">
        <f>VLOOKUP($U763,'[2]AP Dynamic'!$Q$1:$T$542,3,FALSE)</f>
        <v>0.11111111111111116</v>
      </c>
      <c r="X763">
        <f>VLOOKUP($U763,'[2]AP Dynamic'!$Q$1:$T$542,4,FALSE)</f>
        <v>0</v>
      </c>
      <c r="Y763" s="77">
        <f t="shared" si="2322"/>
        <v>1</v>
      </c>
      <c r="Z763" s="77">
        <f t="shared" si="2328"/>
        <v>6.3149999999999984E-2</v>
      </c>
      <c r="AA763" s="77">
        <f t="shared" si="2329"/>
        <v>5.1160591879111372E-3</v>
      </c>
      <c r="AB763" s="79">
        <v>1</v>
      </c>
      <c r="AC763" s="77">
        <f t="shared" si="2267"/>
        <v>8.277777777777778E-3</v>
      </c>
      <c r="AD763" s="77">
        <f t="shared" ref="AD763" si="2376">1-(1-AC763)^(1/12)</f>
        <v>6.9244588451522482E-4</v>
      </c>
      <c r="AE763" s="77">
        <f t="shared" si="2269"/>
        <v>2.5000000000000001E-3</v>
      </c>
      <c r="AF763" s="77">
        <f t="shared" ref="AF763" si="2377">1-(1-AE763)^(1/12)</f>
        <v>2.0857243058891584E-4</v>
      </c>
      <c r="AH763" t="s">
        <v>175</v>
      </c>
      <c r="AI763" t="s">
        <v>179</v>
      </c>
      <c r="AJ763" s="197" t="str">
        <f t="shared" si="2256"/>
        <v>Lifecycle_Dynamic_324</v>
      </c>
      <c r="AK763">
        <v>324</v>
      </c>
      <c r="AL763">
        <f>VLOOKUP($U763,[2]Standard_Dynamic!$Q$1:$T$542,2,FALSE)</f>
        <v>0.88888888888888884</v>
      </c>
      <c r="AM763">
        <f>VLOOKUP($U763,[2]Standard_Dynamic!$Q$1:$T$542,3,FALSE)</f>
        <v>0.11111111111111116</v>
      </c>
      <c r="AN763">
        <f>VLOOKUP($U763,[2]Standard_Dynamic!$Q$1:$T$542,4,FALSE)</f>
        <v>0</v>
      </c>
      <c r="AO763" s="77">
        <f t="shared" si="2257"/>
        <v>1</v>
      </c>
      <c r="AP763" s="77">
        <f t="shared" si="2271"/>
        <v>6.3149999999999984E-2</v>
      </c>
      <c r="AQ763" s="77">
        <f t="shared" si="2258"/>
        <v>5.1160591879111372E-3</v>
      </c>
      <c r="AR763" s="79">
        <v>0</v>
      </c>
      <c r="AS763" s="77">
        <f t="shared" si="2272"/>
        <v>0</v>
      </c>
      <c r="AT763" s="77">
        <f t="shared" ref="AT763" si="2378">1-(1-AS763)^(1/12)</f>
        <v>0</v>
      </c>
      <c r="AU763" s="77">
        <f t="shared" si="2274"/>
        <v>2.5000000000000001E-3</v>
      </c>
      <c r="AV763" s="77">
        <f t="shared" ref="AV763" si="2379">1-(1-AU763)^(1/12)</f>
        <v>2.0857243058891584E-4</v>
      </c>
      <c r="AX763" t="s">
        <v>178</v>
      </c>
      <c r="AY763" t="s">
        <v>162</v>
      </c>
      <c r="AZ763" s="197" t="str">
        <f t="shared" si="2354"/>
        <v>DIS_Standard_324</v>
      </c>
      <c r="BA763">
        <v>324</v>
      </c>
      <c r="BB763">
        <f>VLOOKUP($BA763,'[2]Standard DIS'!$Q$1:$X$542,4,FALSE)</f>
        <v>0</v>
      </c>
      <c r="BF763">
        <f>VLOOKUP($BA763,'[2]Standard DIS'!$Q$1:$X$542,2,FALSE)</f>
        <v>0.88888888888888884</v>
      </c>
      <c r="BH763">
        <f>VLOOKUP($BA763,'[2]Standard DIS'!$Q$1:$X$542,3,FALSE)</f>
        <v>0.11111111111111116</v>
      </c>
      <c r="BI763" s="77">
        <f t="shared" si="2261"/>
        <v>1</v>
      </c>
      <c r="BJ763" s="77">
        <f t="shared" si="2262"/>
        <v>6.3149999999999984E-2</v>
      </c>
      <c r="BK763" s="77">
        <f t="shared" si="2355"/>
        <v>5.1160591879111372E-3</v>
      </c>
      <c r="BL763" s="79">
        <v>0</v>
      </c>
      <c r="BM763" s="77">
        <f t="shared" si="2276"/>
        <v>0</v>
      </c>
      <c r="BN763" s="77">
        <f t="shared" si="2277"/>
        <v>0</v>
      </c>
      <c r="BO763" s="77">
        <f t="shared" si="2278"/>
        <v>2.5000000000000001E-3</v>
      </c>
      <c r="BP763" s="77">
        <f t="shared" si="2279"/>
        <v>2.0809499864316017E-4</v>
      </c>
    </row>
    <row r="764" spans="1:68">
      <c r="A764" t="s">
        <v>175</v>
      </c>
      <c r="B764" t="s">
        <v>179</v>
      </c>
      <c r="C764" s="197" t="str">
        <f t="shared" si="2320"/>
        <v>Lifecycle_Dynamic_323</v>
      </c>
      <c r="D764">
        <v>323</v>
      </c>
      <c r="E764">
        <f>VLOOKUP($D764,'[2]LC Dynamic'!$Q$2:$U$542,2,FALSE)</f>
        <v>0</v>
      </c>
      <c r="F764">
        <f>VLOOKUP($D764,'[2]LC Dynamic'!$Q$2:$U$542,3,FALSE)</f>
        <v>0</v>
      </c>
      <c r="G764">
        <f>VLOOKUP($D764,'[2]LC Dynamic'!$Q$2:$U$542,4,FALSE)</f>
        <v>0.308</v>
      </c>
      <c r="H764">
        <f>VLOOKUP($D764,'[2]LC Dynamic'!$Q$2:$U$542,5,FALSE)</f>
        <v>0.69199999999999995</v>
      </c>
      <c r="I764" s="77">
        <f t="shared" si="2252"/>
        <v>1</v>
      </c>
      <c r="J764" s="77">
        <f t="shared" si="2253"/>
        <v>6.9728499999999985E-2</v>
      </c>
      <c r="K764" s="77">
        <f t="shared" si="2327"/>
        <v>5.632878498097682E-3</v>
      </c>
      <c r="L764" s="76">
        <v>0</v>
      </c>
      <c r="M764" s="77">
        <f t="shared" si="2263"/>
        <v>0</v>
      </c>
      <c r="N764" s="77">
        <f t="shared" si="2264"/>
        <v>0</v>
      </c>
      <c r="O764" s="77">
        <f t="shared" si="2265"/>
        <v>5.6775999999999997E-3</v>
      </c>
      <c r="P764" s="77">
        <f t="shared" si="2266"/>
        <v>4.7436902124819991E-4</v>
      </c>
      <c r="R764" t="s">
        <v>177</v>
      </c>
      <c r="S764" t="s">
        <v>179</v>
      </c>
      <c r="T764" s="197" t="str">
        <f t="shared" si="2321"/>
        <v>Autopilot_Dynamic_323</v>
      </c>
      <c r="U764">
        <v>323</v>
      </c>
      <c r="V764">
        <f>VLOOKUP($U764,'[2]AP Dynamic'!$Q$1:$T$542,2,FALSE)</f>
        <v>0.88888888888888884</v>
      </c>
      <c r="W764">
        <f>VLOOKUP($U764,'[2]AP Dynamic'!$Q$1:$T$542,3,FALSE)</f>
        <v>0.11111111111111116</v>
      </c>
      <c r="X764">
        <f>VLOOKUP($U764,'[2]AP Dynamic'!$Q$1:$T$542,4,FALSE)</f>
        <v>0</v>
      </c>
      <c r="Y764" s="77">
        <f t="shared" si="2322"/>
        <v>1</v>
      </c>
      <c r="Z764" s="77">
        <f t="shared" si="2328"/>
        <v>6.3149999999999984E-2</v>
      </c>
      <c r="AA764" s="77">
        <f t="shared" si="2329"/>
        <v>5.1160591879111372E-3</v>
      </c>
      <c r="AB764" s="79">
        <v>1</v>
      </c>
      <c r="AC764" s="77">
        <f t="shared" si="2267"/>
        <v>8.277777777777778E-3</v>
      </c>
      <c r="AD764" s="77">
        <f t="shared" ref="AD764" si="2380">1-(1-AC764)^(1/12)</f>
        <v>6.9244588451522482E-4</v>
      </c>
      <c r="AE764" s="77">
        <f t="shared" si="2269"/>
        <v>2.5000000000000001E-3</v>
      </c>
      <c r="AF764" s="77">
        <f t="shared" ref="AF764" si="2381">1-(1-AE764)^(1/12)</f>
        <v>2.0857243058891584E-4</v>
      </c>
      <c r="AH764" t="s">
        <v>175</v>
      </c>
      <c r="AI764" t="s">
        <v>179</v>
      </c>
      <c r="AJ764" s="197" t="str">
        <f t="shared" si="2256"/>
        <v>Lifecycle_Dynamic_323</v>
      </c>
      <c r="AK764">
        <v>323</v>
      </c>
      <c r="AL764">
        <f>VLOOKUP($U764,[2]Standard_Dynamic!$Q$1:$T$542,2,FALSE)</f>
        <v>0.88888888888888884</v>
      </c>
      <c r="AM764">
        <f>VLOOKUP($U764,[2]Standard_Dynamic!$Q$1:$T$542,3,FALSE)</f>
        <v>0.11111111111111116</v>
      </c>
      <c r="AN764">
        <f>VLOOKUP($U764,[2]Standard_Dynamic!$Q$1:$T$542,4,FALSE)</f>
        <v>0</v>
      </c>
      <c r="AO764" s="77">
        <f t="shared" si="2257"/>
        <v>1</v>
      </c>
      <c r="AP764" s="77">
        <f t="shared" si="2271"/>
        <v>6.3149999999999984E-2</v>
      </c>
      <c r="AQ764" s="77">
        <f t="shared" si="2258"/>
        <v>5.1160591879111372E-3</v>
      </c>
      <c r="AR764" s="79">
        <v>0</v>
      </c>
      <c r="AS764" s="77">
        <f t="shared" si="2272"/>
        <v>0</v>
      </c>
      <c r="AT764" s="77">
        <f t="shared" ref="AT764" si="2382">1-(1-AS764)^(1/12)</f>
        <v>0</v>
      </c>
      <c r="AU764" s="77">
        <f t="shared" si="2274"/>
        <v>2.5000000000000001E-3</v>
      </c>
      <c r="AV764" s="77">
        <f t="shared" ref="AV764" si="2383">1-(1-AU764)^(1/12)</f>
        <v>2.0857243058891584E-4</v>
      </c>
      <c r="AX764" t="s">
        <v>178</v>
      </c>
      <c r="AY764" t="s">
        <v>162</v>
      </c>
      <c r="AZ764" s="197" t="str">
        <f t="shared" si="2354"/>
        <v>DIS_Standard_323</v>
      </c>
      <c r="BA764">
        <v>323</v>
      </c>
      <c r="BB764">
        <f>VLOOKUP($BA764,'[2]Standard DIS'!$Q$1:$X$542,4,FALSE)</f>
        <v>0</v>
      </c>
      <c r="BF764">
        <f>VLOOKUP($BA764,'[2]Standard DIS'!$Q$1:$X$542,2,FALSE)</f>
        <v>0.88888888888888884</v>
      </c>
      <c r="BH764">
        <f>VLOOKUP($BA764,'[2]Standard DIS'!$Q$1:$X$542,3,FALSE)</f>
        <v>0.11111111111111116</v>
      </c>
      <c r="BI764" s="77">
        <f t="shared" si="2261"/>
        <v>1</v>
      </c>
      <c r="BJ764" s="77">
        <f t="shared" si="2262"/>
        <v>6.3149999999999984E-2</v>
      </c>
      <c r="BK764" s="77">
        <f t="shared" si="2355"/>
        <v>5.1160591879111372E-3</v>
      </c>
      <c r="BL764" s="79">
        <v>0</v>
      </c>
      <c r="BM764" s="77">
        <f t="shared" si="2276"/>
        <v>0</v>
      </c>
      <c r="BN764" s="77">
        <f t="shared" si="2277"/>
        <v>0</v>
      </c>
      <c r="BO764" s="77">
        <f t="shared" si="2278"/>
        <v>2.5000000000000001E-3</v>
      </c>
      <c r="BP764" s="77">
        <f t="shared" si="2279"/>
        <v>2.0809499864316017E-4</v>
      </c>
    </row>
    <row r="765" spans="1:68">
      <c r="A765" t="s">
        <v>175</v>
      </c>
      <c r="B765" t="s">
        <v>179</v>
      </c>
      <c r="C765" s="197" t="str">
        <f t="shared" si="2320"/>
        <v>Lifecycle_Dynamic_322</v>
      </c>
      <c r="D765">
        <v>322</v>
      </c>
      <c r="E765">
        <f>VLOOKUP($D765,'[2]LC Dynamic'!$Q$2:$U$542,2,FALSE)</f>
        <v>0</v>
      </c>
      <c r="F765">
        <f>VLOOKUP($D765,'[2]LC Dynamic'!$Q$2:$U$542,3,FALSE)</f>
        <v>0</v>
      </c>
      <c r="G765">
        <f>VLOOKUP($D765,'[2]LC Dynamic'!$Q$2:$U$542,4,FALSE)</f>
        <v>0.308</v>
      </c>
      <c r="H765">
        <f>VLOOKUP($D765,'[2]LC Dynamic'!$Q$2:$U$542,5,FALSE)</f>
        <v>0.69199999999999995</v>
      </c>
      <c r="I765" s="77">
        <f t="shared" si="2252"/>
        <v>1</v>
      </c>
      <c r="J765" s="77">
        <f t="shared" si="2253"/>
        <v>6.9728499999999985E-2</v>
      </c>
      <c r="K765" s="77">
        <f t="shared" si="2327"/>
        <v>5.632878498097682E-3</v>
      </c>
      <c r="L765" s="76">
        <v>0</v>
      </c>
      <c r="M765" s="77">
        <f t="shared" si="2263"/>
        <v>0</v>
      </c>
      <c r="N765" s="77">
        <f t="shared" si="2264"/>
        <v>0</v>
      </c>
      <c r="O765" s="77">
        <f t="shared" si="2265"/>
        <v>5.6775999999999997E-3</v>
      </c>
      <c r="P765" s="77">
        <f t="shared" si="2266"/>
        <v>4.7436902124819991E-4</v>
      </c>
      <c r="R765" t="s">
        <v>177</v>
      </c>
      <c r="S765" t="s">
        <v>179</v>
      </c>
      <c r="T765" s="197" t="str">
        <f t="shared" si="2321"/>
        <v>Autopilot_Dynamic_322</v>
      </c>
      <c r="U765">
        <v>322</v>
      </c>
      <c r="V765">
        <f>VLOOKUP($U765,'[2]AP Dynamic'!$Q$1:$T$542,2,FALSE)</f>
        <v>0.88888888888888884</v>
      </c>
      <c r="W765">
        <f>VLOOKUP($U765,'[2]AP Dynamic'!$Q$1:$T$542,3,FALSE)</f>
        <v>0.11111111111111116</v>
      </c>
      <c r="X765">
        <f>VLOOKUP($U765,'[2]AP Dynamic'!$Q$1:$T$542,4,FALSE)</f>
        <v>0</v>
      </c>
      <c r="Y765" s="77">
        <f t="shared" si="2322"/>
        <v>1</v>
      </c>
      <c r="Z765" s="77">
        <f t="shared" si="2328"/>
        <v>6.3149999999999984E-2</v>
      </c>
      <c r="AA765" s="77">
        <f t="shared" si="2329"/>
        <v>5.1160591879111372E-3</v>
      </c>
      <c r="AB765" s="79">
        <v>1</v>
      </c>
      <c r="AC765" s="77">
        <f t="shared" si="2267"/>
        <v>8.277777777777778E-3</v>
      </c>
      <c r="AD765" s="77">
        <f t="shared" ref="AD765" si="2384">1-(1-AC765)^(1/12)</f>
        <v>6.9244588451522482E-4</v>
      </c>
      <c r="AE765" s="77">
        <f t="shared" si="2269"/>
        <v>2.5000000000000001E-3</v>
      </c>
      <c r="AF765" s="77">
        <f t="shared" ref="AF765" si="2385">1-(1-AE765)^(1/12)</f>
        <v>2.0857243058891584E-4</v>
      </c>
      <c r="AH765" t="s">
        <v>175</v>
      </c>
      <c r="AI765" t="s">
        <v>179</v>
      </c>
      <c r="AJ765" s="197" t="str">
        <f t="shared" si="2256"/>
        <v>Lifecycle_Dynamic_322</v>
      </c>
      <c r="AK765">
        <v>322</v>
      </c>
      <c r="AL765">
        <f>VLOOKUP($U765,[2]Standard_Dynamic!$Q$1:$T$542,2,FALSE)</f>
        <v>0.88888888888888884</v>
      </c>
      <c r="AM765">
        <f>VLOOKUP($U765,[2]Standard_Dynamic!$Q$1:$T$542,3,FALSE)</f>
        <v>0.11111111111111116</v>
      </c>
      <c r="AN765">
        <f>VLOOKUP($U765,[2]Standard_Dynamic!$Q$1:$T$542,4,FALSE)</f>
        <v>0</v>
      </c>
      <c r="AO765" s="77">
        <f t="shared" si="2257"/>
        <v>1</v>
      </c>
      <c r="AP765" s="77">
        <f t="shared" si="2271"/>
        <v>6.3149999999999984E-2</v>
      </c>
      <c r="AQ765" s="77">
        <f t="shared" si="2258"/>
        <v>5.1160591879111372E-3</v>
      </c>
      <c r="AR765" s="79">
        <v>0</v>
      </c>
      <c r="AS765" s="77">
        <f t="shared" si="2272"/>
        <v>0</v>
      </c>
      <c r="AT765" s="77">
        <f t="shared" ref="AT765" si="2386">1-(1-AS765)^(1/12)</f>
        <v>0</v>
      </c>
      <c r="AU765" s="77">
        <f t="shared" si="2274"/>
        <v>2.5000000000000001E-3</v>
      </c>
      <c r="AV765" s="77">
        <f t="shared" ref="AV765" si="2387">1-(1-AU765)^(1/12)</f>
        <v>2.0857243058891584E-4</v>
      </c>
      <c r="AX765" t="s">
        <v>178</v>
      </c>
      <c r="AY765" t="s">
        <v>162</v>
      </c>
      <c r="AZ765" s="197" t="str">
        <f t="shared" si="2354"/>
        <v>DIS_Standard_322</v>
      </c>
      <c r="BA765">
        <v>322</v>
      </c>
      <c r="BB765">
        <f>VLOOKUP($BA765,'[2]Standard DIS'!$Q$1:$X$542,4,FALSE)</f>
        <v>0</v>
      </c>
      <c r="BF765">
        <f>VLOOKUP($BA765,'[2]Standard DIS'!$Q$1:$X$542,2,FALSE)</f>
        <v>0.88888888888888884</v>
      </c>
      <c r="BH765">
        <f>VLOOKUP($BA765,'[2]Standard DIS'!$Q$1:$X$542,3,FALSE)</f>
        <v>0.11111111111111116</v>
      </c>
      <c r="BI765" s="77">
        <f t="shared" si="2261"/>
        <v>1</v>
      </c>
      <c r="BJ765" s="77">
        <f t="shared" si="2262"/>
        <v>6.3149999999999984E-2</v>
      </c>
      <c r="BK765" s="77">
        <f t="shared" si="2355"/>
        <v>5.1160591879111372E-3</v>
      </c>
      <c r="BL765" s="79">
        <v>0</v>
      </c>
      <c r="BM765" s="77">
        <f t="shared" si="2276"/>
        <v>0</v>
      </c>
      <c r="BN765" s="77">
        <f t="shared" si="2277"/>
        <v>0</v>
      </c>
      <c r="BO765" s="77">
        <f t="shared" si="2278"/>
        <v>2.5000000000000001E-3</v>
      </c>
      <c r="BP765" s="77">
        <f t="shared" si="2279"/>
        <v>2.0809499864316017E-4</v>
      </c>
    </row>
    <row r="766" spans="1:68">
      <c r="A766" t="s">
        <v>175</v>
      </c>
      <c r="B766" t="s">
        <v>179</v>
      </c>
      <c r="C766" s="197" t="str">
        <f t="shared" si="2320"/>
        <v>Lifecycle_Dynamic_321</v>
      </c>
      <c r="D766">
        <v>321</v>
      </c>
      <c r="E766">
        <f>VLOOKUP($D766,'[2]LC Dynamic'!$Q$2:$U$542,2,FALSE)</f>
        <v>0</v>
      </c>
      <c r="F766">
        <f>VLOOKUP($D766,'[2]LC Dynamic'!$Q$2:$U$542,3,FALSE)</f>
        <v>0</v>
      </c>
      <c r="G766">
        <f>VLOOKUP($D766,'[2]LC Dynamic'!$Q$2:$U$542,4,FALSE)</f>
        <v>0.308</v>
      </c>
      <c r="H766">
        <f>VLOOKUP($D766,'[2]LC Dynamic'!$Q$2:$U$542,5,FALSE)</f>
        <v>0.69199999999999995</v>
      </c>
      <c r="I766" s="77">
        <f t="shared" si="2252"/>
        <v>1</v>
      </c>
      <c r="J766" s="77">
        <f t="shared" si="2253"/>
        <v>6.9728499999999985E-2</v>
      </c>
      <c r="K766" s="77">
        <f t="shared" si="2327"/>
        <v>5.632878498097682E-3</v>
      </c>
      <c r="L766" s="76">
        <v>0</v>
      </c>
      <c r="M766" s="77">
        <f t="shared" si="2263"/>
        <v>0</v>
      </c>
      <c r="N766" s="77">
        <f t="shared" si="2264"/>
        <v>0</v>
      </c>
      <c r="O766" s="77">
        <f t="shared" si="2265"/>
        <v>5.6775999999999997E-3</v>
      </c>
      <c r="P766" s="77">
        <f t="shared" si="2266"/>
        <v>4.7436902124819991E-4</v>
      </c>
      <c r="R766" t="s">
        <v>177</v>
      </c>
      <c r="S766" t="s">
        <v>179</v>
      </c>
      <c r="T766" s="197" t="str">
        <f t="shared" si="2321"/>
        <v>Autopilot_Dynamic_321</v>
      </c>
      <c r="U766">
        <v>321</v>
      </c>
      <c r="V766">
        <f>VLOOKUP($U766,'[2]AP Dynamic'!$Q$1:$T$542,2,FALSE)</f>
        <v>0.88888888888888884</v>
      </c>
      <c r="W766">
        <f>VLOOKUP($U766,'[2]AP Dynamic'!$Q$1:$T$542,3,FALSE)</f>
        <v>0.11111111111111116</v>
      </c>
      <c r="X766">
        <f>VLOOKUP($U766,'[2]AP Dynamic'!$Q$1:$T$542,4,FALSE)</f>
        <v>0</v>
      </c>
      <c r="Y766" s="77">
        <f t="shared" si="2322"/>
        <v>1</v>
      </c>
      <c r="Z766" s="77">
        <f t="shared" si="2328"/>
        <v>6.3149999999999984E-2</v>
      </c>
      <c r="AA766" s="77">
        <f t="shared" si="2329"/>
        <v>5.1160591879111372E-3</v>
      </c>
      <c r="AB766" s="79">
        <v>1</v>
      </c>
      <c r="AC766" s="77">
        <f t="shared" si="2267"/>
        <v>8.277777777777778E-3</v>
      </c>
      <c r="AD766" s="77">
        <f t="shared" ref="AD766" si="2388">1-(1-AC766)^(1/12)</f>
        <v>6.9244588451522482E-4</v>
      </c>
      <c r="AE766" s="77">
        <f t="shared" si="2269"/>
        <v>2.5000000000000001E-3</v>
      </c>
      <c r="AF766" s="77">
        <f t="shared" ref="AF766" si="2389">1-(1-AE766)^(1/12)</f>
        <v>2.0857243058891584E-4</v>
      </c>
      <c r="AH766" t="s">
        <v>175</v>
      </c>
      <c r="AI766" t="s">
        <v>179</v>
      </c>
      <c r="AJ766" s="197" t="str">
        <f t="shared" si="2256"/>
        <v>Lifecycle_Dynamic_321</v>
      </c>
      <c r="AK766">
        <v>321</v>
      </c>
      <c r="AL766">
        <f>VLOOKUP($U766,[2]Standard_Dynamic!$Q$1:$T$542,2,FALSE)</f>
        <v>0.88888888888888884</v>
      </c>
      <c r="AM766">
        <f>VLOOKUP($U766,[2]Standard_Dynamic!$Q$1:$T$542,3,FALSE)</f>
        <v>0.11111111111111116</v>
      </c>
      <c r="AN766">
        <f>VLOOKUP($U766,[2]Standard_Dynamic!$Q$1:$T$542,4,FALSE)</f>
        <v>0</v>
      </c>
      <c r="AO766" s="77">
        <f t="shared" si="2257"/>
        <v>1</v>
      </c>
      <c r="AP766" s="77">
        <f t="shared" si="2271"/>
        <v>6.3149999999999984E-2</v>
      </c>
      <c r="AQ766" s="77">
        <f t="shared" si="2258"/>
        <v>5.1160591879111372E-3</v>
      </c>
      <c r="AR766" s="79">
        <v>0</v>
      </c>
      <c r="AS766" s="77">
        <f t="shared" si="2272"/>
        <v>0</v>
      </c>
      <c r="AT766" s="77">
        <f t="shared" ref="AT766" si="2390">1-(1-AS766)^(1/12)</f>
        <v>0</v>
      </c>
      <c r="AU766" s="77">
        <f t="shared" si="2274"/>
        <v>2.5000000000000001E-3</v>
      </c>
      <c r="AV766" s="77">
        <f t="shared" ref="AV766" si="2391">1-(1-AU766)^(1/12)</f>
        <v>2.0857243058891584E-4</v>
      </c>
      <c r="AX766" t="s">
        <v>178</v>
      </c>
      <c r="AY766" t="s">
        <v>162</v>
      </c>
      <c r="AZ766" s="197" t="str">
        <f t="shared" si="2354"/>
        <v>DIS_Standard_321</v>
      </c>
      <c r="BA766">
        <v>321</v>
      </c>
      <c r="BB766">
        <f>VLOOKUP($BA766,'[2]Standard DIS'!$Q$1:$X$542,4,FALSE)</f>
        <v>0</v>
      </c>
      <c r="BF766">
        <f>VLOOKUP($BA766,'[2]Standard DIS'!$Q$1:$X$542,2,FALSE)</f>
        <v>0.88888888888888884</v>
      </c>
      <c r="BH766">
        <f>VLOOKUP($BA766,'[2]Standard DIS'!$Q$1:$X$542,3,FALSE)</f>
        <v>0.11111111111111116</v>
      </c>
      <c r="BI766" s="77">
        <f t="shared" si="2261"/>
        <v>1</v>
      </c>
      <c r="BJ766" s="77">
        <f t="shared" si="2262"/>
        <v>6.3149999999999984E-2</v>
      </c>
      <c r="BK766" s="77">
        <f t="shared" si="2355"/>
        <v>5.1160591879111372E-3</v>
      </c>
      <c r="BL766" s="79">
        <v>0</v>
      </c>
      <c r="BM766" s="77">
        <f t="shared" si="2276"/>
        <v>0</v>
      </c>
      <c r="BN766" s="77">
        <f t="shared" si="2277"/>
        <v>0</v>
      </c>
      <c r="BO766" s="77">
        <f t="shared" si="2278"/>
        <v>2.5000000000000001E-3</v>
      </c>
      <c r="BP766" s="77">
        <f t="shared" si="2279"/>
        <v>2.0809499864316017E-4</v>
      </c>
    </row>
    <row r="767" spans="1:68">
      <c r="A767" t="s">
        <v>175</v>
      </c>
      <c r="B767" t="s">
        <v>179</v>
      </c>
      <c r="C767" s="197" t="str">
        <f t="shared" si="2320"/>
        <v>Lifecycle_Dynamic_320</v>
      </c>
      <c r="D767">
        <v>320</v>
      </c>
      <c r="E767">
        <f>VLOOKUP($D767,'[2]LC Dynamic'!$Q$2:$U$542,2,FALSE)</f>
        <v>0</v>
      </c>
      <c r="F767">
        <f>VLOOKUP($D767,'[2]LC Dynamic'!$Q$2:$U$542,3,FALSE)</f>
        <v>0</v>
      </c>
      <c r="G767">
        <f>VLOOKUP($D767,'[2]LC Dynamic'!$Q$2:$U$542,4,FALSE)</f>
        <v>0.308</v>
      </c>
      <c r="H767">
        <f>VLOOKUP($D767,'[2]LC Dynamic'!$Q$2:$U$542,5,FALSE)</f>
        <v>0.69199999999999995</v>
      </c>
      <c r="I767" s="77">
        <f t="shared" si="2252"/>
        <v>1</v>
      </c>
      <c r="J767" s="77">
        <f t="shared" si="2253"/>
        <v>6.9728499999999985E-2</v>
      </c>
      <c r="K767" s="77">
        <f t="shared" si="2327"/>
        <v>5.632878498097682E-3</v>
      </c>
      <c r="L767" s="76">
        <v>0</v>
      </c>
      <c r="M767" s="77">
        <f t="shared" si="2263"/>
        <v>0</v>
      </c>
      <c r="N767" s="77">
        <f t="shared" si="2264"/>
        <v>0</v>
      </c>
      <c r="O767" s="77">
        <f t="shared" si="2265"/>
        <v>5.6775999999999997E-3</v>
      </c>
      <c r="P767" s="77">
        <f t="shared" si="2266"/>
        <v>4.7436902124819991E-4</v>
      </c>
      <c r="R767" t="s">
        <v>177</v>
      </c>
      <c r="S767" t="s">
        <v>179</v>
      </c>
      <c r="T767" s="197" t="str">
        <f t="shared" si="2321"/>
        <v>Autopilot_Dynamic_320</v>
      </c>
      <c r="U767">
        <v>320</v>
      </c>
      <c r="V767">
        <f>VLOOKUP($U767,'[2]AP Dynamic'!$Q$1:$T$542,2,FALSE)</f>
        <v>0.88888888888888884</v>
      </c>
      <c r="W767">
        <f>VLOOKUP($U767,'[2]AP Dynamic'!$Q$1:$T$542,3,FALSE)</f>
        <v>0.11111111111111116</v>
      </c>
      <c r="X767">
        <f>VLOOKUP($U767,'[2]AP Dynamic'!$Q$1:$T$542,4,FALSE)</f>
        <v>0</v>
      </c>
      <c r="Y767" s="77">
        <f t="shared" si="2322"/>
        <v>1</v>
      </c>
      <c r="Z767" s="77">
        <f t="shared" si="2328"/>
        <v>6.3149999999999984E-2</v>
      </c>
      <c r="AA767" s="77">
        <f t="shared" si="2329"/>
        <v>5.1160591879111372E-3</v>
      </c>
      <c r="AB767" s="79">
        <v>1</v>
      </c>
      <c r="AC767" s="77">
        <f t="shared" si="2267"/>
        <v>8.277777777777778E-3</v>
      </c>
      <c r="AD767" s="77">
        <f t="shared" ref="AD767" si="2392">1-(1-AC767)^(1/12)</f>
        <v>6.9244588451522482E-4</v>
      </c>
      <c r="AE767" s="77">
        <f t="shared" si="2269"/>
        <v>2.5000000000000001E-3</v>
      </c>
      <c r="AF767" s="77">
        <f t="shared" ref="AF767" si="2393">1-(1-AE767)^(1/12)</f>
        <v>2.0857243058891584E-4</v>
      </c>
      <c r="AH767" t="s">
        <v>175</v>
      </c>
      <c r="AI767" t="s">
        <v>179</v>
      </c>
      <c r="AJ767" s="197" t="str">
        <f t="shared" si="2256"/>
        <v>Lifecycle_Dynamic_320</v>
      </c>
      <c r="AK767">
        <v>320</v>
      </c>
      <c r="AL767">
        <f>VLOOKUP($U767,[2]Standard_Dynamic!$Q$1:$T$542,2,FALSE)</f>
        <v>0.88888888888888884</v>
      </c>
      <c r="AM767">
        <f>VLOOKUP($U767,[2]Standard_Dynamic!$Q$1:$T$542,3,FALSE)</f>
        <v>0.11111111111111116</v>
      </c>
      <c r="AN767">
        <f>VLOOKUP($U767,[2]Standard_Dynamic!$Q$1:$T$542,4,FALSE)</f>
        <v>0</v>
      </c>
      <c r="AO767" s="77">
        <f t="shared" si="2257"/>
        <v>1</v>
      </c>
      <c r="AP767" s="77">
        <f t="shared" si="2271"/>
        <v>6.3149999999999984E-2</v>
      </c>
      <c r="AQ767" s="77">
        <f t="shared" si="2258"/>
        <v>5.1160591879111372E-3</v>
      </c>
      <c r="AR767" s="79">
        <v>0</v>
      </c>
      <c r="AS767" s="77">
        <f t="shared" si="2272"/>
        <v>0</v>
      </c>
      <c r="AT767" s="77">
        <f t="shared" ref="AT767" si="2394">1-(1-AS767)^(1/12)</f>
        <v>0</v>
      </c>
      <c r="AU767" s="77">
        <f t="shared" si="2274"/>
        <v>2.5000000000000001E-3</v>
      </c>
      <c r="AV767" s="77">
        <f t="shared" ref="AV767" si="2395">1-(1-AU767)^(1/12)</f>
        <v>2.0857243058891584E-4</v>
      </c>
      <c r="AX767" t="s">
        <v>178</v>
      </c>
      <c r="AY767" t="s">
        <v>162</v>
      </c>
      <c r="AZ767" s="197" t="str">
        <f t="shared" si="2354"/>
        <v>DIS_Standard_320</v>
      </c>
      <c r="BA767">
        <v>320</v>
      </c>
      <c r="BB767">
        <f>VLOOKUP($BA767,'[2]Standard DIS'!$Q$1:$X$542,4,FALSE)</f>
        <v>0</v>
      </c>
      <c r="BF767">
        <f>VLOOKUP($BA767,'[2]Standard DIS'!$Q$1:$X$542,2,FALSE)</f>
        <v>0.88888888888888884</v>
      </c>
      <c r="BH767">
        <f>VLOOKUP($BA767,'[2]Standard DIS'!$Q$1:$X$542,3,FALSE)</f>
        <v>0.11111111111111116</v>
      </c>
      <c r="BI767" s="77">
        <f t="shared" si="2261"/>
        <v>1</v>
      </c>
      <c r="BJ767" s="77">
        <f t="shared" si="2262"/>
        <v>6.3149999999999984E-2</v>
      </c>
      <c r="BK767" s="77">
        <f t="shared" si="2355"/>
        <v>5.1160591879111372E-3</v>
      </c>
      <c r="BL767" s="79">
        <v>0</v>
      </c>
      <c r="BM767" s="77">
        <f t="shared" si="2276"/>
        <v>0</v>
      </c>
      <c r="BN767" s="77">
        <f t="shared" si="2277"/>
        <v>0</v>
      </c>
      <c r="BO767" s="77">
        <f t="shared" si="2278"/>
        <v>2.5000000000000001E-3</v>
      </c>
      <c r="BP767" s="77">
        <f t="shared" si="2279"/>
        <v>2.0809499864316017E-4</v>
      </c>
    </row>
    <row r="768" spans="1:68">
      <c r="A768" t="s">
        <v>175</v>
      </c>
      <c r="B768" t="s">
        <v>179</v>
      </c>
      <c r="C768" s="197" t="str">
        <f t="shared" si="2320"/>
        <v>Lifecycle_Dynamic_319</v>
      </c>
      <c r="D768">
        <v>319</v>
      </c>
      <c r="E768">
        <f>VLOOKUP($D768,'[2]LC Dynamic'!$Q$2:$U$542,2,FALSE)</f>
        <v>0</v>
      </c>
      <c r="F768">
        <f>VLOOKUP($D768,'[2]LC Dynamic'!$Q$2:$U$542,3,FALSE)</f>
        <v>0</v>
      </c>
      <c r="G768">
        <f>VLOOKUP($D768,'[2]LC Dynamic'!$Q$2:$U$542,4,FALSE)</f>
        <v>0.308</v>
      </c>
      <c r="H768">
        <f>VLOOKUP($D768,'[2]LC Dynamic'!$Q$2:$U$542,5,FALSE)</f>
        <v>0.69199999999999995</v>
      </c>
      <c r="I768" s="77">
        <f t="shared" si="2252"/>
        <v>1</v>
      </c>
      <c r="J768" s="77">
        <f t="shared" si="2253"/>
        <v>6.9728499999999985E-2</v>
      </c>
      <c r="K768" s="77">
        <f t="shared" si="2327"/>
        <v>5.632878498097682E-3</v>
      </c>
      <c r="L768" s="76">
        <v>0</v>
      </c>
      <c r="M768" s="77">
        <f t="shared" si="2263"/>
        <v>0</v>
      </c>
      <c r="N768" s="77">
        <f t="shared" si="2264"/>
        <v>0</v>
      </c>
      <c r="O768" s="77">
        <f t="shared" si="2265"/>
        <v>5.6775999999999997E-3</v>
      </c>
      <c r="P768" s="77">
        <f t="shared" si="2266"/>
        <v>4.7436902124819991E-4</v>
      </c>
      <c r="R768" t="s">
        <v>177</v>
      </c>
      <c r="S768" t="s">
        <v>179</v>
      </c>
      <c r="T768" s="197" t="str">
        <f t="shared" si="2321"/>
        <v>Autopilot_Dynamic_319</v>
      </c>
      <c r="U768">
        <v>319</v>
      </c>
      <c r="V768">
        <f>VLOOKUP($U768,'[2]AP Dynamic'!$Q$1:$T$542,2,FALSE)</f>
        <v>0.88888888888888884</v>
      </c>
      <c r="W768">
        <f>VLOOKUP($U768,'[2]AP Dynamic'!$Q$1:$T$542,3,FALSE)</f>
        <v>0.11111111111111116</v>
      </c>
      <c r="X768">
        <f>VLOOKUP($U768,'[2]AP Dynamic'!$Q$1:$T$542,4,FALSE)</f>
        <v>0</v>
      </c>
      <c r="Y768" s="77">
        <f t="shared" si="2322"/>
        <v>1</v>
      </c>
      <c r="Z768" s="77">
        <f t="shared" si="2328"/>
        <v>6.3149999999999984E-2</v>
      </c>
      <c r="AA768" s="77">
        <f t="shared" si="2329"/>
        <v>5.1160591879111372E-3</v>
      </c>
      <c r="AB768" s="79">
        <v>1</v>
      </c>
      <c r="AC768" s="77">
        <f t="shared" si="2267"/>
        <v>8.277777777777778E-3</v>
      </c>
      <c r="AD768" s="77">
        <f t="shared" ref="AD768" si="2396">1-(1-AC768)^(1/12)</f>
        <v>6.9244588451522482E-4</v>
      </c>
      <c r="AE768" s="77">
        <f t="shared" si="2269"/>
        <v>2.5000000000000001E-3</v>
      </c>
      <c r="AF768" s="77">
        <f t="shared" ref="AF768" si="2397">1-(1-AE768)^(1/12)</f>
        <v>2.0857243058891584E-4</v>
      </c>
      <c r="AH768" t="s">
        <v>175</v>
      </c>
      <c r="AI768" t="s">
        <v>179</v>
      </c>
      <c r="AJ768" s="197" t="str">
        <f t="shared" si="2256"/>
        <v>Lifecycle_Dynamic_319</v>
      </c>
      <c r="AK768">
        <v>319</v>
      </c>
      <c r="AL768">
        <f>VLOOKUP($U768,[2]Standard_Dynamic!$Q$1:$T$542,2,FALSE)</f>
        <v>0.88888888888888884</v>
      </c>
      <c r="AM768">
        <f>VLOOKUP($U768,[2]Standard_Dynamic!$Q$1:$T$542,3,FALSE)</f>
        <v>0.11111111111111116</v>
      </c>
      <c r="AN768">
        <f>VLOOKUP($U768,[2]Standard_Dynamic!$Q$1:$T$542,4,FALSE)</f>
        <v>0</v>
      </c>
      <c r="AO768" s="77">
        <f t="shared" si="2257"/>
        <v>1</v>
      </c>
      <c r="AP768" s="77">
        <f t="shared" si="2271"/>
        <v>6.3149999999999984E-2</v>
      </c>
      <c r="AQ768" s="77">
        <f t="shared" si="2258"/>
        <v>5.1160591879111372E-3</v>
      </c>
      <c r="AR768" s="79">
        <v>0</v>
      </c>
      <c r="AS768" s="77">
        <f t="shared" si="2272"/>
        <v>0</v>
      </c>
      <c r="AT768" s="77">
        <f t="shared" ref="AT768" si="2398">1-(1-AS768)^(1/12)</f>
        <v>0</v>
      </c>
      <c r="AU768" s="77">
        <f t="shared" si="2274"/>
        <v>2.5000000000000001E-3</v>
      </c>
      <c r="AV768" s="77">
        <f t="shared" ref="AV768" si="2399">1-(1-AU768)^(1/12)</f>
        <v>2.0857243058891584E-4</v>
      </c>
      <c r="AX768" t="s">
        <v>178</v>
      </c>
      <c r="AY768" t="s">
        <v>162</v>
      </c>
      <c r="AZ768" s="197" t="str">
        <f t="shared" si="2354"/>
        <v>DIS_Standard_319</v>
      </c>
      <c r="BA768">
        <v>319</v>
      </c>
      <c r="BB768">
        <f>VLOOKUP($BA768,'[2]Standard DIS'!$Q$1:$X$542,4,FALSE)</f>
        <v>0</v>
      </c>
      <c r="BF768">
        <f>VLOOKUP($BA768,'[2]Standard DIS'!$Q$1:$X$542,2,FALSE)</f>
        <v>0.88888888888888884</v>
      </c>
      <c r="BH768">
        <f>VLOOKUP($BA768,'[2]Standard DIS'!$Q$1:$X$542,3,FALSE)</f>
        <v>0.11111111111111116</v>
      </c>
      <c r="BI768" s="77">
        <f t="shared" si="2261"/>
        <v>1</v>
      </c>
      <c r="BJ768" s="77">
        <f t="shared" si="2262"/>
        <v>6.3149999999999984E-2</v>
      </c>
      <c r="BK768" s="77">
        <f t="shared" si="2355"/>
        <v>5.1160591879111372E-3</v>
      </c>
      <c r="BL768" s="79">
        <v>0</v>
      </c>
      <c r="BM768" s="77">
        <f t="shared" si="2276"/>
        <v>0</v>
      </c>
      <c r="BN768" s="77">
        <f t="shared" si="2277"/>
        <v>0</v>
      </c>
      <c r="BO768" s="77">
        <f t="shared" si="2278"/>
        <v>2.5000000000000001E-3</v>
      </c>
      <c r="BP768" s="77">
        <f t="shared" si="2279"/>
        <v>2.0809499864316017E-4</v>
      </c>
    </row>
    <row r="769" spans="1:68">
      <c r="A769" t="s">
        <v>175</v>
      </c>
      <c r="B769" t="s">
        <v>179</v>
      </c>
      <c r="C769" s="197" t="str">
        <f t="shared" si="2320"/>
        <v>Lifecycle_Dynamic_318</v>
      </c>
      <c r="D769">
        <v>318</v>
      </c>
      <c r="E769">
        <f>VLOOKUP($D769,'[2]LC Dynamic'!$Q$2:$U$542,2,FALSE)</f>
        <v>0</v>
      </c>
      <c r="F769">
        <f>VLOOKUP($D769,'[2]LC Dynamic'!$Q$2:$U$542,3,FALSE)</f>
        <v>0</v>
      </c>
      <c r="G769">
        <f>VLOOKUP($D769,'[2]LC Dynamic'!$Q$2:$U$542,4,FALSE)</f>
        <v>0.308</v>
      </c>
      <c r="H769">
        <f>VLOOKUP($D769,'[2]LC Dynamic'!$Q$2:$U$542,5,FALSE)</f>
        <v>0.69199999999999995</v>
      </c>
      <c r="I769" s="77">
        <f t="shared" si="2252"/>
        <v>1</v>
      </c>
      <c r="J769" s="77">
        <f t="shared" si="2253"/>
        <v>6.9728499999999985E-2</v>
      </c>
      <c r="K769" s="77">
        <f t="shared" si="2327"/>
        <v>5.632878498097682E-3</v>
      </c>
      <c r="L769" s="76">
        <v>0</v>
      </c>
      <c r="M769" s="77">
        <f t="shared" si="2263"/>
        <v>0</v>
      </c>
      <c r="N769" s="77">
        <f t="shared" si="2264"/>
        <v>0</v>
      </c>
      <c r="O769" s="77">
        <f t="shared" si="2265"/>
        <v>5.6775999999999997E-3</v>
      </c>
      <c r="P769" s="77">
        <f t="shared" si="2266"/>
        <v>4.7436902124819991E-4</v>
      </c>
      <c r="R769" t="s">
        <v>177</v>
      </c>
      <c r="S769" t="s">
        <v>179</v>
      </c>
      <c r="T769" s="197" t="str">
        <f t="shared" si="2321"/>
        <v>Autopilot_Dynamic_318</v>
      </c>
      <c r="U769">
        <v>318</v>
      </c>
      <c r="V769">
        <f>VLOOKUP($U769,'[2]AP Dynamic'!$Q$1:$T$542,2,FALSE)</f>
        <v>0.88888888888888884</v>
      </c>
      <c r="W769">
        <f>VLOOKUP($U769,'[2]AP Dynamic'!$Q$1:$T$542,3,FALSE)</f>
        <v>0.11111111111111116</v>
      </c>
      <c r="X769">
        <f>VLOOKUP($U769,'[2]AP Dynamic'!$Q$1:$T$542,4,FALSE)</f>
        <v>0</v>
      </c>
      <c r="Y769" s="77">
        <f t="shared" si="2322"/>
        <v>1</v>
      </c>
      <c r="Z769" s="77">
        <f t="shared" si="2328"/>
        <v>6.3149999999999984E-2</v>
      </c>
      <c r="AA769" s="77">
        <f t="shared" si="2329"/>
        <v>5.1160591879111372E-3</v>
      </c>
      <c r="AB769" s="79">
        <v>1</v>
      </c>
      <c r="AC769" s="77">
        <f t="shared" si="2267"/>
        <v>8.277777777777778E-3</v>
      </c>
      <c r="AD769" s="77">
        <f t="shared" ref="AD769" si="2400">1-(1-AC769)^(1/12)</f>
        <v>6.9244588451522482E-4</v>
      </c>
      <c r="AE769" s="77">
        <f t="shared" si="2269"/>
        <v>2.5000000000000001E-3</v>
      </c>
      <c r="AF769" s="77">
        <f t="shared" ref="AF769" si="2401">1-(1-AE769)^(1/12)</f>
        <v>2.0857243058891584E-4</v>
      </c>
      <c r="AH769" t="s">
        <v>175</v>
      </c>
      <c r="AI769" t="s">
        <v>179</v>
      </c>
      <c r="AJ769" s="197" t="str">
        <f t="shared" si="2256"/>
        <v>Lifecycle_Dynamic_318</v>
      </c>
      <c r="AK769">
        <v>318</v>
      </c>
      <c r="AL769">
        <f>VLOOKUP($U769,[2]Standard_Dynamic!$Q$1:$T$542,2,FALSE)</f>
        <v>0.88888888888888884</v>
      </c>
      <c r="AM769">
        <f>VLOOKUP($U769,[2]Standard_Dynamic!$Q$1:$T$542,3,FALSE)</f>
        <v>0.11111111111111116</v>
      </c>
      <c r="AN769">
        <f>VLOOKUP($U769,[2]Standard_Dynamic!$Q$1:$T$542,4,FALSE)</f>
        <v>0</v>
      </c>
      <c r="AO769" s="77">
        <f t="shared" si="2257"/>
        <v>1</v>
      </c>
      <c r="AP769" s="77">
        <f t="shared" si="2271"/>
        <v>6.3149999999999984E-2</v>
      </c>
      <c r="AQ769" s="77">
        <f t="shared" si="2258"/>
        <v>5.1160591879111372E-3</v>
      </c>
      <c r="AR769" s="79">
        <v>0</v>
      </c>
      <c r="AS769" s="77">
        <f t="shared" si="2272"/>
        <v>0</v>
      </c>
      <c r="AT769" s="77">
        <f t="shared" ref="AT769" si="2402">1-(1-AS769)^(1/12)</f>
        <v>0</v>
      </c>
      <c r="AU769" s="77">
        <f t="shared" si="2274"/>
        <v>2.5000000000000001E-3</v>
      </c>
      <c r="AV769" s="77">
        <f t="shared" ref="AV769" si="2403">1-(1-AU769)^(1/12)</f>
        <v>2.0857243058891584E-4</v>
      </c>
      <c r="AX769" t="s">
        <v>178</v>
      </c>
      <c r="AY769" t="s">
        <v>162</v>
      </c>
      <c r="AZ769" s="197" t="str">
        <f t="shared" si="2354"/>
        <v>DIS_Standard_318</v>
      </c>
      <c r="BA769">
        <v>318</v>
      </c>
      <c r="BB769">
        <f>VLOOKUP($BA769,'[2]Standard DIS'!$Q$1:$X$542,4,FALSE)</f>
        <v>0</v>
      </c>
      <c r="BF769">
        <f>VLOOKUP($BA769,'[2]Standard DIS'!$Q$1:$X$542,2,FALSE)</f>
        <v>0.88888888888888884</v>
      </c>
      <c r="BH769">
        <f>VLOOKUP($BA769,'[2]Standard DIS'!$Q$1:$X$542,3,FALSE)</f>
        <v>0.11111111111111116</v>
      </c>
      <c r="BI769" s="77">
        <f t="shared" si="2261"/>
        <v>1</v>
      </c>
      <c r="BJ769" s="77">
        <f t="shared" si="2262"/>
        <v>6.3149999999999984E-2</v>
      </c>
      <c r="BK769" s="77">
        <f t="shared" si="2355"/>
        <v>5.1160591879111372E-3</v>
      </c>
      <c r="BL769" s="79">
        <v>0</v>
      </c>
      <c r="BM769" s="77">
        <f t="shared" si="2276"/>
        <v>0</v>
      </c>
      <c r="BN769" s="77">
        <f t="shared" si="2277"/>
        <v>0</v>
      </c>
      <c r="BO769" s="77">
        <f t="shared" si="2278"/>
        <v>2.5000000000000001E-3</v>
      </c>
      <c r="BP769" s="77">
        <f t="shared" si="2279"/>
        <v>2.0809499864316017E-4</v>
      </c>
    </row>
    <row r="770" spans="1:68">
      <c r="A770" t="s">
        <v>175</v>
      </c>
      <c r="B770" t="s">
        <v>179</v>
      </c>
      <c r="C770" s="197" t="str">
        <f t="shared" si="2320"/>
        <v>Lifecycle_Dynamic_317</v>
      </c>
      <c r="D770">
        <v>317</v>
      </c>
      <c r="E770">
        <f>VLOOKUP($D770,'[2]LC Dynamic'!$Q$2:$U$542,2,FALSE)</f>
        <v>0</v>
      </c>
      <c r="F770">
        <f>VLOOKUP($D770,'[2]LC Dynamic'!$Q$2:$U$542,3,FALSE)</f>
        <v>0</v>
      </c>
      <c r="G770">
        <f>VLOOKUP($D770,'[2]LC Dynamic'!$Q$2:$U$542,4,FALSE)</f>
        <v>0.308</v>
      </c>
      <c r="H770">
        <f>VLOOKUP($D770,'[2]LC Dynamic'!$Q$2:$U$542,5,FALSE)</f>
        <v>0.69199999999999995</v>
      </c>
      <c r="I770" s="77">
        <f t="shared" si="2252"/>
        <v>1</v>
      </c>
      <c r="J770" s="77">
        <f t="shared" si="2253"/>
        <v>6.9728499999999985E-2</v>
      </c>
      <c r="K770" s="77">
        <f t="shared" si="2327"/>
        <v>5.632878498097682E-3</v>
      </c>
      <c r="L770" s="76">
        <v>0</v>
      </c>
      <c r="M770" s="77">
        <f t="shared" si="2263"/>
        <v>0</v>
      </c>
      <c r="N770" s="77">
        <f t="shared" si="2264"/>
        <v>0</v>
      </c>
      <c r="O770" s="77">
        <f t="shared" si="2265"/>
        <v>5.6775999999999997E-3</v>
      </c>
      <c r="P770" s="77">
        <f t="shared" si="2266"/>
        <v>4.7436902124819991E-4</v>
      </c>
      <c r="R770" t="s">
        <v>177</v>
      </c>
      <c r="S770" t="s">
        <v>179</v>
      </c>
      <c r="T770" s="197" t="str">
        <f t="shared" si="2321"/>
        <v>Autopilot_Dynamic_317</v>
      </c>
      <c r="U770">
        <v>317</v>
      </c>
      <c r="V770">
        <f>VLOOKUP($U770,'[2]AP Dynamic'!$Q$1:$T$542,2,FALSE)</f>
        <v>0.88888888888888884</v>
      </c>
      <c r="W770">
        <f>VLOOKUP($U770,'[2]AP Dynamic'!$Q$1:$T$542,3,FALSE)</f>
        <v>0.11111111111111116</v>
      </c>
      <c r="X770">
        <f>VLOOKUP($U770,'[2]AP Dynamic'!$Q$1:$T$542,4,FALSE)</f>
        <v>0</v>
      </c>
      <c r="Y770" s="77">
        <f t="shared" si="2322"/>
        <v>1</v>
      </c>
      <c r="Z770" s="77">
        <f t="shared" si="2328"/>
        <v>6.3149999999999984E-2</v>
      </c>
      <c r="AA770" s="77">
        <f t="shared" si="2329"/>
        <v>5.1160591879111372E-3</v>
      </c>
      <c r="AB770" s="79">
        <v>1</v>
      </c>
      <c r="AC770" s="77">
        <f t="shared" si="2267"/>
        <v>8.277777777777778E-3</v>
      </c>
      <c r="AD770" s="77">
        <f t="shared" ref="AD770" si="2404">1-(1-AC770)^(1/12)</f>
        <v>6.9244588451522482E-4</v>
      </c>
      <c r="AE770" s="77">
        <f t="shared" si="2269"/>
        <v>2.5000000000000001E-3</v>
      </c>
      <c r="AF770" s="77">
        <f t="shared" ref="AF770" si="2405">1-(1-AE770)^(1/12)</f>
        <v>2.0857243058891584E-4</v>
      </c>
      <c r="AH770" t="s">
        <v>175</v>
      </c>
      <c r="AI770" t="s">
        <v>179</v>
      </c>
      <c r="AJ770" s="197" t="str">
        <f t="shared" si="2256"/>
        <v>Lifecycle_Dynamic_317</v>
      </c>
      <c r="AK770">
        <v>317</v>
      </c>
      <c r="AL770">
        <f>VLOOKUP($U770,[2]Standard_Dynamic!$Q$1:$T$542,2,FALSE)</f>
        <v>0.88888888888888884</v>
      </c>
      <c r="AM770">
        <f>VLOOKUP($U770,[2]Standard_Dynamic!$Q$1:$T$542,3,FALSE)</f>
        <v>0.11111111111111116</v>
      </c>
      <c r="AN770">
        <f>VLOOKUP($U770,[2]Standard_Dynamic!$Q$1:$T$542,4,FALSE)</f>
        <v>0</v>
      </c>
      <c r="AO770" s="77">
        <f t="shared" si="2257"/>
        <v>1</v>
      </c>
      <c r="AP770" s="77">
        <f t="shared" si="2271"/>
        <v>6.3149999999999984E-2</v>
      </c>
      <c r="AQ770" s="77">
        <f t="shared" si="2258"/>
        <v>5.1160591879111372E-3</v>
      </c>
      <c r="AR770" s="79">
        <v>0</v>
      </c>
      <c r="AS770" s="77">
        <f t="shared" si="2272"/>
        <v>0</v>
      </c>
      <c r="AT770" s="77">
        <f t="shared" ref="AT770" si="2406">1-(1-AS770)^(1/12)</f>
        <v>0</v>
      </c>
      <c r="AU770" s="77">
        <f t="shared" si="2274"/>
        <v>2.5000000000000001E-3</v>
      </c>
      <c r="AV770" s="77">
        <f t="shared" ref="AV770" si="2407">1-(1-AU770)^(1/12)</f>
        <v>2.0857243058891584E-4</v>
      </c>
      <c r="AX770" t="s">
        <v>178</v>
      </c>
      <c r="AY770" t="s">
        <v>162</v>
      </c>
      <c r="AZ770" s="197" t="str">
        <f t="shared" si="2354"/>
        <v>DIS_Standard_317</v>
      </c>
      <c r="BA770">
        <v>317</v>
      </c>
      <c r="BB770">
        <f>VLOOKUP($BA770,'[2]Standard DIS'!$Q$1:$X$542,4,FALSE)</f>
        <v>0</v>
      </c>
      <c r="BF770">
        <f>VLOOKUP($BA770,'[2]Standard DIS'!$Q$1:$X$542,2,FALSE)</f>
        <v>0.88888888888888884</v>
      </c>
      <c r="BH770">
        <f>VLOOKUP($BA770,'[2]Standard DIS'!$Q$1:$X$542,3,FALSE)</f>
        <v>0.11111111111111116</v>
      </c>
      <c r="BI770" s="77">
        <f t="shared" si="2261"/>
        <v>1</v>
      </c>
      <c r="BJ770" s="77">
        <f t="shared" si="2262"/>
        <v>6.3149999999999984E-2</v>
      </c>
      <c r="BK770" s="77">
        <f t="shared" si="2355"/>
        <v>5.1160591879111372E-3</v>
      </c>
      <c r="BL770" s="79">
        <v>0</v>
      </c>
      <c r="BM770" s="77">
        <f t="shared" si="2276"/>
        <v>0</v>
      </c>
      <c r="BN770" s="77">
        <f t="shared" si="2277"/>
        <v>0</v>
      </c>
      <c r="BO770" s="77">
        <f t="shared" si="2278"/>
        <v>2.5000000000000001E-3</v>
      </c>
      <c r="BP770" s="77">
        <f t="shared" si="2279"/>
        <v>2.0809499864316017E-4</v>
      </c>
    </row>
    <row r="771" spans="1:68">
      <c r="A771" t="s">
        <v>175</v>
      </c>
      <c r="B771" t="s">
        <v>179</v>
      </c>
      <c r="C771" s="197" t="str">
        <f t="shared" si="2320"/>
        <v>Lifecycle_Dynamic_316</v>
      </c>
      <c r="D771">
        <v>316</v>
      </c>
      <c r="E771">
        <f>VLOOKUP($D771,'[2]LC Dynamic'!$Q$2:$U$542,2,FALSE)</f>
        <v>0</v>
      </c>
      <c r="F771">
        <f>VLOOKUP($D771,'[2]LC Dynamic'!$Q$2:$U$542,3,FALSE)</f>
        <v>0</v>
      </c>
      <c r="G771">
        <f>VLOOKUP($D771,'[2]LC Dynamic'!$Q$2:$U$542,4,FALSE)</f>
        <v>0.308</v>
      </c>
      <c r="H771">
        <f>VLOOKUP($D771,'[2]LC Dynamic'!$Q$2:$U$542,5,FALSE)</f>
        <v>0.69199999999999995</v>
      </c>
      <c r="I771" s="77">
        <f t="shared" si="2252"/>
        <v>1</v>
      </c>
      <c r="J771" s="77">
        <f t="shared" si="2253"/>
        <v>6.9728499999999985E-2</v>
      </c>
      <c r="K771" s="77">
        <f t="shared" si="2327"/>
        <v>5.632878498097682E-3</v>
      </c>
      <c r="L771" s="76">
        <v>0</v>
      </c>
      <c r="M771" s="77">
        <f t="shared" si="2263"/>
        <v>0</v>
      </c>
      <c r="N771" s="77">
        <f t="shared" si="2264"/>
        <v>0</v>
      </c>
      <c r="O771" s="77">
        <f t="shared" si="2265"/>
        <v>5.6775999999999997E-3</v>
      </c>
      <c r="P771" s="77">
        <f t="shared" si="2266"/>
        <v>4.7436902124819991E-4</v>
      </c>
      <c r="R771" t="s">
        <v>177</v>
      </c>
      <c r="S771" t="s">
        <v>179</v>
      </c>
      <c r="T771" s="197" t="str">
        <f t="shared" si="2321"/>
        <v>Autopilot_Dynamic_316</v>
      </c>
      <c r="U771">
        <v>316</v>
      </c>
      <c r="V771">
        <f>VLOOKUP($U771,'[2]AP Dynamic'!$Q$1:$T$542,2,FALSE)</f>
        <v>0.88888888888888884</v>
      </c>
      <c r="W771">
        <f>VLOOKUP($U771,'[2]AP Dynamic'!$Q$1:$T$542,3,FALSE)</f>
        <v>0.11111111111111116</v>
      </c>
      <c r="X771">
        <f>VLOOKUP($U771,'[2]AP Dynamic'!$Q$1:$T$542,4,FALSE)</f>
        <v>0</v>
      </c>
      <c r="Y771" s="77">
        <f t="shared" si="2322"/>
        <v>1</v>
      </c>
      <c r="Z771" s="77">
        <f t="shared" si="2328"/>
        <v>6.3149999999999984E-2</v>
      </c>
      <c r="AA771" s="77">
        <f t="shared" si="2329"/>
        <v>5.1160591879111372E-3</v>
      </c>
      <c r="AB771" s="79">
        <v>1</v>
      </c>
      <c r="AC771" s="77">
        <f t="shared" si="2267"/>
        <v>8.277777777777778E-3</v>
      </c>
      <c r="AD771" s="77">
        <f t="shared" ref="AD771" si="2408">1-(1-AC771)^(1/12)</f>
        <v>6.9244588451522482E-4</v>
      </c>
      <c r="AE771" s="77">
        <f t="shared" si="2269"/>
        <v>2.5000000000000001E-3</v>
      </c>
      <c r="AF771" s="77">
        <f t="shared" ref="AF771" si="2409">1-(1-AE771)^(1/12)</f>
        <v>2.0857243058891584E-4</v>
      </c>
      <c r="AH771" t="s">
        <v>175</v>
      </c>
      <c r="AI771" t="s">
        <v>179</v>
      </c>
      <c r="AJ771" s="197" t="str">
        <f t="shared" si="2256"/>
        <v>Lifecycle_Dynamic_316</v>
      </c>
      <c r="AK771">
        <v>316</v>
      </c>
      <c r="AL771">
        <f>VLOOKUP($U771,[2]Standard_Dynamic!$Q$1:$T$542,2,FALSE)</f>
        <v>0.88888888888888884</v>
      </c>
      <c r="AM771">
        <f>VLOOKUP($U771,[2]Standard_Dynamic!$Q$1:$T$542,3,FALSE)</f>
        <v>0.11111111111111116</v>
      </c>
      <c r="AN771">
        <f>VLOOKUP($U771,[2]Standard_Dynamic!$Q$1:$T$542,4,FALSE)</f>
        <v>0</v>
      </c>
      <c r="AO771" s="77">
        <f t="shared" si="2257"/>
        <v>1</v>
      </c>
      <c r="AP771" s="77">
        <f t="shared" si="2271"/>
        <v>6.3149999999999984E-2</v>
      </c>
      <c r="AQ771" s="77">
        <f t="shared" si="2258"/>
        <v>5.1160591879111372E-3</v>
      </c>
      <c r="AR771" s="79">
        <v>0</v>
      </c>
      <c r="AS771" s="77">
        <f t="shared" si="2272"/>
        <v>0</v>
      </c>
      <c r="AT771" s="77">
        <f t="shared" ref="AT771" si="2410">1-(1-AS771)^(1/12)</f>
        <v>0</v>
      </c>
      <c r="AU771" s="77">
        <f t="shared" si="2274"/>
        <v>2.5000000000000001E-3</v>
      </c>
      <c r="AV771" s="77">
        <f t="shared" ref="AV771" si="2411">1-(1-AU771)^(1/12)</f>
        <v>2.0857243058891584E-4</v>
      </c>
      <c r="AX771" t="s">
        <v>178</v>
      </c>
      <c r="AY771" t="s">
        <v>162</v>
      </c>
      <c r="AZ771" s="197" t="str">
        <f t="shared" si="2354"/>
        <v>DIS_Standard_316</v>
      </c>
      <c r="BA771">
        <v>316</v>
      </c>
      <c r="BB771">
        <f>VLOOKUP($BA771,'[2]Standard DIS'!$Q$1:$X$542,4,FALSE)</f>
        <v>0</v>
      </c>
      <c r="BF771">
        <f>VLOOKUP($BA771,'[2]Standard DIS'!$Q$1:$X$542,2,FALSE)</f>
        <v>0.88888888888888884</v>
      </c>
      <c r="BH771">
        <f>VLOOKUP($BA771,'[2]Standard DIS'!$Q$1:$X$542,3,FALSE)</f>
        <v>0.11111111111111116</v>
      </c>
      <c r="BI771" s="77">
        <f t="shared" si="2261"/>
        <v>1</v>
      </c>
      <c r="BJ771" s="77">
        <f t="shared" si="2262"/>
        <v>6.3149999999999984E-2</v>
      </c>
      <c r="BK771" s="77">
        <f t="shared" si="2355"/>
        <v>5.1160591879111372E-3</v>
      </c>
      <c r="BL771" s="79">
        <v>0</v>
      </c>
      <c r="BM771" s="77">
        <f t="shared" si="2276"/>
        <v>0</v>
      </c>
      <c r="BN771" s="77">
        <f t="shared" si="2277"/>
        <v>0</v>
      </c>
      <c r="BO771" s="77">
        <f t="shared" si="2278"/>
        <v>2.5000000000000001E-3</v>
      </c>
      <c r="BP771" s="77">
        <f t="shared" si="2279"/>
        <v>2.0809499864316017E-4</v>
      </c>
    </row>
    <row r="772" spans="1:68">
      <c r="A772" t="s">
        <v>175</v>
      </c>
      <c r="B772" t="s">
        <v>179</v>
      </c>
      <c r="C772" s="197" t="str">
        <f t="shared" si="2320"/>
        <v>Lifecycle_Dynamic_315</v>
      </c>
      <c r="D772">
        <v>315</v>
      </c>
      <c r="E772">
        <f>VLOOKUP($D772,'[2]LC Dynamic'!$Q$2:$U$542,2,FALSE)</f>
        <v>0</v>
      </c>
      <c r="F772">
        <f>VLOOKUP($D772,'[2]LC Dynamic'!$Q$2:$U$542,3,FALSE)</f>
        <v>0</v>
      </c>
      <c r="G772">
        <f>VLOOKUP($D772,'[2]LC Dynamic'!$Q$2:$U$542,4,FALSE)</f>
        <v>0.308</v>
      </c>
      <c r="H772">
        <f>VLOOKUP($D772,'[2]LC Dynamic'!$Q$2:$U$542,5,FALSE)</f>
        <v>0.69199999999999995</v>
      </c>
      <c r="I772" s="77">
        <f t="shared" si="2252"/>
        <v>1</v>
      </c>
      <c r="J772" s="77">
        <f t="shared" si="2253"/>
        <v>6.9728499999999985E-2</v>
      </c>
      <c r="K772" s="77">
        <f t="shared" si="2327"/>
        <v>5.632878498097682E-3</v>
      </c>
      <c r="L772" s="76">
        <v>0</v>
      </c>
      <c r="M772" s="77">
        <f t="shared" si="2263"/>
        <v>0</v>
      </c>
      <c r="N772" s="77">
        <f t="shared" si="2264"/>
        <v>0</v>
      </c>
      <c r="O772" s="77">
        <f t="shared" si="2265"/>
        <v>5.6775999999999997E-3</v>
      </c>
      <c r="P772" s="77">
        <f t="shared" si="2266"/>
        <v>4.7436902124819991E-4</v>
      </c>
      <c r="R772" t="s">
        <v>177</v>
      </c>
      <c r="S772" t="s">
        <v>179</v>
      </c>
      <c r="T772" s="197" t="str">
        <f t="shared" si="2321"/>
        <v>Autopilot_Dynamic_315</v>
      </c>
      <c r="U772">
        <v>315</v>
      </c>
      <c r="V772">
        <f>VLOOKUP($U772,'[2]AP Dynamic'!$Q$1:$T$542,2,FALSE)</f>
        <v>0.88888888888888884</v>
      </c>
      <c r="W772">
        <f>VLOOKUP($U772,'[2]AP Dynamic'!$Q$1:$T$542,3,FALSE)</f>
        <v>0.11111111111111116</v>
      </c>
      <c r="X772">
        <f>VLOOKUP($U772,'[2]AP Dynamic'!$Q$1:$T$542,4,FALSE)</f>
        <v>0</v>
      </c>
      <c r="Y772" s="77">
        <f t="shared" si="2322"/>
        <v>1</v>
      </c>
      <c r="Z772" s="77">
        <f t="shared" si="2328"/>
        <v>6.3149999999999984E-2</v>
      </c>
      <c r="AA772" s="77">
        <f t="shared" si="2329"/>
        <v>5.1160591879111372E-3</v>
      </c>
      <c r="AB772" s="79">
        <v>1</v>
      </c>
      <c r="AC772" s="77">
        <f t="shared" si="2267"/>
        <v>8.277777777777778E-3</v>
      </c>
      <c r="AD772" s="77">
        <f t="shared" ref="AD772" si="2412">1-(1-AC772)^(1/12)</f>
        <v>6.9244588451522482E-4</v>
      </c>
      <c r="AE772" s="77">
        <f t="shared" si="2269"/>
        <v>2.5000000000000001E-3</v>
      </c>
      <c r="AF772" s="77">
        <f t="shared" ref="AF772" si="2413">1-(1-AE772)^(1/12)</f>
        <v>2.0857243058891584E-4</v>
      </c>
      <c r="AH772" t="s">
        <v>175</v>
      </c>
      <c r="AI772" t="s">
        <v>179</v>
      </c>
      <c r="AJ772" s="197" t="str">
        <f t="shared" si="2256"/>
        <v>Lifecycle_Dynamic_315</v>
      </c>
      <c r="AK772">
        <v>315</v>
      </c>
      <c r="AL772">
        <f>VLOOKUP($U772,[2]Standard_Dynamic!$Q$1:$T$542,2,FALSE)</f>
        <v>0.88888888888888884</v>
      </c>
      <c r="AM772">
        <f>VLOOKUP($U772,[2]Standard_Dynamic!$Q$1:$T$542,3,FALSE)</f>
        <v>0.11111111111111116</v>
      </c>
      <c r="AN772">
        <f>VLOOKUP($U772,[2]Standard_Dynamic!$Q$1:$T$542,4,FALSE)</f>
        <v>0</v>
      </c>
      <c r="AO772" s="77">
        <f t="shared" si="2257"/>
        <v>1</v>
      </c>
      <c r="AP772" s="77">
        <f t="shared" si="2271"/>
        <v>6.3149999999999984E-2</v>
      </c>
      <c r="AQ772" s="77">
        <f t="shared" si="2258"/>
        <v>5.1160591879111372E-3</v>
      </c>
      <c r="AR772" s="79">
        <v>0</v>
      </c>
      <c r="AS772" s="77">
        <f t="shared" si="2272"/>
        <v>0</v>
      </c>
      <c r="AT772" s="77">
        <f t="shared" ref="AT772" si="2414">1-(1-AS772)^(1/12)</f>
        <v>0</v>
      </c>
      <c r="AU772" s="77">
        <f t="shared" si="2274"/>
        <v>2.5000000000000001E-3</v>
      </c>
      <c r="AV772" s="77">
        <f t="shared" ref="AV772" si="2415">1-(1-AU772)^(1/12)</f>
        <v>2.0857243058891584E-4</v>
      </c>
      <c r="AX772" t="s">
        <v>178</v>
      </c>
      <c r="AY772" t="s">
        <v>162</v>
      </c>
      <c r="AZ772" s="197" t="str">
        <f t="shared" si="2354"/>
        <v>DIS_Standard_315</v>
      </c>
      <c r="BA772">
        <v>315</v>
      </c>
      <c r="BB772">
        <f>VLOOKUP($BA772,'[2]Standard DIS'!$Q$1:$X$542,4,FALSE)</f>
        <v>0</v>
      </c>
      <c r="BF772">
        <f>VLOOKUP($BA772,'[2]Standard DIS'!$Q$1:$X$542,2,FALSE)</f>
        <v>0.88888888888888884</v>
      </c>
      <c r="BH772">
        <f>VLOOKUP($BA772,'[2]Standard DIS'!$Q$1:$X$542,3,FALSE)</f>
        <v>0.11111111111111116</v>
      </c>
      <c r="BI772" s="77">
        <f t="shared" si="2261"/>
        <v>1</v>
      </c>
      <c r="BJ772" s="77">
        <f t="shared" si="2262"/>
        <v>6.3149999999999984E-2</v>
      </c>
      <c r="BK772" s="77">
        <f t="shared" si="2355"/>
        <v>5.1160591879111372E-3</v>
      </c>
      <c r="BL772" s="79">
        <v>0</v>
      </c>
      <c r="BM772" s="77">
        <f t="shared" si="2276"/>
        <v>0</v>
      </c>
      <c r="BN772" s="77">
        <f t="shared" si="2277"/>
        <v>0</v>
      </c>
      <c r="BO772" s="77">
        <f t="shared" si="2278"/>
        <v>2.5000000000000001E-3</v>
      </c>
      <c r="BP772" s="77">
        <f t="shared" si="2279"/>
        <v>2.0809499864316017E-4</v>
      </c>
    </row>
    <row r="773" spans="1:68">
      <c r="A773" t="s">
        <v>175</v>
      </c>
      <c r="B773" t="s">
        <v>179</v>
      </c>
      <c r="C773" s="197" t="str">
        <f t="shared" si="2320"/>
        <v>Lifecycle_Dynamic_314</v>
      </c>
      <c r="D773">
        <v>314</v>
      </c>
      <c r="E773">
        <f>VLOOKUP($D773,'[2]LC Dynamic'!$Q$2:$U$542,2,FALSE)</f>
        <v>0</v>
      </c>
      <c r="F773">
        <f>VLOOKUP($D773,'[2]LC Dynamic'!$Q$2:$U$542,3,FALSE)</f>
        <v>0</v>
      </c>
      <c r="G773">
        <f>VLOOKUP($D773,'[2]LC Dynamic'!$Q$2:$U$542,4,FALSE)</f>
        <v>0.308</v>
      </c>
      <c r="H773">
        <f>VLOOKUP($D773,'[2]LC Dynamic'!$Q$2:$U$542,5,FALSE)</f>
        <v>0.69199999999999995</v>
      </c>
      <c r="I773" s="77">
        <f t="shared" si="2252"/>
        <v>1</v>
      </c>
      <c r="J773" s="77">
        <f t="shared" si="2253"/>
        <v>6.9728499999999985E-2</v>
      </c>
      <c r="K773" s="77">
        <f t="shared" si="2327"/>
        <v>5.632878498097682E-3</v>
      </c>
      <c r="L773" s="76">
        <v>0</v>
      </c>
      <c r="M773" s="77">
        <f t="shared" si="2263"/>
        <v>0</v>
      </c>
      <c r="N773" s="77">
        <f t="shared" si="2264"/>
        <v>0</v>
      </c>
      <c r="O773" s="77">
        <f t="shared" si="2265"/>
        <v>5.6775999999999997E-3</v>
      </c>
      <c r="P773" s="77">
        <f t="shared" si="2266"/>
        <v>4.7436902124819991E-4</v>
      </c>
      <c r="R773" t="s">
        <v>177</v>
      </c>
      <c r="S773" t="s">
        <v>179</v>
      </c>
      <c r="T773" s="197" t="str">
        <f t="shared" si="2321"/>
        <v>Autopilot_Dynamic_314</v>
      </c>
      <c r="U773">
        <v>314</v>
      </c>
      <c r="V773">
        <f>VLOOKUP($U773,'[2]AP Dynamic'!$Q$1:$T$542,2,FALSE)</f>
        <v>0.88888888888888884</v>
      </c>
      <c r="W773">
        <f>VLOOKUP($U773,'[2]AP Dynamic'!$Q$1:$T$542,3,FALSE)</f>
        <v>0.11111111111111116</v>
      </c>
      <c r="X773">
        <f>VLOOKUP($U773,'[2]AP Dynamic'!$Q$1:$T$542,4,FALSE)</f>
        <v>0</v>
      </c>
      <c r="Y773" s="77">
        <f t="shared" si="2322"/>
        <v>1</v>
      </c>
      <c r="Z773" s="77">
        <f t="shared" si="2328"/>
        <v>6.3149999999999984E-2</v>
      </c>
      <c r="AA773" s="77">
        <f t="shared" si="2329"/>
        <v>5.1160591879111372E-3</v>
      </c>
      <c r="AB773" s="79">
        <v>1</v>
      </c>
      <c r="AC773" s="77">
        <f t="shared" si="2267"/>
        <v>8.277777777777778E-3</v>
      </c>
      <c r="AD773" s="77">
        <f t="shared" ref="AD773" si="2416">1-(1-AC773)^(1/12)</f>
        <v>6.9244588451522482E-4</v>
      </c>
      <c r="AE773" s="77">
        <f t="shared" si="2269"/>
        <v>2.5000000000000001E-3</v>
      </c>
      <c r="AF773" s="77">
        <f t="shared" ref="AF773" si="2417">1-(1-AE773)^(1/12)</f>
        <v>2.0857243058891584E-4</v>
      </c>
      <c r="AH773" t="s">
        <v>175</v>
      </c>
      <c r="AI773" t="s">
        <v>179</v>
      </c>
      <c r="AJ773" s="197" t="str">
        <f t="shared" si="2256"/>
        <v>Lifecycle_Dynamic_314</v>
      </c>
      <c r="AK773">
        <v>314</v>
      </c>
      <c r="AL773">
        <f>VLOOKUP($U773,[2]Standard_Dynamic!$Q$1:$T$542,2,FALSE)</f>
        <v>0.88888888888888884</v>
      </c>
      <c r="AM773">
        <f>VLOOKUP($U773,[2]Standard_Dynamic!$Q$1:$T$542,3,FALSE)</f>
        <v>0.11111111111111116</v>
      </c>
      <c r="AN773">
        <f>VLOOKUP($U773,[2]Standard_Dynamic!$Q$1:$T$542,4,FALSE)</f>
        <v>0</v>
      </c>
      <c r="AO773" s="77">
        <f t="shared" si="2257"/>
        <v>1</v>
      </c>
      <c r="AP773" s="77">
        <f t="shared" si="2271"/>
        <v>6.3149999999999984E-2</v>
      </c>
      <c r="AQ773" s="77">
        <f t="shared" si="2258"/>
        <v>5.1160591879111372E-3</v>
      </c>
      <c r="AR773" s="79">
        <v>0</v>
      </c>
      <c r="AS773" s="77">
        <f t="shared" si="2272"/>
        <v>0</v>
      </c>
      <c r="AT773" s="77">
        <f t="shared" ref="AT773" si="2418">1-(1-AS773)^(1/12)</f>
        <v>0</v>
      </c>
      <c r="AU773" s="77">
        <f t="shared" si="2274"/>
        <v>2.5000000000000001E-3</v>
      </c>
      <c r="AV773" s="77">
        <f t="shared" ref="AV773" si="2419">1-(1-AU773)^(1/12)</f>
        <v>2.0857243058891584E-4</v>
      </c>
      <c r="AX773" t="s">
        <v>178</v>
      </c>
      <c r="AY773" t="s">
        <v>162</v>
      </c>
      <c r="AZ773" s="197" t="str">
        <f t="shared" si="2354"/>
        <v>DIS_Standard_314</v>
      </c>
      <c r="BA773">
        <v>314</v>
      </c>
      <c r="BB773">
        <f>VLOOKUP($BA773,'[2]Standard DIS'!$Q$1:$X$542,4,FALSE)</f>
        <v>0</v>
      </c>
      <c r="BF773">
        <f>VLOOKUP($BA773,'[2]Standard DIS'!$Q$1:$X$542,2,FALSE)</f>
        <v>0.88888888888888884</v>
      </c>
      <c r="BH773">
        <f>VLOOKUP($BA773,'[2]Standard DIS'!$Q$1:$X$542,3,FALSE)</f>
        <v>0.11111111111111116</v>
      </c>
      <c r="BI773" s="77">
        <f t="shared" si="2261"/>
        <v>1</v>
      </c>
      <c r="BJ773" s="77">
        <f t="shared" si="2262"/>
        <v>6.3149999999999984E-2</v>
      </c>
      <c r="BK773" s="77">
        <f t="shared" si="2355"/>
        <v>5.1160591879111372E-3</v>
      </c>
      <c r="BL773" s="79">
        <v>0</v>
      </c>
      <c r="BM773" s="77">
        <f t="shared" si="2276"/>
        <v>0</v>
      </c>
      <c r="BN773" s="77">
        <f t="shared" si="2277"/>
        <v>0</v>
      </c>
      <c r="BO773" s="77">
        <f t="shared" si="2278"/>
        <v>2.5000000000000001E-3</v>
      </c>
      <c r="BP773" s="77">
        <f t="shared" si="2279"/>
        <v>2.0809499864316017E-4</v>
      </c>
    </row>
    <row r="774" spans="1:68">
      <c r="A774" t="s">
        <v>175</v>
      </c>
      <c r="B774" t="s">
        <v>179</v>
      </c>
      <c r="C774" s="197" t="str">
        <f t="shared" si="2320"/>
        <v>Lifecycle_Dynamic_313</v>
      </c>
      <c r="D774">
        <v>313</v>
      </c>
      <c r="E774">
        <f>VLOOKUP($D774,'[2]LC Dynamic'!$Q$2:$U$542,2,FALSE)</f>
        <v>0</v>
      </c>
      <c r="F774">
        <f>VLOOKUP($D774,'[2]LC Dynamic'!$Q$2:$U$542,3,FALSE)</f>
        <v>0</v>
      </c>
      <c r="G774">
        <f>VLOOKUP($D774,'[2]LC Dynamic'!$Q$2:$U$542,4,FALSE)</f>
        <v>0.308</v>
      </c>
      <c r="H774">
        <f>VLOOKUP($D774,'[2]LC Dynamic'!$Q$2:$U$542,5,FALSE)</f>
        <v>0.69199999999999995</v>
      </c>
      <c r="I774" s="77">
        <f t="shared" si="2252"/>
        <v>1</v>
      </c>
      <c r="J774" s="77">
        <f t="shared" si="2253"/>
        <v>6.9728499999999985E-2</v>
      </c>
      <c r="K774" s="77">
        <f t="shared" si="2327"/>
        <v>5.632878498097682E-3</v>
      </c>
      <c r="L774" s="76">
        <v>0</v>
      </c>
      <c r="M774" s="77">
        <f t="shared" si="2263"/>
        <v>0</v>
      </c>
      <c r="N774" s="77">
        <f t="shared" si="2264"/>
        <v>0</v>
      </c>
      <c r="O774" s="77">
        <f t="shared" si="2265"/>
        <v>5.6775999999999997E-3</v>
      </c>
      <c r="P774" s="77">
        <f t="shared" si="2266"/>
        <v>4.7436902124819991E-4</v>
      </c>
      <c r="R774" t="s">
        <v>177</v>
      </c>
      <c r="S774" t="s">
        <v>179</v>
      </c>
      <c r="T774" s="197" t="str">
        <f t="shared" si="2321"/>
        <v>Autopilot_Dynamic_313</v>
      </c>
      <c r="U774">
        <v>313</v>
      </c>
      <c r="V774">
        <f>VLOOKUP($U774,'[2]AP Dynamic'!$Q$1:$T$542,2,FALSE)</f>
        <v>0.88888888888888884</v>
      </c>
      <c r="W774">
        <f>VLOOKUP($U774,'[2]AP Dynamic'!$Q$1:$T$542,3,FALSE)</f>
        <v>0.11111111111111116</v>
      </c>
      <c r="X774">
        <f>VLOOKUP($U774,'[2]AP Dynamic'!$Q$1:$T$542,4,FALSE)</f>
        <v>0</v>
      </c>
      <c r="Y774" s="77">
        <f t="shared" si="2322"/>
        <v>1</v>
      </c>
      <c r="Z774" s="77">
        <f t="shared" si="2328"/>
        <v>6.3149999999999984E-2</v>
      </c>
      <c r="AA774" s="77">
        <f t="shared" si="2329"/>
        <v>5.1160591879111372E-3</v>
      </c>
      <c r="AB774" s="79">
        <v>1</v>
      </c>
      <c r="AC774" s="77">
        <f t="shared" si="2267"/>
        <v>8.277777777777778E-3</v>
      </c>
      <c r="AD774" s="77">
        <f t="shared" ref="AD774" si="2420">1-(1-AC774)^(1/12)</f>
        <v>6.9244588451522482E-4</v>
      </c>
      <c r="AE774" s="77">
        <f t="shared" si="2269"/>
        <v>2.5000000000000001E-3</v>
      </c>
      <c r="AF774" s="77">
        <f t="shared" ref="AF774" si="2421">1-(1-AE774)^(1/12)</f>
        <v>2.0857243058891584E-4</v>
      </c>
      <c r="AH774" t="s">
        <v>175</v>
      </c>
      <c r="AI774" t="s">
        <v>179</v>
      </c>
      <c r="AJ774" s="197" t="str">
        <f t="shared" si="2256"/>
        <v>Lifecycle_Dynamic_313</v>
      </c>
      <c r="AK774">
        <v>313</v>
      </c>
      <c r="AL774">
        <f>VLOOKUP($U774,[2]Standard_Dynamic!$Q$1:$T$542,2,FALSE)</f>
        <v>0.88888888888888884</v>
      </c>
      <c r="AM774">
        <f>VLOOKUP($U774,[2]Standard_Dynamic!$Q$1:$T$542,3,FALSE)</f>
        <v>0.11111111111111116</v>
      </c>
      <c r="AN774">
        <f>VLOOKUP($U774,[2]Standard_Dynamic!$Q$1:$T$542,4,FALSE)</f>
        <v>0</v>
      </c>
      <c r="AO774" s="77">
        <f t="shared" si="2257"/>
        <v>1</v>
      </c>
      <c r="AP774" s="77">
        <f t="shared" si="2271"/>
        <v>6.3149999999999984E-2</v>
      </c>
      <c r="AQ774" s="77">
        <f t="shared" si="2258"/>
        <v>5.1160591879111372E-3</v>
      </c>
      <c r="AR774" s="79">
        <v>0</v>
      </c>
      <c r="AS774" s="77">
        <f t="shared" si="2272"/>
        <v>0</v>
      </c>
      <c r="AT774" s="77">
        <f t="shared" ref="AT774" si="2422">1-(1-AS774)^(1/12)</f>
        <v>0</v>
      </c>
      <c r="AU774" s="77">
        <f t="shared" si="2274"/>
        <v>2.5000000000000001E-3</v>
      </c>
      <c r="AV774" s="77">
        <f t="shared" ref="AV774" si="2423">1-(1-AU774)^(1/12)</f>
        <v>2.0857243058891584E-4</v>
      </c>
      <c r="AX774" t="s">
        <v>178</v>
      </c>
      <c r="AY774" t="s">
        <v>162</v>
      </c>
      <c r="AZ774" s="197" t="str">
        <f t="shared" si="2354"/>
        <v>DIS_Standard_313</v>
      </c>
      <c r="BA774">
        <v>313</v>
      </c>
      <c r="BB774">
        <f>VLOOKUP($BA774,'[2]Standard DIS'!$Q$1:$X$542,4,FALSE)</f>
        <v>0</v>
      </c>
      <c r="BF774">
        <f>VLOOKUP($BA774,'[2]Standard DIS'!$Q$1:$X$542,2,FALSE)</f>
        <v>0.88888888888888884</v>
      </c>
      <c r="BH774">
        <f>VLOOKUP($BA774,'[2]Standard DIS'!$Q$1:$X$542,3,FALSE)</f>
        <v>0.11111111111111116</v>
      </c>
      <c r="BI774" s="77">
        <f t="shared" si="2261"/>
        <v>1</v>
      </c>
      <c r="BJ774" s="77">
        <f t="shared" si="2262"/>
        <v>6.3149999999999984E-2</v>
      </c>
      <c r="BK774" s="77">
        <f t="shared" si="2355"/>
        <v>5.1160591879111372E-3</v>
      </c>
      <c r="BL774" s="79">
        <v>0</v>
      </c>
      <c r="BM774" s="77">
        <f t="shared" si="2276"/>
        <v>0</v>
      </c>
      <c r="BN774" s="77">
        <f t="shared" si="2277"/>
        <v>0</v>
      </c>
      <c r="BO774" s="77">
        <f t="shared" si="2278"/>
        <v>2.5000000000000001E-3</v>
      </c>
      <c r="BP774" s="77">
        <f t="shared" si="2279"/>
        <v>2.0809499864316017E-4</v>
      </c>
    </row>
    <row r="775" spans="1:68">
      <c r="A775" t="s">
        <v>175</v>
      </c>
      <c r="B775" t="s">
        <v>179</v>
      </c>
      <c r="C775" s="197" t="str">
        <f t="shared" si="2320"/>
        <v>Lifecycle_Dynamic_312</v>
      </c>
      <c r="D775">
        <v>312</v>
      </c>
      <c r="E775">
        <f>VLOOKUP($D775,'[2]LC Dynamic'!$Q$2:$U$542,2,FALSE)</f>
        <v>0</v>
      </c>
      <c r="F775">
        <f>VLOOKUP($D775,'[2]LC Dynamic'!$Q$2:$U$542,3,FALSE)</f>
        <v>0</v>
      </c>
      <c r="G775">
        <f>VLOOKUP($D775,'[2]LC Dynamic'!$Q$2:$U$542,4,FALSE)</f>
        <v>0.308</v>
      </c>
      <c r="H775">
        <f>VLOOKUP($D775,'[2]LC Dynamic'!$Q$2:$U$542,5,FALSE)</f>
        <v>0.69199999999999995</v>
      </c>
      <c r="I775" s="77">
        <f t="shared" si="2252"/>
        <v>1</v>
      </c>
      <c r="J775" s="77">
        <f t="shared" si="2253"/>
        <v>6.9728499999999985E-2</v>
      </c>
      <c r="K775" s="77">
        <f t="shared" si="2327"/>
        <v>5.632878498097682E-3</v>
      </c>
      <c r="L775" s="76">
        <v>0</v>
      </c>
      <c r="M775" s="77">
        <f t="shared" si="2263"/>
        <v>0</v>
      </c>
      <c r="N775" s="77">
        <f t="shared" si="2264"/>
        <v>0</v>
      </c>
      <c r="O775" s="77">
        <f t="shared" si="2265"/>
        <v>5.6775999999999997E-3</v>
      </c>
      <c r="P775" s="77">
        <f t="shared" si="2266"/>
        <v>4.7436902124819991E-4</v>
      </c>
      <c r="R775" t="s">
        <v>177</v>
      </c>
      <c r="S775" t="s">
        <v>179</v>
      </c>
      <c r="T775" s="197" t="str">
        <f t="shared" si="2321"/>
        <v>Autopilot_Dynamic_312</v>
      </c>
      <c r="U775">
        <v>312</v>
      </c>
      <c r="V775">
        <f>VLOOKUP($U775,'[2]AP Dynamic'!$Q$1:$T$542,2,FALSE)</f>
        <v>0.88888888888888884</v>
      </c>
      <c r="W775">
        <f>VLOOKUP($U775,'[2]AP Dynamic'!$Q$1:$T$542,3,FALSE)</f>
        <v>0.11111111111111116</v>
      </c>
      <c r="X775">
        <f>VLOOKUP($U775,'[2]AP Dynamic'!$Q$1:$T$542,4,FALSE)</f>
        <v>0</v>
      </c>
      <c r="Y775" s="77">
        <f t="shared" si="2322"/>
        <v>1</v>
      </c>
      <c r="Z775" s="77">
        <f t="shared" si="2328"/>
        <v>6.3149999999999984E-2</v>
      </c>
      <c r="AA775" s="77">
        <f t="shared" si="2329"/>
        <v>5.1160591879111372E-3</v>
      </c>
      <c r="AB775" s="79">
        <v>1</v>
      </c>
      <c r="AC775" s="77">
        <f t="shared" si="2267"/>
        <v>8.277777777777778E-3</v>
      </c>
      <c r="AD775" s="77">
        <f t="shared" ref="AD775" si="2424">1-(1-AC775)^(1/12)</f>
        <v>6.9244588451522482E-4</v>
      </c>
      <c r="AE775" s="77">
        <f t="shared" si="2269"/>
        <v>2.5000000000000001E-3</v>
      </c>
      <c r="AF775" s="77">
        <f t="shared" ref="AF775" si="2425">1-(1-AE775)^(1/12)</f>
        <v>2.0857243058891584E-4</v>
      </c>
      <c r="AH775" t="s">
        <v>175</v>
      </c>
      <c r="AI775" t="s">
        <v>179</v>
      </c>
      <c r="AJ775" s="197" t="str">
        <f t="shared" si="2256"/>
        <v>Lifecycle_Dynamic_312</v>
      </c>
      <c r="AK775">
        <v>312</v>
      </c>
      <c r="AL775">
        <f>VLOOKUP($U775,[2]Standard_Dynamic!$Q$1:$T$542,2,FALSE)</f>
        <v>0.88888888888888884</v>
      </c>
      <c r="AM775">
        <f>VLOOKUP($U775,[2]Standard_Dynamic!$Q$1:$T$542,3,FALSE)</f>
        <v>0.11111111111111116</v>
      </c>
      <c r="AN775">
        <f>VLOOKUP($U775,[2]Standard_Dynamic!$Q$1:$T$542,4,FALSE)</f>
        <v>0</v>
      </c>
      <c r="AO775" s="77">
        <f t="shared" si="2257"/>
        <v>1</v>
      </c>
      <c r="AP775" s="77">
        <f t="shared" si="2271"/>
        <v>6.3149999999999984E-2</v>
      </c>
      <c r="AQ775" s="77">
        <f t="shared" si="2258"/>
        <v>5.1160591879111372E-3</v>
      </c>
      <c r="AR775" s="79">
        <v>0</v>
      </c>
      <c r="AS775" s="77">
        <f t="shared" si="2272"/>
        <v>0</v>
      </c>
      <c r="AT775" s="77">
        <f t="shared" ref="AT775" si="2426">1-(1-AS775)^(1/12)</f>
        <v>0</v>
      </c>
      <c r="AU775" s="77">
        <f t="shared" si="2274"/>
        <v>2.5000000000000001E-3</v>
      </c>
      <c r="AV775" s="77">
        <f t="shared" ref="AV775" si="2427">1-(1-AU775)^(1/12)</f>
        <v>2.0857243058891584E-4</v>
      </c>
      <c r="AX775" t="s">
        <v>178</v>
      </c>
      <c r="AY775" t="s">
        <v>162</v>
      </c>
      <c r="AZ775" s="197" t="str">
        <f t="shared" si="2354"/>
        <v>DIS_Standard_312</v>
      </c>
      <c r="BA775">
        <v>312</v>
      </c>
      <c r="BB775">
        <f>VLOOKUP($BA775,'[2]Standard DIS'!$Q$1:$X$542,4,FALSE)</f>
        <v>0</v>
      </c>
      <c r="BF775">
        <f>VLOOKUP($BA775,'[2]Standard DIS'!$Q$1:$X$542,2,FALSE)</f>
        <v>0.88888888888888884</v>
      </c>
      <c r="BH775">
        <f>VLOOKUP($BA775,'[2]Standard DIS'!$Q$1:$X$542,3,FALSE)</f>
        <v>0.11111111111111116</v>
      </c>
      <c r="BI775" s="77">
        <f t="shared" si="2261"/>
        <v>1</v>
      </c>
      <c r="BJ775" s="77">
        <f t="shared" si="2262"/>
        <v>6.3149999999999984E-2</v>
      </c>
      <c r="BK775" s="77">
        <f t="shared" si="2355"/>
        <v>5.1160591879111372E-3</v>
      </c>
      <c r="BL775" s="79">
        <v>0</v>
      </c>
      <c r="BM775" s="77">
        <f t="shared" si="2276"/>
        <v>0</v>
      </c>
      <c r="BN775" s="77">
        <f t="shared" si="2277"/>
        <v>0</v>
      </c>
      <c r="BO775" s="77">
        <f t="shared" si="2278"/>
        <v>2.5000000000000001E-3</v>
      </c>
      <c r="BP775" s="77">
        <f t="shared" si="2279"/>
        <v>2.0809499864316017E-4</v>
      </c>
    </row>
    <row r="776" spans="1:68">
      <c r="A776" t="s">
        <v>175</v>
      </c>
      <c r="B776" t="s">
        <v>179</v>
      </c>
      <c r="C776" s="197" t="str">
        <f t="shared" si="2320"/>
        <v>Lifecycle_Dynamic_311</v>
      </c>
      <c r="D776">
        <v>311</v>
      </c>
      <c r="E776">
        <f>VLOOKUP($D776,'[2]LC Dynamic'!$Q$2:$U$542,2,FALSE)</f>
        <v>0</v>
      </c>
      <c r="F776">
        <f>VLOOKUP($D776,'[2]LC Dynamic'!$Q$2:$U$542,3,FALSE)</f>
        <v>0</v>
      </c>
      <c r="G776">
        <f>VLOOKUP($D776,'[2]LC Dynamic'!$Q$2:$U$542,4,FALSE)</f>
        <v>0.308</v>
      </c>
      <c r="H776">
        <f>VLOOKUP($D776,'[2]LC Dynamic'!$Q$2:$U$542,5,FALSE)</f>
        <v>0.69199999999999995</v>
      </c>
      <c r="I776" s="77">
        <f t="shared" si="2252"/>
        <v>1</v>
      </c>
      <c r="J776" s="77">
        <f t="shared" si="2253"/>
        <v>6.9728499999999985E-2</v>
      </c>
      <c r="K776" s="77">
        <f t="shared" si="2327"/>
        <v>5.632878498097682E-3</v>
      </c>
      <c r="L776" s="76">
        <v>0</v>
      </c>
      <c r="M776" s="77">
        <f t="shared" si="2263"/>
        <v>0</v>
      </c>
      <c r="N776" s="77">
        <f t="shared" si="2264"/>
        <v>0</v>
      </c>
      <c r="O776" s="77">
        <f t="shared" si="2265"/>
        <v>5.6775999999999997E-3</v>
      </c>
      <c r="P776" s="77">
        <f t="shared" si="2266"/>
        <v>4.7436902124819991E-4</v>
      </c>
      <c r="R776" t="s">
        <v>177</v>
      </c>
      <c r="S776" t="s">
        <v>179</v>
      </c>
      <c r="T776" s="197" t="str">
        <f t="shared" si="2321"/>
        <v>Autopilot_Dynamic_311</v>
      </c>
      <c r="U776">
        <v>311</v>
      </c>
      <c r="V776">
        <f>VLOOKUP($U776,'[2]AP Dynamic'!$Q$1:$T$542,2,FALSE)</f>
        <v>0.88888888888888884</v>
      </c>
      <c r="W776">
        <f>VLOOKUP($U776,'[2]AP Dynamic'!$Q$1:$T$542,3,FALSE)</f>
        <v>0.11111111111111116</v>
      </c>
      <c r="X776">
        <f>VLOOKUP($U776,'[2]AP Dynamic'!$Q$1:$T$542,4,FALSE)</f>
        <v>0</v>
      </c>
      <c r="Y776" s="77">
        <f t="shared" si="2322"/>
        <v>1</v>
      </c>
      <c r="Z776" s="77">
        <f t="shared" si="2328"/>
        <v>6.3149999999999984E-2</v>
      </c>
      <c r="AA776" s="77">
        <f t="shared" si="2329"/>
        <v>5.1160591879111372E-3</v>
      </c>
      <c r="AB776" s="79">
        <v>1</v>
      </c>
      <c r="AC776" s="77">
        <f t="shared" si="2267"/>
        <v>8.277777777777778E-3</v>
      </c>
      <c r="AD776" s="77">
        <f t="shared" ref="AD776" si="2428">1-(1-AC776)^(1/12)</f>
        <v>6.9244588451522482E-4</v>
      </c>
      <c r="AE776" s="77">
        <f t="shared" si="2269"/>
        <v>2.5000000000000001E-3</v>
      </c>
      <c r="AF776" s="77">
        <f t="shared" ref="AF776" si="2429">1-(1-AE776)^(1/12)</f>
        <v>2.0857243058891584E-4</v>
      </c>
      <c r="AH776" t="s">
        <v>175</v>
      </c>
      <c r="AI776" t="s">
        <v>179</v>
      </c>
      <c r="AJ776" s="197" t="str">
        <f t="shared" si="2256"/>
        <v>Lifecycle_Dynamic_311</v>
      </c>
      <c r="AK776">
        <v>311</v>
      </c>
      <c r="AL776">
        <f>VLOOKUP($U776,[2]Standard_Dynamic!$Q$1:$T$542,2,FALSE)</f>
        <v>0.88888888888888884</v>
      </c>
      <c r="AM776">
        <f>VLOOKUP($U776,[2]Standard_Dynamic!$Q$1:$T$542,3,FALSE)</f>
        <v>0.11111111111111116</v>
      </c>
      <c r="AN776">
        <f>VLOOKUP($U776,[2]Standard_Dynamic!$Q$1:$T$542,4,FALSE)</f>
        <v>0</v>
      </c>
      <c r="AO776" s="77">
        <f t="shared" si="2257"/>
        <v>1</v>
      </c>
      <c r="AP776" s="77">
        <f t="shared" si="2271"/>
        <v>6.3149999999999984E-2</v>
      </c>
      <c r="AQ776" s="77">
        <f t="shared" si="2258"/>
        <v>5.1160591879111372E-3</v>
      </c>
      <c r="AR776" s="79">
        <v>0</v>
      </c>
      <c r="AS776" s="77">
        <f t="shared" si="2272"/>
        <v>0</v>
      </c>
      <c r="AT776" s="77">
        <f t="shared" ref="AT776" si="2430">1-(1-AS776)^(1/12)</f>
        <v>0</v>
      </c>
      <c r="AU776" s="77">
        <f t="shared" si="2274"/>
        <v>2.5000000000000001E-3</v>
      </c>
      <c r="AV776" s="77">
        <f t="shared" ref="AV776" si="2431">1-(1-AU776)^(1/12)</f>
        <v>2.0857243058891584E-4</v>
      </c>
      <c r="AX776" t="s">
        <v>178</v>
      </c>
      <c r="AY776" t="s">
        <v>162</v>
      </c>
      <c r="AZ776" s="197" t="str">
        <f t="shared" si="2354"/>
        <v>DIS_Standard_311</v>
      </c>
      <c r="BA776">
        <v>311</v>
      </c>
      <c r="BB776">
        <f>VLOOKUP($BA776,'[2]Standard DIS'!$Q$1:$X$542,4,FALSE)</f>
        <v>0</v>
      </c>
      <c r="BF776">
        <f>VLOOKUP($BA776,'[2]Standard DIS'!$Q$1:$X$542,2,FALSE)</f>
        <v>0.88888888888888884</v>
      </c>
      <c r="BH776">
        <f>VLOOKUP($BA776,'[2]Standard DIS'!$Q$1:$X$542,3,FALSE)</f>
        <v>0.11111111111111116</v>
      </c>
      <c r="BI776" s="77">
        <f t="shared" si="2261"/>
        <v>1</v>
      </c>
      <c r="BJ776" s="77">
        <f t="shared" si="2262"/>
        <v>6.3149999999999984E-2</v>
      </c>
      <c r="BK776" s="77">
        <f t="shared" si="2355"/>
        <v>5.1160591879111372E-3</v>
      </c>
      <c r="BL776" s="79">
        <v>0</v>
      </c>
      <c r="BM776" s="77">
        <f t="shared" si="2276"/>
        <v>0</v>
      </c>
      <c r="BN776" s="77">
        <f t="shared" si="2277"/>
        <v>0</v>
      </c>
      <c r="BO776" s="77">
        <f t="shared" si="2278"/>
        <v>2.5000000000000001E-3</v>
      </c>
      <c r="BP776" s="77">
        <f t="shared" si="2279"/>
        <v>2.0809499864316017E-4</v>
      </c>
    </row>
    <row r="777" spans="1:68">
      <c r="A777" t="s">
        <v>175</v>
      </c>
      <c r="B777" t="s">
        <v>179</v>
      </c>
      <c r="C777" s="197" t="str">
        <f t="shared" si="2320"/>
        <v>Lifecycle_Dynamic_310</v>
      </c>
      <c r="D777">
        <v>310</v>
      </c>
      <c r="E777">
        <f>VLOOKUP($D777,'[2]LC Dynamic'!$Q$2:$U$542,2,FALSE)</f>
        <v>0</v>
      </c>
      <c r="F777">
        <f>VLOOKUP($D777,'[2]LC Dynamic'!$Q$2:$U$542,3,FALSE)</f>
        <v>0</v>
      </c>
      <c r="G777">
        <f>VLOOKUP($D777,'[2]LC Dynamic'!$Q$2:$U$542,4,FALSE)</f>
        <v>0.308</v>
      </c>
      <c r="H777">
        <f>VLOOKUP($D777,'[2]LC Dynamic'!$Q$2:$U$542,5,FALSE)</f>
        <v>0.69199999999999995</v>
      </c>
      <c r="I777" s="77">
        <f t="shared" si="2252"/>
        <v>1</v>
      </c>
      <c r="J777" s="77">
        <f t="shared" si="2253"/>
        <v>6.9728499999999985E-2</v>
      </c>
      <c r="K777" s="77">
        <f t="shared" si="2327"/>
        <v>5.632878498097682E-3</v>
      </c>
      <c r="L777" s="76">
        <v>0</v>
      </c>
      <c r="M777" s="77">
        <f t="shared" si="2263"/>
        <v>0</v>
      </c>
      <c r="N777" s="77">
        <f t="shared" si="2264"/>
        <v>0</v>
      </c>
      <c r="O777" s="77">
        <f t="shared" si="2265"/>
        <v>5.6775999999999997E-3</v>
      </c>
      <c r="P777" s="77">
        <f t="shared" si="2266"/>
        <v>4.7436902124819991E-4</v>
      </c>
      <c r="R777" t="s">
        <v>177</v>
      </c>
      <c r="S777" t="s">
        <v>179</v>
      </c>
      <c r="T777" s="197" t="str">
        <f t="shared" si="2321"/>
        <v>Autopilot_Dynamic_310</v>
      </c>
      <c r="U777">
        <v>310</v>
      </c>
      <c r="V777">
        <f>VLOOKUP($U777,'[2]AP Dynamic'!$Q$1:$T$542,2,FALSE)</f>
        <v>0.88888888888888884</v>
      </c>
      <c r="W777">
        <f>VLOOKUP($U777,'[2]AP Dynamic'!$Q$1:$T$542,3,FALSE)</f>
        <v>0.11111111111111116</v>
      </c>
      <c r="X777">
        <f>VLOOKUP($U777,'[2]AP Dynamic'!$Q$1:$T$542,4,FALSE)</f>
        <v>0</v>
      </c>
      <c r="Y777" s="77">
        <f t="shared" si="2322"/>
        <v>1</v>
      </c>
      <c r="Z777" s="77">
        <f t="shared" si="2328"/>
        <v>6.3149999999999984E-2</v>
      </c>
      <c r="AA777" s="77">
        <f t="shared" si="2329"/>
        <v>5.1160591879111372E-3</v>
      </c>
      <c r="AB777" s="79">
        <v>1</v>
      </c>
      <c r="AC777" s="77">
        <f t="shared" si="2267"/>
        <v>8.277777777777778E-3</v>
      </c>
      <c r="AD777" s="77">
        <f t="shared" ref="AD777" si="2432">1-(1-AC777)^(1/12)</f>
        <v>6.9244588451522482E-4</v>
      </c>
      <c r="AE777" s="77">
        <f t="shared" si="2269"/>
        <v>2.5000000000000001E-3</v>
      </c>
      <c r="AF777" s="77">
        <f t="shared" ref="AF777" si="2433">1-(1-AE777)^(1/12)</f>
        <v>2.0857243058891584E-4</v>
      </c>
      <c r="AH777" t="s">
        <v>175</v>
      </c>
      <c r="AI777" t="s">
        <v>179</v>
      </c>
      <c r="AJ777" s="197" t="str">
        <f t="shared" si="2256"/>
        <v>Lifecycle_Dynamic_310</v>
      </c>
      <c r="AK777">
        <v>310</v>
      </c>
      <c r="AL777">
        <f>VLOOKUP($U777,[2]Standard_Dynamic!$Q$1:$T$542,2,FALSE)</f>
        <v>0.88888888888888884</v>
      </c>
      <c r="AM777">
        <f>VLOOKUP($U777,[2]Standard_Dynamic!$Q$1:$T$542,3,FALSE)</f>
        <v>0.11111111111111116</v>
      </c>
      <c r="AN777">
        <f>VLOOKUP($U777,[2]Standard_Dynamic!$Q$1:$T$542,4,FALSE)</f>
        <v>0</v>
      </c>
      <c r="AO777" s="77">
        <f t="shared" si="2257"/>
        <v>1</v>
      </c>
      <c r="AP777" s="77">
        <f t="shared" si="2271"/>
        <v>6.3149999999999984E-2</v>
      </c>
      <c r="AQ777" s="77">
        <f t="shared" si="2258"/>
        <v>5.1160591879111372E-3</v>
      </c>
      <c r="AR777" s="79">
        <v>0</v>
      </c>
      <c r="AS777" s="77">
        <f t="shared" si="2272"/>
        <v>0</v>
      </c>
      <c r="AT777" s="77">
        <f t="shared" ref="AT777" si="2434">1-(1-AS777)^(1/12)</f>
        <v>0</v>
      </c>
      <c r="AU777" s="77">
        <f t="shared" si="2274"/>
        <v>2.5000000000000001E-3</v>
      </c>
      <c r="AV777" s="77">
        <f t="shared" ref="AV777" si="2435">1-(1-AU777)^(1/12)</f>
        <v>2.0857243058891584E-4</v>
      </c>
      <c r="AX777" t="s">
        <v>178</v>
      </c>
      <c r="AY777" t="s">
        <v>162</v>
      </c>
      <c r="AZ777" s="197" t="str">
        <f t="shared" si="2354"/>
        <v>DIS_Standard_310</v>
      </c>
      <c r="BA777">
        <v>310</v>
      </c>
      <c r="BB777">
        <f>VLOOKUP($BA777,'[2]Standard DIS'!$Q$1:$X$542,4,FALSE)</f>
        <v>0</v>
      </c>
      <c r="BF777">
        <f>VLOOKUP($BA777,'[2]Standard DIS'!$Q$1:$X$542,2,FALSE)</f>
        <v>0.88888888888888884</v>
      </c>
      <c r="BH777">
        <f>VLOOKUP($BA777,'[2]Standard DIS'!$Q$1:$X$542,3,FALSE)</f>
        <v>0.11111111111111116</v>
      </c>
      <c r="BI777" s="77">
        <f t="shared" si="2261"/>
        <v>1</v>
      </c>
      <c r="BJ777" s="77">
        <f t="shared" si="2262"/>
        <v>6.3149999999999984E-2</v>
      </c>
      <c r="BK777" s="77">
        <f t="shared" si="2355"/>
        <v>5.1160591879111372E-3</v>
      </c>
      <c r="BL777" s="79">
        <v>0</v>
      </c>
      <c r="BM777" s="77">
        <f t="shared" si="2276"/>
        <v>0</v>
      </c>
      <c r="BN777" s="77">
        <f t="shared" si="2277"/>
        <v>0</v>
      </c>
      <c r="BO777" s="77">
        <f t="shared" si="2278"/>
        <v>2.5000000000000001E-3</v>
      </c>
      <c r="BP777" s="77">
        <f t="shared" si="2279"/>
        <v>2.0809499864316017E-4</v>
      </c>
    </row>
    <row r="778" spans="1:68">
      <c r="A778" t="s">
        <v>175</v>
      </c>
      <c r="B778" t="s">
        <v>179</v>
      </c>
      <c r="C778" s="197" t="str">
        <f t="shared" si="2320"/>
        <v>Lifecycle_Dynamic_309</v>
      </c>
      <c r="D778">
        <v>309</v>
      </c>
      <c r="E778">
        <f>VLOOKUP($D778,'[2]LC Dynamic'!$Q$2:$U$542,2,FALSE)</f>
        <v>0</v>
      </c>
      <c r="F778">
        <f>VLOOKUP($D778,'[2]LC Dynamic'!$Q$2:$U$542,3,FALSE)</f>
        <v>0</v>
      </c>
      <c r="G778">
        <f>VLOOKUP($D778,'[2]LC Dynamic'!$Q$2:$U$542,4,FALSE)</f>
        <v>0.308</v>
      </c>
      <c r="H778">
        <f>VLOOKUP($D778,'[2]LC Dynamic'!$Q$2:$U$542,5,FALSE)</f>
        <v>0.69199999999999995</v>
      </c>
      <c r="I778" s="77">
        <f t="shared" si="2252"/>
        <v>1</v>
      </c>
      <c r="J778" s="77">
        <f t="shared" si="2253"/>
        <v>6.9728499999999985E-2</v>
      </c>
      <c r="K778" s="77">
        <f t="shared" si="2327"/>
        <v>5.632878498097682E-3</v>
      </c>
      <c r="L778" s="76">
        <v>0</v>
      </c>
      <c r="M778" s="77">
        <f t="shared" si="2263"/>
        <v>0</v>
      </c>
      <c r="N778" s="77">
        <f t="shared" si="2264"/>
        <v>0</v>
      </c>
      <c r="O778" s="77">
        <f t="shared" si="2265"/>
        <v>5.6775999999999997E-3</v>
      </c>
      <c r="P778" s="77">
        <f t="shared" si="2266"/>
        <v>4.7436902124819991E-4</v>
      </c>
      <c r="R778" t="s">
        <v>177</v>
      </c>
      <c r="S778" t="s">
        <v>179</v>
      </c>
      <c r="T778" s="197" t="str">
        <f t="shared" si="2321"/>
        <v>Autopilot_Dynamic_309</v>
      </c>
      <c r="U778">
        <v>309</v>
      </c>
      <c r="V778">
        <f>VLOOKUP($U778,'[2]AP Dynamic'!$Q$1:$T$542,2,FALSE)</f>
        <v>0.88888888888888884</v>
      </c>
      <c r="W778">
        <f>VLOOKUP($U778,'[2]AP Dynamic'!$Q$1:$T$542,3,FALSE)</f>
        <v>0.11111111111111116</v>
      </c>
      <c r="X778">
        <f>VLOOKUP($U778,'[2]AP Dynamic'!$Q$1:$T$542,4,FALSE)</f>
        <v>0</v>
      </c>
      <c r="Y778" s="77">
        <f t="shared" si="2322"/>
        <v>1</v>
      </c>
      <c r="Z778" s="77">
        <f t="shared" si="2328"/>
        <v>6.3149999999999984E-2</v>
      </c>
      <c r="AA778" s="77">
        <f t="shared" si="2329"/>
        <v>5.1160591879111372E-3</v>
      </c>
      <c r="AB778" s="79">
        <v>1</v>
      </c>
      <c r="AC778" s="77">
        <f t="shared" si="2267"/>
        <v>8.277777777777778E-3</v>
      </c>
      <c r="AD778" s="77">
        <f t="shared" ref="AD778" si="2436">1-(1-AC778)^(1/12)</f>
        <v>6.9244588451522482E-4</v>
      </c>
      <c r="AE778" s="77">
        <f t="shared" si="2269"/>
        <v>2.5000000000000001E-3</v>
      </c>
      <c r="AF778" s="77">
        <f t="shared" ref="AF778" si="2437">1-(1-AE778)^(1/12)</f>
        <v>2.0857243058891584E-4</v>
      </c>
      <c r="AH778" t="s">
        <v>175</v>
      </c>
      <c r="AI778" t="s">
        <v>179</v>
      </c>
      <c r="AJ778" s="197" t="str">
        <f t="shared" si="2256"/>
        <v>Lifecycle_Dynamic_309</v>
      </c>
      <c r="AK778">
        <v>309</v>
      </c>
      <c r="AL778">
        <f>VLOOKUP($U778,[2]Standard_Dynamic!$Q$1:$T$542,2,FALSE)</f>
        <v>0.88888888888888884</v>
      </c>
      <c r="AM778">
        <f>VLOOKUP($U778,[2]Standard_Dynamic!$Q$1:$T$542,3,FALSE)</f>
        <v>0.11111111111111116</v>
      </c>
      <c r="AN778">
        <f>VLOOKUP($U778,[2]Standard_Dynamic!$Q$1:$T$542,4,FALSE)</f>
        <v>0</v>
      </c>
      <c r="AO778" s="77">
        <f t="shared" si="2257"/>
        <v>1</v>
      </c>
      <c r="AP778" s="77">
        <f t="shared" si="2271"/>
        <v>6.3149999999999984E-2</v>
      </c>
      <c r="AQ778" s="77">
        <f t="shared" si="2258"/>
        <v>5.1160591879111372E-3</v>
      </c>
      <c r="AR778" s="79">
        <v>0</v>
      </c>
      <c r="AS778" s="77">
        <f t="shared" si="2272"/>
        <v>0</v>
      </c>
      <c r="AT778" s="77">
        <f t="shared" ref="AT778" si="2438">1-(1-AS778)^(1/12)</f>
        <v>0</v>
      </c>
      <c r="AU778" s="77">
        <f t="shared" si="2274"/>
        <v>2.5000000000000001E-3</v>
      </c>
      <c r="AV778" s="77">
        <f t="shared" ref="AV778" si="2439">1-(1-AU778)^(1/12)</f>
        <v>2.0857243058891584E-4</v>
      </c>
      <c r="AX778" t="s">
        <v>178</v>
      </c>
      <c r="AY778" t="s">
        <v>162</v>
      </c>
      <c r="AZ778" s="197" t="str">
        <f t="shared" si="2354"/>
        <v>DIS_Standard_309</v>
      </c>
      <c r="BA778">
        <v>309</v>
      </c>
      <c r="BB778">
        <f>VLOOKUP($BA778,'[2]Standard DIS'!$Q$1:$X$542,4,FALSE)</f>
        <v>0</v>
      </c>
      <c r="BF778">
        <f>VLOOKUP($BA778,'[2]Standard DIS'!$Q$1:$X$542,2,FALSE)</f>
        <v>0.88888888888888884</v>
      </c>
      <c r="BH778">
        <f>VLOOKUP($BA778,'[2]Standard DIS'!$Q$1:$X$542,3,FALSE)</f>
        <v>0.11111111111111116</v>
      </c>
      <c r="BI778" s="77">
        <f t="shared" si="2261"/>
        <v>1</v>
      </c>
      <c r="BJ778" s="77">
        <f t="shared" si="2262"/>
        <v>6.3149999999999984E-2</v>
      </c>
      <c r="BK778" s="77">
        <f t="shared" si="2355"/>
        <v>5.1160591879111372E-3</v>
      </c>
      <c r="BL778" s="79">
        <v>0</v>
      </c>
      <c r="BM778" s="77">
        <f t="shared" si="2276"/>
        <v>0</v>
      </c>
      <c r="BN778" s="77">
        <f t="shared" si="2277"/>
        <v>0</v>
      </c>
      <c r="BO778" s="77">
        <f t="shared" si="2278"/>
        <v>2.5000000000000001E-3</v>
      </c>
      <c r="BP778" s="77">
        <f t="shared" si="2279"/>
        <v>2.0809499864316017E-4</v>
      </c>
    </row>
    <row r="779" spans="1:68">
      <c r="A779" t="s">
        <v>175</v>
      </c>
      <c r="B779" t="s">
        <v>179</v>
      </c>
      <c r="C779" s="197" t="str">
        <f t="shared" si="2320"/>
        <v>Lifecycle_Dynamic_308</v>
      </c>
      <c r="D779">
        <v>308</v>
      </c>
      <c r="E779">
        <f>VLOOKUP($D779,'[2]LC Dynamic'!$Q$2:$U$542,2,FALSE)</f>
        <v>0</v>
      </c>
      <c r="F779">
        <f>VLOOKUP($D779,'[2]LC Dynamic'!$Q$2:$U$542,3,FALSE)</f>
        <v>0</v>
      </c>
      <c r="G779">
        <f>VLOOKUP($D779,'[2]LC Dynamic'!$Q$2:$U$542,4,FALSE)</f>
        <v>0.308</v>
      </c>
      <c r="H779">
        <f>VLOOKUP($D779,'[2]LC Dynamic'!$Q$2:$U$542,5,FALSE)</f>
        <v>0.69199999999999995</v>
      </c>
      <c r="I779" s="77">
        <f t="shared" si="2252"/>
        <v>1</v>
      </c>
      <c r="J779" s="77">
        <f t="shared" si="2253"/>
        <v>6.9728499999999985E-2</v>
      </c>
      <c r="K779" s="77">
        <f t="shared" si="2327"/>
        <v>5.632878498097682E-3</v>
      </c>
      <c r="L779" s="76">
        <v>0</v>
      </c>
      <c r="M779" s="77">
        <f t="shared" si="2263"/>
        <v>0</v>
      </c>
      <c r="N779" s="77">
        <f t="shared" si="2264"/>
        <v>0</v>
      </c>
      <c r="O779" s="77">
        <f t="shared" si="2265"/>
        <v>5.6775999999999997E-3</v>
      </c>
      <c r="P779" s="77">
        <f t="shared" si="2266"/>
        <v>4.7436902124819991E-4</v>
      </c>
      <c r="R779" t="s">
        <v>177</v>
      </c>
      <c r="S779" t="s">
        <v>179</v>
      </c>
      <c r="T779" s="197" t="str">
        <f t="shared" si="2321"/>
        <v>Autopilot_Dynamic_308</v>
      </c>
      <c r="U779">
        <v>308</v>
      </c>
      <c r="V779">
        <f>VLOOKUP($U779,'[2]AP Dynamic'!$Q$1:$T$542,2,FALSE)</f>
        <v>0.88888888888888884</v>
      </c>
      <c r="W779">
        <f>VLOOKUP($U779,'[2]AP Dynamic'!$Q$1:$T$542,3,FALSE)</f>
        <v>0.11111111111111116</v>
      </c>
      <c r="X779">
        <f>VLOOKUP($U779,'[2]AP Dynamic'!$Q$1:$T$542,4,FALSE)</f>
        <v>0</v>
      </c>
      <c r="Y779" s="77">
        <f t="shared" si="2322"/>
        <v>1</v>
      </c>
      <c r="Z779" s="77">
        <f t="shared" si="2328"/>
        <v>6.3149999999999984E-2</v>
      </c>
      <c r="AA779" s="77">
        <f t="shared" si="2329"/>
        <v>5.1160591879111372E-3</v>
      </c>
      <c r="AB779" s="79">
        <v>1</v>
      </c>
      <c r="AC779" s="77">
        <f t="shared" si="2267"/>
        <v>8.277777777777778E-3</v>
      </c>
      <c r="AD779" s="77">
        <f t="shared" ref="AD779" si="2440">1-(1-AC779)^(1/12)</f>
        <v>6.9244588451522482E-4</v>
      </c>
      <c r="AE779" s="77">
        <f t="shared" si="2269"/>
        <v>2.5000000000000001E-3</v>
      </c>
      <c r="AF779" s="77">
        <f t="shared" ref="AF779" si="2441">1-(1-AE779)^(1/12)</f>
        <v>2.0857243058891584E-4</v>
      </c>
      <c r="AH779" t="s">
        <v>175</v>
      </c>
      <c r="AI779" t="s">
        <v>179</v>
      </c>
      <c r="AJ779" s="197" t="str">
        <f t="shared" si="2256"/>
        <v>Lifecycle_Dynamic_308</v>
      </c>
      <c r="AK779">
        <v>308</v>
      </c>
      <c r="AL779">
        <f>VLOOKUP($U779,[2]Standard_Dynamic!$Q$1:$T$542,2,FALSE)</f>
        <v>0.88888888888888884</v>
      </c>
      <c r="AM779">
        <f>VLOOKUP($U779,[2]Standard_Dynamic!$Q$1:$T$542,3,FALSE)</f>
        <v>0.11111111111111116</v>
      </c>
      <c r="AN779">
        <f>VLOOKUP($U779,[2]Standard_Dynamic!$Q$1:$T$542,4,FALSE)</f>
        <v>0</v>
      </c>
      <c r="AO779" s="77">
        <f t="shared" si="2257"/>
        <v>1</v>
      </c>
      <c r="AP779" s="77">
        <f t="shared" si="2271"/>
        <v>6.3149999999999984E-2</v>
      </c>
      <c r="AQ779" s="77">
        <f t="shared" si="2258"/>
        <v>5.1160591879111372E-3</v>
      </c>
      <c r="AR779" s="79">
        <v>0</v>
      </c>
      <c r="AS779" s="77">
        <f t="shared" si="2272"/>
        <v>0</v>
      </c>
      <c r="AT779" s="77">
        <f t="shared" ref="AT779" si="2442">1-(1-AS779)^(1/12)</f>
        <v>0</v>
      </c>
      <c r="AU779" s="77">
        <f t="shared" si="2274"/>
        <v>2.5000000000000001E-3</v>
      </c>
      <c r="AV779" s="77">
        <f t="shared" ref="AV779" si="2443">1-(1-AU779)^(1/12)</f>
        <v>2.0857243058891584E-4</v>
      </c>
      <c r="AX779" t="s">
        <v>178</v>
      </c>
      <c r="AY779" t="s">
        <v>162</v>
      </c>
      <c r="AZ779" s="197" t="str">
        <f t="shared" si="2354"/>
        <v>DIS_Standard_308</v>
      </c>
      <c r="BA779">
        <v>308</v>
      </c>
      <c r="BB779">
        <f>VLOOKUP($BA779,'[2]Standard DIS'!$Q$1:$X$542,4,FALSE)</f>
        <v>0</v>
      </c>
      <c r="BF779">
        <f>VLOOKUP($BA779,'[2]Standard DIS'!$Q$1:$X$542,2,FALSE)</f>
        <v>0.88888888888888884</v>
      </c>
      <c r="BH779">
        <f>VLOOKUP($BA779,'[2]Standard DIS'!$Q$1:$X$542,3,FALSE)</f>
        <v>0.11111111111111116</v>
      </c>
      <c r="BI779" s="77">
        <f t="shared" si="2261"/>
        <v>1</v>
      </c>
      <c r="BJ779" s="77">
        <f t="shared" si="2262"/>
        <v>6.3149999999999984E-2</v>
      </c>
      <c r="BK779" s="77">
        <f t="shared" si="2355"/>
        <v>5.1160591879111372E-3</v>
      </c>
      <c r="BL779" s="79">
        <v>0</v>
      </c>
      <c r="BM779" s="77">
        <f t="shared" si="2276"/>
        <v>0</v>
      </c>
      <c r="BN779" s="77">
        <f t="shared" si="2277"/>
        <v>0</v>
      </c>
      <c r="BO779" s="77">
        <f t="shared" si="2278"/>
        <v>2.5000000000000001E-3</v>
      </c>
      <c r="BP779" s="77">
        <f t="shared" si="2279"/>
        <v>2.0809499864316017E-4</v>
      </c>
    </row>
    <row r="780" spans="1:68">
      <c r="A780" t="s">
        <v>175</v>
      </c>
      <c r="B780" t="s">
        <v>179</v>
      </c>
      <c r="C780" s="197" t="str">
        <f t="shared" si="2320"/>
        <v>Lifecycle_Dynamic_307</v>
      </c>
      <c r="D780">
        <v>307</v>
      </c>
      <c r="E780">
        <f>VLOOKUP($D780,'[2]LC Dynamic'!$Q$2:$U$542,2,FALSE)</f>
        <v>0</v>
      </c>
      <c r="F780">
        <f>VLOOKUP($D780,'[2]LC Dynamic'!$Q$2:$U$542,3,FALSE)</f>
        <v>0</v>
      </c>
      <c r="G780">
        <f>VLOOKUP($D780,'[2]LC Dynamic'!$Q$2:$U$542,4,FALSE)</f>
        <v>0.308</v>
      </c>
      <c r="H780">
        <f>VLOOKUP($D780,'[2]LC Dynamic'!$Q$2:$U$542,5,FALSE)</f>
        <v>0.69199999999999995</v>
      </c>
      <c r="I780" s="77">
        <f t="shared" si="2252"/>
        <v>1</v>
      </c>
      <c r="J780" s="77">
        <f t="shared" si="2253"/>
        <v>6.9728499999999985E-2</v>
      </c>
      <c r="K780" s="77">
        <f t="shared" si="2327"/>
        <v>5.632878498097682E-3</v>
      </c>
      <c r="L780" s="76">
        <v>0</v>
      </c>
      <c r="M780" s="77">
        <f t="shared" si="2263"/>
        <v>0</v>
      </c>
      <c r="N780" s="77">
        <f t="shared" si="2264"/>
        <v>0</v>
      </c>
      <c r="O780" s="77">
        <f t="shared" si="2265"/>
        <v>5.6775999999999997E-3</v>
      </c>
      <c r="P780" s="77">
        <f t="shared" si="2266"/>
        <v>4.7436902124819991E-4</v>
      </c>
      <c r="R780" t="s">
        <v>177</v>
      </c>
      <c r="S780" t="s">
        <v>179</v>
      </c>
      <c r="T780" s="197" t="str">
        <f t="shared" si="2321"/>
        <v>Autopilot_Dynamic_307</v>
      </c>
      <c r="U780">
        <v>307</v>
      </c>
      <c r="V780">
        <f>VLOOKUP($U780,'[2]AP Dynamic'!$Q$1:$T$542,2,FALSE)</f>
        <v>0.88888888888888884</v>
      </c>
      <c r="W780">
        <f>VLOOKUP($U780,'[2]AP Dynamic'!$Q$1:$T$542,3,FALSE)</f>
        <v>0.11111111111111116</v>
      </c>
      <c r="X780">
        <f>VLOOKUP($U780,'[2]AP Dynamic'!$Q$1:$T$542,4,FALSE)</f>
        <v>0</v>
      </c>
      <c r="Y780" s="77">
        <f t="shared" si="2322"/>
        <v>1</v>
      </c>
      <c r="Z780" s="77">
        <f t="shared" si="2328"/>
        <v>6.3149999999999984E-2</v>
      </c>
      <c r="AA780" s="77">
        <f t="shared" si="2329"/>
        <v>5.1160591879111372E-3</v>
      </c>
      <c r="AB780" s="79">
        <v>1</v>
      </c>
      <c r="AC780" s="77">
        <f t="shared" si="2267"/>
        <v>8.277777777777778E-3</v>
      </c>
      <c r="AD780" s="77">
        <f t="shared" ref="AD780" si="2444">1-(1-AC780)^(1/12)</f>
        <v>6.9244588451522482E-4</v>
      </c>
      <c r="AE780" s="77">
        <f t="shared" si="2269"/>
        <v>2.5000000000000001E-3</v>
      </c>
      <c r="AF780" s="77">
        <f t="shared" ref="AF780" si="2445">1-(1-AE780)^(1/12)</f>
        <v>2.0857243058891584E-4</v>
      </c>
      <c r="AH780" t="s">
        <v>175</v>
      </c>
      <c r="AI780" t="s">
        <v>179</v>
      </c>
      <c r="AJ780" s="197" t="str">
        <f t="shared" si="2256"/>
        <v>Lifecycle_Dynamic_307</v>
      </c>
      <c r="AK780">
        <v>307</v>
      </c>
      <c r="AL780">
        <f>VLOOKUP($U780,[2]Standard_Dynamic!$Q$1:$T$542,2,FALSE)</f>
        <v>0.88888888888888884</v>
      </c>
      <c r="AM780">
        <f>VLOOKUP($U780,[2]Standard_Dynamic!$Q$1:$T$542,3,FALSE)</f>
        <v>0.11111111111111116</v>
      </c>
      <c r="AN780">
        <f>VLOOKUP($U780,[2]Standard_Dynamic!$Q$1:$T$542,4,FALSE)</f>
        <v>0</v>
      </c>
      <c r="AO780" s="77">
        <f t="shared" si="2257"/>
        <v>1</v>
      </c>
      <c r="AP780" s="77">
        <f t="shared" si="2271"/>
        <v>6.3149999999999984E-2</v>
      </c>
      <c r="AQ780" s="77">
        <f t="shared" si="2258"/>
        <v>5.1160591879111372E-3</v>
      </c>
      <c r="AR780" s="79">
        <v>0</v>
      </c>
      <c r="AS780" s="77">
        <f t="shared" si="2272"/>
        <v>0</v>
      </c>
      <c r="AT780" s="77">
        <f t="shared" ref="AT780" si="2446">1-(1-AS780)^(1/12)</f>
        <v>0</v>
      </c>
      <c r="AU780" s="77">
        <f t="shared" si="2274"/>
        <v>2.5000000000000001E-3</v>
      </c>
      <c r="AV780" s="77">
        <f t="shared" ref="AV780" si="2447">1-(1-AU780)^(1/12)</f>
        <v>2.0857243058891584E-4</v>
      </c>
      <c r="AX780" t="s">
        <v>178</v>
      </c>
      <c r="AY780" t="s">
        <v>162</v>
      </c>
      <c r="AZ780" s="197" t="str">
        <f t="shared" si="2354"/>
        <v>DIS_Standard_307</v>
      </c>
      <c r="BA780">
        <v>307</v>
      </c>
      <c r="BB780">
        <f>VLOOKUP($BA780,'[2]Standard DIS'!$Q$1:$X$542,4,FALSE)</f>
        <v>0</v>
      </c>
      <c r="BF780">
        <f>VLOOKUP($BA780,'[2]Standard DIS'!$Q$1:$X$542,2,FALSE)</f>
        <v>0.88888888888888884</v>
      </c>
      <c r="BH780">
        <f>VLOOKUP($BA780,'[2]Standard DIS'!$Q$1:$X$542,3,FALSE)</f>
        <v>0.11111111111111116</v>
      </c>
      <c r="BI780" s="77">
        <f t="shared" si="2261"/>
        <v>1</v>
      </c>
      <c r="BJ780" s="77">
        <f t="shared" si="2262"/>
        <v>6.3149999999999984E-2</v>
      </c>
      <c r="BK780" s="77">
        <f t="shared" si="2355"/>
        <v>5.1160591879111372E-3</v>
      </c>
      <c r="BL780" s="79">
        <v>0</v>
      </c>
      <c r="BM780" s="77">
        <f t="shared" si="2276"/>
        <v>0</v>
      </c>
      <c r="BN780" s="77">
        <f t="shared" si="2277"/>
        <v>0</v>
      </c>
      <c r="BO780" s="77">
        <f t="shared" si="2278"/>
        <v>2.5000000000000001E-3</v>
      </c>
      <c r="BP780" s="77">
        <f t="shared" si="2279"/>
        <v>2.0809499864316017E-4</v>
      </c>
    </row>
    <row r="781" spans="1:68">
      <c r="A781" t="s">
        <v>175</v>
      </c>
      <c r="B781" t="s">
        <v>179</v>
      </c>
      <c r="C781" s="197" t="str">
        <f t="shared" si="2320"/>
        <v>Lifecycle_Dynamic_306</v>
      </c>
      <c r="D781">
        <v>306</v>
      </c>
      <c r="E781">
        <f>VLOOKUP($D781,'[2]LC Dynamic'!$Q$2:$U$542,2,FALSE)</f>
        <v>0</v>
      </c>
      <c r="F781">
        <f>VLOOKUP($D781,'[2]LC Dynamic'!$Q$2:$U$542,3,FALSE)</f>
        <v>0</v>
      </c>
      <c r="G781">
        <f>VLOOKUP($D781,'[2]LC Dynamic'!$Q$2:$U$542,4,FALSE)</f>
        <v>0.308</v>
      </c>
      <c r="H781">
        <f>VLOOKUP($D781,'[2]LC Dynamic'!$Q$2:$U$542,5,FALSE)</f>
        <v>0.69199999999999995</v>
      </c>
      <c r="I781" s="77">
        <f t="shared" si="2252"/>
        <v>1</v>
      </c>
      <c r="J781" s="77">
        <f t="shared" si="2253"/>
        <v>6.9728499999999985E-2</v>
      </c>
      <c r="K781" s="77">
        <f t="shared" si="2327"/>
        <v>5.632878498097682E-3</v>
      </c>
      <c r="L781" s="76">
        <v>0</v>
      </c>
      <c r="M781" s="77">
        <f t="shared" si="2263"/>
        <v>0</v>
      </c>
      <c r="N781" s="77">
        <f t="shared" si="2264"/>
        <v>0</v>
      </c>
      <c r="O781" s="77">
        <f t="shared" si="2265"/>
        <v>5.6775999999999997E-3</v>
      </c>
      <c r="P781" s="77">
        <f t="shared" si="2266"/>
        <v>4.7436902124819991E-4</v>
      </c>
      <c r="R781" t="s">
        <v>177</v>
      </c>
      <c r="S781" t="s">
        <v>179</v>
      </c>
      <c r="T781" s="197" t="str">
        <f t="shared" si="2321"/>
        <v>Autopilot_Dynamic_306</v>
      </c>
      <c r="U781">
        <v>306</v>
      </c>
      <c r="V781">
        <f>VLOOKUP($U781,'[2]AP Dynamic'!$Q$1:$T$542,2,FALSE)</f>
        <v>0.88888888888888884</v>
      </c>
      <c r="W781">
        <f>VLOOKUP($U781,'[2]AP Dynamic'!$Q$1:$T$542,3,FALSE)</f>
        <v>0.11111111111111116</v>
      </c>
      <c r="X781">
        <f>VLOOKUP($U781,'[2]AP Dynamic'!$Q$1:$T$542,4,FALSE)</f>
        <v>0</v>
      </c>
      <c r="Y781" s="77">
        <f t="shared" si="2322"/>
        <v>1</v>
      </c>
      <c r="Z781" s="77">
        <f t="shared" si="2328"/>
        <v>6.3149999999999984E-2</v>
      </c>
      <c r="AA781" s="77">
        <f t="shared" si="2329"/>
        <v>5.1160591879111372E-3</v>
      </c>
      <c r="AB781" s="79">
        <v>1</v>
      </c>
      <c r="AC781" s="77">
        <f t="shared" si="2267"/>
        <v>8.277777777777778E-3</v>
      </c>
      <c r="AD781" s="77">
        <f t="shared" ref="AD781" si="2448">1-(1-AC781)^(1/12)</f>
        <v>6.9244588451522482E-4</v>
      </c>
      <c r="AE781" s="77">
        <f t="shared" si="2269"/>
        <v>2.5000000000000001E-3</v>
      </c>
      <c r="AF781" s="77">
        <f t="shared" ref="AF781" si="2449">1-(1-AE781)^(1/12)</f>
        <v>2.0857243058891584E-4</v>
      </c>
      <c r="AH781" t="s">
        <v>175</v>
      </c>
      <c r="AI781" t="s">
        <v>179</v>
      </c>
      <c r="AJ781" s="197" t="str">
        <f t="shared" si="2256"/>
        <v>Lifecycle_Dynamic_306</v>
      </c>
      <c r="AK781">
        <v>306</v>
      </c>
      <c r="AL781">
        <f>VLOOKUP($U781,[2]Standard_Dynamic!$Q$1:$T$542,2,FALSE)</f>
        <v>0.88888888888888884</v>
      </c>
      <c r="AM781">
        <f>VLOOKUP($U781,[2]Standard_Dynamic!$Q$1:$T$542,3,FALSE)</f>
        <v>0.11111111111111116</v>
      </c>
      <c r="AN781">
        <f>VLOOKUP($U781,[2]Standard_Dynamic!$Q$1:$T$542,4,FALSE)</f>
        <v>0</v>
      </c>
      <c r="AO781" s="77">
        <f t="shared" si="2257"/>
        <v>1</v>
      </c>
      <c r="AP781" s="77">
        <f t="shared" si="2271"/>
        <v>6.3149999999999984E-2</v>
      </c>
      <c r="AQ781" s="77">
        <f t="shared" si="2258"/>
        <v>5.1160591879111372E-3</v>
      </c>
      <c r="AR781" s="79">
        <v>0</v>
      </c>
      <c r="AS781" s="77">
        <f t="shared" si="2272"/>
        <v>0</v>
      </c>
      <c r="AT781" s="77">
        <f t="shared" ref="AT781" si="2450">1-(1-AS781)^(1/12)</f>
        <v>0</v>
      </c>
      <c r="AU781" s="77">
        <f t="shared" si="2274"/>
        <v>2.5000000000000001E-3</v>
      </c>
      <c r="AV781" s="77">
        <f t="shared" ref="AV781" si="2451">1-(1-AU781)^(1/12)</f>
        <v>2.0857243058891584E-4</v>
      </c>
      <c r="AX781" t="s">
        <v>178</v>
      </c>
      <c r="AY781" t="s">
        <v>162</v>
      </c>
      <c r="AZ781" s="197" t="str">
        <f t="shared" si="2354"/>
        <v>DIS_Standard_306</v>
      </c>
      <c r="BA781">
        <v>306</v>
      </c>
      <c r="BB781">
        <f>VLOOKUP($BA781,'[2]Standard DIS'!$Q$1:$X$542,4,FALSE)</f>
        <v>0</v>
      </c>
      <c r="BF781">
        <f>VLOOKUP($BA781,'[2]Standard DIS'!$Q$1:$X$542,2,FALSE)</f>
        <v>0.88888888888888884</v>
      </c>
      <c r="BH781">
        <f>VLOOKUP($BA781,'[2]Standard DIS'!$Q$1:$X$542,3,FALSE)</f>
        <v>0.11111111111111116</v>
      </c>
      <c r="BI781" s="77">
        <f t="shared" si="2261"/>
        <v>1</v>
      </c>
      <c r="BJ781" s="77">
        <f t="shared" si="2262"/>
        <v>6.3149999999999984E-2</v>
      </c>
      <c r="BK781" s="77">
        <f t="shared" si="2355"/>
        <v>5.1160591879111372E-3</v>
      </c>
      <c r="BL781" s="79">
        <v>0</v>
      </c>
      <c r="BM781" s="77">
        <f t="shared" si="2276"/>
        <v>0</v>
      </c>
      <c r="BN781" s="77">
        <f t="shared" si="2277"/>
        <v>0</v>
      </c>
      <c r="BO781" s="77">
        <f t="shared" si="2278"/>
        <v>2.5000000000000001E-3</v>
      </c>
      <c r="BP781" s="77">
        <f t="shared" si="2279"/>
        <v>2.0809499864316017E-4</v>
      </c>
    </row>
    <row r="782" spans="1:68">
      <c r="A782" t="s">
        <v>175</v>
      </c>
      <c r="B782" t="s">
        <v>179</v>
      </c>
      <c r="C782" s="197" t="str">
        <f t="shared" si="2320"/>
        <v>Lifecycle_Dynamic_305</v>
      </c>
      <c r="D782">
        <v>305</v>
      </c>
      <c r="E782">
        <f>VLOOKUP($D782,'[2]LC Dynamic'!$Q$2:$U$542,2,FALSE)</f>
        <v>0</v>
      </c>
      <c r="F782">
        <f>VLOOKUP($D782,'[2]LC Dynamic'!$Q$2:$U$542,3,FALSE)</f>
        <v>0</v>
      </c>
      <c r="G782">
        <f>VLOOKUP($D782,'[2]LC Dynamic'!$Q$2:$U$542,4,FALSE)</f>
        <v>0.308</v>
      </c>
      <c r="H782">
        <f>VLOOKUP($D782,'[2]LC Dynamic'!$Q$2:$U$542,5,FALSE)</f>
        <v>0.69199999999999995</v>
      </c>
      <c r="I782" s="77">
        <f t="shared" si="2252"/>
        <v>1</v>
      </c>
      <c r="J782" s="77">
        <f t="shared" si="2253"/>
        <v>6.9728499999999985E-2</v>
      </c>
      <c r="K782" s="77">
        <f t="shared" si="2327"/>
        <v>5.632878498097682E-3</v>
      </c>
      <c r="L782" s="76">
        <v>0</v>
      </c>
      <c r="M782" s="77">
        <f t="shared" si="2263"/>
        <v>0</v>
      </c>
      <c r="N782" s="77">
        <f t="shared" si="2264"/>
        <v>0</v>
      </c>
      <c r="O782" s="77">
        <f t="shared" si="2265"/>
        <v>5.6775999999999997E-3</v>
      </c>
      <c r="P782" s="77">
        <f t="shared" si="2266"/>
        <v>4.7436902124819991E-4</v>
      </c>
      <c r="R782" t="s">
        <v>177</v>
      </c>
      <c r="S782" t="s">
        <v>179</v>
      </c>
      <c r="T782" s="197" t="str">
        <f t="shared" si="2321"/>
        <v>Autopilot_Dynamic_305</v>
      </c>
      <c r="U782">
        <v>305</v>
      </c>
      <c r="V782">
        <f>VLOOKUP($U782,'[2]AP Dynamic'!$Q$1:$T$542,2,FALSE)</f>
        <v>0.88888888888888884</v>
      </c>
      <c r="W782">
        <f>VLOOKUP($U782,'[2]AP Dynamic'!$Q$1:$T$542,3,FALSE)</f>
        <v>0.11111111111111116</v>
      </c>
      <c r="X782">
        <f>VLOOKUP($U782,'[2]AP Dynamic'!$Q$1:$T$542,4,FALSE)</f>
        <v>0</v>
      </c>
      <c r="Y782" s="77">
        <f t="shared" si="2322"/>
        <v>1</v>
      </c>
      <c r="Z782" s="77">
        <f t="shared" si="2328"/>
        <v>6.3149999999999984E-2</v>
      </c>
      <c r="AA782" s="77">
        <f t="shared" si="2329"/>
        <v>5.1160591879111372E-3</v>
      </c>
      <c r="AB782" s="79">
        <v>1</v>
      </c>
      <c r="AC782" s="77">
        <f t="shared" si="2267"/>
        <v>8.277777777777778E-3</v>
      </c>
      <c r="AD782" s="77">
        <f t="shared" ref="AD782" si="2452">1-(1-AC782)^(1/12)</f>
        <v>6.9244588451522482E-4</v>
      </c>
      <c r="AE782" s="77">
        <f t="shared" si="2269"/>
        <v>2.5000000000000001E-3</v>
      </c>
      <c r="AF782" s="77">
        <f t="shared" ref="AF782" si="2453">1-(1-AE782)^(1/12)</f>
        <v>2.0857243058891584E-4</v>
      </c>
      <c r="AH782" t="s">
        <v>175</v>
      </c>
      <c r="AI782" t="s">
        <v>179</v>
      </c>
      <c r="AJ782" s="197" t="str">
        <f t="shared" si="2256"/>
        <v>Lifecycle_Dynamic_305</v>
      </c>
      <c r="AK782">
        <v>305</v>
      </c>
      <c r="AL782">
        <f>VLOOKUP($U782,[2]Standard_Dynamic!$Q$1:$T$542,2,FALSE)</f>
        <v>0.88888888888888884</v>
      </c>
      <c r="AM782">
        <f>VLOOKUP($U782,[2]Standard_Dynamic!$Q$1:$T$542,3,FALSE)</f>
        <v>0.11111111111111116</v>
      </c>
      <c r="AN782">
        <f>VLOOKUP($U782,[2]Standard_Dynamic!$Q$1:$T$542,4,FALSE)</f>
        <v>0</v>
      </c>
      <c r="AO782" s="77">
        <f t="shared" si="2257"/>
        <v>1</v>
      </c>
      <c r="AP782" s="77">
        <f t="shared" si="2271"/>
        <v>6.3149999999999984E-2</v>
      </c>
      <c r="AQ782" s="77">
        <f t="shared" si="2258"/>
        <v>5.1160591879111372E-3</v>
      </c>
      <c r="AR782" s="79">
        <v>0</v>
      </c>
      <c r="AS782" s="77">
        <f t="shared" si="2272"/>
        <v>0</v>
      </c>
      <c r="AT782" s="77">
        <f t="shared" ref="AT782" si="2454">1-(1-AS782)^(1/12)</f>
        <v>0</v>
      </c>
      <c r="AU782" s="77">
        <f t="shared" si="2274"/>
        <v>2.5000000000000001E-3</v>
      </c>
      <c r="AV782" s="77">
        <f t="shared" ref="AV782" si="2455">1-(1-AU782)^(1/12)</f>
        <v>2.0857243058891584E-4</v>
      </c>
      <c r="AX782" t="s">
        <v>178</v>
      </c>
      <c r="AY782" t="s">
        <v>162</v>
      </c>
      <c r="AZ782" s="197" t="str">
        <f t="shared" si="2354"/>
        <v>DIS_Standard_305</v>
      </c>
      <c r="BA782">
        <v>305</v>
      </c>
      <c r="BB782">
        <f>VLOOKUP($BA782,'[2]Standard DIS'!$Q$1:$X$542,4,FALSE)</f>
        <v>0</v>
      </c>
      <c r="BF782">
        <f>VLOOKUP($BA782,'[2]Standard DIS'!$Q$1:$X$542,2,FALSE)</f>
        <v>0.88888888888888884</v>
      </c>
      <c r="BH782">
        <f>VLOOKUP($BA782,'[2]Standard DIS'!$Q$1:$X$542,3,FALSE)</f>
        <v>0.11111111111111116</v>
      </c>
      <c r="BI782" s="77">
        <f t="shared" si="2261"/>
        <v>1</v>
      </c>
      <c r="BJ782" s="77">
        <f t="shared" si="2262"/>
        <v>6.3149999999999984E-2</v>
      </c>
      <c r="BK782" s="77">
        <f t="shared" si="2355"/>
        <v>5.1160591879111372E-3</v>
      </c>
      <c r="BL782" s="79">
        <v>0</v>
      </c>
      <c r="BM782" s="77">
        <f t="shared" si="2276"/>
        <v>0</v>
      </c>
      <c r="BN782" s="77">
        <f t="shared" si="2277"/>
        <v>0</v>
      </c>
      <c r="BO782" s="77">
        <f t="shared" si="2278"/>
        <v>2.5000000000000001E-3</v>
      </c>
      <c r="BP782" s="77">
        <f t="shared" si="2279"/>
        <v>2.0809499864316017E-4</v>
      </c>
    </row>
    <row r="783" spans="1:68">
      <c r="A783" t="s">
        <v>175</v>
      </c>
      <c r="B783" t="s">
        <v>179</v>
      </c>
      <c r="C783" s="197" t="str">
        <f t="shared" si="2320"/>
        <v>Lifecycle_Dynamic_304</v>
      </c>
      <c r="D783">
        <v>304</v>
      </c>
      <c r="E783">
        <f>VLOOKUP($D783,'[2]LC Dynamic'!$Q$2:$U$542,2,FALSE)</f>
        <v>0</v>
      </c>
      <c r="F783">
        <f>VLOOKUP($D783,'[2]LC Dynamic'!$Q$2:$U$542,3,FALSE)</f>
        <v>0</v>
      </c>
      <c r="G783">
        <f>VLOOKUP($D783,'[2]LC Dynamic'!$Q$2:$U$542,4,FALSE)</f>
        <v>0.308</v>
      </c>
      <c r="H783">
        <f>VLOOKUP($D783,'[2]LC Dynamic'!$Q$2:$U$542,5,FALSE)</f>
        <v>0.69199999999999995</v>
      </c>
      <c r="I783" s="77">
        <f t="shared" si="2252"/>
        <v>1</v>
      </c>
      <c r="J783" s="77">
        <f t="shared" si="2253"/>
        <v>6.9728499999999985E-2</v>
      </c>
      <c r="K783" s="77">
        <f t="shared" si="2327"/>
        <v>5.632878498097682E-3</v>
      </c>
      <c r="L783" s="76">
        <v>0</v>
      </c>
      <c r="M783" s="77">
        <f t="shared" si="2263"/>
        <v>0</v>
      </c>
      <c r="N783" s="77">
        <f t="shared" si="2264"/>
        <v>0</v>
      </c>
      <c r="O783" s="77">
        <f t="shared" si="2265"/>
        <v>5.6775999999999997E-3</v>
      </c>
      <c r="P783" s="77">
        <f t="shared" si="2266"/>
        <v>4.7436902124819991E-4</v>
      </c>
      <c r="R783" t="s">
        <v>177</v>
      </c>
      <c r="S783" t="s">
        <v>179</v>
      </c>
      <c r="T783" s="197" t="str">
        <f t="shared" si="2321"/>
        <v>Autopilot_Dynamic_304</v>
      </c>
      <c r="U783">
        <v>304</v>
      </c>
      <c r="V783">
        <f>VLOOKUP($U783,'[2]AP Dynamic'!$Q$1:$T$542,2,FALSE)</f>
        <v>0.88888888888888884</v>
      </c>
      <c r="W783">
        <f>VLOOKUP($U783,'[2]AP Dynamic'!$Q$1:$T$542,3,FALSE)</f>
        <v>0.11111111111111116</v>
      </c>
      <c r="X783">
        <f>VLOOKUP($U783,'[2]AP Dynamic'!$Q$1:$T$542,4,FALSE)</f>
        <v>0</v>
      </c>
      <c r="Y783" s="77">
        <f t="shared" si="2322"/>
        <v>1</v>
      </c>
      <c r="Z783" s="77">
        <f t="shared" si="2328"/>
        <v>6.3149999999999984E-2</v>
      </c>
      <c r="AA783" s="77">
        <f t="shared" si="2329"/>
        <v>5.1160591879111372E-3</v>
      </c>
      <c r="AB783" s="79">
        <v>1</v>
      </c>
      <c r="AC783" s="77">
        <f t="shared" si="2267"/>
        <v>8.277777777777778E-3</v>
      </c>
      <c r="AD783" s="77">
        <f t="shared" ref="AD783" si="2456">1-(1-AC783)^(1/12)</f>
        <v>6.9244588451522482E-4</v>
      </c>
      <c r="AE783" s="77">
        <f t="shared" si="2269"/>
        <v>2.5000000000000001E-3</v>
      </c>
      <c r="AF783" s="77">
        <f t="shared" ref="AF783" si="2457">1-(1-AE783)^(1/12)</f>
        <v>2.0857243058891584E-4</v>
      </c>
      <c r="AH783" t="s">
        <v>175</v>
      </c>
      <c r="AI783" t="s">
        <v>179</v>
      </c>
      <c r="AJ783" s="197" t="str">
        <f t="shared" si="2256"/>
        <v>Lifecycle_Dynamic_304</v>
      </c>
      <c r="AK783">
        <v>304</v>
      </c>
      <c r="AL783">
        <f>VLOOKUP($U783,[2]Standard_Dynamic!$Q$1:$T$542,2,FALSE)</f>
        <v>0.88888888888888884</v>
      </c>
      <c r="AM783">
        <f>VLOOKUP($U783,[2]Standard_Dynamic!$Q$1:$T$542,3,FALSE)</f>
        <v>0.11111111111111116</v>
      </c>
      <c r="AN783">
        <f>VLOOKUP($U783,[2]Standard_Dynamic!$Q$1:$T$542,4,FALSE)</f>
        <v>0</v>
      </c>
      <c r="AO783" s="77">
        <f t="shared" si="2257"/>
        <v>1</v>
      </c>
      <c r="AP783" s="77">
        <f t="shared" si="2271"/>
        <v>6.3149999999999984E-2</v>
      </c>
      <c r="AQ783" s="77">
        <f t="shared" si="2258"/>
        <v>5.1160591879111372E-3</v>
      </c>
      <c r="AR783" s="79">
        <v>0</v>
      </c>
      <c r="AS783" s="77">
        <f t="shared" si="2272"/>
        <v>0</v>
      </c>
      <c r="AT783" s="77">
        <f t="shared" ref="AT783" si="2458">1-(1-AS783)^(1/12)</f>
        <v>0</v>
      </c>
      <c r="AU783" s="77">
        <f t="shared" si="2274"/>
        <v>2.5000000000000001E-3</v>
      </c>
      <c r="AV783" s="77">
        <f t="shared" ref="AV783" si="2459">1-(1-AU783)^(1/12)</f>
        <v>2.0857243058891584E-4</v>
      </c>
      <c r="AX783" t="s">
        <v>178</v>
      </c>
      <c r="AY783" t="s">
        <v>162</v>
      </c>
      <c r="AZ783" s="197" t="str">
        <f t="shared" si="2354"/>
        <v>DIS_Standard_304</v>
      </c>
      <c r="BA783">
        <v>304</v>
      </c>
      <c r="BB783">
        <f>VLOOKUP($BA783,'[2]Standard DIS'!$Q$1:$X$542,4,FALSE)</f>
        <v>0</v>
      </c>
      <c r="BF783">
        <f>VLOOKUP($BA783,'[2]Standard DIS'!$Q$1:$X$542,2,FALSE)</f>
        <v>0.88888888888888884</v>
      </c>
      <c r="BH783">
        <f>VLOOKUP($BA783,'[2]Standard DIS'!$Q$1:$X$542,3,FALSE)</f>
        <v>0.11111111111111116</v>
      </c>
      <c r="BI783" s="77">
        <f t="shared" si="2261"/>
        <v>1</v>
      </c>
      <c r="BJ783" s="77">
        <f t="shared" si="2262"/>
        <v>6.3149999999999984E-2</v>
      </c>
      <c r="BK783" s="77">
        <f t="shared" si="2355"/>
        <v>5.1160591879111372E-3</v>
      </c>
      <c r="BL783" s="79">
        <v>0</v>
      </c>
      <c r="BM783" s="77">
        <f t="shared" si="2276"/>
        <v>0</v>
      </c>
      <c r="BN783" s="77">
        <f t="shared" si="2277"/>
        <v>0</v>
      </c>
      <c r="BO783" s="77">
        <f t="shared" si="2278"/>
        <v>2.5000000000000001E-3</v>
      </c>
      <c r="BP783" s="77">
        <f t="shared" si="2279"/>
        <v>2.0809499864316017E-4</v>
      </c>
    </row>
    <row r="784" spans="1:68">
      <c r="A784" t="s">
        <v>175</v>
      </c>
      <c r="B784" t="s">
        <v>179</v>
      </c>
      <c r="C784" s="197" t="str">
        <f t="shared" si="2320"/>
        <v>Lifecycle_Dynamic_303</v>
      </c>
      <c r="D784">
        <v>303</v>
      </c>
      <c r="E784">
        <f>VLOOKUP($D784,'[2]LC Dynamic'!$Q$2:$U$542,2,FALSE)</f>
        <v>0</v>
      </c>
      <c r="F784">
        <f>VLOOKUP($D784,'[2]LC Dynamic'!$Q$2:$U$542,3,FALSE)</f>
        <v>0</v>
      </c>
      <c r="G784">
        <f>VLOOKUP($D784,'[2]LC Dynamic'!$Q$2:$U$542,4,FALSE)</f>
        <v>0.308</v>
      </c>
      <c r="H784">
        <f>VLOOKUP($D784,'[2]LC Dynamic'!$Q$2:$U$542,5,FALSE)</f>
        <v>0.69199999999999995</v>
      </c>
      <c r="I784" s="77">
        <f t="shared" si="2252"/>
        <v>1</v>
      </c>
      <c r="J784" s="77">
        <f t="shared" si="2253"/>
        <v>6.9728499999999985E-2</v>
      </c>
      <c r="K784" s="77">
        <f t="shared" si="2327"/>
        <v>5.632878498097682E-3</v>
      </c>
      <c r="L784" s="76">
        <v>0</v>
      </c>
      <c r="M784" s="77">
        <f t="shared" si="2263"/>
        <v>0</v>
      </c>
      <c r="N784" s="77">
        <f t="shared" si="2264"/>
        <v>0</v>
      </c>
      <c r="O784" s="77">
        <f t="shared" si="2265"/>
        <v>5.6775999999999997E-3</v>
      </c>
      <c r="P784" s="77">
        <f t="shared" si="2266"/>
        <v>4.7436902124819991E-4</v>
      </c>
      <c r="R784" t="s">
        <v>177</v>
      </c>
      <c r="S784" t="s">
        <v>179</v>
      </c>
      <c r="T784" s="197" t="str">
        <f t="shared" si="2321"/>
        <v>Autopilot_Dynamic_303</v>
      </c>
      <c r="U784">
        <v>303</v>
      </c>
      <c r="V784">
        <f>VLOOKUP($U784,'[2]AP Dynamic'!$Q$1:$T$542,2,FALSE)</f>
        <v>0.88888888888888884</v>
      </c>
      <c r="W784">
        <f>VLOOKUP($U784,'[2]AP Dynamic'!$Q$1:$T$542,3,FALSE)</f>
        <v>0.11111111111111116</v>
      </c>
      <c r="X784">
        <f>VLOOKUP($U784,'[2]AP Dynamic'!$Q$1:$T$542,4,FALSE)</f>
        <v>0</v>
      </c>
      <c r="Y784" s="77">
        <f t="shared" si="2322"/>
        <v>1</v>
      </c>
      <c r="Z784" s="77">
        <f t="shared" si="2328"/>
        <v>6.3149999999999984E-2</v>
      </c>
      <c r="AA784" s="77">
        <f t="shared" si="2329"/>
        <v>5.1160591879111372E-3</v>
      </c>
      <c r="AB784" s="79">
        <v>1</v>
      </c>
      <c r="AC784" s="77">
        <f t="shared" si="2267"/>
        <v>8.277777777777778E-3</v>
      </c>
      <c r="AD784" s="77">
        <f t="shared" ref="AD784" si="2460">1-(1-AC784)^(1/12)</f>
        <v>6.9244588451522482E-4</v>
      </c>
      <c r="AE784" s="77">
        <f t="shared" si="2269"/>
        <v>2.5000000000000001E-3</v>
      </c>
      <c r="AF784" s="77">
        <f t="shared" ref="AF784" si="2461">1-(1-AE784)^(1/12)</f>
        <v>2.0857243058891584E-4</v>
      </c>
      <c r="AH784" t="s">
        <v>175</v>
      </c>
      <c r="AI784" t="s">
        <v>179</v>
      </c>
      <c r="AJ784" s="197" t="str">
        <f t="shared" si="2256"/>
        <v>Lifecycle_Dynamic_303</v>
      </c>
      <c r="AK784">
        <v>303</v>
      </c>
      <c r="AL784">
        <f>VLOOKUP($U784,[2]Standard_Dynamic!$Q$1:$T$542,2,FALSE)</f>
        <v>0.88888888888888884</v>
      </c>
      <c r="AM784">
        <f>VLOOKUP($U784,[2]Standard_Dynamic!$Q$1:$T$542,3,FALSE)</f>
        <v>0.11111111111111116</v>
      </c>
      <c r="AN784">
        <f>VLOOKUP($U784,[2]Standard_Dynamic!$Q$1:$T$542,4,FALSE)</f>
        <v>0</v>
      </c>
      <c r="AO784" s="77">
        <f t="shared" si="2257"/>
        <v>1</v>
      </c>
      <c r="AP784" s="77">
        <f t="shared" si="2271"/>
        <v>6.3149999999999984E-2</v>
      </c>
      <c r="AQ784" s="77">
        <f t="shared" si="2258"/>
        <v>5.1160591879111372E-3</v>
      </c>
      <c r="AR784" s="79">
        <v>0</v>
      </c>
      <c r="AS784" s="77">
        <f t="shared" si="2272"/>
        <v>0</v>
      </c>
      <c r="AT784" s="77">
        <f t="shared" ref="AT784" si="2462">1-(1-AS784)^(1/12)</f>
        <v>0</v>
      </c>
      <c r="AU784" s="77">
        <f t="shared" si="2274"/>
        <v>2.5000000000000001E-3</v>
      </c>
      <c r="AV784" s="77">
        <f t="shared" ref="AV784" si="2463">1-(1-AU784)^(1/12)</f>
        <v>2.0857243058891584E-4</v>
      </c>
      <c r="AX784" t="s">
        <v>178</v>
      </c>
      <c r="AY784" t="s">
        <v>162</v>
      </c>
      <c r="AZ784" s="197" t="str">
        <f t="shared" si="2354"/>
        <v>DIS_Standard_303</v>
      </c>
      <c r="BA784">
        <v>303</v>
      </c>
      <c r="BB784">
        <f>VLOOKUP($BA784,'[2]Standard DIS'!$Q$1:$X$542,4,FALSE)</f>
        <v>0</v>
      </c>
      <c r="BF784">
        <f>VLOOKUP($BA784,'[2]Standard DIS'!$Q$1:$X$542,2,FALSE)</f>
        <v>0.88888888888888884</v>
      </c>
      <c r="BH784">
        <f>VLOOKUP($BA784,'[2]Standard DIS'!$Q$1:$X$542,3,FALSE)</f>
        <v>0.11111111111111116</v>
      </c>
      <c r="BI784" s="77">
        <f t="shared" si="2261"/>
        <v>1</v>
      </c>
      <c r="BJ784" s="77">
        <f t="shared" si="2262"/>
        <v>6.3149999999999984E-2</v>
      </c>
      <c r="BK784" s="77">
        <f t="shared" si="2355"/>
        <v>5.1160591879111372E-3</v>
      </c>
      <c r="BL784" s="79">
        <v>0</v>
      </c>
      <c r="BM784" s="77">
        <f t="shared" si="2276"/>
        <v>0</v>
      </c>
      <c r="BN784" s="77">
        <f t="shared" si="2277"/>
        <v>0</v>
      </c>
      <c r="BO784" s="77">
        <f t="shared" si="2278"/>
        <v>2.5000000000000001E-3</v>
      </c>
      <c r="BP784" s="77">
        <f t="shared" si="2279"/>
        <v>2.0809499864316017E-4</v>
      </c>
    </row>
    <row r="785" spans="1:68">
      <c r="A785" t="s">
        <v>175</v>
      </c>
      <c r="B785" t="s">
        <v>179</v>
      </c>
      <c r="C785" s="197" t="str">
        <f t="shared" si="2320"/>
        <v>Lifecycle_Dynamic_302</v>
      </c>
      <c r="D785">
        <v>302</v>
      </c>
      <c r="E785">
        <f>VLOOKUP($D785,'[2]LC Dynamic'!$Q$2:$U$542,2,FALSE)</f>
        <v>0</v>
      </c>
      <c r="F785">
        <f>VLOOKUP($D785,'[2]LC Dynamic'!$Q$2:$U$542,3,FALSE)</f>
        <v>0</v>
      </c>
      <c r="G785">
        <f>VLOOKUP($D785,'[2]LC Dynamic'!$Q$2:$U$542,4,FALSE)</f>
        <v>0.308</v>
      </c>
      <c r="H785">
        <f>VLOOKUP($D785,'[2]LC Dynamic'!$Q$2:$U$542,5,FALSE)</f>
        <v>0.69199999999999995</v>
      </c>
      <c r="I785" s="77">
        <f t="shared" si="2252"/>
        <v>1</v>
      </c>
      <c r="J785" s="77">
        <f t="shared" si="2253"/>
        <v>6.9728499999999985E-2</v>
      </c>
      <c r="K785" s="77">
        <f t="shared" si="2327"/>
        <v>5.632878498097682E-3</v>
      </c>
      <c r="L785" s="76">
        <v>0</v>
      </c>
      <c r="M785" s="77">
        <f t="shared" si="2263"/>
        <v>0</v>
      </c>
      <c r="N785" s="77">
        <f t="shared" si="2264"/>
        <v>0</v>
      </c>
      <c r="O785" s="77">
        <f t="shared" si="2265"/>
        <v>5.6775999999999997E-3</v>
      </c>
      <c r="P785" s="77">
        <f t="shared" si="2266"/>
        <v>4.7436902124819991E-4</v>
      </c>
      <c r="R785" t="s">
        <v>177</v>
      </c>
      <c r="S785" t="s">
        <v>179</v>
      </c>
      <c r="T785" s="197" t="str">
        <f t="shared" si="2321"/>
        <v>Autopilot_Dynamic_302</v>
      </c>
      <c r="U785">
        <v>302</v>
      </c>
      <c r="V785">
        <f>VLOOKUP($U785,'[2]AP Dynamic'!$Q$1:$T$542,2,FALSE)</f>
        <v>0.88888888888888884</v>
      </c>
      <c r="W785">
        <f>VLOOKUP($U785,'[2]AP Dynamic'!$Q$1:$T$542,3,FALSE)</f>
        <v>0.11111111111111116</v>
      </c>
      <c r="X785">
        <f>VLOOKUP($U785,'[2]AP Dynamic'!$Q$1:$T$542,4,FALSE)</f>
        <v>0</v>
      </c>
      <c r="Y785" s="77">
        <f t="shared" si="2322"/>
        <v>1</v>
      </c>
      <c r="Z785" s="77">
        <f t="shared" si="2328"/>
        <v>6.3149999999999984E-2</v>
      </c>
      <c r="AA785" s="77">
        <f t="shared" si="2329"/>
        <v>5.1160591879111372E-3</v>
      </c>
      <c r="AB785" s="79">
        <v>1</v>
      </c>
      <c r="AC785" s="77">
        <f t="shared" si="2267"/>
        <v>8.277777777777778E-3</v>
      </c>
      <c r="AD785" s="77">
        <f t="shared" ref="AD785" si="2464">1-(1-AC785)^(1/12)</f>
        <v>6.9244588451522482E-4</v>
      </c>
      <c r="AE785" s="77">
        <f t="shared" si="2269"/>
        <v>2.5000000000000001E-3</v>
      </c>
      <c r="AF785" s="77">
        <f t="shared" ref="AF785" si="2465">1-(1-AE785)^(1/12)</f>
        <v>2.0857243058891584E-4</v>
      </c>
      <c r="AH785" t="s">
        <v>175</v>
      </c>
      <c r="AI785" t="s">
        <v>179</v>
      </c>
      <c r="AJ785" s="197" t="str">
        <f t="shared" si="2256"/>
        <v>Lifecycle_Dynamic_302</v>
      </c>
      <c r="AK785">
        <v>302</v>
      </c>
      <c r="AL785">
        <f>VLOOKUP($U785,[2]Standard_Dynamic!$Q$1:$T$542,2,FALSE)</f>
        <v>0.88888888888888884</v>
      </c>
      <c r="AM785">
        <f>VLOOKUP($U785,[2]Standard_Dynamic!$Q$1:$T$542,3,FALSE)</f>
        <v>0.11111111111111116</v>
      </c>
      <c r="AN785">
        <f>VLOOKUP($U785,[2]Standard_Dynamic!$Q$1:$T$542,4,FALSE)</f>
        <v>0</v>
      </c>
      <c r="AO785" s="77">
        <f t="shared" si="2257"/>
        <v>1</v>
      </c>
      <c r="AP785" s="77">
        <f t="shared" si="2271"/>
        <v>6.3149999999999984E-2</v>
      </c>
      <c r="AQ785" s="77">
        <f t="shared" si="2258"/>
        <v>5.1160591879111372E-3</v>
      </c>
      <c r="AR785" s="79">
        <v>0</v>
      </c>
      <c r="AS785" s="77">
        <f t="shared" si="2272"/>
        <v>0</v>
      </c>
      <c r="AT785" s="77">
        <f t="shared" ref="AT785" si="2466">1-(1-AS785)^(1/12)</f>
        <v>0</v>
      </c>
      <c r="AU785" s="77">
        <f t="shared" si="2274"/>
        <v>2.5000000000000001E-3</v>
      </c>
      <c r="AV785" s="77">
        <f t="shared" ref="AV785" si="2467">1-(1-AU785)^(1/12)</f>
        <v>2.0857243058891584E-4</v>
      </c>
      <c r="AX785" t="s">
        <v>178</v>
      </c>
      <c r="AY785" t="s">
        <v>162</v>
      </c>
      <c r="AZ785" s="197" t="str">
        <f t="shared" si="2354"/>
        <v>DIS_Standard_302</v>
      </c>
      <c r="BA785">
        <v>302</v>
      </c>
      <c r="BB785">
        <f>VLOOKUP($BA785,'[2]Standard DIS'!$Q$1:$X$542,4,FALSE)</f>
        <v>0</v>
      </c>
      <c r="BF785">
        <f>VLOOKUP($BA785,'[2]Standard DIS'!$Q$1:$X$542,2,FALSE)</f>
        <v>0.88888888888888884</v>
      </c>
      <c r="BH785">
        <f>VLOOKUP($BA785,'[2]Standard DIS'!$Q$1:$X$542,3,FALSE)</f>
        <v>0.11111111111111116</v>
      </c>
      <c r="BI785" s="77">
        <f t="shared" si="2261"/>
        <v>1</v>
      </c>
      <c r="BJ785" s="77">
        <f t="shared" si="2262"/>
        <v>6.3149999999999984E-2</v>
      </c>
      <c r="BK785" s="77">
        <f t="shared" si="2355"/>
        <v>5.1160591879111372E-3</v>
      </c>
      <c r="BL785" s="79">
        <v>0</v>
      </c>
      <c r="BM785" s="77">
        <f t="shared" si="2276"/>
        <v>0</v>
      </c>
      <c r="BN785" s="77">
        <f t="shared" si="2277"/>
        <v>0</v>
      </c>
      <c r="BO785" s="77">
        <f t="shared" si="2278"/>
        <v>2.5000000000000001E-3</v>
      </c>
      <c r="BP785" s="77">
        <f t="shared" si="2279"/>
        <v>2.0809499864316017E-4</v>
      </c>
    </row>
    <row r="786" spans="1:68">
      <c r="A786" t="s">
        <v>175</v>
      </c>
      <c r="B786" t="s">
        <v>179</v>
      </c>
      <c r="C786" s="197" t="str">
        <f t="shared" si="2320"/>
        <v>Lifecycle_Dynamic_301</v>
      </c>
      <c r="D786">
        <v>301</v>
      </c>
      <c r="E786">
        <f>VLOOKUP($D786,'[2]LC Dynamic'!$Q$2:$U$542,2,FALSE)</f>
        <v>0</v>
      </c>
      <c r="F786">
        <f>VLOOKUP($D786,'[2]LC Dynamic'!$Q$2:$U$542,3,FALSE)</f>
        <v>0</v>
      </c>
      <c r="G786">
        <f>VLOOKUP($D786,'[2]LC Dynamic'!$Q$2:$U$542,4,FALSE)</f>
        <v>0.308</v>
      </c>
      <c r="H786">
        <f>VLOOKUP($D786,'[2]LC Dynamic'!$Q$2:$U$542,5,FALSE)</f>
        <v>0.69199999999999995</v>
      </c>
      <c r="I786" s="77">
        <f t="shared" si="2252"/>
        <v>1</v>
      </c>
      <c r="J786" s="77">
        <f t="shared" si="2253"/>
        <v>6.9728499999999985E-2</v>
      </c>
      <c r="K786" s="77">
        <f t="shared" si="2327"/>
        <v>5.632878498097682E-3</v>
      </c>
      <c r="L786" s="76">
        <v>0</v>
      </c>
      <c r="M786" s="77">
        <f t="shared" si="2263"/>
        <v>0</v>
      </c>
      <c r="N786" s="77">
        <f t="shared" si="2264"/>
        <v>0</v>
      </c>
      <c r="O786" s="77">
        <f t="shared" si="2265"/>
        <v>5.6775999999999997E-3</v>
      </c>
      <c r="P786" s="77">
        <f t="shared" si="2266"/>
        <v>4.7436902124819991E-4</v>
      </c>
      <c r="R786" t="s">
        <v>177</v>
      </c>
      <c r="S786" t="s">
        <v>179</v>
      </c>
      <c r="T786" s="197" t="str">
        <f t="shared" si="2321"/>
        <v>Autopilot_Dynamic_301</v>
      </c>
      <c r="U786">
        <v>301</v>
      </c>
      <c r="V786">
        <f>VLOOKUP($U786,'[2]AP Dynamic'!$Q$1:$T$542,2,FALSE)</f>
        <v>0.88888888888888884</v>
      </c>
      <c r="W786">
        <f>VLOOKUP($U786,'[2]AP Dynamic'!$Q$1:$T$542,3,FALSE)</f>
        <v>0.11111111111111116</v>
      </c>
      <c r="X786">
        <f>VLOOKUP($U786,'[2]AP Dynamic'!$Q$1:$T$542,4,FALSE)</f>
        <v>0</v>
      </c>
      <c r="Y786" s="77">
        <f t="shared" si="2322"/>
        <v>1</v>
      </c>
      <c r="Z786" s="77">
        <f t="shared" si="2328"/>
        <v>6.3149999999999984E-2</v>
      </c>
      <c r="AA786" s="77">
        <f t="shared" si="2329"/>
        <v>5.1160591879111372E-3</v>
      </c>
      <c r="AB786" s="79">
        <v>1</v>
      </c>
      <c r="AC786" s="77">
        <f t="shared" si="2267"/>
        <v>8.277777777777778E-3</v>
      </c>
      <c r="AD786" s="77">
        <f t="shared" ref="AD786" si="2468">1-(1-AC786)^(1/12)</f>
        <v>6.9244588451522482E-4</v>
      </c>
      <c r="AE786" s="77">
        <f t="shared" si="2269"/>
        <v>2.5000000000000001E-3</v>
      </c>
      <c r="AF786" s="77">
        <f t="shared" ref="AF786" si="2469">1-(1-AE786)^(1/12)</f>
        <v>2.0857243058891584E-4</v>
      </c>
      <c r="AH786" t="s">
        <v>175</v>
      </c>
      <c r="AI786" t="s">
        <v>179</v>
      </c>
      <c r="AJ786" s="197" t="str">
        <f t="shared" si="2256"/>
        <v>Lifecycle_Dynamic_301</v>
      </c>
      <c r="AK786">
        <v>301</v>
      </c>
      <c r="AL786">
        <f>VLOOKUP($U786,[2]Standard_Dynamic!$Q$1:$T$542,2,FALSE)</f>
        <v>0.88888888888888884</v>
      </c>
      <c r="AM786">
        <f>VLOOKUP($U786,[2]Standard_Dynamic!$Q$1:$T$542,3,FALSE)</f>
        <v>0.11111111111111116</v>
      </c>
      <c r="AN786">
        <f>VLOOKUP($U786,[2]Standard_Dynamic!$Q$1:$T$542,4,FALSE)</f>
        <v>0</v>
      </c>
      <c r="AO786" s="77">
        <f t="shared" si="2257"/>
        <v>1</v>
      </c>
      <c r="AP786" s="77">
        <f t="shared" si="2271"/>
        <v>6.3149999999999984E-2</v>
      </c>
      <c r="AQ786" s="77">
        <f t="shared" si="2258"/>
        <v>5.1160591879111372E-3</v>
      </c>
      <c r="AR786" s="79">
        <v>0</v>
      </c>
      <c r="AS786" s="77">
        <f t="shared" si="2272"/>
        <v>0</v>
      </c>
      <c r="AT786" s="77">
        <f t="shared" ref="AT786" si="2470">1-(1-AS786)^(1/12)</f>
        <v>0</v>
      </c>
      <c r="AU786" s="77">
        <f t="shared" si="2274"/>
        <v>2.5000000000000001E-3</v>
      </c>
      <c r="AV786" s="77">
        <f t="shared" ref="AV786" si="2471">1-(1-AU786)^(1/12)</f>
        <v>2.0857243058891584E-4</v>
      </c>
      <c r="AX786" t="s">
        <v>178</v>
      </c>
      <c r="AY786" t="s">
        <v>162</v>
      </c>
      <c r="AZ786" s="197" t="str">
        <f t="shared" si="2354"/>
        <v>DIS_Standard_301</v>
      </c>
      <c r="BA786">
        <v>301</v>
      </c>
      <c r="BB786">
        <f>VLOOKUP($BA786,'[2]Standard DIS'!$Q$1:$X$542,4,FALSE)</f>
        <v>0</v>
      </c>
      <c r="BF786">
        <f>VLOOKUP($BA786,'[2]Standard DIS'!$Q$1:$X$542,2,FALSE)</f>
        <v>0.88888888888888884</v>
      </c>
      <c r="BH786">
        <f>VLOOKUP($BA786,'[2]Standard DIS'!$Q$1:$X$542,3,FALSE)</f>
        <v>0.11111111111111116</v>
      </c>
      <c r="BI786" s="77">
        <f t="shared" si="2261"/>
        <v>1</v>
      </c>
      <c r="BJ786" s="77">
        <f t="shared" si="2262"/>
        <v>6.3149999999999984E-2</v>
      </c>
      <c r="BK786" s="77">
        <f t="shared" si="2355"/>
        <v>5.1160591879111372E-3</v>
      </c>
      <c r="BL786" s="79">
        <v>0</v>
      </c>
      <c r="BM786" s="77">
        <f t="shared" si="2276"/>
        <v>0</v>
      </c>
      <c r="BN786" s="77">
        <f t="shared" si="2277"/>
        <v>0</v>
      </c>
      <c r="BO786" s="77">
        <f t="shared" si="2278"/>
        <v>2.5000000000000001E-3</v>
      </c>
      <c r="BP786" s="77">
        <f t="shared" si="2279"/>
        <v>2.0809499864316017E-4</v>
      </c>
    </row>
    <row r="787" spans="1:68">
      <c r="A787" t="s">
        <v>175</v>
      </c>
      <c r="B787" t="s">
        <v>179</v>
      </c>
      <c r="C787" s="197" t="str">
        <f t="shared" si="2320"/>
        <v>Lifecycle_Dynamic_300</v>
      </c>
      <c r="D787">
        <v>300</v>
      </c>
      <c r="E787">
        <f>VLOOKUP($D787,'[2]LC Dynamic'!$Q$2:$U$542,2,FALSE)</f>
        <v>0</v>
      </c>
      <c r="F787">
        <f>VLOOKUP($D787,'[2]LC Dynamic'!$Q$2:$U$542,3,FALSE)</f>
        <v>0</v>
      </c>
      <c r="G787">
        <f>VLOOKUP($D787,'[2]LC Dynamic'!$Q$2:$U$542,4,FALSE)</f>
        <v>0.308</v>
      </c>
      <c r="H787">
        <f>VLOOKUP($D787,'[2]LC Dynamic'!$Q$2:$U$542,5,FALSE)</f>
        <v>0.69199999999999995</v>
      </c>
      <c r="I787" s="77">
        <f t="shared" si="2252"/>
        <v>1</v>
      </c>
      <c r="J787" s="77">
        <f t="shared" si="2253"/>
        <v>6.9728499999999985E-2</v>
      </c>
      <c r="K787" s="77">
        <f t="shared" si="2327"/>
        <v>5.632878498097682E-3</v>
      </c>
      <c r="L787" s="76">
        <v>0</v>
      </c>
      <c r="M787" s="77">
        <f t="shared" si="2263"/>
        <v>0</v>
      </c>
      <c r="N787" s="77">
        <f t="shared" si="2264"/>
        <v>0</v>
      </c>
      <c r="O787" s="77">
        <f t="shared" si="2265"/>
        <v>5.6775999999999997E-3</v>
      </c>
      <c r="P787" s="77">
        <f t="shared" si="2266"/>
        <v>4.7436902124819991E-4</v>
      </c>
      <c r="R787" t="s">
        <v>177</v>
      </c>
      <c r="S787" t="s">
        <v>179</v>
      </c>
      <c r="T787" s="197" t="str">
        <f t="shared" si="2321"/>
        <v>Autopilot_Dynamic_300</v>
      </c>
      <c r="U787">
        <v>300</v>
      </c>
      <c r="V787">
        <f>VLOOKUP($U787,'[2]AP Dynamic'!$Q$1:$T$542,2,FALSE)</f>
        <v>0.88888888888888884</v>
      </c>
      <c r="W787">
        <f>VLOOKUP($U787,'[2]AP Dynamic'!$Q$1:$T$542,3,FALSE)</f>
        <v>0.11111111111111116</v>
      </c>
      <c r="X787">
        <f>VLOOKUP($U787,'[2]AP Dynamic'!$Q$1:$T$542,4,FALSE)</f>
        <v>0</v>
      </c>
      <c r="Y787" s="77">
        <f t="shared" si="2322"/>
        <v>1</v>
      </c>
      <c r="Z787" s="77">
        <f t="shared" si="2328"/>
        <v>6.3149999999999984E-2</v>
      </c>
      <c r="AA787" s="77">
        <f t="shared" si="2329"/>
        <v>5.1160591879111372E-3</v>
      </c>
      <c r="AB787" s="79">
        <v>1</v>
      </c>
      <c r="AC787" s="77">
        <f t="shared" si="2267"/>
        <v>8.277777777777778E-3</v>
      </c>
      <c r="AD787" s="77">
        <f t="shared" ref="AD787" si="2472">1-(1-AC787)^(1/12)</f>
        <v>6.9244588451522482E-4</v>
      </c>
      <c r="AE787" s="77">
        <f t="shared" si="2269"/>
        <v>2.5000000000000001E-3</v>
      </c>
      <c r="AF787" s="77">
        <f t="shared" ref="AF787" si="2473">1-(1-AE787)^(1/12)</f>
        <v>2.0857243058891584E-4</v>
      </c>
      <c r="AH787" t="s">
        <v>175</v>
      </c>
      <c r="AI787" t="s">
        <v>179</v>
      </c>
      <c r="AJ787" s="197" t="str">
        <f t="shared" si="2256"/>
        <v>Lifecycle_Dynamic_300</v>
      </c>
      <c r="AK787">
        <v>300</v>
      </c>
      <c r="AL787">
        <f>VLOOKUP($U787,[2]Standard_Dynamic!$Q$1:$T$542,2,FALSE)</f>
        <v>0.88888888888888884</v>
      </c>
      <c r="AM787">
        <f>VLOOKUP($U787,[2]Standard_Dynamic!$Q$1:$T$542,3,FALSE)</f>
        <v>0.11111111111111116</v>
      </c>
      <c r="AN787">
        <f>VLOOKUP($U787,[2]Standard_Dynamic!$Q$1:$T$542,4,FALSE)</f>
        <v>0</v>
      </c>
      <c r="AO787" s="77">
        <f t="shared" si="2257"/>
        <v>1</v>
      </c>
      <c r="AP787" s="77">
        <f t="shared" si="2271"/>
        <v>6.3149999999999984E-2</v>
      </c>
      <c r="AQ787" s="77">
        <f t="shared" si="2258"/>
        <v>5.1160591879111372E-3</v>
      </c>
      <c r="AR787" s="79">
        <v>0</v>
      </c>
      <c r="AS787" s="77">
        <f t="shared" si="2272"/>
        <v>0</v>
      </c>
      <c r="AT787" s="77">
        <f t="shared" ref="AT787" si="2474">1-(1-AS787)^(1/12)</f>
        <v>0</v>
      </c>
      <c r="AU787" s="77">
        <f t="shared" si="2274"/>
        <v>2.5000000000000001E-3</v>
      </c>
      <c r="AV787" s="77">
        <f t="shared" ref="AV787" si="2475">1-(1-AU787)^(1/12)</f>
        <v>2.0857243058891584E-4</v>
      </c>
      <c r="AX787" t="s">
        <v>178</v>
      </c>
      <c r="AY787" t="s">
        <v>162</v>
      </c>
      <c r="AZ787" s="197" t="str">
        <f t="shared" si="2354"/>
        <v>DIS_Standard_300</v>
      </c>
      <c r="BA787">
        <v>300</v>
      </c>
      <c r="BB787">
        <f>VLOOKUP($BA787,'[2]Standard DIS'!$Q$1:$X$542,4,FALSE)</f>
        <v>0</v>
      </c>
      <c r="BF787">
        <f>VLOOKUP($BA787,'[2]Standard DIS'!$Q$1:$X$542,2,FALSE)</f>
        <v>0.88888888888888884</v>
      </c>
      <c r="BH787">
        <f>VLOOKUP($BA787,'[2]Standard DIS'!$Q$1:$X$542,3,FALSE)</f>
        <v>0.11111111111111116</v>
      </c>
      <c r="BI787" s="77">
        <f t="shared" si="2261"/>
        <v>1</v>
      </c>
      <c r="BJ787" s="77">
        <f t="shared" si="2262"/>
        <v>6.3149999999999984E-2</v>
      </c>
      <c r="BK787" s="77">
        <f t="shared" si="2355"/>
        <v>5.1160591879111372E-3</v>
      </c>
      <c r="BL787" s="79">
        <v>0</v>
      </c>
      <c r="BM787" s="77">
        <f t="shared" si="2276"/>
        <v>0</v>
      </c>
      <c r="BN787" s="77">
        <f t="shared" si="2277"/>
        <v>0</v>
      </c>
      <c r="BO787" s="77">
        <f t="shared" si="2278"/>
        <v>2.5000000000000001E-3</v>
      </c>
      <c r="BP787" s="77">
        <f t="shared" si="2279"/>
        <v>2.0809499864316017E-4</v>
      </c>
    </row>
    <row r="788" spans="1:68">
      <c r="A788" t="s">
        <v>175</v>
      </c>
      <c r="B788" t="s">
        <v>179</v>
      </c>
      <c r="C788" s="197" t="str">
        <f t="shared" si="2320"/>
        <v>Lifecycle_Dynamic_299</v>
      </c>
      <c r="D788">
        <v>299</v>
      </c>
      <c r="E788">
        <f>VLOOKUP($D788,'[2]LC Dynamic'!$Q$2:$U$542,2,FALSE)</f>
        <v>0</v>
      </c>
      <c r="F788">
        <f>VLOOKUP($D788,'[2]LC Dynamic'!$Q$2:$U$542,3,FALSE)</f>
        <v>0</v>
      </c>
      <c r="G788">
        <f>VLOOKUP($D788,'[2]LC Dynamic'!$Q$2:$U$542,4,FALSE)</f>
        <v>0.308</v>
      </c>
      <c r="H788">
        <f>VLOOKUP($D788,'[2]LC Dynamic'!$Q$2:$U$542,5,FALSE)</f>
        <v>0.69199999999999995</v>
      </c>
      <c r="I788" s="77">
        <f t="shared" si="2252"/>
        <v>1</v>
      </c>
      <c r="J788" s="77">
        <f t="shared" si="2253"/>
        <v>6.9728499999999985E-2</v>
      </c>
      <c r="K788" s="77">
        <f t="shared" si="2327"/>
        <v>5.632878498097682E-3</v>
      </c>
      <c r="L788" s="76">
        <v>0</v>
      </c>
      <c r="M788" s="77">
        <f t="shared" si="2263"/>
        <v>0</v>
      </c>
      <c r="N788" s="77">
        <f t="shared" si="2264"/>
        <v>0</v>
      </c>
      <c r="O788" s="77">
        <f t="shared" si="2265"/>
        <v>5.6775999999999997E-3</v>
      </c>
      <c r="P788" s="77">
        <f t="shared" si="2266"/>
        <v>4.7436902124819991E-4</v>
      </c>
      <c r="R788" t="s">
        <v>177</v>
      </c>
      <c r="S788" t="s">
        <v>179</v>
      </c>
      <c r="T788" s="197" t="str">
        <f t="shared" si="2321"/>
        <v>Autopilot_Dynamic_299</v>
      </c>
      <c r="U788">
        <v>299</v>
      </c>
      <c r="V788">
        <f>VLOOKUP($U788,'[2]AP Dynamic'!$Q$1:$T$542,2,FALSE)</f>
        <v>0.88888888888888884</v>
      </c>
      <c r="W788">
        <f>VLOOKUP($U788,'[2]AP Dynamic'!$Q$1:$T$542,3,FALSE)</f>
        <v>0.11111111111111116</v>
      </c>
      <c r="X788">
        <f>VLOOKUP($U788,'[2]AP Dynamic'!$Q$1:$T$542,4,FALSE)</f>
        <v>0</v>
      </c>
      <c r="Y788" s="77">
        <f t="shared" si="2322"/>
        <v>1</v>
      </c>
      <c r="Z788" s="77">
        <f t="shared" si="2328"/>
        <v>6.3149999999999984E-2</v>
      </c>
      <c r="AA788" s="77">
        <f t="shared" si="2329"/>
        <v>5.1160591879111372E-3</v>
      </c>
      <c r="AB788" s="79">
        <v>1</v>
      </c>
      <c r="AC788" s="77">
        <f t="shared" si="2267"/>
        <v>8.277777777777778E-3</v>
      </c>
      <c r="AD788" s="77">
        <f t="shared" ref="AD788" si="2476">1-(1-AC788)^(1/12)</f>
        <v>6.9244588451522482E-4</v>
      </c>
      <c r="AE788" s="77">
        <f t="shared" si="2269"/>
        <v>2.5000000000000001E-3</v>
      </c>
      <c r="AF788" s="77">
        <f t="shared" ref="AF788" si="2477">1-(1-AE788)^(1/12)</f>
        <v>2.0857243058891584E-4</v>
      </c>
      <c r="AH788" t="s">
        <v>175</v>
      </c>
      <c r="AI788" t="s">
        <v>179</v>
      </c>
      <c r="AJ788" s="197" t="str">
        <f t="shared" si="2256"/>
        <v>Lifecycle_Dynamic_299</v>
      </c>
      <c r="AK788">
        <v>299</v>
      </c>
      <c r="AL788">
        <f>VLOOKUP($U788,[2]Standard_Dynamic!$Q$1:$T$542,2,FALSE)</f>
        <v>0.88888888888888884</v>
      </c>
      <c r="AM788">
        <f>VLOOKUP($U788,[2]Standard_Dynamic!$Q$1:$T$542,3,FALSE)</f>
        <v>0.11111111111111116</v>
      </c>
      <c r="AN788">
        <f>VLOOKUP($U788,[2]Standard_Dynamic!$Q$1:$T$542,4,FALSE)</f>
        <v>0</v>
      </c>
      <c r="AO788" s="77">
        <f t="shared" si="2257"/>
        <v>1</v>
      </c>
      <c r="AP788" s="77">
        <f t="shared" si="2271"/>
        <v>6.3149999999999984E-2</v>
      </c>
      <c r="AQ788" s="77">
        <f t="shared" si="2258"/>
        <v>5.1160591879111372E-3</v>
      </c>
      <c r="AR788" s="79">
        <v>0</v>
      </c>
      <c r="AS788" s="77">
        <f t="shared" si="2272"/>
        <v>0</v>
      </c>
      <c r="AT788" s="77">
        <f t="shared" ref="AT788" si="2478">1-(1-AS788)^(1/12)</f>
        <v>0</v>
      </c>
      <c r="AU788" s="77">
        <f t="shared" si="2274"/>
        <v>2.5000000000000001E-3</v>
      </c>
      <c r="AV788" s="77">
        <f t="shared" ref="AV788" si="2479">1-(1-AU788)^(1/12)</f>
        <v>2.0857243058891584E-4</v>
      </c>
      <c r="AX788" t="s">
        <v>178</v>
      </c>
      <c r="AY788" t="s">
        <v>162</v>
      </c>
      <c r="AZ788" s="197" t="str">
        <f t="shared" si="2354"/>
        <v>DIS_Standard_299</v>
      </c>
      <c r="BA788">
        <v>299</v>
      </c>
      <c r="BB788">
        <f>VLOOKUP($BA788,'[2]Standard DIS'!$Q$1:$X$542,4,FALSE)</f>
        <v>0</v>
      </c>
      <c r="BF788">
        <f>VLOOKUP($BA788,'[2]Standard DIS'!$Q$1:$X$542,2,FALSE)</f>
        <v>0.88888888888888884</v>
      </c>
      <c r="BH788">
        <f>VLOOKUP($BA788,'[2]Standard DIS'!$Q$1:$X$542,3,FALSE)</f>
        <v>0.11111111111111116</v>
      </c>
      <c r="BI788" s="77">
        <f t="shared" si="2261"/>
        <v>1</v>
      </c>
      <c r="BJ788" s="77">
        <f t="shared" si="2262"/>
        <v>6.3149999999999984E-2</v>
      </c>
      <c r="BK788" s="77">
        <f t="shared" si="2355"/>
        <v>5.1160591879111372E-3</v>
      </c>
      <c r="BL788" s="79">
        <v>0</v>
      </c>
      <c r="BM788" s="77">
        <f t="shared" si="2276"/>
        <v>0</v>
      </c>
      <c r="BN788" s="77">
        <f t="shared" si="2277"/>
        <v>0</v>
      </c>
      <c r="BO788" s="77">
        <f t="shared" si="2278"/>
        <v>2.5000000000000001E-3</v>
      </c>
      <c r="BP788" s="77">
        <f t="shared" si="2279"/>
        <v>2.0809499864316017E-4</v>
      </c>
    </row>
    <row r="789" spans="1:68">
      <c r="A789" t="s">
        <v>175</v>
      </c>
      <c r="B789" t="s">
        <v>179</v>
      </c>
      <c r="C789" s="197" t="str">
        <f t="shared" si="2320"/>
        <v>Lifecycle_Dynamic_298</v>
      </c>
      <c r="D789">
        <v>298</v>
      </c>
      <c r="E789">
        <f>VLOOKUP($D789,'[2]LC Dynamic'!$Q$2:$U$542,2,FALSE)</f>
        <v>0</v>
      </c>
      <c r="F789">
        <f>VLOOKUP($D789,'[2]LC Dynamic'!$Q$2:$U$542,3,FALSE)</f>
        <v>0</v>
      </c>
      <c r="G789">
        <f>VLOOKUP($D789,'[2]LC Dynamic'!$Q$2:$U$542,4,FALSE)</f>
        <v>0.308</v>
      </c>
      <c r="H789">
        <f>VLOOKUP($D789,'[2]LC Dynamic'!$Q$2:$U$542,5,FALSE)</f>
        <v>0.69199999999999995</v>
      </c>
      <c r="I789" s="77">
        <f t="shared" si="2252"/>
        <v>1</v>
      </c>
      <c r="J789" s="77">
        <f t="shared" si="2253"/>
        <v>6.9728499999999985E-2</v>
      </c>
      <c r="K789" s="77">
        <f t="shared" si="2327"/>
        <v>5.632878498097682E-3</v>
      </c>
      <c r="L789" s="76">
        <v>0</v>
      </c>
      <c r="M789" s="77">
        <f t="shared" si="2263"/>
        <v>0</v>
      </c>
      <c r="N789" s="77">
        <f t="shared" si="2264"/>
        <v>0</v>
      </c>
      <c r="O789" s="77">
        <f t="shared" si="2265"/>
        <v>5.6775999999999997E-3</v>
      </c>
      <c r="P789" s="77">
        <f t="shared" si="2266"/>
        <v>4.7436902124819991E-4</v>
      </c>
      <c r="R789" t="s">
        <v>177</v>
      </c>
      <c r="S789" t="s">
        <v>179</v>
      </c>
      <c r="T789" s="197" t="str">
        <f t="shared" si="2321"/>
        <v>Autopilot_Dynamic_298</v>
      </c>
      <c r="U789">
        <v>298</v>
      </c>
      <c r="V789">
        <f>VLOOKUP($U789,'[2]AP Dynamic'!$Q$1:$T$542,2,FALSE)</f>
        <v>0.88888888888888884</v>
      </c>
      <c r="W789">
        <f>VLOOKUP($U789,'[2]AP Dynamic'!$Q$1:$T$542,3,FALSE)</f>
        <v>0.11111111111111116</v>
      </c>
      <c r="X789">
        <f>VLOOKUP($U789,'[2]AP Dynamic'!$Q$1:$T$542,4,FALSE)</f>
        <v>0</v>
      </c>
      <c r="Y789" s="77">
        <f t="shared" si="2322"/>
        <v>1</v>
      </c>
      <c r="Z789" s="77">
        <f t="shared" si="2328"/>
        <v>6.3149999999999984E-2</v>
      </c>
      <c r="AA789" s="77">
        <f t="shared" si="2329"/>
        <v>5.1160591879111372E-3</v>
      </c>
      <c r="AB789" s="79">
        <v>1</v>
      </c>
      <c r="AC789" s="77">
        <f t="shared" si="2267"/>
        <v>8.277777777777778E-3</v>
      </c>
      <c r="AD789" s="77">
        <f t="shared" ref="AD789" si="2480">1-(1-AC789)^(1/12)</f>
        <v>6.9244588451522482E-4</v>
      </c>
      <c r="AE789" s="77">
        <f t="shared" si="2269"/>
        <v>2.5000000000000001E-3</v>
      </c>
      <c r="AF789" s="77">
        <f t="shared" ref="AF789" si="2481">1-(1-AE789)^(1/12)</f>
        <v>2.0857243058891584E-4</v>
      </c>
      <c r="AH789" t="s">
        <v>175</v>
      </c>
      <c r="AI789" t="s">
        <v>179</v>
      </c>
      <c r="AJ789" s="197" t="str">
        <f t="shared" si="2256"/>
        <v>Lifecycle_Dynamic_298</v>
      </c>
      <c r="AK789">
        <v>298</v>
      </c>
      <c r="AL789">
        <f>VLOOKUP($U789,[2]Standard_Dynamic!$Q$1:$T$542,2,FALSE)</f>
        <v>0.88888888888888884</v>
      </c>
      <c r="AM789">
        <f>VLOOKUP($U789,[2]Standard_Dynamic!$Q$1:$T$542,3,FALSE)</f>
        <v>0.11111111111111116</v>
      </c>
      <c r="AN789">
        <f>VLOOKUP($U789,[2]Standard_Dynamic!$Q$1:$T$542,4,FALSE)</f>
        <v>0</v>
      </c>
      <c r="AO789" s="77">
        <f t="shared" si="2257"/>
        <v>1</v>
      </c>
      <c r="AP789" s="77">
        <f t="shared" si="2271"/>
        <v>6.3149999999999984E-2</v>
      </c>
      <c r="AQ789" s="77">
        <f t="shared" si="2258"/>
        <v>5.1160591879111372E-3</v>
      </c>
      <c r="AR789" s="79">
        <v>0</v>
      </c>
      <c r="AS789" s="77">
        <f t="shared" si="2272"/>
        <v>0</v>
      </c>
      <c r="AT789" s="77">
        <f t="shared" ref="AT789" si="2482">1-(1-AS789)^(1/12)</f>
        <v>0</v>
      </c>
      <c r="AU789" s="77">
        <f t="shared" si="2274"/>
        <v>2.5000000000000001E-3</v>
      </c>
      <c r="AV789" s="77">
        <f t="shared" ref="AV789" si="2483">1-(1-AU789)^(1/12)</f>
        <v>2.0857243058891584E-4</v>
      </c>
      <c r="AX789" t="s">
        <v>178</v>
      </c>
      <c r="AY789" t="s">
        <v>162</v>
      </c>
      <c r="AZ789" s="197" t="str">
        <f t="shared" si="2354"/>
        <v>DIS_Standard_298</v>
      </c>
      <c r="BA789">
        <v>298</v>
      </c>
      <c r="BB789">
        <f>VLOOKUP($BA789,'[2]Standard DIS'!$Q$1:$X$542,4,FALSE)</f>
        <v>0</v>
      </c>
      <c r="BF789">
        <f>VLOOKUP($BA789,'[2]Standard DIS'!$Q$1:$X$542,2,FALSE)</f>
        <v>0.88888888888888884</v>
      </c>
      <c r="BH789">
        <f>VLOOKUP($BA789,'[2]Standard DIS'!$Q$1:$X$542,3,FALSE)</f>
        <v>0.11111111111111116</v>
      </c>
      <c r="BI789" s="77">
        <f t="shared" si="2261"/>
        <v>1</v>
      </c>
      <c r="BJ789" s="77">
        <f t="shared" si="2262"/>
        <v>6.3149999999999984E-2</v>
      </c>
      <c r="BK789" s="77">
        <f t="shared" si="2355"/>
        <v>5.1160591879111372E-3</v>
      </c>
      <c r="BL789" s="79">
        <v>0</v>
      </c>
      <c r="BM789" s="77">
        <f t="shared" si="2276"/>
        <v>0</v>
      </c>
      <c r="BN789" s="77">
        <f t="shared" si="2277"/>
        <v>0</v>
      </c>
      <c r="BO789" s="77">
        <f t="shared" si="2278"/>
        <v>2.5000000000000001E-3</v>
      </c>
      <c r="BP789" s="77">
        <f t="shared" si="2279"/>
        <v>2.0809499864316017E-4</v>
      </c>
    </row>
    <row r="790" spans="1:68">
      <c r="A790" t="s">
        <v>175</v>
      </c>
      <c r="B790" t="s">
        <v>179</v>
      </c>
      <c r="C790" s="197" t="str">
        <f t="shared" si="2320"/>
        <v>Lifecycle_Dynamic_297</v>
      </c>
      <c r="D790">
        <v>297</v>
      </c>
      <c r="E790">
        <f>VLOOKUP($D790,'[2]LC Dynamic'!$Q$2:$U$542,2,FALSE)</f>
        <v>0</v>
      </c>
      <c r="F790">
        <f>VLOOKUP($D790,'[2]LC Dynamic'!$Q$2:$U$542,3,FALSE)</f>
        <v>0</v>
      </c>
      <c r="G790">
        <f>VLOOKUP($D790,'[2]LC Dynamic'!$Q$2:$U$542,4,FALSE)</f>
        <v>0.308</v>
      </c>
      <c r="H790">
        <f>VLOOKUP($D790,'[2]LC Dynamic'!$Q$2:$U$542,5,FALSE)</f>
        <v>0.69199999999999995</v>
      </c>
      <c r="I790" s="77">
        <f t="shared" si="2252"/>
        <v>1</v>
      </c>
      <c r="J790" s="77">
        <f t="shared" si="2253"/>
        <v>6.9728499999999985E-2</v>
      </c>
      <c r="K790" s="77">
        <f t="shared" si="2327"/>
        <v>5.632878498097682E-3</v>
      </c>
      <c r="L790" s="76">
        <v>0</v>
      </c>
      <c r="M790" s="77">
        <f t="shared" si="2263"/>
        <v>0</v>
      </c>
      <c r="N790" s="77">
        <f t="shared" si="2264"/>
        <v>0</v>
      </c>
      <c r="O790" s="77">
        <f t="shared" si="2265"/>
        <v>5.6775999999999997E-3</v>
      </c>
      <c r="P790" s="77">
        <f t="shared" si="2266"/>
        <v>4.7436902124819991E-4</v>
      </c>
      <c r="R790" t="s">
        <v>177</v>
      </c>
      <c r="S790" t="s">
        <v>179</v>
      </c>
      <c r="T790" s="197" t="str">
        <f t="shared" si="2321"/>
        <v>Autopilot_Dynamic_297</v>
      </c>
      <c r="U790">
        <v>297</v>
      </c>
      <c r="V790">
        <f>VLOOKUP($U790,'[2]AP Dynamic'!$Q$1:$T$542,2,FALSE)</f>
        <v>0.88888888888888884</v>
      </c>
      <c r="W790">
        <f>VLOOKUP($U790,'[2]AP Dynamic'!$Q$1:$T$542,3,FALSE)</f>
        <v>0.11111111111111116</v>
      </c>
      <c r="X790">
        <f>VLOOKUP($U790,'[2]AP Dynamic'!$Q$1:$T$542,4,FALSE)</f>
        <v>0</v>
      </c>
      <c r="Y790" s="77">
        <f t="shared" si="2322"/>
        <v>1</v>
      </c>
      <c r="Z790" s="77">
        <f t="shared" si="2328"/>
        <v>6.3149999999999984E-2</v>
      </c>
      <c r="AA790" s="77">
        <f t="shared" si="2329"/>
        <v>5.1160591879111372E-3</v>
      </c>
      <c r="AB790" s="79">
        <v>1</v>
      </c>
      <c r="AC790" s="77">
        <f t="shared" si="2267"/>
        <v>8.277777777777778E-3</v>
      </c>
      <c r="AD790" s="77">
        <f t="shared" ref="AD790" si="2484">1-(1-AC790)^(1/12)</f>
        <v>6.9244588451522482E-4</v>
      </c>
      <c r="AE790" s="77">
        <f t="shared" si="2269"/>
        <v>2.5000000000000001E-3</v>
      </c>
      <c r="AF790" s="77">
        <f t="shared" ref="AF790" si="2485">1-(1-AE790)^(1/12)</f>
        <v>2.0857243058891584E-4</v>
      </c>
      <c r="AH790" t="s">
        <v>175</v>
      </c>
      <c r="AI790" t="s">
        <v>179</v>
      </c>
      <c r="AJ790" s="197" t="str">
        <f t="shared" si="2256"/>
        <v>Lifecycle_Dynamic_297</v>
      </c>
      <c r="AK790">
        <v>297</v>
      </c>
      <c r="AL790">
        <f>VLOOKUP($U790,[2]Standard_Dynamic!$Q$1:$T$542,2,FALSE)</f>
        <v>0.88888888888888884</v>
      </c>
      <c r="AM790">
        <f>VLOOKUP($U790,[2]Standard_Dynamic!$Q$1:$T$542,3,FALSE)</f>
        <v>0.11111111111111116</v>
      </c>
      <c r="AN790">
        <f>VLOOKUP($U790,[2]Standard_Dynamic!$Q$1:$T$542,4,FALSE)</f>
        <v>0</v>
      </c>
      <c r="AO790" s="77">
        <f t="shared" si="2257"/>
        <v>1</v>
      </c>
      <c r="AP790" s="77">
        <f t="shared" si="2271"/>
        <v>6.3149999999999984E-2</v>
      </c>
      <c r="AQ790" s="77">
        <f t="shared" si="2258"/>
        <v>5.1160591879111372E-3</v>
      </c>
      <c r="AR790" s="79">
        <v>0</v>
      </c>
      <c r="AS790" s="77">
        <f t="shared" si="2272"/>
        <v>0</v>
      </c>
      <c r="AT790" s="77">
        <f t="shared" ref="AT790" si="2486">1-(1-AS790)^(1/12)</f>
        <v>0</v>
      </c>
      <c r="AU790" s="77">
        <f t="shared" si="2274"/>
        <v>2.5000000000000001E-3</v>
      </c>
      <c r="AV790" s="77">
        <f t="shared" ref="AV790" si="2487">1-(1-AU790)^(1/12)</f>
        <v>2.0857243058891584E-4</v>
      </c>
      <c r="AX790" t="s">
        <v>178</v>
      </c>
      <c r="AY790" t="s">
        <v>162</v>
      </c>
      <c r="AZ790" s="197" t="str">
        <f t="shared" si="2354"/>
        <v>DIS_Standard_297</v>
      </c>
      <c r="BA790">
        <v>297</v>
      </c>
      <c r="BB790">
        <f>VLOOKUP($BA790,'[2]Standard DIS'!$Q$1:$X$542,4,FALSE)</f>
        <v>0</v>
      </c>
      <c r="BF790">
        <f>VLOOKUP($BA790,'[2]Standard DIS'!$Q$1:$X$542,2,FALSE)</f>
        <v>0.88888888888888884</v>
      </c>
      <c r="BH790">
        <f>VLOOKUP($BA790,'[2]Standard DIS'!$Q$1:$X$542,3,FALSE)</f>
        <v>0.11111111111111116</v>
      </c>
      <c r="BI790" s="77">
        <f t="shared" si="2261"/>
        <v>1</v>
      </c>
      <c r="BJ790" s="77">
        <f t="shared" si="2262"/>
        <v>6.3149999999999984E-2</v>
      </c>
      <c r="BK790" s="77">
        <f t="shared" si="2355"/>
        <v>5.1160591879111372E-3</v>
      </c>
      <c r="BL790" s="79">
        <v>0</v>
      </c>
      <c r="BM790" s="77">
        <f t="shared" si="2276"/>
        <v>0</v>
      </c>
      <c r="BN790" s="77">
        <f t="shared" si="2277"/>
        <v>0</v>
      </c>
      <c r="BO790" s="77">
        <f t="shared" si="2278"/>
        <v>2.5000000000000001E-3</v>
      </c>
      <c r="BP790" s="77">
        <f t="shared" si="2279"/>
        <v>2.0809499864316017E-4</v>
      </c>
    </row>
    <row r="791" spans="1:68">
      <c r="A791" t="s">
        <v>175</v>
      </c>
      <c r="B791" t="s">
        <v>179</v>
      </c>
      <c r="C791" s="197" t="str">
        <f t="shared" si="2320"/>
        <v>Lifecycle_Dynamic_296</v>
      </c>
      <c r="D791">
        <v>296</v>
      </c>
      <c r="E791">
        <f>VLOOKUP($D791,'[2]LC Dynamic'!$Q$2:$U$542,2,FALSE)</f>
        <v>0</v>
      </c>
      <c r="F791">
        <f>VLOOKUP($D791,'[2]LC Dynamic'!$Q$2:$U$542,3,FALSE)</f>
        <v>0</v>
      </c>
      <c r="G791">
        <f>VLOOKUP($D791,'[2]LC Dynamic'!$Q$2:$U$542,4,FALSE)</f>
        <v>0.308</v>
      </c>
      <c r="H791">
        <f>VLOOKUP($D791,'[2]LC Dynamic'!$Q$2:$U$542,5,FALSE)</f>
        <v>0.69199999999999995</v>
      </c>
      <c r="I791" s="77">
        <f t="shared" si="2252"/>
        <v>1</v>
      </c>
      <c r="J791" s="77">
        <f t="shared" si="2253"/>
        <v>6.9728499999999985E-2</v>
      </c>
      <c r="K791" s="77">
        <f t="shared" si="2327"/>
        <v>5.632878498097682E-3</v>
      </c>
      <c r="L791" s="76">
        <v>0</v>
      </c>
      <c r="M791" s="77">
        <f t="shared" si="2263"/>
        <v>0</v>
      </c>
      <c r="N791" s="77">
        <f t="shared" si="2264"/>
        <v>0</v>
      </c>
      <c r="O791" s="77">
        <f t="shared" si="2265"/>
        <v>5.6775999999999997E-3</v>
      </c>
      <c r="P791" s="77">
        <f t="shared" si="2266"/>
        <v>4.7436902124819991E-4</v>
      </c>
      <c r="R791" t="s">
        <v>177</v>
      </c>
      <c r="S791" t="s">
        <v>179</v>
      </c>
      <c r="T791" s="197" t="str">
        <f t="shared" si="2321"/>
        <v>Autopilot_Dynamic_296</v>
      </c>
      <c r="U791">
        <v>296</v>
      </c>
      <c r="V791">
        <f>VLOOKUP($U791,'[2]AP Dynamic'!$Q$1:$T$542,2,FALSE)</f>
        <v>0.88888888888888884</v>
      </c>
      <c r="W791">
        <f>VLOOKUP($U791,'[2]AP Dynamic'!$Q$1:$T$542,3,FALSE)</f>
        <v>0.11111111111111116</v>
      </c>
      <c r="X791">
        <f>VLOOKUP($U791,'[2]AP Dynamic'!$Q$1:$T$542,4,FALSE)</f>
        <v>0</v>
      </c>
      <c r="Y791" s="77">
        <f t="shared" si="2322"/>
        <v>1</v>
      </c>
      <c r="Z791" s="77">
        <f t="shared" si="2328"/>
        <v>6.3149999999999984E-2</v>
      </c>
      <c r="AA791" s="77">
        <f t="shared" si="2329"/>
        <v>5.1160591879111372E-3</v>
      </c>
      <c r="AB791" s="79">
        <v>1</v>
      </c>
      <c r="AC791" s="77">
        <f t="shared" si="2267"/>
        <v>8.277777777777778E-3</v>
      </c>
      <c r="AD791" s="77">
        <f t="shared" ref="AD791" si="2488">1-(1-AC791)^(1/12)</f>
        <v>6.9244588451522482E-4</v>
      </c>
      <c r="AE791" s="77">
        <f t="shared" si="2269"/>
        <v>2.5000000000000001E-3</v>
      </c>
      <c r="AF791" s="77">
        <f t="shared" ref="AF791" si="2489">1-(1-AE791)^(1/12)</f>
        <v>2.0857243058891584E-4</v>
      </c>
      <c r="AH791" t="s">
        <v>175</v>
      </c>
      <c r="AI791" t="s">
        <v>179</v>
      </c>
      <c r="AJ791" s="197" t="str">
        <f t="shared" si="2256"/>
        <v>Lifecycle_Dynamic_296</v>
      </c>
      <c r="AK791">
        <v>296</v>
      </c>
      <c r="AL791">
        <f>VLOOKUP($U791,[2]Standard_Dynamic!$Q$1:$T$542,2,FALSE)</f>
        <v>0.88888888888888884</v>
      </c>
      <c r="AM791">
        <f>VLOOKUP($U791,[2]Standard_Dynamic!$Q$1:$T$542,3,FALSE)</f>
        <v>0.11111111111111116</v>
      </c>
      <c r="AN791">
        <f>VLOOKUP($U791,[2]Standard_Dynamic!$Q$1:$T$542,4,FALSE)</f>
        <v>0</v>
      </c>
      <c r="AO791" s="77">
        <f t="shared" si="2257"/>
        <v>1</v>
      </c>
      <c r="AP791" s="77">
        <f t="shared" si="2271"/>
        <v>6.3149999999999984E-2</v>
      </c>
      <c r="AQ791" s="77">
        <f t="shared" si="2258"/>
        <v>5.1160591879111372E-3</v>
      </c>
      <c r="AR791" s="79">
        <v>0</v>
      </c>
      <c r="AS791" s="77">
        <f t="shared" si="2272"/>
        <v>0</v>
      </c>
      <c r="AT791" s="77">
        <f t="shared" ref="AT791" si="2490">1-(1-AS791)^(1/12)</f>
        <v>0</v>
      </c>
      <c r="AU791" s="77">
        <f t="shared" si="2274"/>
        <v>2.5000000000000001E-3</v>
      </c>
      <c r="AV791" s="77">
        <f t="shared" ref="AV791" si="2491">1-(1-AU791)^(1/12)</f>
        <v>2.0857243058891584E-4</v>
      </c>
      <c r="AX791" t="s">
        <v>178</v>
      </c>
      <c r="AY791" t="s">
        <v>162</v>
      </c>
      <c r="AZ791" s="197" t="str">
        <f t="shared" si="2354"/>
        <v>DIS_Standard_296</v>
      </c>
      <c r="BA791">
        <v>296</v>
      </c>
      <c r="BB791">
        <f>VLOOKUP($BA791,'[2]Standard DIS'!$Q$1:$X$542,4,FALSE)</f>
        <v>0</v>
      </c>
      <c r="BF791">
        <f>VLOOKUP($BA791,'[2]Standard DIS'!$Q$1:$X$542,2,FALSE)</f>
        <v>0.88888888888888884</v>
      </c>
      <c r="BH791">
        <f>VLOOKUP($BA791,'[2]Standard DIS'!$Q$1:$X$542,3,FALSE)</f>
        <v>0.11111111111111116</v>
      </c>
      <c r="BI791" s="77">
        <f t="shared" si="2261"/>
        <v>1</v>
      </c>
      <c r="BJ791" s="77">
        <f t="shared" si="2262"/>
        <v>6.3149999999999984E-2</v>
      </c>
      <c r="BK791" s="77">
        <f t="shared" si="2355"/>
        <v>5.1160591879111372E-3</v>
      </c>
      <c r="BL791" s="79">
        <v>0</v>
      </c>
      <c r="BM791" s="77">
        <f t="shared" si="2276"/>
        <v>0</v>
      </c>
      <c r="BN791" s="77">
        <f t="shared" si="2277"/>
        <v>0</v>
      </c>
      <c r="BO791" s="77">
        <f t="shared" si="2278"/>
        <v>2.5000000000000001E-3</v>
      </c>
      <c r="BP791" s="77">
        <f t="shared" si="2279"/>
        <v>2.0809499864316017E-4</v>
      </c>
    </row>
    <row r="792" spans="1:68">
      <c r="A792" t="s">
        <v>175</v>
      </c>
      <c r="B792" t="s">
        <v>179</v>
      </c>
      <c r="C792" s="197" t="str">
        <f t="shared" si="2320"/>
        <v>Lifecycle_Dynamic_295</v>
      </c>
      <c r="D792">
        <v>295</v>
      </c>
      <c r="E792">
        <f>VLOOKUP($D792,'[2]LC Dynamic'!$Q$2:$U$542,2,FALSE)</f>
        <v>0</v>
      </c>
      <c r="F792">
        <f>VLOOKUP($D792,'[2]LC Dynamic'!$Q$2:$U$542,3,FALSE)</f>
        <v>0</v>
      </c>
      <c r="G792">
        <f>VLOOKUP($D792,'[2]LC Dynamic'!$Q$2:$U$542,4,FALSE)</f>
        <v>0.308</v>
      </c>
      <c r="H792">
        <f>VLOOKUP($D792,'[2]LC Dynamic'!$Q$2:$U$542,5,FALSE)</f>
        <v>0.69199999999999995</v>
      </c>
      <c r="I792" s="77">
        <f t="shared" si="2252"/>
        <v>1</v>
      </c>
      <c r="J792" s="77">
        <f t="shared" si="2253"/>
        <v>6.9728499999999985E-2</v>
      </c>
      <c r="K792" s="77">
        <f t="shared" si="2327"/>
        <v>5.632878498097682E-3</v>
      </c>
      <c r="L792" s="76">
        <v>0</v>
      </c>
      <c r="M792" s="77">
        <f t="shared" si="2263"/>
        <v>0</v>
      </c>
      <c r="N792" s="77">
        <f t="shared" si="2264"/>
        <v>0</v>
      </c>
      <c r="O792" s="77">
        <f t="shared" si="2265"/>
        <v>5.6775999999999997E-3</v>
      </c>
      <c r="P792" s="77">
        <f t="shared" si="2266"/>
        <v>4.7436902124819991E-4</v>
      </c>
      <c r="R792" t="s">
        <v>177</v>
      </c>
      <c r="S792" t="s">
        <v>179</v>
      </c>
      <c r="T792" s="197" t="str">
        <f t="shared" si="2321"/>
        <v>Autopilot_Dynamic_295</v>
      </c>
      <c r="U792">
        <v>295</v>
      </c>
      <c r="V792">
        <f>VLOOKUP($U792,'[2]AP Dynamic'!$Q$1:$T$542,2,FALSE)</f>
        <v>0.88888888888888884</v>
      </c>
      <c r="W792">
        <f>VLOOKUP($U792,'[2]AP Dynamic'!$Q$1:$T$542,3,FALSE)</f>
        <v>0.11111111111111116</v>
      </c>
      <c r="X792">
        <f>VLOOKUP($U792,'[2]AP Dynamic'!$Q$1:$T$542,4,FALSE)</f>
        <v>0</v>
      </c>
      <c r="Y792" s="77">
        <f t="shared" si="2322"/>
        <v>1</v>
      </c>
      <c r="Z792" s="77">
        <f t="shared" si="2328"/>
        <v>6.3149999999999984E-2</v>
      </c>
      <c r="AA792" s="77">
        <f t="shared" si="2329"/>
        <v>5.1160591879111372E-3</v>
      </c>
      <c r="AB792" s="79">
        <v>1</v>
      </c>
      <c r="AC792" s="77">
        <f t="shared" si="2267"/>
        <v>8.277777777777778E-3</v>
      </c>
      <c r="AD792" s="77">
        <f t="shared" ref="AD792" si="2492">1-(1-AC792)^(1/12)</f>
        <v>6.9244588451522482E-4</v>
      </c>
      <c r="AE792" s="77">
        <f t="shared" si="2269"/>
        <v>2.5000000000000001E-3</v>
      </c>
      <c r="AF792" s="77">
        <f t="shared" ref="AF792" si="2493">1-(1-AE792)^(1/12)</f>
        <v>2.0857243058891584E-4</v>
      </c>
      <c r="AH792" t="s">
        <v>175</v>
      </c>
      <c r="AI792" t="s">
        <v>179</v>
      </c>
      <c r="AJ792" s="197" t="str">
        <f t="shared" si="2256"/>
        <v>Lifecycle_Dynamic_295</v>
      </c>
      <c r="AK792">
        <v>295</v>
      </c>
      <c r="AL792">
        <f>VLOOKUP($U792,[2]Standard_Dynamic!$Q$1:$T$542,2,FALSE)</f>
        <v>0.88888888888888884</v>
      </c>
      <c r="AM792">
        <f>VLOOKUP($U792,[2]Standard_Dynamic!$Q$1:$T$542,3,FALSE)</f>
        <v>0.11111111111111116</v>
      </c>
      <c r="AN792">
        <f>VLOOKUP($U792,[2]Standard_Dynamic!$Q$1:$T$542,4,FALSE)</f>
        <v>0</v>
      </c>
      <c r="AO792" s="77">
        <f t="shared" si="2257"/>
        <v>1</v>
      </c>
      <c r="AP792" s="77">
        <f t="shared" si="2271"/>
        <v>6.3149999999999984E-2</v>
      </c>
      <c r="AQ792" s="77">
        <f t="shared" si="2258"/>
        <v>5.1160591879111372E-3</v>
      </c>
      <c r="AR792" s="79">
        <v>0</v>
      </c>
      <c r="AS792" s="77">
        <f t="shared" si="2272"/>
        <v>0</v>
      </c>
      <c r="AT792" s="77">
        <f t="shared" ref="AT792" si="2494">1-(1-AS792)^(1/12)</f>
        <v>0</v>
      </c>
      <c r="AU792" s="77">
        <f t="shared" si="2274"/>
        <v>2.5000000000000001E-3</v>
      </c>
      <c r="AV792" s="77">
        <f t="shared" ref="AV792" si="2495">1-(1-AU792)^(1/12)</f>
        <v>2.0857243058891584E-4</v>
      </c>
      <c r="AX792" t="s">
        <v>178</v>
      </c>
      <c r="AY792" t="s">
        <v>162</v>
      </c>
      <c r="AZ792" s="197" t="str">
        <f t="shared" si="2354"/>
        <v>DIS_Standard_295</v>
      </c>
      <c r="BA792">
        <v>295</v>
      </c>
      <c r="BB792">
        <f>VLOOKUP($BA792,'[2]Standard DIS'!$Q$1:$X$542,4,FALSE)</f>
        <v>0</v>
      </c>
      <c r="BF792">
        <f>VLOOKUP($BA792,'[2]Standard DIS'!$Q$1:$X$542,2,FALSE)</f>
        <v>0.88888888888888884</v>
      </c>
      <c r="BH792">
        <f>VLOOKUP($BA792,'[2]Standard DIS'!$Q$1:$X$542,3,FALSE)</f>
        <v>0.11111111111111116</v>
      </c>
      <c r="BI792" s="77">
        <f t="shared" si="2261"/>
        <v>1</v>
      </c>
      <c r="BJ792" s="77">
        <f t="shared" si="2262"/>
        <v>6.3149999999999984E-2</v>
      </c>
      <c r="BK792" s="77">
        <f t="shared" si="2355"/>
        <v>5.1160591879111372E-3</v>
      </c>
      <c r="BL792" s="79">
        <v>0</v>
      </c>
      <c r="BM792" s="77">
        <f t="shared" si="2276"/>
        <v>0</v>
      </c>
      <c r="BN792" s="77">
        <f t="shared" si="2277"/>
        <v>0</v>
      </c>
      <c r="BO792" s="77">
        <f t="shared" si="2278"/>
        <v>2.5000000000000001E-3</v>
      </c>
      <c r="BP792" s="77">
        <f t="shared" si="2279"/>
        <v>2.0809499864316017E-4</v>
      </c>
    </row>
    <row r="793" spans="1:68">
      <c r="A793" t="s">
        <v>175</v>
      </c>
      <c r="B793" t="s">
        <v>179</v>
      </c>
      <c r="C793" s="197" t="str">
        <f t="shared" si="2320"/>
        <v>Lifecycle_Dynamic_294</v>
      </c>
      <c r="D793">
        <v>294</v>
      </c>
      <c r="E793">
        <f>VLOOKUP($D793,'[2]LC Dynamic'!$Q$2:$U$542,2,FALSE)</f>
        <v>0</v>
      </c>
      <c r="F793">
        <f>VLOOKUP($D793,'[2]LC Dynamic'!$Q$2:$U$542,3,FALSE)</f>
        <v>0</v>
      </c>
      <c r="G793">
        <f>VLOOKUP($D793,'[2]LC Dynamic'!$Q$2:$U$542,4,FALSE)</f>
        <v>0.308</v>
      </c>
      <c r="H793">
        <f>VLOOKUP($D793,'[2]LC Dynamic'!$Q$2:$U$542,5,FALSE)</f>
        <v>0.69199999999999995</v>
      </c>
      <c r="I793" s="77">
        <f t="shared" si="2252"/>
        <v>1</v>
      </c>
      <c r="J793" s="77">
        <f t="shared" si="2253"/>
        <v>6.9728499999999985E-2</v>
      </c>
      <c r="K793" s="77">
        <f t="shared" si="2327"/>
        <v>5.632878498097682E-3</v>
      </c>
      <c r="L793" s="76">
        <v>0</v>
      </c>
      <c r="M793" s="77">
        <f t="shared" si="2263"/>
        <v>0</v>
      </c>
      <c r="N793" s="77">
        <f t="shared" si="2264"/>
        <v>0</v>
      </c>
      <c r="O793" s="77">
        <f t="shared" si="2265"/>
        <v>5.6775999999999997E-3</v>
      </c>
      <c r="P793" s="77">
        <f t="shared" si="2266"/>
        <v>4.7436902124819991E-4</v>
      </c>
      <c r="R793" t="s">
        <v>177</v>
      </c>
      <c r="S793" t="s">
        <v>179</v>
      </c>
      <c r="T793" s="197" t="str">
        <f t="shared" si="2321"/>
        <v>Autopilot_Dynamic_294</v>
      </c>
      <c r="U793">
        <v>294</v>
      </c>
      <c r="V793">
        <f>VLOOKUP($U793,'[2]AP Dynamic'!$Q$1:$T$542,2,FALSE)</f>
        <v>0.88888888888888884</v>
      </c>
      <c r="W793">
        <f>VLOOKUP($U793,'[2]AP Dynamic'!$Q$1:$T$542,3,FALSE)</f>
        <v>0.11111111111111116</v>
      </c>
      <c r="X793">
        <f>VLOOKUP($U793,'[2]AP Dynamic'!$Q$1:$T$542,4,FALSE)</f>
        <v>0</v>
      </c>
      <c r="Y793" s="77">
        <f t="shared" si="2322"/>
        <v>1</v>
      </c>
      <c r="Z793" s="77">
        <f t="shared" si="2328"/>
        <v>6.3149999999999984E-2</v>
      </c>
      <c r="AA793" s="77">
        <f t="shared" si="2329"/>
        <v>5.1160591879111372E-3</v>
      </c>
      <c r="AB793" s="79">
        <v>1</v>
      </c>
      <c r="AC793" s="77">
        <f t="shared" si="2267"/>
        <v>8.277777777777778E-3</v>
      </c>
      <c r="AD793" s="77">
        <f t="shared" ref="AD793" si="2496">1-(1-AC793)^(1/12)</f>
        <v>6.9244588451522482E-4</v>
      </c>
      <c r="AE793" s="77">
        <f t="shared" si="2269"/>
        <v>2.5000000000000001E-3</v>
      </c>
      <c r="AF793" s="77">
        <f t="shared" ref="AF793" si="2497">1-(1-AE793)^(1/12)</f>
        <v>2.0857243058891584E-4</v>
      </c>
      <c r="AH793" t="s">
        <v>175</v>
      </c>
      <c r="AI793" t="s">
        <v>179</v>
      </c>
      <c r="AJ793" s="197" t="str">
        <f t="shared" si="2256"/>
        <v>Lifecycle_Dynamic_294</v>
      </c>
      <c r="AK793">
        <v>294</v>
      </c>
      <c r="AL793">
        <f>VLOOKUP($U793,[2]Standard_Dynamic!$Q$1:$T$542,2,FALSE)</f>
        <v>0.88888888888888884</v>
      </c>
      <c r="AM793">
        <f>VLOOKUP($U793,[2]Standard_Dynamic!$Q$1:$T$542,3,FALSE)</f>
        <v>0.11111111111111116</v>
      </c>
      <c r="AN793">
        <f>VLOOKUP($U793,[2]Standard_Dynamic!$Q$1:$T$542,4,FALSE)</f>
        <v>0</v>
      </c>
      <c r="AO793" s="77">
        <f t="shared" si="2257"/>
        <v>1</v>
      </c>
      <c r="AP793" s="77">
        <f t="shared" si="2271"/>
        <v>6.3149999999999984E-2</v>
      </c>
      <c r="AQ793" s="77">
        <f t="shared" si="2258"/>
        <v>5.1160591879111372E-3</v>
      </c>
      <c r="AR793" s="79">
        <v>0</v>
      </c>
      <c r="AS793" s="77">
        <f t="shared" si="2272"/>
        <v>0</v>
      </c>
      <c r="AT793" s="77">
        <f t="shared" ref="AT793" si="2498">1-(1-AS793)^(1/12)</f>
        <v>0</v>
      </c>
      <c r="AU793" s="77">
        <f t="shared" si="2274"/>
        <v>2.5000000000000001E-3</v>
      </c>
      <c r="AV793" s="77">
        <f t="shared" ref="AV793" si="2499">1-(1-AU793)^(1/12)</f>
        <v>2.0857243058891584E-4</v>
      </c>
      <c r="AX793" t="s">
        <v>178</v>
      </c>
      <c r="AY793" t="s">
        <v>162</v>
      </c>
      <c r="AZ793" s="197" t="str">
        <f t="shared" si="2354"/>
        <v>DIS_Standard_294</v>
      </c>
      <c r="BA793">
        <v>294</v>
      </c>
      <c r="BB793">
        <f>VLOOKUP($BA793,'[2]Standard DIS'!$Q$1:$X$542,4,FALSE)</f>
        <v>0</v>
      </c>
      <c r="BF793">
        <f>VLOOKUP($BA793,'[2]Standard DIS'!$Q$1:$X$542,2,FALSE)</f>
        <v>0.88888888888888884</v>
      </c>
      <c r="BH793">
        <f>VLOOKUP($BA793,'[2]Standard DIS'!$Q$1:$X$542,3,FALSE)</f>
        <v>0.11111111111111116</v>
      </c>
      <c r="BI793" s="77">
        <f t="shared" si="2261"/>
        <v>1</v>
      </c>
      <c r="BJ793" s="77">
        <f t="shared" si="2262"/>
        <v>6.3149999999999984E-2</v>
      </c>
      <c r="BK793" s="77">
        <f t="shared" si="2355"/>
        <v>5.1160591879111372E-3</v>
      </c>
      <c r="BL793" s="79">
        <v>0</v>
      </c>
      <c r="BM793" s="77">
        <f t="shared" si="2276"/>
        <v>0</v>
      </c>
      <c r="BN793" s="77">
        <f t="shared" si="2277"/>
        <v>0</v>
      </c>
      <c r="BO793" s="77">
        <f t="shared" si="2278"/>
        <v>2.5000000000000001E-3</v>
      </c>
      <c r="BP793" s="77">
        <f t="shared" si="2279"/>
        <v>2.0809499864316017E-4</v>
      </c>
    </row>
    <row r="794" spans="1:68">
      <c r="A794" t="s">
        <v>175</v>
      </c>
      <c r="B794" t="s">
        <v>179</v>
      </c>
      <c r="C794" s="197" t="str">
        <f t="shared" si="2320"/>
        <v>Lifecycle_Dynamic_293</v>
      </c>
      <c r="D794">
        <v>293</v>
      </c>
      <c r="E794">
        <f>VLOOKUP($D794,'[2]LC Dynamic'!$Q$2:$U$542,2,FALSE)</f>
        <v>0</v>
      </c>
      <c r="F794">
        <f>VLOOKUP($D794,'[2]LC Dynamic'!$Q$2:$U$542,3,FALSE)</f>
        <v>0</v>
      </c>
      <c r="G794">
        <f>VLOOKUP($D794,'[2]LC Dynamic'!$Q$2:$U$542,4,FALSE)</f>
        <v>0.308</v>
      </c>
      <c r="H794">
        <f>VLOOKUP($D794,'[2]LC Dynamic'!$Q$2:$U$542,5,FALSE)</f>
        <v>0.69199999999999995</v>
      </c>
      <c r="I794" s="77">
        <f t="shared" si="2252"/>
        <v>1</v>
      </c>
      <c r="J794" s="77">
        <f t="shared" si="2253"/>
        <v>6.9728499999999985E-2</v>
      </c>
      <c r="K794" s="77">
        <f t="shared" si="2327"/>
        <v>5.632878498097682E-3</v>
      </c>
      <c r="L794" s="76">
        <v>0</v>
      </c>
      <c r="M794" s="77">
        <f t="shared" si="2263"/>
        <v>0</v>
      </c>
      <c r="N794" s="77">
        <f t="shared" si="2264"/>
        <v>0</v>
      </c>
      <c r="O794" s="77">
        <f t="shared" si="2265"/>
        <v>5.6775999999999997E-3</v>
      </c>
      <c r="P794" s="77">
        <f t="shared" si="2266"/>
        <v>4.7436902124819991E-4</v>
      </c>
      <c r="R794" t="s">
        <v>177</v>
      </c>
      <c r="S794" t="s">
        <v>179</v>
      </c>
      <c r="T794" s="197" t="str">
        <f t="shared" si="2321"/>
        <v>Autopilot_Dynamic_293</v>
      </c>
      <c r="U794">
        <v>293</v>
      </c>
      <c r="V794">
        <f>VLOOKUP($U794,'[2]AP Dynamic'!$Q$1:$T$542,2,FALSE)</f>
        <v>0.88888888888888884</v>
      </c>
      <c r="W794">
        <f>VLOOKUP($U794,'[2]AP Dynamic'!$Q$1:$T$542,3,FALSE)</f>
        <v>0.11111111111111116</v>
      </c>
      <c r="X794">
        <f>VLOOKUP($U794,'[2]AP Dynamic'!$Q$1:$T$542,4,FALSE)</f>
        <v>0</v>
      </c>
      <c r="Y794" s="77">
        <f t="shared" si="2322"/>
        <v>1</v>
      </c>
      <c r="Z794" s="77">
        <f t="shared" si="2328"/>
        <v>6.3149999999999984E-2</v>
      </c>
      <c r="AA794" s="77">
        <f t="shared" si="2329"/>
        <v>5.1160591879111372E-3</v>
      </c>
      <c r="AB794" s="79">
        <v>1</v>
      </c>
      <c r="AC794" s="77">
        <f t="shared" si="2267"/>
        <v>8.277777777777778E-3</v>
      </c>
      <c r="AD794" s="77">
        <f t="shared" ref="AD794" si="2500">1-(1-AC794)^(1/12)</f>
        <v>6.9244588451522482E-4</v>
      </c>
      <c r="AE794" s="77">
        <f t="shared" si="2269"/>
        <v>2.5000000000000001E-3</v>
      </c>
      <c r="AF794" s="77">
        <f t="shared" ref="AF794" si="2501">1-(1-AE794)^(1/12)</f>
        <v>2.0857243058891584E-4</v>
      </c>
      <c r="AH794" t="s">
        <v>175</v>
      </c>
      <c r="AI794" t="s">
        <v>179</v>
      </c>
      <c r="AJ794" s="197" t="str">
        <f t="shared" si="2256"/>
        <v>Lifecycle_Dynamic_293</v>
      </c>
      <c r="AK794">
        <v>293</v>
      </c>
      <c r="AL794">
        <f>VLOOKUP($U794,[2]Standard_Dynamic!$Q$1:$T$542,2,FALSE)</f>
        <v>0.88888888888888884</v>
      </c>
      <c r="AM794">
        <f>VLOOKUP($U794,[2]Standard_Dynamic!$Q$1:$T$542,3,FALSE)</f>
        <v>0.11111111111111116</v>
      </c>
      <c r="AN794">
        <f>VLOOKUP($U794,[2]Standard_Dynamic!$Q$1:$T$542,4,FALSE)</f>
        <v>0</v>
      </c>
      <c r="AO794" s="77">
        <f t="shared" si="2257"/>
        <v>1</v>
      </c>
      <c r="AP794" s="77">
        <f t="shared" si="2271"/>
        <v>6.3149999999999984E-2</v>
      </c>
      <c r="AQ794" s="77">
        <f t="shared" si="2258"/>
        <v>5.1160591879111372E-3</v>
      </c>
      <c r="AR794" s="79">
        <v>0</v>
      </c>
      <c r="AS794" s="77">
        <f t="shared" si="2272"/>
        <v>0</v>
      </c>
      <c r="AT794" s="77">
        <f t="shared" ref="AT794" si="2502">1-(1-AS794)^(1/12)</f>
        <v>0</v>
      </c>
      <c r="AU794" s="77">
        <f t="shared" si="2274"/>
        <v>2.5000000000000001E-3</v>
      </c>
      <c r="AV794" s="77">
        <f t="shared" ref="AV794" si="2503">1-(1-AU794)^(1/12)</f>
        <v>2.0857243058891584E-4</v>
      </c>
      <c r="AX794" t="s">
        <v>178</v>
      </c>
      <c r="AY794" t="s">
        <v>162</v>
      </c>
      <c r="AZ794" s="197" t="str">
        <f t="shared" si="2354"/>
        <v>DIS_Standard_293</v>
      </c>
      <c r="BA794">
        <v>293</v>
      </c>
      <c r="BB794">
        <f>VLOOKUP($BA794,'[2]Standard DIS'!$Q$1:$X$542,4,FALSE)</f>
        <v>0</v>
      </c>
      <c r="BF794">
        <f>VLOOKUP($BA794,'[2]Standard DIS'!$Q$1:$X$542,2,FALSE)</f>
        <v>0.88888888888888884</v>
      </c>
      <c r="BH794">
        <f>VLOOKUP($BA794,'[2]Standard DIS'!$Q$1:$X$542,3,FALSE)</f>
        <v>0.11111111111111116</v>
      </c>
      <c r="BI794" s="77">
        <f t="shared" si="2261"/>
        <v>1</v>
      </c>
      <c r="BJ794" s="77">
        <f t="shared" si="2262"/>
        <v>6.3149999999999984E-2</v>
      </c>
      <c r="BK794" s="77">
        <f t="shared" si="2355"/>
        <v>5.1160591879111372E-3</v>
      </c>
      <c r="BL794" s="79">
        <v>0</v>
      </c>
      <c r="BM794" s="77">
        <f t="shared" si="2276"/>
        <v>0</v>
      </c>
      <c r="BN794" s="77">
        <f t="shared" si="2277"/>
        <v>0</v>
      </c>
      <c r="BO794" s="77">
        <f t="shared" si="2278"/>
        <v>2.5000000000000001E-3</v>
      </c>
      <c r="BP794" s="77">
        <f t="shared" si="2279"/>
        <v>2.0809499864316017E-4</v>
      </c>
    </row>
    <row r="795" spans="1:68">
      <c r="A795" t="s">
        <v>175</v>
      </c>
      <c r="B795" t="s">
        <v>179</v>
      </c>
      <c r="C795" s="197" t="str">
        <f t="shared" si="2320"/>
        <v>Lifecycle_Dynamic_292</v>
      </c>
      <c r="D795">
        <v>292</v>
      </c>
      <c r="E795">
        <f>VLOOKUP($D795,'[2]LC Dynamic'!$Q$2:$U$542,2,FALSE)</f>
        <v>0</v>
      </c>
      <c r="F795">
        <f>VLOOKUP($D795,'[2]LC Dynamic'!$Q$2:$U$542,3,FALSE)</f>
        <v>0</v>
      </c>
      <c r="G795">
        <f>VLOOKUP($D795,'[2]LC Dynamic'!$Q$2:$U$542,4,FALSE)</f>
        <v>0.308</v>
      </c>
      <c r="H795">
        <f>VLOOKUP($D795,'[2]LC Dynamic'!$Q$2:$U$542,5,FALSE)</f>
        <v>0.69199999999999995</v>
      </c>
      <c r="I795" s="77">
        <f t="shared" si="2252"/>
        <v>1</v>
      </c>
      <c r="J795" s="77">
        <f t="shared" si="2253"/>
        <v>6.9728499999999985E-2</v>
      </c>
      <c r="K795" s="77">
        <f t="shared" si="2327"/>
        <v>5.632878498097682E-3</v>
      </c>
      <c r="L795" s="76">
        <v>0</v>
      </c>
      <c r="M795" s="77">
        <f t="shared" si="2263"/>
        <v>0</v>
      </c>
      <c r="N795" s="77">
        <f t="shared" si="2264"/>
        <v>0</v>
      </c>
      <c r="O795" s="77">
        <f t="shared" si="2265"/>
        <v>5.6775999999999997E-3</v>
      </c>
      <c r="P795" s="77">
        <f t="shared" si="2266"/>
        <v>4.7436902124819991E-4</v>
      </c>
      <c r="R795" t="s">
        <v>177</v>
      </c>
      <c r="S795" t="s">
        <v>179</v>
      </c>
      <c r="T795" s="197" t="str">
        <f t="shared" si="2321"/>
        <v>Autopilot_Dynamic_292</v>
      </c>
      <c r="U795">
        <v>292</v>
      </c>
      <c r="V795">
        <f>VLOOKUP($U795,'[2]AP Dynamic'!$Q$1:$T$542,2,FALSE)</f>
        <v>0.88888888888888884</v>
      </c>
      <c r="W795">
        <f>VLOOKUP($U795,'[2]AP Dynamic'!$Q$1:$T$542,3,FALSE)</f>
        <v>0.11111111111111116</v>
      </c>
      <c r="X795">
        <f>VLOOKUP($U795,'[2]AP Dynamic'!$Q$1:$T$542,4,FALSE)</f>
        <v>0</v>
      </c>
      <c r="Y795" s="77">
        <f t="shared" si="2322"/>
        <v>1</v>
      </c>
      <c r="Z795" s="77">
        <f t="shared" si="2328"/>
        <v>6.3149999999999984E-2</v>
      </c>
      <c r="AA795" s="77">
        <f t="shared" si="2329"/>
        <v>5.1160591879111372E-3</v>
      </c>
      <c r="AB795" s="79">
        <v>1</v>
      </c>
      <c r="AC795" s="77">
        <f t="shared" si="2267"/>
        <v>8.277777777777778E-3</v>
      </c>
      <c r="AD795" s="77">
        <f t="shared" ref="AD795" si="2504">1-(1-AC795)^(1/12)</f>
        <v>6.9244588451522482E-4</v>
      </c>
      <c r="AE795" s="77">
        <f t="shared" si="2269"/>
        <v>2.5000000000000001E-3</v>
      </c>
      <c r="AF795" s="77">
        <f t="shared" ref="AF795" si="2505">1-(1-AE795)^(1/12)</f>
        <v>2.0857243058891584E-4</v>
      </c>
      <c r="AH795" t="s">
        <v>175</v>
      </c>
      <c r="AI795" t="s">
        <v>179</v>
      </c>
      <c r="AJ795" s="197" t="str">
        <f t="shared" si="2256"/>
        <v>Lifecycle_Dynamic_292</v>
      </c>
      <c r="AK795">
        <v>292</v>
      </c>
      <c r="AL795">
        <f>VLOOKUP($U795,[2]Standard_Dynamic!$Q$1:$T$542,2,FALSE)</f>
        <v>0.88888888888888884</v>
      </c>
      <c r="AM795">
        <f>VLOOKUP($U795,[2]Standard_Dynamic!$Q$1:$T$542,3,FALSE)</f>
        <v>0.11111111111111116</v>
      </c>
      <c r="AN795">
        <f>VLOOKUP($U795,[2]Standard_Dynamic!$Q$1:$T$542,4,FALSE)</f>
        <v>0</v>
      </c>
      <c r="AO795" s="77">
        <f t="shared" si="2257"/>
        <v>1</v>
      </c>
      <c r="AP795" s="77">
        <f t="shared" si="2271"/>
        <v>6.3149999999999984E-2</v>
      </c>
      <c r="AQ795" s="77">
        <f t="shared" si="2258"/>
        <v>5.1160591879111372E-3</v>
      </c>
      <c r="AR795" s="79">
        <v>0</v>
      </c>
      <c r="AS795" s="77">
        <f t="shared" si="2272"/>
        <v>0</v>
      </c>
      <c r="AT795" s="77">
        <f t="shared" ref="AT795" si="2506">1-(1-AS795)^(1/12)</f>
        <v>0</v>
      </c>
      <c r="AU795" s="77">
        <f t="shared" si="2274"/>
        <v>2.5000000000000001E-3</v>
      </c>
      <c r="AV795" s="77">
        <f t="shared" ref="AV795" si="2507">1-(1-AU795)^(1/12)</f>
        <v>2.0857243058891584E-4</v>
      </c>
      <c r="AX795" t="s">
        <v>178</v>
      </c>
      <c r="AY795" t="s">
        <v>162</v>
      </c>
      <c r="AZ795" s="197" t="str">
        <f t="shared" si="2354"/>
        <v>DIS_Standard_292</v>
      </c>
      <c r="BA795">
        <v>292</v>
      </c>
      <c r="BB795">
        <f>VLOOKUP($BA795,'[2]Standard DIS'!$Q$1:$X$542,4,FALSE)</f>
        <v>0</v>
      </c>
      <c r="BF795">
        <f>VLOOKUP($BA795,'[2]Standard DIS'!$Q$1:$X$542,2,FALSE)</f>
        <v>0.88888888888888884</v>
      </c>
      <c r="BH795">
        <f>VLOOKUP($BA795,'[2]Standard DIS'!$Q$1:$X$542,3,FALSE)</f>
        <v>0.11111111111111116</v>
      </c>
      <c r="BI795" s="77">
        <f t="shared" si="2261"/>
        <v>1</v>
      </c>
      <c r="BJ795" s="77">
        <f t="shared" si="2262"/>
        <v>6.3149999999999984E-2</v>
      </c>
      <c r="BK795" s="77">
        <f t="shared" si="2355"/>
        <v>5.1160591879111372E-3</v>
      </c>
      <c r="BL795" s="79">
        <v>0</v>
      </c>
      <c r="BM795" s="77">
        <f t="shared" si="2276"/>
        <v>0</v>
      </c>
      <c r="BN795" s="77">
        <f t="shared" si="2277"/>
        <v>0</v>
      </c>
      <c r="BO795" s="77">
        <f t="shared" si="2278"/>
        <v>2.5000000000000001E-3</v>
      </c>
      <c r="BP795" s="77">
        <f t="shared" si="2279"/>
        <v>2.0809499864316017E-4</v>
      </c>
    </row>
    <row r="796" spans="1:68">
      <c r="A796" t="s">
        <v>175</v>
      </c>
      <c r="B796" t="s">
        <v>179</v>
      </c>
      <c r="C796" s="197" t="str">
        <f t="shared" si="2320"/>
        <v>Lifecycle_Dynamic_291</v>
      </c>
      <c r="D796">
        <v>291</v>
      </c>
      <c r="E796">
        <f>VLOOKUP($D796,'[2]LC Dynamic'!$Q$2:$U$542,2,FALSE)</f>
        <v>0</v>
      </c>
      <c r="F796">
        <f>VLOOKUP($D796,'[2]LC Dynamic'!$Q$2:$U$542,3,FALSE)</f>
        <v>0</v>
      </c>
      <c r="G796">
        <f>VLOOKUP($D796,'[2]LC Dynamic'!$Q$2:$U$542,4,FALSE)</f>
        <v>0.308</v>
      </c>
      <c r="H796">
        <f>VLOOKUP($D796,'[2]LC Dynamic'!$Q$2:$U$542,5,FALSE)</f>
        <v>0.69199999999999995</v>
      </c>
      <c r="I796" s="77">
        <f t="shared" si="2252"/>
        <v>1</v>
      </c>
      <c r="J796" s="77">
        <f t="shared" si="2253"/>
        <v>6.9728499999999985E-2</v>
      </c>
      <c r="K796" s="77">
        <f t="shared" si="2327"/>
        <v>5.632878498097682E-3</v>
      </c>
      <c r="L796" s="76">
        <v>0</v>
      </c>
      <c r="M796" s="77">
        <f t="shared" si="2263"/>
        <v>0</v>
      </c>
      <c r="N796" s="77">
        <f t="shared" si="2264"/>
        <v>0</v>
      </c>
      <c r="O796" s="77">
        <f t="shared" si="2265"/>
        <v>5.6775999999999997E-3</v>
      </c>
      <c r="P796" s="77">
        <f t="shared" si="2266"/>
        <v>4.7436902124819991E-4</v>
      </c>
      <c r="R796" t="s">
        <v>177</v>
      </c>
      <c r="S796" t="s">
        <v>179</v>
      </c>
      <c r="T796" s="197" t="str">
        <f t="shared" si="2321"/>
        <v>Autopilot_Dynamic_291</v>
      </c>
      <c r="U796">
        <v>291</v>
      </c>
      <c r="V796">
        <f>VLOOKUP($U796,'[2]AP Dynamic'!$Q$1:$T$542,2,FALSE)</f>
        <v>0.88888888888888884</v>
      </c>
      <c r="W796">
        <f>VLOOKUP($U796,'[2]AP Dynamic'!$Q$1:$T$542,3,FALSE)</f>
        <v>0.11111111111111116</v>
      </c>
      <c r="X796">
        <f>VLOOKUP($U796,'[2]AP Dynamic'!$Q$1:$T$542,4,FALSE)</f>
        <v>0</v>
      </c>
      <c r="Y796" s="77">
        <f t="shared" si="2322"/>
        <v>1</v>
      </c>
      <c r="Z796" s="77">
        <f t="shared" si="2328"/>
        <v>6.3149999999999984E-2</v>
      </c>
      <c r="AA796" s="77">
        <f t="shared" si="2329"/>
        <v>5.1160591879111372E-3</v>
      </c>
      <c r="AB796" s="79">
        <v>1</v>
      </c>
      <c r="AC796" s="77">
        <f t="shared" si="2267"/>
        <v>8.277777777777778E-3</v>
      </c>
      <c r="AD796" s="77">
        <f t="shared" ref="AD796" si="2508">1-(1-AC796)^(1/12)</f>
        <v>6.9244588451522482E-4</v>
      </c>
      <c r="AE796" s="77">
        <f t="shared" si="2269"/>
        <v>2.5000000000000001E-3</v>
      </c>
      <c r="AF796" s="77">
        <f t="shared" ref="AF796" si="2509">1-(1-AE796)^(1/12)</f>
        <v>2.0857243058891584E-4</v>
      </c>
      <c r="AH796" t="s">
        <v>175</v>
      </c>
      <c r="AI796" t="s">
        <v>179</v>
      </c>
      <c r="AJ796" s="197" t="str">
        <f t="shared" si="2256"/>
        <v>Lifecycle_Dynamic_291</v>
      </c>
      <c r="AK796">
        <v>291</v>
      </c>
      <c r="AL796">
        <f>VLOOKUP($U796,[2]Standard_Dynamic!$Q$1:$T$542,2,FALSE)</f>
        <v>0.88888888888888884</v>
      </c>
      <c r="AM796">
        <f>VLOOKUP($U796,[2]Standard_Dynamic!$Q$1:$T$542,3,FALSE)</f>
        <v>0.11111111111111116</v>
      </c>
      <c r="AN796">
        <f>VLOOKUP($U796,[2]Standard_Dynamic!$Q$1:$T$542,4,FALSE)</f>
        <v>0</v>
      </c>
      <c r="AO796" s="77">
        <f t="shared" si="2257"/>
        <v>1</v>
      </c>
      <c r="AP796" s="77">
        <f t="shared" si="2271"/>
        <v>6.3149999999999984E-2</v>
      </c>
      <c r="AQ796" s="77">
        <f t="shared" si="2258"/>
        <v>5.1160591879111372E-3</v>
      </c>
      <c r="AR796" s="79">
        <v>0</v>
      </c>
      <c r="AS796" s="77">
        <f t="shared" si="2272"/>
        <v>0</v>
      </c>
      <c r="AT796" s="77">
        <f t="shared" ref="AT796" si="2510">1-(1-AS796)^(1/12)</f>
        <v>0</v>
      </c>
      <c r="AU796" s="77">
        <f t="shared" si="2274"/>
        <v>2.5000000000000001E-3</v>
      </c>
      <c r="AV796" s="77">
        <f t="shared" ref="AV796" si="2511">1-(1-AU796)^(1/12)</f>
        <v>2.0857243058891584E-4</v>
      </c>
      <c r="AX796" t="s">
        <v>178</v>
      </c>
      <c r="AY796" t="s">
        <v>162</v>
      </c>
      <c r="AZ796" s="197" t="str">
        <f t="shared" si="2354"/>
        <v>DIS_Standard_291</v>
      </c>
      <c r="BA796">
        <v>291</v>
      </c>
      <c r="BB796">
        <f>VLOOKUP($BA796,'[2]Standard DIS'!$Q$1:$X$542,4,FALSE)</f>
        <v>0</v>
      </c>
      <c r="BF796">
        <f>VLOOKUP($BA796,'[2]Standard DIS'!$Q$1:$X$542,2,FALSE)</f>
        <v>0.88888888888888884</v>
      </c>
      <c r="BH796">
        <f>VLOOKUP($BA796,'[2]Standard DIS'!$Q$1:$X$542,3,FALSE)</f>
        <v>0.11111111111111116</v>
      </c>
      <c r="BI796" s="77">
        <f t="shared" si="2261"/>
        <v>1</v>
      </c>
      <c r="BJ796" s="77">
        <f t="shared" si="2262"/>
        <v>6.3149999999999984E-2</v>
      </c>
      <c r="BK796" s="77">
        <f t="shared" si="2355"/>
        <v>5.1160591879111372E-3</v>
      </c>
      <c r="BL796" s="79">
        <v>0</v>
      </c>
      <c r="BM796" s="77">
        <f t="shared" si="2276"/>
        <v>0</v>
      </c>
      <c r="BN796" s="77">
        <f t="shared" si="2277"/>
        <v>0</v>
      </c>
      <c r="BO796" s="77">
        <f t="shared" si="2278"/>
        <v>2.5000000000000001E-3</v>
      </c>
      <c r="BP796" s="77">
        <f t="shared" si="2279"/>
        <v>2.0809499864316017E-4</v>
      </c>
    </row>
    <row r="797" spans="1:68">
      <c r="A797" t="s">
        <v>175</v>
      </c>
      <c r="B797" t="s">
        <v>179</v>
      </c>
      <c r="C797" s="197" t="str">
        <f t="shared" si="2320"/>
        <v>Lifecycle_Dynamic_290</v>
      </c>
      <c r="D797">
        <v>290</v>
      </c>
      <c r="E797">
        <f>VLOOKUP($D797,'[2]LC Dynamic'!$Q$2:$U$542,2,FALSE)</f>
        <v>0</v>
      </c>
      <c r="F797">
        <f>VLOOKUP($D797,'[2]LC Dynamic'!$Q$2:$U$542,3,FALSE)</f>
        <v>0</v>
      </c>
      <c r="G797">
        <f>VLOOKUP($D797,'[2]LC Dynamic'!$Q$2:$U$542,4,FALSE)</f>
        <v>0.308</v>
      </c>
      <c r="H797">
        <f>VLOOKUP($D797,'[2]LC Dynamic'!$Q$2:$U$542,5,FALSE)</f>
        <v>0.69199999999999995</v>
      </c>
      <c r="I797" s="77">
        <f t="shared" si="2252"/>
        <v>1</v>
      </c>
      <c r="J797" s="77">
        <f t="shared" si="2253"/>
        <v>6.9728499999999985E-2</v>
      </c>
      <c r="K797" s="77">
        <f t="shared" si="2327"/>
        <v>5.632878498097682E-3</v>
      </c>
      <c r="L797" s="76">
        <v>0</v>
      </c>
      <c r="M797" s="77">
        <f t="shared" si="2263"/>
        <v>0</v>
      </c>
      <c r="N797" s="77">
        <f t="shared" si="2264"/>
        <v>0</v>
      </c>
      <c r="O797" s="77">
        <f t="shared" si="2265"/>
        <v>5.6775999999999997E-3</v>
      </c>
      <c r="P797" s="77">
        <f t="shared" si="2266"/>
        <v>4.7436902124819991E-4</v>
      </c>
      <c r="R797" t="s">
        <v>177</v>
      </c>
      <c r="S797" t="s">
        <v>179</v>
      </c>
      <c r="T797" s="197" t="str">
        <f t="shared" si="2321"/>
        <v>Autopilot_Dynamic_290</v>
      </c>
      <c r="U797">
        <v>290</v>
      </c>
      <c r="V797">
        <f>VLOOKUP($U797,'[2]AP Dynamic'!$Q$1:$T$542,2,FALSE)</f>
        <v>0.88888888888888884</v>
      </c>
      <c r="W797">
        <f>VLOOKUP($U797,'[2]AP Dynamic'!$Q$1:$T$542,3,FALSE)</f>
        <v>0.11111111111111116</v>
      </c>
      <c r="X797">
        <f>VLOOKUP($U797,'[2]AP Dynamic'!$Q$1:$T$542,4,FALSE)</f>
        <v>0</v>
      </c>
      <c r="Y797" s="77">
        <f t="shared" si="2322"/>
        <v>1</v>
      </c>
      <c r="Z797" s="77">
        <f t="shared" si="2328"/>
        <v>6.3149999999999984E-2</v>
      </c>
      <c r="AA797" s="77">
        <f t="shared" si="2329"/>
        <v>5.1160591879111372E-3</v>
      </c>
      <c r="AB797" s="79">
        <v>1</v>
      </c>
      <c r="AC797" s="77">
        <f t="shared" si="2267"/>
        <v>8.277777777777778E-3</v>
      </c>
      <c r="AD797" s="77">
        <f t="shared" ref="AD797" si="2512">1-(1-AC797)^(1/12)</f>
        <v>6.9244588451522482E-4</v>
      </c>
      <c r="AE797" s="77">
        <f t="shared" si="2269"/>
        <v>2.5000000000000001E-3</v>
      </c>
      <c r="AF797" s="77">
        <f t="shared" ref="AF797" si="2513">1-(1-AE797)^(1/12)</f>
        <v>2.0857243058891584E-4</v>
      </c>
      <c r="AH797" t="s">
        <v>175</v>
      </c>
      <c r="AI797" t="s">
        <v>179</v>
      </c>
      <c r="AJ797" s="197" t="str">
        <f t="shared" si="2256"/>
        <v>Lifecycle_Dynamic_290</v>
      </c>
      <c r="AK797">
        <v>290</v>
      </c>
      <c r="AL797">
        <f>VLOOKUP($U797,[2]Standard_Dynamic!$Q$1:$T$542,2,FALSE)</f>
        <v>0.88888888888888884</v>
      </c>
      <c r="AM797">
        <f>VLOOKUP($U797,[2]Standard_Dynamic!$Q$1:$T$542,3,FALSE)</f>
        <v>0.11111111111111116</v>
      </c>
      <c r="AN797">
        <f>VLOOKUP($U797,[2]Standard_Dynamic!$Q$1:$T$542,4,FALSE)</f>
        <v>0</v>
      </c>
      <c r="AO797" s="77">
        <f t="shared" si="2257"/>
        <v>1</v>
      </c>
      <c r="AP797" s="77">
        <f t="shared" si="2271"/>
        <v>6.3149999999999984E-2</v>
      </c>
      <c r="AQ797" s="77">
        <f t="shared" si="2258"/>
        <v>5.1160591879111372E-3</v>
      </c>
      <c r="AR797" s="79">
        <v>0</v>
      </c>
      <c r="AS797" s="77">
        <f t="shared" si="2272"/>
        <v>0</v>
      </c>
      <c r="AT797" s="77">
        <f t="shared" ref="AT797" si="2514">1-(1-AS797)^(1/12)</f>
        <v>0</v>
      </c>
      <c r="AU797" s="77">
        <f t="shared" si="2274"/>
        <v>2.5000000000000001E-3</v>
      </c>
      <c r="AV797" s="77">
        <f t="shared" ref="AV797" si="2515">1-(1-AU797)^(1/12)</f>
        <v>2.0857243058891584E-4</v>
      </c>
      <c r="AX797" t="s">
        <v>178</v>
      </c>
      <c r="AY797" t="s">
        <v>162</v>
      </c>
      <c r="AZ797" s="197" t="str">
        <f t="shared" si="2354"/>
        <v>DIS_Standard_290</v>
      </c>
      <c r="BA797">
        <v>290</v>
      </c>
      <c r="BB797">
        <f>VLOOKUP($BA797,'[2]Standard DIS'!$Q$1:$X$542,4,FALSE)</f>
        <v>0</v>
      </c>
      <c r="BF797">
        <f>VLOOKUP($BA797,'[2]Standard DIS'!$Q$1:$X$542,2,FALSE)</f>
        <v>0.88888888888888884</v>
      </c>
      <c r="BH797">
        <f>VLOOKUP($BA797,'[2]Standard DIS'!$Q$1:$X$542,3,FALSE)</f>
        <v>0.11111111111111116</v>
      </c>
      <c r="BI797" s="77">
        <f t="shared" si="2261"/>
        <v>1</v>
      </c>
      <c r="BJ797" s="77">
        <f t="shared" si="2262"/>
        <v>6.3149999999999984E-2</v>
      </c>
      <c r="BK797" s="77">
        <f t="shared" si="2355"/>
        <v>5.1160591879111372E-3</v>
      </c>
      <c r="BL797" s="79">
        <v>0</v>
      </c>
      <c r="BM797" s="77">
        <f t="shared" si="2276"/>
        <v>0</v>
      </c>
      <c r="BN797" s="77">
        <f t="shared" si="2277"/>
        <v>0</v>
      </c>
      <c r="BO797" s="77">
        <f t="shared" si="2278"/>
        <v>2.5000000000000001E-3</v>
      </c>
      <c r="BP797" s="77">
        <f t="shared" si="2279"/>
        <v>2.0809499864316017E-4</v>
      </c>
    </row>
    <row r="798" spans="1:68">
      <c r="A798" t="s">
        <v>175</v>
      </c>
      <c r="B798" t="s">
        <v>179</v>
      </c>
      <c r="C798" s="197" t="str">
        <f t="shared" si="2320"/>
        <v>Lifecycle_Dynamic_289</v>
      </c>
      <c r="D798">
        <v>289</v>
      </c>
      <c r="E798">
        <f>VLOOKUP($D798,'[2]LC Dynamic'!$Q$2:$U$542,2,FALSE)</f>
        <v>0</v>
      </c>
      <c r="F798">
        <f>VLOOKUP($D798,'[2]LC Dynamic'!$Q$2:$U$542,3,FALSE)</f>
        <v>0</v>
      </c>
      <c r="G798">
        <f>VLOOKUP($D798,'[2]LC Dynamic'!$Q$2:$U$542,4,FALSE)</f>
        <v>0.308</v>
      </c>
      <c r="H798">
        <f>VLOOKUP($D798,'[2]LC Dynamic'!$Q$2:$U$542,5,FALSE)</f>
        <v>0.69199999999999995</v>
      </c>
      <c r="I798" s="77">
        <f t="shared" si="2252"/>
        <v>1</v>
      </c>
      <c r="J798" s="77">
        <f t="shared" si="2253"/>
        <v>6.9728499999999985E-2</v>
      </c>
      <c r="K798" s="77">
        <f t="shared" si="2327"/>
        <v>5.632878498097682E-3</v>
      </c>
      <c r="L798" s="76">
        <v>0</v>
      </c>
      <c r="M798" s="77">
        <f t="shared" si="2263"/>
        <v>0</v>
      </c>
      <c r="N798" s="77">
        <f t="shared" si="2264"/>
        <v>0</v>
      </c>
      <c r="O798" s="77">
        <f t="shared" si="2265"/>
        <v>5.6775999999999997E-3</v>
      </c>
      <c r="P798" s="77">
        <f t="shared" si="2266"/>
        <v>4.7436902124819991E-4</v>
      </c>
      <c r="R798" t="s">
        <v>177</v>
      </c>
      <c r="S798" t="s">
        <v>179</v>
      </c>
      <c r="T798" s="197" t="str">
        <f t="shared" si="2321"/>
        <v>Autopilot_Dynamic_289</v>
      </c>
      <c r="U798">
        <v>289</v>
      </c>
      <c r="V798">
        <f>VLOOKUP($U798,'[2]AP Dynamic'!$Q$1:$T$542,2,FALSE)</f>
        <v>0.88888888888888884</v>
      </c>
      <c r="W798">
        <f>VLOOKUP($U798,'[2]AP Dynamic'!$Q$1:$T$542,3,FALSE)</f>
        <v>0.11111111111111116</v>
      </c>
      <c r="X798">
        <f>VLOOKUP($U798,'[2]AP Dynamic'!$Q$1:$T$542,4,FALSE)</f>
        <v>0</v>
      </c>
      <c r="Y798" s="77">
        <f t="shared" si="2322"/>
        <v>1</v>
      </c>
      <c r="Z798" s="77">
        <f t="shared" si="2328"/>
        <v>6.3149999999999984E-2</v>
      </c>
      <c r="AA798" s="77">
        <f t="shared" si="2329"/>
        <v>5.1160591879111372E-3</v>
      </c>
      <c r="AB798" s="79">
        <v>1</v>
      </c>
      <c r="AC798" s="77">
        <f t="shared" si="2267"/>
        <v>8.277777777777778E-3</v>
      </c>
      <c r="AD798" s="77">
        <f t="shared" ref="AD798" si="2516">1-(1-AC798)^(1/12)</f>
        <v>6.9244588451522482E-4</v>
      </c>
      <c r="AE798" s="77">
        <f t="shared" si="2269"/>
        <v>2.5000000000000001E-3</v>
      </c>
      <c r="AF798" s="77">
        <f t="shared" ref="AF798" si="2517">1-(1-AE798)^(1/12)</f>
        <v>2.0857243058891584E-4</v>
      </c>
      <c r="AH798" t="s">
        <v>175</v>
      </c>
      <c r="AI798" t="s">
        <v>179</v>
      </c>
      <c r="AJ798" s="197" t="str">
        <f t="shared" si="2256"/>
        <v>Lifecycle_Dynamic_289</v>
      </c>
      <c r="AK798">
        <v>289</v>
      </c>
      <c r="AL798">
        <f>VLOOKUP($U798,[2]Standard_Dynamic!$Q$1:$T$542,2,FALSE)</f>
        <v>0.88888888888888884</v>
      </c>
      <c r="AM798">
        <f>VLOOKUP($U798,[2]Standard_Dynamic!$Q$1:$T$542,3,FALSE)</f>
        <v>0.11111111111111116</v>
      </c>
      <c r="AN798">
        <f>VLOOKUP($U798,[2]Standard_Dynamic!$Q$1:$T$542,4,FALSE)</f>
        <v>0</v>
      </c>
      <c r="AO798" s="77">
        <f t="shared" si="2257"/>
        <v>1</v>
      </c>
      <c r="AP798" s="77">
        <f t="shared" si="2271"/>
        <v>6.3149999999999984E-2</v>
      </c>
      <c r="AQ798" s="77">
        <f t="shared" si="2258"/>
        <v>5.1160591879111372E-3</v>
      </c>
      <c r="AR798" s="79">
        <v>0</v>
      </c>
      <c r="AS798" s="77">
        <f t="shared" si="2272"/>
        <v>0</v>
      </c>
      <c r="AT798" s="77">
        <f t="shared" ref="AT798" si="2518">1-(1-AS798)^(1/12)</f>
        <v>0</v>
      </c>
      <c r="AU798" s="77">
        <f t="shared" si="2274"/>
        <v>2.5000000000000001E-3</v>
      </c>
      <c r="AV798" s="77">
        <f t="shared" ref="AV798" si="2519">1-(1-AU798)^(1/12)</f>
        <v>2.0857243058891584E-4</v>
      </c>
      <c r="AX798" t="s">
        <v>178</v>
      </c>
      <c r="AY798" t="s">
        <v>162</v>
      </c>
      <c r="AZ798" s="197" t="str">
        <f t="shared" si="2354"/>
        <v>DIS_Standard_289</v>
      </c>
      <c r="BA798">
        <v>289</v>
      </c>
      <c r="BB798">
        <f>VLOOKUP($BA798,'[2]Standard DIS'!$Q$1:$X$542,4,FALSE)</f>
        <v>0</v>
      </c>
      <c r="BF798">
        <f>VLOOKUP($BA798,'[2]Standard DIS'!$Q$1:$X$542,2,FALSE)</f>
        <v>0.88888888888888884</v>
      </c>
      <c r="BH798">
        <f>VLOOKUP($BA798,'[2]Standard DIS'!$Q$1:$X$542,3,FALSE)</f>
        <v>0.11111111111111116</v>
      </c>
      <c r="BI798" s="77">
        <f t="shared" si="2261"/>
        <v>1</v>
      </c>
      <c r="BJ798" s="77">
        <f t="shared" si="2262"/>
        <v>6.3149999999999984E-2</v>
      </c>
      <c r="BK798" s="77">
        <f t="shared" si="2355"/>
        <v>5.1160591879111372E-3</v>
      </c>
      <c r="BL798" s="79">
        <v>0</v>
      </c>
      <c r="BM798" s="77">
        <f t="shared" si="2276"/>
        <v>0</v>
      </c>
      <c r="BN798" s="77">
        <f t="shared" si="2277"/>
        <v>0</v>
      </c>
      <c r="BO798" s="77">
        <f t="shared" si="2278"/>
        <v>2.5000000000000001E-3</v>
      </c>
      <c r="BP798" s="77">
        <f t="shared" si="2279"/>
        <v>2.0809499864316017E-4</v>
      </c>
    </row>
    <row r="799" spans="1:68">
      <c r="A799" t="s">
        <v>175</v>
      </c>
      <c r="B799" t="s">
        <v>179</v>
      </c>
      <c r="C799" s="197" t="str">
        <f t="shared" si="2320"/>
        <v>Lifecycle_Dynamic_288</v>
      </c>
      <c r="D799">
        <v>288</v>
      </c>
      <c r="E799">
        <f>VLOOKUP($D799,'[2]LC Dynamic'!$Q$2:$U$542,2,FALSE)</f>
        <v>0</v>
      </c>
      <c r="F799">
        <f>VLOOKUP($D799,'[2]LC Dynamic'!$Q$2:$U$542,3,FALSE)</f>
        <v>0</v>
      </c>
      <c r="G799">
        <f>VLOOKUP($D799,'[2]LC Dynamic'!$Q$2:$U$542,4,FALSE)</f>
        <v>0.308</v>
      </c>
      <c r="H799">
        <f>VLOOKUP($D799,'[2]LC Dynamic'!$Q$2:$U$542,5,FALSE)</f>
        <v>0.69199999999999995</v>
      </c>
      <c r="I799" s="77">
        <f t="shared" si="2252"/>
        <v>1</v>
      </c>
      <c r="J799" s="77">
        <f t="shared" si="2253"/>
        <v>6.9728499999999985E-2</v>
      </c>
      <c r="K799" s="77">
        <f t="shared" si="2327"/>
        <v>5.632878498097682E-3</v>
      </c>
      <c r="L799" s="76">
        <v>0</v>
      </c>
      <c r="M799" s="77">
        <f t="shared" si="2263"/>
        <v>0</v>
      </c>
      <c r="N799" s="77">
        <f t="shared" si="2264"/>
        <v>0</v>
      </c>
      <c r="O799" s="77">
        <f t="shared" si="2265"/>
        <v>5.6775999999999997E-3</v>
      </c>
      <c r="P799" s="77">
        <f t="shared" si="2266"/>
        <v>4.7436902124819991E-4</v>
      </c>
      <c r="R799" t="s">
        <v>177</v>
      </c>
      <c r="S799" t="s">
        <v>179</v>
      </c>
      <c r="T799" s="197" t="str">
        <f t="shared" si="2321"/>
        <v>Autopilot_Dynamic_288</v>
      </c>
      <c r="U799">
        <v>288</v>
      </c>
      <c r="V799">
        <f>VLOOKUP($U799,'[2]AP Dynamic'!$Q$1:$T$542,2,FALSE)</f>
        <v>0.88888888888888884</v>
      </c>
      <c r="W799">
        <f>VLOOKUP($U799,'[2]AP Dynamic'!$Q$1:$T$542,3,FALSE)</f>
        <v>0.11111111111111116</v>
      </c>
      <c r="X799">
        <f>VLOOKUP($U799,'[2]AP Dynamic'!$Q$1:$T$542,4,FALSE)</f>
        <v>0</v>
      </c>
      <c r="Y799" s="77">
        <f t="shared" si="2322"/>
        <v>1</v>
      </c>
      <c r="Z799" s="77">
        <f t="shared" si="2328"/>
        <v>6.3149999999999984E-2</v>
      </c>
      <c r="AA799" s="77">
        <f t="shared" si="2329"/>
        <v>5.1160591879111372E-3</v>
      </c>
      <c r="AB799" s="79">
        <v>1</v>
      </c>
      <c r="AC799" s="77">
        <f t="shared" si="2267"/>
        <v>8.277777777777778E-3</v>
      </c>
      <c r="AD799" s="77">
        <f t="shared" ref="AD799" si="2520">1-(1-AC799)^(1/12)</f>
        <v>6.9244588451522482E-4</v>
      </c>
      <c r="AE799" s="77">
        <f t="shared" si="2269"/>
        <v>2.5000000000000001E-3</v>
      </c>
      <c r="AF799" s="77">
        <f t="shared" ref="AF799" si="2521">1-(1-AE799)^(1/12)</f>
        <v>2.0857243058891584E-4</v>
      </c>
      <c r="AH799" t="s">
        <v>175</v>
      </c>
      <c r="AI799" t="s">
        <v>179</v>
      </c>
      <c r="AJ799" s="197" t="str">
        <f t="shared" si="2256"/>
        <v>Lifecycle_Dynamic_288</v>
      </c>
      <c r="AK799">
        <v>288</v>
      </c>
      <c r="AL799">
        <f>VLOOKUP($U799,[2]Standard_Dynamic!$Q$1:$T$542,2,FALSE)</f>
        <v>0.88888888888888884</v>
      </c>
      <c r="AM799">
        <f>VLOOKUP($U799,[2]Standard_Dynamic!$Q$1:$T$542,3,FALSE)</f>
        <v>0.11111111111111116</v>
      </c>
      <c r="AN799">
        <f>VLOOKUP($U799,[2]Standard_Dynamic!$Q$1:$T$542,4,FALSE)</f>
        <v>0</v>
      </c>
      <c r="AO799" s="77">
        <f t="shared" si="2257"/>
        <v>1</v>
      </c>
      <c r="AP799" s="77">
        <f t="shared" si="2271"/>
        <v>6.3149999999999984E-2</v>
      </c>
      <c r="AQ799" s="77">
        <f t="shared" si="2258"/>
        <v>5.1160591879111372E-3</v>
      </c>
      <c r="AR799" s="79">
        <v>0</v>
      </c>
      <c r="AS799" s="77">
        <f t="shared" si="2272"/>
        <v>0</v>
      </c>
      <c r="AT799" s="77">
        <f t="shared" ref="AT799" si="2522">1-(1-AS799)^(1/12)</f>
        <v>0</v>
      </c>
      <c r="AU799" s="77">
        <f t="shared" si="2274"/>
        <v>2.5000000000000001E-3</v>
      </c>
      <c r="AV799" s="77">
        <f t="shared" ref="AV799" si="2523">1-(1-AU799)^(1/12)</f>
        <v>2.0857243058891584E-4</v>
      </c>
      <c r="AX799" t="s">
        <v>178</v>
      </c>
      <c r="AY799" t="s">
        <v>162</v>
      </c>
      <c r="AZ799" s="197" t="str">
        <f t="shared" si="2354"/>
        <v>DIS_Standard_288</v>
      </c>
      <c r="BA799">
        <v>288</v>
      </c>
      <c r="BB799">
        <f>VLOOKUP($BA799,'[2]Standard DIS'!$Q$1:$X$542,4,FALSE)</f>
        <v>0</v>
      </c>
      <c r="BF799">
        <f>VLOOKUP($BA799,'[2]Standard DIS'!$Q$1:$X$542,2,FALSE)</f>
        <v>0.88888888888888884</v>
      </c>
      <c r="BH799">
        <f>VLOOKUP($BA799,'[2]Standard DIS'!$Q$1:$X$542,3,FALSE)</f>
        <v>0.11111111111111116</v>
      </c>
      <c r="BI799" s="77">
        <f t="shared" si="2261"/>
        <v>1</v>
      </c>
      <c r="BJ799" s="77">
        <f t="shared" si="2262"/>
        <v>6.3149999999999984E-2</v>
      </c>
      <c r="BK799" s="77">
        <f t="shared" si="2355"/>
        <v>5.1160591879111372E-3</v>
      </c>
      <c r="BL799" s="79">
        <v>0</v>
      </c>
      <c r="BM799" s="77">
        <f t="shared" si="2276"/>
        <v>0</v>
      </c>
      <c r="BN799" s="77">
        <f t="shared" si="2277"/>
        <v>0</v>
      </c>
      <c r="BO799" s="77">
        <f t="shared" si="2278"/>
        <v>2.5000000000000001E-3</v>
      </c>
      <c r="BP799" s="77">
        <f t="shared" si="2279"/>
        <v>2.0809499864316017E-4</v>
      </c>
    </row>
    <row r="800" spans="1:68">
      <c r="A800" t="s">
        <v>175</v>
      </c>
      <c r="B800" t="s">
        <v>179</v>
      </c>
      <c r="C800" s="197" t="str">
        <f t="shared" si="2320"/>
        <v>Lifecycle_Dynamic_287</v>
      </c>
      <c r="D800">
        <v>287</v>
      </c>
      <c r="E800">
        <f>VLOOKUP($D800,'[2]LC Dynamic'!$Q$2:$U$542,2,FALSE)</f>
        <v>0</v>
      </c>
      <c r="F800">
        <f>VLOOKUP($D800,'[2]LC Dynamic'!$Q$2:$U$542,3,FALSE)</f>
        <v>0</v>
      </c>
      <c r="G800">
        <f>VLOOKUP($D800,'[2]LC Dynamic'!$Q$2:$U$542,4,FALSE)</f>
        <v>0.308</v>
      </c>
      <c r="H800">
        <f>VLOOKUP($D800,'[2]LC Dynamic'!$Q$2:$U$542,5,FALSE)</f>
        <v>0.69199999999999995</v>
      </c>
      <c r="I800" s="77">
        <f t="shared" si="2252"/>
        <v>1</v>
      </c>
      <c r="J800" s="77">
        <f t="shared" si="2253"/>
        <v>6.9728499999999985E-2</v>
      </c>
      <c r="K800" s="77">
        <f t="shared" si="2327"/>
        <v>5.632878498097682E-3</v>
      </c>
      <c r="L800" s="76">
        <v>0</v>
      </c>
      <c r="M800" s="77">
        <f t="shared" si="2263"/>
        <v>0</v>
      </c>
      <c r="N800" s="77">
        <f t="shared" si="2264"/>
        <v>0</v>
      </c>
      <c r="O800" s="77">
        <f t="shared" si="2265"/>
        <v>5.6775999999999997E-3</v>
      </c>
      <c r="P800" s="77">
        <f t="shared" si="2266"/>
        <v>4.7436902124819991E-4</v>
      </c>
      <c r="R800" t="s">
        <v>177</v>
      </c>
      <c r="S800" t="s">
        <v>179</v>
      </c>
      <c r="T800" s="197" t="str">
        <f t="shared" si="2321"/>
        <v>Autopilot_Dynamic_287</v>
      </c>
      <c r="U800">
        <v>287</v>
      </c>
      <c r="V800">
        <f>VLOOKUP($U800,'[2]AP Dynamic'!$Q$1:$T$542,2,FALSE)</f>
        <v>0.88888888888888884</v>
      </c>
      <c r="W800">
        <f>VLOOKUP($U800,'[2]AP Dynamic'!$Q$1:$T$542,3,FALSE)</f>
        <v>0.11111111111111116</v>
      </c>
      <c r="X800">
        <f>VLOOKUP($U800,'[2]AP Dynamic'!$Q$1:$T$542,4,FALSE)</f>
        <v>0</v>
      </c>
      <c r="Y800" s="77">
        <f t="shared" si="2322"/>
        <v>1</v>
      </c>
      <c r="Z800" s="77">
        <f t="shared" si="2328"/>
        <v>6.3149999999999984E-2</v>
      </c>
      <c r="AA800" s="77">
        <f t="shared" si="2329"/>
        <v>5.1160591879111372E-3</v>
      </c>
      <c r="AB800" s="79">
        <v>1</v>
      </c>
      <c r="AC800" s="77">
        <f t="shared" si="2267"/>
        <v>8.277777777777778E-3</v>
      </c>
      <c r="AD800" s="77">
        <f t="shared" ref="AD800" si="2524">1-(1-AC800)^(1/12)</f>
        <v>6.9244588451522482E-4</v>
      </c>
      <c r="AE800" s="77">
        <f t="shared" si="2269"/>
        <v>2.5000000000000001E-3</v>
      </c>
      <c r="AF800" s="77">
        <f t="shared" ref="AF800" si="2525">1-(1-AE800)^(1/12)</f>
        <v>2.0857243058891584E-4</v>
      </c>
      <c r="AH800" t="s">
        <v>175</v>
      </c>
      <c r="AI800" t="s">
        <v>179</v>
      </c>
      <c r="AJ800" s="197" t="str">
        <f t="shared" si="2256"/>
        <v>Lifecycle_Dynamic_287</v>
      </c>
      <c r="AK800">
        <v>287</v>
      </c>
      <c r="AL800">
        <f>VLOOKUP($U800,[2]Standard_Dynamic!$Q$1:$T$542,2,FALSE)</f>
        <v>0.88888888888888884</v>
      </c>
      <c r="AM800">
        <f>VLOOKUP($U800,[2]Standard_Dynamic!$Q$1:$T$542,3,FALSE)</f>
        <v>0.11111111111111116</v>
      </c>
      <c r="AN800">
        <f>VLOOKUP($U800,[2]Standard_Dynamic!$Q$1:$T$542,4,FALSE)</f>
        <v>0</v>
      </c>
      <c r="AO800" s="77">
        <f t="shared" si="2257"/>
        <v>1</v>
      </c>
      <c r="AP800" s="77">
        <f t="shared" si="2271"/>
        <v>6.3149999999999984E-2</v>
      </c>
      <c r="AQ800" s="77">
        <f t="shared" si="2258"/>
        <v>5.1160591879111372E-3</v>
      </c>
      <c r="AR800" s="79">
        <v>0</v>
      </c>
      <c r="AS800" s="77">
        <f t="shared" si="2272"/>
        <v>0</v>
      </c>
      <c r="AT800" s="77">
        <f t="shared" ref="AT800" si="2526">1-(1-AS800)^(1/12)</f>
        <v>0</v>
      </c>
      <c r="AU800" s="77">
        <f t="shared" si="2274"/>
        <v>2.5000000000000001E-3</v>
      </c>
      <c r="AV800" s="77">
        <f t="shared" ref="AV800" si="2527">1-(1-AU800)^(1/12)</f>
        <v>2.0857243058891584E-4</v>
      </c>
      <c r="AX800" t="s">
        <v>178</v>
      </c>
      <c r="AY800" t="s">
        <v>162</v>
      </c>
      <c r="AZ800" s="197" t="str">
        <f t="shared" si="2354"/>
        <v>DIS_Standard_287</v>
      </c>
      <c r="BA800">
        <v>287</v>
      </c>
      <c r="BB800">
        <f>VLOOKUP($BA800,'[2]Standard DIS'!$Q$1:$X$542,4,FALSE)</f>
        <v>0</v>
      </c>
      <c r="BF800">
        <f>VLOOKUP($BA800,'[2]Standard DIS'!$Q$1:$X$542,2,FALSE)</f>
        <v>0.88888888888888884</v>
      </c>
      <c r="BH800">
        <f>VLOOKUP($BA800,'[2]Standard DIS'!$Q$1:$X$542,3,FALSE)</f>
        <v>0.11111111111111116</v>
      </c>
      <c r="BI800" s="77">
        <f t="shared" si="2261"/>
        <v>1</v>
      </c>
      <c r="BJ800" s="77">
        <f t="shared" si="2262"/>
        <v>6.3149999999999984E-2</v>
      </c>
      <c r="BK800" s="77">
        <f t="shared" si="2355"/>
        <v>5.1160591879111372E-3</v>
      </c>
      <c r="BL800" s="79">
        <v>0</v>
      </c>
      <c r="BM800" s="77">
        <f t="shared" si="2276"/>
        <v>0</v>
      </c>
      <c r="BN800" s="77">
        <f t="shared" si="2277"/>
        <v>0</v>
      </c>
      <c r="BO800" s="77">
        <f t="shared" si="2278"/>
        <v>2.5000000000000001E-3</v>
      </c>
      <c r="BP800" s="77">
        <f t="shared" si="2279"/>
        <v>2.0809499864316017E-4</v>
      </c>
    </row>
    <row r="801" spans="1:68">
      <c r="A801" t="s">
        <v>175</v>
      </c>
      <c r="B801" t="s">
        <v>179</v>
      </c>
      <c r="C801" s="197" t="str">
        <f t="shared" si="2320"/>
        <v>Lifecycle_Dynamic_286</v>
      </c>
      <c r="D801">
        <v>286</v>
      </c>
      <c r="E801">
        <f>VLOOKUP($D801,'[2]LC Dynamic'!$Q$2:$U$542,2,FALSE)</f>
        <v>0</v>
      </c>
      <c r="F801">
        <f>VLOOKUP($D801,'[2]LC Dynamic'!$Q$2:$U$542,3,FALSE)</f>
        <v>0</v>
      </c>
      <c r="G801">
        <f>VLOOKUP($D801,'[2]LC Dynamic'!$Q$2:$U$542,4,FALSE)</f>
        <v>0.308</v>
      </c>
      <c r="H801">
        <f>VLOOKUP($D801,'[2]LC Dynamic'!$Q$2:$U$542,5,FALSE)</f>
        <v>0.69199999999999995</v>
      </c>
      <c r="I801" s="77">
        <f t="shared" si="2252"/>
        <v>1</v>
      </c>
      <c r="J801" s="77">
        <f t="shared" si="2253"/>
        <v>6.9728499999999985E-2</v>
      </c>
      <c r="K801" s="77">
        <f t="shared" si="2327"/>
        <v>5.632878498097682E-3</v>
      </c>
      <c r="L801" s="76">
        <v>0</v>
      </c>
      <c r="M801" s="77">
        <f t="shared" si="2263"/>
        <v>0</v>
      </c>
      <c r="N801" s="77">
        <f t="shared" si="2264"/>
        <v>0</v>
      </c>
      <c r="O801" s="77">
        <f t="shared" si="2265"/>
        <v>5.6775999999999997E-3</v>
      </c>
      <c r="P801" s="77">
        <f t="shared" si="2266"/>
        <v>4.7436902124819991E-4</v>
      </c>
      <c r="R801" t="s">
        <v>177</v>
      </c>
      <c r="S801" t="s">
        <v>179</v>
      </c>
      <c r="T801" s="197" t="str">
        <f t="shared" si="2321"/>
        <v>Autopilot_Dynamic_286</v>
      </c>
      <c r="U801">
        <v>286</v>
      </c>
      <c r="V801">
        <f>VLOOKUP($U801,'[2]AP Dynamic'!$Q$1:$T$542,2,FALSE)</f>
        <v>0.88888888888888884</v>
      </c>
      <c r="W801">
        <f>VLOOKUP($U801,'[2]AP Dynamic'!$Q$1:$T$542,3,FALSE)</f>
        <v>0.11111111111111116</v>
      </c>
      <c r="X801">
        <f>VLOOKUP($U801,'[2]AP Dynamic'!$Q$1:$T$542,4,FALSE)</f>
        <v>0</v>
      </c>
      <c r="Y801" s="77">
        <f t="shared" si="2322"/>
        <v>1</v>
      </c>
      <c r="Z801" s="77">
        <f t="shared" si="2328"/>
        <v>6.3149999999999984E-2</v>
      </c>
      <c r="AA801" s="77">
        <f t="shared" si="2329"/>
        <v>5.1160591879111372E-3</v>
      </c>
      <c r="AB801" s="79">
        <v>1</v>
      </c>
      <c r="AC801" s="77">
        <f t="shared" si="2267"/>
        <v>8.277777777777778E-3</v>
      </c>
      <c r="AD801" s="77">
        <f t="shared" ref="AD801" si="2528">1-(1-AC801)^(1/12)</f>
        <v>6.9244588451522482E-4</v>
      </c>
      <c r="AE801" s="77">
        <f t="shared" si="2269"/>
        <v>2.5000000000000001E-3</v>
      </c>
      <c r="AF801" s="77">
        <f t="shared" ref="AF801" si="2529">1-(1-AE801)^(1/12)</f>
        <v>2.0857243058891584E-4</v>
      </c>
      <c r="AH801" t="s">
        <v>175</v>
      </c>
      <c r="AI801" t="s">
        <v>179</v>
      </c>
      <c r="AJ801" s="197" t="str">
        <f t="shared" si="2256"/>
        <v>Lifecycle_Dynamic_286</v>
      </c>
      <c r="AK801">
        <v>286</v>
      </c>
      <c r="AL801">
        <f>VLOOKUP($U801,[2]Standard_Dynamic!$Q$1:$T$542,2,FALSE)</f>
        <v>0.88888888888888884</v>
      </c>
      <c r="AM801">
        <f>VLOOKUP($U801,[2]Standard_Dynamic!$Q$1:$T$542,3,FALSE)</f>
        <v>0.11111111111111116</v>
      </c>
      <c r="AN801">
        <f>VLOOKUP($U801,[2]Standard_Dynamic!$Q$1:$T$542,4,FALSE)</f>
        <v>0</v>
      </c>
      <c r="AO801" s="77">
        <f t="shared" si="2257"/>
        <v>1</v>
      </c>
      <c r="AP801" s="77">
        <f t="shared" si="2271"/>
        <v>6.3149999999999984E-2</v>
      </c>
      <c r="AQ801" s="77">
        <f t="shared" si="2258"/>
        <v>5.1160591879111372E-3</v>
      </c>
      <c r="AR801" s="79">
        <v>0</v>
      </c>
      <c r="AS801" s="77">
        <f t="shared" si="2272"/>
        <v>0</v>
      </c>
      <c r="AT801" s="77">
        <f t="shared" ref="AT801" si="2530">1-(1-AS801)^(1/12)</f>
        <v>0</v>
      </c>
      <c r="AU801" s="77">
        <f t="shared" si="2274"/>
        <v>2.5000000000000001E-3</v>
      </c>
      <c r="AV801" s="77">
        <f t="shared" ref="AV801" si="2531">1-(1-AU801)^(1/12)</f>
        <v>2.0857243058891584E-4</v>
      </c>
      <c r="AX801" t="s">
        <v>178</v>
      </c>
      <c r="AY801" t="s">
        <v>162</v>
      </c>
      <c r="AZ801" s="197" t="str">
        <f t="shared" si="2354"/>
        <v>DIS_Standard_286</v>
      </c>
      <c r="BA801">
        <v>286</v>
      </c>
      <c r="BB801">
        <f>VLOOKUP($BA801,'[2]Standard DIS'!$Q$1:$X$542,4,FALSE)</f>
        <v>0</v>
      </c>
      <c r="BF801">
        <f>VLOOKUP($BA801,'[2]Standard DIS'!$Q$1:$X$542,2,FALSE)</f>
        <v>0.88888888888888884</v>
      </c>
      <c r="BH801">
        <f>VLOOKUP($BA801,'[2]Standard DIS'!$Q$1:$X$542,3,FALSE)</f>
        <v>0.11111111111111116</v>
      </c>
      <c r="BI801" s="77">
        <f t="shared" si="2261"/>
        <v>1</v>
      </c>
      <c r="BJ801" s="77">
        <f t="shared" si="2262"/>
        <v>6.3149999999999984E-2</v>
      </c>
      <c r="BK801" s="77">
        <f t="shared" si="2355"/>
        <v>5.1160591879111372E-3</v>
      </c>
      <c r="BL801" s="79">
        <v>0</v>
      </c>
      <c r="BM801" s="77">
        <f t="shared" si="2276"/>
        <v>0</v>
      </c>
      <c r="BN801" s="77">
        <f t="shared" si="2277"/>
        <v>0</v>
      </c>
      <c r="BO801" s="77">
        <f t="shared" si="2278"/>
        <v>2.5000000000000001E-3</v>
      </c>
      <c r="BP801" s="77">
        <f t="shared" si="2279"/>
        <v>2.0809499864316017E-4</v>
      </c>
    </row>
    <row r="802" spans="1:68">
      <c r="A802" t="s">
        <v>175</v>
      </c>
      <c r="B802" t="s">
        <v>179</v>
      </c>
      <c r="C802" s="197" t="str">
        <f t="shared" si="2320"/>
        <v>Lifecycle_Dynamic_285</v>
      </c>
      <c r="D802">
        <v>285</v>
      </c>
      <c r="E802">
        <f>VLOOKUP($D802,'[2]LC Dynamic'!$Q$2:$U$542,2,FALSE)</f>
        <v>0</v>
      </c>
      <c r="F802">
        <f>VLOOKUP($D802,'[2]LC Dynamic'!$Q$2:$U$542,3,FALSE)</f>
        <v>0</v>
      </c>
      <c r="G802">
        <f>VLOOKUP($D802,'[2]LC Dynamic'!$Q$2:$U$542,4,FALSE)</f>
        <v>0.308</v>
      </c>
      <c r="H802">
        <f>VLOOKUP($D802,'[2]LC Dynamic'!$Q$2:$U$542,5,FALSE)</f>
        <v>0.69199999999999995</v>
      </c>
      <c r="I802" s="77">
        <f t="shared" si="2252"/>
        <v>1</v>
      </c>
      <c r="J802" s="77">
        <f t="shared" si="2253"/>
        <v>6.9728499999999985E-2</v>
      </c>
      <c r="K802" s="77">
        <f t="shared" si="2327"/>
        <v>5.632878498097682E-3</v>
      </c>
      <c r="L802" s="76">
        <v>0</v>
      </c>
      <c r="M802" s="77">
        <f t="shared" si="2263"/>
        <v>0</v>
      </c>
      <c r="N802" s="77">
        <f t="shared" si="2264"/>
        <v>0</v>
      </c>
      <c r="O802" s="77">
        <f t="shared" si="2265"/>
        <v>5.6775999999999997E-3</v>
      </c>
      <c r="P802" s="77">
        <f t="shared" si="2266"/>
        <v>4.7436902124819991E-4</v>
      </c>
      <c r="R802" t="s">
        <v>177</v>
      </c>
      <c r="S802" t="s">
        <v>179</v>
      </c>
      <c r="T802" s="197" t="str">
        <f t="shared" si="2321"/>
        <v>Autopilot_Dynamic_285</v>
      </c>
      <c r="U802">
        <v>285</v>
      </c>
      <c r="V802">
        <f>VLOOKUP($U802,'[2]AP Dynamic'!$Q$1:$T$542,2,FALSE)</f>
        <v>0.88888888888888884</v>
      </c>
      <c r="W802">
        <f>VLOOKUP($U802,'[2]AP Dynamic'!$Q$1:$T$542,3,FALSE)</f>
        <v>0.11111111111111116</v>
      </c>
      <c r="X802">
        <f>VLOOKUP($U802,'[2]AP Dynamic'!$Q$1:$T$542,4,FALSE)</f>
        <v>0</v>
      </c>
      <c r="Y802" s="77">
        <f t="shared" si="2322"/>
        <v>1</v>
      </c>
      <c r="Z802" s="77">
        <f t="shared" si="2328"/>
        <v>6.3149999999999984E-2</v>
      </c>
      <c r="AA802" s="77">
        <f t="shared" si="2329"/>
        <v>5.1160591879111372E-3</v>
      </c>
      <c r="AB802" s="79">
        <v>1</v>
      </c>
      <c r="AC802" s="77">
        <f t="shared" si="2267"/>
        <v>8.277777777777778E-3</v>
      </c>
      <c r="AD802" s="77">
        <f t="shared" ref="AD802" si="2532">1-(1-AC802)^(1/12)</f>
        <v>6.9244588451522482E-4</v>
      </c>
      <c r="AE802" s="77">
        <f t="shared" si="2269"/>
        <v>2.5000000000000001E-3</v>
      </c>
      <c r="AF802" s="77">
        <f t="shared" ref="AF802" si="2533">1-(1-AE802)^(1/12)</f>
        <v>2.0857243058891584E-4</v>
      </c>
      <c r="AH802" t="s">
        <v>175</v>
      </c>
      <c r="AI802" t="s">
        <v>179</v>
      </c>
      <c r="AJ802" s="197" t="str">
        <f t="shared" si="2256"/>
        <v>Lifecycle_Dynamic_285</v>
      </c>
      <c r="AK802">
        <v>285</v>
      </c>
      <c r="AL802">
        <f>VLOOKUP($U802,[2]Standard_Dynamic!$Q$1:$T$542,2,FALSE)</f>
        <v>0.88888888888888884</v>
      </c>
      <c r="AM802">
        <f>VLOOKUP($U802,[2]Standard_Dynamic!$Q$1:$T$542,3,FALSE)</f>
        <v>0.11111111111111116</v>
      </c>
      <c r="AN802">
        <f>VLOOKUP($U802,[2]Standard_Dynamic!$Q$1:$T$542,4,FALSE)</f>
        <v>0</v>
      </c>
      <c r="AO802" s="77">
        <f t="shared" si="2257"/>
        <v>1</v>
      </c>
      <c r="AP802" s="77">
        <f t="shared" si="2271"/>
        <v>6.3149999999999984E-2</v>
      </c>
      <c r="AQ802" s="77">
        <f t="shared" si="2258"/>
        <v>5.1160591879111372E-3</v>
      </c>
      <c r="AR802" s="79">
        <v>0</v>
      </c>
      <c r="AS802" s="77">
        <f t="shared" si="2272"/>
        <v>0</v>
      </c>
      <c r="AT802" s="77">
        <f t="shared" ref="AT802" si="2534">1-(1-AS802)^(1/12)</f>
        <v>0</v>
      </c>
      <c r="AU802" s="77">
        <f t="shared" si="2274"/>
        <v>2.5000000000000001E-3</v>
      </c>
      <c r="AV802" s="77">
        <f t="shared" ref="AV802" si="2535">1-(1-AU802)^(1/12)</f>
        <v>2.0857243058891584E-4</v>
      </c>
      <c r="AX802" t="s">
        <v>178</v>
      </c>
      <c r="AY802" t="s">
        <v>162</v>
      </c>
      <c r="AZ802" s="197" t="str">
        <f t="shared" si="2354"/>
        <v>DIS_Standard_285</v>
      </c>
      <c r="BA802">
        <v>285</v>
      </c>
      <c r="BB802">
        <f>VLOOKUP($BA802,'[2]Standard DIS'!$Q$1:$X$542,4,FALSE)</f>
        <v>0</v>
      </c>
      <c r="BF802">
        <f>VLOOKUP($BA802,'[2]Standard DIS'!$Q$1:$X$542,2,FALSE)</f>
        <v>0.88888888888888884</v>
      </c>
      <c r="BH802">
        <f>VLOOKUP($BA802,'[2]Standard DIS'!$Q$1:$X$542,3,FALSE)</f>
        <v>0.11111111111111116</v>
      </c>
      <c r="BI802" s="77">
        <f t="shared" si="2261"/>
        <v>1</v>
      </c>
      <c r="BJ802" s="77">
        <f t="shared" si="2262"/>
        <v>6.3149999999999984E-2</v>
      </c>
      <c r="BK802" s="77">
        <f t="shared" si="2355"/>
        <v>5.1160591879111372E-3</v>
      </c>
      <c r="BL802" s="79">
        <v>0</v>
      </c>
      <c r="BM802" s="77">
        <f t="shared" si="2276"/>
        <v>0</v>
      </c>
      <c r="BN802" s="77">
        <f t="shared" si="2277"/>
        <v>0</v>
      </c>
      <c r="BO802" s="77">
        <f t="shared" si="2278"/>
        <v>2.5000000000000001E-3</v>
      </c>
      <c r="BP802" s="77">
        <f t="shared" si="2279"/>
        <v>2.0809499864316017E-4</v>
      </c>
    </row>
    <row r="803" spans="1:68">
      <c r="A803" t="s">
        <v>175</v>
      </c>
      <c r="B803" t="s">
        <v>179</v>
      </c>
      <c r="C803" s="197" t="str">
        <f t="shared" si="2320"/>
        <v>Lifecycle_Dynamic_284</v>
      </c>
      <c r="D803">
        <v>284</v>
      </c>
      <c r="E803">
        <f>VLOOKUP($D803,'[2]LC Dynamic'!$Q$2:$U$542,2,FALSE)</f>
        <v>0</v>
      </c>
      <c r="F803">
        <f>VLOOKUP($D803,'[2]LC Dynamic'!$Q$2:$U$542,3,FALSE)</f>
        <v>0</v>
      </c>
      <c r="G803">
        <f>VLOOKUP($D803,'[2]LC Dynamic'!$Q$2:$U$542,4,FALSE)</f>
        <v>0.308</v>
      </c>
      <c r="H803">
        <f>VLOOKUP($D803,'[2]LC Dynamic'!$Q$2:$U$542,5,FALSE)</f>
        <v>0.69199999999999995</v>
      </c>
      <c r="I803" s="77">
        <f t="shared" ref="I803:I866" si="2536">SUM(E803:H803)</f>
        <v>1</v>
      </c>
      <c r="J803" s="77">
        <f t="shared" ref="J803:J866" si="2537">SUMPRODUCT($E$1:$H$1,E803:H803)</f>
        <v>6.9728499999999985E-2</v>
      </c>
      <c r="K803" s="77">
        <f t="shared" si="2327"/>
        <v>5.632878498097682E-3</v>
      </c>
      <c r="L803" s="76">
        <v>0</v>
      </c>
      <c r="M803" s="77">
        <f t="shared" si="2263"/>
        <v>0</v>
      </c>
      <c r="N803" s="77">
        <f t="shared" si="2264"/>
        <v>0</v>
      </c>
      <c r="O803" s="77">
        <f t="shared" si="2265"/>
        <v>5.6775999999999997E-3</v>
      </c>
      <c r="P803" s="77">
        <f t="shared" si="2266"/>
        <v>4.7436902124819991E-4</v>
      </c>
      <c r="R803" t="s">
        <v>177</v>
      </c>
      <c r="S803" t="s">
        <v>179</v>
      </c>
      <c r="T803" s="197" t="str">
        <f t="shared" si="2321"/>
        <v>Autopilot_Dynamic_284</v>
      </c>
      <c r="U803">
        <v>284</v>
      </c>
      <c r="V803">
        <f>VLOOKUP($U803,'[2]AP Dynamic'!$Q$1:$T$542,2,FALSE)</f>
        <v>0.88888888888888884</v>
      </c>
      <c r="W803">
        <f>VLOOKUP($U803,'[2]AP Dynamic'!$Q$1:$T$542,3,FALSE)</f>
        <v>0.11111111111111116</v>
      </c>
      <c r="X803">
        <f>VLOOKUP($U803,'[2]AP Dynamic'!$Q$1:$T$542,4,FALSE)</f>
        <v>0</v>
      </c>
      <c r="Y803" s="77">
        <f t="shared" si="2322"/>
        <v>1</v>
      </c>
      <c r="Z803" s="77">
        <f t="shared" si="2328"/>
        <v>6.3149999999999984E-2</v>
      </c>
      <c r="AA803" s="77">
        <f t="shared" si="2329"/>
        <v>5.1160591879111372E-3</v>
      </c>
      <c r="AB803" s="79">
        <v>1</v>
      </c>
      <c r="AC803" s="77">
        <f t="shared" si="2267"/>
        <v>8.277777777777778E-3</v>
      </c>
      <c r="AD803" s="77">
        <f t="shared" ref="AD803" si="2538">1-(1-AC803)^(1/12)</f>
        <v>6.9244588451522482E-4</v>
      </c>
      <c r="AE803" s="77">
        <f t="shared" si="2269"/>
        <v>2.5000000000000001E-3</v>
      </c>
      <c r="AF803" s="77">
        <f t="shared" ref="AF803" si="2539">1-(1-AE803)^(1/12)</f>
        <v>2.0857243058891584E-4</v>
      </c>
      <c r="AH803" t="s">
        <v>175</v>
      </c>
      <c r="AI803" t="s">
        <v>179</v>
      </c>
      <c r="AJ803" s="197" t="str">
        <f t="shared" ref="AJ803:AJ866" si="2540">AH803&amp;"_"&amp;AI803&amp;"_"&amp;AK803</f>
        <v>Lifecycle_Dynamic_284</v>
      </c>
      <c r="AK803">
        <v>284</v>
      </c>
      <c r="AL803">
        <f>VLOOKUP($U803,[2]Standard_Dynamic!$Q$1:$T$542,2,FALSE)</f>
        <v>0.88888888888888884</v>
      </c>
      <c r="AM803">
        <f>VLOOKUP($U803,[2]Standard_Dynamic!$Q$1:$T$542,3,FALSE)</f>
        <v>0.11111111111111116</v>
      </c>
      <c r="AN803">
        <f>VLOOKUP($U803,[2]Standard_Dynamic!$Q$1:$T$542,4,FALSE)</f>
        <v>0</v>
      </c>
      <c r="AO803" s="77">
        <f t="shared" ref="AO803:AO866" si="2541">SUM(AL803:AN803)</f>
        <v>1</v>
      </c>
      <c r="AP803" s="77">
        <f t="shared" si="2271"/>
        <v>6.3149999999999984E-2</v>
      </c>
      <c r="AQ803" s="77">
        <f t="shared" ref="AQ803:AQ866" si="2542">(1+AP803)^(1/12)-1</f>
        <v>5.1160591879111372E-3</v>
      </c>
      <c r="AR803" s="79">
        <v>0</v>
      </c>
      <c r="AS803" s="77">
        <f t="shared" si="2272"/>
        <v>0</v>
      </c>
      <c r="AT803" s="77">
        <f t="shared" ref="AT803" si="2543">1-(1-AS803)^(1/12)</f>
        <v>0</v>
      </c>
      <c r="AU803" s="77">
        <f t="shared" si="2274"/>
        <v>2.5000000000000001E-3</v>
      </c>
      <c r="AV803" s="77">
        <f t="shared" ref="AV803" si="2544">1-(1-AU803)^(1/12)</f>
        <v>2.0857243058891584E-4</v>
      </c>
      <c r="AX803" t="s">
        <v>178</v>
      </c>
      <c r="AY803" t="s">
        <v>162</v>
      </c>
      <c r="AZ803" s="197" t="str">
        <f t="shared" si="2354"/>
        <v>DIS_Standard_284</v>
      </c>
      <c r="BA803">
        <v>284</v>
      </c>
      <c r="BB803">
        <f>VLOOKUP($BA803,'[2]Standard DIS'!$Q$1:$X$542,4,FALSE)</f>
        <v>0</v>
      </c>
      <c r="BF803">
        <f>VLOOKUP($BA803,'[2]Standard DIS'!$Q$1:$X$542,2,FALSE)</f>
        <v>0.88888888888888884</v>
      </c>
      <c r="BH803">
        <f>VLOOKUP($BA803,'[2]Standard DIS'!$Q$1:$X$542,3,FALSE)</f>
        <v>0.11111111111111116</v>
      </c>
      <c r="BI803" s="77">
        <f t="shared" ref="BI803:BI866" si="2545">SUM(BB803:BH803)</f>
        <v>1</v>
      </c>
      <c r="BJ803" s="77">
        <f t="shared" ref="BJ803:BJ866" si="2546">SUMPRODUCT($BB$1:$BH$1,BB803:BH803)</f>
        <v>6.3149999999999984E-2</v>
      </c>
      <c r="BK803" s="77">
        <f t="shared" si="2355"/>
        <v>5.1160591879111372E-3</v>
      </c>
      <c r="BL803" s="79">
        <v>0</v>
      </c>
      <c r="BM803" s="77">
        <f t="shared" si="2276"/>
        <v>0</v>
      </c>
      <c r="BN803" s="77">
        <f t="shared" si="2277"/>
        <v>0</v>
      </c>
      <c r="BO803" s="77">
        <f t="shared" si="2278"/>
        <v>2.5000000000000001E-3</v>
      </c>
      <c r="BP803" s="77">
        <f t="shared" si="2279"/>
        <v>2.0809499864316017E-4</v>
      </c>
    </row>
    <row r="804" spans="1:68">
      <c r="A804" t="s">
        <v>175</v>
      </c>
      <c r="B804" t="s">
        <v>179</v>
      </c>
      <c r="C804" s="197" t="str">
        <f t="shared" si="2320"/>
        <v>Lifecycle_Dynamic_283</v>
      </c>
      <c r="D804">
        <v>283</v>
      </c>
      <c r="E804">
        <f>VLOOKUP($D804,'[2]LC Dynamic'!$Q$2:$U$542,2,FALSE)</f>
        <v>0</v>
      </c>
      <c r="F804">
        <f>VLOOKUP($D804,'[2]LC Dynamic'!$Q$2:$U$542,3,FALSE)</f>
        <v>0</v>
      </c>
      <c r="G804">
        <f>VLOOKUP($D804,'[2]LC Dynamic'!$Q$2:$U$542,4,FALSE)</f>
        <v>0.308</v>
      </c>
      <c r="H804">
        <f>VLOOKUP($D804,'[2]LC Dynamic'!$Q$2:$U$542,5,FALSE)</f>
        <v>0.69199999999999995</v>
      </c>
      <c r="I804" s="77">
        <f t="shared" si="2536"/>
        <v>1</v>
      </c>
      <c r="J804" s="77">
        <f t="shared" si="2537"/>
        <v>6.9728499999999985E-2</v>
      </c>
      <c r="K804" s="77">
        <f t="shared" si="2327"/>
        <v>5.632878498097682E-3</v>
      </c>
      <c r="L804" s="76">
        <v>0</v>
      </c>
      <c r="M804" s="77">
        <f t="shared" ref="M804:M867" si="2547">IF($L804=0,0,SUMPRODUCT($E$3:$H$3,E804:H804))</f>
        <v>0</v>
      </c>
      <c r="N804" s="77">
        <f t="shared" ref="N804:N867" si="2548">1-(1-M804)^(1/12)</f>
        <v>0</v>
      </c>
      <c r="O804" s="77">
        <f t="shared" ref="O804:O867" si="2549">SUMPRODUCT($E$2:$H$2,E804:H804)</f>
        <v>5.6775999999999997E-3</v>
      </c>
      <c r="P804" s="77">
        <f t="shared" ref="P804:P867" si="2550">1-(1-O804)^(1/12)</f>
        <v>4.7436902124819991E-4</v>
      </c>
      <c r="R804" t="s">
        <v>177</v>
      </c>
      <c r="S804" t="s">
        <v>179</v>
      </c>
      <c r="T804" s="197" t="str">
        <f t="shared" si="2321"/>
        <v>Autopilot_Dynamic_283</v>
      </c>
      <c r="U804">
        <v>283</v>
      </c>
      <c r="V804">
        <f>VLOOKUP($U804,'[2]AP Dynamic'!$Q$1:$T$542,2,FALSE)</f>
        <v>0.88888888888888884</v>
      </c>
      <c r="W804">
        <f>VLOOKUP($U804,'[2]AP Dynamic'!$Q$1:$T$542,3,FALSE)</f>
        <v>0.11111111111111116</v>
      </c>
      <c r="X804">
        <f>VLOOKUP($U804,'[2]AP Dynamic'!$Q$1:$T$542,4,FALSE)</f>
        <v>0</v>
      </c>
      <c r="Y804" s="77">
        <f t="shared" si="2322"/>
        <v>1</v>
      </c>
      <c r="Z804" s="77">
        <f t="shared" si="2328"/>
        <v>6.3149999999999984E-2</v>
      </c>
      <c r="AA804" s="77">
        <f t="shared" si="2329"/>
        <v>5.1160591879111372E-3</v>
      </c>
      <c r="AB804" s="79">
        <v>1</v>
      </c>
      <c r="AC804" s="77">
        <f t="shared" ref="AC804:AC867" si="2551">IF($AB804=0,0,SUMPRODUCT($V$3:$X$3,V804:X804))</f>
        <v>8.277777777777778E-3</v>
      </c>
      <c r="AD804" s="77">
        <f t="shared" ref="AD804" si="2552">1-(1-AC804)^(1/12)</f>
        <v>6.9244588451522482E-4</v>
      </c>
      <c r="AE804" s="77">
        <f t="shared" ref="AE804:AE867" si="2553">SUMPRODUCT($V$2:$X$2,V804:X804)</f>
        <v>2.5000000000000001E-3</v>
      </c>
      <c r="AF804" s="77">
        <f t="shared" ref="AF804" si="2554">1-(1-AE804)^(1/12)</f>
        <v>2.0857243058891584E-4</v>
      </c>
      <c r="AH804" t="s">
        <v>175</v>
      </c>
      <c r="AI804" t="s">
        <v>179</v>
      </c>
      <c r="AJ804" s="197" t="str">
        <f t="shared" si="2540"/>
        <v>Lifecycle_Dynamic_283</v>
      </c>
      <c r="AK804">
        <v>283</v>
      </c>
      <c r="AL804">
        <f>VLOOKUP($U804,[2]Standard_Dynamic!$Q$1:$T$542,2,FALSE)</f>
        <v>0.88888888888888884</v>
      </c>
      <c r="AM804">
        <f>VLOOKUP($U804,[2]Standard_Dynamic!$Q$1:$T$542,3,FALSE)</f>
        <v>0.11111111111111116</v>
      </c>
      <c r="AN804">
        <f>VLOOKUP($U804,[2]Standard_Dynamic!$Q$1:$T$542,4,FALSE)</f>
        <v>0</v>
      </c>
      <c r="AO804" s="77">
        <f t="shared" si="2541"/>
        <v>1</v>
      </c>
      <c r="AP804" s="77">
        <f t="shared" ref="AP804:AP867" si="2555">SUMPRODUCT($AL$1:$AN$1,AL804:AN804)</f>
        <v>6.3149999999999984E-2</v>
      </c>
      <c r="AQ804" s="77">
        <f t="shared" si="2542"/>
        <v>5.1160591879111372E-3</v>
      </c>
      <c r="AR804" s="79">
        <v>0</v>
      </c>
      <c r="AS804" s="77">
        <f t="shared" ref="AS804:AS867" si="2556">IF(AR804=0,0,SUMPRODUCT($AL$3:$AN$3,AL804:AN804))</f>
        <v>0</v>
      </c>
      <c r="AT804" s="77">
        <f t="shared" ref="AT804" si="2557">1-(1-AS804)^(1/12)</f>
        <v>0</v>
      </c>
      <c r="AU804" s="77">
        <f t="shared" ref="AU804:AU867" si="2558">SUMPRODUCT($AL$2:$AN$2,AL804:AN804)</f>
        <v>2.5000000000000001E-3</v>
      </c>
      <c r="AV804" s="77">
        <f t="shared" ref="AV804" si="2559">1-(1-AU804)^(1/12)</f>
        <v>2.0857243058891584E-4</v>
      </c>
      <c r="AX804" t="s">
        <v>178</v>
      </c>
      <c r="AY804" t="s">
        <v>162</v>
      </c>
      <c r="AZ804" s="197" t="str">
        <f t="shared" si="2354"/>
        <v>DIS_Standard_283</v>
      </c>
      <c r="BA804">
        <v>283</v>
      </c>
      <c r="BB804">
        <f>VLOOKUP($BA804,'[2]Standard DIS'!$Q$1:$X$542,4,FALSE)</f>
        <v>0</v>
      </c>
      <c r="BF804">
        <f>VLOOKUP($BA804,'[2]Standard DIS'!$Q$1:$X$542,2,FALSE)</f>
        <v>0.88888888888888884</v>
      </c>
      <c r="BH804">
        <f>VLOOKUP($BA804,'[2]Standard DIS'!$Q$1:$X$542,3,FALSE)</f>
        <v>0.11111111111111116</v>
      </c>
      <c r="BI804" s="77">
        <f t="shared" si="2545"/>
        <v>1</v>
      </c>
      <c r="BJ804" s="77">
        <f t="shared" si="2546"/>
        <v>6.3149999999999984E-2</v>
      </c>
      <c r="BK804" s="77">
        <f t="shared" si="2355"/>
        <v>5.1160591879111372E-3</v>
      </c>
      <c r="BL804" s="79">
        <v>0</v>
      </c>
      <c r="BM804" s="77">
        <f t="shared" ref="BM804:BM867" si="2560">IF(BL804=0,0,SUMPRODUCT($BB$3:$BH$3,BB804:BH804))</f>
        <v>0</v>
      </c>
      <c r="BN804" s="77">
        <f t="shared" ref="BN804:BN867" si="2561">(1+BM804)^(1/12)-1</f>
        <v>0</v>
      </c>
      <c r="BO804" s="77">
        <f t="shared" ref="BO804:BO867" si="2562">SUMPRODUCT($BB$2:$BH$2,BB804:BH804)</f>
        <v>2.5000000000000001E-3</v>
      </c>
      <c r="BP804" s="77">
        <f t="shared" ref="BP804:BP867" si="2563">(1+BO804)^(1/12)-1</f>
        <v>2.0809499864316017E-4</v>
      </c>
    </row>
    <row r="805" spans="1:68">
      <c r="A805" t="s">
        <v>175</v>
      </c>
      <c r="B805" t="s">
        <v>179</v>
      </c>
      <c r="C805" s="197" t="str">
        <f t="shared" si="2320"/>
        <v>Lifecycle_Dynamic_282</v>
      </c>
      <c r="D805">
        <v>282</v>
      </c>
      <c r="E805">
        <f>VLOOKUP($D805,'[2]LC Dynamic'!$Q$2:$U$542,2,FALSE)</f>
        <v>0</v>
      </c>
      <c r="F805">
        <f>VLOOKUP($D805,'[2]LC Dynamic'!$Q$2:$U$542,3,FALSE)</f>
        <v>0</v>
      </c>
      <c r="G805">
        <f>VLOOKUP($D805,'[2]LC Dynamic'!$Q$2:$U$542,4,FALSE)</f>
        <v>0.308</v>
      </c>
      <c r="H805">
        <f>VLOOKUP($D805,'[2]LC Dynamic'!$Q$2:$U$542,5,FALSE)</f>
        <v>0.69199999999999995</v>
      </c>
      <c r="I805" s="77">
        <f t="shared" si="2536"/>
        <v>1</v>
      </c>
      <c r="J805" s="77">
        <f t="shared" si="2537"/>
        <v>6.9728499999999985E-2</v>
      </c>
      <c r="K805" s="77">
        <f t="shared" si="2327"/>
        <v>5.632878498097682E-3</v>
      </c>
      <c r="L805" s="76">
        <v>0</v>
      </c>
      <c r="M805" s="77">
        <f t="shared" si="2547"/>
        <v>0</v>
      </c>
      <c r="N805" s="77">
        <f t="shared" si="2548"/>
        <v>0</v>
      </c>
      <c r="O805" s="77">
        <f t="shared" si="2549"/>
        <v>5.6775999999999997E-3</v>
      </c>
      <c r="P805" s="77">
        <f t="shared" si="2550"/>
        <v>4.7436902124819991E-4</v>
      </c>
      <c r="R805" t="s">
        <v>177</v>
      </c>
      <c r="S805" t="s">
        <v>179</v>
      </c>
      <c r="T805" s="197" t="str">
        <f t="shared" si="2321"/>
        <v>Autopilot_Dynamic_282</v>
      </c>
      <c r="U805">
        <v>282</v>
      </c>
      <c r="V805">
        <f>VLOOKUP($U805,'[2]AP Dynamic'!$Q$1:$T$542,2,FALSE)</f>
        <v>0.88888888888888884</v>
      </c>
      <c r="W805">
        <f>VLOOKUP($U805,'[2]AP Dynamic'!$Q$1:$T$542,3,FALSE)</f>
        <v>0.11111111111111116</v>
      </c>
      <c r="X805">
        <f>VLOOKUP($U805,'[2]AP Dynamic'!$Q$1:$T$542,4,FALSE)</f>
        <v>0</v>
      </c>
      <c r="Y805" s="77">
        <f t="shared" si="2322"/>
        <v>1</v>
      </c>
      <c r="Z805" s="77">
        <f t="shared" si="2328"/>
        <v>6.3149999999999984E-2</v>
      </c>
      <c r="AA805" s="77">
        <f t="shared" si="2329"/>
        <v>5.1160591879111372E-3</v>
      </c>
      <c r="AB805" s="79">
        <v>1</v>
      </c>
      <c r="AC805" s="77">
        <f t="shared" si="2551"/>
        <v>8.277777777777778E-3</v>
      </c>
      <c r="AD805" s="77">
        <f t="shared" ref="AD805" si="2564">1-(1-AC805)^(1/12)</f>
        <v>6.9244588451522482E-4</v>
      </c>
      <c r="AE805" s="77">
        <f t="shared" si="2553"/>
        <v>2.5000000000000001E-3</v>
      </c>
      <c r="AF805" s="77">
        <f t="shared" ref="AF805" si="2565">1-(1-AE805)^(1/12)</f>
        <v>2.0857243058891584E-4</v>
      </c>
      <c r="AH805" t="s">
        <v>175</v>
      </c>
      <c r="AI805" t="s">
        <v>179</v>
      </c>
      <c r="AJ805" s="197" t="str">
        <f t="shared" si="2540"/>
        <v>Lifecycle_Dynamic_282</v>
      </c>
      <c r="AK805">
        <v>282</v>
      </c>
      <c r="AL805">
        <f>VLOOKUP($U805,[2]Standard_Dynamic!$Q$1:$T$542,2,FALSE)</f>
        <v>0.88888888888888884</v>
      </c>
      <c r="AM805">
        <f>VLOOKUP($U805,[2]Standard_Dynamic!$Q$1:$T$542,3,FALSE)</f>
        <v>0.11111111111111116</v>
      </c>
      <c r="AN805">
        <f>VLOOKUP($U805,[2]Standard_Dynamic!$Q$1:$T$542,4,FALSE)</f>
        <v>0</v>
      </c>
      <c r="AO805" s="77">
        <f t="shared" si="2541"/>
        <v>1</v>
      </c>
      <c r="AP805" s="77">
        <f t="shared" si="2555"/>
        <v>6.3149999999999984E-2</v>
      </c>
      <c r="AQ805" s="77">
        <f t="shared" si="2542"/>
        <v>5.1160591879111372E-3</v>
      </c>
      <c r="AR805" s="79">
        <v>0</v>
      </c>
      <c r="AS805" s="77">
        <f t="shared" si="2556"/>
        <v>0</v>
      </c>
      <c r="AT805" s="77">
        <f t="shared" ref="AT805" si="2566">1-(1-AS805)^(1/12)</f>
        <v>0</v>
      </c>
      <c r="AU805" s="77">
        <f t="shared" si="2558"/>
        <v>2.5000000000000001E-3</v>
      </c>
      <c r="AV805" s="77">
        <f t="shared" ref="AV805" si="2567">1-(1-AU805)^(1/12)</f>
        <v>2.0857243058891584E-4</v>
      </c>
      <c r="AX805" t="s">
        <v>178</v>
      </c>
      <c r="AY805" t="s">
        <v>162</v>
      </c>
      <c r="AZ805" s="197" t="str">
        <f t="shared" si="2354"/>
        <v>DIS_Standard_282</v>
      </c>
      <c r="BA805">
        <v>282</v>
      </c>
      <c r="BB805">
        <f>VLOOKUP($BA805,'[2]Standard DIS'!$Q$1:$X$542,4,FALSE)</f>
        <v>0</v>
      </c>
      <c r="BF805">
        <f>VLOOKUP($BA805,'[2]Standard DIS'!$Q$1:$X$542,2,FALSE)</f>
        <v>0.88888888888888884</v>
      </c>
      <c r="BH805">
        <f>VLOOKUP($BA805,'[2]Standard DIS'!$Q$1:$X$542,3,FALSE)</f>
        <v>0.11111111111111116</v>
      </c>
      <c r="BI805" s="77">
        <f t="shared" si="2545"/>
        <v>1</v>
      </c>
      <c r="BJ805" s="77">
        <f t="shared" si="2546"/>
        <v>6.3149999999999984E-2</v>
      </c>
      <c r="BK805" s="77">
        <f t="shared" si="2355"/>
        <v>5.1160591879111372E-3</v>
      </c>
      <c r="BL805" s="79">
        <v>0</v>
      </c>
      <c r="BM805" s="77">
        <f t="shared" si="2560"/>
        <v>0</v>
      </c>
      <c r="BN805" s="77">
        <f t="shared" si="2561"/>
        <v>0</v>
      </c>
      <c r="BO805" s="77">
        <f t="shared" si="2562"/>
        <v>2.5000000000000001E-3</v>
      </c>
      <c r="BP805" s="77">
        <f t="shared" si="2563"/>
        <v>2.0809499864316017E-4</v>
      </c>
    </row>
    <row r="806" spans="1:68">
      <c r="A806" t="s">
        <v>175</v>
      </c>
      <c r="B806" t="s">
        <v>179</v>
      </c>
      <c r="C806" s="197" t="str">
        <f t="shared" si="2320"/>
        <v>Lifecycle_Dynamic_281</v>
      </c>
      <c r="D806">
        <v>281</v>
      </c>
      <c r="E806">
        <f>VLOOKUP($D806,'[2]LC Dynamic'!$Q$2:$U$542,2,FALSE)</f>
        <v>0</v>
      </c>
      <c r="F806">
        <f>VLOOKUP($D806,'[2]LC Dynamic'!$Q$2:$U$542,3,FALSE)</f>
        <v>0</v>
      </c>
      <c r="G806">
        <f>VLOOKUP($D806,'[2]LC Dynamic'!$Q$2:$U$542,4,FALSE)</f>
        <v>0.308</v>
      </c>
      <c r="H806">
        <f>VLOOKUP($D806,'[2]LC Dynamic'!$Q$2:$U$542,5,FALSE)</f>
        <v>0.69199999999999995</v>
      </c>
      <c r="I806" s="77">
        <f t="shared" si="2536"/>
        <v>1</v>
      </c>
      <c r="J806" s="77">
        <f t="shared" si="2537"/>
        <v>6.9728499999999985E-2</v>
      </c>
      <c r="K806" s="77">
        <f t="shared" si="2327"/>
        <v>5.632878498097682E-3</v>
      </c>
      <c r="L806" s="76">
        <v>0</v>
      </c>
      <c r="M806" s="77">
        <f t="shared" si="2547"/>
        <v>0</v>
      </c>
      <c r="N806" s="77">
        <f t="shared" si="2548"/>
        <v>0</v>
      </c>
      <c r="O806" s="77">
        <f t="shared" si="2549"/>
        <v>5.6775999999999997E-3</v>
      </c>
      <c r="P806" s="77">
        <f t="shared" si="2550"/>
        <v>4.7436902124819991E-4</v>
      </c>
      <c r="R806" t="s">
        <v>177</v>
      </c>
      <c r="S806" t="s">
        <v>179</v>
      </c>
      <c r="T806" s="197" t="str">
        <f t="shared" si="2321"/>
        <v>Autopilot_Dynamic_281</v>
      </c>
      <c r="U806">
        <v>281</v>
      </c>
      <c r="V806">
        <f>VLOOKUP($U806,'[2]AP Dynamic'!$Q$1:$T$542,2,FALSE)</f>
        <v>0.88888888888888884</v>
      </c>
      <c r="W806">
        <f>VLOOKUP($U806,'[2]AP Dynamic'!$Q$1:$T$542,3,FALSE)</f>
        <v>0.11111111111111116</v>
      </c>
      <c r="X806">
        <f>VLOOKUP($U806,'[2]AP Dynamic'!$Q$1:$T$542,4,FALSE)</f>
        <v>0</v>
      </c>
      <c r="Y806" s="77">
        <f t="shared" si="2322"/>
        <v>1</v>
      </c>
      <c r="Z806" s="77">
        <f t="shared" si="2328"/>
        <v>6.3149999999999984E-2</v>
      </c>
      <c r="AA806" s="77">
        <f t="shared" si="2329"/>
        <v>5.1160591879111372E-3</v>
      </c>
      <c r="AB806" s="79">
        <v>1</v>
      </c>
      <c r="AC806" s="77">
        <f t="shared" si="2551"/>
        <v>8.277777777777778E-3</v>
      </c>
      <c r="AD806" s="77">
        <f t="shared" ref="AD806" si="2568">1-(1-AC806)^(1/12)</f>
        <v>6.9244588451522482E-4</v>
      </c>
      <c r="AE806" s="77">
        <f t="shared" si="2553"/>
        <v>2.5000000000000001E-3</v>
      </c>
      <c r="AF806" s="77">
        <f t="shared" ref="AF806" si="2569">1-(1-AE806)^(1/12)</f>
        <v>2.0857243058891584E-4</v>
      </c>
      <c r="AH806" t="s">
        <v>175</v>
      </c>
      <c r="AI806" t="s">
        <v>179</v>
      </c>
      <c r="AJ806" s="197" t="str">
        <f t="shared" si="2540"/>
        <v>Lifecycle_Dynamic_281</v>
      </c>
      <c r="AK806">
        <v>281</v>
      </c>
      <c r="AL806">
        <f>VLOOKUP($U806,[2]Standard_Dynamic!$Q$1:$T$542,2,FALSE)</f>
        <v>0.88888888888888884</v>
      </c>
      <c r="AM806">
        <f>VLOOKUP($U806,[2]Standard_Dynamic!$Q$1:$T$542,3,FALSE)</f>
        <v>0.11111111111111116</v>
      </c>
      <c r="AN806">
        <f>VLOOKUP($U806,[2]Standard_Dynamic!$Q$1:$T$542,4,FALSE)</f>
        <v>0</v>
      </c>
      <c r="AO806" s="77">
        <f t="shared" si="2541"/>
        <v>1</v>
      </c>
      <c r="AP806" s="77">
        <f t="shared" si="2555"/>
        <v>6.3149999999999984E-2</v>
      </c>
      <c r="AQ806" s="77">
        <f t="shared" si="2542"/>
        <v>5.1160591879111372E-3</v>
      </c>
      <c r="AR806" s="79">
        <v>0</v>
      </c>
      <c r="AS806" s="77">
        <f t="shared" si="2556"/>
        <v>0</v>
      </c>
      <c r="AT806" s="77">
        <f t="shared" ref="AT806" si="2570">1-(1-AS806)^(1/12)</f>
        <v>0</v>
      </c>
      <c r="AU806" s="77">
        <f t="shared" si="2558"/>
        <v>2.5000000000000001E-3</v>
      </c>
      <c r="AV806" s="77">
        <f t="shared" ref="AV806" si="2571">1-(1-AU806)^(1/12)</f>
        <v>2.0857243058891584E-4</v>
      </c>
      <c r="AX806" t="s">
        <v>178</v>
      </c>
      <c r="AY806" t="s">
        <v>162</v>
      </c>
      <c r="AZ806" s="197" t="str">
        <f t="shared" si="2354"/>
        <v>DIS_Standard_281</v>
      </c>
      <c r="BA806">
        <v>281</v>
      </c>
      <c r="BB806">
        <f>VLOOKUP($BA806,'[2]Standard DIS'!$Q$1:$X$542,4,FALSE)</f>
        <v>0</v>
      </c>
      <c r="BF806">
        <f>VLOOKUP($BA806,'[2]Standard DIS'!$Q$1:$X$542,2,FALSE)</f>
        <v>0.88888888888888884</v>
      </c>
      <c r="BH806">
        <f>VLOOKUP($BA806,'[2]Standard DIS'!$Q$1:$X$542,3,FALSE)</f>
        <v>0.11111111111111116</v>
      </c>
      <c r="BI806" s="77">
        <f t="shared" si="2545"/>
        <v>1</v>
      </c>
      <c r="BJ806" s="77">
        <f t="shared" si="2546"/>
        <v>6.3149999999999984E-2</v>
      </c>
      <c r="BK806" s="77">
        <f t="shared" si="2355"/>
        <v>5.1160591879111372E-3</v>
      </c>
      <c r="BL806" s="79">
        <v>0</v>
      </c>
      <c r="BM806" s="77">
        <f t="shared" si="2560"/>
        <v>0</v>
      </c>
      <c r="BN806" s="77">
        <f t="shared" si="2561"/>
        <v>0</v>
      </c>
      <c r="BO806" s="77">
        <f t="shared" si="2562"/>
        <v>2.5000000000000001E-3</v>
      </c>
      <c r="BP806" s="77">
        <f t="shared" si="2563"/>
        <v>2.0809499864316017E-4</v>
      </c>
    </row>
    <row r="807" spans="1:68">
      <c r="A807" t="s">
        <v>175</v>
      </c>
      <c r="B807" t="s">
        <v>179</v>
      </c>
      <c r="C807" s="197" t="str">
        <f t="shared" si="2320"/>
        <v>Lifecycle_Dynamic_280</v>
      </c>
      <c r="D807">
        <v>280</v>
      </c>
      <c r="E807">
        <f>VLOOKUP($D807,'[2]LC Dynamic'!$Q$2:$U$542,2,FALSE)</f>
        <v>0</v>
      </c>
      <c r="F807">
        <f>VLOOKUP($D807,'[2]LC Dynamic'!$Q$2:$U$542,3,FALSE)</f>
        <v>0</v>
      </c>
      <c r="G807">
        <f>VLOOKUP($D807,'[2]LC Dynamic'!$Q$2:$U$542,4,FALSE)</f>
        <v>0.308</v>
      </c>
      <c r="H807">
        <f>VLOOKUP($D807,'[2]LC Dynamic'!$Q$2:$U$542,5,FALSE)</f>
        <v>0.69199999999999995</v>
      </c>
      <c r="I807" s="77">
        <f t="shared" si="2536"/>
        <v>1</v>
      </c>
      <c r="J807" s="77">
        <f t="shared" si="2537"/>
        <v>6.9728499999999985E-2</v>
      </c>
      <c r="K807" s="77">
        <f t="shared" si="2327"/>
        <v>5.632878498097682E-3</v>
      </c>
      <c r="L807" s="76">
        <v>0</v>
      </c>
      <c r="M807" s="77">
        <f t="shared" si="2547"/>
        <v>0</v>
      </c>
      <c r="N807" s="77">
        <f t="shared" si="2548"/>
        <v>0</v>
      </c>
      <c r="O807" s="77">
        <f t="shared" si="2549"/>
        <v>5.6775999999999997E-3</v>
      </c>
      <c r="P807" s="77">
        <f t="shared" si="2550"/>
        <v>4.7436902124819991E-4</v>
      </c>
      <c r="R807" t="s">
        <v>177</v>
      </c>
      <c r="S807" t="s">
        <v>179</v>
      </c>
      <c r="T807" s="197" t="str">
        <f t="shared" si="2321"/>
        <v>Autopilot_Dynamic_280</v>
      </c>
      <c r="U807">
        <v>280</v>
      </c>
      <c r="V807">
        <f>VLOOKUP($U807,'[2]AP Dynamic'!$Q$1:$T$542,2,FALSE)</f>
        <v>0.88888888888888884</v>
      </c>
      <c r="W807">
        <f>VLOOKUP($U807,'[2]AP Dynamic'!$Q$1:$T$542,3,FALSE)</f>
        <v>0.11111111111111116</v>
      </c>
      <c r="X807">
        <f>VLOOKUP($U807,'[2]AP Dynamic'!$Q$1:$T$542,4,FALSE)</f>
        <v>0</v>
      </c>
      <c r="Y807" s="77">
        <f t="shared" si="2322"/>
        <v>1</v>
      </c>
      <c r="Z807" s="77">
        <f t="shared" si="2328"/>
        <v>6.3149999999999984E-2</v>
      </c>
      <c r="AA807" s="77">
        <f t="shared" si="2329"/>
        <v>5.1160591879111372E-3</v>
      </c>
      <c r="AB807" s="79">
        <v>1</v>
      </c>
      <c r="AC807" s="77">
        <f t="shared" si="2551"/>
        <v>8.277777777777778E-3</v>
      </c>
      <c r="AD807" s="77">
        <f t="shared" ref="AD807" si="2572">1-(1-AC807)^(1/12)</f>
        <v>6.9244588451522482E-4</v>
      </c>
      <c r="AE807" s="77">
        <f t="shared" si="2553"/>
        <v>2.5000000000000001E-3</v>
      </c>
      <c r="AF807" s="77">
        <f t="shared" ref="AF807" si="2573">1-(1-AE807)^(1/12)</f>
        <v>2.0857243058891584E-4</v>
      </c>
      <c r="AH807" t="s">
        <v>175</v>
      </c>
      <c r="AI807" t="s">
        <v>179</v>
      </c>
      <c r="AJ807" s="197" t="str">
        <f t="shared" si="2540"/>
        <v>Lifecycle_Dynamic_280</v>
      </c>
      <c r="AK807">
        <v>280</v>
      </c>
      <c r="AL807">
        <f>VLOOKUP($U807,[2]Standard_Dynamic!$Q$1:$T$542,2,FALSE)</f>
        <v>0.88888888888888884</v>
      </c>
      <c r="AM807">
        <f>VLOOKUP($U807,[2]Standard_Dynamic!$Q$1:$T$542,3,FALSE)</f>
        <v>0.11111111111111116</v>
      </c>
      <c r="AN807">
        <f>VLOOKUP($U807,[2]Standard_Dynamic!$Q$1:$T$542,4,FALSE)</f>
        <v>0</v>
      </c>
      <c r="AO807" s="77">
        <f t="shared" si="2541"/>
        <v>1</v>
      </c>
      <c r="AP807" s="77">
        <f t="shared" si="2555"/>
        <v>6.3149999999999984E-2</v>
      </c>
      <c r="AQ807" s="77">
        <f t="shared" si="2542"/>
        <v>5.1160591879111372E-3</v>
      </c>
      <c r="AR807" s="79">
        <v>0</v>
      </c>
      <c r="AS807" s="77">
        <f t="shared" si="2556"/>
        <v>0</v>
      </c>
      <c r="AT807" s="77">
        <f t="shared" ref="AT807" si="2574">1-(1-AS807)^(1/12)</f>
        <v>0</v>
      </c>
      <c r="AU807" s="77">
        <f t="shared" si="2558"/>
        <v>2.5000000000000001E-3</v>
      </c>
      <c r="AV807" s="77">
        <f t="shared" ref="AV807" si="2575">1-(1-AU807)^(1/12)</f>
        <v>2.0857243058891584E-4</v>
      </c>
      <c r="AX807" t="s">
        <v>178</v>
      </c>
      <c r="AY807" t="s">
        <v>162</v>
      </c>
      <c r="AZ807" s="197" t="str">
        <f t="shared" si="2354"/>
        <v>DIS_Standard_280</v>
      </c>
      <c r="BA807">
        <v>280</v>
      </c>
      <c r="BB807">
        <f>VLOOKUP($BA807,'[2]Standard DIS'!$Q$1:$X$542,4,FALSE)</f>
        <v>0</v>
      </c>
      <c r="BF807">
        <f>VLOOKUP($BA807,'[2]Standard DIS'!$Q$1:$X$542,2,FALSE)</f>
        <v>0.88888888888888884</v>
      </c>
      <c r="BH807">
        <f>VLOOKUP($BA807,'[2]Standard DIS'!$Q$1:$X$542,3,FALSE)</f>
        <v>0.11111111111111116</v>
      </c>
      <c r="BI807" s="77">
        <f t="shared" si="2545"/>
        <v>1</v>
      </c>
      <c r="BJ807" s="77">
        <f t="shared" si="2546"/>
        <v>6.3149999999999984E-2</v>
      </c>
      <c r="BK807" s="77">
        <f t="shared" si="2355"/>
        <v>5.1160591879111372E-3</v>
      </c>
      <c r="BL807" s="79">
        <v>0</v>
      </c>
      <c r="BM807" s="77">
        <f t="shared" si="2560"/>
        <v>0</v>
      </c>
      <c r="BN807" s="77">
        <f t="shared" si="2561"/>
        <v>0</v>
      </c>
      <c r="BO807" s="77">
        <f t="shared" si="2562"/>
        <v>2.5000000000000001E-3</v>
      </c>
      <c r="BP807" s="77">
        <f t="shared" si="2563"/>
        <v>2.0809499864316017E-4</v>
      </c>
    </row>
    <row r="808" spans="1:68">
      <c r="A808" t="s">
        <v>175</v>
      </c>
      <c r="B808" t="s">
        <v>179</v>
      </c>
      <c r="C808" s="197" t="str">
        <f t="shared" si="2320"/>
        <v>Lifecycle_Dynamic_279</v>
      </c>
      <c r="D808">
        <v>279</v>
      </c>
      <c r="E808">
        <f>VLOOKUP($D808,'[2]LC Dynamic'!$Q$2:$U$542,2,FALSE)</f>
        <v>0</v>
      </c>
      <c r="F808">
        <f>VLOOKUP($D808,'[2]LC Dynamic'!$Q$2:$U$542,3,FALSE)</f>
        <v>0</v>
      </c>
      <c r="G808">
        <f>VLOOKUP($D808,'[2]LC Dynamic'!$Q$2:$U$542,4,FALSE)</f>
        <v>0.308</v>
      </c>
      <c r="H808">
        <f>VLOOKUP($D808,'[2]LC Dynamic'!$Q$2:$U$542,5,FALSE)</f>
        <v>0.69199999999999995</v>
      </c>
      <c r="I808" s="77">
        <f t="shared" si="2536"/>
        <v>1</v>
      </c>
      <c r="J808" s="77">
        <f t="shared" si="2537"/>
        <v>6.9728499999999985E-2</v>
      </c>
      <c r="K808" s="77">
        <f t="shared" si="2327"/>
        <v>5.632878498097682E-3</v>
      </c>
      <c r="L808" s="76">
        <v>0</v>
      </c>
      <c r="M808" s="77">
        <f t="shared" si="2547"/>
        <v>0</v>
      </c>
      <c r="N808" s="77">
        <f t="shared" si="2548"/>
        <v>0</v>
      </c>
      <c r="O808" s="77">
        <f t="shared" si="2549"/>
        <v>5.6775999999999997E-3</v>
      </c>
      <c r="P808" s="77">
        <f t="shared" si="2550"/>
        <v>4.7436902124819991E-4</v>
      </c>
      <c r="R808" t="s">
        <v>177</v>
      </c>
      <c r="S808" t="s">
        <v>179</v>
      </c>
      <c r="T808" s="197" t="str">
        <f t="shared" si="2321"/>
        <v>Autopilot_Dynamic_279</v>
      </c>
      <c r="U808">
        <v>279</v>
      </c>
      <c r="V808">
        <f>VLOOKUP($U808,'[2]AP Dynamic'!$Q$1:$T$542,2,FALSE)</f>
        <v>0.88888888888888884</v>
      </c>
      <c r="W808">
        <f>VLOOKUP($U808,'[2]AP Dynamic'!$Q$1:$T$542,3,FALSE)</f>
        <v>0.11111111111111116</v>
      </c>
      <c r="X808">
        <f>VLOOKUP($U808,'[2]AP Dynamic'!$Q$1:$T$542,4,FALSE)</f>
        <v>0</v>
      </c>
      <c r="Y808" s="77">
        <f t="shared" si="2322"/>
        <v>1</v>
      </c>
      <c r="Z808" s="77">
        <f t="shared" si="2328"/>
        <v>6.3149999999999984E-2</v>
      </c>
      <c r="AA808" s="77">
        <f t="shared" si="2329"/>
        <v>5.1160591879111372E-3</v>
      </c>
      <c r="AB808" s="79">
        <v>1</v>
      </c>
      <c r="AC808" s="77">
        <f t="shared" si="2551"/>
        <v>8.277777777777778E-3</v>
      </c>
      <c r="AD808" s="77">
        <f t="shared" ref="AD808" si="2576">1-(1-AC808)^(1/12)</f>
        <v>6.9244588451522482E-4</v>
      </c>
      <c r="AE808" s="77">
        <f t="shared" si="2553"/>
        <v>2.5000000000000001E-3</v>
      </c>
      <c r="AF808" s="77">
        <f t="shared" ref="AF808" si="2577">1-(1-AE808)^(1/12)</f>
        <v>2.0857243058891584E-4</v>
      </c>
      <c r="AH808" t="s">
        <v>175</v>
      </c>
      <c r="AI808" t="s">
        <v>179</v>
      </c>
      <c r="AJ808" s="197" t="str">
        <f t="shared" si="2540"/>
        <v>Lifecycle_Dynamic_279</v>
      </c>
      <c r="AK808">
        <v>279</v>
      </c>
      <c r="AL808">
        <f>VLOOKUP($U808,[2]Standard_Dynamic!$Q$1:$T$542,2,FALSE)</f>
        <v>0.88888888888888884</v>
      </c>
      <c r="AM808">
        <f>VLOOKUP($U808,[2]Standard_Dynamic!$Q$1:$T$542,3,FALSE)</f>
        <v>0.11111111111111116</v>
      </c>
      <c r="AN808">
        <f>VLOOKUP($U808,[2]Standard_Dynamic!$Q$1:$T$542,4,FALSE)</f>
        <v>0</v>
      </c>
      <c r="AO808" s="77">
        <f t="shared" si="2541"/>
        <v>1</v>
      </c>
      <c r="AP808" s="77">
        <f t="shared" si="2555"/>
        <v>6.3149999999999984E-2</v>
      </c>
      <c r="AQ808" s="77">
        <f t="shared" si="2542"/>
        <v>5.1160591879111372E-3</v>
      </c>
      <c r="AR808" s="79">
        <v>0</v>
      </c>
      <c r="AS808" s="77">
        <f t="shared" si="2556"/>
        <v>0</v>
      </c>
      <c r="AT808" s="77">
        <f t="shared" ref="AT808" si="2578">1-(1-AS808)^(1/12)</f>
        <v>0</v>
      </c>
      <c r="AU808" s="77">
        <f t="shared" si="2558"/>
        <v>2.5000000000000001E-3</v>
      </c>
      <c r="AV808" s="77">
        <f t="shared" ref="AV808" si="2579">1-(1-AU808)^(1/12)</f>
        <v>2.0857243058891584E-4</v>
      </c>
      <c r="AX808" t="s">
        <v>178</v>
      </c>
      <c r="AY808" t="s">
        <v>162</v>
      </c>
      <c r="AZ808" s="197" t="str">
        <f t="shared" si="2354"/>
        <v>DIS_Standard_279</v>
      </c>
      <c r="BA808">
        <v>279</v>
      </c>
      <c r="BB808">
        <f>VLOOKUP($BA808,'[2]Standard DIS'!$Q$1:$X$542,4,FALSE)</f>
        <v>0</v>
      </c>
      <c r="BF808">
        <f>VLOOKUP($BA808,'[2]Standard DIS'!$Q$1:$X$542,2,FALSE)</f>
        <v>0.88888888888888884</v>
      </c>
      <c r="BH808">
        <f>VLOOKUP($BA808,'[2]Standard DIS'!$Q$1:$X$542,3,FALSE)</f>
        <v>0.11111111111111116</v>
      </c>
      <c r="BI808" s="77">
        <f t="shared" si="2545"/>
        <v>1</v>
      </c>
      <c r="BJ808" s="77">
        <f t="shared" si="2546"/>
        <v>6.3149999999999984E-2</v>
      </c>
      <c r="BK808" s="77">
        <f t="shared" si="2355"/>
        <v>5.1160591879111372E-3</v>
      </c>
      <c r="BL808" s="79">
        <v>0</v>
      </c>
      <c r="BM808" s="77">
        <f t="shared" si="2560"/>
        <v>0</v>
      </c>
      <c r="BN808" s="77">
        <f t="shared" si="2561"/>
        <v>0</v>
      </c>
      <c r="BO808" s="77">
        <f t="shared" si="2562"/>
        <v>2.5000000000000001E-3</v>
      </c>
      <c r="BP808" s="77">
        <f t="shared" si="2563"/>
        <v>2.0809499864316017E-4</v>
      </c>
    </row>
    <row r="809" spans="1:68">
      <c r="A809" t="s">
        <v>175</v>
      </c>
      <c r="B809" t="s">
        <v>179</v>
      </c>
      <c r="C809" s="197" t="str">
        <f t="shared" si="2320"/>
        <v>Lifecycle_Dynamic_278</v>
      </c>
      <c r="D809">
        <v>278</v>
      </c>
      <c r="E809">
        <f>VLOOKUP($D809,'[2]LC Dynamic'!$Q$2:$U$542,2,FALSE)</f>
        <v>0</v>
      </c>
      <c r="F809">
        <f>VLOOKUP($D809,'[2]LC Dynamic'!$Q$2:$U$542,3,FALSE)</f>
        <v>0</v>
      </c>
      <c r="G809">
        <f>VLOOKUP($D809,'[2]LC Dynamic'!$Q$2:$U$542,4,FALSE)</f>
        <v>0.308</v>
      </c>
      <c r="H809">
        <f>VLOOKUP($D809,'[2]LC Dynamic'!$Q$2:$U$542,5,FALSE)</f>
        <v>0.69199999999999995</v>
      </c>
      <c r="I809" s="77">
        <f t="shared" si="2536"/>
        <v>1</v>
      </c>
      <c r="J809" s="77">
        <f t="shared" si="2537"/>
        <v>6.9728499999999985E-2</v>
      </c>
      <c r="K809" s="77">
        <f t="shared" si="2327"/>
        <v>5.632878498097682E-3</v>
      </c>
      <c r="L809" s="76">
        <v>0</v>
      </c>
      <c r="M809" s="77">
        <f t="shared" si="2547"/>
        <v>0</v>
      </c>
      <c r="N809" s="77">
        <f t="shared" si="2548"/>
        <v>0</v>
      </c>
      <c r="O809" s="77">
        <f t="shared" si="2549"/>
        <v>5.6775999999999997E-3</v>
      </c>
      <c r="P809" s="77">
        <f t="shared" si="2550"/>
        <v>4.7436902124819991E-4</v>
      </c>
      <c r="R809" t="s">
        <v>177</v>
      </c>
      <c r="S809" t="s">
        <v>179</v>
      </c>
      <c r="T809" s="197" t="str">
        <f t="shared" si="2321"/>
        <v>Autopilot_Dynamic_278</v>
      </c>
      <c r="U809">
        <v>278</v>
      </c>
      <c r="V809">
        <f>VLOOKUP($U809,'[2]AP Dynamic'!$Q$1:$T$542,2,FALSE)</f>
        <v>0.88888888888888884</v>
      </c>
      <c r="W809">
        <f>VLOOKUP($U809,'[2]AP Dynamic'!$Q$1:$T$542,3,FALSE)</f>
        <v>0.11111111111111116</v>
      </c>
      <c r="X809">
        <f>VLOOKUP($U809,'[2]AP Dynamic'!$Q$1:$T$542,4,FALSE)</f>
        <v>0</v>
      </c>
      <c r="Y809" s="77">
        <f t="shared" si="2322"/>
        <v>1</v>
      </c>
      <c r="Z809" s="77">
        <f t="shared" si="2328"/>
        <v>6.3149999999999984E-2</v>
      </c>
      <c r="AA809" s="77">
        <f t="shared" si="2329"/>
        <v>5.1160591879111372E-3</v>
      </c>
      <c r="AB809" s="79">
        <v>1</v>
      </c>
      <c r="AC809" s="77">
        <f t="shared" si="2551"/>
        <v>8.277777777777778E-3</v>
      </c>
      <c r="AD809" s="77">
        <f t="shared" ref="AD809" si="2580">1-(1-AC809)^(1/12)</f>
        <v>6.9244588451522482E-4</v>
      </c>
      <c r="AE809" s="77">
        <f t="shared" si="2553"/>
        <v>2.5000000000000001E-3</v>
      </c>
      <c r="AF809" s="77">
        <f t="shared" ref="AF809" si="2581">1-(1-AE809)^(1/12)</f>
        <v>2.0857243058891584E-4</v>
      </c>
      <c r="AH809" t="s">
        <v>175</v>
      </c>
      <c r="AI809" t="s">
        <v>179</v>
      </c>
      <c r="AJ809" s="197" t="str">
        <f t="shared" si="2540"/>
        <v>Lifecycle_Dynamic_278</v>
      </c>
      <c r="AK809">
        <v>278</v>
      </c>
      <c r="AL809">
        <f>VLOOKUP($U809,[2]Standard_Dynamic!$Q$1:$T$542,2,FALSE)</f>
        <v>0.88888888888888884</v>
      </c>
      <c r="AM809">
        <f>VLOOKUP($U809,[2]Standard_Dynamic!$Q$1:$T$542,3,FALSE)</f>
        <v>0.11111111111111116</v>
      </c>
      <c r="AN809">
        <f>VLOOKUP($U809,[2]Standard_Dynamic!$Q$1:$T$542,4,FALSE)</f>
        <v>0</v>
      </c>
      <c r="AO809" s="77">
        <f t="shared" si="2541"/>
        <v>1</v>
      </c>
      <c r="AP809" s="77">
        <f t="shared" si="2555"/>
        <v>6.3149999999999984E-2</v>
      </c>
      <c r="AQ809" s="77">
        <f t="shared" si="2542"/>
        <v>5.1160591879111372E-3</v>
      </c>
      <c r="AR809" s="79">
        <v>0</v>
      </c>
      <c r="AS809" s="77">
        <f t="shared" si="2556"/>
        <v>0</v>
      </c>
      <c r="AT809" s="77">
        <f t="shared" ref="AT809" si="2582">1-(1-AS809)^(1/12)</f>
        <v>0</v>
      </c>
      <c r="AU809" s="77">
        <f t="shared" si="2558"/>
        <v>2.5000000000000001E-3</v>
      </c>
      <c r="AV809" s="77">
        <f t="shared" ref="AV809" si="2583">1-(1-AU809)^(1/12)</f>
        <v>2.0857243058891584E-4</v>
      </c>
      <c r="AX809" t="s">
        <v>178</v>
      </c>
      <c r="AY809" t="s">
        <v>162</v>
      </c>
      <c r="AZ809" s="197" t="str">
        <f t="shared" si="2354"/>
        <v>DIS_Standard_278</v>
      </c>
      <c r="BA809">
        <v>278</v>
      </c>
      <c r="BB809">
        <f>VLOOKUP($BA809,'[2]Standard DIS'!$Q$1:$X$542,4,FALSE)</f>
        <v>0</v>
      </c>
      <c r="BF809">
        <f>VLOOKUP($BA809,'[2]Standard DIS'!$Q$1:$X$542,2,FALSE)</f>
        <v>0.88888888888888884</v>
      </c>
      <c r="BH809">
        <f>VLOOKUP($BA809,'[2]Standard DIS'!$Q$1:$X$542,3,FALSE)</f>
        <v>0.11111111111111116</v>
      </c>
      <c r="BI809" s="77">
        <f t="shared" si="2545"/>
        <v>1</v>
      </c>
      <c r="BJ809" s="77">
        <f t="shared" si="2546"/>
        <v>6.3149999999999984E-2</v>
      </c>
      <c r="BK809" s="77">
        <f t="shared" si="2355"/>
        <v>5.1160591879111372E-3</v>
      </c>
      <c r="BL809" s="79">
        <v>0</v>
      </c>
      <c r="BM809" s="77">
        <f t="shared" si="2560"/>
        <v>0</v>
      </c>
      <c r="BN809" s="77">
        <f t="shared" si="2561"/>
        <v>0</v>
      </c>
      <c r="BO809" s="77">
        <f t="shared" si="2562"/>
        <v>2.5000000000000001E-3</v>
      </c>
      <c r="BP809" s="77">
        <f t="shared" si="2563"/>
        <v>2.0809499864316017E-4</v>
      </c>
    </row>
    <row r="810" spans="1:68">
      <c r="A810" t="s">
        <v>175</v>
      </c>
      <c r="B810" t="s">
        <v>179</v>
      </c>
      <c r="C810" s="197" t="str">
        <f t="shared" si="2320"/>
        <v>Lifecycle_Dynamic_277</v>
      </c>
      <c r="D810">
        <v>277</v>
      </c>
      <c r="E810">
        <f>VLOOKUP($D810,'[2]LC Dynamic'!$Q$2:$U$542,2,FALSE)</f>
        <v>0</v>
      </c>
      <c r="F810">
        <f>VLOOKUP($D810,'[2]LC Dynamic'!$Q$2:$U$542,3,FALSE)</f>
        <v>0</v>
      </c>
      <c r="G810">
        <f>VLOOKUP($D810,'[2]LC Dynamic'!$Q$2:$U$542,4,FALSE)</f>
        <v>0.308</v>
      </c>
      <c r="H810">
        <f>VLOOKUP($D810,'[2]LC Dynamic'!$Q$2:$U$542,5,FALSE)</f>
        <v>0.69199999999999995</v>
      </c>
      <c r="I810" s="77">
        <f t="shared" si="2536"/>
        <v>1</v>
      </c>
      <c r="J810" s="77">
        <f t="shared" si="2537"/>
        <v>6.9728499999999985E-2</v>
      </c>
      <c r="K810" s="77">
        <f t="shared" si="2327"/>
        <v>5.632878498097682E-3</v>
      </c>
      <c r="L810" s="76">
        <v>0</v>
      </c>
      <c r="M810" s="77">
        <f t="shared" si="2547"/>
        <v>0</v>
      </c>
      <c r="N810" s="77">
        <f t="shared" si="2548"/>
        <v>0</v>
      </c>
      <c r="O810" s="77">
        <f t="shared" si="2549"/>
        <v>5.6775999999999997E-3</v>
      </c>
      <c r="P810" s="77">
        <f t="shared" si="2550"/>
        <v>4.7436902124819991E-4</v>
      </c>
      <c r="R810" t="s">
        <v>177</v>
      </c>
      <c r="S810" t="s">
        <v>179</v>
      </c>
      <c r="T810" s="197" t="str">
        <f t="shared" si="2321"/>
        <v>Autopilot_Dynamic_277</v>
      </c>
      <c r="U810">
        <v>277</v>
      </c>
      <c r="V810">
        <f>VLOOKUP($U810,'[2]AP Dynamic'!$Q$1:$T$542,2,FALSE)</f>
        <v>0.88888888888888884</v>
      </c>
      <c r="W810">
        <f>VLOOKUP($U810,'[2]AP Dynamic'!$Q$1:$T$542,3,FALSE)</f>
        <v>0.11111111111111116</v>
      </c>
      <c r="X810">
        <f>VLOOKUP($U810,'[2]AP Dynamic'!$Q$1:$T$542,4,FALSE)</f>
        <v>0</v>
      </c>
      <c r="Y810" s="77">
        <f t="shared" si="2322"/>
        <v>1</v>
      </c>
      <c r="Z810" s="77">
        <f t="shared" si="2328"/>
        <v>6.3149999999999984E-2</v>
      </c>
      <c r="AA810" s="77">
        <f t="shared" si="2329"/>
        <v>5.1160591879111372E-3</v>
      </c>
      <c r="AB810" s="79">
        <v>1</v>
      </c>
      <c r="AC810" s="77">
        <f t="shared" si="2551"/>
        <v>8.277777777777778E-3</v>
      </c>
      <c r="AD810" s="77">
        <f t="shared" ref="AD810" si="2584">1-(1-AC810)^(1/12)</f>
        <v>6.9244588451522482E-4</v>
      </c>
      <c r="AE810" s="77">
        <f t="shared" si="2553"/>
        <v>2.5000000000000001E-3</v>
      </c>
      <c r="AF810" s="77">
        <f t="shared" ref="AF810" si="2585">1-(1-AE810)^(1/12)</f>
        <v>2.0857243058891584E-4</v>
      </c>
      <c r="AH810" t="s">
        <v>175</v>
      </c>
      <c r="AI810" t="s">
        <v>179</v>
      </c>
      <c r="AJ810" s="197" t="str">
        <f t="shared" si="2540"/>
        <v>Lifecycle_Dynamic_277</v>
      </c>
      <c r="AK810">
        <v>277</v>
      </c>
      <c r="AL810">
        <f>VLOOKUP($U810,[2]Standard_Dynamic!$Q$1:$T$542,2,FALSE)</f>
        <v>0.88888888888888884</v>
      </c>
      <c r="AM810">
        <f>VLOOKUP($U810,[2]Standard_Dynamic!$Q$1:$T$542,3,FALSE)</f>
        <v>0.11111111111111116</v>
      </c>
      <c r="AN810">
        <f>VLOOKUP($U810,[2]Standard_Dynamic!$Q$1:$T$542,4,FALSE)</f>
        <v>0</v>
      </c>
      <c r="AO810" s="77">
        <f t="shared" si="2541"/>
        <v>1</v>
      </c>
      <c r="AP810" s="77">
        <f t="shared" si="2555"/>
        <v>6.3149999999999984E-2</v>
      </c>
      <c r="AQ810" s="77">
        <f t="shared" si="2542"/>
        <v>5.1160591879111372E-3</v>
      </c>
      <c r="AR810" s="79">
        <v>0</v>
      </c>
      <c r="AS810" s="77">
        <f t="shared" si="2556"/>
        <v>0</v>
      </c>
      <c r="AT810" s="77">
        <f t="shared" ref="AT810" si="2586">1-(1-AS810)^(1/12)</f>
        <v>0</v>
      </c>
      <c r="AU810" s="77">
        <f t="shared" si="2558"/>
        <v>2.5000000000000001E-3</v>
      </c>
      <c r="AV810" s="77">
        <f t="shared" ref="AV810" si="2587">1-(1-AU810)^(1/12)</f>
        <v>2.0857243058891584E-4</v>
      </c>
      <c r="AX810" t="s">
        <v>178</v>
      </c>
      <c r="AY810" t="s">
        <v>162</v>
      </c>
      <c r="AZ810" s="197" t="str">
        <f t="shared" si="2354"/>
        <v>DIS_Standard_277</v>
      </c>
      <c r="BA810">
        <v>277</v>
      </c>
      <c r="BB810">
        <f>VLOOKUP($BA810,'[2]Standard DIS'!$Q$1:$X$542,4,FALSE)</f>
        <v>0</v>
      </c>
      <c r="BF810">
        <f>VLOOKUP($BA810,'[2]Standard DIS'!$Q$1:$X$542,2,FALSE)</f>
        <v>0.88888888888888884</v>
      </c>
      <c r="BH810">
        <f>VLOOKUP($BA810,'[2]Standard DIS'!$Q$1:$X$542,3,FALSE)</f>
        <v>0.11111111111111116</v>
      </c>
      <c r="BI810" s="77">
        <f t="shared" si="2545"/>
        <v>1</v>
      </c>
      <c r="BJ810" s="77">
        <f t="shared" si="2546"/>
        <v>6.3149999999999984E-2</v>
      </c>
      <c r="BK810" s="77">
        <f t="shared" si="2355"/>
        <v>5.1160591879111372E-3</v>
      </c>
      <c r="BL810" s="79">
        <v>0</v>
      </c>
      <c r="BM810" s="77">
        <f t="shared" si="2560"/>
        <v>0</v>
      </c>
      <c r="BN810" s="77">
        <f t="shared" si="2561"/>
        <v>0</v>
      </c>
      <c r="BO810" s="77">
        <f t="shared" si="2562"/>
        <v>2.5000000000000001E-3</v>
      </c>
      <c r="BP810" s="77">
        <f t="shared" si="2563"/>
        <v>2.0809499864316017E-4</v>
      </c>
    </row>
    <row r="811" spans="1:68">
      <c r="A811" t="s">
        <v>175</v>
      </c>
      <c r="B811" t="s">
        <v>179</v>
      </c>
      <c r="C811" s="197" t="str">
        <f t="shared" si="2320"/>
        <v>Lifecycle_Dynamic_276</v>
      </c>
      <c r="D811">
        <v>276</v>
      </c>
      <c r="E811">
        <f>VLOOKUP($D811,'[2]LC Dynamic'!$Q$2:$U$542,2,FALSE)</f>
        <v>0</v>
      </c>
      <c r="F811">
        <f>VLOOKUP($D811,'[2]LC Dynamic'!$Q$2:$U$542,3,FALSE)</f>
        <v>0</v>
      </c>
      <c r="G811">
        <f>VLOOKUP($D811,'[2]LC Dynamic'!$Q$2:$U$542,4,FALSE)</f>
        <v>0.308</v>
      </c>
      <c r="H811">
        <f>VLOOKUP($D811,'[2]LC Dynamic'!$Q$2:$U$542,5,FALSE)</f>
        <v>0.69199999999999995</v>
      </c>
      <c r="I811" s="77">
        <f t="shared" si="2536"/>
        <v>1</v>
      </c>
      <c r="J811" s="77">
        <f t="shared" si="2537"/>
        <v>6.9728499999999985E-2</v>
      </c>
      <c r="K811" s="77">
        <f t="shared" si="2327"/>
        <v>5.632878498097682E-3</v>
      </c>
      <c r="L811" s="76">
        <v>0</v>
      </c>
      <c r="M811" s="77">
        <f t="shared" si="2547"/>
        <v>0</v>
      </c>
      <c r="N811" s="77">
        <f t="shared" si="2548"/>
        <v>0</v>
      </c>
      <c r="O811" s="77">
        <f t="shared" si="2549"/>
        <v>5.6775999999999997E-3</v>
      </c>
      <c r="P811" s="77">
        <f t="shared" si="2550"/>
        <v>4.7436902124819991E-4</v>
      </c>
      <c r="R811" t="s">
        <v>177</v>
      </c>
      <c r="S811" t="s">
        <v>179</v>
      </c>
      <c r="T811" s="197" t="str">
        <f t="shared" si="2321"/>
        <v>Autopilot_Dynamic_276</v>
      </c>
      <c r="U811">
        <v>276</v>
      </c>
      <c r="V811">
        <f>VLOOKUP($U811,'[2]AP Dynamic'!$Q$1:$T$542,2,FALSE)</f>
        <v>0.88888888888888884</v>
      </c>
      <c r="W811">
        <f>VLOOKUP($U811,'[2]AP Dynamic'!$Q$1:$T$542,3,FALSE)</f>
        <v>0.11111111111111116</v>
      </c>
      <c r="X811">
        <f>VLOOKUP($U811,'[2]AP Dynamic'!$Q$1:$T$542,4,FALSE)</f>
        <v>0</v>
      </c>
      <c r="Y811" s="77">
        <f t="shared" si="2322"/>
        <v>1</v>
      </c>
      <c r="Z811" s="77">
        <f t="shared" si="2328"/>
        <v>6.3149999999999984E-2</v>
      </c>
      <c r="AA811" s="77">
        <f t="shared" si="2329"/>
        <v>5.1160591879111372E-3</v>
      </c>
      <c r="AB811" s="79">
        <v>1</v>
      </c>
      <c r="AC811" s="77">
        <f t="shared" si="2551"/>
        <v>8.277777777777778E-3</v>
      </c>
      <c r="AD811" s="77">
        <f t="shared" ref="AD811" si="2588">1-(1-AC811)^(1/12)</f>
        <v>6.9244588451522482E-4</v>
      </c>
      <c r="AE811" s="77">
        <f t="shared" si="2553"/>
        <v>2.5000000000000001E-3</v>
      </c>
      <c r="AF811" s="77">
        <f t="shared" ref="AF811" si="2589">1-(1-AE811)^(1/12)</f>
        <v>2.0857243058891584E-4</v>
      </c>
      <c r="AH811" t="s">
        <v>175</v>
      </c>
      <c r="AI811" t="s">
        <v>179</v>
      </c>
      <c r="AJ811" s="197" t="str">
        <f t="shared" si="2540"/>
        <v>Lifecycle_Dynamic_276</v>
      </c>
      <c r="AK811">
        <v>276</v>
      </c>
      <c r="AL811">
        <f>VLOOKUP($U811,[2]Standard_Dynamic!$Q$1:$T$542,2,FALSE)</f>
        <v>0.88888888888888884</v>
      </c>
      <c r="AM811">
        <f>VLOOKUP($U811,[2]Standard_Dynamic!$Q$1:$T$542,3,FALSE)</f>
        <v>0.11111111111111116</v>
      </c>
      <c r="AN811">
        <f>VLOOKUP($U811,[2]Standard_Dynamic!$Q$1:$T$542,4,FALSE)</f>
        <v>0</v>
      </c>
      <c r="AO811" s="77">
        <f t="shared" si="2541"/>
        <v>1</v>
      </c>
      <c r="AP811" s="77">
        <f t="shared" si="2555"/>
        <v>6.3149999999999984E-2</v>
      </c>
      <c r="AQ811" s="77">
        <f t="shared" si="2542"/>
        <v>5.1160591879111372E-3</v>
      </c>
      <c r="AR811" s="79">
        <v>0</v>
      </c>
      <c r="AS811" s="77">
        <f t="shared" si="2556"/>
        <v>0</v>
      </c>
      <c r="AT811" s="77">
        <f t="shared" ref="AT811" si="2590">1-(1-AS811)^(1/12)</f>
        <v>0</v>
      </c>
      <c r="AU811" s="77">
        <f t="shared" si="2558"/>
        <v>2.5000000000000001E-3</v>
      </c>
      <c r="AV811" s="77">
        <f t="shared" ref="AV811" si="2591">1-(1-AU811)^(1/12)</f>
        <v>2.0857243058891584E-4</v>
      </c>
      <c r="AX811" t="s">
        <v>178</v>
      </c>
      <c r="AY811" t="s">
        <v>162</v>
      </c>
      <c r="AZ811" s="197" t="str">
        <f t="shared" si="2354"/>
        <v>DIS_Standard_276</v>
      </c>
      <c r="BA811">
        <v>276</v>
      </c>
      <c r="BB811">
        <f>VLOOKUP($BA811,'[2]Standard DIS'!$Q$1:$X$542,4,FALSE)</f>
        <v>0</v>
      </c>
      <c r="BF811">
        <f>VLOOKUP($BA811,'[2]Standard DIS'!$Q$1:$X$542,2,FALSE)</f>
        <v>0.88888888888888884</v>
      </c>
      <c r="BH811">
        <f>VLOOKUP($BA811,'[2]Standard DIS'!$Q$1:$X$542,3,FALSE)</f>
        <v>0.11111111111111116</v>
      </c>
      <c r="BI811" s="77">
        <f t="shared" si="2545"/>
        <v>1</v>
      </c>
      <c r="BJ811" s="77">
        <f t="shared" si="2546"/>
        <v>6.3149999999999984E-2</v>
      </c>
      <c r="BK811" s="77">
        <f t="shared" si="2355"/>
        <v>5.1160591879111372E-3</v>
      </c>
      <c r="BL811" s="79">
        <v>0</v>
      </c>
      <c r="BM811" s="77">
        <f t="shared" si="2560"/>
        <v>0</v>
      </c>
      <c r="BN811" s="77">
        <f t="shared" si="2561"/>
        <v>0</v>
      </c>
      <c r="BO811" s="77">
        <f t="shared" si="2562"/>
        <v>2.5000000000000001E-3</v>
      </c>
      <c r="BP811" s="77">
        <f t="shared" si="2563"/>
        <v>2.0809499864316017E-4</v>
      </c>
    </row>
    <row r="812" spans="1:68">
      <c r="A812" t="s">
        <v>175</v>
      </c>
      <c r="B812" t="s">
        <v>179</v>
      </c>
      <c r="C812" s="197" t="str">
        <f t="shared" si="2320"/>
        <v>Lifecycle_Dynamic_275</v>
      </c>
      <c r="D812">
        <v>275</v>
      </c>
      <c r="E812">
        <f>VLOOKUP($D812,'[2]LC Dynamic'!$Q$2:$U$542,2,FALSE)</f>
        <v>0</v>
      </c>
      <c r="F812">
        <f>VLOOKUP($D812,'[2]LC Dynamic'!$Q$2:$U$542,3,FALSE)</f>
        <v>0</v>
      </c>
      <c r="G812">
        <f>VLOOKUP($D812,'[2]LC Dynamic'!$Q$2:$U$542,4,FALSE)</f>
        <v>0.308</v>
      </c>
      <c r="H812">
        <f>VLOOKUP($D812,'[2]LC Dynamic'!$Q$2:$U$542,5,FALSE)</f>
        <v>0.69199999999999995</v>
      </c>
      <c r="I812" s="77">
        <f t="shared" si="2536"/>
        <v>1</v>
      </c>
      <c r="J812" s="77">
        <f t="shared" si="2537"/>
        <v>6.9728499999999985E-2</v>
      </c>
      <c r="K812" s="77">
        <f t="shared" si="2327"/>
        <v>5.632878498097682E-3</v>
      </c>
      <c r="L812" s="76">
        <v>0</v>
      </c>
      <c r="M812" s="77">
        <f t="shared" si="2547"/>
        <v>0</v>
      </c>
      <c r="N812" s="77">
        <f t="shared" si="2548"/>
        <v>0</v>
      </c>
      <c r="O812" s="77">
        <f t="shared" si="2549"/>
        <v>5.6775999999999997E-3</v>
      </c>
      <c r="P812" s="77">
        <f t="shared" si="2550"/>
        <v>4.7436902124819991E-4</v>
      </c>
      <c r="R812" t="s">
        <v>177</v>
      </c>
      <c r="S812" t="s">
        <v>179</v>
      </c>
      <c r="T812" s="197" t="str">
        <f t="shared" si="2321"/>
        <v>Autopilot_Dynamic_275</v>
      </c>
      <c r="U812">
        <v>275</v>
      </c>
      <c r="V812">
        <f>VLOOKUP($U812,'[2]AP Dynamic'!$Q$1:$T$542,2,FALSE)</f>
        <v>0.88888888888888884</v>
      </c>
      <c r="W812">
        <f>VLOOKUP($U812,'[2]AP Dynamic'!$Q$1:$T$542,3,FALSE)</f>
        <v>0.11111111111111116</v>
      </c>
      <c r="X812">
        <f>VLOOKUP($U812,'[2]AP Dynamic'!$Q$1:$T$542,4,FALSE)</f>
        <v>0</v>
      </c>
      <c r="Y812" s="77">
        <f t="shared" si="2322"/>
        <v>1</v>
      </c>
      <c r="Z812" s="77">
        <f t="shared" si="2328"/>
        <v>6.3149999999999984E-2</v>
      </c>
      <c r="AA812" s="77">
        <f t="shared" si="2329"/>
        <v>5.1160591879111372E-3</v>
      </c>
      <c r="AB812" s="79">
        <v>1</v>
      </c>
      <c r="AC812" s="77">
        <f t="shared" si="2551"/>
        <v>8.277777777777778E-3</v>
      </c>
      <c r="AD812" s="77">
        <f t="shared" ref="AD812" si="2592">1-(1-AC812)^(1/12)</f>
        <v>6.9244588451522482E-4</v>
      </c>
      <c r="AE812" s="77">
        <f t="shared" si="2553"/>
        <v>2.5000000000000001E-3</v>
      </c>
      <c r="AF812" s="77">
        <f t="shared" ref="AF812" si="2593">1-(1-AE812)^(1/12)</f>
        <v>2.0857243058891584E-4</v>
      </c>
      <c r="AH812" t="s">
        <v>175</v>
      </c>
      <c r="AI812" t="s">
        <v>179</v>
      </c>
      <c r="AJ812" s="197" t="str">
        <f t="shared" si="2540"/>
        <v>Lifecycle_Dynamic_275</v>
      </c>
      <c r="AK812">
        <v>275</v>
      </c>
      <c r="AL812">
        <f>VLOOKUP($U812,[2]Standard_Dynamic!$Q$1:$T$542,2,FALSE)</f>
        <v>0.88888888888888884</v>
      </c>
      <c r="AM812">
        <f>VLOOKUP($U812,[2]Standard_Dynamic!$Q$1:$T$542,3,FALSE)</f>
        <v>0.11111111111111116</v>
      </c>
      <c r="AN812">
        <f>VLOOKUP($U812,[2]Standard_Dynamic!$Q$1:$T$542,4,FALSE)</f>
        <v>0</v>
      </c>
      <c r="AO812" s="77">
        <f t="shared" si="2541"/>
        <v>1</v>
      </c>
      <c r="AP812" s="77">
        <f t="shared" si="2555"/>
        <v>6.3149999999999984E-2</v>
      </c>
      <c r="AQ812" s="77">
        <f t="shared" si="2542"/>
        <v>5.1160591879111372E-3</v>
      </c>
      <c r="AR812" s="79">
        <v>0</v>
      </c>
      <c r="AS812" s="77">
        <f t="shared" si="2556"/>
        <v>0</v>
      </c>
      <c r="AT812" s="77">
        <f t="shared" ref="AT812" si="2594">1-(1-AS812)^(1/12)</f>
        <v>0</v>
      </c>
      <c r="AU812" s="77">
        <f t="shared" si="2558"/>
        <v>2.5000000000000001E-3</v>
      </c>
      <c r="AV812" s="77">
        <f t="shared" ref="AV812" si="2595">1-(1-AU812)^(1/12)</f>
        <v>2.0857243058891584E-4</v>
      </c>
      <c r="AX812" t="s">
        <v>178</v>
      </c>
      <c r="AY812" t="s">
        <v>162</v>
      </c>
      <c r="AZ812" s="197" t="str">
        <f t="shared" si="2354"/>
        <v>DIS_Standard_275</v>
      </c>
      <c r="BA812">
        <v>275</v>
      </c>
      <c r="BB812">
        <f>VLOOKUP($BA812,'[2]Standard DIS'!$Q$1:$X$542,4,FALSE)</f>
        <v>0</v>
      </c>
      <c r="BF812">
        <f>VLOOKUP($BA812,'[2]Standard DIS'!$Q$1:$X$542,2,FALSE)</f>
        <v>0.88888888888888884</v>
      </c>
      <c r="BH812">
        <f>VLOOKUP($BA812,'[2]Standard DIS'!$Q$1:$X$542,3,FALSE)</f>
        <v>0.11111111111111116</v>
      </c>
      <c r="BI812" s="77">
        <f t="shared" si="2545"/>
        <v>1</v>
      </c>
      <c r="BJ812" s="77">
        <f t="shared" si="2546"/>
        <v>6.3149999999999984E-2</v>
      </c>
      <c r="BK812" s="77">
        <f t="shared" si="2355"/>
        <v>5.1160591879111372E-3</v>
      </c>
      <c r="BL812" s="79">
        <v>0</v>
      </c>
      <c r="BM812" s="77">
        <f t="shared" si="2560"/>
        <v>0</v>
      </c>
      <c r="BN812" s="77">
        <f t="shared" si="2561"/>
        <v>0</v>
      </c>
      <c r="BO812" s="77">
        <f t="shared" si="2562"/>
        <v>2.5000000000000001E-3</v>
      </c>
      <c r="BP812" s="77">
        <f t="shared" si="2563"/>
        <v>2.0809499864316017E-4</v>
      </c>
    </row>
    <row r="813" spans="1:68">
      <c r="A813" t="s">
        <v>175</v>
      </c>
      <c r="B813" t="s">
        <v>179</v>
      </c>
      <c r="C813" s="197" t="str">
        <f t="shared" si="2320"/>
        <v>Lifecycle_Dynamic_274</v>
      </c>
      <c r="D813">
        <v>274</v>
      </c>
      <c r="E813">
        <f>VLOOKUP($D813,'[2]LC Dynamic'!$Q$2:$U$542,2,FALSE)</f>
        <v>0</v>
      </c>
      <c r="F813">
        <f>VLOOKUP($D813,'[2]LC Dynamic'!$Q$2:$U$542,3,FALSE)</f>
        <v>0</v>
      </c>
      <c r="G813">
        <f>VLOOKUP($D813,'[2]LC Dynamic'!$Q$2:$U$542,4,FALSE)</f>
        <v>0.308</v>
      </c>
      <c r="H813">
        <f>VLOOKUP($D813,'[2]LC Dynamic'!$Q$2:$U$542,5,FALSE)</f>
        <v>0.69199999999999995</v>
      </c>
      <c r="I813" s="77">
        <f t="shared" si="2536"/>
        <v>1</v>
      </c>
      <c r="J813" s="77">
        <f t="shared" si="2537"/>
        <v>6.9728499999999985E-2</v>
      </c>
      <c r="K813" s="77">
        <f t="shared" si="2327"/>
        <v>5.632878498097682E-3</v>
      </c>
      <c r="L813" s="76">
        <v>0</v>
      </c>
      <c r="M813" s="77">
        <f t="shared" si="2547"/>
        <v>0</v>
      </c>
      <c r="N813" s="77">
        <f t="shared" si="2548"/>
        <v>0</v>
      </c>
      <c r="O813" s="77">
        <f t="shared" si="2549"/>
        <v>5.6775999999999997E-3</v>
      </c>
      <c r="P813" s="77">
        <f t="shared" si="2550"/>
        <v>4.7436902124819991E-4</v>
      </c>
      <c r="R813" t="s">
        <v>177</v>
      </c>
      <c r="S813" t="s">
        <v>179</v>
      </c>
      <c r="T813" s="197" t="str">
        <f t="shared" si="2321"/>
        <v>Autopilot_Dynamic_274</v>
      </c>
      <c r="U813">
        <v>274</v>
      </c>
      <c r="V813">
        <f>VLOOKUP($U813,'[2]AP Dynamic'!$Q$1:$T$542,2,FALSE)</f>
        <v>0.88888888888888884</v>
      </c>
      <c r="W813">
        <f>VLOOKUP($U813,'[2]AP Dynamic'!$Q$1:$T$542,3,FALSE)</f>
        <v>0.11111111111111116</v>
      </c>
      <c r="X813">
        <f>VLOOKUP($U813,'[2]AP Dynamic'!$Q$1:$T$542,4,FALSE)</f>
        <v>0</v>
      </c>
      <c r="Y813" s="77">
        <f t="shared" si="2322"/>
        <v>1</v>
      </c>
      <c r="Z813" s="77">
        <f t="shared" si="2328"/>
        <v>6.3149999999999984E-2</v>
      </c>
      <c r="AA813" s="77">
        <f t="shared" si="2329"/>
        <v>5.1160591879111372E-3</v>
      </c>
      <c r="AB813" s="79">
        <v>1</v>
      </c>
      <c r="AC813" s="77">
        <f t="shared" si="2551"/>
        <v>8.277777777777778E-3</v>
      </c>
      <c r="AD813" s="77">
        <f t="shared" ref="AD813" si="2596">1-(1-AC813)^(1/12)</f>
        <v>6.9244588451522482E-4</v>
      </c>
      <c r="AE813" s="77">
        <f t="shared" si="2553"/>
        <v>2.5000000000000001E-3</v>
      </c>
      <c r="AF813" s="77">
        <f t="shared" ref="AF813" si="2597">1-(1-AE813)^(1/12)</f>
        <v>2.0857243058891584E-4</v>
      </c>
      <c r="AH813" t="s">
        <v>175</v>
      </c>
      <c r="AI813" t="s">
        <v>179</v>
      </c>
      <c r="AJ813" s="197" t="str">
        <f t="shared" si="2540"/>
        <v>Lifecycle_Dynamic_274</v>
      </c>
      <c r="AK813">
        <v>274</v>
      </c>
      <c r="AL813">
        <f>VLOOKUP($U813,[2]Standard_Dynamic!$Q$1:$T$542,2,FALSE)</f>
        <v>0.88888888888888884</v>
      </c>
      <c r="AM813">
        <f>VLOOKUP($U813,[2]Standard_Dynamic!$Q$1:$T$542,3,FALSE)</f>
        <v>0.11111111111111116</v>
      </c>
      <c r="AN813">
        <f>VLOOKUP($U813,[2]Standard_Dynamic!$Q$1:$T$542,4,FALSE)</f>
        <v>0</v>
      </c>
      <c r="AO813" s="77">
        <f t="shared" si="2541"/>
        <v>1</v>
      </c>
      <c r="AP813" s="77">
        <f t="shared" si="2555"/>
        <v>6.3149999999999984E-2</v>
      </c>
      <c r="AQ813" s="77">
        <f t="shared" si="2542"/>
        <v>5.1160591879111372E-3</v>
      </c>
      <c r="AR813" s="79">
        <v>0</v>
      </c>
      <c r="AS813" s="77">
        <f t="shared" si="2556"/>
        <v>0</v>
      </c>
      <c r="AT813" s="77">
        <f t="shared" ref="AT813" si="2598">1-(1-AS813)^(1/12)</f>
        <v>0</v>
      </c>
      <c r="AU813" s="77">
        <f t="shared" si="2558"/>
        <v>2.5000000000000001E-3</v>
      </c>
      <c r="AV813" s="77">
        <f t="shared" ref="AV813" si="2599">1-(1-AU813)^(1/12)</f>
        <v>2.0857243058891584E-4</v>
      </c>
      <c r="AX813" t="s">
        <v>178</v>
      </c>
      <c r="AY813" t="s">
        <v>162</v>
      </c>
      <c r="AZ813" s="197" t="str">
        <f t="shared" si="2354"/>
        <v>DIS_Standard_274</v>
      </c>
      <c r="BA813">
        <v>274</v>
      </c>
      <c r="BB813">
        <f>VLOOKUP($BA813,'[2]Standard DIS'!$Q$1:$X$542,4,FALSE)</f>
        <v>0</v>
      </c>
      <c r="BF813">
        <f>VLOOKUP($BA813,'[2]Standard DIS'!$Q$1:$X$542,2,FALSE)</f>
        <v>0.88888888888888884</v>
      </c>
      <c r="BH813">
        <f>VLOOKUP($BA813,'[2]Standard DIS'!$Q$1:$X$542,3,FALSE)</f>
        <v>0.11111111111111116</v>
      </c>
      <c r="BI813" s="77">
        <f t="shared" si="2545"/>
        <v>1</v>
      </c>
      <c r="BJ813" s="77">
        <f t="shared" si="2546"/>
        <v>6.3149999999999984E-2</v>
      </c>
      <c r="BK813" s="77">
        <f t="shared" si="2355"/>
        <v>5.1160591879111372E-3</v>
      </c>
      <c r="BL813" s="79">
        <v>0</v>
      </c>
      <c r="BM813" s="77">
        <f t="shared" si="2560"/>
        <v>0</v>
      </c>
      <c r="BN813" s="77">
        <f t="shared" si="2561"/>
        <v>0</v>
      </c>
      <c r="BO813" s="77">
        <f t="shared" si="2562"/>
        <v>2.5000000000000001E-3</v>
      </c>
      <c r="BP813" s="77">
        <f t="shared" si="2563"/>
        <v>2.0809499864316017E-4</v>
      </c>
    </row>
    <row r="814" spans="1:68">
      <c r="A814" t="s">
        <v>175</v>
      </c>
      <c r="B814" t="s">
        <v>179</v>
      </c>
      <c r="C814" s="197" t="str">
        <f t="shared" si="2320"/>
        <v>Lifecycle_Dynamic_273</v>
      </c>
      <c r="D814">
        <v>273</v>
      </c>
      <c r="E814">
        <f>VLOOKUP($D814,'[2]LC Dynamic'!$Q$2:$U$542,2,FALSE)</f>
        <v>0</v>
      </c>
      <c r="F814">
        <f>VLOOKUP($D814,'[2]LC Dynamic'!$Q$2:$U$542,3,FALSE)</f>
        <v>0</v>
      </c>
      <c r="G814">
        <f>VLOOKUP($D814,'[2]LC Dynamic'!$Q$2:$U$542,4,FALSE)</f>
        <v>0.308</v>
      </c>
      <c r="H814">
        <f>VLOOKUP($D814,'[2]LC Dynamic'!$Q$2:$U$542,5,FALSE)</f>
        <v>0.69199999999999995</v>
      </c>
      <c r="I814" s="77">
        <f t="shared" si="2536"/>
        <v>1</v>
      </c>
      <c r="J814" s="77">
        <f t="shared" si="2537"/>
        <v>6.9728499999999985E-2</v>
      </c>
      <c r="K814" s="77">
        <f t="shared" si="2327"/>
        <v>5.632878498097682E-3</v>
      </c>
      <c r="L814" s="76">
        <v>0</v>
      </c>
      <c r="M814" s="77">
        <f t="shared" si="2547"/>
        <v>0</v>
      </c>
      <c r="N814" s="77">
        <f t="shared" si="2548"/>
        <v>0</v>
      </c>
      <c r="O814" s="77">
        <f t="shared" si="2549"/>
        <v>5.6775999999999997E-3</v>
      </c>
      <c r="P814" s="77">
        <f t="shared" si="2550"/>
        <v>4.7436902124819991E-4</v>
      </c>
      <c r="R814" t="s">
        <v>177</v>
      </c>
      <c r="S814" t="s">
        <v>179</v>
      </c>
      <c r="T814" s="197" t="str">
        <f t="shared" si="2321"/>
        <v>Autopilot_Dynamic_273</v>
      </c>
      <c r="U814">
        <v>273</v>
      </c>
      <c r="V814">
        <f>VLOOKUP($U814,'[2]AP Dynamic'!$Q$1:$T$542,2,FALSE)</f>
        <v>0.88888888888888884</v>
      </c>
      <c r="W814">
        <f>VLOOKUP($U814,'[2]AP Dynamic'!$Q$1:$T$542,3,FALSE)</f>
        <v>0.11111111111111116</v>
      </c>
      <c r="X814">
        <f>VLOOKUP($U814,'[2]AP Dynamic'!$Q$1:$T$542,4,FALSE)</f>
        <v>0</v>
      </c>
      <c r="Y814" s="77">
        <f t="shared" si="2322"/>
        <v>1</v>
      </c>
      <c r="Z814" s="77">
        <f t="shared" si="2328"/>
        <v>6.3149999999999984E-2</v>
      </c>
      <c r="AA814" s="77">
        <f t="shared" si="2329"/>
        <v>5.1160591879111372E-3</v>
      </c>
      <c r="AB814" s="79">
        <v>1</v>
      </c>
      <c r="AC814" s="77">
        <f t="shared" si="2551"/>
        <v>8.277777777777778E-3</v>
      </c>
      <c r="AD814" s="77">
        <f t="shared" ref="AD814" si="2600">1-(1-AC814)^(1/12)</f>
        <v>6.9244588451522482E-4</v>
      </c>
      <c r="AE814" s="77">
        <f t="shared" si="2553"/>
        <v>2.5000000000000001E-3</v>
      </c>
      <c r="AF814" s="77">
        <f t="shared" ref="AF814" si="2601">1-(1-AE814)^(1/12)</f>
        <v>2.0857243058891584E-4</v>
      </c>
      <c r="AH814" t="s">
        <v>175</v>
      </c>
      <c r="AI814" t="s">
        <v>179</v>
      </c>
      <c r="AJ814" s="197" t="str">
        <f t="shared" si="2540"/>
        <v>Lifecycle_Dynamic_273</v>
      </c>
      <c r="AK814">
        <v>273</v>
      </c>
      <c r="AL814">
        <f>VLOOKUP($U814,[2]Standard_Dynamic!$Q$1:$T$542,2,FALSE)</f>
        <v>0.88888888888888884</v>
      </c>
      <c r="AM814">
        <f>VLOOKUP($U814,[2]Standard_Dynamic!$Q$1:$T$542,3,FALSE)</f>
        <v>0.11111111111111116</v>
      </c>
      <c r="AN814">
        <f>VLOOKUP($U814,[2]Standard_Dynamic!$Q$1:$T$542,4,FALSE)</f>
        <v>0</v>
      </c>
      <c r="AO814" s="77">
        <f t="shared" si="2541"/>
        <v>1</v>
      </c>
      <c r="AP814" s="77">
        <f t="shared" si="2555"/>
        <v>6.3149999999999984E-2</v>
      </c>
      <c r="AQ814" s="77">
        <f t="shared" si="2542"/>
        <v>5.1160591879111372E-3</v>
      </c>
      <c r="AR814" s="79">
        <v>0</v>
      </c>
      <c r="AS814" s="77">
        <f t="shared" si="2556"/>
        <v>0</v>
      </c>
      <c r="AT814" s="77">
        <f t="shared" ref="AT814" si="2602">1-(1-AS814)^(1/12)</f>
        <v>0</v>
      </c>
      <c r="AU814" s="77">
        <f t="shared" si="2558"/>
        <v>2.5000000000000001E-3</v>
      </c>
      <c r="AV814" s="77">
        <f t="shared" ref="AV814" si="2603">1-(1-AU814)^(1/12)</f>
        <v>2.0857243058891584E-4</v>
      </c>
      <c r="AX814" t="s">
        <v>178</v>
      </c>
      <c r="AY814" t="s">
        <v>162</v>
      </c>
      <c r="AZ814" s="197" t="str">
        <f t="shared" si="2354"/>
        <v>DIS_Standard_273</v>
      </c>
      <c r="BA814">
        <v>273</v>
      </c>
      <c r="BB814">
        <f>VLOOKUP($BA814,'[2]Standard DIS'!$Q$1:$X$542,4,FALSE)</f>
        <v>0</v>
      </c>
      <c r="BF814">
        <f>VLOOKUP($BA814,'[2]Standard DIS'!$Q$1:$X$542,2,FALSE)</f>
        <v>0.88888888888888884</v>
      </c>
      <c r="BH814">
        <f>VLOOKUP($BA814,'[2]Standard DIS'!$Q$1:$X$542,3,FALSE)</f>
        <v>0.11111111111111116</v>
      </c>
      <c r="BI814" s="77">
        <f t="shared" si="2545"/>
        <v>1</v>
      </c>
      <c r="BJ814" s="77">
        <f t="shared" si="2546"/>
        <v>6.3149999999999984E-2</v>
      </c>
      <c r="BK814" s="77">
        <f t="shared" si="2355"/>
        <v>5.1160591879111372E-3</v>
      </c>
      <c r="BL814" s="79">
        <v>0</v>
      </c>
      <c r="BM814" s="77">
        <f t="shared" si="2560"/>
        <v>0</v>
      </c>
      <c r="BN814" s="77">
        <f t="shared" si="2561"/>
        <v>0</v>
      </c>
      <c r="BO814" s="77">
        <f t="shared" si="2562"/>
        <v>2.5000000000000001E-3</v>
      </c>
      <c r="BP814" s="77">
        <f t="shared" si="2563"/>
        <v>2.0809499864316017E-4</v>
      </c>
    </row>
    <row r="815" spans="1:68">
      <c r="A815" t="s">
        <v>175</v>
      </c>
      <c r="B815" t="s">
        <v>179</v>
      </c>
      <c r="C815" s="197" t="str">
        <f t="shared" ref="C815:C878" si="2604">A815&amp;"_"&amp;B815&amp;"_"&amp;D815</f>
        <v>Lifecycle_Dynamic_272</v>
      </c>
      <c r="D815">
        <v>272</v>
      </c>
      <c r="E815">
        <f>VLOOKUP($D815,'[2]LC Dynamic'!$Q$2:$U$542,2,FALSE)</f>
        <v>0</v>
      </c>
      <c r="F815">
        <f>VLOOKUP($D815,'[2]LC Dynamic'!$Q$2:$U$542,3,FALSE)</f>
        <v>0</v>
      </c>
      <c r="G815">
        <f>VLOOKUP($D815,'[2]LC Dynamic'!$Q$2:$U$542,4,FALSE)</f>
        <v>0.308</v>
      </c>
      <c r="H815">
        <f>VLOOKUP($D815,'[2]LC Dynamic'!$Q$2:$U$542,5,FALSE)</f>
        <v>0.69199999999999995</v>
      </c>
      <c r="I815" s="77">
        <f t="shared" si="2536"/>
        <v>1</v>
      </c>
      <c r="J815" s="77">
        <f t="shared" si="2537"/>
        <v>6.9728499999999985E-2</v>
      </c>
      <c r="K815" s="77">
        <f t="shared" si="2327"/>
        <v>5.632878498097682E-3</v>
      </c>
      <c r="L815" s="76">
        <v>0</v>
      </c>
      <c r="M815" s="77">
        <f t="shared" si="2547"/>
        <v>0</v>
      </c>
      <c r="N815" s="77">
        <f t="shared" si="2548"/>
        <v>0</v>
      </c>
      <c r="O815" s="77">
        <f t="shared" si="2549"/>
        <v>5.6775999999999997E-3</v>
      </c>
      <c r="P815" s="77">
        <f t="shared" si="2550"/>
        <v>4.7436902124819991E-4</v>
      </c>
      <c r="R815" t="s">
        <v>177</v>
      </c>
      <c r="S815" t="s">
        <v>179</v>
      </c>
      <c r="T815" s="197" t="str">
        <f t="shared" ref="T815:T878" si="2605">R815&amp;"_"&amp;S815&amp;"_"&amp;U815</f>
        <v>Autopilot_Dynamic_272</v>
      </c>
      <c r="U815">
        <v>272</v>
      </c>
      <c r="V815">
        <f>VLOOKUP($U815,'[2]AP Dynamic'!$Q$1:$T$542,2,FALSE)</f>
        <v>0.88888888888888884</v>
      </c>
      <c r="W815">
        <f>VLOOKUP($U815,'[2]AP Dynamic'!$Q$1:$T$542,3,FALSE)</f>
        <v>0.11111111111111116</v>
      </c>
      <c r="X815">
        <f>VLOOKUP($U815,'[2]AP Dynamic'!$Q$1:$T$542,4,FALSE)</f>
        <v>0</v>
      </c>
      <c r="Y815" s="77">
        <f t="shared" ref="Y815:Y878" si="2606">SUM(V815:X815)</f>
        <v>1</v>
      </c>
      <c r="Z815" s="77">
        <f t="shared" si="2328"/>
        <v>6.3149999999999984E-2</v>
      </c>
      <c r="AA815" s="77">
        <f t="shared" si="2329"/>
        <v>5.1160591879111372E-3</v>
      </c>
      <c r="AB815" s="79">
        <v>1</v>
      </c>
      <c r="AC815" s="77">
        <f t="shared" si="2551"/>
        <v>8.277777777777778E-3</v>
      </c>
      <c r="AD815" s="77">
        <f t="shared" ref="AD815" si="2607">1-(1-AC815)^(1/12)</f>
        <v>6.9244588451522482E-4</v>
      </c>
      <c r="AE815" s="77">
        <f t="shared" si="2553"/>
        <v>2.5000000000000001E-3</v>
      </c>
      <c r="AF815" s="77">
        <f t="shared" ref="AF815" si="2608">1-(1-AE815)^(1/12)</f>
        <v>2.0857243058891584E-4</v>
      </c>
      <c r="AH815" t="s">
        <v>175</v>
      </c>
      <c r="AI815" t="s">
        <v>179</v>
      </c>
      <c r="AJ815" s="197" t="str">
        <f t="shared" si="2540"/>
        <v>Lifecycle_Dynamic_272</v>
      </c>
      <c r="AK815">
        <v>272</v>
      </c>
      <c r="AL815">
        <f>VLOOKUP($U815,[2]Standard_Dynamic!$Q$1:$T$542,2,FALSE)</f>
        <v>0.88888888888888884</v>
      </c>
      <c r="AM815">
        <f>VLOOKUP($U815,[2]Standard_Dynamic!$Q$1:$T$542,3,FALSE)</f>
        <v>0.11111111111111116</v>
      </c>
      <c r="AN815">
        <f>VLOOKUP($U815,[2]Standard_Dynamic!$Q$1:$T$542,4,FALSE)</f>
        <v>0</v>
      </c>
      <c r="AO815" s="77">
        <f t="shared" si="2541"/>
        <v>1</v>
      </c>
      <c r="AP815" s="77">
        <f t="shared" si="2555"/>
        <v>6.3149999999999984E-2</v>
      </c>
      <c r="AQ815" s="77">
        <f t="shared" si="2542"/>
        <v>5.1160591879111372E-3</v>
      </c>
      <c r="AR815" s="79">
        <v>0</v>
      </c>
      <c r="AS815" s="77">
        <f t="shared" si="2556"/>
        <v>0</v>
      </c>
      <c r="AT815" s="77">
        <f t="shared" ref="AT815" si="2609">1-(1-AS815)^(1/12)</f>
        <v>0</v>
      </c>
      <c r="AU815" s="77">
        <f t="shared" si="2558"/>
        <v>2.5000000000000001E-3</v>
      </c>
      <c r="AV815" s="77">
        <f t="shared" ref="AV815" si="2610">1-(1-AU815)^(1/12)</f>
        <v>2.0857243058891584E-4</v>
      </c>
      <c r="AX815" t="s">
        <v>178</v>
      </c>
      <c r="AY815" t="s">
        <v>162</v>
      </c>
      <c r="AZ815" s="197" t="str">
        <f t="shared" si="2354"/>
        <v>DIS_Standard_272</v>
      </c>
      <c r="BA815">
        <v>272</v>
      </c>
      <c r="BB815">
        <f>VLOOKUP($BA815,'[2]Standard DIS'!$Q$1:$X$542,4,FALSE)</f>
        <v>0</v>
      </c>
      <c r="BF815">
        <f>VLOOKUP($BA815,'[2]Standard DIS'!$Q$1:$X$542,2,FALSE)</f>
        <v>0.88888888888888884</v>
      </c>
      <c r="BH815">
        <f>VLOOKUP($BA815,'[2]Standard DIS'!$Q$1:$X$542,3,FALSE)</f>
        <v>0.11111111111111116</v>
      </c>
      <c r="BI815" s="77">
        <f t="shared" si="2545"/>
        <v>1</v>
      </c>
      <c r="BJ815" s="77">
        <f t="shared" si="2546"/>
        <v>6.3149999999999984E-2</v>
      </c>
      <c r="BK815" s="77">
        <f t="shared" si="2355"/>
        <v>5.1160591879111372E-3</v>
      </c>
      <c r="BL815" s="79">
        <v>0</v>
      </c>
      <c r="BM815" s="77">
        <f t="shared" si="2560"/>
        <v>0</v>
      </c>
      <c r="BN815" s="77">
        <f t="shared" si="2561"/>
        <v>0</v>
      </c>
      <c r="BO815" s="77">
        <f t="shared" si="2562"/>
        <v>2.5000000000000001E-3</v>
      </c>
      <c r="BP815" s="77">
        <f t="shared" si="2563"/>
        <v>2.0809499864316017E-4</v>
      </c>
    </row>
    <row r="816" spans="1:68">
      <c r="A816" t="s">
        <v>175</v>
      </c>
      <c r="B816" t="s">
        <v>179</v>
      </c>
      <c r="C816" s="197" t="str">
        <f t="shared" si="2604"/>
        <v>Lifecycle_Dynamic_271</v>
      </c>
      <c r="D816">
        <v>271</v>
      </c>
      <c r="E816">
        <f>VLOOKUP($D816,'[2]LC Dynamic'!$Q$2:$U$542,2,FALSE)</f>
        <v>0</v>
      </c>
      <c r="F816">
        <f>VLOOKUP($D816,'[2]LC Dynamic'!$Q$2:$U$542,3,FALSE)</f>
        <v>0</v>
      </c>
      <c r="G816">
        <f>VLOOKUP($D816,'[2]LC Dynamic'!$Q$2:$U$542,4,FALSE)</f>
        <v>0.308</v>
      </c>
      <c r="H816">
        <f>VLOOKUP($D816,'[2]LC Dynamic'!$Q$2:$U$542,5,FALSE)</f>
        <v>0.69199999999999995</v>
      </c>
      <c r="I816" s="77">
        <f t="shared" si="2536"/>
        <v>1</v>
      </c>
      <c r="J816" s="77">
        <f t="shared" si="2537"/>
        <v>6.9728499999999985E-2</v>
      </c>
      <c r="K816" s="77">
        <f t="shared" ref="K816:K879" si="2611">(1+J816)^(1/12)-1</f>
        <v>5.632878498097682E-3</v>
      </c>
      <c r="L816" s="76">
        <v>0</v>
      </c>
      <c r="M816" s="77">
        <f t="shared" si="2547"/>
        <v>0</v>
      </c>
      <c r="N816" s="77">
        <f t="shared" si="2548"/>
        <v>0</v>
      </c>
      <c r="O816" s="77">
        <f t="shared" si="2549"/>
        <v>5.6775999999999997E-3</v>
      </c>
      <c r="P816" s="77">
        <f t="shared" si="2550"/>
        <v>4.7436902124819991E-4</v>
      </c>
      <c r="R816" t="s">
        <v>177</v>
      </c>
      <c r="S816" t="s">
        <v>179</v>
      </c>
      <c r="T816" s="197" t="str">
        <f t="shared" si="2605"/>
        <v>Autopilot_Dynamic_271</v>
      </c>
      <c r="U816">
        <v>271</v>
      </c>
      <c r="V816">
        <f>VLOOKUP($U816,'[2]AP Dynamic'!$Q$1:$T$542,2,FALSE)</f>
        <v>0.88888888888888884</v>
      </c>
      <c r="W816">
        <f>VLOOKUP($U816,'[2]AP Dynamic'!$Q$1:$T$542,3,FALSE)</f>
        <v>0.11111111111111116</v>
      </c>
      <c r="X816">
        <f>VLOOKUP($U816,'[2]AP Dynamic'!$Q$1:$T$542,4,FALSE)</f>
        <v>0</v>
      </c>
      <c r="Y816" s="77">
        <f t="shared" si="2606"/>
        <v>1</v>
      </c>
      <c r="Z816" s="77">
        <f t="shared" ref="Z816:Z879" si="2612">SUMPRODUCT($V$1:$X$1,V816:X816)</f>
        <v>6.3149999999999984E-2</v>
      </c>
      <c r="AA816" s="77">
        <f t="shared" ref="AA816:AA879" si="2613">(1+Z816)^(1/12)-1</f>
        <v>5.1160591879111372E-3</v>
      </c>
      <c r="AB816" s="79">
        <v>1</v>
      </c>
      <c r="AC816" s="77">
        <f t="shared" si="2551"/>
        <v>8.277777777777778E-3</v>
      </c>
      <c r="AD816" s="77">
        <f t="shared" ref="AD816" si="2614">1-(1-AC816)^(1/12)</f>
        <v>6.9244588451522482E-4</v>
      </c>
      <c r="AE816" s="77">
        <f t="shared" si="2553"/>
        <v>2.5000000000000001E-3</v>
      </c>
      <c r="AF816" s="77">
        <f t="shared" ref="AF816" si="2615">1-(1-AE816)^(1/12)</f>
        <v>2.0857243058891584E-4</v>
      </c>
      <c r="AH816" t="s">
        <v>175</v>
      </c>
      <c r="AI816" t="s">
        <v>179</v>
      </c>
      <c r="AJ816" s="197" t="str">
        <f t="shared" si="2540"/>
        <v>Lifecycle_Dynamic_271</v>
      </c>
      <c r="AK816">
        <v>271</v>
      </c>
      <c r="AL816">
        <f>VLOOKUP($U816,[2]Standard_Dynamic!$Q$1:$T$542,2,FALSE)</f>
        <v>0.88888888888888884</v>
      </c>
      <c r="AM816">
        <f>VLOOKUP($U816,[2]Standard_Dynamic!$Q$1:$T$542,3,FALSE)</f>
        <v>0.11111111111111116</v>
      </c>
      <c r="AN816">
        <f>VLOOKUP($U816,[2]Standard_Dynamic!$Q$1:$T$542,4,FALSE)</f>
        <v>0</v>
      </c>
      <c r="AO816" s="77">
        <f t="shared" si="2541"/>
        <v>1</v>
      </c>
      <c r="AP816" s="77">
        <f t="shared" si="2555"/>
        <v>6.3149999999999984E-2</v>
      </c>
      <c r="AQ816" s="77">
        <f t="shared" si="2542"/>
        <v>5.1160591879111372E-3</v>
      </c>
      <c r="AR816" s="79">
        <v>0</v>
      </c>
      <c r="AS816" s="77">
        <f t="shared" si="2556"/>
        <v>0</v>
      </c>
      <c r="AT816" s="77">
        <f t="shared" ref="AT816" si="2616">1-(1-AS816)^(1/12)</f>
        <v>0</v>
      </c>
      <c r="AU816" s="77">
        <f t="shared" si="2558"/>
        <v>2.5000000000000001E-3</v>
      </c>
      <c r="AV816" s="77">
        <f t="shared" ref="AV816" si="2617">1-(1-AU816)^(1/12)</f>
        <v>2.0857243058891584E-4</v>
      </c>
      <c r="AX816" t="s">
        <v>178</v>
      </c>
      <c r="AY816" t="s">
        <v>162</v>
      </c>
      <c r="AZ816" s="197" t="str">
        <f t="shared" si="2354"/>
        <v>DIS_Standard_271</v>
      </c>
      <c r="BA816">
        <v>271</v>
      </c>
      <c r="BB816">
        <f>VLOOKUP($BA816,'[2]Standard DIS'!$Q$1:$X$542,4,FALSE)</f>
        <v>0</v>
      </c>
      <c r="BF816">
        <f>VLOOKUP($BA816,'[2]Standard DIS'!$Q$1:$X$542,2,FALSE)</f>
        <v>0.88888888888888884</v>
      </c>
      <c r="BH816">
        <f>VLOOKUP($BA816,'[2]Standard DIS'!$Q$1:$X$542,3,FALSE)</f>
        <v>0.11111111111111116</v>
      </c>
      <c r="BI816" s="77">
        <f t="shared" si="2545"/>
        <v>1</v>
      </c>
      <c r="BJ816" s="77">
        <f t="shared" si="2546"/>
        <v>6.3149999999999984E-2</v>
      </c>
      <c r="BK816" s="77">
        <f t="shared" si="2355"/>
        <v>5.1160591879111372E-3</v>
      </c>
      <c r="BL816" s="79">
        <v>0</v>
      </c>
      <c r="BM816" s="77">
        <f t="shared" si="2560"/>
        <v>0</v>
      </c>
      <c r="BN816" s="77">
        <f t="shared" si="2561"/>
        <v>0</v>
      </c>
      <c r="BO816" s="77">
        <f t="shared" si="2562"/>
        <v>2.5000000000000001E-3</v>
      </c>
      <c r="BP816" s="77">
        <f t="shared" si="2563"/>
        <v>2.0809499864316017E-4</v>
      </c>
    </row>
    <row r="817" spans="1:68">
      <c r="A817" t="s">
        <v>175</v>
      </c>
      <c r="B817" t="s">
        <v>179</v>
      </c>
      <c r="C817" s="197" t="str">
        <f t="shared" si="2604"/>
        <v>Lifecycle_Dynamic_270</v>
      </c>
      <c r="D817">
        <v>270</v>
      </c>
      <c r="E817">
        <f>VLOOKUP($D817,'[2]LC Dynamic'!$Q$2:$U$542,2,FALSE)</f>
        <v>0</v>
      </c>
      <c r="F817">
        <f>VLOOKUP($D817,'[2]LC Dynamic'!$Q$2:$U$542,3,FALSE)</f>
        <v>0</v>
      </c>
      <c r="G817">
        <f>VLOOKUP($D817,'[2]LC Dynamic'!$Q$2:$U$542,4,FALSE)</f>
        <v>0.308</v>
      </c>
      <c r="H817">
        <f>VLOOKUP($D817,'[2]LC Dynamic'!$Q$2:$U$542,5,FALSE)</f>
        <v>0.69199999999999995</v>
      </c>
      <c r="I817" s="77">
        <f t="shared" si="2536"/>
        <v>1</v>
      </c>
      <c r="J817" s="77">
        <f t="shared" si="2537"/>
        <v>6.9728499999999985E-2</v>
      </c>
      <c r="K817" s="77">
        <f t="shared" si="2611"/>
        <v>5.632878498097682E-3</v>
      </c>
      <c r="L817" s="76">
        <v>0</v>
      </c>
      <c r="M817" s="77">
        <f t="shared" si="2547"/>
        <v>0</v>
      </c>
      <c r="N817" s="77">
        <f t="shared" si="2548"/>
        <v>0</v>
      </c>
      <c r="O817" s="77">
        <f t="shared" si="2549"/>
        <v>5.6775999999999997E-3</v>
      </c>
      <c r="P817" s="77">
        <f t="shared" si="2550"/>
        <v>4.7436902124819991E-4</v>
      </c>
      <c r="R817" t="s">
        <v>177</v>
      </c>
      <c r="S817" t="s">
        <v>179</v>
      </c>
      <c r="T817" s="197" t="str">
        <f t="shared" si="2605"/>
        <v>Autopilot_Dynamic_270</v>
      </c>
      <c r="U817">
        <v>270</v>
      </c>
      <c r="V817">
        <f>VLOOKUP($U817,'[2]AP Dynamic'!$Q$1:$T$542,2,FALSE)</f>
        <v>0.88888888888888884</v>
      </c>
      <c r="W817">
        <f>VLOOKUP($U817,'[2]AP Dynamic'!$Q$1:$T$542,3,FALSE)</f>
        <v>0.11111111111111116</v>
      </c>
      <c r="X817">
        <f>VLOOKUP($U817,'[2]AP Dynamic'!$Q$1:$T$542,4,FALSE)</f>
        <v>0</v>
      </c>
      <c r="Y817" s="77">
        <f t="shared" si="2606"/>
        <v>1</v>
      </c>
      <c r="Z817" s="77">
        <f t="shared" si="2612"/>
        <v>6.3149999999999984E-2</v>
      </c>
      <c r="AA817" s="77">
        <f t="shared" si="2613"/>
        <v>5.1160591879111372E-3</v>
      </c>
      <c r="AB817" s="79">
        <v>1</v>
      </c>
      <c r="AC817" s="77">
        <f t="shared" si="2551"/>
        <v>8.277777777777778E-3</v>
      </c>
      <c r="AD817" s="77">
        <f t="shared" ref="AD817" si="2618">1-(1-AC817)^(1/12)</f>
        <v>6.9244588451522482E-4</v>
      </c>
      <c r="AE817" s="77">
        <f t="shared" si="2553"/>
        <v>2.5000000000000001E-3</v>
      </c>
      <c r="AF817" s="77">
        <f t="shared" ref="AF817" si="2619">1-(1-AE817)^(1/12)</f>
        <v>2.0857243058891584E-4</v>
      </c>
      <c r="AH817" t="s">
        <v>175</v>
      </c>
      <c r="AI817" t="s">
        <v>179</v>
      </c>
      <c r="AJ817" s="197" t="str">
        <f t="shared" si="2540"/>
        <v>Lifecycle_Dynamic_270</v>
      </c>
      <c r="AK817">
        <v>270</v>
      </c>
      <c r="AL817">
        <f>VLOOKUP($U817,[2]Standard_Dynamic!$Q$1:$T$542,2,FALSE)</f>
        <v>0.88888888888888884</v>
      </c>
      <c r="AM817">
        <f>VLOOKUP($U817,[2]Standard_Dynamic!$Q$1:$T$542,3,FALSE)</f>
        <v>0.11111111111111116</v>
      </c>
      <c r="AN817">
        <f>VLOOKUP($U817,[2]Standard_Dynamic!$Q$1:$T$542,4,FALSE)</f>
        <v>0</v>
      </c>
      <c r="AO817" s="77">
        <f t="shared" si="2541"/>
        <v>1</v>
      </c>
      <c r="AP817" s="77">
        <f t="shared" si="2555"/>
        <v>6.3149999999999984E-2</v>
      </c>
      <c r="AQ817" s="77">
        <f t="shared" si="2542"/>
        <v>5.1160591879111372E-3</v>
      </c>
      <c r="AR817" s="79">
        <v>0</v>
      </c>
      <c r="AS817" s="77">
        <f t="shared" si="2556"/>
        <v>0</v>
      </c>
      <c r="AT817" s="77">
        <f t="shared" ref="AT817" si="2620">1-(1-AS817)^(1/12)</f>
        <v>0</v>
      </c>
      <c r="AU817" s="77">
        <f t="shared" si="2558"/>
        <v>2.5000000000000001E-3</v>
      </c>
      <c r="AV817" s="77">
        <f t="shared" ref="AV817" si="2621">1-(1-AU817)^(1/12)</f>
        <v>2.0857243058891584E-4</v>
      </c>
      <c r="AX817" t="s">
        <v>178</v>
      </c>
      <c r="AY817" t="s">
        <v>162</v>
      </c>
      <c r="AZ817" s="197" t="str">
        <f t="shared" si="2354"/>
        <v>DIS_Standard_270</v>
      </c>
      <c r="BA817">
        <v>270</v>
      </c>
      <c r="BB817">
        <f>VLOOKUP($BA817,'[2]Standard DIS'!$Q$1:$X$542,4,FALSE)</f>
        <v>0</v>
      </c>
      <c r="BF817">
        <f>VLOOKUP($BA817,'[2]Standard DIS'!$Q$1:$X$542,2,FALSE)</f>
        <v>0.88888888888888884</v>
      </c>
      <c r="BH817">
        <f>VLOOKUP($BA817,'[2]Standard DIS'!$Q$1:$X$542,3,FALSE)</f>
        <v>0.11111111111111116</v>
      </c>
      <c r="BI817" s="77">
        <f t="shared" si="2545"/>
        <v>1</v>
      </c>
      <c r="BJ817" s="77">
        <f t="shared" si="2546"/>
        <v>6.3149999999999984E-2</v>
      </c>
      <c r="BK817" s="77">
        <f t="shared" si="2355"/>
        <v>5.1160591879111372E-3</v>
      </c>
      <c r="BL817" s="79">
        <v>0</v>
      </c>
      <c r="BM817" s="77">
        <f t="shared" si="2560"/>
        <v>0</v>
      </c>
      <c r="BN817" s="77">
        <f t="shared" si="2561"/>
        <v>0</v>
      </c>
      <c r="BO817" s="77">
        <f t="shared" si="2562"/>
        <v>2.5000000000000001E-3</v>
      </c>
      <c r="BP817" s="77">
        <f t="shared" si="2563"/>
        <v>2.0809499864316017E-4</v>
      </c>
    </row>
    <row r="818" spans="1:68">
      <c r="A818" t="s">
        <v>175</v>
      </c>
      <c r="B818" t="s">
        <v>179</v>
      </c>
      <c r="C818" s="197" t="str">
        <f t="shared" si="2604"/>
        <v>Lifecycle_Dynamic_269</v>
      </c>
      <c r="D818">
        <v>269</v>
      </c>
      <c r="E818">
        <f>VLOOKUP($D818,'[2]LC Dynamic'!$Q$2:$U$542,2,FALSE)</f>
        <v>0</v>
      </c>
      <c r="F818">
        <f>VLOOKUP($D818,'[2]LC Dynamic'!$Q$2:$U$542,3,FALSE)</f>
        <v>0</v>
      </c>
      <c r="G818">
        <f>VLOOKUP($D818,'[2]LC Dynamic'!$Q$2:$U$542,4,FALSE)</f>
        <v>0.308</v>
      </c>
      <c r="H818">
        <f>VLOOKUP($D818,'[2]LC Dynamic'!$Q$2:$U$542,5,FALSE)</f>
        <v>0.69199999999999995</v>
      </c>
      <c r="I818" s="77">
        <f t="shared" si="2536"/>
        <v>1</v>
      </c>
      <c r="J818" s="77">
        <f t="shared" si="2537"/>
        <v>6.9728499999999985E-2</v>
      </c>
      <c r="K818" s="77">
        <f t="shared" si="2611"/>
        <v>5.632878498097682E-3</v>
      </c>
      <c r="L818" s="76">
        <v>0</v>
      </c>
      <c r="M818" s="77">
        <f t="shared" si="2547"/>
        <v>0</v>
      </c>
      <c r="N818" s="77">
        <f t="shared" si="2548"/>
        <v>0</v>
      </c>
      <c r="O818" s="77">
        <f t="shared" si="2549"/>
        <v>5.6775999999999997E-3</v>
      </c>
      <c r="P818" s="77">
        <f t="shared" si="2550"/>
        <v>4.7436902124819991E-4</v>
      </c>
      <c r="R818" t="s">
        <v>177</v>
      </c>
      <c r="S818" t="s">
        <v>179</v>
      </c>
      <c r="T818" s="197" t="str">
        <f t="shared" si="2605"/>
        <v>Autopilot_Dynamic_269</v>
      </c>
      <c r="U818">
        <v>269</v>
      </c>
      <c r="V818">
        <f>VLOOKUP($U818,'[2]AP Dynamic'!$Q$1:$T$542,2,FALSE)</f>
        <v>0.88888888888888884</v>
      </c>
      <c r="W818">
        <f>VLOOKUP($U818,'[2]AP Dynamic'!$Q$1:$T$542,3,FALSE)</f>
        <v>0.11111111111111116</v>
      </c>
      <c r="X818">
        <f>VLOOKUP($U818,'[2]AP Dynamic'!$Q$1:$T$542,4,FALSE)</f>
        <v>0</v>
      </c>
      <c r="Y818" s="77">
        <f t="shared" si="2606"/>
        <v>1</v>
      </c>
      <c r="Z818" s="77">
        <f t="shared" si="2612"/>
        <v>6.3149999999999984E-2</v>
      </c>
      <c r="AA818" s="77">
        <f t="shared" si="2613"/>
        <v>5.1160591879111372E-3</v>
      </c>
      <c r="AB818" s="79">
        <v>1</v>
      </c>
      <c r="AC818" s="77">
        <f t="shared" si="2551"/>
        <v>8.277777777777778E-3</v>
      </c>
      <c r="AD818" s="77">
        <f t="shared" ref="AD818" si="2622">1-(1-AC818)^(1/12)</f>
        <v>6.9244588451522482E-4</v>
      </c>
      <c r="AE818" s="77">
        <f t="shared" si="2553"/>
        <v>2.5000000000000001E-3</v>
      </c>
      <c r="AF818" s="77">
        <f t="shared" ref="AF818" si="2623">1-(1-AE818)^(1/12)</f>
        <v>2.0857243058891584E-4</v>
      </c>
      <c r="AH818" t="s">
        <v>175</v>
      </c>
      <c r="AI818" t="s">
        <v>179</v>
      </c>
      <c r="AJ818" s="197" t="str">
        <f t="shared" si="2540"/>
        <v>Lifecycle_Dynamic_269</v>
      </c>
      <c r="AK818">
        <v>269</v>
      </c>
      <c r="AL818">
        <f>VLOOKUP($U818,[2]Standard_Dynamic!$Q$1:$T$542,2,FALSE)</f>
        <v>0.88888888888888884</v>
      </c>
      <c r="AM818">
        <f>VLOOKUP($U818,[2]Standard_Dynamic!$Q$1:$T$542,3,FALSE)</f>
        <v>0.11111111111111116</v>
      </c>
      <c r="AN818">
        <f>VLOOKUP($U818,[2]Standard_Dynamic!$Q$1:$T$542,4,FALSE)</f>
        <v>0</v>
      </c>
      <c r="AO818" s="77">
        <f t="shared" si="2541"/>
        <v>1</v>
      </c>
      <c r="AP818" s="77">
        <f t="shared" si="2555"/>
        <v>6.3149999999999984E-2</v>
      </c>
      <c r="AQ818" s="77">
        <f t="shared" si="2542"/>
        <v>5.1160591879111372E-3</v>
      </c>
      <c r="AR818" s="79">
        <v>0</v>
      </c>
      <c r="AS818" s="77">
        <f t="shared" si="2556"/>
        <v>0</v>
      </c>
      <c r="AT818" s="77">
        <f t="shared" ref="AT818" si="2624">1-(1-AS818)^(1/12)</f>
        <v>0</v>
      </c>
      <c r="AU818" s="77">
        <f t="shared" si="2558"/>
        <v>2.5000000000000001E-3</v>
      </c>
      <c r="AV818" s="77">
        <f t="shared" ref="AV818" si="2625">1-(1-AU818)^(1/12)</f>
        <v>2.0857243058891584E-4</v>
      </c>
      <c r="AX818" t="s">
        <v>178</v>
      </c>
      <c r="AY818" t="s">
        <v>162</v>
      </c>
      <c r="AZ818" s="197" t="str">
        <f t="shared" si="2354"/>
        <v>DIS_Standard_269</v>
      </c>
      <c r="BA818">
        <v>269</v>
      </c>
      <c r="BB818">
        <f>VLOOKUP($BA818,'[2]Standard DIS'!$Q$1:$X$542,4,FALSE)</f>
        <v>0</v>
      </c>
      <c r="BF818">
        <f>VLOOKUP($BA818,'[2]Standard DIS'!$Q$1:$X$542,2,FALSE)</f>
        <v>0.88888888888888884</v>
      </c>
      <c r="BH818">
        <f>VLOOKUP($BA818,'[2]Standard DIS'!$Q$1:$X$542,3,FALSE)</f>
        <v>0.11111111111111116</v>
      </c>
      <c r="BI818" s="77">
        <f t="shared" si="2545"/>
        <v>1</v>
      </c>
      <c r="BJ818" s="77">
        <f t="shared" si="2546"/>
        <v>6.3149999999999984E-2</v>
      </c>
      <c r="BK818" s="77">
        <f t="shared" si="2355"/>
        <v>5.1160591879111372E-3</v>
      </c>
      <c r="BL818" s="79">
        <v>0</v>
      </c>
      <c r="BM818" s="77">
        <f t="shared" si="2560"/>
        <v>0</v>
      </c>
      <c r="BN818" s="77">
        <f t="shared" si="2561"/>
        <v>0</v>
      </c>
      <c r="BO818" s="77">
        <f t="shared" si="2562"/>
        <v>2.5000000000000001E-3</v>
      </c>
      <c r="BP818" s="77">
        <f t="shared" si="2563"/>
        <v>2.0809499864316017E-4</v>
      </c>
    </row>
    <row r="819" spans="1:68">
      <c r="A819" t="s">
        <v>175</v>
      </c>
      <c r="B819" t="s">
        <v>179</v>
      </c>
      <c r="C819" s="197" t="str">
        <f t="shared" si="2604"/>
        <v>Lifecycle_Dynamic_268</v>
      </c>
      <c r="D819">
        <v>268</v>
      </c>
      <c r="E819">
        <f>VLOOKUP($D819,'[2]LC Dynamic'!$Q$2:$U$542,2,FALSE)</f>
        <v>0</v>
      </c>
      <c r="F819">
        <f>VLOOKUP($D819,'[2]LC Dynamic'!$Q$2:$U$542,3,FALSE)</f>
        <v>0</v>
      </c>
      <c r="G819">
        <f>VLOOKUP($D819,'[2]LC Dynamic'!$Q$2:$U$542,4,FALSE)</f>
        <v>0.308</v>
      </c>
      <c r="H819">
        <f>VLOOKUP($D819,'[2]LC Dynamic'!$Q$2:$U$542,5,FALSE)</f>
        <v>0.69199999999999995</v>
      </c>
      <c r="I819" s="77">
        <f t="shared" si="2536"/>
        <v>1</v>
      </c>
      <c r="J819" s="77">
        <f t="shared" si="2537"/>
        <v>6.9728499999999985E-2</v>
      </c>
      <c r="K819" s="77">
        <f t="shared" si="2611"/>
        <v>5.632878498097682E-3</v>
      </c>
      <c r="L819" s="76">
        <v>0</v>
      </c>
      <c r="M819" s="77">
        <f t="shared" si="2547"/>
        <v>0</v>
      </c>
      <c r="N819" s="77">
        <f t="shared" si="2548"/>
        <v>0</v>
      </c>
      <c r="O819" s="77">
        <f t="shared" si="2549"/>
        <v>5.6775999999999997E-3</v>
      </c>
      <c r="P819" s="77">
        <f t="shared" si="2550"/>
        <v>4.7436902124819991E-4</v>
      </c>
      <c r="R819" t="s">
        <v>177</v>
      </c>
      <c r="S819" t="s">
        <v>179</v>
      </c>
      <c r="T819" s="197" t="str">
        <f t="shared" si="2605"/>
        <v>Autopilot_Dynamic_268</v>
      </c>
      <c r="U819">
        <v>268</v>
      </c>
      <c r="V819">
        <f>VLOOKUP($U819,'[2]AP Dynamic'!$Q$1:$T$542,2,FALSE)</f>
        <v>0.88888888888888884</v>
      </c>
      <c r="W819">
        <f>VLOOKUP($U819,'[2]AP Dynamic'!$Q$1:$T$542,3,FALSE)</f>
        <v>0.11111111111111116</v>
      </c>
      <c r="X819">
        <f>VLOOKUP($U819,'[2]AP Dynamic'!$Q$1:$T$542,4,FALSE)</f>
        <v>0</v>
      </c>
      <c r="Y819" s="77">
        <f t="shared" si="2606"/>
        <v>1</v>
      </c>
      <c r="Z819" s="77">
        <f t="shared" si="2612"/>
        <v>6.3149999999999984E-2</v>
      </c>
      <c r="AA819" s="77">
        <f t="shared" si="2613"/>
        <v>5.1160591879111372E-3</v>
      </c>
      <c r="AB819" s="79">
        <v>1</v>
      </c>
      <c r="AC819" s="77">
        <f t="shared" si="2551"/>
        <v>8.277777777777778E-3</v>
      </c>
      <c r="AD819" s="77">
        <f t="shared" ref="AD819" si="2626">1-(1-AC819)^(1/12)</f>
        <v>6.9244588451522482E-4</v>
      </c>
      <c r="AE819" s="77">
        <f t="shared" si="2553"/>
        <v>2.5000000000000001E-3</v>
      </c>
      <c r="AF819" s="77">
        <f t="shared" ref="AF819" si="2627">1-(1-AE819)^(1/12)</f>
        <v>2.0857243058891584E-4</v>
      </c>
      <c r="AH819" t="s">
        <v>175</v>
      </c>
      <c r="AI819" t="s">
        <v>179</v>
      </c>
      <c r="AJ819" s="197" t="str">
        <f t="shared" si="2540"/>
        <v>Lifecycle_Dynamic_268</v>
      </c>
      <c r="AK819">
        <v>268</v>
      </c>
      <c r="AL819">
        <f>VLOOKUP($U819,[2]Standard_Dynamic!$Q$1:$T$542,2,FALSE)</f>
        <v>0.88888888888888884</v>
      </c>
      <c r="AM819">
        <f>VLOOKUP($U819,[2]Standard_Dynamic!$Q$1:$T$542,3,FALSE)</f>
        <v>0.11111111111111116</v>
      </c>
      <c r="AN819">
        <f>VLOOKUP($U819,[2]Standard_Dynamic!$Q$1:$T$542,4,FALSE)</f>
        <v>0</v>
      </c>
      <c r="AO819" s="77">
        <f t="shared" si="2541"/>
        <v>1</v>
      </c>
      <c r="AP819" s="77">
        <f t="shared" si="2555"/>
        <v>6.3149999999999984E-2</v>
      </c>
      <c r="AQ819" s="77">
        <f t="shared" si="2542"/>
        <v>5.1160591879111372E-3</v>
      </c>
      <c r="AR819" s="79">
        <v>0</v>
      </c>
      <c r="AS819" s="77">
        <f t="shared" si="2556"/>
        <v>0</v>
      </c>
      <c r="AT819" s="77">
        <f t="shared" ref="AT819" si="2628">1-(1-AS819)^(1/12)</f>
        <v>0</v>
      </c>
      <c r="AU819" s="77">
        <f t="shared" si="2558"/>
        <v>2.5000000000000001E-3</v>
      </c>
      <c r="AV819" s="77">
        <f t="shared" ref="AV819" si="2629">1-(1-AU819)^(1/12)</f>
        <v>2.0857243058891584E-4</v>
      </c>
      <c r="AX819" t="s">
        <v>178</v>
      </c>
      <c r="AY819" t="s">
        <v>162</v>
      </c>
      <c r="AZ819" s="197" t="str">
        <f t="shared" si="2354"/>
        <v>DIS_Standard_268</v>
      </c>
      <c r="BA819">
        <v>268</v>
      </c>
      <c r="BB819">
        <f>VLOOKUP($BA819,'[2]Standard DIS'!$Q$1:$X$542,4,FALSE)</f>
        <v>0</v>
      </c>
      <c r="BF819">
        <f>VLOOKUP($BA819,'[2]Standard DIS'!$Q$1:$X$542,2,FALSE)</f>
        <v>0.88888888888888884</v>
      </c>
      <c r="BH819">
        <f>VLOOKUP($BA819,'[2]Standard DIS'!$Q$1:$X$542,3,FALSE)</f>
        <v>0.11111111111111116</v>
      </c>
      <c r="BI819" s="77">
        <f t="shared" si="2545"/>
        <v>1</v>
      </c>
      <c r="BJ819" s="77">
        <f t="shared" si="2546"/>
        <v>6.3149999999999984E-2</v>
      </c>
      <c r="BK819" s="77">
        <f t="shared" si="2355"/>
        <v>5.1160591879111372E-3</v>
      </c>
      <c r="BL819" s="79">
        <v>0</v>
      </c>
      <c r="BM819" s="77">
        <f t="shared" si="2560"/>
        <v>0</v>
      </c>
      <c r="BN819" s="77">
        <f t="shared" si="2561"/>
        <v>0</v>
      </c>
      <c r="BO819" s="77">
        <f t="shared" si="2562"/>
        <v>2.5000000000000001E-3</v>
      </c>
      <c r="BP819" s="77">
        <f t="shared" si="2563"/>
        <v>2.0809499864316017E-4</v>
      </c>
    </row>
    <row r="820" spans="1:68">
      <c r="A820" t="s">
        <v>175</v>
      </c>
      <c r="B820" t="s">
        <v>179</v>
      </c>
      <c r="C820" s="197" t="str">
        <f t="shared" si="2604"/>
        <v>Lifecycle_Dynamic_267</v>
      </c>
      <c r="D820">
        <v>267</v>
      </c>
      <c r="E820">
        <f>VLOOKUP($D820,'[2]LC Dynamic'!$Q$2:$U$542,2,FALSE)</f>
        <v>0</v>
      </c>
      <c r="F820">
        <f>VLOOKUP($D820,'[2]LC Dynamic'!$Q$2:$U$542,3,FALSE)</f>
        <v>0</v>
      </c>
      <c r="G820">
        <f>VLOOKUP($D820,'[2]LC Dynamic'!$Q$2:$U$542,4,FALSE)</f>
        <v>0.308</v>
      </c>
      <c r="H820">
        <f>VLOOKUP($D820,'[2]LC Dynamic'!$Q$2:$U$542,5,FALSE)</f>
        <v>0.69199999999999995</v>
      </c>
      <c r="I820" s="77">
        <f t="shared" si="2536"/>
        <v>1</v>
      </c>
      <c r="J820" s="77">
        <f t="shared" si="2537"/>
        <v>6.9728499999999985E-2</v>
      </c>
      <c r="K820" s="77">
        <f t="shared" si="2611"/>
        <v>5.632878498097682E-3</v>
      </c>
      <c r="L820" s="76">
        <v>0</v>
      </c>
      <c r="M820" s="77">
        <f t="shared" si="2547"/>
        <v>0</v>
      </c>
      <c r="N820" s="77">
        <f t="shared" si="2548"/>
        <v>0</v>
      </c>
      <c r="O820" s="77">
        <f t="shared" si="2549"/>
        <v>5.6775999999999997E-3</v>
      </c>
      <c r="P820" s="77">
        <f t="shared" si="2550"/>
        <v>4.7436902124819991E-4</v>
      </c>
      <c r="R820" t="s">
        <v>177</v>
      </c>
      <c r="S820" t="s">
        <v>179</v>
      </c>
      <c r="T820" s="197" t="str">
        <f t="shared" si="2605"/>
        <v>Autopilot_Dynamic_267</v>
      </c>
      <c r="U820">
        <v>267</v>
      </c>
      <c r="V820">
        <f>VLOOKUP($U820,'[2]AP Dynamic'!$Q$1:$T$542,2,FALSE)</f>
        <v>0.88888888888888884</v>
      </c>
      <c r="W820">
        <f>VLOOKUP($U820,'[2]AP Dynamic'!$Q$1:$T$542,3,FALSE)</f>
        <v>0.11111111111111116</v>
      </c>
      <c r="X820">
        <f>VLOOKUP($U820,'[2]AP Dynamic'!$Q$1:$T$542,4,FALSE)</f>
        <v>0</v>
      </c>
      <c r="Y820" s="77">
        <f t="shared" si="2606"/>
        <v>1</v>
      </c>
      <c r="Z820" s="77">
        <f t="shared" si="2612"/>
        <v>6.3149999999999984E-2</v>
      </c>
      <c r="AA820" s="77">
        <f t="shared" si="2613"/>
        <v>5.1160591879111372E-3</v>
      </c>
      <c r="AB820" s="79">
        <v>1</v>
      </c>
      <c r="AC820" s="77">
        <f t="shared" si="2551"/>
        <v>8.277777777777778E-3</v>
      </c>
      <c r="AD820" s="77">
        <f t="shared" ref="AD820" si="2630">1-(1-AC820)^(1/12)</f>
        <v>6.9244588451522482E-4</v>
      </c>
      <c r="AE820" s="77">
        <f t="shared" si="2553"/>
        <v>2.5000000000000001E-3</v>
      </c>
      <c r="AF820" s="77">
        <f t="shared" ref="AF820" si="2631">1-(1-AE820)^(1/12)</f>
        <v>2.0857243058891584E-4</v>
      </c>
      <c r="AH820" t="s">
        <v>175</v>
      </c>
      <c r="AI820" t="s">
        <v>179</v>
      </c>
      <c r="AJ820" s="197" t="str">
        <f t="shared" si="2540"/>
        <v>Lifecycle_Dynamic_267</v>
      </c>
      <c r="AK820">
        <v>267</v>
      </c>
      <c r="AL820">
        <f>VLOOKUP($U820,[2]Standard_Dynamic!$Q$1:$T$542,2,FALSE)</f>
        <v>0.88888888888888884</v>
      </c>
      <c r="AM820">
        <f>VLOOKUP($U820,[2]Standard_Dynamic!$Q$1:$T$542,3,FALSE)</f>
        <v>0.11111111111111116</v>
      </c>
      <c r="AN820">
        <f>VLOOKUP($U820,[2]Standard_Dynamic!$Q$1:$T$542,4,FALSE)</f>
        <v>0</v>
      </c>
      <c r="AO820" s="77">
        <f t="shared" si="2541"/>
        <v>1</v>
      </c>
      <c r="AP820" s="77">
        <f t="shared" si="2555"/>
        <v>6.3149999999999984E-2</v>
      </c>
      <c r="AQ820" s="77">
        <f t="shared" si="2542"/>
        <v>5.1160591879111372E-3</v>
      </c>
      <c r="AR820" s="79">
        <v>0</v>
      </c>
      <c r="AS820" s="77">
        <f t="shared" si="2556"/>
        <v>0</v>
      </c>
      <c r="AT820" s="77">
        <f t="shared" ref="AT820" si="2632">1-(1-AS820)^(1/12)</f>
        <v>0</v>
      </c>
      <c r="AU820" s="77">
        <f t="shared" si="2558"/>
        <v>2.5000000000000001E-3</v>
      </c>
      <c r="AV820" s="77">
        <f t="shared" ref="AV820" si="2633">1-(1-AU820)^(1/12)</f>
        <v>2.0857243058891584E-4</v>
      </c>
      <c r="AX820" t="s">
        <v>178</v>
      </c>
      <c r="AY820" t="s">
        <v>162</v>
      </c>
      <c r="AZ820" s="197" t="str">
        <f t="shared" si="2354"/>
        <v>DIS_Standard_267</v>
      </c>
      <c r="BA820">
        <v>267</v>
      </c>
      <c r="BB820">
        <f>VLOOKUP($BA820,'[2]Standard DIS'!$Q$1:$X$542,4,FALSE)</f>
        <v>0</v>
      </c>
      <c r="BF820">
        <f>VLOOKUP($BA820,'[2]Standard DIS'!$Q$1:$X$542,2,FALSE)</f>
        <v>0.88888888888888884</v>
      </c>
      <c r="BH820">
        <f>VLOOKUP($BA820,'[2]Standard DIS'!$Q$1:$X$542,3,FALSE)</f>
        <v>0.11111111111111116</v>
      </c>
      <c r="BI820" s="77">
        <f t="shared" si="2545"/>
        <v>1</v>
      </c>
      <c r="BJ820" s="77">
        <f t="shared" si="2546"/>
        <v>6.3149999999999984E-2</v>
      </c>
      <c r="BK820" s="77">
        <f t="shared" si="2355"/>
        <v>5.1160591879111372E-3</v>
      </c>
      <c r="BL820" s="79">
        <v>0</v>
      </c>
      <c r="BM820" s="77">
        <f t="shared" si="2560"/>
        <v>0</v>
      </c>
      <c r="BN820" s="77">
        <f t="shared" si="2561"/>
        <v>0</v>
      </c>
      <c r="BO820" s="77">
        <f t="shared" si="2562"/>
        <v>2.5000000000000001E-3</v>
      </c>
      <c r="BP820" s="77">
        <f t="shared" si="2563"/>
        <v>2.0809499864316017E-4</v>
      </c>
    </row>
    <row r="821" spans="1:68">
      <c r="A821" t="s">
        <v>175</v>
      </c>
      <c r="B821" t="s">
        <v>179</v>
      </c>
      <c r="C821" s="197" t="str">
        <f t="shared" si="2604"/>
        <v>Lifecycle_Dynamic_266</v>
      </c>
      <c r="D821">
        <v>266</v>
      </c>
      <c r="E821">
        <f>VLOOKUP($D821,'[2]LC Dynamic'!$Q$2:$U$542,2,FALSE)</f>
        <v>0</v>
      </c>
      <c r="F821">
        <f>VLOOKUP($D821,'[2]LC Dynamic'!$Q$2:$U$542,3,FALSE)</f>
        <v>0</v>
      </c>
      <c r="G821">
        <f>VLOOKUP($D821,'[2]LC Dynamic'!$Q$2:$U$542,4,FALSE)</f>
        <v>0.308</v>
      </c>
      <c r="H821">
        <f>VLOOKUP($D821,'[2]LC Dynamic'!$Q$2:$U$542,5,FALSE)</f>
        <v>0.69199999999999995</v>
      </c>
      <c r="I821" s="77">
        <f t="shared" si="2536"/>
        <v>1</v>
      </c>
      <c r="J821" s="77">
        <f t="shared" si="2537"/>
        <v>6.9728499999999985E-2</v>
      </c>
      <c r="K821" s="77">
        <f t="shared" si="2611"/>
        <v>5.632878498097682E-3</v>
      </c>
      <c r="L821" s="76">
        <v>0</v>
      </c>
      <c r="M821" s="77">
        <f t="shared" si="2547"/>
        <v>0</v>
      </c>
      <c r="N821" s="77">
        <f t="shared" si="2548"/>
        <v>0</v>
      </c>
      <c r="O821" s="77">
        <f t="shared" si="2549"/>
        <v>5.6775999999999997E-3</v>
      </c>
      <c r="P821" s="77">
        <f t="shared" si="2550"/>
        <v>4.7436902124819991E-4</v>
      </c>
      <c r="R821" t="s">
        <v>177</v>
      </c>
      <c r="S821" t="s">
        <v>179</v>
      </c>
      <c r="T821" s="197" t="str">
        <f t="shared" si="2605"/>
        <v>Autopilot_Dynamic_266</v>
      </c>
      <c r="U821">
        <v>266</v>
      </c>
      <c r="V821">
        <f>VLOOKUP($U821,'[2]AP Dynamic'!$Q$1:$T$542,2,FALSE)</f>
        <v>0.88888888888888884</v>
      </c>
      <c r="W821">
        <f>VLOOKUP($U821,'[2]AP Dynamic'!$Q$1:$T$542,3,FALSE)</f>
        <v>0.11111111111111116</v>
      </c>
      <c r="X821">
        <f>VLOOKUP($U821,'[2]AP Dynamic'!$Q$1:$T$542,4,FALSE)</f>
        <v>0</v>
      </c>
      <c r="Y821" s="77">
        <f t="shared" si="2606"/>
        <v>1</v>
      </c>
      <c r="Z821" s="77">
        <f t="shared" si="2612"/>
        <v>6.3149999999999984E-2</v>
      </c>
      <c r="AA821" s="77">
        <f t="shared" si="2613"/>
        <v>5.1160591879111372E-3</v>
      </c>
      <c r="AB821" s="79">
        <v>1</v>
      </c>
      <c r="AC821" s="77">
        <f t="shared" si="2551"/>
        <v>8.277777777777778E-3</v>
      </c>
      <c r="AD821" s="77">
        <f t="shared" ref="AD821" si="2634">1-(1-AC821)^(1/12)</f>
        <v>6.9244588451522482E-4</v>
      </c>
      <c r="AE821" s="77">
        <f t="shared" si="2553"/>
        <v>2.5000000000000001E-3</v>
      </c>
      <c r="AF821" s="77">
        <f t="shared" ref="AF821" si="2635">1-(1-AE821)^(1/12)</f>
        <v>2.0857243058891584E-4</v>
      </c>
      <c r="AH821" t="s">
        <v>175</v>
      </c>
      <c r="AI821" t="s">
        <v>179</v>
      </c>
      <c r="AJ821" s="197" t="str">
        <f t="shared" si="2540"/>
        <v>Lifecycle_Dynamic_266</v>
      </c>
      <c r="AK821">
        <v>266</v>
      </c>
      <c r="AL821">
        <f>VLOOKUP($U821,[2]Standard_Dynamic!$Q$1:$T$542,2,FALSE)</f>
        <v>0.88888888888888884</v>
      </c>
      <c r="AM821">
        <f>VLOOKUP($U821,[2]Standard_Dynamic!$Q$1:$T$542,3,FALSE)</f>
        <v>0.11111111111111116</v>
      </c>
      <c r="AN821">
        <f>VLOOKUP($U821,[2]Standard_Dynamic!$Q$1:$T$542,4,FALSE)</f>
        <v>0</v>
      </c>
      <c r="AO821" s="77">
        <f t="shared" si="2541"/>
        <v>1</v>
      </c>
      <c r="AP821" s="77">
        <f t="shared" si="2555"/>
        <v>6.3149999999999984E-2</v>
      </c>
      <c r="AQ821" s="77">
        <f t="shared" si="2542"/>
        <v>5.1160591879111372E-3</v>
      </c>
      <c r="AR821" s="79">
        <v>0</v>
      </c>
      <c r="AS821" s="77">
        <f t="shared" si="2556"/>
        <v>0</v>
      </c>
      <c r="AT821" s="77">
        <f t="shared" ref="AT821" si="2636">1-(1-AS821)^(1/12)</f>
        <v>0</v>
      </c>
      <c r="AU821" s="77">
        <f t="shared" si="2558"/>
        <v>2.5000000000000001E-3</v>
      </c>
      <c r="AV821" s="77">
        <f t="shared" ref="AV821" si="2637">1-(1-AU821)^(1/12)</f>
        <v>2.0857243058891584E-4</v>
      </c>
      <c r="AX821" t="s">
        <v>178</v>
      </c>
      <c r="AY821" t="s">
        <v>162</v>
      </c>
      <c r="AZ821" s="197" t="str">
        <f t="shared" ref="AZ821:AZ884" si="2638">AX821&amp;"_"&amp;AY821&amp;"_"&amp;BA821</f>
        <v>DIS_Standard_266</v>
      </c>
      <c r="BA821">
        <v>266</v>
      </c>
      <c r="BB821">
        <f>VLOOKUP($BA821,'[2]Standard DIS'!$Q$1:$X$542,4,FALSE)</f>
        <v>0</v>
      </c>
      <c r="BF821">
        <f>VLOOKUP($BA821,'[2]Standard DIS'!$Q$1:$X$542,2,FALSE)</f>
        <v>0.88888888888888884</v>
      </c>
      <c r="BH821">
        <f>VLOOKUP($BA821,'[2]Standard DIS'!$Q$1:$X$542,3,FALSE)</f>
        <v>0.11111111111111116</v>
      </c>
      <c r="BI821" s="77">
        <f t="shared" si="2545"/>
        <v>1</v>
      </c>
      <c r="BJ821" s="77">
        <f t="shared" si="2546"/>
        <v>6.3149999999999984E-2</v>
      </c>
      <c r="BK821" s="77">
        <f t="shared" ref="BK821:BK884" si="2639">(1+BJ821)^(1/12)-1</f>
        <v>5.1160591879111372E-3</v>
      </c>
      <c r="BL821" s="79">
        <v>0</v>
      </c>
      <c r="BM821" s="77">
        <f t="shared" si="2560"/>
        <v>0</v>
      </c>
      <c r="BN821" s="77">
        <f t="shared" si="2561"/>
        <v>0</v>
      </c>
      <c r="BO821" s="77">
        <f t="shared" si="2562"/>
        <v>2.5000000000000001E-3</v>
      </c>
      <c r="BP821" s="77">
        <f t="shared" si="2563"/>
        <v>2.0809499864316017E-4</v>
      </c>
    </row>
    <row r="822" spans="1:68">
      <c r="A822" t="s">
        <v>175</v>
      </c>
      <c r="B822" t="s">
        <v>179</v>
      </c>
      <c r="C822" s="197" t="str">
        <f t="shared" si="2604"/>
        <v>Lifecycle_Dynamic_265</v>
      </c>
      <c r="D822">
        <v>265</v>
      </c>
      <c r="E822">
        <f>VLOOKUP($D822,'[2]LC Dynamic'!$Q$2:$U$542,2,FALSE)</f>
        <v>0</v>
      </c>
      <c r="F822">
        <f>VLOOKUP($D822,'[2]LC Dynamic'!$Q$2:$U$542,3,FALSE)</f>
        <v>0</v>
      </c>
      <c r="G822">
        <f>VLOOKUP($D822,'[2]LC Dynamic'!$Q$2:$U$542,4,FALSE)</f>
        <v>0.308</v>
      </c>
      <c r="H822">
        <f>VLOOKUP($D822,'[2]LC Dynamic'!$Q$2:$U$542,5,FALSE)</f>
        <v>0.69199999999999995</v>
      </c>
      <c r="I822" s="77">
        <f t="shared" si="2536"/>
        <v>1</v>
      </c>
      <c r="J822" s="77">
        <f t="shared" si="2537"/>
        <v>6.9728499999999985E-2</v>
      </c>
      <c r="K822" s="77">
        <f t="shared" si="2611"/>
        <v>5.632878498097682E-3</v>
      </c>
      <c r="L822" s="76">
        <v>0</v>
      </c>
      <c r="M822" s="77">
        <f t="shared" si="2547"/>
        <v>0</v>
      </c>
      <c r="N822" s="77">
        <f t="shared" si="2548"/>
        <v>0</v>
      </c>
      <c r="O822" s="77">
        <f t="shared" si="2549"/>
        <v>5.6775999999999997E-3</v>
      </c>
      <c r="P822" s="77">
        <f t="shared" si="2550"/>
        <v>4.7436902124819991E-4</v>
      </c>
      <c r="R822" t="s">
        <v>177</v>
      </c>
      <c r="S822" t="s">
        <v>179</v>
      </c>
      <c r="T822" s="197" t="str">
        <f t="shared" si="2605"/>
        <v>Autopilot_Dynamic_265</v>
      </c>
      <c r="U822">
        <v>265</v>
      </c>
      <c r="V822">
        <f>VLOOKUP($U822,'[2]AP Dynamic'!$Q$1:$T$542,2,FALSE)</f>
        <v>0.88888888888888884</v>
      </c>
      <c r="W822">
        <f>VLOOKUP($U822,'[2]AP Dynamic'!$Q$1:$T$542,3,FALSE)</f>
        <v>0.11111111111111116</v>
      </c>
      <c r="X822">
        <f>VLOOKUP($U822,'[2]AP Dynamic'!$Q$1:$T$542,4,FALSE)</f>
        <v>0</v>
      </c>
      <c r="Y822" s="77">
        <f t="shared" si="2606"/>
        <v>1</v>
      </c>
      <c r="Z822" s="77">
        <f t="shared" si="2612"/>
        <v>6.3149999999999984E-2</v>
      </c>
      <c r="AA822" s="77">
        <f t="shared" si="2613"/>
        <v>5.1160591879111372E-3</v>
      </c>
      <c r="AB822" s="79">
        <v>1</v>
      </c>
      <c r="AC822" s="77">
        <f t="shared" si="2551"/>
        <v>8.277777777777778E-3</v>
      </c>
      <c r="AD822" s="77">
        <f t="shared" ref="AD822" si="2640">1-(1-AC822)^(1/12)</f>
        <v>6.9244588451522482E-4</v>
      </c>
      <c r="AE822" s="77">
        <f t="shared" si="2553"/>
        <v>2.5000000000000001E-3</v>
      </c>
      <c r="AF822" s="77">
        <f t="shared" ref="AF822" si="2641">1-(1-AE822)^(1/12)</f>
        <v>2.0857243058891584E-4</v>
      </c>
      <c r="AH822" t="s">
        <v>175</v>
      </c>
      <c r="AI822" t="s">
        <v>179</v>
      </c>
      <c r="AJ822" s="197" t="str">
        <f t="shared" si="2540"/>
        <v>Lifecycle_Dynamic_265</v>
      </c>
      <c r="AK822">
        <v>265</v>
      </c>
      <c r="AL822">
        <f>VLOOKUP($U822,[2]Standard_Dynamic!$Q$1:$T$542,2,FALSE)</f>
        <v>0.88888888888888884</v>
      </c>
      <c r="AM822">
        <f>VLOOKUP($U822,[2]Standard_Dynamic!$Q$1:$T$542,3,FALSE)</f>
        <v>0.11111111111111116</v>
      </c>
      <c r="AN822">
        <f>VLOOKUP($U822,[2]Standard_Dynamic!$Q$1:$T$542,4,FALSE)</f>
        <v>0</v>
      </c>
      <c r="AO822" s="77">
        <f t="shared" si="2541"/>
        <v>1</v>
      </c>
      <c r="AP822" s="77">
        <f t="shared" si="2555"/>
        <v>6.3149999999999984E-2</v>
      </c>
      <c r="AQ822" s="77">
        <f t="shared" si="2542"/>
        <v>5.1160591879111372E-3</v>
      </c>
      <c r="AR822" s="79">
        <v>0</v>
      </c>
      <c r="AS822" s="77">
        <f t="shared" si="2556"/>
        <v>0</v>
      </c>
      <c r="AT822" s="77">
        <f t="shared" ref="AT822" si="2642">1-(1-AS822)^(1/12)</f>
        <v>0</v>
      </c>
      <c r="AU822" s="77">
        <f t="shared" si="2558"/>
        <v>2.5000000000000001E-3</v>
      </c>
      <c r="AV822" s="77">
        <f t="shared" ref="AV822" si="2643">1-(1-AU822)^(1/12)</f>
        <v>2.0857243058891584E-4</v>
      </c>
      <c r="AX822" t="s">
        <v>178</v>
      </c>
      <c r="AY822" t="s">
        <v>162</v>
      </c>
      <c r="AZ822" s="197" t="str">
        <f t="shared" si="2638"/>
        <v>DIS_Standard_265</v>
      </c>
      <c r="BA822">
        <v>265</v>
      </c>
      <c r="BB822">
        <f>VLOOKUP($BA822,'[2]Standard DIS'!$Q$1:$X$542,4,FALSE)</f>
        <v>0</v>
      </c>
      <c r="BF822">
        <f>VLOOKUP($BA822,'[2]Standard DIS'!$Q$1:$X$542,2,FALSE)</f>
        <v>0.88888888888888884</v>
      </c>
      <c r="BH822">
        <f>VLOOKUP($BA822,'[2]Standard DIS'!$Q$1:$X$542,3,FALSE)</f>
        <v>0.11111111111111116</v>
      </c>
      <c r="BI822" s="77">
        <f t="shared" si="2545"/>
        <v>1</v>
      </c>
      <c r="BJ822" s="77">
        <f t="shared" si="2546"/>
        <v>6.3149999999999984E-2</v>
      </c>
      <c r="BK822" s="77">
        <f t="shared" si="2639"/>
        <v>5.1160591879111372E-3</v>
      </c>
      <c r="BL822" s="79">
        <v>0</v>
      </c>
      <c r="BM822" s="77">
        <f t="shared" si="2560"/>
        <v>0</v>
      </c>
      <c r="BN822" s="77">
        <f t="shared" si="2561"/>
        <v>0</v>
      </c>
      <c r="BO822" s="77">
        <f t="shared" si="2562"/>
        <v>2.5000000000000001E-3</v>
      </c>
      <c r="BP822" s="77">
        <f t="shared" si="2563"/>
        <v>2.0809499864316017E-4</v>
      </c>
    </row>
    <row r="823" spans="1:68">
      <c r="A823" t="s">
        <v>175</v>
      </c>
      <c r="B823" t="s">
        <v>179</v>
      </c>
      <c r="C823" s="197" t="str">
        <f t="shared" si="2604"/>
        <v>Lifecycle_Dynamic_264</v>
      </c>
      <c r="D823">
        <v>264</v>
      </c>
      <c r="E823">
        <f>VLOOKUP($D823,'[2]LC Dynamic'!$Q$2:$U$542,2,FALSE)</f>
        <v>0</v>
      </c>
      <c r="F823">
        <f>VLOOKUP($D823,'[2]LC Dynamic'!$Q$2:$U$542,3,FALSE)</f>
        <v>0</v>
      </c>
      <c r="G823">
        <f>VLOOKUP($D823,'[2]LC Dynamic'!$Q$2:$U$542,4,FALSE)</f>
        <v>0.308</v>
      </c>
      <c r="H823">
        <f>VLOOKUP($D823,'[2]LC Dynamic'!$Q$2:$U$542,5,FALSE)</f>
        <v>0.69199999999999995</v>
      </c>
      <c r="I823" s="77">
        <f t="shared" si="2536"/>
        <v>1</v>
      </c>
      <c r="J823" s="77">
        <f t="shared" si="2537"/>
        <v>6.9728499999999985E-2</v>
      </c>
      <c r="K823" s="77">
        <f t="shared" si="2611"/>
        <v>5.632878498097682E-3</v>
      </c>
      <c r="L823" s="76">
        <v>0</v>
      </c>
      <c r="M823" s="77">
        <f t="shared" si="2547"/>
        <v>0</v>
      </c>
      <c r="N823" s="77">
        <f t="shared" si="2548"/>
        <v>0</v>
      </c>
      <c r="O823" s="77">
        <f t="shared" si="2549"/>
        <v>5.6775999999999997E-3</v>
      </c>
      <c r="P823" s="77">
        <f t="shared" si="2550"/>
        <v>4.7436902124819991E-4</v>
      </c>
      <c r="R823" t="s">
        <v>177</v>
      </c>
      <c r="S823" t="s">
        <v>179</v>
      </c>
      <c r="T823" s="197" t="str">
        <f t="shared" si="2605"/>
        <v>Autopilot_Dynamic_264</v>
      </c>
      <c r="U823">
        <v>264</v>
      </c>
      <c r="V823">
        <f>VLOOKUP($U823,'[2]AP Dynamic'!$Q$1:$T$542,2,FALSE)</f>
        <v>0.88888888888888884</v>
      </c>
      <c r="W823">
        <f>VLOOKUP($U823,'[2]AP Dynamic'!$Q$1:$T$542,3,FALSE)</f>
        <v>0.11111111111111116</v>
      </c>
      <c r="X823">
        <f>VLOOKUP($U823,'[2]AP Dynamic'!$Q$1:$T$542,4,FALSE)</f>
        <v>0</v>
      </c>
      <c r="Y823" s="77">
        <f t="shared" si="2606"/>
        <v>1</v>
      </c>
      <c r="Z823" s="77">
        <f t="shared" si="2612"/>
        <v>6.3149999999999984E-2</v>
      </c>
      <c r="AA823" s="77">
        <f t="shared" si="2613"/>
        <v>5.1160591879111372E-3</v>
      </c>
      <c r="AB823" s="79">
        <v>1</v>
      </c>
      <c r="AC823" s="77">
        <f t="shared" si="2551"/>
        <v>8.277777777777778E-3</v>
      </c>
      <c r="AD823" s="77">
        <f t="shared" ref="AD823" si="2644">1-(1-AC823)^(1/12)</f>
        <v>6.9244588451522482E-4</v>
      </c>
      <c r="AE823" s="77">
        <f t="shared" si="2553"/>
        <v>2.5000000000000001E-3</v>
      </c>
      <c r="AF823" s="77">
        <f t="shared" ref="AF823" si="2645">1-(1-AE823)^(1/12)</f>
        <v>2.0857243058891584E-4</v>
      </c>
      <c r="AH823" t="s">
        <v>175</v>
      </c>
      <c r="AI823" t="s">
        <v>179</v>
      </c>
      <c r="AJ823" s="197" t="str">
        <f t="shared" si="2540"/>
        <v>Lifecycle_Dynamic_264</v>
      </c>
      <c r="AK823">
        <v>264</v>
      </c>
      <c r="AL823">
        <f>VLOOKUP($U823,[2]Standard_Dynamic!$Q$1:$T$542,2,FALSE)</f>
        <v>0.88888888888888884</v>
      </c>
      <c r="AM823">
        <f>VLOOKUP($U823,[2]Standard_Dynamic!$Q$1:$T$542,3,FALSE)</f>
        <v>0.11111111111111116</v>
      </c>
      <c r="AN823">
        <f>VLOOKUP($U823,[2]Standard_Dynamic!$Q$1:$T$542,4,FALSE)</f>
        <v>0</v>
      </c>
      <c r="AO823" s="77">
        <f t="shared" si="2541"/>
        <v>1</v>
      </c>
      <c r="AP823" s="77">
        <f t="shared" si="2555"/>
        <v>6.3149999999999984E-2</v>
      </c>
      <c r="AQ823" s="77">
        <f t="shared" si="2542"/>
        <v>5.1160591879111372E-3</v>
      </c>
      <c r="AR823" s="79">
        <v>0</v>
      </c>
      <c r="AS823" s="77">
        <f t="shared" si="2556"/>
        <v>0</v>
      </c>
      <c r="AT823" s="77">
        <f t="shared" ref="AT823" si="2646">1-(1-AS823)^(1/12)</f>
        <v>0</v>
      </c>
      <c r="AU823" s="77">
        <f t="shared" si="2558"/>
        <v>2.5000000000000001E-3</v>
      </c>
      <c r="AV823" s="77">
        <f t="shared" ref="AV823" si="2647">1-(1-AU823)^(1/12)</f>
        <v>2.0857243058891584E-4</v>
      </c>
      <c r="AX823" t="s">
        <v>178</v>
      </c>
      <c r="AY823" t="s">
        <v>162</v>
      </c>
      <c r="AZ823" s="197" t="str">
        <f t="shared" si="2638"/>
        <v>DIS_Standard_264</v>
      </c>
      <c r="BA823">
        <v>264</v>
      </c>
      <c r="BB823">
        <f>VLOOKUP($BA823,'[2]Standard DIS'!$Q$1:$X$542,4,FALSE)</f>
        <v>0</v>
      </c>
      <c r="BF823">
        <f>VLOOKUP($BA823,'[2]Standard DIS'!$Q$1:$X$542,2,FALSE)</f>
        <v>0.88888888888888884</v>
      </c>
      <c r="BH823">
        <f>VLOOKUP($BA823,'[2]Standard DIS'!$Q$1:$X$542,3,FALSE)</f>
        <v>0.11111111111111116</v>
      </c>
      <c r="BI823" s="77">
        <f t="shared" si="2545"/>
        <v>1</v>
      </c>
      <c r="BJ823" s="77">
        <f t="shared" si="2546"/>
        <v>6.3149999999999984E-2</v>
      </c>
      <c r="BK823" s="77">
        <f t="shared" si="2639"/>
        <v>5.1160591879111372E-3</v>
      </c>
      <c r="BL823" s="79">
        <v>0</v>
      </c>
      <c r="BM823" s="77">
        <f t="shared" si="2560"/>
        <v>0</v>
      </c>
      <c r="BN823" s="77">
        <f t="shared" si="2561"/>
        <v>0</v>
      </c>
      <c r="BO823" s="77">
        <f t="shared" si="2562"/>
        <v>2.5000000000000001E-3</v>
      </c>
      <c r="BP823" s="77">
        <f t="shared" si="2563"/>
        <v>2.0809499864316017E-4</v>
      </c>
    </row>
    <row r="824" spans="1:68">
      <c r="A824" t="s">
        <v>175</v>
      </c>
      <c r="B824" t="s">
        <v>179</v>
      </c>
      <c r="C824" s="197" t="str">
        <f t="shared" si="2604"/>
        <v>Lifecycle_Dynamic_263</v>
      </c>
      <c r="D824">
        <v>263</v>
      </c>
      <c r="E824">
        <f>VLOOKUP($D824,'[2]LC Dynamic'!$Q$2:$U$542,2,FALSE)</f>
        <v>0</v>
      </c>
      <c r="F824">
        <f>VLOOKUP($D824,'[2]LC Dynamic'!$Q$2:$U$542,3,FALSE)</f>
        <v>0</v>
      </c>
      <c r="G824">
        <f>VLOOKUP($D824,'[2]LC Dynamic'!$Q$2:$U$542,4,FALSE)</f>
        <v>0.308</v>
      </c>
      <c r="H824">
        <f>VLOOKUP($D824,'[2]LC Dynamic'!$Q$2:$U$542,5,FALSE)</f>
        <v>0.69199999999999995</v>
      </c>
      <c r="I824" s="77">
        <f t="shared" si="2536"/>
        <v>1</v>
      </c>
      <c r="J824" s="77">
        <f t="shared" si="2537"/>
        <v>6.9728499999999985E-2</v>
      </c>
      <c r="K824" s="77">
        <f t="shared" si="2611"/>
        <v>5.632878498097682E-3</v>
      </c>
      <c r="L824" s="76">
        <v>0</v>
      </c>
      <c r="M824" s="77">
        <f t="shared" si="2547"/>
        <v>0</v>
      </c>
      <c r="N824" s="77">
        <f t="shared" si="2548"/>
        <v>0</v>
      </c>
      <c r="O824" s="77">
        <f t="shared" si="2549"/>
        <v>5.6775999999999997E-3</v>
      </c>
      <c r="P824" s="77">
        <f t="shared" si="2550"/>
        <v>4.7436902124819991E-4</v>
      </c>
      <c r="R824" t="s">
        <v>177</v>
      </c>
      <c r="S824" t="s">
        <v>179</v>
      </c>
      <c r="T824" s="197" t="str">
        <f t="shared" si="2605"/>
        <v>Autopilot_Dynamic_263</v>
      </c>
      <c r="U824">
        <v>263</v>
      </c>
      <c r="V824">
        <f>VLOOKUP($U824,'[2]AP Dynamic'!$Q$1:$T$542,2,FALSE)</f>
        <v>0.88888888888888884</v>
      </c>
      <c r="W824">
        <f>VLOOKUP($U824,'[2]AP Dynamic'!$Q$1:$T$542,3,FALSE)</f>
        <v>0.11111111111111116</v>
      </c>
      <c r="X824">
        <f>VLOOKUP($U824,'[2]AP Dynamic'!$Q$1:$T$542,4,FALSE)</f>
        <v>0</v>
      </c>
      <c r="Y824" s="77">
        <f t="shared" si="2606"/>
        <v>1</v>
      </c>
      <c r="Z824" s="77">
        <f t="shared" si="2612"/>
        <v>6.3149999999999984E-2</v>
      </c>
      <c r="AA824" s="77">
        <f t="shared" si="2613"/>
        <v>5.1160591879111372E-3</v>
      </c>
      <c r="AB824" s="79">
        <v>1</v>
      </c>
      <c r="AC824" s="77">
        <f t="shared" si="2551"/>
        <v>8.277777777777778E-3</v>
      </c>
      <c r="AD824" s="77">
        <f t="shared" ref="AD824" si="2648">1-(1-AC824)^(1/12)</f>
        <v>6.9244588451522482E-4</v>
      </c>
      <c r="AE824" s="77">
        <f t="shared" si="2553"/>
        <v>2.5000000000000001E-3</v>
      </c>
      <c r="AF824" s="77">
        <f t="shared" ref="AF824" si="2649">1-(1-AE824)^(1/12)</f>
        <v>2.0857243058891584E-4</v>
      </c>
      <c r="AH824" t="s">
        <v>175</v>
      </c>
      <c r="AI824" t="s">
        <v>179</v>
      </c>
      <c r="AJ824" s="197" t="str">
        <f t="shared" si="2540"/>
        <v>Lifecycle_Dynamic_263</v>
      </c>
      <c r="AK824">
        <v>263</v>
      </c>
      <c r="AL824">
        <f>VLOOKUP($U824,[2]Standard_Dynamic!$Q$1:$T$542,2,FALSE)</f>
        <v>0.88888888888888884</v>
      </c>
      <c r="AM824">
        <f>VLOOKUP($U824,[2]Standard_Dynamic!$Q$1:$T$542,3,FALSE)</f>
        <v>0.11111111111111116</v>
      </c>
      <c r="AN824">
        <f>VLOOKUP($U824,[2]Standard_Dynamic!$Q$1:$T$542,4,FALSE)</f>
        <v>0</v>
      </c>
      <c r="AO824" s="77">
        <f t="shared" si="2541"/>
        <v>1</v>
      </c>
      <c r="AP824" s="77">
        <f t="shared" si="2555"/>
        <v>6.3149999999999984E-2</v>
      </c>
      <c r="AQ824" s="77">
        <f t="shared" si="2542"/>
        <v>5.1160591879111372E-3</v>
      </c>
      <c r="AR824" s="79">
        <v>0</v>
      </c>
      <c r="AS824" s="77">
        <f t="shared" si="2556"/>
        <v>0</v>
      </c>
      <c r="AT824" s="77">
        <f t="shared" ref="AT824" si="2650">1-(1-AS824)^(1/12)</f>
        <v>0</v>
      </c>
      <c r="AU824" s="77">
        <f t="shared" si="2558"/>
        <v>2.5000000000000001E-3</v>
      </c>
      <c r="AV824" s="77">
        <f t="shared" ref="AV824" si="2651">1-(1-AU824)^(1/12)</f>
        <v>2.0857243058891584E-4</v>
      </c>
      <c r="AX824" t="s">
        <v>178</v>
      </c>
      <c r="AY824" t="s">
        <v>162</v>
      </c>
      <c r="AZ824" s="197" t="str">
        <f t="shared" si="2638"/>
        <v>DIS_Standard_263</v>
      </c>
      <c r="BA824">
        <v>263</v>
      </c>
      <c r="BB824">
        <f>VLOOKUP($BA824,'[2]Standard DIS'!$Q$1:$X$542,4,FALSE)</f>
        <v>0</v>
      </c>
      <c r="BF824">
        <f>VLOOKUP($BA824,'[2]Standard DIS'!$Q$1:$X$542,2,FALSE)</f>
        <v>0.88888888888888884</v>
      </c>
      <c r="BH824">
        <f>VLOOKUP($BA824,'[2]Standard DIS'!$Q$1:$X$542,3,FALSE)</f>
        <v>0.11111111111111116</v>
      </c>
      <c r="BI824" s="77">
        <f t="shared" si="2545"/>
        <v>1</v>
      </c>
      <c r="BJ824" s="77">
        <f t="shared" si="2546"/>
        <v>6.3149999999999984E-2</v>
      </c>
      <c r="BK824" s="77">
        <f t="shared" si="2639"/>
        <v>5.1160591879111372E-3</v>
      </c>
      <c r="BL824" s="79">
        <v>0</v>
      </c>
      <c r="BM824" s="77">
        <f t="shared" si="2560"/>
        <v>0</v>
      </c>
      <c r="BN824" s="77">
        <f t="shared" si="2561"/>
        <v>0</v>
      </c>
      <c r="BO824" s="77">
        <f t="shared" si="2562"/>
        <v>2.5000000000000001E-3</v>
      </c>
      <c r="BP824" s="77">
        <f t="shared" si="2563"/>
        <v>2.0809499864316017E-4</v>
      </c>
    </row>
    <row r="825" spans="1:68">
      <c r="A825" t="s">
        <v>175</v>
      </c>
      <c r="B825" t="s">
        <v>179</v>
      </c>
      <c r="C825" s="197" t="str">
        <f t="shared" si="2604"/>
        <v>Lifecycle_Dynamic_262</v>
      </c>
      <c r="D825">
        <v>262</v>
      </c>
      <c r="E825">
        <f>VLOOKUP($D825,'[2]LC Dynamic'!$Q$2:$U$542,2,FALSE)</f>
        <v>0</v>
      </c>
      <c r="F825">
        <f>VLOOKUP($D825,'[2]LC Dynamic'!$Q$2:$U$542,3,FALSE)</f>
        <v>0</v>
      </c>
      <c r="G825">
        <f>VLOOKUP($D825,'[2]LC Dynamic'!$Q$2:$U$542,4,FALSE)</f>
        <v>0.308</v>
      </c>
      <c r="H825">
        <f>VLOOKUP($D825,'[2]LC Dynamic'!$Q$2:$U$542,5,FALSE)</f>
        <v>0.69199999999999995</v>
      </c>
      <c r="I825" s="77">
        <f t="shared" si="2536"/>
        <v>1</v>
      </c>
      <c r="J825" s="77">
        <f t="shared" si="2537"/>
        <v>6.9728499999999985E-2</v>
      </c>
      <c r="K825" s="77">
        <f t="shared" si="2611"/>
        <v>5.632878498097682E-3</v>
      </c>
      <c r="L825" s="76">
        <v>0</v>
      </c>
      <c r="M825" s="77">
        <f t="shared" si="2547"/>
        <v>0</v>
      </c>
      <c r="N825" s="77">
        <f t="shared" si="2548"/>
        <v>0</v>
      </c>
      <c r="O825" s="77">
        <f t="shared" si="2549"/>
        <v>5.6775999999999997E-3</v>
      </c>
      <c r="P825" s="77">
        <f t="shared" si="2550"/>
        <v>4.7436902124819991E-4</v>
      </c>
      <c r="R825" t="s">
        <v>177</v>
      </c>
      <c r="S825" t="s">
        <v>179</v>
      </c>
      <c r="T825" s="197" t="str">
        <f t="shared" si="2605"/>
        <v>Autopilot_Dynamic_262</v>
      </c>
      <c r="U825">
        <v>262</v>
      </c>
      <c r="V825">
        <f>VLOOKUP($U825,'[2]AP Dynamic'!$Q$1:$T$542,2,FALSE)</f>
        <v>0.88888888888888884</v>
      </c>
      <c r="W825">
        <f>VLOOKUP($U825,'[2]AP Dynamic'!$Q$1:$T$542,3,FALSE)</f>
        <v>0.11111111111111116</v>
      </c>
      <c r="X825">
        <f>VLOOKUP($U825,'[2]AP Dynamic'!$Q$1:$T$542,4,FALSE)</f>
        <v>0</v>
      </c>
      <c r="Y825" s="77">
        <f t="shared" si="2606"/>
        <v>1</v>
      </c>
      <c r="Z825" s="77">
        <f t="shared" si="2612"/>
        <v>6.3149999999999984E-2</v>
      </c>
      <c r="AA825" s="77">
        <f t="shared" si="2613"/>
        <v>5.1160591879111372E-3</v>
      </c>
      <c r="AB825" s="79">
        <v>1</v>
      </c>
      <c r="AC825" s="77">
        <f t="shared" si="2551"/>
        <v>8.277777777777778E-3</v>
      </c>
      <c r="AD825" s="77">
        <f t="shared" ref="AD825" si="2652">1-(1-AC825)^(1/12)</f>
        <v>6.9244588451522482E-4</v>
      </c>
      <c r="AE825" s="77">
        <f t="shared" si="2553"/>
        <v>2.5000000000000001E-3</v>
      </c>
      <c r="AF825" s="77">
        <f t="shared" ref="AF825" si="2653">1-(1-AE825)^(1/12)</f>
        <v>2.0857243058891584E-4</v>
      </c>
      <c r="AH825" t="s">
        <v>175</v>
      </c>
      <c r="AI825" t="s">
        <v>179</v>
      </c>
      <c r="AJ825" s="197" t="str">
        <f t="shared" si="2540"/>
        <v>Lifecycle_Dynamic_262</v>
      </c>
      <c r="AK825">
        <v>262</v>
      </c>
      <c r="AL825">
        <f>VLOOKUP($U825,[2]Standard_Dynamic!$Q$1:$T$542,2,FALSE)</f>
        <v>0.88888888888888884</v>
      </c>
      <c r="AM825">
        <f>VLOOKUP($U825,[2]Standard_Dynamic!$Q$1:$T$542,3,FALSE)</f>
        <v>0.11111111111111116</v>
      </c>
      <c r="AN825">
        <f>VLOOKUP($U825,[2]Standard_Dynamic!$Q$1:$T$542,4,FALSE)</f>
        <v>0</v>
      </c>
      <c r="AO825" s="77">
        <f t="shared" si="2541"/>
        <v>1</v>
      </c>
      <c r="AP825" s="77">
        <f t="shared" si="2555"/>
        <v>6.3149999999999984E-2</v>
      </c>
      <c r="AQ825" s="77">
        <f t="shared" si="2542"/>
        <v>5.1160591879111372E-3</v>
      </c>
      <c r="AR825" s="79">
        <v>0</v>
      </c>
      <c r="AS825" s="77">
        <f t="shared" si="2556"/>
        <v>0</v>
      </c>
      <c r="AT825" s="77">
        <f t="shared" ref="AT825" si="2654">1-(1-AS825)^(1/12)</f>
        <v>0</v>
      </c>
      <c r="AU825" s="77">
        <f t="shared" si="2558"/>
        <v>2.5000000000000001E-3</v>
      </c>
      <c r="AV825" s="77">
        <f t="shared" ref="AV825" si="2655">1-(1-AU825)^(1/12)</f>
        <v>2.0857243058891584E-4</v>
      </c>
      <c r="AX825" t="s">
        <v>178</v>
      </c>
      <c r="AY825" t="s">
        <v>162</v>
      </c>
      <c r="AZ825" s="197" t="str">
        <f t="shared" si="2638"/>
        <v>DIS_Standard_262</v>
      </c>
      <c r="BA825">
        <v>262</v>
      </c>
      <c r="BB825">
        <f>VLOOKUP($BA825,'[2]Standard DIS'!$Q$1:$X$542,4,FALSE)</f>
        <v>0</v>
      </c>
      <c r="BF825">
        <f>VLOOKUP($BA825,'[2]Standard DIS'!$Q$1:$X$542,2,FALSE)</f>
        <v>0.88888888888888884</v>
      </c>
      <c r="BH825">
        <f>VLOOKUP($BA825,'[2]Standard DIS'!$Q$1:$X$542,3,FALSE)</f>
        <v>0.11111111111111116</v>
      </c>
      <c r="BI825" s="77">
        <f t="shared" si="2545"/>
        <v>1</v>
      </c>
      <c r="BJ825" s="77">
        <f t="shared" si="2546"/>
        <v>6.3149999999999984E-2</v>
      </c>
      <c r="BK825" s="77">
        <f t="shared" si="2639"/>
        <v>5.1160591879111372E-3</v>
      </c>
      <c r="BL825" s="79">
        <v>0</v>
      </c>
      <c r="BM825" s="77">
        <f t="shared" si="2560"/>
        <v>0</v>
      </c>
      <c r="BN825" s="77">
        <f t="shared" si="2561"/>
        <v>0</v>
      </c>
      <c r="BO825" s="77">
        <f t="shared" si="2562"/>
        <v>2.5000000000000001E-3</v>
      </c>
      <c r="BP825" s="77">
        <f t="shared" si="2563"/>
        <v>2.0809499864316017E-4</v>
      </c>
    </row>
    <row r="826" spans="1:68">
      <c r="A826" t="s">
        <v>175</v>
      </c>
      <c r="B826" t="s">
        <v>179</v>
      </c>
      <c r="C826" s="197" t="str">
        <f t="shared" si="2604"/>
        <v>Lifecycle_Dynamic_261</v>
      </c>
      <c r="D826">
        <v>261</v>
      </c>
      <c r="E826">
        <f>VLOOKUP($D826,'[2]LC Dynamic'!$Q$2:$U$542,2,FALSE)</f>
        <v>0</v>
      </c>
      <c r="F826">
        <f>VLOOKUP($D826,'[2]LC Dynamic'!$Q$2:$U$542,3,FALSE)</f>
        <v>0</v>
      </c>
      <c r="G826">
        <f>VLOOKUP($D826,'[2]LC Dynamic'!$Q$2:$U$542,4,FALSE)</f>
        <v>0.308</v>
      </c>
      <c r="H826">
        <f>VLOOKUP($D826,'[2]LC Dynamic'!$Q$2:$U$542,5,FALSE)</f>
        <v>0.69199999999999995</v>
      </c>
      <c r="I826" s="77">
        <f t="shared" si="2536"/>
        <v>1</v>
      </c>
      <c r="J826" s="77">
        <f t="shared" si="2537"/>
        <v>6.9728499999999985E-2</v>
      </c>
      <c r="K826" s="77">
        <f t="shared" si="2611"/>
        <v>5.632878498097682E-3</v>
      </c>
      <c r="L826" s="76">
        <v>0</v>
      </c>
      <c r="M826" s="77">
        <f t="shared" si="2547"/>
        <v>0</v>
      </c>
      <c r="N826" s="77">
        <f t="shared" si="2548"/>
        <v>0</v>
      </c>
      <c r="O826" s="77">
        <f t="shared" si="2549"/>
        <v>5.6775999999999997E-3</v>
      </c>
      <c r="P826" s="77">
        <f t="shared" si="2550"/>
        <v>4.7436902124819991E-4</v>
      </c>
      <c r="R826" t="s">
        <v>177</v>
      </c>
      <c r="S826" t="s">
        <v>179</v>
      </c>
      <c r="T826" s="197" t="str">
        <f t="shared" si="2605"/>
        <v>Autopilot_Dynamic_261</v>
      </c>
      <c r="U826">
        <v>261</v>
      </c>
      <c r="V826">
        <f>VLOOKUP($U826,'[2]AP Dynamic'!$Q$1:$T$542,2,FALSE)</f>
        <v>0.88888888888888884</v>
      </c>
      <c r="W826">
        <f>VLOOKUP($U826,'[2]AP Dynamic'!$Q$1:$T$542,3,FALSE)</f>
        <v>0.11111111111111116</v>
      </c>
      <c r="X826">
        <f>VLOOKUP($U826,'[2]AP Dynamic'!$Q$1:$T$542,4,FALSE)</f>
        <v>0</v>
      </c>
      <c r="Y826" s="77">
        <f t="shared" si="2606"/>
        <v>1</v>
      </c>
      <c r="Z826" s="77">
        <f t="shared" si="2612"/>
        <v>6.3149999999999984E-2</v>
      </c>
      <c r="AA826" s="77">
        <f t="shared" si="2613"/>
        <v>5.1160591879111372E-3</v>
      </c>
      <c r="AB826" s="79">
        <v>1</v>
      </c>
      <c r="AC826" s="77">
        <f t="shared" si="2551"/>
        <v>8.277777777777778E-3</v>
      </c>
      <c r="AD826" s="77">
        <f t="shared" ref="AD826" si="2656">1-(1-AC826)^(1/12)</f>
        <v>6.9244588451522482E-4</v>
      </c>
      <c r="AE826" s="77">
        <f t="shared" si="2553"/>
        <v>2.5000000000000001E-3</v>
      </c>
      <c r="AF826" s="77">
        <f t="shared" ref="AF826" si="2657">1-(1-AE826)^(1/12)</f>
        <v>2.0857243058891584E-4</v>
      </c>
      <c r="AH826" t="s">
        <v>175</v>
      </c>
      <c r="AI826" t="s">
        <v>179</v>
      </c>
      <c r="AJ826" s="197" t="str">
        <f t="shared" si="2540"/>
        <v>Lifecycle_Dynamic_261</v>
      </c>
      <c r="AK826">
        <v>261</v>
      </c>
      <c r="AL826">
        <f>VLOOKUP($U826,[2]Standard_Dynamic!$Q$1:$T$542,2,FALSE)</f>
        <v>0.88888888888888884</v>
      </c>
      <c r="AM826">
        <f>VLOOKUP($U826,[2]Standard_Dynamic!$Q$1:$T$542,3,FALSE)</f>
        <v>0.11111111111111116</v>
      </c>
      <c r="AN826">
        <f>VLOOKUP($U826,[2]Standard_Dynamic!$Q$1:$T$542,4,FALSE)</f>
        <v>0</v>
      </c>
      <c r="AO826" s="77">
        <f t="shared" si="2541"/>
        <v>1</v>
      </c>
      <c r="AP826" s="77">
        <f t="shared" si="2555"/>
        <v>6.3149999999999984E-2</v>
      </c>
      <c r="AQ826" s="77">
        <f t="shared" si="2542"/>
        <v>5.1160591879111372E-3</v>
      </c>
      <c r="AR826" s="79">
        <v>0</v>
      </c>
      <c r="AS826" s="77">
        <f t="shared" si="2556"/>
        <v>0</v>
      </c>
      <c r="AT826" s="77">
        <f t="shared" ref="AT826" si="2658">1-(1-AS826)^(1/12)</f>
        <v>0</v>
      </c>
      <c r="AU826" s="77">
        <f t="shared" si="2558"/>
        <v>2.5000000000000001E-3</v>
      </c>
      <c r="AV826" s="77">
        <f t="shared" ref="AV826" si="2659">1-(1-AU826)^(1/12)</f>
        <v>2.0857243058891584E-4</v>
      </c>
      <c r="AX826" t="s">
        <v>178</v>
      </c>
      <c r="AY826" t="s">
        <v>162</v>
      </c>
      <c r="AZ826" s="197" t="str">
        <f t="shared" si="2638"/>
        <v>DIS_Standard_261</v>
      </c>
      <c r="BA826">
        <v>261</v>
      </c>
      <c r="BB826">
        <f>VLOOKUP($BA826,'[2]Standard DIS'!$Q$1:$X$542,4,FALSE)</f>
        <v>0</v>
      </c>
      <c r="BF826">
        <f>VLOOKUP($BA826,'[2]Standard DIS'!$Q$1:$X$542,2,FALSE)</f>
        <v>0.88888888888888884</v>
      </c>
      <c r="BH826">
        <f>VLOOKUP($BA826,'[2]Standard DIS'!$Q$1:$X$542,3,FALSE)</f>
        <v>0.11111111111111116</v>
      </c>
      <c r="BI826" s="77">
        <f t="shared" si="2545"/>
        <v>1</v>
      </c>
      <c r="BJ826" s="77">
        <f t="shared" si="2546"/>
        <v>6.3149999999999984E-2</v>
      </c>
      <c r="BK826" s="77">
        <f t="shared" si="2639"/>
        <v>5.1160591879111372E-3</v>
      </c>
      <c r="BL826" s="79">
        <v>0</v>
      </c>
      <c r="BM826" s="77">
        <f t="shared" si="2560"/>
        <v>0</v>
      </c>
      <c r="BN826" s="77">
        <f t="shared" si="2561"/>
        <v>0</v>
      </c>
      <c r="BO826" s="77">
        <f t="shared" si="2562"/>
        <v>2.5000000000000001E-3</v>
      </c>
      <c r="BP826" s="77">
        <f t="shared" si="2563"/>
        <v>2.0809499864316017E-4</v>
      </c>
    </row>
    <row r="827" spans="1:68">
      <c r="A827" t="s">
        <v>175</v>
      </c>
      <c r="B827" t="s">
        <v>179</v>
      </c>
      <c r="C827" s="197" t="str">
        <f t="shared" si="2604"/>
        <v>Lifecycle_Dynamic_260</v>
      </c>
      <c r="D827">
        <v>260</v>
      </c>
      <c r="E827">
        <f>VLOOKUP($D827,'[2]LC Dynamic'!$Q$2:$U$542,2,FALSE)</f>
        <v>0</v>
      </c>
      <c r="F827">
        <f>VLOOKUP($D827,'[2]LC Dynamic'!$Q$2:$U$542,3,FALSE)</f>
        <v>0</v>
      </c>
      <c r="G827">
        <f>VLOOKUP($D827,'[2]LC Dynamic'!$Q$2:$U$542,4,FALSE)</f>
        <v>0.308</v>
      </c>
      <c r="H827">
        <f>VLOOKUP($D827,'[2]LC Dynamic'!$Q$2:$U$542,5,FALSE)</f>
        <v>0.69199999999999995</v>
      </c>
      <c r="I827" s="77">
        <f t="shared" si="2536"/>
        <v>1</v>
      </c>
      <c r="J827" s="77">
        <f t="shared" si="2537"/>
        <v>6.9728499999999985E-2</v>
      </c>
      <c r="K827" s="77">
        <f t="shared" si="2611"/>
        <v>5.632878498097682E-3</v>
      </c>
      <c r="L827" s="76">
        <v>0</v>
      </c>
      <c r="M827" s="77">
        <f t="shared" si="2547"/>
        <v>0</v>
      </c>
      <c r="N827" s="77">
        <f t="shared" si="2548"/>
        <v>0</v>
      </c>
      <c r="O827" s="77">
        <f t="shared" si="2549"/>
        <v>5.6775999999999997E-3</v>
      </c>
      <c r="P827" s="77">
        <f t="shared" si="2550"/>
        <v>4.7436902124819991E-4</v>
      </c>
      <c r="R827" t="s">
        <v>177</v>
      </c>
      <c r="S827" t="s">
        <v>179</v>
      </c>
      <c r="T827" s="197" t="str">
        <f t="shared" si="2605"/>
        <v>Autopilot_Dynamic_260</v>
      </c>
      <c r="U827">
        <v>260</v>
      </c>
      <c r="V827">
        <f>VLOOKUP($U827,'[2]AP Dynamic'!$Q$1:$T$542,2,FALSE)</f>
        <v>0.88888888888888884</v>
      </c>
      <c r="W827">
        <f>VLOOKUP($U827,'[2]AP Dynamic'!$Q$1:$T$542,3,FALSE)</f>
        <v>0.11111111111111116</v>
      </c>
      <c r="X827">
        <f>VLOOKUP($U827,'[2]AP Dynamic'!$Q$1:$T$542,4,FALSE)</f>
        <v>0</v>
      </c>
      <c r="Y827" s="77">
        <f t="shared" si="2606"/>
        <v>1</v>
      </c>
      <c r="Z827" s="77">
        <f t="shared" si="2612"/>
        <v>6.3149999999999984E-2</v>
      </c>
      <c r="AA827" s="77">
        <f t="shared" si="2613"/>
        <v>5.1160591879111372E-3</v>
      </c>
      <c r="AB827" s="79">
        <v>1</v>
      </c>
      <c r="AC827" s="77">
        <f t="shared" si="2551"/>
        <v>8.277777777777778E-3</v>
      </c>
      <c r="AD827" s="77">
        <f t="shared" ref="AD827" si="2660">1-(1-AC827)^(1/12)</f>
        <v>6.9244588451522482E-4</v>
      </c>
      <c r="AE827" s="77">
        <f t="shared" si="2553"/>
        <v>2.5000000000000001E-3</v>
      </c>
      <c r="AF827" s="77">
        <f t="shared" ref="AF827" si="2661">1-(1-AE827)^(1/12)</f>
        <v>2.0857243058891584E-4</v>
      </c>
      <c r="AH827" t="s">
        <v>175</v>
      </c>
      <c r="AI827" t="s">
        <v>179</v>
      </c>
      <c r="AJ827" s="197" t="str">
        <f t="shared" si="2540"/>
        <v>Lifecycle_Dynamic_260</v>
      </c>
      <c r="AK827">
        <v>260</v>
      </c>
      <c r="AL827">
        <f>VLOOKUP($U827,[2]Standard_Dynamic!$Q$1:$T$542,2,FALSE)</f>
        <v>0.88888888888888884</v>
      </c>
      <c r="AM827">
        <f>VLOOKUP($U827,[2]Standard_Dynamic!$Q$1:$T$542,3,FALSE)</f>
        <v>0.11111111111111116</v>
      </c>
      <c r="AN827">
        <f>VLOOKUP($U827,[2]Standard_Dynamic!$Q$1:$T$542,4,FALSE)</f>
        <v>0</v>
      </c>
      <c r="AO827" s="77">
        <f t="shared" si="2541"/>
        <v>1</v>
      </c>
      <c r="AP827" s="77">
        <f t="shared" si="2555"/>
        <v>6.3149999999999984E-2</v>
      </c>
      <c r="AQ827" s="77">
        <f t="shared" si="2542"/>
        <v>5.1160591879111372E-3</v>
      </c>
      <c r="AR827" s="79">
        <v>0</v>
      </c>
      <c r="AS827" s="77">
        <f t="shared" si="2556"/>
        <v>0</v>
      </c>
      <c r="AT827" s="77">
        <f t="shared" ref="AT827" si="2662">1-(1-AS827)^(1/12)</f>
        <v>0</v>
      </c>
      <c r="AU827" s="77">
        <f t="shared" si="2558"/>
        <v>2.5000000000000001E-3</v>
      </c>
      <c r="AV827" s="77">
        <f t="shared" ref="AV827" si="2663">1-(1-AU827)^(1/12)</f>
        <v>2.0857243058891584E-4</v>
      </c>
      <c r="AX827" t="s">
        <v>178</v>
      </c>
      <c r="AY827" t="s">
        <v>162</v>
      </c>
      <c r="AZ827" s="197" t="str">
        <f t="shared" si="2638"/>
        <v>DIS_Standard_260</v>
      </c>
      <c r="BA827">
        <v>260</v>
      </c>
      <c r="BB827">
        <f>VLOOKUP($BA827,'[2]Standard DIS'!$Q$1:$X$542,4,FALSE)</f>
        <v>0</v>
      </c>
      <c r="BF827">
        <f>VLOOKUP($BA827,'[2]Standard DIS'!$Q$1:$X$542,2,FALSE)</f>
        <v>0.88888888888888884</v>
      </c>
      <c r="BH827">
        <f>VLOOKUP($BA827,'[2]Standard DIS'!$Q$1:$X$542,3,FALSE)</f>
        <v>0.11111111111111116</v>
      </c>
      <c r="BI827" s="77">
        <f t="shared" si="2545"/>
        <v>1</v>
      </c>
      <c r="BJ827" s="77">
        <f t="shared" si="2546"/>
        <v>6.3149999999999984E-2</v>
      </c>
      <c r="BK827" s="77">
        <f t="shared" si="2639"/>
        <v>5.1160591879111372E-3</v>
      </c>
      <c r="BL827" s="79">
        <v>0</v>
      </c>
      <c r="BM827" s="77">
        <f t="shared" si="2560"/>
        <v>0</v>
      </c>
      <c r="BN827" s="77">
        <f t="shared" si="2561"/>
        <v>0</v>
      </c>
      <c r="BO827" s="77">
        <f t="shared" si="2562"/>
        <v>2.5000000000000001E-3</v>
      </c>
      <c r="BP827" s="77">
        <f t="shared" si="2563"/>
        <v>2.0809499864316017E-4</v>
      </c>
    </row>
    <row r="828" spans="1:68">
      <c r="A828" t="s">
        <v>175</v>
      </c>
      <c r="B828" t="s">
        <v>179</v>
      </c>
      <c r="C828" s="197" t="str">
        <f t="shared" si="2604"/>
        <v>Lifecycle_Dynamic_259</v>
      </c>
      <c r="D828">
        <v>259</v>
      </c>
      <c r="E828">
        <f>VLOOKUP($D828,'[2]LC Dynamic'!$Q$2:$U$542,2,FALSE)</f>
        <v>0</v>
      </c>
      <c r="F828">
        <f>VLOOKUP($D828,'[2]LC Dynamic'!$Q$2:$U$542,3,FALSE)</f>
        <v>0</v>
      </c>
      <c r="G828">
        <f>VLOOKUP($D828,'[2]LC Dynamic'!$Q$2:$U$542,4,FALSE)</f>
        <v>0.308</v>
      </c>
      <c r="H828">
        <f>VLOOKUP($D828,'[2]LC Dynamic'!$Q$2:$U$542,5,FALSE)</f>
        <v>0.69199999999999995</v>
      </c>
      <c r="I828" s="77">
        <f t="shared" si="2536"/>
        <v>1</v>
      </c>
      <c r="J828" s="77">
        <f t="shared" si="2537"/>
        <v>6.9728499999999985E-2</v>
      </c>
      <c r="K828" s="77">
        <f t="shared" si="2611"/>
        <v>5.632878498097682E-3</v>
      </c>
      <c r="L828" s="76">
        <v>0</v>
      </c>
      <c r="M828" s="77">
        <f t="shared" si="2547"/>
        <v>0</v>
      </c>
      <c r="N828" s="77">
        <f t="shared" si="2548"/>
        <v>0</v>
      </c>
      <c r="O828" s="77">
        <f t="shared" si="2549"/>
        <v>5.6775999999999997E-3</v>
      </c>
      <c r="P828" s="77">
        <f t="shared" si="2550"/>
        <v>4.7436902124819991E-4</v>
      </c>
      <c r="R828" t="s">
        <v>177</v>
      </c>
      <c r="S828" t="s">
        <v>179</v>
      </c>
      <c r="T828" s="197" t="str">
        <f t="shared" si="2605"/>
        <v>Autopilot_Dynamic_259</v>
      </c>
      <c r="U828">
        <v>259</v>
      </c>
      <c r="V828">
        <f>VLOOKUP($U828,'[2]AP Dynamic'!$Q$1:$T$542,2,FALSE)</f>
        <v>0.88888888888888884</v>
      </c>
      <c r="W828">
        <f>VLOOKUP($U828,'[2]AP Dynamic'!$Q$1:$T$542,3,FALSE)</f>
        <v>0.11111111111111116</v>
      </c>
      <c r="X828">
        <f>VLOOKUP($U828,'[2]AP Dynamic'!$Q$1:$T$542,4,FALSE)</f>
        <v>0</v>
      </c>
      <c r="Y828" s="77">
        <f t="shared" si="2606"/>
        <v>1</v>
      </c>
      <c r="Z828" s="77">
        <f t="shared" si="2612"/>
        <v>6.3149999999999984E-2</v>
      </c>
      <c r="AA828" s="77">
        <f t="shared" si="2613"/>
        <v>5.1160591879111372E-3</v>
      </c>
      <c r="AB828" s="79">
        <v>1</v>
      </c>
      <c r="AC828" s="77">
        <f t="shared" si="2551"/>
        <v>8.277777777777778E-3</v>
      </c>
      <c r="AD828" s="77">
        <f t="shared" ref="AD828" si="2664">1-(1-AC828)^(1/12)</f>
        <v>6.9244588451522482E-4</v>
      </c>
      <c r="AE828" s="77">
        <f t="shared" si="2553"/>
        <v>2.5000000000000001E-3</v>
      </c>
      <c r="AF828" s="77">
        <f t="shared" ref="AF828" si="2665">1-(1-AE828)^(1/12)</f>
        <v>2.0857243058891584E-4</v>
      </c>
      <c r="AH828" t="s">
        <v>175</v>
      </c>
      <c r="AI828" t="s">
        <v>179</v>
      </c>
      <c r="AJ828" s="197" t="str">
        <f t="shared" si="2540"/>
        <v>Lifecycle_Dynamic_259</v>
      </c>
      <c r="AK828">
        <v>259</v>
      </c>
      <c r="AL828">
        <f>VLOOKUP($U828,[2]Standard_Dynamic!$Q$1:$T$542,2,FALSE)</f>
        <v>0.88888888888888884</v>
      </c>
      <c r="AM828">
        <f>VLOOKUP($U828,[2]Standard_Dynamic!$Q$1:$T$542,3,FALSE)</f>
        <v>0.11111111111111116</v>
      </c>
      <c r="AN828">
        <f>VLOOKUP($U828,[2]Standard_Dynamic!$Q$1:$T$542,4,FALSE)</f>
        <v>0</v>
      </c>
      <c r="AO828" s="77">
        <f t="shared" si="2541"/>
        <v>1</v>
      </c>
      <c r="AP828" s="77">
        <f t="shared" si="2555"/>
        <v>6.3149999999999984E-2</v>
      </c>
      <c r="AQ828" s="77">
        <f t="shared" si="2542"/>
        <v>5.1160591879111372E-3</v>
      </c>
      <c r="AR828" s="79">
        <v>0</v>
      </c>
      <c r="AS828" s="77">
        <f t="shared" si="2556"/>
        <v>0</v>
      </c>
      <c r="AT828" s="77">
        <f t="shared" ref="AT828" si="2666">1-(1-AS828)^(1/12)</f>
        <v>0</v>
      </c>
      <c r="AU828" s="77">
        <f t="shared" si="2558"/>
        <v>2.5000000000000001E-3</v>
      </c>
      <c r="AV828" s="77">
        <f t="shared" ref="AV828" si="2667">1-(1-AU828)^(1/12)</f>
        <v>2.0857243058891584E-4</v>
      </c>
      <c r="AX828" t="s">
        <v>178</v>
      </c>
      <c r="AY828" t="s">
        <v>162</v>
      </c>
      <c r="AZ828" s="197" t="str">
        <f t="shared" si="2638"/>
        <v>DIS_Standard_259</v>
      </c>
      <c r="BA828">
        <v>259</v>
      </c>
      <c r="BB828">
        <f>VLOOKUP($BA828,'[2]Standard DIS'!$Q$1:$X$542,4,FALSE)</f>
        <v>0</v>
      </c>
      <c r="BF828">
        <f>VLOOKUP($BA828,'[2]Standard DIS'!$Q$1:$X$542,2,FALSE)</f>
        <v>0.88888888888888884</v>
      </c>
      <c r="BH828">
        <f>VLOOKUP($BA828,'[2]Standard DIS'!$Q$1:$X$542,3,FALSE)</f>
        <v>0.11111111111111116</v>
      </c>
      <c r="BI828" s="77">
        <f t="shared" si="2545"/>
        <v>1</v>
      </c>
      <c r="BJ828" s="77">
        <f t="shared" si="2546"/>
        <v>6.3149999999999984E-2</v>
      </c>
      <c r="BK828" s="77">
        <f t="shared" si="2639"/>
        <v>5.1160591879111372E-3</v>
      </c>
      <c r="BL828" s="79">
        <v>0</v>
      </c>
      <c r="BM828" s="77">
        <f t="shared" si="2560"/>
        <v>0</v>
      </c>
      <c r="BN828" s="77">
        <f t="shared" si="2561"/>
        <v>0</v>
      </c>
      <c r="BO828" s="77">
        <f t="shared" si="2562"/>
        <v>2.5000000000000001E-3</v>
      </c>
      <c r="BP828" s="77">
        <f t="shared" si="2563"/>
        <v>2.0809499864316017E-4</v>
      </c>
    </row>
    <row r="829" spans="1:68">
      <c r="A829" t="s">
        <v>175</v>
      </c>
      <c r="B829" t="s">
        <v>179</v>
      </c>
      <c r="C829" s="197" t="str">
        <f t="shared" si="2604"/>
        <v>Lifecycle_Dynamic_258</v>
      </c>
      <c r="D829">
        <v>258</v>
      </c>
      <c r="E829">
        <f>VLOOKUP($D829,'[2]LC Dynamic'!$Q$2:$U$542,2,FALSE)</f>
        <v>0</v>
      </c>
      <c r="F829">
        <f>VLOOKUP($D829,'[2]LC Dynamic'!$Q$2:$U$542,3,FALSE)</f>
        <v>0</v>
      </c>
      <c r="G829">
        <f>VLOOKUP($D829,'[2]LC Dynamic'!$Q$2:$U$542,4,FALSE)</f>
        <v>0.308</v>
      </c>
      <c r="H829">
        <f>VLOOKUP($D829,'[2]LC Dynamic'!$Q$2:$U$542,5,FALSE)</f>
        <v>0.69199999999999995</v>
      </c>
      <c r="I829" s="77">
        <f t="shared" si="2536"/>
        <v>1</v>
      </c>
      <c r="J829" s="77">
        <f t="shared" si="2537"/>
        <v>6.9728499999999985E-2</v>
      </c>
      <c r="K829" s="77">
        <f t="shared" si="2611"/>
        <v>5.632878498097682E-3</v>
      </c>
      <c r="L829" s="76">
        <v>0</v>
      </c>
      <c r="M829" s="77">
        <f t="shared" si="2547"/>
        <v>0</v>
      </c>
      <c r="N829" s="77">
        <f t="shared" si="2548"/>
        <v>0</v>
      </c>
      <c r="O829" s="77">
        <f t="shared" si="2549"/>
        <v>5.6775999999999997E-3</v>
      </c>
      <c r="P829" s="77">
        <f t="shared" si="2550"/>
        <v>4.7436902124819991E-4</v>
      </c>
      <c r="R829" t="s">
        <v>177</v>
      </c>
      <c r="S829" t="s">
        <v>179</v>
      </c>
      <c r="T829" s="197" t="str">
        <f t="shared" si="2605"/>
        <v>Autopilot_Dynamic_258</v>
      </c>
      <c r="U829">
        <v>258</v>
      </c>
      <c r="V829">
        <f>VLOOKUP($U829,'[2]AP Dynamic'!$Q$1:$T$542,2,FALSE)</f>
        <v>0.88888888888888884</v>
      </c>
      <c r="W829">
        <f>VLOOKUP($U829,'[2]AP Dynamic'!$Q$1:$T$542,3,FALSE)</f>
        <v>0.11111111111111116</v>
      </c>
      <c r="X829">
        <f>VLOOKUP($U829,'[2]AP Dynamic'!$Q$1:$T$542,4,FALSE)</f>
        <v>0</v>
      </c>
      <c r="Y829" s="77">
        <f t="shared" si="2606"/>
        <v>1</v>
      </c>
      <c r="Z829" s="77">
        <f t="shared" si="2612"/>
        <v>6.3149999999999984E-2</v>
      </c>
      <c r="AA829" s="77">
        <f t="shared" si="2613"/>
        <v>5.1160591879111372E-3</v>
      </c>
      <c r="AB829" s="79">
        <v>1</v>
      </c>
      <c r="AC829" s="77">
        <f t="shared" si="2551"/>
        <v>8.277777777777778E-3</v>
      </c>
      <c r="AD829" s="77">
        <f t="shared" ref="AD829" si="2668">1-(1-AC829)^(1/12)</f>
        <v>6.9244588451522482E-4</v>
      </c>
      <c r="AE829" s="77">
        <f t="shared" si="2553"/>
        <v>2.5000000000000001E-3</v>
      </c>
      <c r="AF829" s="77">
        <f t="shared" ref="AF829" si="2669">1-(1-AE829)^(1/12)</f>
        <v>2.0857243058891584E-4</v>
      </c>
      <c r="AH829" t="s">
        <v>175</v>
      </c>
      <c r="AI829" t="s">
        <v>179</v>
      </c>
      <c r="AJ829" s="197" t="str">
        <f t="shared" si="2540"/>
        <v>Lifecycle_Dynamic_258</v>
      </c>
      <c r="AK829">
        <v>258</v>
      </c>
      <c r="AL829">
        <f>VLOOKUP($U829,[2]Standard_Dynamic!$Q$1:$T$542,2,FALSE)</f>
        <v>0.88888888888888884</v>
      </c>
      <c r="AM829">
        <f>VLOOKUP($U829,[2]Standard_Dynamic!$Q$1:$T$542,3,FALSE)</f>
        <v>0.11111111111111116</v>
      </c>
      <c r="AN829">
        <f>VLOOKUP($U829,[2]Standard_Dynamic!$Q$1:$T$542,4,FALSE)</f>
        <v>0</v>
      </c>
      <c r="AO829" s="77">
        <f t="shared" si="2541"/>
        <v>1</v>
      </c>
      <c r="AP829" s="77">
        <f t="shared" si="2555"/>
        <v>6.3149999999999984E-2</v>
      </c>
      <c r="AQ829" s="77">
        <f t="shared" si="2542"/>
        <v>5.1160591879111372E-3</v>
      </c>
      <c r="AR829" s="79">
        <v>0</v>
      </c>
      <c r="AS829" s="77">
        <f t="shared" si="2556"/>
        <v>0</v>
      </c>
      <c r="AT829" s="77">
        <f t="shared" ref="AT829" si="2670">1-(1-AS829)^(1/12)</f>
        <v>0</v>
      </c>
      <c r="AU829" s="77">
        <f t="shared" si="2558"/>
        <v>2.5000000000000001E-3</v>
      </c>
      <c r="AV829" s="77">
        <f t="shared" ref="AV829" si="2671">1-(1-AU829)^(1/12)</f>
        <v>2.0857243058891584E-4</v>
      </c>
      <c r="AX829" t="s">
        <v>178</v>
      </c>
      <c r="AY829" t="s">
        <v>162</v>
      </c>
      <c r="AZ829" s="197" t="str">
        <f t="shared" si="2638"/>
        <v>DIS_Standard_258</v>
      </c>
      <c r="BA829">
        <v>258</v>
      </c>
      <c r="BB829">
        <f>VLOOKUP($BA829,'[2]Standard DIS'!$Q$1:$X$542,4,FALSE)</f>
        <v>0</v>
      </c>
      <c r="BF829">
        <f>VLOOKUP($BA829,'[2]Standard DIS'!$Q$1:$X$542,2,FALSE)</f>
        <v>0.88888888888888884</v>
      </c>
      <c r="BH829">
        <f>VLOOKUP($BA829,'[2]Standard DIS'!$Q$1:$X$542,3,FALSE)</f>
        <v>0.11111111111111116</v>
      </c>
      <c r="BI829" s="77">
        <f t="shared" si="2545"/>
        <v>1</v>
      </c>
      <c r="BJ829" s="77">
        <f t="shared" si="2546"/>
        <v>6.3149999999999984E-2</v>
      </c>
      <c r="BK829" s="77">
        <f t="shared" si="2639"/>
        <v>5.1160591879111372E-3</v>
      </c>
      <c r="BL829" s="79">
        <v>0</v>
      </c>
      <c r="BM829" s="77">
        <f t="shared" si="2560"/>
        <v>0</v>
      </c>
      <c r="BN829" s="77">
        <f t="shared" si="2561"/>
        <v>0</v>
      </c>
      <c r="BO829" s="77">
        <f t="shared" si="2562"/>
        <v>2.5000000000000001E-3</v>
      </c>
      <c r="BP829" s="77">
        <f t="shared" si="2563"/>
        <v>2.0809499864316017E-4</v>
      </c>
    </row>
    <row r="830" spans="1:68">
      <c r="A830" t="s">
        <v>175</v>
      </c>
      <c r="B830" t="s">
        <v>179</v>
      </c>
      <c r="C830" s="197" t="str">
        <f t="shared" si="2604"/>
        <v>Lifecycle_Dynamic_257</v>
      </c>
      <c r="D830">
        <v>257</v>
      </c>
      <c r="E830">
        <f>VLOOKUP($D830,'[2]LC Dynamic'!$Q$2:$U$542,2,FALSE)</f>
        <v>0</v>
      </c>
      <c r="F830">
        <f>VLOOKUP($D830,'[2]LC Dynamic'!$Q$2:$U$542,3,FALSE)</f>
        <v>0</v>
      </c>
      <c r="G830">
        <f>VLOOKUP($D830,'[2]LC Dynamic'!$Q$2:$U$542,4,FALSE)</f>
        <v>0.308</v>
      </c>
      <c r="H830">
        <f>VLOOKUP($D830,'[2]LC Dynamic'!$Q$2:$U$542,5,FALSE)</f>
        <v>0.69199999999999995</v>
      </c>
      <c r="I830" s="77">
        <f t="shared" si="2536"/>
        <v>1</v>
      </c>
      <c r="J830" s="77">
        <f t="shared" si="2537"/>
        <v>6.9728499999999985E-2</v>
      </c>
      <c r="K830" s="77">
        <f t="shared" si="2611"/>
        <v>5.632878498097682E-3</v>
      </c>
      <c r="L830" s="76">
        <v>0</v>
      </c>
      <c r="M830" s="77">
        <f t="shared" si="2547"/>
        <v>0</v>
      </c>
      <c r="N830" s="77">
        <f t="shared" si="2548"/>
        <v>0</v>
      </c>
      <c r="O830" s="77">
        <f t="shared" si="2549"/>
        <v>5.6775999999999997E-3</v>
      </c>
      <c r="P830" s="77">
        <f t="shared" si="2550"/>
        <v>4.7436902124819991E-4</v>
      </c>
      <c r="R830" t="s">
        <v>177</v>
      </c>
      <c r="S830" t="s">
        <v>179</v>
      </c>
      <c r="T830" s="197" t="str">
        <f t="shared" si="2605"/>
        <v>Autopilot_Dynamic_257</v>
      </c>
      <c r="U830">
        <v>257</v>
      </c>
      <c r="V830">
        <f>VLOOKUP($U830,'[2]AP Dynamic'!$Q$1:$T$542,2,FALSE)</f>
        <v>0.88888888888888884</v>
      </c>
      <c r="W830">
        <f>VLOOKUP($U830,'[2]AP Dynamic'!$Q$1:$T$542,3,FALSE)</f>
        <v>0.11111111111111116</v>
      </c>
      <c r="X830">
        <f>VLOOKUP($U830,'[2]AP Dynamic'!$Q$1:$T$542,4,FALSE)</f>
        <v>0</v>
      </c>
      <c r="Y830" s="77">
        <f t="shared" si="2606"/>
        <v>1</v>
      </c>
      <c r="Z830" s="77">
        <f t="shared" si="2612"/>
        <v>6.3149999999999984E-2</v>
      </c>
      <c r="AA830" s="77">
        <f t="shared" si="2613"/>
        <v>5.1160591879111372E-3</v>
      </c>
      <c r="AB830" s="79">
        <v>1</v>
      </c>
      <c r="AC830" s="77">
        <f t="shared" si="2551"/>
        <v>8.277777777777778E-3</v>
      </c>
      <c r="AD830" s="77">
        <f t="shared" ref="AD830" si="2672">1-(1-AC830)^(1/12)</f>
        <v>6.9244588451522482E-4</v>
      </c>
      <c r="AE830" s="77">
        <f t="shared" si="2553"/>
        <v>2.5000000000000001E-3</v>
      </c>
      <c r="AF830" s="77">
        <f t="shared" ref="AF830" si="2673">1-(1-AE830)^(1/12)</f>
        <v>2.0857243058891584E-4</v>
      </c>
      <c r="AH830" t="s">
        <v>175</v>
      </c>
      <c r="AI830" t="s">
        <v>179</v>
      </c>
      <c r="AJ830" s="197" t="str">
        <f t="shared" si="2540"/>
        <v>Lifecycle_Dynamic_257</v>
      </c>
      <c r="AK830">
        <v>257</v>
      </c>
      <c r="AL830">
        <f>VLOOKUP($U830,[2]Standard_Dynamic!$Q$1:$T$542,2,FALSE)</f>
        <v>0.88888888888888884</v>
      </c>
      <c r="AM830">
        <f>VLOOKUP($U830,[2]Standard_Dynamic!$Q$1:$T$542,3,FALSE)</f>
        <v>0.11111111111111116</v>
      </c>
      <c r="AN830">
        <f>VLOOKUP($U830,[2]Standard_Dynamic!$Q$1:$T$542,4,FALSE)</f>
        <v>0</v>
      </c>
      <c r="AO830" s="77">
        <f t="shared" si="2541"/>
        <v>1</v>
      </c>
      <c r="AP830" s="77">
        <f t="shared" si="2555"/>
        <v>6.3149999999999984E-2</v>
      </c>
      <c r="AQ830" s="77">
        <f t="shared" si="2542"/>
        <v>5.1160591879111372E-3</v>
      </c>
      <c r="AR830" s="79">
        <v>0</v>
      </c>
      <c r="AS830" s="77">
        <f t="shared" si="2556"/>
        <v>0</v>
      </c>
      <c r="AT830" s="77">
        <f t="shared" ref="AT830" si="2674">1-(1-AS830)^(1/12)</f>
        <v>0</v>
      </c>
      <c r="AU830" s="77">
        <f t="shared" si="2558"/>
        <v>2.5000000000000001E-3</v>
      </c>
      <c r="AV830" s="77">
        <f t="shared" ref="AV830" si="2675">1-(1-AU830)^(1/12)</f>
        <v>2.0857243058891584E-4</v>
      </c>
      <c r="AX830" t="s">
        <v>178</v>
      </c>
      <c r="AY830" t="s">
        <v>162</v>
      </c>
      <c r="AZ830" s="197" t="str">
        <f t="shared" si="2638"/>
        <v>DIS_Standard_257</v>
      </c>
      <c r="BA830">
        <v>257</v>
      </c>
      <c r="BB830">
        <f>VLOOKUP($BA830,'[2]Standard DIS'!$Q$1:$X$542,4,FALSE)</f>
        <v>0</v>
      </c>
      <c r="BF830">
        <f>VLOOKUP($BA830,'[2]Standard DIS'!$Q$1:$X$542,2,FALSE)</f>
        <v>0.88888888888888884</v>
      </c>
      <c r="BH830">
        <f>VLOOKUP($BA830,'[2]Standard DIS'!$Q$1:$X$542,3,FALSE)</f>
        <v>0.11111111111111116</v>
      </c>
      <c r="BI830" s="77">
        <f t="shared" si="2545"/>
        <v>1</v>
      </c>
      <c r="BJ830" s="77">
        <f t="shared" si="2546"/>
        <v>6.3149999999999984E-2</v>
      </c>
      <c r="BK830" s="77">
        <f t="shared" si="2639"/>
        <v>5.1160591879111372E-3</v>
      </c>
      <c r="BL830" s="79">
        <v>0</v>
      </c>
      <c r="BM830" s="77">
        <f t="shared" si="2560"/>
        <v>0</v>
      </c>
      <c r="BN830" s="77">
        <f t="shared" si="2561"/>
        <v>0</v>
      </c>
      <c r="BO830" s="77">
        <f t="shared" si="2562"/>
        <v>2.5000000000000001E-3</v>
      </c>
      <c r="BP830" s="77">
        <f t="shared" si="2563"/>
        <v>2.0809499864316017E-4</v>
      </c>
    </row>
    <row r="831" spans="1:68">
      <c r="A831" t="s">
        <v>175</v>
      </c>
      <c r="B831" t="s">
        <v>179</v>
      </c>
      <c r="C831" s="197" t="str">
        <f t="shared" si="2604"/>
        <v>Lifecycle_Dynamic_256</v>
      </c>
      <c r="D831">
        <v>256</v>
      </c>
      <c r="E831">
        <f>VLOOKUP($D831,'[2]LC Dynamic'!$Q$2:$U$542,2,FALSE)</f>
        <v>0</v>
      </c>
      <c r="F831">
        <f>VLOOKUP($D831,'[2]LC Dynamic'!$Q$2:$U$542,3,FALSE)</f>
        <v>0</v>
      </c>
      <c r="G831">
        <f>VLOOKUP($D831,'[2]LC Dynamic'!$Q$2:$U$542,4,FALSE)</f>
        <v>0.308</v>
      </c>
      <c r="H831">
        <f>VLOOKUP($D831,'[2]LC Dynamic'!$Q$2:$U$542,5,FALSE)</f>
        <v>0.69199999999999995</v>
      </c>
      <c r="I831" s="77">
        <f t="shared" si="2536"/>
        <v>1</v>
      </c>
      <c r="J831" s="77">
        <f t="shared" si="2537"/>
        <v>6.9728499999999985E-2</v>
      </c>
      <c r="K831" s="77">
        <f t="shared" si="2611"/>
        <v>5.632878498097682E-3</v>
      </c>
      <c r="L831" s="76">
        <v>0</v>
      </c>
      <c r="M831" s="77">
        <f t="shared" si="2547"/>
        <v>0</v>
      </c>
      <c r="N831" s="77">
        <f t="shared" si="2548"/>
        <v>0</v>
      </c>
      <c r="O831" s="77">
        <f t="shared" si="2549"/>
        <v>5.6775999999999997E-3</v>
      </c>
      <c r="P831" s="77">
        <f t="shared" si="2550"/>
        <v>4.7436902124819991E-4</v>
      </c>
      <c r="R831" t="s">
        <v>177</v>
      </c>
      <c r="S831" t="s">
        <v>179</v>
      </c>
      <c r="T831" s="197" t="str">
        <f t="shared" si="2605"/>
        <v>Autopilot_Dynamic_256</v>
      </c>
      <c r="U831">
        <v>256</v>
      </c>
      <c r="V831">
        <f>VLOOKUP($U831,'[2]AP Dynamic'!$Q$1:$T$542,2,FALSE)</f>
        <v>0.88888888888888884</v>
      </c>
      <c r="W831">
        <f>VLOOKUP($U831,'[2]AP Dynamic'!$Q$1:$T$542,3,FALSE)</f>
        <v>0.11111111111111116</v>
      </c>
      <c r="X831">
        <f>VLOOKUP($U831,'[2]AP Dynamic'!$Q$1:$T$542,4,FALSE)</f>
        <v>0</v>
      </c>
      <c r="Y831" s="77">
        <f t="shared" si="2606"/>
        <v>1</v>
      </c>
      <c r="Z831" s="77">
        <f t="shared" si="2612"/>
        <v>6.3149999999999984E-2</v>
      </c>
      <c r="AA831" s="77">
        <f t="shared" si="2613"/>
        <v>5.1160591879111372E-3</v>
      </c>
      <c r="AB831" s="79">
        <v>1</v>
      </c>
      <c r="AC831" s="77">
        <f t="shared" si="2551"/>
        <v>8.277777777777778E-3</v>
      </c>
      <c r="AD831" s="77">
        <f t="shared" ref="AD831" si="2676">1-(1-AC831)^(1/12)</f>
        <v>6.9244588451522482E-4</v>
      </c>
      <c r="AE831" s="77">
        <f t="shared" si="2553"/>
        <v>2.5000000000000001E-3</v>
      </c>
      <c r="AF831" s="77">
        <f t="shared" ref="AF831" si="2677">1-(1-AE831)^(1/12)</f>
        <v>2.0857243058891584E-4</v>
      </c>
      <c r="AH831" t="s">
        <v>175</v>
      </c>
      <c r="AI831" t="s">
        <v>179</v>
      </c>
      <c r="AJ831" s="197" t="str">
        <f t="shared" si="2540"/>
        <v>Lifecycle_Dynamic_256</v>
      </c>
      <c r="AK831">
        <v>256</v>
      </c>
      <c r="AL831">
        <f>VLOOKUP($U831,[2]Standard_Dynamic!$Q$1:$T$542,2,FALSE)</f>
        <v>0.88888888888888884</v>
      </c>
      <c r="AM831">
        <f>VLOOKUP($U831,[2]Standard_Dynamic!$Q$1:$T$542,3,FALSE)</f>
        <v>0.11111111111111116</v>
      </c>
      <c r="AN831">
        <f>VLOOKUP($U831,[2]Standard_Dynamic!$Q$1:$T$542,4,FALSE)</f>
        <v>0</v>
      </c>
      <c r="AO831" s="77">
        <f t="shared" si="2541"/>
        <v>1</v>
      </c>
      <c r="AP831" s="77">
        <f t="shared" si="2555"/>
        <v>6.3149999999999984E-2</v>
      </c>
      <c r="AQ831" s="77">
        <f t="shared" si="2542"/>
        <v>5.1160591879111372E-3</v>
      </c>
      <c r="AR831" s="79">
        <v>0</v>
      </c>
      <c r="AS831" s="77">
        <f t="shared" si="2556"/>
        <v>0</v>
      </c>
      <c r="AT831" s="77">
        <f t="shared" ref="AT831" si="2678">1-(1-AS831)^(1/12)</f>
        <v>0</v>
      </c>
      <c r="AU831" s="77">
        <f t="shared" si="2558"/>
        <v>2.5000000000000001E-3</v>
      </c>
      <c r="AV831" s="77">
        <f t="shared" ref="AV831" si="2679">1-(1-AU831)^(1/12)</f>
        <v>2.0857243058891584E-4</v>
      </c>
      <c r="AX831" t="s">
        <v>178</v>
      </c>
      <c r="AY831" t="s">
        <v>162</v>
      </c>
      <c r="AZ831" s="197" t="str">
        <f t="shared" si="2638"/>
        <v>DIS_Standard_256</v>
      </c>
      <c r="BA831">
        <v>256</v>
      </c>
      <c r="BB831">
        <f>VLOOKUP($BA831,'[2]Standard DIS'!$Q$1:$X$542,4,FALSE)</f>
        <v>0</v>
      </c>
      <c r="BF831">
        <f>VLOOKUP($BA831,'[2]Standard DIS'!$Q$1:$X$542,2,FALSE)</f>
        <v>0.88888888888888884</v>
      </c>
      <c r="BH831">
        <f>VLOOKUP($BA831,'[2]Standard DIS'!$Q$1:$X$542,3,FALSE)</f>
        <v>0.11111111111111116</v>
      </c>
      <c r="BI831" s="77">
        <f t="shared" si="2545"/>
        <v>1</v>
      </c>
      <c r="BJ831" s="77">
        <f t="shared" si="2546"/>
        <v>6.3149999999999984E-2</v>
      </c>
      <c r="BK831" s="77">
        <f t="shared" si="2639"/>
        <v>5.1160591879111372E-3</v>
      </c>
      <c r="BL831" s="79">
        <v>0</v>
      </c>
      <c r="BM831" s="77">
        <f t="shared" si="2560"/>
        <v>0</v>
      </c>
      <c r="BN831" s="77">
        <f t="shared" si="2561"/>
        <v>0</v>
      </c>
      <c r="BO831" s="77">
        <f t="shared" si="2562"/>
        <v>2.5000000000000001E-3</v>
      </c>
      <c r="BP831" s="77">
        <f t="shared" si="2563"/>
        <v>2.0809499864316017E-4</v>
      </c>
    </row>
    <row r="832" spans="1:68">
      <c r="A832" t="s">
        <v>175</v>
      </c>
      <c r="B832" t="s">
        <v>179</v>
      </c>
      <c r="C832" s="197" t="str">
        <f t="shared" si="2604"/>
        <v>Lifecycle_Dynamic_255</v>
      </c>
      <c r="D832">
        <v>255</v>
      </c>
      <c r="E832">
        <f>VLOOKUP($D832,'[2]LC Dynamic'!$Q$2:$U$542,2,FALSE)</f>
        <v>0</v>
      </c>
      <c r="F832">
        <f>VLOOKUP($D832,'[2]LC Dynamic'!$Q$2:$U$542,3,FALSE)</f>
        <v>0</v>
      </c>
      <c r="G832">
        <f>VLOOKUP($D832,'[2]LC Dynamic'!$Q$2:$U$542,4,FALSE)</f>
        <v>0.308</v>
      </c>
      <c r="H832">
        <f>VLOOKUP($D832,'[2]LC Dynamic'!$Q$2:$U$542,5,FALSE)</f>
        <v>0.69199999999999995</v>
      </c>
      <c r="I832" s="77">
        <f t="shared" si="2536"/>
        <v>1</v>
      </c>
      <c r="J832" s="77">
        <f t="shared" si="2537"/>
        <v>6.9728499999999985E-2</v>
      </c>
      <c r="K832" s="77">
        <f t="shared" si="2611"/>
        <v>5.632878498097682E-3</v>
      </c>
      <c r="L832" s="76">
        <v>0</v>
      </c>
      <c r="M832" s="77">
        <f t="shared" si="2547"/>
        <v>0</v>
      </c>
      <c r="N832" s="77">
        <f t="shared" si="2548"/>
        <v>0</v>
      </c>
      <c r="O832" s="77">
        <f t="shared" si="2549"/>
        <v>5.6775999999999997E-3</v>
      </c>
      <c r="P832" s="77">
        <f t="shared" si="2550"/>
        <v>4.7436902124819991E-4</v>
      </c>
      <c r="R832" t="s">
        <v>177</v>
      </c>
      <c r="S832" t="s">
        <v>179</v>
      </c>
      <c r="T832" s="197" t="str">
        <f t="shared" si="2605"/>
        <v>Autopilot_Dynamic_255</v>
      </c>
      <c r="U832">
        <v>255</v>
      </c>
      <c r="V832">
        <f>VLOOKUP($U832,'[2]AP Dynamic'!$Q$1:$T$542,2,FALSE)</f>
        <v>0.88888888888888884</v>
      </c>
      <c r="W832">
        <f>VLOOKUP($U832,'[2]AP Dynamic'!$Q$1:$T$542,3,FALSE)</f>
        <v>0.11111111111111116</v>
      </c>
      <c r="X832">
        <f>VLOOKUP($U832,'[2]AP Dynamic'!$Q$1:$T$542,4,FALSE)</f>
        <v>0</v>
      </c>
      <c r="Y832" s="77">
        <f t="shared" si="2606"/>
        <v>1</v>
      </c>
      <c r="Z832" s="77">
        <f t="shared" si="2612"/>
        <v>6.3149999999999984E-2</v>
      </c>
      <c r="AA832" s="77">
        <f t="shared" si="2613"/>
        <v>5.1160591879111372E-3</v>
      </c>
      <c r="AB832" s="79">
        <v>1</v>
      </c>
      <c r="AC832" s="77">
        <f t="shared" si="2551"/>
        <v>8.277777777777778E-3</v>
      </c>
      <c r="AD832" s="77">
        <f t="shared" ref="AD832" si="2680">1-(1-AC832)^(1/12)</f>
        <v>6.9244588451522482E-4</v>
      </c>
      <c r="AE832" s="77">
        <f t="shared" si="2553"/>
        <v>2.5000000000000001E-3</v>
      </c>
      <c r="AF832" s="77">
        <f t="shared" ref="AF832" si="2681">1-(1-AE832)^(1/12)</f>
        <v>2.0857243058891584E-4</v>
      </c>
      <c r="AH832" t="s">
        <v>175</v>
      </c>
      <c r="AI832" t="s">
        <v>179</v>
      </c>
      <c r="AJ832" s="197" t="str">
        <f t="shared" si="2540"/>
        <v>Lifecycle_Dynamic_255</v>
      </c>
      <c r="AK832">
        <v>255</v>
      </c>
      <c r="AL832">
        <f>VLOOKUP($U832,[2]Standard_Dynamic!$Q$1:$T$542,2,FALSE)</f>
        <v>0.88888888888888884</v>
      </c>
      <c r="AM832">
        <f>VLOOKUP($U832,[2]Standard_Dynamic!$Q$1:$T$542,3,FALSE)</f>
        <v>0.11111111111111116</v>
      </c>
      <c r="AN832">
        <f>VLOOKUP($U832,[2]Standard_Dynamic!$Q$1:$T$542,4,FALSE)</f>
        <v>0</v>
      </c>
      <c r="AO832" s="77">
        <f t="shared" si="2541"/>
        <v>1</v>
      </c>
      <c r="AP832" s="77">
        <f t="shared" si="2555"/>
        <v>6.3149999999999984E-2</v>
      </c>
      <c r="AQ832" s="77">
        <f t="shared" si="2542"/>
        <v>5.1160591879111372E-3</v>
      </c>
      <c r="AR832" s="79">
        <v>0</v>
      </c>
      <c r="AS832" s="77">
        <f t="shared" si="2556"/>
        <v>0</v>
      </c>
      <c r="AT832" s="77">
        <f t="shared" ref="AT832" si="2682">1-(1-AS832)^(1/12)</f>
        <v>0</v>
      </c>
      <c r="AU832" s="77">
        <f t="shared" si="2558"/>
        <v>2.5000000000000001E-3</v>
      </c>
      <c r="AV832" s="77">
        <f t="shared" ref="AV832" si="2683">1-(1-AU832)^(1/12)</f>
        <v>2.0857243058891584E-4</v>
      </c>
      <c r="AX832" t="s">
        <v>178</v>
      </c>
      <c r="AY832" t="s">
        <v>162</v>
      </c>
      <c r="AZ832" s="197" t="str">
        <f t="shared" si="2638"/>
        <v>DIS_Standard_255</v>
      </c>
      <c r="BA832">
        <v>255</v>
      </c>
      <c r="BB832">
        <f>VLOOKUP($BA832,'[2]Standard DIS'!$Q$1:$X$542,4,FALSE)</f>
        <v>0</v>
      </c>
      <c r="BF832">
        <f>VLOOKUP($BA832,'[2]Standard DIS'!$Q$1:$X$542,2,FALSE)</f>
        <v>0.88888888888888884</v>
      </c>
      <c r="BH832">
        <f>VLOOKUP($BA832,'[2]Standard DIS'!$Q$1:$X$542,3,FALSE)</f>
        <v>0.11111111111111116</v>
      </c>
      <c r="BI832" s="77">
        <f t="shared" si="2545"/>
        <v>1</v>
      </c>
      <c r="BJ832" s="77">
        <f t="shared" si="2546"/>
        <v>6.3149999999999984E-2</v>
      </c>
      <c r="BK832" s="77">
        <f t="shared" si="2639"/>
        <v>5.1160591879111372E-3</v>
      </c>
      <c r="BL832" s="79">
        <v>0</v>
      </c>
      <c r="BM832" s="77">
        <f t="shared" si="2560"/>
        <v>0</v>
      </c>
      <c r="BN832" s="77">
        <f t="shared" si="2561"/>
        <v>0</v>
      </c>
      <c r="BO832" s="77">
        <f t="shared" si="2562"/>
        <v>2.5000000000000001E-3</v>
      </c>
      <c r="BP832" s="77">
        <f t="shared" si="2563"/>
        <v>2.0809499864316017E-4</v>
      </c>
    </row>
    <row r="833" spans="1:68">
      <c r="A833" t="s">
        <v>175</v>
      </c>
      <c r="B833" t="s">
        <v>179</v>
      </c>
      <c r="C833" s="197" t="str">
        <f t="shared" si="2604"/>
        <v>Lifecycle_Dynamic_254</v>
      </c>
      <c r="D833">
        <v>254</v>
      </c>
      <c r="E833">
        <f>VLOOKUP($D833,'[2]LC Dynamic'!$Q$2:$U$542,2,FALSE)</f>
        <v>0</v>
      </c>
      <c r="F833">
        <f>VLOOKUP($D833,'[2]LC Dynamic'!$Q$2:$U$542,3,FALSE)</f>
        <v>0</v>
      </c>
      <c r="G833">
        <f>VLOOKUP($D833,'[2]LC Dynamic'!$Q$2:$U$542,4,FALSE)</f>
        <v>0.308</v>
      </c>
      <c r="H833">
        <f>VLOOKUP($D833,'[2]LC Dynamic'!$Q$2:$U$542,5,FALSE)</f>
        <v>0.69199999999999995</v>
      </c>
      <c r="I833" s="77">
        <f t="shared" si="2536"/>
        <v>1</v>
      </c>
      <c r="J833" s="77">
        <f t="shared" si="2537"/>
        <v>6.9728499999999985E-2</v>
      </c>
      <c r="K833" s="77">
        <f t="shared" si="2611"/>
        <v>5.632878498097682E-3</v>
      </c>
      <c r="L833" s="76">
        <v>0</v>
      </c>
      <c r="M833" s="77">
        <f t="shared" si="2547"/>
        <v>0</v>
      </c>
      <c r="N833" s="77">
        <f t="shared" si="2548"/>
        <v>0</v>
      </c>
      <c r="O833" s="77">
        <f t="shared" si="2549"/>
        <v>5.6775999999999997E-3</v>
      </c>
      <c r="P833" s="77">
        <f t="shared" si="2550"/>
        <v>4.7436902124819991E-4</v>
      </c>
      <c r="R833" t="s">
        <v>177</v>
      </c>
      <c r="S833" t="s">
        <v>179</v>
      </c>
      <c r="T833" s="197" t="str">
        <f t="shared" si="2605"/>
        <v>Autopilot_Dynamic_254</v>
      </c>
      <c r="U833">
        <v>254</v>
      </c>
      <c r="V833">
        <f>VLOOKUP($U833,'[2]AP Dynamic'!$Q$1:$T$542,2,FALSE)</f>
        <v>0.88888888888888884</v>
      </c>
      <c r="W833">
        <f>VLOOKUP($U833,'[2]AP Dynamic'!$Q$1:$T$542,3,FALSE)</f>
        <v>0.11111111111111116</v>
      </c>
      <c r="X833">
        <f>VLOOKUP($U833,'[2]AP Dynamic'!$Q$1:$T$542,4,FALSE)</f>
        <v>0</v>
      </c>
      <c r="Y833" s="77">
        <f t="shared" si="2606"/>
        <v>1</v>
      </c>
      <c r="Z833" s="77">
        <f t="shared" si="2612"/>
        <v>6.3149999999999984E-2</v>
      </c>
      <c r="AA833" s="77">
        <f t="shared" si="2613"/>
        <v>5.1160591879111372E-3</v>
      </c>
      <c r="AB833" s="79">
        <v>1</v>
      </c>
      <c r="AC833" s="77">
        <f t="shared" si="2551"/>
        <v>8.277777777777778E-3</v>
      </c>
      <c r="AD833" s="77">
        <f t="shared" ref="AD833" si="2684">1-(1-AC833)^(1/12)</f>
        <v>6.9244588451522482E-4</v>
      </c>
      <c r="AE833" s="77">
        <f t="shared" si="2553"/>
        <v>2.5000000000000001E-3</v>
      </c>
      <c r="AF833" s="77">
        <f t="shared" ref="AF833" si="2685">1-(1-AE833)^(1/12)</f>
        <v>2.0857243058891584E-4</v>
      </c>
      <c r="AH833" t="s">
        <v>175</v>
      </c>
      <c r="AI833" t="s">
        <v>179</v>
      </c>
      <c r="AJ833" s="197" t="str">
        <f t="shared" si="2540"/>
        <v>Lifecycle_Dynamic_254</v>
      </c>
      <c r="AK833">
        <v>254</v>
      </c>
      <c r="AL833">
        <f>VLOOKUP($U833,[2]Standard_Dynamic!$Q$1:$T$542,2,FALSE)</f>
        <v>0.88888888888888884</v>
      </c>
      <c r="AM833">
        <f>VLOOKUP($U833,[2]Standard_Dynamic!$Q$1:$T$542,3,FALSE)</f>
        <v>0.11111111111111116</v>
      </c>
      <c r="AN833">
        <f>VLOOKUP($U833,[2]Standard_Dynamic!$Q$1:$T$542,4,FALSE)</f>
        <v>0</v>
      </c>
      <c r="AO833" s="77">
        <f t="shared" si="2541"/>
        <v>1</v>
      </c>
      <c r="AP833" s="77">
        <f t="shared" si="2555"/>
        <v>6.3149999999999984E-2</v>
      </c>
      <c r="AQ833" s="77">
        <f t="shared" si="2542"/>
        <v>5.1160591879111372E-3</v>
      </c>
      <c r="AR833" s="79">
        <v>0</v>
      </c>
      <c r="AS833" s="77">
        <f t="shared" si="2556"/>
        <v>0</v>
      </c>
      <c r="AT833" s="77">
        <f t="shared" ref="AT833" si="2686">1-(1-AS833)^(1/12)</f>
        <v>0</v>
      </c>
      <c r="AU833" s="77">
        <f t="shared" si="2558"/>
        <v>2.5000000000000001E-3</v>
      </c>
      <c r="AV833" s="77">
        <f t="shared" ref="AV833" si="2687">1-(1-AU833)^(1/12)</f>
        <v>2.0857243058891584E-4</v>
      </c>
      <c r="AX833" t="s">
        <v>178</v>
      </c>
      <c r="AY833" t="s">
        <v>162</v>
      </c>
      <c r="AZ833" s="197" t="str">
        <f t="shared" si="2638"/>
        <v>DIS_Standard_254</v>
      </c>
      <c r="BA833">
        <v>254</v>
      </c>
      <c r="BB833">
        <f>VLOOKUP($BA833,'[2]Standard DIS'!$Q$1:$X$542,4,FALSE)</f>
        <v>0</v>
      </c>
      <c r="BF833">
        <f>VLOOKUP($BA833,'[2]Standard DIS'!$Q$1:$X$542,2,FALSE)</f>
        <v>0.88888888888888884</v>
      </c>
      <c r="BH833">
        <f>VLOOKUP($BA833,'[2]Standard DIS'!$Q$1:$X$542,3,FALSE)</f>
        <v>0.11111111111111116</v>
      </c>
      <c r="BI833" s="77">
        <f t="shared" si="2545"/>
        <v>1</v>
      </c>
      <c r="BJ833" s="77">
        <f t="shared" si="2546"/>
        <v>6.3149999999999984E-2</v>
      </c>
      <c r="BK833" s="77">
        <f t="shared" si="2639"/>
        <v>5.1160591879111372E-3</v>
      </c>
      <c r="BL833" s="79">
        <v>0</v>
      </c>
      <c r="BM833" s="77">
        <f t="shared" si="2560"/>
        <v>0</v>
      </c>
      <c r="BN833" s="77">
        <f t="shared" si="2561"/>
        <v>0</v>
      </c>
      <c r="BO833" s="77">
        <f t="shared" si="2562"/>
        <v>2.5000000000000001E-3</v>
      </c>
      <c r="BP833" s="77">
        <f t="shared" si="2563"/>
        <v>2.0809499864316017E-4</v>
      </c>
    </row>
    <row r="834" spans="1:68">
      <c r="A834" t="s">
        <v>175</v>
      </c>
      <c r="B834" t="s">
        <v>179</v>
      </c>
      <c r="C834" s="197" t="str">
        <f t="shared" si="2604"/>
        <v>Lifecycle_Dynamic_253</v>
      </c>
      <c r="D834">
        <v>253</v>
      </c>
      <c r="E834">
        <f>VLOOKUP($D834,'[2]LC Dynamic'!$Q$2:$U$542,2,FALSE)</f>
        <v>0</v>
      </c>
      <c r="F834">
        <f>VLOOKUP($D834,'[2]LC Dynamic'!$Q$2:$U$542,3,FALSE)</f>
        <v>0</v>
      </c>
      <c r="G834">
        <f>VLOOKUP($D834,'[2]LC Dynamic'!$Q$2:$U$542,4,FALSE)</f>
        <v>0.308</v>
      </c>
      <c r="H834">
        <f>VLOOKUP($D834,'[2]LC Dynamic'!$Q$2:$U$542,5,FALSE)</f>
        <v>0.69199999999999995</v>
      </c>
      <c r="I834" s="77">
        <f t="shared" si="2536"/>
        <v>1</v>
      </c>
      <c r="J834" s="77">
        <f t="shared" si="2537"/>
        <v>6.9728499999999985E-2</v>
      </c>
      <c r="K834" s="77">
        <f t="shared" si="2611"/>
        <v>5.632878498097682E-3</v>
      </c>
      <c r="L834" s="76">
        <v>0</v>
      </c>
      <c r="M834" s="77">
        <f t="shared" si="2547"/>
        <v>0</v>
      </c>
      <c r="N834" s="77">
        <f t="shared" si="2548"/>
        <v>0</v>
      </c>
      <c r="O834" s="77">
        <f t="shared" si="2549"/>
        <v>5.6775999999999997E-3</v>
      </c>
      <c r="P834" s="77">
        <f t="shared" si="2550"/>
        <v>4.7436902124819991E-4</v>
      </c>
      <c r="R834" t="s">
        <v>177</v>
      </c>
      <c r="S834" t="s">
        <v>179</v>
      </c>
      <c r="T834" s="197" t="str">
        <f t="shared" si="2605"/>
        <v>Autopilot_Dynamic_253</v>
      </c>
      <c r="U834">
        <v>253</v>
      </c>
      <c r="V834">
        <f>VLOOKUP($U834,'[2]AP Dynamic'!$Q$1:$T$542,2,FALSE)</f>
        <v>0.88888888888888884</v>
      </c>
      <c r="W834">
        <f>VLOOKUP($U834,'[2]AP Dynamic'!$Q$1:$T$542,3,FALSE)</f>
        <v>0.11111111111111116</v>
      </c>
      <c r="X834">
        <f>VLOOKUP($U834,'[2]AP Dynamic'!$Q$1:$T$542,4,FALSE)</f>
        <v>0</v>
      </c>
      <c r="Y834" s="77">
        <f t="shared" si="2606"/>
        <v>1</v>
      </c>
      <c r="Z834" s="77">
        <f t="shared" si="2612"/>
        <v>6.3149999999999984E-2</v>
      </c>
      <c r="AA834" s="77">
        <f t="shared" si="2613"/>
        <v>5.1160591879111372E-3</v>
      </c>
      <c r="AB834" s="79">
        <v>1</v>
      </c>
      <c r="AC834" s="77">
        <f t="shared" si="2551"/>
        <v>8.277777777777778E-3</v>
      </c>
      <c r="AD834" s="77">
        <f t="shared" ref="AD834" si="2688">1-(1-AC834)^(1/12)</f>
        <v>6.9244588451522482E-4</v>
      </c>
      <c r="AE834" s="77">
        <f t="shared" si="2553"/>
        <v>2.5000000000000001E-3</v>
      </c>
      <c r="AF834" s="77">
        <f t="shared" ref="AF834" si="2689">1-(1-AE834)^(1/12)</f>
        <v>2.0857243058891584E-4</v>
      </c>
      <c r="AH834" t="s">
        <v>175</v>
      </c>
      <c r="AI834" t="s">
        <v>179</v>
      </c>
      <c r="AJ834" s="197" t="str">
        <f t="shared" si="2540"/>
        <v>Lifecycle_Dynamic_253</v>
      </c>
      <c r="AK834">
        <v>253</v>
      </c>
      <c r="AL834">
        <f>VLOOKUP($U834,[2]Standard_Dynamic!$Q$1:$T$542,2,FALSE)</f>
        <v>0.88888888888888884</v>
      </c>
      <c r="AM834">
        <f>VLOOKUP($U834,[2]Standard_Dynamic!$Q$1:$T$542,3,FALSE)</f>
        <v>0.11111111111111116</v>
      </c>
      <c r="AN834">
        <f>VLOOKUP($U834,[2]Standard_Dynamic!$Q$1:$T$542,4,FALSE)</f>
        <v>0</v>
      </c>
      <c r="AO834" s="77">
        <f t="shared" si="2541"/>
        <v>1</v>
      </c>
      <c r="AP834" s="77">
        <f t="shared" si="2555"/>
        <v>6.3149999999999984E-2</v>
      </c>
      <c r="AQ834" s="77">
        <f t="shared" si="2542"/>
        <v>5.1160591879111372E-3</v>
      </c>
      <c r="AR834" s="79">
        <v>0</v>
      </c>
      <c r="AS834" s="77">
        <f t="shared" si="2556"/>
        <v>0</v>
      </c>
      <c r="AT834" s="77">
        <f t="shared" ref="AT834" si="2690">1-(1-AS834)^(1/12)</f>
        <v>0</v>
      </c>
      <c r="AU834" s="77">
        <f t="shared" si="2558"/>
        <v>2.5000000000000001E-3</v>
      </c>
      <c r="AV834" s="77">
        <f t="shared" ref="AV834" si="2691">1-(1-AU834)^(1/12)</f>
        <v>2.0857243058891584E-4</v>
      </c>
      <c r="AX834" t="s">
        <v>178</v>
      </c>
      <c r="AY834" t="s">
        <v>162</v>
      </c>
      <c r="AZ834" s="197" t="str">
        <f t="shared" si="2638"/>
        <v>DIS_Standard_253</v>
      </c>
      <c r="BA834">
        <v>253</v>
      </c>
      <c r="BB834">
        <f>VLOOKUP($BA834,'[2]Standard DIS'!$Q$1:$X$542,4,FALSE)</f>
        <v>0</v>
      </c>
      <c r="BF834">
        <f>VLOOKUP($BA834,'[2]Standard DIS'!$Q$1:$X$542,2,FALSE)</f>
        <v>0.88888888888888884</v>
      </c>
      <c r="BH834">
        <f>VLOOKUP($BA834,'[2]Standard DIS'!$Q$1:$X$542,3,FALSE)</f>
        <v>0.11111111111111116</v>
      </c>
      <c r="BI834" s="77">
        <f t="shared" si="2545"/>
        <v>1</v>
      </c>
      <c r="BJ834" s="77">
        <f t="shared" si="2546"/>
        <v>6.3149999999999984E-2</v>
      </c>
      <c r="BK834" s="77">
        <f t="shared" si="2639"/>
        <v>5.1160591879111372E-3</v>
      </c>
      <c r="BL834" s="79">
        <v>0</v>
      </c>
      <c r="BM834" s="77">
        <f t="shared" si="2560"/>
        <v>0</v>
      </c>
      <c r="BN834" s="77">
        <f t="shared" si="2561"/>
        <v>0</v>
      </c>
      <c r="BO834" s="77">
        <f t="shared" si="2562"/>
        <v>2.5000000000000001E-3</v>
      </c>
      <c r="BP834" s="77">
        <f t="shared" si="2563"/>
        <v>2.0809499864316017E-4</v>
      </c>
    </row>
    <row r="835" spans="1:68">
      <c r="A835" t="s">
        <v>175</v>
      </c>
      <c r="B835" t="s">
        <v>179</v>
      </c>
      <c r="C835" s="197" t="str">
        <f t="shared" si="2604"/>
        <v>Lifecycle_Dynamic_252</v>
      </c>
      <c r="D835">
        <v>252</v>
      </c>
      <c r="E835">
        <f>VLOOKUP($D835,'[2]LC Dynamic'!$Q$2:$U$542,2,FALSE)</f>
        <v>0</v>
      </c>
      <c r="F835">
        <f>VLOOKUP($D835,'[2]LC Dynamic'!$Q$2:$U$542,3,FALSE)</f>
        <v>0</v>
      </c>
      <c r="G835">
        <f>VLOOKUP($D835,'[2]LC Dynamic'!$Q$2:$U$542,4,FALSE)</f>
        <v>0.308</v>
      </c>
      <c r="H835">
        <f>VLOOKUP($D835,'[2]LC Dynamic'!$Q$2:$U$542,5,FALSE)</f>
        <v>0.69199999999999995</v>
      </c>
      <c r="I835" s="77">
        <f t="shared" si="2536"/>
        <v>1</v>
      </c>
      <c r="J835" s="77">
        <f t="shared" si="2537"/>
        <v>6.9728499999999985E-2</v>
      </c>
      <c r="K835" s="77">
        <f t="shared" si="2611"/>
        <v>5.632878498097682E-3</v>
      </c>
      <c r="L835" s="76">
        <v>0</v>
      </c>
      <c r="M835" s="77">
        <f t="shared" si="2547"/>
        <v>0</v>
      </c>
      <c r="N835" s="77">
        <f t="shared" si="2548"/>
        <v>0</v>
      </c>
      <c r="O835" s="77">
        <f t="shared" si="2549"/>
        <v>5.6775999999999997E-3</v>
      </c>
      <c r="P835" s="77">
        <f t="shared" si="2550"/>
        <v>4.7436902124819991E-4</v>
      </c>
      <c r="R835" t="s">
        <v>177</v>
      </c>
      <c r="S835" t="s">
        <v>179</v>
      </c>
      <c r="T835" s="197" t="str">
        <f t="shared" si="2605"/>
        <v>Autopilot_Dynamic_252</v>
      </c>
      <c r="U835">
        <v>252</v>
      </c>
      <c r="V835">
        <f>VLOOKUP($U835,'[2]AP Dynamic'!$Q$1:$T$542,2,FALSE)</f>
        <v>0.88888888888888884</v>
      </c>
      <c r="W835">
        <f>VLOOKUP($U835,'[2]AP Dynamic'!$Q$1:$T$542,3,FALSE)</f>
        <v>0.11111111111111116</v>
      </c>
      <c r="X835">
        <f>VLOOKUP($U835,'[2]AP Dynamic'!$Q$1:$T$542,4,FALSE)</f>
        <v>0</v>
      </c>
      <c r="Y835" s="77">
        <f t="shared" si="2606"/>
        <v>1</v>
      </c>
      <c r="Z835" s="77">
        <f t="shared" si="2612"/>
        <v>6.3149999999999984E-2</v>
      </c>
      <c r="AA835" s="77">
        <f t="shared" si="2613"/>
        <v>5.1160591879111372E-3</v>
      </c>
      <c r="AB835" s="79">
        <v>1</v>
      </c>
      <c r="AC835" s="77">
        <f t="shared" si="2551"/>
        <v>8.277777777777778E-3</v>
      </c>
      <c r="AD835" s="77">
        <f t="shared" ref="AD835" si="2692">1-(1-AC835)^(1/12)</f>
        <v>6.9244588451522482E-4</v>
      </c>
      <c r="AE835" s="77">
        <f t="shared" si="2553"/>
        <v>2.5000000000000001E-3</v>
      </c>
      <c r="AF835" s="77">
        <f t="shared" ref="AF835" si="2693">1-(1-AE835)^(1/12)</f>
        <v>2.0857243058891584E-4</v>
      </c>
      <c r="AH835" t="s">
        <v>175</v>
      </c>
      <c r="AI835" t="s">
        <v>179</v>
      </c>
      <c r="AJ835" s="197" t="str">
        <f t="shared" si="2540"/>
        <v>Lifecycle_Dynamic_252</v>
      </c>
      <c r="AK835">
        <v>252</v>
      </c>
      <c r="AL835">
        <f>VLOOKUP($U835,[2]Standard_Dynamic!$Q$1:$T$542,2,FALSE)</f>
        <v>0.88888888888888884</v>
      </c>
      <c r="AM835">
        <f>VLOOKUP($U835,[2]Standard_Dynamic!$Q$1:$T$542,3,FALSE)</f>
        <v>0.11111111111111116</v>
      </c>
      <c r="AN835">
        <f>VLOOKUP($U835,[2]Standard_Dynamic!$Q$1:$T$542,4,FALSE)</f>
        <v>0</v>
      </c>
      <c r="AO835" s="77">
        <f t="shared" si="2541"/>
        <v>1</v>
      </c>
      <c r="AP835" s="77">
        <f t="shared" si="2555"/>
        <v>6.3149999999999984E-2</v>
      </c>
      <c r="AQ835" s="77">
        <f t="shared" si="2542"/>
        <v>5.1160591879111372E-3</v>
      </c>
      <c r="AR835" s="79">
        <v>0</v>
      </c>
      <c r="AS835" s="77">
        <f t="shared" si="2556"/>
        <v>0</v>
      </c>
      <c r="AT835" s="77">
        <f t="shared" ref="AT835" si="2694">1-(1-AS835)^(1/12)</f>
        <v>0</v>
      </c>
      <c r="AU835" s="77">
        <f t="shared" si="2558"/>
        <v>2.5000000000000001E-3</v>
      </c>
      <c r="AV835" s="77">
        <f t="shared" ref="AV835" si="2695">1-(1-AU835)^(1/12)</f>
        <v>2.0857243058891584E-4</v>
      </c>
      <c r="AX835" t="s">
        <v>178</v>
      </c>
      <c r="AY835" t="s">
        <v>162</v>
      </c>
      <c r="AZ835" s="197" t="str">
        <f t="shared" si="2638"/>
        <v>DIS_Standard_252</v>
      </c>
      <c r="BA835">
        <v>252</v>
      </c>
      <c r="BB835">
        <f>VLOOKUP($BA835,'[2]Standard DIS'!$Q$1:$X$542,4,FALSE)</f>
        <v>0</v>
      </c>
      <c r="BF835">
        <f>VLOOKUP($BA835,'[2]Standard DIS'!$Q$1:$X$542,2,FALSE)</f>
        <v>0.88888888888888884</v>
      </c>
      <c r="BH835">
        <f>VLOOKUP($BA835,'[2]Standard DIS'!$Q$1:$X$542,3,FALSE)</f>
        <v>0.11111111111111116</v>
      </c>
      <c r="BI835" s="77">
        <f t="shared" si="2545"/>
        <v>1</v>
      </c>
      <c r="BJ835" s="77">
        <f t="shared" si="2546"/>
        <v>6.3149999999999984E-2</v>
      </c>
      <c r="BK835" s="77">
        <f t="shared" si="2639"/>
        <v>5.1160591879111372E-3</v>
      </c>
      <c r="BL835" s="79">
        <v>0</v>
      </c>
      <c r="BM835" s="77">
        <f t="shared" si="2560"/>
        <v>0</v>
      </c>
      <c r="BN835" s="77">
        <f t="shared" si="2561"/>
        <v>0</v>
      </c>
      <c r="BO835" s="77">
        <f t="shared" si="2562"/>
        <v>2.5000000000000001E-3</v>
      </c>
      <c r="BP835" s="77">
        <f t="shared" si="2563"/>
        <v>2.0809499864316017E-4</v>
      </c>
    </row>
    <row r="836" spans="1:68">
      <c r="A836" t="s">
        <v>175</v>
      </c>
      <c r="B836" t="s">
        <v>179</v>
      </c>
      <c r="C836" s="197" t="str">
        <f t="shared" si="2604"/>
        <v>Lifecycle_Dynamic_251</v>
      </c>
      <c r="D836">
        <v>251</v>
      </c>
      <c r="E836">
        <f>VLOOKUP($D836,'[2]LC Dynamic'!$Q$2:$U$542,2,FALSE)</f>
        <v>0</v>
      </c>
      <c r="F836">
        <f>VLOOKUP($D836,'[2]LC Dynamic'!$Q$2:$U$542,3,FALSE)</f>
        <v>0</v>
      </c>
      <c r="G836">
        <f>VLOOKUP($D836,'[2]LC Dynamic'!$Q$2:$U$542,4,FALSE)</f>
        <v>0.308</v>
      </c>
      <c r="H836">
        <f>VLOOKUP($D836,'[2]LC Dynamic'!$Q$2:$U$542,5,FALSE)</f>
        <v>0.69199999999999995</v>
      </c>
      <c r="I836" s="77">
        <f t="shared" si="2536"/>
        <v>1</v>
      </c>
      <c r="J836" s="77">
        <f t="shared" si="2537"/>
        <v>6.9728499999999985E-2</v>
      </c>
      <c r="K836" s="77">
        <f t="shared" si="2611"/>
        <v>5.632878498097682E-3</v>
      </c>
      <c r="L836" s="76">
        <v>0</v>
      </c>
      <c r="M836" s="77">
        <f t="shared" si="2547"/>
        <v>0</v>
      </c>
      <c r="N836" s="77">
        <f t="shared" si="2548"/>
        <v>0</v>
      </c>
      <c r="O836" s="77">
        <f t="shared" si="2549"/>
        <v>5.6775999999999997E-3</v>
      </c>
      <c r="P836" s="77">
        <f t="shared" si="2550"/>
        <v>4.7436902124819991E-4</v>
      </c>
      <c r="R836" t="s">
        <v>177</v>
      </c>
      <c r="S836" t="s">
        <v>179</v>
      </c>
      <c r="T836" s="197" t="str">
        <f t="shared" si="2605"/>
        <v>Autopilot_Dynamic_251</v>
      </c>
      <c r="U836">
        <v>251</v>
      </c>
      <c r="V836">
        <f>VLOOKUP($U836,'[2]AP Dynamic'!$Q$1:$T$542,2,FALSE)</f>
        <v>0.88888888888888884</v>
      </c>
      <c r="W836">
        <f>VLOOKUP($U836,'[2]AP Dynamic'!$Q$1:$T$542,3,FALSE)</f>
        <v>0.11111111111111116</v>
      </c>
      <c r="X836">
        <f>VLOOKUP($U836,'[2]AP Dynamic'!$Q$1:$T$542,4,FALSE)</f>
        <v>0</v>
      </c>
      <c r="Y836" s="77">
        <f t="shared" si="2606"/>
        <v>1</v>
      </c>
      <c r="Z836" s="77">
        <f t="shared" si="2612"/>
        <v>6.3149999999999984E-2</v>
      </c>
      <c r="AA836" s="77">
        <f t="shared" si="2613"/>
        <v>5.1160591879111372E-3</v>
      </c>
      <c r="AB836" s="79">
        <v>1</v>
      </c>
      <c r="AC836" s="77">
        <f t="shared" si="2551"/>
        <v>8.277777777777778E-3</v>
      </c>
      <c r="AD836" s="77">
        <f t="shared" ref="AD836" si="2696">1-(1-AC836)^(1/12)</f>
        <v>6.9244588451522482E-4</v>
      </c>
      <c r="AE836" s="77">
        <f t="shared" si="2553"/>
        <v>2.5000000000000001E-3</v>
      </c>
      <c r="AF836" s="77">
        <f t="shared" ref="AF836" si="2697">1-(1-AE836)^(1/12)</f>
        <v>2.0857243058891584E-4</v>
      </c>
      <c r="AH836" t="s">
        <v>175</v>
      </c>
      <c r="AI836" t="s">
        <v>179</v>
      </c>
      <c r="AJ836" s="197" t="str">
        <f t="shared" si="2540"/>
        <v>Lifecycle_Dynamic_251</v>
      </c>
      <c r="AK836">
        <v>251</v>
      </c>
      <c r="AL836">
        <f>VLOOKUP($U836,[2]Standard_Dynamic!$Q$1:$T$542,2,FALSE)</f>
        <v>0.88888888888888884</v>
      </c>
      <c r="AM836">
        <f>VLOOKUP($U836,[2]Standard_Dynamic!$Q$1:$T$542,3,FALSE)</f>
        <v>0.11111111111111116</v>
      </c>
      <c r="AN836">
        <f>VLOOKUP($U836,[2]Standard_Dynamic!$Q$1:$T$542,4,FALSE)</f>
        <v>0</v>
      </c>
      <c r="AO836" s="77">
        <f t="shared" si="2541"/>
        <v>1</v>
      </c>
      <c r="AP836" s="77">
        <f t="shared" si="2555"/>
        <v>6.3149999999999984E-2</v>
      </c>
      <c r="AQ836" s="77">
        <f t="shared" si="2542"/>
        <v>5.1160591879111372E-3</v>
      </c>
      <c r="AR836" s="79">
        <v>0</v>
      </c>
      <c r="AS836" s="77">
        <f t="shared" si="2556"/>
        <v>0</v>
      </c>
      <c r="AT836" s="77">
        <f t="shared" ref="AT836" si="2698">1-(1-AS836)^(1/12)</f>
        <v>0</v>
      </c>
      <c r="AU836" s="77">
        <f t="shared" si="2558"/>
        <v>2.5000000000000001E-3</v>
      </c>
      <c r="AV836" s="77">
        <f t="shared" ref="AV836" si="2699">1-(1-AU836)^(1/12)</f>
        <v>2.0857243058891584E-4</v>
      </c>
      <c r="AX836" t="s">
        <v>178</v>
      </c>
      <c r="AY836" t="s">
        <v>162</v>
      </c>
      <c r="AZ836" s="197" t="str">
        <f t="shared" si="2638"/>
        <v>DIS_Standard_251</v>
      </c>
      <c r="BA836">
        <v>251</v>
      </c>
      <c r="BB836">
        <f>VLOOKUP($BA836,'[2]Standard DIS'!$Q$1:$X$542,4,FALSE)</f>
        <v>0</v>
      </c>
      <c r="BF836">
        <f>VLOOKUP($BA836,'[2]Standard DIS'!$Q$1:$X$542,2,FALSE)</f>
        <v>0.88888888888888884</v>
      </c>
      <c r="BH836">
        <f>VLOOKUP($BA836,'[2]Standard DIS'!$Q$1:$X$542,3,FALSE)</f>
        <v>0.11111111111111116</v>
      </c>
      <c r="BI836" s="77">
        <f t="shared" si="2545"/>
        <v>1</v>
      </c>
      <c r="BJ836" s="77">
        <f t="shared" si="2546"/>
        <v>6.3149999999999984E-2</v>
      </c>
      <c r="BK836" s="77">
        <f t="shared" si="2639"/>
        <v>5.1160591879111372E-3</v>
      </c>
      <c r="BL836" s="79">
        <v>0</v>
      </c>
      <c r="BM836" s="77">
        <f t="shared" si="2560"/>
        <v>0</v>
      </c>
      <c r="BN836" s="77">
        <f t="shared" si="2561"/>
        <v>0</v>
      </c>
      <c r="BO836" s="77">
        <f t="shared" si="2562"/>
        <v>2.5000000000000001E-3</v>
      </c>
      <c r="BP836" s="77">
        <f t="shared" si="2563"/>
        <v>2.0809499864316017E-4</v>
      </c>
    </row>
    <row r="837" spans="1:68">
      <c r="A837" t="s">
        <v>175</v>
      </c>
      <c r="B837" t="s">
        <v>179</v>
      </c>
      <c r="C837" s="197" t="str">
        <f t="shared" si="2604"/>
        <v>Lifecycle_Dynamic_250</v>
      </c>
      <c r="D837">
        <v>250</v>
      </c>
      <c r="E837">
        <f>VLOOKUP($D837,'[2]LC Dynamic'!$Q$2:$U$542,2,FALSE)</f>
        <v>0</v>
      </c>
      <c r="F837">
        <f>VLOOKUP($D837,'[2]LC Dynamic'!$Q$2:$U$542,3,FALSE)</f>
        <v>0</v>
      </c>
      <c r="G837">
        <f>VLOOKUP($D837,'[2]LC Dynamic'!$Q$2:$U$542,4,FALSE)</f>
        <v>0.308</v>
      </c>
      <c r="H837">
        <f>VLOOKUP($D837,'[2]LC Dynamic'!$Q$2:$U$542,5,FALSE)</f>
        <v>0.69199999999999995</v>
      </c>
      <c r="I837" s="77">
        <f t="shared" si="2536"/>
        <v>1</v>
      </c>
      <c r="J837" s="77">
        <f t="shared" si="2537"/>
        <v>6.9728499999999985E-2</v>
      </c>
      <c r="K837" s="77">
        <f t="shared" si="2611"/>
        <v>5.632878498097682E-3</v>
      </c>
      <c r="L837" s="76">
        <v>0</v>
      </c>
      <c r="M837" s="77">
        <f t="shared" si="2547"/>
        <v>0</v>
      </c>
      <c r="N837" s="77">
        <f t="shared" si="2548"/>
        <v>0</v>
      </c>
      <c r="O837" s="77">
        <f t="shared" si="2549"/>
        <v>5.6775999999999997E-3</v>
      </c>
      <c r="P837" s="77">
        <f t="shared" si="2550"/>
        <v>4.7436902124819991E-4</v>
      </c>
      <c r="R837" t="s">
        <v>177</v>
      </c>
      <c r="S837" t="s">
        <v>179</v>
      </c>
      <c r="T837" s="197" t="str">
        <f t="shared" si="2605"/>
        <v>Autopilot_Dynamic_250</v>
      </c>
      <c r="U837">
        <v>250</v>
      </c>
      <c r="V837">
        <f>VLOOKUP($U837,'[2]AP Dynamic'!$Q$1:$T$542,2,FALSE)</f>
        <v>0.88888888888888884</v>
      </c>
      <c r="W837">
        <f>VLOOKUP($U837,'[2]AP Dynamic'!$Q$1:$T$542,3,FALSE)</f>
        <v>0.11111111111111116</v>
      </c>
      <c r="X837">
        <f>VLOOKUP($U837,'[2]AP Dynamic'!$Q$1:$T$542,4,FALSE)</f>
        <v>0</v>
      </c>
      <c r="Y837" s="77">
        <f t="shared" si="2606"/>
        <v>1</v>
      </c>
      <c r="Z837" s="77">
        <f t="shared" si="2612"/>
        <v>6.3149999999999984E-2</v>
      </c>
      <c r="AA837" s="77">
        <f t="shared" si="2613"/>
        <v>5.1160591879111372E-3</v>
      </c>
      <c r="AB837" s="79">
        <v>1</v>
      </c>
      <c r="AC837" s="77">
        <f t="shared" si="2551"/>
        <v>8.277777777777778E-3</v>
      </c>
      <c r="AD837" s="77">
        <f t="shared" ref="AD837" si="2700">1-(1-AC837)^(1/12)</f>
        <v>6.9244588451522482E-4</v>
      </c>
      <c r="AE837" s="77">
        <f t="shared" si="2553"/>
        <v>2.5000000000000001E-3</v>
      </c>
      <c r="AF837" s="77">
        <f t="shared" ref="AF837" si="2701">1-(1-AE837)^(1/12)</f>
        <v>2.0857243058891584E-4</v>
      </c>
      <c r="AH837" t="s">
        <v>175</v>
      </c>
      <c r="AI837" t="s">
        <v>179</v>
      </c>
      <c r="AJ837" s="197" t="str">
        <f t="shared" si="2540"/>
        <v>Lifecycle_Dynamic_250</v>
      </c>
      <c r="AK837">
        <v>250</v>
      </c>
      <c r="AL837">
        <f>VLOOKUP($U837,[2]Standard_Dynamic!$Q$1:$T$542,2,FALSE)</f>
        <v>0.88888888888888884</v>
      </c>
      <c r="AM837">
        <f>VLOOKUP($U837,[2]Standard_Dynamic!$Q$1:$T$542,3,FALSE)</f>
        <v>0.11111111111111116</v>
      </c>
      <c r="AN837">
        <f>VLOOKUP($U837,[2]Standard_Dynamic!$Q$1:$T$542,4,FALSE)</f>
        <v>0</v>
      </c>
      <c r="AO837" s="77">
        <f t="shared" si="2541"/>
        <v>1</v>
      </c>
      <c r="AP837" s="77">
        <f t="shared" si="2555"/>
        <v>6.3149999999999984E-2</v>
      </c>
      <c r="AQ837" s="77">
        <f t="shared" si="2542"/>
        <v>5.1160591879111372E-3</v>
      </c>
      <c r="AR837" s="79">
        <v>0</v>
      </c>
      <c r="AS837" s="77">
        <f t="shared" si="2556"/>
        <v>0</v>
      </c>
      <c r="AT837" s="77">
        <f t="shared" ref="AT837" si="2702">1-(1-AS837)^(1/12)</f>
        <v>0</v>
      </c>
      <c r="AU837" s="77">
        <f t="shared" si="2558"/>
        <v>2.5000000000000001E-3</v>
      </c>
      <c r="AV837" s="77">
        <f t="shared" ref="AV837" si="2703">1-(1-AU837)^(1/12)</f>
        <v>2.0857243058891584E-4</v>
      </c>
      <c r="AX837" t="s">
        <v>178</v>
      </c>
      <c r="AY837" t="s">
        <v>162</v>
      </c>
      <c r="AZ837" s="197" t="str">
        <f t="shared" si="2638"/>
        <v>DIS_Standard_250</v>
      </c>
      <c r="BA837">
        <v>250</v>
      </c>
      <c r="BB837">
        <f>VLOOKUP($BA837,'[2]Standard DIS'!$Q$1:$X$542,4,FALSE)</f>
        <v>0</v>
      </c>
      <c r="BF837">
        <f>VLOOKUP($BA837,'[2]Standard DIS'!$Q$1:$X$542,2,FALSE)</f>
        <v>0.88888888888888884</v>
      </c>
      <c r="BH837">
        <f>VLOOKUP($BA837,'[2]Standard DIS'!$Q$1:$X$542,3,FALSE)</f>
        <v>0.11111111111111116</v>
      </c>
      <c r="BI837" s="77">
        <f t="shared" si="2545"/>
        <v>1</v>
      </c>
      <c r="BJ837" s="77">
        <f t="shared" si="2546"/>
        <v>6.3149999999999984E-2</v>
      </c>
      <c r="BK837" s="77">
        <f t="shared" si="2639"/>
        <v>5.1160591879111372E-3</v>
      </c>
      <c r="BL837" s="79">
        <v>0</v>
      </c>
      <c r="BM837" s="77">
        <f t="shared" si="2560"/>
        <v>0</v>
      </c>
      <c r="BN837" s="77">
        <f t="shared" si="2561"/>
        <v>0</v>
      </c>
      <c r="BO837" s="77">
        <f t="shared" si="2562"/>
        <v>2.5000000000000001E-3</v>
      </c>
      <c r="BP837" s="77">
        <f t="shared" si="2563"/>
        <v>2.0809499864316017E-4</v>
      </c>
    </row>
    <row r="838" spans="1:68">
      <c r="A838" t="s">
        <v>175</v>
      </c>
      <c r="B838" t="s">
        <v>179</v>
      </c>
      <c r="C838" s="197" t="str">
        <f t="shared" si="2604"/>
        <v>Lifecycle_Dynamic_249</v>
      </c>
      <c r="D838">
        <v>249</v>
      </c>
      <c r="E838">
        <f>VLOOKUP($D838,'[2]LC Dynamic'!$Q$2:$U$542,2,FALSE)</f>
        <v>0</v>
      </c>
      <c r="F838">
        <f>VLOOKUP($D838,'[2]LC Dynamic'!$Q$2:$U$542,3,FALSE)</f>
        <v>0</v>
      </c>
      <c r="G838">
        <f>VLOOKUP($D838,'[2]LC Dynamic'!$Q$2:$U$542,4,FALSE)</f>
        <v>0.308</v>
      </c>
      <c r="H838">
        <f>VLOOKUP($D838,'[2]LC Dynamic'!$Q$2:$U$542,5,FALSE)</f>
        <v>0.69199999999999995</v>
      </c>
      <c r="I838" s="77">
        <f t="shared" si="2536"/>
        <v>1</v>
      </c>
      <c r="J838" s="77">
        <f t="shared" si="2537"/>
        <v>6.9728499999999985E-2</v>
      </c>
      <c r="K838" s="77">
        <f t="shared" si="2611"/>
        <v>5.632878498097682E-3</v>
      </c>
      <c r="L838" s="76">
        <v>0</v>
      </c>
      <c r="M838" s="77">
        <f t="shared" si="2547"/>
        <v>0</v>
      </c>
      <c r="N838" s="77">
        <f t="shared" si="2548"/>
        <v>0</v>
      </c>
      <c r="O838" s="77">
        <f t="shared" si="2549"/>
        <v>5.6775999999999997E-3</v>
      </c>
      <c r="P838" s="77">
        <f t="shared" si="2550"/>
        <v>4.7436902124819991E-4</v>
      </c>
      <c r="R838" t="s">
        <v>177</v>
      </c>
      <c r="S838" t="s">
        <v>179</v>
      </c>
      <c r="T838" s="197" t="str">
        <f t="shared" si="2605"/>
        <v>Autopilot_Dynamic_249</v>
      </c>
      <c r="U838">
        <v>249</v>
      </c>
      <c r="V838">
        <f>VLOOKUP($U838,'[2]AP Dynamic'!$Q$1:$T$542,2,FALSE)</f>
        <v>0.88888888888888884</v>
      </c>
      <c r="W838">
        <f>VLOOKUP($U838,'[2]AP Dynamic'!$Q$1:$T$542,3,FALSE)</f>
        <v>0.11111111111111116</v>
      </c>
      <c r="X838">
        <f>VLOOKUP($U838,'[2]AP Dynamic'!$Q$1:$T$542,4,FALSE)</f>
        <v>0</v>
      </c>
      <c r="Y838" s="77">
        <f t="shared" si="2606"/>
        <v>1</v>
      </c>
      <c r="Z838" s="77">
        <f t="shared" si="2612"/>
        <v>6.3149999999999984E-2</v>
      </c>
      <c r="AA838" s="77">
        <f t="shared" si="2613"/>
        <v>5.1160591879111372E-3</v>
      </c>
      <c r="AB838" s="79">
        <v>1</v>
      </c>
      <c r="AC838" s="77">
        <f t="shared" si="2551"/>
        <v>8.277777777777778E-3</v>
      </c>
      <c r="AD838" s="77">
        <f t="shared" ref="AD838" si="2704">1-(1-AC838)^(1/12)</f>
        <v>6.9244588451522482E-4</v>
      </c>
      <c r="AE838" s="77">
        <f t="shared" si="2553"/>
        <v>2.5000000000000001E-3</v>
      </c>
      <c r="AF838" s="77">
        <f t="shared" ref="AF838" si="2705">1-(1-AE838)^(1/12)</f>
        <v>2.0857243058891584E-4</v>
      </c>
      <c r="AH838" t="s">
        <v>175</v>
      </c>
      <c r="AI838" t="s">
        <v>179</v>
      </c>
      <c r="AJ838" s="197" t="str">
        <f t="shared" si="2540"/>
        <v>Lifecycle_Dynamic_249</v>
      </c>
      <c r="AK838">
        <v>249</v>
      </c>
      <c r="AL838">
        <f>VLOOKUP($U838,[2]Standard_Dynamic!$Q$1:$T$542,2,FALSE)</f>
        <v>0.88888888888888884</v>
      </c>
      <c r="AM838">
        <f>VLOOKUP($U838,[2]Standard_Dynamic!$Q$1:$T$542,3,FALSE)</f>
        <v>0.11111111111111116</v>
      </c>
      <c r="AN838">
        <f>VLOOKUP($U838,[2]Standard_Dynamic!$Q$1:$T$542,4,FALSE)</f>
        <v>0</v>
      </c>
      <c r="AO838" s="77">
        <f t="shared" si="2541"/>
        <v>1</v>
      </c>
      <c r="AP838" s="77">
        <f t="shared" si="2555"/>
        <v>6.3149999999999984E-2</v>
      </c>
      <c r="AQ838" s="77">
        <f t="shared" si="2542"/>
        <v>5.1160591879111372E-3</v>
      </c>
      <c r="AR838" s="79">
        <v>0</v>
      </c>
      <c r="AS838" s="77">
        <f t="shared" si="2556"/>
        <v>0</v>
      </c>
      <c r="AT838" s="77">
        <f t="shared" ref="AT838" si="2706">1-(1-AS838)^(1/12)</f>
        <v>0</v>
      </c>
      <c r="AU838" s="77">
        <f t="shared" si="2558"/>
        <v>2.5000000000000001E-3</v>
      </c>
      <c r="AV838" s="77">
        <f t="shared" ref="AV838" si="2707">1-(1-AU838)^(1/12)</f>
        <v>2.0857243058891584E-4</v>
      </c>
      <c r="AX838" t="s">
        <v>178</v>
      </c>
      <c r="AY838" t="s">
        <v>162</v>
      </c>
      <c r="AZ838" s="197" t="str">
        <f t="shared" si="2638"/>
        <v>DIS_Standard_249</v>
      </c>
      <c r="BA838">
        <v>249</v>
      </c>
      <c r="BB838">
        <f>VLOOKUP($BA838,'[2]Standard DIS'!$Q$1:$X$542,4,FALSE)</f>
        <v>0</v>
      </c>
      <c r="BF838">
        <f>VLOOKUP($BA838,'[2]Standard DIS'!$Q$1:$X$542,2,FALSE)</f>
        <v>0.88888888888888884</v>
      </c>
      <c r="BH838">
        <f>VLOOKUP($BA838,'[2]Standard DIS'!$Q$1:$X$542,3,FALSE)</f>
        <v>0.11111111111111116</v>
      </c>
      <c r="BI838" s="77">
        <f t="shared" si="2545"/>
        <v>1</v>
      </c>
      <c r="BJ838" s="77">
        <f t="shared" si="2546"/>
        <v>6.3149999999999984E-2</v>
      </c>
      <c r="BK838" s="77">
        <f t="shared" si="2639"/>
        <v>5.1160591879111372E-3</v>
      </c>
      <c r="BL838" s="79">
        <v>0</v>
      </c>
      <c r="BM838" s="77">
        <f t="shared" si="2560"/>
        <v>0</v>
      </c>
      <c r="BN838" s="77">
        <f t="shared" si="2561"/>
        <v>0</v>
      </c>
      <c r="BO838" s="77">
        <f t="shared" si="2562"/>
        <v>2.5000000000000001E-3</v>
      </c>
      <c r="BP838" s="77">
        <f t="shared" si="2563"/>
        <v>2.0809499864316017E-4</v>
      </c>
    </row>
    <row r="839" spans="1:68">
      <c r="A839" t="s">
        <v>175</v>
      </c>
      <c r="B839" t="s">
        <v>179</v>
      </c>
      <c r="C839" s="197" t="str">
        <f t="shared" si="2604"/>
        <v>Lifecycle_Dynamic_248</v>
      </c>
      <c r="D839">
        <v>248</v>
      </c>
      <c r="E839">
        <f>VLOOKUP($D839,'[2]LC Dynamic'!$Q$2:$U$542,2,FALSE)</f>
        <v>0</v>
      </c>
      <c r="F839">
        <f>VLOOKUP($D839,'[2]LC Dynamic'!$Q$2:$U$542,3,FALSE)</f>
        <v>0</v>
      </c>
      <c r="G839">
        <f>VLOOKUP($D839,'[2]LC Dynamic'!$Q$2:$U$542,4,FALSE)</f>
        <v>0.308</v>
      </c>
      <c r="H839">
        <f>VLOOKUP($D839,'[2]LC Dynamic'!$Q$2:$U$542,5,FALSE)</f>
        <v>0.69199999999999995</v>
      </c>
      <c r="I839" s="77">
        <f t="shared" si="2536"/>
        <v>1</v>
      </c>
      <c r="J839" s="77">
        <f t="shared" si="2537"/>
        <v>6.9728499999999985E-2</v>
      </c>
      <c r="K839" s="77">
        <f t="shared" si="2611"/>
        <v>5.632878498097682E-3</v>
      </c>
      <c r="L839" s="76">
        <v>0</v>
      </c>
      <c r="M839" s="77">
        <f t="shared" si="2547"/>
        <v>0</v>
      </c>
      <c r="N839" s="77">
        <f t="shared" si="2548"/>
        <v>0</v>
      </c>
      <c r="O839" s="77">
        <f t="shared" si="2549"/>
        <v>5.6775999999999997E-3</v>
      </c>
      <c r="P839" s="77">
        <f t="shared" si="2550"/>
        <v>4.7436902124819991E-4</v>
      </c>
      <c r="R839" t="s">
        <v>177</v>
      </c>
      <c r="S839" t="s">
        <v>179</v>
      </c>
      <c r="T839" s="197" t="str">
        <f t="shared" si="2605"/>
        <v>Autopilot_Dynamic_248</v>
      </c>
      <c r="U839">
        <v>248</v>
      </c>
      <c r="V839">
        <f>VLOOKUP($U839,'[2]AP Dynamic'!$Q$1:$T$542,2,FALSE)</f>
        <v>0.88888888888888884</v>
      </c>
      <c r="W839">
        <f>VLOOKUP($U839,'[2]AP Dynamic'!$Q$1:$T$542,3,FALSE)</f>
        <v>0.11111111111111116</v>
      </c>
      <c r="X839">
        <f>VLOOKUP($U839,'[2]AP Dynamic'!$Q$1:$T$542,4,FALSE)</f>
        <v>0</v>
      </c>
      <c r="Y839" s="77">
        <f t="shared" si="2606"/>
        <v>1</v>
      </c>
      <c r="Z839" s="77">
        <f t="shared" si="2612"/>
        <v>6.3149999999999984E-2</v>
      </c>
      <c r="AA839" s="77">
        <f t="shared" si="2613"/>
        <v>5.1160591879111372E-3</v>
      </c>
      <c r="AB839" s="79">
        <v>1</v>
      </c>
      <c r="AC839" s="77">
        <f t="shared" si="2551"/>
        <v>8.277777777777778E-3</v>
      </c>
      <c r="AD839" s="77">
        <f t="shared" ref="AD839" si="2708">1-(1-AC839)^(1/12)</f>
        <v>6.9244588451522482E-4</v>
      </c>
      <c r="AE839" s="77">
        <f t="shared" si="2553"/>
        <v>2.5000000000000001E-3</v>
      </c>
      <c r="AF839" s="77">
        <f t="shared" ref="AF839" si="2709">1-(1-AE839)^(1/12)</f>
        <v>2.0857243058891584E-4</v>
      </c>
      <c r="AH839" t="s">
        <v>175</v>
      </c>
      <c r="AI839" t="s">
        <v>179</v>
      </c>
      <c r="AJ839" s="197" t="str">
        <f t="shared" si="2540"/>
        <v>Lifecycle_Dynamic_248</v>
      </c>
      <c r="AK839">
        <v>248</v>
      </c>
      <c r="AL839">
        <f>VLOOKUP($U839,[2]Standard_Dynamic!$Q$1:$T$542,2,FALSE)</f>
        <v>0.88888888888888884</v>
      </c>
      <c r="AM839">
        <f>VLOOKUP($U839,[2]Standard_Dynamic!$Q$1:$T$542,3,FALSE)</f>
        <v>0.11111111111111116</v>
      </c>
      <c r="AN839">
        <f>VLOOKUP($U839,[2]Standard_Dynamic!$Q$1:$T$542,4,FALSE)</f>
        <v>0</v>
      </c>
      <c r="AO839" s="77">
        <f t="shared" si="2541"/>
        <v>1</v>
      </c>
      <c r="AP839" s="77">
        <f t="shared" si="2555"/>
        <v>6.3149999999999984E-2</v>
      </c>
      <c r="AQ839" s="77">
        <f t="shared" si="2542"/>
        <v>5.1160591879111372E-3</v>
      </c>
      <c r="AR839" s="79">
        <v>0</v>
      </c>
      <c r="AS839" s="77">
        <f t="shared" si="2556"/>
        <v>0</v>
      </c>
      <c r="AT839" s="77">
        <f t="shared" ref="AT839" si="2710">1-(1-AS839)^(1/12)</f>
        <v>0</v>
      </c>
      <c r="AU839" s="77">
        <f t="shared" si="2558"/>
        <v>2.5000000000000001E-3</v>
      </c>
      <c r="AV839" s="77">
        <f t="shared" ref="AV839" si="2711">1-(1-AU839)^(1/12)</f>
        <v>2.0857243058891584E-4</v>
      </c>
      <c r="AX839" t="s">
        <v>178</v>
      </c>
      <c r="AY839" t="s">
        <v>162</v>
      </c>
      <c r="AZ839" s="197" t="str">
        <f t="shared" si="2638"/>
        <v>DIS_Standard_248</v>
      </c>
      <c r="BA839">
        <v>248</v>
      </c>
      <c r="BB839">
        <f>VLOOKUP($BA839,'[2]Standard DIS'!$Q$1:$X$542,4,FALSE)</f>
        <v>0</v>
      </c>
      <c r="BF839">
        <f>VLOOKUP($BA839,'[2]Standard DIS'!$Q$1:$X$542,2,FALSE)</f>
        <v>0.88888888888888884</v>
      </c>
      <c r="BH839">
        <f>VLOOKUP($BA839,'[2]Standard DIS'!$Q$1:$X$542,3,FALSE)</f>
        <v>0.11111111111111116</v>
      </c>
      <c r="BI839" s="77">
        <f t="shared" si="2545"/>
        <v>1</v>
      </c>
      <c r="BJ839" s="77">
        <f t="shared" si="2546"/>
        <v>6.3149999999999984E-2</v>
      </c>
      <c r="BK839" s="77">
        <f t="shared" si="2639"/>
        <v>5.1160591879111372E-3</v>
      </c>
      <c r="BL839" s="79">
        <v>0</v>
      </c>
      <c r="BM839" s="77">
        <f t="shared" si="2560"/>
        <v>0</v>
      </c>
      <c r="BN839" s="77">
        <f t="shared" si="2561"/>
        <v>0</v>
      </c>
      <c r="BO839" s="77">
        <f t="shared" si="2562"/>
        <v>2.5000000000000001E-3</v>
      </c>
      <c r="BP839" s="77">
        <f t="shared" si="2563"/>
        <v>2.0809499864316017E-4</v>
      </c>
    </row>
    <row r="840" spans="1:68">
      <c r="A840" t="s">
        <v>175</v>
      </c>
      <c r="B840" t="s">
        <v>179</v>
      </c>
      <c r="C840" s="197" t="str">
        <f t="shared" si="2604"/>
        <v>Lifecycle_Dynamic_247</v>
      </c>
      <c r="D840">
        <v>247</v>
      </c>
      <c r="E840">
        <f>VLOOKUP($D840,'[2]LC Dynamic'!$Q$2:$U$542,2,FALSE)</f>
        <v>0</v>
      </c>
      <c r="F840">
        <f>VLOOKUP($D840,'[2]LC Dynamic'!$Q$2:$U$542,3,FALSE)</f>
        <v>0</v>
      </c>
      <c r="G840">
        <f>VLOOKUP($D840,'[2]LC Dynamic'!$Q$2:$U$542,4,FALSE)</f>
        <v>0.308</v>
      </c>
      <c r="H840">
        <f>VLOOKUP($D840,'[2]LC Dynamic'!$Q$2:$U$542,5,FALSE)</f>
        <v>0.69199999999999995</v>
      </c>
      <c r="I840" s="77">
        <f t="shared" si="2536"/>
        <v>1</v>
      </c>
      <c r="J840" s="77">
        <f t="shared" si="2537"/>
        <v>6.9728499999999985E-2</v>
      </c>
      <c r="K840" s="77">
        <f t="shared" si="2611"/>
        <v>5.632878498097682E-3</v>
      </c>
      <c r="L840" s="76">
        <v>0</v>
      </c>
      <c r="M840" s="77">
        <f t="shared" si="2547"/>
        <v>0</v>
      </c>
      <c r="N840" s="77">
        <f t="shared" si="2548"/>
        <v>0</v>
      </c>
      <c r="O840" s="77">
        <f t="shared" si="2549"/>
        <v>5.6775999999999997E-3</v>
      </c>
      <c r="P840" s="77">
        <f t="shared" si="2550"/>
        <v>4.7436902124819991E-4</v>
      </c>
      <c r="R840" t="s">
        <v>177</v>
      </c>
      <c r="S840" t="s">
        <v>179</v>
      </c>
      <c r="T840" s="197" t="str">
        <f t="shared" si="2605"/>
        <v>Autopilot_Dynamic_247</v>
      </c>
      <c r="U840">
        <v>247</v>
      </c>
      <c r="V840">
        <f>VLOOKUP($U840,'[2]AP Dynamic'!$Q$1:$T$542,2,FALSE)</f>
        <v>0.88888888888888884</v>
      </c>
      <c r="W840">
        <f>VLOOKUP($U840,'[2]AP Dynamic'!$Q$1:$T$542,3,FALSE)</f>
        <v>0.11111111111111116</v>
      </c>
      <c r="X840">
        <f>VLOOKUP($U840,'[2]AP Dynamic'!$Q$1:$T$542,4,FALSE)</f>
        <v>0</v>
      </c>
      <c r="Y840" s="77">
        <f t="shared" si="2606"/>
        <v>1</v>
      </c>
      <c r="Z840" s="77">
        <f t="shared" si="2612"/>
        <v>6.3149999999999984E-2</v>
      </c>
      <c r="AA840" s="77">
        <f t="shared" si="2613"/>
        <v>5.1160591879111372E-3</v>
      </c>
      <c r="AB840" s="79">
        <v>1</v>
      </c>
      <c r="AC840" s="77">
        <f t="shared" si="2551"/>
        <v>8.277777777777778E-3</v>
      </c>
      <c r="AD840" s="77">
        <f t="shared" ref="AD840" si="2712">1-(1-AC840)^(1/12)</f>
        <v>6.9244588451522482E-4</v>
      </c>
      <c r="AE840" s="77">
        <f t="shared" si="2553"/>
        <v>2.5000000000000001E-3</v>
      </c>
      <c r="AF840" s="77">
        <f t="shared" ref="AF840" si="2713">1-(1-AE840)^(1/12)</f>
        <v>2.0857243058891584E-4</v>
      </c>
      <c r="AH840" t="s">
        <v>175</v>
      </c>
      <c r="AI840" t="s">
        <v>179</v>
      </c>
      <c r="AJ840" s="197" t="str">
        <f t="shared" si="2540"/>
        <v>Lifecycle_Dynamic_247</v>
      </c>
      <c r="AK840">
        <v>247</v>
      </c>
      <c r="AL840">
        <f>VLOOKUP($U840,[2]Standard_Dynamic!$Q$1:$T$542,2,FALSE)</f>
        <v>0.88888888888888884</v>
      </c>
      <c r="AM840">
        <f>VLOOKUP($U840,[2]Standard_Dynamic!$Q$1:$T$542,3,FALSE)</f>
        <v>0.11111111111111116</v>
      </c>
      <c r="AN840">
        <f>VLOOKUP($U840,[2]Standard_Dynamic!$Q$1:$T$542,4,FALSE)</f>
        <v>0</v>
      </c>
      <c r="AO840" s="77">
        <f t="shared" si="2541"/>
        <v>1</v>
      </c>
      <c r="AP840" s="77">
        <f t="shared" si="2555"/>
        <v>6.3149999999999984E-2</v>
      </c>
      <c r="AQ840" s="77">
        <f t="shared" si="2542"/>
        <v>5.1160591879111372E-3</v>
      </c>
      <c r="AR840" s="79">
        <v>0</v>
      </c>
      <c r="AS840" s="77">
        <f t="shared" si="2556"/>
        <v>0</v>
      </c>
      <c r="AT840" s="77">
        <f t="shared" ref="AT840" si="2714">1-(1-AS840)^(1/12)</f>
        <v>0</v>
      </c>
      <c r="AU840" s="77">
        <f t="shared" si="2558"/>
        <v>2.5000000000000001E-3</v>
      </c>
      <c r="AV840" s="77">
        <f t="shared" ref="AV840" si="2715">1-(1-AU840)^(1/12)</f>
        <v>2.0857243058891584E-4</v>
      </c>
      <c r="AX840" t="s">
        <v>178</v>
      </c>
      <c r="AY840" t="s">
        <v>162</v>
      </c>
      <c r="AZ840" s="197" t="str">
        <f t="shared" si="2638"/>
        <v>DIS_Standard_247</v>
      </c>
      <c r="BA840">
        <v>247</v>
      </c>
      <c r="BB840">
        <f>VLOOKUP($BA840,'[2]Standard DIS'!$Q$1:$X$542,4,FALSE)</f>
        <v>0</v>
      </c>
      <c r="BF840">
        <f>VLOOKUP($BA840,'[2]Standard DIS'!$Q$1:$X$542,2,FALSE)</f>
        <v>0.88888888888888884</v>
      </c>
      <c r="BH840">
        <f>VLOOKUP($BA840,'[2]Standard DIS'!$Q$1:$X$542,3,FALSE)</f>
        <v>0.11111111111111116</v>
      </c>
      <c r="BI840" s="77">
        <f t="shared" si="2545"/>
        <v>1</v>
      </c>
      <c r="BJ840" s="77">
        <f t="shared" si="2546"/>
        <v>6.3149999999999984E-2</v>
      </c>
      <c r="BK840" s="77">
        <f t="shared" si="2639"/>
        <v>5.1160591879111372E-3</v>
      </c>
      <c r="BL840" s="79">
        <v>0</v>
      </c>
      <c r="BM840" s="77">
        <f t="shared" si="2560"/>
        <v>0</v>
      </c>
      <c r="BN840" s="77">
        <f t="shared" si="2561"/>
        <v>0</v>
      </c>
      <c r="BO840" s="77">
        <f t="shared" si="2562"/>
        <v>2.5000000000000001E-3</v>
      </c>
      <c r="BP840" s="77">
        <f t="shared" si="2563"/>
        <v>2.0809499864316017E-4</v>
      </c>
    </row>
    <row r="841" spans="1:68">
      <c r="A841" t="s">
        <v>175</v>
      </c>
      <c r="B841" t="s">
        <v>179</v>
      </c>
      <c r="C841" s="197" t="str">
        <f t="shared" si="2604"/>
        <v>Lifecycle_Dynamic_246</v>
      </c>
      <c r="D841">
        <v>246</v>
      </c>
      <c r="E841">
        <f>VLOOKUP($D841,'[2]LC Dynamic'!$Q$2:$U$542,2,FALSE)</f>
        <v>0</v>
      </c>
      <c r="F841">
        <f>VLOOKUP($D841,'[2]LC Dynamic'!$Q$2:$U$542,3,FALSE)</f>
        <v>0</v>
      </c>
      <c r="G841">
        <f>VLOOKUP($D841,'[2]LC Dynamic'!$Q$2:$U$542,4,FALSE)</f>
        <v>0.308</v>
      </c>
      <c r="H841">
        <f>VLOOKUP($D841,'[2]LC Dynamic'!$Q$2:$U$542,5,FALSE)</f>
        <v>0.69199999999999995</v>
      </c>
      <c r="I841" s="77">
        <f t="shared" si="2536"/>
        <v>1</v>
      </c>
      <c r="J841" s="77">
        <f t="shared" si="2537"/>
        <v>6.9728499999999985E-2</v>
      </c>
      <c r="K841" s="77">
        <f t="shared" si="2611"/>
        <v>5.632878498097682E-3</v>
      </c>
      <c r="L841" s="76">
        <v>0</v>
      </c>
      <c r="M841" s="77">
        <f t="shared" si="2547"/>
        <v>0</v>
      </c>
      <c r="N841" s="77">
        <f t="shared" si="2548"/>
        <v>0</v>
      </c>
      <c r="O841" s="77">
        <f t="shared" si="2549"/>
        <v>5.6775999999999997E-3</v>
      </c>
      <c r="P841" s="77">
        <f t="shared" si="2550"/>
        <v>4.7436902124819991E-4</v>
      </c>
      <c r="R841" t="s">
        <v>177</v>
      </c>
      <c r="S841" t="s">
        <v>179</v>
      </c>
      <c r="T841" s="197" t="str">
        <f t="shared" si="2605"/>
        <v>Autopilot_Dynamic_246</v>
      </c>
      <c r="U841">
        <v>246</v>
      </c>
      <c r="V841">
        <f>VLOOKUP($U841,'[2]AP Dynamic'!$Q$1:$T$542,2,FALSE)</f>
        <v>0.88888888888888884</v>
      </c>
      <c r="W841">
        <f>VLOOKUP($U841,'[2]AP Dynamic'!$Q$1:$T$542,3,FALSE)</f>
        <v>0.11111111111111116</v>
      </c>
      <c r="X841">
        <f>VLOOKUP($U841,'[2]AP Dynamic'!$Q$1:$T$542,4,FALSE)</f>
        <v>0</v>
      </c>
      <c r="Y841" s="77">
        <f t="shared" si="2606"/>
        <v>1</v>
      </c>
      <c r="Z841" s="77">
        <f t="shared" si="2612"/>
        <v>6.3149999999999984E-2</v>
      </c>
      <c r="AA841" s="77">
        <f t="shared" si="2613"/>
        <v>5.1160591879111372E-3</v>
      </c>
      <c r="AB841" s="79">
        <v>1</v>
      </c>
      <c r="AC841" s="77">
        <f t="shared" si="2551"/>
        <v>8.277777777777778E-3</v>
      </c>
      <c r="AD841" s="77">
        <f t="shared" ref="AD841" si="2716">1-(1-AC841)^(1/12)</f>
        <v>6.9244588451522482E-4</v>
      </c>
      <c r="AE841" s="77">
        <f t="shared" si="2553"/>
        <v>2.5000000000000001E-3</v>
      </c>
      <c r="AF841" s="77">
        <f t="shared" ref="AF841" si="2717">1-(1-AE841)^(1/12)</f>
        <v>2.0857243058891584E-4</v>
      </c>
      <c r="AH841" t="s">
        <v>175</v>
      </c>
      <c r="AI841" t="s">
        <v>179</v>
      </c>
      <c r="AJ841" s="197" t="str">
        <f t="shared" si="2540"/>
        <v>Lifecycle_Dynamic_246</v>
      </c>
      <c r="AK841">
        <v>246</v>
      </c>
      <c r="AL841">
        <f>VLOOKUP($U841,[2]Standard_Dynamic!$Q$1:$T$542,2,FALSE)</f>
        <v>0.88888888888888884</v>
      </c>
      <c r="AM841">
        <f>VLOOKUP($U841,[2]Standard_Dynamic!$Q$1:$T$542,3,FALSE)</f>
        <v>0.11111111111111116</v>
      </c>
      <c r="AN841">
        <f>VLOOKUP($U841,[2]Standard_Dynamic!$Q$1:$T$542,4,FALSE)</f>
        <v>0</v>
      </c>
      <c r="AO841" s="77">
        <f t="shared" si="2541"/>
        <v>1</v>
      </c>
      <c r="AP841" s="77">
        <f t="shared" si="2555"/>
        <v>6.3149999999999984E-2</v>
      </c>
      <c r="AQ841" s="77">
        <f t="shared" si="2542"/>
        <v>5.1160591879111372E-3</v>
      </c>
      <c r="AR841" s="79">
        <v>0</v>
      </c>
      <c r="AS841" s="77">
        <f t="shared" si="2556"/>
        <v>0</v>
      </c>
      <c r="AT841" s="77">
        <f t="shared" ref="AT841" si="2718">1-(1-AS841)^(1/12)</f>
        <v>0</v>
      </c>
      <c r="AU841" s="77">
        <f t="shared" si="2558"/>
        <v>2.5000000000000001E-3</v>
      </c>
      <c r="AV841" s="77">
        <f t="shared" ref="AV841" si="2719">1-(1-AU841)^(1/12)</f>
        <v>2.0857243058891584E-4</v>
      </c>
      <c r="AX841" t="s">
        <v>178</v>
      </c>
      <c r="AY841" t="s">
        <v>162</v>
      </c>
      <c r="AZ841" s="197" t="str">
        <f t="shared" si="2638"/>
        <v>DIS_Standard_246</v>
      </c>
      <c r="BA841">
        <v>246</v>
      </c>
      <c r="BB841">
        <f>VLOOKUP($BA841,'[2]Standard DIS'!$Q$1:$X$542,4,FALSE)</f>
        <v>0</v>
      </c>
      <c r="BF841">
        <f>VLOOKUP($BA841,'[2]Standard DIS'!$Q$1:$X$542,2,FALSE)</f>
        <v>0.88888888888888884</v>
      </c>
      <c r="BH841">
        <f>VLOOKUP($BA841,'[2]Standard DIS'!$Q$1:$X$542,3,FALSE)</f>
        <v>0.11111111111111116</v>
      </c>
      <c r="BI841" s="77">
        <f t="shared" si="2545"/>
        <v>1</v>
      </c>
      <c r="BJ841" s="77">
        <f t="shared" si="2546"/>
        <v>6.3149999999999984E-2</v>
      </c>
      <c r="BK841" s="77">
        <f t="shared" si="2639"/>
        <v>5.1160591879111372E-3</v>
      </c>
      <c r="BL841" s="79">
        <v>0</v>
      </c>
      <c r="BM841" s="77">
        <f t="shared" si="2560"/>
        <v>0</v>
      </c>
      <c r="BN841" s="77">
        <f t="shared" si="2561"/>
        <v>0</v>
      </c>
      <c r="BO841" s="77">
        <f t="shared" si="2562"/>
        <v>2.5000000000000001E-3</v>
      </c>
      <c r="BP841" s="77">
        <f t="shared" si="2563"/>
        <v>2.0809499864316017E-4</v>
      </c>
    </row>
    <row r="842" spans="1:68">
      <c r="A842" t="s">
        <v>175</v>
      </c>
      <c r="B842" t="s">
        <v>179</v>
      </c>
      <c r="C842" s="197" t="str">
        <f t="shared" si="2604"/>
        <v>Lifecycle_Dynamic_245</v>
      </c>
      <c r="D842">
        <v>245</v>
      </c>
      <c r="E842">
        <f>VLOOKUP($D842,'[2]LC Dynamic'!$Q$2:$U$542,2,FALSE)</f>
        <v>0</v>
      </c>
      <c r="F842">
        <f>VLOOKUP($D842,'[2]LC Dynamic'!$Q$2:$U$542,3,FALSE)</f>
        <v>0</v>
      </c>
      <c r="G842">
        <f>VLOOKUP($D842,'[2]LC Dynamic'!$Q$2:$U$542,4,FALSE)</f>
        <v>0.308</v>
      </c>
      <c r="H842">
        <f>VLOOKUP($D842,'[2]LC Dynamic'!$Q$2:$U$542,5,FALSE)</f>
        <v>0.69199999999999995</v>
      </c>
      <c r="I842" s="77">
        <f t="shared" si="2536"/>
        <v>1</v>
      </c>
      <c r="J842" s="77">
        <f t="shared" si="2537"/>
        <v>6.9728499999999985E-2</v>
      </c>
      <c r="K842" s="77">
        <f t="shared" si="2611"/>
        <v>5.632878498097682E-3</v>
      </c>
      <c r="L842" s="76">
        <v>0</v>
      </c>
      <c r="M842" s="77">
        <f t="shared" si="2547"/>
        <v>0</v>
      </c>
      <c r="N842" s="77">
        <f t="shared" si="2548"/>
        <v>0</v>
      </c>
      <c r="O842" s="77">
        <f t="shared" si="2549"/>
        <v>5.6775999999999997E-3</v>
      </c>
      <c r="P842" s="77">
        <f t="shared" si="2550"/>
        <v>4.7436902124819991E-4</v>
      </c>
      <c r="R842" t="s">
        <v>177</v>
      </c>
      <c r="S842" t="s">
        <v>179</v>
      </c>
      <c r="T842" s="197" t="str">
        <f t="shared" si="2605"/>
        <v>Autopilot_Dynamic_245</v>
      </c>
      <c r="U842">
        <v>245</v>
      </c>
      <c r="V842">
        <f>VLOOKUP($U842,'[2]AP Dynamic'!$Q$1:$T$542,2,FALSE)</f>
        <v>0.88888888888888884</v>
      </c>
      <c r="W842">
        <f>VLOOKUP($U842,'[2]AP Dynamic'!$Q$1:$T$542,3,FALSE)</f>
        <v>0.11111111111111116</v>
      </c>
      <c r="X842">
        <f>VLOOKUP($U842,'[2]AP Dynamic'!$Q$1:$T$542,4,FALSE)</f>
        <v>0</v>
      </c>
      <c r="Y842" s="77">
        <f t="shared" si="2606"/>
        <v>1</v>
      </c>
      <c r="Z842" s="77">
        <f t="shared" si="2612"/>
        <v>6.3149999999999984E-2</v>
      </c>
      <c r="AA842" s="77">
        <f t="shared" si="2613"/>
        <v>5.1160591879111372E-3</v>
      </c>
      <c r="AB842" s="79">
        <v>1</v>
      </c>
      <c r="AC842" s="77">
        <f t="shared" si="2551"/>
        <v>8.277777777777778E-3</v>
      </c>
      <c r="AD842" s="77">
        <f t="shared" ref="AD842" si="2720">1-(1-AC842)^(1/12)</f>
        <v>6.9244588451522482E-4</v>
      </c>
      <c r="AE842" s="77">
        <f t="shared" si="2553"/>
        <v>2.5000000000000001E-3</v>
      </c>
      <c r="AF842" s="77">
        <f t="shared" ref="AF842" si="2721">1-(1-AE842)^(1/12)</f>
        <v>2.0857243058891584E-4</v>
      </c>
      <c r="AH842" t="s">
        <v>175</v>
      </c>
      <c r="AI842" t="s">
        <v>179</v>
      </c>
      <c r="AJ842" s="197" t="str">
        <f t="shared" si="2540"/>
        <v>Lifecycle_Dynamic_245</v>
      </c>
      <c r="AK842">
        <v>245</v>
      </c>
      <c r="AL842">
        <f>VLOOKUP($U842,[2]Standard_Dynamic!$Q$1:$T$542,2,FALSE)</f>
        <v>0.88888888888888884</v>
      </c>
      <c r="AM842">
        <f>VLOOKUP($U842,[2]Standard_Dynamic!$Q$1:$T$542,3,FALSE)</f>
        <v>0.11111111111111116</v>
      </c>
      <c r="AN842">
        <f>VLOOKUP($U842,[2]Standard_Dynamic!$Q$1:$T$542,4,FALSE)</f>
        <v>0</v>
      </c>
      <c r="AO842" s="77">
        <f t="shared" si="2541"/>
        <v>1</v>
      </c>
      <c r="AP842" s="77">
        <f t="shared" si="2555"/>
        <v>6.3149999999999984E-2</v>
      </c>
      <c r="AQ842" s="77">
        <f t="shared" si="2542"/>
        <v>5.1160591879111372E-3</v>
      </c>
      <c r="AR842" s="79">
        <v>0</v>
      </c>
      <c r="AS842" s="77">
        <f t="shared" si="2556"/>
        <v>0</v>
      </c>
      <c r="AT842" s="77">
        <f t="shared" ref="AT842" si="2722">1-(1-AS842)^(1/12)</f>
        <v>0</v>
      </c>
      <c r="AU842" s="77">
        <f t="shared" si="2558"/>
        <v>2.5000000000000001E-3</v>
      </c>
      <c r="AV842" s="77">
        <f t="shared" ref="AV842" si="2723">1-(1-AU842)^(1/12)</f>
        <v>2.0857243058891584E-4</v>
      </c>
      <c r="AX842" t="s">
        <v>178</v>
      </c>
      <c r="AY842" t="s">
        <v>162</v>
      </c>
      <c r="AZ842" s="197" t="str">
        <f t="shared" si="2638"/>
        <v>DIS_Standard_245</v>
      </c>
      <c r="BA842">
        <v>245</v>
      </c>
      <c r="BB842">
        <f>VLOOKUP($BA842,'[2]Standard DIS'!$Q$1:$X$542,4,FALSE)</f>
        <v>0</v>
      </c>
      <c r="BF842">
        <f>VLOOKUP($BA842,'[2]Standard DIS'!$Q$1:$X$542,2,FALSE)</f>
        <v>0.88888888888888884</v>
      </c>
      <c r="BH842">
        <f>VLOOKUP($BA842,'[2]Standard DIS'!$Q$1:$X$542,3,FALSE)</f>
        <v>0.11111111111111116</v>
      </c>
      <c r="BI842" s="77">
        <f t="shared" si="2545"/>
        <v>1</v>
      </c>
      <c r="BJ842" s="77">
        <f t="shared" si="2546"/>
        <v>6.3149999999999984E-2</v>
      </c>
      <c r="BK842" s="77">
        <f t="shared" si="2639"/>
        <v>5.1160591879111372E-3</v>
      </c>
      <c r="BL842" s="79">
        <v>0</v>
      </c>
      <c r="BM842" s="77">
        <f t="shared" si="2560"/>
        <v>0</v>
      </c>
      <c r="BN842" s="77">
        <f t="shared" si="2561"/>
        <v>0</v>
      </c>
      <c r="BO842" s="77">
        <f t="shared" si="2562"/>
        <v>2.5000000000000001E-3</v>
      </c>
      <c r="BP842" s="77">
        <f t="shared" si="2563"/>
        <v>2.0809499864316017E-4</v>
      </c>
    </row>
    <row r="843" spans="1:68">
      <c r="A843" t="s">
        <v>175</v>
      </c>
      <c r="B843" t="s">
        <v>179</v>
      </c>
      <c r="C843" s="197" t="str">
        <f t="shared" si="2604"/>
        <v>Lifecycle_Dynamic_244</v>
      </c>
      <c r="D843">
        <v>244</v>
      </c>
      <c r="E843">
        <f>VLOOKUP($D843,'[2]LC Dynamic'!$Q$2:$U$542,2,FALSE)</f>
        <v>0</v>
      </c>
      <c r="F843">
        <f>VLOOKUP($D843,'[2]LC Dynamic'!$Q$2:$U$542,3,FALSE)</f>
        <v>0</v>
      </c>
      <c r="G843">
        <f>VLOOKUP($D843,'[2]LC Dynamic'!$Q$2:$U$542,4,FALSE)</f>
        <v>0.308</v>
      </c>
      <c r="H843">
        <f>VLOOKUP($D843,'[2]LC Dynamic'!$Q$2:$U$542,5,FALSE)</f>
        <v>0.69199999999999995</v>
      </c>
      <c r="I843" s="77">
        <f t="shared" si="2536"/>
        <v>1</v>
      </c>
      <c r="J843" s="77">
        <f t="shared" si="2537"/>
        <v>6.9728499999999985E-2</v>
      </c>
      <c r="K843" s="77">
        <f t="shared" si="2611"/>
        <v>5.632878498097682E-3</v>
      </c>
      <c r="L843" s="76">
        <v>0</v>
      </c>
      <c r="M843" s="77">
        <f t="shared" si="2547"/>
        <v>0</v>
      </c>
      <c r="N843" s="77">
        <f t="shared" si="2548"/>
        <v>0</v>
      </c>
      <c r="O843" s="77">
        <f t="shared" si="2549"/>
        <v>5.6775999999999997E-3</v>
      </c>
      <c r="P843" s="77">
        <f t="shared" si="2550"/>
        <v>4.7436902124819991E-4</v>
      </c>
      <c r="R843" t="s">
        <v>177</v>
      </c>
      <c r="S843" t="s">
        <v>179</v>
      </c>
      <c r="T843" s="197" t="str">
        <f t="shared" si="2605"/>
        <v>Autopilot_Dynamic_244</v>
      </c>
      <c r="U843">
        <v>244</v>
      </c>
      <c r="V843">
        <f>VLOOKUP($U843,'[2]AP Dynamic'!$Q$1:$T$542,2,FALSE)</f>
        <v>0.88888888888888884</v>
      </c>
      <c r="W843">
        <f>VLOOKUP($U843,'[2]AP Dynamic'!$Q$1:$T$542,3,FALSE)</f>
        <v>0.11111111111111116</v>
      </c>
      <c r="X843">
        <f>VLOOKUP($U843,'[2]AP Dynamic'!$Q$1:$T$542,4,FALSE)</f>
        <v>0</v>
      </c>
      <c r="Y843" s="77">
        <f t="shared" si="2606"/>
        <v>1</v>
      </c>
      <c r="Z843" s="77">
        <f t="shared" si="2612"/>
        <v>6.3149999999999984E-2</v>
      </c>
      <c r="AA843" s="77">
        <f t="shared" si="2613"/>
        <v>5.1160591879111372E-3</v>
      </c>
      <c r="AB843" s="79">
        <v>1</v>
      </c>
      <c r="AC843" s="77">
        <f t="shared" si="2551"/>
        <v>8.277777777777778E-3</v>
      </c>
      <c r="AD843" s="77">
        <f t="shared" ref="AD843" si="2724">1-(1-AC843)^(1/12)</f>
        <v>6.9244588451522482E-4</v>
      </c>
      <c r="AE843" s="77">
        <f t="shared" si="2553"/>
        <v>2.5000000000000001E-3</v>
      </c>
      <c r="AF843" s="77">
        <f t="shared" ref="AF843" si="2725">1-(1-AE843)^(1/12)</f>
        <v>2.0857243058891584E-4</v>
      </c>
      <c r="AH843" t="s">
        <v>175</v>
      </c>
      <c r="AI843" t="s">
        <v>179</v>
      </c>
      <c r="AJ843" s="197" t="str">
        <f t="shared" si="2540"/>
        <v>Lifecycle_Dynamic_244</v>
      </c>
      <c r="AK843">
        <v>244</v>
      </c>
      <c r="AL843">
        <f>VLOOKUP($U843,[2]Standard_Dynamic!$Q$1:$T$542,2,FALSE)</f>
        <v>0.88888888888888884</v>
      </c>
      <c r="AM843">
        <f>VLOOKUP($U843,[2]Standard_Dynamic!$Q$1:$T$542,3,FALSE)</f>
        <v>0.11111111111111116</v>
      </c>
      <c r="AN843">
        <f>VLOOKUP($U843,[2]Standard_Dynamic!$Q$1:$T$542,4,FALSE)</f>
        <v>0</v>
      </c>
      <c r="AO843" s="77">
        <f t="shared" si="2541"/>
        <v>1</v>
      </c>
      <c r="AP843" s="77">
        <f t="shared" si="2555"/>
        <v>6.3149999999999984E-2</v>
      </c>
      <c r="AQ843" s="77">
        <f t="shared" si="2542"/>
        <v>5.1160591879111372E-3</v>
      </c>
      <c r="AR843" s="79">
        <v>0</v>
      </c>
      <c r="AS843" s="77">
        <f t="shared" si="2556"/>
        <v>0</v>
      </c>
      <c r="AT843" s="77">
        <f t="shared" ref="AT843" si="2726">1-(1-AS843)^(1/12)</f>
        <v>0</v>
      </c>
      <c r="AU843" s="77">
        <f t="shared" si="2558"/>
        <v>2.5000000000000001E-3</v>
      </c>
      <c r="AV843" s="77">
        <f t="shared" ref="AV843" si="2727">1-(1-AU843)^(1/12)</f>
        <v>2.0857243058891584E-4</v>
      </c>
      <c r="AX843" t="s">
        <v>178</v>
      </c>
      <c r="AY843" t="s">
        <v>162</v>
      </c>
      <c r="AZ843" s="197" t="str">
        <f t="shared" si="2638"/>
        <v>DIS_Standard_244</v>
      </c>
      <c r="BA843">
        <v>244</v>
      </c>
      <c r="BB843">
        <f>VLOOKUP($BA843,'[2]Standard DIS'!$Q$1:$X$542,4,FALSE)</f>
        <v>0</v>
      </c>
      <c r="BF843">
        <f>VLOOKUP($BA843,'[2]Standard DIS'!$Q$1:$X$542,2,FALSE)</f>
        <v>0.88888888888888884</v>
      </c>
      <c r="BH843">
        <f>VLOOKUP($BA843,'[2]Standard DIS'!$Q$1:$X$542,3,FALSE)</f>
        <v>0.11111111111111116</v>
      </c>
      <c r="BI843" s="77">
        <f t="shared" si="2545"/>
        <v>1</v>
      </c>
      <c r="BJ843" s="77">
        <f t="shared" si="2546"/>
        <v>6.3149999999999984E-2</v>
      </c>
      <c r="BK843" s="77">
        <f t="shared" si="2639"/>
        <v>5.1160591879111372E-3</v>
      </c>
      <c r="BL843" s="79">
        <v>0</v>
      </c>
      <c r="BM843" s="77">
        <f t="shared" si="2560"/>
        <v>0</v>
      </c>
      <c r="BN843" s="77">
        <f t="shared" si="2561"/>
        <v>0</v>
      </c>
      <c r="BO843" s="77">
        <f t="shared" si="2562"/>
        <v>2.5000000000000001E-3</v>
      </c>
      <c r="BP843" s="77">
        <f t="shared" si="2563"/>
        <v>2.0809499864316017E-4</v>
      </c>
    </row>
    <row r="844" spans="1:68">
      <c r="A844" t="s">
        <v>175</v>
      </c>
      <c r="B844" t="s">
        <v>179</v>
      </c>
      <c r="C844" s="197" t="str">
        <f t="shared" si="2604"/>
        <v>Lifecycle_Dynamic_243</v>
      </c>
      <c r="D844">
        <v>243</v>
      </c>
      <c r="E844">
        <f>VLOOKUP($D844,'[2]LC Dynamic'!$Q$2:$U$542,2,FALSE)</f>
        <v>0</v>
      </c>
      <c r="F844">
        <f>VLOOKUP($D844,'[2]LC Dynamic'!$Q$2:$U$542,3,FALSE)</f>
        <v>0</v>
      </c>
      <c r="G844">
        <f>VLOOKUP($D844,'[2]LC Dynamic'!$Q$2:$U$542,4,FALSE)</f>
        <v>0.308</v>
      </c>
      <c r="H844">
        <f>VLOOKUP($D844,'[2]LC Dynamic'!$Q$2:$U$542,5,FALSE)</f>
        <v>0.69199999999999995</v>
      </c>
      <c r="I844" s="77">
        <f t="shared" si="2536"/>
        <v>1</v>
      </c>
      <c r="J844" s="77">
        <f t="shared" si="2537"/>
        <v>6.9728499999999985E-2</v>
      </c>
      <c r="K844" s="77">
        <f t="shared" si="2611"/>
        <v>5.632878498097682E-3</v>
      </c>
      <c r="L844" s="76">
        <v>0</v>
      </c>
      <c r="M844" s="77">
        <f t="shared" si="2547"/>
        <v>0</v>
      </c>
      <c r="N844" s="77">
        <f t="shared" si="2548"/>
        <v>0</v>
      </c>
      <c r="O844" s="77">
        <f t="shared" si="2549"/>
        <v>5.6775999999999997E-3</v>
      </c>
      <c r="P844" s="77">
        <f t="shared" si="2550"/>
        <v>4.7436902124819991E-4</v>
      </c>
      <c r="R844" t="s">
        <v>177</v>
      </c>
      <c r="S844" t="s">
        <v>179</v>
      </c>
      <c r="T844" s="197" t="str">
        <f t="shared" si="2605"/>
        <v>Autopilot_Dynamic_243</v>
      </c>
      <c r="U844">
        <v>243</v>
      </c>
      <c r="V844">
        <f>VLOOKUP($U844,'[2]AP Dynamic'!$Q$1:$T$542,2,FALSE)</f>
        <v>0.88888888888888884</v>
      </c>
      <c r="W844">
        <f>VLOOKUP($U844,'[2]AP Dynamic'!$Q$1:$T$542,3,FALSE)</f>
        <v>0.11111111111111116</v>
      </c>
      <c r="X844">
        <f>VLOOKUP($U844,'[2]AP Dynamic'!$Q$1:$T$542,4,FALSE)</f>
        <v>0</v>
      </c>
      <c r="Y844" s="77">
        <f t="shared" si="2606"/>
        <v>1</v>
      </c>
      <c r="Z844" s="77">
        <f t="shared" si="2612"/>
        <v>6.3149999999999984E-2</v>
      </c>
      <c r="AA844" s="77">
        <f t="shared" si="2613"/>
        <v>5.1160591879111372E-3</v>
      </c>
      <c r="AB844" s="79">
        <v>1</v>
      </c>
      <c r="AC844" s="77">
        <f t="shared" si="2551"/>
        <v>8.277777777777778E-3</v>
      </c>
      <c r="AD844" s="77">
        <f t="shared" ref="AD844" si="2728">1-(1-AC844)^(1/12)</f>
        <v>6.9244588451522482E-4</v>
      </c>
      <c r="AE844" s="77">
        <f t="shared" si="2553"/>
        <v>2.5000000000000001E-3</v>
      </c>
      <c r="AF844" s="77">
        <f t="shared" ref="AF844" si="2729">1-(1-AE844)^(1/12)</f>
        <v>2.0857243058891584E-4</v>
      </c>
      <c r="AH844" t="s">
        <v>175</v>
      </c>
      <c r="AI844" t="s">
        <v>179</v>
      </c>
      <c r="AJ844" s="197" t="str">
        <f t="shared" si="2540"/>
        <v>Lifecycle_Dynamic_243</v>
      </c>
      <c r="AK844">
        <v>243</v>
      </c>
      <c r="AL844">
        <f>VLOOKUP($U844,[2]Standard_Dynamic!$Q$1:$T$542,2,FALSE)</f>
        <v>0.88888888888888884</v>
      </c>
      <c r="AM844">
        <f>VLOOKUP($U844,[2]Standard_Dynamic!$Q$1:$T$542,3,FALSE)</f>
        <v>0.11111111111111116</v>
      </c>
      <c r="AN844">
        <f>VLOOKUP($U844,[2]Standard_Dynamic!$Q$1:$T$542,4,FALSE)</f>
        <v>0</v>
      </c>
      <c r="AO844" s="77">
        <f t="shared" si="2541"/>
        <v>1</v>
      </c>
      <c r="AP844" s="77">
        <f t="shared" si="2555"/>
        <v>6.3149999999999984E-2</v>
      </c>
      <c r="AQ844" s="77">
        <f t="shared" si="2542"/>
        <v>5.1160591879111372E-3</v>
      </c>
      <c r="AR844" s="79">
        <v>0</v>
      </c>
      <c r="AS844" s="77">
        <f t="shared" si="2556"/>
        <v>0</v>
      </c>
      <c r="AT844" s="77">
        <f t="shared" ref="AT844" si="2730">1-(1-AS844)^(1/12)</f>
        <v>0</v>
      </c>
      <c r="AU844" s="77">
        <f t="shared" si="2558"/>
        <v>2.5000000000000001E-3</v>
      </c>
      <c r="AV844" s="77">
        <f t="shared" ref="AV844" si="2731">1-(1-AU844)^(1/12)</f>
        <v>2.0857243058891584E-4</v>
      </c>
      <c r="AX844" t="s">
        <v>178</v>
      </c>
      <c r="AY844" t="s">
        <v>162</v>
      </c>
      <c r="AZ844" s="197" t="str">
        <f t="shared" si="2638"/>
        <v>DIS_Standard_243</v>
      </c>
      <c r="BA844">
        <v>243</v>
      </c>
      <c r="BB844">
        <f>VLOOKUP($BA844,'[2]Standard DIS'!$Q$1:$X$542,4,FALSE)</f>
        <v>0</v>
      </c>
      <c r="BF844">
        <f>VLOOKUP($BA844,'[2]Standard DIS'!$Q$1:$X$542,2,FALSE)</f>
        <v>0.88888888888888884</v>
      </c>
      <c r="BH844">
        <f>VLOOKUP($BA844,'[2]Standard DIS'!$Q$1:$X$542,3,FALSE)</f>
        <v>0.11111111111111116</v>
      </c>
      <c r="BI844" s="77">
        <f t="shared" si="2545"/>
        <v>1</v>
      </c>
      <c r="BJ844" s="77">
        <f t="shared" si="2546"/>
        <v>6.3149999999999984E-2</v>
      </c>
      <c r="BK844" s="77">
        <f t="shared" si="2639"/>
        <v>5.1160591879111372E-3</v>
      </c>
      <c r="BL844" s="79">
        <v>0</v>
      </c>
      <c r="BM844" s="77">
        <f t="shared" si="2560"/>
        <v>0</v>
      </c>
      <c r="BN844" s="77">
        <f t="shared" si="2561"/>
        <v>0</v>
      </c>
      <c r="BO844" s="77">
        <f t="shared" si="2562"/>
        <v>2.5000000000000001E-3</v>
      </c>
      <c r="BP844" s="77">
        <f t="shared" si="2563"/>
        <v>2.0809499864316017E-4</v>
      </c>
    </row>
    <row r="845" spans="1:68">
      <c r="A845" t="s">
        <v>175</v>
      </c>
      <c r="B845" t="s">
        <v>179</v>
      </c>
      <c r="C845" s="197" t="str">
        <f t="shared" si="2604"/>
        <v>Lifecycle_Dynamic_242</v>
      </c>
      <c r="D845">
        <v>242</v>
      </c>
      <c r="E845">
        <f>VLOOKUP($D845,'[2]LC Dynamic'!$Q$2:$U$542,2,FALSE)</f>
        <v>0</v>
      </c>
      <c r="F845">
        <f>VLOOKUP($D845,'[2]LC Dynamic'!$Q$2:$U$542,3,FALSE)</f>
        <v>0</v>
      </c>
      <c r="G845">
        <f>VLOOKUP($D845,'[2]LC Dynamic'!$Q$2:$U$542,4,FALSE)</f>
        <v>0.308</v>
      </c>
      <c r="H845">
        <f>VLOOKUP($D845,'[2]LC Dynamic'!$Q$2:$U$542,5,FALSE)</f>
        <v>0.69199999999999995</v>
      </c>
      <c r="I845" s="77">
        <f t="shared" si="2536"/>
        <v>1</v>
      </c>
      <c r="J845" s="77">
        <f t="shared" si="2537"/>
        <v>6.9728499999999985E-2</v>
      </c>
      <c r="K845" s="77">
        <f t="shared" si="2611"/>
        <v>5.632878498097682E-3</v>
      </c>
      <c r="L845" s="76">
        <v>0</v>
      </c>
      <c r="M845" s="77">
        <f t="shared" si="2547"/>
        <v>0</v>
      </c>
      <c r="N845" s="77">
        <f t="shared" si="2548"/>
        <v>0</v>
      </c>
      <c r="O845" s="77">
        <f t="shared" si="2549"/>
        <v>5.6775999999999997E-3</v>
      </c>
      <c r="P845" s="77">
        <f t="shared" si="2550"/>
        <v>4.7436902124819991E-4</v>
      </c>
      <c r="R845" t="s">
        <v>177</v>
      </c>
      <c r="S845" t="s">
        <v>179</v>
      </c>
      <c r="T845" s="197" t="str">
        <f t="shared" si="2605"/>
        <v>Autopilot_Dynamic_242</v>
      </c>
      <c r="U845">
        <v>242</v>
      </c>
      <c r="V845">
        <f>VLOOKUP($U845,'[2]AP Dynamic'!$Q$1:$T$542,2,FALSE)</f>
        <v>0.88888888888888884</v>
      </c>
      <c r="W845">
        <f>VLOOKUP($U845,'[2]AP Dynamic'!$Q$1:$T$542,3,FALSE)</f>
        <v>0.11111111111111116</v>
      </c>
      <c r="X845">
        <f>VLOOKUP($U845,'[2]AP Dynamic'!$Q$1:$T$542,4,FALSE)</f>
        <v>0</v>
      </c>
      <c r="Y845" s="77">
        <f t="shared" si="2606"/>
        <v>1</v>
      </c>
      <c r="Z845" s="77">
        <f t="shared" si="2612"/>
        <v>6.3149999999999984E-2</v>
      </c>
      <c r="AA845" s="77">
        <f t="shared" si="2613"/>
        <v>5.1160591879111372E-3</v>
      </c>
      <c r="AB845" s="79">
        <v>1</v>
      </c>
      <c r="AC845" s="77">
        <f t="shared" si="2551"/>
        <v>8.277777777777778E-3</v>
      </c>
      <c r="AD845" s="77">
        <f t="shared" ref="AD845" si="2732">1-(1-AC845)^(1/12)</f>
        <v>6.9244588451522482E-4</v>
      </c>
      <c r="AE845" s="77">
        <f t="shared" si="2553"/>
        <v>2.5000000000000001E-3</v>
      </c>
      <c r="AF845" s="77">
        <f t="shared" ref="AF845" si="2733">1-(1-AE845)^(1/12)</f>
        <v>2.0857243058891584E-4</v>
      </c>
      <c r="AH845" t="s">
        <v>175</v>
      </c>
      <c r="AI845" t="s">
        <v>179</v>
      </c>
      <c r="AJ845" s="197" t="str">
        <f t="shared" si="2540"/>
        <v>Lifecycle_Dynamic_242</v>
      </c>
      <c r="AK845">
        <v>242</v>
      </c>
      <c r="AL845">
        <f>VLOOKUP($U845,[2]Standard_Dynamic!$Q$1:$T$542,2,FALSE)</f>
        <v>0.88888888888888884</v>
      </c>
      <c r="AM845">
        <f>VLOOKUP($U845,[2]Standard_Dynamic!$Q$1:$T$542,3,FALSE)</f>
        <v>0.11111111111111116</v>
      </c>
      <c r="AN845">
        <f>VLOOKUP($U845,[2]Standard_Dynamic!$Q$1:$T$542,4,FALSE)</f>
        <v>0</v>
      </c>
      <c r="AO845" s="77">
        <f t="shared" si="2541"/>
        <v>1</v>
      </c>
      <c r="AP845" s="77">
        <f t="shared" si="2555"/>
        <v>6.3149999999999984E-2</v>
      </c>
      <c r="AQ845" s="77">
        <f t="shared" si="2542"/>
        <v>5.1160591879111372E-3</v>
      </c>
      <c r="AR845" s="79">
        <v>0</v>
      </c>
      <c r="AS845" s="77">
        <f t="shared" si="2556"/>
        <v>0</v>
      </c>
      <c r="AT845" s="77">
        <f t="shared" ref="AT845" si="2734">1-(1-AS845)^(1/12)</f>
        <v>0</v>
      </c>
      <c r="AU845" s="77">
        <f t="shared" si="2558"/>
        <v>2.5000000000000001E-3</v>
      </c>
      <c r="AV845" s="77">
        <f t="shared" ref="AV845" si="2735">1-(1-AU845)^(1/12)</f>
        <v>2.0857243058891584E-4</v>
      </c>
      <c r="AX845" t="s">
        <v>178</v>
      </c>
      <c r="AY845" t="s">
        <v>162</v>
      </c>
      <c r="AZ845" s="197" t="str">
        <f t="shared" si="2638"/>
        <v>DIS_Standard_242</v>
      </c>
      <c r="BA845">
        <v>242</v>
      </c>
      <c r="BB845">
        <f>VLOOKUP($BA845,'[2]Standard DIS'!$Q$1:$X$542,4,FALSE)</f>
        <v>0</v>
      </c>
      <c r="BF845">
        <f>VLOOKUP($BA845,'[2]Standard DIS'!$Q$1:$X$542,2,FALSE)</f>
        <v>0.88888888888888884</v>
      </c>
      <c r="BH845">
        <f>VLOOKUP($BA845,'[2]Standard DIS'!$Q$1:$X$542,3,FALSE)</f>
        <v>0.11111111111111116</v>
      </c>
      <c r="BI845" s="77">
        <f t="shared" si="2545"/>
        <v>1</v>
      </c>
      <c r="BJ845" s="77">
        <f t="shared" si="2546"/>
        <v>6.3149999999999984E-2</v>
      </c>
      <c r="BK845" s="77">
        <f t="shared" si="2639"/>
        <v>5.1160591879111372E-3</v>
      </c>
      <c r="BL845" s="79">
        <v>0</v>
      </c>
      <c r="BM845" s="77">
        <f t="shared" si="2560"/>
        <v>0</v>
      </c>
      <c r="BN845" s="77">
        <f t="shared" si="2561"/>
        <v>0</v>
      </c>
      <c r="BO845" s="77">
        <f t="shared" si="2562"/>
        <v>2.5000000000000001E-3</v>
      </c>
      <c r="BP845" s="77">
        <f t="shared" si="2563"/>
        <v>2.0809499864316017E-4</v>
      </c>
    </row>
    <row r="846" spans="1:68">
      <c r="A846" t="s">
        <v>175</v>
      </c>
      <c r="B846" t="s">
        <v>179</v>
      </c>
      <c r="C846" s="197" t="str">
        <f t="shared" si="2604"/>
        <v>Lifecycle_Dynamic_241</v>
      </c>
      <c r="D846">
        <v>241</v>
      </c>
      <c r="E846">
        <f>VLOOKUP($D846,'[2]LC Dynamic'!$Q$2:$U$542,2,FALSE)</f>
        <v>0</v>
      </c>
      <c r="F846">
        <f>VLOOKUP($D846,'[2]LC Dynamic'!$Q$2:$U$542,3,FALSE)</f>
        <v>0</v>
      </c>
      <c r="G846">
        <f>VLOOKUP($D846,'[2]LC Dynamic'!$Q$2:$U$542,4,FALSE)</f>
        <v>0.308</v>
      </c>
      <c r="H846">
        <f>VLOOKUP($D846,'[2]LC Dynamic'!$Q$2:$U$542,5,FALSE)</f>
        <v>0.69199999999999995</v>
      </c>
      <c r="I846" s="77">
        <f t="shared" si="2536"/>
        <v>1</v>
      </c>
      <c r="J846" s="77">
        <f t="shared" si="2537"/>
        <v>6.9728499999999985E-2</v>
      </c>
      <c r="K846" s="77">
        <f t="shared" si="2611"/>
        <v>5.632878498097682E-3</v>
      </c>
      <c r="L846" s="76">
        <v>0</v>
      </c>
      <c r="M846" s="77">
        <f t="shared" si="2547"/>
        <v>0</v>
      </c>
      <c r="N846" s="77">
        <f t="shared" si="2548"/>
        <v>0</v>
      </c>
      <c r="O846" s="77">
        <f t="shared" si="2549"/>
        <v>5.6775999999999997E-3</v>
      </c>
      <c r="P846" s="77">
        <f t="shared" si="2550"/>
        <v>4.7436902124819991E-4</v>
      </c>
      <c r="R846" t="s">
        <v>177</v>
      </c>
      <c r="S846" t="s">
        <v>179</v>
      </c>
      <c r="T846" s="197" t="str">
        <f t="shared" si="2605"/>
        <v>Autopilot_Dynamic_241</v>
      </c>
      <c r="U846">
        <v>241</v>
      </c>
      <c r="V846">
        <f>VLOOKUP($U846,'[2]AP Dynamic'!$Q$1:$T$542,2,FALSE)</f>
        <v>0.88888888888888884</v>
      </c>
      <c r="W846">
        <f>VLOOKUP($U846,'[2]AP Dynamic'!$Q$1:$T$542,3,FALSE)</f>
        <v>0.11111111111111116</v>
      </c>
      <c r="X846">
        <f>VLOOKUP($U846,'[2]AP Dynamic'!$Q$1:$T$542,4,FALSE)</f>
        <v>0</v>
      </c>
      <c r="Y846" s="77">
        <f t="shared" si="2606"/>
        <v>1</v>
      </c>
      <c r="Z846" s="77">
        <f t="shared" si="2612"/>
        <v>6.3149999999999984E-2</v>
      </c>
      <c r="AA846" s="77">
        <f t="shared" si="2613"/>
        <v>5.1160591879111372E-3</v>
      </c>
      <c r="AB846" s="79">
        <v>1</v>
      </c>
      <c r="AC846" s="77">
        <f t="shared" si="2551"/>
        <v>8.277777777777778E-3</v>
      </c>
      <c r="AD846" s="77">
        <f t="shared" ref="AD846" si="2736">1-(1-AC846)^(1/12)</f>
        <v>6.9244588451522482E-4</v>
      </c>
      <c r="AE846" s="77">
        <f t="shared" si="2553"/>
        <v>2.5000000000000001E-3</v>
      </c>
      <c r="AF846" s="77">
        <f t="shared" ref="AF846" si="2737">1-(1-AE846)^(1/12)</f>
        <v>2.0857243058891584E-4</v>
      </c>
      <c r="AH846" t="s">
        <v>175</v>
      </c>
      <c r="AI846" t="s">
        <v>179</v>
      </c>
      <c r="AJ846" s="197" t="str">
        <f t="shared" si="2540"/>
        <v>Lifecycle_Dynamic_241</v>
      </c>
      <c r="AK846">
        <v>241</v>
      </c>
      <c r="AL846">
        <f>VLOOKUP($U846,[2]Standard_Dynamic!$Q$1:$T$542,2,FALSE)</f>
        <v>0.88888888888888884</v>
      </c>
      <c r="AM846">
        <f>VLOOKUP($U846,[2]Standard_Dynamic!$Q$1:$T$542,3,FALSE)</f>
        <v>0.11111111111111116</v>
      </c>
      <c r="AN846">
        <f>VLOOKUP($U846,[2]Standard_Dynamic!$Q$1:$T$542,4,FALSE)</f>
        <v>0</v>
      </c>
      <c r="AO846" s="77">
        <f t="shared" si="2541"/>
        <v>1</v>
      </c>
      <c r="AP846" s="77">
        <f t="shared" si="2555"/>
        <v>6.3149999999999984E-2</v>
      </c>
      <c r="AQ846" s="77">
        <f t="shared" si="2542"/>
        <v>5.1160591879111372E-3</v>
      </c>
      <c r="AR846" s="79">
        <v>0</v>
      </c>
      <c r="AS846" s="77">
        <f t="shared" si="2556"/>
        <v>0</v>
      </c>
      <c r="AT846" s="77">
        <f t="shared" ref="AT846" si="2738">1-(1-AS846)^(1/12)</f>
        <v>0</v>
      </c>
      <c r="AU846" s="77">
        <f t="shared" si="2558"/>
        <v>2.5000000000000001E-3</v>
      </c>
      <c r="AV846" s="77">
        <f t="shared" ref="AV846" si="2739">1-(1-AU846)^(1/12)</f>
        <v>2.0857243058891584E-4</v>
      </c>
      <c r="AX846" t="s">
        <v>178</v>
      </c>
      <c r="AY846" t="s">
        <v>162</v>
      </c>
      <c r="AZ846" s="197" t="str">
        <f t="shared" si="2638"/>
        <v>DIS_Standard_241</v>
      </c>
      <c r="BA846">
        <v>241</v>
      </c>
      <c r="BB846">
        <f>VLOOKUP($BA846,'[2]Standard DIS'!$Q$1:$X$542,4,FALSE)</f>
        <v>0</v>
      </c>
      <c r="BF846">
        <f>VLOOKUP($BA846,'[2]Standard DIS'!$Q$1:$X$542,2,FALSE)</f>
        <v>0.88888888888888884</v>
      </c>
      <c r="BH846">
        <f>VLOOKUP($BA846,'[2]Standard DIS'!$Q$1:$X$542,3,FALSE)</f>
        <v>0.11111111111111116</v>
      </c>
      <c r="BI846" s="77">
        <f t="shared" si="2545"/>
        <v>1</v>
      </c>
      <c r="BJ846" s="77">
        <f t="shared" si="2546"/>
        <v>6.3149999999999984E-2</v>
      </c>
      <c r="BK846" s="77">
        <f t="shared" si="2639"/>
        <v>5.1160591879111372E-3</v>
      </c>
      <c r="BL846" s="79">
        <v>0</v>
      </c>
      <c r="BM846" s="77">
        <f t="shared" si="2560"/>
        <v>0</v>
      </c>
      <c r="BN846" s="77">
        <f t="shared" si="2561"/>
        <v>0</v>
      </c>
      <c r="BO846" s="77">
        <f t="shared" si="2562"/>
        <v>2.5000000000000001E-3</v>
      </c>
      <c r="BP846" s="77">
        <f t="shared" si="2563"/>
        <v>2.0809499864316017E-4</v>
      </c>
    </row>
    <row r="847" spans="1:68">
      <c r="A847" t="s">
        <v>175</v>
      </c>
      <c r="B847" t="s">
        <v>179</v>
      </c>
      <c r="C847" s="197" t="str">
        <f t="shared" si="2604"/>
        <v>Lifecycle_Dynamic_240</v>
      </c>
      <c r="D847">
        <v>240</v>
      </c>
      <c r="E847">
        <f>VLOOKUP($D847,'[2]LC Dynamic'!$Q$2:$U$542,2,FALSE)</f>
        <v>0</v>
      </c>
      <c r="F847">
        <f>VLOOKUP($D847,'[2]LC Dynamic'!$Q$2:$U$542,3,FALSE)</f>
        <v>0</v>
      </c>
      <c r="G847">
        <f>VLOOKUP($D847,'[2]LC Dynamic'!$Q$2:$U$542,4,FALSE)</f>
        <v>0.308</v>
      </c>
      <c r="H847">
        <f>VLOOKUP($D847,'[2]LC Dynamic'!$Q$2:$U$542,5,FALSE)</f>
        <v>0.69199999999999995</v>
      </c>
      <c r="I847" s="77">
        <f t="shared" si="2536"/>
        <v>1</v>
      </c>
      <c r="J847" s="77">
        <f t="shared" si="2537"/>
        <v>6.9728499999999985E-2</v>
      </c>
      <c r="K847" s="77">
        <f t="shared" si="2611"/>
        <v>5.632878498097682E-3</v>
      </c>
      <c r="L847" s="76">
        <v>0</v>
      </c>
      <c r="M847" s="77">
        <f t="shared" si="2547"/>
        <v>0</v>
      </c>
      <c r="N847" s="77">
        <f t="shared" si="2548"/>
        <v>0</v>
      </c>
      <c r="O847" s="77">
        <f t="shared" si="2549"/>
        <v>5.6775999999999997E-3</v>
      </c>
      <c r="P847" s="77">
        <f t="shared" si="2550"/>
        <v>4.7436902124819991E-4</v>
      </c>
      <c r="R847" t="s">
        <v>177</v>
      </c>
      <c r="S847" t="s">
        <v>179</v>
      </c>
      <c r="T847" s="197" t="str">
        <f t="shared" si="2605"/>
        <v>Autopilot_Dynamic_240</v>
      </c>
      <c r="U847">
        <v>240</v>
      </c>
      <c r="V847">
        <f>VLOOKUP($U847,'[2]AP Dynamic'!$Q$1:$T$542,2,FALSE)</f>
        <v>0.88888888888888884</v>
      </c>
      <c r="W847">
        <f>VLOOKUP($U847,'[2]AP Dynamic'!$Q$1:$T$542,3,FALSE)</f>
        <v>0.11111111111111116</v>
      </c>
      <c r="X847">
        <f>VLOOKUP($U847,'[2]AP Dynamic'!$Q$1:$T$542,4,FALSE)</f>
        <v>0</v>
      </c>
      <c r="Y847" s="77">
        <f t="shared" si="2606"/>
        <v>1</v>
      </c>
      <c r="Z847" s="77">
        <f t="shared" si="2612"/>
        <v>6.3149999999999984E-2</v>
      </c>
      <c r="AA847" s="77">
        <f t="shared" si="2613"/>
        <v>5.1160591879111372E-3</v>
      </c>
      <c r="AB847" s="79">
        <v>1</v>
      </c>
      <c r="AC847" s="77">
        <f t="shared" si="2551"/>
        <v>8.277777777777778E-3</v>
      </c>
      <c r="AD847" s="77">
        <f t="shared" ref="AD847" si="2740">1-(1-AC847)^(1/12)</f>
        <v>6.9244588451522482E-4</v>
      </c>
      <c r="AE847" s="77">
        <f t="shared" si="2553"/>
        <v>2.5000000000000001E-3</v>
      </c>
      <c r="AF847" s="77">
        <f t="shared" ref="AF847" si="2741">1-(1-AE847)^(1/12)</f>
        <v>2.0857243058891584E-4</v>
      </c>
      <c r="AH847" t="s">
        <v>175</v>
      </c>
      <c r="AI847" t="s">
        <v>179</v>
      </c>
      <c r="AJ847" s="197" t="str">
        <f t="shared" si="2540"/>
        <v>Lifecycle_Dynamic_240</v>
      </c>
      <c r="AK847">
        <v>240</v>
      </c>
      <c r="AL847">
        <f>VLOOKUP($U847,[2]Standard_Dynamic!$Q$1:$T$542,2,FALSE)</f>
        <v>0.88888888888888884</v>
      </c>
      <c r="AM847">
        <f>VLOOKUP($U847,[2]Standard_Dynamic!$Q$1:$T$542,3,FALSE)</f>
        <v>0.11111111111111116</v>
      </c>
      <c r="AN847">
        <f>VLOOKUP($U847,[2]Standard_Dynamic!$Q$1:$T$542,4,FALSE)</f>
        <v>0</v>
      </c>
      <c r="AO847" s="77">
        <f t="shared" si="2541"/>
        <v>1</v>
      </c>
      <c r="AP847" s="77">
        <f t="shared" si="2555"/>
        <v>6.3149999999999984E-2</v>
      </c>
      <c r="AQ847" s="77">
        <f t="shared" si="2542"/>
        <v>5.1160591879111372E-3</v>
      </c>
      <c r="AR847" s="79">
        <v>0</v>
      </c>
      <c r="AS847" s="77">
        <f t="shared" si="2556"/>
        <v>0</v>
      </c>
      <c r="AT847" s="77">
        <f t="shared" ref="AT847" si="2742">1-(1-AS847)^(1/12)</f>
        <v>0</v>
      </c>
      <c r="AU847" s="77">
        <f t="shared" si="2558"/>
        <v>2.5000000000000001E-3</v>
      </c>
      <c r="AV847" s="77">
        <f t="shared" ref="AV847" si="2743">1-(1-AU847)^(1/12)</f>
        <v>2.0857243058891584E-4</v>
      </c>
      <c r="AX847" t="s">
        <v>178</v>
      </c>
      <c r="AY847" t="s">
        <v>162</v>
      </c>
      <c r="AZ847" s="197" t="str">
        <f t="shared" si="2638"/>
        <v>DIS_Standard_240</v>
      </c>
      <c r="BA847">
        <v>240</v>
      </c>
      <c r="BB847">
        <f>VLOOKUP($BA847,'[2]Standard DIS'!$Q$1:$X$542,4,FALSE)</f>
        <v>0</v>
      </c>
      <c r="BF847">
        <f>VLOOKUP($BA847,'[2]Standard DIS'!$Q$1:$X$542,2,FALSE)</f>
        <v>0.88888888888888884</v>
      </c>
      <c r="BH847">
        <f>VLOOKUP($BA847,'[2]Standard DIS'!$Q$1:$X$542,3,FALSE)</f>
        <v>0.11111111111111116</v>
      </c>
      <c r="BI847" s="77">
        <f t="shared" si="2545"/>
        <v>1</v>
      </c>
      <c r="BJ847" s="77">
        <f t="shared" si="2546"/>
        <v>6.3149999999999984E-2</v>
      </c>
      <c r="BK847" s="77">
        <f t="shared" si="2639"/>
        <v>5.1160591879111372E-3</v>
      </c>
      <c r="BL847" s="79">
        <v>0</v>
      </c>
      <c r="BM847" s="77">
        <f t="shared" si="2560"/>
        <v>0</v>
      </c>
      <c r="BN847" s="77">
        <f t="shared" si="2561"/>
        <v>0</v>
      </c>
      <c r="BO847" s="77">
        <f t="shared" si="2562"/>
        <v>2.5000000000000001E-3</v>
      </c>
      <c r="BP847" s="77">
        <f t="shared" si="2563"/>
        <v>2.0809499864316017E-4</v>
      </c>
    </row>
    <row r="848" spans="1:68">
      <c r="A848" t="s">
        <v>175</v>
      </c>
      <c r="B848" t="s">
        <v>179</v>
      </c>
      <c r="C848" s="197" t="str">
        <f t="shared" si="2604"/>
        <v>Lifecycle_Dynamic_239</v>
      </c>
      <c r="D848">
        <v>239</v>
      </c>
      <c r="E848">
        <f>VLOOKUP($D848,'[2]LC Dynamic'!$Q$2:$U$542,2,FALSE)</f>
        <v>0</v>
      </c>
      <c r="F848">
        <f>VLOOKUP($D848,'[2]LC Dynamic'!$Q$2:$U$542,3,FALSE)</f>
        <v>0</v>
      </c>
      <c r="G848">
        <f>VLOOKUP($D848,'[2]LC Dynamic'!$Q$2:$U$542,4,FALSE)</f>
        <v>0.308</v>
      </c>
      <c r="H848">
        <f>VLOOKUP($D848,'[2]LC Dynamic'!$Q$2:$U$542,5,FALSE)</f>
        <v>0.69199999999999995</v>
      </c>
      <c r="I848" s="77">
        <f t="shared" si="2536"/>
        <v>1</v>
      </c>
      <c r="J848" s="77">
        <f t="shared" si="2537"/>
        <v>6.9728499999999985E-2</v>
      </c>
      <c r="K848" s="77">
        <f t="shared" si="2611"/>
        <v>5.632878498097682E-3</v>
      </c>
      <c r="L848" s="76">
        <v>0</v>
      </c>
      <c r="M848" s="77">
        <f t="shared" si="2547"/>
        <v>0</v>
      </c>
      <c r="N848" s="77">
        <f t="shared" si="2548"/>
        <v>0</v>
      </c>
      <c r="O848" s="77">
        <f t="shared" si="2549"/>
        <v>5.6775999999999997E-3</v>
      </c>
      <c r="P848" s="77">
        <f t="shared" si="2550"/>
        <v>4.7436902124819991E-4</v>
      </c>
      <c r="R848" t="s">
        <v>177</v>
      </c>
      <c r="S848" t="s">
        <v>179</v>
      </c>
      <c r="T848" s="197" t="str">
        <f t="shared" si="2605"/>
        <v>Autopilot_Dynamic_239</v>
      </c>
      <c r="U848">
        <v>239</v>
      </c>
      <c r="V848">
        <f>VLOOKUP($U848,'[2]AP Dynamic'!$Q$1:$T$542,2,FALSE)</f>
        <v>0.88888888888888884</v>
      </c>
      <c r="W848">
        <f>VLOOKUP($U848,'[2]AP Dynamic'!$Q$1:$T$542,3,FALSE)</f>
        <v>0.11111111111111116</v>
      </c>
      <c r="X848">
        <f>VLOOKUP($U848,'[2]AP Dynamic'!$Q$1:$T$542,4,FALSE)</f>
        <v>0</v>
      </c>
      <c r="Y848" s="77">
        <f t="shared" si="2606"/>
        <v>1</v>
      </c>
      <c r="Z848" s="77">
        <f t="shared" si="2612"/>
        <v>6.3149999999999984E-2</v>
      </c>
      <c r="AA848" s="77">
        <f t="shared" si="2613"/>
        <v>5.1160591879111372E-3</v>
      </c>
      <c r="AB848" s="79">
        <v>1</v>
      </c>
      <c r="AC848" s="77">
        <f t="shared" si="2551"/>
        <v>8.277777777777778E-3</v>
      </c>
      <c r="AD848" s="77">
        <f t="shared" ref="AD848" si="2744">1-(1-AC848)^(1/12)</f>
        <v>6.9244588451522482E-4</v>
      </c>
      <c r="AE848" s="77">
        <f t="shared" si="2553"/>
        <v>2.5000000000000001E-3</v>
      </c>
      <c r="AF848" s="77">
        <f t="shared" ref="AF848" si="2745">1-(1-AE848)^(1/12)</f>
        <v>2.0857243058891584E-4</v>
      </c>
      <c r="AH848" t="s">
        <v>175</v>
      </c>
      <c r="AI848" t="s">
        <v>179</v>
      </c>
      <c r="AJ848" s="197" t="str">
        <f t="shared" si="2540"/>
        <v>Lifecycle_Dynamic_239</v>
      </c>
      <c r="AK848">
        <v>239</v>
      </c>
      <c r="AL848">
        <f>VLOOKUP($U848,[2]Standard_Dynamic!$Q$1:$T$542,2,FALSE)</f>
        <v>0.88888888888888884</v>
      </c>
      <c r="AM848">
        <f>VLOOKUP($U848,[2]Standard_Dynamic!$Q$1:$T$542,3,FALSE)</f>
        <v>0.11111111111111116</v>
      </c>
      <c r="AN848">
        <f>VLOOKUP($U848,[2]Standard_Dynamic!$Q$1:$T$542,4,FALSE)</f>
        <v>0</v>
      </c>
      <c r="AO848" s="77">
        <f t="shared" si="2541"/>
        <v>1</v>
      </c>
      <c r="AP848" s="77">
        <f t="shared" si="2555"/>
        <v>6.3149999999999984E-2</v>
      </c>
      <c r="AQ848" s="77">
        <f t="shared" si="2542"/>
        <v>5.1160591879111372E-3</v>
      </c>
      <c r="AR848" s="79">
        <v>0</v>
      </c>
      <c r="AS848" s="77">
        <f t="shared" si="2556"/>
        <v>0</v>
      </c>
      <c r="AT848" s="77">
        <f t="shared" ref="AT848" si="2746">1-(1-AS848)^(1/12)</f>
        <v>0</v>
      </c>
      <c r="AU848" s="77">
        <f t="shared" si="2558"/>
        <v>2.5000000000000001E-3</v>
      </c>
      <c r="AV848" s="77">
        <f t="shared" ref="AV848" si="2747">1-(1-AU848)^(1/12)</f>
        <v>2.0857243058891584E-4</v>
      </c>
      <c r="AX848" t="s">
        <v>178</v>
      </c>
      <c r="AY848" t="s">
        <v>162</v>
      </c>
      <c r="AZ848" s="197" t="str">
        <f t="shared" si="2638"/>
        <v>DIS_Standard_239</v>
      </c>
      <c r="BA848">
        <v>239</v>
      </c>
      <c r="BB848">
        <f>VLOOKUP($BA848,'[2]Standard DIS'!$Q$1:$X$542,4,FALSE)</f>
        <v>0</v>
      </c>
      <c r="BF848">
        <f>VLOOKUP($BA848,'[2]Standard DIS'!$Q$1:$X$542,2,FALSE)</f>
        <v>0.88888888888888884</v>
      </c>
      <c r="BH848">
        <f>VLOOKUP($BA848,'[2]Standard DIS'!$Q$1:$X$542,3,FALSE)</f>
        <v>0.11111111111111116</v>
      </c>
      <c r="BI848" s="77">
        <f t="shared" si="2545"/>
        <v>1</v>
      </c>
      <c r="BJ848" s="77">
        <f t="shared" si="2546"/>
        <v>6.3149999999999984E-2</v>
      </c>
      <c r="BK848" s="77">
        <f t="shared" si="2639"/>
        <v>5.1160591879111372E-3</v>
      </c>
      <c r="BL848" s="79">
        <v>0</v>
      </c>
      <c r="BM848" s="77">
        <f t="shared" si="2560"/>
        <v>0</v>
      </c>
      <c r="BN848" s="77">
        <f t="shared" si="2561"/>
        <v>0</v>
      </c>
      <c r="BO848" s="77">
        <f t="shared" si="2562"/>
        <v>2.5000000000000001E-3</v>
      </c>
      <c r="BP848" s="77">
        <f t="shared" si="2563"/>
        <v>2.0809499864316017E-4</v>
      </c>
    </row>
    <row r="849" spans="1:68">
      <c r="A849" t="s">
        <v>175</v>
      </c>
      <c r="B849" t="s">
        <v>179</v>
      </c>
      <c r="C849" s="197" t="str">
        <f t="shared" si="2604"/>
        <v>Lifecycle_Dynamic_238</v>
      </c>
      <c r="D849">
        <v>238</v>
      </c>
      <c r="E849">
        <f>VLOOKUP($D849,'[2]LC Dynamic'!$Q$2:$U$542,2,FALSE)</f>
        <v>0</v>
      </c>
      <c r="F849">
        <f>VLOOKUP($D849,'[2]LC Dynamic'!$Q$2:$U$542,3,FALSE)</f>
        <v>0</v>
      </c>
      <c r="G849">
        <f>VLOOKUP($D849,'[2]LC Dynamic'!$Q$2:$U$542,4,FALSE)</f>
        <v>0.308</v>
      </c>
      <c r="H849">
        <f>VLOOKUP($D849,'[2]LC Dynamic'!$Q$2:$U$542,5,FALSE)</f>
        <v>0.69199999999999995</v>
      </c>
      <c r="I849" s="77">
        <f t="shared" si="2536"/>
        <v>1</v>
      </c>
      <c r="J849" s="77">
        <f t="shared" si="2537"/>
        <v>6.9728499999999985E-2</v>
      </c>
      <c r="K849" s="77">
        <f t="shared" si="2611"/>
        <v>5.632878498097682E-3</v>
      </c>
      <c r="L849" s="76">
        <v>0</v>
      </c>
      <c r="M849" s="77">
        <f t="shared" si="2547"/>
        <v>0</v>
      </c>
      <c r="N849" s="77">
        <f t="shared" si="2548"/>
        <v>0</v>
      </c>
      <c r="O849" s="77">
        <f t="shared" si="2549"/>
        <v>5.6775999999999997E-3</v>
      </c>
      <c r="P849" s="77">
        <f t="shared" si="2550"/>
        <v>4.7436902124819991E-4</v>
      </c>
      <c r="R849" t="s">
        <v>177</v>
      </c>
      <c r="S849" t="s">
        <v>179</v>
      </c>
      <c r="T849" s="197" t="str">
        <f t="shared" si="2605"/>
        <v>Autopilot_Dynamic_238</v>
      </c>
      <c r="U849">
        <v>238</v>
      </c>
      <c r="V849">
        <f>VLOOKUP($U849,'[2]AP Dynamic'!$Q$1:$T$542,2,FALSE)</f>
        <v>0.88888888888888884</v>
      </c>
      <c r="W849">
        <f>VLOOKUP($U849,'[2]AP Dynamic'!$Q$1:$T$542,3,FALSE)</f>
        <v>0.11111111111111116</v>
      </c>
      <c r="X849">
        <f>VLOOKUP($U849,'[2]AP Dynamic'!$Q$1:$T$542,4,FALSE)</f>
        <v>0</v>
      </c>
      <c r="Y849" s="77">
        <f t="shared" si="2606"/>
        <v>1</v>
      </c>
      <c r="Z849" s="77">
        <f t="shared" si="2612"/>
        <v>6.3149999999999984E-2</v>
      </c>
      <c r="AA849" s="77">
        <f t="shared" si="2613"/>
        <v>5.1160591879111372E-3</v>
      </c>
      <c r="AB849" s="79">
        <v>1</v>
      </c>
      <c r="AC849" s="77">
        <f t="shared" si="2551"/>
        <v>8.277777777777778E-3</v>
      </c>
      <c r="AD849" s="77">
        <f t="shared" ref="AD849" si="2748">1-(1-AC849)^(1/12)</f>
        <v>6.9244588451522482E-4</v>
      </c>
      <c r="AE849" s="77">
        <f t="shared" si="2553"/>
        <v>2.5000000000000001E-3</v>
      </c>
      <c r="AF849" s="77">
        <f t="shared" ref="AF849" si="2749">1-(1-AE849)^(1/12)</f>
        <v>2.0857243058891584E-4</v>
      </c>
      <c r="AH849" t="s">
        <v>175</v>
      </c>
      <c r="AI849" t="s">
        <v>179</v>
      </c>
      <c r="AJ849" s="197" t="str">
        <f t="shared" si="2540"/>
        <v>Lifecycle_Dynamic_238</v>
      </c>
      <c r="AK849">
        <v>238</v>
      </c>
      <c r="AL849">
        <f>VLOOKUP($U849,[2]Standard_Dynamic!$Q$1:$T$542,2,FALSE)</f>
        <v>0.88888888888888884</v>
      </c>
      <c r="AM849">
        <f>VLOOKUP($U849,[2]Standard_Dynamic!$Q$1:$T$542,3,FALSE)</f>
        <v>0.11111111111111116</v>
      </c>
      <c r="AN849">
        <f>VLOOKUP($U849,[2]Standard_Dynamic!$Q$1:$T$542,4,FALSE)</f>
        <v>0</v>
      </c>
      <c r="AO849" s="77">
        <f t="shared" si="2541"/>
        <v>1</v>
      </c>
      <c r="AP849" s="77">
        <f t="shared" si="2555"/>
        <v>6.3149999999999984E-2</v>
      </c>
      <c r="AQ849" s="77">
        <f t="shared" si="2542"/>
        <v>5.1160591879111372E-3</v>
      </c>
      <c r="AR849" s="79">
        <v>0</v>
      </c>
      <c r="AS849" s="77">
        <f t="shared" si="2556"/>
        <v>0</v>
      </c>
      <c r="AT849" s="77">
        <f t="shared" ref="AT849" si="2750">1-(1-AS849)^(1/12)</f>
        <v>0</v>
      </c>
      <c r="AU849" s="77">
        <f t="shared" si="2558"/>
        <v>2.5000000000000001E-3</v>
      </c>
      <c r="AV849" s="77">
        <f t="shared" ref="AV849" si="2751">1-(1-AU849)^(1/12)</f>
        <v>2.0857243058891584E-4</v>
      </c>
      <c r="AX849" t="s">
        <v>178</v>
      </c>
      <c r="AY849" t="s">
        <v>162</v>
      </c>
      <c r="AZ849" s="197" t="str">
        <f t="shared" si="2638"/>
        <v>DIS_Standard_238</v>
      </c>
      <c r="BA849">
        <v>238</v>
      </c>
      <c r="BB849">
        <f>VLOOKUP($BA849,'[2]Standard DIS'!$Q$1:$X$542,4,FALSE)</f>
        <v>0</v>
      </c>
      <c r="BF849">
        <f>VLOOKUP($BA849,'[2]Standard DIS'!$Q$1:$X$542,2,FALSE)</f>
        <v>0.88888888888888884</v>
      </c>
      <c r="BH849">
        <f>VLOOKUP($BA849,'[2]Standard DIS'!$Q$1:$X$542,3,FALSE)</f>
        <v>0.11111111111111116</v>
      </c>
      <c r="BI849" s="77">
        <f t="shared" si="2545"/>
        <v>1</v>
      </c>
      <c r="BJ849" s="77">
        <f t="shared" si="2546"/>
        <v>6.3149999999999984E-2</v>
      </c>
      <c r="BK849" s="77">
        <f t="shared" si="2639"/>
        <v>5.1160591879111372E-3</v>
      </c>
      <c r="BL849" s="79">
        <v>0</v>
      </c>
      <c r="BM849" s="77">
        <f t="shared" si="2560"/>
        <v>0</v>
      </c>
      <c r="BN849" s="77">
        <f t="shared" si="2561"/>
        <v>0</v>
      </c>
      <c r="BO849" s="77">
        <f t="shared" si="2562"/>
        <v>2.5000000000000001E-3</v>
      </c>
      <c r="BP849" s="77">
        <f t="shared" si="2563"/>
        <v>2.0809499864316017E-4</v>
      </c>
    </row>
    <row r="850" spans="1:68">
      <c r="A850" t="s">
        <v>175</v>
      </c>
      <c r="B850" t="s">
        <v>179</v>
      </c>
      <c r="C850" s="197" t="str">
        <f t="shared" si="2604"/>
        <v>Lifecycle_Dynamic_237</v>
      </c>
      <c r="D850">
        <v>237</v>
      </c>
      <c r="E850">
        <f>VLOOKUP($D850,'[2]LC Dynamic'!$Q$2:$U$542,2,FALSE)</f>
        <v>0</v>
      </c>
      <c r="F850">
        <f>VLOOKUP($D850,'[2]LC Dynamic'!$Q$2:$U$542,3,FALSE)</f>
        <v>0</v>
      </c>
      <c r="G850">
        <f>VLOOKUP($D850,'[2]LC Dynamic'!$Q$2:$U$542,4,FALSE)</f>
        <v>0.308</v>
      </c>
      <c r="H850">
        <f>VLOOKUP($D850,'[2]LC Dynamic'!$Q$2:$U$542,5,FALSE)</f>
        <v>0.69199999999999995</v>
      </c>
      <c r="I850" s="77">
        <f t="shared" si="2536"/>
        <v>1</v>
      </c>
      <c r="J850" s="77">
        <f t="shared" si="2537"/>
        <v>6.9728499999999985E-2</v>
      </c>
      <c r="K850" s="77">
        <f t="shared" si="2611"/>
        <v>5.632878498097682E-3</v>
      </c>
      <c r="L850" s="76">
        <v>0</v>
      </c>
      <c r="M850" s="77">
        <f t="shared" si="2547"/>
        <v>0</v>
      </c>
      <c r="N850" s="77">
        <f t="shared" si="2548"/>
        <v>0</v>
      </c>
      <c r="O850" s="77">
        <f t="shared" si="2549"/>
        <v>5.6775999999999997E-3</v>
      </c>
      <c r="P850" s="77">
        <f t="shared" si="2550"/>
        <v>4.7436902124819991E-4</v>
      </c>
      <c r="R850" t="s">
        <v>177</v>
      </c>
      <c r="S850" t="s">
        <v>179</v>
      </c>
      <c r="T850" s="197" t="str">
        <f t="shared" si="2605"/>
        <v>Autopilot_Dynamic_237</v>
      </c>
      <c r="U850">
        <v>237</v>
      </c>
      <c r="V850">
        <f>VLOOKUP($U850,'[2]AP Dynamic'!$Q$1:$T$542,2,FALSE)</f>
        <v>0.88888888888888884</v>
      </c>
      <c r="W850">
        <f>VLOOKUP($U850,'[2]AP Dynamic'!$Q$1:$T$542,3,FALSE)</f>
        <v>0.11111111111111116</v>
      </c>
      <c r="X850">
        <f>VLOOKUP($U850,'[2]AP Dynamic'!$Q$1:$T$542,4,FALSE)</f>
        <v>0</v>
      </c>
      <c r="Y850" s="77">
        <f t="shared" si="2606"/>
        <v>1</v>
      </c>
      <c r="Z850" s="77">
        <f t="shared" si="2612"/>
        <v>6.3149999999999984E-2</v>
      </c>
      <c r="AA850" s="77">
        <f t="shared" si="2613"/>
        <v>5.1160591879111372E-3</v>
      </c>
      <c r="AB850" s="79">
        <v>1</v>
      </c>
      <c r="AC850" s="77">
        <f t="shared" si="2551"/>
        <v>8.277777777777778E-3</v>
      </c>
      <c r="AD850" s="77">
        <f t="shared" ref="AD850" si="2752">1-(1-AC850)^(1/12)</f>
        <v>6.9244588451522482E-4</v>
      </c>
      <c r="AE850" s="77">
        <f t="shared" si="2553"/>
        <v>2.5000000000000001E-3</v>
      </c>
      <c r="AF850" s="77">
        <f t="shared" ref="AF850" si="2753">1-(1-AE850)^(1/12)</f>
        <v>2.0857243058891584E-4</v>
      </c>
      <c r="AH850" t="s">
        <v>175</v>
      </c>
      <c r="AI850" t="s">
        <v>179</v>
      </c>
      <c r="AJ850" s="197" t="str">
        <f t="shared" si="2540"/>
        <v>Lifecycle_Dynamic_237</v>
      </c>
      <c r="AK850">
        <v>237</v>
      </c>
      <c r="AL850">
        <f>VLOOKUP($U850,[2]Standard_Dynamic!$Q$1:$T$542,2,FALSE)</f>
        <v>0.88888888888888884</v>
      </c>
      <c r="AM850">
        <f>VLOOKUP($U850,[2]Standard_Dynamic!$Q$1:$T$542,3,FALSE)</f>
        <v>0.11111111111111116</v>
      </c>
      <c r="AN850">
        <f>VLOOKUP($U850,[2]Standard_Dynamic!$Q$1:$T$542,4,FALSE)</f>
        <v>0</v>
      </c>
      <c r="AO850" s="77">
        <f t="shared" si="2541"/>
        <v>1</v>
      </c>
      <c r="AP850" s="77">
        <f t="shared" si="2555"/>
        <v>6.3149999999999984E-2</v>
      </c>
      <c r="AQ850" s="77">
        <f t="shared" si="2542"/>
        <v>5.1160591879111372E-3</v>
      </c>
      <c r="AR850" s="79">
        <v>0</v>
      </c>
      <c r="AS850" s="77">
        <f t="shared" si="2556"/>
        <v>0</v>
      </c>
      <c r="AT850" s="77">
        <f t="shared" ref="AT850" si="2754">1-(1-AS850)^(1/12)</f>
        <v>0</v>
      </c>
      <c r="AU850" s="77">
        <f t="shared" si="2558"/>
        <v>2.5000000000000001E-3</v>
      </c>
      <c r="AV850" s="77">
        <f t="shared" ref="AV850" si="2755">1-(1-AU850)^(1/12)</f>
        <v>2.0857243058891584E-4</v>
      </c>
      <c r="AX850" t="s">
        <v>178</v>
      </c>
      <c r="AY850" t="s">
        <v>162</v>
      </c>
      <c r="AZ850" s="197" t="str">
        <f t="shared" si="2638"/>
        <v>DIS_Standard_237</v>
      </c>
      <c r="BA850">
        <v>237</v>
      </c>
      <c r="BB850">
        <f>VLOOKUP($BA850,'[2]Standard DIS'!$Q$1:$X$542,4,FALSE)</f>
        <v>0</v>
      </c>
      <c r="BF850">
        <f>VLOOKUP($BA850,'[2]Standard DIS'!$Q$1:$X$542,2,FALSE)</f>
        <v>0.88888888888888884</v>
      </c>
      <c r="BH850">
        <f>VLOOKUP($BA850,'[2]Standard DIS'!$Q$1:$X$542,3,FALSE)</f>
        <v>0.11111111111111116</v>
      </c>
      <c r="BI850" s="77">
        <f t="shared" si="2545"/>
        <v>1</v>
      </c>
      <c r="BJ850" s="77">
        <f t="shared" si="2546"/>
        <v>6.3149999999999984E-2</v>
      </c>
      <c r="BK850" s="77">
        <f t="shared" si="2639"/>
        <v>5.1160591879111372E-3</v>
      </c>
      <c r="BL850" s="79">
        <v>0</v>
      </c>
      <c r="BM850" s="77">
        <f t="shared" si="2560"/>
        <v>0</v>
      </c>
      <c r="BN850" s="77">
        <f t="shared" si="2561"/>
        <v>0</v>
      </c>
      <c r="BO850" s="77">
        <f t="shared" si="2562"/>
        <v>2.5000000000000001E-3</v>
      </c>
      <c r="BP850" s="77">
        <f t="shared" si="2563"/>
        <v>2.0809499864316017E-4</v>
      </c>
    </row>
    <row r="851" spans="1:68">
      <c r="A851" t="s">
        <v>175</v>
      </c>
      <c r="B851" t="s">
        <v>179</v>
      </c>
      <c r="C851" s="197" t="str">
        <f t="shared" si="2604"/>
        <v>Lifecycle_Dynamic_236</v>
      </c>
      <c r="D851">
        <v>236</v>
      </c>
      <c r="E851">
        <f>VLOOKUP($D851,'[2]LC Dynamic'!$Q$2:$U$542,2,FALSE)</f>
        <v>0</v>
      </c>
      <c r="F851">
        <f>VLOOKUP($D851,'[2]LC Dynamic'!$Q$2:$U$542,3,FALSE)</f>
        <v>0</v>
      </c>
      <c r="G851">
        <f>VLOOKUP($D851,'[2]LC Dynamic'!$Q$2:$U$542,4,FALSE)</f>
        <v>0.308</v>
      </c>
      <c r="H851">
        <f>VLOOKUP($D851,'[2]LC Dynamic'!$Q$2:$U$542,5,FALSE)</f>
        <v>0.69199999999999995</v>
      </c>
      <c r="I851" s="77">
        <f t="shared" si="2536"/>
        <v>1</v>
      </c>
      <c r="J851" s="77">
        <f t="shared" si="2537"/>
        <v>6.9728499999999985E-2</v>
      </c>
      <c r="K851" s="77">
        <f t="shared" si="2611"/>
        <v>5.632878498097682E-3</v>
      </c>
      <c r="L851" s="76">
        <v>0</v>
      </c>
      <c r="M851" s="77">
        <f t="shared" si="2547"/>
        <v>0</v>
      </c>
      <c r="N851" s="77">
        <f t="shared" si="2548"/>
        <v>0</v>
      </c>
      <c r="O851" s="77">
        <f t="shared" si="2549"/>
        <v>5.6775999999999997E-3</v>
      </c>
      <c r="P851" s="77">
        <f t="shared" si="2550"/>
        <v>4.7436902124819991E-4</v>
      </c>
      <c r="R851" t="s">
        <v>177</v>
      </c>
      <c r="S851" t="s">
        <v>179</v>
      </c>
      <c r="T851" s="197" t="str">
        <f t="shared" si="2605"/>
        <v>Autopilot_Dynamic_236</v>
      </c>
      <c r="U851">
        <v>236</v>
      </c>
      <c r="V851">
        <f>VLOOKUP($U851,'[2]AP Dynamic'!$Q$1:$T$542,2,FALSE)</f>
        <v>0.88888888888888884</v>
      </c>
      <c r="W851">
        <f>VLOOKUP($U851,'[2]AP Dynamic'!$Q$1:$T$542,3,FALSE)</f>
        <v>0.11111111111111116</v>
      </c>
      <c r="X851">
        <f>VLOOKUP($U851,'[2]AP Dynamic'!$Q$1:$T$542,4,FALSE)</f>
        <v>0</v>
      </c>
      <c r="Y851" s="77">
        <f t="shared" si="2606"/>
        <v>1</v>
      </c>
      <c r="Z851" s="77">
        <f t="shared" si="2612"/>
        <v>6.3149999999999984E-2</v>
      </c>
      <c r="AA851" s="77">
        <f t="shared" si="2613"/>
        <v>5.1160591879111372E-3</v>
      </c>
      <c r="AB851" s="79">
        <v>1</v>
      </c>
      <c r="AC851" s="77">
        <f t="shared" si="2551"/>
        <v>8.277777777777778E-3</v>
      </c>
      <c r="AD851" s="77">
        <f t="shared" ref="AD851" si="2756">1-(1-AC851)^(1/12)</f>
        <v>6.9244588451522482E-4</v>
      </c>
      <c r="AE851" s="77">
        <f t="shared" si="2553"/>
        <v>2.5000000000000001E-3</v>
      </c>
      <c r="AF851" s="77">
        <f t="shared" ref="AF851" si="2757">1-(1-AE851)^(1/12)</f>
        <v>2.0857243058891584E-4</v>
      </c>
      <c r="AH851" t="s">
        <v>175</v>
      </c>
      <c r="AI851" t="s">
        <v>179</v>
      </c>
      <c r="AJ851" s="197" t="str">
        <f t="shared" si="2540"/>
        <v>Lifecycle_Dynamic_236</v>
      </c>
      <c r="AK851">
        <v>236</v>
      </c>
      <c r="AL851">
        <f>VLOOKUP($U851,[2]Standard_Dynamic!$Q$1:$T$542,2,FALSE)</f>
        <v>0.88888888888888884</v>
      </c>
      <c r="AM851">
        <f>VLOOKUP($U851,[2]Standard_Dynamic!$Q$1:$T$542,3,FALSE)</f>
        <v>0.11111111111111116</v>
      </c>
      <c r="AN851">
        <f>VLOOKUP($U851,[2]Standard_Dynamic!$Q$1:$T$542,4,FALSE)</f>
        <v>0</v>
      </c>
      <c r="AO851" s="77">
        <f t="shared" si="2541"/>
        <v>1</v>
      </c>
      <c r="AP851" s="77">
        <f t="shared" si="2555"/>
        <v>6.3149999999999984E-2</v>
      </c>
      <c r="AQ851" s="77">
        <f t="shared" si="2542"/>
        <v>5.1160591879111372E-3</v>
      </c>
      <c r="AR851" s="79">
        <v>0</v>
      </c>
      <c r="AS851" s="77">
        <f t="shared" si="2556"/>
        <v>0</v>
      </c>
      <c r="AT851" s="77">
        <f t="shared" ref="AT851" si="2758">1-(1-AS851)^(1/12)</f>
        <v>0</v>
      </c>
      <c r="AU851" s="77">
        <f t="shared" si="2558"/>
        <v>2.5000000000000001E-3</v>
      </c>
      <c r="AV851" s="77">
        <f t="shared" ref="AV851" si="2759">1-(1-AU851)^(1/12)</f>
        <v>2.0857243058891584E-4</v>
      </c>
      <c r="AX851" t="s">
        <v>178</v>
      </c>
      <c r="AY851" t="s">
        <v>162</v>
      </c>
      <c r="AZ851" s="197" t="str">
        <f t="shared" si="2638"/>
        <v>DIS_Standard_236</v>
      </c>
      <c r="BA851">
        <v>236</v>
      </c>
      <c r="BB851">
        <f>VLOOKUP($BA851,'[2]Standard DIS'!$Q$1:$X$542,4,FALSE)</f>
        <v>0</v>
      </c>
      <c r="BF851">
        <f>VLOOKUP($BA851,'[2]Standard DIS'!$Q$1:$X$542,2,FALSE)</f>
        <v>0.88888888888888884</v>
      </c>
      <c r="BH851">
        <f>VLOOKUP($BA851,'[2]Standard DIS'!$Q$1:$X$542,3,FALSE)</f>
        <v>0.11111111111111116</v>
      </c>
      <c r="BI851" s="77">
        <f t="shared" si="2545"/>
        <v>1</v>
      </c>
      <c r="BJ851" s="77">
        <f t="shared" si="2546"/>
        <v>6.3149999999999984E-2</v>
      </c>
      <c r="BK851" s="77">
        <f t="shared" si="2639"/>
        <v>5.1160591879111372E-3</v>
      </c>
      <c r="BL851" s="79">
        <v>0</v>
      </c>
      <c r="BM851" s="77">
        <f t="shared" si="2560"/>
        <v>0</v>
      </c>
      <c r="BN851" s="77">
        <f t="shared" si="2561"/>
        <v>0</v>
      </c>
      <c r="BO851" s="77">
        <f t="shared" si="2562"/>
        <v>2.5000000000000001E-3</v>
      </c>
      <c r="BP851" s="77">
        <f t="shared" si="2563"/>
        <v>2.0809499864316017E-4</v>
      </c>
    </row>
    <row r="852" spans="1:68">
      <c r="A852" t="s">
        <v>175</v>
      </c>
      <c r="B852" t="s">
        <v>179</v>
      </c>
      <c r="C852" s="197" t="str">
        <f t="shared" si="2604"/>
        <v>Lifecycle_Dynamic_235</v>
      </c>
      <c r="D852">
        <v>235</v>
      </c>
      <c r="E852">
        <f>VLOOKUP($D852,'[2]LC Dynamic'!$Q$2:$U$542,2,FALSE)</f>
        <v>0</v>
      </c>
      <c r="F852">
        <f>VLOOKUP($D852,'[2]LC Dynamic'!$Q$2:$U$542,3,FALSE)</f>
        <v>0</v>
      </c>
      <c r="G852">
        <f>VLOOKUP($D852,'[2]LC Dynamic'!$Q$2:$U$542,4,FALSE)</f>
        <v>0.308</v>
      </c>
      <c r="H852">
        <f>VLOOKUP($D852,'[2]LC Dynamic'!$Q$2:$U$542,5,FALSE)</f>
        <v>0.69199999999999995</v>
      </c>
      <c r="I852" s="77">
        <f t="shared" si="2536"/>
        <v>1</v>
      </c>
      <c r="J852" s="77">
        <f t="shared" si="2537"/>
        <v>6.9728499999999985E-2</v>
      </c>
      <c r="K852" s="77">
        <f t="shared" si="2611"/>
        <v>5.632878498097682E-3</v>
      </c>
      <c r="L852" s="76">
        <v>0</v>
      </c>
      <c r="M852" s="77">
        <f t="shared" si="2547"/>
        <v>0</v>
      </c>
      <c r="N852" s="77">
        <f t="shared" si="2548"/>
        <v>0</v>
      </c>
      <c r="O852" s="77">
        <f t="shared" si="2549"/>
        <v>5.6775999999999997E-3</v>
      </c>
      <c r="P852" s="77">
        <f t="shared" si="2550"/>
        <v>4.7436902124819991E-4</v>
      </c>
      <c r="R852" t="s">
        <v>177</v>
      </c>
      <c r="S852" t="s">
        <v>179</v>
      </c>
      <c r="T852" s="197" t="str">
        <f t="shared" si="2605"/>
        <v>Autopilot_Dynamic_235</v>
      </c>
      <c r="U852">
        <v>235</v>
      </c>
      <c r="V852">
        <f>VLOOKUP($U852,'[2]AP Dynamic'!$Q$1:$T$542,2,FALSE)</f>
        <v>0.88888888888888884</v>
      </c>
      <c r="W852">
        <f>VLOOKUP($U852,'[2]AP Dynamic'!$Q$1:$T$542,3,FALSE)</f>
        <v>0.11111111111111116</v>
      </c>
      <c r="X852">
        <f>VLOOKUP($U852,'[2]AP Dynamic'!$Q$1:$T$542,4,FALSE)</f>
        <v>0</v>
      </c>
      <c r="Y852" s="77">
        <f t="shared" si="2606"/>
        <v>1</v>
      </c>
      <c r="Z852" s="77">
        <f t="shared" si="2612"/>
        <v>6.3149999999999984E-2</v>
      </c>
      <c r="AA852" s="77">
        <f t="shared" si="2613"/>
        <v>5.1160591879111372E-3</v>
      </c>
      <c r="AB852" s="79">
        <v>1</v>
      </c>
      <c r="AC852" s="77">
        <f t="shared" si="2551"/>
        <v>8.277777777777778E-3</v>
      </c>
      <c r="AD852" s="77">
        <f t="shared" ref="AD852" si="2760">1-(1-AC852)^(1/12)</f>
        <v>6.9244588451522482E-4</v>
      </c>
      <c r="AE852" s="77">
        <f t="shared" si="2553"/>
        <v>2.5000000000000001E-3</v>
      </c>
      <c r="AF852" s="77">
        <f t="shared" ref="AF852" si="2761">1-(1-AE852)^(1/12)</f>
        <v>2.0857243058891584E-4</v>
      </c>
      <c r="AH852" t="s">
        <v>175</v>
      </c>
      <c r="AI852" t="s">
        <v>179</v>
      </c>
      <c r="AJ852" s="197" t="str">
        <f t="shared" si="2540"/>
        <v>Lifecycle_Dynamic_235</v>
      </c>
      <c r="AK852">
        <v>235</v>
      </c>
      <c r="AL852">
        <f>VLOOKUP($U852,[2]Standard_Dynamic!$Q$1:$T$542,2,FALSE)</f>
        <v>0.88888888888888884</v>
      </c>
      <c r="AM852">
        <f>VLOOKUP($U852,[2]Standard_Dynamic!$Q$1:$T$542,3,FALSE)</f>
        <v>0.11111111111111116</v>
      </c>
      <c r="AN852">
        <f>VLOOKUP($U852,[2]Standard_Dynamic!$Q$1:$T$542,4,FALSE)</f>
        <v>0</v>
      </c>
      <c r="AO852" s="77">
        <f t="shared" si="2541"/>
        <v>1</v>
      </c>
      <c r="AP852" s="77">
        <f t="shared" si="2555"/>
        <v>6.3149999999999984E-2</v>
      </c>
      <c r="AQ852" s="77">
        <f t="shared" si="2542"/>
        <v>5.1160591879111372E-3</v>
      </c>
      <c r="AR852" s="79">
        <v>0</v>
      </c>
      <c r="AS852" s="77">
        <f t="shared" si="2556"/>
        <v>0</v>
      </c>
      <c r="AT852" s="77">
        <f t="shared" ref="AT852" si="2762">1-(1-AS852)^(1/12)</f>
        <v>0</v>
      </c>
      <c r="AU852" s="77">
        <f t="shared" si="2558"/>
        <v>2.5000000000000001E-3</v>
      </c>
      <c r="AV852" s="77">
        <f t="shared" ref="AV852" si="2763">1-(1-AU852)^(1/12)</f>
        <v>2.0857243058891584E-4</v>
      </c>
      <c r="AX852" t="s">
        <v>178</v>
      </c>
      <c r="AY852" t="s">
        <v>162</v>
      </c>
      <c r="AZ852" s="197" t="str">
        <f t="shared" si="2638"/>
        <v>DIS_Standard_235</v>
      </c>
      <c r="BA852">
        <v>235</v>
      </c>
      <c r="BB852">
        <f>VLOOKUP($BA852,'[2]Standard DIS'!$Q$1:$X$542,4,FALSE)</f>
        <v>0</v>
      </c>
      <c r="BF852">
        <f>VLOOKUP($BA852,'[2]Standard DIS'!$Q$1:$X$542,2,FALSE)</f>
        <v>0.88888888888888884</v>
      </c>
      <c r="BH852">
        <f>VLOOKUP($BA852,'[2]Standard DIS'!$Q$1:$X$542,3,FALSE)</f>
        <v>0.11111111111111116</v>
      </c>
      <c r="BI852" s="77">
        <f t="shared" si="2545"/>
        <v>1</v>
      </c>
      <c r="BJ852" s="77">
        <f t="shared" si="2546"/>
        <v>6.3149999999999984E-2</v>
      </c>
      <c r="BK852" s="77">
        <f t="shared" si="2639"/>
        <v>5.1160591879111372E-3</v>
      </c>
      <c r="BL852" s="79">
        <v>0</v>
      </c>
      <c r="BM852" s="77">
        <f t="shared" si="2560"/>
        <v>0</v>
      </c>
      <c r="BN852" s="77">
        <f t="shared" si="2561"/>
        <v>0</v>
      </c>
      <c r="BO852" s="77">
        <f t="shared" si="2562"/>
        <v>2.5000000000000001E-3</v>
      </c>
      <c r="BP852" s="77">
        <f t="shared" si="2563"/>
        <v>2.0809499864316017E-4</v>
      </c>
    </row>
    <row r="853" spans="1:68">
      <c r="A853" t="s">
        <v>175</v>
      </c>
      <c r="B853" t="s">
        <v>179</v>
      </c>
      <c r="C853" s="197" t="str">
        <f t="shared" si="2604"/>
        <v>Lifecycle_Dynamic_234</v>
      </c>
      <c r="D853">
        <v>234</v>
      </c>
      <c r="E853">
        <f>VLOOKUP($D853,'[2]LC Dynamic'!$Q$2:$U$542,2,FALSE)</f>
        <v>0</v>
      </c>
      <c r="F853">
        <f>VLOOKUP($D853,'[2]LC Dynamic'!$Q$2:$U$542,3,FALSE)</f>
        <v>0</v>
      </c>
      <c r="G853">
        <f>VLOOKUP($D853,'[2]LC Dynamic'!$Q$2:$U$542,4,FALSE)</f>
        <v>0.308</v>
      </c>
      <c r="H853">
        <f>VLOOKUP($D853,'[2]LC Dynamic'!$Q$2:$U$542,5,FALSE)</f>
        <v>0.69199999999999995</v>
      </c>
      <c r="I853" s="77">
        <f t="shared" si="2536"/>
        <v>1</v>
      </c>
      <c r="J853" s="77">
        <f t="shared" si="2537"/>
        <v>6.9728499999999985E-2</v>
      </c>
      <c r="K853" s="77">
        <f t="shared" si="2611"/>
        <v>5.632878498097682E-3</v>
      </c>
      <c r="L853" s="76">
        <v>0</v>
      </c>
      <c r="M853" s="77">
        <f t="shared" si="2547"/>
        <v>0</v>
      </c>
      <c r="N853" s="77">
        <f t="shared" si="2548"/>
        <v>0</v>
      </c>
      <c r="O853" s="77">
        <f t="shared" si="2549"/>
        <v>5.6775999999999997E-3</v>
      </c>
      <c r="P853" s="77">
        <f t="shared" si="2550"/>
        <v>4.7436902124819991E-4</v>
      </c>
      <c r="R853" t="s">
        <v>177</v>
      </c>
      <c r="S853" t="s">
        <v>179</v>
      </c>
      <c r="T853" s="197" t="str">
        <f t="shared" si="2605"/>
        <v>Autopilot_Dynamic_234</v>
      </c>
      <c r="U853">
        <v>234</v>
      </c>
      <c r="V853">
        <f>VLOOKUP($U853,'[2]AP Dynamic'!$Q$1:$T$542,2,FALSE)</f>
        <v>0.88888888888888884</v>
      </c>
      <c r="W853">
        <f>VLOOKUP($U853,'[2]AP Dynamic'!$Q$1:$T$542,3,FALSE)</f>
        <v>0.11111111111111116</v>
      </c>
      <c r="X853">
        <f>VLOOKUP($U853,'[2]AP Dynamic'!$Q$1:$T$542,4,FALSE)</f>
        <v>0</v>
      </c>
      <c r="Y853" s="77">
        <f t="shared" si="2606"/>
        <v>1</v>
      </c>
      <c r="Z853" s="77">
        <f t="shared" si="2612"/>
        <v>6.3149999999999984E-2</v>
      </c>
      <c r="AA853" s="77">
        <f t="shared" si="2613"/>
        <v>5.1160591879111372E-3</v>
      </c>
      <c r="AB853" s="79">
        <v>1</v>
      </c>
      <c r="AC853" s="77">
        <f t="shared" si="2551"/>
        <v>8.277777777777778E-3</v>
      </c>
      <c r="AD853" s="77">
        <f t="shared" ref="AD853" si="2764">1-(1-AC853)^(1/12)</f>
        <v>6.9244588451522482E-4</v>
      </c>
      <c r="AE853" s="77">
        <f t="shared" si="2553"/>
        <v>2.5000000000000001E-3</v>
      </c>
      <c r="AF853" s="77">
        <f t="shared" ref="AF853" si="2765">1-(1-AE853)^(1/12)</f>
        <v>2.0857243058891584E-4</v>
      </c>
      <c r="AH853" t="s">
        <v>175</v>
      </c>
      <c r="AI853" t="s">
        <v>179</v>
      </c>
      <c r="AJ853" s="197" t="str">
        <f t="shared" si="2540"/>
        <v>Lifecycle_Dynamic_234</v>
      </c>
      <c r="AK853">
        <v>234</v>
      </c>
      <c r="AL853">
        <f>VLOOKUP($U853,[2]Standard_Dynamic!$Q$1:$T$542,2,FALSE)</f>
        <v>0.88888888888888884</v>
      </c>
      <c r="AM853">
        <f>VLOOKUP($U853,[2]Standard_Dynamic!$Q$1:$T$542,3,FALSE)</f>
        <v>0.11111111111111116</v>
      </c>
      <c r="AN853">
        <f>VLOOKUP($U853,[2]Standard_Dynamic!$Q$1:$T$542,4,FALSE)</f>
        <v>0</v>
      </c>
      <c r="AO853" s="77">
        <f t="shared" si="2541"/>
        <v>1</v>
      </c>
      <c r="AP853" s="77">
        <f t="shared" si="2555"/>
        <v>6.3149999999999984E-2</v>
      </c>
      <c r="AQ853" s="77">
        <f t="shared" si="2542"/>
        <v>5.1160591879111372E-3</v>
      </c>
      <c r="AR853" s="79">
        <v>0</v>
      </c>
      <c r="AS853" s="77">
        <f t="shared" si="2556"/>
        <v>0</v>
      </c>
      <c r="AT853" s="77">
        <f t="shared" ref="AT853" si="2766">1-(1-AS853)^(1/12)</f>
        <v>0</v>
      </c>
      <c r="AU853" s="77">
        <f t="shared" si="2558"/>
        <v>2.5000000000000001E-3</v>
      </c>
      <c r="AV853" s="77">
        <f t="shared" ref="AV853" si="2767">1-(1-AU853)^(1/12)</f>
        <v>2.0857243058891584E-4</v>
      </c>
      <c r="AX853" t="s">
        <v>178</v>
      </c>
      <c r="AY853" t="s">
        <v>162</v>
      </c>
      <c r="AZ853" s="197" t="str">
        <f t="shared" si="2638"/>
        <v>DIS_Standard_234</v>
      </c>
      <c r="BA853">
        <v>234</v>
      </c>
      <c r="BB853">
        <f>VLOOKUP($BA853,'[2]Standard DIS'!$Q$1:$X$542,4,FALSE)</f>
        <v>0</v>
      </c>
      <c r="BF853">
        <f>VLOOKUP($BA853,'[2]Standard DIS'!$Q$1:$X$542,2,FALSE)</f>
        <v>0.88888888888888884</v>
      </c>
      <c r="BH853">
        <f>VLOOKUP($BA853,'[2]Standard DIS'!$Q$1:$X$542,3,FALSE)</f>
        <v>0.11111111111111116</v>
      </c>
      <c r="BI853" s="77">
        <f t="shared" si="2545"/>
        <v>1</v>
      </c>
      <c r="BJ853" s="77">
        <f t="shared" si="2546"/>
        <v>6.3149999999999984E-2</v>
      </c>
      <c r="BK853" s="77">
        <f t="shared" si="2639"/>
        <v>5.1160591879111372E-3</v>
      </c>
      <c r="BL853" s="79">
        <v>0</v>
      </c>
      <c r="BM853" s="77">
        <f t="shared" si="2560"/>
        <v>0</v>
      </c>
      <c r="BN853" s="77">
        <f t="shared" si="2561"/>
        <v>0</v>
      </c>
      <c r="BO853" s="77">
        <f t="shared" si="2562"/>
        <v>2.5000000000000001E-3</v>
      </c>
      <c r="BP853" s="77">
        <f t="shared" si="2563"/>
        <v>2.0809499864316017E-4</v>
      </c>
    </row>
    <row r="854" spans="1:68">
      <c r="A854" t="s">
        <v>175</v>
      </c>
      <c r="B854" t="s">
        <v>179</v>
      </c>
      <c r="C854" s="197" t="str">
        <f t="shared" si="2604"/>
        <v>Lifecycle_Dynamic_233</v>
      </c>
      <c r="D854">
        <v>233</v>
      </c>
      <c r="E854">
        <f>VLOOKUP($D854,'[2]LC Dynamic'!$Q$2:$U$542,2,FALSE)</f>
        <v>0</v>
      </c>
      <c r="F854">
        <f>VLOOKUP($D854,'[2]LC Dynamic'!$Q$2:$U$542,3,FALSE)</f>
        <v>0</v>
      </c>
      <c r="G854">
        <f>VLOOKUP($D854,'[2]LC Dynamic'!$Q$2:$U$542,4,FALSE)</f>
        <v>0.308</v>
      </c>
      <c r="H854">
        <f>VLOOKUP($D854,'[2]LC Dynamic'!$Q$2:$U$542,5,FALSE)</f>
        <v>0.69199999999999995</v>
      </c>
      <c r="I854" s="77">
        <f t="shared" si="2536"/>
        <v>1</v>
      </c>
      <c r="J854" s="77">
        <f t="shared" si="2537"/>
        <v>6.9728499999999985E-2</v>
      </c>
      <c r="K854" s="77">
        <f t="shared" si="2611"/>
        <v>5.632878498097682E-3</v>
      </c>
      <c r="L854" s="76">
        <v>0</v>
      </c>
      <c r="M854" s="77">
        <f t="shared" si="2547"/>
        <v>0</v>
      </c>
      <c r="N854" s="77">
        <f t="shared" si="2548"/>
        <v>0</v>
      </c>
      <c r="O854" s="77">
        <f t="shared" si="2549"/>
        <v>5.6775999999999997E-3</v>
      </c>
      <c r="P854" s="77">
        <f t="shared" si="2550"/>
        <v>4.7436902124819991E-4</v>
      </c>
      <c r="R854" t="s">
        <v>177</v>
      </c>
      <c r="S854" t="s">
        <v>179</v>
      </c>
      <c r="T854" s="197" t="str">
        <f t="shared" si="2605"/>
        <v>Autopilot_Dynamic_233</v>
      </c>
      <c r="U854">
        <v>233</v>
      </c>
      <c r="V854">
        <f>VLOOKUP($U854,'[2]AP Dynamic'!$Q$1:$T$542,2,FALSE)</f>
        <v>0.88888888888888884</v>
      </c>
      <c r="W854">
        <f>VLOOKUP($U854,'[2]AP Dynamic'!$Q$1:$T$542,3,FALSE)</f>
        <v>0.11111111111111116</v>
      </c>
      <c r="X854">
        <f>VLOOKUP($U854,'[2]AP Dynamic'!$Q$1:$T$542,4,FALSE)</f>
        <v>0</v>
      </c>
      <c r="Y854" s="77">
        <f t="shared" si="2606"/>
        <v>1</v>
      </c>
      <c r="Z854" s="77">
        <f t="shared" si="2612"/>
        <v>6.3149999999999984E-2</v>
      </c>
      <c r="AA854" s="77">
        <f t="shared" si="2613"/>
        <v>5.1160591879111372E-3</v>
      </c>
      <c r="AB854" s="79">
        <v>1</v>
      </c>
      <c r="AC854" s="77">
        <f t="shared" si="2551"/>
        <v>8.277777777777778E-3</v>
      </c>
      <c r="AD854" s="77">
        <f t="shared" ref="AD854" si="2768">1-(1-AC854)^(1/12)</f>
        <v>6.9244588451522482E-4</v>
      </c>
      <c r="AE854" s="77">
        <f t="shared" si="2553"/>
        <v>2.5000000000000001E-3</v>
      </c>
      <c r="AF854" s="77">
        <f t="shared" ref="AF854" si="2769">1-(1-AE854)^(1/12)</f>
        <v>2.0857243058891584E-4</v>
      </c>
      <c r="AH854" t="s">
        <v>175</v>
      </c>
      <c r="AI854" t="s">
        <v>179</v>
      </c>
      <c r="AJ854" s="197" t="str">
        <f t="shared" si="2540"/>
        <v>Lifecycle_Dynamic_233</v>
      </c>
      <c r="AK854">
        <v>233</v>
      </c>
      <c r="AL854">
        <f>VLOOKUP($U854,[2]Standard_Dynamic!$Q$1:$T$542,2,FALSE)</f>
        <v>0.88888888888888884</v>
      </c>
      <c r="AM854">
        <f>VLOOKUP($U854,[2]Standard_Dynamic!$Q$1:$T$542,3,FALSE)</f>
        <v>0.11111111111111116</v>
      </c>
      <c r="AN854">
        <f>VLOOKUP($U854,[2]Standard_Dynamic!$Q$1:$T$542,4,FALSE)</f>
        <v>0</v>
      </c>
      <c r="AO854" s="77">
        <f t="shared" si="2541"/>
        <v>1</v>
      </c>
      <c r="AP854" s="77">
        <f t="shared" si="2555"/>
        <v>6.3149999999999984E-2</v>
      </c>
      <c r="AQ854" s="77">
        <f t="shared" si="2542"/>
        <v>5.1160591879111372E-3</v>
      </c>
      <c r="AR854" s="79">
        <v>0</v>
      </c>
      <c r="AS854" s="77">
        <f t="shared" si="2556"/>
        <v>0</v>
      </c>
      <c r="AT854" s="77">
        <f t="shared" ref="AT854" si="2770">1-(1-AS854)^(1/12)</f>
        <v>0</v>
      </c>
      <c r="AU854" s="77">
        <f t="shared" si="2558"/>
        <v>2.5000000000000001E-3</v>
      </c>
      <c r="AV854" s="77">
        <f t="shared" ref="AV854" si="2771">1-(1-AU854)^(1/12)</f>
        <v>2.0857243058891584E-4</v>
      </c>
      <c r="AX854" t="s">
        <v>178</v>
      </c>
      <c r="AY854" t="s">
        <v>162</v>
      </c>
      <c r="AZ854" s="197" t="str">
        <f t="shared" si="2638"/>
        <v>DIS_Standard_233</v>
      </c>
      <c r="BA854">
        <v>233</v>
      </c>
      <c r="BB854">
        <f>VLOOKUP($BA854,'[2]Standard DIS'!$Q$1:$X$542,4,FALSE)</f>
        <v>0</v>
      </c>
      <c r="BF854">
        <f>VLOOKUP($BA854,'[2]Standard DIS'!$Q$1:$X$542,2,FALSE)</f>
        <v>0.88888888888888884</v>
      </c>
      <c r="BH854">
        <f>VLOOKUP($BA854,'[2]Standard DIS'!$Q$1:$X$542,3,FALSE)</f>
        <v>0.11111111111111116</v>
      </c>
      <c r="BI854" s="77">
        <f t="shared" si="2545"/>
        <v>1</v>
      </c>
      <c r="BJ854" s="77">
        <f t="shared" si="2546"/>
        <v>6.3149999999999984E-2</v>
      </c>
      <c r="BK854" s="77">
        <f t="shared" si="2639"/>
        <v>5.1160591879111372E-3</v>
      </c>
      <c r="BL854" s="79">
        <v>0</v>
      </c>
      <c r="BM854" s="77">
        <f t="shared" si="2560"/>
        <v>0</v>
      </c>
      <c r="BN854" s="77">
        <f t="shared" si="2561"/>
        <v>0</v>
      </c>
      <c r="BO854" s="77">
        <f t="shared" si="2562"/>
        <v>2.5000000000000001E-3</v>
      </c>
      <c r="BP854" s="77">
        <f t="shared" si="2563"/>
        <v>2.0809499864316017E-4</v>
      </c>
    </row>
    <row r="855" spans="1:68">
      <c r="A855" t="s">
        <v>175</v>
      </c>
      <c r="B855" t="s">
        <v>179</v>
      </c>
      <c r="C855" s="197" t="str">
        <f t="shared" si="2604"/>
        <v>Lifecycle_Dynamic_232</v>
      </c>
      <c r="D855">
        <v>232</v>
      </c>
      <c r="E855">
        <f>VLOOKUP($D855,'[2]LC Dynamic'!$Q$2:$U$542,2,FALSE)</f>
        <v>0</v>
      </c>
      <c r="F855">
        <f>VLOOKUP($D855,'[2]LC Dynamic'!$Q$2:$U$542,3,FALSE)</f>
        <v>0</v>
      </c>
      <c r="G855">
        <f>VLOOKUP($D855,'[2]LC Dynamic'!$Q$2:$U$542,4,FALSE)</f>
        <v>0.308</v>
      </c>
      <c r="H855">
        <f>VLOOKUP($D855,'[2]LC Dynamic'!$Q$2:$U$542,5,FALSE)</f>
        <v>0.69199999999999995</v>
      </c>
      <c r="I855" s="77">
        <f t="shared" si="2536"/>
        <v>1</v>
      </c>
      <c r="J855" s="77">
        <f t="shared" si="2537"/>
        <v>6.9728499999999985E-2</v>
      </c>
      <c r="K855" s="77">
        <f t="shared" si="2611"/>
        <v>5.632878498097682E-3</v>
      </c>
      <c r="L855" s="76">
        <v>0</v>
      </c>
      <c r="M855" s="77">
        <f t="shared" si="2547"/>
        <v>0</v>
      </c>
      <c r="N855" s="77">
        <f t="shared" si="2548"/>
        <v>0</v>
      </c>
      <c r="O855" s="77">
        <f t="shared" si="2549"/>
        <v>5.6775999999999997E-3</v>
      </c>
      <c r="P855" s="77">
        <f t="shared" si="2550"/>
        <v>4.7436902124819991E-4</v>
      </c>
      <c r="R855" t="s">
        <v>177</v>
      </c>
      <c r="S855" t="s">
        <v>179</v>
      </c>
      <c r="T855" s="197" t="str">
        <f t="shared" si="2605"/>
        <v>Autopilot_Dynamic_232</v>
      </c>
      <c r="U855">
        <v>232</v>
      </c>
      <c r="V855">
        <f>VLOOKUP($U855,'[2]AP Dynamic'!$Q$1:$T$542,2,FALSE)</f>
        <v>0.88888888888888884</v>
      </c>
      <c r="W855">
        <f>VLOOKUP($U855,'[2]AP Dynamic'!$Q$1:$T$542,3,FALSE)</f>
        <v>0.11111111111111116</v>
      </c>
      <c r="X855">
        <f>VLOOKUP($U855,'[2]AP Dynamic'!$Q$1:$T$542,4,FALSE)</f>
        <v>0</v>
      </c>
      <c r="Y855" s="77">
        <f t="shared" si="2606"/>
        <v>1</v>
      </c>
      <c r="Z855" s="77">
        <f t="shared" si="2612"/>
        <v>6.3149999999999984E-2</v>
      </c>
      <c r="AA855" s="77">
        <f t="shared" si="2613"/>
        <v>5.1160591879111372E-3</v>
      </c>
      <c r="AB855" s="79">
        <v>1</v>
      </c>
      <c r="AC855" s="77">
        <f t="shared" si="2551"/>
        <v>8.277777777777778E-3</v>
      </c>
      <c r="AD855" s="77">
        <f t="shared" ref="AD855" si="2772">1-(1-AC855)^(1/12)</f>
        <v>6.9244588451522482E-4</v>
      </c>
      <c r="AE855" s="77">
        <f t="shared" si="2553"/>
        <v>2.5000000000000001E-3</v>
      </c>
      <c r="AF855" s="77">
        <f t="shared" ref="AF855" si="2773">1-(1-AE855)^(1/12)</f>
        <v>2.0857243058891584E-4</v>
      </c>
      <c r="AH855" t="s">
        <v>175</v>
      </c>
      <c r="AI855" t="s">
        <v>179</v>
      </c>
      <c r="AJ855" s="197" t="str">
        <f t="shared" si="2540"/>
        <v>Lifecycle_Dynamic_232</v>
      </c>
      <c r="AK855">
        <v>232</v>
      </c>
      <c r="AL855">
        <f>VLOOKUP($U855,[2]Standard_Dynamic!$Q$1:$T$542,2,FALSE)</f>
        <v>0.88888888888888884</v>
      </c>
      <c r="AM855">
        <f>VLOOKUP($U855,[2]Standard_Dynamic!$Q$1:$T$542,3,FALSE)</f>
        <v>0.11111111111111116</v>
      </c>
      <c r="AN855">
        <f>VLOOKUP($U855,[2]Standard_Dynamic!$Q$1:$T$542,4,FALSE)</f>
        <v>0</v>
      </c>
      <c r="AO855" s="77">
        <f t="shared" si="2541"/>
        <v>1</v>
      </c>
      <c r="AP855" s="77">
        <f t="shared" si="2555"/>
        <v>6.3149999999999984E-2</v>
      </c>
      <c r="AQ855" s="77">
        <f t="shared" si="2542"/>
        <v>5.1160591879111372E-3</v>
      </c>
      <c r="AR855" s="79">
        <v>0</v>
      </c>
      <c r="AS855" s="77">
        <f t="shared" si="2556"/>
        <v>0</v>
      </c>
      <c r="AT855" s="77">
        <f t="shared" ref="AT855" si="2774">1-(1-AS855)^(1/12)</f>
        <v>0</v>
      </c>
      <c r="AU855" s="77">
        <f t="shared" si="2558"/>
        <v>2.5000000000000001E-3</v>
      </c>
      <c r="AV855" s="77">
        <f t="shared" ref="AV855" si="2775">1-(1-AU855)^(1/12)</f>
        <v>2.0857243058891584E-4</v>
      </c>
      <c r="AX855" t="s">
        <v>178</v>
      </c>
      <c r="AY855" t="s">
        <v>162</v>
      </c>
      <c r="AZ855" s="197" t="str">
        <f t="shared" si="2638"/>
        <v>DIS_Standard_232</v>
      </c>
      <c r="BA855">
        <v>232</v>
      </c>
      <c r="BB855">
        <f>VLOOKUP($BA855,'[2]Standard DIS'!$Q$1:$X$542,4,FALSE)</f>
        <v>0</v>
      </c>
      <c r="BF855">
        <f>VLOOKUP($BA855,'[2]Standard DIS'!$Q$1:$X$542,2,FALSE)</f>
        <v>0.88888888888888884</v>
      </c>
      <c r="BH855">
        <f>VLOOKUP($BA855,'[2]Standard DIS'!$Q$1:$X$542,3,FALSE)</f>
        <v>0.11111111111111116</v>
      </c>
      <c r="BI855" s="77">
        <f t="shared" si="2545"/>
        <v>1</v>
      </c>
      <c r="BJ855" s="77">
        <f t="shared" si="2546"/>
        <v>6.3149999999999984E-2</v>
      </c>
      <c r="BK855" s="77">
        <f t="shared" si="2639"/>
        <v>5.1160591879111372E-3</v>
      </c>
      <c r="BL855" s="79">
        <v>0</v>
      </c>
      <c r="BM855" s="77">
        <f t="shared" si="2560"/>
        <v>0</v>
      </c>
      <c r="BN855" s="77">
        <f t="shared" si="2561"/>
        <v>0</v>
      </c>
      <c r="BO855" s="77">
        <f t="shared" si="2562"/>
        <v>2.5000000000000001E-3</v>
      </c>
      <c r="BP855" s="77">
        <f t="shared" si="2563"/>
        <v>2.0809499864316017E-4</v>
      </c>
    </row>
    <row r="856" spans="1:68">
      <c r="A856" t="s">
        <v>175</v>
      </c>
      <c r="B856" t="s">
        <v>179</v>
      </c>
      <c r="C856" s="197" t="str">
        <f t="shared" si="2604"/>
        <v>Lifecycle_Dynamic_231</v>
      </c>
      <c r="D856">
        <v>231</v>
      </c>
      <c r="E856">
        <f>VLOOKUP($D856,'[2]LC Dynamic'!$Q$2:$U$542,2,FALSE)</f>
        <v>0</v>
      </c>
      <c r="F856">
        <f>VLOOKUP($D856,'[2]LC Dynamic'!$Q$2:$U$542,3,FALSE)</f>
        <v>0</v>
      </c>
      <c r="G856">
        <f>VLOOKUP($D856,'[2]LC Dynamic'!$Q$2:$U$542,4,FALSE)</f>
        <v>0.308</v>
      </c>
      <c r="H856">
        <f>VLOOKUP($D856,'[2]LC Dynamic'!$Q$2:$U$542,5,FALSE)</f>
        <v>0.69199999999999995</v>
      </c>
      <c r="I856" s="77">
        <f t="shared" si="2536"/>
        <v>1</v>
      </c>
      <c r="J856" s="77">
        <f t="shared" si="2537"/>
        <v>6.9728499999999985E-2</v>
      </c>
      <c r="K856" s="77">
        <f t="shared" si="2611"/>
        <v>5.632878498097682E-3</v>
      </c>
      <c r="L856" s="76">
        <v>0</v>
      </c>
      <c r="M856" s="77">
        <f t="shared" si="2547"/>
        <v>0</v>
      </c>
      <c r="N856" s="77">
        <f t="shared" si="2548"/>
        <v>0</v>
      </c>
      <c r="O856" s="77">
        <f t="shared" si="2549"/>
        <v>5.6775999999999997E-3</v>
      </c>
      <c r="P856" s="77">
        <f t="shared" si="2550"/>
        <v>4.7436902124819991E-4</v>
      </c>
      <c r="R856" t="s">
        <v>177</v>
      </c>
      <c r="S856" t="s">
        <v>179</v>
      </c>
      <c r="T856" s="197" t="str">
        <f t="shared" si="2605"/>
        <v>Autopilot_Dynamic_231</v>
      </c>
      <c r="U856">
        <v>231</v>
      </c>
      <c r="V856">
        <f>VLOOKUP($U856,'[2]AP Dynamic'!$Q$1:$T$542,2,FALSE)</f>
        <v>0.88888888888888884</v>
      </c>
      <c r="W856">
        <f>VLOOKUP($U856,'[2]AP Dynamic'!$Q$1:$T$542,3,FALSE)</f>
        <v>0.11111111111111116</v>
      </c>
      <c r="X856">
        <f>VLOOKUP($U856,'[2]AP Dynamic'!$Q$1:$T$542,4,FALSE)</f>
        <v>0</v>
      </c>
      <c r="Y856" s="77">
        <f t="shared" si="2606"/>
        <v>1</v>
      </c>
      <c r="Z856" s="77">
        <f t="shared" si="2612"/>
        <v>6.3149999999999984E-2</v>
      </c>
      <c r="AA856" s="77">
        <f t="shared" si="2613"/>
        <v>5.1160591879111372E-3</v>
      </c>
      <c r="AB856" s="79">
        <v>1</v>
      </c>
      <c r="AC856" s="77">
        <f t="shared" si="2551"/>
        <v>8.277777777777778E-3</v>
      </c>
      <c r="AD856" s="77">
        <f t="shared" ref="AD856" si="2776">1-(1-AC856)^(1/12)</f>
        <v>6.9244588451522482E-4</v>
      </c>
      <c r="AE856" s="77">
        <f t="shared" si="2553"/>
        <v>2.5000000000000001E-3</v>
      </c>
      <c r="AF856" s="77">
        <f t="shared" ref="AF856" si="2777">1-(1-AE856)^(1/12)</f>
        <v>2.0857243058891584E-4</v>
      </c>
      <c r="AH856" t="s">
        <v>175</v>
      </c>
      <c r="AI856" t="s">
        <v>179</v>
      </c>
      <c r="AJ856" s="197" t="str">
        <f t="shared" si="2540"/>
        <v>Lifecycle_Dynamic_231</v>
      </c>
      <c r="AK856">
        <v>231</v>
      </c>
      <c r="AL856">
        <f>VLOOKUP($U856,[2]Standard_Dynamic!$Q$1:$T$542,2,FALSE)</f>
        <v>0.88888888888888884</v>
      </c>
      <c r="AM856">
        <f>VLOOKUP($U856,[2]Standard_Dynamic!$Q$1:$T$542,3,FALSE)</f>
        <v>0.11111111111111116</v>
      </c>
      <c r="AN856">
        <f>VLOOKUP($U856,[2]Standard_Dynamic!$Q$1:$T$542,4,FALSE)</f>
        <v>0</v>
      </c>
      <c r="AO856" s="77">
        <f t="shared" si="2541"/>
        <v>1</v>
      </c>
      <c r="AP856" s="77">
        <f t="shared" si="2555"/>
        <v>6.3149999999999984E-2</v>
      </c>
      <c r="AQ856" s="77">
        <f t="shared" si="2542"/>
        <v>5.1160591879111372E-3</v>
      </c>
      <c r="AR856" s="79">
        <v>0</v>
      </c>
      <c r="AS856" s="77">
        <f t="shared" si="2556"/>
        <v>0</v>
      </c>
      <c r="AT856" s="77">
        <f t="shared" ref="AT856" si="2778">1-(1-AS856)^(1/12)</f>
        <v>0</v>
      </c>
      <c r="AU856" s="77">
        <f t="shared" si="2558"/>
        <v>2.5000000000000001E-3</v>
      </c>
      <c r="AV856" s="77">
        <f t="shared" ref="AV856" si="2779">1-(1-AU856)^(1/12)</f>
        <v>2.0857243058891584E-4</v>
      </c>
      <c r="AX856" t="s">
        <v>178</v>
      </c>
      <c r="AY856" t="s">
        <v>162</v>
      </c>
      <c r="AZ856" s="197" t="str">
        <f t="shared" si="2638"/>
        <v>DIS_Standard_231</v>
      </c>
      <c r="BA856">
        <v>231</v>
      </c>
      <c r="BB856">
        <f>VLOOKUP($BA856,'[2]Standard DIS'!$Q$1:$X$542,4,FALSE)</f>
        <v>0</v>
      </c>
      <c r="BF856">
        <f>VLOOKUP($BA856,'[2]Standard DIS'!$Q$1:$X$542,2,FALSE)</f>
        <v>0.88888888888888884</v>
      </c>
      <c r="BH856">
        <f>VLOOKUP($BA856,'[2]Standard DIS'!$Q$1:$X$542,3,FALSE)</f>
        <v>0.11111111111111116</v>
      </c>
      <c r="BI856" s="77">
        <f t="shared" si="2545"/>
        <v>1</v>
      </c>
      <c r="BJ856" s="77">
        <f t="shared" si="2546"/>
        <v>6.3149999999999984E-2</v>
      </c>
      <c r="BK856" s="77">
        <f t="shared" si="2639"/>
        <v>5.1160591879111372E-3</v>
      </c>
      <c r="BL856" s="79">
        <v>0</v>
      </c>
      <c r="BM856" s="77">
        <f t="shared" si="2560"/>
        <v>0</v>
      </c>
      <c r="BN856" s="77">
        <f t="shared" si="2561"/>
        <v>0</v>
      </c>
      <c r="BO856" s="77">
        <f t="shared" si="2562"/>
        <v>2.5000000000000001E-3</v>
      </c>
      <c r="BP856" s="77">
        <f t="shared" si="2563"/>
        <v>2.0809499864316017E-4</v>
      </c>
    </row>
    <row r="857" spans="1:68">
      <c r="A857" t="s">
        <v>175</v>
      </c>
      <c r="B857" t="s">
        <v>179</v>
      </c>
      <c r="C857" s="197" t="str">
        <f t="shared" si="2604"/>
        <v>Lifecycle_Dynamic_230</v>
      </c>
      <c r="D857">
        <v>230</v>
      </c>
      <c r="E857">
        <f>VLOOKUP($D857,'[2]LC Dynamic'!$Q$2:$U$542,2,FALSE)</f>
        <v>0</v>
      </c>
      <c r="F857">
        <f>VLOOKUP($D857,'[2]LC Dynamic'!$Q$2:$U$542,3,FALSE)</f>
        <v>0</v>
      </c>
      <c r="G857">
        <f>VLOOKUP($D857,'[2]LC Dynamic'!$Q$2:$U$542,4,FALSE)</f>
        <v>0.308</v>
      </c>
      <c r="H857">
        <f>VLOOKUP($D857,'[2]LC Dynamic'!$Q$2:$U$542,5,FALSE)</f>
        <v>0.69199999999999995</v>
      </c>
      <c r="I857" s="77">
        <f t="shared" si="2536"/>
        <v>1</v>
      </c>
      <c r="J857" s="77">
        <f t="shared" si="2537"/>
        <v>6.9728499999999985E-2</v>
      </c>
      <c r="K857" s="77">
        <f t="shared" si="2611"/>
        <v>5.632878498097682E-3</v>
      </c>
      <c r="L857" s="76">
        <v>0</v>
      </c>
      <c r="M857" s="77">
        <f t="shared" si="2547"/>
        <v>0</v>
      </c>
      <c r="N857" s="77">
        <f t="shared" si="2548"/>
        <v>0</v>
      </c>
      <c r="O857" s="77">
        <f t="shared" si="2549"/>
        <v>5.6775999999999997E-3</v>
      </c>
      <c r="P857" s="77">
        <f t="shared" si="2550"/>
        <v>4.7436902124819991E-4</v>
      </c>
      <c r="R857" t="s">
        <v>177</v>
      </c>
      <c r="S857" t="s">
        <v>179</v>
      </c>
      <c r="T857" s="197" t="str">
        <f t="shared" si="2605"/>
        <v>Autopilot_Dynamic_230</v>
      </c>
      <c r="U857">
        <v>230</v>
      </c>
      <c r="V857">
        <f>VLOOKUP($U857,'[2]AP Dynamic'!$Q$1:$T$542,2,FALSE)</f>
        <v>0.88888888888888884</v>
      </c>
      <c r="W857">
        <f>VLOOKUP($U857,'[2]AP Dynamic'!$Q$1:$T$542,3,FALSE)</f>
        <v>0.11111111111111116</v>
      </c>
      <c r="X857">
        <f>VLOOKUP($U857,'[2]AP Dynamic'!$Q$1:$T$542,4,FALSE)</f>
        <v>0</v>
      </c>
      <c r="Y857" s="77">
        <f t="shared" si="2606"/>
        <v>1</v>
      </c>
      <c r="Z857" s="77">
        <f t="shared" si="2612"/>
        <v>6.3149999999999984E-2</v>
      </c>
      <c r="AA857" s="77">
        <f t="shared" si="2613"/>
        <v>5.1160591879111372E-3</v>
      </c>
      <c r="AB857" s="79">
        <v>1</v>
      </c>
      <c r="AC857" s="77">
        <f t="shared" si="2551"/>
        <v>8.277777777777778E-3</v>
      </c>
      <c r="AD857" s="77">
        <f t="shared" ref="AD857" si="2780">1-(1-AC857)^(1/12)</f>
        <v>6.9244588451522482E-4</v>
      </c>
      <c r="AE857" s="77">
        <f t="shared" si="2553"/>
        <v>2.5000000000000001E-3</v>
      </c>
      <c r="AF857" s="77">
        <f t="shared" ref="AF857" si="2781">1-(1-AE857)^(1/12)</f>
        <v>2.0857243058891584E-4</v>
      </c>
      <c r="AH857" t="s">
        <v>175</v>
      </c>
      <c r="AI857" t="s">
        <v>179</v>
      </c>
      <c r="AJ857" s="197" t="str">
        <f t="shared" si="2540"/>
        <v>Lifecycle_Dynamic_230</v>
      </c>
      <c r="AK857">
        <v>230</v>
      </c>
      <c r="AL857">
        <f>VLOOKUP($U857,[2]Standard_Dynamic!$Q$1:$T$542,2,FALSE)</f>
        <v>0.88888888888888884</v>
      </c>
      <c r="AM857">
        <f>VLOOKUP($U857,[2]Standard_Dynamic!$Q$1:$T$542,3,FALSE)</f>
        <v>0.11111111111111116</v>
      </c>
      <c r="AN857">
        <f>VLOOKUP($U857,[2]Standard_Dynamic!$Q$1:$T$542,4,FALSE)</f>
        <v>0</v>
      </c>
      <c r="AO857" s="77">
        <f t="shared" si="2541"/>
        <v>1</v>
      </c>
      <c r="AP857" s="77">
        <f t="shared" si="2555"/>
        <v>6.3149999999999984E-2</v>
      </c>
      <c r="AQ857" s="77">
        <f t="shared" si="2542"/>
        <v>5.1160591879111372E-3</v>
      </c>
      <c r="AR857" s="79">
        <v>0</v>
      </c>
      <c r="AS857" s="77">
        <f t="shared" si="2556"/>
        <v>0</v>
      </c>
      <c r="AT857" s="77">
        <f t="shared" ref="AT857" si="2782">1-(1-AS857)^(1/12)</f>
        <v>0</v>
      </c>
      <c r="AU857" s="77">
        <f t="shared" si="2558"/>
        <v>2.5000000000000001E-3</v>
      </c>
      <c r="AV857" s="77">
        <f t="shared" ref="AV857" si="2783">1-(1-AU857)^(1/12)</f>
        <v>2.0857243058891584E-4</v>
      </c>
      <c r="AX857" t="s">
        <v>178</v>
      </c>
      <c r="AY857" t="s">
        <v>162</v>
      </c>
      <c r="AZ857" s="197" t="str">
        <f t="shared" si="2638"/>
        <v>DIS_Standard_230</v>
      </c>
      <c r="BA857">
        <v>230</v>
      </c>
      <c r="BB857">
        <f>VLOOKUP($BA857,'[2]Standard DIS'!$Q$1:$X$542,4,FALSE)</f>
        <v>0</v>
      </c>
      <c r="BF857">
        <f>VLOOKUP($BA857,'[2]Standard DIS'!$Q$1:$X$542,2,FALSE)</f>
        <v>0.88888888888888884</v>
      </c>
      <c r="BH857">
        <f>VLOOKUP($BA857,'[2]Standard DIS'!$Q$1:$X$542,3,FALSE)</f>
        <v>0.11111111111111116</v>
      </c>
      <c r="BI857" s="77">
        <f t="shared" si="2545"/>
        <v>1</v>
      </c>
      <c r="BJ857" s="77">
        <f t="shared" si="2546"/>
        <v>6.3149999999999984E-2</v>
      </c>
      <c r="BK857" s="77">
        <f t="shared" si="2639"/>
        <v>5.1160591879111372E-3</v>
      </c>
      <c r="BL857" s="79">
        <v>0</v>
      </c>
      <c r="BM857" s="77">
        <f t="shared" si="2560"/>
        <v>0</v>
      </c>
      <c r="BN857" s="77">
        <f t="shared" si="2561"/>
        <v>0</v>
      </c>
      <c r="BO857" s="77">
        <f t="shared" si="2562"/>
        <v>2.5000000000000001E-3</v>
      </c>
      <c r="BP857" s="77">
        <f t="shared" si="2563"/>
        <v>2.0809499864316017E-4</v>
      </c>
    </row>
    <row r="858" spans="1:68">
      <c r="A858" t="s">
        <v>175</v>
      </c>
      <c r="B858" t="s">
        <v>179</v>
      </c>
      <c r="C858" s="197" t="str">
        <f t="shared" si="2604"/>
        <v>Lifecycle_Dynamic_229</v>
      </c>
      <c r="D858">
        <v>229</v>
      </c>
      <c r="E858">
        <f>VLOOKUP($D858,'[2]LC Dynamic'!$Q$2:$U$542,2,FALSE)</f>
        <v>0</v>
      </c>
      <c r="F858">
        <f>VLOOKUP($D858,'[2]LC Dynamic'!$Q$2:$U$542,3,FALSE)</f>
        <v>0</v>
      </c>
      <c r="G858">
        <f>VLOOKUP($D858,'[2]LC Dynamic'!$Q$2:$U$542,4,FALSE)</f>
        <v>0.308</v>
      </c>
      <c r="H858">
        <f>VLOOKUP($D858,'[2]LC Dynamic'!$Q$2:$U$542,5,FALSE)</f>
        <v>0.69199999999999995</v>
      </c>
      <c r="I858" s="77">
        <f t="shared" si="2536"/>
        <v>1</v>
      </c>
      <c r="J858" s="77">
        <f t="shared" si="2537"/>
        <v>6.9728499999999985E-2</v>
      </c>
      <c r="K858" s="77">
        <f t="shared" si="2611"/>
        <v>5.632878498097682E-3</v>
      </c>
      <c r="L858" s="76">
        <v>0</v>
      </c>
      <c r="M858" s="77">
        <f t="shared" si="2547"/>
        <v>0</v>
      </c>
      <c r="N858" s="77">
        <f t="shared" si="2548"/>
        <v>0</v>
      </c>
      <c r="O858" s="77">
        <f t="shared" si="2549"/>
        <v>5.6775999999999997E-3</v>
      </c>
      <c r="P858" s="77">
        <f t="shared" si="2550"/>
        <v>4.7436902124819991E-4</v>
      </c>
      <c r="R858" t="s">
        <v>177</v>
      </c>
      <c r="S858" t="s">
        <v>179</v>
      </c>
      <c r="T858" s="197" t="str">
        <f t="shared" si="2605"/>
        <v>Autopilot_Dynamic_229</v>
      </c>
      <c r="U858">
        <v>229</v>
      </c>
      <c r="V858">
        <f>VLOOKUP($U858,'[2]AP Dynamic'!$Q$1:$T$542,2,FALSE)</f>
        <v>0.88888888888888884</v>
      </c>
      <c r="W858">
        <f>VLOOKUP($U858,'[2]AP Dynamic'!$Q$1:$T$542,3,FALSE)</f>
        <v>0.11111111111111116</v>
      </c>
      <c r="X858">
        <f>VLOOKUP($U858,'[2]AP Dynamic'!$Q$1:$T$542,4,FALSE)</f>
        <v>0</v>
      </c>
      <c r="Y858" s="77">
        <f t="shared" si="2606"/>
        <v>1</v>
      </c>
      <c r="Z858" s="77">
        <f t="shared" si="2612"/>
        <v>6.3149999999999984E-2</v>
      </c>
      <c r="AA858" s="77">
        <f t="shared" si="2613"/>
        <v>5.1160591879111372E-3</v>
      </c>
      <c r="AB858" s="79">
        <v>1</v>
      </c>
      <c r="AC858" s="77">
        <f t="shared" si="2551"/>
        <v>8.277777777777778E-3</v>
      </c>
      <c r="AD858" s="77">
        <f t="shared" ref="AD858" si="2784">1-(1-AC858)^(1/12)</f>
        <v>6.9244588451522482E-4</v>
      </c>
      <c r="AE858" s="77">
        <f t="shared" si="2553"/>
        <v>2.5000000000000001E-3</v>
      </c>
      <c r="AF858" s="77">
        <f t="shared" ref="AF858" si="2785">1-(1-AE858)^(1/12)</f>
        <v>2.0857243058891584E-4</v>
      </c>
      <c r="AH858" t="s">
        <v>175</v>
      </c>
      <c r="AI858" t="s">
        <v>179</v>
      </c>
      <c r="AJ858" s="197" t="str">
        <f t="shared" si="2540"/>
        <v>Lifecycle_Dynamic_229</v>
      </c>
      <c r="AK858">
        <v>229</v>
      </c>
      <c r="AL858">
        <f>VLOOKUP($U858,[2]Standard_Dynamic!$Q$1:$T$542,2,FALSE)</f>
        <v>0.88888888888888884</v>
      </c>
      <c r="AM858">
        <f>VLOOKUP($U858,[2]Standard_Dynamic!$Q$1:$T$542,3,FALSE)</f>
        <v>0.11111111111111116</v>
      </c>
      <c r="AN858">
        <f>VLOOKUP($U858,[2]Standard_Dynamic!$Q$1:$T$542,4,FALSE)</f>
        <v>0</v>
      </c>
      <c r="AO858" s="77">
        <f t="shared" si="2541"/>
        <v>1</v>
      </c>
      <c r="AP858" s="77">
        <f t="shared" si="2555"/>
        <v>6.3149999999999984E-2</v>
      </c>
      <c r="AQ858" s="77">
        <f t="shared" si="2542"/>
        <v>5.1160591879111372E-3</v>
      </c>
      <c r="AR858" s="79">
        <v>0</v>
      </c>
      <c r="AS858" s="77">
        <f t="shared" si="2556"/>
        <v>0</v>
      </c>
      <c r="AT858" s="77">
        <f t="shared" ref="AT858" si="2786">1-(1-AS858)^(1/12)</f>
        <v>0</v>
      </c>
      <c r="AU858" s="77">
        <f t="shared" si="2558"/>
        <v>2.5000000000000001E-3</v>
      </c>
      <c r="AV858" s="77">
        <f t="shared" ref="AV858" si="2787">1-(1-AU858)^(1/12)</f>
        <v>2.0857243058891584E-4</v>
      </c>
      <c r="AX858" t="s">
        <v>178</v>
      </c>
      <c r="AY858" t="s">
        <v>162</v>
      </c>
      <c r="AZ858" s="197" t="str">
        <f t="shared" si="2638"/>
        <v>DIS_Standard_229</v>
      </c>
      <c r="BA858">
        <v>229</v>
      </c>
      <c r="BB858">
        <f>VLOOKUP($BA858,'[2]Standard DIS'!$Q$1:$X$542,4,FALSE)</f>
        <v>0</v>
      </c>
      <c r="BF858">
        <f>VLOOKUP($BA858,'[2]Standard DIS'!$Q$1:$X$542,2,FALSE)</f>
        <v>0.88888888888888884</v>
      </c>
      <c r="BH858">
        <f>VLOOKUP($BA858,'[2]Standard DIS'!$Q$1:$X$542,3,FALSE)</f>
        <v>0.11111111111111116</v>
      </c>
      <c r="BI858" s="77">
        <f t="shared" si="2545"/>
        <v>1</v>
      </c>
      <c r="BJ858" s="77">
        <f t="shared" si="2546"/>
        <v>6.3149999999999984E-2</v>
      </c>
      <c r="BK858" s="77">
        <f t="shared" si="2639"/>
        <v>5.1160591879111372E-3</v>
      </c>
      <c r="BL858" s="79">
        <v>0</v>
      </c>
      <c r="BM858" s="77">
        <f t="shared" si="2560"/>
        <v>0</v>
      </c>
      <c r="BN858" s="77">
        <f t="shared" si="2561"/>
        <v>0</v>
      </c>
      <c r="BO858" s="77">
        <f t="shared" si="2562"/>
        <v>2.5000000000000001E-3</v>
      </c>
      <c r="BP858" s="77">
        <f t="shared" si="2563"/>
        <v>2.0809499864316017E-4</v>
      </c>
    </row>
    <row r="859" spans="1:68">
      <c r="A859" t="s">
        <v>175</v>
      </c>
      <c r="B859" t="s">
        <v>179</v>
      </c>
      <c r="C859" s="197" t="str">
        <f t="shared" si="2604"/>
        <v>Lifecycle_Dynamic_228</v>
      </c>
      <c r="D859">
        <v>228</v>
      </c>
      <c r="E859">
        <f>VLOOKUP($D859,'[2]LC Dynamic'!$Q$2:$U$542,2,FALSE)</f>
        <v>0</v>
      </c>
      <c r="F859">
        <f>VLOOKUP($D859,'[2]LC Dynamic'!$Q$2:$U$542,3,FALSE)</f>
        <v>0</v>
      </c>
      <c r="G859">
        <f>VLOOKUP($D859,'[2]LC Dynamic'!$Q$2:$U$542,4,FALSE)</f>
        <v>0.308</v>
      </c>
      <c r="H859">
        <f>VLOOKUP($D859,'[2]LC Dynamic'!$Q$2:$U$542,5,FALSE)</f>
        <v>0.69199999999999995</v>
      </c>
      <c r="I859" s="77">
        <f t="shared" si="2536"/>
        <v>1</v>
      </c>
      <c r="J859" s="77">
        <f t="shared" si="2537"/>
        <v>6.9728499999999985E-2</v>
      </c>
      <c r="K859" s="77">
        <f t="shared" si="2611"/>
        <v>5.632878498097682E-3</v>
      </c>
      <c r="L859" s="76">
        <v>0</v>
      </c>
      <c r="M859" s="77">
        <f t="shared" si="2547"/>
        <v>0</v>
      </c>
      <c r="N859" s="77">
        <f t="shared" si="2548"/>
        <v>0</v>
      </c>
      <c r="O859" s="77">
        <f t="shared" si="2549"/>
        <v>5.6775999999999997E-3</v>
      </c>
      <c r="P859" s="77">
        <f t="shared" si="2550"/>
        <v>4.7436902124819991E-4</v>
      </c>
      <c r="R859" t="s">
        <v>177</v>
      </c>
      <c r="S859" t="s">
        <v>179</v>
      </c>
      <c r="T859" s="197" t="str">
        <f t="shared" si="2605"/>
        <v>Autopilot_Dynamic_228</v>
      </c>
      <c r="U859">
        <v>228</v>
      </c>
      <c r="V859">
        <f>VLOOKUP($U859,'[2]AP Dynamic'!$Q$1:$T$542,2,FALSE)</f>
        <v>0.88888888888888884</v>
      </c>
      <c r="W859">
        <f>VLOOKUP($U859,'[2]AP Dynamic'!$Q$1:$T$542,3,FALSE)</f>
        <v>0.11111111111111116</v>
      </c>
      <c r="X859">
        <f>VLOOKUP($U859,'[2]AP Dynamic'!$Q$1:$T$542,4,FALSE)</f>
        <v>0</v>
      </c>
      <c r="Y859" s="77">
        <f t="shared" si="2606"/>
        <v>1</v>
      </c>
      <c r="Z859" s="77">
        <f t="shared" si="2612"/>
        <v>6.3149999999999984E-2</v>
      </c>
      <c r="AA859" s="77">
        <f t="shared" si="2613"/>
        <v>5.1160591879111372E-3</v>
      </c>
      <c r="AB859" s="79">
        <v>1</v>
      </c>
      <c r="AC859" s="77">
        <f t="shared" si="2551"/>
        <v>8.277777777777778E-3</v>
      </c>
      <c r="AD859" s="77">
        <f t="shared" ref="AD859" si="2788">1-(1-AC859)^(1/12)</f>
        <v>6.9244588451522482E-4</v>
      </c>
      <c r="AE859" s="77">
        <f t="shared" si="2553"/>
        <v>2.5000000000000001E-3</v>
      </c>
      <c r="AF859" s="77">
        <f t="shared" ref="AF859" si="2789">1-(1-AE859)^(1/12)</f>
        <v>2.0857243058891584E-4</v>
      </c>
      <c r="AH859" t="s">
        <v>175</v>
      </c>
      <c r="AI859" t="s">
        <v>179</v>
      </c>
      <c r="AJ859" s="197" t="str">
        <f t="shared" si="2540"/>
        <v>Lifecycle_Dynamic_228</v>
      </c>
      <c r="AK859">
        <v>228</v>
      </c>
      <c r="AL859">
        <f>VLOOKUP($U859,[2]Standard_Dynamic!$Q$1:$T$542,2,FALSE)</f>
        <v>0.88888888888888884</v>
      </c>
      <c r="AM859">
        <f>VLOOKUP($U859,[2]Standard_Dynamic!$Q$1:$T$542,3,FALSE)</f>
        <v>0.11111111111111116</v>
      </c>
      <c r="AN859">
        <f>VLOOKUP($U859,[2]Standard_Dynamic!$Q$1:$T$542,4,FALSE)</f>
        <v>0</v>
      </c>
      <c r="AO859" s="77">
        <f t="shared" si="2541"/>
        <v>1</v>
      </c>
      <c r="AP859" s="77">
        <f t="shared" si="2555"/>
        <v>6.3149999999999984E-2</v>
      </c>
      <c r="AQ859" s="77">
        <f t="shared" si="2542"/>
        <v>5.1160591879111372E-3</v>
      </c>
      <c r="AR859" s="79">
        <v>0</v>
      </c>
      <c r="AS859" s="77">
        <f t="shared" si="2556"/>
        <v>0</v>
      </c>
      <c r="AT859" s="77">
        <f t="shared" ref="AT859" si="2790">1-(1-AS859)^(1/12)</f>
        <v>0</v>
      </c>
      <c r="AU859" s="77">
        <f t="shared" si="2558"/>
        <v>2.5000000000000001E-3</v>
      </c>
      <c r="AV859" s="77">
        <f t="shared" ref="AV859" si="2791">1-(1-AU859)^(1/12)</f>
        <v>2.0857243058891584E-4</v>
      </c>
      <c r="AX859" t="s">
        <v>178</v>
      </c>
      <c r="AY859" t="s">
        <v>162</v>
      </c>
      <c r="AZ859" s="197" t="str">
        <f t="shared" si="2638"/>
        <v>DIS_Standard_228</v>
      </c>
      <c r="BA859">
        <v>228</v>
      </c>
      <c r="BB859">
        <f>VLOOKUP($BA859,'[2]Standard DIS'!$Q$1:$X$542,4,FALSE)</f>
        <v>0</v>
      </c>
      <c r="BF859">
        <f>VLOOKUP($BA859,'[2]Standard DIS'!$Q$1:$X$542,2,FALSE)</f>
        <v>0.88888888888888884</v>
      </c>
      <c r="BH859">
        <f>VLOOKUP($BA859,'[2]Standard DIS'!$Q$1:$X$542,3,FALSE)</f>
        <v>0.11111111111111116</v>
      </c>
      <c r="BI859" s="77">
        <f t="shared" si="2545"/>
        <v>1</v>
      </c>
      <c r="BJ859" s="77">
        <f t="shared" si="2546"/>
        <v>6.3149999999999984E-2</v>
      </c>
      <c r="BK859" s="77">
        <f t="shared" si="2639"/>
        <v>5.1160591879111372E-3</v>
      </c>
      <c r="BL859" s="79">
        <v>0</v>
      </c>
      <c r="BM859" s="77">
        <f t="shared" si="2560"/>
        <v>0</v>
      </c>
      <c r="BN859" s="77">
        <f t="shared" si="2561"/>
        <v>0</v>
      </c>
      <c r="BO859" s="77">
        <f t="shared" si="2562"/>
        <v>2.5000000000000001E-3</v>
      </c>
      <c r="BP859" s="77">
        <f t="shared" si="2563"/>
        <v>2.0809499864316017E-4</v>
      </c>
    </row>
    <row r="860" spans="1:68">
      <c r="A860" t="s">
        <v>175</v>
      </c>
      <c r="B860" t="s">
        <v>179</v>
      </c>
      <c r="C860" s="197" t="str">
        <f t="shared" si="2604"/>
        <v>Lifecycle_Dynamic_227</v>
      </c>
      <c r="D860">
        <v>227</v>
      </c>
      <c r="E860">
        <f>VLOOKUP($D860,'[2]LC Dynamic'!$Q$2:$U$542,2,FALSE)</f>
        <v>0</v>
      </c>
      <c r="F860">
        <f>VLOOKUP($D860,'[2]LC Dynamic'!$Q$2:$U$542,3,FALSE)</f>
        <v>0</v>
      </c>
      <c r="G860">
        <f>VLOOKUP($D860,'[2]LC Dynamic'!$Q$2:$U$542,4,FALSE)</f>
        <v>0.308</v>
      </c>
      <c r="H860">
        <f>VLOOKUP($D860,'[2]LC Dynamic'!$Q$2:$U$542,5,FALSE)</f>
        <v>0.69199999999999995</v>
      </c>
      <c r="I860" s="77">
        <f t="shared" si="2536"/>
        <v>1</v>
      </c>
      <c r="J860" s="77">
        <f t="shared" si="2537"/>
        <v>6.9728499999999985E-2</v>
      </c>
      <c r="K860" s="77">
        <f t="shared" si="2611"/>
        <v>5.632878498097682E-3</v>
      </c>
      <c r="L860" s="76">
        <v>0</v>
      </c>
      <c r="M860" s="77">
        <f t="shared" si="2547"/>
        <v>0</v>
      </c>
      <c r="N860" s="77">
        <f t="shared" si="2548"/>
        <v>0</v>
      </c>
      <c r="O860" s="77">
        <f t="shared" si="2549"/>
        <v>5.6775999999999997E-3</v>
      </c>
      <c r="P860" s="77">
        <f t="shared" si="2550"/>
        <v>4.7436902124819991E-4</v>
      </c>
      <c r="R860" t="s">
        <v>177</v>
      </c>
      <c r="S860" t="s">
        <v>179</v>
      </c>
      <c r="T860" s="197" t="str">
        <f t="shared" si="2605"/>
        <v>Autopilot_Dynamic_227</v>
      </c>
      <c r="U860">
        <v>227</v>
      </c>
      <c r="V860">
        <f>VLOOKUP($U860,'[2]AP Dynamic'!$Q$1:$T$542,2,FALSE)</f>
        <v>0.88888888888888884</v>
      </c>
      <c r="W860">
        <f>VLOOKUP($U860,'[2]AP Dynamic'!$Q$1:$T$542,3,FALSE)</f>
        <v>0.11111111111111116</v>
      </c>
      <c r="X860">
        <f>VLOOKUP($U860,'[2]AP Dynamic'!$Q$1:$T$542,4,FALSE)</f>
        <v>0</v>
      </c>
      <c r="Y860" s="77">
        <f t="shared" si="2606"/>
        <v>1</v>
      </c>
      <c r="Z860" s="77">
        <f t="shared" si="2612"/>
        <v>6.3149999999999984E-2</v>
      </c>
      <c r="AA860" s="77">
        <f t="shared" si="2613"/>
        <v>5.1160591879111372E-3</v>
      </c>
      <c r="AB860" s="79">
        <v>1</v>
      </c>
      <c r="AC860" s="77">
        <f t="shared" si="2551"/>
        <v>8.277777777777778E-3</v>
      </c>
      <c r="AD860" s="77">
        <f t="shared" ref="AD860" si="2792">1-(1-AC860)^(1/12)</f>
        <v>6.9244588451522482E-4</v>
      </c>
      <c r="AE860" s="77">
        <f t="shared" si="2553"/>
        <v>2.5000000000000001E-3</v>
      </c>
      <c r="AF860" s="77">
        <f t="shared" ref="AF860" si="2793">1-(1-AE860)^(1/12)</f>
        <v>2.0857243058891584E-4</v>
      </c>
      <c r="AH860" t="s">
        <v>175</v>
      </c>
      <c r="AI860" t="s">
        <v>179</v>
      </c>
      <c r="AJ860" s="197" t="str">
        <f t="shared" si="2540"/>
        <v>Lifecycle_Dynamic_227</v>
      </c>
      <c r="AK860">
        <v>227</v>
      </c>
      <c r="AL860">
        <f>VLOOKUP($U860,[2]Standard_Dynamic!$Q$1:$T$542,2,FALSE)</f>
        <v>0.88888888888888884</v>
      </c>
      <c r="AM860">
        <f>VLOOKUP($U860,[2]Standard_Dynamic!$Q$1:$T$542,3,FALSE)</f>
        <v>0.11111111111111116</v>
      </c>
      <c r="AN860">
        <f>VLOOKUP($U860,[2]Standard_Dynamic!$Q$1:$T$542,4,FALSE)</f>
        <v>0</v>
      </c>
      <c r="AO860" s="77">
        <f t="shared" si="2541"/>
        <v>1</v>
      </c>
      <c r="AP860" s="77">
        <f t="shared" si="2555"/>
        <v>6.3149999999999984E-2</v>
      </c>
      <c r="AQ860" s="77">
        <f t="shared" si="2542"/>
        <v>5.1160591879111372E-3</v>
      </c>
      <c r="AR860" s="79">
        <v>0</v>
      </c>
      <c r="AS860" s="77">
        <f t="shared" si="2556"/>
        <v>0</v>
      </c>
      <c r="AT860" s="77">
        <f t="shared" ref="AT860" si="2794">1-(1-AS860)^(1/12)</f>
        <v>0</v>
      </c>
      <c r="AU860" s="77">
        <f t="shared" si="2558"/>
        <v>2.5000000000000001E-3</v>
      </c>
      <c r="AV860" s="77">
        <f t="shared" ref="AV860" si="2795">1-(1-AU860)^(1/12)</f>
        <v>2.0857243058891584E-4</v>
      </c>
      <c r="AX860" t="s">
        <v>178</v>
      </c>
      <c r="AY860" t="s">
        <v>162</v>
      </c>
      <c r="AZ860" s="197" t="str">
        <f t="shared" si="2638"/>
        <v>DIS_Standard_227</v>
      </c>
      <c r="BA860">
        <v>227</v>
      </c>
      <c r="BB860">
        <f>VLOOKUP($BA860,'[2]Standard DIS'!$Q$1:$X$542,4,FALSE)</f>
        <v>0</v>
      </c>
      <c r="BF860">
        <f>VLOOKUP($BA860,'[2]Standard DIS'!$Q$1:$X$542,2,FALSE)</f>
        <v>0.88888888888888884</v>
      </c>
      <c r="BH860">
        <f>VLOOKUP($BA860,'[2]Standard DIS'!$Q$1:$X$542,3,FALSE)</f>
        <v>0.11111111111111116</v>
      </c>
      <c r="BI860" s="77">
        <f t="shared" si="2545"/>
        <v>1</v>
      </c>
      <c r="BJ860" s="77">
        <f t="shared" si="2546"/>
        <v>6.3149999999999984E-2</v>
      </c>
      <c r="BK860" s="77">
        <f t="shared" si="2639"/>
        <v>5.1160591879111372E-3</v>
      </c>
      <c r="BL860" s="79">
        <v>0</v>
      </c>
      <c r="BM860" s="77">
        <f t="shared" si="2560"/>
        <v>0</v>
      </c>
      <c r="BN860" s="77">
        <f t="shared" si="2561"/>
        <v>0</v>
      </c>
      <c r="BO860" s="77">
        <f t="shared" si="2562"/>
        <v>2.5000000000000001E-3</v>
      </c>
      <c r="BP860" s="77">
        <f t="shared" si="2563"/>
        <v>2.0809499864316017E-4</v>
      </c>
    </row>
    <row r="861" spans="1:68">
      <c r="A861" t="s">
        <v>175</v>
      </c>
      <c r="B861" t="s">
        <v>179</v>
      </c>
      <c r="C861" s="197" t="str">
        <f t="shared" si="2604"/>
        <v>Lifecycle_Dynamic_226</v>
      </c>
      <c r="D861">
        <v>226</v>
      </c>
      <c r="E861">
        <f>VLOOKUP($D861,'[2]LC Dynamic'!$Q$2:$U$542,2,FALSE)</f>
        <v>0</v>
      </c>
      <c r="F861">
        <f>VLOOKUP($D861,'[2]LC Dynamic'!$Q$2:$U$542,3,FALSE)</f>
        <v>0</v>
      </c>
      <c r="G861">
        <f>VLOOKUP($D861,'[2]LC Dynamic'!$Q$2:$U$542,4,FALSE)</f>
        <v>0.308</v>
      </c>
      <c r="H861">
        <f>VLOOKUP($D861,'[2]LC Dynamic'!$Q$2:$U$542,5,FALSE)</f>
        <v>0.69199999999999995</v>
      </c>
      <c r="I861" s="77">
        <f t="shared" si="2536"/>
        <v>1</v>
      </c>
      <c r="J861" s="77">
        <f t="shared" si="2537"/>
        <v>6.9728499999999985E-2</v>
      </c>
      <c r="K861" s="77">
        <f t="shared" si="2611"/>
        <v>5.632878498097682E-3</v>
      </c>
      <c r="L861" s="76">
        <v>0</v>
      </c>
      <c r="M861" s="77">
        <f t="shared" si="2547"/>
        <v>0</v>
      </c>
      <c r="N861" s="77">
        <f t="shared" si="2548"/>
        <v>0</v>
      </c>
      <c r="O861" s="77">
        <f t="shared" si="2549"/>
        <v>5.6775999999999997E-3</v>
      </c>
      <c r="P861" s="77">
        <f t="shared" si="2550"/>
        <v>4.7436902124819991E-4</v>
      </c>
      <c r="R861" t="s">
        <v>177</v>
      </c>
      <c r="S861" t="s">
        <v>179</v>
      </c>
      <c r="T861" s="197" t="str">
        <f t="shared" si="2605"/>
        <v>Autopilot_Dynamic_226</v>
      </c>
      <c r="U861">
        <v>226</v>
      </c>
      <c r="V861">
        <f>VLOOKUP($U861,'[2]AP Dynamic'!$Q$1:$T$542,2,FALSE)</f>
        <v>0.88888888888888884</v>
      </c>
      <c r="W861">
        <f>VLOOKUP($U861,'[2]AP Dynamic'!$Q$1:$T$542,3,FALSE)</f>
        <v>0.11111111111111116</v>
      </c>
      <c r="X861">
        <f>VLOOKUP($U861,'[2]AP Dynamic'!$Q$1:$T$542,4,FALSE)</f>
        <v>0</v>
      </c>
      <c r="Y861" s="77">
        <f t="shared" si="2606"/>
        <v>1</v>
      </c>
      <c r="Z861" s="77">
        <f t="shared" si="2612"/>
        <v>6.3149999999999984E-2</v>
      </c>
      <c r="AA861" s="77">
        <f t="shared" si="2613"/>
        <v>5.1160591879111372E-3</v>
      </c>
      <c r="AB861" s="79">
        <v>1</v>
      </c>
      <c r="AC861" s="77">
        <f t="shared" si="2551"/>
        <v>8.277777777777778E-3</v>
      </c>
      <c r="AD861" s="77">
        <f t="shared" ref="AD861" si="2796">1-(1-AC861)^(1/12)</f>
        <v>6.9244588451522482E-4</v>
      </c>
      <c r="AE861" s="77">
        <f t="shared" si="2553"/>
        <v>2.5000000000000001E-3</v>
      </c>
      <c r="AF861" s="77">
        <f t="shared" ref="AF861" si="2797">1-(1-AE861)^(1/12)</f>
        <v>2.0857243058891584E-4</v>
      </c>
      <c r="AH861" t="s">
        <v>175</v>
      </c>
      <c r="AI861" t="s">
        <v>179</v>
      </c>
      <c r="AJ861" s="197" t="str">
        <f t="shared" si="2540"/>
        <v>Lifecycle_Dynamic_226</v>
      </c>
      <c r="AK861">
        <v>226</v>
      </c>
      <c r="AL861">
        <f>VLOOKUP($U861,[2]Standard_Dynamic!$Q$1:$T$542,2,FALSE)</f>
        <v>0.88888888888888884</v>
      </c>
      <c r="AM861">
        <f>VLOOKUP($U861,[2]Standard_Dynamic!$Q$1:$T$542,3,FALSE)</f>
        <v>0.11111111111111116</v>
      </c>
      <c r="AN861">
        <f>VLOOKUP($U861,[2]Standard_Dynamic!$Q$1:$T$542,4,FALSE)</f>
        <v>0</v>
      </c>
      <c r="AO861" s="77">
        <f t="shared" si="2541"/>
        <v>1</v>
      </c>
      <c r="AP861" s="77">
        <f t="shared" si="2555"/>
        <v>6.3149999999999984E-2</v>
      </c>
      <c r="AQ861" s="77">
        <f t="shared" si="2542"/>
        <v>5.1160591879111372E-3</v>
      </c>
      <c r="AR861" s="79">
        <v>0</v>
      </c>
      <c r="AS861" s="77">
        <f t="shared" si="2556"/>
        <v>0</v>
      </c>
      <c r="AT861" s="77">
        <f t="shared" ref="AT861" si="2798">1-(1-AS861)^(1/12)</f>
        <v>0</v>
      </c>
      <c r="AU861" s="77">
        <f t="shared" si="2558"/>
        <v>2.5000000000000001E-3</v>
      </c>
      <c r="AV861" s="77">
        <f t="shared" ref="AV861" si="2799">1-(1-AU861)^(1/12)</f>
        <v>2.0857243058891584E-4</v>
      </c>
      <c r="AX861" t="s">
        <v>178</v>
      </c>
      <c r="AY861" t="s">
        <v>162</v>
      </c>
      <c r="AZ861" s="197" t="str">
        <f t="shared" si="2638"/>
        <v>DIS_Standard_226</v>
      </c>
      <c r="BA861">
        <v>226</v>
      </c>
      <c r="BB861">
        <f>VLOOKUP($BA861,'[2]Standard DIS'!$Q$1:$X$542,4,FALSE)</f>
        <v>0</v>
      </c>
      <c r="BF861">
        <f>VLOOKUP($BA861,'[2]Standard DIS'!$Q$1:$X$542,2,FALSE)</f>
        <v>0.88888888888888884</v>
      </c>
      <c r="BH861">
        <f>VLOOKUP($BA861,'[2]Standard DIS'!$Q$1:$X$542,3,FALSE)</f>
        <v>0.11111111111111116</v>
      </c>
      <c r="BI861" s="77">
        <f t="shared" si="2545"/>
        <v>1</v>
      </c>
      <c r="BJ861" s="77">
        <f t="shared" si="2546"/>
        <v>6.3149999999999984E-2</v>
      </c>
      <c r="BK861" s="77">
        <f t="shared" si="2639"/>
        <v>5.1160591879111372E-3</v>
      </c>
      <c r="BL861" s="79">
        <v>0</v>
      </c>
      <c r="BM861" s="77">
        <f t="shared" si="2560"/>
        <v>0</v>
      </c>
      <c r="BN861" s="77">
        <f t="shared" si="2561"/>
        <v>0</v>
      </c>
      <c r="BO861" s="77">
        <f t="shared" si="2562"/>
        <v>2.5000000000000001E-3</v>
      </c>
      <c r="BP861" s="77">
        <f t="shared" si="2563"/>
        <v>2.0809499864316017E-4</v>
      </c>
    </row>
    <row r="862" spans="1:68">
      <c r="A862" t="s">
        <v>175</v>
      </c>
      <c r="B862" t="s">
        <v>179</v>
      </c>
      <c r="C862" s="197" t="str">
        <f t="shared" si="2604"/>
        <v>Lifecycle_Dynamic_225</v>
      </c>
      <c r="D862">
        <v>225</v>
      </c>
      <c r="E862">
        <f>VLOOKUP($D862,'[2]LC Dynamic'!$Q$2:$U$542,2,FALSE)</f>
        <v>0</v>
      </c>
      <c r="F862">
        <f>VLOOKUP($D862,'[2]LC Dynamic'!$Q$2:$U$542,3,FALSE)</f>
        <v>0</v>
      </c>
      <c r="G862">
        <f>VLOOKUP($D862,'[2]LC Dynamic'!$Q$2:$U$542,4,FALSE)</f>
        <v>0.308</v>
      </c>
      <c r="H862">
        <f>VLOOKUP($D862,'[2]LC Dynamic'!$Q$2:$U$542,5,FALSE)</f>
        <v>0.69199999999999995</v>
      </c>
      <c r="I862" s="77">
        <f t="shared" si="2536"/>
        <v>1</v>
      </c>
      <c r="J862" s="77">
        <f t="shared" si="2537"/>
        <v>6.9728499999999985E-2</v>
      </c>
      <c r="K862" s="77">
        <f t="shared" si="2611"/>
        <v>5.632878498097682E-3</v>
      </c>
      <c r="L862" s="76">
        <v>0</v>
      </c>
      <c r="M862" s="77">
        <f t="shared" si="2547"/>
        <v>0</v>
      </c>
      <c r="N862" s="77">
        <f t="shared" si="2548"/>
        <v>0</v>
      </c>
      <c r="O862" s="77">
        <f t="shared" si="2549"/>
        <v>5.6775999999999997E-3</v>
      </c>
      <c r="P862" s="77">
        <f t="shared" si="2550"/>
        <v>4.7436902124819991E-4</v>
      </c>
      <c r="R862" t="s">
        <v>177</v>
      </c>
      <c r="S862" t="s">
        <v>179</v>
      </c>
      <c r="T862" s="197" t="str">
        <f t="shared" si="2605"/>
        <v>Autopilot_Dynamic_225</v>
      </c>
      <c r="U862">
        <v>225</v>
      </c>
      <c r="V862">
        <f>VLOOKUP($U862,'[2]AP Dynamic'!$Q$1:$T$542,2,FALSE)</f>
        <v>0.88888888888888884</v>
      </c>
      <c r="W862">
        <f>VLOOKUP($U862,'[2]AP Dynamic'!$Q$1:$T$542,3,FALSE)</f>
        <v>0.11111111111111116</v>
      </c>
      <c r="X862">
        <f>VLOOKUP($U862,'[2]AP Dynamic'!$Q$1:$T$542,4,FALSE)</f>
        <v>0</v>
      </c>
      <c r="Y862" s="77">
        <f t="shared" si="2606"/>
        <v>1</v>
      </c>
      <c r="Z862" s="77">
        <f t="shared" si="2612"/>
        <v>6.3149999999999984E-2</v>
      </c>
      <c r="AA862" s="77">
        <f t="shared" si="2613"/>
        <v>5.1160591879111372E-3</v>
      </c>
      <c r="AB862" s="79">
        <v>1</v>
      </c>
      <c r="AC862" s="77">
        <f t="shared" si="2551"/>
        <v>8.277777777777778E-3</v>
      </c>
      <c r="AD862" s="77">
        <f t="shared" ref="AD862" si="2800">1-(1-AC862)^(1/12)</f>
        <v>6.9244588451522482E-4</v>
      </c>
      <c r="AE862" s="77">
        <f t="shared" si="2553"/>
        <v>2.5000000000000001E-3</v>
      </c>
      <c r="AF862" s="77">
        <f t="shared" ref="AF862" si="2801">1-(1-AE862)^(1/12)</f>
        <v>2.0857243058891584E-4</v>
      </c>
      <c r="AH862" t="s">
        <v>175</v>
      </c>
      <c r="AI862" t="s">
        <v>179</v>
      </c>
      <c r="AJ862" s="197" t="str">
        <f t="shared" si="2540"/>
        <v>Lifecycle_Dynamic_225</v>
      </c>
      <c r="AK862">
        <v>225</v>
      </c>
      <c r="AL862">
        <f>VLOOKUP($U862,[2]Standard_Dynamic!$Q$1:$T$542,2,FALSE)</f>
        <v>0.88888888888888884</v>
      </c>
      <c r="AM862">
        <f>VLOOKUP($U862,[2]Standard_Dynamic!$Q$1:$T$542,3,FALSE)</f>
        <v>0.11111111111111116</v>
      </c>
      <c r="AN862">
        <f>VLOOKUP($U862,[2]Standard_Dynamic!$Q$1:$T$542,4,FALSE)</f>
        <v>0</v>
      </c>
      <c r="AO862" s="77">
        <f t="shared" si="2541"/>
        <v>1</v>
      </c>
      <c r="AP862" s="77">
        <f t="shared" si="2555"/>
        <v>6.3149999999999984E-2</v>
      </c>
      <c r="AQ862" s="77">
        <f t="shared" si="2542"/>
        <v>5.1160591879111372E-3</v>
      </c>
      <c r="AR862" s="79">
        <v>0</v>
      </c>
      <c r="AS862" s="77">
        <f t="shared" si="2556"/>
        <v>0</v>
      </c>
      <c r="AT862" s="77">
        <f t="shared" ref="AT862" si="2802">1-(1-AS862)^(1/12)</f>
        <v>0</v>
      </c>
      <c r="AU862" s="77">
        <f t="shared" si="2558"/>
        <v>2.5000000000000001E-3</v>
      </c>
      <c r="AV862" s="77">
        <f t="shared" ref="AV862" si="2803">1-(1-AU862)^(1/12)</f>
        <v>2.0857243058891584E-4</v>
      </c>
      <c r="AX862" t="s">
        <v>178</v>
      </c>
      <c r="AY862" t="s">
        <v>162</v>
      </c>
      <c r="AZ862" s="197" t="str">
        <f t="shared" si="2638"/>
        <v>DIS_Standard_225</v>
      </c>
      <c r="BA862">
        <v>225</v>
      </c>
      <c r="BB862">
        <f>VLOOKUP($BA862,'[2]Standard DIS'!$Q$1:$X$542,4,FALSE)</f>
        <v>0</v>
      </c>
      <c r="BF862">
        <f>VLOOKUP($BA862,'[2]Standard DIS'!$Q$1:$X$542,2,FALSE)</f>
        <v>0.88888888888888884</v>
      </c>
      <c r="BH862">
        <f>VLOOKUP($BA862,'[2]Standard DIS'!$Q$1:$X$542,3,FALSE)</f>
        <v>0.11111111111111116</v>
      </c>
      <c r="BI862" s="77">
        <f t="shared" si="2545"/>
        <v>1</v>
      </c>
      <c r="BJ862" s="77">
        <f t="shared" si="2546"/>
        <v>6.3149999999999984E-2</v>
      </c>
      <c r="BK862" s="77">
        <f t="shared" si="2639"/>
        <v>5.1160591879111372E-3</v>
      </c>
      <c r="BL862" s="79">
        <v>0</v>
      </c>
      <c r="BM862" s="77">
        <f t="shared" si="2560"/>
        <v>0</v>
      </c>
      <c r="BN862" s="77">
        <f t="shared" si="2561"/>
        <v>0</v>
      </c>
      <c r="BO862" s="77">
        <f t="shared" si="2562"/>
        <v>2.5000000000000001E-3</v>
      </c>
      <c r="BP862" s="77">
        <f t="shared" si="2563"/>
        <v>2.0809499864316017E-4</v>
      </c>
    </row>
    <row r="863" spans="1:68">
      <c r="A863" t="s">
        <v>175</v>
      </c>
      <c r="B863" t="s">
        <v>179</v>
      </c>
      <c r="C863" s="197" t="str">
        <f t="shared" si="2604"/>
        <v>Lifecycle_Dynamic_224</v>
      </c>
      <c r="D863">
        <v>224</v>
      </c>
      <c r="E863">
        <f>VLOOKUP($D863,'[2]LC Dynamic'!$Q$2:$U$542,2,FALSE)</f>
        <v>0</v>
      </c>
      <c r="F863">
        <f>VLOOKUP($D863,'[2]LC Dynamic'!$Q$2:$U$542,3,FALSE)</f>
        <v>0</v>
      </c>
      <c r="G863">
        <f>VLOOKUP($D863,'[2]LC Dynamic'!$Q$2:$U$542,4,FALSE)</f>
        <v>0.308</v>
      </c>
      <c r="H863">
        <f>VLOOKUP($D863,'[2]LC Dynamic'!$Q$2:$U$542,5,FALSE)</f>
        <v>0.69199999999999995</v>
      </c>
      <c r="I863" s="77">
        <f t="shared" si="2536"/>
        <v>1</v>
      </c>
      <c r="J863" s="77">
        <f t="shared" si="2537"/>
        <v>6.9728499999999985E-2</v>
      </c>
      <c r="K863" s="77">
        <f t="shared" si="2611"/>
        <v>5.632878498097682E-3</v>
      </c>
      <c r="L863" s="76">
        <v>0</v>
      </c>
      <c r="M863" s="77">
        <f t="shared" si="2547"/>
        <v>0</v>
      </c>
      <c r="N863" s="77">
        <f t="shared" si="2548"/>
        <v>0</v>
      </c>
      <c r="O863" s="77">
        <f t="shared" si="2549"/>
        <v>5.6775999999999997E-3</v>
      </c>
      <c r="P863" s="77">
        <f t="shared" si="2550"/>
        <v>4.7436902124819991E-4</v>
      </c>
      <c r="R863" t="s">
        <v>177</v>
      </c>
      <c r="S863" t="s">
        <v>179</v>
      </c>
      <c r="T863" s="197" t="str">
        <f t="shared" si="2605"/>
        <v>Autopilot_Dynamic_224</v>
      </c>
      <c r="U863">
        <v>224</v>
      </c>
      <c r="V863">
        <f>VLOOKUP($U863,'[2]AP Dynamic'!$Q$1:$T$542,2,FALSE)</f>
        <v>0.88888888888888884</v>
      </c>
      <c r="W863">
        <f>VLOOKUP($U863,'[2]AP Dynamic'!$Q$1:$T$542,3,FALSE)</f>
        <v>0.11111111111111116</v>
      </c>
      <c r="X863">
        <f>VLOOKUP($U863,'[2]AP Dynamic'!$Q$1:$T$542,4,FALSE)</f>
        <v>0</v>
      </c>
      <c r="Y863" s="77">
        <f t="shared" si="2606"/>
        <v>1</v>
      </c>
      <c r="Z863" s="77">
        <f t="shared" si="2612"/>
        <v>6.3149999999999984E-2</v>
      </c>
      <c r="AA863" s="77">
        <f t="shared" si="2613"/>
        <v>5.1160591879111372E-3</v>
      </c>
      <c r="AB863" s="79">
        <v>1</v>
      </c>
      <c r="AC863" s="77">
        <f t="shared" si="2551"/>
        <v>8.277777777777778E-3</v>
      </c>
      <c r="AD863" s="77">
        <f t="shared" ref="AD863" si="2804">1-(1-AC863)^(1/12)</f>
        <v>6.9244588451522482E-4</v>
      </c>
      <c r="AE863" s="77">
        <f t="shared" si="2553"/>
        <v>2.5000000000000001E-3</v>
      </c>
      <c r="AF863" s="77">
        <f t="shared" ref="AF863" si="2805">1-(1-AE863)^(1/12)</f>
        <v>2.0857243058891584E-4</v>
      </c>
      <c r="AH863" t="s">
        <v>175</v>
      </c>
      <c r="AI863" t="s">
        <v>179</v>
      </c>
      <c r="AJ863" s="197" t="str">
        <f t="shared" si="2540"/>
        <v>Lifecycle_Dynamic_224</v>
      </c>
      <c r="AK863">
        <v>224</v>
      </c>
      <c r="AL863">
        <f>VLOOKUP($U863,[2]Standard_Dynamic!$Q$1:$T$542,2,FALSE)</f>
        <v>0.88888888888888884</v>
      </c>
      <c r="AM863">
        <f>VLOOKUP($U863,[2]Standard_Dynamic!$Q$1:$T$542,3,FALSE)</f>
        <v>0.11111111111111116</v>
      </c>
      <c r="AN863">
        <f>VLOOKUP($U863,[2]Standard_Dynamic!$Q$1:$T$542,4,FALSE)</f>
        <v>0</v>
      </c>
      <c r="AO863" s="77">
        <f t="shared" si="2541"/>
        <v>1</v>
      </c>
      <c r="AP863" s="77">
        <f t="shared" si="2555"/>
        <v>6.3149999999999984E-2</v>
      </c>
      <c r="AQ863" s="77">
        <f t="shared" si="2542"/>
        <v>5.1160591879111372E-3</v>
      </c>
      <c r="AR863" s="79">
        <v>0</v>
      </c>
      <c r="AS863" s="77">
        <f t="shared" si="2556"/>
        <v>0</v>
      </c>
      <c r="AT863" s="77">
        <f t="shared" ref="AT863" si="2806">1-(1-AS863)^(1/12)</f>
        <v>0</v>
      </c>
      <c r="AU863" s="77">
        <f t="shared" si="2558"/>
        <v>2.5000000000000001E-3</v>
      </c>
      <c r="AV863" s="77">
        <f t="shared" ref="AV863" si="2807">1-(1-AU863)^(1/12)</f>
        <v>2.0857243058891584E-4</v>
      </c>
      <c r="AX863" t="s">
        <v>178</v>
      </c>
      <c r="AY863" t="s">
        <v>162</v>
      </c>
      <c r="AZ863" s="197" t="str">
        <f t="shared" si="2638"/>
        <v>DIS_Standard_224</v>
      </c>
      <c r="BA863">
        <v>224</v>
      </c>
      <c r="BB863">
        <f>VLOOKUP($BA863,'[2]Standard DIS'!$Q$1:$X$542,4,FALSE)</f>
        <v>0</v>
      </c>
      <c r="BF863">
        <f>VLOOKUP($BA863,'[2]Standard DIS'!$Q$1:$X$542,2,FALSE)</f>
        <v>0.88888888888888884</v>
      </c>
      <c r="BH863">
        <f>VLOOKUP($BA863,'[2]Standard DIS'!$Q$1:$X$542,3,FALSE)</f>
        <v>0.11111111111111116</v>
      </c>
      <c r="BI863" s="77">
        <f t="shared" si="2545"/>
        <v>1</v>
      </c>
      <c r="BJ863" s="77">
        <f t="shared" si="2546"/>
        <v>6.3149999999999984E-2</v>
      </c>
      <c r="BK863" s="77">
        <f t="shared" si="2639"/>
        <v>5.1160591879111372E-3</v>
      </c>
      <c r="BL863" s="79">
        <v>0</v>
      </c>
      <c r="BM863" s="77">
        <f t="shared" si="2560"/>
        <v>0</v>
      </c>
      <c r="BN863" s="77">
        <f t="shared" si="2561"/>
        <v>0</v>
      </c>
      <c r="BO863" s="77">
        <f t="shared" si="2562"/>
        <v>2.5000000000000001E-3</v>
      </c>
      <c r="BP863" s="77">
        <f t="shared" si="2563"/>
        <v>2.0809499864316017E-4</v>
      </c>
    </row>
    <row r="864" spans="1:68">
      <c r="A864" t="s">
        <v>175</v>
      </c>
      <c r="B864" t="s">
        <v>179</v>
      </c>
      <c r="C864" s="197" t="str">
        <f t="shared" si="2604"/>
        <v>Lifecycle_Dynamic_223</v>
      </c>
      <c r="D864">
        <v>223</v>
      </c>
      <c r="E864">
        <f>VLOOKUP($D864,'[2]LC Dynamic'!$Q$2:$U$542,2,FALSE)</f>
        <v>0</v>
      </c>
      <c r="F864">
        <f>VLOOKUP($D864,'[2]LC Dynamic'!$Q$2:$U$542,3,FALSE)</f>
        <v>0</v>
      </c>
      <c r="G864">
        <f>VLOOKUP($D864,'[2]LC Dynamic'!$Q$2:$U$542,4,FALSE)</f>
        <v>0.308</v>
      </c>
      <c r="H864">
        <f>VLOOKUP($D864,'[2]LC Dynamic'!$Q$2:$U$542,5,FALSE)</f>
        <v>0.69199999999999995</v>
      </c>
      <c r="I864" s="77">
        <f t="shared" si="2536"/>
        <v>1</v>
      </c>
      <c r="J864" s="77">
        <f t="shared" si="2537"/>
        <v>6.9728499999999985E-2</v>
      </c>
      <c r="K864" s="77">
        <f t="shared" si="2611"/>
        <v>5.632878498097682E-3</v>
      </c>
      <c r="L864" s="76">
        <v>0</v>
      </c>
      <c r="M864" s="77">
        <f t="shared" si="2547"/>
        <v>0</v>
      </c>
      <c r="N864" s="77">
        <f t="shared" si="2548"/>
        <v>0</v>
      </c>
      <c r="O864" s="77">
        <f t="shared" si="2549"/>
        <v>5.6775999999999997E-3</v>
      </c>
      <c r="P864" s="77">
        <f t="shared" si="2550"/>
        <v>4.7436902124819991E-4</v>
      </c>
      <c r="R864" t="s">
        <v>177</v>
      </c>
      <c r="S864" t="s">
        <v>179</v>
      </c>
      <c r="T864" s="197" t="str">
        <f t="shared" si="2605"/>
        <v>Autopilot_Dynamic_223</v>
      </c>
      <c r="U864">
        <v>223</v>
      </c>
      <c r="V864">
        <f>VLOOKUP($U864,'[2]AP Dynamic'!$Q$1:$T$542,2,FALSE)</f>
        <v>0.88888888888888884</v>
      </c>
      <c r="W864">
        <f>VLOOKUP($U864,'[2]AP Dynamic'!$Q$1:$T$542,3,FALSE)</f>
        <v>0.11111111111111116</v>
      </c>
      <c r="X864">
        <f>VLOOKUP($U864,'[2]AP Dynamic'!$Q$1:$T$542,4,FALSE)</f>
        <v>0</v>
      </c>
      <c r="Y864" s="77">
        <f t="shared" si="2606"/>
        <v>1</v>
      </c>
      <c r="Z864" s="77">
        <f t="shared" si="2612"/>
        <v>6.3149999999999984E-2</v>
      </c>
      <c r="AA864" s="77">
        <f t="shared" si="2613"/>
        <v>5.1160591879111372E-3</v>
      </c>
      <c r="AB864" s="79">
        <v>1</v>
      </c>
      <c r="AC864" s="77">
        <f t="shared" si="2551"/>
        <v>8.277777777777778E-3</v>
      </c>
      <c r="AD864" s="77">
        <f t="shared" ref="AD864" si="2808">1-(1-AC864)^(1/12)</f>
        <v>6.9244588451522482E-4</v>
      </c>
      <c r="AE864" s="77">
        <f t="shared" si="2553"/>
        <v>2.5000000000000001E-3</v>
      </c>
      <c r="AF864" s="77">
        <f t="shared" ref="AF864" si="2809">1-(1-AE864)^(1/12)</f>
        <v>2.0857243058891584E-4</v>
      </c>
      <c r="AH864" t="s">
        <v>175</v>
      </c>
      <c r="AI864" t="s">
        <v>179</v>
      </c>
      <c r="AJ864" s="197" t="str">
        <f t="shared" si="2540"/>
        <v>Lifecycle_Dynamic_223</v>
      </c>
      <c r="AK864">
        <v>223</v>
      </c>
      <c r="AL864">
        <f>VLOOKUP($U864,[2]Standard_Dynamic!$Q$1:$T$542,2,FALSE)</f>
        <v>0.88888888888888884</v>
      </c>
      <c r="AM864">
        <f>VLOOKUP($U864,[2]Standard_Dynamic!$Q$1:$T$542,3,FALSE)</f>
        <v>0.11111111111111116</v>
      </c>
      <c r="AN864">
        <f>VLOOKUP($U864,[2]Standard_Dynamic!$Q$1:$T$542,4,FALSE)</f>
        <v>0</v>
      </c>
      <c r="AO864" s="77">
        <f t="shared" si="2541"/>
        <v>1</v>
      </c>
      <c r="AP864" s="77">
        <f t="shared" si="2555"/>
        <v>6.3149999999999984E-2</v>
      </c>
      <c r="AQ864" s="77">
        <f t="shared" si="2542"/>
        <v>5.1160591879111372E-3</v>
      </c>
      <c r="AR864" s="79">
        <v>0</v>
      </c>
      <c r="AS864" s="77">
        <f t="shared" si="2556"/>
        <v>0</v>
      </c>
      <c r="AT864" s="77">
        <f t="shared" ref="AT864" si="2810">1-(1-AS864)^(1/12)</f>
        <v>0</v>
      </c>
      <c r="AU864" s="77">
        <f t="shared" si="2558"/>
        <v>2.5000000000000001E-3</v>
      </c>
      <c r="AV864" s="77">
        <f t="shared" ref="AV864" si="2811">1-(1-AU864)^(1/12)</f>
        <v>2.0857243058891584E-4</v>
      </c>
      <c r="AX864" t="s">
        <v>178</v>
      </c>
      <c r="AY864" t="s">
        <v>162</v>
      </c>
      <c r="AZ864" s="197" t="str">
        <f t="shared" si="2638"/>
        <v>DIS_Standard_223</v>
      </c>
      <c r="BA864">
        <v>223</v>
      </c>
      <c r="BB864">
        <f>VLOOKUP($BA864,'[2]Standard DIS'!$Q$1:$X$542,4,FALSE)</f>
        <v>0</v>
      </c>
      <c r="BF864">
        <f>VLOOKUP($BA864,'[2]Standard DIS'!$Q$1:$X$542,2,FALSE)</f>
        <v>0.88888888888888884</v>
      </c>
      <c r="BH864">
        <f>VLOOKUP($BA864,'[2]Standard DIS'!$Q$1:$X$542,3,FALSE)</f>
        <v>0.11111111111111116</v>
      </c>
      <c r="BI864" s="77">
        <f t="shared" si="2545"/>
        <v>1</v>
      </c>
      <c r="BJ864" s="77">
        <f t="shared" si="2546"/>
        <v>6.3149999999999984E-2</v>
      </c>
      <c r="BK864" s="77">
        <f t="shared" si="2639"/>
        <v>5.1160591879111372E-3</v>
      </c>
      <c r="BL864" s="79">
        <v>0</v>
      </c>
      <c r="BM864" s="77">
        <f t="shared" si="2560"/>
        <v>0</v>
      </c>
      <c r="BN864" s="77">
        <f t="shared" si="2561"/>
        <v>0</v>
      </c>
      <c r="BO864" s="77">
        <f t="shared" si="2562"/>
        <v>2.5000000000000001E-3</v>
      </c>
      <c r="BP864" s="77">
        <f t="shared" si="2563"/>
        <v>2.0809499864316017E-4</v>
      </c>
    </row>
    <row r="865" spans="1:68">
      <c r="A865" t="s">
        <v>175</v>
      </c>
      <c r="B865" t="s">
        <v>179</v>
      </c>
      <c r="C865" s="197" t="str">
        <f t="shared" si="2604"/>
        <v>Lifecycle_Dynamic_222</v>
      </c>
      <c r="D865">
        <v>222</v>
      </c>
      <c r="E865">
        <f>VLOOKUP($D865,'[2]LC Dynamic'!$Q$2:$U$542,2,FALSE)</f>
        <v>0</v>
      </c>
      <c r="F865">
        <f>VLOOKUP($D865,'[2]LC Dynamic'!$Q$2:$U$542,3,FALSE)</f>
        <v>0</v>
      </c>
      <c r="G865">
        <f>VLOOKUP($D865,'[2]LC Dynamic'!$Q$2:$U$542,4,FALSE)</f>
        <v>0.308</v>
      </c>
      <c r="H865">
        <f>VLOOKUP($D865,'[2]LC Dynamic'!$Q$2:$U$542,5,FALSE)</f>
        <v>0.69199999999999995</v>
      </c>
      <c r="I865" s="77">
        <f t="shared" si="2536"/>
        <v>1</v>
      </c>
      <c r="J865" s="77">
        <f t="shared" si="2537"/>
        <v>6.9728499999999985E-2</v>
      </c>
      <c r="K865" s="77">
        <f t="shared" si="2611"/>
        <v>5.632878498097682E-3</v>
      </c>
      <c r="L865" s="76">
        <v>0</v>
      </c>
      <c r="M865" s="77">
        <f t="shared" si="2547"/>
        <v>0</v>
      </c>
      <c r="N865" s="77">
        <f t="shared" si="2548"/>
        <v>0</v>
      </c>
      <c r="O865" s="77">
        <f t="shared" si="2549"/>
        <v>5.6775999999999997E-3</v>
      </c>
      <c r="P865" s="77">
        <f t="shared" si="2550"/>
        <v>4.7436902124819991E-4</v>
      </c>
      <c r="R865" t="s">
        <v>177</v>
      </c>
      <c r="S865" t="s">
        <v>179</v>
      </c>
      <c r="T865" s="197" t="str">
        <f t="shared" si="2605"/>
        <v>Autopilot_Dynamic_222</v>
      </c>
      <c r="U865">
        <v>222</v>
      </c>
      <c r="V865">
        <f>VLOOKUP($U865,'[2]AP Dynamic'!$Q$1:$T$542,2,FALSE)</f>
        <v>0.88888888888888884</v>
      </c>
      <c r="W865">
        <f>VLOOKUP($U865,'[2]AP Dynamic'!$Q$1:$T$542,3,FALSE)</f>
        <v>0.11111111111111116</v>
      </c>
      <c r="X865">
        <f>VLOOKUP($U865,'[2]AP Dynamic'!$Q$1:$T$542,4,FALSE)</f>
        <v>0</v>
      </c>
      <c r="Y865" s="77">
        <f t="shared" si="2606"/>
        <v>1</v>
      </c>
      <c r="Z865" s="77">
        <f t="shared" si="2612"/>
        <v>6.3149999999999984E-2</v>
      </c>
      <c r="AA865" s="77">
        <f t="shared" si="2613"/>
        <v>5.1160591879111372E-3</v>
      </c>
      <c r="AB865" s="79">
        <v>1</v>
      </c>
      <c r="AC865" s="77">
        <f t="shared" si="2551"/>
        <v>8.277777777777778E-3</v>
      </c>
      <c r="AD865" s="77">
        <f t="shared" ref="AD865" si="2812">1-(1-AC865)^(1/12)</f>
        <v>6.9244588451522482E-4</v>
      </c>
      <c r="AE865" s="77">
        <f t="shared" si="2553"/>
        <v>2.5000000000000001E-3</v>
      </c>
      <c r="AF865" s="77">
        <f t="shared" ref="AF865" si="2813">1-(1-AE865)^(1/12)</f>
        <v>2.0857243058891584E-4</v>
      </c>
      <c r="AH865" t="s">
        <v>175</v>
      </c>
      <c r="AI865" t="s">
        <v>179</v>
      </c>
      <c r="AJ865" s="197" t="str">
        <f t="shared" si="2540"/>
        <v>Lifecycle_Dynamic_222</v>
      </c>
      <c r="AK865">
        <v>222</v>
      </c>
      <c r="AL865">
        <f>VLOOKUP($U865,[2]Standard_Dynamic!$Q$1:$T$542,2,FALSE)</f>
        <v>0.88888888888888884</v>
      </c>
      <c r="AM865">
        <f>VLOOKUP($U865,[2]Standard_Dynamic!$Q$1:$T$542,3,FALSE)</f>
        <v>0.11111111111111116</v>
      </c>
      <c r="AN865">
        <f>VLOOKUP($U865,[2]Standard_Dynamic!$Q$1:$T$542,4,FALSE)</f>
        <v>0</v>
      </c>
      <c r="AO865" s="77">
        <f t="shared" si="2541"/>
        <v>1</v>
      </c>
      <c r="AP865" s="77">
        <f t="shared" si="2555"/>
        <v>6.3149999999999984E-2</v>
      </c>
      <c r="AQ865" s="77">
        <f t="shared" si="2542"/>
        <v>5.1160591879111372E-3</v>
      </c>
      <c r="AR865" s="79">
        <v>0</v>
      </c>
      <c r="AS865" s="77">
        <f t="shared" si="2556"/>
        <v>0</v>
      </c>
      <c r="AT865" s="77">
        <f t="shared" ref="AT865" si="2814">1-(1-AS865)^(1/12)</f>
        <v>0</v>
      </c>
      <c r="AU865" s="77">
        <f t="shared" si="2558"/>
        <v>2.5000000000000001E-3</v>
      </c>
      <c r="AV865" s="77">
        <f t="shared" ref="AV865" si="2815">1-(1-AU865)^(1/12)</f>
        <v>2.0857243058891584E-4</v>
      </c>
      <c r="AX865" t="s">
        <v>178</v>
      </c>
      <c r="AY865" t="s">
        <v>162</v>
      </c>
      <c r="AZ865" s="197" t="str">
        <f t="shared" si="2638"/>
        <v>DIS_Standard_222</v>
      </c>
      <c r="BA865">
        <v>222</v>
      </c>
      <c r="BB865">
        <f>VLOOKUP($BA865,'[2]Standard DIS'!$Q$1:$X$542,4,FALSE)</f>
        <v>0</v>
      </c>
      <c r="BF865">
        <f>VLOOKUP($BA865,'[2]Standard DIS'!$Q$1:$X$542,2,FALSE)</f>
        <v>0.88888888888888884</v>
      </c>
      <c r="BH865">
        <f>VLOOKUP($BA865,'[2]Standard DIS'!$Q$1:$X$542,3,FALSE)</f>
        <v>0.11111111111111116</v>
      </c>
      <c r="BI865" s="77">
        <f t="shared" si="2545"/>
        <v>1</v>
      </c>
      <c r="BJ865" s="77">
        <f t="shared" si="2546"/>
        <v>6.3149999999999984E-2</v>
      </c>
      <c r="BK865" s="77">
        <f t="shared" si="2639"/>
        <v>5.1160591879111372E-3</v>
      </c>
      <c r="BL865" s="79">
        <v>0</v>
      </c>
      <c r="BM865" s="77">
        <f t="shared" si="2560"/>
        <v>0</v>
      </c>
      <c r="BN865" s="77">
        <f t="shared" si="2561"/>
        <v>0</v>
      </c>
      <c r="BO865" s="77">
        <f t="shared" si="2562"/>
        <v>2.5000000000000001E-3</v>
      </c>
      <c r="BP865" s="77">
        <f t="shared" si="2563"/>
        <v>2.0809499864316017E-4</v>
      </c>
    </row>
    <row r="866" spans="1:68">
      <c r="A866" t="s">
        <v>175</v>
      </c>
      <c r="B866" t="s">
        <v>179</v>
      </c>
      <c r="C866" s="197" t="str">
        <f t="shared" si="2604"/>
        <v>Lifecycle_Dynamic_221</v>
      </c>
      <c r="D866">
        <v>221</v>
      </c>
      <c r="E866">
        <f>VLOOKUP($D866,'[2]LC Dynamic'!$Q$2:$U$542,2,FALSE)</f>
        <v>0</v>
      </c>
      <c r="F866">
        <f>VLOOKUP($D866,'[2]LC Dynamic'!$Q$2:$U$542,3,FALSE)</f>
        <v>0</v>
      </c>
      <c r="G866">
        <f>VLOOKUP($D866,'[2]LC Dynamic'!$Q$2:$U$542,4,FALSE)</f>
        <v>0.308</v>
      </c>
      <c r="H866">
        <f>VLOOKUP($D866,'[2]LC Dynamic'!$Q$2:$U$542,5,FALSE)</f>
        <v>0.69199999999999995</v>
      </c>
      <c r="I866" s="77">
        <f t="shared" si="2536"/>
        <v>1</v>
      </c>
      <c r="J866" s="77">
        <f t="shared" si="2537"/>
        <v>6.9728499999999985E-2</v>
      </c>
      <c r="K866" s="77">
        <f t="shared" si="2611"/>
        <v>5.632878498097682E-3</v>
      </c>
      <c r="L866" s="76">
        <v>0</v>
      </c>
      <c r="M866" s="77">
        <f t="shared" si="2547"/>
        <v>0</v>
      </c>
      <c r="N866" s="77">
        <f t="shared" si="2548"/>
        <v>0</v>
      </c>
      <c r="O866" s="77">
        <f t="shared" si="2549"/>
        <v>5.6775999999999997E-3</v>
      </c>
      <c r="P866" s="77">
        <f t="shared" si="2550"/>
        <v>4.7436902124819991E-4</v>
      </c>
      <c r="R866" t="s">
        <v>177</v>
      </c>
      <c r="S866" t="s">
        <v>179</v>
      </c>
      <c r="T866" s="197" t="str">
        <f t="shared" si="2605"/>
        <v>Autopilot_Dynamic_221</v>
      </c>
      <c r="U866">
        <v>221</v>
      </c>
      <c r="V866">
        <f>VLOOKUP($U866,'[2]AP Dynamic'!$Q$1:$T$542,2,FALSE)</f>
        <v>0.88888888888888884</v>
      </c>
      <c r="W866">
        <f>VLOOKUP($U866,'[2]AP Dynamic'!$Q$1:$T$542,3,FALSE)</f>
        <v>0.11111111111111116</v>
      </c>
      <c r="X866">
        <f>VLOOKUP($U866,'[2]AP Dynamic'!$Q$1:$T$542,4,FALSE)</f>
        <v>0</v>
      </c>
      <c r="Y866" s="77">
        <f t="shared" si="2606"/>
        <v>1</v>
      </c>
      <c r="Z866" s="77">
        <f t="shared" si="2612"/>
        <v>6.3149999999999984E-2</v>
      </c>
      <c r="AA866" s="77">
        <f t="shared" si="2613"/>
        <v>5.1160591879111372E-3</v>
      </c>
      <c r="AB866" s="79">
        <v>1</v>
      </c>
      <c r="AC866" s="77">
        <f t="shared" si="2551"/>
        <v>8.277777777777778E-3</v>
      </c>
      <c r="AD866" s="77">
        <f t="shared" ref="AD866" si="2816">1-(1-AC866)^(1/12)</f>
        <v>6.9244588451522482E-4</v>
      </c>
      <c r="AE866" s="77">
        <f t="shared" si="2553"/>
        <v>2.5000000000000001E-3</v>
      </c>
      <c r="AF866" s="77">
        <f t="shared" ref="AF866" si="2817">1-(1-AE866)^(1/12)</f>
        <v>2.0857243058891584E-4</v>
      </c>
      <c r="AH866" t="s">
        <v>175</v>
      </c>
      <c r="AI866" t="s">
        <v>179</v>
      </c>
      <c r="AJ866" s="197" t="str">
        <f t="shared" si="2540"/>
        <v>Lifecycle_Dynamic_221</v>
      </c>
      <c r="AK866">
        <v>221</v>
      </c>
      <c r="AL866">
        <f>VLOOKUP($U866,[2]Standard_Dynamic!$Q$1:$T$542,2,FALSE)</f>
        <v>0.88888888888888884</v>
      </c>
      <c r="AM866">
        <f>VLOOKUP($U866,[2]Standard_Dynamic!$Q$1:$T$542,3,FALSE)</f>
        <v>0.11111111111111116</v>
      </c>
      <c r="AN866">
        <f>VLOOKUP($U866,[2]Standard_Dynamic!$Q$1:$T$542,4,FALSE)</f>
        <v>0</v>
      </c>
      <c r="AO866" s="77">
        <f t="shared" si="2541"/>
        <v>1</v>
      </c>
      <c r="AP866" s="77">
        <f t="shared" si="2555"/>
        <v>6.3149999999999984E-2</v>
      </c>
      <c r="AQ866" s="77">
        <f t="shared" si="2542"/>
        <v>5.1160591879111372E-3</v>
      </c>
      <c r="AR866" s="79">
        <v>0</v>
      </c>
      <c r="AS866" s="77">
        <f t="shared" si="2556"/>
        <v>0</v>
      </c>
      <c r="AT866" s="77">
        <f t="shared" ref="AT866" si="2818">1-(1-AS866)^(1/12)</f>
        <v>0</v>
      </c>
      <c r="AU866" s="77">
        <f t="shared" si="2558"/>
        <v>2.5000000000000001E-3</v>
      </c>
      <c r="AV866" s="77">
        <f t="shared" ref="AV866" si="2819">1-(1-AU866)^(1/12)</f>
        <v>2.0857243058891584E-4</v>
      </c>
      <c r="AX866" t="s">
        <v>178</v>
      </c>
      <c r="AY866" t="s">
        <v>162</v>
      </c>
      <c r="AZ866" s="197" t="str">
        <f t="shared" si="2638"/>
        <v>DIS_Standard_221</v>
      </c>
      <c r="BA866">
        <v>221</v>
      </c>
      <c r="BB866">
        <f>VLOOKUP($BA866,'[2]Standard DIS'!$Q$1:$X$542,4,FALSE)</f>
        <v>0</v>
      </c>
      <c r="BF866">
        <f>VLOOKUP($BA866,'[2]Standard DIS'!$Q$1:$X$542,2,FALSE)</f>
        <v>0.88888888888888884</v>
      </c>
      <c r="BH866">
        <f>VLOOKUP($BA866,'[2]Standard DIS'!$Q$1:$X$542,3,FALSE)</f>
        <v>0.11111111111111116</v>
      </c>
      <c r="BI866" s="77">
        <f t="shared" si="2545"/>
        <v>1</v>
      </c>
      <c r="BJ866" s="77">
        <f t="shared" si="2546"/>
        <v>6.3149999999999984E-2</v>
      </c>
      <c r="BK866" s="77">
        <f t="shared" si="2639"/>
        <v>5.1160591879111372E-3</v>
      </c>
      <c r="BL866" s="79">
        <v>0</v>
      </c>
      <c r="BM866" s="77">
        <f t="shared" si="2560"/>
        <v>0</v>
      </c>
      <c r="BN866" s="77">
        <f t="shared" si="2561"/>
        <v>0</v>
      </c>
      <c r="BO866" s="77">
        <f t="shared" si="2562"/>
        <v>2.5000000000000001E-3</v>
      </c>
      <c r="BP866" s="77">
        <f t="shared" si="2563"/>
        <v>2.0809499864316017E-4</v>
      </c>
    </row>
    <row r="867" spans="1:68">
      <c r="A867" t="s">
        <v>175</v>
      </c>
      <c r="B867" t="s">
        <v>179</v>
      </c>
      <c r="C867" s="197" t="str">
        <f t="shared" si="2604"/>
        <v>Lifecycle_Dynamic_220</v>
      </c>
      <c r="D867">
        <v>220</v>
      </c>
      <c r="E867">
        <f>VLOOKUP($D867,'[2]LC Dynamic'!$Q$2:$U$542,2,FALSE)</f>
        <v>0</v>
      </c>
      <c r="F867">
        <f>VLOOKUP($D867,'[2]LC Dynamic'!$Q$2:$U$542,3,FALSE)</f>
        <v>0</v>
      </c>
      <c r="G867">
        <f>VLOOKUP($D867,'[2]LC Dynamic'!$Q$2:$U$542,4,FALSE)</f>
        <v>0.308</v>
      </c>
      <c r="H867">
        <f>VLOOKUP($D867,'[2]LC Dynamic'!$Q$2:$U$542,5,FALSE)</f>
        <v>0.69199999999999995</v>
      </c>
      <c r="I867" s="77">
        <f t="shared" ref="I867:I930" si="2820">SUM(E867:H867)</f>
        <v>1</v>
      </c>
      <c r="J867" s="77">
        <f t="shared" ref="J867:J930" si="2821">SUMPRODUCT($E$1:$H$1,E867:H867)</f>
        <v>6.9728499999999985E-2</v>
      </c>
      <c r="K867" s="77">
        <f t="shared" si="2611"/>
        <v>5.632878498097682E-3</v>
      </c>
      <c r="L867" s="76">
        <v>0</v>
      </c>
      <c r="M867" s="77">
        <f t="shared" si="2547"/>
        <v>0</v>
      </c>
      <c r="N867" s="77">
        <f t="shared" si="2548"/>
        <v>0</v>
      </c>
      <c r="O867" s="77">
        <f t="shared" si="2549"/>
        <v>5.6775999999999997E-3</v>
      </c>
      <c r="P867" s="77">
        <f t="shared" si="2550"/>
        <v>4.7436902124819991E-4</v>
      </c>
      <c r="R867" t="s">
        <v>177</v>
      </c>
      <c r="S867" t="s">
        <v>179</v>
      </c>
      <c r="T867" s="197" t="str">
        <f t="shared" si="2605"/>
        <v>Autopilot_Dynamic_220</v>
      </c>
      <c r="U867">
        <v>220</v>
      </c>
      <c r="V867">
        <f>VLOOKUP($U867,'[2]AP Dynamic'!$Q$1:$T$542,2,FALSE)</f>
        <v>0.88888888888888884</v>
      </c>
      <c r="W867">
        <f>VLOOKUP($U867,'[2]AP Dynamic'!$Q$1:$T$542,3,FALSE)</f>
        <v>0.11111111111111116</v>
      </c>
      <c r="X867">
        <f>VLOOKUP($U867,'[2]AP Dynamic'!$Q$1:$T$542,4,FALSE)</f>
        <v>0</v>
      </c>
      <c r="Y867" s="77">
        <f t="shared" si="2606"/>
        <v>1</v>
      </c>
      <c r="Z867" s="77">
        <f t="shared" si="2612"/>
        <v>6.3149999999999984E-2</v>
      </c>
      <c r="AA867" s="77">
        <f t="shared" si="2613"/>
        <v>5.1160591879111372E-3</v>
      </c>
      <c r="AB867" s="79">
        <v>1</v>
      </c>
      <c r="AC867" s="77">
        <f t="shared" si="2551"/>
        <v>8.277777777777778E-3</v>
      </c>
      <c r="AD867" s="77">
        <f t="shared" ref="AD867" si="2822">1-(1-AC867)^(1/12)</f>
        <v>6.9244588451522482E-4</v>
      </c>
      <c r="AE867" s="77">
        <f t="shared" si="2553"/>
        <v>2.5000000000000001E-3</v>
      </c>
      <c r="AF867" s="77">
        <f t="shared" ref="AF867" si="2823">1-(1-AE867)^(1/12)</f>
        <v>2.0857243058891584E-4</v>
      </c>
      <c r="AH867" t="s">
        <v>175</v>
      </c>
      <c r="AI867" t="s">
        <v>179</v>
      </c>
      <c r="AJ867" s="197" t="str">
        <f t="shared" ref="AJ867:AJ930" si="2824">AH867&amp;"_"&amp;AI867&amp;"_"&amp;AK867</f>
        <v>Lifecycle_Dynamic_220</v>
      </c>
      <c r="AK867">
        <v>220</v>
      </c>
      <c r="AL867">
        <f>VLOOKUP($U867,[2]Standard_Dynamic!$Q$1:$T$542,2,FALSE)</f>
        <v>0.88888888888888884</v>
      </c>
      <c r="AM867">
        <f>VLOOKUP($U867,[2]Standard_Dynamic!$Q$1:$T$542,3,FALSE)</f>
        <v>0.11111111111111116</v>
      </c>
      <c r="AN867">
        <f>VLOOKUP($U867,[2]Standard_Dynamic!$Q$1:$T$542,4,FALSE)</f>
        <v>0</v>
      </c>
      <c r="AO867" s="77">
        <f t="shared" ref="AO867:AO930" si="2825">SUM(AL867:AN867)</f>
        <v>1</v>
      </c>
      <c r="AP867" s="77">
        <f t="shared" si="2555"/>
        <v>6.3149999999999984E-2</v>
      </c>
      <c r="AQ867" s="77">
        <f t="shared" ref="AQ867:AQ930" si="2826">(1+AP867)^(1/12)-1</f>
        <v>5.1160591879111372E-3</v>
      </c>
      <c r="AR867" s="79">
        <v>0</v>
      </c>
      <c r="AS867" s="77">
        <f t="shared" si="2556"/>
        <v>0</v>
      </c>
      <c r="AT867" s="77">
        <f t="shared" ref="AT867" si="2827">1-(1-AS867)^(1/12)</f>
        <v>0</v>
      </c>
      <c r="AU867" s="77">
        <f t="shared" si="2558"/>
        <v>2.5000000000000001E-3</v>
      </c>
      <c r="AV867" s="77">
        <f t="shared" ref="AV867" si="2828">1-(1-AU867)^(1/12)</f>
        <v>2.0857243058891584E-4</v>
      </c>
      <c r="AX867" t="s">
        <v>178</v>
      </c>
      <c r="AY867" t="s">
        <v>162</v>
      </c>
      <c r="AZ867" s="197" t="str">
        <f t="shared" si="2638"/>
        <v>DIS_Standard_220</v>
      </c>
      <c r="BA867">
        <v>220</v>
      </c>
      <c r="BB867">
        <f>VLOOKUP($BA867,'[2]Standard DIS'!$Q$1:$X$542,4,FALSE)</f>
        <v>0</v>
      </c>
      <c r="BF867">
        <f>VLOOKUP($BA867,'[2]Standard DIS'!$Q$1:$X$542,2,FALSE)</f>
        <v>0.88888888888888884</v>
      </c>
      <c r="BH867">
        <f>VLOOKUP($BA867,'[2]Standard DIS'!$Q$1:$X$542,3,FALSE)</f>
        <v>0.11111111111111116</v>
      </c>
      <c r="BI867" s="77">
        <f t="shared" ref="BI867:BI930" si="2829">SUM(BB867:BH867)</f>
        <v>1</v>
      </c>
      <c r="BJ867" s="77">
        <f t="shared" ref="BJ867:BJ930" si="2830">SUMPRODUCT($BB$1:$BH$1,BB867:BH867)</f>
        <v>6.3149999999999984E-2</v>
      </c>
      <c r="BK867" s="77">
        <f t="shared" si="2639"/>
        <v>5.1160591879111372E-3</v>
      </c>
      <c r="BL867" s="79">
        <v>0</v>
      </c>
      <c r="BM867" s="77">
        <f t="shared" si="2560"/>
        <v>0</v>
      </c>
      <c r="BN867" s="77">
        <f t="shared" si="2561"/>
        <v>0</v>
      </c>
      <c r="BO867" s="77">
        <f t="shared" si="2562"/>
        <v>2.5000000000000001E-3</v>
      </c>
      <c r="BP867" s="77">
        <f t="shared" si="2563"/>
        <v>2.0809499864316017E-4</v>
      </c>
    </row>
    <row r="868" spans="1:68">
      <c r="A868" t="s">
        <v>175</v>
      </c>
      <c r="B868" t="s">
        <v>179</v>
      </c>
      <c r="C868" s="197" t="str">
        <f t="shared" si="2604"/>
        <v>Lifecycle_Dynamic_219</v>
      </c>
      <c r="D868">
        <v>219</v>
      </c>
      <c r="E868">
        <f>VLOOKUP($D868,'[2]LC Dynamic'!$Q$2:$U$542,2,FALSE)</f>
        <v>0</v>
      </c>
      <c r="F868">
        <f>VLOOKUP($D868,'[2]LC Dynamic'!$Q$2:$U$542,3,FALSE)</f>
        <v>0</v>
      </c>
      <c r="G868">
        <f>VLOOKUP($D868,'[2]LC Dynamic'!$Q$2:$U$542,4,FALSE)</f>
        <v>0.308</v>
      </c>
      <c r="H868">
        <f>VLOOKUP($D868,'[2]LC Dynamic'!$Q$2:$U$542,5,FALSE)</f>
        <v>0.69199999999999995</v>
      </c>
      <c r="I868" s="77">
        <f t="shared" si="2820"/>
        <v>1</v>
      </c>
      <c r="J868" s="77">
        <f t="shared" si="2821"/>
        <v>6.9728499999999985E-2</v>
      </c>
      <c r="K868" s="77">
        <f t="shared" si="2611"/>
        <v>5.632878498097682E-3</v>
      </c>
      <c r="L868" s="76">
        <v>0</v>
      </c>
      <c r="M868" s="77">
        <f t="shared" ref="M868:M931" si="2831">IF($L868=0,0,SUMPRODUCT($E$3:$H$3,E868:H868))</f>
        <v>0</v>
      </c>
      <c r="N868" s="77">
        <f t="shared" ref="N868:N931" si="2832">1-(1-M868)^(1/12)</f>
        <v>0</v>
      </c>
      <c r="O868" s="77">
        <f t="shared" ref="O868:O931" si="2833">SUMPRODUCT($E$2:$H$2,E868:H868)</f>
        <v>5.6775999999999997E-3</v>
      </c>
      <c r="P868" s="77">
        <f t="shared" ref="P868:P931" si="2834">1-(1-O868)^(1/12)</f>
        <v>4.7436902124819991E-4</v>
      </c>
      <c r="R868" t="s">
        <v>177</v>
      </c>
      <c r="S868" t="s">
        <v>179</v>
      </c>
      <c r="T868" s="197" t="str">
        <f t="shared" si="2605"/>
        <v>Autopilot_Dynamic_219</v>
      </c>
      <c r="U868">
        <v>219</v>
      </c>
      <c r="V868">
        <f>VLOOKUP($U868,'[2]AP Dynamic'!$Q$1:$T$542,2,FALSE)</f>
        <v>0.88888888888888884</v>
      </c>
      <c r="W868">
        <f>VLOOKUP($U868,'[2]AP Dynamic'!$Q$1:$T$542,3,FALSE)</f>
        <v>0.11111111111111116</v>
      </c>
      <c r="X868">
        <f>VLOOKUP($U868,'[2]AP Dynamic'!$Q$1:$T$542,4,FALSE)</f>
        <v>0</v>
      </c>
      <c r="Y868" s="77">
        <f t="shared" si="2606"/>
        <v>1</v>
      </c>
      <c r="Z868" s="77">
        <f t="shared" si="2612"/>
        <v>6.3149999999999984E-2</v>
      </c>
      <c r="AA868" s="77">
        <f t="shared" si="2613"/>
        <v>5.1160591879111372E-3</v>
      </c>
      <c r="AB868" s="79">
        <v>1</v>
      </c>
      <c r="AC868" s="77">
        <f t="shared" ref="AC868:AC931" si="2835">IF($AB868=0,0,SUMPRODUCT($V$3:$X$3,V868:X868))</f>
        <v>8.277777777777778E-3</v>
      </c>
      <c r="AD868" s="77">
        <f t="shared" ref="AD868" si="2836">1-(1-AC868)^(1/12)</f>
        <v>6.9244588451522482E-4</v>
      </c>
      <c r="AE868" s="77">
        <f t="shared" ref="AE868:AE931" si="2837">SUMPRODUCT($V$2:$X$2,V868:X868)</f>
        <v>2.5000000000000001E-3</v>
      </c>
      <c r="AF868" s="77">
        <f t="shared" ref="AF868" si="2838">1-(1-AE868)^(1/12)</f>
        <v>2.0857243058891584E-4</v>
      </c>
      <c r="AH868" t="s">
        <v>175</v>
      </c>
      <c r="AI868" t="s">
        <v>179</v>
      </c>
      <c r="AJ868" s="197" t="str">
        <f t="shared" si="2824"/>
        <v>Lifecycle_Dynamic_219</v>
      </c>
      <c r="AK868">
        <v>219</v>
      </c>
      <c r="AL868">
        <f>VLOOKUP($U868,[2]Standard_Dynamic!$Q$1:$T$542,2,FALSE)</f>
        <v>0.88888888888888884</v>
      </c>
      <c r="AM868">
        <f>VLOOKUP($U868,[2]Standard_Dynamic!$Q$1:$T$542,3,FALSE)</f>
        <v>0.11111111111111116</v>
      </c>
      <c r="AN868">
        <f>VLOOKUP($U868,[2]Standard_Dynamic!$Q$1:$T$542,4,FALSE)</f>
        <v>0</v>
      </c>
      <c r="AO868" s="77">
        <f t="shared" si="2825"/>
        <v>1</v>
      </c>
      <c r="AP868" s="77">
        <f t="shared" ref="AP868:AP931" si="2839">SUMPRODUCT($AL$1:$AN$1,AL868:AN868)</f>
        <v>6.3149999999999984E-2</v>
      </c>
      <c r="AQ868" s="77">
        <f t="shared" si="2826"/>
        <v>5.1160591879111372E-3</v>
      </c>
      <c r="AR868" s="79">
        <v>0</v>
      </c>
      <c r="AS868" s="77">
        <f t="shared" ref="AS868:AS931" si="2840">IF(AR868=0,0,SUMPRODUCT($AL$3:$AN$3,AL868:AN868))</f>
        <v>0</v>
      </c>
      <c r="AT868" s="77">
        <f t="shared" ref="AT868" si="2841">1-(1-AS868)^(1/12)</f>
        <v>0</v>
      </c>
      <c r="AU868" s="77">
        <f t="shared" ref="AU868:AU931" si="2842">SUMPRODUCT($AL$2:$AN$2,AL868:AN868)</f>
        <v>2.5000000000000001E-3</v>
      </c>
      <c r="AV868" s="77">
        <f t="shared" ref="AV868" si="2843">1-(1-AU868)^(1/12)</f>
        <v>2.0857243058891584E-4</v>
      </c>
      <c r="AX868" t="s">
        <v>178</v>
      </c>
      <c r="AY868" t="s">
        <v>162</v>
      </c>
      <c r="AZ868" s="197" t="str">
        <f t="shared" si="2638"/>
        <v>DIS_Standard_219</v>
      </c>
      <c r="BA868">
        <v>219</v>
      </c>
      <c r="BB868">
        <f>VLOOKUP($BA868,'[2]Standard DIS'!$Q$1:$X$542,4,FALSE)</f>
        <v>0</v>
      </c>
      <c r="BF868">
        <f>VLOOKUP($BA868,'[2]Standard DIS'!$Q$1:$X$542,2,FALSE)</f>
        <v>0.88888888888888884</v>
      </c>
      <c r="BH868">
        <f>VLOOKUP($BA868,'[2]Standard DIS'!$Q$1:$X$542,3,FALSE)</f>
        <v>0.11111111111111116</v>
      </c>
      <c r="BI868" s="77">
        <f t="shared" si="2829"/>
        <v>1</v>
      </c>
      <c r="BJ868" s="77">
        <f t="shared" si="2830"/>
        <v>6.3149999999999984E-2</v>
      </c>
      <c r="BK868" s="77">
        <f t="shared" si="2639"/>
        <v>5.1160591879111372E-3</v>
      </c>
      <c r="BL868" s="79">
        <v>0</v>
      </c>
      <c r="BM868" s="77">
        <f t="shared" ref="BM868:BM931" si="2844">IF(BL868=0,0,SUMPRODUCT($BB$3:$BH$3,BB868:BH868))</f>
        <v>0</v>
      </c>
      <c r="BN868" s="77">
        <f t="shared" ref="BN868:BN931" si="2845">(1+BM868)^(1/12)-1</f>
        <v>0</v>
      </c>
      <c r="BO868" s="77">
        <f t="shared" ref="BO868:BO931" si="2846">SUMPRODUCT($BB$2:$BH$2,BB868:BH868)</f>
        <v>2.5000000000000001E-3</v>
      </c>
      <c r="BP868" s="77">
        <f t="shared" ref="BP868:BP931" si="2847">(1+BO868)^(1/12)-1</f>
        <v>2.0809499864316017E-4</v>
      </c>
    </row>
    <row r="869" spans="1:68">
      <c r="A869" t="s">
        <v>175</v>
      </c>
      <c r="B869" t="s">
        <v>179</v>
      </c>
      <c r="C869" s="197" t="str">
        <f t="shared" si="2604"/>
        <v>Lifecycle_Dynamic_218</v>
      </c>
      <c r="D869">
        <v>218</v>
      </c>
      <c r="E869">
        <f>VLOOKUP($D869,'[2]LC Dynamic'!$Q$2:$U$542,2,FALSE)</f>
        <v>0</v>
      </c>
      <c r="F869">
        <f>VLOOKUP($D869,'[2]LC Dynamic'!$Q$2:$U$542,3,FALSE)</f>
        <v>0</v>
      </c>
      <c r="G869">
        <f>VLOOKUP($D869,'[2]LC Dynamic'!$Q$2:$U$542,4,FALSE)</f>
        <v>0.308</v>
      </c>
      <c r="H869">
        <f>VLOOKUP($D869,'[2]LC Dynamic'!$Q$2:$U$542,5,FALSE)</f>
        <v>0.69199999999999995</v>
      </c>
      <c r="I869" s="77">
        <f t="shared" si="2820"/>
        <v>1</v>
      </c>
      <c r="J869" s="77">
        <f t="shared" si="2821"/>
        <v>6.9728499999999985E-2</v>
      </c>
      <c r="K869" s="77">
        <f t="shared" si="2611"/>
        <v>5.632878498097682E-3</v>
      </c>
      <c r="L869" s="76">
        <v>0</v>
      </c>
      <c r="M869" s="77">
        <f t="shared" si="2831"/>
        <v>0</v>
      </c>
      <c r="N869" s="77">
        <f t="shared" si="2832"/>
        <v>0</v>
      </c>
      <c r="O869" s="77">
        <f t="shared" si="2833"/>
        <v>5.6775999999999997E-3</v>
      </c>
      <c r="P869" s="77">
        <f t="shared" si="2834"/>
        <v>4.7436902124819991E-4</v>
      </c>
      <c r="R869" t="s">
        <v>177</v>
      </c>
      <c r="S869" t="s">
        <v>179</v>
      </c>
      <c r="T869" s="197" t="str">
        <f t="shared" si="2605"/>
        <v>Autopilot_Dynamic_218</v>
      </c>
      <c r="U869">
        <v>218</v>
      </c>
      <c r="V869">
        <f>VLOOKUP($U869,'[2]AP Dynamic'!$Q$1:$T$542,2,FALSE)</f>
        <v>0.88888888888888884</v>
      </c>
      <c r="W869">
        <f>VLOOKUP($U869,'[2]AP Dynamic'!$Q$1:$T$542,3,FALSE)</f>
        <v>0.11111111111111116</v>
      </c>
      <c r="X869">
        <f>VLOOKUP($U869,'[2]AP Dynamic'!$Q$1:$T$542,4,FALSE)</f>
        <v>0</v>
      </c>
      <c r="Y869" s="77">
        <f t="shared" si="2606"/>
        <v>1</v>
      </c>
      <c r="Z869" s="77">
        <f t="shared" si="2612"/>
        <v>6.3149999999999984E-2</v>
      </c>
      <c r="AA869" s="77">
        <f t="shared" si="2613"/>
        <v>5.1160591879111372E-3</v>
      </c>
      <c r="AB869" s="79">
        <v>1</v>
      </c>
      <c r="AC869" s="77">
        <f t="shared" si="2835"/>
        <v>8.277777777777778E-3</v>
      </c>
      <c r="AD869" s="77">
        <f t="shared" ref="AD869" si="2848">1-(1-AC869)^(1/12)</f>
        <v>6.9244588451522482E-4</v>
      </c>
      <c r="AE869" s="77">
        <f t="shared" si="2837"/>
        <v>2.5000000000000001E-3</v>
      </c>
      <c r="AF869" s="77">
        <f t="shared" ref="AF869" si="2849">1-(1-AE869)^(1/12)</f>
        <v>2.0857243058891584E-4</v>
      </c>
      <c r="AH869" t="s">
        <v>175</v>
      </c>
      <c r="AI869" t="s">
        <v>179</v>
      </c>
      <c r="AJ869" s="197" t="str">
        <f t="shared" si="2824"/>
        <v>Lifecycle_Dynamic_218</v>
      </c>
      <c r="AK869">
        <v>218</v>
      </c>
      <c r="AL869">
        <f>VLOOKUP($U869,[2]Standard_Dynamic!$Q$1:$T$542,2,FALSE)</f>
        <v>0.88888888888888884</v>
      </c>
      <c r="AM869">
        <f>VLOOKUP($U869,[2]Standard_Dynamic!$Q$1:$T$542,3,FALSE)</f>
        <v>0.11111111111111116</v>
      </c>
      <c r="AN869">
        <f>VLOOKUP($U869,[2]Standard_Dynamic!$Q$1:$T$542,4,FALSE)</f>
        <v>0</v>
      </c>
      <c r="AO869" s="77">
        <f t="shared" si="2825"/>
        <v>1</v>
      </c>
      <c r="AP869" s="77">
        <f t="shared" si="2839"/>
        <v>6.3149999999999984E-2</v>
      </c>
      <c r="AQ869" s="77">
        <f t="shared" si="2826"/>
        <v>5.1160591879111372E-3</v>
      </c>
      <c r="AR869" s="79">
        <v>0</v>
      </c>
      <c r="AS869" s="77">
        <f t="shared" si="2840"/>
        <v>0</v>
      </c>
      <c r="AT869" s="77">
        <f t="shared" ref="AT869" si="2850">1-(1-AS869)^(1/12)</f>
        <v>0</v>
      </c>
      <c r="AU869" s="77">
        <f t="shared" si="2842"/>
        <v>2.5000000000000001E-3</v>
      </c>
      <c r="AV869" s="77">
        <f t="shared" ref="AV869" si="2851">1-(1-AU869)^(1/12)</f>
        <v>2.0857243058891584E-4</v>
      </c>
      <c r="AX869" t="s">
        <v>178</v>
      </c>
      <c r="AY869" t="s">
        <v>162</v>
      </c>
      <c r="AZ869" s="197" t="str">
        <f t="shared" si="2638"/>
        <v>DIS_Standard_218</v>
      </c>
      <c r="BA869">
        <v>218</v>
      </c>
      <c r="BB869">
        <f>VLOOKUP($BA869,'[2]Standard DIS'!$Q$1:$X$542,4,FALSE)</f>
        <v>0</v>
      </c>
      <c r="BF869">
        <f>VLOOKUP($BA869,'[2]Standard DIS'!$Q$1:$X$542,2,FALSE)</f>
        <v>0.88888888888888884</v>
      </c>
      <c r="BH869">
        <f>VLOOKUP($BA869,'[2]Standard DIS'!$Q$1:$X$542,3,FALSE)</f>
        <v>0.11111111111111116</v>
      </c>
      <c r="BI869" s="77">
        <f t="shared" si="2829"/>
        <v>1</v>
      </c>
      <c r="BJ869" s="77">
        <f t="shared" si="2830"/>
        <v>6.3149999999999984E-2</v>
      </c>
      <c r="BK869" s="77">
        <f t="shared" si="2639"/>
        <v>5.1160591879111372E-3</v>
      </c>
      <c r="BL869" s="79">
        <v>0</v>
      </c>
      <c r="BM869" s="77">
        <f t="shared" si="2844"/>
        <v>0</v>
      </c>
      <c r="BN869" s="77">
        <f t="shared" si="2845"/>
        <v>0</v>
      </c>
      <c r="BO869" s="77">
        <f t="shared" si="2846"/>
        <v>2.5000000000000001E-3</v>
      </c>
      <c r="BP869" s="77">
        <f t="shared" si="2847"/>
        <v>2.0809499864316017E-4</v>
      </c>
    </row>
    <row r="870" spans="1:68">
      <c r="A870" t="s">
        <v>175</v>
      </c>
      <c r="B870" t="s">
        <v>179</v>
      </c>
      <c r="C870" s="197" t="str">
        <f t="shared" si="2604"/>
        <v>Lifecycle_Dynamic_217</v>
      </c>
      <c r="D870">
        <v>217</v>
      </c>
      <c r="E870">
        <f>VLOOKUP($D870,'[2]LC Dynamic'!$Q$2:$U$542,2,FALSE)</f>
        <v>0</v>
      </c>
      <c r="F870">
        <f>VLOOKUP($D870,'[2]LC Dynamic'!$Q$2:$U$542,3,FALSE)</f>
        <v>0</v>
      </c>
      <c r="G870">
        <f>VLOOKUP($D870,'[2]LC Dynamic'!$Q$2:$U$542,4,FALSE)</f>
        <v>0.308</v>
      </c>
      <c r="H870">
        <f>VLOOKUP($D870,'[2]LC Dynamic'!$Q$2:$U$542,5,FALSE)</f>
        <v>0.69199999999999995</v>
      </c>
      <c r="I870" s="77">
        <f t="shared" si="2820"/>
        <v>1</v>
      </c>
      <c r="J870" s="77">
        <f t="shared" si="2821"/>
        <v>6.9728499999999985E-2</v>
      </c>
      <c r="K870" s="77">
        <f t="shared" si="2611"/>
        <v>5.632878498097682E-3</v>
      </c>
      <c r="L870" s="76">
        <v>0</v>
      </c>
      <c r="M870" s="77">
        <f t="shared" si="2831"/>
        <v>0</v>
      </c>
      <c r="N870" s="77">
        <f t="shared" si="2832"/>
        <v>0</v>
      </c>
      <c r="O870" s="77">
        <f t="shared" si="2833"/>
        <v>5.6775999999999997E-3</v>
      </c>
      <c r="P870" s="77">
        <f t="shared" si="2834"/>
        <v>4.7436902124819991E-4</v>
      </c>
      <c r="R870" t="s">
        <v>177</v>
      </c>
      <c r="S870" t="s">
        <v>179</v>
      </c>
      <c r="T870" s="197" t="str">
        <f t="shared" si="2605"/>
        <v>Autopilot_Dynamic_217</v>
      </c>
      <c r="U870">
        <v>217</v>
      </c>
      <c r="V870">
        <f>VLOOKUP($U870,'[2]AP Dynamic'!$Q$1:$T$542,2,FALSE)</f>
        <v>0.88888888888888884</v>
      </c>
      <c r="W870">
        <f>VLOOKUP($U870,'[2]AP Dynamic'!$Q$1:$T$542,3,FALSE)</f>
        <v>0.11111111111111116</v>
      </c>
      <c r="X870">
        <f>VLOOKUP($U870,'[2]AP Dynamic'!$Q$1:$T$542,4,FALSE)</f>
        <v>0</v>
      </c>
      <c r="Y870" s="77">
        <f t="shared" si="2606"/>
        <v>1</v>
      </c>
      <c r="Z870" s="77">
        <f t="shared" si="2612"/>
        <v>6.3149999999999984E-2</v>
      </c>
      <c r="AA870" s="77">
        <f t="shared" si="2613"/>
        <v>5.1160591879111372E-3</v>
      </c>
      <c r="AB870" s="79">
        <v>1</v>
      </c>
      <c r="AC870" s="77">
        <f t="shared" si="2835"/>
        <v>8.277777777777778E-3</v>
      </c>
      <c r="AD870" s="77">
        <f t="shared" ref="AD870" si="2852">1-(1-AC870)^(1/12)</f>
        <v>6.9244588451522482E-4</v>
      </c>
      <c r="AE870" s="77">
        <f t="shared" si="2837"/>
        <v>2.5000000000000001E-3</v>
      </c>
      <c r="AF870" s="77">
        <f t="shared" ref="AF870" si="2853">1-(1-AE870)^(1/12)</f>
        <v>2.0857243058891584E-4</v>
      </c>
      <c r="AH870" t="s">
        <v>175</v>
      </c>
      <c r="AI870" t="s">
        <v>179</v>
      </c>
      <c r="AJ870" s="197" t="str">
        <f t="shared" si="2824"/>
        <v>Lifecycle_Dynamic_217</v>
      </c>
      <c r="AK870">
        <v>217</v>
      </c>
      <c r="AL870">
        <f>VLOOKUP($U870,[2]Standard_Dynamic!$Q$1:$T$542,2,FALSE)</f>
        <v>0.88888888888888884</v>
      </c>
      <c r="AM870">
        <f>VLOOKUP($U870,[2]Standard_Dynamic!$Q$1:$T$542,3,FALSE)</f>
        <v>0.11111111111111116</v>
      </c>
      <c r="AN870">
        <f>VLOOKUP($U870,[2]Standard_Dynamic!$Q$1:$T$542,4,FALSE)</f>
        <v>0</v>
      </c>
      <c r="AO870" s="77">
        <f t="shared" si="2825"/>
        <v>1</v>
      </c>
      <c r="AP870" s="77">
        <f t="shared" si="2839"/>
        <v>6.3149999999999984E-2</v>
      </c>
      <c r="AQ870" s="77">
        <f t="shared" si="2826"/>
        <v>5.1160591879111372E-3</v>
      </c>
      <c r="AR870" s="79">
        <v>0</v>
      </c>
      <c r="AS870" s="77">
        <f t="shared" si="2840"/>
        <v>0</v>
      </c>
      <c r="AT870" s="77">
        <f t="shared" ref="AT870" si="2854">1-(1-AS870)^(1/12)</f>
        <v>0</v>
      </c>
      <c r="AU870" s="77">
        <f t="shared" si="2842"/>
        <v>2.5000000000000001E-3</v>
      </c>
      <c r="AV870" s="77">
        <f t="shared" ref="AV870" si="2855">1-(1-AU870)^(1/12)</f>
        <v>2.0857243058891584E-4</v>
      </c>
      <c r="AX870" t="s">
        <v>178</v>
      </c>
      <c r="AY870" t="s">
        <v>162</v>
      </c>
      <c r="AZ870" s="197" t="str">
        <f t="shared" si="2638"/>
        <v>DIS_Standard_217</v>
      </c>
      <c r="BA870">
        <v>217</v>
      </c>
      <c r="BB870">
        <f>VLOOKUP($BA870,'[2]Standard DIS'!$Q$1:$X$542,4,FALSE)</f>
        <v>0</v>
      </c>
      <c r="BF870">
        <f>VLOOKUP($BA870,'[2]Standard DIS'!$Q$1:$X$542,2,FALSE)</f>
        <v>0.88888888888888884</v>
      </c>
      <c r="BH870">
        <f>VLOOKUP($BA870,'[2]Standard DIS'!$Q$1:$X$542,3,FALSE)</f>
        <v>0.11111111111111116</v>
      </c>
      <c r="BI870" s="77">
        <f t="shared" si="2829"/>
        <v>1</v>
      </c>
      <c r="BJ870" s="77">
        <f t="shared" si="2830"/>
        <v>6.3149999999999984E-2</v>
      </c>
      <c r="BK870" s="77">
        <f t="shared" si="2639"/>
        <v>5.1160591879111372E-3</v>
      </c>
      <c r="BL870" s="79">
        <v>0</v>
      </c>
      <c r="BM870" s="77">
        <f t="shared" si="2844"/>
        <v>0</v>
      </c>
      <c r="BN870" s="77">
        <f t="shared" si="2845"/>
        <v>0</v>
      </c>
      <c r="BO870" s="77">
        <f t="shared" si="2846"/>
        <v>2.5000000000000001E-3</v>
      </c>
      <c r="BP870" s="77">
        <f t="shared" si="2847"/>
        <v>2.0809499864316017E-4</v>
      </c>
    </row>
    <row r="871" spans="1:68">
      <c r="A871" t="s">
        <v>175</v>
      </c>
      <c r="B871" t="s">
        <v>179</v>
      </c>
      <c r="C871" s="197" t="str">
        <f t="shared" si="2604"/>
        <v>Lifecycle_Dynamic_216</v>
      </c>
      <c r="D871">
        <v>216</v>
      </c>
      <c r="E871">
        <f>VLOOKUP($D871,'[2]LC Dynamic'!$Q$2:$U$542,2,FALSE)</f>
        <v>0</v>
      </c>
      <c r="F871">
        <f>VLOOKUP($D871,'[2]LC Dynamic'!$Q$2:$U$542,3,FALSE)</f>
        <v>0</v>
      </c>
      <c r="G871">
        <f>VLOOKUP($D871,'[2]LC Dynamic'!$Q$2:$U$542,4,FALSE)</f>
        <v>0.308</v>
      </c>
      <c r="H871">
        <f>VLOOKUP($D871,'[2]LC Dynamic'!$Q$2:$U$542,5,FALSE)</f>
        <v>0.69199999999999995</v>
      </c>
      <c r="I871" s="77">
        <f t="shared" si="2820"/>
        <v>1</v>
      </c>
      <c r="J871" s="77">
        <f t="shared" si="2821"/>
        <v>6.9728499999999985E-2</v>
      </c>
      <c r="K871" s="77">
        <f t="shared" si="2611"/>
        <v>5.632878498097682E-3</v>
      </c>
      <c r="L871" s="76">
        <v>0</v>
      </c>
      <c r="M871" s="77">
        <f t="shared" si="2831"/>
        <v>0</v>
      </c>
      <c r="N871" s="77">
        <f t="shared" si="2832"/>
        <v>0</v>
      </c>
      <c r="O871" s="77">
        <f t="shared" si="2833"/>
        <v>5.6775999999999997E-3</v>
      </c>
      <c r="P871" s="77">
        <f t="shared" si="2834"/>
        <v>4.7436902124819991E-4</v>
      </c>
      <c r="R871" t="s">
        <v>177</v>
      </c>
      <c r="S871" t="s">
        <v>179</v>
      </c>
      <c r="T871" s="197" t="str">
        <f t="shared" si="2605"/>
        <v>Autopilot_Dynamic_216</v>
      </c>
      <c r="U871">
        <v>216</v>
      </c>
      <c r="V871">
        <f>VLOOKUP($U871,'[2]AP Dynamic'!$Q$1:$T$542,2,FALSE)</f>
        <v>0.88888888888888884</v>
      </c>
      <c r="W871">
        <f>VLOOKUP($U871,'[2]AP Dynamic'!$Q$1:$T$542,3,FALSE)</f>
        <v>0.11111111111111116</v>
      </c>
      <c r="X871">
        <f>VLOOKUP($U871,'[2]AP Dynamic'!$Q$1:$T$542,4,FALSE)</f>
        <v>0</v>
      </c>
      <c r="Y871" s="77">
        <f t="shared" si="2606"/>
        <v>1</v>
      </c>
      <c r="Z871" s="77">
        <f t="shared" si="2612"/>
        <v>6.3149999999999984E-2</v>
      </c>
      <c r="AA871" s="77">
        <f t="shared" si="2613"/>
        <v>5.1160591879111372E-3</v>
      </c>
      <c r="AB871" s="79">
        <v>1</v>
      </c>
      <c r="AC871" s="77">
        <f t="shared" si="2835"/>
        <v>8.277777777777778E-3</v>
      </c>
      <c r="AD871" s="77">
        <f t="shared" ref="AD871" si="2856">1-(1-AC871)^(1/12)</f>
        <v>6.9244588451522482E-4</v>
      </c>
      <c r="AE871" s="77">
        <f t="shared" si="2837"/>
        <v>2.5000000000000001E-3</v>
      </c>
      <c r="AF871" s="77">
        <f t="shared" ref="AF871" si="2857">1-(1-AE871)^(1/12)</f>
        <v>2.0857243058891584E-4</v>
      </c>
      <c r="AH871" t="s">
        <v>175</v>
      </c>
      <c r="AI871" t="s">
        <v>179</v>
      </c>
      <c r="AJ871" s="197" t="str">
        <f t="shared" si="2824"/>
        <v>Lifecycle_Dynamic_216</v>
      </c>
      <c r="AK871">
        <v>216</v>
      </c>
      <c r="AL871">
        <f>VLOOKUP($U871,[2]Standard_Dynamic!$Q$1:$T$542,2,FALSE)</f>
        <v>0.88888888888888884</v>
      </c>
      <c r="AM871">
        <f>VLOOKUP($U871,[2]Standard_Dynamic!$Q$1:$T$542,3,FALSE)</f>
        <v>0.11111111111111116</v>
      </c>
      <c r="AN871">
        <f>VLOOKUP($U871,[2]Standard_Dynamic!$Q$1:$T$542,4,FALSE)</f>
        <v>0</v>
      </c>
      <c r="AO871" s="77">
        <f t="shared" si="2825"/>
        <v>1</v>
      </c>
      <c r="AP871" s="77">
        <f t="shared" si="2839"/>
        <v>6.3149999999999984E-2</v>
      </c>
      <c r="AQ871" s="77">
        <f t="shared" si="2826"/>
        <v>5.1160591879111372E-3</v>
      </c>
      <c r="AR871" s="79">
        <v>0</v>
      </c>
      <c r="AS871" s="77">
        <f t="shared" si="2840"/>
        <v>0</v>
      </c>
      <c r="AT871" s="77">
        <f t="shared" ref="AT871" si="2858">1-(1-AS871)^(1/12)</f>
        <v>0</v>
      </c>
      <c r="AU871" s="77">
        <f t="shared" si="2842"/>
        <v>2.5000000000000001E-3</v>
      </c>
      <c r="AV871" s="77">
        <f t="shared" ref="AV871" si="2859">1-(1-AU871)^(1/12)</f>
        <v>2.0857243058891584E-4</v>
      </c>
      <c r="AX871" t="s">
        <v>178</v>
      </c>
      <c r="AY871" t="s">
        <v>162</v>
      </c>
      <c r="AZ871" s="197" t="str">
        <f t="shared" si="2638"/>
        <v>DIS_Standard_216</v>
      </c>
      <c r="BA871">
        <v>216</v>
      </c>
      <c r="BB871">
        <f>VLOOKUP($BA871,'[2]Standard DIS'!$Q$1:$X$542,4,FALSE)</f>
        <v>0</v>
      </c>
      <c r="BF871">
        <f>VLOOKUP($BA871,'[2]Standard DIS'!$Q$1:$X$542,2,FALSE)</f>
        <v>0.88888888888888884</v>
      </c>
      <c r="BH871">
        <f>VLOOKUP($BA871,'[2]Standard DIS'!$Q$1:$X$542,3,FALSE)</f>
        <v>0.11111111111111116</v>
      </c>
      <c r="BI871" s="77">
        <f t="shared" si="2829"/>
        <v>1</v>
      </c>
      <c r="BJ871" s="77">
        <f t="shared" si="2830"/>
        <v>6.3149999999999984E-2</v>
      </c>
      <c r="BK871" s="77">
        <f t="shared" si="2639"/>
        <v>5.1160591879111372E-3</v>
      </c>
      <c r="BL871" s="79">
        <v>0</v>
      </c>
      <c r="BM871" s="77">
        <f t="shared" si="2844"/>
        <v>0</v>
      </c>
      <c r="BN871" s="77">
        <f t="shared" si="2845"/>
        <v>0</v>
      </c>
      <c r="BO871" s="77">
        <f t="shared" si="2846"/>
        <v>2.5000000000000001E-3</v>
      </c>
      <c r="BP871" s="77">
        <f t="shared" si="2847"/>
        <v>2.0809499864316017E-4</v>
      </c>
    </row>
    <row r="872" spans="1:68">
      <c r="A872" t="s">
        <v>175</v>
      </c>
      <c r="B872" t="s">
        <v>179</v>
      </c>
      <c r="C872" s="197" t="str">
        <f t="shared" si="2604"/>
        <v>Lifecycle_Dynamic_215</v>
      </c>
      <c r="D872">
        <v>215</v>
      </c>
      <c r="E872">
        <f>VLOOKUP($D872,'[2]LC Dynamic'!$Q$2:$U$542,2,FALSE)</f>
        <v>0</v>
      </c>
      <c r="F872">
        <f>VLOOKUP($D872,'[2]LC Dynamic'!$Q$2:$U$542,3,FALSE)</f>
        <v>0</v>
      </c>
      <c r="G872">
        <f>VLOOKUP($D872,'[2]LC Dynamic'!$Q$2:$U$542,4,FALSE)</f>
        <v>0.308</v>
      </c>
      <c r="H872">
        <f>VLOOKUP($D872,'[2]LC Dynamic'!$Q$2:$U$542,5,FALSE)</f>
        <v>0.69199999999999995</v>
      </c>
      <c r="I872" s="77">
        <f t="shared" si="2820"/>
        <v>1</v>
      </c>
      <c r="J872" s="77">
        <f t="shared" si="2821"/>
        <v>6.9728499999999985E-2</v>
      </c>
      <c r="K872" s="77">
        <f t="shared" si="2611"/>
        <v>5.632878498097682E-3</v>
      </c>
      <c r="L872" s="76">
        <v>0</v>
      </c>
      <c r="M872" s="77">
        <f t="shared" si="2831"/>
        <v>0</v>
      </c>
      <c r="N872" s="77">
        <f t="shared" si="2832"/>
        <v>0</v>
      </c>
      <c r="O872" s="77">
        <f t="shared" si="2833"/>
        <v>5.6775999999999997E-3</v>
      </c>
      <c r="P872" s="77">
        <f t="shared" si="2834"/>
        <v>4.7436902124819991E-4</v>
      </c>
      <c r="R872" t="s">
        <v>177</v>
      </c>
      <c r="S872" t="s">
        <v>179</v>
      </c>
      <c r="T872" s="197" t="str">
        <f t="shared" si="2605"/>
        <v>Autopilot_Dynamic_215</v>
      </c>
      <c r="U872">
        <v>215</v>
      </c>
      <c r="V872">
        <f>VLOOKUP($U872,'[2]AP Dynamic'!$Q$1:$T$542,2,FALSE)</f>
        <v>0.88888888888888884</v>
      </c>
      <c r="W872">
        <f>VLOOKUP($U872,'[2]AP Dynamic'!$Q$1:$T$542,3,FALSE)</f>
        <v>0.11111111111111116</v>
      </c>
      <c r="X872">
        <f>VLOOKUP($U872,'[2]AP Dynamic'!$Q$1:$T$542,4,FALSE)</f>
        <v>0</v>
      </c>
      <c r="Y872" s="77">
        <f t="shared" si="2606"/>
        <v>1</v>
      </c>
      <c r="Z872" s="77">
        <f t="shared" si="2612"/>
        <v>6.3149999999999984E-2</v>
      </c>
      <c r="AA872" s="77">
        <f t="shared" si="2613"/>
        <v>5.1160591879111372E-3</v>
      </c>
      <c r="AB872" s="79">
        <v>1</v>
      </c>
      <c r="AC872" s="77">
        <f t="shared" si="2835"/>
        <v>8.277777777777778E-3</v>
      </c>
      <c r="AD872" s="77">
        <f t="shared" ref="AD872" si="2860">1-(1-AC872)^(1/12)</f>
        <v>6.9244588451522482E-4</v>
      </c>
      <c r="AE872" s="77">
        <f t="shared" si="2837"/>
        <v>2.5000000000000001E-3</v>
      </c>
      <c r="AF872" s="77">
        <f t="shared" ref="AF872" si="2861">1-(1-AE872)^(1/12)</f>
        <v>2.0857243058891584E-4</v>
      </c>
      <c r="AH872" t="s">
        <v>175</v>
      </c>
      <c r="AI872" t="s">
        <v>179</v>
      </c>
      <c r="AJ872" s="197" t="str">
        <f t="shared" si="2824"/>
        <v>Lifecycle_Dynamic_215</v>
      </c>
      <c r="AK872">
        <v>215</v>
      </c>
      <c r="AL872">
        <f>VLOOKUP($U872,[2]Standard_Dynamic!$Q$1:$T$542,2,FALSE)</f>
        <v>0.88888888888888884</v>
      </c>
      <c r="AM872">
        <f>VLOOKUP($U872,[2]Standard_Dynamic!$Q$1:$T$542,3,FALSE)</f>
        <v>0.11111111111111116</v>
      </c>
      <c r="AN872">
        <f>VLOOKUP($U872,[2]Standard_Dynamic!$Q$1:$T$542,4,FALSE)</f>
        <v>0</v>
      </c>
      <c r="AO872" s="77">
        <f t="shared" si="2825"/>
        <v>1</v>
      </c>
      <c r="AP872" s="77">
        <f t="shared" si="2839"/>
        <v>6.3149999999999984E-2</v>
      </c>
      <c r="AQ872" s="77">
        <f t="shared" si="2826"/>
        <v>5.1160591879111372E-3</v>
      </c>
      <c r="AR872" s="79">
        <v>0</v>
      </c>
      <c r="AS872" s="77">
        <f t="shared" si="2840"/>
        <v>0</v>
      </c>
      <c r="AT872" s="77">
        <f t="shared" ref="AT872" si="2862">1-(1-AS872)^(1/12)</f>
        <v>0</v>
      </c>
      <c r="AU872" s="77">
        <f t="shared" si="2842"/>
        <v>2.5000000000000001E-3</v>
      </c>
      <c r="AV872" s="77">
        <f t="shared" ref="AV872" si="2863">1-(1-AU872)^(1/12)</f>
        <v>2.0857243058891584E-4</v>
      </c>
      <c r="AX872" t="s">
        <v>178</v>
      </c>
      <c r="AY872" t="s">
        <v>162</v>
      </c>
      <c r="AZ872" s="197" t="str">
        <f t="shared" si="2638"/>
        <v>DIS_Standard_215</v>
      </c>
      <c r="BA872">
        <v>215</v>
      </c>
      <c r="BB872">
        <f>VLOOKUP($BA872,'[2]Standard DIS'!$Q$1:$X$542,4,FALSE)</f>
        <v>0</v>
      </c>
      <c r="BF872">
        <f>VLOOKUP($BA872,'[2]Standard DIS'!$Q$1:$X$542,2,FALSE)</f>
        <v>0.88888888888888884</v>
      </c>
      <c r="BH872">
        <f>VLOOKUP($BA872,'[2]Standard DIS'!$Q$1:$X$542,3,FALSE)</f>
        <v>0.11111111111111116</v>
      </c>
      <c r="BI872" s="77">
        <f t="shared" si="2829"/>
        <v>1</v>
      </c>
      <c r="BJ872" s="77">
        <f t="shared" si="2830"/>
        <v>6.3149999999999984E-2</v>
      </c>
      <c r="BK872" s="77">
        <f t="shared" si="2639"/>
        <v>5.1160591879111372E-3</v>
      </c>
      <c r="BL872" s="79">
        <v>0</v>
      </c>
      <c r="BM872" s="77">
        <f t="shared" si="2844"/>
        <v>0</v>
      </c>
      <c r="BN872" s="77">
        <f t="shared" si="2845"/>
        <v>0</v>
      </c>
      <c r="BO872" s="77">
        <f t="shared" si="2846"/>
        <v>2.5000000000000001E-3</v>
      </c>
      <c r="BP872" s="77">
        <f t="shared" si="2847"/>
        <v>2.0809499864316017E-4</v>
      </c>
    </row>
    <row r="873" spans="1:68">
      <c r="A873" t="s">
        <v>175</v>
      </c>
      <c r="B873" t="s">
        <v>179</v>
      </c>
      <c r="C873" s="197" t="str">
        <f t="shared" si="2604"/>
        <v>Lifecycle_Dynamic_214</v>
      </c>
      <c r="D873">
        <v>214</v>
      </c>
      <c r="E873">
        <f>VLOOKUP($D873,'[2]LC Dynamic'!$Q$2:$U$542,2,FALSE)</f>
        <v>0</v>
      </c>
      <c r="F873">
        <f>VLOOKUP($D873,'[2]LC Dynamic'!$Q$2:$U$542,3,FALSE)</f>
        <v>0</v>
      </c>
      <c r="G873">
        <f>VLOOKUP($D873,'[2]LC Dynamic'!$Q$2:$U$542,4,FALSE)</f>
        <v>0.308</v>
      </c>
      <c r="H873">
        <f>VLOOKUP($D873,'[2]LC Dynamic'!$Q$2:$U$542,5,FALSE)</f>
        <v>0.69199999999999995</v>
      </c>
      <c r="I873" s="77">
        <f t="shared" si="2820"/>
        <v>1</v>
      </c>
      <c r="J873" s="77">
        <f t="shared" si="2821"/>
        <v>6.9728499999999985E-2</v>
      </c>
      <c r="K873" s="77">
        <f t="shared" si="2611"/>
        <v>5.632878498097682E-3</v>
      </c>
      <c r="L873" s="76">
        <v>0</v>
      </c>
      <c r="M873" s="77">
        <f t="shared" si="2831"/>
        <v>0</v>
      </c>
      <c r="N873" s="77">
        <f t="shared" si="2832"/>
        <v>0</v>
      </c>
      <c r="O873" s="77">
        <f t="shared" si="2833"/>
        <v>5.6775999999999997E-3</v>
      </c>
      <c r="P873" s="77">
        <f t="shared" si="2834"/>
        <v>4.7436902124819991E-4</v>
      </c>
      <c r="R873" t="s">
        <v>177</v>
      </c>
      <c r="S873" t="s">
        <v>179</v>
      </c>
      <c r="T873" s="197" t="str">
        <f t="shared" si="2605"/>
        <v>Autopilot_Dynamic_214</v>
      </c>
      <c r="U873">
        <v>214</v>
      </c>
      <c r="V873">
        <f>VLOOKUP($U873,'[2]AP Dynamic'!$Q$1:$T$542,2,FALSE)</f>
        <v>0.88888888888888884</v>
      </c>
      <c r="W873">
        <f>VLOOKUP($U873,'[2]AP Dynamic'!$Q$1:$T$542,3,FALSE)</f>
        <v>0.11111111111111116</v>
      </c>
      <c r="X873">
        <f>VLOOKUP($U873,'[2]AP Dynamic'!$Q$1:$T$542,4,FALSE)</f>
        <v>0</v>
      </c>
      <c r="Y873" s="77">
        <f t="shared" si="2606"/>
        <v>1</v>
      </c>
      <c r="Z873" s="77">
        <f t="shared" si="2612"/>
        <v>6.3149999999999984E-2</v>
      </c>
      <c r="AA873" s="77">
        <f t="shared" si="2613"/>
        <v>5.1160591879111372E-3</v>
      </c>
      <c r="AB873" s="79">
        <v>1</v>
      </c>
      <c r="AC873" s="77">
        <f t="shared" si="2835"/>
        <v>8.277777777777778E-3</v>
      </c>
      <c r="AD873" s="77">
        <f t="shared" ref="AD873" si="2864">1-(1-AC873)^(1/12)</f>
        <v>6.9244588451522482E-4</v>
      </c>
      <c r="AE873" s="77">
        <f t="shared" si="2837"/>
        <v>2.5000000000000001E-3</v>
      </c>
      <c r="AF873" s="77">
        <f t="shared" ref="AF873" si="2865">1-(1-AE873)^(1/12)</f>
        <v>2.0857243058891584E-4</v>
      </c>
      <c r="AH873" t="s">
        <v>175</v>
      </c>
      <c r="AI873" t="s">
        <v>179</v>
      </c>
      <c r="AJ873" s="197" t="str">
        <f t="shared" si="2824"/>
        <v>Lifecycle_Dynamic_214</v>
      </c>
      <c r="AK873">
        <v>214</v>
      </c>
      <c r="AL873">
        <f>VLOOKUP($U873,[2]Standard_Dynamic!$Q$1:$T$542,2,FALSE)</f>
        <v>0.88888888888888884</v>
      </c>
      <c r="AM873">
        <f>VLOOKUP($U873,[2]Standard_Dynamic!$Q$1:$T$542,3,FALSE)</f>
        <v>0.11111111111111116</v>
      </c>
      <c r="AN873">
        <f>VLOOKUP($U873,[2]Standard_Dynamic!$Q$1:$T$542,4,FALSE)</f>
        <v>0</v>
      </c>
      <c r="AO873" s="77">
        <f t="shared" si="2825"/>
        <v>1</v>
      </c>
      <c r="AP873" s="77">
        <f t="shared" si="2839"/>
        <v>6.3149999999999984E-2</v>
      </c>
      <c r="AQ873" s="77">
        <f t="shared" si="2826"/>
        <v>5.1160591879111372E-3</v>
      </c>
      <c r="AR873" s="79">
        <v>0</v>
      </c>
      <c r="AS873" s="77">
        <f t="shared" si="2840"/>
        <v>0</v>
      </c>
      <c r="AT873" s="77">
        <f t="shared" ref="AT873" si="2866">1-(1-AS873)^(1/12)</f>
        <v>0</v>
      </c>
      <c r="AU873" s="77">
        <f t="shared" si="2842"/>
        <v>2.5000000000000001E-3</v>
      </c>
      <c r="AV873" s="77">
        <f t="shared" ref="AV873" si="2867">1-(1-AU873)^(1/12)</f>
        <v>2.0857243058891584E-4</v>
      </c>
      <c r="AX873" t="s">
        <v>178</v>
      </c>
      <c r="AY873" t="s">
        <v>162</v>
      </c>
      <c r="AZ873" s="197" t="str">
        <f t="shared" si="2638"/>
        <v>DIS_Standard_214</v>
      </c>
      <c r="BA873">
        <v>214</v>
      </c>
      <c r="BB873">
        <f>VLOOKUP($BA873,'[2]Standard DIS'!$Q$1:$X$542,4,FALSE)</f>
        <v>0</v>
      </c>
      <c r="BF873">
        <f>VLOOKUP($BA873,'[2]Standard DIS'!$Q$1:$X$542,2,FALSE)</f>
        <v>0.88888888888888884</v>
      </c>
      <c r="BH873">
        <f>VLOOKUP($BA873,'[2]Standard DIS'!$Q$1:$X$542,3,FALSE)</f>
        <v>0.11111111111111116</v>
      </c>
      <c r="BI873" s="77">
        <f t="shared" si="2829"/>
        <v>1</v>
      </c>
      <c r="BJ873" s="77">
        <f t="shared" si="2830"/>
        <v>6.3149999999999984E-2</v>
      </c>
      <c r="BK873" s="77">
        <f t="shared" si="2639"/>
        <v>5.1160591879111372E-3</v>
      </c>
      <c r="BL873" s="79">
        <v>0</v>
      </c>
      <c r="BM873" s="77">
        <f t="shared" si="2844"/>
        <v>0</v>
      </c>
      <c r="BN873" s="77">
        <f t="shared" si="2845"/>
        <v>0</v>
      </c>
      <c r="BO873" s="77">
        <f t="shared" si="2846"/>
        <v>2.5000000000000001E-3</v>
      </c>
      <c r="BP873" s="77">
        <f t="shared" si="2847"/>
        <v>2.0809499864316017E-4</v>
      </c>
    </row>
    <row r="874" spans="1:68">
      <c r="A874" t="s">
        <v>175</v>
      </c>
      <c r="B874" t="s">
        <v>179</v>
      </c>
      <c r="C874" s="197" t="str">
        <f t="shared" si="2604"/>
        <v>Lifecycle_Dynamic_213</v>
      </c>
      <c r="D874">
        <v>213</v>
      </c>
      <c r="E874">
        <f>VLOOKUP($D874,'[2]LC Dynamic'!$Q$2:$U$542,2,FALSE)</f>
        <v>0</v>
      </c>
      <c r="F874">
        <f>VLOOKUP($D874,'[2]LC Dynamic'!$Q$2:$U$542,3,FALSE)</f>
        <v>0</v>
      </c>
      <c r="G874">
        <f>VLOOKUP($D874,'[2]LC Dynamic'!$Q$2:$U$542,4,FALSE)</f>
        <v>0.308</v>
      </c>
      <c r="H874">
        <f>VLOOKUP($D874,'[2]LC Dynamic'!$Q$2:$U$542,5,FALSE)</f>
        <v>0.69199999999999995</v>
      </c>
      <c r="I874" s="77">
        <f t="shared" si="2820"/>
        <v>1</v>
      </c>
      <c r="J874" s="77">
        <f t="shared" si="2821"/>
        <v>6.9728499999999985E-2</v>
      </c>
      <c r="K874" s="77">
        <f t="shared" si="2611"/>
        <v>5.632878498097682E-3</v>
      </c>
      <c r="L874" s="76">
        <v>0</v>
      </c>
      <c r="M874" s="77">
        <f t="shared" si="2831"/>
        <v>0</v>
      </c>
      <c r="N874" s="77">
        <f t="shared" si="2832"/>
        <v>0</v>
      </c>
      <c r="O874" s="77">
        <f t="shared" si="2833"/>
        <v>5.6775999999999997E-3</v>
      </c>
      <c r="P874" s="77">
        <f t="shared" si="2834"/>
        <v>4.7436902124819991E-4</v>
      </c>
      <c r="R874" t="s">
        <v>177</v>
      </c>
      <c r="S874" t="s">
        <v>179</v>
      </c>
      <c r="T874" s="197" t="str">
        <f t="shared" si="2605"/>
        <v>Autopilot_Dynamic_213</v>
      </c>
      <c r="U874">
        <v>213</v>
      </c>
      <c r="V874">
        <f>VLOOKUP($U874,'[2]AP Dynamic'!$Q$1:$T$542,2,FALSE)</f>
        <v>0.88888888888888884</v>
      </c>
      <c r="W874">
        <f>VLOOKUP($U874,'[2]AP Dynamic'!$Q$1:$T$542,3,FALSE)</f>
        <v>0.11111111111111116</v>
      </c>
      <c r="X874">
        <f>VLOOKUP($U874,'[2]AP Dynamic'!$Q$1:$T$542,4,FALSE)</f>
        <v>0</v>
      </c>
      <c r="Y874" s="77">
        <f t="shared" si="2606"/>
        <v>1</v>
      </c>
      <c r="Z874" s="77">
        <f t="shared" si="2612"/>
        <v>6.3149999999999984E-2</v>
      </c>
      <c r="AA874" s="77">
        <f t="shared" si="2613"/>
        <v>5.1160591879111372E-3</v>
      </c>
      <c r="AB874" s="79">
        <v>1</v>
      </c>
      <c r="AC874" s="77">
        <f t="shared" si="2835"/>
        <v>8.277777777777778E-3</v>
      </c>
      <c r="AD874" s="77">
        <f t="shared" ref="AD874" si="2868">1-(1-AC874)^(1/12)</f>
        <v>6.9244588451522482E-4</v>
      </c>
      <c r="AE874" s="77">
        <f t="shared" si="2837"/>
        <v>2.5000000000000001E-3</v>
      </c>
      <c r="AF874" s="77">
        <f t="shared" ref="AF874" si="2869">1-(1-AE874)^(1/12)</f>
        <v>2.0857243058891584E-4</v>
      </c>
      <c r="AH874" t="s">
        <v>175</v>
      </c>
      <c r="AI874" t="s">
        <v>179</v>
      </c>
      <c r="AJ874" s="197" t="str">
        <f t="shared" si="2824"/>
        <v>Lifecycle_Dynamic_213</v>
      </c>
      <c r="AK874">
        <v>213</v>
      </c>
      <c r="AL874">
        <f>VLOOKUP($U874,[2]Standard_Dynamic!$Q$1:$T$542,2,FALSE)</f>
        <v>0.88888888888888884</v>
      </c>
      <c r="AM874">
        <f>VLOOKUP($U874,[2]Standard_Dynamic!$Q$1:$T$542,3,FALSE)</f>
        <v>0.11111111111111116</v>
      </c>
      <c r="AN874">
        <f>VLOOKUP($U874,[2]Standard_Dynamic!$Q$1:$T$542,4,FALSE)</f>
        <v>0</v>
      </c>
      <c r="AO874" s="77">
        <f t="shared" si="2825"/>
        <v>1</v>
      </c>
      <c r="AP874" s="77">
        <f t="shared" si="2839"/>
        <v>6.3149999999999984E-2</v>
      </c>
      <c r="AQ874" s="77">
        <f t="shared" si="2826"/>
        <v>5.1160591879111372E-3</v>
      </c>
      <c r="AR874" s="79">
        <v>0</v>
      </c>
      <c r="AS874" s="77">
        <f t="shared" si="2840"/>
        <v>0</v>
      </c>
      <c r="AT874" s="77">
        <f t="shared" ref="AT874" si="2870">1-(1-AS874)^(1/12)</f>
        <v>0</v>
      </c>
      <c r="AU874" s="77">
        <f t="shared" si="2842"/>
        <v>2.5000000000000001E-3</v>
      </c>
      <c r="AV874" s="77">
        <f t="shared" ref="AV874" si="2871">1-(1-AU874)^(1/12)</f>
        <v>2.0857243058891584E-4</v>
      </c>
      <c r="AX874" t="s">
        <v>178</v>
      </c>
      <c r="AY874" t="s">
        <v>162</v>
      </c>
      <c r="AZ874" s="197" t="str">
        <f t="shared" si="2638"/>
        <v>DIS_Standard_213</v>
      </c>
      <c r="BA874">
        <v>213</v>
      </c>
      <c r="BB874">
        <f>VLOOKUP($BA874,'[2]Standard DIS'!$Q$1:$X$542,4,FALSE)</f>
        <v>0</v>
      </c>
      <c r="BF874">
        <f>VLOOKUP($BA874,'[2]Standard DIS'!$Q$1:$X$542,2,FALSE)</f>
        <v>0.88888888888888884</v>
      </c>
      <c r="BH874">
        <f>VLOOKUP($BA874,'[2]Standard DIS'!$Q$1:$X$542,3,FALSE)</f>
        <v>0.11111111111111116</v>
      </c>
      <c r="BI874" s="77">
        <f t="shared" si="2829"/>
        <v>1</v>
      </c>
      <c r="BJ874" s="77">
        <f t="shared" si="2830"/>
        <v>6.3149999999999984E-2</v>
      </c>
      <c r="BK874" s="77">
        <f t="shared" si="2639"/>
        <v>5.1160591879111372E-3</v>
      </c>
      <c r="BL874" s="79">
        <v>0</v>
      </c>
      <c r="BM874" s="77">
        <f t="shared" si="2844"/>
        <v>0</v>
      </c>
      <c r="BN874" s="77">
        <f t="shared" si="2845"/>
        <v>0</v>
      </c>
      <c r="BO874" s="77">
        <f t="shared" si="2846"/>
        <v>2.5000000000000001E-3</v>
      </c>
      <c r="BP874" s="77">
        <f t="shared" si="2847"/>
        <v>2.0809499864316017E-4</v>
      </c>
    </row>
    <row r="875" spans="1:68">
      <c r="A875" t="s">
        <v>175</v>
      </c>
      <c r="B875" t="s">
        <v>179</v>
      </c>
      <c r="C875" s="197" t="str">
        <f t="shared" si="2604"/>
        <v>Lifecycle_Dynamic_212</v>
      </c>
      <c r="D875">
        <v>212</v>
      </c>
      <c r="E875">
        <f>VLOOKUP($D875,'[2]LC Dynamic'!$Q$2:$U$542,2,FALSE)</f>
        <v>0</v>
      </c>
      <c r="F875">
        <f>VLOOKUP($D875,'[2]LC Dynamic'!$Q$2:$U$542,3,FALSE)</f>
        <v>0</v>
      </c>
      <c r="G875">
        <f>VLOOKUP($D875,'[2]LC Dynamic'!$Q$2:$U$542,4,FALSE)</f>
        <v>0.308</v>
      </c>
      <c r="H875">
        <f>VLOOKUP($D875,'[2]LC Dynamic'!$Q$2:$U$542,5,FALSE)</f>
        <v>0.69199999999999995</v>
      </c>
      <c r="I875" s="77">
        <f t="shared" si="2820"/>
        <v>1</v>
      </c>
      <c r="J875" s="77">
        <f t="shared" si="2821"/>
        <v>6.9728499999999985E-2</v>
      </c>
      <c r="K875" s="77">
        <f t="shared" si="2611"/>
        <v>5.632878498097682E-3</v>
      </c>
      <c r="L875" s="76">
        <v>0</v>
      </c>
      <c r="M875" s="77">
        <f t="shared" si="2831"/>
        <v>0</v>
      </c>
      <c r="N875" s="77">
        <f t="shared" si="2832"/>
        <v>0</v>
      </c>
      <c r="O875" s="77">
        <f t="shared" si="2833"/>
        <v>5.6775999999999997E-3</v>
      </c>
      <c r="P875" s="77">
        <f t="shared" si="2834"/>
        <v>4.7436902124819991E-4</v>
      </c>
      <c r="R875" t="s">
        <v>177</v>
      </c>
      <c r="S875" t="s">
        <v>179</v>
      </c>
      <c r="T875" s="197" t="str">
        <f t="shared" si="2605"/>
        <v>Autopilot_Dynamic_212</v>
      </c>
      <c r="U875">
        <v>212</v>
      </c>
      <c r="V875">
        <f>VLOOKUP($U875,'[2]AP Dynamic'!$Q$1:$T$542,2,FALSE)</f>
        <v>0.88888888888888884</v>
      </c>
      <c r="W875">
        <f>VLOOKUP($U875,'[2]AP Dynamic'!$Q$1:$T$542,3,FALSE)</f>
        <v>0.11111111111111116</v>
      </c>
      <c r="X875">
        <f>VLOOKUP($U875,'[2]AP Dynamic'!$Q$1:$T$542,4,FALSE)</f>
        <v>0</v>
      </c>
      <c r="Y875" s="77">
        <f t="shared" si="2606"/>
        <v>1</v>
      </c>
      <c r="Z875" s="77">
        <f t="shared" si="2612"/>
        <v>6.3149999999999984E-2</v>
      </c>
      <c r="AA875" s="77">
        <f t="shared" si="2613"/>
        <v>5.1160591879111372E-3</v>
      </c>
      <c r="AB875" s="79">
        <v>1</v>
      </c>
      <c r="AC875" s="77">
        <f t="shared" si="2835"/>
        <v>8.277777777777778E-3</v>
      </c>
      <c r="AD875" s="77">
        <f t="shared" ref="AD875" si="2872">1-(1-AC875)^(1/12)</f>
        <v>6.9244588451522482E-4</v>
      </c>
      <c r="AE875" s="77">
        <f t="shared" si="2837"/>
        <v>2.5000000000000001E-3</v>
      </c>
      <c r="AF875" s="77">
        <f t="shared" ref="AF875" si="2873">1-(1-AE875)^(1/12)</f>
        <v>2.0857243058891584E-4</v>
      </c>
      <c r="AH875" t="s">
        <v>175</v>
      </c>
      <c r="AI875" t="s">
        <v>179</v>
      </c>
      <c r="AJ875" s="197" t="str">
        <f t="shared" si="2824"/>
        <v>Lifecycle_Dynamic_212</v>
      </c>
      <c r="AK875">
        <v>212</v>
      </c>
      <c r="AL875">
        <f>VLOOKUP($U875,[2]Standard_Dynamic!$Q$1:$T$542,2,FALSE)</f>
        <v>0.88888888888888884</v>
      </c>
      <c r="AM875">
        <f>VLOOKUP($U875,[2]Standard_Dynamic!$Q$1:$T$542,3,FALSE)</f>
        <v>0.11111111111111116</v>
      </c>
      <c r="AN875">
        <f>VLOOKUP($U875,[2]Standard_Dynamic!$Q$1:$T$542,4,FALSE)</f>
        <v>0</v>
      </c>
      <c r="AO875" s="77">
        <f t="shared" si="2825"/>
        <v>1</v>
      </c>
      <c r="AP875" s="77">
        <f t="shared" si="2839"/>
        <v>6.3149999999999984E-2</v>
      </c>
      <c r="AQ875" s="77">
        <f t="shared" si="2826"/>
        <v>5.1160591879111372E-3</v>
      </c>
      <c r="AR875" s="79">
        <v>0</v>
      </c>
      <c r="AS875" s="77">
        <f t="shared" si="2840"/>
        <v>0</v>
      </c>
      <c r="AT875" s="77">
        <f t="shared" ref="AT875" si="2874">1-(1-AS875)^(1/12)</f>
        <v>0</v>
      </c>
      <c r="AU875" s="77">
        <f t="shared" si="2842"/>
        <v>2.5000000000000001E-3</v>
      </c>
      <c r="AV875" s="77">
        <f t="shared" ref="AV875" si="2875">1-(1-AU875)^(1/12)</f>
        <v>2.0857243058891584E-4</v>
      </c>
      <c r="AX875" t="s">
        <v>178</v>
      </c>
      <c r="AY875" t="s">
        <v>162</v>
      </c>
      <c r="AZ875" s="197" t="str">
        <f t="shared" si="2638"/>
        <v>DIS_Standard_212</v>
      </c>
      <c r="BA875">
        <v>212</v>
      </c>
      <c r="BB875">
        <f>VLOOKUP($BA875,'[2]Standard DIS'!$Q$1:$X$542,4,FALSE)</f>
        <v>0</v>
      </c>
      <c r="BF875">
        <f>VLOOKUP($BA875,'[2]Standard DIS'!$Q$1:$X$542,2,FALSE)</f>
        <v>0.88888888888888884</v>
      </c>
      <c r="BH875">
        <f>VLOOKUP($BA875,'[2]Standard DIS'!$Q$1:$X$542,3,FALSE)</f>
        <v>0.11111111111111116</v>
      </c>
      <c r="BI875" s="77">
        <f t="shared" si="2829"/>
        <v>1</v>
      </c>
      <c r="BJ875" s="77">
        <f t="shared" si="2830"/>
        <v>6.3149999999999984E-2</v>
      </c>
      <c r="BK875" s="77">
        <f t="shared" si="2639"/>
        <v>5.1160591879111372E-3</v>
      </c>
      <c r="BL875" s="79">
        <v>0</v>
      </c>
      <c r="BM875" s="77">
        <f t="shared" si="2844"/>
        <v>0</v>
      </c>
      <c r="BN875" s="77">
        <f t="shared" si="2845"/>
        <v>0</v>
      </c>
      <c r="BO875" s="77">
        <f t="shared" si="2846"/>
        <v>2.5000000000000001E-3</v>
      </c>
      <c r="BP875" s="77">
        <f t="shared" si="2847"/>
        <v>2.0809499864316017E-4</v>
      </c>
    </row>
    <row r="876" spans="1:68">
      <c r="A876" t="s">
        <v>175</v>
      </c>
      <c r="B876" t="s">
        <v>179</v>
      </c>
      <c r="C876" s="197" t="str">
        <f t="shared" si="2604"/>
        <v>Lifecycle_Dynamic_211</v>
      </c>
      <c r="D876">
        <v>211</v>
      </c>
      <c r="E876">
        <f>VLOOKUP($D876,'[2]LC Dynamic'!$Q$2:$U$542,2,FALSE)</f>
        <v>0</v>
      </c>
      <c r="F876">
        <f>VLOOKUP($D876,'[2]LC Dynamic'!$Q$2:$U$542,3,FALSE)</f>
        <v>0</v>
      </c>
      <c r="G876">
        <f>VLOOKUP($D876,'[2]LC Dynamic'!$Q$2:$U$542,4,FALSE)</f>
        <v>0.308</v>
      </c>
      <c r="H876">
        <f>VLOOKUP($D876,'[2]LC Dynamic'!$Q$2:$U$542,5,FALSE)</f>
        <v>0.69199999999999995</v>
      </c>
      <c r="I876" s="77">
        <f t="shared" si="2820"/>
        <v>1</v>
      </c>
      <c r="J876" s="77">
        <f t="shared" si="2821"/>
        <v>6.9728499999999985E-2</v>
      </c>
      <c r="K876" s="77">
        <f t="shared" si="2611"/>
        <v>5.632878498097682E-3</v>
      </c>
      <c r="L876" s="76">
        <v>0</v>
      </c>
      <c r="M876" s="77">
        <f t="shared" si="2831"/>
        <v>0</v>
      </c>
      <c r="N876" s="77">
        <f t="shared" si="2832"/>
        <v>0</v>
      </c>
      <c r="O876" s="77">
        <f t="shared" si="2833"/>
        <v>5.6775999999999997E-3</v>
      </c>
      <c r="P876" s="77">
        <f t="shared" si="2834"/>
        <v>4.7436902124819991E-4</v>
      </c>
      <c r="R876" t="s">
        <v>177</v>
      </c>
      <c r="S876" t="s">
        <v>179</v>
      </c>
      <c r="T876" s="197" t="str">
        <f t="shared" si="2605"/>
        <v>Autopilot_Dynamic_211</v>
      </c>
      <c r="U876">
        <v>211</v>
      </c>
      <c r="V876">
        <f>VLOOKUP($U876,'[2]AP Dynamic'!$Q$1:$T$542,2,FALSE)</f>
        <v>0.88888888888888884</v>
      </c>
      <c r="W876">
        <f>VLOOKUP($U876,'[2]AP Dynamic'!$Q$1:$T$542,3,FALSE)</f>
        <v>0.11111111111111116</v>
      </c>
      <c r="X876">
        <f>VLOOKUP($U876,'[2]AP Dynamic'!$Q$1:$T$542,4,FALSE)</f>
        <v>0</v>
      </c>
      <c r="Y876" s="77">
        <f t="shared" si="2606"/>
        <v>1</v>
      </c>
      <c r="Z876" s="77">
        <f t="shared" si="2612"/>
        <v>6.3149999999999984E-2</v>
      </c>
      <c r="AA876" s="77">
        <f t="shared" si="2613"/>
        <v>5.1160591879111372E-3</v>
      </c>
      <c r="AB876" s="79">
        <v>1</v>
      </c>
      <c r="AC876" s="77">
        <f t="shared" si="2835"/>
        <v>8.277777777777778E-3</v>
      </c>
      <c r="AD876" s="77">
        <f t="shared" ref="AD876" si="2876">1-(1-AC876)^(1/12)</f>
        <v>6.9244588451522482E-4</v>
      </c>
      <c r="AE876" s="77">
        <f t="shared" si="2837"/>
        <v>2.5000000000000001E-3</v>
      </c>
      <c r="AF876" s="77">
        <f t="shared" ref="AF876" si="2877">1-(1-AE876)^(1/12)</f>
        <v>2.0857243058891584E-4</v>
      </c>
      <c r="AH876" t="s">
        <v>175</v>
      </c>
      <c r="AI876" t="s">
        <v>179</v>
      </c>
      <c r="AJ876" s="197" t="str">
        <f t="shared" si="2824"/>
        <v>Lifecycle_Dynamic_211</v>
      </c>
      <c r="AK876">
        <v>211</v>
      </c>
      <c r="AL876">
        <f>VLOOKUP($U876,[2]Standard_Dynamic!$Q$1:$T$542,2,FALSE)</f>
        <v>0.88888888888888884</v>
      </c>
      <c r="AM876">
        <f>VLOOKUP($U876,[2]Standard_Dynamic!$Q$1:$T$542,3,FALSE)</f>
        <v>0.11111111111111116</v>
      </c>
      <c r="AN876">
        <f>VLOOKUP($U876,[2]Standard_Dynamic!$Q$1:$T$542,4,FALSE)</f>
        <v>0</v>
      </c>
      <c r="AO876" s="77">
        <f t="shared" si="2825"/>
        <v>1</v>
      </c>
      <c r="AP876" s="77">
        <f t="shared" si="2839"/>
        <v>6.3149999999999984E-2</v>
      </c>
      <c r="AQ876" s="77">
        <f t="shared" si="2826"/>
        <v>5.1160591879111372E-3</v>
      </c>
      <c r="AR876" s="79">
        <v>0</v>
      </c>
      <c r="AS876" s="77">
        <f t="shared" si="2840"/>
        <v>0</v>
      </c>
      <c r="AT876" s="77">
        <f t="shared" ref="AT876" si="2878">1-(1-AS876)^(1/12)</f>
        <v>0</v>
      </c>
      <c r="AU876" s="77">
        <f t="shared" si="2842"/>
        <v>2.5000000000000001E-3</v>
      </c>
      <c r="AV876" s="77">
        <f t="shared" ref="AV876" si="2879">1-(1-AU876)^(1/12)</f>
        <v>2.0857243058891584E-4</v>
      </c>
      <c r="AX876" t="s">
        <v>178</v>
      </c>
      <c r="AY876" t="s">
        <v>162</v>
      </c>
      <c r="AZ876" s="197" t="str">
        <f t="shared" si="2638"/>
        <v>DIS_Standard_211</v>
      </c>
      <c r="BA876">
        <v>211</v>
      </c>
      <c r="BB876">
        <f>VLOOKUP($BA876,'[2]Standard DIS'!$Q$1:$X$542,4,FALSE)</f>
        <v>0</v>
      </c>
      <c r="BF876">
        <f>VLOOKUP($BA876,'[2]Standard DIS'!$Q$1:$X$542,2,FALSE)</f>
        <v>0.88888888888888884</v>
      </c>
      <c r="BH876">
        <f>VLOOKUP($BA876,'[2]Standard DIS'!$Q$1:$X$542,3,FALSE)</f>
        <v>0.11111111111111116</v>
      </c>
      <c r="BI876" s="77">
        <f t="shared" si="2829"/>
        <v>1</v>
      </c>
      <c r="BJ876" s="77">
        <f t="shared" si="2830"/>
        <v>6.3149999999999984E-2</v>
      </c>
      <c r="BK876" s="77">
        <f t="shared" si="2639"/>
        <v>5.1160591879111372E-3</v>
      </c>
      <c r="BL876" s="79">
        <v>0</v>
      </c>
      <c r="BM876" s="77">
        <f t="shared" si="2844"/>
        <v>0</v>
      </c>
      <c r="BN876" s="77">
        <f t="shared" si="2845"/>
        <v>0</v>
      </c>
      <c r="BO876" s="77">
        <f t="shared" si="2846"/>
        <v>2.5000000000000001E-3</v>
      </c>
      <c r="BP876" s="77">
        <f t="shared" si="2847"/>
        <v>2.0809499864316017E-4</v>
      </c>
    </row>
    <row r="877" spans="1:68">
      <c r="A877" t="s">
        <v>175</v>
      </c>
      <c r="B877" t="s">
        <v>179</v>
      </c>
      <c r="C877" s="197" t="str">
        <f t="shared" si="2604"/>
        <v>Lifecycle_Dynamic_210</v>
      </c>
      <c r="D877">
        <v>210</v>
      </c>
      <c r="E877">
        <f>VLOOKUP($D877,'[2]LC Dynamic'!$Q$2:$U$542,2,FALSE)</f>
        <v>0</v>
      </c>
      <c r="F877">
        <f>VLOOKUP($D877,'[2]LC Dynamic'!$Q$2:$U$542,3,FALSE)</f>
        <v>0</v>
      </c>
      <c r="G877">
        <f>VLOOKUP($D877,'[2]LC Dynamic'!$Q$2:$U$542,4,FALSE)</f>
        <v>0.308</v>
      </c>
      <c r="H877">
        <f>VLOOKUP($D877,'[2]LC Dynamic'!$Q$2:$U$542,5,FALSE)</f>
        <v>0.69199999999999995</v>
      </c>
      <c r="I877" s="77">
        <f t="shared" si="2820"/>
        <v>1</v>
      </c>
      <c r="J877" s="77">
        <f t="shared" si="2821"/>
        <v>6.9728499999999985E-2</v>
      </c>
      <c r="K877" s="77">
        <f t="shared" si="2611"/>
        <v>5.632878498097682E-3</v>
      </c>
      <c r="L877" s="76">
        <v>0</v>
      </c>
      <c r="M877" s="77">
        <f t="shared" si="2831"/>
        <v>0</v>
      </c>
      <c r="N877" s="77">
        <f t="shared" si="2832"/>
        <v>0</v>
      </c>
      <c r="O877" s="77">
        <f t="shared" si="2833"/>
        <v>5.6775999999999997E-3</v>
      </c>
      <c r="P877" s="77">
        <f t="shared" si="2834"/>
        <v>4.7436902124819991E-4</v>
      </c>
      <c r="R877" t="s">
        <v>177</v>
      </c>
      <c r="S877" t="s">
        <v>179</v>
      </c>
      <c r="T877" s="197" t="str">
        <f t="shared" si="2605"/>
        <v>Autopilot_Dynamic_210</v>
      </c>
      <c r="U877">
        <v>210</v>
      </c>
      <c r="V877">
        <f>VLOOKUP($U877,'[2]AP Dynamic'!$Q$1:$T$542,2,FALSE)</f>
        <v>0.88888888888888884</v>
      </c>
      <c r="W877">
        <f>VLOOKUP($U877,'[2]AP Dynamic'!$Q$1:$T$542,3,FALSE)</f>
        <v>0.11111111111111116</v>
      </c>
      <c r="X877">
        <f>VLOOKUP($U877,'[2]AP Dynamic'!$Q$1:$T$542,4,FALSE)</f>
        <v>0</v>
      </c>
      <c r="Y877" s="77">
        <f t="shared" si="2606"/>
        <v>1</v>
      </c>
      <c r="Z877" s="77">
        <f t="shared" si="2612"/>
        <v>6.3149999999999984E-2</v>
      </c>
      <c r="AA877" s="77">
        <f t="shared" si="2613"/>
        <v>5.1160591879111372E-3</v>
      </c>
      <c r="AB877" s="79">
        <v>1</v>
      </c>
      <c r="AC877" s="77">
        <f t="shared" si="2835"/>
        <v>8.277777777777778E-3</v>
      </c>
      <c r="AD877" s="77">
        <f t="shared" ref="AD877" si="2880">1-(1-AC877)^(1/12)</f>
        <v>6.9244588451522482E-4</v>
      </c>
      <c r="AE877" s="77">
        <f t="shared" si="2837"/>
        <v>2.5000000000000001E-3</v>
      </c>
      <c r="AF877" s="77">
        <f t="shared" ref="AF877" si="2881">1-(1-AE877)^(1/12)</f>
        <v>2.0857243058891584E-4</v>
      </c>
      <c r="AH877" t="s">
        <v>175</v>
      </c>
      <c r="AI877" t="s">
        <v>179</v>
      </c>
      <c r="AJ877" s="197" t="str">
        <f t="shared" si="2824"/>
        <v>Lifecycle_Dynamic_210</v>
      </c>
      <c r="AK877">
        <v>210</v>
      </c>
      <c r="AL877">
        <f>VLOOKUP($U877,[2]Standard_Dynamic!$Q$1:$T$542,2,FALSE)</f>
        <v>0.88888888888888884</v>
      </c>
      <c r="AM877">
        <f>VLOOKUP($U877,[2]Standard_Dynamic!$Q$1:$T$542,3,FALSE)</f>
        <v>0.11111111111111116</v>
      </c>
      <c r="AN877">
        <f>VLOOKUP($U877,[2]Standard_Dynamic!$Q$1:$T$542,4,FALSE)</f>
        <v>0</v>
      </c>
      <c r="AO877" s="77">
        <f t="shared" si="2825"/>
        <v>1</v>
      </c>
      <c r="AP877" s="77">
        <f t="shared" si="2839"/>
        <v>6.3149999999999984E-2</v>
      </c>
      <c r="AQ877" s="77">
        <f t="shared" si="2826"/>
        <v>5.1160591879111372E-3</v>
      </c>
      <c r="AR877" s="79">
        <v>0</v>
      </c>
      <c r="AS877" s="77">
        <f t="shared" si="2840"/>
        <v>0</v>
      </c>
      <c r="AT877" s="77">
        <f t="shared" ref="AT877" si="2882">1-(1-AS877)^(1/12)</f>
        <v>0</v>
      </c>
      <c r="AU877" s="77">
        <f t="shared" si="2842"/>
        <v>2.5000000000000001E-3</v>
      </c>
      <c r="AV877" s="77">
        <f t="shared" ref="AV877" si="2883">1-(1-AU877)^(1/12)</f>
        <v>2.0857243058891584E-4</v>
      </c>
      <c r="AX877" t="s">
        <v>178</v>
      </c>
      <c r="AY877" t="s">
        <v>162</v>
      </c>
      <c r="AZ877" s="197" t="str">
        <f t="shared" si="2638"/>
        <v>DIS_Standard_210</v>
      </c>
      <c r="BA877">
        <v>210</v>
      </c>
      <c r="BB877">
        <f>VLOOKUP($BA877,'[2]Standard DIS'!$Q$1:$X$542,4,FALSE)</f>
        <v>0</v>
      </c>
      <c r="BF877">
        <f>VLOOKUP($BA877,'[2]Standard DIS'!$Q$1:$X$542,2,FALSE)</f>
        <v>0.88888888888888884</v>
      </c>
      <c r="BH877">
        <f>VLOOKUP($BA877,'[2]Standard DIS'!$Q$1:$X$542,3,FALSE)</f>
        <v>0.11111111111111116</v>
      </c>
      <c r="BI877" s="77">
        <f t="shared" si="2829"/>
        <v>1</v>
      </c>
      <c r="BJ877" s="77">
        <f t="shared" si="2830"/>
        <v>6.3149999999999984E-2</v>
      </c>
      <c r="BK877" s="77">
        <f t="shared" si="2639"/>
        <v>5.1160591879111372E-3</v>
      </c>
      <c r="BL877" s="79">
        <v>0</v>
      </c>
      <c r="BM877" s="77">
        <f t="shared" si="2844"/>
        <v>0</v>
      </c>
      <c r="BN877" s="77">
        <f t="shared" si="2845"/>
        <v>0</v>
      </c>
      <c r="BO877" s="77">
        <f t="shared" si="2846"/>
        <v>2.5000000000000001E-3</v>
      </c>
      <c r="BP877" s="77">
        <f t="shared" si="2847"/>
        <v>2.0809499864316017E-4</v>
      </c>
    </row>
    <row r="878" spans="1:68">
      <c r="A878" t="s">
        <v>175</v>
      </c>
      <c r="B878" t="s">
        <v>179</v>
      </c>
      <c r="C878" s="197" t="str">
        <f t="shared" si="2604"/>
        <v>Lifecycle_Dynamic_209</v>
      </c>
      <c r="D878">
        <v>209</v>
      </c>
      <c r="E878">
        <f>VLOOKUP($D878,'[2]LC Dynamic'!$Q$2:$U$542,2,FALSE)</f>
        <v>0</v>
      </c>
      <c r="F878">
        <f>VLOOKUP($D878,'[2]LC Dynamic'!$Q$2:$U$542,3,FALSE)</f>
        <v>0</v>
      </c>
      <c r="G878">
        <f>VLOOKUP($D878,'[2]LC Dynamic'!$Q$2:$U$542,4,FALSE)</f>
        <v>0.308</v>
      </c>
      <c r="H878">
        <f>VLOOKUP($D878,'[2]LC Dynamic'!$Q$2:$U$542,5,FALSE)</f>
        <v>0.69199999999999995</v>
      </c>
      <c r="I878" s="77">
        <f t="shared" si="2820"/>
        <v>1</v>
      </c>
      <c r="J878" s="77">
        <f t="shared" si="2821"/>
        <v>6.9728499999999985E-2</v>
      </c>
      <c r="K878" s="77">
        <f t="shared" si="2611"/>
        <v>5.632878498097682E-3</v>
      </c>
      <c r="L878" s="76">
        <v>0</v>
      </c>
      <c r="M878" s="77">
        <f t="shared" si="2831"/>
        <v>0</v>
      </c>
      <c r="N878" s="77">
        <f t="shared" si="2832"/>
        <v>0</v>
      </c>
      <c r="O878" s="77">
        <f t="shared" si="2833"/>
        <v>5.6775999999999997E-3</v>
      </c>
      <c r="P878" s="77">
        <f t="shared" si="2834"/>
        <v>4.7436902124819991E-4</v>
      </c>
      <c r="R878" t="s">
        <v>177</v>
      </c>
      <c r="S878" t="s">
        <v>179</v>
      </c>
      <c r="T878" s="197" t="str">
        <f t="shared" si="2605"/>
        <v>Autopilot_Dynamic_209</v>
      </c>
      <c r="U878">
        <v>209</v>
      </c>
      <c r="V878">
        <f>VLOOKUP($U878,'[2]AP Dynamic'!$Q$1:$T$542,2,FALSE)</f>
        <v>0.88888888888888884</v>
      </c>
      <c r="W878">
        <f>VLOOKUP($U878,'[2]AP Dynamic'!$Q$1:$T$542,3,FALSE)</f>
        <v>0.11111111111111116</v>
      </c>
      <c r="X878">
        <f>VLOOKUP($U878,'[2]AP Dynamic'!$Q$1:$T$542,4,FALSE)</f>
        <v>0</v>
      </c>
      <c r="Y878" s="77">
        <f t="shared" si="2606"/>
        <v>1</v>
      </c>
      <c r="Z878" s="77">
        <f t="shared" si="2612"/>
        <v>6.3149999999999984E-2</v>
      </c>
      <c r="AA878" s="77">
        <f t="shared" si="2613"/>
        <v>5.1160591879111372E-3</v>
      </c>
      <c r="AB878" s="79">
        <v>1</v>
      </c>
      <c r="AC878" s="77">
        <f t="shared" si="2835"/>
        <v>8.277777777777778E-3</v>
      </c>
      <c r="AD878" s="77">
        <f t="shared" ref="AD878" si="2884">1-(1-AC878)^(1/12)</f>
        <v>6.9244588451522482E-4</v>
      </c>
      <c r="AE878" s="77">
        <f t="shared" si="2837"/>
        <v>2.5000000000000001E-3</v>
      </c>
      <c r="AF878" s="77">
        <f t="shared" ref="AF878" si="2885">1-(1-AE878)^(1/12)</f>
        <v>2.0857243058891584E-4</v>
      </c>
      <c r="AH878" t="s">
        <v>175</v>
      </c>
      <c r="AI878" t="s">
        <v>179</v>
      </c>
      <c r="AJ878" s="197" t="str">
        <f t="shared" si="2824"/>
        <v>Lifecycle_Dynamic_209</v>
      </c>
      <c r="AK878">
        <v>209</v>
      </c>
      <c r="AL878">
        <f>VLOOKUP($U878,[2]Standard_Dynamic!$Q$1:$T$542,2,FALSE)</f>
        <v>0.88888888888888884</v>
      </c>
      <c r="AM878">
        <f>VLOOKUP($U878,[2]Standard_Dynamic!$Q$1:$T$542,3,FALSE)</f>
        <v>0.11111111111111116</v>
      </c>
      <c r="AN878">
        <f>VLOOKUP($U878,[2]Standard_Dynamic!$Q$1:$T$542,4,FALSE)</f>
        <v>0</v>
      </c>
      <c r="AO878" s="77">
        <f t="shared" si="2825"/>
        <v>1</v>
      </c>
      <c r="AP878" s="77">
        <f t="shared" si="2839"/>
        <v>6.3149999999999984E-2</v>
      </c>
      <c r="AQ878" s="77">
        <f t="shared" si="2826"/>
        <v>5.1160591879111372E-3</v>
      </c>
      <c r="AR878" s="79">
        <v>0</v>
      </c>
      <c r="AS878" s="77">
        <f t="shared" si="2840"/>
        <v>0</v>
      </c>
      <c r="AT878" s="77">
        <f t="shared" ref="AT878" si="2886">1-(1-AS878)^(1/12)</f>
        <v>0</v>
      </c>
      <c r="AU878" s="77">
        <f t="shared" si="2842"/>
        <v>2.5000000000000001E-3</v>
      </c>
      <c r="AV878" s="77">
        <f t="shared" ref="AV878" si="2887">1-(1-AU878)^(1/12)</f>
        <v>2.0857243058891584E-4</v>
      </c>
      <c r="AX878" t="s">
        <v>178</v>
      </c>
      <c r="AY878" t="s">
        <v>162</v>
      </c>
      <c r="AZ878" s="197" t="str">
        <f t="shared" si="2638"/>
        <v>DIS_Standard_209</v>
      </c>
      <c r="BA878">
        <v>209</v>
      </c>
      <c r="BB878">
        <f>VLOOKUP($BA878,'[2]Standard DIS'!$Q$1:$X$542,4,FALSE)</f>
        <v>0</v>
      </c>
      <c r="BF878">
        <f>VLOOKUP($BA878,'[2]Standard DIS'!$Q$1:$X$542,2,FALSE)</f>
        <v>0.88888888888888884</v>
      </c>
      <c r="BH878">
        <f>VLOOKUP($BA878,'[2]Standard DIS'!$Q$1:$X$542,3,FALSE)</f>
        <v>0.11111111111111116</v>
      </c>
      <c r="BI878" s="77">
        <f t="shared" si="2829"/>
        <v>1</v>
      </c>
      <c r="BJ878" s="77">
        <f t="shared" si="2830"/>
        <v>6.3149999999999984E-2</v>
      </c>
      <c r="BK878" s="77">
        <f t="shared" si="2639"/>
        <v>5.1160591879111372E-3</v>
      </c>
      <c r="BL878" s="79">
        <v>0</v>
      </c>
      <c r="BM878" s="77">
        <f t="shared" si="2844"/>
        <v>0</v>
      </c>
      <c r="BN878" s="77">
        <f t="shared" si="2845"/>
        <v>0</v>
      </c>
      <c r="BO878" s="77">
        <f t="shared" si="2846"/>
        <v>2.5000000000000001E-3</v>
      </c>
      <c r="BP878" s="77">
        <f t="shared" si="2847"/>
        <v>2.0809499864316017E-4</v>
      </c>
    </row>
    <row r="879" spans="1:68">
      <c r="A879" t="s">
        <v>175</v>
      </c>
      <c r="B879" t="s">
        <v>179</v>
      </c>
      <c r="C879" s="197" t="str">
        <f t="shared" ref="C879:C942" si="2888">A879&amp;"_"&amp;B879&amp;"_"&amp;D879</f>
        <v>Lifecycle_Dynamic_208</v>
      </c>
      <c r="D879">
        <v>208</v>
      </c>
      <c r="E879">
        <f>VLOOKUP($D879,'[2]LC Dynamic'!$Q$2:$U$542,2,FALSE)</f>
        <v>0</v>
      </c>
      <c r="F879">
        <f>VLOOKUP($D879,'[2]LC Dynamic'!$Q$2:$U$542,3,FALSE)</f>
        <v>0</v>
      </c>
      <c r="G879">
        <f>VLOOKUP($D879,'[2]LC Dynamic'!$Q$2:$U$542,4,FALSE)</f>
        <v>0.308</v>
      </c>
      <c r="H879">
        <f>VLOOKUP($D879,'[2]LC Dynamic'!$Q$2:$U$542,5,FALSE)</f>
        <v>0.69199999999999995</v>
      </c>
      <c r="I879" s="77">
        <f t="shared" si="2820"/>
        <v>1</v>
      </c>
      <c r="J879" s="77">
        <f t="shared" si="2821"/>
        <v>6.9728499999999985E-2</v>
      </c>
      <c r="K879" s="77">
        <f t="shared" si="2611"/>
        <v>5.632878498097682E-3</v>
      </c>
      <c r="L879" s="76">
        <v>0</v>
      </c>
      <c r="M879" s="77">
        <f t="shared" si="2831"/>
        <v>0</v>
      </c>
      <c r="N879" s="77">
        <f t="shared" si="2832"/>
        <v>0</v>
      </c>
      <c r="O879" s="77">
        <f t="shared" si="2833"/>
        <v>5.6775999999999997E-3</v>
      </c>
      <c r="P879" s="77">
        <f t="shared" si="2834"/>
        <v>4.7436902124819991E-4</v>
      </c>
      <c r="R879" t="s">
        <v>177</v>
      </c>
      <c r="S879" t="s">
        <v>179</v>
      </c>
      <c r="T879" s="197" t="str">
        <f t="shared" ref="T879:T942" si="2889">R879&amp;"_"&amp;S879&amp;"_"&amp;U879</f>
        <v>Autopilot_Dynamic_208</v>
      </c>
      <c r="U879">
        <v>208</v>
      </c>
      <c r="V879">
        <f>VLOOKUP($U879,'[2]AP Dynamic'!$Q$1:$T$542,2,FALSE)</f>
        <v>0.88888888888888884</v>
      </c>
      <c r="W879">
        <f>VLOOKUP($U879,'[2]AP Dynamic'!$Q$1:$T$542,3,FALSE)</f>
        <v>0.11111111111111116</v>
      </c>
      <c r="X879">
        <f>VLOOKUP($U879,'[2]AP Dynamic'!$Q$1:$T$542,4,FALSE)</f>
        <v>0</v>
      </c>
      <c r="Y879" s="77">
        <f t="shared" ref="Y879:Y942" si="2890">SUM(V879:X879)</f>
        <v>1</v>
      </c>
      <c r="Z879" s="77">
        <f t="shared" si="2612"/>
        <v>6.3149999999999984E-2</v>
      </c>
      <c r="AA879" s="77">
        <f t="shared" si="2613"/>
        <v>5.1160591879111372E-3</v>
      </c>
      <c r="AB879" s="79">
        <v>1</v>
      </c>
      <c r="AC879" s="77">
        <f t="shared" si="2835"/>
        <v>8.277777777777778E-3</v>
      </c>
      <c r="AD879" s="77">
        <f t="shared" ref="AD879" si="2891">1-(1-AC879)^(1/12)</f>
        <v>6.9244588451522482E-4</v>
      </c>
      <c r="AE879" s="77">
        <f t="shared" si="2837"/>
        <v>2.5000000000000001E-3</v>
      </c>
      <c r="AF879" s="77">
        <f t="shared" ref="AF879" si="2892">1-(1-AE879)^(1/12)</f>
        <v>2.0857243058891584E-4</v>
      </c>
      <c r="AH879" t="s">
        <v>175</v>
      </c>
      <c r="AI879" t="s">
        <v>179</v>
      </c>
      <c r="AJ879" s="197" t="str">
        <f t="shared" si="2824"/>
        <v>Lifecycle_Dynamic_208</v>
      </c>
      <c r="AK879">
        <v>208</v>
      </c>
      <c r="AL879">
        <f>VLOOKUP($U879,[2]Standard_Dynamic!$Q$1:$T$542,2,FALSE)</f>
        <v>0.88888888888888884</v>
      </c>
      <c r="AM879">
        <f>VLOOKUP($U879,[2]Standard_Dynamic!$Q$1:$T$542,3,FALSE)</f>
        <v>0.11111111111111116</v>
      </c>
      <c r="AN879">
        <f>VLOOKUP($U879,[2]Standard_Dynamic!$Q$1:$T$542,4,FALSE)</f>
        <v>0</v>
      </c>
      <c r="AO879" s="77">
        <f t="shared" si="2825"/>
        <v>1</v>
      </c>
      <c r="AP879" s="77">
        <f t="shared" si="2839"/>
        <v>6.3149999999999984E-2</v>
      </c>
      <c r="AQ879" s="77">
        <f t="shared" si="2826"/>
        <v>5.1160591879111372E-3</v>
      </c>
      <c r="AR879" s="79">
        <v>0</v>
      </c>
      <c r="AS879" s="77">
        <f t="shared" si="2840"/>
        <v>0</v>
      </c>
      <c r="AT879" s="77">
        <f t="shared" ref="AT879" si="2893">1-(1-AS879)^(1/12)</f>
        <v>0</v>
      </c>
      <c r="AU879" s="77">
        <f t="shared" si="2842"/>
        <v>2.5000000000000001E-3</v>
      </c>
      <c r="AV879" s="77">
        <f t="shared" ref="AV879" si="2894">1-(1-AU879)^(1/12)</f>
        <v>2.0857243058891584E-4</v>
      </c>
      <c r="AX879" t="s">
        <v>178</v>
      </c>
      <c r="AY879" t="s">
        <v>162</v>
      </c>
      <c r="AZ879" s="197" t="str">
        <f t="shared" si="2638"/>
        <v>DIS_Standard_208</v>
      </c>
      <c r="BA879">
        <v>208</v>
      </c>
      <c r="BB879">
        <f>VLOOKUP($BA879,'[2]Standard DIS'!$Q$1:$X$542,4,FALSE)</f>
        <v>0</v>
      </c>
      <c r="BF879">
        <f>VLOOKUP($BA879,'[2]Standard DIS'!$Q$1:$X$542,2,FALSE)</f>
        <v>0.88888888888888884</v>
      </c>
      <c r="BH879">
        <f>VLOOKUP($BA879,'[2]Standard DIS'!$Q$1:$X$542,3,FALSE)</f>
        <v>0.11111111111111116</v>
      </c>
      <c r="BI879" s="77">
        <f t="shared" si="2829"/>
        <v>1</v>
      </c>
      <c r="BJ879" s="77">
        <f t="shared" si="2830"/>
        <v>6.3149999999999984E-2</v>
      </c>
      <c r="BK879" s="77">
        <f t="shared" si="2639"/>
        <v>5.1160591879111372E-3</v>
      </c>
      <c r="BL879" s="79">
        <v>0</v>
      </c>
      <c r="BM879" s="77">
        <f t="shared" si="2844"/>
        <v>0</v>
      </c>
      <c r="BN879" s="77">
        <f t="shared" si="2845"/>
        <v>0</v>
      </c>
      <c r="BO879" s="77">
        <f t="shared" si="2846"/>
        <v>2.5000000000000001E-3</v>
      </c>
      <c r="BP879" s="77">
        <f t="shared" si="2847"/>
        <v>2.0809499864316017E-4</v>
      </c>
    </row>
    <row r="880" spans="1:68">
      <c r="A880" t="s">
        <v>175</v>
      </c>
      <c r="B880" t="s">
        <v>179</v>
      </c>
      <c r="C880" s="197" t="str">
        <f t="shared" si="2888"/>
        <v>Lifecycle_Dynamic_207</v>
      </c>
      <c r="D880">
        <v>207</v>
      </c>
      <c r="E880">
        <f>VLOOKUP($D880,'[2]LC Dynamic'!$Q$2:$U$542,2,FALSE)</f>
        <v>0</v>
      </c>
      <c r="F880">
        <f>VLOOKUP($D880,'[2]LC Dynamic'!$Q$2:$U$542,3,FALSE)</f>
        <v>0</v>
      </c>
      <c r="G880">
        <f>VLOOKUP($D880,'[2]LC Dynamic'!$Q$2:$U$542,4,FALSE)</f>
        <v>0.308</v>
      </c>
      <c r="H880">
        <f>VLOOKUP($D880,'[2]LC Dynamic'!$Q$2:$U$542,5,FALSE)</f>
        <v>0.69199999999999995</v>
      </c>
      <c r="I880" s="77">
        <f t="shared" si="2820"/>
        <v>1</v>
      </c>
      <c r="J880" s="77">
        <f t="shared" si="2821"/>
        <v>6.9728499999999985E-2</v>
      </c>
      <c r="K880" s="77">
        <f t="shared" ref="K880:K943" si="2895">(1+J880)^(1/12)-1</f>
        <v>5.632878498097682E-3</v>
      </c>
      <c r="L880" s="76">
        <v>0</v>
      </c>
      <c r="M880" s="77">
        <f t="shared" si="2831"/>
        <v>0</v>
      </c>
      <c r="N880" s="77">
        <f t="shared" si="2832"/>
        <v>0</v>
      </c>
      <c r="O880" s="77">
        <f t="shared" si="2833"/>
        <v>5.6775999999999997E-3</v>
      </c>
      <c r="P880" s="77">
        <f t="shared" si="2834"/>
        <v>4.7436902124819991E-4</v>
      </c>
      <c r="R880" t="s">
        <v>177</v>
      </c>
      <c r="S880" t="s">
        <v>179</v>
      </c>
      <c r="T880" s="197" t="str">
        <f t="shared" si="2889"/>
        <v>Autopilot_Dynamic_207</v>
      </c>
      <c r="U880">
        <v>207</v>
      </c>
      <c r="V880">
        <f>VLOOKUP($U880,'[2]AP Dynamic'!$Q$1:$T$542,2,FALSE)</f>
        <v>0.88888888888888884</v>
      </c>
      <c r="W880">
        <f>VLOOKUP($U880,'[2]AP Dynamic'!$Q$1:$T$542,3,FALSE)</f>
        <v>0.11111111111111116</v>
      </c>
      <c r="X880">
        <f>VLOOKUP($U880,'[2]AP Dynamic'!$Q$1:$T$542,4,FALSE)</f>
        <v>0</v>
      </c>
      <c r="Y880" s="77">
        <f t="shared" si="2890"/>
        <v>1</v>
      </c>
      <c r="Z880" s="77">
        <f t="shared" ref="Z880:Z943" si="2896">SUMPRODUCT($V$1:$X$1,V880:X880)</f>
        <v>6.3149999999999984E-2</v>
      </c>
      <c r="AA880" s="77">
        <f t="shared" ref="AA880:AA943" si="2897">(1+Z880)^(1/12)-1</f>
        <v>5.1160591879111372E-3</v>
      </c>
      <c r="AB880" s="79">
        <v>1</v>
      </c>
      <c r="AC880" s="77">
        <f t="shared" si="2835"/>
        <v>8.277777777777778E-3</v>
      </c>
      <c r="AD880" s="77">
        <f t="shared" ref="AD880" si="2898">1-(1-AC880)^(1/12)</f>
        <v>6.9244588451522482E-4</v>
      </c>
      <c r="AE880" s="77">
        <f t="shared" si="2837"/>
        <v>2.5000000000000001E-3</v>
      </c>
      <c r="AF880" s="77">
        <f t="shared" ref="AF880" si="2899">1-(1-AE880)^(1/12)</f>
        <v>2.0857243058891584E-4</v>
      </c>
      <c r="AH880" t="s">
        <v>175</v>
      </c>
      <c r="AI880" t="s">
        <v>179</v>
      </c>
      <c r="AJ880" s="197" t="str">
        <f t="shared" si="2824"/>
        <v>Lifecycle_Dynamic_207</v>
      </c>
      <c r="AK880">
        <v>207</v>
      </c>
      <c r="AL880">
        <f>VLOOKUP($U880,[2]Standard_Dynamic!$Q$1:$T$542,2,FALSE)</f>
        <v>0.88888888888888884</v>
      </c>
      <c r="AM880">
        <f>VLOOKUP($U880,[2]Standard_Dynamic!$Q$1:$T$542,3,FALSE)</f>
        <v>0.11111111111111116</v>
      </c>
      <c r="AN880">
        <f>VLOOKUP($U880,[2]Standard_Dynamic!$Q$1:$T$542,4,FALSE)</f>
        <v>0</v>
      </c>
      <c r="AO880" s="77">
        <f t="shared" si="2825"/>
        <v>1</v>
      </c>
      <c r="AP880" s="77">
        <f t="shared" si="2839"/>
        <v>6.3149999999999984E-2</v>
      </c>
      <c r="AQ880" s="77">
        <f t="shared" si="2826"/>
        <v>5.1160591879111372E-3</v>
      </c>
      <c r="AR880" s="79">
        <v>0</v>
      </c>
      <c r="AS880" s="77">
        <f t="shared" si="2840"/>
        <v>0</v>
      </c>
      <c r="AT880" s="77">
        <f t="shared" ref="AT880" si="2900">1-(1-AS880)^(1/12)</f>
        <v>0</v>
      </c>
      <c r="AU880" s="77">
        <f t="shared" si="2842"/>
        <v>2.5000000000000001E-3</v>
      </c>
      <c r="AV880" s="77">
        <f t="shared" ref="AV880" si="2901">1-(1-AU880)^(1/12)</f>
        <v>2.0857243058891584E-4</v>
      </c>
      <c r="AX880" t="s">
        <v>178</v>
      </c>
      <c r="AY880" t="s">
        <v>162</v>
      </c>
      <c r="AZ880" s="197" t="str">
        <f t="shared" si="2638"/>
        <v>DIS_Standard_207</v>
      </c>
      <c r="BA880">
        <v>207</v>
      </c>
      <c r="BB880">
        <f>VLOOKUP($BA880,'[2]Standard DIS'!$Q$1:$X$542,4,FALSE)</f>
        <v>0</v>
      </c>
      <c r="BF880">
        <f>VLOOKUP($BA880,'[2]Standard DIS'!$Q$1:$X$542,2,FALSE)</f>
        <v>0.88888888888888884</v>
      </c>
      <c r="BH880">
        <f>VLOOKUP($BA880,'[2]Standard DIS'!$Q$1:$X$542,3,FALSE)</f>
        <v>0.11111111111111116</v>
      </c>
      <c r="BI880" s="77">
        <f t="shared" si="2829"/>
        <v>1</v>
      </c>
      <c r="BJ880" s="77">
        <f t="shared" si="2830"/>
        <v>6.3149999999999984E-2</v>
      </c>
      <c r="BK880" s="77">
        <f t="shared" si="2639"/>
        <v>5.1160591879111372E-3</v>
      </c>
      <c r="BL880" s="79">
        <v>0</v>
      </c>
      <c r="BM880" s="77">
        <f t="shared" si="2844"/>
        <v>0</v>
      </c>
      <c r="BN880" s="77">
        <f t="shared" si="2845"/>
        <v>0</v>
      </c>
      <c r="BO880" s="77">
        <f t="shared" si="2846"/>
        <v>2.5000000000000001E-3</v>
      </c>
      <c r="BP880" s="77">
        <f t="shared" si="2847"/>
        <v>2.0809499864316017E-4</v>
      </c>
    </row>
    <row r="881" spans="1:68">
      <c r="A881" t="s">
        <v>175</v>
      </c>
      <c r="B881" t="s">
        <v>179</v>
      </c>
      <c r="C881" s="197" t="str">
        <f t="shared" si="2888"/>
        <v>Lifecycle_Dynamic_206</v>
      </c>
      <c r="D881">
        <v>206</v>
      </c>
      <c r="E881">
        <f>VLOOKUP($D881,'[2]LC Dynamic'!$Q$2:$U$542,2,FALSE)</f>
        <v>0</v>
      </c>
      <c r="F881">
        <f>VLOOKUP($D881,'[2]LC Dynamic'!$Q$2:$U$542,3,FALSE)</f>
        <v>0</v>
      </c>
      <c r="G881">
        <f>VLOOKUP($D881,'[2]LC Dynamic'!$Q$2:$U$542,4,FALSE)</f>
        <v>0.308</v>
      </c>
      <c r="H881">
        <f>VLOOKUP($D881,'[2]LC Dynamic'!$Q$2:$U$542,5,FALSE)</f>
        <v>0.69199999999999995</v>
      </c>
      <c r="I881" s="77">
        <f t="shared" si="2820"/>
        <v>1</v>
      </c>
      <c r="J881" s="77">
        <f t="shared" si="2821"/>
        <v>6.9728499999999985E-2</v>
      </c>
      <c r="K881" s="77">
        <f t="shared" si="2895"/>
        <v>5.632878498097682E-3</v>
      </c>
      <c r="L881" s="76">
        <v>0</v>
      </c>
      <c r="M881" s="77">
        <f t="shared" si="2831"/>
        <v>0</v>
      </c>
      <c r="N881" s="77">
        <f t="shared" si="2832"/>
        <v>0</v>
      </c>
      <c r="O881" s="77">
        <f t="shared" si="2833"/>
        <v>5.6775999999999997E-3</v>
      </c>
      <c r="P881" s="77">
        <f t="shared" si="2834"/>
        <v>4.7436902124819991E-4</v>
      </c>
      <c r="R881" t="s">
        <v>177</v>
      </c>
      <c r="S881" t="s">
        <v>179</v>
      </c>
      <c r="T881" s="197" t="str">
        <f t="shared" si="2889"/>
        <v>Autopilot_Dynamic_206</v>
      </c>
      <c r="U881">
        <v>206</v>
      </c>
      <c r="V881">
        <f>VLOOKUP($U881,'[2]AP Dynamic'!$Q$1:$T$542,2,FALSE)</f>
        <v>0.88888888888888884</v>
      </c>
      <c r="W881">
        <f>VLOOKUP($U881,'[2]AP Dynamic'!$Q$1:$T$542,3,FALSE)</f>
        <v>0.11111111111111116</v>
      </c>
      <c r="X881">
        <f>VLOOKUP($U881,'[2]AP Dynamic'!$Q$1:$T$542,4,FALSE)</f>
        <v>0</v>
      </c>
      <c r="Y881" s="77">
        <f t="shared" si="2890"/>
        <v>1</v>
      </c>
      <c r="Z881" s="77">
        <f t="shared" si="2896"/>
        <v>6.3149999999999984E-2</v>
      </c>
      <c r="AA881" s="77">
        <f t="shared" si="2897"/>
        <v>5.1160591879111372E-3</v>
      </c>
      <c r="AB881" s="79">
        <v>1</v>
      </c>
      <c r="AC881" s="77">
        <f t="shared" si="2835"/>
        <v>8.277777777777778E-3</v>
      </c>
      <c r="AD881" s="77">
        <f t="shared" ref="AD881" si="2902">1-(1-AC881)^(1/12)</f>
        <v>6.9244588451522482E-4</v>
      </c>
      <c r="AE881" s="77">
        <f t="shared" si="2837"/>
        <v>2.5000000000000001E-3</v>
      </c>
      <c r="AF881" s="77">
        <f t="shared" ref="AF881" si="2903">1-(1-AE881)^(1/12)</f>
        <v>2.0857243058891584E-4</v>
      </c>
      <c r="AH881" t="s">
        <v>175</v>
      </c>
      <c r="AI881" t="s">
        <v>179</v>
      </c>
      <c r="AJ881" s="197" t="str">
        <f t="shared" si="2824"/>
        <v>Lifecycle_Dynamic_206</v>
      </c>
      <c r="AK881">
        <v>206</v>
      </c>
      <c r="AL881">
        <f>VLOOKUP($U881,[2]Standard_Dynamic!$Q$1:$T$542,2,FALSE)</f>
        <v>0.88888888888888884</v>
      </c>
      <c r="AM881">
        <f>VLOOKUP($U881,[2]Standard_Dynamic!$Q$1:$T$542,3,FALSE)</f>
        <v>0.11111111111111116</v>
      </c>
      <c r="AN881">
        <f>VLOOKUP($U881,[2]Standard_Dynamic!$Q$1:$T$542,4,FALSE)</f>
        <v>0</v>
      </c>
      <c r="AO881" s="77">
        <f t="shared" si="2825"/>
        <v>1</v>
      </c>
      <c r="AP881" s="77">
        <f t="shared" si="2839"/>
        <v>6.3149999999999984E-2</v>
      </c>
      <c r="AQ881" s="77">
        <f t="shared" si="2826"/>
        <v>5.1160591879111372E-3</v>
      </c>
      <c r="AR881" s="79">
        <v>0</v>
      </c>
      <c r="AS881" s="77">
        <f t="shared" si="2840"/>
        <v>0</v>
      </c>
      <c r="AT881" s="77">
        <f t="shared" ref="AT881" si="2904">1-(1-AS881)^(1/12)</f>
        <v>0</v>
      </c>
      <c r="AU881" s="77">
        <f t="shared" si="2842"/>
        <v>2.5000000000000001E-3</v>
      </c>
      <c r="AV881" s="77">
        <f t="shared" ref="AV881" si="2905">1-(1-AU881)^(1/12)</f>
        <v>2.0857243058891584E-4</v>
      </c>
      <c r="AX881" t="s">
        <v>178</v>
      </c>
      <c r="AY881" t="s">
        <v>162</v>
      </c>
      <c r="AZ881" s="197" t="str">
        <f t="shared" si="2638"/>
        <v>DIS_Standard_206</v>
      </c>
      <c r="BA881">
        <v>206</v>
      </c>
      <c r="BB881">
        <f>VLOOKUP($BA881,'[2]Standard DIS'!$Q$1:$X$542,4,FALSE)</f>
        <v>0</v>
      </c>
      <c r="BF881">
        <f>VLOOKUP($BA881,'[2]Standard DIS'!$Q$1:$X$542,2,FALSE)</f>
        <v>0.88888888888888884</v>
      </c>
      <c r="BH881">
        <f>VLOOKUP($BA881,'[2]Standard DIS'!$Q$1:$X$542,3,FALSE)</f>
        <v>0.11111111111111116</v>
      </c>
      <c r="BI881" s="77">
        <f t="shared" si="2829"/>
        <v>1</v>
      </c>
      <c r="BJ881" s="77">
        <f t="shared" si="2830"/>
        <v>6.3149999999999984E-2</v>
      </c>
      <c r="BK881" s="77">
        <f t="shared" si="2639"/>
        <v>5.1160591879111372E-3</v>
      </c>
      <c r="BL881" s="79">
        <v>0</v>
      </c>
      <c r="BM881" s="77">
        <f t="shared" si="2844"/>
        <v>0</v>
      </c>
      <c r="BN881" s="77">
        <f t="shared" si="2845"/>
        <v>0</v>
      </c>
      <c r="BO881" s="77">
        <f t="shared" si="2846"/>
        <v>2.5000000000000001E-3</v>
      </c>
      <c r="BP881" s="77">
        <f t="shared" si="2847"/>
        <v>2.0809499864316017E-4</v>
      </c>
    </row>
    <row r="882" spans="1:68">
      <c r="A882" t="s">
        <v>175</v>
      </c>
      <c r="B882" t="s">
        <v>179</v>
      </c>
      <c r="C882" s="197" t="str">
        <f t="shared" si="2888"/>
        <v>Lifecycle_Dynamic_205</v>
      </c>
      <c r="D882">
        <v>205</v>
      </c>
      <c r="E882">
        <f>VLOOKUP($D882,'[2]LC Dynamic'!$Q$2:$U$542,2,FALSE)</f>
        <v>0</v>
      </c>
      <c r="F882">
        <f>VLOOKUP($D882,'[2]LC Dynamic'!$Q$2:$U$542,3,FALSE)</f>
        <v>0</v>
      </c>
      <c r="G882">
        <f>VLOOKUP($D882,'[2]LC Dynamic'!$Q$2:$U$542,4,FALSE)</f>
        <v>0.308</v>
      </c>
      <c r="H882">
        <f>VLOOKUP($D882,'[2]LC Dynamic'!$Q$2:$U$542,5,FALSE)</f>
        <v>0.69199999999999995</v>
      </c>
      <c r="I882" s="77">
        <f t="shared" si="2820"/>
        <v>1</v>
      </c>
      <c r="J882" s="77">
        <f t="shared" si="2821"/>
        <v>6.9728499999999985E-2</v>
      </c>
      <c r="K882" s="77">
        <f t="shared" si="2895"/>
        <v>5.632878498097682E-3</v>
      </c>
      <c r="L882" s="76">
        <v>0</v>
      </c>
      <c r="M882" s="77">
        <f t="shared" si="2831"/>
        <v>0</v>
      </c>
      <c r="N882" s="77">
        <f t="shared" si="2832"/>
        <v>0</v>
      </c>
      <c r="O882" s="77">
        <f t="shared" si="2833"/>
        <v>5.6775999999999997E-3</v>
      </c>
      <c r="P882" s="77">
        <f t="shared" si="2834"/>
        <v>4.7436902124819991E-4</v>
      </c>
      <c r="R882" t="s">
        <v>177</v>
      </c>
      <c r="S882" t="s">
        <v>179</v>
      </c>
      <c r="T882" s="197" t="str">
        <f t="shared" si="2889"/>
        <v>Autopilot_Dynamic_205</v>
      </c>
      <c r="U882">
        <v>205</v>
      </c>
      <c r="V882">
        <f>VLOOKUP($U882,'[2]AP Dynamic'!$Q$1:$T$542,2,FALSE)</f>
        <v>0.88888888888888884</v>
      </c>
      <c r="W882">
        <f>VLOOKUP($U882,'[2]AP Dynamic'!$Q$1:$T$542,3,FALSE)</f>
        <v>0.11111111111111116</v>
      </c>
      <c r="X882">
        <f>VLOOKUP($U882,'[2]AP Dynamic'!$Q$1:$T$542,4,FALSE)</f>
        <v>0</v>
      </c>
      <c r="Y882" s="77">
        <f t="shared" si="2890"/>
        <v>1</v>
      </c>
      <c r="Z882" s="77">
        <f t="shared" si="2896"/>
        <v>6.3149999999999984E-2</v>
      </c>
      <c r="AA882" s="77">
        <f t="shared" si="2897"/>
        <v>5.1160591879111372E-3</v>
      </c>
      <c r="AB882" s="79">
        <v>1</v>
      </c>
      <c r="AC882" s="77">
        <f t="shared" si="2835"/>
        <v>8.277777777777778E-3</v>
      </c>
      <c r="AD882" s="77">
        <f t="shared" ref="AD882" si="2906">1-(1-AC882)^(1/12)</f>
        <v>6.9244588451522482E-4</v>
      </c>
      <c r="AE882" s="77">
        <f t="shared" si="2837"/>
        <v>2.5000000000000001E-3</v>
      </c>
      <c r="AF882" s="77">
        <f t="shared" ref="AF882" si="2907">1-(1-AE882)^(1/12)</f>
        <v>2.0857243058891584E-4</v>
      </c>
      <c r="AH882" t="s">
        <v>175</v>
      </c>
      <c r="AI882" t="s">
        <v>179</v>
      </c>
      <c r="AJ882" s="197" t="str">
        <f t="shared" si="2824"/>
        <v>Lifecycle_Dynamic_205</v>
      </c>
      <c r="AK882">
        <v>205</v>
      </c>
      <c r="AL882">
        <f>VLOOKUP($U882,[2]Standard_Dynamic!$Q$1:$T$542,2,FALSE)</f>
        <v>0.88888888888888884</v>
      </c>
      <c r="AM882">
        <f>VLOOKUP($U882,[2]Standard_Dynamic!$Q$1:$T$542,3,FALSE)</f>
        <v>0.11111111111111116</v>
      </c>
      <c r="AN882">
        <f>VLOOKUP($U882,[2]Standard_Dynamic!$Q$1:$T$542,4,FALSE)</f>
        <v>0</v>
      </c>
      <c r="AO882" s="77">
        <f t="shared" si="2825"/>
        <v>1</v>
      </c>
      <c r="AP882" s="77">
        <f t="shared" si="2839"/>
        <v>6.3149999999999984E-2</v>
      </c>
      <c r="AQ882" s="77">
        <f t="shared" si="2826"/>
        <v>5.1160591879111372E-3</v>
      </c>
      <c r="AR882" s="79">
        <v>0</v>
      </c>
      <c r="AS882" s="77">
        <f t="shared" si="2840"/>
        <v>0</v>
      </c>
      <c r="AT882" s="77">
        <f t="shared" ref="AT882" si="2908">1-(1-AS882)^(1/12)</f>
        <v>0</v>
      </c>
      <c r="AU882" s="77">
        <f t="shared" si="2842"/>
        <v>2.5000000000000001E-3</v>
      </c>
      <c r="AV882" s="77">
        <f t="shared" ref="AV882" si="2909">1-(1-AU882)^(1/12)</f>
        <v>2.0857243058891584E-4</v>
      </c>
      <c r="AX882" t="s">
        <v>178</v>
      </c>
      <c r="AY882" t="s">
        <v>162</v>
      </c>
      <c r="AZ882" s="197" t="str">
        <f t="shared" si="2638"/>
        <v>DIS_Standard_205</v>
      </c>
      <c r="BA882">
        <v>205</v>
      </c>
      <c r="BB882">
        <f>VLOOKUP($BA882,'[2]Standard DIS'!$Q$1:$X$542,4,FALSE)</f>
        <v>0</v>
      </c>
      <c r="BF882">
        <f>VLOOKUP($BA882,'[2]Standard DIS'!$Q$1:$X$542,2,FALSE)</f>
        <v>0.88888888888888884</v>
      </c>
      <c r="BH882">
        <f>VLOOKUP($BA882,'[2]Standard DIS'!$Q$1:$X$542,3,FALSE)</f>
        <v>0.11111111111111116</v>
      </c>
      <c r="BI882" s="77">
        <f t="shared" si="2829"/>
        <v>1</v>
      </c>
      <c r="BJ882" s="77">
        <f t="shared" si="2830"/>
        <v>6.3149999999999984E-2</v>
      </c>
      <c r="BK882" s="77">
        <f t="shared" si="2639"/>
        <v>5.1160591879111372E-3</v>
      </c>
      <c r="BL882" s="79">
        <v>0</v>
      </c>
      <c r="BM882" s="77">
        <f t="shared" si="2844"/>
        <v>0</v>
      </c>
      <c r="BN882" s="77">
        <f t="shared" si="2845"/>
        <v>0</v>
      </c>
      <c r="BO882" s="77">
        <f t="shared" si="2846"/>
        <v>2.5000000000000001E-3</v>
      </c>
      <c r="BP882" s="77">
        <f t="shared" si="2847"/>
        <v>2.0809499864316017E-4</v>
      </c>
    </row>
    <row r="883" spans="1:68">
      <c r="A883" t="s">
        <v>175</v>
      </c>
      <c r="B883" t="s">
        <v>179</v>
      </c>
      <c r="C883" s="197" t="str">
        <f t="shared" si="2888"/>
        <v>Lifecycle_Dynamic_204</v>
      </c>
      <c r="D883">
        <v>204</v>
      </c>
      <c r="E883">
        <f>VLOOKUP($D883,'[2]LC Dynamic'!$Q$2:$U$542,2,FALSE)</f>
        <v>0</v>
      </c>
      <c r="F883">
        <f>VLOOKUP($D883,'[2]LC Dynamic'!$Q$2:$U$542,3,FALSE)</f>
        <v>0</v>
      </c>
      <c r="G883">
        <f>VLOOKUP($D883,'[2]LC Dynamic'!$Q$2:$U$542,4,FALSE)</f>
        <v>0.308</v>
      </c>
      <c r="H883">
        <f>VLOOKUP($D883,'[2]LC Dynamic'!$Q$2:$U$542,5,FALSE)</f>
        <v>0.69199999999999995</v>
      </c>
      <c r="I883" s="77">
        <f t="shared" si="2820"/>
        <v>1</v>
      </c>
      <c r="J883" s="77">
        <f t="shared" si="2821"/>
        <v>6.9728499999999985E-2</v>
      </c>
      <c r="K883" s="77">
        <f t="shared" si="2895"/>
        <v>5.632878498097682E-3</v>
      </c>
      <c r="L883" s="76">
        <v>0</v>
      </c>
      <c r="M883" s="77">
        <f t="shared" si="2831"/>
        <v>0</v>
      </c>
      <c r="N883" s="77">
        <f t="shared" si="2832"/>
        <v>0</v>
      </c>
      <c r="O883" s="77">
        <f t="shared" si="2833"/>
        <v>5.6775999999999997E-3</v>
      </c>
      <c r="P883" s="77">
        <f t="shared" si="2834"/>
        <v>4.7436902124819991E-4</v>
      </c>
      <c r="R883" t="s">
        <v>177</v>
      </c>
      <c r="S883" t="s">
        <v>179</v>
      </c>
      <c r="T883" s="197" t="str">
        <f t="shared" si="2889"/>
        <v>Autopilot_Dynamic_204</v>
      </c>
      <c r="U883">
        <v>204</v>
      </c>
      <c r="V883">
        <f>VLOOKUP($U883,'[2]AP Dynamic'!$Q$1:$T$542,2,FALSE)</f>
        <v>0.88888888888888884</v>
      </c>
      <c r="W883">
        <f>VLOOKUP($U883,'[2]AP Dynamic'!$Q$1:$T$542,3,FALSE)</f>
        <v>0.11111111111111116</v>
      </c>
      <c r="X883">
        <f>VLOOKUP($U883,'[2]AP Dynamic'!$Q$1:$T$542,4,FALSE)</f>
        <v>0</v>
      </c>
      <c r="Y883" s="77">
        <f t="shared" si="2890"/>
        <v>1</v>
      </c>
      <c r="Z883" s="77">
        <f t="shared" si="2896"/>
        <v>6.3149999999999984E-2</v>
      </c>
      <c r="AA883" s="77">
        <f t="shared" si="2897"/>
        <v>5.1160591879111372E-3</v>
      </c>
      <c r="AB883" s="79">
        <v>1</v>
      </c>
      <c r="AC883" s="77">
        <f t="shared" si="2835"/>
        <v>8.277777777777778E-3</v>
      </c>
      <c r="AD883" s="77">
        <f t="shared" ref="AD883" si="2910">1-(1-AC883)^(1/12)</f>
        <v>6.9244588451522482E-4</v>
      </c>
      <c r="AE883" s="77">
        <f t="shared" si="2837"/>
        <v>2.5000000000000001E-3</v>
      </c>
      <c r="AF883" s="77">
        <f t="shared" ref="AF883" si="2911">1-(1-AE883)^(1/12)</f>
        <v>2.0857243058891584E-4</v>
      </c>
      <c r="AH883" t="s">
        <v>175</v>
      </c>
      <c r="AI883" t="s">
        <v>179</v>
      </c>
      <c r="AJ883" s="197" t="str">
        <f t="shared" si="2824"/>
        <v>Lifecycle_Dynamic_204</v>
      </c>
      <c r="AK883">
        <v>204</v>
      </c>
      <c r="AL883">
        <f>VLOOKUP($U883,[2]Standard_Dynamic!$Q$1:$T$542,2,FALSE)</f>
        <v>0.88888888888888884</v>
      </c>
      <c r="AM883">
        <f>VLOOKUP($U883,[2]Standard_Dynamic!$Q$1:$T$542,3,FALSE)</f>
        <v>0.11111111111111116</v>
      </c>
      <c r="AN883">
        <f>VLOOKUP($U883,[2]Standard_Dynamic!$Q$1:$T$542,4,FALSE)</f>
        <v>0</v>
      </c>
      <c r="AO883" s="77">
        <f t="shared" si="2825"/>
        <v>1</v>
      </c>
      <c r="AP883" s="77">
        <f t="shared" si="2839"/>
        <v>6.3149999999999984E-2</v>
      </c>
      <c r="AQ883" s="77">
        <f t="shared" si="2826"/>
        <v>5.1160591879111372E-3</v>
      </c>
      <c r="AR883" s="79">
        <v>0</v>
      </c>
      <c r="AS883" s="77">
        <f t="shared" si="2840"/>
        <v>0</v>
      </c>
      <c r="AT883" s="77">
        <f t="shared" ref="AT883" si="2912">1-(1-AS883)^(1/12)</f>
        <v>0</v>
      </c>
      <c r="AU883" s="77">
        <f t="shared" si="2842"/>
        <v>2.5000000000000001E-3</v>
      </c>
      <c r="AV883" s="77">
        <f t="shared" ref="AV883" si="2913">1-(1-AU883)^(1/12)</f>
        <v>2.0857243058891584E-4</v>
      </c>
      <c r="AX883" t="s">
        <v>178</v>
      </c>
      <c r="AY883" t="s">
        <v>162</v>
      </c>
      <c r="AZ883" s="197" t="str">
        <f t="shared" si="2638"/>
        <v>DIS_Standard_204</v>
      </c>
      <c r="BA883">
        <v>204</v>
      </c>
      <c r="BB883">
        <f>VLOOKUP($BA883,'[2]Standard DIS'!$Q$1:$X$542,4,FALSE)</f>
        <v>0</v>
      </c>
      <c r="BF883">
        <f>VLOOKUP($BA883,'[2]Standard DIS'!$Q$1:$X$542,2,FALSE)</f>
        <v>0.88888888888888884</v>
      </c>
      <c r="BH883">
        <f>VLOOKUP($BA883,'[2]Standard DIS'!$Q$1:$X$542,3,FALSE)</f>
        <v>0.11111111111111116</v>
      </c>
      <c r="BI883" s="77">
        <f t="shared" si="2829"/>
        <v>1</v>
      </c>
      <c r="BJ883" s="77">
        <f t="shared" si="2830"/>
        <v>6.3149999999999984E-2</v>
      </c>
      <c r="BK883" s="77">
        <f t="shared" si="2639"/>
        <v>5.1160591879111372E-3</v>
      </c>
      <c r="BL883" s="79">
        <v>0</v>
      </c>
      <c r="BM883" s="77">
        <f t="shared" si="2844"/>
        <v>0</v>
      </c>
      <c r="BN883" s="77">
        <f t="shared" si="2845"/>
        <v>0</v>
      </c>
      <c r="BO883" s="77">
        <f t="shared" si="2846"/>
        <v>2.5000000000000001E-3</v>
      </c>
      <c r="BP883" s="77">
        <f t="shared" si="2847"/>
        <v>2.0809499864316017E-4</v>
      </c>
    </row>
    <row r="884" spans="1:68">
      <c r="A884" t="s">
        <v>175</v>
      </c>
      <c r="B884" t="s">
        <v>179</v>
      </c>
      <c r="C884" s="197" t="str">
        <f t="shared" si="2888"/>
        <v>Lifecycle_Dynamic_203</v>
      </c>
      <c r="D884">
        <v>203</v>
      </c>
      <c r="E884">
        <f>VLOOKUP($D884,'[2]LC Dynamic'!$Q$2:$U$542,2,FALSE)</f>
        <v>0</v>
      </c>
      <c r="F884">
        <f>VLOOKUP($D884,'[2]LC Dynamic'!$Q$2:$U$542,3,FALSE)</f>
        <v>0</v>
      </c>
      <c r="G884">
        <f>VLOOKUP($D884,'[2]LC Dynamic'!$Q$2:$U$542,4,FALSE)</f>
        <v>0.308</v>
      </c>
      <c r="H884">
        <f>VLOOKUP($D884,'[2]LC Dynamic'!$Q$2:$U$542,5,FALSE)</f>
        <v>0.69199999999999995</v>
      </c>
      <c r="I884" s="77">
        <f t="shared" si="2820"/>
        <v>1</v>
      </c>
      <c r="J884" s="77">
        <f t="shared" si="2821"/>
        <v>6.9728499999999985E-2</v>
      </c>
      <c r="K884" s="77">
        <f t="shared" si="2895"/>
        <v>5.632878498097682E-3</v>
      </c>
      <c r="L884" s="76">
        <v>0</v>
      </c>
      <c r="M884" s="77">
        <f t="shared" si="2831"/>
        <v>0</v>
      </c>
      <c r="N884" s="77">
        <f t="shared" si="2832"/>
        <v>0</v>
      </c>
      <c r="O884" s="77">
        <f t="shared" si="2833"/>
        <v>5.6775999999999997E-3</v>
      </c>
      <c r="P884" s="77">
        <f t="shared" si="2834"/>
        <v>4.7436902124819991E-4</v>
      </c>
      <c r="R884" t="s">
        <v>177</v>
      </c>
      <c r="S884" t="s">
        <v>179</v>
      </c>
      <c r="T884" s="197" t="str">
        <f t="shared" si="2889"/>
        <v>Autopilot_Dynamic_203</v>
      </c>
      <c r="U884">
        <v>203</v>
      </c>
      <c r="V884">
        <f>VLOOKUP($U884,'[2]AP Dynamic'!$Q$1:$T$542,2,FALSE)</f>
        <v>0.88888888888888884</v>
      </c>
      <c r="W884">
        <f>VLOOKUP($U884,'[2]AP Dynamic'!$Q$1:$T$542,3,FALSE)</f>
        <v>0.11111111111111116</v>
      </c>
      <c r="X884">
        <f>VLOOKUP($U884,'[2]AP Dynamic'!$Q$1:$T$542,4,FALSE)</f>
        <v>0</v>
      </c>
      <c r="Y884" s="77">
        <f t="shared" si="2890"/>
        <v>1</v>
      </c>
      <c r="Z884" s="77">
        <f t="shared" si="2896"/>
        <v>6.3149999999999984E-2</v>
      </c>
      <c r="AA884" s="77">
        <f t="shared" si="2897"/>
        <v>5.1160591879111372E-3</v>
      </c>
      <c r="AB884" s="79">
        <v>1</v>
      </c>
      <c r="AC884" s="77">
        <f t="shared" si="2835"/>
        <v>8.277777777777778E-3</v>
      </c>
      <c r="AD884" s="77">
        <f t="shared" ref="AD884" si="2914">1-(1-AC884)^(1/12)</f>
        <v>6.9244588451522482E-4</v>
      </c>
      <c r="AE884" s="77">
        <f t="shared" si="2837"/>
        <v>2.5000000000000001E-3</v>
      </c>
      <c r="AF884" s="77">
        <f t="shared" ref="AF884" si="2915">1-(1-AE884)^(1/12)</f>
        <v>2.0857243058891584E-4</v>
      </c>
      <c r="AH884" t="s">
        <v>175</v>
      </c>
      <c r="AI884" t="s">
        <v>179</v>
      </c>
      <c r="AJ884" s="197" t="str">
        <f t="shared" si="2824"/>
        <v>Lifecycle_Dynamic_203</v>
      </c>
      <c r="AK884">
        <v>203</v>
      </c>
      <c r="AL884">
        <f>VLOOKUP($U884,[2]Standard_Dynamic!$Q$1:$T$542,2,FALSE)</f>
        <v>0.88888888888888884</v>
      </c>
      <c r="AM884">
        <f>VLOOKUP($U884,[2]Standard_Dynamic!$Q$1:$T$542,3,FALSE)</f>
        <v>0.11111111111111116</v>
      </c>
      <c r="AN884">
        <f>VLOOKUP($U884,[2]Standard_Dynamic!$Q$1:$T$542,4,FALSE)</f>
        <v>0</v>
      </c>
      <c r="AO884" s="77">
        <f t="shared" si="2825"/>
        <v>1</v>
      </c>
      <c r="AP884" s="77">
        <f t="shared" si="2839"/>
        <v>6.3149999999999984E-2</v>
      </c>
      <c r="AQ884" s="77">
        <f t="shared" si="2826"/>
        <v>5.1160591879111372E-3</v>
      </c>
      <c r="AR884" s="79">
        <v>0</v>
      </c>
      <c r="AS884" s="77">
        <f t="shared" si="2840"/>
        <v>0</v>
      </c>
      <c r="AT884" s="77">
        <f t="shared" ref="AT884" si="2916">1-(1-AS884)^(1/12)</f>
        <v>0</v>
      </c>
      <c r="AU884" s="77">
        <f t="shared" si="2842"/>
        <v>2.5000000000000001E-3</v>
      </c>
      <c r="AV884" s="77">
        <f t="shared" ref="AV884" si="2917">1-(1-AU884)^(1/12)</f>
        <v>2.0857243058891584E-4</v>
      </c>
      <c r="AX884" t="s">
        <v>178</v>
      </c>
      <c r="AY884" t="s">
        <v>162</v>
      </c>
      <c r="AZ884" s="197" t="str">
        <f t="shared" si="2638"/>
        <v>DIS_Standard_203</v>
      </c>
      <c r="BA884">
        <v>203</v>
      </c>
      <c r="BB884">
        <f>VLOOKUP($BA884,'[2]Standard DIS'!$Q$1:$X$542,4,FALSE)</f>
        <v>0</v>
      </c>
      <c r="BF884">
        <f>VLOOKUP($BA884,'[2]Standard DIS'!$Q$1:$X$542,2,FALSE)</f>
        <v>0.88888888888888884</v>
      </c>
      <c r="BH884">
        <f>VLOOKUP($BA884,'[2]Standard DIS'!$Q$1:$X$542,3,FALSE)</f>
        <v>0.11111111111111116</v>
      </c>
      <c r="BI884" s="77">
        <f t="shared" si="2829"/>
        <v>1</v>
      </c>
      <c r="BJ884" s="77">
        <f t="shared" si="2830"/>
        <v>6.3149999999999984E-2</v>
      </c>
      <c r="BK884" s="77">
        <f t="shared" si="2639"/>
        <v>5.1160591879111372E-3</v>
      </c>
      <c r="BL884" s="79">
        <v>0</v>
      </c>
      <c r="BM884" s="77">
        <f t="shared" si="2844"/>
        <v>0</v>
      </c>
      <c r="BN884" s="77">
        <f t="shared" si="2845"/>
        <v>0</v>
      </c>
      <c r="BO884" s="77">
        <f t="shared" si="2846"/>
        <v>2.5000000000000001E-3</v>
      </c>
      <c r="BP884" s="77">
        <f t="shared" si="2847"/>
        <v>2.0809499864316017E-4</v>
      </c>
    </row>
    <row r="885" spans="1:68">
      <c r="A885" t="s">
        <v>175</v>
      </c>
      <c r="B885" t="s">
        <v>179</v>
      </c>
      <c r="C885" s="197" t="str">
        <f t="shared" si="2888"/>
        <v>Lifecycle_Dynamic_202</v>
      </c>
      <c r="D885">
        <v>202</v>
      </c>
      <c r="E885">
        <f>VLOOKUP($D885,'[2]LC Dynamic'!$Q$2:$U$542,2,FALSE)</f>
        <v>0</v>
      </c>
      <c r="F885">
        <f>VLOOKUP($D885,'[2]LC Dynamic'!$Q$2:$U$542,3,FALSE)</f>
        <v>0</v>
      </c>
      <c r="G885">
        <f>VLOOKUP($D885,'[2]LC Dynamic'!$Q$2:$U$542,4,FALSE)</f>
        <v>0.308</v>
      </c>
      <c r="H885">
        <f>VLOOKUP($D885,'[2]LC Dynamic'!$Q$2:$U$542,5,FALSE)</f>
        <v>0.69199999999999995</v>
      </c>
      <c r="I885" s="77">
        <f t="shared" si="2820"/>
        <v>1</v>
      </c>
      <c r="J885" s="77">
        <f t="shared" si="2821"/>
        <v>6.9728499999999985E-2</v>
      </c>
      <c r="K885" s="77">
        <f t="shared" si="2895"/>
        <v>5.632878498097682E-3</v>
      </c>
      <c r="L885" s="76">
        <v>0</v>
      </c>
      <c r="M885" s="77">
        <f t="shared" si="2831"/>
        <v>0</v>
      </c>
      <c r="N885" s="77">
        <f t="shared" si="2832"/>
        <v>0</v>
      </c>
      <c r="O885" s="77">
        <f t="shared" si="2833"/>
        <v>5.6775999999999997E-3</v>
      </c>
      <c r="P885" s="77">
        <f t="shared" si="2834"/>
        <v>4.7436902124819991E-4</v>
      </c>
      <c r="R885" t="s">
        <v>177</v>
      </c>
      <c r="S885" t="s">
        <v>179</v>
      </c>
      <c r="T885" s="197" t="str">
        <f t="shared" si="2889"/>
        <v>Autopilot_Dynamic_202</v>
      </c>
      <c r="U885">
        <v>202</v>
      </c>
      <c r="V885">
        <f>VLOOKUP($U885,'[2]AP Dynamic'!$Q$1:$T$542,2,FALSE)</f>
        <v>0.88888888888888884</v>
      </c>
      <c r="W885">
        <f>VLOOKUP($U885,'[2]AP Dynamic'!$Q$1:$T$542,3,FALSE)</f>
        <v>0.11111111111111116</v>
      </c>
      <c r="X885">
        <f>VLOOKUP($U885,'[2]AP Dynamic'!$Q$1:$T$542,4,FALSE)</f>
        <v>0</v>
      </c>
      <c r="Y885" s="77">
        <f t="shared" si="2890"/>
        <v>1</v>
      </c>
      <c r="Z885" s="77">
        <f t="shared" si="2896"/>
        <v>6.3149999999999984E-2</v>
      </c>
      <c r="AA885" s="77">
        <f t="shared" si="2897"/>
        <v>5.1160591879111372E-3</v>
      </c>
      <c r="AB885" s="79">
        <v>1</v>
      </c>
      <c r="AC885" s="77">
        <f t="shared" si="2835"/>
        <v>8.277777777777778E-3</v>
      </c>
      <c r="AD885" s="77">
        <f t="shared" ref="AD885" si="2918">1-(1-AC885)^(1/12)</f>
        <v>6.9244588451522482E-4</v>
      </c>
      <c r="AE885" s="77">
        <f t="shared" si="2837"/>
        <v>2.5000000000000001E-3</v>
      </c>
      <c r="AF885" s="77">
        <f t="shared" ref="AF885" si="2919">1-(1-AE885)^(1/12)</f>
        <v>2.0857243058891584E-4</v>
      </c>
      <c r="AH885" t="s">
        <v>175</v>
      </c>
      <c r="AI885" t="s">
        <v>179</v>
      </c>
      <c r="AJ885" s="197" t="str">
        <f t="shared" si="2824"/>
        <v>Lifecycle_Dynamic_202</v>
      </c>
      <c r="AK885">
        <v>202</v>
      </c>
      <c r="AL885">
        <f>VLOOKUP($U885,[2]Standard_Dynamic!$Q$1:$T$542,2,FALSE)</f>
        <v>0.88888888888888884</v>
      </c>
      <c r="AM885">
        <f>VLOOKUP($U885,[2]Standard_Dynamic!$Q$1:$T$542,3,FALSE)</f>
        <v>0.11111111111111116</v>
      </c>
      <c r="AN885">
        <f>VLOOKUP($U885,[2]Standard_Dynamic!$Q$1:$T$542,4,FALSE)</f>
        <v>0</v>
      </c>
      <c r="AO885" s="77">
        <f t="shared" si="2825"/>
        <v>1</v>
      </c>
      <c r="AP885" s="77">
        <f t="shared" si="2839"/>
        <v>6.3149999999999984E-2</v>
      </c>
      <c r="AQ885" s="77">
        <f t="shared" si="2826"/>
        <v>5.1160591879111372E-3</v>
      </c>
      <c r="AR885" s="79">
        <v>0</v>
      </c>
      <c r="AS885" s="77">
        <f t="shared" si="2840"/>
        <v>0</v>
      </c>
      <c r="AT885" s="77">
        <f t="shared" ref="AT885" si="2920">1-(1-AS885)^(1/12)</f>
        <v>0</v>
      </c>
      <c r="AU885" s="77">
        <f t="shared" si="2842"/>
        <v>2.5000000000000001E-3</v>
      </c>
      <c r="AV885" s="77">
        <f t="shared" ref="AV885" si="2921">1-(1-AU885)^(1/12)</f>
        <v>2.0857243058891584E-4</v>
      </c>
      <c r="AX885" t="s">
        <v>178</v>
      </c>
      <c r="AY885" t="s">
        <v>162</v>
      </c>
      <c r="AZ885" s="197" t="str">
        <f t="shared" ref="AZ885:AZ948" si="2922">AX885&amp;"_"&amp;AY885&amp;"_"&amp;BA885</f>
        <v>DIS_Standard_202</v>
      </c>
      <c r="BA885">
        <v>202</v>
      </c>
      <c r="BB885">
        <f>VLOOKUP($BA885,'[2]Standard DIS'!$Q$1:$X$542,4,FALSE)</f>
        <v>0</v>
      </c>
      <c r="BF885">
        <f>VLOOKUP($BA885,'[2]Standard DIS'!$Q$1:$X$542,2,FALSE)</f>
        <v>0.88888888888888884</v>
      </c>
      <c r="BH885">
        <f>VLOOKUP($BA885,'[2]Standard DIS'!$Q$1:$X$542,3,FALSE)</f>
        <v>0.11111111111111116</v>
      </c>
      <c r="BI885" s="77">
        <f t="shared" si="2829"/>
        <v>1</v>
      </c>
      <c r="BJ885" s="77">
        <f t="shared" si="2830"/>
        <v>6.3149999999999984E-2</v>
      </c>
      <c r="BK885" s="77">
        <f t="shared" ref="BK885:BK948" si="2923">(1+BJ885)^(1/12)-1</f>
        <v>5.1160591879111372E-3</v>
      </c>
      <c r="BL885" s="79">
        <v>0</v>
      </c>
      <c r="BM885" s="77">
        <f t="shared" si="2844"/>
        <v>0</v>
      </c>
      <c r="BN885" s="77">
        <f t="shared" si="2845"/>
        <v>0</v>
      </c>
      <c r="BO885" s="77">
        <f t="shared" si="2846"/>
        <v>2.5000000000000001E-3</v>
      </c>
      <c r="BP885" s="77">
        <f t="shared" si="2847"/>
        <v>2.0809499864316017E-4</v>
      </c>
    </row>
    <row r="886" spans="1:68">
      <c r="A886" t="s">
        <v>175</v>
      </c>
      <c r="B886" t="s">
        <v>179</v>
      </c>
      <c r="C886" s="197" t="str">
        <f t="shared" si="2888"/>
        <v>Lifecycle_Dynamic_201</v>
      </c>
      <c r="D886">
        <v>201</v>
      </c>
      <c r="E886">
        <f>VLOOKUP($D886,'[2]LC Dynamic'!$Q$2:$U$542,2,FALSE)</f>
        <v>0</v>
      </c>
      <c r="F886">
        <f>VLOOKUP($D886,'[2]LC Dynamic'!$Q$2:$U$542,3,FALSE)</f>
        <v>0</v>
      </c>
      <c r="G886">
        <f>VLOOKUP($D886,'[2]LC Dynamic'!$Q$2:$U$542,4,FALSE)</f>
        <v>0.308</v>
      </c>
      <c r="H886">
        <f>VLOOKUP($D886,'[2]LC Dynamic'!$Q$2:$U$542,5,FALSE)</f>
        <v>0.69199999999999995</v>
      </c>
      <c r="I886" s="77">
        <f t="shared" si="2820"/>
        <v>1</v>
      </c>
      <c r="J886" s="77">
        <f t="shared" si="2821"/>
        <v>6.9728499999999985E-2</v>
      </c>
      <c r="K886" s="77">
        <f t="shared" si="2895"/>
        <v>5.632878498097682E-3</v>
      </c>
      <c r="L886" s="76">
        <v>0</v>
      </c>
      <c r="M886" s="77">
        <f t="shared" si="2831"/>
        <v>0</v>
      </c>
      <c r="N886" s="77">
        <f t="shared" si="2832"/>
        <v>0</v>
      </c>
      <c r="O886" s="77">
        <f t="shared" si="2833"/>
        <v>5.6775999999999997E-3</v>
      </c>
      <c r="P886" s="77">
        <f t="shared" si="2834"/>
        <v>4.7436902124819991E-4</v>
      </c>
      <c r="R886" t="s">
        <v>177</v>
      </c>
      <c r="S886" t="s">
        <v>179</v>
      </c>
      <c r="T886" s="197" t="str">
        <f t="shared" si="2889"/>
        <v>Autopilot_Dynamic_201</v>
      </c>
      <c r="U886">
        <v>201</v>
      </c>
      <c r="V886">
        <f>VLOOKUP($U886,'[2]AP Dynamic'!$Q$1:$T$542,2,FALSE)</f>
        <v>0.88888888888888884</v>
      </c>
      <c r="W886">
        <f>VLOOKUP($U886,'[2]AP Dynamic'!$Q$1:$T$542,3,FALSE)</f>
        <v>0.11111111111111116</v>
      </c>
      <c r="X886">
        <f>VLOOKUP($U886,'[2]AP Dynamic'!$Q$1:$T$542,4,FALSE)</f>
        <v>0</v>
      </c>
      <c r="Y886" s="77">
        <f t="shared" si="2890"/>
        <v>1</v>
      </c>
      <c r="Z886" s="77">
        <f t="shared" si="2896"/>
        <v>6.3149999999999984E-2</v>
      </c>
      <c r="AA886" s="77">
        <f t="shared" si="2897"/>
        <v>5.1160591879111372E-3</v>
      </c>
      <c r="AB886" s="79">
        <v>1</v>
      </c>
      <c r="AC886" s="77">
        <f t="shared" si="2835"/>
        <v>8.277777777777778E-3</v>
      </c>
      <c r="AD886" s="77">
        <f t="shared" ref="AD886" si="2924">1-(1-AC886)^(1/12)</f>
        <v>6.9244588451522482E-4</v>
      </c>
      <c r="AE886" s="77">
        <f t="shared" si="2837"/>
        <v>2.5000000000000001E-3</v>
      </c>
      <c r="AF886" s="77">
        <f t="shared" ref="AF886" si="2925">1-(1-AE886)^(1/12)</f>
        <v>2.0857243058891584E-4</v>
      </c>
      <c r="AH886" t="s">
        <v>175</v>
      </c>
      <c r="AI886" t="s">
        <v>179</v>
      </c>
      <c r="AJ886" s="197" t="str">
        <f t="shared" si="2824"/>
        <v>Lifecycle_Dynamic_201</v>
      </c>
      <c r="AK886">
        <v>201</v>
      </c>
      <c r="AL886">
        <f>VLOOKUP($U886,[2]Standard_Dynamic!$Q$1:$T$542,2,FALSE)</f>
        <v>0.88888888888888884</v>
      </c>
      <c r="AM886">
        <f>VLOOKUP($U886,[2]Standard_Dynamic!$Q$1:$T$542,3,FALSE)</f>
        <v>0.11111111111111116</v>
      </c>
      <c r="AN886">
        <f>VLOOKUP($U886,[2]Standard_Dynamic!$Q$1:$T$542,4,FALSE)</f>
        <v>0</v>
      </c>
      <c r="AO886" s="77">
        <f t="shared" si="2825"/>
        <v>1</v>
      </c>
      <c r="AP886" s="77">
        <f t="shared" si="2839"/>
        <v>6.3149999999999984E-2</v>
      </c>
      <c r="AQ886" s="77">
        <f t="shared" si="2826"/>
        <v>5.1160591879111372E-3</v>
      </c>
      <c r="AR886" s="79">
        <v>0</v>
      </c>
      <c r="AS886" s="77">
        <f t="shared" si="2840"/>
        <v>0</v>
      </c>
      <c r="AT886" s="77">
        <f t="shared" ref="AT886" si="2926">1-(1-AS886)^(1/12)</f>
        <v>0</v>
      </c>
      <c r="AU886" s="77">
        <f t="shared" si="2842"/>
        <v>2.5000000000000001E-3</v>
      </c>
      <c r="AV886" s="77">
        <f t="shared" ref="AV886" si="2927">1-(1-AU886)^(1/12)</f>
        <v>2.0857243058891584E-4</v>
      </c>
      <c r="AX886" t="s">
        <v>178</v>
      </c>
      <c r="AY886" t="s">
        <v>162</v>
      </c>
      <c r="AZ886" s="197" t="str">
        <f t="shared" si="2922"/>
        <v>DIS_Standard_201</v>
      </c>
      <c r="BA886">
        <v>201</v>
      </c>
      <c r="BB886">
        <f>VLOOKUP($BA886,'[2]Standard DIS'!$Q$1:$X$542,4,FALSE)</f>
        <v>0</v>
      </c>
      <c r="BF886">
        <f>VLOOKUP($BA886,'[2]Standard DIS'!$Q$1:$X$542,2,FALSE)</f>
        <v>0.88888888888888884</v>
      </c>
      <c r="BH886">
        <f>VLOOKUP($BA886,'[2]Standard DIS'!$Q$1:$X$542,3,FALSE)</f>
        <v>0.11111111111111116</v>
      </c>
      <c r="BI886" s="77">
        <f t="shared" si="2829"/>
        <v>1</v>
      </c>
      <c r="BJ886" s="77">
        <f t="shared" si="2830"/>
        <v>6.3149999999999984E-2</v>
      </c>
      <c r="BK886" s="77">
        <f t="shared" si="2923"/>
        <v>5.1160591879111372E-3</v>
      </c>
      <c r="BL886" s="79">
        <v>0</v>
      </c>
      <c r="BM886" s="77">
        <f t="shared" si="2844"/>
        <v>0</v>
      </c>
      <c r="BN886" s="77">
        <f t="shared" si="2845"/>
        <v>0</v>
      </c>
      <c r="BO886" s="77">
        <f t="shared" si="2846"/>
        <v>2.5000000000000001E-3</v>
      </c>
      <c r="BP886" s="77">
        <f t="shared" si="2847"/>
        <v>2.0809499864316017E-4</v>
      </c>
    </row>
    <row r="887" spans="1:68">
      <c r="A887" t="s">
        <v>175</v>
      </c>
      <c r="B887" t="s">
        <v>179</v>
      </c>
      <c r="C887" s="197" t="str">
        <f t="shared" si="2888"/>
        <v>Lifecycle_Dynamic_200</v>
      </c>
      <c r="D887">
        <v>200</v>
      </c>
      <c r="E887">
        <f>VLOOKUP($D887,'[2]LC Dynamic'!$Q$2:$U$542,2,FALSE)</f>
        <v>0</v>
      </c>
      <c r="F887">
        <f>VLOOKUP($D887,'[2]LC Dynamic'!$Q$2:$U$542,3,FALSE)</f>
        <v>0</v>
      </c>
      <c r="G887">
        <f>VLOOKUP($D887,'[2]LC Dynamic'!$Q$2:$U$542,4,FALSE)</f>
        <v>0.308</v>
      </c>
      <c r="H887">
        <f>VLOOKUP($D887,'[2]LC Dynamic'!$Q$2:$U$542,5,FALSE)</f>
        <v>0.69199999999999995</v>
      </c>
      <c r="I887" s="77">
        <f t="shared" si="2820"/>
        <v>1</v>
      </c>
      <c r="J887" s="77">
        <f t="shared" si="2821"/>
        <v>6.9728499999999985E-2</v>
      </c>
      <c r="K887" s="77">
        <f t="shared" si="2895"/>
        <v>5.632878498097682E-3</v>
      </c>
      <c r="L887" s="76">
        <v>0</v>
      </c>
      <c r="M887" s="77">
        <f t="shared" si="2831"/>
        <v>0</v>
      </c>
      <c r="N887" s="77">
        <f t="shared" si="2832"/>
        <v>0</v>
      </c>
      <c r="O887" s="77">
        <f t="shared" si="2833"/>
        <v>5.6775999999999997E-3</v>
      </c>
      <c r="P887" s="77">
        <f t="shared" si="2834"/>
        <v>4.7436902124819991E-4</v>
      </c>
      <c r="R887" t="s">
        <v>177</v>
      </c>
      <c r="S887" t="s">
        <v>179</v>
      </c>
      <c r="T887" s="197" t="str">
        <f t="shared" si="2889"/>
        <v>Autopilot_Dynamic_200</v>
      </c>
      <c r="U887">
        <v>200</v>
      </c>
      <c r="V887">
        <f>VLOOKUP($U887,'[2]AP Dynamic'!$Q$1:$T$542,2,FALSE)</f>
        <v>0.88888888888888884</v>
      </c>
      <c r="W887">
        <f>VLOOKUP($U887,'[2]AP Dynamic'!$Q$1:$T$542,3,FALSE)</f>
        <v>0.11111111111111116</v>
      </c>
      <c r="X887">
        <f>VLOOKUP($U887,'[2]AP Dynamic'!$Q$1:$T$542,4,FALSE)</f>
        <v>0</v>
      </c>
      <c r="Y887" s="77">
        <f t="shared" si="2890"/>
        <v>1</v>
      </c>
      <c r="Z887" s="77">
        <f t="shared" si="2896"/>
        <v>6.3149999999999984E-2</v>
      </c>
      <c r="AA887" s="77">
        <f t="shared" si="2897"/>
        <v>5.1160591879111372E-3</v>
      </c>
      <c r="AB887" s="79">
        <v>1</v>
      </c>
      <c r="AC887" s="77">
        <f t="shared" si="2835"/>
        <v>8.277777777777778E-3</v>
      </c>
      <c r="AD887" s="77">
        <f t="shared" ref="AD887" si="2928">1-(1-AC887)^(1/12)</f>
        <v>6.9244588451522482E-4</v>
      </c>
      <c r="AE887" s="77">
        <f t="shared" si="2837"/>
        <v>2.5000000000000001E-3</v>
      </c>
      <c r="AF887" s="77">
        <f t="shared" ref="AF887" si="2929">1-(1-AE887)^(1/12)</f>
        <v>2.0857243058891584E-4</v>
      </c>
      <c r="AH887" t="s">
        <v>175</v>
      </c>
      <c r="AI887" t="s">
        <v>179</v>
      </c>
      <c r="AJ887" s="197" t="str">
        <f t="shared" si="2824"/>
        <v>Lifecycle_Dynamic_200</v>
      </c>
      <c r="AK887">
        <v>200</v>
      </c>
      <c r="AL887">
        <f>VLOOKUP($U887,[2]Standard_Dynamic!$Q$1:$T$542,2,FALSE)</f>
        <v>0.88888888888888884</v>
      </c>
      <c r="AM887">
        <f>VLOOKUP($U887,[2]Standard_Dynamic!$Q$1:$T$542,3,FALSE)</f>
        <v>0.11111111111111116</v>
      </c>
      <c r="AN887">
        <f>VLOOKUP($U887,[2]Standard_Dynamic!$Q$1:$T$542,4,FALSE)</f>
        <v>0</v>
      </c>
      <c r="AO887" s="77">
        <f t="shared" si="2825"/>
        <v>1</v>
      </c>
      <c r="AP887" s="77">
        <f t="shared" si="2839"/>
        <v>6.3149999999999984E-2</v>
      </c>
      <c r="AQ887" s="77">
        <f t="shared" si="2826"/>
        <v>5.1160591879111372E-3</v>
      </c>
      <c r="AR887" s="79">
        <v>0</v>
      </c>
      <c r="AS887" s="77">
        <f t="shared" si="2840"/>
        <v>0</v>
      </c>
      <c r="AT887" s="77">
        <f t="shared" ref="AT887" si="2930">1-(1-AS887)^(1/12)</f>
        <v>0</v>
      </c>
      <c r="AU887" s="77">
        <f t="shared" si="2842"/>
        <v>2.5000000000000001E-3</v>
      </c>
      <c r="AV887" s="77">
        <f t="shared" ref="AV887" si="2931">1-(1-AU887)^(1/12)</f>
        <v>2.0857243058891584E-4</v>
      </c>
      <c r="AX887" t="s">
        <v>178</v>
      </c>
      <c r="AY887" t="s">
        <v>162</v>
      </c>
      <c r="AZ887" s="197" t="str">
        <f t="shared" si="2922"/>
        <v>DIS_Standard_200</v>
      </c>
      <c r="BA887">
        <v>200</v>
      </c>
      <c r="BB887">
        <f>VLOOKUP($BA887,'[2]Standard DIS'!$Q$1:$X$542,4,FALSE)</f>
        <v>0</v>
      </c>
      <c r="BF887">
        <f>VLOOKUP($BA887,'[2]Standard DIS'!$Q$1:$X$542,2,FALSE)</f>
        <v>0.88888888888888884</v>
      </c>
      <c r="BH887">
        <f>VLOOKUP($BA887,'[2]Standard DIS'!$Q$1:$X$542,3,FALSE)</f>
        <v>0.11111111111111116</v>
      </c>
      <c r="BI887" s="77">
        <f t="shared" si="2829"/>
        <v>1</v>
      </c>
      <c r="BJ887" s="77">
        <f t="shared" si="2830"/>
        <v>6.3149999999999984E-2</v>
      </c>
      <c r="BK887" s="77">
        <f t="shared" si="2923"/>
        <v>5.1160591879111372E-3</v>
      </c>
      <c r="BL887" s="79">
        <v>0</v>
      </c>
      <c r="BM887" s="77">
        <f t="shared" si="2844"/>
        <v>0</v>
      </c>
      <c r="BN887" s="77">
        <f t="shared" si="2845"/>
        <v>0</v>
      </c>
      <c r="BO887" s="77">
        <f t="shared" si="2846"/>
        <v>2.5000000000000001E-3</v>
      </c>
      <c r="BP887" s="77">
        <f t="shared" si="2847"/>
        <v>2.0809499864316017E-4</v>
      </c>
    </row>
    <row r="888" spans="1:68">
      <c r="A888" t="s">
        <v>175</v>
      </c>
      <c r="B888" t="s">
        <v>179</v>
      </c>
      <c r="C888" s="197" t="str">
        <f t="shared" si="2888"/>
        <v>Lifecycle_Dynamic_199</v>
      </c>
      <c r="D888">
        <v>199</v>
      </c>
      <c r="E888">
        <f>VLOOKUP($D888,'[2]LC Dynamic'!$Q$2:$U$542,2,FALSE)</f>
        <v>0</v>
      </c>
      <c r="F888">
        <f>VLOOKUP($D888,'[2]LC Dynamic'!$Q$2:$U$542,3,FALSE)</f>
        <v>0</v>
      </c>
      <c r="G888">
        <f>VLOOKUP($D888,'[2]LC Dynamic'!$Q$2:$U$542,4,FALSE)</f>
        <v>0.308</v>
      </c>
      <c r="H888">
        <f>VLOOKUP($D888,'[2]LC Dynamic'!$Q$2:$U$542,5,FALSE)</f>
        <v>0.69199999999999995</v>
      </c>
      <c r="I888" s="77">
        <f t="shared" si="2820"/>
        <v>1</v>
      </c>
      <c r="J888" s="77">
        <f t="shared" si="2821"/>
        <v>6.9728499999999985E-2</v>
      </c>
      <c r="K888" s="77">
        <f t="shared" si="2895"/>
        <v>5.632878498097682E-3</v>
      </c>
      <c r="L888" s="76">
        <v>0</v>
      </c>
      <c r="M888" s="77">
        <f t="shared" si="2831"/>
        <v>0</v>
      </c>
      <c r="N888" s="77">
        <f t="shared" si="2832"/>
        <v>0</v>
      </c>
      <c r="O888" s="77">
        <f t="shared" si="2833"/>
        <v>5.6775999999999997E-3</v>
      </c>
      <c r="P888" s="77">
        <f t="shared" si="2834"/>
        <v>4.7436902124819991E-4</v>
      </c>
      <c r="R888" t="s">
        <v>177</v>
      </c>
      <c r="S888" t="s">
        <v>179</v>
      </c>
      <c r="T888" s="197" t="str">
        <f t="shared" si="2889"/>
        <v>Autopilot_Dynamic_199</v>
      </c>
      <c r="U888">
        <v>199</v>
      </c>
      <c r="V888">
        <f>VLOOKUP($U888,'[2]AP Dynamic'!$Q$1:$T$542,2,FALSE)</f>
        <v>0.88888888888888884</v>
      </c>
      <c r="W888">
        <f>VLOOKUP($U888,'[2]AP Dynamic'!$Q$1:$T$542,3,FALSE)</f>
        <v>0.11111111111111116</v>
      </c>
      <c r="X888">
        <f>VLOOKUP($U888,'[2]AP Dynamic'!$Q$1:$T$542,4,FALSE)</f>
        <v>0</v>
      </c>
      <c r="Y888" s="77">
        <f t="shared" si="2890"/>
        <v>1</v>
      </c>
      <c r="Z888" s="77">
        <f t="shared" si="2896"/>
        <v>6.3149999999999984E-2</v>
      </c>
      <c r="AA888" s="77">
        <f t="shared" si="2897"/>
        <v>5.1160591879111372E-3</v>
      </c>
      <c r="AB888" s="79">
        <v>1</v>
      </c>
      <c r="AC888" s="77">
        <f t="shared" si="2835"/>
        <v>8.277777777777778E-3</v>
      </c>
      <c r="AD888" s="77">
        <f t="shared" ref="AD888" si="2932">1-(1-AC888)^(1/12)</f>
        <v>6.9244588451522482E-4</v>
      </c>
      <c r="AE888" s="77">
        <f t="shared" si="2837"/>
        <v>2.5000000000000001E-3</v>
      </c>
      <c r="AF888" s="77">
        <f t="shared" ref="AF888" si="2933">1-(1-AE888)^(1/12)</f>
        <v>2.0857243058891584E-4</v>
      </c>
      <c r="AH888" t="s">
        <v>175</v>
      </c>
      <c r="AI888" t="s">
        <v>179</v>
      </c>
      <c r="AJ888" s="197" t="str">
        <f t="shared" si="2824"/>
        <v>Lifecycle_Dynamic_199</v>
      </c>
      <c r="AK888">
        <v>199</v>
      </c>
      <c r="AL888">
        <f>VLOOKUP($U888,[2]Standard_Dynamic!$Q$1:$T$542,2,FALSE)</f>
        <v>0.88888888888888884</v>
      </c>
      <c r="AM888">
        <f>VLOOKUP($U888,[2]Standard_Dynamic!$Q$1:$T$542,3,FALSE)</f>
        <v>0.11111111111111116</v>
      </c>
      <c r="AN888">
        <f>VLOOKUP($U888,[2]Standard_Dynamic!$Q$1:$T$542,4,FALSE)</f>
        <v>0</v>
      </c>
      <c r="AO888" s="77">
        <f t="shared" si="2825"/>
        <v>1</v>
      </c>
      <c r="AP888" s="77">
        <f t="shared" si="2839"/>
        <v>6.3149999999999984E-2</v>
      </c>
      <c r="AQ888" s="77">
        <f t="shared" si="2826"/>
        <v>5.1160591879111372E-3</v>
      </c>
      <c r="AR888" s="79">
        <v>0</v>
      </c>
      <c r="AS888" s="77">
        <f t="shared" si="2840"/>
        <v>0</v>
      </c>
      <c r="AT888" s="77">
        <f t="shared" ref="AT888" si="2934">1-(1-AS888)^(1/12)</f>
        <v>0</v>
      </c>
      <c r="AU888" s="77">
        <f t="shared" si="2842"/>
        <v>2.5000000000000001E-3</v>
      </c>
      <c r="AV888" s="77">
        <f t="shared" ref="AV888" si="2935">1-(1-AU888)^(1/12)</f>
        <v>2.0857243058891584E-4</v>
      </c>
      <c r="AX888" t="s">
        <v>178</v>
      </c>
      <c r="AY888" t="s">
        <v>162</v>
      </c>
      <c r="AZ888" s="197" t="str">
        <f t="shared" si="2922"/>
        <v>DIS_Standard_199</v>
      </c>
      <c r="BA888">
        <v>199</v>
      </c>
      <c r="BB888">
        <f>VLOOKUP($BA888,'[2]Standard DIS'!$Q$1:$X$542,4,FALSE)</f>
        <v>0</v>
      </c>
      <c r="BF888">
        <f>VLOOKUP($BA888,'[2]Standard DIS'!$Q$1:$X$542,2,FALSE)</f>
        <v>0.88888888888888884</v>
      </c>
      <c r="BH888">
        <f>VLOOKUP($BA888,'[2]Standard DIS'!$Q$1:$X$542,3,FALSE)</f>
        <v>0.11111111111111116</v>
      </c>
      <c r="BI888" s="77">
        <f t="shared" si="2829"/>
        <v>1</v>
      </c>
      <c r="BJ888" s="77">
        <f t="shared" si="2830"/>
        <v>6.3149999999999984E-2</v>
      </c>
      <c r="BK888" s="77">
        <f t="shared" si="2923"/>
        <v>5.1160591879111372E-3</v>
      </c>
      <c r="BL888" s="79">
        <v>0</v>
      </c>
      <c r="BM888" s="77">
        <f t="shared" si="2844"/>
        <v>0</v>
      </c>
      <c r="BN888" s="77">
        <f t="shared" si="2845"/>
        <v>0</v>
      </c>
      <c r="BO888" s="77">
        <f t="shared" si="2846"/>
        <v>2.5000000000000001E-3</v>
      </c>
      <c r="BP888" s="77">
        <f t="shared" si="2847"/>
        <v>2.0809499864316017E-4</v>
      </c>
    </row>
    <row r="889" spans="1:68">
      <c r="A889" t="s">
        <v>175</v>
      </c>
      <c r="B889" t="s">
        <v>179</v>
      </c>
      <c r="C889" s="197" t="str">
        <f t="shared" si="2888"/>
        <v>Lifecycle_Dynamic_198</v>
      </c>
      <c r="D889">
        <v>198</v>
      </c>
      <c r="E889">
        <f>VLOOKUP($D889,'[2]LC Dynamic'!$Q$2:$U$542,2,FALSE)</f>
        <v>0</v>
      </c>
      <c r="F889">
        <f>VLOOKUP($D889,'[2]LC Dynamic'!$Q$2:$U$542,3,FALSE)</f>
        <v>0</v>
      </c>
      <c r="G889">
        <f>VLOOKUP($D889,'[2]LC Dynamic'!$Q$2:$U$542,4,FALSE)</f>
        <v>0.308</v>
      </c>
      <c r="H889">
        <f>VLOOKUP($D889,'[2]LC Dynamic'!$Q$2:$U$542,5,FALSE)</f>
        <v>0.69199999999999995</v>
      </c>
      <c r="I889" s="77">
        <f t="shared" si="2820"/>
        <v>1</v>
      </c>
      <c r="J889" s="77">
        <f t="shared" si="2821"/>
        <v>6.9728499999999985E-2</v>
      </c>
      <c r="K889" s="77">
        <f t="shared" si="2895"/>
        <v>5.632878498097682E-3</v>
      </c>
      <c r="L889" s="76">
        <v>0</v>
      </c>
      <c r="M889" s="77">
        <f t="shared" si="2831"/>
        <v>0</v>
      </c>
      <c r="N889" s="77">
        <f t="shared" si="2832"/>
        <v>0</v>
      </c>
      <c r="O889" s="77">
        <f t="shared" si="2833"/>
        <v>5.6775999999999997E-3</v>
      </c>
      <c r="P889" s="77">
        <f t="shared" si="2834"/>
        <v>4.7436902124819991E-4</v>
      </c>
      <c r="R889" t="s">
        <v>177</v>
      </c>
      <c r="S889" t="s">
        <v>179</v>
      </c>
      <c r="T889" s="197" t="str">
        <f t="shared" si="2889"/>
        <v>Autopilot_Dynamic_198</v>
      </c>
      <c r="U889">
        <v>198</v>
      </c>
      <c r="V889">
        <f>VLOOKUP($U889,'[2]AP Dynamic'!$Q$1:$T$542,2,FALSE)</f>
        <v>0.88888888888888884</v>
      </c>
      <c r="W889">
        <f>VLOOKUP($U889,'[2]AP Dynamic'!$Q$1:$T$542,3,FALSE)</f>
        <v>0.11111111111111116</v>
      </c>
      <c r="X889">
        <f>VLOOKUP($U889,'[2]AP Dynamic'!$Q$1:$T$542,4,FALSE)</f>
        <v>0</v>
      </c>
      <c r="Y889" s="77">
        <f t="shared" si="2890"/>
        <v>1</v>
      </c>
      <c r="Z889" s="77">
        <f t="shared" si="2896"/>
        <v>6.3149999999999984E-2</v>
      </c>
      <c r="AA889" s="77">
        <f t="shared" si="2897"/>
        <v>5.1160591879111372E-3</v>
      </c>
      <c r="AB889" s="79">
        <v>1</v>
      </c>
      <c r="AC889" s="77">
        <f t="shared" si="2835"/>
        <v>8.277777777777778E-3</v>
      </c>
      <c r="AD889" s="77">
        <f t="shared" ref="AD889" si="2936">1-(1-AC889)^(1/12)</f>
        <v>6.9244588451522482E-4</v>
      </c>
      <c r="AE889" s="77">
        <f t="shared" si="2837"/>
        <v>2.5000000000000001E-3</v>
      </c>
      <c r="AF889" s="77">
        <f t="shared" ref="AF889" si="2937">1-(1-AE889)^(1/12)</f>
        <v>2.0857243058891584E-4</v>
      </c>
      <c r="AH889" t="s">
        <v>175</v>
      </c>
      <c r="AI889" t="s">
        <v>179</v>
      </c>
      <c r="AJ889" s="197" t="str">
        <f t="shared" si="2824"/>
        <v>Lifecycle_Dynamic_198</v>
      </c>
      <c r="AK889">
        <v>198</v>
      </c>
      <c r="AL889">
        <f>VLOOKUP($U889,[2]Standard_Dynamic!$Q$1:$T$542,2,FALSE)</f>
        <v>0.88888888888888884</v>
      </c>
      <c r="AM889">
        <f>VLOOKUP($U889,[2]Standard_Dynamic!$Q$1:$T$542,3,FALSE)</f>
        <v>0.11111111111111116</v>
      </c>
      <c r="AN889">
        <f>VLOOKUP($U889,[2]Standard_Dynamic!$Q$1:$T$542,4,FALSE)</f>
        <v>0</v>
      </c>
      <c r="AO889" s="77">
        <f t="shared" si="2825"/>
        <v>1</v>
      </c>
      <c r="AP889" s="77">
        <f t="shared" si="2839"/>
        <v>6.3149999999999984E-2</v>
      </c>
      <c r="AQ889" s="77">
        <f t="shared" si="2826"/>
        <v>5.1160591879111372E-3</v>
      </c>
      <c r="AR889" s="79">
        <v>0</v>
      </c>
      <c r="AS889" s="77">
        <f t="shared" si="2840"/>
        <v>0</v>
      </c>
      <c r="AT889" s="77">
        <f t="shared" ref="AT889" si="2938">1-(1-AS889)^(1/12)</f>
        <v>0</v>
      </c>
      <c r="AU889" s="77">
        <f t="shared" si="2842"/>
        <v>2.5000000000000001E-3</v>
      </c>
      <c r="AV889" s="77">
        <f t="shared" ref="AV889" si="2939">1-(1-AU889)^(1/12)</f>
        <v>2.0857243058891584E-4</v>
      </c>
      <c r="AX889" t="s">
        <v>178</v>
      </c>
      <c r="AY889" t="s">
        <v>162</v>
      </c>
      <c r="AZ889" s="197" t="str">
        <f t="shared" si="2922"/>
        <v>DIS_Standard_198</v>
      </c>
      <c r="BA889">
        <v>198</v>
      </c>
      <c r="BB889">
        <f>VLOOKUP($BA889,'[2]Standard DIS'!$Q$1:$X$542,4,FALSE)</f>
        <v>0</v>
      </c>
      <c r="BF889">
        <f>VLOOKUP($BA889,'[2]Standard DIS'!$Q$1:$X$542,2,FALSE)</f>
        <v>0.88888888888888884</v>
      </c>
      <c r="BH889">
        <f>VLOOKUP($BA889,'[2]Standard DIS'!$Q$1:$X$542,3,FALSE)</f>
        <v>0.11111111111111116</v>
      </c>
      <c r="BI889" s="77">
        <f t="shared" si="2829"/>
        <v>1</v>
      </c>
      <c r="BJ889" s="77">
        <f t="shared" si="2830"/>
        <v>6.3149999999999984E-2</v>
      </c>
      <c r="BK889" s="77">
        <f t="shared" si="2923"/>
        <v>5.1160591879111372E-3</v>
      </c>
      <c r="BL889" s="79">
        <v>0</v>
      </c>
      <c r="BM889" s="77">
        <f t="shared" si="2844"/>
        <v>0</v>
      </c>
      <c r="BN889" s="77">
        <f t="shared" si="2845"/>
        <v>0</v>
      </c>
      <c r="BO889" s="77">
        <f t="shared" si="2846"/>
        <v>2.5000000000000001E-3</v>
      </c>
      <c r="BP889" s="77">
        <f t="shared" si="2847"/>
        <v>2.0809499864316017E-4</v>
      </c>
    </row>
    <row r="890" spans="1:68">
      <c r="A890" t="s">
        <v>175</v>
      </c>
      <c r="B890" t="s">
        <v>179</v>
      </c>
      <c r="C890" s="197" t="str">
        <f t="shared" si="2888"/>
        <v>Lifecycle_Dynamic_197</v>
      </c>
      <c r="D890">
        <v>197</v>
      </c>
      <c r="E890">
        <f>VLOOKUP($D890,'[2]LC Dynamic'!$Q$2:$U$542,2,FALSE)</f>
        <v>0</v>
      </c>
      <c r="F890">
        <f>VLOOKUP($D890,'[2]LC Dynamic'!$Q$2:$U$542,3,FALSE)</f>
        <v>0</v>
      </c>
      <c r="G890">
        <f>VLOOKUP($D890,'[2]LC Dynamic'!$Q$2:$U$542,4,FALSE)</f>
        <v>0.308</v>
      </c>
      <c r="H890">
        <f>VLOOKUP($D890,'[2]LC Dynamic'!$Q$2:$U$542,5,FALSE)</f>
        <v>0.69199999999999995</v>
      </c>
      <c r="I890" s="77">
        <f t="shared" si="2820"/>
        <v>1</v>
      </c>
      <c r="J890" s="77">
        <f t="shared" si="2821"/>
        <v>6.9728499999999985E-2</v>
      </c>
      <c r="K890" s="77">
        <f t="shared" si="2895"/>
        <v>5.632878498097682E-3</v>
      </c>
      <c r="L890" s="76">
        <v>0</v>
      </c>
      <c r="M890" s="77">
        <f t="shared" si="2831"/>
        <v>0</v>
      </c>
      <c r="N890" s="77">
        <f t="shared" si="2832"/>
        <v>0</v>
      </c>
      <c r="O890" s="77">
        <f t="shared" si="2833"/>
        <v>5.6775999999999997E-3</v>
      </c>
      <c r="P890" s="77">
        <f t="shared" si="2834"/>
        <v>4.7436902124819991E-4</v>
      </c>
      <c r="R890" t="s">
        <v>177</v>
      </c>
      <c r="S890" t="s">
        <v>179</v>
      </c>
      <c r="T890" s="197" t="str">
        <f t="shared" si="2889"/>
        <v>Autopilot_Dynamic_197</v>
      </c>
      <c r="U890">
        <v>197</v>
      </c>
      <c r="V890">
        <f>VLOOKUP($U890,'[2]AP Dynamic'!$Q$1:$T$542,2,FALSE)</f>
        <v>0.88888888888888884</v>
      </c>
      <c r="W890">
        <f>VLOOKUP($U890,'[2]AP Dynamic'!$Q$1:$T$542,3,FALSE)</f>
        <v>0.11111111111111116</v>
      </c>
      <c r="X890">
        <f>VLOOKUP($U890,'[2]AP Dynamic'!$Q$1:$T$542,4,FALSE)</f>
        <v>0</v>
      </c>
      <c r="Y890" s="77">
        <f t="shared" si="2890"/>
        <v>1</v>
      </c>
      <c r="Z890" s="77">
        <f t="shared" si="2896"/>
        <v>6.3149999999999984E-2</v>
      </c>
      <c r="AA890" s="77">
        <f t="shared" si="2897"/>
        <v>5.1160591879111372E-3</v>
      </c>
      <c r="AB890" s="79">
        <v>1</v>
      </c>
      <c r="AC890" s="77">
        <f t="shared" si="2835"/>
        <v>8.277777777777778E-3</v>
      </c>
      <c r="AD890" s="77">
        <f t="shared" ref="AD890" si="2940">1-(1-AC890)^(1/12)</f>
        <v>6.9244588451522482E-4</v>
      </c>
      <c r="AE890" s="77">
        <f t="shared" si="2837"/>
        <v>2.5000000000000001E-3</v>
      </c>
      <c r="AF890" s="77">
        <f t="shared" ref="AF890" si="2941">1-(1-AE890)^(1/12)</f>
        <v>2.0857243058891584E-4</v>
      </c>
      <c r="AH890" t="s">
        <v>175</v>
      </c>
      <c r="AI890" t="s">
        <v>179</v>
      </c>
      <c r="AJ890" s="197" t="str">
        <f t="shared" si="2824"/>
        <v>Lifecycle_Dynamic_197</v>
      </c>
      <c r="AK890">
        <v>197</v>
      </c>
      <c r="AL890">
        <f>VLOOKUP($U890,[2]Standard_Dynamic!$Q$1:$T$542,2,FALSE)</f>
        <v>0.88888888888888884</v>
      </c>
      <c r="AM890">
        <f>VLOOKUP($U890,[2]Standard_Dynamic!$Q$1:$T$542,3,FALSE)</f>
        <v>0.11111111111111116</v>
      </c>
      <c r="AN890">
        <f>VLOOKUP($U890,[2]Standard_Dynamic!$Q$1:$T$542,4,FALSE)</f>
        <v>0</v>
      </c>
      <c r="AO890" s="77">
        <f t="shared" si="2825"/>
        <v>1</v>
      </c>
      <c r="AP890" s="77">
        <f t="shared" si="2839"/>
        <v>6.3149999999999984E-2</v>
      </c>
      <c r="AQ890" s="77">
        <f t="shared" si="2826"/>
        <v>5.1160591879111372E-3</v>
      </c>
      <c r="AR890" s="79">
        <v>0</v>
      </c>
      <c r="AS890" s="77">
        <f t="shared" si="2840"/>
        <v>0</v>
      </c>
      <c r="AT890" s="77">
        <f t="shared" ref="AT890" si="2942">1-(1-AS890)^(1/12)</f>
        <v>0</v>
      </c>
      <c r="AU890" s="77">
        <f t="shared" si="2842"/>
        <v>2.5000000000000001E-3</v>
      </c>
      <c r="AV890" s="77">
        <f t="shared" ref="AV890" si="2943">1-(1-AU890)^(1/12)</f>
        <v>2.0857243058891584E-4</v>
      </c>
      <c r="AX890" t="s">
        <v>178</v>
      </c>
      <c r="AY890" t="s">
        <v>162</v>
      </c>
      <c r="AZ890" s="197" t="str">
        <f t="shared" si="2922"/>
        <v>DIS_Standard_197</v>
      </c>
      <c r="BA890">
        <v>197</v>
      </c>
      <c r="BB890">
        <f>VLOOKUP($BA890,'[2]Standard DIS'!$Q$1:$X$542,4,FALSE)</f>
        <v>0</v>
      </c>
      <c r="BF890">
        <f>VLOOKUP($BA890,'[2]Standard DIS'!$Q$1:$X$542,2,FALSE)</f>
        <v>0.88888888888888884</v>
      </c>
      <c r="BH890">
        <f>VLOOKUP($BA890,'[2]Standard DIS'!$Q$1:$X$542,3,FALSE)</f>
        <v>0.11111111111111116</v>
      </c>
      <c r="BI890" s="77">
        <f t="shared" si="2829"/>
        <v>1</v>
      </c>
      <c r="BJ890" s="77">
        <f t="shared" si="2830"/>
        <v>6.3149999999999984E-2</v>
      </c>
      <c r="BK890" s="77">
        <f t="shared" si="2923"/>
        <v>5.1160591879111372E-3</v>
      </c>
      <c r="BL890" s="79">
        <v>0</v>
      </c>
      <c r="BM890" s="77">
        <f t="shared" si="2844"/>
        <v>0</v>
      </c>
      <c r="BN890" s="77">
        <f t="shared" si="2845"/>
        <v>0</v>
      </c>
      <c r="BO890" s="77">
        <f t="shared" si="2846"/>
        <v>2.5000000000000001E-3</v>
      </c>
      <c r="BP890" s="77">
        <f t="shared" si="2847"/>
        <v>2.0809499864316017E-4</v>
      </c>
    </row>
    <row r="891" spans="1:68">
      <c r="A891" t="s">
        <v>175</v>
      </c>
      <c r="B891" t="s">
        <v>179</v>
      </c>
      <c r="C891" s="197" t="str">
        <f t="shared" si="2888"/>
        <v>Lifecycle_Dynamic_196</v>
      </c>
      <c r="D891">
        <v>196</v>
      </c>
      <c r="E891">
        <f>VLOOKUP($D891,'[2]LC Dynamic'!$Q$2:$U$542,2,FALSE)</f>
        <v>0</v>
      </c>
      <c r="F891">
        <f>VLOOKUP($D891,'[2]LC Dynamic'!$Q$2:$U$542,3,FALSE)</f>
        <v>0</v>
      </c>
      <c r="G891">
        <f>VLOOKUP($D891,'[2]LC Dynamic'!$Q$2:$U$542,4,FALSE)</f>
        <v>0.308</v>
      </c>
      <c r="H891">
        <f>VLOOKUP($D891,'[2]LC Dynamic'!$Q$2:$U$542,5,FALSE)</f>
        <v>0.69199999999999995</v>
      </c>
      <c r="I891" s="77">
        <f t="shared" si="2820"/>
        <v>1</v>
      </c>
      <c r="J891" s="77">
        <f t="shared" si="2821"/>
        <v>6.9728499999999985E-2</v>
      </c>
      <c r="K891" s="77">
        <f t="shared" si="2895"/>
        <v>5.632878498097682E-3</v>
      </c>
      <c r="L891" s="76">
        <v>0</v>
      </c>
      <c r="M891" s="77">
        <f t="shared" si="2831"/>
        <v>0</v>
      </c>
      <c r="N891" s="77">
        <f t="shared" si="2832"/>
        <v>0</v>
      </c>
      <c r="O891" s="77">
        <f t="shared" si="2833"/>
        <v>5.6775999999999997E-3</v>
      </c>
      <c r="P891" s="77">
        <f t="shared" si="2834"/>
        <v>4.7436902124819991E-4</v>
      </c>
      <c r="R891" t="s">
        <v>177</v>
      </c>
      <c r="S891" t="s">
        <v>179</v>
      </c>
      <c r="T891" s="197" t="str">
        <f t="shared" si="2889"/>
        <v>Autopilot_Dynamic_196</v>
      </c>
      <c r="U891">
        <v>196</v>
      </c>
      <c r="V891">
        <f>VLOOKUP($U891,'[2]AP Dynamic'!$Q$1:$T$542,2,FALSE)</f>
        <v>0.88888888888888884</v>
      </c>
      <c r="W891">
        <f>VLOOKUP($U891,'[2]AP Dynamic'!$Q$1:$T$542,3,FALSE)</f>
        <v>0.11111111111111116</v>
      </c>
      <c r="X891">
        <f>VLOOKUP($U891,'[2]AP Dynamic'!$Q$1:$T$542,4,FALSE)</f>
        <v>0</v>
      </c>
      <c r="Y891" s="77">
        <f t="shared" si="2890"/>
        <v>1</v>
      </c>
      <c r="Z891" s="77">
        <f t="shared" si="2896"/>
        <v>6.3149999999999984E-2</v>
      </c>
      <c r="AA891" s="77">
        <f t="shared" si="2897"/>
        <v>5.1160591879111372E-3</v>
      </c>
      <c r="AB891" s="79">
        <v>1</v>
      </c>
      <c r="AC891" s="77">
        <f t="shared" si="2835"/>
        <v>8.277777777777778E-3</v>
      </c>
      <c r="AD891" s="77">
        <f t="shared" ref="AD891" si="2944">1-(1-AC891)^(1/12)</f>
        <v>6.9244588451522482E-4</v>
      </c>
      <c r="AE891" s="77">
        <f t="shared" si="2837"/>
        <v>2.5000000000000001E-3</v>
      </c>
      <c r="AF891" s="77">
        <f t="shared" ref="AF891" si="2945">1-(1-AE891)^(1/12)</f>
        <v>2.0857243058891584E-4</v>
      </c>
      <c r="AH891" t="s">
        <v>175</v>
      </c>
      <c r="AI891" t="s">
        <v>179</v>
      </c>
      <c r="AJ891" s="197" t="str">
        <f t="shared" si="2824"/>
        <v>Lifecycle_Dynamic_196</v>
      </c>
      <c r="AK891">
        <v>196</v>
      </c>
      <c r="AL891">
        <f>VLOOKUP($U891,[2]Standard_Dynamic!$Q$1:$T$542,2,FALSE)</f>
        <v>0.88888888888888884</v>
      </c>
      <c r="AM891">
        <f>VLOOKUP($U891,[2]Standard_Dynamic!$Q$1:$T$542,3,FALSE)</f>
        <v>0.11111111111111116</v>
      </c>
      <c r="AN891">
        <f>VLOOKUP($U891,[2]Standard_Dynamic!$Q$1:$T$542,4,FALSE)</f>
        <v>0</v>
      </c>
      <c r="AO891" s="77">
        <f t="shared" si="2825"/>
        <v>1</v>
      </c>
      <c r="AP891" s="77">
        <f t="shared" si="2839"/>
        <v>6.3149999999999984E-2</v>
      </c>
      <c r="AQ891" s="77">
        <f t="shared" si="2826"/>
        <v>5.1160591879111372E-3</v>
      </c>
      <c r="AR891" s="79">
        <v>0</v>
      </c>
      <c r="AS891" s="77">
        <f t="shared" si="2840"/>
        <v>0</v>
      </c>
      <c r="AT891" s="77">
        <f t="shared" ref="AT891" si="2946">1-(1-AS891)^(1/12)</f>
        <v>0</v>
      </c>
      <c r="AU891" s="77">
        <f t="shared" si="2842"/>
        <v>2.5000000000000001E-3</v>
      </c>
      <c r="AV891" s="77">
        <f t="shared" ref="AV891" si="2947">1-(1-AU891)^(1/12)</f>
        <v>2.0857243058891584E-4</v>
      </c>
      <c r="AX891" t="s">
        <v>178</v>
      </c>
      <c r="AY891" t="s">
        <v>162</v>
      </c>
      <c r="AZ891" s="197" t="str">
        <f t="shared" si="2922"/>
        <v>DIS_Standard_196</v>
      </c>
      <c r="BA891">
        <v>196</v>
      </c>
      <c r="BB891">
        <f>VLOOKUP($BA891,'[2]Standard DIS'!$Q$1:$X$542,4,FALSE)</f>
        <v>0</v>
      </c>
      <c r="BF891">
        <f>VLOOKUP($BA891,'[2]Standard DIS'!$Q$1:$X$542,2,FALSE)</f>
        <v>0.88888888888888884</v>
      </c>
      <c r="BH891">
        <f>VLOOKUP($BA891,'[2]Standard DIS'!$Q$1:$X$542,3,FALSE)</f>
        <v>0.11111111111111116</v>
      </c>
      <c r="BI891" s="77">
        <f t="shared" si="2829"/>
        <v>1</v>
      </c>
      <c r="BJ891" s="77">
        <f t="shared" si="2830"/>
        <v>6.3149999999999984E-2</v>
      </c>
      <c r="BK891" s="77">
        <f t="shared" si="2923"/>
        <v>5.1160591879111372E-3</v>
      </c>
      <c r="BL891" s="79">
        <v>0</v>
      </c>
      <c r="BM891" s="77">
        <f t="shared" si="2844"/>
        <v>0</v>
      </c>
      <c r="BN891" s="77">
        <f t="shared" si="2845"/>
        <v>0</v>
      </c>
      <c r="BO891" s="77">
        <f t="shared" si="2846"/>
        <v>2.5000000000000001E-3</v>
      </c>
      <c r="BP891" s="77">
        <f t="shared" si="2847"/>
        <v>2.0809499864316017E-4</v>
      </c>
    </row>
    <row r="892" spans="1:68">
      <c r="A892" t="s">
        <v>175</v>
      </c>
      <c r="B892" t="s">
        <v>179</v>
      </c>
      <c r="C892" s="197" t="str">
        <f t="shared" si="2888"/>
        <v>Lifecycle_Dynamic_195</v>
      </c>
      <c r="D892">
        <v>195</v>
      </c>
      <c r="E892">
        <f>VLOOKUP($D892,'[2]LC Dynamic'!$Q$2:$U$542,2,FALSE)</f>
        <v>0</v>
      </c>
      <c r="F892">
        <f>VLOOKUP($D892,'[2]LC Dynamic'!$Q$2:$U$542,3,FALSE)</f>
        <v>0</v>
      </c>
      <c r="G892">
        <f>VLOOKUP($D892,'[2]LC Dynamic'!$Q$2:$U$542,4,FALSE)</f>
        <v>0.308</v>
      </c>
      <c r="H892">
        <f>VLOOKUP($D892,'[2]LC Dynamic'!$Q$2:$U$542,5,FALSE)</f>
        <v>0.69199999999999995</v>
      </c>
      <c r="I892" s="77">
        <f t="shared" si="2820"/>
        <v>1</v>
      </c>
      <c r="J892" s="77">
        <f t="shared" si="2821"/>
        <v>6.9728499999999985E-2</v>
      </c>
      <c r="K892" s="77">
        <f t="shared" si="2895"/>
        <v>5.632878498097682E-3</v>
      </c>
      <c r="L892" s="76">
        <v>0</v>
      </c>
      <c r="M892" s="77">
        <f t="shared" si="2831"/>
        <v>0</v>
      </c>
      <c r="N892" s="77">
        <f t="shared" si="2832"/>
        <v>0</v>
      </c>
      <c r="O892" s="77">
        <f t="shared" si="2833"/>
        <v>5.6775999999999997E-3</v>
      </c>
      <c r="P892" s="77">
        <f t="shared" si="2834"/>
        <v>4.7436902124819991E-4</v>
      </c>
      <c r="R892" t="s">
        <v>177</v>
      </c>
      <c r="S892" t="s">
        <v>179</v>
      </c>
      <c r="T892" s="197" t="str">
        <f t="shared" si="2889"/>
        <v>Autopilot_Dynamic_195</v>
      </c>
      <c r="U892">
        <v>195</v>
      </c>
      <c r="V892">
        <f>VLOOKUP($U892,'[2]AP Dynamic'!$Q$1:$T$542,2,FALSE)</f>
        <v>0.88888888888888884</v>
      </c>
      <c r="W892">
        <f>VLOOKUP($U892,'[2]AP Dynamic'!$Q$1:$T$542,3,FALSE)</f>
        <v>0.11111111111111116</v>
      </c>
      <c r="X892">
        <f>VLOOKUP($U892,'[2]AP Dynamic'!$Q$1:$T$542,4,FALSE)</f>
        <v>0</v>
      </c>
      <c r="Y892" s="77">
        <f t="shared" si="2890"/>
        <v>1</v>
      </c>
      <c r="Z892" s="77">
        <f t="shared" si="2896"/>
        <v>6.3149999999999984E-2</v>
      </c>
      <c r="AA892" s="77">
        <f t="shared" si="2897"/>
        <v>5.1160591879111372E-3</v>
      </c>
      <c r="AB892" s="79">
        <v>1</v>
      </c>
      <c r="AC892" s="77">
        <f t="shared" si="2835"/>
        <v>8.277777777777778E-3</v>
      </c>
      <c r="AD892" s="77">
        <f t="shared" ref="AD892" si="2948">1-(1-AC892)^(1/12)</f>
        <v>6.9244588451522482E-4</v>
      </c>
      <c r="AE892" s="77">
        <f t="shared" si="2837"/>
        <v>2.5000000000000001E-3</v>
      </c>
      <c r="AF892" s="77">
        <f t="shared" ref="AF892" si="2949">1-(1-AE892)^(1/12)</f>
        <v>2.0857243058891584E-4</v>
      </c>
      <c r="AH892" t="s">
        <v>175</v>
      </c>
      <c r="AI892" t="s">
        <v>179</v>
      </c>
      <c r="AJ892" s="197" t="str">
        <f t="shared" si="2824"/>
        <v>Lifecycle_Dynamic_195</v>
      </c>
      <c r="AK892">
        <v>195</v>
      </c>
      <c r="AL892">
        <f>VLOOKUP($U892,[2]Standard_Dynamic!$Q$1:$T$542,2,FALSE)</f>
        <v>0.88888888888888884</v>
      </c>
      <c r="AM892">
        <f>VLOOKUP($U892,[2]Standard_Dynamic!$Q$1:$T$542,3,FALSE)</f>
        <v>0.11111111111111116</v>
      </c>
      <c r="AN892">
        <f>VLOOKUP($U892,[2]Standard_Dynamic!$Q$1:$T$542,4,FALSE)</f>
        <v>0</v>
      </c>
      <c r="AO892" s="77">
        <f t="shared" si="2825"/>
        <v>1</v>
      </c>
      <c r="AP892" s="77">
        <f t="shared" si="2839"/>
        <v>6.3149999999999984E-2</v>
      </c>
      <c r="AQ892" s="77">
        <f t="shared" si="2826"/>
        <v>5.1160591879111372E-3</v>
      </c>
      <c r="AR892" s="79">
        <v>0</v>
      </c>
      <c r="AS892" s="77">
        <f t="shared" si="2840"/>
        <v>0</v>
      </c>
      <c r="AT892" s="77">
        <f t="shared" ref="AT892" si="2950">1-(1-AS892)^(1/12)</f>
        <v>0</v>
      </c>
      <c r="AU892" s="77">
        <f t="shared" si="2842"/>
        <v>2.5000000000000001E-3</v>
      </c>
      <c r="AV892" s="77">
        <f t="shared" ref="AV892" si="2951">1-(1-AU892)^(1/12)</f>
        <v>2.0857243058891584E-4</v>
      </c>
      <c r="AX892" t="s">
        <v>178</v>
      </c>
      <c r="AY892" t="s">
        <v>162</v>
      </c>
      <c r="AZ892" s="197" t="str">
        <f t="shared" si="2922"/>
        <v>DIS_Standard_195</v>
      </c>
      <c r="BA892">
        <v>195</v>
      </c>
      <c r="BB892">
        <f>VLOOKUP($BA892,'[2]Standard DIS'!$Q$1:$X$542,4,FALSE)</f>
        <v>0</v>
      </c>
      <c r="BF892">
        <f>VLOOKUP($BA892,'[2]Standard DIS'!$Q$1:$X$542,2,FALSE)</f>
        <v>0.88888888888888884</v>
      </c>
      <c r="BH892">
        <f>VLOOKUP($BA892,'[2]Standard DIS'!$Q$1:$X$542,3,FALSE)</f>
        <v>0.11111111111111116</v>
      </c>
      <c r="BI892" s="77">
        <f t="shared" si="2829"/>
        <v>1</v>
      </c>
      <c r="BJ892" s="77">
        <f t="shared" si="2830"/>
        <v>6.3149999999999984E-2</v>
      </c>
      <c r="BK892" s="77">
        <f t="shared" si="2923"/>
        <v>5.1160591879111372E-3</v>
      </c>
      <c r="BL892" s="79">
        <v>0</v>
      </c>
      <c r="BM892" s="77">
        <f t="shared" si="2844"/>
        <v>0</v>
      </c>
      <c r="BN892" s="77">
        <f t="shared" si="2845"/>
        <v>0</v>
      </c>
      <c r="BO892" s="77">
        <f t="shared" si="2846"/>
        <v>2.5000000000000001E-3</v>
      </c>
      <c r="BP892" s="77">
        <f t="shared" si="2847"/>
        <v>2.0809499864316017E-4</v>
      </c>
    </row>
    <row r="893" spans="1:68">
      <c r="A893" t="s">
        <v>175</v>
      </c>
      <c r="B893" t="s">
        <v>179</v>
      </c>
      <c r="C893" s="197" t="str">
        <f t="shared" si="2888"/>
        <v>Lifecycle_Dynamic_194</v>
      </c>
      <c r="D893">
        <v>194</v>
      </c>
      <c r="E893">
        <f>VLOOKUP($D893,'[2]LC Dynamic'!$Q$2:$U$542,2,FALSE)</f>
        <v>0</v>
      </c>
      <c r="F893">
        <f>VLOOKUP($D893,'[2]LC Dynamic'!$Q$2:$U$542,3,FALSE)</f>
        <v>0</v>
      </c>
      <c r="G893">
        <f>VLOOKUP($D893,'[2]LC Dynamic'!$Q$2:$U$542,4,FALSE)</f>
        <v>0.308</v>
      </c>
      <c r="H893">
        <f>VLOOKUP($D893,'[2]LC Dynamic'!$Q$2:$U$542,5,FALSE)</f>
        <v>0.69199999999999995</v>
      </c>
      <c r="I893" s="77">
        <f t="shared" si="2820"/>
        <v>1</v>
      </c>
      <c r="J893" s="77">
        <f t="shared" si="2821"/>
        <v>6.9728499999999985E-2</v>
      </c>
      <c r="K893" s="77">
        <f t="shared" si="2895"/>
        <v>5.632878498097682E-3</v>
      </c>
      <c r="L893" s="76">
        <v>0</v>
      </c>
      <c r="M893" s="77">
        <f t="shared" si="2831"/>
        <v>0</v>
      </c>
      <c r="N893" s="77">
        <f t="shared" si="2832"/>
        <v>0</v>
      </c>
      <c r="O893" s="77">
        <f t="shared" si="2833"/>
        <v>5.6775999999999997E-3</v>
      </c>
      <c r="P893" s="77">
        <f t="shared" si="2834"/>
        <v>4.7436902124819991E-4</v>
      </c>
      <c r="R893" t="s">
        <v>177</v>
      </c>
      <c r="S893" t="s">
        <v>179</v>
      </c>
      <c r="T893" s="197" t="str">
        <f t="shared" si="2889"/>
        <v>Autopilot_Dynamic_194</v>
      </c>
      <c r="U893">
        <v>194</v>
      </c>
      <c r="V893">
        <f>VLOOKUP($U893,'[2]AP Dynamic'!$Q$1:$T$542,2,FALSE)</f>
        <v>0.88888888888888884</v>
      </c>
      <c r="W893">
        <f>VLOOKUP($U893,'[2]AP Dynamic'!$Q$1:$T$542,3,FALSE)</f>
        <v>0.11111111111111116</v>
      </c>
      <c r="X893">
        <f>VLOOKUP($U893,'[2]AP Dynamic'!$Q$1:$T$542,4,FALSE)</f>
        <v>0</v>
      </c>
      <c r="Y893" s="77">
        <f t="shared" si="2890"/>
        <v>1</v>
      </c>
      <c r="Z893" s="77">
        <f t="shared" si="2896"/>
        <v>6.3149999999999984E-2</v>
      </c>
      <c r="AA893" s="77">
        <f t="shared" si="2897"/>
        <v>5.1160591879111372E-3</v>
      </c>
      <c r="AB893" s="79">
        <v>1</v>
      </c>
      <c r="AC893" s="77">
        <f t="shared" si="2835"/>
        <v>8.277777777777778E-3</v>
      </c>
      <c r="AD893" s="77">
        <f t="shared" ref="AD893" si="2952">1-(1-AC893)^(1/12)</f>
        <v>6.9244588451522482E-4</v>
      </c>
      <c r="AE893" s="77">
        <f t="shared" si="2837"/>
        <v>2.5000000000000001E-3</v>
      </c>
      <c r="AF893" s="77">
        <f t="shared" ref="AF893" si="2953">1-(1-AE893)^(1/12)</f>
        <v>2.0857243058891584E-4</v>
      </c>
      <c r="AH893" t="s">
        <v>175</v>
      </c>
      <c r="AI893" t="s">
        <v>179</v>
      </c>
      <c r="AJ893" s="197" t="str">
        <f t="shared" si="2824"/>
        <v>Lifecycle_Dynamic_194</v>
      </c>
      <c r="AK893">
        <v>194</v>
      </c>
      <c r="AL893">
        <f>VLOOKUP($U893,[2]Standard_Dynamic!$Q$1:$T$542,2,FALSE)</f>
        <v>0.88888888888888884</v>
      </c>
      <c r="AM893">
        <f>VLOOKUP($U893,[2]Standard_Dynamic!$Q$1:$T$542,3,FALSE)</f>
        <v>0.11111111111111116</v>
      </c>
      <c r="AN893">
        <f>VLOOKUP($U893,[2]Standard_Dynamic!$Q$1:$T$542,4,FALSE)</f>
        <v>0</v>
      </c>
      <c r="AO893" s="77">
        <f t="shared" si="2825"/>
        <v>1</v>
      </c>
      <c r="AP893" s="77">
        <f t="shared" si="2839"/>
        <v>6.3149999999999984E-2</v>
      </c>
      <c r="AQ893" s="77">
        <f t="shared" si="2826"/>
        <v>5.1160591879111372E-3</v>
      </c>
      <c r="AR893" s="79">
        <v>0</v>
      </c>
      <c r="AS893" s="77">
        <f t="shared" si="2840"/>
        <v>0</v>
      </c>
      <c r="AT893" s="77">
        <f t="shared" ref="AT893" si="2954">1-(1-AS893)^(1/12)</f>
        <v>0</v>
      </c>
      <c r="AU893" s="77">
        <f t="shared" si="2842"/>
        <v>2.5000000000000001E-3</v>
      </c>
      <c r="AV893" s="77">
        <f t="shared" ref="AV893" si="2955">1-(1-AU893)^(1/12)</f>
        <v>2.0857243058891584E-4</v>
      </c>
      <c r="AX893" t="s">
        <v>178</v>
      </c>
      <c r="AY893" t="s">
        <v>162</v>
      </c>
      <c r="AZ893" s="197" t="str">
        <f t="shared" si="2922"/>
        <v>DIS_Standard_194</v>
      </c>
      <c r="BA893">
        <v>194</v>
      </c>
      <c r="BB893">
        <f>VLOOKUP($BA893,'[2]Standard DIS'!$Q$1:$X$542,4,FALSE)</f>
        <v>0</v>
      </c>
      <c r="BF893">
        <f>VLOOKUP($BA893,'[2]Standard DIS'!$Q$1:$X$542,2,FALSE)</f>
        <v>0.88888888888888884</v>
      </c>
      <c r="BH893">
        <f>VLOOKUP($BA893,'[2]Standard DIS'!$Q$1:$X$542,3,FALSE)</f>
        <v>0.11111111111111116</v>
      </c>
      <c r="BI893" s="77">
        <f t="shared" si="2829"/>
        <v>1</v>
      </c>
      <c r="BJ893" s="77">
        <f t="shared" si="2830"/>
        <v>6.3149999999999984E-2</v>
      </c>
      <c r="BK893" s="77">
        <f t="shared" si="2923"/>
        <v>5.1160591879111372E-3</v>
      </c>
      <c r="BL893" s="79">
        <v>0</v>
      </c>
      <c r="BM893" s="77">
        <f t="shared" si="2844"/>
        <v>0</v>
      </c>
      <c r="BN893" s="77">
        <f t="shared" si="2845"/>
        <v>0</v>
      </c>
      <c r="BO893" s="77">
        <f t="shared" si="2846"/>
        <v>2.5000000000000001E-3</v>
      </c>
      <c r="BP893" s="77">
        <f t="shared" si="2847"/>
        <v>2.0809499864316017E-4</v>
      </c>
    </row>
    <row r="894" spans="1:68">
      <c r="A894" t="s">
        <v>175</v>
      </c>
      <c r="B894" t="s">
        <v>179</v>
      </c>
      <c r="C894" s="197" t="str">
        <f t="shared" si="2888"/>
        <v>Lifecycle_Dynamic_193</v>
      </c>
      <c r="D894">
        <v>193</v>
      </c>
      <c r="E894">
        <f>VLOOKUP($D894,'[2]LC Dynamic'!$Q$2:$U$542,2,FALSE)</f>
        <v>0</v>
      </c>
      <c r="F894">
        <f>VLOOKUP($D894,'[2]LC Dynamic'!$Q$2:$U$542,3,FALSE)</f>
        <v>0</v>
      </c>
      <c r="G894">
        <f>VLOOKUP($D894,'[2]LC Dynamic'!$Q$2:$U$542,4,FALSE)</f>
        <v>0.308</v>
      </c>
      <c r="H894">
        <f>VLOOKUP($D894,'[2]LC Dynamic'!$Q$2:$U$542,5,FALSE)</f>
        <v>0.69199999999999995</v>
      </c>
      <c r="I894" s="77">
        <f t="shared" si="2820"/>
        <v>1</v>
      </c>
      <c r="J894" s="77">
        <f t="shared" si="2821"/>
        <v>6.9728499999999985E-2</v>
      </c>
      <c r="K894" s="77">
        <f t="shared" si="2895"/>
        <v>5.632878498097682E-3</v>
      </c>
      <c r="L894" s="76">
        <v>0</v>
      </c>
      <c r="M894" s="77">
        <f t="shared" si="2831"/>
        <v>0</v>
      </c>
      <c r="N894" s="77">
        <f t="shared" si="2832"/>
        <v>0</v>
      </c>
      <c r="O894" s="77">
        <f t="shared" si="2833"/>
        <v>5.6775999999999997E-3</v>
      </c>
      <c r="P894" s="77">
        <f t="shared" si="2834"/>
        <v>4.7436902124819991E-4</v>
      </c>
      <c r="R894" t="s">
        <v>177</v>
      </c>
      <c r="S894" t="s">
        <v>179</v>
      </c>
      <c r="T894" s="197" t="str">
        <f t="shared" si="2889"/>
        <v>Autopilot_Dynamic_193</v>
      </c>
      <c r="U894">
        <v>193</v>
      </c>
      <c r="V894">
        <f>VLOOKUP($U894,'[2]AP Dynamic'!$Q$1:$T$542,2,FALSE)</f>
        <v>0.88888888888888884</v>
      </c>
      <c r="W894">
        <f>VLOOKUP($U894,'[2]AP Dynamic'!$Q$1:$T$542,3,FALSE)</f>
        <v>0.11111111111111116</v>
      </c>
      <c r="X894">
        <f>VLOOKUP($U894,'[2]AP Dynamic'!$Q$1:$T$542,4,FALSE)</f>
        <v>0</v>
      </c>
      <c r="Y894" s="77">
        <f t="shared" si="2890"/>
        <v>1</v>
      </c>
      <c r="Z894" s="77">
        <f t="shared" si="2896"/>
        <v>6.3149999999999984E-2</v>
      </c>
      <c r="AA894" s="77">
        <f t="shared" si="2897"/>
        <v>5.1160591879111372E-3</v>
      </c>
      <c r="AB894" s="79">
        <v>1</v>
      </c>
      <c r="AC894" s="77">
        <f t="shared" si="2835"/>
        <v>8.277777777777778E-3</v>
      </c>
      <c r="AD894" s="77">
        <f t="shared" ref="AD894" si="2956">1-(1-AC894)^(1/12)</f>
        <v>6.9244588451522482E-4</v>
      </c>
      <c r="AE894" s="77">
        <f t="shared" si="2837"/>
        <v>2.5000000000000001E-3</v>
      </c>
      <c r="AF894" s="77">
        <f t="shared" ref="AF894" si="2957">1-(1-AE894)^(1/12)</f>
        <v>2.0857243058891584E-4</v>
      </c>
      <c r="AH894" t="s">
        <v>175</v>
      </c>
      <c r="AI894" t="s">
        <v>179</v>
      </c>
      <c r="AJ894" s="197" t="str">
        <f t="shared" si="2824"/>
        <v>Lifecycle_Dynamic_193</v>
      </c>
      <c r="AK894">
        <v>193</v>
      </c>
      <c r="AL894">
        <f>VLOOKUP($U894,[2]Standard_Dynamic!$Q$1:$T$542,2,FALSE)</f>
        <v>0.88888888888888884</v>
      </c>
      <c r="AM894">
        <f>VLOOKUP($U894,[2]Standard_Dynamic!$Q$1:$T$542,3,FALSE)</f>
        <v>0.11111111111111116</v>
      </c>
      <c r="AN894">
        <f>VLOOKUP($U894,[2]Standard_Dynamic!$Q$1:$T$542,4,FALSE)</f>
        <v>0</v>
      </c>
      <c r="AO894" s="77">
        <f t="shared" si="2825"/>
        <v>1</v>
      </c>
      <c r="AP894" s="77">
        <f t="shared" si="2839"/>
        <v>6.3149999999999984E-2</v>
      </c>
      <c r="AQ894" s="77">
        <f t="shared" si="2826"/>
        <v>5.1160591879111372E-3</v>
      </c>
      <c r="AR894" s="79">
        <v>0</v>
      </c>
      <c r="AS894" s="77">
        <f t="shared" si="2840"/>
        <v>0</v>
      </c>
      <c r="AT894" s="77">
        <f t="shared" ref="AT894" si="2958">1-(1-AS894)^(1/12)</f>
        <v>0</v>
      </c>
      <c r="AU894" s="77">
        <f t="shared" si="2842"/>
        <v>2.5000000000000001E-3</v>
      </c>
      <c r="AV894" s="77">
        <f t="shared" ref="AV894" si="2959">1-(1-AU894)^(1/12)</f>
        <v>2.0857243058891584E-4</v>
      </c>
      <c r="AX894" t="s">
        <v>178</v>
      </c>
      <c r="AY894" t="s">
        <v>162</v>
      </c>
      <c r="AZ894" s="197" t="str">
        <f t="shared" si="2922"/>
        <v>DIS_Standard_193</v>
      </c>
      <c r="BA894">
        <v>193</v>
      </c>
      <c r="BB894">
        <f>VLOOKUP($BA894,'[2]Standard DIS'!$Q$1:$X$542,4,FALSE)</f>
        <v>0</v>
      </c>
      <c r="BF894">
        <f>VLOOKUP($BA894,'[2]Standard DIS'!$Q$1:$X$542,2,FALSE)</f>
        <v>0.88888888888888884</v>
      </c>
      <c r="BH894">
        <f>VLOOKUP($BA894,'[2]Standard DIS'!$Q$1:$X$542,3,FALSE)</f>
        <v>0.11111111111111116</v>
      </c>
      <c r="BI894" s="77">
        <f t="shared" si="2829"/>
        <v>1</v>
      </c>
      <c r="BJ894" s="77">
        <f t="shared" si="2830"/>
        <v>6.3149999999999984E-2</v>
      </c>
      <c r="BK894" s="77">
        <f t="shared" si="2923"/>
        <v>5.1160591879111372E-3</v>
      </c>
      <c r="BL894" s="79">
        <v>0</v>
      </c>
      <c r="BM894" s="77">
        <f t="shared" si="2844"/>
        <v>0</v>
      </c>
      <c r="BN894" s="77">
        <f t="shared" si="2845"/>
        <v>0</v>
      </c>
      <c r="BO894" s="77">
        <f t="shared" si="2846"/>
        <v>2.5000000000000001E-3</v>
      </c>
      <c r="BP894" s="77">
        <f t="shared" si="2847"/>
        <v>2.0809499864316017E-4</v>
      </c>
    </row>
    <row r="895" spans="1:68">
      <c r="A895" t="s">
        <v>175</v>
      </c>
      <c r="B895" t="s">
        <v>179</v>
      </c>
      <c r="C895" s="197" t="str">
        <f t="shared" si="2888"/>
        <v>Lifecycle_Dynamic_192</v>
      </c>
      <c r="D895">
        <v>192</v>
      </c>
      <c r="E895">
        <f>VLOOKUP($D895,'[2]LC Dynamic'!$Q$2:$U$542,2,FALSE)</f>
        <v>0</v>
      </c>
      <c r="F895">
        <f>VLOOKUP($D895,'[2]LC Dynamic'!$Q$2:$U$542,3,FALSE)</f>
        <v>0</v>
      </c>
      <c r="G895">
        <f>VLOOKUP($D895,'[2]LC Dynamic'!$Q$2:$U$542,4,FALSE)</f>
        <v>0.308</v>
      </c>
      <c r="H895">
        <f>VLOOKUP($D895,'[2]LC Dynamic'!$Q$2:$U$542,5,FALSE)</f>
        <v>0.69199999999999995</v>
      </c>
      <c r="I895" s="77">
        <f t="shared" si="2820"/>
        <v>1</v>
      </c>
      <c r="J895" s="77">
        <f t="shared" si="2821"/>
        <v>6.9728499999999985E-2</v>
      </c>
      <c r="K895" s="77">
        <f t="shared" si="2895"/>
        <v>5.632878498097682E-3</v>
      </c>
      <c r="L895" s="76">
        <v>0</v>
      </c>
      <c r="M895" s="77">
        <f t="shared" si="2831"/>
        <v>0</v>
      </c>
      <c r="N895" s="77">
        <f t="shared" si="2832"/>
        <v>0</v>
      </c>
      <c r="O895" s="77">
        <f t="shared" si="2833"/>
        <v>5.6775999999999997E-3</v>
      </c>
      <c r="P895" s="77">
        <f t="shared" si="2834"/>
        <v>4.7436902124819991E-4</v>
      </c>
      <c r="R895" t="s">
        <v>177</v>
      </c>
      <c r="S895" t="s">
        <v>179</v>
      </c>
      <c r="T895" s="197" t="str">
        <f t="shared" si="2889"/>
        <v>Autopilot_Dynamic_192</v>
      </c>
      <c r="U895">
        <v>192</v>
      </c>
      <c r="V895">
        <f>VLOOKUP($U895,'[2]AP Dynamic'!$Q$1:$T$542,2,FALSE)</f>
        <v>0.88888888888888884</v>
      </c>
      <c r="W895">
        <f>VLOOKUP($U895,'[2]AP Dynamic'!$Q$1:$T$542,3,FALSE)</f>
        <v>0.11111111111111116</v>
      </c>
      <c r="X895">
        <f>VLOOKUP($U895,'[2]AP Dynamic'!$Q$1:$T$542,4,FALSE)</f>
        <v>0</v>
      </c>
      <c r="Y895" s="77">
        <f t="shared" si="2890"/>
        <v>1</v>
      </c>
      <c r="Z895" s="77">
        <f t="shared" si="2896"/>
        <v>6.3149999999999984E-2</v>
      </c>
      <c r="AA895" s="77">
        <f t="shared" si="2897"/>
        <v>5.1160591879111372E-3</v>
      </c>
      <c r="AB895" s="79">
        <v>1</v>
      </c>
      <c r="AC895" s="77">
        <f t="shared" si="2835"/>
        <v>8.277777777777778E-3</v>
      </c>
      <c r="AD895" s="77">
        <f t="shared" ref="AD895" si="2960">1-(1-AC895)^(1/12)</f>
        <v>6.9244588451522482E-4</v>
      </c>
      <c r="AE895" s="77">
        <f t="shared" si="2837"/>
        <v>2.5000000000000001E-3</v>
      </c>
      <c r="AF895" s="77">
        <f t="shared" ref="AF895" si="2961">1-(1-AE895)^(1/12)</f>
        <v>2.0857243058891584E-4</v>
      </c>
      <c r="AH895" t="s">
        <v>175</v>
      </c>
      <c r="AI895" t="s">
        <v>179</v>
      </c>
      <c r="AJ895" s="197" t="str">
        <f t="shared" si="2824"/>
        <v>Lifecycle_Dynamic_192</v>
      </c>
      <c r="AK895">
        <v>192</v>
      </c>
      <c r="AL895">
        <f>VLOOKUP($U895,[2]Standard_Dynamic!$Q$1:$T$542,2,FALSE)</f>
        <v>0.88888888888888884</v>
      </c>
      <c r="AM895">
        <f>VLOOKUP($U895,[2]Standard_Dynamic!$Q$1:$T$542,3,FALSE)</f>
        <v>0.11111111111111116</v>
      </c>
      <c r="AN895">
        <f>VLOOKUP($U895,[2]Standard_Dynamic!$Q$1:$T$542,4,FALSE)</f>
        <v>0</v>
      </c>
      <c r="AO895" s="77">
        <f t="shared" si="2825"/>
        <v>1</v>
      </c>
      <c r="AP895" s="77">
        <f t="shared" si="2839"/>
        <v>6.3149999999999984E-2</v>
      </c>
      <c r="AQ895" s="77">
        <f t="shared" si="2826"/>
        <v>5.1160591879111372E-3</v>
      </c>
      <c r="AR895" s="79">
        <v>0</v>
      </c>
      <c r="AS895" s="77">
        <f t="shared" si="2840"/>
        <v>0</v>
      </c>
      <c r="AT895" s="77">
        <f t="shared" ref="AT895" si="2962">1-(1-AS895)^(1/12)</f>
        <v>0</v>
      </c>
      <c r="AU895" s="77">
        <f t="shared" si="2842"/>
        <v>2.5000000000000001E-3</v>
      </c>
      <c r="AV895" s="77">
        <f t="shared" ref="AV895" si="2963">1-(1-AU895)^(1/12)</f>
        <v>2.0857243058891584E-4</v>
      </c>
      <c r="AX895" t="s">
        <v>178</v>
      </c>
      <c r="AY895" t="s">
        <v>162</v>
      </c>
      <c r="AZ895" s="197" t="str">
        <f t="shared" si="2922"/>
        <v>DIS_Standard_192</v>
      </c>
      <c r="BA895">
        <v>192</v>
      </c>
      <c r="BB895">
        <f>VLOOKUP($BA895,'[2]Standard DIS'!$Q$1:$X$542,4,FALSE)</f>
        <v>0</v>
      </c>
      <c r="BF895">
        <f>VLOOKUP($BA895,'[2]Standard DIS'!$Q$1:$X$542,2,FALSE)</f>
        <v>0.88888888888888884</v>
      </c>
      <c r="BH895">
        <f>VLOOKUP($BA895,'[2]Standard DIS'!$Q$1:$X$542,3,FALSE)</f>
        <v>0.11111111111111116</v>
      </c>
      <c r="BI895" s="77">
        <f t="shared" si="2829"/>
        <v>1</v>
      </c>
      <c r="BJ895" s="77">
        <f t="shared" si="2830"/>
        <v>6.3149999999999984E-2</v>
      </c>
      <c r="BK895" s="77">
        <f t="shared" si="2923"/>
        <v>5.1160591879111372E-3</v>
      </c>
      <c r="BL895" s="79">
        <v>0</v>
      </c>
      <c r="BM895" s="77">
        <f t="shared" si="2844"/>
        <v>0</v>
      </c>
      <c r="BN895" s="77">
        <f t="shared" si="2845"/>
        <v>0</v>
      </c>
      <c r="BO895" s="77">
        <f t="shared" si="2846"/>
        <v>2.5000000000000001E-3</v>
      </c>
      <c r="BP895" s="77">
        <f t="shared" si="2847"/>
        <v>2.0809499864316017E-4</v>
      </c>
    </row>
    <row r="896" spans="1:68">
      <c r="A896" t="s">
        <v>175</v>
      </c>
      <c r="B896" t="s">
        <v>179</v>
      </c>
      <c r="C896" s="197" t="str">
        <f t="shared" si="2888"/>
        <v>Lifecycle_Dynamic_191</v>
      </c>
      <c r="D896">
        <v>191</v>
      </c>
      <c r="E896">
        <f>VLOOKUP($D896,'[2]LC Dynamic'!$Q$2:$U$542,2,FALSE)</f>
        <v>0</v>
      </c>
      <c r="F896">
        <f>VLOOKUP($D896,'[2]LC Dynamic'!$Q$2:$U$542,3,FALSE)</f>
        <v>0</v>
      </c>
      <c r="G896">
        <f>VLOOKUP($D896,'[2]LC Dynamic'!$Q$2:$U$542,4,FALSE)</f>
        <v>0.308</v>
      </c>
      <c r="H896">
        <f>VLOOKUP($D896,'[2]LC Dynamic'!$Q$2:$U$542,5,FALSE)</f>
        <v>0.69199999999999995</v>
      </c>
      <c r="I896" s="77">
        <f t="shared" si="2820"/>
        <v>1</v>
      </c>
      <c r="J896" s="77">
        <f t="shared" si="2821"/>
        <v>6.9728499999999985E-2</v>
      </c>
      <c r="K896" s="77">
        <f t="shared" si="2895"/>
        <v>5.632878498097682E-3</v>
      </c>
      <c r="L896" s="76">
        <v>0</v>
      </c>
      <c r="M896" s="77">
        <f t="shared" si="2831"/>
        <v>0</v>
      </c>
      <c r="N896" s="77">
        <f t="shared" si="2832"/>
        <v>0</v>
      </c>
      <c r="O896" s="77">
        <f t="shared" si="2833"/>
        <v>5.6775999999999997E-3</v>
      </c>
      <c r="P896" s="77">
        <f t="shared" si="2834"/>
        <v>4.7436902124819991E-4</v>
      </c>
      <c r="R896" t="s">
        <v>177</v>
      </c>
      <c r="S896" t="s">
        <v>179</v>
      </c>
      <c r="T896" s="197" t="str">
        <f t="shared" si="2889"/>
        <v>Autopilot_Dynamic_191</v>
      </c>
      <c r="U896">
        <v>191</v>
      </c>
      <c r="V896">
        <f>VLOOKUP($U896,'[2]AP Dynamic'!$Q$1:$T$542,2,FALSE)</f>
        <v>0.88888888888888884</v>
      </c>
      <c r="W896">
        <f>VLOOKUP($U896,'[2]AP Dynamic'!$Q$1:$T$542,3,FALSE)</f>
        <v>0.11111111111111116</v>
      </c>
      <c r="X896">
        <f>VLOOKUP($U896,'[2]AP Dynamic'!$Q$1:$T$542,4,FALSE)</f>
        <v>0</v>
      </c>
      <c r="Y896" s="77">
        <f t="shared" si="2890"/>
        <v>1</v>
      </c>
      <c r="Z896" s="77">
        <f t="shared" si="2896"/>
        <v>6.3149999999999984E-2</v>
      </c>
      <c r="AA896" s="77">
        <f t="shared" si="2897"/>
        <v>5.1160591879111372E-3</v>
      </c>
      <c r="AB896" s="79">
        <v>1</v>
      </c>
      <c r="AC896" s="77">
        <f t="shared" si="2835"/>
        <v>8.277777777777778E-3</v>
      </c>
      <c r="AD896" s="77">
        <f t="shared" ref="AD896" si="2964">1-(1-AC896)^(1/12)</f>
        <v>6.9244588451522482E-4</v>
      </c>
      <c r="AE896" s="77">
        <f t="shared" si="2837"/>
        <v>2.5000000000000001E-3</v>
      </c>
      <c r="AF896" s="77">
        <f t="shared" ref="AF896" si="2965">1-(1-AE896)^(1/12)</f>
        <v>2.0857243058891584E-4</v>
      </c>
      <c r="AH896" t="s">
        <v>175</v>
      </c>
      <c r="AI896" t="s">
        <v>179</v>
      </c>
      <c r="AJ896" s="197" t="str">
        <f t="shared" si="2824"/>
        <v>Lifecycle_Dynamic_191</v>
      </c>
      <c r="AK896">
        <v>191</v>
      </c>
      <c r="AL896">
        <f>VLOOKUP($U896,[2]Standard_Dynamic!$Q$1:$T$542,2,FALSE)</f>
        <v>0.88888888888888884</v>
      </c>
      <c r="AM896">
        <f>VLOOKUP($U896,[2]Standard_Dynamic!$Q$1:$T$542,3,FALSE)</f>
        <v>0.11111111111111116</v>
      </c>
      <c r="AN896">
        <f>VLOOKUP($U896,[2]Standard_Dynamic!$Q$1:$T$542,4,FALSE)</f>
        <v>0</v>
      </c>
      <c r="AO896" s="77">
        <f t="shared" si="2825"/>
        <v>1</v>
      </c>
      <c r="AP896" s="77">
        <f t="shared" si="2839"/>
        <v>6.3149999999999984E-2</v>
      </c>
      <c r="AQ896" s="77">
        <f t="shared" si="2826"/>
        <v>5.1160591879111372E-3</v>
      </c>
      <c r="AR896" s="79">
        <v>0</v>
      </c>
      <c r="AS896" s="77">
        <f t="shared" si="2840"/>
        <v>0</v>
      </c>
      <c r="AT896" s="77">
        <f t="shared" ref="AT896" si="2966">1-(1-AS896)^(1/12)</f>
        <v>0</v>
      </c>
      <c r="AU896" s="77">
        <f t="shared" si="2842"/>
        <v>2.5000000000000001E-3</v>
      </c>
      <c r="AV896" s="77">
        <f t="shared" ref="AV896" si="2967">1-(1-AU896)^(1/12)</f>
        <v>2.0857243058891584E-4</v>
      </c>
      <c r="AX896" t="s">
        <v>178</v>
      </c>
      <c r="AY896" t="s">
        <v>162</v>
      </c>
      <c r="AZ896" s="197" t="str">
        <f t="shared" si="2922"/>
        <v>DIS_Standard_191</v>
      </c>
      <c r="BA896">
        <v>191</v>
      </c>
      <c r="BB896">
        <f>VLOOKUP($BA896,'[2]Standard DIS'!$Q$1:$X$542,4,FALSE)</f>
        <v>0</v>
      </c>
      <c r="BF896">
        <f>VLOOKUP($BA896,'[2]Standard DIS'!$Q$1:$X$542,2,FALSE)</f>
        <v>0.88888888888888884</v>
      </c>
      <c r="BH896">
        <f>VLOOKUP($BA896,'[2]Standard DIS'!$Q$1:$X$542,3,FALSE)</f>
        <v>0.11111111111111116</v>
      </c>
      <c r="BI896" s="77">
        <f t="shared" si="2829"/>
        <v>1</v>
      </c>
      <c r="BJ896" s="77">
        <f t="shared" si="2830"/>
        <v>6.3149999999999984E-2</v>
      </c>
      <c r="BK896" s="77">
        <f t="shared" si="2923"/>
        <v>5.1160591879111372E-3</v>
      </c>
      <c r="BL896" s="79">
        <v>0</v>
      </c>
      <c r="BM896" s="77">
        <f t="shared" si="2844"/>
        <v>0</v>
      </c>
      <c r="BN896" s="77">
        <f t="shared" si="2845"/>
        <v>0</v>
      </c>
      <c r="BO896" s="77">
        <f t="shared" si="2846"/>
        <v>2.5000000000000001E-3</v>
      </c>
      <c r="BP896" s="77">
        <f t="shared" si="2847"/>
        <v>2.0809499864316017E-4</v>
      </c>
    </row>
    <row r="897" spans="1:68">
      <c r="A897" t="s">
        <v>175</v>
      </c>
      <c r="B897" t="s">
        <v>179</v>
      </c>
      <c r="C897" s="197" t="str">
        <f t="shared" si="2888"/>
        <v>Lifecycle_Dynamic_190</v>
      </c>
      <c r="D897">
        <v>190</v>
      </c>
      <c r="E897">
        <f>VLOOKUP($D897,'[2]LC Dynamic'!$Q$2:$U$542,2,FALSE)</f>
        <v>0</v>
      </c>
      <c r="F897">
        <f>VLOOKUP($D897,'[2]LC Dynamic'!$Q$2:$U$542,3,FALSE)</f>
        <v>0</v>
      </c>
      <c r="G897">
        <f>VLOOKUP($D897,'[2]LC Dynamic'!$Q$2:$U$542,4,FALSE)</f>
        <v>0.308</v>
      </c>
      <c r="H897">
        <f>VLOOKUP($D897,'[2]LC Dynamic'!$Q$2:$U$542,5,FALSE)</f>
        <v>0.69199999999999995</v>
      </c>
      <c r="I897" s="77">
        <f t="shared" si="2820"/>
        <v>1</v>
      </c>
      <c r="J897" s="77">
        <f t="shared" si="2821"/>
        <v>6.9728499999999985E-2</v>
      </c>
      <c r="K897" s="77">
        <f t="shared" si="2895"/>
        <v>5.632878498097682E-3</v>
      </c>
      <c r="L897" s="76">
        <v>0</v>
      </c>
      <c r="M897" s="77">
        <f t="shared" si="2831"/>
        <v>0</v>
      </c>
      <c r="N897" s="77">
        <f t="shared" si="2832"/>
        <v>0</v>
      </c>
      <c r="O897" s="77">
        <f t="shared" si="2833"/>
        <v>5.6775999999999997E-3</v>
      </c>
      <c r="P897" s="77">
        <f t="shared" si="2834"/>
        <v>4.7436902124819991E-4</v>
      </c>
      <c r="R897" t="s">
        <v>177</v>
      </c>
      <c r="S897" t="s">
        <v>179</v>
      </c>
      <c r="T897" s="197" t="str">
        <f t="shared" si="2889"/>
        <v>Autopilot_Dynamic_190</v>
      </c>
      <c r="U897">
        <v>190</v>
      </c>
      <c r="V897">
        <f>VLOOKUP($U897,'[2]AP Dynamic'!$Q$1:$T$542,2,FALSE)</f>
        <v>0.88888888888888884</v>
      </c>
      <c r="W897">
        <f>VLOOKUP($U897,'[2]AP Dynamic'!$Q$1:$T$542,3,FALSE)</f>
        <v>0.11111111111111116</v>
      </c>
      <c r="X897">
        <f>VLOOKUP($U897,'[2]AP Dynamic'!$Q$1:$T$542,4,FALSE)</f>
        <v>0</v>
      </c>
      <c r="Y897" s="77">
        <f t="shared" si="2890"/>
        <v>1</v>
      </c>
      <c r="Z897" s="77">
        <f t="shared" si="2896"/>
        <v>6.3149999999999984E-2</v>
      </c>
      <c r="AA897" s="77">
        <f t="shared" si="2897"/>
        <v>5.1160591879111372E-3</v>
      </c>
      <c r="AB897" s="79">
        <v>1</v>
      </c>
      <c r="AC897" s="77">
        <f t="shared" si="2835"/>
        <v>8.277777777777778E-3</v>
      </c>
      <c r="AD897" s="77">
        <f t="shared" ref="AD897" si="2968">1-(1-AC897)^(1/12)</f>
        <v>6.9244588451522482E-4</v>
      </c>
      <c r="AE897" s="77">
        <f t="shared" si="2837"/>
        <v>2.5000000000000001E-3</v>
      </c>
      <c r="AF897" s="77">
        <f t="shared" ref="AF897" si="2969">1-(1-AE897)^(1/12)</f>
        <v>2.0857243058891584E-4</v>
      </c>
      <c r="AH897" t="s">
        <v>175</v>
      </c>
      <c r="AI897" t="s">
        <v>179</v>
      </c>
      <c r="AJ897" s="197" t="str">
        <f t="shared" si="2824"/>
        <v>Lifecycle_Dynamic_190</v>
      </c>
      <c r="AK897">
        <v>190</v>
      </c>
      <c r="AL897">
        <f>VLOOKUP($U897,[2]Standard_Dynamic!$Q$1:$T$542,2,FALSE)</f>
        <v>0.88888888888888884</v>
      </c>
      <c r="AM897">
        <f>VLOOKUP($U897,[2]Standard_Dynamic!$Q$1:$T$542,3,FALSE)</f>
        <v>0.11111111111111116</v>
      </c>
      <c r="AN897">
        <f>VLOOKUP($U897,[2]Standard_Dynamic!$Q$1:$T$542,4,FALSE)</f>
        <v>0</v>
      </c>
      <c r="AO897" s="77">
        <f t="shared" si="2825"/>
        <v>1</v>
      </c>
      <c r="AP897" s="77">
        <f t="shared" si="2839"/>
        <v>6.3149999999999984E-2</v>
      </c>
      <c r="AQ897" s="77">
        <f t="shared" si="2826"/>
        <v>5.1160591879111372E-3</v>
      </c>
      <c r="AR897" s="79">
        <v>0</v>
      </c>
      <c r="AS897" s="77">
        <f t="shared" si="2840"/>
        <v>0</v>
      </c>
      <c r="AT897" s="77">
        <f t="shared" ref="AT897" si="2970">1-(1-AS897)^(1/12)</f>
        <v>0</v>
      </c>
      <c r="AU897" s="77">
        <f t="shared" si="2842"/>
        <v>2.5000000000000001E-3</v>
      </c>
      <c r="AV897" s="77">
        <f t="shared" ref="AV897" si="2971">1-(1-AU897)^(1/12)</f>
        <v>2.0857243058891584E-4</v>
      </c>
      <c r="AX897" t="s">
        <v>178</v>
      </c>
      <c r="AY897" t="s">
        <v>162</v>
      </c>
      <c r="AZ897" s="197" t="str">
        <f t="shared" si="2922"/>
        <v>DIS_Standard_190</v>
      </c>
      <c r="BA897">
        <v>190</v>
      </c>
      <c r="BB897">
        <f>VLOOKUP($BA897,'[2]Standard DIS'!$Q$1:$X$542,4,FALSE)</f>
        <v>0</v>
      </c>
      <c r="BF897">
        <f>VLOOKUP($BA897,'[2]Standard DIS'!$Q$1:$X$542,2,FALSE)</f>
        <v>0.88888888888888884</v>
      </c>
      <c r="BH897">
        <f>VLOOKUP($BA897,'[2]Standard DIS'!$Q$1:$X$542,3,FALSE)</f>
        <v>0.11111111111111116</v>
      </c>
      <c r="BI897" s="77">
        <f t="shared" si="2829"/>
        <v>1</v>
      </c>
      <c r="BJ897" s="77">
        <f t="shared" si="2830"/>
        <v>6.3149999999999984E-2</v>
      </c>
      <c r="BK897" s="77">
        <f t="shared" si="2923"/>
        <v>5.1160591879111372E-3</v>
      </c>
      <c r="BL897" s="79">
        <v>0</v>
      </c>
      <c r="BM897" s="77">
        <f t="shared" si="2844"/>
        <v>0</v>
      </c>
      <c r="BN897" s="77">
        <f t="shared" si="2845"/>
        <v>0</v>
      </c>
      <c r="BO897" s="77">
        <f t="shared" si="2846"/>
        <v>2.5000000000000001E-3</v>
      </c>
      <c r="BP897" s="77">
        <f t="shared" si="2847"/>
        <v>2.0809499864316017E-4</v>
      </c>
    </row>
    <row r="898" spans="1:68">
      <c r="A898" t="s">
        <v>175</v>
      </c>
      <c r="B898" t="s">
        <v>179</v>
      </c>
      <c r="C898" s="197" t="str">
        <f t="shared" si="2888"/>
        <v>Lifecycle_Dynamic_189</v>
      </c>
      <c r="D898">
        <v>189</v>
      </c>
      <c r="E898">
        <f>VLOOKUP($D898,'[2]LC Dynamic'!$Q$2:$U$542,2,FALSE)</f>
        <v>0</v>
      </c>
      <c r="F898">
        <f>VLOOKUP($D898,'[2]LC Dynamic'!$Q$2:$U$542,3,FALSE)</f>
        <v>0</v>
      </c>
      <c r="G898">
        <f>VLOOKUP($D898,'[2]LC Dynamic'!$Q$2:$U$542,4,FALSE)</f>
        <v>0.308</v>
      </c>
      <c r="H898">
        <f>VLOOKUP($D898,'[2]LC Dynamic'!$Q$2:$U$542,5,FALSE)</f>
        <v>0.69199999999999995</v>
      </c>
      <c r="I898" s="77">
        <f t="shared" si="2820"/>
        <v>1</v>
      </c>
      <c r="J898" s="77">
        <f t="shared" si="2821"/>
        <v>6.9728499999999985E-2</v>
      </c>
      <c r="K898" s="77">
        <f t="shared" si="2895"/>
        <v>5.632878498097682E-3</v>
      </c>
      <c r="L898" s="76">
        <v>0</v>
      </c>
      <c r="M898" s="77">
        <f t="shared" si="2831"/>
        <v>0</v>
      </c>
      <c r="N898" s="77">
        <f t="shared" si="2832"/>
        <v>0</v>
      </c>
      <c r="O898" s="77">
        <f t="shared" si="2833"/>
        <v>5.6775999999999997E-3</v>
      </c>
      <c r="P898" s="77">
        <f t="shared" si="2834"/>
        <v>4.7436902124819991E-4</v>
      </c>
      <c r="R898" t="s">
        <v>177</v>
      </c>
      <c r="S898" t="s">
        <v>179</v>
      </c>
      <c r="T898" s="197" t="str">
        <f t="shared" si="2889"/>
        <v>Autopilot_Dynamic_189</v>
      </c>
      <c r="U898">
        <v>189</v>
      </c>
      <c r="V898">
        <f>VLOOKUP($U898,'[2]AP Dynamic'!$Q$1:$T$542,2,FALSE)</f>
        <v>0.88888888888888884</v>
      </c>
      <c r="W898">
        <f>VLOOKUP($U898,'[2]AP Dynamic'!$Q$1:$T$542,3,FALSE)</f>
        <v>0.11111111111111116</v>
      </c>
      <c r="X898">
        <f>VLOOKUP($U898,'[2]AP Dynamic'!$Q$1:$T$542,4,FALSE)</f>
        <v>0</v>
      </c>
      <c r="Y898" s="77">
        <f t="shared" si="2890"/>
        <v>1</v>
      </c>
      <c r="Z898" s="77">
        <f t="shared" si="2896"/>
        <v>6.3149999999999984E-2</v>
      </c>
      <c r="AA898" s="77">
        <f t="shared" si="2897"/>
        <v>5.1160591879111372E-3</v>
      </c>
      <c r="AB898" s="79">
        <v>1</v>
      </c>
      <c r="AC898" s="77">
        <f t="shared" si="2835"/>
        <v>8.277777777777778E-3</v>
      </c>
      <c r="AD898" s="77">
        <f t="shared" ref="AD898" si="2972">1-(1-AC898)^(1/12)</f>
        <v>6.9244588451522482E-4</v>
      </c>
      <c r="AE898" s="77">
        <f t="shared" si="2837"/>
        <v>2.5000000000000001E-3</v>
      </c>
      <c r="AF898" s="77">
        <f t="shared" ref="AF898" si="2973">1-(1-AE898)^(1/12)</f>
        <v>2.0857243058891584E-4</v>
      </c>
      <c r="AH898" t="s">
        <v>175</v>
      </c>
      <c r="AI898" t="s">
        <v>179</v>
      </c>
      <c r="AJ898" s="197" t="str">
        <f t="shared" si="2824"/>
        <v>Lifecycle_Dynamic_189</v>
      </c>
      <c r="AK898">
        <v>189</v>
      </c>
      <c r="AL898">
        <f>VLOOKUP($U898,[2]Standard_Dynamic!$Q$1:$T$542,2,FALSE)</f>
        <v>0.88888888888888884</v>
      </c>
      <c r="AM898">
        <f>VLOOKUP($U898,[2]Standard_Dynamic!$Q$1:$T$542,3,FALSE)</f>
        <v>0.11111111111111116</v>
      </c>
      <c r="AN898">
        <f>VLOOKUP($U898,[2]Standard_Dynamic!$Q$1:$T$542,4,FALSE)</f>
        <v>0</v>
      </c>
      <c r="AO898" s="77">
        <f t="shared" si="2825"/>
        <v>1</v>
      </c>
      <c r="AP898" s="77">
        <f t="shared" si="2839"/>
        <v>6.3149999999999984E-2</v>
      </c>
      <c r="AQ898" s="77">
        <f t="shared" si="2826"/>
        <v>5.1160591879111372E-3</v>
      </c>
      <c r="AR898" s="79">
        <v>0</v>
      </c>
      <c r="AS898" s="77">
        <f t="shared" si="2840"/>
        <v>0</v>
      </c>
      <c r="AT898" s="77">
        <f t="shared" ref="AT898" si="2974">1-(1-AS898)^(1/12)</f>
        <v>0</v>
      </c>
      <c r="AU898" s="77">
        <f t="shared" si="2842"/>
        <v>2.5000000000000001E-3</v>
      </c>
      <c r="AV898" s="77">
        <f t="shared" ref="AV898" si="2975">1-(1-AU898)^(1/12)</f>
        <v>2.0857243058891584E-4</v>
      </c>
      <c r="AX898" t="s">
        <v>178</v>
      </c>
      <c r="AY898" t="s">
        <v>162</v>
      </c>
      <c r="AZ898" s="197" t="str">
        <f t="shared" si="2922"/>
        <v>DIS_Standard_189</v>
      </c>
      <c r="BA898">
        <v>189</v>
      </c>
      <c r="BB898">
        <f>VLOOKUP($BA898,'[2]Standard DIS'!$Q$1:$X$542,4,FALSE)</f>
        <v>0</v>
      </c>
      <c r="BF898">
        <f>VLOOKUP($BA898,'[2]Standard DIS'!$Q$1:$X$542,2,FALSE)</f>
        <v>0.88888888888888884</v>
      </c>
      <c r="BH898">
        <f>VLOOKUP($BA898,'[2]Standard DIS'!$Q$1:$X$542,3,FALSE)</f>
        <v>0.11111111111111116</v>
      </c>
      <c r="BI898" s="77">
        <f t="shared" si="2829"/>
        <v>1</v>
      </c>
      <c r="BJ898" s="77">
        <f t="shared" si="2830"/>
        <v>6.3149999999999984E-2</v>
      </c>
      <c r="BK898" s="77">
        <f t="shared" si="2923"/>
        <v>5.1160591879111372E-3</v>
      </c>
      <c r="BL898" s="79">
        <v>0</v>
      </c>
      <c r="BM898" s="77">
        <f t="shared" si="2844"/>
        <v>0</v>
      </c>
      <c r="BN898" s="77">
        <f t="shared" si="2845"/>
        <v>0</v>
      </c>
      <c r="BO898" s="77">
        <f t="shared" si="2846"/>
        <v>2.5000000000000001E-3</v>
      </c>
      <c r="BP898" s="77">
        <f t="shared" si="2847"/>
        <v>2.0809499864316017E-4</v>
      </c>
    </row>
    <row r="899" spans="1:68">
      <c r="A899" t="s">
        <v>175</v>
      </c>
      <c r="B899" t="s">
        <v>179</v>
      </c>
      <c r="C899" s="197" t="str">
        <f t="shared" si="2888"/>
        <v>Lifecycle_Dynamic_188</v>
      </c>
      <c r="D899">
        <v>188</v>
      </c>
      <c r="E899">
        <f>VLOOKUP($D899,'[2]LC Dynamic'!$Q$2:$U$542,2,FALSE)</f>
        <v>0</v>
      </c>
      <c r="F899">
        <f>VLOOKUP($D899,'[2]LC Dynamic'!$Q$2:$U$542,3,FALSE)</f>
        <v>0</v>
      </c>
      <c r="G899">
        <f>VLOOKUP($D899,'[2]LC Dynamic'!$Q$2:$U$542,4,FALSE)</f>
        <v>0.308</v>
      </c>
      <c r="H899">
        <f>VLOOKUP($D899,'[2]LC Dynamic'!$Q$2:$U$542,5,FALSE)</f>
        <v>0.69199999999999995</v>
      </c>
      <c r="I899" s="77">
        <f t="shared" si="2820"/>
        <v>1</v>
      </c>
      <c r="J899" s="77">
        <f t="shared" si="2821"/>
        <v>6.9728499999999985E-2</v>
      </c>
      <c r="K899" s="77">
        <f t="shared" si="2895"/>
        <v>5.632878498097682E-3</v>
      </c>
      <c r="L899" s="76">
        <v>0</v>
      </c>
      <c r="M899" s="77">
        <f t="shared" si="2831"/>
        <v>0</v>
      </c>
      <c r="N899" s="77">
        <f t="shared" si="2832"/>
        <v>0</v>
      </c>
      <c r="O899" s="77">
        <f t="shared" si="2833"/>
        <v>5.6775999999999997E-3</v>
      </c>
      <c r="P899" s="77">
        <f t="shared" si="2834"/>
        <v>4.7436902124819991E-4</v>
      </c>
      <c r="R899" t="s">
        <v>177</v>
      </c>
      <c r="S899" t="s">
        <v>179</v>
      </c>
      <c r="T899" s="197" t="str">
        <f t="shared" si="2889"/>
        <v>Autopilot_Dynamic_188</v>
      </c>
      <c r="U899">
        <v>188</v>
      </c>
      <c r="V899">
        <f>VLOOKUP($U899,'[2]AP Dynamic'!$Q$1:$T$542,2,FALSE)</f>
        <v>0.88888888888888884</v>
      </c>
      <c r="W899">
        <f>VLOOKUP($U899,'[2]AP Dynamic'!$Q$1:$T$542,3,FALSE)</f>
        <v>0.11111111111111116</v>
      </c>
      <c r="X899">
        <f>VLOOKUP($U899,'[2]AP Dynamic'!$Q$1:$T$542,4,FALSE)</f>
        <v>0</v>
      </c>
      <c r="Y899" s="77">
        <f t="shared" si="2890"/>
        <v>1</v>
      </c>
      <c r="Z899" s="77">
        <f t="shared" si="2896"/>
        <v>6.3149999999999984E-2</v>
      </c>
      <c r="AA899" s="77">
        <f t="shared" si="2897"/>
        <v>5.1160591879111372E-3</v>
      </c>
      <c r="AB899" s="79">
        <v>1</v>
      </c>
      <c r="AC899" s="77">
        <f t="shared" si="2835"/>
        <v>8.277777777777778E-3</v>
      </c>
      <c r="AD899" s="77">
        <f t="shared" ref="AD899" si="2976">1-(1-AC899)^(1/12)</f>
        <v>6.9244588451522482E-4</v>
      </c>
      <c r="AE899" s="77">
        <f t="shared" si="2837"/>
        <v>2.5000000000000001E-3</v>
      </c>
      <c r="AF899" s="77">
        <f t="shared" ref="AF899" si="2977">1-(1-AE899)^(1/12)</f>
        <v>2.0857243058891584E-4</v>
      </c>
      <c r="AH899" t="s">
        <v>175</v>
      </c>
      <c r="AI899" t="s">
        <v>179</v>
      </c>
      <c r="AJ899" s="197" t="str">
        <f t="shared" si="2824"/>
        <v>Lifecycle_Dynamic_188</v>
      </c>
      <c r="AK899">
        <v>188</v>
      </c>
      <c r="AL899">
        <f>VLOOKUP($U899,[2]Standard_Dynamic!$Q$1:$T$542,2,FALSE)</f>
        <v>0.88888888888888884</v>
      </c>
      <c r="AM899">
        <f>VLOOKUP($U899,[2]Standard_Dynamic!$Q$1:$T$542,3,FALSE)</f>
        <v>0.11111111111111116</v>
      </c>
      <c r="AN899">
        <f>VLOOKUP($U899,[2]Standard_Dynamic!$Q$1:$T$542,4,FALSE)</f>
        <v>0</v>
      </c>
      <c r="AO899" s="77">
        <f t="shared" si="2825"/>
        <v>1</v>
      </c>
      <c r="AP899" s="77">
        <f t="shared" si="2839"/>
        <v>6.3149999999999984E-2</v>
      </c>
      <c r="AQ899" s="77">
        <f t="shared" si="2826"/>
        <v>5.1160591879111372E-3</v>
      </c>
      <c r="AR899" s="79">
        <v>0</v>
      </c>
      <c r="AS899" s="77">
        <f t="shared" si="2840"/>
        <v>0</v>
      </c>
      <c r="AT899" s="77">
        <f t="shared" ref="AT899" si="2978">1-(1-AS899)^(1/12)</f>
        <v>0</v>
      </c>
      <c r="AU899" s="77">
        <f t="shared" si="2842"/>
        <v>2.5000000000000001E-3</v>
      </c>
      <c r="AV899" s="77">
        <f t="shared" ref="AV899" si="2979">1-(1-AU899)^(1/12)</f>
        <v>2.0857243058891584E-4</v>
      </c>
      <c r="AX899" t="s">
        <v>178</v>
      </c>
      <c r="AY899" t="s">
        <v>162</v>
      </c>
      <c r="AZ899" s="197" t="str">
        <f t="shared" si="2922"/>
        <v>DIS_Standard_188</v>
      </c>
      <c r="BA899">
        <v>188</v>
      </c>
      <c r="BB899">
        <f>VLOOKUP($BA899,'[2]Standard DIS'!$Q$1:$X$542,4,FALSE)</f>
        <v>0</v>
      </c>
      <c r="BF899">
        <f>VLOOKUP($BA899,'[2]Standard DIS'!$Q$1:$X$542,2,FALSE)</f>
        <v>0.88888888888888884</v>
      </c>
      <c r="BH899">
        <f>VLOOKUP($BA899,'[2]Standard DIS'!$Q$1:$X$542,3,FALSE)</f>
        <v>0.11111111111111116</v>
      </c>
      <c r="BI899" s="77">
        <f t="shared" si="2829"/>
        <v>1</v>
      </c>
      <c r="BJ899" s="77">
        <f t="shared" si="2830"/>
        <v>6.3149999999999984E-2</v>
      </c>
      <c r="BK899" s="77">
        <f t="shared" si="2923"/>
        <v>5.1160591879111372E-3</v>
      </c>
      <c r="BL899" s="79">
        <v>0</v>
      </c>
      <c r="BM899" s="77">
        <f t="shared" si="2844"/>
        <v>0</v>
      </c>
      <c r="BN899" s="77">
        <f t="shared" si="2845"/>
        <v>0</v>
      </c>
      <c r="BO899" s="77">
        <f t="shared" si="2846"/>
        <v>2.5000000000000001E-3</v>
      </c>
      <c r="BP899" s="77">
        <f t="shared" si="2847"/>
        <v>2.0809499864316017E-4</v>
      </c>
    </row>
    <row r="900" spans="1:68">
      <c r="A900" t="s">
        <v>175</v>
      </c>
      <c r="B900" t="s">
        <v>179</v>
      </c>
      <c r="C900" s="197" t="str">
        <f t="shared" si="2888"/>
        <v>Lifecycle_Dynamic_187</v>
      </c>
      <c r="D900">
        <v>187</v>
      </c>
      <c r="E900">
        <f>VLOOKUP($D900,'[2]LC Dynamic'!$Q$2:$U$542,2,FALSE)</f>
        <v>0</v>
      </c>
      <c r="F900">
        <f>VLOOKUP($D900,'[2]LC Dynamic'!$Q$2:$U$542,3,FALSE)</f>
        <v>0</v>
      </c>
      <c r="G900">
        <f>VLOOKUP($D900,'[2]LC Dynamic'!$Q$2:$U$542,4,FALSE)</f>
        <v>0.308</v>
      </c>
      <c r="H900">
        <f>VLOOKUP($D900,'[2]LC Dynamic'!$Q$2:$U$542,5,FALSE)</f>
        <v>0.69199999999999995</v>
      </c>
      <c r="I900" s="77">
        <f t="shared" si="2820"/>
        <v>1</v>
      </c>
      <c r="J900" s="77">
        <f t="shared" si="2821"/>
        <v>6.9728499999999985E-2</v>
      </c>
      <c r="K900" s="77">
        <f t="shared" si="2895"/>
        <v>5.632878498097682E-3</v>
      </c>
      <c r="L900" s="76">
        <v>0</v>
      </c>
      <c r="M900" s="77">
        <f t="shared" si="2831"/>
        <v>0</v>
      </c>
      <c r="N900" s="77">
        <f t="shared" si="2832"/>
        <v>0</v>
      </c>
      <c r="O900" s="77">
        <f t="shared" si="2833"/>
        <v>5.6775999999999997E-3</v>
      </c>
      <c r="P900" s="77">
        <f t="shared" si="2834"/>
        <v>4.7436902124819991E-4</v>
      </c>
      <c r="R900" t="s">
        <v>177</v>
      </c>
      <c r="S900" t="s">
        <v>179</v>
      </c>
      <c r="T900" s="197" t="str">
        <f t="shared" si="2889"/>
        <v>Autopilot_Dynamic_187</v>
      </c>
      <c r="U900">
        <v>187</v>
      </c>
      <c r="V900">
        <f>VLOOKUP($U900,'[2]AP Dynamic'!$Q$1:$T$542,2,FALSE)</f>
        <v>0.88888888888888884</v>
      </c>
      <c r="W900">
        <f>VLOOKUP($U900,'[2]AP Dynamic'!$Q$1:$T$542,3,FALSE)</f>
        <v>0.11111111111111116</v>
      </c>
      <c r="X900">
        <f>VLOOKUP($U900,'[2]AP Dynamic'!$Q$1:$T$542,4,FALSE)</f>
        <v>0</v>
      </c>
      <c r="Y900" s="77">
        <f t="shared" si="2890"/>
        <v>1</v>
      </c>
      <c r="Z900" s="77">
        <f t="shared" si="2896"/>
        <v>6.3149999999999984E-2</v>
      </c>
      <c r="AA900" s="77">
        <f t="shared" si="2897"/>
        <v>5.1160591879111372E-3</v>
      </c>
      <c r="AB900" s="79">
        <v>1</v>
      </c>
      <c r="AC900" s="77">
        <f t="shared" si="2835"/>
        <v>8.277777777777778E-3</v>
      </c>
      <c r="AD900" s="77">
        <f t="shared" ref="AD900" si="2980">1-(1-AC900)^(1/12)</f>
        <v>6.9244588451522482E-4</v>
      </c>
      <c r="AE900" s="77">
        <f t="shared" si="2837"/>
        <v>2.5000000000000001E-3</v>
      </c>
      <c r="AF900" s="77">
        <f t="shared" ref="AF900" si="2981">1-(1-AE900)^(1/12)</f>
        <v>2.0857243058891584E-4</v>
      </c>
      <c r="AH900" t="s">
        <v>175</v>
      </c>
      <c r="AI900" t="s">
        <v>179</v>
      </c>
      <c r="AJ900" s="197" t="str">
        <f t="shared" si="2824"/>
        <v>Lifecycle_Dynamic_187</v>
      </c>
      <c r="AK900">
        <v>187</v>
      </c>
      <c r="AL900">
        <f>VLOOKUP($U900,[2]Standard_Dynamic!$Q$1:$T$542,2,FALSE)</f>
        <v>0.88888888888888884</v>
      </c>
      <c r="AM900">
        <f>VLOOKUP($U900,[2]Standard_Dynamic!$Q$1:$T$542,3,FALSE)</f>
        <v>0.11111111111111116</v>
      </c>
      <c r="AN900">
        <f>VLOOKUP($U900,[2]Standard_Dynamic!$Q$1:$T$542,4,FALSE)</f>
        <v>0</v>
      </c>
      <c r="AO900" s="77">
        <f t="shared" si="2825"/>
        <v>1</v>
      </c>
      <c r="AP900" s="77">
        <f t="shared" si="2839"/>
        <v>6.3149999999999984E-2</v>
      </c>
      <c r="AQ900" s="77">
        <f t="shared" si="2826"/>
        <v>5.1160591879111372E-3</v>
      </c>
      <c r="AR900" s="79">
        <v>0</v>
      </c>
      <c r="AS900" s="77">
        <f t="shared" si="2840"/>
        <v>0</v>
      </c>
      <c r="AT900" s="77">
        <f t="shared" ref="AT900" si="2982">1-(1-AS900)^(1/12)</f>
        <v>0</v>
      </c>
      <c r="AU900" s="77">
        <f t="shared" si="2842"/>
        <v>2.5000000000000001E-3</v>
      </c>
      <c r="AV900" s="77">
        <f t="shared" ref="AV900" si="2983">1-(1-AU900)^(1/12)</f>
        <v>2.0857243058891584E-4</v>
      </c>
      <c r="AX900" t="s">
        <v>178</v>
      </c>
      <c r="AY900" t="s">
        <v>162</v>
      </c>
      <c r="AZ900" s="197" t="str">
        <f t="shared" si="2922"/>
        <v>DIS_Standard_187</v>
      </c>
      <c r="BA900">
        <v>187</v>
      </c>
      <c r="BB900">
        <f>VLOOKUP($BA900,'[2]Standard DIS'!$Q$1:$X$542,4,FALSE)</f>
        <v>0</v>
      </c>
      <c r="BF900">
        <f>VLOOKUP($BA900,'[2]Standard DIS'!$Q$1:$X$542,2,FALSE)</f>
        <v>0.88888888888888884</v>
      </c>
      <c r="BH900">
        <f>VLOOKUP($BA900,'[2]Standard DIS'!$Q$1:$X$542,3,FALSE)</f>
        <v>0.11111111111111116</v>
      </c>
      <c r="BI900" s="77">
        <f t="shared" si="2829"/>
        <v>1</v>
      </c>
      <c r="BJ900" s="77">
        <f t="shared" si="2830"/>
        <v>6.3149999999999984E-2</v>
      </c>
      <c r="BK900" s="77">
        <f t="shared" si="2923"/>
        <v>5.1160591879111372E-3</v>
      </c>
      <c r="BL900" s="79">
        <v>0</v>
      </c>
      <c r="BM900" s="77">
        <f t="shared" si="2844"/>
        <v>0</v>
      </c>
      <c r="BN900" s="77">
        <f t="shared" si="2845"/>
        <v>0</v>
      </c>
      <c r="BO900" s="77">
        <f t="shared" si="2846"/>
        <v>2.5000000000000001E-3</v>
      </c>
      <c r="BP900" s="77">
        <f t="shared" si="2847"/>
        <v>2.0809499864316017E-4</v>
      </c>
    </row>
    <row r="901" spans="1:68">
      <c r="A901" t="s">
        <v>175</v>
      </c>
      <c r="B901" t="s">
        <v>179</v>
      </c>
      <c r="C901" s="197" t="str">
        <f t="shared" si="2888"/>
        <v>Lifecycle_Dynamic_186</v>
      </c>
      <c r="D901">
        <v>186</v>
      </c>
      <c r="E901">
        <f>VLOOKUP($D901,'[2]LC Dynamic'!$Q$2:$U$542,2,FALSE)</f>
        <v>0</v>
      </c>
      <c r="F901">
        <f>VLOOKUP($D901,'[2]LC Dynamic'!$Q$2:$U$542,3,FALSE)</f>
        <v>0</v>
      </c>
      <c r="G901">
        <f>VLOOKUP($D901,'[2]LC Dynamic'!$Q$2:$U$542,4,FALSE)</f>
        <v>0.308</v>
      </c>
      <c r="H901">
        <f>VLOOKUP($D901,'[2]LC Dynamic'!$Q$2:$U$542,5,FALSE)</f>
        <v>0.69199999999999995</v>
      </c>
      <c r="I901" s="77">
        <f t="shared" si="2820"/>
        <v>1</v>
      </c>
      <c r="J901" s="77">
        <f t="shared" si="2821"/>
        <v>6.9728499999999985E-2</v>
      </c>
      <c r="K901" s="77">
        <f t="shared" si="2895"/>
        <v>5.632878498097682E-3</v>
      </c>
      <c r="L901" s="76">
        <v>0</v>
      </c>
      <c r="M901" s="77">
        <f t="shared" si="2831"/>
        <v>0</v>
      </c>
      <c r="N901" s="77">
        <f t="shared" si="2832"/>
        <v>0</v>
      </c>
      <c r="O901" s="77">
        <f t="shared" si="2833"/>
        <v>5.6775999999999997E-3</v>
      </c>
      <c r="P901" s="77">
        <f t="shared" si="2834"/>
        <v>4.7436902124819991E-4</v>
      </c>
      <c r="R901" t="s">
        <v>177</v>
      </c>
      <c r="S901" t="s">
        <v>179</v>
      </c>
      <c r="T901" s="197" t="str">
        <f t="shared" si="2889"/>
        <v>Autopilot_Dynamic_186</v>
      </c>
      <c r="U901">
        <v>186</v>
      </c>
      <c r="V901">
        <f>VLOOKUP($U901,'[2]AP Dynamic'!$Q$1:$T$542,2,FALSE)</f>
        <v>0.88888888888888884</v>
      </c>
      <c r="W901">
        <f>VLOOKUP($U901,'[2]AP Dynamic'!$Q$1:$T$542,3,FALSE)</f>
        <v>0.11111111111111116</v>
      </c>
      <c r="X901">
        <f>VLOOKUP($U901,'[2]AP Dynamic'!$Q$1:$T$542,4,FALSE)</f>
        <v>0</v>
      </c>
      <c r="Y901" s="77">
        <f t="shared" si="2890"/>
        <v>1</v>
      </c>
      <c r="Z901" s="77">
        <f t="shared" si="2896"/>
        <v>6.3149999999999984E-2</v>
      </c>
      <c r="AA901" s="77">
        <f t="shared" si="2897"/>
        <v>5.1160591879111372E-3</v>
      </c>
      <c r="AB901" s="79">
        <v>1</v>
      </c>
      <c r="AC901" s="77">
        <f t="shared" si="2835"/>
        <v>8.277777777777778E-3</v>
      </c>
      <c r="AD901" s="77">
        <f t="shared" ref="AD901" si="2984">1-(1-AC901)^(1/12)</f>
        <v>6.9244588451522482E-4</v>
      </c>
      <c r="AE901" s="77">
        <f t="shared" si="2837"/>
        <v>2.5000000000000001E-3</v>
      </c>
      <c r="AF901" s="77">
        <f t="shared" ref="AF901" si="2985">1-(1-AE901)^(1/12)</f>
        <v>2.0857243058891584E-4</v>
      </c>
      <c r="AH901" t="s">
        <v>175</v>
      </c>
      <c r="AI901" t="s">
        <v>179</v>
      </c>
      <c r="AJ901" s="197" t="str">
        <f t="shared" si="2824"/>
        <v>Lifecycle_Dynamic_186</v>
      </c>
      <c r="AK901">
        <v>186</v>
      </c>
      <c r="AL901">
        <f>VLOOKUP($U901,[2]Standard_Dynamic!$Q$1:$T$542,2,FALSE)</f>
        <v>0.88888888888888884</v>
      </c>
      <c r="AM901">
        <f>VLOOKUP($U901,[2]Standard_Dynamic!$Q$1:$T$542,3,FALSE)</f>
        <v>0.11111111111111116</v>
      </c>
      <c r="AN901">
        <f>VLOOKUP($U901,[2]Standard_Dynamic!$Q$1:$T$542,4,FALSE)</f>
        <v>0</v>
      </c>
      <c r="AO901" s="77">
        <f t="shared" si="2825"/>
        <v>1</v>
      </c>
      <c r="AP901" s="77">
        <f t="shared" si="2839"/>
        <v>6.3149999999999984E-2</v>
      </c>
      <c r="AQ901" s="77">
        <f t="shared" si="2826"/>
        <v>5.1160591879111372E-3</v>
      </c>
      <c r="AR901" s="79">
        <v>0</v>
      </c>
      <c r="AS901" s="77">
        <f t="shared" si="2840"/>
        <v>0</v>
      </c>
      <c r="AT901" s="77">
        <f t="shared" ref="AT901" si="2986">1-(1-AS901)^(1/12)</f>
        <v>0</v>
      </c>
      <c r="AU901" s="77">
        <f t="shared" si="2842"/>
        <v>2.5000000000000001E-3</v>
      </c>
      <c r="AV901" s="77">
        <f t="shared" ref="AV901" si="2987">1-(1-AU901)^(1/12)</f>
        <v>2.0857243058891584E-4</v>
      </c>
      <c r="AX901" t="s">
        <v>178</v>
      </c>
      <c r="AY901" t="s">
        <v>162</v>
      </c>
      <c r="AZ901" s="197" t="str">
        <f t="shared" si="2922"/>
        <v>DIS_Standard_186</v>
      </c>
      <c r="BA901">
        <v>186</v>
      </c>
      <c r="BB901">
        <f>VLOOKUP($BA901,'[2]Standard DIS'!$Q$1:$X$542,4,FALSE)</f>
        <v>0</v>
      </c>
      <c r="BF901">
        <f>VLOOKUP($BA901,'[2]Standard DIS'!$Q$1:$X$542,2,FALSE)</f>
        <v>0.88888888888888884</v>
      </c>
      <c r="BH901">
        <f>VLOOKUP($BA901,'[2]Standard DIS'!$Q$1:$X$542,3,FALSE)</f>
        <v>0.11111111111111116</v>
      </c>
      <c r="BI901" s="77">
        <f t="shared" si="2829"/>
        <v>1</v>
      </c>
      <c r="BJ901" s="77">
        <f t="shared" si="2830"/>
        <v>6.3149999999999984E-2</v>
      </c>
      <c r="BK901" s="77">
        <f t="shared" si="2923"/>
        <v>5.1160591879111372E-3</v>
      </c>
      <c r="BL901" s="79">
        <v>0</v>
      </c>
      <c r="BM901" s="77">
        <f t="shared" si="2844"/>
        <v>0</v>
      </c>
      <c r="BN901" s="77">
        <f t="shared" si="2845"/>
        <v>0</v>
      </c>
      <c r="BO901" s="77">
        <f t="shared" si="2846"/>
        <v>2.5000000000000001E-3</v>
      </c>
      <c r="BP901" s="77">
        <f t="shared" si="2847"/>
        <v>2.0809499864316017E-4</v>
      </c>
    </row>
    <row r="902" spans="1:68">
      <c r="A902" t="s">
        <v>175</v>
      </c>
      <c r="B902" t="s">
        <v>179</v>
      </c>
      <c r="C902" s="197" t="str">
        <f t="shared" si="2888"/>
        <v>Lifecycle_Dynamic_185</v>
      </c>
      <c r="D902">
        <v>185</v>
      </c>
      <c r="E902">
        <f>VLOOKUP($D902,'[2]LC Dynamic'!$Q$2:$U$542,2,FALSE)</f>
        <v>0</v>
      </c>
      <c r="F902">
        <f>VLOOKUP($D902,'[2]LC Dynamic'!$Q$2:$U$542,3,FALSE)</f>
        <v>0</v>
      </c>
      <c r="G902">
        <f>VLOOKUP($D902,'[2]LC Dynamic'!$Q$2:$U$542,4,FALSE)</f>
        <v>0.308</v>
      </c>
      <c r="H902">
        <f>VLOOKUP($D902,'[2]LC Dynamic'!$Q$2:$U$542,5,FALSE)</f>
        <v>0.69199999999999995</v>
      </c>
      <c r="I902" s="77">
        <f t="shared" si="2820"/>
        <v>1</v>
      </c>
      <c r="J902" s="77">
        <f t="shared" si="2821"/>
        <v>6.9728499999999985E-2</v>
      </c>
      <c r="K902" s="77">
        <f t="shared" si="2895"/>
        <v>5.632878498097682E-3</v>
      </c>
      <c r="L902" s="76">
        <v>0</v>
      </c>
      <c r="M902" s="77">
        <f t="shared" si="2831"/>
        <v>0</v>
      </c>
      <c r="N902" s="77">
        <f t="shared" si="2832"/>
        <v>0</v>
      </c>
      <c r="O902" s="77">
        <f t="shared" si="2833"/>
        <v>5.6775999999999997E-3</v>
      </c>
      <c r="P902" s="77">
        <f t="shared" si="2834"/>
        <v>4.7436902124819991E-4</v>
      </c>
      <c r="R902" t="s">
        <v>177</v>
      </c>
      <c r="S902" t="s">
        <v>179</v>
      </c>
      <c r="T902" s="197" t="str">
        <f t="shared" si="2889"/>
        <v>Autopilot_Dynamic_185</v>
      </c>
      <c r="U902">
        <v>185</v>
      </c>
      <c r="V902">
        <f>VLOOKUP($U902,'[2]AP Dynamic'!$Q$1:$T$542,2,FALSE)</f>
        <v>0.88888888888888884</v>
      </c>
      <c r="W902">
        <f>VLOOKUP($U902,'[2]AP Dynamic'!$Q$1:$T$542,3,FALSE)</f>
        <v>0.11111111111111116</v>
      </c>
      <c r="X902">
        <f>VLOOKUP($U902,'[2]AP Dynamic'!$Q$1:$T$542,4,FALSE)</f>
        <v>0</v>
      </c>
      <c r="Y902" s="77">
        <f t="shared" si="2890"/>
        <v>1</v>
      </c>
      <c r="Z902" s="77">
        <f t="shared" si="2896"/>
        <v>6.3149999999999984E-2</v>
      </c>
      <c r="AA902" s="77">
        <f t="shared" si="2897"/>
        <v>5.1160591879111372E-3</v>
      </c>
      <c r="AB902" s="79">
        <v>1</v>
      </c>
      <c r="AC902" s="77">
        <f t="shared" si="2835"/>
        <v>8.277777777777778E-3</v>
      </c>
      <c r="AD902" s="77">
        <f t="shared" ref="AD902" si="2988">1-(1-AC902)^(1/12)</f>
        <v>6.9244588451522482E-4</v>
      </c>
      <c r="AE902" s="77">
        <f t="shared" si="2837"/>
        <v>2.5000000000000001E-3</v>
      </c>
      <c r="AF902" s="77">
        <f t="shared" ref="AF902" si="2989">1-(1-AE902)^(1/12)</f>
        <v>2.0857243058891584E-4</v>
      </c>
      <c r="AH902" t="s">
        <v>175</v>
      </c>
      <c r="AI902" t="s">
        <v>179</v>
      </c>
      <c r="AJ902" s="197" t="str">
        <f t="shared" si="2824"/>
        <v>Lifecycle_Dynamic_185</v>
      </c>
      <c r="AK902">
        <v>185</v>
      </c>
      <c r="AL902">
        <f>VLOOKUP($U902,[2]Standard_Dynamic!$Q$1:$T$542,2,FALSE)</f>
        <v>0.88888888888888884</v>
      </c>
      <c r="AM902">
        <f>VLOOKUP($U902,[2]Standard_Dynamic!$Q$1:$T$542,3,FALSE)</f>
        <v>0.11111111111111116</v>
      </c>
      <c r="AN902">
        <f>VLOOKUP($U902,[2]Standard_Dynamic!$Q$1:$T$542,4,FALSE)</f>
        <v>0</v>
      </c>
      <c r="AO902" s="77">
        <f t="shared" si="2825"/>
        <v>1</v>
      </c>
      <c r="AP902" s="77">
        <f t="shared" si="2839"/>
        <v>6.3149999999999984E-2</v>
      </c>
      <c r="AQ902" s="77">
        <f t="shared" si="2826"/>
        <v>5.1160591879111372E-3</v>
      </c>
      <c r="AR902" s="79">
        <v>0</v>
      </c>
      <c r="AS902" s="77">
        <f t="shared" si="2840"/>
        <v>0</v>
      </c>
      <c r="AT902" s="77">
        <f t="shared" ref="AT902" si="2990">1-(1-AS902)^(1/12)</f>
        <v>0</v>
      </c>
      <c r="AU902" s="77">
        <f t="shared" si="2842"/>
        <v>2.5000000000000001E-3</v>
      </c>
      <c r="AV902" s="77">
        <f t="shared" ref="AV902" si="2991">1-(1-AU902)^(1/12)</f>
        <v>2.0857243058891584E-4</v>
      </c>
      <c r="AX902" t="s">
        <v>178</v>
      </c>
      <c r="AY902" t="s">
        <v>162</v>
      </c>
      <c r="AZ902" s="197" t="str">
        <f t="shared" si="2922"/>
        <v>DIS_Standard_185</v>
      </c>
      <c r="BA902">
        <v>185</v>
      </c>
      <c r="BB902">
        <f>VLOOKUP($BA902,'[2]Standard DIS'!$Q$1:$X$542,4,FALSE)</f>
        <v>0</v>
      </c>
      <c r="BF902">
        <f>VLOOKUP($BA902,'[2]Standard DIS'!$Q$1:$X$542,2,FALSE)</f>
        <v>0.88888888888888884</v>
      </c>
      <c r="BH902">
        <f>VLOOKUP($BA902,'[2]Standard DIS'!$Q$1:$X$542,3,FALSE)</f>
        <v>0.11111111111111116</v>
      </c>
      <c r="BI902" s="77">
        <f t="shared" si="2829"/>
        <v>1</v>
      </c>
      <c r="BJ902" s="77">
        <f t="shared" si="2830"/>
        <v>6.3149999999999984E-2</v>
      </c>
      <c r="BK902" s="77">
        <f t="shared" si="2923"/>
        <v>5.1160591879111372E-3</v>
      </c>
      <c r="BL902" s="79">
        <v>0</v>
      </c>
      <c r="BM902" s="77">
        <f t="shared" si="2844"/>
        <v>0</v>
      </c>
      <c r="BN902" s="77">
        <f t="shared" si="2845"/>
        <v>0</v>
      </c>
      <c r="BO902" s="77">
        <f t="shared" si="2846"/>
        <v>2.5000000000000001E-3</v>
      </c>
      <c r="BP902" s="77">
        <f t="shared" si="2847"/>
        <v>2.0809499864316017E-4</v>
      </c>
    </row>
    <row r="903" spans="1:68">
      <c r="A903" t="s">
        <v>175</v>
      </c>
      <c r="B903" t="s">
        <v>179</v>
      </c>
      <c r="C903" s="197" t="str">
        <f t="shared" si="2888"/>
        <v>Lifecycle_Dynamic_184</v>
      </c>
      <c r="D903">
        <v>184</v>
      </c>
      <c r="E903">
        <f>VLOOKUP($D903,'[2]LC Dynamic'!$Q$2:$U$542,2,FALSE)</f>
        <v>0</v>
      </c>
      <c r="F903">
        <f>VLOOKUP($D903,'[2]LC Dynamic'!$Q$2:$U$542,3,FALSE)</f>
        <v>0</v>
      </c>
      <c r="G903">
        <f>VLOOKUP($D903,'[2]LC Dynamic'!$Q$2:$U$542,4,FALSE)</f>
        <v>0.308</v>
      </c>
      <c r="H903">
        <f>VLOOKUP($D903,'[2]LC Dynamic'!$Q$2:$U$542,5,FALSE)</f>
        <v>0.69199999999999995</v>
      </c>
      <c r="I903" s="77">
        <f t="shared" si="2820"/>
        <v>1</v>
      </c>
      <c r="J903" s="77">
        <f t="shared" si="2821"/>
        <v>6.9728499999999985E-2</v>
      </c>
      <c r="K903" s="77">
        <f t="shared" si="2895"/>
        <v>5.632878498097682E-3</v>
      </c>
      <c r="L903" s="76">
        <v>0</v>
      </c>
      <c r="M903" s="77">
        <f t="shared" si="2831"/>
        <v>0</v>
      </c>
      <c r="N903" s="77">
        <f t="shared" si="2832"/>
        <v>0</v>
      </c>
      <c r="O903" s="77">
        <f t="shared" si="2833"/>
        <v>5.6775999999999997E-3</v>
      </c>
      <c r="P903" s="77">
        <f t="shared" si="2834"/>
        <v>4.7436902124819991E-4</v>
      </c>
      <c r="R903" t="s">
        <v>177</v>
      </c>
      <c r="S903" t="s">
        <v>179</v>
      </c>
      <c r="T903" s="197" t="str">
        <f t="shared" si="2889"/>
        <v>Autopilot_Dynamic_184</v>
      </c>
      <c r="U903">
        <v>184</v>
      </c>
      <c r="V903">
        <f>VLOOKUP($U903,'[2]AP Dynamic'!$Q$1:$T$542,2,FALSE)</f>
        <v>0.88888888888888884</v>
      </c>
      <c r="W903">
        <f>VLOOKUP($U903,'[2]AP Dynamic'!$Q$1:$T$542,3,FALSE)</f>
        <v>0.11111111111111116</v>
      </c>
      <c r="X903">
        <f>VLOOKUP($U903,'[2]AP Dynamic'!$Q$1:$T$542,4,FALSE)</f>
        <v>0</v>
      </c>
      <c r="Y903" s="77">
        <f t="shared" si="2890"/>
        <v>1</v>
      </c>
      <c r="Z903" s="77">
        <f t="shared" si="2896"/>
        <v>6.3149999999999984E-2</v>
      </c>
      <c r="AA903" s="77">
        <f t="shared" si="2897"/>
        <v>5.1160591879111372E-3</v>
      </c>
      <c r="AB903" s="79">
        <v>1</v>
      </c>
      <c r="AC903" s="77">
        <f t="shared" si="2835"/>
        <v>8.277777777777778E-3</v>
      </c>
      <c r="AD903" s="77">
        <f t="shared" ref="AD903" si="2992">1-(1-AC903)^(1/12)</f>
        <v>6.9244588451522482E-4</v>
      </c>
      <c r="AE903" s="77">
        <f t="shared" si="2837"/>
        <v>2.5000000000000001E-3</v>
      </c>
      <c r="AF903" s="77">
        <f t="shared" ref="AF903" si="2993">1-(1-AE903)^(1/12)</f>
        <v>2.0857243058891584E-4</v>
      </c>
      <c r="AH903" t="s">
        <v>175</v>
      </c>
      <c r="AI903" t="s">
        <v>179</v>
      </c>
      <c r="AJ903" s="197" t="str">
        <f t="shared" si="2824"/>
        <v>Lifecycle_Dynamic_184</v>
      </c>
      <c r="AK903">
        <v>184</v>
      </c>
      <c r="AL903">
        <f>VLOOKUP($U903,[2]Standard_Dynamic!$Q$1:$T$542,2,FALSE)</f>
        <v>0.88888888888888884</v>
      </c>
      <c r="AM903">
        <f>VLOOKUP($U903,[2]Standard_Dynamic!$Q$1:$T$542,3,FALSE)</f>
        <v>0.11111111111111116</v>
      </c>
      <c r="AN903">
        <f>VLOOKUP($U903,[2]Standard_Dynamic!$Q$1:$T$542,4,FALSE)</f>
        <v>0</v>
      </c>
      <c r="AO903" s="77">
        <f t="shared" si="2825"/>
        <v>1</v>
      </c>
      <c r="AP903" s="77">
        <f t="shared" si="2839"/>
        <v>6.3149999999999984E-2</v>
      </c>
      <c r="AQ903" s="77">
        <f t="shared" si="2826"/>
        <v>5.1160591879111372E-3</v>
      </c>
      <c r="AR903" s="79">
        <v>0</v>
      </c>
      <c r="AS903" s="77">
        <f t="shared" si="2840"/>
        <v>0</v>
      </c>
      <c r="AT903" s="77">
        <f t="shared" ref="AT903" si="2994">1-(1-AS903)^(1/12)</f>
        <v>0</v>
      </c>
      <c r="AU903" s="77">
        <f t="shared" si="2842"/>
        <v>2.5000000000000001E-3</v>
      </c>
      <c r="AV903" s="77">
        <f t="shared" ref="AV903" si="2995">1-(1-AU903)^(1/12)</f>
        <v>2.0857243058891584E-4</v>
      </c>
      <c r="AX903" t="s">
        <v>178</v>
      </c>
      <c r="AY903" t="s">
        <v>162</v>
      </c>
      <c r="AZ903" s="197" t="str">
        <f t="shared" si="2922"/>
        <v>DIS_Standard_184</v>
      </c>
      <c r="BA903">
        <v>184</v>
      </c>
      <c r="BB903">
        <f>VLOOKUP($BA903,'[2]Standard DIS'!$Q$1:$X$542,4,FALSE)</f>
        <v>0</v>
      </c>
      <c r="BF903">
        <f>VLOOKUP($BA903,'[2]Standard DIS'!$Q$1:$X$542,2,FALSE)</f>
        <v>0.88888888888888884</v>
      </c>
      <c r="BH903">
        <f>VLOOKUP($BA903,'[2]Standard DIS'!$Q$1:$X$542,3,FALSE)</f>
        <v>0.11111111111111116</v>
      </c>
      <c r="BI903" s="77">
        <f t="shared" si="2829"/>
        <v>1</v>
      </c>
      <c r="BJ903" s="77">
        <f t="shared" si="2830"/>
        <v>6.3149999999999984E-2</v>
      </c>
      <c r="BK903" s="77">
        <f t="shared" si="2923"/>
        <v>5.1160591879111372E-3</v>
      </c>
      <c r="BL903" s="79">
        <v>0</v>
      </c>
      <c r="BM903" s="77">
        <f t="shared" si="2844"/>
        <v>0</v>
      </c>
      <c r="BN903" s="77">
        <f t="shared" si="2845"/>
        <v>0</v>
      </c>
      <c r="BO903" s="77">
        <f t="shared" si="2846"/>
        <v>2.5000000000000001E-3</v>
      </c>
      <c r="BP903" s="77">
        <f t="shared" si="2847"/>
        <v>2.0809499864316017E-4</v>
      </c>
    </row>
    <row r="904" spans="1:68">
      <c r="A904" t="s">
        <v>175</v>
      </c>
      <c r="B904" t="s">
        <v>179</v>
      </c>
      <c r="C904" s="197" t="str">
        <f t="shared" si="2888"/>
        <v>Lifecycle_Dynamic_183</v>
      </c>
      <c r="D904">
        <v>183</v>
      </c>
      <c r="E904">
        <f>VLOOKUP($D904,'[2]LC Dynamic'!$Q$2:$U$542,2,FALSE)</f>
        <v>0</v>
      </c>
      <c r="F904">
        <f>VLOOKUP($D904,'[2]LC Dynamic'!$Q$2:$U$542,3,FALSE)</f>
        <v>0</v>
      </c>
      <c r="G904">
        <f>VLOOKUP($D904,'[2]LC Dynamic'!$Q$2:$U$542,4,FALSE)</f>
        <v>0.308</v>
      </c>
      <c r="H904">
        <f>VLOOKUP($D904,'[2]LC Dynamic'!$Q$2:$U$542,5,FALSE)</f>
        <v>0.69199999999999995</v>
      </c>
      <c r="I904" s="77">
        <f t="shared" si="2820"/>
        <v>1</v>
      </c>
      <c r="J904" s="77">
        <f t="shared" si="2821"/>
        <v>6.9728499999999985E-2</v>
      </c>
      <c r="K904" s="77">
        <f t="shared" si="2895"/>
        <v>5.632878498097682E-3</v>
      </c>
      <c r="L904" s="76">
        <v>0</v>
      </c>
      <c r="M904" s="77">
        <f t="shared" si="2831"/>
        <v>0</v>
      </c>
      <c r="N904" s="77">
        <f t="shared" si="2832"/>
        <v>0</v>
      </c>
      <c r="O904" s="77">
        <f t="shared" si="2833"/>
        <v>5.6775999999999997E-3</v>
      </c>
      <c r="P904" s="77">
        <f t="shared" si="2834"/>
        <v>4.7436902124819991E-4</v>
      </c>
      <c r="R904" t="s">
        <v>177</v>
      </c>
      <c r="S904" t="s">
        <v>179</v>
      </c>
      <c r="T904" s="197" t="str">
        <f t="shared" si="2889"/>
        <v>Autopilot_Dynamic_183</v>
      </c>
      <c r="U904">
        <v>183</v>
      </c>
      <c r="V904">
        <f>VLOOKUP($U904,'[2]AP Dynamic'!$Q$1:$T$542,2,FALSE)</f>
        <v>0.88888888888888884</v>
      </c>
      <c r="W904">
        <f>VLOOKUP($U904,'[2]AP Dynamic'!$Q$1:$T$542,3,FALSE)</f>
        <v>0.11111111111111116</v>
      </c>
      <c r="X904">
        <f>VLOOKUP($U904,'[2]AP Dynamic'!$Q$1:$T$542,4,FALSE)</f>
        <v>0</v>
      </c>
      <c r="Y904" s="77">
        <f t="shared" si="2890"/>
        <v>1</v>
      </c>
      <c r="Z904" s="77">
        <f t="shared" si="2896"/>
        <v>6.3149999999999984E-2</v>
      </c>
      <c r="AA904" s="77">
        <f t="shared" si="2897"/>
        <v>5.1160591879111372E-3</v>
      </c>
      <c r="AB904" s="79">
        <v>1</v>
      </c>
      <c r="AC904" s="77">
        <f t="shared" si="2835"/>
        <v>8.277777777777778E-3</v>
      </c>
      <c r="AD904" s="77">
        <f t="shared" ref="AD904" si="2996">1-(1-AC904)^(1/12)</f>
        <v>6.9244588451522482E-4</v>
      </c>
      <c r="AE904" s="77">
        <f t="shared" si="2837"/>
        <v>2.5000000000000001E-3</v>
      </c>
      <c r="AF904" s="77">
        <f t="shared" ref="AF904" si="2997">1-(1-AE904)^(1/12)</f>
        <v>2.0857243058891584E-4</v>
      </c>
      <c r="AH904" t="s">
        <v>175</v>
      </c>
      <c r="AI904" t="s">
        <v>179</v>
      </c>
      <c r="AJ904" s="197" t="str">
        <f t="shared" si="2824"/>
        <v>Lifecycle_Dynamic_183</v>
      </c>
      <c r="AK904">
        <v>183</v>
      </c>
      <c r="AL904">
        <f>VLOOKUP($U904,[2]Standard_Dynamic!$Q$1:$T$542,2,FALSE)</f>
        <v>0.88888888888888884</v>
      </c>
      <c r="AM904">
        <f>VLOOKUP($U904,[2]Standard_Dynamic!$Q$1:$T$542,3,FALSE)</f>
        <v>0.11111111111111116</v>
      </c>
      <c r="AN904">
        <f>VLOOKUP($U904,[2]Standard_Dynamic!$Q$1:$T$542,4,FALSE)</f>
        <v>0</v>
      </c>
      <c r="AO904" s="77">
        <f t="shared" si="2825"/>
        <v>1</v>
      </c>
      <c r="AP904" s="77">
        <f t="shared" si="2839"/>
        <v>6.3149999999999984E-2</v>
      </c>
      <c r="AQ904" s="77">
        <f t="shared" si="2826"/>
        <v>5.1160591879111372E-3</v>
      </c>
      <c r="AR904" s="79">
        <v>0</v>
      </c>
      <c r="AS904" s="77">
        <f t="shared" si="2840"/>
        <v>0</v>
      </c>
      <c r="AT904" s="77">
        <f t="shared" ref="AT904" si="2998">1-(1-AS904)^(1/12)</f>
        <v>0</v>
      </c>
      <c r="AU904" s="77">
        <f t="shared" si="2842"/>
        <v>2.5000000000000001E-3</v>
      </c>
      <c r="AV904" s="77">
        <f t="shared" ref="AV904" si="2999">1-(1-AU904)^(1/12)</f>
        <v>2.0857243058891584E-4</v>
      </c>
      <c r="AX904" t="s">
        <v>178</v>
      </c>
      <c r="AY904" t="s">
        <v>162</v>
      </c>
      <c r="AZ904" s="197" t="str">
        <f t="shared" si="2922"/>
        <v>DIS_Standard_183</v>
      </c>
      <c r="BA904">
        <v>183</v>
      </c>
      <c r="BB904">
        <f>VLOOKUP($BA904,'[2]Standard DIS'!$Q$1:$X$542,4,FALSE)</f>
        <v>0</v>
      </c>
      <c r="BF904">
        <f>VLOOKUP($BA904,'[2]Standard DIS'!$Q$1:$X$542,2,FALSE)</f>
        <v>0.88888888888888884</v>
      </c>
      <c r="BH904">
        <f>VLOOKUP($BA904,'[2]Standard DIS'!$Q$1:$X$542,3,FALSE)</f>
        <v>0.11111111111111116</v>
      </c>
      <c r="BI904" s="77">
        <f t="shared" si="2829"/>
        <v>1</v>
      </c>
      <c r="BJ904" s="77">
        <f t="shared" si="2830"/>
        <v>6.3149999999999984E-2</v>
      </c>
      <c r="BK904" s="77">
        <f t="shared" si="2923"/>
        <v>5.1160591879111372E-3</v>
      </c>
      <c r="BL904" s="79">
        <v>0</v>
      </c>
      <c r="BM904" s="77">
        <f t="shared" si="2844"/>
        <v>0</v>
      </c>
      <c r="BN904" s="77">
        <f t="shared" si="2845"/>
        <v>0</v>
      </c>
      <c r="BO904" s="77">
        <f t="shared" si="2846"/>
        <v>2.5000000000000001E-3</v>
      </c>
      <c r="BP904" s="77">
        <f t="shared" si="2847"/>
        <v>2.0809499864316017E-4</v>
      </c>
    </row>
    <row r="905" spans="1:68">
      <c r="A905" t="s">
        <v>175</v>
      </c>
      <c r="B905" t="s">
        <v>179</v>
      </c>
      <c r="C905" s="197" t="str">
        <f t="shared" si="2888"/>
        <v>Lifecycle_Dynamic_182</v>
      </c>
      <c r="D905">
        <v>182</v>
      </c>
      <c r="E905">
        <f>VLOOKUP($D905,'[2]LC Dynamic'!$Q$2:$U$542,2,FALSE)</f>
        <v>0</v>
      </c>
      <c r="F905">
        <f>VLOOKUP($D905,'[2]LC Dynamic'!$Q$2:$U$542,3,FALSE)</f>
        <v>0</v>
      </c>
      <c r="G905">
        <f>VLOOKUP($D905,'[2]LC Dynamic'!$Q$2:$U$542,4,FALSE)</f>
        <v>0.308</v>
      </c>
      <c r="H905">
        <f>VLOOKUP($D905,'[2]LC Dynamic'!$Q$2:$U$542,5,FALSE)</f>
        <v>0.69199999999999995</v>
      </c>
      <c r="I905" s="77">
        <f t="shared" si="2820"/>
        <v>1</v>
      </c>
      <c r="J905" s="77">
        <f t="shared" si="2821"/>
        <v>6.9728499999999985E-2</v>
      </c>
      <c r="K905" s="77">
        <f t="shared" si="2895"/>
        <v>5.632878498097682E-3</v>
      </c>
      <c r="L905" s="76">
        <v>0</v>
      </c>
      <c r="M905" s="77">
        <f t="shared" si="2831"/>
        <v>0</v>
      </c>
      <c r="N905" s="77">
        <f t="shared" si="2832"/>
        <v>0</v>
      </c>
      <c r="O905" s="77">
        <f t="shared" si="2833"/>
        <v>5.6775999999999997E-3</v>
      </c>
      <c r="P905" s="77">
        <f t="shared" si="2834"/>
        <v>4.7436902124819991E-4</v>
      </c>
      <c r="R905" t="s">
        <v>177</v>
      </c>
      <c r="S905" t="s">
        <v>179</v>
      </c>
      <c r="T905" s="197" t="str">
        <f t="shared" si="2889"/>
        <v>Autopilot_Dynamic_182</v>
      </c>
      <c r="U905">
        <v>182</v>
      </c>
      <c r="V905">
        <f>VLOOKUP($U905,'[2]AP Dynamic'!$Q$1:$T$542,2,FALSE)</f>
        <v>0.88888888888888884</v>
      </c>
      <c r="W905">
        <f>VLOOKUP($U905,'[2]AP Dynamic'!$Q$1:$T$542,3,FALSE)</f>
        <v>0.11111111111111116</v>
      </c>
      <c r="X905">
        <f>VLOOKUP($U905,'[2]AP Dynamic'!$Q$1:$T$542,4,FALSE)</f>
        <v>0</v>
      </c>
      <c r="Y905" s="77">
        <f t="shared" si="2890"/>
        <v>1</v>
      </c>
      <c r="Z905" s="77">
        <f t="shared" si="2896"/>
        <v>6.3149999999999984E-2</v>
      </c>
      <c r="AA905" s="77">
        <f t="shared" si="2897"/>
        <v>5.1160591879111372E-3</v>
      </c>
      <c r="AB905" s="79">
        <v>1</v>
      </c>
      <c r="AC905" s="77">
        <f t="shared" si="2835"/>
        <v>8.277777777777778E-3</v>
      </c>
      <c r="AD905" s="77">
        <f t="shared" ref="AD905" si="3000">1-(1-AC905)^(1/12)</f>
        <v>6.9244588451522482E-4</v>
      </c>
      <c r="AE905" s="77">
        <f t="shared" si="2837"/>
        <v>2.5000000000000001E-3</v>
      </c>
      <c r="AF905" s="77">
        <f t="shared" ref="AF905" si="3001">1-(1-AE905)^(1/12)</f>
        <v>2.0857243058891584E-4</v>
      </c>
      <c r="AH905" t="s">
        <v>175</v>
      </c>
      <c r="AI905" t="s">
        <v>179</v>
      </c>
      <c r="AJ905" s="197" t="str">
        <f t="shared" si="2824"/>
        <v>Lifecycle_Dynamic_182</v>
      </c>
      <c r="AK905">
        <v>182</v>
      </c>
      <c r="AL905">
        <f>VLOOKUP($U905,[2]Standard_Dynamic!$Q$1:$T$542,2,FALSE)</f>
        <v>0.88888888888888884</v>
      </c>
      <c r="AM905">
        <f>VLOOKUP($U905,[2]Standard_Dynamic!$Q$1:$T$542,3,FALSE)</f>
        <v>0.11111111111111116</v>
      </c>
      <c r="AN905">
        <f>VLOOKUP($U905,[2]Standard_Dynamic!$Q$1:$T$542,4,FALSE)</f>
        <v>0</v>
      </c>
      <c r="AO905" s="77">
        <f t="shared" si="2825"/>
        <v>1</v>
      </c>
      <c r="AP905" s="77">
        <f t="shared" si="2839"/>
        <v>6.3149999999999984E-2</v>
      </c>
      <c r="AQ905" s="77">
        <f t="shared" si="2826"/>
        <v>5.1160591879111372E-3</v>
      </c>
      <c r="AR905" s="79">
        <v>0</v>
      </c>
      <c r="AS905" s="77">
        <f t="shared" si="2840"/>
        <v>0</v>
      </c>
      <c r="AT905" s="77">
        <f t="shared" ref="AT905" si="3002">1-(1-AS905)^(1/12)</f>
        <v>0</v>
      </c>
      <c r="AU905" s="77">
        <f t="shared" si="2842"/>
        <v>2.5000000000000001E-3</v>
      </c>
      <c r="AV905" s="77">
        <f t="shared" ref="AV905" si="3003">1-(1-AU905)^(1/12)</f>
        <v>2.0857243058891584E-4</v>
      </c>
      <c r="AX905" t="s">
        <v>178</v>
      </c>
      <c r="AY905" t="s">
        <v>162</v>
      </c>
      <c r="AZ905" s="197" t="str">
        <f t="shared" si="2922"/>
        <v>DIS_Standard_182</v>
      </c>
      <c r="BA905">
        <v>182</v>
      </c>
      <c r="BB905">
        <f>VLOOKUP($BA905,'[2]Standard DIS'!$Q$1:$X$542,4,FALSE)</f>
        <v>0</v>
      </c>
      <c r="BF905">
        <f>VLOOKUP($BA905,'[2]Standard DIS'!$Q$1:$X$542,2,FALSE)</f>
        <v>0.88888888888888884</v>
      </c>
      <c r="BH905">
        <f>VLOOKUP($BA905,'[2]Standard DIS'!$Q$1:$X$542,3,FALSE)</f>
        <v>0.11111111111111116</v>
      </c>
      <c r="BI905" s="77">
        <f t="shared" si="2829"/>
        <v>1</v>
      </c>
      <c r="BJ905" s="77">
        <f t="shared" si="2830"/>
        <v>6.3149999999999984E-2</v>
      </c>
      <c r="BK905" s="77">
        <f t="shared" si="2923"/>
        <v>5.1160591879111372E-3</v>
      </c>
      <c r="BL905" s="79">
        <v>0</v>
      </c>
      <c r="BM905" s="77">
        <f t="shared" si="2844"/>
        <v>0</v>
      </c>
      <c r="BN905" s="77">
        <f t="shared" si="2845"/>
        <v>0</v>
      </c>
      <c r="BO905" s="77">
        <f t="shared" si="2846"/>
        <v>2.5000000000000001E-3</v>
      </c>
      <c r="BP905" s="77">
        <f t="shared" si="2847"/>
        <v>2.0809499864316017E-4</v>
      </c>
    </row>
    <row r="906" spans="1:68">
      <c r="A906" t="s">
        <v>175</v>
      </c>
      <c r="B906" t="s">
        <v>179</v>
      </c>
      <c r="C906" s="197" t="str">
        <f t="shared" si="2888"/>
        <v>Lifecycle_Dynamic_181</v>
      </c>
      <c r="D906">
        <v>181</v>
      </c>
      <c r="E906">
        <f>VLOOKUP($D906,'[2]LC Dynamic'!$Q$2:$U$542,2,FALSE)</f>
        <v>0</v>
      </c>
      <c r="F906">
        <f>VLOOKUP($D906,'[2]LC Dynamic'!$Q$2:$U$542,3,FALSE)</f>
        <v>0</v>
      </c>
      <c r="G906">
        <f>VLOOKUP($D906,'[2]LC Dynamic'!$Q$2:$U$542,4,FALSE)</f>
        <v>0.308</v>
      </c>
      <c r="H906">
        <f>VLOOKUP($D906,'[2]LC Dynamic'!$Q$2:$U$542,5,FALSE)</f>
        <v>0.69199999999999995</v>
      </c>
      <c r="I906" s="77">
        <f t="shared" si="2820"/>
        <v>1</v>
      </c>
      <c r="J906" s="77">
        <f t="shared" si="2821"/>
        <v>6.9728499999999985E-2</v>
      </c>
      <c r="K906" s="77">
        <f t="shared" si="2895"/>
        <v>5.632878498097682E-3</v>
      </c>
      <c r="L906" s="76">
        <v>0</v>
      </c>
      <c r="M906" s="77">
        <f t="shared" si="2831"/>
        <v>0</v>
      </c>
      <c r="N906" s="77">
        <f t="shared" si="2832"/>
        <v>0</v>
      </c>
      <c r="O906" s="77">
        <f t="shared" si="2833"/>
        <v>5.6775999999999997E-3</v>
      </c>
      <c r="P906" s="77">
        <f t="shared" si="2834"/>
        <v>4.7436902124819991E-4</v>
      </c>
      <c r="R906" t="s">
        <v>177</v>
      </c>
      <c r="S906" t="s">
        <v>179</v>
      </c>
      <c r="T906" s="197" t="str">
        <f t="shared" si="2889"/>
        <v>Autopilot_Dynamic_181</v>
      </c>
      <c r="U906">
        <v>181</v>
      </c>
      <c r="V906">
        <f>VLOOKUP($U906,'[2]AP Dynamic'!$Q$1:$T$542,2,FALSE)</f>
        <v>0.88888888888888884</v>
      </c>
      <c r="W906">
        <f>VLOOKUP($U906,'[2]AP Dynamic'!$Q$1:$T$542,3,FALSE)</f>
        <v>0.11111111111111116</v>
      </c>
      <c r="X906">
        <f>VLOOKUP($U906,'[2]AP Dynamic'!$Q$1:$T$542,4,FALSE)</f>
        <v>0</v>
      </c>
      <c r="Y906" s="77">
        <f t="shared" si="2890"/>
        <v>1</v>
      </c>
      <c r="Z906" s="77">
        <f t="shared" si="2896"/>
        <v>6.3149999999999984E-2</v>
      </c>
      <c r="AA906" s="77">
        <f t="shared" si="2897"/>
        <v>5.1160591879111372E-3</v>
      </c>
      <c r="AB906" s="79">
        <v>1</v>
      </c>
      <c r="AC906" s="77">
        <f t="shared" si="2835"/>
        <v>8.277777777777778E-3</v>
      </c>
      <c r="AD906" s="77">
        <f t="shared" ref="AD906" si="3004">1-(1-AC906)^(1/12)</f>
        <v>6.9244588451522482E-4</v>
      </c>
      <c r="AE906" s="77">
        <f t="shared" si="2837"/>
        <v>2.5000000000000001E-3</v>
      </c>
      <c r="AF906" s="77">
        <f t="shared" ref="AF906" si="3005">1-(1-AE906)^(1/12)</f>
        <v>2.0857243058891584E-4</v>
      </c>
      <c r="AH906" t="s">
        <v>175</v>
      </c>
      <c r="AI906" t="s">
        <v>179</v>
      </c>
      <c r="AJ906" s="197" t="str">
        <f t="shared" si="2824"/>
        <v>Lifecycle_Dynamic_181</v>
      </c>
      <c r="AK906">
        <v>181</v>
      </c>
      <c r="AL906">
        <f>VLOOKUP($U906,[2]Standard_Dynamic!$Q$1:$T$542,2,FALSE)</f>
        <v>0.88888888888888884</v>
      </c>
      <c r="AM906">
        <f>VLOOKUP($U906,[2]Standard_Dynamic!$Q$1:$T$542,3,FALSE)</f>
        <v>0.11111111111111116</v>
      </c>
      <c r="AN906">
        <f>VLOOKUP($U906,[2]Standard_Dynamic!$Q$1:$T$542,4,FALSE)</f>
        <v>0</v>
      </c>
      <c r="AO906" s="77">
        <f t="shared" si="2825"/>
        <v>1</v>
      </c>
      <c r="AP906" s="77">
        <f t="shared" si="2839"/>
        <v>6.3149999999999984E-2</v>
      </c>
      <c r="AQ906" s="77">
        <f t="shared" si="2826"/>
        <v>5.1160591879111372E-3</v>
      </c>
      <c r="AR906" s="79">
        <v>0</v>
      </c>
      <c r="AS906" s="77">
        <f t="shared" si="2840"/>
        <v>0</v>
      </c>
      <c r="AT906" s="77">
        <f t="shared" ref="AT906" si="3006">1-(1-AS906)^(1/12)</f>
        <v>0</v>
      </c>
      <c r="AU906" s="77">
        <f t="shared" si="2842"/>
        <v>2.5000000000000001E-3</v>
      </c>
      <c r="AV906" s="77">
        <f t="shared" ref="AV906" si="3007">1-(1-AU906)^(1/12)</f>
        <v>2.0857243058891584E-4</v>
      </c>
      <c r="AX906" t="s">
        <v>178</v>
      </c>
      <c r="AY906" t="s">
        <v>162</v>
      </c>
      <c r="AZ906" s="197" t="str">
        <f t="shared" si="2922"/>
        <v>DIS_Standard_181</v>
      </c>
      <c r="BA906">
        <v>181</v>
      </c>
      <c r="BB906">
        <f>VLOOKUP($BA906,'[2]Standard DIS'!$Q$1:$X$542,4,FALSE)</f>
        <v>0</v>
      </c>
      <c r="BF906">
        <f>VLOOKUP($BA906,'[2]Standard DIS'!$Q$1:$X$542,2,FALSE)</f>
        <v>0.88888888888888884</v>
      </c>
      <c r="BH906">
        <f>VLOOKUP($BA906,'[2]Standard DIS'!$Q$1:$X$542,3,FALSE)</f>
        <v>0.11111111111111116</v>
      </c>
      <c r="BI906" s="77">
        <f t="shared" si="2829"/>
        <v>1</v>
      </c>
      <c r="BJ906" s="77">
        <f t="shared" si="2830"/>
        <v>6.3149999999999984E-2</v>
      </c>
      <c r="BK906" s="77">
        <f t="shared" si="2923"/>
        <v>5.1160591879111372E-3</v>
      </c>
      <c r="BL906" s="79">
        <v>0</v>
      </c>
      <c r="BM906" s="77">
        <f t="shared" si="2844"/>
        <v>0</v>
      </c>
      <c r="BN906" s="77">
        <f t="shared" si="2845"/>
        <v>0</v>
      </c>
      <c r="BO906" s="77">
        <f t="shared" si="2846"/>
        <v>2.5000000000000001E-3</v>
      </c>
      <c r="BP906" s="77">
        <f t="shared" si="2847"/>
        <v>2.0809499864316017E-4</v>
      </c>
    </row>
    <row r="907" spans="1:68">
      <c r="A907" t="s">
        <v>175</v>
      </c>
      <c r="B907" t="s">
        <v>179</v>
      </c>
      <c r="C907" s="197" t="str">
        <f t="shared" si="2888"/>
        <v>Lifecycle_Dynamic_180</v>
      </c>
      <c r="D907">
        <v>180</v>
      </c>
      <c r="E907">
        <f>VLOOKUP($D907,'[2]LC Dynamic'!$Q$2:$U$542,2,FALSE)</f>
        <v>0</v>
      </c>
      <c r="F907">
        <f>VLOOKUP($D907,'[2]LC Dynamic'!$Q$2:$U$542,3,FALSE)</f>
        <v>0</v>
      </c>
      <c r="G907">
        <f>VLOOKUP($D907,'[2]LC Dynamic'!$Q$2:$U$542,4,FALSE)</f>
        <v>0.308</v>
      </c>
      <c r="H907">
        <f>VLOOKUP($D907,'[2]LC Dynamic'!$Q$2:$U$542,5,FALSE)</f>
        <v>0.69199999999999995</v>
      </c>
      <c r="I907" s="77">
        <f t="shared" si="2820"/>
        <v>1</v>
      </c>
      <c r="J907" s="77">
        <f t="shared" si="2821"/>
        <v>6.9728499999999985E-2</v>
      </c>
      <c r="K907" s="77">
        <f t="shared" si="2895"/>
        <v>5.632878498097682E-3</v>
      </c>
      <c r="L907" s="76">
        <v>0</v>
      </c>
      <c r="M907" s="77">
        <f t="shared" si="2831"/>
        <v>0</v>
      </c>
      <c r="N907" s="77">
        <f t="shared" si="2832"/>
        <v>0</v>
      </c>
      <c r="O907" s="77">
        <f t="shared" si="2833"/>
        <v>5.6775999999999997E-3</v>
      </c>
      <c r="P907" s="77">
        <f t="shared" si="2834"/>
        <v>4.7436902124819991E-4</v>
      </c>
      <c r="R907" t="s">
        <v>177</v>
      </c>
      <c r="S907" t="s">
        <v>179</v>
      </c>
      <c r="T907" s="197" t="str">
        <f t="shared" si="2889"/>
        <v>Autopilot_Dynamic_180</v>
      </c>
      <c r="U907">
        <v>180</v>
      </c>
      <c r="V907">
        <f>VLOOKUP($U907,'[2]AP Dynamic'!$Q$1:$T$542,2,FALSE)</f>
        <v>0.88888888888888884</v>
      </c>
      <c r="W907">
        <f>VLOOKUP($U907,'[2]AP Dynamic'!$Q$1:$T$542,3,FALSE)</f>
        <v>0.11111111111111116</v>
      </c>
      <c r="X907">
        <f>VLOOKUP($U907,'[2]AP Dynamic'!$Q$1:$T$542,4,FALSE)</f>
        <v>0</v>
      </c>
      <c r="Y907" s="77">
        <f t="shared" si="2890"/>
        <v>1</v>
      </c>
      <c r="Z907" s="77">
        <f t="shared" si="2896"/>
        <v>6.3149999999999984E-2</v>
      </c>
      <c r="AA907" s="77">
        <f t="shared" si="2897"/>
        <v>5.1160591879111372E-3</v>
      </c>
      <c r="AB907" s="79">
        <v>1</v>
      </c>
      <c r="AC907" s="77">
        <f t="shared" si="2835"/>
        <v>8.277777777777778E-3</v>
      </c>
      <c r="AD907" s="77">
        <f t="shared" ref="AD907" si="3008">1-(1-AC907)^(1/12)</f>
        <v>6.9244588451522482E-4</v>
      </c>
      <c r="AE907" s="77">
        <f t="shared" si="2837"/>
        <v>2.5000000000000001E-3</v>
      </c>
      <c r="AF907" s="77">
        <f t="shared" ref="AF907" si="3009">1-(1-AE907)^(1/12)</f>
        <v>2.0857243058891584E-4</v>
      </c>
      <c r="AH907" t="s">
        <v>175</v>
      </c>
      <c r="AI907" t="s">
        <v>179</v>
      </c>
      <c r="AJ907" s="197" t="str">
        <f t="shared" si="2824"/>
        <v>Lifecycle_Dynamic_180</v>
      </c>
      <c r="AK907">
        <v>180</v>
      </c>
      <c r="AL907">
        <f>VLOOKUP($U907,[2]Standard_Dynamic!$Q$1:$T$542,2,FALSE)</f>
        <v>0.88888888888888884</v>
      </c>
      <c r="AM907">
        <f>VLOOKUP($U907,[2]Standard_Dynamic!$Q$1:$T$542,3,FALSE)</f>
        <v>0.11111111111111116</v>
      </c>
      <c r="AN907">
        <f>VLOOKUP($U907,[2]Standard_Dynamic!$Q$1:$T$542,4,FALSE)</f>
        <v>0</v>
      </c>
      <c r="AO907" s="77">
        <f t="shared" si="2825"/>
        <v>1</v>
      </c>
      <c r="AP907" s="77">
        <f t="shared" si="2839"/>
        <v>6.3149999999999984E-2</v>
      </c>
      <c r="AQ907" s="77">
        <f t="shared" si="2826"/>
        <v>5.1160591879111372E-3</v>
      </c>
      <c r="AR907" s="79">
        <v>0</v>
      </c>
      <c r="AS907" s="77">
        <f t="shared" si="2840"/>
        <v>0</v>
      </c>
      <c r="AT907" s="77">
        <f t="shared" ref="AT907" si="3010">1-(1-AS907)^(1/12)</f>
        <v>0</v>
      </c>
      <c r="AU907" s="77">
        <f t="shared" si="2842"/>
        <v>2.5000000000000001E-3</v>
      </c>
      <c r="AV907" s="77">
        <f t="shared" ref="AV907" si="3011">1-(1-AU907)^(1/12)</f>
        <v>2.0857243058891584E-4</v>
      </c>
      <c r="AX907" t="s">
        <v>178</v>
      </c>
      <c r="AY907" t="s">
        <v>162</v>
      </c>
      <c r="AZ907" s="197" t="str">
        <f t="shared" si="2922"/>
        <v>DIS_Standard_180</v>
      </c>
      <c r="BA907">
        <v>180</v>
      </c>
      <c r="BB907">
        <f>VLOOKUP($BA907,'[2]Standard DIS'!$Q$1:$X$542,4,FALSE)</f>
        <v>0</v>
      </c>
      <c r="BF907">
        <f>VLOOKUP($BA907,'[2]Standard DIS'!$Q$1:$X$542,2,FALSE)</f>
        <v>0.88888888888888884</v>
      </c>
      <c r="BH907">
        <f>VLOOKUP($BA907,'[2]Standard DIS'!$Q$1:$X$542,3,FALSE)</f>
        <v>0.11111111111111116</v>
      </c>
      <c r="BI907" s="77">
        <f t="shared" si="2829"/>
        <v>1</v>
      </c>
      <c r="BJ907" s="77">
        <f t="shared" si="2830"/>
        <v>6.3149999999999984E-2</v>
      </c>
      <c r="BK907" s="77">
        <f t="shared" si="2923"/>
        <v>5.1160591879111372E-3</v>
      </c>
      <c r="BL907" s="79">
        <v>0</v>
      </c>
      <c r="BM907" s="77">
        <f t="shared" si="2844"/>
        <v>0</v>
      </c>
      <c r="BN907" s="77">
        <f t="shared" si="2845"/>
        <v>0</v>
      </c>
      <c r="BO907" s="77">
        <f t="shared" si="2846"/>
        <v>2.5000000000000001E-3</v>
      </c>
      <c r="BP907" s="77">
        <f t="shared" si="2847"/>
        <v>2.0809499864316017E-4</v>
      </c>
    </row>
    <row r="908" spans="1:68">
      <c r="A908" t="s">
        <v>175</v>
      </c>
      <c r="B908" t="s">
        <v>179</v>
      </c>
      <c r="C908" s="197" t="str">
        <f t="shared" si="2888"/>
        <v>Lifecycle_Dynamic_179</v>
      </c>
      <c r="D908">
        <v>179</v>
      </c>
      <c r="E908">
        <f>VLOOKUP($D908,'[2]LC Dynamic'!$Q$2:$U$542,2,FALSE)</f>
        <v>0</v>
      </c>
      <c r="F908">
        <f>VLOOKUP($D908,'[2]LC Dynamic'!$Q$2:$U$542,3,FALSE)</f>
        <v>0</v>
      </c>
      <c r="G908">
        <f>VLOOKUP($D908,'[2]LC Dynamic'!$Q$2:$U$542,4,FALSE)</f>
        <v>0.31916666666666665</v>
      </c>
      <c r="H908">
        <f>VLOOKUP($D908,'[2]LC Dynamic'!$Q$2:$U$542,5,FALSE)</f>
        <v>0.68083333333333329</v>
      </c>
      <c r="I908" s="77">
        <f t="shared" si="2820"/>
        <v>1</v>
      </c>
      <c r="J908" s="77">
        <f t="shared" si="2821"/>
        <v>6.9646145833333326E-2</v>
      </c>
      <c r="K908" s="77">
        <f t="shared" si="2895"/>
        <v>5.6264266289174358E-3</v>
      </c>
      <c r="L908" s="76">
        <v>0</v>
      </c>
      <c r="M908" s="77">
        <f t="shared" si="2831"/>
        <v>0</v>
      </c>
      <c r="N908" s="77">
        <f t="shared" si="2832"/>
        <v>0</v>
      </c>
      <c r="O908" s="77">
        <f t="shared" si="2833"/>
        <v>5.7021666666666661E-3</v>
      </c>
      <c r="P908" s="77">
        <f t="shared" si="2834"/>
        <v>4.7642697976912896E-4</v>
      </c>
      <c r="R908" t="s">
        <v>177</v>
      </c>
      <c r="S908" t="s">
        <v>179</v>
      </c>
      <c r="T908" s="197" t="str">
        <f t="shared" si="2889"/>
        <v>Autopilot_Dynamic_179</v>
      </c>
      <c r="U908">
        <v>179</v>
      </c>
      <c r="V908">
        <f>VLOOKUP($U908,'[2]AP Dynamic'!$Q$1:$T$542,2,FALSE)</f>
        <v>0.88888888888888884</v>
      </c>
      <c r="W908">
        <f>VLOOKUP($U908,'[2]AP Dynamic'!$Q$1:$T$542,3,FALSE)</f>
        <v>0.11111111111111116</v>
      </c>
      <c r="X908">
        <f>VLOOKUP($U908,'[2]AP Dynamic'!$Q$1:$T$542,4,FALSE)</f>
        <v>0</v>
      </c>
      <c r="Y908" s="77">
        <f t="shared" si="2890"/>
        <v>1</v>
      </c>
      <c r="Z908" s="77">
        <f t="shared" si="2896"/>
        <v>6.3149999999999984E-2</v>
      </c>
      <c r="AA908" s="77">
        <f t="shared" si="2897"/>
        <v>5.1160591879111372E-3</v>
      </c>
      <c r="AB908" s="79">
        <v>1</v>
      </c>
      <c r="AC908" s="77">
        <f t="shared" si="2835"/>
        <v>8.277777777777778E-3</v>
      </c>
      <c r="AD908" s="77">
        <f t="shared" ref="AD908" si="3012">1-(1-AC908)^(1/12)</f>
        <v>6.9244588451522482E-4</v>
      </c>
      <c r="AE908" s="77">
        <f t="shared" si="2837"/>
        <v>2.5000000000000001E-3</v>
      </c>
      <c r="AF908" s="77">
        <f t="shared" ref="AF908" si="3013">1-(1-AE908)^(1/12)</f>
        <v>2.0857243058891584E-4</v>
      </c>
      <c r="AH908" t="s">
        <v>175</v>
      </c>
      <c r="AI908" t="s">
        <v>179</v>
      </c>
      <c r="AJ908" s="197" t="str">
        <f t="shared" si="2824"/>
        <v>Lifecycle_Dynamic_179</v>
      </c>
      <c r="AK908">
        <v>179</v>
      </c>
      <c r="AL908">
        <f>VLOOKUP($U908,[2]Standard_Dynamic!$Q$1:$T$542,2,FALSE)</f>
        <v>0.88888888888888884</v>
      </c>
      <c r="AM908">
        <f>VLOOKUP($U908,[2]Standard_Dynamic!$Q$1:$T$542,3,FALSE)</f>
        <v>0.11111111111111116</v>
      </c>
      <c r="AN908">
        <f>VLOOKUP($U908,[2]Standard_Dynamic!$Q$1:$T$542,4,FALSE)</f>
        <v>0</v>
      </c>
      <c r="AO908" s="77">
        <f t="shared" si="2825"/>
        <v>1</v>
      </c>
      <c r="AP908" s="77">
        <f t="shared" si="2839"/>
        <v>6.3149999999999984E-2</v>
      </c>
      <c r="AQ908" s="77">
        <f t="shared" si="2826"/>
        <v>5.1160591879111372E-3</v>
      </c>
      <c r="AR908" s="79">
        <v>0</v>
      </c>
      <c r="AS908" s="77">
        <f t="shared" si="2840"/>
        <v>0</v>
      </c>
      <c r="AT908" s="77">
        <f t="shared" ref="AT908" si="3014">1-(1-AS908)^(1/12)</f>
        <v>0</v>
      </c>
      <c r="AU908" s="77">
        <f t="shared" si="2842"/>
        <v>2.5000000000000001E-3</v>
      </c>
      <c r="AV908" s="77">
        <f t="shared" ref="AV908" si="3015">1-(1-AU908)^(1/12)</f>
        <v>2.0857243058891584E-4</v>
      </c>
      <c r="AX908" t="s">
        <v>178</v>
      </c>
      <c r="AY908" t="s">
        <v>162</v>
      </c>
      <c r="AZ908" s="197" t="str">
        <f t="shared" si="2922"/>
        <v>DIS_Standard_179</v>
      </c>
      <c r="BA908">
        <v>179</v>
      </c>
      <c r="BB908">
        <f>VLOOKUP($BA908,'[2]Standard DIS'!$Q$1:$X$542,4,FALSE)</f>
        <v>0</v>
      </c>
      <c r="BF908">
        <f>VLOOKUP($BA908,'[2]Standard DIS'!$Q$1:$X$542,2,FALSE)</f>
        <v>0.88888888888888884</v>
      </c>
      <c r="BH908">
        <f>VLOOKUP($BA908,'[2]Standard DIS'!$Q$1:$X$542,3,FALSE)</f>
        <v>0.11111111111111116</v>
      </c>
      <c r="BI908" s="77">
        <f t="shared" si="2829"/>
        <v>1</v>
      </c>
      <c r="BJ908" s="77">
        <f t="shared" si="2830"/>
        <v>6.3149999999999984E-2</v>
      </c>
      <c r="BK908" s="77">
        <f t="shared" si="2923"/>
        <v>5.1160591879111372E-3</v>
      </c>
      <c r="BL908" s="79">
        <v>0</v>
      </c>
      <c r="BM908" s="77">
        <f t="shared" si="2844"/>
        <v>0</v>
      </c>
      <c r="BN908" s="77">
        <f t="shared" si="2845"/>
        <v>0</v>
      </c>
      <c r="BO908" s="77">
        <f t="shared" si="2846"/>
        <v>2.5000000000000001E-3</v>
      </c>
      <c r="BP908" s="77">
        <f t="shared" si="2847"/>
        <v>2.0809499864316017E-4</v>
      </c>
    </row>
    <row r="909" spans="1:68">
      <c r="A909" t="s">
        <v>175</v>
      </c>
      <c r="B909" t="s">
        <v>179</v>
      </c>
      <c r="C909" s="197" t="str">
        <f t="shared" si="2888"/>
        <v>Lifecycle_Dynamic_178</v>
      </c>
      <c r="D909">
        <v>178</v>
      </c>
      <c r="E909">
        <f>VLOOKUP($D909,'[2]LC Dynamic'!$Q$2:$U$542,2,FALSE)</f>
        <v>0</v>
      </c>
      <c r="F909">
        <f>VLOOKUP($D909,'[2]LC Dynamic'!$Q$2:$U$542,3,FALSE)</f>
        <v>0</v>
      </c>
      <c r="G909">
        <f>VLOOKUP($D909,'[2]LC Dynamic'!$Q$2:$U$542,4,FALSE)</f>
        <v>0.33033333333333331</v>
      </c>
      <c r="H909">
        <f>VLOOKUP($D909,'[2]LC Dynamic'!$Q$2:$U$542,5,FALSE)</f>
        <v>0.66966666666666663</v>
      </c>
      <c r="I909" s="77">
        <f t="shared" si="2820"/>
        <v>1</v>
      </c>
      <c r="J909" s="77">
        <f t="shared" si="2821"/>
        <v>6.9563791666666652E-2</v>
      </c>
      <c r="K909" s="77">
        <f t="shared" si="2895"/>
        <v>5.6199743043743311E-3</v>
      </c>
      <c r="L909" s="76">
        <v>0</v>
      </c>
      <c r="M909" s="77">
        <f t="shared" si="2831"/>
        <v>0</v>
      </c>
      <c r="N909" s="77">
        <f t="shared" si="2832"/>
        <v>0</v>
      </c>
      <c r="O909" s="77">
        <f t="shared" si="2833"/>
        <v>5.7267333333333326E-3</v>
      </c>
      <c r="P909" s="77">
        <f t="shared" si="2834"/>
        <v>4.784849849003292E-4</v>
      </c>
      <c r="R909" t="s">
        <v>177</v>
      </c>
      <c r="S909" t="s">
        <v>179</v>
      </c>
      <c r="T909" s="197" t="str">
        <f t="shared" si="2889"/>
        <v>Autopilot_Dynamic_178</v>
      </c>
      <c r="U909">
        <v>178</v>
      </c>
      <c r="V909">
        <f>VLOOKUP($U909,'[2]AP Dynamic'!$Q$1:$T$542,2,FALSE)</f>
        <v>0.88888888888888884</v>
      </c>
      <c r="W909">
        <f>VLOOKUP($U909,'[2]AP Dynamic'!$Q$1:$T$542,3,FALSE)</f>
        <v>0.11111111111111116</v>
      </c>
      <c r="X909">
        <f>VLOOKUP($U909,'[2]AP Dynamic'!$Q$1:$T$542,4,FALSE)</f>
        <v>0</v>
      </c>
      <c r="Y909" s="77">
        <f t="shared" si="2890"/>
        <v>1</v>
      </c>
      <c r="Z909" s="77">
        <f t="shared" si="2896"/>
        <v>6.3149999999999984E-2</v>
      </c>
      <c r="AA909" s="77">
        <f t="shared" si="2897"/>
        <v>5.1160591879111372E-3</v>
      </c>
      <c r="AB909" s="79">
        <v>1</v>
      </c>
      <c r="AC909" s="77">
        <f t="shared" si="2835"/>
        <v>8.277777777777778E-3</v>
      </c>
      <c r="AD909" s="77">
        <f t="shared" ref="AD909" si="3016">1-(1-AC909)^(1/12)</f>
        <v>6.9244588451522482E-4</v>
      </c>
      <c r="AE909" s="77">
        <f t="shared" si="2837"/>
        <v>2.5000000000000001E-3</v>
      </c>
      <c r="AF909" s="77">
        <f t="shared" ref="AF909" si="3017">1-(1-AE909)^(1/12)</f>
        <v>2.0857243058891584E-4</v>
      </c>
      <c r="AH909" t="s">
        <v>175</v>
      </c>
      <c r="AI909" t="s">
        <v>179</v>
      </c>
      <c r="AJ909" s="197" t="str">
        <f t="shared" si="2824"/>
        <v>Lifecycle_Dynamic_178</v>
      </c>
      <c r="AK909">
        <v>178</v>
      </c>
      <c r="AL909">
        <f>VLOOKUP($U909,[2]Standard_Dynamic!$Q$1:$T$542,2,FALSE)</f>
        <v>0.88888888888888884</v>
      </c>
      <c r="AM909">
        <f>VLOOKUP($U909,[2]Standard_Dynamic!$Q$1:$T$542,3,FALSE)</f>
        <v>0.11111111111111116</v>
      </c>
      <c r="AN909">
        <f>VLOOKUP($U909,[2]Standard_Dynamic!$Q$1:$T$542,4,FALSE)</f>
        <v>0</v>
      </c>
      <c r="AO909" s="77">
        <f t="shared" si="2825"/>
        <v>1</v>
      </c>
      <c r="AP909" s="77">
        <f t="shared" si="2839"/>
        <v>6.3149999999999984E-2</v>
      </c>
      <c r="AQ909" s="77">
        <f t="shared" si="2826"/>
        <v>5.1160591879111372E-3</v>
      </c>
      <c r="AR909" s="79">
        <v>0</v>
      </c>
      <c r="AS909" s="77">
        <f t="shared" si="2840"/>
        <v>0</v>
      </c>
      <c r="AT909" s="77">
        <f t="shared" ref="AT909" si="3018">1-(1-AS909)^(1/12)</f>
        <v>0</v>
      </c>
      <c r="AU909" s="77">
        <f t="shared" si="2842"/>
        <v>2.5000000000000001E-3</v>
      </c>
      <c r="AV909" s="77">
        <f t="shared" ref="AV909" si="3019">1-(1-AU909)^(1/12)</f>
        <v>2.0857243058891584E-4</v>
      </c>
      <c r="AX909" t="s">
        <v>178</v>
      </c>
      <c r="AY909" t="s">
        <v>162</v>
      </c>
      <c r="AZ909" s="197" t="str">
        <f t="shared" si="2922"/>
        <v>DIS_Standard_178</v>
      </c>
      <c r="BA909">
        <v>178</v>
      </c>
      <c r="BB909">
        <f>VLOOKUP($BA909,'[2]Standard DIS'!$Q$1:$X$542,4,FALSE)</f>
        <v>0</v>
      </c>
      <c r="BF909">
        <f>VLOOKUP($BA909,'[2]Standard DIS'!$Q$1:$X$542,2,FALSE)</f>
        <v>0.88888888888888884</v>
      </c>
      <c r="BH909">
        <f>VLOOKUP($BA909,'[2]Standard DIS'!$Q$1:$X$542,3,FALSE)</f>
        <v>0.11111111111111116</v>
      </c>
      <c r="BI909" s="77">
        <f t="shared" si="2829"/>
        <v>1</v>
      </c>
      <c r="BJ909" s="77">
        <f t="shared" si="2830"/>
        <v>6.3149999999999984E-2</v>
      </c>
      <c r="BK909" s="77">
        <f t="shared" si="2923"/>
        <v>5.1160591879111372E-3</v>
      </c>
      <c r="BL909" s="79">
        <v>0</v>
      </c>
      <c r="BM909" s="77">
        <f t="shared" si="2844"/>
        <v>0</v>
      </c>
      <c r="BN909" s="77">
        <f t="shared" si="2845"/>
        <v>0</v>
      </c>
      <c r="BO909" s="77">
        <f t="shared" si="2846"/>
        <v>2.5000000000000001E-3</v>
      </c>
      <c r="BP909" s="77">
        <f t="shared" si="2847"/>
        <v>2.0809499864316017E-4</v>
      </c>
    </row>
    <row r="910" spans="1:68">
      <c r="A910" t="s">
        <v>175</v>
      </c>
      <c r="B910" t="s">
        <v>179</v>
      </c>
      <c r="C910" s="197" t="str">
        <f t="shared" si="2888"/>
        <v>Lifecycle_Dynamic_177</v>
      </c>
      <c r="D910">
        <v>177</v>
      </c>
      <c r="E910">
        <f>VLOOKUP($D910,'[2]LC Dynamic'!$Q$2:$U$542,2,FALSE)</f>
        <v>0</v>
      </c>
      <c r="F910">
        <f>VLOOKUP($D910,'[2]LC Dynamic'!$Q$2:$U$542,3,FALSE)</f>
        <v>0</v>
      </c>
      <c r="G910">
        <f>VLOOKUP($D910,'[2]LC Dynamic'!$Q$2:$U$542,4,FALSE)</f>
        <v>0.34150000000000003</v>
      </c>
      <c r="H910">
        <f>VLOOKUP($D910,'[2]LC Dynamic'!$Q$2:$U$542,5,FALSE)</f>
        <v>0.65849999999999997</v>
      </c>
      <c r="I910" s="77">
        <f t="shared" si="2820"/>
        <v>1</v>
      </c>
      <c r="J910" s="77">
        <f t="shared" si="2821"/>
        <v>6.9481437499999993E-2</v>
      </c>
      <c r="K910" s="77">
        <f t="shared" si="2895"/>
        <v>5.6135215244010883E-3</v>
      </c>
      <c r="L910" s="76">
        <v>0</v>
      </c>
      <c r="M910" s="77">
        <f t="shared" si="2831"/>
        <v>0</v>
      </c>
      <c r="N910" s="77">
        <f t="shared" si="2832"/>
        <v>0</v>
      </c>
      <c r="O910" s="77">
        <f t="shared" si="2833"/>
        <v>5.7513E-3</v>
      </c>
      <c r="P910" s="77">
        <f t="shared" si="2834"/>
        <v>4.8054303664413212E-4</v>
      </c>
      <c r="R910" t="s">
        <v>177</v>
      </c>
      <c r="S910" t="s">
        <v>179</v>
      </c>
      <c r="T910" s="197" t="str">
        <f t="shared" si="2889"/>
        <v>Autopilot_Dynamic_177</v>
      </c>
      <c r="U910">
        <v>177</v>
      </c>
      <c r="V910">
        <f>VLOOKUP($U910,'[2]AP Dynamic'!$Q$1:$T$542,2,FALSE)</f>
        <v>0.88888888888888884</v>
      </c>
      <c r="W910">
        <f>VLOOKUP($U910,'[2]AP Dynamic'!$Q$1:$T$542,3,FALSE)</f>
        <v>0.11111111111111116</v>
      </c>
      <c r="X910">
        <f>VLOOKUP($U910,'[2]AP Dynamic'!$Q$1:$T$542,4,FALSE)</f>
        <v>0</v>
      </c>
      <c r="Y910" s="77">
        <f t="shared" si="2890"/>
        <v>1</v>
      </c>
      <c r="Z910" s="77">
        <f t="shared" si="2896"/>
        <v>6.3149999999999984E-2</v>
      </c>
      <c r="AA910" s="77">
        <f t="shared" si="2897"/>
        <v>5.1160591879111372E-3</v>
      </c>
      <c r="AB910" s="79">
        <v>1</v>
      </c>
      <c r="AC910" s="77">
        <f t="shared" si="2835"/>
        <v>8.277777777777778E-3</v>
      </c>
      <c r="AD910" s="77">
        <f t="shared" ref="AD910" si="3020">1-(1-AC910)^(1/12)</f>
        <v>6.9244588451522482E-4</v>
      </c>
      <c r="AE910" s="77">
        <f t="shared" si="2837"/>
        <v>2.5000000000000001E-3</v>
      </c>
      <c r="AF910" s="77">
        <f t="shared" ref="AF910" si="3021">1-(1-AE910)^(1/12)</f>
        <v>2.0857243058891584E-4</v>
      </c>
      <c r="AH910" t="s">
        <v>175</v>
      </c>
      <c r="AI910" t="s">
        <v>179</v>
      </c>
      <c r="AJ910" s="197" t="str">
        <f t="shared" si="2824"/>
        <v>Lifecycle_Dynamic_177</v>
      </c>
      <c r="AK910">
        <v>177</v>
      </c>
      <c r="AL910">
        <f>VLOOKUP($U910,[2]Standard_Dynamic!$Q$1:$T$542,2,FALSE)</f>
        <v>0.88888888888888884</v>
      </c>
      <c r="AM910">
        <f>VLOOKUP($U910,[2]Standard_Dynamic!$Q$1:$T$542,3,FALSE)</f>
        <v>0.11111111111111116</v>
      </c>
      <c r="AN910">
        <f>VLOOKUP($U910,[2]Standard_Dynamic!$Q$1:$T$542,4,FALSE)</f>
        <v>0</v>
      </c>
      <c r="AO910" s="77">
        <f t="shared" si="2825"/>
        <v>1</v>
      </c>
      <c r="AP910" s="77">
        <f t="shared" si="2839"/>
        <v>6.3149999999999984E-2</v>
      </c>
      <c r="AQ910" s="77">
        <f t="shared" si="2826"/>
        <v>5.1160591879111372E-3</v>
      </c>
      <c r="AR910" s="79">
        <v>0</v>
      </c>
      <c r="AS910" s="77">
        <f t="shared" si="2840"/>
        <v>0</v>
      </c>
      <c r="AT910" s="77">
        <f t="shared" ref="AT910" si="3022">1-(1-AS910)^(1/12)</f>
        <v>0</v>
      </c>
      <c r="AU910" s="77">
        <f t="shared" si="2842"/>
        <v>2.5000000000000001E-3</v>
      </c>
      <c r="AV910" s="77">
        <f t="shared" ref="AV910" si="3023">1-(1-AU910)^(1/12)</f>
        <v>2.0857243058891584E-4</v>
      </c>
      <c r="AX910" t="s">
        <v>178</v>
      </c>
      <c r="AY910" t="s">
        <v>162</v>
      </c>
      <c r="AZ910" s="197" t="str">
        <f t="shared" si="2922"/>
        <v>DIS_Standard_177</v>
      </c>
      <c r="BA910">
        <v>177</v>
      </c>
      <c r="BB910">
        <f>VLOOKUP($BA910,'[2]Standard DIS'!$Q$1:$X$542,4,FALSE)</f>
        <v>0</v>
      </c>
      <c r="BF910">
        <f>VLOOKUP($BA910,'[2]Standard DIS'!$Q$1:$X$542,2,FALSE)</f>
        <v>0.88888888888888884</v>
      </c>
      <c r="BH910">
        <f>VLOOKUP($BA910,'[2]Standard DIS'!$Q$1:$X$542,3,FALSE)</f>
        <v>0.11111111111111116</v>
      </c>
      <c r="BI910" s="77">
        <f t="shared" si="2829"/>
        <v>1</v>
      </c>
      <c r="BJ910" s="77">
        <f t="shared" si="2830"/>
        <v>6.3149999999999984E-2</v>
      </c>
      <c r="BK910" s="77">
        <f t="shared" si="2923"/>
        <v>5.1160591879111372E-3</v>
      </c>
      <c r="BL910" s="79">
        <v>0</v>
      </c>
      <c r="BM910" s="77">
        <f t="shared" si="2844"/>
        <v>0</v>
      </c>
      <c r="BN910" s="77">
        <f t="shared" si="2845"/>
        <v>0</v>
      </c>
      <c r="BO910" s="77">
        <f t="shared" si="2846"/>
        <v>2.5000000000000001E-3</v>
      </c>
      <c r="BP910" s="77">
        <f t="shared" si="2847"/>
        <v>2.0809499864316017E-4</v>
      </c>
    </row>
    <row r="911" spans="1:68">
      <c r="A911" t="s">
        <v>175</v>
      </c>
      <c r="B911" t="s">
        <v>179</v>
      </c>
      <c r="C911" s="197" t="str">
        <f t="shared" si="2888"/>
        <v>Lifecycle_Dynamic_176</v>
      </c>
      <c r="D911">
        <v>176</v>
      </c>
      <c r="E911">
        <f>VLOOKUP($D911,'[2]LC Dynamic'!$Q$2:$U$542,2,FALSE)</f>
        <v>0</v>
      </c>
      <c r="F911">
        <f>VLOOKUP($D911,'[2]LC Dynamic'!$Q$2:$U$542,3,FALSE)</f>
        <v>0</v>
      </c>
      <c r="G911">
        <f>VLOOKUP($D911,'[2]LC Dynamic'!$Q$2:$U$542,4,FALSE)</f>
        <v>0.35266666666666668</v>
      </c>
      <c r="H911">
        <f>VLOOKUP($D911,'[2]LC Dynamic'!$Q$2:$U$542,5,FALSE)</f>
        <v>0.64733333333333332</v>
      </c>
      <c r="I911" s="77">
        <f t="shared" si="2820"/>
        <v>1</v>
      </c>
      <c r="J911" s="77">
        <f t="shared" si="2821"/>
        <v>6.9399083333333333E-2</v>
      </c>
      <c r="K911" s="77">
        <f t="shared" si="2895"/>
        <v>5.6070682889302059E-3</v>
      </c>
      <c r="L911" s="76">
        <v>0</v>
      </c>
      <c r="M911" s="77">
        <f t="shared" si="2831"/>
        <v>0</v>
      </c>
      <c r="N911" s="77">
        <f t="shared" si="2832"/>
        <v>0</v>
      </c>
      <c r="O911" s="77">
        <f t="shared" si="2833"/>
        <v>5.7758666666666673E-3</v>
      </c>
      <c r="P911" s="77">
        <f t="shared" si="2834"/>
        <v>4.8260113500286916E-4</v>
      </c>
      <c r="R911" t="s">
        <v>177</v>
      </c>
      <c r="S911" t="s">
        <v>179</v>
      </c>
      <c r="T911" s="197" t="str">
        <f t="shared" si="2889"/>
        <v>Autopilot_Dynamic_176</v>
      </c>
      <c r="U911">
        <v>176</v>
      </c>
      <c r="V911">
        <f>VLOOKUP($U911,'[2]AP Dynamic'!$Q$1:$T$542,2,FALSE)</f>
        <v>0.88888888888888884</v>
      </c>
      <c r="W911">
        <f>VLOOKUP($U911,'[2]AP Dynamic'!$Q$1:$T$542,3,FALSE)</f>
        <v>0.11111111111111116</v>
      </c>
      <c r="X911">
        <f>VLOOKUP($U911,'[2]AP Dynamic'!$Q$1:$T$542,4,FALSE)</f>
        <v>0</v>
      </c>
      <c r="Y911" s="77">
        <f t="shared" si="2890"/>
        <v>1</v>
      </c>
      <c r="Z911" s="77">
        <f t="shared" si="2896"/>
        <v>6.3149999999999984E-2</v>
      </c>
      <c r="AA911" s="77">
        <f t="shared" si="2897"/>
        <v>5.1160591879111372E-3</v>
      </c>
      <c r="AB911" s="79">
        <v>1</v>
      </c>
      <c r="AC911" s="77">
        <f t="shared" si="2835"/>
        <v>8.277777777777778E-3</v>
      </c>
      <c r="AD911" s="77">
        <f t="shared" ref="AD911" si="3024">1-(1-AC911)^(1/12)</f>
        <v>6.9244588451522482E-4</v>
      </c>
      <c r="AE911" s="77">
        <f t="shared" si="2837"/>
        <v>2.5000000000000001E-3</v>
      </c>
      <c r="AF911" s="77">
        <f t="shared" ref="AF911" si="3025">1-(1-AE911)^(1/12)</f>
        <v>2.0857243058891584E-4</v>
      </c>
      <c r="AH911" t="s">
        <v>175</v>
      </c>
      <c r="AI911" t="s">
        <v>179</v>
      </c>
      <c r="AJ911" s="197" t="str">
        <f t="shared" si="2824"/>
        <v>Lifecycle_Dynamic_176</v>
      </c>
      <c r="AK911">
        <v>176</v>
      </c>
      <c r="AL911">
        <f>VLOOKUP($U911,[2]Standard_Dynamic!$Q$1:$T$542,2,FALSE)</f>
        <v>0.88888888888888884</v>
      </c>
      <c r="AM911">
        <f>VLOOKUP($U911,[2]Standard_Dynamic!$Q$1:$T$542,3,FALSE)</f>
        <v>0.11111111111111116</v>
      </c>
      <c r="AN911">
        <f>VLOOKUP($U911,[2]Standard_Dynamic!$Q$1:$T$542,4,FALSE)</f>
        <v>0</v>
      </c>
      <c r="AO911" s="77">
        <f t="shared" si="2825"/>
        <v>1</v>
      </c>
      <c r="AP911" s="77">
        <f t="shared" si="2839"/>
        <v>6.3149999999999984E-2</v>
      </c>
      <c r="AQ911" s="77">
        <f t="shared" si="2826"/>
        <v>5.1160591879111372E-3</v>
      </c>
      <c r="AR911" s="79">
        <v>0</v>
      </c>
      <c r="AS911" s="77">
        <f t="shared" si="2840"/>
        <v>0</v>
      </c>
      <c r="AT911" s="77">
        <f t="shared" ref="AT911" si="3026">1-(1-AS911)^(1/12)</f>
        <v>0</v>
      </c>
      <c r="AU911" s="77">
        <f t="shared" si="2842"/>
        <v>2.5000000000000001E-3</v>
      </c>
      <c r="AV911" s="77">
        <f t="shared" ref="AV911" si="3027">1-(1-AU911)^(1/12)</f>
        <v>2.0857243058891584E-4</v>
      </c>
      <c r="AX911" t="s">
        <v>178</v>
      </c>
      <c r="AY911" t="s">
        <v>162</v>
      </c>
      <c r="AZ911" s="197" t="str">
        <f t="shared" si="2922"/>
        <v>DIS_Standard_176</v>
      </c>
      <c r="BA911">
        <v>176</v>
      </c>
      <c r="BB911">
        <f>VLOOKUP($BA911,'[2]Standard DIS'!$Q$1:$X$542,4,FALSE)</f>
        <v>0</v>
      </c>
      <c r="BF911">
        <f>VLOOKUP($BA911,'[2]Standard DIS'!$Q$1:$X$542,2,FALSE)</f>
        <v>0.88888888888888884</v>
      </c>
      <c r="BH911">
        <f>VLOOKUP($BA911,'[2]Standard DIS'!$Q$1:$X$542,3,FALSE)</f>
        <v>0.11111111111111116</v>
      </c>
      <c r="BI911" s="77">
        <f t="shared" si="2829"/>
        <v>1</v>
      </c>
      <c r="BJ911" s="77">
        <f t="shared" si="2830"/>
        <v>6.3149999999999984E-2</v>
      </c>
      <c r="BK911" s="77">
        <f t="shared" si="2923"/>
        <v>5.1160591879111372E-3</v>
      </c>
      <c r="BL911" s="79">
        <v>0</v>
      </c>
      <c r="BM911" s="77">
        <f t="shared" si="2844"/>
        <v>0</v>
      </c>
      <c r="BN911" s="77">
        <f t="shared" si="2845"/>
        <v>0</v>
      </c>
      <c r="BO911" s="77">
        <f t="shared" si="2846"/>
        <v>2.5000000000000001E-3</v>
      </c>
      <c r="BP911" s="77">
        <f t="shared" si="2847"/>
        <v>2.0809499864316017E-4</v>
      </c>
    </row>
    <row r="912" spans="1:68">
      <c r="A912" t="s">
        <v>175</v>
      </c>
      <c r="B912" t="s">
        <v>179</v>
      </c>
      <c r="C912" s="197" t="str">
        <f t="shared" si="2888"/>
        <v>Lifecycle_Dynamic_175</v>
      </c>
      <c r="D912">
        <v>175</v>
      </c>
      <c r="E912">
        <f>VLOOKUP($D912,'[2]LC Dynamic'!$Q$2:$U$542,2,FALSE)</f>
        <v>0</v>
      </c>
      <c r="F912">
        <f>VLOOKUP($D912,'[2]LC Dynamic'!$Q$2:$U$542,3,FALSE)</f>
        <v>0</v>
      </c>
      <c r="G912">
        <f>VLOOKUP($D912,'[2]LC Dynamic'!$Q$2:$U$542,4,FALSE)</f>
        <v>0.36383333333333334</v>
      </c>
      <c r="H912">
        <f>VLOOKUP($D912,'[2]LC Dynamic'!$Q$2:$U$542,5,FALSE)</f>
        <v>0.63616666666666666</v>
      </c>
      <c r="I912" s="77">
        <f t="shared" si="2820"/>
        <v>1</v>
      </c>
      <c r="J912" s="77">
        <f t="shared" si="2821"/>
        <v>6.931672916666666E-2</v>
      </c>
      <c r="K912" s="77">
        <f t="shared" si="2895"/>
        <v>5.6006145978948485E-3</v>
      </c>
      <c r="L912" s="76">
        <v>0</v>
      </c>
      <c r="M912" s="77">
        <f t="shared" si="2831"/>
        <v>0</v>
      </c>
      <c r="N912" s="77">
        <f t="shared" si="2832"/>
        <v>0</v>
      </c>
      <c r="O912" s="77">
        <f t="shared" si="2833"/>
        <v>5.8004333333333338E-3</v>
      </c>
      <c r="P912" s="77">
        <f t="shared" si="2834"/>
        <v>4.8465927997853875E-4</v>
      </c>
      <c r="R912" t="s">
        <v>177</v>
      </c>
      <c r="S912" t="s">
        <v>179</v>
      </c>
      <c r="T912" s="197" t="str">
        <f t="shared" si="2889"/>
        <v>Autopilot_Dynamic_175</v>
      </c>
      <c r="U912">
        <v>175</v>
      </c>
      <c r="V912">
        <f>VLOOKUP($U912,'[2]AP Dynamic'!$Q$1:$T$542,2,FALSE)</f>
        <v>0.88888888888888884</v>
      </c>
      <c r="W912">
        <f>VLOOKUP($U912,'[2]AP Dynamic'!$Q$1:$T$542,3,FALSE)</f>
        <v>0.11111111111111116</v>
      </c>
      <c r="X912">
        <f>VLOOKUP($U912,'[2]AP Dynamic'!$Q$1:$T$542,4,FALSE)</f>
        <v>0</v>
      </c>
      <c r="Y912" s="77">
        <f t="shared" si="2890"/>
        <v>1</v>
      </c>
      <c r="Z912" s="77">
        <f t="shared" si="2896"/>
        <v>6.3149999999999984E-2</v>
      </c>
      <c r="AA912" s="77">
        <f t="shared" si="2897"/>
        <v>5.1160591879111372E-3</v>
      </c>
      <c r="AB912" s="79">
        <v>1</v>
      </c>
      <c r="AC912" s="77">
        <f t="shared" si="2835"/>
        <v>8.277777777777778E-3</v>
      </c>
      <c r="AD912" s="77">
        <f t="shared" ref="AD912" si="3028">1-(1-AC912)^(1/12)</f>
        <v>6.9244588451522482E-4</v>
      </c>
      <c r="AE912" s="77">
        <f t="shared" si="2837"/>
        <v>2.5000000000000001E-3</v>
      </c>
      <c r="AF912" s="77">
        <f t="shared" ref="AF912" si="3029">1-(1-AE912)^(1/12)</f>
        <v>2.0857243058891584E-4</v>
      </c>
      <c r="AH912" t="s">
        <v>175</v>
      </c>
      <c r="AI912" t="s">
        <v>179</v>
      </c>
      <c r="AJ912" s="197" t="str">
        <f t="shared" si="2824"/>
        <v>Lifecycle_Dynamic_175</v>
      </c>
      <c r="AK912">
        <v>175</v>
      </c>
      <c r="AL912">
        <f>VLOOKUP($U912,[2]Standard_Dynamic!$Q$1:$T$542,2,FALSE)</f>
        <v>0.88888888888888884</v>
      </c>
      <c r="AM912">
        <f>VLOOKUP($U912,[2]Standard_Dynamic!$Q$1:$T$542,3,FALSE)</f>
        <v>0.11111111111111116</v>
      </c>
      <c r="AN912">
        <f>VLOOKUP($U912,[2]Standard_Dynamic!$Q$1:$T$542,4,FALSE)</f>
        <v>0</v>
      </c>
      <c r="AO912" s="77">
        <f t="shared" si="2825"/>
        <v>1</v>
      </c>
      <c r="AP912" s="77">
        <f t="shared" si="2839"/>
        <v>6.3149999999999984E-2</v>
      </c>
      <c r="AQ912" s="77">
        <f t="shared" si="2826"/>
        <v>5.1160591879111372E-3</v>
      </c>
      <c r="AR912" s="79">
        <v>0</v>
      </c>
      <c r="AS912" s="77">
        <f t="shared" si="2840"/>
        <v>0</v>
      </c>
      <c r="AT912" s="77">
        <f t="shared" ref="AT912" si="3030">1-(1-AS912)^(1/12)</f>
        <v>0</v>
      </c>
      <c r="AU912" s="77">
        <f t="shared" si="2842"/>
        <v>2.5000000000000001E-3</v>
      </c>
      <c r="AV912" s="77">
        <f t="shared" ref="AV912" si="3031">1-(1-AU912)^(1/12)</f>
        <v>2.0857243058891584E-4</v>
      </c>
      <c r="AX912" t="s">
        <v>178</v>
      </c>
      <c r="AY912" t="s">
        <v>162</v>
      </c>
      <c r="AZ912" s="197" t="str">
        <f t="shared" si="2922"/>
        <v>DIS_Standard_175</v>
      </c>
      <c r="BA912">
        <v>175</v>
      </c>
      <c r="BB912">
        <f>VLOOKUP($BA912,'[2]Standard DIS'!$Q$1:$X$542,4,FALSE)</f>
        <v>0</v>
      </c>
      <c r="BF912">
        <f>VLOOKUP($BA912,'[2]Standard DIS'!$Q$1:$X$542,2,FALSE)</f>
        <v>0.88888888888888884</v>
      </c>
      <c r="BH912">
        <f>VLOOKUP($BA912,'[2]Standard DIS'!$Q$1:$X$542,3,FALSE)</f>
        <v>0.11111111111111116</v>
      </c>
      <c r="BI912" s="77">
        <f t="shared" si="2829"/>
        <v>1</v>
      </c>
      <c r="BJ912" s="77">
        <f t="shared" si="2830"/>
        <v>6.3149999999999984E-2</v>
      </c>
      <c r="BK912" s="77">
        <f t="shared" si="2923"/>
        <v>5.1160591879111372E-3</v>
      </c>
      <c r="BL912" s="79">
        <v>0</v>
      </c>
      <c r="BM912" s="77">
        <f t="shared" si="2844"/>
        <v>0</v>
      </c>
      <c r="BN912" s="77">
        <f t="shared" si="2845"/>
        <v>0</v>
      </c>
      <c r="BO912" s="77">
        <f t="shared" si="2846"/>
        <v>2.5000000000000001E-3</v>
      </c>
      <c r="BP912" s="77">
        <f t="shared" si="2847"/>
        <v>2.0809499864316017E-4</v>
      </c>
    </row>
    <row r="913" spans="1:68">
      <c r="A913" t="s">
        <v>175</v>
      </c>
      <c r="B913" t="s">
        <v>179</v>
      </c>
      <c r="C913" s="197" t="str">
        <f t="shared" si="2888"/>
        <v>Lifecycle_Dynamic_174</v>
      </c>
      <c r="D913">
        <v>174</v>
      </c>
      <c r="E913">
        <f>VLOOKUP($D913,'[2]LC Dynamic'!$Q$2:$U$542,2,FALSE)</f>
        <v>0</v>
      </c>
      <c r="F913">
        <f>VLOOKUP($D913,'[2]LC Dynamic'!$Q$2:$U$542,3,FALSE)</f>
        <v>0</v>
      </c>
      <c r="G913">
        <f>VLOOKUP($D913,'[2]LC Dynamic'!$Q$2:$U$542,4,FALSE)</f>
        <v>0.375</v>
      </c>
      <c r="H913">
        <f>VLOOKUP($D913,'[2]LC Dynamic'!$Q$2:$U$542,5,FALSE)</f>
        <v>0.625</v>
      </c>
      <c r="I913" s="77">
        <f t="shared" si="2820"/>
        <v>1</v>
      </c>
      <c r="J913" s="77">
        <f t="shared" si="2821"/>
        <v>6.9234374999999987E-2</v>
      </c>
      <c r="K913" s="77">
        <f t="shared" si="2895"/>
        <v>5.5941604512272924E-3</v>
      </c>
      <c r="L913" s="76">
        <v>0</v>
      </c>
      <c r="M913" s="77">
        <f t="shared" si="2831"/>
        <v>0</v>
      </c>
      <c r="N913" s="77">
        <f t="shared" si="2832"/>
        <v>0</v>
      </c>
      <c r="O913" s="77">
        <f t="shared" si="2833"/>
        <v>5.8250000000000003E-3</v>
      </c>
      <c r="P913" s="77">
        <f t="shared" si="2834"/>
        <v>4.8671747157336132E-4</v>
      </c>
      <c r="R913" t="s">
        <v>177</v>
      </c>
      <c r="S913" t="s">
        <v>179</v>
      </c>
      <c r="T913" s="197" t="str">
        <f t="shared" si="2889"/>
        <v>Autopilot_Dynamic_174</v>
      </c>
      <c r="U913">
        <v>174</v>
      </c>
      <c r="V913">
        <f>VLOOKUP($U913,'[2]AP Dynamic'!$Q$1:$T$542,2,FALSE)</f>
        <v>0.88888888888888884</v>
      </c>
      <c r="W913">
        <f>VLOOKUP($U913,'[2]AP Dynamic'!$Q$1:$T$542,3,FALSE)</f>
        <v>0.11111111111111116</v>
      </c>
      <c r="X913">
        <f>VLOOKUP($U913,'[2]AP Dynamic'!$Q$1:$T$542,4,FALSE)</f>
        <v>0</v>
      </c>
      <c r="Y913" s="77">
        <f t="shared" si="2890"/>
        <v>1</v>
      </c>
      <c r="Z913" s="77">
        <f t="shared" si="2896"/>
        <v>6.3149999999999984E-2</v>
      </c>
      <c r="AA913" s="77">
        <f t="shared" si="2897"/>
        <v>5.1160591879111372E-3</v>
      </c>
      <c r="AB913" s="79">
        <v>1</v>
      </c>
      <c r="AC913" s="77">
        <f t="shared" si="2835"/>
        <v>8.277777777777778E-3</v>
      </c>
      <c r="AD913" s="77">
        <f t="shared" ref="AD913" si="3032">1-(1-AC913)^(1/12)</f>
        <v>6.9244588451522482E-4</v>
      </c>
      <c r="AE913" s="77">
        <f t="shared" si="2837"/>
        <v>2.5000000000000001E-3</v>
      </c>
      <c r="AF913" s="77">
        <f t="shared" ref="AF913" si="3033">1-(1-AE913)^(1/12)</f>
        <v>2.0857243058891584E-4</v>
      </c>
      <c r="AH913" t="s">
        <v>175</v>
      </c>
      <c r="AI913" t="s">
        <v>179</v>
      </c>
      <c r="AJ913" s="197" t="str">
        <f t="shared" si="2824"/>
        <v>Lifecycle_Dynamic_174</v>
      </c>
      <c r="AK913">
        <v>174</v>
      </c>
      <c r="AL913">
        <f>VLOOKUP($U913,[2]Standard_Dynamic!$Q$1:$T$542,2,FALSE)</f>
        <v>0.88888888888888884</v>
      </c>
      <c r="AM913">
        <f>VLOOKUP($U913,[2]Standard_Dynamic!$Q$1:$T$542,3,FALSE)</f>
        <v>0.11111111111111116</v>
      </c>
      <c r="AN913">
        <f>VLOOKUP($U913,[2]Standard_Dynamic!$Q$1:$T$542,4,FALSE)</f>
        <v>0</v>
      </c>
      <c r="AO913" s="77">
        <f t="shared" si="2825"/>
        <v>1</v>
      </c>
      <c r="AP913" s="77">
        <f t="shared" si="2839"/>
        <v>6.3149999999999984E-2</v>
      </c>
      <c r="AQ913" s="77">
        <f t="shared" si="2826"/>
        <v>5.1160591879111372E-3</v>
      </c>
      <c r="AR913" s="79">
        <v>0</v>
      </c>
      <c r="AS913" s="77">
        <f t="shared" si="2840"/>
        <v>0</v>
      </c>
      <c r="AT913" s="77">
        <f t="shared" ref="AT913" si="3034">1-(1-AS913)^(1/12)</f>
        <v>0</v>
      </c>
      <c r="AU913" s="77">
        <f t="shared" si="2842"/>
        <v>2.5000000000000001E-3</v>
      </c>
      <c r="AV913" s="77">
        <f t="shared" ref="AV913" si="3035">1-(1-AU913)^(1/12)</f>
        <v>2.0857243058891584E-4</v>
      </c>
      <c r="AX913" t="s">
        <v>178</v>
      </c>
      <c r="AY913" t="s">
        <v>162</v>
      </c>
      <c r="AZ913" s="197" t="str">
        <f t="shared" si="2922"/>
        <v>DIS_Standard_174</v>
      </c>
      <c r="BA913">
        <v>174</v>
      </c>
      <c r="BB913">
        <f>VLOOKUP($BA913,'[2]Standard DIS'!$Q$1:$X$542,4,FALSE)</f>
        <v>0</v>
      </c>
      <c r="BF913">
        <f>VLOOKUP($BA913,'[2]Standard DIS'!$Q$1:$X$542,2,FALSE)</f>
        <v>0.88888888888888884</v>
      </c>
      <c r="BH913">
        <f>VLOOKUP($BA913,'[2]Standard DIS'!$Q$1:$X$542,3,FALSE)</f>
        <v>0.11111111111111116</v>
      </c>
      <c r="BI913" s="77">
        <f t="shared" si="2829"/>
        <v>1</v>
      </c>
      <c r="BJ913" s="77">
        <f t="shared" si="2830"/>
        <v>6.3149999999999984E-2</v>
      </c>
      <c r="BK913" s="77">
        <f t="shared" si="2923"/>
        <v>5.1160591879111372E-3</v>
      </c>
      <c r="BL913" s="79">
        <v>0</v>
      </c>
      <c r="BM913" s="77">
        <f t="shared" si="2844"/>
        <v>0</v>
      </c>
      <c r="BN913" s="77">
        <f t="shared" si="2845"/>
        <v>0</v>
      </c>
      <c r="BO913" s="77">
        <f t="shared" si="2846"/>
        <v>2.5000000000000001E-3</v>
      </c>
      <c r="BP913" s="77">
        <f t="shared" si="2847"/>
        <v>2.0809499864316017E-4</v>
      </c>
    </row>
    <row r="914" spans="1:68">
      <c r="A914" t="s">
        <v>175</v>
      </c>
      <c r="B914" t="s">
        <v>179</v>
      </c>
      <c r="C914" s="197" t="str">
        <f t="shared" si="2888"/>
        <v>Lifecycle_Dynamic_173</v>
      </c>
      <c r="D914">
        <v>173</v>
      </c>
      <c r="E914">
        <f>VLOOKUP($D914,'[2]LC Dynamic'!$Q$2:$U$542,2,FALSE)</f>
        <v>0</v>
      </c>
      <c r="F914">
        <f>VLOOKUP($D914,'[2]LC Dynamic'!$Q$2:$U$542,3,FALSE)</f>
        <v>0</v>
      </c>
      <c r="G914">
        <f>VLOOKUP($D914,'[2]LC Dynamic'!$Q$2:$U$542,4,FALSE)</f>
        <v>0.38616666666666666</v>
      </c>
      <c r="H914">
        <f>VLOOKUP($D914,'[2]LC Dynamic'!$Q$2:$U$542,5,FALSE)</f>
        <v>0.61383333333333334</v>
      </c>
      <c r="I914" s="77">
        <f t="shared" si="2820"/>
        <v>1</v>
      </c>
      <c r="J914" s="77">
        <f t="shared" si="2821"/>
        <v>6.9152020833333327E-2</v>
      </c>
      <c r="K914" s="77">
        <f t="shared" si="2895"/>
        <v>5.5877058488607023E-3</v>
      </c>
      <c r="L914" s="76">
        <v>0</v>
      </c>
      <c r="M914" s="77">
        <f t="shared" si="2831"/>
        <v>0</v>
      </c>
      <c r="N914" s="77">
        <f t="shared" si="2832"/>
        <v>0</v>
      </c>
      <c r="O914" s="77">
        <f t="shared" si="2833"/>
        <v>5.8495666666666668E-3</v>
      </c>
      <c r="P914" s="77">
        <f t="shared" si="2834"/>
        <v>4.8877570978966833E-4</v>
      </c>
      <c r="R914" t="s">
        <v>177</v>
      </c>
      <c r="S914" t="s">
        <v>179</v>
      </c>
      <c r="T914" s="197" t="str">
        <f t="shared" si="2889"/>
        <v>Autopilot_Dynamic_173</v>
      </c>
      <c r="U914">
        <v>173</v>
      </c>
      <c r="V914">
        <f>VLOOKUP($U914,'[2]AP Dynamic'!$Q$1:$T$542,2,FALSE)</f>
        <v>0.88888888888888884</v>
      </c>
      <c r="W914">
        <f>VLOOKUP($U914,'[2]AP Dynamic'!$Q$1:$T$542,3,FALSE)</f>
        <v>0.11111111111111116</v>
      </c>
      <c r="X914">
        <f>VLOOKUP($U914,'[2]AP Dynamic'!$Q$1:$T$542,4,FALSE)</f>
        <v>0</v>
      </c>
      <c r="Y914" s="77">
        <f t="shared" si="2890"/>
        <v>1</v>
      </c>
      <c r="Z914" s="77">
        <f t="shared" si="2896"/>
        <v>6.3149999999999984E-2</v>
      </c>
      <c r="AA914" s="77">
        <f t="shared" si="2897"/>
        <v>5.1160591879111372E-3</v>
      </c>
      <c r="AB914" s="79">
        <v>1</v>
      </c>
      <c r="AC914" s="77">
        <f t="shared" si="2835"/>
        <v>8.277777777777778E-3</v>
      </c>
      <c r="AD914" s="77">
        <f t="shared" ref="AD914" si="3036">1-(1-AC914)^(1/12)</f>
        <v>6.9244588451522482E-4</v>
      </c>
      <c r="AE914" s="77">
        <f t="shared" si="2837"/>
        <v>2.5000000000000001E-3</v>
      </c>
      <c r="AF914" s="77">
        <f t="shared" ref="AF914" si="3037">1-(1-AE914)^(1/12)</f>
        <v>2.0857243058891584E-4</v>
      </c>
      <c r="AH914" t="s">
        <v>175</v>
      </c>
      <c r="AI914" t="s">
        <v>179</v>
      </c>
      <c r="AJ914" s="197" t="str">
        <f t="shared" si="2824"/>
        <v>Lifecycle_Dynamic_173</v>
      </c>
      <c r="AK914">
        <v>173</v>
      </c>
      <c r="AL914">
        <f>VLOOKUP($U914,[2]Standard_Dynamic!$Q$1:$T$542,2,FALSE)</f>
        <v>0.88888888888888884</v>
      </c>
      <c r="AM914">
        <f>VLOOKUP($U914,[2]Standard_Dynamic!$Q$1:$T$542,3,FALSE)</f>
        <v>0.11111111111111116</v>
      </c>
      <c r="AN914">
        <f>VLOOKUP($U914,[2]Standard_Dynamic!$Q$1:$T$542,4,FALSE)</f>
        <v>0</v>
      </c>
      <c r="AO914" s="77">
        <f t="shared" si="2825"/>
        <v>1</v>
      </c>
      <c r="AP914" s="77">
        <f t="shared" si="2839"/>
        <v>6.3149999999999984E-2</v>
      </c>
      <c r="AQ914" s="77">
        <f t="shared" si="2826"/>
        <v>5.1160591879111372E-3</v>
      </c>
      <c r="AR914" s="79">
        <v>0</v>
      </c>
      <c r="AS914" s="77">
        <f t="shared" si="2840"/>
        <v>0</v>
      </c>
      <c r="AT914" s="77">
        <f t="shared" ref="AT914" si="3038">1-(1-AS914)^(1/12)</f>
        <v>0</v>
      </c>
      <c r="AU914" s="77">
        <f t="shared" si="2842"/>
        <v>2.5000000000000001E-3</v>
      </c>
      <c r="AV914" s="77">
        <f t="shared" ref="AV914" si="3039">1-(1-AU914)^(1/12)</f>
        <v>2.0857243058891584E-4</v>
      </c>
      <c r="AX914" t="s">
        <v>178</v>
      </c>
      <c r="AY914" t="s">
        <v>162</v>
      </c>
      <c r="AZ914" s="197" t="str">
        <f t="shared" si="2922"/>
        <v>DIS_Standard_173</v>
      </c>
      <c r="BA914">
        <v>173</v>
      </c>
      <c r="BB914">
        <f>VLOOKUP($BA914,'[2]Standard DIS'!$Q$1:$X$542,4,FALSE)</f>
        <v>0</v>
      </c>
      <c r="BF914">
        <f>VLOOKUP($BA914,'[2]Standard DIS'!$Q$1:$X$542,2,FALSE)</f>
        <v>0.88888888888888884</v>
      </c>
      <c r="BH914">
        <f>VLOOKUP($BA914,'[2]Standard DIS'!$Q$1:$X$542,3,FALSE)</f>
        <v>0.11111111111111116</v>
      </c>
      <c r="BI914" s="77">
        <f t="shared" si="2829"/>
        <v>1</v>
      </c>
      <c r="BJ914" s="77">
        <f t="shared" si="2830"/>
        <v>6.3149999999999984E-2</v>
      </c>
      <c r="BK914" s="77">
        <f t="shared" si="2923"/>
        <v>5.1160591879111372E-3</v>
      </c>
      <c r="BL914" s="79">
        <v>0</v>
      </c>
      <c r="BM914" s="77">
        <f t="shared" si="2844"/>
        <v>0</v>
      </c>
      <c r="BN914" s="77">
        <f t="shared" si="2845"/>
        <v>0</v>
      </c>
      <c r="BO914" s="77">
        <f t="shared" si="2846"/>
        <v>2.5000000000000001E-3</v>
      </c>
      <c r="BP914" s="77">
        <f t="shared" si="2847"/>
        <v>2.0809499864316017E-4</v>
      </c>
    </row>
    <row r="915" spans="1:68">
      <c r="A915" t="s">
        <v>175</v>
      </c>
      <c r="B915" t="s">
        <v>179</v>
      </c>
      <c r="C915" s="197" t="str">
        <f t="shared" si="2888"/>
        <v>Lifecycle_Dynamic_172</v>
      </c>
      <c r="D915">
        <v>172</v>
      </c>
      <c r="E915">
        <f>VLOOKUP($D915,'[2]LC Dynamic'!$Q$2:$U$542,2,FALSE)</f>
        <v>0</v>
      </c>
      <c r="F915">
        <f>VLOOKUP($D915,'[2]LC Dynamic'!$Q$2:$U$542,3,FALSE)</f>
        <v>0</v>
      </c>
      <c r="G915">
        <f>VLOOKUP($D915,'[2]LC Dynamic'!$Q$2:$U$542,4,FALSE)</f>
        <v>0.39733333333333332</v>
      </c>
      <c r="H915">
        <f>VLOOKUP($D915,'[2]LC Dynamic'!$Q$2:$U$542,5,FALSE)</f>
        <v>0.60266666666666668</v>
      </c>
      <c r="I915" s="77">
        <f t="shared" si="2820"/>
        <v>1</v>
      </c>
      <c r="J915" s="77">
        <f t="shared" si="2821"/>
        <v>6.9069666666666668E-2</v>
      </c>
      <c r="K915" s="77">
        <f t="shared" si="2895"/>
        <v>5.5812507907275766E-3</v>
      </c>
      <c r="L915" s="76">
        <v>0</v>
      </c>
      <c r="M915" s="77">
        <f t="shared" si="2831"/>
        <v>0</v>
      </c>
      <c r="N915" s="77">
        <f t="shared" si="2832"/>
        <v>0</v>
      </c>
      <c r="O915" s="77">
        <f t="shared" si="2833"/>
        <v>5.8741333333333333E-3</v>
      </c>
      <c r="P915" s="77">
        <f t="shared" si="2834"/>
        <v>4.9083399462956923E-4</v>
      </c>
      <c r="R915" t="s">
        <v>177</v>
      </c>
      <c r="S915" t="s">
        <v>179</v>
      </c>
      <c r="T915" s="197" t="str">
        <f t="shared" si="2889"/>
        <v>Autopilot_Dynamic_172</v>
      </c>
      <c r="U915">
        <v>172</v>
      </c>
      <c r="V915">
        <f>VLOOKUP($U915,'[2]AP Dynamic'!$Q$1:$T$542,2,FALSE)</f>
        <v>0.88888888888888884</v>
      </c>
      <c r="W915">
        <f>VLOOKUP($U915,'[2]AP Dynamic'!$Q$1:$T$542,3,FALSE)</f>
        <v>0.11111111111111116</v>
      </c>
      <c r="X915">
        <f>VLOOKUP($U915,'[2]AP Dynamic'!$Q$1:$T$542,4,FALSE)</f>
        <v>0</v>
      </c>
      <c r="Y915" s="77">
        <f t="shared" si="2890"/>
        <v>1</v>
      </c>
      <c r="Z915" s="77">
        <f t="shared" si="2896"/>
        <v>6.3149999999999984E-2</v>
      </c>
      <c r="AA915" s="77">
        <f t="shared" si="2897"/>
        <v>5.1160591879111372E-3</v>
      </c>
      <c r="AB915" s="79">
        <v>1</v>
      </c>
      <c r="AC915" s="77">
        <f t="shared" si="2835"/>
        <v>8.277777777777778E-3</v>
      </c>
      <c r="AD915" s="77">
        <f t="shared" ref="AD915" si="3040">1-(1-AC915)^(1/12)</f>
        <v>6.9244588451522482E-4</v>
      </c>
      <c r="AE915" s="77">
        <f t="shared" si="2837"/>
        <v>2.5000000000000001E-3</v>
      </c>
      <c r="AF915" s="77">
        <f t="shared" ref="AF915" si="3041">1-(1-AE915)^(1/12)</f>
        <v>2.0857243058891584E-4</v>
      </c>
      <c r="AH915" t="s">
        <v>175</v>
      </c>
      <c r="AI915" t="s">
        <v>179</v>
      </c>
      <c r="AJ915" s="197" t="str">
        <f t="shared" si="2824"/>
        <v>Lifecycle_Dynamic_172</v>
      </c>
      <c r="AK915">
        <v>172</v>
      </c>
      <c r="AL915">
        <f>VLOOKUP($U915,[2]Standard_Dynamic!$Q$1:$T$542,2,FALSE)</f>
        <v>0.88888888888888884</v>
      </c>
      <c r="AM915">
        <f>VLOOKUP($U915,[2]Standard_Dynamic!$Q$1:$T$542,3,FALSE)</f>
        <v>0.11111111111111116</v>
      </c>
      <c r="AN915">
        <f>VLOOKUP($U915,[2]Standard_Dynamic!$Q$1:$T$542,4,FALSE)</f>
        <v>0</v>
      </c>
      <c r="AO915" s="77">
        <f t="shared" si="2825"/>
        <v>1</v>
      </c>
      <c r="AP915" s="77">
        <f t="shared" si="2839"/>
        <v>6.3149999999999984E-2</v>
      </c>
      <c r="AQ915" s="77">
        <f t="shared" si="2826"/>
        <v>5.1160591879111372E-3</v>
      </c>
      <c r="AR915" s="79">
        <v>0</v>
      </c>
      <c r="AS915" s="77">
        <f t="shared" si="2840"/>
        <v>0</v>
      </c>
      <c r="AT915" s="77">
        <f t="shared" ref="AT915" si="3042">1-(1-AS915)^(1/12)</f>
        <v>0</v>
      </c>
      <c r="AU915" s="77">
        <f t="shared" si="2842"/>
        <v>2.5000000000000001E-3</v>
      </c>
      <c r="AV915" s="77">
        <f t="shared" ref="AV915" si="3043">1-(1-AU915)^(1/12)</f>
        <v>2.0857243058891584E-4</v>
      </c>
      <c r="AX915" t="s">
        <v>178</v>
      </c>
      <c r="AY915" t="s">
        <v>162</v>
      </c>
      <c r="AZ915" s="197" t="str">
        <f t="shared" si="2922"/>
        <v>DIS_Standard_172</v>
      </c>
      <c r="BA915">
        <v>172</v>
      </c>
      <c r="BB915">
        <f>VLOOKUP($BA915,'[2]Standard DIS'!$Q$1:$X$542,4,FALSE)</f>
        <v>0</v>
      </c>
      <c r="BF915">
        <f>VLOOKUP($BA915,'[2]Standard DIS'!$Q$1:$X$542,2,FALSE)</f>
        <v>0.88888888888888884</v>
      </c>
      <c r="BH915">
        <f>VLOOKUP($BA915,'[2]Standard DIS'!$Q$1:$X$542,3,FALSE)</f>
        <v>0.11111111111111116</v>
      </c>
      <c r="BI915" s="77">
        <f t="shared" si="2829"/>
        <v>1</v>
      </c>
      <c r="BJ915" s="77">
        <f t="shared" si="2830"/>
        <v>6.3149999999999984E-2</v>
      </c>
      <c r="BK915" s="77">
        <f t="shared" si="2923"/>
        <v>5.1160591879111372E-3</v>
      </c>
      <c r="BL915" s="79">
        <v>0</v>
      </c>
      <c r="BM915" s="77">
        <f t="shared" si="2844"/>
        <v>0</v>
      </c>
      <c r="BN915" s="77">
        <f t="shared" si="2845"/>
        <v>0</v>
      </c>
      <c r="BO915" s="77">
        <f t="shared" si="2846"/>
        <v>2.5000000000000001E-3</v>
      </c>
      <c r="BP915" s="77">
        <f t="shared" si="2847"/>
        <v>2.0809499864316017E-4</v>
      </c>
    </row>
    <row r="916" spans="1:68">
      <c r="A916" t="s">
        <v>175</v>
      </c>
      <c r="B916" t="s">
        <v>179</v>
      </c>
      <c r="C916" s="197" t="str">
        <f t="shared" si="2888"/>
        <v>Lifecycle_Dynamic_171</v>
      </c>
      <c r="D916">
        <v>171</v>
      </c>
      <c r="E916">
        <f>VLOOKUP($D916,'[2]LC Dynamic'!$Q$2:$U$542,2,FALSE)</f>
        <v>0</v>
      </c>
      <c r="F916">
        <f>VLOOKUP($D916,'[2]LC Dynamic'!$Q$2:$U$542,3,FALSE)</f>
        <v>0</v>
      </c>
      <c r="G916">
        <f>VLOOKUP($D916,'[2]LC Dynamic'!$Q$2:$U$542,4,FALSE)</f>
        <v>0.40849999999999997</v>
      </c>
      <c r="H916">
        <f>VLOOKUP($D916,'[2]LC Dynamic'!$Q$2:$U$542,5,FALSE)</f>
        <v>0.59150000000000003</v>
      </c>
      <c r="I916" s="77">
        <f t="shared" si="2820"/>
        <v>1</v>
      </c>
      <c r="J916" s="77">
        <f t="shared" si="2821"/>
        <v>6.8987312499999995E-2</v>
      </c>
      <c r="K916" s="77">
        <f t="shared" si="2895"/>
        <v>5.5747952767606357E-3</v>
      </c>
      <c r="L916" s="76">
        <v>0</v>
      </c>
      <c r="M916" s="77">
        <f t="shared" si="2831"/>
        <v>0</v>
      </c>
      <c r="N916" s="77">
        <f t="shared" si="2832"/>
        <v>0</v>
      </c>
      <c r="O916" s="77">
        <f t="shared" si="2833"/>
        <v>5.8986999999999998E-3</v>
      </c>
      <c r="P916" s="77">
        <f t="shared" si="2834"/>
        <v>4.9289232609539546E-4</v>
      </c>
      <c r="R916" t="s">
        <v>177</v>
      </c>
      <c r="S916" t="s">
        <v>179</v>
      </c>
      <c r="T916" s="197" t="str">
        <f t="shared" si="2889"/>
        <v>Autopilot_Dynamic_171</v>
      </c>
      <c r="U916">
        <v>171</v>
      </c>
      <c r="V916">
        <f>VLOOKUP($U916,'[2]AP Dynamic'!$Q$1:$T$542,2,FALSE)</f>
        <v>0.88888888888888884</v>
      </c>
      <c r="W916">
        <f>VLOOKUP($U916,'[2]AP Dynamic'!$Q$1:$T$542,3,FALSE)</f>
        <v>0.11111111111111116</v>
      </c>
      <c r="X916">
        <f>VLOOKUP($U916,'[2]AP Dynamic'!$Q$1:$T$542,4,FALSE)</f>
        <v>0</v>
      </c>
      <c r="Y916" s="77">
        <f t="shared" si="2890"/>
        <v>1</v>
      </c>
      <c r="Z916" s="77">
        <f t="shared" si="2896"/>
        <v>6.3149999999999984E-2</v>
      </c>
      <c r="AA916" s="77">
        <f t="shared" si="2897"/>
        <v>5.1160591879111372E-3</v>
      </c>
      <c r="AB916" s="79">
        <v>1</v>
      </c>
      <c r="AC916" s="77">
        <f t="shared" si="2835"/>
        <v>8.277777777777778E-3</v>
      </c>
      <c r="AD916" s="77">
        <f t="shared" ref="AD916" si="3044">1-(1-AC916)^(1/12)</f>
        <v>6.9244588451522482E-4</v>
      </c>
      <c r="AE916" s="77">
        <f t="shared" si="2837"/>
        <v>2.5000000000000001E-3</v>
      </c>
      <c r="AF916" s="77">
        <f t="shared" ref="AF916" si="3045">1-(1-AE916)^(1/12)</f>
        <v>2.0857243058891584E-4</v>
      </c>
      <c r="AH916" t="s">
        <v>175</v>
      </c>
      <c r="AI916" t="s">
        <v>179</v>
      </c>
      <c r="AJ916" s="197" t="str">
        <f t="shared" si="2824"/>
        <v>Lifecycle_Dynamic_171</v>
      </c>
      <c r="AK916">
        <v>171</v>
      </c>
      <c r="AL916">
        <f>VLOOKUP($U916,[2]Standard_Dynamic!$Q$1:$T$542,2,FALSE)</f>
        <v>0.88888888888888884</v>
      </c>
      <c r="AM916">
        <f>VLOOKUP($U916,[2]Standard_Dynamic!$Q$1:$T$542,3,FALSE)</f>
        <v>0.11111111111111116</v>
      </c>
      <c r="AN916">
        <f>VLOOKUP($U916,[2]Standard_Dynamic!$Q$1:$T$542,4,FALSE)</f>
        <v>0</v>
      </c>
      <c r="AO916" s="77">
        <f t="shared" si="2825"/>
        <v>1</v>
      </c>
      <c r="AP916" s="77">
        <f t="shared" si="2839"/>
        <v>6.3149999999999984E-2</v>
      </c>
      <c r="AQ916" s="77">
        <f t="shared" si="2826"/>
        <v>5.1160591879111372E-3</v>
      </c>
      <c r="AR916" s="79">
        <v>0</v>
      </c>
      <c r="AS916" s="77">
        <f t="shared" si="2840"/>
        <v>0</v>
      </c>
      <c r="AT916" s="77">
        <f t="shared" ref="AT916" si="3046">1-(1-AS916)^(1/12)</f>
        <v>0</v>
      </c>
      <c r="AU916" s="77">
        <f t="shared" si="2842"/>
        <v>2.5000000000000001E-3</v>
      </c>
      <c r="AV916" s="77">
        <f t="shared" ref="AV916" si="3047">1-(1-AU916)^(1/12)</f>
        <v>2.0857243058891584E-4</v>
      </c>
      <c r="AX916" t="s">
        <v>178</v>
      </c>
      <c r="AY916" t="s">
        <v>162</v>
      </c>
      <c r="AZ916" s="197" t="str">
        <f t="shared" si="2922"/>
        <v>DIS_Standard_171</v>
      </c>
      <c r="BA916">
        <v>171</v>
      </c>
      <c r="BB916">
        <f>VLOOKUP($BA916,'[2]Standard DIS'!$Q$1:$X$542,4,FALSE)</f>
        <v>0</v>
      </c>
      <c r="BF916">
        <f>VLOOKUP($BA916,'[2]Standard DIS'!$Q$1:$X$542,2,FALSE)</f>
        <v>0.88888888888888884</v>
      </c>
      <c r="BH916">
        <f>VLOOKUP($BA916,'[2]Standard DIS'!$Q$1:$X$542,3,FALSE)</f>
        <v>0.11111111111111116</v>
      </c>
      <c r="BI916" s="77">
        <f t="shared" si="2829"/>
        <v>1</v>
      </c>
      <c r="BJ916" s="77">
        <f t="shared" si="2830"/>
        <v>6.3149999999999984E-2</v>
      </c>
      <c r="BK916" s="77">
        <f t="shared" si="2923"/>
        <v>5.1160591879111372E-3</v>
      </c>
      <c r="BL916" s="79">
        <v>0</v>
      </c>
      <c r="BM916" s="77">
        <f t="shared" si="2844"/>
        <v>0</v>
      </c>
      <c r="BN916" s="77">
        <f t="shared" si="2845"/>
        <v>0</v>
      </c>
      <c r="BO916" s="77">
        <f t="shared" si="2846"/>
        <v>2.5000000000000001E-3</v>
      </c>
      <c r="BP916" s="77">
        <f t="shared" si="2847"/>
        <v>2.0809499864316017E-4</v>
      </c>
    </row>
    <row r="917" spans="1:68">
      <c r="A917" t="s">
        <v>175</v>
      </c>
      <c r="B917" t="s">
        <v>179</v>
      </c>
      <c r="C917" s="197" t="str">
        <f t="shared" si="2888"/>
        <v>Lifecycle_Dynamic_170</v>
      </c>
      <c r="D917">
        <v>170</v>
      </c>
      <c r="E917">
        <f>VLOOKUP($D917,'[2]LC Dynamic'!$Q$2:$U$542,2,FALSE)</f>
        <v>0</v>
      </c>
      <c r="F917">
        <f>VLOOKUP($D917,'[2]LC Dynamic'!$Q$2:$U$542,3,FALSE)</f>
        <v>0</v>
      </c>
      <c r="G917">
        <f>VLOOKUP($D917,'[2]LC Dynamic'!$Q$2:$U$542,4,FALSE)</f>
        <v>0.41966666666666669</v>
      </c>
      <c r="H917">
        <f>VLOOKUP($D917,'[2]LC Dynamic'!$Q$2:$U$542,5,FALSE)</f>
        <v>0.58033333333333337</v>
      </c>
      <c r="I917" s="77">
        <f t="shared" si="2820"/>
        <v>1</v>
      </c>
      <c r="J917" s="77">
        <f t="shared" si="2821"/>
        <v>6.8904958333333335E-2</v>
      </c>
      <c r="K917" s="77">
        <f t="shared" si="2895"/>
        <v>5.5683393068928222E-3</v>
      </c>
      <c r="L917" s="76">
        <v>0</v>
      </c>
      <c r="M917" s="77">
        <f t="shared" si="2831"/>
        <v>0</v>
      </c>
      <c r="N917" s="77">
        <f t="shared" si="2832"/>
        <v>0</v>
      </c>
      <c r="O917" s="77">
        <f t="shared" si="2833"/>
        <v>5.9232666666666671E-3</v>
      </c>
      <c r="P917" s="77">
        <f t="shared" si="2834"/>
        <v>4.9495070418925646E-4</v>
      </c>
      <c r="R917" t="s">
        <v>177</v>
      </c>
      <c r="S917" t="s">
        <v>179</v>
      </c>
      <c r="T917" s="197" t="str">
        <f t="shared" si="2889"/>
        <v>Autopilot_Dynamic_170</v>
      </c>
      <c r="U917">
        <v>170</v>
      </c>
      <c r="V917">
        <f>VLOOKUP($U917,'[2]AP Dynamic'!$Q$1:$T$542,2,FALSE)</f>
        <v>0.88888888888888884</v>
      </c>
      <c r="W917">
        <f>VLOOKUP($U917,'[2]AP Dynamic'!$Q$1:$T$542,3,FALSE)</f>
        <v>0.11111111111111116</v>
      </c>
      <c r="X917">
        <f>VLOOKUP($U917,'[2]AP Dynamic'!$Q$1:$T$542,4,FALSE)</f>
        <v>0</v>
      </c>
      <c r="Y917" s="77">
        <f t="shared" si="2890"/>
        <v>1</v>
      </c>
      <c r="Z917" s="77">
        <f t="shared" si="2896"/>
        <v>6.3149999999999984E-2</v>
      </c>
      <c r="AA917" s="77">
        <f t="shared" si="2897"/>
        <v>5.1160591879111372E-3</v>
      </c>
      <c r="AB917" s="79">
        <v>1</v>
      </c>
      <c r="AC917" s="77">
        <f t="shared" si="2835"/>
        <v>8.277777777777778E-3</v>
      </c>
      <c r="AD917" s="77">
        <f t="shared" ref="AD917" si="3048">1-(1-AC917)^(1/12)</f>
        <v>6.9244588451522482E-4</v>
      </c>
      <c r="AE917" s="77">
        <f t="shared" si="2837"/>
        <v>2.5000000000000001E-3</v>
      </c>
      <c r="AF917" s="77">
        <f t="shared" ref="AF917" si="3049">1-(1-AE917)^(1/12)</f>
        <v>2.0857243058891584E-4</v>
      </c>
      <c r="AH917" t="s">
        <v>175</v>
      </c>
      <c r="AI917" t="s">
        <v>179</v>
      </c>
      <c r="AJ917" s="197" t="str">
        <f t="shared" si="2824"/>
        <v>Lifecycle_Dynamic_170</v>
      </c>
      <c r="AK917">
        <v>170</v>
      </c>
      <c r="AL917">
        <f>VLOOKUP($U917,[2]Standard_Dynamic!$Q$1:$T$542,2,FALSE)</f>
        <v>0.88888888888888884</v>
      </c>
      <c r="AM917">
        <f>VLOOKUP($U917,[2]Standard_Dynamic!$Q$1:$T$542,3,FALSE)</f>
        <v>0.11111111111111116</v>
      </c>
      <c r="AN917">
        <f>VLOOKUP($U917,[2]Standard_Dynamic!$Q$1:$T$542,4,FALSE)</f>
        <v>0</v>
      </c>
      <c r="AO917" s="77">
        <f t="shared" si="2825"/>
        <v>1</v>
      </c>
      <c r="AP917" s="77">
        <f t="shared" si="2839"/>
        <v>6.3149999999999984E-2</v>
      </c>
      <c r="AQ917" s="77">
        <f t="shared" si="2826"/>
        <v>5.1160591879111372E-3</v>
      </c>
      <c r="AR917" s="79">
        <v>0</v>
      </c>
      <c r="AS917" s="77">
        <f t="shared" si="2840"/>
        <v>0</v>
      </c>
      <c r="AT917" s="77">
        <f t="shared" ref="AT917" si="3050">1-(1-AS917)^(1/12)</f>
        <v>0</v>
      </c>
      <c r="AU917" s="77">
        <f t="shared" si="2842"/>
        <v>2.5000000000000001E-3</v>
      </c>
      <c r="AV917" s="77">
        <f t="shared" ref="AV917" si="3051">1-(1-AU917)^(1/12)</f>
        <v>2.0857243058891584E-4</v>
      </c>
      <c r="AX917" t="s">
        <v>178</v>
      </c>
      <c r="AY917" t="s">
        <v>162</v>
      </c>
      <c r="AZ917" s="197" t="str">
        <f t="shared" si="2922"/>
        <v>DIS_Standard_170</v>
      </c>
      <c r="BA917">
        <v>170</v>
      </c>
      <c r="BB917">
        <f>VLOOKUP($BA917,'[2]Standard DIS'!$Q$1:$X$542,4,FALSE)</f>
        <v>0</v>
      </c>
      <c r="BF917">
        <f>VLOOKUP($BA917,'[2]Standard DIS'!$Q$1:$X$542,2,FALSE)</f>
        <v>0.88888888888888884</v>
      </c>
      <c r="BH917">
        <f>VLOOKUP($BA917,'[2]Standard DIS'!$Q$1:$X$542,3,FALSE)</f>
        <v>0.11111111111111116</v>
      </c>
      <c r="BI917" s="77">
        <f t="shared" si="2829"/>
        <v>1</v>
      </c>
      <c r="BJ917" s="77">
        <f t="shared" si="2830"/>
        <v>6.3149999999999984E-2</v>
      </c>
      <c r="BK917" s="77">
        <f t="shared" si="2923"/>
        <v>5.1160591879111372E-3</v>
      </c>
      <c r="BL917" s="79">
        <v>0</v>
      </c>
      <c r="BM917" s="77">
        <f t="shared" si="2844"/>
        <v>0</v>
      </c>
      <c r="BN917" s="77">
        <f t="shared" si="2845"/>
        <v>0</v>
      </c>
      <c r="BO917" s="77">
        <f t="shared" si="2846"/>
        <v>2.5000000000000001E-3</v>
      </c>
      <c r="BP917" s="77">
        <f t="shared" si="2847"/>
        <v>2.0809499864316017E-4</v>
      </c>
    </row>
    <row r="918" spans="1:68">
      <c r="A918" t="s">
        <v>175</v>
      </c>
      <c r="B918" t="s">
        <v>179</v>
      </c>
      <c r="C918" s="197" t="str">
        <f t="shared" si="2888"/>
        <v>Lifecycle_Dynamic_169</v>
      </c>
      <c r="D918">
        <v>169</v>
      </c>
      <c r="E918">
        <f>VLOOKUP($D918,'[2]LC Dynamic'!$Q$2:$U$542,2,FALSE)</f>
        <v>0</v>
      </c>
      <c r="F918">
        <f>VLOOKUP($D918,'[2]LC Dynamic'!$Q$2:$U$542,3,FALSE)</f>
        <v>0</v>
      </c>
      <c r="G918">
        <f>VLOOKUP($D918,'[2]LC Dynamic'!$Q$2:$U$542,4,FALSE)</f>
        <v>0.43083333333333335</v>
      </c>
      <c r="H918">
        <f>VLOOKUP($D918,'[2]LC Dynamic'!$Q$2:$U$542,5,FALSE)</f>
        <v>0.56916666666666671</v>
      </c>
      <c r="I918" s="77">
        <f t="shared" si="2820"/>
        <v>1</v>
      </c>
      <c r="J918" s="77">
        <f t="shared" si="2821"/>
        <v>6.8822604166666662E-2</v>
      </c>
      <c r="K918" s="77">
        <f t="shared" si="2895"/>
        <v>5.5618828810564125E-3</v>
      </c>
      <c r="L918" s="76">
        <v>0</v>
      </c>
      <c r="M918" s="77">
        <f t="shared" si="2831"/>
        <v>0</v>
      </c>
      <c r="N918" s="77">
        <f t="shared" si="2832"/>
        <v>0</v>
      </c>
      <c r="O918" s="77">
        <f t="shared" si="2833"/>
        <v>5.9478333333333336E-3</v>
      </c>
      <c r="P918" s="77">
        <f t="shared" si="2834"/>
        <v>4.9700912891326166E-4</v>
      </c>
      <c r="R918" t="s">
        <v>177</v>
      </c>
      <c r="S918" t="s">
        <v>179</v>
      </c>
      <c r="T918" s="197" t="str">
        <f t="shared" si="2889"/>
        <v>Autopilot_Dynamic_169</v>
      </c>
      <c r="U918">
        <v>169</v>
      </c>
      <c r="V918">
        <f>VLOOKUP($U918,'[2]AP Dynamic'!$Q$1:$T$542,2,FALSE)</f>
        <v>0.88888888888888884</v>
      </c>
      <c r="W918">
        <f>VLOOKUP($U918,'[2]AP Dynamic'!$Q$1:$T$542,3,FALSE)</f>
        <v>0.11111111111111116</v>
      </c>
      <c r="X918">
        <f>VLOOKUP($U918,'[2]AP Dynamic'!$Q$1:$T$542,4,FALSE)</f>
        <v>0</v>
      </c>
      <c r="Y918" s="77">
        <f t="shared" si="2890"/>
        <v>1</v>
      </c>
      <c r="Z918" s="77">
        <f t="shared" si="2896"/>
        <v>6.3149999999999984E-2</v>
      </c>
      <c r="AA918" s="77">
        <f t="shared" si="2897"/>
        <v>5.1160591879111372E-3</v>
      </c>
      <c r="AB918" s="79">
        <v>1</v>
      </c>
      <c r="AC918" s="77">
        <f t="shared" si="2835"/>
        <v>8.277777777777778E-3</v>
      </c>
      <c r="AD918" s="77">
        <f t="shared" ref="AD918" si="3052">1-(1-AC918)^(1/12)</f>
        <v>6.9244588451522482E-4</v>
      </c>
      <c r="AE918" s="77">
        <f t="shared" si="2837"/>
        <v>2.5000000000000001E-3</v>
      </c>
      <c r="AF918" s="77">
        <f t="shared" ref="AF918" si="3053">1-(1-AE918)^(1/12)</f>
        <v>2.0857243058891584E-4</v>
      </c>
      <c r="AH918" t="s">
        <v>175</v>
      </c>
      <c r="AI918" t="s">
        <v>179</v>
      </c>
      <c r="AJ918" s="197" t="str">
        <f t="shared" si="2824"/>
        <v>Lifecycle_Dynamic_169</v>
      </c>
      <c r="AK918">
        <v>169</v>
      </c>
      <c r="AL918">
        <f>VLOOKUP($U918,[2]Standard_Dynamic!$Q$1:$T$542,2,FALSE)</f>
        <v>0.88888888888888884</v>
      </c>
      <c r="AM918">
        <f>VLOOKUP($U918,[2]Standard_Dynamic!$Q$1:$T$542,3,FALSE)</f>
        <v>0.11111111111111116</v>
      </c>
      <c r="AN918">
        <f>VLOOKUP($U918,[2]Standard_Dynamic!$Q$1:$T$542,4,FALSE)</f>
        <v>0</v>
      </c>
      <c r="AO918" s="77">
        <f t="shared" si="2825"/>
        <v>1</v>
      </c>
      <c r="AP918" s="77">
        <f t="shared" si="2839"/>
        <v>6.3149999999999984E-2</v>
      </c>
      <c r="AQ918" s="77">
        <f t="shared" si="2826"/>
        <v>5.1160591879111372E-3</v>
      </c>
      <c r="AR918" s="79">
        <v>0</v>
      </c>
      <c r="AS918" s="77">
        <f t="shared" si="2840"/>
        <v>0</v>
      </c>
      <c r="AT918" s="77">
        <f t="shared" ref="AT918" si="3054">1-(1-AS918)^(1/12)</f>
        <v>0</v>
      </c>
      <c r="AU918" s="77">
        <f t="shared" si="2842"/>
        <v>2.5000000000000001E-3</v>
      </c>
      <c r="AV918" s="77">
        <f t="shared" ref="AV918" si="3055">1-(1-AU918)^(1/12)</f>
        <v>2.0857243058891584E-4</v>
      </c>
      <c r="AX918" t="s">
        <v>178</v>
      </c>
      <c r="AY918" t="s">
        <v>162</v>
      </c>
      <c r="AZ918" s="197" t="str">
        <f t="shared" si="2922"/>
        <v>DIS_Standard_169</v>
      </c>
      <c r="BA918">
        <v>169</v>
      </c>
      <c r="BB918">
        <f>VLOOKUP($BA918,'[2]Standard DIS'!$Q$1:$X$542,4,FALSE)</f>
        <v>0</v>
      </c>
      <c r="BF918">
        <f>VLOOKUP($BA918,'[2]Standard DIS'!$Q$1:$X$542,2,FALSE)</f>
        <v>0.88888888888888884</v>
      </c>
      <c r="BH918">
        <f>VLOOKUP($BA918,'[2]Standard DIS'!$Q$1:$X$542,3,FALSE)</f>
        <v>0.11111111111111116</v>
      </c>
      <c r="BI918" s="77">
        <f t="shared" si="2829"/>
        <v>1</v>
      </c>
      <c r="BJ918" s="77">
        <f t="shared" si="2830"/>
        <v>6.3149999999999984E-2</v>
      </c>
      <c r="BK918" s="77">
        <f t="shared" si="2923"/>
        <v>5.1160591879111372E-3</v>
      </c>
      <c r="BL918" s="79">
        <v>0</v>
      </c>
      <c r="BM918" s="77">
        <f t="shared" si="2844"/>
        <v>0</v>
      </c>
      <c r="BN918" s="77">
        <f t="shared" si="2845"/>
        <v>0</v>
      </c>
      <c r="BO918" s="77">
        <f t="shared" si="2846"/>
        <v>2.5000000000000001E-3</v>
      </c>
      <c r="BP918" s="77">
        <f t="shared" si="2847"/>
        <v>2.0809499864316017E-4</v>
      </c>
    </row>
    <row r="919" spans="1:68">
      <c r="A919" t="s">
        <v>175</v>
      </c>
      <c r="B919" t="s">
        <v>179</v>
      </c>
      <c r="C919" s="197" t="str">
        <f t="shared" si="2888"/>
        <v>Lifecycle_Dynamic_168</v>
      </c>
      <c r="D919">
        <v>168</v>
      </c>
      <c r="E919">
        <f>VLOOKUP($D919,'[2]LC Dynamic'!$Q$2:$U$542,2,FALSE)</f>
        <v>0</v>
      </c>
      <c r="F919">
        <f>VLOOKUP($D919,'[2]LC Dynamic'!$Q$2:$U$542,3,FALSE)</f>
        <v>0</v>
      </c>
      <c r="G919">
        <f>VLOOKUP($D919,'[2]LC Dynamic'!$Q$2:$U$542,4,FALSE)</f>
        <v>0.442</v>
      </c>
      <c r="H919">
        <f>VLOOKUP($D919,'[2]LC Dynamic'!$Q$2:$U$542,5,FALSE)</f>
        <v>0.55800000000000005</v>
      </c>
      <c r="I919" s="77">
        <f t="shared" si="2820"/>
        <v>1</v>
      </c>
      <c r="J919" s="77">
        <f t="shared" si="2821"/>
        <v>6.8740250000000003E-2</v>
      </c>
      <c r="K919" s="77">
        <f t="shared" si="2895"/>
        <v>5.5554259991843491E-3</v>
      </c>
      <c r="L919" s="76">
        <v>0</v>
      </c>
      <c r="M919" s="77">
        <f t="shared" si="2831"/>
        <v>0</v>
      </c>
      <c r="N919" s="77">
        <f t="shared" si="2832"/>
        <v>0</v>
      </c>
      <c r="O919" s="77">
        <f t="shared" si="2833"/>
        <v>5.9724000000000001E-3</v>
      </c>
      <c r="P919" s="77">
        <f t="shared" si="2834"/>
        <v>4.9906760026985353E-4</v>
      </c>
      <c r="R919" t="s">
        <v>177</v>
      </c>
      <c r="S919" t="s">
        <v>179</v>
      </c>
      <c r="T919" s="197" t="str">
        <f t="shared" si="2889"/>
        <v>Autopilot_Dynamic_168</v>
      </c>
      <c r="U919">
        <v>168</v>
      </c>
      <c r="V919">
        <f>VLOOKUP($U919,'[2]AP Dynamic'!$Q$1:$T$542,2,FALSE)</f>
        <v>0.88888888888888884</v>
      </c>
      <c r="W919">
        <f>VLOOKUP($U919,'[2]AP Dynamic'!$Q$1:$T$542,3,FALSE)</f>
        <v>0.11111111111111116</v>
      </c>
      <c r="X919">
        <f>VLOOKUP($U919,'[2]AP Dynamic'!$Q$1:$T$542,4,FALSE)</f>
        <v>0</v>
      </c>
      <c r="Y919" s="77">
        <f t="shared" si="2890"/>
        <v>1</v>
      </c>
      <c r="Z919" s="77">
        <f t="shared" si="2896"/>
        <v>6.3149999999999984E-2</v>
      </c>
      <c r="AA919" s="77">
        <f t="shared" si="2897"/>
        <v>5.1160591879111372E-3</v>
      </c>
      <c r="AB919" s="79">
        <v>1</v>
      </c>
      <c r="AC919" s="77">
        <f t="shared" si="2835"/>
        <v>8.277777777777778E-3</v>
      </c>
      <c r="AD919" s="77">
        <f t="shared" ref="AD919" si="3056">1-(1-AC919)^(1/12)</f>
        <v>6.9244588451522482E-4</v>
      </c>
      <c r="AE919" s="77">
        <f t="shared" si="2837"/>
        <v>2.5000000000000001E-3</v>
      </c>
      <c r="AF919" s="77">
        <f t="shared" ref="AF919" si="3057">1-(1-AE919)^(1/12)</f>
        <v>2.0857243058891584E-4</v>
      </c>
      <c r="AH919" t="s">
        <v>175</v>
      </c>
      <c r="AI919" t="s">
        <v>179</v>
      </c>
      <c r="AJ919" s="197" t="str">
        <f t="shared" si="2824"/>
        <v>Lifecycle_Dynamic_168</v>
      </c>
      <c r="AK919">
        <v>168</v>
      </c>
      <c r="AL919">
        <f>VLOOKUP($U919,[2]Standard_Dynamic!$Q$1:$T$542,2,FALSE)</f>
        <v>0.88888888888888884</v>
      </c>
      <c r="AM919">
        <f>VLOOKUP($U919,[2]Standard_Dynamic!$Q$1:$T$542,3,FALSE)</f>
        <v>0.11111111111111116</v>
      </c>
      <c r="AN919">
        <f>VLOOKUP($U919,[2]Standard_Dynamic!$Q$1:$T$542,4,FALSE)</f>
        <v>0</v>
      </c>
      <c r="AO919" s="77">
        <f t="shared" si="2825"/>
        <v>1</v>
      </c>
      <c r="AP919" s="77">
        <f t="shared" si="2839"/>
        <v>6.3149999999999984E-2</v>
      </c>
      <c r="AQ919" s="77">
        <f t="shared" si="2826"/>
        <v>5.1160591879111372E-3</v>
      </c>
      <c r="AR919" s="79">
        <v>0</v>
      </c>
      <c r="AS919" s="77">
        <f t="shared" si="2840"/>
        <v>0</v>
      </c>
      <c r="AT919" s="77">
        <f t="shared" ref="AT919" si="3058">1-(1-AS919)^(1/12)</f>
        <v>0</v>
      </c>
      <c r="AU919" s="77">
        <f t="shared" si="2842"/>
        <v>2.5000000000000001E-3</v>
      </c>
      <c r="AV919" s="77">
        <f t="shared" ref="AV919" si="3059">1-(1-AU919)^(1/12)</f>
        <v>2.0857243058891584E-4</v>
      </c>
      <c r="AX919" t="s">
        <v>178</v>
      </c>
      <c r="AY919" t="s">
        <v>162</v>
      </c>
      <c r="AZ919" s="197" t="str">
        <f t="shared" si="2922"/>
        <v>DIS_Standard_168</v>
      </c>
      <c r="BA919">
        <v>168</v>
      </c>
      <c r="BB919">
        <f>VLOOKUP($BA919,'[2]Standard DIS'!$Q$1:$X$542,4,FALSE)</f>
        <v>0</v>
      </c>
      <c r="BF919">
        <f>VLOOKUP($BA919,'[2]Standard DIS'!$Q$1:$X$542,2,FALSE)</f>
        <v>0.88888888888888884</v>
      </c>
      <c r="BH919">
        <f>VLOOKUP($BA919,'[2]Standard DIS'!$Q$1:$X$542,3,FALSE)</f>
        <v>0.11111111111111116</v>
      </c>
      <c r="BI919" s="77">
        <f t="shared" si="2829"/>
        <v>1</v>
      </c>
      <c r="BJ919" s="77">
        <f t="shared" si="2830"/>
        <v>6.3149999999999984E-2</v>
      </c>
      <c r="BK919" s="77">
        <f t="shared" si="2923"/>
        <v>5.1160591879111372E-3</v>
      </c>
      <c r="BL919" s="79">
        <v>0</v>
      </c>
      <c r="BM919" s="77">
        <f t="shared" si="2844"/>
        <v>0</v>
      </c>
      <c r="BN919" s="77">
        <f t="shared" si="2845"/>
        <v>0</v>
      </c>
      <c r="BO919" s="77">
        <f t="shared" si="2846"/>
        <v>2.5000000000000001E-3</v>
      </c>
      <c r="BP919" s="77">
        <f t="shared" si="2847"/>
        <v>2.0809499864316017E-4</v>
      </c>
    </row>
    <row r="920" spans="1:68">
      <c r="A920" t="s">
        <v>175</v>
      </c>
      <c r="B920" t="s">
        <v>179</v>
      </c>
      <c r="C920" s="197" t="str">
        <f t="shared" si="2888"/>
        <v>Lifecycle_Dynamic_167</v>
      </c>
      <c r="D920">
        <v>167</v>
      </c>
      <c r="E920">
        <f>VLOOKUP($D920,'[2]LC Dynamic'!$Q$2:$U$542,2,FALSE)</f>
        <v>0</v>
      </c>
      <c r="F920">
        <f>VLOOKUP($D920,'[2]LC Dynamic'!$Q$2:$U$542,3,FALSE)</f>
        <v>1.0833333333333333E-3</v>
      </c>
      <c r="G920">
        <f>VLOOKUP($D920,'[2]LC Dynamic'!$Q$2:$U$542,4,FALSE)</f>
        <v>0.48025000000000001</v>
      </c>
      <c r="H920">
        <f>VLOOKUP($D920,'[2]LC Dynamic'!$Q$2:$U$542,5,FALSE)</f>
        <v>0.51866666666666672</v>
      </c>
      <c r="I920" s="77">
        <f t="shared" si="2820"/>
        <v>1</v>
      </c>
      <c r="J920" s="77">
        <f t="shared" si="2821"/>
        <v>6.8430991666666663E-2</v>
      </c>
      <c r="K920" s="77">
        <f t="shared" si="2895"/>
        <v>5.5311748893307477E-3</v>
      </c>
      <c r="L920" s="76">
        <v>0</v>
      </c>
      <c r="M920" s="77">
        <f t="shared" si="2831"/>
        <v>0</v>
      </c>
      <c r="N920" s="77">
        <f t="shared" si="2832"/>
        <v>0</v>
      </c>
      <c r="O920" s="77">
        <f t="shared" si="2833"/>
        <v>6.0575250000000011E-3</v>
      </c>
      <c r="P920" s="77">
        <f t="shared" si="2834"/>
        <v>5.0620068998030732E-4</v>
      </c>
      <c r="R920" t="s">
        <v>177</v>
      </c>
      <c r="S920" t="s">
        <v>179</v>
      </c>
      <c r="T920" s="197" t="str">
        <f t="shared" si="2889"/>
        <v>Autopilot_Dynamic_167</v>
      </c>
      <c r="U920">
        <v>167</v>
      </c>
      <c r="V920">
        <f>VLOOKUP($U920,'[2]AP Dynamic'!$Q$1:$T$542,2,FALSE)</f>
        <v>0.88888888888888884</v>
      </c>
      <c r="W920">
        <f>VLOOKUP($U920,'[2]AP Dynamic'!$Q$1:$T$542,3,FALSE)</f>
        <v>0.11111111111111116</v>
      </c>
      <c r="X920">
        <f>VLOOKUP($U920,'[2]AP Dynamic'!$Q$1:$T$542,4,FALSE)</f>
        <v>0</v>
      </c>
      <c r="Y920" s="77">
        <f t="shared" si="2890"/>
        <v>1</v>
      </c>
      <c r="Z920" s="77">
        <f t="shared" si="2896"/>
        <v>6.3149999999999984E-2</v>
      </c>
      <c r="AA920" s="77">
        <f t="shared" si="2897"/>
        <v>5.1160591879111372E-3</v>
      </c>
      <c r="AB920" s="79">
        <v>1</v>
      </c>
      <c r="AC920" s="77">
        <f t="shared" si="2835"/>
        <v>8.277777777777778E-3</v>
      </c>
      <c r="AD920" s="77">
        <f t="shared" ref="AD920" si="3060">1-(1-AC920)^(1/12)</f>
        <v>6.9244588451522482E-4</v>
      </c>
      <c r="AE920" s="77">
        <f t="shared" si="2837"/>
        <v>2.5000000000000001E-3</v>
      </c>
      <c r="AF920" s="77">
        <f t="shared" ref="AF920" si="3061">1-(1-AE920)^(1/12)</f>
        <v>2.0857243058891584E-4</v>
      </c>
      <c r="AH920" t="s">
        <v>175</v>
      </c>
      <c r="AI920" t="s">
        <v>179</v>
      </c>
      <c r="AJ920" s="197" t="str">
        <f t="shared" si="2824"/>
        <v>Lifecycle_Dynamic_167</v>
      </c>
      <c r="AK920">
        <v>167</v>
      </c>
      <c r="AL920">
        <f>VLOOKUP($U920,[2]Standard_Dynamic!$Q$1:$T$542,2,FALSE)</f>
        <v>0.88888888888888884</v>
      </c>
      <c r="AM920">
        <f>VLOOKUP($U920,[2]Standard_Dynamic!$Q$1:$T$542,3,FALSE)</f>
        <v>0.11111111111111116</v>
      </c>
      <c r="AN920">
        <f>VLOOKUP($U920,[2]Standard_Dynamic!$Q$1:$T$542,4,FALSE)</f>
        <v>0</v>
      </c>
      <c r="AO920" s="77">
        <f t="shared" si="2825"/>
        <v>1</v>
      </c>
      <c r="AP920" s="77">
        <f t="shared" si="2839"/>
        <v>6.3149999999999984E-2</v>
      </c>
      <c r="AQ920" s="77">
        <f t="shared" si="2826"/>
        <v>5.1160591879111372E-3</v>
      </c>
      <c r="AR920" s="79">
        <v>0</v>
      </c>
      <c r="AS920" s="77">
        <f t="shared" si="2840"/>
        <v>0</v>
      </c>
      <c r="AT920" s="77">
        <f t="shared" ref="AT920" si="3062">1-(1-AS920)^(1/12)</f>
        <v>0</v>
      </c>
      <c r="AU920" s="77">
        <f t="shared" si="2842"/>
        <v>2.5000000000000001E-3</v>
      </c>
      <c r="AV920" s="77">
        <f t="shared" ref="AV920" si="3063">1-(1-AU920)^(1/12)</f>
        <v>2.0857243058891584E-4</v>
      </c>
      <c r="AX920" t="s">
        <v>178</v>
      </c>
      <c r="AY920" t="s">
        <v>162</v>
      </c>
      <c r="AZ920" s="197" t="str">
        <f t="shared" si="2922"/>
        <v>DIS_Standard_167</v>
      </c>
      <c r="BA920">
        <v>167</v>
      </c>
      <c r="BB920">
        <f>VLOOKUP($BA920,'[2]Standard DIS'!$Q$1:$X$542,4,FALSE)</f>
        <v>0</v>
      </c>
      <c r="BF920">
        <f>VLOOKUP($BA920,'[2]Standard DIS'!$Q$1:$X$542,2,FALSE)</f>
        <v>0.88888888888888884</v>
      </c>
      <c r="BH920">
        <f>VLOOKUP($BA920,'[2]Standard DIS'!$Q$1:$X$542,3,FALSE)</f>
        <v>0.11111111111111116</v>
      </c>
      <c r="BI920" s="77">
        <f t="shared" si="2829"/>
        <v>1</v>
      </c>
      <c r="BJ920" s="77">
        <f t="shared" si="2830"/>
        <v>6.3149999999999984E-2</v>
      </c>
      <c r="BK920" s="77">
        <f t="shared" si="2923"/>
        <v>5.1160591879111372E-3</v>
      </c>
      <c r="BL920" s="79">
        <v>0</v>
      </c>
      <c r="BM920" s="77">
        <f t="shared" si="2844"/>
        <v>0</v>
      </c>
      <c r="BN920" s="77">
        <f t="shared" si="2845"/>
        <v>0</v>
      </c>
      <c r="BO920" s="77">
        <f t="shared" si="2846"/>
        <v>2.5000000000000001E-3</v>
      </c>
      <c r="BP920" s="77">
        <f t="shared" si="2847"/>
        <v>2.0809499864316017E-4</v>
      </c>
    </row>
    <row r="921" spans="1:68">
      <c r="A921" t="s">
        <v>175</v>
      </c>
      <c r="B921" t="s">
        <v>179</v>
      </c>
      <c r="C921" s="197" t="str">
        <f t="shared" si="2888"/>
        <v>Lifecycle_Dynamic_166</v>
      </c>
      <c r="D921">
        <v>166</v>
      </c>
      <c r="E921">
        <f>VLOOKUP($D921,'[2]LC Dynamic'!$Q$2:$U$542,2,FALSE)</f>
        <v>0</v>
      </c>
      <c r="F921">
        <f>VLOOKUP($D921,'[2]LC Dynamic'!$Q$2:$U$542,3,FALSE)</f>
        <v>2.1666666666666666E-3</v>
      </c>
      <c r="G921">
        <f>VLOOKUP($D921,'[2]LC Dynamic'!$Q$2:$U$542,4,FALSE)</f>
        <v>0.51849999999999996</v>
      </c>
      <c r="H921">
        <f>VLOOKUP($D921,'[2]LC Dynamic'!$Q$2:$U$542,5,FALSE)</f>
        <v>0.47933333333333339</v>
      </c>
      <c r="I921" s="77">
        <f t="shared" si="2820"/>
        <v>1</v>
      </c>
      <c r="J921" s="77">
        <f t="shared" si="2821"/>
        <v>6.8121733333333323E-2</v>
      </c>
      <c r="K921" s="77">
        <f t="shared" si="2895"/>
        <v>5.5069173440760455E-3</v>
      </c>
      <c r="L921" s="76">
        <v>0</v>
      </c>
      <c r="M921" s="77">
        <f t="shared" si="2831"/>
        <v>0</v>
      </c>
      <c r="N921" s="77">
        <f t="shared" si="2832"/>
        <v>0</v>
      </c>
      <c r="O921" s="77">
        <f t="shared" si="2833"/>
        <v>6.1426499999999995E-3</v>
      </c>
      <c r="P921" s="77">
        <f t="shared" si="2834"/>
        <v>5.1333433970879305E-4</v>
      </c>
      <c r="R921" t="s">
        <v>177</v>
      </c>
      <c r="S921" t="s">
        <v>179</v>
      </c>
      <c r="T921" s="197" t="str">
        <f t="shared" si="2889"/>
        <v>Autopilot_Dynamic_166</v>
      </c>
      <c r="U921">
        <v>166</v>
      </c>
      <c r="V921">
        <f>VLOOKUP($U921,'[2]AP Dynamic'!$Q$1:$T$542,2,FALSE)</f>
        <v>0.88888888888888884</v>
      </c>
      <c r="W921">
        <f>VLOOKUP($U921,'[2]AP Dynamic'!$Q$1:$T$542,3,FALSE)</f>
        <v>0.11111111111111116</v>
      </c>
      <c r="X921">
        <f>VLOOKUP($U921,'[2]AP Dynamic'!$Q$1:$T$542,4,FALSE)</f>
        <v>0</v>
      </c>
      <c r="Y921" s="77">
        <f t="shared" si="2890"/>
        <v>1</v>
      </c>
      <c r="Z921" s="77">
        <f t="shared" si="2896"/>
        <v>6.3149999999999984E-2</v>
      </c>
      <c r="AA921" s="77">
        <f t="shared" si="2897"/>
        <v>5.1160591879111372E-3</v>
      </c>
      <c r="AB921" s="79">
        <v>1</v>
      </c>
      <c r="AC921" s="77">
        <f t="shared" si="2835"/>
        <v>8.277777777777778E-3</v>
      </c>
      <c r="AD921" s="77">
        <f t="shared" ref="AD921" si="3064">1-(1-AC921)^(1/12)</f>
        <v>6.9244588451522482E-4</v>
      </c>
      <c r="AE921" s="77">
        <f t="shared" si="2837"/>
        <v>2.5000000000000001E-3</v>
      </c>
      <c r="AF921" s="77">
        <f t="shared" ref="AF921" si="3065">1-(1-AE921)^(1/12)</f>
        <v>2.0857243058891584E-4</v>
      </c>
      <c r="AH921" t="s">
        <v>175</v>
      </c>
      <c r="AI921" t="s">
        <v>179</v>
      </c>
      <c r="AJ921" s="197" t="str">
        <f t="shared" si="2824"/>
        <v>Lifecycle_Dynamic_166</v>
      </c>
      <c r="AK921">
        <v>166</v>
      </c>
      <c r="AL921">
        <f>VLOOKUP($U921,[2]Standard_Dynamic!$Q$1:$T$542,2,FALSE)</f>
        <v>0.88888888888888884</v>
      </c>
      <c r="AM921">
        <f>VLOOKUP($U921,[2]Standard_Dynamic!$Q$1:$T$542,3,FALSE)</f>
        <v>0.11111111111111116</v>
      </c>
      <c r="AN921">
        <f>VLOOKUP($U921,[2]Standard_Dynamic!$Q$1:$T$542,4,FALSE)</f>
        <v>0</v>
      </c>
      <c r="AO921" s="77">
        <f t="shared" si="2825"/>
        <v>1</v>
      </c>
      <c r="AP921" s="77">
        <f t="shared" si="2839"/>
        <v>6.3149999999999984E-2</v>
      </c>
      <c r="AQ921" s="77">
        <f t="shared" si="2826"/>
        <v>5.1160591879111372E-3</v>
      </c>
      <c r="AR921" s="79">
        <v>0</v>
      </c>
      <c r="AS921" s="77">
        <f t="shared" si="2840"/>
        <v>0</v>
      </c>
      <c r="AT921" s="77">
        <f t="shared" ref="AT921" si="3066">1-(1-AS921)^(1/12)</f>
        <v>0</v>
      </c>
      <c r="AU921" s="77">
        <f t="shared" si="2842"/>
        <v>2.5000000000000001E-3</v>
      </c>
      <c r="AV921" s="77">
        <f t="shared" ref="AV921" si="3067">1-(1-AU921)^(1/12)</f>
        <v>2.0857243058891584E-4</v>
      </c>
      <c r="AX921" t="s">
        <v>178</v>
      </c>
      <c r="AY921" t="s">
        <v>162</v>
      </c>
      <c r="AZ921" s="197" t="str">
        <f t="shared" si="2922"/>
        <v>DIS_Standard_166</v>
      </c>
      <c r="BA921">
        <v>166</v>
      </c>
      <c r="BB921">
        <f>VLOOKUP($BA921,'[2]Standard DIS'!$Q$1:$X$542,4,FALSE)</f>
        <v>0</v>
      </c>
      <c r="BF921">
        <f>VLOOKUP($BA921,'[2]Standard DIS'!$Q$1:$X$542,2,FALSE)</f>
        <v>0.88888888888888884</v>
      </c>
      <c r="BH921">
        <f>VLOOKUP($BA921,'[2]Standard DIS'!$Q$1:$X$542,3,FALSE)</f>
        <v>0.11111111111111116</v>
      </c>
      <c r="BI921" s="77">
        <f t="shared" si="2829"/>
        <v>1</v>
      </c>
      <c r="BJ921" s="77">
        <f t="shared" si="2830"/>
        <v>6.3149999999999984E-2</v>
      </c>
      <c r="BK921" s="77">
        <f t="shared" si="2923"/>
        <v>5.1160591879111372E-3</v>
      </c>
      <c r="BL921" s="79">
        <v>0</v>
      </c>
      <c r="BM921" s="77">
        <f t="shared" si="2844"/>
        <v>0</v>
      </c>
      <c r="BN921" s="77">
        <f t="shared" si="2845"/>
        <v>0</v>
      </c>
      <c r="BO921" s="77">
        <f t="shared" si="2846"/>
        <v>2.5000000000000001E-3</v>
      </c>
      <c r="BP921" s="77">
        <f t="shared" si="2847"/>
        <v>2.0809499864316017E-4</v>
      </c>
    </row>
    <row r="922" spans="1:68">
      <c r="A922" t="s">
        <v>175</v>
      </c>
      <c r="B922" t="s">
        <v>179</v>
      </c>
      <c r="C922" s="197" t="str">
        <f t="shared" si="2888"/>
        <v>Lifecycle_Dynamic_165</v>
      </c>
      <c r="D922">
        <v>165</v>
      </c>
      <c r="E922">
        <f>VLOOKUP($D922,'[2]LC Dynamic'!$Q$2:$U$542,2,FALSE)</f>
        <v>0</v>
      </c>
      <c r="F922">
        <f>VLOOKUP($D922,'[2]LC Dynamic'!$Q$2:$U$542,3,FALSE)</f>
        <v>3.2499999999999999E-3</v>
      </c>
      <c r="G922">
        <f>VLOOKUP($D922,'[2]LC Dynamic'!$Q$2:$U$542,4,FALSE)</f>
        <v>0.55674999999999997</v>
      </c>
      <c r="H922">
        <f>VLOOKUP($D922,'[2]LC Dynamic'!$Q$2:$U$542,5,FALSE)</f>
        <v>0.44000000000000006</v>
      </c>
      <c r="I922" s="77">
        <f t="shared" si="2820"/>
        <v>1</v>
      </c>
      <c r="J922" s="77">
        <f t="shared" si="2821"/>
        <v>6.7812474999999983E-2</v>
      </c>
      <c r="K922" s="77">
        <f t="shared" si="2895"/>
        <v>5.4826533598486549E-3</v>
      </c>
      <c r="L922" s="76">
        <v>0</v>
      </c>
      <c r="M922" s="77">
        <f t="shared" si="2831"/>
        <v>0</v>
      </c>
      <c r="N922" s="77">
        <f t="shared" si="2832"/>
        <v>0</v>
      </c>
      <c r="O922" s="77">
        <f t="shared" si="2833"/>
        <v>6.2277749999999996E-3</v>
      </c>
      <c r="P922" s="77">
        <f t="shared" si="2834"/>
        <v>5.2046854954734822E-4</v>
      </c>
      <c r="R922" t="s">
        <v>177</v>
      </c>
      <c r="S922" t="s">
        <v>179</v>
      </c>
      <c r="T922" s="197" t="str">
        <f t="shared" si="2889"/>
        <v>Autopilot_Dynamic_165</v>
      </c>
      <c r="U922">
        <v>165</v>
      </c>
      <c r="V922">
        <f>VLOOKUP($U922,'[2]AP Dynamic'!$Q$1:$T$542,2,FALSE)</f>
        <v>0.88888888888888884</v>
      </c>
      <c r="W922">
        <f>VLOOKUP($U922,'[2]AP Dynamic'!$Q$1:$T$542,3,FALSE)</f>
        <v>0.11111111111111116</v>
      </c>
      <c r="X922">
        <f>VLOOKUP($U922,'[2]AP Dynamic'!$Q$1:$T$542,4,FALSE)</f>
        <v>0</v>
      </c>
      <c r="Y922" s="77">
        <f t="shared" si="2890"/>
        <v>1</v>
      </c>
      <c r="Z922" s="77">
        <f t="shared" si="2896"/>
        <v>6.3149999999999984E-2</v>
      </c>
      <c r="AA922" s="77">
        <f t="shared" si="2897"/>
        <v>5.1160591879111372E-3</v>
      </c>
      <c r="AB922" s="79">
        <v>1</v>
      </c>
      <c r="AC922" s="77">
        <f t="shared" si="2835"/>
        <v>8.277777777777778E-3</v>
      </c>
      <c r="AD922" s="77">
        <f t="shared" ref="AD922" si="3068">1-(1-AC922)^(1/12)</f>
        <v>6.9244588451522482E-4</v>
      </c>
      <c r="AE922" s="77">
        <f t="shared" si="2837"/>
        <v>2.5000000000000001E-3</v>
      </c>
      <c r="AF922" s="77">
        <f t="shared" ref="AF922" si="3069">1-(1-AE922)^(1/12)</f>
        <v>2.0857243058891584E-4</v>
      </c>
      <c r="AH922" t="s">
        <v>175</v>
      </c>
      <c r="AI922" t="s">
        <v>179</v>
      </c>
      <c r="AJ922" s="197" t="str">
        <f t="shared" si="2824"/>
        <v>Lifecycle_Dynamic_165</v>
      </c>
      <c r="AK922">
        <v>165</v>
      </c>
      <c r="AL922">
        <f>VLOOKUP($U922,[2]Standard_Dynamic!$Q$1:$T$542,2,FALSE)</f>
        <v>0.88888888888888884</v>
      </c>
      <c r="AM922">
        <f>VLOOKUP($U922,[2]Standard_Dynamic!$Q$1:$T$542,3,FALSE)</f>
        <v>0.11111111111111116</v>
      </c>
      <c r="AN922">
        <f>VLOOKUP($U922,[2]Standard_Dynamic!$Q$1:$T$542,4,FALSE)</f>
        <v>0</v>
      </c>
      <c r="AO922" s="77">
        <f t="shared" si="2825"/>
        <v>1</v>
      </c>
      <c r="AP922" s="77">
        <f t="shared" si="2839"/>
        <v>6.3149999999999984E-2</v>
      </c>
      <c r="AQ922" s="77">
        <f t="shared" si="2826"/>
        <v>5.1160591879111372E-3</v>
      </c>
      <c r="AR922" s="79">
        <v>0</v>
      </c>
      <c r="AS922" s="77">
        <f t="shared" si="2840"/>
        <v>0</v>
      </c>
      <c r="AT922" s="77">
        <f t="shared" ref="AT922" si="3070">1-(1-AS922)^(1/12)</f>
        <v>0</v>
      </c>
      <c r="AU922" s="77">
        <f t="shared" si="2842"/>
        <v>2.5000000000000001E-3</v>
      </c>
      <c r="AV922" s="77">
        <f t="shared" ref="AV922" si="3071">1-(1-AU922)^(1/12)</f>
        <v>2.0857243058891584E-4</v>
      </c>
      <c r="AX922" t="s">
        <v>178</v>
      </c>
      <c r="AY922" t="s">
        <v>162</v>
      </c>
      <c r="AZ922" s="197" t="str">
        <f t="shared" si="2922"/>
        <v>DIS_Standard_165</v>
      </c>
      <c r="BA922">
        <v>165</v>
      </c>
      <c r="BB922">
        <f>VLOOKUP($BA922,'[2]Standard DIS'!$Q$1:$X$542,4,FALSE)</f>
        <v>0</v>
      </c>
      <c r="BF922">
        <f>VLOOKUP($BA922,'[2]Standard DIS'!$Q$1:$X$542,2,FALSE)</f>
        <v>0.88888888888888884</v>
      </c>
      <c r="BH922">
        <f>VLOOKUP($BA922,'[2]Standard DIS'!$Q$1:$X$542,3,FALSE)</f>
        <v>0.11111111111111116</v>
      </c>
      <c r="BI922" s="77">
        <f t="shared" si="2829"/>
        <v>1</v>
      </c>
      <c r="BJ922" s="77">
        <f t="shared" si="2830"/>
        <v>6.3149999999999984E-2</v>
      </c>
      <c r="BK922" s="77">
        <f t="shared" si="2923"/>
        <v>5.1160591879111372E-3</v>
      </c>
      <c r="BL922" s="79">
        <v>0</v>
      </c>
      <c r="BM922" s="77">
        <f t="shared" si="2844"/>
        <v>0</v>
      </c>
      <c r="BN922" s="77">
        <f t="shared" si="2845"/>
        <v>0</v>
      </c>
      <c r="BO922" s="77">
        <f t="shared" si="2846"/>
        <v>2.5000000000000001E-3</v>
      </c>
      <c r="BP922" s="77">
        <f t="shared" si="2847"/>
        <v>2.0809499864316017E-4</v>
      </c>
    </row>
    <row r="923" spans="1:68">
      <c r="A923" t="s">
        <v>175</v>
      </c>
      <c r="B923" t="s">
        <v>179</v>
      </c>
      <c r="C923" s="197" t="str">
        <f t="shared" si="2888"/>
        <v>Lifecycle_Dynamic_164</v>
      </c>
      <c r="D923">
        <v>164</v>
      </c>
      <c r="E923">
        <f>VLOOKUP($D923,'[2]LC Dynamic'!$Q$2:$U$542,2,FALSE)</f>
        <v>0</v>
      </c>
      <c r="F923">
        <f>VLOOKUP($D923,'[2]LC Dynamic'!$Q$2:$U$542,3,FALSE)</f>
        <v>4.3333333333333331E-3</v>
      </c>
      <c r="G923">
        <f>VLOOKUP($D923,'[2]LC Dynamic'!$Q$2:$U$542,4,FALSE)</f>
        <v>0.59499999999999997</v>
      </c>
      <c r="H923">
        <f>VLOOKUP($D923,'[2]LC Dynamic'!$Q$2:$U$542,5,FALSE)</f>
        <v>0.40066666666666673</v>
      </c>
      <c r="I923" s="77">
        <f t="shared" si="2820"/>
        <v>1</v>
      </c>
      <c r="J923" s="77">
        <f t="shared" si="2821"/>
        <v>6.7503216666666657E-2</v>
      </c>
      <c r="K923" s="77">
        <f t="shared" si="2895"/>
        <v>5.4583829330736577E-3</v>
      </c>
      <c r="L923" s="76">
        <v>0</v>
      </c>
      <c r="M923" s="77">
        <f t="shared" si="2831"/>
        <v>0</v>
      </c>
      <c r="N923" s="77">
        <f t="shared" si="2832"/>
        <v>0</v>
      </c>
      <c r="O923" s="77">
        <f t="shared" si="2833"/>
        <v>6.3128999999999998E-3</v>
      </c>
      <c r="P923" s="77">
        <f t="shared" si="2834"/>
        <v>5.276033195878993E-4</v>
      </c>
      <c r="R923" t="s">
        <v>177</v>
      </c>
      <c r="S923" t="s">
        <v>179</v>
      </c>
      <c r="T923" s="197" t="str">
        <f t="shared" si="2889"/>
        <v>Autopilot_Dynamic_164</v>
      </c>
      <c r="U923">
        <v>164</v>
      </c>
      <c r="V923">
        <f>VLOOKUP($U923,'[2]AP Dynamic'!$Q$1:$T$542,2,FALSE)</f>
        <v>0.88888888888888884</v>
      </c>
      <c r="W923">
        <f>VLOOKUP($U923,'[2]AP Dynamic'!$Q$1:$T$542,3,FALSE)</f>
        <v>0.11111111111111116</v>
      </c>
      <c r="X923">
        <f>VLOOKUP($U923,'[2]AP Dynamic'!$Q$1:$T$542,4,FALSE)</f>
        <v>0</v>
      </c>
      <c r="Y923" s="77">
        <f t="shared" si="2890"/>
        <v>1</v>
      </c>
      <c r="Z923" s="77">
        <f t="shared" si="2896"/>
        <v>6.3149999999999984E-2</v>
      </c>
      <c r="AA923" s="77">
        <f t="shared" si="2897"/>
        <v>5.1160591879111372E-3</v>
      </c>
      <c r="AB923" s="79">
        <v>1</v>
      </c>
      <c r="AC923" s="77">
        <f t="shared" si="2835"/>
        <v>8.277777777777778E-3</v>
      </c>
      <c r="AD923" s="77">
        <f t="shared" ref="AD923" si="3072">1-(1-AC923)^(1/12)</f>
        <v>6.9244588451522482E-4</v>
      </c>
      <c r="AE923" s="77">
        <f t="shared" si="2837"/>
        <v>2.5000000000000001E-3</v>
      </c>
      <c r="AF923" s="77">
        <f t="shared" ref="AF923" si="3073">1-(1-AE923)^(1/12)</f>
        <v>2.0857243058891584E-4</v>
      </c>
      <c r="AH923" t="s">
        <v>175</v>
      </c>
      <c r="AI923" t="s">
        <v>179</v>
      </c>
      <c r="AJ923" s="197" t="str">
        <f t="shared" si="2824"/>
        <v>Lifecycle_Dynamic_164</v>
      </c>
      <c r="AK923">
        <v>164</v>
      </c>
      <c r="AL923">
        <f>VLOOKUP($U923,[2]Standard_Dynamic!$Q$1:$T$542,2,FALSE)</f>
        <v>0.88888888888888884</v>
      </c>
      <c r="AM923">
        <f>VLOOKUP($U923,[2]Standard_Dynamic!$Q$1:$T$542,3,FALSE)</f>
        <v>0.11111111111111116</v>
      </c>
      <c r="AN923">
        <f>VLOOKUP($U923,[2]Standard_Dynamic!$Q$1:$T$542,4,FALSE)</f>
        <v>0</v>
      </c>
      <c r="AO923" s="77">
        <f t="shared" si="2825"/>
        <v>1</v>
      </c>
      <c r="AP923" s="77">
        <f t="shared" si="2839"/>
        <v>6.3149999999999984E-2</v>
      </c>
      <c r="AQ923" s="77">
        <f t="shared" si="2826"/>
        <v>5.1160591879111372E-3</v>
      </c>
      <c r="AR923" s="79">
        <v>0</v>
      </c>
      <c r="AS923" s="77">
        <f t="shared" si="2840"/>
        <v>0</v>
      </c>
      <c r="AT923" s="77">
        <f t="shared" ref="AT923" si="3074">1-(1-AS923)^(1/12)</f>
        <v>0</v>
      </c>
      <c r="AU923" s="77">
        <f t="shared" si="2842"/>
        <v>2.5000000000000001E-3</v>
      </c>
      <c r="AV923" s="77">
        <f t="shared" ref="AV923" si="3075">1-(1-AU923)^(1/12)</f>
        <v>2.0857243058891584E-4</v>
      </c>
      <c r="AX923" t="s">
        <v>178</v>
      </c>
      <c r="AY923" t="s">
        <v>162</v>
      </c>
      <c r="AZ923" s="197" t="str">
        <f t="shared" si="2922"/>
        <v>DIS_Standard_164</v>
      </c>
      <c r="BA923">
        <v>164</v>
      </c>
      <c r="BB923">
        <f>VLOOKUP($BA923,'[2]Standard DIS'!$Q$1:$X$542,4,FALSE)</f>
        <v>0</v>
      </c>
      <c r="BF923">
        <f>VLOOKUP($BA923,'[2]Standard DIS'!$Q$1:$X$542,2,FALSE)</f>
        <v>0.88888888888888884</v>
      </c>
      <c r="BH923">
        <f>VLOOKUP($BA923,'[2]Standard DIS'!$Q$1:$X$542,3,FALSE)</f>
        <v>0.11111111111111116</v>
      </c>
      <c r="BI923" s="77">
        <f t="shared" si="2829"/>
        <v>1</v>
      </c>
      <c r="BJ923" s="77">
        <f t="shared" si="2830"/>
        <v>6.3149999999999984E-2</v>
      </c>
      <c r="BK923" s="77">
        <f t="shared" si="2923"/>
        <v>5.1160591879111372E-3</v>
      </c>
      <c r="BL923" s="79">
        <v>0</v>
      </c>
      <c r="BM923" s="77">
        <f t="shared" si="2844"/>
        <v>0</v>
      </c>
      <c r="BN923" s="77">
        <f t="shared" si="2845"/>
        <v>0</v>
      </c>
      <c r="BO923" s="77">
        <f t="shared" si="2846"/>
        <v>2.5000000000000001E-3</v>
      </c>
      <c r="BP923" s="77">
        <f t="shared" si="2847"/>
        <v>2.0809499864316017E-4</v>
      </c>
    </row>
    <row r="924" spans="1:68">
      <c r="A924" t="s">
        <v>175</v>
      </c>
      <c r="B924" t="s">
        <v>179</v>
      </c>
      <c r="C924" s="197" t="str">
        <f t="shared" si="2888"/>
        <v>Lifecycle_Dynamic_163</v>
      </c>
      <c r="D924">
        <v>163</v>
      </c>
      <c r="E924">
        <f>VLOOKUP($D924,'[2]LC Dynamic'!$Q$2:$U$542,2,FALSE)</f>
        <v>0</v>
      </c>
      <c r="F924">
        <f>VLOOKUP($D924,'[2]LC Dynamic'!$Q$2:$U$542,3,FALSE)</f>
        <v>5.4166666666666669E-3</v>
      </c>
      <c r="G924">
        <f>VLOOKUP($D924,'[2]LC Dynamic'!$Q$2:$U$542,4,FALSE)</f>
        <v>0.63324999999999998</v>
      </c>
      <c r="H924">
        <f>VLOOKUP($D924,'[2]LC Dynamic'!$Q$2:$U$542,5,FALSE)</f>
        <v>0.36133333333333334</v>
      </c>
      <c r="I924" s="77">
        <f t="shared" si="2820"/>
        <v>1</v>
      </c>
      <c r="J924" s="77">
        <f t="shared" si="2821"/>
        <v>6.7193958333333331E-2</v>
      </c>
      <c r="K924" s="77">
        <f t="shared" si="2895"/>
        <v>5.4341060601732494E-3</v>
      </c>
      <c r="L924" s="76">
        <v>0</v>
      </c>
      <c r="M924" s="77">
        <f t="shared" si="2831"/>
        <v>0</v>
      </c>
      <c r="N924" s="77">
        <f t="shared" si="2832"/>
        <v>0</v>
      </c>
      <c r="O924" s="77">
        <f t="shared" si="2833"/>
        <v>6.3980249999999999E-3</v>
      </c>
      <c r="P924" s="77">
        <f t="shared" si="2834"/>
        <v>5.3473864992248377E-4</v>
      </c>
      <c r="R924" t="s">
        <v>177</v>
      </c>
      <c r="S924" t="s">
        <v>179</v>
      </c>
      <c r="T924" s="197" t="str">
        <f t="shared" si="2889"/>
        <v>Autopilot_Dynamic_163</v>
      </c>
      <c r="U924">
        <v>163</v>
      </c>
      <c r="V924">
        <f>VLOOKUP($U924,'[2]AP Dynamic'!$Q$1:$T$542,2,FALSE)</f>
        <v>0.88888888888888884</v>
      </c>
      <c r="W924">
        <f>VLOOKUP($U924,'[2]AP Dynamic'!$Q$1:$T$542,3,FALSE)</f>
        <v>0.11111111111111116</v>
      </c>
      <c r="X924">
        <f>VLOOKUP($U924,'[2]AP Dynamic'!$Q$1:$T$542,4,FALSE)</f>
        <v>0</v>
      </c>
      <c r="Y924" s="77">
        <f t="shared" si="2890"/>
        <v>1</v>
      </c>
      <c r="Z924" s="77">
        <f t="shared" si="2896"/>
        <v>6.3149999999999984E-2</v>
      </c>
      <c r="AA924" s="77">
        <f t="shared" si="2897"/>
        <v>5.1160591879111372E-3</v>
      </c>
      <c r="AB924" s="79">
        <v>1</v>
      </c>
      <c r="AC924" s="77">
        <f t="shared" si="2835"/>
        <v>8.277777777777778E-3</v>
      </c>
      <c r="AD924" s="77">
        <f t="shared" ref="AD924" si="3076">1-(1-AC924)^(1/12)</f>
        <v>6.9244588451522482E-4</v>
      </c>
      <c r="AE924" s="77">
        <f t="shared" si="2837"/>
        <v>2.5000000000000001E-3</v>
      </c>
      <c r="AF924" s="77">
        <f t="shared" ref="AF924" si="3077">1-(1-AE924)^(1/12)</f>
        <v>2.0857243058891584E-4</v>
      </c>
      <c r="AH924" t="s">
        <v>175</v>
      </c>
      <c r="AI924" t="s">
        <v>179</v>
      </c>
      <c r="AJ924" s="197" t="str">
        <f t="shared" si="2824"/>
        <v>Lifecycle_Dynamic_163</v>
      </c>
      <c r="AK924">
        <v>163</v>
      </c>
      <c r="AL924">
        <f>VLOOKUP($U924,[2]Standard_Dynamic!$Q$1:$T$542,2,FALSE)</f>
        <v>0.88888888888888884</v>
      </c>
      <c r="AM924">
        <f>VLOOKUP($U924,[2]Standard_Dynamic!$Q$1:$T$542,3,FALSE)</f>
        <v>0.11111111111111116</v>
      </c>
      <c r="AN924">
        <f>VLOOKUP($U924,[2]Standard_Dynamic!$Q$1:$T$542,4,FALSE)</f>
        <v>0</v>
      </c>
      <c r="AO924" s="77">
        <f t="shared" si="2825"/>
        <v>1</v>
      </c>
      <c r="AP924" s="77">
        <f t="shared" si="2839"/>
        <v>6.3149999999999984E-2</v>
      </c>
      <c r="AQ924" s="77">
        <f t="shared" si="2826"/>
        <v>5.1160591879111372E-3</v>
      </c>
      <c r="AR924" s="79">
        <v>0</v>
      </c>
      <c r="AS924" s="77">
        <f t="shared" si="2840"/>
        <v>0</v>
      </c>
      <c r="AT924" s="77">
        <f t="shared" ref="AT924" si="3078">1-(1-AS924)^(1/12)</f>
        <v>0</v>
      </c>
      <c r="AU924" s="77">
        <f t="shared" si="2842"/>
        <v>2.5000000000000001E-3</v>
      </c>
      <c r="AV924" s="77">
        <f t="shared" ref="AV924" si="3079">1-(1-AU924)^(1/12)</f>
        <v>2.0857243058891584E-4</v>
      </c>
      <c r="AX924" t="s">
        <v>178</v>
      </c>
      <c r="AY924" t="s">
        <v>162</v>
      </c>
      <c r="AZ924" s="197" t="str">
        <f t="shared" si="2922"/>
        <v>DIS_Standard_163</v>
      </c>
      <c r="BA924">
        <v>163</v>
      </c>
      <c r="BB924">
        <f>VLOOKUP($BA924,'[2]Standard DIS'!$Q$1:$X$542,4,FALSE)</f>
        <v>0</v>
      </c>
      <c r="BF924">
        <f>VLOOKUP($BA924,'[2]Standard DIS'!$Q$1:$X$542,2,FALSE)</f>
        <v>0.88888888888888884</v>
      </c>
      <c r="BH924">
        <f>VLOOKUP($BA924,'[2]Standard DIS'!$Q$1:$X$542,3,FALSE)</f>
        <v>0.11111111111111116</v>
      </c>
      <c r="BI924" s="77">
        <f t="shared" si="2829"/>
        <v>1</v>
      </c>
      <c r="BJ924" s="77">
        <f t="shared" si="2830"/>
        <v>6.3149999999999984E-2</v>
      </c>
      <c r="BK924" s="77">
        <f t="shared" si="2923"/>
        <v>5.1160591879111372E-3</v>
      </c>
      <c r="BL924" s="79">
        <v>0</v>
      </c>
      <c r="BM924" s="77">
        <f t="shared" si="2844"/>
        <v>0</v>
      </c>
      <c r="BN924" s="77">
        <f t="shared" si="2845"/>
        <v>0</v>
      </c>
      <c r="BO924" s="77">
        <f t="shared" si="2846"/>
        <v>2.5000000000000001E-3</v>
      </c>
      <c r="BP924" s="77">
        <f t="shared" si="2847"/>
        <v>2.0809499864316017E-4</v>
      </c>
    </row>
    <row r="925" spans="1:68">
      <c r="A925" t="s">
        <v>175</v>
      </c>
      <c r="B925" t="s">
        <v>179</v>
      </c>
      <c r="C925" s="197" t="str">
        <f t="shared" si="2888"/>
        <v>Lifecycle_Dynamic_162</v>
      </c>
      <c r="D925">
        <v>162</v>
      </c>
      <c r="E925">
        <f>VLOOKUP($D925,'[2]LC Dynamic'!$Q$2:$U$542,2,FALSE)</f>
        <v>0</v>
      </c>
      <c r="F925">
        <f>VLOOKUP($D925,'[2]LC Dynamic'!$Q$2:$U$542,3,FALSE)</f>
        <v>6.4999999999999997E-3</v>
      </c>
      <c r="G925">
        <f>VLOOKUP($D925,'[2]LC Dynamic'!$Q$2:$U$542,4,FALSE)</f>
        <v>0.67149999999999999</v>
      </c>
      <c r="H925">
        <f>VLOOKUP($D925,'[2]LC Dynamic'!$Q$2:$U$542,5,FALSE)</f>
        <v>0.32200000000000001</v>
      </c>
      <c r="I925" s="77">
        <f t="shared" si="2820"/>
        <v>1</v>
      </c>
      <c r="J925" s="77">
        <f t="shared" si="2821"/>
        <v>6.6884699999999991E-2</v>
      </c>
      <c r="K925" s="77">
        <f t="shared" si="2895"/>
        <v>5.4098227375667385E-3</v>
      </c>
      <c r="L925" s="76">
        <v>0</v>
      </c>
      <c r="M925" s="77">
        <f t="shared" si="2831"/>
        <v>0</v>
      </c>
      <c r="N925" s="77">
        <f t="shared" si="2832"/>
        <v>0</v>
      </c>
      <c r="O925" s="77">
        <f t="shared" si="2833"/>
        <v>6.48315E-3</v>
      </c>
      <c r="P925" s="77">
        <f t="shared" si="2834"/>
        <v>5.4187454064291707E-4</v>
      </c>
      <c r="R925" t="s">
        <v>177</v>
      </c>
      <c r="S925" t="s">
        <v>179</v>
      </c>
      <c r="T925" s="197" t="str">
        <f t="shared" si="2889"/>
        <v>Autopilot_Dynamic_162</v>
      </c>
      <c r="U925">
        <v>162</v>
      </c>
      <c r="V925">
        <f>VLOOKUP($U925,'[2]AP Dynamic'!$Q$1:$T$542,2,FALSE)</f>
        <v>0.88888888888888884</v>
      </c>
      <c r="W925">
        <f>VLOOKUP($U925,'[2]AP Dynamic'!$Q$1:$T$542,3,FALSE)</f>
        <v>0.11111111111111116</v>
      </c>
      <c r="X925">
        <f>VLOOKUP($U925,'[2]AP Dynamic'!$Q$1:$T$542,4,FALSE)</f>
        <v>0</v>
      </c>
      <c r="Y925" s="77">
        <f t="shared" si="2890"/>
        <v>1</v>
      </c>
      <c r="Z925" s="77">
        <f t="shared" si="2896"/>
        <v>6.3149999999999984E-2</v>
      </c>
      <c r="AA925" s="77">
        <f t="shared" si="2897"/>
        <v>5.1160591879111372E-3</v>
      </c>
      <c r="AB925" s="79">
        <v>1</v>
      </c>
      <c r="AC925" s="77">
        <f t="shared" si="2835"/>
        <v>8.277777777777778E-3</v>
      </c>
      <c r="AD925" s="77">
        <f t="shared" ref="AD925" si="3080">1-(1-AC925)^(1/12)</f>
        <v>6.9244588451522482E-4</v>
      </c>
      <c r="AE925" s="77">
        <f t="shared" si="2837"/>
        <v>2.5000000000000001E-3</v>
      </c>
      <c r="AF925" s="77">
        <f t="shared" ref="AF925" si="3081">1-(1-AE925)^(1/12)</f>
        <v>2.0857243058891584E-4</v>
      </c>
      <c r="AH925" t="s">
        <v>175</v>
      </c>
      <c r="AI925" t="s">
        <v>179</v>
      </c>
      <c r="AJ925" s="197" t="str">
        <f t="shared" si="2824"/>
        <v>Lifecycle_Dynamic_162</v>
      </c>
      <c r="AK925">
        <v>162</v>
      </c>
      <c r="AL925">
        <f>VLOOKUP($U925,[2]Standard_Dynamic!$Q$1:$T$542,2,FALSE)</f>
        <v>0.88888888888888884</v>
      </c>
      <c r="AM925">
        <f>VLOOKUP($U925,[2]Standard_Dynamic!$Q$1:$T$542,3,FALSE)</f>
        <v>0.11111111111111116</v>
      </c>
      <c r="AN925">
        <f>VLOOKUP($U925,[2]Standard_Dynamic!$Q$1:$T$542,4,FALSE)</f>
        <v>0</v>
      </c>
      <c r="AO925" s="77">
        <f t="shared" si="2825"/>
        <v>1</v>
      </c>
      <c r="AP925" s="77">
        <f t="shared" si="2839"/>
        <v>6.3149999999999984E-2</v>
      </c>
      <c r="AQ925" s="77">
        <f t="shared" si="2826"/>
        <v>5.1160591879111372E-3</v>
      </c>
      <c r="AR925" s="79">
        <v>0</v>
      </c>
      <c r="AS925" s="77">
        <f t="shared" si="2840"/>
        <v>0</v>
      </c>
      <c r="AT925" s="77">
        <f t="shared" ref="AT925" si="3082">1-(1-AS925)^(1/12)</f>
        <v>0</v>
      </c>
      <c r="AU925" s="77">
        <f t="shared" si="2842"/>
        <v>2.5000000000000001E-3</v>
      </c>
      <c r="AV925" s="77">
        <f t="shared" ref="AV925" si="3083">1-(1-AU925)^(1/12)</f>
        <v>2.0857243058891584E-4</v>
      </c>
      <c r="AX925" t="s">
        <v>178</v>
      </c>
      <c r="AY925" t="s">
        <v>162</v>
      </c>
      <c r="AZ925" s="197" t="str">
        <f t="shared" si="2922"/>
        <v>DIS_Standard_162</v>
      </c>
      <c r="BA925">
        <v>162</v>
      </c>
      <c r="BB925">
        <f>VLOOKUP($BA925,'[2]Standard DIS'!$Q$1:$X$542,4,FALSE)</f>
        <v>0</v>
      </c>
      <c r="BF925">
        <f>VLOOKUP($BA925,'[2]Standard DIS'!$Q$1:$X$542,2,FALSE)</f>
        <v>0.88888888888888884</v>
      </c>
      <c r="BH925">
        <f>VLOOKUP($BA925,'[2]Standard DIS'!$Q$1:$X$542,3,FALSE)</f>
        <v>0.11111111111111116</v>
      </c>
      <c r="BI925" s="77">
        <f t="shared" si="2829"/>
        <v>1</v>
      </c>
      <c r="BJ925" s="77">
        <f t="shared" si="2830"/>
        <v>6.3149999999999984E-2</v>
      </c>
      <c r="BK925" s="77">
        <f t="shared" si="2923"/>
        <v>5.1160591879111372E-3</v>
      </c>
      <c r="BL925" s="79">
        <v>0</v>
      </c>
      <c r="BM925" s="77">
        <f t="shared" si="2844"/>
        <v>0</v>
      </c>
      <c r="BN925" s="77">
        <f t="shared" si="2845"/>
        <v>0</v>
      </c>
      <c r="BO925" s="77">
        <f t="shared" si="2846"/>
        <v>2.5000000000000001E-3</v>
      </c>
      <c r="BP925" s="77">
        <f t="shared" si="2847"/>
        <v>2.0809499864316017E-4</v>
      </c>
    </row>
    <row r="926" spans="1:68">
      <c r="A926" t="s">
        <v>175</v>
      </c>
      <c r="B926" t="s">
        <v>179</v>
      </c>
      <c r="C926" s="197" t="str">
        <f t="shared" si="2888"/>
        <v>Lifecycle_Dynamic_161</v>
      </c>
      <c r="D926">
        <v>161</v>
      </c>
      <c r="E926">
        <f>VLOOKUP($D926,'[2]LC Dynamic'!$Q$2:$U$542,2,FALSE)</f>
        <v>0</v>
      </c>
      <c r="F926">
        <f>VLOOKUP($D926,'[2]LC Dynamic'!$Q$2:$U$542,3,FALSE)</f>
        <v>7.5833333333333326E-3</v>
      </c>
      <c r="G926">
        <f>VLOOKUP($D926,'[2]LC Dynamic'!$Q$2:$U$542,4,FALSE)</f>
        <v>0.70974999999999999</v>
      </c>
      <c r="H926">
        <f>VLOOKUP($D926,'[2]LC Dynamic'!$Q$2:$U$542,5,FALSE)</f>
        <v>0.28266666666666668</v>
      </c>
      <c r="I926" s="77">
        <f t="shared" si="2820"/>
        <v>1</v>
      </c>
      <c r="J926" s="77">
        <f t="shared" si="2821"/>
        <v>6.6575441666666652E-2</v>
      </c>
      <c r="K926" s="77">
        <f t="shared" si="2895"/>
        <v>5.3855329616701031E-3</v>
      </c>
      <c r="L926" s="76">
        <v>0</v>
      </c>
      <c r="M926" s="77">
        <f t="shared" si="2831"/>
        <v>0</v>
      </c>
      <c r="N926" s="77">
        <f t="shared" si="2832"/>
        <v>0</v>
      </c>
      <c r="O926" s="77">
        <f t="shared" si="2833"/>
        <v>6.5682749999999993E-3</v>
      </c>
      <c r="P926" s="77">
        <f t="shared" si="2834"/>
        <v>5.4901099184134772E-4</v>
      </c>
      <c r="R926" t="s">
        <v>177</v>
      </c>
      <c r="S926" t="s">
        <v>179</v>
      </c>
      <c r="T926" s="197" t="str">
        <f t="shared" si="2889"/>
        <v>Autopilot_Dynamic_161</v>
      </c>
      <c r="U926">
        <v>161</v>
      </c>
      <c r="V926">
        <f>VLOOKUP($U926,'[2]AP Dynamic'!$Q$1:$T$542,2,FALSE)</f>
        <v>0.88888888888888884</v>
      </c>
      <c r="W926">
        <f>VLOOKUP($U926,'[2]AP Dynamic'!$Q$1:$T$542,3,FALSE)</f>
        <v>0.11111111111111116</v>
      </c>
      <c r="X926">
        <f>VLOOKUP($U926,'[2]AP Dynamic'!$Q$1:$T$542,4,FALSE)</f>
        <v>0</v>
      </c>
      <c r="Y926" s="77">
        <f t="shared" si="2890"/>
        <v>1</v>
      </c>
      <c r="Z926" s="77">
        <f t="shared" si="2896"/>
        <v>6.3149999999999984E-2</v>
      </c>
      <c r="AA926" s="77">
        <f t="shared" si="2897"/>
        <v>5.1160591879111372E-3</v>
      </c>
      <c r="AB926" s="79">
        <v>1</v>
      </c>
      <c r="AC926" s="77">
        <f t="shared" si="2835"/>
        <v>8.277777777777778E-3</v>
      </c>
      <c r="AD926" s="77">
        <f t="shared" ref="AD926" si="3084">1-(1-AC926)^(1/12)</f>
        <v>6.9244588451522482E-4</v>
      </c>
      <c r="AE926" s="77">
        <f t="shared" si="2837"/>
        <v>2.5000000000000001E-3</v>
      </c>
      <c r="AF926" s="77">
        <f t="shared" ref="AF926" si="3085">1-(1-AE926)^(1/12)</f>
        <v>2.0857243058891584E-4</v>
      </c>
      <c r="AH926" t="s">
        <v>175</v>
      </c>
      <c r="AI926" t="s">
        <v>179</v>
      </c>
      <c r="AJ926" s="197" t="str">
        <f t="shared" si="2824"/>
        <v>Lifecycle_Dynamic_161</v>
      </c>
      <c r="AK926">
        <v>161</v>
      </c>
      <c r="AL926">
        <f>VLOOKUP($U926,[2]Standard_Dynamic!$Q$1:$T$542,2,FALSE)</f>
        <v>0.88888888888888884</v>
      </c>
      <c r="AM926">
        <f>VLOOKUP($U926,[2]Standard_Dynamic!$Q$1:$T$542,3,FALSE)</f>
        <v>0.11111111111111116</v>
      </c>
      <c r="AN926">
        <f>VLOOKUP($U926,[2]Standard_Dynamic!$Q$1:$T$542,4,FALSE)</f>
        <v>0</v>
      </c>
      <c r="AO926" s="77">
        <f t="shared" si="2825"/>
        <v>1</v>
      </c>
      <c r="AP926" s="77">
        <f t="shared" si="2839"/>
        <v>6.3149999999999984E-2</v>
      </c>
      <c r="AQ926" s="77">
        <f t="shared" si="2826"/>
        <v>5.1160591879111372E-3</v>
      </c>
      <c r="AR926" s="79">
        <v>0</v>
      </c>
      <c r="AS926" s="77">
        <f t="shared" si="2840"/>
        <v>0</v>
      </c>
      <c r="AT926" s="77">
        <f t="shared" ref="AT926" si="3086">1-(1-AS926)^(1/12)</f>
        <v>0</v>
      </c>
      <c r="AU926" s="77">
        <f t="shared" si="2842"/>
        <v>2.5000000000000001E-3</v>
      </c>
      <c r="AV926" s="77">
        <f t="shared" ref="AV926" si="3087">1-(1-AU926)^(1/12)</f>
        <v>2.0857243058891584E-4</v>
      </c>
      <c r="AX926" t="s">
        <v>178</v>
      </c>
      <c r="AY926" t="s">
        <v>162</v>
      </c>
      <c r="AZ926" s="197" t="str">
        <f t="shared" si="2922"/>
        <v>DIS_Standard_161</v>
      </c>
      <c r="BA926">
        <v>161</v>
      </c>
      <c r="BB926">
        <f>VLOOKUP($BA926,'[2]Standard DIS'!$Q$1:$X$542,4,FALSE)</f>
        <v>0</v>
      </c>
      <c r="BF926">
        <f>VLOOKUP($BA926,'[2]Standard DIS'!$Q$1:$X$542,2,FALSE)</f>
        <v>0.88888888888888884</v>
      </c>
      <c r="BH926">
        <f>VLOOKUP($BA926,'[2]Standard DIS'!$Q$1:$X$542,3,FALSE)</f>
        <v>0.11111111111111116</v>
      </c>
      <c r="BI926" s="77">
        <f t="shared" si="2829"/>
        <v>1</v>
      </c>
      <c r="BJ926" s="77">
        <f t="shared" si="2830"/>
        <v>6.3149999999999984E-2</v>
      </c>
      <c r="BK926" s="77">
        <f t="shared" si="2923"/>
        <v>5.1160591879111372E-3</v>
      </c>
      <c r="BL926" s="79">
        <v>0</v>
      </c>
      <c r="BM926" s="77">
        <f t="shared" si="2844"/>
        <v>0</v>
      </c>
      <c r="BN926" s="77">
        <f t="shared" si="2845"/>
        <v>0</v>
      </c>
      <c r="BO926" s="77">
        <f t="shared" si="2846"/>
        <v>2.5000000000000001E-3</v>
      </c>
      <c r="BP926" s="77">
        <f t="shared" si="2847"/>
        <v>2.0809499864316017E-4</v>
      </c>
    </row>
    <row r="927" spans="1:68">
      <c r="A927" t="s">
        <v>175</v>
      </c>
      <c r="B927" t="s">
        <v>179</v>
      </c>
      <c r="C927" s="197" t="str">
        <f t="shared" si="2888"/>
        <v>Lifecycle_Dynamic_160</v>
      </c>
      <c r="D927">
        <v>160</v>
      </c>
      <c r="E927">
        <f>VLOOKUP($D927,'[2]LC Dynamic'!$Q$2:$U$542,2,FALSE)</f>
        <v>0</v>
      </c>
      <c r="F927">
        <f>VLOOKUP($D927,'[2]LC Dynamic'!$Q$2:$U$542,3,FALSE)</f>
        <v>8.6666666666666663E-3</v>
      </c>
      <c r="G927">
        <f>VLOOKUP($D927,'[2]LC Dynamic'!$Q$2:$U$542,4,FALSE)</f>
        <v>0.748</v>
      </c>
      <c r="H927">
        <f>VLOOKUP($D927,'[2]LC Dynamic'!$Q$2:$U$542,5,FALSE)</f>
        <v>0.24333333333333335</v>
      </c>
      <c r="I927" s="77">
        <f t="shared" si="2820"/>
        <v>1</v>
      </c>
      <c r="J927" s="77">
        <f t="shared" si="2821"/>
        <v>6.6266183333333326E-2</v>
      </c>
      <c r="K927" s="77">
        <f t="shared" si="2895"/>
        <v>5.3612367288968787E-3</v>
      </c>
      <c r="L927" s="76">
        <v>0</v>
      </c>
      <c r="M927" s="77">
        <f t="shared" si="2831"/>
        <v>0</v>
      </c>
      <c r="N927" s="77">
        <f t="shared" si="2832"/>
        <v>0</v>
      </c>
      <c r="O927" s="77">
        <f t="shared" si="2833"/>
        <v>6.6534000000000003E-3</v>
      </c>
      <c r="P927" s="77">
        <f t="shared" si="2834"/>
        <v>5.5614800360992422E-4</v>
      </c>
      <c r="R927" t="s">
        <v>177</v>
      </c>
      <c r="S927" t="s">
        <v>179</v>
      </c>
      <c r="T927" s="197" t="str">
        <f t="shared" si="2889"/>
        <v>Autopilot_Dynamic_160</v>
      </c>
      <c r="U927">
        <v>160</v>
      </c>
      <c r="V927">
        <f>VLOOKUP($U927,'[2]AP Dynamic'!$Q$1:$T$542,2,FALSE)</f>
        <v>0.88888888888888884</v>
      </c>
      <c r="W927">
        <f>VLOOKUP($U927,'[2]AP Dynamic'!$Q$1:$T$542,3,FALSE)</f>
        <v>0.11111111111111116</v>
      </c>
      <c r="X927">
        <f>VLOOKUP($U927,'[2]AP Dynamic'!$Q$1:$T$542,4,FALSE)</f>
        <v>0</v>
      </c>
      <c r="Y927" s="77">
        <f t="shared" si="2890"/>
        <v>1</v>
      </c>
      <c r="Z927" s="77">
        <f t="shared" si="2896"/>
        <v>6.3149999999999984E-2</v>
      </c>
      <c r="AA927" s="77">
        <f t="shared" si="2897"/>
        <v>5.1160591879111372E-3</v>
      </c>
      <c r="AB927" s="79">
        <v>1</v>
      </c>
      <c r="AC927" s="77">
        <f t="shared" si="2835"/>
        <v>8.277777777777778E-3</v>
      </c>
      <c r="AD927" s="77">
        <f t="shared" ref="AD927" si="3088">1-(1-AC927)^(1/12)</f>
        <v>6.9244588451522482E-4</v>
      </c>
      <c r="AE927" s="77">
        <f t="shared" si="2837"/>
        <v>2.5000000000000001E-3</v>
      </c>
      <c r="AF927" s="77">
        <f t="shared" ref="AF927" si="3089">1-(1-AE927)^(1/12)</f>
        <v>2.0857243058891584E-4</v>
      </c>
      <c r="AH927" t="s">
        <v>175</v>
      </c>
      <c r="AI927" t="s">
        <v>179</v>
      </c>
      <c r="AJ927" s="197" t="str">
        <f t="shared" si="2824"/>
        <v>Lifecycle_Dynamic_160</v>
      </c>
      <c r="AK927">
        <v>160</v>
      </c>
      <c r="AL927">
        <f>VLOOKUP($U927,[2]Standard_Dynamic!$Q$1:$T$542,2,FALSE)</f>
        <v>0.88888888888888884</v>
      </c>
      <c r="AM927">
        <f>VLOOKUP($U927,[2]Standard_Dynamic!$Q$1:$T$542,3,FALSE)</f>
        <v>0.11111111111111116</v>
      </c>
      <c r="AN927">
        <f>VLOOKUP($U927,[2]Standard_Dynamic!$Q$1:$T$542,4,FALSE)</f>
        <v>0</v>
      </c>
      <c r="AO927" s="77">
        <f t="shared" si="2825"/>
        <v>1</v>
      </c>
      <c r="AP927" s="77">
        <f t="shared" si="2839"/>
        <v>6.3149999999999984E-2</v>
      </c>
      <c r="AQ927" s="77">
        <f t="shared" si="2826"/>
        <v>5.1160591879111372E-3</v>
      </c>
      <c r="AR927" s="79">
        <v>0</v>
      </c>
      <c r="AS927" s="77">
        <f t="shared" si="2840"/>
        <v>0</v>
      </c>
      <c r="AT927" s="77">
        <f t="shared" ref="AT927" si="3090">1-(1-AS927)^(1/12)</f>
        <v>0</v>
      </c>
      <c r="AU927" s="77">
        <f t="shared" si="2842"/>
        <v>2.5000000000000001E-3</v>
      </c>
      <c r="AV927" s="77">
        <f t="shared" ref="AV927" si="3091">1-(1-AU927)^(1/12)</f>
        <v>2.0857243058891584E-4</v>
      </c>
      <c r="AX927" t="s">
        <v>178</v>
      </c>
      <c r="AY927" t="s">
        <v>162</v>
      </c>
      <c r="AZ927" s="197" t="str">
        <f t="shared" si="2922"/>
        <v>DIS_Standard_160</v>
      </c>
      <c r="BA927">
        <v>160</v>
      </c>
      <c r="BB927">
        <f>VLOOKUP($BA927,'[2]Standard DIS'!$Q$1:$X$542,4,FALSE)</f>
        <v>0</v>
      </c>
      <c r="BF927">
        <f>VLOOKUP($BA927,'[2]Standard DIS'!$Q$1:$X$542,2,FALSE)</f>
        <v>0.88888888888888884</v>
      </c>
      <c r="BH927">
        <f>VLOOKUP($BA927,'[2]Standard DIS'!$Q$1:$X$542,3,FALSE)</f>
        <v>0.11111111111111116</v>
      </c>
      <c r="BI927" s="77">
        <f t="shared" si="2829"/>
        <v>1</v>
      </c>
      <c r="BJ927" s="77">
        <f t="shared" si="2830"/>
        <v>6.3149999999999984E-2</v>
      </c>
      <c r="BK927" s="77">
        <f t="shared" si="2923"/>
        <v>5.1160591879111372E-3</v>
      </c>
      <c r="BL927" s="79">
        <v>0</v>
      </c>
      <c r="BM927" s="77">
        <f t="shared" si="2844"/>
        <v>0</v>
      </c>
      <c r="BN927" s="77">
        <f t="shared" si="2845"/>
        <v>0</v>
      </c>
      <c r="BO927" s="77">
        <f t="shared" si="2846"/>
        <v>2.5000000000000001E-3</v>
      </c>
      <c r="BP927" s="77">
        <f t="shared" si="2847"/>
        <v>2.0809499864316017E-4</v>
      </c>
    </row>
    <row r="928" spans="1:68">
      <c r="A928" t="s">
        <v>175</v>
      </c>
      <c r="B928" t="s">
        <v>179</v>
      </c>
      <c r="C928" s="197" t="str">
        <f t="shared" si="2888"/>
        <v>Lifecycle_Dynamic_159</v>
      </c>
      <c r="D928">
        <v>159</v>
      </c>
      <c r="E928">
        <f>VLOOKUP($D928,'[2]LC Dynamic'!$Q$2:$U$542,2,FALSE)</f>
        <v>0</v>
      </c>
      <c r="F928">
        <f>VLOOKUP($D928,'[2]LC Dynamic'!$Q$2:$U$542,3,FALSE)</f>
        <v>9.75E-3</v>
      </c>
      <c r="G928">
        <f>VLOOKUP($D928,'[2]LC Dynamic'!$Q$2:$U$542,4,FALSE)</f>
        <v>0.78625</v>
      </c>
      <c r="H928">
        <f>VLOOKUP($D928,'[2]LC Dynamic'!$Q$2:$U$542,5,FALSE)</f>
        <v>0.20400000000000001</v>
      </c>
      <c r="I928" s="77">
        <f t="shared" si="2820"/>
        <v>1</v>
      </c>
      <c r="J928" s="77">
        <f t="shared" si="2821"/>
        <v>6.5956924999999986E-2</v>
      </c>
      <c r="K928" s="77">
        <f t="shared" si="2895"/>
        <v>5.3369340356566042E-3</v>
      </c>
      <c r="L928" s="76">
        <v>0</v>
      </c>
      <c r="M928" s="77">
        <f t="shared" si="2831"/>
        <v>0</v>
      </c>
      <c r="N928" s="77">
        <f t="shared" si="2832"/>
        <v>0</v>
      </c>
      <c r="O928" s="77">
        <f t="shared" si="2833"/>
        <v>6.7385250000000004E-3</v>
      </c>
      <c r="P928" s="77">
        <f t="shared" si="2834"/>
        <v>5.6328557604057305E-4</v>
      </c>
      <c r="R928" t="s">
        <v>177</v>
      </c>
      <c r="S928" t="s">
        <v>179</v>
      </c>
      <c r="T928" s="197" t="str">
        <f t="shared" si="2889"/>
        <v>Autopilot_Dynamic_159</v>
      </c>
      <c r="U928">
        <v>159</v>
      </c>
      <c r="V928">
        <f>VLOOKUP($U928,'[2]AP Dynamic'!$Q$1:$T$542,2,FALSE)</f>
        <v>0.88888888888888884</v>
      </c>
      <c r="W928">
        <f>VLOOKUP($U928,'[2]AP Dynamic'!$Q$1:$T$542,3,FALSE)</f>
        <v>0.11111111111111116</v>
      </c>
      <c r="X928">
        <f>VLOOKUP($U928,'[2]AP Dynamic'!$Q$1:$T$542,4,FALSE)</f>
        <v>0</v>
      </c>
      <c r="Y928" s="77">
        <f t="shared" si="2890"/>
        <v>1</v>
      </c>
      <c r="Z928" s="77">
        <f t="shared" si="2896"/>
        <v>6.3149999999999984E-2</v>
      </c>
      <c r="AA928" s="77">
        <f t="shared" si="2897"/>
        <v>5.1160591879111372E-3</v>
      </c>
      <c r="AB928" s="79">
        <v>1</v>
      </c>
      <c r="AC928" s="77">
        <f t="shared" si="2835"/>
        <v>8.277777777777778E-3</v>
      </c>
      <c r="AD928" s="77">
        <f t="shared" ref="AD928" si="3092">1-(1-AC928)^(1/12)</f>
        <v>6.9244588451522482E-4</v>
      </c>
      <c r="AE928" s="77">
        <f t="shared" si="2837"/>
        <v>2.5000000000000001E-3</v>
      </c>
      <c r="AF928" s="77">
        <f t="shared" ref="AF928" si="3093">1-(1-AE928)^(1/12)</f>
        <v>2.0857243058891584E-4</v>
      </c>
      <c r="AH928" t="s">
        <v>175</v>
      </c>
      <c r="AI928" t="s">
        <v>179</v>
      </c>
      <c r="AJ928" s="197" t="str">
        <f t="shared" si="2824"/>
        <v>Lifecycle_Dynamic_159</v>
      </c>
      <c r="AK928">
        <v>159</v>
      </c>
      <c r="AL928">
        <f>VLOOKUP($U928,[2]Standard_Dynamic!$Q$1:$T$542,2,FALSE)</f>
        <v>0.88888888888888884</v>
      </c>
      <c r="AM928">
        <f>VLOOKUP($U928,[2]Standard_Dynamic!$Q$1:$T$542,3,FALSE)</f>
        <v>0.11111111111111116</v>
      </c>
      <c r="AN928">
        <f>VLOOKUP($U928,[2]Standard_Dynamic!$Q$1:$T$542,4,FALSE)</f>
        <v>0</v>
      </c>
      <c r="AO928" s="77">
        <f t="shared" si="2825"/>
        <v>1</v>
      </c>
      <c r="AP928" s="77">
        <f t="shared" si="2839"/>
        <v>6.3149999999999984E-2</v>
      </c>
      <c r="AQ928" s="77">
        <f t="shared" si="2826"/>
        <v>5.1160591879111372E-3</v>
      </c>
      <c r="AR928" s="79">
        <v>0</v>
      </c>
      <c r="AS928" s="77">
        <f t="shared" si="2840"/>
        <v>0</v>
      </c>
      <c r="AT928" s="77">
        <f t="shared" ref="AT928" si="3094">1-(1-AS928)^(1/12)</f>
        <v>0</v>
      </c>
      <c r="AU928" s="77">
        <f t="shared" si="2842"/>
        <v>2.5000000000000001E-3</v>
      </c>
      <c r="AV928" s="77">
        <f t="shared" ref="AV928" si="3095">1-(1-AU928)^(1/12)</f>
        <v>2.0857243058891584E-4</v>
      </c>
      <c r="AX928" t="s">
        <v>178</v>
      </c>
      <c r="AY928" t="s">
        <v>162</v>
      </c>
      <c r="AZ928" s="197" t="str">
        <f t="shared" si="2922"/>
        <v>DIS_Standard_159</v>
      </c>
      <c r="BA928">
        <v>159</v>
      </c>
      <c r="BB928">
        <f>VLOOKUP($BA928,'[2]Standard DIS'!$Q$1:$X$542,4,FALSE)</f>
        <v>0</v>
      </c>
      <c r="BF928">
        <f>VLOOKUP($BA928,'[2]Standard DIS'!$Q$1:$X$542,2,FALSE)</f>
        <v>0.88888888888888884</v>
      </c>
      <c r="BH928">
        <f>VLOOKUP($BA928,'[2]Standard DIS'!$Q$1:$X$542,3,FALSE)</f>
        <v>0.11111111111111116</v>
      </c>
      <c r="BI928" s="77">
        <f t="shared" si="2829"/>
        <v>1</v>
      </c>
      <c r="BJ928" s="77">
        <f t="shared" si="2830"/>
        <v>6.3149999999999984E-2</v>
      </c>
      <c r="BK928" s="77">
        <f t="shared" si="2923"/>
        <v>5.1160591879111372E-3</v>
      </c>
      <c r="BL928" s="79">
        <v>0</v>
      </c>
      <c r="BM928" s="77">
        <f t="shared" si="2844"/>
        <v>0</v>
      </c>
      <c r="BN928" s="77">
        <f t="shared" si="2845"/>
        <v>0</v>
      </c>
      <c r="BO928" s="77">
        <f t="shared" si="2846"/>
        <v>2.5000000000000001E-3</v>
      </c>
      <c r="BP928" s="77">
        <f t="shared" si="2847"/>
        <v>2.0809499864316017E-4</v>
      </c>
    </row>
    <row r="929" spans="1:68">
      <c r="A929" t="s">
        <v>175</v>
      </c>
      <c r="B929" t="s">
        <v>179</v>
      </c>
      <c r="C929" s="197" t="str">
        <f t="shared" si="2888"/>
        <v>Lifecycle_Dynamic_158</v>
      </c>
      <c r="D929">
        <v>158</v>
      </c>
      <c r="E929">
        <f>VLOOKUP($D929,'[2]LC Dynamic'!$Q$2:$U$542,2,FALSE)</f>
        <v>0</v>
      </c>
      <c r="F929">
        <f>VLOOKUP($D929,'[2]LC Dynamic'!$Q$2:$U$542,3,FALSE)</f>
        <v>1.0833333333333334E-2</v>
      </c>
      <c r="G929">
        <f>VLOOKUP($D929,'[2]LC Dynamic'!$Q$2:$U$542,4,FALSE)</f>
        <v>0.82450000000000001</v>
      </c>
      <c r="H929">
        <f>VLOOKUP($D929,'[2]LC Dynamic'!$Q$2:$U$542,5,FALSE)</f>
        <v>0.16466666666666668</v>
      </c>
      <c r="I929" s="77">
        <f t="shared" si="2820"/>
        <v>1</v>
      </c>
      <c r="J929" s="77">
        <f t="shared" si="2821"/>
        <v>6.564766666666666E-2</v>
      </c>
      <c r="K929" s="77">
        <f t="shared" si="2895"/>
        <v>5.3126248783568197E-3</v>
      </c>
      <c r="L929" s="76">
        <v>0</v>
      </c>
      <c r="M929" s="77">
        <f t="shared" si="2831"/>
        <v>0</v>
      </c>
      <c r="N929" s="77">
        <f t="shared" si="2832"/>
        <v>0</v>
      </c>
      <c r="O929" s="77">
        <f t="shared" si="2833"/>
        <v>6.8236500000000005E-3</v>
      </c>
      <c r="P929" s="77">
        <f t="shared" si="2834"/>
        <v>5.7042370922544272E-4</v>
      </c>
      <c r="R929" t="s">
        <v>177</v>
      </c>
      <c r="S929" t="s">
        <v>179</v>
      </c>
      <c r="T929" s="197" t="str">
        <f t="shared" si="2889"/>
        <v>Autopilot_Dynamic_158</v>
      </c>
      <c r="U929">
        <v>158</v>
      </c>
      <c r="V929">
        <f>VLOOKUP($U929,'[2]AP Dynamic'!$Q$1:$T$542,2,FALSE)</f>
        <v>0.88888888888888884</v>
      </c>
      <c r="W929">
        <f>VLOOKUP($U929,'[2]AP Dynamic'!$Q$1:$T$542,3,FALSE)</f>
        <v>0.11111111111111116</v>
      </c>
      <c r="X929">
        <f>VLOOKUP($U929,'[2]AP Dynamic'!$Q$1:$T$542,4,FALSE)</f>
        <v>0</v>
      </c>
      <c r="Y929" s="77">
        <f t="shared" si="2890"/>
        <v>1</v>
      </c>
      <c r="Z929" s="77">
        <f t="shared" si="2896"/>
        <v>6.3149999999999984E-2</v>
      </c>
      <c r="AA929" s="77">
        <f t="shared" si="2897"/>
        <v>5.1160591879111372E-3</v>
      </c>
      <c r="AB929" s="79">
        <v>1</v>
      </c>
      <c r="AC929" s="77">
        <f t="shared" si="2835"/>
        <v>8.277777777777778E-3</v>
      </c>
      <c r="AD929" s="77">
        <f t="shared" ref="AD929" si="3096">1-(1-AC929)^(1/12)</f>
        <v>6.9244588451522482E-4</v>
      </c>
      <c r="AE929" s="77">
        <f t="shared" si="2837"/>
        <v>2.5000000000000001E-3</v>
      </c>
      <c r="AF929" s="77">
        <f t="shared" ref="AF929" si="3097">1-(1-AE929)^(1/12)</f>
        <v>2.0857243058891584E-4</v>
      </c>
      <c r="AH929" t="s">
        <v>175</v>
      </c>
      <c r="AI929" t="s">
        <v>179</v>
      </c>
      <c r="AJ929" s="197" t="str">
        <f t="shared" si="2824"/>
        <v>Lifecycle_Dynamic_158</v>
      </c>
      <c r="AK929">
        <v>158</v>
      </c>
      <c r="AL929">
        <f>VLOOKUP($U929,[2]Standard_Dynamic!$Q$1:$T$542,2,FALSE)</f>
        <v>0.88888888888888884</v>
      </c>
      <c r="AM929">
        <f>VLOOKUP($U929,[2]Standard_Dynamic!$Q$1:$T$542,3,FALSE)</f>
        <v>0.11111111111111116</v>
      </c>
      <c r="AN929">
        <f>VLOOKUP($U929,[2]Standard_Dynamic!$Q$1:$T$542,4,FALSE)</f>
        <v>0</v>
      </c>
      <c r="AO929" s="77">
        <f t="shared" si="2825"/>
        <v>1</v>
      </c>
      <c r="AP929" s="77">
        <f t="shared" si="2839"/>
        <v>6.3149999999999984E-2</v>
      </c>
      <c r="AQ929" s="77">
        <f t="shared" si="2826"/>
        <v>5.1160591879111372E-3</v>
      </c>
      <c r="AR929" s="79">
        <v>0</v>
      </c>
      <c r="AS929" s="77">
        <f t="shared" si="2840"/>
        <v>0</v>
      </c>
      <c r="AT929" s="77">
        <f t="shared" ref="AT929" si="3098">1-(1-AS929)^(1/12)</f>
        <v>0</v>
      </c>
      <c r="AU929" s="77">
        <f t="shared" si="2842"/>
        <v>2.5000000000000001E-3</v>
      </c>
      <c r="AV929" s="77">
        <f t="shared" ref="AV929" si="3099">1-(1-AU929)^(1/12)</f>
        <v>2.0857243058891584E-4</v>
      </c>
      <c r="AX929" t="s">
        <v>178</v>
      </c>
      <c r="AY929" t="s">
        <v>162</v>
      </c>
      <c r="AZ929" s="197" t="str">
        <f t="shared" si="2922"/>
        <v>DIS_Standard_158</v>
      </c>
      <c r="BA929">
        <v>158</v>
      </c>
      <c r="BB929">
        <f>VLOOKUP($BA929,'[2]Standard DIS'!$Q$1:$X$542,4,FALSE)</f>
        <v>0</v>
      </c>
      <c r="BF929">
        <f>VLOOKUP($BA929,'[2]Standard DIS'!$Q$1:$X$542,2,FALSE)</f>
        <v>0.88888888888888884</v>
      </c>
      <c r="BH929">
        <f>VLOOKUP($BA929,'[2]Standard DIS'!$Q$1:$X$542,3,FALSE)</f>
        <v>0.11111111111111116</v>
      </c>
      <c r="BI929" s="77">
        <f t="shared" si="2829"/>
        <v>1</v>
      </c>
      <c r="BJ929" s="77">
        <f t="shared" si="2830"/>
        <v>6.3149999999999984E-2</v>
      </c>
      <c r="BK929" s="77">
        <f t="shared" si="2923"/>
        <v>5.1160591879111372E-3</v>
      </c>
      <c r="BL929" s="79">
        <v>0</v>
      </c>
      <c r="BM929" s="77">
        <f t="shared" si="2844"/>
        <v>0</v>
      </c>
      <c r="BN929" s="77">
        <f t="shared" si="2845"/>
        <v>0</v>
      </c>
      <c r="BO929" s="77">
        <f t="shared" si="2846"/>
        <v>2.5000000000000001E-3</v>
      </c>
      <c r="BP929" s="77">
        <f t="shared" si="2847"/>
        <v>2.0809499864316017E-4</v>
      </c>
    </row>
    <row r="930" spans="1:68">
      <c r="A930" t="s">
        <v>175</v>
      </c>
      <c r="B930" t="s">
        <v>179</v>
      </c>
      <c r="C930" s="197" t="str">
        <f t="shared" si="2888"/>
        <v>Lifecycle_Dynamic_157</v>
      </c>
      <c r="D930">
        <v>157</v>
      </c>
      <c r="E930">
        <f>VLOOKUP($D930,'[2]LC Dynamic'!$Q$2:$U$542,2,FALSE)</f>
        <v>0</v>
      </c>
      <c r="F930">
        <f>VLOOKUP($D930,'[2]LC Dynamic'!$Q$2:$U$542,3,FALSE)</f>
        <v>1.1916666666666666E-2</v>
      </c>
      <c r="G930">
        <f>VLOOKUP($D930,'[2]LC Dynamic'!$Q$2:$U$542,4,FALSE)</f>
        <v>0.86275000000000002</v>
      </c>
      <c r="H930">
        <f>VLOOKUP($D930,'[2]LC Dynamic'!$Q$2:$U$542,5,FALSE)</f>
        <v>0.12533333333333335</v>
      </c>
      <c r="I930" s="77">
        <f t="shared" si="2820"/>
        <v>1</v>
      </c>
      <c r="J930" s="77">
        <f t="shared" si="2821"/>
        <v>6.533840833333332E-2</v>
      </c>
      <c r="K930" s="77">
        <f t="shared" si="2895"/>
        <v>5.2883092534010689E-3</v>
      </c>
      <c r="L930" s="76">
        <v>0</v>
      </c>
      <c r="M930" s="77">
        <f t="shared" si="2831"/>
        <v>0</v>
      </c>
      <c r="N930" s="77">
        <f t="shared" si="2832"/>
        <v>0</v>
      </c>
      <c r="O930" s="77">
        <f t="shared" si="2833"/>
        <v>6.9087749999999998E-3</v>
      </c>
      <c r="P930" s="77">
        <f t="shared" si="2834"/>
        <v>5.7756240325679276E-4</v>
      </c>
      <c r="R930" t="s">
        <v>177</v>
      </c>
      <c r="S930" t="s">
        <v>179</v>
      </c>
      <c r="T930" s="197" t="str">
        <f t="shared" si="2889"/>
        <v>Autopilot_Dynamic_157</v>
      </c>
      <c r="U930">
        <v>157</v>
      </c>
      <c r="V930">
        <f>VLOOKUP($U930,'[2]AP Dynamic'!$Q$1:$T$542,2,FALSE)</f>
        <v>0.88888888888888884</v>
      </c>
      <c r="W930">
        <f>VLOOKUP($U930,'[2]AP Dynamic'!$Q$1:$T$542,3,FALSE)</f>
        <v>0.11111111111111116</v>
      </c>
      <c r="X930">
        <f>VLOOKUP($U930,'[2]AP Dynamic'!$Q$1:$T$542,4,FALSE)</f>
        <v>0</v>
      </c>
      <c r="Y930" s="77">
        <f t="shared" si="2890"/>
        <v>1</v>
      </c>
      <c r="Z930" s="77">
        <f t="shared" si="2896"/>
        <v>6.3149999999999984E-2</v>
      </c>
      <c r="AA930" s="77">
        <f t="shared" si="2897"/>
        <v>5.1160591879111372E-3</v>
      </c>
      <c r="AB930" s="79">
        <v>1</v>
      </c>
      <c r="AC930" s="77">
        <f t="shared" si="2835"/>
        <v>8.277777777777778E-3</v>
      </c>
      <c r="AD930" s="77">
        <f t="shared" ref="AD930" si="3100">1-(1-AC930)^(1/12)</f>
        <v>6.9244588451522482E-4</v>
      </c>
      <c r="AE930" s="77">
        <f t="shared" si="2837"/>
        <v>2.5000000000000001E-3</v>
      </c>
      <c r="AF930" s="77">
        <f t="shared" ref="AF930" si="3101">1-(1-AE930)^(1/12)</f>
        <v>2.0857243058891584E-4</v>
      </c>
      <c r="AH930" t="s">
        <v>175</v>
      </c>
      <c r="AI930" t="s">
        <v>179</v>
      </c>
      <c r="AJ930" s="197" t="str">
        <f t="shared" si="2824"/>
        <v>Lifecycle_Dynamic_157</v>
      </c>
      <c r="AK930">
        <v>157</v>
      </c>
      <c r="AL930">
        <f>VLOOKUP($U930,[2]Standard_Dynamic!$Q$1:$T$542,2,FALSE)</f>
        <v>0.88888888888888884</v>
      </c>
      <c r="AM930">
        <f>VLOOKUP($U930,[2]Standard_Dynamic!$Q$1:$T$542,3,FALSE)</f>
        <v>0.11111111111111116</v>
      </c>
      <c r="AN930">
        <f>VLOOKUP($U930,[2]Standard_Dynamic!$Q$1:$T$542,4,FALSE)</f>
        <v>0</v>
      </c>
      <c r="AO930" s="77">
        <f t="shared" si="2825"/>
        <v>1</v>
      </c>
      <c r="AP930" s="77">
        <f t="shared" si="2839"/>
        <v>6.3149999999999984E-2</v>
      </c>
      <c r="AQ930" s="77">
        <f t="shared" si="2826"/>
        <v>5.1160591879111372E-3</v>
      </c>
      <c r="AR930" s="79">
        <v>0</v>
      </c>
      <c r="AS930" s="77">
        <f t="shared" si="2840"/>
        <v>0</v>
      </c>
      <c r="AT930" s="77">
        <f t="shared" ref="AT930" si="3102">1-(1-AS930)^(1/12)</f>
        <v>0</v>
      </c>
      <c r="AU930" s="77">
        <f t="shared" si="2842"/>
        <v>2.5000000000000001E-3</v>
      </c>
      <c r="AV930" s="77">
        <f t="shared" ref="AV930" si="3103">1-(1-AU930)^(1/12)</f>
        <v>2.0857243058891584E-4</v>
      </c>
      <c r="AX930" t="s">
        <v>178</v>
      </c>
      <c r="AY930" t="s">
        <v>162</v>
      </c>
      <c r="AZ930" s="197" t="str">
        <f t="shared" si="2922"/>
        <v>DIS_Standard_157</v>
      </c>
      <c r="BA930">
        <v>157</v>
      </c>
      <c r="BB930">
        <f>VLOOKUP($BA930,'[2]Standard DIS'!$Q$1:$X$542,4,FALSE)</f>
        <v>0</v>
      </c>
      <c r="BF930">
        <f>VLOOKUP($BA930,'[2]Standard DIS'!$Q$1:$X$542,2,FALSE)</f>
        <v>0.88888888888888884</v>
      </c>
      <c r="BH930">
        <f>VLOOKUP($BA930,'[2]Standard DIS'!$Q$1:$X$542,3,FALSE)</f>
        <v>0.11111111111111116</v>
      </c>
      <c r="BI930" s="77">
        <f t="shared" si="2829"/>
        <v>1</v>
      </c>
      <c r="BJ930" s="77">
        <f t="shared" si="2830"/>
        <v>6.3149999999999984E-2</v>
      </c>
      <c r="BK930" s="77">
        <f t="shared" si="2923"/>
        <v>5.1160591879111372E-3</v>
      </c>
      <c r="BL930" s="79">
        <v>0</v>
      </c>
      <c r="BM930" s="77">
        <f t="shared" si="2844"/>
        <v>0</v>
      </c>
      <c r="BN930" s="77">
        <f t="shared" si="2845"/>
        <v>0</v>
      </c>
      <c r="BO930" s="77">
        <f t="shared" si="2846"/>
        <v>2.5000000000000001E-3</v>
      </c>
      <c r="BP930" s="77">
        <f t="shared" si="2847"/>
        <v>2.0809499864316017E-4</v>
      </c>
    </row>
    <row r="931" spans="1:68">
      <c r="A931" t="s">
        <v>175</v>
      </c>
      <c r="B931" t="s">
        <v>179</v>
      </c>
      <c r="C931" s="197" t="str">
        <f t="shared" si="2888"/>
        <v>Lifecycle_Dynamic_156</v>
      </c>
      <c r="D931">
        <v>156</v>
      </c>
      <c r="E931">
        <f>VLOOKUP($D931,'[2]LC Dynamic'!$Q$2:$U$542,2,FALSE)</f>
        <v>0</v>
      </c>
      <c r="F931">
        <f>VLOOKUP($D931,'[2]LC Dynamic'!$Q$2:$U$542,3,FALSE)</f>
        <v>1.2999999999999999E-2</v>
      </c>
      <c r="G931">
        <f>VLOOKUP($D931,'[2]LC Dynamic'!$Q$2:$U$542,4,FALSE)</f>
        <v>0.90100000000000002</v>
      </c>
      <c r="H931">
        <f>VLOOKUP($D931,'[2]LC Dynamic'!$Q$2:$U$542,5,FALSE)</f>
        <v>8.6000000000000007E-2</v>
      </c>
      <c r="I931" s="77">
        <f t="shared" ref="I931:I994" si="3104">SUM(E931:H931)</f>
        <v>1</v>
      </c>
      <c r="J931" s="77">
        <f t="shared" ref="J931:J994" si="3105">SUMPRODUCT($E$1:$H$1,E931:H931)</f>
        <v>6.5029149999999994E-2</v>
      </c>
      <c r="K931" s="77">
        <f t="shared" si="2895"/>
        <v>5.2639871571908969E-3</v>
      </c>
      <c r="L931" s="76">
        <v>0</v>
      </c>
      <c r="M931" s="77">
        <f t="shared" si="2831"/>
        <v>0</v>
      </c>
      <c r="N931" s="77">
        <f t="shared" si="2832"/>
        <v>0</v>
      </c>
      <c r="O931" s="77">
        <f t="shared" si="2833"/>
        <v>6.9938999999999999E-3</v>
      </c>
      <c r="P931" s="77">
        <f t="shared" si="2834"/>
        <v>5.8470165822654963E-4</v>
      </c>
      <c r="R931" t="s">
        <v>177</v>
      </c>
      <c r="S931" t="s">
        <v>179</v>
      </c>
      <c r="T931" s="197" t="str">
        <f t="shared" si="2889"/>
        <v>Autopilot_Dynamic_156</v>
      </c>
      <c r="U931">
        <v>156</v>
      </c>
      <c r="V931">
        <f>VLOOKUP($U931,'[2]AP Dynamic'!$Q$1:$T$542,2,FALSE)</f>
        <v>0.88888888888888884</v>
      </c>
      <c r="W931">
        <f>VLOOKUP($U931,'[2]AP Dynamic'!$Q$1:$T$542,3,FALSE)</f>
        <v>0.11111111111111116</v>
      </c>
      <c r="X931">
        <f>VLOOKUP($U931,'[2]AP Dynamic'!$Q$1:$T$542,4,FALSE)</f>
        <v>0</v>
      </c>
      <c r="Y931" s="77">
        <f t="shared" si="2890"/>
        <v>1</v>
      </c>
      <c r="Z931" s="77">
        <f t="shared" si="2896"/>
        <v>6.3149999999999984E-2</v>
      </c>
      <c r="AA931" s="77">
        <f t="shared" si="2897"/>
        <v>5.1160591879111372E-3</v>
      </c>
      <c r="AB931" s="79">
        <v>1</v>
      </c>
      <c r="AC931" s="77">
        <f t="shared" si="2835"/>
        <v>8.277777777777778E-3</v>
      </c>
      <c r="AD931" s="77">
        <f t="shared" ref="AD931" si="3106">1-(1-AC931)^(1/12)</f>
        <v>6.9244588451522482E-4</v>
      </c>
      <c r="AE931" s="77">
        <f t="shared" si="2837"/>
        <v>2.5000000000000001E-3</v>
      </c>
      <c r="AF931" s="77">
        <f t="shared" ref="AF931" si="3107">1-(1-AE931)^(1/12)</f>
        <v>2.0857243058891584E-4</v>
      </c>
      <c r="AH931" t="s">
        <v>175</v>
      </c>
      <c r="AI931" t="s">
        <v>179</v>
      </c>
      <c r="AJ931" s="197" t="str">
        <f t="shared" ref="AJ931:AJ994" si="3108">AH931&amp;"_"&amp;AI931&amp;"_"&amp;AK931</f>
        <v>Lifecycle_Dynamic_156</v>
      </c>
      <c r="AK931">
        <v>156</v>
      </c>
      <c r="AL931">
        <f>VLOOKUP($U931,[2]Standard_Dynamic!$Q$1:$T$542,2,FALSE)</f>
        <v>0.88888888888888884</v>
      </c>
      <c r="AM931">
        <f>VLOOKUP($U931,[2]Standard_Dynamic!$Q$1:$T$542,3,FALSE)</f>
        <v>0.11111111111111116</v>
      </c>
      <c r="AN931">
        <f>VLOOKUP($U931,[2]Standard_Dynamic!$Q$1:$T$542,4,FALSE)</f>
        <v>0</v>
      </c>
      <c r="AO931" s="77">
        <f t="shared" ref="AO931:AO994" si="3109">SUM(AL931:AN931)</f>
        <v>1</v>
      </c>
      <c r="AP931" s="77">
        <f t="shared" si="2839"/>
        <v>6.3149999999999984E-2</v>
      </c>
      <c r="AQ931" s="77">
        <f t="shared" ref="AQ931:AQ994" si="3110">(1+AP931)^(1/12)-1</f>
        <v>5.1160591879111372E-3</v>
      </c>
      <c r="AR931" s="79">
        <v>0</v>
      </c>
      <c r="AS931" s="77">
        <f t="shared" si="2840"/>
        <v>0</v>
      </c>
      <c r="AT931" s="77">
        <f t="shared" ref="AT931" si="3111">1-(1-AS931)^(1/12)</f>
        <v>0</v>
      </c>
      <c r="AU931" s="77">
        <f t="shared" si="2842"/>
        <v>2.5000000000000001E-3</v>
      </c>
      <c r="AV931" s="77">
        <f t="shared" ref="AV931" si="3112">1-(1-AU931)^(1/12)</f>
        <v>2.0857243058891584E-4</v>
      </c>
      <c r="AX931" t="s">
        <v>178</v>
      </c>
      <c r="AY931" t="s">
        <v>162</v>
      </c>
      <c r="AZ931" s="197" t="str">
        <f t="shared" si="2922"/>
        <v>DIS_Standard_156</v>
      </c>
      <c r="BA931">
        <v>156</v>
      </c>
      <c r="BB931">
        <f>VLOOKUP($BA931,'[2]Standard DIS'!$Q$1:$X$542,4,FALSE)</f>
        <v>0</v>
      </c>
      <c r="BF931">
        <f>VLOOKUP($BA931,'[2]Standard DIS'!$Q$1:$X$542,2,FALSE)</f>
        <v>0.88888888888888884</v>
      </c>
      <c r="BH931">
        <f>VLOOKUP($BA931,'[2]Standard DIS'!$Q$1:$X$542,3,FALSE)</f>
        <v>0.11111111111111116</v>
      </c>
      <c r="BI931" s="77">
        <f t="shared" ref="BI931:BI994" si="3113">SUM(BB931:BH931)</f>
        <v>1</v>
      </c>
      <c r="BJ931" s="77">
        <f t="shared" ref="BJ931:BJ994" si="3114">SUMPRODUCT($BB$1:$BH$1,BB931:BH931)</f>
        <v>6.3149999999999984E-2</v>
      </c>
      <c r="BK931" s="77">
        <f t="shared" si="2923"/>
        <v>5.1160591879111372E-3</v>
      </c>
      <c r="BL931" s="79">
        <v>0</v>
      </c>
      <c r="BM931" s="77">
        <f t="shared" si="2844"/>
        <v>0</v>
      </c>
      <c r="BN931" s="77">
        <f t="shared" si="2845"/>
        <v>0</v>
      </c>
      <c r="BO931" s="77">
        <f t="shared" si="2846"/>
        <v>2.5000000000000001E-3</v>
      </c>
      <c r="BP931" s="77">
        <f t="shared" si="2847"/>
        <v>2.0809499864316017E-4</v>
      </c>
    </row>
    <row r="932" spans="1:68">
      <c r="A932" t="s">
        <v>175</v>
      </c>
      <c r="B932" t="s">
        <v>179</v>
      </c>
      <c r="C932" s="197" t="str">
        <f t="shared" si="2888"/>
        <v>Lifecycle_Dynamic_155</v>
      </c>
      <c r="D932">
        <v>155</v>
      </c>
      <c r="E932">
        <f>VLOOKUP($D932,'[2]LC Dynamic'!$Q$2:$U$542,2,FALSE)</f>
        <v>0</v>
      </c>
      <c r="F932">
        <f>VLOOKUP($D932,'[2]LC Dynamic'!$Q$2:$U$542,3,FALSE)</f>
        <v>2.0250000000000001E-2</v>
      </c>
      <c r="G932">
        <f>VLOOKUP($D932,'[2]LC Dynamic'!$Q$2:$U$542,4,FALSE)</f>
        <v>0.9009166666666667</v>
      </c>
      <c r="H932">
        <f>VLOOKUP($D932,'[2]LC Dynamic'!$Q$2:$U$542,5,FALSE)</f>
        <v>7.8833333333333339E-2</v>
      </c>
      <c r="I932" s="77">
        <f t="shared" si="3104"/>
        <v>1</v>
      </c>
      <c r="J932" s="77">
        <f t="shared" si="3105"/>
        <v>6.4847970833333324E-2</v>
      </c>
      <c r="K932" s="77">
        <f t="shared" si="2895"/>
        <v>5.2497350360212192E-3</v>
      </c>
      <c r="L932" s="76">
        <v>0</v>
      </c>
      <c r="M932" s="77">
        <f t="shared" ref="M932:M995" si="3115">IF($L932=0,0,SUMPRODUCT($E$3:$H$3,E932:H932))</f>
        <v>0</v>
      </c>
      <c r="N932" s="77">
        <f t="shared" ref="N932:N995" si="3116">1-(1-M932)^(1/12)</f>
        <v>0</v>
      </c>
      <c r="O932" s="77">
        <f t="shared" ref="O932:O995" si="3117">SUMPRODUCT($E$2:$H$2,E932:H932)</f>
        <v>7.0002416666666671E-3</v>
      </c>
      <c r="P932" s="77">
        <f t="shared" ref="P932:P995" si="3118">1-(1-O932)^(1/12)</f>
        <v>5.8523354294459651E-4</v>
      </c>
      <c r="R932" t="s">
        <v>177</v>
      </c>
      <c r="S932" t="s">
        <v>179</v>
      </c>
      <c r="T932" s="197" t="str">
        <f t="shared" si="2889"/>
        <v>Autopilot_Dynamic_155</v>
      </c>
      <c r="U932">
        <v>155</v>
      </c>
      <c r="V932">
        <f>VLOOKUP($U932,'[2]AP Dynamic'!$Q$1:$T$542,2,FALSE)</f>
        <v>0.88888888888888884</v>
      </c>
      <c r="W932">
        <f>VLOOKUP($U932,'[2]AP Dynamic'!$Q$1:$T$542,3,FALSE)</f>
        <v>0.11111111111111116</v>
      </c>
      <c r="X932">
        <f>VLOOKUP($U932,'[2]AP Dynamic'!$Q$1:$T$542,4,FALSE)</f>
        <v>0</v>
      </c>
      <c r="Y932" s="77">
        <f t="shared" si="2890"/>
        <v>1</v>
      </c>
      <c r="Z932" s="77">
        <f t="shared" si="2896"/>
        <v>6.3149999999999984E-2</v>
      </c>
      <c r="AA932" s="77">
        <f t="shared" si="2897"/>
        <v>5.1160591879111372E-3</v>
      </c>
      <c r="AB932" s="79">
        <v>1</v>
      </c>
      <c r="AC932" s="77">
        <f t="shared" ref="AC932:AC995" si="3119">IF($AB932=0,0,SUMPRODUCT($V$3:$X$3,V932:X932))</f>
        <v>8.277777777777778E-3</v>
      </c>
      <c r="AD932" s="77">
        <f t="shared" ref="AD932" si="3120">1-(1-AC932)^(1/12)</f>
        <v>6.9244588451522482E-4</v>
      </c>
      <c r="AE932" s="77">
        <f t="shared" ref="AE932:AE995" si="3121">SUMPRODUCT($V$2:$X$2,V932:X932)</f>
        <v>2.5000000000000001E-3</v>
      </c>
      <c r="AF932" s="77">
        <f t="shared" ref="AF932" si="3122">1-(1-AE932)^(1/12)</f>
        <v>2.0857243058891584E-4</v>
      </c>
      <c r="AH932" t="s">
        <v>175</v>
      </c>
      <c r="AI932" t="s">
        <v>179</v>
      </c>
      <c r="AJ932" s="197" t="str">
        <f t="shared" si="3108"/>
        <v>Lifecycle_Dynamic_155</v>
      </c>
      <c r="AK932">
        <v>155</v>
      </c>
      <c r="AL932">
        <f>VLOOKUP($U932,[2]Standard_Dynamic!$Q$1:$T$542,2,FALSE)</f>
        <v>0.87671195963765614</v>
      </c>
      <c r="AM932">
        <f>VLOOKUP($U932,[2]Standard_Dynamic!$Q$1:$T$542,3,FALSE)</f>
        <v>0.12328804036234382</v>
      </c>
      <c r="AN932">
        <f>VLOOKUP($U932,[2]Standard_Dynamic!$Q$1:$T$542,4,FALSE)</f>
        <v>0</v>
      </c>
      <c r="AO932" s="77">
        <f t="shared" si="3109"/>
        <v>1</v>
      </c>
      <c r="AP932" s="77">
        <f t="shared" ref="AP932:AP995" si="3123">SUMPRODUCT($AL$1:$AN$1,AL932:AN932)</f>
        <v>6.2988351264189876E-2</v>
      </c>
      <c r="AQ932" s="77">
        <f t="shared" si="3110"/>
        <v>5.1033228960699617E-3</v>
      </c>
      <c r="AR932" s="79">
        <v>0</v>
      </c>
      <c r="AS932" s="77">
        <f t="shared" ref="AS932:AS995" si="3124">IF(AR932=0,0,SUMPRODUCT($AL$3:$AN$3,AL932:AN932))</f>
        <v>0</v>
      </c>
      <c r="AT932" s="77">
        <f t="shared" ref="AT932" si="3125">1-(1-AS932)^(1/12)</f>
        <v>0</v>
      </c>
      <c r="AU932" s="77">
        <f t="shared" ref="AU932:AU995" si="3126">SUMPRODUCT($AL$2:$AN$2,AL932:AN932)</f>
        <v>2.5000000000000001E-3</v>
      </c>
      <c r="AV932" s="77">
        <f t="shared" ref="AV932" si="3127">1-(1-AU932)^(1/12)</f>
        <v>2.0857243058891584E-4</v>
      </c>
      <c r="AX932" t="s">
        <v>178</v>
      </c>
      <c r="AY932" t="s">
        <v>162</v>
      </c>
      <c r="AZ932" s="197" t="str">
        <f t="shared" si="2922"/>
        <v>DIS_Standard_155</v>
      </c>
      <c r="BA932">
        <v>155</v>
      </c>
      <c r="BB932">
        <f>VLOOKUP($BA932,'[2]Standard DIS'!$Q$1:$X$542,4,FALSE)</f>
        <v>0</v>
      </c>
      <c r="BF932">
        <f>VLOOKUP($BA932,'[2]Standard DIS'!$Q$1:$X$542,2,FALSE)</f>
        <v>0.87671195963765614</v>
      </c>
      <c r="BH932">
        <f>VLOOKUP($BA932,'[2]Standard DIS'!$Q$1:$X$542,3,FALSE)</f>
        <v>0.12328804036234382</v>
      </c>
      <c r="BI932" s="77">
        <f t="shared" si="3113"/>
        <v>1</v>
      </c>
      <c r="BJ932" s="77">
        <f t="shared" si="3114"/>
        <v>6.2988351264189876E-2</v>
      </c>
      <c r="BK932" s="77">
        <f t="shared" si="2923"/>
        <v>5.1033228960699617E-3</v>
      </c>
      <c r="BL932" s="79">
        <v>0</v>
      </c>
      <c r="BM932" s="77">
        <f t="shared" ref="BM932:BM995" si="3128">IF(BL932=0,0,SUMPRODUCT($BB$3:$BH$3,BB932:BH932))</f>
        <v>0</v>
      </c>
      <c r="BN932" s="77">
        <f t="shared" ref="BN932:BN995" si="3129">(1+BM932)^(1/12)-1</f>
        <v>0</v>
      </c>
      <c r="BO932" s="77">
        <f t="shared" ref="BO932:BO995" si="3130">SUMPRODUCT($BB$2:$BH$2,BB932:BH932)</f>
        <v>2.5000000000000001E-3</v>
      </c>
      <c r="BP932" s="77">
        <f t="shared" ref="BP932:BP995" si="3131">(1+BO932)^(1/12)-1</f>
        <v>2.0809499864316017E-4</v>
      </c>
    </row>
    <row r="933" spans="1:68">
      <c r="A933" t="s">
        <v>175</v>
      </c>
      <c r="B933" t="s">
        <v>179</v>
      </c>
      <c r="C933" s="197" t="str">
        <f t="shared" si="2888"/>
        <v>Lifecycle_Dynamic_154</v>
      </c>
      <c r="D933">
        <v>154</v>
      </c>
      <c r="E933">
        <f>VLOOKUP($D933,'[2]LC Dynamic'!$Q$2:$U$542,2,FALSE)</f>
        <v>0</v>
      </c>
      <c r="F933">
        <f>VLOOKUP($D933,'[2]LC Dynamic'!$Q$2:$U$542,3,FALSE)</f>
        <v>2.75E-2</v>
      </c>
      <c r="G933">
        <f>VLOOKUP($D933,'[2]LC Dynamic'!$Q$2:$U$542,4,FALSE)</f>
        <v>0.90083333333333337</v>
      </c>
      <c r="H933">
        <f>VLOOKUP($D933,'[2]LC Dynamic'!$Q$2:$U$542,5,FALSE)</f>
        <v>7.166666666666667E-2</v>
      </c>
      <c r="I933" s="77">
        <f t="shared" si="3104"/>
        <v>1</v>
      </c>
      <c r="J933" s="77">
        <f t="shared" si="3105"/>
        <v>6.4666791666666654E-2</v>
      </c>
      <c r="K933" s="77">
        <f t="shared" si="2895"/>
        <v>5.2354806918208929E-3</v>
      </c>
      <c r="L933" s="76">
        <v>0</v>
      </c>
      <c r="M933" s="77">
        <f t="shared" si="3115"/>
        <v>0</v>
      </c>
      <c r="N933" s="77">
        <f t="shared" si="3116"/>
        <v>0</v>
      </c>
      <c r="O933" s="77">
        <f t="shared" si="3117"/>
        <v>7.0065833333333334E-3</v>
      </c>
      <c r="P933" s="77">
        <f t="shared" si="3118"/>
        <v>5.8576543077659693E-4</v>
      </c>
      <c r="R933" t="s">
        <v>177</v>
      </c>
      <c r="S933" t="s">
        <v>179</v>
      </c>
      <c r="T933" s="197" t="str">
        <f t="shared" si="2889"/>
        <v>Autopilot_Dynamic_154</v>
      </c>
      <c r="U933">
        <v>154</v>
      </c>
      <c r="V933">
        <f>VLOOKUP($U933,'[2]AP Dynamic'!$Q$1:$T$542,2,FALSE)</f>
        <v>0.88888888888888884</v>
      </c>
      <c r="W933">
        <f>VLOOKUP($U933,'[2]AP Dynamic'!$Q$1:$T$542,3,FALSE)</f>
        <v>0.11111111111111116</v>
      </c>
      <c r="X933">
        <f>VLOOKUP($U933,'[2]AP Dynamic'!$Q$1:$T$542,4,FALSE)</f>
        <v>0</v>
      </c>
      <c r="Y933" s="77">
        <f t="shared" si="2890"/>
        <v>1</v>
      </c>
      <c r="Z933" s="77">
        <f t="shared" si="2896"/>
        <v>6.3149999999999984E-2</v>
      </c>
      <c r="AA933" s="77">
        <f t="shared" si="2897"/>
        <v>5.1160591879111372E-3</v>
      </c>
      <c r="AB933" s="79">
        <v>1</v>
      </c>
      <c r="AC933" s="77">
        <f t="shared" si="3119"/>
        <v>8.277777777777778E-3</v>
      </c>
      <c r="AD933" s="77">
        <f t="shared" ref="AD933" si="3132">1-(1-AC933)^(1/12)</f>
        <v>6.9244588451522482E-4</v>
      </c>
      <c r="AE933" s="77">
        <f t="shared" si="3121"/>
        <v>2.5000000000000001E-3</v>
      </c>
      <c r="AF933" s="77">
        <f t="shared" ref="AF933" si="3133">1-(1-AE933)^(1/12)</f>
        <v>2.0857243058891584E-4</v>
      </c>
      <c r="AH933" t="s">
        <v>175</v>
      </c>
      <c r="AI933" t="s">
        <v>179</v>
      </c>
      <c r="AJ933" s="197" t="str">
        <f t="shared" si="3108"/>
        <v>Lifecycle_Dynamic_154</v>
      </c>
      <c r="AK933">
        <v>154</v>
      </c>
      <c r="AL933">
        <f>VLOOKUP($U933,[2]Standard_Dynamic!$Q$1:$T$542,2,FALSE)</f>
        <v>0.86453503038642354</v>
      </c>
      <c r="AM933">
        <f>VLOOKUP($U933,[2]Standard_Dynamic!$Q$1:$T$542,3,FALSE)</f>
        <v>0.13546496961357649</v>
      </c>
      <c r="AN933">
        <f>VLOOKUP($U933,[2]Standard_Dynamic!$Q$1:$T$542,4,FALSE)</f>
        <v>0</v>
      </c>
      <c r="AO933" s="77">
        <f t="shared" si="3109"/>
        <v>1</v>
      </c>
      <c r="AP933" s="77">
        <f t="shared" si="3123"/>
        <v>6.2826702528379769E-2</v>
      </c>
      <c r="AQ933" s="77">
        <f t="shared" si="3110"/>
        <v>5.0905848286966204E-3</v>
      </c>
      <c r="AR933" s="79">
        <v>0</v>
      </c>
      <c r="AS933" s="77">
        <f t="shared" si="3124"/>
        <v>0</v>
      </c>
      <c r="AT933" s="77">
        <f t="shared" ref="AT933" si="3134">1-(1-AS933)^(1/12)</f>
        <v>0</v>
      </c>
      <c r="AU933" s="77">
        <f t="shared" si="3126"/>
        <v>2.5000000000000001E-3</v>
      </c>
      <c r="AV933" s="77">
        <f t="shared" ref="AV933" si="3135">1-(1-AU933)^(1/12)</f>
        <v>2.0857243058891584E-4</v>
      </c>
      <c r="AX933" t="s">
        <v>178</v>
      </c>
      <c r="AY933" t="s">
        <v>162</v>
      </c>
      <c r="AZ933" s="197" t="str">
        <f t="shared" si="2922"/>
        <v>DIS_Standard_154</v>
      </c>
      <c r="BA933">
        <v>154</v>
      </c>
      <c r="BB933">
        <f>VLOOKUP($BA933,'[2]Standard DIS'!$Q$1:$X$542,4,FALSE)</f>
        <v>0</v>
      </c>
      <c r="BF933">
        <f>VLOOKUP($BA933,'[2]Standard DIS'!$Q$1:$X$542,2,FALSE)</f>
        <v>0.86453503038642354</v>
      </c>
      <c r="BH933">
        <f>VLOOKUP($BA933,'[2]Standard DIS'!$Q$1:$X$542,3,FALSE)</f>
        <v>0.13546496961357649</v>
      </c>
      <c r="BI933" s="77">
        <f t="shared" si="3113"/>
        <v>1</v>
      </c>
      <c r="BJ933" s="77">
        <f t="shared" si="3114"/>
        <v>6.2826702528379769E-2</v>
      </c>
      <c r="BK933" s="77">
        <f t="shared" si="2923"/>
        <v>5.0905848286966204E-3</v>
      </c>
      <c r="BL933" s="79">
        <v>0</v>
      </c>
      <c r="BM933" s="77">
        <f t="shared" si="3128"/>
        <v>0</v>
      </c>
      <c r="BN933" s="77">
        <f t="shared" si="3129"/>
        <v>0</v>
      </c>
      <c r="BO933" s="77">
        <f t="shared" si="3130"/>
        <v>2.5000000000000001E-3</v>
      </c>
      <c r="BP933" s="77">
        <f t="shared" si="3131"/>
        <v>2.0809499864316017E-4</v>
      </c>
    </row>
    <row r="934" spans="1:68">
      <c r="A934" t="s">
        <v>175</v>
      </c>
      <c r="B934" t="s">
        <v>179</v>
      </c>
      <c r="C934" s="197" t="str">
        <f t="shared" si="2888"/>
        <v>Lifecycle_Dynamic_153</v>
      </c>
      <c r="D934">
        <v>153</v>
      </c>
      <c r="E934">
        <f>VLOOKUP($D934,'[2]LC Dynamic'!$Q$2:$U$542,2,FALSE)</f>
        <v>0</v>
      </c>
      <c r="F934">
        <f>VLOOKUP($D934,'[2]LC Dynamic'!$Q$2:$U$542,3,FALSE)</f>
        <v>3.4750000000000003E-2</v>
      </c>
      <c r="G934">
        <f>VLOOKUP($D934,'[2]LC Dynamic'!$Q$2:$U$542,4,FALSE)</f>
        <v>0.90075000000000005</v>
      </c>
      <c r="H934">
        <f>VLOOKUP($D934,'[2]LC Dynamic'!$Q$2:$U$542,5,FALSE)</f>
        <v>6.4500000000000002E-2</v>
      </c>
      <c r="I934" s="77">
        <f t="shared" si="3104"/>
        <v>1</v>
      </c>
      <c r="J934" s="77">
        <f t="shared" si="3105"/>
        <v>6.4485612499999997E-2</v>
      </c>
      <c r="K934" s="77">
        <f t="shared" si="2895"/>
        <v>5.2212241238644985E-3</v>
      </c>
      <c r="L934" s="76">
        <v>0</v>
      </c>
      <c r="M934" s="77">
        <f t="shared" si="3115"/>
        <v>0</v>
      </c>
      <c r="N934" s="77">
        <f t="shared" si="3116"/>
        <v>0</v>
      </c>
      <c r="O934" s="77">
        <f t="shared" si="3117"/>
        <v>7.0129250000000006E-3</v>
      </c>
      <c r="P934" s="77">
        <f t="shared" si="3118"/>
        <v>5.8629732172221782E-4</v>
      </c>
      <c r="R934" t="s">
        <v>177</v>
      </c>
      <c r="S934" t="s">
        <v>179</v>
      </c>
      <c r="T934" s="197" t="str">
        <f t="shared" si="2889"/>
        <v>Autopilot_Dynamic_153</v>
      </c>
      <c r="U934">
        <v>153</v>
      </c>
      <c r="V934">
        <f>VLOOKUP($U934,'[2]AP Dynamic'!$Q$1:$T$542,2,FALSE)</f>
        <v>0.88888888888888884</v>
      </c>
      <c r="W934">
        <f>VLOOKUP($U934,'[2]AP Dynamic'!$Q$1:$T$542,3,FALSE)</f>
        <v>0.11111111111111116</v>
      </c>
      <c r="X934">
        <f>VLOOKUP($U934,'[2]AP Dynamic'!$Q$1:$T$542,4,FALSE)</f>
        <v>0</v>
      </c>
      <c r="Y934" s="77">
        <f t="shared" si="2890"/>
        <v>1</v>
      </c>
      <c r="Z934" s="77">
        <f t="shared" si="2896"/>
        <v>6.3149999999999984E-2</v>
      </c>
      <c r="AA934" s="77">
        <f t="shared" si="2897"/>
        <v>5.1160591879111372E-3</v>
      </c>
      <c r="AB934" s="79">
        <v>1</v>
      </c>
      <c r="AC934" s="77">
        <f t="shared" si="3119"/>
        <v>8.277777777777778E-3</v>
      </c>
      <c r="AD934" s="77">
        <f t="shared" ref="AD934" si="3136">1-(1-AC934)^(1/12)</f>
        <v>6.9244588451522482E-4</v>
      </c>
      <c r="AE934" s="77">
        <f t="shared" si="3121"/>
        <v>2.5000000000000001E-3</v>
      </c>
      <c r="AF934" s="77">
        <f t="shared" ref="AF934" si="3137">1-(1-AE934)^(1/12)</f>
        <v>2.0857243058891584E-4</v>
      </c>
      <c r="AH934" t="s">
        <v>175</v>
      </c>
      <c r="AI934" t="s">
        <v>179</v>
      </c>
      <c r="AJ934" s="197" t="str">
        <f t="shared" si="3108"/>
        <v>Lifecycle_Dynamic_153</v>
      </c>
      <c r="AK934">
        <v>153</v>
      </c>
      <c r="AL934">
        <f>VLOOKUP($U934,[2]Standard_Dynamic!$Q$1:$T$542,2,FALSE)</f>
        <v>0.85235810113519084</v>
      </c>
      <c r="AM934">
        <f>VLOOKUP($U934,[2]Standard_Dynamic!$Q$1:$T$542,3,FALSE)</f>
        <v>0.14764189886480916</v>
      </c>
      <c r="AN934">
        <f>VLOOKUP($U934,[2]Standard_Dynamic!$Q$1:$T$542,4,FALSE)</f>
        <v>0</v>
      </c>
      <c r="AO934" s="77">
        <f t="shared" si="3109"/>
        <v>1</v>
      </c>
      <c r="AP934" s="77">
        <f t="shared" si="3123"/>
        <v>6.2665053792569647E-2</v>
      </c>
      <c r="AQ934" s="77">
        <f t="shared" si="3110"/>
        <v>5.0778449852737495E-3</v>
      </c>
      <c r="AR934" s="79">
        <v>0</v>
      </c>
      <c r="AS934" s="77">
        <f t="shared" si="3124"/>
        <v>0</v>
      </c>
      <c r="AT934" s="77">
        <f t="shared" ref="AT934" si="3138">1-(1-AS934)^(1/12)</f>
        <v>0</v>
      </c>
      <c r="AU934" s="77">
        <f t="shared" si="3126"/>
        <v>2.5000000000000001E-3</v>
      </c>
      <c r="AV934" s="77">
        <f t="shared" ref="AV934" si="3139">1-(1-AU934)^(1/12)</f>
        <v>2.0857243058891584E-4</v>
      </c>
      <c r="AX934" t="s">
        <v>178</v>
      </c>
      <c r="AY934" t="s">
        <v>162</v>
      </c>
      <c r="AZ934" s="197" t="str">
        <f t="shared" si="2922"/>
        <v>DIS_Standard_153</v>
      </c>
      <c r="BA934">
        <v>153</v>
      </c>
      <c r="BB934">
        <f>VLOOKUP($BA934,'[2]Standard DIS'!$Q$1:$X$542,4,FALSE)</f>
        <v>0</v>
      </c>
      <c r="BF934">
        <f>VLOOKUP($BA934,'[2]Standard DIS'!$Q$1:$X$542,2,FALSE)</f>
        <v>0.85235810113519084</v>
      </c>
      <c r="BH934">
        <f>VLOOKUP($BA934,'[2]Standard DIS'!$Q$1:$X$542,3,FALSE)</f>
        <v>0.14764189886480916</v>
      </c>
      <c r="BI934" s="77">
        <f t="shared" si="3113"/>
        <v>1</v>
      </c>
      <c r="BJ934" s="77">
        <f t="shared" si="3114"/>
        <v>6.2665053792569647E-2</v>
      </c>
      <c r="BK934" s="77">
        <f t="shared" si="2923"/>
        <v>5.0778449852737495E-3</v>
      </c>
      <c r="BL934" s="79">
        <v>0</v>
      </c>
      <c r="BM934" s="77">
        <f t="shared" si="3128"/>
        <v>0</v>
      </c>
      <c r="BN934" s="77">
        <f t="shared" si="3129"/>
        <v>0</v>
      </c>
      <c r="BO934" s="77">
        <f t="shared" si="3130"/>
        <v>2.5000000000000001E-3</v>
      </c>
      <c r="BP934" s="77">
        <f t="shared" si="3131"/>
        <v>2.0809499864316017E-4</v>
      </c>
    </row>
    <row r="935" spans="1:68">
      <c r="A935" t="s">
        <v>175</v>
      </c>
      <c r="B935" t="s">
        <v>179</v>
      </c>
      <c r="C935" s="197" t="str">
        <f t="shared" si="2888"/>
        <v>Lifecycle_Dynamic_152</v>
      </c>
      <c r="D935">
        <v>152</v>
      </c>
      <c r="E935">
        <f>VLOOKUP($D935,'[2]LC Dynamic'!$Q$2:$U$542,2,FALSE)</f>
        <v>0</v>
      </c>
      <c r="F935">
        <f>VLOOKUP($D935,'[2]LC Dynamic'!$Q$2:$U$542,3,FALSE)</f>
        <v>4.2000000000000003E-2</v>
      </c>
      <c r="G935">
        <f>VLOOKUP($D935,'[2]LC Dynamic'!$Q$2:$U$542,4,FALSE)</f>
        <v>0.90066666666666673</v>
      </c>
      <c r="H935">
        <f>VLOOKUP($D935,'[2]LC Dynamic'!$Q$2:$U$542,5,FALSE)</f>
        <v>5.733333333333334E-2</v>
      </c>
      <c r="I935" s="77">
        <f t="shared" si="3104"/>
        <v>1</v>
      </c>
      <c r="J935" s="77">
        <f t="shared" si="3105"/>
        <v>6.4304433333333327E-2</v>
      </c>
      <c r="K935" s="77">
        <f t="shared" si="2895"/>
        <v>5.2069653314268383E-3</v>
      </c>
      <c r="L935" s="76">
        <v>0</v>
      </c>
      <c r="M935" s="77">
        <f t="shared" si="3115"/>
        <v>0</v>
      </c>
      <c r="N935" s="77">
        <f t="shared" si="3116"/>
        <v>0</v>
      </c>
      <c r="O935" s="77">
        <f t="shared" si="3117"/>
        <v>7.0192666666666678E-3</v>
      </c>
      <c r="P935" s="77">
        <f t="shared" si="3118"/>
        <v>5.8682921578179226E-4</v>
      </c>
      <c r="R935" t="s">
        <v>177</v>
      </c>
      <c r="S935" t="s">
        <v>179</v>
      </c>
      <c r="T935" s="197" t="str">
        <f t="shared" si="2889"/>
        <v>Autopilot_Dynamic_152</v>
      </c>
      <c r="U935">
        <v>152</v>
      </c>
      <c r="V935">
        <f>VLOOKUP($U935,'[2]AP Dynamic'!$Q$1:$T$542,2,FALSE)</f>
        <v>0.88888888888888884</v>
      </c>
      <c r="W935">
        <f>VLOOKUP($U935,'[2]AP Dynamic'!$Q$1:$T$542,3,FALSE)</f>
        <v>0.11111111111111116</v>
      </c>
      <c r="X935">
        <f>VLOOKUP($U935,'[2]AP Dynamic'!$Q$1:$T$542,4,FALSE)</f>
        <v>0</v>
      </c>
      <c r="Y935" s="77">
        <f t="shared" si="2890"/>
        <v>1</v>
      </c>
      <c r="Z935" s="77">
        <f t="shared" si="2896"/>
        <v>6.3149999999999984E-2</v>
      </c>
      <c r="AA935" s="77">
        <f t="shared" si="2897"/>
        <v>5.1160591879111372E-3</v>
      </c>
      <c r="AB935" s="79">
        <v>1</v>
      </c>
      <c r="AC935" s="77">
        <f t="shared" si="3119"/>
        <v>8.277777777777778E-3</v>
      </c>
      <c r="AD935" s="77">
        <f t="shared" ref="AD935" si="3140">1-(1-AC935)^(1/12)</f>
        <v>6.9244588451522482E-4</v>
      </c>
      <c r="AE935" s="77">
        <f t="shared" si="3121"/>
        <v>2.5000000000000001E-3</v>
      </c>
      <c r="AF935" s="77">
        <f t="shared" ref="AF935" si="3141">1-(1-AE935)^(1/12)</f>
        <v>2.0857243058891584E-4</v>
      </c>
      <c r="AH935" t="s">
        <v>175</v>
      </c>
      <c r="AI935" t="s">
        <v>179</v>
      </c>
      <c r="AJ935" s="197" t="str">
        <f t="shared" si="3108"/>
        <v>Lifecycle_Dynamic_152</v>
      </c>
      <c r="AK935">
        <v>152</v>
      </c>
      <c r="AL935">
        <f>VLOOKUP($U935,[2]Standard_Dynamic!$Q$1:$T$542,2,FALSE)</f>
        <v>0.84018117188395813</v>
      </c>
      <c r="AM935">
        <f>VLOOKUP($U935,[2]Standard_Dynamic!$Q$1:$T$542,3,FALSE)</f>
        <v>0.15981882811604184</v>
      </c>
      <c r="AN935">
        <f>VLOOKUP($U935,[2]Standard_Dynamic!$Q$1:$T$542,4,FALSE)</f>
        <v>0</v>
      </c>
      <c r="AO935" s="77">
        <f t="shared" si="3109"/>
        <v>1</v>
      </c>
      <c r="AP935" s="77">
        <f t="shared" si="3123"/>
        <v>6.2503405056759526E-2</v>
      </c>
      <c r="AQ935" s="77">
        <f t="shared" si="3110"/>
        <v>5.0651033652833188E-3</v>
      </c>
      <c r="AR935" s="79">
        <v>0</v>
      </c>
      <c r="AS935" s="77">
        <f t="shared" si="3124"/>
        <v>0</v>
      </c>
      <c r="AT935" s="77">
        <f t="shared" ref="AT935" si="3142">1-(1-AS935)^(1/12)</f>
        <v>0</v>
      </c>
      <c r="AU935" s="77">
        <f t="shared" si="3126"/>
        <v>2.5000000000000001E-3</v>
      </c>
      <c r="AV935" s="77">
        <f t="shared" ref="AV935" si="3143">1-(1-AU935)^(1/12)</f>
        <v>2.0857243058891584E-4</v>
      </c>
      <c r="AX935" t="s">
        <v>178</v>
      </c>
      <c r="AY935" t="s">
        <v>162</v>
      </c>
      <c r="AZ935" s="197" t="str">
        <f t="shared" si="2922"/>
        <v>DIS_Standard_152</v>
      </c>
      <c r="BA935">
        <v>152</v>
      </c>
      <c r="BB935">
        <f>VLOOKUP($BA935,'[2]Standard DIS'!$Q$1:$X$542,4,FALSE)</f>
        <v>0</v>
      </c>
      <c r="BF935">
        <f>VLOOKUP($BA935,'[2]Standard DIS'!$Q$1:$X$542,2,FALSE)</f>
        <v>0.84018117188395813</v>
      </c>
      <c r="BH935">
        <f>VLOOKUP($BA935,'[2]Standard DIS'!$Q$1:$X$542,3,FALSE)</f>
        <v>0.15981882811604184</v>
      </c>
      <c r="BI935" s="77">
        <f t="shared" si="3113"/>
        <v>1</v>
      </c>
      <c r="BJ935" s="77">
        <f t="shared" si="3114"/>
        <v>6.2503405056759526E-2</v>
      </c>
      <c r="BK935" s="77">
        <f t="shared" si="2923"/>
        <v>5.0651033652833188E-3</v>
      </c>
      <c r="BL935" s="79">
        <v>0</v>
      </c>
      <c r="BM935" s="77">
        <f t="shared" si="3128"/>
        <v>0</v>
      </c>
      <c r="BN935" s="77">
        <f t="shared" si="3129"/>
        <v>0</v>
      </c>
      <c r="BO935" s="77">
        <f t="shared" si="3130"/>
        <v>2.5000000000000001E-3</v>
      </c>
      <c r="BP935" s="77">
        <f t="shared" si="3131"/>
        <v>2.0809499864316017E-4</v>
      </c>
    </row>
    <row r="936" spans="1:68">
      <c r="A936" t="s">
        <v>175</v>
      </c>
      <c r="B936" t="s">
        <v>179</v>
      </c>
      <c r="C936" s="197" t="str">
        <f t="shared" si="2888"/>
        <v>Lifecycle_Dynamic_151</v>
      </c>
      <c r="D936">
        <v>151</v>
      </c>
      <c r="E936">
        <f>VLOOKUP($D936,'[2]LC Dynamic'!$Q$2:$U$542,2,FALSE)</f>
        <v>0</v>
      </c>
      <c r="F936">
        <f>VLOOKUP($D936,'[2]LC Dynamic'!$Q$2:$U$542,3,FALSE)</f>
        <v>4.9250000000000002E-2</v>
      </c>
      <c r="G936">
        <f>VLOOKUP($D936,'[2]LC Dynamic'!$Q$2:$U$542,4,FALSE)</f>
        <v>0.9005833333333334</v>
      </c>
      <c r="H936">
        <f>VLOOKUP($D936,'[2]LC Dynamic'!$Q$2:$U$542,5,FALSE)</f>
        <v>5.0166666666666672E-2</v>
      </c>
      <c r="I936" s="77">
        <f t="shared" si="3104"/>
        <v>1</v>
      </c>
      <c r="J936" s="77">
        <f t="shared" si="3105"/>
        <v>6.4123254166666657E-2</v>
      </c>
      <c r="K936" s="77">
        <f t="shared" si="2895"/>
        <v>5.1927043137820483E-3</v>
      </c>
      <c r="L936" s="76">
        <v>0</v>
      </c>
      <c r="M936" s="77">
        <f t="shared" si="3115"/>
        <v>0</v>
      </c>
      <c r="N936" s="77">
        <f t="shared" si="3116"/>
        <v>0</v>
      </c>
      <c r="O936" s="77">
        <f t="shared" si="3117"/>
        <v>7.0256083333333341E-3</v>
      </c>
      <c r="P936" s="77">
        <f t="shared" si="3118"/>
        <v>5.8736111295520921E-4</v>
      </c>
      <c r="R936" t="s">
        <v>177</v>
      </c>
      <c r="S936" t="s">
        <v>179</v>
      </c>
      <c r="T936" s="197" t="str">
        <f t="shared" si="2889"/>
        <v>Autopilot_Dynamic_151</v>
      </c>
      <c r="U936">
        <v>151</v>
      </c>
      <c r="V936">
        <f>VLOOKUP($U936,'[2]AP Dynamic'!$Q$1:$T$542,2,FALSE)</f>
        <v>0.88888888888888884</v>
      </c>
      <c r="W936">
        <f>VLOOKUP($U936,'[2]AP Dynamic'!$Q$1:$T$542,3,FALSE)</f>
        <v>0.11111111111111116</v>
      </c>
      <c r="X936">
        <f>VLOOKUP($U936,'[2]AP Dynamic'!$Q$1:$T$542,4,FALSE)</f>
        <v>0</v>
      </c>
      <c r="Y936" s="77">
        <f t="shared" si="2890"/>
        <v>1</v>
      </c>
      <c r="Z936" s="77">
        <f t="shared" si="2896"/>
        <v>6.3149999999999984E-2</v>
      </c>
      <c r="AA936" s="77">
        <f t="shared" si="2897"/>
        <v>5.1160591879111372E-3</v>
      </c>
      <c r="AB936" s="79">
        <v>1</v>
      </c>
      <c r="AC936" s="77">
        <f t="shared" si="3119"/>
        <v>8.277777777777778E-3</v>
      </c>
      <c r="AD936" s="77">
        <f t="shared" ref="AD936" si="3144">1-(1-AC936)^(1/12)</f>
        <v>6.9244588451522482E-4</v>
      </c>
      <c r="AE936" s="77">
        <f t="shared" si="3121"/>
        <v>2.5000000000000001E-3</v>
      </c>
      <c r="AF936" s="77">
        <f t="shared" ref="AF936" si="3145">1-(1-AE936)^(1/12)</f>
        <v>2.0857243058891584E-4</v>
      </c>
      <c r="AH936" t="s">
        <v>175</v>
      </c>
      <c r="AI936" t="s">
        <v>179</v>
      </c>
      <c r="AJ936" s="197" t="str">
        <f t="shared" si="3108"/>
        <v>Lifecycle_Dynamic_151</v>
      </c>
      <c r="AK936">
        <v>151</v>
      </c>
      <c r="AL936">
        <f>VLOOKUP($U936,[2]Standard_Dynamic!$Q$1:$T$542,2,FALSE)</f>
        <v>0.82800424263272554</v>
      </c>
      <c r="AM936">
        <f>VLOOKUP($U936,[2]Standard_Dynamic!$Q$1:$T$542,3,FALSE)</f>
        <v>0.17199575736727449</v>
      </c>
      <c r="AN936">
        <f>VLOOKUP($U936,[2]Standard_Dynamic!$Q$1:$T$542,4,FALSE)</f>
        <v>0</v>
      </c>
      <c r="AO936" s="77">
        <f t="shared" si="3109"/>
        <v>1</v>
      </c>
      <c r="AP936" s="77">
        <f t="shared" si="3123"/>
        <v>6.2341756320949418E-2</v>
      </c>
      <c r="AQ936" s="77">
        <f t="shared" si="3110"/>
        <v>5.0523599682072984E-3</v>
      </c>
      <c r="AR936" s="79">
        <v>0</v>
      </c>
      <c r="AS936" s="77">
        <f t="shared" si="3124"/>
        <v>0</v>
      </c>
      <c r="AT936" s="77">
        <f t="shared" ref="AT936" si="3146">1-(1-AS936)^(1/12)</f>
        <v>0</v>
      </c>
      <c r="AU936" s="77">
        <f t="shared" si="3126"/>
        <v>2.5000000000000005E-3</v>
      </c>
      <c r="AV936" s="77">
        <f t="shared" ref="AV936" si="3147">1-(1-AU936)^(1/12)</f>
        <v>2.0857243058891584E-4</v>
      </c>
      <c r="AX936" t="s">
        <v>178</v>
      </c>
      <c r="AY936" t="s">
        <v>162</v>
      </c>
      <c r="AZ936" s="197" t="str">
        <f t="shared" si="2922"/>
        <v>DIS_Standard_151</v>
      </c>
      <c r="BA936">
        <v>151</v>
      </c>
      <c r="BB936">
        <f>VLOOKUP($BA936,'[2]Standard DIS'!$Q$1:$X$542,4,FALSE)</f>
        <v>0</v>
      </c>
      <c r="BF936">
        <f>VLOOKUP($BA936,'[2]Standard DIS'!$Q$1:$X$542,2,FALSE)</f>
        <v>0.82800424263272554</v>
      </c>
      <c r="BH936">
        <f>VLOOKUP($BA936,'[2]Standard DIS'!$Q$1:$X$542,3,FALSE)</f>
        <v>0.17199575736727449</v>
      </c>
      <c r="BI936" s="77">
        <f t="shared" si="3113"/>
        <v>1</v>
      </c>
      <c r="BJ936" s="77">
        <f t="shared" si="3114"/>
        <v>6.2341756320949418E-2</v>
      </c>
      <c r="BK936" s="77">
        <f t="shared" si="2923"/>
        <v>5.0523599682072984E-3</v>
      </c>
      <c r="BL936" s="79">
        <v>0</v>
      </c>
      <c r="BM936" s="77">
        <f t="shared" si="3128"/>
        <v>0</v>
      </c>
      <c r="BN936" s="77">
        <f t="shared" si="3129"/>
        <v>0</v>
      </c>
      <c r="BO936" s="77">
        <f t="shared" si="3130"/>
        <v>2.5000000000000005E-3</v>
      </c>
      <c r="BP936" s="77">
        <f t="shared" si="3131"/>
        <v>2.0809499864316017E-4</v>
      </c>
    </row>
    <row r="937" spans="1:68">
      <c r="A937" t="s">
        <v>175</v>
      </c>
      <c r="B937" t="s">
        <v>179</v>
      </c>
      <c r="C937" s="197" t="str">
        <f t="shared" si="2888"/>
        <v>Lifecycle_Dynamic_150</v>
      </c>
      <c r="D937">
        <v>150</v>
      </c>
      <c r="E937">
        <f>VLOOKUP($D937,'[2]LC Dynamic'!$Q$2:$U$542,2,FALSE)</f>
        <v>0</v>
      </c>
      <c r="F937">
        <f>VLOOKUP($D937,'[2]LC Dynamic'!$Q$2:$U$542,3,FALSE)</f>
        <v>5.6500000000000002E-2</v>
      </c>
      <c r="G937">
        <f>VLOOKUP($D937,'[2]LC Dynamic'!$Q$2:$U$542,4,FALSE)</f>
        <v>0.90050000000000008</v>
      </c>
      <c r="H937">
        <f>VLOOKUP($D937,'[2]LC Dynamic'!$Q$2:$U$542,5,FALSE)</f>
        <v>4.3000000000000003E-2</v>
      </c>
      <c r="I937" s="77">
        <f t="shared" si="3104"/>
        <v>1</v>
      </c>
      <c r="J937" s="77">
        <f t="shared" si="3105"/>
        <v>6.3942074999999987E-2</v>
      </c>
      <c r="K937" s="77">
        <f t="shared" si="2895"/>
        <v>5.1784410702038208E-3</v>
      </c>
      <c r="L937" s="76">
        <v>0</v>
      </c>
      <c r="M937" s="77">
        <f t="shared" si="3115"/>
        <v>0</v>
      </c>
      <c r="N937" s="77">
        <f t="shared" si="3116"/>
        <v>0</v>
      </c>
      <c r="O937" s="77">
        <f t="shared" si="3117"/>
        <v>7.0319499999999995E-3</v>
      </c>
      <c r="P937" s="77">
        <f t="shared" si="3118"/>
        <v>5.8789301324246868E-4</v>
      </c>
      <c r="R937" t="s">
        <v>177</v>
      </c>
      <c r="S937" t="s">
        <v>179</v>
      </c>
      <c r="T937" s="197" t="str">
        <f t="shared" si="2889"/>
        <v>Autopilot_Dynamic_150</v>
      </c>
      <c r="U937">
        <v>150</v>
      </c>
      <c r="V937">
        <f>VLOOKUP($U937,'[2]AP Dynamic'!$Q$1:$T$542,2,FALSE)</f>
        <v>0.88888888888888884</v>
      </c>
      <c r="W937">
        <f>VLOOKUP($U937,'[2]AP Dynamic'!$Q$1:$T$542,3,FALSE)</f>
        <v>0.11111111111111116</v>
      </c>
      <c r="X937">
        <f>VLOOKUP($U937,'[2]AP Dynamic'!$Q$1:$T$542,4,FALSE)</f>
        <v>0</v>
      </c>
      <c r="Y937" s="77">
        <f t="shared" si="2890"/>
        <v>1</v>
      </c>
      <c r="Z937" s="77">
        <f t="shared" si="2896"/>
        <v>6.3149999999999984E-2</v>
      </c>
      <c r="AA937" s="77">
        <f t="shared" si="2897"/>
        <v>5.1160591879111372E-3</v>
      </c>
      <c r="AB937" s="79">
        <v>1</v>
      </c>
      <c r="AC937" s="77">
        <f t="shared" si="3119"/>
        <v>8.277777777777778E-3</v>
      </c>
      <c r="AD937" s="77">
        <f t="shared" ref="AD937" si="3148">1-(1-AC937)^(1/12)</f>
        <v>6.9244588451522482E-4</v>
      </c>
      <c r="AE937" s="77">
        <f t="shared" si="3121"/>
        <v>2.5000000000000001E-3</v>
      </c>
      <c r="AF937" s="77">
        <f t="shared" ref="AF937" si="3149">1-(1-AE937)^(1/12)</f>
        <v>2.0857243058891584E-4</v>
      </c>
      <c r="AH937" t="s">
        <v>175</v>
      </c>
      <c r="AI937" t="s">
        <v>179</v>
      </c>
      <c r="AJ937" s="197" t="str">
        <f t="shared" si="3108"/>
        <v>Lifecycle_Dynamic_150</v>
      </c>
      <c r="AK937">
        <v>150</v>
      </c>
      <c r="AL937">
        <f>VLOOKUP($U937,[2]Standard_Dynamic!$Q$1:$T$542,2,FALSE)</f>
        <v>0.81582731338149284</v>
      </c>
      <c r="AM937">
        <f>VLOOKUP($U937,[2]Standard_Dynamic!$Q$1:$T$542,3,FALSE)</f>
        <v>0.18417268661850716</v>
      </c>
      <c r="AN937">
        <f>VLOOKUP($U937,[2]Standard_Dynamic!$Q$1:$T$542,4,FALSE)</f>
        <v>0</v>
      </c>
      <c r="AO937" s="77">
        <f t="shared" si="3109"/>
        <v>1</v>
      </c>
      <c r="AP937" s="77">
        <f t="shared" si="3123"/>
        <v>6.218010758513931E-2</v>
      </c>
      <c r="AQ937" s="77">
        <f t="shared" si="3110"/>
        <v>5.039614793527214E-3</v>
      </c>
      <c r="AR937" s="79">
        <v>0</v>
      </c>
      <c r="AS937" s="77">
        <f t="shared" si="3124"/>
        <v>0</v>
      </c>
      <c r="AT937" s="77">
        <f t="shared" ref="AT937" si="3150">1-(1-AS937)^(1/12)</f>
        <v>0</v>
      </c>
      <c r="AU937" s="77">
        <f t="shared" si="3126"/>
        <v>2.5000000000000001E-3</v>
      </c>
      <c r="AV937" s="77">
        <f t="shared" ref="AV937" si="3151">1-(1-AU937)^(1/12)</f>
        <v>2.0857243058891584E-4</v>
      </c>
      <c r="AX937" t="s">
        <v>178</v>
      </c>
      <c r="AY937" t="s">
        <v>162</v>
      </c>
      <c r="AZ937" s="197" t="str">
        <f t="shared" si="2922"/>
        <v>DIS_Standard_150</v>
      </c>
      <c r="BA937">
        <v>150</v>
      </c>
      <c r="BB937">
        <f>VLOOKUP($BA937,'[2]Standard DIS'!$Q$1:$X$542,4,FALSE)</f>
        <v>0</v>
      </c>
      <c r="BF937">
        <f>VLOOKUP($BA937,'[2]Standard DIS'!$Q$1:$X$542,2,FALSE)</f>
        <v>0.81582731338149284</v>
      </c>
      <c r="BH937">
        <f>VLOOKUP($BA937,'[2]Standard DIS'!$Q$1:$X$542,3,FALSE)</f>
        <v>0.18417268661850716</v>
      </c>
      <c r="BI937" s="77">
        <f t="shared" si="3113"/>
        <v>1</v>
      </c>
      <c r="BJ937" s="77">
        <f t="shared" si="3114"/>
        <v>6.218010758513931E-2</v>
      </c>
      <c r="BK937" s="77">
        <f t="shared" si="2923"/>
        <v>5.039614793527214E-3</v>
      </c>
      <c r="BL937" s="79">
        <v>0</v>
      </c>
      <c r="BM937" s="77">
        <f t="shared" si="3128"/>
        <v>0</v>
      </c>
      <c r="BN937" s="77">
        <f t="shared" si="3129"/>
        <v>0</v>
      </c>
      <c r="BO937" s="77">
        <f t="shared" si="3130"/>
        <v>2.5000000000000001E-3</v>
      </c>
      <c r="BP937" s="77">
        <f t="shared" si="3131"/>
        <v>2.0809499864316017E-4</v>
      </c>
    </row>
    <row r="938" spans="1:68">
      <c r="A938" t="s">
        <v>175</v>
      </c>
      <c r="B938" t="s">
        <v>179</v>
      </c>
      <c r="C938" s="197" t="str">
        <f t="shared" si="2888"/>
        <v>Lifecycle_Dynamic_149</v>
      </c>
      <c r="D938">
        <v>149</v>
      </c>
      <c r="E938">
        <f>VLOOKUP($D938,'[2]LC Dynamic'!$Q$2:$U$542,2,FALSE)</f>
        <v>0</v>
      </c>
      <c r="F938">
        <f>VLOOKUP($D938,'[2]LC Dynamic'!$Q$2:$U$542,3,FALSE)</f>
        <v>6.3750000000000001E-2</v>
      </c>
      <c r="G938">
        <f>VLOOKUP($D938,'[2]LC Dynamic'!$Q$2:$U$542,4,FALSE)</f>
        <v>0.90041666666666664</v>
      </c>
      <c r="H938">
        <f>VLOOKUP($D938,'[2]LC Dynamic'!$Q$2:$U$542,5,FALSE)</f>
        <v>3.5833333333333335E-2</v>
      </c>
      <c r="I938" s="77">
        <f t="shared" si="3104"/>
        <v>1</v>
      </c>
      <c r="J938" s="77">
        <f t="shared" si="3105"/>
        <v>6.3760895833333317E-2</v>
      </c>
      <c r="K938" s="77">
        <f t="shared" si="2895"/>
        <v>5.1641755999654038E-3</v>
      </c>
      <c r="L938" s="76">
        <v>0</v>
      </c>
      <c r="M938" s="77">
        <f t="shared" si="3115"/>
        <v>0</v>
      </c>
      <c r="N938" s="77">
        <f t="shared" si="3116"/>
        <v>0</v>
      </c>
      <c r="O938" s="77">
        <f t="shared" si="3117"/>
        <v>7.0382916666666667E-3</v>
      </c>
      <c r="P938" s="77">
        <f t="shared" si="3118"/>
        <v>5.8842491664368168E-4</v>
      </c>
      <c r="R938" t="s">
        <v>177</v>
      </c>
      <c r="S938" t="s">
        <v>179</v>
      </c>
      <c r="T938" s="197" t="str">
        <f t="shared" si="2889"/>
        <v>Autopilot_Dynamic_149</v>
      </c>
      <c r="U938">
        <v>149</v>
      </c>
      <c r="V938">
        <f>VLOOKUP($U938,'[2]AP Dynamic'!$Q$1:$T$542,2,FALSE)</f>
        <v>0.88888888888888884</v>
      </c>
      <c r="W938">
        <f>VLOOKUP($U938,'[2]AP Dynamic'!$Q$1:$T$542,3,FALSE)</f>
        <v>0.11111111111111116</v>
      </c>
      <c r="X938">
        <f>VLOOKUP($U938,'[2]AP Dynamic'!$Q$1:$T$542,4,FALSE)</f>
        <v>0</v>
      </c>
      <c r="Y938" s="77">
        <f t="shared" si="2890"/>
        <v>1</v>
      </c>
      <c r="Z938" s="77">
        <f t="shared" si="2896"/>
        <v>6.3149999999999984E-2</v>
      </c>
      <c r="AA938" s="77">
        <f t="shared" si="2897"/>
        <v>5.1160591879111372E-3</v>
      </c>
      <c r="AB938" s="79">
        <v>1</v>
      </c>
      <c r="AC938" s="77">
        <f t="shared" si="3119"/>
        <v>8.277777777777778E-3</v>
      </c>
      <c r="AD938" s="77">
        <f t="shared" ref="AD938" si="3152">1-(1-AC938)^(1/12)</f>
        <v>6.9244588451522482E-4</v>
      </c>
      <c r="AE938" s="77">
        <f t="shared" si="3121"/>
        <v>2.5000000000000001E-3</v>
      </c>
      <c r="AF938" s="77">
        <f t="shared" ref="AF938" si="3153">1-(1-AE938)^(1/12)</f>
        <v>2.0857243058891584E-4</v>
      </c>
      <c r="AH938" t="s">
        <v>175</v>
      </c>
      <c r="AI938" t="s">
        <v>179</v>
      </c>
      <c r="AJ938" s="197" t="str">
        <f t="shared" si="3108"/>
        <v>Lifecycle_Dynamic_149</v>
      </c>
      <c r="AK938">
        <v>149</v>
      </c>
      <c r="AL938">
        <f>VLOOKUP($U938,[2]Standard_Dynamic!$Q$1:$T$542,2,FALSE)</f>
        <v>0.80365038413026013</v>
      </c>
      <c r="AM938">
        <f>VLOOKUP($U938,[2]Standard_Dynamic!$Q$1:$T$542,3,FALSE)</f>
        <v>0.19634961586973984</v>
      </c>
      <c r="AN938">
        <f>VLOOKUP($U938,[2]Standard_Dynamic!$Q$1:$T$542,4,FALSE)</f>
        <v>0</v>
      </c>
      <c r="AO938" s="77">
        <f t="shared" si="3109"/>
        <v>1</v>
      </c>
      <c r="AP938" s="77">
        <f t="shared" si="3123"/>
        <v>6.2018458849329189E-2</v>
      </c>
      <c r="AQ938" s="77">
        <f t="shared" si="3110"/>
        <v>5.0268678407245915E-3</v>
      </c>
      <c r="AR938" s="79">
        <v>0</v>
      </c>
      <c r="AS938" s="77">
        <f t="shared" si="3124"/>
        <v>0</v>
      </c>
      <c r="AT938" s="77">
        <f t="shared" ref="AT938" si="3154">1-(1-AS938)^(1/12)</f>
        <v>0</v>
      </c>
      <c r="AU938" s="77">
        <f t="shared" si="3126"/>
        <v>2.4999999999999996E-3</v>
      </c>
      <c r="AV938" s="77">
        <f t="shared" ref="AV938" si="3155">1-(1-AU938)^(1/12)</f>
        <v>2.0857243058891584E-4</v>
      </c>
      <c r="AX938" t="s">
        <v>178</v>
      </c>
      <c r="AY938" t="s">
        <v>162</v>
      </c>
      <c r="AZ938" s="197" t="str">
        <f t="shared" si="2922"/>
        <v>DIS_Standard_149</v>
      </c>
      <c r="BA938">
        <v>149</v>
      </c>
      <c r="BB938">
        <f>VLOOKUP($BA938,'[2]Standard DIS'!$Q$1:$X$542,4,FALSE)</f>
        <v>0</v>
      </c>
      <c r="BF938">
        <f>VLOOKUP($BA938,'[2]Standard DIS'!$Q$1:$X$542,2,FALSE)</f>
        <v>0.80365038413026013</v>
      </c>
      <c r="BH938">
        <f>VLOOKUP($BA938,'[2]Standard DIS'!$Q$1:$X$542,3,FALSE)</f>
        <v>0.19634961586973984</v>
      </c>
      <c r="BI938" s="77">
        <f t="shared" si="3113"/>
        <v>1</v>
      </c>
      <c r="BJ938" s="77">
        <f t="shared" si="3114"/>
        <v>6.2018458849329189E-2</v>
      </c>
      <c r="BK938" s="77">
        <f t="shared" si="2923"/>
        <v>5.0268678407245915E-3</v>
      </c>
      <c r="BL938" s="79">
        <v>0</v>
      </c>
      <c r="BM938" s="77">
        <f t="shared" si="3128"/>
        <v>0</v>
      </c>
      <c r="BN938" s="77">
        <f t="shared" si="3129"/>
        <v>0</v>
      </c>
      <c r="BO938" s="77">
        <f t="shared" si="3130"/>
        <v>2.4999999999999996E-3</v>
      </c>
      <c r="BP938" s="77">
        <f t="shared" si="3131"/>
        <v>2.0809499864316017E-4</v>
      </c>
    </row>
    <row r="939" spans="1:68">
      <c r="A939" t="s">
        <v>175</v>
      </c>
      <c r="B939" t="s">
        <v>179</v>
      </c>
      <c r="C939" s="197" t="str">
        <f t="shared" si="2888"/>
        <v>Lifecycle_Dynamic_148</v>
      </c>
      <c r="D939">
        <v>148</v>
      </c>
      <c r="E939">
        <f>VLOOKUP($D939,'[2]LC Dynamic'!$Q$2:$U$542,2,FALSE)</f>
        <v>0</v>
      </c>
      <c r="F939">
        <f>VLOOKUP($D939,'[2]LC Dynamic'!$Q$2:$U$542,3,FALSE)</f>
        <v>7.1000000000000008E-2</v>
      </c>
      <c r="G939">
        <f>VLOOKUP($D939,'[2]LC Dynamic'!$Q$2:$U$542,4,FALSE)</f>
        <v>0.90033333333333332</v>
      </c>
      <c r="H939">
        <f>VLOOKUP($D939,'[2]LC Dynamic'!$Q$2:$U$542,5,FALSE)</f>
        <v>2.866666666666667E-2</v>
      </c>
      <c r="I939" s="77">
        <f t="shared" si="3104"/>
        <v>1</v>
      </c>
      <c r="J939" s="77">
        <f t="shared" si="3105"/>
        <v>6.3579716666666661E-2</v>
      </c>
      <c r="K939" s="77">
        <f t="shared" si="2895"/>
        <v>5.1499079023400451E-3</v>
      </c>
      <c r="L939" s="76">
        <v>0</v>
      </c>
      <c r="M939" s="77">
        <f t="shared" si="3115"/>
        <v>0</v>
      </c>
      <c r="N939" s="77">
        <f t="shared" si="3116"/>
        <v>0</v>
      </c>
      <c r="O939" s="77">
        <f t="shared" si="3117"/>
        <v>7.044633333333333E-3</v>
      </c>
      <c r="P939" s="77">
        <f t="shared" si="3118"/>
        <v>5.8895682315895925E-4</v>
      </c>
      <c r="R939" t="s">
        <v>177</v>
      </c>
      <c r="S939" t="s">
        <v>179</v>
      </c>
      <c r="T939" s="197" t="str">
        <f t="shared" si="2889"/>
        <v>Autopilot_Dynamic_148</v>
      </c>
      <c r="U939">
        <v>148</v>
      </c>
      <c r="V939">
        <f>VLOOKUP($U939,'[2]AP Dynamic'!$Q$1:$T$542,2,FALSE)</f>
        <v>0.88888888888888884</v>
      </c>
      <c r="W939">
        <f>VLOOKUP($U939,'[2]AP Dynamic'!$Q$1:$T$542,3,FALSE)</f>
        <v>0.11111111111111116</v>
      </c>
      <c r="X939">
        <f>VLOOKUP($U939,'[2]AP Dynamic'!$Q$1:$T$542,4,FALSE)</f>
        <v>0</v>
      </c>
      <c r="Y939" s="77">
        <f t="shared" si="2890"/>
        <v>1</v>
      </c>
      <c r="Z939" s="77">
        <f t="shared" si="2896"/>
        <v>6.3149999999999984E-2</v>
      </c>
      <c r="AA939" s="77">
        <f t="shared" si="2897"/>
        <v>5.1160591879111372E-3</v>
      </c>
      <c r="AB939" s="79">
        <v>1</v>
      </c>
      <c r="AC939" s="77">
        <f t="shared" si="3119"/>
        <v>8.277777777777778E-3</v>
      </c>
      <c r="AD939" s="77">
        <f t="shared" ref="AD939" si="3156">1-(1-AC939)^(1/12)</f>
        <v>6.9244588451522482E-4</v>
      </c>
      <c r="AE939" s="77">
        <f t="shared" si="3121"/>
        <v>2.5000000000000001E-3</v>
      </c>
      <c r="AF939" s="77">
        <f t="shared" ref="AF939" si="3157">1-(1-AE939)^(1/12)</f>
        <v>2.0857243058891584E-4</v>
      </c>
      <c r="AH939" t="s">
        <v>175</v>
      </c>
      <c r="AI939" t="s">
        <v>179</v>
      </c>
      <c r="AJ939" s="197" t="str">
        <f t="shared" si="3108"/>
        <v>Lifecycle_Dynamic_148</v>
      </c>
      <c r="AK939">
        <v>148</v>
      </c>
      <c r="AL939">
        <f>VLOOKUP($U939,[2]Standard_Dynamic!$Q$1:$T$542,2,FALSE)</f>
        <v>0.79147345487902754</v>
      </c>
      <c r="AM939">
        <f>VLOOKUP($U939,[2]Standard_Dynamic!$Q$1:$T$542,3,FALSE)</f>
        <v>0.20852654512097249</v>
      </c>
      <c r="AN939">
        <f>VLOOKUP($U939,[2]Standard_Dynamic!$Q$1:$T$542,4,FALSE)</f>
        <v>0</v>
      </c>
      <c r="AO939" s="77">
        <f t="shared" si="3109"/>
        <v>1</v>
      </c>
      <c r="AP939" s="77">
        <f t="shared" si="3123"/>
        <v>6.1856810113519081E-2</v>
      </c>
      <c r="AQ939" s="77">
        <f t="shared" si="3110"/>
        <v>5.0141191092807347E-3</v>
      </c>
      <c r="AR939" s="79">
        <v>0</v>
      </c>
      <c r="AS939" s="77">
        <f t="shared" si="3124"/>
        <v>0</v>
      </c>
      <c r="AT939" s="77">
        <f t="shared" ref="AT939" si="3158">1-(1-AS939)^(1/12)</f>
        <v>0</v>
      </c>
      <c r="AU939" s="77">
        <f t="shared" si="3126"/>
        <v>2.5000000000000001E-3</v>
      </c>
      <c r="AV939" s="77">
        <f t="shared" ref="AV939" si="3159">1-(1-AU939)^(1/12)</f>
        <v>2.0857243058891584E-4</v>
      </c>
      <c r="AX939" t="s">
        <v>178</v>
      </c>
      <c r="AY939" t="s">
        <v>162</v>
      </c>
      <c r="AZ939" s="197" t="str">
        <f t="shared" si="2922"/>
        <v>DIS_Standard_148</v>
      </c>
      <c r="BA939">
        <v>148</v>
      </c>
      <c r="BB939">
        <f>VLOOKUP($BA939,'[2]Standard DIS'!$Q$1:$X$542,4,FALSE)</f>
        <v>0</v>
      </c>
      <c r="BF939">
        <f>VLOOKUP($BA939,'[2]Standard DIS'!$Q$1:$X$542,2,FALSE)</f>
        <v>0.79147345487902754</v>
      </c>
      <c r="BH939">
        <f>VLOOKUP($BA939,'[2]Standard DIS'!$Q$1:$X$542,3,FALSE)</f>
        <v>0.20852654512097249</v>
      </c>
      <c r="BI939" s="77">
        <f t="shared" si="3113"/>
        <v>1</v>
      </c>
      <c r="BJ939" s="77">
        <f t="shared" si="3114"/>
        <v>6.1856810113519081E-2</v>
      </c>
      <c r="BK939" s="77">
        <f t="shared" si="2923"/>
        <v>5.0141191092807347E-3</v>
      </c>
      <c r="BL939" s="79">
        <v>0</v>
      </c>
      <c r="BM939" s="77">
        <f t="shared" si="3128"/>
        <v>0</v>
      </c>
      <c r="BN939" s="77">
        <f t="shared" si="3129"/>
        <v>0</v>
      </c>
      <c r="BO939" s="77">
        <f t="shared" si="3130"/>
        <v>2.5000000000000001E-3</v>
      </c>
      <c r="BP939" s="77">
        <f t="shared" si="3131"/>
        <v>2.0809499864316017E-4</v>
      </c>
    </row>
    <row r="940" spans="1:68">
      <c r="A940" t="s">
        <v>175</v>
      </c>
      <c r="B940" t="s">
        <v>179</v>
      </c>
      <c r="C940" s="197" t="str">
        <f t="shared" si="2888"/>
        <v>Lifecycle_Dynamic_147</v>
      </c>
      <c r="D940">
        <v>147</v>
      </c>
      <c r="E940">
        <f>VLOOKUP($D940,'[2]LC Dynamic'!$Q$2:$U$542,2,FALSE)</f>
        <v>0</v>
      </c>
      <c r="F940">
        <f>VLOOKUP($D940,'[2]LC Dynamic'!$Q$2:$U$542,3,FALSE)</f>
        <v>7.825E-2</v>
      </c>
      <c r="G940">
        <f>VLOOKUP($D940,'[2]LC Dynamic'!$Q$2:$U$542,4,FALSE)</f>
        <v>0.90024999999999999</v>
      </c>
      <c r="H940">
        <f>VLOOKUP($D940,'[2]LC Dynamic'!$Q$2:$U$542,5,FALSE)</f>
        <v>2.1500000000000002E-2</v>
      </c>
      <c r="I940" s="77">
        <f t="shared" si="3104"/>
        <v>1</v>
      </c>
      <c r="J940" s="77">
        <f t="shared" si="3105"/>
        <v>6.3398537499999991E-2</v>
      </c>
      <c r="K940" s="77">
        <f t="shared" si="2895"/>
        <v>5.1356379766005489E-3</v>
      </c>
      <c r="L940" s="76">
        <v>0</v>
      </c>
      <c r="M940" s="77">
        <f t="shared" si="3115"/>
        <v>0</v>
      </c>
      <c r="N940" s="77">
        <f t="shared" si="3116"/>
        <v>0</v>
      </c>
      <c r="O940" s="77">
        <f t="shared" si="3117"/>
        <v>7.0509749999999993E-3</v>
      </c>
      <c r="P940" s="77">
        <f t="shared" si="3118"/>
        <v>5.8948873278819036E-4</v>
      </c>
      <c r="R940" t="s">
        <v>177</v>
      </c>
      <c r="S940" t="s">
        <v>179</v>
      </c>
      <c r="T940" s="197" t="str">
        <f t="shared" si="2889"/>
        <v>Autopilot_Dynamic_147</v>
      </c>
      <c r="U940">
        <v>147</v>
      </c>
      <c r="V940">
        <f>VLOOKUP($U940,'[2]AP Dynamic'!$Q$1:$T$542,2,FALSE)</f>
        <v>0.88888888888888884</v>
      </c>
      <c r="W940">
        <f>VLOOKUP($U940,'[2]AP Dynamic'!$Q$1:$T$542,3,FALSE)</f>
        <v>0.11111111111111116</v>
      </c>
      <c r="X940">
        <f>VLOOKUP($U940,'[2]AP Dynamic'!$Q$1:$T$542,4,FALSE)</f>
        <v>0</v>
      </c>
      <c r="Y940" s="77">
        <f t="shared" si="2890"/>
        <v>1</v>
      </c>
      <c r="Z940" s="77">
        <f t="shared" si="2896"/>
        <v>6.3149999999999984E-2</v>
      </c>
      <c r="AA940" s="77">
        <f t="shared" si="2897"/>
        <v>5.1160591879111372E-3</v>
      </c>
      <c r="AB940" s="79">
        <v>1</v>
      </c>
      <c r="AC940" s="77">
        <f t="shared" si="3119"/>
        <v>8.277777777777778E-3</v>
      </c>
      <c r="AD940" s="77">
        <f t="shared" ref="AD940" si="3160">1-(1-AC940)^(1/12)</f>
        <v>6.9244588451522482E-4</v>
      </c>
      <c r="AE940" s="77">
        <f t="shared" si="3121"/>
        <v>2.5000000000000001E-3</v>
      </c>
      <c r="AF940" s="77">
        <f t="shared" ref="AF940" si="3161">1-(1-AE940)^(1/12)</f>
        <v>2.0857243058891584E-4</v>
      </c>
      <c r="AH940" t="s">
        <v>175</v>
      </c>
      <c r="AI940" t="s">
        <v>179</v>
      </c>
      <c r="AJ940" s="197" t="str">
        <f t="shared" si="3108"/>
        <v>Lifecycle_Dynamic_147</v>
      </c>
      <c r="AK940">
        <v>147</v>
      </c>
      <c r="AL940">
        <f>VLOOKUP($U940,[2]Standard_Dynamic!$Q$1:$T$542,2,FALSE)</f>
        <v>0.77929652562779483</v>
      </c>
      <c r="AM940">
        <f>VLOOKUP($U940,[2]Standard_Dynamic!$Q$1:$T$542,3,FALSE)</f>
        <v>0.22070347437220517</v>
      </c>
      <c r="AN940">
        <f>VLOOKUP($U940,[2]Standard_Dynamic!$Q$1:$T$542,4,FALSE)</f>
        <v>0</v>
      </c>
      <c r="AO940" s="77">
        <f t="shared" si="3109"/>
        <v>1</v>
      </c>
      <c r="AP940" s="77">
        <f t="shared" si="3123"/>
        <v>6.1695161377708967E-2</v>
      </c>
      <c r="AQ940" s="77">
        <f t="shared" si="3110"/>
        <v>5.0013685986767253E-3</v>
      </c>
      <c r="AR940" s="79">
        <v>0</v>
      </c>
      <c r="AS940" s="77">
        <f t="shared" si="3124"/>
        <v>0</v>
      </c>
      <c r="AT940" s="77">
        <f t="shared" ref="AT940" si="3162">1-(1-AS940)^(1/12)</f>
        <v>0</v>
      </c>
      <c r="AU940" s="77">
        <f t="shared" si="3126"/>
        <v>2.5000000000000001E-3</v>
      </c>
      <c r="AV940" s="77">
        <f t="shared" ref="AV940" si="3163">1-(1-AU940)^(1/12)</f>
        <v>2.0857243058891584E-4</v>
      </c>
      <c r="AX940" t="s">
        <v>178</v>
      </c>
      <c r="AY940" t="s">
        <v>162</v>
      </c>
      <c r="AZ940" s="197" t="str">
        <f t="shared" si="2922"/>
        <v>DIS_Standard_147</v>
      </c>
      <c r="BA940">
        <v>147</v>
      </c>
      <c r="BB940">
        <f>VLOOKUP($BA940,'[2]Standard DIS'!$Q$1:$X$542,4,FALSE)</f>
        <v>0</v>
      </c>
      <c r="BF940">
        <f>VLOOKUP($BA940,'[2]Standard DIS'!$Q$1:$X$542,2,FALSE)</f>
        <v>0.77929652562779483</v>
      </c>
      <c r="BH940">
        <f>VLOOKUP($BA940,'[2]Standard DIS'!$Q$1:$X$542,3,FALSE)</f>
        <v>0.22070347437220517</v>
      </c>
      <c r="BI940" s="77">
        <f t="shared" si="3113"/>
        <v>1</v>
      </c>
      <c r="BJ940" s="77">
        <f t="shared" si="3114"/>
        <v>6.1695161377708967E-2</v>
      </c>
      <c r="BK940" s="77">
        <f t="shared" si="2923"/>
        <v>5.0013685986767253E-3</v>
      </c>
      <c r="BL940" s="79">
        <v>0</v>
      </c>
      <c r="BM940" s="77">
        <f t="shared" si="3128"/>
        <v>0</v>
      </c>
      <c r="BN940" s="77">
        <f t="shared" si="3129"/>
        <v>0</v>
      </c>
      <c r="BO940" s="77">
        <f t="shared" si="3130"/>
        <v>2.5000000000000001E-3</v>
      </c>
      <c r="BP940" s="77">
        <f t="shared" si="3131"/>
        <v>2.0809499864316017E-4</v>
      </c>
    </row>
    <row r="941" spans="1:68">
      <c r="A941" t="s">
        <v>175</v>
      </c>
      <c r="B941" t="s">
        <v>179</v>
      </c>
      <c r="C941" s="197" t="str">
        <f t="shared" si="2888"/>
        <v>Lifecycle_Dynamic_146</v>
      </c>
      <c r="D941">
        <v>146</v>
      </c>
      <c r="E941">
        <f>VLOOKUP($D941,'[2]LC Dynamic'!$Q$2:$U$542,2,FALSE)</f>
        <v>0</v>
      </c>
      <c r="F941">
        <f>VLOOKUP($D941,'[2]LC Dynamic'!$Q$2:$U$542,3,FALSE)</f>
        <v>8.5500000000000007E-2</v>
      </c>
      <c r="G941">
        <f>VLOOKUP($D941,'[2]LC Dynamic'!$Q$2:$U$542,4,FALSE)</f>
        <v>0.90016666666666667</v>
      </c>
      <c r="H941">
        <f>VLOOKUP($D941,'[2]LC Dynamic'!$Q$2:$U$542,5,FALSE)</f>
        <v>1.4333333333333335E-2</v>
      </c>
      <c r="I941" s="77">
        <f t="shared" si="3104"/>
        <v>1</v>
      </c>
      <c r="J941" s="77">
        <f t="shared" si="3105"/>
        <v>6.3217358333333334E-2</v>
      </c>
      <c r="K941" s="77">
        <f t="shared" si="2895"/>
        <v>5.1213658220190528E-3</v>
      </c>
      <c r="L941" s="76">
        <v>0</v>
      </c>
      <c r="M941" s="77">
        <f t="shared" si="3115"/>
        <v>0</v>
      </c>
      <c r="N941" s="77">
        <f t="shared" si="3116"/>
        <v>0</v>
      </c>
      <c r="O941" s="77">
        <f t="shared" si="3117"/>
        <v>7.0573166666666664E-3</v>
      </c>
      <c r="P941" s="77">
        <f t="shared" si="3118"/>
        <v>5.9002064553148603E-4</v>
      </c>
      <c r="R941" t="s">
        <v>177</v>
      </c>
      <c r="S941" t="s">
        <v>179</v>
      </c>
      <c r="T941" s="197" t="str">
        <f t="shared" si="2889"/>
        <v>Autopilot_Dynamic_146</v>
      </c>
      <c r="U941">
        <v>146</v>
      </c>
      <c r="V941">
        <f>VLOOKUP($U941,'[2]AP Dynamic'!$Q$1:$T$542,2,FALSE)</f>
        <v>0.88888888888888884</v>
      </c>
      <c r="W941">
        <f>VLOOKUP($U941,'[2]AP Dynamic'!$Q$1:$T$542,3,FALSE)</f>
        <v>0.11111111111111116</v>
      </c>
      <c r="X941">
        <f>VLOOKUP($U941,'[2]AP Dynamic'!$Q$1:$T$542,4,FALSE)</f>
        <v>0</v>
      </c>
      <c r="Y941" s="77">
        <f t="shared" si="2890"/>
        <v>1</v>
      </c>
      <c r="Z941" s="77">
        <f t="shared" si="2896"/>
        <v>6.3149999999999984E-2</v>
      </c>
      <c r="AA941" s="77">
        <f t="shared" si="2897"/>
        <v>5.1160591879111372E-3</v>
      </c>
      <c r="AB941" s="79">
        <v>1</v>
      </c>
      <c r="AC941" s="77">
        <f t="shared" si="3119"/>
        <v>8.277777777777778E-3</v>
      </c>
      <c r="AD941" s="77">
        <f t="shared" ref="AD941" si="3164">1-(1-AC941)^(1/12)</f>
        <v>6.9244588451522482E-4</v>
      </c>
      <c r="AE941" s="77">
        <f t="shared" si="3121"/>
        <v>2.5000000000000001E-3</v>
      </c>
      <c r="AF941" s="77">
        <f t="shared" ref="AF941" si="3165">1-(1-AE941)^(1/12)</f>
        <v>2.0857243058891584E-4</v>
      </c>
      <c r="AH941" t="s">
        <v>175</v>
      </c>
      <c r="AI941" t="s">
        <v>179</v>
      </c>
      <c r="AJ941" s="197" t="str">
        <f t="shared" si="3108"/>
        <v>Lifecycle_Dynamic_146</v>
      </c>
      <c r="AK941">
        <v>146</v>
      </c>
      <c r="AL941">
        <f>VLOOKUP($U941,[2]Standard_Dynamic!$Q$1:$T$542,2,FALSE)</f>
        <v>0.76711959637656213</v>
      </c>
      <c r="AM941">
        <f>VLOOKUP($U941,[2]Standard_Dynamic!$Q$1:$T$542,3,FALSE)</f>
        <v>0.23288040362343784</v>
      </c>
      <c r="AN941">
        <f>VLOOKUP($U941,[2]Standard_Dynamic!$Q$1:$T$542,4,FALSE)</f>
        <v>0</v>
      </c>
      <c r="AO941" s="77">
        <f t="shared" si="3109"/>
        <v>1</v>
      </c>
      <c r="AP941" s="77">
        <f t="shared" si="3123"/>
        <v>6.1533512641898852E-2</v>
      </c>
      <c r="AQ941" s="77">
        <f t="shared" si="3110"/>
        <v>4.9886163083932011E-3</v>
      </c>
      <c r="AR941" s="79">
        <v>0</v>
      </c>
      <c r="AS941" s="77">
        <f t="shared" si="3124"/>
        <v>0</v>
      </c>
      <c r="AT941" s="77">
        <f t="shared" ref="AT941" si="3166">1-(1-AS941)^(1/12)</f>
        <v>0</v>
      </c>
      <c r="AU941" s="77">
        <f t="shared" si="3126"/>
        <v>2.5000000000000001E-3</v>
      </c>
      <c r="AV941" s="77">
        <f t="shared" ref="AV941" si="3167">1-(1-AU941)^(1/12)</f>
        <v>2.0857243058891584E-4</v>
      </c>
      <c r="AX941" t="s">
        <v>178</v>
      </c>
      <c r="AY941" t="s">
        <v>162</v>
      </c>
      <c r="AZ941" s="197" t="str">
        <f t="shared" si="2922"/>
        <v>DIS_Standard_146</v>
      </c>
      <c r="BA941">
        <v>146</v>
      </c>
      <c r="BB941">
        <f>VLOOKUP($BA941,'[2]Standard DIS'!$Q$1:$X$542,4,FALSE)</f>
        <v>0</v>
      </c>
      <c r="BF941">
        <f>VLOOKUP($BA941,'[2]Standard DIS'!$Q$1:$X$542,2,FALSE)</f>
        <v>0.76711959637656213</v>
      </c>
      <c r="BH941">
        <f>VLOOKUP($BA941,'[2]Standard DIS'!$Q$1:$X$542,3,FALSE)</f>
        <v>0.23288040362343784</v>
      </c>
      <c r="BI941" s="77">
        <f t="shared" si="3113"/>
        <v>1</v>
      </c>
      <c r="BJ941" s="77">
        <f t="shared" si="3114"/>
        <v>6.1533512641898852E-2</v>
      </c>
      <c r="BK941" s="77">
        <f t="shared" si="2923"/>
        <v>4.9886163083932011E-3</v>
      </c>
      <c r="BL941" s="79">
        <v>0</v>
      </c>
      <c r="BM941" s="77">
        <f t="shared" si="3128"/>
        <v>0</v>
      </c>
      <c r="BN941" s="77">
        <f t="shared" si="3129"/>
        <v>0</v>
      </c>
      <c r="BO941" s="77">
        <f t="shared" si="3130"/>
        <v>2.5000000000000001E-3</v>
      </c>
      <c r="BP941" s="77">
        <f t="shared" si="3131"/>
        <v>2.0809499864316017E-4</v>
      </c>
    </row>
    <row r="942" spans="1:68">
      <c r="A942" t="s">
        <v>175</v>
      </c>
      <c r="B942" t="s">
        <v>179</v>
      </c>
      <c r="C942" s="197" t="str">
        <f t="shared" si="2888"/>
        <v>Lifecycle_Dynamic_145</v>
      </c>
      <c r="D942">
        <v>145</v>
      </c>
      <c r="E942">
        <f>VLOOKUP($D942,'[2]LC Dynamic'!$Q$2:$U$542,2,FALSE)</f>
        <v>0</v>
      </c>
      <c r="F942">
        <f>VLOOKUP($D942,'[2]LC Dynamic'!$Q$2:$U$542,3,FALSE)</f>
        <v>9.2749999999999999E-2</v>
      </c>
      <c r="G942">
        <f>VLOOKUP($D942,'[2]LC Dynamic'!$Q$2:$U$542,4,FALSE)</f>
        <v>0.90008333333333335</v>
      </c>
      <c r="H942">
        <f>VLOOKUP($D942,'[2]LC Dynamic'!$Q$2:$U$542,5,FALSE)</f>
        <v>7.1666666666666675E-3</v>
      </c>
      <c r="I942" s="77">
        <f t="shared" si="3104"/>
        <v>1</v>
      </c>
      <c r="J942" s="77">
        <f t="shared" si="3105"/>
        <v>6.3036179166666664E-2</v>
      </c>
      <c r="K942" s="77">
        <f t="shared" si="2895"/>
        <v>5.1070914378676946E-3</v>
      </c>
      <c r="L942" s="76">
        <v>0</v>
      </c>
      <c r="M942" s="77">
        <f t="shared" si="3115"/>
        <v>0</v>
      </c>
      <c r="N942" s="77">
        <f t="shared" si="3116"/>
        <v>0</v>
      </c>
      <c r="O942" s="77">
        <f t="shared" si="3117"/>
        <v>7.0636583333333327E-3</v>
      </c>
      <c r="P942" s="77">
        <f t="shared" si="3118"/>
        <v>5.9055256138895729E-4</v>
      </c>
      <c r="R942" t="s">
        <v>177</v>
      </c>
      <c r="S942" t="s">
        <v>179</v>
      </c>
      <c r="T942" s="197" t="str">
        <f t="shared" si="2889"/>
        <v>Autopilot_Dynamic_145</v>
      </c>
      <c r="U942">
        <v>145</v>
      </c>
      <c r="V942">
        <f>VLOOKUP($U942,'[2]AP Dynamic'!$Q$1:$T$542,2,FALSE)</f>
        <v>0.88888888888888884</v>
      </c>
      <c r="W942">
        <f>VLOOKUP($U942,'[2]AP Dynamic'!$Q$1:$T$542,3,FALSE)</f>
        <v>0.11111111111111116</v>
      </c>
      <c r="X942">
        <f>VLOOKUP($U942,'[2]AP Dynamic'!$Q$1:$T$542,4,FALSE)</f>
        <v>0</v>
      </c>
      <c r="Y942" s="77">
        <f t="shared" si="2890"/>
        <v>1</v>
      </c>
      <c r="Z942" s="77">
        <f t="shared" si="2896"/>
        <v>6.3149999999999984E-2</v>
      </c>
      <c r="AA942" s="77">
        <f t="shared" si="2897"/>
        <v>5.1160591879111372E-3</v>
      </c>
      <c r="AB942" s="79">
        <v>1</v>
      </c>
      <c r="AC942" s="77">
        <f t="shared" si="3119"/>
        <v>8.277777777777778E-3</v>
      </c>
      <c r="AD942" s="77">
        <f t="shared" ref="AD942" si="3168">1-(1-AC942)^(1/12)</f>
        <v>6.9244588451522482E-4</v>
      </c>
      <c r="AE942" s="77">
        <f t="shared" si="3121"/>
        <v>2.5000000000000001E-3</v>
      </c>
      <c r="AF942" s="77">
        <f t="shared" ref="AF942" si="3169">1-(1-AE942)^(1/12)</f>
        <v>2.0857243058891584E-4</v>
      </c>
      <c r="AH942" t="s">
        <v>175</v>
      </c>
      <c r="AI942" t="s">
        <v>179</v>
      </c>
      <c r="AJ942" s="197" t="str">
        <f t="shared" si="3108"/>
        <v>Lifecycle_Dynamic_145</v>
      </c>
      <c r="AK942">
        <v>145</v>
      </c>
      <c r="AL942">
        <f>VLOOKUP($U942,[2]Standard_Dynamic!$Q$1:$T$542,2,FALSE)</f>
        <v>0.75494266712532954</v>
      </c>
      <c r="AM942">
        <f>VLOOKUP($U942,[2]Standard_Dynamic!$Q$1:$T$542,3,FALSE)</f>
        <v>0.24505733287467049</v>
      </c>
      <c r="AN942">
        <f>VLOOKUP($U942,[2]Standard_Dynamic!$Q$1:$T$542,4,FALSE)</f>
        <v>0</v>
      </c>
      <c r="AO942" s="77">
        <f t="shared" si="3109"/>
        <v>1</v>
      </c>
      <c r="AP942" s="77">
        <f t="shared" si="3123"/>
        <v>6.1371863906088744E-2</v>
      </c>
      <c r="AQ942" s="77">
        <f t="shared" si="3110"/>
        <v>4.9758622379105777E-3</v>
      </c>
      <c r="AR942" s="79">
        <v>0</v>
      </c>
      <c r="AS942" s="77">
        <f t="shared" si="3124"/>
        <v>0</v>
      </c>
      <c r="AT942" s="77">
        <f t="shared" ref="AT942" si="3170">1-(1-AS942)^(1/12)</f>
        <v>0</v>
      </c>
      <c r="AU942" s="77">
        <f t="shared" si="3126"/>
        <v>2.5000000000000001E-3</v>
      </c>
      <c r="AV942" s="77">
        <f t="shared" ref="AV942" si="3171">1-(1-AU942)^(1/12)</f>
        <v>2.0857243058891584E-4</v>
      </c>
      <c r="AX942" t="s">
        <v>178</v>
      </c>
      <c r="AY942" t="s">
        <v>162</v>
      </c>
      <c r="AZ942" s="197" t="str">
        <f t="shared" si="2922"/>
        <v>DIS_Standard_145</v>
      </c>
      <c r="BA942">
        <v>145</v>
      </c>
      <c r="BB942">
        <f>VLOOKUP($BA942,'[2]Standard DIS'!$Q$1:$X$542,4,FALSE)</f>
        <v>0</v>
      </c>
      <c r="BF942">
        <f>VLOOKUP($BA942,'[2]Standard DIS'!$Q$1:$X$542,2,FALSE)</f>
        <v>0.75494266712532954</v>
      </c>
      <c r="BH942">
        <f>VLOOKUP($BA942,'[2]Standard DIS'!$Q$1:$X$542,3,FALSE)</f>
        <v>0.24505733287467049</v>
      </c>
      <c r="BI942" s="77">
        <f t="shared" si="3113"/>
        <v>1</v>
      </c>
      <c r="BJ942" s="77">
        <f t="shared" si="3114"/>
        <v>6.1371863906088744E-2</v>
      </c>
      <c r="BK942" s="77">
        <f t="shared" si="2923"/>
        <v>4.9758622379105777E-3</v>
      </c>
      <c r="BL942" s="79">
        <v>0</v>
      </c>
      <c r="BM942" s="77">
        <f t="shared" si="3128"/>
        <v>0</v>
      </c>
      <c r="BN942" s="77">
        <f t="shared" si="3129"/>
        <v>0</v>
      </c>
      <c r="BO942" s="77">
        <f t="shared" si="3130"/>
        <v>2.5000000000000001E-3</v>
      </c>
      <c r="BP942" s="77">
        <f t="shared" si="3131"/>
        <v>2.0809499864316017E-4</v>
      </c>
    </row>
    <row r="943" spans="1:68">
      <c r="A943" t="s">
        <v>175</v>
      </c>
      <c r="B943" t="s">
        <v>179</v>
      </c>
      <c r="C943" s="197" t="str">
        <f t="shared" ref="C943:C1006" si="3172">A943&amp;"_"&amp;B943&amp;"_"&amp;D943</f>
        <v>Lifecycle_Dynamic_144</v>
      </c>
      <c r="D943">
        <v>144</v>
      </c>
      <c r="E943">
        <f>VLOOKUP($D943,'[2]LC Dynamic'!$Q$2:$U$542,2,FALSE)</f>
        <v>0</v>
      </c>
      <c r="F943">
        <f>VLOOKUP($D943,'[2]LC Dynamic'!$Q$2:$U$542,3,FALSE)</f>
        <v>0.1</v>
      </c>
      <c r="G943">
        <f>VLOOKUP($D943,'[2]LC Dynamic'!$Q$2:$U$542,4,FALSE)</f>
        <v>0.9</v>
      </c>
      <c r="H943">
        <f>VLOOKUP($D943,'[2]LC Dynamic'!$Q$2:$U$542,5,FALSE)</f>
        <v>0</v>
      </c>
      <c r="I943" s="77">
        <f t="shared" si="3104"/>
        <v>1</v>
      </c>
      <c r="J943" s="77">
        <f t="shared" si="3105"/>
        <v>6.2854999999999994E-2</v>
      </c>
      <c r="K943" s="77">
        <f t="shared" si="2895"/>
        <v>5.092814823417946E-3</v>
      </c>
      <c r="L943" s="76">
        <v>0</v>
      </c>
      <c r="M943" s="77">
        <f t="shared" si="3115"/>
        <v>0</v>
      </c>
      <c r="N943" s="77">
        <f t="shared" si="3116"/>
        <v>0</v>
      </c>
      <c r="O943" s="77">
        <f t="shared" si="3117"/>
        <v>7.0699999999999999E-3</v>
      </c>
      <c r="P943" s="77">
        <f t="shared" si="3118"/>
        <v>5.910844803604931E-4</v>
      </c>
      <c r="R943" t="s">
        <v>177</v>
      </c>
      <c r="S943" t="s">
        <v>179</v>
      </c>
      <c r="T943" s="197" t="str">
        <f t="shared" ref="T943:T1006" si="3173">R943&amp;"_"&amp;S943&amp;"_"&amp;U943</f>
        <v>Autopilot_Dynamic_144</v>
      </c>
      <c r="U943">
        <v>144</v>
      </c>
      <c r="V943">
        <f>VLOOKUP($U943,'[2]AP Dynamic'!$Q$1:$T$542,2,FALSE)</f>
        <v>0.74276573787409683</v>
      </c>
      <c r="W943">
        <f>VLOOKUP($U943,'[2]AP Dynamic'!$Q$1:$T$542,3,FALSE)</f>
        <v>0.25723426212590317</v>
      </c>
      <c r="X943">
        <f>VLOOKUP($U943,'[2]AP Dynamic'!$Q$1:$T$542,4,FALSE)</f>
        <v>0</v>
      </c>
      <c r="Y943" s="77">
        <f t="shared" ref="Y943:Y1006" si="3174">SUM(V943:X943)</f>
        <v>1</v>
      </c>
      <c r="Z943" s="77">
        <f t="shared" si="2896"/>
        <v>6.1210215170278623E-2</v>
      </c>
      <c r="AA943" s="77">
        <f t="shared" si="2897"/>
        <v>4.9631063867092706E-3</v>
      </c>
      <c r="AB943" s="79">
        <v>1</v>
      </c>
      <c r="AC943" s="77">
        <f t="shared" si="3119"/>
        <v>7.9855314757481949E-3</v>
      </c>
      <c r="AD943" s="77">
        <f t="shared" ref="AD943" si="3175">1-(1-AC943)^(1/12)</f>
        <v>6.6790906584879295E-4</v>
      </c>
      <c r="AE943" s="77">
        <f t="shared" si="3121"/>
        <v>2.5000000000000001E-3</v>
      </c>
      <c r="AF943" s="77">
        <f t="shared" ref="AF943" si="3176">1-(1-AE943)^(1/12)</f>
        <v>2.0857243058891584E-4</v>
      </c>
      <c r="AH943" t="s">
        <v>175</v>
      </c>
      <c r="AI943" t="s">
        <v>179</v>
      </c>
      <c r="AJ943" s="197" t="str">
        <f t="shared" si="3108"/>
        <v>Lifecycle_Dynamic_144</v>
      </c>
      <c r="AK943">
        <v>144</v>
      </c>
      <c r="AL943">
        <f>VLOOKUP($U943,[2]Standard_Dynamic!$Q$1:$T$542,2,FALSE)</f>
        <v>0.74276573787409683</v>
      </c>
      <c r="AM943">
        <f>VLOOKUP($U943,[2]Standard_Dynamic!$Q$1:$T$542,3,FALSE)</f>
        <v>0.25723426212590317</v>
      </c>
      <c r="AN943">
        <f>VLOOKUP($U943,[2]Standard_Dynamic!$Q$1:$T$542,4,FALSE)</f>
        <v>0</v>
      </c>
      <c r="AO943" s="77">
        <f t="shared" si="3109"/>
        <v>1</v>
      </c>
      <c r="AP943" s="77">
        <f t="shared" si="3123"/>
        <v>6.1210215170278623E-2</v>
      </c>
      <c r="AQ943" s="77">
        <f t="shared" si="3110"/>
        <v>4.9631063867092706E-3</v>
      </c>
      <c r="AR943" s="79">
        <v>0</v>
      </c>
      <c r="AS943" s="77">
        <f t="shared" si="3124"/>
        <v>0</v>
      </c>
      <c r="AT943" s="77">
        <f t="shared" ref="AT943" si="3177">1-(1-AS943)^(1/12)</f>
        <v>0</v>
      </c>
      <c r="AU943" s="77">
        <f t="shared" si="3126"/>
        <v>2.5000000000000001E-3</v>
      </c>
      <c r="AV943" s="77">
        <f t="shared" ref="AV943" si="3178">1-(1-AU943)^(1/12)</f>
        <v>2.0857243058891584E-4</v>
      </c>
      <c r="AX943" t="s">
        <v>178</v>
      </c>
      <c r="AY943" t="s">
        <v>162</v>
      </c>
      <c r="AZ943" s="197" t="str">
        <f t="shared" si="2922"/>
        <v>DIS_Standard_144</v>
      </c>
      <c r="BA943">
        <v>144</v>
      </c>
      <c r="BB943">
        <f>VLOOKUP($BA943,'[2]Standard DIS'!$Q$1:$X$542,4,FALSE)</f>
        <v>0</v>
      </c>
      <c r="BF943">
        <f>VLOOKUP($BA943,'[2]Standard DIS'!$Q$1:$X$542,2,FALSE)</f>
        <v>0.74276573787409683</v>
      </c>
      <c r="BH943">
        <f>VLOOKUP($BA943,'[2]Standard DIS'!$Q$1:$X$542,3,FALSE)</f>
        <v>0.25723426212590317</v>
      </c>
      <c r="BI943" s="77">
        <f t="shared" si="3113"/>
        <v>1</v>
      </c>
      <c r="BJ943" s="77">
        <f t="shared" si="3114"/>
        <v>6.1210215170278623E-2</v>
      </c>
      <c r="BK943" s="77">
        <f t="shared" si="2923"/>
        <v>4.9631063867092706E-3</v>
      </c>
      <c r="BL943" s="79">
        <v>0</v>
      </c>
      <c r="BM943" s="77">
        <f t="shared" si="3128"/>
        <v>0</v>
      </c>
      <c r="BN943" s="77">
        <f t="shared" si="3129"/>
        <v>0</v>
      </c>
      <c r="BO943" s="77">
        <f t="shared" si="3130"/>
        <v>2.5000000000000001E-3</v>
      </c>
      <c r="BP943" s="77">
        <f t="shared" si="3131"/>
        <v>2.0809499864316017E-4</v>
      </c>
    </row>
    <row r="944" spans="1:68">
      <c r="A944" t="s">
        <v>175</v>
      </c>
      <c r="B944" t="s">
        <v>179</v>
      </c>
      <c r="C944" s="197" t="str">
        <f t="shared" si="3172"/>
        <v>Lifecycle_Dynamic_143</v>
      </c>
      <c r="D944">
        <v>143</v>
      </c>
      <c r="E944">
        <f>VLOOKUP($D944,'[2]LC Dynamic'!$Q$2:$U$542,2,FALSE)</f>
        <v>0</v>
      </c>
      <c r="F944">
        <f>VLOOKUP($D944,'[2]LC Dynamic'!$Q$2:$U$542,3,FALSE)</f>
        <v>0.10783333333333334</v>
      </c>
      <c r="G944">
        <f>VLOOKUP($D944,'[2]LC Dynamic'!$Q$2:$U$542,4,FALSE)</f>
        <v>0.89216666666666666</v>
      </c>
      <c r="H944">
        <f>VLOOKUP($D944,'[2]LC Dynamic'!$Q$2:$U$542,5,FALSE)</f>
        <v>0</v>
      </c>
      <c r="I944" s="77">
        <f t="shared" si="3104"/>
        <v>1</v>
      </c>
      <c r="J944" s="77">
        <f t="shared" si="3105"/>
        <v>6.271634999999999E-2</v>
      </c>
      <c r="K944" s="77">
        <f t="shared" ref="K944:K1007" si="3179">(1+J944)^(1/12)-1</f>
        <v>5.0818879290666086E-3</v>
      </c>
      <c r="L944" s="76">
        <v>0</v>
      </c>
      <c r="M944" s="77">
        <f t="shared" si="3115"/>
        <v>0</v>
      </c>
      <c r="N944" s="77">
        <f t="shared" si="3116"/>
        <v>0</v>
      </c>
      <c r="O944" s="77">
        <f t="shared" si="3117"/>
        <v>7.0598166666666663E-3</v>
      </c>
      <c r="P944" s="77">
        <f t="shared" si="3118"/>
        <v>5.9023033603644581E-4</v>
      </c>
      <c r="R944" t="s">
        <v>177</v>
      </c>
      <c r="S944" t="s">
        <v>179</v>
      </c>
      <c r="T944" s="197" t="str">
        <f t="shared" si="3173"/>
        <v>Autopilot_Dynamic_143</v>
      </c>
      <c r="U944">
        <v>143</v>
      </c>
      <c r="V944">
        <f>VLOOKUP($U944,'[2]AP Dynamic'!$Q$1:$T$542,2,FALSE)</f>
        <v>0.74276573787409683</v>
      </c>
      <c r="W944">
        <f>VLOOKUP($U944,'[2]AP Dynamic'!$Q$1:$T$542,3,FALSE)</f>
        <v>0.25723426212590317</v>
      </c>
      <c r="X944">
        <f>VLOOKUP($U944,'[2]AP Dynamic'!$Q$1:$T$542,4,FALSE)</f>
        <v>0</v>
      </c>
      <c r="Y944" s="77">
        <f t="shared" si="3174"/>
        <v>1</v>
      </c>
      <c r="Z944" s="77">
        <f t="shared" ref="Z944:Z1007" si="3180">SUMPRODUCT($V$1:$X$1,V944:X944)</f>
        <v>6.1210215170278623E-2</v>
      </c>
      <c r="AA944" s="77">
        <f t="shared" ref="AA944:AA1007" si="3181">(1+Z944)^(1/12)-1</f>
        <v>4.9631063867092706E-3</v>
      </c>
      <c r="AB944" s="79">
        <v>1</v>
      </c>
      <c r="AC944" s="77">
        <f t="shared" si="3119"/>
        <v>7.9855314757481949E-3</v>
      </c>
      <c r="AD944" s="77">
        <f t="shared" ref="AD944" si="3182">1-(1-AC944)^(1/12)</f>
        <v>6.6790906584879295E-4</v>
      </c>
      <c r="AE944" s="77">
        <f t="shared" si="3121"/>
        <v>2.5000000000000001E-3</v>
      </c>
      <c r="AF944" s="77">
        <f t="shared" ref="AF944" si="3183">1-(1-AE944)^(1/12)</f>
        <v>2.0857243058891584E-4</v>
      </c>
      <c r="AH944" t="s">
        <v>175</v>
      </c>
      <c r="AI944" t="s">
        <v>179</v>
      </c>
      <c r="AJ944" s="197" t="str">
        <f t="shared" si="3108"/>
        <v>Lifecycle_Dynamic_143</v>
      </c>
      <c r="AK944">
        <v>143</v>
      </c>
      <c r="AL944">
        <f>VLOOKUP($U944,[2]Standard_Dynamic!$Q$1:$T$542,2,FALSE)</f>
        <v>0.73282664504398232</v>
      </c>
      <c r="AM944">
        <f>VLOOKUP($U944,[2]Standard_Dynamic!$Q$1:$T$542,3,FALSE)</f>
        <v>0.26717335495601768</v>
      </c>
      <c r="AN944">
        <f>VLOOKUP($U944,[2]Standard_Dynamic!$Q$1:$T$542,4,FALSE)</f>
        <v>0</v>
      </c>
      <c r="AO944" s="77">
        <f t="shared" si="3109"/>
        <v>1</v>
      </c>
      <c r="AP944" s="77">
        <f t="shared" si="3123"/>
        <v>6.1078273712958854E-2</v>
      </c>
      <c r="AQ944" s="77">
        <f t="shared" si="3110"/>
        <v>4.9526934440513593E-3</v>
      </c>
      <c r="AR944" s="79">
        <v>0</v>
      </c>
      <c r="AS944" s="77">
        <f t="shared" si="3124"/>
        <v>0</v>
      </c>
      <c r="AT944" s="77">
        <f t="shared" ref="AT944" si="3184">1-(1-AS944)^(1/12)</f>
        <v>0</v>
      </c>
      <c r="AU944" s="77">
        <f t="shared" si="3126"/>
        <v>2.5000000000000001E-3</v>
      </c>
      <c r="AV944" s="77">
        <f t="shared" ref="AV944" si="3185">1-(1-AU944)^(1/12)</f>
        <v>2.0857243058891584E-4</v>
      </c>
      <c r="AX944" t="s">
        <v>178</v>
      </c>
      <c r="AY944" t="s">
        <v>162</v>
      </c>
      <c r="AZ944" s="197" t="str">
        <f t="shared" si="2922"/>
        <v>DIS_Standard_143</v>
      </c>
      <c r="BA944">
        <v>143</v>
      </c>
      <c r="BB944">
        <f>VLOOKUP($BA944,'[2]Standard DIS'!$Q$1:$X$542,4,FALSE)</f>
        <v>0</v>
      </c>
      <c r="BF944">
        <f>VLOOKUP($BA944,'[2]Standard DIS'!$Q$1:$X$542,2,FALSE)</f>
        <v>0.73282664504398232</v>
      </c>
      <c r="BH944">
        <f>VLOOKUP($BA944,'[2]Standard DIS'!$Q$1:$X$542,3,FALSE)</f>
        <v>0.26717335495601768</v>
      </c>
      <c r="BI944" s="77">
        <f t="shared" si="3113"/>
        <v>1</v>
      </c>
      <c r="BJ944" s="77">
        <f t="shared" si="3114"/>
        <v>6.1078273712958854E-2</v>
      </c>
      <c r="BK944" s="77">
        <f t="shared" si="2923"/>
        <v>4.9526934440513593E-3</v>
      </c>
      <c r="BL944" s="79">
        <v>0</v>
      </c>
      <c r="BM944" s="77">
        <f t="shared" si="3128"/>
        <v>0</v>
      </c>
      <c r="BN944" s="77">
        <f t="shared" si="3129"/>
        <v>0</v>
      </c>
      <c r="BO944" s="77">
        <f t="shared" si="3130"/>
        <v>2.5000000000000001E-3</v>
      </c>
      <c r="BP944" s="77">
        <f t="shared" si="3131"/>
        <v>2.0809499864316017E-4</v>
      </c>
    </row>
    <row r="945" spans="1:68">
      <c r="A945" t="s">
        <v>175</v>
      </c>
      <c r="B945" t="s">
        <v>179</v>
      </c>
      <c r="C945" s="197" t="str">
        <f t="shared" si="3172"/>
        <v>Lifecycle_Dynamic_142</v>
      </c>
      <c r="D945">
        <v>142</v>
      </c>
      <c r="E945">
        <f>VLOOKUP($D945,'[2]LC Dynamic'!$Q$2:$U$542,2,FALSE)</f>
        <v>0</v>
      </c>
      <c r="F945">
        <f>VLOOKUP($D945,'[2]LC Dynamic'!$Q$2:$U$542,3,FALSE)</f>
        <v>0.11566666666666667</v>
      </c>
      <c r="G945">
        <f>VLOOKUP($D945,'[2]LC Dynamic'!$Q$2:$U$542,4,FALSE)</f>
        <v>0.88433333333333342</v>
      </c>
      <c r="H945">
        <f>VLOOKUP($D945,'[2]LC Dynamic'!$Q$2:$U$542,5,FALSE)</f>
        <v>0</v>
      </c>
      <c r="I945" s="77">
        <f t="shared" si="3104"/>
        <v>1</v>
      </c>
      <c r="J945" s="77">
        <f t="shared" si="3105"/>
        <v>6.2577699999999986E-2</v>
      </c>
      <c r="K945" s="77">
        <f t="shared" si="3179"/>
        <v>5.070959727832669E-3</v>
      </c>
      <c r="L945" s="76">
        <v>0</v>
      </c>
      <c r="M945" s="77">
        <f t="shared" si="3115"/>
        <v>0</v>
      </c>
      <c r="N945" s="77">
        <f t="shared" si="3116"/>
        <v>0</v>
      </c>
      <c r="O945" s="77">
        <f t="shared" si="3117"/>
        <v>7.0496333333333345E-3</v>
      </c>
      <c r="P945" s="77">
        <f t="shared" si="3118"/>
        <v>5.8937619974230859E-4</v>
      </c>
      <c r="R945" t="s">
        <v>177</v>
      </c>
      <c r="S945" t="s">
        <v>179</v>
      </c>
      <c r="T945" s="197" t="str">
        <f t="shared" si="3173"/>
        <v>Autopilot_Dynamic_142</v>
      </c>
      <c r="U945">
        <v>142</v>
      </c>
      <c r="V945">
        <f>VLOOKUP($U945,'[2]AP Dynamic'!$Q$1:$T$542,2,FALSE)</f>
        <v>0.74276573787409683</v>
      </c>
      <c r="W945">
        <f>VLOOKUP($U945,'[2]AP Dynamic'!$Q$1:$T$542,3,FALSE)</f>
        <v>0.25723426212590317</v>
      </c>
      <c r="X945">
        <f>VLOOKUP($U945,'[2]AP Dynamic'!$Q$1:$T$542,4,FALSE)</f>
        <v>0</v>
      </c>
      <c r="Y945" s="77">
        <f t="shared" si="3174"/>
        <v>1</v>
      </c>
      <c r="Z945" s="77">
        <f t="shared" si="3180"/>
        <v>6.1210215170278623E-2</v>
      </c>
      <c r="AA945" s="77">
        <f t="shared" si="3181"/>
        <v>4.9631063867092706E-3</v>
      </c>
      <c r="AB945" s="79">
        <v>1</v>
      </c>
      <c r="AC945" s="77">
        <f t="shared" si="3119"/>
        <v>7.9855314757481949E-3</v>
      </c>
      <c r="AD945" s="77">
        <f t="shared" ref="AD945" si="3186">1-(1-AC945)^(1/12)</f>
        <v>6.6790906584879295E-4</v>
      </c>
      <c r="AE945" s="77">
        <f t="shared" si="3121"/>
        <v>2.5000000000000001E-3</v>
      </c>
      <c r="AF945" s="77">
        <f t="shared" ref="AF945" si="3187">1-(1-AE945)^(1/12)</f>
        <v>2.0857243058891584E-4</v>
      </c>
      <c r="AH945" t="s">
        <v>175</v>
      </c>
      <c r="AI945" t="s">
        <v>179</v>
      </c>
      <c r="AJ945" s="197" t="str">
        <f t="shared" si="3108"/>
        <v>Lifecycle_Dynamic_142</v>
      </c>
      <c r="AK945">
        <v>142</v>
      </c>
      <c r="AL945">
        <f>VLOOKUP($U945,[2]Standard_Dynamic!$Q$1:$T$542,2,FALSE)</f>
        <v>0.7228875522138678</v>
      </c>
      <c r="AM945">
        <f>VLOOKUP($U945,[2]Standard_Dynamic!$Q$1:$T$542,3,FALSE)</f>
        <v>0.27711244778613214</v>
      </c>
      <c r="AN945">
        <f>VLOOKUP($U945,[2]Standard_Dynamic!$Q$1:$T$542,4,FALSE)</f>
        <v>0</v>
      </c>
      <c r="AO945" s="77">
        <f t="shared" si="3109"/>
        <v>1</v>
      </c>
      <c r="AP945" s="77">
        <f t="shared" si="3123"/>
        <v>6.0946332255639085E-2</v>
      </c>
      <c r="AQ945" s="77">
        <f t="shared" si="3110"/>
        <v>4.942279314413156E-3</v>
      </c>
      <c r="AR945" s="79">
        <v>0</v>
      </c>
      <c r="AS945" s="77">
        <f t="shared" si="3124"/>
        <v>0</v>
      </c>
      <c r="AT945" s="77">
        <f t="shared" ref="AT945" si="3188">1-(1-AS945)^(1/12)</f>
        <v>0</v>
      </c>
      <c r="AU945" s="77">
        <f t="shared" si="3126"/>
        <v>2.4999999999999996E-3</v>
      </c>
      <c r="AV945" s="77">
        <f t="shared" ref="AV945" si="3189">1-(1-AU945)^(1/12)</f>
        <v>2.0857243058891584E-4</v>
      </c>
      <c r="AX945" t="s">
        <v>178</v>
      </c>
      <c r="AY945" t="s">
        <v>162</v>
      </c>
      <c r="AZ945" s="197" t="str">
        <f t="shared" si="2922"/>
        <v>DIS_Standard_142</v>
      </c>
      <c r="BA945">
        <v>142</v>
      </c>
      <c r="BB945">
        <f>VLOOKUP($BA945,'[2]Standard DIS'!$Q$1:$X$542,4,FALSE)</f>
        <v>0</v>
      </c>
      <c r="BF945">
        <f>VLOOKUP($BA945,'[2]Standard DIS'!$Q$1:$X$542,2,FALSE)</f>
        <v>0.7228875522138678</v>
      </c>
      <c r="BH945">
        <f>VLOOKUP($BA945,'[2]Standard DIS'!$Q$1:$X$542,3,FALSE)</f>
        <v>0.27711244778613214</v>
      </c>
      <c r="BI945" s="77">
        <f t="shared" si="3113"/>
        <v>1</v>
      </c>
      <c r="BJ945" s="77">
        <f t="shared" si="3114"/>
        <v>6.0946332255639085E-2</v>
      </c>
      <c r="BK945" s="77">
        <f t="shared" si="2923"/>
        <v>4.942279314413156E-3</v>
      </c>
      <c r="BL945" s="79">
        <v>0</v>
      </c>
      <c r="BM945" s="77">
        <f t="shared" si="3128"/>
        <v>0</v>
      </c>
      <c r="BN945" s="77">
        <f t="shared" si="3129"/>
        <v>0</v>
      </c>
      <c r="BO945" s="77">
        <f t="shared" si="3130"/>
        <v>2.4999999999999996E-3</v>
      </c>
      <c r="BP945" s="77">
        <f t="shared" si="3131"/>
        <v>2.0809499864316017E-4</v>
      </c>
    </row>
    <row r="946" spans="1:68">
      <c r="A946" t="s">
        <v>175</v>
      </c>
      <c r="B946" t="s">
        <v>179</v>
      </c>
      <c r="C946" s="197" t="str">
        <f t="shared" si="3172"/>
        <v>Lifecycle_Dynamic_141</v>
      </c>
      <c r="D946">
        <v>141</v>
      </c>
      <c r="E946">
        <f>VLOOKUP($D946,'[2]LC Dynamic'!$Q$2:$U$542,2,FALSE)</f>
        <v>0</v>
      </c>
      <c r="F946">
        <f>VLOOKUP($D946,'[2]LC Dynamic'!$Q$2:$U$542,3,FALSE)</f>
        <v>0.1235</v>
      </c>
      <c r="G946">
        <f>VLOOKUP($D946,'[2]LC Dynamic'!$Q$2:$U$542,4,FALSE)</f>
        <v>0.87650000000000006</v>
      </c>
      <c r="H946">
        <f>VLOOKUP($D946,'[2]LC Dynamic'!$Q$2:$U$542,5,FALSE)</f>
        <v>0</v>
      </c>
      <c r="I946" s="77">
        <f t="shared" si="3104"/>
        <v>1</v>
      </c>
      <c r="J946" s="77">
        <f t="shared" si="3105"/>
        <v>6.2439049999999996E-2</v>
      </c>
      <c r="K946" s="77">
        <f t="shared" si="3179"/>
        <v>5.0600302193888336E-3</v>
      </c>
      <c r="L946" s="76">
        <v>0</v>
      </c>
      <c r="M946" s="77">
        <f t="shared" si="3115"/>
        <v>0</v>
      </c>
      <c r="N946" s="77">
        <f t="shared" si="3116"/>
        <v>0</v>
      </c>
      <c r="O946" s="77">
        <f t="shared" si="3117"/>
        <v>7.03945E-3</v>
      </c>
      <c r="P946" s="77">
        <f t="shared" si="3118"/>
        <v>5.8852207147774838E-4</v>
      </c>
      <c r="R946" t="s">
        <v>177</v>
      </c>
      <c r="S946" t="s">
        <v>179</v>
      </c>
      <c r="T946" s="197" t="str">
        <f t="shared" si="3173"/>
        <v>Autopilot_Dynamic_141</v>
      </c>
      <c r="U946">
        <v>141</v>
      </c>
      <c r="V946">
        <f>VLOOKUP($U946,'[2]AP Dynamic'!$Q$1:$T$542,2,FALSE)</f>
        <v>0.74276573787409683</v>
      </c>
      <c r="W946">
        <f>VLOOKUP($U946,'[2]AP Dynamic'!$Q$1:$T$542,3,FALSE)</f>
        <v>0.25723426212590317</v>
      </c>
      <c r="X946">
        <f>VLOOKUP($U946,'[2]AP Dynamic'!$Q$1:$T$542,4,FALSE)</f>
        <v>0</v>
      </c>
      <c r="Y946" s="77">
        <f t="shared" si="3174"/>
        <v>1</v>
      </c>
      <c r="Z946" s="77">
        <f t="shared" si="3180"/>
        <v>6.1210215170278623E-2</v>
      </c>
      <c r="AA946" s="77">
        <f t="shared" si="3181"/>
        <v>4.9631063867092706E-3</v>
      </c>
      <c r="AB946" s="79">
        <v>1</v>
      </c>
      <c r="AC946" s="77">
        <f t="shared" si="3119"/>
        <v>7.9855314757481949E-3</v>
      </c>
      <c r="AD946" s="77">
        <f t="shared" ref="AD946" si="3190">1-(1-AC946)^(1/12)</f>
        <v>6.6790906584879295E-4</v>
      </c>
      <c r="AE946" s="77">
        <f t="shared" si="3121"/>
        <v>2.5000000000000001E-3</v>
      </c>
      <c r="AF946" s="77">
        <f t="shared" ref="AF946" si="3191">1-(1-AE946)^(1/12)</f>
        <v>2.0857243058891584E-4</v>
      </c>
      <c r="AH946" t="s">
        <v>175</v>
      </c>
      <c r="AI946" t="s">
        <v>179</v>
      </c>
      <c r="AJ946" s="197" t="str">
        <f t="shared" si="3108"/>
        <v>Lifecycle_Dynamic_141</v>
      </c>
      <c r="AK946">
        <v>141</v>
      </c>
      <c r="AL946">
        <f>VLOOKUP($U946,[2]Standard_Dynamic!$Q$1:$T$542,2,FALSE)</f>
        <v>0.7129484593837534</v>
      </c>
      <c r="AM946">
        <f>VLOOKUP($U946,[2]Standard_Dynamic!$Q$1:$T$542,3,FALSE)</f>
        <v>0.2870515406162466</v>
      </c>
      <c r="AN946">
        <f>VLOOKUP($U946,[2]Standard_Dynamic!$Q$1:$T$542,4,FALSE)</f>
        <v>0</v>
      </c>
      <c r="AO946" s="77">
        <f t="shared" si="3109"/>
        <v>1</v>
      </c>
      <c r="AP946" s="77">
        <f t="shared" si="3123"/>
        <v>6.0814390798319316E-2</v>
      </c>
      <c r="AQ946" s="77">
        <f t="shared" si="3110"/>
        <v>4.9318639975117762E-3</v>
      </c>
      <c r="AR946" s="79">
        <v>0</v>
      </c>
      <c r="AS946" s="77">
        <f t="shared" si="3124"/>
        <v>0</v>
      </c>
      <c r="AT946" s="77">
        <f t="shared" ref="AT946" si="3192">1-(1-AS946)^(1/12)</f>
        <v>0</v>
      </c>
      <c r="AU946" s="77">
        <f t="shared" si="3126"/>
        <v>2.5000000000000001E-3</v>
      </c>
      <c r="AV946" s="77">
        <f t="shared" ref="AV946" si="3193">1-(1-AU946)^(1/12)</f>
        <v>2.0857243058891584E-4</v>
      </c>
      <c r="AX946" t="s">
        <v>178</v>
      </c>
      <c r="AY946" t="s">
        <v>162</v>
      </c>
      <c r="AZ946" s="197" t="str">
        <f t="shared" si="2922"/>
        <v>DIS_Standard_141</v>
      </c>
      <c r="BA946">
        <v>141</v>
      </c>
      <c r="BB946">
        <f>VLOOKUP($BA946,'[2]Standard DIS'!$Q$1:$X$542,4,FALSE)</f>
        <v>0</v>
      </c>
      <c r="BF946">
        <f>VLOOKUP($BA946,'[2]Standard DIS'!$Q$1:$X$542,2,FALSE)</f>
        <v>0.7129484593837534</v>
      </c>
      <c r="BH946">
        <f>VLOOKUP($BA946,'[2]Standard DIS'!$Q$1:$X$542,3,FALSE)</f>
        <v>0.2870515406162466</v>
      </c>
      <c r="BI946" s="77">
        <f t="shared" si="3113"/>
        <v>1</v>
      </c>
      <c r="BJ946" s="77">
        <f t="shared" si="3114"/>
        <v>6.0814390798319316E-2</v>
      </c>
      <c r="BK946" s="77">
        <f t="shared" si="2923"/>
        <v>4.9318639975117762E-3</v>
      </c>
      <c r="BL946" s="79">
        <v>0</v>
      </c>
      <c r="BM946" s="77">
        <f t="shared" si="3128"/>
        <v>0</v>
      </c>
      <c r="BN946" s="77">
        <f t="shared" si="3129"/>
        <v>0</v>
      </c>
      <c r="BO946" s="77">
        <f t="shared" si="3130"/>
        <v>2.5000000000000001E-3</v>
      </c>
      <c r="BP946" s="77">
        <f t="shared" si="3131"/>
        <v>2.0809499864316017E-4</v>
      </c>
    </row>
    <row r="947" spans="1:68">
      <c r="A947" t="s">
        <v>175</v>
      </c>
      <c r="B947" t="s">
        <v>179</v>
      </c>
      <c r="C947" s="197" t="str">
        <f t="shared" si="3172"/>
        <v>Lifecycle_Dynamic_140</v>
      </c>
      <c r="D947">
        <v>140</v>
      </c>
      <c r="E947">
        <f>VLOOKUP($D947,'[2]LC Dynamic'!$Q$2:$U$542,2,FALSE)</f>
        <v>0</v>
      </c>
      <c r="F947">
        <f>VLOOKUP($D947,'[2]LC Dynamic'!$Q$2:$U$542,3,FALSE)</f>
        <v>0.13133333333333333</v>
      </c>
      <c r="G947">
        <f>VLOOKUP($D947,'[2]LC Dynamic'!$Q$2:$U$542,4,FALSE)</f>
        <v>0.8686666666666667</v>
      </c>
      <c r="H947">
        <f>VLOOKUP($D947,'[2]LC Dynamic'!$Q$2:$U$542,5,FALSE)</f>
        <v>0</v>
      </c>
      <c r="I947" s="77">
        <f t="shared" si="3104"/>
        <v>1</v>
      </c>
      <c r="J947" s="77">
        <f t="shared" si="3105"/>
        <v>6.2300399999999992E-2</v>
      </c>
      <c r="K947" s="77">
        <f t="shared" si="3179"/>
        <v>5.0490994034082526E-3</v>
      </c>
      <c r="L947" s="76">
        <v>0</v>
      </c>
      <c r="M947" s="77">
        <f t="shared" si="3115"/>
        <v>0</v>
      </c>
      <c r="N947" s="77">
        <f t="shared" si="3116"/>
        <v>0</v>
      </c>
      <c r="O947" s="77">
        <f t="shared" si="3117"/>
        <v>7.0292666666666673E-3</v>
      </c>
      <c r="P947" s="77">
        <f t="shared" si="3118"/>
        <v>5.8766795124287619E-4</v>
      </c>
      <c r="R947" t="s">
        <v>177</v>
      </c>
      <c r="S947" t="s">
        <v>179</v>
      </c>
      <c r="T947" s="197" t="str">
        <f t="shared" si="3173"/>
        <v>Autopilot_Dynamic_140</v>
      </c>
      <c r="U947">
        <v>140</v>
      </c>
      <c r="V947">
        <f>VLOOKUP($U947,'[2]AP Dynamic'!$Q$1:$T$542,2,FALSE)</f>
        <v>0.74276573787409683</v>
      </c>
      <c r="W947">
        <f>VLOOKUP($U947,'[2]AP Dynamic'!$Q$1:$T$542,3,FALSE)</f>
        <v>0.25723426212590317</v>
      </c>
      <c r="X947">
        <f>VLOOKUP($U947,'[2]AP Dynamic'!$Q$1:$T$542,4,FALSE)</f>
        <v>0</v>
      </c>
      <c r="Y947" s="77">
        <f t="shared" si="3174"/>
        <v>1</v>
      </c>
      <c r="Z947" s="77">
        <f t="shared" si="3180"/>
        <v>6.1210215170278623E-2</v>
      </c>
      <c r="AA947" s="77">
        <f t="shared" si="3181"/>
        <v>4.9631063867092706E-3</v>
      </c>
      <c r="AB947" s="79">
        <v>1</v>
      </c>
      <c r="AC947" s="77">
        <f t="shared" si="3119"/>
        <v>7.9855314757481949E-3</v>
      </c>
      <c r="AD947" s="77">
        <f t="shared" ref="AD947" si="3194">1-(1-AC947)^(1/12)</f>
        <v>6.6790906584879295E-4</v>
      </c>
      <c r="AE947" s="77">
        <f t="shared" si="3121"/>
        <v>2.5000000000000001E-3</v>
      </c>
      <c r="AF947" s="77">
        <f t="shared" ref="AF947" si="3195">1-(1-AE947)^(1/12)</f>
        <v>2.0857243058891584E-4</v>
      </c>
      <c r="AH947" t="s">
        <v>175</v>
      </c>
      <c r="AI947" t="s">
        <v>179</v>
      </c>
      <c r="AJ947" s="197" t="str">
        <f t="shared" si="3108"/>
        <v>Lifecycle_Dynamic_140</v>
      </c>
      <c r="AK947">
        <v>140</v>
      </c>
      <c r="AL947">
        <f>VLOOKUP($U947,[2]Standard_Dynamic!$Q$1:$T$542,2,FALSE)</f>
        <v>0.70300936655363888</v>
      </c>
      <c r="AM947">
        <f>VLOOKUP($U947,[2]Standard_Dynamic!$Q$1:$T$542,3,FALSE)</f>
        <v>0.29699063344636112</v>
      </c>
      <c r="AN947">
        <f>VLOOKUP($U947,[2]Standard_Dynamic!$Q$1:$T$542,4,FALSE)</f>
        <v>0</v>
      </c>
      <c r="AO947" s="77">
        <f t="shared" si="3109"/>
        <v>1</v>
      </c>
      <c r="AP947" s="77">
        <f t="shared" si="3123"/>
        <v>6.0682449340999541E-2</v>
      </c>
      <c r="AQ947" s="77">
        <f t="shared" si="3110"/>
        <v>4.9214474930638907E-3</v>
      </c>
      <c r="AR947" s="79">
        <v>0</v>
      </c>
      <c r="AS947" s="77">
        <f t="shared" si="3124"/>
        <v>0</v>
      </c>
      <c r="AT947" s="77">
        <f t="shared" ref="AT947" si="3196">1-(1-AS947)^(1/12)</f>
        <v>0</v>
      </c>
      <c r="AU947" s="77">
        <f t="shared" si="3126"/>
        <v>2.5000000000000001E-3</v>
      </c>
      <c r="AV947" s="77">
        <f t="shared" ref="AV947" si="3197">1-(1-AU947)^(1/12)</f>
        <v>2.0857243058891584E-4</v>
      </c>
      <c r="AX947" t="s">
        <v>178</v>
      </c>
      <c r="AY947" t="s">
        <v>162</v>
      </c>
      <c r="AZ947" s="197" t="str">
        <f t="shared" si="2922"/>
        <v>DIS_Standard_140</v>
      </c>
      <c r="BA947">
        <v>140</v>
      </c>
      <c r="BB947">
        <f>VLOOKUP($BA947,'[2]Standard DIS'!$Q$1:$X$542,4,FALSE)</f>
        <v>0</v>
      </c>
      <c r="BF947">
        <f>VLOOKUP($BA947,'[2]Standard DIS'!$Q$1:$X$542,2,FALSE)</f>
        <v>0.70300936655363888</v>
      </c>
      <c r="BH947">
        <f>VLOOKUP($BA947,'[2]Standard DIS'!$Q$1:$X$542,3,FALSE)</f>
        <v>0.29699063344636112</v>
      </c>
      <c r="BI947" s="77">
        <f t="shared" si="3113"/>
        <v>1</v>
      </c>
      <c r="BJ947" s="77">
        <f t="shared" si="3114"/>
        <v>6.0682449340999541E-2</v>
      </c>
      <c r="BK947" s="77">
        <f t="shared" si="2923"/>
        <v>4.9214474930638907E-3</v>
      </c>
      <c r="BL947" s="79">
        <v>0</v>
      </c>
      <c r="BM947" s="77">
        <f t="shared" si="3128"/>
        <v>0</v>
      </c>
      <c r="BN947" s="77">
        <f t="shared" si="3129"/>
        <v>0</v>
      </c>
      <c r="BO947" s="77">
        <f t="shared" si="3130"/>
        <v>2.5000000000000001E-3</v>
      </c>
      <c r="BP947" s="77">
        <f t="shared" si="3131"/>
        <v>2.0809499864316017E-4</v>
      </c>
    </row>
    <row r="948" spans="1:68">
      <c r="A948" t="s">
        <v>175</v>
      </c>
      <c r="B948" t="s">
        <v>179</v>
      </c>
      <c r="C948" s="197" t="str">
        <f t="shared" si="3172"/>
        <v>Lifecycle_Dynamic_139</v>
      </c>
      <c r="D948">
        <v>139</v>
      </c>
      <c r="E948">
        <f>VLOOKUP($D948,'[2]LC Dynamic'!$Q$2:$U$542,2,FALSE)</f>
        <v>0</v>
      </c>
      <c r="F948">
        <f>VLOOKUP($D948,'[2]LC Dynamic'!$Q$2:$U$542,3,FALSE)</f>
        <v>0.13916666666666666</v>
      </c>
      <c r="G948">
        <f>VLOOKUP($D948,'[2]LC Dynamic'!$Q$2:$U$542,4,FALSE)</f>
        <v>0.86083333333333334</v>
      </c>
      <c r="H948">
        <f>VLOOKUP($D948,'[2]LC Dynamic'!$Q$2:$U$542,5,FALSE)</f>
        <v>0</v>
      </c>
      <c r="I948" s="77">
        <f t="shared" si="3104"/>
        <v>1</v>
      </c>
      <c r="J948" s="77">
        <f t="shared" si="3105"/>
        <v>6.2161749999999988E-2</v>
      </c>
      <c r="K948" s="77">
        <f t="shared" si="3179"/>
        <v>5.0381672795638544E-3</v>
      </c>
      <c r="L948" s="76">
        <v>0</v>
      </c>
      <c r="M948" s="77">
        <f t="shared" si="3115"/>
        <v>0</v>
      </c>
      <c r="N948" s="77">
        <f t="shared" si="3116"/>
        <v>0</v>
      </c>
      <c r="O948" s="77">
        <f t="shared" si="3117"/>
        <v>7.0190833333333329E-3</v>
      </c>
      <c r="P948" s="77">
        <f t="shared" si="3118"/>
        <v>5.8681383903724793E-4</v>
      </c>
      <c r="R948" t="s">
        <v>177</v>
      </c>
      <c r="S948" t="s">
        <v>179</v>
      </c>
      <c r="T948" s="197" t="str">
        <f t="shared" si="3173"/>
        <v>Autopilot_Dynamic_139</v>
      </c>
      <c r="U948">
        <v>139</v>
      </c>
      <c r="V948">
        <f>VLOOKUP($U948,'[2]AP Dynamic'!$Q$1:$T$542,2,FALSE)</f>
        <v>0.74276573787409683</v>
      </c>
      <c r="W948">
        <f>VLOOKUP($U948,'[2]AP Dynamic'!$Q$1:$T$542,3,FALSE)</f>
        <v>0.25723426212590317</v>
      </c>
      <c r="X948">
        <f>VLOOKUP($U948,'[2]AP Dynamic'!$Q$1:$T$542,4,FALSE)</f>
        <v>0</v>
      </c>
      <c r="Y948" s="77">
        <f t="shared" si="3174"/>
        <v>1</v>
      </c>
      <c r="Z948" s="77">
        <f t="shared" si="3180"/>
        <v>6.1210215170278623E-2</v>
      </c>
      <c r="AA948" s="77">
        <f t="shared" si="3181"/>
        <v>4.9631063867092706E-3</v>
      </c>
      <c r="AB948" s="79">
        <v>1</v>
      </c>
      <c r="AC948" s="77">
        <f t="shared" si="3119"/>
        <v>7.9855314757481949E-3</v>
      </c>
      <c r="AD948" s="77">
        <f t="shared" ref="AD948" si="3198">1-(1-AC948)^(1/12)</f>
        <v>6.6790906584879295E-4</v>
      </c>
      <c r="AE948" s="77">
        <f t="shared" si="3121"/>
        <v>2.5000000000000001E-3</v>
      </c>
      <c r="AF948" s="77">
        <f t="shared" ref="AF948" si="3199">1-(1-AE948)^(1/12)</f>
        <v>2.0857243058891584E-4</v>
      </c>
      <c r="AH948" t="s">
        <v>175</v>
      </c>
      <c r="AI948" t="s">
        <v>179</v>
      </c>
      <c r="AJ948" s="197" t="str">
        <f t="shared" si="3108"/>
        <v>Lifecycle_Dynamic_139</v>
      </c>
      <c r="AK948">
        <v>139</v>
      </c>
      <c r="AL948">
        <f>VLOOKUP($U948,[2]Standard_Dynamic!$Q$1:$T$542,2,FALSE)</f>
        <v>0.69307027372352437</v>
      </c>
      <c r="AM948">
        <f>VLOOKUP($U948,[2]Standard_Dynamic!$Q$1:$T$542,3,FALSE)</f>
        <v>0.30692972627647563</v>
      </c>
      <c r="AN948">
        <f>VLOOKUP($U948,[2]Standard_Dynamic!$Q$1:$T$542,4,FALSE)</f>
        <v>0</v>
      </c>
      <c r="AO948" s="77">
        <f t="shared" si="3109"/>
        <v>1</v>
      </c>
      <c r="AP948" s="77">
        <f t="shared" si="3123"/>
        <v>6.0550507883679772E-2</v>
      </c>
      <c r="AQ948" s="77">
        <f t="shared" si="3110"/>
        <v>4.9110298007866149E-3</v>
      </c>
      <c r="AR948" s="79">
        <v>0</v>
      </c>
      <c r="AS948" s="77">
        <f t="shared" si="3124"/>
        <v>0</v>
      </c>
      <c r="AT948" s="77">
        <f t="shared" ref="AT948" si="3200">1-(1-AS948)^(1/12)</f>
        <v>0</v>
      </c>
      <c r="AU948" s="77">
        <f t="shared" si="3126"/>
        <v>2.5000000000000001E-3</v>
      </c>
      <c r="AV948" s="77">
        <f t="shared" ref="AV948" si="3201">1-(1-AU948)^(1/12)</f>
        <v>2.0857243058891584E-4</v>
      </c>
      <c r="AX948" t="s">
        <v>178</v>
      </c>
      <c r="AY948" t="s">
        <v>162</v>
      </c>
      <c r="AZ948" s="197" t="str">
        <f t="shared" si="2922"/>
        <v>DIS_Standard_139</v>
      </c>
      <c r="BA948">
        <v>139</v>
      </c>
      <c r="BB948">
        <f>VLOOKUP($BA948,'[2]Standard DIS'!$Q$1:$X$542,4,FALSE)</f>
        <v>0</v>
      </c>
      <c r="BF948">
        <f>VLOOKUP($BA948,'[2]Standard DIS'!$Q$1:$X$542,2,FALSE)</f>
        <v>0.69307027372352437</v>
      </c>
      <c r="BH948">
        <f>VLOOKUP($BA948,'[2]Standard DIS'!$Q$1:$X$542,3,FALSE)</f>
        <v>0.30692972627647563</v>
      </c>
      <c r="BI948" s="77">
        <f t="shared" si="3113"/>
        <v>1</v>
      </c>
      <c r="BJ948" s="77">
        <f t="shared" si="3114"/>
        <v>6.0550507883679772E-2</v>
      </c>
      <c r="BK948" s="77">
        <f t="shared" si="2923"/>
        <v>4.9110298007866149E-3</v>
      </c>
      <c r="BL948" s="79">
        <v>0</v>
      </c>
      <c r="BM948" s="77">
        <f t="shared" si="3128"/>
        <v>0</v>
      </c>
      <c r="BN948" s="77">
        <f t="shared" si="3129"/>
        <v>0</v>
      </c>
      <c r="BO948" s="77">
        <f t="shared" si="3130"/>
        <v>2.5000000000000001E-3</v>
      </c>
      <c r="BP948" s="77">
        <f t="shared" si="3131"/>
        <v>2.0809499864316017E-4</v>
      </c>
    </row>
    <row r="949" spans="1:68">
      <c r="A949" t="s">
        <v>175</v>
      </c>
      <c r="B949" t="s">
        <v>179</v>
      </c>
      <c r="C949" s="197" t="str">
        <f t="shared" si="3172"/>
        <v>Lifecycle_Dynamic_138</v>
      </c>
      <c r="D949">
        <v>138</v>
      </c>
      <c r="E949">
        <f>VLOOKUP($D949,'[2]LC Dynamic'!$Q$2:$U$542,2,FALSE)</f>
        <v>0</v>
      </c>
      <c r="F949">
        <f>VLOOKUP($D949,'[2]LC Dynamic'!$Q$2:$U$542,3,FALSE)</f>
        <v>0.14700000000000002</v>
      </c>
      <c r="G949">
        <f>VLOOKUP($D949,'[2]LC Dynamic'!$Q$2:$U$542,4,FALSE)</f>
        <v>0.85299999999999998</v>
      </c>
      <c r="H949">
        <f>VLOOKUP($D949,'[2]LC Dynamic'!$Q$2:$U$542,5,FALSE)</f>
        <v>0</v>
      </c>
      <c r="I949" s="77">
        <f t="shared" si="3104"/>
        <v>1</v>
      </c>
      <c r="J949" s="77">
        <f t="shared" si="3105"/>
        <v>6.2023099999999991E-2</v>
      </c>
      <c r="K949" s="77">
        <f t="shared" si="3179"/>
        <v>5.0272338475283451E-3</v>
      </c>
      <c r="L949" s="76">
        <v>0</v>
      </c>
      <c r="M949" s="77">
        <f t="shared" si="3115"/>
        <v>0</v>
      </c>
      <c r="N949" s="77">
        <f t="shared" si="3116"/>
        <v>0</v>
      </c>
      <c r="O949" s="77">
        <f t="shared" si="3117"/>
        <v>7.0089000000000002E-3</v>
      </c>
      <c r="P949" s="77">
        <f t="shared" si="3118"/>
        <v>5.8595973486086361E-4</v>
      </c>
      <c r="R949" t="s">
        <v>177</v>
      </c>
      <c r="S949" t="s">
        <v>179</v>
      </c>
      <c r="T949" s="197" t="str">
        <f t="shared" si="3173"/>
        <v>Autopilot_Dynamic_138</v>
      </c>
      <c r="U949">
        <v>138</v>
      </c>
      <c r="V949">
        <f>VLOOKUP($U949,'[2]AP Dynamic'!$Q$1:$T$542,2,FALSE)</f>
        <v>0.74276573787409683</v>
      </c>
      <c r="W949">
        <f>VLOOKUP($U949,'[2]AP Dynamic'!$Q$1:$T$542,3,FALSE)</f>
        <v>0.25723426212590317</v>
      </c>
      <c r="X949">
        <f>VLOOKUP($U949,'[2]AP Dynamic'!$Q$1:$T$542,4,FALSE)</f>
        <v>0</v>
      </c>
      <c r="Y949" s="77">
        <f t="shared" si="3174"/>
        <v>1</v>
      </c>
      <c r="Z949" s="77">
        <f t="shared" si="3180"/>
        <v>6.1210215170278623E-2</v>
      </c>
      <c r="AA949" s="77">
        <f t="shared" si="3181"/>
        <v>4.9631063867092706E-3</v>
      </c>
      <c r="AB949" s="79">
        <v>1</v>
      </c>
      <c r="AC949" s="77">
        <f t="shared" si="3119"/>
        <v>7.9855314757481949E-3</v>
      </c>
      <c r="AD949" s="77">
        <f t="shared" ref="AD949" si="3202">1-(1-AC949)^(1/12)</f>
        <v>6.6790906584879295E-4</v>
      </c>
      <c r="AE949" s="77">
        <f t="shared" si="3121"/>
        <v>2.5000000000000001E-3</v>
      </c>
      <c r="AF949" s="77">
        <f t="shared" ref="AF949" si="3203">1-(1-AE949)^(1/12)</f>
        <v>2.0857243058891584E-4</v>
      </c>
      <c r="AH949" t="s">
        <v>175</v>
      </c>
      <c r="AI949" t="s">
        <v>179</v>
      </c>
      <c r="AJ949" s="197" t="str">
        <f t="shared" si="3108"/>
        <v>Lifecycle_Dynamic_138</v>
      </c>
      <c r="AK949">
        <v>138</v>
      </c>
      <c r="AL949">
        <f>VLOOKUP($U949,[2]Standard_Dynamic!$Q$1:$T$542,2,FALSE)</f>
        <v>0.68313118089340996</v>
      </c>
      <c r="AM949">
        <f>VLOOKUP($U949,[2]Standard_Dynamic!$Q$1:$T$542,3,FALSE)</f>
        <v>0.31686881910659009</v>
      </c>
      <c r="AN949">
        <f>VLOOKUP($U949,[2]Standard_Dynamic!$Q$1:$T$542,4,FALSE)</f>
        <v>0</v>
      </c>
      <c r="AO949" s="77">
        <f t="shared" si="3109"/>
        <v>1</v>
      </c>
      <c r="AP949" s="77">
        <f t="shared" si="3123"/>
        <v>6.041856642636001E-2</v>
      </c>
      <c r="AQ949" s="77">
        <f t="shared" si="3110"/>
        <v>4.9006109203963977E-3</v>
      </c>
      <c r="AR949" s="79">
        <v>0</v>
      </c>
      <c r="AS949" s="77">
        <f t="shared" si="3124"/>
        <v>0</v>
      </c>
      <c r="AT949" s="77">
        <f t="shared" ref="AT949" si="3204">1-(1-AS949)^(1/12)</f>
        <v>0</v>
      </c>
      <c r="AU949" s="77">
        <f t="shared" si="3126"/>
        <v>2.5000000000000005E-3</v>
      </c>
      <c r="AV949" s="77">
        <f t="shared" ref="AV949" si="3205">1-(1-AU949)^(1/12)</f>
        <v>2.0857243058891584E-4</v>
      </c>
      <c r="AX949" t="s">
        <v>178</v>
      </c>
      <c r="AY949" t="s">
        <v>162</v>
      </c>
      <c r="AZ949" s="197" t="str">
        <f t="shared" ref="AZ949:AZ1012" si="3206">AX949&amp;"_"&amp;AY949&amp;"_"&amp;BA949</f>
        <v>DIS_Standard_138</v>
      </c>
      <c r="BA949">
        <v>138</v>
      </c>
      <c r="BB949">
        <f>VLOOKUP($BA949,'[2]Standard DIS'!$Q$1:$X$542,4,FALSE)</f>
        <v>0</v>
      </c>
      <c r="BF949">
        <f>VLOOKUP($BA949,'[2]Standard DIS'!$Q$1:$X$542,2,FALSE)</f>
        <v>0.68313118089340996</v>
      </c>
      <c r="BH949">
        <f>VLOOKUP($BA949,'[2]Standard DIS'!$Q$1:$X$542,3,FALSE)</f>
        <v>0.31686881910659009</v>
      </c>
      <c r="BI949" s="77">
        <f t="shared" si="3113"/>
        <v>1</v>
      </c>
      <c r="BJ949" s="77">
        <f t="shared" si="3114"/>
        <v>6.041856642636001E-2</v>
      </c>
      <c r="BK949" s="77">
        <f t="shared" ref="BK949:BK1012" si="3207">(1+BJ949)^(1/12)-1</f>
        <v>4.9006109203963977E-3</v>
      </c>
      <c r="BL949" s="79">
        <v>0</v>
      </c>
      <c r="BM949" s="77">
        <f t="shared" si="3128"/>
        <v>0</v>
      </c>
      <c r="BN949" s="77">
        <f t="shared" si="3129"/>
        <v>0</v>
      </c>
      <c r="BO949" s="77">
        <f t="shared" si="3130"/>
        <v>2.5000000000000005E-3</v>
      </c>
      <c r="BP949" s="77">
        <f t="shared" si="3131"/>
        <v>2.0809499864316017E-4</v>
      </c>
    </row>
    <row r="950" spans="1:68">
      <c r="A950" t="s">
        <v>175</v>
      </c>
      <c r="B950" t="s">
        <v>179</v>
      </c>
      <c r="C950" s="197" t="str">
        <f t="shared" si="3172"/>
        <v>Lifecycle_Dynamic_137</v>
      </c>
      <c r="D950">
        <v>137</v>
      </c>
      <c r="E950">
        <f>VLOOKUP($D950,'[2]LC Dynamic'!$Q$2:$U$542,2,FALSE)</f>
        <v>0</v>
      </c>
      <c r="F950">
        <f>VLOOKUP($D950,'[2]LC Dynamic'!$Q$2:$U$542,3,FALSE)</f>
        <v>0.15483333333333335</v>
      </c>
      <c r="G950">
        <f>VLOOKUP($D950,'[2]LC Dynamic'!$Q$2:$U$542,4,FALSE)</f>
        <v>0.84516666666666673</v>
      </c>
      <c r="H950">
        <f>VLOOKUP($D950,'[2]LC Dynamic'!$Q$2:$U$542,5,FALSE)</f>
        <v>0</v>
      </c>
      <c r="I950" s="77">
        <f t="shared" si="3104"/>
        <v>1</v>
      </c>
      <c r="J950" s="77">
        <f t="shared" si="3105"/>
        <v>6.1884449999999994E-2</v>
      </c>
      <c r="K950" s="77">
        <f t="shared" si="3179"/>
        <v>5.0162991069744312E-3</v>
      </c>
      <c r="L950" s="76">
        <v>0</v>
      </c>
      <c r="M950" s="77">
        <f t="shared" si="3115"/>
        <v>0</v>
      </c>
      <c r="N950" s="77">
        <f t="shared" si="3116"/>
        <v>0</v>
      </c>
      <c r="O950" s="77">
        <f t="shared" si="3117"/>
        <v>6.9987166666666675E-3</v>
      </c>
      <c r="P950" s="77">
        <f t="shared" si="3118"/>
        <v>5.8510563871361221E-4</v>
      </c>
      <c r="R950" t="s">
        <v>177</v>
      </c>
      <c r="S950" t="s">
        <v>179</v>
      </c>
      <c r="T950" s="197" t="str">
        <f t="shared" si="3173"/>
        <v>Autopilot_Dynamic_137</v>
      </c>
      <c r="U950">
        <v>137</v>
      </c>
      <c r="V950">
        <f>VLOOKUP($U950,'[2]AP Dynamic'!$Q$1:$T$542,2,FALSE)</f>
        <v>0.74276573787409683</v>
      </c>
      <c r="W950">
        <f>VLOOKUP($U950,'[2]AP Dynamic'!$Q$1:$T$542,3,FALSE)</f>
        <v>0.25723426212590317</v>
      </c>
      <c r="X950">
        <f>VLOOKUP($U950,'[2]AP Dynamic'!$Q$1:$T$542,4,FALSE)</f>
        <v>0</v>
      </c>
      <c r="Y950" s="77">
        <f t="shared" si="3174"/>
        <v>1</v>
      </c>
      <c r="Z950" s="77">
        <f t="shared" si="3180"/>
        <v>6.1210215170278623E-2</v>
      </c>
      <c r="AA950" s="77">
        <f t="shared" si="3181"/>
        <v>4.9631063867092706E-3</v>
      </c>
      <c r="AB950" s="79">
        <v>1</v>
      </c>
      <c r="AC950" s="77">
        <f t="shared" si="3119"/>
        <v>7.9855314757481949E-3</v>
      </c>
      <c r="AD950" s="77">
        <f t="shared" ref="AD950" si="3208">1-(1-AC950)^(1/12)</f>
        <v>6.6790906584879295E-4</v>
      </c>
      <c r="AE950" s="77">
        <f t="shared" si="3121"/>
        <v>2.5000000000000001E-3</v>
      </c>
      <c r="AF950" s="77">
        <f t="shared" ref="AF950" si="3209">1-(1-AE950)^(1/12)</f>
        <v>2.0857243058891584E-4</v>
      </c>
      <c r="AH950" t="s">
        <v>175</v>
      </c>
      <c r="AI950" t="s">
        <v>179</v>
      </c>
      <c r="AJ950" s="197" t="str">
        <f t="shared" si="3108"/>
        <v>Lifecycle_Dynamic_137</v>
      </c>
      <c r="AK950">
        <v>137</v>
      </c>
      <c r="AL950">
        <f>VLOOKUP($U950,[2]Standard_Dynamic!$Q$1:$T$542,2,FALSE)</f>
        <v>0.67319208806329545</v>
      </c>
      <c r="AM950">
        <f>VLOOKUP($U950,[2]Standard_Dynamic!$Q$1:$T$542,3,FALSE)</f>
        <v>0.32680791193670455</v>
      </c>
      <c r="AN950">
        <f>VLOOKUP($U950,[2]Standard_Dynamic!$Q$1:$T$542,4,FALSE)</f>
        <v>0</v>
      </c>
      <c r="AO950" s="77">
        <f t="shared" si="3109"/>
        <v>1</v>
      </c>
      <c r="AP950" s="77">
        <f t="shared" si="3123"/>
        <v>6.0286624969040234E-2</v>
      </c>
      <c r="AQ950" s="77">
        <f t="shared" si="3110"/>
        <v>4.8901908516103543E-3</v>
      </c>
      <c r="AR950" s="79">
        <v>0</v>
      </c>
      <c r="AS950" s="77">
        <f t="shared" si="3124"/>
        <v>0</v>
      </c>
      <c r="AT950" s="77">
        <f t="shared" ref="AT950" si="3210">1-(1-AS950)^(1/12)</f>
        <v>0</v>
      </c>
      <c r="AU950" s="77">
        <f t="shared" si="3126"/>
        <v>2.5000000000000001E-3</v>
      </c>
      <c r="AV950" s="77">
        <f t="shared" ref="AV950" si="3211">1-(1-AU950)^(1/12)</f>
        <v>2.0857243058891584E-4</v>
      </c>
      <c r="AX950" t="s">
        <v>178</v>
      </c>
      <c r="AY950" t="s">
        <v>162</v>
      </c>
      <c r="AZ950" s="197" t="str">
        <f t="shared" si="3206"/>
        <v>DIS_Standard_137</v>
      </c>
      <c r="BA950">
        <v>137</v>
      </c>
      <c r="BB950">
        <f>VLOOKUP($BA950,'[2]Standard DIS'!$Q$1:$X$542,4,FALSE)</f>
        <v>0</v>
      </c>
      <c r="BF950">
        <f>VLOOKUP($BA950,'[2]Standard DIS'!$Q$1:$X$542,2,FALSE)</f>
        <v>0.67319208806329545</v>
      </c>
      <c r="BH950">
        <f>VLOOKUP($BA950,'[2]Standard DIS'!$Q$1:$X$542,3,FALSE)</f>
        <v>0.32680791193670455</v>
      </c>
      <c r="BI950" s="77">
        <f t="shared" si="3113"/>
        <v>1</v>
      </c>
      <c r="BJ950" s="77">
        <f t="shared" si="3114"/>
        <v>6.0286624969040234E-2</v>
      </c>
      <c r="BK950" s="77">
        <f t="shared" si="3207"/>
        <v>4.8901908516103543E-3</v>
      </c>
      <c r="BL950" s="79">
        <v>0</v>
      </c>
      <c r="BM950" s="77">
        <f t="shared" si="3128"/>
        <v>0</v>
      </c>
      <c r="BN950" s="77">
        <f t="shared" si="3129"/>
        <v>0</v>
      </c>
      <c r="BO950" s="77">
        <f t="shared" si="3130"/>
        <v>2.5000000000000001E-3</v>
      </c>
      <c r="BP950" s="77">
        <f t="shared" si="3131"/>
        <v>2.0809499864316017E-4</v>
      </c>
    </row>
    <row r="951" spans="1:68">
      <c r="A951" t="s">
        <v>175</v>
      </c>
      <c r="B951" t="s">
        <v>179</v>
      </c>
      <c r="C951" s="197" t="str">
        <f t="shared" si="3172"/>
        <v>Lifecycle_Dynamic_136</v>
      </c>
      <c r="D951">
        <v>136</v>
      </c>
      <c r="E951">
        <f>VLOOKUP($D951,'[2]LC Dynamic'!$Q$2:$U$542,2,FALSE)</f>
        <v>0</v>
      </c>
      <c r="F951">
        <f>VLOOKUP($D951,'[2]LC Dynamic'!$Q$2:$U$542,3,FALSE)</f>
        <v>0.16266666666666668</v>
      </c>
      <c r="G951">
        <f>VLOOKUP($D951,'[2]LC Dynamic'!$Q$2:$U$542,4,FALSE)</f>
        <v>0.83733333333333337</v>
      </c>
      <c r="H951">
        <f>VLOOKUP($D951,'[2]LC Dynamic'!$Q$2:$U$542,5,FALSE)</f>
        <v>0</v>
      </c>
      <c r="I951" s="77">
        <f t="shared" si="3104"/>
        <v>1</v>
      </c>
      <c r="J951" s="77">
        <f t="shared" si="3105"/>
        <v>6.174579999999999E-2</v>
      </c>
      <c r="K951" s="77">
        <f t="shared" si="3179"/>
        <v>5.0053630575745967E-3</v>
      </c>
      <c r="L951" s="76">
        <v>0</v>
      </c>
      <c r="M951" s="77">
        <f t="shared" si="3115"/>
        <v>0</v>
      </c>
      <c r="N951" s="77">
        <f t="shared" si="3116"/>
        <v>0</v>
      </c>
      <c r="O951" s="77">
        <f t="shared" si="3117"/>
        <v>6.9885333333333331E-3</v>
      </c>
      <c r="P951" s="77">
        <f t="shared" si="3118"/>
        <v>5.8425155059527167E-4</v>
      </c>
      <c r="R951" t="s">
        <v>177</v>
      </c>
      <c r="S951" t="s">
        <v>179</v>
      </c>
      <c r="T951" s="197" t="str">
        <f t="shared" si="3173"/>
        <v>Autopilot_Dynamic_136</v>
      </c>
      <c r="U951">
        <v>136</v>
      </c>
      <c r="V951">
        <f>VLOOKUP($U951,'[2]AP Dynamic'!$Q$1:$T$542,2,FALSE)</f>
        <v>0.74276573787409683</v>
      </c>
      <c r="W951">
        <f>VLOOKUP($U951,'[2]AP Dynamic'!$Q$1:$T$542,3,FALSE)</f>
        <v>0.25723426212590317</v>
      </c>
      <c r="X951">
        <f>VLOOKUP($U951,'[2]AP Dynamic'!$Q$1:$T$542,4,FALSE)</f>
        <v>0</v>
      </c>
      <c r="Y951" s="77">
        <f t="shared" si="3174"/>
        <v>1</v>
      </c>
      <c r="Z951" s="77">
        <f t="shared" si="3180"/>
        <v>6.1210215170278623E-2</v>
      </c>
      <c r="AA951" s="77">
        <f t="shared" si="3181"/>
        <v>4.9631063867092706E-3</v>
      </c>
      <c r="AB951" s="79">
        <v>1</v>
      </c>
      <c r="AC951" s="77">
        <f t="shared" si="3119"/>
        <v>7.9855314757481949E-3</v>
      </c>
      <c r="AD951" s="77">
        <f t="shared" ref="AD951" si="3212">1-(1-AC951)^(1/12)</f>
        <v>6.6790906584879295E-4</v>
      </c>
      <c r="AE951" s="77">
        <f t="shared" si="3121"/>
        <v>2.5000000000000001E-3</v>
      </c>
      <c r="AF951" s="77">
        <f t="shared" ref="AF951" si="3213">1-(1-AE951)^(1/12)</f>
        <v>2.0857243058891584E-4</v>
      </c>
      <c r="AH951" t="s">
        <v>175</v>
      </c>
      <c r="AI951" t="s">
        <v>179</v>
      </c>
      <c r="AJ951" s="197" t="str">
        <f t="shared" si="3108"/>
        <v>Lifecycle_Dynamic_136</v>
      </c>
      <c r="AK951">
        <v>136</v>
      </c>
      <c r="AL951">
        <f>VLOOKUP($U951,[2]Standard_Dynamic!$Q$1:$T$542,2,FALSE)</f>
        <v>0.66325299523318093</v>
      </c>
      <c r="AM951">
        <f>VLOOKUP($U951,[2]Standard_Dynamic!$Q$1:$T$542,3,FALSE)</f>
        <v>0.33674700476681907</v>
      </c>
      <c r="AN951">
        <f>VLOOKUP($U951,[2]Standard_Dynamic!$Q$1:$T$542,4,FALSE)</f>
        <v>0</v>
      </c>
      <c r="AO951" s="77">
        <f t="shared" si="3109"/>
        <v>1</v>
      </c>
      <c r="AP951" s="77">
        <f t="shared" si="3123"/>
        <v>6.0154683511720465E-2</v>
      </c>
      <c r="AQ951" s="77">
        <f t="shared" si="3110"/>
        <v>4.8797695941447117E-3</v>
      </c>
      <c r="AR951" s="79">
        <v>0</v>
      </c>
      <c r="AS951" s="77">
        <f t="shared" si="3124"/>
        <v>0</v>
      </c>
      <c r="AT951" s="77">
        <f t="shared" ref="AT951" si="3214">1-(1-AS951)^(1/12)</f>
        <v>0</v>
      </c>
      <c r="AU951" s="77">
        <f t="shared" si="3126"/>
        <v>2.5000000000000001E-3</v>
      </c>
      <c r="AV951" s="77">
        <f t="shared" ref="AV951" si="3215">1-(1-AU951)^(1/12)</f>
        <v>2.0857243058891584E-4</v>
      </c>
      <c r="AX951" t="s">
        <v>178</v>
      </c>
      <c r="AY951" t="s">
        <v>162</v>
      </c>
      <c r="AZ951" s="197" t="str">
        <f t="shared" si="3206"/>
        <v>DIS_Standard_136</v>
      </c>
      <c r="BA951">
        <v>136</v>
      </c>
      <c r="BB951">
        <f>VLOOKUP($BA951,'[2]Standard DIS'!$Q$1:$X$542,4,FALSE)</f>
        <v>0</v>
      </c>
      <c r="BF951">
        <f>VLOOKUP($BA951,'[2]Standard DIS'!$Q$1:$X$542,2,FALSE)</f>
        <v>0.66325299523318093</v>
      </c>
      <c r="BH951">
        <f>VLOOKUP($BA951,'[2]Standard DIS'!$Q$1:$X$542,3,FALSE)</f>
        <v>0.33674700476681907</v>
      </c>
      <c r="BI951" s="77">
        <f t="shared" si="3113"/>
        <v>1</v>
      </c>
      <c r="BJ951" s="77">
        <f t="shared" si="3114"/>
        <v>6.0154683511720465E-2</v>
      </c>
      <c r="BK951" s="77">
        <f t="shared" si="3207"/>
        <v>4.8797695941447117E-3</v>
      </c>
      <c r="BL951" s="79">
        <v>0</v>
      </c>
      <c r="BM951" s="77">
        <f t="shared" si="3128"/>
        <v>0</v>
      </c>
      <c r="BN951" s="77">
        <f t="shared" si="3129"/>
        <v>0</v>
      </c>
      <c r="BO951" s="77">
        <f t="shared" si="3130"/>
        <v>2.5000000000000001E-3</v>
      </c>
      <c r="BP951" s="77">
        <f t="shared" si="3131"/>
        <v>2.0809499864316017E-4</v>
      </c>
    </row>
    <row r="952" spans="1:68">
      <c r="A952" t="s">
        <v>175</v>
      </c>
      <c r="B952" t="s">
        <v>179</v>
      </c>
      <c r="C952" s="197" t="str">
        <f t="shared" si="3172"/>
        <v>Lifecycle_Dynamic_135</v>
      </c>
      <c r="D952">
        <v>135</v>
      </c>
      <c r="E952">
        <f>VLOOKUP($D952,'[2]LC Dynamic'!$Q$2:$U$542,2,FALSE)</f>
        <v>0</v>
      </c>
      <c r="F952">
        <f>VLOOKUP($D952,'[2]LC Dynamic'!$Q$2:$U$542,3,FALSE)</f>
        <v>0.17050000000000001</v>
      </c>
      <c r="G952">
        <f>VLOOKUP($D952,'[2]LC Dynamic'!$Q$2:$U$542,4,FALSE)</f>
        <v>0.82950000000000002</v>
      </c>
      <c r="H952">
        <f>VLOOKUP($D952,'[2]LC Dynamic'!$Q$2:$U$542,5,FALSE)</f>
        <v>0</v>
      </c>
      <c r="I952" s="77">
        <f t="shared" si="3104"/>
        <v>1</v>
      </c>
      <c r="J952" s="77">
        <f t="shared" si="3105"/>
        <v>6.1607149999999992E-2</v>
      </c>
      <c r="K952" s="77">
        <f t="shared" si="3179"/>
        <v>4.9944256990011038E-3</v>
      </c>
      <c r="L952" s="76">
        <v>0</v>
      </c>
      <c r="M952" s="77">
        <f t="shared" si="3115"/>
        <v>0</v>
      </c>
      <c r="N952" s="77">
        <f t="shared" si="3116"/>
        <v>0</v>
      </c>
      <c r="O952" s="77">
        <f t="shared" si="3117"/>
        <v>6.9783500000000004E-3</v>
      </c>
      <c r="P952" s="77">
        <f t="shared" si="3118"/>
        <v>5.8339747050561996E-4</v>
      </c>
      <c r="R952" t="s">
        <v>177</v>
      </c>
      <c r="S952" t="s">
        <v>179</v>
      </c>
      <c r="T952" s="197" t="str">
        <f t="shared" si="3173"/>
        <v>Autopilot_Dynamic_135</v>
      </c>
      <c r="U952">
        <v>135</v>
      </c>
      <c r="V952">
        <f>VLOOKUP($U952,'[2]AP Dynamic'!$Q$1:$T$542,2,FALSE)</f>
        <v>0.74276573787409683</v>
      </c>
      <c r="W952">
        <f>VLOOKUP($U952,'[2]AP Dynamic'!$Q$1:$T$542,3,FALSE)</f>
        <v>0.25723426212590317</v>
      </c>
      <c r="X952">
        <f>VLOOKUP($U952,'[2]AP Dynamic'!$Q$1:$T$542,4,FALSE)</f>
        <v>0</v>
      </c>
      <c r="Y952" s="77">
        <f t="shared" si="3174"/>
        <v>1</v>
      </c>
      <c r="Z952" s="77">
        <f t="shared" si="3180"/>
        <v>6.1210215170278623E-2</v>
      </c>
      <c r="AA952" s="77">
        <f t="shared" si="3181"/>
        <v>4.9631063867092706E-3</v>
      </c>
      <c r="AB952" s="79">
        <v>1</v>
      </c>
      <c r="AC952" s="77">
        <f t="shared" si="3119"/>
        <v>7.9855314757481949E-3</v>
      </c>
      <c r="AD952" s="77">
        <f t="shared" ref="AD952" si="3216">1-(1-AC952)^(1/12)</f>
        <v>6.6790906584879295E-4</v>
      </c>
      <c r="AE952" s="77">
        <f t="shared" si="3121"/>
        <v>2.5000000000000001E-3</v>
      </c>
      <c r="AF952" s="77">
        <f t="shared" ref="AF952" si="3217">1-(1-AE952)^(1/12)</f>
        <v>2.0857243058891584E-4</v>
      </c>
      <c r="AH952" t="s">
        <v>175</v>
      </c>
      <c r="AI952" t="s">
        <v>179</v>
      </c>
      <c r="AJ952" s="197" t="str">
        <f t="shared" si="3108"/>
        <v>Lifecycle_Dynamic_135</v>
      </c>
      <c r="AK952">
        <v>135</v>
      </c>
      <c r="AL952">
        <f>VLOOKUP($U952,[2]Standard_Dynamic!$Q$1:$T$542,2,FALSE)</f>
        <v>0.65331390240306642</v>
      </c>
      <c r="AM952">
        <f>VLOOKUP($U952,[2]Standard_Dynamic!$Q$1:$T$542,3,FALSE)</f>
        <v>0.34668609759693358</v>
      </c>
      <c r="AN952">
        <f>VLOOKUP($U952,[2]Standard_Dynamic!$Q$1:$T$542,4,FALSE)</f>
        <v>0</v>
      </c>
      <c r="AO952" s="77">
        <f t="shared" si="3109"/>
        <v>1</v>
      </c>
      <c r="AP952" s="77">
        <f t="shared" si="3123"/>
        <v>6.0022742054400696E-2</v>
      </c>
      <c r="AQ952" s="77">
        <f t="shared" si="3110"/>
        <v>4.8693471477159189E-3</v>
      </c>
      <c r="AR952" s="79">
        <v>0</v>
      </c>
      <c r="AS952" s="77">
        <f t="shared" si="3124"/>
        <v>0</v>
      </c>
      <c r="AT952" s="77">
        <f t="shared" ref="AT952" si="3218">1-(1-AS952)^(1/12)</f>
        <v>0</v>
      </c>
      <c r="AU952" s="77">
        <f t="shared" si="3126"/>
        <v>2.5000000000000001E-3</v>
      </c>
      <c r="AV952" s="77">
        <f t="shared" ref="AV952" si="3219">1-(1-AU952)^(1/12)</f>
        <v>2.0857243058891584E-4</v>
      </c>
      <c r="AX952" t="s">
        <v>178</v>
      </c>
      <c r="AY952" t="s">
        <v>162</v>
      </c>
      <c r="AZ952" s="197" t="str">
        <f t="shared" si="3206"/>
        <v>DIS_Standard_135</v>
      </c>
      <c r="BA952">
        <v>135</v>
      </c>
      <c r="BB952">
        <f>VLOOKUP($BA952,'[2]Standard DIS'!$Q$1:$X$542,4,FALSE)</f>
        <v>0</v>
      </c>
      <c r="BF952">
        <f>VLOOKUP($BA952,'[2]Standard DIS'!$Q$1:$X$542,2,FALSE)</f>
        <v>0.65331390240306642</v>
      </c>
      <c r="BH952">
        <f>VLOOKUP($BA952,'[2]Standard DIS'!$Q$1:$X$542,3,FALSE)</f>
        <v>0.34668609759693358</v>
      </c>
      <c r="BI952" s="77">
        <f t="shared" si="3113"/>
        <v>1</v>
      </c>
      <c r="BJ952" s="77">
        <f t="shared" si="3114"/>
        <v>6.0022742054400696E-2</v>
      </c>
      <c r="BK952" s="77">
        <f t="shared" si="3207"/>
        <v>4.8693471477159189E-3</v>
      </c>
      <c r="BL952" s="79">
        <v>0</v>
      </c>
      <c r="BM952" s="77">
        <f t="shared" si="3128"/>
        <v>0</v>
      </c>
      <c r="BN952" s="77">
        <f t="shared" si="3129"/>
        <v>0</v>
      </c>
      <c r="BO952" s="77">
        <f t="shared" si="3130"/>
        <v>2.5000000000000001E-3</v>
      </c>
      <c r="BP952" s="77">
        <f t="shared" si="3131"/>
        <v>2.0809499864316017E-4</v>
      </c>
    </row>
    <row r="953" spans="1:68">
      <c r="A953" t="s">
        <v>175</v>
      </c>
      <c r="B953" t="s">
        <v>179</v>
      </c>
      <c r="C953" s="197" t="str">
        <f t="shared" si="3172"/>
        <v>Lifecycle_Dynamic_134</v>
      </c>
      <c r="D953">
        <v>134</v>
      </c>
      <c r="E953">
        <f>VLOOKUP($D953,'[2]LC Dynamic'!$Q$2:$U$542,2,FALSE)</f>
        <v>0</v>
      </c>
      <c r="F953">
        <f>VLOOKUP($D953,'[2]LC Dynamic'!$Q$2:$U$542,3,FALSE)</f>
        <v>0.17833333333333334</v>
      </c>
      <c r="G953">
        <f>VLOOKUP($D953,'[2]LC Dynamic'!$Q$2:$U$542,4,FALSE)</f>
        <v>0.82166666666666677</v>
      </c>
      <c r="H953">
        <f>VLOOKUP($D953,'[2]LC Dynamic'!$Q$2:$U$542,5,FALSE)</f>
        <v>0</v>
      </c>
      <c r="I953" s="77">
        <f t="shared" si="3104"/>
        <v>1</v>
      </c>
      <c r="J953" s="77">
        <f t="shared" si="3105"/>
        <v>6.1468499999999995E-2</v>
      </c>
      <c r="K953" s="77">
        <f t="shared" si="3179"/>
        <v>4.9834870309264367E-3</v>
      </c>
      <c r="L953" s="76">
        <v>0</v>
      </c>
      <c r="M953" s="77">
        <f t="shared" si="3115"/>
        <v>0</v>
      </c>
      <c r="N953" s="77">
        <f t="shared" si="3116"/>
        <v>0</v>
      </c>
      <c r="O953" s="77">
        <f t="shared" si="3117"/>
        <v>6.9681666666666668E-3</v>
      </c>
      <c r="P953" s="77">
        <f t="shared" si="3118"/>
        <v>5.8254339844454606E-4</v>
      </c>
      <c r="R953" t="s">
        <v>177</v>
      </c>
      <c r="S953" t="s">
        <v>179</v>
      </c>
      <c r="T953" s="197" t="str">
        <f t="shared" si="3173"/>
        <v>Autopilot_Dynamic_134</v>
      </c>
      <c r="U953">
        <v>134</v>
      </c>
      <c r="V953">
        <f>VLOOKUP($U953,'[2]AP Dynamic'!$Q$1:$T$542,2,FALSE)</f>
        <v>0.74276573787409683</v>
      </c>
      <c r="W953">
        <f>VLOOKUP($U953,'[2]AP Dynamic'!$Q$1:$T$542,3,FALSE)</f>
        <v>0.25723426212590317</v>
      </c>
      <c r="X953">
        <f>VLOOKUP($U953,'[2]AP Dynamic'!$Q$1:$T$542,4,FALSE)</f>
        <v>0</v>
      </c>
      <c r="Y953" s="77">
        <f t="shared" si="3174"/>
        <v>1</v>
      </c>
      <c r="Z953" s="77">
        <f t="shared" si="3180"/>
        <v>6.1210215170278623E-2</v>
      </c>
      <c r="AA953" s="77">
        <f t="shared" si="3181"/>
        <v>4.9631063867092706E-3</v>
      </c>
      <c r="AB953" s="79">
        <v>1</v>
      </c>
      <c r="AC953" s="77">
        <f t="shared" si="3119"/>
        <v>7.9855314757481949E-3</v>
      </c>
      <c r="AD953" s="77">
        <f t="shared" ref="AD953" si="3220">1-(1-AC953)^(1/12)</f>
        <v>6.6790906584879295E-4</v>
      </c>
      <c r="AE953" s="77">
        <f t="shared" si="3121"/>
        <v>2.5000000000000001E-3</v>
      </c>
      <c r="AF953" s="77">
        <f t="shared" ref="AF953" si="3221">1-(1-AE953)^(1/12)</f>
        <v>2.0857243058891584E-4</v>
      </c>
      <c r="AH953" t="s">
        <v>175</v>
      </c>
      <c r="AI953" t="s">
        <v>179</v>
      </c>
      <c r="AJ953" s="197" t="str">
        <f t="shared" si="3108"/>
        <v>Lifecycle_Dynamic_134</v>
      </c>
      <c r="AK953">
        <v>134</v>
      </c>
      <c r="AL953">
        <f>VLOOKUP($U953,[2]Standard_Dynamic!$Q$1:$T$542,2,FALSE)</f>
        <v>0.6433748095729519</v>
      </c>
      <c r="AM953">
        <f>VLOOKUP($U953,[2]Standard_Dynamic!$Q$1:$T$542,3,FALSE)</f>
        <v>0.35662519042704804</v>
      </c>
      <c r="AN953">
        <f>VLOOKUP($U953,[2]Standard_Dynamic!$Q$1:$T$542,4,FALSE)</f>
        <v>0</v>
      </c>
      <c r="AO953" s="77">
        <f t="shared" si="3109"/>
        <v>1</v>
      </c>
      <c r="AP953" s="77">
        <f t="shared" si="3123"/>
        <v>5.989080059708092E-2</v>
      </c>
      <c r="AQ953" s="77">
        <f t="shared" si="3110"/>
        <v>4.858923512040203E-3</v>
      </c>
      <c r="AR953" s="79">
        <v>0</v>
      </c>
      <c r="AS953" s="77">
        <f t="shared" si="3124"/>
        <v>0</v>
      </c>
      <c r="AT953" s="77">
        <f t="shared" ref="AT953" si="3222">1-(1-AS953)^(1/12)</f>
        <v>0</v>
      </c>
      <c r="AU953" s="77">
        <f t="shared" si="3126"/>
        <v>2.5000000000000001E-3</v>
      </c>
      <c r="AV953" s="77">
        <f t="shared" ref="AV953" si="3223">1-(1-AU953)^(1/12)</f>
        <v>2.0857243058891584E-4</v>
      </c>
      <c r="AX953" t="s">
        <v>178</v>
      </c>
      <c r="AY953" t="s">
        <v>162</v>
      </c>
      <c r="AZ953" s="197" t="str">
        <f t="shared" si="3206"/>
        <v>DIS_Standard_134</v>
      </c>
      <c r="BA953">
        <v>134</v>
      </c>
      <c r="BB953">
        <f>VLOOKUP($BA953,'[2]Standard DIS'!$Q$1:$X$542,4,FALSE)</f>
        <v>0</v>
      </c>
      <c r="BF953">
        <f>VLOOKUP($BA953,'[2]Standard DIS'!$Q$1:$X$542,2,FALSE)</f>
        <v>0.6433748095729519</v>
      </c>
      <c r="BH953">
        <f>VLOOKUP($BA953,'[2]Standard DIS'!$Q$1:$X$542,3,FALSE)</f>
        <v>0.35662519042704804</v>
      </c>
      <c r="BI953" s="77">
        <f t="shared" si="3113"/>
        <v>1</v>
      </c>
      <c r="BJ953" s="77">
        <f t="shared" si="3114"/>
        <v>5.989080059708092E-2</v>
      </c>
      <c r="BK953" s="77">
        <f t="shared" si="3207"/>
        <v>4.858923512040203E-3</v>
      </c>
      <c r="BL953" s="79">
        <v>0</v>
      </c>
      <c r="BM953" s="77">
        <f t="shared" si="3128"/>
        <v>0</v>
      </c>
      <c r="BN953" s="77">
        <f t="shared" si="3129"/>
        <v>0</v>
      </c>
      <c r="BO953" s="77">
        <f t="shared" si="3130"/>
        <v>2.5000000000000001E-3</v>
      </c>
      <c r="BP953" s="77">
        <f t="shared" si="3131"/>
        <v>2.0809499864316017E-4</v>
      </c>
    </row>
    <row r="954" spans="1:68">
      <c r="A954" t="s">
        <v>175</v>
      </c>
      <c r="B954" t="s">
        <v>179</v>
      </c>
      <c r="C954" s="197" t="str">
        <f t="shared" si="3172"/>
        <v>Lifecycle_Dynamic_133</v>
      </c>
      <c r="D954">
        <v>133</v>
      </c>
      <c r="E954">
        <f>VLOOKUP($D954,'[2]LC Dynamic'!$Q$2:$U$542,2,FALSE)</f>
        <v>0</v>
      </c>
      <c r="F954">
        <f>VLOOKUP($D954,'[2]LC Dynamic'!$Q$2:$U$542,3,FALSE)</f>
        <v>0.18616666666666667</v>
      </c>
      <c r="G954">
        <f>VLOOKUP($D954,'[2]LC Dynamic'!$Q$2:$U$542,4,FALSE)</f>
        <v>0.81383333333333341</v>
      </c>
      <c r="H954">
        <f>VLOOKUP($D954,'[2]LC Dynamic'!$Q$2:$U$542,5,FALSE)</f>
        <v>0</v>
      </c>
      <c r="I954" s="77">
        <f t="shared" si="3104"/>
        <v>1</v>
      </c>
      <c r="J954" s="77">
        <f t="shared" si="3105"/>
        <v>6.1329849999999991E-2</v>
      </c>
      <c r="K954" s="77">
        <f t="shared" si="3179"/>
        <v>4.9725470530226357E-3</v>
      </c>
      <c r="L954" s="76">
        <v>0</v>
      </c>
      <c r="M954" s="77">
        <f t="shared" si="3115"/>
        <v>0</v>
      </c>
      <c r="N954" s="77">
        <f t="shared" si="3116"/>
        <v>0</v>
      </c>
      <c r="O954" s="77">
        <f t="shared" si="3117"/>
        <v>6.9579833333333341E-3</v>
      </c>
      <c r="P954" s="77">
        <f t="shared" si="3118"/>
        <v>5.8168933441193893E-4</v>
      </c>
      <c r="R954" t="s">
        <v>177</v>
      </c>
      <c r="S954" t="s">
        <v>179</v>
      </c>
      <c r="T954" s="197" t="str">
        <f t="shared" si="3173"/>
        <v>Autopilot_Dynamic_133</v>
      </c>
      <c r="U954">
        <v>133</v>
      </c>
      <c r="V954">
        <f>VLOOKUP($U954,'[2]AP Dynamic'!$Q$1:$T$542,2,FALSE)</f>
        <v>0.74276573787409683</v>
      </c>
      <c r="W954">
        <f>VLOOKUP($U954,'[2]AP Dynamic'!$Q$1:$T$542,3,FALSE)</f>
        <v>0.25723426212590317</v>
      </c>
      <c r="X954">
        <f>VLOOKUP($U954,'[2]AP Dynamic'!$Q$1:$T$542,4,FALSE)</f>
        <v>0</v>
      </c>
      <c r="Y954" s="77">
        <f t="shared" si="3174"/>
        <v>1</v>
      </c>
      <c r="Z954" s="77">
        <f t="shared" si="3180"/>
        <v>6.1210215170278623E-2</v>
      </c>
      <c r="AA954" s="77">
        <f t="shared" si="3181"/>
        <v>4.9631063867092706E-3</v>
      </c>
      <c r="AB954" s="79">
        <v>1</v>
      </c>
      <c r="AC954" s="77">
        <f t="shared" si="3119"/>
        <v>7.9855314757481949E-3</v>
      </c>
      <c r="AD954" s="77">
        <f t="shared" ref="AD954" si="3224">1-(1-AC954)^(1/12)</f>
        <v>6.6790906584879295E-4</v>
      </c>
      <c r="AE954" s="77">
        <f t="shared" si="3121"/>
        <v>2.5000000000000001E-3</v>
      </c>
      <c r="AF954" s="77">
        <f t="shared" ref="AF954" si="3225">1-(1-AE954)^(1/12)</f>
        <v>2.0857243058891584E-4</v>
      </c>
      <c r="AH954" t="s">
        <v>175</v>
      </c>
      <c r="AI954" t="s">
        <v>179</v>
      </c>
      <c r="AJ954" s="197" t="str">
        <f t="shared" si="3108"/>
        <v>Lifecycle_Dynamic_133</v>
      </c>
      <c r="AK954">
        <v>133</v>
      </c>
      <c r="AL954">
        <f>VLOOKUP($U954,[2]Standard_Dynamic!$Q$1:$T$542,2,FALSE)</f>
        <v>0.6334357167428375</v>
      </c>
      <c r="AM954">
        <f>VLOOKUP($U954,[2]Standard_Dynamic!$Q$1:$T$542,3,FALSE)</f>
        <v>0.3665642832571625</v>
      </c>
      <c r="AN954">
        <f>VLOOKUP($U954,[2]Standard_Dynamic!$Q$1:$T$542,4,FALSE)</f>
        <v>0</v>
      </c>
      <c r="AO954" s="77">
        <f t="shared" si="3109"/>
        <v>1</v>
      </c>
      <c r="AP954" s="77">
        <f t="shared" si="3123"/>
        <v>5.9758859139761158E-2</v>
      </c>
      <c r="AQ954" s="77">
        <f t="shared" si="3110"/>
        <v>4.848498686834235E-3</v>
      </c>
      <c r="AR954" s="79">
        <v>0</v>
      </c>
      <c r="AS954" s="77">
        <f t="shared" si="3124"/>
        <v>0</v>
      </c>
      <c r="AT954" s="77">
        <f t="shared" ref="AT954" si="3226">1-(1-AS954)^(1/12)</f>
        <v>0</v>
      </c>
      <c r="AU954" s="77">
        <f t="shared" si="3126"/>
        <v>2.5000000000000001E-3</v>
      </c>
      <c r="AV954" s="77">
        <f t="shared" ref="AV954" si="3227">1-(1-AU954)^(1/12)</f>
        <v>2.0857243058891584E-4</v>
      </c>
      <c r="AX954" t="s">
        <v>178</v>
      </c>
      <c r="AY954" t="s">
        <v>162</v>
      </c>
      <c r="AZ954" s="197" t="str">
        <f t="shared" si="3206"/>
        <v>DIS_Standard_133</v>
      </c>
      <c r="BA954">
        <v>133</v>
      </c>
      <c r="BB954">
        <f>VLOOKUP($BA954,'[2]Standard DIS'!$Q$1:$X$542,4,FALSE)</f>
        <v>0</v>
      </c>
      <c r="BF954">
        <f>VLOOKUP($BA954,'[2]Standard DIS'!$Q$1:$X$542,2,FALSE)</f>
        <v>0.6334357167428375</v>
      </c>
      <c r="BH954">
        <f>VLOOKUP($BA954,'[2]Standard DIS'!$Q$1:$X$542,3,FALSE)</f>
        <v>0.3665642832571625</v>
      </c>
      <c r="BI954" s="77">
        <f t="shared" si="3113"/>
        <v>1</v>
      </c>
      <c r="BJ954" s="77">
        <f t="shared" si="3114"/>
        <v>5.9758859139761158E-2</v>
      </c>
      <c r="BK954" s="77">
        <f t="shared" si="3207"/>
        <v>4.848498686834235E-3</v>
      </c>
      <c r="BL954" s="79">
        <v>0</v>
      </c>
      <c r="BM954" s="77">
        <f t="shared" si="3128"/>
        <v>0</v>
      </c>
      <c r="BN954" s="77">
        <f t="shared" si="3129"/>
        <v>0</v>
      </c>
      <c r="BO954" s="77">
        <f t="shared" si="3130"/>
        <v>2.5000000000000001E-3</v>
      </c>
      <c r="BP954" s="77">
        <f t="shared" si="3131"/>
        <v>2.0809499864316017E-4</v>
      </c>
    </row>
    <row r="955" spans="1:68">
      <c r="A955" t="s">
        <v>175</v>
      </c>
      <c r="B955" t="s">
        <v>179</v>
      </c>
      <c r="C955" s="197" t="str">
        <f t="shared" si="3172"/>
        <v>Lifecycle_Dynamic_132</v>
      </c>
      <c r="D955">
        <v>132</v>
      </c>
      <c r="E955">
        <f>VLOOKUP($D955,'[2]LC Dynamic'!$Q$2:$U$542,2,FALSE)</f>
        <v>0</v>
      </c>
      <c r="F955">
        <f>VLOOKUP($D955,'[2]LC Dynamic'!$Q$2:$U$542,3,FALSE)</f>
        <v>0.19400000000000001</v>
      </c>
      <c r="G955">
        <f>VLOOKUP($D955,'[2]LC Dynamic'!$Q$2:$U$542,4,FALSE)</f>
        <v>0.80600000000000005</v>
      </c>
      <c r="H955">
        <f>VLOOKUP($D955,'[2]LC Dynamic'!$Q$2:$U$542,5,FALSE)</f>
        <v>0</v>
      </c>
      <c r="I955" s="77">
        <f t="shared" si="3104"/>
        <v>1</v>
      </c>
      <c r="J955" s="77">
        <f t="shared" si="3105"/>
        <v>6.1191199999999994E-2</v>
      </c>
      <c r="K955" s="77">
        <f t="shared" si="3179"/>
        <v>4.9616057649617407E-3</v>
      </c>
      <c r="L955" s="76">
        <v>0</v>
      </c>
      <c r="M955" s="77">
        <f t="shared" si="3115"/>
        <v>0</v>
      </c>
      <c r="N955" s="77">
        <f t="shared" si="3116"/>
        <v>0</v>
      </c>
      <c r="O955" s="77">
        <f t="shared" si="3117"/>
        <v>6.9478000000000005E-3</v>
      </c>
      <c r="P955" s="77">
        <f t="shared" si="3118"/>
        <v>5.8083527840757654E-4</v>
      </c>
      <c r="R955" t="s">
        <v>177</v>
      </c>
      <c r="S955" t="s">
        <v>179</v>
      </c>
      <c r="T955" s="197" t="str">
        <f t="shared" si="3173"/>
        <v>Autopilot_Dynamic_132</v>
      </c>
      <c r="U955">
        <v>132</v>
      </c>
      <c r="V955">
        <f>VLOOKUP($U955,'[2]AP Dynamic'!$Q$1:$T$542,2,FALSE)</f>
        <v>0.62349662391272298</v>
      </c>
      <c r="W955">
        <f>VLOOKUP($U955,'[2]AP Dynamic'!$Q$1:$T$542,3,FALSE)</f>
        <v>0.37650337608727702</v>
      </c>
      <c r="X955">
        <f>VLOOKUP($U955,'[2]AP Dynamic'!$Q$1:$T$542,4,FALSE)</f>
        <v>0</v>
      </c>
      <c r="Y955" s="77">
        <f t="shared" si="3174"/>
        <v>1</v>
      </c>
      <c r="Z955" s="77">
        <f t="shared" si="3180"/>
        <v>5.962691768244139E-2</v>
      </c>
      <c r="AA955" s="77">
        <f t="shared" si="3181"/>
        <v>4.8380726718135758E-3</v>
      </c>
      <c r="AB955" s="79">
        <v>1</v>
      </c>
      <c r="AC955" s="77">
        <f t="shared" si="3119"/>
        <v>7.7469932478254466E-3</v>
      </c>
      <c r="AD955" s="77">
        <f t="shared" ref="AD955" si="3228">1-(1-AC955)^(1/12)</f>
        <v>6.4788645479563201E-4</v>
      </c>
      <c r="AE955" s="77">
        <f t="shared" si="3121"/>
        <v>2.5000000000000001E-3</v>
      </c>
      <c r="AF955" s="77">
        <f t="shared" ref="AF955" si="3229">1-(1-AE955)^(1/12)</f>
        <v>2.0857243058891584E-4</v>
      </c>
      <c r="AH955" t="s">
        <v>175</v>
      </c>
      <c r="AI955" t="s">
        <v>179</v>
      </c>
      <c r="AJ955" s="197" t="str">
        <f t="shared" si="3108"/>
        <v>Lifecycle_Dynamic_132</v>
      </c>
      <c r="AK955">
        <v>132</v>
      </c>
      <c r="AL955">
        <f>VLOOKUP($U955,[2]Standard_Dynamic!$Q$1:$T$542,2,FALSE)</f>
        <v>0.62349662391272298</v>
      </c>
      <c r="AM955">
        <f>VLOOKUP($U955,[2]Standard_Dynamic!$Q$1:$T$542,3,FALSE)</f>
        <v>0.37650337608727702</v>
      </c>
      <c r="AN955">
        <f>VLOOKUP($U955,[2]Standard_Dynamic!$Q$1:$T$542,4,FALSE)</f>
        <v>0</v>
      </c>
      <c r="AO955" s="77">
        <f t="shared" si="3109"/>
        <v>1</v>
      </c>
      <c r="AP955" s="77">
        <f t="shared" si="3123"/>
        <v>5.962691768244139E-2</v>
      </c>
      <c r="AQ955" s="77">
        <f t="shared" si="3110"/>
        <v>4.8380726718135758E-3</v>
      </c>
      <c r="AR955" s="79">
        <v>0</v>
      </c>
      <c r="AS955" s="77">
        <f t="shared" si="3124"/>
        <v>0</v>
      </c>
      <c r="AT955" s="77">
        <f t="shared" ref="AT955" si="3230">1-(1-AS955)^(1/12)</f>
        <v>0</v>
      </c>
      <c r="AU955" s="77">
        <f t="shared" si="3126"/>
        <v>2.5000000000000001E-3</v>
      </c>
      <c r="AV955" s="77">
        <f t="shared" ref="AV955" si="3231">1-(1-AU955)^(1/12)</f>
        <v>2.0857243058891584E-4</v>
      </c>
      <c r="AX955" t="s">
        <v>178</v>
      </c>
      <c r="AY955" t="s">
        <v>162</v>
      </c>
      <c r="AZ955" s="197" t="str">
        <f t="shared" si="3206"/>
        <v>DIS_Standard_132</v>
      </c>
      <c r="BA955">
        <v>132</v>
      </c>
      <c r="BB955">
        <f>VLOOKUP($BA955,'[2]Standard DIS'!$Q$1:$X$542,4,FALSE)</f>
        <v>0</v>
      </c>
      <c r="BF955">
        <f>VLOOKUP($BA955,'[2]Standard DIS'!$Q$1:$X$542,2,FALSE)</f>
        <v>0.62349662391272298</v>
      </c>
      <c r="BH955">
        <f>VLOOKUP($BA955,'[2]Standard DIS'!$Q$1:$X$542,3,FALSE)</f>
        <v>0.37650337608727702</v>
      </c>
      <c r="BI955" s="77">
        <f t="shared" si="3113"/>
        <v>1</v>
      </c>
      <c r="BJ955" s="77">
        <f t="shared" si="3114"/>
        <v>5.962691768244139E-2</v>
      </c>
      <c r="BK955" s="77">
        <f t="shared" si="3207"/>
        <v>4.8380726718135758E-3</v>
      </c>
      <c r="BL955" s="79">
        <v>0</v>
      </c>
      <c r="BM955" s="77">
        <f t="shared" si="3128"/>
        <v>0</v>
      </c>
      <c r="BN955" s="77">
        <f t="shared" si="3129"/>
        <v>0</v>
      </c>
      <c r="BO955" s="77">
        <f t="shared" si="3130"/>
        <v>2.5000000000000001E-3</v>
      </c>
      <c r="BP955" s="77">
        <f t="shared" si="3131"/>
        <v>2.0809499864316017E-4</v>
      </c>
    </row>
    <row r="956" spans="1:68">
      <c r="A956" t="s">
        <v>175</v>
      </c>
      <c r="B956" t="s">
        <v>179</v>
      </c>
      <c r="C956" s="197" t="str">
        <f t="shared" si="3172"/>
        <v>Lifecycle_Dynamic_131</v>
      </c>
      <c r="D956">
        <v>131</v>
      </c>
      <c r="E956">
        <f>VLOOKUP($D956,'[2]LC Dynamic'!$Q$2:$U$542,2,FALSE)</f>
        <v>1.25E-3</v>
      </c>
      <c r="F956">
        <f>VLOOKUP($D956,'[2]LC Dynamic'!$Q$2:$U$542,3,FALSE)</f>
        <v>0.2</v>
      </c>
      <c r="G956">
        <f>VLOOKUP($D956,'[2]LC Dynamic'!$Q$2:$U$542,4,FALSE)</f>
        <v>0.79875000000000007</v>
      </c>
      <c r="H956">
        <f>VLOOKUP($D956,'[2]LC Dynamic'!$Q$2:$U$542,5,FALSE)</f>
        <v>0</v>
      </c>
      <c r="I956" s="77">
        <f t="shared" si="3104"/>
        <v>1</v>
      </c>
      <c r="J956" s="77">
        <f t="shared" si="3105"/>
        <v>6.1057343749999993E-2</v>
      </c>
      <c r="K956" s="77">
        <f t="shared" si="3179"/>
        <v>4.9510415228146698E-3</v>
      </c>
      <c r="L956" s="76">
        <v>0</v>
      </c>
      <c r="M956" s="77">
        <f t="shared" si="3115"/>
        <v>0</v>
      </c>
      <c r="N956" s="77">
        <f t="shared" si="3116"/>
        <v>0</v>
      </c>
      <c r="O956" s="77">
        <f t="shared" si="3117"/>
        <v>6.9340000000000001E-3</v>
      </c>
      <c r="P956" s="77">
        <f t="shared" si="3118"/>
        <v>5.7967791254187606E-4</v>
      </c>
      <c r="R956" t="s">
        <v>177</v>
      </c>
      <c r="S956" t="s">
        <v>179</v>
      </c>
      <c r="T956" s="197" t="str">
        <f t="shared" si="3173"/>
        <v>Autopilot_Dynamic_131</v>
      </c>
      <c r="U956">
        <v>131</v>
      </c>
      <c r="V956">
        <f>VLOOKUP($U956,'[2]AP Dynamic'!$Q$1:$T$542,2,FALSE)</f>
        <v>0.62349662391272298</v>
      </c>
      <c r="W956">
        <f>VLOOKUP($U956,'[2]AP Dynamic'!$Q$1:$T$542,3,FALSE)</f>
        <v>0.37650337608727702</v>
      </c>
      <c r="X956">
        <f>VLOOKUP($U956,'[2]AP Dynamic'!$Q$1:$T$542,4,FALSE)</f>
        <v>0</v>
      </c>
      <c r="Y956" s="77">
        <f t="shared" si="3174"/>
        <v>1</v>
      </c>
      <c r="Z956" s="77">
        <f t="shared" si="3180"/>
        <v>5.962691768244139E-2</v>
      </c>
      <c r="AA956" s="77">
        <f t="shared" si="3181"/>
        <v>4.8380726718135758E-3</v>
      </c>
      <c r="AB956" s="79">
        <v>1</v>
      </c>
      <c r="AC956" s="77">
        <f t="shared" si="3119"/>
        <v>7.7469932478254466E-3</v>
      </c>
      <c r="AD956" s="77">
        <f t="shared" ref="AD956" si="3232">1-(1-AC956)^(1/12)</f>
        <v>6.4788645479563201E-4</v>
      </c>
      <c r="AE956" s="77">
        <f t="shared" si="3121"/>
        <v>2.5000000000000001E-3</v>
      </c>
      <c r="AF956" s="77">
        <f t="shared" ref="AF956" si="3233">1-(1-AE956)^(1/12)</f>
        <v>2.0857243058891584E-4</v>
      </c>
      <c r="AH956" t="s">
        <v>175</v>
      </c>
      <c r="AI956" t="s">
        <v>179</v>
      </c>
      <c r="AJ956" s="197" t="str">
        <f t="shared" si="3108"/>
        <v>Lifecycle_Dynamic_131</v>
      </c>
      <c r="AK956">
        <v>131</v>
      </c>
      <c r="AL956">
        <f>VLOOKUP($U956,[2]Standard_Dynamic!$Q$1:$T$542,2,FALSE)</f>
        <v>0.61394766143299428</v>
      </c>
      <c r="AM956">
        <f>VLOOKUP($U956,[2]Standard_Dynamic!$Q$1:$T$542,3,FALSE)</f>
        <v>0.38605233856700577</v>
      </c>
      <c r="AN956">
        <f>VLOOKUP($U956,[2]Standard_Dynamic!$Q$1:$T$542,4,FALSE)</f>
        <v>0</v>
      </c>
      <c r="AO956" s="77">
        <f t="shared" si="3109"/>
        <v>1</v>
      </c>
      <c r="AP956" s="77">
        <f t="shared" si="3123"/>
        <v>5.9500155205522987E-2</v>
      </c>
      <c r="AQ956" s="77">
        <f t="shared" si="3110"/>
        <v>4.8280547789252282E-3</v>
      </c>
      <c r="AR956" s="79">
        <v>0</v>
      </c>
      <c r="AS956" s="77">
        <f t="shared" si="3124"/>
        <v>0</v>
      </c>
      <c r="AT956" s="77">
        <f t="shared" ref="AT956" si="3234">1-(1-AS956)^(1/12)</f>
        <v>0</v>
      </c>
      <c r="AU956" s="77">
        <f t="shared" si="3126"/>
        <v>2.5000000000000005E-3</v>
      </c>
      <c r="AV956" s="77">
        <f t="shared" ref="AV956" si="3235">1-(1-AU956)^(1/12)</f>
        <v>2.0857243058891584E-4</v>
      </c>
      <c r="AX956" t="s">
        <v>178</v>
      </c>
      <c r="AY956" t="s">
        <v>162</v>
      </c>
      <c r="AZ956" s="197" t="str">
        <f t="shared" si="3206"/>
        <v>DIS_Standard_131</v>
      </c>
      <c r="BA956">
        <v>131</v>
      </c>
      <c r="BB956">
        <f>VLOOKUP($BA956,'[2]Standard DIS'!$Q$1:$X$542,4,FALSE)</f>
        <v>0</v>
      </c>
      <c r="BF956">
        <f>VLOOKUP($BA956,'[2]Standard DIS'!$Q$1:$X$542,2,FALSE)</f>
        <v>0.61394766143299428</v>
      </c>
      <c r="BH956">
        <f>VLOOKUP($BA956,'[2]Standard DIS'!$Q$1:$X$542,3,FALSE)</f>
        <v>0.38605233856700577</v>
      </c>
      <c r="BI956" s="77">
        <f t="shared" si="3113"/>
        <v>1</v>
      </c>
      <c r="BJ956" s="77">
        <f t="shared" si="3114"/>
        <v>5.9500155205522987E-2</v>
      </c>
      <c r="BK956" s="77">
        <f t="shared" si="3207"/>
        <v>4.8280547789252282E-3</v>
      </c>
      <c r="BL956" s="79">
        <v>0</v>
      </c>
      <c r="BM956" s="77">
        <f t="shared" si="3128"/>
        <v>0</v>
      </c>
      <c r="BN956" s="77">
        <f t="shared" si="3129"/>
        <v>0</v>
      </c>
      <c r="BO956" s="77">
        <f t="shared" si="3130"/>
        <v>2.5000000000000005E-3</v>
      </c>
      <c r="BP956" s="77">
        <f t="shared" si="3131"/>
        <v>2.0809499864316017E-4</v>
      </c>
    </row>
    <row r="957" spans="1:68">
      <c r="A957" t="s">
        <v>175</v>
      </c>
      <c r="B957" t="s">
        <v>179</v>
      </c>
      <c r="C957" s="197" t="str">
        <f t="shared" si="3172"/>
        <v>Lifecycle_Dynamic_130</v>
      </c>
      <c r="D957">
        <v>130</v>
      </c>
      <c r="E957">
        <f>VLOOKUP($D957,'[2]LC Dynamic'!$Q$2:$U$542,2,FALSE)</f>
        <v>2.5000000000000001E-3</v>
      </c>
      <c r="F957">
        <f>VLOOKUP($D957,'[2]LC Dynamic'!$Q$2:$U$542,3,FALSE)</f>
        <v>0.20600000000000002</v>
      </c>
      <c r="G957">
        <f>VLOOKUP($D957,'[2]LC Dynamic'!$Q$2:$U$542,4,FALSE)</f>
        <v>0.79150000000000009</v>
      </c>
      <c r="H957">
        <f>VLOOKUP($D957,'[2]LC Dynamic'!$Q$2:$U$542,5,FALSE)</f>
        <v>0</v>
      </c>
      <c r="I957" s="77">
        <f t="shared" si="3104"/>
        <v>1</v>
      </c>
      <c r="J957" s="77">
        <f t="shared" si="3105"/>
        <v>6.0923487499999998E-2</v>
      </c>
      <c r="K957" s="77">
        <f t="shared" si="3179"/>
        <v>4.9404760589391028E-3</v>
      </c>
      <c r="L957" s="76">
        <v>0</v>
      </c>
      <c r="M957" s="77">
        <f t="shared" si="3115"/>
        <v>0</v>
      </c>
      <c r="N957" s="77">
        <f t="shared" si="3116"/>
        <v>0</v>
      </c>
      <c r="O957" s="77">
        <f t="shared" si="3117"/>
        <v>6.9202000000000005E-3</v>
      </c>
      <c r="P957" s="77">
        <f t="shared" si="3118"/>
        <v>5.7852056141904917E-4</v>
      </c>
      <c r="R957" t="s">
        <v>177</v>
      </c>
      <c r="S957" t="s">
        <v>179</v>
      </c>
      <c r="T957" s="197" t="str">
        <f t="shared" si="3173"/>
        <v>Autopilot_Dynamic_130</v>
      </c>
      <c r="U957">
        <v>130</v>
      </c>
      <c r="V957">
        <f>VLOOKUP($U957,'[2]AP Dynamic'!$Q$1:$T$542,2,FALSE)</f>
        <v>0.62349662391272298</v>
      </c>
      <c r="W957">
        <f>VLOOKUP($U957,'[2]AP Dynamic'!$Q$1:$T$542,3,FALSE)</f>
        <v>0.37650337608727702</v>
      </c>
      <c r="X957">
        <f>VLOOKUP($U957,'[2]AP Dynamic'!$Q$1:$T$542,4,FALSE)</f>
        <v>0</v>
      </c>
      <c r="Y957" s="77">
        <f t="shared" si="3174"/>
        <v>1</v>
      </c>
      <c r="Z957" s="77">
        <f t="shared" si="3180"/>
        <v>5.962691768244139E-2</v>
      </c>
      <c r="AA957" s="77">
        <f t="shared" si="3181"/>
        <v>4.8380726718135758E-3</v>
      </c>
      <c r="AB957" s="79">
        <v>1</v>
      </c>
      <c r="AC957" s="77">
        <f t="shared" si="3119"/>
        <v>7.7469932478254466E-3</v>
      </c>
      <c r="AD957" s="77">
        <f t="shared" ref="AD957" si="3236">1-(1-AC957)^(1/12)</f>
        <v>6.4788645479563201E-4</v>
      </c>
      <c r="AE957" s="77">
        <f t="shared" si="3121"/>
        <v>2.5000000000000001E-3</v>
      </c>
      <c r="AF957" s="77">
        <f t="shared" ref="AF957" si="3237">1-(1-AE957)^(1/12)</f>
        <v>2.0857243058891584E-4</v>
      </c>
      <c r="AH957" t="s">
        <v>175</v>
      </c>
      <c r="AI957" t="s">
        <v>179</v>
      </c>
      <c r="AJ957" s="197" t="str">
        <f t="shared" si="3108"/>
        <v>Lifecycle_Dynamic_130</v>
      </c>
      <c r="AK957">
        <v>130</v>
      </c>
      <c r="AL957">
        <f>VLOOKUP($U957,[2]Standard_Dynamic!$Q$1:$T$542,2,FALSE)</f>
        <v>0.60439869895326548</v>
      </c>
      <c r="AM957">
        <f>VLOOKUP($U957,[2]Standard_Dynamic!$Q$1:$T$542,3,FALSE)</f>
        <v>0.39560130104673452</v>
      </c>
      <c r="AN957">
        <f>VLOOKUP($U957,[2]Standard_Dynamic!$Q$1:$T$542,4,FALSE)</f>
        <v>0</v>
      </c>
      <c r="AO957" s="77">
        <f t="shared" si="3109"/>
        <v>1</v>
      </c>
      <c r="AP957" s="77">
        <f t="shared" si="3123"/>
        <v>5.937339272860459E-2</v>
      </c>
      <c r="AQ957" s="77">
        <f t="shared" si="3110"/>
        <v>4.8180357872806834E-3</v>
      </c>
      <c r="AR957" s="79">
        <v>0</v>
      </c>
      <c r="AS957" s="77">
        <f t="shared" si="3124"/>
        <v>0</v>
      </c>
      <c r="AT957" s="77">
        <f t="shared" ref="AT957" si="3238">1-(1-AS957)^(1/12)</f>
        <v>0</v>
      </c>
      <c r="AU957" s="77">
        <f t="shared" si="3126"/>
        <v>2.5000000000000001E-3</v>
      </c>
      <c r="AV957" s="77">
        <f t="shared" ref="AV957" si="3239">1-(1-AU957)^(1/12)</f>
        <v>2.0857243058891584E-4</v>
      </c>
      <c r="AX957" t="s">
        <v>178</v>
      </c>
      <c r="AY957" t="s">
        <v>162</v>
      </c>
      <c r="AZ957" s="197" t="str">
        <f t="shared" si="3206"/>
        <v>DIS_Standard_130</v>
      </c>
      <c r="BA957">
        <v>130</v>
      </c>
      <c r="BB957">
        <f>VLOOKUP($BA957,'[2]Standard DIS'!$Q$1:$X$542,4,FALSE)</f>
        <v>0</v>
      </c>
      <c r="BF957">
        <f>VLOOKUP($BA957,'[2]Standard DIS'!$Q$1:$X$542,2,FALSE)</f>
        <v>0.60439869895326548</v>
      </c>
      <c r="BH957">
        <f>VLOOKUP($BA957,'[2]Standard DIS'!$Q$1:$X$542,3,FALSE)</f>
        <v>0.39560130104673452</v>
      </c>
      <c r="BI957" s="77">
        <f t="shared" si="3113"/>
        <v>1</v>
      </c>
      <c r="BJ957" s="77">
        <f t="shared" si="3114"/>
        <v>5.937339272860459E-2</v>
      </c>
      <c r="BK957" s="77">
        <f t="shared" si="3207"/>
        <v>4.8180357872806834E-3</v>
      </c>
      <c r="BL957" s="79">
        <v>0</v>
      </c>
      <c r="BM957" s="77">
        <f t="shared" si="3128"/>
        <v>0</v>
      </c>
      <c r="BN957" s="77">
        <f t="shared" si="3129"/>
        <v>0</v>
      </c>
      <c r="BO957" s="77">
        <f t="shared" si="3130"/>
        <v>2.5000000000000001E-3</v>
      </c>
      <c r="BP957" s="77">
        <f t="shared" si="3131"/>
        <v>2.0809499864316017E-4</v>
      </c>
    </row>
    <row r="958" spans="1:68">
      <c r="A958" t="s">
        <v>175</v>
      </c>
      <c r="B958" t="s">
        <v>179</v>
      </c>
      <c r="C958" s="197" t="str">
        <f t="shared" si="3172"/>
        <v>Lifecycle_Dynamic_129</v>
      </c>
      <c r="D958">
        <v>129</v>
      </c>
      <c r="E958">
        <f>VLOOKUP($D958,'[2]LC Dynamic'!$Q$2:$U$542,2,FALSE)</f>
        <v>3.7499999999999999E-3</v>
      </c>
      <c r="F958">
        <f>VLOOKUP($D958,'[2]LC Dynamic'!$Q$2:$U$542,3,FALSE)</f>
        <v>0.21200000000000002</v>
      </c>
      <c r="G958">
        <f>VLOOKUP($D958,'[2]LC Dynamic'!$Q$2:$U$542,4,FALSE)</f>
        <v>0.78425</v>
      </c>
      <c r="H958">
        <f>VLOOKUP($D958,'[2]LC Dynamic'!$Q$2:$U$542,5,FALSE)</f>
        <v>0</v>
      </c>
      <c r="I958" s="77">
        <f t="shared" si="3104"/>
        <v>1</v>
      </c>
      <c r="J958" s="77">
        <f t="shared" si="3105"/>
        <v>6.078963124999999E-2</v>
      </c>
      <c r="K958" s="77">
        <f t="shared" si="3179"/>
        <v>4.9299093730397203E-3</v>
      </c>
      <c r="L958" s="76">
        <v>0</v>
      </c>
      <c r="M958" s="77">
        <f t="shared" si="3115"/>
        <v>0</v>
      </c>
      <c r="N958" s="77">
        <f t="shared" si="3116"/>
        <v>0</v>
      </c>
      <c r="O958" s="77">
        <f t="shared" si="3117"/>
        <v>6.9064E-3</v>
      </c>
      <c r="P958" s="77">
        <f t="shared" si="3118"/>
        <v>5.7736322503865178E-4</v>
      </c>
      <c r="R958" t="s">
        <v>177</v>
      </c>
      <c r="S958" t="s">
        <v>179</v>
      </c>
      <c r="T958" s="197" t="str">
        <f t="shared" si="3173"/>
        <v>Autopilot_Dynamic_129</v>
      </c>
      <c r="U958">
        <v>129</v>
      </c>
      <c r="V958">
        <f>VLOOKUP($U958,'[2]AP Dynamic'!$Q$1:$T$542,2,FALSE)</f>
        <v>0.62349662391272298</v>
      </c>
      <c r="W958">
        <f>VLOOKUP($U958,'[2]AP Dynamic'!$Q$1:$T$542,3,FALSE)</f>
        <v>0.37650337608727702</v>
      </c>
      <c r="X958">
        <f>VLOOKUP($U958,'[2]AP Dynamic'!$Q$1:$T$542,4,FALSE)</f>
        <v>0</v>
      </c>
      <c r="Y958" s="77">
        <f t="shared" si="3174"/>
        <v>1</v>
      </c>
      <c r="Z958" s="77">
        <f t="shared" si="3180"/>
        <v>5.962691768244139E-2</v>
      </c>
      <c r="AA958" s="77">
        <f t="shared" si="3181"/>
        <v>4.8380726718135758E-3</v>
      </c>
      <c r="AB958" s="79">
        <v>1</v>
      </c>
      <c r="AC958" s="77">
        <f t="shared" si="3119"/>
        <v>7.7469932478254466E-3</v>
      </c>
      <c r="AD958" s="77">
        <f t="shared" ref="AD958" si="3240">1-(1-AC958)^(1/12)</f>
        <v>6.4788645479563201E-4</v>
      </c>
      <c r="AE958" s="77">
        <f t="shared" si="3121"/>
        <v>2.5000000000000001E-3</v>
      </c>
      <c r="AF958" s="77">
        <f t="shared" ref="AF958" si="3241">1-(1-AE958)^(1/12)</f>
        <v>2.0857243058891584E-4</v>
      </c>
      <c r="AH958" t="s">
        <v>175</v>
      </c>
      <c r="AI958" t="s">
        <v>179</v>
      </c>
      <c r="AJ958" s="197" t="str">
        <f t="shared" si="3108"/>
        <v>Lifecycle_Dynamic_129</v>
      </c>
      <c r="AK958">
        <v>129</v>
      </c>
      <c r="AL958">
        <f>VLOOKUP($U958,[2]Standard_Dynamic!$Q$1:$T$542,2,FALSE)</f>
        <v>0.59484973647353678</v>
      </c>
      <c r="AM958">
        <f>VLOOKUP($U958,[2]Standard_Dynamic!$Q$1:$T$542,3,FALSE)</f>
        <v>0.40515026352646322</v>
      </c>
      <c r="AN958">
        <f>VLOOKUP($U958,[2]Standard_Dynamic!$Q$1:$T$542,4,FALSE)</f>
        <v>0</v>
      </c>
      <c r="AO958" s="77">
        <f t="shared" si="3109"/>
        <v>1</v>
      </c>
      <c r="AP958" s="77">
        <f t="shared" si="3123"/>
        <v>5.9246630251686194E-2</v>
      </c>
      <c r="AQ958" s="77">
        <f t="shared" si="3110"/>
        <v>4.8080156966279208E-3</v>
      </c>
      <c r="AR958" s="79">
        <v>0</v>
      </c>
      <c r="AS958" s="77">
        <f t="shared" si="3124"/>
        <v>0</v>
      </c>
      <c r="AT958" s="77">
        <f t="shared" ref="AT958" si="3242">1-(1-AS958)^(1/12)</f>
        <v>0</v>
      </c>
      <c r="AU958" s="77">
        <f t="shared" si="3126"/>
        <v>2.5000000000000001E-3</v>
      </c>
      <c r="AV958" s="77">
        <f t="shared" ref="AV958" si="3243">1-(1-AU958)^(1/12)</f>
        <v>2.0857243058891584E-4</v>
      </c>
      <c r="AX958" t="s">
        <v>178</v>
      </c>
      <c r="AY958" t="s">
        <v>162</v>
      </c>
      <c r="AZ958" s="197" t="str">
        <f t="shared" si="3206"/>
        <v>DIS_Standard_129</v>
      </c>
      <c r="BA958">
        <v>129</v>
      </c>
      <c r="BB958">
        <f>VLOOKUP($BA958,'[2]Standard DIS'!$Q$1:$X$542,4,FALSE)</f>
        <v>0</v>
      </c>
      <c r="BF958">
        <f>VLOOKUP($BA958,'[2]Standard DIS'!$Q$1:$X$542,2,FALSE)</f>
        <v>0.59484973647353678</v>
      </c>
      <c r="BH958">
        <f>VLOOKUP($BA958,'[2]Standard DIS'!$Q$1:$X$542,3,FALSE)</f>
        <v>0.40515026352646322</v>
      </c>
      <c r="BI958" s="77">
        <f t="shared" si="3113"/>
        <v>1</v>
      </c>
      <c r="BJ958" s="77">
        <f t="shared" si="3114"/>
        <v>5.9246630251686194E-2</v>
      </c>
      <c r="BK958" s="77">
        <f t="shared" si="3207"/>
        <v>4.8080156966279208E-3</v>
      </c>
      <c r="BL958" s="79">
        <v>0</v>
      </c>
      <c r="BM958" s="77">
        <f t="shared" si="3128"/>
        <v>0</v>
      </c>
      <c r="BN958" s="77">
        <f t="shared" si="3129"/>
        <v>0</v>
      </c>
      <c r="BO958" s="77">
        <f t="shared" si="3130"/>
        <v>2.5000000000000001E-3</v>
      </c>
      <c r="BP958" s="77">
        <f t="shared" si="3131"/>
        <v>2.0809499864316017E-4</v>
      </c>
    </row>
    <row r="959" spans="1:68">
      <c r="A959" t="s">
        <v>175</v>
      </c>
      <c r="B959" t="s">
        <v>179</v>
      </c>
      <c r="C959" s="197" t="str">
        <f t="shared" si="3172"/>
        <v>Lifecycle_Dynamic_128</v>
      </c>
      <c r="D959">
        <v>128</v>
      </c>
      <c r="E959">
        <f>VLOOKUP($D959,'[2]LC Dynamic'!$Q$2:$U$542,2,FALSE)</f>
        <v>5.0000000000000001E-3</v>
      </c>
      <c r="F959">
        <f>VLOOKUP($D959,'[2]LC Dynamic'!$Q$2:$U$542,3,FALSE)</f>
        <v>0.218</v>
      </c>
      <c r="G959">
        <f>VLOOKUP($D959,'[2]LC Dynamic'!$Q$2:$U$542,4,FALSE)</f>
        <v>0.77700000000000002</v>
      </c>
      <c r="H959">
        <f>VLOOKUP($D959,'[2]LC Dynamic'!$Q$2:$U$542,5,FALSE)</f>
        <v>0</v>
      </c>
      <c r="I959" s="77">
        <f t="shared" si="3104"/>
        <v>1</v>
      </c>
      <c r="J959" s="77">
        <f t="shared" si="3105"/>
        <v>6.0655774999999995E-2</v>
      </c>
      <c r="K959" s="77">
        <f t="shared" si="3179"/>
        <v>4.919341464820759E-3</v>
      </c>
      <c r="L959" s="76">
        <v>0</v>
      </c>
      <c r="M959" s="77">
        <f t="shared" si="3115"/>
        <v>0</v>
      </c>
      <c r="N959" s="77">
        <f t="shared" si="3116"/>
        <v>0</v>
      </c>
      <c r="O959" s="77">
        <f t="shared" si="3117"/>
        <v>6.8926000000000005E-3</v>
      </c>
      <c r="P959" s="77">
        <f t="shared" si="3118"/>
        <v>5.7620590340023981E-4</v>
      </c>
      <c r="R959" t="s">
        <v>177</v>
      </c>
      <c r="S959" t="s">
        <v>179</v>
      </c>
      <c r="T959" s="197" t="str">
        <f t="shared" si="3173"/>
        <v>Autopilot_Dynamic_128</v>
      </c>
      <c r="U959">
        <v>128</v>
      </c>
      <c r="V959">
        <f>VLOOKUP($U959,'[2]AP Dynamic'!$Q$1:$T$542,2,FALSE)</f>
        <v>0.62349662391272298</v>
      </c>
      <c r="W959">
        <f>VLOOKUP($U959,'[2]AP Dynamic'!$Q$1:$T$542,3,FALSE)</f>
        <v>0.37650337608727702</v>
      </c>
      <c r="X959">
        <f>VLOOKUP($U959,'[2]AP Dynamic'!$Q$1:$T$542,4,FALSE)</f>
        <v>0</v>
      </c>
      <c r="Y959" s="77">
        <f t="shared" si="3174"/>
        <v>1</v>
      </c>
      <c r="Z959" s="77">
        <f t="shared" si="3180"/>
        <v>5.962691768244139E-2</v>
      </c>
      <c r="AA959" s="77">
        <f t="shared" si="3181"/>
        <v>4.8380726718135758E-3</v>
      </c>
      <c r="AB959" s="79">
        <v>1</v>
      </c>
      <c r="AC959" s="77">
        <f t="shared" si="3119"/>
        <v>7.7469932478254466E-3</v>
      </c>
      <c r="AD959" s="77">
        <f t="shared" ref="AD959" si="3244">1-(1-AC959)^(1/12)</f>
        <v>6.4788645479563201E-4</v>
      </c>
      <c r="AE959" s="77">
        <f t="shared" si="3121"/>
        <v>2.5000000000000001E-3</v>
      </c>
      <c r="AF959" s="77">
        <f t="shared" ref="AF959" si="3245">1-(1-AE959)^(1/12)</f>
        <v>2.0857243058891584E-4</v>
      </c>
      <c r="AH959" t="s">
        <v>175</v>
      </c>
      <c r="AI959" t="s">
        <v>179</v>
      </c>
      <c r="AJ959" s="197" t="str">
        <f t="shared" si="3108"/>
        <v>Lifecycle_Dynamic_128</v>
      </c>
      <c r="AK959">
        <v>128</v>
      </c>
      <c r="AL959">
        <f>VLOOKUP($U959,[2]Standard_Dynamic!$Q$1:$T$542,2,FALSE)</f>
        <v>0.58530077399380798</v>
      </c>
      <c r="AM959">
        <f>VLOOKUP($U959,[2]Standard_Dynamic!$Q$1:$T$542,3,FALSE)</f>
        <v>0.41469922600619197</v>
      </c>
      <c r="AN959">
        <f>VLOOKUP($U959,[2]Standard_Dynamic!$Q$1:$T$542,4,FALSE)</f>
        <v>0</v>
      </c>
      <c r="AO959" s="77">
        <f t="shared" si="3109"/>
        <v>1</v>
      </c>
      <c r="AP959" s="77">
        <f t="shared" si="3123"/>
        <v>5.9119867774767784E-2</v>
      </c>
      <c r="AQ959" s="77">
        <f t="shared" si="3110"/>
        <v>4.7979945067149199E-3</v>
      </c>
      <c r="AR959" s="79">
        <v>0</v>
      </c>
      <c r="AS959" s="77">
        <f t="shared" si="3124"/>
        <v>0</v>
      </c>
      <c r="AT959" s="77">
        <f t="shared" ref="AT959" si="3246">1-(1-AS959)^(1/12)</f>
        <v>0</v>
      </c>
      <c r="AU959" s="77">
        <f t="shared" si="3126"/>
        <v>2.4999999999999996E-3</v>
      </c>
      <c r="AV959" s="77">
        <f t="shared" ref="AV959" si="3247">1-(1-AU959)^(1/12)</f>
        <v>2.0857243058891584E-4</v>
      </c>
      <c r="AX959" t="s">
        <v>178</v>
      </c>
      <c r="AY959" t="s">
        <v>162</v>
      </c>
      <c r="AZ959" s="197" t="str">
        <f t="shared" si="3206"/>
        <v>DIS_Standard_128</v>
      </c>
      <c r="BA959">
        <v>128</v>
      </c>
      <c r="BB959">
        <f>VLOOKUP($BA959,'[2]Standard DIS'!$Q$1:$X$542,4,FALSE)</f>
        <v>0</v>
      </c>
      <c r="BF959">
        <f>VLOOKUP($BA959,'[2]Standard DIS'!$Q$1:$X$542,2,FALSE)</f>
        <v>0.58530077399380798</v>
      </c>
      <c r="BH959">
        <f>VLOOKUP($BA959,'[2]Standard DIS'!$Q$1:$X$542,3,FALSE)</f>
        <v>0.41469922600619197</v>
      </c>
      <c r="BI959" s="77">
        <f t="shared" si="3113"/>
        <v>1</v>
      </c>
      <c r="BJ959" s="77">
        <f t="shared" si="3114"/>
        <v>5.9119867774767784E-2</v>
      </c>
      <c r="BK959" s="77">
        <f t="shared" si="3207"/>
        <v>4.7979945067149199E-3</v>
      </c>
      <c r="BL959" s="79">
        <v>0</v>
      </c>
      <c r="BM959" s="77">
        <f t="shared" si="3128"/>
        <v>0</v>
      </c>
      <c r="BN959" s="77">
        <f t="shared" si="3129"/>
        <v>0</v>
      </c>
      <c r="BO959" s="77">
        <f t="shared" si="3130"/>
        <v>2.4999999999999996E-3</v>
      </c>
      <c r="BP959" s="77">
        <f t="shared" si="3131"/>
        <v>2.0809499864316017E-4</v>
      </c>
    </row>
    <row r="960" spans="1:68">
      <c r="A960" t="s">
        <v>175</v>
      </c>
      <c r="B960" t="s">
        <v>179</v>
      </c>
      <c r="C960" s="197" t="str">
        <f t="shared" si="3172"/>
        <v>Lifecycle_Dynamic_127</v>
      </c>
      <c r="D960">
        <v>127</v>
      </c>
      <c r="E960">
        <f>VLOOKUP($D960,'[2]LC Dynamic'!$Q$2:$U$542,2,FALSE)</f>
        <v>6.2499999999999995E-3</v>
      </c>
      <c r="F960">
        <f>VLOOKUP($D960,'[2]LC Dynamic'!$Q$2:$U$542,3,FALSE)</f>
        <v>0.224</v>
      </c>
      <c r="G960">
        <f>VLOOKUP($D960,'[2]LC Dynamic'!$Q$2:$U$542,4,FALSE)</f>
        <v>0.76975000000000005</v>
      </c>
      <c r="H960">
        <f>VLOOKUP($D960,'[2]LC Dynamic'!$Q$2:$U$542,5,FALSE)</f>
        <v>0</v>
      </c>
      <c r="I960" s="77">
        <f t="shared" si="3104"/>
        <v>1</v>
      </c>
      <c r="J960" s="77">
        <f t="shared" si="3105"/>
        <v>6.0521918750000001E-2</v>
      </c>
      <c r="K960" s="77">
        <f t="shared" si="3179"/>
        <v>4.9087723339866773E-3</v>
      </c>
      <c r="L960" s="76">
        <v>0</v>
      </c>
      <c r="M960" s="77">
        <f t="shared" si="3115"/>
        <v>0</v>
      </c>
      <c r="N960" s="77">
        <f t="shared" si="3116"/>
        <v>0</v>
      </c>
      <c r="O960" s="77">
        <f t="shared" si="3117"/>
        <v>6.8788000000000009E-3</v>
      </c>
      <c r="P960" s="77">
        <f t="shared" si="3118"/>
        <v>5.7504859650336915E-4</v>
      </c>
      <c r="R960" t="s">
        <v>177</v>
      </c>
      <c r="S960" t="s">
        <v>179</v>
      </c>
      <c r="T960" s="197" t="str">
        <f t="shared" si="3173"/>
        <v>Autopilot_Dynamic_127</v>
      </c>
      <c r="U960">
        <v>127</v>
      </c>
      <c r="V960">
        <f>VLOOKUP($U960,'[2]AP Dynamic'!$Q$1:$T$542,2,FALSE)</f>
        <v>0.62349662391272298</v>
      </c>
      <c r="W960">
        <f>VLOOKUP($U960,'[2]AP Dynamic'!$Q$1:$T$542,3,FALSE)</f>
        <v>0.37650337608727702</v>
      </c>
      <c r="X960">
        <f>VLOOKUP($U960,'[2]AP Dynamic'!$Q$1:$T$542,4,FALSE)</f>
        <v>0</v>
      </c>
      <c r="Y960" s="77">
        <f t="shared" si="3174"/>
        <v>1</v>
      </c>
      <c r="Z960" s="77">
        <f t="shared" si="3180"/>
        <v>5.962691768244139E-2</v>
      </c>
      <c r="AA960" s="77">
        <f t="shared" si="3181"/>
        <v>4.8380726718135758E-3</v>
      </c>
      <c r="AB960" s="79">
        <v>1</v>
      </c>
      <c r="AC960" s="77">
        <f t="shared" si="3119"/>
        <v>7.7469932478254466E-3</v>
      </c>
      <c r="AD960" s="77">
        <f t="shared" ref="AD960" si="3248">1-(1-AC960)^(1/12)</f>
        <v>6.4788645479563201E-4</v>
      </c>
      <c r="AE960" s="77">
        <f t="shared" si="3121"/>
        <v>2.5000000000000001E-3</v>
      </c>
      <c r="AF960" s="77">
        <f t="shared" ref="AF960" si="3249">1-(1-AE960)^(1/12)</f>
        <v>2.0857243058891584E-4</v>
      </c>
      <c r="AH960" t="s">
        <v>175</v>
      </c>
      <c r="AI960" t="s">
        <v>179</v>
      </c>
      <c r="AJ960" s="197" t="str">
        <f t="shared" si="3108"/>
        <v>Lifecycle_Dynamic_127</v>
      </c>
      <c r="AK960">
        <v>127</v>
      </c>
      <c r="AL960">
        <f>VLOOKUP($U960,[2]Standard_Dynamic!$Q$1:$T$542,2,FALSE)</f>
        <v>0.57575181151407928</v>
      </c>
      <c r="AM960">
        <f>VLOOKUP($U960,[2]Standard_Dynamic!$Q$1:$T$542,3,FALSE)</f>
        <v>0.42424818848592072</v>
      </c>
      <c r="AN960">
        <f>VLOOKUP($U960,[2]Standard_Dynamic!$Q$1:$T$542,4,FALSE)</f>
        <v>0</v>
      </c>
      <c r="AO960" s="77">
        <f t="shared" si="3109"/>
        <v>1</v>
      </c>
      <c r="AP960" s="77">
        <f t="shared" si="3123"/>
        <v>5.8993105297849388E-2</v>
      </c>
      <c r="AQ960" s="77">
        <f t="shared" si="3110"/>
        <v>4.7879722172894379E-3</v>
      </c>
      <c r="AR960" s="79">
        <v>0</v>
      </c>
      <c r="AS960" s="77">
        <f t="shared" si="3124"/>
        <v>0</v>
      </c>
      <c r="AT960" s="77">
        <f t="shared" ref="AT960" si="3250">1-(1-AS960)^(1/12)</f>
        <v>0</v>
      </c>
      <c r="AU960" s="77">
        <f t="shared" si="3126"/>
        <v>2.5000000000000001E-3</v>
      </c>
      <c r="AV960" s="77">
        <f t="shared" ref="AV960" si="3251">1-(1-AU960)^(1/12)</f>
        <v>2.0857243058891584E-4</v>
      </c>
      <c r="AX960" t="s">
        <v>178</v>
      </c>
      <c r="AY960" t="s">
        <v>162</v>
      </c>
      <c r="AZ960" s="197" t="str">
        <f t="shared" si="3206"/>
        <v>DIS_Standard_127</v>
      </c>
      <c r="BA960">
        <v>127</v>
      </c>
      <c r="BB960">
        <f>VLOOKUP($BA960,'[2]Standard DIS'!$Q$1:$X$542,4,FALSE)</f>
        <v>0</v>
      </c>
      <c r="BF960">
        <f>VLOOKUP($BA960,'[2]Standard DIS'!$Q$1:$X$542,2,FALSE)</f>
        <v>0.57575181151407928</v>
      </c>
      <c r="BH960">
        <f>VLOOKUP($BA960,'[2]Standard DIS'!$Q$1:$X$542,3,FALSE)</f>
        <v>0.42424818848592072</v>
      </c>
      <c r="BI960" s="77">
        <f t="shared" si="3113"/>
        <v>1</v>
      </c>
      <c r="BJ960" s="77">
        <f t="shared" si="3114"/>
        <v>5.8993105297849388E-2</v>
      </c>
      <c r="BK960" s="77">
        <f t="shared" si="3207"/>
        <v>4.7879722172894379E-3</v>
      </c>
      <c r="BL960" s="79">
        <v>0</v>
      </c>
      <c r="BM960" s="77">
        <f t="shared" si="3128"/>
        <v>0</v>
      </c>
      <c r="BN960" s="77">
        <f t="shared" si="3129"/>
        <v>0</v>
      </c>
      <c r="BO960" s="77">
        <f t="shared" si="3130"/>
        <v>2.5000000000000001E-3</v>
      </c>
      <c r="BP960" s="77">
        <f t="shared" si="3131"/>
        <v>2.0809499864316017E-4</v>
      </c>
    </row>
    <row r="961" spans="1:68">
      <c r="A961" t="s">
        <v>175</v>
      </c>
      <c r="B961" t="s">
        <v>179</v>
      </c>
      <c r="C961" s="197" t="str">
        <f t="shared" si="3172"/>
        <v>Lifecycle_Dynamic_126</v>
      </c>
      <c r="D961">
        <v>126</v>
      </c>
      <c r="E961">
        <f>VLOOKUP($D961,'[2]LC Dynamic'!$Q$2:$U$542,2,FALSE)</f>
        <v>7.4999999999999997E-3</v>
      </c>
      <c r="F961">
        <f>VLOOKUP($D961,'[2]LC Dynamic'!$Q$2:$U$542,3,FALSE)</f>
        <v>0.23</v>
      </c>
      <c r="G961">
        <f>VLOOKUP($D961,'[2]LC Dynamic'!$Q$2:$U$542,4,FALSE)</f>
        <v>0.76249999999999996</v>
      </c>
      <c r="H961">
        <f>VLOOKUP($D961,'[2]LC Dynamic'!$Q$2:$U$542,5,FALSE)</f>
        <v>0</v>
      </c>
      <c r="I961" s="77">
        <f t="shared" si="3104"/>
        <v>1</v>
      </c>
      <c r="J961" s="77">
        <f t="shared" si="3105"/>
        <v>6.0388062499999992E-2</v>
      </c>
      <c r="K961" s="77">
        <f t="shared" si="3179"/>
        <v>4.89820198024149E-3</v>
      </c>
      <c r="L961" s="76">
        <v>0</v>
      </c>
      <c r="M961" s="77">
        <f t="shared" si="3115"/>
        <v>0</v>
      </c>
      <c r="N961" s="77">
        <f t="shared" si="3116"/>
        <v>0</v>
      </c>
      <c r="O961" s="77">
        <f t="shared" si="3117"/>
        <v>6.8649999999999996E-3</v>
      </c>
      <c r="P961" s="77">
        <f t="shared" si="3118"/>
        <v>5.7389130434792879E-4</v>
      </c>
      <c r="R961" t="s">
        <v>177</v>
      </c>
      <c r="S961" t="s">
        <v>179</v>
      </c>
      <c r="T961" s="197" t="str">
        <f t="shared" si="3173"/>
        <v>Autopilot_Dynamic_126</v>
      </c>
      <c r="U961">
        <v>126</v>
      </c>
      <c r="V961">
        <f>VLOOKUP($U961,'[2]AP Dynamic'!$Q$1:$T$542,2,FALSE)</f>
        <v>0.62349662391272298</v>
      </c>
      <c r="W961">
        <f>VLOOKUP($U961,'[2]AP Dynamic'!$Q$1:$T$542,3,FALSE)</f>
        <v>0.37650337608727702</v>
      </c>
      <c r="X961">
        <f>VLOOKUP($U961,'[2]AP Dynamic'!$Q$1:$T$542,4,FALSE)</f>
        <v>0</v>
      </c>
      <c r="Y961" s="77">
        <f t="shared" si="3174"/>
        <v>1</v>
      </c>
      <c r="Z961" s="77">
        <f t="shared" si="3180"/>
        <v>5.962691768244139E-2</v>
      </c>
      <c r="AA961" s="77">
        <f t="shared" si="3181"/>
        <v>4.8380726718135758E-3</v>
      </c>
      <c r="AB961" s="79">
        <v>1</v>
      </c>
      <c r="AC961" s="77">
        <f t="shared" si="3119"/>
        <v>7.7469932478254466E-3</v>
      </c>
      <c r="AD961" s="77">
        <f t="shared" ref="AD961" si="3252">1-(1-AC961)^(1/12)</f>
        <v>6.4788645479563201E-4</v>
      </c>
      <c r="AE961" s="77">
        <f t="shared" si="3121"/>
        <v>2.5000000000000001E-3</v>
      </c>
      <c r="AF961" s="77">
        <f t="shared" ref="AF961" si="3253">1-(1-AE961)^(1/12)</f>
        <v>2.0857243058891584E-4</v>
      </c>
      <c r="AH961" t="s">
        <v>175</v>
      </c>
      <c r="AI961" t="s">
        <v>179</v>
      </c>
      <c r="AJ961" s="197" t="str">
        <f t="shared" si="3108"/>
        <v>Lifecycle_Dynamic_126</v>
      </c>
      <c r="AK961">
        <v>126</v>
      </c>
      <c r="AL961">
        <f>VLOOKUP($U961,[2]Standard_Dynamic!$Q$1:$T$542,2,FALSE)</f>
        <v>0.56620284903435047</v>
      </c>
      <c r="AM961">
        <f>VLOOKUP($U961,[2]Standard_Dynamic!$Q$1:$T$542,3,FALSE)</f>
        <v>0.43379715096564947</v>
      </c>
      <c r="AN961">
        <f>VLOOKUP($U961,[2]Standard_Dynamic!$Q$1:$T$542,4,FALSE)</f>
        <v>0</v>
      </c>
      <c r="AO961" s="77">
        <f t="shared" si="3109"/>
        <v>1</v>
      </c>
      <c r="AP961" s="77">
        <f t="shared" si="3123"/>
        <v>5.8866342820930992E-2</v>
      </c>
      <c r="AQ961" s="77">
        <f t="shared" si="3110"/>
        <v>4.7779488280992322E-3</v>
      </c>
      <c r="AR961" s="79">
        <v>0</v>
      </c>
      <c r="AS961" s="77">
        <f t="shared" si="3124"/>
        <v>0</v>
      </c>
      <c r="AT961" s="77">
        <f t="shared" ref="AT961" si="3254">1-(1-AS961)^(1/12)</f>
        <v>0</v>
      </c>
      <c r="AU961" s="77">
        <f t="shared" si="3126"/>
        <v>2.4999999999999996E-3</v>
      </c>
      <c r="AV961" s="77">
        <f t="shared" ref="AV961" si="3255">1-(1-AU961)^(1/12)</f>
        <v>2.0857243058891584E-4</v>
      </c>
      <c r="AX961" t="s">
        <v>178</v>
      </c>
      <c r="AY961" t="s">
        <v>162</v>
      </c>
      <c r="AZ961" s="197" t="str">
        <f t="shared" si="3206"/>
        <v>DIS_Standard_126</v>
      </c>
      <c r="BA961">
        <v>126</v>
      </c>
      <c r="BB961">
        <f>VLOOKUP($BA961,'[2]Standard DIS'!$Q$1:$X$542,4,FALSE)</f>
        <v>0</v>
      </c>
      <c r="BF961">
        <f>VLOOKUP($BA961,'[2]Standard DIS'!$Q$1:$X$542,2,FALSE)</f>
        <v>0.56620284903435047</v>
      </c>
      <c r="BH961">
        <f>VLOOKUP($BA961,'[2]Standard DIS'!$Q$1:$X$542,3,FALSE)</f>
        <v>0.43379715096564947</v>
      </c>
      <c r="BI961" s="77">
        <f t="shared" si="3113"/>
        <v>1</v>
      </c>
      <c r="BJ961" s="77">
        <f t="shared" si="3114"/>
        <v>5.8866342820930992E-2</v>
      </c>
      <c r="BK961" s="77">
        <f t="shared" si="3207"/>
        <v>4.7779488280992322E-3</v>
      </c>
      <c r="BL961" s="79">
        <v>0</v>
      </c>
      <c r="BM961" s="77">
        <f t="shared" si="3128"/>
        <v>0</v>
      </c>
      <c r="BN961" s="77">
        <f t="shared" si="3129"/>
        <v>0</v>
      </c>
      <c r="BO961" s="77">
        <f t="shared" si="3130"/>
        <v>2.4999999999999996E-3</v>
      </c>
      <c r="BP961" s="77">
        <f t="shared" si="3131"/>
        <v>2.0809499864316017E-4</v>
      </c>
    </row>
    <row r="962" spans="1:68">
      <c r="A962" t="s">
        <v>175</v>
      </c>
      <c r="B962" t="s">
        <v>179</v>
      </c>
      <c r="C962" s="197" t="str">
        <f t="shared" si="3172"/>
        <v>Lifecycle_Dynamic_125</v>
      </c>
      <c r="D962">
        <v>125</v>
      </c>
      <c r="E962">
        <f>VLOOKUP($D962,'[2]LC Dynamic'!$Q$2:$U$542,2,FALSE)</f>
        <v>8.7499999999999991E-3</v>
      </c>
      <c r="F962">
        <f>VLOOKUP($D962,'[2]LC Dynamic'!$Q$2:$U$542,3,FALSE)</f>
        <v>0.23600000000000002</v>
      </c>
      <c r="G962">
        <f>VLOOKUP($D962,'[2]LC Dynamic'!$Q$2:$U$542,4,FALSE)</f>
        <v>0.75524999999999998</v>
      </c>
      <c r="H962">
        <f>VLOOKUP($D962,'[2]LC Dynamic'!$Q$2:$U$542,5,FALSE)</f>
        <v>0</v>
      </c>
      <c r="I962" s="77">
        <f t="shared" si="3104"/>
        <v>1</v>
      </c>
      <c r="J962" s="77">
        <f t="shared" si="3105"/>
        <v>6.0254206249999991E-2</v>
      </c>
      <c r="K962" s="77">
        <f t="shared" si="3179"/>
        <v>4.8876304032896556E-3</v>
      </c>
      <c r="L962" s="76">
        <v>0</v>
      </c>
      <c r="M962" s="77">
        <f t="shared" si="3115"/>
        <v>0</v>
      </c>
      <c r="N962" s="77">
        <f t="shared" si="3116"/>
        <v>0</v>
      </c>
      <c r="O962" s="77">
        <f t="shared" si="3117"/>
        <v>6.8512E-3</v>
      </c>
      <c r="P962" s="77">
        <f t="shared" si="3118"/>
        <v>5.7273402693314157E-4</v>
      </c>
      <c r="R962" t="s">
        <v>177</v>
      </c>
      <c r="S962" t="s">
        <v>179</v>
      </c>
      <c r="T962" s="197" t="str">
        <f t="shared" si="3173"/>
        <v>Autopilot_Dynamic_125</v>
      </c>
      <c r="U962">
        <v>125</v>
      </c>
      <c r="V962">
        <f>VLOOKUP($U962,'[2]AP Dynamic'!$Q$1:$T$542,2,FALSE)</f>
        <v>0.62349662391272298</v>
      </c>
      <c r="W962">
        <f>VLOOKUP($U962,'[2]AP Dynamic'!$Q$1:$T$542,3,FALSE)</f>
        <v>0.37650337608727702</v>
      </c>
      <c r="X962">
        <f>VLOOKUP($U962,'[2]AP Dynamic'!$Q$1:$T$542,4,FALSE)</f>
        <v>0</v>
      </c>
      <c r="Y962" s="77">
        <f t="shared" si="3174"/>
        <v>1</v>
      </c>
      <c r="Z962" s="77">
        <f t="shared" si="3180"/>
        <v>5.962691768244139E-2</v>
      </c>
      <c r="AA962" s="77">
        <f t="shared" si="3181"/>
        <v>4.8380726718135758E-3</v>
      </c>
      <c r="AB962" s="79">
        <v>1</v>
      </c>
      <c r="AC962" s="77">
        <f t="shared" si="3119"/>
        <v>7.7469932478254466E-3</v>
      </c>
      <c r="AD962" s="77">
        <f t="shared" ref="AD962" si="3256">1-(1-AC962)^(1/12)</f>
        <v>6.4788645479563201E-4</v>
      </c>
      <c r="AE962" s="77">
        <f t="shared" si="3121"/>
        <v>2.5000000000000001E-3</v>
      </c>
      <c r="AF962" s="77">
        <f t="shared" ref="AF962" si="3257">1-(1-AE962)^(1/12)</f>
        <v>2.0857243058891584E-4</v>
      </c>
      <c r="AH962" t="s">
        <v>175</v>
      </c>
      <c r="AI962" t="s">
        <v>179</v>
      </c>
      <c r="AJ962" s="197" t="str">
        <f t="shared" si="3108"/>
        <v>Lifecycle_Dynamic_125</v>
      </c>
      <c r="AK962">
        <v>125</v>
      </c>
      <c r="AL962">
        <f>VLOOKUP($U962,[2]Standard_Dynamic!$Q$1:$T$542,2,FALSE)</f>
        <v>0.55665388655462178</v>
      </c>
      <c r="AM962">
        <f>VLOOKUP($U962,[2]Standard_Dynamic!$Q$1:$T$542,3,FALSE)</f>
        <v>0.44334611344537822</v>
      </c>
      <c r="AN962">
        <f>VLOOKUP($U962,[2]Standard_Dynamic!$Q$1:$T$542,4,FALSE)</f>
        <v>0</v>
      </c>
      <c r="AO962" s="77">
        <f t="shared" si="3109"/>
        <v>1</v>
      </c>
      <c r="AP962" s="77">
        <f t="shared" si="3123"/>
        <v>5.8739580344012596E-2</v>
      </c>
      <c r="AQ962" s="77">
        <f t="shared" si="3110"/>
        <v>4.767924338891838E-3</v>
      </c>
      <c r="AR962" s="79">
        <v>0</v>
      </c>
      <c r="AS962" s="77">
        <f t="shared" si="3124"/>
        <v>0</v>
      </c>
      <c r="AT962" s="77">
        <f t="shared" ref="AT962" si="3258">1-(1-AS962)^(1/12)</f>
        <v>0</v>
      </c>
      <c r="AU962" s="77">
        <f t="shared" si="3126"/>
        <v>2.5000000000000001E-3</v>
      </c>
      <c r="AV962" s="77">
        <f t="shared" ref="AV962" si="3259">1-(1-AU962)^(1/12)</f>
        <v>2.0857243058891584E-4</v>
      </c>
      <c r="AX962" t="s">
        <v>178</v>
      </c>
      <c r="AY962" t="s">
        <v>162</v>
      </c>
      <c r="AZ962" s="197" t="str">
        <f t="shared" si="3206"/>
        <v>DIS_Standard_125</v>
      </c>
      <c r="BA962">
        <v>125</v>
      </c>
      <c r="BB962">
        <f>VLOOKUP($BA962,'[2]Standard DIS'!$Q$1:$X$542,4,FALSE)</f>
        <v>0</v>
      </c>
      <c r="BF962">
        <f>VLOOKUP($BA962,'[2]Standard DIS'!$Q$1:$X$542,2,FALSE)</f>
        <v>0.55665388655462178</v>
      </c>
      <c r="BH962">
        <f>VLOOKUP($BA962,'[2]Standard DIS'!$Q$1:$X$542,3,FALSE)</f>
        <v>0.44334611344537822</v>
      </c>
      <c r="BI962" s="77">
        <f t="shared" si="3113"/>
        <v>1</v>
      </c>
      <c r="BJ962" s="77">
        <f t="shared" si="3114"/>
        <v>5.8739580344012596E-2</v>
      </c>
      <c r="BK962" s="77">
        <f t="shared" si="3207"/>
        <v>4.767924338891838E-3</v>
      </c>
      <c r="BL962" s="79">
        <v>0</v>
      </c>
      <c r="BM962" s="77">
        <f t="shared" si="3128"/>
        <v>0</v>
      </c>
      <c r="BN962" s="77">
        <f t="shared" si="3129"/>
        <v>0</v>
      </c>
      <c r="BO962" s="77">
        <f t="shared" si="3130"/>
        <v>2.5000000000000001E-3</v>
      </c>
      <c r="BP962" s="77">
        <f t="shared" si="3131"/>
        <v>2.0809499864316017E-4</v>
      </c>
    </row>
    <row r="963" spans="1:68">
      <c r="A963" t="s">
        <v>175</v>
      </c>
      <c r="B963" t="s">
        <v>179</v>
      </c>
      <c r="C963" s="197" t="str">
        <f t="shared" si="3172"/>
        <v>Lifecycle_Dynamic_124</v>
      </c>
      <c r="D963">
        <v>124</v>
      </c>
      <c r="E963">
        <f>VLOOKUP($D963,'[2]LC Dynamic'!$Q$2:$U$542,2,FALSE)</f>
        <v>0.01</v>
      </c>
      <c r="F963">
        <f>VLOOKUP($D963,'[2]LC Dynamic'!$Q$2:$U$542,3,FALSE)</f>
        <v>0.24200000000000002</v>
      </c>
      <c r="G963">
        <f>VLOOKUP($D963,'[2]LC Dynamic'!$Q$2:$U$542,4,FALSE)</f>
        <v>0.748</v>
      </c>
      <c r="H963">
        <f>VLOOKUP($D963,'[2]LC Dynamic'!$Q$2:$U$542,5,FALSE)</f>
        <v>0</v>
      </c>
      <c r="I963" s="77">
        <f t="shared" si="3104"/>
        <v>1</v>
      </c>
      <c r="J963" s="77">
        <f t="shared" si="3105"/>
        <v>6.0120349999999996E-2</v>
      </c>
      <c r="K963" s="77">
        <f t="shared" si="3179"/>
        <v>4.8770576028347445E-3</v>
      </c>
      <c r="L963" s="76">
        <v>0</v>
      </c>
      <c r="M963" s="77">
        <f t="shared" si="3115"/>
        <v>0</v>
      </c>
      <c r="N963" s="77">
        <f t="shared" si="3116"/>
        <v>0</v>
      </c>
      <c r="O963" s="77">
        <f t="shared" si="3117"/>
        <v>6.8374000000000004E-3</v>
      </c>
      <c r="P963" s="77">
        <f t="shared" si="3118"/>
        <v>5.715767642590075E-4</v>
      </c>
      <c r="R963" t="s">
        <v>177</v>
      </c>
      <c r="S963" t="s">
        <v>179</v>
      </c>
      <c r="T963" s="197" t="str">
        <f t="shared" si="3173"/>
        <v>Autopilot_Dynamic_124</v>
      </c>
      <c r="U963">
        <v>124</v>
      </c>
      <c r="V963">
        <f>VLOOKUP($U963,'[2]AP Dynamic'!$Q$1:$T$542,2,FALSE)</f>
        <v>0.62349662391272298</v>
      </c>
      <c r="W963">
        <f>VLOOKUP($U963,'[2]AP Dynamic'!$Q$1:$T$542,3,FALSE)</f>
        <v>0.37650337608727702</v>
      </c>
      <c r="X963">
        <f>VLOOKUP($U963,'[2]AP Dynamic'!$Q$1:$T$542,4,FALSE)</f>
        <v>0</v>
      </c>
      <c r="Y963" s="77">
        <f t="shared" si="3174"/>
        <v>1</v>
      </c>
      <c r="Z963" s="77">
        <f t="shared" si="3180"/>
        <v>5.962691768244139E-2</v>
      </c>
      <c r="AA963" s="77">
        <f t="shared" si="3181"/>
        <v>4.8380726718135758E-3</v>
      </c>
      <c r="AB963" s="79">
        <v>1</v>
      </c>
      <c r="AC963" s="77">
        <f t="shared" si="3119"/>
        <v>7.7469932478254466E-3</v>
      </c>
      <c r="AD963" s="77">
        <f t="shared" ref="AD963" si="3260">1-(1-AC963)^(1/12)</f>
        <v>6.4788645479563201E-4</v>
      </c>
      <c r="AE963" s="77">
        <f t="shared" si="3121"/>
        <v>2.5000000000000001E-3</v>
      </c>
      <c r="AF963" s="77">
        <f t="shared" ref="AF963" si="3261">1-(1-AE963)^(1/12)</f>
        <v>2.0857243058891584E-4</v>
      </c>
      <c r="AH963" t="s">
        <v>175</v>
      </c>
      <c r="AI963" t="s">
        <v>179</v>
      </c>
      <c r="AJ963" s="197" t="str">
        <f t="shared" si="3108"/>
        <v>Lifecycle_Dynamic_124</v>
      </c>
      <c r="AK963">
        <v>124</v>
      </c>
      <c r="AL963">
        <f>VLOOKUP($U963,[2]Standard_Dynamic!$Q$1:$T$542,2,FALSE)</f>
        <v>0.54710492407489308</v>
      </c>
      <c r="AM963">
        <f>VLOOKUP($U963,[2]Standard_Dynamic!$Q$1:$T$542,3,FALSE)</f>
        <v>0.45289507592510697</v>
      </c>
      <c r="AN963">
        <f>VLOOKUP($U963,[2]Standard_Dynamic!$Q$1:$T$542,4,FALSE)</f>
        <v>0</v>
      </c>
      <c r="AO963" s="77">
        <f t="shared" si="3109"/>
        <v>1</v>
      </c>
      <c r="AP963" s="77">
        <f t="shared" si="3123"/>
        <v>5.86128178670942E-2</v>
      </c>
      <c r="AQ963" s="77">
        <f t="shared" si="3110"/>
        <v>4.7578987494150127E-3</v>
      </c>
      <c r="AR963" s="79">
        <v>0</v>
      </c>
      <c r="AS963" s="77">
        <f t="shared" si="3124"/>
        <v>0</v>
      </c>
      <c r="AT963" s="77">
        <f t="shared" ref="AT963" si="3262">1-(1-AS963)^(1/12)</f>
        <v>0</v>
      </c>
      <c r="AU963" s="77">
        <f t="shared" si="3126"/>
        <v>2.5000000000000001E-3</v>
      </c>
      <c r="AV963" s="77">
        <f t="shared" ref="AV963" si="3263">1-(1-AU963)^(1/12)</f>
        <v>2.0857243058891584E-4</v>
      </c>
      <c r="AX963" t="s">
        <v>178</v>
      </c>
      <c r="AY963" t="s">
        <v>162</v>
      </c>
      <c r="AZ963" s="197" t="str">
        <f t="shared" si="3206"/>
        <v>DIS_Standard_124</v>
      </c>
      <c r="BA963">
        <v>124</v>
      </c>
      <c r="BB963">
        <f>VLOOKUP($BA963,'[2]Standard DIS'!$Q$1:$X$542,4,FALSE)</f>
        <v>0</v>
      </c>
      <c r="BF963">
        <f>VLOOKUP($BA963,'[2]Standard DIS'!$Q$1:$X$542,2,FALSE)</f>
        <v>0.54710492407489308</v>
      </c>
      <c r="BH963">
        <f>VLOOKUP($BA963,'[2]Standard DIS'!$Q$1:$X$542,3,FALSE)</f>
        <v>0.45289507592510697</v>
      </c>
      <c r="BI963" s="77">
        <f t="shared" si="3113"/>
        <v>1</v>
      </c>
      <c r="BJ963" s="77">
        <f t="shared" si="3114"/>
        <v>5.86128178670942E-2</v>
      </c>
      <c r="BK963" s="77">
        <f t="shared" si="3207"/>
        <v>4.7578987494150127E-3</v>
      </c>
      <c r="BL963" s="79">
        <v>0</v>
      </c>
      <c r="BM963" s="77">
        <f t="shared" si="3128"/>
        <v>0</v>
      </c>
      <c r="BN963" s="77">
        <f t="shared" si="3129"/>
        <v>0</v>
      </c>
      <c r="BO963" s="77">
        <f t="shared" si="3130"/>
        <v>2.5000000000000001E-3</v>
      </c>
      <c r="BP963" s="77">
        <f t="shared" si="3131"/>
        <v>2.0809499864316017E-4</v>
      </c>
    </row>
    <row r="964" spans="1:68">
      <c r="A964" t="s">
        <v>175</v>
      </c>
      <c r="B964" t="s">
        <v>179</v>
      </c>
      <c r="C964" s="197" t="str">
        <f t="shared" si="3172"/>
        <v>Lifecycle_Dynamic_123</v>
      </c>
      <c r="D964">
        <v>123</v>
      </c>
      <c r="E964">
        <f>VLOOKUP($D964,'[2]LC Dynamic'!$Q$2:$U$542,2,FALSE)</f>
        <v>1.125E-2</v>
      </c>
      <c r="F964">
        <f>VLOOKUP($D964,'[2]LC Dynamic'!$Q$2:$U$542,3,FALSE)</f>
        <v>0.248</v>
      </c>
      <c r="G964">
        <f>VLOOKUP($D964,'[2]LC Dynamic'!$Q$2:$U$542,4,FALSE)</f>
        <v>0.74075000000000002</v>
      </c>
      <c r="H964">
        <f>VLOOKUP($D964,'[2]LC Dynamic'!$Q$2:$U$542,5,FALSE)</f>
        <v>0</v>
      </c>
      <c r="I964" s="77">
        <f t="shared" si="3104"/>
        <v>1</v>
      </c>
      <c r="J964" s="77">
        <f t="shared" si="3105"/>
        <v>5.9986493749999995E-2</v>
      </c>
      <c r="K964" s="77">
        <f t="shared" si="3179"/>
        <v>4.8664835785807714E-3</v>
      </c>
      <c r="L964" s="76">
        <v>0</v>
      </c>
      <c r="M964" s="77">
        <f t="shared" si="3115"/>
        <v>0</v>
      </c>
      <c r="N964" s="77">
        <f t="shared" si="3116"/>
        <v>0</v>
      </c>
      <c r="O964" s="77">
        <f t="shared" si="3117"/>
        <v>6.8236E-3</v>
      </c>
      <c r="P964" s="77">
        <f t="shared" si="3118"/>
        <v>5.7041951632474941E-4</v>
      </c>
      <c r="R964" t="s">
        <v>177</v>
      </c>
      <c r="S964" t="s">
        <v>179</v>
      </c>
      <c r="T964" s="197" t="str">
        <f t="shared" si="3173"/>
        <v>Autopilot_Dynamic_123</v>
      </c>
      <c r="U964">
        <v>123</v>
      </c>
      <c r="V964">
        <f>VLOOKUP($U964,'[2]AP Dynamic'!$Q$1:$T$542,2,FALSE)</f>
        <v>0.62349662391272298</v>
      </c>
      <c r="W964">
        <f>VLOOKUP($U964,'[2]AP Dynamic'!$Q$1:$T$542,3,FALSE)</f>
        <v>0.37650337608727702</v>
      </c>
      <c r="X964">
        <f>VLOOKUP($U964,'[2]AP Dynamic'!$Q$1:$T$542,4,FALSE)</f>
        <v>0</v>
      </c>
      <c r="Y964" s="77">
        <f t="shared" si="3174"/>
        <v>1</v>
      </c>
      <c r="Z964" s="77">
        <f t="shared" si="3180"/>
        <v>5.962691768244139E-2</v>
      </c>
      <c r="AA964" s="77">
        <f t="shared" si="3181"/>
        <v>4.8380726718135758E-3</v>
      </c>
      <c r="AB964" s="79">
        <v>1</v>
      </c>
      <c r="AC964" s="77">
        <f t="shared" si="3119"/>
        <v>7.7469932478254466E-3</v>
      </c>
      <c r="AD964" s="77">
        <f t="shared" ref="AD964" si="3264">1-(1-AC964)^(1/12)</f>
        <v>6.4788645479563201E-4</v>
      </c>
      <c r="AE964" s="77">
        <f t="shared" si="3121"/>
        <v>2.5000000000000001E-3</v>
      </c>
      <c r="AF964" s="77">
        <f t="shared" ref="AF964" si="3265">1-(1-AE964)^(1/12)</f>
        <v>2.0857243058891584E-4</v>
      </c>
      <c r="AH964" t="s">
        <v>175</v>
      </c>
      <c r="AI964" t="s">
        <v>179</v>
      </c>
      <c r="AJ964" s="197" t="str">
        <f t="shared" si="3108"/>
        <v>Lifecycle_Dynamic_123</v>
      </c>
      <c r="AK964">
        <v>123</v>
      </c>
      <c r="AL964">
        <f>VLOOKUP($U964,[2]Standard_Dynamic!$Q$1:$T$542,2,FALSE)</f>
        <v>0.53755596159516428</v>
      </c>
      <c r="AM964">
        <f>VLOOKUP($U964,[2]Standard_Dynamic!$Q$1:$T$542,3,FALSE)</f>
        <v>0.46244403840483572</v>
      </c>
      <c r="AN964">
        <f>VLOOKUP($U964,[2]Standard_Dynamic!$Q$1:$T$542,4,FALSE)</f>
        <v>0</v>
      </c>
      <c r="AO964" s="77">
        <f t="shared" si="3109"/>
        <v>1</v>
      </c>
      <c r="AP964" s="77">
        <f t="shared" si="3123"/>
        <v>5.848605539017579E-2</v>
      </c>
      <c r="AQ964" s="77">
        <f t="shared" si="3110"/>
        <v>4.7478720594160695E-3</v>
      </c>
      <c r="AR964" s="79">
        <v>0</v>
      </c>
      <c r="AS964" s="77">
        <f t="shared" si="3124"/>
        <v>0</v>
      </c>
      <c r="AT964" s="77">
        <f t="shared" ref="AT964" si="3266">1-(1-AS964)^(1/12)</f>
        <v>0</v>
      </c>
      <c r="AU964" s="77">
        <f t="shared" si="3126"/>
        <v>2.5000000000000001E-3</v>
      </c>
      <c r="AV964" s="77">
        <f t="shared" ref="AV964" si="3267">1-(1-AU964)^(1/12)</f>
        <v>2.0857243058891584E-4</v>
      </c>
      <c r="AX964" t="s">
        <v>178</v>
      </c>
      <c r="AY964" t="s">
        <v>162</v>
      </c>
      <c r="AZ964" s="197" t="str">
        <f t="shared" si="3206"/>
        <v>DIS_Standard_123</v>
      </c>
      <c r="BA964">
        <v>123</v>
      </c>
      <c r="BB964">
        <f>VLOOKUP($BA964,'[2]Standard DIS'!$Q$1:$X$542,4,FALSE)</f>
        <v>0</v>
      </c>
      <c r="BF964">
        <f>VLOOKUP($BA964,'[2]Standard DIS'!$Q$1:$X$542,2,FALSE)</f>
        <v>0.53755596159516428</v>
      </c>
      <c r="BH964">
        <f>VLOOKUP($BA964,'[2]Standard DIS'!$Q$1:$X$542,3,FALSE)</f>
        <v>0.46244403840483572</v>
      </c>
      <c r="BI964" s="77">
        <f t="shared" si="3113"/>
        <v>1</v>
      </c>
      <c r="BJ964" s="77">
        <f t="shared" si="3114"/>
        <v>5.848605539017579E-2</v>
      </c>
      <c r="BK964" s="77">
        <f t="shared" si="3207"/>
        <v>4.7478720594160695E-3</v>
      </c>
      <c r="BL964" s="79">
        <v>0</v>
      </c>
      <c r="BM964" s="77">
        <f t="shared" si="3128"/>
        <v>0</v>
      </c>
      <c r="BN964" s="77">
        <f t="shared" si="3129"/>
        <v>0</v>
      </c>
      <c r="BO964" s="77">
        <f t="shared" si="3130"/>
        <v>2.5000000000000001E-3</v>
      </c>
      <c r="BP964" s="77">
        <f t="shared" si="3131"/>
        <v>2.0809499864316017E-4</v>
      </c>
    </row>
    <row r="965" spans="1:68">
      <c r="A965" t="s">
        <v>175</v>
      </c>
      <c r="B965" t="s">
        <v>179</v>
      </c>
      <c r="C965" s="197" t="str">
        <f t="shared" si="3172"/>
        <v>Lifecycle_Dynamic_122</v>
      </c>
      <c r="D965">
        <v>122</v>
      </c>
      <c r="E965">
        <f>VLOOKUP($D965,'[2]LC Dynamic'!$Q$2:$U$542,2,FALSE)</f>
        <v>1.2499999999999999E-2</v>
      </c>
      <c r="F965">
        <f>VLOOKUP($D965,'[2]LC Dynamic'!$Q$2:$U$542,3,FALSE)</f>
        <v>0.254</v>
      </c>
      <c r="G965">
        <f>VLOOKUP($D965,'[2]LC Dynamic'!$Q$2:$U$542,4,FALSE)</f>
        <v>0.73350000000000004</v>
      </c>
      <c r="H965">
        <f>VLOOKUP($D965,'[2]LC Dynamic'!$Q$2:$U$542,5,FALSE)</f>
        <v>0</v>
      </c>
      <c r="I965" s="77">
        <f t="shared" si="3104"/>
        <v>1</v>
      </c>
      <c r="J965" s="77">
        <f t="shared" si="3105"/>
        <v>5.9852637499999993E-2</v>
      </c>
      <c r="K965" s="77">
        <f t="shared" si="3179"/>
        <v>4.8559083302317507E-3</v>
      </c>
      <c r="L965" s="76">
        <v>0</v>
      </c>
      <c r="M965" s="77">
        <f t="shared" si="3115"/>
        <v>0</v>
      </c>
      <c r="N965" s="77">
        <f t="shared" si="3116"/>
        <v>0</v>
      </c>
      <c r="O965" s="77">
        <f t="shared" si="3117"/>
        <v>6.8097999999999995E-3</v>
      </c>
      <c r="P965" s="77">
        <f t="shared" si="3118"/>
        <v>5.6926228313025629E-4</v>
      </c>
      <c r="R965" t="s">
        <v>177</v>
      </c>
      <c r="S965" t="s">
        <v>179</v>
      </c>
      <c r="T965" s="197" t="str">
        <f t="shared" si="3173"/>
        <v>Autopilot_Dynamic_122</v>
      </c>
      <c r="U965">
        <v>122</v>
      </c>
      <c r="V965">
        <f>VLOOKUP($U965,'[2]AP Dynamic'!$Q$1:$T$542,2,FALSE)</f>
        <v>0.62349662391272298</v>
      </c>
      <c r="W965">
        <f>VLOOKUP($U965,'[2]AP Dynamic'!$Q$1:$T$542,3,FALSE)</f>
        <v>0.37650337608727702</v>
      </c>
      <c r="X965">
        <f>VLOOKUP($U965,'[2]AP Dynamic'!$Q$1:$T$542,4,FALSE)</f>
        <v>0</v>
      </c>
      <c r="Y965" s="77">
        <f t="shared" si="3174"/>
        <v>1</v>
      </c>
      <c r="Z965" s="77">
        <f t="shared" si="3180"/>
        <v>5.962691768244139E-2</v>
      </c>
      <c r="AA965" s="77">
        <f t="shared" si="3181"/>
        <v>4.8380726718135758E-3</v>
      </c>
      <c r="AB965" s="79">
        <v>1</v>
      </c>
      <c r="AC965" s="77">
        <f t="shared" si="3119"/>
        <v>7.7469932478254466E-3</v>
      </c>
      <c r="AD965" s="77">
        <f t="shared" ref="AD965" si="3268">1-(1-AC965)^(1/12)</f>
        <v>6.4788645479563201E-4</v>
      </c>
      <c r="AE965" s="77">
        <f t="shared" si="3121"/>
        <v>2.5000000000000001E-3</v>
      </c>
      <c r="AF965" s="77">
        <f t="shared" ref="AF965" si="3269">1-(1-AE965)^(1/12)</f>
        <v>2.0857243058891584E-4</v>
      </c>
      <c r="AH965" t="s">
        <v>175</v>
      </c>
      <c r="AI965" t="s">
        <v>179</v>
      </c>
      <c r="AJ965" s="197" t="str">
        <f t="shared" si="3108"/>
        <v>Lifecycle_Dynamic_122</v>
      </c>
      <c r="AK965">
        <v>122</v>
      </c>
      <c r="AL965">
        <f>VLOOKUP($U965,[2]Standard_Dynamic!$Q$1:$T$542,2,FALSE)</f>
        <v>0.52800699911543558</v>
      </c>
      <c r="AM965">
        <f>VLOOKUP($U965,[2]Standard_Dynamic!$Q$1:$T$542,3,FALSE)</f>
        <v>0.47199300088456442</v>
      </c>
      <c r="AN965">
        <f>VLOOKUP($U965,[2]Standard_Dynamic!$Q$1:$T$542,4,FALSE)</f>
        <v>0</v>
      </c>
      <c r="AO965" s="77">
        <f t="shared" si="3109"/>
        <v>1</v>
      </c>
      <c r="AP965" s="77">
        <f t="shared" si="3123"/>
        <v>5.83592929132574E-2</v>
      </c>
      <c r="AQ965" s="77">
        <f t="shared" si="3110"/>
        <v>4.7378442686423217E-3</v>
      </c>
      <c r="AR965" s="79">
        <v>0</v>
      </c>
      <c r="AS965" s="77">
        <f t="shared" si="3124"/>
        <v>0</v>
      </c>
      <c r="AT965" s="77">
        <f t="shared" ref="AT965" si="3270">1-(1-AS965)^(1/12)</f>
        <v>0</v>
      </c>
      <c r="AU965" s="77">
        <f t="shared" si="3126"/>
        <v>2.5000000000000001E-3</v>
      </c>
      <c r="AV965" s="77">
        <f t="shared" ref="AV965" si="3271">1-(1-AU965)^(1/12)</f>
        <v>2.0857243058891584E-4</v>
      </c>
      <c r="AX965" t="s">
        <v>178</v>
      </c>
      <c r="AY965" t="s">
        <v>162</v>
      </c>
      <c r="AZ965" s="197" t="str">
        <f t="shared" si="3206"/>
        <v>DIS_Standard_122</v>
      </c>
      <c r="BA965">
        <v>122</v>
      </c>
      <c r="BB965">
        <f>VLOOKUP($BA965,'[2]Standard DIS'!$Q$1:$X$542,4,FALSE)</f>
        <v>0</v>
      </c>
      <c r="BF965">
        <f>VLOOKUP($BA965,'[2]Standard DIS'!$Q$1:$X$542,2,FALSE)</f>
        <v>0.52800699911543558</v>
      </c>
      <c r="BH965">
        <f>VLOOKUP($BA965,'[2]Standard DIS'!$Q$1:$X$542,3,FALSE)</f>
        <v>0.47199300088456442</v>
      </c>
      <c r="BI965" s="77">
        <f t="shared" si="3113"/>
        <v>1</v>
      </c>
      <c r="BJ965" s="77">
        <f t="shared" si="3114"/>
        <v>5.83592929132574E-2</v>
      </c>
      <c r="BK965" s="77">
        <f t="shared" si="3207"/>
        <v>4.7378442686423217E-3</v>
      </c>
      <c r="BL965" s="79">
        <v>0</v>
      </c>
      <c r="BM965" s="77">
        <f t="shared" si="3128"/>
        <v>0</v>
      </c>
      <c r="BN965" s="77">
        <f t="shared" si="3129"/>
        <v>0</v>
      </c>
      <c r="BO965" s="77">
        <f t="shared" si="3130"/>
        <v>2.5000000000000001E-3</v>
      </c>
      <c r="BP965" s="77">
        <f t="shared" si="3131"/>
        <v>2.0809499864316017E-4</v>
      </c>
    </row>
    <row r="966" spans="1:68">
      <c r="A966" t="s">
        <v>175</v>
      </c>
      <c r="B966" t="s">
        <v>179</v>
      </c>
      <c r="C966" s="197" t="str">
        <f t="shared" si="3172"/>
        <v>Lifecycle_Dynamic_121</v>
      </c>
      <c r="D966">
        <v>121</v>
      </c>
      <c r="E966">
        <f>VLOOKUP($D966,'[2]LC Dynamic'!$Q$2:$U$542,2,FALSE)</f>
        <v>1.375E-2</v>
      </c>
      <c r="F966">
        <f>VLOOKUP($D966,'[2]LC Dynamic'!$Q$2:$U$542,3,FALSE)</f>
        <v>0.26</v>
      </c>
      <c r="G966">
        <f>VLOOKUP($D966,'[2]LC Dynamic'!$Q$2:$U$542,4,FALSE)</f>
        <v>0.72624999999999995</v>
      </c>
      <c r="H966">
        <f>VLOOKUP($D966,'[2]LC Dynamic'!$Q$2:$U$542,5,FALSE)</f>
        <v>0</v>
      </c>
      <c r="I966" s="77">
        <f t="shared" si="3104"/>
        <v>1</v>
      </c>
      <c r="J966" s="77">
        <f t="shared" si="3105"/>
        <v>5.9718781249999991E-2</v>
      </c>
      <c r="K966" s="77">
        <f t="shared" si="3179"/>
        <v>4.8453318574910309E-3</v>
      </c>
      <c r="L966" s="76">
        <v>0</v>
      </c>
      <c r="M966" s="77">
        <f t="shared" si="3115"/>
        <v>0</v>
      </c>
      <c r="N966" s="77">
        <f t="shared" si="3116"/>
        <v>0</v>
      </c>
      <c r="O966" s="77">
        <f t="shared" si="3117"/>
        <v>6.7959999999999991E-3</v>
      </c>
      <c r="P966" s="77">
        <f t="shared" si="3118"/>
        <v>5.6810506467508404E-4</v>
      </c>
      <c r="R966" t="s">
        <v>177</v>
      </c>
      <c r="S966" t="s">
        <v>179</v>
      </c>
      <c r="T966" s="197" t="str">
        <f t="shared" si="3173"/>
        <v>Autopilot_Dynamic_121</v>
      </c>
      <c r="U966">
        <v>121</v>
      </c>
      <c r="V966">
        <f>VLOOKUP($U966,'[2]AP Dynamic'!$Q$1:$T$542,2,FALSE)</f>
        <v>0.62349662391272298</v>
      </c>
      <c r="W966">
        <f>VLOOKUP($U966,'[2]AP Dynamic'!$Q$1:$T$542,3,FALSE)</f>
        <v>0.37650337608727702</v>
      </c>
      <c r="X966">
        <f>VLOOKUP($U966,'[2]AP Dynamic'!$Q$1:$T$542,4,FALSE)</f>
        <v>0</v>
      </c>
      <c r="Y966" s="77">
        <f t="shared" si="3174"/>
        <v>1</v>
      </c>
      <c r="Z966" s="77">
        <f t="shared" si="3180"/>
        <v>5.962691768244139E-2</v>
      </c>
      <c r="AA966" s="77">
        <f t="shared" si="3181"/>
        <v>4.8380726718135758E-3</v>
      </c>
      <c r="AB966" s="79">
        <v>1</v>
      </c>
      <c r="AC966" s="77">
        <f t="shared" si="3119"/>
        <v>7.7469932478254466E-3</v>
      </c>
      <c r="AD966" s="77">
        <f t="shared" ref="AD966" si="3272">1-(1-AC966)^(1/12)</f>
        <v>6.4788645479563201E-4</v>
      </c>
      <c r="AE966" s="77">
        <f t="shared" si="3121"/>
        <v>2.5000000000000001E-3</v>
      </c>
      <c r="AF966" s="77">
        <f t="shared" ref="AF966" si="3273">1-(1-AE966)^(1/12)</f>
        <v>2.0857243058891584E-4</v>
      </c>
      <c r="AH966" t="s">
        <v>175</v>
      </c>
      <c r="AI966" t="s">
        <v>179</v>
      </c>
      <c r="AJ966" s="197" t="str">
        <f t="shared" si="3108"/>
        <v>Lifecycle_Dynamic_121</v>
      </c>
      <c r="AK966">
        <v>121</v>
      </c>
      <c r="AL966">
        <f>VLOOKUP($U966,[2]Standard_Dynamic!$Q$1:$T$542,2,FALSE)</f>
        <v>0.51845803663570678</v>
      </c>
      <c r="AM966">
        <f>VLOOKUP($U966,[2]Standard_Dynamic!$Q$1:$T$542,3,FALSE)</f>
        <v>0.48154196336429317</v>
      </c>
      <c r="AN966">
        <f>VLOOKUP($U966,[2]Standard_Dynamic!$Q$1:$T$542,4,FALSE)</f>
        <v>0</v>
      </c>
      <c r="AO966" s="77">
        <f t="shared" si="3109"/>
        <v>1</v>
      </c>
      <c r="AP966" s="77">
        <f t="shared" si="3123"/>
        <v>5.8232530436338997E-2</v>
      </c>
      <c r="AQ966" s="77">
        <f t="shared" si="3110"/>
        <v>4.7278153768413045E-3</v>
      </c>
      <c r="AR966" s="79">
        <v>0</v>
      </c>
      <c r="AS966" s="77">
        <f t="shared" si="3124"/>
        <v>0</v>
      </c>
      <c r="AT966" s="77">
        <f t="shared" ref="AT966" si="3274">1-(1-AS966)^(1/12)</f>
        <v>0</v>
      </c>
      <c r="AU966" s="77">
        <f t="shared" si="3126"/>
        <v>2.5000000000000001E-3</v>
      </c>
      <c r="AV966" s="77">
        <f t="shared" ref="AV966" si="3275">1-(1-AU966)^(1/12)</f>
        <v>2.0857243058891584E-4</v>
      </c>
      <c r="AX966" t="s">
        <v>178</v>
      </c>
      <c r="AY966" t="s">
        <v>162</v>
      </c>
      <c r="AZ966" s="197" t="str">
        <f t="shared" si="3206"/>
        <v>DIS_Standard_121</v>
      </c>
      <c r="BA966">
        <v>121</v>
      </c>
      <c r="BB966">
        <f>VLOOKUP($BA966,'[2]Standard DIS'!$Q$1:$X$542,4,FALSE)</f>
        <v>0</v>
      </c>
      <c r="BF966">
        <f>VLOOKUP($BA966,'[2]Standard DIS'!$Q$1:$X$542,2,FALSE)</f>
        <v>0.51845803663570678</v>
      </c>
      <c r="BH966">
        <f>VLOOKUP($BA966,'[2]Standard DIS'!$Q$1:$X$542,3,FALSE)</f>
        <v>0.48154196336429317</v>
      </c>
      <c r="BI966" s="77">
        <f t="shared" si="3113"/>
        <v>1</v>
      </c>
      <c r="BJ966" s="77">
        <f t="shared" si="3114"/>
        <v>5.8232530436338997E-2</v>
      </c>
      <c r="BK966" s="77">
        <f t="shared" si="3207"/>
        <v>4.7278153768413045E-3</v>
      </c>
      <c r="BL966" s="79">
        <v>0</v>
      </c>
      <c r="BM966" s="77">
        <f t="shared" si="3128"/>
        <v>0</v>
      </c>
      <c r="BN966" s="77">
        <f t="shared" si="3129"/>
        <v>0</v>
      </c>
      <c r="BO966" s="77">
        <f t="shared" si="3130"/>
        <v>2.5000000000000001E-3</v>
      </c>
      <c r="BP966" s="77">
        <f t="shared" si="3131"/>
        <v>2.0809499864316017E-4</v>
      </c>
    </row>
    <row r="967" spans="1:68">
      <c r="A967" t="s">
        <v>175</v>
      </c>
      <c r="B967" t="s">
        <v>179</v>
      </c>
      <c r="C967" s="197" t="str">
        <f t="shared" si="3172"/>
        <v>Lifecycle_Dynamic_120</v>
      </c>
      <c r="D967">
        <v>120</v>
      </c>
      <c r="E967">
        <f>VLOOKUP($D967,'[2]LC Dynamic'!$Q$2:$U$542,2,FALSE)</f>
        <v>1.4999999999999999E-2</v>
      </c>
      <c r="F967">
        <f>VLOOKUP($D967,'[2]LC Dynamic'!$Q$2:$U$542,3,FALSE)</f>
        <v>0.26600000000000001</v>
      </c>
      <c r="G967">
        <f>VLOOKUP($D967,'[2]LC Dynamic'!$Q$2:$U$542,4,FALSE)</f>
        <v>0.71899999999999997</v>
      </c>
      <c r="H967">
        <f>VLOOKUP($D967,'[2]LC Dynamic'!$Q$2:$U$542,5,FALSE)</f>
        <v>0</v>
      </c>
      <c r="I967" s="77">
        <f t="shared" si="3104"/>
        <v>1</v>
      </c>
      <c r="J967" s="77">
        <f t="shared" si="3105"/>
        <v>5.958492499999999E-2</v>
      </c>
      <c r="K967" s="77">
        <f t="shared" si="3179"/>
        <v>4.8347541600624044E-3</v>
      </c>
      <c r="L967" s="76">
        <v>0</v>
      </c>
      <c r="M967" s="77">
        <f t="shared" si="3115"/>
        <v>0</v>
      </c>
      <c r="N967" s="77">
        <f t="shared" si="3116"/>
        <v>0</v>
      </c>
      <c r="O967" s="77">
        <f t="shared" si="3117"/>
        <v>6.7821999999999995E-3</v>
      </c>
      <c r="P967" s="77">
        <f t="shared" si="3118"/>
        <v>5.6694786095867755E-4</v>
      </c>
      <c r="R967" t="s">
        <v>177</v>
      </c>
      <c r="S967" t="s">
        <v>179</v>
      </c>
      <c r="T967" s="197" t="str">
        <f t="shared" si="3173"/>
        <v>Autopilot_Dynamic_120</v>
      </c>
      <c r="U967">
        <v>120</v>
      </c>
      <c r="V967">
        <f>VLOOKUP($U967,'[2]AP Dynamic'!$Q$1:$T$542,2,FALSE)</f>
        <v>0.50890907415597808</v>
      </c>
      <c r="W967">
        <f>VLOOKUP($U967,'[2]AP Dynamic'!$Q$1:$T$542,3,FALSE)</f>
        <v>0.49109092584402192</v>
      </c>
      <c r="X967">
        <f>VLOOKUP($U967,'[2]AP Dynamic'!$Q$1:$T$542,4,FALSE)</f>
        <v>0</v>
      </c>
      <c r="Y967" s="77">
        <f t="shared" si="3174"/>
        <v>1</v>
      </c>
      <c r="Z967" s="77">
        <f t="shared" si="3180"/>
        <v>5.8105767959420601E-2</v>
      </c>
      <c r="AA967" s="77">
        <f t="shared" si="3181"/>
        <v>4.7177853837598871E-3</v>
      </c>
      <c r="AB967" s="79">
        <v>1</v>
      </c>
      <c r="AC967" s="77">
        <f t="shared" si="3119"/>
        <v>7.5178181483119564E-3</v>
      </c>
      <c r="AD967" s="77">
        <f t="shared" ref="AD967" si="3276">1-(1-AC967)^(1/12)</f>
        <v>6.2865392894839722E-4</v>
      </c>
      <c r="AE967" s="77">
        <f t="shared" si="3121"/>
        <v>2.5000000000000001E-3</v>
      </c>
      <c r="AF967" s="77">
        <f t="shared" ref="AF967" si="3277">1-(1-AE967)^(1/12)</f>
        <v>2.0857243058891584E-4</v>
      </c>
      <c r="AH967" t="s">
        <v>175</v>
      </c>
      <c r="AI967" t="s">
        <v>179</v>
      </c>
      <c r="AJ967" s="197" t="str">
        <f t="shared" si="3108"/>
        <v>Lifecycle_Dynamic_120</v>
      </c>
      <c r="AK967">
        <v>120</v>
      </c>
      <c r="AL967">
        <f>VLOOKUP($U967,[2]Standard_Dynamic!$Q$1:$T$542,2,FALSE)</f>
        <v>0.50890907415597808</v>
      </c>
      <c r="AM967">
        <f>VLOOKUP($U967,[2]Standard_Dynamic!$Q$1:$T$542,3,FALSE)</f>
        <v>0.49109092584402192</v>
      </c>
      <c r="AN967">
        <f>VLOOKUP($U967,[2]Standard_Dynamic!$Q$1:$T$542,4,FALSE)</f>
        <v>0</v>
      </c>
      <c r="AO967" s="77">
        <f t="shared" si="3109"/>
        <v>1</v>
      </c>
      <c r="AP967" s="77">
        <f t="shared" si="3123"/>
        <v>5.8105767959420601E-2</v>
      </c>
      <c r="AQ967" s="77">
        <f t="shared" si="3110"/>
        <v>4.7177853837598871E-3</v>
      </c>
      <c r="AR967" s="79">
        <v>0</v>
      </c>
      <c r="AS967" s="77">
        <f t="shared" si="3124"/>
        <v>0</v>
      </c>
      <c r="AT967" s="77">
        <f t="shared" ref="AT967" si="3278">1-(1-AS967)^(1/12)</f>
        <v>0</v>
      </c>
      <c r="AU967" s="77">
        <f t="shared" si="3126"/>
        <v>2.5000000000000001E-3</v>
      </c>
      <c r="AV967" s="77">
        <f t="shared" ref="AV967" si="3279">1-(1-AU967)^(1/12)</f>
        <v>2.0857243058891584E-4</v>
      </c>
      <c r="AX967" t="s">
        <v>178</v>
      </c>
      <c r="AY967" t="s">
        <v>162</v>
      </c>
      <c r="AZ967" s="197" t="str">
        <f t="shared" si="3206"/>
        <v>DIS_Standard_120</v>
      </c>
      <c r="BA967">
        <v>120</v>
      </c>
      <c r="BB967">
        <f>VLOOKUP($BA967,'[2]Standard DIS'!$Q$1:$X$542,4,FALSE)</f>
        <v>0</v>
      </c>
      <c r="BF967">
        <f>VLOOKUP($BA967,'[2]Standard DIS'!$Q$1:$X$542,2,FALSE)</f>
        <v>0.50890907415597808</v>
      </c>
      <c r="BH967">
        <f>VLOOKUP($BA967,'[2]Standard DIS'!$Q$1:$X$542,3,FALSE)</f>
        <v>0.49109092584402192</v>
      </c>
      <c r="BI967" s="77">
        <f t="shared" si="3113"/>
        <v>1</v>
      </c>
      <c r="BJ967" s="77">
        <f t="shared" si="3114"/>
        <v>5.8105767959420601E-2</v>
      </c>
      <c r="BK967" s="77">
        <f t="shared" si="3207"/>
        <v>4.7177853837598871E-3</v>
      </c>
      <c r="BL967" s="79">
        <v>0</v>
      </c>
      <c r="BM967" s="77">
        <f t="shared" si="3128"/>
        <v>0</v>
      </c>
      <c r="BN967" s="77">
        <f t="shared" si="3129"/>
        <v>0</v>
      </c>
      <c r="BO967" s="77">
        <f t="shared" si="3130"/>
        <v>2.5000000000000001E-3</v>
      </c>
      <c r="BP967" s="77">
        <f t="shared" si="3131"/>
        <v>2.0809499864316017E-4</v>
      </c>
    </row>
    <row r="968" spans="1:68">
      <c r="A968" t="s">
        <v>175</v>
      </c>
      <c r="B968" t="s">
        <v>179</v>
      </c>
      <c r="C968" s="197" t="str">
        <f t="shared" si="3172"/>
        <v>Lifecycle_Dynamic_119</v>
      </c>
      <c r="D968">
        <v>119</v>
      </c>
      <c r="E968">
        <f>VLOOKUP($D968,'[2]LC Dynamic'!$Q$2:$U$542,2,FALSE)</f>
        <v>1.6083333333333331E-2</v>
      </c>
      <c r="F968">
        <f>VLOOKUP($D968,'[2]LC Dynamic'!$Q$2:$U$542,3,FALSE)</f>
        <v>0.27074999999999999</v>
      </c>
      <c r="G968">
        <f>VLOOKUP($D968,'[2]LC Dynamic'!$Q$2:$U$542,4,FALSE)</f>
        <v>0.71316666666666662</v>
      </c>
      <c r="H968">
        <f>VLOOKUP($D968,'[2]LC Dynamic'!$Q$2:$U$542,5,FALSE)</f>
        <v>0</v>
      </c>
      <c r="I968" s="77">
        <f t="shared" si="3104"/>
        <v>1</v>
      </c>
      <c r="J968" s="77">
        <f t="shared" si="3105"/>
        <v>5.9476881249999988E-2</v>
      </c>
      <c r="K968" s="77">
        <f t="shared" si="3179"/>
        <v>4.8262153455849166E-3</v>
      </c>
      <c r="L968" s="76">
        <v>0</v>
      </c>
      <c r="M968" s="77">
        <f t="shared" si="3115"/>
        <v>0</v>
      </c>
      <c r="N968" s="77">
        <f t="shared" si="3116"/>
        <v>0</v>
      </c>
      <c r="O968" s="77">
        <f t="shared" si="3117"/>
        <v>6.7708249999999994E-3</v>
      </c>
      <c r="P968" s="77">
        <f t="shared" si="3118"/>
        <v>5.6599401752732703E-4</v>
      </c>
      <c r="R968" t="s">
        <v>177</v>
      </c>
      <c r="S968" t="s">
        <v>179</v>
      </c>
      <c r="T968" s="197" t="str">
        <f t="shared" si="3173"/>
        <v>Autopilot_Dynamic_119</v>
      </c>
      <c r="U968">
        <v>119</v>
      </c>
      <c r="V968">
        <f>VLOOKUP($U968,'[2]AP Dynamic'!$Q$1:$T$542,2,FALSE)</f>
        <v>0.50890907415597808</v>
      </c>
      <c r="W968">
        <f>VLOOKUP($U968,'[2]AP Dynamic'!$Q$1:$T$542,3,FALSE)</f>
        <v>0.49109092584402192</v>
      </c>
      <c r="X968">
        <f>VLOOKUP($U968,'[2]AP Dynamic'!$Q$1:$T$542,4,FALSE)</f>
        <v>0</v>
      </c>
      <c r="Y968" s="77">
        <f t="shared" si="3174"/>
        <v>1</v>
      </c>
      <c r="Z968" s="77">
        <f t="shared" si="3180"/>
        <v>5.8105767959420601E-2</v>
      </c>
      <c r="AA968" s="77">
        <f t="shared" si="3181"/>
        <v>4.7177853837598871E-3</v>
      </c>
      <c r="AB968" s="79">
        <v>1</v>
      </c>
      <c r="AC968" s="77">
        <f t="shared" si="3119"/>
        <v>7.5178181483119564E-3</v>
      </c>
      <c r="AD968" s="77">
        <f t="shared" ref="AD968" si="3280">1-(1-AC968)^(1/12)</f>
        <v>6.2865392894839722E-4</v>
      </c>
      <c r="AE968" s="77">
        <f t="shared" si="3121"/>
        <v>2.5000000000000001E-3</v>
      </c>
      <c r="AF968" s="77">
        <f t="shared" ref="AF968" si="3281">1-(1-AE968)^(1/12)</f>
        <v>2.0857243058891584E-4</v>
      </c>
      <c r="AH968" t="s">
        <v>175</v>
      </c>
      <c r="AI968" t="s">
        <v>179</v>
      </c>
      <c r="AJ968" s="197" t="str">
        <f t="shared" si="3108"/>
        <v>Lifecycle_Dynamic_119</v>
      </c>
      <c r="AK968">
        <v>119</v>
      </c>
      <c r="AL968">
        <f>VLOOKUP($U968,[2]Standard_Dynamic!$Q$1:$T$542,2,FALSE)</f>
        <v>0.50118879981817277</v>
      </c>
      <c r="AM968">
        <f>VLOOKUP($U968,[2]Standard_Dynamic!$Q$1:$T$542,3,FALSE)</f>
        <v>0.49881120018182717</v>
      </c>
      <c r="AN968">
        <f>VLOOKUP($U968,[2]Standard_Dynamic!$Q$1:$T$542,4,FALSE)</f>
        <v>0</v>
      </c>
      <c r="AO968" s="77">
        <f t="shared" si="3109"/>
        <v>1</v>
      </c>
      <c r="AP968" s="77">
        <f t="shared" si="3123"/>
        <v>5.8003281317586239E-2</v>
      </c>
      <c r="AQ968" s="77">
        <f t="shared" si="3110"/>
        <v>4.7096753940008007E-3</v>
      </c>
      <c r="AR968" s="79">
        <v>0</v>
      </c>
      <c r="AS968" s="77">
        <f t="shared" si="3124"/>
        <v>0</v>
      </c>
      <c r="AT968" s="77">
        <f t="shared" ref="AT968" si="3282">1-(1-AS968)^(1/12)</f>
        <v>0</v>
      </c>
      <c r="AU968" s="77">
        <f t="shared" si="3126"/>
        <v>2.4999999999999996E-3</v>
      </c>
      <c r="AV968" s="77">
        <f t="shared" ref="AV968" si="3283">1-(1-AU968)^(1/12)</f>
        <v>2.0857243058891584E-4</v>
      </c>
      <c r="AX968" t="s">
        <v>178</v>
      </c>
      <c r="AY968" t="s">
        <v>162</v>
      </c>
      <c r="AZ968" s="197" t="str">
        <f t="shared" si="3206"/>
        <v>DIS_Standard_119</v>
      </c>
      <c r="BA968">
        <v>119</v>
      </c>
      <c r="BB968">
        <f>VLOOKUP($BA968,'[2]Standard DIS'!$Q$1:$X$542,4,FALSE)</f>
        <v>0</v>
      </c>
      <c r="BF968">
        <f>VLOOKUP($BA968,'[2]Standard DIS'!$Q$1:$X$542,2,FALSE)</f>
        <v>0.50118879981817277</v>
      </c>
      <c r="BH968">
        <f>VLOOKUP($BA968,'[2]Standard DIS'!$Q$1:$X$542,3,FALSE)</f>
        <v>0.49881120018182717</v>
      </c>
      <c r="BI968" s="77">
        <f t="shared" si="3113"/>
        <v>1</v>
      </c>
      <c r="BJ968" s="77">
        <f t="shared" si="3114"/>
        <v>5.8003281317586239E-2</v>
      </c>
      <c r="BK968" s="77">
        <f t="shared" si="3207"/>
        <v>4.7096753940008007E-3</v>
      </c>
      <c r="BL968" s="79">
        <v>0</v>
      </c>
      <c r="BM968" s="77">
        <f t="shared" si="3128"/>
        <v>0</v>
      </c>
      <c r="BN968" s="77">
        <f t="shared" si="3129"/>
        <v>0</v>
      </c>
      <c r="BO968" s="77">
        <f t="shared" si="3130"/>
        <v>2.4999999999999996E-3</v>
      </c>
      <c r="BP968" s="77">
        <f t="shared" si="3131"/>
        <v>2.0809499864316017E-4</v>
      </c>
    </row>
    <row r="969" spans="1:68">
      <c r="A969" t="s">
        <v>175</v>
      </c>
      <c r="B969" t="s">
        <v>179</v>
      </c>
      <c r="C969" s="197" t="str">
        <f t="shared" si="3172"/>
        <v>Lifecycle_Dynamic_118</v>
      </c>
      <c r="D969">
        <v>118</v>
      </c>
      <c r="E969">
        <f>VLOOKUP($D969,'[2]LC Dynamic'!$Q$2:$U$542,2,FALSE)</f>
        <v>1.7166666666666667E-2</v>
      </c>
      <c r="F969">
        <f>VLOOKUP($D969,'[2]LC Dynamic'!$Q$2:$U$542,3,FALSE)</f>
        <v>0.27550000000000002</v>
      </c>
      <c r="G969">
        <f>VLOOKUP($D969,'[2]LC Dynamic'!$Q$2:$U$542,4,FALSE)</f>
        <v>0.70733333333333337</v>
      </c>
      <c r="H969">
        <f>VLOOKUP($D969,'[2]LC Dynamic'!$Q$2:$U$542,5,FALSE)</f>
        <v>0</v>
      </c>
      <c r="I969" s="77">
        <f t="shared" si="3104"/>
        <v>1</v>
      </c>
      <c r="J969" s="77">
        <f t="shared" si="3105"/>
        <v>5.9368837499999993E-2</v>
      </c>
      <c r="K969" s="77">
        <f t="shared" si="3179"/>
        <v>4.8176757328599606E-3</v>
      </c>
      <c r="L969" s="76">
        <v>0</v>
      </c>
      <c r="M969" s="77">
        <f t="shared" si="3115"/>
        <v>0</v>
      </c>
      <c r="N969" s="77">
        <f t="shared" si="3116"/>
        <v>0</v>
      </c>
      <c r="O969" s="77">
        <f t="shared" si="3117"/>
        <v>6.7594500000000002E-3</v>
      </c>
      <c r="P969" s="77">
        <f t="shared" si="3118"/>
        <v>5.6504018410952206E-4</v>
      </c>
      <c r="R969" t="s">
        <v>177</v>
      </c>
      <c r="S969" t="s">
        <v>179</v>
      </c>
      <c r="T969" s="197" t="str">
        <f t="shared" si="3173"/>
        <v>Autopilot_Dynamic_118</v>
      </c>
      <c r="U969">
        <v>118</v>
      </c>
      <c r="V969">
        <f>VLOOKUP($U969,'[2]AP Dynamic'!$Q$1:$T$542,2,FALSE)</f>
        <v>0.50890907415597808</v>
      </c>
      <c r="W969">
        <f>VLOOKUP($U969,'[2]AP Dynamic'!$Q$1:$T$542,3,FALSE)</f>
        <v>0.49109092584402192</v>
      </c>
      <c r="X969">
        <f>VLOOKUP($U969,'[2]AP Dynamic'!$Q$1:$T$542,4,FALSE)</f>
        <v>0</v>
      </c>
      <c r="Y969" s="77">
        <f t="shared" si="3174"/>
        <v>1</v>
      </c>
      <c r="Z969" s="77">
        <f t="shared" si="3180"/>
        <v>5.8105767959420601E-2</v>
      </c>
      <c r="AA969" s="77">
        <f t="shared" si="3181"/>
        <v>4.7177853837598871E-3</v>
      </c>
      <c r="AB969" s="79">
        <v>1</v>
      </c>
      <c r="AC969" s="77">
        <f t="shared" si="3119"/>
        <v>7.5178181483119564E-3</v>
      </c>
      <c r="AD969" s="77">
        <f t="shared" ref="AD969" si="3284">1-(1-AC969)^(1/12)</f>
        <v>6.2865392894839722E-4</v>
      </c>
      <c r="AE969" s="77">
        <f t="shared" si="3121"/>
        <v>2.5000000000000001E-3</v>
      </c>
      <c r="AF969" s="77">
        <f t="shared" ref="AF969" si="3285">1-(1-AE969)^(1/12)</f>
        <v>2.0857243058891584E-4</v>
      </c>
      <c r="AH969" t="s">
        <v>175</v>
      </c>
      <c r="AI969" t="s">
        <v>179</v>
      </c>
      <c r="AJ969" s="197" t="str">
        <f t="shared" si="3108"/>
        <v>Lifecycle_Dynamic_118</v>
      </c>
      <c r="AK969">
        <v>118</v>
      </c>
      <c r="AL969">
        <f>VLOOKUP($U969,[2]Standard_Dynamic!$Q$1:$T$542,2,FALSE)</f>
        <v>0.49346852548036751</v>
      </c>
      <c r="AM969">
        <f>VLOOKUP($U969,[2]Standard_Dynamic!$Q$1:$T$542,3,FALSE)</f>
        <v>0.50653147451963243</v>
      </c>
      <c r="AN969">
        <f>VLOOKUP($U969,[2]Standard_Dynamic!$Q$1:$T$542,4,FALSE)</f>
        <v>0</v>
      </c>
      <c r="AO969" s="77">
        <f t="shared" si="3109"/>
        <v>1</v>
      </c>
      <c r="AP969" s="77">
        <f t="shared" si="3123"/>
        <v>5.7900794675751863E-2</v>
      </c>
      <c r="AQ969" s="77">
        <f t="shared" si="3110"/>
        <v>4.7015646840780079E-3</v>
      </c>
      <c r="AR969" s="79">
        <v>0</v>
      </c>
      <c r="AS969" s="77">
        <f t="shared" si="3124"/>
        <v>0</v>
      </c>
      <c r="AT969" s="77">
        <f t="shared" ref="AT969" si="3286">1-(1-AS969)^(1/12)</f>
        <v>0</v>
      </c>
      <c r="AU969" s="77">
        <f t="shared" si="3126"/>
        <v>2.4999999999999996E-3</v>
      </c>
      <c r="AV969" s="77">
        <f t="shared" ref="AV969" si="3287">1-(1-AU969)^(1/12)</f>
        <v>2.0857243058891584E-4</v>
      </c>
      <c r="AX969" t="s">
        <v>178</v>
      </c>
      <c r="AY969" t="s">
        <v>162</v>
      </c>
      <c r="AZ969" s="197" t="str">
        <f t="shared" si="3206"/>
        <v>DIS_Standard_118</v>
      </c>
      <c r="BA969">
        <v>118</v>
      </c>
      <c r="BB969">
        <f>VLOOKUP($BA969,'[2]Standard DIS'!$Q$1:$X$542,4,FALSE)</f>
        <v>0</v>
      </c>
      <c r="BF969">
        <f>VLOOKUP($BA969,'[2]Standard DIS'!$Q$1:$X$542,2,FALSE)</f>
        <v>0.49346852548036751</v>
      </c>
      <c r="BH969">
        <f>VLOOKUP($BA969,'[2]Standard DIS'!$Q$1:$X$542,3,FALSE)</f>
        <v>0.50653147451963243</v>
      </c>
      <c r="BI969" s="77">
        <f t="shared" si="3113"/>
        <v>1</v>
      </c>
      <c r="BJ969" s="77">
        <f t="shared" si="3114"/>
        <v>5.7900794675751863E-2</v>
      </c>
      <c r="BK969" s="77">
        <f t="shared" si="3207"/>
        <v>4.7015646840780079E-3</v>
      </c>
      <c r="BL969" s="79">
        <v>0</v>
      </c>
      <c r="BM969" s="77">
        <f t="shared" si="3128"/>
        <v>0</v>
      </c>
      <c r="BN969" s="77">
        <f t="shared" si="3129"/>
        <v>0</v>
      </c>
      <c r="BO969" s="77">
        <f t="shared" si="3130"/>
        <v>2.4999999999999996E-3</v>
      </c>
      <c r="BP969" s="77">
        <f t="shared" si="3131"/>
        <v>2.0809499864316017E-4</v>
      </c>
    </row>
    <row r="970" spans="1:68">
      <c r="A970" t="s">
        <v>175</v>
      </c>
      <c r="B970" t="s">
        <v>179</v>
      </c>
      <c r="C970" s="197" t="str">
        <f t="shared" si="3172"/>
        <v>Lifecycle_Dynamic_117</v>
      </c>
      <c r="D970">
        <v>117</v>
      </c>
      <c r="E970">
        <f>VLOOKUP($D970,'[2]LC Dynamic'!$Q$2:$U$542,2,FALSE)</f>
        <v>1.8249999999999999E-2</v>
      </c>
      <c r="F970">
        <f>VLOOKUP($D970,'[2]LC Dynamic'!$Q$2:$U$542,3,FALSE)</f>
        <v>0.28025</v>
      </c>
      <c r="G970">
        <f>VLOOKUP($D970,'[2]LC Dynamic'!$Q$2:$U$542,4,FALSE)</f>
        <v>0.70150000000000001</v>
      </c>
      <c r="H970">
        <f>VLOOKUP($D970,'[2]LC Dynamic'!$Q$2:$U$542,5,FALSE)</f>
        <v>0</v>
      </c>
      <c r="I970" s="77">
        <f t="shared" si="3104"/>
        <v>1</v>
      </c>
      <c r="J970" s="77">
        <f t="shared" si="3105"/>
        <v>5.9260793749999992E-2</v>
      </c>
      <c r="K970" s="77">
        <f t="shared" si="3179"/>
        <v>4.8091353217316613E-3</v>
      </c>
      <c r="L970" s="76">
        <v>0</v>
      </c>
      <c r="M970" s="77">
        <f t="shared" si="3115"/>
        <v>0</v>
      </c>
      <c r="N970" s="77">
        <f t="shared" si="3116"/>
        <v>0</v>
      </c>
      <c r="O970" s="77">
        <f t="shared" si="3117"/>
        <v>6.7480750000000001E-3</v>
      </c>
      <c r="P970" s="77">
        <f t="shared" si="3118"/>
        <v>5.6408636070504059E-4</v>
      </c>
      <c r="R970" t="s">
        <v>177</v>
      </c>
      <c r="S970" t="s">
        <v>179</v>
      </c>
      <c r="T970" s="197" t="str">
        <f t="shared" si="3173"/>
        <v>Autopilot_Dynamic_117</v>
      </c>
      <c r="U970">
        <v>117</v>
      </c>
      <c r="V970">
        <f>VLOOKUP($U970,'[2]AP Dynamic'!$Q$1:$T$542,2,FALSE)</f>
        <v>0.50890907415597808</v>
      </c>
      <c r="W970">
        <f>VLOOKUP($U970,'[2]AP Dynamic'!$Q$1:$T$542,3,FALSE)</f>
        <v>0.49109092584402192</v>
      </c>
      <c r="X970">
        <f>VLOOKUP($U970,'[2]AP Dynamic'!$Q$1:$T$542,4,FALSE)</f>
        <v>0</v>
      </c>
      <c r="Y970" s="77">
        <f t="shared" si="3174"/>
        <v>1</v>
      </c>
      <c r="Z970" s="77">
        <f t="shared" si="3180"/>
        <v>5.8105767959420601E-2</v>
      </c>
      <c r="AA970" s="77">
        <f t="shared" si="3181"/>
        <v>4.7177853837598871E-3</v>
      </c>
      <c r="AB970" s="79">
        <v>1</v>
      </c>
      <c r="AC970" s="77">
        <f t="shared" si="3119"/>
        <v>7.5178181483119564E-3</v>
      </c>
      <c r="AD970" s="77">
        <f t="shared" ref="AD970" si="3288">1-(1-AC970)^(1/12)</f>
        <v>6.2865392894839722E-4</v>
      </c>
      <c r="AE970" s="77">
        <f t="shared" si="3121"/>
        <v>2.5000000000000001E-3</v>
      </c>
      <c r="AF970" s="77">
        <f t="shared" ref="AF970" si="3289">1-(1-AE970)^(1/12)</f>
        <v>2.0857243058891584E-4</v>
      </c>
      <c r="AH970" t="s">
        <v>175</v>
      </c>
      <c r="AI970" t="s">
        <v>179</v>
      </c>
      <c r="AJ970" s="197" t="str">
        <f t="shared" si="3108"/>
        <v>Lifecycle_Dynamic_117</v>
      </c>
      <c r="AK970">
        <v>117</v>
      </c>
      <c r="AL970">
        <f>VLOOKUP($U970,[2]Standard_Dynamic!$Q$1:$T$542,2,FALSE)</f>
        <v>0.48574825114256226</v>
      </c>
      <c r="AM970">
        <f>VLOOKUP($U970,[2]Standard_Dynamic!$Q$1:$T$542,3,FALSE)</f>
        <v>0.51425174885743774</v>
      </c>
      <c r="AN970">
        <f>VLOOKUP($U970,[2]Standard_Dynamic!$Q$1:$T$542,4,FALSE)</f>
        <v>0</v>
      </c>
      <c r="AO970" s="77">
        <f t="shared" si="3109"/>
        <v>1</v>
      </c>
      <c r="AP970" s="77">
        <f t="shared" si="3123"/>
        <v>5.77983080339175E-2</v>
      </c>
      <c r="AQ970" s="77">
        <f t="shared" si="3110"/>
        <v>4.6934532538576157E-3</v>
      </c>
      <c r="AR970" s="79">
        <v>0</v>
      </c>
      <c r="AS970" s="77">
        <f t="shared" si="3124"/>
        <v>0</v>
      </c>
      <c r="AT970" s="77">
        <f t="shared" ref="AT970" si="3290">1-(1-AS970)^(1/12)</f>
        <v>0</v>
      </c>
      <c r="AU970" s="77">
        <f t="shared" si="3126"/>
        <v>2.5000000000000001E-3</v>
      </c>
      <c r="AV970" s="77">
        <f t="shared" ref="AV970" si="3291">1-(1-AU970)^(1/12)</f>
        <v>2.0857243058891584E-4</v>
      </c>
      <c r="AX970" t="s">
        <v>178</v>
      </c>
      <c r="AY970" t="s">
        <v>162</v>
      </c>
      <c r="AZ970" s="197" t="str">
        <f t="shared" si="3206"/>
        <v>DIS_Standard_117</v>
      </c>
      <c r="BA970">
        <v>117</v>
      </c>
      <c r="BB970">
        <f>VLOOKUP($BA970,'[2]Standard DIS'!$Q$1:$X$542,4,FALSE)</f>
        <v>0</v>
      </c>
      <c r="BF970">
        <f>VLOOKUP($BA970,'[2]Standard DIS'!$Q$1:$X$542,2,FALSE)</f>
        <v>0.48574825114256226</v>
      </c>
      <c r="BH970">
        <f>VLOOKUP($BA970,'[2]Standard DIS'!$Q$1:$X$542,3,FALSE)</f>
        <v>0.51425174885743774</v>
      </c>
      <c r="BI970" s="77">
        <f t="shared" si="3113"/>
        <v>1</v>
      </c>
      <c r="BJ970" s="77">
        <f t="shared" si="3114"/>
        <v>5.77983080339175E-2</v>
      </c>
      <c r="BK970" s="77">
        <f t="shared" si="3207"/>
        <v>4.6934532538576157E-3</v>
      </c>
      <c r="BL970" s="79">
        <v>0</v>
      </c>
      <c r="BM970" s="77">
        <f t="shared" si="3128"/>
        <v>0</v>
      </c>
      <c r="BN970" s="77">
        <f t="shared" si="3129"/>
        <v>0</v>
      </c>
      <c r="BO970" s="77">
        <f t="shared" si="3130"/>
        <v>2.5000000000000001E-3</v>
      </c>
      <c r="BP970" s="77">
        <f t="shared" si="3131"/>
        <v>2.0809499864316017E-4</v>
      </c>
    </row>
    <row r="971" spans="1:68">
      <c r="A971" t="s">
        <v>175</v>
      </c>
      <c r="B971" t="s">
        <v>179</v>
      </c>
      <c r="C971" s="197" t="str">
        <f t="shared" si="3172"/>
        <v>Lifecycle_Dynamic_116</v>
      </c>
      <c r="D971">
        <v>116</v>
      </c>
      <c r="E971">
        <f>VLOOKUP($D971,'[2]LC Dynamic'!$Q$2:$U$542,2,FALSE)</f>
        <v>1.9333333333333334E-2</v>
      </c>
      <c r="F971">
        <f>VLOOKUP($D971,'[2]LC Dynamic'!$Q$2:$U$542,3,FALSE)</f>
        <v>0.28500000000000003</v>
      </c>
      <c r="G971">
        <f>VLOOKUP($D971,'[2]LC Dynamic'!$Q$2:$U$542,4,FALSE)</f>
        <v>0.69566666666666666</v>
      </c>
      <c r="H971">
        <f>VLOOKUP($D971,'[2]LC Dynamic'!$Q$2:$U$542,5,FALSE)</f>
        <v>0</v>
      </c>
      <c r="I971" s="77">
        <f t="shared" si="3104"/>
        <v>1</v>
      </c>
      <c r="J971" s="77">
        <f t="shared" si="3105"/>
        <v>5.915274999999999E-2</v>
      </c>
      <c r="K971" s="77">
        <f t="shared" si="3179"/>
        <v>4.8005941120439211E-3</v>
      </c>
      <c r="L971" s="76">
        <v>0</v>
      </c>
      <c r="M971" s="77">
        <f t="shared" si="3115"/>
        <v>0</v>
      </c>
      <c r="N971" s="77">
        <f t="shared" si="3116"/>
        <v>0</v>
      </c>
      <c r="O971" s="77">
        <f t="shared" si="3117"/>
        <v>6.7367E-3</v>
      </c>
      <c r="P971" s="77">
        <f t="shared" si="3118"/>
        <v>5.6313254731366058E-4</v>
      </c>
      <c r="R971" t="s">
        <v>177</v>
      </c>
      <c r="S971" t="s">
        <v>179</v>
      </c>
      <c r="T971" s="197" t="str">
        <f t="shared" si="3173"/>
        <v>Autopilot_Dynamic_116</v>
      </c>
      <c r="U971">
        <v>116</v>
      </c>
      <c r="V971">
        <f>VLOOKUP($U971,'[2]AP Dynamic'!$Q$1:$T$542,2,FALSE)</f>
        <v>0.50890907415597808</v>
      </c>
      <c r="W971">
        <f>VLOOKUP($U971,'[2]AP Dynamic'!$Q$1:$T$542,3,FALSE)</f>
        <v>0.49109092584402192</v>
      </c>
      <c r="X971">
        <f>VLOOKUP($U971,'[2]AP Dynamic'!$Q$1:$T$542,4,FALSE)</f>
        <v>0</v>
      </c>
      <c r="Y971" s="77">
        <f t="shared" si="3174"/>
        <v>1</v>
      </c>
      <c r="Z971" s="77">
        <f t="shared" si="3180"/>
        <v>5.8105767959420601E-2</v>
      </c>
      <c r="AA971" s="77">
        <f t="shared" si="3181"/>
        <v>4.7177853837598871E-3</v>
      </c>
      <c r="AB971" s="79">
        <v>1</v>
      </c>
      <c r="AC971" s="77">
        <f t="shared" si="3119"/>
        <v>7.5178181483119564E-3</v>
      </c>
      <c r="AD971" s="77">
        <f t="shared" ref="AD971" si="3292">1-(1-AC971)^(1/12)</f>
        <v>6.2865392894839722E-4</v>
      </c>
      <c r="AE971" s="77">
        <f t="shared" si="3121"/>
        <v>2.5000000000000001E-3</v>
      </c>
      <c r="AF971" s="77">
        <f t="shared" ref="AF971" si="3293">1-(1-AE971)^(1/12)</f>
        <v>2.0857243058891584E-4</v>
      </c>
      <c r="AH971" t="s">
        <v>175</v>
      </c>
      <c r="AI971" t="s">
        <v>179</v>
      </c>
      <c r="AJ971" s="197" t="str">
        <f t="shared" si="3108"/>
        <v>Lifecycle_Dynamic_116</v>
      </c>
      <c r="AK971">
        <v>116</v>
      </c>
      <c r="AL971">
        <f>VLOOKUP($U971,[2]Standard_Dynamic!$Q$1:$T$542,2,FALSE)</f>
        <v>0.47802797680475695</v>
      </c>
      <c r="AM971">
        <f>VLOOKUP($U971,[2]Standard_Dynamic!$Q$1:$T$542,3,FALSE)</f>
        <v>0.52197202319524305</v>
      </c>
      <c r="AN971">
        <f>VLOOKUP($U971,[2]Standard_Dynamic!$Q$1:$T$542,4,FALSE)</f>
        <v>0</v>
      </c>
      <c r="AO971" s="77">
        <f t="shared" si="3109"/>
        <v>1</v>
      </c>
      <c r="AP971" s="77">
        <f t="shared" si="3123"/>
        <v>5.7695821392083138E-2</v>
      </c>
      <c r="AQ971" s="77">
        <f t="shared" si="3110"/>
        <v>4.6853411032059533E-3</v>
      </c>
      <c r="AR971" s="79">
        <v>0</v>
      </c>
      <c r="AS971" s="77">
        <f t="shared" si="3124"/>
        <v>0</v>
      </c>
      <c r="AT971" s="77">
        <f t="shared" ref="AT971" si="3294">1-(1-AS971)^(1/12)</f>
        <v>0</v>
      </c>
      <c r="AU971" s="77">
        <f t="shared" si="3126"/>
        <v>2.5000000000000001E-3</v>
      </c>
      <c r="AV971" s="77">
        <f t="shared" ref="AV971" si="3295">1-(1-AU971)^(1/12)</f>
        <v>2.0857243058891584E-4</v>
      </c>
      <c r="AX971" t="s">
        <v>178</v>
      </c>
      <c r="AY971" t="s">
        <v>162</v>
      </c>
      <c r="AZ971" s="197" t="str">
        <f t="shared" si="3206"/>
        <v>DIS_Standard_116</v>
      </c>
      <c r="BA971">
        <v>116</v>
      </c>
      <c r="BB971">
        <f>VLOOKUP($BA971,'[2]Standard DIS'!$Q$1:$X$542,4,FALSE)</f>
        <v>0</v>
      </c>
      <c r="BF971">
        <f>VLOOKUP($BA971,'[2]Standard DIS'!$Q$1:$X$542,2,FALSE)</f>
        <v>0.47802797680475695</v>
      </c>
      <c r="BH971">
        <f>VLOOKUP($BA971,'[2]Standard DIS'!$Q$1:$X$542,3,FALSE)</f>
        <v>0.52197202319524305</v>
      </c>
      <c r="BI971" s="77">
        <f t="shared" si="3113"/>
        <v>1</v>
      </c>
      <c r="BJ971" s="77">
        <f t="shared" si="3114"/>
        <v>5.7695821392083138E-2</v>
      </c>
      <c r="BK971" s="77">
        <f t="shared" si="3207"/>
        <v>4.6853411032059533E-3</v>
      </c>
      <c r="BL971" s="79">
        <v>0</v>
      </c>
      <c r="BM971" s="77">
        <f t="shared" si="3128"/>
        <v>0</v>
      </c>
      <c r="BN971" s="77">
        <f t="shared" si="3129"/>
        <v>0</v>
      </c>
      <c r="BO971" s="77">
        <f t="shared" si="3130"/>
        <v>2.5000000000000001E-3</v>
      </c>
      <c r="BP971" s="77">
        <f t="shared" si="3131"/>
        <v>2.0809499864316017E-4</v>
      </c>
    </row>
    <row r="972" spans="1:68">
      <c r="A972" t="s">
        <v>175</v>
      </c>
      <c r="B972" t="s">
        <v>179</v>
      </c>
      <c r="C972" s="197" t="str">
        <f t="shared" si="3172"/>
        <v>Lifecycle_Dynamic_115</v>
      </c>
      <c r="D972">
        <v>115</v>
      </c>
      <c r="E972">
        <f>VLOOKUP($D972,'[2]LC Dynamic'!$Q$2:$U$542,2,FALSE)</f>
        <v>2.0416666666666666E-2</v>
      </c>
      <c r="F972">
        <f>VLOOKUP($D972,'[2]LC Dynamic'!$Q$2:$U$542,3,FALSE)</f>
        <v>0.28975000000000001</v>
      </c>
      <c r="G972">
        <f>VLOOKUP($D972,'[2]LC Dynamic'!$Q$2:$U$542,4,FALSE)</f>
        <v>0.6898333333333333</v>
      </c>
      <c r="H972">
        <f>VLOOKUP($D972,'[2]LC Dynamic'!$Q$2:$U$542,5,FALSE)</f>
        <v>0</v>
      </c>
      <c r="I972" s="77">
        <f t="shared" si="3104"/>
        <v>1</v>
      </c>
      <c r="J972" s="77">
        <f t="shared" si="3105"/>
        <v>5.9044706249999995E-2</v>
      </c>
      <c r="K972" s="77">
        <f t="shared" si="3179"/>
        <v>4.7920521036404207E-3</v>
      </c>
      <c r="L972" s="76">
        <v>0</v>
      </c>
      <c r="M972" s="77">
        <f t="shared" si="3115"/>
        <v>0</v>
      </c>
      <c r="N972" s="77">
        <f t="shared" si="3116"/>
        <v>0</v>
      </c>
      <c r="O972" s="77">
        <f t="shared" si="3117"/>
        <v>6.725324999999999E-3</v>
      </c>
      <c r="P972" s="77">
        <f t="shared" si="3118"/>
        <v>5.6217874393527101E-4</v>
      </c>
      <c r="R972" t="s">
        <v>177</v>
      </c>
      <c r="S972" t="s">
        <v>179</v>
      </c>
      <c r="T972" s="197" t="str">
        <f t="shared" si="3173"/>
        <v>Autopilot_Dynamic_115</v>
      </c>
      <c r="U972">
        <v>115</v>
      </c>
      <c r="V972">
        <f>VLOOKUP($U972,'[2]AP Dynamic'!$Q$1:$T$542,2,FALSE)</f>
        <v>0.50890907415597808</v>
      </c>
      <c r="W972">
        <f>VLOOKUP($U972,'[2]AP Dynamic'!$Q$1:$T$542,3,FALSE)</f>
        <v>0.49109092584402192</v>
      </c>
      <c r="X972">
        <f>VLOOKUP($U972,'[2]AP Dynamic'!$Q$1:$T$542,4,FALSE)</f>
        <v>0</v>
      </c>
      <c r="Y972" s="77">
        <f t="shared" si="3174"/>
        <v>1</v>
      </c>
      <c r="Z972" s="77">
        <f t="shared" si="3180"/>
        <v>5.8105767959420601E-2</v>
      </c>
      <c r="AA972" s="77">
        <f t="shared" si="3181"/>
        <v>4.7177853837598871E-3</v>
      </c>
      <c r="AB972" s="79">
        <v>1</v>
      </c>
      <c r="AC972" s="77">
        <f t="shared" si="3119"/>
        <v>7.5178181483119564E-3</v>
      </c>
      <c r="AD972" s="77">
        <f t="shared" ref="AD972" si="3296">1-(1-AC972)^(1/12)</f>
        <v>6.2865392894839722E-4</v>
      </c>
      <c r="AE972" s="77">
        <f t="shared" si="3121"/>
        <v>2.5000000000000001E-3</v>
      </c>
      <c r="AF972" s="77">
        <f t="shared" ref="AF972" si="3297">1-(1-AE972)^(1/12)</f>
        <v>2.0857243058891584E-4</v>
      </c>
      <c r="AH972" t="s">
        <v>175</v>
      </c>
      <c r="AI972" t="s">
        <v>179</v>
      </c>
      <c r="AJ972" s="197" t="str">
        <f t="shared" si="3108"/>
        <v>Lifecycle_Dynamic_115</v>
      </c>
      <c r="AK972">
        <v>115</v>
      </c>
      <c r="AL972">
        <f>VLOOKUP($U972,[2]Standard_Dynamic!$Q$1:$T$542,2,FALSE)</f>
        <v>0.47030770246695169</v>
      </c>
      <c r="AM972">
        <f>VLOOKUP($U972,[2]Standard_Dynamic!$Q$1:$T$542,3,FALSE)</f>
        <v>0.52969229753304825</v>
      </c>
      <c r="AN972">
        <f>VLOOKUP($U972,[2]Standard_Dynamic!$Q$1:$T$542,4,FALSE)</f>
        <v>0</v>
      </c>
      <c r="AO972" s="77">
        <f t="shared" si="3109"/>
        <v>1</v>
      </c>
      <c r="AP972" s="77">
        <f t="shared" si="3123"/>
        <v>5.7593334750248776E-2</v>
      </c>
      <c r="AQ972" s="77">
        <f t="shared" si="3110"/>
        <v>4.6772282319893499E-3</v>
      </c>
      <c r="AR972" s="79">
        <v>0</v>
      </c>
      <c r="AS972" s="77">
        <f t="shared" si="3124"/>
        <v>0</v>
      </c>
      <c r="AT972" s="77">
        <f t="shared" ref="AT972" si="3298">1-(1-AS972)^(1/12)</f>
        <v>0</v>
      </c>
      <c r="AU972" s="77">
        <f t="shared" si="3126"/>
        <v>2.5000000000000001E-3</v>
      </c>
      <c r="AV972" s="77">
        <f t="shared" ref="AV972" si="3299">1-(1-AU972)^(1/12)</f>
        <v>2.0857243058891584E-4</v>
      </c>
      <c r="AX972" t="s">
        <v>178</v>
      </c>
      <c r="AY972" t="s">
        <v>162</v>
      </c>
      <c r="AZ972" s="197" t="str">
        <f t="shared" si="3206"/>
        <v>DIS_Standard_115</v>
      </c>
      <c r="BA972">
        <v>115</v>
      </c>
      <c r="BB972">
        <f>VLOOKUP($BA972,'[2]Standard DIS'!$Q$1:$X$542,4,FALSE)</f>
        <v>0</v>
      </c>
      <c r="BF972">
        <f>VLOOKUP($BA972,'[2]Standard DIS'!$Q$1:$X$542,2,FALSE)</f>
        <v>0.47030770246695169</v>
      </c>
      <c r="BH972">
        <f>VLOOKUP($BA972,'[2]Standard DIS'!$Q$1:$X$542,3,FALSE)</f>
        <v>0.52969229753304825</v>
      </c>
      <c r="BI972" s="77">
        <f t="shared" si="3113"/>
        <v>1</v>
      </c>
      <c r="BJ972" s="77">
        <f t="shared" si="3114"/>
        <v>5.7593334750248776E-2</v>
      </c>
      <c r="BK972" s="77">
        <f t="shared" si="3207"/>
        <v>4.6772282319893499E-3</v>
      </c>
      <c r="BL972" s="79">
        <v>0</v>
      </c>
      <c r="BM972" s="77">
        <f t="shared" si="3128"/>
        <v>0</v>
      </c>
      <c r="BN972" s="77">
        <f t="shared" si="3129"/>
        <v>0</v>
      </c>
      <c r="BO972" s="77">
        <f t="shared" si="3130"/>
        <v>2.5000000000000001E-3</v>
      </c>
      <c r="BP972" s="77">
        <f t="shared" si="3131"/>
        <v>2.0809499864316017E-4</v>
      </c>
    </row>
    <row r="973" spans="1:68">
      <c r="A973" t="s">
        <v>175</v>
      </c>
      <c r="B973" t="s">
        <v>179</v>
      </c>
      <c r="C973" s="197" t="str">
        <f t="shared" si="3172"/>
        <v>Lifecycle_Dynamic_114</v>
      </c>
      <c r="D973">
        <v>114</v>
      </c>
      <c r="E973">
        <f>VLOOKUP($D973,'[2]LC Dynamic'!$Q$2:$U$542,2,FALSE)</f>
        <v>2.1499999999999998E-2</v>
      </c>
      <c r="F973">
        <f>VLOOKUP($D973,'[2]LC Dynamic'!$Q$2:$U$542,3,FALSE)</f>
        <v>0.29449999999999998</v>
      </c>
      <c r="G973">
        <f>VLOOKUP($D973,'[2]LC Dynamic'!$Q$2:$U$542,4,FALSE)</f>
        <v>0.68399999999999994</v>
      </c>
      <c r="H973">
        <f>VLOOKUP($D973,'[2]LC Dynamic'!$Q$2:$U$542,5,FALSE)</f>
        <v>0</v>
      </c>
      <c r="I973" s="77">
        <f t="shared" si="3104"/>
        <v>1</v>
      </c>
      <c r="J973" s="77">
        <f t="shared" si="3105"/>
        <v>5.8936662499999987E-2</v>
      </c>
      <c r="K973" s="77">
        <f t="shared" si="3179"/>
        <v>4.7835092963652848E-3</v>
      </c>
      <c r="L973" s="76">
        <v>0</v>
      </c>
      <c r="M973" s="77">
        <f t="shared" si="3115"/>
        <v>0</v>
      </c>
      <c r="N973" s="77">
        <f t="shared" si="3116"/>
        <v>0</v>
      </c>
      <c r="O973" s="77">
        <f t="shared" si="3117"/>
        <v>6.7139499999999989E-3</v>
      </c>
      <c r="P973" s="77">
        <f t="shared" si="3118"/>
        <v>5.6122495056942778E-4</v>
      </c>
      <c r="R973" t="s">
        <v>177</v>
      </c>
      <c r="S973" t="s">
        <v>179</v>
      </c>
      <c r="T973" s="197" t="str">
        <f t="shared" si="3173"/>
        <v>Autopilot_Dynamic_114</v>
      </c>
      <c r="U973">
        <v>114</v>
      </c>
      <c r="V973">
        <f>VLOOKUP($U973,'[2]AP Dynamic'!$Q$1:$T$542,2,FALSE)</f>
        <v>0.50890907415597808</v>
      </c>
      <c r="W973">
        <f>VLOOKUP($U973,'[2]AP Dynamic'!$Q$1:$T$542,3,FALSE)</f>
        <v>0.49109092584402192</v>
      </c>
      <c r="X973">
        <f>VLOOKUP($U973,'[2]AP Dynamic'!$Q$1:$T$542,4,FALSE)</f>
        <v>0</v>
      </c>
      <c r="Y973" s="77">
        <f t="shared" si="3174"/>
        <v>1</v>
      </c>
      <c r="Z973" s="77">
        <f t="shared" si="3180"/>
        <v>5.8105767959420601E-2</v>
      </c>
      <c r="AA973" s="77">
        <f t="shared" si="3181"/>
        <v>4.7177853837598871E-3</v>
      </c>
      <c r="AB973" s="79">
        <v>1</v>
      </c>
      <c r="AC973" s="77">
        <f t="shared" si="3119"/>
        <v>7.5178181483119564E-3</v>
      </c>
      <c r="AD973" s="77">
        <f t="shared" ref="AD973" si="3300">1-(1-AC973)^(1/12)</f>
        <v>6.2865392894839722E-4</v>
      </c>
      <c r="AE973" s="77">
        <f t="shared" si="3121"/>
        <v>2.5000000000000001E-3</v>
      </c>
      <c r="AF973" s="77">
        <f t="shared" ref="AF973" si="3301">1-(1-AE973)^(1/12)</f>
        <v>2.0857243058891584E-4</v>
      </c>
      <c r="AH973" t="s">
        <v>175</v>
      </c>
      <c r="AI973" t="s">
        <v>179</v>
      </c>
      <c r="AJ973" s="197" t="str">
        <f t="shared" si="3108"/>
        <v>Lifecycle_Dynamic_114</v>
      </c>
      <c r="AK973">
        <v>114</v>
      </c>
      <c r="AL973">
        <f>VLOOKUP($U973,[2]Standard_Dynamic!$Q$1:$T$542,2,FALSE)</f>
        <v>0.46258742812914644</v>
      </c>
      <c r="AM973">
        <f>VLOOKUP($U973,[2]Standard_Dynamic!$Q$1:$T$542,3,FALSE)</f>
        <v>0.53741257187085356</v>
      </c>
      <c r="AN973">
        <f>VLOOKUP($U973,[2]Standard_Dynamic!$Q$1:$T$542,4,FALSE)</f>
        <v>0</v>
      </c>
      <c r="AO973" s="77">
        <f t="shared" si="3109"/>
        <v>1</v>
      </c>
      <c r="AP973" s="77">
        <f t="shared" si="3123"/>
        <v>5.7490848108414414E-2</v>
      </c>
      <c r="AQ973" s="77">
        <f t="shared" si="3110"/>
        <v>4.6691146400736905E-3</v>
      </c>
      <c r="AR973" s="79">
        <v>0</v>
      </c>
      <c r="AS973" s="77">
        <f t="shared" si="3124"/>
        <v>0</v>
      </c>
      <c r="AT973" s="77">
        <f t="shared" ref="AT973" si="3302">1-(1-AS973)^(1/12)</f>
        <v>0</v>
      </c>
      <c r="AU973" s="77">
        <f t="shared" si="3126"/>
        <v>2.5000000000000001E-3</v>
      </c>
      <c r="AV973" s="77">
        <f t="shared" ref="AV973" si="3303">1-(1-AU973)^(1/12)</f>
        <v>2.0857243058891584E-4</v>
      </c>
      <c r="AX973" t="s">
        <v>178</v>
      </c>
      <c r="AY973" t="s">
        <v>162</v>
      </c>
      <c r="AZ973" s="197" t="str">
        <f t="shared" si="3206"/>
        <v>DIS_Standard_114</v>
      </c>
      <c r="BA973">
        <v>114</v>
      </c>
      <c r="BB973">
        <f>VLOOKUP($BA973,'[2]Standard DIS'!$Q$1:$X$542,4,FALSE)</f>
        <v>0</v>
      </c>
      <c r="BF973">
        <f>VLOOKUP($BA973,'[2]Standard DIS'!$Q$1:$X$542,2,FALSE)</f>
        <v>0.46258742812914644</v>
      </c>
      <c r="BH973">
        <f>VLOOKUP($BA973,'[2]Standard DIS'!$Q$1:$X$542,3,FALSE)</f>
        <v>0.53741257187085356</v>
      </c>
      <c r="BI973" s="77">
        <f t="shared" si="3113"/>
        <v>1</v>
      </c>
      <c r="BJ973" s="77">
        <f t="shared" si="3114"/>
        <v>5.7490848108414414E-2</v>
      </c>
      <c r="BK973" s="77">
        <f t="shared" si="3207"/>
        <v>4.6691146400736905E-3</v>
      </c>
      <c r="BL973" s="79">
        <v>0</v>
      </c>
      <c r="BM973" s="77">
        <f t="shared" si="3128"/>
        <v>0</v>
      </c>
      <c r="BN973" s="77">
        <f t="shared" si="3129"/>
        <v>0</v>
      </c>
      <c r="BO973" s="77">
        <f t="shared" si="3130"/>
        <v>2.5000000000000001E-3</v>
      </c>
      <c r="BP973" s="77">
        <f t="shared" si="3131"/>
        <v>2.0809499864316017E-4</v>
      </c>
    </row>
    <row r="974" spans="1:68">
      <c r="A974" t="s">
        <v>175</v>
      </c>
      <c r="B974" t="s">
        <v>179</v>
      </c>
      <c r="C974" s="197" t="str">
        <f t="shared" si="3172"/>
        <v>Lifecycle_Dynamic_113</v>
      </c>
      <c r="D974">
        <v>113</v>
      </c>
      <c r="E974">
        <f>VLOOKUP($D974,'[2]LC Dynamic'!$Q$2:$U$542,2,FALSE)</f>
        <v>2.2583333333333334E-2</v>
      </c>
      <c r="F974">
        <f>VLOOKUP($D974,'[2]LC Dynamic'!$Q$2:$U$542,3,FALSE)</f>
        <v>0.29925000000000002</v>
      </c>
      <c r="G974">
        <f>VLOOKUP($D974,'[2]LC Dynamic'!$Q$2:$U$542,4,FALSE)</f>
        <v>0.6781666666666667</v>
      </c>
      <c r="H974">
        <f>VLOOKUP($D974,'[2]LC Dynamic'!$Q$2:$U$542,5,FALSE)</f>
        <v>0</v>
      </c>
      <c r="I974" s="77">
        <f t="shared" si="3104"/>
        <v>1</v>
      </c>
      <c r="J974" s="77">
        <f t="shared" si="3105"/>
        <v>5.8828618749999992E-2</v>
      </c>
      <c r="K974" s="77">
        <f t="shared" si="3179"/>
        <v>4.7749656900619719E-3</v>
      </c>
      <c r="L974" s="76">
        <v>0</v>
      </c>
      <c r="M974" s="77">
        <f t="shared" si="3115"/>
        <v>0</v>
      </c>
      <c r="N974" s="77">
        <f t="shared" si="3116"/>
        <v>0</v>
      </c>
      <c r="O974" s="77">
        <f t="shared" si="3117"/>
        <v>6.7025749999999997E-3</v>
      </c>
      <c r="P974" s="77">
        <f t="shared" si="3118"/>
        <v>5.6027116721601988E-4</v>
      </c>
      <c r="R974" t="s">
        <v>177</v>
      </c>
      <c r="S974" t="s">
        <v>179</v>
      </c>
      <c r="T974" s="197" t="str">
        <f t="shared" si="3173"/>
        <v>Autopilot_Dynamic_113</v>
      </c>
      <c r="U974">
        <v>113</v>
      </c>
      <c r="V974">
        <f>VLOOKUP($U974,'[2]AP Dynamic'!$Q$1:$T$542,2,FALSE)</f>
        <v>0.50890907415597808</v>
      </c>
      <c r="W974">
        <f>VLOOKUP($U974,'[2]AP Dynamic'!$Q$1:$T$542,3,FALSE)</f>
        <v>0.49109092584402192</v>
      </c>
      <c r="X974">
        <f>VLOOKUP($U974,'[2]AP Dynamic'!$Q$1:$T$542,4,FALSE)</f>
        <v>0</v>
      </c>
      <c r="Y974" s="77">
        <f t="shared" si="3174"/>
        <v>1</v>
      </c>
      <c r="Z974" s="77">
        <f t="shared" si="3180"/>
        <v>5.8105767959420601E-2</v>
      </c>
      <c r="AA974" s="77">
        <f t="shared" si="3181"/>
        <v>4.7177853837598871E-3</v>
      </c>
      <c r="AB974" s="79">
        <v>1</v>
      </c>
      <c r="AC974" s="77">
        <f t="shared" si="3119"/>
        <v>7.5178181483119564E-3</v>
      </c>
      <c r="AD974" s="77">
        <f t="shared" ref="AD974" si="3304">1-(1-AC974)^(1/12)</f>
        <v>6.2865392894839722E-4</v>
      </c>
      <c r="AE974" s="77">
        <f t="shared" si="3121"/>
        <v>2.5000000000000001E-3</v>
      </c>
      <c r="AF974" s="77">
        <f t="shared" ref="AF974" si="3305">1-(1-AE974)^(1/12)</f>
        <v>2.0857243058891584E-4</v>
      </c>
      <c r="AH974" t="s">
        <v>175</v>
      </c>
      <c r="AI974" t="s">
        <v>179</v>
      </c>
      <c r="AJ974" s="197" t="str">
        <f t="shared" si="3108"/>
        <v>Lifecycle_Dynamic_113</v>
      </c>
      <c r="AK974">
        <v>113</v>
      </c>
      <c r="AL974">
        <f>VLOOKUP($U974,[2]Standard_Dynamic!$Q$1:$T$542,2,FALSE)</f>
        <v>0.45486715379134113</v>
      </c>
      <c r="AM974">
        <f>VLOOKUP($U974,[2]Standard_Dynamic!$Q$1:$T$542,3,FALSE)</f>
        <v>0.54513284620865887</v>
      </c>
      <c r="AN974">
        <f>VLOOKUP($U974,[2]Standard_Dynamic!$Q$1:$T$542,4,FALSE)</f>
        <v>0</v>
      </c>
      <c r="AO974" s="77">
        <f t="shared" si="3109"/>
        <v>1</v>
      </c>
      <c r="AP974" s="77">
        <f t="shared" si="3123"/>
        <v>5.7388361466580044E-2</v>
      </c>
      <c r="AQ974" s="77">
        <f t="shared" si="3110"/>
        <v>4.6610003273253042E-3</v>
      </c>
      <c r="AR974" s="79">
        <v>0</v>
      </c>
      <c r="AS974" s="77">
        <f t="shared" si="3124"/>
        <v>0</v>
      </c>
      <c r="AT974" s="77">
        <f t="shared" ref="AT974" si="3306">1-(1-AS974)^(1/12)</f>
        <v>0</v>
      </c>
      <c r="AU974" s="77">
        <f t="shared" si="3126"/>
        <v>2.5000000000000001E-3</v>
      </c>
      <c r="AV974" s="77">
        <f t="shared" ref="AV974" si="3307">1-(1-AU974)^(1/12)</f>
        <v>2.0857243058891584E-4</v>
      </c>
      <c r="AX974" t="s">
        <v>178</v>
      </c>
      <c r="AY974" t="s">
        <v>162</v>
      </c>
      <c r="AZ974" s="197" t="str">
        <f t="shared" si="3206"/>
        <v>DIS_Standard_113</v>
      </c>
      <c r="BA974">
        <v>113</v>
      </c>
      <c r="BB974">
        <f>VLOOKUP($BA974,'[2]Standard DIS'!$Q$1:$X$542,4,FALSE)</f>
        <v>0</v>
      </c>
      <c r="BF974">
        <f>VLOOKUP($BA974,'[2]Standard DIS'!$Q$1:$X$542,2,FALSE)</f>
        <v>0.45486715379134113</v>
      </c>
      <c r="BH974">
        <f>VLOOKUP($BA974,'[2]Standard DIS'!$Q$1:$X$542,3,FALSE)</f>
        <v>0.54513284620865887</v>
      </c>
      <c r="BI974" s="77">
        <f t="shared" si="3113"/>
        <v>1</v>
      </c>
      <c r="BJ974" s="77">
        <f t="shared" si="3114"/>
        <v>5.7388361466580044E-2</v>
      </c>
      <c r="BK974" s="77">
        <f t="shared" si="3207"/>
        <v>4.6610003273253042E-3</v>
      </c>
      <c r="BL974" s="79">
        <v>0</v>
      </c>
      <c r="BM974" s="77">
        <f t="shared" si="3128"/>
        <v>0</v>
      </c>
      <c r="BN974" s="77">
        <f t="shared" si="3129"/>
        <v>0</v>
      </c>
      <c r="BO974" s="77">
        <f t="shared" si="3130"/>
        <v>2.5000000000000001E-3</v>
      </c>
      <c r="BP974" s="77">
        <f t="shared" si="3131"/>
        <v>2.0809499864316017E-4</v>
      </c>
    </row>
    <row r="975" spans="1:68">
      <c r="A975" t="s">
        <v>175</v>
      </c>
      <c r="B975" t="s">
        <v>179</v>
      </c>
      <c r="C975" s="197" t="str">
        <f t="shared" si="3172"/>
        <v>Lifecycle_Dynamic_112</v>
      </c>
      <c r="D975">
        <v>112</v>
      </c>
      <c r="E975">
        <f>VLOOKUP($D975,'[2]LC Dynamic'!$Q$2:$U$542,2,FALSE)</f>
        <v>2.3666666666666666E-2</v>
      </c>
      <c r="F975">
        <f>VLOOKUP($D975,'[2]LC Dynamic'!$Q$2:$U$542,3,FALSE)</f>
        <v>0.30399999999999999</v>
      </c>
      <c r="G975">
        <f>VLOOKUP($D975,'[2]LC Dynamic'!$Q$2:$U$542,4,FALSE)</f>
        <v>0.67233333333333334</v>
      </c>
      <c r="H975">
        <f>VLOOKUP($D975,'[2]LC Dynamic'!$Q$2:$U$542,5,FALSE)</f>
        <v>0</v>
      </c>
      <c r="I975" s="77">
        <f t="shared" si="3104"/>
        <v>1</v>
      </c>
      <c r="J975" s="77">
        <f t="shared" si="3105"/>
        <v>5.8720574999999997E-2</v>
      </c>
      <c r="K975" s="77">
        <f t="shared" si="3179"/>
        <v>4.7664212845743847E-3</v>
      </c>
      <c r="L975" s="76">
        <v>0</v>
      </c>
      <c r="M975" s="77">
        <f t="shared" si="3115"/>
        <v>0</v>
      </c>
      <c r="N975" s="77">
        <f t="shared" si="3116"/>
        <v>0</v>
      </c>
      <c r="O975" s="77">
        <f t="shared" si="3117"/>
        <v>6.6912000000000004E-3</v>
      </c>
      <c r="P975" s="77">
        <f t="shared" si="3118"/>
        <v>5.5931739387493629E-4</v>
      </c>
      <c r="R975" t="s">
        <v>177</v>
      </c>
      <c r="S975" t="s">
        <v>179</v>
      </c>
      <c r="T975" s="197" t="str">
        <f t="shared" si="3173"/>
        <v>Autopilot_Dynamic_112</v>
      </c>
      <c r="U975">
        <v>112</v>
      </c>
      <c r="V975">
        <f>VLOOKUP($U975,'[2]AP Dynamic'!$Q$1:$T$542,2,FALSE)</f>
        <v>0.50890907415597808</v>
      </c>
      <c r="W975">
        <f>VLOOKUP($U975,'[2]AP Dynamic'!$Q$1:$T$542,3,FALSE)</f>
        <v>0.49109092584402192</v>
      </c>
      <c r="X975">
        <f>VLOOKUP($U975,'[2]AP Dynamic'!$Q$1:$T$542,4,FALSE)</f>
        <v>0</v>
      </c>
      <c r="Y975" s="77">
        <f t="shared" si="3174"/>
        <v>1</v>
      </c>
      <c r="Z975" s="77">
        <f t="shared" si="3180"/>
        <v>5.8105767959420601E-2</v>
      </c>
      <c r="AA975" s="77">
        <f t="shared" si="3181"/>
        <v>4.7177853837598871E-3</v>
      </c>
      <c r="AB975" s="79">
        <v>1</v>
      </c>
      <c r="AC975" s="77">
        <f t="shared" si="3119"/>
        <v>7.5178181483119564E-3</v>
      </c>
      <c r="AD975" s="77">
        <f t="shared" ref="AD975" si="3308">1-(1-AC975)^(1/12)</f>
        <v>6.2865392894839722E-4</v>
      </c>
      <c r="AE975" s="77">
        <f t="shared" si="3121"/>
        <v>2.5000000000000001E-3</v>
      </c>
      <c r="AF975" s="77">
        <f t="shared" ref="AF975" si="3309">1-(1-AE975)^(1/12)</f>
        <v>2.0857243058891584E-4</v>
      </c>
      <c r="AH975" t="s">
        <v>175</v>
      </c>
      <c r="AI975" t="s">
        <v>179</v>
      </c>
      <c r="AJ975" s="197" t="str">
        <f t="shared" si="3108"/>
        <v>Lifecycle_Dynamic_112</v>
      </c>
      <c r="AK975">
        <v>112</v>
      </c>
      <c r="AL975">
        <f>VLOOKUP($U975,[2]Standard_Dynamic!$Q$1:$T$542,2,FALSE)</f>
        <v>0.44714687945353587</v>
      </c>
      <c r="AM975">
        <f>VLOOKUP($U975,[2]Standard_Dynamic!$Q$1:$T$542,3,FALSE)</f>
        <v>0.55285312054646407</v>
      </c>
      <c r="AN975">
        <f>VLOOKUP($U975,[2]Standard_Dynamic!$Q$1:$T$542,4,FALSE)</f>
        <v>0</v>
      </c>
      <c r="AO975" s="77">
        <f t="shared" si="3109"/>
        <v>1</v>
      </c>
      <c r="AP975" s="77">
        <f t="shared" si="3123"/>
        <v>5.7285874824745675E-2</v>
      </c>
      <c r="AQ975" s="77">
        <f t="shared" si="3110"/>
        <v>4.6528852936100762E-3</v>
      </c>
      <c r="AR975" s="79">
        <v>0</v>
      </c>
      <c r="AS975" s="77">
        <f t="shared" si="3124"/>
        <v>0</v>
      </c>
      <c r="AT975" s="77">
        <f t="shared" ref="AT975" si="3310">1-(1-AS975)^(1/12)</f>
        <v>0</v>
      </c>
      <c r="AU975" s="77">
        <f t="shared" si="3126"/>
        <v>2.4999999999999996E-3</v>
      </c>
      <c r="AV975" s="77">
        <f t="shared" ref="AV975" si="3311">1-(1-AU975)^(1/12)</f>
        <v>2.0857243058891584E-4</v>
      </c>
      <c r="AX975" t="s">
        <v>178</v>
      </c>
      <c r="AY975" t="s">
        <v>162</v>
      </c>
      <c r="AZ975" s="197" t="str">
        <f t="shared" si="3206"/>
        <v>DIS_Standard_112</v>
      </c>
      <c r="BA975">
        <v>112</v>
      </c>
      <c r="BB975">
        <f>VLOOKUP($BA975,'[2]Standard DIS'!$Q$1:$X$542,4,FALSE)</f>
        <v>0</v>
      </c>
      <c r="BF975">
        <f>VLOOKUP($BA975,'[2]Standard DIS'!$Q$1:$X$542,2,FALSE)</f>
        <v>0.44714687945353587</v>
      </c>
      <c r="BH975">
        <f>VLOOKUP($BA975,'[2]Standard DIS'!$Q$1:$X$542,3,FALSE)</f>
        <v>0.55285312054646407</v>
      </c>
      <c r="BI975" s="77">
        <f t="shared" si="3113"/>
        <v>1</v>
      </c>
      <c r="BJ975" s="77">
        <f t="shared" si="3114"/>
        <v>5.7285874824745675E-2</v>
      </c>
      <c r="BK975" s="77">
        <f t="shared" si="3207"/>
        <v>4.6528852936100762E-3</v>
      </c>
      <c r="BL975" s="79">
        <v>0</v>
      </c>
      <c r="BM975" s="77">
        <f t="shared" si="3128"/>
        <v>0</v>
      </c>
      <c r="BN975" s="77">
        <f t="shared" si="3129"/>
        <v>0</v>
      </c>
      <c r="BO975" s="77">
        <f t="shared" si="3130"/>
        <v>2.4999999999999996E-3</v>
      </c>
      <c r="BP975" s="77">
        <f t="shared" si="3131"/>
        <v>2.0809499864316017E-4</v>
      </c>
    </row>
    <row r="976" spans="1:68">
      <c r="A976" t="s">
        <v>175</v>
      </c>
      <c r="B976" t="s">
        <v>179</v>
      </c>
      <c r="C976" s="197" t="str">
        <f t="shared" si="3172"/>
        <v>Lifecycle_Dynamic_111</v>
      </c>
      <c r="D976">
        <v>111</v>
      </c>
      <c r="E976">
        <f>VLOOKUP($D976,'[2]LC Dynamic'!$Q$2:$U$542,2,FALSE)</f>
        <v>2.4750000000000001E-2</v>
      </c>
      <c r="F976">
        <f>VLOOKUP($D976,'[2]LC Dynamic'!$Q$2:$U$542,3,FALSE)</f>
        <v>0.30875000000000002</v>
      </c>
      <c r="G976">
        <f>VLOOKUP($D976,'[2]LC Dynamic'!$Q$2:$U$542,4,FALSE)</f>
        <v>0.66649999999999998</v>
      </c>
      <c r="H976">
        <f>VLOOKUP($D976,'[2]LC Dynamic'!$Q$2:$U$542,5,FALSE)</f>
        <v>0</v>
      </c>
      <c r="I976" s="77">
        <f t="shared" si="3104"/>
        <v>1</v>
      </c>
      <c r="J976" s="77">
        <f t="shared" si="3105"/>
        <v>5.8612531249999988E-2</v>
      </c>
      <c r="K976" s="77">
        <f t="shared" si="3179"/>
        <v>4.7578760797462039E-3</v>
      </c>
      <c r="L976" s="76">
        <v>0</v>
      </c>
      <c r="M976" s="77">
        <f t="shared" si="3115"/>
        <v>0</v>
      </c>
      <c r="N976" s="77">
        <f t="shared" si="3116"/>
        <v>0</v>
      </c>
      <c r="O976" s="77">
        <f t="shared" si="3117"/>
        <v>6.6798250000000003E-3</v>
      </c>
      <c r="P976" s="77">
        <f t="shared" si="3118"/>
        <v>5.5836363054584393E-4</v>
      </c>
      <c r="R976" t="s">
        <v>177</v>
      </c>
      <c r="S976" t="s">
        <v>179</v>
      </c>
      <c r="T976" s="197" t="str">
        <f t="shared" si="3173"/>
        <v>Autopilot_Dynamic_111</v>
      </c>
      <c r="U976">
        <v>111</v>
      </c>
      <c r="V976">
        <f>VLOOKUP($U976,'[2]AP Dynamic'!$Q$1:$T$542,2,FALSE)</f>
        <v>0.50890907415597808</v>
      </c>
      <c r="W976">
        <f>VLOOKUP($U976,'[2]AP Dynamic'!$Q$1:$T$542,3,FALSE)</f>
        <v>0.49109092584402192</v>
      </c>
      <c r="X976">
        <f>VLOOKUP($U976,'[2]AP Dynamic'!$Q$1:$T$542,4,FALSE)</f>
        <v>0</v>
      </c>
      <c r="Y976" s="77">
        <f t="shared" si="3174"/>
        <v>1</v>
      </c>
      <c r="Z976" s="77">
        <f t="shared" si="3180"/>
        <v>5.8105767959420601E-2</v>
      </c>
      <c r="AA976" s="77">
        <f t="shared" si="3181"/>
        <v>4.7177853837598871E-3</v>
      </c>
      <c r="AB976" s="79">
        <v>1</v>
      </c>
      <c r="AC976" s="77">
        <f t="shared" si="3119"/>
        <v>7.5178181483119564E-3</v>
      </c>
      <c r="AD976" s="77">
        <f t="shared" ref="AD976" si="3312">1-(1-AC976)^(1/12)</f>
        <v>6.2865392894839722E-4</v>
      </c>
      <c r="AE976" s="77">
        <f t="shared" si="3121"/>
        <v>2.5000000000000001E-3</v>
      </c>
      <c r="AF976" s="77">
        <f t="shared" ref="AF976" si="3313">1-(1-AE976)^(1/12)</f>
        <v>2.0857243058891584E-4</v>
      </c>
      <c r="AH976" t="s">
        <v>175</v>
      </c>
      <c r="AI976" t="s">
        <v>179</v>
      </c>
      <c r="AJ976" s="197" t="str">
        <f t="shared" si="3108"/>
        <v>Lifecycle_Dynamic_111</v>
      </c>
      <c r="AK976">
        <v>111</v>
      </c>
      <c r="AL976">
        <f>VLOOKUP($U976,[2]Standard_Dynamic!$Q$1:$T$542,2,FALSE)</f>
        <v>0.43942660511573056</v>
      </c>
      <c r="AM976">
        <f>VLOOKUP($U976,[2]Standard_Dynamic!$Q$1:$T$542,3,FALSE)</f>
        <v>0.56057339488426938</v>
      </c>
      <c r="AN976">
        <f>VLOOKUP($U976,[2]Standard_Dynamic!$Q$1:$T$542,4,FALSE)</f>
        <v>0</v>
      </c>
      <c r="AO976" s="77">
        <f t="shared" si="3109"/>
        <v>1</v>
      </c>
      <c r="AP976" s="77">
        <f t="shared" si="3123"/>
        <v>5.7183388182911313E-2</v>
      </c>
      <c r="AQ976" s="77">
        <f t="shared" si="3110"/>
        <v>4.6447695387943355E-3</v>
      </c>
      <c r="AR976" s="79">
        <v>0</v>
      </c>
      <c r="AS976" s="77">
        <f t="shared" si="3124"/>
        <v>0</v>
      </c>
      <c r="AT976" s="77">
        <f t="shared" ref="AT976" si="3314">1-(1-AS976)^(1/12)</f>
        <v>0</v>
      </c>
      <c r="AU976" s="77">
        <f t="shared" si="3126"/>
        <v>2.4999999999999996E-3</v>
      </c>
      <c r="AV976" s="77">
        <f t="shared" ref="AV976" si="3315">1-(1-AU976)^(1/12)</f>
        <v>2.0857243058891584E-4</v>
      </c>
      <c r="AX976" t="s">
        <v>178</v>
      </c>
      <c r="AY976" t="s">
        <v>162</v>
      </c>
      <c r="AZ976" s="197" t="str">
        <f t="shared" si="3206"/>
        <v>DIS_Standard_111</v>
      </c>
      <c r="BA976">
        <v>111</v>
      </c>
      <c r="BB976">
        <f>VLOOKUP($BA976,'[2]Standard DIS'!$Q$1:$X$542,4,FALSE)</f>
        <v>0</v>
      </c>
      <c r="BF976">
        <f>VLOOKUP($BA976,'[2]Standard DIS'!$Q$1:$X$542,2,FALSE)</f>
        <v>0.43942660511573056</v>
      </c>
      <c r="BH976">
        <f>VLOOKUP($BA976,'[2]Standard DIS'!$Q$1:$X$542,3,FALSE)</f>
        <v>0.56057339488426938</v>
      </c>
      <c r="BI976" s="77">
        <f t="shared" si="3113"/>
        <v>1</v>
      </c>
      <c r="BJ976" s="77">
        <f t="shared" si="3114"/>
        <v>5.7183388182911313E-2</v>
      </c>
      <c r="BK976" s="77">
        <f t="shared" si="3207"/>
        <v>4.6447695387943355E-3</v>
      </c>
      <c r="BL976" s="79">
        <v>0</v>
      </c>
      <c r="BM976" s="77">
        <f t="shared" si="3128"/>
        <v>0</v>
      </c>
      <c r="BN976" s="77">
        <f t="shared" si="3129"/>
        <v>0</v>
      </c>
      <c r="BO976" s="77">
        <f t="shared" si="3130"/>
        <v>2.4999999999999996E-3</v>
      </c>
      <c r="BP976" s="77">
        <f t="shared" si="3131"/>
        <v>2.0809499864316017E-4</v>
      </c>
    </row>
    <row r="977" spans="1:68">
      <c r="A977" t="s">
        <v>175</v>
      </c>
      <c r="B977" t="s">
        <v>179</v>
      </c>
      <c r="C977" s="197" t="str">
        <f t="shared" si="3172"/>
        <v>Lifecycle_Dynamic_110</v>
      </c>
      <c r="D977">
        <v>110</v>
      </c>
      <c r="E977">
        <f>VLOOKUP($D977,'[2]LC Dynamic'!$Q$2:$U$542,2,FALSE)</f>
        <v>2.5833333333333333E-2</v>
      </c>
      <c r="F977">
        <f>VLOOKUP($D977,'[2]LC Dynamic'!$Q$2:$U$542,3,FALSE)</f>
        <v>0.3135</v>
      </c>
      <c r="G977">
        <f>VLOOKUP($D977,'[2]LC Dynamic'!$Q$2:$U$542,4,FALSE)</f>
        <v>0.66066666666666674</v>
      </c>
      <c r="H977">
        <f>VLOOKUP($D977,'[2]LC Dynamic'!$Q$2:$U$542,5,FALSE)</f>
        <v>0</v>
      </c>
      <c r="I977" s="77">
        <f t="shared" si="3104"/>
        <v>1</v>
      </c>
      <c r="J977" s="77">
        <f t="shared" si="3105"/>
        <v>5.8504487499999994E-2</v>
      </c>
      <c r="K977" s="77">
        <f t="shared" si="3179"/>
        <v>4.7493300754208878E-3</v>
      </c>
      <c r="L977" s="76">
        <v>0</v>
      </c>
      <c r="M977" s="77">
        <f t="shared" si="3115"/>
        <v>0</v>
      </c>
      <c r="N977" s="77">
        <f t="shared" si="3116"/>
        <v>0</v>
      </c>
      <c r="O977" s="77">
        <f t="shared" si="3117"/>
        <v>6.6684500000000002E-3</v>
      </c>
      <c r="P977" s="77">
        <f t="shared" si="3118"/>
        <v>5.5740987722852076E-4</v>
      </c>
      <c r="R977" t="s">
        <v>177</v>
      </c>
      <c r="S977" t="s">
        <v>179</v>
      </c>
      <c r="T977" s="197" t="str">
        <f t="shared" si="3173"/>
        <v>Autopilot_Dynamic_110</v>
      </c>
      <c r="U977">
        <v>110</v>
      </c>
      <c r="V977">
        <f>VLOOKUP($U977,'[2]AP Dynamic'!$Q$1:$T$542,2,FALSE)</f>
        <v>0.50890907415597808</v>
      </c>
      <c r="W977">
        <f>VLOOKUP($U977,'[2]AP Dynamic'!$Q$1:$T$542,3,FALSE)</f>
        <v>0.49109092584402192</v>
      </c>
      <c r="X977">
        <f>VLOOKUP($U977,'[2]AP Dynamic'!$Q$1:$T$542,4,FALSE)</f>
        <v>0</v>
      </c>
      <c r="Y977" s="77">
        <f t="shared" si="3174"/>
        <v>1</v>
      </c>
      <c r="Z977" s="77">
        <f t="shared" si="3180"/>
        <v>5.8105767959420601E-2</v>
      </c>
      <c r="AA977" s="77">
        <f t="shared" si="3181"/>
        <v>4.7177853837598871E-3</v>
      </c>
      <c r="AB977" s="79">
        <v>1</v>
      </c>
      <c r="AC977" s="77">
        <f t="shared" si="3119"/>
        <v>7.5178181483119564E-3</v>
      </c>
      <c r="AD977" s="77">
        <f t="shared" ref="AD977" si="3316">1-(1-AC977)^(1/12)</f>
        <v>6.2865392894839722E-4</v>
      </c>
      <c r="AE977" s="77">
        <f t="shared" si="3121"/>
        <v>2.5000000000000001E-3</v>
      </c>
      <c r="AF977" s="77">
        <f t="shared" ref="AF977" si="3317">1-(1-AE977)^(1/12)</f>
        <v>2.0857243058891584E-4</v>
      </c>
      <c r="AH977" t="s">
        <v>175</v>
      </c>
      <c r="AI977" t="s">
        <v>179</v>
      </c>
      <c r="AJ977" s="197" t="str">
        <f t="shared" si="3108"/>
        <v>Lifecycle_Dynamic_110</v>
      </c>
      <c r="AK977">
        <v>110</v>
      </c>
      <c r="AL977">
        <f>VLOOKUP($U977,[2]Standard_Dynamic!$Q$1:$T$542,2,FALSE)</f>
        <v>0.43170633077792531</v>
      </c>
      <c r="AM977">
        <f>VLOOKUP($U977,[2]Standard_Dynamic!$Q$1:$T$542,3,FALSE)</f>
        <v>0.56829366922207469</v>
      </c>
      <c r="AN977">
        <f>VLOOKUP($U977,[2]Standard_Dynamic!$Q$1:$T$542,4,FALSE)</f>
        <v>0</v>
      </c>
      <c r="AO977" s="77">
        <f t="shared" si="3109"/>
        <v>1</v>
      </c>
      <c r="AP977" s="77">
        <f t="shared" si="3123"/>
        <v>5.708090154107695E-2</v>
      </c>
      <c r="AQ977" s="77">
        <f t="shared" si="3110"/>
        <v>4.6366530627437452E-3</v>
      </c>
      <c r="AR977" s="79">
        <v>0</v>
      </c>
      <c r="AS977" s="77">
        <f t="shared" si="3124"/>
        <v>0</v>
      </c>
      <c r="AT977" s="77">
        <f t="shared" ref="AT977" si="3318">1-(1-AS977)^(1/12)</f>
        <v>0</v>
      </c>
      <c r="AU977" s="77">
        <f t="shared" si="3126"/>
        <v>2.5000000000000001E-3</v>
      </c>
      <c r="AV977" s="77">
        <f t="shared" ref="AV977" si="3319">1-(1-AU977)^(1/12)</f>
        <v>2.0857243058891584E-4</v>
      </c>
      <c r="AX977" t="s">
        <v>178</v>
      </c>
      <c r="AY977" t="s">
        <v>162</v>
      </c>
      <c r="AZ977" s="197" t="str">
        <f t="shared" si="3206"/>
        <v>DIS_Standard_110</v>
      </c>
      <c r="BA977">
        <v>110</v>
      </c>
      <c r="BB977">
        <f>VLOOKUP($BA977,'[2]Standard DIS'!$Q$1:$X$542,4,FALSE)</f>
        <v>0</v>
      </c>
      <c r="BF977">
        <f>VLOOKUP($BA977,'[2]Standard DIS'!$Q$1:$X$542,2,FALSE)</f>
        <v>0.43170633077792531</v>
      </c>
      <c r="BH977">
        <f>VLOOKUP($BA977,'[2]Standard DIS'!$Q$1:$X$542,3,FALSE)</f>
        <v>0.56829366922207469</v>
      </c>
      <c r="BI977" s="77">
        <f t="shared" si="3113"/>
        <v>1</v>
      </c>
      <c r="BJ977" s="77">
        <f t="shared" si="3114"/>
        <v>5.708090154107695E-2</v>
      </c>
      <c r="BK977" s="77">
        <f t="shared" si="3207"/>
        <v>4.6366530627437452E-3</v>
      </c>
      <c r="BL977" s="79">
        <v>0</v>
      </c>
      <c r="BM977" s="77">
        <f t="shared" si="3128"/>
        <v>0</v>
      </c>
      <c r="BN977" s="77">
        <f t="shared" si="3129"/>
        <v>0</v>
      </c>
      <c r="BO977" s="77">
        <f t="shared" si="3130"/>
        <v>2.5000000000000001E-3</v>
      </c>
      <c r="BP977" s="77">
        <f t="shared" si="3131"/>
        <v>2.0809499864316017E-4</v>
      </c>
    </row>
    <row r="978" spans="1:68">
      <c r="A978" t="s">
        <v>175</v>
      </c>
      <c r="B978" t="s">
        <v>179</v>
      </c>
      <c r="C978" s="197" t="str">
        <f t="shared" si="3172"/>
        <v>Lifecycle_Dynamic_109</v>
      </c>
      <c r="D978">
        <v>109</v>
      </c>
      <c r="E978">
        <f>VLOOKUP($D978,'[2]LC Dynamic'!$Q$2:$U$542,2,FALSE)</f>
        <v>2.6916666666666669E-2</v>
      </c>
      <c r="F978">
        <f>VLOOKUP($D978,'[2]LC Dynamic'!$Q$2:$U$542,3,FALSE)</f>
        <v>0.31825000000000003</v>
      </c>
      <c r="G978">
        <f>VLOOKUP($D978,'[2]LC Dynamic'!$Q$2:$U$542,4,FALSE)</f>
        <v>0.65483333333333338</v>
      </c>
      <c r="H978">
        <f>VLOOKUP($D978,'[2]LC Dynamic'!$Q$2:$U$542,5,FALSE)</f>
        <v>0</v>
      </c>
      <c r="I978" s="77">
        <f t="shared" si="3104"/>
        <v>1</v>
      </c>
      <c r="J978" s="77">
        <f t="shared" si="3105"/>
        <v>5.8396443749999999E-2</v>
      </c>
      <c r="K978" s="77">
        <f t="shared" si="3179"/>
        <v>4.7407832714421172E-3</v>
      </c>
      <c r="L978" s="76">
        <v>0</v>
      </c>
      <c r="M978" s="77">
        <f t="shared" si="3115"/>
        <v>0</v>
      </c>
      <c r="N978" s="77">
        <f t="shared" si="3116"/>
        <v>0</v>
      </c>
      <c r="O978" s="77">
        <f t="shared" si="3117"/>
        <v>6.6570750000000001E-3</v>
      </c>
      <c r="P978" s="77">
        <f t="shared" si="3118"/>
        <v>5.5645613392285576E-4</v>
      </c>
      <c r="R978" t="s">
        <v>177</v>
      </c>
      <c r="S978" t="s">
        <v>179</v>
      </c>
      <c r="T978" s="197" t="str">
        <f t="shared" si="3173"/>
        <v>Autopilot_Dynamic_109</v>
      </c>
      <c r="U978">
        <v>109</v>
      </c>
      <c r="V978">
        <f>VLOOKUP($U978,'[2]AP Dynamic'!$Q$1:$T$542,2,FALSE)</f>
        <v>0.50890907415597808</v>
      </c>
      <c r="W978">
        <f>VLOOKUP($U978,'[2]AP Dynamic'!$Q$1:$T$542,3,FALSE)</f>
        <v>0.49109092584402192</v>
      </c>
      <c r="X978">
        <f>VLOOKUP($U978,'[2]AP Dynamic'!$Q$1:$T$542,4,FALSE)</f>
        <v>0</v>
      </c>
      <c r="Y978" s="77">
        <f t="shared" si="3174"/>
        <v>1</v>
      </c>
      <c r="Z978" s="77">
        <f t="shared" si="3180"/>
        <v>5.8105767959420601E-2</v>
      </c>
      <c r="AA978" s="77">
        <f t="shared" si="3181"/>
        <v>4.7177853837598871E-3</v>
      </c>
      <c r="AB978" s="79">
        <v>1</v>
      </c>
      <c r="AC978" s="77">
        <f t="shared" si="3119"/>
        <v>7.5178181483119564E-3</v>
      </c>
      <c r="AD978" s="77">
        <f t="shared" ref="AD978" si="3320">1-(1-AC978)^(1/12)</f>
        <v>6.2865392894839722E-4</v>
      </c>
      <c r="AE978" s="77">
        <f t="shared" si="3121"/>
        <v>2.5000000000000001E-3</v>
      </c>
      <c r="AF978" s="77">
        <f t="shared" ref="AF978" si="3321">1-(1-AE978)^(1/12)</f>
        <v>2.0857243058891584E-4</v>
      </c>
      <c r="AH978" t="s">
        <v>175</v>
      </c>
      <c r="AI978" t="s">
        <v>179</v>
      </c>
      <c r="AJ978" s="197" t="str">
        <f t="shared" si="3108"/>
        <v>Lifecycle_Dynamic_109</v>
      </c>
      <c r="AK978">
        <v>109</v>
      </c>
      <c r="AL978">
        <f>VLOOKUP($U978,[2]Standard_Dynamic!$Q$1:$T$542,2,FALSE)</f>
        <v>0.42398605644012</v>
      </c>
      <c r="AM978">
        <f>VLOOKUP($U978,[2]Standard_Dynamic!$Q$1:$T$542,3,FALSE)</f>
        <v>0.57601394355987989</v>
      </c>
      <c r="AN978">
        <f>VLOOKUP($U978,[2]Standard_Dynamic!$Q$1:$T$542,4,FALSE)</f>
        <v>0</v>
      </c>
      <c r="AO978" s="77">
        <f t="shared" si="3109"/>
        <v>0.99999999999999989</v>
      </c>
      <c r="AP978" s="77">
        <f t="shared" si="3123"/>
        <v>5.6978414899242574E-2</v>
      </c>
      <c r="AQ978" s="77">
        <f t="shared" si="3110"/>
        <v>4.6285358653246345E-3</v>
      </c>
      <c r="AR978" s="79">
        <v>0</v>
      </c>
      <c r="AS978" s="77">
        <f t="shared" si="3124"/>
        <v>0</v>
      </c>
      <c r="AT978" s="77">
        <f t="shared" ref="AT978" si="3322">1-(1-AS978)^(1/12)</f>
        <v>0</v>
      </c>
      <c r="AU978" s="77">
        <f t="shared" si="3126"/>
        <v>2.4999999999999996E-3</v>
      </c>
      <c r="AV978" s="77">
        <f t="shared" ref="AV978" si="3323">1-(1-AU978)^(1/12)</f>
        <v>2.0857243058891584E-4</v>
      </c>
      <c r="AX978" t="s">
        <v>178</v>
      </c>
      <c r="AY978" t="s">
        <v>162</v>
      </c>
      <c r="AZ978" s="197" t="str">
        <f t="shared" si="3206"/>
        <v>DIS_Standard_109</v>
      </c>
      <c r="BA978">
        <v>109</v>
      </c>
      <c r="BB978">
        <f>VLOOKUP($BA978,'[2]Standard DIS'!$Q$1:$X$542,4,FALSE)</f>
        <v>0</v>
      </c>
      <c r="BF978">
        <f>VLOOKUP($BA978,'[2]Standard DIS'!$Q$1:$X$542,2,FALSE)</f>
        <v>0.42398605644012</v>
      </c>
      <c r="BH978">
        <f>VLOOKUP($BA978,'[2]Standard DIS'!$Q$1:$X$542,3,FALSE)</f>
        <v>0.57601394355987989</v>
      </c>
      <c r="BI978" s="77">
        <f t="shared" si="3113"/>
        <v>0.99999999999999989</v>
      </c>
      <c r="BJ978" s="77">
        <f t="shared" si="3114"/>
        <v>5.6978414899242574E-2</v>
      </c>
      <c r="BK978" s="77">
        <f t="shared" si="3207"/>
        <v>4.6285358653246345E-3</v>
      </c>
      <c r="BL978" s="79">
        <v>0</v>
      </c>
      <c r="BM978" s="77">
        <f t="shared" si="3128"/>
        <v>0</v>
      </c>
      <c r="BN978" s="77">
        <f t="shared" si="3129"/>
        <v>0</v>
      </c>
      <c r="BO978" s="77">
        <f t="shared" si="3130"/>
        <v>2.4999999999999996E-3</v>
      </c>
      <c r="BP978" s="77">
        <f t="shared" si="3131"/>
        <v>2.0809499864316017E-4</v>
      </c>
    </row>
    <row r="979" spans="1:68">
      <c r="A979" t="s">
        <v>175</v>
      </c>
      <c r="B979" t="s">
        <v>179</v>
      </c>
      <c r="C979" s="197" t="str">
        <f t="shared" si="3172"/>
        <v>Lifecycle_Dynamic_108</v>
      </c>
      <c r="D979">
        <v>108</v>
      </c>
      <c r="E979">
        <f>VLOOKUP($D979,'[2]LC Dynamic'!$Q$2:$U$542,2,FALSE)</f>
        <v>2.8000000000000001E-2</v>
      </c>
      <c r="F979">
        <f>VLOOKUP($D979,'[2]LC Dynamic'!$Q$2:$U$542,3,FALSE)</f>
        <v>0.32300000000000001</v>
      </c>
      <c r="G979">
        <f>VLOOKUP($D979,'[2]LC Dynamic'!$Q$2:$U$542,4,FALSE)</f>
        <v>0.64900000000000002</v>
      </c>
      <c r="H979">
        <f>VLOOKUP($D979,'[2]LC Dynamic'!$Q$2:$U$542,5,FALSE)</f>
        <v>0</v>
      </c>
      <c r="I979" s="77">
        <f t="shared" si="3104"/>
        <v>1</v>
      </c>
      <c r="J979" s="77">
        <f t="shared" si="3105"/>
        <v>5.8288399999999997E-2</v>
      </c>
      <c r="K979" s="77">
        <f t="shared" si="3179"/>
        <v>4.7322356676535726E-3</v>
      </c>
      <c r="L979" s="76">
        <v>0</v>
      </c>
      <c r="M979" s="77">
        <f t="shared" si="3115"/>
        <v>0</v>
      </c>
      <c r="N979" s="77">
        <f t="shared" si="3116"/>
        <v>0</v>
      </c>
      <c r="O979" s="77">
        <f t="shared" si="3117"/>
        <v>6.6457000000000009E-3</v>
      </c>
      <c r="P979" s="77">
        <f t="shared" si="3118"/>
        <v>5.5550240062840484E-4</v>
      </c>
      <c r="R979" t="s">
        <v>177</v>
      </c>
      <c r="S979" t="s">
        <v>179</v>
      </c>
      <c r="T979" s="197" t="str">
        <f t="shared" si="3173"/>
        <v>Autopilot_Dynamic_108</v>
      </c>
      <c r="U979">
        <v>108</v>
      </c>
      <c r="V979">
        <f>VLOOKUP($U979,'[2]AP Dynamic'!$Q$1:$T$542,2,FALSE)</f>
        <v>0.41626578210231474</v>
      </c>
      <c r="W979">
        <f>VLOOKUP($U979,'[2]AP Dynamic'!$Q$1:$T$542,3,FALSE)</f>
        <v>0.5837342178976852</v>
      </c>
      <c r="X979">
        <f>VLOOKUP($U979,'[2]AP Dynamic'!$Q$1:$T$542,4,FALSE)</f>
        <v>0</v>
      </c>
      <c r="Y979" s="77">
        <f t="shared" si="3174"/>
        <v>1</v>
      </c>
      <c r="Z979" s="77">
        <f t="shared" si="3180"/>
        <v>5.6875928257408212E-2</v>
      </c>
      <c r="AA979" s="77">
        <f t="shared" si="3181"/>
        <v>4.6204179464026662E-3</v>
      </c>
      <c r="AB979" s="79">
        <v>1</v>
      </c>
      <c r="AC979" s="77">
        <f t="shared" si="3119"/>
        <v>7.332531564204629E-3</v>
      </c>
      <c r="AD979" s="77">
        <f t="shared" ref="AD979" si="3324">1-(1-AC979)^(1/12)</f>
        <v>6.1310753225352066E-4</v>
      </c>
      <c r="AE979" s="77">
        <f t="shared" si="3121"/>
        <v>2.4999999999999996E-3</v>
      </c>
      <c r="AF979" s="77">
        <f t="shared" ref="AF979" si="3325">1-(1-AE979)^(1/12)</f>
        <v>2.0857243058891584E-4</v>
      </c>
      <c r="AH979" t="s">
        <v>175</v>
      </c>
      <c r="AI979" t="s">
        <v>179</v>
      </c>
      <c r="AJ979" s="197" t="str">
        <f t="shared" si="3108"/>
        <v>Lifecycle_Dynamic_108</v>
      </c>
      <c r="AK979">
        <v>108</v>
      </c>
      <c r="AL979">
        <f>VLOOKUP($U979,[2]Standard_Dynamic!$Q$1:$T$542,2,FALSE)</f>
        <v>0.41626578210231474</v>
      </c>
      <c r="AM979">
        <f>VLOOKUP($U979,[2]Standard_Dynamic!$Q$1:$T$542,3,FALSE)</f>
        <v>0.5837342178976852</v>
      </c>
      <c r="AN979">
        <f>VLOOKUP($U979,[2]Standard_Dynamic!$Q$1:$T$542,4,FALSE)</f>
        <v>0</v>
      </c>
      <c r="AO979" s="77">
        <f t="shared" si="3109"/>
        <v>1</v>
      </c>
      <c r="AP979" s="77">
        <f t="shared" si="3123"/>
        <v>5.6875928257408212E-2</v>
      </c>
      <c r="AQ979" s="77">
        <f t="shared" si="3110"/>
        <v>4.6204179464026662E-3</v>
      </c>
      <c r="AR979" s="79">
        <v>0</v>
      </c>
      <c r="AS979" s="77">
        <f t="shared" si="3124"/>
        <v>0</v>
      </c>
      <c r="AT979" s="77">
        <f t="shared" ref="AT979" si="3326">1-(1-AS979)^(1/12)</f>
        <v>0</v>
      </c>
      <c r="AU979" s="77">
        <f t="shared" si="3126"/>
        <v>2.4999999999999996E-3</v>
      </c>
      <c r="AV979" s="77">
        <f t="shared" ref="AV979" si="3327">1-(1-AU979)^(1/12)</f>
        <v>2.0857243058891584E-4</v>
      </c>
      <c r="AX979" t="s">
        <v>178</v>
      </c>
      <c r="AY979" t="s">
        <v>162</v>
      </c>
      <c r="AZ979" s="197" t="str">
        <f t="shared" si="3206"/>
        <v>DIS_Standard_108</v>
      </c>
      <c r="BA979">
        <v>108</v>
      </c>
      <c r="BB979">
        <f>VLOOKUP($BA979,'[2]Standard DIS'!$Q$1:$X$542,4,FALSE)</f>
        <v>0</v>
      </c>
      <c r="BF979">
        <f>VLOOKUP($BA979,'[2]Standard DIS'!$Q$1:$X$542,2,FALSE)</f>
        <v>0.41626578210231474</v>
      </c>
      <c r="BH979">
        <f>VLOOKUP($BA979,'[2]Standard DIS'!$Q$1:$X$542,3,FALSE)</f>
        <v>0.5837342178976852</v>
      </c>
      <c r="BI979" s="77">
        <f t="shared" si="3113"/>
        <v>1</v>
      </c>
      <c r="BJ979" s="77">
        <f t="shared" si="3114"/>
        <v>5.6875928257408212E-2</v>
      </c>
      <c r="BK979" s="77">
        <f t="shared" si="3207"/>
        <v>4.6204179464026662E-3</v>
      </c>
      <c r="BL979" s="79">
        <v>0</v>
      </c>
      <c r="BM979" s="77">
        <f t="shared" si="3128"/>
        <v>0</v>
      </c>
      <c r="BN979" s="77">
        <f t="shared" si="3129"/>
        <v>0</v>
      </c>
      <c r="BO979" s="77">
        <f t="shared" si="3130"/>
        <v>2.4999999999999996E-3</v>
      </c>
      <c r="BP979" s="77">
        <f t="shared" si="3131"/>
        <v>2.0809499864316017E-4</v>
      </c>
    </row>
    <row r="980" spans="1:68">
      <c r="A980" t="s">
        <v>175</v>
      </c>
      <c r="B980" t="s">
        <v>179</v>
      </c>
      <c r="C980" s="197" t="str">
        <f t="shared" si="3172"/>
        <v>Lifecycle_Dynamic_107</v>
      </c>
      <c r="D980">
        <v>107</v>
      </c>
      <c r="E980">
        <f>VLOOKUP($D980,'[2]LC Dynamic'!$Q$2:$U$542,2,FALSE)</f>
        <v>2.9500000000000002E-2</v>
      </c>
      <c r="F980">
        <f>VLOOKUP($D980,'[2]LC Dynamic'!$Q$2:$U$542,3,FALSE)</f>
        <v>0.32650000000000001</v>
      </c>
      <c r="G980">
        <f>VLOOKUP($D980,'[2]LC Dynamic'!$Q$2:$U$542,4,FALSE)</f>
        <v>0.64400000000000002</v>
      </c>
      <c r="H980">
        <f>VLOOKUP($D980,'[2]LC Dynamic'!$Q$2:$U$542,5,FALSE)</f>
        <v>0</v>
      </c>
      <c r="I980" s="77">
        <f t="shared" si="3104"/>
        <v>1</v>
      </c>
      <c r="J980" s="77">
        <f t="shared" si="3105"/>
        <v>5.8193262499999995E-2</v>
      </c>
      <c r="K980" s="77">
        <f t="shared" si="3179"/>
        <v>4.7247084463559741E-3</v>
      </c>
      <c r="L980" s="76">
        <v>0</v>
      </c>
      <c r="M980" s="77">
        <f t="shared" si="3115"/>
        <v>0</v>
      </c>
      <c r="N980" s="77">
        <f t="shared" si="3116"/>
        <v>0</v>
      </c>
      <c r="O980" s="77">
        <f t="shared" si="3117"/>
        <v>6.6339499999999996E-3</v>
      </c>
      <c r="P980" s="77">
        <f t="shared" si="3118"/>
        <v>5.5451723608879178E-4</v>
      </c>
      <c r="R980" t="s">
        <v>177</v>
      </c>
      <c r="S980" t="s">
        <v>179</v>
      </c>
      <c r="T980" s="197" t="str">
        <f t="shared" si="3173"/>
        <v>Autopilot_Dynamic_107</v>
      </c>
      <c r="U980">
        <v>107</v>
      </c>
      <c r="V980">
        <f>VLOOKUP($U980,'[2]AP Dynamic'!$Q$1:$T$542,2,FALSE)</f>
        <v>0.41626578210231474</v>
      </c>
      <c r="W980">
        <f>VLOOKUP($U980,'[2]AP Dynamic'!$Q$1:$T$542,3,FALSE)</f>
        <v>0.5837342178976852</v>
      </c>
      <c r="X980">
        <f>VLOOKUP($U980,'[2]AP Dynamic'!$Q$1:$T$542,4,FALSE)</f>
        <v>0</v>
      </c>
      <c r="Y980" s="77">
        <f t="shared" si="3174"/>
        <v>1</v>
      </c>
      <c r="Z980" s="77">
        <f t="shared" si="3180"/>
        <v>5.6875928257408212E-2</v>
      </c>
      <c r="AA980" s="77">
        <f t="shared" si="3181"/>
        <v>4.6204179464026662E-3</v>
      </c>
      <c r="AB980" s="79">
        <v>1</v>
      </c>
      <c r="AC980" s="77">
        <f t="shared" si="3119"/>
        <v>7.332531564204629E-3</v>
      </c>
      <c r="AD980" s="77">
        <f t="shared" ref="AD980" si="3328">1-(1-AC980)^(1/12)</f>
        <v>6.1310753225352066E-4</v>
      </c>
      <c r="AE980" s="77">
        <f t="shared" si="3121"/>
        <v>2.4999999999999996E-3</v>
      </c>
      <c r="AF980" s="77">
        <f t="shared" ref="AF980" si="3329">1-(1-AE980)^(1/12)</f>
        <v>2.0857243058891584E-4</v>
      </c>
      <c r="AH980" t="s">
        <v>175</v>
      </c>
      <c r="AI980" t="s">
        <v>179</v>
      </c>
      <c r="AJ980" s="197" t="str">
        <f t="shared" si="3108"/>
        <v>Lifecycle_Dynamic_107</v>
      </c>
      <c r="AK980">
        <v>107</v>
      </c>
      <c r="AL980">
        <f>VLOOKUP($U980,[2]Standard_Dynamic!$Q$1:$T$542,2,FALSE)</f>
        <v>0.40947492260061935</v>
      </c>
      <c r="AM980">
        <f>VLOOKUP($U980,[2]Standard_Dynamic!$Q$1:$T$542,3,FALSE)</f>
        <v>0.59052507739938065</v>
      </c>
      <c r="AN980">
        <f>VLOOKUP($U980,[2]Standard_Dynamic!$Q$1:$T$542,4,FALSE)</f>
        <v>0</v>
      </c>
      <c r="AO980" s="77">
        <f t="shared" si="3109"/>
        <v>1</v>
      </c>
      <c r="AP980" s="77">
        <f t="shared" si="3123"/>
        <v>5.6785779597523213E-2</v>
      </c>
      <c r="AQ980" s="77">
        <f t="shared" si="3110"/>
        <v>4.6132767167061939E-3</v>
      </c>
      <c r="AR980" s="79">
        <v>0</v>
      </c>
      <c r="AS980" s="77">
        <f t="shared" si="3124"/>
        <v>0</v>
      </c>
      <c r="AT980" s="77">
        <f t="shared" ref="AT980" si="3330">1-(1-AS980)^(1/12)</f>
        <v>0</v>
      </c>
      <c r="AU980" s="77">
        <f t="shared" si="3126"/>
        <v>2.5000000000000001E-3</v>
      </c>
      <c r="AV980" s="77">
        <f t="shared" ref="AV980" si="3331">1-(1-AU980)^(1/12)</f>
        <v>2.0857243058891584E-4</v>
      </c>
      <c r="AX980" t="s">
        <v>178</v>
      </c>
      <c r="AY980" t="s">
        <v>162</v>
      </c>
      <c r="AZ980" s="197" t="str">
        <f t="shared" si="3206"/>
        <v>DIS_Standard_107</v>
      </c>
      <c r="BA980">
        <v>107</v>
      </c>
      <c r="BB980">
        <f>VLOOKUP($BA980,'[2]Standard DIS'!$Q$1:$X$542,4,FALSE)</f>
        <v>0</v>
      </c>
      <c r="BF980">
        <f>VLOOKUP($BA980,'[2]Standard DIS'!$Q$1:$X$542,2,FALSE)</f>
        <v>0.40947492260061935</v>
      </c>
      <c r="BH980">
        <f>VLOOKUP($BA980,'[2]Standard DIS'!$Q$1:$X$542,3,FALSE)</f>
        <v>0.59052507739938065</v>
      </c>
      <c r="BI980" s="77">
        <f t="shared" si="3113"/>
        <v>1</v>
      </c>
      <c r="BJ980" s="77">
        <f t="shared" si="3114"/>
        <v>5.6785779597523213E-2</v>
      </c>
      <c r="BK980" s="77">
        <f t="shared" si="3207"/>
        <v>4.6132767167061939E-3</v>
      </c>
      <c r="BL980" s="79">
        <v>0</v>
      </c>
      <c r="BM980" s="77">
        <f t="shared" si="3128"/>
        <v>0</v>
      </c>
      <c r="BN980" s="77">
        <f t="shared" si="3129"/>
        <v>0</v>
      </c>
      <c r="BO980" s="77">
        <f t="shared" si="3130"/>
        <v>2.5000000000000001E-3</v>
      </c>
      <c r="BP980" s="77">
        <f t="shared" si="3131"/>
        <v>2.0809499864316017E-4</v>
      </c>
    </row>
    <row r="981" spans="1:68">
      <c r="A981" t="s">
        <v>175</v>
      </c>
      <c r="B981" t="s">
        <v>179</v>
      </c>
      <c r="C981" s="197" t="str">
        <f t="shared" si="3172"/>
        <v>Lifecycle_Dynamic_106</v>
      </c>
      <c r="D981">
        <v>106</v>
      </c>
      <c r="E981">
        <f>VLOOKUP($D981,'[2]LC Dynamic'!$Q$2:$U$542,2,FALSE)</f>
        <v>3.1E-2</v>
      </c>
      <c r="F981">
        <f>VLOOKUP($D981,'[2]LC Dynamic'!$Q$2:$U$542,3,FALSE)</f>
        <v>0.33</v>
      </c>
      <c r="G981">
        <f>VLOOKUP($D981,'[2]LC Dynamic'!$Q$2:$U$542,4,FALSE)</f>
        <v>0.63900000000000001</v>
      </c>
      <c r="H981">
        <f>VLOOKUP($D981,'[2]LC Dynamic'!$Q$2:$U$542,5,FALSE)</f>
        <v>0</v>
      </c>
      <c r="I981" s="77">
        <f t="shared" si="3104"/>
        <v>1</v>
      </c>
      <c r="J981" s="77">
        <f t="shared" si="3105"/>
        <v>5.8098125E-2</v>
      </c>
      <c r="K981" s="77">
        <f t="shared" si="3179"/>
        <v>4.71718060468862E-3</v>
      </c>
      <c r="L981" s="76">
        <v>0</v>
      </c>
      <c r="M981" s="77">
        <f t="shared" si="3115"/>
        <v>0</v>
      </c>
      <c r="N981" s="77">
        <f t="shared" si="3116"/>
        <v>0</v>
      </c>
      <c r="O981" s="77">
        <f t="shared" si="3117"/>
        <v>6.6222E-3</v>
      </c>
      <c r="P981" s="77">
        <f t="shared" si="3118"/>
        <v>5.5353208223085648E-4</v>
      </c>
      <c r="R981" t="s">
        <v>177</v>
      </c>
      <c r="S981" t="s">
        <v>179</v>
      </c>
      <c r="T981" s="197" t="str">
        <f t="shared" si="3173"/>
        <v>Autopilot_Dynamic_106</v>
      </c>
      <c r="U981">
        <v>106</v>
      </c>
      <c r="V981">
        <f>VLOOKUP($U981,'[2]AP Dynamic'!$Q$1:$T$542,2,FALSE)</f>
        <v>0.41626578210231474</v>
      </c>
      <c r="W981">
        <f>VLOOKUP($U981,'[2]AP Dynamic'!$Q$1:$T$542,3,FALSE)</f>
        <v>0.5837342178976852</v>
      </c>
      <c r="X981">
        <f>VLOOKUP($U981,'[2]AP Dynamic'!$Q$1:$T$542,4,FALSE)</f>
        <v>0</v>
      </c>
      <c r="Y981" s="77">
        <f t="shared" si="3174"/>
        <v>1</v>
      </c>
      <c r="Z981" s="77">
        <f t="shared" si="3180"/>
        <v>5.6875928257408212E-2</v>
      </c>
      <c r="AA981" s="77">
        <f t="shared" si="3181"/>
        <v>4.6204179464026662E-3</v>
      </c>
      <c r="AB981" s="79">
        <v>1</v>
      </c>
      <c r="AC981" s="77">
        <f t="shared" si="3119"/>
        <v>7.332531564204629E-3</v>
      </c>
      <c r="AD981" s="77">
        <f t="shared" ref="AD981" si="3332">1-(1-AC981)^(1/12)</f>
        <v>6.1310753225352066E-4</v>
      </c>
      <c r="AE981" s="77">
        <f t="shared" si="3121"/>
        <v>2.4999999999999996E-3</v>
      </c>
      <c r="AF981" s="77">
        <f t="shared" ref="AF981" si="3333">1-(1-AE981)^(1/12)</f>
        <v>2.0857243058891584E-4</v>
      </c>
      <c r="AH981" t="s">
        <v>175</v>
      </c>
      <c r="AI981" t="s">
        <v>179</v>
      </c>
      <c r="AJ981" s="197" t="str">
        <f t="shared" si="3108"/>
        <v>Lifecycle_Dynamic_106</v>
      </c>
      <c r="AK981">
        <v>106</v>
      </c>
      <c r="AL981">
        <f>VLOOKUP($U981,[2]Standard_Dynamic!$Q$1:$T$542,2,FALSE)</f>
        <v>0.40268406309892391</v>
      </c>
      <c r="AM981">
        <f>VLOOKUP($U981,[2]Standard_Dynamic!$Q$1:$T$542,3,FALSE)</f>
        <v>0.59731593690107609</v>
      </c>
      <c r="AN981">
        <f>VLOOKUP($U981,[2]Standard_Dynamic!$Q$1:$T$542,4,FALSE)</f>
        <v>0</v>
      </c>
      <c r="AO981" s="77">
        <f t="shared" si="3109"/>
        <v>1</v>
      </c>
      <c r="AP981" s="77">
        <f t="shared" si="3123"/>
        <v>5.66956309376382E-2</v>
      </c>
      <c r="AQ981" s="77">
        <f t="shared" si="3110"/>
        <v>4.6061349285733133E-3</v>
      </c>
      <c r="AR981" s="79">
        <v>0</v>
      </c>
      <c r="AS981" s="77">
        <f t="shared" si="3124"/>
        <v>0</v>
      </c>
      <c r="AT981" s="77">
        <f t="shared" ref="AT981" si="3334">1-(1-AS981)^(1/12)</f>
        <v>0</v>
      </c>
      <c r="AU981" s="77">
        <f t="shared" si="3126"/>
        <v>2.5000000000000001E-3</v>
      </c>
      <c r="AV981" s="77">
        <f t="shared" ref="AV981" si="3335">1-(1-AU981)^(1/12)</f>
        <v>2.0857243058891584E-4</v>
      </c>
      <c r="AX981" t="s">
        <v>178</v>
      </c>
      <c r="AY981" t="s">
        <v>162</v>
      </c>
      <c r="AZ981" s="197" t="str">
        <f t="shared" si="3206"/>
        <v>DIS_Standard_106</v>
      </c>
      <c r="BA981">
        <v>106</v>
      </c>
      <c r="BB981">
        <f>VLOOKUP($BA981,'[2]Standard DIS'!$Q$1:$X$542,4,FALSE)</f>
        <v>0</v>
      </c>
      <c r="BF981">
        <f>VLOOKUP($BA981,'[2]Standard DIS'!$Q$1:$X$542,2,FALSE)</f>
        <v>0.40268406309892391</v>
      </c>
      <c r="BH981">
        <f>VLOOKUP($BA981,'[2]Standard DIS'!$Q$1:$X$542,3,FALSE)</f>
        <v>0.59731593690107609</v>
      </c>
      <c r="BI981" s="77">
        <f t="shared" si="3113"/>
        <v>1</v>
      </c>
      <c r="BJ981" s="77">
        <f t="shared" si="3114"/>
        <v>5.66956309376382E-2</v>
      </c>
      <c r="BK981" s="77">
        <f t="shared" si="3207"/>
        <v>4.6061349285733133E-3</v>
      </c>
      <c r="BL981" s="79">
        <v>0</v>
      </c>
      <c r="BM981" s="77">
        <f t="shared" si="3128"/>
        <v>0</v>
      </c>
      <c r="BN981" s="77">
        <f t="shared" si="3129"/>
        <v>0</v>
      </c>
      <c r="BO981" s="77">
        <f t="shared" si="3130"/>
        <v>2.5000000000000001E-3</v>
      </c>
      <c r="BP981" s="77">
        <f t="shared" si="3131"/>
        <v>2.0809499864316017E-4</v>
      </c>
    </row>
    <row r="982" spans="1:68">
      <c r="A982" t="s">
        <v>175</v>
      </c>
      <c r="B982" t="s">
        <v>179</v>
      </c>
      <c r="C982" s="197" t="str">
        <f t="shared" si="3172"/>
        <v>Lifecycle_Dynamic_105</v>
      </c>
      <c r="D982">
        <v>105</v>
      </c>
      <c r="E982">
        <f>VLOOKUP($D982,'[2]LC Dynamic'!$Q$2:$U$542,2,FALSE)</f>
        <v>3.2500000000000001E-2</v>
      </c>
      <c r="F982">
        <f>VLOOKUP($D982,'[2]LC Dynamic'!$Q$2:$U$542,3,FALSE)</f>
        <v>0.33350000000000002</v>
      </c>
      <c r="G982">
        <f>VLOOKUP($D982,'[2]LC Dynamic'!$Q$2:$U$542,4,FALSE)</f>
        <v>0.63400000000000001</v>
      </c>
      <c r="H982">
        <f>VLOOKUP($D982,'[2]LC Dynamic'!$Q$2:$U$542,5,FALSE)</f>
        <v>0</v>
      </c>
      <c r="I982" s="77">
        <f t="shared" si="3104"/>
        <v>1</v>
      </c>
      <c r="J982" s="77">
        <f t="shared" si="3105"/>
        <v>5.8002987499999992E-2</v>
      </c>
      <c r="K982" s="77">
        <f t="shared" si="3179"/>
        <v>4.7096521425442628E-3</v>
      </c>
      <c r="L982" s="76">
        <v>0</v>
      </c>
      <c r="M982" s="77">
        <f t="shared" si="3115"/>
        <v>0</v>
      </c>
      <c r="N982" s="77">
        <f t="shared" si="3116"/>
        <v>0</v>
      </c>
      <c r="O982" s="77">
        <f t="shared" si="3117"/>
        <v>6.6104500000000004E-3</v>
      </c>
      <c r="P982" s="77">
        <f t="shared" si="3118"/>
        <v>5.5254693905459895E-4</v>
      </c>
      <c r="R982" t="s">
        <v>177</v>
      </c>
      <c r="S982" t="s">
        <v>179</v>
      </c>
      <c r="T982" s="197" t="str">
        <f t="shared" si="3173"/>
        <v>Autopilot_Dynamic_105</v>
      </c>
      <c r="U982">
        <v>105</v>
      </c>
      <c r="V982">
        <f>VLOOKUP($U982,'[2]AP Dynamic'!$Q$1:$T$542,2,FALSE)</f>
        <v>0.41626578210231474</v>
      </c>
      <c r="W982">
        <f>VLOOKUP($U982,'[2]AP Dynamic'!$Q$1:$T$542,3,FALSE)</f>
        <v>0.5837342178976852</v>
      </c>
      <c r="X982">
        <f>VLOOKUP($U982,'[2]AP Dynamic'!$Q$1:$T$542,4,FALSE)</f>
        <v>0</v>
      </c>
      <c r="Y982" s="77">
        <f t="shared" si="3174"/>
        <v>1</v>
      </c>
      <c r="Z982" s="77">
        <f t="shared" si="3180"/>
        <v>5.6875928257408212E-2</v>
      </c>
      <c r="AA982" s="77">
        <f t="shared" si="3181"/>
        <v>4.6204179464026662E-3</v>
      </c>
      <c r="AB982" s="79">
        <v>1</v>
      </c>
      <c r="AC982" s="77">
        <f t="shared" si="3119"/>
        <v>7.332531564204629E-3</v>
      </c>
      <c r="AD982" s="77">
        <f t="shared" ref="AD982" si="3336">1-(1-AC982)^(1/12)</f>
        <v>6.1310753225352066E-4</v>
      </c>
      <c r="AE982" s="77">
        <f t="shared" si="3121"/>
        <v>2.4999999999999996E-3</v>
      </c>
      <c r="AF982" s="77">
        <f t="shared" ref="AF982" si="3337">1-(1-AE982)^(1/12)</f>
        <v>2.0857243058891584E-4</v>
      </c>
      <c r="AH982" t="s">
        <v>175</v>
      </c>
      <c r="AI982" t="s">
        <v>179</v>
      </c>
      <c r="AJ982" s="197" t="str">
        <f t="shared" si="3108"/>
        <v>Lifecycle_Dynamic_105</v>
      </c>
      <c r="AK982">
        <v>105</v>
      </c>
      <c r="AL982">
        <f>VLOOKUP($U982,[2]Standard_Dynamic!$Q$1:$T$542,2,FALSE)</f>
        <v>0.39589320359722846</v>
      </c>
      <c r="AM982">
        <f>VLOOKUP($U982,[2]Standard_Dynamic!$Q$1:$T$542,3,FALSE)</f>
        <v>0.60410679640277154</v>
      </c>
      <c r="AN982">
        <f>VLOOKUP($U982,[2]Standard_Dynamic!$Q$1:$T$542,4,FALSE)</f>
        <v>0</v>
      </c>
      <c r="AO982" s="77">
        <f t="shared" si="3109"/>
        <v>1</v>
      </c>
      <c r="AP982" s="77">
        <f t="shared" si="3123"/>
        <v>5.6605482277753194E-2</v>
      </c>
      <c r="AQ982" s="77">
        <f t="shared" si="3110"/>
        <v>4.5989925819125421E-3</v>
      </c>
      <c r="AR982" s="79">
        <v>0</v>
      </c>
      <c r="AS982" s="77">
        <f t="shared" si="3124"/>
        <v>0</v>
      </c>
      <c r="AT982" s="77">
        <f t="shared" ref="AT982" si="3338">1-(1-AS982)^(1/12)</f>
        <v>0</v>
      </c>
      <c r="AU982" s="77">
        <f t="shared" si="3126"/>
        <v>2.5000000000000001E-3</v>
      </c>
      <c r="AV982" s="77">
        <f t="shared" ref="AV982" si="3339">1-(1-AU982)^(1/12)</f>
        <v>2.0857243058891584E-4</v>
      </c>
      <c r="AX982" t="s">
        <v>178</v>
      </c>
      <c r="AY982" t="s">
        <v>162</v>
      </c>
      <c r="AZ982" s="197" t="str">
        <f t="shared" si="3206"/>
        <v>DIS_Standard_105</v>
      </c>
      <c r="BA982">
        <v>105</v>
      </c>
      <c r="BB982">
        <f>VLOOKUP($BA982,'[2]Standard DIS'!$Q$1:$X$542,4,FALSE)</f>
        <v>0</v>
      </c>
      <c r="BF982">
        <f>VLOOKUP($BA982,'[2]Standard DIS'!$Q$1:$X$542,2,FALSE)</f>
        <v>0.39589320359722846</v>
      </c>
      <c r="BH982">
        <f>VLOOKUP($BA982,'[2]Standard DIS'!$Q$1:$X$542,3,FALSE)</f>
        <v>0.60410679640277154</v>
      </c>
      <c r="BI982" s="77">
        <f t="shared" si="3113"/>
        <v>1</v>
      </c>
      <c r="BJ982" s="77">
        <f t="shared" si="3114"/>
        <v>5.6605482277753194E-2</v>
      </c>
      <c r="BK982" s="77">
        <f t="shared" si="3207"/>
        <v>4.5989925819125421E-3</v>
      </c>
      <c r="BL982" s="79">
        <v>0</v>
      </c>
      <c r="BM982" s="77">
        <f t="shared" si="3128"/>
        <v>0</v>
      </c>
      <c r="BN982" s="77">
        <f t="shared" si="3129"/>
        <v>0</v>
      </c>
      <c r="BO982" s="77">
        <f t="shared" si="3130"/>
        <v>2.5000000000000001E-3</v>
      </c>
      <c r="BP982" s="77">
        <f t="shared" si="3131"/>
        <v>2.0809499864316017E-4</v>
      </c>
    </row>
    <row r="983" spans="1:68">
      <c r="A983" t="s">
        <v>175</v>
      </c>
      <c r="B983" t="s">
        <v>179</v>
      </c>
      <c r="C983" s="197" t="str">
        <f t="shared" si="3172"/>
        <v>Lifecycle_Dynamic_104</v>
      </c>
      <c r="D983">
        <v>104</v>
      </c>
      <c r="E983">
        <f>VLOOKUP($D983,'[2]LC Dynamic'!$Q$2:$U$542,2,FALSE)</f>
        <v>3.4000000000000002E-2</v>
      </c>
      <c r="F983">
        <f>VLOOKUP($D983,'[2]LC Dynamic'!$Q$2:$U$542,3,FALSE)</f>
        <v>0.33700000000000002</v>
      </c>
      <c r="G983">
        <f>VLOOKUP($D983,'[2]LC Dynamic'!$Q$2:$U$542,4,FALSE)</f>
        <v>0.629</v>
      </c>
      <c r="H983">
        <f>VLOOKUP($D983,'[2]LC Dynamic'!$Q$2:$U$542,5,FALSE)</f>
        <v>0</v>
      </c>
      <c r="I983" s="77">
        <f t="shared" si="3104"/>
        <v>1</v>
      </c>
      <c r="J983" s="77">
        <f t="shared" si="3105"/>
        <v>5.7907849999999997E-2</v>
      </c>
      <c r="K983" s="77">
        <f t="shared" si="3179"/>
        <v>4.702123059816099E-3</v>
      </c>
      <c r="L983" s="76">
        <v>0</v>
      </c>
      <c r="M983" s="77">
        <f t="shared" si="3115"/>
        <v>0</v>
      </c>
      <c r="N983" s="77">
        <f t="shared" si="3116"/>
        <v>0</v>
      </c>
      <c r="O983" s="77">
        <f t="shared" si="3117"/>
        <v>6.598699999999999E-3</v>
      </c>
      <c r="P983" s="77">
        <f t="shared" si="3118"/>
        <v>5.5156180655979714E-4</v>
      </c>
      <c r="R983" t="s">
        <v>177</v>
      </c>
      <c r="S983" t="s">
        <v>179</v>
      </c>
      <c r="T983" s="197" t="str">
        <f t="shared" si="3173"/>
        <v>Autopilot_Dynamic_104</v>
      </c>
      <c r="U983">
        <v>104</v>
      </c>
      <c r="V983">
        <f>VLOOKUP($U983,'[2]AP Dynamic'!$Q$1:$T$542,2,FALSE)</f>
        <v>0.41626578210231474</v>
      </c>
      <c r="W983">
        <f>VLOOKUP($U983,'[2]AP Dynamic'!$Q$1:$T$542,3,FALSE)</f>
        <v>0.5837342178976852</v>
      </c>
      <c r="X983">
        <f>VLOOKUP($U983,'[2]AP Dynamic'!$Q$1:$T$542,4,FALSE)</f>
        <v>0</v>
      </c>
      <c r="Y983" s="77">
        <f t="shared" si="3174"/>
        <v>1</v>
      </c>
      <c r="Z983" s="77">
        <f t="shared" si="3180"/>
        <v>5.6875928257408212E-2</v>
      </c>
      <c r="AA983" s="77">
        <f t="shared" si="3181"/>
        <v>4.6204179464026662E-3</v>
      </c>
      <c r="AB983" s="79">
        <v>1</v>
      </c>
      <c r="AC983" s="77">
        <f t="shared" si="3119"/>
        <v>7.332531564204629E-3</v>
      </c>
      <c r="AD983" s="77">
        <f t="shared" ref="AD983" si="3340">1-(1-AC983)^(1/12)</f>
        <v>6.1310753225352066E-4</v>
      </c>
      <c r="AE983" s="77">
        <f t="shared" si="3121"/>
        <v>2.4999999999999996E-3</v>
      </c>
      <c r="AF983" s="77">
        <f t="shared" ref="AF983" si="3341">1-(1-AE983)^(1/12)</f>
        <v>2.0857243058891584E-4</v>
      </c>
      <c r="AH983" t="s">
        <v>175</v>
      </c>
      <c r="AI983" t="s">
        <v>179</v>
      </c>
      <c r="AJ983" s="197" t="str">
        <f t="shared" si="3108"/>
        <v>Lifecycle_Dynamic_104</v>
      </c>
      <c r="AK983">
        <v>104</v>
      </c>
      <c r="AL983">
        <f>VLOOKUP($U983,[2]Standard_Dynamic!$Q$1:$T$542,2,FALSE)</f>
        <v>0.38910234409553307</v>
      </c>
      <c r="AM983">
        <f>VLOOKUP($U983,[2]Standard_Dynamic!$Q$1:$T$542,3,FALSE)</f>
        <v>0.61089765590446687</v>
      </c>
      <c r="AN983">
        <f>VLOOKUP($U983,[2]Standard_Dynamic!$Q$1:$T$542,4,FALSE)</f>
        <v>0</v>
      </c>
      <c r="AO983" s="77">
        <f t="shared" si="3109"/>
        <v>1</v>
      </c>
      <c r="AP983" s="77">
        <f t="shared" si="3123"/>
        <v>5.6515333617868188E-2</v>
      </c>
      <c r="AQ983" s="77">
        <f t="shared" si="3110"/>
        <v>4.591849676632842E-3</v>
      </c>
      <c r="AR983" s="79">
        <v>0</v>
      </c>
      <c r="AS983" s="77">
        <f t="shared" si="3124"/>
        <v>0</v>
      </c>
      <c r="AT983" s="77">
        <f t="shared" ref="AT983" si="3342">1-(1-AS983)^(1/12)</f>
        <v>0</v>
      </c>
      <c r="AU983" s="77">
        <f t="shared" si="3126"/>
        <v>2.4999999999999996E-3</v>
      </c>
      <c r="AV983" s="77">
        <f t="shared" ref="AV983" si="3343">1-(1-AU983)^(1/12)</f>
        <v>2.0857243058891584E-4</v>
      </c>
      <c r="AX983" t="s">
        <v>178</v>
      </c>
      <c r="AY983" t="s">
        <v>162</v>
      </c>
      <c r="AZ983" s="197" t="str">
        <f t="shared" si="3206"/>
        <v>DIS_Standard_104</v>
      </c>
      <c r="BA983">
        <v>104</v>
      </c>
      <c r="BB983">
        <f>VLOOKUP($BA983,'[2]Standard DIS'!$Q$1:$X$542,4,FALSE)</f>
        <v>0</v>
      </c>
      <c r="BF983">
        <f>VLOOKUP($BA983,'[2]Standard DIS'!$Q$1:$X$542,2,FALSE)</f>
        <v>0.38910234409553307</v>
      </c>
      <c r="BH983">
        <f>VLOOKUP($BA983,'[2]Standard DIS'!$Q$1:$X$542,3,FALSE)</f>
        <v>0.61089765590446687</v>
      </c>
      <c r="BI983" s="77">
        <f t="shared" si="3113"/>
        <v>1</v>
      </c>
      <c r="BJ983" s="77">
        <f t="shared" si="3114"/>
        <v>5.6515333617868188E-2</v>
      </c>
      <c r="BK983" s="77">
        <f t="shared" si="3207"/>
        <v>4.591849676632842E-3</v>
      </c>
      <c r="BL983" s="79">
        <v>0</v>
      </c>
      <c r="BM983" s="77">
        <f t="shared" si="3128"/>
        <v>0</v>
      </c>
      <c r="BN983" s="77">
        <f t="shared" si="3129"/>
        <v>0</v>
      </c>
      <c r="BO983" s="77">
        <f t="shared" si="3130"/>
        <v>2.4999999999999996E-3</v>
      </c>
      <c r="BP983" s="77">
        <f t="shared" si="3131"/>
        <v>2.0809499864316017E-4</v>
      </c>
    </row>
    <row r="984" spans="1:68">
      <c r="A984" t="s">
        <v>175</v>
      </c>
      <c r="B984" t="s">
        <v>179</v>
      </c>
      <c r="C984" s="197" t="str">
        <f t="shared" si="3172"/>
        <v>Lifecycle_Dynamic_103</v>
      </c>
      <c r="D984">
        <v>103</v>
      </c>
      <c r="E984">
        <f>VLOOKUP($D984,'[2]LC Dynamic'!$Q$2:$U$542,2,FALSE)</f>
        <v>3.5499999999999997E-2</v>
      </c>
      <c r="F984">
        <f>VLOOKUP($D984,'[2]LC Dynamic'!$Q$2:$U$542,3,FALSE)</f>
        <v>0.34050000000000002</v>
      </c>
      <c r="G984">
        <f>VLOOKUP($D984,'[2]LC Dynamic'!$Q$2:$U$542,4,FALSE)</f>
        <v>0.624</v>
      </c>
      <c r="H984">
        <f>VLOOKUP($D984,'[2]LC Dynamic'!$Q$2:$U$542,5,FALSE)</f>
        <v>0</v>
      </c>
      <c r="I984" s="77">
        <f t="shared" si="3104"/>
        <v>1</v>
      </c>
      <c r="J984" s="77">
        <f t="shared" si="3105"/>
        <v>5.7812712499999995E-2</v>
      </c>
      <c r="K984" s="77">
        <f t="shared" si="3179"/>
        <v>4.6945933563971032E-3</v>
      </c>
      <c r="L984" s="76">
        <v>0</v>
      </c>
      <c r="M984" s="77">
        <f t="shared" si="3115"/>
        <v>0</v>
      </c>
      <c r="N984" s="77">
        <f t="shared" si="3116"/>
        <v>0</v>
      </c>
      <c r="O984" s="77">
        <f t="shared" si="3117"/>
        <v>6.5869500000000003E-3</v>
      </c>
      <c r="P984" s="77">
        <f t="shared" si="3118"/>
        <v>5.5057668474600696E-4</v>
      </c>
      <c r="R984" t="s">
        <v>177</v>
      </c>
      <c r="S984" t="s">
        <v>179</v>
      </c>
      <c r="T984" s="197" t="str">
        <f t="shared" si="3173"/>
        <v>Autopilot_Dynamic_103</v>
      </c>
      <c r="U984">
        <v>103</v>
      </c>
      <c r="V984">
        <f>VLOOKUP($U984,'[2]AP Dynamic'!$Q$1:$T$542,2,FALSE)</f>
        <v>0.41626578210231474</v>
      </c>
      <c r="W984">
        <f>VLOOKUP($U984,'[2]AP Dynamic'!$Q$1:$T$542,3,FALSE)</f>
        <v>0.5837342178976852</v>
      </c>
      <c r="X984">
        <f>VLOOKUP($U984,'[2]AP Dynamic'!$Q$1:$T$542,4,FALSE)</f>
        <v>0</v>
      </c>
      <c r="Y984" s="77">
        <f t="shared" si="3174"/>
        <v>1</v>
      </c>
      <c r="Z984" s="77">
        <f t="shared" si="3180"/>
        <v>5.6875928257408212E-2</v>
      </c>
      <c r="AA984" s="77">
        <f t="shared" si="3181"/>
        <v>4.6204179464026662E-3</v>
      </c>
      <c r="AB984" s="79">
        <v>1</v>
      </c>
      <c r="AC984" s="77">
        <f t="shared" si="3119"/>
        <v>7.332531564204629E-3</v>
      </c>
      <c r="AD984" s="77">
        <f t="shared" ref="AD984" si="3344">1-(1-AC984)^(1/12)</f>
        <v>6.1310753225352066E-4</v>
      </c>
      <c r="AE984" s="77">
        <f t="shared" si="3121"/>
        <v>2.4999999999999996E-3</v>
      </c>
      <c r="AF984" s="77">
        <f t="shared" ref="AF984" si="3345">1-(1-AE984)^(1/12)</f>
        <v>2.0857243058891584E-4</v>
      </c>
      <c r="AH984" t="s">
        <v>175</v>
      </c>
      <c r="AI984" t="s">
        <v>179</v>
      </c>
      <c r="AJ984" s="197" t="str">
        <f t="shared" si="3108"/>
        <v>Lifecycle_Dynamic_103</v>
      </c>
      <c r="AK984">
        <v>103</v>
      </c>
      <c r="AL984">
        <f>VLOOKUP($U984,[2]Standard_Dynamic!$Q$1:$T$542,2,FALSE)</f>
        <v>0.38231148459383768</v>
      </c>
      <c r="AM984">
        <f>VLOOKUP($U984,[2]Standard_Dynamic!$Q$1:$T$542,3,FALSE)</f>
        <v>0.61768851540616232</v>
      </c>
      <c r="AN984">
        <f>VLOOKUP($U984,[2]Standard_Dynamic!$Q$1:$T$542,4,FALSE)</f>
        <v>0</v>
      </c>
      <c r="AO984" s="77">
        <f t="shared" si="3109"/>
        <v>1</v>
      </c>
      <c r="AP984" s="77">
        <f t="shared" si="3123"/>
        <v>5.6425184957983182E-2</v>
      </c>
      <c r="AQ984" s="77">
        <f t="shared" si="3110"/>
        <v>4.5847062126425087E-3</v>
      </c>
      <c r="AR984" s="79">
        <v>0</v>
      </c>
      <c r="AS984" s="77">
        <f t="shared" si="3124"/>
        <v>0</v>
      </c>
      <c r="AT984" s="77">
        <f t="shared" ref="AT984" si="3346">1-(1-AS984)^(1/12)</f>
        <v>0</v>
      </c>
      <c r="AU984" s="77">
        <f t="shared" si="3126"/>
        <v>2.5000000000000001E-3</v>
      </c>
      <c r="AV984" s="77">
        <f t="shared" ref="AV984" si="3347">1-(1-AU984)^(1/12)</f>
        <v>2.0857243058891584E-4</v>
      </c>
      <c r="AX984" t="s">
        <v>178</v>
      </c>
      <c r="AY984" t="s">
        <v>162</v>
      </c>
      <c r="AZ984" s="197" t="str">
        <f t="shared" si="3206"/>
        <v>DIS_Standard_103</v>
      </c>
      <c r="BA984">
        <v>103</v>
      </c>
      <c r="BB984">
        <f>VLOOKUP($BA984,'[2]Standard DIS'!$Q$1:$X$542,4,FALSE)</f>
        <v>0</v>
      </c>
      <c r="BF984">
        <f>VLOOKUP($BA984,'[2]Standard DIS'!$Q$1:$X$542,2,FALSE)</f>
        <v>0.38231148459383768</v>
      </c>
      <c r="BH984">
        <f>VLOOKUP($BA984,'[2]Standard DIS'!$Q$1:$X$542,3,FALSE)</f>
        <v>0.61768851540616232</v>
      </c>
      <c r="BI984" s="77">
        <f t="shared" si="3113"/>
        <v>1</v>
      </c>
      <c r="BJ984" s="77">
        <f t="shared" si="3114"/>
        <v>5.6425184957983182E-2</v>
      </c>
      <c r="BK984" s="77">
        <f t="shared" si="3207"/>
        <v>4.5847062126425087E-3</v>
      </c>
      <c r="BL984" s="79">
        <v>0</v>
      </c>
      <c r="BM984" s="77">
        <f t="shared" si="3128"/>
        <v>0</v>
      </c>
      <c r="BN984" s="77">
        <f t="shared" si="3129"/>
        <v>0</v>
      </c>
      <c r="BO984" s="77">
        <f t="shared" si="3130"/>
        <v>2.5000000000000001E-3</v>
      </c>
      <c r="BP984" s="77">
        <f t="shared" si="3131"/>
        <v>2.0809499864316017E-4</v>
      </c>
    </row>
    <row r="985" spans="1:68">
      <c r="A985" t="s">
        <v>175</v>
      </c>
      <c r="B985" t="s">
        <v>179</v>
      </c>
      <c r="C985" s="197" t="str">
        <f t="shared" si="3172"/>
        <v>Lifecycle_Dynamic_102</v>
      </c>
      <c r="D985">
        <v>102</v>
      </c>
      <c r="E985">
        <f>VLOOKUP($D985,'[2]LC Dynamic'!$Q$2:$U$542,2,FALSE)</f>
        <v>3.6999999999999998E-2</v>
      </c>
      <c r="F985">
        <f>VLOOKUP($D985,'[2]LC Dynamic'!$Q$2:$U$542,3,FALSE)</f>
        <v>0.34399999999999997</v>
      </c>
      <c r="G985">
        <f>VLOOKUP($D985,'[2]LC Dynamic'!$Q$2:$U$542,4,FALSE)</f>
        <v>0.61899999999999999</v>
      </c>
      <c r="H985">
        <f>VLOOKUP($D985,'[2]LC Dynamic'!$Q$2:$U$542,5,FALSE)</f>
        <v>0</v>
      </c>
      <c r="I985" s="77">
        <f t="shared" si="3104"/>
        <v>1</v>
      </c>
      <c r="J985" s="77">
        <f t="shared" si="3105"/>
        <v>5.7717574999999993E-2</v>
      </c>
      <c r="K985" s="77">
        <f t="shared" si="3179"/>
        <v>4.6870630321804718E-3</v>
      </c>
      <c r="L985" s="76">
        <v>0</v>
      </c>
      <c r="M985" s="77">
        <f t="shared" si="3115"/>
        <v>0</v>
      </c>
      <c r="N985" s="77">
        <f t="shared" si="3116"/>
        <v>0</v>
      </c>
      <c r="O985" s="77">
        <f t="shared" si="3117"/>
        <v>6.5751999999999998E-3</v>
      </c>
      <c r="P985" s="77">
        <f t="shared" si="3118"/>
        <v>5.4959157361311739E-4</v>
      </c>
      <c r="R985" t="s">
        <v>177</v>
      </c>
      <c r="S985" t="s">
        <v>179</v>
      </c>
      <c r="T985" s="197" t="str">
        <f t="shared" si="3173"/>
        <v>Autopilot_Dynamic_102</v>
      </c>
      <c r="U985">
        <v>102</v>
      </c>
      <c r="V985">
        <f>VLOOKUP($U985,'[2]AP Dynamic'!$Q$1:$T$542,2,FALSE)</f>
        <v>0.41626578210231474</v>
      </c>
      <c r="W985">
        <f>VLOOKUP($U985,'[2]AP Dynamic'!$Q$1:$T$542,3,FALSE)</f>
        <v>0.5837342178976852</v>
      </c>
      <c r="X985">
        <f>VLOOKUP($U985,'[2]AP Dynamic'!$Q$1:$T$542,4,FALSE)</f>
        <v>0</v>
      </c>
      <c r="Y985" s="77">
        <f t="shared" si="3174"/>
        <v>1</v>
      </c>
      <c r="Z985" s="77">
        <f t="shared" si="3180"/>
        <v>5.6875928257408212E-2</v>
      </c>
      <c r="AA985" s="77">
        <f t="shared" si="3181"/>
        <v>4.6204179464026662E-3</v>
      </c>
      <c r="AB985" s="79">
        <v>1</v>
      </c>
      <c r="AC985" s="77">
        <f t="shared" si="3119"/>
        <v>7.332531564204629E-3</v>
      </c>
      <c r="AD985" s="77">
        <f t="shared" ref="AD985" si="3348">1-(1-AC985)^(1/12)</f>
        <v>6.1310753225352066E-4</v>
      </c>
      <c r="AE985" s="77">
        <f t="shared" si="3121"/>
        <v>2.4999999999999996E-3</v>
      </c>
      <c r="AF985" s="77">
        <f t="shared" ref="AF985" si="3349">1-(1-AE985)^(1/12)</f>
        <v>2.0857243058891584E-4</v>
      </c>
      <c r="AH985" t="s">
        <v>175</v>
      </c>
      <c r="AI985" t="s">
        <v>179</v>
      </c>
      <c r="AJ985" s="197" t="str">
        <f t="shared" si="3108"/>
        <v>Lifecycle_Dynamic_102</v>
      </c>
      <c r="AK985">
        <v>102</v>
      </c>
      <c r="AL985">
        <f>VLOOKUP($U985,[2]Standard_Dynamic!$Q$1:$T$542,2,FALSE)</f>
        <v>0.37552062509214224</v>
      </c>
      <c r="AM985">
        <f>VLOOKUP($U985,[2]Standard_Dynamic!$Q$1:$T$542,3,FALSE)</f>
        <v>0.62447937490785776</v>
      </c>
      <c r="AN985">
        <f>VLOOKUP($U985,[2]Standard_Dynamic!$Q$1:$T$542,4,FALSE)</f>
        <v>0</v>
      </c>
      <c r="AO985" s="77">
        <f t="shared" si="3109"/>
        <v>1</v>
      </c>
      <c r="AP985" s="77">
        <f t="shared" si="3123"/>
        <v>5.6335036298098176E-2</v>
      </c>
      <c r="AQ985" s="77">
        <f t="shared" si="3110"/>
        <v>4.5775621898505037E-3</v>
      </c>
      <c r="AR985" s="79">
        <v>0</v>
      </c>
      <c r="AS985" s="77">
        <f t="shared" si="3124"/>
        <v>0</v>
      </c>
      <c r="AT985" s="77">
        <f t="shared" ref="AT985" si="3350">1-(1-AS985)^(1/12)</f>
        <v>0</v>
      </c>
      <c r="AU985" s="77">
        <f t="shared" si="3126"/>
        <v>2.5000000000000001E-3</v>
      </c>
      <c r="AV985" s="77">
        <f t="shared" ref="AV985" si="3351">1-(1-AU985)^(1/12)</f>
        <v>2.0857243058891584E-4</v>
      </c>
      <c r="AX985" t="s">
        <v>178</v>
      </c>
      <c r="AY985" t="s">
        <v>162</v>
      </c>
      <c r="AZ985" s="197" t="str">
        <f t="shared" si="3206"/>
        <v>DIS_Standard_102</v>
      </c>
      <c r="BA985">
        <v>102</v>
      </c>
      <c r="BB985">
        <f>VLOOKUP($BA985,'[2]Standard DIS'!$Q$1:$X$542,4,FALSE)</f>
        <v>0</v>
      </c>
      <c r="BF985">
        <f>VLOOKUP($BA985,'[2]Standard DIS'!$Q$1:$X$542,2,FALSE)</f>
        <v>0.37552062509214224</v>
      </c>
      <c r="BH985">
        <f>VLOOKUP($BA985,'[2]Standard DIS'!$Q$1:$X$542,3,FALSE)</f>
        <v>0.62447937490785776</v>
      </c>
      <c r="BI985" s="77">
        <f t="shared" si="3113"/>
        <v>1</v>
      </c>
      <c r="BJ985" s="77">
        <f t="shared" si="3114"/>
        <v>5.6335036298098176E-2</v>
      </c>
      <c r="BK985" s="77">
        <f t="shared" si="3207"/>
        <v>4.5775621898505037E-3</v>
      </c>
      <c r="BL985" s="79">
        <v>0</v>
      </c>
      <c r="BM985" s="77">
        <f t="shared" si="3128"/>
        <v>0</v>
      </c>
      <c r="BN985" s="77">
        <f t="shared" si="3129"/>
        <v>0</v>
      </c>
      <c r="BO985" s="77">
        <f t="shared" si="3130"/>
        <v>2.5000000000000001E-3</v>
      </c>
      <c r="BP985" s="77">
        <f t="shared" si="3131"/>
        <v>2.0809499864316017E-4</v>
      </c>
    </row>
    <row r="986" spans="1:68">
      <c r="A986" t="s">
        <v>175</v>
      </c>
      <c r="B986" t="s">
        <v>179</v>
      </c>
      <c r="C986" s="197" t="str">
        <f t="shared" si="3172"/>
        <v>Lifecycle_Dynamic_101</v>
      </c>
      <c r="D986">
        <v>101</v>
      </c>
      <c r="E986">
        <f>VLOOKUP($D986,'[2]LC Dynamic'!$Q$2:$U$542,2,FALSE)</f>
        <v>3.85E-2</v>
      </c>
      <c r="F986">
        <f>VLOOKUP($D986,'[2]LC Dynamic'!$Q$2:$U$542,3,FALSE)</f>
        <v>0.34749999999999998</v>
      </c>
      <c r="G986">
        <f>VLOOKUP($D986,'[2]LC Dynamic'!$Q$2:$U$542,4,FALSE)</f>
        <v>0.61399999999999999</v>
      </c>
      <c r="H986">
        <f>VLOOKUP($D986,'[2]LC Dynamic'!$Q$2:$U$542,5,FALSE)</f>
        <v>0</v>
      </c>
      <c r="I986" s="77">
        <f t="shared" si="3104"/>
        <v>1</v>
      </c>
      <c r="J986" s="77">
        <f t="shared" si="3105"/>
        <v>5.7622437499999991E-2</v>
      </c>
      <c r="K986" s="77">
        <f t="shared" si="3179"/>
        <v>4.6795320870587354E-3</v>
      </c>
      <c r="L986" s="76">
        <v>0</v>
      </c>
      <c r="M986" s="77">
        <f t="shared" si="3115"/>
        <v>0</v>
      </c>
      <c r="N986" s="77">
        <f t="shared" si="3116"/>
        <v>0</v>
      </c>
      <c r="O986" s="77">
        <f t="shared" si="3117"/>
        <v>6.5634500000000002E-3</v>
      </c>
      <c r="P986" s="77">
        <f t="shared" si="3118"/>
        <v>5.4860647316090638E-4</v>
      </c>
      <c r="R986" t="s">
        <v>177</v>
      </c>
      <c r="S986" t="s">
        <v>179</v>
      </c>
      <c r="T986" s="197" t="str">
        <f t="shared" si="3173"/>
        <v>Autopilot_Dynamic_101</v>
      </c>
      <c r="U986">
        <v>101</v>
      </c>
      <c r="V986">
        <f>VLOOKUP($U986,'[2]AP Dynamic'!$Q$1:$T$542,2,FALSE)</f>
        <v>0.41626578210231474</v>
      </c>
      <c r="W986">
        <f>VLOOKUP($U986,'[2]AP Dynamic'!$Q$1:$T$542,3,FALSE)</f>
        <v>0.5837342178976852</v>
      </c>
      <c r="X986">
        <f>VLOOKUP($U986,'[2]AP Dynamic'!$Q$1:$T$542,4,FALSE)</f>
        <v>0</v>
      </c>
      <c r="Y986" s="77">
        <f t="shared" si="3174"/>
        <v>1</v>
      </c>
      <c r="Z986" s="77">
        <f t="shared" si="3180"/>
        <v>5.6875928257408212E-2</v>
      </c>
      <c r="AA986" s="77">
        <f t="shared" si="3181"/>
        <v>4.6204179464026662E-3</v>
      </c>
      <c r="AB986" s="79">
        <v>1</v>
      </c>
      <c r="AC986" s="77">
        <f t="shared" si="3119"/>
        <v>7.332531564204629E-3</v>
      </c>
      <c r="AD986" s="77">
        <f t="shared" ref="AD986" si="3352">1-(1-AC986)^(1/12)</f>
        <v>6.1310753225352066E-4</v>
      </c>
      <c r="AE986" s="77">
        <f t="shared" si="3121"/>
        <v>2.4999999999999996E-3</v>
      </c>
      <c r="AF986" s="77">
        <f t="shared" ref="AF986" si="3353">1-(1-AE986)^(1/12)</f>
        <v>2.0857243058891584E-4</v>
      </c>
      <c r="AH986" t="s">
        <v>175</v>
      </c>
      <c r="AI986" t="s">
        <v>179</v>
      </c>
      <c r="AJ986" s="197" t="str">
        <f t="shared" si="3108"/>
        <v>Lifecycle_Dynamic_101</v>
      </c>
      <c r="AK986">
        <v>101</v>
      </c>
      <c r="AL986">
        <f>VLOOKUP($U986,[2]Standard_Dynamic!$Q$1:$T$542,2,FALSE)</f>
        <v>0.36872976559044679</v>
      </c>
      <c r="AM986">
        <f>VLOOKUP($U986,[2]Standard_Dynamic!$Q$1:$T$542,3,FALSE)</f>
        <v>0.63127023440955321</v>
      </c>
      <c r="AN986">
        <f>VLOOKUP($U986,[2]Standard_Dynamic!$Q$1:$T$542,4,FALSE)</f>
        <v>0</v>
      </c>
      <c r="AO986" s="77">
        <f t="shared" si="3109"/>
        <v>1</v>
      </c>
      <c r="AP986" s="77">
        <f t="shared" si="3123"/>
        <v>5.624488763821317E-2</v>
      </c>
      <c r="AQ986" s="77">
        <f t="shared" si="3110"/>
        <v>4.5704176081653447E-3</v>
      </c>
      <c r="AR986" s="79">
        <v>0</v>
      </c>
      <c r="AS986" s="77">
        <f t="shared" si="3124"/>
        <v>0</v>
      </c>
      <c r="AT986" s="77">
        <f t="shared" ref="AT986" si="3354">1-(1-AS986)^(1/12)</f>
        <v>0</v>
      </c>
      <c r="AU986" s="77">
        <f t="shared" si="3126"/>
        <v>2.5000000000000001E-3</v>
      </c>
      <c r="AV986" s="77">
        <f t="shared" ref="AV986" si="3355">1-(1-AU986)^(1/12)</f>
        <v>2.0857243058891584E-4</v>
      </c>
      <c r="AX986" t="s">
        <v>178</v>
      </c>
      <c r="AY986" t="s">
        <v>162</v>
      </c>
      <c r="AZ986" s="197" t="str">
        <f t="shared" si="3206"/>
        <v>DIS_Standard_101</v>
      </c>
      <c r="BA986">
        <v>101</v>
      </c>
      <c r="BB986">
        <f>VLOOKUP($BA986,'[2]Standard DIS'!$Q$1:$X$542,4,FALSE)</f>
        <v>0</v>
      </c>
      <c r="BF986">
        <f>VLOOKUP($BA986,'[2]Standard DIS'!$Q$1:$X$542,2,FALSE)</f>
        <v>0.36872976559044679</v>
      </c>
      <c r="BH986">
        <f>VLOOKUP($BA986,'[2]Standard DIS'!$Q$1:$X$542,3,FALSE)</f>
        <v>0.63127023440955321</v>
      </c>
      <c r="BI986" s="77">
        <f t="shared" si="3113"/>
        <v>1</v>
      </c>
      <c r="BJ986" s="77">
        <f t="shared" si="3114"/>
        <v>5.624488763821317E-2</v>
      </c>
      <c r="BK986" s="77">
        <f t="shared" si="3207"/>
        <v>4.5704176081653447E-3</v>
      </c>
      <c r="BL986" s="79">
        <v>0</v>
      </c>
      <c r="BM986" s="77">
        <f t="shared" si="3128"/>
        <v>0</v>
      </c>
      <c r="BN986" s="77">
        <f t="shared" si="3129"/>
        <v>0</v>
      </c>
      <c r="BO986" s="77">
        <f t="shared" si="3130"/>
        <v>2.5000000000000001E-3</v>
      </c>
      <c r="BP986" s="77">
        <f t="shared" si="3131"/>
        <v>2.0809499864316017E-4</v>
      </c>
    </row>
    <row r="987" spans="1:68">
      <c r="A987" t="s">
        <v>175</v>
      </c>
      <c r="B987" t="s">
        <v>179</v>
      </c>
      <c r="C987" s="197" t="str">
        <f t="shared" si="3172"/>
        <v>Lifecycle_Dynamic_100</v>
      </c>
      <c r="D987">
        <v>100</v>
      </c>
      <c r="E987">
        <f>VLOOKUP($D987,'[2]LC Dynamic'!$Q$2:$U$542,2,FALSE)</f>
        <v>0.04</v>
      </c>
      <c r="F987">
        <f>VLOOKUP($D987,'[2]LC Dynamic'!$Q$2:$U$542,3,FALSE)</f>
        <v>0.35099999999999998</v>
      </c>
      <c r="G987">
        <f>VLOOKUP($D987,'[2]LC Dynamic'!$Q$2:$U$542,4,FALSE)</f>
        <v>0.60899999999999999</v>
      </c>
      <c r="H987">
        <f>VLOOKUP($D987,'[2]LC Dynamic'!$Q$2:$U$542,5,FALSE)</f>
        <v>0</v>
      </c>
      <c r="I987" s="77">
        <f t="shared" si="3104"/>
        <v>1</v>
      </c>
      <c r="J987" s="77">
        <f t="shared" si="3105"/>
        <v>5.752729999999999E-2</v>
      </c>
      <c r="K987" s="77">
        <f t="shared" si="3179"/>
        <v>4.6720005209253124E-3</v>
      </c>
      <c r="L987" s="76">
        <v>0</v>
      </c>
      <c r="M987" s="77">
        <f t="shared" si="3115"/>
        <v>0</v>
      </c>
      <c r="N987" s="77">
        <f t="shared" si="3116"/>
        <v>0</v>
      </c>
      <c r="O987" s="77">
        <f t="shared" si="3117"/>
        <v>6.5516999999999988E-3</v>
      </c>
      <c r="P987" s="77">
        <f t="shared" si="3118"/>
        <v>5.4762138338904087E-4</v>
      </c>
      <c r="R987" t="s">
        <v>177</v>
      </c>
      <c r="S987" t="s">
        <v>179</v>
      </c>
      <c r="T987" s="197" t="str">
        <f t="shared" si="3173"/>
        <v>Autopilot_Dynamic_100</v>
      </c>
      <c r="U987">
        <v>100</v>
      </c>
      <c r="V987">
        <f>VLOOKUP($U987,'[2]AP Dynamic'!$Q$1:$T$542,2,FALSE)</f>
        <v>0.41626578210231474</v>
      </c>
      <c r="W987">
        <f>VLOOKUP($U987,'[2]AP Dynamic'!$Q$1:$T$542,3,FALSE)</f>
        <v>0.5837342178976852</v>
      </c>
      <c r="X987">
        <f>VLOOKUP($U987,'[2]AP Dynamic'!$Q$1:$T$542,4,FALSE)</f>
        <v>0</v>
      </c>
      <c r="Y987" s="77">
        <f t="shared" si="3174"/>
        <v>1</v>
      </c>
      <c r="Z987" s="77">
        <f t="shared" si="3180"/>
        <v>5.6875928257408212E-2</v>
      </c>
      <c r="AA987" s="77">
        <f t="shared" si="3181"/>
        <v>4.6204179464026662E-3</v>
      </c>
      <c r="AB987" s="79">
        <v>1</v>
      </c>
      <c r="AC987" s="77">
        <f t="shared" si="3119"/>
        <v>7.332531564204629E-3</v>
      </c>
      <c r="AD987" s="77">
        <f t="shared" ref="AD987" si="3356">1-(1-AC987)^(1/12)</f>
        <v>6.1310753225352066E-4</v>
      </c>
      <c r="AE987" s="77">
        <f t="shared" si="3121"/>
        <v>2.4999999999999996E-3</v>
      </c>
      <c r="AF987" s="77">
        <f t="shared" ref="AF987" si="3357">1-(1-AE987)^(1/12)</f>
        <v>2.0857243058891584E-4</v>
      </c>
      <c r="AH987" t="s">
        <v>175</v>
      </c>
      <c r="AI987" t="s">
        <v>179</v>
      </c>
      <c r="AJ987" s="197" t="str">
        <f t="shared" si="3108"/>
        <v>Lifecycle_Dynamic_100</v>
      </c>
      <c r="AK987">
        <v>100</v>
      </c>
      <c r="AL987">
        <f>VLOOKUP($U987,[2]Standard_Dynamic!$Q$1:$T$542,2,FALSE)</f>
        <v>0.3619389060887514</v>
      </c>
      <c r="AM987">
        <f>VLOOKUP($U987,[2]Standard_Dynamic!$Q$1:$T$542,3,FALSE)</f>
        <v>0.63806109391124866</v>
      </c>
      <c r="AN987">
        <f>VLOOKUP($U987,[2]Standard_Dynamic!$Q$1:$T$542,4,FALSE)</f>
        <v>0</v>
      </c>
      <c r="AO987" s="77">
        <f t="shared" si="3109"/>
        <v>1</v>
      </c>
      <c r="AP987" s="77">
        <f t="shared" si="3123"/>
        <v>5.6154738978328164E-2</v>
      </c>
      <c r="AQ987" s="77">
        <f t="shared" si="3110"/>
        <v>4.5632724674953273E-3</v>
      </c>
      <c r="AR987" s="79">
        <v>0</v>
      </c>
      <c r="AS987" s="77">
        <f t="shared" si="3124"/>
        <v>0</v>
      </c>
      <c r="AT987" s="77">
        <f t="shared" ref="AT987" si="3358">1-(1-AS987)^(1/12)</f>
        <v>0</v>
      </c>
      <c r="AU987" s="77">
        <f t="shared" si="3126"/>
        <v>2.5000000000000001E-3</v>
      </c>
      <c r="AV987" s="77">
        <f t="shared" ref="AV987" si="3359">1-(1-AU987)^(1/12)</f>
        <v>2.0857243058891584E-4</v>
      </c>
      <c r="AX987" t="s">
        <v>178</v>
      </c>
      <c r="AY987" t="s">
        <v>162</v>
      </c>
      <c r="AZ987" s="197" t="str">
        <f t="shared" si="3206"/>
        <v>DIS_Standard_100</v>
      </c>
      <c r="BA987">
        <v>100</v>
      </c>
      <c r="BB987">
        <f>VLOOKUP($BA987,'[2]Standard DIS'!$Q$1:$X$542,4,FALSE)</f>
        <v>0</v>
      </c>
      <c r="BF987">
        <f>VLOOKUP($BA987,'[2]Standard DIS'!$Q$1:$X$542,2,FALSE)</f>
        <v>0.3619389060887514</v>
      </c>
      <c r="BH987">
        <f>VLOOKUP($BA987,'[2]Standard DIS'!$Q$1:$X$542,3,FALSE)</f>
        <v>0.63806109391124866</v>
      </c>
      <c r="BI987" s="77">
        <f t="shared" si="3113"/>
        <v>1</v>
      </c>
      <c r="BJ987" s="77">
        <f t="shared" si="3114"/>
        <v>5.6154738978328164E-2</v>
      </c>
      <c r="BK987" s="77">
        <f t="shared" si="3207"/>
        <v>4.5632724674953273E-3</v>
      </c>
      <c r="BL987" s="79">
        <v>0</v>
      </c>
      <c r="BM987" s="77">
        <f t="shared" si="3128"/>
        <v>0</v>
      </c>
      <c r="BN987" s="77">
        <f t="shared" si="3129"/>
        <v>0</v>
      </c>
      <c r="BO987" s="77">
        <f t="shared" si="3130"/>
        <v>2.5000000000000001E-3</v>
      </c>
      <c r="BP987" s="77">
        <f t="shared" si="3131"/>
        <v>2.0809499864316017E-4</v>
      </c>
    </row>
    <row r="988" spans="1:68">
      <c r="A988" t="s">
        <v>175</v>
      </c>
      <c r="B988" t="s">
        <v>179</v>
      </c>
      <c r="C988" s="197" t="str">
        <f t="shared" si="3172"/>
        <v>Lifecycle_Dynamic_99</v>
      </c>
      <c r="D988">
        <v>99</v>
      </c>
      <c r="E988">
        <f>VLOOKUP($D988,'[2]LC Dynamic'!$Q$2:$U$542,2,FALSE)</f>
        <v>4.1500000000000002E-2</v>
      </c>
      <c r="F988">
        <f>VLOOKUP($D988,'[2]LC Dynamic'!$Q$2:$U$542,3,FALSE)</f>
        <v>0.35449999999999998</v>
      </c>
      <c r="G988">
        <f>VLOOKUP($D988,'[2]LC Dynamic'!$Q$2:$U$542,4,FALSE)</f>
        <v>0.60399999999999998</v>
      </c>
      <c r="H988">
        <f>VLOOKUP($D988,'[2]LC Dynamic'!$Q$2:$U$542,5,FALSE)</f>
        <v>0</v>
      </c>
      <c r="I988" s="77">
        <f t="shared" si="3104"/>
        <v>1</v>
      </c>
      <c r="J988" s="77">
        <f t="shared" si="3105"/>
        <v>5.7432162499999995E-2</v>
      </c>
      <c r="K988" s="77">
        <f t="shared" si="3179"/>
        <v>4.6644683336729553E-3</v>
      </c>
      <c r="L988" s="76">
        <v>0</v>
      </c>
      <c r="M988" s="77">
        <f t="shared" si="3115"/>
        <v>0</v>
      </c>
      <c r="N988" s="77">
        <f t="shared" si="3116"/>
        <v>0</v>
      </c>
      <c r="O988" s="77">
        <f t="shared" si="3117"/>
        <v>6.5399499999999992E-3</v>
      </c>
      <c r="P988" s="77">
        <f t="shared" si="3118"/>
        <v>5.4663630429729881E-4</v>
      </c>
      <c r="R988" t="s">
        <v>177</v>
      </c>
      <c r="S988" t="s">
        <v>179</v>
      </c>
      <c r="T988" s="197" t="str">
        <f t="shared" si="3173"/>
        <v>Autopilot_Dynamic_99</v>
      </c>
      <c r="U988">
        <v>99</v>
      </c>
      <c r="V988">
        <f>VLOOKUP($U988,'[2]AP Dynamic'!$Q$1:$T$542,2,FALSE)</f>
        <v>0.41626578210231474</v>
      </c>
      <c r="W988">
        <f>VLOOKUP($U988,'[2]AP Dynamic'!$Q$1:$T$542,3,FALSE)</f>
        <v>0.5837342178976852</v>
      </c>
      <c r="X988">
        <f>VLOOKUP($U988,'[2]AP Dynamic'!$Q$1:$T$542,4,FALSE)</f>
        <v>0</v>
      </c>
      <c r="Y988" s="77">
        <f t="shared" si="3174"/>
        <v>1</v>
      </c>
      <c r="Z988" s="77">
        <f t="shared" si="3180"/>
        <v>5.6875928257408212E-2</v>
      </c>
      <c r="AA988" s="77">
        <f t="shared" si="3181"/>
        <v>4.6204179464026662E-3</v>
      </c>
      <c r="AB988" s="79">
        <v>1</v>
      </c>
      <c r="AC988" s="77">
        <f t="shared" si="3119"/>
        <v>7.332531564204629E-3</v>
      </c>
      <c r="AD988" s="77">
        <f t="shared" ref="AD988" si="3360">1-(1-AC988)^(1/12)</f>
        <v>6.1310753225352066E-4</v>
      </c>
      <c r="AE988" s="77">
        <f t="shared" si="3121"/>
        <v>2.4999999999999996E-3</v>
      </c>
      <c r="AF988" s="77">
        <f t="shared" ref="AF988" si="3361">1-(1-AE988)^(1/12)</f>
        <v>2.0857243058891584E-4</v>
      </c>
      <c r="AH988" t="s">
        <v>175</v>
      </c>
      <c r="AI988" t="s">
        <v>179</v>
      </c>
      <c r="AJ988" s="197" t="str">
        <f t="shared" si="3108"/>
        <v>Lifecycle_Dynamic_99</v>
      </c>
      <c r="AK988">
        <v>99</v>
      </c>
      <c r="AL988">
        <f>VLOOKUP($U988,[2]Standard_Dynamic!$Q$1:$T$542,2,FALSE)</f>
        <v>0.35514804658705601</v>
      </c>
      <c r="AM988">
        <f>VLOOKUP($U988,[2]Standard_Dynamic!$Q$1:$T$542,3,FALSE)</f>
        <v>0.64485195341294399</v>
      </c>
      <c r="AN988">
        <f>VLOOKUP($U988,[2]Standard_Dynamic!$Q$1:$T$542,4,FALSE)</f>
        <v>0</v>
      </c>
      <c r="AO988" s="77">
        <f t="shared" si="3109"/>
        <v>1</v>
      </c>
      <c r="AP988" s="77">
        <f t="shared" si="3123"/>
        <v>5.6064590318443158E-2</v>
      </c>
      <c r="AQ988" s="77">
        <f t="shared" si="3110"/>
        <v>4.5561267677491912E-3</v>
      </c>
      <c r="AR988" s="79">
        <v>0</v>
      </c>
      <c r="AS988" s="77">
        <f t="shared" si="3124"/>
        <v>0</v>
      </c>
      <c r="AT988" s="77">
        <f t="shared" ref="AT988" si="3362">1-(1-AS988)^(1/12)</f>
        <v>0</v>
      </c>
      <c r="AU988" s="77">
        <f t="shared" si="3126"/>
        <v>2.5000000000000001E-3</v>
      </c>
      <c r="AV988" s="77">
        <f t="shared" ref="AV988" si="3363">1-(1-AU988)^(1/12)</f>
        <v>2.0857243058891584E-4</v>
      </c>
      <c r="AX988" t="s">
        <v>178</v>
      </c>
      <c r="AY988" t="s">
        <v>162</v>
      </c>
      <c r="AZ988" s="197" t="str">
        <f t="shared" si="3206"/>
        <v>DIS_Standard_99</v>
      </c>
      <c r="BA988">
        <v>99</v>
      </c>
      <c r="BB988">
        <f>VLOOKUP($BA988,'[2]Standard DIS'!$Q$1:$X$542,4,FALSE)</f>
        <v>0</v>
      </c>
      <c r="BF988">
        <f>VLOOKUP($BA988,'[2]Standard DIS'!$Q$1:$X$542,2,FALSE)</f>
        <v>0.35514804658705601</v>
      </c>
      <c r="BH988">
        <f>VLOOKUP($BA988,'[2]Standard DIS'!$Q$1:$X$542,3,FALSE)</f>
        <v>0.64485195341294399</v>
      </c>
      <c r="BI988" s="77">
        <f t="shared" si="3113"/>
        <v>1</v>
      </c>
      <c r="BJ988" s="77">
        <f t="shared" si="3114"/>
        <v>5.6064590318443158E-2</v>
      </c>
      <c r="BK988" s="77">
        <f t="shared" si="3207"/>
        <v>4.5561267677491912E-3</v>
      </c>
      <c r="BL988" s="79">
        <v>0</v>
      </c>
      <c r="BM988" s="77">
        <f t="shared" si="3128"/>
        <v>0</v>
      </c>
      <c r="BN988" s="77">
        <f t="shared" si="3129"/>
        <v>0</v>
      </c>
      <c r="BO988" s="77">
        <f t="shared" si="3130"/>
        <v>2.5000000000000001E-3</v>
      </c>
      <c r="BP988" s="77">
        <f t="shared" si="3131"/>
        <v>2.0809499864316017E-4</v>
      </c>
    </row>
    <row r="989" spans="1:68">
      <c r="A989" t="s">
        <v>175</v>
      </c>
      <c r="B989" t="s">
        <v>179</v>
      </c>
      <c r="C989" s="197" t="str">
        <f t="shared" si="3172"/>
        <v>Lifecycle_Dynamic_98</v>
      </c>
      <c r="D989">
        <v>98</v>
      </c>
      <c r="E989">
        <f>VLOOKUP($D989,'[2]LC Dynamic'!$Q$2:$U$542,2,FALSE)</f>
        <v>4.2999999999999997E-2</v>
      </c>
      <c r="F989">
        <f>VLOOKUP($D989,'[2]LC Dynamic'!$Q$2:$U$542,3,FALSE)</f>
        <v>0.35799999999999998</v>
      </c>
      <c r="G989">
        <f>VLOOKUP($D989,'[2]LC Dynamic'!$Q$2:$U$542,4,FALSE)</f>
        <v>0.59899999999999998</v>
      </c>
      <c r="H989">
        <f>VLOOKUP($D989,'[2]LC Dynamic'!$Q$2:$U$542,5,FALSE)</f>
        <v>0</v>
      </c>
      <c r="I989" s="77">
        <f t="shared" si="3104"/>
        <v>1</v>
      </c>
      <c r="J989" s="77">
        <f t="shared" si="3105"/>
        <v>5.7337024999999986E-2</v>
      </c>
      <c r="K989" s="77">
        <f t="shared" si="3179"/>
        <v>4.6569355251944167E-3</v>
      </c>
      <c r="L989" s="76">
        <v>0</v>
      </c>
      <c r="M989" s="77">
        <f t="shared" si="3115"/>
        <v>0</v>
      </c>
      <c r="N989" s="77">
        <f t="shared" si="3116"/>
        <v>0</v>
      </c>
      <c r="O989" s="77">
        <f t="shared" si="3117"/>
        <v>6.5281999999999996E-3</v>
      </c>
      <c r="P989" s="77">
        <f t="shared" si="3118"/>
        <v>5.4565123588556919E-4</v>
      </c>
      <c r="R989" t="s">
        <v>177</v>
      </c>
      <c r="S989" t="s">
        <v>179</v>
      </c>
      <c r="T989" s="197" t="str">
        <f t="shared" si="3173"/>
        <v>Autopilot_Dynamic_98</v>
      </c>
      <c r="U989">
        <v>98</v>
      </c>
      <c r="V989">
        <f>VLOOKUP($U989,'[2]AP Dynamic'!$Q$1:$T$542,2,FALSE)</f>
        <v>0.41626578210231474</v>
      </c>
      <c r="W989">
        <f>VLOOKUP($U989,'[2]AP Dynamic'!$Q$1:$T$542,3,FALSE)</f>
        <v>0.5837342178976852</v>
      </c>
      <c r="X989">
        <f>VLOOKUP($U989,'[2]AP Dynamic'!$Q$1:$T$542,4,FALSE)</f>
        <v>0</v>
      </c>
      <c r="Y989" s="77">
        <f t="shared" si="3174"/>
        <v>1</v>
      </c>
      <c r="Z989" s="77">
        <f t="shared" si="3180"/>
        <v>5.6875928257408212E-2</v>
      </c>
      <c r="AA989" s="77">
        <f t="shared" si="3181"/>
        <v>4.6204179464026662E-3</v>
      </c>
      <c r="AB989" s="79">
        <v>1</v>
      </c>
      <c r="AC989" s="77">
        <f t="shared" si="3119"/>
        <v>7.332531564204629E-3</v>
      </c>
      <c r="AD989" s="77">
        <f t="shared" ref="AD989" si="3364">1-(1-AC989)^(1/12)</f>
        <v>6.1310753225352066E-4</v>
      </c>
      <c r="AE989" s="77">
        <f t="shared" si="3121"/>
        <v>2.4999999999999996E-3</v>
      </c>
      <c r="AF989" s="77">
        <f t="shared" ref="AF989" si="3365">1-(1-AE989)^(1/12)</f>
        <v>2.0857243058891584E-4</v>
      </c>
      <c r="AH989" t="s">
        <v>175</v>
      </c>
      <c r="AI989" t="s">
        <v>179</v>
      </c>
      <c r="AJ989" s="197" t="str">
        <f t="shared" si="3108"/>
        <v>Lifecycle_Dynamic_98</v>
      </c>
      <c r="AK989">
        <v>98</v>
      </c>
      <c r="AL989">
        <f>VLOOKUP($U989,[2]Standard_Dynamic!$Q$1:$T$542,2,FALSE)</f>
        <v>0.34835718708536056</v>
      </c>
      <c r="AM989">
        <f>VLOOKUP($U989,[2]Standard_Dynamic!$Q$1:$T$542,3,FALSE)</f>
        <v>0.65164281291463944</v>
      </c>
      <c r="AN989">
        <f>VLOOKUP($U989,[2]Standard_Dynamic!$Q$1:$T$542,4,FALSE)</f>
        <v>0</v>
      </c>
      <c r="AO989" s="77">
        <f t="shared" si="3109"/>
        <v>1</v>
      </c>
      <c r="AP989" s="77">
        <f t="shared" si="3123"/>
        <v>5.5974441658558152E-2</v>
      </c>
      <c r="AQ989" s="77">
        <f t="shared" si="3110"/>
        <v>4.5489805088356761E-3</v>
      </c>
      <c r="AR989" s="79">
        <v>0</v>
      </c>
      <c r="AS989" s="77">
        <f t="shared" si="3124"/>
        <v>0</v>
      </c>
      <c r="AT989" s="77">
        <f t="shared" ref="AT989" si="3366">1-(1-AS989)^(1/12)</f>
        <v>0</v>
      </c>
      <c r="AU989" s="77">
        <f t="shared" si="3126"/>
        <v>2.5000000000000001E-3</v>
      </c>
      <c r="AV989" s="77">
        <f t="shared" ref="AV989" si="3367">1-(1-AU989)^(1/12)</f>
        <v>2.0857243058891584E-4</v>
      </c>
      <c r="AX989" t="s">
        <v>178</v>
      </c>
      <c r="AY989" t="s">
        <v>162</v>
      </c>
      <c r="AZ989" s="197" t="str">
        <f t="shared" si="3206"/>
        <v>DIS_Standard_98</v>
      </c>
      <c r="BA989">
        <v>98</v>
      </c>
      <c r="BB989">
        <f>VLOOKUP($BA989,'[2]Standard DIS'!$Q$1:$X$542,4,FALSE)</f>
        <v>0</v>
      </c>
      <c r="BF989">
        <f>VLOOKUP($BA989,'[2]Standard DIS'!$Q$1:$X$542,2,FALSE)</f>
        <v>0.34835718708536056</v>
      </c>
      <c r="BH989">
        <f>VLOOKUP($BA989,'[2]Standard DIS'!$Q$1:$X$542,3,FALSE)</f>
        <v>0.65164281291463944</v>
      </c>
      <c r="BI989" s="77">
        <f t="shared" si="3113"/>
        <v>1</v>
      </c>
      <c r="BJ989" s="77">
        <f t="shared" si="3114"/>
        <v>5.5974441658558152E-2</v>
      </c>
      <c r="BK989" s="77">
        <f t="shared" si="3207"/>
        <v>4.5489805088356761E-3</v>
      </c>
      <c r="BL989" s="79">
        <v>0</v>
      </c>
      <c r="BM989" s="77">
        <f t="shared" si="3128"/>
        <v>0</v>
      </c>
      <c r="BN989" s="77">
        <f t="shared" si="3129"/>
        <v>0</v>
      </c>
      <c r="BO989" s="77">
        <f t="shared" si="3130"/>
        <v>2.5000000000000001E-3</v>
      </c>
      <c r="BP989" s="77">
        <f t="shared" si="3131"/>
        <v>2.0809499864316017E-4</v>
      </c>
    </row>
    <row r="990" spans="1:68">
      <c r="A990" t="s">
        <v>175</v>
      </c>
      <c r="B990" t="s">
        <v>179</v>
      </c>
      <c r="C990" s="197" t="str">
        <f t="shared" si="3172"/>
        <v>Lifecycle_Dynamic_97</v>
      </c>
      <c r="D990">
        <v>97</v>
      </c>
      <c r="E990">
        <f>VLOOKUP($D990,'[2]LC Dynamic'!$Q$2:$U$542,2,FALSE)</f>
        <v>4.4499999999999998E-2</v>
      </c>
      <c r="F990">
        <f>VLOOKUP($D990,'[2]LC Dynamic'!$Q$2:$U$542,3,FALSE)</f>
        <v>0.36149999999999999</v>
      </c>
      <c r="G990">
        <f>VLOOKUP($D990,'[2]LC Dynamic'!$Q$2:$U$542,4,FALSE)</f>
        <v>0.59399999999999997</v>
      </c>
      <c r="H990">
        <f>VLOOKUP($D990,'[2]LC Dynamic'!$Q$2:$U$542,5,FALSE)</f>
        <v>0</v>
      </c>
      <c r="I990" s="77">
        <f t="shared" si="3104"/>
        <v>1</v>
      </c>
      <c r="J990" s="77">
        <f t="shared" si="3105"/>
        <v>5.7241887499999991E-2</v>
      </c>
      <c r="K990" s="77">
        <f t="shared" si="3179"/>
        <v>4.6494020953826709E-3</v>
      </c>
      <c r="L990" s="76">
        <v>0</v>
      </c>
      <c r="M990" s="77">
        <f t="shared" si="3115"/>
        <v>0</v>
      </c>
      <c r="N990" s="77">
        <f t="shared" si="3116"/>
        <v>0</v>
      </c>
      <c r="O990" s="77">
        <f t="shared" si="3117"/>
        <v>6.51645E-3</v>
      </c>
      <c r="P990" s="77">
        <f t="shared" si="3118"/>
        <v>5.446661781534079E-4</v>
      </c>
      <c r="R990" t="s">
        <v>177</v>
      </c>
      <c r="S990" t="s">
        <v>179</v>
      </c>
      <c r="T990" s="197" t="str">
        <f t="shared" si="3173"/>
        <v>Autopilot_Dynamic_97</v>
      </c>
      <c r="U990">
        <v>97</v>
      </c>
      <c r="V990">
        <f>VLOOKUP($U990,'[2]AP Dynamic'!$Q$1:$T$542,2,FALSE)</f>
        <v>0.41626578210231474</v>
      </c>
      <c r="W990">
        <f>VLOOKUP($U990,'[2]AP Dynamic'!$Q$1:$T$542,3,FALSE)</f>
        <v>0.5837342178976852</v>
      </c>
      <c r="X990">
        <f>VLOOKUP($U990,'[2]AP Dynamic'!$Q$1:$T$542,4,FALSE)</f>
        <v>0</v>
      </c>
      <c r="Y990" s="77">
        <f t="shared" si="3174"/>
        <v>1</v>
      </c>
      <c r="Z990" s="77">
        <f t="shared" si="3180"/>
        <v>5.6875928257408212E-2</v>
      </c>
      <c r="AA990" s="77">
        <f t="shared" si="3181"/>
        <v>4.6204179464026662E-3</v>
      </c>
      <c r="AB990" s="79">
        <v>1</v>
      </c>
      <c r="AC990" s="77">
        <f t="shared" si="3119"/>
        <v>7.332531564204629E-3</v>
      </c>
      <c r="AD990" s="77">
        <f t="shared" ref="AD990" si="3368">1-(1-AC990)^(1/12)</f>
        <v>6.1310753225352066E-4</v>
      </c>
      <c r="AE990" s="77">
        <f t="shared" si="3121"/>
        <v>2.4999999999999996E-3</v>
      </c>
      <c r="AF990" s="77">
        <f t="shared" ref="AF990" si="3369">1-(1-AE990)^(1/12)</f>
        <v>2.0857243058891584E-4</v>
      </c>
      <c r="AH990" t="s">
        <v>175</v>
      </c>
      <c r="AI990" t="s">
        <v>179</v>
      </c>
      <c r="AJ990" s="197" t="str">
        <f t="shared" si="3108"/>
        <v>Lifecycle_Dynamic_97</v>
      </c>
      <c r="AK990">
        <v>97</v>
      </c>
      <c r="AL990">
        <f>VLOOKUP($U990,[2]Standard_Dynamic!$Q$1:$T$542,2,FALSE)</f>
        <v>0.34156632758366512</v>
      </c>
      <c r="AM990">
        <f>VLOOKUP($U990,[2]Standard_Dynamic!$Q$1:$T$542,3,FALSE)</f>
        <v>0.65843367241633488</v>
      </c>
      <c r="AN990">
        <f>VLOOKUP($U990,[2]Standard_Dynamic!$Q$1:$T$542,4,FALSE)</f>
        <v>0</v>
      </c>
      <c r="AO990" s="77">
        <f t="shared" si="3109"/>
        <v>1</v>
      </c>
      <c r="AP990" s="77">
        <f t="shared" si="3123"/>
        <v>5.5884292998673146E-2</v>
      </c>
      <c r="AQ990" s="77">
        <f t="shared" si="3110"/>
        <v>4.5418336906628554E-3</v>
      </c>
      <c r="AR990" s="79">
        <v>0</v>
      </c>
      <c r="AS990" s="77">
        <f t="shared" si="3124"/>
        <v>0</v>
      </c>
      <c r="AT990" s="77">
        <f t="shared" ref="AT990" si="3370">1-(1-AS990)^(1/12)</f>
        <v>0</v>
      </c>
      <c r="AU990" s="77">
        <f t="shared" si="3126"/>
        <v>2.5000000000000001E-3</v>
      </c>
      <c r="AV990" s="77">
        <f t="shared" ref="AV990" si="3371">1-(1-AU990)^(1/12)</f>
        <v>2.0857243058891584E-4</v>
      </c>
      <c r="AX990" t="s">
        <v>178</v>
      </c>
      <c r="AY990" t="s">
        <v>162</v>
      </c>
      <c r="AZ990" s="197" t="str">
        <f t="shared" si="3206"/>
        <v>DIS_Standard_97</v>
      </c>
      <c r="BA990">
        <v>97</v>
      </c>
      <c r="BB990">
        <f>VLOOKUP($BA990,'[2]Standard DIS'!$Q$1:$X$542,4,FALSE)</f>
        <v>0</v>
      </c>
      <c r="BF990">
        <f>VLOOKUP($BA990,'[2]Standard DIS'!$Q$1:$X$542,2,FALSE)</f>
        <v>0.34156632758366512</v>
      </c>
      <c r="BH990">
        <f>VLOOKUP($BA990,'[2]Standard DIS'!$Q$1:$X$542,3,FALSE)</f>
        <v>0.65843367241633488</v>
      </c>
      <c r="BI990" s="77">
        <f t="shared" si="3113"/>
        <v>1</v>
      </c>
      <c r="BJ990" s="77">
        <f t="shared" si="3114"/>
        <v>5.5884292998673146E-2</v>
      </c>
      <c r="BK990" s="77">
        <f t="shared" si="3207"/>
        <v>4.5418336906628554E-3</v>
      </c>
      <c r="BL990" s="79">
        <v>0</v>
      </c>
      <c r="BM990" s="77">
        <f t="shared" si="3128"/>
        <v>0</v>
      </c>
      <c r="BN990" s="77">
        <f t="shared" si="3129"/>
        <v>0</v>
      </c>
      <c r="BO990" s="77">
        <f t="shared" si="3130"/>
        <v>2.5000000000000001E-3</v>
      </c>
      <c r="BP990" s="77">
        <f t="shared" si="3131"/>
        <v>2.0809499864316017E-4</v>
      </c>
    </row>
    <row r="991" spans="1:68">
      <c r="A991" t="s">
        <v>175</v>
      </c>
      <c r="B991" t="s">
        <v>179</v>
      </c>
      <c r="C991" s="197" t="str">
        <f t="shared" si="3172"/>
        <v>Lifecycle_Dynamic_96</v>
      </c>
      <c r="D991">
        <v>96</v>
      </c>
      <c r="E991">
        <f>VLOOKUP($D991,'[2]LC Dynamic'!$Q$2:$U$542,2,FALSE)</f>
        <v>4.5999999999999999E-2</v>
      </c>
      <c r="F991">
        <f>VLOOKUP($D991,'[2]LC Dynamic'!$Q$2:$U$542,3,FALSE)</f>
        <v>0.36499999999999999</v>
      </c>
      <c r="G991">
        <f>VLOOKUP($D991,'[2]LC Dynamic'!$Q$2:$U$542,4,FALSE)</f>
        <v>0.58899999999999997</v>
      </c>
      <c r="H991">
        <f>VLOOKUP($D991,'[2]LC Dynamic'!$Q$2:$U$542,5,FALSE)</f>
        <v>0</v>
      </c>
      <c r="I991" s="77">
        <f t="shared" si="3104"/>
        <v>1</v>
      </c>
      <c r="J991" s="77">
        <f t="shared" si="3105"/>
        <v>5.7146749999999989E-2</v>
      </c>
      <c r="K991" s="77">
        <f t="shared" si="3179"/>
        <v>4.6418680441306925E-3</v>
      </c>
      <c r="L991" s="76">
        <v>0</v>
      </c>
      <c r="M991" s="77">
        <f t="shared" si="3115"/>
        <v>0</v>
      </c>
      <c r="N991" s="77">
        <f t="shared" si="3116"/>
        <v>0</v>
      </c>
      <c r="O991" s="77">
        <f t="shared" si="3117"/>
        <v>6.5046999999999995E-3</v>
      </c>
      <c r="P991" s="77">
        <f t="shared" si="3118"/>
        <v>5.4368113110070393E-4</v>
      </c>
      <c r="R991" t="s">
        <v>177</v>
      </c>
      <c r="S991" t="s">
        <v>179</v>
      </c>
      <c r="T991" s="197" t="str">
        <f t="shared" si="3173"/>
        <v>Autopilot_Dynamic_96</v>
      </c>
      <c r="U991">
        <v>96</v>
      </c>
      <c r="V991">
        <f>VLOOKUP($U991,'[2]AP Dynamic'!$Q$1:$T$542,2,FALSE)</f>
        <v>0.33477546808196973</v>
      </c>
      <c r="W991">
        <f>VLOOKUP($U991,'[2]AP Dynamic'!$Q$1:$T$542,3,FALSE)</f>
        <v>0.66522453191803033</v>
      </c>
      <c r="X991">
        <f>VLOOKUP($U991,'[2]AP Dynamic'!$Q$1:$T$542,4,FALSE)</f>
        <v>0</v>
      </c>
      <c r="Y991" s="77">
        <f t="shared" si="3174"/>
        <v>1</v>
      </c>
      <c r="Z991" s="77">
        <f t="shared" si="3180"/>
        <v>5.579414433878814E-2</v>
      </c>
      <c r="AA991" s="77">
        <f t="shared" si="3181"/>
        <v>4.5346863131396908E-3</v>
      </c>
      <c r="AB991" s="79">
        <v>1</v>
      </c>
      <c r="AC991" s="77">
        <f t="shared" si="3119"/>
        <v>7.16955093616394E-3</v>
      </c>
      <c r="AD991" s="77">
        <f t="shared" ref="AD991" si="3372">1-(1-AC991)^(1/12)</f>
        <v>5.994349066529292E-4</v>
      </c>
      <c r="AE991" s="77">
        <f t="shared" si="3121"/>
        <v>2.5000000000000001E-3</v>
      </c>
      <c r="AF991" s="77">
        <f t="shared" ref="AF991" si="3373">1-(1-AE991)^(1/12)</f>
        <v>2.0857243058891584E-4</v>
      </c>
      <c r="AH991" t="s">
        <v>175</v>
      </c>
      <c r="AI991" t="s">
        <v>179</v>
      </c>
      <c r="AJ991" s="197" t="str">
        <f t="shared" si="3108"/>
        <v>Lifecycle_Dynamic_96</v>
      </c>
      <c r="AK991">
        <v>96</v>
      </c>
      <c r="AL991">
        <f>VLOOKUP($U991,[2]Standard_Dynamic!$Q$1:$T$542,2,FALSE)</f>
        <v>0.33477546808196973</v>
      </c>
      <c r="AM991">
        <f>VLOOKUP($U991,[2]Standard_Dynamic!$Q$1:$T$542,3,FALSE)</f>
        <v>0.66522453191803033</v>
      </c>
      <c r="AN991">
        <f>VLOOKUP($U991,[2]Standard_Dynamic!$Q$1:$T$542,4,FALSE)</f>
        <v>0</v>
      </c>
      <c r="AO991" s="77">
        <f t="shared" si="3109"/>
        <v>1</v>
      </c>
      <c r="AP991" s="77">
        <f t="shared" si="3123"/>
        <v>5.579414433878814E-2</v>
      </c>
      <c r="AQ991" s="77">
        <f t="shared" si="3110"/>
        <v>4.5346863131396908E-3</v>
      </c>
      <c r="AR991" s="79">
        <v>0</v>
      </c>
      <c r="AS991" s="77">
        <f t="shared" si="3124"/>
        <v>0</v>
      </c>
      <c r="AT991" s="77">
        <f t="shared" ref="AT991" si="3374">1-(1-AS991)^(1/12)</f>
        <v>0</v>
      </c>
      <c r="AU991" s="77">
        <f t="shared" si="3126"/>
        <v>2.5000000000000001E-3</v>
      </c>
      <c r="AV991" s="77">
        <f t="shared" ref="AV991" si="3375">1-(1-AU991)^(1/12)</f>
        <v>2.0857243058891584E-4</v>
      </c>
      <c r="AX991" t="s">
        <v>178</v>
      </c>
      <c r="AY991" t="s">
        <v>162</v>
      </c>
      <c r="AZ991" s="197" t="str">
        <f t="shared" si="3206"/>
        <v>DIS_Standard_96</v>
      </c>
      <c r="BA991">
        <v>96</v>
      </c>
      <c r="BB991">
        <f>VLOOKUP($BA991,'[2]Standard DIS'!$Q$1:$X$542,4,FALSE)</f>
        <v>0</v>
      </c>
      <c r="BF991">
        <f>VLOOKUP($BA991,'[2]Standard DIS'!$Q$1:$X$542,2,FALSE)</f>
        <v>0.33477546808196973</v>
      </c>
      <c r="BH991">
        <f>VLOOKUP($BA991,'[2]Standard DIS'!$Q$1:$X$542,3,FALSE)</f>
        <v>0.66522453191803033</v>
      </c>
      <c r="BI991" s="77">
        <f t="shared" si="3113"/>
        <v>1</v>
      </c>
      <c r="BJ991" s="77">
        <f t="shared" si="3114"/>
        <v>5.579414433878814E-2</v>
      </c>
      <c r="BK991" s="77">
        <f t="shared" si="3207"/>
        <v>4.5346863131396908E-3</v>
      </c>
      <c r="BL991" s="79">
        <v>0</v>
      </c>
      <c r="BM991" s="77">
        <f t="shared" si="3128"/>
        <v>0</v>
      </c>
      <c r="BN991" s="77">
        <f t="shared" si="3129"/>
        <v>0</v>
      </c>
      <c r="BO991" s="77">
        <f t="shared" si="3130"/>
        <v>2.5000000000000001E-3</v>
      </c>
      <c r="BP991" s="77">
        <f t="shared" si="3131"/>
        <v>2.0809499864316017E-4</v>
      </c>
    </row>
    <row r="992" spans="1:68">
      <c r="A992" t="s">
        <v>175</v>
      </c>
      <c r="B992" t="s">
        <v>179</v>
      </c>
      <c r="C992" s="197" t="str">
        <f t="shared" si="3172"/>
        <v>Lifecycle_Dynamic_95</v>
      </c>
      <c r="D992">
        <v>95</v>
      </c>
      <c r="E992">
        <f>VLOOKUP($D992,'[2]LC Dynamic'!$Q$2:$U$542,2,FALSE)</f>
        <v>4.8416666666666663E-2</v>
      </c>
      <c r="F992">
        <f>VLOOKUP($D992,'[2]LC Dynamic'!$Q$2:$U$542,3,FALSE)</f>
        <v>0.36624999999999996</v>
      </c>
      <c r="G992">
        <f>VLOOKUP($D992,'[2]LC Dynamic'!$Q$2:$U$542,4,FALSE)</f>
        <v>0.58533333333333326</v>
      </c>
      <c r="H992">
        <f>VLOOKUP($D992,'[2]LC Dynamic'!$Q$2:$U$542,5,FALSE)</f>
        <v>0</v>
      </c>
      <c r="I992" s="77">
        <f t="shared" si="3104"/>
        <v>0.99999999999999989</v>
      </c>
      <c r="J992" s="77">
        <f t="shared" si="3105"/>
        <v>5.7071156249999984E-2</v>
      </c>
      <c r="K992" s="77">
        <f t="shared" si="3179"/>
        <v>4.6358812424440732E-3</v>
      </c>
      <c r="L992" s="76">
        <v>0</v>
      </c>
      <c r="M992" s="77">
        <f t="shared" si="3115"/>
        <v>0</v>
      </c>
      <c r="N992" s="77">
        <f t="shared" si="3116"/>
        <v>0</v>
      </c>
      <c r="O992" s="77">
        <f t="shared" si="3117"/>
        <v>6.4914749999999983E-3</v>
      </c>
      <c r="P992" s="77">
        <f t="shared" si="3118"/>
        <v>5.4257244197941645E-4</v>
      </c>
      <c r="R992" t="s">
        <v>177</v>
      </c>
      <c r="S992" t="s">
        <v>179</v>
      </c>
      <c r="T992" s="197" t="str">
        <f t="shared" si="3173"/>
        <v>Autopilot_Dynamic_95</v>
      </c>
      <c r="U992">
        <v>95</v>
      </c>
      <c r="V992">
        <f>VLOOKUP($U992,'[2]AP Dynamic'!$Q$1:$T$542,2,FALSE)</f>
        <v>0.33477546808196973</v>
      </c>
      <c r="W992">
        <f>VLOOKUP($U992,'[2]AP Dynamic'!$Q$1:$T$542,3,FALSE)</f>
        <v>0.66522453191803033</v>
      </c>
      <c r="X992">
        <f>VLOOKUP($U992,'[2]AP Dynamic'!$Q$1:$T$542,4,FALSE)</f>
        <v>0</v>
      </c>
      <c r="Y992" s="77">
        <f t="shared" si="3174"/>
        <v>1</v>
      </c>
      <c r="Z992" s="77">
        <f t="shared" si="3180"/>
        <v>5.579414433878814E-2</v>
      </c>
      <c r="AA992" s="77">
        <f t="shared" si="3181"/>
        <v>4.5346863131396908E-3</v>
      </c>
      <c r="AB992" s="79">
        <v>1</v>
      </c>
      <c r="AC992" s="77">
        <f t="shared" si="3119"/>
        <v>7.16955093616394E-3</v>
      </c>
      <c r="AD992" s="77">
        <f t="shared" ref="AD992" si="3376">1-(1-AC992)^(1/12)</f>
        <v>5.994349066529292E-4</v>
      </c>
      <c r="AE992" s="77">
        <f t="shared" si="3121"/>
        <v>2.5000000000000001E-3</v>
      </c>
      <c r="AF992" s="77">
        <f t="shared" ref="AF992" si="3377">1-(1-AE992)^(1/12)</f>
        <v>2.0857243058891584E-4</v>
      </c>
      <c r="AH992" t="s">
        <v>175</v>
      </c>
      <c r="AI992" t="s">
        <v>179</v>
      </c>
      <c r="AJ992" s="197" t="str">
        <f t="shared" si="3108"/>
        <v>Lifecycle_Dynamic_95</v>
      </c>
      <c r="AK992">
        <v>95</v>
      </c>
      <c r="AL992">
        <f>VLOOKUP($U992,[2]Standard_Dynamic!$Q$1:$T$542,2,FALSE)</f>
        <v>0.32935798902894503</v>
      </c>
      <c r="AM992">
        <f>VLOOKUP($U992,[2]Standard_Dynamic!$Q$1:$T$542,3,FALSE)</f>
        <v>0.67064201097105502</v>
      </c>
      <c r="AN992">
        <f>VLOOKUP($U992,[2]Standard_Dynamic!$Q$1:$T$542,4,FALSE)</f>
        <v>0</v>
      </c>
      <c r="AO992" s="77">
        <f t="shared" si="3109"/>
        <v>1</v>
      </c>
      <c r="AP992" s="77">
        <f t="shared" si="3123"/>
        <v>5.5722227304359238E-2</v>
      </c>
      <c r="AQ992" s="77">
        <f t="shared" si="3110"/>
        <v>4.528984016946902E-3</v>
      </c>
      <c r="AR992" s="79">
        <v>0</v>
      </c>
      <c r="AS992" s="77">
        <f t="shared" si="3124"/>
        <v>0</v>
      </c>
      <c r="AT992" s="77">
        <f t="shared" ref="AT992" si="3378">1-(1-AS992)^(1/12)</f>
        <v>0</v>
      </c>
      <c r="AU992" s="77">
        <f t="shared" si="3126"/>
        <v>2.5000000000000005E-3</v>
      </c>
      <c r="AV992" s="77">
        <f t="shared" ref="AV992" si="3379">1-(1-AU992)^(1/12)</f>
        <v>2.0857243058891584E-4</v>
      </c>
      <c r="AX992" t="s">
        <v>178</v>
      </c>
      <c r="AY992" t="s">
        <v>162</v>
      </c>
      <c r="AZ992" s="197" t="str">
        <f t="shared" si="3206"/>
        <v>DIS_Standard_95</v>
      </c>
      <c r="BA992">
        <v>95</v>
      </c>
      <c r="BB992">
        <f>VLOOKUP($BA992,'[2]Standard DIS'!$Q$1:$X$542,4,FALSE)</f>
        <v>0</v>
      </c>
      <c r="BF992">
        <f>VLOOKUP($BA992,'[2]Standard DIS'!$Q$1:$X$542,2,FALSE)</f>
        <v>0.32935798902894503</v>
      </c>
      <c r="BH992">
        <f>VLOOKUP($BA992,'[2]Standard DIS'!$Q$1:$X$542,3,FALSE)</f>
        <v>0.67064201097105502</v>
      </c>
      <c r="BI992" s="77">
        <f t="shared" si="3113"/>
        <v>1</v>
      </c>
      <c r="BJ992" s="77">
        <f t="shared" si="3114"/>
        <v>5.5722227304359238E-2</v>
      </c>
      <c r="BK992" s="77">
        <f t="shared" si="3207"/>
        <v>4.528984016946902E-3</v>
      </c>
      <c r="BL992" s="79">
        <v>0</v>
      </c>
      <c r="BM992" s="77">
        <f t="shared" si="3128"/>
        <v>0</v>
      </c>
      <c r="BN992" s="77">
        <f t="shared" si="3129"/>
        <v>0</v>
      </c>
      <c r="BO992" s="77">
        <f t="shared" si="3130"/>
        <v>2.5000000000000005E-3</v>
      </c>
      <c r="BP992" s="77">
        <f t="shared" si="3131"/>
        <v>2.0809499864316017E-4</v>
      </c>
    </row>
    <row r="993" spans="1:68">
      <c r="A993" t="s">
        <v>175</v>
      </c>
      <c r="B993" t="s">
        <v>179</v>
      </c>
      <c r="C993" s="197" t="str">
        <f t="shared" si="3172"/>
        <v>Lifecycle_Dynamic_94</v>
      </c>
      <c r="D993">
        <v>94</v>
      </c>
      <c r="E993">
        <f>VLOOKUP($D993,'[2]LC Dynamic'!$Q$2:$U$542,2,FALSE)</f>
        <v>5.0833333333333335E-2</v>
      </c>
      <c r="F993">
        <f>VLOOKUP($D993,'[2]LC Dynamic'!$Q$2:$U$542,3,FALSE)</f>
        <v>0.36749999999999999</v>
      </c>
      <c r="G993">
        <f>VLOOKUP($D993,'[2]LC Dynamic'!$Q$2:$U$542,4,FALSE)</f>
        <v>0.58166666666666667</v>
      </c>
      <c r="H993">
        <f>VLOOKUP($D993,'[2]LC Dynamic'!$Q$2:$U$542,5,FALSE)</f>
        <v>0</v>
      </c>
      <c r="I993" s="77">
        <f t="shared" si="3104"/>
        <v>1</v>
      </c>
      <c r="J993" s="77">
        <f t="shared" si="3105"/>
        <v>5.6995562499999999E-2</v>
      </c>
      <c r="K993" s="77">
        <f t="shared" si="3179"/>
        <v>4.6298940482911721E-3</v>
      </c>
      <c r="L993" s="76">
        <v>0</v>
      </c>
      <c r="M993" s="77">
        <f t="shared" si="3115"/>
        <v>0</v>
      </c>
      <c r="N993" s="77">
        <f t="shared" si="3116"/>
        <v>0</v>
      </c>
      <c r="O993" s="77">
        <f t="shared" si="3117"/>
        <v>6.4782499999999996E-3</v>
      </c>
      <c r="P993" s="77">
        <f t="shared" si="3118"/>
        <v>5.4146376638641858E-4</v>
      </c>
      <c r="R993" t="s">
        <v>177</v>
      </c>
      <c r="S993" t="s">
        <v>179</v>
      </c>
      <c r="T993" s="197" t="str">
        <f t="shared" si="3173"/>
        <v>Autopilot_Dynamic_94</v>
      </c>
      <c r="U993">
        <v>94</v>
      </c>
      <c r="V993">
        <f>VLOOKUP($U993,'[2]AP Dynamic'!$Q$1:$T$542,2,FALSE)</f>
        <v>0.33477546808196973</v>
      </c>
      <c r="W993">
        <f>VLOOKUP($U993,'[2]AP Dynamic'!$Q$1:$T$542,3,FALSE)</f>
        <v>0.66522453191803033</v>
      </c>
      <c r="X993">
        <f>VLOOKUP($U993,'[2]AP Dynamic'!$Q$1:$T$542,4,FALSE)</f>
        <v>0</v>
      </c>
      <c r="Y993" s="77">
        <f t="shared" si="3174"/>
        <v>1</v>
      </c>
      <c r="Z993" s="77">
        <f t="shared" si="3180"/>
        <v>5.579414433878814E-2</v>
      </c>
      <c r="AA993" s="77">
        <f t="shared" si="3181"/>
        <v>4.5346863131396908E-3</v>
      </c>
      <c r="AB993" s="79">
        <v>1</v>
      </c>
      <c r="AC993" s="77">
        <f t="shared" si="3119"/>
        <v>7.16955093616394E-3</v>
      </c>
      <c r="AD993" s="77">
        <f t="shared" ref="AD993" si="3380">1-(1-AC993)^(1/12)</f>
        <v>5.994349066529292E-4</v>
      </c>
      <c r="AE993" s="77">
        <f t="shared" si="3121"/>
        <v>2.5000000000000001E-3</v>
      </c>
      <c r="AF993" s="77">
        <f t="shared" ref="AF993" si="3381">1-(1-AE993)^(1/12)</f>
        <v>2.0857243058891584E-4</v>
      </c>
      <c r="AH993" t="s">
        <v>175</v>
      </c>
      <c r="AI993" t="s">
        <v>179</v>
      </c>
      <c r="AJ993" s="197" t="str">
        <f t="shared" si="3108"/>
        <v>Lifecycle_Dynamic_94</v>
      </c>
      <c r="AK993">
        <v>94</v>
      </c>
      <c r="AL993">
        <f>VLOOKUP($U993,[2]Standard_Dynamic!$Q$1:$T$542,2,FALSE)</f>
        <v>0.32394050997592028</v>
      </c>
      <c r="AM993">
        <f>VLOOKUP($U993,[2]Standard_Dynamic!$Q$1:$T$542,3,FALSE)</f>
        <v>0.67605949002407972</v>
      </c>
      <c r="AN993">
        <f>VLOOKUP($U993,[2]Standard_Dynamic!$Q$1:$T$542,4,FALSE)</f>
        <v>0</v>
      </c>
      <c r="AO993" s="77">
        <f t="shared" si="3109"/>
        <v>1</v>
      </c>
      <c r="AP993" s="77">
        <f t="shared" si="3123"/>
        <v>5.5650310269930336E-2</v>
      </c>
      <c r="AQ993" s="77">
        <f t="shared" si="3110"/>
        <v>4.5232813646665093E-3</v>
      </c>
      <c r="AR993" s="79">
        <v>0</v>
      </c>
      <c r="AS993" s="77">
        <f t="shared" si="3124"/>
        <v>0</v>
      </c>
      <c r="AT993" s="77">
        <f t="shared" ref="AT993" si="3382">1-(1-AS993)^(1/12)</f>
        <v>0</v>
      </c>
      <c r="AU993" s="77">
        <f t="shared" si="3126"/>
        <v>2.5000000000000001E-3</v>
      </c>
      <c r="AV993" s="77">
        <f t="shared" ref="AV993" si="3383">1-(1-AU993)^(1/12)</f>
        <v>2.0857243058891584E-4</v>
      </c>
      <c r="AX993" t="s">
        <v>178</v>
      </c>
      <c r="AY993" t="s">
        <v>162</v>
      </c>
      <c r="AZ993" s="197" t="str">
        <f t="shared" si="3206"/>
        <v>DIS_Standard_94</v>
      </c>
      <c r="BA993">
        <v>94</v>
      </c>
      <c r="BB993">
        <f>VLOOKUP($BA993,'[2]Standard DIS'!$Q$1:$X$542,4,FALSE)</f>
        <v>0</v>
      </c>
      <c r="BF993">
        <f>VLOOKUP($BA993,'[2]Standard DIS'!$Q$1:$X$542,2,FALSE)</f>
        <v>0.32394050997592028</v>
      </c>
      <c r="BH993">
        <f>VLOOKUP($BA993,'[2]Standard DIS'!$Q$1:$X$542,3,FALSE)</f>
        <v>0.67605949002407972</v>
      </c>
      <c r="BI993" s="77">
        <f t="shared" si="3113"/>
        <v>1</v>
      </c>
      <c r="BJ993" s="77">
        <f t="shared" si="3114"/>
        <v>5.5650310269930336E-2</v>
      </c>
      <c r="BK993" s="77">
        <f t="shared" si="3207"/>
        <v>4.5232813646665093E-3</v>
      </c>
      <c r="BL993" s="79">
        <v>0</v>
      </c>
      <c r="BM993" s="77">
        <f t="shared" si="3128"/>
        <v>0</v>
      </c>
      <c r="BN993" s="77">
        <f t="shared" si="3129"/>
        <v>0</v>
      </c>
      <c r="BO993" s="77">
        <f t="shared" si="3130"/>
        <v>2.5000000000000001E-3</v>
      </c>
      <c r="BP993" s="77">
        <f t="shared" si="3131"/>
        <v>2.0809499864316017E-4</v>
      </c>
    </row>
    <row r="994" spans="1:68">
      <c r="A994" t="s">
        <v>175</v>
      </c>
      <c r="B994" t="s">
        <v>179</v>
      </c>
      <c r="C994" s="197" t="str">
        <f t="shared" si="3172"/>
        <v>Lifecycle_Dynamic_93</v>
      </c>
      <c r="D994">
        <v>93</v>
      </c>
      <c r="E994">
        <f>VLOOKUP($D994,'[2]LC Dynamic'!$Q$2:$U$542,2,FALSE)</f>
        <v>5.3249999999999999E-2</v>
      </c>
      <c r="F994">
        <f>VLOOKUP($D994,'[2]LC Dynamic'!$Q$2:$U$542,3,FALSE)</f>
        <v>0.36875000000000002</v>
      </c>
      <c r="G994">
        <f>VLOOKUP($D994,'[2]LC Dynamic'!$Q$2:$U$542,4,FALSE)</f>
        <v>0.57799999999999996</v>
      </c>
      <c r="H994">
        <f>VLOOKUP($D994,'[2]LC Dynamic'!$Q$2:$U$542,5,FALSE)</f>
        <v>0</v>
      </c>
      <c r="I994" s="77">
        <f t="shared" si="3104"/>
        <v>1</v>
      </c>
      <c r="J994" s="77">
        <f t="shared" si="3105"/>
        <v>5.6919968749999994E-2</v>
      </c>
      <c r="K994" s="77">
        <f t="shared" si="3179"/>
        <v>4.6239064616184766E-3</v>
      </c>
      <c r="L994" s="76">
        <v>0</v>
      </c>
      <c r="M994" s="77">
        <f t="shared" si="3115"/>
        <v>0</v>
      </c>
      <c r="N994" s="77">
        <f t="shared" si="3116"/>
        <v>0</v>
      </c>
      <c r="O994" s="77">
        <f t="shared" si="3117"/>
        <v>6.4650249999999992E-3</v>
      </c>
      <c r="P994" s="77">
        <f t="shared" si="3118"/>
        <v>5.4035510432137723E-4</v>
      </c>
      <c r="R994" t="s">
        <v>177</v>
      </c>
      <c r="S994" t="s">
        <v>179</v>
      </c>
      <c r="T994" s="197" t="str">
        <f t="shared" si="3173"/>
        <v>Autopilot_Dynamic_93</v>
      </c>
      <c r="U994">
        <v>93</v>
      </c>
      <c r="V994">
        <f>VLOOKUP($U994,'[2]AP Dynamic'!$Q$1:$T$542,2,FALSE)</f>
        <v>0.33477546808196973</v>
      </c>
      <c r="W994">
        <f>VLOOKUP($U994,'[2]AP Dynamic'!$Q$1:$T$542,3,FALSE)</f>
        <v>0.66522453191803033</v>
      </c>
      <c r="X994">
        <f>VLOOKUP($U994,'[2]AP Dynamic'!$Q$1:$T$542,4,FALSE)</f>
        <v>0</v>
      </c>
      <c r="Y994" s="77">
        <f t="shared" si="3174"/>
        <v>1</v>
      </c>
      <c r="Z994" s="77">
        <f t="shared" si="3180"/>
        <v>5.579414433878814E-2</v>
      </c>
      <c r="AA994" s="77">
        <f t="shared" si="3181"/>
        <v>4.5346863131396908E-3</v>
      </c>
      <c r="AB994" s="79">
        <v>1</v>
      </c>
      <c r="AC994" s="77">
        <f t="shared" si="3119"/>
        <v>7.16955093616394E-3</v>
      </c>
      <c r="AD994" s="77">
        <f t="shared" ref="AD994" si="3384">1-(1-AC994)^(1/12)</f>
        <v>5.994349066529292E-4</v>
      </c>
      <c r="AE994" s="77">
        <f t="shared" si="3121"/>
        <v>2.5000000000000001E-3</v>
      </c>
      <c r="AF994" s="77">
        <f t="shared" ref="AF994" si="3385">1-(1-AE994)^(1/12)</f>
        <v>2.0857243058891584E-4</v>
      </c>
      <c r="AH994" t="s">
        <v>175</v>
      </c>
      <c r="AI994" t="s">
        <v>179</v>
      </c>
      <c r="AJ994" s="197" t="str">
        <f t="shared" si="3108"/>
        <v>Lifecycle_Dynamic_93</v>
      </c>
      <c r="AK994">
        <v>93</v>
      </c>
      <c r="AL994">
        <f>VLOOKUP($U994,[2]Standard_Dynamic!$Q$1:$T$542,2,FALSE)</f>
        <v>0.31852303092289558</v>
      </c>
      <c r="AM994">
        <f>VLOOKUP($U994,[2]Standard_Dynamic!$Q$1:$T$542,3,FALSE)</f>
        <v>0.68147696907710453</v>
      </c>
      <c r="AN994">
        <f>VLOOKUP($U994,[2]Standard_Dynamic!$Q$1:$T$542,4,FALSE)</f>
        <v>0</v>
      </c>
      <c r="AO994" s="77">
        <f t="shared" si="3109"/>
        <v>1</v>
      </c>
      <c r="AP994" s="77">
        <f t="shared" si="3123"/>
        <v>5.5578393235501435E-2</v>
      </c>
      <c r="AQ994" s="77">
        <f t="shared" si="3110"/>
        <v>4.5175783562518834E-3</v>
      </c>
      <c r="AR994" s="79">
        <v>0</v>
      </c>
      <c r="AS994" s="77">
        <f t="shared" si="3124"/>
        <v>0</v>
      </c>
      <c r="AT994" s="77">
        <f t="shared" ref="AT994" si="3386">1-(1-AS994)^(1/12)</f>
        <v>0</v>
      </c>
      <c r="AU994" s="77">
        <f t="shared" si="3126"/>
        <v>2.5000000000000005E-3</v>
      </c>
      <c r="AV994" s="77">
        <f t="shared" ref="AV994" si="3387">1-(1-AU994)^(1/12)</f>
        <v>2.0857243058891584E-4</v>
      </c>
      <c r="AX994" t="s">
        <v>178</v>
      </c>
      <c r="AY994" t="s">
        <v>162</v>
      </c>
      <c r="AZ994" s="197" t="str">
        <f t="shared" si="3206"/>
        <v>DIS_Standard_93</v>
      </c>
      <c r="BA994">
        <v>93</v>
      </c>
      <c r="BB994">
        <f>VLOOKUP($BA994,'[2]Standard DIS'!$Q$1:$X$542,4,FALSE)</f>
        <v>0</v>
      </c>
      <c r="BF994">
        <f>VLOOKUP($BA994,'[2]Standard DIS'!$Q$1:$X$542,2,FALSE)</f>
        <v>0.31852303092289558</v>
      </c>
      <c r="BH994">
        <f>VLOOKUP($BA994,'[2]Standard DIS'!$Q$1:$X$542,3,FALSE)</f>
        <v>0.68147696907710453</v>
      </c>
      <c r="BI994" s="77">
        <f t="shared" si="3113"/>
        <v>1</v>
      </c>
      <c r="BJ994" s="77">
        <f t="shared" si="3114"/>
        <v>5.5578393235501435E-2</v>
      </c>
      <c r="BK994" s="77">
        <f t="shared" si="3207"/>
        <v>4.5175783562518834E-3</v>
      </c>
      <c r="BL994" s="79">
        <v>0</v>
      </c>
      <c r="BM994" s="77">
        <f t="shared" si="3128"/>
        <v>0</v>
      </c>
      <c r="BN994" s="77">
        <f t="shared" si="3129"/>
        <v>0</v>
      </c>
      <c r="BO994" s="77">
        <f t="shared" si="3130"/>
        <v>2.5000000000000005E-3</v>
      </c>
      <c r="BP994" s="77">
        <f t="shared" si="3131"/>
        <v>2.0809499864316017E-4</v>
      </c>
    </row>
    <row r="995" spans="1:68">
      <c r="A995" t="s">
        <v>175</v>
      </c>
      <c r="B995" t="s">
        <v>179</v>
      </c>
      <c r="C995" s="197" t="str">
        <f t="shared" si="3172"/>
        <v>Lifecycle_Dynamic_92</v>
      </c>
      <c r="D995">
        <v>92</v>
      </c>
      <c r="E995">
        <f>VLOOKUP($D995,'[2]LC Dynamic'!$Q$2:$U$542,2,FALSE)</f>
        <v>5.5666666666666663E-2</v>
      </c>
      <c r="F995">
        <f>VLOOKUP($D995,'[2]LC Dynamic'!$Q$2:$U$542,3,FALSE)</f>
        <v>0.37</v>
      </c>
      <c r="G995">
        <f>VLOOKUP($D995,'[2]LC Dynamic'!$Q$2:$U$542,4,FALSE)</f>
        <v>0.57433333333333336</v>
      </c>
      <c r="H995">
        <f>VLOOKUP($D995,'[2]LC Dynamic'!$Q$2:$U$542,5,FALSE)</f>
        <v>0</v>
      </c>
      <c r="I995" s="77">
        <f t="shared" ref="I995:I1058" si="3388">SUM(E995:H995)</f>
        <v>1</v>
      </c>
      <c r="J995" s="77">
        <f t="shared" ref="J995:J1058" si="3389">SUMPRODUCT($E$1:$H$1,E995:H995)</f>
        <v>5.6844374999999996E-2</v>
      </c>
      <c r="K995" s="77">
        <f t="shared" si="3179"/>
        <v>4.6179184823720298E-3</v>
      </c>
      <c r="L995" s="76">
        <v>0</v>
      </c>
      <c r="M995" s="77">
        <f t="shared" si="3115"/>
        <v>0</v>
      </c>
      <c r="N995" s="77">
        <f t="shared" si="3116"/>
        <v>0</v>
      </c>
      <c r="O995" s="77">
        <f t="shared" si="3117"/>
        <v>6.4518000000000006E-3</v>
      </c>
      <c r="P995" s="77">
        <f t="shared" si="3118"/>
        <v>5.3924645578384833E-4</v>
      </c>
      <c r="R995" t="s">
        <v>177</v>
      </c>
      <c r="S995" t="s">
        <v>179</v>
      </c>
      <c r="T995" s="197" t="str">
        <f t="shared" si="3173"/>
        <v>Autopilot_Dynamic_92</v>
      </c>
      <c r="U995">
        <v>92</v>
      </c>
      <c r="V995">
        <f>VLOOKUP($U995,'[2]AP Dynamic'!$Q$1:$T$542,2,FALSE)</f>
        <v>0.33477546808196973</v>
      </c>
      <c r="W995">
        <f>VLOOKUP($U995,'[2]AP Dynamic'!$Q$1:$T$542,3,FALSE)</f>
        <v>0.66522453191803033</v>
      </c>
      <c r="X995">
        <f>VLOOKUP($U995,'[2]AP Dynamic'!$Q$1:$T$542,4,FALSE)</f>
        <v>0</v>
      </c>
      <c r="Y995" s="77">
        <f t="shared" si="3174"/>
        <v>1</v>
      </c>
      <c r="Z995" s="77">
        <f t="shared" si="3180"/>
        <v>5.579414433878814E-2</v>
      </c>
      <c r="AA995" s="77">
        <f t="shared" si="3181"/>
        <v>4.5346863131396908E-3</v>
      </c>
      <c r="AB995" s="79">
        <v>1</v>
      </c>
      <c r="AC995" s="77">
        <f t="shared" si="3119"/>
        <v>7.16955093616394E-3</v>
      </c>
      <c r="AD995" s="77">
        <f t="shared" ref="AD995" si="3390">1-(1-AC995)^(1/12)</f>
        <v>5.994349066529292E-4</v>
      </c>
      <c r="AE995" s="77">
        <f t="shared" si="3121"/>
        <v>2.5000000000000001E-3</v>
      </c>
      <c r="AF995" s="77">
        <f t="shared" ref="AF995" si="3391">1-(1-AE995)^(1/12)</f>
        <v>2.0857243058891584E-4</v>
      </c>
      <c r="AH995" t="s">
        <v>175</v>
      </c>
      <c r="AI995" t="s">
        <v>179</v>
      </c>
      <c r="AJ995" s="197" t="str">
        <f t="shared" ref="AJ995:AJ1058" si="3392">AH995&amp;"_"&amp;AI995&amp;"_"&amp;AK995</f>
        <v>Lifecycle_Dynamic_92</v>
      </c>
      <c r="AK995">
        <v>92</v>
      </c>
      <c r="AL995">
        <f>VLOOKUP($U995,[2]Standard_Dynamic!$Q$1:$T$542,2,FALSE)</f>
        <v>0.31310555186987088</v>
      </c>
      <c r="AM995">
        <f>VLOOKUP($U995,[2]Standard_Dynamic!$Q$1:$T$542,3,FALSE)</f>
        <v>0.68689444813012923</v>
      </c>
      <c r="AN995">
        <f>VLOOKUP($U995,[2]Standard_Dynamic!$Q$1:$T$542,4,FALSE)</f>
        <v>0</v>
      </c>
      <c r="AO995" s="77">
        <f t="shared" ref="AO995:AO1058" si="3393">SUM(AL995:AN995)</f>
        <v>1</v>
      </c>
      <c r="AP995" s="77">
        <f t="shared" si="3123"/>
        <v>5.5506476201072533E-2</v>
      </c>
      <c r="AQ995" s="77">
        <f t="shared" ref="AQ995:AQ1058" si="3394">(1+AP995)^(1/12)-1</f>
        <v>4.511874991656839E-3</v>
      </c>
      <c r="AR995" s="79">
        <v>0</v>
      </c>
      <c r="AS995" s="77">
        <f t="shared" si="3124"/>
        <v>0</v>
      </c>
      <c r="AT995" s="77">
        <f t="shared" ref="AT995" si="3395">1-(1-AS995)^(1/12)</f>
        <v>0</v>
      </c>
      <c r="AU995" s="77">
        <f t="shared" si="3126"/>
        <v>2.5000000000000005E-3</v>
      </c>
      <c r="AV995" s="77">
        <f t="shared" ref="AV995" si="3396">1-(1-AU995)^(1/12)</f>
        <v>2.0857243058891584E-4</v>
      </c>
      <c r="AX995" t="s">
        <v>178</v>
      </c>
      <c r="AY995" t="s">
        <v>162</v>
      </c>
      <c r="AZ995" s="197" t="str">
        <f t="shared" si="3206"/>
        <v>DIS_Standard_92</v>
      </c>
      <c r="BA995">
        <v>92</v>
      </c>
      <c r="BB995">
        <f>VLOOKUP($BA995,'[2]Standard DIS'!$Q$1:$X$542,4,FALSE)</f>
        <v>0</v>
      </c>
      <c r="BF995">
        <f>VLOOKUP($BA995,'[2]Standard DIS'!$Q$1:$X$542,2,FALSE)</f>
        <v>0.31310555186987088</v>
      </c>
      <c r="BH995">
        <f>VLOOKUP($BA995,'[2]Standard DIS'!$Q$1:$X$542,3,FALSE)</f>
        <v>0.68689444813012923</v>
      </c>
      <c r="BI995" s="77">
        <f t="shared" ref="BI995:BI1058" si="3397">SUM(BB995:BH995)</f>
        <v>1</v>
      </c>
      <c r="BJ995" s="77">
        <f t="shared" ref="BJ995:BJ1058" si="3398">SUMPRODUCT($BB$1:$BH$1,BB995:BH995)</f>
        <v>5.5506476201072533E-2</v>
      </c>
      <c r="BK995" s="77">
        <f t="shared" si="3207"/>
        <v>4.511874991656839E-3</v>
      </c>
      <c r="BL995" s="79">
        <v>0</v>
      </c>
      <c r="BM995" s="77">
        <f t="shared" si="3128"/>
        <v>0</v>
      </c>
      <c r="BN995" s="77">
        <f t="shared" si="3129"/>
        <v>0</v>
      </c>
      <c r="BO995" s="77">
        <f t="shared" si="3130"/>
        <v>2.5000000000000005E-3</v>
      </c>
      <c r="BP995" s="77">
        <f t="shared" si="3131"/>
        <v>2.0809499864316017E-4</v>
      </c>
    </row>
    <row r="996" spans="1:68">
      <c r="A996" t="s">
        <v>175</v>
      </c>
      <c r="B996" t="s">
        <v>179</v>
      </c>
      <c r="C996" s="197" t="str">
        <f t="shared" si="3172"/>
        <v>Lifecycle_Dynamic_91</v>
      </c>
      <c r="D996">
        <v>91</v>
      </c>
      <c r="E996">
        <f>VLOOKUP($D996,'[2]LC Dynamic'!$Q$2:$U$542,2,FALSE)</f>
        <v>5.8083333333333334E-2</v>
      </c>
      <c r="F996">
        <f>VLOOKUP($D996,'[2]LC Dynamic'!$Q$2:$U$542,3,FALSE)</f>
        <v>0.37124999999999997</v>
      </c>
      <c r="G996">
        <f>VLOOKUP($D996,'[2]LC Dynamic'!$Q$2:$U$542,4,FALSE)</f>
        <v>0.57066666666666666</v>
      </c>
      <c r="H996">
        <f>VLOOKUP($D996,'[2]LC Dynamic'!$Q$2:$U$542,5,FALSE)</f>
        <v>0</v>
      </c>
      <c r="I996" s="77">
        <f t="shared" si="3388"/>
        <v>1</v>
      </c>
      <c r="J996" s="77">
        <f t="shared" si="3389"/>
        <v>5.6768781249999997E-2</v>
      </c>
      <c r="K996" s="77">
        <f t="shared" si="3179"/>
        <v>4.6119301104978749E-3</v>
      </c>
      <c r="L996" s="76">
        <v>0</v>
      </c>
      <c r="M996" s="77">
        <f t="shared" ref="M996:M1059" si="3399">IF($L996=0,0,SUMPRODUCT($E$3:$H$3,E996:H996))</f>
        <v>0</v>
      </c>
      <c r="N996" s="77">
        <f t="shared" ref="N996:N1059" si="3400">1-(1-M996)^(1/12)</f>
        <v>0</v>
      </c>
      <c r="O996" s="77">
        <f t="shared" ref="O996:O1059" si="3401">SUMPRODUCT($E$2:$H$2,E996:H996)</f>
        <v>6.4385750000000002E-3</v>
      </c>
      <c r="P996" s="77">
        <f t="shared" ref="P996:P1059" si="3402">1-(1-O996)^(1/12)</f>
        <v>5.3813782077360983E-4</v>
      </c>
      <c r="R996" t="s">
        <v>177</v>
      </c>
      <c r="S996" t="s">
        <v>179</v>
      </c>
      <c r="T996" s="197" t="str">
        <f t="shared" si="3173"/>
        <v>Autopilot_Dynamic_91</v>
      </c>
      <c r="U996">
        <v>91</v>
      </c>
      <c r="V996">
        <f>VLOOKUP($U996,'[2]AP Dynamic'!$Q$1:$T$542,2,FALSE)</f>
        <v>0.33477546808196973</v>
      </c>
      <c r="W996">
        <f>VLOOKUP($U996,'[2]AP Dynamic'!$Q$1:$T$542,3,FALSE)</f>
        <v>0.66522453191803033</v>
      </c>
      <c r="X996">
        <f>VLOOKUP($U996,'[2]AP Dynamic'!$Q$1:$T$542,4,FALSE)</f>
        <v>0</v>
      </c>
      <c r="Y996" s="77">
        <f t="shared" si="3174"/>
        <v>1</v>
      </c>
      <c r="Z996" s="77">
        <f t="shared" si="3180"/>
        <v>5.579414433878814E-2</v>
      </c>
      <c r="AA996" s="77">
        <f t="shared" si="3181"/>
        <v>4.5346863131396908E-3</v>
      </c>
      <c r="AB996" s="79">
        <v>1</v>
      </c>
      <c r="AC996" s="77">
        <f t="shared" ref="AC996:AC1059" si="3403">IF($AB996=0,0,SUMPRODUCT($V$3:$X$3,V996:X996))</f>
        <v>7.16955093616394E-3</v>
      </c>
      <c r="AD996" s="77">
        <f t="shared" ref="AD996" si="3404">1-(1-AC996)^(1/12)</f>
        <v>5.994349066529292E-4</v>
      </c>
      <c r="AE996" s="77">
        <f t="shared" ref="AE996:AE1059" si="3405">SUMPRODUCT($V$2:$X$2,V996:X996)</f>
        <v>2.5000000000000001E-3</v>
      </c>
      <c r="AF996" s="77">
        <f t="shared" ref="AF996" si="3406">1-(1-AE996)^(1/12)</f>
        <v>2.0857243058891584E-4</v>
      </c>
      <c r="AH996" t="s">
        <v>175</v>
      </c>
      <c r="AI996" t="s">
        <v>179</v>
      </c>
      <c r="AJ996" s="197" t="str">
        <f t="shared" si="3392"/>
        <v>Lifecycle_Dynamic_91</v>
      </c>
      <c r="AK996">
        <v>91</v>
      </c>
      <c r="AL996">
        <f>VLOOKUP($U996,[2]Standard_Dynamic!$Q$1:$T$542,2,FALSE)</f>
        <v>0.30768807281684613</v>
      </c>
      <c r="AM996">
        <f>VLOOKUP($U996,[2]Standard_Dynamic!$Q$1:$T$542,3,FALSE)</f>
        <v>0.69231192718315393</v>
      </c>
      <c r="AN996">
        <f>VLOOKUP($U996,[2]Standard_Dynamic!$Q$1:$T$542,4,FALSE)</f>
        <v>0</v>
      </c>
      <c r="AO996" s="77">
        <f t="shared" si="3393"/>
        <v>1</v>
      </c>
      <c r="AP996" s="77">
        <f t="shared" ref="AP996:AP1059" si="3407">SUMPRODUCT($AL$1:$AN$1,AL996:AN996)</f>
        <v>5.5434559166643624E-2</v>
      </c>
      <c r="AQ996" s="77">
        <f t="shared" si="3394"/>
        <v>4.5061712708345247E-3</v>
      </c>
      <c r="AR996" s="79">
        <v>0</v>
      </c>
      <c r="AS996" s="77">
        <f t="shared" ref="AS996:AS1059" si="3408">IF(AR996=0,0,SUMPRODUCT($AL$3:$AN$3,AL996:AN996))</f>
        <v>0</v>
      </c>
      <c r="AT996" s="77">
        <f t="shared" ref="AT996" si="3409">1-(1-AS996)^(1/12)</f>
        <v>0</v>
      </c>
      <c r="AU996" s="77">
        <f t="shared" ref="AU996:AU1059" si="3410">SUMPRODUCT($AL$2:$AN$2,AL996:AN996)</f>
        <v>2.5000000000000001E-3</v>
      </c>
      <c r="AV996" s="77">
        <f t="shared" ref="AV996" si="3411">1-(1-AU996)^(1/12)</f>
        <v>2.0857243058891584E-4</v>
      </c>
      <c r="AX996" t="s">
        <v>178</v>
      </c>
      <c r="AY996" t="s">
        <v>162</v>
      </c>
      <c r="AZ996" s="197" t="str">
        <f t="shared" si="3206"/>
        <v>DIS_Standard_91</v>
      </c>
      <c r="BA996">
        <v>91</v>
      </c>
      <c r="BB996">
        <f>VLOOKUP($BA996,'[2]Standard DIS'!$Q$1:$X$542,4,FALSE)</f>
        <v>0</v>
      </c>
      <c r="BF996">
        <f>VLOOKUP($BA996,'[2]Standard DIS'!$Q$1:$X$542,2,FALSE)</f>
        <v>0.30768807281684613</v>
      </c>
      <c r="BH996">
        <f>VLOOKUP($BA996,'[2]Standard DIS'!$Q$1:$X$542,3,FALSE)</f>
        <v>0.69231192718315393</v>
      </c>
      <c r="BI996" s="77">
        <f t="shared" si="3397"/>
        <v>1</v>
      </c>
      <c r="BJ996" s="77">
        <f t="shared" si="3398"/>
        <v>5.5434559166643624E-2</v>
      </c>
      <c r="BK996" s="77">
        <f t="shared" si="3207"/>
        <v>4.5061712708345247E-3</v>
      </c>
      <c r="BL996" s="79">
        <v>0</v>
      </c>
      <c r="BM996" s="77">
        <f t="shared" ref="BM996:BM1059" si="3412">IF(BL996=0,0,SUMPRODUCT($BB$3:$BH$3,BB996:BH996))</f>
        <v>0</v>
      </c>
      <c r="BN996" s="77">
        <f t="shared" ref="BN996:BN1059" si="3413">(1+BM996)^(1/12)-1</f>
        <v>0</v>
      </c>
      <c r="BO996" s="77">
        <f t="shared" ref="BO996:BO1059" si="3414">SUMPRODUCT($BB$2:$BH$2,BB996:BH996)</f>
        <v>2.5000000000000001E-3</v>
      </c>
      <c r="BP996" s="77">
        <f t="shared" ref="BP996:BP1059" si="3415">(1+BO996)^(1/12)-1</f>
        <v>2.0809499864316017E-4</v>
      </c>
    </row>
    <row r="997" spans="1:68">
      <c r="A997" t="s">
        <v>175</v>
      </c>
      <c r="B997" t="s">
        <v>179</v>
      </c>
      <c r="C997" s="197" t="str">
        <f t="shared" si="3172"/>
        <v>Lifecycle_Dynamic_90</v>
      </c>
      <c r="D997">
        <v>90</v>
      </c>
      <c r="E997">
        <f>VLOOKUP($D997,'[2]LC Dynamic'!$Q$2:$U$542,2,FALSE)</f>
        <v>6.0499999999999998E-2</v>
      </c>
      <c r="F997">
        <f>VLOOKUP($D997,'[2]LC Dynamic'!$Q$2:$U$542,3,FALSE)</f>
        <v>0.3725</v>
      </c>
      <c r="G997">
        <f>VLOOKUP($D997,'[2]LC Dynamic'!$Q$2:$U$542,4,FALSE)</f>
        <v>0.56699999999999995</v>
      </c>
      <c r="H997">
        <f>VLOOKUP($D997,'[2]LC Dynamic'!$Q$2:$U$542,5,FALSE)</f>
        <v>0</v>
      </c>
      <c r="I997" s="77">
        <f t="shared" si="3388"/>
        <v>1</v>
      </c>
      <c r="J997" s="77">
        <f t="shared" si="3389"/>
        <v>5.6693187499999992E-2</v>
      </c>
      <c r="K997" s="77">
        <f t="shared" si="3179"/>
        <v>4.6059413459422771E-3</v>
      </c>
      <c r="L997" s="76">
        <v>0</v>
      </c>
      <c r="M997" s="77">
        <f t="shared" si="3399"/>
        <v>0</v>
      </c>
      <c r="N997" s="77">
        <f t="shared" si="3400"/>
        <v>0</v>
      </c>
      <c r="O997" s="77">
        <f t="shared" si="3401"/>
        <v>6.4253499999999998E-3</v>
      </c>
      <c r="P997" s="77">
        <f t="shared" si="3402"/>
        <v>5.3702919929032866E-4</v>
      </c>
      <c r="R997" t="s">
        <v>177</v>
      </c>
      <c r="S997" t="s">
        <v>179</v>
      </c>
      <c r="T997" s="197" t="str">
        <f t="shared" si="3173"/>
        <v>Autopilot_Dynamic_90</v>
      </c>
      <c r="U997">
        <v>90</v>
      </c>
      <c r="V997">
        <f>VLOOKUP($U997,'[2]AP Dynamic'!$Q$1:$T$542,2,FALSE)</f>
        <v>0.33477546808196973</v>
      </c>
      <c r="W997">
        <f>VLOOKUP($U997,'[2]AP Dynamic'!$Q$1:$T$542,3,FALSE)</f>
        <v>0.66522453191803033</v>
      </c>
      <c r="X997">
        <f>VLOOKUP($U997,'[2]AP Dynamic'!$Q$1:$T$542,4,FALSE)</f>
        <v>0</v>
      </c>
      <c r="Y997" s="77">
        <f t="shared" si="3174"/>
        <v>1</v>
      </c>
      <c r="Z997" s="77">
        <f t="shared" si="3180"/>
        <v>5.579414433878814E-2</v>
      </c>
      <c r="AA997" s="77">
        <f t="shared" si="3181"/>
        <v>4.5346863131396908E-3</v>
      </c>
      <c r="AB997" s="79">
        <v>1</v>
      </c>
      <c r="AC997" s="77">
        <f t="shared" si="3403"/>
        <v>7.16955093616394E-3</v>
      </c>
      <c r="AD997" s="77">
        <f t="shared" ref="AD997" si="3416">1-(1-AC997)^(1/12)</f>
        <v>5.994349066529292E-4</v>
      </c>
      <c r="AE997" s="77">
        <f t="shared" si="3405"/>
        <v>2.5000000000000001E-3</v>
      </c>
      <c r="AF997" s="77">
        <f t="shared" ref="AF997" si="3417">1-(1-AE997)^(1/12)</f>
        <v>2.0857243058891584E-4</v>
      </c>
      <c r="AH997" t="s">
        <v>175</v>
      </c>
      <c r="AI997" t="s">
        <v>179</v>
      </c>
      <c r="AJ997" s="197" t="str">
        <f t="shared" si="3392"/>
        <v>Lifecycle_Dynamic_90</v>
      </c>
      <c r="AK997">
        <v>90</v>
      </c>
      <c r="AL997">
        <f>VLOOKUP($U997,[2]Standard_Dynamic!$Q$1:$T$542,2,FALSE)</f>
        <v>0.30227059376382143</v>
      </c>
      <c r="AM997">
        <f>VLOOKUP($U997,[2]Standard_Dynamic!$Q$1:$T$542,3,FALSE)</f>
        <v>0.69772940623617863</v>
      </c>
      <c r="AN997">
        <f>VLOOKUP($U997,[2]Standard_Dynamic!$Q$1:$T$542,4,FALSE)</f>
        <v>0</v>
      </c>
      <c r="AO997" s="77">
        <f t="shared" si="3393"/>
        <v>1</v>
      </c>
      <c r="AP997" s="77">
        <f t="shared" si="3407"/>
        <v>5.5362642132214729E-2</v>
      </c>
      <c r="AQ997" s="77">
        <f t="shared" si="3394"/>
        <v>4.5004671937385332E-3</v>
      </c>
      <c r="AR997" s="79">
        <v>0</v>
      </c>
      <c r="AS997" s="77">
        <f t="shared" si="3408"/>
        <v>0</v>
      </c>
      <c r="AT997" s="77">
        <f t="shared" ref="AT997" si="3418">1-(1-AS997)^(1/12)</f>
        <v>0</v>
      </c>
      <c r="AU997" s="77">
        <f t="shared" si="3410"/>
        <v>2.5000000000000001E-3</v>
      </c>
      <c r="AV997" s="77">
        <f t="shared" ref="AV997" si="3419">1-(1-AU997)^(1/12)</f>
        <v>2.0857243058891584E-4</v>
      </c>
      <c r="AX997" t="s">
        <v>178</v>
      </c>
      <c r="AY997" t="s">
        <v>162</v>
      </c>
      <c r="AZ997" s="197" t="str">
        <f t="shared" si="3206"/>
        <v>DIS_Standard_90</v>
      </c>
      <c r="BA997">
        <v>90</v>
      </c>
      <c r="BB997">
        <f>VLOOKUP($BA997,'[2]Standard DIS'!$Q$1:$X$542,4,FALSE)</f>
        <v>0</v>
      </c>
      <c r="BF997">
        <f>VLOOKUP($BA997,'[2]Standard DIS'!$Q$1:$X$542,2,FALSE)</f>
        <v>0.30227059376382143</v>
      </c>
      <c r="BH997">
        <f>VLOOKUP($BA997,'[2]Standard DIS'!$Q$1:$X$542,3,FALSE)</f>
        <v>0.69772940623617863</v>
      </c>
      <c r="BI997" s="77">
        <f t="shared" si="3397"/>
        <v>1</v>
      </c>
      <c r="BJ997" s="77">
        <f t="shared" si="3398"/>
        <v>5.5362642132214729E-2</v>
      </c>
      <c r="BK997" s="77">
        <f t="shared" si="3207"/>
        <v>4.5004671937385332E-3</v>
      </c>
      <c r="BL997" s="79">
        <v>0</v>
      </c>
      <c r="BM997" s="77">
        <f t="shared" si="3412"/>
        <v>0</v>
      </c>
      <c r="BN997" s="77">
        <f t="shared" si="3413"/>
        <v>0</v>
      </c>
      <c r="BO997" s="77">
        <f t="shared" si="3414"/>
        <v>2.5000000000000001E-3</v>
      </c>
      <c r="BP997" s="77">
        <f t="shared" si="3415"/>
        <v>2.0809499864316017E-4</v>
      </c>
    </row>
    <row r="998" spans="1:68">
      <c r="A998" t="s">
        <v>175</v>
      </c>
      <c r="B998" t="s">
        <v>179</v>
      </c>
      <c r="C998" s="197" t="str">
        <f t="shared" si="3172"/>
        <v>Lifecycle_Dynamic_89</v>
      </c>
      <c r="D998">
        <v>89</v>
      </c>
      <c r="E998">
        <f>VLOOKUP($D998,'[2]LC Dynamic'!$Q$2:$U$542,2,FALSE)</f>
        <v>6.2916666666666662E-2</v>
      </c>
      <c r="F998">
        <f>VLOOKUP($D998,'[2]LC Dynamic'!$Q$2:$U$542,3,FALSE)</f>
        <v>0.37375000000000003</v>
      </c>
      <c r="G998">
        <f>VLOOKUP($D998,'[2]LC Dynamic'!$Q$2:$U$542,4,FALSE)</f>
        <v>0.56333333333333335</v>
      </c>
      <c r="H998">
        <f>VLOOKUP($D998,'[2]LC Dynamic'!$Q$2:$U$542,5,FALSE)</f>
        <v>0</v>
      </c>
      <c r="I998" s="77">
        <f t="shared" si="3388"/>
        <v>1</v>
      </c>
      <c r="J998" s="77">
        <f t="shared" si="3389"/>
        <v>5.661759375E-2</v>
      </c>
      <c r="K998" s="77">
        <f t="shared" si="3179"/>
        <v>4.5999521886515016E-3</v>
      </c>
      <c r="L998" s="76">
        <v>0</v>
      </c>
      <c r="M998" s="77">
        <f t="shared" si="3399"/>
        <v>0</v>
      </c>
      <c r="N998" s="77">
        <f t="shared" si="3400"/>
        <v>0</v>
      </c>
      <c r="O998" s="77">
        <f t="shared" si="3401"/>
        <v>6.4121249999999994E-3</v>
      </c>
      <c r="P998" s="77">
        <f t="shared" si="3402"/>
        <v>5.3592059133356074E-4</v>
      </c>
      <c r="R998" t="s">
        <v>177</v>
      </c>
      <c r="S998" t="s">
        <v>179</v>
      </c>
      <c r="T998" s="197" t="str">
        <f t="shared" si="3173"/>
        <v>Autopilot_Dynamic_89</v>
      </c>
      <c r="U998">
        <v>89</v>
      </c>
      <c r="V998">
        <f>VLOOKUP($U998,'[2]AP Dynamic'!$Q$1:$T$542,2,FALSE)</f>
        <v>0.33477546808196973</v>
      </c>
      <c r="W998">
        <f>VLOOKUP($U998,'[2]AP Dynamic'!$Q$1:$T$542,3,FALSE)</f>
        <v>0.66522453191803033</v>
      </c>
      <c r="X998">
        <f>VLOOKUP($U998,'[2]AP Dynamic'!$Q$1:$T$542,4,FALSE)</f>
        <v>0</v>
      </c>
      <c r="Y998" s="77">
        <f t="shared" si="3174"/>
        <v>1</v>
      </c>
      <c r="Z998" s="77">
        <f t="shared" si="3180"/>
        <v>5.579414433878814E-2</v>
      </c>
      <c r="AA998" s="77">
        <f t="shared" si="3181"/>
        <v>4.5346863131396908E-3</v>
      </c>
      <c r="AB998" s="79">
        <v>1</v>
      </c>
      <c r="AC998" s="77">
        <f t="shared" si="3403"/>
        <v>7.16955093616394E-3</v>
      </c>
      <c r="AD998" s="77">
        <f t="shared" ref="AD998" si="3420">1-(1-AC998)^(1/12)</f>
        <v>5.994349066529292E-4</v>
      </c>
      <c r="AE998" s="77">
        <f t="shared" si="3405"/>
        <v>2.5000000000000001E-3</v>
      </c>
      <c r="AF998" s="77">
        <f t="shared" ref="AF998" si="3421">1-(1-AE998)^(1/12)</f>
        <v>2.0857243058891584E-4</v>
      </c>
      <c r="AH998" t="s">
        <v>175</v>
      </c>
      <c r="AI998" t="s">
        <v>179</v>
      </c>
      <c r="AJ998" s="197" t="str">
        <f t="shared" si="3392"/>
        <v>Lifecycle_Dynamic_89</v>
      </c>
      <c r="AK998">
        <v>89</v>
      </c>
      <c r="AL998">
        <f>VLOOKUP($U998,[2]Standard_Dynamic!$Q$1:$T$542,2,FALSE)</f>
        <v>0.29685311471079673</v>
      </c>
      <c r="AM998">
        <f>VLOOKUP($U998,[2]Standard_Dynamic!$Q$1:$T$542,3,FALSE)</f>
        <v>0.70314688528920333</v>
      </c>
      <c r="AN998">
        <f>VLOOKUP($U998,[2]Standard_Dynamic!$Q$1:$T$542,4,FALSE)</f>
        <v>0</v>
      </c>
      <c r="AO998" s="77">
        <f t="shared" si="3393"/>
        <v>1</v>
      </c>
      <c r="AP998" s="77">
        <f t="shared" si="3407"/>
        <v>5.529072509778582E-2</v>
      </c>
      <c r="AQ998" s="77">
        <f t="shared" si="3394"/>
        <v>4.4947627603222351E-3</v>
      </c>
      <c r="AR998" s="79">
        <v>0</v>
      </c>
      <c r="AS998" s="77">
        <f t="shared" si="3408"/>
        <v>0</v>
      </c>
      <c r="AT998" s="77">
        <f t="shared" ref="AT998" si="3422">1-(1-AS998)^(1/12)</f>
        <v>0</v>
      </c>
      <c r="AU998" s="77">
        <f t="shared" si="3410"/>
        <v>2.5000000000000005E-3</v>
      </c>
      <c r="AV998" s="77">
        <f t="shared" ref="AV998" si="3423">1-(1-AU998)^(1/12)</f>
        <v>2.0857243058891584E-4</v>
      </c>
      <c r="AX998" t="s">
        <v>178</v>
      </c>
      <c r="AY998" t="s">
        <v>162</v>
      </c>
      <c r="AZ998" s="197" t="str">
        <f t="shared" si="3206"/>
        <v>DIS_Standard_89</v>
      </c>
      <c r="BA998">
        <v>89</v>
      </c>
      <c r="BB998">
        <f>VLOOKUP($BA998,'[2]Standard DIS'!$Q$1:$X$542,4,FALSE)</f>
        <v>0</v>
      </c>
      <c r="BF998">
        <f>VLOOKUP($BA998,'[2]Standard DIS'!$Q$1:$X$542,2,FALSE)</f>
        <v>0.29685311471079673</v>
      </c>
      <c r="BH998">
        <f>VLOOKUP($BA998,'[2]Standard DIS'!$Q$1:$X$542,3,FALSE)</f>
        <v>0.70314688528920333</v>
      </c>
      <c r="BI998" s="77">
        <f t="shared" si="3397"/>
        <v>1</v>
      </c>
      <c r="BJ998" s="77">
        <f t="shared" si="3398"/>
        <v>5.529072509778582E-2</v>
      </c>
      <c r="BK998" s="77">
        <f t="shared" si="3207"/>
        <v>4.4947627603222351E-3</v>
      </c>
      <c r="BL998" s="79">
        <v>0</v>
      </c>
      <c r="BM998" s="77">
        <f t="shared" si="3412"/>
        <v>0</v>
      </c>
      <c r="BN998" s="77">
        <f t="shared" si="3413"/>
        <v>0</v>
      </c>
      <c r="BO998" s="77">
        <f t="shared" si="3414"/>
        <v>2.5000000000000005E-3</v>
      </c>
      <c r="BP998" s="77">
        <f t="shared" si="3415"/>
        <v>2.0809499864316017E-4</v>
      </c>
    </row>
    <row r="999" spans="1:68">
      <c r="A999" t="s">
        <v>175</v>
      </c>
      <c r="B999" t="s">
        <v>179</v>
      </c>
      <c r="C999" s="197" t="str">
        <f t="shared" si="3172"/>
        <v>Lifecycle_Dynamic_88</v>
      </c>
      <c r="D999">
        <v>88</v>
      </c>
      <c r="E999">
        <f>VLOOKUP($D999,'[2]LC Dynamic'!$Q$2:$U$542,2,FALSE)</f>
        <v>6.5333333333333327E-2</v>
      </c>
      <c r="F999">
        <f>VLOOKUP($D999,'[2]LC Dynamic'!$Q$2:$U$542,3,FALSE)</f>
        <v>0.375</v>
      </c>
      <c r="G999">
        <f>VLOOKUP($D999,'[2]LC Dynamic'!$Q$2:$U$542,4,FALSE)</f>
        <v>0.55966666666666665</v>
      </c>
      <c r="H999">
        <f>VLOOKUP($D999,'[2]LC Dynamic'!$Q$2:$U$542,5,FALSE)</f>
        <v>0</v>
      </c>
      <c r="I999" s="77">
        <f t="shared" si="3388"/>
        <v>1</v>
      </c>
      <c r="J999" s="77">
        <f t="shared" si="3389"/>
        <v>5.6541999999999995E-2</v>
      </c>
      <c r="K999" s="77">
        <f t="shared" si="3179"/>
        <v>4.5939626385715915E-3</v>
      </c>
      <c r="L999" s="76">
        <v>0</v>
      </c>
      <c r="M999" s="77">
        <f t="shared" si="3399"/>
        <v>0</v>
      </c>
      <c r="N999" s="77">
        <f t="shared" si="3400"/>
        <v>0</v>
      </c>
      <c r="O999" s="77">
        <f t="shared" si="3401"/>
        <v>6.398899999999999E-3</v>
      </c>
      <c r="P999" s="77">
        <f t="shared" si="3402"/>
        <v>5.3481199690297299E-4</v>
      </c>
      <c r="R999" t="s">
        <v>177</v>
      </c>
      <c r="S999" t="s">
        <v>179</v>
      </c>
      <c r="T999" s="197" t="str">
        <f t="shared" si="3173"/>
        <v>Autopilot_Dynamic_88</v>
      </c>
      <c r="U999">
        <v>88</v>
      </c>
      <c r="V999">
        <f>VLOOKUP($U999,'[2]AP Dynamic'!$Q$1:$T$542,2,FALSE)</f>
        <v>0.33477546808196973</v>
      </c>
      <c r="W999">
        <f>VLOOKUP($U999,'[2]AP Dynamic'!$Q$1:$T$542,3,FALSE)</f>
        <v>0.66522453191803033</v>
      </c>
      <c r="X999">
        <f>VLOOKUP($U999,'[2]AP Dynamic'!$Q$1:$T$542,4,FALSE)</f>
        <v>0</v>
      </c>
      <c r="Y999" s="77">
        <f t="shared" si="3174"/>
        <v>1</v>
      </c>
      <c r="Z999" s="77">
        <f t="shared" si="3180"/>
        <v>5.579414433878814E-2</v>
      </c>
      <c r="AA999" s="77">
        <f t="shared" si="3181"/>
        <v>4.5346863131396908E-3</v>
      </c>
      <c r="AB999" s="79">
        <v>1</v>
      </c>
      <c r="AC999" s="77">
        <f t="shared" si="3403"/>
        <v>7.16955093616394E-3</v>
      </c>
      <c r="AD999" s="77">
        <f t="shared" ref="AD999" si="3424">1-(1-AC999)^(1/12)</f>
        <v>5.994349066529292E-4</v>
      </c>
      <c r="AE999" s="77">
        <f t="shared" si="3405"/>
        <v>2.5000000000000001E-3</v>
      </c>
      <c r="AF999" s="77">
        <f t="shared" ref="AF999" si="3425">1-(1-AE999)^(1/12)</f>
        <v>2.0857243058891584E-4</v>
      </c>
      <c r="AH999" t="s">
        <v>175</v>
      </c>
      <c r="AI999" t="s">
        <v>179</v>
      </c>
      <c r="AJ999" s="197" t="str">
        <f t="shared" si="3392"/>
        <v>Lifecycle_Dynamic_88</v>
      </c>
      <c r="AK999">
        <v>88</v>
      </c>
      <c r="AL999">
        <f>VLOOKUP($U999,[2]Standard_Dynamic!$Q$1:$T$542,2,FALSE)</f>
        <v>0.29143563565777197</v>
      </c>
      <c r="AM999">
        <f>VLOOKUP($U999,[2]Standard_Dynamic!$Q$1:$T$542,3,FALSE)</f>
        <v>0.70856436434222803</v>
      </c>
      <c r="AN999">
        <f>VLOOKUP($U999,[2]Standard_Dynamic!$Q$1:$T$542,4,FALSE)</f>
        <v>0</v>
      </c>
      <c r="AO999" s="77">
        <f t="shared" si="3393"/>
        <v>1</v>
      </c>
      <c r="AP999" s="77">
        <f t="shared" si="3407"/>
        <v>5.5218808063356911E-2</v>
      </c>
      <c r="AQ999" s="77">
        <f t="shared" si="3394"/>
        <v>4.4890579705394451E-3</v>
      </c>
      <c r="AR999" s="79">
        <v>0</v>
      </c>
      <c r="AS999" s="77">
        <f t="shared" si="3408"/>
        <v>0</v>
      </c>
      <c r="AT999" s="77">
        <f t="shared" ref="AT999" si="3426">1-(1-AS999)^(1/12)</f>
        <v>0</v>
      </c>
      <c r="AU999" s="77">
        <f t="shared" si="3410"/>
        <v>2.5000000000000001E-3</v>
      </c>
      <c r="AV999" s="77">
        <f t="shared" ref="AV999" si="3427">1-(1-AU999)^(1/12)</f>
        <v>2.0857243058891584E-4</v>
      </c>
      <c r="AX999" t="s">
        <v>178</v>
      </c>
      <c r="AY999" t="s">
        <v>162</v>
      </c>
      <c r="AZ999" s="197" t="str">
        <f t="shared" si="3206"/>
        <v>DIS_Standard_88</v>
      </c>
      <c r="BA999">
        <v>88</v>
      </c>
      <c r="BB999">
        <f>VLOOKUP($BA999,'[2]Standard DIS'!$Q$1:$X$542,4,FALSE)</f>
        <v>0</v>
      </c>
      <c r="BF999">
        <f>VLOOKUP($BA999,'[2]Standard DIS'!$Q$1:$X$542,2,FALSE)</f>
        <v>0.29143563565777197</v>
      </c>
      <c r="BH999">
        <f>VLOOKUP($BA999,'[2]Standard DIS'!$Q$1:$X$542,3,FALSE)</f>
        <v>0.70856436434222803</v>
      </c>
      <c r="BI999" s="77">
        <f t="shared" si="3397"/>
        <v>1</v>
      </c>
      <c r="BJ999" s="77">
        <f t="shared" si="3398"/>
        <v>5.5218808063356911E-2</v>
      </c>
      <c r="BK999" s="77">
        <f t="shared" si="3207"/>
        <v>4.4890579705394451E-3</v>
      </c>
      <c r="BL999" s="79">
        <v>0</v>
      </c>
      <c r="BM999" s="77">
        <f t="shared" si="3412"/>
        <v>0</v>
      </c>
      <c r="BN999" s="77">
        <f t="shared" si="3413"/>
        <v>0</v>
      </c>
      <c r="BO999" s="77">
        <f t="shared" si="3414"/>
        <v>2.5000000000000001E-3</v>
      </c>
      <c r="BP999" s="77">
        <f t="shared" si="3415"/>
        <v>2.0809499864316017E-4</v>
      </c>
    </row>
    <row r="1000" spans="1:68">
      <c r="A1000" t="s">
        <v>175</v>
      </c>
      <c r="B1000" t="s">
        <v>179</v>
      </c>
      <c r="C1000" s="197" t="str">
        <f t="shared" si="3172"/>
        <v>Lifecycle_Dynamic_87</v>
      </c>
      <c r="D1000">
        <v>87</v>
      </c>
      <c r="E1000">
        <f>VLOOKUP($D1000,'[2]LC Dynamic'!$Q$2:$U$542,2,FALSE)</f>
        <v>6.7750000000000005E-2</v>
      </c>
      <c r="F1000">
        <f>VLOOKUP($D1000,'[2]LC Dynamic'!$Q$2:$U$542,3,FALSE)</f>
        <v>0.37624999999999997</v>
      </c>
      <c r="G1000">
        <f>VLOOKUP($D1000,'[2]LC Dynamic'!$Q$2:$U$542,4,FALSE)</f>
        <v>0.55600000000000005</v>
      </c>
      <c r="H1000">
        <f>VLOOKUP($D1000,'[2]LC Dynamic'!$Q$2:$U$542,5,FALSE)</f>
        <v>0</v>
      </c>
      <c r="I1000" s="77">
        <f t="shared" si="3388"/>
        <v>1</v>
      </c>
      <c r="J1000" s="77">
        <f t="shared" si="3389"/>
        <v>5.6466406249999997E-2</v>
      </c>
      <c r="K1000" s="77">
        <f t="shared" si="3179"/>
        <v>4.587972695648812E-3</v>
      </c>
      <c r="L1000" s="76">
        <v>0</v>
      </c>
      <c r="M1000" s="77">
        <f t="shared" si="3399"/>
        <v>0</v>
      </c>
      <c r="N1000" s="77">
        <f t="shared" si="3400"/>
        <v>0</v>
      </c>
      <c r="O1000" s="77">
        <f t="shared" si="3401"/>
        <v>6.3856750000000004E-3</v>
      </c>
      <c r="P1000" s="77">
        <f t="shared" si="3402"/>
        <v>5.3370341599823234E-4</v>
      </c>
      <c r="R1000" t="s">
        <v>177</v>
      </c>
      <c r="S1000" t="s">
        <v>179</v>
      </c>
      <c r="T1000" s="197" t="str">
        <f t="shared" si="3173"/>
        <v>Autopilot_Dynamic_87</v>
      </c>
      <c r="U1000">
        <v>87</v>
      </c>
      <c r="V1000">
        <f>VLOOKUP($U1000,'[2]AP Dynamic'!$Q$1:$T$542,2,FALSE)</f>
        <v>0.33477546808196973</v>
      </c>
      <c r="W1000">
        <f>VLOOKUP($U1000,'[2]AP Dynamic'!$Q$1:$T$542,3,FALSE)</f>
        <v>0.66522453191803033</v>
      </c>
      <c r="X1000">
        <f>VLOOKUP($U1000,'[2]AP Dynamic'!$Q$1:$T$542,4,FALSE)</f>
        <v>0</v>
      </c>
      <c r="Y1000" s="77">
        <f t="shared" si="3174"/>
        <v>1</v>
      </c>
      <c r="Z1000" s="77">
        <f t="shared" si="3180"/>
        <v>5.579414433878814E-2</v>
      </c>
      <c r="AA1000" s="77">
        <f t="shared" si="3181"/>
        <v>4.5346863131396908E-3</v>
      </c>
      <c r="AB1000" s="79">
        <v>1</v>
      </c>
      <c r="AC1000" s="77">
        <f t="shared" si="3403"/>
        <v>7.16955093616394E-3</v>
      </c>
      <c r="AD1000" s="77">
        <f t="shared" ref="AD1000" si="3428">1-(1-AC1000)^(1/12)</f>
        <v>5.994349066529292E-4</v>
      </c>
      <c r="AE1000" s="77">
        <f t="shared" si="3405"/>
        <v>2.5000000000000001E-3</v>
      </c>
      <c r="AF1000" s="77">
        <f t="shared" ref="AF1000" si="3429">1-(1-AE1000)^(1/12)</f>
        <v>2.0857243058891584E-4</v>
      </c>
      <c r="AH1000" t="s">
        <v>175</v>
      </c>
      <c r="AI1000" t="s">
        <v>179</v>
      </c>
      <c r="AJ1000" s="197" t="str">
        <f t="shared" si="3392"/>
        <v>Lifecycle_Dynamic_87</v>
      </c>
      <c r="AK1000">
        <v>87</v>
      </c>
      <c r="AL1000">
        <f>VLOOKUP($U1000,[2]Standard_Dynamic!$Q$1:$T$542,2,FALSE)</f>
        <v>0.28601815660474728</v>
      </c>
      <c r="AM1000">
        <f>VLOOKUP($U1000,[2]Standard_Dynamic!$Q$1:$T$542,3,FALSE)</f>
        <v>0.71398184339525272</v>
      </c>
      <c r="AN1000">
        <f>VLOOKUP($U1000,[2]Standard_Dynamic!$Q$1:$T$542,4,FALSE)</f>
        <v>0</v>
      </c>
      <c r="AO1000" s="77">
        <f t="shared" si="3393"/>
        <v>1</v>
      </c>
      <c r="AP1000" s="77">
        <f t="shared" si="3407"/>
        <v>5.5146891028928016E-2</v>
      </c>
      <c r="AQ1000" s="77">
        <f t="shared" si="3394"/>
        <v>4.4833528243430898E-3</v>
      </c>
      <c r="AR1000" s="79">
        <v>0</v>
      </c>
      <c r="AS1000" s="77">
        <f t="shared" si="3408"/>
        <v>0</v>
      </c>
      <c r="AT1000" s="77">
        <f t="shared" ref="AT1000" si="3430">1-(1-AS1000)^(1/12)</f>
        <v>0</v>
      </c>
      <c r="AU1000" s="77">
        <f t="shared" si="3410"/>
        <v>2.5000000000000001E-3</v>
      </c>
      <c r="AV1000" s="77">
        <f t="shared" ref="AV1000" si="3431">1-(1-AU1000)^(1/12)</f>
        <v>2.0857243058891584E-4</v>
      </c>
      <c r="AX1000" t="s">
        <v>178</v>
      </c>
      <c r="AY1000" t="s">
        <v>162</v>
      </c>
      <c r="AZ1000" s="197" t="str">
        <f t="shared" si="3206"/>
        <v>DIS_Standard_87</v>
      </c>
      <c r="BA1000">
        <v>87</v>
      </c>
      <c r="BB1000">
        <f>VLOOKUP($BA1000,'[2]Standard DIS'!$Q$1:$X$542,4,FALSE)</f>
        <v>0</v>
      </c>
      <c r="BF1000">
        <f>VLOOKUP($BA1000,'[2]Standard DIS'!$Q$1:$X$542,2,FALSE)</f>
        <v>0.28601815660474728</v>
      </c>
      <c r="BH1000">
        <f>VLOOKUP($BA1000,'[2]Standard DIS'!$Q$1:$X$542,3,FALSE)</f>
        <v>0.71398184339525272</v>
      </c>
      <c r="BI1000" s="77">
        <f t="shared" si="3397"/>
        <v>1</v>
      </c>
      <c r="BJ1000" s="77">
        <f t="shared" si="3398"/>
        <v>5.5146891028928016E-2</v>
      </c>
      <c r="BK1000" s="77">
        <f t="shared" si="3207"/>
        <v>4.4833528243430898E-3</v>
      </c>
      <c r="BL1000" s="79">
        <v>0</v>
      </c>
      <c r="BM1000" s="77">
        <f t="shared" si="3412"/>
        <v>0</v>
      </c>
      <c r="BN1000" s="77">
        <f t="shared" si="3413"/>
        <v>0</v>
      </c>
      <c r="BO1000" s="77">
        <f t="shared" si="3414"/>
        <v>2.5000000000000001E-3</v>
      </c>
      <c r="BP1000" s="77">
        <f t="shared" si="3415"/>
        <v>2.0809499864316017E-4</v>
      </c>
    </row>
    <row r="1001" spans="1:68">
      <c r="A1001" t="s">
        <v>175</v>
      </c>
      <c r="B1001" t="s">
        <v>179</v>
      </c>
      <c r="C1001" s="197" t="str">
        <f t="shared" si="3172"/>
        <v>Lifecycle_Dynamic_86</v>
      </c>
      <c r="D1001">
        <v>86</v>
      </c>
      <c r="E1001">
        <f>VLOOKUP($D1001,'[2]LC Dynamic'!$Q$2:$U$542,2,FALSE)</f>
        <v>7.0166666666666669E-2</v>
      </c>
      <c r="F1001">
        <f>VLOOKUP($D1001,'[2]LC Dynamic'!$Q$2:$U$542,3,FALSE)</f>
        <v>0.3775</v>
      </c>
      <c r="G1001">
        <f>VLOOKUP($D1001,'[2]LC Dynamic'!$Q$2:$U$542,4,FALSE)</f>
        <v>0.55233333333333334</v>
      </c>
      <c r="H1001">
        <f>VLOOKUP($D1001,'[2]LC Dynamic'!$Q$2:$U$542,5,FALSE)</f>
        <v>0</v>
      </c>
      <c r="I1001" s="77">
        <f t="shared" si="3388"/>
        <v>1</v>
      </c>
      <c r="J1001" s="77">
        <f t="shared" si="3389"/>
        <v>5.6390812499999998E-2</v>
      </c>
      <c r="K1001" s="77">
        <f t="shared" si="3179"/>
        <v>4.5819823598289844E-3</v>
      </c>
      <c r="L1001" s="76">
        <v>0</v>
      </c>
      <c r="M1001" s="77">
        <f t="shared" si="3399"/>
        <v>0</v>
      </c>
      <c r="N1001" s="77">
        <f t="shared" si="3400"/>
        <v>0</v>
      </c>
      <c r="O1001" s="77">
        <f t="shared" si="3401"/>
        <v>6.37245E-3</v>
      </c>
      <c r="P1001" s="77">
        <f t="shared" si="3402"/>
        <v>5.3259484861911677E-4</v>
      </c>
      <c r="R1001" t="s">
        <v>177</v>
      </c>
      <c r="S1001" t="s">
        <v>179</v>
      </c>
      <c r="T1001" s="197" t="str">
        <f t="shared" si="3173"/>
        <v>Autopilot_Dynamic_86</v>
      </c>
      <c r="U1001">
        <v>86</v>
      </c>
      <c r="V1001">
        <f>VLOOKUP($U1001,'[2]AP Dynamic'!$Q$1:$T$542,2,FALSE)</f>
        <v>0.33477546808196973</v>
      </c>
      <c r="W1001">
        <f>VLOOKUP($U1001,'[2]AP Dynamic'!$Q$1:$T$542,3,FALSE)</f>
        <v>0.66522453191803033</v>
      </c>
      <c r="X1001">
        <f>VLOOKUP($U1001,'[2]AP Dynamic'!$Q$1:$T$542,4,FALSE)</f>
        <v>0</v>
      </c>
      <c r="Y1001" s="77">
        <f t="shared" si="3174"/>
        <v>1</v>
      </c>
      <c r="Z1001" s="77">
        <f t="shared" si="3180"/>
        <v>5.579414433878814E-2</v>
      </c>
      <c r="AA1001" s="77">
        <f t="shared" si="3181"/>
        <v>4.5346863131396908E-3</v>
      </c>
      <c r="AB1001" s="79">
        <v>1</v>
      </c>
      <c r="AC1001" s="77">
        <f t="shared" si="3403"/>
        <v>7.16955093616394E-3</v>
      </c>
      <c r="AD1001" s="77">
        <f t="shared" ref="AD1001" si="3432">1-(1-AC1001)^(1/12)</f>
        <v>5.994349066529292E-4</v>
      </c>
      <c r="AE1001" s="77">
        <f t="shared" si="3405"/>
        <v>2.5000000000000001E-3</v>
      </c>
      <c r="AF1001" s="77">
        <f t="shared" ref="AF1001" si="3433">1-(1-AE1001)^(1/12)</f>
        <v>2.0857243058891584E-4</v>
      </c>
      <c r="AH1001" t="s">
        <v>175</v>
      </c>
      <c r="AI1001" t="s">
        <v>179</v>
      </c>
      <c r="AJ1001" s="197" t="str">
        <f t="shared" si="3392"/>
        <v>Lifecycle_Dynamic_86</v>
      </c>
      <c r="AK1001">
        <v>86</v>
      </c>
      <c r="AL1001">
        <f>VLOOKUP($U1001,[2]Standard_Dynamic!$Q$1:$T$542,2,FALSE)</f>
        <v>0.28060067755172258</v>
      </c>
      <c r="AM1001">
        <f>VLOOKUP($U1001,[2]Standard_Dynamic!$Q$1:$T$542,3,FALSE)</f>
        <v>0.71939932244827753</v>
      </c>
      <c r="AN1001">
        <f>VLOOKUP($U1001,[2]Standard_Dynamic!$Q$1:$T$542,4,FALSE)</f>
        <v>0</v>
      </c>
      <c r="AO1001" s="77">
        <f t="shared" si="3393"/>
        <v>1</v>
      </c>
      <c r="AP1001" s="77">
        <f t="shared" si="3407"/>
        <v>5.5074973994499114E-2</v>
      </c>
      <c r="AQ1001" s="77">
        <f t="shared" si="3394"/>
        <v>4.4776473216872059E-3</v>
      </c>
      <c r="AR1001" s="79">
        <v>0</v>
      </c>
      <c r="AS1001" s="77">
        <f t="shared" si="3408"/>
        <v>0</v>
      </c>
      <c r="AT1001" s="77">
        <f t="shared" ref="AT1001" si="3434">1-(1-AS1001)^(1/12)</f>
        <v>0</v>
      </c>
      <c r="AU1001" s="77">
        <f t="shared" si="3410"/>
        <v>2.5000000000000005E-3</v>
      </c>
      <c r="AV1001" s="77">
        <f t="shared" ref="AV1001" si="3435">1-(1-AU1001)^(1/12)</f>
        <v>2.0857243058891584E-4</v>
      </c>
      <c r="AX1001" t="s">
        <v>178</v>
      </c>
      <c r="AY1001" t="s">
        <v>162</v>
      </c>
      <c r="AZ1001" s="197" t="str">
        <f t="shared" si="3206"/>
        <v>DIS_Standard_86</v>
      </c>
      <c r="BA1001">
        <v>86</v>
      </c>
      <c r="BB1001">
        <f>VLOOKUP($BA1001,'[2]Standard DIS'!$Q$1:$X$542,4,FALSE)</f>
        <v>0</v>
      </c>
      <c r="BF1001">
        <f>VLOOKUP($BA1001,'[2]Standard DIS'!$Q$1:$X$542,2,FALSE)</f>
        <v>0.28060067755172258</v>
      </c>
      <c r="BH1001">
        <f>VLOOKUP($BA1001,'[2]Standard DIS'!$Q$1:$X$542,3,FALSE)</f>
        <v>0.71939932244827753</v>
      </c>
      <c r="BI1001" s="77">
        <f t="shared" si="3397"/>
        <v>1</v>
      </c>
      <c r="BJ1001" s="77">
        <f t="shared" si="3398"/>
        <v>5.5074973994499114E-2</v>
      </c>
      <c r="BK1001" s="77">
        <f t="shared" si="3207"/>
        <v>4.4776473216872059E-3</v>
      </c>
      <c r="BL1001" s="79">
        <v>0</v>
      </c>
      <c r="BM1001" s="77">
        <f t="shared" si="3412"/>
        <v>0</v>
      </c>
      <c r="BN1001" s="77">
        <f t="shared" si="3413"/>
        <v>0</v>
      </c>
      <c r="BO1001" s="77">
        <f t="shared" si="3414"/>
        <v>2.5000000000000005E-3</v>
      </c>
      <c r="BP1001" s="77">
        <f t="shared" si="3415"/>
        <v>2.0809499864316017E-4</v>
      </c>
    </row>
    <row r="1002" spans="1:68">
      <c r="A1002" t="s">
        <v>175</v>
      </c>
      <c r="B1002" t="s">
        <v>179</v>
      </c>
      <c r="C1002" s="197" t="str">
        <f t="shared" si="3172"/>
        <v>Lifecycle_Dynamic_85</v>
      </c>
      <c r="D1002">
        <v>85</v>
      </c>
      <c r="E1002">
        <f>VLOOKUP($D1002,'[2]LC Dynamic'!$Q$2:$U$542,2,FALSE)</f>
        <v>7.2583333333333333E-2</v>
      </c>
      <c r="F1002">
        <f>VLOOKUP($D1002,'[2]LC Dynamic'!$Q$2:$U$542,3,FALSE)</f>
        <v>0.37875000000000003</v>
      </c>
      <c r="G1002">
        <f>VLOOKUP($D1002,'[2]LC Dynamic'!$Q$2:$U$542,4,FALSE)</f>
        <v>0.54866666666666675</v>
      </c>
      <c r="H1002">
        <f>VLOOKUP($D1002,'[2]LC Dynamic'!$Q$2:$U$542,5,FALSE)</f>
        <v>0</v>
      </c>
      <c r="I1002" s="77">
        <f t="shared" si="3388"/>
        <v>1</v>
      </c>
      <c r="J1002" s="77">
        <f t="shared" si="3389"/>
        <v>5.6315218750000007E-2</v>
      </c>
      <c r="K1002" s="77">
        <f t="shared" si="3179"/>
        <v>4.5759916310585957E-3</v>
      </c>
      <c r="L1002" s="76">
        <v>0</v>
      </c>
      <c r="M1002" s="77">
        <f t="shared" si="3399"/>
        <v>0</v>
      </c>
      <c r="N1002" s="77">
        <f t="shared" si="3400"/>
        <v>0</v>
      </c>
      <c r="O1002" s="77">
        <f t="shared" si="3401"/>
        <v>6.3592250000000005E-3</v>
      </c>
      <c r="P1002" s="77">
        <f t="shared" si="3402"/>
        <v>5.3148629476507114E-4</v>
      </c>
      <c r="R1002" t="s">
        <v>177</v>
      </c>
      <c r="S1002" t="s">
        <v>179</v>
      </c>
      <c r="T1002" s="197" t="str">
        <f t="shared" si="3173"/>
        <v>Autopilot_Dynamic_85</v>
      </c>
      <c r="U1002">
        <v>85</v>
      </c>
      <c r="V1002">
        <f>VLOOKUP($U1002,'[2]AP Dynamic'!$Q$1:$T$542,2,FALSE)</f>
        <v>0.33477546808196973</v>
      </c>
      <c r="W1002">
        <f>VLOOKUP($U1002,'[2]AP Dynamic'!$Q$1:$T$542,3,FALSE)</f>
        <v>0.66522453191803033</v>
      </c>
      <c r="X1002">
        <f>VLOOKUP($U1002,'[2]AP Dynamic'!$Q$1:$T$542,4,FALSE)</f>
        <v>0</v>
      </c>
      <c r="Y1002" s="77">
        <f t="shared" si="3174"/>
        <v>1</v>
      </c>
      <c r="Z1002" s="77">
        <f t="shared" si="3180"/>
        <v>5.579414433878814E-2</v>
      </c>
      <c r="AA1002" s="77">
        <f t="shared" si="3181"/>
        <v>4.5346863131396908E-3</v>
      </c>
      <c r="AB1002" s="79">
        <v>1</v>
      </c>
      <c r="AC1002" s="77">
        <f t="shared" si="3403"/>
        <v>7.16955093616394E-3</v>
      </c>
      <c r="AD1002" s="77">
        <f t="shared" ref="AD1002" si="3436">1-(1-AC1002)^(1/12)</f>
        <v>5.994349066529292E-4</v>
      </c>
      <c r="AE1002" s="77">
        <f t="shared" si="3405"/>
        <v>2.5000000000000001E-3</v>
      </c>
      <c r="AF1002" s="77">
        <f t="shared" ref="AF1002" si="3437">1-(1-AE1002)^(1/12)</f>
        <v>2.0857243058891584E-4</v>
      </c>
      <c r="AH1002" t="s">
        <v>175</v>
      </c>
      <c r="AI1002" t="s">
        <v>179</v>
      </c>
      <c r="AJ1002" s="197" t="str">
        <f t="shared" si="3392"/>
        <v>Lifecycle_Dynamic_85</v>
      </c>
      <c r="AK1002">
        <v>85</v>
      </c>
      <c r="AL1002">
        <f>VLOOKUP($U1002,[2]Standard_Dynamic!$Q$1:$T$542,2,FALSE)</f>
        <v>0.27518319849869782</v>
      </c>
      <c r="AM1002">
        <f>VLOOKUP($U1002,[2]Standard_Dynamic!$Q$1:$T$542,3,FALSE)</f>
        <v>0.72481680150130223</v>
      </c>
      <c r="AN1002">
        <f>VLOOKUP($U1002,[2]Standard_Dynamic!$Q$1:$T$542,4,FALSE)</f>
        <v>0</v>
      </c>
      <c r="AO1002" s="77">
        <f t="shared" si="3393"/>
        <v>1</v>
      </c>
      <c r="AP1002" s="77">
        <f t="shared" si="3407"/>
        <v>5.5003056960070212E-2</v>
      </c>
      <c r="AQ1002" s="77">
        <f t="shared" si="3394"/>
        <v>4.47194146252472E-3</v>
      </c>
      <c r="AR1002" s="79">
        <v>0</v>
      </c>
      <c r="AS1002" s="77">
        <f t="shared" si="3408"/>
        <v>0</v>
      </c>
      <c r="AT1002" s="77">
        <f t="shared" ref="AT1002" si="3438">1-(1-AS1002)^(1/12)</f>
        <v>0</v>
      </c>
      <c r="AU1002" s="77">
        <f t="shared" si="3410"/>
        <v>2.5000000000000001E-3</v>
      </c>
      <c r="AV1002" s="77">
        <f t="shared" ref="AV1002" si="3439">1-(1-AU1002)^(1/12)</f>
        <v>2.0857243058891584E-4</v>
      </c>
      <c r="AX1002" t="s">
        <v>178</v>
      </c>
      <c r="AY1002" t="s">
        <v>162</v>
      </c>
      <c r="AZ1002" s="197" t="str">
        <f t="shared" si="3206"/>
        <v>DIS_Standard_85</v>
      </c>
      <c r="BA1002">
        <v>85</v>
      </c>
      <c r="BB1002">
        <f>VLOOKUP($BA1002,'[2]Standard DIS'!$Q$1:$X$542,4,FALSE)</f>
        <v>0</v>
      </c>
      <c r="BF1002">
        <f>VLOOKUP($BA1002,'[2]Standard DIS'!$Q$1:$X$542,2,FALSE)</f>
        <v>0.27518319849869782</v>
      </c>
      <c r="BH1002">
        <f>VLOOKUP($BA1002,'[2]Standard DIS'!$Q$1:$X$542,3,FALSE)</f>
        <v>0.72481680150130223</v>
      </c>
      <c r="BI1002" s="77">
        <f t="shared" si="3397"/>
        <v>1</v>
      </c>
      <c r="BJ1002" s="77">
        <f t="shared" si="3398"/>
        <v>5.5003056960070212E-2</v>
      </c>
      <c r="BK1002" s="77">
        <f t="shared" si="3207"/>
        <v>4.47194146252472E-3</v>
      </c>
      <c r="BL1002" s="79">
        <v>0</v>
      </c>
      <c r="BM1002" s="77">
        <f t="shared" si="3412"/>
        <v>0</v>
      </c>
      <c r="BN1002" s="77">
        <f t="shared" si="3413"/>
        <v>0</v>
      </c>
      <c r="BO1002" s="77">
        <f t="shared" si="3414"/>
        <v>2.5000000000000001E-3</v>
      </c>
      <c r="BP1002" s="77">
        <f t="shared" si="3415"/>
        <v>2.0809499864316017E-4</v>
      </c>
    </row>
    <row r="1003" spans="1:68">
      <c r="A1003" t="s">
        <v>175</v>
      </c>
      <c r="B1003" t="s">
        <v>179</v>
      </c>
      <c r="C1003" s="197" t="str">
        <f t="shared" si="3172"/>
        <v>Lifecycle_Dynamic_84</v>
      </c>
      <c r="D1003">
        <v>84</v>
      </c>
      <c r="E1003">
        <f>VLOOKUP($D1003,'[2]LC Dynamic'!$Q$2:$U$542,2,FALSE)</f>
        <v>7.4999999999999997E-2</v>
      </c>
      <c r="F1003">
        <f>VLOOKUP($D1003,'[2]LC Dynamic'!$Q$2:$U$542,3,FALSE)</f>
        <v>0.38</v>
      </c>
      <c r="G1003">
        <f>VLOOKUP($D1003,'[2]LC Dynamic'!$Q$2:$U$542,4,FALSE)</f>
        <v>0.54500000000000004</v>
      </c>
      <c r="H1003">
        <f>VLOOKUP($D1003,'[2]LC Dynamic'!$Q$2:$U$542,5,FALSE)</f>
        <v>0</v>
      </c>
      <c r="I1003" s="77">
        <f t="shared" si="3388"/>
        <v>1</v>
      </c>
      <c r="J1003" s="77">
        <f t="shared" si="3389"/>
        <v>5.6239625000000001E-2</v>
      </c>
      <c r="K1003" s="77">
        <f t="shared" si="3179"/>
        <v>4.5700005092832452E-3</v>
      </c>
      <c r="L1003" s="76">
        <v>0</v>
      </c>
      <c r="M1003" s="77">
        <f t="shared" si="3399"/>
        <v>0</v>
      </c>
      <c r="N1003" s="77">
        <f t="shared" si="3400"/>
        <v>0</v>
      </c>
      <c r="O1003" s="77">
        <f t="shared" si="3401"/>
        <v>6.3460000000000009E-3</v>
      </c>
      <c r="P1003" s="77">
        <f t="shared" si="3402"/>
        <v>5.3037775443598445E-4</v>
      </c>
      <c r="R1003" t="s">
        <v>177</v>
      </c>
      <c r="S1003" t="s">
        <v>179</v>
      </c>
      <c r="T1003" s="197" t="str">
        <f t="shared" si="3173"/>
        <v>Autopilot_Dynamic_84</v>
      </c>
      <c r="U1003">
        <v>84</v>
      </c>
      <c r="V1003">
        <f>VLOOKUP($U1003,'[2]AP Dynamic'!$Q$1:$T$542,2,FALSE)</f>
        <v>0.26976571944567312</v>
      </c>
      <c r="W1003">
        <f>VLOOKUP($U1003,'[2]AP Dynamic'!$Q$1:$T$542,3,FALSE)</f>
        <v>0.73023428055432693</v>
      </c>
      <c r="X1003">
        <f>VLOOKUP($U1003,'[2]AP Dynamic'!$Q$1:$T$542,4,FALSE)</f>
        <v>0</v>
      </c>
      <c r="Y1003" s="77">
        <f t="shared" si="3174"/>
        <v>1</v>
      </c>
      <c r="Z1003" s="77">
        <f t="shared" si="3180"/>
        <v>5.4931139925641304E-2</v>
      </c>
      <c r="AA1003" s="77">
        <f t="shared" si="3181"/>
        <v>4.4662352468092248E-3</v>
      </c>
      <c r="AB1003" s="79">
        <v>1</v>
      </c>
      <c r="AC1003" s="77">
        <f t="shared" si="3403"/>
        <v>7.0395314388913468E-3</v>
      </c>
      <c r="AD1003" s="77">
        <f t="shared" ref="AD1003" si="3440">1-(1-AC1003)^(1/12)</f>
        <v>5.8852890214233788E-4</v>
      </c>
      <c r="AE1003" s="77">
        <f t="shared" si="3405"/>
        <v>2.5000000000000001E-3</v>
      </c>
      <c r="AF1003" s="77">
        <f t="shared" ref="AF1003" si="3441">1-(1-AE1003)^(1/12)</f>
        <v>2.0857243058891584E-4</v>
      </c>
      <c r="AH1003" t="s">
        <v>175</v>
      </c>
      <c r="AI1003" t="s">
        <v>179</v>
      </c>
      <c r="AJ1003" s="197" t="str">
        <f t="shared" si="3392"/>
        <v>Lifecycle_Dynamic_84</v>
      </c>
      <c r="AK1003">
        <v>84</v>
      </c>
      <c r="AL1003">
        <f>VLOOKUP($U1003,[2]Standard_Dynamic!$Q$1:$T$542,2,FALSE)</f>
        <v>0.26976571944567312</v>
      </c>
      <c r="AM1003">
        <f>VLOOKUP($U1003,[2]Standard_Dynamic!$Q$1:$T$542,3,FALSE)</f>
        <v>0.73023428055432693</v>
      </c>
      <c r="AN1003">
        <f>VLOOKUP($U1003,[2]Standard_Dynamic!$Q$1:$T$542,4,FALSE)</f>
        <v>0</v>
      </c>
      <c r="AO1003" s="77">
        <f t="shared" si="3393"/>
        <v>1</v>
      </c>
      <c r="AP1003" s="77">
        <f t="shared" si="3407"/>
        <v>5.4931139925641304E-2</v>
      </c>
      <c r="AQ1003" s="77">
        <f t="shared" si="3394"/>
        <v>4.4662352468092248E-3</v>
      </c>
      <c r="AR1003" s="79">
        <v>0</v>
      </c>
      <c r="AS1003" s="77">
        <f t="shared" si="3408"/>
        <v>0</v>
      </c>
      <c r="AT1003" s="77">
        <f t="shared" ref="AT1003" si="3442">1-(1-AS1003)^(1/12)</f>
        <v>0</v>
      </c>
      <c r="AU1003" s="77">
        <f t="shared" si="3410"/>
        <v>2.5000000000000001E-3</v>
      </c>
      <c r="AV1003" s="77">
        <f t="shared" ref="AV1003" si="3443">1-(1-AU1003)^(1/12)</f>
        <v>2.0857243058891584E-4</v>
      </c>
      <c r="AX1003" t="s">
        <v>178</v>
      </c>
      <c r="AY1003" t="s">
        <v>162</v>
      </c>
      <c r="AZ1003" s="197" t="str">
        <f t="shared" si="3206"/>
        <v>DIS_Standard_84</v>
      </c>
      <c r="BA1003">
        <v>84</v>
      </c>
      <c r="BB1003">
        <f>VLOOKUP($BA1003,'[2]Standard DIS'!$Q$1:$X$542,4,FALSE)</f>
        <v>0</v>
      </c>
      <c r="BF1003">
        <f>VLOOKUP($BA1003,'[2]Standard DIS'!$Q$1:$X$542,2,FALSE)</f>
        <v>0.26976571944567312</v>
      </c>
      <c r="BH1003">
        <f>VLOOKUP($BA1003,'[2]Standard DIS'!$Q$1:$X$542,3,FALSE)</f>
        <v>0.73023428055432693</v>
      </c>
      <c r="BI1003" s="77">
        <f t="shared" si="3397"/>
        <v>1</v>
      </c>
      <c r="BJ1003" s="77">
        <f t="shared" si="3398"/>
        <v>5.4931139925641304E-2</v>
      </c>
      <c r="BK1003" s="77">
        <f t="shared" si="3207"/>
        <v>4.4662352468092248E-3</v>
      </c>
      <c r="BL1003" s="79">
        <v>0</v>
      </c>
      <c r="BM1003" s="77">
        <f t="shared" si="3412"/>
        <v>0</v>
      </c>
      <c r="BN1003" s="77">
        <f t="shared" si="3413"/>
        <v>0</v>
      </c>
      <c r="BO1003" s="77">
        <f t="shared" si="3414"/>
        <v>2.5000000000000001E-3</v>
      </c>
      <c r="BP1003" s="77">
        <f t="shared" si="3415"/>
        <v>2.0809499864316017E-4</v>
      </c>
    </row>
    <row r="1004" spans="1:68">
      <c r="A1004" t="s">
        <v>175</v>
      </c>
      <c r="B1004" t="s">
        <v>179</v>
      </c>
      <c r="C1004" s="197" t="str">
        <f t="shared" si="3172"/>
        <v>Lifecycle_Dynamic_83</v>
      </c>
      <c r="D1004">
        <v>83</v>
      </c>
      <c r="E1004">
        <f>VLOOKUP($D1004,'[2]LC Dynamic'!$Q$2:$U$542,2,FALSE)</f>
        <v>7.825E-2</v>
      </c>
      <c r="F1004">
        <f>VLOOKUP($D1004,'[2]LC Dynamic'!$Q$2:$U$542,3,FALSE)</f>
        <v>0.37958333333333333</v>
      </c>
      <c r="G1004">
        <f>VLOOKUP($D1004,'[2]LC Dynamic'!$Q$2:$U$542,4,FALSE)</f>
        <v>0.54216666666666669</v>
      </c>
      <c r="H1004">
        <f>VLOOKUP($D1004,'[2]LC Dynamic'!$Q$2:$U$542,5,FALSE)</f>
        <v>0</v>
      </c>
      <c r="I1004" s="77">
        <f t="shared" si="3388"/>
        <v>1</v>
      </c>
      <c r="J1004" s="77">
        <f t="shared" si="3389"/>
        <v>5.6175093749999995E-2</v>
      </c>
      <c r="K1004" s="77">
        <f t="shared" si="3179"/>
        <v>4.5648858260520786E-3</v>
      </c>
      <c r="L1004" s="76">
        <v>0</v>
      </c>
      <c r="M1004" s="77">
        <f t="shared" si="3399"/>
        <v>0</v>
      </c>
      <c r="N1004" s="77">
        <f t="shared" si="3400"/>
        <v>0</v>
      </c>
      <c r="O1004" s="77">
        <f t="shared" si="3401"/>
        <v>6.3309416666666668E-3</v>
      </c>
      <c r="P1004" s="77">
        <f t="shared" si="3402"/>
        <v>5.291155576859774E-4</v>
      </c>
      <c r="R1004" t="s">
        <v>177</v>
      </c>
      <c r="S1004" t="s">
        <v>179</v>
      </c>
      <c r="T1004" s="197" t="str">
        <f t="shared" si="3173"/>
        <v>Autopilot_Dynamic_83</v>
      </c>
      <c r="U1004">
        <v>83</v>
      </c>
      <c r="V1004">
        <f>VLOOKUP($U1004,'[2]AP Dynamic'!$Q$1:$T$542,2,FALSE)</f>
        <v>0.26976571944567312</v>
      </c>
      <c r="W1004">
        <f>VLOOKUP($U1004,'[2]AP Dynamic'!$Q$1:$T$542,3,FALSE)</f>
        <v>0.73023428055432693</v>
      </c>
      <c r="X1004">
        <f>VLOOKUP($U1004,'[2]AP Dynamic'!$Q$1:$T$542,4,FALSE)</f>
        <v>0</v>
      </c>
      <c r="Y1004" s="77">
        <f t="shared" si="3174"/>
        <v>1</v>
      </c>
      <c r="Z1004" s="77">
        <f t="shared" si="3180"/>
        <v>5.4931139925641304E-2</v>
      </c>
      <c r="AA1004" s="77">
        <f t="shared" si="3181"/>
        <v>4.4662352468092248E-3</v>
      </c>
      <c r="AB1004" s="79">
        <v>1</v>
      </c>
      <c r="AC1004" s="77">
        <f t="shared" si="3403"/>
        <v>7.0395314388913468E-3</v>
      </c>
      <c r="AD1004" s="77">
        <f t="shared" ref="AD1004" si="3444">1-(1-AC1004)^(1/12)</f>
        <v>5.8852890214233788E-4</v>
      </c>
      <c r="AE1004" s="77">
        <f t="shared" si="3405"/>
        <v>2.5000000000000001E-3</v>
      </c>
      <c r="AF1004" s="77">
        <f t="shared" ref="AF1004" si="3445">1-(1-AE1004)^(1/12)</f>
        <v>2.0857243058891584E-4</v>
      </c>
      <c r="AH1004" t="s">
        <v>175</v>
      </c>
      <c r="AI1004" t="s">
        <v>179</v>
      </c>
      <c r="AJ1004" s="197" t="str">
        <f t="shared" si="3392"/>
        <v>Lifecycle_Dynamic_83</v>
      </c>
      <c r="AK1004">
        <v>83</v>
      </c>
      <c r="AL1004">
        <f>VLOOKUP($U1004,[2]Standard_Dynamic!$Q$1:$T$542,2,FALSE)</f>
        <v>0.26513267390289463</v>
      </c>
      <c r="AM1004">
        <f>VLOOKUP($U1004,[2]Standard_Dynamic!$Q$1:$T$542,3,FALSE)</f>
        <v>0.73486732609710548</v>
      </c>
      <c r="AN1004">
        <f>VLOOKUP($U1004,[2]Standard_Dynamic!$Q$1:$T$542,4,FALSE)</f>
        <v>0</v>
      </c>
      <c r="AO1004" s="77">
        <f t="shared" si="3393"/>
        <v>1</v>
      </c>
      <c r="AP1004" s="77">
        <f t="shared" si="3407"/>
        <v>5.4869636246060921E-2</v>
      </c>
      <c r="AQ1004" s="77">
        <f t="shared" si="3394"/>
        <v>4.4613549898577798E-3</v>
      </c>
      <c r="AR1004" s="79">
        <v>0</v>
      </c>
      <c r="AS1004" s="77">
        <f t="shared" si="3408"/>
        <v>0</v>
      </c>
      <c r="AT1004" s="77">
        <f t="shared" ref="AT1004" si="3446">1-(1-AS1004)^(1/12)</f>
        <v>0</v>
      </c>
      <c r="AU1004" s="77">
        <f t="shared" si="3410"/>
        <v>2.5000000000000005E-3</v>
      </c>
      <c r="AV1004" s="77">
        <f t="shared" ref="AV1004" si="3447">1-(1-AU1004)^(1/12)</f>
        <v>2.0857243058891584E-4</v>
      </c>
      <c r="AX1004" t="s">
        <v>178</v>
      </c>
      <c r="AY1004" t="s">
        <v>162</v>
      </c>
      <c r="AZ1004" s="197" t="str">
        <f t="shared" si="3206"/>
        <v>DIS_Standard_83</v>
      </c>
      <c r="BA1004">
        <v>83</v>
      </c>
      <c r="BB1004">
        <f>VLOOKUP($BA1004,'[2]Standard DIS'!$Q$1:$X$542,4,FALSE)</f>
        <v>0</v>
      </c>
      <c r="BF1004">
        <f>VLOOKUP($BA1004,'[2]Standard DIS'!$Q$1:$X$542,2,FALSE)</f>
        <v>0.26513267390289463</v>
      </c>
      <c r="BH1004">
        <f>VLOOKUP($BA1004,'[2]Standard DIS'!$Q$1:$X$542,3,FALSE)</f>
        <v>0.73486732609710548</v>
      </c>
      <c r="BI1004" s="77">
        <f t="shared" si="3397"/>
        <v>1</v>
      </c>
      <c r="BJ1004" s="77">
        <f t="shared" si="3398"/>
        <v>5.4869636246060921E-2</v>
      </c>
      <c r="BK1004" s="77">
        <f t="shared" si="3207"/>
        <v>4.4613549898577798E-3</v>
      </c>
      <c r="BL1004" s="79">
        <v>0</v>
      </c>
      <c r="BM1004" s="77">
        <f t="shared" si="3412"/>
        <v>0</v>
      </c>
      <c r="BN1004" s="77">
        <f t="shared" si="3413"/>
        <v>0</v>
      </c>
      <c r="BO1004" s="77">
        <f t="shared" si="3414"/>
        <v>2.5000000000000005E-3</v>
      </c>
      <c r="BP1004" s="77">
        <f t="shared" si="3415"/>
        <v>2.0809499864316017E-4</v>
      </c>
    </row>
    <row r="1005" spans="1:68">
      <c r="A1005" t="s">
        <v>175</v>
      </c>
      <c r="B1005" t="s">
        <v>179</v>
      </c>
      <c r="C1005" s="197" t="str">
        <f t="shared" si="3172"/>
        <v>Lifecycle_Dynamic_82</v>
      </c>
      <c r="D1005">
        <v>82</v>
      </c>
      <c r="E1005">
        <f>VLOOKUP($D1005,'[2]LC Dynamic'!$Q$2:$U$542,2,FALSE)</f>
        <v>8.1500000000000003E-2</v>
      </c>
      <c r="F1005">
        <f>VLOOKUP($D1005,'[2]LC Dynamic'!$Q$2:$U$542,3,FALSE)</f>
        <v>0.37916666666666665</v>
      </c>
      <c r="G1005">
        <f>VLOOKUP($D1005,'[2]LC Dynamic'!$Q$2:$U$542,4,FALSE)</f>
        <v>0.53933333333333333</v>
      </c>
      <c r="H1005">
        <f>VLOOKUP($D1005,'[2]LC Dynamic'!$Q$2:$U$542,5,FALSE)</f>
        <v>0</v>
      </c>
      <c r="I1005" s="77">
        <f t="shared" si="3388"/>
        <v>1</v>
      </c>
      <c r="J1005" s="77">
        <f t="shared" si="3389"/>
        <v>5.6110562499999989E-2</v>
      </c>
      <c r="K1005" s="77">
        <f t="shared" si="3179"/>
        <v>4.5597708563525075E-3</v>
      </c>
      <c r="L1005" s="76">
        <v>0</v>
      </c>
      <c r="M1005" s="77">
        <f t="shared" si="3399"/>
        <v>0</v>
      </c>
      <c r="N1005" s="77">
        <f t="shared" si="3400"/>
        <v>0</v>
      </c>
      <c r="O1005" s="77">
        <f t="shared" si="3401"/>
        <v>6.3158833333333327E-3</v>
      </c>
      <c r="P1005" s="77">
        <f t="shared" si="3402"/>
        <v>5.2785337846961156E-4</v>
      </c>
      <c r="R1005" t="s">
        <v>177</v>
      </c>
      <c r="S1005" t="s">
        <v>179</v>
      </c>
      <c r="T1005" s="197" t="str">
        <f t="shared" si="3173"/>
        <v>Autopilot_Dynamic_82</v>
      </c>
      <c r="U1005">
        <v>82</v>
      </c>
      <c r="V1005">
        <f>VLOOKUP($U1005,'[2]AP Dynamic'!$Q$1:$T$542,2,FALSE)</f>
        <v>0.26976571944567312</v>
      </c>
      <c r="W1005">
        <f>VLOOKUP($U1005,'[2]AP Dynamic'!$Q$1:$T$542,3,FALSE)</f>
        <v>0.73023428055432693</v>
      </c>
      <c r="X1005">
        <f>VLOOKUP($U1005,'[2]AP Dynamic'!$Q$1:$T$542,4,FALSE)</f>
        <v>0</v>
      </c>
      <c r="Y1005" s="77">
        <f t="shared" si="3174"/>
        <v>1</v>
      </c>
      <c r="Z1005" s="77">
        <f t="shared" si="3180"/>
        <v>5.4931139925641304E-2</v>
      </c>
      <c r="AA1005" s="77">
        <f t="shared" si="3181"/>
        <v>4.4662352468092248E-3</v>
      </c>
      <c r="AB1005" s="79">
        <v>1</v>
      </c>
      <c r="AC1005" s="77">
        <f t="shared" si="3403"/>
        <v>7.0395314388913468E-3</v>
      </c>
      <c r="AD1005" s="77">
        <f t="shared" ref="AD1005" si="3448">1-(1-AC1005)^(1/12)</f>
        <v>5.8852890214233788E-4</v>
      </c>
      <c r="AE1005" s="77">
        <f t="shared" si="3405"/>
        <v>2.5000000000000001E-3</v>
      </c>
      <c r="AF1005" s="77">
        <f t="shared" ref="AF1005" si="3449">1-(1-AE1005)^(1/12)</f>
        <v>2.0857243058891584E-4</v>
      </c>
      <c r="AH1005" t="s">
        <v>175</v>
      </c>
      <c r="AI1005" t="s">
        <v>179</v>
      </c>
      <c r="AJ1005" s="197" t="str">
        <f t="shared" si="3392"/>
        <v>Lifecycle_Dynamic_82</v>
      </c>
      <c r="AK1005">
        <v>82</v>
      </c>
      <c r="AL1005">
        <f>VLOOKUP($U1005,[2]Standard_Dynamic!$Q$1:$T$542,2,FALSE)</f>
        <v>0.26049962836011609</v>
      </c>
      <c r="AM1005">
        <f>VLOOKUP($U1005,[2]Standard_Dynamic!$Q$1:$T$542,3,FALSE)</f>
        <v>0.73950037163988391</v>
      </c>
      <c r="AN1005">
        <f>VLOOKUP($U1005,[2]Standard_Dynamic!$Q$1:$T$542,4,FALSE)</f>
        <v>0</v>
      </c>
      <c r="AO1005" s="77">
        <f t="shared" si="3393"/>
        <v>1</v>
      </c>
      <c r="AP1005" s="77">
        <f t="shared" si="3407"/>
        <v>5.4808132566480532E-2</v>
      </c>
      <c r="AQ1005" s="77">
        <f t="shared" si="3394"/>
        <v>4.4564744720703153E-3</v>
      </c>
      <c r="AR1005" s="79">
        <v>0</v>
      </c>
      <c r="AS1005" s="77">
        <f t="shared" si="3408"/>
        <v>0</v>
      </c>
      <c r="AT1005" s="77">
        <f t="shared" ref="AT1005" si="3450">1-(1-AS1005)^(1/12)</f>
        <v>0</v>
      </c>
      <c r="AU1005" s="77">
        <f t="shared" si="3410"/>
        <v>2.5000000000000001E-3</v>
      </c>
      <c r="AV1005" s="77">
        <f t="shared" ref="AV1005" si="3451">1-(1-AU1005)^(1/12)</f>
        <v>2.0857243058891584E-4</v>
      </c>
      <c r="AX1005" t="s">
        <v>178</v>
      </c>
      <c r="AY1005" t="s">
        <v>162</v>
      </c>
      <c r="AZ1005" s="197" t="str">
        <f t="shared" si="3206"/>
        <v>DIS_Standard_82</v>
      </c>
      <c r="BA1005">
        <v>82</v>
      </c>
      <c r="BB1005">
        <f>VLOOKUP($BA1005,'[2]Standard DIS'!$Q$1:$X$542,4,FALSE)</f>
        <v>0</v>
      </c>
      <c r="BF1005">
        <f>VLOOKUP($BA1005,'[2]Standard DIS'!$Q$1:$X$542,2,FALSE)</f>
        <v>0.26049962836011609</v>
      </c>
      <c r="BH1005">
        <f>VLOOKUP($BA1005,'[2]Standard DIS'!$Q$1:$X$542,3,FALSE)</f>
        <v>0.73950037163988391</v>
      </c>
      <c r="BI1005" s="77">
        <f t="shared" si="3397"/>
        <v>1</v>
      </c>
      <c r="BJ1005" s="77">
        <f t="shared" si="3398"/>
        <v>5.4808132566480532E-2</v>
      </c>
      <c r="BK1005" s="77">
        <f t="shared" si="3207"/>
        <v>4.4564744720703153E-3</v>
      </c>
      <c r="BL1005" s="79">
        <v>0</v>
      </c>
      <c r="BM1005" s="77">
        <f t="shared" si="3412"/>
        <v>0</v>
      </c>
      <c r="BN1005" s="77">
        <f t="shared" si="3413"/>
        <v>0</v>
      </c>
      <c r="BO1005" s="77">
        <f t="shared" si="3414"/>
        <v>2.5000000000000001E-3</v>
      </c>
      <c r="BP1005" s="77">
        <f t="shared" si="3415"/>
        <v>2.0809499864316017E-4</v>
      </c>
    </row>
    <row r="1006" spans="1:68">
      <c r="A1006" t="s">
        <v>175</v>
      </c>
      <c r="B1006" t="s">
        <v>179</v>
      </c>
      <c r="C1006" s="197" t="str">
        <f t="shared" si="3172"/>
        <v>Lifecycle_Dynamic_81</v>
      </c>
      <c r="D1006">
        <v>81</v>
      </c>
      <c r="E1006">
        <f>VLOOKUP($D1006,'[2]LC Dynamic'!$Q$2:$U$542,2,FALSE)</f>
        <v>8.4749999999999992E-2</v>
      </c>
      <c r="F1006">
        <f>VLOOKUP($D1006,'[2]LC Dynamic'!$Q$2:$U$542,3,FALSE)</f>
        <v>0.37875000000000003</v>
      </c>
      <c r="G1006">
        <f>VLOOKUP($D1006,'[2]LC Dynamic'!$Q$2:$U$542,4,FALSE)</f>
        <v>0.53649999999999998</v>
      </c>
      <c r="H1006">
        <f>VLOOKUP($D1006,'[2]LC Dynamic'!$Q$2:$U$542,5,FALSE)</f>
        <v>0</v>
      </c>
      <c r="I1006" s="77">
        <f t="shared" si="3388"/>
        <v>1</v>
      </c>
      <c r="J1006" s="77">
        <f t="shared" si="3389"/>
        <v>5.6046031250000003E-2</v>
      </c>
      <c r="K1006" s="77">
        <f t="shared" si="3179"/>
        <v>4.5546556001512251E-3</v>
      </c>
      <c r="L1006" s="76">
        <v>0</v>
      </c>
      <c r="M1006" s="77">
        <f t="shared" si="3399"/>
        <v>0</v>
      </c>
      <c r="N1006" s="77">
        <f t="shared" si="3400"/>
        <v>0</v>
      </c>
      <c r="O1006" s="77">
        <f t="shared" si="3401"/>
        <v>6.3008249999999995E-3</v>
      </c>
      <c r="P1006" s="77">
        <f t="shared" si="3402"/>
        <v>5.2659121678633181E-4</v>
      </c>
      <c r="R1006" t="s">
        <v>177</v>
      </c>
      <c r="S1006" t="s">
        <v>179</v>
      </c>
      <c r="T1006" s="197" t="str">
        <f t="shared" si="3173"/>
        <v>Autopilot_Dynamic_81</v>
      </c>
      <c r="U1006">
        <v>81</v>
      </c>
      <c r="V1006">
        <f>VLOOKUP($U1006,'[2]AP Dynamic'!$Q$1:$T$542,2,FALSE)</f>
        <v>0.26976571944567312</v>
      </c>
      <c r="W1006">
        <f>VLOOKUP($U1006,'[2]AP Dynamic'!$Q$1:$T$542,3,FALSE)</f>
        <v>0.73023428055432693</v>
      </c>
      <c r="X1006">
        <f>VLOOKUP($U1006,'[2]AP Dynamic'!$Q$1:$T$542,4,FALSE)</f>
        <v>0</v>
      </c>
      <c r="Y1006" s="77">
        <f t="shared" si="3174"/>
        <v>1</v>
      </c>
      <c r="Z1006" s="77">
        <f t="shared" si="3180"/>
        <v>5.4931139925641304E-2</v>
      </c>
      <c r="AA1006" s="77">
        <f t="shared" si="3181"/>
        <v>4.4662352468092248E-3</v>
      </c>
      <c r="AB1006" s="79">
        <v>1</v>
      </c>
      <c r="AC1006" s="77">
        <f t="shared" si="3403"/>
        <v>7.0395314388913468E-3</v>
      </c>
      <c r="AD1006" s="77">
        <f t="shared" ref="AD1006" si="3452">1-(1-AC1006)^(1/12)</f>
        <v>5.8852890214233788E-4</v>
      </c>
      <c r="AE1006" s="77">
        <f t="shared" si="3405"/>
        <v>2.5000000000000001E-3</v>
      </c>
      <c r="AF1006" s="77">
        <f t="shared" ref="AF1006" si="3453">1-(1-AE1006)^(1/12)</f>
        <v>2.0857243058891584E-4</v>
      </c>
      <c r="AH1006" t="s">
        <v>175</v>
      </c>
      <c r="AI1006" t="s">
        <v>179</v>
      </c>
      <c r="AJ1006" s="197" t="str">
        <f t="shared" si="3392"/>
        <v>Lifecycle_Dynamic_81</v>
      </c>
      <c r="AK1006">
        <v>81</v>
      </c>
      <c r="AL1006">
        <f>VLOOKUP($U1006,[2]Standard_Dynamic!$Q$1:$T$542,2,FALSE)</f>
        <v>0.25586658281733754</v>
      </c>
      <c r="AM1006">
        <f>VLOOKUP($U1006,[2]Standard_Dynamic!$Q$1:$T$542,3,FALSE)</f>
        <v>0.74413341718266246</v>
      </c>
      <c r="AN1006">
        <f>VLOOKUP($U1006,[2]Standard_Dynamic!$Q$1:$T$542,4,FALSE)</f>
        <v>0</v>
      </c>
      <c r="AO1006" s="77">
        <f t="shared" si="3393"/>
        <v>1</v>
      </c>
      <c r="AP1006" s="77">
        <f t="shared" si="3407"/>
        <v>5.4746628886900149E-2</v>
      </c>
      <c r="AQ1006" s="77">
        <f t="shared" si="3394"/>
        <v>4.4515936934170774E-3</v>
      </c>
      <c r="AR1006" s="79">
        <v>0</v>
      </c>
      <c r="AS1006" s="77">
        <f t="shared" si="3408"/>
        <v>0</v>
      </c>
      <c r="AT1006" s="77">
        <f t="shared" ref="AT1006" si="3454">1-(1-AS1006)^(1/12)</f>
        <v>0</v>
      </c>
      <c r="AU1006" s="77">
        <f t="shared" si="3410"/>
        <v>2.5000000000000001E-3</v>
      </c>
      <c r="AV1006" s="77">
        <f t="shared" ref="AV1006" si="3455">1-(1-AU1006)^(1/12)</f>
        <v>2.0857243058891584E-4</v>
      </c>
      <c r="AX1006" t="s">
        <v>178</v>
      </c>
      <c r="AY1006" t="s">
        <v>162</v>
      </c>
      <c r="AZ1006" s="197" t="str">
        <f t="shared" si="3206"/>
        <v>DIS_Standard_81</v>
      </c>
      <c r="BA1006">
        <v>81</v>
      </c>
      <c r="BB1006">
        <f>VLOOKUP($BA1006,'[2]Standard DIS'!$Q$1:$X$542,4,FALSE)</f>
        <v>0</v>
      </c>
      <c r="BF1006">
        <f>VLOOKUP($BA1006,'[2]Standard DIS'!$Q$1:$X$542,2,FALSE)</f>
        <v>0.25586658281733754</v>
      </c>
      <c r="BH1006">
        <f>VLOOKUP($BA1006,'[2]Standard DIS'!$Q$1:$X$542,3,FALSE)</f>
        <v>0.74413341718266246</v>
      </c>
      <c r="BI1006" s="77">
        <f t="shared" si="3397"/>
        <v>1</v>
      </c>
      <c r="BJ1006" s="77">
        <f t="shared" si="3398"/>
        <v>5.4746628886900149E-2</v>
      </c>
      <c r="BK1006" s="77">
        <f t="shared" si="3207"/>
        <v>4.4515936934170774E-3</v>
      </c>
      <c r="BL1006" s="79">
        <v>0</v>
      </c>
      <c r="BM1006" s="77">
        <f t="shared" si="3412"/>
        <v>0</v>
      </c>
      <c r="BN1006" s="77">
        <f t="shared" si="3413"/>
        <v>0</v>
      </c>
      <c r="BO1006" s="77">
        <f t="shared" si="3414"/>
        <v>2.5000000000000001E-3</v>
      </c>
      <c r="BP1006" s="77">
        <f t="shared" si="3415"/>
        <v>2.0809499864316017E-4</v>
      </c>
    </row>
    <row r="1007" spans="1:68">
      <c r="A1007" t="s">
        <v>175</v>
      </c>
      <c r="B1007" t="s">
        <v>179</v>
      </c>
      <c r="C1007" s="197" t="str">
        <f t="shared" ref="C1007:C1070" si="3456">A1007&amp;"_"&amp;B1007&amp;"_"&amp;D1007</f>
        <v>Lifecycle_Dynamic_80</v>
      </c>
      <c r="D1007">
        <v>80</v>
      </c>
      <c r="E1007">
        <f>VLOOKUP($D1007,'[2]LC Dynamic'!$Q$2:$U$542,2,FALSE)</f>
        <v>8.7999999999999995E-2</v>
      </c>
      <c r="F1007">
        <f>VLOOKUP($D1007,'[2]LC Dynamic'!$Q$2:$U$542,3,FALSE)</f>
        <v>0.37833333333333335</v>
      </c>
      <c r="G1007">
        <f>VLOOKUP($D1007,'[2]LC Dynamic'!$Q$2:$U$542,4,FALSE)</f>
        <v>0.53366666666666673</v>
      </c>
      <c r="H1007">
        <f>VLOOKUP($D1007,'[2]LC Dynamic'!$Q$2:$U$542,5,FALSE)</f>
        <v>0</v>
      </c>
      <c r="I1007" s="77">
        <f t="shared" si="3388"/>
        <v>1</v>
      </c>
      <c r="J1007" s="77">
        <f t="shared" si="3389"/>
        <v>5.5981500000000003E-2</v>
      </c>
      <c r="K1007" s="77">
        <f t="shared" si="3179"/>
        <v>4.5495400574144806E-3</v>
      </c>
      <c r="L1007" s="76">
        <v>0</v>
      </c>
      <c r="M1007" s="77">
        <f t="shared" si="3399"/>
        <v>0</v>
      </c>
      <c r="N1007" s="77">
        <f t="shared" si="3400"/>
        <v>0</v>
      </c>
      <c r="O1007" s="77">
        <f t="shared" si="3401"/>
        <v>6.2857666666666671E-3</v>
      </c>
      <c r="P1007" s="77">
        <f t="shared" si="3402"/>
        <v>5.2532907263558304E-4</v>
      </c>
      <c r="R1007" t="s">
        <v>177</v>
      </c>
      <c r="S1007" t="s">
        <v>179</v>
      </c>
      <c r="T1007" s="197" t="str">
        <f t="shared" ref="T1007:T1070" si="3457">R1007&amp;"_"&amp;S1007&amp;"_"&amp;U1007</f>
        <v>Autopilot_Dynamic_80</v>
      </c>
      <c r="U1007">
        <v>80</v>
      </c>
      <c r="V1007">
        <f>VLOOKUP($U1007,'[2]AP Dynamic'!$Q$1:$T$542,2,FALSE)</f>
        <v>0.26976571944567312</v>
      </c>
      <c r="W1007">
        <f>VLOOKUP($U1007,'[2]AP Dynamic'!$Q$1:$T$542,3,FALSE)</f>
        <v>0.73023428055432693</v>
      </c>
      <c r="X1007">
        <f>VLOOKUP($U1007,'[2]AP Dynamic'!$Q$1:$T$542,4,FALSE)</f>
        <v>0</v>
      </c>
      <c r="Y1007" s="77">
        <f t="shared" ref="Y1007:Y1070" si="3458">SUM(V1007:X1007)</f>
        <v>1</v>
      </c>
      <c r="Z1007" s="77">
        <f t="shared" si="3180"/>
        <v>5.4931139925641304E-2</v>
      </c>
      <c r="AA1007" s="77">
        <f t="shared" si="3181"/>
        <v>4.4662352468092248E-3</v>
      </c>
      <c r="AB1007" s="79">
        <v>1</v>
      </c>
      <c r="AC1007" s="77">
        <f t="shared" si="3403"/>
        <v>7.0395314388913468E-3</v>
      </c>
      <c r="AD1007" s="77">
        <f t="shared" ref="AD1007" si="3459">1-(1-AC1007)^(1/12)</f>
        <v>5.8852890214233788E-4</v>
      </c>
      <c r="AE1007" s="77">
        <f t="shared" si="3405"/>
        <v>2.5000000000000001E-3</v>
      </c>
      <c r="AF1007" s="77">
        <f t="shared" ref="AF1007" si="3460">1-(1-AE1007)^(1/12)</f>
        <v>2.0857243058891584E-4</v>
      </c>
      <c r="AH1007" t="s">
        <v>175</v>
      </c>
      <c r="AI1007" t="s">
        <v>179</v>
      </c>
      <c r="AJ1007" s="197" t="str">
        <f t="shared" si="3392"/>
        <v>Lifecycle_Dynamic_80</v>
      </c>
      <c r="AK1007">
        <v>80</v>
      </c>
      <c r="AL1007">
        <f>VLOOKUP($U1007,[2]Standard_Dynamic!$Q$1:$T$542,2,FALSE)</f>
        <v>0.25123353727455905</v>
      </c>
      <c r="AM1007">
        <f>VLOOKUP($U1007,[2]Standard_Dynamic!$Q$1:$T$542,3,FALSE)</f>
        <v>0.74876646272544101</v>
      </c>
      <c r="AN1007">
        <f>VLOOKUP($U1007,[2]Standard_Dynamic!$Q$1:$T$542,4,FALSE)</f>
        <v>0</v>
      </c>
      <c r="AO1007" s="77">
        <f t="shared" si="3393"/>
        <v>1</v>
      </c>
      <c r="AP1007" s="77">
        <f t="shared" si="3407"/>
        <v>5.4685125207319767E-2</v>
      </c>
      <c r="AQ1007" s="77">
        <f t="shared" si="3394"/>
        <v>4.4467126538694224E-3</v>
      </c>
      <c r="AR1007" s="79">
        <v>0</v>
      </c>
      <c r="AS1007" s="77">
        <f t="shared" si="3408"/>
        <v>0</v>
      </c>
      <c r="AT1007" s="77">
        <f t="shared" ref="AT1007" si="3461">1-(1-AS1007)^(1/12)</f>
        <v>0</v>
      </c>
      <c r="AU1007" s="77">
        <f t="shared" si="3410"/>
        <v>2.5000000000000005E-3</v>
      </c>
      <c r="AV1007" s="77">
        <f t="shared" ref="AV1007" si="3462">1-(1-AU1007)^(1/12)</f>
        <v>2.0857243058891584E-4</v>
      </c>
      <c r="AX1007" t="s">
        <v>178</v>
      </c>
      <c r="AY1007" t="s">
        <v>162</v>
      </c>
      <c r="AZ1007" s="197" t="str">
        <f t="shared" si="3206"/>
        <v>DIS_Standard_80</v>
      </c>
      <c r="BA1007">
        <v>80</v>
      </c>
      <c r="BB1007">
        <f>VLOOKUP($BA1007,'[2]Standard DIS'!$Q$1:$X$542,4,FALSE)</f>
        <v>0</v>
      </c>
      <c r="BF1007">
        <f>VLOOKUP($BA1007,'[2]Standard DIS'!$Q$1:$X$542,2,FALSE)</f>
        <v>0.25123353727455905</v>
      </c>
      <c r="BH1007">
        <f>VLOOKUP($BA1007,'[2]Standard DIS'!$Q$1:$X$542,3,FALSE)</f>
        <v>0.74876646272544101</v>
      </c>
      <c r="BI1007" s="77">
        <f t="shared" si="3397"/>
        <v>1</v>
      </c>
      <c r="BJ1007" s="77">
        <f t="shared" si="3398"/>
        <v>5.4685125207319767E-2</v>
      </c>
      <c r="BK1007" s="77">
        <f t="shared" si="3207"/>
        <v>4.4467126538694224E-3</v>
      </c>
      <c r="BL1007" s="79">
        <v>0</v>
      </c>
      <c r="BM1007" s="77">
        <f t="shared" si="3412"/>
        <v>0</v>
      </c>
      <c r="BN1007" s="77">
        <f t="shared" si="3413"/>
        <v>0</v>
      </c>
      <c r="BO1007" s="77">
        <f t="shared" si="3414"/>
        <v>2.5000000000000005E-3</v>
      </c>
      <c r="BP1007" s="77">
        <f t="shared" si="3415"/>
        <v>2.0809499864316017E-4</v>
      </c>
    </row>
    <row r="1008" spans="1:68">
      <c r="A1008" t="s">
        <v>175</v>
      </c>
      <c r="B1008" t="s">
        <v>179</v>
      </c>
      <c r="C1008" s="197" t="str">
        <f t="shared" si="3456"/>
        <v>Lifecycle_Dynamic_79</v>
      </c>
      <c r="D1008">
        <v>79</v>
      </c>
      <c r="E1008">
        <f>VLOOKUP($D1008,'[2]LC Dynamic'!$Q$2:$U$542,2,FALSE)</f>
        <v>9.1249999999999998E-2</v>
      </c>
      <c r="F1008">
        <f>VLOOKUP($D1008,'[2]LC Dynamic'!$Q$2:$U$542,3,FALSE)</f>
        <v>0.37791666666666668</v>
      </c>
      <c r="G1008">
        <f>VLOOKUP($D1008,'[2]LC Dynamic'!$Q$2:$U$542,4,FALSE)</f>
        <v>0.53083333333333338</v>
      </c>
      <c r="H1008">
        <f>VLOOKUP($D1008,'[2]LC Dynamic'!$Q$2:$U$542,5,FALSE)</f>
        <v>0</v>
      </c>
      <c r="I1008" s="77">
        <f t="shared" si="3388"/>
        <v>1</v>
      </c>
      <c r="J1008" s="77">
        <f t="shared" si="3389"/>
        <v>5.5916968749999997E-2</v>
      </c>
      <c r="K1008" s="77">
        <f t="shared" ref="K1008:K1071" si="3463">(1+J1008)^(1/12)-1</f>
        <v>4.5444242281089675E-3</v>
      </c>
      <c r="L1008" s="76">
        <v>0</v>
      </c>
      <c r="M1008" s="77">
        <f t="shared" si="3399"/>
        <v>0</v>
      </c>
      <c r="N1008" s="77">
        <f t="shared" si="3400"/>
        <v>0</v>
      </c>
      <c r="O1008" s="77">
        <f t="shared" si="3401"/>
        <v>6.2707083333333339E-3</v>
      </c>
      <c r="P1008" s="77">
        <f t="shared" si="3402"/>
        <v>5.2406694601692116E-4</v>
      </c>
      <c r="R1008" t="s">
        <v>177</v>
      </c>
      <c r="S1008" t="s">
        <v>179</v>
      </c>
      <c r="T1008" s="197" t="str">
        <f t="shared" si="3457"/>
        <v>Autopilot_Dynamic_79</v>
      </c>
      <c r="U1008">
        <v>79</v>
      </c>
      <c r="V1008">
        <f>VLOOKUP($U1008,'[2]AP Dynamic'!$Q$1:$T$542,2,FALSE)</f>
        <v>0.26976571944567312</v>
      </c>
      <c r="W1008">
        <f>VLOOKUP($U1008,'[2]AP Dynamic'!$Q$1:$T$542,3,FALSE)</f>
        <v>0.73023428055432693</v>
      </c>
      <c r="X1008">
        <f>VLOOKUP($U1008,'[2]AP Dynamic'!$Q$1:$T$542,4,FALSE)</f>
        <v>0</v>
      </c>
      <c r="Y1008" s="77">
        <f t="shared" si="3458"/>
        <v>1</v>
      </c>
      <c r="Z1008" s="77">
        <f t="shared" ref="Z1008:Z1071" si="3464">SUMPRODUCT($V$1:$X$1,V1008:X1008)</f>
        <v>5.4931139925641304E-2</v>
      </c>
      <c r="AA1008" s="77">
        <f t="shared" ref="AA1008:AA1071" si="3465">(1+Z1008)^(1/12)-1</f>
        <v>4.4662352468092248E-3</v>
      </c>
      <c r="AB1008" s="79">
        <v>1</v>
      </c>
      <c r="AC1008" s="77">
        <f t="shared" si="3403"/>
        <v>7.0395314388913468E-3</v>
      </c>
      <c r="AD1008" s="77">
        <f t="shared" ref="AD1008" si="3466">1-(1-AC1008)^(1/12)</f>
        <v>5.8852890214233788E-4</v>
      </c>
      <c r="AE1008" s="77">
        <f t="shared" si="3405"/>
        <v>2.5000000000000001E-3</v>
      </c>
      <c r="AF1008" s="77">
        <f t="shared" ref="AF1008" si="3467">1-(1-AE1008)^(1/12)</f>
        <v>2.0857243058891584E-4</v>
      </c>
      <c r="AH1008" t="s">
        <v>175</v>
      </c>
      <c r="AI1008" t="s">
        <v>179</v>
      </c>
      <c r="AJ1008" s="197" t="str">
        <f t="shared" si="3392"/>
        <v>Lifecycle_Dynamic_79</v>
      </c>
      <c r="AK1008">
        <v>79</v>
      </c>
      <c r="AL1008">
        <f>VLOOKUP($U1008,[2]Standard_Dynamic!$Q$1:$T$542,2,FALSE)</f>
        <v>0.24660049173178053</v>
      </c>
      <c r="AM1008">
        <f>VLOOKUP($U1008,[2]Standard_Dynamic!$Q$1:$T$542,3,FALSE)</f>
        <v>0.75339950826821944</v>
      </c>
      <c r="AN1008">
        <f>VLOOKUP($U1008,[2]Standard_Dynamic!$Q$1:$T$542,4,FALSE)</f>
        <v>0</v>
      </c>
      <c r="AO1008" s="77">
        <f t="shared" si="3393"/>
        <v>1</v>
      </c>
      <c r="AP1008" s="77">
        <f t="shared" si="3407"/>
        <v>5.4623621527739377E-2</v>
      </c>
      <c r="AQ1008" s="77">
        <f t="shared" si="3394"/>
        <v>4.4418313533980402E-3</v>
      </c>
      <c r="AR1008" s="79">
        <v>0</v>
      </c>
      <c r="AS1008" s="77">
        <f t="shared" si="3408"/>
        <v>0</v>
      </c>
      <c r="AT1008" s="77">
        <f t="shared" ref="AT1008" si="3468">1-(1-AS1008)^(1/12)</f>
        <v>0</v>
      </c>
      <c r="AU1008" s="77">
        <f t="shared" si="3410"/>
        <v>2.5000000000000001E-3</v>
      </c>
      <c r="AV1008" s="77">
        <f t="shared" ref="AV1008" si="3469">1-(1-AU1008)^(1/12)</f>
        <v>2.0857243058891584E-4</v>
      </c>
      <c r="AX1008" t="s">
        <v>178</v>
      </c>
      <c r="AY1008" t="s">
        <v>162</v>
      </c>
      <c r="AZ1008" s="197" t="str">
        <f t="shared" si="3206"/>
        <v>DIS_Standard_79</v>
      </c>
      <c r="BA1008">
        <v>79</v>
      </c>
      <c r="BB1008">
        <f>VLOOKUP($BA1008,'[2]Standard DIS'!$Q$1:$X$542,4,FALSE)</f>
        <v>0</v>
      </c>
      <c r="BF1008">
        <f>VLOOKUP($BA1008,'[2]Standard DIS'!$Q$1:$X$542,2,FALSE)</f>
        <v>0.24660049173178053</v>
      </c>
      <c r="BH1008">
        <f>VLOOKUP($BA1008,'[2]Standard DIS'!$Q$1:$X$542,3,FALSE)</f>
        <v>0.75339950826821944</v>
      </c>
      <c r="BI1008" s="77">
        <f t="shared" si="3397"/>
        <v>1</v>
      </c>
      <c r="BJ1008" s="77">
        <f t="shared" si="3398"/>
        <v>5.4623621527739377E-2</v>
      </c>
      <c r="BK1008" s="77">
        <f t="shared" si="3207"/>
        <v>4.4418313533980402E-3</v>
      </c>
      <c r="BL1008" s="79">
        <v>0</v>
      </c>
      <c r="BM1008" s="77">
        <f t="shared" si="3412"/>
        <v>0</v>
      </c>
      <c r="BN1008" s="77">
        <f t="shared" si="3413"/>
        <v>0</v>
      </c>
      <c r="BO1008" s="77">
        <f t="shared" si="3414"/>
        <v>2.5000000000000001E-3</v>
      </c>
      <c r="BP1008" s="77">
        <f t="shared" si="3415"/>
        <v>2.0809499864316017E-4</v>
      </c>
    </row>
    <row r="1009" spans="1:68">
      <c r="A1009" t="s">
        <v>175</v>
      </c>
      <c r="B1009" t="s">
        <v>179</v>
      </c>
      <c r="C1009" s="197" t="str">
        <f t="shared" si="3456"/>
        <v>Lifecycle_Dynamic_78</v>
      </c>
      <c r="D1009">
        <v>78</v>
      </c>
      <c r="E1009">
        <f>VLOOKUP($D1009,'[2]LC Dynamic'!$Q$2:$U$542,2,FALSE)</f>
        <v>9.4500000000000001E-2</v>
      </c>
      <c r="F1009">
        <f>VLOOKUP($D1009,'[2]LC Dynamic'!$Q$2:$U$542,3,FALSE)</f>
        <v>0.3775</v>
      </c>
      <c r="G1009">
        <f>VLOOKUP($D1009,'[2]LC Dynamic'!$Q$2:$U$542,4,FALSE)</f>
        <v>0.52800000000000002</v>
      </c>
      <c r="H1009">
        <f>VLOOKUP($D1009,'[2]LC Dynamic'!$Q$2:$U$542,5,FALSE)</f>
        <v>0</v>
      </c>
      <c r="I1009" s="77">
        <f t="shared" si="3388"/>
        <v>1</v>
      </c>
      <c r="J1009" s="77">
        <f t="shared" si="3389"/>
        <v>5.5852437499999991E-2</v>
      </c>
      <c r="K1009" s="77">
        <f t="shared" si="3463"/>
        <v>4.5393081122007128E-3</v>
      </c>
      <c r="L1009" s="76">
        <v>0</v>
      </c>
      <c r="M1009" s="77">
        <f t="shared" si="3399"/>
        <v>0</v>
      </c>
      <c r="N1009" s="77">
        <f t="shared" si="3400"/>
        <v>0</v>
      </c>
      <c r="O1009" s="77">
        <f t="shared" si="3401"/>
        <v>6.2556499999999998E-3</v>
      </c>
      <c r="P1009" s="77">
        <f t="shared" si="3402"/>
        <v>5.2280483692979107E-4</v>
      </c>
      <c r="R1009" t="s">
        <v>177</v>
      </c>
      <c r="S1009" t="s">
        <v>179</v>
      </c>
      <c r="T1009" s="197" t="str">
        <f t="shared" si="3457"/>
        <v>Autopilot_Dynamic_78</v>
      </c>
      <c r="U1009">
        <v>78</v>
      </c>
      <c r="V1009">
        <f>VLOOKUP($U1009,'[2]AP Dynamic'!$Q$1:$T$542,2,FALSE)</f>
        <v>0.26976571944567312</v>
      </c>
      <c r="W1009">
        <f>VLOOKUP($U1009,'[2]AP Dynamic'!$Q$1:$T$542,3,FALSE)</f>
        <v>0.73023428055432693</v>
      </c>
      <c r="X1009">
        <f>VLOOKUP($U1009,'[2]AP Dynamic'!$Q$1:$T$542,4,FALSE)</f>
        <v>0</v>
      </c>
      <c r="Y1009" s="77">
        <f t="shared" si="3458"/>
        <v>1</v>
      </c>
      <c r="Z1009" s="77">
        <f t="shared" si="3464"/>
        <v>5.4931139925641304E-2</v>
      </c>
      <c r="AA1009" s="77">
        <f t="shared" si="3465"/>
        <v>4.4662352468092248E-3</v>
      </c>
      <c r="AB1009" s="79">
        <v>1</v>
      </c>
      <c r="AC1009" s="77">
        <f t="shared" si="3403"/>
        <v>7.0395314388913468E-3</v>
      </c>
      <c r="AD1009" s="77">
        <f t="shared" ref="AD1009" si="3470">1-(1-AC1009)^(1/12)</f>
        <v>5.8852890214233788E-4</v>
      </c>
      <c r="AE1009" s="77">
        <f t="shared" si="3405"/>
        <v>2.5000000000000001E-3</v>
      </c>
      <c r="AF1009" s="77">
        <f t="shared" ref="AF1009" si="3471">1-(1-AE1009)^(1/12)</f>
        <v>2.0857243058891584E-4</v>
      </c>
      <c r="AH1009" t="s">
        <v>175</v>
      </c>
      <c r="AI1009" t="s">
        <v>179</v>
      </c>
      <c r="AJ1009" s="197" t="str">
        <f t="shared" si="3392"/>
        <v>Lifecycle_Dynamic_78</v>
      </c>
      <c r="AK1009">
        <v>78</v>
      </c>
      <c r="AL1009">
        <f>VLOOKUP($U1009,[2]Standard_Dynamic!$Q$1:$T$542,2,FALSE)</f>
        <v>0.24196744618900201</v>
      </c>
      <c r="AM1009">
        <f>VLOOKUP($U1009,[2]Standard_Dynamic!$Q$1:$T$542,3,FALSE)</f>
        <v>0.75803255381099799</v>
      </c>
      <c r="AN1009">
        <f>VLOOKUP($U1009,[2]Standard_Dynamic!$Q$1:$T$542,4,FALSE)</f>
        <v>0</v>
      </c>
      <c r="AO1009" s="77">
        <f t="shared" si="3393"/>
        <v>1</v>
      </c>
      <c r="AP1009" s="77">
        <f t="shared" si="3407"/>
        <v>5.4562117848158995E-2</v>
      </c>
      <c r="AQ1009" s="77">
        <f t="shared" si="3394"/>
        <v>4.4369497919736212E-3</v>
      </c>
      <c r="AR1009" s="79">
        <v>0</v>
      </c>
      <c r="AS1009" s="77">
        <f t="shared" si="3408"/>
        <v>0</v>
      </c>
      <c r="AT1009" s="77">
        <f t="shared" ref="AT1009" si="3472">1-(1-AS1009)^(1/12)</f>
        <v>0</v>
      </c>
      <c r="AU1009" s="77">
        <f t="shared" si="3410"/>
        <v>2.5000000000000001E-3</v>
      </c>
      <c r="AV1009" s="77">
        <f t="shared" ref="AV1009" si="3473">1-(1-AU1009)^(1/12)</f>
        <v>2.0857243058891584E-4</v>
      </c>
      <c r="AX1009" t="s">
        <v>178</v>
      </c>
      <c r="AY1009" t="s">
        <v>162</v>
      </c>
      <c r="AZ1009" s="197" t="str">
        <f t="shared" si="3206"/>
        <v>DIS_Standard_78</v>
      </c>
      <c r="BA1009">
        <v>78</v>
      </c>
      <c r="BB1009">
        <f>VLOOKUP($BA1009,'[2]Standard DIS'!$Q$1:$X$542,4,FALSE)</f>
        <v>0</v>
      </c>
      <c r="BF1009">
        <f>VLOOKUP($BA1009,'[2]Standard DIS'!$Q$1:$X$542,2,FALSE)</f>
        <v>0.24196744618900201</v>
      </c>
      <c r="BH1009">
        <f>VLOOKUP($BA1009,'[2]Standard DIS'!$Q$1:$X$542,3,FALSE)</f>
        <v>0.75803255381099799</v>
      </c>
      <c r="BI1009" s="77">
        <f t="shared" si="3397"/>
        <v>1</v>
      </c>
      <c r="BJ1009" s="77">
        <f t="shared" si="3398"/>
        <v>5.4562117848158995E-2</v>
      </c>
      <c r="BK1009" s="77">
        <f t="shared" si="3207"/>
        <v>4.4369497919736212E-3</v>
      </c>
      <c r="BL1009" s="79">
        <v>0</v>
      </c>
      <c r="BM1009" s="77">
        <f t="shared" si="3412"/>
        <v>0</v>
      </c>
      <c r="BN1009" s="77">
        <f t="shared" si="3413"/>
        <v>0</v>
      </c>
      <c r="BO1009" s="77">
        <f t="shared" si="3414"/>
        <v>2.5000000000000001E-3</v>
      </c>
      <c r="BP1009" s="77">
        <f t="shared" si="3415"/>
        <v>2.0809499864316017E-4</v>
      </c>
    </row>
    <row r="1010" spans="1:68">
      <c r="A1010" t="s">
        <v>175</v>
      </c>
      <c r="B1010" t="s">
        <v>179</v>
      </c>
      <c r="C1010" s="197" t="str">
        <f t="shared" si="3456"/>
        <v>Lifecycle_Dynamic_77</v>
      </c>
      <c r="D1010">
        <v>77</v>
      </c>
      <c r="E1010">
        <f>VLOOKUP($D1010,'[2]LC Dynamic'!$Q$2:$U$542,2,FALSE)</f>
        <v>9.7750000000000004E-2</v>
      </c>
      <c r="F1010">
        <f>VLOOKUP($D1010,'[2]LC Dynamic'!$Q$2:$U$542,3,FALSE)</f>
        <v>0.37708333333333333</v>
      </c>
      <c r="G1010">
        <f>VLOOKUP($D1010,'[2]LC Dynamic'!$Q$2:$U$542,4,FALSE)</f>
        <v>0.52516666666666667</v>
      </c>
      <c r="H1010">
        <f>VLOOKUP($D1010,'[2]LC Dynamic'!$Q$2:$U$542,5,FALSE)</f>
        <v>0</v>
      </c>
      <c r="I1010" s="77">
        <f t="shared" si="3388"/>
        <v>1</v>
      </c>
      <c r="J1010" s="77">
        <f t="shared" si="3389"/>
        <v>5.5787906249999998E-2</v>
      </c>
      <c r="K1010" s="77">
        <f t="shared" si="3463"/>
        <v>4.534191709656632E-3</v>
      </c>
      <c r="L1010" s="76">
        <v>0</v>
      </c>
      <c r="M1010" s="77">
        <f t="shared" si="3399"/>
        <v>0</v>
      </c>
      <c r="N1010" s="77">
        <f t="shared" si="3400"/>
        <v>0</v>
      </c>
      <c r="O1010" s="77">
        <f t="shared" si="3401"/>
        <v>6.2405916666666665E-3</v>
      </c>
      <c r="P1010" s="77">
        <f t="shared" si="3402"/>
        <v>5.2154274537374867E-4</v>
      </c>
      <c r="R1010" t="s">
        <v>177</v>
      </c>
      <c r="S1010" t="s">
        <v>179</v>
      </c>
      <c r="T1010" s="197" t="str">
        <f t="shared" si="3457"/>
        <v>Autopilot_Dynamic_77</v>
      </c>
      <c r="U1010">
        <v>77</v>
      </c>
      <c r="V1010">
        <f>VLOOKUP($U1010,'[2]AP Dynamic'!$Q$1:$T$542,2,FALSE)</f>
        <v>0.26976571944567312</v>
      </c>
      <c r="W1010">
        <f>VLOOKUP($U1010,'[2]AP Dynamic'!$Q$1:$T$542,3,FALSE)</f>
        <v>0.73023428055432693</v>
      </c>
      <c r="X1010">
        <f>VLOOKUP($U1010,'[2]AP Dynamic'!$Q$1:$T$542,4,FALSE)</f>
        <v>0</v>
      </c>
      <c r="Y1010" s="77">
        <f t="shared" si="3458"/>
        <v>1</v>
      </c>
      <c r="Z1010" s="77">
        <f t="shared" si="3464"/>
        <v>5.4931139925641304E-2</v>
      </c>
      <c r="AA1010" s="77">
        <f t="shared" si="3465"/>
        <v>4.4662352468092248E-3</v>
      </c>
      <c r="AB1010" s="79">
        <v>1</v>
      </c>
      <c r="AC1010" s="77">
        <f t="shared" si="3403"/>
        <v>7.0395314388913468E-3</v>
      </c>
      <c r="AD1010" s="77">
        <f t="shared" ref="AD1010" si="3474">1-(1-AC1010)^(1/12)</f>
        <v>5.8852890214233788E-4</v>
      </c>
      <c r="AE1010" s="77">
        <f t="shared" si="3405"/>
        <v>2.5000000000000001E-3</v>
      </c>
      <c r="AF1010" s="77">
        <f t="shared" ref="AF1010" si="3475">1-(1-AE1010)^(1/12)</f>
        <v>2.0857243058891584E-4</v>
      </c>
      <c r="AH1010" t="s">
        <v>175</v>
      </c>
      <c r="AI1010" t="s">
        <v>179</v>
      </c>
      <c r="AJ1010" s="197" t="str">
        <f t="shared" si="3392"/>
        <v>Lifecycle_Dynamic_77</v>
      </c>
      <c r="AK1010">
        <v>77</v>
      </c>
      <c r="AL1010">
        <f>VLOOKUP($U1010,[2]Standard_Dynamic!$Q$1:$T$542,2,FALSE)</f>
        <v>0.23733440064622349</v>
      </c>
      <c r="AM1010">
        <f>VLOOKUP($U1010,[2]Standard_Dynamic!$Q$1:$T$542,3,FALSE)</f>
        <v>0.76266559935377654</v>
      </c>
      <c r="AN1010">
        <f>VLOOKUP($U1010,[2]Standard_Dynamic!$Q$1:$T$542,4,FALSE)</f>
        <v>0</v>
      </c>
      <c r="AO1010" s="77">
        <f t="shared" si="3393"/>
        <v>1</v>
      </c>
      <c r="AP1010" s="77">
        <f t="shared" si="3407"/>
        <v>5.4500614168578612E-2</v>
      </c>
      <c r="AQ1010" s="77">
        <f t="shared" si="3394"/>
        <v>4.4320679695672993E-3</v>
      </c>
      <c r="AR1010" s="79">
        <v>0</v>
      </c>
      <c r="AS1010" s="77">
        <f t="shared" si="3408"/>
        <v>0</v>
      </c>
      <c r="AT1010" s="77">
        <f t="shared" ref="AT1010" si="3476">1-(1-AS1010)^(1/12)</f>
        <v>0</v>
      </c>
      <c r="AU1010" s="77">
        <f t="shared" si="3410"/>
        <v>2.5000000000000001E-3</v>
      </c>
      <c r="AV1010" s="77">
        <f t="shared" ref="AV1010" si="3477">1-(1-AU1010)^(1/12)</f>
        <v>2.0857243058891584E-4</v>
      </c>
      <c r="AX1010" t="s">
        <v>178</v>
      </c>
      <c r="AY1010" t="s">
        <v>162</v>
      </c>
      <c r="AZ1010" s="197" t="str">
        <f t="shared" si="3206"/>
        <v>DIS_Standard_77</v>
      </c>
      <c r="BA1010">
        <v>77</v>
      </c>
      <c r="BB1010">
        <f>VLOOKUP($BA1010,'[2]Standard DIS'!$Q$1:$X$542,4,FALSE)</f>
        <v>0</v>
      </c>
      <c r="BF1010">
        <f>VLOOKUP($BA1010,'[2]Standard DIS'!$Q$1:$X$542,2,FALSE)</f>
        <v>0.23733440064622349</v>
      </c>
      <c r="BH1010">
        <f>VLOOKUP($BA1010,'[2]Standard DIS'!$Q$1:$X$542,3,FALSE)</f>
        <v>0.76266559935377654</v>
      </c>
      <c r="BI1010" s="77">
        <f t="shared" si="3397"/>
        <v>1</v>
      </c>
      <c r="BJ1010" s="77">
        <f t="shared" si="3398"/>
        <v>5.4500614168578612E-2</v>
      </c>
      <c r="BK1010" s="77">
        <f t="shared" si="3207"/>
        <v>4.4320679695672993E-3</v>
      </c>
      <c r="BL1010" s="79">
        <v>0</v>
      </c>
      <c r="BM1010" s="77">
        <f t="shared" si="3412"/>
        <v>0</v>
      </c>
      <c r="BN1010" s="77">
        <f t="shared" si="3413"/>
        <v>0</v>
      </c>
      <c r="BO1010" s="77">
        <f t="shared" si="3414"/>
        <v>2.5000000000000001E-3</v>
      </c>
      <c r="BP1010" s="77">
        <f t="shared" si="3415"/>
        <v>2.0809499864316017E-4</v>
      </c>
    </row>
    <row r="1011" spans="1:68">
      <c r="A1011" t="s">
        <v>175</v>
      </c>
      <c r="B1011" t="s">
        <v>179</v>
      </c>
      <c r="C1011" s="197" t="str">
        <f t="shared" si="3456"/>
        <v>Lifecycle_Dynamic_76</v>
      </c>
      <c r="D1011">
        <v>76</v>
      </c>
      <c r="E1011">
        <f>VLOOKUP($D1011,'[2]LC Dynamic'!$Q$2:$U$542,2,FALSE)</f>
        <v>0.10100000000000001</v>
      </c>
      <c r="F1011">
        <f>VLOOKUP($D1011,'[2]LC Dynamic'!$Q$2:$U$542,3,FALSE)</f>
        <v>0.37666666666666665</v>
      </c>
      <c r="G1011">
        <f>VLOOKUP($D1011,'[2]LC Dynamic'!$Q$2:$U$542,4,FALSE)</f>
        <v>0.52233333333333332</v>
      </c>
      <c r="H1011">
        <f>VLOOKUP($D1011,'[2]LC Dynamic'!$Q$2:$U$542,5,FALSE)</f>
        <v>0</v>
      </c>
      <c r="I1011" s="77">
        <f t="shared" si="3388"/>
        <v>1</v>
      </c>
      <c r="J1011" s="77">
        <f t="shared" si="3389"/>
        <v>5.5723374999999992E-2</v>
      </c>
      <c r="K1011" s="77">
        <f t="shared" si="3463"/>
        <v>4.5290750204427521E-3</v>
      </c>
      <c r="L1011" s="76">
        <v>0</v>
      </c>
      <c r="M1011" s="77">
        <f t="shared" si="3399"/>
        <v>0</v>
      </c>
      <c r="N1011" s="77">
        <f t="shared" si="3400"/>
        <v>0</v>
      </c>
      <c r="O1011" s="77">
        <f t="shared" si="3401"/>
        <v>6.2255333333333333E-3</v>
      </c>
      <c r="P1011" s="77">
        <f t="shared" si="3402"/>
        <v>5.2028067134812783E-4</v>
      </c>
      <c r="R1011" t="s">
        <v>177</v>
      </c>
      <c r="S1011" t="s">
        <v>179</v>
      </c>
      <c r="T1011" s="197" t="str">
        <f t="shared" si="3457"/>
        <v>Autopilot_Dynamic_76</v>
      </c>
      <c r="U1011">
        <v>76</v>
      </c>
      <c r="V1011">
        <f>VLOOKUP($U1011,'[2]AP Dynamic'!$Q$1:$T$542,2,FALSE)</f>
        <v>0.26976571944567312</v>
      </c>
      <c r="W1011">
        <f>VLOOKUP($U1011,'[2]AP Dynamic'!$Q$1:$T$542,3,FALSE)</f>
        <v>0.73023428055432693</v>
      </c>
      <c r="X1011">
        <f>VLOOKUP($U1011,'[2]AP Dynamic'!$Q$1:$T$542,4,FALSE)</f>
        <v>0</v>
      </c>
      <c r="Y1011" s="77">
        <f t="shared" si="3458"/>
        <v>1</v>
      </c>
      <c r="Z1011" s="77">
        <f t="shared" si="3464"/>
        <v>5.4931139925641304E-2</v>
      </c>
      <c r="AA1011" s="77">
        <f t="shared" si="3465"/>
        <v>4.4662352468092248E-3</v>
      </c>
      <c r="AB1011" s="79">
        <v>1</v>
      </c>
      <c r="AC1011" s="77">
        <f t="shared" si="3403"/>
        <v>7.0395314388913468E-3</v>
      </c>
      <c r="AD1011" s="77">
        <f t="shared" ref="AD1011" si="3478">1-(1-AC1011)^(1/12)</f>
        <v>5.8852890214233788E-4</v>
      </c>
      <c r="AE1011" s="77">
        <f t="shared" si="3405"/>
        <v>2.5000000000000001E-3</v>
      </c>
      <c r="AF1011" s="77">
        <f t="shared" ref="AF1011" si="3479">1-(1-AE1011)^(1/12)</f>
        <v>2.0857243058891584E-4</v>
      </c>
      <c r="AH1011" t="s">
        <v>175</v>
      </c>
      <c r="AI1011" t="s">
        <v>179</v>
      </c>
      <c r="AJ1011" s="197" t="str">
        <f t="shared" si="3392"/>
        <v>Lifecycle_Dynamic_76</v>
      </c>
      <c r="AK1011">
        <v>76</v>
      </c>
      <c r="AL1011">
        <f>VLOOKUP($U1011,[2]Standard_Dynamic!$Q$1:$T$542,2,FALSE)</f>
        <v>0.23270135510344497</v>
      </c>
      <c r="AM1011">
        <f>VLOOKUP($U1011,[2]Standard_Dynamic!$Q$1:$T$542,3,FALSE)</f>
        <v>0.76729864489655497</v>
      </c>
      <c r="AN1011">
        <f>VLOOKUP($U1011,[2]Standard_Dynamic!$Q$1:$T$542,4,FALSE)</f>
        <v>0</v>
      </c>
      <c r="AO1011" s="77">
        <f t="shared" si="3393"/>
        <v>1</v>
      </c>
      <c r="AP1011" s="77">
        <f t="shared" si="3407"/>
        <v>5.4439110488998223E-2</v>
      </c>
      <c r="AQ1011" s="77">
        <f t="shared" si="3394"/>
        <v>4.4271858861495428E-3</v>
      </c>
      <c r="AR1011" s="79">
        <v>0</v>
      </c>
      <c r="AS1011" s="77">
        <f t="shared" si="3408"/>
        <v>0</v>
      </c>
      <c r="AT1011" s="77">
        <f t="shared" ref="AT1011" si="3480">1-(1-AS1011)^(1/12)</f>
        <v>0</v>
      </c>
      <c r="AU1011" s="77">
        <f t="shared" si="3410"/>
        <v>2.5000000000000001E-3</v>
      </c>
      <c r="AV1011" s="77">
        <f t="shared" ref="AV1011" si="3481">1-(1-AU1011)^(1/12)</f>
        <v>2.0857243058891584E-4</v>
      </c>
      <c r="AX1011" t="s">
        <v>178</v>
      </c>
      <c r="AY1011" t="s">
        <v>162</v>
      </c>
      <c r="AZ1011" s="197" t="str">
        <f t="shared" si="3206"/>
        <v>DIS_Standard_76</v>
      </c>
      <c r="BA1011">
        <v>76</v>
      </c>
      <c r="BB1011">
        <f>VLOOKUP($BA1011,'[2]Standard DIS'!$Q$1:$X$542,4,FALSE)</f>
        <v>0</v>
      </c>
      <c r="BF1011">
        <f>VLOOKUP($BA1011,'[2]Standard DIS'!$Q$1:$X$542,2,FALSE)</f>
        <v>0.23270135510344497</v>
      </c>
      <c r="BH1011">
        <f>VLOOKUP($BA1011,'[2]Standard DIS'!$Q$1:$X$542,3,FALSE)</f>
        <v>0.76729864489655497</v>
      </c>
      <c r="BI1011" s="77">
        <f t="shared" si="3397"/>
        <v>1</v>
      </c>
      <c r="BJ1011" s="77">
        <f t="shared" si="3398"/>
        <v>5.4439110488998223E-2</v>
      </c>
      <c r="BK1011" s="77">
        <f t="shared" si="3207"/>
        <v>4.4271858861495428E-3</v>
      </c>
      <c r="BL1011" s="79">
        <v>0</v>
      </c>
      <c r="BM1011" s="77">
        <f t="shared" si="3412"/>
        <v>0</v>
      </c>
      <c r="BN1011" s="77">
        <f t="shared" si="3413"/>
        <v>0</v>
      </c>
      <c r="BO1011" s="77">
        <f t="shared" si="3414"/>
        <v>2.5000000000000001E-3</v>
      </c>
      <c r="BP1011" s="77">
        <f t="shared" si="3415"/>
        <v>2.0809499864316017E-4</v>
      </c>
    </row>
    <row r="1012" spans="1:68">
      <c r="A1012" t="s">
        <v>175</v>
      </c>
      <c r="B1012" t="s">
        <v>179</v>
      </c>
      <c r="C1012" s="197" t="str">
        <f t="shared" si="3456"/>
        <v>Lifecycle_Dynamic_75</v>
      </c>
      <c r="D1012">
        <v>75</v>
      </c>
      <c r="E1012">
        <f>VLOOKUP($D1012,'[2]LC Dynamic'!$Q$2:$U$542,2,FALSE)</f>
        <v>0.10425000000000001</v>
      </c>
      <c r="F1012">
        <f>VLOOKUP($D1012,'[2]LC Dynamic'!$Q$2:$U$542,3,FALSE)</f>
        <v>0.37624999999999997</v>
      </c>
      <c r="G1012">
        <f>VLOOKUP($D1012,'[2]LC Dynamic'!$Q$2:$U$542,4,FALSE)</f>
        <v>0.51950000000000007</v>
      </c>
      <c r="H1012">
        <f>VLOOKUP($D1012,'[2]LC Dynamic'!$Q$2:$U$542,5,FALSE)</f>
        <v>0</v>
      </c>
      <c r="I1012" s="77">
        <f t="shared" si="3388"/>
        <v>1</v>
      </c>
      <c r="J1012" s="77">
        <f t="shared" si="3389"/>
        <v>5.5658843749999992E-2</v>
      </c>
      <c r="K1012" s="77">
        <f t="shared" si="3463"/>
        <v>4.5239580445257666E-3</v>
      </c>
      <c r="L1012" s="76">
        <v>0</v>
      </c>
      <c r="M1012" s="77">
        <f t="shared" si="3399"/>
        <v>0</v>
      </c>
      <c r="N1012" s="77">
        <f t="shared" si="3400"/>
        <v>0</v>
      </c>
      <c r="O1012" s="77">
        <f t="shared" si="3401"/>
        <v>6.210475E-3</v>
      </c>
      <c r="P1012" s="77">
        <f t="shared" si="3402"/>
        <v>5.1901861485259548E-4</v>
      </c>
      <c r="R1012" t="s">
        <v>177</v>
      </c>
      <c r="S1012" t="s">
        <v>179</v>
      </c>
      <c r="T1012" s="197" t="str">
        <f t="shared" si="3457"/>
        <v>Autopilot_Dynamic_75</v>
      </c>
      <c r="U1012">
        <v>75</v>
      </c>
      <c r="V1012">
        <f>VLOOKUP($U1012,'[2]AP Dynamic'!$Q$1:$T$542,2,FALSE)</f>
        <v>0.26976571944567312</v>
      </c>
      <c r="W1012">
        <f>VLOOKUP($U1012,'[2]AP Dynamic'!$Q$1:$T$542,3,FALSE)</f>
        <v>0.73023428055432693</v>
      </c>
      <c r="X1012">
        <f>VLOOKUP($U1012,'[2]AP Dynamic'!$Q$1:$T$542,4,FALSE)</f>
        <v>0</v>
      </c>
      <c r="Y1012" s="77">
        <f t="shared" si="3458"/>
        <v>1</v>
      </c>
      <c r="Z1012" s="77">
        <f t="shared" si="3464"/>
        <v>5.4931139925641304E-2</v>
      </c>
      <c r="AA1012" s="77">
        <f t="shared" si="3465"/>
        <v>4.4662352468092248E-3</v>
      </c>
      <c r="AB1012" s="79">
        <v>1</v>
      </c>
      <c r="AC1012" s="77">
        <f t="shared" si="3403"/>
        <v>7.0395314388913468E-3</v>
      </c>
      <c r="AD1012" s="77">
        <f t="shared" ref="AD1012" si="3482">1-(1-AC1012)^(1/12)</f>
        <v>5.8852890214233788E-4</v>
      </c>
      <c r="AE1012" s="77">
        <f t="shared" si="3405"/>
        <v>2.5000000000000001E-3</v>
      </c>
      <c r="AF1012" s="77">
        <f t="shared" ref="AF1012" si="3483">1-(1-AE1012)^(1/12)</f>
        <v>2.0857243058891584E-4</v>
      </c>
      <c r="AH1012" t="s">
        <v>175</v>
      </c>
      <c r="AI1012" t="s">
        <v>179</v>
      </c>
      <c r="AJ1012" s="197" t="str">
        <f t="shared" si="3392"/>
        <v>Lifecycle_Dynamic_75</v>
      </c>
      <c r="AK1012">
        <v>75</v>
      </c>
      <c r="AL1012">
        <f>VLOOKUP($U1012,[2]Standard_Dynamic!$Q$1:$T$542,2,FALSE)</f>
        <v>0.22806830956066645</v>
      </c>
      <c r="AM1012">
        <f>VLOOKUP($U1012,[2]Standard_Dynamic!$Q$1:$T$542,3,FALSE)</f>
        <v>0.77193169043933352</v>
      </c>
      <c r="AN1012">
        <f>VLOOKUP($U1012,[2]Standard_Dynamic!$Q$1:$T$542,4,FALSE)</f>
        <v>0</v>
      </c>
      <c r="AO1012" s="77">
        <f t="shared" si="3393"/>
        <v>1</v>
      </c>
      <c r="AP1012" s="77">
        <f t="shared" si="3407"/>
        <v>5.437760680941784E-2</v>
      </c>
      <c r="AQ1012" s="77">
        <f t="shared" si="3394"/>
        <v>4.4223035416912637E-3</v>
      </c>
      <c r="AR1012" s="79">
        <v>0</v>
      </c>
      <c r="AS1012" s="77">
        <f t="shared" si="3408"/>
        <v>0</v>
      </c>
      <c r="AT1012" s="77">
        <f t="shared" ref="AT1012" si="3484">1-(1-AS1012)^(1/12)</f>
        <v>0</v>
      </c>
      <c r="AU1012" s="77">
        <f t="shared" si="3410"/>
        <v>2.5000000000000001E-3</v>
      </c>
      <c r="AV1012" s="77">
        <f t="shared" ref="AV1012" si="3485">1-(1-AU1012)^(1/12)</f>
        <v>2.0857243058891584E-4</v>
      </c>
      <c r="AX1012" t="s">
        <v>178</v>
      </c>
      <c r="AY1012" t="s">
        <v>162</v>
      </c>
      <c r="AZ1012" s="197" t="str">
        <f t="shared" si="3206"/>
        <v>DIS_Standard_75</v>
      </c>
      <c r="BA1012">
        <v>75</v>
      </c>
      <c r="BB1012">
        <f>VLOOKUP($BA1012,'[2]Standard DIS'!$Q$1:$X$542,4,FALSE)</f>
        <v>0</v>
      </c>
      <c r="BF1012">
        <f>VLOOKUP($BA1012,'[2]Standard DIS'!$Q$1:$X$542,2,FALSE)</f>
        <v>0.22806830956066645</v>
      </c>
      <c r="BH1012">
        <f>VLOOKUP($BA1012,'[2]Standard DIS'!$Q$1:$X$542,3,FALSE)</f>
        <v>0.77193169043933352</v>
      </c>
      <c r="BI1012" s="77">
        <f t="shared" si="3397"/>
        <v>1</v>
      </c>
      <c r="BJ1012" s="77">
        <f t="shared" si="3398"/>
        <v>5.437760680941784E-2</v>
      </c>
      <c r="BK1012" s="77">
        <f t="shared" si="3207"/>
        <v>4.4223035416912637E-3</v>
      </c>
      <c r="BL1012" s="79">
        <v>0</v>
      </c>
      <c r="BM1012" s="77">
        <f t="shared" si="3412"/>
        <v>0</v>
      </c>
      <c r="BN1012" s="77">
        <f t="shared" si="3413"/>
        <v>0</v>
      </c>
      <c r="BO1012" s="77">
        <f t="shared" si="3414"/>
        <v>2.5000000000000001E-3</v>
      </c>
      <c r="BP1012" s="77">
        <f t="shared" si="3415"/>
        <v>2.0809499864316017E-4</v>
      </c>
    </row>
    <row r="1013" spans="1:68">
      <c r="A1013" t="s">
        <v>175</v>
      </c>
      <c r="B1013" t="s">
        <v>179</v>
      </c>
      <c r="C1013" s="197" t="str">
        <f t="shared" si="3456"/>
        <v>Lifecycle_Dynamic_74</v>
      </c>
      <c r="D1013">
        <v>74</v>
      </c>
      <c r="E1013">
        <f>VLOOKUP($D1013,'[2]LC Dynamic'!$Q$2:$U$542,2,FALSE)</f>
        <v>0.1075</v>
      </c>
      <c r="F1013">
        <f>VLOOKUP($D1013,'[2]LC Dynamic'!$Q$2:$U$542,3,FALSE)</f>
        <v>0.37583333333333335</v>
      </c>
      <c r="G1013">
        <f>VLOOKUP($D1013,'[2]LC Dynamic'!$Q$2:$U$542,4,FALSE)</f>
        <v>0.51666666666666672</v>
      </c>
      <c r="H1013">
        <f>VLOOKUP($D1013,'[2]LC Dynamic'!$Q$2:$U$542,5,FALSE)</f>
        <v>0</v>
      </c>
      <c r="I1013" s="77">
        <f t="shared" si="3388"/>
        <v>1</v>
      </c>
      <c r="J1013" s="77">
        <f t="shared" si="3389"/>
        <v>5.5594312500000007E-2</v>
      </c>
      <c r="K1013" s="77">
        <f t="shared" si="3463"/>
        <v>4.5188407818719245E-3</v>
      </c>
      <c r="L1013" s="76">
        <v>0</v>
      </c>
      <c r="M1013" s="77">
        <f t="shared" si="3399"/>
        <v>0</v>
      </c>
      <c r="N1013" s="77">
        <f t="shared" si="3400"/>
        <v>0</v>
      </c>
      <c r="O1013" s="77">
        <f t="shared" si="3401"/>
        <v>6.1954166666666668E-3</v>
      </c>
      <c r="P1013" s="77">
        <f t="shared" si="3402"/>
        <v>5.1775657588648549E-4</v>
      </c>
      <c r="R1013" t="s">
        <v>177</v>
      </c>
      <c r="S1013" t="s">
        <v>179</v>
      </c>
      <c r="T1013" s="197" t="str">
        <f t="shared" si="3457"/>
        <v>Autopilot_Dynamic_74</v>
      </c>
      <c r="U1013">
        <v>74</v>
      </c>
      <c r="V1013">
        <f>VLOOKUP($U1013,'[2]AP Dynamic'!$Q$1:$T$542,2,FALSE)</f>
        <v>0.26976571944567312</v>
      </c>
      <c r="W1013">
        <f>VLOOKUP($U1013,'[2]AP Dynamic'!$Q$1:$T$542,3,FALSE)</f>
        <v>0.73023428055432693</v>
      </c>
      <c r="X1013">
        <f>VLOOKUP($U1013,'[2]AP Dynamic'!$Q$1:$T$542,4,FALSE)</f>
        <v>0</v>
      </c>
      <c r="Y1013" s="77">
        <f t="shared" si="3458"/>
        <v>1</v>
      </c>
      <c r="Z1013" s="77">
        <f t="shared" si="3464"/>
        <v>5.4931139925641304E-2</v>
      </c>
      <c r="AA1013" s="77">
        <f t="shared" si="3465"/>
        <v>4.4662352468092248E-3</v>
      </c>
      <c r="AB1013" s="79">
        <v>1</v>
      </c>
      <c r="AC1013" s="77">
        <f t="shared" si="3403"/>
        <v>7.0395314388913468E-3</v>
      </c>
      <c r="AD1013" s="77">
        <f t="shared" ref="AD1013" si="3486">1-(1-AC1013)^(1/12)</f>
        <v>5.8852890214233788E-4</v>
      </c>
      <c r="AE1013" s="77">
        <f t="shared" si="3405"/>
        <v>2.5000000000000001E-3</v>
      </c>
      <c r="AF1013" s="77">
        <f t="shared" ref="AF1013" si="3487">1-(1-AE1013)^(1/12)</f>
        <v>2.0857243058891584E-4</v>
      </c>
      <c r="AH1013" t="s">
        <v>175</v>
      </c>
      <c r="AI1013" t="s">
        <v>179</v>
      </c>
      <c r="AJ1013" s="197" t="str">
        <f t="shared" si="3392"/>
        <v>Lifecycle_Dynamic_74</v>
      </c>
      <c r="AK1013">
        <v>74</v>
      </c>
      <c r="AL1013">
        <f>VLOOKUP($U1013,[2]Standard_Dynamic!$Q$1:$T$542,2,FALSE)</f>
        <v>0.22343526401788794</v>
      </c>
      <c r="AM1013">
        <f>VLOOKUP($U1013,[2]Standard_Dynamic!$Q$1:$T$542,3,FALSE)</f>
        <v>0.77656473598211206</v>
      </c>
      <c r="AN1013">
        <f>VLOOKUP($U1013,[2]Standard_Dynamic!$Q$1:$T$542,4,FALSE)</f>
        <v>0</v>
      </c>
      <c r="AO1013" s="77">
        <f t="shared" si="3393"/>
        <v>1</v>
      </c>
      <c r="AP1013" s="77">
        <f t="shared" si="3407"/>
        <v>5.4316103129837451E-2</v>
      </c>
      <c r="AQ1013" s="77">
        <f t="shared" si="3394"/>
        <v>4.4174209361633743E-3</v>
      </c>
      <c r="AR1013" s="79">
        <v>0</v>
      </c>
      <c r="AS1013" s="77">
        <f t="shared" si="3408"/>
        <v>0</v>
      </c>
      <c r="AT1013" s="77">
        <f t="shared" ref="AT1013" si="3488">1-(1-AS1013)^(1/12)</f>
        <v>0</v>
      </c>
      <c r="AU1013" s="77">
        <f t="shared" si="3410"/>
        <v>2.5000000000000001E-3</v>
      </c>
      <c r="AV1013" s="77">
        <f t="shared" ref="AV1013" si="3489">1-(1-AU1013)^(1/12)</f>
        <v>2.0857243058891584E-4</v>
      </c>
      <c r="AX1013" t="s">
        <v>178</v>
      </c>
      <c r="AY1013" t="s">
        <v>162</v>
      </c>
      <c r="AZ1013" s="197" t="str">
        <f t="shared" ref="AZ1013:AZ1076" si="3490">AX1013&amp;"_"&amp;AY1013&amp;"_"&amp;BA1013</f>
        <v>DIS_Standard_74</v>
      </c>
      <c r="BA1013">
        <v>74</v>
      </c>
      <c r="BB1013">
        <f>VLOOKUP($BA1013,'[2]Standard DIS'!$Q$1:$X$542,4,FALSE)</f>
        <v>0</v>
      </c>
      <c r="BF1013">
        <f>VLOOKUP($BA1013,'[2]Standard DIS'!$Q$1:$X$542,2,FALSE)</f>
        <v>0.22343526401788794</v>
      </c>
      <c r="BH1013">
        <f>VLOOKUP($BA1013,'[2]Standard DIS'!$Q$1:$X$542,3,FALSE)</f>
        <v>0.77656473598211206</v>
      </c>
      <c r="BI1013" s="77">
        <f t="shared" si="3397"/>
        <v>1</v>
      </c>
      <c r="BJ1013" s="77">
        <f t="shared" si="3398"/>
        <v>5.4316103129837451E-2</v>
      </c>
      <c r="BK1013" s="77">
        <f t="shared" ref="BK1013:BK1076" si="3491">(1+BJ1013)^(1/12)-1</f>
        <v>4.4174209361633743E-3</v>
      </c>
      <c r="BL1013" s="79">
        <v>0</v>
      </c>
      <c r="BM1013" s="77">
        <f t="shared" si="3412"/>
        <v>0</v>
      </c>
      <c r="BN1013" s="77">
        <f t="shared" si="3413"/>
        <v>0</v>
      </c>
      <c r="BO1013" s="77">
        <f t="shared" si="3414"/>
        <v>2.5000000000000001E-3</v>
      </c>
      <c r="BP1013" s="77">
        <f t="shared" si="3415"/>
        <v>2.0809499864316017E-4</v>
      </c>
    </row>
    <row r="1014" spans="1:68">
      <c r="A1014" t="s">
        <v>175</v>
      </c>
      <c r="B1014" t="s">
        <v>179</v>
      </c>
      <c r="C1014" s="197" t="str">
        <f t="shared" si="3456"/>
        <v>Lifecycle_Dynamic_73</v>
      </c>
      <c r="D1014">
        <v>73</v>
      </c>
      <c r="E1014">
        <f>VLOOKUP($D1014,'[2]LC Dynamic'!$Q$2:$U$542,2,FALSE)</f>
        <v>0.11075</v>
      </c>
      <c r="F1014">
        <f>VLOOKUP($D1014,'[2]LC Dynamic'!$Q$2:$U$542,3,FALSE)</f>
        <v>0.37541666666666668</v>
      </c>
      <c r="G1014">
        <f>VLOOKUP($D1014,'[2]LC Dynamic'!$Q$2:$U$542,4,FALSE)</f>
        <v>0.51383333333333336</v>
      </c>
      <c r="H1014">
        <f>VLOOKUP($D1014,'[2]LC Dynamic'!$Q$2:$U$542,5,FALSE)</f>
        <v>0</v>
      </c>
      <c r="I1014" s="77">
        <f t="shared" si="3388"/>
        <v>1</v>
      </c>
      <c r="J1014" s="77">
        <f t="shared" si="3389"/>
        <v>5.5529781249999993E-2</v>
      </c>
      <c r="K1014" s="77">
        <f t="shared" si="3463"/>
        <v>4.5137232324476972E-3</v>
      </c>
      <c r="L1014" s="76">
        <v>0</v>
      </c>
      <c r="M1014" s="77">
        <f t="shared" si="3399"/>
        <v>0</v>
      </c>
      <c r="N1014" s="77">
        <f t="shared" si="3400"/>
        <v>0</v>
      </c>
      <c r="O1014" s="77">
        <f t="shared" si="3401"/>
        <v>6.1803583333333335E-3</v>
      </c>
      <c r="P1014" s="77">
        <f t="shared" si="3402"/>
        <v>5.1649455444946479E-4</v>
      </c>
      <c r="R1014" t="s">
        <v>177</v>
      </c>
      <c r="S1014" t="s">
        <v>179</v>
      </c>
      <c r="T1014" s="197" t="str">
        <f t="shared" si="3457"/>
        <v>Autopilot_Dynamic_73</v>
      </c>
      <c r="U1014">
        <v>73</v>
      </c>
      <c r="V1014">
        <f>VLOOKUP($U1014,'[2]AP Dynamic'!$Q$1:$T$542,2,FALSE)</f>
        <v>0.26976571944567312</v>
      </c>
      <c r="W1014">
        <f>VLOOKUP($U1014,'[2]AP Dynamic'!$Q$1:$T$542,3,FALSE)</f>
        <v>0.73023428055432693</v>
      </c>
      <c r="X1014">
        <f>VLOOKUP($U1014,'[2]AP Dynamic'!$Q$1:$T$542,4,FALSE)</f>
        <v>0</v>
      </c>
      <c r="Y1014" s="77">
        <f t="shared" si="3458"/>
        <v>1</v>
      </c>
      <c r="Z1014" s="77">
        <f t="shared" si="3464"/>
        <v>5.4931139925641304E-2</v>
      </c>
      <c r="AA1014" s="77">
        <f t="shared" si="3465"/>
        <v>4.4662352468092248E-3</v>
      </c>
      <c r="AB1014" s="79">
        <v>1</v>
      </c>
      <c r="AC1014" s="77">
        <f t="shared" si="3403"/>
        <v>7.0395314388913468E-3</v>
      </c>
      <c r="AD1014" s="77">
        <f t="shared" ref="AD1014" si="3492">1-(1-AC1014)^(1/12)</f>
        <v>5.8852890214233788E-4</v>
      </c>
      <c r="AE1014" s="77">
        <f t="shared" si="3405"/>
        <v>2.5000000000000001E-3</v>
      </c>
      <c r="AF1014" s="77">
        <f t="shared" ref="AF1014" si="3493">1-(1-AE1014)^(1/12)</f>
        <v>2.0857243058891584E-4</v>
      </c>
      <c r="AH1014" t="s">
        <v>175</v>
      </c>
      <c r="AI1014" t="s">
        <v>179</v>
      </c>
      <c r="AJ1014" s="197" t="str">
        <f t="shared" si="3392"/>
        <v>Lifecycle_Dynamic_73</v>
      </c>
      <c r="AK1014">
        <v>73</v>
      </c>
      <c r="AL1014">
        <f>VLOOKUP($U1014,[2]Standard_Dynamic!$Q$1:$T$542,2,FALSE)</f>
        <v>0.21880221847510942</v>
      </c>
      <c r="AM1014">
        <f>VLOOKUP($U1014,[2]Standard_Dynamic!$Q$1:$T$542,3,FALSE)</f>
        <v>0.7811977815248905</v>
      </c>
      <c r="AN1014">
        <f>VLOOKUP($U1014,[2]Standard_Dynamic!$Q$1:$T$542,4,FALSE)</f>
        <v>0</v>
      </c>
      <c r="AO1014" s="77">
        <f t="shared" si="3393"/>
        <v>0.99999999999999989</v>
      </c>
      <c r="AP1014" s="77">
        <f t="shared" si="3407"/>
        <v>5.4254599450257061E-2</v>
      </c>
      <c r="AQ1014" s="77">
        <f t="shared" si="3394"/>
        <v>4.4125380695365646E-3</v>
      </c>
      <c r="AR1014" s="79">
        <v>0</v>
      </c>
      <c r="AS1014" s="77">
        <f t="shared" si="3408"/>
        <v>0</v>
      </c>
      <c r="AT1014" s="77">
        <f t="shared" ref="AT1014" si="3494">1-(1-AS1014)^(1/12)</f>
        <v>0</v>
      </c>
      <c r="AU1014" s="77">
        <f t="shared" si="3410"/>
        <v>2.4999999999999996E-3</v>
      </c>
      <c r="AV1014" s="77">
        <f t="shared" ref="AV1014" si="3495">1-(1-AU1014)^(1/12)</f>
        <v>2.0857243058891584E-4</v>
      </c>
      <c r="AX1014" t="s">
        <v>178</v>
      </c>
      <c r="AY1014" t="s">
        <v>162</v>
      </c>
      <c r="AZ1014" s="197" t="str">
        <f t="shared" si="3490"/>
        <v>DIS_Standard_73</v>
      </c>
      <c r="BA1014">
        <v>73</v>
      </c>
      <c r="BB1014">
        <f>VLOOKUP($BA1014,'[2]Standard DIS'!$Q$1:$X$542,4,FALSE)</f>
        <v>0</v>
      </c>
      <c r="BF1014">
        <f>VLOOKUP($BA1014,'[2]Standard DIS'!$Q$1:$X$542,2,FALSE)</f>
        <v>0.21880221847510942</v>
      </c>
      <c r="BH1014">
        <f>VLOOKUP($BA1014,'[2]Standard DIS'!$Q$1:$X$542,3,FALSE)</f>
        <v>0.7811977815248905</v>
      </c>
      <c r="BI1014" s="77">
        <f t="shared" si="3397"/>
        <v>0.99999999999999989</v>
      </c>
      <c r="BJ1014" s="77">
        <f t="shared" si="3398"/>
        <v>5.4254599450257061E-2</v>
      </c>
      <c r="BK1014" s="77">
        <f t="shared" si="3491"/>
        <v>4.4125380695365646E-3</v>
      </c>
      <c r="BL1014" s="79">
        <v>0</v>
      </c>
      <c r="BM1014" s="77">
        <f t="shared" si="3412"/>
        <v>0</v>
      </c>
      <c r="BN1014" s="77">
        <f t="shared" si="3413"/>
        <v>0</v>
      </c>
      <c r="BO1014" s="77">
        <f t="shared" si="3414"/>
        <v>2.4999999999999996E-3</v>
      </c>
      <c r="BP1014" s="77">
        <f t="shared" si="3415"/>
        <v>2.0809499864316017E-4</v>
      </c>
    </row>
    <row r="1015" spans="1:68">
      <c r="A1015" t="s">
        <v>175</v>
      </c>
      <c r="B1015" t="s">
        <v>179</v>
      </c>
      <c r="C1015" s="197" t="str">
        <f t="shared" si="3456"/>
        <v>Lifecycle_Dynamic_72</v>
      </c>
      <c r="D1015">
        <v>72</v>
      </c>
      <c r="E1015">
        <f>VLOOKUP($D1015,'[2]LC Dynamic'!$Q$2:$U$542,2,FALSE)</f>
        <v>0.114</v>
      </c>
      <c r="F1015">
        <f>VLOOKUP($D1015,'[2]LC Dynamic'!$Q$2:$U$542,3,FALSE)</f>
        <v>0.375</v>
      </c>
      <c r="G1015">
        <f>VLOOKUP($D1015,'[2]LC Dynamic'!$Q$2:$U$542,4,FALSE)</f>
        <v>0.51100000000000001</v>
      </c>
      <c r="H1015">
        <f>VLOOKUP($D1015,'[2]LC Dynamic'!$Q$2:$U$542,5,FALSE)</f>
        <v>0</v>
      </c>
      <c r="I1015" s="77">
        <f t="shared" si="3388"/>
        <v>1</v>
      </c>
      <c r="J1015" s="77">
        <f t="shared" si="3389"/>
        <v>5.5465249999999994E-2</v>
      </c>
      <c r="K1015" s="77">
        <f t="shared" si="3463"/>
        <v>4.508605396219334E-3</v>
      </c>
      <c r="L1015" s="76">
        <v>0</v>
      </c>
      <c r="M1015" s="77">
        <f t="shared" si="3399"/>
        <v>0</v>
      </c>
      <c r="N1015" s="77">
        <f t="shared" si="3400"/>
        <v>0</v>
      </c>
      <c r="O1015" s="77">
        <f t="shared" si="3401"/>
        <v>6.1653000000000003E-3</v>
      </c>
      <c r="P1015" s="77">
        <f t="shared" si="3402"/>
        <v>5.1523255054097827E-4</v>
      </c>
      <c r="R1015" t="s">
        <v>177</v>
      </c>
      <c r="S1015" t="s">
        <v>179</v>
      </c>
      <c r="T1015" s="197" t="str">
        <f t="shared" si="3457"/>
        <v>Autopilot_Dynamic_72</v>
      </c>
      <c r="U1015">
        <v>72</v>
      </c>
      <c r="V1015">
        <f>VLOOKUP($U1015,'[2]AP Dynamic'!$Q$1:$T$542,2,FALSE)</f>
        <v>0.2141691729323309</v>
      </c>
      <c r="W1015">
        <f>VLOOKUP($U1015,'[2]AP Dynamic'!$Q$1:$T$542,3,FALSE)</f>
        <v>0.78583082706766905</v>
      </c>
      <c r="X1015">
        <f>VLOOKUP($U1015,'[2]AP Dynamic'!$Q$1:$T$542,4,FALSE)</f>
        <v>0</v>
      </c>
      <c r="Y1015" s="77">
        <f t="shared" si="3458"/>
        <v>1</v>
      </c>
      <c r="Z1015" s="77">
        <f t="shared" si="3464"/>
        <v>5.4193095770676679E-2</v>
      </c>
      <c r="AA1015" s="77">
        <f t="shared" si="3465"/>
        <v>4.4076549417817468E-3</v>
      </c>
      <c r="AB1015" s="79">
        <v>1</v>
      </c>
      <c r="AC1015" s="77">
        <f t="shared" si="3403"/>
        <v>6.9283383458646616E-3</v>
      </c>
      <c r="AD1015" s="77">
        <f t="shared" ref="AD1015" si="3496">1-(1-AC1015)^(1/12)</f>
        <v>5.7920309034031892E-4</v>
      </c>
      <c r="AE1015" s="77">
        <f t="shared" si="3405"/>
        <v>2.5000000000000001E-3</v>
      </c>
      <c r="AF1015" s="77">
        <f t="shared" ref="AF1015" si="3497">1-(1-AE1015)^(1/12)</f>
        <v>2.0857243058891584E-4</v>
      </c>
      <c r="AH1015" t="s">
        <v>175</v>
      </c>
      <c r="AI1015" t="s">
        <v>179</v>
      </c>
      <c r="AJ1015" s="197" t="str">
        <f t="shared" si="3392"/>
        <v>Lifecycle_Dynamic_72</v>
      </c>
      <c r="AK1015">
        <v>72</v>
      </c>
      <c r="AL1015">
        <f>VLOOKUP($U1015,[2]Standard_Dynamic!$Q$1:$T$542,2,FALSE)</f>
        <v>0.2141691729323309</v>
      </c>
      <c r="AM1015">
        <f>VLOOKUP($U1015,[2]Standard_Dynamic!$Q$1:$T$542,3,FALSE)</f>
        <v>0.78583082706766905</v>
      </c>
      <c r="AN1015">
        <f>VLOOKUP($U1015,[2]Standard_Dynamic!$Q$1:$T$542,4,FALSE)</f>
        <v>0</v>
      </c>
      <c r="AO1015" s="77">
        <f t="shared" si="3393"/>
        <v>1</v>
      </c>
      <c r="AP1015" s="77">
        <f t="shared" si="3407"/>
        <v>5.4193095770676679E-2</v>
      </c>
      <c r="AQ1015" s="77">
        <f t="shared" si="3394"/>
        <v>4.4076549417817468E-3</v>
      </c>
      <c r="AR1015" s="79">
        <v>0</v>
      </c>
      <c r="AS1015" s="77">
        <f t="shared" si="3408"/>
        <v>0</v>
      </c>
      <c r="AT1015" s="77">
        <f t="shared" ref="AT1015" si="3498">1-(1-AS1015)^(1/12)</f>
        <v>0</v>
      </c>
      <c r="AU1015" s="77">
        <f t="shared" si="3410"/>
        <v>2.5000000000000001E-3</v>
      </c>
      <c r="AV1015" s="77">
        <f t="shared" ref="AV1015" si="3499">1-(1-AU1015)^(1/12)</f>
        <v>2.0857243058891584E-4</v>
      </c>
      <c r="AX1015" t="s">
        <v>178</v>
      </c>
      <c r="AY1015" t="s">
        <v>162</v>
      </c>
      <c r="AZ1015" s="197" t="str">
        <f t="shared" si="3490"/>
        <v>DIS_Standard_72</v>
      </c>
      <c r="BA1015">
        <v>72</v>
      </c>
      <c r="BB1015">
        <f>VLOOKUP($BA1015,'[2]Standard DIS'!$Q$1:$X$542,4,FALSE)</f>
        <v>0</v>
      </c>
      <c r="BF1015">
        <f>VLOOKUP($BA1015,'[2]Standard DIS'!$Q$1:$X$542,2,FALSE)</f>
        <v>0.2141691729323309</v>
      </c>
      <c r="BH1015">
        <f>VLOOKUP($BA1015,'[2]Standard DIS'!$Q$1:$X$542,3,FALSE)</f>
        <v>0.78583082706766905</v>
      </c>
      <c r="BI1015" s="77">
        <f t="shared" si="3397"/>
        <v>1</v>
      </c>
      <c r="BJ1015" s="77">
        <f t="shared" si="3398"/>
        <v>5.4193095770676679E-2</v>
      </c>
      <c r="BK1015" s="77">
        <f t="shared" si="3491"/>
        <v>4.4076549417817468E-3</v>
      </c>
      <c r="BL1015" s="79">
        <v>0</v>
      </c>
      <c r="BM1015" s="77">
        <f t="shared" si="3412"/>
        <v>0</v>
      </c>
      <c r="BN1015" s="77">
        <f t="shared" si="3413"/>
        <v>0</v>
      </c>
      <c r="BO1015" s="77">
        <f t="shared" si="3414"/>
        <v>2.5000000000000001E-3</v>
      </c>
      <c r="BP1015" s="77">
        <f t="shared" si="3415"/>
        <v>2.0809499864316017E-4</v>
      </c>
    </row>
    <row r="1016" spans="1:68">
      <c r="A1016" t="s">
        <v>175</v>
      </c>
      <c r="B1016" t="s">
        <v>179</v>
      </c>
      <c r="C1016" s="197" t="str">
        <f t="shared" si="3456"/>
        <v>Lifecycle_Dynamic_71</v>
      </c>
      <c r="D1016">
        <v>71</v>
      </c>
      <c r="E1016">
        <f>VLOOKUP($D1016,'[2]LC Dynamic'!$Q$2:$U$542,2,FALSE)</f>
        <v>0.11741666666666667</v>
      </c>
      <c r="F1016">
        <f>VLOOKUP($D1016,'[2]LC Dynamic'!$Q$2:$U$542,3,FALSE)</f>
        <v>0.37375000000000003</v>
      </c>
      <c r="G1016">
        <f>VLOOKUP($D1016,'[2]LC Dynamic'!$Q$2:$U$542,4,FALSE)</f>
        <v>0.50883333333333336</v>
      </c>
      <c r="H1016">
        <f>VLOOKUP($D1016,'[2]LC Dynamic'!$Q$2:$U$542,5,FALSE)</f>
        <v>0</v>
      </c>
      <c r="I1016" s="77">
        <f t="shared" si="3388"/>
        <v>1</v>
      </c>
      <c r="J1016" s="77">
        <f t="shared" si="3389"/>
        <v>5.541178125E-2</v>
      </c>
      <c r="K1016" s="77">
        <f t="shared" si="3463"/>
        <v>4.5043646860518649E-3</v>
      </c>
      <c r="L1016" s="76">
        <v>0</v>
      </c>
      <c r="M1016" s="77">
        <f t="shared" si="3399"/>
        <v>0</v>
      </c>
      <c r="N1016" s="77">
        <f t="shared" si="3400"/>
        <v>0</v>
      </c>
      <c r="O1016" s="77">
        <f t="shared" si="3401"/>
        <v>6.1505250000000004E-3</v>
      </c>
      <c r="P1016" s="77">
        <f t="shared" si="3402"/>
        <v>5.1399430917675737E-4</v>
      </c>
      <c r="R1016" t="s">
        <v>177</v>
      </c>
      <c r="S1016" t="s">
        <v>179</v>
      </c>
      <c r="T1016" s="197" t="str">
        <f t="shared" si="3457"/>
        <v>Autopilot_Dynamic_71</v>
      </c>
      <c r="U1016">
        <v>71</v>
      </c>
      <c r="V1016">
        <f>VLOOKUP($U1016,'[2]AP Dynamic'!$Q$1:$T$542,2,FALSE)</f>
        <v>0.2141691729323309</v>
      </c>
      <c r="W1016">
        <f>VLOOKUP($U1016,'[2]AP Dynamic'!$Q$1:$T$542,3,FALSE)</f>
        <v>0.78583082706766905</v>
      </c>
      <c r="X1016">
        <f>VLOOKUP($U1016,'[2]AP Dynamic'!$Q$1:$T$542,4,FALSE)</f>
        <v>0</v>
      </c>
      <c r="Y1016" s="77">
        <f t="shared" si="3458"/>
        <v>1</v>
      </c>
      <c r="Z1016" s="77">
        <f t="shared" si="3464"/>
        <v>5.4193095770676679E-2</v>
      </c>
      <c r="AA1016" s="77">
        <f t="shared" si="3465"/>
        <v>4.4076549417817468E-3</v>
      </c>
      <c r="AB1016" s="79">
        <v>1</v>
      </c>
      <c r="AC1016" s="77">
        <f t="shared" si="3403"/>
        <v>6.9283383458646616E-3</v>
      </c>
      <c r="AD1016" s="77">
        <f t="shared" ref="AD1016" si="3500">1-(1-AC1016)^(1/12)</f>
        <v>5.7920309034031892E-4</v>
      </c>
      <c r="AE1016" s="77">
        <f t="shared" si="3405"/>
        <v>2.5000000000000001E-3</v>
      </c>
      <c r="AF1016" s="77">
        <f t="shared" ref="AF1016" si="3501">1-(1-AE1016)^(1/12)</f>
        <v>2.0857243058891584E-4</v>
      </c>
      <c r="AH1016" t="s">
        <v>175</v>
      </c>
      <c r="AI1016" t="s">
        <v>179</v>
      </c>
      <c r="AJ1016" s="197" t="str">
        <f t="shared" si="3392"/>
        <v>Lifecycle_Dynamic_71</v>
      </c>
      <c r="AK1016">
        <v>71</v>
      </c>
      <c r="AL1016">
        <f>VLOOKUP($U1016,[2]Standard_Dynamic!$Q$1:$T$542,2,FALSE)</f>
        <v>0.21031334617180211</v>
      </c>
      <c r="AM1016">
        <f>VLOOKUP($U1016,[2]Standard_Dynamic!$Q$1:$T$542,3,FALSE)</f>
        <v>0.7896866538281978</v>
      </c>
      <c r="AN1016">
        <f>VLOOKUP($U1016,[2]Standard_Dynamic!$Q$1:$T$542,4,FALSE)</f>
        <v>0</v>
      </c>
      <c r="AO1016" s="77">
        <f t="shared" si="3393"/>
        <v>0.99999999999999989</v>
      </c>
      <c r="AP1016" s="77">
        <f t="shared" si="3407"/>
        <v>5.4141909670430657E-2</v>
      </c>
      <c r="AQ1016" s="77">
        <f t="shared" si="3394"/>
        <v>4.4035907863559931E-3</v>
      </c>
      <c r="AR1016" s="79">
        <v>0</v>
      </c>
      <c r="AS1016" s="77">
        <f t="shared" si="3408"/>
        <v>0</v>
      </c>
      <c r="AT1016" s="77">
        <f t="shared" ref="AT1016" si="3502">1-(1-AS1016)^(1/12)</f>
        <v>0</v>
      </c>
      <c r="AU1016" s="77">
        <f t="shared" si="3410"/>
        <v>2.5000000000000001E-3</v>
      </c>
      <c r="AV1016" s="77">
        <f t="shared" ref="AV1016" si="3503">1-(1-AU1016)^(1/12)</f>
        <v>2.0857243058891584E-4</v>
      </c>
      <c r="AX1016" t="s">
        <v>178</v>
      </c>
      <c r="AY1016" t="s">
        <v>162</v>
      </c>
      <c r="AZ1016" s="197" t="str">
        <f t="shared" si="3490"/>
        <v>DIS_Standard_71</v>
      </c>
      <c r="BA1016">
        <v>71</v>
      </c>
      <c r="BB1016">
        <f>VLOOKUP($BA1016,'[2]Standard DIS'!$Q$1:$X$542,4,FALSE)</f>
        <v>0</v>
      </c>
      <c r="BF1016">
        <f>VLOOKUP($BA1016,'[2]Standard DIS'!$Q$1:$X$542,2,FALSE)</f>
        <v>0.21031334617180211</v>
      </c>
      <c r="BH1016">
        <f>VLOOKUP($BA1016,'[2]Standard DIS'!$Q$1:$X$542,3,FALSE)</f>
        <v>0.7896866538281978</v>
      </c>
      <c r="BI1016" s="77">
        <f t="shared" si="3397"/>
        <v>0.99999999999999989</v>
      </c>
      <c r="BJ1016" s="77">
        <f t="shared" si="3398"/>
        <v>5.4141909670430657E-2</v>
      </c>
      <c r="BK1016" s="77">
        <f t="shared" si="3491"/>
        <v>4.4035907863559931E-3</v>
      </c>
      <c r="BL1016" s="79">
        <v>0</v>
      </c>
      <c r="BM1016" s="77">
        <f t="shared" si="3412"/>
        <v>0</v>
      </c>
      <c r="BN1016" s="77">
        <f t="shared" si="3413"/>
        <v>0</v>
      </c>
      <c r="BO1016" s="77">
        <f t="shared" si="3414"/>
        <v>2.5000000000000001E-3</v>
      </c>
      <c r="BP1016" s="77">
        <f t="shared" si="3415"/>
        <v>2.0809499864316017E-4</v>
      </c>
    </row>
    <row r="1017" spans="1:68">
      <c r="A1017" t="s">
        <v>175</v>
      </c>
      <c r="B1017" t="s">
        <v>179</v>
      </c>
      <c r="C1017" s="197" t="str">
        <f t="shared" si="3456"/>
        <v>Lifecycle_Dynamic_70</v>
      </c>
      <c r="D1017">
        <v>70</v>
      </c>
      <c r="E1017">
        <f>VLOOKUP($D1017,'[2]LC Dynamic'!$Q$2:$U$542,2,FALSE)</f>
        <v>0.12083333333333333</v>
      </c>
      <c r="F1017">
        <f>VLOOKUP($D1017,'[2]LC Dynamic'!$Q$2:$U$542,3,FALSE)</f>
        <v>0.3725</v>
      </c>
      <c r="G1017">
        <f>VLOOKUP($D1017,'[2]LC Dynamic'!$Q$2:$U$542,4,FALSE)</f>
        <v>0.50666666666666671</v>
      </c>
      <c r="H1017">
        <f>VLOOKUP($D1017,'[2]LC Dynamic'!$Q$2:$U$542,5,FALSE)</f>
        <v>0</v>
      </c>
      <c r="I1017" s="77">
        <f t="shared" si="3388"/>
        <v>1</v>
      </c>
      <c r="J1017" s="77">
        <f t="shared" si="3389"/>
        <v>5.53583125E-2</v>
      </c>
      <c r="K1017" s="77">
        <f t="shared" si="3463"/>
        <v>4.5001237789421555E-3</v>
      </c>
      <c r="L1017" s="76">
        <v>0</v>
      </c>
      <c r="M1017" s="77">
        <f t="shared" si="3399"/>
        <v>0</v>
      </c>
      <c r="N1017" s="77">
        <f t="shared" si="3400"/>
        <v>0</v>
      </c>
      <c r="O1017" s="77">
        <f t="shared" si="3401"/>
        <v>6.1357500000000006E-3</v>
      </c>
      <c r="P1017" s="77">
        <f t="shared" si="3402"/>
        <v>5.1275608468659417E-4</v>
      </c>
      <c r="R1017" t="s">
        <v>177</v>
      </c>
      <c r="S1017" t="s">
        <v>179</v>
      </c>
      <c r="T1017" s="197" t="str">
        <f t="shared" si="3457"/>
        <v>Autopilot_Dynamic_70</v>
      </c>
      <c r="U1017">
        <v>70</v>
      </c>
      <c r="V1017">
        <f>VLOOKUP($U1017,'[2]AP Dynamic'!$Q$1:$T$542,2,FALSE)</f>
        <v>0.2141691729323309</v>
      </c>
      <c r="W1017">
        <f>VLOOKUP($U1017,'[2]AP Dynamic'!$Q$1:$T$542,3,FALSE)</f>
        <v>0.78583082706766905</v>
      </c>
      <c r="X1017">
        <f>VLOOKUP($U1017,'[2]AP Dynamic'!$Q$1:$T$542,4,FALSE)</f>
        <v>0</v>
      </c>
      <c r="Y1017" s="77">
        <f t="shared" si="3458"/>
        <v>1</v>
      </c>
      <c r="Z1017" s="77">
        <f t="shared" si="3464"/>
        <v>5.4193095770676679E-2</v>
      </c>
      <c r="AA1017" s="77">
        <f t="shared" si="3465"/>
        <v>4.4076549417817468E-3</v>
      </c>
      <c r="AB1017" s="79">
        <v>1</v>
      </c>
      <c r="AC1017" s="77">
        <f t="shared" si="3403"/>
        <v>6.9283383458646616E-3</v>
      </c>
      <c r="AD1017" s="77">
        <f t="shared" ref="AD1017" si="3504">1-(1-AC1017)^(1/12)</f>
        <v>5.7920309034031892E-4</v>
      </c>
      <c r="AE1017" s="77">
        <f t="shared" si="3405"/>
        <v>2.5000000000000001E-3</v>
      </c>
      <c r="AF1017" s="77">
        <f t="shared" ref="AF1017" si="3505">1-(1-AE1017)^(1/12)</f>
        <v>2.0857243058891584E-4</v>
      </c>
      <c r="AH1017" t="s">
        <v>175</v>
      </c>
      <c r="AI1017" t="s">
        <v>179</v>
      </c>
      <c r="AJ1017" s="197" t="str">
        <f t="shared" si="3392"/>
        <v>Lifecycle_Dynamic_70</v>
      </c>
      <c r="AK1017">
        <v>70</v>
      </c>
      <c r="AL1017">
        <f>VLOOKUP($U1017,[2]Standard_Dynamic!$Q$1:$T$542,2,FALSE)</f>
        <v>0.20645751941127333</v>
      </c>
      <c r="AM1017">
        <f>VLOOKUP($U1017,[2]Standard_Dynamic!$Q$1:$T$542,3,FALSE)</f>
        <v>0.79354248058872656</v>
      </c>
      <c r="AN1017">
        <f>VLOOKUP($U1017,[2]Standard_Dynamic!$Q$1:$T$542,4,FALSE)</f>
        <v>0</v>
      </c>
      <c r="AO1017" s="77">
        <f t="shared" si="3393"/>
        <v>0.99999999999999989</v>
      </c>
      <c r="AP1017" s="77">
        <f t="shared" si="3407"/>
        <v>5.4090723570184636E-2</v>
      </c>
      <c r="AQ1017" s="77">
        <f t="shared" si="3394"/>
        <v>4.3995264500278353E-3</v>
      </c>
      <c r="AR1017" s="79">
        <v>0</v>
      </c>
      <c r="AS1017" s="77">
        <f t="shared" si="3408"/>
        <v>0</v>
      </c>
      <c r="AT1017" s="77">
        <f t="shared" ref="AT1017" si="3506">1-(1-AS1017)^(1/12)</f>
        <v>0</v>
      </c>
      <c r="AU1017" s="77">
        <f t="shared" si="3410"/>
        <v>2.5000000000000001E-3</v>
      </c>
      <c r="AV1017" s="77">
        <f t="shared" ref="AV1017" si="3507">1-(1-AU1017)^(1/12)</f>
        <v>2.0857243058891584E-4</v>
      </c>
      <c r="AX1017" t="s">
        <v>178</v>
      </c>
      <c r="AY1017" t="s">
        <v>162</v>
      </c>
      <c r="AZ1017" s="197" t="str">
        <f t="shared" si="3490"/>
        <v>DIS_Standard_70</v>
      </c>
      <c r="BA1017">
        <v>70</v>
      </c>
      <c r="BB1017">
        <f>VLOOKUP($BA1017,'[2]Standard DIS'!$Q$1:$X$542,4,FALSE)</f>
        <v>0</v>
      </c>
      <c r="BF1017">
        <f>VLOOKUP($BA1017,'[2]Standard DIS'!$Q$1:$X$542,2,FALSE)</f>
        <v>0.20645751941127333</v>
      </c>
      <c r="BH1017">
        <f>VLOOKUP($BA1017,'[2]Standard DIS'!$Q$1:$X$542,3,FALSE)</f>
        <v>0.79354248058872656</v>
      </c>
      <c r="BI1017" s="77">
        <f t="shared" si="3397"/>
        <v>0.99999999999999989</v>
      </c>
      <c r="BJ1017" s="77">
        <f t="shared" si="3398"/>
        <v>5.4090723570184636E-2</v>
      </c>
      <c r="BK1017" s="77">
        <f t="shared" si="3491"/>
        <v>4.3995264500278353E-3</v>
      </c>
      <c r="BL1017" s="79">
        <v>0</v>
      </c>
      <c r="BM1017" s="77">
        <f t="shared" si="3412"/>
        <v>0</v>
      </c>
      <c r="BN1017" s="77">
        <f t="shared" si="3413"/>
        <v>0</v>
      </c>
      <c r="BO1017" s="77">
        <f t="shared" si="3414"/>
        <v>2.5000000000000001E-3</v>
      </c>
      <c r="BP1017" s="77">
        <f t="shared" si="3415"/>
        <v>2.0809499864316017E-4</v>
      </c>
    </row>
    <row r="1018" spans="1:68">
      <c r="A1018" t="s">
        <v>175</v>
      </c>
      <c r="B1018" t="s">
        <v>179</v>
      </c>
      <c r="C1018" s="197" t="str">
        <f t="shared" si="3456"/>
        <v>Lifecycle_Dynamic_69</v>
      </c>
      <c r="D1018">
        <v>69</v>
      </c>
      <c r="E1018">
        <f>VLOOKUP($D1018,'[2]LC Dynamic'!$Q$2:$U$542,2,FALSE)</f>
        <v>0.12425</v>
      </c>
      <c r="F1018">
        <f>VLOOKUP($D1018,'[2]LC Dynamic'!$Q$2:$U$542,3,FALSE)</f>
        <v>0.37124999999999997</v>
      </c>
      <c r="G1018">
        <f>VLOOKUP($D1018,'[2]LC Dynamic'!$Q$2:$U$542,4,FALSE)</f>
        <v>0.50449999999999995</v>
      </c>
      <c r="H1018">
        <f>VLOOKUP($D1018,'[2]LC Dynamic'!$Q$2:$U$542,5,FALSE)</f>
        <v>0</v>
      </c>
      <c r="I1018" s="77">
        <f t="shared" si="3388"/>
        <v>0.99999999999999989</v>
      </c>
      <c r="J1018" s="77">
        <f t="shared" si="3389"/>
        <v>5.5304843749999985E-2</v>
      </c>
      <c r="K1018" s="77">
        <f t="shared" si="3463"/>
        <v>4.4958826748717762E-3</v>
      </c>
      <c r="L1018" s="76">
        <v>0</v>
      </c>
      <c r="M1018" s="77">
        <f t="shared" si="3399"/>
        <v>0</v>
      </c>
      <c r="N1018" s="77">
        <f t="shared" si="3400"/>
        <v>0</v>
      </c>
      <c r="O1018" s="77">
        <f t="shared" si="3401"/>
        <v>6.120974999999999E-3</v>
      </c>
      <c r="P1018" s="77">
        <f t="shared" si="3402"/>
        <v>5.1151787707015561E-4</v>
      </c>
      <c r="R1018" t="s">
        <v>177</v>
      </c>
      <c r="S1018" t="s">
        <v>179</v>
      </c>
      <c r="T1018" s="197" t="str">
        <f t="shared" si="3457"/>
        <v>Autopilot_Dynamic_69</v>
      </c>
      <c r="U1018">
        <v>69</v>
      </c>
      <c r="V1018">
        <f>VLOOKUP($U1018,'[2]AP Dynamic'!$Q$1:$T$542,2,FALSE)</f>
        <v>0.2141691729323309</v>
      </c>
      <c r="W1018">
        <f>VLOOKUP($U1018,'[2]AP Dynamic'!$Q$1:$T$542,3,FALSE)</f>
        <v>0.78583082706766905</v>
      </c>
      <c r="X1018">
        <f>VLOOKUP($U1018,'[2]AP Dynamic'!$Q$1:$T$542,4,FALSE)</f>
        <v>0</v>
      </c>
      <c r="Y1018" s="77">
        <f t="shared" si="3458"/>
        <v>1</v>
      </c>
      <c r="Z1018" s="77">
        <f t="shared" si="3464"/>
        <v>5.4193095770676679E-2</v>
      </c>
      <c r="AA1018" s="77">
        <f t="shared" si="3465"/>
        <v>4.4076549417817468E-3</v>
      </c>
      <c r="AB1018" s="79">
        <v>1</v>
      </c>
      <c r="AC1018" s="77">
        <f t="shared" si="3403"/>
        <v>6.9283383458646616E-3</v>
      </c>
      <c r="AD1018" s="77">
        <f t="shared" ref="AD1018" si="3508">1-(1-AC1018)^(1/12)</f>
        <v>5.7920309034031892E-4</v>
      </c>
      <c r="AE1018" s="77">
        <f t="shared" si="3405"/>
        <v>2.5000000000000001E-3</v>
      </c>
      <c r="AF1018" s="77">
        <f t="shared" ref="AF1018" si="3509">1-(1-AE1018)^(1/12)</f>
        <v>2.0857243058891584E-4</v>
      </c>
      <c r="AH1018" t="s">
        <v>175</v>
      </c>
      <c r="AI1018" t="s">
        <v>179</v>
      </c>
      <c r="AJ1018" s="197" t="str">
        <f t="shared" si="3392"/>
        <v>Lifecycle_Dynamic_69</v>
      </c>
      <c r="AK1018">
        <v>69</v>
      </c>
      <c r="AL1018">
        <f>VLOOKUP($U1018,[2]Standard_Dynamic!$Q$1:$T$542,2,FALSE)</f>
        <v>0.20260169265074457</v>
      </c>
      <c r="AM1018">
        <f>VLOOKUP($U1018,[2]Standard_Dynamic!$Q$1:$T$542,3,FALSE)</f>
        <v>0.79739830734925543</v>
      </c>
      <c r="AN1018">
        <f>VLOOKUP($U1018,[2]Standard_Dynamic!$Q$1:$T$542,4,FALSE)</f>
        <v>0</v>
      </c>
      <c r="AO1018" s="77">
        <f t="shared" si="3393"/>
        <v>1</v>
      </c>
      <c r="AP1018" s="77">
        <f t="shared" si="3407"/>
        <v>5.4039537469938621E-2</v>
      </c>
      <c r="AQ1018" s="77">
        <f t="shared" si="3394"/>
        <v>4.3954619327806199E-3</v>
      </c>
      <c r="AR1018" s="79">
        <v>0</v>
      </c>
      <c r="AS1018" s="77">
        <f t="shared" si="3408"/>
        <v>0</v>
      </c>
      <c r="AT1018" s="77">
        <f t="shared" ref="AT1018" si="3510">1-(1-AS1018)^(1/12)</f>
        <v>0</v>
      </c>
      <c r="AU1018" s="77">
        <f t="shared" si="3410"/>
        <v>2.5000000000000001E-3</v>
      </c>
      <c r="AV1018" s="77">
        <f t="shared" ref="AV1018" si="3511">1-(1-AU1018)^(1/12)</f>
        <v>2.0857243058891584E-4</v>
      </c>
      <c r="AX1018" t="s">
        <v>178</v>
      </c>
      <c r="AY1018" t="s">
        <v>162</v>
      </c>
      <c r="AZ1018" s="197" t="str">
        <f t="shared" si="3490"/>
        <v>DIS_Standard_69</v>
      </c>
      <c r="BA1018">
        <v>69</v>
      </c>
      <c r="BB1018">
        <f>VLOOKUP($BA1018,'[2]Standard DIS'!$Q$1:$X$542,4,FALSE)</f>
        <v>0</v>
      </c>
      <c r="BF1018">
        <f>VLOOKUP($BA1018,'[2]Standard DIS'!$Q$1:$X$542,2,FALSE)</f>
        <v>0.20260169265074457</v>
      </c>
      <c r="BH1018">
        <f>VLOOKUP($BA1018,'[2]Standard DIS'!$Q$1:$X$542,3,FALSE)</f>
        <v>0.79739830734925543</v>
      </c>
      <c r="BI1018" s="77">
        <f t="shared" si="3397"/>
        <v>1</v>
      </c>
      <c r="BJ1018" s="77">
        <f t="shared" si="3398"/>
        <v>5.4039537469938621E-2</v>
      </c>
      <c r="BK1018" s="77">
        <f t="shared" si="3491"/>
        <v>4.3954619327806199E-3</v>
      </c>
      <c r="BL1018" s="79">
        <v>0</v>
      </c>
      <c r="BM1018" s="77">
        <f t="shared" si="3412"/>
        <v>0</v>
      </c>
      <c r="BN1018" s="77">
        <f t="shared" si="3413"/>
        <v>0</v>
      </c>
      <c r="BO1018" s="77">
        <f t="shared" si="3414"/>
        <v>2.5000000000000001E-3</v>
      </c>
      <c r="BP1018" s="77">
        <f t="shared" si="3415"/>
        <v>2.0809499864316017E-4</v>
      </c>
    </row>
    <row r="1019" spans="1:68">
      <c r="A1019" t="s">
        <v>175</v>
      </c>
      <c r="B1019" t="s">
        <v>179</v>
      </c>
      <c r="C1019" s="197" t="str">
        <f t="shared" si="3456"/>
        <v>Lifecycle_Dynamic_68</v>
      </c>
      <c r="D1019">
        <v>68</v>
      </c>
      <c r="E1019">
        <f>VLOOKUP($D1019,'[2]LC Dynamic'!$Q$2:$U$542,2,FALSE)</f>
        <v>0.12766666666666668</v>
      </c>
      <c r="F1019">
        <f>VLOOKUP($D1019,'[2]LC Dynamic'!$Q$2:$U$542,3,FALSE)</f>
        <v>0.37</v>
      </c>
      <c r="G1019">
        <f>VLOOKUP($D1019,'[2]LC Dynamic'!$Q$2:$U$542,4,FALSE)</f>
        <v>0.5023333333333333</v>
      </c>
      <c r="H1019">
        <f>VLOOKUP($D1019,'[2]LC Dynamic'!$Q$2:$U$542,5,FALSE)</f>
        <v>0</v>
      </c>
      <c r="I1019" s="77">
        <f t="shared" si="3388"/>
        <v>1</v>
      </c>
      <c r="J1019" s="77">
        <f t="shared" si="3389"/>
        <v>5.5251374999999991E-2</v>
      </c>
      <c r="K1019" s="77">
        <f t="shared" si="3463"/>
        <v>4.4916413738209648E-3</v>
      </c>
      <c r="L1019" s="76">
        <v>0</v>
      </c>
      <c r="M1019" s="77">
        <f t="shared" si="3399"/>
        <v>0</v>
      </c>
      <c r="N1019" s="77">
        <f t="shared" si="3400"/>
        <v>0</v>
      </c>
      <c r="O1019" s="77">
        <f t="shared" si="3401"/>
        <v>6.1061999999999991E-3</v>
      </c>
      <c r="P1019" s="77">
        <f t="shared" si="3402"/>
        <v>5.1027968632677556E-4</v>
      </c>
      <c r="R1019" t="s">
        <v>177</v>
      </c>
      <c r="S1019" t="s">
        <v>179</v>
      </c>
      <c r="T1019" s="197" t="str">
        <f t="shared" si="3457"/>
        <v>Autopilot_Dynamic_68</v>
      </c>
      <c r="U1019">
        <v>68</v>
      </c>
      <c r="V1019">
        <f>VLOOKUP($U1019,'[2]AP Dynamic'!$Q$1:$T$542,2,FALSE)</f>
        <v>0.2141691729323309</v>
      </c>
      <c r="W1019">
        <f>VLOOKUP($U1019,'[2]AP Dynamic'!$Q$1:$T$542,3,FALSE)</f>
        <v>0.78583082706766905</v>
      </c>
      <c r="X1019">
        <f>VLOOKUP($U1019,'[2]AP Dynamic'!$Q$1:$T$542,4,FALSE)</f>
        <v>0</v>
      </c>
      <c r="Y1019" s="77">
        <f t="shared" si="3458"/>
        <v>1</v>
      </c>
      <c r="Z1019" s="77">
        <f t="shared" si="3464"/>
        <v>5.4193095770676679E-2</v>
      </c>
      <c r="AA1019" s="77">
        <f t="shared" si="3465"/>
        <v>4.4076549417817468E-3</v>
      </c>
      <c r="AB1019" s="79">
        <v>1</v>
      </c>
      <c r="AC1019" s="77">
        <f t="shared" si="3403"/>
        <v>6.9283383458646616E-3</v>
      </c>
      <c r="AD1019" s="77">
        <f t="shared" ref="AD1019" si="3512">1-(1-AC1019)^(1/12)</f>
        <v>5.7920309034031892E-4</v>
      </c>
      <c r="AE1019" s="77">
        <f t="shared" si="3405"/>
        <v>2.5000000000000001E-3</v>
      </c>
      <c r="AF1019" s="77">
        <f t="shared" ref="AF1019" si="3513">1-(1-AE1019)^(1/12)</f>
        <v>2.0857243058891584E-4</v>
      </c>
      <c r="AH1019" t="s">
        <v>175</v>
      </c>
      <c r="AI1019" t="s">
        <v>179</v>
      </c>
      <c r="AJ1019" s="197" t="str">
        <f t="shared" si="3392"/>
        <v>Lifecycle_Dynamic_68</v>
      </c>
      <c r="AK1019">
        <v>68</v>
      </c>
      <c r="AL1019">
        <f>VLOOKUP($U1019,[2]Standard_Dynamic!$Q$1:$T$542,2,FALSE)</f>
        <v>0.19874586589021578</v>
      </c>
      <c r="AM1019">
        <f>VLOOKUP($U1019,[2]Standard_Dynamic!$Q$1:$T$542,3,FALSE)</f>
        <v>0.80125413410978419</v>
      </c>
      <c r="AN1019">
        <f>VLOOKUP($U1019,[2]Standard_Dynamic!$Q$1:$T$542,4,FALSE)</f>
        <v>0</v>
      </c>
      <c r="AO1019" s="77">
        <f t="shared" si="3393"/>
        <v>1</v>
      </c>
      <c r="AP1019" s="77">
        <f t="shared" si="3407"/>
        <v>5.39883513696926E-2</v>
      </c>
      <c r="AQ1019" s="77">
        <f t="shared" si="3394"/>
        <v>4.3913972345970276E-3</v>
      </c>
      <c r="AR1019" s="79">
        <v>0</v>
      </c>
      <c r="AS1019" s="77">
        <f t="shared" si="3408"/>
        <v>0</v>
      </c>
      <c r="AT1019" s="77">
        <f t="shared" ref="AT1019" si="3514">1-(1-AS1019)^(1/12)</f>
        <v>0</v>
      </c>
      <c r="AU1019" s="77">
        <f t="shared" si="3410"/>
        <v>2.5000000000000001E-3</v>
      </c>
      <c r="AV1019" s="77">
        <f t="shared" ref="AV1019" si="3515">1-(1-AU1019)^(1/12)</f>
        <v>2.0857243058891584E-4</v>
      </c>
      <c r="AX1019" t="s">
        <v>178</v>
      </c>
      <c r="AY1019" t="s">
        <v>162</v>
      </c>
      <c r="AZ1019" s="197" t="str">
        <f t="shared" si="3490"/>
        <v>DIS_Standard_68</v>
      </c>
      <c r="BA1019">
        <v>68</v>
      </c>
      <c r="BB1019">
        <f>VLOOKUP($BA1019,'[2]Standard DIS'!$Q$1:$X$542,4,FALSE)</f>
        <v>0</v>
      </c>
      <c r="BF1019">
        <f>VLOOKUP($BA1019,'[2]Standard DIS'!$Q$1:$X$542,2,FALSE)</f>
        <v>0.19874586589021578</v>
      </c>
      <c r="BH1019">
        <f>VLOOKUP($BA1019,'[2]Standard DIS'!$Q$1:$X$542,3,FALSE)</f>
        <v>0.80125413410978419</v>
      </c>
      <c r="BI1019" s="77">
        <f t="shared" si="3397"/>
        <v>1</v>
      </c>
      <c r="BJ1019" s="77">
        <f t="shared" si="3398"/>
        <v>5.39883513696926E-2</v>
      </c>
      <c r="BK1019" s="77">
        <f t="shared" si="3491"/>
        <v>4.3913972345970276E-3</v>
      </c>
      <c r="BL1019" s="79">
        <v>0</v>
      </c>
      <c r="BM1019" s="77">
        <f t="shared" si="3412"/>
        <v>0</v>
      </c>
      <c r="BN1019" s="77">
        <f t="shared" si="3413"/>
        <v>0</v>
      </c>
      <c r="BO1019" s="77">
        <f t="shared" si="3414"/>
        <v>2.5000000000000001E-3</v>
      </c>
      <c r="BP1019" s="77">
        <f t="shared" si="3415"/>
        <v>2.0809499864316017E-4</v>
      </c>
    </row>
    <row r="1020" spans="1:68">
      <c r="A1020" t="s">
        <v>175</v>
      </c>
      <c r="B1020" t="s">
        <v>179</v>
      </c>
      <c r="C1020" s="197" t="str">
        <f t="shared" si="3456"/>
        <v>Lifecycle_Dynamic_67</v>
      </c>
      <c r="D1020">
        <v>67</v>
      </c>
      <c r="E1020">
        <f>VLOOKUP($D1020,'[2]LC Dynamic'!$Q$2:$U$542,2,FALSE)</f>
        <v>0.13108333333333333</v>
      </c>
      <c r="F1020">
        <f>VLOOKUP($D1020,'[2]LC Dynamic'!$Q$2:$U$542,3,FALSE)</f>
        <v>0.36875000000000002</v>
      </c>
      <c r="G1020">
        <f>VLOOKUP($D1020,'[2]LC Dynamic'!$Q$2:$U$542,4,FALSE)</f>
        <v>0.50016666666666665</v>
      </c>
      <c r="H1020">
        <f>VLOOKUP($D1020,'[2]LC Dynamic'!$Q$2:$U$542,5,FALSE)</f>
        <v>0</v>
      </c>
      <c r="I1020" s="77">
        <f t="shared" si="3388"/>
        <v>1</v>
      </c>
      <c r="J1020" s="77">
        <f t="shared" si="3389"/>
        <v>5.5197906249999998E-2</v>
      </c>
      <c r="K1020" s="77">
        <f t="shared" si="3463"/>
        <v>4.4873998757708478E-3</v>
      </c>
      <c r="L1020" s="76">
        <v>0</v>
      </c>
      <c r="M1020" s="77">
        <f t="shared" si="3399"/>
        <v>0</v>
      </c>
      <c r="N1020" s="77">
        <f t="shared" si="3400"/>
        <v>0</v>
      </c>
      <c r="O1020" s="77">
        <f t="shared" si="3401"/>
        <v>6.0914249999999993E-3</v>
      </c>
      <c r="P1020" s="77">
        <f t="shared" si="3402"/>
        <v>5.0904151245612095E-4</v>
      </c>
      <c r="R1020" t="s">
        <v>177</v>
      </c>
      <c r="S1020" t="s">
        <v>179</v>
      </c>
      <c r="T1020" s="197" t="str">
        <f t="shared" si="3457"/>
        <v>Autopilot_Dynamic_67</v>
      </c>
      <c r="U1020">
        <v>67</v>
      </c>
      <c r="V1020">
        <f>VLOOKUP($U1020,'[2]AP Dynamic'!$Q$1:$T$542,2,FALSE)</f>
        <v>0.2141691729323309</v>
      </c>
      <c r="W1020">
        <f>VLOOKUP($U1020,'[2]AP Dynamic'!$Q$1:$T$542,3,FALSE)</f>
        <v>0.78583082706766905</v>
      </c>
      <c r="X1020">
        <f>VLOOKUP($U1020,'[2]AP Dynamic'!$Q$1:$T$542,4,FALSE)</f>
        <v>0</v>
      </c>
      <c r="Y1020" s="77">
        <f t="shared" si="3458"/>
        <v>1</v>
      </c>
      <c r="Z1020" s="77">
        <f t="shared" si="3464"/>
        <v>5.4193095770676679E-2</v>
      </c>
      <c r="AA1020" s="77">
        <f t="shared" si="3465"/>
        <v>4.4076549417817468E-3</v>
      </c>
      <c r="AB1020" s="79">
        <v>1</v>
      </c>
      <c r="AC1020" s="77">
        <f t="shared" si="3403"/>
        <v>6.9283383458646616E-3</v>
      </c>
      <c r="AD1020" s="77">
        <f t="shared" ref="AD1020" si="3516">1-(1-AC1020)^(1/12)</f>
        <v>5.7920309034031892E-4</v>
      </c>
      <c r="AE1020" s="77">
        <f t="shared" si="3405"/>
        <v>2.5000000000000001E-3</v>
      </c>
      <c r="AF1020" s="77">
        <f t="shared" ref="AF1020" si="3517">1-(1-AE1020)^(1/12)</f>
        <v>2.0857243058891584E-4</v>
      </c>
      <c r="AH1020" t="s">
        <v>175</v>
      </c>
      <c r="AI1020" t="s">
        <v>179</v>
      </c>
      <c r="AJ1020" s="197" t="str">
        <f t="shared" si="3392"/>
        <v>Lifecycle_Dynamic_67</v>
      </c>
      <c r="AK1020">
        <v>67</v>
      </c>
      <c r="AL1020">
        <f>VLOOKUP($U1020,[2]Standard_Dynamic!$Q$1:$T$542,2,FALSE)</f>
        <v>0.194890039129687</v>
      </c>
      <c r="AM1020">
        <f>VLOOKUP($U1020,[2]Standard_Dynamic!$Q$1:$T$542,3,FALSE)</f>
        <v>0.80510996087031295</v>
      </c>
      <c r="AN1020">
        <f>VLOOKUP($U1020,[2]Standard_Dynamic!$Q$1:$T$542,4,FALSE)</f>
        <v>0</v>
      </c>
      <c r="AO1020" s="77">
        <f t="shared" si="3393"/>
        <v>1</v>
      </c>
      <c r="AP1020" s="77">
        <f t="shared" si="3407"/>
        <v>5.3937165269446585E-2</v>
      </c>
      <c r="AQ1020" s="77">
        <f t="shared" si="3394"/>
        <v>4.3873323554606269E-3</v>
      </c>
      <c r="AR1020" s="79">
        <v>0</v>
      </c>
      <c r="AS1020" s="77">
        <f t="shared" si="3408"/>
        <v>0</v>
      </c>
      <c r="AT1020" s="77">
        <f t="shared" ref="AT1020" si="3518">1-(1-AS1020)^(1/12)</f>
        <v>0</v>
      </c>
      <c r="AU1020" s="77">
        <f t="shared" si="3410"/>
        <v>2.5000000000000001E-3</v>
      </c>
      <c r="AV1020" s="77">
        <f t="shared" ref="AV1020" si="3519">1-(1-AU1020)^(1/12)</f>
        <v>2.0857243058891584E-4</v>
      </c>
      <c r="AX1020" t="s">
        <v>178</v>
      </c>
      <c r="AY1020" t="s">
        <v>162</v>
      </c>
      <c r="AZ1020" s="197" t="str">
        <f t="shared" si="3490"/>
        <v>DIS_Standard_67</v>
      </c>
      <c r="BA1020">
        <v>67</v>
      </c>
      <c r="BB1020">
        <f>VLOOKUP($BA1020,'[2]Standard DIS'!$Q$1:$X$542,4,FALSE)</f>
        <v>0</v>
      </c>
      <c r="BF1020">
        <f>VLOOKUP($BA1020,'[2]Standard DIS'!$Q$1:$X$542,2,FALSE)</f>
        <v>0.194890039129687</v>
      </c>
      <c r="BH1020">
        <f>VLOOKUP($BA1020,'[2]Standard DIS'!$Q$1:$X$542,3,FALSE)</f>
        <v>0.80510996087031295</v>
      </c>
      <c r="BI1020" s="77">
        <f t="shared" si="3397"/>
        <v>1</v>
      </c>
      <c r="BJ1020" s="77">
        <f t="shared" si="3398"/>
        <v>5.3937165269446585E-2</v>
      </c>
      <c r="BK1020" s="77">
        <f t="shared" si="3491"/>
        <v>4.3873323554606269E-3</v>
      </c>
      <c r="BL1020" s="79">
        <v>0</v>
      </c>
      <c r="BM1020" s="77">
        <f t="shared" si="3412"/>
        <v>0</v>
      </c>
      <c r="BN1020" s="77">
        <f t="shared" si="3413"/>
        <v>0</v>
      </c>
      <c r="BO1020" s="77">
        <f t="shared" si="3414"/>
        <v>2.5000000000000001E-3</v>
      </c>
      <c r="BP1020" s="77">
        <f t="shared" si="3415"/>
        <v>2.0809499864316017E-4</v>
      </c>
    </row>
    <row r="1021" spans="1:68">
      <c r="A1021" t="s">
        <v>175</v>
      </c>
      <c r="B1021" t="s">
        <v>179</v>
      </c>
      <c r="C1021" s="197" t="str">
        <f t="shared" si="3456"/>
        <v>Lifecycle_Dynamic_66</v>
      </c>
      <c r="D1021">
        <v>66</v>
      </c>
      <c r="E1021">
        <f>VLOOKUP($D1021,'[2]LC Dynamic'!$Q$2:$U$542,2,FALSE)</f>
        <v>0.13450000000000001</v>
      </c>
      <c r="F1021">
        <f>VLOOKUP($D1021,'[2]LC Dynamic'!$Q$2:$U$542,3,FALSE)</f>
        <v>0.36749999999999999</v>
      </c>
      <c r="G1021">
        <f>VLOOKUP($D1021,'[2]LC Dynamic'!$Q$2:$U$542,4,FALSE)</f>
        <v>0.498</v>
      </c>
      <c r="H1021">
        <f>VLOOKUP($D1021,'[2]LC Dynamic'!$Q$2:$U$542,5,FALSE)</f>
        <v>0</v>
      </c>
      <c r="I1021" s="77">
        <f t="shared" si="3388"/>
        <v>1</v>
      </c>
      <c r="J1021" s="77">
        <f t="shared" si="3389"/>
        <v>5.5144437499999997E-2</v>
      </c>
      <c r="K1021" s="77">
        <f t="shared" si="3463"/>
        <v>4.4831581807023291E-3</v>
      </c>
      <c r="L1021" s="76">
        <v>0</v>
      </c>
      <c r="M1021" s="77">
        <f t="shared" si="3399"/>
        <v>0</v>
      </c>
      <c r="N1021" s="77">
        <f t="shared" si="3400"/>
        <v>0</v>
      </c>
      <c r="O1021" s="77">
        <f t="shared" si="3401"/>
        <v>6.0766499999999994E-3</v>
      </c>
      <c r="P1021" s="77">
        <f t="shared" si="3402"/>
        <v>5.0780335545752564E-4</v>
      </c>
      <c r="R1021" t="s">
        <v>177</v>
      </c>
      <c r="S1021" t="s">
        <v>179</v>
      </c>
      <c r="T1021" s="197" t="str">
        <f t="shared" si="3457"/>
        <v>Autopilot_Dynamic_66</v>
      </c>
      <c r="U1021">
        <v>66</v>
      </c>
      <c r="V1021">
        <f>VLOOKUP($U1021,'[2]AP Dynamic'!$Q$1:$T$542,2,FALSE)</f>
        <v>0.2141691729323309</v>
      </c>
      <c r="W1021">
        <f>VLOOKUP($U1021,'[2]AP Dynamic'!$Q$1:$T$542,3,FALSE)</f>
        <v>0.78583082706766905</v>
      </c>
      <c r="X1021">
        <f>VLOOKUP($U1021,'[2]AP Dynamic'!$Q$1:$T$542,4,FALSE)</f>
        <v>0</v>
      </c>
      <c r="Y1021" s="77">
        <f t="shared" si="3458"/>
        <v>1</v>
      </c>
      <c r="Z1021" s="77">
        <f t="shared" si="3464"/>
        <v>5.4193095770676679E-2</v>
      </c>
      <c r="AA1021" s="77">
        <f t="shared" si="3465"/>
        <v>4.4076549417817468E-3</v>
      </c>
      <c r="AB1021" s="79">
        <v>1</v>
      </c>
      <c r="AC1021" s="77">
        <f t="shared" si="3403"/>
        <v>6.9283383458646616E-3</v>
      </c>
      <c r="AD1021" s="77">
        <f t="shared" ref="AD1021" si="3520">1-(1-AC1021)^(1/12)</f>
        <v>5.7920309034031892E-4</v>
      </c>
      <c r="AE1021" s="77">
        <f t="shared" si="3405"/>
        <v>2.5000000000000001E-3</v>
      </c>
      <c r="AF1021" s="77">
        <f t="shared" ref="AF1021" si="3521">1-(1-AE1021)^(1/12)</f>
        <v>2.0857243058891584E-4</v>
      </c>
      <c r="AH1021" t="s">
        <v>175</v>
      </c>
      <c r="AI1021" t="s">
        <v>179</v>
      </c>
      <c r="AJ1021" s="197" t="str">
        <f t="shared" si="3392"/>
        <v>Lifecycle_Dynamic_66</v>
      </c>
      <c r="AK1021">
        <v>66</v>
      </c>
      <c r="AL1021">
        <f>VLOOKUP($U1021,[2]Standard_Dynamic!$Q$1:$T$542,2,FALSE)</f>
        <v>0.19103421236915824</v>
      </c>
      <c r="AM1021">
        <f>VLOOKUP($U1021,[2]Standard_Dynamic!$Q$1:$T$542,3,FALSE)</f>
        <v>0.80896578763084181</v>
      </c>
      <c r="AN1021">
        <f>VLOOKUP($U1021,[2]Standard_Dynamic!$Q$1:$T$542,4,FALSE)</f>
        <v>0</v>
      </c>
      <c r="AO1021" s="77">
        <f t="shared" si="3393"/>
        <v>1</v>
      </c>
      <c r="AP1021" s="77">
        <f t="shared" si="3407"/>
        <v>5.3885979169200571E-2</v>
      </c>
      <c r="AQ1021" s="77">
        <f t="shared" si="3394"/>
        <v>4.3832672953543206E-3</v>
      </c>
      <c r="AR1021" s="79">
        <v>0</v>
      </c>
      <c r="AS1021" s="77">
        <f t="shared" si="3408"/>
        <v>0</v>
      </c>
      <c r="AT1021" s="77">
        <f t="shared" ref="AT1021" si="3522">1-(1-AS1021)^(1/12)</f>
        <v>0</v>
      </c>
      <c r="AU1021" s="77">
        <f t="shared" si="3410"/>
        <v>2.5000000000000001E-3</v>
      </c>
      <c r="AV1021" s="77">
        <f t="shared" ref="AV1021" si="3523">1-(1-AU1021)^(1/12)</f>
        <v>2.0857243058891584E-4</v>
      </c>
      <c r="AX1021" t="s">
        <v>178</v>
      </c>
      <c r="AY1021" t="s">
        <v>162</v>
      </c>
      <c r="AZ1021" s="197" t="str">
        <f t="shared" si="3490"/>
        <v>DIS_Standard_66</v>
      </c>
      <c r="BA1021">
        <v>66</v>
      </c>
      <c r="BB1021">
        <f>VLOOKUP($BA1021,'[2]Standard DIS'!$Q$1:$X$542,4,FALSE)</f>
        <v>0</v>
      </c>
      <c r="BF1021">
        <f>VLOOKUP($BA1021,'[2]Standard DIS'!$Q$1:$X$542,2,FALSE)</f>
        <v>0.19103421236915824</v>
      </c>
      <c r="BH1021">
        <f>VLOOKUP($BA1021,'[2]Standard DIS'!$Q$1:$X$542,3,FALSE)</f>
        <v>0.80896578763084181</v>
      </c>
      <c r="BI1021" s="77">
        <f t="shared" si="3397"/>
        <v>1</v>
      </c>
      <c r="BJ1021" s="77">
        <f t="shared" si="3398"/>
        <v>5.3885979169200571E-2</v>
      </c>
      <c r="BK1021" s="77">
        <f t="shared" si="3491"/>
        <v>4.3832672953543206E-3</v>
      </c>
      <c r="BL1021" s="79">
        <v>0</v>
      </c>
      <c r="BM1021" s="77">
        <f t="shared" si="3412"/>
        <v>0</v>
      </c>
      <c r="BN1021" s="77">
        <f t="shared" si="3413"/>
        <v>0</v>
      </c>
      <c r="BO1021" s="77">
        <f t="shared" si="3414"/>
        <v>2.5000000000000001E-3</v>
      </c>
      <c r="BP1021" s="77">
        <f t="shared" si="3415"/>
        <v>2.0809499864316017E-4</v>
      </c>
    </row>
    <row r="1022" spans="1:68">
      <c r="A1022" t="s">
        <v>175</v>
      </c>
      <c r="B1022" t="s">
        <v>179</v>
      </c>
      <c r="C1022" s="197" t="str">
        <f t="shared" si="3456"/>
        <v>Lifecycle_Dynamic_65</v>
      </c>
      <c r="D1022">
        <v>65</v>
      </c>
      <c r="E1022">
        <f>VLOOKUP($D1022,'[2]LC Dynamic'!$Q$2:$U$542,2,FALSE)</f>
        <v>0.13791666666666666</v>
      </c>
      <c r="F1022">
        <f>VLOOKUP($D1022,'[2]LC Dynamic'!$Q$2:$U$542,3,FALSE)</f>
        <v>0.36624999999999996</v>
      </c>
      <c r="G1022">
        <f>VLOOKUP($D1022,'[2]LC Dynamic'!$Q$2:$U$542,4,FALSE)</f>
        <v>0.49583333333333335</v>
      </c>
      <c r="H1022">
        <f>VLOOKUP($D1022,'[2]LC Dynamic'!$Q$2:$U$542,5,FALSE)</f>
        <v>0</v>
      </c>
      <c r="I1022" s="77">
        <f t="shared" si="3388"/>
        <v>1</v>
      </c>
      <c r="J1022" s="77">
        <f t="shared" si="3389"/>
        <v>5.509096874999999E-2</v>
      </c>
      <c r="K1022" s="77">
        <f t="shared" si="3463"/>
        <v>4.4789162885960909E-3</v>
      </c>
      <c r="L1022" s="76">
        <v>0</v>
      </c>
      <c r="M1022" s="77">
        <f t="shared" si="3399"/>
        <v>0</v>
      </c>
      <c r="N1022" s="77">
        <f t="shared" si="3400"/>
        <v>0</v>
      </c>
      <c r="O1022" s="77">
        <f t="shared" si="3401"/>
        <v>6.0618749999999996E-3</v>
      </c>
      <c r="P1022" s="77">
        <f t="shared" si="3402"/>
        <v>5.0656521533076759E-4</v>
      </c>
      <c r="R1022" t="s">
        <v>177</v>
      </c>
      <c r="S1022" t="s">
        <v>179</v>
      </c>
      <c r="T1022" s="197" t="str">
        <f t="shared" si="3457"/>
        <v>Autopilot_Dynamic_65</v>
      </c>
      <c r="U1022">
        <v>65</v>
      </c>
      <c r="V1022">
        <f>VLOOKUP($U1022,'[2]AP Dynamic'!$Q$1:$T$542,2,FALSE)</f>
        <v>0.2141691729323309</v>
      </c>
      <c r="W1022">
        <f>VLOOKUP($U1022,'[2]AP Dynamic'!$Q$1:$T$542,3,FALSE)</f>
        <v>0.78583082706766905</v>
      </c>
      <c r="X1022">
        <f>VLOOKUP($U1022,'[2]AP Dynamic'!$Q$1:$T$542,4,FALSE)</f>
        <v>0</v>
      </c>
      <c r="Y1022" s="77">
        <f t="shared" si="3458"/>
        <v>1</v>
      </c>
      <c r="Z1022" s="77">
        <f t="shared" si="3464"/>
        <v>5.4193095770676679E-2</v>
      </c>
      <c r="AA1022" s="77">
        <f t="shared" si="3465"/>
        <v>4.4076549417817468E-3</v>
      </c>
      <c r="AB1022" s="79">
        <v>1</v>
      </c>
      <c r="AC1022" s="77">
        <f t="shared" si="3403"/>
        <v>6.9283383458646616E-3</v>
      </c>
      <c r="AD1022" s="77">
        <f t="shared" ref="AD1022" si="3524">1-(1-AC1022)^(1/12)</f>
        <v>5.7920309034031892E-4</v>
      </c>
      <c r="AE1022" s="77">
        <f t="shared" si="3405"/>
        <v>2.5000000000000001E-3</v>
      </c>
      <c r="AF1022" s="77">
        <f t="shared" ref="AF1022" si="3525">1-(1-AE1022)^(1/12)</f>
        <v>2.0857243058891584E-4</v>
      </c>
      <c r="AH1022" t="s">
        <v>175</v>
      </c>
      <c r="AI1022" t="s">
        <v>179</v>
      </c>
      <c r="AJ1022" s="197" t="str">
        <f t="shared" si="3392"/>
        <v>Lifecycle_Dynamic_65</v>
      </c>
      <c r="AK1022">
        <v>65</v>
      </c>
      <c r="AL1022">
        <f>VLOOKUP($U1022,[2]Standard_Dynamic!$Q$1:$T$542,2,FALSE)</f>
        <v>0.18717838560862946</v>
      </c>
      <c r="AM1022">
        <f>VLOOKUP($U1022,[2]Standard_Dynamic!$Q$1:$T$542,3,FALSE)</f>
        <v>0.81282161439137057</v>
      </c>
      <c r="AN1022">
        <f>VLOOKUP($U1022,[2]Standard_Dynamic!$Q$1:$T$542,4,FALSE)</f>
        <v>0</v>
      </c>
      <c r="AO1022" s="77">
        <f t="shared" si="3393"/>
        <v>1</v>
      </c>
      <c r="AP1022" s="77">
        <f t="shared" si="3407"/>
        <v>5.3834793068954549E-2</v>
      </c>
      <c r="AQ1022" s="77">
        <f t="shared" si="3394"/>
        <v>4.3792020542614551E-3</v>
      </c>
      <c r="AR1022" s="79">
        <v>0</v>
      </c>
      <c r="AS1022" s="77">
        <f t="shared" si="3408"/>
        <v>0</v>
      </c>
      <c r="AT1022" s="77">
        <f t="shared" ref="AT1022" si="3526">1-(1-AS1022)^(1/12)</f>
        <v>0</v>
      </c>
      <c r="AU1022" s="77">
        <f t="shared" si="3410"/>
        <v>2.5000000000000001E-3</v>
      </c>
      <c r="AV1022" s="77">
        <f t="shared" ref="AV1022" si="3527">1-(1-AU1022)^(1/12)</f>
        <v>2.0857243058891584E-4</v>
      </c>
      <c r="AX1022" t="s">
        <v>178</v>
      </c>
      <c r="AY1022" t="s">
        <v>162</v>
      </c>
      <c r="AZ1022" s="197" t="str">
        <f t="shared" si="3490"/>
        <v>DIS_Standard_65</v>
      </c>
      <c r="BA1022">
        <v>65</v>
      </c>
      <c r="BB1022">
        <f>VLOOKUP($BA1022,'[2]Standard DIS'!$Q$1:$X$542,4,FALSE)</f>
        <v>0</v>
      </c>
      <c r="BF1022">
        <f>VLOOKUP($BA1022,'[2]Standard DIS'!$Q$1:$X$542,2,FALSE)</f>
        <v>0.18717838560862946</v>
      </c>
      <c r="BH1022">
        <f>VLOOKUP($BA1022,'[2]Standard DIS'!$Q$1:$X$542,3,FALSE)</f>
        <v>0.81282161439137057</v>
      </c>
      <c r="BI1022" s="77">
        <f t="shared" si="3397"/>
        <v>1</v>
      </c>
      <c r="BJ1022" s="77">
        <f t="shared" si="3398"/>
        <v>5.3834793068954549E-2</v>
      </c>
      <c r="BK1022" s="77">
        <f t="shared" si="3491"/>
        <v>4.3792020542614551E-3</v>
      </c>
      <c r="BL1022" s="79">
        <v>0</v>
      </c>
      <c r="BM1022" s="77">
        <f t="shared" si="3412"/>
        <v>0</v>
      </c>
      <c r="BN1022" s="77">
        <f t="shared" si="3413"/>
        <v>0</v>
      </c>
      <c r="BO1022" s="77">
        <f t="shared" si="3414"/>
        <v>2.5000000000000001E-3</v>
      </c>
      <c r="BP1022" s="77">
        <f t="shared" si="3415"/>
        <v>2.0809499864316017E-4</v>
      </c>
    </row>
    <row r="1023" spans="1:68">
      <c r="A1023" t="s">
        <v>175</v>
      </c>
      <c r="B1023" t="s">
        <v>179</v>
      </c>
      <c r="C1023" s="197" t="str">
        <f t="shared" si="3456"/>
        <v>Lifecycle_Dynamic_64</v>
      </c>
      <c r="D1023">
        <v>64</v>
      </c>
      <c r="E1023">
        <f>VLOOKUP($D1023,'[2]LC Dynamic'!$Q$2:$U$542,2,FALSE)</f>
        <v>0.14133333333333334</v>
      </c>
      <c r="F1023">
        <f>VLOOKUP($D1023,'[2]LC Dynamic'!$Q$2:$U$542,3,FALSE)</f>
        <v>0.36499999999999999</v>
      </c>
      <c r="G1023">
        <f>VLOOKUP($D1023,'[2]LC Dynamic'!$Q$2:$U$542,4,FALSE)</f>
        <v>0.49366666666666664</v>
      </c>
      <c r="H1023">
        <f>VLOOKUP($D1023,'[2]LC Dynamic'!$Q$2:$U$542,5,FALSE)</f>
        <v>0</v>
      </c>
      <c r="I1023" s="77">
        <f t="shared" si="3388"/>
        <v>1</v>
      </c>
      <c r="J1023" s="77">
        <f t="shared" si="3389"/>
        <v>5.5037499999999996E-2</v>
      </c>
      <c r="K1023" s="77">
        <f t="shared" si="3463"/>
        <v>4.4746741994332595E-3</v>
      </c>
      <c r="L1023" s="76">
        <v>0</v>
      </c>
      <c r="M1023" s="77">
        <f t="shared" si="3399"/>
        <v>0</v>
      </c>
      <c r="N1023" s="77">
        <f t="shared" si="3400"/>
        <v>0</v>
      </c>
      <c r="O1023" s="77">
        <f t="shared" si="3401"/>
        <v>6.0470999999999997E-3</v>
      </c>
      <c r="P1023" s="77">
        <f t="shared" si="3402"/>
        <v>5.0532709207518067E-4</v>
      </c>
      <c r="R1023" t="s">
        <v>177</v>
      </c>
      <c r="S1023" t="s">
        <v>179</v>
      </c>
      <c r="T1023" s="197" t="str">
        <f t="shared" si="3457"/>
        <v>Autopilot_Dynamic_64</v>
      </c>
      <c r="U1023">
        <v>64</v>
      </c>
      <c r="V1023">
        <f>VLOOKUP($U1023,'[2]AP Dynamic'!$Q$1:$T$542,2,FALSE)</f>
        <v>0.2141691729323309</v>
      </c>
      <c r="W1023">
        <f>VLOOKUP($U1023,'[2]AP Dynamic'!$Q$1:$T$542,3,FALSE)</f>
        <v>0.78583082706766905</v>
      </c>
      <c r="X1023">
        <f>VLOOKUP($U1023,'[2]AP Dynamic'!$Q$1:$T$542,4,FALSE)</f>
        <v>0</v>
      </c>
      <c r="Y1023" s="77">
        <f t="shared" si="3458"/>
        <v>1</v>
      </c>
      <c r="Z1023" s="77">
        <f t="shared" si="3464"/>
        <v>5.4193095770676679E-2</v>
      </c>
      <c r="AA1023" s="77">
        <f t="shared" si="3465"/>
        <v>4.4076549417817468E-3</v>
      </c>
      <c r="AB1023" s="79">
        <v>1</v>
      </c>
      <c r="AC1023" s="77">
        <f t="shared" si="3403"/>
        <v>6.9283383458646616E-3</v>
      </c>
      <c r="AD1023" s="77">
        <f t="shared" ref="AD1023" si="3528">1-(1-AC1023)^(1/12)</f>
        <v>5.7920309034031892E-4</v>
      </c>
      <c r="AE1023" s="77">
        <f t="shared" si="3405"/>
        <v>2.5000000000000001E-3</v>
      </c>
      <c r="AF1023" s="77">
        <f t="shared" ref="AF1023" si="3529">1-(1-AE1023)^(1/12)</f>
        <v>2.0857243058891584E-4</v>
      </c>
      <c r="AH1023" t="s">
        <v>175</v>
      </c>
      <c r="AI1023" t="s">
        <v>179</v>
      </c>
      <c r="AJ1023" s="197" t="str">
        <f t="shared" si="3392"/>
        <v>Lifecycle_Dynamic_64</v>
      </c>
      <c r="AK1023">
        <v>64</v>
      </c>
      <c r="AL1023">
        <f>VLOOKUP($U1023,[2]Standard_Dynamic!$Q$1:$T$542,2,FALSE)</f>
        <v>0.18332255884810067</v>
      </c>
      <c r="AM1023">
        <f>VLOOKUP($U1023,[2]Standard_Dynamic!$Q$1:$T$542,3,FALSE)</f>
        <v>0.81667744115189933</v>
      </c>
      <c r="AN1023">
        <f>VLOOKUP($U1023,[2]Standard_Dynamic!$Q$1:$T$542,4,FALSE)</f>
        <v>0</v>
      </c>
      <c r="AO1023" s="77">
        <f t="shared" si="3393"/>
        <v>1</v>
      </c>
      <c r="AP1023" s="77">
        <f t="shared" si="3407"/>
        <v>5.3783606968708528E-2</v>
      </c>
      <c r="AQ1023" s="77">
        <f t="shared" si="3394"/>
        <v>4.3751366321651552E-3</v>
      </c>
      <c r="AR1023" s="79">
        <v>0</v>
      </c>
      <c r="AS1023" s="77">
        <f t="shared" si="3408"/>
        <v>0</v>
      </c>
      <c r="AT1023" s="77">
        <f t="shared" ref="AT1023" si="3530">1-(1-AS1023)^(1/12)</f>
        <v>0</v>
      </c>
      <c r="AU1023" s="77">
        <f t="shared" si="3410"/>
        <v>2.5000000000000001E-3</v>
      </c>
      <c r="AV1023" s="77">
        <f t="shared" ref="AV1023" si="3531">1-(1-AU1023)^(1/12)</f>
        <v>2.0857243058891584E-4</v>
      </c>
      <c r="AX1023" t="s">
        <v>178</v>
      </c>
      <c r="AY1023" t="s">
        <v>162</v>
      </c>
      <c r="AZ1023" s="197" t="str">
        <f t="shared" si="3490"/>
        <v>DIS_Standard_64</v>
      </c>
      <c r="BA1023">
        <v>64</v>
      </c>
      <c r="BB1023">
        <f>VLOOKUP($BA1023,'[2]Standard DIS'!$Q$1:$X$542,4,FALSE)</f>
        <v>0</v>
      </c>
      <c r="BF1023">
        <f>VLOOKUP($BA1023,'[2]Standard DIS'!$Q$1:$X$542,2,FALSE)</f>
        <v>0.18332255884810067</v>
      </c>
      <c r="BH1023">
        <f>VLOOKUP($BA1023,'[2]Standard DIS'!$Q$1:$X$542,3,FALSE)</f>
        <v>0.81667744115189933</v>
      </c>
      <c r="BI1023" s="77">
        <f t="shared" si="3397"/>
        <v>1</v>
      </c>
      <c r="BJ1023" s="77">
        <f t="shared" si="3398"/>
        <v>5.3783606968708528E-2</v>
      </c>
      <c r="BK1023" s="77">
        <f t="shared" si="3491"/>
        <v>4.3751366321651552E-3</v>
      </c>
      <c r="BL1023" s="79">
        <v>0</v>
      </c>
      <c r="BM1023" s="77">
        <f t="shared" si="3412"/>
        <v>0</v>
      </c>
      <c r="BN1023" s="77">
        <f t="shared" si="3413"/>
        <v>0</v>
      </c>
      <c r="BO1023" s="77">
        <f t="shared" si="3414"/>
        <v>2.5000000000000001E-3</v>
      </c>
      <c r="BP1023" s="77">
        <f t="shared" si="3415"/>
        <v>2.0809499864316017E-4</v>
      </c>
    </row>
    <row r="1024" spans="1:68">
      <c r="A1024" t="s">
        <v>175</v>
      </c>
      <c r="B1024" t="s">
        <v>179</v>
      </c>
      <c r="C1024" s="197" t="str">
        <f t="shared" si="3456"/>
        <v>Lifecycle_Dynamic_63</v>
      </c>
      <c r="D1024">
        <v>63</v>
      </c>
      <c r="E1024">
        <f>VLOOKUP($D1024,'[2]LC Dynamic'!$Q$2:$U$542,2,FALSE)</f>
        <v>0.14474999999999999</v>
      </c>
      <c r="F1024">
        <f>VLOOKUP($D1024,'[2]LC Dynamic'!$Q$2:$U$542,3,FALSE)</f>
        <v>0.36375000000000002</v>
      </c>
      <c r="G1024">
        <f>VLOOKUP($D1024,'[2]LC Dynamic'!$Q$2:$U$542,4,FALSE)</f>
        <v>0.49149999999999999</v>
      </c>
      <c r="H1024">
        <f>VLOOKUP($D1024,'[2]LC Dynamic'!$Q$2:$U$542,5,FALSE)</f>
        <v>0</v>
      </c>
      <c r="I1024" s="77">
        <f t="shared" si="3388"/>
        <v>1</v>
      </c>
      <c r="J1024" s="77">
        <f t="shared" si="3389"/>
        <v>5.4984031249999996E-2</v>
      </c>
      <c r="K1024" s="77">
        <f t="shared" si="3463"/>
        <v>4.4704319131945169E-3</v>
      </c>
      <c r="L1024" s="76">
        <v>0</v>
      </c>
      <c r="M1024" s="77">
        <f t="shared" si="3399"/>
        <v>0</v>
      </c>
      <c r="N1024" s="77">
        <f t="shared" si="3400"/>
        <v>0</v>
      </c>
      <c r="O1024" s="77">
        <f t="shared" si="3401"/>
        <v>6.0323249999999998E-3</v>
      </c>
      <c r="P1024" s="77">
        <f t="shared" si="3402"/>
        <v>5.0408898569032079E-4</v>
      </c>
      <c r="R1024" t="s">
        <v>177</v>
      </c>
      <c r="S1024" t="s">
        <v>179</v>
      </c>
      <c r="T1024" s="197" t="str">
        <f t="shared" si="3457"/>
        <v>Autopilot_Dynamic_63</v>
      </c>
      <c r="U1024">
        <v>63</v>
      </c>
      <c r="V1024">
        <f>VLOOKUP($U1024,'[2]AP Dynamic'!$Q$1:$T$542,2,FALSE)</f>
        <v>0.2141691729323309</v>
      </c>
      <c r="W1024">
        <f>VLOOKUP($U1024,'[2]AP Dynamic'!$Q$1:$T$542,3,FALSE)</f>
        <v>0.78583082706766905</v>
      </c>
      <c r="X1024">
        <f>VLOOKUP($U1024,'[2]AP Dynamic'!$Q$1:$T$542,4,FALSE)</f>
        <v>0</v>
      </c>
      <c r="Y1024" s="77">
        <f t="shared" si="3458"/>
        <v>1</v>
      </c>
      <c r="Z1024" s="77">
        <f t="shared" si="3464"/>
        <v>5.4193095770676679E-2</v>
      </c>
      <c r="AA1024" s="77">
        <f t="shared" si="3465"/>
        <v>4.4076549417817468E-3</v>
      </c>
      <c r="AB1024" s="79">
        <v>1</v>
      </c>
      <c r="AC1024" s="77">
        <f t="shared" si="3403"/>
        <v>6.9283383458646616E-3</v>
      </c>
      <c r="AD1024" s="77">
        <f t="shared" ref="AD1024" si="3532">1-(1-AC1024)^(1/12)</f>
        <v>5.7920309034031892E-4</v>
      </c>
      <c r="AE1024" s="77">
        <f t="shared" si="3405"/>
        <v>2.5000000000000001E-3</v>
      </c>
      <c r="AF1024" s="77">
        <f t="shared" ref="AF1024" si="3533">1-(1-AE1024)^(1/12)</f>
        <v>2.0857243058891584E-4</v>
      </c>
      <c r="AH1024" t="s">
        <v>175</v>
      </c>
      <c r="AI1024" t="s">
        <v>179</v>
      </c>
      <c r="AJ1024" s="197" t="str">
        <f t="shared" si="3392"/>
        <v>Lifecycle_Dynamic_63</v>
      </c>
      <c r="AK1024">
        <v>63</v>
      </c>
      <c r="AL1024">
        <f>VLOOKUP($U1024,[2]Standard_Dynamic!$Q$1:$T$542,2,FALSE)</f>
        <v>0.17946673208757188</v>
      </c>
      <c r="AM1024">
        <f>VLOOKUP($U1024,[2]Standard_Dynamic!$Q$1:$T$542,3,FALSE)</f>
        <v>0.82053326791242809</v>
      </c>
      <c r="AN1024">
        <f>VLOOKUP($U1024,[2]Standard_Dynamic!$Q$1:$T$542,4,FALSE)</f>
        <v>0</v>
      </c>
      <c r="AO1024" s="77">
        <f t="shared" si="3393"/>
        <v>1</v>
      </c>
      <c r="AP1024" s="77">
        <f t="shared" si="3407"/>
        <v>5.3732420868462506E-2</v>
      </c>
      <c r="AQ1024" s="77">
        <f t="shared" si="3394"/>
        <v>4.3710710290485455E-3</v>
      </c>
      <c r="AR1024" s="79">
        <v>0</v>
      </c>
      <c r="AS1024" s="77">
        <f t="shared" si="3408"/>
        <v>0</v>
      </c>
      <c r="AT1024" s="77">
        <f t="shared" ref="AT1024" si="3534">1-(1-AS1024)^(1/12)</f>
        <v>0</v>
      </c>
      <c r="AU1024" s="77">
        <f t="shared" si="3410"/>
        <v>2.4999999999999996E-3</v>
      </c>
      <c r="AV1024" s="77">
        <f t="shared" ref="AV1024" si="3535">1-(1-AU1024)^(1/12)</f>
        <v>2.0857243058891584E-4</v>
      </c>
      <c r="AX1024" t="s">
        <v>178</v>
      </c>
      <c r="AY1024" t="s">
        <v>162</v>
      </c>
      <c r="AZ1024" s="197" t="str">
        <f t="shared" si="3490"/>
        <v>DIS_Standard_63</v>
      </c>
      <c r="BA1024">
        <v>63</v>
      </c>
      <c r="BB1024">
        <f>VLOOKUP($BA1024,'[2]Standard DIS'!$Q$1:$X$542,4,FALSE)</f>
        <v>0</v>
      </c>
      <c r="BF1024">
        <f>VLOOKUP($BA1024,'[2]Standard DIS'!$Q$1:$X$542,2,FALSE)</f>
        <v>0.17946673208757188</v>
      </c>
      <c r="BH1024">
        <f>VLOOKUP($BA1024,'[2]Standard DIS'!$Q$1:$X$542,3,FALSE)</f>
        <v>0.82053326791242809</v>
      </c>
      <c r="BI1024" s="77">
        <f t="shared" si="3397"/>
        <v>1</v>
      </c>
      <c r="BJ1024" s="77">
        <f t="shared" si="3398"/>
        <v>5.3732420868462506E-2</v>
      </c>
      <c r="BK1024" s="77">
        <f t="shared" si="3491"/>
        <v>4.3710710290485455E-3</v>
      </c>
      <c r="BL1024" s="79">
        <v>0</v>
      </c>
      <c r="BM1024" s="77">
        <f t="shared" si="3412"/>
        <v>0</v>
      </c>
      <c r="BN1024" s="77">
        <f t="shared" si="3413"/>
        <v>0</v>
      </c>
      <c r="BO1024" s="77">
        <f t="shared" si="3414"/>
        <v>2.4999999999999996E-3</v>
      </c>
      <c r="BP1024" s="77">
        <f t="shared" si="3415"/>
        <v>2.0809499864316017E-4</v>
      </c>
    </row>
    <row r="1025" spans="1:68">
      <c r="A1025" t="s">
        <v>175</v>
      </c>
      <c r="B1025" t="s">
        <v>179</v>
      </c>
      <c r="C1025" s="197" t="str">
        <f t="shared" si="3456"/>
        <v>Lifecycle_Dynamic_62</v>
      </c>
      <c r="D1025">
        <v>62</v>
      </c>
      <c r="E1025">
        <f>VLOOKUP($D1025,'[2]LC Dynamic'!$Q$2:$U$542,2,FALSE)</f>
        <v>0.14816666666666667</v>
      </c>
      <c r="F1025">
        <f>VLOOKUP($D1025,'[2]LC Dynamic'!$Q$2:$U$542,3,FALSE)</f>
        <v>0.36249999999999999</v>
      </c>
      <c r="G1025">
        <f>VLOOKUP($D1025,'[2]LC Dynamic'!$Q$2:$U$542,4,FALSE)</f>
        <v>0.48933333333333334</v>
      </c>
      <c r="H1025">
        <f>VLOOKUP($D1025,'[2]LC Dynamic'!$Q$2:$U$542,5,FALSE)</f>
        <v>0</v>
      </c>
      <c r="I1025" s="77">
        <f t="shared" si="3388"/>
        <v>1</v>
      </c>
      <c r="J1025" s="77">
        <f t="shared" si="3389"/>
        <v>5.4930562499999995E-2</v>
      </c>
      <c r="K1025" s="77">
        <f t="shared" si="3463"/>
        <v>4.4661894298607674E-3</v>
      </c>
      <c r="L1025" s="76">
        <v>0</v>
      </c>
      <c r="M1025" s="77">
        <f t="shared" si="3399"/>
        <v>0</v>
      </c>
      <c r="N1025" s="77">
        <f t="shared" si="3400"/>
        <v>0</v>
      </c>
      <c r="O1025" s="77">
        <f t="shared" si="3401"/>
        <v>6.01755E-3</v>
      </c>
      <c r="P1025" s="77">
        <f t="shared" si="3402"/>
        <v>5.0285089617574386E-4</v>
      </c>
      <c r="R1025" t="s">
        <v>177</v>
      </c>
      <c r="S1025" t="s">
        <v>179</v>
      </c>
      <c r="T1025" s="197" t="str">
        <f t="shared" si="3457"/>
        <v>Autopilot_Dynamic_62</v>
      </c>
      <c r="U1025">
        <v>62</v>
      </c>
      <c r="V1025">
        <f>VLOOKUP($U1025,'[2]AP Dynamic'!$Q$1:$T$542,2,FALSE)</f>
        <v>0.2141691729323309</v>
      </c>
      <c r="W1025">
        <f>VLOOKUP($U1025,'[2]AP Dynamic'!$Q$1:$T$542,3,FALSE)</f>
        <v>0.78583082706766905</v>
      </c>
      <c r="X1025">
        <f>VLOOKUP($U1025,'[2]AP Dynamic'!$Q$1:$T$542,4,FALSE)</f>
        <v>0</v>
      </c>
      <c r="Y1025" s="77">
        <f t="shared" si="3458"/>
        <v>1</v>
      </c>
      <c r="Z1025" s="77">
        <f t="shared" si="3464"/>
        <v>5.4193095770676679E-2</v>
      </c>
      <c r="AA1025" s="77">
        <f t="shared" si="3465"/>
        <v>4.4076549417817468E-3</v>
      </c>
      <c r="AB1025" s="79">
        <v>1</v>
      </c>
      <c r="AC1025" s="77">
        <f t="shared" si="3403"/>
        <v>6.9283383458646616E-3</v>
      </c>
      <c r="AD1025" s="77">
        <f t="shared" ref="AD1025" si="3536">1-(1-AC1025)^(1/12)</f>
        <v>5.7920309034031892E-4</v>
      </c>
      <c r="AE1025" s="77">
        <f t="shared" si="3405"/>
        <v>2.5000000000000001E-3</v>
      </c>
      <c r="AF1025" s="77">
        <f t="shared" ref="AF1025" si="3537">1-(1-AE1025)^(1/12)</f>
        <v>2.0857243058891584E-4</v>
      </c>
      <c r="AH1025" t="s">
        <v>175</v>
      </c>
      <c r="AI1025" t="s">
        <v>179</v>
      </c>
      <c r="AJ1025" s="197" t="str">
        <f t="shared" si="3392"/>
        <v>Lifecycle_Dynamic_62</v>
      </c>
      <c r="AK1025">
        <v>62</v>
      </c>
      <c r="AL1025">
        <f>VLOOKUP($U1025,[2]Standard_Dynamic!$Q$1:$T$542,2,FALSE)</f>
        <v>0.1756109053270431</v>
      </c>
      <c r="AM1025">
        <f>VLOOKUP($U1025,[2]Standard_Dynamic!$Q$1:$T$542,3,FALSE)</f>
        <v>0.82438909467295685</v>
      </c>
      <c r="AN1025">
        <f>VLOOKUP($U1025,[2]Standard_Dynamic!$Q$1:$T$542,4,FALSE)</f>
        <v>0</v>
      </c>
      <c r="AO1025" s="77">
        <f t="shared" si="3393"/>
        <v>1</v>
      </c>
      <c r="AP1025" s="77">
        <f t="shared" si="3407"/>
        <v>5.3681234768216485E-2</v>
      </c>
      <c r="AQ1025" s="77">
        <f t="shared" si="3394"/>
        <v>4.3670052448947505E-3</v>
      </c>
      <c r="AR1025" s="79">
        <v>0</v>
      </c>
      <c r="AS1025" s="77">
        <f t="shared" si="3408"/>
        <v>0</v>
      </c>
      <c r="AT1025" s="77">
        <f t="shared" ref="AT1025" si="3538">1-(1-AS1025)^(1/12)</f>
        <v>0</v>
      </c>
      <c r="AU1025" s="77">
        <f t="shared" si="3410"/>
        <v>2.4999999999999996E-3</v>
      </c>
      <c r="AV1025" s="77">
        <f t="shared" ref="AV1025" si="3539">1-(1-AU1025)^(1/12)</f>
        <v>2.0857243058891584E-4</v>
      </c>
      <c r="AX1025" t="s">
        <v>178</v>
      </c>
      <c r="AY1025" t="s">
        <v>162</v>
      </c>
      <c r="AZ1025" s="197" t="str">
        <f t="shared" si="3490"/>
        <v>DIS_Standard_62</v>
      </c>
      <c r="BA1025">
        <v>62</v>
      </c>
      <c r="BB1025">
        <f>VLOOKUP($BA1025,'[2]Standard DIS'!$Q$1:$X$542,4,FALSE)</f>
        <v>0</v>
      </c>
      <c r="BF1025">
        <f>VLOOKUP($BA1025,'[2]Standard DIS'!$Q$1:$X$542,2,FALSE)</f>
        <v>0.1756109053270431</v>
      </c>
      <c r="BH1025">
        <f>VLOOKUP($BA1025,'[2]Standard DIS'!$Q$1:$X$542,3,FALSE)</f>
        <v>0.82438909467295685</v>
      </c>
      <c r="BI1025" s="77">
        <f t="shared" si="3397"/>
        <v>1</v>
      </c>
      <c r="BJ1025" s="77">
        <f t="shared" si="3398"/>
        <v>5.3681234768216485E-2</v>
      </c>
      <c r="BK1025" s="77">
        <f t="shared" si="3491"/>
        <v>4.3670052448947505E-3</v>
      </c>
      <c r="BL1025" s="79">
        <v>0</v>
      </c>
      <c r="BM1025" s="77">
        <f t="shared" si="3412"/>
        <v>0</v>
      </c>
      <c r="BN1025" s="77">
        <f t="shared" si="3413"/>
        <v>0</v>
      </c>
      <c r="BO1025" s="77">
        <f t="shared" si="3414"/>
        <v>2.4999999999999996E-3</v>
      </c>
      <c r="BP1025" s="77">
        <f t="shared" si="3415"/>
        <v>2.0809499864316017E-4</v>
      </c>
    </row>
    <row r="1026" spans="1:68">
      <c r="A1026" t="s">
        <v>175</v>
      </c>
      <c r="B1026" t="s">
        <v>179</v>
      </c>
      <c r="C1026" s="197" t="str">
        <f t="shared" si="3456"/>
        <v>Lifecycle_Dynamic_61</v>
      </c>
      <c r="D1026">
        <v>61</v>
      </c>
      <c r="E1026">
        <f>VLOOKUP($D1026,'[2]LC Dynamic'!$Q$2:$U$542,2,FALSE)</f>
        <v>0.15158333333333332</v>
      </c>
      <c r="F1026">
        <f>VLOOKUP($D1026,'[2]LC Dynamic'!$Q$2:$U$542,3,FALSE)</f>
        <v>0.36124999999999996</v>
      </c>
      <c r="G1026">
        <f>VLOOKUP($D1026,'[2]LC Dynamic'!$Q$2:$U$542,4,FALSE)</f>
        <v>0.48716666666666664</v>
      </c>
      <c r="H1026">
        <f>VLOOKUP($D1026,'[2]LC Dynamic'!$Q$2:$U$542,5,FALSE)</f>
        <v>0</v>
      </c>
      <c r="I1026" s="77">
        <f t="shared" si="3388"/>
        <v>0.99999999999999989</v>
      </c>
      <c r="J1026" s="77">
        <f t="shared" si="3389"/>
        <v>5.4877093749999988E-2</v>
      </c>
      <c r="K1026" s="77">
        <f t="shared" si="3463"/>
        <v>4.461946749412915E-3</v>
      </c>
      <c r="L1026" s="76">
        <v>0</v>
      </c>
      <c r="M1026" s="77">
        <f t="shared" si="3399"/>
        <v>0</v>
      </c>
      <c r="N1026" s="77">
        <f t="shared" si="3400"/>
        <v>0</v>
      </c>
      <c r="O1026" s="77">
        <f t="shared" si="3401"/>
        <v>6.0027749999999993E-3</v>
      </c>
      <c r="P1026" s="77">
        <f t="shared" si="3402"/>
        <v>5.0161282353089476E-4</v>
      </c>
      <c r="R1026" t="s">
        <v>177</v>
      </c>
      <c r="S1026" t="s">
        <v>179</v>
      </c>
      <c r="T1026" s="197" t="str">
        <f t="shared" si="3457"/>
        <v>Autopilot_Dynamic_61</v>
      </c>
      <c r="U1026">
        <v>61</v>
      </c>
      <c r="V1026">
        <f>VLOOKUP($U1026,'[2]AP Dynamic'!$Q$1:$T$542,2,FALSE)</f>
        <v>0.2141691729323309</v>
      </c>
      <c r="W1026">
        <f>VLOOKUP($U1026,'[2]AP Dynamic'!$Q$1:$T$542,3,FALSE)</f>
        <v>0.78583082706766905</v>
      </c>
      <c r="X1026">
        <f>VLOOKUP($U1026,'[2]AP Dynamic'!$Q$1:$T$542,4,FALSE)</f>
        <v>0</v>
      </c>
      <c r="Y1026" s="77">
        <f t="shared" si="3458"/>
        <v>1</v>
      </c>
      <c r="Z1026" s="77">
        <f t="shared" si="3464"/>
        <v>5.4193095770676679E-2</v>
      </c>
      <c r="AA1026" s="77">
        <f t="shared" si="3465"/>
        <v>4.4076549417817468E-3</v>
      </c>
      <c r="AB1026" s="79">
        <v>1</v>
      </c>
      <c r="AC1026" s="77">
        <f t="shared" si="3403"/>
        <v>6.9283383458646616E-3</v>
      </c>
      <c r="AD1026" s="77">
        <f t="shared" ref="AD1026" si="3540">1-(1-AC1026)^(1/12)</f>
        <v>5.7920309034031892E-4</v>
      </c>
      <c r="AE1026" s="77">
        <f t="shared" si="3405"/>
        <v>2.5000000000000001E-3</v>
      </c>
      <c r="AF1026" s="77">
        <f t="shared" ref="AF1026" si="3541">1-(1-AE1026)^(1/12)</f>
        <v>2.0857243058891584E-4</v>
      </c>
      <c r="AH1026" t="s">
        <v>175</v>
      </c>
      <c r="AI1026" t="s">
        <v>179</v>
      </c>
      <c r="AJ1026" s="197" t="str">
        <f t="shared" si="3392"/>
        <v>Lifecycle_Dynamic_61</v>
      </c>
      <c r="AK1026">
        <v>61</v>
      </c>
      <c r="AL1026">
        <f>VLOOKUP($U1026,[2]Standard_Dynamic!$Q$1:$T$542,2,FALSE)</f>
        <v>0.17175507856651434</v>
      </c>
      <c r="AM1026">
        <f>VLOOKUP($U1026,[2]Standard_Dynamic!$Q$1:$T$542,3,FALSE)</f>
        <v>0.82824492143348571</v>
      </c>
      <c r="AN1026">
        <f>VLOOKUP($U1026,[2]Standard_Dynamic!$Q$1:$T$542,4,FALSE)</f>
        <v>0</v>
      </c>
      <c r="AO1026" s="77">
        <f t="shared" si="3393"/>
        <v>1</v>
      </c>
      <c r="AP1026" s="77">
        <f t="shared" si="3407"/>
        <v>5.363004866797047E-2</v>
      </c>
      <c r="AQ1026" s="77">
        <f t="shared" si="3394"/>
        <v>4.3629392796868949E-3</v>
      </c>
      <c r="AR1026" s="79">
        <v>0</v>
      </c>
      <c r="AS1026" s="77">
        <f t="shared" si="3408"/>
        <v>0</v>
      </c>
      <c r="AT1026" s="77">
        <f t="shared" ref="AT1026" si="3542">1-(1-AS1026)^(1/12)</f>
        <v>0</v>
      </c>
      <c r="AU1026" s="77">
        <f t="shared" si="3410"/>
        <v>2.5000000000000005E-3</v>
      </c>
      <c r="AV1026" s="77">
        <f t="shared" ref="AV1026" si="3543">1-(1-AU1026)^(1/12)</f>
        <v>2.0857243058891584E-4</v>
      </c>
      <c r="AX1026" t="s">
        <v>178</v>
      </c>
      <c r="AY1026" t="s">
        <v>162</v>
      </c>
      <c r="AZ1026" s="197" t="str">
        <f t="shared" si="3490"/>
        <v>DIS_Standard_61</v>
      </c>
      <c r="BA1026">
        <v>61</v>
      </c>
      <c r="BB1026">
        <f>VLOOKUP($BA1026,'[2]Standard DIS'!$Q$1:$X$542,4,FALSE)</f>
        <v>0</v>
      </c>
      <c r="BF1026">
        <f>VLOOKUP($BA1026,'[2]Standard DIS'!$Q$1:$X$542,2,FALSE)</f>
        <v>0.17175507856651434</v>
      </c>
      <c r="BH1026">
        <f>VLOOKUP($BA1026,'[2]Standard DIS'!$Q$1:$X$542,3,FALSE)</f>
        <v>0.82824492143348571</v>
      </c>
      <c r="BI1026" s="77">
        <f t="shared" si="3397"/>
        <v>1</v>
      </c>
      <c r="BJ1026" s="77">
        <f t="shared" si="3398"/>
        <v>5.363004866797047E-2</v>
      </c>
      <c r="BK1026" s="77">
        <f t="shared" si="3491"/>
        <v>4.3629392796868949E-3</v>
      </c>
      <c r="BL1026" s="79">
        <v>0</v>
      </c>
      <c r="BM1026" s="77">
        <f t="shared" si="3412"/>
        <v>0</v>
      </c>
      <c r="BN1026" s="77">
        <f t="shared" si="3413"/>
        <v>0</v>
      </c>
      <c r="BO1026" s="77">
        <f t="shared" si="3414"/>
        <v>2.5000000000000005E-3</v>
      </c>
      <c r="BP1026" s="77">
        <f t="shared" si="3415"/>
        <v>2.0809499864316017E-4</v>
      </c>
    </row>
    <row r="1027" spans="1:68">
      <c r="A1027" t="s">
        <v>175</v>
      </c>
      <c r="B1027" t="s">
        <v>179</v>
      </c>
      <c r="C1027" s="197" t="str">
        <f t="shared" si="3456"/>
        <v>Lifecycle_Dynamic_60</v>
      </c>
      <c r="D1027">
        <v>60</v>
      </c>
      <c r="E1027">
        <f>VLOOKUP($D1027,'[2]LC Dynamic'!$Q$2:$U$542,2,FALSE)</f>
        <v>0.155</v>
      </c>
      <c r="F1027">
        <f>VLOOKUP($D1027,'[2]LC Dynamic'!$Q$2:$U$542,3,FALSE)</f>
        <v>0.36</v>
      </c>
      <c r="G1027">
        <f>VLOOKUP($D1027,'[2]LC Dynamic'!$Q$2:$U$542,4,FALSE)</f>
        <v>0.48499999999999999</v>
      </c>
      <c r="H1027">
        <f>VLOOKUP($D1027,'[2]LC Dynamic'!$Q$2:$U$542,5,FALSE)</f>
        <v>0</v>
      </c>
      <c r="I1027" s="77">
        <f t="shared" si="3388"/>
        <v>1</v>
      </c>
      <c r="J1027" s="77">
        <f t="shared" si="3389"/>
        <v>5.4823624999999987E-2</v>
      </c>
      <c r="K1027" s="77">
        <f t="shared" si="3463"/>
        <v>4.457703871831642E-3</v>
      </c>
      <c r="L1027" s="76">
        <v>0</v>
      </c>
      <c r="M1027" s="77">
        <f t="shared" si="3399"/>
        <v>0</v>
      </c>
      <c r="N1027" s="77">
        <f t="shared" si="3400"/>
        <v>0</v>
      </c>
      <c r="O1027" s="77">
        <f t="shared" si="3401"/>
        <v>5.9880000000000003E-3</v>
      </c>
      <c r="P1027" s="77">
        <f t="shared" si="3402"/>
        <v>5.0037476775532941E-4</v>
      </c>
      <c r="R1027" t="s">
        <v>177</v>
      </c>
      <c r="S1027" t="s">
        <v>179</v>
      </c>
      <c r="T1027" s="197" t="str">
        <f t="shared" si="3457"/>
        <v>Autopilot_Dynamic_60</v>
      </c>
      <c r="U1027">
        <v>60</v>
      </c>
      <c r="V1027">
        <f>VLOOKUP($U1027,'[2]AP Dynamic'!$Q$1:$T$542,2,FALSE)</f>
        <v>0.16789925180598556</v>
      </c>
      <c r="W1027">
        <f>VLOOKUP($U1027,'[2]AP Dynamic'!$Q$1:$T$542,3,FALSE)</f>
        <v>0.83210074819401447</v>
      </c>
      <c r="X1027">
        <f>VLOOKUP($U1027,'[2]AP Dynamic'!$Q$1:$T$542,4,FALSE)</f>
        <v>0</v>
      </c>
      <c r="Y1027" s="77">
        <f t="shared" si="3458"/>
        <v>1</v>
      </c>
      <c r="Z1027" s="77">
        <f t="shared" si="3464"/>
        <v>5.3578862567724449E-2</v>
      </c>
      <c r="AA1027" s="77">
        <f t="shared" si="3465"/>
        <v>4.3588731334081032E-3</v>
      </c>
      <c r="AB1027" s="79">
        <v>1</v>
      </c>
      <c r="AC1027" s="77">
        <f t="shared" si="3403"/>
        <v>6.8357985036119704E-3</v>
      </c>
      <c r="AD1027" s="77">
        <f t="shared" ref="AD1027" si="3544">1-(1-AC1027)^(1/12)</f>
        <v>5.7144246434448487E-4</v>
      </c>
      <c r="AE1027" s="77">
        <f t="shared" si="3405"/>
        <v>2.5000000000000001E-3</v>
      </c>
      <c r="AF1027" s="77">
        <f t="shared" ref="AF1027" si="3545">1-(1-AE1027)^(1/12)</f>
        <v>2.0857243058891584E-4</v>
      </c>
      <c r="AH1027" t="s">
        <v>175</v>
      </c>
      <c r="AI1027" t="s">
        <v>179</v>
      </c>
      <c r="AJ1027" s="197" t="str">
        <f t="shared" si="3392"/>
        <v>Lifecycle_Dynamic_60</v>
      </c>
      <c r="AK1027">
        <v>60</v>
      </c>
      <c r="AL1027">
        <f>VLOOKUP($U1027,[2]Standard_Dynamic!$Q$1:$T$542,2,FALSE)</f>
        <v>0.16789925180598556</v>
      </c>
      <c r="AM1027">
        <f>VLOOKUP($U1027,[2]Standard_Dynamic!$Q$1:$T$542,3,FALSE)</f>
        <v>0.83210074819401447</v>
      </c>
      <c r="AN1027">
        <f>VLOOKUP($U1027,[2]Standard_Dynamic!$Q$1:$T$542,4,FALSE)</f>
        <v>0</v>
      </c>
      <c r="AO1027" s="77">
        <f t="shared" si="3393"/>
        <v>1</v>
      </c>
      <c r="AP1027" s="77">
        <f t="shared" si="3407"/>
        <v>5.3578862567724449E-2</v>
      </c>
      <c r="AQ1027" s="77">
        <f t="shared" si="3394"/>
        <v>4.3588731334081032E-3</v>
      </c>
      <c r="AR1027" s="79">
        <v>0</v>
      </c>
      <c r="AS1027" s="77">
        <f t="shared" si="3408"/>
        <v>0</v>
      </c>
      <c r="AT1027" s="77">
        <f t="shared" ref="AT1027" si="3546">1-(1-AS1027)^(1/12)</f>
        <v>0</v>
      </c>
      <c r="AU1027" s="77">
        <f t="shared" si="3410"/>
        <v>2.5000000000000001E-3</v>
      </c>
      <c r="AV1027" s="77">
        <f t="shared" ref="AV1027" si="3547">1-(1-AU1027)^(1/12)</f>
        <v>2.0857243058891584E-4</v>
      </c>
      <c r="AX1027" t="s">
        <v>178</v>
      </c>
      <c r="AY1027" t="s">
        <v>162</v>
      </c>
      <c r="AZ1027" s="197" t="str">
        <f t="shared" si="3490"/>
        <v>DIS_Standard_60</v>
      </c>
      <c r="BA1027">
        <v>60</v>
      </c>
      <c r="BB1027">
        <f>VLOOKUP($BA1027,'[2]Standard DIS'!$Q$1:$X$542,4,FALSE)</f>
        <v>0</v>
      </c>
      <c r="BF1027">
        <f>VLOOKUP($BA1027,'[2]Standard DIS'!$Q$1:$X$542,2,FALSE)</f>
        <v>0.16789925180598556</v>
      </c>
      <c r="BH1027">
        <f>VLOOKUP($BA1027,'[2]Standard DIS'!$Q$1:$X$542,3,FALSE)</f>
        <v>0.83210074819401447</v>
      </c>
      <c r="BI1027" s="77">
        <f t="shared" si="3397"/>
        <v>1</v>
      </c>
      <c r="BJ1027" s="77">
        <f t="shared" si="3398"/>
        <v>5.3578862567724449E-2</v>
      </c>
      <c r="BK1027" s="77">
        <f t="shared" si="3491"/>
        <v>4.3588731334081032E-3</v>
      </c>
      <c r="BL1027" s="79">
        <v>0</v>
      </c>
      <c r="BM1027" s="77">
        <f t="shared" si="3412"/>
        <v>0</v>
      </c>
      <c r="BN1027" s="77">
        <f t="shared" si="3413"/>
        <v>0</v>
      </c>
      <c r="BO1027" s="77">
        <f t="shared" si="3414"/>
        <v>2.5000000000000001E-3</v>
      </c>
      <c r="BP1027" s="77">
        <f t="shared" si="3415"/>
        <v>2.0809499864316017E-4</v>
      </c>
    </row>
    <row r="1028" spans="1:68">
      <c r="A1028" t="s">
        <v>175</v>
      </c>
      <c r="B1028" t="s">
        <v>179</v>
      </c>
      <c r="C1028" s="197" t="str">
        <f t="shared" si="3456"/>
        <v>Lifecycle_Dynamic_59</v>
      </c>
      <c r="D1028">
        <v>59</v>
      </c>
      <c r="E1028">
        <f>VLOOKUP($D1028,'[2]LC Dynamic'!$Q$2:$U$542,2,FALSE)</f>
        <v>0.15841666666666668</v>
      </c>
      <c r="F1028">
        <f>VLOOKUP($D1028,'[2]LC Dynamic'!$Q$2:$U$542,3,FALSE)</f>
        <v>0.35841666666666666</v>
      </c>
      <c r="G1028">
        <f>VLOOKUP($D1028,'[2]LC Dynamic'!$Q$2:$U$542,4,FALSE)</f>
        <v>0.48316666666666663</v>
      </c>
      <c r="H1028">
        <f>VLOOKUP($D1028,'[2]LC Dynamic'!$Q$2:$U$542,5,FALSE)</f>
        <v>0</v>
      </c>
      <c r="I1028" s="77">
        <f t="shared" si="3388"/>
        <v>1</v>
      </c>
      <c r="J1028" s="77">
        <f t="shared" si="3389"/>
        <v>5.4776056249999996E-2</v>
      </c>
      <c r="K1028" s="77">
        <f t="shared" si="3463"/>
        <v>4.4539290081255789E-3</v>
      </c>
      <c r="L1028" s="76">
        <v>0</v>
      </c>
      <c r="M1028" s="77">
        <f t="shared" si="3399"/>
        <v>0</v>
      </c>
      <c r="N1028" s="77">
        <f t="shared" si="3400"/>
        <v>0</v>
      </c>
      <c r="O1028" s="77">
        <f t="shared" si="3401"/>
        <v>5.9736583333333329E-3</v>
      </c>
      <c r="P1028" s="77">
        <f t="shared" si="3402"/>
        <v>4.9917303883029174E-4</v>
      </c>
      <c r="R1028" t="s">
        <v>177</v>
      </c>
      <c r="S1028" t="s">
        <v>179</v>
      </c>
      <c r="T1028" s="197" t="str">
        <f t="shared" si="3457"/>
        <v>Autopilot_Dynamic_59</v>
      </c>
      <c r="U1028">
        <v>59</v>
      </c>
      <c r="V1028">
        <f>VLOOKUP($U1028,'[2]AP Dynamic'!$Q$1:$T$542,2,FALSE)</f>
        <v>0.16789925180598556</v>
      </c>
      <c r="W1028">
        <f>VLOOKUP($U1028,'[2]AP Dynamic'!$Q$1:$T$542,3,FALSE)</f>
        <v>0.83210074819401447</v>
      </c>
      <c r="X1028">
        <f>VLOOKUP($U1028,'[2]AP Dynamic'!$Q$1:$T$542,4,FALSE)</f>
        <v>0</v>
      </c>
      <c r="Y1028" s="77">
        <f t="shared" si="3458"/>
        <v>1</v>
      </c>
      <c r="Z1028" s="77">
        <f t="shared" si="3464"/>
        <v>5.3578862567724449E-2</v>
      </c>
      <c r="AA1028" s="77">
        <f t="shared" si="3465"/>
        <v>4.3588731334081032E-3</v>
      </c>
      <c r="AB1028" s="79">
        <v>1</v>
      </c>
      <c r="AC1028" s="77">
        <f t="shared" si="3403"/>
        <v>6.8357985036119704E-3</v>
      </c>
      <c r="AD1028" s="77">
        <f t="shared" ref="AD1028" si="3548">1-(1-AC1028)^(1/12)</f>
        <v>5.7144246434448487E-4</v>
      </c>
      <c r="AE1028" s="77">
        <f t="shared" si="3405"/>
        <v>2.5000000000000001E-3</v>
      </c>
      <c r="AF1028" s="77">
        <f t="shared" ref="AF1028" si="3549">1-(1-AE1028)^(1/12)</f>
        <v>2.0857243058891584E-4</v>
      </c>
      <c r="AH1028" t="s">
        <v>175</v>
      </c>
      <c r="AI1028" t="s">
        <v>179</v>
      </c>
      <c r="AJ1028" s="197" t="str">
        <f t="shared" si="3392"/>
        <v>Lifecycle_Dynamic_59</v>
      </c>
      <c r="AK1028">
        <v>59</v>
      </c>
      <c r="AL1028">
        <f>VLOOKUP($U1028,[2]Standard_Dynamic!$Q$1:$T$542,2,FALSE)</f>
        <v>0.16446494268760134</v>
      </c>
      <c r="AM1028">
        <f>VLOOKUP($U1028,[2]Standard_Dynamic!$Q$1:$T$542,3,FALSE)</f>
        <v>0.83553505731239863</v>
      </c>
      <c r="AN1028">
        <f>VLOOKUP($U1028,[2]Standard_Dynamic!$Q$1:$T$542,4,FALSE)</f>
        <v>0</v>
      </c>
      <c r="AO1028" s="77">
        <f t="shared" si="3393"/>
        <v>1</v>
      </c>
      <c r="AP1028" s="77">
        <f t="shared" si="3407"/>
        <v>5.3533272114177896E-2</v>
      </c>
      <c r="AQ1028" s="77">
        <f t="shared" si="3394"/>
        <v>4.3552513443534391E-3</v>
      </c>
      <c r="AR1028" s="79">
        <v>0</v>
      </c>
      <c r="AS1028" s="77">
        <f t="shared" si="3408"/>
        <v>0</v>
      </c>
      <c r="AT1028" s="77">
        <f t="shared" ref="AT1028" si="3550">1-(1-AS1028)^(1/12)</f>
        <v>0</v>
      </c>
      <c r="AU1028" s="77">
        <f t="shared" si="3410"/>
        <v>2.5000000000000001E-3</v>
      </c>
      <c r="AV1028" s="77">
        <f t="shared" ref="AV1028" si="3551">1-(1-AU1028)^(1/12)</f>
        <v>2.0857243058891584E-4</v>
      </c>
      <c r="AX1028" t="s">
        <v>178</v>
      </c>
      <c r="AY1028" t="s">
        <v>162</v>
      </c>
      <c r="AZ1028" s="197" t="str">
        <f t="shared" si="3490"/>
        <v>DIS_Standard_59</v>
      </c>
      <c r="BA1028">
        <v>59</v>
      </c>
      <c r="BB1028">
        <f>VLOOKUP($BA1028,'[2]Standard DIS'!$Q$1:$X$542,4,FALSE)</f>
        <v>0</v>
      </c>
      <c r="BF1028">
        <f>VLOOKUP($BA1028,'[2]Standard DIS'!$Q$1:$X$542,2,FALSE)</f>
        <v>0.16446494268760134</v>
      </c>
      <c r="BH1028">
        <f>VLOOKUP($BA1028,'[2]Standard DIS'!$Q$1:$X$542,3,FALSE)</f>
        <v>0.83553505731239863</v>
      </c>
      <c r="BI1028" s="77">
        <f t="shared" si="3397"/>
        <v>1</v>
      </c>
      <c r="BJ1028" s="77">
        <f t="shared" si="3398"/>
        <v>5.3533272114177896E-2</v>
      </c>
      <c r="BK1028" s="77">
        <f t="shared" si="3491"/>
        <v>4.3552513443534391E-3</v>
      </c>
      <c r="BL1028" s="79">
        <v>0</v>
      </c>
      <c r="BM1028" s="77">
        <f t="shared" si="3412"/>
        <v>0</v>
      </c>
      <c r="BN1028" s="77">
        <f t="shared" si="3413"/>
        <v>0</v>
      </c>
      <c r="BO1028" s="77">
        <f t="shared" si="3414"/>
        <v>2.5000000000000001E-3</v>
      </c>
      <c r="BP1028" s="77">
        <f t="shared" si="3415"/>
        <v>2.0809499864316017E-4</v>
      </c>
    </row>
    <row r="1029" spans="1:68">
      <c r="A1029" t="s">
        <v>175</v>
      </c>
      <c r="B1029" t="s">
        <v>179</v>
      </c>
      <c r="C1029" s="197" t="str">
        <f t="shared" si="3456"/>
        <v>Lifecycle_Dynamic_58</v>
      </c>
      <c r="D1029">
        <v>58</v>
      </c>
      <c r="E1029">
        <f>VLOOKUP($D1029,'[2]LC Dynamic'!$Q$2:$U$542,2,FALSE)</f>
        <v>0.16183333333333333</v>
      </c>
      <c r="F1029">
        <f>VLOOKUP($D1029,'[2]LC Dynamic'!$Q$2:$U$542,3,FALSE)</f>
        <v>0.35683333333333334</v>
      </c>
      <c r="G1029">
        <f>VLOOKUP($D1029,'[2]LC Dynamic'!$Q$2:$U$542,4,FALSE)</f>
        <v>0.48133333333333334</v>
      </c>
      <c r="H1029">
        <f>VLOOKUP($D1029,'[2]LC Dynamic'!$Q$2:$U$542,5,FALSE)</f>
        <v>0</v>
      </c>
      <c r="I1029" s="77">
        <f t="shared" si="3388"/>
        <v>1</v>
      </c>
      <c r="J1029" s="77">
        <f t="shared" si="3389"/>
        <v>5.4728487499999992E-2</v>
      </c>
      <c r="K1029" s="77">
        <f t="shared" si="3463"/>
        <v>4.4501539883625707E-3</v>
      </c>
      <c r="L1029" s="76">
        <v>0</v>
      </c>
      <c r="M1029" s="77">
        <f t="shared" si="3399"/>
        <v>0</v>
      </c>
      <c r="N1029" s="77">
        <f t="shared" si="3400"/>
        <v>0</v>
      </c>
      <c r="O1029" s="77">
        <f t="shared" si="3401"/>
        <v>5.9593166666666673E-3</v>
      </c>
      <c r="P1029" s="77">
        <f t="shared" si="3402"/>
        <v>4.9797132579854075E-4</v>
      </c>
      <c r="R1029" t="s">
        <v>177</v>
      </c>
      <c r="S1029" t="s">
        <v>179</v>
      </c>
      <c r="T1029" s="197" t="str">
        <f t="shared" si="3457"/>
        <v>Autopilot_Dynamic_58</v>
      </c>
      <c r="U1029">
        <v>58</v>
      </c>
      <c r="V1029">
        <f>VLOOKUP($U1029,'[2]AP Dynamic'!$Q$1:$T$542,2,FALSE)</f>
        <v>0.16789925180598556</v>
      </c>
      <c r="W1029">
        <f>VLOOKUP($U1029,'[2]AP Dynamic'!$Q$1:$T$542,3,FALSE)</f>
        <v>0.83210074819401447</v>
      </c>
      <c r="X1029">
        <f>VLOOKUP($U1029,'[2]AP Dynamic'!$Q$1:$T$542,4,FALSE)</f>
        <v>0</v>
      </c>
      <c r="Y1029" s="77">
        <f t="shared" si="3458"/>
        <v>1</v>
      </c>
      <c r="Z1029" s="77">
        <f t="shared" si="3464"/>
        <v>5.3578862567724449E-2</v>
      </c>
      <c r="AA1029" s="77">
        <f t="shared" si="3465"/>
        <v>4.3588731334081032E-3</v>
      </c>
      <c r="AB1029" s="79">
        <v>1</v>
      </c>
      <c r="AC1029" s="77">
        <f t="shared" si="3403"/>
        <v>6.8357985036119704E-3</v>
      </c>
      <c r="AD1029" s="77">
        <f t="shared" ref="AD1029" si="3552">1-(1-AC1029)^(1/12)</f>
        <v>5.7144246434448487E-4</v>
      </c>
      <c r="AE1029" s="77">
        <f t="shared" si="3405"/>
        <v>2.5000000000000001E-3</v>
      </c>
      <c r="AF1029" s="77">
        <f t="shared" ref="AF1029" si="3553">1-(1-AE1029)^(1/12)</f>
        <v>2.0857243058891584E-4</v>
      </c>
      <c r="AH1029" t="s">
        <v>175</v>
      </c>
      <c r="AI1029" t="s">
        <v>179</v>
      </c>
      <c r="AJ1029" s="197" t="str">
        <f t="shared" si="3392"/>
        <v>Lifecycle_Dynamic_58</v>
      </c>
      <c r="AK1029">
        <v>58</v>
      </c>
      <c r="AL1029">
        <f>VLOOKUP($U1029,[2]Standard_Dynamic!$Q$1:$T$542,2,FALSE)</f>
        <v>0.16103063356921712</v>
      </c>
      <c r="AM1029">
        <f>VLOOKUP($U1029,[2]Standard_Dynamic!$Q$1:$T$542,3,FALSE)</f>
        <v>0.8389693664307829</v>
      </c>
      <c r="AN1029">
        <f>VLOOKUP($U1029,[2]Standard_Dynamic!$Q$1:$T$542,4,FALSE)</f>
        <v>0</v>
      </c>
      <c r="AO1029" s="77">
        <f t="shared" si="3393"/>
        <v>1</v>
      </c>
      <c r="AP1029" s="77">
        <f t="shared" si="3407"/>
        <v>5.348768166063135E-2</v>
      </c>
      <c r="AQ1029" s="77">
        <f t="shared" si="3394"/>
        <v>4.3516294116279219E-3</v>
      </c>
      <c r="AR1029" s="79">
        <v>0</v>
      </c>
      <c r="AS1029" s="77">
        <f t="shared" si="3408"/>
        <v>0</v>
      </c>
      <c r="AT1029" s="77">
        <f t="shared" ref="AT1029" si="3554">1-(1-AS1029)^(1/12)</f>
        <v>0</v>
      </c>
      <c r="AU1029" s="77">
        <f t="shared" si="3410"/>
        <v>2.5000000000000001E-3</v>
      </c>
      <c r="AV1029" s="77">
        <f t="shared" ref="AV1029" si="3555">1-(1-AU1029)^(1/12)</f>
        <v>2.0857243058891584E-4</v>
      </c>
      <c r="AX1029" t="s">
        <v>178</v>
      </c>
      <c r="AY1029" t="s">
        <v>162</v>
      </c>
      <c r="AZ1029" s="197" t="str">
        <f t="shared" si="3490"/>
        <v>DIS_Standard_58</v>
      </c>
      <c r="BA1029">
        <v>58</v>
      </c>
      <c r="BB1029">
        <f>VLOOKUP($BA1029,'[2]Standard DIS'!$Q$1:$X$542,4,FALSE)</f>
        <v>0</v>
      </c>
      <c r="BF1029">
        <f>VLOOKUP($BA1029,'[2]Standard DIS'!$Q$1:$X$542,2,FALSE)</f>
        <v>0.16103063356921712</v>
      </c>
      <c r="BH1029">
        <f>VLOOKUP($BA1029,'[2]Standard DIS'!$Q$1:$X$542,3,FALSE)</f>
        <v>0.8389693664307829</v>
      </c>
      <c r="BI1029" s="77">
        <f t="shared" si="3397"/>
        <v>1</v>
      </c>
      <c r="BJ1029" s="77">
        <f t="shared" si="3398"/>
        <v>5.348768166063135E-2</v>
      </c>
      <c r="BK1029" s="77">
        <f t="shared" si="3491"/>
        <v>4.3516294116279219E-3</v>
      </c>
      <c r="BL1029" s="79">
        <v>0</v>
      </c>
      <c r="BM1029" s="77">
        <f t="shared" si="3412"/>
        <v>0</v>
      </c>
      <c r="BN1029" s="77">
        <f t="shared" si="3413"/>
        <v>0</v>
      </c>
      <c r="BO1029" s="77">
        <f t="shared" si="3414"/>
        <v>2.5000000000000001E-3</v>
      </c>
      <c r="BP1029" s="77">
        <f t="shared" si="3415"/>
        <v>2.0809499864316017E-4</v>
      </c>
    </row>
    <row r="1030" spans="1:68">
      <c r="A1030" t="s">
        <v>175</v>
      </c>
      <c r="B1030" t="s">
        <v>179</v>
      </c>
      <c r="C1030" s="197" t="str">
        <f t="shared" si="3456"/>
        <v>Lifecycle_Dynamic_57</v>
      </c>
      <c r="D1030">
        <v>57</v>
      </c>
      <c r="E1030">
        <f>VLOOKUP($D1030,'[2]LC Dynamic'!$Q$2:$U$542,2,FALSE)</f>
        <v>0.16525000000000001</v>
      </c>
      <c r="F1030">
        <f>VLOOKUP($D1030,'[2]LC Dynamic'!$Q$2:$U$542,3,FALSE)</f>
        <v>0.35525000000000001</v>
      </c>
      <c r="G1030">
        <f>VLOOKUP($D1030,'[2]LC Dynamic'!$Q$2:$U$542,4,FALSE)</f>
        <v>0.47949999999999998</v>
      </c>
      <c r="H1030">
        <f>VLOOKUP($D1030,'[2]LC Dynamic'!$Q$2:$U$542,5,FALSE)</f>
        <v>0</v>
      </c>
      <c r="I1030" s="77">
        <f t="shared" si="3388"/>
        <v>1</v>
      </c>
      <c r="J1030" s="77">
        <f t="shared" si="3389"/>
        <v>5.4680918749999995E-2</v>
      </c>
      <c r="K1030" s="77">
        <f t="shared" si="3463"/>
        <v>4.4463788125290726E-3</v>
      </c>
      <c r="L1030" s="76">
        <v>0</v>
      </c>
      <c r="M1030" s="77">
        <f t="shared" si="3399"/>
        <v>0</v>
      </c>
      <c r="N1030" s="77">
        <f t="shared" si="3400"/>
        <v>0</v>
      </c>
      <c r="O1030" s="77">
        <f t="shared" si="3401"/>
        <v>5.9449749999999999E-3</v>
      </c>
      <c r="P1030" s="77">
        <f t="shared" si="3402"/>
        <v>4.9676962865985441E-4</v>
      </c>
      <c r="R1030" t="s">
        <v>177</v>
      </c>
      <c r="S1030" t="s">
        <v>179</v>
      </c>
      <c r="T1030" s="197" t="str">
        <f t="shared" si="3457"/>
        <v>Autopilot_Dynamic_57</v>
      </c>
      <c r="U1030">
        <v>57</v>
      </c>
      <c r="V1030">
        <f>VLOOKUP($U1030,'[2]AP Dynamic'!$Q$1:$T$542,2,FALSE)</f>
        <v>0.16789925180598556</v>
      </c>
      <c r="W1030">
        <f>VLOOKUP($U1030,'[2]AP Dynamic'!$Q$1:$T$542,3,FALSE)</f>
        <v>0.83210074819401447</v>
      </c>
      <c r="X1030">
        <f>VLOOKUP($U1030,'[2]AP Dynamic'!$Q$1:$T$542,4,FALSE)</f>
        <v>0</v>
      </c>
      <c r="Y1030" s="77">
        <f t="shared" si="3458"/>
        <v>1</v>
      </c>
      <c r="Z1030" s="77">
        <f t="shared" si="3464"/>
        <v>5.3578862567724449E-2</v>
      </c>
      <c r="AA1030" s="77">
        <f t="shared" si="3465"/>
        <v>4.3588731334081032E-3</v>
      </c>
      <c r="AB1030" s="79">
        <v>1</v>
      </c>
      <c r="AC1030" s="77">
        <f t="shared" si="3403"/>
        <v>6.8357985036119704E-3</v>
      </c>
      <c r="AD1030" s="77">
        <f t="shared" ref="AD1030" si="3556">1-(1-AC1030)^(1/12)</f>
        <v>5.7144246434448487E-4</v>
      </c>
      <c r="AE1030" s="77">
        <f t="shared" si="3405"/>
        <v>2.5000000000000001E-3</v>
      </c>
      <c r="AF1030" s="77">
        <f t="shared" ref="AF1030" si="3557">1-(1-AE1030)^(1/12)</f>
        <v>2.0857243058891584E-4</v>
      </c>
      <c r="AH1030" t="s">
        <v>175</v>
      </c>
      <c r="AI1030" t="s">
        <v>179</v>
      </c>
      <c r="AJ1030" s="197" t="str">
        <f t="shared" si="3392"/>
        <v>Lifecycle_Dynamic_57</v>
      </c>
      <c r="AK1030">
        <v>57</v>
      </c>
      <c r="AL1030">
        <f>VLOOKUP($U1030,[2]Standard_Dynamic!$Q$1:$T$542,2,FALSE)</f>
        <v>0.15759632445083294</v>
      </c>
      <c r="AM1030">
        <f>VLOOKUP($U1030,[2]Standard_Dynamic!$Q$1:$T$542,3,FALSE)</f>
        <v>0.84240367554916706</v>
      </c>
      <c r="AN1030">
        <f>VLOOKUP($U1030,[2]Standard_Dynamic!$Q$1:$T$542,4,FALSE)</f>
        <v>0</v>
      </c>
      <c r="AO1030" s="77">
        <f t="shared" si="3393"/>
        <v>1</v>
      </c>
      <c r="AP1030" s="77">
        <f t="shared" si="3407"/>
        <v>5.3442091207084805E-2</v>
      </c>
      <c r="AQ1030" s="77">
        <f t="shared" si="3394"/>
        <v>4.3480073352195614E-3</v>
      </c>
      <c r="AR1030" s="79">
        <v>0</v>
      </c>
      <c r="AS1030" s="77">
        <f t="shared" si="3408"/>
        <v>0</v>
      </c>
      <c r="AT1030" s="77">
        <f t="shared" ref="AT1030" si="3558">1-(1-AS1030)^(1/12)</f>
        <v>0</v>
      </c>
      <c r="AU1030" s="77">
        <f t="shared" si="3410"/>
        <v>2.5000000000000001E-3</v>
      </c>
      <c r="AV1030" s="77">
        <f t="shared" ref="AV1030" si="3559">1-(1-AU1030)^(1/12)</f>
        <v>2.0857243058891584E-4</v>
      </c>
      <c r="AX1030" t="s">
        <v>178</v>
      </c>
      <c r="AY1030" t="s">
        <v>162</v>
      </c>
      <c r="AZ1030" s="197" t="str">
        <f t="shared" si="3490"/>
        <v>DIS_Standard_57</v>
      </c>
      <c r="BA1030">
        <v>57</v>
      </c>
      <c r="BB1030">
        <f>VLOOKUP($BA1030,'[2]Standard DIS'!$Q$1:$X$542,4,FALSE)</f>
        <v>0</v>
      </c>
      <c r="BF1030">
        <f>VLOOKUP($BA1030,'[2]Standard DIS'!$Q$1:$X$542,2,FALSE)</f>
        <v>0.15759632445083294</v>
      </c>
      <c r="BH1030">
        <f>VLOOKUP($BA1030,'[2]Standard DIS'!$Q$1:$X$542,3,FALSE)</f>
        <v>0.84240367554916706</v>
      </c>
      <c r="BI1030" s="77">
        <f t="shared" si="3397"/>
        <v>1</v>
      </c>
      <c r="BJ1030" s="77">
        <f t="shared" si="3398"/>
        <v>5.3442091207084805E-2</v>
      </c>
      <c r="BK1030" s="77">
        <f t="shared" si="3491"/>
        <v>4.3480073352195614E-3</v>
      </c>
      <c r="BL1030" s="79">
        <v>0</v>
      </c>
      <c r="BM1030" s="77">
        <f t="shared" si="3412"/>
        <v>0</v>
      </c>
      <c r="BN1030" s="77">
        <f t="shared" si="3413"/>
        <v>0</v>
      </c>
      <c r="BO1030" s="77">
        <f t="shared" si="3414"/>
        <v>2.5000000000000001E-3</v>
      </c>
      <c r="BP1030" s="77">
        <f t="shared" si="3415"/>
        <v>2.0809499864316017E-4</v>
      </c>
    </row>
    <row r="1031" spans="1:68">
      <c r="A1031" t="s">
        <v>175</v>
      </c>
      <c r="B1031" t="s">
        <v>179</v>
      </c>
      <c r="C1031" s="197" t="str">
        <f t="shared" si="3456"/>
        <v>Lifecycle_Dynamic_56</v>
      </c>
      <c r="D1031">
        <v>56</v>
      </c>
      <c r="E1031">
        <f>VLOOKUP($D1031,'[2]LC Dynamic'!$Q$2:$U$542,2,FALSE)</f>
        <v>0.16866666666666666</v>
      </c>
      <c r="F1031">
        <f>VLOOKUP($D1031,'[2]LC Dynamic'!$Q$2:$U$542,3,FALSE)</f>
        <v>0.35366666666666668</v>
      </c>
      <c r="G1031">
        <f>VLOOKUP($D1031,'[2]LC Dynamic'!$Q$2:$U$542,4,FALSE)</f>
        <v>0.47766666666666668</v>
      </c>
      <c r="H1031">
        <f>VLOOKUP($D1031,'[2]LC Dynamic'!$Q$2:$U$542,5,FALSE)</f>
        <v>0</v>
      </c>
      <c r="I1031" s="77">
        <f t="shared" si="3388"/>
        <v>1</v>
      </c>
      <c r="J1031" s="77">
        <f t="shared" si="3389"/>
        <v>5.4633349999999997E-2</v>
      </c>
      <c r="K1031" s="77">
        <f t="shared" si="3463"/>
        <v>4.442603480611762E-3</v>
      </c>
      <c r="L1031" s="76">
        <v>0</v>
      </c>
      <c r="M1031" s="77">
        <f t="shared" si="3399"/>
        <v>0</v>
      </c>
      <c r="N1031" s="77">
        <f t="shared" si="3400"/>
        <v>0</v>
      </c>
      <c r="O1031" s="77">
        <f t="shared" si="3401"/>
        <v>5.9306333333333325E-3</v>
      </c>
      <c r="P1031" s="77">
        <f t="shared" si="3402"/>
        <v>4.955679474136776E-4</v>
      </c>
      <c r="R1031" t="s">
        <v>177</v>
      </c>
      <c r="S1031" t="s">
        <v>179</v>
      </c>
      <c r="T1031" s="197" t="str">
        <f t="shared" si="3457"/>
        <v>Autopilot_Dynamic_56</v>
      </c>
      <c r="U1031">
        <v>56</v>
      </c>
      <c r="V1031">
        <f>VLOOKUP($U1031,'[2]AP Dynamic'!$Q$1:$T$542,2,FALSE)</f>
        <v>0.16789925180598556</v>
      </c>
      <c r="W1031">
        <f>VLOOKUP($U1031,'[2]AP Dynamic'!$Q$1:$T$542,3,FALSE)</f>
        <v>0.83210074819401447</v>
      </c>
      <c r="X1031">
        <f>VLOOKUP($U1031,'[2]AP Dynamic'!$Q$1:$T$542,4,FALSE)</f>
        <v>0</v>
      </c>
      <c r="Y1031" s="77">
        <f t="shared" si="3458"/>
        <v>1</v>
      </c>
      <c r="Z1031" s="77">
        <f t="shared" si="3464"/>
        <v>5.3578862567724449E-2</v>
      </c>
      <c r="AA1031" s="77">
        <f t="shared" si="3465"/>
        <v>4.3588731334081032E-3</v>
      </c>
      <c r="AB1031" s="79">
        <v>1</v>
      </c>
      <c r="AC1031" s="77">
        <f t="shared" si="3403"/>
        <v>6.8357985036119704E-3</v>
      </c>
      <c r="AD1031" s="77">
        <f t="shared" ref="AD1031" si="3560">1-(1-AC1031)^(1/12)</f>
        <v>5.7144246434448487E-4</v>
      </c>
      <c r="AE1031" s="77">
        <f t="shared" si="3405"/>
        <v>2.5000000000000001E-3</v>
      </c>
      <c r="AF1031" s="77">
        <f t="shared" ref="AF1031" si="3561">1-(1-AE1031)^(1/12)</f>
        <v>2.0857243058891584E-4</v>
      </c>
      <c r="AH1031" t="s">
        <v>175</v>
      </c>
      <c r="AI1031" t="s">
        <v>179</v>
      </c>
      <c r="AJ1031" s="197" t="str">
        <f t="shared" si="3392"/>
        <v>Lifecycle_Dynamic_56</v>
      </c>
      <c r="AK1031">
        <v>56</v>
      </c>
      <c r="AL1031">
        <f>VLOOKUP($U1031,[2]Standard_Dynamic!$Q$1:$T$542,2,FALSE)</f>
        <v>0.15416201533244872</v>
      </c>
      <c r="AM1031">
        <f>VLOOKUP($U1031,[2]Standard_Dynamic!$Q$1:$T$542,3,FALSE)</f>
        <v>0.84583798466755133</v>
      </c>
      <c r="AN1031">
        <f>VLOOKUP($U1031,[2]Standard_Dynamic!$Q$1:$T$542,4,FALSE)</f>
        <v>0</v>
      </c>
      <c r="AO1031" s="77">
        <f t="shared" si="3393"/>
        <v>1</v>
      </c>
      <c r="AP1031" s="77">
        <f t="shared" si="3407"/>
        <v>5.3396500753538245E-2</v>
      </c>
      <c r="AQ1031" s="77">
        <f t="shared" si="3394"/>
        <v>4.344385115116367E-3</v>
      </c>
      <c r="AR1031" s="79">
        <v>0</v>
      </c>
      <c r="AS1031" s="77">
        <f t="shared" si="3408"/>
        <v>0</v>
      </c>
      <c r="AT1031" s="77">
        <f t="shared" ref="AT1031" si="3562">1-(1-AS1031)^(1/12)</f>
        <v>0</v>
      </c>
      <c r="AU1031" s="77">
        <f t="shared" si="3410"/>
        <v>2.5000000000000001E-3</v>
      </c>
      <c r="AV1031" s="77">
        <f t="shared" ref="AV1031" si="3563">1-(1-AU1031)^(1/12)</f>
        <v>2.0857243058891584E-4</v>
      </c>
      <c r="AX1031" t="s">
        <v>178</v>
      </c>
      <c r="AY1031" t="s">
        <v>162</v>
      </c>
      <c r="AZ1031" s="197" t="str">
        <f t="shared" si="3490"/>
        <v>DIS_Standard_56</v>
      </c>
      <c r="BA1031">
        <v>56</v>
      </c>
      <c r="BB1031">
        <f>VLOOKUP($BA1031,'[2]Standard DIS'!$Q$1:$X$542,4,FALSE)</f>
        <v>0</v>
      </c>
      <c r="BF1031">
        <f>VLOOKUP($BA1031,'[2]Standard DIS'!$Q$1:$X$542,2,FALSE)</f>
        <v>0.15416201533244872</v>
      </c>
      <c r="BH1031">
        <f>VLOOKUP($BA1031,'[2]Standard DIS'!$Q$1:$X$542,3,FALSE)</f>
        <v>0.84583798466755133</v>
      </c>
      <c r="BI1031" s="77">
        <f t="shared" si="3397"/>
        <v>1</v>
      </c>
      <c r="BJ1031" s="77">
        <f t="shared" si="3398"/>
        <v>5.3396500753538245E-2</v>
      </c>
      <c r="BK1031" s="77">
        <f t="shared" si="3491"/>
        <v>4.344385115116367E-3</v>
      </c>
      <c r="BL1031" s="79">
        <v>0</v>
      </c>
      <c r="BM1031" s="77">
        <f t="shared" si="3412"/>
        <v>0</v>
      </c>
      <c r="BN1031" s="77">
        <f t="shared" si="3413"/>
        <v>0</v>
      </c>
      <c r="BO1031" s="77">
        <f t="shared" si="3414"/>
        <v>2.5000000000000001E-3</v>
      </c>
      <c r="BP1031" s="77">
        <f t="shared" si="3415"/>
        <v>2.0809499864316017E-4</v>
      </c>
    </row>
    <row r="1032" spans="1:68">
      <c r="A1032" t="s">
        <v>175</v>
      </c>
      <c r="B1032" t="s">
        <v>179</v>
      </c>
      <c r="C1032" s="197" t="str">
        <f t="shared" si="3456"/>
        <v>Lifecycle_Dynamic_55</v>
      </c>
      <c r="D1032">
        <v>55</v>
      </c>
      <c r="E1032">
        <f>VLOOKUP($D1032,'[2]LC Dynamic'!$Q$2:$U$542,2,FALSE)</f>
        <v>0.17208333333333334</v>
      </c>
      <c r="F1032">
        <f>VLOOKUP($D1032,'[2]LC Dynamic'!$Q$2:$U$542,3,FALSE)</f>
        <v>0.35208333333333336</v>
      </c>
      <c r="G1032">
        <f>VLOOKUP($D1032,'[2]LC Dynamic'!$Q$2:$U$542,4,FALSE)</f>
        <v>0.47583333333333333</v>
      </c>
      <c r="H1032">
        <f>VLOOKUP($D1032,'[2]LC Dynamic'!$Q$2:$U$542,5,FALSE)</f>
        <v>0</v>
      </c>
      <c r="I1032" s="77">
        <f t="shared" si="3388"/>
        <v>1</v>
      </c>
      <c r="J1032" s="77">
        <f t="shared" si="3389"/>
        <v>5.4585781249999993E-2</v>
      </c>
      <c r="K1032" s="77">
        <f t="shared" si="3463"/>
        <v>4.4388279925968721E-3</v>
      </c>
      <c r="L1032" s="76">
        <v>0</v>
      </c>
      <c r="M1032" s="77">
        <f t="shared" si="3399"/>
        <v>0</v>
      </c>
      <c r="N1032" s="77">
        <f t="shared" si="3400"/>
        <v>0</v>
      </c>
      <c r="O1032" s="77">
        <f t="shared" si="3401"/>
        <v>5.9162916666666669E-3</v>
      </c>
      <c r="P1032" s="77">
        <f t="shared" si="3402"/>
        <v>4.9436628205945521E-4</v>
      </c>
      <c r="R1032" t="s">
        <v>177</v>
      </c>
      <c r="S1032" t="s">
        <v>179</v>
      </c>
      <c r="T1032" s="197" t="str">
        <f t="shared" si="3457"/>
        <v>Autopilot_Dynamic_55</v>
      </c>
      <c r="U1032">
        <v>55</v>
      </c>
      <c r="V1032">
        <f>VLOOKUP($U1032,'[2]AP Dynamic'!$Q$1:$T$542,2,FALSE)</f>
        <v>0.16789925180598556</v>
      </c>
      <c r="W1032">
        <f>VLOOKUP($U1032,'[2]AP Dynamic'!$Q$1:$T$542,3,FALSE)</f>
        <v>0.83210074819401447</v>
      </c>
      <c r="X1032">
        <f>VLOOKUP($U1032,'[2]AP Dynamic'!$Q$1:$T$542,4,FALSE)</f>
        <v>0</v>
      </c>
      <c r="Y1032" s="77">
        <f t="shared" si="3458"/>
        <v>1</v>
      </c>
      <c r="Z1032" s="77">
        <f t="shared" si="3464"/>
        <v>5.3578862567724449E-2</v>
      </c>
      <c r="AA1032" s="77">
        <f t="shared" si="3465"/>
        <v>4.3588731334081032E-3</v>
      </c>
      <c r="AB1032" s="79">
        <v>1</v>
      </c>
      <c r="AC1032" s="77">
        <f t="shared" si="3403"/>
        <v>6.8357985036119704E-3</v>
      </c>
      <c r="AD1032" s="77">
        <f t="shared" ref="AD1032" si="3564">1-(1-AC1032)^(1/12)</f>
        <v>5.7144246434448487E-4</v>
      </c>
      <c r="AE1032" s="77">
        <f t="shared" si="3405"/>
        <v>2.5000000000000001E-3</v>
      </c>
      <c r="AF1032" s="77">
        <f t="shared" ref="AF1032" si="3565">1-(1-AE1032)^(1/12)</f>
        <v>2.0857243058891584E-4</v>
      </c>
      <c r="AH1032" t="s">
        <v>175</v>
      </c>
      <c r="AI1032" t="s">
        <v>179</v>
      </c>
      <c r="AJ1032" s="197" t="str">
        <f t="shared" si="3392"/>
        <v>Lifecycle_Dynamic_55</v>
      </c>
      <c r="AK1032">
        <v>55</v>
      </c>
      <c r="AL1032">
        <f>VLOOKUP($U1032,[2]Standard_Dynamic!$Q$1:$T$542,2,FALSE)</f>
        <v>0.15072770621406451</v>
      </c>
      <c r="AM1032">
        <f>VLOOKUP($U1032,[2]Standard_Dynamic!$Q$1:$T$542,3,FALSE)</f>
        <v>0.84927229378593549</v>
      </c>
      <c r="AN1032">
        <f>VLOOKUP($U1032,[2]Standard_Dynamic!$Q$1:$T$542,4,FALSE)</f>
        <v>0</v>
      </c>
      <c r="AO1032" s="77">
        <f t="shared" si="3393"/>
        <v>1</v>
      </c>
      <c r="AP1032" s="77">
        <f t="shared" si="3407"/>
        <v>5.33509102999917E-2</v>
      </c>
      <c r="AQ1032" s="77">
        <f t="shared" si="3394"/>
        <v>4.3407627513067926E-3</v>
      </c>
      <c r="AR1032" s="79">
        <v>0</v>
      </c>
      <c r="AS1032" s="77">
        <f t="shared" si="3408"/>
        <v>0</v>
      </c>
      <c r="AT1032" s="77">
        <f t="shared" ref="AT1032" si="3566">1-(1-AS1032)^(1/12)</f>
        <v>0</v>
      </c>
      <c r="AU1032" s="77">
        <f t="shared" si="3410"/>
        <v>2.5000000000000001E-3</v>
      </c>
      <c r="AV1032" s="77">
        <f t="shared" ref="AV1032" si="3567">1-(1-AU1032)^(1/12)</f>
        <v>2.0857243058891584E-4</v>
      </c>
      <c r="AX1032" t="s">
        <v>178</v>
      </c>
      <c r="AY1032" t="s">
        <v>162</v>
      </c>
      <c r="AZ1032" s="197" t="str">
        <f t="shared" si="3490"/>
        <v>DIS_Standard_55</v>
      </c>
      <c r="BA1032">
        <v>55</v>
      </c>
      <c r="BB1032">
        <f>VLOOKUP($BA1032,'[2]Standard DIS'!$Q$1:$X$542,4,FALSE)</f>
        <v>0</v>
      </c>
      <c r="BF1032">
        <f>VLOOKUP($BA1032,'[2]Standard DIS'!$Q$1:$X$542,2,FALSE)</f>
        <v>0.15072770621406451</v>
      </c>
      <c r="BH1032">
        <f>VLOOKUP($BA1032,'[2]Standard DIS'!$Q$1:$X$542,3,FALSE)</f>
        <v>0.84927229378593549</v>
      </c>
      <c r="BI1032" s="77">
        <f t="shared" si="3397"/>
        <v>1</v>
      </c>
      <c r="BJ1032" s="77">
        <f t="shared" si="3398"/>
        <v>5.33509102999917E-2</v>
      </c>
      <c r="BK1032" s="77">
        <f t="shared" si="3491"/>
        <v>4.3407627513067926E-3</v>
      </c>
      <c r="BL1032" s="79">
        <v>0</v>
      </c>
      <c r="BM1032" s="77">
        <f t="shared" si="3412"/>
        <v>0</v>
      </c>
      <c r="BN1032" s="77">
        <f t="shared" si="3413"/>
        <v>0</v>
      </c>
      <c r="BO1032" s="77">
        <f t="shared" si="3414"/>
        <v>2.5000000000000001E-3</v>
      </c>
      <c r="BP1032" s="77">
        <f t="shared" si="3415"/>
        <v>2.0809499864316017E-4</v>
      </c>
    </row>
    <row r="1033" spans="1:68">
      <c r="A1033" t="s">
        <v>175</v>
      </c>
      <c r="B1033" t="s">
        <v>179</v>
      </c>
      <c r="C1033" s="197" t="str">
        <f t="shared" si="3456"/>
        <v>Lifecycle_Dynamic_54</v>
      </c>
      <c r="D1033">
        <v>54</v>
      </c>
      <c r="E1033">
        <f>VLOOKUP($D1033,'[2]LC Dynamic'!$Q$2:$U$542,2,FALSE)</f>
        <v>0.17549999999999999</v>
      </c>
      <c r="F1033">
        <f>VLOOKUP($D1033,'[2]LC Dynamic'!$Q$2:$U$542,3,FALSE)</f>
        <v>0.35050000000000003</v>
      </c>
      <c r="G1033">
        <f>VLOOKUP($D1033,'[2]LC Dynamic'!$Q$2:$U$542,4,FALSE)</f>
        <v>0.47399999999999998</v>
      </c>
      <c r="H1033">
        <f>VLOOKUP($D1033,'[2]LC Dynamic'!$Q$2:$U$542,5,FALSE)</f>
        <v>0</v>
      </c>
      <c r="I1033" s="77">
        <f t="shared" si="3388"/>
        <v>1</v>
      </c>
      <c r="J1033" s="77">
        <f t="shared" si="3389"/>
        <v>5.4538212499999995E-2</v>
      </c>
      <c r="K1033" s="77">
        <f t="shared" si="3463"/>
        <v>4.4350523484710802E-3</v>
      </c>
      <c r="L1033" s="76">
        <v>0</v>
      </c>
      <c r="M1033" s="77">
        <f t="shared" si="3399"/>
        <v>0</v>
      </c>
      <c r="N1033" s="77">
        <f t="shared" si="3400"/>
        <v>0</v>
      </c>
      <c r="O1033" s="77">
        <f t="shared" si="3401"/>
        <v>5.9019499999999996E-3</v>
      </c>
      <c r="P1033" s="77">
        <f t="shared" si="3402"/>
        <v>4.9316463259707621E-4</v>
      </c>
      <c r="R1033" t="s">
        <v>177</v>
      </c>
      <c r="S1033" t="s">
        <v>179</v>
      </c>
      <c r="T1033" s="197" t="str">
        <f t="shared" si="3457"/>
        <v>Autopilot_Dynamic_54</v>
      </c>
      <c r="U1033">
        <v>54</v>
      </c>
      <c r="V1033">
        <f>VLOOKUP($U1033,'[2]AP Dynamic'!$Q$1:$T$542,2,FALSE)</f>
        <v>0.16789925180598556</v>
      </c>
      <c r="W1033">
        <f>VLOOKUP($U1033,'[2]AP Dynamic'!$Q$1:$T$542,3,FALSE)</f>
        <v>0.83210074819401447</v>
      </c>
      <c r="X1033">
        <f>VLOOKUP($U1033,'[2]AP Dynamic'!$Q$1:$T$542,4,FALSE)</f>
        <v>0</v>
      </c>
      <c r="Y1033" s="77">
        <f t="shared" si="3458"/>
        <v>1</v>
      </c>
      <c r="Z1033" s="77">
        <f t="shared" si="3464"/>
        <v>5.3578862567724449E-2</v>
      </c>
      <c r="AA1033" s="77">
        <f t="shared" si="3465"/>
        <v>4.3588731334081032E-3</v>
      </c>
      <c r="AB1033" s="79">
        <v>1</v>
      </c>
      <c r="AC1033" s="77">
        <f t="shared" si="3403"/>
        <v>6.8357985036119704E-3</v>
      </c>
      <c r="AD1033" s="77">
        <f t="shared" ref="AD1033" si="3568">1-(1-AC1033)^(1/12)</f>
        <v>5.7144246434448487E-4</v>
      </c>
      <c r="AE1033" s="77">
        <f t="shared" si="3405"/>
        <v>2.5000000000000001E-3</v>
      </c>
      <c r="AF1033" s="77">
        <f t="shared" ref="AF1033" si="3569">1-(1-AE1033)^(1/12)</f>
        <v>2.0857243058891584E-4</v>
      </c>
      <c r="AH1033" t="s">
        <v>175</v>
      </c>
      <c r="AI1033" t="s">
        <v>179</v>
      </c>
      <c r="AJ1033" s="197" t="str">
        <f t="shared" si="3392"/>
        <v>Lifecycle_Dynamic_54</v>
      </c>
      <c r="AK1033">
        <v>54</v>
      </c>
      <c r="AL1033">
        <f>VLOOKUP($U1033,[2]Standard_Dynamic!$Q$1:$T$542,2,FALSE)</f>
        <v>0.14729339709568029</v>
      </c>
      <c r="AM1033">
        <f>VLOOKUP($U1033,[2]Standard_Dynamic!$Q$1:$T$542,3,FALSE)</f>
        <v>0.85270660290431977</v>
      </c>
      <c r="AN1033">
        <f>VLOOKUP($U1033,[2]Standard_Dynamic!$Q$1:$T$542,4,FALSE)</f>
        <v>0</v>
      </c>
      <c r="AO1033" s="77">
        <f t="shared" si="3393"/>
        <v>1</v>
      </c>
      <c r="AP1033" s="77">
        <f t="shared" si="3407"/>
        <v>5.3305319846445154E-2</v>
      </c>
      <c r="AQ1033" s="77">
        <f t="shared" si="3394"/>
        <v>4.3371402437784035E-3</v>
      </c>
      <c r="AR1033" s="79">
        <v>0</v>
      </c>
      <c r="AS1033" s="77">
        <f t="shared" si="3408"/>
        <v>0</v>
      </c>
      <c r="AT1033" s="77">
        <f t="shared" ref="AT1033" si="3570">1-(1-AS1033)^(1/12)</f>
        <v>0</v>
      </c>
      <c r="AU1033" s="77">
        <f t="shared" si="3410"/>
        <v>2.5000000000000005E-3</v>
      </c>
      <c r="AV1033" s="77">
        <f t="shared" ref="AV1033" si="3571">1-(1-AU1033)^(1/12)</f>
        <v>2.0857243058891584E-4</v>
      </c>
      <c r="AX1033" t="s">
        <v>178</v>
      </c>
      <c r="AY1033" t="s">
        <v>162</v>
      </c>
      <c r="AZ1033" s="197" t="str">
        <f t="shared" si="3490"/>
        <v>DIS_Standard_54</v>
      </c>
      <c r="BA1033">
        <v>54</v>
      </c>
      <c r="BB1033">
        <f>VLOOKUP($BA1033,'[2]Standard DIS'!$Q$1:$X$542,4,FALSE)</f>
        <v>0</v>
      </c>
      <c r="BF1033">
        <f>VLOOKUP($BA1033,'[2]Standard DIS'!$Q$1:$X$542,2,FALSE)</f>
        <v>0.14729339709568029</v>
      </c>
      <c r="BH1033">
        <f>VLOOKUP($BA1033,'[2]Standard DIS'!$Q$1:$X$542,3,FALSE)</f>
        <v>0.85270660290431977</v>
      </c>
      <c r="BI1033" s="77">
        <f t="shared" si="3397"/>
        <v>1</v>
      </c>
      <c r="BJ1033" s="77">
        <f t="shared" si="3398"/>
        <v>5.3305319846445154E-2</v>
      </c>
      <c r="BK1033" s="77">
        <f t="shared" si="3491"/>
        <v>4.3371402437784035E-3</v>
      </c>
      <c r="BL1033" s="79">
        <v>0</v>
      </c>
      <c r="BM1033" s="77">
        <f t="shared" si="3412"/>
        <v>0</v>
      </c>
      <c r="BN1033" s="77">
        <f t="shared" si="3413"/>
        <v>0</v>
      </c>
      <c r="BO1033" s="77">
        <f t="shared" si="3414"/>
        <v>2.5000000000000005E-3</v>
      </c>
      <c r="BP1033" s="77">
        <f t="shared" si="3415"/>
        <v>2.0809499864316017E-4</v>
      </c>
    </row>
    <row r="1034" spans="1:68">
      <c r="A1034" t="s">
        <v>175</v>
      </c>
      <c r="B1034" t="s">
        <v>179</v>
      </c>
      <c r="C1034" s="197" t="str">
        <f t="shared" si="3456"/>
        <v>Lifecycle_Dynamic_53</v>
      </c>
      <c r="D1034">
        <v>53</v>
      </c>
      <c r="E1034">
        <f>VLOOKUP($D1034,'[2]LC Dynamic'!$Q$2:$U$542,2,FALSE)</f>
        <v>0.17891666666666667</v>
      </c>
      <c r="F1034">
        <f>VLOOKUP($D1034,'[2]LC Dynamic'!$Q$2:$U$542,3,FALSE)</f>
        <v>0.34891666666666665</v>
      </c>
      <c r="G1034">
        <f>VLOOKUP($D1034,'[2]LC Dynamic'!$Q$2:$U$542,4,FALSE)</f>
        <v>0.47216666666666668</v>
      </c>
      <c r="H1034">
        <f>VLOOKUP($D1034,'[2]LC Dynamic'!$Q$2:$U$542,5,FALSE)</f>
        <v>0</v>
      </c>
      <c r="I1034" s="77">
        <f t="shared" si="3388"/>
        <v>1</v>
      </c>
      <c r="J1034" s="77">
        <f t="shared" si="3389"/>
        <v>5.4490643749999998E-2</v>
      </c>
      <c r="K1034" s="77">
        <f t="shared" si="3463"/>
        <v>4.4312765482208416E-3</v>
      </c>
      <c r="L1034" s="76">
        <v>0</v>
      </c>
      <c r="M1034" s="77">
        <f t="shared" si="3399"/>
        <v>0</v>
      </c>
      <c r="N1034" s="77">
        <f t="shared" si="3400"/>
        <v>0</v>
      </c>
      <c r="O1034" s="77">
        <f t="shared" si="3401"/>
        <v>5.8876083333333331E-3</v>
      </c>
      <c r="P1034" s="77">
        <f t="shared" si="3402"/>
        <v>4.9196299902576346E-4</v>
      </c>
      <c r="R1034" t="s">
        <v>177</v>
      </c>
      <c r="S1034" t="s">
        <v>179</v>
      </c>
      <c r="T1034" s="197" t="str">
        <f t="shared" si="3457"/>
        <v>Autopilot_Dynamic_53</v>
      </c>
      <c r="U1034">
        <v>53</v>
      </c>
      <c r="V1034">
        <f>VLOOKUP($U1034,'[2]AP Dynamic'!$Q$1:$T$542,2,FALSE)</f>
        <v>0.16789925180598556</v>
      </c>
      <c r="W1034">
        <f>VLOOKUP($U1034,'[2]AP Dynamic'!$Q$1:$T$542,3,FALSE)</f>
        <v>0.83210074819401447</v>
      </c>
      <c r="X1034">
        <f>VLOOKUP($U1034,'[2]AP Dynamic'!$Q$1:$T$542,4,FALSE)</f>
        <v>0</v>
      </c>
      <c r="Y1034" s="77">
        <f t="shared" si="3458"/>
        <v>1</v>
      </c>
      <c r="Z1034" s="77">
        <f t="shared" si="3464"/>
        <v>5.3578862567724449E-2</v>
      </c>
      <c r="AA1034" s="77">
        <f t="shared" si="3465"/>
        <v>4.3588731334081032E-3</v>
      </c>
      <c r="AB1034" s="79">
        <v>1</v>
      </c>
      <c r="AC1034" s="77">
        <f t="shared" si="3403"/>
        <v>6.8357985036119704E-3</v>
      </c>
      <c r="AD1034" s="77">
        <f t="shared" ref="AD1034" si="3572">1-(1-AC1034)^(1/12)</f>
        <v>5.7144246434448487E-4</v>
      </c>
      <c r="AE1034" s="77">
        <f t="shared" si="3405"/>
        <v>2.5000000000000001E-3</v>
      </c>
      <c r="AF1034" s="77">
        <f t="shared" ref="AF1034" si="3573">1-(1-AE1034)^(1/12)</f>
        <v>2.0857243058891584E-4</v>
      </c>
      <c r="AH1034" t="s">
        <v>175</v>
      </c>
      <c r="AI1034" t="s">
        <v>179</v>
      </c>
      <c r="AJ1034" s="197" t="str">
        <f t="shared" si="3392"/>
        <v>Lifecycle_Dynamic_53</v>
      </c>
      <c r="AK1034">
        <v>53</v>
      </c>
      <c r="AL1034">
        <f>VLOOKUP($U1034,[2]Standard_Dynamic!$Q$1:$T$542,2,FALSE)</f>
        <v>0.14385908797729607</v>
      </c>
      <c r="AM1034">
        <f>VLOOKUP($U1034,[2]Standard_Dynamic!$Q$1:$T$542,3,FALSE)</f>
        <v>0.85614091202270393</v>
      </c>
      <c r="AN1034">
        <f>VLOOKUP($U1034,[2]Standard_Dynamic!$Q$1:$T$542,4,FALSE)</f>
        <v>0</v>
      </c>
      <c r="AO1034" s="77">
        <f t="shared" si="3393"/>
        <v>1</v>
      </c>
      <c r="AP1034" s="77">
        <f t="shared" si="3407"/>
        <v>5.3259729392898601E-2</v>
      </c>
      <c r="AQ1034" s="77">
        <f t="shared" si="3394"/>
        <v>4.3335175925194314E-3</v>
      </c>
      <c r="AR1034" s="79">
        <v>0</v>
      </c>
      <c r="AS1034" s="77">
        <f t="shared" si="3408"/>
        <v>0</v>
      </c>
      <c r="AT1034" s="77">
        <f t="shared" ref="AT1034" si="3574">1-(1-AS1034)^(1/12)</f>
        <v>0</v>
      </c>
      <c r="AU1034" s="77">
        <f t="shared" si="3410"/>
        <v>2.5000000000000001E-3</v>
      </c>
      <c r="AV1034" s="77">
        <f t="shared" ref="AV1034" si="3575">1-(1-AU1034)^(1/12)</f>
        <v>2.0857243058891584E-4</v>
      </c>
      <c r="AX1034" t="s">
        <v>178</v>
      </c>
      <c r="AY1034" t="s">
        <v>162</v>
      </c>
      <c r="AZ1034" s="197" t="str">
        <f t="shared" si="3490"/>
        <v>DIS_Standard_53</v>
      </c>
      <c r="BA1034">
        <v>53</v>
      </c>
      <c r="BB1034">
        <f>VLOOKUP($BA1034,'[2]Standard DIS'!$Q$1:$X$542,4,FALSE)</f>
        <v>0</v>
      </c>
      <c r="BF1034">
        <f>VLOOKUP($BA1034,'[2]Standard DIS'!$Q$1:$X$542,2,FALSE)</f>
        <v>0.14385908797729607</v>
      </c>
      <c r="BH1034">
        <f>VLOOKUP($BA1034,'[2]Standard DIS'!$Q$1:$X$542,3,FALSE)</f>
        <v>0.85614091202270393</v>
      </c>
      <c r="BI1034" s="77">
        <f t="shared" si="3397"/>
        <v>1</v>
      </c>
      <c r="BJ1034" s="77">
        <f t="shared" si="3398"/>
        <v>5.3259729392898601E-2</v>
      </c>
      <c r="BK1034" s="77">
        <f t="shared" si="3491"/>
        <v>4.3335175925194314E-3</v>
      </c>
      <c r="BL1034" s="79">
        <v>0</v>
      </c>
      <c r="BM1034" s="77">
        <f t="shared" si="3412"/>
        <v>0</v>
      </c>
      <c r="BN1034" s="77">
        <f t="shared" si="3413"/>
        <v>0</v>
      </c>
      <c r="BO1034" s="77">
        <f t="shared" si="3414"/>
        <v>2.5000000000000001E-3</v>
      </c>
      <c r="BP1034" s="77">
        <f t="shared" si="3415"/>
        <v>2.0809499864316017E-4</v>
      </c>
    </row>
    <row r="1035" spans="1:68">
      <c r="A1035" t="s">
        <v>175</v>
      </c>
      <c r="B1035" t="s">
        <v>179</v>
      </c>
      <c r="C1035" s="197" t="str">
        <f t="shared" si="3456"/>
        <v>Lifecycle_Dynamic_52</v>
      </c>
      <c r="D1035">
        <v>52</v>
      </c>
      <c r="E1035">
        <f>VLOOKUP($D1035,'[2]LC Dynamic'!$Q$2:$U$542,2,FALSE)</f>
        <v>0.18233333333333335</v>
      </c>
      <c r="F1035">
        <f>VLOOKUP($D1035,'[2]LC Dynamic'!$Q$2:$U$542,3,FALSE)</f>
        <v>0.34733333333333333</v>
      </c>
      <c r="G1035">
        <f>VLOOKUP($D1035,'[2]LC Dynamic'!$Q$2:$U$542,4,FALSE)</f>
        <v>0.47033333333333333</v>
      </c>
      <c r="H1035">
        <f>VLOOKUP($D1035,'[2]LC Dynamic'!$Q$2:$U$542,5,FALSE)</f>
        <v>0</v>
      </c>
      <c r="I1035" s="77">
        <f t="shared" si="3388"/>
        <v>1</v>
      </c>
      <c r="J1035" s="77">
        <f t="shared" si="3389"/>
        <v>5.4443074999999994E-2</v>
      </c>
      <c r="K1035" s="77">
        <f t="shared" si="3463"/>
        <v>4.4275005918326116E-3</v>
      </c>
      <c r="L1035" s="76">
        <v>0</v>
      </c>
      <c r="M1035" s="77">
        <f t="shared" si="3399"/>
        <v>0</v>
      </c>
      <c r="N1035" s="77">
        <f t="shared" si="3400"/>
        <v>0</v>
      </c>
      <c r="O1035" s="77">
        <f t="shared" si="3401"/>
        <v>5.8732666666666666E-3</v>
      </c>
      <c r="P1035" s="77">
        <f t="shared" si="3402"/>
        <v>4.9076138134518388E-4</v>
      </c>
      <c r="R1035" t="s">
        <v>177</v>
      </c>
      <c r="S1035" t="s">
        <v>179</v>
      </c>
      <c r="T1035" s="197" t="str">
        <f t="shared" si="3457"/>
        <v>Autopilot_Dynamic_52</v>
      </c>
      <c r="U1035">
        <v>52</v>
      </c>
      <c r="V1035">
        <f>VLOOKUP($U1035,'[2]AP Dynamic'!$Q$1:$T$542,2,FALSE)</f>
        <v>0.16789925180598556</v>
      </c>
      <c r="W1035">
        <f>VLOOKUP($U1035,'[2]AP Dynamic'!$Q$1:$T$542,3,FALSE)</f>
        <v>0.83210074819401447</v>
      </c>
      <c r="X1035">
        <f>VLOOKUP($U1035,'[2]AP Dynamic'!$Q$1:$T$542,4,FALSE)</f>
        <v>0</v>
      </c>
      <c r="Y1035" s="77">
        <f t="shared" si="3458"/>
        <v>1</v>
      </c>
      <c r="Z1035" s="77">
        <f t="shared" si="3464"/>
        <v>5.3578862567724449E-2</v>
      </c>
      <c r="AA1035" s="77">
        <f t="shared" si="3465"/>
        <v>4.3588731334081032E-3</v>
      </c>
      <c r="AB1035" s="79">
        <v>1</v>
      </c>
      <c r="AC1035" s="77">
        <f t="shared" si="3403"/>
        <v>6.8357985036119704E-3</v>
      </c>
      <c r="AD1035" s="77">
        <f t="shared" ref="AD1035" si="3576">1-(1-AC1035)^(1/12)</f>
        <v>5.7144246434448487E-4</v>
      </c>
      <c r="AE1035" s="77">
        <f t="shared" si="3405"/>
        <v>2.5000000000000001E-3</v>
      </c>
      <c r="AF1035" s="77">
        <f t="shared" ref="AF1035" si="3577">1-(1-AE1035)^(1/12)</f>
        <v>2.0857243058891584E-4</v>
      </c>
      <c r="AH1035" t="s">
        <v>175</v>
      </c>
      <c r="AI1035" t="s">
        <v>179</v>
      </c>
      <c r="AJ1035" s="197" t="str">
        <f t="shared" si="3392"/>
        <v>Lifecycle_Dynamic_52</v>
      </c>
      <c r="AK1035">
        <v>52</v>
      </c>
      <c r="AL1035">
        <f>VLOOKUP($U1035,[2]Standard_Dynamic!$Q$1:$T$542,2,FALSE)</f>
        <v>0.14042477885891186</v>
      </c>
      <c r="AM1035">
        <f>VLOOKUP($U1035,[2]Standard_Dynamic!$Q$1:$T$542,3,FALSE)</f>
        <v>0.85957522114108809</v>
      </c>
      <c r="AN1035">
        <f>VLOOKUP($U1035,[2]Standard_Dynamic!$Q$1:$T$542,4,FALSE)</f>
        <v>0</v>
      </c>
      <c r="AO1035" s="77">
        <f t="shared" si="3393"/>
        <v>1</v>
      </c>
      <c r="AP1035" s="77">
        <f t="shared" si="3407"/>
        <v>5.3214138939352049E-2</v>
      </c>
      <c r="AQ1035" s="77">
        <f t="shared" si="3394"/>
        <v>4.3298947975181079E-3</v>
      </c>
      <c r="AR1035" s="79">
        <v>0</v>
      </c>
      <c r="AS1035" s="77">
        <f t="shared" si="3408"/>
        <v>0</v>
      </c>
      <c r="AT1035" s="77">
        <f t="shared" ref="AT1035" si="3578">1-(1-AS1035)^(1/12)</f>
        <v>0</v>
      </c>
      <c r="AU1035" s="77">
        <f t="shared" si="3410"/>
        <v>2.5000000000000001E-3</v>
      </c>
      <c r="AV1035" s="77">
        <f t="shared" ref="AV1035" si="3579">1-(1-AU1035)^(1/12)</f>
        <v>2.0857243058891584E-4</v>
      </c>
      <c r="AX1035" t="s">
        <v>178</v>
      </c>
      <c r="AY1035" t="s">
        <v>162</v>
      </c>
      <c r="AZ1035" s="197" t="str">
        <f t="shared" si="3490"/>
        <v>DIS_Standard_52</v>
      </c>
      <c r="BA1035">
        <v>52</v>
      </c>
      <c r="BB1035">
        <f>VLOOKUP($BA1035,'[2]Standard DIS'!$Q$1:$X$542,4,FALSE)</f>
        <v>0</v>
      </c>
      <c r="BF1035">
        <f>VLOOKUP($BA1035,'[2]Standard DIS'!$Q$1:$X$542,2,FALSE)</f>
        <v>0.14042477885891186</v>
      </c>
      <c r="BH1035">
        <f>VLOOKUP($BA1035,'[2]Standard DIS'!$Q$1:$X$542,3,FALSE)</f>
        <v>0.85957522114108809</v>
      </c>
      <c r="BI1035" s="77">
        <f t="shared" si="3397"/>
        <v>1</v>
      </c>
      <c r="BJ1035" s="77">
        <f t="shared" si="3398"/>
        <v>5.3214138939352049E-2</v>
      </c>
      <c r="BK1035" s="77">
        <f t="shared" si="3491"/>
        <v>4.3298947975181079E-3</v>
      </c>
      <c r="BL1035" s="79">
        <v>0</v>
      </c>
      <c r="BM1035" s="77">
        <f t="shared" si="3412"/>
        <v>0</v>
      </c>
      <c r="BN1035" s="77">
        <f t="shared" si="3413"/>
        <v>0</v>
      </c>
      <c r="BO1035" s="77">
        <f t="shared" si="3414"/>
        <v>2.5000000000000001E-3</v>
      </c>
      <c r="BP1035" s="77">
        <f t="shared" si="3415"/>
        <v>2.0809499864316017E-4</v>
      </c>
    </row>
    <row r="1036" spans="1:68">
      <c r="A1036" t="s">
        <v>175</v>
      </c>
      <c r="B1036" t="s">
        <v>179</v>
      </c>
      <c r="C1036" s="197" t="str">
        <f t="shared" si="3456"/>
        <v>Lifecycle_Dynamic_51</v>
      </c>
      <c r="D1036">
        <v>51</v>
      </c>
      <c r="E1036">
        <f>VLOOKUP($D1036,'[2]LC Dynamic'!$Q$2:$U$542,2,FALSE)</f>
        <v>0.18575</v>
      </c>
      <c r="F1036">
        <f>VLOOKUP($D1036,'[2]LC Dynamic'!$Q$2:$U$542,3,FALSE)</f>
        <v>0.34575</v>
      </c>
      <c r="G1036">
        <f>VLOOKUP($D1036,'[2]LC Dynamic'!$Q$2:$U$542,4,FALSE)</f>
        <v>0.46850000000000003</v>
      </c>
      <c r="H1036">
        <f>VLOOKUP($D1036,'[2]LC Dynamic'!$Q$2:$U$542,5,FALSE)</f>
        <v>0</v>
      </c>
      <c r="I1036" s="77">
        <f t="shared" si="3388"/>
        <v>1</v>
      </c>
      <c r="J1036" s="77">
        <f t="shared" si="3389"/>
        <v>5.4395506250000003E-2</v>
      </c>
      <c r="K1036" s="77">
        <f t="shared" si="3463"/>
        <v>4.4237244792928454E-3</v>
      </c>
      <c r="L1036" s="76">
        <v>0</v>
      </c>
      <c r="M1036" s="77">
        <f t="shared" si="3399"/>
        <v>0</v>
      </c>
      <c r="N1036" s="77">
        <f t="shared" si="3400"/>
        <v>0</v>
      </c>
      <c r="O1036" s="77">
        <f t="shared" si="3401"/>
        <v>5.8589250000000009E-3</v>
      </c>
      <c r="P1036" s="77">
        <f t="shared" si="3402"/>
        <v>4.895597795550044E-4</v>
      </c>
      <c r="R1036" t="s">
        <v>177</v>
      </c>
      <c r="S1036" t="s">
        <v>179</v>
      </c>
      <c r="T1036" s="197" t="str">
        <f t="shared" si="3457"/>
        <v>Autopilot_Dynamic_51</v>
      </c>
      <c r="U1036">
        <v>51</v>
      </c>
      <c r="V1036">
        <f>VLOOKUP($U1036,'[2]AP Dynamic'!$Q$1:$T$542,2,FALSE)</f>
        <v>0.16789925180598556</v>
      </c>
      <c r="W1036">
        <f>VLOOKUP($U1036,'[2]AP Dynamic'!$Q$1:$T$542,3,FALSE)</f>
        <v>0.83210074819401447</v>
      </c>
      <c r="X1036">
        <f>VLOOKUP($U1036,'[2]AP Dynamic'!$Q$1:$T$542,4,FALSE)</f>
        <v>0</v>
      </c>
      <c r="Y1036" s="77">
        <f t="shared" si="3458"/>
        <v>1</v>
      </c>
      <c r="Z1036" s="77">
        <f t="shared" si="3464"/>
        <v>5.3578862567724449E-2</v>
      </c>
      <c r="AA1036" s="77">
        <f t="shared" si="3465"/>
        <v>4.3588731334081032E-3</v>
      </c>
      <c r="AB1036" s="79">
        <v>1</v>
      </c>
      <c r="AC1036" s="77">
        <f t="shared" si="3403"/>
        <v>6.8357985036119704E-3</v>
      </c>
      <c r="AD1036" s="77">
        <f t="shared" ref="AD1036" si="3580">1-(1-AC1036)^(1/12)</f>
        <v>5.7144246434448487E-4</v>
      </c>
      <c r="AE1036" s="77">
        <f t="shared" si="3405"/>
        <v>2.5000000000000001E-3</v>
      </c>
      <c r="AF1036" s="77">
        <f t="shared" ref="AF1036" si="3581">1-(1-AE1036)^(1/12)</f>
        <v>2.0857243058891584E-4</v>
      </c>
      <c r="AH1036" t="s">
        <v>175</v>
      </c>
      <c r="AI1036" t="s">
        <v>179</v>
      </c>
      <c r="AJ1036" s="197" t="str">
        <f t="shared" si="3392"/>
        <v>Lifecycle_Dynamic_51</v>
      </c>
      <c r="AK1036">
        <v>51</v>
      </c>
      <c r="AL1036">
        <f>VLOOKUP($U1036,[2]Standard_Dynamic!$Q$1:$T$542,2,FALSE)</f>
        <v>0.13699046974052764</v>
      </c>
      <c r="AM1036">
        <f>VLOOKUP($U1036,[2]Standard_Dynamic!$Q$1:$T$542,3,FALSE)</f>
        <v>0.86300953025947236</v>
      </c>
      <c r="AN1036">
        <f>VLOOKUP($U1036,[2]Standard_Dynamic!$Q$1:$T$542,4,FALSE)</f>
        <v>0</v>
      </c>
      <c r="AO1036" s="77">
        <f t="shared" si="3393"/>
        <v>1</v>
      </c>
      <c r="AP1036" s="77">
        <f t="shared" si="3407"/>
        <v>5.3168548485805496E-2</v>
      </c>
      <c r="AQ1036" s="77">
        <f t="shared" si="3394"/>
        <v>4.3262718587624427E-3</v>
      </c>
      <c r="AR1036" s="79">
        <v>0</v>
      </c>
      <c r="AS1036" s="77">
        <f t="shared" si="3408"/>
        <v>0</v>
      </c>
      <c r="AT1036" s="77">
        <f t="shared" ref="AT1036" si="3582">1-(1-AS1036)^(1/12)</f>
        <v>0</v>
      </c>
      <c r="AU1036" s="77">
        <f t="shared" si="3410"/>
        <v>2.5000000000000001E-3</v>
      </c>
      <c r="AV1036" s="77">
        <f t="shared" ref="AV1036" si="3583">1-(1-AU1036)^(1/12)</f>
        <v>2.0857243058891584E-4</v>
      </c>
      <c r="AX1036" t="s">
        <v>178</v>
      </c>
      <c r="AY1036" t="s">
        <v>162</v>
      </c>
      <c r="AZ1036" s="197" t="str">
        <f t="shared" si="3490"/>
        <v>DIS_Standard_51</v>
      </c>
      <c r="BA1036">
        <v>51</v>
      </c>
      <c r="BB1036">
        <f>VLOOKUP($BA1036,'[2]Standard DIS'!$Q$1:$X$542,4,FALSE)</f>
        <v>0</v>
      </c>
      <c r="BF1036">
        <f>VLOOKUP($BA1036,'[2]Standard DIS'!$Q$1:$X$542,2,FALSE)</f>
        <v>0.13699046974052764</v>
      </c>
      <c r="BH1036">
        <f>VLOOKUP($BA1036,'[2]Standard DIS'!$Q$1:$X$542,3,FALSE)</f>
        <v>0.86300953025947236</v>
      </c>
      <c r="BI1036" s="77">
        <f t="shared" si="3397"/>
        <v>1</v>
      </c>
      <c r="BJ1036" s="77">
        <f t="shared" si="3398"/>
        <v>5.3168548485805496E-2</v>
      </c>
      <c r="BK1036" s="77">
        <f t="shared" si="3491"/>
        <v>4.3262718587624427E-3</v>
      </c>
      <c r="BL1036" s="79">
        <v>0</v>
      </c>
      <c r="BM1036" s="77">
        <f t="shared" si="3412"/>
        <v>0</v>
      </c>
      <c r="BN1036" s="77">
        <f t="shared" si="3413"/>
        <v>0</v>
      </c>
      <c r="BO1036" s="77">
        <f t="shared" si="3414"/>
        <v>2.5000000000000001E-3</v>
      </c>
      <c r="BP1036" s="77">
        <f t="shared" si="3415"/>
        <v>2.0809499864316017E-4</v>
      </c>
    </row>
    <row r="1037" spans="1:68">
      <c r="A1037" t="s">
        <v>175</v>
      </c>
      <c r="B1037" t="s">
        <v>179</v>
      </c>
      <c r="C1037" s="197" t="str">
        <f t="shared" si="3456"/>
        <v>Lifecycle_Dynamic_50</v>
      </c>
      <c r="D1037">
        <v>50</v>
      </c>
      <c r="E1037">
        <f>VLOOKUP($D1037,'[2]LC Dynamic'!$Q$2:$U$542,2,FALSE)</f>
        <v>0.18916666666666668</v>
      </c>
      <c r="F1037">
        <f>VLOOKUP($D1037,'[2]LC Dynamic'!$Q$2:$U$542,3,FALSE)</f>
        <v>0.34416666666666668</v>
      </c>
      <c r="G1037">
        <f>VLOOKUP($D1037,'[2]LC Dynamic'!$Q$2:$U$542,4,FALSE)</f>
        <v>0.46666666666666667</v>
      </c>
      <c r="H1037">
        <f>VLOOKUP($D1037,'[2]LC Dynamic'!$Q$2:$U$542,5,FALSE)</f>
        <v>0</v>
      </c>
      <c r="I1037" s="77">
        <f t="shared" si="3388"/>
        <v>1</v>
      </c>
      <c r="J1037" s="77">
        <f t="shared" si="3389"/>
        <v>5.4347937499999999E-2</v>
      </c>
      <c r="K1037" s="77">
        <f t="shared" si="3463"/>
        <v>4.4199482105884424E-3</v>
      </c>
      <c r="L1037" s="76">
        <v>0</v>
      </c>
      <c r="M1037" s="77">
        <f t="shared" si="3399"/>
        <v>0</v>
      </c>
      <c r="N1037" s="77">
        <f t="shared" si="3400"/>
        <v>0</v>
      </c>
      <c r="O1037" s="77">
        <f t="shared" si="3401"/>
        <v>5.8445833333333336E-3</v>
      </c>
      <c r="P1037" s="77">
        <f t="shared" si="3402"/>
        <v>4.8835819365478095E-4</v>
      </c>
      <c r="R1037" t="s">
        <v>177</v>
      </c>
      <c r="S1037" t="s">
        <v>179</v>
      </c>
      <c r="T1037" s="197" t="str">
        <f t="shared" si="3457"/>
        <v>Autopilot_Dynamic_50</v>
      </c>
      <c r="U1037">
        <v>50</v>
      </c>
      <c r="V1037">
        <f>VLOOKUP($U1037,'[2]AP Dynamic'!$Q$1:$T$542,2,FALSE)</f>
        <v>0.16789925180598556</v>
      </c>
      <c r="W1037">
        <f>VLOOKUP($U1037,'[2]AP Dynamic'!$Q$1:$T$542,3,FALSE)</f>
        <v>0.83210074819401447</v>
      </c>
      <c r="X1037">
        <f>VLOOKUP($U1037,'[2]AP Dynamic'!$Q$1:$T$542,4,FALSE)</f>
        <v>0</v>
      </c>
      <c r="Y1037" s="77">
        <f t="shared" si="3458"/>
        <v>1</v>
      </c>
      <c r="Z1037" s="77">
        <f t="shared" si="3464"/>
        <v>5.3578862567724449E-2</v>
      </c>
      <c r="AA1037" s="77">
        <f t="shared" si="3465"/>
        <v>4.3588731334081032E-3</v>
      </c>
      <c r="AB1037" s="79">
        <v>1</v>
      </c>
      <c r="AC1037" s="77">
        <f t="shared" si="3403"/>
        <v>6.8357985036119704E-3</v>
      </c>
      <c r="AD1037" s="77">
        <f t="shared" ref="AD1037" si="3584">1-(1-AC1037)^(1/12)</f>
        <v>5.7144246434448487E-4</v>
      </c>
      <c r="AE1037" s="77">
        <f t="shared" si="3405"/>
        <v>2.5000000000000001E-3</v>
      </c>
      <c r="AF1037" s="77">
        <f t="shared" ref="AF1037" si="3585">1-(1-AE1037)^(1/12)</f>
        <v>2.0857243058891584E-4</v>
      </c>
      <c r="AH1037" t="s">
        <v>175</v>
      </c>
      <c r="AI1037" t="s">
        <v>179</v>
      </c>
      <c r="AJ1037" s="197" t="str">
        <f t="shared" si="3392"/>
        <v>Lifecycle_Dynamic_50</v>
      </c>
      <c r="AK1037">
        <v>50</v>
      </c>
      <c r="AL1037">
        <f>VLOOKUP($U1037,[2]Standard_Dynamic!$Q$1:$T$542,2,FALSE)</f>
        <v>0.13355616062214345</v>
      </c>
      <c r="AM1037">
        <f>VLOOKUP($U1037,[2]Standard_Dynamic!$Q$1:$T$542,3,FALSE)</f>
        <v>0.86644383937785652</v>
      </c>
      <c r="AN1037">
        <f>VLOOKUP($U1037,[2]Standard_Dynamic!$Q$1:$T$542,4,FALSE)</f>
        <v>0</v>
      </c>
      <c r="AO1037" s="77">
        <f t="shared" si="3393"/>
        <v>1</v>
      </c>
      <c r="AP1037" s="77">
        <f t="shared" si="3407"/>
        <v>5.3122958032258943E-2</v>
      </c>
      <c r="AQ1037" s="77">
        <f t="shared" si="3394"/>
        <v>4.3226487762404453E-3</v>
      </c>
      <c r="AR1037" s="79">
        <v>0</v>
      </c>
      <c r="AS1037" s="77">
        <f t="shared" si="3408"/>
        <v>0</v>
      </c>
      <c r="AT1037" s="77">
        <f t="shared" ref="AT1037" si="3586">1-(1-AS1037)^(1/12)</f>
        <v>0</v>
      </c>
      <c r="AU1037" s="77">
        <f t="shared" si="3410"/>
        <v>2.5000000000000001E-3</v>
      </c>
      <c r="AV1037" s="77">
        <f t="shared" ref="AV1037" si="3587">1-(1-AU1037)^(1/12)</f>
        <v>2.0857243058891584E-4</v>
      </c>
      <c r="AX1037" t="s">
        <v>178</v>
      </c>
      <c r="AY1037" t="s">
        <v>162</v>
      </c>
      <c r="AZ1037" s="197" t="str">
        <f t="shared" si="3490"/>
        <v>DIS_Standard_50</v>
      </c>
      <c r="BA1037">
        <v>50</v>
      </c>
      <c r="BB1037">
        <f>VLOOKUP($BA1037,'[2]Standard DIS'!$Q$1:$X$542,4,FALSE)</f>
        <v>0</v>
      </c>
      <c r="BF1037">
        <f>VLOOKUP($BA1037,'[2]Standard DIS'!$Q$1:$X$542,2,FALSE)</f>
        <v>0.13355616062214345</v>
      </c>
      <c r="BH1037">
        <f>VLOOKUP($BA1037,'[2]Standard DIS'!$Q$1:$X$542,3,FALSE)</f>
        <v>0.86644383937785652</v>
      </c>
      <c r="BI1037" s="77">
        <f t="shared" si="3397"/>
        <v>1</v>
      </c>
      <c r="BJ1037" s="77">
        <f t="shared" si="3398"/>
        <v>5.3122958032258943E-2</v>
      </c>
      <c r="BK1037" s="77">
        <f t="shared" si="3491"/>
        <v>4.3226487762404453E-3</v>
      </c>
      <c r="BL1037" s="79">
        <v>0</v>
      </c>
      <c r="BM1037" s="77">
        <f t="shared" si="3412"/>
        <v>0</v>
      </c>
      <c r="BN1037" s="77">
        <f t="shared" si="3413"/>
        <v>0</v>
      </c>
      <c r="BO1037" s="77">
        <f t="shared" si="3414"/>
        <v>2.5000000000000001E-3</v>
      </c>
      <c r="BP1037" s="77">
        <f t="shared" si="3415"/>
        <v>2.0809499864316017E-4</v>
      </c>
    </row>
    <row r="1038" spans="1:68">
      <c r="A1038" t="s">
        <v>175</v>
      </c>
      <c r="B1038" t="s">
        <v>179</v>
      </c>
      <c r="C1038" s="197" t="str">
        <f t="shared" si="3456"/>
        <v>Lifecycle_Dynamic_49</v>
      </c>
      <c r="D1038">
        <v>49</v>
      </c>
      <c r="E1038">
        <f>VLOOKUP($D1038,'[2]LC Dynamic'!$Q$2:$U$542,2,FALSE)</f>
        <v>0.19258333333333333</v>
      </c>
      <c r="F1038">
        <f>VLOOKUP($D1038,'[2]LC Dynamic'!$Q$2:$U$542,3,FALSE)</f>
        <v>0.34258333333333335</v>
      </c>
      <c r="G1038">
        <f>VLOOKUP($D1038,'[2]LC Dynamic'!$Q$2:$U$542,4,FALSE)</f>
        <v>0.46483333333333338</v>
      </c>
      <c r="H1038">
        <f>VLOOKUP($D1038,'[2]LC Dynamic'!$Q$2:$U$542,5,FALSE)</f>
        <v>0</v>
      </c>
      <c r="I1038" s="77">
        <f t="shared" si="3388"/>
        <v>1</v>
      </c>
      <c r="J1038" s="77">
        <f t="shared" si="3389"/>
        <v>5.4300368749999994E-2</v>
      </c>
      <c r="K1038" s="77">
        <f t="shared" si="3463"/>
        <v>4.4161717857054139E-3</v>
      </c>
      <c r="L1038" s="76">
        <v>0</v>
      </c>
      <c r="M1038" s="77">
        <f t="shared" si="3399"/>
        <v>0</v>
      </c>
      <c r="N1038" s="77">
        <f t="shared" si="3400"/>
        <v>0</v>
      </c>
      <c r="O1038" s="77">
        <f t="shared" si="3401"/>
        <v>5.8302416666666662E-3</v>
      </c>
      <c r="P1038" s="77">
        <f t="shared" si="3402"/>
        <v>4.8715662364384738E-4</v>
      </c>
      <c r="R1038" t="s">
        <v>177</v>
      </c>
      <c r="S1038" t="s">
        <v>179</v>
      </c>
      <c r="T1038" s="197" t="str">
        <f t="shared" si="3457"/>
        <v>Autopilot_Dynamic_49</v>
      </c>
      <c r="U1038">
        <v>49</v>
      </c>
      <c r="V1038">
        <f>VLOOKUP($U1038,'[2]AP Dynamic'!$Q$1:$T$542,2,FALSE)</f>
        <v>0.16789925180598556</v>
      </c>
      <c r="W1038">
        <f>VLOOKUP($U1038,'[2]AP Dynamic'!$Q$1:$T$542,3,FALSE)</f>
        <v>0.83210074819401447</v>
      </c>
      <c r="X1038">
        <f>VLOOKUP($U1038,'[2]AP Dynamic'!$Q$1:$T$542,4,FALSE)</f>
        <v>0</v>
      </c>
      <c r="Y1038" s="77">
        <f t="shared" si="3458"/>
        <v>1</v>
      </c>
      <c r="Z1038" s="77">
        <f t="shared" si="3464"/>
        <v>5.3578862567724449E-2</v>
      </c>
      <c r="AA1038" s="77">
        <f t="shared" si="3465"/>
        <v>4.3588731334081032E-3</v>
      </c>
      <c r="AB1038" s="79">
        <v>1</v>
      </c>
      <c r="AC1038" s="77">
        <f t="shared" si="3403"/>
        <v>6.8357985036119704E-3</v>
      </c>
      <c r="AD1038" s="77">
        <f t="shared" ref="AD1038" si="3588">1-(1-AC1038)^(1/12)</f>
        <v>5.7144246434448487E-4</v>
      </c>
      <c r="AE1038" s="77">
        <f t="shared" si="3405"/>
        <v>2.5000000000000001E-3</v>
      </c>
      <c r="AF1038" s="77">
        <f t="shared" ref="AF1038" si="3589">1-(1-AE1038)^(1/12)</f>
        <v>2.0857243058891584E-4</v>
      </c>
      <c r="AH1038" t="s">
        <v>175</v>
      </c>
      <c r="AI1038" t="s">
        <v>179</v>
      </c>
      <c r="AJ1038" s="197" t="str">
        <f t="shared" si="3392"/>
        <v>Lifecycle_Dynamic_49</v>
      </c>
      <c r="AK1038">
        <v>49</v>
      </c>
      <c r="AL1038">
        <f>VLOOKUP($U1038,[2]Standard_Dynamic!$Q$1:$T$542,2,FALSE)</f>
        <v>0.13012185150375924</v>
      </c>
      <c r="AM1038">
        <f>VLOOKUP($U1038,[2]Standard_Dynamic!$Q$1:$T$542,3,FALSE)</f>
        <v>0.86987814849624079</v>
      </c>
      <c r="AN1038">
        <f>VLOOKUP($U1038,[2]Standard_Dynamic!$Q$1:$T$542,4,FALSE)</f>
        <v>0</v>
      </c>
      <c r="AO1038" s="77">
        <f t="shared" si="3393"/>
        <v>1</v>
      </c>
      <c r="AP1038" s="77">
        <f t="shared" si="3407"/>
        <v>5.3077367578712398E-2</v>
      </c>
      <c r="AQ1038" s="77">
        <f t="shared" si="3394"/>
        <v>4.3190255499401253E-3</v>
      </c>
      <c r="AR1038" s="79">
        <v>0</v>
      </c>
      <c r="AS1038" s="77">
        <f t="shared" si="3408"/>
        <v>0</v>
      </c>
      <c r="AT1038" s="77">
        <f t="shared" ref="AT1038" si="3590">1-(1-AS1038)^(1/12)</f>
        <v>0</v>
      </c>
      <c r="AU1038" s="77">
        <f t="shared" si="3410"/>
        <v>2.5000000000000001E-3</v>
      </c>
      <c r="AV1038" s="77">
        <f t="shared" ref="AV1038" si="3591">1-(1-AU1038)^(1/12)</f>
        <v>2.0857243058891584E-4</v>
      </c>
      <c r="AX1038" t="s">
        <v>178</v>
      </c>
      <c r="AY1038" t="s">
        <v>162</v>
      </c>
      <c r="AZ1038" s="197" t="str">
        <f t="shared" si="3490"/>
        <v>DIS_Standard_49</v>
      </c>
      <c r="BA1038">
        <v>49</v>
      </c>
      <c r="BB1038">
        <f>VLOOKUP($BA1038,'[2]Standard DIS'!$Q$1:$X$542,4,FALSE)</f>
        <v>0</v>
      </c>
      <c r="BF1038">
        <f>VLOOKUP($BA1038,'[2]Standard DIS'!$Q$1:$X$542,2,FALSE)</f>
        <v>0.13012185150375924</v>
      </c>
      <c r="BH1038">
        <f>VLOOKUP($BA1038,'[2]Standard DIS'!$Q$1:$X$542,3,FALSE)</f>
        <v>0.86987814849624079</v>
      </c>
      <c r="BI1038" s="77">
        <f t="shared" si="3397"/>
        <v>1</v>
      </c>
      <c r="BJ1038" s="77">
        <f t="shared" si="3398"/>
        <v>5.3077367578712398E-2</v>
      </c>
      <c r="BK1038" s="77">
        <f t="shared" si="3491"/>
        <v>4.3190255499401253E-3</v>
      </c>
      <c r="BL1038" s="79">
        <v>0</v>
      </c>
      <c r="BM1038" s="77">
        <f t="shared" si="3412"/>
        <v>0</v>
      </c>
      <c r="BN1038" s="77">
        <f t="shared" si="3413"/>
        <v>0</v>
      </c>
      <c r="BO1038" s="77">
        <f t="shared" si="3414"/>
        <v>2.5000000000000001E-3</v>
      </c>
      <c r="BP1038" s="77">
        <f t="shared" si="3415"/>
        <v>2.0809499864316017E-4</v>
      </c>
    </row>
    <row r="1039" spans="1:68">
      <c r="A1039" t="s">
        <v>175</v>
      </c>
      <c r="B1039" t="s">
        <v>179</v>
      </c>
      <c r="C1039" s="197" t="str">
        <f t="shared" si="3456"/>
        <v>Lifecycle_Dynamic_48</v>
      </c>
      <c r="D1039">
        <v>48</v>
      </c>
      <c r="E1039">
        <f>VLOOKUP($D1039,'[2]LC Dynamic'!$Q$2:$U$542,2,FALSE)</f>
        <v>0.19600000000000001</v>
      </c>
      <c r="F1039">
        <f>VLOOKUP($D1039,'[2]LC Dynamic'!$Q$2:$U$542,3,FALSE)</f>
        <v>0.34100000000000003</v>
      </c>
      <c r="G1039">
        <f>VLOOKUP($D1039,'[2]LC Dynamic'!$Q$2:$U$542,4,FALSE)</f>
        <v>0.46300000000000002</v>
      </c>
      <c r="H1039">
        <f>VLOOKUP($D1039,'[2]LC Dynamic'!$Q$2:$U$542,5,FALSE)</f>
        <v>0</v>
      </c>
      <c r="I1039" s="77">
        <f t="shared" si="3388"/>
        <v>1</v>
      </c>
      <c r="J1039" s="77">
        <f t="shared" si="3389"/>
        <v>5.4252800000000004E-2</v>
      </c>
      <c r="K1039" s="77">
        <f t="shared" si="3463"/>
        <v>4.4123952046304371E-3</v>
      </c>
      <c r="L1039" s="76">
        <v>0</v>
      </c>
      <c r="M1039" s="77">
        <f t="shared" si="3399"/>
        <v>0</v>
      </c>
      <c r="N1039" s="77">
        <f t="shared" si="3400"/>
        <v>0</v>
      </c>
      <c r="O1039" s="77">
        <f t="shared" si="3401"/>
        <v>5.8159000000000006E-3</v>
      </c>
      <c r="P1039" s="77">
        <f t="shared" si="3402"/>
        <v>4.8595506952198164E-4</v>
      </c>
      <c r="R1039" t="s">
        <v>177</v>
      </c>
      <c r="S1039" t="s">
        <v>179</v>
      </c>
      <c r="T1039" s="197" t="str">
        <f t="shared" si="3457"/>
        <v>Autopilot_Dynamic_48</v>
      </c>
      <c r="U1039">
        <v>48</v>
      </c>
      <c r="V1039">
        <f>VLOOKUP($U1039,'[2]AP Dynamic'!$Q$1:$T$542,2,FALSE)</f>
        <v>0.12668754238537502</v>
      </c>
      <c r="W1039">
        <f>VLOOKUP($U1039,'[2]AP Dynamic'!$Q$1:$T$542,3,FALSE)</f>
        <v>0.87331245761462495</v>
      </c>
      <c r="X1039">
        <f>VLOOKUP($U1039,'[2]AP Dynamic'!$Q$1:$T$542,4,FALSE)</f>
        <v>0</v>
      </c>
      <c r="Y1039" s="77">
        <f t="shared" si="3458"/>
        <v>1</v>
      </c>
      <c r="Z1039" s="77">
        <f t="shared" si="3464"/>
        <v>5.3031777125165845E-2</v>
      </c>
      <c r="AA1039" s="77">
        <f t="shared" si="3465"/>
        <v>4.3154021798499365E-3</v>
      </c>
      <c r="AB1039" s="79">
        <v>1</v>
      </c>
      <c r="AC1039" s="77">
        <f t="shared" si="3403"/>
        <v>6.7533750847707501E-3</v>
      </c>
      <c r="AD1039" s="77">
        <f t="shared" ref="AD1039" si="3592">1-(1-AC1039)^(1/12)</f>
        <v>5.6453078538454271E-4</v>
      </c>
      <c r="AE1039" s="77">
        <f t="shared" si="3405"/>
        <v>2.4999999999999996E-3</v>
      </c>
      <c r="AF1039" s="77">
        <f t="shared" ref="AF1039" si="3593">1-(1-AE1039)^(1/12)</f>
        <v>2.0857243058891584E-4</v>
      </c>
      <c r="AH1039" t="s">
        <v>175</v>
      </c>
      <c r="AI1039" t="s">
        <v>179</v>
      </c>
      <c r="AJ1039" s="197" t="str">
        <f t="shared" si="3392"/>
        <v>Lifecycle_Dynamic_48</v>
      </c>
      <c r="AK1039">
        <v>48</v>
      </c>
      <c r="AL1039">
        <f>VLOOKUP($U1039,[2]Standard_Dynamic!$Q$1:$T$542,2,FALSE)</f>
        <v>0.12668754238537502</v>
      </c>
      <c r="AM1039">
        <f>VLOOKUP($U1039,[2]Standard_Dynamic!$Q$1:$T$542,3,FALSE)</f>
        <v>0.87331245761462495</v>
      </c>
      <c r="AN1039">
        <f>VLOOKUP($U1039,[2]Standard_Dynamic!$Q$1:$T$542,4,FALSE)</f>
        <v>0</v>
      </c>
      <c r="AO1039" s="77">
        <f t="shared" si="3393"/>
        <v>1</v>
      </c>
      <c r="AP1039" s="77">
        <f t="shared" si="3407"/>
        <v>5.3031777125165845E-2</v>
      </c>
      <c r="AQ1039" s="77">
        <f t="shared" si="3394"/>
        <v>4.3154021798499365E-3</v>
      </c>
      <c r="AR1039" s="79">
        <v>0</v>
      </c>
      <c r="AS1039" s="77">
        <f t="shared" si="3408"/>
        <v>0</v>
      </c>
      <c r="AT1039" s="77">
        <f t="shared" ref="AT1039" si="3594">1-(1-AS1039)^(1/12)</f>
        <v>0</v>
      </c>
      <c r="AU1039" s="77">
        <f t="shared" si="3410"/>
        <v>2.4999999999999996E-3</v>
      </c>
      <c r="AV1039" s="77">
        <f t="shared" ref="AV1039" si="3595">1-(1-AU1039)^(1/12)</f>
        <v>2.0857243058891584E-4</v>
      </c>
      <c r="AX1039" t="s">
        <v>178</v>
      </c>
      <c r="AY1039" t="s">
        <v>162</v>
      </c>
      <c r="AZ1039" s="197" t="str">
        <f t="shared" si="3490"/>
        <v>DIS_Standard_48</v>
      </c>
      <c r="BA1039">
        <v>48</v>
      </c>
      <c r="BB1039">
        <f>VLOOKUP($BA1039,'[2]Standard DIS'!$Q$1:$X$542,4,FALSE)</f>
        <v>0</v>
      </c>
      <c r="BF1039">
        <f>VLOOKUP($BA1039,'[2]Standard DIS'!$Q$1:$X$542,2,FALSE)</f>
        <v>0.12668754238537502</v>
      </c>
      <c r="BH1039">
        <f>VLOOKUP($BA1039,'[2]Standard DIS'!$Q$1:$X$542,3,FALSE)</f>
        <v>0.87331245761462495</v>
      </c>
      <c r="BI1039" s="77">
        <f t="shared" si="3397"/>
        <v>1</v>
      </c>
      <c r="BJ1039" s="77">
        <f t="shared" si="3398"/>
        <v>5.3031777125165845E-2</v>
      </c>
      <c r="BK1039" s="77">
        <f t="shared" si="3491"/>
        <v>4.3154021798499365E-3</v>
      </c>
      <c r="BL1039" s="79">
        <v>0</v>
      </c>
      <c r="BM1039" s="77">
        <f t="shared" si="3412"/>
        <v>0</v>
      </c>
      <c r="BN1039" s="77">
        <f t="shared" si="3413"/>
        <v>0</v>
      </c>
      <c r="BO1039" s="77">
        <f t="shared" si="3414"/>
        <v>2.4999999999999996E-3</v>
      </c>
      <c r="BP1039" s="77">
        <f t="shared" si="3415"/>
        <v>2.0809499864316017E-4</v>
      </c>
    </row>
    <row r="1040" spans="1:68">
      <c r="A1040" t="s">
        <v>175</v>
      </c>
      <c r="B1040" t="s">
        <v>179</v>
      </c>
      <c r="C1040" s="197" t="str">
        <f t="shared" si="3456"/>
        <v>Lifecycle_Dynamic_47</v>
      </c>
      <c r="D1040">
        <v>47</v>
      </c>
      <c r="E1040">
        <f>VLOOKUP($D1040,'[2]LC Dynamic'!$Q$2:$U$542,2,FALSE)</f>
        <v>0.19925000000000001</v>
      </c>
      <c r="F1040">
        <f>VLOOKUP($D1040,'[2]LC Dynamic'!$Q$2:$U$542,3,FALSE)</f>
        <v>0.33933333333333338</v>
      </c>
      <c r="G1040">
        <f>VLOOKUP($D1040,'[2]LC Dynamic'!$Q$2:$U$542,4,FALSE)</f>
        <v>0.4614166666666667</v>
      </c>
      <c r="H1040">
        <f>VLOOKUP($D1040,'[2]LC Dynamic'!$Q$2:$U$542,5,FALSE)</f>
        <v>0</v>
      </c>
      <c r="I1040" s="77">
        <f t="shared" si="3388"/>
        <v>1</v>
      </c>
      <c r="J1040" s="77">
        <f t="shared" si="3389"/>
        <v>5.4210393750000002E-2</v>
      </c>
      <c r="K1040" s="77">
        <f t="shared" si="3463"/>
        <v>4.4090283533713137E-3</v>
      </c>
      <c r="L1040" s="76">
        <v>0</v>
      </c>
      <c r="M1040" s="77">
        <f t="shared" si="3399"/>
        <v>0</v>
      </c>
      <c r="N1040" s="77">
        <f t="shared" si="3400"/>
        <v>0</v>
      </c>
      <c r="O1040" s="77">
        <f t="shared" si="3401"/>
        <v>5.8024666666666672E-3</v>
      </c>
      <c r="P1040" s="77">
        <f t="shared" si="3402"/>
        <v>4.8482963056606376E-4</v>
      </c>
      <c r="R1040" t="s">
        <v>177</v>
      </c>
      <c r="S1040" t="s">
        <v>179</v>
      </c>
      <c r="T1040" s="197" t="str">
        <f t="shared" si="3457"/>
        <v>Autopilot_Dynamic_47</v>
      </c>
      <c r="U1040">
        <v>47</v>
      </c>
      <c r="V1040">
        <f>VLOOKUP($U1040,'[2]AP Dynamic'!$Q$1:$T$542,2,FALSE)</f>
        <v>0.12668754238537502</v>
      </c>
      <c r="W1040">
        <f>VLOOKUP($U1040,'[2]AP Dynamic'!$Q$1:$T$542,3,FALSE)</f>
        <v>0.87331245761462495</v>
      </c>
      <c r="X1040">
        <f>VLOOKUP($U1040,'[2]AP Dynamic'!$Q$1:$T$542,4,FALSE)</f>
        <v>0</v>
      </c>
      <c r="Y1040" s="77">
        <f t="shared" si="3458"/>
        <v>1</v>
      </c>
      <c r="Z1040" s="77">
        <f t="shared" si="3464"/>
        <v>5.3031777125165845E-2</v>
      </c>
      <c r="AA1040" s="77">
        <f t="shared" si="3465"/>
        <v>4.3154021798499365E-3</v>
      </c>
      <c r="AB1040" s="79">
        <v>1</v>
      </c>
      <c r="AC1040" s="77">
        <f t="shared" si="3403"/>
        <v>6.7533750847707501E-3</v>
      </c>
      <c r="AD1040" s="77">
        <f t="shared" ref="AD1040" si="3596">1-(1-AC1040)^(1/12)</f>
        <v>5.6453078538454271E-4</v>
      </c>
      <c r="AE1040" s="77">
        <f t="shared" si="3405"/>
        <v>2.4999999999999996E-3</v>
      </c>
      <c r="AF1040" s="77">
        <f t="shared" ref="AF1040" si="3597">1-(1-AE1040)^(1/12)</f>
        <v>2.0857243058891584E-4</v>
      </c>
      <c r="AH1040" t="s">
        <v>175</v>
      </c>
      <c r="AI1040" t="s">
        <v>179</v>
      </c>
      <c r="AJ1040" s="197" t="str">
        <f t="shared" si="3392"/>
        <v>Lifecycle_Dynamic_47</v>
      </c>
      <c r="AK1040">
        <v>47</v>
      </c>
      <c r="AL1040">
        <f>VLOOKUP($U1040,[2]Standard_Dynamic!$Q$1:$T$542,2,FALSE)</f>
        <v>0.1236212796083344</v>
      </c>
      <c r="AM1040">
        <f>VLOOKUP($U1040,[2]Standard_Dynamic!$Q$1:$T$542,3,FALSE)</f>
        <v>0.87637872039166553</v>
      </c>
      <c r="AN1040">
        <f>VLOOKUP($U1040,[2]Standard_Dynamic!$Q$1:$T$542,4,FALSE)</f>
        <v>0</v>
      </c>
      <c r="AO1040" s="77">
        <f t="shared" si="3393"/>
        <v>0.99999999999999989</v>
      </c>
      <c r="AP1040" s="77">
        <f t="shared" si="3407"/>
        <v>5.2991072486800628E-2</v>
      </c>
      <c r="AQ1040" s="77">
        <f t="shared" si="3394"/>
        <v>4.3121669957824071E-3</v>
      </c>
      <c r="AR1040" s="79">
        <v>0</v>
      </c>
      <c r="AS1040" s="77">
        <f t="shared" si="3408"/>
        <v>0</v>
      </c>
      <c r="AT1040" s="77">
        <f t="shared" ref="AT1040" si="3598">1-(1-AS1040)^(1/12)</f>
        <v>0</v>
      </c>
      <c r="AU1040" s="77">
        <f t="shared" si="3410"/>
        <v>2.4999999999999996E-3</v>
      </c>
      <c r="AV1040" s="77">
        <f t="shared" ref="AV1040" si="3599">1-(1-AU1040)^(1/12)</f>
        <v>2.0857243058891584E-4</v>
      </c>
      <c r="AX1040" t="s">
        <v>178</v>
      </c>
      <c r="AY1040" t="s">
        <v>162</v>
      </c>
      <c r="AZ1040" s="197" t="str">
        <f t="shared" si="3490"/>
        <v>DIS_Standard_47</v>
      </c>
      <c r="BA1040">
        <v>47</v>
      </c>
      <c r="BB1040">
        <f>VLOOKUP($BA1040,'[2]Standard DIS'!$Q$1:$X$542,4,FALSE)</f>
        <v>0</v>
      </c>
      <c r="BF1040">
        <f>VLOOKUP($BA1040,'[2]Standard DIS'!$Q$1:$X$542,2,FALSE)</f>
        <v>0.1236212796083344</v>
      </c>
      <c r="BH1040">
        <f>VLOOKUP($BA1040,'[2]Standard DIS'!$Q$1:$X$542,3,FALSE)</f>
        <v>0.87637872039166553</v>
      </c>
      <c r="BI1040" s="77">
        <f t="shared" si="3397"/>
        <v>0.99999999999999989</v>
      </c>
      <c r="BJ1040" s="77">
        <f t="shared" si="3398"/>
        <v>5.2991072486800628E-2</v>
      </c>
      <c r="BK1040" s="77">
        <f t="shared" si="3491"/>
        <v>4.3121669957824071E-3</v>
      </c>
      <c r="BL1040" s="79">
        <v>0</v>
      </c>
      <c r="BM1040" s="77">
        <f t="shared" si="3412"/>
        <v>0</v>
      </c>
      <c r="BN1040" s="77">
        <f t="shared" si="3413"/>
        <v>0</v>
      </c>
      <c r="BO1040" s="77">
        <f t="shared" si="3414"/>
        <v>2.4999999999999996E-3</v>
      </c>
      <c r="BP1040" s="77">
        <f t="shared" si="3415"/>
        <v>2.0809499864316017E-4</v>
      </c>
    </row>
    <row r="1041" spans="1:68">
      <c r="A1041" t="s">
        <v>175</v>
      </c>
      <c r="B1041" t="s">
        <v>179</v>
      </c>
      <c r="C1041" s="197" t="str">
        <f t="shared" si="3456"/>
        <v>Lifecycle_Dynamic_46</v>
      </c>
      <c r="D1041">
        <v>46</v>
      </c>
      <c r="E1041">
        <f>VLOOKUP($D1041,'[2]LC Dynamic'!$Q$2:$U$542,2,FALSE)</f>
        <v>0.20250000000000001</v>
      </c>
      <c r="F1041">
        <f>VLOOKUP($D1041,'[2]LC Dynamic'!$Q$2:$U$542,3,FALSE)</f>
        <v>0.33766666666666667</v>
      </c>
      <c r="G1041">
        <f>VLOOKUP($D1041,'[2]LC Dynamic'!$Q$2:$U$542,4,FALSE)</f>
        <v>0.45983333333333337</v>
      </c>
      <c r="H1041">
        <f>VLOOKUP($D1041,'[2]LC Dynamic'!$Q$2:$U$542,5,FALSE)</f>
        <v>0</v>
      </c>
      <c r="I1041" s="77">
        <f t="shared" si="3388"/>
        <v>1</v>
      </c>
      <c r="J1041" s="77">
        <f t="shared" si="3389"/>
        <v>5.4167987500000001E-2</v>
      </c>
      <c r="K1041" s="77">
        <f t="shared" si="3463"/>
        <v>4.4056613779623888E-3</v>
      </c>
      <c r="L1041" s="76">
        <v>0</v>
      </c>
      <c r="M1041" s="77">
        <f t="shared" si="3399"/>
        <v>0</v>
      </c>
      <c r="N1041" s="77">
        <f t="shared" si="3400"/>
        <v>0</v>
      </c>
      <c r="O1041" s="77">
        <f t="shared" si="3401"/>
        <v>5.789033333333333E-3</v>
      </c>
      <c r="P1041" s="77">
        <f t="shared" si="3402"/>
        <v>4.8370420554955107E-4</v>
      </c>
      <c r="R1041" t="s">
        <v>177</v>
      </c>
      <c r="S1041" t="s">
        <v>179</v>
      </c>
      <c r="T1041" s="197" t="str">
        <f t="shared" si="3457"/>
        <v>Autopilot_Dynamic_46</v>
      </c>
      <c r="U1041">
        <v>46</v>
      </c>
      <c r="V1041">
        <f>VLOOKUP($U1041,'[2]AP Dynamic'!$Q$1:$T$542,2,FALSE)</f>
        <v>0.12668754238537502</v>
      </c>
      <c r="W1041">
        <f>VLOOKUP($U1041,'[2]AP Dynamic'!$Q$1:$T$542,3,FALSE)</f>
        <v>0.87331245761462495</v>
      </c>
      <c r="X1041">
        <f>VLOOKUP($U1041,'[2]AP Dynamic'!$Q$1:$T$542,4,FALSE)</f>
        <v>0</v>
      </c>
      <c r="Y1041" s="77">
        <f t="shared" si="3458"/>
        <v>1</v>
      </c>
      <c r="Z1041" s="77">
        <f t="shared" si="3464"/>
        <v>5.3031777125165845E-2</v>
      </c>
      <c r="AA1041" s="77">
        <f t="shared" si="3465"/>
        <v>4.3154021798499365E-3</v>
      </c>
      <c r="AB1041" s="79">
        <v>1</v>
      </c>
      <c r="AC1041" s="77">
        <f t="shared" si="3403"/>
        <v>6.7533750847707501E-3</v>
      </c>
      <c r="AD1041" s="77">
        <f t="shared" ref="AD1041" si="3600">1-(1-AC1041)^(1/12)</f>
        <v>5.6453078538454271E-4</v>
      </c>
      <c r="AE1041" s="77">
        <f t="shared" si="3405"/>
        <v>2.4999999999999996E-3</v>
      </c>
      <c r="AF1041" s="77">
        <f t="shared" ref="AF1041" si="3601">1-(1-AE1041)^(1/12)</f>
        <v>2.0857243058891584E-4</v>
      </c>
      <c r="AH1041" t="s">
        <v>175</v>
      </c>
      <c r="AI1041" t="s">
        <v>179</v>
      </c>
      <c r="AJ1041" s="197" t="str">
        <f t="shared" si="3392"/>
        <v>Lifecycle_Dynamic_46</v>
      </c>
      <c r="AK1041">
        <v>46</v>
      </c>
      <c r="AL1041">
        <f>VLOOKUP($U1041,[2]Standard_Dynamic!$Q$1:$T$542,2,FALSE)</f>
        <v>0.12055501683129377</v>
      </c>
      <c r="AM1041">
        <f>VLOOKUP($U1041,[2]Standard_Dynamic!$Q$1:$T$542,3,FALSE)</f>
        <v>0.87944498316870623</v>
      </c>
      <c r="AN1041">
        <f>VLOOKUP($U1041,[2]Standard_Dynamic!$Q$1:$T$542,4,FALSE)</f>
        <v>0</v>
      </c>
      <c r="AO1041" s="77">
        <f t="shared" si="3393"/>
        <v>1</v>
      </c>
      <c r="AP1041" s="77">
        <f t="shared" si="3407"/>
        <v>5.2950367848435417E-2</v>
      </c>
      <c r="AQ1041" s="77">
        <f t="shared" si="3394"/>
        <v>4.3089316970748026E-3</v>
      </c>
      <c r="AR1041" s="79">
        <v>0</v>
      </c>
      <c r="AS1041" s="77">
        <f t="shared" si="3408"/>
        <v>0</v>
      </c>
      <c r="AT1041" s="77">
        <f t="shared" ref="AT1041" si="3602">1-(1-AS1041)^(1/12)</f>
        <v>0</v>
      </c>
      <c r="AU1041" s="77">
        <f t="shared" si="3410"/>
        <v>2.5000000000000001E-3</v>
      </c>
      <c r="AV1041" s="77">
        <f t="shared" ref="AV1041" si="3603">1-(1-AU1041)^(1/12)</f>
        <v>2.0857243058891584E-4</v>
      </c>
      <c r="AX1041" t="s">
        <v>178</v>
      </c>
      <c r="AY1041" t="s">
        <v>162</v>
      </c>
      <c r="AZ1041" s="197" t="str">
        <f t="shared" si="3490"/>
        <v>DIS_Standard_46</v>
      </c>
      <c r="BA1041">
        <v>46</v>
      </c>
      <c r="BB1041">
        <f>VLOOKUP($BA1041,'[2]Standard DIS'!$Q$1:$X$542,4,FALSE)</f>
        <v>0</v>
      </c>
      <c r="BF1041">
        <f>VLOOKUP($BA1041,'[2]Standard DIS'!$Q$1:$X$542,2,FALSE)</f>
        <v>0.12055501683129377</v>
      </c>
      <c r="BH1041">
        <f>VLOOKUP($BA1041,'[2]Standard DIS'!$Q$1:$X$542,3,FALSE)</f>
        <v>0.87944498316870623</v>
      </c>
      <c r="BI1041" s="77">
        <f t="shared" si="3397"/>
        <v>1</v>
      </c>
      <c r="BJ1041" s="77">
        <f t="shared" si="3398"/>
        <v>5.2950367848435417E-2</v>
      </c>
      <c r="BK1041" s="77">
        <f t="shared" si="3491"/>
        <v>4.3089316970748026E-3</v>
      </c>
      <c r="BL1041" s="79">
        <v>0</v>
      </c>
      <c r="BM1041" s="77">
        <f t="shared" si="3412"/>
        <v>0</v>
      </c>
      <c r="BN1041" s="77">
        <f t="shared" si="3413"/>
        <v>0</v>
      </c>
      <c r="BO1041" s="77">
        <f t="shared" si="3414"/>
        <v>2.5000000000000001E-3</v>
      </c>
      <c r="BP1041" s="77">
        <f t="shared" si="3415"/>
        <v>2.0809499864316017E-4</v>
      </c>
    </row>
    <row r="1042" spans="1:68">
      <c r="A1042" t="s">
        <v>175</v>
      </c>
      <c r="B1042" t="s">
        <v>179</v>
      </c>
      <c r="C1042" s="197" t="str">
        <f t="shared" si="3456"/>
        <v>Lifecycle_Dynamic_45</v>
      </c>
      <c r="D1042">
        <v>45</v>
      </c>
      <c r="E1042">
        <f>VLOOKUP($D1042,'[2]LC Dynamic'!$Q$2:$U$542,2,FALSE)</f>
        <v>0.20574999999999999</v>
      </c>
      <c r="F1042">
        <f>VLOOKUP($D1042,'[2]LC Dynamic'!$Q$2:$U$542,3,FALSE)</f>
        <v>0.33600000000000002</v>
      </c>
      <c r="G1042">
        <f>VLOOKUP($D1042,'[2]LC Dynamic'!$Q$2:$U$542,4,FALSE)</f>
        <v>0.45825000000000005</v>
      </c>
      <c r="H1042">
        <f>VLOOKUP($D1042,'[2]LC Dynamic'!$Q$2:$U$542,5,FALSE)</f>
        <v>0</v>
      </c>
      <c r="I1042" s="77">
        <f t="shared" si="3388"/>
        <v>1</v>
      </c>
      <c r="J1042" s="77">
        <f t="shared" si="3389"/>
        <v>5.4125581249999999E-2</v>
      </c>
      <c r="K1042" s="77">
        <f t="shared" si="3463"/>
        <v>4.4022942783941144E-3</v>
      </c>
      <c r="L1042" s="76">
        <v>0</v>
      </c>
      <c r="M1042" s="77">
        <f t="shared" si="3399"/>
        <v>0</v>
      </c>
      <c r="N1042" s="77">
        <f t="shared" si="3400"/>
        <v>0</v>
      </c>
      <c r="O1042" s="77">
        <f t="shared" si="3401"/>
        <v>5.7756000000000005E-3</v>
      </c>
      <c r="P1042" s="77">
        <f t="shared" si="3402"/>
        <v>4.8257879447188845E-4</v>
      </c>
      <c r="R1042" t="s">
        <v>177</v>
      </c>
      <c r="S1042" t="s">
        <v>179</v>
      </c>
      <c r="T1042" s="197" t="str">
        <f t="shared" si="3457"/>
        <v>Autopilot_Dynamic_45</v>
      </c>
      <c r="U1042">
        <v>45</v>
      </c>
      <c r="V1042">
        <f>VLOOKUP($U1042,'[2]AP Dynamic'!$Q$1:$T$542,2,FALSE)</f>
        <v>0.12668754238537502</v>
      </c>
      <c r="W1042">
        <f>VLOOKUP($U1042,'[2]AP Dynamic'!$Q$1:$T$542,3,FALSE)</f>
        <v>0.87331245761462495</v>
      </c>
      <c r="X1042">
        <f>VLOOKUP($U1042,'[2]AP Dynamic'!$Q$1:$T$542,4,FALSE)</f>
        <v>0</v>
      </c>
      <c r="Y1042" s="77">
        <f t="shared" si="3458"/>
        <v>1</v>
      </c>
      <c r="Z1042" s="77">
        <f t="shared" si="3464"/>
        <v>5.3031777125165845E-2</v>
      </c>
      <c r="AA1042" s="77">
        <f t="shared" si="3465"/>
        <v>4.3154021798499365E-3</v>
      </c>
      <c r="AB1042" s="79">
        <v>1</v>
      </c>
      <c r="AC1042" s="77">
        <f t="shared" si="3403"/>
        <v>6.7533750847707501E-3</v>
      </c>
      <c r="AD1042" s="77">
        <f t="shared" ref="AD1042" si="3604">1-(1-AC1042)^(1/12)</f>
        <v>5.6453078538454271E-4</v>
      </c>
      <c r="AE1042" s="77">
        <f t="shared" si="3405"/>
        <v>2.4999999999999996E-3</v>
      </c>
      <c r="AF1042" s="77">
        <f t="shared" ref="AF1042" si="3605">1-(1-AE1042)^(1/12)</f>
        <v>2.0857243058891584E-4</v>
      </c>
      <c r="AH1042" t="s">
        <v>175</v>
      </c>
      <c r="AI1042" t="s">
        <v>179</v>
      </c>
      <c r="AJ1042" s="197" t="str">
        <f t="shared" si="3392"/>
        <v>Lifecycle_Dynamic_45</v>
      </c>
      <c r="AK1042">
        <v>45</v>
      </c>
      <c r="AL1042">
        <f>VLOOKUP($U1042,[2]Standard_Dynamic!$Q$1:$T$542,2,FALSE)</f>
        <v>0.11748875405425314</v>
      </c>
      <c r="AM1042">
        <f>VLOOKUP($U1042,[2]Standard_Dynamic!$Q$1:$T$542,3,FALSE)</f>
        <v>0.88251124594574681</v>
      </c>
      <c r="AN1042">
        <f>VLOOKUP($U1042,[2]Standard_Dynamic!$Q$1:$T$542,4,FALSE)</f>
        <v>0</v>
      </c>
      <c r="AO1042" s="77">
        <f t="shared" si="3393"/>
        <v>1</v>
      </c>
      <c r="AP1042" s="77">
        <f t="shared" si="3407"/>
        <v>5.2909663210070207E-2</v>
      </c>
      <c r="AQ1042" s="77">
        <f t="shared" si="3394"/>
        <v>4.3056962837182411E-3</v>
      </c>
      <c r="AR1042" s="79">
        <v>0</v>
      </c>
      <c r="AS1042" s="77">
        <f t="shared" si="3408"/>
        <v>0</v>
      </c>
      <c r="AT1042" s="77">
        <f t="shared" ref="AT1042" si="3606">1-(1-AS1042)^(1/12)</f>
        <v>0</v>
      </c>
      <c r="AU1042" s="77">
        <f t="shared" si="3410"/>
        <v>2.5000000000000001E-3</v>
      </c>
      <c r="AV1042" s="77">
        <f t="shared" ref="AV1042" si="3607">1-(1-AU1042)^(1/12)</f>
        <v>2.0857243058891584E-4</v>
      </c>
      <c r="AX1042" t="s">
        <v>178</v>
      </c>
      <c r="AY1042" t="s">
        <v>162</v>
      </c>
      <c r="AZ1042" s="197" t="str">
        <f t="shared" si="3490"/>
        <v>DIS_Standard_45</v>
      </c>
      <c r="BA1042">
        <v>45</v>
      </c>
      <c r="BB1042">
        <f>VLOOKUP($BA1042,'[2]Standard DIS'!$Q$1:$X$542,4,FALSE)</f>
        <v>0</v>
      </c>
      <c r="BF1042">
        <f>VLOOKUP($BA1042,'[2]Standard DIS'!$Q$1:$X$542,2,FALSE)</f>
        <v>0.11748875405425314</v>
      </c>
      <c r="BH1042">
        <f>VLOOKUP($BA1042,'[2]Standard DIS'!$Q$1:$X$542,3,FALSE)</f>
        <v>0.88251124594574681</v>
      </c>
      <c r="BI1042" s="77">
        <f t="shared" si="3397"/>
        <v>1</v>
      </c>
      <c r="BJ1042" s="77">
        <f t="shared" si="3398"/>
        <v>5.2909663210070207E-2</v>
      </c>
      <c r="BK1042" s="77">
        <f t="shared" si="3491"/>
        <v>4.3056962837182411E-3</v>
      </c>
      <c r="BL1042" s="79">
        <v>0</v>
      </c>
      <c r="BM1042" s="77">
        <f t="shared" si="3412"/>
        <v>0</v>
      </c>
      <c r="BN1042" s="77">
        <f t="shared" si="3413"/>
        <v>0</v>
      </c>
      <c r="BO1042" s="77">
        <f t="shared" si="3414"/>
        <v>2.5000000000000001E-3</v>
      </c>
      <c r="BP1042" s="77">
        <f t="shared" si="3415"/>
        <v>2.0809499864316017E-4</v>
      </c>
    </row>
    <row r="1043" spans="1:68">
      <c r="A1043" t="s">
        <v>175</v>
      </c>
      <c r="B1043" t="s">
        <v>179</v>
      </c>
      <c r="C1043" s="197" t="str">
        <f t="shared" si="3456"/>
        <v>Lifecycle_Dynamic_44</v>
      </c>
      <c r="D1043">
        <v>44</v>
      </c>
      <c r="E1043">
        <f>VLOOKUP($D1043,'[2]LC Dynamic'!$Q$2:$U$542,2,FALSE)</f>
        <v>0.20899999999999999</v>
      </c>
      <c r="F1043">
        <f>VLOOKUP($D1043,'[2]LC Dynamic'!$Q$2:$U$542,3,FALSE)</f>
        <v>0.33433333333333337</v>
      </c>
      <c r="G1043">
        <f>VLOOKUP($D1043,'[2]LC Dynamic'!$Q$2:$U$542,4,FALSE)</f>
        <v>0.45666666666666667</v>
      </c>
      <c r="H1043">
        <f>VLOOKUP($D1043,'[2]LC Dynamic'!$Q$2:$U$542,5,FALSE)</f>
        <v>0</v>
      </c>
      <c r="I1043" s="77">
        <f t="shared" si="3388"/>
        <v>1</v>
      </c>
      <c r="J1043" s="77">
        <f t="shared" si="3389"/>
        <v>5.4083174999999997E-2</v>
      </c>
      <c r="K1043" s="77">
        <f t="shared" si="3463"/>
        <v>4.3989270546569426E-3</v>
      </c>
      <c r="L1043" s="76">
        <v>0</v>
      </c>
      <c r="M1043" s="77">
        <f t="shared" si="3399"/>
        <v>0</v>
      </c>
      <c r="N1043" s="77">
        <f t="shared" si="3400"/>
        <v>0</v>
      </c>
      <c r="O1043" s="77">
        <f t="shared" si="3401"/>
        <v>5.7621666666666672E-3</v>
      </c>
      <c r="P1043" s="77">
        <f t="shared" si="3402"/>
        <v>4.8145339733285386E-4</v>
      </c>
      <c r="R1043" t="s">
        <v>177</v>
      </c>
      <c r="S1043" t="s">
        <v>179</v>
      </c>
      <c r="T1043" s="197" t="str">
        <f t="shared" si="3457"/>
        <v>Autopilot_Dynamic_44</v>
      </c>
      <c r="U1043">
        <v>44</v>
      </c>
      <c r="V1043">
        <f>VLOOKUP($U1043,'[2]AP Dynamic'!$Q$1:$T$542,2,FALSE)</f>
        <v>0.12668754238537502</v>
      </c>
      <c r="W1043">
        <f>VLOOKUP($U1043,'[2]AP Dynamic'!$Q$1:$T$542,3,FALSE)</f>
        <v>0.87331245761462495</v>
      </c>
      <c r="X1043">
        <f>VLOOKUP($U1043,'[2]AP Dynamic'!$Q$1:$T$542,4,FALSE)</f>
        <v>0</v>
      </c>
      <c r="Y1043" s="77">
        <f t="shared" si="3458"/>
        <v>1</v>
      </c>
      <c r="Z1043" s="77">
        <f t="shared" si="3464"/>
        <v>5.3031777125165845E-2</v>
      </c>
      <c r="AA1043" s="77">
        <f t="shared" si="3465"/>
        <v>4.3154021798499365E-3</v>
      </c>
      <c r="AB1043" s="79">
        <v>1</v>
      </c>
      <c r="AC1043" s="77">
        <f t="shared" si="3403"/>
        <v>6.7533750847707501E-3</v>
      </c>
      <c r="AD1043" s="77">
        <f t="shared" ref="AD1043" si="3608">1-(1-AC1043)^(1/12)</f>
        <v>5.6453078538454271E-4</v>
      </c>
      <c r="AE1043" s="77">
        <f t="shared" si="3405"/>
        <v>2.4999999999999996E-3</v>
      </c>
      <c r="AF1043" s="77">
        <f t="shared" ref="AF1043" si="3609">1-(1-AE1043)^(1/12)</f>
        <v>2.0857243058891584E-4</v>
      </c>
      <c r="AH1043" t="s">
        <v>175</v>
      </c>
      <c r="AI1043" t="s">
        <v>179</v>
      </c>
      <c r="AJ1043" s="197" t="str">
        <f t="shared" si="3392"/>
        <v>Lifecycle_Dynamic_44</v>
      </c>
      <c r="AK1043">
        <v>44</v>
      </c>
      <c r="AL1043">
        <f>VLOOKUP($U1043,[2]Standard_Dynamic!$Q$1:$T$542,2,FALSE)</f>
        <v>0.11442249127721252</v>
      </c>
      <c r="AM1043">
        <f>VLOOKUP($U1043,[2]Standard_Dynamic!$Q$1:$T$542,3,FALSE)</f>
        <v>0.88557750872278751</v>
      </c>
      <c r="AN1043">
        <f>VLOOKUP($U1043,[2]Standard_Dynamic!$Q$1:$T$542,4,FALSE)</f>
        <v>0</v>
      </c>
      <c r="AO1043" s="77">
        <f t="shared" si="3393"/>
        <v>1</v>
      </c>
      <c r="AP1043" s="77">
        <f t="shared" si="3407"/>
        <v>5.286895857170499E-2</v>
      </c>
      <c r="AQ1043" s="77">
        <f t="shared" si="3394"/>
        <v>4.3024607557045069E-3</v>
      </c>
      <c r="AR1043" s="79">
        <v>0</v>
      </c>
      <c r="AS1043" s="77">
        <f t="shared" si="3408"/>
        <v>0</v>
      </c>
      <c r="AT1043" s="77">
        <f t="shared" ref="AT1043" si="3610">1-(1-AS1043)^(1/12)</f>
        <v>0</v>
      </c>
      <c r="AU1043" s="77">
        <f t="shared" si="3410"/>
        <v>2.5000000000000001E-3</v>
      </c>
      <c r="AV1043" s="77">
        <f t="shared" ref="AV1043" si="3611">1-(1-AU1043)^(1/12)</f>
        <v>2.0857243058891584E-4</v>
      </c>
      <c r="AX1043" t="s">
        <v>178</v>
      </c>
      <c r="AY1043" t="s">
        <v>162</v>
      </c>
      <c r="AZ1043" s="197" t="str">
        <f t="shared" si="3490"/>
        <v>DIS_Standard_44</v>
      </c>
      <c r="BA1043">
        <v>44</v>
      </c>
      <c r="BB1043">
        <f>VLOOKUP($BA1043,'[2]Standard DIS'!$Q$1:$X$542,4,FALSE)</f>
        <v>0</v>
      </c>
      <c r="BF1043">
        <f>VLOOKUP($BA1043,'[2]Standard DIS'!$Q$1:$X$542,2,FALSE)</f>
        <v>0.11442249127721252</v>
      </c>
      <c r="BH1043">
        <f>VLOOKUP($BA1043,'[2]Standard DIS'!$Q$1:$X$542,3,FALSE)</f>
        <v>0.88557750872278751</v>
      </c>
      <c r="BI1043" s="77">
        <f t="shared" si="3397"/>
        <v>1</v>
      </c>
      <c r="BJ1043" s="77">
        <f t="shared" si="3398"/>
        <v>5.286895857170499E-2</v>
      </c>
      <c r="BK1043" s="77">
        <f t="shared" si="3491"/>
        <v>4.3024607557045069E-3</v>
      </c>
      <c r="BL1043" s="79">
        <v>0</v>
      </c>
      <c r="BM1043" s="77">
        <f t="shared" si="3412"/>
        <v>0</v>
      </c>
      <c r="BN1043" s="77">
        <f t="shared" si="3413"/>
        <v>0</v>
      </c>
      <c r="BO1043" s="77">
        <f t="shared" si="3414"/>
        <v>2.5000000000000001E-3</v>
      </c>
      <c r="BP1043" s="77">
        <f t="shared" si="3415"/>
        <v>2.0809499864316017E-4</v>
      </c>
    </row>
    <row r="1044" spans="1:68">
      <c r="A1044" t="s">
        <v>175</v>
      </c>
      <c r="B1044" t="s">
        <v>179</v>
      </c>
      <c r="C1044" s="197" t="str">
        <f t="shared" si="3456"/>
        <v>Lifecycle_Dynamic_43</v>
      </c>
      <c r="D1044">
        <v>43</v>
      </c>
      <c r="E1044">
        <f>VLOOKUP($D1044,'[2]LC Dynamic'!$Q$2:$U$542,2,FALSE)</f>
        <v>0.21224999999999999</v>
      </c>
      <c r="F1044">
        <f>VLOOKUP($D1044,'[2]LC Dynamic'!$Q$2:$U$542,3,FALSE)</f>
        <v>0.33266666666666667</v>
      </c>
      <c r="G1044">
        <f>VLOOKUP($D1044,'[2]LC Dynamic'!$Q$2:$U$542,4,FALSE)</f>
        <v>0.45508333333333334</v>
      </c>
      <c r="H1044">
        <f>VLOOKUP($D1044,'[2]LC Dynamic'!$Q$2:$U$542,5,FALSE)</f>
        <v>0</v>
      </c>
      <c r="I1044" s="77">
        <f t="shared" si="3388"/>
        <v>1</v>
      </c>
      <c r="J1044" s="77">
        <f t="shared" si="3389"/>
        <v>5.4040768749999996E-2</v>
      </c>
      <c r="K1044" s="77">
        <f t="shared" si="3463"/>
        <v>4.3955597067413255E-3</v>
      </c>
      <c r="L1044" s="76">
        <v>0</v>
      </c>
      <c r="M1044" s="77">
        <f t="shared" si="3399"/>
        <v>0</v>
      </c>
      <c r="N1044" s="77">
        <f t="shared" si="3400"/>
        <v>0</v>
      </c>
      <c r="O1044" s="77">
        <f t="shared" si="3401"/>
        <v>5.748733333333333E-3</v>
      </c>
      <c r="P1044" s="77">
        <f t="shared" si="3402"/>
        <v>4.8032801413211423E-4</v>
      </c>
      <c r="R1044" t="s">
        <v>177</v>
      </c>
      <c r="S1044" t="s">
        <v>179</v>
      </c>
      <c r="T1044" s="197" t="str">
        <f t="shared" si="3457"/>
        <v>Autopilot_Dynamic_43</v>
      </c>
      <c r="U1044">
        <v>43</v>
      </c>
      <c r="V1044">
        <f>VLOOKUP($U1044,'[2]AP Dynamic'!$Q$1:$T$542,2,FALSE)</f>
        <v>0.12668754238537502</v>
      </c>
      <c r="W1044">
        <f>VLOOKUP($U1044,'[2]AP Dynamic'!$Q$1:$T$542,3,FALSE)</f>
        <v>0.87331245761462495</v>
      </c>
      <c r="X1044">
        <f>VLOOKUP($U1044,'[2]AP Dynamic'!$Q$1:$T$542,4,FALSE)</f>
        <v>0</v>
      </c>
      <c r="Y1044" s="77">
        <f t="shared" si="3458"/>
        <v>1</v>
      </c>
      <c r="Z1044" s="77">
        <f t="shared" si="3464"/>
        <v>5.3031777125165845E-2</v>
      </c>
      <c r="AA1044" s="77">
        <f t="shared" si="3465"/>
        <v>4.3154021798499365E-3</v>
      </c>
      <c r="AB1044" s="79">
        <v>1</v>
      </c>
      <c r="AC1044" s="77">
        <f t="shared" si="3403"/>
        <v>6.7533750847707501E-3</v>
      </c>
      <c r="AD1044" s="77">
        <f t="shared" ref="AD1044" si="3612">1-(1-AC1044)^(1/12)</f>
        <v>5.6453078538454271E-4</v>
      </c>
      <c r="AE1044" s="77">
        <f t="shared" si="3405"/>
        <v>2.4999999999999996E-3</v>
      </c>
      <c r="AF1044" s="77">
        <f t="shared" ref="AF1044" si="3613">1-(1-AE1044)^(1/12)</f>
        <v>2.0857243058891584E-4</v>
      </c>
      <c r="AH1044" t="s">
        <v>175</v>
      </c>
      <c r="AI1044" t="s">
        <v>179</v>
      </c>
      <c r="AJ1044" s="197" t="str">
        <f t="shared" si="3392"/>
        <v>Lifecycle_Dynamic_43</v>
      </c>
      <c r="AK1044">
        <v>43</v>
      </c>
      <c r="AL1044">
        <f>VLOOKUP($U1044,[2]Standard_Dynamic!$Q$1:$T$542,2,FALSE)</f>
        <v>0.11135622850017189</v>
      </c>
      <c r="AM1044">
        <f>VLOOKUP($U1044,[2]Standard_Dynamic!$Q$1:$T$542,3,FALSE)</f>
        <v>0.88864377149982809</v>
      </c>
      <c r="AN1044">
        <f>VLOOKUP($U1044,[2]Standard_Dynamic!$Q$1:$T$542,4,FALSE)</f>
        <v>0</v>
      </c>
      <c r="AO1044" s="77">
        <f t="shared" si="3393"/>
        <v>1</v>
      </c>
      <c r="AP1044" s="77">
        <f t="shared" si="3407"/>
        <v>5.2828253933339772E-2</v>
      </c>
      <c r="AQ1044" s="77">
        <f t="shared" si="3394"/>
        <v>4.2992251130247183E-3</v>
      </c>
      <c r="AR1044" s="79">
        <v>0</v>
      </c>
      <c r="AS1044" s="77">
        <f t="shared" si="3408"/>
        <v>0</v>
      </c>
      <c r="AT1044" s="77">
        <f t="shared" ref="AT1044" si="3614">1-(1-AS1044)^(1/12)</f>
        <v>0</v>
      </c>
      <c r="AU1044" s="77">
        <f t="shared" si="3410"/>
        <v>2.5000000000000001E-3</v>
      </c>
      <c r="AV1044" s="77">
        <f t="shared" ref="AV1044" si="3615">1-(1-AU1044)^(1/12)</f>
        <v>2.0857243058891584E-4</v>
      </c>
      <c r="AX1044" t="s">
        <v>178</v>
      </c>
      <c r="AY1044" t="s">
        <v>162</v>
      </c>
      <c r="AZ1044" s="197" t="str">
        <f t="shared" si="3490"/>
        <v>DIS_Standard_43</v>
      </c>
      <c r="BA1044">
        <v>43</v>
      </c>
      <c r="BB1044">
        <f>VLOOKUP($BA1044,'[2]Standard DIS'!$Q$1:$X$542,4,FALSE)</f>
        <v>0</v>
      </c>
      <c r="BF1044">
        <f>VLOOKUP($BA1044,'[2]Standard DIS'!$Q$1:$X$542,2,FALSE)</f>
        <v>0.11135622850017189</v>
      </c>
      <c r="BH1044">
        <f>VLOOKUP($BA1044,'[2]Standard DIS'!$Q$1:$X$542,3,FALSE)</f>
        <v>0.88864377149982809</v>
      </c>
      <c r="BI1044" s="77">
        <f t="shared" si="3397"/>
        <v>1</v>
      </c>
      <c r="BJ1044" s="77">
        <f t="shared" si="3398"/>
        <v>5.2828253933339772E-2</v>
      </c>
      <c r="BK1044" s="77">
        <f t="shared" si="3491"/>
        <v>4.2992251130247183E-3</v>
      </c>
      <c r="BL1044" s="79">
        <v>0</v>
      </c>
      <c r="BM1044" s="77">
        <f t="shared" si="3412"/>
        <v>0</v>
      </c>
      <c r="BN1044" s="77">
        <f t="shared" si="3413"/>
        <v>0</v>
      </c>
      <c r="BO1044" s="77">
        <f t="shared" si="3414"/>
        <v>2.5000000000000001E-3</v>
      </c>
      <c r="BP1044" s="77">
        <f t="shared" si="3415"/>
        <v>2.0809499864316017E-4</v>
      </c>
    </row>
    <row r="1045" spans="1:68">
      <c r="A1045" t="s">
        <v>175</v>
      </c>
      <c r="B1045" t="s">
        <v>179</v>
      </c>
      <c r="C1045" s="197" t="str">
        <f t="shared" si="3456"/>
        <v>Lifecycle_Dynamic_42</v>
      </c>
      <c r="D1045">
        <v>42</v>
      </c>
      <c r="E1045">
        <f>VLOOKUP($D1045,'[2]LC Dynamic'!$Q$2:$U$542,2,FALSE)</f>
        <v>0.2155</v>
      </c>
      <c r="F1045">
        <f>VLOOKUP($D1045,'[2]LC Dynamic'!$Q$2:$U$542,3,FALSE)</f>
        <v>0.33100000000000002</v>
      </c>
      <c r="G1045">
        <f>VLOOKUP($D1045,'[2]LC Dynamic'!$Q$2:$U$542,4,FALSE)</f>
        <v>0.45350000000000001</v>
      </c>
      <c r="H1045">
        <f>VLOOKUP($D1045,'[2]LC Dynamic'!$Q$2:$U$542,5,FALSE)</f>
        <v>0</v>
      </c>
      <c r="I1045" s="77">
        <f t="shared" si="3388"/>
        <v>1</v>
      </c>
      <c r="J1045" s="77">
        <f t="shared" si="3389"/>
        <v>5.3998362499999994E-2</v>
      </c>
      <c r="K1045" s="77">
        <f t="shared" si="3463"/>
        <v>4.3921922346374931E-3</v>
      </c>
      <c r="L1045" s="76">
        <v>0</v>
      </c>
      <c r="M1045" s="77">
        <f t="shared" si="3399"/>
        <v>0</v>
      </c>
      <c r="N1045" s="77">
        <f t="shared" si="3400"/>
        <v>0</v>
      </c>
      <c r="O1045" s="77">
        <f t="shared" si="3401"/>
        <v>5.7353000000000005E-3</v>
      </c>
      <c r="P1045" s="77">
        <f t="shared" si="3402"/>
        <v>4.7920264486922548E-4</v>
      </c>
      <c r="R1045" t="s">
        <v>177</v>
      </c>
      <c r="S1045" t="s">
        <v>179</v>
      </c>
      <c r="T1045" s="197" t="str">
        <f t="shared" si="3457"/>
        <v>Autopilot_Dynamic_42</v>
      </c>
      <c r="U1045">
        <v>42</v>
      </c>
      <c r="V1045">
        <f>VLOOKUP($U1045,'[2]AP Dynamic'!$Q$1:$T$542,2,FALSE)</f>
        <v>0.12668754238537502</v>
      </c>
      <c r="W1045">
        <f>VLOOKUP($U1045,'[2]AP Dynamic'!$Q$1:$T$542,3,FALSE)</f>
        <v>0.87331245761462495</v>
      </c>
      <c r="X1045">
        <f>VLOOKUP($U1045,'[2]AP Dynamic'!$Q$1:$T$542,4,FALSE)</f>
        <v>0</v>
      </c>
      <c r="Y1045" s="77">
        <f t="shared" si="3458"/>
        <v>1</v>
      </c>
      <c r="Z1045" s="77">
        <f t="shared" si="3464"/>
        <v>5.3031777125165845E-2</v>
      </c>
      <c r="AA1045" s="77">
        <f t="shared" si="3465"/>
        <v>4.3154021798499365E-3</v>
      </c>
      <c r="AB1045" s="79">
        <v>1</v>
      </c>
      <c r="AC1045" s="77">
        <f t="shared" si="3403"/>
        <v>6.7533750847707501E-3</v>
      </c>
      <c r="AD1045" s="77">
        <f t="shared" ref="AD1045" si="3616">1-(1-AC1045)^(1/12)</f>
        <v>5.6453078538454271E-4</v>
      </c>
      <c r="AE1045" s="77">
        <f t="shared" si="3405"/>
        <v>2.4999999999999996E-3</v>
      </c>
      <c r="AF1045" s="77">
        <f t="shared" ref="AF1045" si="3617">1-(1-AE1045)^(1/12)</f>
        <v>2.0857243058891584E-4</v>
      </c>
      <c r="AH1045" t="s">
        <v>175</v>
      </c>
      <c r="AI1045" t="s">
        <v>179</v>
      </c>
      <c r="AJ1045" s="197" t="str">
        <f t="shared" si="3392"/>
        <v>Lifecycle_Dynamic_42</v>
      </c>
      <c r="AK1045">
        <v>42</v>
      </c>
      <c r="AL1045">
        <f>VLOOKUP($U1045,[2]Standard_Dynamic!$Q$1:$T$542,2,FALSE)</f>
        <v>0.10828996572313127</v>
      </c>
      <c r="AM1045">
        <f>VLOOKUP($U1045,[2]Standard_Dynamic!$Q$1:$T$542,3,FALSE)</f>
        <v>0.89171003427686868</v>
      </c>
      <c r="AN1045">
        <f>VLOOKUP($U1045,[2]Standard_Dynamic!$Q$1:$T$542,4,FALSE)</f>
        <v>0</v>
      </c>
      <c r="AO1045" s="77">
        <f t="shared" si="3393"/>
        <v>1</v>
      </c>
      <c r="AP1045" s="77">
        <f t="shared" si="3407"/>
        <v>5.2787549294974555E-2</v>
      </c>
      <c r="AQ1045" s="77">
        <f t="shared" si="3394"/>
        <v>4.2959893556708817E-3</v>
      </c>
      <c r="AR1045" s="79">
        <v>0</v>
      </c>
      <c r="AS1045" s="77">
        <f t="shared" si="3408"/>
        <v>0</v>
      </c>
      <c r="AT1045" s="77">
        <f t="shared" ref="AT1045" si="3618">1-(1-AS1045)^(1/12)</f>
        <v>0</v>
      </c>
      <c r="AU1045" s="77">
        <f t="shared" si="3410"/>
        <v>2.5000000000000001E-3</v>
      </c>
      <c r="AV1045" s="77">
        <f t="shared" ref="AV1045" si="3619">1-(1-AU1045)^(1/12)</f>
        <v>2.0857243058891584E-4</v>
      </c>
      <c r="AX1045" t="s">
        <v>178</v>
      </c>
      <c r="AY1045" t="s">
        <v>162</v>
      </c>
      <c r="AZ1045" s="197" t="str">
        <f t="shared" si="3490"/>
        <v>DIS_Standard_42</v>
      </c>
      <c r="BA1045">
        <v>42</v>
      </c>
      <c r="BB1045">
        <f>VLOOKUP($BA1045,'[2]Standard DIS'!$Q$1:$X$542,4,FALSE)</f>
        <v>0</v>
      </c>
      <c r="BF1045">
        <f>VLOOKUP($BA1045,'[2]Standard DIS'!$Q$1:$X$542,2,FALSE)</f>
        <v>0.10828996572313127</v>
      </c>
      <c r="BH1045">
        <f>VLOOKUP($BA1045,'[2]Standard DIS'!$Q$1:$X$542,3,FALSE)</f>
        <v>0.89171003427686868</v>
      </c>
      <c r="BI1045" s="77">
        <f t="shared" si="3397"/>
        <v>1</v>
      </c>
      <c r="BJ1045" s="77">
        <f t="shared" si="3398"/>
        <v>5.2787549294974555E-2</v>
      </c>
      <c r="BK1045" s="77">
        <f t="shared" si="3491"/>
        <v>4.2959893556708817E-3</v>
      </c>
      <c r="BL1045" s="79">
        <v>0</v>
      </c>
      <c r="BM1045" s="77">
        <f t="shared" si="3412"/>
        <v>0</v>
      </c>
      <c r="BN1045" s="77">
        <f t="shared" si="3413"/>
        <v>0</v>
      </c>
      <c r="BO1045" s="77">
        <f t="shared" si="3414"/>
        <v>2.5000000000000001E-3</v>
      </c>
      <c r="BP1045" s="77">
        <f t="shared" si="3415"/>
        <v>2.0809499864316017E-4</v>
      </c>
    </row>
    <row r="1046" spans="1:68">
      <c r="A1046" t="s">
        <v>175</v>
      </c>
      <c r="B1046" t="s">
        <v>179</v>
      </c>
      <c r="C1046" s="197" t="str">
        <f t="shared" si="3456"/>
        <v>Lifecycle_Dynamic_41</v>
      </c>
      <c r="D1046">
        <v>41</v>
      </c>
      <c r="E1046">
        <f>VLOOKUP($D1046,'[2]LC Dynamic'!$Q$2:$U$542,2,FALSE)</f>
        <v>0.21875</v>
      </c>
      <c r="F1046">
        <f>VLOOKUP($D1046,'[2]LC Dynamic'!$Q$2:$U$542,3,FALSE)</f>
        <v>0.32933333333333337</v>
      </c>
      <c r="G1046">
        <f>VLOOKUP($D1046,'[2]LC Dynamic'!$Q$2:$U$542,4,FALSE)</f>
        <v>0.45191666666666669</v>
      </c>
      <c r="H1046">
        <f>VLOOKUP($D1046,'[2]LC Dynamic'!$Q$2:$U$542,5,FALSE)</f>
        <v>0</v>
      </c>
      <c r="I1046" s="77">
        <f t="shared" si="3388"/>
        <v>1</v>
      </c>
      <c r="J1046" s="77">
        <f t="shared" si="3389"/>
        <v>5.3955956249999999E-2</v>
      </c>
      <c r="K1046" s="77">
        <f t="shared" si="3463"/>
        <v>4.3888246383361196E-3</v>
      </c>
      <c r="L1046" s="76">
        <v>0</v>
      </c>
      <c r="M1046" s="77">
        <f t="shared" si="3399"/>
        <v>0</v>
      </c>
      <c r="N1046" s="77">
        <f t="shared" si="3400"/>
        <v>0</v>
      </c>
      <c r="O1046" s="77">
        <f t="shared" si="3401"/>
        <v>5.7218666666666671E-3</v>
      </c>
      <c r="P1046" s="77">
        <f t="shared" si="3402"/>
        <v>4.7807728954385453E-4</v>
      </c>
      <c r="R1046" t="s">
        <v>177</v>
      </c>
      <c r="S1046" t="s">
        <v>179</v>
      </c>
      <c r="T1046" s="197" t="str">
        <f t="shared" si="3457"/>
        <v>Autopilot_Dynamic_41</v>
      </c>
      <c r="U1046">
        <v>41</v>
      </c>
      <c r="V1046">
        <f>VLOOKUP($U1046,'[2]AP Dynamic'!$Q$1:$T$542,2,FALSE)</f>
        <v>0.12668754238537502</v>
      </c>
      <c r="W1046">
        <f>VLOOKUP($U1046,'[2]AP Dynamic'!$Q$1:$T$542,3,FALSE)</f>
        <v>0.87331245761462495</v>
      </c>
      <c r="X1046">
        <f>VLOOKUP($U1046,'[2]AP Dynamic'!$Q$1:$T$542,4,FALSE)</f>
        <v>0</v>
      </c>
      <c r="Y1046" s="77">
        <f t="shared" si="3458"/>
        <v>1</v>
      </c>
      <c r="Z1046" s="77">
        <f t="shared" si="3464"/>
        <v>5.3031777125165845E-2</v>
      </c>
      <c r="AA1046" s="77">
        <f t="shared" si="3465"/>
        <v>4.3154021798499365E-3</v>
      </c>
      <c r="AB1046" s="79">
        <v>1</v>
      </c>
      <c r="AC1046" s="77">
        <f t="shared" si="3403"/>
        <v>6.7533750847707501E-3</v>
      </c>
      <c r="AD1046" s="77">
        <f t="shared" ref="AD1046" si="3620">1-(1-AC1046)^(1/12)</f>
        <v>5.6453078538454271E-4</v>
      </c>
      <c r="AE1046" s="77">
        <f t="shared" si="3405"/>
        <v>2.4999999999999996E-3</v>
      </c>
      <c r="AF1046" s="77">
        <f t="shared" ref="AF1046" si="3621">1-(1-AE1046)^(1/12)</f>
        <v>2.0857243058891584E-4</v>
      </c>
      <c r="AH1046" t="s">
        <v>175</v>
      </c>
      <c r="AI1046" t="s">
        <v>179</v>
      </c>
      <c r="AJ1046" s="197" t="str">
        <f t="shared" si="3392"/>
        <v>Lifecycle_Dynamic_41</v>
      </c>
      <c r="AK1046">
        <v>41</v>
      </c>
      <c r="AL1046">
        <f>VLOOKUP($U1046,[2]Standard_Dynamic!$Q$1:$T$542,2,FALSE)</f>
        <v>0.10522370294609065</v>
      </c>
      <c r="AM1046">
        <f>VLOOKUP($U1046,[2]Standard_Dynamic!$Q$1:$T$542,3,FALSE)</f>
        <v>0.89477629705390938</v>
      </c>
      <c r="AN1046">
        <f>VLOOKUP($U1046,[2]Standard_Dynamic!$Q$1:$T$542,4,FALSE)</f>
        <v>0</v>
      </c>
      <c r="AO1046" s="77">
        <f t="shared" si="3393"/>
        <v>1</v>
      </c>
      <c r="AP1046" s="77">
        <f t="shared" si="3407"/>
        <v>5.2746844656609344E-2</v>
      </c>
      <c r="AQ1046" s="77">
        <f t="shared" si="3394"/>
        <v>4.2927534836343373E-3</v>
      </c>
      <c r="AR1046" s="79">
        <v>0</v>
      </c>
      <c r="AS1046" s="77">
        <f t="shared" si="3408"/>
        <v>0</v>
      </c>
      <c r="AT1046" s="77">
        <f t="shared" ref="AT1046" si="3622">1-(1-AS1046)^(1/12)</f>
        <v>0</v>
      </c>
      <c r="AU1046" s="77">
        <f t="shared" si="3410"/>
        <v>2.5000000000000001E-3</v>
      </c>
      <c r="AV1046" s="77">
        <f t="shared" ref="AV1046" si="3623">1-(1-AU1046)^(1/12)</f>
        <v>2.0857243058891584E-4</v>
      </c>
      <c r="AX1046" t="s">
        <v>178</v>
      </c>
      <c r="AY1046" t="s">
        <v>162</v>
      </c>
      <c r="AZ1046" s="197" t="str">
        <f t="shared" si="3490"/>
        <v>DIS_Standard_41</v>
      </c>
      <c r="BA1046">
        <v>41</v>
      </c>
      <c r="BB1046">
        <f>VLOOKUP($BA1046,'[2]Standard DIS'!$Q$1:$X$542,4,FALSE)</f>
        <v>0</v>
      </c>
      <c r="BF1046">
        <f>VLOOKUP($BA1046,'[2]Standard DIS'!$Q$1:$X$542,2,FALSE)</f>
        <v>0.10522370294609065</v>
      </c>
      <c r="BH1046">
        <f>VLOOKUP($BA1046,'[2]Standard DIS'!$Q$1:$X$542,3,FALSE)</f>
        <v>0.89477629705390938</v>
      </c>
      <c r="BI1046" s="77">
        <f t="shared" si="3397"/>
        <v>1</v>
      </c>
      <c r="BJ1046" s="77">
        <f t="shared" si="3398"/>
        <v>5.2746844656609344E-2</v>
      </c>
      <c r="BK1046" s="77">
        <f t="shared" si="3491"/>
        <v>4.2927534836343373E-3</v>
      </c>
      <c r="BL1046" s="79">
        <v>0</v>
      </c>
      <c r="BM1046" s="77">
        <f t="shared" si="3412"/>
        <v>0</v>
      </c>
      <c r="BN1046" s="77">
        <f t="shared" si="3413"/>
        <v>0</v>
      </c>
      <c r="BO1046" s="77">
        <f t="shared" si="3414"/>
        <v>2.5000000000000001E-3</v>
      </c>
      <c r="BP1046" s="77">
        <f t="shared" si="3415"/>
        <v>2.0809499864316017E-4</v>
      </c>
    </row>
    <row r="1047" spans="1:68">
      <c r="A1047" t="s">
        <v>175</v>
      </c>
      <c r="B1047" t="s">
        <v>179</v>
      </c>
      <c r="C1047" s="197" t="str">
        <f t="shared" si="3456"/>
        <v>Lifecycle_Dynamic_40</v>
      </c>
      <c r="D1047">
        <v>40</v>
      </c>
      <c r="E1047">
        <f>VLOOKUP($D1047,'[2]LC Dynamic'!$Q$2:$U$542,2,FALSE)</f>
        <v>0.222</v>
      </c>
      <c r="F1047">
        <f>VLOOKUP($D1047,'[2]LC Dynamic'!$Q$2:$U$542,3,FALSE)</f>
        <v>0.32766666666666666</v>
      </c>
      <c r="G1047">
        <f>VLOOKUP($D1047,'[2]LC Dynamic'!$Q$2:$U$542,4,FALSE)</f>
        <v>0.45033333333333336</v>
      </c>
      <c r="H1047">
        <f>VLOOKUP($D1047,'[2]LC Dynamic'!$Q$2:$U$542,5,FALSE)</f>
        <v>0</v>
      </c>
      <c r="I1047" s="77">
        <f t="shared" si="3388"/>
        <v>1</v>
      </c>
      <c r="J1047" s="77">
        <f t="shared" si="3389"/>
        <v>5.3913549999999998E-2</v>
      </c>
      <c r="K1047" s="77">
        <f t="shared" si="3463"/>
        <v>4.385456917827435E-3</v>
      </c>
      <c r="L1047" s="76">
        <v>0</v>
      </c>
      <c r="M1047" s="77">
        <f t="shared" si="3399"/>
        <v>0</v>
      </c>
      <c r="N1047" s="77">
        <f t="shared" si="3400"/>
        <v>0</v>
      </c>
      <c r="O1047" s="77">
        <f t="shared" si="3401"/>
        <v>5.7084333333333338E-3</v>
      </c>
      <c r="P1047" s="77">
        <f t="shared" si="3402"/>
        <v>4.7695194815566833E-4</v>
      </c>
      <c r="R1047" t="s">
        <v>177</v>
      </c>
      <c r="S1047" t="s">
        <v>179</v>
      </c>
      <c r="T1047" s="197" t="str">
        <f t="shared" si="3457"/>
        <v>Autopilot_Dynamic_40</v>
      </c>
      <c r="U1047">
        <v>40</v>
      </c>
      <c r="V1047">
        <f>VLOOKUP($U1047,'[2]AP Dynamic'!$Q$1:$T$542,2,FALSE)</f>
        <v>0.12668754238537502</v>
      </c>
      <c r="W1047">
        <f>VLOOKUP($U1047,'[2]AP Dynamic'!$Q$1:$T$542,3,FALSE)</f>
        <v>0.87331245761462495</v>
      </c>
      <c r="X1047">
        <f>VLOOKUP($U1047,'[2]AP Dynamic'!$Q$1:$T$542,4,FALSE)</f>
        <v>0</v>
      </c>
      <c r="Y1047" s="77">
        <f t="shared" si="3458"/>
        <v>1</v>
      </c>
      <c r="Z1047" s="77">
        <f t="shared" si="3464"/>
        <v>5.3031777125165845E-2</v>
      </c>
      <c r="AA1047" s="77">
        <f t="shared" si="3465"/>
        <v>4.3154021798499365E-3</v>
      </c>
      <c r="AB1047" s="79">
        <v>1</v>
      </c>
      <c r="AC1047" s="77">
        <f t="shared" si="3403"/>
        <v>6.7533750847707501E-3</v>
      </c>
      <c r="AD1047" s="77">
        <f t="shared" ref="AD1047" si="3624">1-(1-AC1047)^(1/12)</f>
        <v>5.6453078538454271E-4</v>
      </c>
      <c r="AE1047" s="77">
        <f t="shared" si="3405"/>
        <v>2.4999999999999996E-3</v>
      </c>
      <c r="AF1047" s="77">
        <f t="shared" ref="AF1047" si="3625">1-(1-AE1047)^(1/12)</f>
        <v>2.0857243058891584E-4</v>
      </c>
      <c r="AH1047" t="s">
        <v>175</v>
      </c>
      <c r="AI1047" t="s">
        <v>179</v>
      </c>
      <c r="AJ1047" s="197" t="str">
        <f t="shared" si="3392"/>
        <v>Lifecycle_Dynamic_40</v>
      </c>
      <c r="AK1047">
        <v>40</v>
      </c>
      <c r="AL1047">
        <f>VLOOKUP($U1047,[2]Standard_Dynamic!$Q$1:$T$542,2,FALSE)</f>
        <v>0.10215744016905003</v>
      </c>
      <c r="AM1047">
        <f>VLOOKUP($U1047,[2]Standard_Dynamic!$Q$1:$T$542,3,FALSE)</f>
        <v>0.89784255983094996</v>
      </c>
      <c r="AN1047">
        <f>VLOOKUP($U1047,[2]Standard_Dynamic!$Q$1:$T$542,4,FALSE)</f>
        <v>0</v>
      </c>
      <c r="AO1047" s="77">
        <f t="shared" si="3393"/>
        <v>1</v>
      </c>
      <c r="AP1047" s="77">
        <f t="shared" si="3407"/>
        <v>5.2706140018244134E-2</v>
      </c>
      <c r="AQ1047" s="77">
        <f t="shared" si="3394"/>
        <v>4.2895174969062033E-3</v>
      </c>
      <c r="AR1047" s="79">
        <v>0</v>
      </c>
      <c r="AS1047" s="77">
        <f t="shared" si="3408"/>
        <v>0</v>
      </c>
      <c r="AT1047" s="77">
        <f t="shared" ref="AT1047" si="3626">1-(1-AS1047)^(1/12)</f>
        <v>0</v>
      </c>
      <c r="AU1047" s="77">
        <f t="shared" si="3410"/>
        <v>2.4999999999999996E-3</v>
      </c>
      <c r="AV1047" s="77">
        <f t="shared" ref="AV1047" si="3627">1-(1-AU1047)^(1/12)</f>
        <v>2.0857243058891584E-4</v>
      </c>
      <c r="AX1047" t="s">
        <v>178</v>
      </c>
      <c r="AY1047" t="s">
        <v>162</v>
      </c>
      <c r="AZ1047" s="197" t="str">
        <f t="shared" si="3490"/>
        <v>DIS_Standard_40</v>
      </c>
      <c r="BA1047">
        <v>40</v>
      </c>
      <c r="BB1047">
        <f>VLOOKUP($BA1047,'[2]Standard DIS'!$Q$1:$X$542,4,FALSE)</f>
        <v>0</v>
      </c>
      <c r="BF1047">
        <f>VLOOKUP($BA1047,'[2]Standard DIS'!$Q$1:$X$542,2,FALSE)</f>
        <v>0.10215744016905003</v>
      </c>
      <c r="BH1047">
        <f>VLOOKUP($BA1047,'[2]Standard DIS'!$Q$1:$X$542,3,FALSE)</f>
        <v>0.89784255983094996</v>
      </c>
      <c r="BI1047" s="77">
        <f t="shared" si="3397"/>
        <v>1</v>
      </c>
      <c r="BJ1047" s="77">
        <f t="shared" si="3398"/>
        <v>5.2706140018244134E-2</v>
      </c>
      <c r="BK1047" s="77">
        <f t="shared" si="3491"/>
        <v>4.2895174969062033E-3</v>
      </c>
      <c r="BL1047" s="79">
        <v>0</v>
      </c>
      <c r="BM1047" s="77">
        <f t="shared" si="3412"/>
        <v>0</v>
      </c>
      <c r="BN1047" s="77">
        <f t="shared" si="3413"/>
        <v>0</v>
      </c>
      <c r="BO1047" s="77">
        <f t="shared" si="3414"/>
        <v>2.4999999999999996E-3</v>
      </c>
      <c r="BP1047" s="77">
        <f t="shared" si="3415"/>
        <v>2.0809499864316017E-4</v>
      </c>
    </row>
    <row r="1048" spans="1:68">
      <c r="A1048" t="s">
        <v>175</v>
      </c>
      <c r="B1048" t="s">
        <v>179</v>
      </c>
      <c r="C1048" s="197" t="str">
        <f t="shared" si="3456"/>
        <v>Lifecycle_Dynamic_39</v>
      </c>
      <c r="D1048">
        <v>39</v>
      </c>
      <c r="E1048">
        <f>VLOOKUP($D1048,'[2]LC Dynamic'!$Q$2:$U$542,2,FALSE)</f>
        <v>0.22525000000000001</v>
      </c>
      <c r="F1048">
        <f>VLOOKUP($D1048,'[2]LC Dynamic'!$Q$2:$U$542,3,FALSE)</f>
        <v>0.32600000000000001</v>
      </c>
      <c r="G1048">
        <f>VLOOKUP($D1048,'[2]LC Dynamic'!$Q$2:$U$542,4,FALSE)</f>
        <v>0.44874999999999998</v>
      </c>
      <c r="H1048">
        <f>VLOOKUP($D1048,'[2]LC Dynamic'!$Q$2:$U$542,5,FALSE)</f>
        <v>0</v>
      </c>
      <c r="I1048" s="77">
        <f t="shared" si="3388"/>
        <v>1</v>
      </c>
      <c r="J1048" s="77">
        <f t="shared" si="3389"/>
        <v>5.3871143749999996E-2</v>
      </c>
      <c r="K1048" s="77">
        <f t="shared" si="3463"/>
        <v>4.3820890731021134E-3</v>
      </c>
      <c r="L1048" s="76">
        <v>0</v>
      </c>
      <c r="M1048" s="77">
        <f t="shared" si="3399"/>
        <v>0</v>
      </c>
      <c r="N1048" s="77">
        <f t="shared" si="3400"/>
        <v>0</v>
      </c>
      <c r="O1048" s="77">
        <f t="shared" si="3401"/>
        <v>5.6950000000000004E-3</v>
      </c>
      <c r="P1048" s="77">
        <f t="shared" si="3402"/>
        <v>4.7582662070422277E-4</v>
      </c>
      <c r="R1048" t="s">
        <v>177</v>
      </c>
      <c r="S1048" t="s">
        <v>179</v>
      </c>
      <c r="T1048" s="197" t="str">
        <f t="shared" si="3457"/>
        <v>Autopilot_Dynamic_39</v>
      </c>
      <c r="U1048">
        <v>39</v>
      </c>
      <c r="V1048">
        <f>VLOOKUP($U1048,'[2]AP Dynamic'!$Q$1:$T$542,2,FALSE)</f>
        <v>0.12668754238537502</v>
      </c>
      <c r="W1048">
        <f>VLOOKUP($U1048,'[2]AP Dynamic'!$Q$1:$T$542,3,FALSE)</f>
        <v>0.87331245761462495</v>
      </c>
      <c r="X1048">
        <f>VLOOKUP($U1048,'[2]AP Dynamic'!$Q$1:$T$542,4,FALSE)</f>
        <v>0</v>
      </c>
      <c r="Y1048" s="77">
        <f t="shared" si="3458"/>
        <v>1</v>
      </c>
      <c r="Z1048" s="77">
        <f t="shared" si="3464"/>
        <v>5.3031777125165845E-2</v>
      </c>
      <c r="AA1048" s="77">
        <f t="shared" si="3465"/>
        <v>4.3154021798499365E-3</v>
      </c>
      <c r="AB1048" s="79">
        <v>1</v>
      </c>
      <c r="AC1048" s="77">
        <f t="shared" si="3403"/>
        <v>6.7533750847707501E-3</v>
      </c>
      <c r="AD1048" s="77">
        <f t="shared" ref="AD1048" si="3628">1-(1-AC1048)^(1/12)</f>
        <v>5.6453078538454271E-4</v>
      </c>
      <c r="AE1048" s="77">
        <f t="shared" si="3405"/>
        <v>2.4999999999999996E-3</v>
      </c>
      <c r="AF1048" s="77">
        <f t="shared" ref="AF1048" si="3629">1-(1-AE1048)^(1/12)</f>
        <v>2.0857243058891584E-4</v>
      </c>
      <c r="AH1048" t="s">
        <v>175</v>
      </c>
      <c r="AI1048" t="s">
        <v>179</v>
      </c>
      <c r="AJ1048" s="197" t="str">
        <f t="shared" si="3392"/>
        <v>Lifecycle_Dynamic_39</v>
      </c>
      <c r="AK1048">
        <v>39</v>
      </c>
      <c r="AL1048">
        <f>VLOOKUP($U1048,[2]Standard_Dynamic!$Q$1:$T$542,2,FALSE)</f>
        <v>9.90911773920094E-2</v>
      </c>
      <c r="AM1048">
        <f>VLOOKUP($U1048,[2]Standard_Dynamic!$Q$1:$T$542,3,FALSE)</f>
        <v>0.90090882260799066</v>
      </c>
      <c r="AN1048">
        <f>VLOOKUP($U1048,[2]Standard_Dynamic!$Q$1:$T$542,4,FALSE)</f>
        <v>0</v>
      </c>
      <c r="AO1048" s="77">
        <f t="shared" si="3393"/>
        <v>1</v>
      </c>
      <c r="AP1048" s="77">
        <f t="shared" si="3407"/>
        <v>5.2665435379878923E-2</v>
      </c>
      <c r="AQ1048" s="77">
        <f t="shared" si="3394"/>
        <v>4.2862813954784862E-3</v>
      </c>
      <c r="AR1048" s="79">
        <v>0</v>
      </c>
      <c r="AS1048" s="77">
        <f t="shared" si="3408"/>
        <v>0</v>
      </c>
      <c r="AT1048" s="77">
        <f t="shared" ref="AT1048" si="3630">1-(1-AS1048)^(1/12)</f>
        <v>0</v>
      </c>
      <c r="AU1048" s="77">
        <f t="shared" si="3410"/>
        <v>2.5000000000000001E-3</v>
      </c>
      <c r="AV1048" s="77">
        <f t="shared" ref="AV1048" si="3631">1-(1-AU1048)^(1/12)</f>
        <v>2.0857243058891584E-4</v>
      </c>
      <c r="AX1048" t="s">
        <v>178</v>
      </c>
      <c r="AY1048" t="s">
        <v>162</v>
      </c>
      <c r="AZ1048" s="197" t="str">
        <f t="shared" si="3490"/>
        <v>DIS_Standard_39</v>
      </c>
      <c r="BA1048">
        <v>39</v>
      </c>
      <c r="BB1048">
        <f>VLOOKUP($BA1048,'[2]Standard DIS'!$Q$1:$X$542,4,FALSE)</f>
        <v>0</v>
      </c>
      <c r="BF1048">
        <f>VLOOKUP($BA1048,'[2]Standard DIS'!$Q$1:$X$542,2,FALSE)</f>
        <v>9.90911773920094E-2</v>
      </c>
      <c r="BH1048">
        <f>VLOOKUP($BA1048,'[2]Standard DIS'!$Q$1:$X$542,3,FALSE)</f>
        <v>0.90090882260799066</v>
      </c>
      <c r="BI1048" s="77">
        <f t="shared" si="3397"/>
        <v>1</v>
      </c>
      <c r="BJ1048" s="77">
        <f t="shared" si="3398"/>
        <v>5.2665435379878923E-2</v>
      </c>
      <c r="BK1048" s="77">
        <f t="shared" si="3491"/>
        <v>4.2862813954784862E-3</v>
      </c>
      <c r="BL1048" s="79">
        <v>0</v>
      </c>
      <c r="BM1048" s="77">
        <f t="shared" si="3412"/>
        <v>0</v>
      </c>
      <c r="BN1048" s="77">
        <f t="shared" si="3413"/>
        <v>0</v>
      </c>
      <c r="BO1048" s="77">
        <f t="shared" si="3414"/>
        <v>2.5000000000000001E-3</v>
      </c>
      <c r="BP1048" s="77">
        <f t="shared" si="3415"/>
        <v>2.0809499864316017E-4</v>
      </c>
    </row>
    <row r="1049" spans="1:68">
      <c r="A1049" t="s">
        <v>175</v>
      </c>
      <c r="B1049" t="s">
        <v>179</v>
      </c>
      <c r="C1049" s="197" t="str">
        <f t="shared" si="3456"/>
        <v>Lifecycle_Dynamic_38</v>
      </c>
      <c r="D1049">
        <v>38</v>
      </c>
      <c r="E1049">
        <f>VLOOKUP($D1049,'[2]LC Dynamic'!$Q$2:$U$542,2,FALSE)</f>
        <v>0.22849999999999998</v>
      </c>
      <c r="F1049">
        <f>VLOOKUP($D1049,'[2]LC Dynamic'!$Q$2:$U$542,3,FALSE)</f>
        <v>0.32433333333333336</v>
      </c>
      <c r="G1049">
        <f>VLOOKUP($D1049,'[2]LC Dynamic'!$Q$2:$U$542,4,FALSE)</f>
        <v>0.44716666666666666</v>
      </c>
      <c r="H1049">
        <f>VLOOKUP($D1049,'[2]LC Dynamic'!$Q$2:$U$542,5,FALSE)</f>
        <v>0</v>
      </c>
      <c r="I1049" s="77">
        <f t="shared" si="3388"/>
        <v>1</v>
      </c>
      <c r="J1049" s="77">
        <f t="shared" si="3389"/>
        <v>5.3828737499999994E-2</v>
      </c>
      <c r="K1049" s="77">
        <f t="shared" si="3463"/>
        <v>4.3787211041501628E-3</v>
      </c>
      <c r="L1049" s="76">
        <v>0</v>
      </c>
      <c r="M1049" s="77">
        <f t="shared" si="3399"/>
        <v>0</v>
      </c>
      <c r="N1049" s="77">
        <f t="shared" si="3400"/>
        <v>0</v>
      </c>
      <c r="O1049" s="77">
        <f t="shared" si="3401"/>
        <v>5.6815666666666671E-3</v>
      </c>
      <c r="P1049" s="77">
        <f t="shared" si="3402"/>
        <v>4.747013071891848E-4</v>
      </c>
      <c r="R1049" t="s">
        <v>177</v>
      </c>
      <c r="S1049" t="s">
        <v>179</v>
      </c>
      <c r="T1049" s="197" t="str">
        <f t="shared" si="3457"/>
        <v>Autopilot_Dynamic_38</v>
      </c>
      <c r="U1049">
        <v>38</v>
      </c>
      <c r="V1049">
        <f>VLOOKUP($U1049,'[2]AP Dynamic'!$Q$1:$T$542,2,FALSE)</f>
        <v>0.12668754238537502</v>
      </c>
      <c r="W1049">
        <f>VLOOKUP($U1049,'[2]AP Dynamic'!$Q$1:$T$542,3,FALSE)</f>
        <v>0.87331245761462495</v>
      </c>
      <c r="X1049">
        <f>VLOOKUP($U1049,'[2]AP Dynamic'!$Q$1:$T$542,4,FALSE)</f>
        <v>0</v>
      </c>
      <c r="Y1049" s="77">
        <f t="shared" si="3458"/>
        <v>1</v>
      </c>
      <c r="Z1049" s="77">
        <f t="shared" si="3464"/>
        <v>5.3031777125165845E-2</v>
      </c>
      <c r="AA1049" s="77">
        <f t="shared" si="3465"/>
        <v>4.3154021798499365E-3</v>
      </c>
      <c r="AB1049" s="79">
        <v>1</v>
      </c>
      <c r="AC1049" s="77">
        <f t="shared" si="3403"/>
        <v>6.7533750847707501E-3</v>
      </c>
      <c r="AD1049" s="77">
        <f t="shared" ref="AD1049" si="3632">1-(1-AC1049)^(1/12)</f>
        <v>5.6453078538454271E-4</v>
      </c>
      <c r="AE1049" s="77">
        <f t="shared" si="3405"/>
        <v>2.4999999999999996E-3</v>
      </c>
      <c r="AF1049" s="77">
        <f t="shared" ref="AF1049" si="3633">1-(1-AE1049)^(1/12)</f>
        <v>2.0857243058891584E-4</v>
      </c>
      <c r="AH1049" t="s">
        <v>175</v>
      </c>
      <c r="AI1049" t="s">
        <v>179</v>
      </c>
      <c r="AJ1049" s="197" t="str">
        <f t="shared" si="3392"/>
        <v>Lifecycle_Dynamic_38</v>
      </c>
      <c r="AK1049">
        <v>38</v>
      </c>
      <c r="AL1049">
        <f>VLOOKUP($U1049,[2]Standard_Dynamic!$Q$1:$T$542,2,FALSE)</f>
        <v>9.6024914614968773E-2</v>
      </c>
      <c r="AM1049">
        <f>VLOOKUP($U1049,[2]Standard_Dynamic!$Q$1:$T$542,3,FALSE)</f>
        <v>0.90397508538503124</v>
      </c>
      <c r="AN1049">
        <f>VLOOKUP($U1049,[2]Standard_Dynamic!$Q$1:$T$542,4,FALSE)</f>
        <v>0</v>
      </c>
      <c r="AO1049" s="77">
        <f t="shared" si="3393"/>
        <v>1</v>
      </c>
      <c r="AP1049" s="77">
        <f t="shared" si="3407"/>
        <v>5.2624730741513706E-2</v>
      </c>
      <c r="AQ1049" s="77">
        <f t="shared" si="3394"/>
        <v>4.2830451793425262E-3</v>
      </c>
      <c r="AR1049" s="79">
        <v>0</v>
      </c>
      <c r="AS1049" s="77">
        <f t="shared" si="3408"/>
        <v>0</v>
      </c>
      <c r="AT1049" s="77">
        <f t="shared" ref="AT1049" si="3634">1-(1-AS1049)^(1/12)</f>
        <v>0</v>
      </c>
      <c r="AU1049" s="77">
        <f t="shared" si="3410"/>
        <v>2.5000000000000001E-3</v>
      </c>
      <c r="AV1049" s="77">
        <f t="shared" ref="AV1049" si="3635">1-(1-AU1049)^(1/12)</f>
        <v>2.0857243058891584E-4</v>
      </c>
      <c r="AX1049" t="s">
        <v>178</v>
      </c>
      <c r="AY1049" t="s">
        <v>162</v>
      </c>
      <c r="AZ1049" s="197" t="str">
        <f t="shared" si="3490"/>
        <v>DIS_Standard_38</v>
      </c>
      <c r="BA1049">
        <v>38</v>
      </c>
      <c r="BB1049">
        <f>VLOOKUP($BA1049,'[2]Standard DIS'!$Q$1:$X$542,4,FALSE)</f>
        <v>0</v>
      </c>
      <c r="BF1049">
        <f>VLOOKUP($BA1049,'[2]Standard DIS'!$Q$1:$X$542,2,FALSE)</f>
        <v>9.6024914614968773E-2</v>
      </c>
      <c r="BH1049">
        <f>VLOOKUP($BA1049,'[2]Standard DIS'!$Q$1:$X$542,3,FALSE)</f>
        <v>0.90397508538503124</v>
      </c>
      <c r="BI1049" s="77">
        <f t="shared" si="3397"/>
        <v>1</v>
      </c>
      <c r="BJ1049" s="77">
        <f t="shared" si="3398"/>
        <v>5.2624730741513706E-2</v>
      </c>
      <c r="BK1049" s="77">
        <f t="shared" si="3491"/>
        <v>4.2830451793425262E-3</v>
      </c>
      <c r="BL1049" s="79">
        <v>0</v>
      </c>
      <c r="BM1049" s="77">
        <f t="shared" si="3412"/>
        <v>0</v>
      </c>
      <c r="BN1049" s="77">
        <f t="shared" si="3413"/>
        <v>0</v>
      </c>
      <c r="BO1049" s="77">
        <f t="shared" si="3414"/>
        <v>2.5000000000000001E-3</v>
      </c>
      <c r="BP1049" s="77">
        <f t="shared" si="3415"/>
        <v>2.0809499864316017E-4</v>
      </c>
    </row>
    <row r="1050" spans="1:68">
      <c r="A1050" t="s">
        <v>175</v>
      </c>
      <c r="B1050" t="s">
        <v>179</v>
      </c>
      <c r="C1050" s="197" t="str">
        <f t="shared" si="3456"/>
        <v>Lifecycle_Dynamic_37</v>
      </c>
      <c r="D1050">
        <v>37</v>
      </c>
      <c r="E1050">
        <f>VLOOKUP($D1050,'[2]LC Dynamic'!$Q$2:$U$542,2,FALSE)</f>
        <v>0.23174999999999998</v>
      </c>
      <c r="F1050">
        <f>VLOOKUP($D1050,'[2]LC Dynamic'!$Q$2:$U$542,3,FALSE)</f>
        <v>0.32266666666666666</v>
      </c>
      <c r="G1050">
        <f>VLOOKUP($D1050,'[2]LC Dynamic'!$Q$2:$U$542,4,FALSE)</f>
        <v>0.44558333333333333</v>
      </c>
      <c r="H1050">
        <f>VLOOKUP($D1050,'[2]LC Dynamic'!$Q$2:$U$542,5,FALSE)</f>
        <v>0</v>
      </c>
      <c r="I1050" s="77">
        <f t="shared" si="3388"/>
        <v>1</v>
      </c>
      <c r="J1050" s="77">
        <f t="shared" si="3389"/>
        <v>5.378633125E-2</v>
      </c>
      <c r="K1050" s="77">
        <f t="shared" si="3463"/>
        <v>4.3753530109624794E-3</v>
      </c>
      <c r="L1050" s="76">
        <v>0</v>
      </c>
      <c r="M1050" s="77">
        <f t="shared" si="3399"/>
        <v>0</v>
      </c>
      <c r="N1050" s="77">
        <f t="shared" si="3400"/>
        <v>0</v>
      </c>
      <c r="O1050" s="77">
        <f t="shared" si="3401"/>
        <v>5.6681333333333337E-3</v>
      </c>
      <c r="P1050" s="77">
        <f t="shared" si="3402"/>
        <v>4.7357600761033236E-4</v>
      </c>
      <c r="R1050" t="s">
        <v>177</v>
      </c>
      <c r="S1050" t="s">
        <v>179</v>
      </c>
      <c r="T1050" s="197" t="str">
        <f t="shared" si="3457"/>
        <v>Autopilot_Dynamic_37</v>
      </c>
      <c r="U1050">
        <v>37</v>
      </c>
      <c r="V1050">
        <f>VLOOKUP($U1050,'[2]AP Dynamic'!$Q$1:$T$542,2,FALSE)</f>
        <v>0.12668754238537502</v>
      </c>
      <c r="W1050">
        <f>VLOOKUP($U1050,'[2]AP Dynamic'!$Q$1:$T$542,3,FALSE)</f>
        <v>0.87331245761462495</v>
      </c>
      <c r="X1050">
        <f>VLOOKUP($U1050,'[2]AP Dynamic'!$Q$1:$T$542,4,FALSE)</f>
        <v>0</v>
      </c>
      <c r="Y1050" s="77">
        <f t="shared" si="3458"/>
        <v>1</v>
      </c>
      <c r="Z1050" s="77">
        <f t="shared" si="3464"/>
        <v>5.3031777125165845E-2</v>
      </c>
      <c r="AA1050" s="77">
        <f t="shared" si="3465"/>
        <v>4.3154021798499365E-3</v>
      </c>
      <c r="AB1050" s="79">
        <v>1</v>
      </c>
      <c r="AC1050" s="77">
        <f t="shared" si="3403"/>
        <v>6.7533750847707501E-3</v>
      </c>
      <c r="AD1050" s="77">
        <f t="shared" ref="AD1050" si="3636">1-(1-AC1050)^(1/12)</f>
        <v>5.6453078538454271E-4</v>
      </c>
      <c r="AE1050" s="77">
        <f t="shared" si="3405"/>
        <v>2.4999999999999996E-3</v>
      </c>
      <c r="AF1050" s="77">
        <f t="shared" ref="AF1050" si="3637">1-(1-AE1050)^(1/12)</f>
        <v>2.0857243058891584E-4</v>
      </c>
      <c r="AH1050" t="s">
        <v>175</v>
      </c>
      <c r="AI1050" t="s">
        <v>179</v>
      </c>
      <c r="AJ1050" s="197" t="str">
        <f t="shared" si="3392"/>
        <v>Lifecycle_Dynamic_37</v>
      </c>
      <c r="AK1050">
        <v>37</v>
      </c>
      <c r="AL1050">
        <f>VLOOKUP($U1050,[2]Standard_Dynamic!$Q$1:$T$542,2,FALSE)</f>
        <v>9.2958651837928147E-2</v>
      </c>
      <c r="AM1050">
        <f>VLOOKUP($U1050,[2]Standard_Dynamic!$Q$1:$T$542,3,FALSE)</f>
        <v>0.90704134816207194</v>
      </c>
      <c r="AN1050">
        <f>VLOOKUP($U1050,[2]Standard_Dynamic!$Q$1:$T$542,4,FALSE)</f>
        <v>0</v>
      </c>
      <c r="AO1050" s="77">
        <f t="shared" si="3393"/>
        <v>1</v>
      </c>
      <c r="AP1050" s="77">
        <f t="shared" si="3407"/>
        <v>5.2584026103148489E-2</v>
      </c>
      <c r="AQ1050" s="77">
        <f t="shared" si="3394"/>
        <v>4.2798088484896635E-3</v>
      </c>
      <c r="AR1050" s="79">
        <v>0</v>
      </c>
      <c r="AS1050" s="77">
        <f t="shared" si="3408"/>
        <v>0</v>
      </c>
      <c r="AT1050" s="77">
        <f t="shared" ref="AT1050" si="3638">1-(1-AS1050)^(1/12)</f>
        <v>0</v>
      </c>
      <c r="AU1050" s="77">
        <f t="shared" si="3410"/>
        <v>2.5000000000000005E-3</v>
      </c>
      <c r="AV1050" s="77">
        <f t="shared" ref="AV1050" si="3639">1-(1-AU1050)^(1/12)</f>
        <v>2.0857243058891584E-4</v>
      </c>
      <c r="AX1050" t="s">
        <v>178</v>
      </c>
      <c r="AY1050" t="s">
        <v>162</v>
      </c>
      <c r="AZ1050" s="197" t="str">
        <f t="shared" si="3490"/>
        <v>DIS_Standard_37</v>
      </c>
      <c r="BA1050">
        <v>37</v>
      </c>
      <c r="BB1050">
        <f>VLOOKUP($BA1050,'[2]Standard DIS'!$Q$1:$X$542,4,FALSE)</f>
        <v>0</v>
      </c>
      <c r="BF1050">
        <f>VLOOKUP($BA1050,'[2]Standard DIS'!$Q$1:$X$542,2,FALSE)</f>
        <v>9.2958651837928147E-2</v>
      </c>
      <c r="BH1050">
        <f>VLOOKUP($BA1050,'[2]Standard DIS'!$Q$1:$X$542,3,FALSE)</f>
        <v>0.90704134816207194</v>
      </c>
      <c r="BI1050" s="77">
        <f t="shared" si="3397"/>
        <v>1</v>
      </c>
      <c r="BJ1050" s="77">
        <f t="shared" si="3398"/>
        <v>5.2584026103148489E-2</v>
      </c>
      <c r="BK1050" s="77">
        <f t="shared" si="3491"/>
        <v>4.2798088484896635E-3</v>
      </c>
      <c r="BL1050" s="79">
        <v>0</v>
      </c>
      <c r="BM1050" s="77">
        <f t="shared" si="3412"/>
        <v>0</v>
      </c>
      <c r="BN1050" s="77">
        <f t="shared" si="3413"/>
        <v>0</v>
      </c>
      <c r="BO1050" s="77">
        <f t="shared" si="3414"/>
        <v>2.5000000000000005E-3</v>
      </c>
      <c r="BP1050" s="77">
        <f t="shared" si="3415"/>
        <v>2.0809499864316017E-4</v>
      </c>
    </row>
    <row r="1051" spans="1:68">
      <c r="A1051" t="s">
        <v>175</v>
      </c>
      <c r="B1051" t="s">
        <v>179</v>
      </c>
      <c r="C1051" s="197" t="str">
        <f t="shared" si="3456"/>
        <v>Lifecycle_Dynamic_36</v>
      </c>
      <c r="D1051">
        <v>36</v>
      </c>
      <c r="E1051">
        <f>VLOOKUP($D1051,'[2]LC Dynamic'!$Q$2:$U$542,2,FALSE)</f>
        <v>0.23499999999999999</v>
      </c>
      <c r="F1051">
        <f>VLOOKUP($D1051,'[2]LC Dynamic'!$Q$2:$U$542,3,FALSE)</f>
        <v>0.32100000000000001</v>
      </c>
      <c r="G1051">
        <f>VLOOKUP($D1051,'[2]LC Dynamic'!$Q$2:$U$542,4,FALSE)</f>
        <v>0.44400000000000001</v>
      </c>
      <c r="H1051">
        <f>VLOOKUP($D1051,'[2]LC Dynamic'!$Q$2:$U$542,5,FALSE)</f>
        <v>0</v>
      </c>
      <c r="I1051" s="77">
        <f t="shared" si="3388"/>
        <v>1</v>
      </c>
      <c r="J1051" s="77">
        <f t="shared" si="3389"/>
        <v>5.3743924999999998E-2</v>
      </c>
      <c r="K1051" s="77">
        <f t="shared" si="3463"/>
        <v>4.3719847935290712E-3</v>
      </c>
      <c r="L1051" s="76">
        <v>0</v>
      </c>
      <c r="M1051" s="77">
        <f t="shared" si="3399"/>
        <v>0</v>
      </c>
      <c r="N1051" s="77">
        <f t="shared" si="3400"/>
        <v>0</v>
      </c>
      <c r="O1051" s="77">
        <f t="shared" si="3401"/>
        <v>5.6547000000000004E-3</v>
      </c>
      <c r="P1051" s="77">
        <f t="shared" si="3402"/>
        <v>4.7245072196722138E-4</v>
      </c>
      <c r="R1051" t="s">
        <v>177</v>
      </c>
      <c r="S1051" t="s">
        <v>179</v>
      </c>
      <c r="T1051" s="197" t="str">
        <f t="shared" si="3457"/>
        <v>Autopilot_Dynamic_36</v>
      </c>
      <c r="U1051">
        <v>36</v>
      </c>
      <c r="V1051">
        <f>VLOOKUP($U1051,'[2]AP Dynamic'!$Q$1:$T$542,2,FALSE)</f>
        <v>8.989238906088752E-2</v>
      </c>
      <c r="W1051">
        <f>VLOOKUP($U1051,'[2]AP Dynamic'!$Q$1:$T$542,3,FALSE)</f>
        <v>0.91010761093911252</v>
      </c>
      <c r="X1051">
        <f>VLOOKUP($U1051,'[2]AP Dynamic'!$Q$1:$T$542,4,FALSE)</f>
        <v>0</v>
      </c>
      <c r="Y1051" s="77">
        <f t="shared" si="3458"/>
        <v>1</v>
      </c>
      <c r="Z1051" s="77">
        <f t="shared" si="3464"/>
        <v>5.2543321464783278E-2</v>
      </c>
      <c r="AA1051" s="77">
        <f t="shared" si="3465"/>
        <v>4.2765724029114605E-3</v>
      </c>
      <c r="AB1051" s="79">
        <v>1</v>
      </c>
      <c r="AC1051" s="77">
        <f t="shared" si="3403"/>
        <v>6.6797847781217747E-3</v>
      </c>
      <c r="AD1051" s="77">
        <f t="shared" ref="AD1051" si="3640">1-(1-AC1051)^(1/12)</f>
        <v>5.5836025806665912E-4</v>
      </c>
      <c r="AE1051" s="77">
        <f t="shared" si="3405"/>
        <v>2.5000000000000005E-3</v>
      </c>
      <c r="AF1051" s="77">
        <f t="shared" ref="AF1051" si="3641">1-(1-AE1051)^(1/12)</f>
        <v>2.0857243058891584E-4</v>
      </c>
      <c r="AH1051" t="s">
        <v>175</v>
      </c>
      <c r="AI1051" t="s">
        <v>179</v>
      </c>
      <c r="AJ1051" s="197" t="str">
        <f t="shared" si="3392"/>
        <v>Lifecycle_Dynamic_36</v>
      </c>
      <c r="AK1051">
        <v>36</v>
      </c>
      <c r="AL1051">
        <f>VLOOKUP($U1051,[2]Standard_Dynamic!$Q$1:$T$542,2,FALSE)</f>
        <v>8.989238906088752E-2</v>
      </c>
      <c r="AM1051">
        <f>VLOOKUP($U1051,[2]Standard_Dynamic!$Q$1:$T$542,3,FALSE)</f>
        <v>0.91010761093911252</v>
      </c>
      <c r="AN1051">
        <f>VLOOKUP($U1051,[2]Standard_Dynamic!$Q$1:$T$542,4,FALSE)</f>
        <v>0</v>
      </c>
      <c r="AO1051" s="77">
        <f t="shared" si="3393"/>
        <v>1</v>
      </c>
      <c r="AP1051" s="77">
        <f t="shared" si="3407"/>
        <v>5.2543321464783278E-2</v>
      </c>
      <c r="AQ1051" s="77">
        <f t="shared" si="3394"/>
        <v>4.2765724029114605E-3</v>
      </c>
      <c r="AR1051" s="79">
        <v>0</v>
      </c>
      <c r="AS1051" s="77">
        <f t="shared" si="3408"/>
        <v>0</v>
      </c>
      <c r="AT1051" s="77">
        <f t="shared" ref="AT1051" si="3642">1-(1-AS1051)^(1/12)</f>
        <v>0</v>
      </c>
      <c r="AU1051" s="77">
        <f t="shared" si="3410"/>
        <v>2.5000000000000005E-3</v>
      </c>
      <c r="AV1051" s="77">
        <f t="shared" ref="AV1051" si="3643">1-(1-AU1051)^(1/12)</f>
        <v>2.0857243058891584E-4</v>
      </c>
      <c r="AX1051" t="s">
        <v>178</v>
      </c>
      <c r="AY1051" t="s">
        <v>162</v>
      </c>
      <c r="AZ1051" s="197" t="str">
        <f t="shared" si="3490"/>
        <v>DIS_Standard_36</v>
      </c>
      <c r="BA1051">
        <v>36</v>
      </c>
      <c r="BB1051">
        <f>VLOOKUP($BA1051,'[2]Standard DIS'!$Q$1:$X$542,4,FALSE)</f>
        <v>0</v>
      </c>
      <c r="BF1051">
        <f>VLOOKUP($BA1051,'[2]Standard DIS'!$Q$1:$X$542,2,FALSE)</f>
        <v>8.989238906088752E-2</v>
      </c>
      <c r="BH1051">
        <f>VLOOKUP($BA1051,'[2]Standard DIS'!$Q$1:$X$542,3,FALSE)</f>
        <v>0.91010761093911252</v>
      </c>
      <c r="BI1051" s="77">
        <f t="shared" si="3397"/>
        <v>1</v>
      </c>
      <c r="BJ1051" s="77">
        <f t="shared" si="3398"/>
        <v>5.2543321464783278E-2</v>
      </c>
      <c r="BK1051" s="77">
        <f t="shared" si="3491"/>
        <v>4.2765724029114605E-3</v>
      </c>
      <c r="BL1051" s="79">
        <v>0</v>
      </c>
      <c r="BM1051" s="77">
        <f t="shared" si="3412"/>
        <v>0</v>
      </c>
      <c r="BN1051" s="77">
        <f t="shared" si="3413"/>
        <v>0</v>
      </c>
      <c r="BO1051" s="77">
        <f t="shared" si="3414"/>
        <v>2.5000000000000005E-3</v>
      </c>
      <c r="BP1051" s="77">
        <f t="shared" si="3415"/>
        <v>2.0809499864316017E-4</v>
      </c>
    </row>
    <row r="1052" spans="1:68">
      <c r="A1052" t="s">
        <v>175</v>
      </c>
      <c r="B1052" t="s">
        <v>179</v>
      </c>
      <c r="C1052" s="197" t="str">
        <f t="shared" si="3456"/>
        <v>Lifecycle_Dynamic_35</v>
      </c>
      <c r="D1052">
        <v>35</v>
      </c>
      <c r="E1052">
        <f>VLOOKUP($D1052,'[2]LC Dynamic'!$Q$2:$U$542,2,FALSE)</f>
        <v>0.23791666666666667</v>
      </c>
      <c r="F1052">
        <f>VLOOKUP($D1052,'[2]LC Dynamic'!$Q$2:$U$542,3,FALSE)</f>
        <v>0.31950000000000001</v>
      </c>
      <c r="G1052">
        <f>VLOOKUP($D1052,'[2]LC Dynamic'!$Q$2:$U$542,4,FALSE)</f>
        <v>0.44258333333333333</v>
      </c>
      <c r="H1052">
        <f>VLOOKUP($D1052,'[2]LC Dynamic'!$Q$2:$U$542,5,FALSE)</f>
        <v>0</v>
      </c>
      <c r="I1052" s="77">
        <f t="shared" si="3388"/>
        <v>1</v>
      </c>
      <c r="J1052" s="77">
        <f t="shared" si="3389"/>
        <v>5.3705943749999999E-2</v>
      </c>
      <c r="K1052" s="77">
        <f t="shared" si="3463"/>
        <v>4.3689679367799883E-3</v>
      </c>
      <c r="L1052" s="76">
        <v>0</v>
      </c>
      <c r="M1052" s="77">
        <f t="shared" si="3399"/>
        <v>0</v>
      </c>
      <c r="N1052" s="77">
        <f t="shared" si="3400"/>
        <v>0</v>
      </c>
      <c r="O1052" s="77">
        <f t="shared" si="3401"/>
        <v>5.6426499999999999E-3</v>
      </c>
      <c r="P1052" s="77">
        <f t="shared" si="3402"/>
        <v>4.7144132747145573E-4</v>
      </c>
      <c r="R1052" t="s">
        <v>177</v>
      </c>
      <c r="S1052" t="s">
        <v>179</v>
      </c>
      <c r="T1052" s="197" t="str">
        <f t="shared" si="3457"/>
        <v>Autopilot_Dynamic_35</v>
      </c>
      <c r="U1052">
        <v>35</v>
      </c>
      <c r="V1052">
        <f>VLOOKUP($U1052,'[2]AP Dynamic'!$Q$1:$T$542,2,FALSE)</f>
        <v>8.989238906088752E-2</v>
      </c>
      <c r="W1052">
        <f>VLOOKUP($U1052,'[2]AP Dynamic'!$Q$1:$T$542,3,FALSE)</f>
        <v>0.91010761093911252</v>
      </c>
      <c r="X1052">
        <f>VLOOKUP($U1052,'[2]AP Dynamic'!$Q$1:$T$542,4,FALSE)</f>
        <v>0</v>
      </c>
      <c r="Y1052" s="77">
        <f t="shared" si="3458"/>
        <v>1</v>
      </c>
      <c r="Z1052" s="77">
        <f t="shared" si="3464"/>
        <v>5.2543321464783278E-2</v>
      </c>
      <c r="AA1052" s="77">
        <f t="shared" si="3465"/>
        <v>4.2765724029114605E-3</v>
      </c>
      <c r="AB1052" s="79">
        <v>1</v>
      </c>
      <c r="AC1052" s="77">
        <f t="shared" si="3403"/>
        <v>6.6797847781217747E-3</v>
      </c>
      <c r="AD1052" s="77">
        <f t="shared" ref="AD1052" si="3644">1-(1-AC1052)^(1/12)</f>
        <v>5.5836025806665912E-4</v>
      </c>
      <c r="AE1052" s="77">
        <f t="shared" si="3405"/>
        <v>2.5000000000000005E-3</v>
      </c>
      <c r="AF1052" s="77">
        <f t="shared" ref="AF1052" si="3645">1-(1-AE1052)^(1/12)</f>
        <v>2.0857243058891584E-4</v>
      </c>
      <c r="AH1052" t="s">
        <v>175</v>
      </c>
      <c r="AI1052" t="s">
        <v>179</v>
      </c>
      <c r="AJ1052" s="197" t="str">
        <f t="shared" si="3392"/>
        <v>Lifecycle_Dynamic_35</v>
      </c>
      <c r="AK1052">
        <v>35</v>
      </c>
      <c r="AL1052">
        <f>VLOOKUP($U1052,[2]Standard_Dynamic!$Q$1:$T$542,2,FALSE)</f>
        <v>8.7141342633544644E-2</v>
      </c>
      <c r="AM1052">
        <f>VLOOKUP($U1052,[2]Standard_Dynamic!$Q$1:$T$542,3,FALSE)</f>
        <v>0.91285865736645544</v>
      </c>
      <c r="AN1052">
        <f>VLOOKUP($U1052,[2]Standard_Dynamic!$Q$1:$T$542,4,FALSE)</f>
        <v>0</v>
      </c>
      <c r="AO1052" s="77">
        <f t="shared" si="3393"/>
        <v>1</v>
      </c>
      <c r="AP1052" s="77">
        <f t="shared" si="3407"/>
        <v>5.2506801323460299E-2</v>
      </c>
      <c r="AQ1052" s="77">
        <f t="shared" si="3394"/>
        <v>4.2736685710791367E-3</v>
      </c>
      <c r="AR1052" s="79">
        <v>0</v>
      </c>
      <c r="AS1052" s="77">
        <f t="shared" si="3408"/>
        <v>0</v>
      </c>
      <c r="AT1052" s="77">
        <f t="shared" ref="AT1052" si="3646">1-(1-AS1052)^(1/12)</f>
        <v>0</v>
      </c>
      <c r="AU1052" s="77">
        <f t="shared" si="3410"/>
        <v>2.5000000000000001E-3</v>
      </c>
      <c r="AV1052" s="77">
        <f t="shared" ref="AV1052" si="3647">1-(1-AU1052)^(1/12)</f>
        <v>2.0857243058891584E-4</v>
      </c>
      <c r="AX1052" t="s">
        <v>178</v>
      </c>
      <c r="AY1052" t="s">
        <v>162</v>
      </c>
      <c r="AZ1052" s="197" t="str">
        <f t="shared" si="3490"/>
        <v>DIS_Standard_35</v>
      </c>
      <c r="BA1052">
        <v>35</v>
      </c>
      <c r="BB1052">
        <f>VLOOKUP($BA1052,'[2]Standard DIS'!$Q$1:$X$542,4,FALSE)</f>
        <v>0</v>
      </c>
      <c r="BF1052">
        <f>VLOOKUP($BA1052,'[2]Standard DIS'!$Q$1:$X$542,2,FALSE)</f>
        <v>8.7141342633544644E-2</v>
      </c>
      <c r="BH1052">
        <f>VLOOKUP($BA1052,'[2]Standard DIS'!$Q$1:$X$542,3,FALSE)</f>
        <v>0.91285865736645544</v>
      </c>
      <c r="BI1052" s="77">
        <f t="shared" si="3397"/>
        <v>1</v>
      </c>
      <c r="BJ1052" s="77">
        <f t="shared" si="3398"/>
        <v>5.2506801323460299E-2</v>
      </c>
      <c r="BK1052" s="77">
        <f t="shared" si="3491"/>
        <v>4.2736685710791367E-3</v>
      </c>
      <c r="BL1052" s="79">
        <v>0</v>
      </c>
      <c r="BM1052" s="77">
        <f t="shared" si="3412"/>
        <v>0</v>
      </c>
      <c r="BN1052" s="77">
        <f t="shared" si="3413"/>
        <v>0</v>
      </c>
      <c r="BO1052" s="77">
        <f t="shared" si="3414"/>
        <v>2.5000000000000001E-3</v>
      </c>
      <c r="BP1052" s="77">
        <f t="shared" si="3415"/>
        <v>2.0809499864316017E-4</v>
      </c>
    </row>
    <row r="1053" spans="1:68">
      <c r="A1053" t="s">
        <v>175</v>
      </c>
      <c r="B1053" t="s">
        <v>179</v>
      </c>
      <c r="C1053" s="197" t="str">
        <f t="shared" si="3456"/>
        <v>Lifecycle_Dynamic_34</v>
      </c>
      <c r="D1053">
        <v>34</v>
      </c>
      <c r="E1053">
        <f>VLOOKUP($D1053,'[2]LC Dynamic'!$Q$2:$U$542,2,FALSE)</f>
        <v>0.24083333333333332</v>
      </c>
      <c r="F1053">
        <f>VLOOKUP($D1053,'[2]LC Dynamic'!$Q$2:$U$542,3,FALSE)</f>
        <v>0.318</v>
      </c>
      <c r="G1053">
        <f>VLOOKUP($D1053,'[2]LC Dynamic'!$Q$2:$U$542,4,FALSE)</f>
        <v>0.44116666666666665</v>
      </c>
      <c r="H1053">
        <f>VLOOKUP($D1053,'[2]LC Dynamic'!$Q$2:$U$542,5,FALSE)</f>
        <v>0</v>
      </c>
      <c r="I1053" s="77">
        <f t="shared" si="3388"/>
        <v>1</v>
      </c>
      <c r="J1053" s="77">
        <f t="shared" si="3389"/>
        <v>5.3667962499999992E-2</v>
      </c>
      <c r="K1053" s="77">
        <f t="shared" si="3463"/>
        <v>4.3659509803473107E-3</v>
      </c>
      <c r="L1053" s="76">
        <v>0</v>
      </c>
      <c r="M1053" s="77">
        <f t="shared" si="3399"/>
        <v>0</v>
      </c>
      <c r="N1053" s="77">
        <f t="shared" si="3400"/>
        <v>0</v>
      </c>
      <c r="O1053" s="77">
        <f t="shared" si="3401"/>
        <v>5.6305999999999995E-3</v>
      </c>
      <c r="P1053" s="77">
        <f t="shared" si="3402"/>
        <v>4.7043194418860956E-4</v>
      </c>
      <c r="R1053" t="s">
        <v>177</v>
      </c>
      <c r="S1053" t="s">
        <v>179</v>
      </c>
      <c r="T1053" s="197" t="str">
        <f t="shared" si="3457"/>
        <v>Autopilot_Dynamic_34</v>
      </c>
      <c r="U1053">
        <v>34</v>
      </c>
      <c r="V1053">
        <f>VLOOKUP($U1053,'[2]AP Dynamic'!$Q$1:$T$542,2,FALSE)</f>
        <v>8.989238906088752E-2</v>
      </c>
      <c r="W1053">
        <f>VLOOKUP($U1053,'[2]AP Dynamic'!$Q$1:$T$542,3,FALSE)</f>
        <v>0.91010761093911252</v>
      </c>
      <c r="X1053">
        <f>VLOOKUP($U1053,'[2]AP Dynamic'!$Q$1:$T$542,4,FALSE)</f>
        <v>0</v>
      </c>
      <c r="Y1053" s="77">
        <f t="shared" si="3458"/>
        <v>1</v>
      </c>
      <c r="Z1053" s="77">
        <f t="shared" si="3464"/>
        <v>5.2543321464783278E-2</v>
      </c>
      <c r="AA1053" s="77">
        <f t="shared" si="3465"/>
        <v>4.2765724029114605E-3</v>
      </c>
      <c r="AB1053" s="79">
        <v>1</v>
      </c>
      <c r="AC1053" s="77">
        <f t="shared" si="3403"/>
        <v>6.6797847781217747E-3</v>
      </c>
      <c r="AD1053" s="77">
        <f t="shared" ref="AD1053" si="3648">1-(1-AC1053)^(1/12)</f>
        <v>5.5836025806665912E-4</v>
      </c>
      <c r="AE1053" s="77">
        <f t="shared" si="3405"/>
        <v>2.5000000000000005E-3</v>
      </c>
      <c r="AF1053" s="77">
        <f t="shared" ref="AF1053" si="3649">1-(1-AE1053)^(1/12)</f>
        <v>2.0857243058891584E-4</v>
      </c>
      <c r="AH1053" t="s">
        <v>175</v>
      </c>
      <c r="AI1053" t="s">
        <v>179</v>
      </c>
      <c r="AJ1053" s="197" t="str">
        <f t="shared" si="3392"/>
        <v>Lifecycle_Dynamic_34</v>
      </c>
      <c r="AK1053">
        <v>34</v>
      </c>
      <c r="AL1053">
        <f>VLOOKUP($U1053,[2]Standard_Dynamic!$Q$1:$T$542,2,FALSE)</f>
        <v>8.4390296206201768E-2</v>
      </c>
      <c r="AM1053">
        <f>VLOOKUP($U1053,[2]Standard_Dynamic!$Q$1:$T$542,3,FALSE)</f>
        <v>0.91560970379379825</v>
      </c>
      <c r="AN1053">
        <f>VLOOKUP($U1053,[2]Standard_Dynamic!$Q$1:$T$542,4,FALSE)</f>
        <v>0</v>
      </c>
      <c r="AO1053" s="77">
        <f t="shared" si="3393"/>
        <v>1</v>
      </c>
      <c r="AP1053" s="77">
        <f t="shared" si="3407"/>
        <v>5.2470281182137327E-2</v>
      </c>
      <c r="AQ1053" s="77">
        <f t="shared" si="3394"/>
        <v>4.2707646468840288E-3</v>
      </c>
      <c r="AR1053" s="79">
        <v>0</v>
      </c>
      <c r="AS1053" s="77">
        <f t="shared" si="3408"/>
        <v>0</v>
      </c>
      <c r="AT1053" s="77">
        <f t="shared" ref="AT1053" si="3650">1-(1-AS1053)^(1/12)</f>
        <v>0</v>
      </c>
      <c r="AU1053" s="77">
        <f t="shared" si="3410"/>
        <v>2.5000000000000001E-3</v>
      </c>
      <c r="AV1053" s="77">
        <f t="shared" ref="AV1053" si="3651">1-(1-AU1053)^(1/12)</f>
        <v>2.0857243058891584E-4</v>
      </c>
      <c r="AX1053" t="s">
        <v>178</v>
      </c>
      <c r="AY1053" t="s">
        <v>162</v>
      </c>
      <c r="AZ1053" s="197" t="str">
        <f t="shared" si="3490"/>
        <v>DIS_Standard_34</v>
      </c>
      <c r="BA1053">
        <v>34</v>
      </c>
      <c r="BB1053">
        <f>VLOOKUP($BA1053,'[2]Standard DIS'!$Q$1:$X$542,4,FALSE)</f>
        <v>0</v>
      </c>
      <c r="BF1053">
        <f>VLOOKUP($BA1053,'[2]Standard DIS'!$Q$1:$X$542,2,FALSE)</f>
        <v>8.4390296206201768E-2</v>
      </c>
      <c r="BH1053">
        <f>VLOOKUP($BA1053,'[2]Standard DIS'!$Q$1:$X$542,3,FALSE)</f>
        <v>0.91560970379379825</v>
      </c>
      <c r="BI1053" s="77">
        <f t="shared" si="3397"/>
        <v>1</v>
      </c>
      <c r="BJ1053" s="77">
        <f t="shared" si="3398"/>
        <v>5.2470281182137327E-2</v>
      </c>
      <c r="BK1053" s="77">
        <f t="shared" si="3491"/>
        <v>4.2707646468840288E-3</v>
      </c>
      <c r="BL1053" s="79">
        <v>0</v>
      </c>
      <c r="BM1053" s="77">
        <f t="shared" si="3412"/>
        <v>0</v>
      </c>
      <c r="BN1053" s="77">
        <f t="shared" si="3413"/>
        <v>0</v>
      </c>
      <c r="BO1053" s="77">
        <f t="shared" si="3414"/>
        <v>2.5000000000000001E-3</v>
      </c>
      <c r="BP1053" s="77">
        <f t="shared" si="3415"/>
        <v>2.0809499864316017E-4</v>
      </c>
    </row>
    <row r="1054" spans="1:68">
      <c r="A1054" t="s">
        <v>175</v>
      </c>
      <c r="B1054" t="s">
        <v>179</v>
      </c>
      <c r="C1054" s="197" t="str">
        <f t="shared" si="3456"/>
        <v>Lifecycle_Dynamic_33</v>
      </c>
      <c r="D1054">
        <v>33</v>
      </c>
      <c r="E1054">
        <f>VLOOKUP($D1054,'[2]LC Dynamic'!$Q$2:$U$542,2,FALSE)</f>
        <v>0.24374999999999999</v>
      </c>
      <c r="F1054">
        <f>VLOOKUP($D1054,'[2]LC Dynamic'!$Q$2:$U$542,3,FALSE)</f>
        <v>0.3165</v>
      </c>
      <c r="G1054">
        <f>VLOOKUP($D1054,'[2]LC Dynamic'!$Q$2:$U$542,4,FALSE)</f>
        <v>0.43974999999999997</v>
      </c>
      <c r="H1054">
        <f>VLOOKUP($D1054,'[2]LC Dynamic'!$Q$2:$U$542,5,FALSE)</f>
        <v>0</v>
      </c>
      <c r="I1054" s="77">
        <f t="shared" si="3388"/>
        <v>1</v>
      </c>
      <c r="J1054" s="77">
        <f t="shared" si="3389"/>
        <v>5.3629981249999993E-2</v>
      </c>
      <c r="K1054" s="77">
        <f t="shared" si="3463"/>
        <v>4.362933924224377E-3</v>
      </c>
      <c r="L1054" s="76">
        <v>0</v>
      </c>
      <c r="M1054" s="77">
        <f t="shared" si="3399"/>
        <v>0</v>
      </c>
      <c r="N1054" s="77">
        <f t="shared" si="3400"/>
        <v>0</v>
      </c>
      <c r="O1054" s="77">
        <f t="shared" si="3401"/>
        <v>5.6185499999999999E-3</v>
      </c>
      <c r="P1054" s="77">
        <f t="shared" si="3402"/>
        <v>4.6942257211834981E-4</v>
      </c>
      <c r="R1054" t="s">
        <v>177</v>
      </c>
      <c r="S1054" t="s">
        <v>179</v>
      </c>
      <c r="T1054" s="197" t="str">
        <f t="shared" si="3457"/>
        <v>Autopilot_Dynamic_33</v>
      </c>
      <c r="U1054">
        <v>33</v>
      </c>
      <c r="V1054">
        <f>VLOOKUP($U1054,'[2]AP Dynamic'!$Q$1:$T$542,2,FALSE)</f>
        <v>8.989238906088752E-2</v>
      </c>
      <c r="W1054">
        <f>VLOOKUP($U1054,'[2]AP Dynamic'!$Q$1:$T$542,3,FALSE)</f>
        <v>0.91010761093911252</v>
      </c>
      <c r="X1054">
        <f>VLOOKUP($U1054,'[2]AP Dynamic'!$Q$1:$T$542,4,FALSE)</f>
        <v>0</v>
      </c>
      <c r="Y1054" s="77">
        <f t="shared" si="3458"/>
        <v>1</v>
      </c>
      <c r="Z1054" s="77">
        <f t="shared" si="3464"/>
        <v>5.2543321464783278E-2</v>
      </c>
      <c r="AA1054" s="77">
        <f t="shared" si="3465"/>
        <v>4.2765724029114605E-3</v>
      </c>
      <c r="AB1054" s="79">
        <v>1</v>
      </c>
      <c r="AC1054" s="77">
        <f t="shared" si="3403"/>
        <v>6.6797847781217747E-3</v>
      </c>
      <c r="AD1054" s="77">
        <f t="shared" ref="AD1054" si="3652">1-(1-AC1054)^(1/12)</f>
        <v>5.5836025806665912E-4</v>
      </c>
      <c r="AE1054" s="77">
        <f t="shared" si="3405"/>
        <v>2.5000000000000005E-3</v>
      </c>
      <c r="AF1054" s="77">
        <f t="shared" ref="AF1054" si="3653">1-(1-AE1054)^(1/12)</f>
        <v>2.0857243058891584E-4</v>
      </c>
      <c r="AH1054" t="s">
        <v>175</v>
      </c>
      <c r="AI1054" t="s">
        <v>179</v>
      </c>
      <c r="AJ1054" s="197" t="str">
        <f t="shared" si="3392"/>
        <v>Lifecycle_Dynamic_33</v>
      </c>
      <c r="AK1054">
        <v>33</v>
      </c>
      <c r="AL1054">
        <f>VLOOKUP($U1054,[2]Standard_Dynamic!$Q$1:$T$542,2,FALSE)</f>
        <v>8.1639249778858877E-2</v>
      </c>
      <c r="AM1054">
        <f>VLOOKUP($U1054,[2]Standard_Dynamic!$Q$1:$T$542,3,FALSE)</f>
        <v>0.91836075022114116</v>
      </c>
      <c r="AN1054">
        <f>VLOOKUP($U1054,[2]Standard_Dynamic!$Q$1:$T$542,4,FALSE)</f>
        <v>0</v>
      </c>
      <c r="AO1054" s="77">
        <f t="shared" si="3393"/>
        <v>1</v>
      </c>
      <c r="AP1054" s="77">
        <f t="shared" si="3407"/>
        <v>5.2433761040814347E-2</v>
      </c>
      <c r="AQ1054" s="77">
        <f t="shared" si="3394"/>
        <v>4.2678606303199196E-3</v>
      </c>
      <c r="AR1054" s="79">
        <v>0</v>
      </c>
      <c r="AS1054" s="77">
        <f t="shared" si="3408"/>
        <v>0</v>
      </c>
      <c r="AT1054" s="77">
        <f t="shared" ref="AT1054" si="3654">1-(1-AS1054)^(1/12)</f>
        <v>0</v>
      </c>
      <c r="AU1054" s="77">
        <f t="shared" si="3410"/>
        <v>2.5000000000000001E-3</v>
      </c>
      <c r="AV1054" s="77">
        <f t="shared" ref="AV1054" si="3655">1-(1-AU1054)^(1/12)</f>
        <v>2.0857243058891584E-4</v>
      </c>
      <c r="AX1054" t="s">
        <v>178</v>
      </c>
      <c r="AY1054" t="s">
        <v>162</v>
      </c>
      <c r="AZ1054" s="197" t="str">
        <f t="shared" si="3490"/>
        <v>DIS_Standard_33</v>
      </c>
      <c r="BA1054">
        <v>33</v>
      </c>
      <c r="BB1054">
        <f>VLOOKUP($BA1054,'[2]Standard DIS'!$Q$1:$X$542,4,FALSE)</f>
        <v>0</v>
      </c>
      <c r="BF1054">
        <f>VLOOKUP($BA1054,'[2]Standard DIS'!$Q$1:$X$542,2,FALSE)</f>
        <v>8.1639249778858877E-2</v>
      </c>
      <c r="BH1054">
        <f>VLOOKUP($BA1054,'[2]Standard DIS'!$Q$1:$X$542,3,FALSE)</f>
        <v>0.91836075022114116</v>
      </c>
      <c r="BI1054" s="77">
        <f t="shared" si="3397"/>
        <v>1</v>
      </c>
      <c r="BJ1054" s="77">
        <f t="shared" si="3398"/>
        <v>5.2433761040814347E-2</v>
      </c>
      <c r="BK1054" s="77">
        <f t="shared" si="3491"/>
        <v>4.2678606303199196E-3</v>
      </c>
      <c r="BL1054" s="79">
        <v>0</v>
      </c>
      <c r="BM1054" s="77">
        <f t="shared" si="3412"/>
        <v>0</v>
      </c>
      <c r="BN1054" s="77">
        <f t="shared" si="3413"/>
        <v>0</v>
      </c>
      <c r="BO1054" s="77">
        <f t="shared" si="3414"/>
        <v>2.5000000000000001E-3</v>
      </c>
      <c r="BP1054" s="77">
        <f t="shared" si="3415"/>
        <v>2.0809499864316017E-4</v>
      </c>
    </row>
    <row r="1055" spans="1:68">
      <c r="A1055" t="s">
        <v>175</v>
      </c>
      <c r="B1055" t="s">
        <v>179</v>
      </c>
      <c r="C1055" s="197" t="str">
        <f t="shared" si="3456"/>
        <v>Lifecycle_Dynamic_32</v>
      </c>
      <c r="D1055">
        <v>32</v>
      </c>
      <c r="E1055">
        <f>VLOOKUP($D1055,'[2]LC Dynamic'!$Q$2:$U$542,2,FALSE)</f>
        <v>0.24666666666666667</v>
      </c>
      <c r="F1055">
        <f>VLOOKUP($D1055,'[2]LC Dynamic'!$Q$2:$U$542,3,FALSE)</f>
        <v>0.315</v>
      </c>
      <c r="G1055">
        <f>VLOOKUP($D1055,'[2]LC Dynamic'!$Q$2:$U$542,4,FALSE)</f>
        <v>0.43833333333333335</v>
      </c>
      <c r="H1055">
        <f>VLOOKUP($D1055,'[2]LC Dynamic'!$Q$2:$U$542,5,FALSE)</f>
        <v>0</v>
      </c>
      <c r="I1055" s="77">
        <f t="shared" si="3388"/>
        <v>1</v>
      </c>
      <c r="J1055" s="77">
        <f t="shared" si="3389"/>
        <v>5.3592000000000001E-2</v>
      </c>
      <c r="K1055" s="77">
        <f t="shared" si="3463"/>
        <v>4.3599167684043039E-3</v>
      </c>
      <c r="L1055" s="76">
        <v>0</v>
      </c>
      <c r="M1055" s="77">
        <f t="shared" si="3399"/>
        <v>0</v>
      </c>
      <c r="N1055" s="77">
        <f t="shared" si="3400"/>
        <v>0</v>
      </c>
      <c r="O1055" s="77">
        <f t="shared" si="3401"/>
        <v>5.6065000000000004E-3</v>
      </c>
      <c r="P1055" s="77">
        <f t="shared" si="3402"/>
        <v>4.6841321126034341E-4</v>
      </c>
      <c r="R1055" t="s">
        <v>177</v>
      </c>
      <c r="S1055" t="s">
        <v>179</v>
      </c>
      <c r="T1055" s="197" t="str">
        <f t="shared" si="3457"/>
        <v>Autopilot_Dynamic_32</v>
      </c>
      <c r="U1055">
        <v>32</v>
      </c>
      <c r="V1055">
        <f>VLOOKUP($U1055,'[2]AP Dynamic'!$Q$1:$T$542,2,FALSE)</f>
        <v>8.989238906088752E-2</v>
      </c>
      <c r="W1055">
        <f>VLOOKUP($U1055,'[2]AP Dynamic'!$Q$1:$T$542,3,FALSE)</f>
        <v>0.91010761093911252</v>
      </c>
      <c r="X1055">
        <f>VLOOKUP($U1055,'[2]AP Dynamic'!$Q$1:$T$542,4,FALSE)</f>
        <v>0</v>
      </c>
      <c r="Y1055" s="77">
        <f t="shared" si="3458"/>
        <v>1</v>
      </c>
      <c r="Z1055" s="77">
        <f t="shared" si="3464"/>
        <v>5.2543321464783278E-2</v>
      </c>
      <c r="AA1055" s="77">
        <f t="shared" si="3465"/>
        <v>4.2765724029114605E-3</v>
      </c>
      <c r="AB1055" s="79">
        <v>1</v>
      </c>
      <c r="AC1055" s="77">
        <f t="shared" si="3403"/>
        <v>6.6797847781217747E-3</v>
      </c>
      <c r="AD1055" s="77">
        <f t="shared" ref="AD1055" si="3656">1-(1-AC1055)^(1/12)</f>
        <v>5.5836025806665912E-4</v>
      </c>
      <c r="AE1055" s="77">
        <f t="shared" si="3405"/>
        <v>2.5000000000000005E-3</v>
      </c>
      <c r="AF1055" s="77">
        <f t="shared" ref="AF1055" si="3657">1-(1-AE1055)^(1/12)</f>
        <v>2.0857243058891584E-4</v>
      </c>
      <c r="AH1055" t="s">
        <v>175</v>
      </c>
      <c r="AI1055" t="s">
        <v>179</v>
      </c>
      <c r="AJ1055" s="197" t="str">
        <f t="shared" si="3392"/>
        <v>Lifecycle_Dynamic_32</v>
      </c>
      <c r="AK1055">
        <v>32</v>
      </c>
      <c r="AL1055">
        <f>VLOOKUP($U1055,[2]Standard_Dynamic!$Q$1:$T$542,2,FALSE)</f>
        <v>7.8888203351516001E-2</v>
      </c>
      <c r="AM1055">
        <f>VLOOKUP($U1055,[2]Standard_Dynamic!$Q$1:$T$542,3,FALSE)</f>
        <v>0.92111179664848397</v>
      </c>
      <c r="AN1055">
        <f>VLOOKUP($U1055,[2]Standard_Dynamic!$Q$1:$T$542,4,FALSE)</f>
        <v>0</v>
      </c>
      <c r="AO1055" s="77">
        <f t="shared" si="3393"/>
        <v>1</v>
      </c>
      <c r="AP1055" s="77">
        <f t="shared" si="3407"/>
        <v>5.2397240899491368E-2</v>
      </c>
      <c r="AQ1055" s="77">
        <f t="shared" si="3394"/>
        <v>4.2649565213805918E-3</v>
      </c>
      <c r="AR1055" s="79">
        <v>0</v>
      </c>
      <c r="AS1055" s="77">
        <f t="shared" si="3408"/>
        <v>0</v>
      </c>
      <c r="AT1055" s="77">
        <f t="shared" ref="AT1055" si="3658">1-(1-AS1055)^(1/12)</f>
        <v>0</v>
      </c>
      <c r="AU1055" s="77">
        <f t="shared" si="3410"/>
        <v>2.5000000000000001E-3</v>
      </c>
      <c r="AV1055" s="77">
        <f t="shared" ref="AV1055" si="3659">1-(1-AU1055)^(1/12)</f>
        <v>2.0857243058891584E-4</v>
      </c>
      <c r="AX1055" t="s">
        <v>178</v>
      </c>
      <c r="AY1055" t="s">
        <v>162</v>
      </c>
      <c r="AZ1055" s="197" t="str">
        <f t="shared" si="3490"/>
        <v>DIS_Standard_32</v>
      </c>
      <c r="BA1055">
        <v>32</v>
      </c>
      <c r="BB1055">
        <f>VLOOKUP($BA1055,'[2]Standard DIS'!$Q$1:$X$542,4,FALSE)</f>
        <v>0</v>
      </c>
      <c r="BF1055">
        <f>VLOOKUP($BA1055,'[2]Standard DIS'!$Q$1:$X$542,2,FALSE)</f>
        <v>7.8888203351516001E-2</v>
      </c>
      <c r="BH1055">
        <f>VLOOKUP($BA1055,'[2]Standard DIS'!$Q$1:$X$542,3,FALSE)</f>
        <v>0.92111179664848397</v>
      </c>
      <c r="BI1055" s="77">
        <f t="shared" si="3397"/>
        <v>1</v>
      </c>
      <c r="BJ1055" s="77">
        <f t="shared" si="3398"/>
        <v>5.2397240899491368E-2</v>
      </c>
      <c r="BK1055" s="77">
        <f t="shared" si="3491"/>
        <v>4.2649565213805918E-3</v>
      </c>
      <c r="BL1055" s="79">
        <v>0</v>
      </c>
      <c r="BM1055" s="77">
        <f t="shared" si="3412"/>
        <v>0</v>
      </c>
      <c r="BN1055" s="77">
        <f t="shared" si="3413"/>
        <v>0</v>
      </c>
      <c r="BO1055" s="77">
        <f t="shared" si="3414"/>
        <v>2.5000000000000001E-3</v>
      </c>
      <c r="BP1055" s="77">
        <f t="shared" si="3415"/>
        <v>2.0809499864316017E-4</v>
      </c>
    </row>
    <row r="1056" spans="1:68">
      <c r="A1056" t="s">
        <v>175</v>
      </c>
      <c r="B1056" t="s">
        <v>179</v>
      </c>
      <c r="C1056" s="197" t="str">
        <f t="shared" si="3456"/>
        <v>Lifecycle_Dynamic_31</v>
      </c>
      <c r="D1056">
        <v>31</v>
      </c>
      <c r="E1056">
        <f>VLOOKUP($D1056,'[2]LC Dynamic'!$Q$2:$U$542,2,FALSE)</f>
        <v>0.24958333333333332</v>
      </c>
      <c r="F1056">
        <f>VLOOKUP($D1056,'[2]LC Dynamic'!$Q$2:$U$542,3,FALSE)</f>
        <v>0.3135</v>
      </c>
      <c r="G1056">
        <f>VLOOKUP($D1056,'[2]LC Dynamic'!$Q$2:$U$542,4,FALSE)</f>
        <v>0.43691666666666668</v>
      </c>
      <c r="H1056">
        <f>VLOOKUP($D1056,'[2]LC Dynamic'!$Q$2:$U$542,5,FALSE)</f>
        <v>0</v>
      </c>
      <c r="I1056" s="77">
        <f t="shared" si="3388"/>
        <v>1</v>
      </c>
      <c r="J1056" s="77">
        <f t="shared" si="3389"/>
        <v>5.3554018749999995E-2</v>
      </c>
      <c r="K1056" s="77">
        <f t="shared" si="3463"/>
        <v>4.3568995128799859E-3</v>
      </c>
      <c r="L1056" s="76">
        <v>0</v>
      </c>
      <c r="M1056" s="77">
        <f t="shared" si="3399"/>
        <v>0</v>
      </c>
      <c r="N1056" s="77">
        <f t="shared" si="3400"/>
        <v>0</v>
      </c>
      <c r="O1056" s="77">
        <f t="shared" si="3401"/>
        <v>5.5944499999999999E-3</v>
      </c>
      <c r="P1056" s="77">
        <f t="shared" si="3402"/>
        <v>4.6740386161436831E-4</v>
      </c>
      <c r="R1056" t="s">
        <v>177</v>
      </c>
      <c r="S1056" t="s">
        <v>179</v>
      </c>
      <c r="T1056" s="197" t="str">
        <f t="shared" si="3457"/>
        <v>Autopilot_Dynamic_31</v>
      </c>
      <c r="U1056">
        <v>31</v>
      </c>
      <c r="V1056">
        <f>VLOOKUP($U1056,'[2]AP Dynamic'!$Q$1:$T$542,2,FALSE)</f>
        <v>8.989238906088752E-2</v>
      </c>
      <c r="W1056">
        <f>VLOOKUP($U1056,'[2]AP Dynamic'!$Q$1:$T$542,3,FALSE)</f>
        <v>0.91010761093911252</v>
      </c>
      <c r="X1056">
        <f>VLOOKUP($U1056,'[2]AP Dynamic'!$Q$1:$T$542,4,FALSE)</f>
        <v>0</v>
      </c>
      <c r="Y1056" s="77">
        <f t="shared" si="3458"/>
        <v>1</v>
      </c>
      <c r="Z1056" s="77">
        <f t="shared" si="3464"/>
        <v>5.2543321464783278E-2</v>
      </c>
      <c r="AA1056" s="77">
        <f t="shared" si="3465"/>
        <v>4.2765724029114605E-3</v>
      </c>
      <c r="AB1056" s="79">
        <v>1</v>
      </c>
      <c r="AC1056" s="77">
        <f t="shared" si="3403"/>
        <v>6.6797847781217747E-3</v>
      </c>
      <c r="AD1056" s="77">
        <f t="shared" ref="AD1056" si="3660">1-(1-AC1056)^(1/12)</f>
        <v>5.5836025806665912E-4</v>
      </c>
      <c r="AE1056" s="77">
        <f t="shared" si="3405"/>
        <v>2.5000000000000005E-3</v>
      </c>
      <c r="AF1056" s="77">
        <f t="shared" ref="AF1056" si="3661">1-(1-AE1056)^(1/12)</f>
        <v>2.0857243058891584E-4</v>
      </c>
      <c r="AH1056" t="s">
        <v>175</v>
      </c>
      <c r="AI1056" t="s">
        <v>179</v>
      </c>
      <c r="AJ1056" s="197" t="str">
        <f t="shared" si="3392"/>
        <v>Lifecycle_Dynamic_31</v>
      </c>
      <c r="AK1056">
        <v>31</v>
      </c>
      <c r="AL1056">
        <f>VLOOKUP($U1056,[2]Standard_Dynamic!$Q$1:$T$542,2,FALSE)</f>
        <v>7.6137156924173124E-2</v>
      </c>
      <c r="AM1056">
        <f>VLOOKUP($U1056,[2]Standard_Dynamic!$Q$1:$T$542,3,FALSE)</f>
        <v>0.92386284307582689</v>
      </c>
      <c r="AN1056">
        <f>VLOOKUP($U1056,[2]Standard_Dynamic!$Q$1:$T$542,4,FALSE)</f>
        <v>0</v>
      </c>
      <c r="AO1056" s="77">
        <f t="shared" si="3393"/>
        <v>1</v>
      </c>
      <c r="AP1056" s="77">
        <f t="shared" si="3407"/>
        <v>5.2360720758168389E-2</v>
      </c>
      <c r="AQ1056" s="77">
        <f t="shared" si="3394"/>
        <v>4.2620523200600502E-3</v>
      </c>
      <c r="AR1056" s="79">
        <v>0</v>
      </c>
      <c r="AS1056" s="77">
        <f t="shared" si="3408"/>
        <v>0</v>
      </c>
      <c r="AT1056" s="77">
        <f t="shared" ref="AT1056" si="3662">1-(1-AS1056)^(1/12)</f>
        <v>0</v>
      </c>
      <c r="AU1056" s="77">
        <f t="shared" si="3410"/>
        <v>2.5000000000000005E-3</v>
      </c>
      <c r="AV1056" s="77">
        <f t="shared" ref="AV1056" si="3663">1-(1-AU1056)^(1/12)</f>
        <v>2.0857243058891584E-4</v>
      </c>
      <c r="AX1056" t="s">
        <v>178</v>
      </c>
      <c r="AY1056" t="s">
        <v>162</v>
      </c>
      <c r="AZ1056" s="197" t="str">
        <f t="shared" si="3490"/>
        <v>DIS_Standard_31</v>
      </c>
      <c r="BA1056">
        <v>31</v>
      </c>
      <c r="BB1056">
        <f>VLOOKUP($BA1056,'[2]Standard DIS'!$Q$1:$X$542,4,FALSE)</f>
        <v>0</v>
      </c>
      <c r="BF1056">
        <f>VLOOKUP($BA1056,'[2]Standard DIS'!$Q$1:$X$542,2,FALSE)</f>
        <v>7.6137156924173124E-2</v>
      </c>
      <c r="BH1056">
        <f>VLOOKUP($BA1056,'[2]Standard DIS'!$Q$1:$X$542,3,FALSE)</f>
        <v>0.92386284307582689</v>
      </c>
      <c r="BI1056" s="77">
        <f t="shared" si="3397"/>
        <v>1</v>
      </c>
      <c r="BJ1056" s="77">
        <f t="shared" si="3398"/>
        <v>5.2360720758168389E-2</v>
      </c>
      <c r="BK1056" s="77">
        <f t="shared" si="3491"/>
        <v>4.2620523200600502E-3</v>
      </c>
      <c r="BL1056" s="79">
        <v>0</v>
      </c>
      <c r="BM1056" s="77">
        <f t="shared" si="3412"/>
        <v>0</v>
      </c>
      <c r="BN1056" s="77">
        <f t="shared" si="3413"/>
        <v>0</v>
      </c>
      <c r="BO1056" s="77">
        <f t="shared" si="3414"/>
        <v>2.5000000000000005E-3</v>
      </c>
      <c r="BP1056" s="77">
        <f t="shared" si="3415"/>
        <v>2.0809499864316017E-4</v>
      </c>
    </row>
    <row r="1057" spans="1:68">
      <c r="A1057" t="s">
        <v>175</v>
      </c>
      <c r="B1057" t="s">
        <v>179</v>
      </c>
      <c r="C1057" s="197" t="str">
        <f t="shared" si="3456"/>
        <v>Lifecycle_Dynamic_30</v>
      </c>
      <c r="D1057">
        <v>30</v>
      </c>
      <c r="E1057">
        <f>VLOOKUP($D1057,'[2]LC Dynamic'!$Q$2:$U$542,2,FALSE)</f>
        <v>0.2525</v>
      </c>
      <c r="F1057">
        <f>VLOOKUP($D1057,'[2]LC Dynamic'!$Q$2:$U$542,3,FALSE)</f>
        <v>0.312</v>
      </c>
      <c r="G1057">
        <f>VLOOKUP($D1057,'[2]LC Dynamic'!$Q$2:$U$542,4,FALSE)</f>
        <v>0.4355</v>
      </c>
      <c r="H1057">
        <f>VLOOKUP($D1057,'[2]LC Dynamic'!$Q$2:$U$542,5,FALSE)</f>
        <v>0</v>
      </c>
      <c r="I1057" s="77">
        <f t="shared" si="3388"/>
        <v>1</v>
      </c>
      <c r="J1057" s="77">
        <f t="shared" si="3389"/>
        <v>5.3516037499999995E-2</v>
      </c>
      <c r="K1057" s="77">
        <f t="shared" si="3463"/>
        <v>4.3538821576447617E-3</v>
      </c>
      <c r="L1057" s="76">
        <v>0</v>
      </c>
      <c r="M1057" s="77">
        <f t="shared" si="3399"/>
        <v>0</v>
      </c>
      <c r="N1057" s="77">
        <f t="shared" si="3400"/>
        <v>0</v>
      </c>
      <c r="O1057" s="77">
        <f t="shared" si="3401"/>
        <v>5.5823999999999995E-3</v>
      </c>
      <c r="P1057" s="77">
        <f t="shared" si="3402"/>
        <v>4.6639452318009145E-4</v>
      </c>
      <c r="R1057" t="s">
        <v>177</v>
      </c>
      <c r="S1057" t="s">
        <v>179</v>
      </c>
      <c r="T1057" s="197" t="str">
        <f t="shared" si="3457"/>
        <v>Autopilot_Dynamic_30</v>
      </c>
      <c r="U1057">
        <v>30</v>
      </c>
      <c r="V1057">
        <f>VLOOKUP($U1057,'[2]AP Dynamic'!$Q$1:$T$542,2,FALSE)</f>
        <v>8.989238906088752E-2</v>
      </c>
      <c r="W1057">
        <f>VLOOKUP($U1057,'[2]AP Dynamic'!$Q$1:$T$542,3,FALSE)</f>
        <v>0.91010761093911252</v>
      </c>
      <c r="X1057">
        <f>VLOOKUP($U1057,'[2]AP Dynamic'!$Q$1:$T$542,4,FALSE)</f>
        <v>0</v>
      </c>
      <c r="Y1057" s="77">
        <f t="shared" si="3458"/>
        <v>1</v>
      </c>
      <c r="Z1057" s="77">
        <f t="shared" si="3464"/>
        <v>5.2543321464783278E-2</v>
      </c>
      <c r="AA1057" s="77">
        <f t="shared" si="3465"/>
        <v>4.2765724029114605E-3</v>
      </c>
      <c r="AB1057" s="79">
        <v>1</v>
      </c>
      <c r="AC1057" s="77">
        <f t="shared" si="3403"/>
        <v>6.6797847781217747E-3</v>
      </c>
      <c r="AD1057" s="77">
        <f t="shared" ref="AD1057" si="3664">1-(1-AC1057)^(1/12)</f>
        <v>5.5836025806665912E-4</v>
      </c>
      <c r="AE1057" s="77">
        <f t="shared" si="3405"/>
        <v>2.5000000000000005E-3</v>
      </c>
      <c r="AF1057" s="77">
        <f t="shared" ref="AF1057" si="3665">1-(1-AE1057)^(1/12)</f>
        <v>2.0857243058891584E-4</v>
      </c>
      <c r="AH1057" t="s">
        <v>175</v>
      </c>
      <c r="AI1057" t="s">
        <v>179</v>
      </c>
      <c r="AJ1057" s="197" t="str">
        <f t="shared" si="3392"/>
        <v>Lifecycle_Dynamic_30</v>
      </c>
      <c r="AK1057">
        <v>30</v>
      </c>
      <c r="AL1057">
        <f>VLOOKUP($U1057,[2]Standard_Dynamic!$Q$1:$T$542,2,FALSE)</f>
        <v>7.3386110496830248E-2</v>
      </c>
      <c r="AM1057">
        <f>VLOOKUP($U1057,[2]Standard_Dynamic!$Q$1:$T$542,3,FALSE)</f>
        <v>0.9266138895031697</v>
      </c>
      <c r="AN1057">
        <f>VLOOKUP($U1057,[2]Standard_Dynamic!$Q$1:$T$542,4,FALSE)</f>
        <v>0</v>
      </c>
      <c r="AO1057" s="77">
        <f t="shared" si="3393"/>
        <v>1</v>
      </c>
      <c r="AP1057" s="77">
        <f t="shared" si="3407"/>
        <v>5.2324200616845416E-2</v>
      </c>
      <c r="AQ1057" s="77">
        <f t="shared" si="3394"/>
        <v>4.2591480263520776E-3</v>
      </c>
      <c r="AR1057" s="79">
        <v>0</v>
      </c>
      <c r="AS1057" s="77">
        <f t="shared" si="3408"/>
        <v>0</v>
      </c>
      <c r="AT1057" s="77">
        <f t="shared" ref="AT1057" si="3666">1-(1-AS1057)^(1/12)</f>
        <v>0</v>
      </c>
      <c r="AU1057" s="77">
        <f t="shared" si="3410"/>
        <v>2.4999999999999996E-3</v>
      </c>
      <c r="AV1057" s="77">
        <f t="shared" ref="AV1057" si="3667">1-(1-AU1057)^(1/12)</f>
        <v>2.0857243058891584E-4</v>
      </c>
      <c r="AX1057" t="s">
        <v>178</v>
      </c>
      <c r="AY1057" t="s">
        <v>162</v>
      </c>
      <c r="AZ1057" s="197" t="str">
        <f t="shared" si="3490"/>
        <v>DIS_Standard_30</v>
      </c>
      <c r="BA1057">
        <v>30</v>
      </c>
      <c r="BB1057">
        <f>VLOOKUP($BA1057,'[2]Standard DIS'!$Q$1:$X$542,4,FALSE)</f>
        <v>0</v>
      </c>
      <c r="BF1057">
        <f>VLOOKUP($BA1057,'[2]Standard DIS'!$Q$1:$X$542,2,FALSE)</f>
        <v>7.3386110496830248E-2</v>
      </c>
      <c r="BH1057">
        <f>VLOOKUP($BA1057,'[2]Standard DIS'!$Q$1:$X$542,3,FALSE)</f>
        <v>0.9266138895031697</v>
      </c>
      <c r="BI1057" s="77">
        <f t="shared" si="3397"/>
        <v>1</v>
      </c>
      <c r="BJ1057" s="77">
        <f t="shared" si="3398"/>
        <v>5.2324200616845416E-2</v>
      </c>
      <c r="BK1057" s="77">
        <f t="shared" si="3491"/>
        <v>4.2591480263520776E-3</v>
      </c>
      <c r="BL1057" s="79">
        <v>0</v>
      </c>
      <c r="BM1057" s="77">
        <f t="shared" si="3412"/>
        <v>0</v>
      </c>
      <c r="BN1057" s="77">
        <f t="shared" si="3413"/>
        <v>0</v>
      </c>
      <c r="BO1057" s="77">
        <f t="shared" si="3414"/>
        <v>2.4999999999999996E-3</v>
      </c>
      <c r="BP1057" s="77">
        <f t="shared" si="3415"/>
        <v>2.0809499864316017E-4</v>
      </c>
    </row>
    <row r="1058" spans="1:68">
      <c r="A1058" t="s">
        <v>175</v>
      </c>
      <c r="B1058" t="s">
        <v>179</v>
      </c>
      <c r="C1058" s="197" t="str">
        <f t="shared" si="3456"/>
        <v>Lifecycle_Dynamic_29</v>
      </c>
      <c r="D1058">
        <v>29</v>
      </c>
      <c r="E1058">
        <f>VLOOKUP($D1058,'[2]LC Dynamic'!$Q$2:$U$542,2,FALSE)</f>
        <v>0.25541666666666668</v>
      </c>
      <c r="F1058">
        <f>VLOOKUP($D1058,'[2]LC Dynamic'!$Q$2:$U$542,3,FALSE)</f>
        <v>0.3105</v>
      </c>
      <c r="G1058">
        <f>VLOOKUP($D1058,'[2]LC Dynamic'!$Q$2:$U$542,4,FALSE)</f>
        <v>0.43408333333333332</v>
      </c>
      <c r="H1058">
        <f>VLOOKUP($D1058,'[2]LC Dynamic'!$Q$2:$U$542,5,FALSE)</f>
        <v>0</v>
      </c>
      <c r="I1058" s="77">
        <f t="shared" si="3388"/>
        <v>1</v>
      </c>
      <c r="J1058" s="77">
        <f t="shared" si="3389"/>
        <v>5.3478056250000003E-2</v>
      </c>
      <c r="K1058" s="77">
        <f t="shared" si="3463"/>
        <v>4.3508647026915259E-3</v>
      </c>
      <c r="L1058" s="76">
        <v>0</v>
      </c>
      <c r="M1058" s="77">
        <f t="shared" si="3399"/>
        <v>0</v>
      </c>
      <c r="N1058" s="77">
        <f t="shared" si="3400"/>
        <v>0</v>
      </c>
      <c r="O1058" s="77">
        <f t="shared" si="3401"/>
        <v>5.57035E-3</v>
      </c>
      <c r="P1058" s="77">
        <f t="shared" si="3402"/>
        <v>4.653851959574018E-4</v>
      </c>
      <c r="R1058" t="s">
        <v>177</v>
      </c>
      <c r="S1058" t="s">
        <v>179</v>
      </c>
      <c r="T1058" s="197" t="str">
        <f t="shared" si="3457"/>
        <v>Autopilot_Dynamic_29</v>
      </c>
      <c r="U1058">
        <v>29</v>
      </c>
      <c r="V1058">
        <f>VLOOKUP($U1058,'[2]AP Dynamic'!$Q$1:$T$542,2,FALSE)</f>
        <v>8.989238906088752E-2</v>
      </c>
      <c r="W1058">
        <f>VLOOKUP($U1058,'[2]AP Dynamic'!$Q$1:$T$542,3,FALSE)</f>
        <v>0.91010761093911252</v>
      </c>
      <c r="X1058">
        <f>VLOOKUP($U1058,'[2]AP Dynamic'!$Q$1:$T$542,4,FALSE)</f>
        <v>0</v>
      </c>
      <c r="Y1058" s="77">
        <f t="shared" si="3458"/>
        <v>1</v>
      </c>
      <c r="Z1058" s="77">
        <f t="shared" si="3464"/>
        <v>5.2543321464783278E-2</v>
      </c>
      <c r="AA1058" s="77">
        <f t="shared" si="3465"/>
        <v>4.2765724029114605E-3</v>
      </c>
      <c r="AB1058" s="79">
        <v>1</v>
      </c>
      <c r="AC1058" s="77">
        <f t="shared" si="3403"/>
        <v>6.6797847781217747E-3</v>
      </c>
      <c r="AD1058" s="77">
        <f t="shared" ref="AD1058" si="3668">1-(1-AC1058)^(1/12)</f>
        <v>5.5836025806665912E-4</v>
      </c>
      <c r="AE1058" s="77">
        <f t="shared" si="3405"/>
        <v>2.5000000000000005E-3</v>
      </c>
      <c r="AF1058" s="77">
        <f t="shared" ref="AF1058" si="3669">1-(1-AE1058)^(1/12)</f>
        <v>2.0857243058891584E-4</v>
      </c>
      <c r="AH1058" t="s">
        <v>175</v>
      </c>
      <c r="AI1058" t="s">
        <v>179</v>
      </c>
      <c r="AJ1058" s="197" t="str">
        <f t="shared" si="3392"/>
        <v>Lifecycle_Dynamic_29</v>
      </c>
      <c r="AK1058">
        <v>29</v>
      </c>
      <c r="AL1058">
        <f>VLOOKUP($U1058,[2]Standard_Dynamic!$Q$1:$T$542,2,FALSE)</f>
        <v>7.0635064069487372E-2</v>
      </c>
      <c r="AM1058">
        <f>VLOOKUP($U1058,[2]Standard_Dynamic!$Q$1:$T$542,3,FALSE)</f>
        <v>0.92936493593051261</v>
      </c>
      <c r="AN1058">
        <f>VLOOKUP($U1058,[2]Standard_Dynamic!$Q$1:$T$542,4,FALSE)</f>
        <v>0</v>
      </c>
      <c r="AO1058" s="77">
        <f t="shared" si="3393"/>
        <v>1</v>
      </c>
      <c r="AP1058" s="77">
        <f t="shared" si="3407"/>
        <v>5.2287680475522437E-2</v>
      </c>
      <c r="AQ1058" s="77">
        <f t="shared" si="3394"/>
        <v>4.2562436402504567E-3</v>
      </c>
      <c r="AR1058" s="79">
        <v>0</v>
      </c>
      <c r="AS1058" s="77">
        <f t="shared" si="3408"/>
        <v>0</v>
      </c>
      <c r="AT1058" s="77">
        <f t="shared" ref="AT1058" si="3670">1-(1-AS1058)^(1/12)</f>
        <v>0</v>
      </c>
      <c r="AU1058" s="77">
        <f t="shared" si="3410"/>
        <v>2.5000000000000001E-3</v>
      </c>
      <c r="AV1058" s="77">
        <f t="shared" ref="AV1058" si="3671">1-(1-AU1058)^(1/12)</f>
        <v>2.0857243058891584E-4</v>
      </c>
      <c r="AX1058" t="s">
        <v>178</v>
      </c>
      <c r="AY1058" t="s">
        <v>162</v>
      </c>
      <c r="AZ1058" s="197" t="str">
        <f t="shared" si="3490"/>
        <v>DIS_Standard_29</v>
      </c>
      <c r="BA1058">
        <v>29</v>
      </c>
      <c r="BB1058">
        <f>VLOOKUP($BA1058,'[2]Standard DIS'!$Q$1:$X$542,4,FALSE)</f>
        <v>0</v>
      </c>
      <c r="BF1058">
        <f>VLOOKUP($BA1058,'[2]Standard DIS'!$Q$1:$X$542,2,FALSE)</f>
        <v>7.0635064069487372E-2</v>
      </c>
      <c r="BH1058">
        <f>VLOOKUP($BA1058,'[2]Standard DIS'!$Q$1:$X$542,3,FALSE)</f>
        <v>0.92936493593051261</v>
      </c>
      <c r="BI1058" s="77">
        <f t="shared" si="3397"/>
        <v>1</v>
      </c>
      <c r="BJ1058" s="77">
        <f t="shared" si="3398"/>
        <v>5.2287680475522437E-2</v>
      </c>
      <c r="BK1058" s="77">
        <f t="shared" si="3491"/>
        <v>4.2562436402504567E-3</v>
      </c>
      <c r="BL1058" s="79">
        <v>0</v>
      </c>
      <c r="BM1058" s="77">
        <f t="shared" si="3412"/>
        <v>0</v>
      </c>
      <c r="BN1058" s="77">
        <f t="shared" si="3413"/>
        <v>0</v>
      </c>
      <c r="BO1058" s="77">
        <f t="shared" si="3414"/>
        <v>2.5000000000000001E-3</v>
      </c>
      <c r="BP1058" s="77">
        <f t="shared" si="3415"/>
        <v>2.0809499864316017E-4</v>
      </c>
    </row>
    <row r="1059" spans="1:68">
      <c r="A1059" t="s">
        <v>175</v>
      </c>
      <c r="B1059" t="s">
        <v>179</v>
      </c>
      <c r="C1059" s="197" t="str">
        <f t="shared" si="3456"/>
        <v>Lifecycle_Dynamic_28</v>
      </c>
      <c r="D1059">
        <v>28</v>
      </c>
      <c r="E1059">
        <f>VLOOKUP($D1059,'[2]LC Dynamic'!$Q$2:$U$542,2,FALSE)</f>
        <v>0.25833333333333336</v>
      </c>
      <c r="F1059">
        <f>VLOOKUP($D1059,'[2]LC Dynamic'!$Q$2:$U$542,3,FALSE)</f>
        <v>0.309</v>
      </c>
      <c r="G1059">
        <f>VLOOKUP($D1059,'[2]LC Dynamic'!$Q$2:$U$542,4,FALSE)</f>
        <v>0.43266666666666664</v>
      </c>
      <c r="H1059">
        <f>VLOOKUP($D1059,'[2]LC Dynamic'!$Q$2:$U$542,5,FALSE)</f>
        <v>0</v>
      </c>
      <c r="I1059" s="77">
        <f t="shared" ref="I1059:I1087" si="3672">SUM(E1059:H1059)</f>
        <v>1</v>
      </c>
      <c r="J1059" s="77">
        <f t="shared" ref="J1059:J1087" si="3673">SUMPRODUCT($E$1:$H$1,E1059:H1059)</f>
        <v>5.3440074999999997E-2</v>
      </c>
      <c r="K1059" s="77">
        <f t="shared" si="3463"/>
        <v>4.3478471480133951E-3</v>
      </c>
      <c r="L1059" s="76">
        <v>0</v>
      </c>
      <c r="M1059" s="77">
        <f t="shared" si="3399"/>
        <v>0</v>
      </c>
      <c r="N1059" s="77">
        <f t="shared" si="3400"/>
        <v>0</v>
      </c>
      <c r="O1059" s="77">
        <f t="shared" si="3401"/>
        <v>5.5583000000000004E-3</v>
      </c>
      <c r="P1059" s="77">
        <f t="shared" si="3402"/>
        <v>4.643758799459663E-4</v>
      </c>
      <c r="R1059" t="s">
        <v>177</v>
      </c>
      <c r="S1059" t="s">
        <v>179</v>
      </c>
      <c r="T1059" s="197" t="str">
        <f t="shared" si="3457"/>
        <v>Autopilot_Dynamic_28</v>
      </c>
      <c r="U1059">
        <v>28</v>
      </c>
      <c r="V1059">
        <f>VLOOKUP($U1059,'[2]AP Dynamic'!$Q$1:$T$542,2,FALSE)</f>
        <v>8.989238906088752E-2</v>
      </c>
      <c r="W1059">
        <f>VLOOKUP($U1059,'[2]AP Dynamic'!$Q$1:$T$542,3,FALSE)</f>
        <v>0.91010761093911252</v>
      </c>
      <c r="X1059">
        <f>VLOOKUP($U1059,'[2]AP Dynamic'!$Q$1:$T$542,4,FALSE)</f>
        <v>0</v>
      </c>
      <c r="Y1059" s="77">
        <f t="shared" si="3458"/>
        <v>1</v>
      </c>
      <c r="Z1059" s="77">
        <f t="shared" si="3464"/>
        <v>5.2543321464783278E-2</v>
      </c>
      <c r="AA1059" s="77">
        <f t="shared" si="3465"/>
        <v>4.2765724029114605E-3</v>
      </c>
      <c r="AB1059" s="79">
        <v>1</v>
      </c>
      <c r="AC1059" s="77">
        <f t="shared" si="3403"/>
        <v>6.6797847781217747E-3</v>
      </c>
      <c r="AD1059" s="77">
        <f t="shared" ref="AD1059" si="3674">1-(1-AC1059)^(1/12)</f>
        <v>5.5836025806665912E-4</v>
      </c>
      <c r="AE1059" s="77">
        <f t="shared" si="3405"/>
        <v>2.5000000000000005E-3</v>
      </c>
      <c r="AF1059" s="77">
        <f t="shared" ref="AF1059" si="3675">1-(1-AE1059)^(1/12)</f>
        <v>2.0857243058891584E-4</v>
      </c>
      <c r="AH1059" t="s">
        <v>175</v>
      </c>
      <c r="AI1059" t="s">
        <v>179</v>
      </c>
      <c r="AJ1059" s="197" t="str">
        <f t="shared" ref="AJ1059:AJ1087" si="3676">AH1059&amp;"_"&amp;AI1059&amp;"_"&amp;AK1059</f>
        <v>Lifecycle_Dynamic_28</v>
      </c>
      <c r="AK1059">
        <v>28</v>
      </c>
      <c r="AL1059">
        <f>VLOOKUP($U1059,[2]Standard_Dynamic!$Q$1:$T$542,2,FALSE)</f>
        <v>6.7884017642144481E-2</v>
      </c>
      <c r="AM1059">
        <f>VLOOKUP($U1059,[2]Standard_Dynamic!$Q$1:$T$542,3,FALSE)</f>
        <v>0.93211598235785553</v>
      </c>
      <c r="AN1059">
        <f>VLOOKUP($U1059,[2]Standard_Dynamic!$Q$1:$T$542,4,FALSE)</f>
        <v>0</v>
      </c>
      <c r="AO1059" s="77">
        <f t="shared" ref="AO1059:AO1086" si="3677">SUM(AL1059:AN1059)</f>
        <v>1</v>
      </c>
      <c r="AP1059" s="77">
        <f t="shared" si="3407"/>
        <v>5.2251160334199458E-2</v>
      </c>
      <c r="AQ1059" s="77">
        <f t="shared" ref="AQ1059:AQ1087" si="3678">(1+AP1059)^(1/12)-1</f>
        <v>4.2533391617489702E-3</v>
      </c>
      <c r="AR1059" s="79">
        <v>0</v>
      </c>
      <c r="AS1059" s="77">
        <f t="shared" si="3408"/>
        <v>0</v>
      </c>
      <c r="AT1059" s="77">
        <f t="shared" ref="AT1059" si="3679">1-(1-AS1059)^(1/12)</f>
        <v>0</v>
      </c>
      <c r="AU1059" s="77">
        <f t="shared" si="3410"/>
        <v>2.5000000000000001E-3</v>
      </c>
      <c r="AV1059" s="77">
        <f t="shared" ref="AV1059" si="3680">1-(1-AU1059)^(1/12)</f>
        <v>2.0857243058891584E-4</v>
      </c>
      <c r="AX1059" t="s">
        <v>178</v>
      </c>
      <c r="AY1059" t="s">
        <v>162</v>
      </c>
      <c r="AZ1059" s="197" t="str">
        <f t="shared" si="3490"/>
        <v>DIS_Standard_28</v>
      </c>
      <c r="BA1059">
        <v>28</v>
      </c>
      <c r="BB1059">
        <f>VLOOKUP($BA1059,'[2]Standard DIS'!$Q$1:$X$542,4,FALSE)</f>
        <v>0</v>
      </c>
      <c r="BF1059">
        <f>VLOOKUP($BA1059,'[2]Standard DIS'!$Q$1:$X$542,2,FALSE)</f>
        <v>6.7884017642144481E-2</v>
      </c>
      <c r="BH1059">
        <f>VLOOKUP($BA1059,'[2]Standard DIS'!$Q$1:$X$542,3,FALSE)</f>
        <v>0.93211598235785553</v>
      </c>
      <c r="BI1059" s="77">
        <f t="shared" ref="BI1059:BI1087" si="3681">SUM(BB1059:BH1059)</f>
        <v>1</v>
      </c>
      <c r="BJ1059" s="77">
        <f t="shared" ref="BJ1059:BJ1087" si="3682">SUMPRODUCT($BB$1:$BH$1,BB1059:BH1059)</f>
        <v>5.2251160334199458E-2</v>
      </c>
      <c r="BK1059" s="77">
        <f t="shared" si="3491"/>
        <v>4.2533391617489702E-3</v>
      </c>
      <c r="BL1059" s="79">
        <v>0</v>
      </c>
      <c r="BM1059" s="77">
        <f t="shared" si="3412"/>
        <v>0</v>
      </c>
      <c r="BN1059" s="77">
        <f t="shared" si="3413"/>
        <v>0</v>
      </c>
      <c r="BO1059" s="77">
        <f t="shared" si="3414"/>
        <v>2.5000000000000001E-3</v>
      </c>
      <c r="BP1059" s="77">
        <f t="shared" si="3415"/>
        <v>2.0809499864316017E-4</v>
      </c>
    </row>
    <row r="1060" spans="1:68">
      <c r="A1060" t="s">
        <v>175</v>
      </c>
      <c r="B1060" t="s">
        <v>179</v>
      </c>
      <c r="C1060" s="197" t="str">
        <f t="shared" si="3456"/>
        <v>Lifecycle_Dynamic_27</v>
      </c>
      <c r="D1060">
        <v>27</v>
      </c>
      <c r="E1060">
        <f>VLOOKUP($D1060,'[2]LC Dynamic'!$Q$2:$U$542,2,FALSE)</f>
        <v>0.26124999999999998</v>
      </c>
      <c r="F1060">
        <f>VLOOKUP($D1060,'[2]LC Dynamic'!$Q$2:$U$542,3,FALSE)</f>
        <v>0.3075</v>
      </c>
      <c r="G1060">
        <f>VLOOKUP($D1060,'[2]LC Dynamic'!$Q$2:$U$542,4,FALSE)</f>
        <v>0.43125000000000002</v>
      </c>
      <c r="H1060">
        <f>VLOOKUP($D1060,'[2]LC Dynamic'!$Q$2:$U$542,5,FALSE)</f>
        <v>0</v>
      </c>
      <c r="I1060" s="77">
        <f t="shared" si="3672"/>
        <v>1</v>
      </c>
      <c r="J1060" s="77">
        <f t="shared" si="3673"/>
        <v>5.3402093749999997E-2</v>
      </c>
      <c r="K1060" s="77">
        <f t="shared" si="3463"/>
        <v>4.344829493603708E-3</v>
      </c>
      <c r="L1060" s="76">
        <v>0</v>
      </c>
      <c r="M1060" s="77">
        <f t="shared" ref="M1060:M1087" si="3683">IF($L1060=0,0,SUMPRODUCT($E$3:$H$3,E1060:H1060))</f>
        <v>0</v>
      </c>
      <c r="N1060" s="77">
        <f t="shared" ref="N1060:N1087" si="3684">1-(1-M1060)^(1/12)</f>
        <v>0</v>
      </c>
      <c r="O1060" s="77">
        <f t="shared" ref="O1060:O1087" si="3685">SUMPRODUCT($E$2:$H$2,E1060:H1060)</f>
        <v>5.54625E-3</v>
      </c>
      <c r="P1060" s="77">
        <f t="shared" ref="P1060:P1087" si="3686">1-(1-O1060)^(1/12)</f>
        <v>4.633665751455629E-4</v>
      </c>
      <c r="R1060" t="s">
        <v>177</v>
      </c>
      <c r="S1060" t="s">
        <v>179</v>
      </c>
      <c r="T1060" s="197" t="str">
        <f t="shared" si="3457"/>
        <v>Autopilot_Dynamic_27</v>
      </c>
      <c r="U1060">
        <v>27</v>
      </c>
      <c r="V1060">
        <f>VLOOKUP($U1060,'[2]AP Dynamic'!$Q$1:$T$542,2,FALSE)</f>
        <v>8.989238906088752E-2</v>
      </c>
      <c r="W1060">
        <f>VLOOKUP($U1060,'[2]AP Dynamic'!$Q$1:$T$542,3,FALSE)</f>
        <v>0.91010761093911252</v>
      </c>
      <c r="X1060">
        <f>VLOOKUP($U1060,'[2]AP Dynamic'!$Q$1:$T$542,4,FALSE)</f>
        <v>0</v>
      </c>
      <c r="Y1060" s="77">
        <f t="shared" si="3458"/>
        <v>1</v>
      </c>
      <c r="Z1060" s="77">
        <f t="shared" si="3464"/>
        <v>5.2543321464783278E-2</v>
      </c>
      <c r="AA1060" s="77">
        <f t="shared" si="3465"/>
        <v>4.2765724029114605E-3</v>
      </c>
      <c r="AB1060" s="79">
        <v>1</v>
      </c>
      <c r="AC1060" s="77">
        <f t="shared" ref="AC1060:AC1087" si="3687">IF($AB1060=0,0,SUMPRODUCT($V$3:$X$3,V1060:X1060))</f>
        <v>6.6797847781217747E-3</v>
      </c>
      <c r="AD1060" s="77">
        <f t="shared" ref="AD1060" si="3688">1-(1-AC1060)^(1/12)</f>
        <v>5.5836025806665912E-4</v>
      </c>
      <c r="AE1060" s="77">
        <f t="shared" ref="AE1060:AE1087" si="3689">SUMPRODUCT($V$2:$X$2,V1060:X1060)</f>
        <v>2.5000000000000005E-3</v>
      </c>
      <c r="AF1060" s="77">
        <f t="shared" ref="AF1060" si="3690">1-(1-AE1060)^(1/12)</f>
        <v>2.0857243058891584E-4</v>
      </c>
      <c r="AH1060" t="s">
        <v>175</v>
      </c>
      <c r="AI1060" t="s">
        <v>179</v>
      </c>
      <c r="AJ1060" s="197" t="str">
        <f t="shared" si="3676"/>
        <v>Lifecycle_Dynamic_27</v>
      </c>
      <c r="AK1060">
        <v>27</v>
      </c>
      <c r="AL1060">
        <f>VLOOKUP($U1060,[2]Standard_Dynamic!$Q$1:$T$542,2,FALSE)</f>
        <v>6.5132971214801605E-2</v>
      </c>
      <c r="AM1060">
        <f>VLOOKUP($U1060,[2]Standard_Dynamic!$Q$1:$T$542,3,FALSE)</f>
        <v>0.93486702878519834</v>
      </c>
      <c r="AN1060">
        <f>VLOOKUP($U1060,[2]Standard_Dynamic!$Q$1:$T$542,4,FALSE)</f>
        <v>0</v>
      </c>
      <c r="AO1060" s="77">
        <f t="shared" si="3677"/>
        <v>1</v>
      </c>
      <c r="AP1060" s="77">
        <f t="shared" ref="AP1060:AP1087" si="3691">SUMPRODUCT($AL$1:$AN$1,AL1060:AN1060)</f>
        <v>5.2214640192876478E-2</v>
      </c>
      <c r="AQ1060" s="77">
        <f t="shared" si="3678"/>
        <v>4.2504345908418451E-3</v>
      </c>
      <c r="AR1060" s="79">
        <v>0</v>
      </c>
      <c r="AS1060" s="77">
        <f t="shared" ref="AS1060:AS1087" si="3692">IF(AR1060=0,0,SUMPRODUCT($AL$3:$AN$3,AL1060:AN1060))</f>
        <v>0</v>
      </c>
      <c r="AT1060" s="77">
        <f t="shared" ref="AT1060" si="3693">1-(1-AS1060)^(1/12)</f>
        <v>0</v>
      </c>
      <c r="AU1060" s="77">
        <f t="shared" ref="AU1060:AU1087" si="3694">SUMPRODUCT($AL$2:$AN$2,AL1060:AN1060)</f>
        <v>2.5000000000000001E-3</v>
      </c>
      <c r="AV1060" s="77">
        <f t="shared" ref="AV1060" si="3695">1-(1-AU1060)^(1/12)</f>
        <v>2.0857243058891584E-4</v>
      </c>
      <c r="AX1060" t="s">
        <v>178</v>
      </c>
      <c r="AY1060" t="s">
        <v>162</v>
      </c>
      <c r="AZ1060" s="197" t="str">
        <f t="shared" si="3490"/>
        <v>DIS_Standard_27</v>
      </c>
      <c r="BA1060">
        <v>27</v>
      </c>
      <c r="BB1060">
        <f>VLOOKUP($BA1060,'[2]Standard DIS'!$Q$1:$X$542,4,FALSE)</f>
        <v>0</v>
      </c>
      <c r="BF1060">
        <f>VLOOKUP($BA1060,'[2]Standard DIS'!$Q$1:$X$542,2,FALSE)</f>
        <v>6.5132971214801605E-2</v>
      </c>
      <c r="BH1060">
        <f>VLOOKUP($BA1060,'[2]Standard DIS'!$Q$1:$X$542,3,FALSE)</f>
        <v>0.93486702878519834</v>
      </c>
      <c r="BI1060" s="77">
        <f t="shared" si="3681"/>
        <v>1</v>
      </c>
      <c r="BJ1060" s="77">
        <f t="shared" si="3682"/>
        <v>5.2214640192876478E-2</v>
      </c>
      <c r="BK1060" s="77">
        <f t="shared" si="3491"/>
        <v>4.2504345908418451E-3</v>
      </c>
      <c r="BL1060" s="79">
        <v>0</v>
      </c>
      <c r="BM1060" s="77">
        <f t="shared" ref="BM1060:BM1087" si="3696">IF(BL1060=0,0,SUMPRODUCT($BB$3:$BH$3,BB1060:BH1060))</f>
        <v>0</v>
      </c>
      <c r="BN1060" s="77">
        <f t="shared" ref="BN1060:BN1087" si="3697">(1+BM1060)^(1/12)-1</f>
        <v>0</v>
      </c>
      <c r="BO1060" s="77">
        <f t="shared" ref="BO1060:BO1087" si="3698">SUMPRODUCT($BB$2:$BH$2,BB1060:BH1060)</f>
        <v>2.5000000000000001E-3</v>
      </c>
      <c r="BP1060" s="77">
        <f t="shared" ref="BP1060:BP1087" si="3699">(1+BO1060)^(1/12)-1</f>
        <v>2.0809499864316017E-4</v>
      </c>
    </row>
    <row r="1061" spans="1:68">
      <c r="A1061" t="s">
        <v>175</v>
      </c>
      <c r="B1061" t="s">
        <v>179</v>
      </c>
      <c r="C1061" s="197" t="str">
        <f t="shared" si="3456"/>
        <v>Lifecycle_Dynamic_26</v>
      </c>
      <c r="D1061">
        <v>26</v>
      </c>
      <c r="E1061">
        <f>VLOOKUP($D1061,'[2]LC Dynamic'!$Q$2:$U$542,2,FALSE)</f>
        <v>0.26416666666666666</v>
      </c>
      <c r="F1061">
        <f>VLOOKUP($D1061,'[2]LC Dynamic'!$Q$2:$U$542,3,FALSE)</f>
        <v>0.30599999999999999</v>
      </c>
      <c r="G1061">
        <f>VLOOKUP($D1061,'[2]LC Dynamic'!$Q$2:$U$542,4,FALSE)</f>
        <v>0.42983333333333335</v>
      </c>
      <c r="H1061">
        <f>VLOOKUP($D1061,'[2]LC Dynamic'!$Q$2:$U$542,5,FALSE)</f>
        <v>0</v>
      </c>
      <c r="I1061" s="77">
        <f t="shared" si="3672"/>
        <v>1</v>
      </c>
      <c r="J1061" s="77">
        <f t="shared" si="3673"/>
        <v>5.3364112499999991E-2</v>
      </c>
      <c r="K1061" s="77">
        <f t="shared" si="3463"/>
        <v>4.3418117394555811E-3</v>
      </c>
      <c r="L1061" s="76">
        <v>0</v>
      </c>
      <c r="M1061" s="77">
        <f t="shared" si="3683"/>
        <v>0</v>
      </c>
      <c r="N1061" s="77">
        <f t="shared" si="3684"/>
        <v>0</v>
      </c>
      <c r="O1061" s="77">
        <f t="shared" si="3685"/>
        <v>5.5341999999999995E-3</v>
      </c>
      <c r="P1061" s="77">
        <f t="shared" si="3686"/>
        <v>4.6235728155574751E-4</v>
      </c>
      <c r="R1061" t="s">
        <v>177</v>
      </c>
      <c r="S1061" t="s">
        <v>179</v>
      </c>
      <c r="T1061" s="197" t="str">
        <f t="shared" si="3457"/>
        <v>Autopilot_Dynamic_26</v>
      </c>
      <c r="U1061">
        <v>26</v>
      </c>
      <c r="V1061">
        <f>VLOOKUP($U1061,'[2]AP Dynamic'!$Q$1:$T$542,2,FALSE)</f>
        <v>8.989238906088752E-2</v>
      </c>
      <c r="W1061">
        <f>VLOOKUP($U1061,'[2]AP Dynamic'!$Q$1:$T$542,3,FALSE)</f>
        <v>0.91010761093911252</v>
      </c>
      <c r="X1061">
        <f>VLOOKUP($U1061,'[2]AP Dynamic'!$Q$1:$T$542,4,FALSE)</f>
        <v>0</v>
      </c>
      <c r="Y1061" s="77">
        <f t="shared" si="3458"/>
        <v>1</v>
      </c>
      <c r="Z1061" s="77">
        <f t="shared" si="3464"/>
        <v>5.2543321464783278E-2</v>
      </c>
      <c r="AA1061" s="77">
        <f t="shared" si="3465"/>
        <v>4.2765724029114605E-3</v>
      </c>
      <c r="AB1061" s="79">
        <v>1</v>
      </c>
      <c r="AC1061" s="77">
        <f t="shared" si="3687"/>
        <v>6.6797847781217747E-3</v>
      </c>
      <c r="AD1061" s="77">
        <f t="shared" ref="AD1061" si="3700">1-(1-AC1061)^(1/12)</f>
        <v>5.5836025806665912E-4</v>
      </c>
      <c r="AE1061" s="77">
        <f t="shared" si="3689"/>
        <v>2.5000000000000005E-3</v>
      </c>
      <c r="AF1061" s="77">
        <f t="shared" ref="AF1061" si="3701">1-(1-AE1061)^(1/12)</f>
        <v>2.0857243058891584E-4</v>
      </c>
      <c r="AH1061" t="s">
        <v>175</v>
      </c>
      <c r="AI1061" t="s">
        <v>179</v>
      </c>
      <c r="AJ1061" s="197" t="str">
        <f t="shared" si="3676"/>
        <v>Lifecycle_Dynamic_26</v>
      </c>
      <c r="AK1061">
        <v>26</v>
      </c>
      <c r="AL1061">
        <f>VLOOKUP($U1061,[2]Standard_Dynamic!$Q$1:$T$542,2,FALSE)</f>
        <v>6.2381924787458728E-2</v>
      </c>
      <c r="AM1061">
        <f>VLOOKUP($U1061,[2]Standard_Dynamic!$Q$1:$T$542,3,FALSE)</f>
        <v>0.93761807521254126</v>
      </c>
      <c r="AN1061">
        <f>VLOOKUP($U1061,[2]Standard_Dynamic!$Q$1:$T$542,4,FALSE)</f>
        <v>0</v>
      </c>
      <c r="AO1061" s="77">
        <f t="shared" si="3677"/>
        <v>1</v>
      </c>
      <c r="AP1061" s="77">
        <f t="shared" si="3691"/>
        <v>5.2178120051553506E-2</v>
      </c>
      <c r="AQ1061" s="77">
        <f t="shared" si="3678"/>
        <v>4.2475299275226419E-3</v>
      </c>
      <c r="AR1061" s="79">
        <v>0</v>
      </c>
      <c r="AS1061" s="77">
        <f t="shared" si="3692"/>
        <v>0</v>
      </c>
      <c r="AT1061" s="77">
        <f t="shared" ref="AT1061" si="3702">1-(1-AS1061)^(1/12)</f>
        <v>0</v>
      </c>
      <c r="AU1061" s="77">
        <f t="shared" si="3694"/>
        <v>2.5000000000000001E-3</v>
      </c>
      <c r="AV1061" s="77">
        <f t="shared" ref="AV1061" si="3703">1-(1-AU1061)^(1/12)</f>
        <v>2.0857243058891584E-4</v>
      </c>
      <c r="AX1061" t="s">
        <v>178</v>
      </c>
      <c r="AY1061" t="s">
        <v>162</v>
      </c>
      <c r="AZ1061" s="197" t="str">
        <f t="shared" si="3490"/>
        <v>DIS_Standard_26</v>
      </c>
      <c r="BA1061">
        <v>26</v>
      </c>
      <c r="BB1061">
        <f>VLOOKUP($BA1061,'[2]Standard DIS'!$Q$1:$X$542,4,FALSE)</f>
        <v>0</v>
      </c>
      <c r="BF1061">
        <f>VLOOKUP($BA1061,'[2]Standard DIS'!$Q$1:$X$542,2,FALSE)</f>
        <v>6.2381924787458728E-2</v>
      </c>
      <c r="BH1061">
        <f>VLOOKUP($BA1061,'[2]Standard DIS'!$Q$1:$X$542,3,FALSE)</f>
        <v>0.93761807521254126</v>
      </c>
      <c r="BI1061" s="77">
        <f t="shared" si="3681"/>
        <v>1</v>
      </c>
      <c r="BJ1061" s="77">
        <f t="shared" si="3682"/>
        <v>5.2178120051553506E-2</v>
      </c>
      <c r="BK1061" s="77">
        <f t="shared" si="3491"/>
        <v>4.2475299275226419E-3</v>
      </c>
      <c r="BL1061" s="79">
        <v>0</v>
      </c>
      <c r="BM1061" s="77">
        <f t="shared" si="3696"/>
        <v>0</v>
      </c>
      <c r="BN1061" s="77">
        <f t="shared" si="3697"/>
        <v>0</v>
      </c>
      <c r="BO1061" s="77">
        <f t="shared" si="3698"/>
        <v>2.5000000000000001E-3</v>
      </c>
      <c r="BP1061" s="77">
        <f t="shared" si="3699"/>
        <v>2.0809499864316017E-4</v>
      </c>
    </row>
    <row r="1062" spans="1:68">
      <c r="A1062" t="s">
        <v>175</v>
      </c>
      <c r="B1062" t="s">
        <v>179</v>
      </c>
      <c r="C1062" s="197" t="str">
        <f t="shared" si="3456"/>
        <v>Lifecycle_Dynamic_25</v>
      </c>
      <c r="D1062">
        <v>25</v>
      </c>
      <c r="E1062">
        <f>VLOOKUP($D1062,'[2]LC Dynamic'!$Q$2:$U$542,2,FALSE)</f>
        <v>0.26708333333333334</v>
      </c>
      <c r="F1062">
        <f>VLOOKUP($D1062,'[2]LC Dynamic'!$Q$2:$U$542,3,FALSE)</f>
        <v>0.30449999999999999</v>
      </c>
      <c r="G1062">
        <f>VLOOKUP($D1062,'[2]LC Dynamic'!$Q$2:$U$542,4,FALSE)</f>
        <v>0.42841666666666667</v>
      </c>
      <c r="H1062">
        <f>VLOOKUP($D1062,'[2]LC Dynamic'!$Q$2:$U$542,5,FALSE)</f>
        <v>0</v>
      </c>
      <c r="I1062" s="77">
        <f t="shared" si="3672"/>
        <v>1</v>
      </c>
      <c r="J1062" s="77">
        <f t="shared" si="3673"/>
        <v>5.3326131249999992E-2</v>
      </c>
      <c r="K1062" s="77">
        <f t="shared" si="3463"/>
        <v>4.338793885561687E-3</v>
      </c>
      <c r="L1062" s="76">
        <v>0</v>
      </c>
      <c r="M1062" s="77">
        <f t="shared" si="3683"/>
        <v>0</v>
      </c>
      <c r="N1062" s="77">
        <f t="shared" si="3684"/>
        <v>0</v>
      </c>
      <c r="O1062" s="77">
        <f t="shared" si="3685"/>
        <v>5.52215E-3</v>
      </c>
      <c r="P1062" s="77">
        <f t="shared" si="3686"/>
        <v>4.6134799917652014E-4</v>
      </c>
      <c r="R1062" t="s">
        <v>177</v>
      </c>
      <c r="S1062" t="s">
        <v>179</v>
      </c>
      <c r="T1062" s="197" t="str">
        <f t="shared" si="3457"/>
        <v>Autopilot_Dynamic_25</v>
      </c>
      <c r="U1062">
        <v>25</v>
      </c>
      <c r="V1062">
        <f>VLOOKUP($U1062,'[2]AP Dynamic'!$Q$1:$T$542,2,FALSE)</f>
        <v>8.989238906088752E-2</v>
      </c>
      <c r="W1062">
        <f>VLOOKUP($U1062,'[2]AP Dynamic'!$Q$1:$T$542,3,FALSE)</f>
        <v>0.91010761093911252</v>
      </c>
      <c r="X1062">
        <f>VLOOKUP($U1062,'[2]AP Dynamic'!$Q$1:$T$542,4,FALSE)</f>
        <v>0</v>
      </c>
      <c r="Y1062" s="77">
        <f t="shared" si="3458"/>
        <v>1</v>
      </c>
      <c r="Z1062" s="77">
        <f t="shared" si="3464"/>
        <v>5.2543321464783278E-2</v>
      </c>
      <c r="AA1062" s="77">
        <f t="shared" si="3465"/>
        <v>4.2765724029114605E-3</v>
      </c>
      <c r="AB1062" s="79">
        <v>1</v>
      </c>
      <c r="AC1062" s="77">
        <f t="shared" si="3687"/>
        <v>6.6797847781217747E-3</v>
      </c>
      <c r="AD1062" s="77">
        <f t="shared" ref="AD1062" si="3704">1-(1-AC1062)^(1/12)</f>
        <v>5.5836025806665912E-4</v>
      </c>
      <c r="AE1062" s="77">
        <f t="shared" si="3689"/>
        <v>2.5000000000000005E-3</v>
      </c>
      <c r="AF1062" s="77">
        <f t="shared" ref="AF1062" si="3705">1-(1-AE1062)^(1/12)</f>
        <v>2.0857243058891584E-4</v>
      </c>
      <c r="AH1062" t="s">
        <v>175</v>
      </c>
      <c r="AI1062" t="s">
        <v>179</v>
      </c>
      <c r="AJ1062" s="197" t="str">
        <f t="shared" si="3676"/>
        <v>Lifecycle_Dynamic_25</v>
      </c>
      <c r="AK1062">
        <v>25</v>
      </c>
      <c r="AL1062">
        <f>VLOOKUP($U1062,[2]Standard_Dynamic!$Q$1:$T$542,2,FALSE)</f>
        <v>5.9630878360115845E-2</v>
      </c>
      <c r="AM1062">
        <f>VLOOKUP($U1062,[2]Standard_Dynamic!$Q$1:$T$542,3,FALSE)</f>
        <v>0.94036912163988406</v>
      </c>
      <c r="AN1062">
        <f>VLOOKUP($U1062,[2]Standard_Dynamic!$Q$1:$T$542,4,FALSE)</f>
        <v>0</v>
      </c>
      <c r="AO1062" s="77">
        <f t="shared" si="3677"/>
        <v>0.99999999999999989</v>
      </c>
      <c r="AP1062" s="77">
        <f t="shared" si="3691"/>
        <v>5.2141599910230527E-2</v>
      </c>
      <c r="AQ1062" s="77">
        <f t="shared" si="3678"/>
        <v>4.2446251717853656E-3</v>
      </c>
      <c r="AR1062" s="79">
        <v>0</v>
      </c>
      <c r="AS1062" s="77">
        <f t="shared" si="3692"/>
        <v>0</v>
      </c>
      <c r="AT1062" s="77">
        <f t="shared" ref="AT1062" si="3706">1-(1-AS1062)^(1/12)</f>
        <v>0</v>
      </c>
      <c r="AU1062" s="77">
        <f t="shared" si="3694"/>
        <v>2.4999999999999996E-3</v>
      </c>
      <c r="AV1062" s="77">
        <f t="shared" ref="AV1062" si="3707">1-(1-AU1062)^(1/12)</f>
        <v>2.0857243058891584E-4</v>
      </c>
      <c r="AX1062" t="s">
        <v>178</v>
      </c>
      <c r="AY1062" t="s">
        <v>162</v>
      </c>
      <c r="AZ1062" s="197" t="str">
        <f t="shared" si="3490"/>
        <v>DIS_Standard_25</v>
      </c>
      <c r="BA1062">
        <v>25</v>
      </c>
      <c r="BB1062">
        <f>VLOOKUP($BA1062,'[2]Standard DIS'!$Q$1:$X$542,4,FALSE)</f>
        <v>0</v>
      </c>
      <c r="BF1062">
        <f>VLOOKUP($BA1062,'[2]Standard DIS'!$Q$1:$X$542,2,FALSE)</f>
        <v>5.9630878360115845E-2</v>
      </c>
      <c r="BH1062">
        <f>VLOOKUP($BA1062,'[2]Standard DIS'!$Q$1:$X$542,3,FALSE)</f>
        <v>0.94036912163988406</v>
      </c>
      <c r="BI1062" s="77">
        <f t="shared" si="3681"/>
        <v>0.99999999999999989</v>
      </c>
      <c r="BJ1062" s="77">
        <f t="shared" si="3682"/>
        <v>5.2141599910230527E-2</v>
      </c>
      <c r="BK1062" s="77">
        <f t="shared" si="3491"/>
        <v>4.2446251717853656E-3</v>
      </c>
      <c r="BL1062" s="79">
        <v>0</v>
      </c>
      <c r="BM1062" s="77">
        <f t="shared" si="3696"/>
        <v>0</v>
      </c>
      <c r="BN1062" s="77">
        <f t="shared" si="3697"/>
        <v>0</v>
      </c>
      <c r="BO1062" s="77">
        <f t="shared" si="3698"/>
        <v>2.4999999999999996E-3</v>
      </c>
      <c r="BP1062" s="77">
        <f t="shared" si="3699"/>
        <v>2.0809499864316017E-4</v>
      </c>
    </row>
    <row r="1063" spans="1:68">
      <c r="A1063" t="s">
        <v>175</v>
      </c>
      <c r="B1063" t="s">
        <v>179</v>
      </c>
      <c r="C1063" s="197" t="str">
        <f t="shared" si="3456"/>
        <v>Lifecycle_Dynamic_24</v>
      </c>
      <c r="D1063">
        <v>24</v>
      </c>
      <c r="E1063">
        <f>VLOOKUP($D1063,'[2]LC Dynamic'!$Q$2:$U$542,2,FALSE)</f>
        <v>0.27</v>
      </c>
      <c r="F1063">
        <f>VLOOKUP($D1063,'[2]LC Dynamic'!$Q$2:$U$542,3,FALSE)</f>
        <v>0.30299999999999999</v>
      </c>
      <c r="G1063">
        <f>VLOOKUP($D1063,'[2]LC Dynamic'!$Q$2:$U$542,4,FALSE)</f>
        <v>0.42699999999999999</v>
      </c>
      <c r="H1063">
        <f>VLOOKUP($D1063,'[2]LC Dynamic'!$Q$2:$U$542,5,FALSE)</f>
        <v>0</v>
      </c>
      <c r="I1063" s="77">
        <f t="shared" si="3672"/>
        <v>1</v>
      </c>
      <c r="J1063" s="77">
        <f t="shared" si="3673"/>
        <v>5.3288149999999992E-2</v>
      </c>
      <c r="K1063" s="77">
        <f t="shared" si="3463"/>
        <v>4.3357759319155864E-3</v>
      </c>
      <c r="L1063" s="76">
        <v>0</v>
      </c>
      <c r="M1063" s="77">
        <f t="shared" si="3683"/>
        <v>0</v>
      </c>
      <c r="N1063" s="77">
        <f t="shared" si="3684"/>
        <v>0</v>
      </c>
      <c r="O1063" s="77">
        <f t="shared" si="3685"/>
        <v>5.5100999999999995E-3</v>
      </c>
      <c r="P1063" s="77">
        <f t="shared" si="3686"/>
        <v>4.6033872800743669E-4</v>
      </c>
      <c r="R1063" t="s">
        <v>177</v>
      </c>
      <c r="S1063" t="s">
        <v>179</v>
      </c>
      <c r="T1063" s="197" t="str">
        <f t="shared" si="3457"/>
        <v>Autopilot_Dynamic_24</v>
      </c>
      <c r="U1063">
        <v>24</v>
      </c>
      <c r="V1063">
        <f>VLOOKUP($U1063,'[2]AP Dynamic'!$Q$1:$T$542,2,FALSE)</f>
        <v>5.6879831932772969E-2</v>
      </c>
      <c r="W1063">
        <f>VLOOKUP($U1063,'[2]AP Dynamic'!$Q$1:$T$542,3,FALSE)</f>
        <v>0.94312016806722698</v>
      </c>
      <c r="X1063">
        <f>VLOOKUP($U1063,'[2]AP Dynamic'!$Q$1:$T$542,4,FALSE)</f>
        <v>0</v>
      </c>
      <c r="Y1063" s="77">
        <f t="shared" si="3458"/>
        <v>1</v>
      </c>
      <c r="Z1063" s="77">
        <f t="shared" si="3464"/>
        <v>5.2105079768907547E-2</v>
      </c>
      <c r="AA1063" s="77">
        <f t="shared" si="3465"/>
        <v>4.2417203236235768E-3</v>
      </c>
      <c r="AB1063" s="79">
        <v>1</v>
      </c>
      <c r="AC1063" s="77">
        <f t="shared" si="3687"/>
        <v>6.6137596638655453E-3</v>
      </c>
      <c r="AD1063" s="77">
        <f t="shared" ref="AD1063" si="3708">1-(1-AC1063)^(1/12)</f>
        <v>5.5282442672066612E-4</v>
      </c>
      <c r="AE1063" s="77">
        <f t="shared" si="3689"/>
        <v>2.5000000000000001E-3</v>
      </c>
      <c r="AF1063" s="77">
        <f t="shared" ref="AF1063" si="3709">1-(1-AE1063)^(1/12)</f>
        <v>2.0857243058891584E-4</v>
      </c>
      <c r="AH1063" t="s">
        <v>175</v>
      </c>
      <c r="AI1063" t="s">
        <v>179</v>
      </c>
      <c r="AJ1063" s="197" t="str">
        <f t="shared" si="3676"/>
        <v>Lifecycle_Dynamic_24</v>
      </c>
      <c r="AK1063">
        <v>24</v>
      </c>
      <c r="AL1063">
        <f>VLOOKUP($U1063,[2]Standard_Dynamic!$Q$1:$T$542,2,FALSE)</f>
        <v>5.6879831932772969E-2</v>
      </c>
      <c r="AM1063">
        <f>VLOOKUP($U1063,[2]Standard_Dynamic!$Q$1:$T$542,3,FALSE)</f>
        <v>0.94312016806722698</v>
      </c>
      <c r="AN1063">
        <f>VLOOKUP($U1063,[2]Standard_Dynamic!$Q$1:$T$542,4,FALSE)</f>
        <v>0</v>
      </c>
      <c r="AO1063" s="77">
        <f t="shared" si="3677"/>
        <v>1</v>
      </c>
      <c r="AP1063" s="77">
        <f t="shared" si="3691"/>
        <v>5.2105079768907547E-2</v>
      </c>
      <c r="AQ1063" s="77">
        <f t="shared" si="3678"/>
        <v>4.2417203236235768E-3</v>
      </c>
      <c r="AR1063" s="79">
        <v>0</v>
      </c>
      <c r="AS1063" s="77">
        <f t="shared" si="3692"/>
        <v>0</v>
      </c>
      <c r="AT1063" s="77">
        <f t="shared" ref="AT1063" si="3710">1-(1-AS1063)^(1/12)</f>
        <v>0</v>
      </c>
      <c r="AU1063" s="77">
        <f t="shared" si="3694"/>
        <v>2.5000000000000001E-3</v>
      </c>
      <c r="AV1063" s="77">
        <f t="shared" ref="AV1063" si="3711">1-(1-AU1063)^(1/12)</f>
        <v>2.0857243058891584E-4</v>
      </c>
      <c r="AX1063" t="s">
        <v>178</v>
      </c>
      <c r="AY1063" t="s">
        <v>162</v>
      </c>
      <c r="AZ1063" s="197" t="str">
        <f t="shared" si="3490"/>
        <v>DIS_Standard_24</v>
      </c>
      <c r="BA1063">
        <v>24</v>
      </c>
      <c r="BB1063">
        <f>VLOOKUP($BA1063,'[2]Standard DIS'!$Q$1:$X$542,4,FALSE)</f>
        <v>0</v>
      </c>
      <c r="BF1063">
        <f>VLOOKUP($BA1063,'[2]Standard DIS'!$Q$1:$X$542,2,FALSE)</f>
        <v>5.6879831932772969E-2</v>
      </c>
      <c r="BH1063">
        <f>VLOOKUP($BA1063,'[2]Standard DIS'!$Q$1:$X$542,3,FALSE)</f>
        <v>0.94312016806722698</v>
      </c>
      <c r="BI1063" s="77">
        <f t="shared" si="3681"/>
        <v>1</v>
      </c>
      <c r="BJ1063" s="77">
        <f t="shared" si="3682"/>
        <v>5.2105079768907547E-2</v>
      </c>
      <c r="BK1063" s="77">
        <f t="shared" si="3491"/>
        <v>4.2417203236235768E-3</v>
      </c>
      <c r="BL1063" s="79">
        <v>0</v>
      </c>
      <c r="BM1063" s="77">
        <f t="shared" si="3696"/>
        <v>0</v>
      </c>
      <c r="BN1063" s="77">
        <f t="shared" si="3697"/>
        <v>0</v>
      </c>
      <c r="BO1063" s="77">
        <f t="shared" si="3698"/>
        <v>2.5000000000000001E-3</v>
      </c>
      <c r="BP1063" s="77">
        <f t="shared" si="3699"/>
        <v>2.0809499864316017E-4</v>
      </c>
    </row>
    <row r="1064" spans="1:68">
      <c r="A1064" t="s">
        <v>175</v>
      </c>
      <c r="B1064" t="s">
        <v>179</v>
      </c>
      <c r="C1064" s="197" t="str">
        <f t="shared" si="3456"/>
        <v>Lifecycle_Dynamic_23</v>
      </c>
      <c r="D1064">
        <v>23</v>
      </c>
      <c r="E1064">
        <f>VLOOKUP($D1064,'[2]LC Dynamic'!$Q$2:$U$542,2,FALSE)</f>
        <v>0.27266666666666667</v>
      </c>
      <c r="F1064">
        <f>VLOOKUP($D1064,'[2]LC Dynamic'!$Q$2:$U$542,3,FALSE)</f>
        <v>0.30158333333333331</v>
      </c>
      <c r="G1064">
        <f>VLOOKUP($D1064,'[2]LC Dynamic'!$Q$2:$U$542,4,FALSE)</f>
        <v>0.42574999999999996</v>
      </c>
      <c r="H1064">
        <f>VLOOKUP($D1064,'[2]LC Dynamic'!$Q$2:$U$542,5,FALSE)</f>
        <v>0</v>
      </c>
      <c r="I1064" s="77">
        <f t="shared" si="3672"/>
        <v>0.99999999999999989</v>
      </c>
      <c r="J1064" s="77">
        <f t="shared" si="3673"/>
        <v>5.3254224999999988E-2</v>
      </c>
      <c r="K1064" s="77">
        <f t="shared" si="3463"/>
        <v>4.3330801996515067E-3</v>
      </c>
      <c r="L1064" s="76">
        <v>0</v>
      </c>
      <c r="M1064" s="77">
        <f t="shared" si="3683"/>
        <v>0</v>
      </c>
      <c r="N1064" s="77">
        <f t="shared" si="3684"/>
        <v>0</v>
      </c>
      <c r="O1064" s="77">
        <f t="shared" si="3685"/>
        <v>5.4991416666666662E-3</v>
      </c>
      <c r="P1064" s="77">
        <f t="shared" si="3686"/>
        <v>4.5942090123429757E-4</v>
      </c>
      <c r="R1064" t="s">
        <v>177</v>
      </c>
      <c r="S1064" t="s">
        <v>179</v>
      </c>
      <c r="T1064" s="197" t="str">
        <f t="shared" si="3457"/>
        <v>Autopilot_Dynamic_23</v>
      </c>
      <c r="U1064">
        <v>23</v>
      </c>
      <c r="V1064">
        <f>VLOOKUP($U1064,'[2]AP Dynamic'!$Q$1:$T$542,2,FALSE)</f>
        <v>5.6879831932772969E-2</v>
      </c>
      <c r="W1064">
        <f>VLOOKUP($U1064,'[2]AP Dynamic'!$Q$1:$T$542,3,FALSE)</f>
        <v>0.94312016806722698</v>
      </c>
      <c r="X1064">
        <f>VLOOKUP($U1064,'[2]AP Dynamic'!$Q$1:$T$542,4,FALSE)</f>
        <v>0</v>
      </c>
      <c r="Y1064" s="77">
        <f t="shared" si="3458"/>
        <v>1</v>
      </c>
      <c r="Z1064" s="77">
        <f t="shared" si="3464"/>
        <v>5.2105079768907547E-2</v>
      </c>
      <c r="AA1064" s="77">
        <f t="shared" si="3465"/>
        <v>4.2417203236235768E-3</v>
      </c>
      <c r="AB1064" s="79">
        <v>1</v>
      </c>
      <c r="AC1064" s="77">
        <f t="shared" si="3687"/>
        <v>6.6137596638655453E-3</v>
      </c>
      <c r="AD1064" s="77">
        <f t="shared" ref="AD1064" si="3712">1-(1-AC1064)^(1/12)</f>
        <v>5.5282442672066612E-4</v>
      </c>
      <c r="AE1064" s="77">
        <f t="shared" si="3689"/>
        <v>2.5000000000000001E-3</v>
      </c>
      <c r="AF1064" s="77">
        <f t="shared" ref="AF1064" si="3713">1-(1-AE1064)^(1/12)</f>
        <v>2.0857243058891584E-4</v>
      </c>
      <c r="AH1064" t="s">
        <v>175</v>
      </c>
      <c r="AI1064" t="s">
        <v>179</v>
      </c>
      <c r="AJ1064" s="197" t="str">
        <f t="shared" si="3676"/>
        <v>Lifecycle_Dynamic_23</v>
      </c>
      <c r="AK1064">
        <v>23</v>
      </c>
      <c r="AL1064">
        <f>VLOOKUP($U1064,[2]Standard_Dynamic!$Q$1:$T$542,2,FALSE)</f>
        <v>5.4416464568283321E-2</v>
      </c>
      <c r="AM1064">
        <f>VLOOKUP($U1064,[2]Standard_Dynamic!$Q$1:$T$542,3,FALSE)</f>
        <v>0.94558353543171658</v>
      </c>
      <c r="AN1064">
        <f>VLOOKUP($U1064,[2]Standard_Dynamic!$Q$1:$T$542,4,FALSE)</f>
        <v>0</v>
      </c>
      <c r="AO1064" s="77">
        <f t="shared" si="3677"/>
        <v>0.99999999999999989</v>
      </c>
      <c r="AP1064" s="77">
        <f t="shared" si="3691"/>
        <v>5.2072378567143952E-2</v>
      </c>
      <c r="AQ1064" s="77">
        <f t="shared" si="3678"/>
        <v>4.2391191592543453E-3</v>
      </c>
      <c r="AR1064" s="79">
        <v>0</v>
      </c>
      <c r="AS1064" s="77">
        <f t="shared" si="3692"/>
        <v>0</v>
      </c>
      <c r="AT1064" s="77">
        <f t="shared" ref="AT1064" si="3714">1-(1-AS1064)^(1/12)</f>
        <v>0</v>
      </c>
      <c r="AU1064" s="77">
        <f t="shared" si="3694"/>
        <v>2.5000000000000001E-3</v>
      </c>
      <c r="AV1064" s="77">
        <f t="shared" ref="AV1064" si="3715">1-(1-AU1064)^(1/12)</f>
        <v>2.0857243058891584E-4</v>
      </c>
      <c r="AX1064" t="s">
        <v>178</v>
      </c>
      <c r="AY1064" t="s">
        <v>162</v>
      </c>
      <c r="AZ1064" s="197" t="str">
        <f t="shared" si="3490"/>
        <v>DIS_Standard_23</v>
      </c>
      <c r="BA1064">
        <v>23</v>
      </c>
      <c r="BB1064">
        <f>VLOOKUP($BA1064,'[2]Standard DIS'!$Q$1:$X$542,4,FALSE)</f>
        <v>0</v>
      </c>
      <c r="BF1064">
        <f>VLOOKUP($BA1064,'[2]Standard DIS'!$Q$1:$X$542,2,FALSE)</f>
        <v>5.4416464568283321E-2</v>
      </c>
      <c r="BH1064">
        <f>VLOOKUP($BA1064,'[2]Standard DIS'!$Q$1:$X$542,3,FALSE)</f>
        <v>0.94558353543171658</v>
      </c>
      <c r="BI1064" s="77">
        <f t="shared" si="3681"/>
        <v>0.99999999999999989</v>
      </c>
      <c r="BJ1064" s="77">
        <f t="shared" si="3682"/>
        <v>5.2072378567143952E-2</v>
      </c>
      <c r="BK1064" s="77">
        <f t="shared" si="3491"/>
        <v>4.2391191592543453E-3</v>
      </c>
      <c r="BL1064" s="79">
        <v>0</v>
      </c>
      <c r="BM1064" s="77">
        <f t="shared" si="3696"/>
        <v>0</v>
      </c>
      <c r="BN1064" s="77">
        <f t="shared" si="3697"/>
        <v>0</v>
      </c>
      <c r="BO1064" s="77">
        <f t="shared" si="3698"/>
        <v>2.5000000000000001E-3</v>
      </c>
      <c r="BP1064" s="77">
        <f t="shared" si="3699"/>
        <v>2.0809499864316017E-4</v>
      </c>
    </row>
    <row r="1065" spans="1:68">
      <c r="A1065" t="s">
        <v>175</v>
      </c>
      <c r="B1065" t="s">
        <v>179</v>
      </c>
      <c r="C1065" s="197" t="str">
        <f t="shared" si="3456"/>
        <v>Lifecycle_Dynamic_22</v>
      </c>
      <c r="D1065">
        <v>22</v>
      </c>
      <c r="E1065">
        <f>VLOOKUP($D1065,'[2]LC Dynamic'!$Q$2:$U$542,2,FALSE)</f>
        <v>0.27533333333333332</v>
      </c>
      <c r="F1065">
        <f>VLOOKUP($D1065,'[2]LC Dynamic'!$Q$2:$U$542,3,FALSE)</f>
        <v>0.30016666666666664</v>
      </c>
      <c r="G1065">
        <f>VLOOKUP($D1065,'[2]LC Dynamic'!$Q$2:$U$542,4,FALSE)</f>
        <v>0.42449999999999999</v>
      </c>
      <c r="H1065">
        <f>VLOOKUP($D1065,'[2]LC Dynamic'!$Q$2:$U$542,5,FALSE)</f>
        <v>0</v>
      </c>
      <c r="I1065" s="77">
        <f t="shared" si="3672"/>
        <v>0.99999999999999989</v>
      </c>
      <c r="J1065" s="77">
        <f t="shared" si="3673"/>
        <v>5.3220299999999998E-2</v>
      </c>
      <c r="K1065" s="77">
        <f t="shared" si="3463"/>
        <v>4.3303843877933179E-3</v>
      </c>
      <c r="L1065" s="76">
        <v>0</v>
      </c>
      <c r="M1065" s="77">
        <f t="shared" si="3683"/>
        <v>0</v>
      </c>
      <c r="N1065" s="77">
        <f t="shared" si="3684"/>
        <v>0</v>
      </c>
      <c r="O1065" s="77">
        <f t="shared" si="3685"/>
        <v>5.4881833333333329E-3</v>
      </c>
      <c r="P1065" s="77">
        <f t="shared" si="3686"/>
        <v>4.5850308373185378E-4</v>
      </c>
      <c r="R1065" t="s">
        <v>177</v>
      </c>
      <c r="S1065" t="s">
        <v>179</v>
      </c>
      <c r="T1065" s="197" t="str">
        <f t="shared" si="3457"/>
        <v>Autopilot_Dynamic_22</v>
      </c>
      <c r="U1065">
        <v>22</v>
      </c>
      <c r="V1065">
        <f>VLOOKUP($U1065,'[2]AP Dynamic'!$Q$1:$T$542,2,FALSE)</f>
        <v>5.6879831932772969E-2</v>
      </c>
      <c r="W1065">
        <f>VLOOKUP($U1065,'[2]AP Dynamic'!$Q$1:$T$542,3,FALSE)</f>
        <v>0.94312016806722698</v>
      </c>
      <c r="X1065">
        <f>VLOOKUP($U1065,'[2]AP Dynamic'!$Q$1:$T$542,4,FALSE)</f>
        <v>0</v>
      </c>
      <c r="Y1065" s="77">
        <f t="shared" si="3458"/>
        <v>1</v>
      </c>
      <c r="Z1065" s="77">
        <f t="shared" si="3464"/>
        <v>5.2105079768907547E-2</v>
      </c>
      <c r="AA1065" s="77">
        <f t="shared" si="3465"/>
        <v>4.2417203236235768E-3</v>
      </c>
      <c r="AB1065" s="79">
        <v>1</v>
      </c>
      <c r="AC1065" s="77">
        <f t="shared" si="3687"/>
        <v>6.6137596638655453E-3</v>
      </c>
      <c r="AD1065" s="77">
        <f t="shared" ref="AD1065" si="3716">1-(1-AC1065)^(1/12)</f>
        <v>5.5282442672066612E-4</v>
      </c>
      <c r="AE1065" s="77">
        <f t="shared" si="3689"/>
        <v>2.5000000000000001E-3</v>
      </c>
      <c r="AF1065" s="77">
        <f t="shared" ref="AF1065" si="3717">1-(1-AE1065)^(1/12)</f>
        <v>2.0857243058891584E-4</v>
      </c>
      <c r="AH1065" t="s">
        <v>175</v>
      </c>
      <c r="AI1065" t="s">
        <v>179</v>
      </c>
      <c r="AJ1065" s="197" t="str">
        <f t="shared" si="3676"/>
        <v>Lifecycle_Dynamic_22</v>
      </c>
      <c r="AK1065">
        <v>22</v>
      </c>
      <c r="AL1065">
        <f>VLOOKUP($U1065,[2]Standard_Dynamic!$Q$1:$T$542,2,FALSE)</f>
        <v>5.1953097203793673E-2</v>
      </c>
      <c r="AM1065">
        <f>VLOOKUP($U1065,[2]Standard_Dynamic!$Q$1:$T$542,3,FALSE)</f>
        <v>0.94804690279620629</v>
      </c>
      <c r="AN1065">
        <f>VLOOKUP($U1065,[2]Standard_Dynamic!$Q$1:$T$542,4,FALSE)</f>
        <v>0</v>
      </c>
      <c r="AO1065" s="77">
        <f t="shared" si="3677"/>
        <v>1</v>
      </c>
      <c r="AP1065" s="77">
        <f t="shared" si="3691"/>
        <v>5.2039677365380357E-2</v>
      </c>
      <c r="AQ1065" s="77">
        <f t="shared" si="3678"/>
        <v>4.2365179207703996E-3</v>
      </c>
      <c r="AR1065" s="79">
        <v>0</v>
      </c>
      <c r="AS1065" s="77">
        <f t="shared" si="3692"/>
        <v>0</v>
      </c>
      <c r="AT1065" s="77">
        <f t="shared" ref="AT1065" si="3718">1-(1-AS1065)^(1/12)</f>
        <v>0</v>
      </c>
      <c r="AU1065" s="77">
        <f t="shared" si="3694"/>
        <v>2.5000000000000001E-3</v>
      </c>
      <c r="AV1065" s="77">
        <f t="shared" ref="AV1065" si="3719">1-(1-AU1065)^(1/12)</f>
        <v>2.0857243058891584E-4</v>
      </c>
      <c r="AX1065" t="s">
        <v>178</v>
      </c>
      <c r="AY1065" t="s">
        <v>162</v>
      </c>
      <c r="AZ1065" s="197" t="str">
        <f t="shared" si="3490"/>
        <v>DIS_Standard_22</v>
      </c>
      <c r="BA1065">
        <v>22</v>
      </c>
      <c r="BB1065">
        <f>VLOOKUP($BA1065,'[2]Standard DIS'!$Q$1:$X$542,4,FALSE)</f>
        <v>0</v>
      </c>
      <c r="BF1065">
        <f>VLOOKUP($BA1065,'[2]Standard DIS'!$Q$1:$X$542,2,FALSE)</f>
        <v>5.1953097203793673E-2</v>
      </c>
      <c r="BH1065">
        <f>VLOOKUP($BA1065,'[2]Standard DIS'!$Q$1:$X$542,3,FALSE)</f>
        <v>0.94804690279620629</v>
      </c>
      <c r="BI1065" s="77">
        <f t="shared" si="3681"/>
        <v>1</v>
      </c>
      <c r="BJ1065" s="77">
        <f t="shared" si="3682"/>
        <v>5.2039677365380357E-2</v>
      </c>
      <c r="BK1065" s="77">
        <f t="shared" si="3491"/>
        <v>4.2365179207703996E-3</v>
      </c>
      <c r="BL1065" s="79">
        <v>0</v>
      </c>
      <c r="BM1065" s="77">
        <f t="shared" si="3696"/>
        <v>0</v>
      </c>
      <c r="BN1065" s="77">
        <f t="shared" si="3697"/>
        <v>0</v>
      </c>
      <c r="BO1065" s="77">
        <f t="shared" si="3698"/>
        <v>2.5000000000000001E-3</v>
      </c>
      <c r="BP1065" s="77">
        <f t="shared" si="3699"/>
        <v>2.0809499864316017E-4</v>
      </c>
    </row>
    <row r="1066" spans="1:68">
      <c r="A1066" t="s">
        <v>175</v>
      </c>
      <c r="B1066" t="s">
        <v>179</v>
      </c>
      <c r="C1066" s="197" t="str">
        <f t="shared" si="3456"/>
        <v>Lifecycle_Dynamic_21</v>
      </c>
      <c r="D1066">
        <v>21</v>
      </c>
      <c r="E1066">
        <f>VLOOKUP($D1066,'[2]LC Dynamic'!$Q$2:$U$542,2,FALSE)</f>
        <v>0.27800000000000002</v>
      </c>
      <c r="F1066">
        <f>VLOOKUP($D1066,'[2]LC Dynamic'!$Q$2:$U$542,3,FALSE)</f>
        <v>0.29874999999999996</v>
      </c>
      <c r="G1066">
        <f>VLOOKUP($D1066,'[2]LC Dynamic'!$Q$2:$U$542,4,FALSE)</f>
        <v>0.42325000000000002</v>
      </c>
      <c r="H1066">
        <f>VLOOKUP($D1066,'[2]LC Dynamic'!$Q$2:$U$542,5,FALSE)</f>
        <v>0</v>
      </c>
      <c r="I1066" s="77">
        <f t="shared" si="3672"/>
        <v>1</v>
      </c>
      <c r="J1066" s="77">
        <f t="shared" si="3673"/>
        <v>5.3186374999999994E-2</v>
      </c>
      <c r="K1066" s="77">
        <f t="shared" si="3463"/>
        <v>4.3276884963361351E-3</v>
      </c>
      <c r="L1066" s="76">
        <v>0</v>
      </c>
      <c r="M1066" s="77">
        <f t="shared" si="3683"/>
        <v>0</v>
      </c>
      <c r="N1066" s="77">
        <f t="shared" si="3684"/>
        <v>0</v>
      </c>
      <c r="O1066" s="77">
        <f t="shared" si="3685"/>
        <v>5.4772249999999996E-3</v>
      </c>
      <c r="P1066" s="77">
        <f t="shared" si="3686"/>
        <v>4.5758527549977224E-4</v>
      </c>
      <c r="R1066" t="s">
        <v>177</v>
      </c>
      <c r="S1066" t="s">
        <v>179</v>
      </c>
      <c r="T1066" s="197" t="str">
        <f t="shared" si="3457"/>
        <v>Autopilot_Dynamic_21</v>
      </c>
      <c r="U1066">
        <v>21</v>
      </c>
      <c r="V1066">
        <f>VLOOKUP($U1066,'[2]AP Dynamic'!$Q$1:$T$542,2,FALSE)</f>
        <v>5.6879831932772969E-2</v>
      </c>
      <c r="W1066">
        <f>VLOOKUP($U1066,'[2]AP Dynamic'!$Q$1:$T$542,3,FALSE)</f>
        <v>0.94312016806722698</v>
      </c>
      <c r="X1066">
        <f>VLOOKUP($U1066,'[2]AP Dynamic'!$Q$1:$T$542,4,FALSE)</f>
        <v>0</v>
      </c>
      <c r="Y1066" s="77">
        <f t="shared" si="3458"/>
        <v>1</v>
      </c>
      <c r="Z1066" s="77">
        <f t="shared" si="3464"/>
        <v>5.2105079768907547E-2</v>
      </c>
      <c r="AA1066" s="77">
        <f t="shared" si="3465"/>
        <v>4.2417203236235768E-3</v>
      </c>
      <c r="AB1066" s="79">
        <v>1</v>
      </c>
      <c r="AC1066" s="77">
        <f t="shared" si="3687"/>
        <v>6.6137596638655453E-3</v>
      </c>
      <c r="AD1066" s="77">
        <f t="shared" ref="AD1066" si="3720">1-(1-AC1066)^(1/12)</f>
        <v>5.5282442672066612E-4</v>
      </c>
      <c r="AE1066" s="77">
        <f t="shared" si="3689"/>
        <v>2.5000000000000001E-3</v>
      </c>
      <c r="AF1066" s="77">
        <f t="shared" ref="AF1066" si="3721">1-(1-AE1066)^(1/12)</f>
        <v>2.0857243058891584E-4</v>
      </c>
      <c r="AH1066" t="s">
        <v>175</v>
      </c>
      <c r="AI1066" t="s">
        <v>179</v>
      </c>
      <c r="AJ1066" s="197" t="str">
        <f t="shared" si="3676"/>
        <v>Lifecycle_Dynamic_21</v>
      </c>
      <c r="AK1066">
        <v>21</v>
      </c>
      <c r="AL1066">
        <f>VLOOKUP($U1066,[2]Standard_Dynamic!$Q$1:$T$542,2,FALSE)</f>
        <v>4.9489729839304025E-2</v>
      </c>
      <c r="AM1066">
        <f>VLOOKUP($U1066,[2]Standard_Dynamic!$Q$1:$T$542,3,FALSE)</f>
        <v>0.950510270160696</v>
      </c>
      <c r="AN1066">
        <f>VLOOKUP($U1066,[2]Standard_Dynamic!$Q$1:$T$542,4,FALSE)</f>
        <v>0</v>
      </c>
      <c r="AO1066" s="77">
        <f t="shared" si="3677"/>
        <v>1</v>
      </c>
      <c r="AP1066" s="77">
        <f t="shared" si="3691"/>
        <v>5.2006976163616755E-2</v>
      </c>
      <c r="AQ1066" s="77">
        <f t="shared" si="3678"/>
        <v>4.2339166081677426E-3</v>
      </c>
      <c r="AR1066" s="79">
        <v>0</v>
      </c>
      <c r="AS1066" s="77">
        <f t="shared" si="3692"/>
        <v>0</v>
      </c>
      <c r="AT1066" s="77">
        <f t="shared" ref="AT1066" si="3722">1-(1-AS1066)^(1/12)</f>
        <v>0</v>
      </c>
      <c r="AU1066" s="77">
        <f t="shared" si="3694"/>
        <v>2.5000000000000001E-3</v>
      </c>
      <c r="AV1066" s="77">
        <f t="shared" ref="AV1066" si="3723">1-(1-AU1066)^(1/12)</f>
        <v>2.0857243058891584E-4</v>
      </c>
      <c r="AX1066" t="s">
        <v>178</v>
      </c>
      <c r="AY1066" t="s">
        <v>162</v>
      </c>
      <c r="AZ1066" s="197" t="str">
        <f t="shared" si="3490"/>
        <v>DIS_Standard_21</v>
      </c>
      <c r="BA1066">
        <v>21</v>
      </c>
      <c r="BB1066">
        <f>VLOOKUP($BA1066,'[2]Standard DIS'!$Q$1:$X$542,4,FALSE)</f>
        <v>0</v>
      </c>
      <c r="BF1066">
        <f>VLOOKUP($BA1066,'[2]Standard DIS'!$Q$1:$X$542,2,FALSE)</f>
        <v>4.9489729839304025E-2</v>
      </c>
      <c r="BH1066">
        <f>VLOOKUP($BA1066,'[2]Standard DIS'!$Q$1:$X$542,3,FALSE)</f>
        <v>0.950510270160696</v>
      </c>
      <c r="BI1066" s="77">
        <f t="shared" si="3681"/>
        <v>1</v>
      </c>
      <c r="BJ1066" s="77">
        <f t="shared" si="3682"/>
        <v>5.2006976163616755E-2</v>
      </c>
      <c r="BK1066" s="77">
        <f t="shared" si="3491"/>
        <v>4.2339166081677426E-3</v>
      </c>
      <c r="BL1066" s="79">
        <v>0</v>
      </c>
      <c r="BM1066" s="77">
        <f t="shared" si="3696"/>
        <v>0</v>
      </c>
      <c r="BN1066" s="77">
        <f t="shared" si="3697"/>
        <v>0</v>
      </c>
      <c r="BO1066" s="77">
        <f t="shared" si="3698"/>
        <v>2.5000000000000001E-3</v>
      </c>
      <c r="BP1066" s="77">
        <f t="shared" si="3699"/>
        <v>2.0809499864316017E-4</v>
      </c>
    </row>
    <row r="1067" spans="1:68">
      <c r="A1067" t="s">
        <v>175</v>
      </c>
      <c r="B1067" t="s">
        <v>179</v>
      </c>
      <c r="C1067" s="197" t="str">
        <f t="shared" si="3456"/>
        <v>Lifecycle_Dynamic_20</v>
      </c>
      <c r="D1067">
        <v>20</v>
      </c>
      <c r="E1067">
        <f>VLOOKUP($D1067,'[2]LC Dynamic'!$Q$2:$U$542,2,FALSE)</f>
        <v>0.28066666666666668</v>
      </c>
      <c r="F1067">
        <f>VLOOKUP($D1067,'[2]LC Dynamic'!$Q$2:$U$542,3,FALSE)</f>
        <v>0.29733333333333334</v>
      </c>
      <c r="G1067">
        <f>VLOOKUP($D1067,'[2]LC Dynamic'!$Q$2:$U$542,4,FALSE)</f>
        <v>0.42199999999999999</v>
      </c>
      <c r="H1067">
        <f>VLOOKUP($D1067,'[2]LC Dynamic'!$Q$2:$U$542,5,FALSE)</f>
        <v>0</v>
      </c>
      <c r="I1067" s="77">
        <f t="shared" si="3672"/>
        <v>1</v>
      </c>
      <c r="J1067" s="77">
        <f t="shared" si="3673"/>
        <v>5.315244999999999E-2</v>
      </c>
      <c r="K1067" s="77">
        <f t="shared" si="3463"/>
        <v>4.3249925252748511E-3</v>
      </c>
      <c r="L1067" s="76">
        <v>0</v>
      </c>
      <c r="M1067" s="77">
        <f t="shared" si="3683"/>
        <v>0</v>
      </c>
      <c r="N1067" s="77">
        <f t="shared" si="3684"/>
        <v>0</v>
      </c>
      <c r="O1067" s="77">
        <f t="shared" si="3685"/>
        <v>5.4662666666666663E-3</v>
      </c>
      <c r="P1067" s="77">
        <f t="shared" si="3686"/>
        <v>4.5666747653794193E-4</v>
      </c>
      <c r="R1067" t="s">
        <v>177</v>
      </c>
      <c r="S1067" t="s">
        <v>179</v>
      </c>
      <c r="T1067" s="197" t="str">
        <f t="shared" si="3457"/>
        <v>Autopilot_Dynamic_20</v>
      </c>
      <c r="U1067">
        <v>20</v>
      </c>
      <c r="V1067">
        <f>VLOOKUP($U1067,'[2]AP Dynamic'!$Q$1:$T$542,2,FALSE)</f>
        <v>5.6879831932772969E-2</v>
      </c>
      <c r="W1067">
        <f>VLOOKUP($U1067,'[2]AP Dynamic'!$Q$1:$T$542,3,FALSE)</f>
        <v>0.94312016806722698</v>
      </c>
      <c r="X1067">
        <f>VLOOKUP($U1067,'[2]AP Dynamic'!$Q$1:$T$542,4,FALSE)</f>
        <v>0</v>
      </c>
      <c r="Y1067" s="77">
        <f t="shared" si="3458"/>
        <v>1</v>
      </c>
      <c r="Z1067" s="77">
        <f t="shared" si="3464"/>
        <v>5.2105079768907547E-2</v>
      </c>
      <c r="AA1067" s="77">
        <f t="shared" si="3465"/>
        <v>4.2417203236235768E-3</v>
      </c>
      <c r="AB1067" s="79">
        <v>1</v>
      </c>
      <c r="AC1067" s="77">
        <f t="shared" si="3687"/>
        <v>6.6137596638655453E-3</v>
      </c>
      <c r="AD1067" s="77">
        <f t="shared" ref="AD1067" si="3724">1-(1-AC1067)^(1/12)</f>
        <v>5.5282442672066612E-4</v>
      </c>
      <c r="AE1067" s="77">
        <f t="shared" si="3689"/>
        <v>2.5000000000000001E-3</v>
      </c>
      <c r="AF1067" s="77">
        <f t="shared" ref="AF1067" si="3725">1-(1-AE1067)^(1/12)</f>
        <v>2.0857243058891584E-4</v>
      </c>
      <c r="AH1067" t="s">
        <v>175</v>
      </c>
      <c r="AI1067" t="s">
        <v>179</v>
      </c>
      <c r="AJ1067" s="197" t="str">
        <f t="shared" si="3676"/>
        <v>Lifecycle_Dynamic_20</v>
      </c>
      <c r="AK1067">
        <v>20</v>
      </c>
      <c r="AL1067">
        <f>VLOOKUP($U1067,[2]Standard_Dynamic!$Q$1:$T$542,2,FALSE)</f>
        <v>4.702636247481437E-2</v>
      </c>
      <c r="AM1067">
        <f>VLOOKUP($U1067,[2]Standard_Dynamic!$Q$1:$T$542,3,FALSE)</f>
        <v>0.9529736375251856</v>
      </c>
      <c r="AN1067">
        <f>VLOOKUP($U1067,[2]Standard_Dynamic!$Q$1:$T$542,4,FALSE)</f>
        <v>0</v>
      </c>
      <c r="AO1067" s="77">
        <f t="shared" si="3677"/>
        <v>1</v>
      </c>
      <c r="AP1067" s="77">
        <f t="shared" si="3691"/>
        <v>5.1974274961853154E-2</v>
      </c>
      <c r="AQ1067" s="77">
        <f t="shared" si="3678"/>
        <v>4.2313152214414895E-3</v>
      </c>
      <c r="AR1067" s="79">
        <v>0</v>
      </c>
      <c r="AS1067" s="77">
        <f t="shared" si="3692"/>
        <v>0</v>
      </c>
      <c r="AT1067" s="77">
        <f t="shared" ref="AT1067" si="3726">1-(1-AS1067)^(1/12)</f>
        <v>0</v>
      </c>
      <c r="AU1067" s="77">
        <f t="shared" si="3694"/>
        <v>2.5000000000000001E-3</v>
      </c>
      <c r="AV1067" s="77">
        <f t="shared" ref="AV1067" si="3727">1-(1-AU1067)^(1/12)</f>
        <v>2.0857243058891584E-4</v>
      </c>
      <c r="AX1067" t="s">
        <v>178</v>
      </c>
      <c r="AY1067" t="s">
        <v>162</v>
      </c>
      <c r="AZ1067" s="197" t="str">
        <f t="shared" si="3490"/>
        <v>DIS_Standard_20</v>
      </c>
      <c r="BA1067">
        <v>20</v>
      </c>
      <c r="BB1067">
        <f>VLOOKUP($BA1067,'[2]Standard DIS'!$Q$1:$X$542,4,FALSE)</f>
        <v>0</v>
      </c>
      <c r="BF1067">
        <f>VLOOKUP($BA1067,'[2]Standard DIS'!$Q$1:$X$542,2,FALSE)</f>
        <v>4.702636247481437E-2</v>
      </c>
      <c r="BH1067">
        <f>VLOOKUP($BA1067,'[2]Standard DIS'!$Q$1:$X$542,3,FALSE)</f>
        <v>0.9529736375251856</v>
      </c>
      <c r="BI1067" s="77">
        <f t="shared" si="3681"/>
        <v>1</v>
      </c>
      <c r="BJ1067" s="77">
        <f t="shared" si="3682"/>
        <v>5.1974274961853154E-2</v>
      </c>
      <c r="BK1067" s="77">
        <f t="shared" si="3491"/>
        <v>4.2313152214414895E-3</v>
      </c>
      <c r="BL1067" s="79">
        <v>0</v>
      </c>
      <c r="BM1067" s="77">
        <f t="shared" si="3696"/>
        <v>0</v>
      </c>
      <c r="BN1067" s="77">
        <f t="shared" si="3697"/>
        <v>0</v>
      </c>
      <c r="BO1067" s="77">
        <f t="shared" si="3698"/>
        <v>2.5000000000000001E-3</v>
      </c>
      <c r="BP1067" s="77">
        <f t="shared" si="3699"/>
        <v>2.0809499864316017E-4</v>
      </c>
    </row>
    <row r="1068" spans="1:68">
      <c r="A1068" t="s">
        <v>175</v>
      </c>
      <c r="B1068" t="s">
        <v>179</v>
      </c>
      <c r="C1068" s="197" t="str">
        <f t="shared" si="3456"/>
        <v>Lifecycle_Dynamic_19</v>
      </c>
      <c r="D1068">
        <v>19</v>
      </c>
      <c r="E1068">
        <f>VLOOKUP($D1068,'[2]LC Dynamic'!$Q$2:$U$542,2,FALSE)</f>
        <v>0.28333333333333333</v>
      </c>
      <c r="F1068">
        <f>VLOOKUP($D1068,'[2]LC Dynamic'!$Q$2:$U$542,3,FALSE)</f>
        <v>0.29591666666666666</v>
      </c>
      <c r="G1068">
        <f>VLOOKUP($D1068,'[2]LC Dynamic'!$Q$2:$U$542,4,FALSE)</f>
        <v>0.42074999999999996</v>
      </c>
      <c r="H1068">
        <f>VLOOKUP($D1068,'[2]LC Dynamic'!$Q$2:$U$542,5,FALSE)</f>
        <v>0</v>
      </c>
      <c r="I1068" s="77">
        <f t="shared" si="3672"/>
        <v>1</v>
      </c>
      <c r="J1068" s="77">
        <f t="shared" si="3673"/>
        <v>5.3118524999999993E-2</v>
      </c>
      <c r="K1068" s="77">
        <f t="shared" si="3463"/>
        <v>4.3222964746045811E-3</v>
      </c>
      <c r="L1068" s="76">
        <v>0</v>
      </c>
      <c r="M1068" s="77">
        <f t="shared" si="3683"/>
        <v>0</v>
      </c>
      <c r="N1068" s="77">
        <f t="shared" si="3684"/>
        <v>0</v>
      </c>
      <c r="O1068" s="77">
        <f t="shared" si="3685"/>
        <v>5.455308333333333E-3</v>
      </c>
      <c r="P1068" s="77">
        <f t="shared" si="3686"/>
        <v>4.5574968684614081E-4</v>
      </c>
      <c r="R1068" t="s">
        <v>177</v>
      </c>
      <c r="S1068" t="s">
        <v>179</v>
      </c>
      <c r="T1068" s="197" t="str">
        <f t="shared" si="3457"/>
        <v>Autopilot_Dynamic_19</v>
      </c>
      <c r="U1068">
        <v>19</v>
      </c>
      <c r="V1068">
        <f>VLOOKUP($U1068,'[2]AP Dynamic'!$Q$1:$T$542,2,FALSE)</f>
        <v>5.6879831932772969E-2</v>
      </c>
      <c r="W1068">
        <f>VLOOKUP($U1068,'[2]AP Dynamic'!$Q$1:$T$542,3,FALSE)</f>
        <v>0.94312016806722698</v>
      </c>
      <c r="X1068">
        <f>VLOOKUP($U1068,'[2]AP Dynamic'!$Q$1:$T$542,4,FALSE)</f>
        <v>0</v>
      </c>
      <c r="Y1068" s="77">
        <f t="shared" si="3458"/>
        <v>1</v>
      </c>
      <c r="Z1068" s="77">
        <f t="shared" si="3464"/>
        <v>5.2105079768907547E-2</v>
      </c>
      <c r="AA1068" s="77">
        <f t="shared" si="3465"/>
        <v>4.2417203236235768E-3</v>
      </c>
      <c r="AB1068" s="79">
        <v>1</v>
      </c>
      <c r="AC1068" s="77">
        <f t="shared" si="3687"/>
        <v>6.6137596638655453E-3</v>
      </c>
      <c r="AD1068" s="77">
        <f t="shared" ref="AD1068" si="3728">1-(1-AC1068)^(1/12)</f>
        <v>5.5282442672066612E-4</v>
      </c>
      <c r="AE1068" s="77">
        <f t="shared" si="3689"/>
        <v>2.5000000000000001E-3</v>
      </c>
      <c r="AF1068" s="77">
        <f t="shared" ref="AF1068" si="3729">1-(1-AE1068)^(1/12)</f>
        <v>2.0857243058891584E-4</v>
      </c>
      <c r="AH1068" t="s">
        <v>175</v>
      </c>
      <c r="AI1068" t="s">
        <v>179</v>
      </c>
      <c r="AJ1068" s="197" t="str">
        <f t="shared" si="3676"/>
        <v>Lifecycle_Dynamic_19</v>
      </c>
      <c r="AK1068">
        <v>19</v>
      </c>
      <c r="AL1068">
        <f>VLOOKUP($U1068,[2]Standard_Dynamic!$Q$1:$T$542,2,FALSE)</f>
        <v>4.4562995110324723E-2</v>
      </c>
      <c r="AM1068">
        <f>VLOOKUP($U1068,[2]Standard_Dynamic!$Q$1:$T$542,3,FALSE)</f>
        <v>0.9554370048896752</v>
      </c>
      <c r="AN1068">
        <f>VLOOKUP($U1068,[2]Standard_Dynamic!$Q$1:$T$542,4,FALSE)</f>
        <v>0</v>
      </c>
      <c r="AO1068" s="77">
        <f t="shared" si="3677"/>
        <v>0.99999999999999989</v>
      </c>
      <c r="AP1068" s="77">
        <f t="shared" si="3691"/>
        <v>5.1941573760089552E-2</v>
      </c>
      <c r="AQ1068" s="77">
        <f t="shared" si="3678"/>
        <v>4.2287137605874214E-3</v>
      </c>
      <c r="AR1068" s="79">
        <v>0</v>
      </c>
      <c r="AS1068" s="77">
        <f t="shared" si="3692"/>
        <v>0</v>
      </c>
      <c r="AT1068" s="77">
        <f t="shared" ref="AT1068" si="3730">1-(1-AS1068)^(1/12)</f>
        <v>0</v>
      </c>
      <c r="AU1068" s="77">
        <f t="shared" si="3694"/>
        <v>2.5000000000000001E-3</v>
      </c>
      <c r="AV1068" s="77">
        <f t="shared" ref="AV1068" si="3731">1-(1-AU1068)^(1/12)</f>
        <v>2.0857243058891584E-4</v>
      </c>
      <c r="AX1068" t="s">
        <v>178</v>
      </c>
      <c r="AY1068" t="s">
        <v>162</v>
      </c>
      <c r="AZ1068" s="197" t="str">
        <f t="shared" si="3490"/>
        <v>DIS_Standard_19</v>
      </c>
      <c r="BA1068">
        <v>19</v>
      </c>
      <c r="BB1068">
        <f>VLOOKUP($BA1068,'[2]Standard DIS'!$Q$1:$X$542,4,FALSE)</f>
        <v>0</v>
      </c>
      <c r="BF1068">
        <f>VLOOKUP($BA1068,'[2]Standard DIS'!$Q$1:$X$542,2,FALSE)</f>
        <v>4.4562995110324723E-2</v>
      </c>
      <c r="BH1068">
        <f>VLOOKUP($BA1068,'[2]Standard DIS'!$Q$1:$X$542,3,FALSE)</f>
        <v>0.9554370048896752</v>
      </c>
      <c r="BI1068" s="77">
        <f t="shared" si="3681"/>
        <v>0.99999999999999989</v>
      </c>
      <c r="BJ1068" s="77">
        <f t="shared" si="3682"/>
        <v>5.1941573760089552E-2</v>
      </c>
      <c r="BK1068" s="77">
        <f t="shared" si="3491"/>
        <v>4.2287137605874214E-3</v>
      </c>
      <c r="BL1068" s="79">
        <v>0</v>
      </c>
      <c r="BM1068" s="77">
        <f t="shared" si="3696"/>
        <v>0</v>
      </c>
      <c r="BN1068" s="77">
        <f t="shared" si="3697"/>
        <v>0</v>
      </c>
      <c r="BO1068" s="77">
        <f t="shared" si="3698"/>
        <v>2.5000000000000001E-3</v>
      </c>
      <c r="BP1068" s="77">
        <f t="shared" si="3699"/>
        <v>2.0809499864316017E-4</v>
      </c>
    </row>
    <row r="1069" spans="1:68">
      <c r="A1069" t="s">
        <v>175</v>
      </c>
      <c r="B1069" t="s">
        <v>179</v>
      </c>
      <c r="C1069" s="197" t="str">
        <f t="shared" si="3456"/>
        <v>Lifecycle_Dynamic_18</v>
      </c>
      <c r="D1069">
        <v>18</v>
      </c>
      <c r="E1069">
        <f>VLOOKUP($D1069,'[2]LC Dynamic'!$Q$2:$U$542,2,FALSE)</f>
        <v>0.28600000000000003</v>
      </c>
      <c r="F1069">
        <f>VLOOKUP($D1069,'[2]LC Dynamic'!$Q$2:$U$542,3,FALSE)</f>
        <v>0.29449999999999998</v>
      </c>
      <c r="G1069">
        <f>VLOOKUP($D1069,'[2]LC Dynamic'!$Q$2:$U$542,4,FALSE)</f>
        <v>0.41949999999999998</v>
      </c>
      <c r="H1069">
        <f>VLOOKUP($D1069,'[2]LC Dynamic'!$Q$2:$U$542,5,FALSE)</f>
        <v>0</v>
      </c>
      <c r="I1069" s="77">
        <f t="shared" si="3672"/>
        <v>1</v>
      </c>
      <c r="J1069" s="77">
        <f t="shared" si="3673"/>
        <v>5.3084599999999996E-2</v>
      </c>
      <c r="K1069" s="77">
        <f t="shared" si="3463"/>
        <v>4.3196003443206621E-3</v>
      </c>
      <c r="L1069" s="76">
        <v>0</v>
      </c>
      <c r="M1069" s="77">
        <f t="shared" si="3683"/>
        <v>0</v>
      </c>
      <c r="N1069" s="77">
        <f t="shared" si="3684"/>
        <v>0</v>
      </c>
      <c r="O1069" s="77">
        <f t="shared" si="3685"/>
        <v>5.4443499999999997E-3</v>
      </c>
      <c r="P1069" s="77">
        <f t="shared" si="3686"/>
        <v>4.5483190642414684E-4</v>
      </c>
      <c r="R1069" t="s">
        <v>177</v>
      </c>
      <c r="S1069" t="s">
        <v>179</v>
      </c>
      <c r="T1069" s="197" t="str">
        <f t="shared" si="3457"/>
        <v>Autopilot_Dynamic_18</v>
      </c>
      <c r="U1069">
        <v>18</v>
      </c>
      <c r="V1069">
        <f>VLOOKUP($U1069,'[2]AP Dynamic'!$Q$1:$T$542,2,FALSE)</f>
        <v>5.6879831932772969E-2</v>
      </c>
      <c r="W1069">
        <f>VLOOKUP($U1069,'[2]AP Dynamic'!$Q$1:$T$542,3,FALSE)</f>
        <v>0.94312016806722698</v>
      </c>
      <c r="X1069">
        <f>VLOOKUP($U1069,'[2]AP Dynamic'!$Q$1:$T$542,4,FALSE)</f>
        <v>0</v>
      </c>
      <c r="Y1069" s="77">
        <f t="shared" si="3458"/>
        <v>1</v>
      </c>
      <c r="Z1069" s="77">
        <f t="shared" si="3464"/>
        <v>5.2105079768907547E-2</v>
      </c>
      <c r="AA1069" s="77">
        <f t="shared" si="3465"/>
        <v>4.2417203236235768E-3</v>
      </c>
      <c r="AB1069" s="79">
        <v>1</v>
      </c>
      <c r="AC1069" s="77">
        <f t="shared" si="3687"/>
        <v>6.6137596638655453E-3</v>
      </c>
      <c r="AD1069" s="77">
        <f t="shared" ref="AD1069" si="3732">1-(1-AC1069)^(1/12)</f>
        <v>5.5282442672066612E-4</v>
      </c>
      <c r="AE1069" s="77">
        <f t="shared" si="3689"/>
        <v>2.5000000000000001E-3</v>
      </c>
      <c r="AF1069" s="77">
        <f t="shared" ref="AF1069" si="3733">1-(1-AE1069)^(1/12)</f>
        <v>2.0857243058891584E-4</v>
      </c>
      <c r="AH1069" t="s">
        <v>175</v>
      </c>
      <c r="AI1069" t="s">
        <v>179</v>
      </c>
      <c r="AJ1069" s="197" t="str">
        <f t="shared" si="3676"/>
        <v>Lifecycle_Dynamic_18</v>
      </c>
      <c r="AK1069">
        <v>18</v>
      </c>
      <c r="AL1069">
        <f>VLOOKUP($U1069,[2]Standard_Dynamic!$Q$1:$T$542,2,FALSE)</f>
        <v>4.2099627745835075E-2</v>
      </c>
      <c r="AM1069">
        <f>VLOOKUP($U1069,[2]Standard_Dynamic!$Q$1:$T$542,3,FALSE)</f>
        <v>0.95790037225416491</v>
      </c>
      <c r="AN1069">
        <f>VLOOKUP($U1069,[2]Standard_Dynamic!$Q$1:$T$542,4,FALSE)</f>
        <v>0</v>
      </c>
      <c r="AO1069" s="77">
        <f t="shared" si="3677"/>
        <v>1</v>
      </c>
      <c r="AP1069" s="77">
        <f t="shared" si="3691"/>
        <v>5.190887255832595E-2</v>
      </c>
      <c r="AQ1069" s="77">
        <f t="shared" si="3678"/>
        <v>4.2261122256013195E-3</v>
      </c>
      <c r="AR1069" s="79">
        <v>0</v>
      </c>
      <c r="AS1069" s="77">
        <f t="shared" si="3692"/>
        <v>0</v>
      </c>
      <c r="AT1069" s="77">
        <f t="shared" ref="AT1069" si="3734">1-(1-AS1069)^(1/12)</f>
        <v>0</v>
      </c>
      <c r="AU1069" s="77">
        <f t="shared" si="3694"/>
        <v>2.5000000000000001E-3</v>
      </c>
      <c r="AV1069" s="77">
        <f t="shared" ref="AV1069" si="3735">1-(1-AU1069)^(1/12)</f>
        <v>2.0857243058891584E-4</v>
      </c>
      <c r="AX1069" t="s">
        <v>178</v>
      </c>
      <c r="AY1069" t="s">
        <v>162</v>
      </c>
      <c r="AZ1069" s="197" t="str">
        <f t="shared" si="3490"/>
        <v>DIS_Standard_18</v>
      </c>
      <c r="BA1069">
        <v>18</v>
      </c>
      <c r="BB1069">
        <f>VLOOKUP($BA1069,'[2]Standard DIS'!$Q$1:$X$542,4,FALSE)</f>
        <v>0</v>
      </c>
      <c r="BF1069">
        <f>VLOOKUP($BA1069,'[2]Standard DIS'!$Q$1:$X$542,2,FALSE)</f>
        <v>4.2099627745835075E-2</v>
      </c>
      <c r="BH1069">
        <f>VLOOKUP($BA1069,'[2]Standard DIS'!$Q$1:$X$542,3,FALSE)</f>
        <v>0.95790037225416491</v>
      </c>
      <c r="BI1069" s="77">
        <f t="shared" si="3681"/>
        <v>1</v>
      </c>
      <c r="BJ1069" s="77">
        <f t="shared" si="3682"/>
        <v>5.190887255832595E-2</v>
      </c>
      <c r="BK1069" s="77">
        <f t="shared" si="3491"/>
        <v>4.2261122256013195E-3</v>
      </c>
      <c r="BL1069" s="79">
        <v>0</v>
      </c>
      <c r="BM1069" s="77">
        <f t="shared" si="3696"/>
        <v>0</v>
      </c>
      <c r="BN1069" s="77">
        <f t="shared" si="3697"/>
        <v>0</v>
      </c>
      <c r="BO1069" s="77">
        <f t="shared" si="3698"/>
        <v>2.5000000000000001E-3</v>
      </c>
      <c r="BP1069" s="77">
        <f t="shared" si="3699"/>
        <v>2.0809499864316017E-4</v>
      </c>
    </row>
    <row r="1070" spans="1:68">
      <c r="A1070" t="s">
        <v>175</v>
      </c>
      <c r="B1070" t="s">
        <v>179</v>
      </c>
      <c r="C1070" s="197" t="str">
        <f t="shared" si="3456"/>
        <v>Lifecycle_Dynamic_17</v>
      </c>
      <c r="D1070">
        <v>17</v>
      </c>
      <c r="E1070">
        <f>VLOOKUP($D1070,'[2]LC Dynamic'!$Q$2:$U$542,2,FALSE)</f>
        <v>0.28866666666666668</v>
      </c>
      <c r="F1070">
        <f>VLOOKUP($D1070,'[2]LC Dynamic'!$Q$2:$U$542,3,FALSE)</f>
        <v>0.29308333333333331</v>
      </c>
      <c r="G1070">
        <f>VLOOKUP($D1070,'[2]LC Dynamic'!$Q$2:$U$542,4,FALSE)</f>
        <v>0.41825000000000001</v>
      </c>
      <c r="H1070">
        <f>VLOOKUP($D1070,'[2]LC Dynamic'!$Q$2:$U$542,5,FALSE)</f>
        <v>0</v>
      </c>
      <c r="I1070" s="77">
        <f t="shared" si="3672"/>
        <v>1</v>
      </c>
      <c r="J1070" s="77">
        <f t="shared" si="3673"/>
        <v>5.3050674999999992E-2</v>
      </c>
      <c r="K1070" s="77">
        <f t="shared" si="3463"/>
        <v>4.316904134417765E-3</v>
      </c>
      <c r="L1070" s="76">
        <v>0</v>
      </c>
      <c r="M1070" s="77">
        <f t="shared" si="3683"/>
        <v>0</v>
      </c>
      <c r="N1070" s="77">
        <f t="shared" si="3684"/>
        <v>0</v>
      </c>
      <c r="O1070" s="77">
        <f t="shared" si="3685"/>
        <v>5.4333916666666664E-3</v>
      </c>
      <c r="P1070" s="77">
        <f t="shared" si="3686"/>
        <v>4.5391413527184898E-4</v>
      </c>
      <c r="R1070" t="s">
        <v>177</v>
      </c>
      <c r="S1070" t="s">
        <v>179</v>
      </c>
      <c r="T1070" s="197" t="str">
        <f t="shared" si="3457"/>
        <v>Autopilot_Dynamic_17</v>
      </c>
      <c r="U1070">
        <v>17</v>
      </c>
      <c r="V1070">
        <f>VLOOKUP($U1070,'[2]AP Dynamic'!$Q$1:$T$542,2,FALSE)</f>
        <v>5.6879831932772969E-2</v>
      </c>
      <c r="W1070">
        <f>VLOOKUP($U1070,'[2]AP Dynamic'!$Q$1:$T$542,3,FALSE)</f>
        <v>0.94312016806722698</v>
      </c>
      <c r="X1070">
        <f>VLOOKUP($U1070,'[2]AP Dynamic'!$Q$1:$T$542,4,FALSE)</f>
        <v>0</v>
      </c>
      <c r="Y1070" s="77">
        <f t="shared" si="3458"/>
        <v>1</v>
      </c>
      <c r="Z1070" s="77">
        <f t="shared" si="3464"/>
        <v>5.2105079768907547E-2</v>
      </c>
      <c r="AA1070" s="77">
        <f t="shared" si="3465"/>
        <v>4.2417203236235768E-3</v>
      </c>
      <c r="AB1070" s="79">
        <v>1</v>
      </c>
      <c r="AC1070" s="77">
        <f t="shared" si="3687"/>
        <v>6.6137596638655453E-3</v>
      </c>
      <c r="AD1070" s="77">
        <f t="shared" ref="AD1070" si="3736">1-(1-AC1070)^(1/12)</f>
        <v>5.5282442672066612E-4</v>
      </c>
      <c r="AE1070" s="77">
        <f t="shared" si="3689"/>
        <v>2.5000000000000001E-3</v>
      </c>
      <c r="AF1070" s="77">
        <f t="shared" ref="AF1070" si="3737">1-(1-AE1070)^(1/12)</f>
        <v>2.0857243058891584E-4</v>
      </c>
      <c r="AH1070" t="s">
        <v>175</v>
      </c>
      <c r="AI1070" t="s">
        <v>179</v>
      </c>
      <c r="AJ1070" s="197" t="str">
        <f t="shared" si="3676"/>
        <v>Lifecycle_Dynamic_17</v>
      </c>
      <c r="AK1070">
        <v>17</v>
      </c>
      <c r="AL1070">
        <f>VLOOKUP($U1070,[2]Standard_Dynamic!$Q$1:$T$542,2,FALSE)</f>
        <v>3.9636260381345427E-2</v>
      </c>
      <c r="AM1070">
        <f>VLOOKUP($U1070,[2]Standard_Dynamic!$Q$1:$T$542,3,FALSE)</f>
        <v>0.96036373961865462</v>
      </c>
      <c r="AN1070">
        <f>VLOOKUP($U1070,[2]Standard_Dynamic!$Q$1:$T$542,4,FALSE)</f>
        <v>0</v>
      </c>
      <c r="AO1070" s="77">
        <f t="shared" si="3677"/>
        <v>1</v>
      </c>
      <c r="AP1070" s="77">
        <f t="shared" si="3691"/>
        <v>5.1876171356562355E-2</v>
      </c>
      <c r="AQ1070" s="77">
        <f t="shared" si="3678"/>
        <v>4.2235106164782987E-3</v>
      </c>
      <c r="AR1070" s="79">
        <v>0</v>
      </c>
      <c r="AS1070" s="77">
        <f t="shared" si="3692"/>
        <v>0</v>
      </c>
      <c r="AT1070" s="77">
        <f t="shared" ref="AT1070" si="3738">1-(1-AS1070)^(1/12)</f>
        <v>0</v>
      </c>
      <c r="AU1070" s="77">
        <f t="shared" si="3694"/>
        <v>2.5000000000000005E-3</v>
      </c>
      <c r="AV1070" s="77">
        <f t="shared" ref="AV1070" si="3739">1-(1-AU1070)^(1/12)</f>
        <v>2.0857243058891584E-4</v>
      </c>
      <c r="AX1070" t="s">
        <v>178</v>
      </c>
      <c r="AY1070" t="s">
        <v>162</v>
      </c>
      <c r="AZ1070" s="197" t="str">
        <f t="shared" si="3490"/>
        <v>DIS_Standard_17</v>
      </c>
      <c r="BA1070">
        <v>17</v>
      </c>
      <c r="BB1070">
        <f>VLOOKUP($BA1070,'[2]Standard DIS'!$Q$1:$X$542,4,FALSE)</f>
        <v>0</v>
      </c>
      <c r="BF1070">
        <f>VLOOKUP($BA1070,'[2]Standard DIS'!$Q$1:$X$542,2,FALSE)</f>
        <v>3.9636260381345427E-2</v>
      </c>
      <c r="BH1070">
        <f>VLOOKUP($BA1070,'[2]Standard DIS'!$Q$1:$X$542,3,FALSE)</f>
        <v>0.96036373961865462</v>
      </c>
      <c r="BI1070" s="77">
        <f t="shared" si="3681"/>
        <v>1</v>
      </c>
      <c r="BJ1070" s="77">
        <f t="shared" si="3682"/>
        <v>5.1876171356562355E-2</v>
      </c>
      <c r="BK1070" s="77">
        <f t="shared" si="3491"/>
        <v>4.2235106164782987E-3</v>
      </c>
      <c r="BL1070" s="79">
        <v>0</v>
      </c>
      <c r="BM1070" s="77">
        <f t="shared" si="3696"/>
        <v>0</v>
      </c>
      <c r="BN1070" s="77">
        <f t="shared" si="3697"/>
        <v>0</v>
      </c>
      <c r="BO1070" s="77">
        <f t="shared" si="3698"/>
        <v>2.5000000000000005E-3</v>
      </c>
      <c r="BP1070" s="77">
        <f t="shared" si="3699"/>
        <v>2.0809499864316017E-4</v>
      </c>
    </row>
    <row r="1071" spans="1:68">
      <c r="A1071" t="s">
        <v>175</v>
      </c>
      <c r="B1071" t="s">
        <v>179</v>
      </c>
      <c r="C1071" s="197" t="str">
        <f t="shared" ref="C1071:C1086" si="3740">A1071&amp;"_"&amp;B1071&amp;"_"&amp;D1071</f>
        <v>Lifecycle_Dynamic_16</v>
      </c>
      <c r="D1071">
        <v>16</v>
      </c>
      <c r="E1071">
        <f>VLOOKUP($D1071,'[2]LC Dynamic'!$Q$2:$U$542,2,FALSE)</f>
        <v>0.29133333333333333</v>
      </c>
      <c r="F1071">
        <f>VLOOKUP($D1071,'[2]LC Dynamic'!$Q$2:$U$542,3,FALSE)</f>
        <v>0.29166666666666663</v>
      </c>
      <c r="G1071">
        <f>VLOOKUP($D1071,'[2]LC Dynamic'!$Q$2:$U$542,4,FALSE)</f>
        <v>0.41699999999999998</v>
      </c>
      <c r="H1071">
        <f>VLOOKUP($D1071,'[2]LC Dynamic'!$Q$2:$U$542,5,FALSE)</f>
        <v>0</v>
      </c>
      <c r="I1071" s="77">
        <f t="shared" si="3672"/>
        <v>1</v>
      </c>
      <c r="J1071" s="77">
        <f t="shared" si="3673"/>
        <v>5.3016749999999987E-2</v>
      </c>
      <c r="K1071" s="77">
        <f t="shared" si="3463"/>
        <v>4.3142078448914489E-3</v>
      </c>
      <c r="L1071" s="76">
        <v>0</v>
      </c>
      <c r="M1071" s="77">
        <f t="shared" si="3683"/>
        <v>0</v>
      </c>
      <c r="N1071" s="77">
        <f t="shared" si="3684"/>
        <v>0</v>
      </c>
      <c r="O1071" s="77">
        <f t="shared" si="3685"/>
        <v>5.4224333333333322E-3</v>
      </c>
      <c r="P1071" s="77">
        <f t="shared" si="3686"/>
        <v>4.5299637338902521E-4</v>
      </c>
      <c r="R1071" t="s">
        <v>177</v>
      </c>
      <c r="S1071" t="s">
        <v>179</v>
      </c>
      <c r="T1071" s="197" t="str">
        <f t="shared" ref="T1071:T1087" si="3741">R1071&amp;"_"&amp;S1071&amp;"_"&amp;U1071</f>
        <v>Autopilot_Dynamic_16</v>
      </c>
      <c r="U1071">
        <v>16</v>
      </c>
      <c r="V1071">
        <f>VLOOKUP($U1071,'[2]AP Dynamic'!$Q$1:$T$542,2,FALSE)</f>
        <v>5.6879831932772969E-2</v>
      </c>
      <c r="W1071">
        <f>VLOOKUP($U1071,'[2]AP Dynamic'!$Q$1:$T$542,3,FALSE)</f>
        <v>0.94312016806722698</v>
      </c>
      <c r="X1071">
        <f>VLOOKUP($U1071,'[2]AP Dynamic'!$Q$1:$T$542,4,FALSE)</f>
        <v>0</v>
      </c>
      <c r="Y1071" s="77">
        <f t="shared" ref="Y1071:Y1086" si="3742">SUM(V1071:X1071)</f>
        <v>1</v>
      </c>
      <c r="Z1071" s="77">
        <f t="shared" si="3464"/>
        <v>5.2105079768907547E-2</v>
      </c>
      <c r="AA1071" s="77">
        <f t="shared" si="3465"/>
        <v>4.2417203236235768E-3</v>
      </c>
      <c r="AB1071" s="79">
        <v>1</v>
      </c>
      <c r="AC1071" s="77">
        <f t="shared" si="3687"/>
        <v>6.6137596638655453E-3</v>
      </c>
      <c r="AD1071" s="77">
        <f t="shared" ref="AD1071" si="3743">1-(1-AC1071)^(1/12)</f>
        <v>5.5282442672066612E-4</v>
      </c>
      <c r="AE1071" s="77">
        <f t="shared" si="3689"/>
        <v>2.5000000000000001E-3</v>
      </c>
      <c r="AF1071" s="77">
        <f t="shared" ref="AF1071" si="3744">1-(1-AE1071)^(1/12)</f>
        <v>2.0857243058891584E-4</v>
      </c>
      <c r="AH1071" t="s">
        <v>175</v>
      </c>
      <c r="AI1071" t="s">
        <v>179</v>
      </c>
      <c r="AJ1071" s="197" t="str">
        <f t="shared" si="3676"/>
        <v>Lifecycle_Dynamic_16</v>
      </c>
      <c r="AK1071">
        <v>16</v>
      </c>
      <c r="AL1071">
        <f>VLOOKUP($U1071,[2]Standard_Dynamic!$Q$1:$T$542,2,FALSE)</f>
        <v>3.7172893016855779E-2</v>
      </c>
      <c r="AM1071">
        <f>VLOOKUP($U1071,[2]Standard_Dynamic!$Q$1:$T$542,3,FALSE)</f>
        <v>0.96282710698314422</v>
      </c>
      <c r="AN1071">
        <f>VLOOKUP($U1071,[2]Standard_Dynamic!$Q$1:$T$542,4,FALSE)</f>
        <v>0</v>
      </c>
      <c r="AO1071" s="77">
        <f t="shared" si="3677"/>
        <v>1</v>
      </c>
      <c r="AP1071" s="77">
        <f t="shared" si="3691"/>
        <v>5.1843470154798753E-2</v>
      </c>
      <c r="AQ1071" s="77">
        <f t="shared" si="3678"/>
        <v>4.2209089332143623E-3</v>
      </c>
      <c r="AR1071" s="79">
        <v>0</v>
      </c>
      <c r="AS1071" s="77">
        <f t="shared" si="3692"/>
        <v>0</v>
      </c>
      <c r="AT1071" s="77">
        <f t="shared" ref="AT1071" si="3745">1-(1-AS1071)^(1/12)</f>
        <v>0</v>
      </c>
      <c r="AU1071" s="77">
        <f t="shared" si="3694"/>
        <v>2.5000000000000001E-3</v>
      </c>
      <c r="AV1071" s="77">
        <f t="shared" ref="AV1071" si="3746">1-(1-AU1071)^(1/12)</f>
        <v>2.0857243058891584E-4</v>
      </c>
      <c r="AX1071" t="s">
        <v>178</v>
      </c>
      <c r="AY1071" t="s">
        <v>162</v>
      </c>
      <c r="AZ1071" s="197" t="str">
        <f t="shared" si="3490"/>
        <v>DIS_Standard_16</v>
      </c>
      <c r="BA1071">
        <v>16</v>
      </c>
      <c r="BB1071">
        <f>VLOOKUP($BA1071,'[2]Standard DIS'!$Q$1:$X$542,4,FALSE)</f>
        <v>0</v>
      </c>
      <c r="BF1071">
        <f>VLOOKUP($BA1071,'[2]Standard DIS'!$Q$1:$X$542,2,FALSE)</f>
        <v>3.7172893016855779E-2</v>
      </c>
      <c r="BH1071">
        <f>VLOOKUP($BA1071,'[2]Standard DIS'!$Q$1:$X$542,3,FALSE)</f>
        <v>0.96282710698314422</v>
      </c>
      <c r="BI1071" s="77">
        <f t="shared" si="3681"/>
        <v>1</v>
      </c>
      <c r="BJ1071" s="77">
        <f t="shared" si="3682"/>
        <v>5.1843470154798753E-2</v>
      </c>
      <c r="BK1071" s="77">
        <f t="shared" si="3491"/>
        <v>4.2209089332143623E-3</v>
      </c>
      <c r="BL1071" s="79">
        <v>0</v>
      </c>
      <c r="BM1071" s="77">
        <f t="shared" si="3696"/>
        <v>0</v>
      </c>
      <c r="BN1071" s="77">
        <f t="shared" si="3697"/>
        <v>0</v>
      </c>
      <c r="BO1071" s="77">
        <f t="shared" si="3698"/>
        <v>2.5000000000000001E-3</v>
      </c>
      <c r="BP1071" s="77">
        <f t="shared" si="3699"/>
        <v>2.0809499864316017E-4</v>
      </c>
    </row>
    <row r="1072" spans="1:68">
      <c r="A1072" t="s">
        <v>175</v>
      </c>
      <c r="B1072" t="s">
        <v>179</v>
      </c>
      <c r="C1072" s="197" t="str">
        <f t="shared" si="3740"/>
        <v>Lifecycle_Dynamic_15</v>
      </c>
      <c r="D1072">
        <v>15</v>
      </c>
      <c r="E1072">
        <f>VLOOKUP($D1072,'[2]LC Dynamic'!$Q$2:$U$542,2,FALSE)</f>
        <v>0.29399999999999998</v>
      </c>
      <c r="F1072">
        <f>VLOOKUP($D1072,'[2]LC Dynamic'!$Q$2:$U$542,3,FALSE)</f>
        <v>0.29025000000000001</v>
      </c>
      <c r="G1072">
        <f>VLOOKUP($D1072,'[2]LC Dynamic'!$Q$2:$U$542,4,FALSE)</f>
        <v>0.41574999999999995</v>
      </c>
      <c r="H1072">
        <f>VLOOKUP($D1072,'[2]LC Dynamic'!$Q$2:$U$542,5,FALSE)</f>
        <v>0</v>
      </c>
      <c r="I1072" s="77">
        <f t="shared" si="3672"/>
        <v>0.99999999999999989</v>
      </c>
      <c r="J1072" s="77">
        <f t="shared" si="3673"/>
        <v>5.2982824999999997E-2</v>
      </c>
      <c r="K1072" s="77">
        <f t="shared" ref="K1072:K1086" si="3747">(1+J1072)^(1/12)-1</f>
        <v>4.3115114757363848E-3</v>
      </c>
      <c r="L1072" s="76">
        <v>0</v>
      </c>
      <c r="M1072" s="77">
        <f t="shared" si="3683"/>
        <v>0</v>
      </c>
      <c r="N1072" s="77">
        <f t="shared" si="3684"/>
        <v>0</v>
      </c>
      <c r="O1072" s="77">
        <f t="shared" si="3685"/>
        <v>5.4114749999999998E-3</v>
      </c>
      <c r="P1072" s="77">
        <f t="shared" si="3686"/>
        <v>4.5207862077545347E-4</v>
      </c>
      <c r="R1072" t="s">
        <v>177</v>
      </c>
      <c r="S1072" t="s">
        <v>179</v>
      </c>
      <c r="T1072" s="197" t="str">
        <f t="shared" si="3741"/>
        <v>Autopilot_Dynamic_15</v>
      </c>
      <c r="U1072">
        <v>15</v>
      </c>
      <c r="V1072">
        <f>VLOOKUP($U1072,'[2]AP Dynamic'!$Q$1:$T$542,2,FALSE)</f>
        <v>5.6879831932772969E-2</v>
      </c>
      <c r="W1072">
        <f>VLOOKUP($U1072,'[2]AP Dynamic'!$Q$1:$T$542,3,FALSE)</f>
        <v>0.94312016806722698</v>
      </c>
      <c r="X1072">
        <f>VLOOKUP($U1072,'[2]AP Dynamic'!$Q$1:$T$542,4,FALSE)</f>
        <v>0</v>
      </c>
      <c r="Y1072" s="77">
        <f t="shared" si="3742"/>
        <v>1</v>
      </c>
      <c r="Z1072" s="77">
        <f t="shared" ref="Z1072:Z1086" si="3748">SUMPRODUCT($V$1:$X$1,V1072:X1072)</f>
        <v>5.2105079768907547E-2</v>
      </c>
      <c r="AA1072" s="77">
        <f t="shared" ref="AA1072:AA1086" si="3749">(1+Z1072)^(1/12)-1</f>
        <v>4.2417203236235768E-3</v>
      </c>
      <c r="AB1072" s="79">
        <v>1</v>
      </c>
      <c r="AC1072" s="77">
        <f t="shared" si="3687"/>
        <v>6.6137596638655453E-3</v>
      </c>
      <c r="AD1072" s="77">
        <f t="shared" ref="AD1072" si="3750">1-(1-AC1072)^(1/12)</f>
        <v>5.5282442672066612E-4</v>
      </c>
      <c r="AE1072" s="77">
        <f t="shared" si="3689"/>
        <v>2.5000000000000001E-3</v>
      </c>
      <c r="AF1072" s="77">
        <f t="shared" ref="AF1072" si="3751">1-(1-AE1072)^(1/12)</f>
        <v>2.0857243058891584E-4</v>
      </c>
      <c r="AH1072" t="s">
        <v>175</v>
      </c>
      <c r="AI1072" t="s">
        <v>179</v>
      </c>
      <c r="AJ1072" s="197" t="str">
        <f t="shared" si="3676"/>
        <v>Lifecycle_Dynamic_15</v>
      </c>
      <c r="AK1072">
        <v>15</v>
      </c>
      <c r="AL1072">
        <f>VLOOKUP($U1072,[2]Standard_Dynamic!$Q$1:$T$542,2,FALSE)</f>
        <v>3.4709525652366131E-2</v>
      </c>
      <c r="AM1072">
        <f>VLOOKUP($U1072,[2]Standard_Dynamic!$Q$1:$T$542,3,FALSE)</f>
        <v>0.96529047434763382</v>
      </c>
      <c r="AN1072">
        <f>VLOOKUP($U1072,[2]Standard_Dynamic!$Q$1:$T$542,4,FALSE)</f>
        <v>0</v>
      </c>
      <c r="AO1072" s="77">
        <f t="shared" si="3677"/>
        <v>1</v>
      </c>
      <c r="AP1072" s="77">
        <f t="shared" si="3691"/>
        <v>5.1810768953035151E-2</v>
      </c>
      <c r="AQ1072" s="77">
        <f t="shared" si="3678"/>
        <v>4.2183071758050694E-3</v>
      </c>
      <c r="AR1072" s="79">
        <v>0</v>
      </c>
      <c r="AS1072" s="77">
        <f t="shared" si="3692"/>
        <v>0</v>
      </c>
      <c r="AT1072" s="77">
        <f t="shared" ref="AT1072" si="3752">1-(1-AS1072)^(1/12)</f>
        <v>0</v>
      </c>
      <c r="AU1072" s="77">
        <f t="shared" si="3694"/>
        <v>2.5000000000000001E-3</v>
      </c>
      <c r="AV1072" s="77">
        <f t="shared" ref="AV1072" si="3753">1-(1-AU1072)^(1/12)</f>
        <v>2.0857243058891584E-4</v>
      </c>
      <c r="AX1072" t="s">
        <v>178</v>
      </c>
      <c r="AY1072" t="s">
        <v>162</v>
      </c>
      <c r="AZ1072" s="197" t="str">
        <f t="shared" si="3490"/>
        <v>DIS_Standard_15</v>
      </c>
      <c r="BA1072">
        <v>15</v>
      </c>
      <c r="BB1072">
        <f>VLOOKUP($BA1072,'[2]Standard DIS'!$Q$1:$X$542,4,FALSE)</f>
        <v>0</v>
      </c>
      <c r="BF1072">
        <f>VLOOKUP($BA1072,'[2]Standard DIS'!$Q$1:$X$542,2,FALSE)</f>
        <v>3.4709525652366131E-2</v>
      </c>
      <c r="BH1072">
        <f>VLOOKUP($BA1072,'[2]Standard DIS'!$Q$1:$X$542,3,FALSE)</f>
        <v>0.96529047434763382</v>
      </c>
      <c r="BI1072" s="77">
        <f t="shared" si="3681"/>
        <v>1</v>
      </c>
      <c r="BJ1072" s="77">
        <f t="shared" si="3682"/>
        <v>5.1810768953035151E-2</v>
      </c>
      <c r="BK1072" s="77">
        <f t="shared" si="3491"/>
        <v>4.2183071758050694E-3</v>
      </c>
      <c r="BL1072" s="79">
        <v>0</v>
      </c>
      <c r="BM1072" s="77">
        <f t="shared" si="3696"/>
        <v>0</v>
      </c>
      <c r="BN1072" s="77">
        <f t="shared" si="3697"/>
        <v>0</v>
      </c>
      <c r="BO1072" s="77">
        <f t="shared" si="3698"/>
        <v>2.5000000000000001E-3</v>
      </c>
      <c r="BP1072" s="77">
        <f t="shared" si="3699"/>
        <v>2.0809499864316017E-4</v>
      </c>
    </row>
    <row r="1073" spans="1:68">
      <c r="A1073" t="s">
        <v>175</v>
      </c>
      <c r="B1073" t="s">
        <v>179</v>
      </c>
      <c r="C1073" s="197" t="str">
        <f t="shared" si="3740"/>
        <v>Lifecycle_Dynamic_14</v>
      </c>
      <c r="D1073">
        <v>14</v>
      </c>
      <c r="E1073">
        <f>VLOOKUP($D1073,'[2]LC Dynamic'!$Q$2:$U$542,2,FALSE)</f>
        <v>0.29666666666666663</v>
      </c>
      <c r="F1073">
        <f>VLOOKUP($D1073,'[2]LC Dynamic'!$Q$2:$U$542,3,FALSE)</f>
        <v>0.28883333333333333</v>
      </c>
      <c r="G1073">
        <f>VLOOKUP($D1073,'[2]LC Dynamic'!$Q$2:$U$542,4,FALSE)</f>
        <v>0.41449999999999998</v>
      </c>
      <c r="H1073">
        <f>VLOOKUP($D1073,'[2]LC Dynamic'!$Q$2:$U$542,5,FALSE)</f>
        <v>0</v>
      </c>
      <c r="I1073" s="77">
        <f t="shared" si="3672"/>
        <v>0.99999999999999989</v>
      </c>
      <c r="J1073" s="77">
        <f t="shared" si="3673"/>
        <v>5.2948899999999993E-2</v>
      </c>
      <c r="K1073" s="77">
        <f t="shared" si="3747"/>
        <v>4.3088150269479097E-3</v>
      </c>
      <c r="L1073" s="76">
        <v>0</v>
      </c>
      <c r="M1073" s="77">
        <f t="shared" si="3683"/>
        <v>0</v>
      </c>
      <c r="N1073" s="77">
        <f t="shared" si="3684"/>
        <v>0</v>
      </c>
      <c r="O1073" s="77">
        <f t="shared" si="3685"/>
        <v>5.4005166666666665E-3</v>
      </c>
      <c r="P1073" s="77">
        <f t="shared" si="3686"/>
        <v>4.5116087743102273E-4</v>
      </c>
      <c r="R1073" t="s">
        <v>177</v>
      </c>
      <c r="S1073" t="s">
        <v>179</v>
      </c>
      <c r="T1073" s="197" t="str">
        <f t="shared" si="3741"/>
        <v>Autopilot_Dynamic_14</v>
      </c>
      <c r="U1073">
        <v>14</v>
      </c>
      <c r="V1073">
        <f>VLOOKUP($U1073,'[2]AP Dynamic'!$Q$1:$T$542,2,FALSE)</f>
        <v>5.6879831932772969E-2</v>
      </c>
      <c r="W1073">
        <f>VLOOKUP($U1073,'[2]AP Dynamic'!$Q$1:$T$542,3,FALSE)</f>
        <v>0.94312016806722698</v>
      </c>
      <c r="X1073">
        <f>VLOOKUP($U1073,'[2]AP Dynamic'!$Q$1:$T$542,4,FALSE)</f>
        <v>0</v>
      </c>
      <c r="Y1073" s="77">
        <f t="shared" si="3742"/>
        <v>1</v>
      </c>
      <c r="Z1073" s="77">
        <f t="shared" si="3748"/>
        <v>5.2105079768907547E-2</v>
      </c>
      <c r="AA1073" s="77">
        <f t="shared" si="3749"/>
        <v>4.2417203236235768E-3</v>
      </c>
      <c r="AB1073" s="79">
        <v>1</v>
      </c>
      <c r="AC1073" s="77">
        <f t="shared" si="3687"/>
        <v>6.6137596638655453E-3</v>
      </c>
      <c r="AD1073" s="77">
        <f t="shared" ref="AD1073" si="3754">1-(1-AC1073)^(1/12)</f>
        <v>5.5282442672066612E-4</v>
      </c>
      <c r="AE1073" s="77">
        <f t="shared" si="3689"/>
        <v>2.5000000000000001E-3</v>
      </c>
      <c r="AF1073" s="77">
        <f t="shared" ref="AF1073" si="3755">1-(1-AE1073)^(1/12)</f>
        <v>2.0857243058891584E-4</v>
      </c>
      <c r="AH1073" t="s">
        <v>175</v>
      </c>
      <c r="AI1073" t="s">
        <v>179</v>
      </c>
      <c r="AJ1073" s="197" t="str">
        <f t="shared" si="3676"/>
        <v>Lifecycle_Dynamic_14</v>
      </c>
      <c r="AK1073">
        <v>14</v>
      </c>
      <c r="AL1073">
        <f>VLOOKUP($U1073,[2]Standard_Dynamic!$Q$1:$T$542,2,FALSE)</f>
        <v>3.2246158287876484E-2</v>
      </c>
      <c r="AM1073">
        <f>VLOOKUP($U1073,[2]Standard_Dynamic!$Q$1:$T$542,3,FALSE)</f>
        <v>0.96775384171212353</v>
      </c>
      <c r="AN1073">
        <f>VLOOKUP($U1073,[2]Standard_Dynamic!$Q$1:$T$542,4,FALSE)</f>
        <v>0</v>
      </c>
      <c r="AO1073" s="77">
        <f t="shared" si="3677"/>
        <v>1</v>
      </c>
      <c r="AP1073" s="77">
        <f t="shared" si="3691"/>
        <v>5.1778067751271556E-2</v>
      </c>
      <c r="AQ1073" s="77">
        <f t="shared" si="3678"/>
        <v>4.215705344245757E-3</v>
      </c>
      <c r="AR1073" s="79">
        <v>0</v>
      </c>
      <c r="AS1073" s="77">
        <f t="shared" si="3692"/>
        <v>0</v>
      </c>
      <c r="AT1073" s="77">
        <f t="shared" ref="AT1073" si="3756">1-(1-AS1073)^(1/12)</f>
        <v>0</v>
      </c>
      <c r="AU1073" s="77">
        <f t="shared" si="3694"/>
        <v>2.5000000000000005E-3</v>
      </c>
      <c r="AV1073" s="77">
        <f t="shared" ref="AV1073" si="3757">1-(1-AU1073)^(1/12)</f>
        <v>2.0857243058891584E-4</v>
      </c>
      <c r="AX1073" t="s">
        <v>178</v>
      </c>
      <c r="AY1073" t="s">
        <v>162</v>
      </c>
      <c r="AZ1073" s="197" t="str">
        <f t="shared" si="3490"/>
        <v>DIS_Standard_14</v>
      </c>
      <c r="BA1073">
        <v>14</v>
      </c>
      <c r="BB1073">
        <f>VLOOKUP($BA1073,'[2]Standard DIS'!$Q$1:$X$542,4,FALSE)</f>
        <v>0</v>
      </c>
      <c r="BF1073">
        <f>VLOOKUP($BA1073,'[2]Standard DIS'!$Q$1:$X$542,2,FALSE)</f>
        <v>3.2246158287876484E-2</v>
      </c>
      <c r="BH1073">
        <f>VLOOKUP($BA1073,'[2]Standard DIS'!$Q$1:$X$542,3,FALSE)</f>
        <v>0.96775384171212353</v>
      </c>
      <c r="BI1073" s="77">
        <f t="shared" si="3681"/>
        <v>1</v>
      </c>
      <c r="BJ1073" s="77">
        <f t="shared" si="3682"/>
        <v>5.1778067751271556E-2</v>
      </c>
      <c r="BK1073" s="77">
        <f t="shared" si="3491"/>
        <v>4.215705344245757E-3</v>
      </c>
      <c r="BL1073" s="79">
        <v>0</v>
      </c>
      <c r="BM1073" s="77">
        <f t="shared" si="3696"/>
        <v>0</v>
      </c>
      <c r="BN1073" s="77">
        <f t="shared" si="3697"/>
        <v>0</v>
      </c>
      <c r="BO1073" s="77">
        <f t="shared" si="3698"/>
        <v>2.5000000000000005E-3</v>
      </c>
      <c r="BP1073" s="77">
        <f t="shared" si="3699"/>
        <v>2.0809499864316017E-4</v>
      </c>
    </row>
    <row r="1074" spans="1:68">
      <c r="A1074" t="s">
        <v>175</v>
      </c>
      <c r="B1074" t="s">
        <v>179</v>
      </c>
      <c r="C1074" s="197" t="str">
        <f t="shared" si="3740"/>
        <v>Lifecycle_Dynamic_13</v>
      </c>
      <c r="D1074">
        <v>13</v>
      </c>
      <c r="E1074">
        <f>VLOOKUP($D1074,'[2]LC Dynamic'!$Q$2:$U$542,2,FALSE)</f>
        <v>0.29933333333333334</v>
      </c>
      <c r="F1074">
        <f>VLOOKUP($D1074,'[2]LC Dynamic'!$Q$2:$U$542,3,FALSE)</f>
        <v>0.28741666666666665</v>
      </c>
      <c r="G1074">
        <f>VLOOKUP($D1074,'[2]LC Dynamic'!$Q$2:$U$542,4,FALSE)</f>
        <v>0.41325000000000001</v>
      </c>
      <c r="H1074">
        <f>VLOOKUP($D1074,'[2]LC Dynamic'!$Q$2:$U$542,5,FALSE)</f>
        <v>0</v>
      </c>
      <c r="I1074" s="77">
        <f t="shared" si="3672"/>
        <v>1</v>
      </c>
      <c r="J1074" s="77">
        <f t="shared" si="3673"/>
        <v>5.2914974999999996E-2</v>
      </c>
      <c r="K1074" s="77">
        <f t="shared" si="3747"/>
        <v>4.3061184985209167E-3</v>
      </c>
      <c r="L1074" s="76">
        <v>0</v>
      </c>
      <c r="M1074" s="77">
        <f t="shared" si="3683"/>
        <v>0</v>
      </c>
      <c r="N1074" s="77">
        <f t="shared" si="3684"/>
        <v>0</v>
      </c>
      <c r="O1074" s="77">
        <f t="shared" si="3685"/>
        <v>5.3895583333333332E-3</v>
      </c>
      <c r="P1074" s="77">
        <f t="shared" si="3686"/>
        <v>4.5024314335539994E-4</v>
      </c>
      <c r="R1074" t="s">
        <v>177</v>
      </c>
      <c r="S1074" t="s">
        <v>179</v>
      </c>
      <c r="T1074" s="197" t="str">
        <f t="shared" si="3741"/>
        <v>Autopilot_Dynamic_13</v>
      </c>
      <c r="U1074">
        <v>13</v>
      </c>
      <c r="V1074">
        <f>VLOOKUP($U1074,'[2]AP Dynamic'!$Q$1:$T$542,2,FALSE)</f>
        <v>5.6879831932772969E-2</v>
      </c>
      <c r="W1074">
        <f>VLOOKUP($U1074,'[2]AP Dynamic'!$Q$1:$T$542,3,FALSE)</f>
        <v>0.94312016806722698</v>
      </c>
      <c r="X1074">
        <f>VLOOKUP($U1074,'[2]AP Dynamic'!$Q$1:$T$542,4,FALSE)</f>
        <v>0</v>
      </c>
      <c r="Y1074" s="77">
        <f t="shared" si="3742"/>
        <v>1</v>
      </c>
      <c r="Z1074" s="77">
        <f t="shared" si="3748"/>
        <v>5.2105079768907547E-2</v>
      </c>
      <c r="AA1074" s="77">
        <f t="shared" si="3749"/>
        <v>4.2417203236235768E-3</v>
      </c>
      <c r="AB1074" s="79">
        <v>1</v>
      </c>
      <c r="AC1074" s="77">
        <f t="shared" si="3687"/>
        <v>6.6137596638655453E-3</v>
      </c>
      <c r="AD1074" s="77">
        <f t="shared" ref="AD1074" si="3758">1-(1-AC1074)^(1/12)</f>
        <v>5.5282442672066612E-4</v>
      </c>
      <c r="AE1074" s="77">
        <f t="shared" si="3689"/>
        <v>2.5000000000000001E-3</v>
      </c>
      <c r="AF1074" s="77">
        <f t="shared" ref="AF1074" si="3759">1-(1-AE1074)^(1/12)</f>
        <v>2.0857243058891584E-4</v>
      </c>
      <c r="AH1074" t="s">
        <v>175</v>
      </c>
      <c r="AI1074" t="s">
        <v>179</v>
      </c>
      <c r="AJ1074" s="197" t="str">
        <f t="shared" si="3676"/>
        <v>Lifecycle_Dynamic_13</v>
      </c>
      <c r="AK1074">
        <v>13</v>
      </c>
      <c r="AL1074">
        <f>VLOOKUP($U1074,[2]Standard_Dynamic!$Q$1:$T$542,2,FALSE)</f>
        <v>2.9782790923386832E-2</v>
      </c>
      <c r="AM1074">
        <f>VLOOKUP($U1074,[2]Standard_Dynamic!$Q$1:$T$542,3,FALSE)</f>
        <v>0.97021720907661324</v>
      </c>
      <c r="AN1074">
        <f>VLOOKUP($U1074,[2]Standard_Dynamic!$Q$1:$T$542,4,FALSE)</f>
        <v>0</v>
      </c>
      <c r="AO1074" s="77">
        <f t="shared" si="3677"/>
        <v>1</v>
      </c>
      <c r="AP1074" s="77">
        <f t="shared" si="3691"/>
        <v>5.1745366549507961E-2</v>
      </c>
      <c r="AQ1074" s="77">
        <f t="shared" si="3678"/>
        <v>4.2131034385322064E-3</v>
      </c>
      <c r="AR1074" s="79">
        <v>0</v>
      </c>
      <c r="AS1074" s="77">
        <f t="shared" si="3692"/>
        <v>0</v>
      </c>
      <c r="AT1074" s="77">
        <f t="shared" ref="AT1074" si="3760">1-(1-AS1074)^(1/12)</f>
        <v>0</v>
      </c>
      <c r="AU1074" s="77">
        <f t="shared" si="3694"/>
        <v>2.5000000000000001E-3</v>
      </c>
      <c r="AV1074" s="77">
        <f t="shared" ref="AV1074" si="3761">1-(1-AU1074)^(1/12)</f>
        <v>2.0857243058891584E-4</v>
      </c>
      <c r="AX1074" t="s">
        <v>178</v>
      </c>
      <c r="AY1074" t="s">
        <v>162</v>
      </c>
      <c r="AZ1074" s="197" t="str">
        <f t="shared" si="3490"/>
        <v>DIS_Standard_13</v>
      </c>
      <c r="BA1074">
        <v>13</v>
      </c>
      <c r="BB1074">
        <f>VLOOKUP($BA1074,'[2]Standard DIS'!$Q$1:$X$542,4,FALSE)</f>
        <v>0</v>
      </c>
      <c r="BF1074">
        <f>VLOOKUP($BA1074,'[2]Standard DIS'!$Q$1:$X$542,2,FALSE)</f>
        <v>2.9782790923386832E-2</v>
      </c>
      <c r="BH1074">
        <f>VLOOKUP($BA1074,'[2]Standard DIS'!$Q$1:$X$542,3,FALSE)</f>
        <v>0.97021720907661324</v>
      </c>
      <c r="BI1074" s="77">
        <f t="shared" si="3681"/>
        <v>1</v>
      </c>
      <c r="BJ1074" s="77">
        <f t="shared" si="3682"/>
        <v>5.1745366549507961E-2</v>
      </c>
      <c r="BK1074" s="77">
        <f t="shared" si="3491"/>
        <v>4.2131034385322064E-3</v>
      </c>
      <c r="BL1074" s="79">
        <v>0</v>
      </c>
      <c r="BM1074" s="77">
        <f t="shared" si="3696"/>
        <v>0</v>
      </c>
      <c r="BN1074" s="77">
        <f t="shared" si="3697"/>
        <v>0</v>
      </c>
      <c r="BO1074" s="77">
        <f t="shared" si="3698"/>
        <v>2.5000000000000001E-3</v>
      </c>
      <c r="BP1074" s="77">
        <f t="shared" si="3699"/>
        <v>2.0809499864316017E-4</v>
      </c>
    </row>
    <row r="1075" spans="1:68">
      <c r="A1075" t="s">
        <v>175</v>
      </c>
      <c r="B1075" t="s">
        <v>179</v>
      </c>
      <c r="C1075" s="197" t="str">
        <f t="shared" si="3740"/>
        <v>Lifecycle_Dynamic_12</v>
      </c>
      <c r="D1075">
        <v>12</v>
      </c>
      <c r="E1075">
        <f>VLOOKUP($D1075,'[2]LC Dynamic'!$Q$2:$U$542,2,FALSE)</f>
        <v>0.30199999999999999</v>
      </c>
      <c r="F1075">
        <f>VLOOKUP($D1075,'[2]LC Dynamic'!$Q$2:$U$542,3,FALSE)</f>
        <v>0.28599999999999998</v>
      </c>
      <c r="G1075">
        <f>VLOOKUP($D1075,'[2]LC Dynamic'!$Q$2:$U$542,4,FALSE)</f>
        <v>0.41199999999999998</v>
      </c>
      <c r="H1075">
        <f>VLOOKUP($D1075,'[2]LC Dynamic'!$Q$2:$U$542,5,FALSE)</f>
        <v>0</v>
      </c>
      <c r="I1075" s="77">
        <f t="shared" si="3672"/>
        <v>1</v>
      </c>
      <c r="J1075" s="77">
        <f t="shared" si="3673"/>
        <v>5.2881049999999999E-2</v>
      </c>
      <c r="K1075" s="77">
        <f t="shared" si="3747"/>
        <v>4.3034218904507426E-3</v>
      </c>
      <c r="L1075" s="76">
        <v>0</v>
      </c>
      <c r="M1075" s="77">
        <f t="shared" si="3683"/>
        <v>0</v>
      </c>
      <c r="N1075" s="77">
        <f t="shared" si="3684"/>
        <v>0</v>
      </c>
      <c r="O1075" s="77">
        <f t="shared" si="3685"/>
        <v>5.378599999999999E-3</v>
      </c>
      <c r="P1075" s="77">
        <f t="shared" si="3686"/>
        <v>4.4932541854836305E-4</v>
      </c>
      <c r="R1075" t="s">
        <v>177</v>
      </c>
      <c r="S1075" t="s">
        <v>179</v>
      </c>
      <c r="T1075" s="197" t="str">
        <f t="shared" si="3741"/>
        <v>Autopilot_Dynamic_12</v>
      </c>
      <c r="U1075">
        <v>12</v>
      </c>
      <c r="V1075">
        <f>VLOOKUP($U1075,'[2]AP Dynamic'!$Q$1:$T$542,2,FALSE)</f>
        <v>2.7319423558897184E-2</v>
      </c>
      <c r="W1075">
        <f>VLOOKUP($U1075,'[2]AP Dynamic'!$Q$1:$T$542,3,FALSE)</f>
        <v>0.97268057644110284</v>
      </c>
      <c r="X1075">
        <f>VLOOKUP($U1075,'[2]AP Dynamic'!$Q$1:$T$542,4,FALSE)</f>
        <v>0</v>
      </c>
      <c r="Y1075" s="77">
        <f t="shared" si="3742"/>
        <v>1</v>
      </c>
      <c r="Z1075" s="77">
        <f t="shared" si="3748"/>
        <v>5.1712665347744352E-2</v>
      </c>
      <c r="AA1075" s="77">
        <f t="shared" si="3749"/>
        <v>4.2105014586597544E-3</v>
      </c>
      <c r="AB1075" s="79">
        <v>1</v>
      </c>
      <c r="AC1075" s="77">
        <f t="shared" si="3687"/>
        <v>6.554638847117795E-3</v>
      </c>
      <c r="AD1075" s="77">
        <f t="shared" ref="AD1075" si="3762">1-(1-AC1075)^(1/12)</f>
        <v>5.4786776776927226E-4</v>
      </c>
      <c r="AE1075" s="77">
        <f t="shared" si="3689"/>
        <v>2.5000000000000001E-3</v>
      </c>
      <c r="AF1075" s="77">
        <f t="shared" ref="AF1075" si="3763">1-(1-AE1075)^(1/12)</f>
        <v>2.0857243058891584E-4</v>
      </c>
      <c r="AH1075" t="s">
        <v>175</v>
      </c>
      <c r="AI1075" t="s">
        <v>179</v>
      </c>
      <c r="AJ1075" s="197" t="str">
        <f t="shared" si="3676"/>
        <v>Lifecycle_Dynamic_12</v>
      </c>
      <c r="AK1075">
        <v>12</v>
      </c>
      <c r="AL1075">
        <f>VLOOKUP($U1075,[2]Standard_Dynamic!$Q$1:$T$542,2,FALSE)</f>
        <v>2.7319423558897184E-2</v>
      </c>
      <c r="AM1075">
        <f>VLOOKUP($U1075,[2]Standard_Dynamic!$Q$1:$T$542,3,FALSE)</f>
        <v>0.97268057644110284</v>
      </c>
      <c r="AN1075">
        <f>VLOOKUP($U1075,[2]Standard_Dynamic!$Q$1:$T$542,4,FALSE)</f>
        <v>0</v>
      </c>
      <c r="AO1075" s="77">
        <f t="shared" si="3677"/>
        <v>1</v>
      </c>
      <c r="AP1075" s="77">
        <f t="shared" si="3691"/>
        <v>5.1712665347744352E-2</v>
      </c>
      <c r="AQ1075" s="77">
        <f t="shared" si="3678"/>
        <v>4.2105014586597544E-3</v>
      </c>
      <c r="AR1075" s="79">
        <v>0</v>
      </c>
      <c r="AS1075" s="77">
        <f t="shared" si="3692"/>
        <v>0</v>
      </c>
      <c r="AT1075" s="77">
        <f t="shared" ref="AT1075" si="3764">1-(1-AS1075)^(1/12)</f>
        <v>0</v>
      </c>
      <c r="AU1075" s="77">
        <f t="shared" si="3694"/>
        <v>2.5000000000000001E-3</v>
      </c>
      <c r="AV1075" s="77">
        <f t="shared" ref="AV1075" si="3765">1-(1-AU1075)^(1/12)</f>
        <v>2.0857243058891584E-4</v>
      </c>
      <c r="AX1075" t="s">
        <v>178</v>
      </c>
      <c r="AY1075" t="s">
        <v>162</v>
      </c>
      <c r="AZ1075" s="197" t="str">
        <f t="shared" si="3490"/>
        <v>DIS_Standard_12</v>
      </c>
      <c r="BA1075">
        <v>12</v>
      </c>
      <c r="BB1075">
        <f>VLOOKUP($BA1075,'[2]Standard DIS'!$Q$1:$X$542,4,FALSE)</f>
        <v>0</v>
      </c>
      <c r="BF1075">
        <f>VLOOKUP($BA1075,'[2]Standard DIS'!$Q$1:$X$542,2,FALSE)</f>
        <v>2.7319423558897184E-2</v>
      </c>
      <c r="BH1075">
        <f>VLOOKUP($BA1075,'[2]Standard DIS'!$Q$1:$X$542,3,FALSE)</f>
        <v>0.97268057644110284</v>
      </c>
      <c r="BI1075" s="77">
        <f t="shared" si="3681"/>
        <v>1</v>
      </c>
      <c r="BJ1075" s="77">
        <f t="shared" si="3682"/>
        <v>5.1712665347744352E-2</v>
      </c>
      <c r="BK1075" s="77">
        <f t="shared" si="3491"/>
        <v>4.2105014586597544E-3</v>
      </c>
      <c r="BL1075" s="79">
        <v>0</v>
      </c>
      <c r="BM1075" s="77">
        <f t="shared" si="3696"/>
        <v>0</v>
      </c>
      <c r="BN1075" s="77">
        <f t="shared" si="3697"/>
        <v>0</v>
      </c>
      <c r="BO1075" s="77">
        <f t="shared" si="3698"/>
        <v>2.5000000000000001E-3</v>
      </c>
      <c r="BP1075" s="77">
        <f t="shared" si="3699"/>
        <v>2.0809499864316017E-4</v>
      </c>
    </row>
    <row r="1076" spans="1:68">
      <c r="A1076" t="s">
        <v>175</v>
      </c>
      <c r="B1076" t="s">
        <v>179</v>
      </c>
      <c r="C1076" s="197" t="str">
        <f t="shared" si="3740"/>
        <v>Lifecycle_Dynamic_11</v>
      </c>
      <c r="D1076">
        <v>11</v>
      </c>
      <c r="E1076">
        <f>VLOOKUP($D1076,'[2]LC Dynamic'!$Q$2:$U$542,2,FALSE)</f>
        <v>0.30441666666666667</v>
      </c>
      <c r="F1076">
        <f>VLOOKUP($D1076,'[2]LC Dynamic'!$Q$2:$U$542,3,FALSE)</f>
        <v>0.28475</v>
      </c>
      <c r="G1076">
        <f>VLOOKUP($D1076,'[2]LC Dynamic'!$Q$2:$U$542,4,FALSE)</f>
        <v>0.41083333333333333</v>
      </c>
      <c r="H1076">
        <f>VLOOKUP($D1076,'[2]LC Dynamic'!$Q$2:$U$542,5,FALSE)</f>
        <v>0</v>
      </c>
      <c r="I1076" s="77">
        <f t="shared" si="3672"/>
        <v>1</v>
      </c>
      <c r="J1076" s="77">
        <f t="shared" si="3673"/>
        <v>5.2849706249999996E-2</v>
      </c>
      <c r="K1076" s="77">
        <f t="shared" si="3747"/>
        <v>4.300930388293045E-3</v>
      </c>
      <c r="L1076" s="76">
        <v>0</v>
      </c>
      <c r="M1076" s="77">
        <f t="shared" si="3683"/>
        <v>0</v>
      </c>
      <c r="N1076" s="77">
        <f t="shared" si="3684"/>
        <v>0</v>
      </c>
      <c r="O1076" s="77">
        <f t="shared" si="3685"/>
        <v>5.3686250000000001E-3</v>
      </c>
      <c r="P1076" s="77">
        <f t="shared" si="3686"/>
        <v>4.4849005277092235E-4</v>
      </c>
      <c r="R1076" t="s">
        <v>177</v>
      </c>
      <c r="S1076" t="s">
        <v>179</v>
      </c>
      <c r="T1076" s="197" t="str">
        <f t="shared" si="3741"/>
        <v>Autopilot_Dynamic_11</v>
      </c>
      <c r="U1076">
        <v>11</v>
      </c>
      <c r="V1076">
        <f>VLOOKUP($U1076,'[2]AP Dynamic'!$Q$1:$T$542,2,FALSE)</f>
        <v>2.7319423558897184E-2</v>
      </c>
      <c r="W1076">
        <f>VLOOKUP($U1076,'[2]AP Dynamic'!$Q$1:$T$542,3,FALSE)</f>
        <v>0.97268057644110284</v>
      </c>
      <c r="X1076">
        <f>VLOOKUP($U1076,'[2]AP Dynamic'!$Q$1:$T$542,4,FALSE)</f>
        <v>0</v>
      </c>
      <c r="Y1076" s="77">
        <f t="shared" si="3742"/>
        <v>1</v>
      </c>
      <c r="Z1076" s="77">
        <f t="shared" si="3748"/>
        <v>5.1712665347744352E-2</v>
      </c>
      <c r="AA1076" s="77">
        <f t="shared" si="3749"/>
        <v>4.2105014586597544E-3</v>
      </c>
      <c r="AB1076" s="79">
        <v>1</v>
      </c>
      <c r="AC1076" s="77">
        <f t="shared" si="3687"/>
        <v>6.554638847117795E-3</v>
      </c>
      <c r="AD1076" s="77">
        <f t="shared" ref="AD1076" si="3766">1-(1-AC1076)^(1/12)</f>
        <v>5.4786776776927226E-4</v>
      </c>
      <c r="AE1076" s="77">
        <f t="shared" si="3689"/>
        <v>2.5000000000000001E-3</v>
      </c>
      <c r="AF1076" s="77">
        <f t="shared" ref="AF1076" si="3767">1-(1-AE1076)^(1/12)</f>
        <v>2.0857243058891584E-4</v>
      </c>
      <c r="AH1076" t="s">
        <v>175</v>
      </c>
      <c r="AI1076" t="s">
        <v>179</v>
      </c>
      <c r="AJ1076" s="197" t="str">
        <f t="shared" si="3676"/>
        <v>Lifecycle_Dynamic_11</v>
      </c>
      <c r="AK1076">
        <v>11</v>
      </c>
      <c r="AL1076">
        <f>VLOOKUP($U1076,[2]Standard_Dynamic!$Q$1:$T$542,2,FALSE)</f>
        <v>2.5042804928989085E-2</v>
      </c>
      <c r="AM1076">
        <f>VLOOKUP($U1076,[2]Standard_Dynamic!$Q$1:$T$542,3,FALSE)</f>
        <v>0.97495719507101097</v>
      </c>
      <c r="AN1076">
        <f>VLOOKUP($U1076,[2]Standard_Dynamic!$Q$1:$T$542,4,FALSE)</f>
        <v>0</v>
      </c>
      <c r="AO1076" s="77">
        <f t="shared" si="3677"/>
        <v>1</v>
      </c>
      <c r="AP1076" s="77">
        <f t="shared" si="3691"/>
        <v>5.1682443235432328E-2</v>
      </c>
      <c r="AQ1076" s="77">
        <f t="shared" si="3678"/>
        <v>4.2080966698416766E-3</v>
      </c>
      <c r="AR1076" s="79">
        <v>0</v>
      </c>
      <c r="AS1076" s="77">
        <f t="shared" si="3692"/>
        <v>0</v>
      </c>
      <c r="AT1076" s="77">
        <f t="shared" ref="AT1076" si="3768">1-(1-AS1076)^(1/12)</f>
        <v>0</v>
      </c>
      <c r="AU1076" s="77">
        <f t="shared" si="3694"/>
        <v>2.5000000000000001E-3</v>
      </c>
      <c r="AV1076" s="77">
        <f t="shared" ref="AV1076" si="3769">1-(1-AU1076)^(1/12)</f>
        <v>2.0857243058891584E-4</v>
      </c>
      <c r="AX1076" t="s">
        <v>178</v>
      </c>
      <c r="AY1076" t="s">
        <v>162</v>
      </c>
      <c r="AZ1076" s="197" t="str">
        <f t="shared" si="3490"/>
        <v>DIS_Standard_11</v>
      </c>
      <c r="BA1076">
        <v>11</v>
      </c>
      <c r="BB1076">
        <f>VLOOKUP($BA1076,'[2]Standard DIS'!$Q$1:$X$542,4,FALSE)</f>
        <v>0</v>
      </c>
      <c r="BF1076">
        <f>VLOOKUP($BA1076,'[2]Standard DIS'!$Q$1:$X$542,2,FALSE)</f>
        <v>2.5042804928989085E-2</v>
      </c>
      <c r="BH1076">
        <f>VLOOKUP($BA1076,'[2]Standard DIS'!$Q$1:$X$542,3,FALSE)</f>
        <v>0.97495719507101097</v>
      </c>
      <c r="BI1076" s="77">
        <f t="shared" si="3681"/>
        <v>1</v>
      </c>
      <c r="BJ1076" s="77">
        <f t="shared" si="3682"/>
        <v>5.1682443235432328E-2</v>
      </c>
      <c r="BK1076" s="77">
        <f t="shared" si="3491"/>
        <v>4.2080966698416766E-3</v>
      </c>
      <c r="BL1076" s="79">
        <v>0</v>
      </c>
      <c r="BM1076" s="77">
        <f t="shared" si="3696"/>
        <v>0</v>
      </c>
      <c r="BN1076" s="77">
        <f t="shared" si="3697"/>
        <v>0</v>
      </c>
      <c r="BO1076" s="77">
        <f t="shared" si="3698"/>
        <v>2.5000000000000001E-3</v>
      </c>
      <c r="BP1076" s="77">
        <f t="shared" si="3699"/>
        <v>2.0809499864316017E-4</v>
      </c>
    </row>
    <row r="1077" spans="1:68">
      <c r="A1077" t="s">
        <v>175</v>
      </c>
      <c r="B1077" t="s">
        <v>179</v>
      </c>
      <c r="C1077" s="197" t="str">
        <f t="shared" si="3740"/>
        <v>Lifecycle_Dynamic_10</v>
      </c>
      <c r="D1077">
        <v>10</v>
      </c>
      <c r="E1077">
        <f>VLOOKUP($D1077,'[2]LC Dynamic'!$Q$2:$U$542,2,FALSE)</f>
        <v>0.30683333333333335</v>
      </c>
      <c r="F1077">
        <f>VLOOKUP($D1077,'[2]LC Dynamic'!$Q$2:$U$542,3,FALSE)</f>
        <v>0.28349999999999997</v>
      </c>
      <c r="G1077">
        <f>VLOOKUP($D1077,'[2]LC Dynamic'!$Q$2:$U$542,4,FALSE)</f>
        <v>0.40966666666666662</v>
      </c>
      <c r="H1077">
        <f>VLOOKUP($D1077,'[2]LC Dynamic'!$Q$2:$U$542,5,FALSE)</f>
        <v>0</v>
      </c>
      <c r="I1077" s="77">
        <f t="shared" si="3672"/>
        <v>1</v>
      </c>
      <c r="J1077" s="77">
        <f t="shared" si="3673"/>
        <v>5.2818362499999993E-2</v>
      </c>
      <c r="K1077" s="77">
        <f t="shared" si="3747"/>
        <v>4.2984388181426247E-3</v>
      </c>
      <c r="L1077" s="76">
        <v>0</v>
      </c>
      <c r="M1077" s="77">
        <f t="shared" si="3683"/>
        <v>0</v>
      </c>
      <c r="N1077" s="77">
        <f t="shared" si="3684"/>
        <v>0</v>
      </c>
      <c r="O1077" s="77">
        <f t="shared" si="3685"/>
        <v>5.3586499999999995E-3</v>
      </c>
      <c r="P1077" s="77">
        <f t="shared" si="3686"/>
        <v>4.4765469467311636E-4</v>
      </c>
      <c r="R1077" t="s">
        <v>177</v>
      </c>
      <c r="S1077" t="s">
        <v>179</v>
      </c>
      <c r="T1077" s="197" t="str">
        <f t="shared" si="3741"/>
        <v>Autopilot_Dynamic_10</v>
      </c>
      <c r="U1077">
        <v>10</v>
      </c>
      <c r="V1077">
        <f>VLOOKUP($U1077,'[2]AP Dynamic'!$Q$1:$T$542,2,FALSE)</f>
        <v>2.7319423558897184E-2</v>
      </c>
      <c r="W1077">
        <f>VLOOKUP($U1077,'[2]AP Dynamic'!$Q$1:$T$542,3,FALSE)</f>
        <v>0.97268057644110284</v>
      </c>
      <c r="X1077">
        <f>VLOOKUP($U1077,'[2]AP Dynamic'!$Q$1:$T$542,4,FALSE)</f>
        <v>0</v>
      </c>
      <c r="Y1077" s="77">
        <f t="shared" si="3742"/>
        <v>1</v>
      </c>
      <c r="Z1077" s="77">
        <f t="shared" si="3748"/>
        <v>5.1712665347744352E-2</v>
      </c>
      <c r="AA1077" s="77">
        <f t="shared" si="3749"/>
        <v>4.2105014586597544E-3</v>
      </c>
      <c r="AB1077" s="79">
        <v>1</v>
      </c>
      <c r="AC1077" s="77">
        <f t="shared" si="3687"/>
        <v>6.554638847117795E-3</v>
      </c>
      <c r="AD1077" s="77">
        <f t="shared" ref="AD1077" si="3770">1-(1-AC1077)^(1/12)</f>
        <v>5.4786776776927226E-4</v>
      </c>
      <c r="AE1077" s="77">
        <f t="shared" si="3689"/>
        <v>2.5000000000000001E-3</v>
      </c>
      <c r="AF1077" s="77">
        <f t="shared" ref="AF1077" si="3771">1-(1-AE1077)^(1/12)</f>
        <v>2.0857243058891584E-4</v>
      </c>
      <c r="AH1077" t="s">
        <v>175</v>
      </c>
      <c r="AI1077" t="s">
        <v>179</v>
      </c>
      <c r="AJ1077" s="197" t="str">
        <f t="shared" si="3676"/>
        <v>Lifecycle_Dynamic_10</v>
      </c>
      <c r="AK1077">
        <v>10</v>
      </c>
      <c r="AL1077">
        <f>VLOOKUP($U1077,[2]Standard_Dynamic!$Q$1:$T$542,2,FALSE)</f>
        <v>2.2766186299080986E-2</v>
      </c>
      <c r="AM1077">
        <f>VLOOKUP($U1077,[2]Standard_Dynamic!$Q$1:$T$542,3,FALSE)</f>
        <v>0.977233813700919</v>
      </c>
      <c r="AN1077">
        <f>VLOOKUP($U1077,[2]Standard_Dynamic!$Q$1:$T$542,4,FALSE)</f>
        <v>0</v>
      </c>
      <c r="AO1077" s="77">
        <f t="shared" si="3677"/>
        <v>1</v>
      </c>
      <c r="AP1077" s="77">
        <f t="shared" si="3691"/>
        <v>5.1652221123120297E-2</v>
      </c>
      <c r="AQ1077" s="77">
        <f t="shared" si="3678"/>
        <v>4.2056918176753832E-3</v>
      </c>
      <c r="AR1077" s="79">
        <v>0</v>
      </c>
      <c r="AS1077" s="77">
        <f t="shared" si="3692"/>
        <v>0</v>
      </c>
      <c r="AT1077" s="77">
        <f t="shared" ref="AT1077" si="3772">1-(1-AS1077)^(1/12)</f>
        <v>0</v>
      </c>
      <c r="AU1077" s="77">
        <f t="shared" si="3694"/>
        <v>2.5000000000000001E-3</v>
      </c>
      <c r="AV1077" s="77">
        <f t="shared" ref="AV1077" si="3773">1-(1-AU1077)^(1/12)</f>
        <v>2.0857243058891584E-4</v>
      </c>
      <c r="AX1077" t="s">
        <v>178</v>
      </c>
      <c r="AY1077" t="s">
        <v>162</v>
      </c>
      <c r="AZ1077" s="197" t="str">
        <f t="shared" ref="AZ1077:AZ1087" si="3774">AX1077&amp;"_"&amp;AY1077&amp;"_"&amp;BA1077</f>
        <v>DIS_Standard_10</v>
      </c>
      <c r="BA1077">
        <v>10</v>
      </c>
      <c r="BB1077">
        <f>VLOOKUP($BA1077,'[2]Standard DIS'!$Q$1:$X$542,4,FALSE)</f>
        <v>0</v>
      </c>
      <c r="BF1077">
        <f>VLOOKUP($BA1077,'[2]Standard DIS'!$Q$1:$X$542,2,FALSE)</f>
        <v>2.2766186299080986E-2</v>
      </c>
      <c r="BH1077">
        <f>VLOOKUP($BA1077,'[2]Standard DIS'!$Q$1:$X$542,3,FALSE)</f>
        <v>0.977233813700919</v>
      </c>
      <c r="BI1077" s="77">
        <f t="shared" si="3681"/>
        <v>1</v>
      </c>
      <c r="BJ1077" s="77">
        <f t="shared" si="3682"/>
        <v>5.1652221123120297E-2</v>
      </c>
      <c r="BK1077" s="77">
        <f t="shared" ref="BK1077:BK1087" si="3775">(1+BJ1077)^(1/12)-1</f>
        <v>4.2056918176753832E-3</v>
      </c>
      <c r="BL1077" s="79">
        <v>0</v>
      </c>
      <c r="BM1077" s="77">
        <f t="shared" si="3696"/>
        <v>0</v>
      </c>
      <c r="BN1077" s="77">
        <f t="shared" si="3697"/>
        <v>0</v>
      </c>
      <c r="BO1077" s="77">
        <f t="shared" si="3698"/>
        <v>2.5000000000000001E-3</v>
      </c>
      <c r="BP1077" s="77">
        <f t="shared" si="3699"/>
        <v>2.0809499864316017E-4</v>
      </c>
    </row>
    <row r="1078" spans="1:68">
      <c r="A1078" t="s">
        <v>175</v>
      </c>
      <c r="B1078" t="s">
        <v>179</v>
      </c>
      <c r="C1078" s="197" t="str">
        <f t="shared" si="3740"/>
        <v>Lifecycle_Dynamic_9</v>
      </c>
      <c r="D1078">
        <v>9</v>
      </c>
      <c r="E1078">
        <f>VLOOKUP($D1078,'[2]LC Dynamic'!$Q$2:$U$542,2,FALSE)</f>
        <v>0.30925000000000002</v>
      </c>
      <c r="F1078">
        <f>VLOOKUP($D1078,'[2]LC Dynamic'!$Q$2:$U$542,3,FALSE)</f>
        <v>0.28225</v>
      </c>
      <c r="G1078">
        <f>VLOOKUP($D1078,'[2]LC Dynamic'!$Q$2:$U$542,4,FALSE)</f>
        <v>0.40849999999999997</v>
      </c>
      <c r="H1078">
        <f>VLOOKUP($D1078,'[2]LC Dynamic'!$Q$2:$U$542,5,FALSE)</f>
        <v>0</v>
      </c>
      <c r="I1078" s="77">
        <f t="shared" si="3672"/>
        <v>1</v>
      </c>
      <c r="J1078" s="77">
        <f t="shared" si="3673"/>
        <v>5.2787018749999998E-2</v>
      </c>
      <c r="K1078" s="77">
        <f t="shared" si="3747"/>
        <v>4.2959471799952631E-3</v>
      </c>
      <c r="L1078" s="76">
        <v>0</v>
      </c>
      <c r="M1078" s="77">
        <f t="shared" si="3683"/>
        <v>0</v>
      </c>
      <c r="N1078" s="77">
        <f t="shared" si="3684"/>
        <v>0</v>
      </c>
      <c r="O1078" s="77">
        <f t="shared" si="3685"/>
        <v>5.3486749999999998E-3</v>
      </c>
      <c r="P1078" s="77">
        <f t="shared" si="3686"/>
        <v>4.4681934425461201E-4</v>
      </c>
      <c r="R1078" t="s">
        <v>177</v>
      </c>
      <c r="S1078" t="s">
        <v>179</v>
      </c>
      <c r="T1078" s="197" t="str">
        <f t="shared" si="3741"/>
        <v>Autopilot_Dynamic_9</v>
      </c>
      <c r="U1078">
        <v>9</v>
      </c>
      <c r="V1078">
        <f>VLOOKUP($U1078,'[2]AP Dynamic'!$Q$1:$T$542,2,FALSE)</f>
        <v>2.7319423558897184E-2</v>
      </c>
      <c r="W1078">
        <f>VLOOKUP($U1078,'[2]AP Dynamic'!$Q$1:$T$542,3,FALSE)</f>
        <v>0.97268057644110284</v>
      </c>
      <c r="X1078">
        <f>VLOOKUP($U1078,'[2]AP Dynamic'!$Q$1:$T$542,4,FALSE)</f>
        <v>0</v>
      </c>
      <c r="Y1078" s="77">
        <f t="shared" si="3742"/>
        <v>1</v>
      </c>
      <c r="Z1078" s="77">
        <f t="shared" si="3748"/>
        <v>5.1712665347744352E-2</v>
      </c>
      <c r="AA1078" s="77">
        <f t="shared" si="3749"/>
        <v>4.2105014586597544E-3</v>
      </c>
      <c r="AB1078" s="79">
        <v>1</v>
      </c>
      <c r="AC1078" s="77">
        <f t="shared" si="3687"/>
        <v>6.554638847117795E-3</v>
      </c>
      <c r="AD1078" s="77">
        <f t="shared" ref="AD1078" si="3776">1-(1-AC1078)^(1/12)</f>
        <v>5.4786776776927226E-4</v>
      </c>
      <c r="AE1078" s="77">
        <f t="shared" si="3689"/>
        <v>2.5000000000000001E-3</v>
      </c>
      <c r="AF1078" s="77">
        <f t="shared" ref="AF1078" si="3777">1-(1-AE1078)^(1/12)</f>
        <v>2.0857243058891584E-4</v>
      </c>
      <c r="AH1078" t="s">
        <v>175</v>
      </c>
      <c r="AI1078" t="s">
        <v>179</v>
      </c>
      <c r="AJ1078" s="197" t="str">
        <f t="shared" si="3676"/>
        <v>Lifecycle_Dynamic_9</v>
      </c>
      <c r="AK1078">
        <v>9</v>
      </c>
      <c r="AL1078">
        <f>VLOOKUP($U1078,[2]Standard_Dynamic!$Q$1:$T$542,2,FALSE)</f>
        <v>2.0489567669172887E-2</v>
      </c>
      <c r="AM1078">
        <f>VLOOKUP($U1078,[2]Standard_Dynamic!$Q$1:$T$542,3,FALSE)</f>
        <v>0.97951043233082713</v>
      </c>
      <c r="AN1078">
        <f>VLOOKUP($U1078,[2]Standard_Dynamic!$Q$1:$T$542,4,FALSE)</f>
        <v>0</v>
      </c>
      <c r="AO1078" s="77">
        <f t="shared" si="3677"/>
        <v>1</v>
      </c>
      <c r="AP1078" s="77">
        <f t="shared" si="3691"/>
        <v>5.1621999010808259E-2</v>
      </c>
      <c r="AQ1078" s="77">
        <f t="shared" si="3678"/>
        <v>4.2032869021573216E-3</v>
      </c>
      <c r="AR1078" s="79">
        <v>0</v>
      </c>
      <c r="AS1078" s="77">
        <f t="shared" si="3692"/>
        <v>0</v>
      </c>
      <c r="AT1078" s="77">
        <f t="shared" ref="AT1078" si="3778">1-(1-AS1078)^(1/12)</f>
        <v>0</v>
      </c>
      <c r="AU1078" s="77">
        <f t="shared" si="3694"/>
        <v>2.5000000000000001E-3</v>
      </c>
      <c r="AV1078" s="77">
        <f t="shared" ref="AV1078" si="3779">1-(1-AU1078)^(1/12)</f>
        <v>2.0857243058891584E-4</v>
      </c>
      <c r="AX1078" t="s">
        <v>178</v>
      </c>
      <c r="AY1078" t="s">
        <v>162</v>
      </c>
      <c r="AZ1078" s="197" t="str">
        <f t="shared" si="3774"/>
        <v>DIS_Standard_9</v>
      </c>
      <c r="BA1078">
        <v>9</v>
      </c>
      <c r="BB1078">
        <f>VLOOKUP($BA1078,'[2]Standard DIS'!$Q$1:$X$542,4,FALSE)</f>
        <v>0</v>
      </c>
      <c r="BF1078">
        <f>VLOOKUP($BA1078,'[2]Standard DIS'!$Q$1:$X$542,2,FALSE)</f>
        <v>2.0489567669172887E-2</v>
      </c>
      <c r="BH1078">
        <f>VLOOKUP($BA1078,'[2]Standard DIS'!$Q$1:$X$542,3,FALSE)</f>
        <v>0.97951043233082713</v>
      </c>
      <c r="BI1078" s="77">
        <f t="shared" si="3681"/>
        <v>1</v>
      </c>
      <c r="BJ1078" s="77">
        <f t="shared" si="3682"/>
        <v>5.1621999010808259E-2</v>
      </c>
      <c r="BK1078" s="77">
        <f t="shared" si="3775"/>
        <v>4.2032869021573216E-3</v>
      </c>
      <c r="BL1078" s="79">
        <v>0</v>
      </c>
      <c r="BM1078" s="77">
        <f t="shared" si="3696"/>
        <v>0</v>
      </c>
      <c r="BN1078" s="77">
        <f t="shared" si="3697"/>
        <v>0</v>
      </c>
      <c r="BO1078" s="77">
        <f t="shared" si="3698"/>
        <v>2.5000000000000001E-3</v>
      </c>
      <c r="BP1078" s="77">
        <f t="shared" si="3699"/>
        <v>2.0809499864316017E-4</v>
      </c>
    </row>
    <row r="1079" spans="1:68">
      <c r="A1079" t="s">
        <v>175</v>
      </c>
      <c r="B1079" t="s">
        <v>179</v>
      </c>
      <c r="C1079" s="197" t="str">
        <f t="shared" si="3740"/>
        <v>Lifecycle_Dynamic_8</v>
      </c>
      <c r="D1079">
        <v>8</v>
      </c>
      <c r="E1079">
        <f>VLOOKUP($D1079,'[2]LC Dynamic'!$Q$2:$U$542,2,FALSE)</f>
        <v>0.31166666666666665</v>
      </c>
      <c r="F1079">
        <f>VLOOKUP($D1079,'[2]LC Dynamic'!$Q$2:$U$542,3,FALSE)</f>
        <v>0.28099999999999997</v>
      </c>
      <c r="G1079">
        <f>VLOOKUP($D1079,'[2]LC Dynamic'!$Q$2:$U$542,4,FALSE)</f>
        <v>0.40733333333333333</v>
      </c>
      <c r="H1079">
        <f>VLOOKUP($D1079,'[2]LC Dynamic'!$Q$2:$U$542,5,FALSE)</f>
        <v>0</v>
      </c>
      <c r="I1079" s="77">
        <f t="shared" si="3672"/>
        <v>1</v>
      </c>
      <c r="J1079" s="77">
        <f t="shared" si="3673"/>
        <v>5.2755674999999995E-2</v>
      </c>
      <c r="K1079" s="77">
        <f t="shared" si="3747"/>
        <v>4.2934554738476294E-3</v>
      </c>
      <c r="L1079" s="76">
        <v>0</v>
      </c>
      <c r="M1079" s="77">
        <f t="shared" si="3683"/>
        <v>0</v>
      </c>
      <c r="N1079" s="77">
        <f t="shared" si="3684"/>
        <v>0</v>
      </c>
      <c r="O1079" s="77">
        <f t="shared" si="3685"/>
        <v>5.3386999999999992E-3</v>
      </c>
      <c r="P1079" s="77">
        <f t="shared" si="3686"/>
        <v>4.4598400151552031E-4</v>
      </c>
      <c r="R1079" t="s">
        <v>177</v>
      </c>
      <c r="S1079" t="s">
        <v>179</v>
      </c>
      <c r="T1079" s="197" t="str">
        <f t="shared" si="3741"/>
        <v>Autopilot_Dynamic_8</v>
      </c>
      <c r="U1079">
        <v>8</v>
      </c>
      <c r="V1079">
        <f>VLOOKUP($U1079,'[2]AP Dynamic'!$Q$1:$T$542,2,FALSE)</f>
        <v>2.7319423558897184E-2</v>
      </c>
      <c r="W1079">
        <f>VLOOKUP($U1079,'[2]AP Dynamic'!$Q$1:$T$542,3,FALSE)</f>
        <v>0.97268057644110284</v>
      </c>
      <c r="X1079">
        <f>VLOOKUP($U1079,'[2]AP Dynamic'!$Q$1:$T$542,4,FALSE)</f>
        <v>0</v>
      </c>
      <c r="Y1079" s="77">
        <f t="shared" si="3742"/>
        <v>1</v>
      </c>
      <c r="Z1079" s="77">
        <f t="shared" si="3748"/>
        <v>5.1712665347744352E-2</v>
      </c>
      <c r="AA1079" s="77">
        <f t="shared" si="3749"/>
        <v>4.2105014586597544E-3</v>
      </c>
      <c r="AB1079" s="79">
        <v>1</v>
      </c>
      <c r="AC1079" s="77">
        <f t="shared" si="3687"/>
        <v>6.554638847117795E-3</v>
      </c>
      <c r="AD1079" s="77">
        <f t="shared" ref="AD1079" si="3780">1-(1-AC1079)^(1/12)</f>
        <v>5.4786776776927226E-4</v>
      </c>
      <c r="AE1079" s="77">
        <f t="shared" si="3689"/>
        <v>2.5000000000000001E-3</v>
      </c>
      <c r="AF1079" s="77">
        <f t="shared" ref="AF1079" si="3781">1-(1-AE1079)^(1/12)</f>
        <v>2.0857243058891584E-4</v>
      </c>
      <c r="AH1079" t="s">
        <v>175</v>
      </c>
      <c r="AI1079" t="s">
        <v>179</v>
      </c>
      <c r="AJ1079" s="197" t="str">
        <f t="shared" si="3676"/>
        <v>Lifecycle_Dynamic_8</v>
      </c>
      <c r="AK1079">
        <v>8</v>
      </c>
      <c r="AL1079">
        <f>VLOOKUP($U1079,[2]Standard_Dynamic!$Q$1:$T$542,2,FALSE)</f>
        <v>1.8212949039264788E-2</v>
      </c>
      <c r="AM1079">
        <f>VLOOKUP($U1079,[2]Standard_Dynamic!$Q$1:$T$542,3,FALSE)</f>
        <v>0.98178705096073526</v>
      </c>
      <c r="AN1079">
        <f>VLOOKUP($U1079,[2]Standard_Dynamic!$Q$1:$T$542,4,FALSE)</f>
        <v>0</v>
      </c>
      <c r="AO1079" s="77">
        <f t="shared" si="3677"/>
        <v>1</v>
      </c>
      <c r="AP1079" s="77">
        <f t="shared" si="3691"/>
        <v>5.1591776898496235E-2</v>
      </c>
      <c r="AQ1079" s="77">
        <f t="shared" si="3678"/>
        <v>4.200881923284161E-3</v>
      </c>
      <c r="AR1079" s="79">
        <v>0</v>
      </c>
      <c r="AS1079" s="77">
        <f t="shared" si="3692"/>
        <v>0</v>
      </c>
      <c r="AT1079" s="77">
        <f t="shared" ref="AT1079" si="3782">1-(1-AS1079)^(1/12)</f>
        <v>0</v>
      </c>
      <c r="AU1079" s="77">
        <f t="shared" si="3694"/>
        <v>2.5000000000000001E-3</v>
      </c>
      <c r="AV1079" s="77">
        <f t="shared" ref="AV1079" si="3783">1-(1-AU1079)^(1/12)</f>
        <v>2.0857243058891584E-4</v>
      </c>
      <c r="AX1079" t="s">
        <v>178</v>
      </c>
      <c r="AY1079" t="s">
        <v>162</v>
      </c>
      <c r="AZ1079" s="197" t="str">
        <f t="shared" si="3774"/>
        <v>DIS_Standard_8</v>
      </c>
      <c r="BA1079">
        <v>8</v>
      </c>
      <c r="BB1079">
        <f>VLOOKUP($BA1079,'[2]Standard DIS'!$Q$1:$X$542,4,FALSE)</f>
        <v>0</v>
      </c>
      <c r="BF1079">
        <f>VLOOKUP($BA1079,'[2]Standard DIS'!$Q$1:$X$542,2,FALSE)</f>
        <v>1.8212949039264788E-2</v>
      </c>
      <c r="BH1079">
        <f>VLOOKUP($BA1079,'[2]Standard DIS'!$Q$1:$X$542,3,FALSE)</f>
        <v>0.98178705096073526</v>
      </c>
      <c r="BI1079" s="77">
        <f t="shared" si="3681"/>
        <v>1</v>
      </c>
      <c r="BJ1079" s="77">
        <f t="shared" si="3682"/>
        <v>5.1591776898496235E-2</v>
      </c>
      <c r="BK1079" s="77">
        <f t="shared" si="3775"/>
        <v>4.200881923284161E-3</v>
      </c>
      <c r="BL1079" s="79">
        <v>0</v>
      </c>
      <c r="BM1079" s="77">
        <f t="shared" si="3696"/>
        <v>0</v>
      </c>
      <c r="BN1079" s="77">
        <f t="shared" si="3697"/>
        <v>0</v>
      </c>
      <c r="BO1079" s="77">
        <f t="shared" si="3698"/>
        <v>2.5000000000000001E-3</v>
      </c>
      <c r="BP1079" s="77">
        <f t="shared" si="3699"/>
        <v>2.0809499864316017E-4</v>
      </c>
    </row>
    <row r="1080" spans="1:68">
      <c r="A1080" t="s">
        <v>175</v>
      </c>
      <c r="B1080" t="s">
        <v>179</v>
      </c>
      <c r="C1080" s="197" t="str">
        <f t="shared" si="3740"/>
        <v>Lifecycle_Dynamic_7</v>
      </c>
      <c r="D1080">
        <v>7</v>
      </c>
      <c r="E1080">
        <f>VLOOKUP($D1080,'[2]LC Dynamic'!$Q$2:$U$542,2,FALSE)</f>
        <v>0.31408333333333333</v>
      </c>
      <c r="F1080">
        <f>VLOOKUP($D1080,'[2]LC Dynamic'!$Q$2:$U$542,3,FALSE)</f>
        <v>0.27975</v>
      </c>
      <c r="G1080">
        <f>VLOOKUP($D1080,'[2]LC Dynamic'!$Q$2:$U$542,4,FALSE)</f>
        <v>0.40616666666666668</v>
      </c>
      <c r="H1080">
        <f>VLOOKUP($D1080,'[2]LC Dynamic'!$Q$2:$U$542,5,FALSE)</f>
        <v>0</v>
      </c>
      <c r="I1080" s="77">
        <f t="shared" si="3672"/>
        <v>1</v>
      </c>
      <c r="J1080" s="77">
        <f t="shared" si="3673"/>
        <v>5.2724331249999999E-2</v>
      </c>
      <c r="K1080" s="77">
        <f t="shared" si="3747"/>
        <v>4.2909636996952827E-3</v>
      </c>
      <c r="L1080" s="76">
        <v>0</v>
      </c>
      <c r="M1080" s="77">
        <f t="shared" si="3683"/>
        <v>0</v>
      </c>
      <c r="N1080" s="77">
        <f t="shared" si="3684"/>
        <v>0</v>
      </c>
      <c r="O1080" s="77">
        <f t="shared" si="3685"/>
        <v>5.3287249999999994E-3</v>
      </c>
      <c r="P1080" s="77">
        <f t="shared" si="3686"/>
        <v>4.4514866645539719E-4</v>
      </c>
      <c r="R1080" t="s">
        <v>177</v>
      </c>
      <c r="S1080" t="s">
        <v>179</v>
      </c>
      <c r="T1080" s="197" t="str">
        <f t="shared" si="3741"/>
        <v>Autopilot_Dynamic_7</v>
      </c>
      <c r="U1080">
        <v>7</v>
      </c>
      <c r="V1080">
        <f>VLOOKUP($U1080,'[2]AP Dynamic'!$Q$1:$T$542,2,FALSE)</f>
        <v>2.7319423558897184E-2</v>
      </c>
      <c r="W1080">
        <f>VLOOKUP($U1080,'[2]AP Dynamic'!$Q$1:$T$542,3,FALSE)</f>
        <v>0.97268057644110284</v>
      </c>
      <c r="X1080">
        <f>VLOOKUP($U1080,'[2]AP Dynamic'!$Q$1:$T$542,4,FALSE)</f>
        <v>0</v>
      </c>
      <c r="Y1080" s="77">
        <f t="shared" si="3742"/>
        <v>1</v>
      </c>
      <c r="Z1080" s="77">
        <f t="shared" si="3748"/>
        <v>5.1712665347744352E-2</v>
      </c>
      <c r="AA1080" s="77">
        <f t="shared" si="3749"/>
        <v>4.2105014586597544E-3</v>
      </c>
      <c r="AB1080" s="79">
        <v>1</v>
      </c>
      <c r="AC1080" s="77">
        <f t="shared" si="3687"/>
        <v>6.554638847117795E-3</v>
      </c>
      <c r="AD1080" s="77">
        <f t="shared" ref="AD1080" si="3784">1-(1-AC1080)^(1/12)</f>
        <v>5.4786776776927226E-4</v>
      </c>
      <c r="AE1080" s="77">
        <f t="shared" si="3689"/>
        <v>2.5000000000000001E-3</v>
      </c>
      <c r="AF1080" s="77">
        <f t="shared" ref="AF1080" si="3785">1-(1-AE1080)^(1/12)</f>
        <v>2.0857243058891584E-4</v>
      </c>
      <c r="AH1080" t="s">
        <v>175</v>
      </c>
      <c r="AI1080" t="s">
        <v>179</v>
      </c>
      <c r="AJ1080" s="197" t="str">
        <f t="shared" si="3676"/>
        <v>Lifecycle_Dynamic_7</v>
      </c>
      <c r="AK1080">
        <v>7</v>
      </c>
      <c r="AL1080">
        <f>VLOOKUP($U1080,[2]Standard_Dynamic!$Q$1:$T$542,2,FALSE)</f>
        <v>1.5936330409356689E-2</v>
      </c>
      <c r="AM1080">
        <f>VLOOKUP($U1080,[2]Standard_Dynamic!$Q$1:$T$542,3,FALSE)</f>
        <v>0.98406366959064329</v>
      </c>
      <c r="AN1080">
        <f>VLOOKUP($U1080,[2]Standard_Dynamic!$Q$1:$T$542,4,FALSE)</f>
        <v>0</v>
      </c>
      <c r="AO1080" s="77">
        <f t="shared" si="3677"/>
        <v>1</v>
      </c>
      <c r="AP1080" s="77">
        <f t="shared" si="3691"/>
        <v>5.1561554786184204E-2</v>
      </c>
      <c r="AQ1080" s="77">
        <f t="shared" si="3678"/>
        <v>4.1984768810523487E-3</v>
      </c>
      <c r="AR1080" s="79">
        <v>0</v>
      </c>
      <c r="AS1080" s="77">
        <f t="shared" si="3692"/>
        <v>0</v>
      </c>
      <c r="AT1080" s="77">
        <f t="shared" ref="AT1080" si="3786">1-(1-AS1080)^(1/12)</f>
        <v>0</v>
      </c>
      <c r="AU1080" s="77">
        <f t="shared" si="3694"/>
        <v>2.5000000000000001E-3</v>
      </c>
      <c r="AV1080" s="77">
        <f t="shared" ref="AV1080" si="3787">1-(1-AU1080)^(1/12)</f>
        <v>2.0857243058891584E-4</v>
      </c>
      <c r="AX1080" t="s">
        <v>178</v>
      </c>
      <c r="AY1080" t="s">
        <v>162</v>
      </c>
      <c r="AZ1080" s="197" t="str">
        <f t="shared" si="3774"/>
        <v>DIS_Standard_7</v>
      </c>
      <c r="BA1080">
        <v>7</v>
      </c>
      <c r="BB1080">
        <f>VLOOKUP($BA1080,'[2]Standard DIS'!$Q$1:$X$542,4,FALSE)</f>
        <v>0</v>
      </c>
      <c r="BF1080">
        <f>VLOOKUP($BA1080,'[2]Standard DIS'!$Q$1:$X$542,2,FALSE)</f>
        <v>1.5936330409356689E-2</v>
      </c>
      <c r="BH1080">
        <f>VLOOKUP($BA1080,'[2]Standard DIS'!$Q$1:$X$542,3,FALSE)</f>
        <v>0.98406366959064329</v>
      </c>
      <c r="BI1080" s="77">
        <f t="shared" si="3681"/>
        <v>1</v>
      </c>
      <c r="BJ1080" s="77">
        <f t="shared" si="3682"/>
        <v>5.1561554786184204E-2</v>
      </c>
      <c r="BK1080" s="77">
        <f t="shared" si="3775"/>
        <v>4.1984768810523487E-3</v>
      </c>
      <c r="BL1080" s="79">
        <v>0</v>
      </c>
      <c r="BM1080" s="77">
        <f t="shared" si="3696"/>
        <v>0</v>
      </c>
      <c r="BN1080" s="77">
        <f t="shared" si="3697"/>
        <v>0</v>
      </c>
      <c r="BO1080" s="77">
        <f t="shared" si="3698"/>
        <v>2.5000000000000001E-3</v>
      </c>
      <c r="BP1080" s="77">
        <f t="shared" si="3699"/>
        <v>2.0809499864316017E-4</v>
      </c>
    </row>
    <row r="1081" spans="1:68">
      <c r="A1081" t="s">
        <v>175</v>
      </c>
      <c r="B1081" t="s">
        <v>179</v>
      </c>
      <c r="C1081" s="197" t="str">
        <f t="shared" si="3740"/>
        <v>Lifecycle_Dynamic_6</v>
      </c>
      <c r="D1081">
        <v>6</v>
      </c>
      <c r="E1081">
        <f>VLOOKUP($D1081,'[2]LC Dynamic'!$Q$2:$U$542,2,FALSE)</f>
        <v>0.3165</v>
      </c>
      <c r="F1081">
        <f>VLOOKUP($D1081,'[2]LC Dynamic'!$Q$2:$U$542,3,FALSE)</f>
        <v>0.27849999999999997</v>
      </c>
      <c r="G1081">
        <f>VLOOKUP($D1081,'[2]LC Dynamic'!$Q$2:$U$542,4,FALSE)</f>
        <v>0.40500000000000003</v>
      </c>
      <c r="H1081">
        <f>VLOOKUP($D1081,'[2]LC Dynamic'!$Q$2:$U$542,5,FALSE)</f>
        <v>0</v>
      </c>
      <c r="I1081" s="77">
        <f t="shared" si="3672"/>
        <v>1</v>
      </c>
      <c r="J1081" s="77">
        <f t="shared" si="3673"/>
        <v>5.2692987499999996E-2</v>
      </c>
      <c r="K1081" s="77">
        <f t="shared" si="3747"/>
        <v>4.2884718575346703E-3</v>
      </c>
      <c r="L1081" s="76">
        <v>0</v>
      </c>
      <c r="M1081" s="77">
        <f t="shared" si="3683"/>
        <v>0</v>
      </c>
      <c r="N1081" s="77">
        <f t="shared" si="3684"/>
        <v>0</v>
      </c>
      <c r="O1081" s="77">
        <f t="shared" si="3685"/>
        <v>5.3187499999999997E-3</v>
      </c>
      <c r="P1081" s="77">
        <f t="shared" si="3686"/>
        <v>4.4431333907435366E-4</v>
      </c>
      <c r="R1081" t="s">
        <v>177</v>
      </c>
      <c r="S1081" t="s">
        <v>179</v>
      </c>
      <c r="T1081" s="197" t="str">
        <f t="shared" si="3741"/>
        <v>Autopilot_Dynamic_6</v>
      </c>
      <c r="U1081">
        <v>6</v>
      </c>
      <c r="V1081">
        <f>VLOOKUP($U1081,'[2]AP Dynamic'!$Q$1:$T$542,2,FALSE)</f>
        <v>2.7319423558897184E-2</v>
      </c>
      <c r="W1081">
        <f>VLOOKUP($U1081,'[2]AP Dynamic'!$Q$1:$T$542,3,FALSE)</f>
        <v>0.97268057644110284</v>
      </c>
      <c r="X1081">
        <f>VLOOKUP($U1081,'[2]AP Dynamic'!$Q$1:$T$542,4,FALSE)</f>
        <v>0</v>
      </c>
      <c r="Y1081" s="77">
        <f t="shared" si="3742"/>
        <v>1</v>
      </c>
      <c r="Z1081" s="77">
        <f t="shared" si="3748"/>
        <v>5.1712665347744352E-2</v>
      </c>
      <c r="AA1081" s="77">
        <f t="shared" si="3749"/>
        <v>4.2105014586597544E-3</v>
      </c>
      <c r="AB1081" s="79">
        <v>1</v>
      </c>
      <c r="AC1081" s="77">
        <f t="shared" si="3687"/>
        <v>6.554638847117795E-3</v>
      </c>
      <c r="AD1081" s="77">
        <f t="shared" ref="AD1081" si="3788">1-(1-AC1081)^(1/12)</f>
        <v>5.4786776776927226E-4</v>
      </c>
      <c r="AE1081" s="77">
        <f t="shared" si="3689"/>
        <v>2.5000000000000001E-3</v>
      </c>
      <c r="AF1081" s="77">
        <f t="shared" ref="AF1081" si="3789">1-(1-AE1081)^(1/12)</f>
        <v>2.0857243058891584E-4</v>
      </c>
      <c r="AH1081" t="s">
        <v>175</v>
      </c>
      <c r="AI1081" t="s">
        <v>179</v>
      </c>
      <c r="AJ1081" s="197" t="str">
        <f t="shared" si="3676"/>
        <v>Lifecycle_Dynamic_6</v>
      </c>
      <c r="AK1081">
        <v>6</v>
      </c>
      <c r="AL1081">
        <f>VLOOKUP($U1081,[2]Standard_Dynamic!$Q$1:$T$542,2,FALSE)</f>
        <v>1.3659711779448592E-2</v>
      </c>
      <c r="AM1081">
        <f>VLOOKUP($U1081,[2]Standard_Dynamic!$Q$1:$T$542,3,FALSE)</f>
        <v>0.98634028822055142</v>
      </c>
      <c r="AN1081">
        <f>VLOOKUP($U1081,[2]Standard_Dynamic!$Q$1:$T$542,4,FALSE)</f>
        <v>0</v>
      </c>
      <c r="AO1081" s="77">
        <f t="shared" si="3677"/>
        <v>1</v>
      </c>
      <c r="AP1081" s="77">
        <f t="shared" si="3691"/>
        <v>5.1531332673872172E-2</v>
      </c>
      <c r="AQ1081" s="77">
        <f t="shared" si="3678"/>
        <v>4.1960717754583321E-3</v>
      </c>
      <c r="AR1081" s="79">
        <v>0</v>
      </c>
      <c r="AS1081" s="77">
        <f t="shared" si="3692"/>
        <v>0</v>
      </c>
      <c r="AT1081" s="77">
        <f t="shared" ref="AT1081" si="3790">1-(1-AS1081)^(1/12)</f>
        <v>0</v>
      </c>
      <c r="AU1081" s="77">
        <f t="shared" si="3694"/>
        <v>2.5000000000000001E-3</v>
      </c>
      <c r="AV1081" s="77">
        <f t="shared" ref="AV1081" si="3791">1-(1-AU1081)^(1/12)</f>
        <v>2.0857243058891584E-4</v>
      </c>
      <c r="AX1081" t="s">
        <v>178</v>
      </c>
      <c r="AY1081" t="s">
        <v>162</v>
      </c>
      <c r="AZ1081" s="197" t="str">
        <f t="shared" si="3774"/>
        <v>DIS_Standard_6</v>
      </c>
      <c r="BA1081">
        <v>6</v>
      </c>
      <c r="BB1081">
        <f>VLOOKUP($BA1081,'[2]Standard DIS'!$Q$1:$X$542,4,FALSE)</f>
        <v>0</v>
      </c>
      <c r="BF1081">
        <f>VLOOKUP($BA1081,'[2]Standard DIS'!$Q$1:$X$542,2,FALSE)</f>
        <v>1.3659711779448592E-2</v>
      </c>
      <c r="BH1081">
        <f>VLOOKUP($BA1081,'[2]Standard DIS'!$Q$1:$X$542,3,FALSE)</f>
        <v>0.98634028822055142</v>
      </c>
      <c r="BI1081" s="77">
        <f t="shared" si="3681"/>
        <v>1</v>
      </c>
      <c r="BJ1081" s="77">
        <f t="shared" si="3682"/>
        <v>5.1531332673872172E-2</v>
      </c>
      <c r="BK1081" s="77">
        <f t="shared" si="3775"/>
        <v>4.1960717754583321E-3</v>
      </c>
      <c r="BL1081" s="79">
        <v>0</v>
      </c>
      <c r="BM1081" s="77">
        <f t="shared" si="3696"/>
        <v>0</v>
      </c>
      <c r="BN1081" s="77">
        <f t="shared" si="3697"/>
        <v>0</v>
      </c>
      <c r="BO1081" s="77">
        <f t="shared" si="3698"/>
        <v>2.5000000000000001E-3</v>
      </c>
      <c r="BP1081" s="77">
        <f t="shared" si="3699"/>
        <v>2.0809499864316017E-4</v>
      </c>
    </row>
    <row r="1082" spans="1:68">
      <c r="A1082" t="s">
        <v>175</v>
      </c>
      <c r="B1082" t="s">
        <v>179</v>
      </c>
      <c r="C1082" s="197" t="str">
        <f t="shared" si="3740"/>
        <v>Lifecycle_Dynamic_5</v>
      </c>
      <c r="D1082">
        <v>5</v>
      </c>
      <c r="E1082">
        <f>VLOOKUP($D1082,'[2]LC Dynamic'!$Q$2:$U$542,2,FALSE)</f>
        <v>0.31891666666666668</v>
      </c>
      <c r="F1082">
        <f>VLOOKUP($D1082,'[2]LC Dynamic'!$Q$2:$U$542,3,FALSE)</f>
        <v>0.27725</v>
      </c>
      <c r="G1082">
        <f>VLOOKUP($D1082,'[2]LC Dynamic'!$Q$2:$U$542,4,FALSE)</f>
        <v>0.40383333333333332</v>
      </c>
      <c r="H1082">
        <f>VLOOKUP($D1082,'[2]LC Dynamic'!$Q$2:$U$542,5,FALSE)</f>
        <v>0</v>
      </c>
      <c r="I1082" s="77">
        <f t="shared" si="3672"/>
        <v>1</v>
      </c>
      <c r="J1082" s="77">
        <f t="shared" si="3673"/>
        <v>5.2661643749999994E-2</v>
      </c>
      <c r="K1082" s="77">
        <f t="shared" si="3747"/>
        <v>4.2859799473617954E-3</v>
      </c>
      <c r="L1082" s="76">
        <v>0</v>
      </c>
      <c r="M1082" s="77">
        <f t="shared" si="3683"/>
        <v>0</v>
      </c>
      <c r="N1082" s="77">
        <f t="shared" si="3684"/>
        <v>0</v>
      </c>
      <c r="O1082" s="77">
        <f t="shared" si="3685"/>
        <v>5.308775E-3</v>
      </c>
      <c r="P1082" s="77">
        <f t="shared" si="3686"/>
        <v>4.4347801937216769E-4</v>
      </c>
      <c r="R1082" t="s">
        <v>177</v>
      </c>
      <c r="S1082" t="s">
        <v>179</v>
      </c>
      <c r="T1082" s="197" t="str">
        <f t="shared" si="3741"/>
        <v>Autopilot_Dynamic_5</v>
      </c>
      <c r="U1082">
        <v>5</v>
      </c>
      <c r="V1082">
        <f>VLOOKUP($U1082,'[2]AP Dynamic'!$Q$1:$T$542,2,FALSE)</f>
        <v>2.7319423558897184E-2</v>
      </c>
      <c r="W1082">
        <f>VLOOKUP($U1082,'[2]AP Dynamic'!$Q$1:$T$542,3,FALSE)</f>
        <v>0.97268057644110284</v>
      </c>
      <c r="X1082">
        <f>VLOOKUP($U1082,'[2]AP Dynamic'!$Q$1:$T$542,4,FALSE)</f>
        <v>0</v>
      </c>
      <c r="Y1082" s="77">
        <f t="shared" si="3742"/>
        <v>1</v>
      </c>
      <c r="Z1082" s="77">
        <f t="shared" si="3748"/>
        <v>5.1712665347744352E-2</v>
      </c>
      <c r="AA1082" s="77">
        <f t="shared" si="3749"/>
        <v>4.2105014586597544E-3</v>
      </c>
      <c r="AB1082" s="79">
        <v>1</v>
      </c>
      <c r="AC1082" s="77">
        <f t="shared" si="3687"/>
        <v>6.554638847117795E-3</v>
      </c>
      <c r="AD1082" s="77">
        <f t="shared" ref="AD1082" si="3792">1-(1-AC1082)^(1/12)</f>
        <v>5.4786776776927226E-4</v>
      </c>
      <c r="AE1082" s="77">
        <f t="shared" si="3689"/>
        <v>2.5000000000000001E-3</v>
      </c>
      <c r="AF1082" s="77">
        <f t="shared" ref="AF1082" si="3793">1-(1-AE1082)^(1/12)</f>
        <v>2.0857243058891584E-4</v>
      </c>
      <c r="AH1082" t="s">
        <v>175</v>
      </c>
      <c r="AI1082" t="s">
        <v>179</v>
      </c>
      <c r="AJ1082" s="197" t="str">
        <f t="shared" si="3676"/>
        <v>Lifecycle_Dynamic_5</v>
      </c>
      <c r="AK1082">
        <v>5</v>
      </c>
      <c r="AL1082">
        <f>VLOOKUP($U1082,[2]Standard_Dynamic!$Q$1:$T$542,2,FALSE)</f>
        <v>1.1383093149540493E-2</v>
      </c>
      <c r="AM1082">
        <f>VLOOKUP($U1082,[2]Standard_Dynamic!$Q$1:$T$542,3,FALSE)</f>
        <v>0.98861690685045955</v>
      </c>
      <c r="AN1082">
        <f>VLOOKUP($U1082,[2]Standard_Dynamic!$Q$1:$T$542,4,FALSE)</f>
        <v>0</v>
      </c>
      <c r="AO1082" s="77">
        <f t="shared" si="3677"/>
        <v>1</v>
      </c>
      <c r="AP1082" s="77">
        <f t="shared" si="3691"/>
        <v>5.1501110561560148E-2</v>
      </c>
      <c r="AQ1082" s="77">
        <f t="shared" si="3678"/>
        <v>4.1936666064985584E-3</v>
      </c>
      <c r="AR1082" s="79">
        <v>0</v>
      </c>
      <c r="AS1082" s="77">
        <f t="shared" si="3692"/>
        <v>0</v>
      </c>
      <c r="AT1082" s="77">
        <f t="shared" ref="AT1082" si="3794">1-(1-AS1082)^(1/12)</f>
        <v>0</v>
      </c>
      <c r="AU1082" s="77">
        <f t="shared" si="3694"/>
        <v>2.5000000000000005E-3</v>
      </c>
      <c r="AV1082" s="77">
        <f t="shared" ref="AV1082" si="3795">1-(1-AU1082)^(1/12)</f>
        <v>2.0857243058891584E-4</v>
      </c>
      <c r="AX1082" t="s">
        <v>178</v>
      </c>
      <c r="AY1082" t="s">
        <v>162</v>
      </c>
      <c r="AZ1082" s="197" t="str">
        <f t="shared" si="3774"/>
        <v>DIS_Standard_5</v>
      </c>
      <c r="BA1082">
        <v>5</v>
      </c>
      <c r="BB1082">
        <f>VLOOKUP($BA1082,'[2]Standard DIS'!$Q$1:$X$542,4,FALSE)</f>
        <v>0</v>
      </c>
      <c r="BF1082">
        <f>VLOOKUP($BA1082,'[2]Standard DIS'!$Q$1:$X$542,2,FALSE)</f>
        <v>1.1383093149540493E-2</v>
      </c>
      <c r="BH1082">
        <f>VLOOKUP($BA1082,'[2]Standard DIS'!$Q$1:$X$542,3,FALSE)</f>
        <v>0.98861690685045955</v>
      </c>
      <c r="BI1082" s="77">
        <f t="shared" si="3681"/>
        <v>1</v>
      </c>
      <c r="BJ1082" s="77">
        <f t="shared" si="3682"/>
        <v>5.1501110561560148E-2</v>
      </c>
      <c r="BK1082" s="77">
        <f t="shared" si="3775"/>
        <v>4.1936666064985584E-3</v>
      </c>
      <c r="BL1082" s="79">
        <v>0</v>
      </c>
      <c r="BM1082" s="77">
        <f t="shared" si="3696"/>
        <v>0</v>
      </c>
      <c r="BN1082" s="77">
        <f t="shared" si="3697"/>
        <v>0</v>
      </c>
      <c r="BO1082" s="77">
        <f t="shared" si="3698"/>
        <v>2.5000000000000005E-3</v>
      </c>
      <c r="BP1082" s="77">
        <f t="shared" si="3699"/>
        <v>2.0809499864316017E-4</v>
      </c>
    </row>
    <row r="1083" spans="1:68">
      <c r="A1083" t="s">
        <v>175</v>
      </c>
      <c r="B1083" t="s">
        <v>179</v>
      </c>
      <c r="C1083" s="197" t="str">
        <f t="shared" si="3740"/>
        <v>Lifecycle_Dynamic_4</v>
      </c>
      <c r="D1083">
        <v>4</v>
      </c>
      <c r="E1083">
        <f>VLOOKUP($D1083,'[2]LC Dynamic'!$Q$2:$U$542,2,FALSE)</f>
        <v>0.32133333333333336</v>
      </c>
      <c r="F1083">
        <f>VLOOKUP($D1083,'[2]LC Dynamic'!$Q$2:$U$542,3,FALSE)</f>
        <v>0.27600000000000002</v>
      </c>
      <c r="G1083">
        <f>VLOOKUP($D1083,'[2]LC Dynamic'!$Q$2:$U$542,4,FALSE)</f>
        <v>0.40266666666666667</v>
      </c>
      <c r="H1083">
        <f>VLOOKUP($D1083,'[2]LC Dynamic'!$Q$2:$U$542,5,FALSE)</f>
        <v>0</v>
      </c>
      <c r="I1083" s="77">
        <f t="shared" si="3672"/>
        <v>1</v>
      </c>
      <c r="J1083" s="77">
        <f t="shared" si="3673"/>
        <v>5.2630299999999998E-2</v>
      </c>
      <c r="K1083" s="77">
        <f t="shared" si="3747"/>
        <v>4.2834879691726613E-3</v>
      </c>
      <c r="L1083" s="76">
        <v>0</v>
      </c>
      <c r="M1083" s="77">
        <f t="shared" si="3683"/>
        <v>0</v>
      </c>
      <c r="N1083" s="77">
        <f t="shared" si="3684"/>
        <v>0</v>
      </c>
      <c r="O1083" s="77">
        <f t="shared" si="3685"/>
        <v>5.2987999999999993E-3</v>
      </c>
      <c r="P1083" s="77">
        <f t="shared" si="3686"/>
        <v>4.4264270734861721E-4</v>
      </c>
      <c r="R1083" t="s">
        <v>177</v>
      </c>
      <c r="S1083" t="s">
        <v>179</v>
      </c>
      <c r="T1083" s="197" t="str">
        <f t="shared" si="3741"/>
        <v>Autopilot_Dynamic_4</v>
      </c>
      <c r="U1083">
        <v>4</v>
      </c>
      <c r="V1083">
        <f>VLOOKUP($U1083,'[2]AP Dynamic'!$Q$1:$T$542,2,FALSE)</f>
        <v>2.7319423558897184E-2</v>
      </c>
      <c r="W1083">
        <f>VLOOKUP($U1083,'[2]AP Dynamic'!$Q$1:$T$542,3,FALSE)</f>
        <v>0.97268057644110284</v>
      </c>
      <c r="X1083">
        <f>VLOOKUP($U1083,'[2]AP Dynamic'!$Q$1:$T$542,4,FALSE)</f>
        <v>0</v>
      </c>
      <c r="Y1083" s="77">
        <f t="shared" si="3742"/>
        <v>1</v>
      </c>
      <c r="Z1083" s="77">
        <f t="shared" si="3748"/>
        <v>5.1712665347744352E-2</v>
      </c>
      <c r="AA1083" s="77">
        <f t="shared" si="3749"/>
        <v>4.2105014586597544E-3</v>
      </c>
      <c r="AB1083" s="79">
        <v>1</v>
      </c>
      <c r="AC1083" s="77">
        <f t="shared" si="3687"/>
        <v>6.554638847117795E-3</v>
      </c>
      <c r="AD1083" s="77">
        <f t="shared" ref="AD1083" si="3796">1-(1-AC1083)^(1/12)</f>
        <v>5.4786776776927226E-4</v>
      </c>
      <c r="AE1083" s="77">
        <f t="shared" si="3689"/>
        <v>2.5000000000000001E-3</v>
      </c>
      <c r="AF1083" s="77">
        <f t="shared" ref="AF1083" si="3797">1-(1-AE1083)^(1/12)</f>
        <v>2.0857243058891584E-4</v>
      </c>
      <c r="AH1083" t="s">
        <v>175</v>
      </c>
      <c r="AI1083" t="s">
        <v>179</v>
      </c>
      <c r="AJ1083" s="197" t="str">
        <f t="shared" si="3676"/>
        <v>Lifecycle_Dynamic_4</v>
      </c>
      <c r="AK1083">
        <v>4</v>
      </c>
      <c r="AL1083">
        <f>VLOOKUP($U1083,[2]Standard_Dynamic!$Q$1:$T$542,2,FALSE)</f>
        <v>9.1064745196323942E-3</v>
      </c>
      <c r="AM1083">
        <f>VLOOKUP($U1083,[2]Standard_Dynamic!$Q$1:$T$542,3,FALSE)</f>
        <v>0.99089352548036758</v>
      </c>
      <c r="AN1083">
        <f>VLOOKUP($U1083,[2]Standard_Dynamic!$Q$1:$T$542,4,FALSE)</f>
        <v>0</v>
      </c>
      <c r="AO1083" s="77">
        <f t="shared" si="3677"/>
        <v>1</v>
      </c>
      <c r="AP1083" s="77">
        <f t="shared" si="3691"/>
        <v>5.147088844924811E-2</v>
      </c>
      <c r="AQ1083" s="77">
        <f t="shared" si="3678"/>
        <v>4.1912613741696969E-3</v>
      </c>
      <c r="AR1083" s="79">
        <v>0</v>
      </c>
      <c r="AS1083" s="77">
        <f t="shared" si="3692"/>
        <v>0</v>
      </c>
      <c r="AT1083" s="77">
        <f t="shared" ref="AT1083" si="3798">1-(1-AS1083)^(1/12)</f>
        <v>0</v>
      </c>
      <c r="AU1083" s="77">
        <f t="shared" si="3694"/>
        <v>2.4999999999999996E-3</v>
      </c>
      <c r="AV1083" s="77">
        <f t="shared" ref="AV1083" si="3799">1-(1-AU1083)^(1/12)</f>
        <v>2.0857243058891584E-4</v>
      </c>
      <c r="AX1083" t="s">
        <v>178</v>
      </c>
      <c r="AY1083" t="s">
        <v>162</v>
      </c>
      <c r="AZ1083" s="197" t="str">
        <f t="shared" si="3774"/>
        <v>DIS_Standard_4</v>
      </c>
      <c r="BA1083">
        <v>4</v>
      </c>
      <c r="BB1083">
        <f>VLOOKUP($BA1083,'[2]Standard DIS'!$Q$1:$X$542,4,FALSE)</f>
        <v>0</v>
      </c>
      <c r="BF1083">
        <f>VLOOKUP($BA1083,'[2]Standard DIS'!$Q$1:$X$542,2,FALSE)</f>
        <v>9.1064745196323942E-3</v>
      </c>
      <c r="BH1083">
        <f>VLOOKUP($BA1083,'[2]Standard DIS'!$Q$1:$X$542,3,FALSE)</f>
        <v>0.99089352548036758</v>
      </c>
      <c r="BI1083" s="77">
        <f t="shared" si="3681"/>
        <v>1</v>
      </c>
      <c r="BJ1083" s="77">
        <f t="shared" si="3682"/>
        <v>5.147088844924811E-2</v>
      </c>
      <c r="BK1083" s="77">
        <f t="shared" si="3775"/>
        <v>4.1912613741696969E-3</v>
      </c>
      <c r="BL1083" s="79">
        <v>0</v>
      </c>
      <c r="BM1083" s="77">
        <f t="shared" si="3696"/>
        <v>0</v>
      </c>
      <c r="BN1083" s="77">
        <f t="shared" si="3697"/>
        <v>0</v>
      </c>
      <c r="BO1083" s="77">
        <f t="shared" si="3698"/>
        <v>2.4999999999999996E-3</v>
      </c>
      <c r="BP1083" s="77">
        <f t="shared" si="3699"/>
        <v>2.0809499864316017E-4</v>
      </c>
    </row>
    <row r="1084" spans="1:68">
      <c r="A1084" t="s">
        <v>175</v>
      </c>
      <c r="B1084" t="s">
        <v>179</v>
      </c>
      <c r="C1084" s="197" t="str">
        <f t="shared" si="3740"/>
        <v>Lifecycle_Dynamic_3</v>
      </c>
      <c r="D1084">
        <v>3</v>
      </c>
      <c r="E1084">
        <f>VLOOKUP($D1084,'[2]LC Dynamic'!$Q$2:$U$542,2,FALSE)</f>
        <v>0.32374999999999998</v>
      </c>
      <c r="F1084">
        <f>VLOOKUP($D1084,'[2]LC Dynamic'!$Q$2:$U$542,3,FALSE)</f>
        <v>0.27474999999999999</v>
      </c>
      <c r="G1084">
        <f>VLOOKUP($D1084,'[2]LC Dynamic'!$Q$2:$U$542,4,FALSE)</f>
        <v>0.40150000000000002</v>
      </c>
      <c r="H1084">
        <f>VLOOKUP($D1084,'[2]LC Dynamic'!$Q$2:$U$542,5,FALSE)</f>
        <v>0</v>
      </c>
      <c r="I1084" s="77">
        <f t="shared" si="3672"/>
        <v>1</v>
      </c>
      <c r="J1084" s="77">
        <f t="shared" si="3673"/>
        <v>5.2598956249999995E-2</v>
      </c>
      <c r="K1084" s="77">
        <f t="shared" si="3747"/>
        <v>4.2809959229634931E-3</v>
      </c>
      <c r="L1084" s="76">
        <v>0</v>
      </c>
      <c r="M1084" s="77">
        <f t="shared" si="3683"/>
        <v>0</v>
      </c>
      <c r="N1084" s="77">
        <f t="shared" si="3684"/>
        <v>0</v>
      </c>
      <c r="O1084" s="77">
        <f t="shared" si="3685"/>
        <v>5.2888250000000005E-3</v>
      </c>
      <c r="P1084" s="77">
        <f t="shared" si="3686"/>
        <v>4.4180740300359123E-4</v>
      </c>
      <c r="R1084" t="s">
        <v>177</v>
      </c>
      <c r="S1084" t="s">
        <v>179</v>
      </c>
      <c r="T1084" s="197" t="str">
        <f t="shared" si="3741"/>
        <v>Autopilot_Dynamic_3</v>
      </c>
      <c r="U1084">
        <v>3</v>
      </c>
      <c r="V1084">
        <f>VLOOKUP($U1084,'[2]AP Dynamic'!$Q$1:$T$542,2,FALSE)</f>
        <v>2.7319423558897184E-2</v>
      </c>
      <c r="W1084">
        <f>VLOOKUP($U1084,'[2]AP Dynamic'!$Q$1:$T$542,3,FALSE)</f>
        <v>0.97268057644110284</v>
      </c>
      <c r="X1084">
        <f>VLOOKUP($U1084,'[2]AP Dynamic'!$Q$1:$T$542,4,FALSE)</f>
        <v>0</v>
      </c>
      <c r="Y1084" s="77">
        <f t="shared" si="3742"/>
        <v>1</v>
      </c>
      <c r="Z1084" s="77">
        <f t="shared" si="3748"/>
        <v>5.1712665347744352E-2</v>
      </c>
      <c r="AA1084" s="77">
        <f t="shared" si="3749"/>
        <v>4.2105014586597544E-3</v>
      </c>
      <c r="AB1084" s="79">
        <v>1</v>
      </c>
      <c r="AC1084" s="77">
        <f t="shared" si="3687"/>
        <v>6.554638847117795E-3</v>
      </c>
      <c r="AD1084" s="77">
        <f t="shared" ref="AD1084" si="3800">1-(1-AC1084)^(1/12)</f>
        <v>5.4786776776927226E-4</v>
      </c>
      <c r="AE1084" s="77">
        <f t="shared" si="3689"/>
        <v>2.5000000000000001E-3</v>
      </c>
      <c r="AF1084" s="77">
        <f t="shared" ref="AF1084" si="3801">1-(1-AE1084)^(1/12)</f>
        <v>2.0857243058891584E-4</v>
      </c>
      <c r="AH1084" t="s">
        <v>175</v>
      </c>
      <c r="AI1084" t="s">
        <v>179</v>
      </c>
      <c r="AJ1084" s="197" t="str">
        <f t="shared" si="3676"/>
        <v>Lifecycle_Dynamic_3</v>
      </c>
      <c r="AK1084">
        <v>3</v>
      </c>
      <c r="AL1084">
        <f>VLOOKUP($U1084,[2]Standard_Dynamic!$Q$1:$T$542,2,FALSE)</f>
        <v>6.8298558897242961E-3</v>
      </c>
      <c r="AM1084">
        <f>VLOOKUP($U1084,[2]Standard_Dynamic!$Q$1:$T$542,3,FALSE)</f>
        <v>0.99317014411027571</v>
      </c>
      <c r="AN1084">
        <f>VLOOKUP($U1084,[2]Standard_Dynamic!$Q$1:$T$542,4,FALSE)</f>
        <v>0</v>
      </c>
      <c r="AO1084" s="77">
        <f t="shared" si="3677"/>
        <v>1</v>
      </c>
      <c r="AP1084" s="77">
        <f t="shared" si="3691"/>
        <v>5.1440666336936079E-2</v>
      </c>
      <c r="AQ1084" s="77">
        <f t="shared" si="3678"/>
        <v>4.188856078468195E-3</v>
      </c>
      <c r="AR1084" s="79">
        <v>0</v>
      </c>
      <c r="AS1084" s="77">
        <f t="shared" si="3692"/>
        <v>0</v>
      </c>
      <c r="AT1084" s="77">
        <f t="shared" ref="AT1084" si="3802">1-(1-AS1084)^(1/12)</f>
        <v>0</v>
      </c>
      <c r="AU1084" s="77">
        <f t="shared" si="3694"/>
        <v>2.5000000000000001E-3</v>
      </c>
      <c r="AV1084" s="77">
        <f t="shared" ref="AV1084" si="3803">1-(1-AU1084)^(1/12)</f>
        <v>2.0857243058891584E-4</v>
      </c>
      <c r="AX1084" t="s">
        <v>178</v>
      </c>
      <c r="AY1084" t="s">
        <v>162</v>
      </c>
      <c r="AZ1084" s="197" t="str">
        <f t="shared" si="3774"/>
        <v>DIS_Standard_3</v>
      </c>
      <c r="BA1084">
        <v>3</v>
      </c>
      <c r="BB1084">
        <f>VLOOKUP($BA1084,'[2]Standard DIS'!$Q$1:$X$542,4,FALSE)</f>
        <v>0</v>
      </c>
      <c r="BF1084">
        <f>VLOOKUP($BA1084,'[2]Standard DIS'!$Q$1:$X$542,2,FALSE)</f>
        <v>6.8298558897242961E-3</v>
      </c>
      <c r="BH1084">
        <f>VLOOKUP($BA1084,'[2]Standard DIS'!$Q$1:$X$542,3,FALSE)</f>
        <v>0.99317014411027571</v>
      </c>
      <c r="BI1084" s="77">
        <f t="shared" si="3681"/>
        <v>1</v>
      </c>
      <c r="BJ1084" s="77">
        <f t="shared" si="3682"/>
        <v>5.1440666336936079E-2</v>
      </c>
      <c r="BK1084" s="77">
        <f t="shared" si="3775"/>
        <v>4.188856078468195E-3</v>
      </c>
      <c r="BL1084" s="79">
        <v>0</v>
      </c>
      <c r="BM1084" s="77">
        <f t="shared" si="3696"/>
        <v>0</v>
      </c>
      <c r="BN1084" s="77">
        <f t="shared" si="3697"/>
        <v>0</v>
      </c>
      <c r="BO1084" s="77">
        <f t="shared" si="3698"/>
        <v>2.5000000000000001E-3</v>
      </c>
      <c r="BP1084" s="77">
        <f t="shared" si="3699"/>
        <v>2.0809499864316017E-4</v>
      </c>
    </row>
    <row r="1085" spans="1:68">
      <c r="A1085" t="s">
        <v>175</v>
      </c>
      <c r="B1085" t="s">
        <v>179</v>
      </c>
      <c r="C1085" s="197" t="str">
        <f t="shared" si="3740"/>
        <v>Lifecycle_Dynamic_2</v>
      </c>
      <c r="D1085">
        <v>2</v>
      </c>
      <c r="E1085">
        <f>VLOOKUP($D1085,'[2]LC Dynamic'!$Q$2:$U$542,2,FALSE)</f>
        <v>0.32616666666666666</v>
      </c>
      <c r="F1085">
        <f>VLOOKUP($D1085,'[2]LC Dynamic'!$Q$2:$U$542,3,FALSE)</f>
        <v>0.27350000000000002</v>
      </c>
      <c r="G1085">
        <f>VLOOKUP($D1085,'[2]LC Dynamic'!$Q$2:$U$542,4,FALSE)</f>
        <v>0.40033333333333332</v>
      </c>
      <c r="H1085">
        <f>VLOOKUP($D1085,'[2]LC Dynamic'!$Q$2:$U$542,5,FALSE)</f>
        <v>0</v>
      </c>
      <c r="I1085" s="77">
        <f t="shared" si="3672"/>
        <v>1</v>
      </c>
      <c r="J1085" s="77">
        <f t="shared" si="3673"/>
        <v>5.2567612499999999E-2</v>
      </c>
      <c r="K1085" s="77">
        <f t="shared" si="3747"/>
        <v>4.2785038087307381E-3</v>
      </c>
      <c r="L1085" s="76">
        <v>0</v>
      </c>
      <c r="M1085" s="77">
        <f t="shared" si="3683"/>
        <v>0</v>
      </c>
      <c r="N1085" s="77">
        <f t="shared" si="3684"/>
        <v>0</v>
      </c>
      <c r="O1085" s="77">
        <f t="shared" si="3685"/>
        <v>5.2788499999999999E-3</v>
      </c>
      <c r="P1085" s="77">
        <f t="shared" si="3686"/>
        <v>4.409721063369787E-4</v>
      </c>
      <c r="R1085" t="s">
        <v>177</v>
      </c>
      <c r="S1085" t="s">
        <v>179</v>
      </c>
      <c r="T1085" s="197" t="str">
        <f t="shared" si="3741"/>
        <v>Autopilot_Dynamic_2</v>
      </c>
      <c r="U1085">
        <v>2</v>
      </c>
      <c r="V1085">
        <f>VLOOKUP($U1085,'[2]AP Dynamic'!$Q$1:$T$542,2,FALSE)</f>
        <v>2.7319423558897184E-2</v>
      </c>
      <c r="W1085">
        <f>VLOOKUP($U1085,'[2]AP Dynamic'!$Q$1:$T$542,3,FALSE)</f>
        <v>0.97268057644110284</v>
      </c>
      <c r="X1085">
        <f>VLOOKUP($U1085,'[2]AP Dynamic'!$Q$1:$T$542,4,FALSE)</f>
        <v>0</v>
      </c>
      <c r="Y1085" s="77">
        <f t="shared" si="3742"/>
        <v>1</v>
      </c>
      <c r="Z1085" s="77">
        <f t="shared" si="3748"/>
        <v>5.1712665347744352E-2</v>
      </c>
      <c r="AA1085" s="77">
        <f t="shared" si="3749"/>
        <v>4.2105014586597544E-3</v>
      </c>
      <c r="AB1085" s="79">
        <v>1</v>
      </c>
      <c r="AC1085" s="77">
        <f t="shared" si="3687"/>
        <v>6.554638847117795E-3</v>
      </c>
      <c r="AD1085" s="77">
        <f t="shared" ref="AD1085" si="3804">1-(1-AC1085)^(1/12)</f>
        <v>5.4786776776927226E-4</v>
      </c>
      <c r="AE1085" s="77">
        <f t="shared" si="3689"/>
        <v>2.5000000000000001E-3</v>
      </c>
      <c r="AF1085" s="77">
        <f t="shared" ref="AF1085" si="3805">1-(1-AE1085)^(1/12)</f>
        <v>2.0857243058891584E-4</v>
      </c>
      <c r="AH1085" t="s">
        <v>175</v>
      </c>
      <c r="AI1085" t="s">
        <v>179</v>
      </c>
      <c r="AJ1085" s="197" t="str">
        <f t="shared" si="3676"/>
        <v>Lifecycle_Dynamic_2</v>
      </c>
      <c r="AK1085">
        <v>2</v>
      </c>
      <c r="AL1085">
        <f>VLOOKUP($U1085,[2]Standard_Dynamic!$Q$1:$T$542,2,FALSE)</f>
        <v>4.5532372598161971E-3</v>
      </c>
      <c r="AM1085">
        <f>VLOOKUP($U1085,[2]Standard_Dynamic!$Q$1:$T$542,3,FALSE)</f>
        <v>0.99544676274018384</v>
      </c>
      <c r="AN1085">
        <f>VLOOKUP($U1085,[2]Standard_Dynamic!$Q$1:$T$542,4,FALSE)</f>
        <v>0</v>
      </c>
      <c r="AO1085" s="77">
        <f t="shared" si="3677"/>
        <v>1</v>
      </c>
      <c r="AP1085" s="77">
        <f t="shared" si="3691"/>
        <v>5.1410444224624055E-2</v>
      </c>
      <c r="AQ1085" s="77">
        <f t="shared" si="3678"/>
        <v>4.1864507193907219E-3</v>
      </c>
      <c r="AR1085" s="79">
        <v>0</v>
      </c>
      <c r="AS1085" s="77">
        <f t="shared" si="3692"/>
        <v>0</v>
      </c>
      <c r="AT1085" s="77">
        <f t="shared" ref="AT1085" si="3806">1-(1-AS1085)^(1/12)</f>
        <v>0</v>
      </c>
      <c r="AU1085" s="77">
        <f t="shared" si="3694"/>
        <v>2.5000000000000001E-3</v>
      </c>
      <c r="AV1085" s="77">
        <f t="shared" ref="AV1085" si="3807">1-(1-AU1085)^(1/12)</f>
        <v>2.0857243058891584E-4</v>
      </c>
      <c r="AX1085" t="s">
        <v>178</v>
      </c>
      <c r="AY1085" t="s">
        <v>162</v>
      </c>
      <c r="AZ1085" s="197" t="str">
        <f t="shared" si="3774"/>
        <v>DIS_Standard_2</v>
      </c>
      <c r="BA1085">
        <v>2</v>
      </c>
      <c r="BB1085">
        <f>VLOOKUP($BA1085,'[2]Standard DIS'!$Q$1:$X$542,4,FALSE)</f>
        <v>0</v>
      </c>
      <c r="BF1085">
        <f>VLOOKUP($BA1085,'[2]Standard DIS'!$Q$1:$X$542,2,FALSE)</f>
        <v>4.5532372598161971E-3</v>
      </c>
      <c r="BH1085">
        <f>VLOOKUP($BA1085,'[2]Standard DIS'!$Q$1:$X$542,3,FALSE)</f>
        <v>0.99544676274018384</v>
      </c>
      <c r="BI1085" s="77">
        <f t="shared" si="3681"/>
        <v>1</v>
      </c>
      <c r="BJ1085" s="77">
        <f t="shared" si="3682"/>
        <v>5.1410444224624055E-2</v>
      </c>
      <c r="BK1085" s="77">
        <f t="shared" si="3775"/>
        <v>4.1864507193907219E-3</v>
      </c>
      <c r="BL1085" s="79">
        <v>0</v>
      </c>
      <c r="BM1085" s="77">
        <f t="shared" si="3696"/>
        <v>0</v>
      </c>
      <c r="BN1085" s="77">
        <f t="shared" si="3697"/>
        <v>0</v>
      </c>
      <c r="BO1085" s="77">
        <f t="shared" si="3698"/>
        <v>2.5000000000000001E-3</v>
      </c>
      <c r="BP1085" s="77">
        <f t="shared" si="3699"/>
        <v>2.0809499864316017E-4</v>
      </c>
    </row>
    <row r="1086" spans="1:68">
      <c r="A1086" t="s">
        <v>175</v>
      </c>
      <c r="B1086" t="s">
        <v>179</v>
      </c>
      <c r="C1086" s="197" t="str">
        <f t="shared" si="3740"/>
        <v>Lifecycle_Dynamic_1</v>
      </c>
      <c r="D1086">
        <v>1</v>
      </c>
      <c r="E1086">
        <f>VLOOKUP($D1086,'[2]LC Dynamic'!$Q$2:$U$542,2,FALSE)</f>
        <v>0.32858333333333334</v>
      </c>
      <c r="F1086">
        <f>VLOOKUP($D1086,'[2]LC Dynamic'!$Q$2:$U$542,3,FALSE)</f>
        <v>0.27224999999999999</v>
      </c>
      <c r="G1086">
        <f>VLOOKUP($D1086,'[2]LC Dynamic'!$Q$2:$U$542,4,FALSE)</f>
        <v>0.39916666666666667</v>
      </c>
      <c r="H1086">
        <f>VLOOKUP($D1086,'[2]LC Dynamic'!$Q$2:$U$542,5,FALSE)</f>
        <v>0</v>
      </c>
      <c r="I1086" s="77">
        <f t="shared" si="3672"/>
        <v>1</v>
      </c>
      <c r="J1086" s="77">
        <f t="shared" si="3673"/>
        <v>5.2536268749999997E-2</v>
      </c>
      <c r="K1086" s="77">
        <f t="shared" si="3747"/>
        <v>4.2760116264699555E-3</v>
      </c>
      <c r="L1086" s="76">
        <v>0</v>
      </c>
      <c r="M1086" s="77">
        <f t="shared" si="3683"/>
        <v>0</v>
      </c>
      <c r="N1086" s="77">
        <f t="shared" si="3684"/>
        <v>0</v>
      </c>
      <c r="O1086" s="77">
        <f t="shared" si="3685"/>
        <v>5.2688749999999993E-3</v>
      </c>
      <c r="P1086" s="77">
        <f t="shared" si="3686"/>
        <v>4.4013681734855759E-4</v>
      </c>
      <c r="R1086" t="s">
        <v>177</v>
      </c>
      <c r="S1086" t="s">
        <v>179</v>
      </c>
      <c r="T1086" s="197" t="str">
        <f t="shared" si="3741"/>
        <v>Autopilot_Dynamic_1</v>
      </c>
      <c r="U1086">
        <v>1</v>
      </c>
      <c r="V1086">
        <f>VLOOKUP($U1086,'[2]AP Dynamic'!$Q$1:$T$542,2,FALSE)</f>
        <v>2.7319423558897184E-2</v>
      </c>
      <c r="W1086">
        <f>VLOOKUP($U1086,'[2]AP Dynamic'!$Q$1:$T$542,3,FALSE)</f>
        <v>0.97268057644110284</v>
      </c>
      <c r="X1086">
        <f>VLOOKUP($U1086,'[2]AP Dynamic'!$Q$1:$T$542,4,FALSE)</f>
        <v>0</v>
      </c>
      <c r="Y1086" s="77">
        <f t="shared" si="3742"/>
        <v>1</v>
      </c>
      <c r="Z1086" s="77">
        <f t="shared" si="3748"/>
        <v>5.1712665347744352E-2</v>
      </c>
      <c r="AA1086" s="77">
        <f t="shared" si="3749"/>
        <v>4.2105014586597544E-3</v>
      </c>
      <c r="AB1086" s="79">
        <v>1</v>
      </c>
      <c r="AC1086" s="77">
        <f t="shared" si="3687"/>
        <v>6.554638847117795E-3</v>
      </c>
      <c r="AD1086" s="77">
        <f t="shared" ref="AD1086" si="3808">1-(1-AC1086)^(1/12)</f>
        <v>5.4786776776927226E-4</v>
      </c>
      <c r="AE1086" s="77">
        <f t="shared" si="3689"/>
        <v>2.5000000000000001E-3</v>
      </c>
      <c r="AF1086" s="77">
        <f t="shared" ref="AF1086" si="3809">1-(1-AE1086)^(1/12)</f>
        <v>2.0857243058891584E-4</v>
      </c>
      <c r="AH1086" t="s">
        <v>175</v>
      </c>
      <c r="AI1086" t="s">
        <v>179</v>
      </c>
      <c r="AJ1086" s="197" t="str">
        <f t="shared" si="3676"/>
        <v>Lifecycle_Dynamic_1</v>
      </c>
      <c r="AK1086">
        <v>1</v>
      </c>
      <c r="AL1086">
        <f>VLOOKUP($U1086,[2]Standard_Dynamic!$Q$1:$T$542,2,FALSE)</f>
        <v>2.2766186299080986E-3</v>
      </c>
      <c r="AM1086">
        <f>VLOOKUP($U1086,[2]Standard_Dynamic!$Q$1:$T$542,3,FALSE)</f>
        <v>0.99772338137009187</v>
      </c>
      <c r="AN1086">
        <f>VLOOKUP($U1086,[2]Standard_Dynamic!$Q$1:$T$542,4,FALSE)</f>
        <v>0</v>
      </c>
      <c r="AO1086" s="77">
        <f t="shared" si="3677"/>
        <v>1</v>
      </c>
      <c r="AP1086" s="77">
        <f t="shared" si="3691"/>
        <v>5.1380222112312017E-2</v>
      </c>
      <c r="AQ1086" s="77">
        <f t="shared" si="3678"/>
        <v>4.1840452969335029E-3</v>
      </c>
      <c r="AR1086" s="79">
        <v>0</v>
      </c>
      <c r="AS1086" s="77">
        <f t="shared" si="3692"/>
        <v>0</v>
      </c>
      <c r="AT1086" s="77">
        <f t="shared" ref="AT1086" si="3810">1-(1-AS1086)^(1/12)</f>
        <v>0</v>
      </c>
      <c r="AU1086" s="77">
        <f t="shared" si="3694"/>
        <v>2.5000000000000001E-3</v>
      </c>
      <c r="AV1086" s="77">
        <f t="shared" ref="AV1086" si="3811">1-(1-AU1086)^(1/12)</f>
        <v>2.0857243058891584E-4</v>
      </c>
      <c r="AX1086" t="s">
        <v>178</v>
      </c>
      <c r="AY1086" t="s">
        <v>162</v>
      </c>
      <c r="AZ1086" s="197" t="str">
        <f t="shared" si="3774"/>
        <v>DIS_Standard_1</v>
      </c>
      <c r="BA1086">
        <v>1</v>
      </c>
      <c r="BB1086">
        <f>VLOOKUP($BA1086,'[2]Standard DIS'!$Q$1:$X$542,4,FALSE)</f>
        <v>0</v>
      </c>
      <c r="BF1086">
        <f>VLOOKUP($BA1086,'[2]Standard DIS'!$Q$1:$X$542,2,FALSE)</f>
        <v>2.2766186299080986E-3</v>
      </c>
      <c r="BH1086">
        <f>VLOOKUP($BA1086,'[2]Standard DIS'!$Q$1:$X$542,3,FALSE)</f>
        <v>0.99772338137009187</v>
      </c>
      <c r="BI1086" s="77">
        <f t="shared" si="3681"/>
        <v>1</v>
      </c>
      <c r="BJ1086" s="77">
        <f t="shared" si="3682"/>
        <v>5.1380222112312017E-2</v>
      </c>
      <c r="BK1086" s="77">
        <f t="shared" si="3775"/>
        <v>4.1840452969335029E-3</v>
      </c>
      <c r="BL1086" s="79">
        <v>0</v>
      </c>
      <c r="BM1086" s="77">
        <f t="shared" si="3696"/>
        <v>0</v>
      </c>
      <c r="BN1086" s="77">
        <f t="shared" si="3697"/>
        <v>0</v>
      </c>
      <c r="BO1086" s="77">
        <f t="shared" si="3698"/>
        <v>2.5000000000000001E-3</v>
      </c>
      <c r="BP1086" s="77">
        <f t="shared" si="3699"/>
        <v>2.0809499864316017E-4</v>
      </c>
    </row>
    <row r="1087" spans="1:68">
      <c r="A1087" t="s">
        <v>175</v>
      </c>
      <c r="B1087" t="s">
        <v>179</v>
      </c>
      <c r="C1087" s="197" t="str">
        <f t="shared" ref="C1087" si="3812">A1087&amp;"_"&amp;B1087&amp;"_"&amp;D1087</f>
        <v>Lifecycle_Dynamic_0</v>
      </c>
      <c r="D1087">
        <v>0</v>
      </c>
      <c r="E1087">
        <f>VLOOKUP($D1087,'[2]LC Dynamic'!$Q$2:$U$542,2,FALSE)</f>
        <v>0.33100000000000002</v>
      </c>
      <c r="F1087">
        <f>VLOOKUP($D1087,'[2]LC Dynamic'!$Q$2:$U$542,3,FALSE)</f>
        <v>0.27100000000000002</v>
      </c>
      <c r="G1087">
        <f>VLOOKUP($D1087,'[2]LC Dynamic'!$Q$2:$U$542,4,FALSE)</f>
        <v>0.39800000000000002</v>
      </c>
      <c r="H1087">
        <f>VLOOKUP($D1087,'[2]LC Dynamic'!$Q$2:$U$542,5,FALSE)</f>
        <v>0</v>
      </c>
      <c r="I1087" s="77">
        <f t="shared" si="3672"/>
        <v>1</v>
      </c>
      <c r="J1087" s="77">
        <f t="shared" si="3673"/>
        <v>5.2504925000000001E-2</v>
      </c>
      <c r="K1087" s="77">
        <f t="shared" ref="K1087" si="3813">(1+J1087)^(1/12)-1</f>
        <v>4.2735193761775925E-3</v>
      </c>
      <c r="L1087" s="76">
        <v>0</v>
      </c>
      <c r="M1087" s="77">
        <f t="shared" si="3683"/>
        <v>0</v>
      </c>
      <c r="N1087" s="77">
        <f t="shared" si="3684"/>
        <v>0</v>
      </c>
      <c r="O1087" s="77">
        <f t="shared" si="3685"/>
        <v>5.2589000000000004E-3</v>
      </c>
      <c r="P1087" s="77">
        <f t="shared" si="3686"/>
        <v>4.3930153603821687E-4</v>
      </c>
      <c r="R1087" t="s">
        <v>177</v>
      </c>
      <c r="S1087" t="s">
        <v>179</v>
      </c>
      <c r="T1087" s="197" t="str">
        <f t="shared" si="3741"/>
        <v>Autopilot_Dynamic_0</v>
      </c>
      <c r="U1087">
        <v>0</v>
      </c>
      <c r="V1087">
        <f>VLOOKUP($U1087,'[2]AP Dynamic'!$Q$1:$T$542,2,FALSE)</f>
        <v>0</v>
      </c>
      <c r="W1087">
        <f>VLOOKUP($U1087,'[2]AP Dynamic'!$Q$1:$T$542,3,FALSE)</f>
        <v>1</v>
      </c>
      <c r="X1087">
        <f>VLOOKUP($U1087,'[2]AP Dynamic'!$Q$1:$T$542,4,FALSE)</f>
        <v>0</v>
      </c>
      <c r="Y1087" s="77">
        <f t="shared" ref="Y1087" si="3814">SUM(V1087:X1087)</f>
        <v>1</v>
      </c>
      <c r="Z1087" s="77">
        <f t="shared" ref="Z1087" si="3815">SUMPRODUCT($V$1:$X$1,V1087:X1087)</f>
        <v>5.1349999999999993E-2</v>
      </c>
      <c r="AA1087" s="77">
        <f t="shared" ref="AA1087" si="3816">(1+Z1087)^(1/12)-1</f>
        <v>4.1816398110932074E-3</v>
      </c>
      <c r="AB1087" s="79">
        <v>1</v>
      </c>
      <c r="AC1087" s="77">
        <f t="shared" si="3687"/>
        <v>6.4999999999999997E-3</v>
      </c>
      <c r="AD1087" s="77">
        <f t="shared" ref="AD1087" si="3817">1-(1-AC1087)^(1/12)</f>
        <v>5.4328711526985263E-4</v>
      </c>
      <c r="AE1087" s="77">
        <f t="shared" si="3689"/>
        <v>2.5000000000000001E-3</v>
      </c>
      <c r="AF1087" s="77">
        <f t="shared" ref="AF1087" si="3818">1-(1-AE1087)^(1/12)</f>
        <v>2.0857243058891584E-4</v>
      </c>
      <c r="AH1087" t="s">
        <v>175</v>
      </c>
      <c r="AI1087" t="s">
        <v>179</v>
      </c>
      <c r="AJ1087" s="197" t="str">
        <f t="shared" si="3676"/>
        <v>Lifecycle_Dynamic_0</v>
      </c>
      <c r="AK1087">
        <v>0</v>
      </c>
      <c r="AL1087">
        <f>VLOOKUP($U1087,[2]Standard_Dynamic!$Q$1:$T$542,2,FALSE)</f>
        <v>0</v>
      </c>
      <c r="AM1087">
        <f>VLOOKUP($U1087,[2]Standard_Dynamic!$Q$1:$T$542,3,FALSE)</f>
        <v>1</v>
      </c>
      <c r="AN1087">
        <f>VLOOKUP($U1087,[2]Standard_Dynamic!$Q$1:$T$542,4,FALSE)</f>
        <v>0</v>
      </c>
      <c r="AO1087" s="77">
        <f t="shared" ref="AO1087" si="3819">SUM(AL1087:AN1087)</f>
        <v>1</v>
      </c>
      <c r="AP1087" s="77">
        <f t="shared" si="3691"/>
        <v>5.1349999999999993E-2</v>
      </c>
      <c r="AQ1087" s="77">
        <f t="shared" si="3678"/>
        <v>4.1816398110932074E-3</v>
      </c>
      <c r="AR1087" s="79">
        <v>0</v>
      </c>
      <c r="AS1087" s="77">
        <f t="shared" si="3692"/>
        <v>0</v>
      </c>
      <c r="AT1087" s="77">
        <f t="shared" ref="AT1087" si="3820">1-(1-AS1087)^(1/12)</f>
        <v>0</v>
      </c>
      <c r="AU1087" s="77">
        <f t="shared" si="3694"/>
        <v>2.5000000000000001E-3</v>
      </c>
      <c r="AV1087" s="77">
        <f t="shared" ref="AV1087" si="3821">1-(1-AU1087)^(1/12)</f>
        <v>2.0857243058891584E-4</v>
      </c>
      <c r="AX1087" t="s">
        <v>178</v>
      </c>
      <c r="AY1087" t="s">
        <v>162</v>
      </c>
      <c r="AZ1087" s="197" t="str">
        <f t="shared" si="3774"/>
        <v>DIS_Standard_0</v>
      </c>
      <c r="BA1087">
        <v>0</v>
      </c>
      <c r="BB1087">
        <f>VLOOKUP($BA1087,'[2]Standard DIS'!$Q$1:$X$542,4,FALSE)</f>
        <v>0</v>
      </c>
      <c r="BD1087" s="81"/>
      <c r="BF1087">
        <f>VLOOKUP($BA1087,'[2]Standard DIS'!$Q$1:$X$542,2,FALSE)</f>
        <v>0</v>
      </c>
      <c r="BH1087">
        <f>VLOOKUP($BA1087,'[2]Standard DIS'!$Q$1:$X$542,3,FALSE)</f>
        <v>1</v>
      </c>
      <c r="BI1087" s="77">
        <f t="shared" si="3681"/>
        <v>1</v>
      </c>
      <c r="BJ1087" s="77">
        <f t="shared" si="3682"/>
        <v>5.1349999999999993E-2</v>
      </c>
      <c r="BK1087" s="77">
        <f t="shared" si="3775"/>
        <v>4.1816398110932074E-3</v>
      </c>
      <c r="BL1087" s="79">
        <v>0</v>
      </c>
      <c r="BM1087" s="77">
        <f t="shared" si="3696"/>
        <v>0</v>
      </c>
      <c r="BN1087" s="77">
        <f t="shared" si="3697"/>
        <v>0</v>
      </c>
      <c r="BO1087" s="77">
        <f t="shared" si="3698"/>
        <v>2.5000000000000001E-3</v>
      </c>
      <c r="BP1087" s="77">
        <f t="shared" si="3699"/>
        <v>2.0809499864316017E-4</v>
      </c>
    </row>
    <row r="1088" spans="1:68">
      <c r="C1088" s="197"/>
      <c r="L1088" s="76"/>
      <c r="T1088" s="197"/>
      <c r="AJ1088" s="197"/>
    </row>
    <row r="1089" spans="1:48">
      <c r="A1089" t="s">
        <v>175</v>
      </c>
      <c r="B1089" t="s">
        <v>180</v>
      </c>
      <c r="C1089" s="197" t="str">
        <f t="shared" ref="C1089:C1100" si="3822">A1089&amp;"_"&amp;B1089&amp;"_"&amp;D1089</f>
        <v>Lifecycle_Opportunity_540</v>
      </c>
      <c r="D1089">
        <v>540</v>
      </c>
      <c r="E1089">
        <f>VLOOKUP($D1089,'[2]LC Opportunity'!$Q$2:$U$542,2,FALSE)</f>
        <v>0</v>
      </c>
      <c r="F1089">
        <f>VLOOKUP($D1089,'[2]LC Opportunity'!$Q$2:$U$542,3,FALSE)</f>
        <v>0</v>
      </c>
      <c r="G1089">
        <f>VLOOKUP($D1089,'[2]LC Opportunity'!$Q$2:$U$542,4,FALSE)</f>
        <v>0</v>
      </c>
      <c r="H1089">
        <f>VLOOKUP($D1089,'[2]LC Opportunity'!$Q$2:$U$542,5,FALSE)</f>
        <v>0.99999999999999989</v>
      </c>
      <c r="I1089" s="77">
        <f t="shared" ref="I1089:I1152" si="3823">SUM(E1089:H1089)</f>
        <v>0.99999999999999989</v>
      </c>
      <c r="J1089" s="77">
        <f t="shared" ref="J1089:J1152" si="3824">SUMPRODUCT($E$1:$H$1,E1089:H1089)</f>
        <v>7.1999999999999981E-2</v>
      </c>
      <c r="K1089" s="77">
        <f t="shared" ref="K1089:K1100" si="3825">(1+J1089)^(1/12)-1</f>
        <v>5.8106552987937654E-3</v>
      </c>
      <c r="L1089" s="76">
        <v>0</v>
      </c>
      <c r="M1089" s="77">
        <f>IF($L1089=0,0,SUMPRODUCT($E$3:$H$3,E1089:H1089))</f>
        <v>0</v>
      </c>
      <c r="N1089" s="77">
        <f>1-(1-M1089)^(1/12)</f>
        <v>0</v>
      </c>
      <c r="O1089" s="77">
        <f>SUMPRODUCT($E$2:$H$2,E1089:H1089)</f>
        <v>4.9999999999999992E-3</v>
      </c>
      <c r="P1089" s="77">
        <f>1-(1-O1089)^(1/12)</f>
        <v>4.1762458919303302E-4</v>
      </c>
      <c r="R1089" t="s">
        <v>177</v>
      </c>
      <c r="S1089" t="s">
        <v>180</v>
      </c>
      <c r="T1089" s="197" t="str">
        <f t="shared" ref="T1089:T1100" si="3826">R1089&amp;"_"&amp;S1089&amp;"_"&amp;U1089</f>
        <v>Autopilot_Opportunity_540</v>
      </c>
      <c r="U1089">
        <v>540</v>
      </c>
      <c r="V1089">
        <f>VLOOKUP($U1089,'[2]AP Opportunity'!$Q$1:$T$542,2,FALSE)</f>
        <v>0.99999997777777772</v>
      </c>
      <c r="W1089">
        <f>VLOOKUP($U1089,'[2]AP Opportunity'!$Q$1:$T$542,3,FALSE)</f>
        <v>2.2222222284540294E-8</v>
      </c>
      <c r="X1089">
        <f>VLOOKUP($U1089,'[2]AP Opportunity'!$Q$1:$T$542,4,FALSE)</f>
        <v>0</v>
      </c>
      <c r="Y1089" s="77">
        <f t="shared" ref="Y1089:Y1100" si="3827">SUM(V1089:X1089)</f>
        <v>1</v>
      </c>
      <c r="Z1089" s="77">
        <f t="shared" ref="Z1089:Z1100" si="3828">SUMPRODUCT($V$1:$X$1,V1089:X1089)</f>
        <v>6.4624999704999977E-2</v>
      </c>
      <c r="AA1089" s="77">
        <f t="shared" ref="AA1089:AA1100" si="3829">(1+Z1089)^(1/12)-1</f>
        <v>5.2321923767311151E-3</v>
      </c>
      <c r="AB1089" s="79">
        <v>1</v>
      </c>
      <c r="AC1089" s="77">
        <f>IF($AB1089=0,0,SUMPRODUCT($V$3:$X$3,V1089:X1089))</f>
        <v>8.499999955555556E-3</v>
      </c>
      <c r="AD1089" s="77">
        <f t="shared" ref="AD1089" si="3830">1-(1-AC1089)^(1/12)</f>
        <v>7.1110795759765644E-4</v>
      </c>
      <c r="AE1089" s="77">
        <f>SUMPRODUCT($V$2:$X$2,V1089:X1089)</f>
        <v>2.5000000000000001E-3</v>
      </c>
      <c r="AF1089" s="77">
        <f t="shared" ref="AF1089" si="3831">1-(1-AE1089)^(1/12)</f>
        <v>2.0857243058891584E-4</v>
      </c>
      <c r="AH1089" t="s">
        <v>175</v>
      </c>
      <c r="AI1089" t="s">
        <v>180</v>
      </c>
      <c r="AJ1089" s="197" t="str">
        <f t="shared" ref="AJ1089:AJ1152" si="3832">AH1089&amp;"_"&amp;AI1089&amp;"_"&amp;AK1089</f>
        <v>Lifecycle_Opportunity_540</v>
      </c>
      <c r="AK1089">
        <v>540</v>
      </c>
      <c r="AL1089">
        <f>VLOOKUP($U1089,[2]Standard_Opportunity!$Q$1:$T$542,2,FALSE)</f>
        <v>0.99999997777777772</v>
      </c>
      <c r="AM1089">
        <f>VLOOKUP($U1089,[2]Standard_Opportunity!$Q$1:$T$542,3,FALSE)</f>
        <v>2.2222222284540294E-8</v>
      </c>
      <c r="AN1089">
        <f>VLOOKUP($U1089,[2]Standard_Opportunity!$Q$1:$T$542,4,FALSE)</f>
        <v>0</v>
      </c>
      <c r="AO1089" s="77">
        <f t="shared" ref="AO1089:AO1152" si="3833">SUM(AL1089:AN1089)</f>
        <v>1</v>
      </c>
      <c r="AP1089" s="77">
        <f>SUMPRODUCT($AL$1:$AN$1,AL1089:AN1089)</f>
        <v>6.4624999704999977E-2</v>
      </c>
      <c r="AQ1089" s="77">
        <f t="shared" ref="AQ1089:AQ1152" si="3834">(1+AP1089)^(1/12)-1</f>
        <v>5.2321923767311151E-3</v>
      </c>
      <c r="AR1089" s="79">
        <v>0</v>
      </c>
      <c r="AS1089" s="77">
        <f>IF(AR1089=0,0,SUMPRODUCT($AL$3:$AN$3,AL1089:AN1089))</f>
        <v>0</v>
      </c>
      <c r="AT1089" s="77">
        <f>(1+AS1089)^(1/12)-1</f>
        <v>0</v>
      </c>
      <c r="AU1089" s="77">
        <f>SUMPRODUCT($AL$2:$AN$2,AL1089:AN1089)</f>
        <v>2.5000000000000001E-3</v>
      </c>
      <c r="AV1089" s="77">
        <f>(1+AU1089)^(1/12)-1</f>
        <v>2.0809499864316017E-4</v>
      </c>
    </row>
    <row r="1090" spans="1:48">
      <c r="A1090" t="s">
        <v>175</v>
      </c>
      <c r="B1090" t="s">
        <v>180</v>
      </c>
      <c r="C1090" s="197" t="str">
        <f t="shared" si="3822"/>
        <v>Lifecycle_Opportunity_539</v>
      </c>
      <c r="D1090">
        <v>539</v>
      </c>
      <c r="E1090">
        <f>VLOOKUP($D1090,'[2]LC Opportunity'!$Q$2:$U$542,2,FALSE)</f>
        <v>0</v>
      </c>
      <c r="F1090">
        <f>VLOOKUP($D1090,'[2]LC Opportunity'!$Q$2:$U$542,3,FALSE)</f>
        <v>0</v>
      </c>
      <c r="G1090">
        <f>VLOOKUP($D1090,'[2]LC Opportunity'!$Q$2:$U$542,4,FALSE)</f>
        <v>0</v>
      </c>
      <c r="H1090">
        <f>VLOOKUP($D1090,'[2]LC Opportunity'!$Q$2:$U$542,5,FALSE)</f>
        <v>0.99999999999999989</v>
      </c>
      <c r="I1090" s="77">
        <f t="shared" si="3823"/>
        <v>0.99999999999999989</v>
      </c>
      <c r="J1090" s="77">
        <f t="shared" si="3824"/>
        <v>7.1999999999999981E-2</v>
      </c>
      <c r="K1090" s="77">
        <f t="shared" si="3825"/>
        <v>5.8106552987937654E-3</v>
      </c>
      <c r="L1090" s="76">
        <v>0</v>
      </c>
      <c r="M1090" s="77">
        <f t="shared" ref="M1090:M1153" si="3835">IF($L1090=0,0,SUMPRODUCT($E$3:$H$3,E1090:H1090))</f>
        <v>0</v>
      </c>
      <c r="N1090" s="77">
        <f t="shared" ref="N1090:N1153" si="3836">1-(1-M1090)^(1/12)</f>
        <v>0</v>
      </c>
      <c r="O1090" s="77">
        <f t="shared" ref="O1090:O1153" si="3837">SUMPRODUCT($E$2:$H$2,E1090:H1090)</f>
        <v>4.9999999999999992E-3</v>
      </c>
      <c r="P1090" s="77">
        <f t="shared" ref="P1090:P1153" si="3838">1-(1-O1090)^(1/12)</f>
        <v>4.1762458919303302E-4</v>
      </c>
      <c r="R1090" t="s">
        <v>177</v>
      </c>
      <c r="S1090" t="s">
        <v>180</v>
      </c>
      <c r="T1090" s="197" t="str">
        <f t="shared" si="3826"/>
        <v>Autopilot_Opportunity_539</v>
      </c>
      <c r="U1090">
        <v>539</v>
      </c>
      <c r="V1090">
        <f>VLOOKUP($U1090,'[2]AP Opportunity'!$Q$1:$T$542,2,FALSE)</f>
        <v>0.99999997777777772</v>
      </c>
      <c r="W1090">
        <f>VLOOKUP($U1090,'[2]AP Opportunity'!$Q$1:$T$542,3,FALSE)</f>
        <v>2.2222222284540294E-8</v>
      </c>
      <c r="X1090">
        <f>VLOOKUP($U1090,'[2]AP Opportunity'!$Q$1:$T$542,4,FALSE)</f>
        <v>0</v>
      </c>
      <c r="Y1090" s="77">
        <f t="shared" si="3827"/>
        <v>1</v>
      </c>
      <c r="Z1090" s="77">
        <f t="shared" si="3828"/>
        <v>6.4624999704999977E-2</v>
      </c>
      <c r="AA1090" s="77">
        <f t="shared" si="3829"/>
        <v>5.2321923767311151E-3</v>
      </c>
      <c r="AB1090" s="79">
        <v>1</v>
      </c>
      <c r="AC1090" s="77">
        <f t="shared" ref="AC1090:AC1153" si="3839">IF($AB1090=0,0,SUMPRODUCT($V$3:$X$3,V1090:X1090))</f>
        <v>8.499999955555556E-3</v>
      </c>
      <c r="AD1090" s="77">
        <f t="shared" ref="AD1090" si="3840">1-(1-AC1090)^(1/12)</f>
        <v>7.1110795759765644E-4</v>
      </c>
      <c r="AE1090" s="77">
        <f t="shared" ref="AE1090:AE1153" si="3841">SUMPRODUCT($V$2:$X$2,V1090:X1090)</f>
        <v>2.5000000000000001E-3</v>
      </c>
      <c r="AF1090" s="77">
        <f t="shared" ref="AF1090" si="3842">1-(1-AE1090)^(1/12)</f>
        <v>2.0857243058891584E-4</v>
      </c>
      <c r="AH1090" t="s">
        <v>175</v>
      </c>
      <c r="AI1090" t="s">
        <v>180</v>
      </c>
      <c r="AJ1090" s="197" t="str">
        <f t="shared" si="3832"/>
        <v>Lifecycle_Opportunity_539</v>
      </c>
      <c r="AK1090">
        <v>539</v>
      </c>
      <c r="AL1090">
        <f>VLOOKUP($U1090,[2]Standard_Opportunity!$Q$1:$T$542,2,FALSE)</f>
        <v>0.99999997777777772</v>
      </c>
      <c r="AM1090">
        <f>VLOOKUP($U1090,[2]Standard_Opportunity!$Q$1:$T$542,3,FALSE)</f>
        <v>2.2222222284540294E-8</v>
      </c>
      <c r="AN1090">
        <f>VLOOKUP($U1090,[2]Standard_Opportunity!$Q$1:$T$542,4,FALSE)</f>
        <v>0</v>
      </c>
      <c r="AO1090" s="77">
        <f t="shared" si="3833"/>
        <v>1</v>
      </c>
      <c r="AP1090" s="77">
        <f t="shared" ref="AP1090:AP1153" si="3843">SUMPRODUCT($AL$1:$AN$1,AL1090:AN1090)</f>
        <v>6.4624999704999977E-2</v>
      </c>
      <c r="AQ1090" s="77">
        <f t="shared" si="3834"/>
        <v>5.2321923767311151E-3</v>
      </c>
      <c r="AR1090" s="79">
        <v>0</v>
      </c>
      <c r="AS1090" s="77">
        <f t="shared" ref="AS1090:AS1153" si="3844">IF(AR1090=0,0,SUMPRODUCT($AL$3:$AN$3,AL1090:AN1090))</f>
        <v>0</v>
      </c>
      <c r="AT1090" s="77">
        <f t="shared" ref="AT1090:AT1153" si="3845">(1+AS1090)^(1/12)-1</f>
        <v>0</v>
      </c>
      <c r="AU1090" s="77">
        <f t="shared" ref="AU1090:AU1153" si="3846">SUMPRODUCT($AL$2:$AN$2,AL1090:AN1090)</f>
        <v>2.5000000000000001E-3</v>
      </c>
      <c r="AV1090" s="77">
        <f t="shared" ref="AV1090:AV1153" si="3847">(1+AU1090)^(1/12)-1</f>
        <v>2.0809499864316017E-4</v>
      </c>
    </row>
    <row r="1091" spans="1:48">
      <c r="A1091" t="s">
        <v>175</v>
      </c>
      <c r="B1091" t="s">
        <v>180</v>
      </c>
      <c r="C1091" s="197" t="str">
        <f t="shared" si="3822"/>
        <v>Lifecycle_Opportunity_538</v>
      </c>
      <c r="D1091">
        <v>538</v>
      </c>
      <c r="E1091">
        <f>VLOOKUP($D1091,'[2]LC Opportunity'!$Q$2:$U$542,2,FALSE)</f>
        <v>0</v>
      </c>
      <c r="F1091">
        <f>VLOOKUP($D1091,'[2]LC Opportunity'!$Q$2:$U$542,3,FALSE)</f>
        <v>0</v>
      </c>
      <c r="G1091">
        <f>VLOOKUP($D1091,'[2]LC Opportunity'!$Q$2:$U$542,4,FALSE)</f>
        <v>0</v>
      </c>
      <c r="H1091">
        <f>VLOOKUP($D1091,'[2]LC Opportunity'!$Q$2:$U$542,5,FALSE)</f>
        <v>0.99999999999999989</v>
      </c>
      <c r="I1091" s="77">
        <f t="shared" si="3823"/>
        <v>0.99999999999999989</v>
      </c>
      <c r="J1091" s="77">
        <f t="shared" si="3824"/>
        <v>7.1999999999999981E-2</v>
      </c>
      <c r="K1091" s="77">
        <f t="shared" si="3825"/>
        <v>5.8106552987937654E-3</v>
      </c>
      <c r="L1091" s="76">
        <v>0</v>
      </c>
      <c r="M1091" s="77">
        <f t="shared" si="3835"/>
        <v>0</v>
      </c>
      <c r="N1091" s="77">
        <f t="shared" si="3836"/>
        <v>0</v>
      </c>
      <c r="O1091" s="77">
        <f t="shared" si="3837"/>
        <v>4.9999999999999992E-3</v>
      </c>
      <c r="P1091" s="77">
        <f t="shared" si="3838"/>
        <v>4.1762458919303302E-4</v>
      </c>
      <c r="R1091" t="s">
        <v>177</v>
      </c>
      <c r="S1091" t="s">
        <v>180</v>
      </c>
      <c r="T1091" s="197" t="str">
        <f t="shared" si="3826"/>
        <v>Autopilot_Opportunity_538</v>
      </c>
      <c r="U1091">
        <v>538</v>
      </c>
      <c r="V1091">
        <f>VLOOKUP($U1091,'[2]AP Opportunity'!$Q$1:$T$542,2,FALSE)</f>
        <v>0.99999997777777772</v>
      </c>
      <c r="W1091">
        <f>VLOOKUP($U1091,'[2]AP Opportunity'!$Q$1:$T$542,3,FALSE)</f>
        <v>2.2222222284540294E-8</v>
      </c>
      <c r="X1091">
        <f>VLOOKUP($U1091,'[2]AP Opportunity'!$Q$1:$T$542,4,FALSE)</f>
        <v>0</v>
      </c>
      <c r="Y1091" s="77">
        <f t="shared" si="3827"/>
        <v>1</v>
      </c>
      <c r="Z1091" s="77">
        <f t="shared" si="3828"/>
        <v>6.4624999704999977E-2</v>
      </c>
      <c r="AA1091" s="77">
        <f t="shared" si="3829"/>
        <v>5.2321923767311151E-3</v>
      </c>
      <c r="AB1091" s="79">
        <v>1</v>
      </c>
      <c r="AC1091" s="77">
        <f t="shared" si="3839"/>
        <v>8.499999955555556E-3</v>
      </c>
      <c r="AD1091" s="77">
        <f t="shared" ref="AD1091" si="3848">1-(1-AC1091)^(1/12)</f>
        <v>7.1110795759765644E-4</v>
      </c>
      <c r="AE1091" s="77">
        <f t="shared" si="3841"/>
        <v>2.5000000000000001E-3</v>
      </c>
      <c r="AF1091" s="77">
        <f t="shared" ref="AF1091" si="3849">1-(1-AE1091)^(1/12)</f>
        <v>2.0857243058891584E-4</v>
      </c>
      <c r="AH1091" t="s">
        <v>175</v>
      </c>
      <c r="AI1091" t="s">
        <v>180</v>
      </c>
      <c r="AJ1091" s="197" t="str">
        <f t="shared" si="3832"/>
        <v>Lifecycle_Opportunity_538</v>
      </c>
      <c r="AK1091">
        <v>538</v>
      </c>
      <c r="AL1091">
        <f>VLOOKUP($U1091,[2]Standard_Opportunity!$Q$1:$T$542,2,FALSE)</f>
        <v>0.99999997777777772</v>
      </c>
      <c r="AM1091">
        <f>VLOOKUP($U1091,[2]Standard_Opportunity!$Q$1:$T$542,3,FALSE)</f>
        <v>2.2222222284540294E-8</v>
      </c>
      <c r="AN1091">
        <f>VLOOKUP($U1091,[2]Standard_Opportunity!$Q$1:$T$542,4,FALSE)</f>
        <v>0</v>
      </c>
      <c r="AO1091" s="77">
        <f t="shared" si="3833"/>
        <v>1</v>
      </c>
      <c r="AP1091" s="77">
        <f t="shared" si="3843"/>
        <v>6.4624999704999977E-2</v>
      </c>
      <c r="AQ1091" s="77">
        <f t="shared" si="3834"/>
        <v>5.2321923767311151E-3</v>
      </c>
      <c r="AR1091" s="79">
        <v>0</v>
      </c>
      <c r="AS1091" s="77">
        <f t="shared" si="3844"/>
        <v>0</v>
      </c>
      <c r="AT1091" s="77">
        <f t="shared" si="3845"/>
        <v>0</v>
      </c>
      <c r="AU1091" s="77">
        <f t="shared" si="3846"/>
        <v>2.5000000000000001E-3</v>
      </c>
      <c r="AV1091" s="77">
        <f t="shared" si="3847"/>
        <v>2.0809499864316017E-4</v>
      </c>
    </row>
    <row r="1092" spans="1:48">
      <c r="A1092" t="s">
        <v>175</v>
      </c>
      <c r="B1092" t="s">
        <v>180</v>
      </c>
      <c r="C1092" s="197" t="str">
        <f t="shared" si="3822"/>
        <v>Lifecycle_Opportunity_537</v>
      </c>
      <c r="D1092">
        <v>537</v>
      </c>
      <c r="E1092">
        <f>VLOOKUP($D1092,'[2]LC Opportunity'!$Q$2:$U$542,2,FALSE)</f>
        <v>0</v>
      </c>
      <c r="F1092">
        <f>VLOOKUP($D1092,'[2]LC Opportunity'!$Q$2:$U$542,3,FALSE)</f>
        <v>0</v>
      </c>
      <c r="G1092">
        <f>VLOOKUP($D1092,'[2]LC Opportunity'!$Q$2:$U$542,4,FALSE)</f>
        <v>0</v>
      </c>
      <c r="H1092">
        <f>VLOOKUP($D1092,'[2]LC Opportunity'!$Q$2:$U$542,5,FALSE)</f>
        <v>0.99999999999999989</v>
      </c>
      <c r="I1092" s="77">
        <f t="shared" si="3823"/>
        <v>0.99999999999999989</v>
      </c>
      <c r="J1092" s="77">
        <f t="shared" si="3824"/>
        <v>7.1999999999999981E-2</v>
      </c>
      <c r="K1092" s="77">
        <f t="shared" si="3825"/>
        <v>5.8106552987937654E-3</v>
      </c>
      <c r="L1092" s="76">
        <v>0</v>
      </c>
      <c r="M1092" s="77">
        <f t="shared" si="3835"/>
        <v>0</v>
      </c>
      <c r="N1092" s="77">
        <f t="shared" si="3836"/>
        <v>0</v>
      </c>
      <c r="O1092" s="77">
        <f t="shared" si="3837"/>
        <v>4.9999999999999992E-3</v>
      </c>
      <c r="P1092" s="77">
        <f t="shared" si="3838"/>
        <v>4.1762458919303302E-4</v>
      </c>
      <c r="R1092" t="s">
        <v>177</v>
      </c>
      <c r="S1092" t="s">
        <v>180</v>
      </c>
      <c r="T1092" s="197" t="str">
        <f t="shared" si="3826"/>
        <v>Autopilot_Opportunity_537</v>
      </c>
      <c r="U1092">
        <v>537</v>
      </c>
      <c r="V1092">
        <f>VLOOKUP($U1092,'[2]AP Opportunity'!$Q$1:$T$542,2,FALSE)</f>
        <v>0.99999997777777772</v>
      </c>
      <c r="W1092">
        <f>VLOOKUP($U1092,'[2]AP Opportunity'!$Q$1:$T$542,3,FALSE)</f>
        <v>2.2222222284540294E-8</v>
      </c>
      <c r="X1092">
        <f>VLOOKUP($U1092,'[2]AP Opportunity'!$Q$1:$T$542,4,FALSE)</f>
        <v>0</v>
      </c>
      <c r="Y1092" s="77">
        <f t="shared" si="3827"/>
        <v>1</v>
      </c>
      <c r="Z1092" s="77">
        <f t="shared" si="3828"/>
        <v>6.4624999704999977E-2</v>
      </c>
      <c r="AA1092" s="77">
        <f t="shared" si="3829"/>
        <v>5.2321923767311151E-3</v>
      </c>
      <c r="AB1092" s="79">
        <v>1</v>
      </c>
      <c r="AC1092" s="77">
        <f t="shared" si="3839"/>
        <v>8.499999955555556E-3</v>
      </c>
      <c r="AD1092" s="77">
        <f t="shared" ref="AD1092" si="3850">1-(1-AC1092)^(1/12)</f>
        <v>7.1110795759765644E-4</v>
      </c>
      <c r="AE1092" s="77">
        <f t="shared" si="3841"/>
        <v>2.5000000000000001E-3</v>
      </c>
      <c r="AF1092" s="77">
        <f t="shared" ref="AF1092" si="3851">1-(1-AE1092)^(1/12)</f>
        <v>2.0857243058891584E-4</v>
      </c>
      <c r="AH1092" t="s">
        <v>175</v>
      </c>
      <c r="AI1092" t="s">
        <v>180</v>
      </c>
      <c r="AJ1092" s="197" t="str">
        <f t="shared" si="3832"/>
        <v>Lifecycle_Opportunity_537</v>
      </c>
      <c r="AK1092">
        <v>537</v>
      </c>
      <c r="AL1092">
        <f>VLOOKUP($U1092,[2]Standard_Opportunity!$Q$1:$T$542,2,FALSE)</f>
        <v>0.99999997777777772</v>
      </c>
      <c r="AM1092">
        <f>VLOOKUP($U1092,[2]Standard_Opportunity!$Q$1:$T$542,3,FALSE)</f>
        <v>2.2222222284540294E-8</v>
      </c>
      <c r="AN1092">
        <f>VLOOKUP($U1092,[2]Standard_Opportunity!$Q$1:$T$542,4,FALSE)</f>
        <v>0</v>
      </c>
      <c r="AO1092" s="77">
        <f t="shared" si="3833"/>
        <v>1</v>
      </c>
      <c r="AP1092" s="77">
        <f t="shared" si="3843"/>
        <v>6.4624999704999977E-2</v>
      </c>
      <c r="AQ1092" s="77">
        <f t="shared" si="3834"/>
        <v>5.2321923767311151E-3</v>
      </c>
      <c r="AR1092" s="79">
        <v>0</v>
      </c>
      <c r="AS1092" s="77">
        <f t="shared" si="3844"/>
        <v>0</v>
      </c>
      <c r="AT1092" s="77">
        <f t="shared" si="3845"/>
        <v>0</v>
      </c>
      <c r="AU1092" s="77">
        <f t="shared" si="3846"/>
        <v>2.5000000000000001E-3</v>
      </c>
      <c r="AV1092" s="77">
        <f t="shared" si="3847"/>
        <v>2.0809499864316017E-4</v>
      </c>
    </row>
    <row r="1093" spans="1:48">
      <c r="A1093" t="s">
        <v>175</v>
      </c>
      <c r="B1093" t="s">
        <v>180</v>
      </c>
      <c r="C1093" s="197" t="str">
        <f t="shared" si="3822"/>
        <v>Lifecycle_Opportunity_536</v>
      </c>
      <c r="D1093">
        <v>536</v>
      </c>
      <c r="E1093">
        <f>VLOOKUP($D1093,'[2]LC Opportunity'!$Q$2:$U$542,2,FALSE)</f>
        <v>0</v>
      </c>
      <c r="F1093">
        <f>VLOOKUP($D1093,'[2]LC Opportunity'!$Q$2:$U$542,3,FALSE)</f>
        <v>0</v>
      </c>
      <c r="G1093">
        <f>VLOOKUP($D1093,'[2]LC Opportunity'!$Q$2:$U$542,4,FALSE)</f>
        <v>0</v>
      </c>
      <c r="H1093">
        <f>VLOOKUP($D1093,'[2]LC Opportunity'!$Q$2:$U$542,5,FALSE)</f>
        <v>0.99999999999999989</v>
      </c>
      <c r="I1093" s="77">
        <f t="shared" si="3823"/>
        <v>0.99999999999999989</v>
      </c>
      <c r="J1093" s="77">
        <f t="shared" si="3824"/>
        <v>7.1999999999999981E-2</v>
      </c>
      <c r="K1093" s="77">
        <f t="shared" si="3825"/>
        <v>5.8106552987937654E-3</v>
      </c>
      <c r="L1093" s="76">
        <v>0</v>
      </c>
      <c r="M1093" s="77">
        <f t="shared" si="3835"/>
        <v>0</v>
      </c>
      <c r="N1093" s="77">
        <f t="shared" si="3836"/>
        <v>0</v>
      </c>
      <c r="O1093" s="77">
        <f t="shared" si="3837"/>
        <v>4.9999999999999992E-3</v>
      </c>
      <c r="P1093" s="77">
        <f t="shared" si="3838"/>
        <v>4.1762458919303302E-4</v>
      </c>
      <c r="R1093" t="s">
        <v>177</v>
      </c>
      <c r="S1093" t="s">
        <v>180</v>
      </c>
      <c r="T1093" s="197" t="str">
        <f t="shared" si="3826"/>
        <v>Autopilot_Opportunity_536</v>
      </c>
      <c r="U1093">
        <v>536</v>
      </c>
      <c r="V1093">
        <f>VLOOKUP($U1093,'[2]AP Opportunity'!$Q$1:$T$542,2,FALSE)</f>
        <v>0.99999997777777772</v>
      </c>
      <c r="W1093">
        <f>VLOOKUP($U1093,'[2]AP Opportunity'!$Q$1:$T$542,3,FALSE)</f>
        <v>2.2222222284540294E-8</v>
      </c>
      <c r="X1093">
        <f>VLOOKUP($U1093,'[2]AP Opportunity'!$Q$1:$T$542,4,FALSE)</f>
        <v>0</v>
      </c>
      <c r="Y1093" s="77">
        <f t="shared" si="3827"/>
        <v>1</v>
      </c>
      <c r="Z1093" s="77">
        <f t="shared" si="3828"/>
        <v>6.4624999704999977E-2</v>
      </c>
      <c r="AA1093" s="77">
        <f t="shared" si="3829"/>
        <v>5.2321923767311151E-3</v>
      </c>
      <c r="AB1093" s="79">
        <v>1</v>
      </c>
      <c r="AC1093" s="77">
        <f t="shared" si="3839"/>
        <v>8.499999955555556E-3</v>
      </c>
      <c r="AD1093" s="77">
        <f t="shared" ref="AD1093" si="3852">1-(1-AC1093)^(1/12)</f>
        <v>7.1110795759765644E-4</v>
      </c>
      <c r="AE1093" s="77">
        <f t="shared" si="3841"/>
        <v>2.5000000000000001E-3</v>
      </c>
      <c r="AF1093" s="77">
        <f t="shared" ref="AF1093" si="3853">1-(1-AE1093)^(1/12)</f>
        <v>2.0857243058891584E-4</v>
      </c>
      <c r="AH1093" t="s">
        <v>175</v>
      </c>
      <c r="AI1093" t="s">
        <v>180</v>
      </c>
      <c r="AJ1093" s="197" t="str">
        <f t="shared" si="3832"/>
        <v>Lifecycle_Opportunity_536</v>
      </c>
      <c r="AK1093">
        <v>536</v>
      </c>
      <c r="AL1093">
        <f>VLOOKUP($U1093,[2]Standard_Opportunity!$Q$1:$T$542,2,FALSE)</f>
        <v>0.99999997777777772</v>
      </c>
      <c r="AM1093">
        <f>VLOOKUP($U1093,[2]Standard_Opportunity!$Q$1:$T$542,3,FALSE)</f>
        <v>2.2222222284540294E-8</v>
      </c>
      <c r="AN1093">
        <f>VLOOKUP($U1093,[2]Standard_Opportunity!$Q$1:$T$542,4,FALSE)</f>
        <v>0</v>
      </c>
      <c r="AO1093" s="77">
        <f t="shared" si="3833"/>
        <v>1</v>
      </c>
      <c r="AP1093" s="77">
        <f t="shared" si="3843"/>
        <v>6.4624999704999977E-2</v>
      </c>
      <c r="AQ1093" s="77">
        <f t="shared" si="3834"/>
        <v>5.2321923767311151E-3</v>
      </c>
      <c r="AR1093" s="79">
        <v>0</v>
      </c>
      <c r="AS1093" s="77">
        <f t="shared" si="3844"/>
        <v>0</v>
      </c>
      <c r="AT1093" s="77">
        <f t="shared" si="3845"/>
        <v>0</v>
      </c>
      <c r="AU1093" s="77">
        <f t="shared" si="3846"/>
        <v>2.5000000000000001E-3</v>
      </c>
      <c r="AV1093" s="77">
        <f t="shared" si="3847"/>
        <v>2.0809499864316017E-4</v>
      </c>
    </row>
    <row r="1094" spans="1:48">
      <c r="A1094" t="s">
        <v>175</v>
      </c>
      <c r="B1094" t="s">
        <v>180</v>
      </c>
      <c r="C1094" s="197" t="str">
        <f t="shared" si="3822"/>
        <v>Lifecycle_Opportunity_535</v>
      </c>
      <c r="D1094">
        <v>535</v>
      </c>
      <c r="E1094">
        <f>VLOOKUP($D1094,'[2]LC Opportunity'!$Q$2:$U$542,2,FALSE)</f>
        <v>0</v>
      </c>
      <c r="F1094">
        <f>VLOOKUP($D1094,'[2]LC Opportunity'!$Q$2:$U$542,3,FALSE)</f>
        <v>0</v>
      </c>
      <c r="G1094">
        <f>VLOOKUP($D1094,'[2]LC Opportunity'!$Q$2:$U$542,4,FALSE)</f>
        <v>0</v>
      </c>
      <c r="H1094">
        <f>VLOOKUP($D1094,'[2]LC Opportunity'!$Q$2:$U$542,5,FALSE)</f>
        <v>0.99999999999999989</v>
      </c>
      <c r="I1094" s="77">
        <f t="shared" si="3823"/>
        <v>0.99999999999999989</v>
      </c>
      <c r="J1094" s="77">
        <f t="shared" si="3824"/>
        <v>7.1999999999999981E-2</v>
      </c>
      <c r="K1094" s="77">
        <f t="shared" si="3825"/>
        <v>5.8106552987937654E-3</v>
      </c>
      <c r="L1094" s="76">
        <v>0</v>
      </c>
      <c r="M1094" s="77">
        <f t="shared" si="3835"/>
        <v>0</v>
      </c>
      <c r="N1094" s="77">
        <f t="shared" si="3836"/>
        <v>0</v>
      </c>
      <c r="O1094" s="77">
        <f t="shared" si="3837"/>
        <v>4.9999999999999992E-3</v>
      </c>
      <c r="P1094" s="77">
        <f t="shared" si="3838"/>
        <v>4.1762458919303302E-4</v>
      </c>
      <c r="R1094" t="s">
        <v>177</v>
      </c>
      <c r="S1094" t="s">
        <v>180</v>
      </c>
      <c r="T1094" s="197" t="str">
        <f t="shared" si="3826"/>
        <v>Autopilot_Opportunity_535</v>
      </c>
      <c r="U1094">
        <v>535</v>
      </c>
      <c r="V1094">
        <f>VLOOKUP($U1094,'[2]AP Opportunity'!$Q$1:$T$542,2,FALSE)</f>
        <v>0.99999997777777772</v>
      </c>
      <c r="W1094">
        <f>VLOOKUP($U1094,'[2]AP Opportunity'!$Q$1:$T$542,3,FALSE)</f>
        <v>2.2222222284540294E-8</v>
      </c>
      <c r="X1094">
        <f>VLOOKUP($U1094,'[2]AP Opportunity'!$Q$1:$T$542,4,FALSE)</f>
        <v>0</v>
      </c>
      <c r="Y1094" s="77">
        <f t="shared" si="3827"/>
        <v>1</v>
      </c>
      <c r="Z1094" s="77">
        <f t="shared" si="3828"/>
        <v>6.4624999704999977E-2</v>
      </c>
      <c r="AA1094" s="77">
        <f t="shared" si="3829"/>
        <v>5.2321923767311151E-3</v>
      </c>
      <c r="AB1094" s="79">
        <v>1</v>
      </c>
      <c r="AC1094" s="77">
        <f t="shared" si="3839"/>
        <v>8.499999955555556E-3</v>
      </c>
      <c r="AD1094" s="77">
        <f t="shared" ref="AD1094" si="3854">1-(1-AC1094)^(1/12)</f>
        <v>7.1110795759765644E-4</v>
      </c>
      <c r="AE1094" s="77">
        <f t="shared" si="3841"/>
        <v>2.5000000000000001E-3</v>
      </c>
      <c r="AF1094" s="77">
        <f t="shared" ref="AF1094" si="3855">1-(1-AE1094)^(1/12)</f>
        <v>2.0857243058891584E-4</v>
      </c>
      <c r="AH1094" t="s">
        <v>175</v>
      </c>
      <c r="AI1094" t="s">
        <v>180</v>
      </c>
      <c r="AJ1094" s="197" t="str">
        <f t="shared" si="3832"/>
        <v>Lifecycle_Opportunity_535</v>
      </c>
      <c r="AK1094">
        <v>535</v>
      </c>
      <c r="AL1094">
        <f>VLOOKUP($U1094,[2]Standard_Opportunity!$Q$1:$T$542,2,FALSE)</f>
        <v>0.99999997777777772</v>
      </c>
      <c r="AM1094">
        <f>VLOOKUP($U1094,[2]Standard_Opportunity!$Q$1:$T$542,3,FALSE)</f>
        <v>2.2222222284540294E-8</v>
      </c>
      <c r="AN1094">
        <f>VLOOKUP($U1094,[2]Standard_Opportunity!$Q$1:$T$542,4,FALSE)</f>
        <v>0</v>
      </c>
      <c r="AO1094" s="77">
        <f t="shared" si="3833"/>
        <v>1</v>
      </c>
      <c r="AP1094" s="77">
        <f t="shared" si="3843"/>
        <v>6.4624999704999977E-2</v>
      </c>
      <c r="AQ1094" s="77">
        <f t="shared" si="3834"/>
        <v>5.2321923767311151E-3</v>
      </c>
      <c r="AR1094" s="79">
        <v>0</v>
      </c>
      <c r="AS1094" s="77">
        <f t="shared" si="3844"/>
        <v>0</v>
      </c>
      <c r="AT1094" s="77">
        <f t="shared" si="3845"/>
        <v>0</v>
      </c>
      <c r="AU1094" s="77">
        <f t="shared" si="3846"/>
        <v>2.5000000000000001E-3</v>
      </c>
      <c r="AV1094" s="77">
        <f t="shared" si="3847"/>
        <v>2.0809499864316017E-4</v>
      </c>
    </row>
    <row r="1095" spans="1:48">
      <c r="A1095" t="s">
        <v>175</v>
      </c>
      <c r="B1095" t="s">
        <v>180</v>
      </c>
      <c r="C1095" s="197" t="str">
        <f t="shared" si="3822"/>
        <v>Lifecycle_Opportunity_534</v>
      </c>
      <c r="D1095">
        <v>534</v>
      </c>
      <c r="E1095">
        <f>VLOOKUP($D1095,'[2]LC Opportunity'!$Q$2:$U$542,2,FALSE)</f>
        <v>0</v>
      </c>
      <c r="F1095">
        <f>VLOOKUP($D1095,'[2]LC Opportunity'!$Q$2:$U$542,3,FALSE)</f>
        <v>0</v>
      </c>
      <c r="G1095">
        <f>VLOOKUP($D1095,'[2]LC Opportunity'!$Q$2:$U$542,4,FALSE)</f>
        <v>0</v>
      </c>
      <c r="H1095">
        <f>VLOOKUP($D1095,'[2]LC Opportunity'!$Q$2:$U$542,5,FALSE)</f>
        <v>0.99999999999999989</v>
      </c>
      <c r="I1095" s="77">
        <f t="shared" si="3823"/>
        <v>0.99999999999999989</v>
      </c>
      <c r="J1095" s="77">
        <f t="shared" si="3824"/>
        <v>7.1999999999999981E-2</v>
      </c>
      <c r="K1095" s="77">
        <f t="shared" si="3825"/>
        <v>5.8106552987937654E-3</v>
      </c>
      <c r="L1095" s="76">
        <v>0</v>
      </c>
      <c r="M1095" s="77">
        <f t="shared" si="3835"/>
        <v>0</v>
      </c>
      <c r="N1095" s="77">
        <f t="shared" si="3836"/>
        <v>0</v>
      </c>
      <c r="O1095" s="77">
        <f t="shared" si="3837"/>
        <v>4.9999999999999992E-3</v>
      </c>
      <c r="P1095" s="77">
        <f t="shared" si="3838"/>
        <v>4.1762458919303302E-4</v>
      </c>
      <c r="R1095" t="s">
        <v>177</v>
      </c>
      <c r="S1095" t="s">
        <v>180</v>
      </c>
      <c r="T1095" s="197" t="str">
        <f t="shared" si="3826"/>
        <v>Autopilot_Opportunity_534</v>
      </c>
      <c r="U1095">
        <v>534</v>
      </c>
      <c r="V1095">
        <f>VLOOKUP($U1095,'[2]AP Opportunity'!$Q$1:$T$542,2,FALSE)</f>
        <v>0.99999997777777772</v>
      </c>
      <c r="W1095">
        <f>VLOOKUP($U1095,'[2]AP Opportunity'!$Q$1:$T$542,3,FALSE)</f>
        <v>2.2222222284540294E-8</v>
      </c>
      <c r="X1095">
        <f>VLOOKUP($U1095,'[2]AP Opportunity'!$Q$1:$T$542,4,FALSE)</f>
        <v>0</v>
      </c>
      <c r="Y1095" s="77">
        <f t="shared" si="3827"/>
        <v>1</v>
      </c>
      <c r="Z1095" s="77">
        <f t="shared" si="3828"/>
        <v>6.4624999704999977E-2</v>
      </c>
      <c r="AA1095" s="77">
        <f t="shared" si="3829"/>
        <v>5.2321923767311151E-3</v>
      </c>
      <c r="AB1095" s="79">
        <v>1</v>
      </c>
      <c r="AC1095" s="77">
        <f t="shared" si="3839"/>
        <v>8.499999955555556E-3</v>
      </c>
      <c r="AD1095" s="77">
        <f t="shared" ref="AD1095" si="3856">1-(1-AC1095)^(1/12)</f>
        <v>7.1110795759765644E-4</v>
      </c>
      <c r="AE1095" s="77">
        <f t="shared" si="3841"/>
        <v>2.5000000000000001E-3</v>
      </c>
      <c r="AF1095" s="77">
        <f t="shared" ref="AF1095" si="3857">1-(1-AE1095)^(1/12)</f>
        <v>2.0857243058891584E-4</v>
      </c>
      <c r="AH1095" t="s">
        <v>175</v>
      </c>
      <c r="AI1095" t="s">
        <v>180</v>
      </c>
      <c r="AJ1095" s="197" t="str">
        <f t="shared" si="3832"/>
        <v>Lifecycle_Opportunity_534</v>
      </c>
      <c r="AK1095">
        <v>534</v>
      </c>
      <c r="AL1095">
        <f>VLOOKUP($U1095,[2]Standard_Opportunity!$Q$1:$T$542,2,FALSE)</f>
        <v>0.99999997777777772</v>
      </c>
      <c r="AM1095">
        <f>VLOOKUP($U1095,[2]Standard_Opportunity!$Q$1:$T$542,3,FALSE)</f>
        <v>2.2222222284540294E-8</v>
      </c>
      <c r="AN1095">
        <f>VLOOKUP($U1095,[2]Standard_Opportunity!$Q$1:$T$542,4,FALSE)</f>
        <v>0</v>
      </c>
      <c r="AO1095" s="77">
        <f t="shared" si="3833"/>
        <v>1</v>
      </c>
      <c r="AP1095" s="77">
        <f t="shared" si="3843"/>
        <v>6.4624999704999977E-2</v>
      </c>
      <c r="AQ1095" s="77">
        <f t="shared" si="3834"/>
        <v>5.2321923767311151E-3</v>
      </c>
      <c r="AR1095" s="79">
        <v>0</v>
      </c>
      <c r="AS1095" s="77">
        <f t="shared" si="3844"/>
        <v>0</v>
      </c>
      <c r="AT1095" s="77">
        <f t="shared" si="3845"/>
        <v>0</v>
      </c>
      <c r="AU1095" s="77">
        <f t="shared" si="3846"/>
        <v>2.5000000000000001E-3</v>
      </c>
      <c r="AV1095" s="77">
        <f t="shared" si="3847"/>
        <v>2.0809499864316017E-4</v>
      </c>
    </row>
    <row r="1096" spans="1:48">
      <c r="A1096" t="s">
        <v>175</v>
      </c>
      <c r="B1096" t="s">
        <v>180</v>
      </c>
      <c r="C1096" s="197" t="str">
        <f t="shared" si="3822"/>
        <v>Lifecycle_Opportunity_533</v>
      </c>
      <c r="D1096">
        <v>533</v>
      </c>
      <c r="E1096">
        <f>VLOOKUP($D1096,'[2]LC Opportunity'!$Q$2:$U$542,2,FALSE)</f>
        <v>0</v>
      </c>
      <c r="F1096">
        <f>VLOOKUP($D1096,'[2]LC Opportunity'!$Q$2:$U$542,3,FALSE)</f>
        <v>0</v>
      </c>
      <c r="G1096">
        <f>VLOOKUP($D1096,'[2]LC Opportunity'!$Q$2:$U$542,4,FALSE)</f>
        <v>0</v>
      </c>
      <c r="H1096">
        <f>VLOOKUP($D1096,'[2]LC Opportunity'!$Q$2:$U$542,5,FALSE)</f>
        <v>0.99999999999999989</v>
      </c>
      <c r="I1096" s="77">
        <f t="shared" si="3823"/>
        <v>0.99999999999999989</v>
      </c>
      <c r="J1096" s="77">
        <f t="shared" si="3824"/>
        <v>7.1999999999999981E-2</v>
      </c>
      <c r="K1096" s="77">
        <f t="shared" si="3825"/>
        <v>5.8106552987937654E-3</v>
      </c>
      <c r="L1096" s="76">
        <v>0</v>
      </c>
      <c r="M1096" s="77">
        <f t="shared" si="3835"/>
        <v>0</v>
      </c>
      <c r="N1096" s="77">
        <f t="shared" si="3836"/>
        <v>0</v>
      </c>
      <c r="O1096" s="77">
        <f t="shared" si="3837"/>
        <v>4.9999999999999992E-3</v>
      </c>
      <c r="P1096" s="77">
        <f t="shared" si="3838"/>
        <v>4.1762458919303302E-4</v>
      </c>
      <c r="R1096" t="s">
        <v>177</v>
      </c>
      <c r="S1096" t="s">
        <v>180</v>
      </c>
      <c r="T1096" s="197" t="str">
        <f t="shared" si="3826"/>
        <v>Autopilot_Opportunity_533</v>
      </c>
      <c r="U1096">
        <v>533</v>
      </c>
      <c r="V1096">
        <f>VLOOKUP($U1096,'[2]AP Opportunity'!$Q$1:$T$542,2,FALSE)</f>
        <v>0.99999997777777772</v>
      </c>
      <c r="W1096">
        <f>VLOOKUP($U1096,'[2]AP Opportunity'!$Q$1:$T$542,3,FALSE)</f>
        <v>2.2222222284540294E-8</v>
      </c>
      <c r="X1096">
        <f>VLOOKUP($U1096,'[2]AP Opportunity'!$Q$1:$T$542,4,FALSE)</f>
        <v>0</v>
      </c>
      <c r="Y1096" s="77">
        <f t="shared" si="3827"/>
        <v>1</v>
      </c>
      <c r="Z1096" s="77">
        <f t="shared" si="3828"/>
        <v>6.4624999704999977E-2</v>
      </c>
      <c r="AA1096" s="77">
        <f t="shared" si="3829"/>
        <v>5.2321923767311151E-3</v>
      </c>
      <c r="AB1096" s="79">
        <v>1</v>
      </c>
      <c r="AC1096" s="77">
        <f t="shared" si="3839"/>
        <v>8.499999955555556E-3</v>
      </c>
      <c r="AD1096" s="77">
        <f t="shared" ref="AD1096" si="3858">1-(1-AC1096)^(1/12)</f>
        <v>7.1110795759765644E-4</v>
      </c>
      <c r="AE1096" s="77">
        <f t="shared" si="3841"/>
        <v>2.5000000000000001E-3</v>
      </c>
      <c r="AF1096" s="77">
        <f t="shared" ref="AF1096" si="3859">1-(1-AE1096)^(1/12)</f>
        <v>2.0857243058891584E-4</v>
      </c>
      <c r="AH1096" t="s">
        <v>175</v>
      </c>
      <c r="AI1096" t="s">
        <v>180</v>
      </c>
      <c r="AJ1096" s="197" t="str">
        <f t="shared" si="3832"/>
        <v>Lifecycle_Opportunity_533</v>
      </c>
      <c r="AK1096">
        <v>533</v>
      </c>
      <c r="AL1096">
        <f>VLOOKUP($U1096,[2]Standard_Opportunity!$Q$1:$T$542,2,FALSE)</f>
        <v>0.99999997777777772</v>
      </c>
      <c r="AM1096">
        <f>VLOOKUP($U1096,[2]Standard_Opportunity!$Q$1:$T$542,3,FALSE)</f>
        <v>2.2222222284540294E-8</v>
      </c>
      <c r="AN1096">
        <f>VLOOKUP($U1096,[2]Standard_Opportunity!$Q$1:$T$542,4,FALSE)</f>
        <v>0</v>
      </c>
      <c r="AO1096" s="77">
        <f t="shared" si="3833"/>
        <v>1</v>
      </c>
      <c r="AP1096" s="77">
        <f t="shared" si="3843"/>
        <v>6.4624999704999977E-2</v>
      </c>
      <c r="AQ1096" s="77">
        <f t="shared" si="3834"/>
        <v>5.2321923767311151E-3</v>
      </c>
      <c r="AR1096" s="79">
        <v>0</v>
      </c>
      <c r="AS1096" s="77">
        <f t="shared" si="3844"/>
        <v>0</v>
      </c>
      <c r="AT1096" s="77">
        <f t="shared" si="3845"/>
        <v>0</v>
      </c>
      <c r="AU1096" s="77">
        <f t="shared" si="3846"/>
        <v>2.5000000000000001E-3</v>
      </c>
      <c r="AV1096" s="77">
        <f t="shared" si="3847"/>
        <v>2.0809499864316017E-4</v>
      </c>
    </row>
    <row r="1097" spans="1:48">
      <c r="A1097" t="s">
        <v>175</v>
      </c>
      <c r="B1097" t="s">
        <v>180</v>
      </c>
      <c r="C1097" s="197" t="str">
        <f t="shared" si="3822"/>
        <v>Lifecycle_Opportunity_532</v>
      </c>
      <c r="D1097">
        <v>532</v>
      </c>
      <c r="E1097">
        <f>VLOOKUP($D1097,'[2]LC Opportunity'!$Q$2:$U$542,2,FALSE)</f>
        <v>0</v>
      </c>
      <c r="F1097">
        <f>VLOOKUP($D1097,'[2]LC Opportunity'!$Q$2:$U$542,3,FALSE)</f>
        <v>0</v>
      </c>
      <c r="G1097">
        <f>VLOOKUP($D1097,'[2]LC Opportunity'!$Q$2:$U$542,4,FALSE)</f>
        <v>0</v>
      </c>
      <c r="H1097">
        <f>VLOOKUP($D1097,'[2]LC Opportunity'!$Q$2:$U$542,5,FALSE)</f>
        <v>0.99999999999999989</v>
      </c>
      <c r="I1097" s="77">
        <f t="shared" si="3823"/>
        <v>0.99999999999999989</v>
      </c>
      <c r="J1097" s="77">
        <f t="shared" si="3824"/>
        <v>7.1999999999999981E-2</v>
      </c>
      <c r="K1097" s="77">
        <f t="shared" si="3825"/>
        <v>5.8106552987937654E-3</v>
      </c>
      <c r="L1097" s="76">
        <v>0</v>
      </c>
      <c r="M1097" s="77">
        <f t="shared" si="3835"/>
        <v>0</v>
      </c>
      <c r="N1097" s="77">
        <f t="shared" si="3836"/>
        <v>0</v>
      </c>
      <c r="O1097" s="77">
        <f t="shared" si="3837"/>
        <v>4.9999999999999992E-3</v>
      </c>
      <c r="P1097" s="77">
        <f t="shared" si="3838"/>
        <v>4.1762458919303302E-4</v>
      </c>
      <c r="R1097" t="s">
        <v>177</v>
      </c>
      <c r="S1097" t="s">
        <v>180</v>
      </c>
      <c r="T1097" s="197" t="str">
        <f t="shared" si="3826"/>
        <v>Autopilot_Opportunity_532</v>
      </c>
      <c r="U1097">
        <v>532</v>
      </c>
      <c r="V1097">
        <f>VLOOKUP($U1097,'[2]AP Opportunity'!$Q$1:$T$542,2,FALSE)</f>
        <v>0.99999997777777772</v>
      </c>
      <c r="W1097">
        <f>VLOOKUP($U1097,'[2]AP Opportunity'!$Q$1:$T$542,3,FALSE)</f>
        <v>2.2222222284540294E-8</v>
      </c>
      <c r="X1097">
        <f>VLOOKUP($U1097,'[2]AP Opportunity'!$Q$1:$T$542,4,FALSE)</f>
        <v>0</v>
      </c>
      <c r="Y1097" s="77">
        <f t="shared" si="3827"/>
        <v>1</v>
      </c>
      <c r="Z1097" s="77">
        <f t="shared" si="3828"/>
        <v>6.4624999704999977E-2</v>
      </c>
      <c r="AA1097" s="77">
        <f t="shared" si="3829"/>
        <v>5.2321923767311151E-3</v>
      </c>
      <c r="AB1097" s="79">
        <v>1</v>
      </c>
      <c r="AC1097" s="77">
        <f t="shared" si="3839"/>
        <v>8.499999955555556E-3</v>
      </c>
      <c r="AD1097" s="77">
        <f t="shared" ref="AD1097" si="3860">1-(1-AC1097)^(1/12)</f>
        <v>7.1110795759765644E-4</v>
      </c>
      <c r="AE1097" s="77">
        <f t="shared" si="3841"/>
        <v>2.5000000000000001E-3</v>
      </c>
      <c r="AF1097" s="77">
        <f t="shared" ref="AF1097" si="3861">1-(1-AE1097)^(1/12)</f>
        <v>2.0857243058891584E-4</v>
      </c>
      <c r="AH1097" t="s">
        <v>175</v>
      </c>
      <c r="AI1097" t="s">
        <v>180</v>
      </c>
      <c r="AJ1097" s="197" t="str">
        <f t="shared" si="3832"/>
        <v>Lifecycle_Opportunity_532</v>
      </c>
      <c r="AK1097">
        <v>532</v>
      </c>
      <c r="AL1097">
        <f>VLOOKUP($U1097,[2]Standard_Opportunity!$Q$1:$T$542,2,FALSE)</f>
        <v>0.99999997777777772</v>
      </c>
      <c r="AM1097">
        <f>VLOOKUP($U1097,[2]Standard_Opportunity!$Q$1:$T$542,3,FALSE)</f>
        <v>2.2222222284540294E-8</v>
      </c>
      <c r="AN1097">
        <f>VLOOKUP($U1097,[2]Standard_Opportunity!$Q$1:$T$542,4,FALSE)</f>
        <v>0</v>
      </c>
      <c r="AO1097" s="77">
        <f t="shared" si="3833"/>
        <v>1</v>
      </c>
      <c r="AP1097" s="77">
        <f t="shared" si="3843"/>
        <v>6.4624999704999977E-2</v>
      </c>
      <c r="AQ1097" s="77">
        <f t="shared" si="3834"/>
        <v>5.2321923767311151E-3</v>
      </c>
      <c r="AR1097" s="79">
        <v>0</v>
      </c>
      <c r="AS1097" s="77">
        <f t="shared" si="3844"/>
        <v>0</v>
      </c>
      <c r="AT1097" s="77">
        <f t="shared" si="3845"/>
        <v>0</v>
      </c>
      <c r="AU1097" s="77">
        <f t="shared" si="3846"/>
        <v>2.5000000000000001E-3</v>
      </c>
      <c r="AV1097" s="77">
        <f t="shared" si="3847"/>
        <v>2.0809499864316017E-4</v>
      </c>
    </row>
    <row r="1098" spans="1:48">
      <c r="A1098" t="s">
        <v>175</v>
      </c>
      <c r="B1098" t="s">
        <v>180</v>
      </c>
      <c r="C1098" s="197" t="str">
        <f t="shared" si="3822"/>
        <v>Lifecycle_Opportunity_531</v>
      </c>
      <c r="D1098">
        <v>531</v>
      </c>
      <c r="E1098">
        <f>VLOOKUP($D1098,'[2]LC Opportunity'!$Q$2:$U$542,2,FALSE)</f>
        <v>0</v>
      </c>
      <c r="F1098">
        <f>VLOOKUP($D1098,'[2]LC Opportunity'!$Q$2:$U$542,3,FALSE)</f>
        <v>0</v>
      </c>
      <c r="G1098">
        <f>VLOOKUP($D1098,'[2]LC Opportunity'!$Q$2:$U$542,4,FALSE)</f>
        <v>0</v>
      </c>
      <c r="H1098">
        <f>VLOOKUP($D1098,'[2]LC Opportunity'!$Q$2:$U$542,5,FALSE)</f>
        <v>0.99999999999999989</v>
      </c>
      <c r="I1098" s="77">
        <f t="shared" si="3823"/>
        <v>0.99999999999999989</v>
      </c>
      <c r="J1098" s="77">
        <f t="shared" si="3824"/>
        <v>7.1999999999999981E-2</v>
      </c>
      <c r="K1098" s="77">
        <f t="shared" si="3825"/>
        <v>5.8106552987937654E-3</v>
      </c>
      <c r="L1098" s="76">
        <v>0</v>
      </c>
      <c r="M1098" s="77">
        <f t="shared" si="3835"/>
        <v>0</v>
      </c>
      <c r="N1098" s="77">
        <f t="shared" si="3836"/>
        <v>0</v>
      </c>
      <c r="O1098" s="77">
        <f t="shared" si="3837"/>
        <v>4.9999999999999992E-3</v>
      </c>
      <c r="P1098" s="77">
        <f t="shared" si="3838"/>
        <v>4.1762458919303302E-4</v>
      </c>
      <c r="R1098" t="s">
        <v>177</v>
      </c>
      <c r="S1098" t="s">
        <v>180</v>
      </c>
      <c r="T1098" s="197" t="str">
        <f t="shared" si="3826"/>
        <v>Autopilot_Opportunity_531</v>
      </c>
      <c r="U1098">
        <v>531</v>
      </c>
      <c r="V1098">
        <f>VLOOKUP($U1098,'[2]AP Opportunity'!$Q$1:$T$542,2,FALSE)</f>
        <v>0.99999997777777772</v>
      </c>
      <c r="W1098">
        <f>VLOOKUP($U1098,'[2]AP Opportunity'!$Q$1:$T$542,3,FALSE)</f>
        <v>2.2222222284540294E-8</v>
      </c>
      <c r="X1098">
        <f>VLOOKUP($U1098,'[2]AP Opportunity'!$Q$1:$T$542,4,FALSE)</f>
        <v>0</v>
      </c>
      <c r="Y1098" s="77">
        <f t="shared" si="3827"/>
        <v>1</v>
      </c>
      <c r="Z1098" s="77">
        <f t="shared" si="3828"/>
        <v>6.4624999704999977E-2</v>
      </c>
      <c r="AA1098" s="77">
        <f t="shared" si="3829"/>
        <v>5.2321923767311151E-3</v>
      </c>
      <c r="AB1098" s="79">
        <v>1</v>
      </c>
      <c r="AC1098" s="77">
        <f t="shared" si="3839"/>
        <v>8.499999955555556E-3</v>
      </c>
      <c r="AD1098" s="77">
        <f t="shared" ref="AD1098" si="3862">1-(1-AC1098)^(1/12)</f>
        <v>7.1110795759765644E-4</v>
      </c>
      <c r="AE1098" s="77">
        <f t="shared" si="3841"/>
        <v>2.5000000000000001E-3</v>
      </c>
      <c r="AF1098" s="77">
        <f t="shared" ref="AF1098" si="3863">1-(1-AE1098)^(1/12)</f>
        <v>2.0857243058891584E-4</v>
      </c>
      <c r="AH1098" t="s">
        <v>175</v>
      </c>
      <c r="AI1098" t="s">
        <v>180</v>
      </c>
      <c r="AJ1098" s="197" t="str">
        <f t="shared" si="3832"/>
        <v>Lifecycle_Opportunity_531</v>
      </c>
      <c r="AK1098">
        <v>531</v>
      </c>
      <c r="AL1098">
        <f>VLOOKUP($U1098,[2]Standard_Opportunity!$Q$1:$T$542,2,FALSE)</f>
        <v>0.99999997777777772</v>
      </c>
      <c r="AM1098">
        <f>VLOOKUP($U1098,[2]Standard_Opportunity!$Q$1:$T$542,3,FALSE)</f>
        <v>2.2222222284540294E-8</v>
      </c>
      <c r="AN1098">
        <f>VLOOKUP($U1098,[2]Standard_Opportunity!$Q$1:$T$542,4,FALSE)</f>
        <v>0</v>
      </c>
      <c r="AO1098" s="77">
        <f t="shared" si="3833"/>
        <v>1</v>
      </c>
      <c r="AP1098" s="77">
        <f t="shared" si="3843"/>
        <v>6.4624999704999977E-2</v>
      </c>
      <c r="AQ1098" s="77">
        <f t="shared" si="3834"/>
        <v>5.2321923767311151E-3</v>
      </c>
      <c r="AR1098" s="79">
        <v>0</v>
      </c>
      <c r="AS1098" s="77">
        <f t="shared" si="3844"/>
        <v>0</v>
      </c>
      <c r="AT1098" s="77">
        <f t="shared" si="3845"/>
        <v>0</v>
      </c>
      <c r="AU1098" s="77">
        <f t="shared" si="3846"/>
        <v>2.5000000000000001E-3</v>
      </c>
      <c r="AV1098" s="77">
        <f t="shared" si="3847"/>
        <v>2.0809499864316017E-4</v>
      </c>
    </row>
    <row r="1099" spans="1:48">
      <c r="A1099" t="s">
        <v>175</v>
      </c>
      <c r="B1099" t="s">
        <v>180</v>
      </c>
      <c r="C1099" s="197" t="str">
        <f t="shared" si="3822"/>
        <v>Lifecycle_Opportunity_530</v>
      </c>
      <c r="D1099">
        <v>530</v>
      </c>
      <c r="E1099">
        <f>VLOOKUP($D1099,'[2]LC Opportunity'!$Q$2:$U$542,2,FALSE)</f>
        <v>0</v>
      </c>
      <c r="F1099">
        <f>VLOOKUP($D1099,'[2]LC Opportunity'!$Q$2:$U$542,3,FALSE)</f>
        <v>0</v>
      </c>
      <c r="G1099">
        <f>VLOOKUP($D1099,'[2]LC Opportunity'!$Q$2:$U$542,4,FALSE)</f>
        <v>0</v>
      </c>
      <c r="H1099">
        <f>VLOOKUP($D1099,'[2]LC Opportunity'!$Q$2:$U$542,5,FALSE)</f>
        <v>0.99999999999999989</v>
      </c>
      <c r="I1099" s="77">
        <f t="shared" si="3823"/>
        <v>0.99999999999999989</v>
      </c>
      <c r="J1099" s="77">
        <f t="shared" si="3824"/>
        <v>7.1999999999999981E-2</v>
      </c>
      <c r="K1099" s="77">
        <f t="shared" si="3825"/>
        <v>5.8106552987937654E-3</v>
      </c>
      <c r="L1099" s="76">
        <v>0</v>
      </c>
      <c r="M1099" s="77">
        <f t="shared" si="3835"/>
        <v>0</v>
      </c>
      <c r="N1099" s="77">
        <f t="shared" si="3836"/>
        <v>0</v>
      </c>
      <c r="O1099" s="77">
        <f t="shared" si="3837"/>
        <v>4.9999999999999992E-3</v>
      </c>
      <c r="P1099" s="77">
        <f t="shared" si="3838"/>
        <v>4.1762458919303302E-4</v>
      </c>
      <c r="R1099" t="s">
        <v>177</v>
      </c>
      <c r="S1099" t="s">
        <v>180</v>
      </c>
      <c r="T1099" s="197" t="str">
        <f t="shared" si="3826"/>
        <v>Autopilot_Opportunity_530</v>
      </c>
      <c r="U1099">
        <v>530</v>
      </c>
      <c r="V1099">
        <f>VLOOKUP($U1099,'[2]AP Opportunity'!$Q$1:$T$542,2,FALSE)</f>
        <v>0.99999997777777772</v>
      </c>
      <c r="W1099">
        <f>VLOOKUP($U1099,'[2]AP Opportunity'!$Q$1:$T$542,3,FALSE)</f>
        <v>2.2222222284540294E-8</v>
      </c>
      <c r="X1099">
        <f>VLOOKUP($U1099,'[2]AP Opportunity'!$Q$1:$T$542,4,FALSE)</f>
        <v>0</v>
      </c>
      <c r="Y1099" s="77">
        <f t="shared" si="3827"/>
        <v>1</v>
      </c>
      <c r="Z1099" s="77">
        <f t="shared" si="3828"/>
        <v>6.4624999704999977E-2</v>
      </c>
      <c r="AA1099" s="77">
        <f t="shared" si="3829"/>
        <v>5.2321923767311151E-3</v>
      </c>
      <c r="AB1099" s="79">
        <v>1</v>
      </c>
      <c r="AC1099" s="77">
        <f t="shared" si="3839"/>
        <v>8.499999955555556E-3</v>
      </c>
      <c r="AD1099" s="77">
        <f t="shared" ref="AD1099" si="3864">1-(1-AC1099)^(1/12)</f>
        <v>7.1110795759765644E-4</v>
      </c>
      <c r="AE1099" s="77">
        <f t="shared" si="3841"/>
        <v>2.5000000000000001E-3</v>
      </c>
      <c r="AF1099" s="77">
        <f t="shared" ref="AF1099" si="3865">1-(1-AE1099)^(1/12)</f>
        <v>2.0857243058891584E-4</v>
      </c>
      <c r="AH1099" t="s">
        <v>175</v>
      </c>
      <c r="AI1099" t="s">
        <v>180</v>
      </c>
      <c r="AJ1099" s="197" t="str">
        <f t="shared" si="3832"/>
        <v>Lifecycle_Opportunity_530</v>
      </c>
      <c r="AK1099">
        <v>530</v>
      </c>
      <c r="AL1099">
        <f>VLOOKUP($U1099,[2]Standard_Opportunity!$Q$1:$T$542,2,FALSE)</f>
        <v>0.99999997777777772</v>
      </c>
      <c r="AM1099">
        <f>VLOOKUP($U1099,[2]Standard_Opportunity!$Q$1:$T$542,3,FALSE)</f>
        <v>2.2222222284540294E-8</v>
      </c>
      <c r="AN1099">
        <f>VLOOKUP($U1099,[2]Standard_Opportunity!$Q$1:$T$542,4,FALSE)</f>
        <v>0</v>
      </c>
      <c r="AO1099" s="77">
        <f t="shared" si="3833"/>
        <v>1</v>
      </c>
      <c r="AP1099" s="77">
        <f t="shared" si="3843"/>
        <v>6.4624999704999977E-2</v>
      </c>
      <c r="AQ1099" s="77">
        <f t="shared" si="3834"/>
        <v>5.2321923767311151E-3</v>
      </c>
      <c r="AR1099" s="79">
        <v>0</v>
      </c>
      <c r="AS1099" s="77">
        <f t="shared" si="3844"/>
        <v>0</v>
      </c>
      <c r="AT1099" s="77">
        <f t="shared" si="3845"/>
        <v>0</v>
      </c>
      <c r="AU1099" s="77">
        <f t="shared" si="3846"/>
        <v>2.5000000000000001E-3</v>
      </c>
      <c r="AV1099" s="77">
        <f t="shared" si="3847"/>
        <v>2.0809499864316017E-4</v>
      </c>
    </row>
    <row r="1100" spans="1:48">
      <c r="A1100" t="s">
        <v>175</v>
      </c>
      <c r="B1100" t="s">
        <v>180</v>
      </c>
      <c r="C1100" s="197" t="str">
        <f t="shared" si="3822"/>
        <v>Lifecycle_Opportunity_529</v>
      </c>
      <c r="D1100">
        <v>529</v>
      </c>
      <c r="E1100">
        <f>VLOOKUP($D1100,'[2]LC Opportunity'!$Q$2:$U$542,2,FALSE)</f>
        <v>0</v>
      </c>
      <c r="F1100">
        <f>VLOOKUP($D1100,'[2]LC Opportunity'!$Q$2:$U$542,3,FALSE)</f>
        <v>0</v>
      </c>
      <c r="G1100">
        <f>VLOOKUP($D1100,'[2]LC Opportunity'!$Q$2:$U$542,4,FALSE)</f>
        <v>0</v>
      </c>
      <c r="H1100">
        <f>VLOOKUP($D1100,'[2]LC Opportunity'!$Q$2:$U$542,5,FALSE)</f>
        <v>0.99999999999999989</v>
      </c>
      <c r="I1100" s="77">
        <f t="shared" si="3823"/>
        <v>0.99999999999999989</v>
      </c>
      <c r="J1100" s="77">
        <f t="shared" si="3824"/>
        <v>7.1999999999999981E-2</v>
      </c>
      <c r="K1100" s="77">
        <f t="shared" si="3825"/>
        <v>5.8106552987937654E-3</v>
      </c>
      <c r="L1100" s="76">
        <v>0</v>
      </c>
      <c r="M1100" s="77">
        <f t="shared" si="3835"/>
        <v>0</v>
      </c>
      <c r="N1100" s="77">
        <f t="shared" si="3836"/>
        <v>0</v>
      </c>
      <c r="O1100" s="77">
        <f t="shared" si="3837"/>
        <v>4.9999999999999992E-3</v>
      </c>
      <c r="P1100" s="77">
        <f t="shared" si="3838"/>
        <v>4.1762458919303302E-4</v>
      </c>
      <c r="R1100" t="s">
        <v>177</v>
      </c>
      <c r="S1100" t="s">
        <v>180</v>
      </c>
      <c r="T1100" s="197" t="str">
        <f t="shared" si="3826"/>
        <v>Autopilot_Opportunity_529</v>
      </c>
      <c r="U1100">
        <v>529</v>
      </c>
      <c r="V1100">
        <f>VLOOKUP($U1100,'[2]AP Opportunity'!$Q$1:$T$542,2,FALSE)</f>
        <v>0.99999997777777772</v>
      </c>
      <c r="W1100">
        <f>VLOOKUP($U1100,'[2]AP Opportunity'!$Q$1:$T$542,3,FALSE)</f>
        <v>2.2222222284540294E-8</v>
      </c>
      <c r="X1100">
        <f>VLOOKUP($U1100,'[2]AP Opportunity'!$Q$1:$T$542,4,FALSE)</f>
        <v>0</v>
      </c>
      <c r="Y1100" s="77">
        <f t="shared" si="3827"/>
        <v>1</v>
      </c>
      <c r="Z1100" s="77">
        <f t="shared" si="3828"/>
        <v>6.4624999704999977E-2</v>
      </c>
      <c r="AA1100" s="77">
        <f t="shared" si="3829"/>
        <v>5.2321923767311151E-3</v>
      </c>
      <c r="AB1100" s="79">
        <v>1</v>
      </c>
      <c r="AC1100" s="77">
        <f t="shared" si="3839"/>
        <v>8.499999955555556E-3</v>
      </c>
      <c r="AD1100" s="77">
        <f t="shared" ref="AD1100" si="3866">1-(1-AC1100)^(1/12)</f>
        <v>7.1110795759765644E-4</v>
      </c>
      <c r="AE1100" s="77">
        <f t="shared" si="3841"/>
        <v>2.5000000000000001E-3</v>
      </c>
      <c r="AF1100" s="77">
        <f t="shared" ref="AF1100" si="3867">1-(1-AE1100)^(1/12)</f>
        <v>2.0857243058891584E-4</v>
      </c>
      <c r="AH1100" t="s">
        <v>175</v>
      </c>
      <c r="AI1100" t="s">
        <v>180</v>
      </c>
      <c r="AJ1100" s="197" t="str">
        <f t="shared" si="3832"/>
        <v>Lifecycle_Opportunity_529</v>
      </c>
      <c r="AK1100">
        <v>529</v>
      </c>
      <c r="AL1100">
        <f>VLOOKUP($U1100,[2]Standard_Opportunity!$Q$1:$T$542,2,FALSE)</f>
        <v>0.99999997777777772</v>
      </c>
      <c r="AM1100">
        <f>VLOOKUP($U1100,[2]Standard_Opportunity!$Q$1:$T$542,3,FALSE)</f>
        <v>2.2222222284540294E-8</v>
      </c>
      <c r="AN1100">
        <f>VLOOKUP($U1100,[2]Standard_Opportunity!$Q$1:$T$542,4,FALSE)</f>
        <v>0</v>
      </c>
      <c r="AO1100" s="77">
        <f t="shared" si="3833"/>
        <v>1</v>
      </c>
      <c r="AP1100" s="77">
        <f t="shared" si="3843"/>
        <v>6.4624999704999977E-2</v>
      </c>
      <c r="AQ1100" s="77">
        <f t="shared" si="3834"/>
        <v>5.2321923767311151E-3</v>
      </c>
      <c r="AR1100" s="79">
        <v>0</v>
      </c>
      <c r="AS1100" s="77">
        <f t="shared" si="3844"/>
        <v>0</v>
      </c>
      <c r="AT1100" s="77">
        <f t="shared" si="3845"/>
        <v>0</v>
      </c>
      <c r="AU1100" s="77">
        <f t="shared" si="3846"/>
        <v>2.5000000000000001E-3</v>
      </c>
      <c r="AV1100" s="77">
        <f t="shared" si="3847"/>
        <v>2.0809499864316017E-4</v>
      </c>
    </row>
    <row r="1101" spans="1:48">
      <c r="A1101" t="s">
        <v>175</v>
      </c>
      <c r="B1101" t="s">
        <v>180</v>
      </c>
      <c r="C1101" s="197" t="str">
        <f t="shared" ref="C1101:C1164" si="3868">A1101&amp;"_"&amp;B1101&amp;"_"&amp;D1101</f>
        <v>Lifecycle_Opportunity_528</v>
      </c>
      <c r="D1101">
        <v>528</v>
      </c>
      <c r="E1101">
        <f>VLOOKUP($D1101,'[2]LC Opportunity'!$Q$2:$U$542,2,FALSE)</f>
        <v>0</v>
      </c>
      <c r="F1101">
        <f>VLOOKUP($D1101,'[2]LC Opportunity'!$Q$2:$U$542,3,FALSE)</f>
        <v>0</v>
      </c>
      <c r="G1101">
        <f>VLOOKUP($D1101,'[2]LC Opportunity'!$Q$2:$U$542,4,FALSE)</f>
        <v>0</v>
      </c>
      <c r="H1101">
        <f>VLOOKUP($D1101,'[2]LC Opportunity'!$Q$2:$U$542,5,FALSE)</f>
        <v>0.99999999999999989</v>
      </c>
      <c r="I1101" s="77">
        <f t="shared" si="3823"/>
        <v>0.99999999999999989</v>
      </c>
      <c r="J1101" s="77">
        <f t="shared" si="3824"/>
        <v>7.1999999999999981E-2</v>
      </c>
      <c r="K1101" s="77">
        <f t="shared" ref="K1101" si="3869">(1+J1101)^(1/12)-1</f>
        <v>5.8106552987937654E-3</v>
      </c>
      <c r="L1101" s="76">
        <v>0</v>
      </c>
      <c r="M1101" s="77">
        <f t="shared" si="3835"/>
        <v>0</v>
      </c>
      <c r="N1101" s="77">
        <f t="shared" si="3836"/>
        <v>0</v>
      </c>
      <c r="O1101" s="77">
        <f t="shared" si="3837"/>
        <v>4.9999999999999992E-3</v>
      </c>
      <c r="P1101" s="77">
        <f t="shared" si="3838"/>
        <v>4.1762458919303302E-4</v>
      </c>
      <c r="R1101" t="s">
        <v>177</v>
      </c>
      <c r="S1101" t="s">
        <v>180</v>
      </c>
      <c r="T1101" s="197" t="str">
        <f t="shared" ref="T1101:T1164" si="3870">R1101&amp;"_"&amp;S1101&amp;"_"&amp;U1101</f>
        <v>Autopilot_Opportunity_528</v>
      </c>
      <c r="U1101">
        <v>528</v>
      </c>
      <c r="V1101">
        <f>VLOOKUP($U1101,'[2]AP Opportunity'!$Q$1:$T$542,2,FALSE)</f>
        <v>0.99999997777777772</v>
      </c>
      <c r="W1101">
        <f>VLOOKUP($U1101,'[2]AP Opportunity'!$Q$1:$T$542,3,FALSE)</f>
        <v>2.2222222284540294E-8</v>
      </c>
      <c r="X1101">
        <f>VLOOKUP($U1101,'[2]AP Opportunity'!$Q$1:$T$542,4,FALSE)</f>
        <v>0</v>
      </c>
      <c r="Y1101" s="77">
        <f t="shared" ref="Y1101:Y1164" si="3871">SUM(V1101:X1101)</f>
        <v>1</v>
      </c>
      <c r="Z1101" s="77">
        <f t="shared" ref="Z1101" si="3872">SUMPRODUCT($V$1:$X$1,V1101:X1101)</f>
        <v>6.4624999704999977E-2</v>
      </c>
      <c r="AA1101" s="77">
        <f t="shared" ref="AA1101" si="3873">(1+Z1101)^(1/12)-1</f>
        <v>5.2321923767311151E-3</v>
      </c>
      <c r="AB1101" s="79">
        <v>1</v>
      </c>
      <c r="AC1101" s="77">
        <f t="shared" si="3839"/>
        <v>8.499999955555556E-3</v>
      </c>
      <c r="AD1101" s="77">
        <f t="shared" ref="AD1101" si="3874">1-(1-AC1101)^(1/12)</f>
        <v>7.1110795759765644E-4</v>
      </c>
      <c r="AE1101" s="77">
        <f t="shared" si="3841"/>
        <v>2.5000000000000001E-3</v>
      </c>
      <c r="AF1101" s="77">
        <f t="shared" ref="AF1101" si="3875">1-(1-AE1101)^(1/12)</f>
        <v>2.0857243058891584E-4</v>
      </c>
      <c r="AH1101" t="s">
        <v>175</v>
      </c>
      <c r="AI1101" t="s">
        <v>180</v>
      </c>
      <c r="AJ1101" s="197" t="str">
        <f t="shared" si="3832"/>
        <v>Lifecycle_Opportunity_528</v>
      </c>
      <c r="AK1101">
        <v>528</v>
      </c>
      <c r="AL1101">
        <f>VLOOKUP($U1101,[2]Standard_Opportunity!$Q$1:$T$542,2,FALSE)</f>
        <v>0.99999997777777772</v>
      </c>
      <c r="AM1101">
        <f>VLOOKUP($U1101,[2]Standard_Opportunity!$Q$1:$T$542,3,FALSE)</f>
        <v>2.2222222284540294E-8</v>
      </c>
      <c r="AN1101">
        <f>VLOOKUP($U1101,[2]Standard_Opportunity!$Q$1:$T$542,4,FALSE)</f>
        <v>0</v>
      </c>
      <c r="AO1101" s="77">
        <f t="shared" si="3833"/>
        <v>1</v>
      </c>
      <c r="AP1101" s="77">
        <f t="shared" si="3843"/>
        <v>6.4624999704999977E-2</v>
      </c>
      <c r="AQ1101" s="77">
        <f t="shared" si="3834"/>
        <v>5.2321923767311151E-3</v>
      </c>
      <c r="AR1101" s="79">
        <v>0</v>
      </c>
      <c r="AS1101" s="77">
        <f t="shared" si="3844"/>
        <v>0</v>
      </c>
      <c r="AT1101" s="77">
        <f t="shared" si="3845"/>
        <v>0</v>
      </c>
      <c r="AU1101" s="77">
        <f t="shared" si="3846"/>
        <v>2.5000000000000001E-3</v>
      </c>
      <c r="AV1101" s="77">
        <f t="shared" si="3847"/>
        <v>2.0809499864316017E-4</v>
      </c>
    </row>
    <row r="1102" spans="1:48">
      <c r="A1102" t="s">
        <v>175</v>
      </c>
      <c r="B1102" t="s">
        <v>180</v>
      </c>
      <c r="C1102" s="197" t="str">
        <f t="shared" si="3868"/>
        <v>Lifecycle_Opportunity_527</v>
      </c>
      <c r="D1102">
        <v>527</v>
      </c>
      <c r="E1102">
        <f>VLOOKUP($D1102,'[2]LC Opportunity'!$Q$2:$U$542,2,FALSE)</f>
        <v>0</v>
      </c>
      <c r="F1102">
        <f>VLOOKUP($D1102,'[2]LC Opportunity'!$Q$2:$U$542,3,FALSE)</f>
        <v>0</v>
      </c>
      <c r="G1102">
        <f>VLOOKUP($D1102,'[2]LC Opportunity'!$Q$2:$U$542,4,FALSE)</f>
        <v>0</v>
      </c>
      <c r="H1102">
        <f>VLOOKUP($D1102,'[2]LC Opportunity'!$Q$2:$U$542,5,FALSE)</f>
        <v>0.99999999999999989</v>
      </c>
      <c r="I1102" s="77">
        <f t="shared" si="3823"/>
        <v>0.99999999999999989</v>
      </c>
      <c r="J1102" s="77">
        <f t="shared" si="3824"/>
        <v>7.1999999999999981E-2</v>
      </c>
      <c r="K1102" s="77">
        <f t="shared" ref="K1102:K1165" si="3876">(1+J1102)^(1/12)-1</f>
        <v>5.8106552987937654E-3</v>
      </c>
      <c r="L1102" s="76">
        <v>0</v>
      </c>
      <c r="M1102" s="77">
        <f t="shared" si="3835"/>
        <v>0</v>
      </c>
      <c r="N1102" s="77">
        <f t="shared" si="3836"/>
        <v>0</v>
      </c>
      <c r="O1102" s="77">
        <f t="shared" si="3837"/>
        <v>4.9999999999999992E-3</v>
      </c>
      <c r="P1102" s="77">
        <f t="shared" si="3838"/>
        <v>4.1762458919303302E-4</v>
      </c>
      <c r="R1102" t="s">
        <v>177</v>
      </c>
      <c r="S1102" t="s">
        <v>180</v>
      </c>
      <c r="T1102" s="197" t="str">
        <f t="shared" si="3870"/>
        <v>Autopilot_Opportunity_527</v>
      </c>
      <c r="U1102">
        <v>527</v>
      </c>
      <c r="V1102">
        <f>VLOOKUP($U1102,'[2]AP Opportunity'!$Q$1:$T$542,2,FALSE)</f>
        <v>0.99999997777777772</v>
      </c>
      <c r="W1102">
        <f>VLOOKUP($U1102,'[2]AP Opportunity'!$Q$1:$T$542,3,FALSE)</f>
        <v>2.2222222284540294E-8</v>
      </c>
      <c r="X1102">
        <f>VLOOKUP($U1102,'[2]AP Opportunity'!$Q$1:$T$542,4,FALSE)</f>
        <v>0</v>
      </c>
      <c r="Y1102" s="77">
        <f t="shared" si="3871"/>
        <v>1</v>
      </c>
      <c r="Z1102" s="77">
        <f t="shared" ref="Z1102:Z1165" si="3877">SUMPRODUCT($V$1:$X$1,V1102:X1102)</f>
        <v>6.4624999704999977E-2</v>
      </c>
      <c r="AA1102" s="77">
        <f t="shared" ref="AA1102:AA1165" si="3878">(1+Z1102)^(1/12)-1</f>
        <v>5.2321923767311151E-3</v>
      </c>
      <c r="AB1102" s="79">
        <v>1</v>
      </c>
      <c r="AC1102" s="77">
        <f t="shared" si="3839"/>
        <v>8.499999955555556E-3</v>
      </c>
      <c r="AD1102" s="77">
        <f t="shared" ref="AD1102" si="3879">1-(1-AC1102)^(1/12)</f>
        <v>7.1110795759765644E-4</v>
      </c>
      <c r="AE1102" s="77">
        <f t="shared" si="3841"/>
        <v>2.5000000000000001E-3</v>
      </c>
      <c r="AF1102" s="77">
        <f t="shared" ref="AF1102" si="3880">1-(1-AE1102)^(1/12)</f>
        <v>2.0857243058891584E-4</v>
      </c>
      <c r="AH1102" t="s">
        <v>175</v>
      </c>
      <c r="AI1102" t="s">
        <v>180</v>
      </c>
      <c r="AJ1102" s="197" t="str">
        <f t="shared" si="3832"/>
        <v>Lifecycle_Opportunity_527</v>
      </c>
      <c r="AK1102">
        <v>527</v>
      </c>
      <c r="AL1102">
        <f>VLOOKUP($U1102,[2]Standard_Opportunity!$Q$1:$T$542,2,FALSE)</f>
        <v>0.99999997777777772</v>
      </c>
      <c r="AM1102">
        <f>VLOOKUP($U1102,[2]Standard_Opportunity!$Q$1:$T$542,3,FALSE)</f>
        <v>2.2222222284540294E-8</v>
      </c>
      <c r="AN1102">
        <f>VLOOKUP($U1102,[2]Standard_Opportunity!$Q$1:$T$542,4,FALSE)</f>
        <v>0</v>
      </c>
      <c r="AO1102" s="77">
        <f t="shared" si="3833"/>
        <v>1</v>
      </c>
      <c r="AP1102" s="77">
        <f t="shared" si="3843"/>
        <v>6.4624999704999977E-2</v>
      </c>
      <c r="AQ1102" s="77">
        <f t="shared" si="3834"/>
        <v>5.2321923767311151E-3</v>
      </c>
      <c r="AR1102" s="79">
        <v>0</v>
      </c>
      <c r="AS1102" s="77">
        <f t="shared" si="3844"/>
        <v>0</v>
      </c>
      <c r="AT1102" s="77">
        <f t="shared" si="3845"/>
        <v>0</v>
      </c>
      <c r="AU1102" s="77">
        <f t="shared" si="3846"/>
        <v>2.5000000000000001E-3</v>
      </c>
      <c r="AV1102" s="77">
        <f t="shared" si="3847"/>
        <v>2.0809499864316017E-4</v>
      </c>
    </row>
    <row r="1103" spans="1:48">
      <c r="A1103" t="s">
        <v>175</v>
      </c>
      <c r="B1103" t="s">
        <v>180</v>
      </c>
      <c r="C1103" s="197" t="str">
        <f t="shared" si="3868"/>
        <v>Lifecycle_Opportunity_526</v>
      </c>
      <c r="D1103">
        <v>526</v>
      </c>
      <c r="E1103">
        <f>VLOOKUP($D1103,'[2]LC Opportunity'!$Q$2:$U$542,2,FALSE)</f>
        <v>0</v>
      </c>
      <c r="F1103">
        <f>VLOOKUP($D1103,'[2]LC Opportunity'!$Q$2:$U$542,3,FALSE)</f>
        <v>0</v>
      </c>
      <c r="G1103">
        <f>VLOOKUP($D1103,'[2]LC Opportunity'!$Q$2:$U$542,4,FALSE)</f>
        <v>0</v>
      </c>
      <c r="H1103">
        <f>VLOOKUP($D1103,'[2]LC Opportunity'!$Q$2:$U$542,5,FALSE)</f>
        <v>0.99999999999999989</v>
      </c>
      <c r="I1103" s="77">
        <f t="shared" si="3823"/>
        <v>0.99999999999999989</v>
      </c>
      <c r="J1103" s="77">
        <f t="shared" si="3824"/>
        <v>7.1999999999999981E-2</v>
      </c>
      <c r="K1103" s="77">
        <f t="shared" si="3876"/>
        <v>5.8106552987937654E-3</v>
      </c>
      <c r="L1103" s="76">
        <v>0</v>
      </c>
      <c r="M1103" s="77">
        <f t="shared" si="3835"/>
        <v>0</v>
      </c>
      <c r="N1103" s="77">
        <f t="shared" si="3836"/>
        <v>0</v>
      </c>
      <c r="O1103" s="77">
        <f t="shared" si="3837"/>
        <v>4.9999999999999992E-3</v>
      </c>
      <c r="P1103" s="77">
        <f t="shared" si="3838"/>
        <v>4.1762458919303302E-4</v>
      </c>
      <c r="R1103" t="s">
        <v>177</v>
      </c>
      <c r="S1103" t="s">
        <v>180</v>
      </c>
      <c r="T1103" s="197" t="str">
        <f t="shared" si="3870"/>
        <v>Autopilot_Opportunity_526</v>
      </c>
      <c r="U1103">
        <v>526</v>
      </c>
      <c r="V1103">
        <f>VLOOKUP($U1103,'[2]AP Opportunity'!$Q$1:$T$542,2,FALSE)</f>
        <v>0.99999997777777772</v>
      </c>
      <c r="W1103">
        <f>VLOOKUP($U1103,'[2]AP Opportunity'!$Q$1:$T$542,3,FALSE)</f>
        <v>2.2222222284540294E-8</v>
      </c>
      <c r="X1103">
        <f>VLOOKUP($U1103,'[2]AP Opportunity'!$Q$1:$T$542,4,FALSE)</f>
        <v>0</v>
      </c>
      <c r="Y1103" s="77">
        <f t="shared" si="3871"/>
        <v>1</v>
      </c>
      <c r="Z1103" s="77">
        <f t="shared" si="3877"/>
        <v>6.4624999704999977E-2</v>
      </c>
      <c r="AA1103" s="77">
        <f t="shared" si="3878"/>
        <v>5.2321923767311151E-3</v>
      </c>
      <c r="AB1103" s="79">
        <v>1</v>
      </c>
      <c r="AC1103" s="77">
        <f t="shared" si="3839"/>
        <v>8.499999955555556E-3</v>
      </c>
      <c r="AD1103" s="77">
        <f t="shared" ref="AD1103" si="3881">1-(1-AC1103)^(1/12)</f>
        <v>7.1110795759765644E-4</v>
      </c>
      <c r="AE1103" s="77">
        <f t="shared" si="3841"/>
        <v>2.5000000000000001E-3</v>
      </c>
      <c r="AF1103" s="77">
        <f t="shared" ref="AF1103" si="3882">1-(1-AE1103)^(1/12)</f>
        <v>2.0857243058891584E-4</v>
      </c>
      <c r="AH1103" t="s">
        <v>175</v>
      </c>
      <c r="AI1103" t="s">
        <v>180</v>
      </c>
      <c r="AJ1103" s="197" t="str">
        <f t="shared" si="3832"/>
        <v>Lifecycle_Opportunity_526</v>
      </c>
      <c r="AK1103">
        <v>526</v>
      </c>
      <c r="AL1103">
        <f>VLOOKUP($U1103,[2]Standard_Opportunity!$Q$1:$T$542,2,FALSE)</f>
        <v>0.99999997777777772</v>
      </c>
      <c r="AM1103">
        <f>VLOOKUP($U1103,[2]Standard_Opportunity!$Q$1:$T$542,3,FALSE)</f>
        <v>2.2222222284540294E-8</v>
      </c>
      <c r="AN1103">
        <f>VLOOKUP($U1103,[2]Standard_Opportunity!$Q$1:$T$542,4,FALSE)</f>
        <v>0</v>
      </c>
      <c r="AO1103" s="77">
        <f t="shared" si="3833"/>
        <v>1</v>
      </c>
      <c r="AP1103" s="77">
        <f t="shared" si="3843"/>
        <v>6.4624999704999977E-2</v>
      </c>
      <c r="AQ1103" s="77">
        <f t="shared" si="3834"/>
        <v>5.2321923767311151E-3</v>
      </c>
      <c r="AR1103" s="79">
        <v>0</v>
      </c>
      <c r="AS1103" s="77">
        <f t="shared" si="3844"/>
        <v>0</v>
      </c>
      <c r="AT1103" s="77">
        <f t="shared" si="3845"/>
        <v>0</v>
      </c>
      <c r="AU1103" s="77">
        <f t="shared" si="3846"/>
        <v>2.5000000000000001E-3</v>
      </c>
      <c r="AV1103" s="77">
        <f t="shared" si="3847"/>
        <v>2.0809499864316017E-4</v>
      </c>
    </row>
    <row r="1104" spans="1:48">
      <c r="A1104" t="s">
        <v>175</v>
      </c>
      <c r="B1104" t="s">
        <v>180</v>
      </c>
      <c r="C1104" s="197" t="str">
        <f t="shared" si="3868"/>
        <v>Lifecycle_Opportunity_525</v>
      </c>
      <c r="D1104">
        <v>525</v>
      </c>
      <c r="E1104">
        <f>VLOOKUP($D1104,'[2]LC Opportunity'!$Q$2:$U$542,2,FALSE)</f>
        <v>0</v>
      </c>
      <c r="F1104">
        <f>VLOOKUP($D1104,'[2]LC Opportunity'!$Q$2:$U$542,3,FALSE)</f>
        <v>0</v>
      </c>
      <c r="G1104">
        <f>VLOOKUP($D1104,'[2]LC Opportunity'!$Q$2:$U$542,4,FALSE)</f>
        <v>0</v>
      </c>
      <c r="H1104">
        <f>VLOOKUP($D1104,'[2]LC Opportunity'!$Q$2:$U$542,5,FALSE)</f>
        <v>0.99999999999999989</v>
      </c>
      <c r="I1104" s="77">
        <f t="shared" si="3823"/>
        <v>0.99999999999999989</v>
      </c>
      <c r="J1104" s="77">
        <f t="shared" si="3824"/>
        <v>7.1999999999999981E-2</v>
      </c>
      <c r="K1104" s="77">
        <f t="shared" si="3876"/>
        <v>5.8106552987937654E-3</v>
      </c>
      <c r="L1104" s="76">
        <v>0</v>
      </c>
      <c r="M1104" s="77">
        <f t="shared" si="3835"/>
        <v>0</v>
      </c>
      <c r="N1104" s="77">
        <f t="shared" si="3836"/>
        <v>0</v>
      </c>
      <c r="O1104" s="77">
        <f t="shared" si="3837"/>
        <v>4.9999999999999992E-3</v>
      </c>
      <c r="P1104" s="77">
        <f t="shared" si="3838"/>
        <v>4.1762458919303302E-4</v>
      </c>
      <c r="R1104" t="s">
        <v>177</v>
      </c>
      <c r="S1104" t="s">
        <v>180</v>
      </c>
      <c r="T1104" s="197" t="str">
        <f t="shared" si="3870"/>
        <v>Autopilot_Opportunity_525</v>
      </c>
      <c r="U1104">
        <v>525</v>
      </c>
      <c r="V1104">
        <f>VLOOKUP($U1104,'[2]AP Opportunity'!$Q$1:$T$542,2,FALSE)</f>
        <v>0.99999997777777772</v>
      </c>
      <c r="W1104">
        <f>VLOOKUP($U1104,'[2]AP Opportunity'!$Q$1:$T$542,3,FALSE)</f>
        <v>2.2222222284540294E-8</v>
      </c>
      <c r="X1104">
        <f>VLOOKUP($U1104,'[2]AP Opportunity'!$Q$1:$T$542,4,FALSE)</f>
        <v>0</v>
      </c>
      <c r="Y1104" s="77">
        <f t="shared" si="3871"/>
        <v>1</v>
      </c>
      <c r="Z1104" s="77">
        <f t="shared" si="3877"/>
        <v>6.4624999704999977E-2</v>
      </c>
      <c r="AA1104" s="77">
        <f t="shared" si="3878"/>
        <v>5.2321923767311151E-3</v>
      </c>
      <c r="AB1104" s="79">
        <v>1</v>
      </c>
      <c r="AC1104" s="77">
        <f t="shared" si="3839"/>
        <v>8.499999955555556E-3</v>
      </c>
      <c r="AD1104" s="77">
        <f t="shared" ref="AD1104" si="3883">1-(1-AC1104)^(1/12)</f>
        <v>7.1110795759765644E-4</v>
      </c>
      <c r="AE1104" s="77">
        <f t="shared" si="3841"/>
        <v>2.5000000000000001E-3</v>
      </c>
      <c r="AF1104" s="77">
        <f t="shared" ref="AF1104" si="3884">1-(1-AE1104)^(1/12)</f>
        <v>2.0857243058891584E-4</v>
      </c>
      <c r="AH1104" t="s">
        <v>175</v>
      </c>
      <c r="AI1104" t="s">
        <v>180</v>
      </c>
      <c r="AJ1104" s="197" t="str">
        <f t="shared" si="3832"/>
        <v>Lifecycle_Opportunity_525</v>
      </c>
      <c r="AK1104">
        <v>525</v>
      </c>
      <c r="AL1104">
        <f>VLOOKUP($U1104,[2]Standard_Opportunity!$Q$1:$T$542,2,FALSE)</f>
        <v>0.99999997777777772</v>
      </c>
      <c r="AM1104">
        <f>VLOOKUP($U1104,[2]Standard_Opportunity!$Q$1:$T$542,3,FALSE)</f>
        <v>2.2222222284540294E-8</v>
      </c>
      <c r="AN1104">
        <f>VLOOKUP($U1104,[2]Standard_Opportunity!$Q$1:$T$542,4,FALSE)</f>
        <v>0</v>
      </c>
      <c r="AO1104" s="77">
        <f t="shared" si="3833"/>
        <v>1</v>
      </c>
      <c r="AP1104" s="77">
        <f t="shared" si="3843"/>
        <v>6.4624999704999977E-2</v>
      </c>
      <c r="AQ1104" s="77">
        <f t="shared" si="3834"/>
        <v>5.2321923767311151E-3</v>
      </c>
      <c r="AR1104" s="79">
        <v>0</v>
      </c>
      <c r="AS1104" s="77">
        <f t="shared" si="3844"/>
        <v>0</v>
      </c>
      <c r="AT1104" s="77">
        <f t="shared" si="3845"/>
        <v>0</v>
      </c>
      <c r="AU1104" s="77">
        <f t="shared" si="3846"/>
        <v>2.5000000000000001E-3</v>
      </c>
      <c r="AV1104" s="77">
        <f t="shared" si="3847"/>
        <v>2.0809499864316017E-4</v>
      </c>
    </row>
    <row r="1105" spans="1:48">
      <c r="A1105" t="s">
        <v>175</v>
      </c>
      <c r="B1105" t="s">
        <v>180</v>
      </c>
      <c r="C1105" s="197" t="str">
        <f t="shared" si="3868"/>
        <v>Lifecycle_Opportunity_524</v>
      </c>
      <c r="D1105">
        <v>524</v>
      </c>
      <c r="E1105">
        <f>VLOOKUP($D1105,'[2]LC Opportunity'!$Q$2:$U$542,2,FALSE)</f>
        <v>0</v>
      </c>
      <c r="F1105">
        <f>VLOOKUP($D1105,'[2]LC Opportunity'!$Q$2:$U$542,3,FALSE)</f>
        <v>0</v>
      </c>
      <c r="G1105">
        <f>VLOOKUP($D1105,'[2]LC Opportunity'!$Q$2:$U$542,4,FALSE)</f>
        <v>0</v>
      </c>
      <c r="H1105">
        <f>VLOOKUP($D1105,'[2]LC Opportunity'!$Q$2:$U$542,5,FALSE)</f>
        <v>0.99999999999999989</v>
      </c>
      <c r="I1105" s="77">
        <f t="shared" si="3823"/>
        <v>0.99999999999999989</v>
      </c>
      <c r="J1105" s="77">
        <f t="shared" si="3824"/>
        <v>7.1999999999999981E-2</v>
      </c>
      <c r="K1105" s="77">
        <f t="shared" si="3876"/>
        <v>5.8106552987937654E-3</v>
      </c>
      <c r="L1105" s="76">
        <v>0</v>
      </c>
      <c r="M1105" s="77">
        <f t="shared" si="3835"/>
        <v>0</v>
      </c>
      <c r="N1105" s="77">
        <f t="shared" si="3836"/>
        <v>0</v>
      </c>
      <c r="O1105" s="77">
        <f t="shared" si="3837"/>
        <v>4.9999999999999992E-3</v>
      </c>
      <c r="P1105" s="77">
        <f t="shared" si="3838"/>
        <v>4.1762458919303302E-4</v>
      </c>
      <c r="R1105" t="s">
        <v>177</v>
      </c>
      <c r="S1105" t="s">
        <v>180</v>
      </c>
      <c r="T1105" s="197" t="str">
        <f t="shared" si="3870"/>
        <v>Autopilot_Opportunity_524</v>
      </c>
      <c r="U1105">
        <v>524</v>
      </c>
      <c r="V1105">
        <f>VLOOKUP($U1105,'[2]AP Opportunity'!$Q$1:$T$542,2,FALSE)</f>
        <v>0.99999997777777772</v>
      </c>
      <c r="W1105">
        <f>VLOOKUP($U1105,'[2]AP Opportunity'!$Q$1:$T$542,3,FALSE)</f>
        <v>2.2222222284540294E-8</v>
      </c>
      <c r="X1105">
        <f>VLOOKUP($U1105,'[2]AP Opportunity'!$Q$1:$T$542,4,FALSE)</f>
        <v>0</v>
      </c>
      <c r="Y1105" s="77">
        <f t="shared" si="3871"/>
        <v>1</v>
      </c>
      <c r="Z1105" s="77">
        <f t="shared" si="3877"/>
        <v>6.4624999704999977E-2</v>
      </c>
      <c r="AA1105" s="77">
        <f t="shared" si="3878"/>
        <v>5.2321923767311151E-3</v>
      </c>
      <c r="AB1105" s="79">
        <v>1</v>
      </c>
      <c r="AC1105" s="77">
        <f t="shared" si="3839"/>
        <v>8.499999955555556E-3</v>
      </c>
      <c r="AD1105" s="77">
        <f t="shared" ref="AD1105" si="3885">1-(1-AC1105)^(1/12)</f>
        <v>7.1110795759765644E-4</v>
      </c>
      <c r="AE1105" s="77">
        <f t="shared" si="3841"/>
        <v>2.5000000000000001E-3</v>
      </c>
      <c r="AF1105" s="77">
        <f t="shared" ref="AF1105" si="3886">1-(1-AE1105)^(1/12)</f>
        <v>2.0857243058891584E-4</v>
      </c>
      <c r="AH1105" t="s">
        <v>175</v>
      </c>
      <c r="AI1105" t="s">
        <v>180</v>
      </c>
      <c r="AJ1105" s="197" t="str">
        <f t="shared" si="3832"/>
        <v>Lifecycle_Opportunity_524</v>
      </c>
      <c r="AK1105">
        <v>524</v>
      </c>
      <c r="AL1105">
        <f>VLOOKUP($U1105,[2]Standard_Opportunity!$Q$1:$T$542,2,FALSE)</f>
        <v>0.99999997777777772</v>
      </c>
      <c r="AM1105">
        <f>VLOOKUP($U1105,[2]Standard_Opportunity!$Q$1:$T$542,3,FALSE)</f>
        <v>2.2222222284540294E-8</v>
      </c>
      <c r="AN1105">
        <f>VLOOKUP($U1105,[2]Standard_Opportunity!$Q$1:$T$542,4,FALSE)</f>
        <v>0</v>
      </c>
      <c r="AO1105" s="77">
        <f t="shared" si="3833"/>
        <v>1</v>
      </c>
      <c r="AP1105" s="77">
        <f t="shared" si="3843"/>
        <v>6.4624999704999977E-2</v>
      </c>
      <c r="AQ1105" s="77">
        <f t="shared" si="3834"/>
        <v>5.2321923767311151E-3</v>
      </c>
      <c r="AR1105" s="79">
        <v>0</v>
      </c>
      <c r="AS1105" s="77">
        <f t="shared" si="3844"/>
        <v>0</v>
      </c>
      <c r="AT1105" s="77">
        <f t="shared" si="3845"/>
        <v>0</v>
      </c>
      <c r="AU1105" s="77">
        <f t="shared" si="3846"/>
        <v>2.5000000000000001E-3</v>
      </c>
      <c r="AV1105" s="77">
        <f t="shared" si="3847"/>
        <v>2.0809499864316017E-4</v>
      </c>
    </row>
    <row r="1106" spans="1:48">
      <c r="A1106" t="s">
        <v>175</v>
      </c>
      <c r="B1106" t="s">
        <v>180</v>
      </c>
      <c r="C1106" s="197" t="str">
        <f t="shared" si="3868"/>
        <v>Lifecycle_Opportunity_523</v>
      </c>
      <c r="D1106">
        <v>523</v>
      </c>
      <c r="E1106">
        <f>VLOOKUP($D1106,'[2]LC Opportunity'!$Q$2:$U$542,2,FALSE)</f>
        <v>0</v>
      </c>
      <c r="F1106">
        <f>VLOOKUP($D1106,'[2]LC Opportunity'!$Q$2:$U$542,3,FALSE)</f>
        <v>0</v>
      </c>
      <c r="G1106">
        <f>VLOOKUP($D1106,'[2]LC Opportunity'!$Q$2:$U$542,4,FALSE)</f>
        <v>0</v>
      </c>
      <c r="H1106">
        <f>VLOOKUP($D1106,'[2]LC Opportunity'!$Q$2:$U$542,5,FALSE)</f>
        <v>0.99999999999999989</v>
      </c>
      <c r="I1106" s="77">
        <f t="shared" si="3823"/>
        <v>0.99999999999999989</v>
      </c>
      <c r="J1106" s="77">
        <f t="shared" si="3824"/>
        <v>7.1999999999999981E-2</v>
      </c>
      <c r="K1106" s="77">
        <f t="shared" si="3876"/>
        <v>5.8106552987937654E-3</v>
      </c>
      <c r="L1106" s="76">
        <v>0</v>
      </c>
      <c r="M1106" s="77">
        <f t="shared" si="3835"/>
        <v>0</v>
      </c>
      <c r="N1106" s="77">
        <f t="shared" si="3836"/>
        <v>0</v>
      </c>
      <c r="O1106" s="77">
        <f t="shared" si="3837"/>
        <v>4.9999999999999992E-3</v>
      </c>
      <c r="P1106" s="77">
        <f t="shared" si="3838"/>
        <v>4.1762458919303302E-4</v>
      </c>
      <c r="R1106" t="s">
        <v>177</v>
      </c>
      <c r="S1106" t="s">
        <v>180</v>
      </c>
      <c r="T1106" s="197" t="str">
        <f t="shared" si="3870"/>
        <v>Autopilot_Opportunity_523</v>
      </c>
      <c r="U1106">
        <v>523</v>
      </c>
      <c r="V1106">
        <f>VLOOKUP($U1106,'[2]AP Opportunity'!$Q$1:$T$542,2,FALSE)</f>
        <v>0.99999997777777772</v>
      </c>
      <c r="W1106">
        <f>VLOOKUP($U1106,'[2]AP Opportunity'!$Q$1:$T$542,3,FALSE)</f>
        <v>2.2222222284540294E-8</v>
      </c>
      <c r="X1106">
        <f>VLOOKUP($U1106,'[2]AP Opportunity'!$Q$1:$T$542,4,FALSE)</f>
        <v>0</v>
      </c>
      <c r="Y1106" s="77">
        <f t="shared" si="3871"/>
        <v>1</v>
      </c>
      <c r="Z1106" s="77">
        <f t="shared" si="3877"/>
        <v>6.4624999704999977E-2</v>
      </c>
      <c r="AA1106" s="77">
        <f t="shared" si="3878"/>
        <v>5.2321923767311151E-3</v>
      </c>
      <c r="AB1106" s="79">
        <v>1</v>
      </c>
      <c r="AC1106" s="77">
        <f t="shared" si="3839"/>
        <v>8.499999955555556E-3</v>
      </c>
      <c r="AD1106" s="77">
        <f t="shared" ref="AD1106" si="3887">1-(1-AC1106)^(1/12)</f>
        <v>7.1110795759765644E-4</v>
      </c>
      <c r="AE1106" s="77">
        <f t="shared" si="3841"/>
        <v>2.5000000000000001E-3</v>
      </c>
      <c r="AF1106" s="77">
        <f t="shared" ref="AF1106" si="3888">1-(1-AE1106)^(1/12)</f>
        <v>2.0857243058891584E-4</v>
      </c>
      <c r="AH1106" t="s">
        <v>175</v>
      </c>
      <c r="AI1106" t="s">
        <v>180</v>
      </c>
      <c r="AJ1106" s="197" t="str">
        <f t="shared" si="3832"/>
        <v>Lifecycle_Opportunity_523</v>
      </c>
      <c r="AK1106">
        <v>523</v>
      </c>
      <c r="AL1106">
        <f>VLOOKUP($U1106,[2]Standard_Opportunity!$Q$1:$T$542,2,FALSE)</f>
        <v>0.99999997777777772</v>
      </c>
      <c r="AM1106">
        <f>VLOOKUP($U1106,[2]Standard_Opportunity!$Q$1:$T$542,3,FALSE)</f>
        <v>2.2222222284540294E-8</v>
      </c>
      <c r="AN1106">
        <f>VLOOKUP($U1106,[2]Standard_Opportunity!$Q$1:$T$542,4,FALSE)</f>
        <v>0</v>
      </c>
      <c r="AO1106" s="77">
        <f t="shared" si="3833"/>
        <v>1</v>
      </c>
      <c r="AP1106" s="77">
        <f t="shared" si="3843"/>
        <v>6.4624999704999977E-2</v>
      </c>
      <c r="AQ1106" s="77">
        <f t="shared" si="3834"/>
        <v>5.2321923767311151E-3</v>
      </c>
      <c r="AR1106" s="79">
        <v>0</v>
      </c>
      <c r="AS1106" s="77">
        <f t="shared" si="3844"/>
        <v>0</v>
      </c>
      <c r="AT1106" s="77">
        <f t="shared" si="3845"/>
        <v>0</v>
      </c>
      <c r="AU1106" s="77">
        <f t="shared" si="3846"/>
        <v>2.5000000000000001E-3</v>
      </c>
      <c r="AV1106" s="77">
        <f t="shared" si="3847"/>
        <v>2.0809499864316017E-4</v>
      </c>
    </row>
    <row r="1107" spans="1:48">
      <c r="A1107" t="s">
        <v>175</v>
      </c>
      <c r="B1107" t="s">
        <v>180</v>
      </c>
      <c r="C1107" s="197" t="str">
        <f t="shared" si="3868"/>
        <v>Lifecycle_Opportunity_522</v>
      </c>
      <c r="D1107">
        <v>522</v>
      </c>
      <c r="E1107">
        <f>VLOOKUP($D1107,'[2]LC Opportunity'!$Q$2:$U$542,2,FALSE)</f>
        <v>0</v>
      </c>
      <c r="F1107">
        <f>VLOOKUP($D1107,'[2]LC Opportunity'!$Q$2:$U$542,3,FALSE)</f>
        <v>0</v>
      </c>
      <c r="G1107">
        <f>VLOOKUP($D1107,'[2]LC Opportunity'!$Q$2:$U$542,4,FALSE)</f>
        <v>0</v>
      </c>
      <c r="H1107">
        <f>VLOOKUP($D1107,'[2]LC Opportunity'!$Q$2:$U$542,5,FALSE)</f>
        <v>0.99999999999999989</v>
      </c>
      <c r="I1107" s="77">
        <f t="shared" si="3823"/>
        <v>0.99999999999999989</v>
      </c>
      <c r="J1107" s="77">
        <f t="shared" si="3824"/>
        <v>7.1999999999999981E-2</v>
      </c>
      <c r="K1107" s="77">
        <f t="shared" si="3876"/>
        <v>5.8106552987937654E-3</v>
      </c>
      <c r="L1107" s="76">
        <v>0</v>
      </c>
      <c r="M1107" s="77">
        <f t="shared" si="3835"/>
        <v>0</v>
      </c>
      <c r="N1107" s="77">
        <f t="shared" si="3836"/>
        <v>0</v>
      </c>
      <c r="O1107" s="77">
        <f t="shared" si="3837"/>
        <v>4.9999999999999992E-3</v>
      </c>
      <c r="P1107" s="77">
        <f t="shared" si="3838"/>
        <v>4.1762458919303302E-4</v>
      </c>
      <c r="R1107" t="s">
        <v>177</v>
      </c>
      <c r="S1107" t="s">
        <v>180</v>
      </c>
      <c r="T1107" s="197" t="str">
        <f t="shared" si="3870"/>
        <v>Autopilot_Opportunity_522</v>
      </c>
      <c r="U1107">
        <v>522</v>
      </c>
      <c r="V1107">
        <f>VLOOKUP($U1107,'[2]AP Opportunity'!$Q$1:$T$542,2,FALSE)</f>
        <v>0.99999997777777772</v>
      </c>
      <c r="W1107">
        <f>VLOOKUP($U1107,'[2]AP Opportunity'!$Q$1:$T$542,3,FALSE)</f>
        <v>2.2222222284540294E-8</v>
      </c>
      <c r="X1107">
        <f>VLOOKUP($U1107,'[2]AP Opportunity'!$Q$1:$T$542,4,FALSE)</f>
        <v>0</v>
      </c>
      <c r="Y1107" s="77">
        <f t="shared" si="3871"/>
        <v>1</v>
      </c>
      <c r="Z1107" s="77">
        <f t="shared" si="3877"/>
        <v>6.4624999704999977E-2</v>
      </c>
      <c r="AA1107" s="77">
        <f t="shared" si="3878"/>
        <v>5.2321923767311151E-3</v>
      </c>
      <c r="AB1107" s="79">
        <v>1</v>
      </c>
      <c r="AC1107" s="77">
        <f t="shared" si="3839"/>
        <v>8.499999955555556E-3</v>
      </c>
      <c r="AD1107" s="77">
        <f t="shared" ref="AD1107" si="3889">1-(1-AC1107)^(1/12)</f>
        <v>7.1110795759765644E-4</v>
      </c>
      <c r="AE1107" s="77">
        <f t="shared" si="3841"/>
        <v>2.5000000000000001E-3</v>
      </c>
      <c r="AF1107" s="77">
        <f t="shared" ref="AF1107" si="3890">1-(1-AE1107)^(1/12)</f>
        <v>2.0857243058891584E-4</v>
      </c>
      <c r="AH1107" t="s">
        <v>175</v>
      </c>
      <c r="AI1107" t="s">
        <v>180</v>
      </c>
      <c r="AJ1107" s="197" t="str">
        <f t="shared" si="3832"/>
        <v>Lifecycle_Opportunity_522</v>
      </c>
      <c r="AK1107">
        <v>522</v>
      </c>
      <c r="AL1107">
        <f>VLOOKUP($U1107,[2]Standard_Opportunity!$Q$1:$T$542,2,FALSE)</f>
        <v>0.99999997777777772</v>
      </c>
      <c r="AM1107">
        <f>VLOOKUP($U1107,[2]Standard_Opportunity!$Q$1:$T$542,3,FALSE)</f>
        <v>2.2222222284540294E-8</v>
      </c>
      <c r="AN1107">
        <f>VLOOKUP($U1107,[2]Standard_Opportunity!$Q$1:$T$542,4,FALSE)</f>
        <v>0</v>
      </c>
      <c r="AO1107" s="77">
        <f t="shared" si="3833"/>
        <v>1</v>
      </c>
      <c r="AP1107" s="77">
        <f t="shared" si="3843"/>
        <v>6.4624999704999977E-2</v>
      </c>
      <c r="AQ1107" s="77">
        <f t="shared" si="3834"/>
        <v>5.2321923767311151E-3</v>
      </c>
      <c r="AR1107" s="79">
        <v>0</v>
      </c>
      <c r="AS1107" s="77">
        <f t="shared" si="3844"/>
        <v>0</v>
      </c>
      <c r="AT1107" s="77">
        <f t="shared" si="3845"/>
        <v>0</v>
      </c>
      <c r="AU1107" s="77">
        <f t="shared" si="3846"/>
        <v>2.5000000000000001E-3</v>
      </c>
      <c r="AV1107" s="77">
        <f t="shared" si="3847"/>
        <v>2.0809499864316017E-4</v>
      </c>
    </row>
    <row r="1108" spans="1:48">
      <c r="A1108" t="s">
        <v>175</v>
      </c>
      <c r="B1108" t="s">
        <v>180</v>
      </c>
      <c r="C1108" s="197" t="str">
        <f t="shared" si="3868"/>
        <v>Lifecycle_Opportunity_521</v>
      </c>
      <c r="D1108">
        <v>521</v>
      </c>
      <c r="E1108">
        <f>VLOOKUP($D1108,'[2]LC Opportunity'!$Q$2:$U$542,2,FALSE)</f>
        <v>0</v>
      </c>
      <c r="F1108">
        <f>VLOOKUP($D1108,'[2]LC Opportunity'!$Q$2:$U$542,3,FALSE)</f>
        <v>0</v>
      </c>
      <c r="G1108">
        <f>VLOOKUP($D1108,'[2]LC Opportunity'!$Q$2:$U$542,4,FALSE)</f>
        <v>0</v>
      </c>
      <c r="H1108">
        <f>VLOOKUP($D1108,'[2]LC Opportunity'!$Q$2:$U$542,5,FALSE)</f>
        <v>0.99999999999999989</v>
      </c>
      <c r="I1108" s="77">
        <f t="shared" si="3823"/>
        <v>0.99999999999999989</v>
      </c>
      <c r="J1108" s="77">
        <f t="shared" si="3824"/>
        <v>7.1999999999999981E-2</v>
      </c>
      <c r="K1108" s="77">
        <f t="shared" si="3876"/>
        <v>5.8106552987937654E-3</v>
      </c>
      <c r="L1108" s="76">
        <v>0</v>
      </c>
      <c r="M1108" s="77">
        <f t="shared" si="3835"/>
        <v>0</v>
      </c>
      <c r="N1108" s="77">
        <f t="shared" si="3836"/>
        <v>0</v>
      </c>
      <c r="O1108" s="77">
        <f t="shared" si="3837"/>
        <v>4.9999999999999992E-3</v>
      </c>
      <c r="P1108" s="77">
        <f t="shared" si="3838"/>
        <v>4.1762458919303302E-4</v>
      </c>
      <c r="R1108" t="s">
        <v>177</v>
      </c>
      <c r="S1108" t="s">
        <v>180</v>
      </c>
      <c r="T1108" s="197" t="str">
        <f t="shared" si="3870"/>
        <v>Autopilot_Opportunity_521</v>
      </c>
      <c r="U1108">
        <v>521</v>
      </c>
      <c r="V1108">
        <f>VLOOKUP($U1108,'[2]AP Opportunity'!$Q$1:$T$542,2,FALSE)</f>
        <v>0.99999997777777772</v>
      </c>
      <c r="W1108">
        <f>VLOOKUP($U1108,'[2]AP Opportunity'!$Q$1:$T$542,3,FALSE)</f>
        <v>2.2222222284540294E-8</v>
      </c>
      <c r="X1108">
        <f>VLOOKUP($U1108,'[2]AP Opportunity'!$Q$1:$T$542,4,FALSE)</f>
        <v>0</v>
      </c>
      <c r="Y1108" s="77">
        <f t="shared" si="3871"/>
        <v>1</v>
      </c>
      <c r="Z1108" s="77">
        <f t="shared" si="3877"/>
        <v>6.4624999704999977E-2</v>
      </c>
      <c r="AA1108" s="77">
        <f t="shared" si="3878"/>
        <v>5.2321923767311151E-3</v>
      </c>
      <c r="AB1108" s="79">
        <v>1</v>
      </c>
      <c r="AC1108" s="77">
        <f t="shared" si="3839"/>
        <v>8.499999955555556E-3</v>
      </c>
      <c r="AD1108" s="77">
        <f t="shared" ref="AD1108" si="3891">1-(1-AC1108)^(1/12)</f>
        <v>7.1110795759765644E-4</v>
      </c>
      <c r="AE1108" s="77">
        <f t="shared" si="3841"/>
        <v>2.5000000000000001E-3</v>
      </c>
      <c r="AF1108" s="77">
        <f t="shared" ref="AF1108" si="3892">1-(1-AE1108)^(1/12)</f>
        <v>2.0857243058891584E-4</v>
      </c>
      <c r="AH1108" t="s">
        <v>175</v>
      </c>
      <c r="AI1108" t="s">
        <v>180</v>
      </c>
      <c r="AJ1108" s="197" t="str">
        <f t="shared" si="3832"/>
        <v>Lifecycle_Opportunity_521</v>
      </c>
      <c r="AK1108">
        <v>521</v>
      </c>
      <c r="AL1108">
        <f>VLOOKUP($U1108,[2]Standard_Opportunity!$Q$1:$T$542,2,FALSE)</f>
        <v>0.99999997777777772</v>
      </c>
      <c r="AM1108">
        <f>VLOOKUP($U1108,[2]Standard_Opportunity!$Q$1:$T$542,3,FALSE)</f>
        <v>2.2222222284540294E-8</v>
      </c>
      <c r="AN1108">
        <f>VLOOKUP($U1108,[2]Standard_Opportunity!$Q$1:$T$542,4,FALSE)</f>
        <v>0</v>
      </c>
      <c r="AO1108" s="77">
        <f t="shared" si="3833"/>
        <v>1</v>
      </c>
      <c r="AP1108" s="77">
        <f t="shared" si="3843"/>
        <v>6.4624999704999977E-2</v>
      </c>
      <c r="AQ1108" s="77">
        <f t="shared" si="3834"/>
        <v>5.2321923767311151E-3</v>
      </c>
      <c r="AR1108" s="79">
        <v>0</v>
      </c>
      <c r="AS1108" s="77">
        <f t="shared" si="3844"/>
        <v>0</v>
      </c>
      <c r="AT1108" s="77">
        <f t="shared" si="3845"/>
        <v>0</v>
      </c>
      <c r="AU1108" s="77">
        <f t="shared" si="3846"/>
        <v>2.5000000000000001E-3</v>
      </c>
      <c r="AV1108" s="77">
        <f t="shared" si="3847"/>
        <v>2.0809499864316017E-4</v>
      </c>
    </row>
    <row r="1109" spans="1:48">
      <c r="A1109" t="s">
        <v>175</v>
      </c>
      <c r="B1109" t="s">
        <v>180</v>
      </c>
      <c r="C1109" s="197" t="str">
        <f t="shared" si="3868"/>
        <v>Lifecycle_Opportunity_520</v>
      </c>
      <c r="D1109">
        <v>520</v>
      </c>
      <c r="E1109">
        <f>VLOOKUP($D1109,'[2]LC Opportunity'!$Q$2:$U$542,2,FALSE)</f>
        <v>0</v>
      </c>
      <c r="F1109">
        <f>VLOOKUP($D1109,'[2]LC Opportunity'!$Q$2:$U$542,3,FALSE)</f>
        <v>0</v>
      </c>
      <c r="G1109">
        <f>VLOOKUP($D1109,'[2]LC Opportunity'!$Q$2:$U$542,4,FALSE)</f>
        <v>0</v>
      </c>
      <c r="H1109">
        <f>VLOOKUP($D1109,'[2]LC Opportunity'!$Q$2:$U$542,5,FALSE)</f>
        <v>0.99999999999999989</v>
      </c>
      <c r="I1109" s="77">
        <f t="shared" si="3823"/>
        <v>0.99999999999999989</v>
      </c>
      <c r="J1109" s="77">
        <f t="shared" si="3824"/>
        <v>7.1999999999999981E-2</v>
      </c>
      <c r="K1109" s="77">
        <f t="shared" si="3876"/>
        <v>5.8106552987937654E-3</v>
      </c>
      <c r="L1109" s="76">
        <v>0</v>
      </c>
      <c r="M1109" s="77">
        <f t="shared" si="3835"/>
        <v>0</v>
      </c>
      <c r="N1109" s="77">
        <f t="shared" si="3836"/>
        <v>0</v>
      </c>
      <c r="O1109" s="77">
        <f t="shared" si="3837"/>
        <v>4.9999999999999992E-3</v>
      </c>
      <c r="P1109" s="77">
        <f t="shared" si="3838"/>
        <v>4.1762458919303302E-4</v>
      </c>
      <c r="R1109" t="s">
        <v>177</v>
      </c>
      <c r="S1109" t="s">
        <v>180</v>
      </c>
      <c r="T1109" s="197" t="str">
        <f t="shared" si="3870"/>
        <v>Autopilot_Opportunity_520</v>
      </c>
      <c r="U1109">
        <v>520</v>
      </c>
      <c r="V1109">
        <f>VLOOKUP($U1109,'[2]AP Opportunity'!$Q$1:$T$542,2,FALSE)</f>
        <v>0.99999997777777772</v>
      </c>
      <c r="W1109">
        <f>VLOOKUP($U1109,'[2]AP Opportunity'!$Q$1:$T$542,3,FALSE)</f>
        <v>2.2222222284540294E-8</v>
      </c>
      <c r="X1109">
        <f>VLOOKUP($U1109,'[2]AP Opportunity'!$Q$1:$T$542,4,FALSE)</f>
        <v>0</v>
      </c>
      <c r="Y1109" s="77">
        <f t="shared" si="3871"/>
        <v>1</v>
      </c>
      <c r="Z1109" s="77">
        <f t="shared" si="3877"/>
        <v>6.4624999704999977E-2</v>
      </c>
      <c r="AA1109" s="77">
        <f t="shared" si="3878"/>
        <v>5.2321923767311151E-3</v>
      </c>
      <c r="AB1109" s="79">
        <v>1</v>
      </c>
      <c r="AC1109" s="77">
        <f t="shared" si="3839"/>
        <v>8.499999955555556E-3</v>
      </c>
      <c r="AD1109" s="77">
        <f t="shared" ref="AD1109" si="3893">1-(1-AC1109)^(1/12)</f>
        <v>7.1110795759765644E-4</v>
      </c>
      <c r="AE1109" s="77">
        <f t="shared" si="3841"/>
        <v>2.5000000000000001E-3</v>
      </c>
      <c r="AF1109" s="77">
        <f t="shared" ref="AF1109" si="3894">1-(1-AE1109)^(1/12)</f>
        <v>2.0857243058891584E-4</v>
      </c>
      <c r="AH1109" t="s">
        <v>175</v>
      </c>
      <c r="AI1109" t="s">
        <v>180</v>
      </c>
      <c r="AJ1109" s="197" t="str">
        <f t="shared" si="3832"/>
        <v>Lifecycle_Opportunity_520</v>
      </c>
      <c r="AK1109">
        <v>520</v>
      </c>
      <c r="AL1109">
        <f>VLOOKUP($U1109,[2]Standard_Opportunity!$Q$1:$T$542,2,FALSE)</f>
        <v>0.99999997777777772</v>
      </c>
      <c r="AM1109">
        <f>VLOOKUP($U1109,[2]Standard_Opportunity!$Q$1:$T$542,3,FALSE)</f>
        <v>2.2222222284540294E-8</v>
      </c>
      <c r="AN1109">
        <f>VLOOKUP($U1109,[2]Standard_Opportunity!$Q$1:$T$542,4,FALSE)</f>
        <v>0</v>
      </c>
      <c r="AO1109" s="77">
        <f t="shared" si="3833"/>
        <v>1</v>
      </c>
      <c r="AP1109" s="77">
        <f t="shared" si="3843"/>
        <v>6.4624999704999977E-2</v>
      </c>
      <c r="AQ1109" s="77">
        <f t="shared" si="3834"/>
        <v>5.2321923767311151E-3</v>
      </c>
      <c r="AR1109" s="79">
        <v>0</v>
      </c>
      <c r="AS1109" s="77">
        <f t="shared" si="3844"/>
        <v>0</v>
      </c>
      <c r="AT1109" s="77">
        <f t="shared" si="3845"/>
        <v>0</v>
      </c>
      <c r="AU1109" s="77">
        <f t="shared" si="3846"/>
        <v>2.5000000000000001E-3</v>
      </c>
      <c r="AV1109" s="77">
        <f t="shared" si="3847"/>
        <v>2.0809499864316017E-4</v>
      </c>
    </row>
    <row r="1110" spans="1:48">
      <c r="A1110" t="s">
        <v>175</v>
      </c>
      <c r="B1110" t="s">
        <v>180</v>
      </c>
      <c r="C1110" s="197" t="str">
        <f t="shared" si="3868"/>
        <v>Lifecycle_Opportunity_519</v>
      </c>
      <c r="D1110">
        <v>519</v>
      </c>
      <c r="E1110">
        <f>VLOOKUP($D1110,'[2]LC Opportunity'!$Q$2:$U$542,2,FALSE)</f>
        <v>0</v>
      </c>
      <c r="F1110">
        <f>VLOOKUP($D1110,'[2]LC Opportunity'!$Q$2:$U$542,3,FALSE)</f>
        <v>0</v>
      </c>
      <c r="G1110">
        <f>VLOOKUP($D1110,'[2]LC Opportunity'!$Q$2:$U$542,4,FALSE)</f>
        <v>0</v>
      </c>
      <c r="H1110">
        <f>VLOOKUP($D1110,'[2]LC Opportunity'!$Q$2:$U$542,5,FALSE)</f>
        <v>0.99999999999999989</v>
      </c>
      <c r="I1110" s="77">
        <f t="shared" si="3823"/>
        <v>0.99999999999999989</v>
      </c>
      <c r="J1110" s="77">
        <f t="shared" si="3824"/>
        <v>7.1999999999999981E-2</v>
      </c>
      <c r="K1110" s="77">
        <f t="shared" si="3876"/>
        <v>5.8106552987937654E-3</v>
      </c>
      <c r="L1110" s="76">
        <v>0</v>
      </c>
      <c r="M1110" s="77">
        <f t="shared" si="3835"/>
        <v>0</v>
      </c>
      <c r="N1110" s="77">
        <f t="shared" si="3836"/>
        <v>0</v>
      </c>
      <c r="O1110" s="77">
        <f t="shared" si="3837"/>
        <v>4.9999999999999992E-3</v>
      </c>
      <c r="P1110" s="77">
        <f t="shared" si="3838"/>
        <v>4.1762458919303302E-4</v>
      </c>
      <c r="R1110" t="s">
        <v>177</v>
      </c>
      <c r="S1110" t="s">
        <v>180</v>
      </c>
      <c r="T1110" s="197" t="str">
        <f t="shared" si="3870"/>
        <v>Autopilot_Opportunity_519</v>
      </c>
      <c r="U1110">
        <v>519</v>
      </c>
      <c r="V1110">
        <f>VLOOKUP($U1110,'[2]AP Opportunity'!$Q$1:$T$542,2,FALSE)</f>
        <v>0.99999997777777772</v>
      </c>
      <c r="W1110">
        <f>VLOOKUP($U1110,'[2]AP Opportunity'!$Q$1:$T$542,3,FALSE)</f>
        <v>2.2222222284540294E-8</v>
      </c>
      <c r="X1110">
        <f>VLOOKUP($U1110,'[2]AP Opportunity'!$Q$1:$T$542,4,FALSE)</f>
        <v>0</v>
      </c>
      <c r="Y1110" s="77">
        <f t="shared" si="3871"/>
        <v>1</v>
      </c>
      <c r="Z1110" s="77">
        <f t="shared" si="3877"/>
        <v>6.4624999704999977E-2</v>
      </c>
      <c r="AA1110" s="77">
        <f t="shared" si="3878"/>
        <v>5.2321923767311151E-3</v>
      </c>
      <c r="AB1110" s="79">
        <v>1</v>
      </c>
      <c r="AC1110" s="77">
        <f t="shared" si="3839"/>
        <v>8.499999955555556E-3</v>
      </c>
      <c r="AD1110" s="77">
        <f t="shared" ref="AD1110" si="3895">1-(1-AC1110)^(1/12)</f>
        <v>7.1110795759765644E-4</v>
      </c>
      <c r="AE1110" s="77">
        <f t="shared" si="3841"/>
        <v>2.5000000000000001E-3</v>
      </c>
      <c r="AF1110" s="77">
        <f t="shared" ref="AF1110" si="3896">1-(1-AE1110)^(1/12)</f>
        <v>2.0857243058891584E-4</v>
      </c>
      <c r="AH1110" t="s">
        <v>175</v>
      </c>
      <c r="AI1110" t="s">
        <v>180</v>
      </c>
      <c r="AJ1110" s="197" t="str">
        <f t="shared" si="3832"/>
        <v>Lifecycle_Opportunity_519</v>
      </c>
      <c r="AK1110">
        <v>519</v>
      </c>
      <c r="AL1110">
        <f>VLOOKUP($U1110,[2]Standard_Opportunity!$Q$1:$T$542,2,FALSE)</f>
        <v>0.99999997777777772</v>
      </c>
      <c r="AM1110">
        <f>VLOOKUP($U1110,[2]Standard_Opportunity!$Q$1:$T$542,3,FALSE)</f>
        <v>2.2222222284540294E-8</v>
      </c>
      <c r="AN1110">
        <f>VLOOKUP($U1110,[2]Standard_Opportunity!$Q$1:$T$542,4,FALSE)</f>
        <v>0</v>
      </c>
      <c r="AO1110" s="77">
        <f t="shared" si="3833"/>
        <v>1</v>
      </c>
      <c r="AP1110" s="77">
        <f t="shared" si="3843"/>
        <v>6.4624999704999977E-2</v>
      </c>
      <c r="AQ1110" s="77">
        <f t="shared" si="3834"/>
        <v>5.2321923767311151E-3</v>
      </c>
      <c r="AR1110" s="79">
        <v>0</v>
      </c>
      <c r="AS1110" s="77">
        <f t="shared" si="3844"/>
        <v>0</v>
      </c>
      <c r="AT1110" s="77">
        <f t="shared" si="3845"/>
        <v>0</v>
      </c>
      <c r="AU1110" s="77">
        <f t="shared" si="3846"/>
        <v>2.5000000000000001E-3</v>
      </c>
      <c r="AV1110" s="77">
        <f t="shared" si="3847"/>
        <v>2.0809499864316017E-4</v>
      </c>
    </row>
    <row r="1111" spans="1:48">
      <c r="A1111" t="s">
        <v>175</v>
      </c>
      <c r="B1111" t="s">
        <v>180</v>
      </c>
      <c r="C1111" s="197" t="str">
        <f t="shared" si="3868"/>
        <v>Lifecycle_Opportunity_518</v>
      </c>
      <c r="D1111">
        <v>518</v>
      </c>
      <c r="E1111">
        <f>VLOOKUP($D1111,'[2]LC Opportunity'!$Q$2:$U$542,2,FALSE)</f>
        <v>0</v>
      </c>
      <c r="F1111">
        <f>VLOOKUP($D1111,'[2]LC Opportunity'!$Q$2:$U$542,3,FALSE)</f>
        <v>0</v>
      </c>
      <c r="G1111">
        <f>VLOOKUP($D1111,'[2]LC Opportunity'!$Q$2:$U$542,4,FALSE)</f>
        <v>0</v>
      </c>
      <c r="H1111">
        <f>VLOOKUP($D1111,'[2]LC Opportunity'!$Q$2:$U$542,5,FALSE)</f>
        <v>0.99999999999999989</v>
      </c>
      <c r="I1111" s="77">
        <f t="shared" si="3823"/>
        <v>0.99999999999999989</v>
      </c>
      <c r="J1111" s="77">
        <f t="shared" si="3824"/>
        <v>7.1999999999999981E-2</v>
      </c>
      <c r="K1111" s="77">
        <f t="shared" si="3876"/>
        <v>5.8106552987937654E-3</v>
      </c>
      <c r="L1111" s="76">
        <v>0</v>
      </c>
      <c r="M1111" s="77">
        <f t="shared" si="3835"/>
        <v>0</v>
      </c>
      <c r="N1111" s="77">
        <f t="shared" si="3836"/>
        <v>0</v>
      </c>
      <c r="O1111" s="77">
        <f t="shared" si="3837"/>
        <v>4.9999999999999992E-3</v>
      </c>
      <c r="P1111" s="77">
        <f t="shared" si="3838"/>
        <v>4.1762458919303302E-4</v>
      </c>
      <c r="R1111" t="s">
        <v>177</v>
      </c>
      <c r="S1111" t="s">
        <v>180</v>
      </c>
      <c r="T1111" s="197" t="str">
        <f t="shared" si="3870"/>
        <v>Autopilot_Opportunity_518</v>
      </c>
      <c r="U1111">
        <v>518</v>
      </c>
      <c r="V1111">
        <f>VLOOKUP($U1111,'[2]AP Opportunity'!$Q$1:$T$542,2,FALSE)</f>
        <v>0.99999997777777772</v>
      </c>
      <c r="W1111">
        <f>VLOOKUP($U1111,'[2]AP Opportunity'!$Q$1:$T$542,3,FALSE)</f>
        <v>2.2222222284540294E-8</v>
      </c>
      <c r="X1111">
        <f>VLOOKUP($U1111,'[2]AP Opportunity'!$Q$1:$T$542,4,FALSE)</f>
        <v>0</v>
      </c>
      <c r="Y1111" s="77">
        <f t="shared" si="3871"/>
        <v>1</v>
      </c>
      <c r="Z1111" s="77">
        <f t="shared" si="3877"/>
        <v>6.4624999704999977E-2</v>
      </c>
      <c r="AA1111" s="77">
        <f t="shared" si="3878"/>
        <v>5.2321923767311151E-3</v>
      </c>
      <c r="AB1111" s="79">
        <v>1</v>
      </c>
      <c r="AC1111" s="77">
        <f t="shared" si="3839"/>
        <v>8.499999955555556E-3</v>
      </c>
      <c r="AD1111" s="77">
        <f t="shared" ref="AD1111" si="3897">1-(1-AC1111)^(1/12)</f>
        <v>7.1110795759765644E-4</v>
      </c>
      <c r="AE1111" s="77">
        <f t="shared" si="3841"/>
        <v>2.5000000000000001E-3</v>
      </c>
      <c r="AF1111" s="77">
        <f t="shared" ref="AF1111" si="3898">1-(1-AE1111)^(1/12)</f>
        <v>2.0857243058891584E-4</v>
      </c>
      <c r="AH1111" t="s">
        <v>175</v>
      </c>
      <c r="AI1111" t="s">
        <v>180</v>
      </c>
      <c r="AJ1111" s="197" t="str">
        <f t="shared" si="3832"/>
        <v>Lifecycle_Opportunity_518</v>
      </c>
      <c r="AK1111">
        <v>518</v>
      </c>
      <c r="AL1111">
        <f>VLOOKUP($U1111,[2]Standard_Opportunity!$Q$1:$T$542,2,FALSE)</f>
        <v>0.99999997777777772</v>
      </c>
      <c r="AM1111">
        <f>VLOOKUP($U1111,[2]Standard_Opportunity!$Q$1:$T$542,3,FALSE)</f>
        <v>2.2222222284540294E-8</v>
      </c>
      <c r="AN1111">
        <f>VLOOKUP($U1111,[2]Standard_Opportunity!$Q$1:$T$542,4,FALSE)</f>
        <v>0</v>
      </c>
      <c r="AO1111" s="77">
        <f t="shared" si="3833"/>
        <v>1</v>
      </c>
      <c r="AP1111" s="77">
        <f t="shared" si="3843"/>
        <v>6.4624999704999977E-2</v>
      </c>
      <c r="AQ1111" s="77">
        <f t="shared" si="3834"/>
        <v>5.2321923767311151E-3</v>
      </c>
      <c r="AR1111" s="79">
        <v>0</v>
      </c>
      <c r="AS1111" s="77">
        <f t="shared" si="3844"/>
        <v>0</v>
      </c>
      <c r="AT1111" s="77">
        <f t="shared" si="3845"/>
        <v>0</v>
      </c>
      <c r="AU1111" s="77">
        <f t="shared" si="3846"/>
        <v>2.5000000000000001E-3</v>
      </c>
      <c r="AV1111" s="77">
        <f t="shared" si="3847"/>
        <v>2.0809499864316017E-4</v>
      </c>
    </row>
    <row r="1112" spans="1:48">
      <c r="A1112" t="s">
        <v>175</v>
      </c>
      <c r="B1112" t="s">
        <v>180</v>
      </c>
      <c r="C1112" s="197" t="str">
        <f t="shared" si="3868"/>
        <v>Lifecycle_Opportunity_517</v>
      </c>
      <c r="D1112">
        <v>517</v>
      </c>
      <c r="E1112">
        <f>VLOOKUP($D1112,'[2]LC Opportunity'!$Q$2:$U$542,2,FALSE)</f>
        <v>0</v>
      </c>
      <c r="F1112">
        <f>VLOOKUP($D1112,'[2]LC Opportunity'!$Q$2:$U$542,3,FALSE)</f>
        <v>0</v>
      </c>
      <c r="G1112">
        <f>VLOOKUP($D1112,'[2]LC Opportunity'!$Q$2:$U$542,4,FALSE)</f>
        <v>0</v>
      </c>
      <c r="H1112">
        <f>VLOOKUP($D1112,'[2]LC Opportunity'!$Q$2:$U$542,5,FALSE)</f>
        <v>0.99999999999999989</v>
      </c>
      <c r="I1112" s="77">
        <f t="shared" si="3823"/>
        <v>0.99999999999999989</v>
      </c>
      <c r="J1112" s="77">
        <f t="shared" si="3824"/>
        <v>7.1999999999999981E-2</v>
      </c>
      <c r="K1112" s="77">
        <f t="shared" si="3876"/>
        <v>5.8106552987937654E-3</v>
      </c>
      <c r="L1112" s="76">
        <v>0</v>
      </c>
      <c r="M1112" s="77">
        <f t="shared" si="3835"/>
        <v>0</v>
      </c>
      <c r="N1112" s="77">
        <f t="shared" si="3836"/>
        <v>0</v>
      </c>
      <c r="O1112" s="77">
        <f t="shared" si="3837"/>
        <v>4.9999999999999992E-3</v>
      </c>
      <c r="P1112" s="77">
        <f t="shared" si="3838"/>
        <v>4.1762458919303302E-4</v>
      </c>
      <c r="R1112" t="s">
        <v>177</v>
      </c>
      <c r="S1112" t="s">
        <v>180</v>
      </c>
      <c r="T1112" s="197" t="str">
        <f t="shared" si="3870"/>
        <v>Autopilot_Opportunity_517</v>
      </c>
      <c r="U1112">
        <v>517</v>
      </c>
      <c r="V1112">
        <f>VLOOKUP($U1112,'[2]AP Opportunity'!$Q$1:$T$542,2,FALSE)</f>
        <v>0.99999997777777772</v>
      </c>
      <c r="W1112">
        <f>VLOOKUP($U1112,'[2]AP Opportunity'!$Q$1:$T$542,3,FALSE)</f>
        <v>2.2222222284540294E-8</v>
      </c>
      <c r="X1112">
        <f>VLOOKUP($U1112,'[2]AP Opportunity'!$Q$1:$T$542,4,FALSE)</f>
        <v>0</v>
      </c>
      <c r="Y1112" s="77">
        <f t="shared" si="3871"/>
        <v>1</v>
      </c>
      <c r="Z1112" s="77">
        <f t="shared" si="3877"/>
        <v>6.4624999704999977E-2</v>
      </c>
      <c r="AA1112" s="77">
        <f t="shared" si="3878"/>
        <v>5.2321923767311151E-3</v>
      </c>
      <c r="AB1112" s="79">
        <v>1</v>
      </c>
      <c r="AC1112" s="77">
        <f t="shared" si="3839"/>
        <v>8.499999955555556E-3</v>
      </c>
      <c r="AD1112" s="77">
        <f t="shared" ref="AD1112" si="3899">1-(1-AC1112)^(1/12)</f>
        <v>7.1110795759765644E-4</v>
      </c>
      <c r="AE1112" s="77">
        <f t="shared" si="3841"/>
        <v>2.5000000000000001E-3</v>
      </c>
      <c r="AF1112" s="77">
        <f t="shared" ref="AF1112" si="3900">1-(1-AE1112)^(1/12)</f>
        <v>2.0857243058891584E-4</v>
      </c>
      <c r="AH1112" t="s">
        <v>175</v>
      </c>
      <c r="AI1112" t="s">
        <v>180</v>
      </c>
      <c r="AJ1112" s="197" t="str">
        <f t="shared" si="3832"/>
        <v>Lifecycle_Opportunity_517</v>
      </c>
      <c r="AK1112">
        <v>517</v>
      </c>
      <c r="AL1112">
        <f>VLOOKUP($U1112,[2]Standard_Opportunity!$Q$1:$T$542,2,FALSE)</f>
        <v>0.99999997777777772</v>
      </c>
      <c r="AM1112">
        <f>VLOOKUP($U1112,[2]Standard_Opportunity!$Q$1:$T$542,3,FALSE)</f>
        <v>2.2222222284540294E-8</v>
      </c>
      <c r="AN1112">
        <f>VLOOKUP($U1112,[2]Standard_Opportunity!$Q$1:$T$542,4,FALSE)</f>
        <v>0</v>
      </c>
      <c r="AO1112" s="77">
        <f t="shared" si="3833"/>
        <v>1</v>
      </c>
      <c r="AP1112" s="77">
        <f t="shared" si="3843"/>
        <v>6.4624999704999977E-2</v>
      </c>
      <c r="AQ1112" s="77">
        <f t="shared" si="3834"/>
        <v>5.2321923767311151E-3</v>
      </c>
      <c r="AR1112" s="79">
        <v>0</v>
      </c>
      <c r="AS1112" s="77">
        <f t="shared" si="3844"/>
        <v>0</v>
      </c>
      <c r="AT1112" s="77">
        <f t="shared" si="3845"/>
        <v>0</v>
      </c>
      <c r="AU1112" s="77">
        <f t="shared" si="3846"/>
        <v>2.5000000000000001E-3</v>
      </c>
      <c r="AV1112" s="77">
        <f t="shared" si="3847"/>
        <v>2.0809499864316017E-4</v>
      </c>
    </row>
    <row r="1113" spans="1:48">
      <c r="A1113" t="s">
        <v>175</v>
      </c>
      <c r="B1113" t="s">
        <v>180</v>
      </c>
      <c r="C1113" s="197" t="str">
        <f t="shared" si="3868"/>
        <v>Lifecycle_Opportunity_516</v>
      </c>
      <c r="D1113">
        <v>516</v>
      </c>
      <c r="E1113">
        <f>VLOOKUP($D1113,'[2]LC Opportunity'!$Q$2:$U$542,2,FALSE)</f>
        <v>0</v>
      </c>
      <c r="F1113">
        <f>VLOOKUP($D1113,'[2]LC Opportunity'!$Q$2:$U$542,3,FALSE)</f>
        <v>0</v>
      </c>
      <c r="G1113">
        <f>VLOOKUP($D1113,'[2]LC Opportunity'!$Q$2:$U$542,4,FALSE)</f>
        <v>0</v>
      </c>
      <c r="H1113">
        <f>VLOOKUP($D1113,'[2]LC Opportunity'!$Q$2:$U$542,5,FALSE)</f>
        <v>0.99999999999999989</v>
      </c>
      <c r="I1113" s="77">
        <f t="shared" si="3823"/>
        <v>0.99999999999999989</v>
      </c>
      <c r="J1113" s="77">
        <f t="shared" si="3824"/>
        <v>7.1999999999999981E-2</v>
      </c>
      <c r="K1113" s="77">
        <f t="shared" si="3876"/>
        <v>5.8106552987937654E-3</v>
      </c>
      <c r="L1113" s="76">
        <v>0</v>
      </c>
      <c r="M1113" s="77">
        <f t="shared" si="3835"/>
        <v>0</v>
      </c>
      <c r="N1113" s="77">
        <f t="shared" si="3836"/>
        <v>0</v>
      </c>
      <c r="O1113" s="77">
        <f t="shared" si="3837"/>
        <v>4.9999999999999992E-3</v>
      </c>
      <c r="P1113" s="77">
        <f t="shared" si="3838"/>
        <v>4.1762458919303302E-4</v>
      </c>
      <c r="R1113" t="s">
        <v>177</v>
      </c>
      <c r="S1113" t="s">
        <v>180</v>
      </c>
      <c r="T1113" s="197" t="str">
        <f t="shared" si="3870"/>
        <v>Autopilot_Opportunity_516</v>
      </c>
      <c r="U1113">
        <v>516</v>
      </c>
      <c r="V1113">
        <f>VLOOKUP($U1113,'[2]AP Opportunity'!$Q$1:$T$542,2,FALSE)</f>
        <v>0.99999997777777772</v>
      </c>
      <c r="W1113">
        <f>VLOOKUP($U1113,'[2]AP Opportunity'!$Q$1:$T$542,3,FALSE)</f>
        <v>2.2222222284540294E-8</v>
      </c>
      <c r="X1113">
        <f>VLOOKUP($U1113,'[2]AP Opportunity'!$Q$1:$T$542,4,FALSE)</f>
        <v>0</v>
      </c>
      <c r="Y1113" s="77">
        <f t="shared" si="3871"/>
        <v>1</v>
      </c>
      <c r="Z1113" s="77">
        <f t="shared" si="3877"/>
        <v>6.4624999704999977E-2</v>
      </c>
      <c r="AA1113" s="77">
        <f t="shared" si="3878"/>
        <v>5.2321923767311151E-3</v>
      </c>
      <c r="AB1113" s="79">
        <v>1</v>
      </c>
      <c r="AC1113" s="77">
        <f t="shared" si="3839"/>
        <v>8.499999955555556E-3</v>
      </c>
      <c r="AD1113" s="77">
        <f t="shared" ref="AD1113" si="3901">1-(1-AC1113)^(1/12)</f>
        <v>7.1110795759765644E-4</v>
      </c>
      <c r="AE1113" s="77">
        <f t="shared" si="3841"/>
        <v>2.5000000000000001E-3</v>
      </c>
      <c r="AF1113" s="77">
        <f t="shared" ref="AF1113" si="3902">1-(1-AE1113)^(1/12)</f>
        <v>2.0857243058891584E-4</v>
      </c>
      <c r="AH1113" t="s">
        <v>175</v>
      </c>
      <c r="AI1113" t="s">
        <v>180</v>
      </c>
      <c r="AJ1113" s="197" t="str">
        <f t="shared" si="3832"/>
        <v>Lifecycle_Opportunity_516</v>
      </c>
      <c r="AK1113">
        <v>516</v>
      </c>
      <c r="AL1113">
        <f>VLOOKUP($U1113,[2]Standard_Opportunity!$Q$1:$T$542,2,FALSE)</f>
        <v>0.99999997777777772</v>
      </c>
      <c r="AM1113">
        <f>VLOOKUP($U1113,[2]Standard_Opportunity!$Q$1:$T$542,3,FALSE)</f>
        <v>2.2222222284540294E-8</v>
      </c>
      <c r="AN1113">
        <f>VLOOKUP($U1113,[2]Standard_Opportunity!$Q$1:$T$542,4,FALSE)</f>
        <v>0</v>
      </c>
      <c r="AO1113" s="77">
        <f t="shared" si="3833"/>
        <v>1</v>
      </c>
      <c r="AP1113" s="77">
        <f t="shared" si="3843"/>
        <v>6.4624999704999977E-2</v>
      </c>
      <c r="AQ1113" s="77">
        <f t="shared" si="3834"/>
        <v>5.2321923767311151E-3</v>
      </c>
      <c r="AR1113" s="79">
        <v>0</v>
      </c>
      <c r="AS1113" s="77">
        <f t="shared" si="3844"/>
        <v>0</v>
      </c>
      <c r="AT1113" s="77">
        <f t="shared" si="3845"/>
        <v>0</v>
      </c>
      <c r="AU1113" s="77">
        <f t="shared" si="3846"/>
        <v>2.5000000000000001E-3</v>
      </c>
      <c r="AV1113" s="77">
        <f t="shared" si="3847"/>
        <v>2.0809499864316017E-4</v>
      </c>
    </row>
    <row r="1114" spans="1:48">
      <c r="A1114" t="s">
        <v>175</v>
      </c>
      <c r="B1114" t="s">
        <v>180</v>
      </c>
      <c r="C1114" s="197" t="str">
        <f t="shared" si="3868"/>
        <v>Lifecycle_Opportunity_515</v>
      </c>
      <c r="D1114">
        <v>515</v>
      </c>
      <c r="E1114">
        <f>VLOOKUP($D1114,'[2]LC Opportunity'!$Q$2:$U$542,2,FALSE)</f>
        <v>0</v>
      </c>
      <c r="F1114">
        <f>VLOOKUP($D1114,'[2]LC Opportunity'!$Q$2:$U$542,3,FALSE)</f>
        <v>0</v>
      </c>
      <c r="G1114">
        <f>VLOOKUP($D1114,'[2]LC Opportunity'!$Q$2:$U$542,4,FALSE)</f>
        <v>0</v>
      </c>
      <c r="H1114">
        <f>VLOOKUP($D1114,'[2]LC Opportunity'!$Q$2:$U$542,5,FALSE)</f>
        <v>0.99999999999999989</v>
      </c>
      <c r="I1114" s="77">
        <f t="shared" si="3823"/>
        <v>0.99999999999999989</v>
      </c>
      <c r="J1114" s="77">
        <f t="shared" si="3824"/>
        <v>7.1999999999999981E-2</v>
      </c>
      <c r="K1114" s="77">
        <f t="shared" si="3876"/>
        <v>5.8106552987937654E-3</v>
      </c>
      <c r="L1114" s="76">
        <v>0</v>
      </c>
      <c r="M1114" s="77">
        <f t="shared" si="3835"/>
        <v>0</v>
      </c>
      <c r="N1114" s="77">
        <f t="shared" si="3836"/>
        <v>0</v>
      </c>
      <c r="O1114" s="77">
        <f t="shared" si="3837"/>
        <v>4.9999999999999992E-3</v>
      </c>
      <c r="P1114" s="77">
        <f t="shared" si="3838"/>
        <v>4.1762458919303302E-4</v>
      </c>
      <c r="R1114" t="s">
        <v>177</v>
      </c>
      <c r="S1114" t="s">
        <v>180</v>
      </c>
      <c r="T1114" s="197" t="str">
        <f t="shared" si="3870"/>
        <v>Autopilot_Opportunity_515</v>
      </c>
      <c r="U1114">
        <v>515</v>
      </c>
      <c r="V1114">
        <f>VLOOKUP($U1114,'[2]AP Opportunity'!$Q$1:$T$542,2,FALSE)</f>
        <v>0.99999997777777772</v>
      </c>
      <c r="W1114">
        <f>VLOOKUP($U1114,'[2]AP Opportunity'!$Q$1:$T$542,3,FALSE)</f>
        <v>2.2222222284540294E-8</v>
      </c>
      <c r="X1114">
        <f>VLOOKUP($U1114,'[2]AP Opportunity'!$Q$1:$T$542,4,FALSE)</f>
        <v>0</v>
      </c>
      <c r="Y1114" s="77">
        <f t="shared" si="3871"/>
        <v>1</v>
      </c>
      <c r="Z1114" s="77">
        <f t="shared" si="3877"/>
        <v>6.4624999704999977E-2</v>
      </c>
      <c r="AA1114" s="77">
        <f t="shared" si="3878"/>
        <v>5.2321923767311151E-3</v>
      </c>
      <c r="AB1114" s="79">
        <v>1</v>
      </c>
      <c r="AC1114" s="77">
        <f t="shared" si="3839"/>
        <v>8.499999955555556E-3</v>
      </c>
      <c r="AD1114" s="77">
        <f t="shared" ref="AD1114" si="3903">1-(1-AC1114)^(1/12)</f>
        <v>7.1110795759765644E-4</v>
      </c>
      <c r="AE1114" s="77">
        <f t="shared" si="3841"/>
        <v>2.5000000000000001E-3</v>
      </c>
      <c r="AF1114" s="77">
        <f t="shared" ref="AF1114" si="3904">1-(1-AE1114)^(1/12)</f>
        <v>2.0857243058891584E-4</v>
      </c>
      <c r="AH1114" t="s">
        <v>175</v>
      </c>
      <c r="AI1114" t="s">
        <v>180</v>
      </c>
      <c r="AJ1114" s="197" t="str">
        <f t="shared" si="3832"/>
        <v>Lifecycle_Opportunity_515</v>
      </c>
      <c r="AK1114">
        <v>515</v>
      </c>
      <c r="AL1114">
        <f>VLOOKUP($U1114,[2]Standard_Opportunity!$Q$1:$T$542,2,FALSE)</f>
        <v>0.99999997777777772</v>
      </c>
      <c r="AM1114">
        <f>VLOOKUP($U1114,[2]Standard_Opportunity!$Q$1:$T$542,3,FALSE)</f>
        <v>2.2222222284540294E-8</v>
      </c>
      <c r="AN1114">
        <f>VLOOKUP($U1114,[2]Standard_Opportunity!$Q$1:$T$542,4,FALSE)</f>
        <v>0</v>
      </c>
      <c r="AO1114" s="77">
        <f t="shared" si="3833"/>
        <v>1</v>
      </c>
      <c r="AP1114" s="77">
        <f t="shared" si="3843"/>
        <v>6.4624999704999977E-2</v>
      </c>
      <c r="AQ1114" s="77">
        <f t="shared" si="3834"/>
        <v>5.2321923767311151E-3</v>
      </c>
      <c r="AR1114" s="79">
        <v>0</v>
      </c>
      <c r="AS1114" s="77">
        <f t="shared" si="3844"/>
        <v>0</v>
      </c>
      <c r="AT1114" s="77">
        <f t="shared" si="3845"/>
        <v>0</v>
      </c>
      <c r="AU1114" s="77">
        <f t="shared" si="3846"/>
        <v>2.5000000000000001E-3</v>
      </c>
      <c r="AV1114" s="77">
        <f t="shared" si="3847"/>
        <v>2.0809499864316017E-4</v>
      </c>
    </row>
    <row r="1115" spans="1:48">
      <c r="A1115" t="s">
        <v>175</v>
      </c>
      <c r="B1115" t="s">
        <v>180</v>
      </c>
      <c r="C1115" s="197" t="str">
        <f t="shared" si="3868"/>
        <v>Lifecycle_Opportunity_514</v>
      </c>
      <c r="D1115">
        <v>514</v>
      </c>
      <c r="E1115">
        <f>VLOOKUP($D1115,'[2]LC Opportunity'!$Q$2:$U$542,2,FALSE)</f>
        <v>0</v>
      </c>
      <c r="F1115">
        <f>VLOOKUP($D1115,'[2]LC Opportunity'!$Q$2:$U$542,3,FALSE)</f>
        <v>0</v>
      </c>
      <c r="G1115">
        <f>VLOOKUP($D1115,'[2]LC Opportunity'!$Q$2:$U$542,4,FALSE)</f>
        <v>0</v>
      </c>
      <c r="H1115">
        <f>VLOOKUP($D1115,'[2]LC Opportunity'!$Q$2:$U$542,5,FALSE)</f>
        <v>0.99999999999999989</v>
      </c>
      <c r="I1115" s="77">
        <f t="shared" si="3823"/>
        <v>0.99999999999999989</v>
      </c>
      <c r="J1115" s="77">
        <f t="shared" si="3824"/>
        <v>7.1999999999999981E-2</v>
      </c>
      <c r="K1115" s="77">
        <f t="shared" si="3876"/>
        <v>5.8106552987937654E-3</v>
      </c>
      <c r="L1115" s="76">
        <v>0</v>
      </c>
      <c r="M1115" s="77">
        <f t="shared" si="3835"/>
        <v>0</v>
      </c>
      <c r="N1115" s="77">
        <f t="shared" si="3836"/>
        <v>0</v>
      </c>
      <c r="O1115" s="77">
        <f t="shared" si="3837"/>
        <v>4.9999999999999992E-3</v>
      </c>
      <c r="P1115" s="77">
        <f t="shared" si="3838"/>
        <v>4.1762458919303302E-4</v>
      </c>
      <c r="R1115" t="s">
        <v>177</v>
      </c>
      <c r="S1115" t="s">
        <v>180</v>
      </c>
      <c r="T1115" s="197" t="str">
        <f t="shared" si="3870"/>
        <v>Autopilot_Opportunity_514</v>
      </c>
      <c r="U1115">
        <v>514</v>
      </c>
      <c r="V1115">
        <f>VLOOKUP($U1115,'[2]AP Opportunity'!$Q$1:$T$542,2,FALSE)</f>
        <v>0.99999997777777772</v>
      </c>
      <c r="W1115">
        <f>VLOOKUP($U1115,'[2]AP Opportunity'!$Q$1:$T$542,3,FALSE)</f>
        <v>2.2222222284540294E-8</v>
      </c>
      <c r="X1115">
        <f>VLOOKUP($U1115,'[2]AP Opportunity'!$Q$1:$T$542,4,FALSE)</f>
        <v>0</v>
      </c>
      <c r="Y1115" s="77">
        <f t="shared" si="3871"/>
        <v>1</v>
      </c>
      <c r="Z1115" s="77">
        <f t="shared" si="3877"/>
        <v>6.4624999704999977E-2</v>
      </c>
      <c r="AA1115" s="77">
        <f t="shared" si="3878"/>
        <v>5.2321923767311151E-3</v>
      </c>
      <c r="AB1115" s="79">
        <v>1</v>
      </c>
      <c r="AC1115" s="77">
        <f t="shared" si="3839"/>
        <v>8.499999955555556E-3</v>
      </c>
      <c r="AD1115" s="77">
        <f t="shared" ref="AD1115" si="3905">1-(1-AC1115)^(1/12)</f>
        <v>7.1110795759765644E-4</v>
      </c>
      <c r="AE1115" s="77">
        <f t="shared" si="3841"/>
        <v>2.5000000000000001E-3</v>
      </c>
      <c r="AF1115" s="77">
        <f t="shared" ref="AF1115" si="3906">1-(1-AE1115)^(1/12)</f>
        <v>2.0857243058891584E-4</v>
      </c>
      <c r="AH1115" t="s">
        <v>175</v>
      </c>
      <c r="AI1115" t="s">
        <v>180</v>
      </c>
      <c r="AJ1115" s="197" t="str">
        <f t="shared" si="3832"/>
        <v>Lifecycle_Opportunity_514</v>
      </c>
      <c r="AK1115">
        <v>514</v>
      </c>
      <c r="AL1115">
        <f>VLOOKUP($U1115,[2]Standard_Opportunity!$Q$1:$T$542,2,FALSE)</f>
        <v>0.99999997777777772</v>
      </c>
      <c r="AM1115">
        <f>VLOOKUP($U1115,[2]Standard_Opportunity!$Q$1:$T$542,3,FALSE)</f>
        <v>2.2222222284540294E-8</v>
      </c>
      <c r="AN1115">
        <f>VLOOKUP($U1115,[2]Standard_Opportunity!$Q$1:$T$542,4,FALSE)</f>
        <v>0</v>
      </c>
      <c r="AO1115" s="77">
        <f t="shared" si="3833"/>
        <v>1</v>
      </c>
      <c r="AP1115" s="77">
        <f t="shared" si="3843"/>
        <v>6.4624999704999977E-2</v>
      </c>
      <c r="AQ1115" s="77">
        <f t="shared" si="3834"/>
        <v>5.2321923767311151E-3</v>
      </c>
      <c r="AR1115" s="79">
        <v>0</v>
      </c>
      <c r="AS1115" s="77">
        <f t="shared" si="3844"/>
        <v>0</v>
      </c>
      <c r="AT1115" s="77">
        <f t="shared" si="3845"/>
        <v>0</v>
      </c>
      <c r="AU1115" s="77">
        <f t="shared" si="3846"/>
        <v>2.5000000000000001E-3</v>
      </c>
      <c r="AV1115" s="77">
        <f t="shared" si="3847"/>
        <v>2.0809499864316017E-4</v>
      </c>
    </row>
    <row r="1116" spans="1:48">
      <c r="A1116" t="s">
        <v>175</v>
      </c>
      <c r="B1116" t="s">
        <v>180</v>
      </c>
      <c r="C1116" s="197" t="str">
        <f t="shared" si="3868"/>
        <v>Lifecycle_Opportunity_513</v>
      </c>
      <c r="D1116">
        <v>513</v>
      </c>
      <c r="E1116">
        <f>VLOOKUP($D1116,'[2]LC Opportunity'!$Q$2:$U$542,2,FALSE)</f>
        <v>0</v>
      </c>
      <c r="F1116">
        <f>VLOOKUP($D1116,'[2]LC Opportunity'!$Q$2:$U$542,3,FALSE)</f>
        <v>0</v>
      </c>
      <c r="G1116">
        <f>VLOOKUP($D1116,'[2]LC Opportunity'!$Q$2:$U$542,4,FALSE)</f>
        <v>0</v>
      </c>
      <c r="H1116">
        <f>VLOOKUP($D1116,'[2]LC Opportunity'!$Q$2:$U$542,5,FALSE)</f>
        <v>0.99999999999999989</v>
      </c>
      <c r="I1116" s="77">
        <f t="shared" si="3823"/>
        <v>0.99999999999999989</v>
      </c>
      <c r="J1116" s="77">
        <f t="shared" si="3824"/>
        <v>7.1999999999999981E-2</v>
      </c>
      <c r="K1116" s="77">
        <f t="shared" si="3876"/>
        <v>5.8106552987937654E-3</v>
      </c>
      <c r="L1116" s="76">
        <v>0</v>
      </c>
      <c r="M1116" s="77">
        <f t="shared" si="3835"/>
        <v>0</v>
      </c>
      <c r="N1116" s="77">
        <f t="shared" si="3836"/>
        <v>0</v>
      </c>
      <c r="O1116" s="77">
        <f t="shared" si="3837"/>
        <v>4.9999999999999992E-3</v>
      </c>
      <c r="P1116" s="77">
        <f t="shared" si="3838"/>
        <v>4.1762458919303302E-4</v>
      </c>
      <c r="R1116" t="s">
        <v>177</v>
      </c>
      <c r="S1116" t="s">
        <v>180</v>
      </c>
      <c r="T1116" s="197" t="str">
        <f t="shared" si="3870"/>
        <v>Autopilot_Opportunity_513</v>
      </c>
      <c r="U1116">
        <v>513</v>
      </c>
      <c r="V1116">
        <f>VLOOKUP($U1116,'[2]AP Opportunity'!$Q$1:$T$542,2,FALSE)</f>
        <v>0.99999997777777772</v>
      </c>
      <c r="W1116">
        <f>VLOOKUP($U1116,'[2]AP Opportunity'!$Q$1:$T$542,3,FALSE)</f>
        <v>2.2222222284540294E-8</v>
      </c>
      <c r="X1116">
        <f>VLOOKUP($U1116,'[2]AP Opportunity'!$Q$1:$T$542,4,FALSE)</f>
        <v>0</v>
      </c>
      <c r="Y1116" s="77">
        <f t="shared" si="3871"/>
        <v>1</v>
      </c>
      <c r="Z1116" s="77">
        <f t="shared" si="3877"/>
        <v>6.4624999704999977E-2</v>
      </c>
      <c r="AA1116" s="77">
        <f t="shared" si="3878"/>
        <v>5.2321923767311151E-3</v>
      </c>
      <c r="AB1116" s="79">
        <v>1</v>
      </c>
      <c r="AC1116" s="77">
        <f t="shared" si="3839"/>
        <v>8.499999955555556E-3</v>
      </c>
      <c r="AD1116" s="77">
        <f t="shared" ref="AD1116" si="3907">1-(1-AC1116)^(1/12)</f>
        <v>7.1110795759765644E-4</v>
      </c>
      <c r="AE1116" s="77">
        <f t="shared" si="3841"/>
        <v>2.5000000000000001E-3</v>
      </c>
      <c r="AF1116" s="77">
        <f t="shared" ref="AF1116" si="3908">1-(1-AE1116)^(1/12)</f>
        <v>2.0857243058891584E-4</v>
      </c>
      <c r="AH1116" t="s">
        <v>175</v>
      </c>
      <c r="AI1116" t="s">
        <v>180</v>
      </c>
      <c r="AJ1116" s="197" t="str">
        <f t="shared" si="3832"/>
        <v>Lifecycle_Opportunity_513</v>
      </c>
      <c r="AK1116">
        <v>513</v>
      </c>
      <c r="AL1116">
        <f>VLOOKUP($U1116,[2]Standard_Opportunity!$Q$1:$T$542,2,FALSE)</f>
        <v>0.99999997777777772</v>
      </c>
      <c r="AM1116">
        <f>VLOOKUP($U1116,[2]Standard_Opportunity!$Q$1:$T$542,3,FALSE)</f>
        <v>2.2222222284540294E-8</v>
      </c>
      <c r="AN1116">
        <f>VLOOKUP($U1116,[2]Standard_Opportunity!$Q$1:$T$542,4,FALSE)</f>
        <v>0</v>
      </c>
      <c r="AO1116" s="77">
        <f t="shared" si="3833"/>
        <v>1</v>
      </c>
      <c r="AP1116" s="77">
        <f t="shared" si="3843"/>
        <v>6.4624999704999977E-2</v>
      </c>
      <c r="AQ1116" s="77">
        <f t="shared" si="3834"/>
        <v>5.2321923767311151E-3</v>
      </c>
      <c r="AR1116" s="79">
        <v>0</v>
      </c>
      <c r="AS1116" s="77">
        <f t="shared" si="3844"/>
        <v>0</v>
      </c>
      <c r="AT1116" s="77">
        <f t="shared" si="3845"/>
        <v>0</v>
      </c>
      <c r="AU1116" s="77">
        <f t="shared" si="3846"/>
        <v>2.5000000000000001E-3</v>
      </c>
      <c r="AV1116" s="77">
        <f t="shared" si="3847"/>
        <v>2.0809499864316017E-4</v>
      </c>
    </row>
    <row r="1117" spans="1:48">
      <c r="A1117" t="s">
        <v>175</v>
      </c>
      <c r="B1117" t="s">
        <v>180</v>
      </c>
      <c r="C1117" s="197" t="str">
        <f t="shared" si="3868"/>
        <v>Lifecycle_Opportunity_512</v>
      </c>
      <c r="D1117">
        <v>512</v>
      </c>
      <c r="E1117">
        <f>VLOOKUP($D1117,'[2]LC Opportunity'!$Q$2:$U$542,2,FALSE)</f>
        <v>0</v>
      </c>
      <c r="F1117">
        <f>VLOOKUP($D1117,'[2]LC Opportunity'!$Q$2:$U$542,3,FALSE)</f>
        <v>0</v>
      </c>
      <c r="G1117">
        <f>VLOOKUP($D1117,'[2]LC Opportunity'!$Q$2:$U$542,4,FALSE)</f>
        <v>0</v>
      </c>
      <c r="H1117">
        <f>VLOOKUP($D1117,'[2]LC Opportunity'!$Q$2:$U$542,5,FALSE)</f>
        <v>0.99999999999999989</v>
      </c>
      <c r="I1117" s="77">
        <f t="shared" si="3823"/>
        <v>0.99999999999999989</v>
      </c>
      <c r="J1117" s="77">
        <f t="shared" si="3824"/>
        <v>7.1999999999999981E-2</v>
      </c>
      <c r="K1117" s="77">
        <f t="shared" si="3876"/>
        <v>5.8106552987937654E-3</v>
      </c>
      <c r="L1117" s="76">
        <v>0</v>
      </c>
      <c r="M1117" s="77">
        <f t="shared" si="3835"/>
        <v>0</v>
      </c>
      <c r="N1117" s="77">
        <f t="shared" si="3836"/>
        <v>0</v>
      </c>
      <c r="O1117" s="77">
        <f t="shared" si="3837"/>
        <v>4.9999999999999992E-3</v>
      </c>
      <c r="P1117" s="77">
        <f t="shared" si="3838"/>
        <v>4.1762458919303302E-4</v>
      </c>
      <c r="R1117" t="s">
        <v>177</v>
      </c>
      <c r="S1117" t="s">
        <v>180</v>
      </c>
      <c r="T1117" s="197" t="str">
        <f t="shared" si="3870"/>
        <v>Autopilot_Opportunity_512</v>
      </c>
      <c r="U1117">
        <v>512</v>
      </c>
      <c r="V1117">
        <f>VLOOKUP($U1117,'[2]AP Opportunity'!$Q$1:$T$542,2,FALSE)</f>
        <v>0.99999997777777772</v>
      </c>
      <c r="W1117">
        <f>VLOOKUP($U1117,'[2]AP Opportunity'!$Q$1:$T$542,3,FALSE)</f>
        <v>2.2222222284540294E-8</v>
      </c>
      <c r="X1117">
        <f>VLOOKUP($U1117,'[2]AP Opportunity'!$Q$1:$T$542,4,FALSE)</f>
        <v>0</v>
      </c>
      <c r="Y1117" s="77">
        <f t="shared" si="3871"/>
        <v>1</v>
      </c>
      <c r="Z1117" s="77">
        <f t="shared" si="3877"/>
        <v>6.4624999704999977E-2</v>
      </c>
      <c r="AA1117" s="77">
        <f t="shared" si="3878"/>
        <v>5.2321923767311151E-3</v>
      </c>
      <c r="AB1117" s="79">
        <v>1</v>
      </c>
      <c r="AC1117" s="77">
        <f t="shared" si="3839"/>
        <v>8.499999955555556E-3</v>
      </c>
      <c r="AD1117" s="77">
        <f t="shared" ref="AD1117" si="3909">1-(1-AC1117)^(1/12)</f>
        <v>7.1110795759765644E-4</v>
      </c>
      <c r="AE1117" s="77">
        <f t="shared" si="3841"/>
        <v>2.5000000000000001E-3</v>
      </c>
      <c r="AF1117" s="77">
        <f t="shared" ref="AF1117" si="3910">1-(1-AE1117)^(1/12)</f>
        <v>2.0857243058891584E-4</v>
      </c>
      <c r="AH1117" t="s">
        <v>175</v>
      </c>
      <c r="AI1117" t="s">
        <v>180</v>
      </c>
      <c r="AJ1117" s="197" t="str">
        <f t="shared" si="3832"/>
        <v>Lifecycle_Opportunity_512</v>
      </c>
      <c r="AK1117">
        <v>512</v>
      </c>
      <c r="AL1117">
        <f>VLOOKUP($U1117,[2]Standard_Opportunity!$Q$1:$T$542,2,FALSE)</f>
        <v>0.99999997777777772</v>
      </c>
      <c r="AM1117">
        <f>VLOOKUP($U1117,[2]Standard_Opportunity!$Q$1:$T$542,3,FALSE)</f>
        <v>2.2222222284540294E-8</v>
      </c>
      <c r="AN1117">
        <f>VLOOKUP($U1117,[2]Standard_Opportunity!$Q$1:$T$542,4,FALSE)</f>
        <v>0</v>
      </c>
      <c r="AO1117" s="77">
        <f t="shared" si="3833"/>
        <v>1</v>
      </c>
      <c r="AP1117" s="77">
        <f t="shared" si="3843"/>
        <v>6.4624999704999977E-2</v>
      </c>
      <c r="AQ1117" s="77">
        <f t="shared" si="3834"/>
        <v>5.2321923767311151E-3</v>
      </c>
      <c r="AR1117" s="79">
        <v>0</v>
      </c>
      <c r="AS1117" s="77">
        <f t="shared" si="3844"/>
        <v>0</v>
      </c>
      <c r="AT1117" s="77">
        <f t="shared" si="3845"/>
        <v>0</v>
      </c>
      <c r="AU1117" s="77">
        <f t="shared" si="3846"/>
        <v>2.5000000000000001E-3</v>
      </c>
      <c r="AV1117" s="77">
        <f t="shared" si="3847"/>
        <v>2.0809499864316017E-4</v>
      </c>
    </row>
    <row r="1118" spans="1:48">
      <c r="A1118" t="s">
        <v>175</v>
      </c>
      <c r="B1118" t="s">
        <v>180</v>
      </c>
      <c r="C1118" s="197" t="str">
        <f t="shared" si="3868"/>
        <v>Lifecycle_Opportunity_511</v>
      </c>
      <c r="D1118">
        <v>511</v>
      </c>
      <c r="E1118">
        <f>VLOOKUP($D1118,'[2]LC Opportunity'!$Q$2:$U$542,2,FALSE)</f>
        <v>0</v>
      </c>
      <c r="F1118">
        <f>VLOOKUP($D1118,'[2]LC Opportunity'!$Q$2:$U$542,3,FALSE)</f>
        <v>0</v>
      </c>
      <c r="G1118">
        <f>VLOOKUP($D1118,'[2]LC Opportunity'!$Q$2:$U$542,4,FALSE)</f>
        <v>0</v>
      </c>
      <c r="H1118">
        <f>VLOOKUP($D1118,'[2]LC Opportunity'!$Q$2:$U$542,5,FALSE)</f>
        <v>0.99999999999999989</v>
      </c>
      <c r="I1118" s="77">
        <f t="shared" si="3823"/>
        <v>0.99999999999999989</v>
      </c>
      <c r="J1118" s="77">
        <f t="shared" si="3824"/>
        <v>7.1999999999999981E-2</v>
      </c>
      <c r="K1118" s="77">
        <f t="shared" si="3876"/>
        <v>5.8106552987937654E-3</v>
      </c>
      <c r="L1118" s="76">
        <v>0</v>
      </c>
      <c r="M1118" s="77">
        <f t="shared" si="3835"/>
        <v>0</v>
      </c>
      <c r="N1118" s="77">
        <f t="shared" si="3836"/>
        <v>0</v>
      </c>
      <c r="O1118" s="77">
        <f t="shared" si="3837"/>
        <v>4.9999999999999992E-3</v>
      </c>
      <c r="P1118" s="77">
        <f t="shared" si="3838"/>
        <v>4.1762458919303302E-4</v>
      </c>
      <c r="R1118" t="s">
        <v>177</v>
      </c>
      <c r="S1118" t="s">
        <v>180</v>
      </c>
      <c r="T1118" s="197" t="str">
        <f t="shared" si="3870"/>
        <v>Autopilot_Opportunity_511</v>
      </c>
      <c r="U1118">
        <v>511</v>
      </c>
      <c r="V1118">
        <f>VLOOKUP($U1118,'[2]AP Opportunity'!$Q$1:$T$542,2,FALSE)</f>
        <v>0.99999997777777772</v>
      </c>
      <c r="W1118">
        <f>VLOOKUP($U1118,'[2]AP Opportunity'!$Q$1:$T$542,3,FALSE)</f>
        <v>2.2222222284540294E-8</v>
      </c>
      <c r="X1118">
        <f>VLOOKUP($U1118,'[2]AP Opportunity'!$Q$1:$T$542,4,FALSE)</f>
        <v>0</v>
      </c>
      <c r="Y1118" s="77">
        <f t="shared" si="3871"/>
        <v>1</v>
      </c>
      <c r="Z1118" s="77">
        <f t="shared" si="3877"/>
        <v>6.4624999704999977E-2</v>
      </c>
      <c r="AA1118" s="77">
        <f t="shared" si="3878"/>
        <v>5.2321923767311151E-3</v>
      </c>
      <c r="AB1118" s="79">
        <v>1</v>
      </c>
      <c r="AC1118" s="77">
        <f t="shared" si="3839"/>
        <v>8.499999955555556E-3</v>
      </c>
      <c r="AD1118" s="77">
        <f t="shared" ref="AD1118" si="3911">1-(1-AC1118)^(1/12)</f>
        <v>7.1110795759765644E-4</v>
      </c>
      <c r="AE1118" s="77">
        <f t="shared" si="3841"/>
        <v>2.5000000000000001E-3</v>
      </c>
      <c r="AF1118" s="77">
        <f t="shared" ref="AF1118" si="3912">1-(1-AE1118)^(1/12)</f>
        <v>2.0857243058891584E-4</v>
      </c>
      <c r="AH1118" t="s">
        <v>175</v>
      </c>
      <c r="AI1118" t="s">
        <v>180</v>
      </c>
      <c r="AJ1118" s="197" t="str">
        <f t="shared" si="3832"/>
        <v>Lifecycle_Opportunity_511</v>
      </c>
      <c r="AK1118">
        <v>511</v>
      </c>
      <c r="AL1118">
        <f>VLOOKUP($U1118,[2]Standard_Opportunity!$Q$1:$T$542,2,FALSE)</f>
        <v>0.99999997777777772</v>
      </c>
      <c r="AM1118">
        <f>VLOOKUP($U1118,[2]Standard_Opportunity!$Q$1:$T$542,3,FALSE)</f>
        <v>2.2222222284540294E-8</v>
      </c>
      <c r="AN1118">
        <f>VLOOKUP($U1118,[2]Standard_Opportunity!$Q$1:$T$542,4,FALSE)</f>
        <v>0</v>
      </c>
      <c r="AO1118" s="77">
        <f t="shared" si="3833"/>
        <v>1</v>
      </c>
      <c r="AP1118" s="77">
        <f t="shared" si="3843"/>
        <v>6.4624999704999977E-2</v>
      </c>
      <c r="AQ1118" s="77">
        <f t="shared" si="3834"/>
        <v>5.2321923767311151E-3</v>
      </c>
      <c r="AR1118" s="79">
        <v>0</v>
      </c>
      <c r="AS1118" s="77">
        <f t="shared" si="3844"/>
        <v>0</v>
      </c>
      <c r="AT1118" s="77">
        <f t="shared" si="3845"/>
        <v>0</v>
      </c>
      <c r="AU1118" s="77">
        <f t="shared" si="3846"/>
        <v>2.5000000000000001E-3</v>
      </c>
      <c r="AV1118" s="77">
        <f t="shared" si="3847"/>
        <v>2.0809499864316017E-4</v>
      </c>
    </row>
    <row r="1119" spans="1:48">
      <c r="A1119" t="s">
        <v>175</v>
      </c>
      <c r="B1119" t="s">
        <v>180</v>
      </c>
      <c r="C1119" s="197" t="str">
        <f t="shared" si="3868"/>
        <v>Lifecycle_Opportunity_510</v>
      </c>
      <c r="D1119">
        <v>510</v>
      </c>
      <c r="E1119">
        <f>VLOOKUP($D1119,'[2]LC Opportunity'!$Q$2:$U$542,2,FALSE)</f>
        <v>0</v>
      </c>
      <c r="F1119">
        <f>VLOOKUP($D1119,'[2]LC Opportunity'!$Q$2:$U$542,3,FALSE)</f>
        <v>0</v>
      </c>
      <c r="G1119">
        <f>VLOOKUP($D1119,'[2]LC Opportunity'!$Q$2:$U$542,4,FALSE)</f>
        <v>0</v>
      </c>
      <c r="H1119">
        <f>VLOOKUP($D1119,'[2]LC Opportunity'!$Q$2:$U$542,5,FALSE)</f>
        <v>0.99999999999999989</v>
      </c>
      <c r="I1119" s="77">
        <f t="shared" si="3823"/>
        <v>0.99999999999999989</v>
      </c>
      <c r="J1119" s="77">
        <f t="shared" si="3824"/>
        <v>7.1999999999999981E-2</v>
      </c>
      <c r="K1119" s="77">
        <f t="shared" si="3876"/>
        <v>5.8106552987937654E-3</v>
      </c>
      <c r="L1119" s="76">
        <v>0</v>
      </c>
      <c r="M1119" s="77">
        <f t="shared" si="3835"/>
        <v>0</v>
      </c>
      <c r="N1119" s="77">
        <f t="shared" si="3836"/>
        <v>0</v>
      </c>
      <c r="O1119" s="77">
        <f t="shared" si="3837"/>
        <v>4.9999999999999992E-3</v>
      </c>
      <c r="P1119" s="77">
        <f t="shared" si="3838"/>
        <v>4.1762458919303302E-4</v>
      </c>
      <c r="R1119" t="s">
        <v>177</v>
      </c>
      <c r="S1119" t="s">
        <v>180</v>
      </c>
      <c r="T1119" s="197" t="str">
        <f t="shared" si="3870"/>
        <v>Autopilot_Opportunity_510</v>
      </c>
      <c r="U1119">
        <v>510</v>
      </c>
      <c r="V1119">
        <f>VLOOKUP($U1119,'[2]AP Opportunity'!$Q$1:$T$542,2,FALSE)</f>
        <v>0.99999997777777772</v>
      </c>
      <c r="W1119">
        <f>VLOOKUP($U1119,'[2]AP Opportunity'!$Q$1:$T$542,3,FALSE)</f>
        <v>2.2222222284540294E-8</v>
      </c>
      <c r="X1119">
        <f>VLOOKUP($U1119,'[2]AP Opportunity'!$Q$1:$T$542,4,FALSE)</f>
        <v>0</v>
      </c>
      <c r="Y1119" s="77">
        <f t="shared" si="3871"/>
        <v>1</v>
      </c>
      <c r="Z1119" s="77">
        <f t="shared" si="3877"/>
        <v>6.4624999704999977E-2</v>
      </c>
      <c r="AA1119" s="77">
        <f t="shared" si="3878"/>
        <v>5.2321923767311151E-3</v>
      </c>
      <c r="AB1119" s="79">
        <v>1</v>
      </c>
      <c r="AC1119" s="77">
        <f t="shared" si="3839"/>
        <v>8.499999955555556E-3</v>
      </c>
      <c r="AD1119" s="77">
        <f t="shared" ref="AD1119" si="3913">1-(1-AC1119)^(1/12)</f>
        <v>7.1110795759765644E-4</v>
      </c>
      <c r="AE1119" s="77">
        <f t="shared" si="3841"/>
        <v>2.5000000000000001E-3</v>
      </c>
      <c r="AF1119" s="77">
        <f t="shared" ref="AF1119" si="3914">1-(1-AE1119)^(1/12)</f>
        <v>2.0857243058891584E-4</v>
      </c>
      <c r="AH1119" t="s">
        <v>175</v>
      </c>
      <c r="AI1119" t="s">
        <v>180</v>
      </c>
      <c r="AJ1119" s="197" t="str">
        <f t="shared" si="3832"/>
        <v>Lifecycle_Opportunity_510</v>
      </c>
      <c r="AK1119">
        <v>510</v>
      </c>
      <c r="AL1119">
        <f>VLOOKUP($U1119,[2]Standard_Opportunity!$Q$1:$T$542,2,FALSE)</f>
        <v>0.99999997777777772</v>
      </c>
      <c r="AM1119">
        <f>VLOOKUP($U1119,[2]Standard_Opportunity!$Q$1:$T$542,3,FALSE)</f>
        <v>2.2222222284540294E-8</v>
      </c>
      <c r="AN1119">
        <f>VLOOKUP($U1119,[2]Standard_Opportunity!$Q$1:$T$542,4,FALSE)</f>
        <v>0</v>
      </c>
      <c r="AO1119" s="77">
        <f t="shared" si="3833"/>
        <v>1</v>
      </c>
      <c r="AP1119" s="77">
        <f t="shared" si="3843"/>
        <v>6.4624999704999977E-2</v>
      </c>
      <c r="AQ1119" s="77">
        <f t="shared" si="3834"/>
        <v>5.2321923767311151E-3</v>
      </c>
      <c r="AR1119" s="79">
        <v>0</v>
      </c>
      <c r="AS1119" s="77">
        <f t="shared" si="3844"/>
        <v>0</v>
      </c>
      <c r="AT1119" s="77">
        <f t="shared" si="3845"/>
        <v>0</v>
      </c>
      <c r="AU1119" s="77">
        <f t="shared" si="3846"/>
        <v>2.5000000000000001E-3</v>
      </c>
      <c r="AV1119" s="77">
        <f t="shared" si="3847"/>
        <v>2.0809499864316017E-4</v>
      </c>
    </row>
    <row r="1120" spans="1:48">
      <c r="A1120" t="s">
        <v>175</v>
      </c>
      <c r="B1120" t="s">
        <v>180</v>
      </c>
      <c r="C1120" s="197" t="str">
        <f t="shared" si="3868"/>
        <v>Lifecycle_Opportunity_509</v>
      </c>
      <c r="D1120">
        <v>509</v>
      </c>
      <c r="E1120">
        <f>VLOOKUP($D1120,'[2]LC Opportunity'!$Q$2:$U$542,2,FALSE)</f>
        <v>0</v>
      </c>
      <c r="F1120">
        <f>VLOOKUP($D1120,'[2]LC Opportunity'!$Q$2:$U$542,3,FALSE)</f>
        <v>0</v>
      </c>
      <c r="G1120">
        <f>VLOOKUP($D1120,'[2]LC Opportunity'!$Q$2:$U$542,4,FALSE)</f>
        <v>0</v>
      </c>
      <c r="H1120">
        <f>VLOOKUP($D1120,'[2]LC Opportunity'!$Q$2:$U$542,5,FALSE)</f>
        <v>0.99999999999999989</v>
      </c>
      <c r="I1120" s="77">
        <f t="shared" si="3823"/>
        <v>0.99999999999999989</v>
      </c>
      <c r="J1120" s="77">
        <f t="shared" si="3824"/>
        <v>7.1999999999999981E-2</v>
      </c>
      <c r="K1120" s="77">
        <f t="shared" si="3876"/>
        <v>5.8106552987937654E-3</v>
      </c>
      <c r="L1120" s="76">
        <v>0</v>
      </c>
      <c r="M1120" s="77">
        <f t="shared" si="3835"/>
        <v>0</v>
      </c>
      <c r="N1120" s="77">
        <f t="shared" si="3836"/>
        <v>0</v>
      </c>
      <c r="O1120" s="77">
        <f t="shared" si="3837"/>
        <v>4.9999999999999992E-3</v>
      </c>
      <c r="P1120" s="77">
        <f t="shared" si="3838"/>
        <v>4.1762458919303302E-4</v>
      </c>
      <c r="R1120" t="s">
        <v>177</v>
      </c>
      <c r="S1120" t="s">
        <v>180</v>
      </c>
      <c r="T1120" s="197" t="str">
        <f t="shared" si="3870"/>
        <v>Autopilot_Opportunity_509</v>
      </c>
      <c r="U1120">
        <v>509</v>
      </c>
      <c r="V1120">
        <f>VLOOKUP($U1120,'[2]AP Opportunity'!$Q$1:$T$542,2,FALSE)</f>
        <v>0.99999997777777772</v>
      </c>
      <c r="W1120">
        <f>VLOOKUP($U1120,'[2]AP Opportunity'!$Q$1:$T$542,3,FALSE)</f>
        <v>2.2222222284540294E-8</v>
      </c>
      <c r="X1120">
        <f>VLOOKUP($U1120,'[2]AP Opportunity'!$Q$1:$T$542,4,FALSE)</f>
        <v>0</v>
      </c>
      <c r="Y1120" s="77">
        <f t="shared" si="3871"/>
        <v>1</v>
      </c>
      <c r="Z1120" s="77">
        <f t="shared" si="3877"/>
        <v>6.4624999704999977E-2</v>
      </c>
      <c r="AA1120" s="77">
        <f t="shared" si="3878"/>
        <v>5.2321923767311151E-3</v>
      </c>
      <c r="AB1120" s="79">
        <v>1</v>
      </c>
      <c r="AC1120" s="77">
        <f t="shared" si="3839"/>
        <v>8.499999955555556E-3</v>
      </c>
      <c r="AD1120" s="77">
        <f t="shared" ref="AD1120" si="3915">1-(1-AC1120)^(1/12)</f>
        <v>7.1110795759765644E-4</v>
      </c>
      <c r="AE1120" s="77">
        <f t="shared" si="3841"/>
        <v>2.5000000000000001E-3</v>
      </c>
      <c r="AF1120" s="77">
        <f t="shared" ref="AF1120" si="3916">1-(1-AE1120)^(1/12)</f>
        <v>2.0857243058891584E-4</v>
      </c>
      <c r="AH1120" t="s">
        <v>175</v>
      </c>
      <c r="AI1120" t="s">
        <v>180</v>
      </c>
      <c r="AJ1120" s="197" t="str">
        <f t="shared" si="3832"/>
        <v>Lifecycle_Opportunity_509</v>
      </c>
      <c r="AK1120">
        <v>509</v>
      </c>
      <c r="AL1120">
        <f>VLOOKUP($U1120,[2]Standard_Opportunity!$Q$1:$T$542,2,FALSE)</f>
        <v>0.99999997777777772</v>
      </c>
      <c r="AM1120">
        <f>VLOOKUP($U1120,[2]Standard_Opportunity!$Q$1:$T$542,3,FALSE)</f>
        <v>2.2222222284540294E-8</v>
      </c>
      <c r="AN1120">
        <f>VLOOKUP($U1120,[2]Standard_Opportunity!$Q$1:$T$542,4,FALSE)</f>
        <v>0</v>
      </c>
      <c r="AO1120" s="77">
        <f t="shared" si="3833"/>
        <v>1</v>
      </c>
      <c r="AP1120" s="77">
        <f t="shared" si="3843"/>
        <v>6.4624999704999977E-2</v>
      </c>
      <c r="AQ1120" s="77">
        <f t="shared" si="3834"/>
        <v>5.2321923767311151E-3</v>
      </c>
      <c r="AR1120" s="79">
        <v>0</v>
      </c>
      <c r="AS1120" s="77">
        <f t="shared" si="3844"/>
        <v>0</v>
      </c>
      <c r="AT1120" s="77">
        <f t="shared" si="3845"/>
        <v>0</v>
      </c>
      <c r="AU1120" s="77">
        <f t="shared" si="3846"/>
        <v>2.5000000000000001E-3</v>
      </c>
      <c r="AV1120" s="77">
        <f t="shared" si="3847"/>
        <v>2.0809499864316017E-4</v>
      </c>
    </row>
    <row r="1121" spans="1:48">
      <c r="A1121" t="s">
        <v>175</v>
      </c>
      <c r="B1121" t="s">
        <v>180</v>
      </c>
      <c r="C1121" s="197" t="str">
        <f t="shared" si="3868"/>
        <v>Lifecycle_Opportunity_508</v>
      </c>
      <c r="D1121">
        <v>508</v>
      </c>
      <c r="E1121">
        <f>VLOOKUP($D1121,'[2]LC Opportunity'!$Q$2:$U$542,2,FALSE)</f>
        <v>0</v>
      </c>
      <c r="F1121">
        <f>VLOOKUP($D1121,'[2]LC Opportunity'!$Q$2:$U$542,3,FALSE)</f>
        <v>0</v>
      </c>
      <c r="G1121">
        <f>VLOOKUP($D1121,'[2]LC Opportunity'!$Q$2:$U$542,4,FALSE)</f>
        <v>0</v>
      </c>
      <c r="H1121">
        <f>VLOOKUP($D1121,'[2]LC Opportunity'!$Q$2:$U$542,5,FALSE)</f>
        <v>0.99999999999999989</v>
      </c>
      <c r="I1121" s="77">
        <f t="shared" si="3823"/>
        <v>0.99999999999999989</v>
      </c>
      <c r="J1121" s="77">
        <f t="shared" si="3824"/>
        <v>7.1999999999999981E-2</v>
      </c>
      <c r="K1121" s="77">
        <f t="shared" si="3876"/>
        <v>5.8106552987937654E-3</v>
      </c>
      <c r="L1121" s="76">
        <v>0</v>
      </c>
      <c r="M1121" s="77">
        <f t="shared" si="3835"/>
        <v>0</v>
      </c>
      <c r="N1121" s="77">
        <f t="shared" si="3836"/>
        <v>0</v>
      </c>
      <c r="O1121" s="77">
        <f t="shared" si="3837"/>
        <v>4.9999999999999992E-3</v>
      </c>
      <c r="P1121" s="77">
        <f t="shared" si="3838"/>
        <v>4.1762458919303302E-4</v>
      </c>
      <c r="R1121" t="s">
        <v>177</v>
      </c>
      <c r="S1121" t="s">
        <v>180</v>
      </c>
      <c r="T1121" s="197" t="str">
        <f t="shared" si="3870"/>
        <v>Autopilot_Opportunity_508</v>
      </c>
      <c r="U1121">
        <v>508</v>
      </c>
      <c r="V1121">
        <f>VLOOKUP($U1121,'[2]AP Opportunity'!$Q$1:$T$542,2,FALSE)</f>
        <v>0.99999997777777772</v>
      </c>
      <c r="W1121">
        <f>VLOOKUP($U1121,'[2]AP Opportunity'!$Q$1:$T$542,3,FALSE)</f>
        <v>2.2222222284540294E-8</v>
      </c>
      <c r="X1121">
        <f>VLOOKUP($U1121,'[2]AP Opportunity'!$Q$1:$T$542,4,FALSE)</f>
        <v>0</v>
      </c>
      <c r="Y1121" s="77">
        <f t="shared" si="3871"/>
        <v>1</v>
      </c>
      <c r="Z1121" s="77">
        <f t="shared" si="3877"/>
        <v>6.4624999704999977E-2</v>
      </c>
      <c r="AA1121" s="77">
        <f t="shared" si="3878"/>
        <v>5.2321923767311151E-3</v>
      </c>
      <c r="AB1121" s="79">
        <v>1</v>
      </c>
      <c r="AC1121" s="77">
        <f t="shared" si="3839"/>
        <v>8.499999955555556E-3</v>
      </c>
      <c r="AD1121" s="77">
        <f t="shared" ref="AD1121" si="3917">1-(1-AC1121)^(1/12)</f>
        <v>7.1110795759765644E-4</v>
      </c>
      <c r="AE1121" s="77">
        <f t="shared" si="3841"/>
        <v>2.5000000000000001E-3</v>
      </c>
      <c r="AF1121" s="77">
        <f t="shared" ref="AF1121" si="3918">1-(1-AE1121)^(1/12)</f>
        <v>2.0857243058891584E-4</v>
      </c>
      <c r="AH1121" t="s">
        <v>175</v>
      </c>
      <c r="AI1121" t="s">
        <v>180</v>
      </c>
      <c r="AJ1121" s="197" t="str">
        <f t="shared" si="3832"/>
        <v>Lifecycle_Opportunity_508</v>
      </c>
      <c r="AK1121">
        <v>508</v>
      </c>
      <c r="AL1121">
        <f>VLOOKUP($U1121,[2]Standard_Opportunity!$Q$1:$T$542,2,FALSE)</f>
        <v>0.99999997777777772</v>
      </c>
      <c r="AM1121">
        <f>VLOOKUP($U1121,[2]Standard_Opportunity!$Q$1:$T$542,3,FALSE)</f>
        <v>2.2222222284540294E-8</v>
      </c>
      <c r="AN1121">
        <f>VLOOKUP($U1121,[2]Standard_Opportunity!$Q$1:$T$542,4,FALSE)</f>
        <v>0</v>
      </c>
      <c r="AO1121" s="77">
        <f t="shared" si="3833"/>
        <v>1</v>
      </c>
      <c r="AP1121" s="77">
        <f t="shared" si="3843"/>
        <v>6.4624999704999977E-2</v>
      </c>
      <c r="AQ1121" s="77">
        <f t="shared" si="3834"/>
        <v>5.2321923767311151E-3</v>
      </c>
      <c r="AR1121" s="79">
        <v>0</v>
      </c>
      <c r="AS1121" s="77">
        <f t="shared" si="3844"/>
        <v>0</v>
      </c>
      <c r="AT1121" s="77">
        <f t="shared" si="3845"/>
        <v>0</v>
      </c>
      <c r="AU1121" s="77">
        <f t="shared" si="3846"/>
        <v>2.5000000000000001E-3</v>
      </c>
      <c r="AV1121" s="77">
        <f t="shared" si="3847"/>
        <v>2.0809499864316017E-4</v>
      </c>
    </row>
    <row r="1122" spans="1:48">
      <c r="A1122" t="s">
        <v>175</v>
      </c>
      <c r="B1122" t="s">
        <v>180</v>
      </c>
      <c r="C1122" s="197" t="str">
        <f t="shared" si="3868"/>
        <v>Lifecycle_Opportunity_507</v>
      </c>
      <c r="D1122">
        <v>507</v>
      </c>
      <c r="E1122">
        <f>VLOOKUP($D1122,'[2]LC Opportunity'!$Q$2:$U$542,2,FALSE)</f>
        <v>0</v>
      </c>
      <c r="F1122">
        <f>VLOOKUP($D1122,'[2]LC Opportunity'!$Q$2:$U$542,3,FALSE)</f>
        <v>0</v>
      </c>
      <c r="G1122">
        <f>VLOOKUP($D1122,'[2]LC Opportunity'!$Q$2:$U$542,4,FALSE)</f>
        <v>0</v>
      </c>
      <c r="H1122">
        <f>VLOOKUP($D1122,'[2]LC Opportunity'!$Q$2:$U$542,5,FALSE)</f>
        <v>0.99999999999999989</v>
      </c>
      <c r="I1122" s="77">
        <f t="shared" si="3823"/>
        <v>0.99999999999999989</v>
      </c>
      <c r="J1122" s="77">
        <f t="shared" si="3824"/>
        <v>7.1999999999999981E-2</v>
      </c>
      <c r="K1122" s="77">
        <f t="shared" si="3876"/>
        <v>5.8106552987937654E-3</v>
      </c>
      <c r="L1122" s="76">
        <v>0</v>
      </c>
      <c r="M1122" s="77">
        <f t="shared" si="3835"/>
        <v>0</v>
      </c>
      <c r="N1122" s="77">
        <f t="shared" si="3836"/>
        <v>0</v>
      </c>
      <c r="O1122" s="77">
        <f t="shared" si="3837"/>
        <v>4.9999999999999992E-3</v>
      </c>
      <c r="P1122" s="77">
        <f t="shared" si="3838"/>
        <v>4.1762458919303302E-4</v>
      </c>
      <c r="R1122" t="s">
        <v>177</v>
      </c>
      <c r="S1122" t="s">
        <v>180</v>
      </c>
      <c r="T1122" s="197" t="str">
        <f t="shared" si="3870"/>
        <v>Autopilot_Opportunity_507</v>
      </c>
      <c r="U1122">
        <v>507</v>
      </c>
      <c r="V1122">
        <f>VLOOKUP($U1122,'[2]AP Opportunity'!$Q$1:$T$542,2,FALSE)</f>
        <v>0.99999997777777772</v>
      </c>
      <c r="W1122">
        <f>VLOOKUP($U1122,'[2]AP Opportunity'!$Q$1:$T$542,3,FALSE)</f>
        <v>2.2222222284540294E-8</v>
      </c>
      <c r="X1122">
        <f>VLOOKUP($U1122,'[2]AP Opportunity'!$Q$1:$T$542,4,FALSE)</f>
        <v>0</v>
      </c>
      <c r="Y1122" s="77">
        <f t="shared" si="3871"/>
        <v>1</v>
      </c>
      <c r="Z1122" s="77">
        <f t="shared" si="3877"/>
        <v>6.4624999704999977E-2</v>
      </c>
      <c r="AA1122" s="77">
        <f t="shared" si="3878"/>
        <v>5.2321923767311151E-3</v>
      </c>
      <c r="AB1122" s="79">
        <v>1</v>
      </c>
      <c r="AC1122" s="77">
        <f t="shared" si="3839"/>
        <v>8.499999955555556E-3</v>
      </c>
      <c r="AD1122" s="77">
        <f t="shared" ref="AD1122" si="3919">1-(1-AC1122)^(1/12)</f>
        <v>7.1110795759765644E-4</v>
      </c>
      <c r="AE1122" s="77">
        <f t="shared" si="3841"/>
        <v>2.5000000000000001E-3</v>
      </c>
      <c r="AF1122" s="77">
        <f t="shared" ref="AF1122" si="3920">1-(1-AE1122)^(1/12)</f>
        <v>2.0857243058891584E-4</v>
      </c>
      <c r="AH1122" t="s">
        <v>175</v>
      </c>
      <c r="AI1122" t="s">
        <v>180</v>
      </c>
      <c r="AJ1122" s="197" t="str">
        <f t="shared" si="3832"/>
        <v>Lifecycle_Opportunity_507</v>
      </c>
      <c r="AK1122">
        <v>507</v>
      </c>
      <c r="AL1122">
        <f>VLOOKUP($U1122,[2]Standard_Opportunity!$Q$1:$T$542,2,FALSE)</f>
        <v>0.99999997777777772</v>
      </c>
      <c r="AM1122">
        <f>VLOOKUP($U1122,[2]Standard_Opportunity!$Q$1:$T$542,3,FALSE)</f>
        <v>2.2222222284540294E-8</v>
      </c>
      <c r="AN1122">
        <f>VLOOKUP($U1122,[2]Standard_Opportunity!$Q$1:$T$542,4,FALSE)</f>
        <v>0</v>
      </c>
      <c r="AO1122" s="77">
        <f t="shared" si="3833"/>
        <v>1</v>
      </c>
      <c r="AP1122" s="77">
        <f t="shared" si="3843"/>
        <v>6.4624999704999977E-2</v>
      </c>
      <c r="AQ1122" s="77">
        <f t="shared" si="3834"/>
        <v>5.2321923767311151E-3</v>
      </c>
      <c r="AR1122" s="79">
        <v>0</v>
      </c>
      <c r="AS1122" s="77">
        <f t="shared" si="3844"/>
        <v>0</v>
      </c>
      <c r="AT1122" s="77">
        <f t="shared" si="3845"/>
        <v>0</v>
      </c>
      <c r="AU1122" s="77">
        <f t="shared" si="3846"/>
        <v>2.5000000000000001E-3</v>
      </c>
      <c r="AV1122" s="77">
        <f t="shared" si="3847"/>
        <v>2.0809499864316017E-4</v>
      </c>
    </row>
    <row r="1123" spans="1:48">
      <c r="A1123" t="s">
        <v>175</v>
      </c>
      <c r="B1123" t="s">
        <v>180</v>
      </c>
      <c r="C1123" s="197" t="str">
        <f t="shared" si="3868"/>
        <v>Lifecycle_Opportunity_506</v>
      </c>
      <c r="D1123">
        <v>506</v>
      </c>
      <c r="E1123">
        <f>VLOOKUP($D1123,'[2]LC Opportunity'!$Q$2:$U$542,2,FALSE)</f>
        <v>0</v>
      </c>
      <c r="F1123">
        <f>VLOOKUP($D1123,'[2]LC Opportunity'!$Q$2:$U$542,3,FALSE)</f>
        <v>0</v>
      </c>
      <c r="G1123">
        <f>VLOOKUP($D1123,'[2]LC Opportunity'!$Q$2:$U$542,4,FALSE)</f>
        <v>0</v>
      </c>
      <c r="H1123">
        <f>VLOOKUP($D1123,'[2]LC Opportunity'!$Q$2:$U$542,5,FALSE)</f>
        <v>0.99999999999999989</v>
      </c>
      <c r="I1123" s="77">
        <f t="shared" si="3823"/>
        <v>0.99999999999999989</v>
      </c>
      <c r="J1123" s="77">
        <f t="shared" si="3824"/>
        <v>7.1999999999999981E-2</v>
      </c>
      <c r="K1123" s="77">
        <f t="shared" si="3876"/>
        <v>5.8106552987937654E-3</v>
      </c>
      <c r="L1123" s="76">
        <v>0</v>
      </c>
      <c r="M1123" s="77">
        <f t="shared" si="3835"/>
        <v>0</v>
      </c>
      <c r="N1123" s="77">
        <f t="shared" si="3836"/>
        <v>0</v>
      </c>
      <c r="O1123" s="77">
        <f t="shared" si="3837"/>
        <v>4.9999999999999992E-3</v>
      </c>
      <c r="P1123" s="77">
        <f t="shared" si="3838"/>
        <v>4.1762458919303302E-4</v>
      </c>
      <c r="R1123" t="s">
        <v>177</v>
      </c>
      <c r="S1123" t="s">
        <v>180</v>
      </c>
      <c r="T1123" s="197" t="str">
        <f t="shared" si="3870"/>
        <v>Autopilot_Opportunity_506</v>
      </c>
      <c r="U1123">
        <v>506</v>
      </c>
      <c r="V1123">
        <f>VLOOKUP($U1123,'[2]AP Opportunity'!$Q$1:$T$542,2,FALSE)</f>
        <v>0.99999997777777772</v>
      </c>
      <c r="W1123">
        <f>VLOOKUP($U1123,'[2]AP Opportunity'!$Q$1:$T$542,3,FALSE)</f>
        <v>2.2222222284540294E-8</v>
      </c>
      <c r="X1123">
        <f>VLOOKUP($U1123,'[2]AP Opportunity'!$Q$1:$T$542,4,FALSE)</f>
        <v>0</v>
      </c>
      <c r="Y1123" s="77">
        <f t="shared" si="3871"/>
        <v>1</v>
      </c>
      <c r="Z1123" s="77">
        <f t="shared" si="3877"/>
        <v>6.4624999704999977E-2</v>
      </c>
      <c r="AA1123" s="77">
        <f t="shared" si="3878"/>
        <v>5.2321923767311151E-3</v>
      </c>
      <c r="AB1123" s="79">
        <v>1</v>
      </c>
      <c r="AC1123" s="77">
        <f t="shared" si="3839"/>
        <v>8.499999955555556E-3</v>
      </c>
      <c r="AD1123" s="77">
        <f t="shared" ref="AD1123" si="3921">1-(1-AC1123)^(1/12)</f>
        <v>7.1110795759765644E-4</v>
      </c>
      <c r="AE1123" s="77">
        <f t="shared" si="3841"/>
        <v>2.5000000000000001E-3</v>
      </c>
      <c r="AF1123" s="77">
        <f t="shared" ref="AF1123" si="3922">1-(1-AE1123)^(1/12)</f>
        <v>2.0857243058891584E-4</v>
      </c>
      <c r="AH1123" t="s">
        <v>175</v>
      </c>
      <c r="AI1123" t="s">
        <v>180</v>
      </c>
      <c r="AJ1123" s="197" t="str">
        <f t="shared" si="3832"/>
        <v>Lifecycle_Opportunity_506</v>
      </c>
      <c r="AK1123">
        <v>506</v>
      </c>
      <c r="AL1123">
        <f>VLOOKUP($U1123,[2]Standard_Opportunity!$Q$1:$T$542,2,FALSE)</f>
        <v>0.99999997777777772</v>
      </c>
      <c r="AM1123">
        <f>VLOOKUP($U1123,[2]Standard_Opportunity!$Q$1:$T$542,3,FALSE)</f>
        <v>2.2222222284540294E-8</v>
      </c>
      <c r="AN1123">
        <f>VLOOKUP($U1123,[2]Standard_Opportunity!$Q$1:$T$542,4,FALSE)</f>
        <v>0</v>
      </c>
      <c r="AO1123" s="77">
        <f t="shared" si="3833"/>
        <v>1</v>
      </c>
      <c r="AP1123" s="77">
        <f t="shared" si="3843"/>
        <v>6.4624999704999977E-2</v>
      </c>
      <c r="AQ1123" s="77">
        <f t="shared" si="3834"/>
        <v>5.2321923767311151E-3</v>
      </c>
      <c r="AR1123" s="79">
        <v>0</v>
      </c>
      <c r="AS1123" s="77">
        <f t="shared" si="3844"/>
        <v>0</v>
      </c>
      <c r="AT1123" s="77">
        <f t="shared" si="3845"/>
        <v>0</v>
      </c>
      <c r="AU1123" s="77">
        <f t="shared" si="3846"/>
        <v>2.5000000000000001E-3</v>
      </c>
      <c r="AV1123" s="77">
        <f t="shared" si="3847"/>
        <v>2.0809499864316017E-4</v>
      </c>
    </row>
    <row r="1124" spans="1:48">
      <c r="A1124" t="s">
        <v>175</v>
      </c>
      <c r="B1124" t="s">
        <v>180</v>
      </c>
      <c r="C1124" s="197" t="str">
        <f t="shared" si="3868"/>
        <v>Lifecycle_Opportunity_505</v>
      </c>
      <c r="D1124">
        <v>505</v>
      </c>
      <c r="E1124">
        <f>VLOOKUP($D1124,'[2]LC Opportunity'!$Q$2:$U$542,2,FALSE)</f>
        <v>0</v>
      </c>
      <c r="F1124">
        <f>VLOOKUP($D1124,'[2]LC Opportunity'!$Q$2:$U$542,3,FALSE)</f>
        <v>0</v>
      </c>
      <c r="G1124">
        <f>VLOOKUP($D1124,'[2]LC Opportunity'!$Q$2:$U$542,4,FALSE)</f>
        <v>0</v>
      </c>
      <c r="H1124">
        <f>VLOOKUP($D1124,'[2]LC Opportunity'!$Q$2:$U$542,5,FALSE)</f>
        <v>0.99999999999999989</v>
      </c>
      <c r="I1124" s="77">
        <f t="shared" si="3823"/>
        <v>0.99999999999999989</v>
      </c>
      <c r="J1124" s="77">
        <f t="shared" si="3824"/>
        <v>7.1999999999999981E-2</v>
      </c>
      <c r="K1124" s="77">
        <f t="shared" si="3876"/>
        <v>5.8106552987937654E-3</v>
      </c>
      <c r="L1124" s="76">
        <v>0</v>
      </c>
      <c r="M1124" s="77">
        <f t="shared" si="3835"/>
        <v>0</v>
      </c>
      <c r="N1124" s="77">
        <f t="shared" si="3836"/>
        <v>0</v>
      </c>
      <c r="O1124" s="77">
        <f t="shared" si="3837"/>
        <v>4.9999999999999992E-3</v>
      </c>
      <c r="P1124" s="77">
        <f t="shared" si="3838"/>
        <v>4.1762458919303302E-4</v>
      </c>
      <c r="R1124" t="s">
        <v>177</v>
      </c>
      <c r="S1124" t="s">
        <v>180</v>
      </c>
      <c r="T1124" s="197" t="str">
        <f t="shared" si="3870"/>
        <v>Autopilot_Opportunity_505</v>
      </c>
      <c r="U1124">
        <v>505</v>
      </c>
      <c r="V1124">
        <f>VLOOKUP($U1124,'[2]AP Opportunity'!$Q$1:$T$542,2,FALSE)</f>
        <v>0.99999997777777772</v>
      </c>
      <c r="W1124">
        <f>VLOOKUP($U1124,'[2]AP Opportunity'!$Q$1:$T$542,3,FALSE)</f>
        <v>2.2222222284540294E-8</v>
      </c>
      <c r="X1124">
        <f>VLOOKUP($U1124,'[2]AP Opportunity'!$Q$1:$T$542,4,FALSE)</f>
        <v>0</v>
      </c>
      <c r="Y1124" s="77">
        <f t="shared" si="3871"/>
        <v>1</v>
      </c>
      <c r="Z1124" s="77">
        <f t="shared" si="3877"/>
        <v>6.4624999704999977E-2</v>
      </c>
      <c r="AA1124" s="77">
        <f t="shared" si="3878"/>
        <v>5.2321923767311151E-3</v>
      </c>
      <c r="AB1124" s="79">
        <v>1</v>
      </c>
      <c r="AC1124" s="77">
        <f t="shared" si="3839"/>
        <v>8.499999955555556E-3</v>
      </c>
      <c r="AD1124" s="77">
        <f t="shared" ref="AD1124" si="3923">1-(1-AC1124)^(1/12)</f>
        <v>7.1110795759765644E-4</v>
      </c>
      <c r="AE1124" s="77">
        <f t="shared" si="3841"/>
        <v>2.5000000000000001E-3</v>
      </c>
      <c r="AF1124" s="77">
        <f t="shared" ref="AF1124" si="3924">1-(1-AE1124)^(1/12)</f>
        <v>2.0857243058891584E-4</v>
      </c>
      <c r="AH1124" t="s">
        <v>175</v>
      </c>
      <c r="AI1124" t="s">
        <v>180</v>
      </c>
      <c r="AJ1124" s="197" t="str">
        <f t="shared" si="3832"/>
        <v>Lifecycle_Opportunity_505</v>
      </c>
      <c r="AK1124">
        <v>505</v>
      </c>
      <c r="AL1124">
        <f>VLOOKUP($U1124,[2]Standard_Opportunity!$Q$1:$T$542,2,FALSE)</f>
        <v>0.99999997777777772</v>
      </c>
      <c r="AM1124">
        <f>VLOOKUP($U1124,[2]Standard_Opportunity!$Q$1:$T$542,3,FALSE)</f>
        <v>2.2222222284540294E-8</v>
      </c>
      <c r="AN1124">
        <f>VLOOKUP($U1124,[2]Standard_Opportunity!$Q$1:$T$542,4,FALSE)</f>
        <v>0</v>
      </c>
      <c r="AO1124" s="77">
        <f t="shared" si="3833"/>
        <v>1</v>
      </c>
      <c r="AP1124" s="77">
        <f t="shared" si="3843"/>
        <v>6.4624999704999977E-2</v>
      </c>
      <c r="AQ1124" s="77">
        <f t="shared" si="3834"/>
        <v>5.2321923767311151E-3</v>
      </c>
      <c r="AR1124" s="79">
        <v>0</v>
      </c>
      <c r="AS1124" s="77">
        <f t="shared" si="3844"/>
        <v>0</v>
      </c>
      <c r="AT1124" s="77">
        <f t="shared" si="3845"/>
        <v>0</v>
      </c>
      <c r="AU1124" s="77">
        <f t="shared" si="3846"/>
        <v>2.5000000000000001E-3</v>
      </c>
      <c r="AV1124" s="77">
        <f t="shared" si="3847"/>
        <v>2.0809499864316017E-4</v>
      </c>
    </row>
    <row r="1125" spans="1:48">
      <c r="A1125" t="s">
        <v>175</v>
      </c>
      <c r="B1125" t="s">
        <v>180</v>
      </c>
      <c r="C1125" s="197" t="str">
        <f t="shared" si="3868"/>
        <v>Lifecycle_Opportunity_504</v>
      </c>
      <c r="D1125">
        <v>504</v>
      </c>
      <c r="E1125">
        <f>VLOOKUP($D1125,'[2]LC Opportunity'!$Q$2:$U$542,2,FALSE)</f>
        <v>0</v>
      </c>
      <c r="F1125">
        <f>VLOOKUP($D1125,'[2]LC Opportunity'!$Q$2:$U$542,3,FALSE)</f>
        <v>0</v>
      </c>
      <c r="G1125">
        <f>VLOOKUP($D1125,'[2]LC Opportunity'!$Q$2:$U$542,4,FALSE)</f>
        <v>0</v>
      </c>
      <c r="H1125">
        <f>VLOOKUP($D1125,'[2]LC Opportunity'!$Q$2:$U$542,5,FALSE)</f>
        <v>0.99999999999999989</v>
      </c>
      <c r="I1125" s="77">
        <f t="shared" si="3823"/>
        <v>0.99999999999999989</v>
      </c>
      <c r="J1125" s="77">
        <f t="shared" si="3824"/>
        <v>7.1999999999999981E-2</v>
      </c>
      <c r="K1125" s="77">
        <f t="shared" si="3876"/>
        <v>5.8106552987937654E-3</v>
      </c>
      <c r="L1125" s="76">
        <v>0</v>
      </c>
      <c r="M1125" s="77">
        <f t="shared" si="3835"/>
        <v>0</v>
      </c>
      <c r="N1125" s="77">
        <f t="shared" si="3836"/>
        <v>0</v>
      </c>
      <c r="O1125" s="77">
        <f t="shared" si="3837"/>
        <v>4.9999999999999992E-3</v>
      </c>
      <c r="P1125" s="77">
        <f t="shared" si="3838"/>
        <v>4.1762458919303302E-4</v>
      </c>
      <c r="R1125" t="s">
        <v>177</v>
      </c>
      <c r="S1125" t="s">
        <v>180</v>
      </c>
      <c r="T1125" s="197" t="str">
        <f t="shared" si="3870"/>
        <v>Autopilot_Opportunity_504</v>
      </c>
      <c r="U1125">
        <v>504</v>
      </c>
      <c r="V1125">
        <f>VLOOKUP($U1125,'[2]AP Opportunity'!$Q$1:$T$542,2,FALSE)</f>
        <v>0.99999997777777772</v>
      </c>
      <c r="W1125">
        <f>VLOOKUP($U1125,'[2]AP Opportunity'!$Q$1:$T$542,3,FALSE)</f>
        <v>2.2222222284540294E-8</v>
      </c>
      <c r="X1125">
        <f>VLOOKUP($U1125,'[2]AP Opportunity'!$Q$1:$T$542,4,FALSE)</f>
        <v>0</v>
      </c>
      <c r="Y1125" s="77">
        <f t="shared" si="3871"/>
        <v>1</v>
      </c>
      <c r="Z1125" s="77">
        <f t="shared" si="3877"/>
        <v>6.4624999704999977E-2</v>
      </c>
      <c r="AA1125" s="77">
        <f t="shared" si="3878"/>
        <v>5.2321923767311151E-3</v>
      </c>
      <c r="AB1125" s="79">
        <v>1</v>
      </c>
      <c r="AC1125" s="77">
        <f t="shared" si="3839"/>
        <v>8.499999955555556E-3</v>
      </c>
      <c r="AD1125" s="77">
        <f t="shared" ref="AD1125" si="3925">1-(1-AC1125)^(1/12)</f>
        <v>7.1110795759765644E-4</v>
      </c>
      <c r="AE1125" s="77">
        <f t="shared" si="3841"/>
        <v>2.5000000000000001E-3</v>
      </c>
      <c r="AF1125" s="77">
        <f t="shared" ref="AF1125" si="3926">1-(1-AE1125)^(1/12)</f>
        <v>2.0857243058891584E-4</v>
      </c>
      <c r="AH1125" t="s">
        <v>175</v>
      </c>
      <c r="AI1125" t="s">
        <v>180</v>
      </c>
      <c r="AJ1125" s="197" t="str">
        <f t="shared" si="3832"/>
        <v>Lifecycle_Opportunity_504</v>
      </c>
      <c r="AK1125">
        <v>504</v>
      </c>
      <c r="AL1125">
        <f>VLOOKUP($U1125,[2]Standard_Opportunity!$Q$1:$T$542,2,FALSE)</f>
        <v>0.99999997777777772</v>
      </c>
      <c r="AM1125">
        <f>VLOOKUP($U1125,[2]Standard_Opportunity!$Q$1:$T$542,3,FALSE)</f>
        <v>2.2222222284540294E-8</v>
      </c>
      <c r="AN1125">
        <f>VLOOKUP($U1125,[2]Standard_Opportunity!$Q$1:$T$542,4,FALSE)</f>
        <v>0</v>
      </c>
      <c r="AO1125" s="77">
        <f t="shared" si="3833"/>
        <v>1</v>
      </c>
      <c r="AP1125" s="77">
        <f t="shared" si="3843"/>
        <v>6.4624999704999977E-2</v>
      </c>
      <c r="AQ1125" s="77">
        <f t="shared" si="3834"/>
        <v>5.2321923767311151E-3</v>
      </c>
      <c r="AR1125" s="79">
        <v>0</v>
      </c>
      <c r="AS1125" s="77">
        <f t="shared" si="3844"/>
        <v>0</v>
      </c>
      <c r="AT1125" s="77">
        <f t="shared" si="3845"/>
        <v>0</v>
      </c>
      <c r="AU1125" s="77">
        <f t="shared" si="3846"/>
        <v>2.5000000000000001E-3</v>
      </c>
      <c r="AV1125" s="77">
        <f t="shared" si="3847"/>
        <v>2.0809499864316017E-4</v>
      </c>
    </row>
    <row r="1126" spans="1:48">
      <c r="A1126" t="s">
        <v>175</v>
      </c>
      <c r="B1126" t="s">
        <v>180</v>
      </c>
      <c r="C1126" s="197" t="str">
        <f t="shared" si="3868"/>
        <v>Lifecycle_Opportunity_503</v>
      </c>
      <c r="D1126">
        <v>503</v>
      </c>
      <c r="E1126">
        <f>VLOOKUP($D1126,'[2]LC Opportunity'!$Q$2:$U$542,2,FALSE)</f>
        <v>0</v>
      </c>
      <c r="F1126">
        <f>VLOOKUP($D1126,'[2]LC Opportunity'!$Q$2:$U$542,3,FALSE)</f>
        <v>0</v>
      </c>
      <c r="G1126">
        <f>VLOOKUP($D1126,'[2]LC Opportunity'!$Q$2:$U$542,4,FALSE)</f>
        <v>0</v>
      </c>
      <c r="H1126">
        <f>VLOOKUP($D1126,'[2]LC Opportunity'!$Q$2:$U$542,5,FALSE)</f>
        <v>0.99999999999999989</v>
      </c>
      <c r="I1126" s="77">
        <f t="shared" si="3823"/>
        <v>0.99999999999999989</v>
      </c>
      <c r="J1126" s="77">
        <f t="shared" si="3824"/>
        <v>7.1999999999999981E-2</v>
      </c>
      <c r="K1126" s="77">
        <f t="shared" si="3876"/>
        <v>5.8106552987937654E-3</v>
      </c>
      <c r="L1126" s="76">
        <v>0</v>
      </c>
      <c r="M1126" s="77">
        <f t="shared" si="3835"/>
        <v>0</v>
      </c>
      <c r="N1126" s="77">
        <f t="shared" si="3836"/>
        <v>0</v>
      </c>
      <c r="O1126" s="77">
        <f t="shared" si="3837"/>
        <v>4.9999999999999992E-3</v>
      </c>
      <c r="P1126" s="77">
        <f t="shared" si="3838"/>
        <v>4.1762458919303302E-4</v>
      </c>
      <c r="R1126" t="s">
        <v>177</v>
      </c>
      <c r="S1126" t="s">
        <v>180</v>
      </c>
      <c r="T1126" s="197" t="str">
        <f t="shared" si="3870"/>
        <v>Autopilot_Opportunity_503</v>
      </c>
      <c r="U1126">
        <v>503</v>
      </c>
      <c r="V1126">
        <f>VLOOKUP($U1126,'[2]AP Opportunity'!$Q$1:$T$542,2,FALSE)</f>
        <v>0.99999997777777772</v>
      </c>
      <c r="W1126">
        <f>VLOOKUP($U1126,'[2]AP Opportunity'!$Q$1:$T$542,3,FALSE)</f>
        <v>2.2222222284540294E-8</v>
      </c>
      <c r="X1126">
        <f>VLOOKUP($U1126,'[2]AP Opportunity'!$Q$1:$T$542,4,FALSE)</f>
        <v>0</v>
      </c>
      <c r="Y1126" s="77">
        <f t="shared" si="3871"/>
        <v>1</v>
      </c>
      <c r="Z1126" s="77">
        <f t="shared" si="3877"/>
        <v>6.4624999704999977E-2</v>
      </c>
      <c r="AA1126" s="77">
        <f t="shared" si="3878"/>
        <v>5.2321923767311151E-3</v>
      </c>
      <c r="AB1126" s="79">
        <v>1</v>
      </c>
      <c r="AC1126" s="77">
        <f t="shared" si="3839"/>
        <v>8.499999955555556E-3</v>
      </c>
      <c r="AD1126" s="77">
        <f t="shared" ref="AD1126" si="3927">1-(1-AC1126)^(1/12)</f>
        <v>7.1110795759765644E-4</v>
      </c>
      <c r="AE1126" s="77">
        <f t="shared" si="3841"/>
        <v>2.5000000000000001E-3</v>
      </c>
      <c r="AF1126" s="77">
        <f t="shared" ref="AF1126" si="3928">1-(1-AE1126)^(1/12)</f>
        <v>2.0857243058891584E-4</v>
      </c>
      <c r="AH1126" t="s">
        <v>175</v>
      </c>
      <c r="AI1126" t="s">
        <v>180</v>
      </c>
      <c r="AJ1126" s="197" t="str">
        <f t="shared" si="3832"/>
        <v>Lifecycle_Opportunity_503</v>
      </c>
      <c r="AK1126">
        <v>503</v>
      </c>
      <c r="AL1126">
        <f>VLOOKUP($U1126,[2]Standard_Opportunity!$Q$1:$T$542,2,FALSE)</f>
        <v>0.99999997777777772</v>
      </c>
      <c r="AM1126">
        <f>VLOOKUP($U1126,[2]Standard_Opportunity!$Q$1:$T$542,3,FALSE)</f>
        <v>2.2222222284540294E-8</v>
      </c>
      <c r="AN1126">
        <f>VLOOKUP($U1126,[2]Standard_Opportunity!$Q$1:$T$542,4,FALSE)</f>
        <v>0</v>
      </c>
      <c r="AO1126" s="77">
        <f t="shared" si="3833"/>
        <v>1</v>
      </c>
      <c r="AP1126" s="77">
        <f t="shared" si="3843"/>
        <v>6.4624999704999977E-2</v>
      </c>
      <c r="AQ1126" s="77">
        <f t="shared" si="3834"/>
        <v>5.2321923767311151E-3</v>
      </c>
      <c r="AR1126" s="79">
        <v>0</v>
      </c>
      <c r="AS1126" s="77">
        <f t="shared" si="3844"/>
        <v>0</v>
      </c>
      <c r="AT1126" s="77">
        <f t="shared" si="3845"/>
        <v>0</v>
      </c>
      <c r="AU1126" s="77">
        <f t="shared" si="3846"/>
        <v>2.5000000000000001E-3</v>
      </c>
      <c r="AV1126" s="77">
        <f t="shared" si="3847"/>
        <v>2.0809499864316017E-4</v>
      </c>
    </row>
    <row r="1127" spans="1:48">
      <c r="A1127" t="s">
        <v>175</v>
      </c>
      <c r="B1127" t="s">
        <v>180</v>
      </c>
      <c r="C1127" s="197" t="str">
        <f t="shared" si="3868"/>
        <v>Lifecycle_Opportunity_502</v>
      </c>
      <c r="D1127">
        <v>502</v>
      </c>
      <c r="E1127">
        <f>VLOOKUP($D1127,'[2]LC Opportunity'!$Q$2:$U$542,2,FALSE)</f>
        <v>0</v>
      </c>
      <c r="F1127">
        <f>VLOOKUP($D1127,'[2]LC Opportunity'!$Q$2:$U$542,3,FALSE)</f>
        <v>0</v>
      </c>
      <c r="G1127">
        <f>VLOOKUP($D1127,'[2]LC Opportunity'!$Q$2:$U$542,4,FALSE)</f>
        <v>0</v>
      </c>
      <c r="H1127">
        <f>VLOOKUP($D1127,'[2]LC Opportunity'!$Q$2:$U$542,5,FALSE)</f>
        <v>0.99999999999999989</v>
      </c>
      <c r="I1127" s="77">
        <f t="shared" si="3823"/>
        <v>0.99999999999999989</v>
      </c>
      <c r="J1127" s="77">
        <f t="shared" si="3824"/>
        <v>7.1999999999999981E-2</v>
      </c>
      <c r="K1127" s="77">
        <f t="shared" si="3876"/>
        <v>5.8106552987937654E-3</v>
      </c>
      <c r="L1127" s="76">
        <v>0</v>
      </c>
      <c r="M1127" s="77">
        <f t="shared" si="3835"/>
        <v>0</v>
      </c>
      <c r="N1127" s="77">
        <f t="shared" si="3836"/>
        <v>0</v>
      </c>
      <c r="O1127" s="77">
        <f t="shared" si="3837"/>
        <v>4.9999999999999992E-3</v>
      </c>
      <c r="P1127" s="77">
        <f t="shared" si="3838"/>
        <v>4.1762458919303302E-4</v>
      </c>
      <c r="R1127" t="s">
        <v>177</v>
      </c>
      <c r="S1127" t="s">
        <v>180</v>
      </c>
      <c r="T1127" s="197" t="str">
        <f t="shared" si="3870"/>
        <v>Autopilot_Opportunity_502</v>
      </c>
      <c r="U1127">
        <v>502</v>
      </c>
      <c r="V1127">
        <f>VLOOKUP($U1127,'[2]AP Opportunity'!$Q$1:$T$542,2,FALSE)</f>
        <v>0.99999997777777772</v>
      </c>
      <c r="W1127">
        <f>VLOOKUP($U1127,'[2]AP Opportunity'!$Q$1:$T$542,3,FALSE)</f>
        <v>2.2222222284540294E-8</v>
      </c>
      <c r="X1127">
        <f>VLOOKUP($U1127,'[2]AP Opportunity'!$Q$1:$T$542,4,FALSE)</f>
        <v>0</v>
      </c>
      <c r="Y1127" s="77">
        <f t="shared" si="3871"/>
        <v>1</v>
      </c>
      <c r="Z1127" s="77">
        <f t="shared" si="3877"/>
        <v>6.4624999704999977E-2</v>
      </c>
      <c r="AA1127" s="77">
        <f t="shared" si="3878"/>
        <v>5.2321923767311151E-3</v>
      </c>
      <c r="AB1127" s="79">
        <v>1</v>
      </c>
      <c r="AC1127" s="77">
        <f t="shared" si="3839"/>
        <v>8.499999955555556E-3</v>
      </c>
      <c r="AD1127" s="77">
        <f t="shared" ref="AD1127" si="3929">1-(1-AC1127)^(1/12)</f>
        <v>7.1110795759765644E-4</v>
      </c>
      <c r="AE1127" s="77">
        <f t="shared" si="3841"/>
        <v>2.5000000000000001E-3</v>
      </c>
      <c r="AF1127" s="77">
        <f t="shared" ref="AF1127" si="3930">1-(1-AE1127)^(1/12)</f>
        <v>2.0857243058891584E-4</v>
      </c>
      <c r="AH1127" t="s">
        <v>175</v>
      </c>
      <c r="AI1127" t="s">
        <v>180</v>
      </c>
      <c r="AJ1127" s="197" t="str">
        <f t="shared" si="3832"/>
        <v>Lifecycle_Opportunity_502</v>
      </c>
      <c r="AK1127">
        <v>502</v>
      </c>
      <c r="AL1127">
        <f>VLOOKUP($U1127,[2]Standard_Opportunity!$Q$1:$T$542,2,FALSE)</f>
        <v>0.99999997777777772</v>
      </c>
      <c r="AM1127">
        <f>VLOOKUP($U1127,[2]Standard_Opportunity!$Q$1:$T$542,3,FALSE)</f>
        <v>2.2222222284540294E-8</v>
      </c>
      <c r="AN1127">
        <f>VLOOKUP($U1127,[2]Standard_Opportunity!$Q$1:$T$542,4,FALSE)</f>
        <v>0</v>
      </c>
      <c r="AO1127" s="77">
        <f t="shared" si="3833"/>
        <v>1</v>
      </c>
      <c r="AP1127" s="77">
        <f t="shared" si="3843"/>
        <v>6.4624999704999977E-2</v>
      </c>
      <c r="AQ1127" s="77">
        <f t="shared" si="3834"/>
        <v>5.2321923767311151E-3</v>
      </c>
      <c r="AR1127" s="79">
        <v>0</v>
      </c>
      <c r="AS1127" s="77">
        <f t="shared" si="3844"/>
        <v>0</v>
      </c>
      <c r="AT1127" s="77">
        <f t="shared" si="3845"/>
        <v>0</v>
      </c>
      <c r="AU1127" s="77">
        <f t="shared" si="3846"/>
        <v>2.5000000000000001E-3</v>
      </c>
      <c r="AV1127" s="77">
        <f t="shared" si="3847"/>
        <v>2.0809499864316017E-4</v>
      </c>
    </row>
    <row r="1128" spans="1:48">
      <c r="A1128" t="s">
        <v>175</v>
      </c>
      <c r="B1128" t="s">
        <v>180</v>
      </c>
      <c r="C1128" s="197" t="str">
        <f t="shared" si="3868"/>
        <v>Lifecycle_Opportunity_501</v>
      </c>
      <c r="D1128">
        <v>501</v>
      </c>
      <c r="E1128">
        <f>VLOOKUP($D1128,'[2]LC Opportunity'!$Q$2:$U$542,2,FALSE)</f>
        <v>0</v>
      </c>
      <c r="F1128">
        <f>VLOOKUP($D1128,'[2]LC Opportunity'!$Q$2:$U$542,3,FALSE)</f>
        <v>0</v>
      </c>
      <c r="G1128">
        <f>VLOOKUP($D1128,'[2]LC Opportunity'!$Q$2:$U$542,4,FALSE)</f>
        <v>0</v>
      </c>
      <c r="H1128">
        <f>VLOOKUP($D1128,'[2]LC Opportunity'!$Q$2:$U$542,5,FALSE)</f>
        <v>0.99999999999999989</v>
      </c>
      <c r="I1128" s="77">
        <f t="shared" si="3823"/>
        <v>0.99999999999999989</v>
      </c>
      <c r="J1128" s="77">
        <f t="shared" si="3824"/>
        <v>7.1999999999999981E-2</v>
      </c>
      <c r="K1128" s="77">
        <f t="shared" si="3876"/>
        <v>5.8106552987937654E-3</v>
      </c>
      <c r="L1128" s="76">
        <v>0</v>
      </c>
      <c r="M1128" s="77">
        <f t="shared" si="3835"/>
        <v>0</v>
      </c>
      <c r="N1128" s="77">
        <f t="shared" si="3836"/>
        <v>0</v>
      </c>
      <c r="O1128" s="77">
        <f t="shared" si="3837"/>
        <v>4.9999999999999992E-3</v>
      </c>
      <c r="P1128" s="77">
        <f t="shared" si="3838"/>
        <v>4.1762458919303302E-4</v>
      </c>
      <c r="R1128" t="s">
        <v>177</v>
      </c>
      <c r="S1128" t="s">
        <v>180</v>
      </c>
      <c r="T1128" s="197" t="str">
        <f t="shared" si="3870"/>
        <v>Autopilot_Opportunity_501</v>
      </c>
      <c r="U1128">
        <v>501</v>
      </c>
      <c r="V1128">
        <f>VLOOKUP($U1128,'[2]AP Opportunity'!$Q$1:$T$542,2,FALSE)</f>
        <v>0.99999997777777772</v>
      </c>
      <c r="W1128">
        <f>VLOOKUP($U1128,'[2]AP Opportunity'!$Q$1:$T$542,3,FALSE)</f>
        <v>2.2222222284540294E-8</v>
      </c>
      <c r="X1128">
        <f>VLOOKUP($U1128,'[2]AP Opportunity'!$Q$1:$T$542,4,FALSE)</f>
        <v>0</v>
      </c>
      <c r="Y1128" s="77">
        <f t="shared" si="3871"/>
        <v>1</v>
      </c>
      <c r="Z1128" s="77">
        <f t="shared" si="3877"/>
        <v>6.4624999704999977E-2</v>
      </c>
      <c r="AA1128" s="77">
        <f t="shared" si="3878"/>
        <v>5.2321923767311151E-3</v>
      </c>
      <c r="AB1128" s="79">
        <v>1</v>
      </c>
      <c r="AC1128" s="77">
        <f t="shared" si="3839"/>
        <v>8.499999955555556E-3</v>
      </c>
      <c r="AD1128" s="77">
        <f t="shared" ref="AD1128" si="3931">1-(1-AC1128)^(1/12)</f>
        <v>7.1110795759765644E-4</v>
      </c>
      <c r="AE1128" s="77">
        <f t="shared" si="3841"/>
        <v>2.5000000000000001E-3</v>
      </c>
      <c r="AF1128" s="77">
        <f t="shared" ref="AF1128" si="3932">1-(1-AE1128)^(1/12)</f>
        <v>2.0857243058891584E-4</v>
      </c>
      <c r="AH1128" t="s">
        <v>175</v>
      </c>
      <c r="AI1128" t="s">
        <v>180</v>
      </c>
      <c r="AJ1128" s="197" t="str">
        <f t="shared" si="3832"/>
        <v>Lifecycle_Opportunity_501</v>
      </c>
      <c r="AK1128">
        <v>501</v>
      </c>
      <c r="AL1128">
        <f>VLOOKUP($U1128,[2]Standard_Opportunity!$Q$1:$T$542,2,FALSE)</f>
        <v>0.99999997777777772</v>
      </c>
      <c r="AM1128">
        <f>VLOOKUP($U1128,[2]Standard_Opportunity!$Q$1:$T$542,3,FALSE)</f>
        <v>2.2222222284540294E-8</v>
      </c>
      <c r="AN1128">
        <f>VLOOKUP($U1128,[2]Standard_Opportunity!$Q$1:$T$542,4,FALSE)</f>
        <v>0</v>
      </c>
      <c r="AO1128" s="77">
        <f t="shared" si="3833"/>
        <v>1</v>
      </c>
      <c r="AP1128" s="77">
        <f t="shared" si="3843"/>
        <v>6.4624999704999977E-2</v>
      </c>
      <c r="AQ1128" s="77">
        <f t="shared" si="3834"/>
        <v>5.2321923767311151E-3</v>
      </c>
      <c r="AR1128" s="79">
        <v>0</v>
      </c>
      <c r="AS1128" s="77">
        <f t="shared" si="3844"/>
        <v>0</v>
      </c>
      <c r="AT1128" s="77">
        <f t="shared" si="3845"/>
        <v>0</v>
      </c>
      <c r="AU1128" s="77">
        <f t="shared" si="3846"/>
        <v>2.5000000000000001E-3</v>
      </c>
      <c r="AV1128" s="77">
        <f t="shared" si="3847"/>
        <v>2.0809499864316017E-4</v>
      </c>
    </row>
    <row r="1129" spans="1:48">
      <c r="A1129" t="s">
        <v>175</v>
      </c>
      <c r="B1129" t="s">
        <v>180</v>
      </c>
      <c r="C1129" s="197" t="str">
        <f t="shared" si="3868"/>
        <v>Lifecycle_Opportunity_500</v>
      </c>
      <c r="D1129">
        <v>500</v>
      </c>
      <c r="E1129">
        <f>VLOOKUP($D1129,'[2]LC Opportunity'!$Q$2:$U$542,2,FALSE)</f>
        <v>0</v>
      </c>
      <c r="F1129">
        <f>VLOOKUP($D1129,'[2]LC Opportunity'!$Q$2:$U$542,3,FALSE)</f>
        <v>0</v>
      </c>
      <c r="G1129">
        <f>VLOOKUP($D1129,'[2]LC Opportunity'!$Q$2:$U$542,4,FALSE)</f>
        <v>0</v>
      </c>
      <c r="H1129">
        <f>VLOOKUP($D1129,'[2]LC Opportunity'!$Q$2:$U$542,5,FALSE)</f>
        <v>0.99999999999999989</v>
      </c>
      <c r="I1129" s="77">
        <f t="shared" si="3823"/>
        <v>0.99999999999999989</v>
      </c>
      <c r="J1129" s="77">
        <f t="shared" si="3824"/>
        <v>7.1999999999999981E-2</v>
      </c>
      <c r="K1129" s="77">
        <f t="shared" si="3876"/>
        <v>5.8106552987937654E-3</v>
      </c>
      <c r="L1129" s="76">
        <v>0</v>
      </c>
      <c r="M1129" s="77">
        <f t="shared" si="3835"/>
        <v>0</v>
      </c>
      <c r="N1129" s="77">
        <f t="shared" si="3836"/>
        <v>0</v>
      </c>
      <c r="O1129" s="77">
        <f t="shared" si="3837"/>
        <v>4.9999999999999992E-3</v>
      </c>
      <c r="P1129" s="77">
        <f t="shared" si="3838"/>
        <v>4.1762458919303302E-4</v>
      </c>
      <c r="R1129" t="s">
        <v>177</v>
      </c>
      <c r="S1129" t="s">
        <v>180</v>
      </c>
      <c r="T1129" s="197" t="str">
        <f t="shared" si="3870"/>
        <v>Autopilot_Opportunity_500</v>
      </c>
      <c r="U1129">
        <v>500</v>
      </c>
      <c r="V1129">
        <f>VLOOKUP($U1129,'[2]AP Opportunity'!$Q$1:$T$542,2,FALSE)</f>
        <v>0.99999997777777772</v>
      </c>
      <c r="W1129">
        <f>VLOOKUP($U1129,'[2]AP Opportunity'!$Q$1:$T$542,3,FALSE)</f>
        <v>2.2222222284540294E-8</v>
      </c>
      <c r="X1129">
        <f>VLOOKUP($U1129,'[2]AP Opportunity'!$Q$1:$T$542,4,FALSE)</f>
        <v>0</v>
      </c>
      <c r="Y1129" s="77">
        <f t="shared" si="3871"/>
        <v>1</v>
      </c>
      <c r="Z1129" s="77">
        <f t="shared" si="3877"/>
        <v>6.4624999704999977E-2</v>
      </c>
      <c r="AA1129" s="77">
        <f t="shared" si="3878"/>
        <v>5.2321923767311151E-3</v>
      </c>
      <c r="AB1129" s="79">
        <v>1</v>
      </c>
      <c r="AC1129" s="77">
        <f t="shared" si="3839"/>
        <v>8.499999955555556E-3</v>
      </c>
      <c r="AD1129" s="77">
        <f t="shared" ref="AD1129" si="3933">1-(1-AC1129)^(1/12)</f>
        <v>7.1110795759765644E-4</v>
      </c>
      <c r="AE1129" s="77">
        <f t="shared" si="3841"/>
        <v>2.5000000000000001E-3</v>
      </c>
      <c r="AF1129" s="77">
        <f t="shared" ref="AF1129" si="3934">1-(1-AE1129)^(1/12)</f>
        <v>2.0857243058891584E-4</v>
      </c>
      <c r="AH1129" t="s">
        <v>175</v>
      </c>
      <c r="AI1129" t="s">
        <v>180</v>
      </c>
      <c r="AJ1129" s="197" t="str">
        <f t="shared" si="3832"/>
        <v>Lifecycle_Opportunity_500</v>
      </c>
      <c r="AK1129">
        <v>500</v>
      </c>
      <c r="AL1129">
        <f>VLOOKUP($U1129,[2]Standard_Opportunity!$Q$1:$T$542,2,FALSE)</f>
        <v>0.99999997777777772</v>
      </c>
      <c r="AM1129">
        <f>VLOOKUP($U1129,[2]Standard_Opportunity!$Q$1:$T$542,3,FALSE)</f>
        <v>2.2222222284540294E-8</v>
      </c>
      <c r="AN1129">
        <f>VLOOKUP($U1129,[2]Standard_Opportunity!$Q$1:$T$542,4,FALSE)</f>
        <v>0</v>
      </c>
      <c r="AO1129" s="77">
        <f t="shared" si="3833"/>
        <v>1</v>
      </c>
      <c r="AP1129" s="77">
        <f t="shared" si="3843"/>
        <v>6.4624999704999977E-2</v>
      </c>
      <c r="AQ1129" s="77">
        <f t="shared" si="3834"/>
        <v>5.2321923767311151E-3</v>
      </c>
      <c r="AR1129" s="79">
        <v>0</v>
      </c>
      <c r="AS1129" s="77">
        <f t="shared" si="3844"/>
        <v>0</v>
      </c>
      <c r="AT1129" s="77">
        <f t="shared" si="3845"/>
        <v>0</v>
      </c>
      <c r="AU1129" s="77">
        <f t="shared" si="3846"/>
        <v>2.5000000000000001E-3</v>
      </c>
      <c r="AV1129" s="77">
        <f t="shared" si="3847"/>
        <v>2.0809499864316017E-4</v>
      </c>
    </row>
    <row r="1130" spans="1:48">
      <c r="A1130" t="s">
        <v>175</v>
      </c>
      <c r="B1130" t="s">
        <v>180</v>
      </c>
      <c r="C1130" s="197" t="str">
        <f t="shared" si="3868"/>
        <v>Lifecycle_Opportunity_499</v>
      </c>
      <c r="D1130">
        <v>499</v>
      </c>
      <c r="E1130">
        <f>VLOOKUP($D1130,'[2]LC Opportunity'!$Q$2:$U$542,2,FALSE)</f>
        <v>0</v>
      </c>
      <c r="F1130">
        <f>VLOOKUP($D1130,'[2]LC Opportunity'!$Q$2:$U$542,3,FALSE)</f>
        <v>0</v>
      </c>
      <c r="G1130">
        <f>VLOOKUP($D1130,'[2]LC Opportunity'!$Q$2:$U$542,4,FALSE)</f>
        <v>0</v>
      </c>
      <c r="H1130">
        <f>VLOOKUP($D1130,'[2]LC Opportunity'!$Q$2:$U$542,5,FALSE)</f>
        <v>0.99999999999999989</v>
      </c>
      <c r="I1130" s="77">
        <f t="shared" si="3823"/>
        <v>0.99999999999999989</v>
      </c>
      <c r="J1130" s="77">
        <f t="shared" si="3824"/>
        <v>7.1999999999999981E-2</v>
      </c>
      <c r="K1130" s="77">
        <f t="shared" si="3876"/>
        <v>5.8106552987937654E-3</v>
      </c>
      <c r="L1130" s="76">
        <v>0</v>
      </c>
      <c r="M1130" s="77">
        <f t="shared" si="3835"/>
        <v>0</v>
      </c>
      <c r="N1130" s="77">
        <f t="shared" si="3836"/>
        <v>0</v>
      </c>
      <c r="O1130" s="77">
        <f t="shared" si="3837"/>
        <v>4.9999999999999992E-3</v>
      </c>
      <c r="P1130" s="77">
        <f t="shared" si="3838"/>
        <v>4.1762458919303302E-4</v>
      </c>
      <c r="R1130" t="s">
        <v>177</v>
      </c>
      <c r="S1130" t="s">
        <v>180</v>
      </c>
      <c r="T1130" s="197" t="str">
        <f t="shared" si="3870"/>
        <v>Autopilot_Opportunity_499</v>
      </c>
      <c r="U1130">
        <v>499</v>
      </c>
      <c r="V1130">
        <f>VLOOKUP($U1130,'[2]AP Opportunity'!$Q$1:$T$542,2,FALSE)</f>
        <v>0.99999997777777772</v>
      </c>
      <c r="W1130">
        <f>VLOOKUP($U1130,'[2]AP Opportunity'!$Q$1:$T$542,3,FALSE)</f>
        <v>2.2222222284540294E-8</v>
      </c>
      <c r="X1130">
        <f>VLOOKUP($U1130,'[2]AP Opportunity'!$Q$1:$T$542,4,FALSE)</f>
        <v>0</v>
      </c>
      <c r="Y1130" s="77">
        <f t="shared" si="3871"/>
        <v>1</v>
      </c>
      <c r="Z1130" s="77">
        <f t="shared" si="3877"/>
        <v>6.4624999704999977E-2</v>
      </c>
      <c r="AA1130" s="77">
        <f t="shared" si="3878"/>
        <v>5.2321923767311151E-3</v>
      </c>
      <c r="AB1130" s="79">
        <v>1</v>
      </c>
      <c r="AC1130" s="77">
        <f t="shared" si="3839"/>
        <v>8.499999955555556E-3</v>
      </c>
      <c r="AD1130" s="77">
        <f t="shared" ref="AD1130" si="3935">1-(1-AC1130)^(1/12)</f>
        <v>7.1110795759765644E-4</v>
      </c>
      <c r="AE1130" s="77">
        <f t="shared" si="3841"/>
        <v>2.5000000000000001E-3</v>
      </c>
      <c r="AF1130" s="77">
        <f t="shared" ref="AF1130" si="3936">1-(1-AE1130)^(1/12)</f>
        <v>2.0857243058891584E-4</v>
      </c>
      <c r="AH1130" t="s">
        <v>175</v>
      </c>
      <c r="AI1130" t="s">
        <v>180</v>
      </c>
      <c r="AJ1130" s="197" t="str">
        <f t="shared" si="3832"/>
        <v>Lifecycle_Opportunity_499</v>
      </c>
      <c r="AK1130">
        <v>499</v>
      </c>
      <c r="AL1130">
        <f>VLOOKUP($U1130,[2]Standard_Opportunity!$Q$1:$T$542,2,FALSE)</f>
        <v>0.99999997777777772</v>
      </c>
      <c r="AM1130">
        <f>VLOOKUP($U1130,[2]Standard_Opportunity!$Q$1:$T$542,3,FALSE)</f>
        <v>2.2222222284540294E-8</v>
      </c>
      <c r="AN1130">
        <f>VLOOKUP($U1130,[2]Standard_Opportunity!$Q$1:$T$542,4,FALSE)</f>
        <v>0</v>
      </c>
      <c r="AO1130" s="77">
        <f t="shared" si="3833"/>
        <v>1</v>
      </c>
      <c r="AP1130" s="77">
        <f t="shared" si="3843"/>
        <v>6.4624999704999977E-2</v>
      </c>
      <c r="AQ1130" s="77">
        <f t="shared" si="3834"/>
        <v>5.2321923767311151E-3</v>
      </c>
      <c r="AR1130" s="79">
        <v>0</v>
      </c>
      <c r="AS1130" s="77">
        <f t="shared" si="3844"/>
        <v>0</v>
      </c>
      <c r="AT1130" s="77">
        <f t="shared" si="3845"/>
        <v>0</v>
      </c>
      <c r="AU1130" s="77">
        <f t="shared" si="3846"/>
        <v>2.5000000000000001E-3</v>
      </c>
      <c r="AV1130" s="77">
        <f t="shared" si="3847"/>
        <v>2.0809499864316017E-4</v>
      </c>
    </row>
    <row r="1131" spans="1:48">
      <c r="A1131" t="s">
        <v>175</v>
      </c>
      <c r="B1131" t="s">
        <v>180</v>
      </c>
      <c r="C1131" s="197" t="str">
        <f t="shared" si="3868"/>
        <v>Lifecycle_Opportunity_498</v>
      </c>
      <c r="D1131">
        <v>498</v>
      </c>
      <c r="E1131">
        <f>VLOOKUP($D1131,'[2]LC Opportunity'!$Q$2:$U$542,2,FALSE)</f>
        <v>0</v>
      </c>
      <c r="F1131">
        <f>VLOOKUP($D1131,'[2]LC Opportunity'!$Q$2:$U$542,3,FALSE)</f>
        <v>0</v>
      </c>
      <c r="G1131">
        <f>VLOOKUP($D1131,'[2]LC Opportunity'!$Q$2:$U$542,4,FALSE)</f>
        <v>0</v>
      </c>
      <c r="H1131">
        <f>VLOOKUP($D1131,'[2]LC Opportunity'!$Q$2:$U$542,5,FALSE)</f>
        <v>0.99999999999999989</v>
      </c>
      <c r="I1131" s="77">
        <f t="shared" si="3823"/>
        <v>0.99999999999999989</v>
      </c>
      <c r="J1131" s="77">
        <f t="shared" si="3824"/>
        <v>7.1999999999999981E-2</v>
      </c>
      <c r="K1131" s="77">
        <f t="shared" si="3876"/>
        <v>5.8106552987937654E-3</v>
      </c>
      <c r="L1131" s="76">
        <v>0</v>
      </c>
      <c r="M1131" s="77">
        <f t="shared" si="3835"/>
        <v>0</v>
      </c>
      <c r="N1131" s="77">
        <f t="shared" si="3836"/>
        <v>0</v>
      </c>
      <c r="O1131" s="77">
        <f t="shared" si="3837"/>
        <v>4.9999999999999992E-3</v>
      </c>
      <c r="P1131" s="77">
        <f t="shared" si="3838"/>
        <v>4.1762458919303302E-4</v>
      </c>
      <c r="R1131" t="s">
        <v>177</v>
      </c>
      <c r="S1131" t="s">
        <v>180</v>
      </c>
      <c r="T1131" s="197" t="str">
        <f t="shared" si="3870"/>
        <v>Autopilot_Opportunity_498</v>
      </c>
      <c r="U1131">
        <v>498</v>
      </c>
      <c r="V1131">
        <f>VLOOKUP($U1131,'[2]AP Opportunity'!$Q$1:$T$542,2,FALSE)</f>
        <v>0.99999997777777772</v>
      </c>
      <c r="W1131">
        <f>VLOOKUP($U1131,'[2]AP Opportunity'!$Q$1:$T$542,3,FALSE)</f>
        <v>2.2222222284540294E-8</v>
      </c>
      <c r="X1131">
        <f>VLOOKUP($U1131,'[2]AP Opportunity'!$Q$1:$T$542,4,FALSE)</f>
        <v>0</v>
      </c>
      <c r="Y1131" s="77">
        <f t="shared" si="3871"/>
        <v>1</v>
      </c>
      <c r="Z1131" s="77">
        <f t="shared" si="3877"/>
        <v>6.4624999704999977E-2</v>
      </c>
      <c r="AA1131" s="77">
        <f t="shared" si="3878"/>
        <v>5.2321923767311151E-3</v>
      </c>
      <c r="AB1131" s="79">
        <v>1</v>
      </c>
      <c r="AC1131" s="77">
        <f t="shared" si="3839"/>
        <v>8.499999955555556E-3</v>
      </c>
      <c r="AD1131" s="77">
        <f t="shared" ref="AD1131" si="3937">1-(1-AC1131)^(1/12)</f>
        <v>7.1110795759765644E-4</v>
      </c>
      <c r="AE1131" s="77">
        <f t="shared" si="3841"/>
        <v>2.5000000000000001E-3</v>
      </c>
      <c r="AF1131" s="77">
        <f t="shared" ref="AF1131" si="3938">1-(1-AE1131)^(1/12)</f>
        <v>2.0857243058891584E-4</v>
      </c>
      <c r="AH1131" t="s">
        <v>175</v>
      </c>
      <c r="AI1131" t="s">
        <v>180</v>
      </c>
      <c r="AJ1131" s="197" t="str">
        <f t="shared" si="3832"/>
        <v>Lifecycle_Opportunity_498</v>
      </c>
      <c r="AK1131">
        <v>498</v>
      </c>
      <c r="AL1131">
        <f>VLOOKUP($U1131,[2]Standard_Opportunity!$Q$1:$T$542,2,FALSE)</f>
        <v>0.99999997777777772</v>
      </c>
      <c r="AM1131">
        <f>VLOOKUP($U1131,[2]Standard_Opportunity!$Q$1:$T$542,3,FALSE)</f>
        <v>2.2222222284540294E-8</v>
      </c>
      <c r="AN1131">
        <f>VLOOKUP($U1131,[2]Standard_Opportunity!$Q$1:$T$542,4,FALSE)</f>
        <v>0</v>
      </c>
      <c r="AO1131" s="77">
        <f t="shared" si="3833"/>
        <v>1</v>
      </c>
      <c r="AP1131" s="77">
        <f t="shared" si="3843"/>
        <v>6.4624999704999977E-2</v>
      </c>
      <c r="AQ1131" s="77">
        <f t="shared" si="3834"/>
        <v>5.2321923767311151E-3</v>
      </c>
      <c r="AR1131" s="79">
        <v>0</v>
      </c>
      <c r="AS1131" s="77">
        <f t="shared" si="3844"/>
        <v>0</v>
      </c>
      <c r="AT1131" s="77">
        <f t="shared" si="3845"/>
        <v>0</v>
      </c>
      <c r="AU1131" s="77">
        <f t="shared" si="3846"/>
        <v>2.5000000000000001E-3</v>
      </c>
      <c r="AV1131" s="77">
        <f t="shared" si="3847"/>
        <v>2.0809499864316017E-4</v>
      </c>
    </row>
    <row r="1132" spans="1:48">
      <c r="A1132" t="s">
        <v>175</v>
      </c>
      <c r="B1132" t="s">
        <v>180</v>
      </c>
      <c r="C1132" s="197" t="str">
        <f t="shared" si="3868"/>
        <v>Lifecycle_Opportunity_497</v>
      </c>
      <c r="D1132">
        <v>497</v>
      </c>
      <c r="E1132">
        <f>VLOOKUP($D1132,'[2]LC Opportunity'!$Q$2:$U$542,2,FALSE)</f>
        <v>0</v>
      </c>
      <c r="F1132">
        <f>VLOOKUP($D1132,'[2]LC Opportunity'!$Q$2:$U$542,3,FALSE)</f>
        <v>0</v>
      </c>
      <c r="G1132">
        <f>VLOOKUP($D1132,'[2]LC Opportunity'!$Q$2:$U$542,4,FALSE)</f>
        <v>0</v>
      </c>
      <c r="H1132">
        <f>VLOOKUP($D1132,'[2]LC Opportunity'!$Q$2:$U$542,5,FALSE)</f>
        <v>0.99999999999999989</v>
      </c>
      <c r="I1132" s="77">
        <f t="shared" si="3823"/>
        <v>0.99999999999999989</v>
      </c>
      <c r="J1132" s="77">
        <f t="shared" si="3824"/>
        <v>7.1999999999999981E-2</v>
      </c>
      <c r="K1132" s="77">
        <f t="shared" si="3876"/>
        <v>5.8106552987937654E-3</v>
      </c>
      <c r="L1132" s="76">
        <v>0</v>
      </c>
      <c r="M1132" s="77">
        <f t="shared" si="3835"/>
        <v>0</v>
      </c>
      <c r="N1132" s="77">
        <f t="shared" si="3836"/>
        <v>0</v>
      </c>
      <c r="O1132" s="77">
        <f t="shared" si="3837"/>
        <v>4.9999999999999992E-3</v>
      </c>
      <c r="P1132" s="77">
        <f t="shared" si="3838"/>
        <v>4.1762458919303302E-4</v>
      </c>
      <c r="R1132" t="s">
        <v>177</v>
      </c>
      <c r="S1132" t="s">
        <v>180</v>
      </c>
      <c r="T1132" s="197" t="str">
        <f t="shared" si="3870"/>
        <v>Autopilot_Opportunity_497</v>
      </c>
      <c r="U1132">
        <v>497</v>
      </c>
      <c r="V1132">
        <f>VLOOKUP($U1132,'[2]AP Opportunity'!$Q$1:$T$542,2,FALSE)</f>
        <v>0.99999997777777772</v>
      </c>
      <c r="W1132">
        <f>VLOOKUP($U1132,'[2]AP Opportunity'!$Q$1:$T$542,3,FALSE)</f>
        <v>2.2222222284540294E-8</v>
      </c>
      <c r="X1132">
        <f>VLOOKUP($U1132,'[2]AP Opportunity'!$Q$1:$T$542,4,FALSE)</f>
        <v>0</v>
      </c>
      <c r="Y1132" s="77">
        <f t="shared" si="3871"/>
        <v>1</v>
      </c>
      <c r="Z1132" s="77">
        <f t="shared" si="3877"/>
        <v>6.4624999704999977E-2</v>
      </c>
      <c r="AA1132" s="77">
        <f t="shared" si="3878"/>
        <v>5.2321923767311151E-3</v>
      </c>
      <c r="AB1132" s="79">
        <v>1</v>
      </c>
      <c r="AC1132" s="77">
        <f t="shared" si="3839"/>
        <v>8.499999955555556E-3</v>
      </c>
      <c r="AD1132" s="77">
        <f t="shared" ref="AD1132" si="3939">1-(1-AC1132)^(1/12)</f>
        <v>7.1110795759765644E-4</v>
      </c>
      <c r="AE1132" s="77">
        <f t="shared" si="3841"/>
        <v>2.5000000000000001E-3</v>
      </c>
      <c r="AF1132" s="77">
        <f t="shared" ref="AF1132" si="3940">1-(1-AE1132)^(1/12)</f>
        <v>2.0857243058891584E-4</v>
      </c>
      <c r="AH1132" t="s">
        <v>175</v>
      </c>
      <c r="AI1132" t="s">
        <v>180</v>
      </c>
      <c r="AJ1132" s="197" t="str">
        <f t="shared" si="3832"/>
        <v>Lifecycle_Opportunity_497</v>
      </c>
      <c r="AK1132">
        <v>497</v>
      </c>
      <c r="AL1132">
        <f>VLOOKUP($U1132,[2]Standard_Opportunity!$Q$1:$T$542,2,FALSE)</f>
        <v>0.99999997777777772</v>
      </c>
      <c r="AM1132">
        <f>VLOOKUP($U1132,[2]Standard_Opportunity!$Q$1:$T$542,3,FALSE)</f>
        <v>2.2222222284540294E-8</v>
      </c>
      <c r="AN1132">
        <f>VLOOKUP($U1132,[2]Standard_Opportunity!$Q$1:$T$542,4,FALSE)</f>
        <v>0</v>
      </c>
      <c r="AO1132" s="77">
        <f t="shared" si="3833"/>
        <v>1</v>
      </c>
      <c r="AP1132" s="77">
        <f t="shared" si="3843"/>
        <v>6.4624999704999977E-2</v>
      </c>
      <c r="AQ1132" s="77">
        <f t="shared" si="3834"/>
        <v>5.2321923767311151E-3</v>
      </c>
      <c r="AR1132" s="79">
        <v>0</v>
      </c>
      <c r="AS1132" s="77">
        <f t="shared" si="3844"/>
        <v>0</v>
      </c>
      <c r="AT1132" s="77">
        <f t="shared" si="3845"/>
        <v>0</v>
      </c>
      <c r="AU1132" s="77">
        <f t="shared" si="3846"/>
        <v>2.5000000000000001E-3</v>
      </c>
      <c r="AV1132" s="77">
        <f t="shared" si="3847"/>
        <v>2.0809499864316017E-4</v>
      </c>
    </row>
    <row r="1133" spans="1:48">
      <c r="A1133" t="s">
        <v>175</v>
      </c>
      <c r="B1133" t="s">
        <v>180</v>
      </c>
      <c r="C1133" s="197" t="str">
        <f t="shared" si="3868"/>
        <v>Lifecycle_Opportunity_496</v>
      </c>
      <c r="D1133">
        <v>496</v>
      </c>
      <c r="E1133">
        <f>VLOOKUP($D1133,'[2]LC Opportunity'!$Q$2:$U$542,2,FALSE)</f>
        <v>0</v>
      </c>
      <c r="F1133">
        <f>VLOOKUP($D1133,'[2]LC Opportunity'!$Q$2:$U$542,3,FALSE)</f>
        <v>0</v>
      </c>
      <c r="G1133">
        <f>VLOOKUP($D1133,'[2]LC Opportunity'!$Q$2:$U$542,4,FALSE)</f>
        <v>0</v>
      </c>
      <c r="H1133">
        <f>VLOOKUP($D1133,'[2]LC Opportunity'!$Q$2:$U$542,5,FALSE)</f>
        <v>0.99999999999999989</v>
      </c>
      <c r="I1133" s="77">
        <f t="shared" si="3823"/>
        <v>0.99999999999999989</v>
      </c>
      <c r="J1133" s="77">
        <f t="shared" si="3824"/>
        <v>7.1999999999999981E-2</v>
      </c>
      <c r="K1133" s="77">
        <f t="shared" si="3876"/>
        <v>5.8106552987937654E-3</v>
      </c>
      <c r="L1133" s="76">
        <v>0</v>
      </c>
      <c r="M1133" s="77">
        <f t="shared" si="3835"/>
        <v>0</v>
      </c>
      <c r="N1133" s="77">
        <f t="shared" si="3836"/>
        <v>0</v>
      </c>
      <c r="O1133" s="77">
        <f t="shared" si="3837"/>
        <v>4.9999999999999992E-3</v>
      </c>
      <c r="P1133" s="77">
        <f t="shared" si="3838"/>
        <v>4.1762458919303302E-4</v>
      </c>
      <c r="R1133" t="s">
        <v>177</v>
      </c>
      <c r="S1133" t="s">
        <v>180</v>
      </c>
      <c r="T1133" s="197" t="str">
        <f t="shared" si="3870"/>
        <v>Autopilot_Opportunity_496</v>
      </c>
      <c r="U1133">
        <v>496</v>
      </c>
      <c r="V1133">
        <f>VLOOKUP($U1133,'[2]AP Opportunity'!$Q$1:$T$542,2,FALSE)</f>
        <v>0.99999997777777772</v>
      </c>
      <c r="W1133">
        <f>VLOOKUP($U1133,'[2]AP Opportunity'!$Q$1:$T$542,3,FALSE)</f>
        <v>2.2222222284540294E-8</v>
      </c>
      <c r="X1133">
        <f>VLOOKUP($U1133,'[2]AP Opportunity'!$Q$1:$T$542,4,FALSE)</f>
        <v>0</v>
      </c>
      <c r="Y1133" s="77">
        <f t="shared" si="3871"/>
        <v>1</v>
      </c>
      <c r="Z1133" s="77">
        <f t="shared" si="3877"/>
        <v>6.4624999704999977E-2</v>
      </c>
      <c r="AA1133" s="77">
        <f t="shared" si="3878"/>
        <v>5.2321923767311151E-3</v>
      </c>
      <c r="AB1133" s="79">
        <v>1</v>
      </c>
      <c r="AC1133" s="77">
        <f t="shared" si="3839"/>
        <v>8.499999955555556E-3</v>
      </c>
      <c r="AD1133" s="77">
        <f t="shared" ref="AD1133" si="3941">1-(1-AC1133)^(1/12)</f>
        <v>7.1110795759765644E-4</v>
      </c>
      <c r="AE1133" s="77">
        <f t="shared" si="3841"/>
        <v>2.5000000000000001E-3</v>
      </c>
      <c r="AF1133" s="77">
        <f t="shared" ref="AF1133" si="3942">1-(1-AE1133)^(1/12)</f>
        <v>2.0857243058891584E-4</v>
      </c>
      <c r="AH1133" t="s">
        <v>175</v>
      </c>
      <c r="AI1133" t="s">
        <v>180</v>
      </c>
      <c r="AJ1133" s="197" t="str">
        <f t="shared" si="3832"/>
        <v>Lifecycle_Opportunity_496</v>
      </c>
      <c r="AK1133">
        <v>496</v>
      </c>
      <c r="AL1133">
        <f>VLOOKUP($U1133,[2]Standard_Opportunity!$Q$1:$T$542,2,FALSE)</f>
        <v>0.99999997777777772</v>
      </c>
      <c r="AM1133">
        <f>VLOOKUP($U1133,[2]Standard_Opportunity!$Q$1:$T$542,3,FALSE)</f>
        <v>2.2222222284540294E-8</v>
      </c>
      <c r="AN1133">
        <f>VLOOKUP($U1133,[2]Standard_Opportunity!$Q$1:$T$542,4,FALSE)</f>
        <v>0</v>
      </c>
      <c r="AO1133" s="77">
        <f t="shared" si="3833"/>
        <v>1</v>
      </c>
      <c r="AP1133" s="77">
        <f t="shared" si="3843"/>
        <v>6.4624999704999977E-2</v>
      </c>
      <c r="AQ1133" s="77">
        <f t="shared" si="3834"/>
        <v>5.2321923767311151E-3</v>
      </c>
      <c r="AR1133" s="79">
        <v>0</v>
      </c>
      <c r="AS1133" s="77">
        <f t="shared" si="3844"/>
        <v>0</v>
      </c>
      <c r="AT1133" s="77">
        <f t="shared" si="3845"/>
        <v>0</v>
      </c>
      <c r="AU1133" s="77">
        <f t="shared" si="3846"/>
        <v>2.5000000000000001E-3</v>
      </c>
      <c r="AV1133" s="77">
        <f t="shared" si="3847"/>
        <v>2.0809499864316017E-4</v>
      </c>
    </row>
    <row r="1134" spans="1:48">
      <c r="A1134" t="s">
        <v>175</v>
      </c>
      <c r="B1134" t="s">
        <v>180</v>
      </c>
      <c r="C1134" s="197" t="str">
        <f t="shared" si="3868"/>
        <v>Lifecycle_Opportunity_495</v>
      </c>
      <c r="D1134">
        <v>495</v>
      </c>
      <c r="E1134">
        <f>VLOOKUP($D1134,'[2]LC Opportunity'!$Q$2:$U$542,2,FALSE)</f>
        <v>0</v>
      </c>
      <c r="F1134">
        <f>VLOOKUP($D1134,'[2]LC Opportunity'!$Q$2:$U$542,3,FALSE)</f>
        <v>0</v>
      </c>
      <c r="G1134">
        <f>VLOOKUP($D1134,'[2]LC Opportunity'!$Q$2:$U$542,4,FALSE)</f>
        <v>0</v>
      </c>
      <c r="H1134">
        <f>VLOOKUP($D1134,'[2]LC Opportunity'!$Q$2:$U$542,5,FALSE)</f>
        <v>0.99999999999999989</v>
      </c>
      <c r="I1134" s="77">
        <f t="shared" si="3823"/>
        <v>0.99999999999999989</v>
      </c>
      <c r="J1134" s="77">
        <f t="shared" si="3824"/>
        <v>7.1999999999999981E-2</v>
      </c>
      <c r="K1134" s="77">
        <f t="shared" si="3876"/>
        <v>5.8106552987937654E-3</v>
      </c>
      <c r="L1134" s="76">
        <v>0</v>
      </c>
      <c r="M1134" s="77">
        <f t="shared" si="3835"/>
        <v>0</v>
      </c>
      <c r="N1134" s="77">
        <f t="shared" si="3836"/>
        <v>0</v>
      </c>
      <c r="O1134" s="77">
        <f t="shared" si="3837"/>
        <v>4.9999999999999992E-3</v>
      </c>
      <c r="P1134" s="77">
        <f t="shared" si="3838"/>
        <v>4.1762458919303302E-4</v>
      </c>
      <c r="R1134" t="s">
        <v>177</v>
      </c>
      <c r="S1134" t="s">
        <v>180</v>
      </c>
      <c r="T1134" s="197" t="str">
        <f t="shared" si="3870"/>
        <v>Autopilot_Opportunity_495</v>
      </c>
      <c r="U1134">
        <v>495</v>
      </c>
      <c r="V1134">
        <f>VLOOKUP($U1134,'[2]AP Opportunity'!$Q$1:$T$542,2,FALSE)</f>
        <v>0.99999997777777772</v>
      </c>
      <c r="W1134">
        <f>VLOOKUP($U1134,'[2]AP Opportunity'!$Q$1:$T$542,3,FALSE)</f>
        <v>2.2222222284540294E-8</v>
      </c>
      <c r="X1134">
        <f>VLOOKUP($U1134,'[2]AP Opportunity'!$Q$1:$T$542,4,FALSE)</f>
        <v>0</v>
      </c>
      <c r="Y1134" s="77">
        <f t="shared" si="3871"/>
        <v>1</v>
      </c>
      <c r="Z1134" s="77">
        <f t="shared" si="3877"/>
        <v>6.4624999704999977E-2</v>
      </c>
      <c r="AA1134" s="77">
        <f t="shared" si="3878"/>
        <v>5.2321923767311151E-3</v>
      </c>
      <c r="AB1134" s="79">
        <v>1</v>
      </c>
      <c r="AC1134" s="77">
        <f t="shared" si="3839"/>
        <v>8.499999955555556E-3</v>
      </c>
      <c r="AD1134" s="77">
        <f t="shared" ref="AD1134" si="3943">1-(1-AC1134)^(1/12)</f>
        <v>7.1110795759765644E-4</v>
      </c>
      <c r="AE1134" s="77">
        <f t="shared" si="3841"/>
        <v>2.5000000000000001E-3</v>
      </c>
      <c r="AF1134" s="77">
        <f t="shared" ref="AF1134" si="3944">1-(1-AE1134)^(1/12)</f>
        <v>2.0857243058891584E-4</v>
      </c>
      <c r="AH1134" t="s">
        <v>175</v>
      </c>
      <c r="AI1134" t="s">
        <v>180</v>
      </c>
      <c r="AJ1134" s="197" t="str">
        <f t="shared" si="3832"/>
        <v>Lifecycle_Opportunity_495</v>
      </c>
      <c r="AK1134">
        <v>495</v>
      </c>
      <c r="AL1134">
        <f>VLOOKUP($U1134,[2]Standard_Opportunity!$Q$1:$T$542,2,FALSE)</f>
        <v>0.99999997777777772</v>
      </c>
      <c r="AM1134">
        <f>VLOOKUP($U1134,[2]Standard_Opportunity!$Q$1:$T$542,3,FALSE)</f>
        <v>2.2222222284540294E-8</v>
      </c>
      <c r="AN1134">
        <f>VLOOKUP($U1134,[2]Standard_Opportunity!$Q$1:$T$542,4,FALSE)</f>
        <v>0</v>
      </c>
      <c r="AO1134" s="77">
        <f t="shared" si="3833"/>
        <v>1</v>
      </c>
      <c r="AP1134" s="77">
        <f t="shared" si="3843"/>
        <v>6.4624999704999977E-2</v>
      </c>
      <c r="AQ1134" s="77">
        <f t="shared" si="3834"/>
        <v>5.2321923767311151E-3</v>
      </c>
      <c r="AR1134" s="79">
        <v>0</v>
      </c>
      <c r="AS1134" s="77">
        <f t="shared" si="3844"/>
        <v>0</v>
      </c>
      <c r="AT1134" s="77">
        <f t="shared" si="3845"/>
        <v>0</v>
      </c>
      <c r="AU1134" s="77">
        <f t="shared" si="3846"/>
        <v>2.5000000000000001E-3</v>
      </c>
      <c r="AV1134" s="77">
        <f t="shared" si="3847"/>
        <v>2.0809499864316017E-4</v>
      </c>
    </row>
    <row r="1135" spans="1:48">
      <c r="A1135" t="s">
        <v>175</v>
      </c>
      <c r="B1135" t="s">
        <v>180</v>
      </c>
      <c r="C1135" s="197" t="str">
        <f t="shared" si="3868"/>
        <v>Lifecycle_Opportunity_494</v>
      </c>
      <c r="D1135">
        <v>494</v>
      </c>
      <c r="E1135">
        <f>VLOOKUP($D1135,'[2]LC Opportunity'!$Q$2:$U$542,2,FALSE)</f>
        <v>0</v>
      </c>
      <c r="F1135">
        <f>VLOOKUP($D1135,'[2]LC Opportunity'!$Q$2:$U$542,3,FALSE)</f>
        <v>0</v>
      </c>
      <c r="G1135">
        <f>VLOOKUP($D1135,'[2]LC Opportunity'!$Q$2:$U$542,4,FALSE)</f>
        <v>0</v>
      </c>
      <c r="H1135">
        <f>VLOOKUP($D1135,'[2]LC Opportunity'!$Q$2:$U$542,5,FALSE)</f>
        <v>0.99999999999999989</v>
      </c>
      <c r="I1135" s="77">
        <f t="shared" si="3823"/>
        <v>0.99999999999999989</v>
      </c>
      <c r="J1135" s="77">
        <f t="shared" si="3824"/>
        <v>7.1999999999999981E-2</v>
      </c>
      <c r="K1135" s="77">
        <f t="shared" si="3876"/>
        <v>5.8106552987937654E-3</v>
      </c>
      <c r="L1135" s="76">
        <v>0</v>
      </c>
      <c r="M1135" s="77">
        <f t="shared" si="3835"/>
        <v>0</v>
      </c>
      <c r="N1135" s="77">
        <f t="shared" si="3836"/>
        <v>0</v>
      </c>
      <c r="O1135" s="77">
        <f t="shared" si="3837"/>
        <v>4.9999999999999992E-3</v>
      </c>
      <c r="P1135" s="77">
        <f t="shared" si="3838"/>
        <v>4.1762458919303302E-4</v>
      </c>
      <c r="R1135" t="s">
        <v>177</v>
      </c>
      <c r="S1135" t="s">
        <v>180</v>
      </c>
      <c r="T1135" s="197" t="str">
        <f t="shared" si="3870"/>
        <v>Autopilot_Opportunity_494</v>
      </c>
      <c r="U1135">
        <v>494</v>
      </c>
      <c r="V1135">
        <f>VLOOKUP($U1135,'[2]AP Opportunity'!$Q$1:$T$542,2,FALSE)</f>
        <v>0.99999997777777772</v>
      </c>
      <c r="W1135">
        <f>VLOOKUP($U1135,'[2]AP Opportunity'!$Q$1:$T$542,3,FALSE)</f>
        <v>2.2222222284540294E-8</v>
      </c>
      <c r="X1135">
        <f>VLOOKUP($U1135,'[2]AP Opportunity'!$Q$1:$T$542,4,FALSE)</f>
        <v>0</v>
      </c>
      <c r="Y1135" s="77">
        <f t="shared" si="3871"/>
        <v>1</v>
      </c>
      <c r="Z1135" s="77">
        <f t="shared" si="3877"/>
        <v>6.4624999704999977E-2</v>
      </c>
      <c r="AA1135" s="77">
        <f t="shared" si="3878"/>
        <v>5.2321923767311151E-3</v>
      </c>
      <c r="AB1135" s="79">
        <v>1</v>
      </c>
      <c r="AC1135" s="77">
        <f t="shared" si="3839"/>
        <v>8.499999955555556E-3</v>
      </c>
      <c r="AD1135" s="77">
        <f t="shared" ref="AD1135" si="3945">1-(1-AC1135)^(1/12)</f>
        <v>7.1110795759765644E-4</v>
      </c>
      <c r="AE1135" s="77">
        <f t="shared" si="3841"/>
        <v>2.5000000000000001E-3</v>
      </c>
      <c r="AF1135" s="77">
        <f t="shared" ref="AF1135" si="3946">1-(1-AE1135)^(1/12)</f>
        <v>2.0857243058891584E-4</v>
      </c>
      <c r="AH1135" t="s">
        <v>175</v>
      </c>
      <c r="AI1135" t="s">
        <v>180</v>
      </c>
      <c r="AJ1135" s="197" t="str">
        <f t="shared" si="3832"/>
        <v>Lifecycle_Opportunity_494</v>
      </c>
      <c r="AK1135">
        <v>494</v>
      </c>
      <c r="AL1135">
        <f>VLOOKUP($U1135,[2]Standard_Opportunity!$Q$1:$T$542,2,FALSE)</f>
        <v>0.99999997777777772</v>
      </c>
      <c r="AM1135">
        <f>VLOOKUP($U1135,[2]Standard_Opportunity!$Q$1:$T$542,3,FALSE)</f>
        <v>2.2222222284540294E-8</v>
      </c>
      <c r="AN1135">
        <f>VLOOKUP($U1135,[2]Standard_Opportunity!$Q$1:$T$542,4,FALSE)</f>
        <v>0</v>
      </c>
      <c r="AO1135" s="77">
        <f t="shared" si="3833"/>
        <v>1</v>
      </c>
      <c r="AP1135" s="77">
        <f t="shared" si="3843"/>
        <v>6.4624999704999977E-2</v>
      </c>
      <c r="AQ1135" s="77">
        <f t="shared" si="3834"/>
        <v>5.2321923767311151E-3</v>
      </c>
      <c r="AR1135" s="79">
        <v>0</v>
      </c>
      <c r="AS1135" s="77">
        <f t="shared" si="3844"/>
        <v>0</v>
      </c>
      <c r="AT1135" s="77">
        <f t="shared" si="3845"/>
        <v>0</v>
      </c>
      <c r="AU1135" s="77">
        <f t="shared" si="3846"/>
        <v>2.5000000000000001E-3</v>
      </c>
      <c r="AV1135" s="77">
        <f t="shared" si="3847"/>
        <v>2.0809499864316017E-4</v>
      </c>
    </row>
    <row r="1136" spans="1:48">
      <c r="A1136" t="s">
        <v>175</v>
      </c>
      <c r="B1136" t="s">
        <v>180</v>
      </c>
      <c r="C1136" s="197" t="str">
        <f t="shared" si="3868"/>
        <v>Lifecycle_Opportunity_493</v>
      </c>
      <c r="D1136">
        <v>493</v>
      </c>
      <c r="E1136">
        <f>VLOOKUP($D1136,'[2]LC Opportunity'!$Q$2:$U$542,2,FALSE)</f>
        <v>0</v>
      </c>
      <c r="F1136">
        <f>VLOOKUP($D1136,'[2]LC Opportunity'!$Q$2:$U$542,3,FALSE)</f>
        <v>0</v>
      </c>
      <c r="G1136">
        <f>VLOOKUP($D1136,'[2]LC Opportunity'!$Q$2:$U$542,4,FALSE)</f>
        <v>0</v>
      </c>
      <c r="H1136">
        <f>VLOOKUP($D1136,'[2]LC Opportunity'!$Q$2:$U$542,5,FALSE)</f>
        <v>0.99999999999999989</v>
      </c>
      <c r="I1136" s="77">
        <f t="shared" si="3823"/>
        <v>0.99999999999999989</v>
      </c>
      <c r="J1136" s="77">
        <f t="shared" si="3824"/>
        <v>7.1999999999999981E-2</v>
      </c>
      <c r="K1136" s="77">
        <f t="shared" si="3876"/>
        <v>5.8106552987937654E-3</v>
      </c>
      <c r="L1136" s="76">
        <v>0</v>
      </c>
      <c r="M1136" s="77">
        <f t="shared" si="3835"/>
        <v>0</v>
      </c>
      <c r="N1136" s="77">
        <f t="shared" si="3836"/>
        <v>0</v>
      </c>
      <c r="O1136" s="77">
        <f t="shared" si="3837"/>
        <v>4.9999999999999992E-3</v>
      </c>
      <c r="P1136" s="77">
        <f t="shared" si="3838"/>
        <v>4.1762458919303302E-4</v>
      </c>
      <c r="R1136" t="s">
        <v>177</v>
      </c>
      <c r="S1136" t="s">
        <v>180</v>
      </c>
      <c r="T1136" s="197" t="str">
        <f t="shared" si="3870"/>
        <v>Autopilot_Opportunity_493</v>
      </c>
      <c r="U1136">
        <v>493</v>
      </c>
      <c r="V1136">
        <f>VLOOKUP($U1136,'[2]AP Opportunity'!$Q$1:$T$542,2,FALSE)</f>
        <v>0.99999997777777772</v>
      </c>
      <c r="W1136">
        <f>VLOOKUP($U1136,'[2]AP Opportunity'!$Q$1:$T$542,3,FALSE)</f>
        <v>2.2222222284540294E-8</v>
      </c>
      <c r="X1136">
        <f>VLOOKUP($U1136,'[2]AP Opportunity'!$Q$1:$T$542,4,FALSE)</f>
        <v>0</v>
      </c>
      <c r="Y1136" s="77">
        <f t="shared" si="3871"/>
        <v>1</v>
      </c>
      <c r="Z1136" s="77">
        <f t="shared" si="3877"/>
        <v>6.4624999704999977E-2</v>
      </c>
      <c r="AA1136" s="77">
        <f t="shared" si="3878"/>
        <v>5.2321923767311151E-3</v>
      </c>
      <c r="AB1136" s="79">
        <v>1</v>
      </c>
      <c r="AC1136" s="77">
        <f t="shared" si="3839"/>
        <v>8.499999955555556E-3</v>
      </c>
      <c r="AD1136" s="77">
        <f t="shared" ref="AD1136" si="3947">1-(1-AC1136)^(1/12)</f>
        <v>7.1110795759765644E-4</v>
      </c>
      <c r="AE1136" s="77">
        <f t="shared" si="3841"/>
        <v>2.5000000000000001E-3</v>
      </c>
      <c r="AF1136" s="77">
        <f t="shared" ref="AF1136" si="3948">1-(1-AE1136)^(1/12)</f>
        <v>2.0857243058891584E-4</v>
      </c>
      <c r="AH1136" t="s">
        <v>175</v>
      </c>
      <c r="AI1136" t="s">
        <v>180</v>
      </c>
      <c r="AJ1136" s="197" t="str">
        <f t="shared" si="3832"/>
        <v>Lifecycle_Opportunity_493</v>
      </c>
      <c r="AK1136">
        <v>493</v>
      </c>
      <c r="AL1136">
        <f>VLOOKUP($U1136,[2]Standard_Opportunity!$Q$1:$T$542,2,FALSE)</f>
        <v>0.99999997777777772</v>
      </c>
      <c r="AM1136">
        <f>VLOOKUP($U1136,[2]Standard_Opportunity!$Q$1:$T$542,3,FALSE)</f>
        <v>2.2222222284540294E-8</v>
      </c>
      <c r="AN1136">
        <f>VLOOKUP($U1136,[2]Standard_Opportunity!$Q$1:$T$542,4,FALSE)</f>
        <v>0</v>
      </c>
      <c r="AO1136" s="77">
        <f t="shared" si="3833"/>
        <v>1</v>
      </c>
      <c r="AP1136" s="77">
        <f t="shared" si="3843"/>
        <v>6.4624999704999977E-2</v>
      </c>
      <c r="AQ1136" s="77">
        <f t="shared" si="3834"/>
        <v>5.2321923767311151E-3</v>
      </c>
      <c r="AR1136" s="79">
        <v>0</v>
      </c>
      <c r="AS1136" s="77">
        <f t="shared" si="3844"/>
        <v>0</v>
      </c>
      <c r="AT1136" s="77">
        <f t="shared" si="3845"/>
        <v>0</v>
      </c>
      <c r="AU1136" s="77">
        <f t="shared" si="3846"/>
        <v>2.5000000000000001E-3</v>
      </c>
      <c r="AV1136" s="77">
        <f t="shared" si="3847"/>
        <v>2.0809499864316017E-4</v>
      </c>
    </row>
    <row r="1137" spans="1:48">
      <c r="A1137" t="s">
        <v>175</v>
      </c>
      <c r="B1137" t="s">
        <v>180</v>
      </c>
      <c r="C1137" s="197" t="str">
        <f t="shared" si="3868"/>
        <v>Lifecycle_Opportunity_492</v>
      </c>
      <c r="D1137">
        <v>492</v>
      </c>
      <c r="E1137">
        <f>VLOOKUP($D1137,'[2]LC Opportunity'!$Q$2:$U$542,2,FALSE)</f>
        <v>0</v>
      </c>
      <c r="F1137">
        <f>VLOOKUP($D1137,'[2]LC Opportunity'!$Q$2:$U$542,3,FALSE)</f>
        <v>0</v>
      </c>
      <c r="G1137">
        <f>VLOOKUP($D1137,'[2]LC Opportunity'!$Q$2:$U$542,4,FALSE)</f>
        <v>0</v>
      </c>
      <c r="H1137">
        <f>VLOOKUP($D1137,'[2]LC Opportunity'!$Q$2:$U$542,5,FALSE)</f>
        <v>0.99999999999999989</v>
      </c>
      <c r="I1137" s="77">
        <f t="shared" si="3823"/>
        <v>0.99999999999999989</v>
      </c>
      <c r="J1137" s="77">
        <f t="shared" si="3824"/>
        <v>7.1999999999999981E-2</v>
      </c>
      <c r="K1137" s="77">
        <f t="shared" si="3876"/>
        <v>5.8106552987937654E-3</v>
      </c>
      <c r="L1137" s="76">
        <v>0</v>
      </c>
      <c r="M1137" s="77">
        <f t="shared" si="3835"/>
        <v>0</v>
      </c>
      <c r="N1137" s="77">
        <f t="shared" si="3836"/>
        <v>0</v>
      </c>
      <c r="O1137" s="77">
        <f t="shared" si="3837"/>
        <v>4.9999999999999992E-3</v>
      </c>
      <c r="P1137" s="77">
        <f t="shared" si="3838"/>
        <v>4.1762458919303302E-4</v>
      </c>
      <c r="R1137" t="s">
        <v>177</v>
      </c>
      <c r="S1137" t="s">
        <v>180</v>
      </c>
      <c r="T1137" s="197" t="str">
        <f t="shared" si="3870"/>
        <v>Autopilot_Opportunity_492</v>
      </c>
      <c r="U1137">
        <v>492</v>
      </c>
      <c r="V1137">
        <f>VLOOKUP($U1137,'[2]AP Opportunity'!$Q$1:$T$542,2,FALSE)</f>
        <v>0.99999997777777772</v>
      </c>
      <c r="W1137">
        <f>VLOOKUP($U1137,'[2]AP Opportunity'!$Q$1:$T$542,3,FALSE)</f>
        <v>2.2222222284540294E-8</v>
      </c>
      <c r="X1137">
        <f>VLOOKUP($U1137,'[2]AP Opportunity'!$Q$1:$T$542,4,FALSE)</f>
        <v>0</v>
      </c>
      <c r="Y1137" s="77">
        <f t="shared" si="3871"/>
        <v>1</v>
      </c>
      <c r="Z1137" s="77">
        <f t="shared" si="3877"/>
        <v>6.4624999704999977E-2</v>
      </c>
      <c r="AA1137" s="77">
        <f t="shared" si="3878"/>
        <v>5.2321923767311151E-3</v>
      </c>
      <c r="AB1137" s="79">
        <v>1</v>
      </c>
      <c r="AC1137" s="77">
        <f t="shared" si="3839"/>
        <v>8.499999955555556E-3</v>
      </c>
      <c r="AD1137" s="77">
        <f t="shared" ref="AD1137" si="3949">1-(1-AC1137)^(1/12)</f>
        <v>7.1110795759765644E-4</v>
      </c>
      <c r="AE1137" s="77">
        <f t="shared" si="3841"/>
        <v>2.5000000000000001E-3</v>
      </c>
      <c r="AF1137" s="77">
        <f t="shared" ref="AF1137" si="3950">1-(1-AE1137)^(1/12)</f>
        <v>2.0857243058891584E-4</v>
      </c>
      <c r="AH1137" t="s">
        <v>175</v>
      </c>
      <c r="AI1137" t="s">
        <v>180</v>
      </c>
      <c r="AJ1137" s="197" t="str">
        <f t="shared" si="3832"/>
        <v>Lifecycle_Opportunity_492</v>
      </c>
      <c r="AK1137">
        <v>492</v>
      </c>
      <c r="AL1137">
        <f>VLOOKUP($U1137,[2]Standard_Opportunity!$Q$1:$T$542,2,FALSE)</f>
        <v>0.99999997777777772</v>
      </c>
      <c r="AM1137">
        <f>VLOOKUP($U1137,[2]Standard_Opportunity!$Q$1:$T$542,3,FALSE)</f>
        <v>2.2222222284540294E-8</v>
      </c>
      <c r="AN1137">
        <f>VLOOKUP($U1137,[2]Standard_Opportunity!$Q$1:$T$542,4,FALSE)</f>
        <v>0</v>
      </c>
      <c r="AO1137" s="77">
        <f t="shared" si="3833"/>
        <v>1</v>
      </c>
      <c r="AP1137" s="77">
        <f t="shared" si="3843"/>
        <v>6.4624999704999977E-2</v>
      </c>
      <c r="AQ1137" s="77">
        <f t="shared" si="3834"/>
        <v>5.2321923767311151E-3</v>
      </c>
      <c r="AR1137" s="79">
        <v>0</v>
      </c>
      <c r="AS1137" s="77">
        <f t="shared" si="3844"/>
        <v>0</v>
      </c>
      <c r="AT1137" s="77">
        <f t="shared" si="3845"/>
        <v>0</v>
      </c>
      <c r="AU1137" s="77">
        <f t="shared" si="3846"/>
        <v>2.5000000000000001E-3</v>
      </c>
      <c r="AV1137" s="77">
        <f t="shared" si="3847"/>
        <v>2.0809499864316017E-4</v>
      </c>
    </row>
    <row r="1138" spans="1:48">
      <c r="A1138" t="s">
        <v>175</v>
      </c>
      <c r="B1138" t="s">
        <v>180</v>
      </c>
      <c r="C1138" s="197" t="str">
        <f t="shared" si="3868"/>
        <v>Lifecycle_Opportunity_491</v>
      </c>
      <c r="D1138">
        <v>491</v>
      </c>
      <c r="E1138">
        <f>VLOOKUP($D1138,'[2]LC Opportunity'!$Q$2:$U$542,2,FALSE)</f>
        <v>0</v>
      </c>
      <c r="F1138">
        <f>VLOOKUP($D1138,'[2]LC Opportunity'!$Q$2:$U$542,3,FALSE)</f>
        <v>0</v>
      </c>
      <c r="G1138">
        <f>VLOOKUP($D1138,'[2]LC Opportunity'!$Q$2:$U$542,4,FALSE)</f>
        <v>0</v>
      </c>
      <c r="H1138">
        <f>VLOOKUP($D1138,'[2]LC Opportunity'!$Q$2:$U$542,5,FALSE)</f>
        <v>0.99999999999999989</v>
      </c>
      <c r="I1138" s="77">
        <f t="shared" si="3823"/>
        <v>0.99999999999999989</v>
      </c>
      <c r="J1138" s="77">
        <f t="shared" si="3824"/>
        <v>7.1999999999999981E-2</v>
      </c>
      <c r="K1138" s="77">
        <f t="shared" si="3876"/>
        <v>5.8106552987937654E-3</v>
      </c>
      <c r="L1138" s="76">
        <v>0</v>
      </c>
      <c r="M1138" s="77">
        <f t="shared" si="3835"/>
        <v>0</v>
      </c>
      <c r="N1138" s="77">
        <f t="shared" si="3836"/>
        <v>0</v>
      </c>
      <c r="O1138" s="77">
        <f t="shared" si="3837"/>
        <v>4.9999999999999992E-3</v>
      </c>
      <c r="P1138" s="77">
        <f t="shared" si="3838"/>
        <v>4.1762458919303302E-4</v>
      </c>
      <c r="R1138" t="s">
        <v>177</v>
      </c>
      <c r="S1138" t="s">
        <v>180</v>
      </c>
      <c r="T1138" s="197" t="str">
        <f t="shared" si="3870"/>
        <v>Autopilot_Opportunity_491</v>
      </c>
      <c r="U1138">
        <v>491</v>
      </c>
      <c r="V1138">
        <f>VLOOKUP($U1138,'[2]AP Opportunity'!$Q$1:$T$542,2,FALSE)</f>
        <v>0.99999997777777772</v>
      </c>
      <c r="W1138">
        <f>VLOOKUP($U1138,'[2]AP Opportunity'!$Q$1:$T$542,3,FALSE)</f>
        <v>2.2222222284540294E-8</v>
      </c>
      <c r="X1138">
        <f>VLOOKUP($U1138,'[2]AP Opportunity'!$Q$1:$T$542,4,FALSE)</f>
        <v>0</v>
      </c>
      <c r="Y1138" s="77">
        <f t="shared" si="3871"/>
        <v>1</v>
      </c>
      <c r="Z1138" s="77">
        <f t="shared" si="3877"/>
        <v>6.4624999704999977E-2</v>
      </c>
      <c r="AA1138" s="77">
        <f t="shared" si="3878"/>
        <v>5.2321923767311151E-3</v>
      </c>
      <c r="AB1138" s="79">
        <v>1</v>
      </c>
      <c r="AC1138" s="77">
        <f t="shared" si="3839"/>
        <v>8.499999955555556E-3</v>
      </c>
      <c r="AD1138" s="77">
        <f t="shared" ref="AD1138" si="3951">1-(1-AC1138)^(1/12)</f>
        <v>7.1110795759765644E-4</v>
      </c>
      <c r="AE1138" s="77">
        <f t="shared" si="3841"/>
        <v>2.5000000000000001E-3</v>
      </c>
      <c r="AF1138" s="77">
        <f t="shared" ref="AF1138" si="3952">1-(1-AE1138)^(1/12)</f>
        <v>2.0857243058891584E-4</v>
      </c>
      <c r="AH1138" t="s">
        <v>175</v>
      </c>
      <c r="AI1138" t="s">
        <v>180</v>
      </c>
      <c r="AJ1138" s="197" t="str">
        <f t="shared" si="3832"/>
        <v>Lifecycle_Opportunity_491</v>
      </c>
      <c r="AK1138">
        <v>491</v>
      </c>
      <c r="AL1138">
        <f>VLOOKUP($U1138,[2]Standard_Opportunity!$Q$1:$T$542,2,FALSE)</f>
        <v>0.99999997777777772</v>
      </c>
      <c r="AM1138">
        <f>VLOOKUP($U1138,[2]Standard_Opportunity!$Q$1:$T$542,3,FALSE)</f>
        <v>2.2222222284540294E-8</v>
      </c>
      <c r="AN1138">
        <f>VLOOKUP($U1138,[2]Standard_Opportunity!$Q$1:$T$542,4,FALSE)</f>
        <v>0</v>
      </c>
      <c r="AO1138" s="77">
        <f t="shared" si="3833"/>
        <v>1</v>
      </c>
      <c r="AP1138" s="77">
        <f t="shared" si="3843"/>
        <v>6.4624999704999977E-2</v>
      </c>
      <c r="AQ1138" s="77">
        <f t="shared" si="3834"/>
        <v>5.2321923767311151E-3</v>
      </c>
      <c r="AR1138" s="79">
        <v>0</v>
      </c>
      <c r="AS1138" s="77">
        <f t="shared" si="3844"/>
        <v>0</v>
      </c>
      <c r="AT1138" s="77">
        <f t="shared" si="3845"/>
        <v>0</v>
      </c>
      <c r="AU1138" s="77">
        <f t="shared" si="3846"/>
        <v>2.5000000000000001E-3</v>
      </c>
      <c r="AV1138" s="77">
        <f t="shared" si="3847"/>
        <v>2.0809499864316017E-4</v>
      </c>
    </row>
    <row r="1139" spans="1:48">
      <c r="A1139" t="s">
        <v>175</v>
      </c>
      <c r="B1139" t="s">
        <v>180</v>
      </c>
      <c r="C1139" s="197" t="str">
        <f t="shared" si="3868"/>
        <v>Lifecycle_Opportunity_490</v>
      </c>
      <c r="D1139">
        <v>490</v>
      </c>
      <c r="E1139">
        <f>VLOOKUP($D1139,'[2]LC Opportunity'!$Q$2:$U$542,2,FALSE)</f>
        <v>0</v>
      </c>
      <c r="F1139">
        <f>VLOOKUP($D1139,'[2]LC Opportunity'!$Q$2:$U$542,3,FALSE)</f>
        <v>0</v>
      </c>
      <c r="G1139">
        <f>VLOOKUP($D1139,'[2]LC Opportunity'!$Q$2:$U$542,4,FALSE)</f>
        <v>0</v>
      </c>
      <c r="H1139">
        <f>VLOOKUP($D1139,'[2]LC Opportunity'!$Q$2:$U$542,5,FALSE)</f>
        <v>0.99999999999999989</v>
      </c>
      <c r="I1139" s="77">
        <f t="shared" si="3823"/>
        <v>0.99999999999999989</v>
      </c>
      <c r="J1139" s="77">
        <f t="shared" si="3824"/>
        <v>7.1999999999999981E-2</v>
      </c>
      <c r="K1139" s="77">
        <f t="shared" si="3876"/>
        <v>5.8106552987937654E-3</v>
      </c>
      <c r="L1139" s="76">
        <v>0</v>
      </c>
      <c r="M1139" s="77">
        <f t="shared" si="3835"/>
        <v>0</v>
      </c>
      <c r="N1139" s="77">
        <f t="shared" si="3836"/>
        <v>0</v>
      </c>
      <c r="O1139" s="77">
        <f t="shared" si="3837"/>
        <v>4.9999999999999992E-3</v>
      </c>
      <c r="P1139" s="77">
        <f t="shared" si="3838"/>
        <v>4.1762458919303302E-4</v>
      </c>
      <c r="R1139" t="s">
        <v>177</v>
      </c>
      <c r="S1139" t="s">
        <v>180</v>
      </c>
      <c r="T1139" s="197" t="str">
        <f t="shared" si="3870"/>
        <v>Autopilot_Opportunity_490</v>
      </c>
      <c r="U1139">
        <v>490</v>
      </c>
      <c r="V1139">
        <f>VLOOKUP($U1139,'[2]AP Opportunity'!$Q$1:$T$542,2,FALSE)</f>
        <v>0.99999997777777772</v>
      </c>
      <c r="W1139">
        <f>VLOOKUP($U1139,'[2]AP Opportunity'!$Q$1:$T$542,3,FALSE)</f>
        <v>2.2222222284540294E-8</v>
      </c>
      <c r="X1139">
        <f>VLOOKUP($U1139,'[2]AP Opportunity'!$Q$1:$T$542,4,FALSE)</f>
        <v>0</v>
      </c>
      <c r="Y1139" s="77">
        <f t="shared" si="3871"/>
        <v>1</v>
      </c>
      <c r="Z1139" s="77">
        <f t="shared" si="3877"/>
        <v>6.4624999704999977E-2</v>
      </c>
      <c r="AA1139" s="77">
        <f t="shared" si="3878"/>
        <v>5.2321923767311151E-3</v>
      </c>
      <c r="AB1139" s="79">
        <v>1</v>
      </c>
      <c r="AC1139" s="77">
        <f t="shared" si="3839"/>
        <v>8.499999955555556E-3</v>
      </c>
      <c r="AD1139" s="77">
        <f t="shared" ref="AD1139" si="3953">1-(1-AC1139)^(1/12)</f>
        <v>7.1110795759765644E-4</v>
      </c>
      <c r="AE1139" s="77">
        <f t="shared" si="3841"/>
        <v>2.5000000000000001E-3</v>
      </c>
      <c r="AF1139" s="77">
        <f t="shared" ref="AF1139" si="3954">1-(1-AE1139)^(1/12)</f>
        <v>2.0857243058891584E-4</v>
      </c>
      <c r="AH1139" t="s">
        <v>175</v>
      </c>
      <c r="AI1139" t="s">
        <v>180</v>
      </c>
      <c r="AJ1139" s="197" t="str">
        <f t="shared" si="3832"/>
        <v>Lifecycle_Opportunity_490</v>
      </c>
      <c r="AK1139">
        <v>490</v>
      </c>
      <c r="AL1139">
        <f>VLOOKUP($U1139,[2]Standard_Opportunity!$Q$1:$T$542,2,FALSE)</f>
        <v>0.99999997777777772</v>
      </c>
      <c r="AM1139">
        <f>VLOOKUP($U1139,[2]Standard_Opportunity!$Q$1:$T$542,3,FALSE)</f>
        <v>2.2222222284540294E-8</v>
      </c>
      <c r="AN1139">
        <f>VLOOKUP($U1139,[2]Standard_Opportunity!$Q$1:$T$542,4,FALSE)</f>
        <v>0</v>
      </c>
      <c r="AO1139" s="77">
        <f t="shared" si="3833"/>
        <v>1</v>
      </c>
      <c r="AP1139" s="77">
        <f t="shared" si="3843"/>
        <v>6.4624999704999977E-2</v>
      </c>
      <c r="AQ1139" s="77">
        <f t="shared" si="3834"/>
        <v>5.2321923767311151E-3</v>
      </c>
      <c r="AR1139" s="79">
        <v>0</v>
      </c>
      <c r="AS1139" s="77">
        <f t="shared" si="3844"/>
        <v>0</v>
      </c>
      <c r="AT1139" s="77">
        <f t="shared" si="3845"/>
        <v>0</v>
      </c>
      <c r="AU1139" s="77">
        <f t="shared" si="3846"/>
        <v>2.5000000000000001E-3</v>
      </c>
      <c r="AV1139" s="77">
        <f t="shared" si="3847"/>
        <v>2.0809499864316017E-4</v>
      </c>
    </row>
    <row r="1140" spans="1:48">
      <c r="A1140" t="s">
        <v>175</v>
      </c>
      <c r="B1140" t="s">
        <v>180</v>
      </c>
      <c r="C1140" s="197" t="str">
        <f t="shared" si="3868"/>
        <v>Lifecycle_Opportunity_489</v>
      </c>
      <c r="D1140">
        <v>489</v>
      </c>
      <c r="E1140">
        <f>VLOOKUP($D1140,'[2]LC Opportunity'!$Q$2:$U$542,2,FALSE)</f>
        <v>0</v>
      </c>
      <c r="F1140">
        <f>VLOOKUP($D1140,'[2]LC Opportunity'!$Q$2:$U$542,3,FALSE)</f>
        <v>0</v>
      </c>
      <c r="G1140">
        <f>VLOOKUP($D1140,'[2]LC Opportunity'!$Q$2:$U$542,4,FALSE)</f>
        <v>0</v>
      </c>
      <c r="H1140">
        <f>VLOOKUP($D1140,'[2]LC Opportunity'!$Q$2:$U$542,5,FALSE)</f>
        <v>0.99999999999999989</v>
      </c>
      <c r="I1140" s="77">
        <f t="shared" si="3823"/>
        <v>0.99999999999999989</v>
      </c>
      <c r="J1140" s="77">
        <f t="shared" si="3824"/>
        <v>7.1999999999999981E-2</v>
      </c>
      <c r="K1140" s="77">
        <f t="shared" si="3876"/>
        <v>5.8106552987937654E-3</v>
      </c>
      <c r="L1140" s="76">
        <v>0</v>
      </c>
      <c r="M1140" s="77">
        <f t="shared" si="3835"/>
        <v>0</v>
      </c>
      <c r="N1140" s="77">
        <f t="shared" si="3836"/>
        <v>0</v>
      </c>
      <c r="O1140" s="77">
        <f t="shared" si="3837"/>
        <v>4.9999999999999992E-3</v>
      </c>
      <c r="P1140" s="77">
        <f t="shared" si="3838"/>
        <v>4.1762458919303302E-4</v>
      </c>
      <c r="R1140" t="s">
        <v>177</v>
      </c>
      <c r="S1140" t="s">
        <v>180</v>
      </c>
      <c r="T1140" s="197" t="str">
        <f t="shared" si="3870"/>
        <v>Autopilot_Opportunity_489</v>
      </c>
      <c r="U1140">
        <v>489</v>
      </c>
      <c r="V1140">
        <f>VLOOKUP($U1140,'[2]AP Opportunity'!$Q$1:$T$542,2,FALSE)</f>
        <v>0.99999997777777772</v>
      </c>
      <c r="W1140">
        <f>VLOOKUP($U1140,'[2]AP Opportunity'!$Q$1:$T$542,3,FALSE)</f>
        <v>2.2222222284540294E-8</v>
      </c>
      <c r="X1140">
        <f>VLOOKUP($U1140,'[2]AP Opportunity'!$Q$1:$T$542,4,FALSE)</f>
        <v>0</v>
      </c>
      <c r="Y1140" s="77">
        <f t="shared" si="3871"/>
        <v>1</v>
      </c>
      <c r="Z1140" s="77">
        <f t="shared" si="3877"/>
        <v>6.4624999704999977E-2</v>
      </c>
      <c r="AA1140" s="77">
        <f t="shared" si="3878"/>
        <v>5.2321923767311151E-3</v>
      </c>
      <c r="AB1140" s="79">
        <v>1</v>
      </c>
      <c r="AC1140" s="77">
        <f t="shared" si="3839"/>
        <v>8.499999955555556E-3</v>
      </c>
      <c r="AD1140" s="77">
        <f t="shared" ref="AD1140" si="3955">1-(1-AC1140)^(1/12)</f>
        <v>7.1110795759765644E-4</v>
      </c>
      <c r="AE1140" s="77">
        <f t="shared" si="3841"/>
        <v>2.5000000000000001E-3</v>
      </c>
      <c r="AF1140" s="77">
        <f t="shared" ref="AF1140" si="3956">1-(1-AE1140)^(1/12)</f>
        <v>2.0857243058891584E-4</v>
      </c>
      <c r="AH1140" t="s">
        <v>175</v>
      </c>
      <c r="AI1140" t="s">
        <v>180</v>
      </c>
      <c r="AJ1140" s="197" t="str">
        <f t="shared" si="3832"/>
        <v>Lifecycle_Opportunity_489</v>
      </c>
      <c r="AK1140">
        <v>489</v>
      </c>
      <c r="AL1140">
        <f>VLOOKUP($U1140,[2]Standard_Opportunity!$Q$1:$T$542,2,FALSE)</f>
        <v>0.99999997777777772</v>
      </c>
      <c r="AM1140">
        <f>VLOOKUP($U1140,[2]Standard_Opportunity!$Q$1:$T$542,3,FALSE)</f>
        <v>2.2222222284540294E-8</v>
      </c>
      <c r="AN1140">
        <f>VLOOKUP($U1140,[2]Standard_Opportunity!$Q$1:$T$542,4,FALSE)</f>
        <v>0</v>
      </c>
      <c r="AO1140" s="77">
        <f t="shared" si="3833"/>
        <v>1</v>
      </c>
      <c r="AP1140" s="77">
        <f t="shared" si="3843"/>
        <v>6.4624999704999977E-2</v>
      </c>
      <c r="AQ1140" s="77">
        <f t="shared" si="3834"/>
        <v>5.2321923767311151E-3</v>
      </c>
      <c r="AR1140" s="79">
        <v>0</v>
      </c>
      <c r="AS1140" s="77">
        <f t="shared" si="3844"/>
        <v>0</v>
      </c>
      <c r="AT1140" s="77">
        <f t="shared" si="3845"/>
        <v>0</v>
      </c>
      <c r="AU1140" s="77">
        <f t="shared" si="3846"/>
        <v>2.5000000000000001E-3</v>
      </c>
      <c r="AV1140" s="77">
        <f t="shared" si="3847"/>
        <v>2.0809499864316017E-4</v>
      </c>
    </row>
    <row r="1141" spans="1:48">
      <c r="A1141" t="s">
        <v>175</v>
      </c>
      <c r="B1141" t="s">
        <v>180</v>
      </c>
      <c r="C1141" s="197" t="str">
        <f t="shared" si="3868"/>
        <v>Lifecycle_Opportunity_488</v>
      </c>
      <c r="D1141">
        <v>488</v>
      </c>
      <c r="E1141">
        <f>VLOOKUP($D1141,'[2]LC Opportunity'!$Q$2:$U$542,2,FALSE)</f>
        <v>0</v>
      </c>
      <c r="F1141">
        <f>VLOOKUP($D1141,'[2]LC Opportunity'!$Q$2:$U$542,3,FALSE)</f>
        <v>0</v>
      </c>
      <c r="G1141">
        <f>VLOOKUP($D1141,'[2]LC Opportunity'!$Q$2:$U$542,4,FALSE)</f>
        <v>0</v>
      </c>
      <c r="H1141">
        <f>VLOOKUP($D1141,'[2]LC Opportunity'!$Q$2:$U$542,5,FALSE)</f>
        <v>0.99999999999999989</v>
      </c>
      <c r="I1141" s="77">
        <f t="shared" si="3823"/>
        <v>0.99999999999999989</v>
      </c>
      <c r="J1141" s="77">
        <f t="shared" si="3824"/>
        <v>7.1999999999999981E-2</v>
      </c>
      <c r="K1141" s="77">
        <f t="shared" si="3876"/>
        <v>5.8106552987937654E-3</v>
      </c>
      <c r="L1141" s="76">
        <v>0</v>
      </c>
      <c r="M1141" s="77">
        <f t="shared" si="3835"/>
        <v>0</v>
      </c>
      <c r="N1141" s="77">
        <f t="shared" si="3836"/>
        <v>0</v>
      </c>
      <c r="O1141" s="77">
        <f t="shared" si="3837"/>
        <v>4.9999999999999992E-3</v>
      </c>
      <c r="P1141" s="77">
        <f t="shared" si="3838"/>
        <v>4.1762458919303302E-4</v>
      </c>
      <c r="R1141" t="s">
        <v>177</v>
      </c>
      <c r="S1141" t="s">
        <v>180</v>
      </c>
      <c r="T1141" s="197" t="str">
        <f t="shared" si="3870"/>
        <v>Autopilot_Opportunity_488</v>
      </c>
      <c r="U1141">
        <v>488</v>
      </c>
      <c r="V1141">
        <f>VLOOKUP($U1141,'[2]AP Opportunity'!$Q$1:$T$542,2,FALSE)</f>
        <v>0.99999997777777772</v>
      </c>
      <c r="W1141">
        <f>VLOOKUP($U1141,'[2]AP Opportunity'!$Q$1:$T$542,3,FALSE)</f>
        <v>2.2222222284540294E-8</v>
      </c>
      <c r="X1141">
        <f>VLOOKUP($U1141,'[2]AP Opportunity'!$Q$1:$T$542,4,FALSE)</f>
        <v>0</v>
      </c>
      <c r="Y1141" s="77">
        <f t="shared" si="3871"/>
        <v>1</v>
      </c>
      <c r="Z1141" s="77">
        <f t="shared" si="3877"/>
        <v>6.4624999704999977E-2</v>
      </c>
      <c r="AA1141" s="77">
        <f t="shared" si="3878"/>
        <v>5.2321923767311151E-3</v>
      </c>
      <c r="AB1141" s="79">
        <v>1</v>
      </c>
      <c r="AC1141" s="77">
        <f t="shared" si="3839"/>
        <v>8.499999955555556E-3</v>
      </c>
      <c r="AD1141" s="77">
        <f t="shared" ref="AD1141" si="3957">1-(1-AC1141)^(1/12)</f>
        <v>7.1110795759765644E-4</v>
      </c>
      <c r="AE1141" s="77">
        <f t="shared" si="3841"/>
        <v>2.5000000000000001E-3</v>
      </c>
      <c r="AF1141" s="77">
        <f t="shared" ref="AF1141" si="3958">1-(1-AE1141)^(1/12)</f>
        <v>2.0857243058891584E-4</v>
      </c>
      <c r="AH1141" t="s">
        <v>175</v>
      </c>
      <c r="AI1141" t="s">
        <v>180</v>
      </c>
      <c r="AJ1141" s="197" t="str">
        <f t="shared" si="3832"/>
        <v>Lifecycle_Opportunity_488</v>
      </c>
      <c r="AK1141">
        <v>488</v>
      </c>
      <c r="AL1141">
        <f>VLOOKUP($U1141,[2]Standard_Opportunity!$Q$1:$T$542,2,FALSE)</f>
        <v>0.99999997777777772</v>
      </c>
      <c r="AM1141">
        <f>VLOOKUP($U1141,[2]Standard_Opportunity!$Q$1:$T$542,3,FALSE)</f>
        <v>2.2222222284540294E-8</v>
      </c>
      <c r="AN1141">
        <f>VLOOKUP($U1141,[2]Standard_Opportunity!$Q$1:$T$542,4,FALSE)</f>
        <v>0</v>
      </c>
      <c r="AO1141" s="77">
        <f t="shared" si="3833"/>
        <v>1</v>
      </c>
      <c r="AP1141" s="77">
        <f t="shared" si="3843"/>
        <v>6.4624999704999977E-2</v>
      </c>
      <c r="AQ1141" s="77">
        <f t="shared" si="3834"/>
        <v>5.2321923767311151E-3</v>
      </c>
      <c r="AR1141" s="79">
        <v>0</v>
      </c>
      <c r="AS1141" s="77">
        <f t="shared" si="3844"/>
        <v>0</v>
      </c>
      <c r="AT1141" s="77">
        <f t="shared" si="3845"/>
        <v>0</v>
      </c>
      <c r="AU1141" s="77">
        <f t="shared" si="3846"/>
        <v>2.5000000000000001E-3</v>
      </c>
      <c r="AV1141" s="77">
        <f t="shared" si="3847"/>
        <v>2.0809499864316017E-4</v>
      </c>
    </row>
    <row r="1142" spans="1:48">
      <c r="A1142" t="s">
        <v>175</v>
      </c>
      <c r="B1142" t="s">
        <v>180</v>
      </c>
      <c r="C1142" s="197" t="str">
        <f t="shared" si="3868"/>
        <v>Lifecycle_Opportunity_487</v>
      </c>
      <c r="D1142">
        <v>487</v>
      </c>
      <c r="E1142">
        <f>VLOOKUP($D1142,'[2]LC Opportunity'!$Q$2:$U$542,2,FALSE)</f>
        <v>0</v>
      </c>
      <c r="F1142">
        <f>VLOOKUP($D1142,'[2]LC Opportunity'!$Q$2:$U$542,3,FALSE)</f>
        <v>0</v>
      </c>
      <c r="G1142">
        <f>VLOOKUP($D1142,'[2]LC Opportunity'!$Q$2:$U$542,4,FALSE)</f>
        <v>0</v>
      </c>
      <c r="H1142">
        <f>VLOOKUP($D1142,'[2]LC Opportunity'!$Q$2:$U$542,5,FALSE)</f>
        <v>0.99999999999999989</v>
      </c>
      <c r="I1142" s="77">
        <f t="shared" si="3823"/>
        <v>0.99999999999999989</v>
      </c>
      <c r="J1142" s="77">
        <f t="shared" si="3824"/>
        <v>7.1999999999999981E-2</v>
      </c>
      <c r="K1142" s="77">
        <f t="shared" si="3876"/>
        <v>5.8106552987937654E-3</v>
      </c>
      <c r="L1142" s="76">
        <v>0</v>
      </c>
      <c r="M1142" s="77">
        <f t="shared" si="3835"/>
        <v>0</v>
      </c>
      <c r="N1142" s="77">
        <f t="shared" si="3836"/>
        <v>0</v>
      </c>
      <c r="O1142" s="77">
        <f t="shared" si="3837"/>
        <v>4.9999999999999992E-3</v>
      </c>
      <c r="P1142" s="77">
        <f t="shared" si="3838"/>
        <v>4.1762458919303302E-4</v>
      </c>
      <c r="R1142" t="s">
        <v>177</v>
      </c>
      <c r="S1142" t="s">
        <v>180</v>
      </c>
      <c r="T1142" s="197" t="str">
        <f t="shared" si="3870"/>
        <v>Autopilot_Opportunity_487</v>
      </c>
      <c r="U1142">
        <v>487</v>
      </c>
      <c r="V1142">
        <f>VLOOKUP($U1142,'[2]AP Opportunity'!$Q$1:$T$542,2,FALSE)</f>
        <v>0.99999997777777772</v>
      </c>
      <c r="W1142">
        <f>VLOOKUP($U1142,'[2]AP Opportunity'!$Q$1:$T$542,3,FALSE)</f>
        <v>2.2222222284540294E-8</v>
      </c>
      <c r="X1142">
        <f>VLOOKUP($U1142,'[2]AP Opportunity'!$Q$1:$T$542,4,FALSE)</f>
        <v>0</v>
      </c>
      <c r="Y1142" s="77">
        <f t="shared" si="3871"/>
        <v>1</v>
      </c>
      <c r="Z1142" s="77">
        <f t="shared" si="3877"/>
        <v>6.4624999704999977E-2</v>
      </c>
      <c r="AA1142" s="77">
        <f t="shared" si="3878"/>
        <v>5.2321923767311151E-3</v>
      </c>
      <c r="AB1142" s="79">
        <v>1</v>
      </c>
      <c r="AC1142" s="77">
        <f t="shared" si="3839"/>
        <v>8.499999955555556E-3</v>
      </c>
      <c r="AD1142" s="77">
        <f t="shared" ref="AD1142" si="3959">1-(1-AC1142)^(1/12)</f>
        <v>7.1110795759765644E-4</v>
      </c>
      <c r="AE1142" s="77">
        <f t="shared" si="3841"/>
        <v>2.5000000000000001E-3</v>
      </c>
      <c r="AF1142" s="77">
        <f t="shared" ref="AF1142" si="3960">1-(1-AE1142)^(1/12)</f>
        <v>2.0857243058891584E-4</v>
      </c>
      <c r="AH1142" t="s">
        <v>175</v>
      </c>
      <c r="AI1142" t="s">
        <v>180</v>
      </c>
      <c r="AJ1142" s="197" t="str">
        <f t="shared" si="3832"/>
        <v>Lifecycle_Opportunity_487</v>
      </c>
      <c r="AK1142">
        <v>487</v>
      </c>
      <c r="AL1142">
        <f>VLOOKUP($U1142,[2]Standard_Opportunity!$Q$1:$T$542,2,FALSE)</f>
        <v>0.99999997777777772</v>
      </c>
      <c r="AM1142">
        <f>VLOOKUP($U1142,[2]Standard_Opportunity!$Q$1:$T$542,3,FALSE)</f>
        <v>2.2222222284540294E-8</v>
      </c>
      <c r="AN1142">
        <f>VLOOKUP($U1142,[2]Standard_Opportunity!$Q$1:$T$542,4,FALSE)</f>
        <v>0</v>
      </c>
      <c r="AO1142" s="77">
        <f t="shared" si="3833"/>
        <v>1</v>
      </c>
      <c r="AP1142" s="77">
        <f t="shared" si="3843"/>
        <v>6.4624999704999977E-2</v>
      </c>
      <c r="AQ1142" s="77">
        <f t="shared" si="3834"/>
        <v>5.2321923767311151E-3</v>
      </c>
      <c r="AR1142" s="79">
        <v>0</v>
      </c>
      <c r="AS1142" s="77">
        <f t="shared" si="3844"/>
        <v>0</v>
      </c>
      <c r="AT1142" s="77">
        <f t="shared" si="3845"/>
        <v>0</v>
      </c>
      <c r="AU1142" s="77">
        <f t="shared" si="3846"/>
        <v>2.5000000000000001E-3</v>
      </c>
      <c r="AV1142" s="77">
        <f t="shared" si="3847"/>
        <v>2.0809499864316017E-4</v>
      </c>
    </row>
    <row r="1143" spans="1:48">
      <c r="A1143" t="s">
        <v>175</v>
      </c>
      <c r="B1143" t="s">
        <v>180</v>
      </c>
      <c r="C1143" s="197" t="str">
        <f t="shared" si="3868"/>
        <v>Lifecycle_Opportunity_486</v>
      </c>
      <c r="D1143">
        <v>486</v>
      </c>
      <c r="E1143">
        <f>VLOOKUP($D1143,'[2]LC Opportunity'!$Q$2:$U$542,2,FALSE)</f>
        <v>0</v>
      </c>
      <c r="F1143">
        <f>VLOOKUP($D1143,'[2]LC Opportunity'!$Q$2:$U$542,3,FALSE)</f>
        <v>0</v>
      </c>
      <c r="G1143">
        <f>VLOOKUP($D1143,'[2]LC Opportunity'!$Q$2:$U$542,4,FALSE)</f>
        <v>0</v>
      </c>
      <c r="H1143">
        <f>VLOOKUP($D1143,'[2]LC Opportunity'!$Q$2:$U$542,5,FALSE)</f>
        <v>0.99999999999999989</v>
      </c>
      <c r="I1143" s="77">
        <f t="shared" si="3823"/>
        <v>0.99999999999999989</v>
      </c>
      <c r="J1143" s="77">
        <f t="shared" si="3824"/>
        <v>7.1999999999999981E-2</v>
      </c>
      <c r="K1143" s="77">
        <f t="shared" si="3876"/>
        <v>5.8106552987937654E-3</v>
      </c>
      <c r="L1143" s="76">
        <v>0</v>
      </c>
      <c r="M1143" s="77">
        <f t="shared" si="3835"/>
        <v>0</v>
      </c>
      <c r="N1143" s="77">
        <f t="shared" si="3836"/>
        <v>0</v>
      </c>
      <c r="O1143" s="77">
        <f t="shared" si="3837"/>
        <v>4.9999999999999992E-3</v>
      </c>
      <c r="P1143" s="77">
        <f t="shared" si="3838"/>
        <v>4.1762458919303302E-4</v>
      </c>
      <c r="R1143" t="s">
        <v>177</v>
      </c>
      <c r="S1143" t="s">
        <v>180</v>
      </c>
      <c r="T1143" s="197" t="str">
        <f t="shared" si="3870"/>
        <v>Autopilot_Opportunity_486</v>
      </c>
      <c r="U1143">
        <v>486</v>
      </c>
      <c r="V1143">
        <f>VLOOKUP($U1143,'[2]AP Opportunity'!$Q$1:$T$542,2,FALSE)</f>
        <v>0.99999997777777772</v>
      </c>
      <c r="W1143">
        <f>VLOOKUP($U1143,'[2]AP Opportunity'!$Q$1:$T$542,3,FALSE)</f>
        <v>2.2222222284540294E-8</v>
      </c>
      <c r="X1143">
        <f>VLOOKUP($U1143,'[2]AP Opportunity'!$Q$1:$T$542,4,FALSE)</f>
        <v>0</v>
      </c>
      <c r="Y1143" s="77">
        <f t="shared" si="3871"/>
        <v>1</v>
      </c>
      <c r="Z1143" s="77">
        <f t="shared" si="3877"/>
        <v>6.4624999704999977E-2</v>
      </c>
      <c r="AA1143" s="77">
        <f t="shared" si="3878"/>
        <v>5.2321923767311151E-3</v>
      </c>
      <c r="AB1143" s="79">
        <v>1</v>
      </c>
      <c r="AC1143" s="77">
        <f t="shared" si="3839"/>
        <v>8.499999955555556E-3</v>
      </c>
      <c r="AD1143" s="77">
        <f t="shared" ref="AD1143" si="3961">1-(1-AC1143)^(1/12)</f>
        <v>7.1110795759765644E-4</v>
      </c>
      <c r="AE1143" s="77">
        <f t="shared" si="3841"/>
        <v>2.5000000000000001E-3</v>
      </c>
      <c r="AF1143" s="77">
        <f t="shared" ref="AF1143" si="3962">1-(1-AE1143)^(1/12)</f>
        <v>2.0857243058891584E-4</v>
      </c>
      <c r="AH1143" t="s">
        <v>175</v>
      </c>
      <c r="AI1143" t="s">
        <v>180</v>
      </c>
      <c r="AJ1143" s="197" t="str">
        <f t="shared" si="3832"/>
        <v>Lifecycle_Opportunity_486</v>
      </c>
      <c r="AK1143">
        <v>486</v>
      </c>
      <c r="AL1143">
        <f>VLOOKUP($U1143,[2]Standard_Opportunity!$Q$1:$T$542,2,FALSE)</f>
        <v>0.99999997777777772</v>
      </c>
      <c r="AM1143">
        <f>VLOOKUP($U1143,[2]Standard_Opportunity!$Q$1:$T$542,3,FALSE)</f>
        <v>2.2222222284540294E-8</v>
      </c>
      <c r="AN1143">
        <f>VLOOKUP($U1143,[2]Standard_Opportunity!$Q$1:$T$542,4,FALSE)</f>
        <v>0</v>
      </c>
      <c r="AO1143" s="77">
        <f t="shared" si="3833"/>
        <v>1</v>
      </c>
      <c r="AP1143" s="77">
        <f t="shared" si="3843"/>
        <v>6.4624999704999977E-2</v>
      </c>
      <c r="AQ1143" s="77">
        <f t="shared" si="3834"/>
        <v>5.2321923767311151E-3</v>
      </c>
      <c r="AR1143" s="79">
        <v>0</v>
      </c>
      <c r="AS1143" s="77">
        <f t="shared" si="3844"/>
        <v>0</v>
      </c>
      <c r="AT1143" s="77">
        <f t="shared" si="3845"/>
        <v>0</v>
      </c>
      <c r="AU1143" s="77">
        <f t="shared" si="3846"/>
        <v>2.5000000000000001E-3</v>
      </c>
      <c r="AV1143" s="77">
        <f t="shared" si="3847"/>
        <v>2.0809499864316017E-4</v>
      </c>
    </row>
    <row r="1144" spans="1:48">
      <c r="A1144" t="s">
        <v>175</v>
      </c>
      <c r="B1144" t="s">
        <v>180</v>
      </c>
      <c r="C1144" s="197" t="str">
        <f t="shared" si="3868"/>
        <v>Lifecycle_Opportunity_485</v>
      </c>
      <c r="D1144">
        <v>485</v>
      </c>
      <c r="E1144">
        <f>VLOOKUP($D1144,'[2]LC Opportunity'!$Q$2:$U$542,2,FALSE)</f>
        <v>0</v>
      </c>
      <c r="F1144">
        <f>VLOOKUP($D1144,'[2]LC Opportunity'!$Q$2:$U$542,3,FALSE)</f>
        <v>0</v>
      </c>
      <c r="G1144">
        <f>VLOOKUP($D1144,'[2]LC Opportunity'!$Q$2:$U$542,4,FALSE)</f>
        <v>0</v>
      </c>
      <c r="H1144">
        <f>VLOOKUP($D1144,'[2]LC Opportunity'!$Q$2:$U$542,5,FALSE)</f>
        <v>0.99999999999999989</v>
      </c>
      <c r="I1144" s="77">
        <f t="shared" si="3823"/>
        <v>0.99999999999999989</v>
      </c>
      <c r="J1144" s="77">
        <f t="shared" si="3824"/>
        <v>7.1999999999999981E-2</v>
      </c>
      <c r="K1144" s="77">
        <f t="shared" si="3876"/>
        <v>5.8106552987937654E-3</v>
      </c>
      <c r="L1144" s="76">
        <v>0</v>
      </c>
      <c r="M1144" s="77">
        <f t="shared" si="3835"/>
        <v>0</v>
      </c>
      <c r="N1144" s="77">
        <f t="shared" si="3836"/>
        <v>0</v>
      </c>
      <c r="O1144" s="77">
        <f t="shared" si="3837"/>
        <v>4.9999999999999992E-3</v>
      </c>
      <c r="P1144" s="77">
        <f t="shared" si="3838"/>
        <v>4.1762458919303302E-4</v>
      </c>
      <c r="R1144" t="s">
        <v>177</v>
      </c>
      <c r="S1144" t="s">
        <v>180</v>
      </c>
      <c r="T1144" s="197" t="str">
        <f t="shared" si="3870"/>
        <v>Autopilot_Opportunity_485</v>
      </c>
      <c r="U1144">
        <v>485</v>
      </c>
      <c r="V1144">
        <f>VLOOKUP($U1144,'[2]AP Opportunity'!$Q$1:$T$542,2,FALSE)</f>
        <v>0.99999997777777772</v>
      </c>
      <c r="W1144">
        <f>VLOOKUP($U1144,'[2]AP Opportunity'!$Q$1:$T$542,3,FALSE)</f>
        <v>2.2222222284540294E-8</v>
      </c>
      <c r="X1144">
        <f>VLOOKUP($U1144,'[2]AP Opportunity'!$Q$1:$T$542,4,FALSE)</f>
        <v>0</v>
      </c>
      <c r="Y1144" s="77">
        <f t="shared" si="3871"/>
        <v>1</v>
      </c>
      <c r="Z1144" s="77">
        <f t="shared" si="3877"/>
        <v>6.4624999704999977E-2</v>
      </c>
      <c r="AA1144" s="77">
        <f t="shared" si="3878"/>
        <v>5.2321923767311151E-3</v>
      </c>
      <c r="AB1144" s="79">
        <v>1</v>
      </c>
      <c r="AC1144" s="77">
        <f t="shared" si="3839"/>
        <v>8.499999955555556E-3</v>
      </c>
      <c r="AD1144" s="77">
        <f t="shared" ref="AD1144" si="3963">1-(1-AC1144)^(1/12)</f>
        <v>7.1110795759765644E-4</v>
      </c>
      <c r="AE1144" s="77">
        <f t="shared" si="3841"/>
        <v>2.5000000000000001E-3</v>
      </c>
      <c r="AF1144" s="77">
        <f t="shared" ref="AF1144" si="3964">1-(1-AE1144)^(1/12)</f>
        <v>2.0857243058891584E-4</v>
      </c>
      <c r="AH1144" t="s">
        <v>175</v>
      </c>
      <c r="AI1144" t="s">
        <v>180</v>
      </c>
      <c r="AJ1144" s="197" t="str">
        <f t="shared" si="3832"/>
        <v>Lifecycle_Opportunity_485</v>
      </c>
      <c r="AK1144">
        <v>485</v>
      </c>
      <c r="AL1144">
        <f>VLOOKUP($U1144,[2]Standard_Opportunity!$Q$1:$T$542,2,FALSE)</f>
        <v>0.99999997777777772</v>
      </c>
      <c r="AM1144">
        <f>VLOOKUP($U1144,[2]Standard_Opportunity!$Q$1:$T$542,3,FALSE)</f>
        <v>2.2222222284540294E-8</v>
      </c>
      <c r="AN1144">
        <f>VLOOKUP($U1144,[2]Standard_Opportunity!$Q$1:$T$542,4,FALSE)</f>
        <v>0</v>
      </c>
      <c r="AO1144" s="77">
        <f t="shared" si="3833"/>
        <v>1</v>
      </c>
      <c r="AP1144" s="77">
        <f t="shared" si="3843"/>
        <v>6.4624999704999977E-2</v>
      </c>
      <c r="AQ1144" s="77">
        <f t="shared" si="3834"/>
        <v>5.2321923767311151E-3</v>
      </c>
      <c r="AR1144" s="79">
        <v>0</v>
      </c>
      <c r="AS1144" s="77">
        <f t="shared" si="3844"/>
        <v>0</v>
      </c>
      <c r="AT1144" s="77">
        <f t="shared" si="3845"/>
        <v>0</v>
      </c>
      <c r="AU1144" s="77">
        <f t="shared" si="3846"/>
        <v>2.5000000000000001E-3</v>
      </c>
      <c r="AV1144" s="77">
        <f t="shared" si="3847"/>
        <v>2.0809499864316017E-4</v>
      </c>
    </row>
    <row r="1145" spans="1:48">
      <c r="A1145" t="s">
        <v>175</v>
      </c>
      <c r="B1145" t="s">
        <v>180</v>
      </c>
      <c r="C1145" s="197" t="str">
        <f t="shared" si="3868"/>
        <v>Lifecycle_Opportunity_484</v>
      </c>
      <c r="D1145">
        <v>484</v>
      </c>
      <c r="E1145">
        <f>VLOOKUP($D1145,'[2]LC Opportunity'!$Q$2:$U$542,2,FALSE)</f>
        <v>0</v>
      </c>
      <c r="F1145">
        <f>VLOOKUP($D1145,'[2]LC Opportunity'!$Q$2:$U$542,3,FALSE)</f>
        <v>0</v>
      </c>
      <c r="G1145">
        <f>VLOOKUP($D1145,'[2]LC Opportunity'!$Q$2:$U$542,4,FALSE)</f>
        <v>0</v>
      </c>
      <c r="H1145">
        <f>VLOOKUP($D1145,'[2]LC Opportunity'!$Q$2:$U$542,5,FALSE)</f>
        <v>0.99999999999999989</v>
      </c>
      <c r="I1145" s="77">
        <f t="shared" si="3823"/>
        <v>0.99999999999999989</v>
      </c>
      <c r="J1145" s="77">
        <f t="shared" si="3824"/>
        <v>7.1999999999999981E-2</v>
      </c>
      <c r="K1145" s="77">
        <f t="shared" si="3876"/>
        <v>5.8106552987937654E-3</v>
      </c>
      <c r="L1145" s="76">
        <v>0</v>
      </c>
      <c r="M1145" s="77">
        <f t="shared" si="3835"/>
        <v>0</v>
      </c>
      <c r="N1145" s="77">
        <f t="shared" si="3836"/>
        <v>0</v>
      </c>
      <c r="O1145" s="77">
        <f t="shared" si="3837"/>
        <v>4.9999999999999992E-3</v>
      </c>
      <c r="P1145" s="77">
        <f t="shared" si="3838"/>
        <v>4.1762458919303302E-4</v>
      </c>
      <c r="R1145" t="s">
        <v>177</v>
      </c>
      <c r="S1145" t="s">
        <v>180</v>
      </c>
      <c r="T1145" s="197" t="str">
        <f t="shared" si="3870"/>
        <v>Autopilot_Opportunity_484</v>
      </c>
      <c r="U1145">
        <v>484</v>
      </c>
      <c r="V1145">
        <f>VLOOKUP($U1145,'[2]AP Opportunity'!$Q$1:$T$542,2,FALSE)</f>
        <v>0.99999997777777772</v>
      </c>
      <c r="W1145">
        <f>VLOOKUP($U1145,'[2]AP Opportunity'!$Q$1:$T$542,3,FALSE)</f>
        <v>2.2222222284540294E-8</v>
      </c>
      <c r="X1145">
        <f>VLOOKUP($U1145,'[2]AP Opportunity'!$Q$1:$T$542,4,FALSE)</f>
        <v>0</v>
      </c>
      <c r="Y1145" s="77">
        <f t="shared" si="3871"/>
        <v>1</v>
      </c>
      <c r="Z1145" s="77">
        <f t="shared" si="3877"/>
        <v>6.4624999704999977E-2</v>
      </c>
      <c r="AA1145" s="77">
        <f t="shared" si="3878"/>
        <v>5.2321923767311151E-3</v>
      </c>
      <c r="AB1145" s="79">
        <v>1</v>
      </c>
      <c r="AC1145" s="77">
        <f t="shared" si="3839"/>
        <v>8.499999955555556E-3</v>
      </c>
      <c r="AD1145" s="77">
        <f t="shared" ref="AD1145" si="3965">1-(1-AC1145)^(1/12)</f>
        <v>7.1110795759765644E-4</v>
      </c>
      <c r="AE1145" s="77">
        <f t="shared" si="3841"/>
        <v>2.5000000000000001E-3</v>
      </c>
      <c r="AF1145" s="77">
        <f t="shared" ref="AF1145" si="3966">1-(1-AE1145)^(1/12)</f>
        <v>2.0857243058891584E-4</v>
      </c>
      <c r="AH1145" t="s">
        <v>175</v>
      </c>
      <c r="AI1145" t="s">
        <v>180</v>
      </c>
      <c r="AJ1145" s="197" t="str">
        <f t="shared" si="3832"/>
        <v>Lifecycle_Opportunity_484</v>
      </c>
      <c r="AK1145">
        <v>484</v>
      </c>
      <c r="AL1145">
        <f>VLOOKUP($U1145,[2]Standard_Opportunity!$Q$1:$T$542,2,FALSE)</f>
        <v>0.99999997777777772</v>
      </c>
      <c r="AM1145">
        <f>VLOOKUP($U1145,[2]Standard_Opportunity!$Q$1:$T$542,3,FALSE)</f>
        <v>2.2222222284540294E-8</v>
      </c>
      <c r="AN1145">
        <f>VLOOKUP($U1145,[2]Standard_Opportunity!$Q$1:$T$542,4,FALSE)</f>
        <v>0</v>
      </c>
      <c r="AO1145" s="77">
        <f t="shared" si="3833"/>
        <v>1</v>
      </c>
      <c r="AP1145" s="77">
        <f t="shared" si="3843"/>
        <v>6.4624999704999977E-2</v>
      </c>
      <c r="AQ1145" s="77">
        <f t="shared" si="3834"/>
        <v>5.2321923767311151E-3</v>
      </c>
      <c r="AR1145" s="79">
        <v>0</v>
      </c>
      <c r="AS1145" s="77">
        <f t="shared" si="3844"/>
        <v>0</v>
      </c>
      <c r="AT1145" s="77">
        <f t="shared" si="3845"/>
        <v>0</v>
      </c>
      <c r="AU1145" s="77">
        <f t="shared" si="3846"/>
        <v>2.5000000000000001E-3</v>
      </c>
      <c r="AV1145" s="77">
        <f t="shared" si="3847"/>
        <v>2.0809499864316017E-4</v>
      </c>
    </row>
    <row r="1146" spans="1:48">
      <c r="A1146" t="s">
        <v>175</v>
      </c>
      <c r="B1146" t="s">
        <v>180</v>
      </c>
      <c r="C1146" s="197" t="str">
        <f t="shared" si="3868"/>
        <v>Lifecycle_Opportunity_483</v>
      </c>
      <c r="D1146">
        <v>483</v>
      </c>
      <c r="E1146">
        <f>VLOOKUP($D1146,'[2]LC Opportunity'!$Q$2:$U$542,2,FALSE)</f>
        <v>0</v>
      </c>
      <c r="F1146">
        <f>VLOOKUP($D1146,'[2]LC Opportunity'!$Q$2:$U$542,3,FALSE)</f>
        <v>0</v>
      </c>
      <c r="G1146">
        <f>VLOOKUP($D1146,'[2]LC Opportunity'!$Q$2:$U$542,4,FALSE)</f>
        <v>0</v>
      </c>
      <c r="H1146">
        <f>VLOOKUP($D1146,'[2]LC Opportunity'!$Q$2:$U$542,5,FALSE)</f>
        <v>0.99999999999999989</v>
      </c>
      <c r="I1146" s="77">
        <f t="shared" si="3823"/>
        <v>0.99999999999999989</v>
      </c>
      <c r="J1146" s="77">
        <f t="shared" si="3824"/>
        <v>7.1999999999999981E-2</v>
      </c>
      <c r="K1146" s="77">
        <f t="shared" si="3876"/>
        <v>5.8106552987937654E-3</v>
      </c>
      <c r="L1146" s="76">
        <v>0</v>
      </c>
      <c r="M1146" s="77">
        <f t="shared" si="3835"/>
        <v>0</v>
      </c>
      <c r="N1146" s="77">
        <f t="shared" si="3836"/>
        <v>0</v>
      </c>
      <c r="O1146" s="77">
        <f t="shared" si="3837"/>
        <v>4.9999999999999992E-3</v>
      </c>
      <c r="P1146" s="77">
        <f t="shared" si="3838"/>
        <v>4.1762458919303302E-4</v>
      </c>
      <c r="R1146" t="s">
        <v>177</v>
      </c>
      <c r="S1146" t="s">
        <v>180</v>
      </c>
      <c r="T1146" s="197" t="str">
        <f t="shared" si="3870"/>
        <v>Autopilot_Opportunity_483</v>
      </c>
      <c r="U1146">
        <v>483</v>
      </c>
      <c r="V1146">
        <f>VLOOKUP($U1146,'[2]AP Opportunity'!$Q$1:$T$542,2,FALSE)</f>
        <v>0.99999997777777772</v>
      </c>
      <c r="W1146">
        <f>VLOOKUP($U1146,'[2]AP Opportunity'!$Q$1:$T$542,3,FALSE)</f>
        <v>2.2222222284540294E-8</v>
      </c>
      <c r="X1146">
        <f>VLOOKUP($U1146,'[2]AP Opportunity'!$Q$1:$T$542,4,FALSE)</f>
        <v>0</v>
      </c>
      <c r="Y1146" s="77">
        <f t="shared" si="3871"/>
        <v>1</v>
      </c>
      <c r="Z1146" s="77">
        <f t="shared" si="3877"/>
        <v>6.4624999704999977E-2</v>
      </c>
      <c r="AA1146" s="77">
        <f t="shared" si="3878"/>
        <v>5.2321923767311151E-3</v>
      </c>
      <c r="AB1146" s="79">
        <v>1</v>
      </c>
      <c r="AC1146" s="77">
        <f t="shared" si="3839"/>
        <v>8.499999955555556E-3</v>
      </c>
      <c r="AD1146" s="77">
        <f t="shared" ref="AD1146" si="3967">1-(1-AC1146)^(1/12)</f>
        <v>7.1110795759765644E-4</v>
      </c>
      <c r="AE1146" s="77">
        <f t="shared" si="3841"/>
        <v>2.5000000000000001E-3</v>
      </c>
      <c r="AF1146" s="77">
        <f t="shared" ref="AF1146" si="3968">1-(1-AE1146)^(1/12)</f>
        <v>2.0857243058891584E-4</v>
      </c>
      <c r="AH1146" t="s">
        <v>175</v>
      </c>
      <c r="AI1146" t="s">
        <v>180</v>
      </c>
      <c r="AJ1146" s="197" t="str">
        <f t="shared" si="3832"/>
        <v>Lifecycle_Opportunity_483</v>
      </c>
      <c r="AK1146">
        <v>483</v>
      </c>
      <c r="AL1146">
        <f>VLOOKUP($U1146,[2]Standard_Opportunity!$Q$1:$T$542,2,FALSE)</f>
        <v>0.99999997777777772</v>
      </c>
      <c r="AM1146">
        <f>VLOOKUP($U1146,[2]Standard_Opportunity!$Q$1:$T$542,3,FALSE)</f>
        <v>2.2222222284540294E-8</v>
      </c>
      <c r="AN1146">
        <f>VLOOKUP($U1146,[2]Standard_Opportunity!$Q$1:$T$542,4,FALSE)</f>
        <v>0</v>
      </c>
      <c r="AO1146" s="77">
        <f t="shared" si="3833"/>
        <v>1</v>
      </c>
      <c r="AP1146" s="77">
        <f t="shared" si="3843"/>
        <v>6.4624999704999977E-2</v>
      </c>
      <c r="AQ1146" s="77">
        <f t="shared" si="3834"/>
        <v>5.2321923767311151E-3</v>
      </c>
      <c r="AR1146" s="79">
        <v>0</v>
      </c>
      <c r="AS1146" s="77">
        <f t="shared" si="3844"/>
        <v>0</v>
      </c>
      <c r="AT1146" s="77">
        <f t="shared" si="3845"/>
        <v>0</v>
      </c>
      <c r="AU1146" s="77">
        <f t="shared" si="3846"/>
        <v>2.5000000000000001E-3</v>
      </c>
      <c r="AV1146" s="77">
        <f t="shared" si="3847"/>
        <v>2.0809499864316017E-4</v>
      </c>
    </row>
    <row r="1147" spans="1:48">
      <c r="A1147" t="s">
        <v>175</v>
      </c>
      <c r="B1147" t="s">
        <v>180</v>
      </c>
      <c r="C1147" s="197" t="str">
        <f t="shared" si="3868"/>
        <v>Lifecycle_Opportunity_482</v>
      </c>
      <c r="D1147">
        <v>482</v>
      </c>
      <c r="E1147">
        <f>VLOOKUP($D1147,'[2]LC Opportunity'!$Q$2:$U$542,2,FALSE)</f>
        <v>0</v>
      </c>
      <c r="F1147">
        <f>VLOOKUP($D1147,'[2]LC Opportunity'!$Q$2:$U$542,3,FALSE)</f>
        <v>0</v>
      </c>
      <c r="G1147">
        <f>VLOOKUP($D1147,'[2]LC Opportunity'!$Q$2:$U$542,4,FALSE)</f>
        <v>0</v>
      </c>
      <c r="H1147">
        <f>VLOOKUP($D1147,'[2]LC Opportunity'!$Q$2:$U$542,5,FALSE)</f>
        <v>0.99999999999999989</v>
      </c>
      <c r="I1147" s="77">
        <f t="shared" si="3823"/>
        <v>0.99999999999999989</v>
      </c>
      <c r="J1147" s="77">
        <f t="shared" si="3824"/>
        <v>7.1999999999999981E-2</v>
      </c>
      <c r="K1147" s="77">
        <f t="shared" si="3876"/>
        <v>5.8106552987937654E-3</v>
      </c>
      <c r="L1147" s="76">
        <v>0</v>
      </c>
      <c r="M1147" s="77">
        <f t="shared" si="3835"/>
        <v>0</v>
      </c>
      <c r="N1147" s="77">
        <f t="shared" si="3836"/>
        <v>0</v>
      </c>
      <c r="O1147" s="77">
        <f t="shared" si="3837"/>
        <v>4.9999999999999992E-3</v>
      </c>
      <c r="P1147" s="77">
        <f t="shared" si="3838"/>
        <v>4.1762458919303302E-4</v>
      </c>
      <c r="R1147" t="s">
        <v>177</v>
      </c>
      <c r="S1147" t="s">
        <v>180</v>
      </c>
      <c r="T1147" s="197" t="str">
        <f t="shared" si="3870"/>
        <v>Autopilot_Opportunity_482</v>
      </c>
      <c r="U1147">
        <v>482</v>
      </c>
      <c r="V1147">
        <f>VLOOKUP($U1147,'[2]AP Opportunity'!$Q$1:$T$542,2,FALSE)</f>
        <v>0.99999997777777772</v>
      </c>
      <c r="W1147">
        <f>VLOOKUP($U1147,'[2]AP Opportunity'!$Q$1:$T$542,3,FALSE)</f>
        <v>2.2222222284540294E-8</v>
      </c>
      <c r="X1147">
        <f>VLOOKUP($U1147,'[2]AP Opportunity'!$Q$1:$T$542,4,FALSE)</f>
        <v>0</v>
      </c>
      <c r="Y1147" s="77">
        <f t="shared" si="3871"/>
        <v>1</v>
      </c>
      <c r="Z1147" s="77">
        <f t="shared" si="3877"/>
        <v>6.4624999704999977E-2</v>
      </c>
      <c r="AA1147" s="77">
        <f t="shared" si="3878"/>
        <v>5.2321923767311151E-3</v>
      </c>
      <c r="AB1147" s="79">
        <v>1</v>
      </c>
      <c r="AC1147" s="77">
        <f t="shared" si="3839"/>
        <v>8.499999955555556E-3</v>
      </c>
      <c r="AD1147" s="77">
        <f t="shared" ref="AD1147" si="3969">1-(1-AC1147)^(1/12)</f>
        <v>7.1110795759765644E-4</v>
      </c>
      <c r="AE1147" s="77">
        <f t="shared" si="3841"/>
        <v>2.5000000000000001E-3</v>
      </c>
      <c r="AF1147" s="77">
        <f t="shared" ref="AF1147" si="3970">1-(1-AE1147)^(1/12)</f>
        <v>2.0857243058891584E-4</v>
      </c>
      <c r="AH1147" t="s">
        <v>175</v>
      </c>
      <c r="AI1147" t="s">
        <v>180</v>
      </c>
      <c r="AJ1147" s="197" t="str">
        <f t="shared" si="3832"/>
        <v>Lifecycle_Opportunity_482</v>
      </c>
      <c r="AK1147">
        <v>482</v>
      </c>
      <c r="AL1147">
        <f>VLOOKUP($U1147,[2]Standard_Opportunity!$Q$1:$T$542,2,FALSE)</f>
        <v>0.99999997777777772</v>
      </c>
      <c r="AM1147">
        <f>VLOOKUP($U1147,[2]Standard_Opportunity!$Q$1:$T$542,3,FALSE)</f>
        <v>2.2222222284540294E-8</v>
      </c>
      <c r="AN1147">
        <f>VLOOKUP($U1147,[2]Standard_Opportunity!$Q$1:$T$542,4,FALSE)</f>
        <v>0</v>
      </c>
      <c r="AO1147" s="77">
        <f t="shared" si="3833"/>
        <v>1</v>
      </c>
      <c r="AP1147" s="77">
        <f t="shared" si="3843"/>
        <v>6.4624999704999977E-2</v>
      </c>
      <c r="AQ1147" s="77">
        <f t="shared" si="3834"/>
        <v>5.2321923767311151E-3</v>
      </c>
      <c r="AR1147" s="79">
        <v>0</v>
      </c>
      <c r="AS1147" s="77">
        <f t="shared" si="3844"/>
        <v>0</v>
      </c>
      <c r="AT1147" s="77">
        <f t="shared" si="3845"/>
        <v>0</v>
      </c>
      <c r="AU1147" s="77">
        <f t="shared" si="3846"/>
        <v>2.5000000000000001E-3</v>
      </c>
      <c r="AV1147" s="77">
        <f t="shared" si="3847"/>
        <v>2.0809499864316017E-4</v>
      </c>
    </row>
    <row r="1148" spans="1:48">
      <c r="A1148" t="s">
        <v>175</v>
      </c>
      <c r="B1148" t="s">
        <v>180</v>
      </c>
      <c r="C1148" s="197" t="str">
        <f t="shared" si="3868"/>
        <v>Lifecycle_Opportunity_481</v>
      </c>
      <c r="D1148">
        <v>481</v>
      </c>
      <c r="E1148">
        <f>VLOOKUP($D1148,'[2]LC Opportunity'!$Q$2:$U$542,2,FALSE)</f>
        <v>0</v>
      </c>
      <c r="F1148">
        <f>VLOOKUP($D1148,'[2]LC Opportunity'!$Q$2:$U$542,3,FALSE)</f>
        <v>0</v>
      </c>
      <c r="G1148">
        <f>VLOOKUP($D1148,'[2]LC Opportunity'!$Q$2:$U$542,4,FALSE)</f>
        <v>0</v>
      </c>
      <c r="H1148">
        <f>VLOOKUP($D1148,'[2]LC Opportunity'!$Q$2:$U$542,5,FALSE)</f>
        <v>0.99999999999999989</v>
      </c>
      <c r="I1148" s="77">
        <f t="shared" si="3823"/>
        <v>0.99999999999999989</v>
      </c>
      <c r="J1148" s="77">
        <f t="shared" si="3824"/>
        <v>7.1999999999999981E-2</v>
      </c>
      <c r="K1148" s="77">
        <f t="shared" si="3876"/>
        <v>5.8106552987937654E-3</v>
      </c>
      <c r="L1148" s="76">
        <v>0</v>
      </c>
      <c r="M1148" s="77">
        <f t="shared" si="3835"/>
        <v>0</v>
      </c>
      <c r="N1148" s="77">
        <f t="shared" si="3836"/>
        <v>0</v>
      </c>
      <c r="O1148" s="77">
        <f t="shared" si="3837"/>
        <v>4.9999999999999992E-3</v>
      </c>
      <c r="P1148" s="77">
        <f t="shared" si="3838"/>
        <v>4.1762458919303302E-4</v>
      </c>
      <c r="R1148" t="s">
        <v>177</v>
      </c>
      <c r="S1148" t="s">
        <v>180</v>
      </c>
      <c r="T1148" s="197" t="str">
        <f t="shared" si="3870"/>
        <v>Autopilot_Opportunity_481</v>
      </c>
      <c r="U1148">
        <v>481</v>
      </c>
      <c r="V1148">
        <f>VLOOKUP($U1148,'[2]AP Opportunity'!$Q$1:$T$542,2,FALSE)</f>
        <v>0.99999997777777772</v>
      </c>
      <c r="W1148">
        <f>VLOOKUP($U1148,'[2]AP Opportunity'!$Q$1:$T$542,3,FALSE)</f>
        <v>2.2222222284540294E-8</v>
      </c>
      <c r="X1148">
        <f>VLOOKUP($U1148,'[2]AP Opportunity'!$Q$1:$T$542,4,FALSE)</f>
        <v>0</v>
      </c>
      <c r="Y1148" s="77">
        <f t="shared" si="3871"/>
        <v>1</v>
      </c>
      <c r="Z1148" s="77">
        <f t="shared" si="3877"/>
        <v>6.4624999704999977E-2</v>
      </c>
      <c r="AA1148" s="77">
        <f t="shared" si="3878"/>
        <v>5.2321923767311151E-3</v>
      </c>
      <c r="AB1148" s="79">
        <v>1</v>
      </c>
      <c r="AC1148" s="77">
        <f t="shared" si="3839"/>
        <v>8.499999955555556E-3</v>
      </c>
      <c r="AD1148" s="77">
        <f t="shared" ref="AD1148" si="3971">1-(1-AC1148)^(1/12)</f>
        <v>7.1110795759765644E-4</v>
      </c>
      <c r="AE1148" s="77">
        <f t="shared" si="3841"/>
        <v>2.5000000000000001E-3</v>
      </c>
      <c r="AF1148" s="77">
        <f t="shared" ref="AF1148" si="3972">1-(1-AE1148)^(1/12)</f>
        <v>2.0857243058891584E-4</v>
      </c>
      <c r="AH1148" t="s">
        <v>175</v>
      </c>
      <c r="AI1148" t="s">
        <v>180</v>
      </c>
      <c r="AJ1148" s="197" t="str">
        <f t="shared" si="3832"/>
        <v>Lifecycle_Opportunity_481</v>
      </c>
      <c r="AK1148">
        <v>481</v>
      </c>
      <c r="AL1148">
        <f>VLOOKUP($U1148,[2]Standard_Opportunity!$Q$1:$T$542,2,FALSE)</f>
        <v>0.99999997777777772</v>
      </c>
      <c r="AM1148">
        <f>VLOOKUP($U1148,[2]Standard_Opportunity!$Q$1:$T$542,3,FALSE)</f>
        <v>2.2222222284540294E-8</v>
      </c>
      <c r="AN1148">
        <f>VLOOKUP($U1148,[2]Standard_Opportunity!$Q$1:$T$542,4,FALSE)</f>
        <v>0</v>
      </c>
      <c r="AO1148" s="77">
        <f t="shared" si="3833"/>
        <v>1</v>
      </c>
      <c r="AP1148" s="77">
        <f t="shared" si="3843"/>
        <v>6.4624999704999977E-2</v>
      </c>
      <c r="AQ1148" s="77">
        <f t="shared" si="3834"/>
        <v>5.2321923767311151E-3</v>
      </c>
      <c r="AR1148" s="79">
        <v>0</v>
      </c>
      <c r="AS1148" s="77">
        <f t="shared" si="3844"/>
        <v>0</v>
      </c>
      <c r="AT1148" s="77">
        <f t="shared" si="3845"/>
        <v>0</v>
      </c>
      <c r="AU1148" s="77">
        <f t="shared" si="3846"/>
        <v>2.5000000000000001E-3</v>
      </c>
      <c r="AV1148" s="77">
        <f t="shared" si="3847"/>
        <v>2.0809499864316017E-4</v>
      </c>
    </row>
    <row r="1149" spans="1:48">
      <c r="A1149" t="s">
        <v>175</v>
      </c>
      <c r="B1149" t="s">
        <v>180</v>
      </c>
      <c r="C1149" s="197" t="str">
        <f t="shared" si="3868"/>
        <v>Lifecycle_Opportunity_480</v>
      </c>
      <c r="D1149">
        <v>480</v>
      </c>
      <c r="E1149">
        <f>VLOOKUP($D1149,'[2]LC Opportunity'!$Q$2:$U$542,2,FALSE)</f>
        <v>0</v>
      </c>
      <c r="F1149">
        <f>VLOOKUP($D1149,'[2]LC Opportunity'!$Q$2:$U$542,3,FALSE)</f>
        <v>0</v>
      </c>
      <c r="G1149">
        <f>VLOOKUP($D1149,'[2]LC Opportunity'!$Q$2:$U$542,4,FALSE)</f>
        <v>0</v>
      </c>
      <c r="H1149">
        <f>VLOOKUP($D1149,'[2]LC Opportunity'!$Q$2:$U$542,5,FALSE)</f>
        <v>0.99999999999999989</v>
      </c>
      <c r="I1149" s="77">
        <f t="shared" si="3823"/>
        <v>0.99999999999999989</v>
      </c>
      <c r="J1149" s="77">
        <f t="shared" si="3824"/>
        <v>7.1999999999999981E-2</v>
      </c>
      <c r="K1149" s="77">
        <f t="shared" si="3876"/>
        <v>5.8106552987937654E-3</v>
      </c>
      <c r="L1149" s="76">
        <v>0</v>
      </c>
      <c r="M1149" s="77">
        <f t="shared" si="3835"/>
        <v>0</v>
      </c>
      <c r="N1149" s="77">
        <f t="shared" si="3836"/>
        <v>0</v>
      </c>
      <c r="O1149" s="77">
        <f t="shared" si="3837"/>
        <v>4.9999999999999992E-3</v>
      </c>
      <c r="P1149" s="77">
        <f t="shared" si="3838"/>
        <v>4.1762458919303302E-4</v>
      </c>
      <c r="R1149" t="s">
        <v>177</v>
      </c>
      <c r="S1149" t="s">
        <v>180</v>
      </c>
      <c r="T1149" s="197" t="str">
        <f t="shared" si="3870"/>
        <v>Autopilot_Opportunity_480</v>
      </c>
      <c r="U1149">
        <v>480</v>
      </c>
      <c r="V1149">
        <f>VLOOKUP($U1149,'[2]AP Opportunity'!$Q$1:$T$542,2,FALSE)</f>
        <v>0.99999997777777772</v>
      </c>
      <c r="W1149">
        <f>VLOOKUP($U1149,'[2]AP Opportunity'!$Q$1:$T$542,3,FALSE)</f>
        <v>2.2222222284540294E-8</v>
      </c>
      <c r="X1149">
        <f>VLOOKUP($U1149,'[2]AP Opportunity'!$Q$1:$T$542,4,FALSE)</f>
        <v>0</v>
      </c>
      <c r="Y1149" s="77">
        <f t="shared" si="3871"/>
        <v>1</v>
      </c>
      <c r="Z1149" s="77">
        <f t="shared" si="3877"/>
        <v>6.4624999704999977E-2</v>
      </c>
      <c r="AA1149" s="77">
        <f t="shared" si="3878"/>
        <v>5.2321923767311151E-3</v>
      </c>
      <c r="AB1149" s="79">
        <v>1</v>
      </c>
      <c r="AC1149" s="77">
        <f t="shared" si="3839"/>
        <v>8.499999955555556E-3</v>
      </c>
      <c r="AD1149" s="77">
        <f t="shared" ref="AD1149" si="3973">1-(1-AC1149)^(1/12)</f>
        <v>7.1110795759765644E-4</v>
      </c>
      <c r="AE1149" s="77">
        <f t="shared" si="3841"/>
        <v>2.5000000000000001E-3</v>
      </c>
      <c r="AF1149" s="77">
        <f t="shared" ref="AF1149" si="3974">1-(1-AE1149)^(1/12)</f>
        <v>2.0857243058891584E-4</v>
      </c>
      <c r="AH1149" t="s">
        <v>175</v>
      </c>
      <c r="AI1149" t="s">
        <v>180</v>
      </c>
      <c r="AJ1149" s="197" t="str">
        <f t="shared" si="3832"/>
        <v>Lifecycle_Opportunity_480</v>
      </c>
      <c r="AK1149">
        <v>480</v>
      </c>
      <c r="AL1149">
        <f>VLOOKUP($U1149,[2]Standard_Opportunity!$Q$1:$T$542,2,FALSE)</f>
        <v>0.99999997777777772</v>
      </c>
      <c r="AM1149">
        <f>VLOOKUP($U1149,[2]Standard_Opportunity!$Q$1:$T$542,3,FALSE)</f>
        <v>2.2222222284540294E-8</v>
      </c>
      <c r="AN1149">
        <f>VLOOKUP($U1149,[2]Standard_Opportunity!$Q$1:$T$542,4,FALSE)</f>
        <v>0</v>
      </c>
      <c r="AO1149" s="77">
        <f t="shared" si="3833"/>
        <v>1</v>
      </c>
      <c r="AP1149" s="77">
        <f t="shared" si="3843"/>
        <v>6.4624999704999977E-2</v>
      </c>
      <c r="AQ1149" s="77">
        <f t="shared" si="3834"/>
        <v>5.2321923767311151E-3</v>
      </c>
      <c r="AR1149" s="79">
        <v>0</v>
      </c>
      <c r="AS1149" s="77">
        <f t="shared" si="3844"/>
        <v>0</v>
      </c>
      <c r="AT1149" s="77">
        <f t="shared" si="3845"/>
        <v>0</v>
      </c>
      <c r="AU1149" s="77">
        <f t="shared" si="3846"/>
        <v>2.5000000000000001E-3</v>
      </c>
      <c r="AV1149" s="77">
        <f t="shared" si="3847"/>
        <v>2.0809499864316017E-4</v>
      </c>
    </row>
    <row r="1150" spans="1:48">
      <c r="A1150" t="s">
        <v>175</v>
      </c>
      <c r="B1150" t="s">
        <v>180</v>
      </c>
      <c r="C1150" s="197" t="str">
        <f t="shared" si="3868"/>
        <v>Lifecycle_Opportunity_479</v>
      </c>
      <c r="D1150">
        <v>479</v>
      </c>
      <c r="E1150">
        <f>VLOOKUP($D1150,'[2]LC Opportunity'!$Q$2:$U$542,2,FALSE)</f>
        <v>0</v>
      </c>
      <c r="F1150">
        <f>VLOOKUP($D1150,'[2]LC Opportunity'!$Q$2:$U$542,3,FALSE)</f>
        <v>0</v>
      </c>
      <c r="G1150">
        <f>VLOOKUP($D1150,'[2]LC Opportunity'!$Q$2:$U$542,4,FALSE)</f>
        <v>0</v>
      </c>
      <c r="H1150">
        <f>VLOOKUP($D1150,'[2]LC Opportunity'!$Q$2:$U$542,5,FALSE)</f>
        <v>0.99999999999999989</v>
      </c>
      <c r="I1150" s="77">
        <f t="shared" si="3823"/>
        <v>0.99999999999999989</v>
      </c>
      <c r="J1150" s="77">
        <f t="shared" si="3824"/>
        <v>7.1999999999999981E-2</v>
      </c>
      <c r="K1150" s="77">
        <f t="shared" si="3876"/>
        <v>5.8106552987937654E-3</v>
      </c>
      <c r="L1150" s="76">
        <v>0</v>
      </c>
      <c r="M1150" s="77">
        <f t="shared" si="3835"/>
        <v>0</v>
      </c>
      <c r="N1150" s="77">
        <f t="shared" si="3836"/>
        <v>0</v>
      </c>
      <c r="O1150" s="77">
        <f t="shared" si="3837"/>
        <v>4.9999999999999992E-3</v>
      </c>
      <c r="P1150" s="77">
        <f t="shared" si="3838"/>
        <v>4.1762458919303302E-4</v>
      </c>
      <c r="R1150" t="s">
        <v>177</v>
      </c>
      <c r="S1150" t="s">
        <v>180</v>
      </c>
      <c r="T1150" s="197" t="str">
        <f t="shared" si="3870"/>
        <v>Autopilot_Opportunity_479</v>
      </c>
      <c r="U1150">
        <v>479</v>
      </c>
      <c r="V1150">
        <f>VLOOKUP($U1150,'[2]AP Opportunity'!$Q$1:$T$542,2,FALSE)</f>
        <v>0.99999997777777772</v>
      </c>
      <c r="W1150">
        <f>VLOOKUP($U1150,'[2]AP Opportunity'!$Q$1:$T$542,3,FALSE)</f>
        <v>2.2222222284540294E-8</v>
      </c>
      <c r="X1150">
        <f>VLOOKUP($U1150,'[2]AP Opportunity'!$Q$1:$T$542,4,FALSE)</f>
        <v>0</v>
      </c>
      <c r="Y1150" s="77">
        <f t="shared" si="3871"/>
        <v>1</v>
      </c>
      <c r="Z1150" s="77">
        <f t="shared" si="3877"/>
        <v>6.4624999704999977E-2</v>
      </c>
      <c r="AA1150" s="77">
        <f t="shared" si="3878"/>
        <v>5.2321923767311151E-3</v>
      </c>
      <c r="AB1150" s="79">
        <v>1</v>
      </c>
      <c r="AC1150" s="77">
        <f t="shared" si="3839"/>
        <v>8.499999955555556E-3</v>
      </c>
      <c r="AD1150" s="77">
        <f t="shared" ref="AD1150" si="3975">1-(1-AC1150)^(1/12)</f>
        <v>7.1110795759765644E-4</v>
      </c>
      <c r="AE1150" s="77">
        <f t="shared" si="3841"/>
        <v>2.5000000000000001E-3</v>
      </c>
      <c r="AF1150" s="77">
        <f t="shared" ref="AF1150" si="3976">1-(1-AE1150)^(1/12)</f>
        <v>2.0857243058891584E-4</v>
      </c>
      <c r="AH1150" t="s">
        <v>175</v>
      </c>
      <c r="AI1150" t="s">
        <v>180</v>
      </c>
      <c r="AJ1150" s="197" t="str">
        <f t="shared" si="3832"/>
        <v>Lifecycle_Opportunity_479</v>
      </c>
      <c r="AK1150">
        <v>479</v>
      </c>
      <c r="AL1150">
        <f>VLOOKUP($U1150,[2]Standard_Opportunity!$Q$1:$T$542,2,FALSE)</f>
        <v>0.99999997777777772</v>
      </c>
      <c r="AM1150">
        <f>VLOOKUP($U1150,[2]Standard_Opportunity!$Q$1:$T$542,3,FALSE)</f>
        <v>2.2222222284540294E-8</v>
      </c>
      <c r="AN1150">
        <f>VLOOKUP($U1150,[2]Standard_Opportunity!$Q$1:$T$542,4,FALSE)</f>
        <v>0</v>
      </c>
      <c r="AO1150" s="77">
        <f t="shared" si="3833"/>
        <v>1</v>
      </c>
      <c r="AP1150" s="77">
        <f t="shared" si="3843"/>
        <v>6.4624999704999977E-2</v>
      </c>
      <c r="AQ1150" s="77">
        <f t="shared" si="3834"/>
        <v>5.2321923767311151E-3</v>
      </c>
      <c r="AR1150" s="79">
        <v>0</v>
      </c>
      <c r="AS1150" s="77">
        <f t="shared" si="3844"/>
        <v>0</v>
      </c>
      <c r="AT1150" s="77">
        <f t="shared" si="3845"/>
        <v>0</v>
      </c>
      <c r="AU1150" s="77">
        <f t="shared" si="3846"/>
        <v>2.5000000000000001E-3</v>
      </c>
      <c r="AV1150" s="77">
        <f t="shared" si="3847"/>
        <v>2.0809499864316017E-4</v>
      </c>
    </row>
    <row r="1151" spans="1:48">
      <c r="A1151" t="s">
        <v>175</v>
      </c>
      <c r="B1151" t="s">
        <v>180</v>
      </c>
      <c r="C1151" s="197" t="str">
        <f t="shared" si="3868"/>
        <v>Lifecycle_Opportunity_478</v>
      </c>
      <c r="D1151">
        <v>478</v>
      </c>
      <c r="E1151">
        <f>VLOOKUP($D1151,'[2]LC Opportunity'!$Q$2:$U$542,2,FALSE)</f>
        <v>0</v>
      </c>
      <c r="F1151">
        <f>VLOOKUP($D1151,'[2]LC Opportunity'!$Q$2:$U$542,3,FALSE)</f>
        <v>0</v>
      </c>
      <c r="G1151">
        <f>VLOOKUP($D1151,'[2]LC Opportunity'!$Q$2:$U$542,4,FALSE)</f>
        <v>0</v>
      </c>
      <c r="H1151">
        <f>VLOOKUP($D1151,'[2]LC Opportunity'!$Q$2:$U$542,5,FALSE)</f>
        <v>0.99999999999999989</v>
      </c>
      <c r="I1151" s="77">
        <f t="shared" si="3823"/>
        <v>0.99999999999999989</v>
      </c>
      <c r="J1151" s="77">
        <f t="shared" si="3824"/>
        <v>7.1999999999999981E-2</v>
      </c>
      <c r="K1151" s="77">
        <f t="shared" si="3876"/>
        <v>5.8106552987937654E-3</v>
      </c>
      <c r="L1151" s="76">
        <v>0</v>
      </c>
      <c r="M1151" s="77">
        <f t="shared" si="3835"/>
        <v>0</v>
      </c>
      <c r="N1151" s="77">
        <f t="shared" si="3836"/>
        <v>0</v>
      </c>
      <c r="O1151" s="77">
        <f t="shared" si="3837"/>
        <v>4.9999999999999992E-3</v>
      </c>
      <c r="P1151" s="77">
        <f t="shared" si="3838"/>
        <v>4.1762458919303302E-4</v>
      </c>
      <c r="R1151" t="s">
        <v>177</v>
      </c>
      <c r="S1151" t="s">
        <v>180</v>
      </c>
      <c r="T1151" s="197" t="str">
        <f t="shared" si="3870"/>
        <v>Autopilot_Opportunity_478</v>
      </c>
      <c r="U1151">
        <v>478</v>
      </c>
      <c r="V1151">
        <f>VLOOKUP($U1151,'[2]AP Opportunity'!$Q$1:$T$542,2,FALSE)</f>
        <v>0.99999997777777772</v>
      </c>
      <c r="W1151">
        <f>VLOOKUP($U1151,'[2]AP Opportunity'!$Q$1:$T$542,3,FALSE)</f>
        <v>2.2222222284540294E-8</v>
      </c>
      <c r="X1151">
        <f>VLOOKUP($U1151,'[2]AP Opportunity'!$Q$1:$T$542,4,FALSE)</f>
        <v>0</v>
      </c>
      <c r="Y1151" s="77">
        <f t="shared" si="3871"/>
        <v>1</v>
      </c>
      <c r="Z1151" s="77">
        <f t="shared" si="3877"/>
        <v>6.4624999704999977E-2</v>
      </c>
      <c r="AA1151" s="77">
        <f t="shared" si="3878"/>
        <v>5.2321923767311151E-3</v>
      </c>
      <c r="AB1151" s="79">
        <v>1</v>
      </c>
      <c r="AC1151" s="77">
        <f t="shared" si="3839"/>
        <v>8.499999955555556E-3</v>
      </c>
      <c r="AD1151" s="77">
        <f t="shared" ref="AD1151" si="3977">1-(1-AC1151)^(1/12)</f>
        <v>7.1110795759765644E-4</v>
      </c>
      <c r="AE1151" s="77">
        <f t="shared" si="3841"/>
        <v>2.5000000000000001E-3</v>
      </c>
      <c r="AF1151" s="77">
        <f t="shared" ref="AF1151" si="3978">1-(1-AE1151)^(1/12)</f>
        <v>2.0857243058891584E-4</v>
      </c>
      <c r="AH1151" t="s">
        <v>175</v>
      </c>
      <c r="AI1151" t="s">
        <v>180</v>
      </c>
      <c r="AJ1151" s="197" t="str">
        <f t="shared" si="3832"/>
        <v>Lifecycle_Opportunity_478</v>
      </c>
      <c r="AK1151">
        <v>478</v>
      </c>
      <c r="AL1151">
        <f>VLOOKUP($U1151,[2]Standard_Opportunity!$Q$1:$T$542,2,FALSE)</f>
        <v>0.99999997777777772</v>
      </c>
      <c r="AM1151">
        <f>VLOOKUP($U1151,[2]Standard_Opportunity!$Q$1:$T$542,3,FALSE)</f>
        <v>2.2222222284540294E-8</v>
      </c>
      <c r="AN1151">
        <f>VLOOKUP($U1151,[2]Standard_Opportunity!$Q$1:$T$542,4,FALSE)</f>
        <v>0</v>
      </c>
      <c r="AO1151" s="77">
        <f t="shared" si="3833"/>
        <v>1</v>
      </c>
      <c r="AP1151" s="77">
        <f t="shared" si="3843"/>
        <v>6.4624999704999977E-2</v>
      </c>
      <c r="AQ1151" s="77">
        <f t="shared" si="3834"/>
        <v>5.2321923767311151E-3</v>
      </c>
      <c r="AR1151" s="79">
        <v>0</v>
      </c>
      <c r="AS1151" s="77">
        <f t="shared" si="3844"/>
        <v>0</v>
      </c>
      <c r="AT1151" s="77">
        <f t="shared" si="3845"/>
        <v>0</v>
      </c>
      <c r="AU1151" s="77">
        <f t="shared" si="3846"/>
        <v>2.5000000000000001E-3</v>
      </c>
      <c r="AV1151" s="77">
        <f t="shared" si="3847"/>
        <v>2.0809499864316017E-4</v>
      </c>
    </row>
    <row r="1152" spans="1:48">
      <c r="A1152" t="s">
        <v>175</v>
      </c>
      <c r="B1152" t="s">
        <v>180</v>
      </c>
      <c r="C1152" s="197" t="str">
        <f t="shared" si="3868"/>
        <v>Lifecycle_Opportunity_477</v>
      </c>
      <c r="D1152">
        <v>477</v>
      </c>
      <c r="E1152">
        <f>VLOOKUP($D1152,'[2]LC Opportunity'!$Q$2:$U$542,2,FALSE)</f>
        <v>0</v>
      </c>
      <c r="F1152">
        <f>VLOOKUP($D1152,'[2]LC Opportunity'!$Q$2:$U$542,3,FALSE)</f>
        <v>0</v>
      </c>
      <c r="G1152">
        <f>VLOOKUP($D1152,'[2]LC Opportunity'!$Q$2:$U$542,4,FALSE)</f>
        <v>0</v>
      </c>
      <c r="H1152">
        <f>VLOOKUP($D1152,'[2]LC Opportunity'!$Q$2:$U$542,5,FALSE)</f>
        <v>0.99999999999999989</v>
      </c>
      <c r="I1152" s="77">
        <f t="shared" si="3823"/>
        <v>0.99999999999999989</v>
      </c>
      <c r="J1152" s="77">
        <f t="shared" si="3824"/>
        <v>7.1999999999999981E-2</v>
      </c>
      <c r="K1152" s="77">
        <f t="shared" si="3876"/>
        <v>5.8106552987937654E-3</v>
      </c>
      <c r="L1152" s="76">
        <v>0</v>
      </c>
      <c r="M1152" s="77">
        <f t="shared" si="3835"/>
        <v>0</v>
      </c>
      <c r="N1152" s="77">
        <f t="shared" si="3836"/>
        <v>0</v>
      </c>
      <c r="O1152" s="77">
        <f t="shared" si="3837"/>
        <v>4.9999999999999992E-3</v>
      </c>
      <c r="P1152" s="77">
        <f t="shared" si="3838"/>
        <v>4.1762458919303302E-4</v>
      </c>
      <c r="R1152" t="s">
        <v>177</v>
      </c>
      <c r="S1152" t="s">
        <v>180</v>
      </c>
      <c r="T1152" s="197" t="str">
        <f t="shared" si="3870"/>
        <v>Autopilot_Opportunity_477</v>
      </c>
      <c r="U1152">
        <v>477</v>
      </c>
      <c r="V1152">
        <f>VLOOKUP($U1152,'[2]AP Opportunity'!$Q$1:$T$542,2,FALSE)</f>
        <v>0.99999997777777772</v>
      </c>
      <c r="W1152">
        <f>VLOOKUP($U1152,'[2]AP Opportunity'!$Q$1:$T$542,3,FALSE)</f>
        <v>2.2222222284540294E-8</v>
      </c>
      <c r="X1152">
        <f>VLOOKUP($U1152,'[2]AP Opportunity'!$Q$1:$T$542,4,FALSE)</f>
        <v>0</v>
      </c>
      <c r="Y1152" s="77">
        <f t="shared" si="3871"/>
        <v>1</v>
      </c>
      <c r="Z1152" s="77">
        <f t="shared" si="3877"/>
        <v>6.4624999704999977E-2</v>
      </c>
      <c r="AA1152" s="77">
        <f t="shared" si="3878"/>
        <v>5.2321923767311151E-3</v>
      </c>
      <c r="AB1152" s="79">
        <v>1</v>
      </c>
      <c r="AC1152" s="77">
        <f t="shared" si="3839"/>
        <v>8.499999955555556E-3</v>
      </c>
      <c r="AD1152" s="77">
        <f t="shared" ref="AD1152" si="3979">1-(1-AC1152)^(1/12)</f>
        <v>7.1110795759765644E-4</v>
      </c>
      <c r="AE1152" s="77">
        <f t="shared" si="3841"/>
        <v>2.5000000000000001E-3</v>
      </c>
      <c r="AF1152" s="77">
        <f t="shared" ref="AF1152" si="3980">1-(1-AE1152)^(1/12)</f>
        <v>2.0857243058891584E-4</v>
      </c>
      <c r="AH1152" t="s">
        <v>175</v>
      </c>
      <c r="AI1152" t="s">
        <v>180</v>
      </c>
      <c r="AJ1152" s="197" t="str">
        <f t="shared" si="3832"/>
        <v>Lifecycle_Opportunity_477</v>
      </c>
      <c r="AK1152">
        <v>477</v>
      </c>
      <c r="AL1152">
        <f>VLOOKUP($U1152,[2]Standard_Opportunity!$Q$1:$T$542,2,FALSE)</f>
        <v>0.99999997777777772</v>
      </c>
      <c r="AM1152">
        <f>VLOOKUP($U1152,[2]Standard_Opportunity!$Q$1:$T$542,3,FALSE)</f>
        <v>2.2222222284540294E-8</v>
      </c>
      <c r="AN1152">
        <f>VLOOKUP($U1152,[2]Standard_Opportunity!$Q$1:$T$542,4,FALSE)</f>
        <v>0</v>
      </c>
      <c r="AO1152" s="77">
        <f t="shared" si="3833"/>
        <v>1</v>
      </c>
      <c r="AP1152" s="77">
        <f t="shared" si="3843"/>
        <v>6.4624999704999977E-2</v>
      </c>
      <c r="AQ1152" s="77">
        <f t="shared" si="3834"/>
        <v>5.2321923767311151E-3</v>
      </c>
      <c r="AR1152" s="79">
        <v>0</v>
      </c>
      <c r="AS1152" s="77">
        <f t="shared" si="3844"/>
        <v>0</v>
      </c>
      <c r="AT1152" s="77">
        <f t="shared" si="3845"/>
        <v>0</v>
      </c>
      <c r="AU1152" s="77">
        <f t="shared" si="3846"/>
        <v>2.5000000000000001E-3</v>
      </c>
      <c r="AV1152" s="77">
        <f t="shared" si="3847"/>
        <v>2.0809499864316017E-4</v>
      </c>
    </row>
    <row r="1153" spans="1:48">
      <c r="A1153" t="s">
        <v>175</v>
      </c>
      <c r="B1153" t="s">
        <v>180</v>
      </c>
      <c r="C1153" s="197" t="str">
        <f t="shared" si="3868"/>
        <v>Lifecycle_Opportunity_476</v>
      </c>
      <c r="D1153">
        <v>476</v>
      </c>
      <c r="E1153">
        <f>VLOOKUP($D1153,'[2]LC Opportunity'!$Q$2:$U$542,2,FALSE)</f>
        <v>0</v>
      </c>
      <c r="F1153">
        <f>VLOOKUP($D1153,'[2]LC Opportunity'!$Q$2:$U$542,3,FALSE)</f>
        <v>0</v>
      </c>
      <c r="G1153">
        <f>VLOOKUP($D1153,'[2]LC Opportunity'!$Q$2:$U$542,4,FALSE)</f>
        <v>0</v>
      </c>
      <c r="H1153">
        <f>VLOOKUP($D1153,'[2]LC Opportunity'!$Q$2:$U$542,5,FALSE)</f>
        <v>0.99999999999999989</v>
      </c>
      <c r="I1153" s="77">
        <f t="shared" ref="I1153:I1216" si="3981">SUM(E1153:H1153)</f>
        <v>0.99999999999999989</v>
      </c>
      <c r="J1153" s="77">
        <f t="shared" ref="J1153:J1216" si="3982">SUMPRODUCT($E$1:$H$1,E1153:H1153)</f>
        <v>7.1999999999999981E-2</v>
      </c>
      <c r="K1153" s="77">
        <f t="shared" si="3876"/>
        <v>5.8106552987937654E-3</v>
      </c>
      <c r="L1153" s="76">
        <v>0</v>
      </c>
      <c r="M1153" s="77">
        <f t="shared" si="3835"/>
        <v>0</v>
      </c>
      <c r="N1153" s="77">
        <f t="shared" si="3836"/>
        <v>0</v>
      </c>
      <c r="O1153" s="77">
        <f t="shared" si="3837"/>
        <v>4.9999999999999992E-3</v>
      </c>
      <c r="P1153" s="77">
        <f t="shared" si="3838"/>
        <v>4.1762458919303302E-4</v>
      </c>
      <c r="R1153" t="s">
        <v>177</v>
      </c>
      <c r="S1153" t="s">
        <v>180</v>
      </c>
      <c r="T1153" s="197" t="str">
        <f t="shared" si="3870"/>
        <v>Autopilot_Opportunity_476</v>
      </c>
      <c r="U1153">
        <v>476</v>
      </c>
      <c r="V1153">
        <f>VLOOKUP($U1153,'[2]AP Opportunity'!$Q$1:$T$542,2,FALSE)</f>
        <v>0.99999997777777772</v>
      </c>
      <c r="W1153">
        <f>VLOOKUP($U1153,'[2]AP Opportunity'!$Q$1:$T$542,3,FALSE)</f>
        <v>2.2222222284540294E-8</v>
      </c>
      <c r="X1153">
        <f>VLOOKUP($U1153,'[2]AP Opportunity'!$Q$1:$T$542,4,FALSE)</f>
        <v>0</v>
      </c>
      <c r="Y1153" s="77">
        <f t="shared" si="3871"/>
        <v>1</v>
      </c>
      <c r="Z1153" s="77">
        <f t="shared" si="3877"/>
        <v>6.4624999704999977E-2</v>
      </c>
      <c r="AA1153" s="77">
        <f t="shared" si="3878"/>
        <v>5.2321923767311151E-3</v>
      </c>
      <c r="AB1153" s="79">
        <v>1</v>
      </c>
      <c r="AC1153" s="77">
        <f t="shared" si="3839"/>
        <v>8.499999955555556E-3</v>
      </c>
      <c r="AD1153" s="77">
        <f t="shared" ref="AD1153" si="3983">1-(1-AC1153)^(1/12)</f>
        <v>7.1110795759765644E-4</v>
      </c>
      <c r="AE1153" s="77">
        <f t="shared" si="3841"/>
        <v>2.5000000000000001E-3</v>
      </c>
      <c r="AF1153" s="77">
        <f t="shared" ref="AF1153" si="3984">1-(1-AE1153)^(1/12)</f>
        <v>2.0857243058891584E-4</v>
      </c>
      <c r="AH1153" t="s">
        <v>175</v>
      </c>
      <c r="AI1153" t="s">
        <v>180</v>
      </c>
      <c r="AJ1153" s="197" t="str">
        <f t="shared" ref="AJ1153:AJ1216" si="3985">AH1153&amp;"_"&amp;AI1153&amp;"_"&amp;AK1153</f>
        <v>Lifecycle_Opportunity_476</v>
      </c>
      <c r="AK1153">
        <v>476</v>
      </c>
      <c r="AL1153">
        <f>VLOOKUP($U1153,[2]Standard_Opportunity!$Q$1:$T$542,2,FALSE)</f>
        <v>0.99999997777777772</v>
      </c>
      <c r="AM1153">
        <f>VLOOKUP($U1153,[2]Standard_Opportunity!$Q$1:$T$542,3,FALSE)</f>
        <v>2.2222222284540294E-8</v>
      </c>
      <c r="AN1153">
        <f>VLOOKUP($U1153,[2]Standard_Opportunity!$Q$1:$T$542,4,FALSE)</f>
        <v>0</v>
      </c>
      <c r="AO1153" s="77">
        <f t="shared" ref="AO1153:AO1216" si="3986">SUM(AL1153:AN1153)</f>
        <v>1</v>
      </c>
      <c r="AP1153" s="77">
        <f t="shared" si="3843"/>
        <v>6.4624999704999977E-2</v>
      </c>
      <c r="AQ1153" s="77">
        <f t="shared" ref="AQ1153:AQ1216" si="3987">(1+AP1153)^(1/12)-1</f>
        <v>5.2321923767311151E-3</v>
      </c>
      <c r="AR1153" s="79">
        <v>0</v>
      </c>
      <c r="AS1153" s="77">
        <f t="shared" si="3844"/>
        <v>0</v>
      </c>
      <c r="AT1153" s="77">
        <f t="shared" si="3845"/>
        <v>0</v>
      </c>
      <c r="AU1153" s="77">
        <f t="shared" si="3846"/>
        <v>2.5000000000000001E-3</v>
      </c>
      <c r="AV1153" s="77">
        <f t="shared" si="3847"/>
        <v>2.0809499864316017E-4</v>
      </c>
    </row>
    <row r="1154" spans="1:48">
      <c r="A1154" t="s">
        <v>175</v>
      </c>
      <c r="B1154" t="s">
        <v>180</v>
      </c>
      <c r="C1154" s="197" t="str">
        <f t="shared" si="3868"/>
        <v>Lifecycle_Opportunity_475</v>
      </c>
      <c r="D1154">
        <v>475</v>
      </c>
      <c r="E1154">
        <f>VLOOKUP($D1154,'[2]LC Opportunity'!$Q$2:$U$542,2,FALSE)</f>
        <v>0</v>
      </c>
      <c r="F1154">
        <f>VLOOKUP($D1154,'[2]LC Opportunity'!$Q$2:$U$542,3,FALSE)</f>
        <v>0</v>
      </c>
      <c r="G1154">
        <f>VLOOKUP($D1154,'[2]LC Opportunity'!$Q$2:$U$542,4,FALSE)</f>
        <v>0</v>
      </c>
      <c r="H1154">
        <f>VLOOKUP($D1154,'[2]LC Opportunity'!$Q$2:$U$542,5,FALSE)</f>
        <v>0.99999999999999989</v>
      </c>
      <c r="I1154" s="77">
        <f t="shared" si="3981"/>
        <v>0.99999999999999989</v>
      </c>
      <c r="J1154" s="77">
        <f t="shared" si="3982"/>
        <v>7.1999999999999981E-2</v>
      </c>
      <c r="K1154" s="77">
        <f t="shared" si="3876"/>
        <v>5.8106552987937654E-3</v>
      </c>
      <c r="L1154" s="76">
        <v>0</v>
      </c>
      <c r="M1154" s="77">
        <f t="shared" ref="M1154:M1217" si="3988">IF($L1154=0,0,SUMPRODUCT($E$3:$H$3,E1154:H1154))</f>
        <v>0</v>
      </c>
      <c r="N1154" s="77">
        <f t="shared" ref="N1154:N1217" si="3989">1-(1-M1154)^(1/12)</f>
        <v>0</v>
      </c>
      <c r="O1154" s="77">
        <f t="shared" ref="O1154:O1217" si="3990">SUMPRODUCT($E$2:$H$2,E1154:H1154)</f>
        <v>4.9999999999999992E-3</v>
      </c>
      <c r="P1154" s="77">
        <f t="shared" ref="P1154:P1217" si="3991">1-(1-O1154)^(1/12)</f>
        <v>4.1762458919303302E-4</v>
      </c>
      <c r="R1154" t="s">
        <v>177</v>
      </c>
      <c r="S1154" t="s">
        <v>180</v>
      </c>
      <c r="T1154" s="197" t="str">
        <f t="shared" si="3870"/>
        <v>Autopilot_Opportunity_475</v>
      </c>
      <c r="U1154">
        <v>475</v>
      </c>
      <c r="V1154">
        <f>VLOOKUP($U1154,'[2]AP Opportunity'!$Q$1:$T$542,2,FALSE)</f>
        <v>0.99999997777777772</v>
      </c>
      <c r="W1154">
        <f>VLOOKUP($U1154,'[2]AP Opportunity'!$Q$1:$T$542,3,FALSE)</f>
        <v>2.2222222284540294E-8</v>
      </c>
      <c r="X1154">
        <f>VLOOKUP($U1154,'[2]AP Opportunity'!$Q$1:$T$542,4,FALSE)</f>
        <v>0</v>
      </c>
      <c r="Y1154" s="77">
        <f t="shared" si="3871"/>
        <v>1</v>
      </c>
      <c r="Z1154" s="77">
        <f t="shared" si="3877"/>
        <v>6.4624999704999977E-2</v>
      </c>
      <c r="AA1154" s="77">
        <f t="shared" si="3878"/>
        <v>5.2321923767311151E-3</v>
      </c>
      <c r="AB1154" s="79">
        <v>1</v>
      </c>
      <c r="AC1154" s="77">
        <f t="shared" ref="AC1154:AC1217" si="3992">IF($AB1154=0,0,SUMPRODUCT($V$3:$X$3,V1154:X1154))</f>
        <v>8.499999955555556E-3</v>
      </c>
      <c r="AD1154" s="77">
        <f t="shared" ref="AD1154" si="3993">1-(1-AC1154)^(1/12)</f>
        <v>7.1110795759765644E-4</v>
      </c>
      <c r="AE1154" s="77">
        <f t="shared" ref="AE1154:AE1217" si="3994">SUMPRODUCT($V$2:$X$2,V1154:X1154)</f>
        <v>2.5000000000000001E-3</v>
      </c>
      <c r="AF1154" s="77">
        <f t="shared" ref="AF1154" si="3995">1-(1-AE1154)^(1/12)</f>
        <v>2.0857243058891584E-4</v>
      </c>
      <c r="AH1154" t="s">
        <v>175</v>
      </c>
      <c r="AI1154" t="s">
        <v>180</v>
      </c>
      <c r="AJ1154" s="197" t="str">
        <f t="shared" si="3985"/>
        <v>Lifecycle_Opportunity_475</v>
      </c>
      <c r="AK1154">
        <v>475</v>
      </c>
      <c r="AL1154">
        <f>VLOOKUP($U1154,[2]Standard_Opportunity!$Q$1:$T$542,2,FALSE)</f>
        <v>0.99999997777777772</v>
      </c>
      <c r="AM1154">
        <f>VLOOKUP($U1154,[2]Standard_Opportunity!$Q$1:$T$542,3,FALSE)</f>
        <v>2.2222222284540294E-8</v>
      </c>
      <c r="AN1154">
        <f>VLOOKUP($U1154,[2]Standard_Opportunity!$Q$1:$T$542,4,FALSE)</f>
        <v>0</v>
      </c>
      <c r="AO1154" s="77">
        <f t="shared" si="3986"/>
        <v>1</v>
      </c>
      <c r="AP1154" s="77">
        <f t="shared" ref="AP1154:AP1217" si="3996">SUMPRODUCT($AL$1:$AN$1,AL1154:AN1154)</f>
        <v>6.4624999704999977E-2</v>
      </c>
      <c r="AQ1154" s="77">
        <f t="shared" si="3987"/>
        <v>5.2321923767311151E-3</v>
      </c>
      <c r="AR1154" s="79">
        <v>0</v>
      </c>
      <c r="AS1154" s="77">
        <f t="shared" ref="AS1154:AS1217" si="3997">IF(AR1154=0,0,SUMPRODUCT($AL$3:$AN$3,AL1154:AN1154))</f>
        <v>0</v>
      </c>
      <c r="AT1154" s="77">
        <f t="shared" ref="AT1154:AT1217" si="3998">(1+AS1154)^(1/12)-1</f>
        <v>0</v>
      </c>
      <c r="AU1154" s="77">
        <f t="shared" ref="AU1154:AU1217" si="3999">SUMPRODUCT($AL$2:$AN$2,AL1154:AN1154)</f>
        <v>2.5000000000000001E-3</v>
      </c>
      <c r="AV1154" s="77">
        <f t="shared" ref="AV1154:AV1217" si="4000">(1+AU1154)^(1/12)-1</f>
        <v>2.0809499864316017E-4</v>
      </c>
    </row>
    <row r="1155" spans="1:48">
      <c r="A1155" t="s">
        <v>175</v>
      </c>
      <c r="B1155" t="s">
        <v>180</v>
      </c>
      <c r="C1155" s="197" t="str">
        <f t="shared" si="3868"/>
        <v>Lifecycle_Opportunity_474</v>
      </c>
      <c r="D1155">
        <v>474</v>
      </c>
      <c r="E1155">
        <f>VLOOKUP($D1155,'[2]LC Opportunity'!$Q$2:$U$542,2,FALSE)</f>
        <v>0</v>
      </c>
      <c r="F1155">
        <f>VLOOKUP($D1155,'[2]LC Opportunity'!$Q$2:$U$542,3,FALSE)</f>
        <v>0</v>
      </c>
      <c r="G1155">
        <f>VLOOKUP($D1155,'[2]LC Opportunity'!$Q$2:$U$542,4,FALSE)</f>
        <v>0</v>
      </c>
      <c r="H1155">
        <f>VLOOKUP($D1155,'[2]LC Opportunity'!$Q$2:$U$542,5,FALSE)</f>
        <v>0.99999999999999989</v>
      </c>
      <c r="I1155" s="77">
        <f t="shared" si="3981"/>
        <v>0.99999999999999989</v>
      </c>
      <c r="J1155" s="77">
        <f t="shared" si="3982"/>
        <v>7.1999999999999981E-2</v>
      </c>
      <c r="K1155" s="77">
        <f t="shared" si="3876"/>
        <v>5.8106552987937654E-3</v>
      </c>
      <c r="L1155" s="76">
        <v>0</v>
      </c>
      <c r="M1155" s="77">
        <f t="shared" si="3988"/>
        <v>0</v>
      </c>
      <c r="N1155" s="77">
        <f t="shared" si="3989"/>
        <v>0</v>
      </c>
      <c r="O1155" s="77">
        <f t="shared" si="3990"/>
        <v>4.9999999999999992E-3</v>
      </c>
      <c r="P1155" s="77">
        <f t="shared" si="3991"/>
        <v>4.1762458919303302E-4</v>
      </c>
      <c r="R1155" t="s">
        <v>177</v>
      </c>
      <c r="S1155" t="s">
        <v>180</v>
      </c>
      <c r="T1155" s="197" t="str">
        <f t="shared" si="3870"/>
        <v>Autopilot_Opportunity_474</v>
      </c>
      <c r="U1155">
        <v>474</v>
      </c>
      <c r="V1155">
        <f>VLOOKUP($U1155,'[2]AP Opportunity'!$Q$1:$T$542,2,FALSE)</f>
        <v>0.99999997777777772</v>
      </c>
      <c r="W1155">
        <f>VLOOKUP($U1155,'[2]AP Opportunity'!$Q$1:$T$542,3,FALSE)</f>
        <v>2.2222222284540294E-8</v>
      </c>
      <c r="X1155">
        <f>VLOOKUP($U1155,'[2]AP Opportunity'!$Q$1:$T$542,4,FALSE)</f>
        <v>0</v>
      </c>
      <c r="Y1155" s="77">
        <f t="shared" si="3871"/>
        <v>1</v>
      </c>
      <c r="Z1155" s="77">
        <f t="shared" si="3877"/>
        <v>6.4624999704999977E-2</v>
      </c>
      <c r="AA1155" s="77">
        <f t="shared" si="3878"/>
        <v>5.2321923767311151E-3</v>
      </c>
      <c r="AB1155" s="79">
        <v>1</v>
      </c>
      <c r="AC1155" s="77">
        <f t="shared" si="3992"/>
        <v>8.499999955555556E-3</v>
      </c>
      <c r="AD1155" s="77">
        <f t="shared" ref="AD1155" si="4001">1-(1-AC1155)^(1/12)</f>
        <v>7.1110795759765644E-4</v>
      </c>
      <c r="AE1155" s="77">
        <f t="shared" si="3994"/>
        <v>2.5000000000000001E-3</v>
      </c>
      <c r="AF1155" s="77">
        <f t="shared" ref="AF1155" si="4002">1-(1-AE1155)^(1/12)</f>
        <v>2.0857243058891584E-4</v>
      </c>
      <c r="AH1155" t="s">
        <v>175</v>
      </c>
      <c r="AI1155" t="s">
        <v>180</v>
      </c>
      <c r="AJ1155" s="197" t="str">
        <f t="shared" si="3985"/>
        <v>Lifecycle_Opportunity_474</v>
      </c>
      <c r="AK1155">
        <v>474</v>
      </c>
      <c r="AL1155">
        <f>VLOOKUP($U1155,[2]Standard_Opportunity!$Q$1:$T$542,2,FALSE)</f>
        <v>0.99999997777777772</v>
      </c>
      <c r="AM1155">
        <f>VLOOKUP($U1155,[2]Standard_Opportunity!$Q$1:$T$542,3,FALSE)</f>
        <v>2.2222222284540294E-8</v>
      </c>
      <c r="AN1155">
        <f>VLOOKUP($U1155,[2]Standard_Opportunity!$Q$1:$T$542,4,FALSE)</f>
        <v>0</v>
      </c>
      <c r="AO1155" s="77">
        <f t="shared" si="3986"/>
        <v>1</v>
      </c>
      <c r="AP1155" s="77">
        <f t="shared" si="3996"/>
        <v>6.4624999704999977E-2</v>
      </c>
      <c r="AQ1155" s="77">
        <f t="shared" si="3987"/>
        <v>5.2321923767311151E-3</v>
      </c>
      <c r="AR1155" s="79">
        <v>0</v>
      </c>
      <c r="AS1155" s="77">
        <f t="shared" si="3997"/>
        <v>0</v>
      </c>
      <c r="AT1155" s="77">
        <f t="shared" si="3998"/>
        <v>0</v>
      </c>
      <c r="AU1155" s="77">
        <f t="shared" si="3999"/>
        <v>2.5000000000000001E-3</v>
      </c>
      <c r="AV1155" s="77">
        <f t="shared" si="4000"/>
        <v>2.0809499864316017E-4</v>
      </c>
    </row>
    <row r="1156" spans="1:48">
      <c r="A1156" t="s">
        <v>175</v>
      </c>
      <c r="B1156" t="s">
        <v>180</v>
      </c>
      <c r="C1156" s="197" t="str">
        <f t="shared" si="3868"/>
        <v>Lifecycle_Opportunity_473</v>
      </c>
      <c r="D1156">
        <v>473</v>
      </c>
      <c r="E1156">
        <f>VLOOKUP($D1156,'[2]LC Opportunity'!$Q$2:$U$542,2,FALSE)</f>
        <v>0</v>
      </c>
      <c r="F1156">
        <f>VLOOKUP($D1156,'[2]LC Opportunity'!$Q$2:$U$542,3,FALSE)</f>
        <v>0</v>
      </c>
      <c r="G1156">
        <f>VLOOKUP($D1156,'[2]LC Opportunity'!$Q$2:$U$542,4,FALSE)</f>
        <v>0</v>
      </c>
      <c r="H1156">
        <f>VLOOKUP($D1156,'[2]LC Opportunity'!$Q$2:$U$542,5,FALSE)</f>
        <v>0.99999999999999989</v>
      </c>
      <c r="I1156" s="77">
        <f t="shared" si="3981"/>
        <v>0.99999999999999989</v>
      </c>
      <c r="J1156" s="77">
        <f t="shared" si="3982"/>
        <v>7.1999999999999981E-2</v>
      </c>
      <c r="K1156" s="77">
        <f t="shared" si="3876"/>
        <v>5.8106552987937654E-3</v>
      </c>
      <c r="L1156" s="76">
        <v>0</v>
      </c>
      <c r="M1156" s="77">
        <f t="shared" si="3988"/>
        <v>0</v>
      </c>
      <c r="N1156" s="77">
        <f t="shared" si="3989"/>
        <v>0</v>
      </c>
      <c r="O1156" s="77">
        <f t="shared" si="3990"/>
        <v>4.9999999999999992E-3</v>
      </c>
      <c r="P1156" s="77">
        <f t="shared" si="3991"/>
        <v>4.1762458919303302E-4</v>
      </c>
      <c r="R1156" t="s">
        <v>177</v>
      </c>
      <c r="S1156" t="s">
        <v>180</v>
      </c>
      <c r="T1156" s="197" t="str">
        <f t="shared" si="3870"/>
        <v>Autopilot_Opportunity_473</v>
      </c>
      <c r="U1156">
        <v>473</v>
      </c>
      <c r="V1156">
        <f>VLOOKUP($U1156,'[2]AP Opportunity'!$Q$1:$T$542,2,FALSE)</f>
        <v>0.99999997777777772</v>
      </c>
      <c r="W1156">
        <f>VLOOKUP($U1156,'[2]AP Opportunity'!$Q$1:$T$542,3,FALSE)</f>
        <v>2.2222222284540294E-8</v>
      </c>
      <c r="X1156">
        <f>VLOOKUP($U1156,'[2]AP Opportunity'!$Q$1:$T$542,4,FALSE)</f>
        <v>0</v>
      </c>
      <c r="Y1156" s="77">
        <f t="shared" si="3871"/>
        <v>1</v>
      </c>
      <c r="Z1156" s="77">
        <f t="shared" si="3877"/>
        <v>6.4624999704999977E-2</v>
      </c>
      <c r="AA1156" s="77">
        <f t="shared" si="3878"/>
        <v>5.2321923767311151E-3</v>
      </c>
      <c r="AB1156" s="79">
        <v>1</v>
      </c>
      <c r="AC1156" s="77">
        <f t="shared" si="3992"/>
        <v>8.499999955555556E-3</v>
      </c>
      <c r="AD1156" s="77">
        <f t="shared" ref="AD1156" si="4003">1-(1-AC1156)^(1/12)</f>
        <v>7.1110795759765644E-4</v>
      </c>
      <c r="AE1156" s="77">
        <f t="shared" si="3994"/>
        <v>2.5000000000000001E-3</v>
      </c>
      <c r="AF1156" s="77">
        <f t="shared" ref="AF1156" si="4004">1-(1-AE1156)^(1/12)</f>
        <v>2.0857243058891584E-4</v>
      </c>
      <c r="AH1156" t="s">
        <v>175</v>
      </c>
      <c r="AI1156" t="s">
        <v>180</v>
      </c>
      <c r="AJ1156" s="197" t="str">
        <f t="shared" si="3985"/>
        <v>Lifecycle_Opportunity_473</v>
      </c>
      <c r="AK1156">
        <v>473</v>
      </c>
      <c r="AL1156">
        <f>VLOOKUP($U1156,[2]Standard_Opportunity!$Q$1:$T$542,2,FALSE)</f>
        <v>0.99999997777777772</v>
      </c>
      <c r="AM1156">
        <f>VLOOKUP($U1156,[2]Standard_Opportunity!$Q$1:$T$542,3,FALSE)</f>
        <v>2.2222222284540294E-8</v>
      </c>
      <c r="AN1156">
        <f>VLOOKUP($U1156,[2]Standard_Opportunity!$Q$1:$T$542,4,FALSE)</f>
        <v>0</v>
      </c>
      <c r="AO1156" s="77">
        <f t="shared" si="3986"/>
        <v>1</v>
      </c>
      <c r="AP1156" s="77">
        <f t="shared" si="3996"/>
        <v>6.4624999704999977E-2</v>
      </c>
      <c r="AQ1156" s="77">
        <f t="shared" si="3987"/>
        <v>5.2321923767311151E-3</v>
      </c>
      <c r="AR1156" s="79">
        <v>0</v>
      </c>
      <c r="AS1156" s="77">
        <f t="shared" si="3997"/>
        <v>0</v>
      </c>
      <c r="AT1156" s="77">
        <f t="shared" si="3998"/>
        <v>0</v>
      </c>
      <c r="AU1156" s="77">
        <f t="shared" si="3999"/>
        <v>2.5000000000000001E-3</v>
      </c>
      <c r="AV1156" s="77">
        <f t="shared" si="4000"/>
        <v>2.0809499864316017E-4</v>
      </c>
    </row>
    <row r="1157" spans="1:48">
      <c r="A1157" t="s">
        <v>175</v>
      </c>
      <c r="B1157" t="s">
        <v>180</v>
      </c>
      <c r="C1157" s="197" t="str">
        <f t="shared" si="3868"/>
        <v>Lifecycle_Opportunity_472</v>
      </c>
      <c r="D1157">
        <v>472</v>
      </c>
      <c r="E1157">
        <f>VLOOKUP($D1157,'[2]LC Opportunity'!$Q$2:$U$542,2,FALSE)</f>
        <v>0</v>
      </c>
      <c r="F1157">
        <f>VLOOKUP($D1157,'[2]LC Opportunity'!$Q$2:$U$542,3,FALSE)</f>
        <v>0</v>
      </c>
      <c r="G1157">
        <f>VLOOKUP($D1157,'[2]LC Opportunity'!$Q$2:$U$542,4,FALSE)</f>
        <v>0</v>
      </c>
      <c r="H1157">
        <f>VLOOKUP($D1157,'[2]LC Opportunity'!$Q$2:$U$542,5,FALSE)</f>
        <v>0.99999999999999989</v>
      </c>
      <c r="I1157" s="77">
        <f t="shared" si="3981"/>
        <v>0.99999999999999989</v>
      </c>
      <c r="J1157" s="77">
        <f t="shared" si="3982"/>
        <v>7.1999999999999981E-2</v>
      </c>
      <c r="K1157" s="77">
        <f t="shared" si="3876"/>
        <v>5.8106552987937654E-3</v>
      </c>
      <c r="L1157" s="76">
        <v>0</v>
      </c>
      <c r="M1157" s="77">
        <f t="shared" si="3988"/>
        <v>0</v>
      </c>
      <c r="N1157" s="77">
        <f t="shared" si="3989"/>
        <v>0</v>
      </c>
      <c r="O1157" s="77">
        <f t="shared" si="3990"/>
        <v>4.9999999999999992E-3</v>
      </c>
      <c r="P1157" s="77">
        <f t="shared" si="3991"/>
        <v>4.1762458919303302E-4</v>
      </c>
      <c r="R1157" t="s">
        <v>177</v>
      </c>
      <c r="S1157" t="s">
        <v>180</v>
      </c>
      <c r="T1157" s="197" t="str">
        <f t="shared" si="3870"/>
        <v>Autopilot_Opportunity_472</v>
      </c>
      <c r="U1157">
        <v>472</v>
      </c>
      <c r="V1157">
        <f>VLOOKUP($U1157,'[2]AP Opportunity'!$Q$1:$T$542,2,FALSE)</f>
        <v>0.99999997777777772</v>
      </c>
      <c r="W1157">
        <f>VLOOKUP($U1157,'[2]AP Opportunity'!$Q$1:$T$542,3,FALSE)</f>
        <v>2.2222222284540294E-8</v>
      </c>
      <c r="X1157">
        <f>VLOOKUP($U1157,'[2]AP Opportunity'!$Q$1:$T$542,4,FALSE)</f>
        <v>0</v>
      </c>
      <c r="Y1157" s="77">
        <f t="shared" si="3871"/>
        <v>1</v>
      </c>
      <c r="Z1157" s="77">
        <f t="shared" si="3877"/>
        <v>6.4624999704999977E-2</v>
      </c>
      <c r="AA1157" s="77">
        <f t="shared" si="3878"/>
        <v>5.2321923767311151E-3</v>
      </c>
      <c r="AB1157" s="79">
        <v>1</v>
      </c>
      <c r="AC1157" s="77">
        <f t="shared" si="3992"/>
        <v>8.499999955555556E-3</v>
      </c>
      <c r="AD1157" s="77">
        <f t="shared" ref="AD1157" si="4005">1-(1-AC1157)^(1/12)</f>
        <v>7.1110795759765644E-4</v>
      </c>
      <c r="AE1157" s="77">
        <f t="shared" si="3994"/>
        <v>2.5000000000000001E-3</v>
      </c>
      <c r="AF1157" s="77">
        <f t="shared" ref="AF1157" si="4006">1-(1-AE1157)^(1/12)</f>
        <v>2.0857243058891584E-4</v>
      </c>
      <c r="AH1157" t="s">
        <v>175</v>
      </c>
      <c r="AI1157" t="s">
        <v>180</v>
      </c>
      <c r="AJ1157" s="197" t="str">
        <f t="shared" si="3985"/>
        <v>Lifecycle_Opportunity_472</v>
      </c>
      <c r="AK1157">
        <v>472</v>
      </c>
      <c r="AL1157">
        <f>VLOOKUP($U1157,[2]Standard_Opportunity!$Q$1:$T$542,2,FALSE)</f>
        <v>0.99999997777777772</v>
      </c>
      <c r="AM1157">
        <f>VLOOKUP($U1157,[2]Standard_Opportunity!$Q$1:$T$542,3,FALSE)</f>
        <v>2.2222222284540294E-8</v>
      </c>
      <c r="AN1157">
        <f>VLOOKUP($U1157,[2]Standard_Opportunity!$Q$1:$T$542,4,FALSE)</f>
        <v>0</v>
      </c>
      <c r="AO1157" s="77">
        <f t="shared" si="3986"/>
        <v>1</v>
      </c>
      <c r="AP1157" s="77">
        <f t="shared" si="3996"/>
        <v>6.4624999704999977E-2</v>
      </c>
      <c r="AQ1157" s="77">
        <f t="shared" si="3987"/>
        <v>5.2321923767311151E-3</v>
      </c>
      <c r="AR1157" s="79">
        <v>0</v>
      </c>
      <c r="AS1157" s="77">
        <f t="shared" si="3997"/>
        <v>0</v>
      </c>
      <c r="AT1157" s="77">
        <f t="shared" si="3998"/>
        <v>0</v>
      </c>
      <c r="AU1157" s="77">
        <f t="shared" si="3999"/>
        <v>2.5000000000000001E-3</v>
      </c>
      <c r="AV1157" s="77">
        <f t="shared" si="4000"/>
        <v>2.0809499864316017E-4</v>
      </c>
    </row>
    <row r="1158" spans="1:48">
      <c r="A1158" t="s">
        <v>175</v>
      </c>
      <c r="B1158" t="s">
        <v>180</v>
      </c>
      <c r="C1158" s="197" t="str">
        <f t="shared" si="3868"/>
        <v>Lifecycle_Opportunity_471</v>
      </c>
      <c r="D1158">
        <v>471</v>
      </c>
      <c r="E1158">
        <f>VLOOKUP($D1158,'[2]LC Opportunity'!$Q$2:$U$542,2,FALSE)</f>
        <v>0</v>
      </c>
      <c r="F1158">
        <f>VLOOKUP($D1158,'[2]LC Opportunity'!$Q$2:$U$542,3,FALSE)</f>
        <v>0</v>
      </c>
      <c r="G1158">
        <f>VLOOKUP($D1158,'[2]LC Opportunity'!$Q$2:$U$542,4,FALSE)</f>
        <v>0</v>
      </c>
      <c r="H1158">
        <f>VLOOKUP($D1158,'[2]LC Opportunity'!$Q$2:$U$542,5,FALSE)</f>
        <v>0.99999999999999989</v>
      </c>
      <c r="I1158" s="77">
        <f t="shared" si="3981"/>
        <v>0.99999999999999989</v>
      </c>
      <c r="J1158" s="77">
        <f t="shared" si="3982"/>
        <v>7.1999999999999981E-2</v>
      </c>
      <c r="K1158" s="77">
        <f t="shared" si="3876"/>
        <v>5.8106552987937654E-3</v>
      </c>
      <c r="L1158" s="76">
        <v>0</v>
      </c>
      <c r="M1158" s="77">
        <f t="shared" si="3988"/>
        <v>0</v>
      </c>
      <c r="N1158" s="77">
        <f t="shared" si="3989"/>
        <v>0</v>
      </c>
      <c r="O1158" s="77">
        <f t="shared" si="3990"/>
        <v>4.9999999999999992E-3</v>
      </c>
      <c r="P1158" s="77">
        <f t="shared" si="3991"/>
        <v>4.1762458919303302E-4</v>
      </c>
      <c r="R1158" t="s">
        <v>177</v>
      </c>
      <c r="S1158" t="s">
        <v>180</v>
      </c>
      <c r="T1158" s="197" t="str">
        <f t="shared" si="3870"/>
        <v>Autopilot_Opportunity_471</v>
      </c>
      <c r="U1158">
        <v>471</v>
      </c>
      <c r="V1158">
        <f>VLOOKUP($U1158,'[2]AP Opportunity'!$Q$1:$T$542,2,FALSE)</f>
        <v>0.99999997777777772</v>
      </c>
      <c r="W1158">
        <f>VLOOKUP($U1158,'[2]AP Opportunity'!$Q$1:$T$542,3,FALSE)</f>
        <v>2.2222222284540294E-8</v>
      </c>
      <c r="X1158">
        <f>VLOOKUP($U1158,'[2]AP Opportunity'!$Q$1:$T$542,4,FALSE)</f>
        <v>0</v>
      </c>
      <c r="Y1158" s="77">
        <f t="shared" si="3871"/>
        <v>1</v>
      </c>
      <c r="Z1158" s="77">
        <f t="shared" si="3877"/>
        <v>6.4624999704999977E-2</v>
      </c>
      <c r="AA1158" s="77">
        <f t="shared" si="3878"/>
        <v>5.2321923767311151E-3</v>
      </c>
      <c r="AB1158" s="79">
        <v>1</v>
      </c>
      <c r="AC1158" s="77">
        <f t="shared" si="3992"/>
        <v>8.499999955555556E-3</v>
      </c>
      <c r="AD1158" s="77">
        <f t="shared" ref="AD1158" si="4007">1-(1-AC1158)^(1/12)</f>
        <v>7.1110795759765644E-4</v>
      </c>
      <c r="AE1158" s="77">
        <f t="shared" si="3994"/>
        <v>2.5000000000000001E-3</v>
      </c>
      <c r="AF1158" s="77">
        <f t="shared" ref="AF1158" si="4008">1-(1-AE1158)^(1/12)</f>
        <v>2.0857243058891584E-4</v>
      </c>
      <c r="AH1158" t="s">
        <v>175</v>
      </c>
      <c r="AI1158" t="s">
        <v>180</v>
      </c>
      <c r="AJ1158" s="197" t="str">
        <f t="shared" si="3985"/>
        <v>Lifecycle_Opportunity_471</v>
      </c>
      <c r="AK1158">
        <v>471</v>
      </c>
      <c r="AL1158">
        <f>VLOOKUP($U1158,[2]Standard_Opportunity!$Q$1:$T$542,2,FALSE)</f>
        <v>0.99999997777777772</v>
      </c>
      <c r="AM1158">
        <f>VLOOKUP($U1158,[2]Standard_Opportunity!$Q$1:$T$542,3,FALSE)</f>
        <v>2.2222222284540294E-8</v>
      </c>
      <c r="AN1158">
        <f>VLOOKUP($U1158,[2]Standard_Opportunity!$Q$1:$T$542,4,FALSE)</f>
        <v>0</v>
      </c>
      <c r="AO1158" s="77">
        <f t="shared" si="3986"/>
        <v>1</v>
      </c>
      <c r="AP1158" s="77">
        <f t="shared" si="3996"/>
        <v>6.4624999704999977E-2</v>
      </c>
      <c r="AQ1158" s="77">
        <f t="shared" si="3987"/>
        <v>5.2321923767311151E-3</v>
      </c>
      <c r="AR1158" s="79">
        <v>0</v>
      </c>
      <c r="AS1158" s="77">
        <f t="shared" si="3997"/>
        <v>0</v>
      </c>
      <c r="AT1158" s="77">
        <f t="shared" si="3998"/>
        <v>0</v>
      </c>
      <c r="AU1158" s="77">
        <f t="shared" si="3999"/>
        <v>2.5000000000000001E-3</v>
      </c>
      <c r="AV1158" s="77">
        <f t="shared" si="4000"/>
        <v>2.0809499864316017E-4</v>
      </c>
    </row>
    <row r="1159" spans="1:48">
      <c r="A1159" t="s">
        <v>175</v>
      </c>
      <c r="B1159" t="s">
        <v>180</v>
      </c>
      <c r="C1159" s="197" t="str">
        <f t="shared" si="3868"/>
        <v>Lifecycle_Opportunity_470</v>
      </c>
      <c r="D1159">
        <v>470</v>
      </c>
      <c r="E1159">
        <f>VLOOKUP($D1159,'[2]LC Opportunity'!$Q$2:$U$542,2,FALSE)</f>
        <v>0</v>
      </c>
      <c r="F1159">
        <f>VLOOKUP($D1159,'[2]LC Opportunity'!$Q$2:$U$542,3,FALSE)</f>
        <v>0</v>
      </c>
      <c r="G1159">
        <f>VLOOKUP($D1159,'[2]LC Opportunity'!$Q$2:$U$542,4,FALSE)</f>
        <v>0</v>
      </c>
      <c r="H1159">
        <f>VLOOKUP($D1159,'[2]LC Opportunity'!$Q$2:$U$542,5,FALSE)</f>
        <v>0.99999999999999989</v>
      </c>
      <c r="I1159" s="77">
        <f t="shared" si="3981"/>
        <v>0.99999999999999989</v>
      </c>
      <c r="J1159" s="77">
        <f t="shared" si="3982"/>
        <v>7.1999999999999981E-2</v>
      </c>
      <c r="K1159" s="77">
        <f t="shared" si="3876"/>
        <v>5.8106552987937654E-3</v>
      </c>
      <c r="L1159" s="76">
        <v>0</v>
      </c>
      <c r="M1159" s="77">
        <f t="shared" si="3988"/>
        <v>0</v>
      </c>
      <c r="N1159" s="77">
        <f t="shared" si="3989"/>
        <v>0</v>
      </c>
      <c r="O1159" s="77">
        <f t="shared" si="3990"/>
        <v>4.9999999999999992E-3</v>
      </c>
      <c r="P1159" s="77">
        <f t="shared" si="3991"/>
        <v>4.1762458919303302E-4</v>
      </c>
      <c r="R1159" t="s">
        <v>177</v>
      </c>
      <c r="S1159" t="s">
        <v>180</v>
      </c>
      <c r="T1159" s="197" t="str">
        <f t="shared" si="3870"/>
        <v>Autopilot_Opportunity_470</v>
      </c>
      <c r="U1159">
        <v>470</v>
      </c>
      <c r="V1159">
        <f>VLOOKUP($U1159,'[2]AP Opportunity'!$Q$1:$T$542,2,FALSE)</f>
        <v>0.99999997777777772</v>
      </c>
      <c r="W1159">
        <f>VLOOKUP($U1159,'[2]AP Opportunity'!$Q$1:$T$542,3,FALSE)</f>
        <v>2.2222222284540294E-8</v>
      </c>
      <c r="X1159">
        <f>VLOOKUP($U1159,'[2]AP Opportunity'!$Q$1:$T$542,4,FALSE)</f>
        <v>0</v>
      </c>
      <c r="Y1159" s="77">
        <f t="shared" si="3871"/>
        <v>1</v>
      </c>
      <c r="Z1159" s="77">
        <f t="shared" si="3877"/>
        <v>6.4624999704999977E-2</v>
      </c>
      <c r="AA1159" s="77">
        <f t="shared" si="3878"/>
        <v>5.2321923767311151E-3</v>
      </c>
      <c r="AB1159" s="79">
        <v>1</v>
      </c>
      <c r="AC1159" s="77">
        <f t="shared" si="3992"/>
        <v>8.499999955555556E-3</v>
      </c>
      <c r="AD1159" s="77">
        <f t="shared" ref="AD1159" si="4009">1-(1-AC1159)^(1/12)</f>
        <v>7.1110795759765644E-4</v>
      </c>
      <c r="AE1159" s="77">
        <f t="shared" si="3994"/>
        <v>2.5000000000000001E-3</v>
      </c>
      <c r="AF1159" s="77">
        <f t="shared" ref="AF1159" si="4010">1-(1-AE1159)^(1/12)</f>
        <v>2.0857243058891584E-4</v>
      </c>
      <c r="AH1159" t="s">
        <v>175</v>
      </c>
      <c r="AI1159" t="s">
        <v>180</v>
      </c>
      <c r="AJ1159" s="197" t="str">
        <f t="shared" si="3985"/>
        <v>Lifecycle_Opportunity_470</v>
      </c>
      <c r="AK1159">
        <v>470</v>
      </c>
      <c r="AL1159">
        <f>VLOOKUP($U1159,[2]Standard_Opportunity!$Q$1:$T$542,2,FALSE)</f>
        <v>0.99999997777777772</v>
      </c>
      <c r="AM1159">
        <f>VLOOKUP($U1159,[2]Standard_Opportunity!$Q$1:$T$542,3,FALSE)</f>
        <v>2.2222222284540294E-8</v>
      </c>
      <c r="AN1159">
        <f>VLOOKUP($U1159,[2]Standard_Opportunity!$Q$1:$T$542,4,FALSE)</f>
        <v>0</v>
      </c>
      <c r="AO1159" s="77">
        <f t="shared" si="3986"/>
        <v>1</v>
      </c>
      <c r="AP1159" s="77">
        <f t="shared" si="3996"/>
        <v>6.4624999704999977E-2</v>
      </c>
      <c r="AQ1159" s="77">
        <f t="shared" si="3987"/>
        <v>5.2321923767311151E-3</v>
      </c>
      <c r="AR1159" s="79">
        <v>0</v>
      </c>
      <c r="AS1159" s="77">
        <f t="shared" si="3997"/>
        <v>0</v>
      </c>
      <c r="AT1159" s="77">
        <f t="shared" si="3998"/>
        <v>0</v>
      </c>
      <c r="AU1159" s="77">
        <f t="shared" si="3999"/>
        <v>2.5000000000000001E-3</v>
      </c>
      <c r="AV1159" s="77">
        <f t="shared" si="4000"/>
        <v>2.0809499864316017E-4</v>
      </c>
    </row>
    <row r="1160" spans="1:48">
      <c r="A1160" t="s">
        <v>175</v>
      </c>
      <c r="B1160" t="s">
        <v>180</v>
      </c>
      <c r="C1160" s="197" t="str">
        <f t="shared" si="3868"/>
        <v>Lifecycle_Opportunity_469</v>
      </c>
      <c r="D1160">
        <v>469</v>
      </c>
      <c r="E1160">
        <f>VLOOKUP($D1160,'[2]LC Opportunity'!$Q$2:$U$542,2,FALSE)</f>
        <v>0</v>
      </c>
      <c r="F1160">
        <f>VLOOKUP($D1160,'[2]LC Opportunity'!$Q$2:$U$542,3,FALSE)</f>
        <v>0</v>
      </c>
      <c r="G1160">
        <f>VLOOKUP($D1160,'[2]LC Opportunity'!$Q$2:$U$542,4,FALSE)</f>
        <v>0</v>
      </c>
      <c r="H1160">
        <f>VLOOKUP($D1160,'[2]LC Opportunity'!$Q$2:$U$542,5,FALSE)</f>
        <v>0.99999999999999989</v>
      </c>
      <c r="I1160" s="77">
        <f t="shared" si="3981"/>
        <v>0.99999999999999989</v>
      </c>
      <c r="J1160" s="77">
        <f t="shared" si="3982"/>
        <v>7.1999999999999981E-2</v>
      </c>
      <c r="K1160" s="77">
        <f t="shared" si="3876"/>
        <v>5.8106552987937654E-3</v>
      </c>
      <c r="L1160" s="76">
        <v>0</v>
      </c>
      <c r="M1160" s="77">
        <f t="shared" si="3988"/>
        <v>0</v>
      </c>
      <c r="N1160" s="77">
        <f t="shared" si="3989"/>
        <v>0</v>
      </c>
      <c r="O1160" s="77">
        <f t="shared" si="3990"/>
        <v>4.9999999999999992E-3</v>
      </c>
      <c r="P1160" s="77">
        <f t="shared" si="3991"/>
        <v>4.1762458919303302E-4</v>
      </c>
      <c r="R1160" t="s">
        <v>177</v>
      </c>
      <c r="S1160" t="s">
        <v>180</v>
      </c>
      <c r="T1160" s="197" t="str">
        <f t="shared" si="3870"/>
        <v>Autopilot_Opportunity_469</v>
      </c>
      <c r="U1160">
        <v>469</v>
      </c>
      <c r="V1160">
        <f>VLOOKUP($U1160,'[2]AP Opportunity'!$Q$1:$T$542,2,FALSE)</f>
        <v>0.99999997777777772</v>
      </c>
      <c r="W1160">
        <f>VLOOKUP($U1160,'[2]AP Opportunity'!$Q$1:$T$542,3,FALSE)</f>
        <v>2.2222222284540294E-8</v>
      </c>
      <c r="X1160">
        <f>VLOOKUP($U1160,'[2]AP Opportunity'!$Q$1:$T$542,4,FALSE)</f>
        <v>0</v>
      </c>
      <c r="Y1160" s="77">
        <f t="shared" si="3871"/>
        <v>1</v>
      </c>
      <c r="Z1160" s="77">
        <f t="shared" si="3877"/>
        <v>6.4624999704999977E-2</v>
      </c>
      <c r="AA1160" s="77">
        <f t="shared" si="3878"/>
        <v>5.2321923767311151E-3</v>
      </c>
      <c r="AB1160" s="79">
        <v>1</v>
      </c>
      <c r="AC1160" s="77">
        <f t="shared" si="3992"/>
        <v>8.499999955555556E-3</v>
      </c>
      <c r="AD1160" s="77">
        <f t="shared" ref="AD1160" si="4011">1-(1-AC1160)^(1/12)</f>
        <v>7.1110795759765644E-4</v>
      </c>
      <c r="AE1160" s="77">
        <f t="shared" si="3994"/>
        <v>2.5000000000000001E-3</v>
      </c>
      <c r="AF1160" s="77">
        <f t="shared" ref="AF1160" si="4012">1-(1-AE1160)^(1/12)</f>
        <v>2.0857243058891584E-4</v>
      </c>
      <c r="AH1160" t="s">
        <v>175</v>
      </c>
      <c r="AI1160" t="s">
        <v>180</v>
      </c>
      <c r="AJ1160" s="197" t="str">
        <f t="shared" si="3985"/>
        <v>Lifecycle_Opportunity_469</v>
      </c>
      <c r="AK1160">
        <v>469</v>
      </c>
      <c r="AL1160">
        <f>VLOOKUP($U1160,[2]Standard_Opportunity!$Q$1:$T$542,2,FALSE)</f>
        <v>0.99999997777777772</v>
      </c>
      <c r="AM1160">
        <f>VLOOKUP($U1160,[2]Standard_Opportunity!$Q$1:$T$542,3,FALSE)</f>
        <v>2.2222222284540294E-8</v>
      </c>
      <c r="AN1160">
        <f>VLOOKUP($U1160,[2]Standard_Opportunity!$Q$1:$T$542,4,FALSE)</f>
        <v>0</v>
      </c>
      <c r="AO1160" s="77">
        <f t="shared" si="3986"/>
        <v>1</v>
      </c>
      <c r="AP1160" s="77">
        <f t="shared" si="3996"/>
        <v>6.4624999704999977E-2</v>
      </c>
      <c r="AQ1160" s="77">
        <f t="shared" si="3987"/>
        <v>5.2321923767311151E-3</v>
      </c>
      <c r="AR1160" s="79">
        <v>0</v>
      </c>
      <c r="AS1160" s="77">
        <f t="shared" si="3997"/>
        <v>0</v>
      </c>
      <c r="AT1160" s="77">
        <f t="shared" si="3998"/>
        <v>0</v>
      </c>
      <c r="AU1160" s="77">
        <f t="shared" si="3999"/>
        <v>2.5000000000000001E-3</v>
      </c>
      <c r="AV1160" s="77">
        <f t="shared" si="4000"/>
        <v>2.0809499864316017E-4</v>
      </c>
    </row>
    <row r="1161" spans="1:48">
      <c r="A1161" t="s">
        <v>175</v>
      </c>
      <c r="B1161" t="s">
        <v>180</v>
      </c>
      <c r="C1161" s="197" t="str">
        <f t="shared" si="3868"/>
        <v>Lifecycle_Opportunity_468</v>
      </c>
      <c r="D1161">
        <v>468</v>
      </c>
      <c r="E1161">
        <f>VLOOKUP($D1161,'[2]LC Opportunity'!$Q$2:$U$542,2,FALSE)</f>
        <v>0</v>
      </c>
      <c r="F1161">
        <f>VLOOKUP($D1161,'[2]LC Opportunity'!$Q$2:$U$542,3,FALSE)</f>
        <v>0</v>
      </c>
      <c r="G1161">
        <f>VLOOKUP($D1161,'[2]LC Opportunity'!$Q$2:$U$542,4,FALSE)</f>
        <v>0</v>
      </c>
      <c r="H1161">
        <f>VLOOKUP($D1161,'[2]LC Opportunity'!$Q$2:$U$542,5,FALSE)</f>
        <v>0.99999999999999989</v>
      </c>
      <c r="I1161" s="77">
        <f t="shared" si="3981"/>
        <v>0.99999999999999989</v>
      </c>
      <c r="J1161" s="77">
        <f t="shared" si="3982"/>
        <v>7.1999999999999981E-2</v>
      </c>
      <c r="K1161" s="77">
        <f t="shared" si="3876"/>
        <v>5.8106552987937654E-3</v>
      </c>
      <c r="L1161" s="76">
        <v>0</v>
      </c>
      <c r="M1161" s="77">
        <f t="shared" si="3988"/>
        <v>0</v>
      </c>
      <c r="N1161" s="77">
        <f t="shared" si="3989"/>
        <v>0</v>
      </c>
      <c r="O1161" s="77">
        <f t="shared" si="3990"/>
        <v>4.9999999999999992E-3</v>
      </c>
      <c r="P1161" s="77">
        <f t="shared" si="3991"/>
        <v>4.1762458919303302E-4</v>
      </c>
      <c r="R1161" t="s">
        <v>177</v>
      </c>
      <c r="S1161" t="s">
        <v>180</v>
      </c>
      <c r="T1161" s="197" t="str">
        <f t="shared" si="3870"/>
        <v>Autopilot_Opportunity_468</v>
      </c>
      <c r="U1161">
        <v>468</v>
      </c>
      <c r="V1161">
        <f>VLOOKUP($U1161,'[2]AP Opportunity'!$Q$1:$T$542,2,FALSE)</f>
        <v>0.99999997777777772</v>
      </c>
      <c r="W1161">
        <f>VLOOKUP($U1161,'[2]AP Opportunity'!$Q$1:$T$542,3,FALSE)</f>
        <v>2.2222222284540294E-8</v>
      </c>
      <c r="X1161">
        <f>VLOOKUP($U1161,'[2]AP Opportunity'!$Q$1:$T$542,4,FALSE)</f>
        <v>0</v>
      </c>
      <c r="Y1161" s="77">
        <f t="shared" si="3871"/>
        <v>1</v>
      </c>
      <c r="Z1161" s="77">
        <f t="shared" si="3877"/>
        <v>6.4624999704999977E-2</v>
      </c>
      <c r="AA1161" s="77">
        <f t="shared" si="3878"/>
        <v>5.2321923767311151E-3</v>
      </c>
      <c r="AB1161" s="79">
        <v>1</v>
      </c>
      <c r="AC1161" s="77">
        <f t="shared" si="3992"/>
        <v>8.499999955555556E-3</v>
      </c>
      <c r="AD1161" s="77">
        <f t="shared" ref="AD1161" si="4013">1-(1-AC1161)^(1/12)</f>
        <v>7.1110795759765644E-4</v>
      </c>
      <c r="AE1161" s="77">
        <f t="shared" si="3994"/>
        <v>2.5000000000000001E-3</v>
      </c>
      <c r="AF1161" s="77">
        <f t="shared" ref="AF1161" si="4014">1-(1-AE1161)^(1/12)</f>
        <v>2.0857243058891584E-4</v>
      </c>
      <c r="AH1161" t="s">
        <v>175</v>
      </c>
      <c r="AI1161" t="s">
        <v>180</v>
      </c>
      <c r="AJ1161" s="197" t="str">
        <f t="shared" si="3985"/>
        <v>Lifecycle_Opportunity_468</v>
      </c>
      <c r="AK1161">
        <v>468</v>
      </c>
      <c r="AL1161">
        <f>VLOOKUP($U1161,[2]Standard_Opportunity!$Q$1:$T$542,2,FALSE)</f>
        <v>0.99999997777777772</v>
      </c>
      <c r="AM1161">
        <f>VLOOKUP($U1161,[2]Standard_Opportunity!$Q$1:$T$542,3,FALSE)</f>
        <v>2.2222222284540294E-8</v>
      </c>
      <c r="AN1161">
        <f>VLOOKUP($U1161,[2]Standard_Opportunity!$Q$1:$T$542,4,FALSE)</f>
        <v>0</v>
      </c>
      <c r="AO1161" s="77">
        <f t="shared" si="3986"/>
        <v>1</v>
      </c>
      <c r="AP1161" s="77">
        <f t="shared" si="3996"/>
        <v>6.4624999704999977E-2</v>
      </c>
      <c r="AQ1161" s="77">
        <f t="shared" si="3987"/>
        <v>5.2321923767311151E-3</v>
      </c>
      <c r="AR1161" s="79">
        <v>0</v>
      </c>
      <c r="AS1161" s="77">
        <f t="shared" si="3997"/>
        <v>0</v>
      </c>
      <c r="AT1161" s="77">
        <f t="shared" si="3998"/>
        <v>0</v>
      </c>
      <c r="AU1161" s="77">
        <f t="shared" si="3999"/>
        <v>2.5000000000000001E-3</v>
      </c>
      <c r="AV1161" s="77">
        <f t="shared" si="4000"/>
        <v>2.0809499864316017E-4</v>
      </c>
    </row>
    <row r="1162" spans="1:48">
      <c r="A1162" t="s">
        <v>175</v>
      </c>
      <c r="B1162" t="s">
        <v>180</v>
      </c>
      <c r="C1162" s="197" t="str">
        <f t="shared" si="3868"/>
        <v>Lifecycle_Opportunity_467</v>
      </c>
      <c r="D1162">
        <v>467</v>
      </c>
      <c r="E1162">
        <f>VLOOKUP($D1162,'[2]LC Opportunity'!$Q$2:$U$542,2,FALSE)</f>
        <v>0</v>
      </c>
      <c r="F1162">
        <f>VLOOKUP($D1162,'[2]LC Opportunity'!$Q$2:$U$542,3,FALSE)</f>
        <v>0</v>
      </c>
      <c r="G1162">
        <f>VLOOKUP($D1162,'[2]LC Opportunity'!$Q$2:$U$542,4,FALSE)</f>
        <v>0</v>
      </c>
      <c r="H1162">
        <f>VLOOKUP($D1162,'[2]LC Opportunity'!$Q$2:$U$542,5,FALSE)</f>
        <v>0.99999999999999989</v>
      </c>
      <c r="I1162" s="77">
        <f t="shared" si="3981"/>
        <v>0.99999999999999989</v>
      </c>
      <c r="J1162" s="77">
        <f t="shared" si="3982"/>
        <v>7.1999999999999981E-2</v>
      </c>
      <c r="K1162" s="77">
        <f t="shared" si="3876"/>
        <v>5.8106552987937654E-3</v>
      </c>
      <c r="L1162" s="76">
        <v>0</v>
      </c>
      <c r="M1162" s="77">
        <f t="shared" si="3988"/>
        <v>0</v>
      </c>
      <c r="N1162" s="77">
        <f t="shared" si="3989"/>
        <v>0</v>
      </c>
      <c r="O1162" s="77">
        <f t="shared" si="3990"/>
        <v>4.9999999999999992E-3</v>
      </c>
      <c r="P1162" s="77">
        <f t="shared" si="3991"/>
        <v>4.1762458919303302E-4</v>
      </c>
      <c r="R1162" t="s">
        <v>177</v>
      </c>
      <c r="S1162" t="s">
        <v>180</v>
      </c>
      <c r="T1162" s="197" t="str">
        <f t="shared" si="3870"/>
        <v>Autopilot_Opportunity_467</v>
      </c>
      <c r="U1162">
        <v>467</v>
      </c>
      <c r="V1162">
        <f>VLOOKUP($U1162,'[2]AP Opportunity'!$Q$1:$T$542,2,FALSE)</f>
        <v>0.99999997777777772</v>
      </c>
      <c r="W1162">
        <f>VLOOKUP($U1162,'[2]AP Opportunity'!$Q$1:$T$542,3,FALSE)</f>
        <v>2.2222222284540294E-8</v>
      </c>
      <c r="X1162">
        <f>VLOOKUP($U1162,'[2]AP Opportunity'!$Q$1:$T$542,4,FALSE)</f>
        <v>0</v>
      </c>
      <c r="Y1162" s="77">
        <f t="shared" si="3871"/>
        <v>1</v>
      </c>
      <c r="Z1162" s="77">
        <f t="shared" si="3877"/>
        <v>6.4624999704999977E-2</v>
      </c>
      <c r="AA1162" s="77">
        <f t="shared" si="3878"/>
        <v>5.2321923767311151E-3</v>
      </c>
      <c r="AB1162" s="79">
        <v>1</v>
      </c>
      <c r="AC1162" s="77">
        <f t="shared" si="3992"/>
        <v>8.499999955555556E-3</v>
      </c>
      <c r="AD1162" s="77">
        <f t="shared" ref="AD1162" si="4015">1-(1-AC1162)^(1/12)</f>
        <v>7.1110795759765644E-4</v>
      </c>
      <c r="AE1162" s="77">
        <f t="shared" si="3994"/>
        <v>2.5000000000000001E-3</v>
      </c>
      <c r="AF1162" s="77">
        <f t="shared" ref="AF1162" si="4016">1-(1-AE1162)^(1/12)</f>
        <v>2.0857243058891584E-4</v>
      </c>
      <c r="AH1162" t="s">
        <v>175</v>
      </c>
      <c r="AI1162" t="s">
        <v>180</v>
      </c>
      <c r="AJ1162" s="197" t="str">
        <f t="shared" si="3985"/>
        <v>Lifecycle_Opportunity_467</v>
      </c>
      <c r="AK1162">
        <v>467</v>
      </c>
      <c r="AL1162">
        <f>VLOOKUP($U1162,[2]Standard_Opportunity!$Q$1:$T$542,2,FALSE)</f>
        <v>0.99999997777777772</v>
      </c>
      <c r="AM1162">
        <f>VLOOKUP($U1162,[2]Standard_Opportunity!$Q$1:$T$542,3,FALSE)</f>
        <v>2.2222222284540294E-8</v>
      </c>
      <c r="AN1162">
        <f>VLOOKUP($U1162,[2]Standard_Opportunity!$Q$1:$T$542,4,FALSE)</f>
        <v>0</v>
      </c>
      <c r="AO1162" s="77">
        <f t="shared" si="3986"/>
        <v>1</v>
      </c>
      <c r="AP1162" s="77">
        <f t="shared" si="3996"/>
        <v>6.4624999704999977E-2</v>
      </c>
      <c r="AQ1162" s="77">
        <f t="shared" si="3987"/>
        <v>5.2321923767311151E-3</v>
      </c>
      <c r="AR1162" s="79">
        <v>0</v>
      </c>
      <c r="AS1162" s="77">
        <f t="shared" si="3997"/>
        <v>0</v>
      </c>
      <c r="AT1162" s="77">
        <f t="shared" si="3998"/>
        <v>0</v>
      </c>
      <c r="AU1162" s="77">
        <f t="shared" si="3999"/>
        <v>2.5000000000000001E-3</v>
      </c>
      <c r="AV1162" s="77">
        <f t="shared" si="4000"/>
        <v>2.0809499864316017E-4</v>
      </c>
    </row>
    <row r="1163" spans="1:48">
      <c r="A1163" t="s">
        <v>175</v>
      </c>
      <c r="B1163" t="s">
        <v>180</v>
      </c>
      <c r="C1163" s="197" t="str">
        <f t="shared" si="3868"/>
        <v>Lifecycle_Opportunity_466</v>
      </c>
      <c r="D1163">
        <v>466</v>
      </c>
      <c r="E1163">
        <f>VLOOKUP($D1163,'[2]LC Opportunity'!$Q$2:$U$542,2,FALSE)</f>
        <v>0</v>
      </c>
      <c r="F1163">
        <f>VLOOKUP($D1163,'[2]LC Opportunity'!$Q$2:$U$542,3,FALSE)</f>
        <v>0</v>
      </c>
      <c r="G1163">
        <f>VLOOKUP($D1163,'[2]LC Opportunity'!$Q$2:$U$542,4,FALSE)</f>
        <v>0</v>
      </c>
      <c r="H1163">
        <f>VLOOKUP($D1163,'[2]LC Opportunity'!$Q$2:$U$542,5,FALSE)</f>
        <v>0.99999999999999989</v>
      </c>
      <c r="I1163" s="77">
        <f t="shared" si="3981"/>
        <v>0.99999999999999989</v>
      </c>
      <c r="J1163" s="77">
        <f t="shared" si="3982"/>
        <v>7.1999999999999981E-2</v>
      </c>
      <c r="K1163" s="77">
        <f t="shared" si="3876"/>
        <v>5.8106552987937654E-3</v>
      </c>
      <c r="L1163" s="76">
        <v>0</v>
      </c>
      <c r="M1163" s="77">
        <f t="shared" si="3988"/>
        <v>0</v>
      </c>
      <c r="N1163" s="77">
        <f t="shared" si="3989"/>
        <v>0</v>
      </c>
      <c r="O1163" s="77">
        <f t="shared" si="3990"/>
        <v>4.9999999999999992E-3</v>
      </c>
      <c r="P1163" s="77">
        <f t="shared" si="3991"/>
        <v>4.1762458919303302E-4</v>
      </c>
      <c r="R1163" t="s">
        <v>177</v>
      </c>
      <c r="S1163" t="s">
        <v>180</v>
      </c>
      <c r="T1163" s="197" t="str">
        <f t="shared" si="3870"/>
        <v>Autopilot_Opportunity_466</v>
      </c>
      <c r="U1163">
        <v>466</v>
      </c>
      <c r="V1163">
        <f>VLOOKUP($U1163,'[2]AP Opportunity'!$Q$1:$T$542,2,FALSE)</f>
        <v>0.99999997777777772</v>
      </c>
      <c r="W1163">
        <f>VLOOKUP($U1163,'[2]AP Opportunity'!$Q$1:$T$542,3,FALSE)</f>
        <v>2.2222222284540294E-8</v>
      </c>
      <c r="X1163">
        <f>VLOOKUP($U1163,'[2]AP Opportunity'!$Q$1:$T$542,4,FALSE)</f>
        <v>0</v>
      </c>
      <c r="Y1163" s="77">
        <f t="shared" si="3871"/>
        <v>1</v>
      </c>
      <c r="Z1163" s="77">
        <f t="shared" si="3877"/>
        <v>6.4624999704999977E-2</v>
      </c>
      <c r="AA1163" s="77">
        <f t="shared" si="3878"/>
        <v>5.2321923767311151E-3</v>
      </c>
      <c r="AB1163" s="79">
        <v>1</v>
      </c>
      <c r="AC1163" s="77">
        <f t="shared" si="3992"/>
        <v>8.499999955555556E-3</v>
      </c>
      <c r="AD1163" s="77">
        <f t="shared" ref="AD1163" si="4017">1-(1-AC1163)^(1/12)</f>
        <v>7.1110795759765644E-4</v>
      </c>
      <c r="AE1163" s="77">
        <f t="shared" si="3994"/>
        <v>2.5000000000000001E-3</v>
      </c>
      <c r="AF1163" s="77">
        <f t="shared" ref="AF1163" si="4018">1-(1-AE1163)^(1/12)</f>
        <v>2.0857243058891584E-4</v>
      </c>
      <c r="AH1163" t="s">
        <v>175</v>
      </c>
      <c r="AI1163" t="s">
        <v>180</v>
      </c>
      <c r="AJ1163" s="197" t="str">
        <f t="shared" si="3985"/>
        <v>Lifecycle_Opportunity_466</v>
      </c>
      <c r="AK1163">
        <v>466</v>
      </c>
      <c r="AL1163">
        <f>VLOOKUP($U1163,[2]Standard_Opportunity!$Q$1:$T$542,2,FALSE)</f>
        <v>0.99999997777777772</v>
      </c>
      <c r="AM1163">
        <f>VLOOKUP($U1163,[2]Standard_Opportunity!$Q$1:$T$542,3,FALSE)</f>
        <v>2.2222222284540294E-8</v>
      </c>
      <c r="AN1163">
        <f>VLOOKUP($U1163,[2]Standard_Opportunity!$Q$1:$T$542,4,FALSE)</f>
        <v>0</v>
      </c>
      <c r="AO1163" s="77">
        <f t="shared" si="3986"/>
        <v>1</v>
      </c>
      <c r="AP1163" s="77">
        <f t="shared" si="3996"/>
        <v>6.4624999704999977E-2</v>
      </c>
      <c r="AQ1163" s="77">
        <f t="shared" si="3987"/>
        <v>5.2321923767311151E-3</v>
      </c>
      <c r="AR1163" s="79">
        <v>0</v>
      </c>
      <c r="AS1163" s="77">
        <f t="shared" si="3997"/>
        <v>0</v>
      </c>
      <c r="AT1163" s="77">
        <f t="shared" si="3998"/>
        <v>0</v>
      </c>
      <c r="AU1163" s="77">
        <f t="shared" si="3999"/>
        <v>2.5000000000000001E-3</v>
      </c>
      <c r="AV1163" s="77">
        <f t="shared" si="4000"/>
        <v>2.0809499864316017E-4</v>
      </c>
    </row>
    <row r="1164" spans="1:48">
      <c r="A1164" t="s">
        <v>175</v>
      </c>
      <c r="B1164" t="s">
        <v>180</v>
      </c>
      <c r="C1164" s="197" t="str">
        <f t="shared" si="3868"/>
        <v>Lifecycle_Opportunity_465</v>
      </c>
      <c r="D1164">
        <v>465</v>
      </c>
      <c r="E1164">
        <f>VLOOKUP($D1164,'[2]LC Opportunity'!$Q$2:$U$542,2,FALSE)</f>
        <v>0</v>
      </c>
      <c r="F1164">
        <f>VLOOKUP($D1164,'[2]LC Opportunity'!$Q$2:$U$542,3,FALSE)</f>
        <v>0</v>
      </c>
      <c r="G1164">
        <f>VLOOKUP($D1164,'[2]LC Opportunity'!$Q$2:$U$542,4,FALSE)</f>
        <v>0</v>
      </c>
      <c r="H1164">
        <f>VLOOKUP($D1164,'[2]LC Opportunity'!$Q$2:$U$542,5,FALSE)</f>
        <v>0.99999999999999989</v>
      </c>
      <c r="I1164" s="77">
        <f t="shared" si="3981"/>
        <v>0.99999999999999989</v>
      </c>
      <c r="J1164" s="77">
        <f t="shared" si="3982"/>
        <v>7.1999999999999981E-2</v>
      </c>
      <c r="K1164" s="77">
        <f t="shared" si="3876"/>
        <v>5.8106552987937654E-3</v>
      </c>
      <c r="L1164" s="76">
        <v>0</v>
      </c>
      <c r="M1164" s="77">
        <f t="shared" si="3988"/>
        <v>0</v>
      </c>
      <c r="N1164" s="77">
        <f t="shared" si="3989"/>
        <v>0</v>
      </c>
      <c r="O1164" s="77">
        <f t="shared" si="3990"/>
        <v>4.9999999999999992E-3</v>
      </c>
      <c r="P1164" s="77">
        <f t="shared" si="3991"/>
        <v>4.1762458919303302E-4</v>
      </c>
      <c r="R1164" t="s">
        <v>177</v>
      </c>
      <c r="S1164" t="s">
        <v>180</v>
      </c>
      <c r="T1164" s="197" t="str">
        <f t="shared" si="3870"/>
        <v>Autopilot_Opportunity_465</v>
      </c>
      <c r="U1164">
        <v>465</v>
      </c>
      <c r="V1164">
        <f>VLOOKUP($U1164,'[2]AP Opportunity'!$Q$1:$T$542,2,FALSE)</f>
        <v>0.99999997777777772</v>
      </c>
      <c r="W1164">
        <f>VLOOKUP($U1164,'[2]AP Opportunity'!$Q$1:$T$542,3,FALSE)</f>
        <v>2.2222222284540294E-8</v>
      </c>
      <c r="X1164">
        <f>VLOOKUP($U1164,'[2]AP Opportunity'!$Q$1:$T$542,4,FALSE)</f>
        <v>0</v>
      </c>
      <c r="Y1164" s="77">
        <f t="shared" si="3871"/>
        <v>1</v>
      </c>
      <c r="Z1164" s="77">
        <f t="shared" si="3877"/>
        <v>6.4624999704999977E-2</v>
      </c>
      <c r="AA1164" s="77">
        <f t="shared" si="3878"/>
        <v>5.2321923767311151E-3</v>
      </c>
      <c r="AB1164" s="79">
        <v>1</v>
      </c>
      <c r="AC1164" s="77">
        <f t="shared" si="3992"/>
        <v>8.499999955555556E-3</v>
      </c>
      <c r="AD1164" s="77">
        <f t="shared" ref="AD1164" si="4019">1-(1-AC1164)^(1/12)</f>
        <v>7.1110795759765644E-4</v>
      </c>
      <c r="AE1164" s="77">
        <f t="shared" si="3994"/>
        <v>2.5000000000000001E-3</v>
      </c>
      <c r="AF1164" s="77">
        <f t="shared" ref="AF1164" si="4020">1-(1-AE1164)^(1/12)</f>
        <v>2.0857243058891584E-4</v>
      </c>
      <c r="AH1164" t="s">
        <v>175</v>
      </c>
      <c r="AI1164" t="s">
        <v>180</v>
      </c>
      <c r="AJ1164" s="197" t="str">
        <f t="shared" si="3985"/>
        <v>Lifecycle_Opportunity_465</v>
      </c>
      <c r="AK1164">
        <v>465</v>
      </c>
      <c r="AL1164">
        <f>VLOOKUP($U1164,[2]Standard_Opportunity!$Q$1:$T$542,2,FALSE)</f>
        <v>0.99999997777777772</v>
      </c>
      <c r="AM1164">
        <f>VLOOKUP($U1164,[2]Standard_Opportunity!$Q$1:$T$542,3,FALSE)</f>
        <v>2.2222222284540294E-8</v>
      </c>
      <c r="AN1164">
        <f>VLOOKUP($U1164,[2]Standard_Opportunity!$Q$1:$T$542,4,FALSE)</f>
        <v>0</v>
      </c>
      <c r="AO1164" s="77">
        <f t="shared" si="3986"/>
        <v>1</v>
      </c>
      <c r="AP1164" s="77">
        <f t="shared" si="3996"/>
        <v>6.4624999704999977E-2</v>
      </c>
      <c r="AQ1164" s="77">
        <f t="shared" si="3987"/>
        <v>5.2321923767311151E-3</v>
      </c>
      <c r="AR1164" s="79">
        <v>0</v>
      </c>
      <c r="AS1164" s="77">
        <f t="shared" si="3997"/>
        <v>0</v>
      </c>
      <c r="AT1164" s="77">
        <f t="shared" si="3998"/>
        <v>0</v>
      </c>
      <c r="AU1164" s="77">
        <f t="shared" si="3999"/>
        <v>2.5000000000000001E-3</v>
      </c>
      <c r="AV1164" s="77">
        <f t="shared" si="4000"/>
        <v>2.0809499864316017E-4</v>
      </c>
    </row>
    <row r="1165" spans="1:48">
      <c r="A1165" t="s">
        <v>175</v>
      </c>
      <c r="B1165" t="s">
        <v>180</v>
      </c>
      <c r="C1165" s="197" t="str">
        <f t="shared" ref="C1165:C1228" si="4021">A1165&amp;"_"&amp;B1165&amp;"_"&amp;D1165</f>
        <v>Lifecycle_Opportunity_464</v>
      </c>
      <c r="D1165">
        <v>464</v>
      </c>
      <c r="E1165">
        <f>VLOOKUP($D1165,'[2]LC Opportunity'!$Q$2:$U$542,2,FALSE)</f>
        <v>0</v>
      </c>
      <c r="F1165">
        <f>VLOOKUP($D1165,'[2]LC Opportunity'!$Q$2:$U$542,3,FALSE)</f>
        <v>0</v>
      </c>
      <c r="G1165">
        <f>VLOOKUP($D1165,'[2]LC Opportunity'!$Q$2:$U$542,4,FALSE)</f>
        <v>0</v>
      </c>
      <c r="H1165">
        <f>VLOOKUP($D1165,'[2]LC Opportunity'!$Q$2:$U$542,5,FALSE)</f>
        <v>0.99999999999999989</v>
      </c>
      <c r="I1165" s="77">
        <f t="shared" si="3981"/>
        <v>0.99999999999999989</v>
      </c>
      <c r="J1165" s="77">
        <f t="shared" si="3982"/>
        <v>7.1999999999999981E-2</v>
      </c>
      <c r="K1165" s="77">
        <f t="shared" si="3876"/>
        <v>5.8106552987937654E-3</v>
      </c>
      <c r="L1165" s="76">
        <v>0</v>
      </c>
      <c r="M1165" s="77">
        <f t="shared" si="3988"/>
        <v>0</v>
      </c>
      <c r="N1165" s="77">
        <f t="shared" si="3989"/>
        <v>0</v>
      </c>
      <c r="O1165" s="77">
        <f t="shared" si="3990"/>
        <v>4.9999999999999992E-3</v>
      </c>
      <c r="P1165" s="77">
        <f t="shared" si="3991"/>
        <v>4.1762458919303302E-4</v>
      </c>
      <c r="R1165" t="s">
        <v>177</v>
      </c>
      <c r="S1165" t="s">
        <v>180</v>
      </c>
      <c r="T1165" s="197" t="str">
        <f t="shared" ref="T1165:T1228" si="4022">R1165&amp;"_"&amp;S1165&amp;"_"&amp;U1165</f>
        <v>Autopilot_Opportunity_464</v>
      </c>
      <c r="U1165">
        <v>464</v>
      </c>
      <c r="V1165">
        <f>VLOOKUP($U1165,'[2]AP Opportunity'!$Q$1:$T$542,2,FALSE)</f>
        <v>0.99999997777777772</v>
      </c>
      <c r="W1165">
        <f>VLOOKUP($U1165,'[2]AP Opportunity'!$Q$1:$T$542,3,FALSE)</f>
        <v>2.2222222284540294E-8</v>
      </c>
      <c r="X1165">
        <f>VLOOKUP($U1165,'[2]AP Opportunity'!$Q$1:$T$542,4,FALSE)</f>
        <v>0</v>
      </c>
      <c r="Y1165" s="77">
        <f t="shared" ref="Y1165:Y1228" si="4023">SUM(V1165:X1165)</f>
        <v>1</v>
      </c>
      <c r="Z1165" s="77">
        <f t="shared" si="3877"/>
        <v>6.4624999704999977E-2</v>
      </c>
      <c r="AA1165" s="77">
        <f t="shared" si="3878"/>
        <v>5.2321923767311151E-3</v>
      </c>
      <c r="AB1165" s="79">
        <v>1</v>
      </c>
      <c r="AC1165" s="77">
        <f t="shared" si="3992"/>
        <v>8.499999955555556E-3</v>
      </c>
      <c r="AD1165" s="77">
        <f t="shared" ref="AD1165" si="4024">1-(1-AC1165)^(1/12)</f>
        <v>7.1110795759765644E-4</v>
      </c>
      <c r="AE1165" s="77">
        <f t="shared" si="3994"/>
        <v>2.5000000000000001E-3</v>
      </c>
      <c r="AF1165" s="77">
        <f t="shared" ref="AF1165" si="4025">1-(1-AE1165)^(1/12)</f>
        <v>2.0857243058891584E-4</v>
      </c>
      <c r="AH1165" t="s">
        <v>175</v>
      </c>
      <c r="AI1165" t="s">
        <v>180</v>
      </c>
      <c r="AJ1165" s="197" t="str">
        <f t="shared" si="3985"/>
        <v>Lifecycle_Opportunity_464</v>
      </c>
      <c r="AK1165">
        <v>464</v>
      </c>
      <c r="AL1165">
        <f>VLOOKUP($U1165,[2]Standard_Opportunity!$Q$1:$T$542,2,FALSE)</f>
        <v>0.99999997777777772</v>
      </c>
      <c r="AM1165">
        <f>VLOOKUP($U1165,[2]Standard_Opportunity!$Q$1:$T$542,3,FALSE)</f>
        <v>2.2222222284540294E-8</v>
      </c>
      <c r="AN1165">
        <f>VLOOKUP($U1165,[2]Standard_Opportunity!$Q$1:$T$542,4,FALSE)</f>
        <v>0</v>
      </c>
      <c r="AO1165" s="77">
        <f t="shared" si="3986"/>
        <v>1</v>
      </c>
      <c r="AP1165" s="77">
        <f t="shared" si="3996"/>
        <v>6.4624999704999977E-2</v>
      </c>
      <c r="AQ1165" s="77">
        <f t="shared" si="3987"/>
        <v>5.2321923767311151E-3</v>
      </c>
      <c r="AR1165" s="79">
        <v>0</v>
      </c>
      <c r="AS1165" s="77">
        <f t="shared" si="3997"/>
        <v>0</v>
      </c>
      <c r="AT1165" s="77">
        <f t="shared" si="3998"/>
        <v>0</v>
      </c>
      <c r="AU1165" s="77">
        <f t="shared" si="3999"/>
        <v>2.5000000000000001E-3</v>
      </c>
      <c r="AV1165" s="77">
        <f t="shared" si="4000"/>
        <v>2.0809499864316017E-4</v>
      </c>
    </row>
    <row r="1166" spans="1:48">
      <c r="A1166" t="s">
        <v>175</v>
      </c>
      <c r="B1166" t="s">
        <v>180</v>
      </c>
      <c r="C1166" s="197" t="str">
        <f t="shared" si="4021"/>
        <v>Lifecycle_Opportunity_463</v>
      </c>
      <c r="D1166">
        <v>463</v>
      </c>
      <c r="E1166">
        <f>VLOOKUP($D1166,'[2]LC Opportunity'!$Q$2:$U$542,2,FALSE)</f>
        <v>0</v>
      </c>
      <c r="F1166">
        <f>VLOOKUP($D1166,'[2]LC Opportunity'!$Q$2:$U$542,3,FALSE)</f>
        <v>0</v>
      </c>
      <c r="G1166">
        <f>VLOOKUP($D1166,'[2]LC Opportunity'!$Q$2:$U$542,4,FALSE)</f>
        <v>0</v>
      </c>
      <c r="H1166">
        <f>VLOOKUP($D1166,'[2]LC Opportunity'!$Q$2:$U$542,5,FALSE)</f>
        <v>0.99999999999999989</v>
      </c>
      <c r="I1166" s="77">
        <f t="shared" si="3981"/>
        <v>0.99999999999999989</v>
      </c>
      <c r="J1166" s="77">
        <f t="shared" si="3982"/>
        <v>7.1999999999999981E-2</v>
      </c>
      <c r="K1166" s="77">
        <f t="shared" ref="K1166:K1229" si="4026">(1+J1166)^(1/12)-1</f>
        <v>5.8106552987937654E-3</v>
      </c>
      <c r="L1166" s="76">
        <v>0</v>
      </c>
      <c r="M1166" s="77">
        <f t="shared" si="3988"/>
        <v>0</v>
      </c>
      <c r="N1166" s="77">
        <f t="shared" si="3989"/>
        <v>0</v>
      </c>
      <c r="O1166" s="77">
        <f t="shared" si="3990"/>
        <v>4.9999999999999992E-3</v>
      </c>
      <c r="P1166" s="77">
        <f t="shared" si="3991"/>
        <v>4.1762458919303302E-4</v>
      </c>
      <c r="R1166" t="s">
        <v>177</v>
      </c>
      <c r="S1166" t="s">
        <v>180</v>
      </c>
      <c r="T1166" s="197" t="str">
        <f t="shared" si="4022"/>
        <v>Autopilot_Opportunity_463</v>
      </c>
      <c r="U1166">
        <v>463</v>
      </c>
      <c r="V1166">
        <f>VLOOKUP($U1166,'[2]AP Opportunity'!$Q$1:$T$542,2,FALSE)</f>
        <v>0.99999997777777772</v>
      </c>
      <c r="W1166">
        <f>VLOOKUP($U1166,'[2]AP Opportunity'!$Q$1:$T$542,3,FALSE)</f>
        <v>2.2222222284540294E-8</v>
      </c>
      <c r="X1166">
        <f>VLOOKUP($U1166,'[2]AP Opportunity'!$Q$1:$T$542,4,FALSE)</f>
        <v>0</v>
      </c>
      <c r="Y1166" s="77">
        <f t="shared" si="4023"/>
        <v>1</v>
      </c>
      <c r="Z1166" s="77">
        <f t="shared" ref="Z1166:Z1229" si="4027">SUMPRODUCT($V$1:$X$1,V1166:X1166)</f>
        <v>6.4624999704999977E-2</v>
      </c>
      <c r="AA1166" s="77">
        <f t="shared" ref="AA1166:AA1229" si="4028">(1+Z1166)^(1/12)-1</f>
        <v>5.2321923767311151E-3</v>
      </c>
      <c r="AB1166" s="79">
        <v>1</v>
      </c>
      <c r="AC1166" s="77">
        <f t="shared" si="3992"/>
        <v>8.499999955555556E-3</v>
      </c>
      <c r="AD1166" s="77">
        <f t="shared" ref="AD1166" si="4029">1-(1-AC1166)^(1/12)</f>
        <v>7.1110795759765644E-4</v>
      </c>
      <c r="AE1166" s="77">
        <f t="shared" si="3994"/>
        <v>2.5000000000000001E-3</v>
      </c>
      <c r="AF1166" s="77">
        <f t="shared" ref="AF1166" si="4030">1-(1-AE1166)^(1/12)</f>
        <v>2.0857243058891584E-4</v>
      </c>
      <c r="AH1166" t="s">
        <v>175</v>
      </c>
      <c r="AI1166" t="s">
        <v>180</v>
      </c>
      <c r="AJ1166" s="197" t="str">
        <f t="shared" si="3985"/>
        <v>Lifecycle_Opportunity_463</v>
      </c>
      <c r="AK1166">
        <v>463</v>
      </c>
      <c r="AL1166">
        <f>VLOOKUP($U1166,[2]Standard_Opportunity!$Q$1:$T$542,2,FALSE)</f>
        <v>0.99999997777777772</v>
      </c>
      <c r="AM1166">
        <f>VLOOKUP($U1166,[2]Standard_Opportunity!$Q$1:$T$542,3,FALSE)</f>
        <v>2.2222222284540294E-8</v>
      </c>
      <c r="AN1166">
        <f>VLOOKUP($U1166,[2]Standard_Opportunity!$Q$1:$T$542,4,FALSE)</f>
        <v>0</v>
      </c>
      <c r="AO1166" s="77">
        <f t="shared" si="3986"/>
        <v>1</v>
      </c>
      <c r="AP1166" s="77">
        <f t="shared" si="3996"/>
        <v>6.4624999704999977E-2</v>
      </c>
      <c r="AQ1166" s="77">
        <f t="shared" si="3987"/>
        <v>5.2321923767311151E-3</v>
      </c>
      <c r="AR1166" s="79">
        <v>0</v>
      </c>
      <c r="AS1166" s="77">
        <f t="shared" si="3997"/>
        <v>0</v>
      </c>
      <c r="AT1166" s="77">
        <f t="shared" si="3998"/>
        <v>0</v>
      </c>
      <c r="AU1166" s="77">
        <f t="shared" si="3999"/>
        <v>2.5000000000000001E-3</v>
      </c>
      <c r="AV1166" s="77">
        <f t="shared" si="4000"/>
        <v>2.0809499864316017E-4</v>
      </c>
    </row>
    <row r="1167" spans="1:48">
      <c r="A1167" t="s">
        <v>175</v>
      </c>
      <c r="B1167" t="s">
        <v>180</v>
      </c>
      <c r="C1167" s="197" t="str">
        <f t="shared" si="4021"/>
        <v>Lifecycle_Opportunity_462</v>
      </c>
      <c r="D1167">
        <v>462</v>
      </c>
      <c r="E1167">
        <f>VLOOKUP($D1167,'[2]LC Opportunity'!$Q$2:$U$542,2,FALSE)</f>
        <v>0</v>
      </c>
      <c r="F1167">
        <f>VLOOKUP($D1167,'[2]LC Opportunity'!$Q$2:$U$542,3,FALSE)</f>
        <v>0</v>
      </c>
      <c r="G1167">
        <f>VLOOKUP($D1167,'[2]LC Opportunity'!$Q$2:$U$542,4,FALSE)</f>
        <v>0</v>
      </c>
      <c r="H1167">
        <f>VLOOKUP($D1167,'[2]LC Opportunity'!$Q$2:$U$542,5,FALSE)</f>
        <v>0.99999999999999989</v>
      </c>
      <c r="I1167" s="77">
        <f t="shared" si="3981"/>
        <v>0.99999999999999989</v>
      </c>
      <c r="J1167" s="77">
        <f t="shared" si="3982"/>
        <v>7.1999999999999981E-2</v>
      </c>
      <c r="K1167" s="77">
        <f t="shared" si="4026"/>
        <v>5.8106552987937654E-3</v>
      </c>
      <c r="L1167" s="76">
        <v>0</v>
      </c>
      <c r="M1167" s="77">
        <f t="shared" si="3988"/>
        <v>0</v>
      </c>
      <c r="N1167" s="77">
        <f t="shared" si="3989"/>
        <v>0</v>
      </c>
      <c r="O1167" s="77">
        <f t="shared" si="3990"/>
        <v>4.9999999999999992E-3</v>
      </c>
      <c r="P1167" s="77">
        <f t="shared" si="3991"/>
        <v>4.1762458919303302E-4</v>
      </c>
      <c r="R1167" t="s">
        <v>177</v>
      </c>
      <c r="S1167" t="s">
        <v>180</v>
      </c>
      <c r="T1167" s="197" t="str">
        <f t="shared" si="4022"/>
        <v>Autopilot_Opportunity_462</v>
      </c>
      <c r="U1167">
        <v>462</v>
      </c>
      <c r="V1167">
        <f>VLOOKUP($U1167,'[2]AP Opportunity'!$Q$1:$T$542,2,FALSE)</f>
        <v>0.99999997777777772</v>
      </c>
      <c r="W1167">
        <f>VLOOKUP($U1167,'[2]AP Opportunity'!$Q$1:$T$542,3,FALSE)</f>
        <v>2.2222222284540294E-8</v>
      </c>
      <c r="X1167">
        <f>VLOOKUP($U1167,'[2]AP Opportunity'!$Q$1:$T$542,4,FALSE)</f>
        <v>0</v>
      </c>
      <c r="Y1167" s="77">
        <f t="shared" si="4023"/>
        <v>1</v>
      </c>
      <c r="Z1167" s="77">
        <f t="shared" si="4027"/>
        <v>6.4624999704999977E-2</v>
      </c>
      <c r="AA1167" s="77">
        <f t="shared" si="4028"/>
        <v>5.2321923767311151E-3</v>
      </c>
      <c r="AB1167" s="79">
        <v>1</v>
      </c>
      <c r="AC1167" s="77">
        <f t="shared" si="3992"/>
        <v>8.499999955555556E-3</v>
      </c>
      <c r="AD1167" s="77">
        <f t="shared" ref="AD1167" si="4031">1-(1-AC1167)^(1/12)</f>
        <v>7.1110795759765644E-4</v>
      </c>
      <c r="AE1167" s="77">
        <f t="shared" si="3994"/>
        <v>2.5000000000000001E-3</v>
      </c>
      <c r="AF1167" s="77">
        <f t="shared" ref="AF1167" si="4032">1-(1-AE1167)^(1/12)</f>
        <v>2.0857243058891584E-4</v>
      </c>
      <c r="AH1167" t="s">
        <v>175</v>
      </c>
      <c r="AI1167" t="s">
        <v>180</v>
      </c>
      <c r="AJ1167" s="197" t="str">
        <f t="shared" si="3985"/>
        <v>Lifecycle_Opportunity_462</v>
      </c>
      <c r="AK1167">
        <v>462</v>
      </c>
      <c r="AL1167">
        <f>VLOOKUP($U1167,[2]Standard_Opportunity!$Q$1:$T$542,2,FALSE)</f>
        <v>0.99999997777777772</v>
      </c>
      <c r="AM1167">
        <f>VLOOKUP($U1167,[2]Standard_Opportunity!$Q$1:$T$542,3,FALSE)</f>
        <v>2.2222222284540294E-8</v>
      </c>
      <c r="AN1167">
        <f>VLOOKUP($U1167,[2]Standard_Opportunity!$Q$1:$T$542,4,FALSE)</f>
        <v>0</v>
      </c>
      <c r="AO1167" s="77">
        <f t="shared" si="3986"/>
        <v>1</v>
      </c>
      <c r="AP1167" s="77">
        <f t="shared" si="3996"/>
        <v>6.4624999704999977E-2</v>
      </c>
      <c r="AQ1167" s="77">
        <f t="shared" si="3987"/>
        <v>5.2321923767311151E-3</v>
      </c>
      <c r="AR1167" s="79">
        <v>0</v>
      </c>
      <c r="AS1167" s="77">
        <f t="shared" si="3997"/>
        <v>0</v>
      </c>
      <c r="AT1167" s="77">
        <f t="shared" si="3998"/>
        <v>0</v>
      </c>
      <c r="AU1167" s="77">
        <f t="shared" si="3999"/>
        <v>2.5000000000000001E-3</v>
      </c>
      <c r="AV1167" s="77">
        <f t="shared" si="4000"/>
        <v>2.0809499864316017E-4</v>
      </c>
    </row>
    <row r="1168" spans="1:48">
      <c r="A1168" t="s">
        <v>175</v>
      </c>
      <c r="B1168" t="s">
        <v>180</v>
      </c>
      <c r="C1168" s="197" t="str">
        <f t="shared" si="4021"/>
        <v>Lifecycle_Opportunity_461</v>
      </c>
      <c r="D1168">
        <v>461</v>
      </c>
      <c r="E1168">
        <f>VLOOKUP($D1168,'[2]LC Opportunity'!$Q$2:$U$542,2,FALSE)</f>
        <v>0</v>
      </c>
      <c r="F1168">
        <f>VLOOKUP($D1168,'[2]LC Opportunity'!$Q$2:$U$542,3,FALSE)</f>
        <v>0</v>
      </c>
      <c r="G1168">
        <f>VLOOKUP($D1168,'[2]LC Opportunity'!$Q$2:$U$542,4,FALSE)</f>
        <v>0</v>
      </c>
      <c r="H1168">
        <f>VLOOKUP($D1168,'[2]LC Opportunity'!$Q$2:$U$542,5,FALSE)</f>
        <v>0.99999999999999989</v>
      </c>
      <c r="I1168" s="77">
        <f t="shared" si="3981"/>
        <v>0.99999999999999989</v>
      </c>
      <c r="J1168" s="77">
        <f t="shared" si="3982"/>
        <v>7.1999999999999981E-2</v>
      </c>
      <c r="K1168" s="77">
        <f t="shared" si="4026"/>
        <v>5.8106552987937654E-3</v>
      </c>
      <c r="L1168" s="76">
        <v>0</v>
      </c>
      <c r="M1168" s="77">
        <f t="shared" si="3988"/>
        <v>0</v>
      </c>
      <c r="N1168" s="77">
        <f t="shared" si="3989"/>
        <v>0</v>
      </c>
      <c r="O1168" s="77">
        <f t="shared" si="3990"/>
        <v>4.9999999999999992E-3</v>
      </c>
      <c r="P1168" s="77">
        <f t="shared" si="3991"/>
        <v>4.1762458919303302E-4</v>
      </c>
      <c r="R1168" t="s">
        <v>177</v>
      </c>
      <c r="S1168" t="s">
        <v>180</v>
      </c>
      <c r="T1168" s="197" t="str">
        <f t="shared" si="4022"/>
        <v>Autopilot_Opportunity_461</v>
      </c>
      <c r="U1168">
        <v>461</v>
      </c>
      <c r="V1168">
        <f>VLOOKUP($U1168,'[2]AP Opportunity'!$Q$1:$T$542,2,FALSE)</f>
        <v>0.99999997777777772</v>
      </c>
      <c r="W1168">
        <f>VLOOKUP($U1168,'[2]AP Opportunity'!$Q$1:$T$542,3,FALSE)</f>
        <v>2.2222222284540294E-8</v>
      </c>
      <c r="X1168">
        <f>VLOOKUP($U1168,'[2]AP Opportunity'!$Q$1:$T$542,4,FALSE)</f>
        <v>0</v>
      </c>
      <c r="Y1168" s="77">
        <f t="shared" si="4023"/>
        <v>1</v>
      </c>
      <c r="Z1168" s="77">
        <f t="shared" si="4027"/>
        <v>6.4624999704999977E-2</v>
      </c>
      <c r="AA1168" s="77">
        <f t="shared" si="4028"/>
        <v>5.2321923767311151E-3</v>
      </c>
      <c r="AB1168" s="79">
        <v>1</v>
      </c>
      <c r="AC1168" s="77">
        <f t="shared" si="3992"/>
        <v>8.499999955555556E-3</v>
      </c>
      <c r="AD1168" s="77">
        <f t="shared" ref="AD1168" si="4033">1-(1-AC1168)^(1/12)</f>
        <v>7.1110795759765644E-4</v>
      </c>
      <c r="AE1168" s="77">
        <f t="shared" si="3994"/>
        <v>2.5000000000000001E-3</v>
      </c>
      <c r="AF1168" s="77">
        <f t="shared" ref="AF1168" si="4034">1-(1-AE1168)^(1/12)</f>
        <v>2.0857243058891584E-4</v>
      </c>
      <c r="AH1168" t="s">
        <v>175</v>
      </c>
      <c r="AI1168" t="s">
        <v>180</v>
      </c>
      <c r="AJ1168" s="197" t="str">
        <f t="shared" si="3985"/>
        <v>Lifecycle_Opportunity_461</v>
      </c>
      <c r="AK1168">
        <v>461</v>
      </c>
      <c r="AL1168">
        <f>VLOOKUP($U1168,[2]Standard_Opportunity!$Q$1:$T$542,2,FALSE)</f>
        <v>0.99999997777777772</v>
      </c>
      <c r="AM1168">
        <f>VLOOKUP($U1168,[2]Standard_Opportunity!$Q$1:$T$542,3,FALSE)</f>
        <v>2.2222222284540294E-8</v>
      </c>
      <c r="AN1168">
        <f>VLOOKUP($U1168,[2]Standard_Opportunity!$Q$1:$T$542,4,FALSE)</f>
        <v>0</v>
      </c>
      <c r="AO1168" s="77">
        <f t="shared" si="3986"/>
        <v>1</v>
      </c>
      <c r="AP1168" s="77">
        <f t="shared" si="3996"/>
        <v>6.4624999704999977E-2</v>
      </c>
      <c r="AQ1168" s="77">
        <f t="shared" si="3987"/>
        <v>5.2321923767311151E-3</v>
      </c>
      <c r="AR1168" s="79">
        <v>0</v>
      </c>
      <c r="AS1168" s="77">
        <f t="shared" si="3997"/>
        <v>0</v>
      </c>
      <c r="AT1168" s="77">
        <f t="shared" si="3998"/>
        <v>0</v>
      </c>
      <c r="AU1168" s="77">
        <f t="shared" si="3999"/>
        <v>2.5000000000000001E-3</v>
      </c>
      <c r="AV1168" s="77">
        <f t="shared" si="4000"/>
        <v>2.0809499864316017E-4</v>
      </c>
    </row>
    <row r="1169" spans="1:48">
      <c r="A1169" t="s">
        <v>175</v>
      </c>
      <c r="B1169" t="s">
        <v>180</v>
      </c>
      <c r="C1169" s="197" t="str">
        <f t="shared" si="4021"/>
        <v>Lifecycle_Opportunity_460</v>
      </c>
      <c r="D1169">
        <v>460</v>
      </c>
      <c r="E1169">
        <f>VLOOKUP($D1169,'[2]LC Opportunity'!$Q$2:$U$542,2,FALSE)</f>
        <v>0</v>
      </c>
      <c r="F1169">
        <f>VLOOKUP($D1169,'[2]LC Opportunity'!$Q$2:$U$542,3,FALSE)</f>
        <v>0</v>
      </c>
      <c r="G1169">
        <f>VLOOKUP($D1169,'[2]LC Opportunity'!$Q$2:$U$542,4,FALSE)</f>
        <v>0</v>
      </c>
      <c r="H1169">
        <f>VLOOKUP($D1169,'[2]LC Opportunity'!$Q$2:$U$542,5,FALSE)</f>
        <v>0.99999999999999989</v>
      </c>
      <c r="I1169" s="77">
        <f t="shared" si="3981"/>
        <v>0.99999999999999989</v>
      </c>
      <c r="J1169" s="77">
        <f t="shared" si="3982"/>
        <v>7.1999999999999981E-2</v>
      </c>
      <c r="K1169" s="77">
        <f t="shared" si="4026"/>
        <v>5.8106552987937654E-3</v>
      </c>
      <c r="L1169" s="76">
        <v>0</v>
      </c>
      <c r="M1169" s="77">
        <f t="shared" si="3988"/>
        <v>0</v>
      </c>
      <c r="N1169" s="77">
        <f t="shared" si="3989"/>
        <v>0</v>
      </c>
      <c r="O1169" s="77">
        <f t="shared" si="3990"/>
        <v>4.9999999999999992E-3</v>
      </c>
      <c r="P1169" s="77">
        <f t="shared" si="3991"/>
        <v>4.1762458919303302E-4</v>
      </c>
      <c r="R1169" t="s">
        <v>177</v>
      </c>
      <c r="S1169" t="s">
        <v>180</v>
      </c>
      <c r="T1169" s="197" t="str">
        <f t="shared" si="4022"/>
        <v>Autopilot_Opportunity_460</v>
      </c>
      <c r="U1169">
        <v>460</v>
      </c>
      <c r="V1169">
        <f>VLOOKUP($U1169,'[2]AP Opportunity'!$Q$1:$T$542,2,FALSE)</f>
        <v>0.99999997777777772</v>
      </c>
      <c r="W1169">
        <f>VLOOKUP($U1169,'[2]AP Opportunity'!$Q$1:$T$542,3,FALSE)</f>
        <v>2.2222222284540294E-8</v>
      </c>
      <c r="X1169">
        <f>VLOOKUP($U1169,'[2]AP Opportunity'!$Q$1:$T$542,4,FALSE)</f>
        <v>0</v>
      </c>
      <c r="Y1169" s="77">
        <f t="shared" si="4023"/>
        <v>1</v>
      </c>
      <c r="Z1169" s="77">
        <f t="shared" si="4027"/>
        <v>6.4624999704999977E-2</v>
      </c>
      <c r="AA1169" s="77">
        <f t="shared" si="4028"/>
        <v>5.2321923767311151E-3</v>
      </c>
      <c r="AB1169" s="79">
        <v>1</v>
      </c>
      <c r="AC1169" s="77">
        <f t="shared" si="3992"/>
        <v>8.499999955555556E-3</v>
      </c>
      <c r="AD1169" s="77">
        <f t="shared" ref="AD1169" si="4035">1-(1-AC1169)^(1/12)</f>
        <v>7.1110795759765644E-4</v>
      </c>
      <c r="AE1169" s="77">
        <f t="shared" si="3994"/>
        <v>2.5000000000000001E-3</v>
      </c>
      <c r="AF1169" s="77">
        <f t="shared" ref="AF1169" si="4036">1-(1-AE1169)^(1/12)</f>
        <v>2.0857243058891584E-4</v>
      </c>
      <c r="AH1169" t="s">
        <v>175</v>
      </c>
      <c r="AI1169" t="s">
        <v>180</v>
      </c>
      <c r="AJ1169" s="197" t="str">
        <f t="shared" si="3985"/>
        <v>Lifecycle_Opportunity_460</v>
      </c>
      <c r="AK1169">
        <v>460</v>
      </c>
      <c r="AL1169">
        <f>VLOOKUP($U1169,[2]Standard_Opportunity!$Q$1:$T$542,2,FALSE)</f>
        <v>0.99999997777777772</v>
      </c>
      <c r="AM1169">
        <f>VLOOKUP($U1169,[2]Standard_Opportunity!$Q$1:$T$542,3,FALSE)</f>
        <v>2.2222222284540294E-8</v>
      </c>
      <c r="AN1169">
        <f>VLOOKUP($U1169,[2]Standard_Opportunity!$Q$1:$T$542,4,FALSE)</f>
        <v>0</v>
      </c>
      <c r="AO1169" s="77">
        <f t="shared" si="3986"/>
        <v>1</v>
      </c>
      <c r="AP1169" s="77">
        <f t="shared" si="3996"/>
        <v>6.4624999704999977E-2</v>
      </c>
      <c r="AQ1169" s="77">
        <f t="shared" si="3987"/>
        <v>5.2321923767311151E-3</v>
      </c>
      <c r="AR1169" s="79">
        <v>0</v>
      </c>
      <c r="AS1169" s="77">
        <f t="shared" si="3997"/>
        <v>0</v>
      </c>
      <c r="AT1169" s="77">
        <f t="shared" si="3998"/>
        <v>0</v>
      </c>
      <c r="AU1169" s="77">
        <f t="shared" si="3999"/>
        <v>2.5000000000000001E-3</v>
      </c>
      <c r="AV1169" s="77">
        <f t="shared" si="4000"/>
        <v>2.0809499864316017E-4</v>
      </c>
    </row>
    <row r="1170" spans="1:48">
      <c r="A1170" t="s">
        <v>175</v>
      </c>
      <c r="B1170" t="s">
        <v>180</v>
      </c>
      <c r="C1170" s="197" t="str">
        <f t="shared" si="4021"/>
        <v>Lifecycle_Opportunity_459</v>
      </c>
      <c r="D1170">
        <v>459</v>
      </c>
      <c r="E1170">
        <f>VLOOKUP($D1170,'[2]LC Opportunity'!$Q$2:$U$542,2,FALSE)</f>
        <v>0</v>
      </c>
      <c r="F1170">
        <f>VLOOKUP($D1170,'[2]LC Opportunity'!$Q$2:$U$542,3,FALSE)</f>
        <v>0</v>
      </c>
      <c r="G1170">
        <f>VLOOKUP($D1170,'[2]LC Opportunity'!$Q$2:$U$542,4,FALSE)</f>
        <v>0</v>
      </c>
      <c r="H1170">
        <f>VLOOKUP($D1170,'[2]LC Opportunity'!$Q$2:$U$542,5,FALSE)</f>
        <v>0.99999999999999989</v>
      </c>
      <c r="I1170" s="77">
        <f t="shared" si="3981"/>
        <v>0.99999999999999989</v>
      </c>
      <c r="J1170" s="77">
        <f t="shared" si="3982"/>
        <v>7.1999999999999981E-2</v>
      </c>
      <c r="K1170" s="77">
        <f t="shared" si="4026"/>
        <v>5.8106552987937654E-3</v>
      </c>
      <c r="L1170" s="76">
        <v>0</v>
      </c>
      <c r="M1170" s="77">
        <f t="shared" si="3988"/>
        <v>0</v>
      </c>
      <c r="N1170" s="77">
        <f t="shared" si="3989"/>
        <v>0</v>
      </c>
      <c r="O1170" s="77">
        <f t="shared" si="3990"/>
        <v>4.9999999999999992E-3</v>
      </c>
      <c r="P1170" s="77">
        <f t="shared" si="3991"/>
        <v>4.1762458919303302E-4</v>
      </c>
      <c r="R1170" t="s">
        <v>177</v>
      </c>
      <c r="S1170" t="s">
        <v>180</v>
      </c>
      <c r="T1170" s="197" t="str">
        <f t="shared" si="4022"/>
        <v>Autopilot_Opportunity_459</v>
      </c>
      <c r="U1170">
        <v>459</v>
      </c>
      <c r="V1170">
        <f>VLOOKUP($U1170,'[2]AP Opportunity'!$Q$1:$T$542,2,FALSE)</f>
        <v>0.99999997777777772</v>
      </c>
      <c r="W1170">
        <f>VLOOKUP($U1170,'[2]AP Opportunity'!$Q$1:$T$542,3,FALSE)</f>
        <v>2.2222222284540294E-8</v>
      </c>
      <c r="X1170">
        <f>VLOOKUP($U1170,'[2]AP Opportunity'!$Q$1:$T$542,4,FALSE)</f>
        <v>0</v>
      </c>
      <c r="Y1170" s="77">
        <f t="shared" si="4023"/>
        <v>1</v>
      </c>
      <c r="Z1170" s="77">
        <f t="shared" si="4027"/>
        <v>6.4624999704999977E-2</v>
      </c>
      <c r="AA1170" s="77">
        <f t="shared" si="4028"/>
        <v>5.2321923767311151E-3</v>
      </c>
      <c r="AB1170" s="79">
        <v>1</v>
      </c>
      <c r="AC1170" s="77">
        <f t="shared" si="3992"/>
        <v>8.499999955555556E-3</v>
      </c>
      <c r="AD1170" s="77">
        <f t="shared" ref="AD1170" si="4037">1-(1-AC1170)^(1/12)</f>
        <v>7.1110795759765644E-4</v>
      </c>
      <c r="AE1170" s="77">
        <f t="shared" si="3994"/>
        <v>2.5000000000000001E-3</v>
      </c>
      <c r="AF1170" s="77">
        <f t="shared" ref="AF1170" si="4038">1-(1-AE1170)^(1/12)</f>
        <v>2.0857243058891584E-4</v>
      </c>
      <c r="AH1170" t="s">
        <v>175</v>
      </c>
      <c r="AI1170" t="s">
        <v>180</v>
      </c>
      <c r="AJ1170" s="197" t="str">
        <f t="shared" si="3985"/>
        <v>Lifecycle_Opportunity_459</v>
      </c>
      <c r="AK1170">
        <v>459</v>
      </c>
      <c r="AL1170">
        <f>VLOOKUP($U1170,[2]Standard_Opportunity!$Q$1:$T$542,2,FALSE)</f>
        <v>0.99999997777777772</v>
      </c>
      <c r="AM1170">
        <f>VLOOKUP($U1170,[2]Standard_Opportunity!$Q$1:$T$542,3,FALSE)</f>
        <v>2.2222222284540294E-8</v>
      </c>
      <c r="AN1170">
        <f>VLOOKUP($U1170,[2]Standard_Opportunity!$Q$1:$T$542,4,FALSE)</f>
        <v>0</v>
      </c>
      <c r="AO1170" s="77">
        <f t="shared" si="3986"/>
        <v>1</v>
      </c>
      <c r="AP1170" s="77">
        <f t="shared" si="3996"/>
        <v>6.4624999704999977E-2</v>
      </c>
      <c r="AQ1170" s="77">
        <f t="shared" si="3987"/>
        <v>5.2321923767311151E-3</v>
      </c>
      <c r="AR1170" s="79">
        <v>0</v>
      </c>
      <c r="AS1170" s="77">
        <f t="shared" si="3997"/>
        <v>0</v>
      </c>
      <c r="AT1170" s="77">
        <f t="shared" si="3998"/>
        <v>0</v>
      </c>
      <c r="AU1170" s="77">
        <f t="shared" si="3999"/>
        <v>2.5000000000000001E-3</v>
      </c>
      <c r="AV1170" s="77">
        <f t="shared" si="4000"/>
        <v>2.0809499864316017E-4</v>
      </c>
    </row>
    <row r="1171" spans="1:48">
      <c r="A1171" t="s">
        <v>175</v>
      </c>
      <c r="B1171" t="s">
        <v>180</v>
      </c>
      <c r="C1171" s="197" t="str">
        <f t="shared" si="4021"/>
        <v>Lifecycle_Opportunity_458</v>
      </c>
      <c r="D1171">
        <v>458</v>
      </c>
      <c r="E1171">
        <f>VLOOKUP($D1171,'[2]LC Opportunity'!$Q$2:$U$542,2,FALSE)</f>
        <v>0</v>
      </c>
      <c r="F1171">
        <f>VLOOKUP($D1171,'[2]LC Opportunity'!$Q$2:$U$542,3,FALSE)</f>
        <v>0</v>
      </c>
      <c r="G1171">
        <f>VLOOKUP($D1171,'[2]LC Opportunity'!$Q$2:$U$542,4,FALSE)</f>
        <v>0</v>
      </c>
      <c r="H1171">
        <f>VLOOKUP($D1171,'[2]LC Opportunity'!$Q$2:$U$542,5,FALSE)</f>
        <v>0.99999999999999989</v>
      </c>
      <c r="I1171" s="77">
        <f t="shared" si="3981"/>
        <v>0.99999999999999989</v>
      </c>
      <c r="J1171" s="77">
        <f t="shared" si="3982"/>
        <v>7.1999999999999981E-2</v>
      </c>
      <c r="K1171" s="77">
        <f t="shared" si="4026"/>
        <v>5.8106552987937654E-3</v>
      </c>
      <c r="L1171" s="76">
        <v>0</v>
      </c>
      <c r="M1171" s="77">
        <f t="shared" si="3988"/>
        <v>0</v>
      </c>
      <c r="N1171" s="77">
        <f t="shared" si="3989"/>
        <v>0</v>
      </c>
      <c r="O1171" s="77">
        <f t="shared" si="3990"/>
        <v>4.9999999999999992E-3</v>
      </c>
      <c r="P1171" s="77">
        <f t="shared" si="3991"/>
        <v>4.1762458919303302E-4</v>
      </c>
      <c r="R1171" t="s">
        <v>177</v>
      </c>
      <c r="S1171" t="s">
        <v>180</v>
      </c>
      <c r="T1171" s="197" t="str">
        <f t="shared" si="4022"/>
        <v>Autopilot_Opportunity_458</v>
      </c>
      <c r="U1171">
        <v>458</v>
      </c>
      <c r="V1171">
        <f>VLOOKUP($U1171,'[2]AP Opportunity'!$Q$1:$T$542,2,FALSE)</f>
        <v>0.99999997777777772</v>
      </c>
      <c r="W1171">
        <f>VLOOKUP($U1171,'[2]AP Opportunity'!$Q$1:$T$542,3,FALSE)</f>
        <v>2.2222222284540294E-8</v>
      </c>
      <c r="X1171">
        <f>VLOOKUP($U1171,'[2]AP Opportunity'!$Q$1:$T$542,4,FALSE)</f>
        <v>0</v>
      </c>
      <c r="Y1171" s="77">
        <f t="shared" si="4023"/>
        <v>1</v>
      </c>
      <c r="Z1171" s="77">
        <f t="shared" si="4027"/>
        <v>6.4624999704999977E-2</v>
      </c>
      <c r="AA1171" s="77">
        <f t="shared" si="4028"/>
        <v>5.2321923767311151E-3</v>
      </c>
      <c r="AB1171" s="79">
        <v>1</v>
      </c>
      <c r="AC1171" s="77">
        <f t="shared" si="3992"/>
        <v>8.499999955555556E-3</v>
      </c>
      <c r="AD1171" s="77">
        <f t="shared" ref="AD1171" si="4039">1-(1-AC1171)^(1/12)</f>
        <v>7.1110795759765644E-4</v>
      </c>
      <c r="AE1171" s="77">
        <f t="shared" si="3994"/>
        <v>2.5000000000000001E-3</v>
      </c>
      <c r="AF1171" s="77">
        <f t="shared" ref="AF1171" si="4040">1-(1-AE1171)^(1/12)</f>
        <v>2.0857243058891584E-4</v>
      </c>
      <c r="AH1171" t="s">
        <v>175</v>
      </c>
      <c r="AI1171" t="s">
        <v>180</v>
      </c>
      <c r="AJ1171" s="197" t="str">
        <f t="shared" si="3985"/>
        <v>Lifecycle_Opportunity_458</v>
      </c>
      <c r="AK1171">
        <v>458</v>
      </c>
      <c r="AL1171">
        <f>VLOOKUP($U1171,[2]Standard_Opportunity!$Q$1:$T$542,2,FALSE)</f>
        <v>0.99999997777777772</v>
      </c>
      <c r="AM1171">
        <f>VLOOKUP($U1171,[2]Standard_Opportunity!$Q$1:$T$542,3,FALSE)</f>
        <v>2.2222222284540294E-8</v>
      </c>
      <c r="AN1171">
        <f>VLOOKUP($U1171,[2]Standard_Opportunity!$Q$1:$T$542,4,FALSE)</f>
        <v>0</v>
      </c>
      <c r="AO1171" s="77">
        <f t="shared" si="3986"/>
        <v>1</v>
      </c>
      <c r="AP1171" s="77">
        <f t="shared" si="3996"/>
        <v>6.4624999704999977E-2</v>
      </c>
      <c r="AQ1171" s="77">
        <f t="shared" si="3987"/>
        <v>5.2321923767311151E-3</v>
      </c>
      <c r="AR1171" s="79">
        <v>0</v>
      </c>
      <c r="AS1171" s="77">
        <f t="shared" si="3997"/>
        <v>0</v>
      </c>
      <c r="AT1171" s="77">
        <f t="shared" si="3998"/>
        <v>0</v>
      </c>
      <c r="AU1171" s="77">
        <f t="shared" si="3999"/>
        <v>2.5000000000000001E-3</v>
      </c>
      <c r="AV1171" s="77">
        <f t="shared" si="4000"/>
        <v>2.0809499864316017E-4</v>
      </c>
    </row>
    <row r="1172" spans="1:48">
      <c r="A1172" t="s">
        <v>175</v>
      </c>
      <c r="B1172" t="s">
        <v>180</v>
      </c>
      <c r="C1172" s="197" t="str">
        <f t="shared" si="4021"/>
        <v>Lifecycle_Opportunity_457</v>
      </c>
      <c r="D1172">
        <v>457</v>
      </c>
      <c r="E1172">
        <f>VLOOKUP($D1172,'[2]LC Opportunity'!$Q$2:$U$542,2,FALSE)</f>
        <v>0</v>
      </c>
      <c r="F1172">
        <f>VLOOKUP($D1172,'[2]LC Opportunity'!$Q$2:$U$542,3,FALSE)</f>
        <v>0</v>
      </c>
      <c r="G1172">
        <f>VLOOKUP($D1172,'[2]LC Opportunity'!$Q$2:$U$542,4,FALSE)</f>
        <v>0</v>
      </c>
      <c r="H1172">
        <f>VLOOKUP($D1172,'[2]LC Opportunity'!$Q$2:$U$542,5,FALSE)</f>
        <v>0.99999999999999989</v>
      </c>
      <c r="I1172" s="77">
        <f t="shared" si="3981"/>
        <v>0.99999999999999989</v>
      </c>
      <c r="J1172" s="77">
        <f t="shared" si="3982"/>
        <v>7.1999999999999981E-2</v>
      </c>
      <c r="K1172" s="77">
        <f t="shared" si="4026"/>
        <v>5.8106552987937654E-3</v>
      </c>
      <c r="L1172" s="76">
        <v>0</v>
      </c>
      <c r="M1172" s="77">
        <f t="shared" si="3988"/>
        <v>0</v>
      </c>
      <c r="N1172" s="77">
        <f t="shared" si="3989"/>
        <v>0</v>
      </c>
      <c r="O1172" s="77">
        <f t="shared" si="3990"/>
        <v>4.9999999999999992E-3</v>
      </c>
      <c r="P1172" s="77">
        <f t="shared" si="3991"/>
        <v>4.1762458919303302E-4</v>
      </c>
      <c r="R1172" t="s">
        <v>177</v>
      </c>
      <c r="S1172" t="s">
        <v>180</v>
      </c>
      <c r="T1172" s="197" t="str">
        <f t="shared" si="4022"/>
        <v>Autopilot_Opportunity_457</v>
      </c>
      <c r="U1172">
        <v>457</v>
      </c>
      <c r="V1172">
        <f>VLOOKUP($U1172,'[2]AP Opportunity'!$Q$1:$T$542,2,FALSE)</f>
        <v>0.99999997777777772</v>
      </c>
      <c r="W1172">
        <f>VLOOKUP($U1172,'[2]AP Opportunity'!$Q$1:$T$542,3,FALSE)</f>
        <v>2.2222222284540294E-8</v>
      </c>
      <c r="X1172">
        <f>VLOOKUP($U1172,'[2]AP Opportunity'!$Q$1:$T$542,4,FALSE)</f>
        <v>0</v>
      </c>
      <c r="Y1172" s="77">
        <f t="shared" si="4023"/>
        <v>1</v>
      </c>
      <c r="Z1172" s="77">
        <f t="shared" si="4027"/>
        <v>6.4624999704999977E-2</v>
      </c>
      <c r="AA1172" s="77">
        <f t="shared" si="4028"/>
        <v>5.2321923767311151E-3</v>
      </c>
      <c r="AB1172" s="79">
        <v>1</v>
      </c>
      <c r="AC1172" s="77">
        <f t="shared" si="3992"/>
        <v>8.499999955555556E-3</v>
      </c>
      <c r="AD1172" s="77">
        <f t="shared" ref="AD1172" si="4041">1-(1-AC1172)^(1/12)</f>
        <v>7.1110795759765644E-4</v>
      </c>
      <c r="AE1172" s="77">
        <f t="shared" si="3994"/>
        <v>2.5000000000000001E-3</v>
      </c>
      <c r="AF1172" s="77">
        <f t="shared" ref="AF1172" si="4042">1-(1-AE1172)^(1/12)</f>
        <v>2.0857243058891584E-4</v>
      </c>
      <c r="AH1172" t="s">
        <v>175</v>
      </c>
      <c r="AI1172" t="s">
        <v>180</v>
      </c>
      <c r="AJ1172" s="197" t="str">
        <f t="shared" si="3985"/>
        <v>Lifecycle_Opportunity_457</v>
      </c>
      <c r="AK1172">
        <v>457</v>
      </c>
      <c r="AL1172">
        <f>VLOOKUP($U1172,[2]Standard_Opportunity!$Q$1:$T$542,2,FALSE)</f>
        <v>0.99999997777777772</v>
      </c>
      <c r="AM1172">
        <f>VLOOKUP($U1172,[2]Standard_Opportunity!$Q$1:$T$542,3,FALSE)</f>
        <v>2.2222222284540294E-8</v>
      </c>
      <c r="AN1172">
        <f>VLOOKUP($U1172,[2]Standard_Opportunity!$Q$1:$T$542,4,FALSE)</f>
        <v>0</v>
      </c>
      <c r="AO1172" s="77">
        <f t="shared" si="3986"/>
        <v>1</v>
      </c>
      <c r="AP1172" s="77">
        <f t="shared" si="3996"/>
        <v>6.4624999704999977E-2</v>
      </c>
      <c r="AQ1172" s="77">
        <f t="shared" si="3987"/>
        <v>5.2321923767311151E-3</v>
      </c>
      <c r="AR1172" s="79">
        <v>0</v>
      </c>
      <c r="AS1172" s="77">
        <f t="shared" si="3997"/>
        <v>0</v>
      </c>
      <c r="AT1172" s="77">
        <f t="shared" si="3998"/>
        <v>0</v>
      </c>
      <c r="AU1172" s="77">
        <f t="shared" si="3999"/>
        <v>2.5000000000000001E-3</v>
      </c>
      <c r="AV1172" s="77">
        <f t="shared" si="4000"/>
        <v>2.0809499864316017E-4</v>
      </c>
    </row>
    <row r="1173" spans="1:48">
      <c r="A1173" t="s">
        <v>175</v>
      </c>
      <c r="B1173" t="s">
        <v>180</v>
      </c>
      <c r="C1173" s="197" t="str">
        <f t="shared" si="4021"/>
        <v>Lifecycle_Opportunity_456</v>
      </c>
      <c r="D1173">
        <v>456</v>
      </c>
      <c r="E1173">
        <f>VLOOKUP($D1173,'[2]LC Opportunity'!$Q$2:$U$542,2,FALSE)</f>
        <v>0</v>
      </c>
      <c r="F1173">
        <f>VLOOKUP($D1173,'[2]LC Opportunity'!$Q$2:$U$542,3,FALSE)</f>
        <v>0</v>
      </c>
      <c r="G1173">
        <f>VLOOKUP($D1173,'[2]LC Opportunity'!$Q$2:$U$542,4,FALSE)</f>
        <v>0</v>
      </c>
      <c r="H1173">
        <f>VLOOKUP($D1173,'[2]LC Opportunity'!$Q$2:$U$542,5,FALSE)</f>
        <v>0.99999999999999989</v>
      </c>
      <c r="I1173" s="77">
        <f t="shared" si="3981"/>
        <v>0.99999999999999989</v>
      </c>
      <c r="J1173" s="77">
        <f t="shared" si="3982"/>
        <v>7.1999999999999981E-2</v>
      </c>
      <c r="K1173" s="77">
        <f t="shared" si="4026"/>
        <v>5.8106552987937654E-3</v>
      </c>
      <c r="L1173" s="76">
        <v>0</v>
      </c>
      <c r="M1173" s="77">
        <f t="shared" si="3988"/>
        <v>0</v>
      </c>
      <c r="N1173" s="77">
        <f t="shared" si="3989"/>
        <v>0</v>
      </c>
      <c r="O1173" s="77">
        <f t="shared" si="3990"/>
        <v>4.9999999999999992E-3</v>
      </c>
      <c r="P1173" s="77">
        <f t="shared" si="3991"/>
        <v>4.1762458919303302E-4</v>
      </c>
      <c r="R1173" t="s">
        <v>177</v>
      </c>
      <c r="S1173" t="s">
        <v>180</v>
      </c>
      <c r="T1173" s="197" t="str">
        <f t="shared" si="4022"/>
        <v>Autopilot_Opportunity_456</v>
      </c>
      <c r="U1173">
        <v>456</v>
      </c>
      <c r="V1173">
        <f>VLOOKUP($U1173,'[2]AP Opportunity'!$Q$1:$T$542,2,FALSE)</f>
        <v>0.99999997777777772</v>
      </c>
      <c r="W1173">
        <f>VLOOKUP($U1173,'[2]AP Opportunity'!$Q$1:$T$542,3,FALSE)</f>
        <v>2.2222222284540294E-8</v>
      </c>
      <c r="X1173">
        <f>VLOOKUP($U1173,'[2]AP Opportunity'!$Q$1:$T$542,4,FALSE)</f>
        <v>0</v>
      </c>
      <c r="Y1173" s="77">
        <f t="shared" si="4023"/>
        <v>1</v>
      </c>
      <c r="Z1173" s="77">
        <f t="shared" si="4027"/>
        <v>6.4624999704999977E-2</v>
      </c>
      <c r="AA1173" s="77">
        <f t="shared" si="4028"/>
        <v>5.2321923767311151E-3</v>
      </c>
      <c r="AB1173" s="79">
        <v>1</v>
      </c>
      <c r="AC1173" s="77">
        <f t="shared" si="3992"/>
        <v>8.499999955555556E-3</v>
      </c>
      <c r="AD1173" s="77">
        <f t="shared" ref="AD1173" si="4043">1-(1-AC1173)^(1/12)</f>
        <v>7.1110795759765644E-4</v>
      </c>
      <c r="AE1173" s="77">
        <f t="shared" si="3994"/>
        <v>2.5000000000000001E-3</v>
      </c>
      <c r="AF1173" s="77">
        <f t="shared" ref="AF1173" si="4044">1-(1-AE1173)^(1/12)</f>
        <v>2.0857243058891584E-4</v>
      </c>
      <c r="AH1173" t="s">
        <v>175</v>
      </c>
      <c r="AI1173" t="s">
        <v>180</v>
      </c>
      <c r="AJ1173" s="197" t="str">
        <f t="shared" si="3985"/>
        <v>Lifecycle_Opportunity_456</v>
      </c>
      <c r="AK1173">
        <v>456</v>
      </c>
      <c r="AL1173">
        <f>VLOOKUP($U1173,[2]Standard_Opportunity!$Q$1:$T$542,2,FALSE)</f>
        <v>0.99999997777777772</v>
      </c>
      <c r="AM1173">
        <f>VLOOKUP($U1173,[2]Standard_Opportunity!$Q$1:$T$542,3,FALSE)</f>
        <v>2.2222222284540294E-8</v>
      </c>
      <c r="AN1173">
        <f>VLOOKUP($U1173,[2]Standard_Opportunity!$Q$1:$T$542,4,FALSE)</f>
        <v>0</v>
      </c>
      <c r="AO1173" s="77">
        <f t="shared" si="3986"/>
        <v>1</v>
      </c>
      <c r="AP1173" s="77">
        <f t="shared" si="3996"/>
        <v>6.4624999704999977E-2</v>
      </c>
      <c r="AQ1173" s="77">
        <f t="shared" si="3987"/>
        <v>5.2321923767311151E-3</v>
      </c>
      <c r="AR1173" s="79">
        <v>0</v>
      </c>
      <c r="AS1173" s="77">
        <f t="shared" si="3997"/>
        <v>0</v>
      </c>
      <c r="AT1173" s="77">
        <f t="shared" si="3998"/>
        <v>0</v>
      </c>
      <c r="AU1173" s="77">
        <f t="shared" si="3999"/>
        <v>2.5000000000000001E-3</v>
      </c>
      <c r="AV1173" s="77">
        <f t="shared" si="4000"/>
        <v>2.0809499864316017E-4</v>
      </c>
    </row>
    <row r="1174" spans="1:48">
      <c r="A1174" t="s">
        <v>175</v>
      </c>
      <c r="B1174" t="s">
        <v>180</v>
      </c>
      <c r="C1174" s="197" t="str">
        <f t="shared" si="4021"/>
        <v>Lifecycle_Opportunity_455</v>
      </c>
      <c r="D1174">
        <v>455</v>
      </c>
      <c r="E1174">
        <f>VLOOKUP($D1174,'[2]LC Opportunity'!$Q$2:$U$542,2,FALSE)</f>
        <v>0</v>
      </c>
      <c r="F1174">
        <f>VLOOKUP($D1174,'[2]LC Opportunity'!$Q$2:$U$542,3,FALSE)</f>
        <v>0</v>
      </c>
      <c r="G1174">
        <f>VLOOKUP($D1174,'[2]LC Opportunity'!$Q$2:$U$542,4,FALSE)</f>
        <v>0</v>
      </c>
      <c r="H1174">
        <f>VLOOKUP($D1174,'[2]LC Opportunity'!$Q$2:$U$542,5,FALSE)</f>
        <v>0.99999999999999989</v>
      </c>
      <c r="I1174" s="77">
        <f t="shared" si="3981"/>
        <v>0.99999999999999989</v>
      </c>
      <c r="J1174" s="77">
        <f t="shared" si="3982"/>
        <v>7.1999999999999981E-2</v>
      </c>
      <c r="K1174" s="77">
        <f t="shared" si="4026"/>
        <v>5.8106552987937654E-3</v>
      </c>
      <c r="L1174" s="76">
        <v>0</v>
      </c>
      <c r="M1174" s="77">
        <f t="shared" si="3988"/>
        <v>0</v>
      </c>
      <c r="N1174" s="77">
        <f t="shared" si="3989"/>
        <v>0</v>
      </c>
      <c r="O1174" s="77">
        <f t="shared" si="3990"/>
        <v>4.9999999999999992E-3</v>
      </c>
      <c r="P1174" s="77">
        <f t="shared" si="3991"/>
        <v>4.1762458919303302E-4</v>
      </c>
      <c r="R1174" t="s">
        <v>177</v>
      </c>
      <c r="S1174" t="s">
        <v>180</v>
      </c>
      <c r="T1174" s="197" t="str">
        <f t="shared" si="4022"/>
        <v>Autopilot_Opportunity_455</v>
      </c>
      <c r="U1174">
        <v>455</v>
      </c>
      <c r="V1174">
        <f>VLOOKUP($U1174,'[2]AP Opportunity'!$Q$1:$T$542,2,FALSE)</f>
        <v>0.99999997777777772</v>
      </c>
      <c r="W1174">
        <f>VLOOKUP($U1174,'[2]AP Opportunity'!$Q$1:$T$542,3,FALSE)</f>
        <v>2.2222222284540294E-8</v>
      </c>
      <c r="X1174">
        <f>VLOOKUP($U1174,'[2]AP Opportunity'!$Q$1:$T$542,4,FALSE)</f>
        <v>0</v>
      </c>
      <c r="Y1174" s="77">
        <f t="shared" si="4023"/>
        <v>1</v>
      </c>
      <c r="Z1174" s="77">
        <f t="shared" si="4027"/>
        <v>6.4624999704999977E-2</v>
      </c>
      <c r="AA1174" s="77">
        <f t="shared" si="4028"/>
        <v>5.2321923767311151E-3</v>
      </c>
      <c r="AB1174" s="79">
        <v>1</v>
      </c>
      <c r="AC1174" s="77">
        <f t="shared" si="3992"/>
        <v>8.499999955555556E-3</v>
      </c>
      <c r="AD1174" s="77">
        <f t="shared" ref="AD1174" si="4045">1-(1-AC1174)^(1/12)</f>
        <v>7.1110795759765644E-4</v>
      </c>
      <c r="AE1174" s="77">
        <f t="shared" si="3994"/>
        <v>2.5000000000000001E-3</v>
      </c>
      <c r="AF1174" s="77">
        <f t="shared" ref="AF1174" si="4046">1-(1-AE1174)^(1/12)</f>
        <v>2.0857243058891584E-4</v>
      </c>
      <c r="AH1174" t="s">
        <v>175</v>
      </c>
      <c r="AI1174" t="s">
        <v>180</v>
      </c>
      <c r="AJ1174" s="197" t="str">
        <f t="shared" si="3985"/>
        <v>Lifecycle_Opportunity_455</v>
      </c>
      <c r="AK1174">
        <v>455</v>
      </c>
      <c r="AL1174">
        <f>VLOOKUP($U1174,[2]Standard_Opportunity!$Q$1:$T$542,2,FALSE)</f>
        <v>0.99999997777777772</v>
      </c>
      <c r="AM1174">
        <f>VLOOKUP($U1174,[2]Standard_Opportunity!$Q$1:$T$542,3,FALSE)</f>
        <v>2.2222222284540294E-8</v>
      </c>
      <c r="AN1174">
        <f>VLOOKUP($U1174,[2]Standard_Opportunity!$Q$1:$T$542,4,FALSE)</f>
        <v>0</v>
      </c>
      <c r="AO1174" s="77">
        <f t="shared" si="3986"/>
        <v>1</v>
      </c>
      <c r="AP1174" s="77">
        <f t="shared" si="3996"/>
        <v>6.4624999704999977E-2</v>
      </c>
      <c r="AQ1174" s="77">
        <f t="shared" si="3987"/>
        <v>5.2321923767311151E-3</v>
      </c>
      <c r="AR1174" s="79">
        <v>0</v>
      </c>
      <c r="AS1174" s="77">
        <f t="shared" si="3997"/>
        <v>0</v>
      </c>
      <c r="AT1174" s="77">
        <f t="shared" si="3998"/>
        <v>0</v>
      </c>
      <c r="AU1174" s="77">
        <f t="shared" si="3999"/>
        <v>2.5000000000000001E-3</v>
      </c>
      <c r="AV1174" s="77">
        <f t="shared" si="4000"/>
        <v>2.0809499864316017E-4</v>
      </c>
    </row>
    <row r="1175" spans="1:48">
      <c r="A1175" t="s">
        <v>175</v>
      </c>
      <c r="B1175" t="s">
        <v>180</v>
      </c>
      <c r="C1175" s="197" t="str">
        <f t="shared" si="4021"/>
        <v>Lifecycle_Opportunity_454</v>
      </c>
      <c r="D1175">
        <v>454</v>
      </c>
      <c r="E1175">
        <f>VLOOKUP($D1175,'[2]LC Opportunity'!$Q$2:$U$542,2,FALSE)</f>
        <v>0</v>
      </c>
      <c r="F1175">
        <f>VLOOKUP($D1175,'[2]LC Opportunity'!$Q$2:$U$542,3,FALSE)</f>
        <v>0</v>
      </c>
      <c r="G1175">
        <f>VLOOKUP($D1175,'[2]LC Opportunity'!$Q$2:$U$542,4,FALSE)</f>
        <v>0</v>
      </c>
      <c r="H1175">
        <f>VLOOKUP($D1175,'[2]LC Opportunity'!$Q$2:$U$542,5,FALSE)</f>
        <v>0.99999999999999989</v>
      </c>
      <c r="I1175" s="77">
        <f t="shared" si="3981"/>
        <v>0.99999999999999989</v>
      </c>
      <c r="J1175" s="77">
        <f t="shared" si="3982"/>
        <v>7.1999999999999981E-2</v>
      </c>
      <c r="K1175" s="77">
        <f t="shared" si="4026"/>
        <v>5.8106552987937654E-3</v>
      </c>
      <c r="L1175" s="76">
        <v>0</v>
      </c>
      <c r="M1175" s="77">
        <f t="shared" si="3988"/>
        <v>0</v>
      </c>
      <c r="N1175" s="77">
        <f t="shared" si="3989"/>
        <v>0</v>
      </c>
      <c r="O1175" s="77">
        <f t="shared" si="3990"/>
        <v>4.9999999999999992E-3</v>
      </c>
      <c r="P1175" s="77">
        <f t="shared" si="3991"/>
        <v>4.1762458919303302E-4</v>
      </c>
      <c r="R1175" t="s">
        <v>177</v>
      </c>
      <c r="S1175" t="s">
        <v>180</v>
      </c>
      <c r="T1175" s="197" t="str">
        <f t="shared" si="4022"/>
        <v>Autopilot_Opportunity_454</v>
      </c>
      <c r="U1175">
        <v>454</v>
      </c>
      <c r="V1175">
        <f>VLOOKUP($U1175,'[2]AP Opportunity'!$Q$1:$T$542,2,FALSE)</f>
        <v>0.99999997777777772</v>
      </c>
      <c r="W1175">
        <f>VLOOKUP($U1175,'[2]AP Opportunity'!$Q$1:$T$542,3,FALSE)</f>
        <v>2.2222222284540294E-8</v>
      </c>
      <c r="X1175">
        <f>VLOOKUP($U1175,'[2]AP Opportunity'!$Q$1:$T$542,4,FALSE)</f>
        <v>0</v>
      </c>
      <c r="Y1175" s="77">
        <f t="shared" si="4023"/>
        <v>1</v>
      </c>
      <c r="Z1175" s="77">
        <f t="shared" si="4027"/>
        <v>6.4624999704999977E-2</v>
      </c>
      <c r="AA1175" s="77">
        <f t="shared" si="4028"/>
        <v>5.2321923767311151E-3</v>
      </c>
      <c r="AB1175" s="79">
        <v>1</v>
      </c>
      <c r="AC1175" s="77">
        <f t="shared" si="3992"/>
        <v>8.499999955555556E-3</v>
      </c>
      <c r="AD1175" s="77">
        <f t="shared" ref="AD1175" si="4047">1-(1-AC1175)^(1/12)</f>
        <v>7.1110795759765644E-4</v>
      </c>
      <c r="AE1175" s="77">
        <f t="shared" si="3994"/>
        <v>2.5000000000000001E-3</v>
      </c>
      <c r="AF1175" s="77">
        <f t="shared" ref="AF1175" si="4048">1-(1-AE1175)^(1/12)</f>
        <v>2.0857243058891584E-4</v>
      </c>
      <c r="AH1175" t="s">
        <v>175</v>
      </c>
      <c r="AI1175" t="s">
        <v>180</v>
      </c>
      <c r="AJ1175" s="197" t="str">
        <f t="shared" si="3985"/>
        <v>Lifecycle_Opportunity_454</v>
      </c>
      <c r="AK1175">
        <v>454</v>
      </c>
      <c r="AL1175">
        <f>VLOOKUP($U1175,[2]Standard_Opportunity!$Q$1:$T$542,2,FALSE)</f>
        <v>0.99999997777777772</v>
      </c>
      <c r="AM1175">
        <f>VLOOKUP($U1175,[2]Standard_Opportunity!$Q$1:$T$542,3,FALSE)</f>
        <v>2.2222222284540294E-8</v>
      </c>
      <c r="AN1175">
        <f>VLOOKUP($U1175,[2]Standard_Opportunity!$Q$1:$T$542,4,FALSE)</f>
        <v>0</v>
      </c>
      <c r="AO1175" s="77">
        <f t="shared" si="3986"/>
        <v>1</v>
      </c>
      <c r="AP1175" s="77">
        <f t="shared" si="3996"/>
        <v>6.4624999704999977E-2</v>
      </c>
      <c r="AQ1175" s="77">
        <f t="shared" si="3987"/>
        <v>5.2321923767311151E-3</v>
      </c>
      <c r="AR1175" s="79">
        <v>0</v>
      </c>
      <c r="AS1175" s="77">
        <f t="shared" si="3997"/>
        <v>0</v>
      </c>
      <c r="AT1175" s="77">
        <f t="shared" si="3998"/>
        <v>0</v>
      </c>
      <c r="AU1175" s="77">
        <f t="shared" si="3999"/>
        <v>2.5000000000000001E-3</v>
      </c>
      <c r="AV1175" s="77">
        <f t="shared" si="4000"/>
        <v>2.0809499864316017E-4</v>
      </c>
    </row>
    <row r="1176" spans="1:48">
      <c r="A1176" t="s">
        <v>175</v>
      </c>
      <c r="B1176" t="s">
        <v>180</v>
      </c>
      <c r="C1176" s="197" t="str">
        <f t="shared" si="4021"/>
        <v>Lifecycle_Opportunity_453</v>
      </c>
      <c r="D1176">
        <v>453</v>
      </c>
      <c r="E1176">
        <f>VLOOKUP($D1176,'[2]LC Opportunity'!$Q$2:$U$542,2,FALSE)</f>
        <v>0</v>
      </c>
      <c r="F1176">
        <f>VLOOKUP($D1176,'[2]LC Opportunity'!$Q$2:$U$542,3,FALSE)</f>
        <v>0</v>
      </c>
      <c r="G1176">
        <f>VLOOKUP($D1176,'[2]LC Opportunity'!$Q$2:$U$542,4,FALSE)</f>
        <v>0</v>
      </c>
      <c r="H1176">
        <f>VLOOKUP($D1176,'[2]LC Opportunity'!$Q$2:$U$542,5,FALSE)</f>
        <v>0.99999999999999989</v>
      </c>
      <c r="I1176" s="77">
        <f t="shared" si="3981"/>
        <v>0.99999999999999989</v>
      </c>
      <c r="J1176" s="77">
        <f t="shared" si="3982"/>
        <v>7.1999999999999981E-2</v>
      </c>
      <c r="K1176" s="77">
        <f t="shared" si="4026"/>
        <v>5.8106552987937654E-3</v>
      </c>
      <c r="L1176" s="76">
        <v>0</v>
      </c>
      <c r="M1176" s="77">
        <f t="shared" si="3988"/>
        <v>0</v>
      </c>
      <c r="N1176" s="77">
        <f t="shared" si="3989"/>
        <v>0</v>
      </c>
      <c r="O1176" s="77">
        <f t="shared" si="3990"/>
        <v>4.9999999999999992E-3</v>
      </c>
      <c r="P1176" s="77">
        <f t="shared" si="3991"/>
        <v>4.1762458919303302E-4</v>
      </c>
      <c r="R1176" t="s">
        <v>177</v>
      </c>
      <c r="S1176" t="s">
        <v>180</v>
      </c>
      <c r="T1176" s="197" t="str">
        <f t="shared" si="4022"/>
        <v>Autopilot_Opportunity_453</v>
      </c>
      <c r="U1176">
        <v>453</v>
      </c>
      <c r="V1176">
        <f>VLOOKUP($U1176,'[2]AP Opportunity'!$Q$1:$T$542,2,FALSE)</f>
        <v>0.99999997777777772</v>
      </c>
      <c r="W1176">
        <f>VLOOKUP($U1176,'[2]AP Opportunity'!$Q$1:$T$542,3,FALSE)</f>
        <v>2.2222222284540294E-8</v>
      </c>
      <c r="X1176">
        <f>VLOOKUP($U1176,'[2]AP Opportunity'!$Q$1:$T$542,4,FALSE)</f>
        <v>0</v>
      </c>
      <c r="Y1176" s="77">
        <f t="shared" si="4023"/>
        <v>1</v>
      </c>
      <c r="Z1176" s="77">
        <f t="shared" si="4027"/>
        <v>6.4624999704999977E-2</v>
      </c>
      <c r="AA1176" s="77">
        <f t="shared" si="4028"/>
        <v>5.2321923767311151E-3</v>
      </c>
      <c r="AB1176" s="79">
        <v>1</v>
      </c>
      <c r="AC1176" s="77">
        <f t="shared" si="3992"/>
        <v>8.499999955555556E-3</v>
      </c>
      <c r="AD1176" s="77">
        <f t="shared" ref="AD1176" si="4049">1-(1-AC1176)^(1/12)</f>
        <v>7.1110795759765644E-4</v>
      </c>
      <c r="AE1176" s="77">
        <f t="shared" si="3994"/>
        <v>2.5000000000000001E-3</v>
      </c>
      <c r="AF1176" s="77">
        <f t="shared" ref="AF1176" si="4050">1-(1-AE1176)^(1/12)</f>
        <v>2.0857243058891584E-4</v>
      </c>
      <c r="AH1176" t="s">
        <v>175</v>
      </c>
      <c r="AI1176" t="s">
        <v>180</v>
      </c>
      <c r="AJ1176" s="197" t="str">
        <f t="shared" si="3985"/>
        <v>Lifecycle_Opportunity_453</v>
      </c>
      <c r="AK1176">
        <v>453</v>
      </c>
      <c r="AL1176">
        <f>VLOOKUP($U1176,[2]Standard_Opportunity!$Q$1:$T$542,2,FALSE)</f>
        <v>0.99999997777777772</v>
      </c>
      <c r="AM1176">
        <f>VLOOKUP($U1176,[2]Standard_Opportunity!$Q$1:$T$542,3,FALSE)</f>
        <v>2.2222222284540294E-8</v>
      </c>
      <c r="AN1176">
        <f>VLOOKUP($U1176,[2]Standard_Opportunity!$Q$1:$T$542,4,FALSE)</f>
        <v>0</v>
      </c>
      <c r="AO1176" s="77">
        <f t="shared" si="3986"/>
        <v>1</v>
      </c>
      <c r="AP1176" s="77">
        <f t="shared" si="3996"/>
        <v>6.4624999704999977E-2</v>
      </c>
      <c r="AQ1176" s="77">
        <f t="shared" si="3987"/>
        <v>5.2321923767311151E-3</v>
      </c>
      <c r="AR1176" s="79">
        <v>0</v>
      </c>
      <c r="AS1176" s="77">
        <f t="shared" si="3997"/>
        <v>0</v>
      </c>
      <c r="AT1176" s="77">
        <f t="shared" si="3998"/>
        <v>0</v>
      </c>
      <c r="AU1176" s="77">
        <f t="shared" si="3999"/>
        <v>2.5000000000000001E-3</v>
      </c>
      <c r="AV1176" s="77">
        <f t="shared" si="4000"/>
        <v>2.0809499864316017E-4</v>
      </c>
    </row>
    <row r="1177" spans="1:48">
      <c r="A1177" t="s">
        <v>175</v>
      </c>
      <c r="B1177" t="s">
        <v>180</v>
      </c>
      <c r="C1177" s="197" t="str">
        <f t="shared" si="4021"/>
        <v>Lifecycle_Opportunity_452</v>
      </c>
      <c r="D1177">
        <v>452</v>
      </c>
      <c r="E1177">
        <f>VLOOKUP($D1177,'[2]LC Opportunity'!$Q$2:$U$542,2,FALSE)</f>
        <v>0</v>
      </c>
      <c r="F1177">
        <f>VLOOKUP($D1177,'[2]LC Opportunity'!$Q$2:$U$542,3,FALSE)</f>
        <v>0</v>
      </c>
      <c r="G1177">
        <f>VLOOKUP($D1177,'[2]LC Opportunity'!$Q$2:$U$542,4,FALSE)</f>
        <v>0</v>
      </c>
      <c r="H1177">
        <f>VLOOKUP($D1177,'[2]LC Opportunity'!$Q$2:$U$542,5,FALSE)</f>
        <v>0.99999999999999989</v>
      </c>
      <c r="I1177" s="77">
        <f t="shared" si="3981"/>
        <v>0.99999999999999989</v>
      </c>
      <c r="J1177" s="77">
        <f t="shared" si="3982"/>
        <v>7.1999999999999981E-2</v>
      </c>
      <c r="K1177" s="77">
        <f t="shared" si="4026"/>
        <v>5.8106552987937654E-3</v>
      </c>
      <c r="L1177" s="76">
        <v>0</v>
      </c>
      <c r="M1177" s="77">
        <f t="shared" si="3988"/>
        <v>0</v>
      </c>
      <c r="N1177" s="77">
        <f t="shared" si="3989"/>
        <v>0</v>
      </c>
      <c r="O1177" s="77">
        <f t="shared" si="3990"/>
        <v>4.9999999999999992E-3</v>
      </c>
      <c r="P1177" s="77">
        <f t="shared" si="3991"/>
        <v>4.1762458919303302E-4</v>
      </c>
      <c r="R1177" t="s">
        <v>177</v>
      </c>
      <c r="S1177" t="s">
        <v>180</v>
      </c>
      <c r="T1177" s="197" t="str">
        <f t="shared" si="4022"/>
        <v>Autopilot_Opportunity_452</v>
      </c>
      <c r="U1177">
        <v>452</v>
      </c>
      <c r="V1177">
        <f>VLOOKUP($U1177,'[2]AP Opportunity'!$Q$1:$T$542,2,FALSE)</f>
        <v>0.99999997777777772</v>
      </c>
      <c r="W1177">
        <f>VLOOKUP($U1177,'[2]AP Opportunity'!$Q$1:$T$542,3,FALSE)</f>
        <v>2.2222222284540294E-8</v>
      </c>
      <c r="X1177">
        <f>VLOOKUP($U1177,'[2]AP Opportunity'!$Q$1:$T$542,4,FALSE)</f>
        <v>0</v>
      </c>
      <c r="Y1177" s="77">
        <f t="shared" si="4023"/>
        <v>1</v>
      </c>
      <c r="Z1177" s="77">
        <f t="shared" si="4027"/>
        <v>6.4624999704999977E-2</v>
      </c>
      <c r="AA1177" s="77">
        <f t="shared" si="4028"/>
        <v>5.2321923767311151E-3</v>
      </c>
      <c r="AB1177" s="79">
        <v>1</v>
      </c>
      <c r="AC1177" s="77">
        <f t="shared" si="3992"/>
        <v>8.499999955555556E-3</v>
      </c>
      <c r="AD1177" s="77">
        <f t="shared" ref="AD1177" si="4051">1-(1-AC1177)^(1/12)</f>
        <v>7.1110795759765644E-4</v>
      </c>
      <c r="AE1177" s="77">
        <f t="shared" si="3994"/>
        <v>2.5000000000000001E-3</v>
      </c>
      <c r="AF1177" s="77">
        <f t="shared" ref="AF1177" si="4052">1-(1-AE1177)^(1/12)</f>
        <v>2.0857243058891584E-4</v>
      </c>
      <c r="AH1177" t="s">
        <v>175</v>
      </c>
      <c r="AI1177" t="s">
        <v>180</v>
      </c>
      <c r="AJ1177" s="197" t="str">
        <f t="shared" si="3985"/>
        <v>Lifecycle_Opportunity_452</v>
      </c>
      <c r="AK1177">
        <v>452</v>
      </c>
      <c r="AL1177">
        <f>VLOOKUP($U1177,[2]Standard_Opportunity!$Q$1:$T$542,2,FALSE)</f>
        <v>0.99999997777777772</v>
      </c>
      <c r="AM1177">
        <f>VLOOKUP($U1177,[2]Standard_Opportunity!$Q$1:$T$542,3,FALSE)</f>
        <v>2.2222222284540294E-8</v>
      </c>
      <c r="AN1177">
        <f>VLOOKUP($U1177,[2]Standard_Opportunity!$Q$1:$T$542,4,FALSE)</f>
        <v>0</v>
      </c>
      <c r="AO1177" s="77">
        <f t="shared" si="3986"/>
        <v>1</v>
      </c>
      <c r="AP1177" s="77">
        <f t="shared" si="3996"/>
        <v>6.4624999704999977E-2</v>
      </c>
      <c r="AQ1177" s="77">
        <f t="shared" si="3987"/>
        <v>5.2321923767311151E-3</v>
      </c>
      <c r="AR1177" s="79">
        <v>0</v>
      </c>
      <c r="AS1177" s="77">
        <f t="shared" si="3997"/>
        <v>0</v>
      </c>
      <c r="AT1177" s="77">
        <f t="shared" si="3998"/>
        <v>0</v>
      </c>
      <c r="AU1177" s="77">
        <f t="shared" si="3999"/>
        <v>2.5000000000000001E-3</v>
      </c>
      <c r="AV1177" s="77">
        <f t="shared" si="4000"/>
        <v>2.0809499864316017E-4</v>
      </c>
    </row>
    <row r="1178" spans="1:48">
      <c r="A1178" t="s">
        <v>175</v>
      </c>
      <c r="B1178" t="s">
        <v>180</v>
      </c>
      <c r="C1178" s="197" t="str">
        <f t="shared" si="4021"/>
        <v>Lifecycle_Opportunity_451</v>
      </c>
      <c r="D1178">
        <v>451</v>
      </c>
      <c r="E1178">
        <f>VLOOKUP($D1178,'[2]LC Opportunity'!$Q$2:$U$542,2,FALSE)</f>
        <v>0</v>
      </c>
      <c r="F1178">
        <f>VLOOKUP($D1178,'[2]LC Opportunity'!$Q$2:$U$542,3,FALSE)</f>
        <v>0</v>
      </c>
      <c r="G1178">
        <f>VLOOKUP($D1178,'[2]LC Opportunity'!$Q$2:$U$542,4,FALSE)</f>
        <v>0</v>
      </c>
      <c r="H1178">
        <f>VLOOKUP($D1178,'[2]LC Opportunity'!$Q$2:$U$542,5,FALSE)</f>
        <v>0.99999999999999989</v>
      </c>
      <c r="I1178" s="77">
        <f t="shared" si="3981"/>
        <v>0.99999999999999989</v>
      </c>
      <c r="J1178" s="77">
        <f t="shared" si="3982"/>
        <v>7.1999999999999981E-2</v>
      </c>
      <c r="K1178" s="77">
        <f t="shared" si="4026"/>
        <v>5.8106552987937654E-3</v>
      </c>
      <c r="L1178" s="76">
        <v>0</v>
      </c>
      <c r="M1178" s="77">
        <f t="shared" si="3988"/>
        <v>0</v>
      </c>
      <c r="N1178" s="77">
        <f t="shared" si="3989"/>
        <v>0</v>
      </c>
      <c r="O1178" s="77">
        <f t="shared" si="3990"/>
        <v>4.9999999999999992E-3</v>
      </c>
      <c r="P1178" s="77">
        <f t="shared" si="3991"/>
        <v>4.1762458919303302E-4</v>
      </c>
      <c r="R1178" t="s">
        <v>177</v>
      </c>
      <c r="S1178" t="s">
        <v>180</v>
      </c>
      <c r="T1178" s="197" t="str">
        <f t="shared" si="4022"/>
        <v>Autopilot_Opportunity_451</v>
      </c>
      <c r="U1178">
        <v>451</v>
      </c>
      <c r="V1178">
        <f>VLOOKUP($U1178,'[2]AP Opportunity'!$Q$1:$T$542,2,FALSE)</f>
        <v>0.99999997777777772</v>
      </c>
      <c r="W1178">
        <f>VLOOKUP($U1178,'[2]AP Opportunity'!$Q$1:$T$542,3,FALSE)</f>
        <v>2.2222222284540294E-8</v>
      </c>
      <c r="X1178">
        <f>VLOOKUP($U1178,'[2]AP Opportunity'!$Q$1:$T$542,4,FALSE)</f>
        <v>0</v>
      </c>
      <c r="Y1178" s="77">
        <f t="shared" si="4023"/>
        <v>1</v>
      </c>
      <c r="Z1178" s="77">
        <f t="shared" si="4027"/>
        <v>6.4624999704999977E-2</v>
      </c>
      <c r="AA1178" s="77">
        <f t="shared" si="4028"/>
        <v>5.2321923767311151E-3</v>
      </c>
      <c r="AB1178" s="79">
        <v>1</v>
      </c>
      <c r="AC1178" s="77">
        <f t="shared" si="3992"/>
        <v>8.499999955555556E-3</v>
      </c>
      <c r="AD1178" s="77">
        <f t="shared" ref="AD1178" si="4053">1-(1-AC1178)^(1/12)</f>
        <v>7.1110795759765644E-4</v>
      </c>
      <c r="AE1178" s="77">
        <f t="shared" si="3994"/>
        <v>2.5000000000000001E-3</v>
      </c>
      <c r="AF1178" s="77">
        <f t="shared" ref="AF1178" si="4054">1-(1-AE1178)^(1/12)</f>
        <v>2.0857243058891584E-4</v>
      </c>
      <c r="AH1178" t="s">
        <v>175</v>
      </c>
      <c r="AI1178" t="s">
        <v>180</v>
      </c>
      <c r="AJ1178" s="197" t="str">
        <f t="shared" si="3985"/>
        <v>Lifecycle_Opportunity_451</v>
      </c>
      <c r="AK1178">
        <v>451</v>
      </c>
      <c r="AL1178">
        <f>VLOOKUP($U1178,[2]Standard_Opportunity!$Q$1:$T$542,2,FALSE)</f>
        <v>0.99999997777777772</v>
      </c>
      <c r="AM1178">
        <f>VLOOKUP($U1178,[2]Standard_Opportunity!$Q$1:$T$542,3,FALSE)</f>
        <v>2.2222222284540294E-8</v>
      </c>
      <c r="AN1178">
        <f>VLOOKUP($U1178,[2]Standard_Opportunity!$Q$1:$T$542,4,FALSE)</f>
        <v>0</v>
      </c>
      <c r="AO1178" s="77">
        <f t="shared" si="3986"/>
        <v>1</v>
      </c>
      <c r="AP1178" s="77">
        <f t="shared" si="3996"/>
        <v>6.4624999704999977E-2</v>
      </c>
      <c r="AQ1178" s="77">
        <f t="shared" si="3987"/>
        <v>5.2321923767311151E-3</v>
      </c>
      <c r="AR1178" s="79">
        <v>0</v>
      </c>
      <c r="AS1178" s="77">
        <f t="shared" si="3997"/>
        <v>0</v>
      </c>
      <c r="AT1178" s="77">
        <f t="shared" si="3998"/>
        <v>0</v>
      </c>
      <c r="AU1178" s="77">
        <f t="shared" si="3999"/>
        <v>2.5000000000000001E-3</v>
      </c>
      <c r="AV1178" s="77">
        <f t="shared" si="4000"/>
        <v>2.0809499864316017E-4</v>
      </c>
    </row>
    <row r="1179" spans="1:48">
      <c r="A1179" t="s">
        <v>175</v>
      </c>
      <c r="B1179" t="s">
        <v>180</v>
      </c>
      <c r="C1179" s="197" t="str">
        <f t="shared" si="4021"/>
        <v>Lifecycle_Opportunity_450</v>
      </c>
      <c r="D1179">
        <v>450</v>
      </c>
      <c r="E1179">
        <f>VLOOKUP($D1179,'[2]LC Opportunity'!$Q$2:$U$542,2,FALSE)</f>
        <v>0</v>
      </c>
      <c r="F1179">
        <f>VLOOKUP($D1179,'[2]LC Opportunity'!$Q$2:$U$542,3,FALSE)</f>
        <v>0</v>
      </c>
      <c r="G1179">
        <f>VLOOKUP($D1179,'[2]LC Opportunity'!$Q$2:$U$542,4,FALSE)</f>
        <v>0</v>
      </c>
      <c r="H1179">
        <f>VLOOKUP($D1179,'[2]LC Opportunity'!$Q$2:$U$542,5,FALSE)</f>
        <v>0.99999999999999989</v>
      </c>
      <c r="I1179" s="77">
        <f t="shared" si="3981"/>
        <v>0.99999999999999989</v>
      </c>
      <c r="J1179" s="77">
        <f t="shared" si="3982"/>
        <v>7.1999999999999981E-2</v>
      </c>
      <c r="K1179" s="77">
        <f t="shared" si="4026"/>
        <v>5.8106552987937654E-3</v>
      </c>
      <c r="L1179" s="76">
        <v>0</v>
      </c>
      <c r="M1179" s="77">
        <f t="shared" si="3988"/>
        <v>0</v>
      </c>
      <c r="N1179" s="77">
        <f t="shared" si="3989"/>
        <v>0</v>
      </c>
      <c r="O1179" s="77">
        <f t="shared" si="3990"/>
        <v>4.9999999999999992E-3</v>
      </c>
      <c r="P1179" s="77">
        <f t="shared" si="3991"/>
        <v>4.1762458919303302E-4</v>
      </c>
      <c r="R1179" t="s">
        <v>177</v>
      </c>
      <c r="S1179" t="s">
        <v>180</v>
      </c>
      <c r="T1179" s="197" t="str">
        <f t="shared" si="4022"/>
        <v>Autopilot_Opportunity_450</v>
      </c>
      <c r="U1179">
        <v>450</v>
      </c>
      <c r="V1179">
        <f>VLOOKUP($U1179,'[2]AP Opportunity'!$Q$1:$T$542,2,FALSE)</f>
        <v>0.99999997777777772</v>
      </c>
      <c r="W1179">
        <f>VLOOKUP($U1179,'[2]AP Opportunity'!$Q$1:$T$542,3,FALSE)</f>
        <v>2.2222222284540294E-8</v>
      </c>
      <c r="X1179">
        <f>VLOOKUP($U1179,'[2]AP Opportunity'!$Q$1:$T$542,4,FALSE)</f>
        <v>0</v>
      </c>
      <c r="Y1179" s="77">
        <f t="shared" si="4023"/>
        <v>1</v>
      </c>
      <c r="Z1179" s="77">
        <f t="shared" si="4027"/>
        <v>6.4624999704999977E-2</v>
      </c>
      <c r="AA1179" s="77">
        <f t="shared" si="4028"/>
        <v>5.2321923767311151E-3</v>
      </c>
      <c r="AB1179" s="79">
        <v>1</v>
      </c>
      <c r="AC1179" s="77">
        <f t="shared" si="3992"/>
        <v>8.499999955555556E-3</v>
      </c>
      <c r="AD1179" s="77">
        <f t="shared" ref="AD1179" si="4055">1-(1-AC1179)^(1/12)</f>
        <v>7.1110795759765644E-4</v>
      </c>
      <c r="AE1179" s="77">
        <f t="shared" si="3994"/>
        <v>2.5000000000000001E-3</v>
      </c>
      <c r="AF1179" s="77">
        <f t="shared" ref="AF1179" si="4056">1-(1-AE1179)^(1/12)</f>
        <v>2.0857243058891584E-4</v>
      </c>
      <c r="AH1179" t="s">
        <v>175</v>
      </c>
      <c r="AI1179" t="s">
        <v>180</v>
      </c>
      <c r="AJ1179" s="197" t="str">
        <f t="shared" si="3985"/>
        <v>Lifecycle_Opportunity_450</v>
      </c>
      <c r="AK1179">
        <v>450</v>
      </c>
      <c r="AL1179">
        <f>VLOOKUP($U1179,[2]Standard_Opportunity!$Q$1:$T$542,2,FALSE)</f>
        <v>0.99999997777777772</v>
      </c>
      <c r="AM1179">
        <f>VLOOKUP($U1179,[2]Standard_Opportunity!$Q$1:$T$542,3,FALSE)</f>
        <v>2.2222222284540294E-8</v>
      </c>
      <c r="AN1179">
        <f>VLOOKUP($U1179,[2]Standard_Opportunity!$Q$1:$T$542,4,FALSE)</f>
        <v>0</v>
      </c>
      <c r="AO1179" s="77">
        <f t="shared" si="3986"/>
        <v>1</v>
      </c>
      <c r="AP1179" s="77">
        <f t="shared" si="3996"/>
        <v>6.4624999704999977E-2</v>
      </c>
      <c r="AQ1179" s="77">
        <f t="shared" si="3987"/>
        <v>5.2321923767311151E-3</v>
      </c>
      <c r="AR1179" s="79">
        <v>0</v>
      </c>
      <c r="AS1179" s="77">
        <f t="shared" si="3997"/>
        <v>0</v>
      </c>
      <c r="AT1179" s="77">
        <f t="shared" si="3998"/>
        <v>0</v>
      </c>
      <c r="AU1179" s="77">
        <f t="shared" si="3999"/>
        <v>2.5000000000000001E-3</v>
      </c>
      <c r="AV1179" s="77">
        <f t="shared" si="4000"/>
        <v>2.0809499864316017E-4</v>
      </c>
    </row>
    <row r="1180" spans="1:48">
      <c r="A1180" t="s">
        <v>175</v>
      </c>
      <c r="B1180" t="s">
        <v>180</v>
      </c>
      <c r="C1180" s="197" t="str">
        <f t="shared" si="4021"/>
        <v>Lifecycle_Opportunity_449</v>
      </c>
      <c r="D1180">
        <v>449</v>
      </c>
      <c r="E1180">
        <f>VLOOKUP($D1180,'[2]LC Opportunity'!$Q$2:$U$542,2,FALSE)</f>
        <v>0</v>
      </c>
      <c r="F1180">
        <f>VLOOKUP($D1180,'[2]LC Opportunity'!$Q$2:$U$542,3,FALSE)</f>
        <v>0</v>
      </c>
      <c r="G1180">
        <f>VLOOKUP($D1180,'[2]LC Opportunity'!$Q$2:$U$542,4,FALSE)</f>
        <v>0</v>
      </c>
      <c r="H1180">
        <f>VLOOKUP($D1180,'[2]LC Opportunity'!$Q$2:$U$542,5,FALSE)</f>
        <v>0.99999999999999989</v>
      </c>
      <c r="I1180" s="77">
        <f t="shared" si="3981"/>
        <v>0.99999999999999989</v>
      </c>
      <c r="J1180" s="77">
        <f t="shared" si="3982"/>
        <v>7.1999999999999981E-2</v>
      </c>
      <c r="K1180" s="77">
        <f t="shared" si="4026"/>
        <v>5.8106552987937654E-3</v>
      </c>
      <c r="L1180" s="76">
        <v>0</v>
      </c>
      <c r="M1180" s="77">
        <f t="shared" si="3988"/>
        <v>0</v>
      </c>
      <c r="N1180" s="77">
        <f t="shared" si="3989"/>
        <v>0</v>
      </c>
      <c r="O1180" s="77">
        <f t="shared" si="3990"/>
        <v>4.9999999999999992E-3</v>
      </c>
      <c r="P1180" s="77">
        <f t="shared" si="3991"/>
        <v>4.1762458919303302E-4</v>
      </c>
      <c r="R1180" t="s">
        <v>177</v>
      </c>
      <c r="S1180" t="s">
        <v>180</v>
      </c>
      <c r="T1180" s="197" t="str">
        <f t="shared" si="4022"/>
        <v>Autopilot_Opportunity_449</v>
      </c>
      <c r="U1180">
        <v>449</v>
      </c>
      <c r="V1180">
        <f>VLOOKUP($U1180,'[2]AP Opportunity'!$Q$1:$T$542,2,FALSE)</f>
        <v>0.99999997777777772</v>
      </c>
      <c r="W1180">
        <f>VLOOKUP($U1180,'[2]AP Opportunity'!$Q$1:$T$542,3,FALSE)</f>
        <v>2.2222222284540294E-8</v>
      </c>
      <c r="X1180">
        <f>VLOOKUP($U1180,'[2]AP Opportunity'!$Q$1:$T$542,4,FALSE)</f>
        <v>0</v>
      </c>
      <c r="Y1180" s="77">
        <f t="shared" si="4023"/>
        <v>1</v>
      </c>
      <c r="Z1180" s="77">
        <f t="shared" si="4027"/>
        <v>6.4624999704999977E-2</v>
      </c>
      <c r="AA1180" s="77">
        <f t="shared" si="4028"/>
        <v>5.2321923767311151E-3</v>
      </c>
      <c r="AB1180" s="79">
        <v>1</v>
      </c>
      <c r="AC1180" s="77">
        <f t="shared" si="3992"/>
        <v>8.499999955555556E-3</v>
      </c>
      <c r="AD1180" s="77">
        <f t="shared" ref="AD1180" si="4057">1-(1-AC1180)^(1/12)</f>
        <v>7.1110795759765644E-4</v>
      </c>
      <c r="AE1180" s="77">
        <f t="shared" si="3994"/>
        <v>2.5000000000000001E-3</v>
      </c>
      <c r="AF1180" s="77">
        <f t="shared" ref="AF1180" si="4058">1-(1-AE1180)^(1/12)</f>
        <v>2.0857243058891584E-4</v>
      </c>
      <c r="AH1180" t="s">
        <v>175</v>
      </c>
      <c r="AI1180" t="s">
        <v>180</v>
      </c>
      <c r="AJ1180" s="197" t="str">
        <f t="shared" si="3985"/>
        <v>Lifecycle_Opportunity_449</v>
      </c>
      <c r="AK1180">
        <v>449</v>
      </c>
      <c r="AL1180">
        <f>VLOOKUP($U1180,[2]Standard_Opportunity!$Q$1:$T$542,2,FALSE)</f>
        <v>0.99999997777777772</v>
      </c>
      <c r="AM1180">
        <f>VLOOKUP($U1180,[2]Standard_Opportunity!$Q$1:$T$542,3,FALSE)</f>
        <v>2.2222222284540294E-8</v>
      </c>
      <c r="AN1180">
        <f>VLOOKUP($U1180,[2]Standard_Opportunity!$Q$1:$T$542,4,FALSE)</f>
        <v>0</v>
      </c>
      <c r="AO1180" s="77">
        <f t="shared" si="3986"/>
        <v>1</v>
      </c>
      <c r="AP1180" s="77">
        <f t="shared" si="3996"/>
        <v>6.4624999704999977E-2</v>
      </c>
      <c r="AQ1180" s="77">
        <f t="shared" si="3987"/>
        <v>5.2321923767311151E-3</v>
      </c>
      <c r="AR1180" s="79">
        <v>0</v>
      </c>
      <c r="AS1180" s="77">
        <f t="shared" si="3997"/>
        <v>0</v>
      </c>
      <c r="AT1180" s="77">
        <f t="shared" si="3998"/>
        <v>0</v>
      </c>
      <c r="AU1180" s="77">
        <f t="shared" si="3999"/>
        <v>2.5000000000000001E-3</v>
      </c>
      <c r="AV1180" s="77">
        <f t="shared" si="4000"/>
        <v>2.0809499864316017E-4</v>
      </c>
    </row>
    <row r="1181" spans="1:48">
      <c r="A1181" t="s">
        <v>175</v>
      </c>
      <c r="B1181" t="s">
        <v>180</v>
      </c>
      <c r="C1181" s="197" t="str">
        <f t="shared" si="4021"/>
        <v>Lifecycle_Opportunity_448</v>
      </c>
      <c r="D1181">
        <v>448</v>
      </c>
      <c r="E1181">
        <f>VLOOKUP($D1181,'[2]LC Opportunity'!$Q$2:$U$542,2,FALSE)</f>
        <v>0</v>
      </c>
      <c r="F1181">
        <f>VLOOKUP($D1181,'[2]LC Opportunity'!$Q$2:$U$542,3,FALSE)</f>
        <v>0</v>
      </c>
      <c r="G1181">
        <f>VLOOKUP($D1181,'[2]LC Opportunity'!$Q$2:$U$542,4,FALSE)</f>
        <v>0</v>
      </c>
      <c r="H1181">
        <f>VLOOKUP($D1181,'[2]LC Opportunity'!$Q$2:$U$542,5,FALSE)</f>
        <v>0.99999999999999989</v>
      </c>
      <c r="I1181" s="77">
        <f t="shared" si="3981"/>
        <v>0.99999999999999989</v>
      </c>
      <c r="J1181" s="77">
        <f t="shared" si="3982"/>
        <v>7.1999999999999981E-2</v>
      </c>
      <c r="K1181" s="77">
        <f t="shared" si="4026"/>
        <v>5.8106552987937654E-3</v>
      </c>
      <c r="L1181" s="76">
        <v>0</v>
      </c>
      <c r="M1181" s="77">
        <f t="shared" si="3988"/>
        <v>0</v>
      </c>
      <c r="N1181" s="77">
        <f t="shared" si="3989"/>
        <v>0</v>
      </c>
      <c r="O1181" s="77">
        <f t="shared" si="3990"/>
        <v>4.9999999999999992E-3</v>
      </c>
      <c r="P1181" s="77">
        <f t="shared" si="3991"/>
        <v>4.1762458919303302E-4</v>
      </c>
      <c r="R1181" t="s">
        <v>177</v>
      </c>
      <c r="S1181" t="s">
        <v>180</v>
      </c>
      <c r="T1181" s="197" t="str">
        <f t="shared" si="4022"/>
        <v>Autopilot_Opportunity_448</v>
      </c>
      <c r="U1181">
        <v>448</v>
      </c>
      <c r="V1181">
        <f>VLOOKUP($U1181,'[2]AP Opportunity'!$Q$1:$T$542,2,FALSE)</f>
        <v>0.99999997777777772</v>
      </c>
      <c r="W1181">
        <f>VLOOKUP($U1181,'[2]AP Opportunity'!$Q$1:$T$542,3,FALSE)</f>
        <v>2.2222222284540294E-8</v>
      </c>
      <c r="X1181">
        <f>VLOOKUP($U1181,'[2]AP Opportunity'!$Q$1:$T$542,4,FALSE)</f>
        <v>0</v>
      </c>
      <c r="Y1181" s="77">
        <f t="shared" si="4023"/>
        <v>1</v>
      </c>
      <c r="Z1181" s="77">
        <f t="shared" si="4027"/>
        <v>6.4624999704999977E-2</v>
      </c>
      <c r="AA1181" s="77">
        <f t="shared" si="4028"/>
        <v>5.2321923767311151E-3</v>
      </c>
      <c r="AB1181" s="79">
        <v>1</v>
      </c>
      <c r="AC1181" s="77">
        <f t="shared" si="3992"/>
        <v>8.499999955555556E-3</v>
      </c>
      <c r="AD1181" s="77">
        <f t="shared" ref="AD1181" si="4059">1-(1-AC1181)^(1/12)</f>
        <v>7.1110795759765644E-4</v>
      </c>
      <c r="AE1181" s="77">
        <f t="shared" si="3994"/>
        <v>2.5000000000000001E-3</v>
      </c>
      <c r="AF1181" s="77">
        <f t="shared" ref="AF1181" si="4060">1-(1-AE1181)^(1/12)</f>
        <v>2.0857243058891584E-4</v>
      </c>
      <c r="AH1181" t="s">
        <v>175</v>
      </c>
      <c r="AI1181" t="s">
        <v>180</v>
      </c>
      <c r="AJ1181" s="197" t="str">
        <f t="shared" si="3985"/>
        <v>Lifecycle_Opportunity_448</v>
      </c>
      <c r="AK1181">
        <v>448</v>
      </c>
      <c r="AL1181">
        <f>VLOOKUP($U1181,[2]Standard_Opportunity!$Q$1:$T$542,2,FALSE)</f>
        <v>0.99999997777777772</v>
      </c>
      <c r="AM1181">
        <f>VLOOKUP($U1181,[2]Standard_Opportunity!$Q$1:$T$542,3,FALSE)</f>
        <v>2.2222222284540294E-8</v>
      </c>
      <c r="AN1181">
        <f>VLOOKUP($U1181,[2]Standard_Opportunity!$Q$1:$T$542,4,FALSE)</f>
        <v>0</v>
      </c>
      <c r="AO1181" s="77">
        <f t="shared" si="3986"/>
        <v>1</v>
      </c>
      <c r="AP1181" s="77">
        <f t="shared" si="3996"/>
        <v>6.4624999704999977E-2</v>
      </c>
      <c r="AQ1181" s="77">
        <f t="shared" si="3987"/>
        <v>5.2321923767311151E-3</v>
      </c>
      <c r="AR1181" s="79">
        <v>0</v>
      </c>
      <c r="AS1181" s="77">
        <f t="shared" si="3997"/>
        <v>0</v>
      </c>
      <c r="AT1181" s="77">
        <f t="shared" si="3998"/>
        <v>0</v>
      </c>
      <c r="AU1181" s="77">
        <f t="shared" si="3999"/>
        <v>2.5000000000000001E-3</v>
      </c>
      <c r="AV1181" s="77">
        <f t="shared" si="4000"/>
        <v>2.0809499864316017E-4</v>
      </c>
    </row>
    <row r="1182" spans="1:48">
      <c r="A1182" t="s">
        <v>175</v>
      </c>
      <c r="B1182" t="s">
        <v>180</v>
      </c>
      <c r="C1182" s="197" t="str">
        <f t="shared" si="4021"/>
        <v>Lifecycle_Opportunity_447</v>
      </c>
      <c r="D1182">
        <v>447</v>
      </c>
      <c r="E1182">
        <f>VLOOKUP($D1182,'[2]LC Opportunity'!$Q$2:$U$542,2,FALSE)</f>
        <v>0</v>
      </c>
      <c r="F1182">
        <f>VLOOKUP($D1182,'[2]LC Opportunity'!$Q$2:$U$542,3,FALSE)</f>
        <v>0</v>
      </c>
      <c r="G1182">
        <f>VLOOKUP($D1182,'[2]LC Opportunity'!$Q$2:$U$542,4,FALSE)</f>
        <v>0</v>
      </c>
      <c r="H1182">
        <f>VLOOKUP($D1182,'[2]LC Opportunity'!$Q$2:$U$542,5,FALSE)</f>
        <v>0.99999999999999989</v>
      </c>
      <c r="I1182" s="77">
        <f t="shared" si="3981"/>
        <v>0.99999999999999989</v>
      </c>
      <c r="J1182" s="77">
        <f t="shared" si="3982"/>
        <v>7.1999999999999981E-2</v>
      </c>
      <c r="K1182" s="77">
        <f t="shared" si="4026"/>
        <v>5.8106552987937654E-3</v>
      </c>
      <c r="L1182" s="76">
        <v>0</v>
      </c>
      <c r="M1182" s="77">
        <f t="shared" si="3988"/>
        <v>0</v>
      </c>
      <c r="N1182" s="77">
        <f t="shared" si="3989"/>
        <v>0</v>
      </c>
      <c r="O1182" s="77">
        <f t="shared" si="3990"/>
        <v>4.9999999999999992E-3</v>
      </c>
      <c r="P1182" s="77">
        <f t="shared" si="3991"/>
        <v>4.1762458919303302E-4</v>
      </c>
      <c r="R1182" t="s">
        <v>177</v>
      </c>
      <c r="S1182" t="s">
        <v>180</v>
      </c>
      <c r="T1182" s="197" t="str">
        <f t="shared" si="4022"/>
        <v>Autopilot_Opportunity_447</v>
      </c>
      <c r="U1182">
        <v>447</v>
      </c>
      <c r="V1182">
        <f>VLOOKUP($U1182,'[2]AP Opportunity'!$Q$1:$T$542,2,FALSE)</f>
        <v>0.99999997777777772</v>
      </c>
      <c r="W1182">
        <f>VLOOKUP($U1182,'[2]AP Opportunity'!$Q$1:$T$542,3,FALSE)</f>
        <v>2.2222222284540294E-8</v>
      </c>
      <c r="X1182">
        <f>VLOOKUP($U1182,'[2]AP Opportunity'!$Q$1:$T$542,4,FALSE)</f>
        <v>0</v>
      </c>
      <c r="Y1182" s="77">
        <f t="shared" si="4023"/>
        <v>1</v>
      </c>
      <c r="Z1182" s="77">
        <f t="shared" si="4027"/>
        <v>6.4624999704999977E-2</v>
      </c>
      <c r="AA1182" s="77">
        <f t="shared" si="4028"/>
        <v>5.2321923767311151E-3</v>
      </c>
      <c r="AB1182" s="79">
        <v>1</v>
      </c>
      <c r="AC1182" s="77">
        <f t="shared" si="3992"/>
        <v>8.499999955555556E-3</v>
      </c>
      <c r="AD1182" s="77">
        <f t="shared" ref="AD1182" si="4061">1-(1-AC1182)^(1/12)</f>
        <v>7.1110795759765644E-4</v>
      </c>
      <c r="AE1182" s="77">
        <f t="shared" si="3994"/>
        <v>2.5000000000000001E-3</v>
      </c>
      <c r="AF1182" s="77">
        <f t="shared" ref="AF1182" si="4062">1-(1-AE1182)^(1/12)</f>
        <v>2.0857243058891584E-4</v>
      </c>
      <c r="AH1182" t="s">
        <v>175</v>
      </c>
      <c r="AI1182" t="s">
        <v>180</v>
      </c>
      <c r="AJ1182" s="197" t="str">
        <f t="shared" si="3985"/>
        <v>Lifecycle_Opportunity_447</v>
      </c>
      <c r="AK1182">
        <v>447</v>
      </c>
      <c r="AL1182">
        <f>VLOOKUP($U1182,[2]Standard_Opportunity!$Q$1:$T$542,2,FALSE)</f>
        <v>0.99999997777777772</v>
      </c>
      <c r="AM1182">
        <f>VLOOKUP($U1182,[2]Standard_Opportunity!$Q$1:$T$542,3,FALSE)</f>
        <v>2.2222222284540294E-8</v>
      </c>
      <c r="AN1182">
        <f>VLOOKUP($U1182,[2]Standard_Opportunity!$Q$1:$T$542,4,FALSE)</f>
        <v>0</v>
      </c>
      <c r="AO1182" s="77">
        <f t="shared" si="3986"/>
        <v>1</v>
      </c>
      <c r="AP1182" s="77">
        <f t="shared" si="3996"/>
        <v>6.4624999704999977E-2</v>
      </c>
      <c r="AQ1182" s="77">
        <f t="shared" si="3987"/>
        <v>5.2321923767311151E-3</v>
      </c>
      <c r="AR1182" s="79">
        <v>0</v>
      </c>
      <c r="AS1182" s="77">
        <f t="shared" si="3997"/>
        <v>0</v>
      </c>
      <c r="AT1182" s="77">
        <f t="shared" si="3998"/>
        <v>0</v>
      </c>
      <c r="AU1182" s="77">
        <f t="shared" si="3999"/>
        <v>2.5000000000000001E-3</v>
      </c>
      <c r="AV1182" s="77">
        <f t="shared" si="4000"/>
        <v>2.0809499864316017E-4</v>
      </c>
    </row>
    <row r="1183" spans="1:48">
      <c r="A1183" t="s">
        <v>175</v>
      </c>
      <c r="B1183" t="s">
        <v>180</v>
      </c>
      <c r="C1183" s="197" t="str">
        <f t="shared" si="4021"/>
        <v>Lifecycle_Opportunity_446</v>
      </c>
      <c r="D1183">
        <v>446</v>
      </c>
      <c r="E1183">
        <f>VLOOKUP($D1183,'[2]LC Opportunity'!$Q$2:$U$542,2,FALSE)</f>
        <v>0</v>
      </c>
      <c r="F1183">
        <f>VLOOKUP($D1183,'[2]LC Opportunity'!$Q$2:$U$542,3,FALSE)</f>
        <v>0</v>
      </c>
      <c r="G1183">
        <f>VLOOKUP($D1183,'[2]LC Opportunity'!$Q$2:$U$542,4,FALSE)</f>
        <v>0</v>
      </c>
      <c r="H1183">
        <f>VLOOKUP($D1183,'[2]LC Opportunity'!$Q$2:$U$542,5,FALSE)</f>
        <v>0.99999999999999989</v>
      </c>
      <c r="I1183" s="77">
        <f t="shared" si="3981"/>
        <v>0.99999999999999989</v>
      </c>
      <c r="J1183" s="77">
        <f t="shared" si="3982"/>
        <v>7.1999999999999981E-2</v>
      </c>
      <c r="K1183" s="77">
        <f t="shared" si="4026"/>
        <v>5.8106552987937654E-3</v>
      </c>
      <c r="L1183" s="76">
        <v>0</v>
      </c>
      <c r="M1183" s="77">
        <f t="shared" si="3988"/>
        <v>0</v>
      </c>
      <c r="N1183" s="77">
        <f t="shared" si="3989"/>
        <v>0</v>
      </c>
      <c r="O1183" s="77">
        <f t="shared" si="3990"/>
        <v>4.9999999999999992E-3</v>
      </c>
      <c r="P1183" s="77">
        <f t="shared" si="3991"/>
        <v>4.1762458919303302E-4</v>
      </c>
      <c r="R1183" t="s">
        <v>177</v>
      </c>
      <c r="S1183" t="s">
        <v>180</v>
      </c>
      <c r="T1183" s="197" t="str">
        <f t="shared" si="4022"/>
        <v>Autopilot_Opportunity_446</v>
      </c>
      <c r="U1183">
        <v>446</v>
      </c>
      <c r="V1183">
        <f>VLOOKUP($U1183,'[2]AP Opportunity'!$Q$1:$T$542,2,FALSE)</f>
        <v>0.99999997777777772</v>
      </c>
      <c r="W1183">
        <f>VLOOKUP($U1183,'[2]AP Opportunity'!$Q$1:$T$542,3,FALSE)</f>
        <v>2.2222222284540294E-8</v>
      </c>
      <c r="X1183">
        <f>VLOOKUP($U1183,'[2]AP Opportunity'!$Q$1:$T$542,4,FALSE)</f>
        <v>0</v>
      </c>
      <c r="Y1183" s="77">
        <f t="shared" si="4023"/>
        <v>1</v>
      </c>
      <c r="Z1183" s="77">
        <f t="shared" si="4027"/>
        <v>6.4624999704999977E-2</v>
      </c>
      <c r="AA1183" s="77">
        <f t="shared" si="4028"/>
        <v>5.2321923767311151E-3</v>
      </c>
      <c r="AB1183" s="79">
        <v>1</v>
      </c>
      <c r="AC1183" s="77">
        <f t="shared" si="3992"/>
        <v>8.499999955555556E-3</v>
      </c>
      <c r="AD1183" s="77">
        <f t="shared" ref="AD1183" si="4063">1-(1-AC1183)^(1/12)</f>
        <v>7.1110795759765644E-4</v>
      </c>
      <c r="AE1183" s="77">
        <f t="shared" si="3994"/>
        <v>2.5000000000000001E-3</v>
      </c>
      <c r="AF1183" s="77">
        <f t="shared" ref="AF1183" si="4064">1-(1-AE1183)^(1/12)</f>
        <v>2.0857243058891584E-4</v>
      </c>
      <c r="AH1183" t="s">
        <v>175</v>
      </c>
      <c r="AI1183" t="s">
        <v>180</v>
      </c>
      <c r="AJ1183" s="197" t="str">
        <f t="shared" si="3985"/>
        <v>Lifecycle_Opportunity_446</v>
      </c>
      <c r="AK1183">
        <v>446</v>
      </c>
      <c r="AL1183">
        <f>VLOOKUP($U1183,[2]Standard_Opportunity!$Q$1:$T$542,2,FALSE)</f>
        <v>0.99999997777777772</v>
      </c>
      <c r="AM1183">
        <f>VLOOKUP($U1183,[2]Standard_Opportunity!$Q$1:$T$542,3,FALSE)</f>
        <v>2.2222222284540294E-8</v>
      </c>
      <c r="AN1183">
        <f>VLOOKUP($U1183,[2]Standard_Opportunity!$Q$1:$T$542,4,FALSE)</f>
        <v>0</v>
      </c>
      <c r="AO1183" s="77">
        <f t="shared" si="3986"/>
        <v>1</v>
      </c>
      <c r="AP1183" s="77">
        <f t="shared" si="3996"/>
        <v>6.4624999704999977E-2</v>
      </c>
      <c r="AQ1183" s="77">
        <f t="shared" si="3987"/>
        <v>5.2321923767311151E-3</v>
      </c>
      <c r="AR1183" s="79">
        <v>0</v>
      </c>
      <c r="AS1183" s="77">
        <f t="shared" si="3997"/>
        <v>0</v>
      </c>
      <c r="AT1183" s="77">
        <f t="shared" si="3998"/>
        <v>0</v>
      </c>
      <c r="AU1183" s="77">
        <f t="shared" si="3999"/>
        <v>2.5000000000000001E-3</v>
      </c>
      <c r="AV1183" s="77">
        <f t="shared" si="4000"/>
        <v>2.0809499864316017E-4</v>
      </c>
    </row>
    <row r="1184" spans="1:48">
      <c r="A1184" t="s">
        <v>175</v>
      </c>
      <c r="B1184" t="s">
        <v>180</v>
      </c>
      <c r="C1184" s="197" t="str">
        <f t="shared" si="4021"/>
        <v>Lifecycle_Opportunity_445</v>
      </c>
      <c r="D1184">
        <v>445</v>
      </c>
      <c r="E1184">
        <f>VLOOKUP($D1184,'[2]LC Opportunity'!$Q$2:$U$542,2,FALSE)</f>
        <v>0</v>
      </c>
      <c r="F1184">
        <f>VLOOKUP($D1184,'[2]LC Opportunity'!$Q$2:$U$542,3,FALSE)</f>
        <v>0</v>
      </c>
      <c r="G1184">
        <f>VLOOKUP($D1184,'[2]LC Opportunity'!$Q$2:$U$542,4,FALSE)</f>
        <v>0</v>
      </c>
      <c r="H1184">
        <f>VLOOKUP($D1184,'[2]LC Opportunity'!$Q$2:$U$542,5,FALSE)</f>
        <v>0.99999999999999989</v>
      </c>
      <c r="I1184" s="77">
        <f t="shared" si="3981"/>
        <v>0.99999999999999989</v>
      </c>
      <c r="J1184" s="77">
        <f t="shared" si="3982"/>
        <v>7.1999999999999981E-2</v>
      </c>
      <c r="K1184" s="77">
        <f t="shared" si="4026"/>
        <v>5.8106552987937654E-3</v>
      </c>
      <c r="L1184" s="76">
        <v>0</v>
      </c>
      <c r="M1184" s="77">
        <f t="shared" si="3988"/>
        <v>0</v>
      </c>
      <c r="N1184" s="77">
        <f t="shared" si="3989"/>
        <v>0</v>
      </c>
      <c r="O1184" s="77">
        <f t="shared" si="3990"/>
        <v>4.9999999999999992E-3</v>
      </c>
      <c r="P1184" s="77">
        <f t="shared" si="3991"/>
        <v>4.1762458919303302E-4</v>
      </c>
      <c r="R1184" t="s">
        <v>177</v>
      </c>
      <c r="S1184" t="s">
        <v>180</v>
      </c>
      <c r="T1184" s="197" t="str">
        <f t="shared" si="4022"/>
        <v>Autopilot_Opportunity_445</v>
      </c>
      <c r="U1184">
        <v>445</v>
      </c>
      <c r="V1184">
        <f>VLOOKUP($U1184,'[2]AP Opportunity'!$Q$1:$T$542,2,FALSE)</f>
        <v>0.99999997777777772</v>
      </c>
      <c r="W1184">
        <f>VLOOKUP($U1184,'[2]AP Opportunity'!$Q$1:$T$542,3,FALSE)</f>
        <v>2.2222222284540294E-8</v>
      </c>
      <c r="X1184">
        <f>VLOOKUP($U1184,'[2]AP Opportunity'!$Q$1:$T$542,4,FALSE)</f>
        <v>0</v>
      </c>
      <c r="Y1184" s="77">
        <f t="shared" si="4023"/>
        <v>1</v>
      </c>
      <c r="Z1184" s="77">
        <f t="shared" si="4027"/>
        <v>6.4624999704999977E-2</v>
      </c>
      <c r="AA1184" s="77">
        <f t="shared" si="4028"/>
        <v>5.2321923767311151E-3</v>
      </c>
      <c r="AB1184" s="79">
        <v>1</v>
      </c>
      <c r="AC1184" s="77">
        <f t="shared" si="3992"/>
        <v>8.499999955555556E-3</v>
      </c>
      <c r="AD1184" s="77">
        <f t="shared" ref="AD1184" si="4065">1-(1-AC1184)^(1/12)</f>
        <v>7.1110795759765644E-4</v>
      </c>
      <c r="AE1184" s="77">
        <f t="shared" si="3994"/>
        <v>2.5000000000000001E-3</v>
      </c>
      <c r="AF1184" s="77">
        <f t="shared" ref="AF1184" si="4066">1-(1-AE1184)^(1/12)</f>
        <v>2.0857243058891584E-4</v>
      </c>
      <c r="AH1184" t="s">
        <v>175</v>
      </c>
      <c r="AI1184" t="s">
        <v>180</v>
      </c>
      <c r="AJ1184" s="197" t="str">
        <f t="shared" si="3985"/>
        <v>Lifecycle_Opportunity_445</v>
      </c>
      <c r="AK1184">
        <v>445</v>
      </c>
      <c r="AL1184">
        <f>VLOOKUP($U1184,[2]Standard_Opportunity!$Q$1:$T$542,2,FALSE)</f>
        <v>0.99999997777777772</v>
      </c>
      <c r="AM1184">
        <f>VLOOKUP($U1184,[2]Standard_Opportunity!$Q$1:$T$542,3,FALSE)</f>
        <v>2.2222222284540294E-8</v>
      </c>
      <c r="AN1184">
        <f>VLOOKUP($U1184,[2]Standard_Opportunity!$Q$1:$T$542,4,FALSE)</f>
        <v>0</v>
      </c>
      <c r="AO1184" s="77">
        <f t="shared" si="3986"/>
        <v>1</v>
      </c>
      <c r="AP1184" s="77">
        <f t="shared" si="3996"/>
        <v>6.4624999704999977E-2</v>
      </c>
      <c r="AQ1184" s="77">
        <f t="shared" si="3987"/>
        <v>5.2321923767311151E-3</v>
      </c>
      <c r="AR1184" s="79">
        <v>0</v>
      </c>
      <c r="AS1184" s="77">
        <f t="shared" si="3997"/>
        <v>0</v>
      </c>
      <c r="AT1184" s="77">
        <f t="shared" si="3998"/>
        <v>0</v>
      </c>
      <c r="AU1184" s="77">
        <f t="shared" si="3999"/>
        <v>2.5000000000000001E-3</v>
      </c>
      <c r="AV1184" s="77">
        <f t="shared" si="4000"/>
        <v>2.0809499864316017E-4</v>
      </c>
    </row>
    <row r="1185" spans="1:48">
      <c r="A1185" t="s">
        <v>175</v>
      </c>
      <c r="B1185" t="s">
        <v>180</v>
      </c>
      <c r="C1185" s="197" t="str">
        <f t="shared" si="4021"/>
        <v>Lifecycle_Opportunity_444</v>
      </c>
      <c r="D1185">
        <v>444</v>
      </c>
      <c r="E1185">
        <f>VLOOKUP($D1185,'[2]LC Opportunity'!$Q$2:$U$542,2,FALSE)</f>
        <v>0</v>
      </c>
      <c r="F1185">
        <f>VLOOKUP($D1185,'[2]LC Opportunity'!$Q$2:$U$542,3,FALSE)</f>
        <v>0</v>
      </c>
      <c r="G1185">
        <f>VLOOKUP($D1185,'[2]LC Opportunity'!$Q$2:$U$542,4,FALSE)</f>
        <v>0</v>
      </c>
      <c r="H1185">
        <f>VLOOKUP($D1185,'[2]LC Opportunity'!$Q$2:$U$542,5,FALSE)</f>
        <v>0.99999999999999989</v>
      </c>
      <c r="I1185" s="77">
        <f t="shared" si="3981"/>
        <v>0.99999999999999989</v>
      </c>
      <c r="J1185" s="77">
        <f t="shared" si="3982"/>
        <v>7.1999999999999981E-2</v>
      </c>
      <c r="K1185" s="77">
        <f t="shared" si="4026"/>
        <v>5.8106552987937654E-3</v>
      </c>
      <c r="L1185" s="76">
        <v>0</v>
      </c>
      <c r="M1185" s="77">
        <f t="shared" si="3988"/>
        <v>0</v>
      </c>
      <c r="N1185" s="77">
        <f t="shared" si="3989"/>
        <v>0</v>
      </c>
      <c r="O1185" s="77">
        <f t="shared" si="3990"/>
        <v>4.9999999999999992E-3</v>
      </c>
      <c r="P1185" s="77">
        <f t="shared" si="3991"/>
        <v>4.1762458919303302E-4</v>
      </c>
      <c r="R1185" t="s">
        <v>177</v>
      </c>
      <c r="S1185" t="s">
        <v>180</v>
      </c>
      <c r="T1185" s="197" t="str">
        <f t="shared" si="4022"/>
        <v>Autopilot_Opportunity_444</v>
      </c>
      <c r="U1185">
        <v>444</v>
      </c>
      <c r="V1185">
        <f>VLOOKUP($U1185,'[2]AP Opportunity'!$Q$1:$T$542,2,FALSE)</f>
        <v>0.99999997777777772</v>
      </c>
      <c r="W1185">
        <f>VLOOKUP($U1185,'[2]AP Opportunity'!$Q$1:$T$542,3,FALSE)</f>
        <v>2.2222222284540294E-8</v>
      </c>
      <c r="X1185">
        <f>VLOOKUP($U1185,'[2]AP Opportunity'!$Q$1:$T$542,4,FALSE)</f>
        <v>0</v>
      </c>
      <c r="Y1185" s="77">
        <f t="shared" si="4023"/>
        <v>1</v>
      </c>
      <c r="Z1185" s="77">
        <f t="shared" si="4027"/>
        <v>6.4624999704999977E-2</v>
      </c>
      <c r="AA1185" s="77">
        <f t="shared" si="4028"/>
        <v>5.2321923767311151E-3</v>
      </c>
      <c r="AB1185" s="79">
        <v>1</v>
      </c>
      <c r="AC1185" s="77">
        <f t="shared" si="3992"/>
        <v>8.499999955555556E-3</v>
      </c>
      <c r="AD1185" s="77">
        <f t="shared" ref="AD1185" si="4067">1-(1-AC1185)^(1/12)</f>
        <v>7.1110795759765644E-4</v>
      </c>
      <c r="AE1185" s="77">
        <f t="shared" si="3994"/>
        <v>2.5000000000000001E-3</v>
      </c>
      <c r="AF1185" s="77">
        <f t="shared" ref="AF1185" si="4068">1-(1-AE1185)^(1/12)</f>
        <v>2.0857243058891584E-4</v>
      </c>
      <c r="AH1185" t="s">
        <v>175</v>
      </c>
      <c r="AI1185" t="s">
        <v>180</v>
      </c>
      <c r="AJ1185" s="197" t="str">
        <f t="shared" si="3985"/>
        <v>Lifecycle_Opportunity_444</v>
      </c>
      <c r="AK1185">
        <v>444</v>
      </c>
      <c r="AL1185">
        <f>VLOOKUP($U1185,[2]Standard_Opportunity!$Q$1:$T$542,2,FALSE)</f>
        <v>0.99999997777777772</v>
      </c>
      <c r="AM1185">
        <f>VLOOKUP($U1185,[2]Standard_Opportunity!$Q$1:$T$542,3,FALSE)</f>
        <v>2.2222222284540294E-8</v>
      </c>
      <c r="AN1185">
        <f>VLOOKUP($U1185,[2]Standard_Opportunity!$Q$1:$T$542,4,FALSE)</f>
        <v>0</v>
      </c>
      <c r="AO1185" s="77">
        <f t="shared" si="3986"/>
        <v>1</v>
      </c>
      <c r="AP1185" s="77">
        <f t="shared" si="3996"/>
        <v>6.4624999704999977E-2</v>
      </c>
      <c r="AQ1185" s="77">
        <f t="shared" si="3987"/>
        <v>5.2321923767311151E-3</v>
      </c>
      <c r="AR1185" s="79">
        <v>0</v>
      </c>
      <c r="AS1185" s="77">
        <f t="shared" si="3997"/>
        <v>0</v>
      </c>
      <c r="AT1185" s="77">
        <f t="shared" si="3998"/>
        <v>0</v>
      </c>
      <c r="AU1185" s="77">
        <f t="shared" si="3999"/>
        <v>2.5000000000000001E-3</v>
      </c>
      <c r="AV1185" s="77">
        <f t="shared" si="4000"/>
        <v>2.0809499864316017E-4</v>
      </c>
    </row>
    <row r="1186" spans="1:48">
      <c r="A1186" t="s">
        <v>175</v>
      </c>
      <c r="B1186" t="s">
        <v>180</v>
      </c>
      <c r="C1186" s="197" t="str">
        <f t="shared" si="4021"/>
        <v>Lifecycle_Opportunity_443</v>
      </c>
      <c r="D1186">
        <v>443</v>
      </c>
      <c r="E1186">
        <f>VLOOKUP($D1186,'[2]LC Opportunity'!$Q$2:$U$542,2,FALSE)</f>
        <v>0</v>
      </c>
      <c r="F1186">
        <f>VLOOKUP($D1186,'[2]LC Opportunity'!$Q$2:$U$542,3,FALSE)</f>
        <v>0</v>
      </c>
      <c r="G1186">
        <f>VLOOKUP($D1186,'[2]LC Opportunity'!$Q$2:$U$542,4,FALSE)</f>
        <v>0</v>
      </c>
      <c r="H1186">
        <f>VLOOKUP($D1186,'[2]LC Opportunity'!$Q$2:$U$542,5,FALSE)</f>
        <v>0.99999999999999989</v>
      </c>
      <c r="I1186" s="77">
        <f t="shared" si="3981"/>
        <v>0.99999999999999989</v>
      </c>
      <c r="J1186" s="77">
        <f t="shared" si="3982"/>
        <v>7.1999999999999981E-2</v>
      </c>
      <c r="K1186" s="77">
        <f t="shared" si="4026"/>
        <v>5.8106552987937654E-3</v>
      </c>
      <c r="L1186" s="76">
        <v>0</v>
      </c>
      <c r="M1186" s="77">
        <f t="shared" si="3988"/>
        <v>0</v>
      </c>
      <c r="N1186" s="77">
        <f t="shared" si="3989"/>
        <v>0</v>
      </c>
      <c r="O1186" s="77">
        <f t="shared" si="3990"/>
        <v>4.9999999999999992E-3</v>
      </c>
      <c r="P1186" s="77">
        <f t="shared" si="3991"/>
        <v>4.1762458919303302E-4</v>
      </c>
      <c r="R1186" t="s">
        <v>177</v>
      </c>
      <c r="S1186" t="s">
        <v>180</v>
      </c>
      <c r="T1186" s="197" t="str">
        <f t="shared" si="4022"/>
        <v>Autopilot_Opportunity_443</v>
      </c>
      <c r="U1186">
        <v>443</v>
      </c>
      <c r="V1186">
        <f>VLOOKUP($U1186,'[2]AP Opportunity'!$Q$1:$T$542,2,FALSE)</f>
        <v>0.99999997777777772</v>
      </c>
      <c r="W1186">
        <f>VLOOKUP($U1186,'[2]AP Opportunity'!$Q$1:$T$542,3,FALSE)</f>
        <v>2.2222222284540294E-8</v>
      </c>
      <c r="X1186">
        <f>VLOOKUP($U1186,'[2]AP Opportunity'!$Q$1:$T$542,4,FALSE)</f>
        <v>0</v>
      </c>
      <c r="Y1186" s="77">
        <f t="shared" si="4023"/>
        <v>1</v>
      </c>
      <c r="Z1186" s="77">
        <f t="shared" si="4027"/>
        <v>6.4624999704999977E-2</v>
      </c>
      <c r="AA1186" s="77">
        <f t="shared" si="4028"/>
        <v>5.2321923767311151E-3</v>
      </c>
      <c r="AB1186" s="79">
        <v>1</v>
      </c>
      <c r="AC1186" s="77">
        <f t="shared" si="3992"/>
        <v>8.499999955555556E-3</v>
      </c>
      <c r="AD1186" s="77">
        <f t="shared" ref="AD1186" si="4069">1-(1-AC1186)^(1/12)</f>
        <v>7.1110795759765644E-4</v>
      </c>
      <c r="AE1186" s="77">
        <f t="shared" si="3994"/>
        <v>2.5000000000000001E-3</v>
      </c>
      <c r="AF1186" s="77">
        <f t="shared" ref="AF1186" si="4070">1-(1-AE1186)^(1/12)</f>
        <v>2.0857243058891584E-4</v>
      </c>
      <c r="AH1186" t="s">
        <v>175</v>
      </c>
      <c r="AI1186" t="s">
        <v>180</v>
      </c>
      <c r="AJ1186" s="197" t="str">
        <f t="shared" si="3985"/>
        <v>Lifecycle_Opportunity_443</v>
      </c>
      <c r="AK1186">
        <v>443</v>
      </c>
      <c r="AL1186">
        <f>VLOOKUP($U1186,[2]Standard_Opportunity!$Q$1:$T$542,2,FALSE)</f>
        <v>0.99999997777777772</v>
      </c>
      <c r="AM1186">
        <f>VLOOKUP($U1186,[2]Standard_Opportunity!$Q$1:$T$542,3,FALSE)</f>
        <v>2.2222222284540294E-8</v>
      </c>
      <c r="AN1186">
        <f>VLOOKUP($U1186,[2]Standard_Opportunity!$Q$1:$T$542,4,FALSE)</f>
        <v>0</v>
      </c>
      <c r="AO1186" s="77">
        <f t="shared" si="3986"/>
        <v>1</v>
      </c>
      <c r="AP1186" s="77">
        <f t="shared" si="3996"/>
        <v>6.4624999704999977E-2</v>
      </c>
      <c r="AQ1186" s="77">
        <f t="shared" si="3987"/>
        <v>5.2321923767311151E-3</v>
      </c>
      <c r="AR1186" s="79">
        <v>0</v>
      </c>
      <c r="AS1186" s="77">
        <f t="shared" si="3997"/>
        <v>0</v>
      </c>
      <c r="AT1186" s="77">
        <f t="shared" si="3998"/>
        <v>0</v>
      </c>
      <c r="AU1186" s="77">
        <f t="shared" si="3999"/>
        <v>2.5000000000000001E-3</v>
      </c>
      <c r="AV1186" s="77">
        <f t="shared" si="4000"/>
        <v>2.0809499864316017E-4</v>
      </c>
    </row>
    <row r="1187" spans="1:48">
      <c r="A1187" t="s">
        <v>175</v>
      </c>
      <c r="B1187" t="s">
        <v>180</v>
      </c>
      <c r="C1187" s="197" t="str">
        <f t="shared" si="4021"/>
        <v>Lifecycle_Opportunity_442</v>
      </c>
      <c r="D1187">
        <v>442</v>
      </c>
      <c r="E1187">
        <f>VLOOKUP($D1187,'[2]LC Opportunity'!$Q$2:$U$542,2,FALSE)</f>
        <v>0</v>
      </c>
      <c r="F1187">
        <f>VLOOKUP($D1187,'[2]LC Opportunity'!$Q$2:$U$542,3,FALSE)</f>
        <v>0</v>
      </c>
      <c r="G1187">
        <f>VLOOKUP($D1187,'[2]LC Opportunity'!$Q$2:$U$542,4,FALSE)</f>
        <v>0</v>
      </c>
      <c r="H1187">
        <f>VLOOKUP($D1187,'[2]LC Opportunity'!$Q$2:$U$542,5,FALSE)</f>
        <v>0.99999999999999989</v>
      </c>
      <c r="I1187" s="77">
        <f t="shared" si="3981"/>
        <v>0.99999999999999989</v>
      </c>
      <c r="J1187" s="77">
        <f t="shared" si="3982"/>
        <v>7.1999999999999981E-2</v>
      </c>
      <c r="K1187" s="77">
        <f t="shared" si="4026"/>
        <v>5.8106552987937654E-3</v>
      </c>
      <c r="L1187" s="76">
        <v>0</v>
      </c>
      <c r="M1187" s="77">
        <f t="shared" si="3988"/>
        <v>0</v>
      </c>
      <c r="N1187" s="77">
        <f t="shared" si="3989"/>
        <v>0</v>
      </c>
      <c r="O1187" s="77">
        <f t="shared" si="3990"/>
        <v>4.9999999999999992E-3</v>
      </c>
      <c r="P1187" s="77">
        <f t="shared" si="3991"/>
        <v>4.1762458919303302E-4</v>
      </c>
      <c r="R1187" t="s">
        <v>177</v>
      </c>
      <c r="S1187" t="s">
        <v>180</v>
      </c>
      <c r="T1187" s="197" t="str">
        <f t="shared" si="4022"/>
        <v>Autopilot_Opportunity_442</v>
      </c>
      <c r="U1187">
        <v>442</v>
      </c>
      <c r="V1187">
        <f>VLOOKUP($U1187,'[2]AP Opportunity'!$Q$1:$T$542,2,FALSE)</f>
        <v>0.99999997777777772</v>
      </c>
      <c r="W1187">
        <f>VLOOKUP($U1187,'[2]AP Opportunity'!$Q$1:$T$542,3,FALSE)</f>
        <v>2.2222222284540294E-8</v>
      </c>
      <c r="X1187">
        <f>VLOOKUP($U1187,'[2]AP Opportunity'!$Q$1:$T$542,4,FALSE)</f>
        <v>0</v>
      </c>
      <c r="Y1187" s="77">
        <f t="shared" si="4023"/>
        <v>1</v>
      </c>
      <c r="Z1187" s="77">
        <f t="shared" si="4027"/>
        <v>6.4624999704999977E-2</v>
      </c>
      <c r="AA1187" s="77">
        <f t="shared" si="4028"/>
        <v>5.2321923767311151E-3</v>
      </c>
      <c r="AB1187" s="79">
        <v>1</v>
      </c>
      <c r="AC1187" s="77">
        <f t="shared" si="3992"/>
        <v>8.499999955555556E-3</v>
      </c>
      <c r="AD1187" s="77">
        <f t="shared" ref="AD1187" si="4071">1-(1-AC1187)^(1/12)</f>
        <v>7.1110795759765644E-4</v>
      </c>
      <c r="AE1187" s="77">
        <f t="shared" si="3994"/>
        <v>2.5000000000000001E-3</v>
      </c>
      <c r="AF1187" s="77">
        <f t="shared" ref="AF1187" si="4072">1-(1-AE1187)^(1/12)</f>
        <v>2.0857243058891584E-4</v>
      </c>
      <c r="AH1187" t="s">
        <v>175</v>
      </c>
      <c r="AI1187" t="s">
        <v>180</v>
      </c>
      <c r="AJ1187" s="197" t="str">
        <f t="shared" si="3985"/>
        <v>Lifecycle_Opportunity_442</v>
      </c>
      <c r="AK1187">
        <v>442</v>
      </c>
      <c r="AL1187">
        <f>VLOOKUP($U1187,[2]Standard_Opportunity!$Q$1:$T$542,2,FALSE)</f>
        <v>0.99999997777777772</v>
      </c>
      <c r="AM1187">
        <f>VLOOKUP($U1187,[2]Standard_Opportunity!$Q$1:$T$542,3,FALSE)</f>
        <v>2.2222222284540294E-8</v>
      </c>
      <c r="AN1187">
        <f>VLOOKUP($U1187,[2]Standard_Opportunity!$Q$1:$T$542,4,FALSE)</f>
        <v>0</v>
      </c>
      <c r="AO1187" s="77">
        <f t="shared" si="3986"/>
        <v>1</v>
      </c>
      <c r="AP1187" s="77">
        <f t="shared" si="3996"/>
        <v>6.4624999704999977E-2</v>
      </c>
      <c r="AQ1187" s="77">
        <f t="shared" si="3987"/>
        <v>5.2321923767311151E-3</v>
      </c>
      <c r="AR1187" s="79">
        <v>0</v>
      </c>
      <c r="AS1187" s="77">
        <f t="shared" si="3997"/>
        <v>0</v>
      </c>
      <c r="AT1187" s="77">
        <f t="shared" si="3998"/>
        <v>0</v>
      </c>
      <c r="AU1187" s="77">
        <f t="shared" si="3999"/>
        <v>2.5000000000000001E-3</v>
      </c>
      <c r="AV1187" s="77">
        <f t="shared" si="4000"/>
        <v>2.0809499864316017E-4</v>
      </c>
    </row>
    <row r="1188" spans="1:48">
      <c r="A1188" t="s">
        <v>175</v>
      </c>
      <c r="B1188" t="s">
        <v>180</v>
      </c>
      <c r="C1188" s="197" t="str">
        <f t="shared" si="4021"/>
        <v>Lifecycle_Opportunity_441</v>
      </c>
      <c r="D1188">
        <v>441</v>
      </c>
      <c r="E1188">
        <f>VLOOKUP($D1188,'[2]LC Opportunity'!$Q$2:$U$542,2,FALSE)</f>
        <v>0</v>
      </c>
      <c r="F1188">
        <f>VLOOKUP($D1188,'[2]LC Opportunity'!$Q$2:$U$542,3,FALSE)</f>
        <v>0</v>
      </c>
      <c r="G1188">
        <f>VLOOKUP($D1188,'[2]LC Opportunity'!$Q$2:$U$542,4,FALSE)</f>
        <v>0</v>
      </c>
      <c r="H1188">
        <f>VLOOKUP($D1188,'[2]LC Opportunity'!$Q$2:$U$542,5,FALSE)</f>
        <v>0.99999999999999989</v>
      </c>
      <c r="I1188" s="77">
        <f t="shared" si="3981"/>
        <v>0.99999999999999989</v>
      </c>
      <c r="J1188" s="77">
        <f t="shared" si="3982"/>
        <v>7.1999999999999981E-2</v>
      </c>
      <c r="K1188" s="77">
        <f t="shared" si="4026"/>
        <v>5.8106552987937654E-3</v>
      </c>
      <c r="L1188" s="76">
        <v>0</v>
      </c>
      <c r="M1188" s="77">
        <f t="shared" si="3988"/>
        <v>0</v>
      </c>
      <c r="N1188" s="77">
        <f t="shared" si="3989"/>
        <v>0</v>
      </c>
      <c r="O1188" s="77">
        <f t="shared" si="3990"/>
        <v>4.9999999999999992E-3</v>
      </c>
      <c r="P1188" s="77">
        <f t="shared" si="3991"/>
        <v>4.1762458919303302E-4</v>
      </c>
      <c r="R1188" t="s">
        <v>177</v>
      </c>
      <c r="S1188" t="s">
        <v>180</v>
      </c>
      <c r="T1188" s="197" t="str">
        <f t="shared" si="4022"/>
        <v>Autopilot_Opportunity_441</v>
      </c>
      <c r="U1188">
        <v>441</v>
      </c>
      <c r="V1188">
        <f>VLOOKUP($U1188,'[2]AP Opportunity'!$Q$1:$T$542,2,FALSE)</f>
        <v>0.99999997777777772</v>
      </c>
      <c r="W1188">
        <f>VLOOKUP($U1188,'[2]AP Opportunity'!$Q$1:$T$542,3,FALSE)</f>
        <v>2.2222222284540294E-8</v>
      </c>
      <c r="X1188">
        <f>VLOOKUP($U1188,'[2]AP Opportunity'!$Q$1:$T$542,4,FALSE)</f>
        <v>0</v>
      </c>
      <c r="Y1188" s="77">
        <f t="shared" si="4023"/>
        <v>1</v>
      </c>
      <c r="Z1188" s="77">
        <f t="shared" si="4027"/>
        <v>6.4624999704999977E-2</v>
      </c>
      <c r="AA1188" s="77">
        <f t="shared" si="4028"/>
        <v>5.2321923767311151E-3</v>
      </c>
      <c r="AB1188" s="79">
        <v>1</v>
      </c>
      <c r="AC1188" s="77">
        <f t="shared" si="3992"/>
        <v>8.499999955555556E-3</v>
      </c>
      <c r="AD1188" s="77">
        <f t="shared" ref="AD1188" si="4073">1-(1-AC1188)^(1/12)</f>
        <v>7.1110795759765644E-4</v>
      </c>
      <c r="AE1188" s="77">
        <f t="shared" si="3994"/>
        <v>2.5000000000000001E-3</v>
      </c>
      <c r="AF1188" s="77">
        <f t="shared" ref="AF1188" si="4074">1-(1-AE1188)^(1/12)</f>
        <v>2.0857243058891584E-4</v>
      </c>
      <c r="AH1188" t="s">
        <v>175</v>
      </c>
      <c r="AI1188" t="s">
        <v>180</v>
      </c>
      <c r="AJ1188" s="197" t="str">
        <f t="shared" si="3985"/>
        <v>Lifecycle_Opportunity_441</v>
      </c>
      <c r="AK1188">
        <v>441</v>
      </c>
      <c r="AL1188">
        <f>VLOOKUP($U1188,[2]Standard_Opportunity!$Q$1:$T$542,2,FALSE)</f>
        <v>0.99999997777777772</v>
      </c>
      <c r="AM1188">
        <f>VLOOKUP($U1188,[2]Standard_Opportunity!$Q$1:$T$542,3,FALSE)</f>
        <v>2.2222222284540294E-8</v>
      </c>
      <c r="AN1188">
        <f>VLOOKUP($U1188,[2]Standard_Opportunity!$Q$1:$T$542,4,FALSE)</f>
        <v>0</v>
      </c>
      <c r="AO1188" s="77">
        <f t="shared" si="3986"/>
        <v>1</v>
      </c>
      <c r="AP1188" s="77">
        <f t="shared" si="3996"/>
        <v>6.4624999704999977E-2</v>
      </c>
      <c r="AQ1188" s="77">
        <f t="shared" si="3987"/>
        <v>5.2321923767311151E-3</v>
      </c>
      <c r="AR1188" s="79">
        <v>0</v>
      </c>
      <c r="AS1188" s="77">
        <f t="shared" si="3997"/>
        <v>0</v>
      </c>
      <c r="AT1188" s="77">
        <f t="shared" si="3998"/>
        <v>0</v>
      </c>
      <c r="AU1188" s="77">
        <f t="shared" si="3999"/>
        <v>2.5000000000000001E-3</v>
      </c>
      <c r="AV1188" s="77">
        <f t="shared" si="4000"/>
        <v>2.0809499864316017E-4</v>
      </c>
    </row>
    <row r="1189" spans="1:48">
      <c r="A1189" t="s">
        <v>175</v>
      </c>
      <c r="B1189" t="s">
        <v>180</v>
      </c>
      <c r="C1189" s="197" t="str">
        <f t="shared" si="4021"/>
        <v>Lifecycle_Opportunity_440</v>
      </c>
      <c r="D1189">
        <v>440</v>
      </c>
      <c r="E1189">
        <f>VLOOKUP($D1189,'[2]LC Opportunity'!$Q$2:$U$542,2,FALSE)</f>
        <v>0</v>
      </c>
      <c r="F1189">
        <f>VLOOKUP($D1189,'[2]LC Opportunity'!$Q$2:$U$542,3,FALSE)</f>
        <v>0</v>
      </c>
      <c r="G1189">
        <f>VLOOKUP($D1189,'[2]LC Opportunity'!$Q$2:$U$542,4,FALSE)</f>
        <v>0</v>
      </c>
      <c r="H1189">
        <f>VLOOKUP($D1189,'[2]LC Opportunity'!$Q$2:$U$542,5,FALSE)</f>
        <v>0.99999999999999989</v>
      </c>
      <c r="I1189" s="77">
        <f t="shared" si="3981"/>
        <v>0.99999999999999989</v>
      </c>
      <c r="J1189" s="77">
        <f t="shared" si="3982"/>
        <v>7.1999999999999981E-2</v>
      </c>
      <c r="K1189" s="77">
        <f t="shared" si="4026"/>
        <v>5.8106552987937654E-3</v>
      </c>
      <c r="L1189" s="76">
        <v>0</v>
      </c>
      <c r="M1189" s="77">
        <f t="shared" si="3988"/>
        <v>0</v>
      </c>
      <c r="N1189" s="77">
        <f t="shared" si="3989"/>
        <v>0</v>
      </c>
      <c r="O1189" s="77">
        <f t="shared" si="3990"/>
        <v>4.9999999999999992E-3</v>
      </c>
      <c r="P1189" s="77">
        <f t="shared" si="3991"/>
        <v>4.1762458919303302E-4</v>
      </c>
      <c r="R1189" t="s">
        <v>177</v>
      </c>
      <c r="S1189" t="s">
        <v>180</v>
      </c>
      <c r="T1189" s="197" t="str">
        <f t="shared" si="4022"/>
        <v>Autopilot_Opportunity_440</v>
      </c>
      <c r="U1189">
        <v>440</v>
      </c>
      <c r="V1189">
        <f>VLOOKUP($U1189,'[2]AP Opportunity'!$Q$1:$T$542,2,FALSE)</f>
        <v>0.99999997777777772</v>
      </c>
      <c r="W1189">
        <f>VLOOKUP($U1189,'[2]AP Opportunity'!$Q$1:$T$542,3,FALSE)</f>
        <v>2.2222222284540294E-8</v>
      </c>
      <c r="X1189">
        <f>VLOOKUP($U1189,'[2]AP Opportunity'!$Q$1:$T$542,4,FALSE)</f>
        <v>0</v>
      </c>
      <c r="Y1189" s="77">
        <f t="shared" si="4023"/>
        <v>1</v>
      </c>
      <c r="Z1189" s="77">
        <f t="shared" si="4027"/>
        <v>6.4624999704999977E-2</v>
      </c>
      <c r="AA1189" s="77">
        <f t="shared" si="4028"/>
        <v>5.2321923767311151E-3</v>
      </c>
      <c r="AB1189" s="79">
        <v>1</v>
      </c>
      <c r="AC1189" s="77">
        <f t="shared" si="3992"/>
        <v>8.499999955555556E-3</v>
      </c>
      <c r="AD1189" s="77">
        <f t="shared" ref="AD1189" si="4075">1-(1-AC1189)^(1/12)</f>
        <v>7.1110795759765644E-4</v>
      </c>
      <c r="AE1189" s="77">
        <f t="shared" si="3994"/>
        <v>2.5000000000000001E-3</v>
      </c>
      <c r="AF1189" s="77">
        <f t="shared" ref="AF1189" si="4076">1-(1-AE1189)^(1/12)</f>
        <v>2.0857243058891584E-4</v>
      </c>
      <c r="AH1189" t="s">
        <v>175</v>
      </c>
      <c r="AI1189" t="s">
        <v>180</v>
      </c>
      <c r="AJ1189" s="197" t="str">
        <f t="shared" si="3985"/>
        <v>Lifecycle_Opportunity_440</v>
      </c>
      <c r="AK1189">
        <v>440</v>
      </c>
      <c r="AL1189">
        <f>VLOOKUP($U1189,[2]Standard_Opportunity!$Q$1:$T$542,2,FALSE)</f>
        <v>0.99999997777777772</v>
      </c>
      <c r="AM1189">
        <f>VLOOKUP($U1189,[2]Standard_Opportunity!$Q$1:$T$542,3,FALSE)</f>
        <v>2.2222222284540294E-8</v>
      </c>
      <c r="AN1189">
        <f>VLOOKUP($U1189,[2]Standard_Opportunity!$Q$1:$T$542,4,FALSE)</f>
        <v>0</v>
      </c>
      <c r="AO1189" s="77">
        <f t="shared" si="3986"/>
        <v>1</v>
      </c>
      <c r="AP1189" s="77">
        <f t="shared" si="3996"/>
        <v>6.4624999704999977E-2</v>
      </c>
      <c r="AQ1189" s="77">
        <f t="shared" si="3987"/>
        <v>5.2321923767311151E-3</v>
      </c>
      <c r="AR1189" s="79">
        <v>0</v>
      </c>
      <c r="AS1189" s="77">
        <f t="shared" si="3997"/>
        <v>0</v>
      </c>
      <c r="AT1189" s="77">
        <f t="shared" si="3998"/>
        <v>0</v>
      </c>
      <c r="AU1189" s="77">
        <f t="shared" si="3999"/>
        <v>2.5000000000000001E-3</v>
      </c>
      <c r="AV1189" s="77">
        <f t="shared" si="4000"/>
        <v>2.0809499864316017E-4</v>
      </c>
    </row>
    <row r="1190" spans="1:48">
      <c r="A1190" t="s">
        <v>175</v>
      </c>
      <c r="B1190" t="s">
        <v>180</v>
      </c>
      <c r="C1190" s="197" t="str">
        <f t="shared" si="4021"/>
        <v>Lifecycle_Opportunity_439</v>
      </c>
      <c r="D1190">
        <v>439</v>
      </c>
      <c r="E1190">
        <f>VLOOKUP($D1190,'[2]LC Opportunity'!$Q$2:$U$542,2,FALSE)</f>
        <v>0</v>
      </c>
      <c r="F1190">
        <f>VLOOKUP($D1190,'[2]LC Opportunity'!$Q$2:$U$542,3,FALSE)</f>
        <v>0</v>
      </c>
      <c r="G1190">
        <f>VLOOKUP($D1190,'[2]LC Opportunity'!$Q$2:$U$542,4,FALSE)</f>
        <v>0</v>
      </c>
      <c r="H1190">
        <f>VLOOKUP($D1190,'[2]LC Opportunity'!$Q$2:$U$542,5,FALSE)</f>
        <v>0.99999999999999989</v>
      </c>
      <c r="I1190" s="77">
        <f t="shared" si="3981"/>
        <v>0.99999999999999989</v>
      </c>
      <c r="J1190" s="77">
        <f t="shared" si="3982"/>
        <v>7.1999999999999981E-2</v>
      </c>
      <c r="K1190" s="77">
        <f t="shared" si="4026"/>
        <v>5.8106552987937654E-3</v>
      </c>
      <c r="L1190" s="76">
        <v>0</v>
      </c>
      <c r="M1190" s="77">
        <f t="shared" si="3988"/>
        <v>0</v>
      </c>
      <c r="N1190" s="77">
        <f t="shared" si="3989"/>
        <v>0</v>
      </c>
      <c r="O1190" s="77">
        <f t="shared" si="3990"/>
        <v>4.9999999999999992E-3</v>
      </c>
      <c r="P1190" s="77">
        <f t="shared" si="3991"/>
        <v>4.1762458919303302E-4</v>
      </c>
      <c r="R1190" t="s">
        <v>177</v>
      </c>
      <c r="S1190" t="s">
        <v>180</v>
      </c>
      <c r="T1190" s="197" t="str">
        <f t="shared" si="4022"/>
        <v>Autopilot_Opportunity_439</v>
      </c>
      <c r="U1190">
        <v>439</v>
      </c>
      <c r="V1190">
        <f>VLOOKUP($U1190,'[2]AP Opportunity'!$Q$1:$T$542,2,FALSE)</f>
        <v>0.99999997777777772</v>
      </c>
      <c r="W1190">
        <f>VLOOKUP($U1190,'[2]AP Opportunity'!$Q$1:$T$542,3,FALSE)</f>
        <v>2.2222222284540294E-8</v>
      </c>
      <c r="X1190">
        <f>VLOOKUP($U1190,'[2]AP Opportunity'!$Q$1:$T$542,4,FALSE)</f>
        <v>0</v>
      </c>
      <c r="Y1190" s="77">
        <f t="shared" si="4023"/>
        <v>1</v>
      </c>
      <c r="Z1190" s="77">
        <f t="shared" si="4027"/>
        <v>6.4624999704999977E-2</v>
      </c>
      <c r="AA1190" s="77">
        <f t="shared" si="4028"/>
        <v>5.2321923767311151E-3</v>
      </c>
      <c r="AB1190" s="79">
        <v>1</v>
      </c>
      <c r="AC1190" s="77">
        <f t="shared" si="3992"/>
        <v>8.499999955555556E-3</v>
      </c>
      <c r="AD1190" s="77">
        <f t="shared" ref="AD1190" si="4077">1-(1-AC1190)^(1/12)</f>
        <v>7.1110795759765644E-4</v>
      </c>
      <c r="AE1190" s="77">
        <f t="shared" si="3994"/>
        <v>2.5000000000000001E-3</v>
      </c>
      <c r="AF1190" s="77">
        <f t="shared" ref="AF1190" si="4078">1-(1-AE1190)^(1/12)</f>
        <v>2.0857243058891584E-4</v>
      </c>
      <c r="AH1190" t="s">
        <v>175</v>
      </c>
      <c r="AI1190" t="s">
        <v>180</v>
      </c>
      <c r="AJ1190" s="197" t="str">
        <f t="shared" si="3985"/>
        <v>Lifecycle_Opportunity_439</v>
      </c>
      <c r="AK1190">
        <v>439</v>
      </c>
      <c r="AL1190">
        <f>VLOOKUP($U1190,[2]Standard_Opportunity!$Q$1:$T$542,2,FALSE)</f>
        <v>0.99999997777777772</v>
      </c>
      <c r="AM1190">
        <f>VLOOKUP($U1190,[2]Standard_Opportunity!$Q$1:$T$542,3,FALSE)</f>
        <v>2.2222222284540294E-8</v>
      </c>
      <c r="AN1190">
        <f>VLOOKUP($U1190,[2]Standard_Opportunity!$Q$1:$T$542,4,FALSE)</f>
        <v>0</v>
      </c>
      <c r="AO1190" s="77">
        <f t="shared" si="3986"/>
        <v>1</v>
      </c>
      <c r="AP1190" s="77">
        <f t="shared" si="3996"/>
        <v>6.4624999704999977E-2</v>
      </c>
      <c r="AQ1190" s="77">
        <f t="shared" si="3987"/>
        <v>5.2321923767311151E-3</v>
      </c>
      <c r="AR1190" s="79">
        <v>0</v>
      </c>
      <c r="AS1190" s="77">
        <f t="shared" si="3997"/>
        <v>0</v>
      </c>
      <c r="AT1190" s="77">
        <f t="shared" si="3998"/>
        <v>0</v>
      </c>
      <c r="AU1190" s="77">
        <f t="shared" si="3999"/>
        <v>2.5000000000000001E-3</v>
      </c>
      <c r="AV1190" s="77">
        <f t="shared" si="4000"/>
        <v>2.0809499864316017E-4</v>
      </c>
    </row>
    <row r="1191" spans="1:48">
      <c r="A1191" t="s">
        <v>175</v>
      </c>
      <c r="B1191" t="s">
        <v>180</v>
      </c>
      <c r="C1191" s="197" t="str">
        <f t="shared" si="4021"/>
        <v>Lifecycle_Opportunity_438</v>
      </c>
      <c r="D1191">
        <v>438</v>
      </c>
      <c r="E1191">
        <f>VLOOKUP($D1191,'[2]LC Opportunity'!$Q$2:$U$542,2,FALSE)</f>
        <v>0</v>
      </c>
      <c r="F1191">
        <f>VLOOKUP($D1191,'[2]LC Opportunity'!$Q$2:$U$542,3,FALSE)</f>
        <v>0</v>
      </c>
      <c r="G1191">
        <f>VLOOKUP($D1191,'[2]LC Opportunity'!$Q$2:$U$542,4,FALSE)</f>
        <v>0</v>
      </c>
      <c r="H1191">
        <f>VLOOKUP($D1191,'[2]LC Opportunity'!$Q$2:$U$542,5,FALSE)</f>
        <v>0.99999999999999989</v>
      </c>
      <c r="I1191" s="77">
        <f t="shared" si="3981"/>
        <v>0.99999999999999989</v>
      </c>
      <c r="J1191" s="77">
        <f t="shared" si="3982"/>
        <v>7.1999999999999981E-2</v>
      </c>
      <c r="K1191" s="77">
        <f t="shared" si="4026"/>
        <v>5.8106552987937654E-3</v>
      </c>
      <c r="L1191" s="76">
        <v>0</v>
      </c>
      <c r="M1191" s="77">
        <f t="shared" si="3988"/>
        <v>0</v>
      </c>
      <c r="N1191" s="77">
        <f t="shared" si="3989"/>
        <v>0</v>
      </c>
      <c r="O1191" s="77">
        <f t="shared" si="3990"/>
        <v>4.9999999999999992E-3</v>
      </c>
      <c r="P1191" s="77">
        <f t="shared" si="3991"/>
        <v>4.1762458919303302E-4</v>
      </c>
      <c r="R1191" t="s">
        <v>177</v>
      </c>
      <c r="S1191" t="s">
        <v>180</v>
      </c>
      <c r="T1191" s="197" t="str">
        <f t="shared" si="4022"/>
        <v>Autopilot_Opportunity_438</v>
      </c>
      <c r="U1191">
        <v>438</v>
      </c>
      <c r="V1191">
        <f>VLOOKUP($U1191,'[2]AP Opportunity'!$Q$1:$T$542,2,FALSE)</f>
        <v>0.99999997777777772</v>
      </c>
      <c r="W1191">
        <f>VLOOKUP($U1191,'[2]AP Opportunity'!$Q$1:$T$542,3,FALSE)</f>
        <v>2.2222222284540294E-8</v>
      </c>
      <c r="X1191">
        <f>VLOOKUP($U1191,'[2]AP Opportunity'!$Q$1:$T$542,4,FALSE)</f>
        <v>0</v>
      </c>
      <c r="Y1191" s="77">
        <f t="shared" si="4023"/>
        <v>1</v>
      </c>
      <c r="Z1191" s="77">
        <f t="shared" si="4027"/>
        <v>6.4624999704999977E-2</v>
      </c>
      <c r="AA1191" s="77">
        <f t="shared" si="4028"/>
        <v>5.2321923767311151E-3</v>
      </c>
      <c r="AB1191" s="79">
        <v>1</v>
      </c>
      <c r="AC1191" s="77">
        <f t="shared" si="3992"/>
        <v>8.499999955555556E-3</v>
      </c>
      <c r="AD1191" s="77">
        <f t="shared" ref="AD1191" si="4079">1-(1-AC1191)^(1/12)</f>
        <v>7.1110795759765644E-4</v>
      </c>
      <c r="AE1191" s="77">
        <f t="shared" si="3994"/>
        <v>2.5000000000000001E-3</v>
      </c>
      <c r="AF1191" s="77">
        <f t="shared" ref="AF1191" si="4080">1-(1-AE1191)^(1/12)</f>
        <v>2.0857243058891584E-4</v>
      </c>
      <c r="AH1191" t="s">
        <v>175</v>
      </c>
      <c r="AI1191" t="s">
        <v>180</v>
      </c>
      <c r="AJ1191" s="197" t="str">
        <f t="shared" si="3985"/>
        <v>Lifecycle_Opportunity_438</v>
      </c>
      <c r="AK1191">
        <v>438</v>
      </c>
      <c r="AL1191">
        <f>VLOOKUP($U1191,[2]Standard_Opportunity!$Q$1:$T$542,2,FALSE)</f>
        <v>0.99999997777777772</v>
      </c>
      <c r="AM1191">
        <f>VLOOKUP($U1191,[2]Standard_Opportunity!$Q$1:$T$542,3,FALSE)</f>
        <v>2.2222222284540294E-8</v>
      </c>
      <c r="AN1191">
        <f>VLOOKUP($U1191,[2]Standard_Opportunity!$Q$1:$T$542,4,FALSE)</f>
        <v>0</v>
      </c>
      <c r="AO1191" s="77">
        <f t="shared" si="3986"/>
        <v>1</v>
      </c>
      <c r="AP1191" s="77">
        <f t="shared" si="3996"/>
        <v>6.4624999704999977E-2</v>
      </c>
      <c r="AQ1191" s="77">
        <f t="shared" si="3987"/>
        <v>5.2321923767311151E-3</v>
      </c>
      <c r="AR1191" s="79">
        <v>0</v>
      </c>
      <c r="AS1191" s="77">
        <f t="shared" si="3997"/>
        <v>0</v>
      </c>
      <c r="AT1191" s="77">
        <f t="shared" si="3998"/>
        <v>0</v>
      </c>
      <c r="AU1191" s="77">
        <f t="shared" si="3999"/>
        <v>2.5000000000000001E-3</v>
      </c>
      <c r="AV1191" s="77">
        <f t="shared" si="4000"/>
        <v>2.0809499864316017E-4</v>
      </c>
    </row>
    <row r="1192" spans="1:48">
      <c r="A1192" t="s">
        <v>175</v>
      </c>
      <c r="B1192" t="s">
        <v>180</v>
      </c>
      <c r="C1192" s="197" t="str">
        <f t="shared" si="4021"/>
        <v>Lifecycle_Opportunity_437</v>
      </c>
      <c r="D1192">
        <v>437</v>
      </c>
      <c r="E1192">
        <f>VLOOKUP($D1192,'[2]LC Opportunity'!$Q$2:$U$542,2,FALSE)</f>
        <v>0</v>
      </c>
      <c r="F1192">
        <f>VLOOKUP($D1192,'[2]LC Opportunity'!$Q$2:$U$542,3,FALSE)</f>
        <v>0</v>
      </c>
      <c r="G1192">
        <f>VLOOKUP($D1192,'[2]LC Opportunity'!$Q$2:$U$542,4,FALSE)</f>
        <v>0</v>
      </c>
      <c r="H1192">
        <f>VLOOKUP($D1192,'[2]LC Opportunity'!$Q$2:$U$542,5,FALSE)</f>
        <v>0.99999999999999989</v>
      </c>
      <c r="I1192" s="77">
        <f t="shared" si="3981"/>
        <v>0.99999999999999989</v>
      </c>
      <c r="J1192" s="77">
        <f t="shared" si="3982"/>
        <v>7.1999999999999981E-2</v>
      </c>
      <c r="K1192" s="77">
        <f t="shared" si="4026"/>
        <v>5.8106552987937654E-3</v>
      </c>
      <c r="L1192" s="76">
        <v>0</v>
      </c>
      <c r="M1192" s="77">
        <f t="shared" si="3988"/>
        <v>0</v>
      </c>
      <c r="N1192" s="77">
        <f t="shared" si="3989"/>
        <v>0</v>
      </c>
      <c r="O1192" s="77">
        <f t="shared" si="3990"/>
        <v>4.9999999999999992E-3</v>
      </c>
      <c r="P1192" s="77">
        <f t="shared" si="3991"/>
        <v>4.1762458919303302E-4</v>
      </c>
      <c r="R1192" t="s">
        <v>177</v>
      </c>
      <c r="S1192" t="s">
        <v>180</v>
      </c>
      <c r="T1192" s="197" t="str">
        <f t="shared" si="4022"/>
        <v>Autopilot_Opportunity_437</v>
      </c>
      <c r="U1192">
        <v>437</v>
      </c>
      <c r="V1192">
        <f>VLOOKUP($U1192,'[2]AP Opportunity'!$Q$1:$T$542,2,FALSE)</f>
        <v>0.99999997777777772</v>
      </c>
      <c r="W1192">
        <f>VLOOKUP($U1192,'[2]AP Opportunity'!$Q$1:$T$542,3,FALSE)</f>
        <v>2.2222222284540294E-8</v>
      </c>
      <c r="X1192">
        <f>VLOOKUP($U1192,'[2]AP Opportunity'!$Q$1:$T$542,4,FALSE)</f>
        <v>0</v>
      </c>
      <c r="Y1192" s="77">
        <f t="shared" si="4023"/>
        <v>1</v>
      </c>
      <c r="Z1192" s="77">
        <f t="shared" si="4027"/>
        <v>6.4624999704999977E-2</v>
      </c>
      <c r="AA1192" s="77">
        <f t="shared" si="4028"/>
        <v>5.2321923767311151E-3</v>
      </c>
      <c r="AB1192" s="79">
        <v>1</v>
      </c>
      <c r="AC1192" s="77">
        <f t="shared" si="3992"/>
        <v>8.499999955555556E-3</v>
      </c>
      <c r="AD1192" s="77">
        <f t="shared" ref="AD1192" si="4081">1-(1-AC1192)^(1/12)</f>
        <v>7.1110795759765644E-4</v>
      </c>
      <c r="AE1192" s="77">
        <f t="shared" si="3994"/>
        <v>2.5000000000000001E-3</v>
      </c>
      <c r="AF1192" s="77">
        <f t="shared" ref="AF1192" si="4082">1-(1-AE1192)^(1/12)</f>
        <v>2.0857243058891584E-4</v>
      </c>
      <c r="AH1192" t="s">
        <v>175</v>
      </c>
      <c r="AI1192" t="s">
        <v>180</v>
      </c>
      <c r="AJ1192" s="197" t="str">
        <f t="shared" si="3985"/>
        <v>Lifecycle_Opportunity_437</v>
      </c>
      <c r="AK1192">
        <v>437</v>
      </c>
      <c r="AL1192">
        <f>VLOOKUP($U1192,[2]Standard_Opportunity!$Q$1:$T$542,2,FALSE)</f>
        <v>0.99999997777777772</v>
      </c>
      <c r="AM1192">
        <f>VLOOKUP($U1192,[2]Standard_Opportunity!$Q$1:$T$542,3,FALSE)</f>
        <v>2.2222222284540294E-8</v>
      </c>
      <c r="AN1192">
        <f>VLOOKUP($U1192,[2]Standard_Opportunity!$Q$1:$T$542,4,FALSE)</f>
        <v>0</v>
      </c>
      <c r="AO1192" s="77">
        <f t="shared" si="3986"/>
        <v>1</v>
      </c>
      <c r="AP1192" s="77">
        <f t="shared" si="3996"/>
        <v>6.4624999704999977E-2</v>
      </c>
      <c r="AQ1192" s="77">
        <f t="shared" si="3987"/>
        <v>5.2321923767311151E-3</v>
      </c>
      <c r="AR1192" s="79">
        <v>0</v>
      </c>
      <c r="AS1192" s="77">
        <f t="shared" si="3997"/>
        <v>0</v>
      </c>
      <c r="AT1192" s="77">
        <f t="shared" si="3998"/>
        <v>0</v>
      </c>
      <c r="AU1192" s="77">
        <f t="shared" si="3999"/>
        <v>2.5000000000000001E-3</v>
      </c>
      <c r="AV1192" s="77">
        <f t="shared" si="4000"/>
        <v>2.0809499864316017E-4</v>
      </c>
    </row>
    <row r="1193" spans="1:48">
      <c r="A1193" t="s">
        <v>175</v>
      </c>
      <c r="B1193" t="s">
        <v>180</v>
      </c>
      <c r="C1193" s="197" t="str">
        <f t="shared" si="4021"/>
        <v>Lifecycle_Opportunity_436</v>
      </c>
      <c r="D1193">
        <v>436</v>
      </c>
      <c r="E1193">
        <f>VLOOKUP($D1193,'[2]LC Opportunity'!$Q$2:$U$542,2,FALSE)</f>
        <v>0</v>
      </c>
      <c r="F1193">
        <f>VLOOKUP($D1193,'[2]LC Opportunity'!$Q$2:$U$542,3,FALSE)</f>
        <v>0</v>
      </c>
      <c r="G1193">
        <f>VLOOKUP($D1193,'[2]LC Opportunity'!$Q$2:$U$542,4,FALSE)</f>
        <v>0</v>
      </c>
      <c r="H1193">
        <f>VLOOKUP($D1193,'[2]LC Opportunity'!$Q$2:$U$542,5,FALSE)</f>
        <v>0.99999999999999989</v>
      </c>
      <c r="I1193" s="77">
        <f t="shared" si="3981"/>
        <v>0.99999999999999989</v>
      </c>
      <c r="J1193" s="77">
        <f t="shared" si="3982"/>
        <v>7.1999999999999981E-2</v>
      </c>
      <c r="K1193" s="77">
        <f t="shared" si="4026"/>
        <v>5.8106552987937654E-3</v>
      </c>
      <c r="L1193" s="76">
        <v>0</v>
      </c>
      <c r="M1193" s="77">
        <f t="shared" si="3988"/>
        <v>0</v>
      </c>
      <c r="N1193" s="77">
        <f t="shared" si="3989"/>
        <v>0</v>
      </c>
      <c r="O1193" s="77">
        <f t="shared" si="3990"/>
        <v>4.9999999999999992E-3</v>
      </c>
      <c r="P1193" s="77">
        <f t="shared" si="3991"/>
        <v>4.1762458919303302E-4</v>
      </c>
      <c r="R1193" t="s">
        <v>177</v>
      </c>
      <c r="S1193" t="s">
        <v>180</v>
      </c>
      <c r="T1193" s="197" t="str">
        <f t="shared" si="4022"/>
        <v>Autopilot_Opportunity_436</v>
      </c>
      <c r="U1193">
        <v>436</v>
      </c>
      <c r="V1193">
        <f>VLOOKUP($U1193,'[2]AP Opportunity'!$Q$1:$T$542,2,FALSE)</f>
        <v>0.99999997777777772</v>
      </c>
      <c r="W1193">
        <f>VLOOKUP($U1193,'[2]AP Opportunity'!$Q$1:$T$542,3,FALSE)</f>
        <v>2.2222222284540294E-8</v>
      </c>
      <c r="X1193">
        <f>VLOOKUP($U1193,'[2]AP Opportunity'!$Q$1:$T$542,4,FALSE)</f>
        <v>0</v>
      </c>
      <c r="Y1193" s="77">
        <f t="shared" si="4023"/>
        <v>1</v>
      </c>
      <c r="Z1193" s="77">
        <f t="shared" si="4027"/>
        <v>6.4624999704999977E-2</v>
      </c>
      <c r="AA1193" s="77">
        <f t="shared" si="4028"/>
        <v>5.2321923767311151E-3</v>
      </c>
      <c r="AB1193" s="79">
        <v>1</v>
      </c>
      <c r="AC1193" s="77">
        <f t="shared" si="3992"/>
        <v>8.499999955555556E-3</v>
      </c>
      <c r="AD1193" s="77">
        <f t="shared" ref="AD1193" si="4083">1-(1-AC1193)^(1/12)</f>
        <v>7.1110795759765644E-4</v>
      </c>
      <c r="AE1193" s="77">
        <f t="shared" si="3994"/>
        <v>2.5000000000000001E-3</v>
      </c>
      <c r="AF1193" s="77">
        <f t="shared" ref="AF1193" si="4084">1-(1-AE1193)^(1/12)</f>
        <v>2.0857243058891584E-4</v>
      </c>
      <c r="AH1193" t="s">
        <v>175</v>
      </c>
      <c r="AI1193" t="s">
        <v>180</v>
      </c>
      <c r="AJ1193" s="197" t="str">
        <f t="shared" si="3985"/>
        <v>Lifecycle_Opportunity_436</v>
      </c>
      <c r="AK1193">
        <v>436</v>
      </c>
      <c r="AL1193">
        <f>VLOOKUP($U1193,[2]Standard_Opportunity!$Q$1:$T$542,2,FALSE)</f>
        <v>0.99999997777777772</v>
      </c>
      <c r="AM1193">
        <f>VLOOKUP($U1193,[2]Standard_Opportunity!$Q$1:$T$542,3,FALSE)</f>
        <v>2.2222222284540294E-8</v>
      </c>
      <c r="AN1193">
        <f>VLOOKUP($U1193,[2]Standard_Opportunity!$Q$1:$T$542,4,FALSE)</f>
        <v>0</v>
      </c>
      <c r="AO1193" s="77">
        <f t="shared" si="3986"/>
        <v>1</v>
      </c>
      <c r="AP1193" s="77">
        <f t="shared" si="3996"/>
        <v>6.4624999704999977E-2</v>
      </c>
      <c r="AQ1193" s="77">
        <f t="shared" si="3987"/>
        <v>5.2321923767311151E-3</v>
      </c>
      <c r="AR1193" s="79">
        <v>0</v>
      </c>
      <c r="AS1193" s="77">
        <f t="shared" si="3997"/>
        <v>0</v>
      </c>
      <c r="AT1193" s="77">
        <f t="shared" si="3998"/>
        <v>0</v>
      </c>
      <c r="AU1193" s="77">
        <f t="shared" si="3999"/>
        <v>2.5000000000000001E-3</v>
      </c>
      <c r="AV1193" s="77">
        <f t="shared" si="4000"/>
        <v>2.0809499864316017E-4</v>
      </c>
    </row>
    <row r="1194" spans="1:48">
      <c r="A1194" t="s">
        <v>175</v>
      </c>
      <c r="B1194" t="s">
        <v>180</v>
      </c>
      <c r="C1194" s="197" t="str">
        <f t="shared" si="4021"/>
        <v>Lifecycle_Opportunity_435</v>
      </c>
      <c r="D1194">
        <v>435</v>
      </c>
      <c r="E1194">
        <f>VLOOKUP($D1194,'[2]LC Opportunity'!$Q$2:$U$542,2,FALSE)</f>
        <v>0</v>
      </c>
      <c r="F1194">
        <f>VLOOKUP($D1194,'[2]LC Opportunity'!$Q$2:$U$542,3,FALSE)</f>
        <v>0</v>
      </c>
      <c r="G1194">
        <f>VLOOKUP($D1194,'[2]LC Opportunity'!$Q$2:$U$542,4,FALSE)</f>
        <v>0</v>
      </c>
      <c r="H1194">
        <f>VLOOKUP($D1194,'[2]LC Opportunity'!$Q$2:$U$542,5,FALSE)</f>
        <v>0.99999999999999989</v>
      </c>
      <c r="I1194" s="77">
        <f t="shared" si="3981"/>
        <v>0.99999999999999989</v>
      </c>
      <c r="J1194" s="77">
        <f t="shared" si="3982"/>
        <v>7.1999999999999981E-2</v>
      </c>
      <c r="K1194" s="77">
        <f t="shared" si="4026"/>
        <v>5.8106552987937654E-3</v>
      </c>
      <c r="L1194" s="76">
        <v>0</v>
      </c>
      <c r="M1194" s="77">
        <f t="shared" si="3988"/>
        <v>0</v>
      </c>
      <c r="N1194" s="77">
        <f t="shared" si="3989"/>
        <v>0</v>
      </c>
      <c r="O1194" s="77">
        <f t="shared" si="3990"/>
        <v>4.9999999999999992E-3</v>
      </c>
      <c r="P1194" s="77">
        <f t="shared" si="3991"/>
        <v>4.1762458919303302E-4</v>
      </c>
      <c r="R1194" t="s">
        <v>177</v>
      </c>
      <c r="S1194" t="s">
        <v>180</v>
      </c>
      <c r="T1194" s="197" t="str">
        <f t="shared" si="4022"/>
        <v>Autopilot_Opportunity_435</v>
      </c>
      <c r="U1194">
        <v>435</v>
      </c>
      <c r="V1194">
        <f>VLOOKUP($U1194,'[2]AP Opportunity'!$Q$1:$T$542,2,FALSE)</f>
        <v>0.99999997777777772</v>
      </c>
      <c r="W1194">
        <f>VLOOKUP($U1194,'[2]AP Opportunity'!$Q$1:$T$542,3,FALSE)</f>
        <v>2.2222222284540294E-8</v>
      </c>
      <c r="X1194">
        <f>VLOOKUP($U1194,'[2]AP Opportunity'!$Q$1:$T$542,4,FALSE)</f>
        <v>0</v>
      </c>
      <c r="Y1194" s="77">
        <f t="shared" si="4023"/>
        <v>1</v>
      </c>
      <c r="Z1194" s="77">
        <f t="shared" si="4027"/>
        <v>6.4624999704999977E-2</v>
      </c>
      <c r="AA1194" s="77">
        <f t="shared" si="4028"/>
        <v>5.2321923767311151E-3</v>
      </c>
      <c r="AB1194" s="79">
        <v>1</v>
      </c>
      <c r="AC1194" s="77">
        <f t="shared" si="3992"/>
        <v>8.499999955555556E-3</v>
      </c>
      <c r="AD1194" s="77">
        <f t="shared" ref="AD1194" si="4085">1-(1-AC1194)^(1/12)</f>
        <v>7.1110795759765644E-4</v>
      </c>
      <c r="AE1194" s="77">
        <f t="shared" si="3994"/>
        <v>2.5000000000000001E-3</v>
      </c>
      <c r="AF1194" s="77">
        <f t="shared" ref="AF1194" si="4086">1-(1-AE1194)^(1/12)</f>
        <v>2.0857243058891584E-4</v>
      </c>
      <c r="AH1194" t="s">
        <v>175</v>
      </c>
      <c r="AI1194" t="s">
        <v>180</v>
      </c>
      <c r="AJ1194" s="197" t="str">
        <f t="shared" si="3985"/>
        <v>Lifecycle_Opportunity_435</v>
      </c>
      <c r="AK1194">
        <v>435</v>
      </c>
      <c r="AL1194">
        <f>VLOOKUP($U1194,[2]Standard_Opportunity!$Q$1:$T$542,2,FALSE)</f>
        <v>0.99999997777777772</v>
      </c>
      <c r="AM1194">
        <f>VLOOKUP($U1194,[2]Standard_Opportunity!$Q$1:$T$542,3,FALSE)</f>
        <v>2.2222222284540294E-8</v>
      </c>
      <c r="AN1194">
        <f>VLOOKUP($U1194,[2]Standard_Opportunity!$Q$1:$T$542,4,FALSE)</f>
        <v>0</v>
      </c>
      <c r="AO1194" s="77">
        <f t="shared" si="3986"/>
        <v>1</v>
      </c>
      <c r="AP1194" s="77">
        <f t="shared" si="3996"/>
        <v>6.4624999704999977E-2</v>
      </c>
      <c r="AQ1194" s="77">
        <f t="shared" si="3987"/>
        <v>5.2321923767311151E-3</v>
      </c>
      <c r="AR1194" s="79">
        <v>0</v>
      </c>
      <c r="AS1194" s="77">
        <f t="shared" si="3997"/>
        <v>0</v>
      </c>
      <c r="AT1194" s="77">
        <f t="shared" si="3998"/>
        <v>0</v>
      </c>
      <c r="AU1194" s="77">
        <f t="shared" si="3999"/>
        <v>2.5000000000000001E-3</v>
      </c>
      <c r="AV1194" s="77">
        <f t="shared" si="4000"/>
        <v>2.0809499864316017E-4</v>
      </c>
    </row>
    <row r="1195" spans="1:48">
      <c r="A1195" t="s">
        <v>175</v>
      </c>
      <c r="B1195" t="s">
        <v>180</v>
      </c>
      <c r="C1195" s="197" t="str">
        <f t="shared" si="4021"/>
        <v>Lifecycle_Opportunity_434</v>
      </c>
      <c r="D1195">
        <v>434</v>
      </c>
      <c r="E1195">
        <f>VLOOKUP($D1195,'[2]LC Opportunity'!$Q$2:$U$542,2,FALSE)</f>
        <v>0</v>
      </c>
      <c r="F1195">
        <f>VLOOKUP($D1195,'[2]LC Opportunity'!$Q$2:$U$542,3,FALSE)</f>
        <v>0</v>
      </c>
      <c r="G1195">
        <f>VLOOKUP($D1195,'[2]LC Opportunity'!$Q$2:$U$542,4,FALSE)</f>
        <v>0</v>
      </c>
      <c r="H1195">
        <f>VLOOKUP($D1195,'[2]LC Opportunity'!$Q$2:$U$542,5,FALSE)</f>
        <v>0.99999999999999989</v>
      </c>
      <c r="I1195" s="77">
        <f t="shared" si="3981"/>
        <v>0.99999999999999989</v>
      </c>
      <c r="J1195" s="77">
        <f t="shared" si="3982"/>
        <v>7.1999999999999981E-2</v>
      </c>
      <c r="K1195" s="77">
        <f t="shared" si="4026"/>
        <v>5.8106552987937654E-3</v>
      </c>
      <c r="L1195" s="76">
        <v>0</v>
      </c>
      <c r="M1195" s="77">
        <f t="shared" si="3988"/>
        <v>0</v>
      </c>
      <c r="N1195" s="77">
        <f t="shared" si="3989"/>
        <v>0</v>
      </c>
      <c r="O1195" s="77">
        <f t="shared" si="3990"/>
        <v>4.9999999999999992E-3</v>
      </c>
      <c r="P1195" s="77">
        <f t="shared" si="3991"/>
        <v>4.1762458919303302E-4</v>
      </c>
      <c r="R1195" t="s">
        <v>177</v>
      </c>
      <c r="S1195" t="s">
        <v>180</v>
      </c>
      <c r="T1195" s="197" t="str">
        <f t="shared" si="4022"/>
        <v>Autopilot_Opportunity_434</v>
      </c>
      <c r="U1195">
        <v>434</v>
      </c>
      <c r="V1195">
        <f>VLOOKUP($U1195,'[2]AP Opportunity'!$Q$1:$T$542,2,FALSE)</f>
        <v>0.99999997777777772</v>
      </c>
      <c r="W1195">
        <f>VLOOKUP($U1195,'[2]AP Opportunity'!$Q$1:$T$542,3,FALSE)</f>
        <v>2.2222222284540294E-8</v>
      </c>
      <c r="X1195">
        <f>VLOOKUP($U1195,'[2]AP Opportunity'!$Q$1:$T$542,4,FALSE)</f>
        <v>0</v>
      </c>
      <c r="Y1195" s="77">
        <f t="shared" si="4023"/>
        <v>1</v>
      </c>
      <c r="Z1195" s="77">
        <f t="shared" si="4027"/>
        <v>6.4624999704999977E-2</v>
      </c>
      <c r="AA1195" s="77">
        <f t="shared" si="4028"/>
        <v>5.2321923767311151E-3</v>
      </c>
      <c r="AB1195" s="79">
        <v>1</v>
      </c>
      <c r="AC1195" s="77">
        <f t="shared" si="3992"/>
        <v>8.499999955555556E-3</v>
      </c>
      <c r="AD1195" s="77">
        <f t="shared" ref="AD1195" si="4087">1-(1-AC1195)^(1/12)</f>
        <v>7.1110795759765644E-4</v>
      </c>
      <c r="AE1195" s="77">
        <f t="shared" si="3994"/>
        <v>2.5000000000000001E-3</v>
      </c>
      <c r="AF1195" s="77">
        <f t="shared" ref="AF1195" si="4088">1-(1-AE1195)^(1/12)</f>
        <v>2.0857243058891584E-4</v>
      </c>
      <c r="AH1195" t="s">
        <v>175</v>
      </c>
      <c r="AI1195" t="s">
        <v>180</v>
      </c>
      <c r="AJ1195" s="197" t="str">
        <f t="shared" si="3985"/>
        <v>Lifecycle_Opportunity_434</v>
      </c>
      <c r="AK1195">
        <v>434</v>
      </c>
      <c r="AL1195">
        <f>VLOOKUP($U1195,[2]Standard_Opportunity!$Q$1:$T$542,2,FALSE)</f>
        <v>0.99999997777777772</v>
      </c>
      <c r="AM1195">
        <f>VLOOKUP($U1195,[2]Standard_Opportunity!$Q$1:$T$542,3,FALSE)</f>
        <v>2.2222222284540294E-8</v>
      </c>
      <c r="AN1195">
        <f>VLOOKUP($U1195,[2]Standard_Opportunity!$Q$1:$T$542,4,FALSE)</f>
        <v>0</v>
      </c>
      <c r="AO1195" s="77">
        <f t="shared" si="3986"/>
        <v>1</v>
      </c>
      <c r="AP1195" s="77">
        <f t="shared" si="3996"/>
        <v>6.4624999704999977E-2</v>
      </c>
      <c r="AQ1195" s="77">
        <f t="shared" si="3987"/>
        <v>5.2321923767311151E-3</v>
      </c>
      <c r="AR1195" s="79">
        <v>0</v>
      </c>
      <c r="AS1195" s="77">
        <f t="shared" si="3997"/>
        <v>0</v>
      </c>
      <c r="AT1195" s="77">
        <f t="shared" si="3998"/>
        <v>0</v>
      </c>
      <c r="AU1195" s="77">
        <f t="shared" si="3999"/>
        <v>2.5000000000000001E-3</v>
      </c>
      <c r="AV1195" s="77">
        <f t="shared" si="4000"/>
        <v>2.0809499864316017E-4</v>
      </c>
    </row>
    <row r="1196" spans="1:48">
      <c r="A1196" t="s">
        <v>175</v>
      </c>
      <c r="B1196" t="s">
        <v>180</v>
      </c>
      <c r="C1196" s="197" t="str">
        <f t="shared" si="4021"/>
        <v>Lifecycle_Opportunity_433</v>
      </c>
      <c r="D1196">
        <v>433</v>
      </c>
      <c r="E1196">
        <f>VLOOKUP($D1196,'[2]LC Opportunity'!$Q$2:$U$542,2,FALSE)</f>
        <v>0</v>
      </c>
      <c r="F1196">
        <f>VLOOKUP($D1196,'[2]LC Opportunity'!$Q$2:$U$542,3,FALSE)</f>
        <v>0</v>
      </c>
      <c r="G1196">
        <f>VLOOKUP($D1196,'[2]LC Opportunity'!$Q$2:$U$542,4,FALSE)</f>
        <v>0</v>
      </c>
      <c r="H1196">
        <f>VLOOKUP($D1196,'[2]LC Opportunity'!$Q$2:$U$542,5,FALSE)</f>
        <v>0.99999999999999989</v>
      </c>
      <c r="I1196" s="77">
        <f t="shared" si="3981"/>
        <v>0.99999999999999989</v>
      </c>
      <c r="J1196" s="77">
        <f t="shared" si="3982"/>
        <v>7.1999999999999981E-2</v>
      </c>
      <c r="K1196" s="77">
        <f t="shared" si="4026"/>
        <v>5.8106552987937654E-3</v>
      </c>
      <c r="L1196" s="76">
        <v>0</v>
      </c>
      <c r="M1196" s="77">
        <f t="shared" si="3988"/>
        <v>0</v>
      </c>
      <c r="N1196" s="77">
        <f t="shared" si="3989"/>
        <v>0</v>
      </c>
      <c r="O1196" s="77">
        <f t="shared" si="3990"/>
        <v>4.9999999999999992E-3</v>
      </c>
      <c r="P1196" s="77">
        <f t="shared" si="3991"/>
        <v>4.1762458919303302E-4</v>
      </c>
      <c r="R1196" t="s">
        <v>177</v>
      </c>
      <c r="S1196" t="s">
        <v>180</v>
      </c>
      <c r="T1196" s="197" t="str">
        <f t="shared" si="4022"/>
        <v>Autopilot_Opportunity_433</v>
      </c>
      <c r="U1196">
        <v>433</v>
      </c>
      <c r="V1196">
        <f>VLOOKUP($U1196,'[2]AP Opportunity'!$Q$1:$T$542,2,FALSE)</f>
        <v>0.99999997777777772</v>
      </c>
      <c r="W1196">
        <f>VLOOKUP($U1196,'[2]AP Opportunity'!$Q$1:$T$542,3,FALSE)</f>
        <v>2.2222222284540294E-8</v>
      </c>
      <c r="X1196">
        <f>VLOOKUP($U1196,'[2]AP Opportunity'!$Q$1:$T$542,4,FALSE)</f>
        <v>0</v>
      </c>
      <c r="Y1196" s="77">
        <f t="shared" si="4023"/>
        <v>1</v>
      </c>
      <c r="Z1196" s="77">
        <f t="shared" si="4027"/>
        <v>6.4624999704999977E-2</v>
      </c>
      <c r="AA1196" s="77">
        <f t="shared" si="4028"/>
        <v>5.2321923767311151E-3</v>
      </c>
      <c r="AB1196" s="79">
        <v>1</v>
      </c>
      <c r="AC1196" s="77">
        <f t="shared" si="3992"/>
        <v>8.499999955555556E-3</v>
      </c>
      <c r="AD1196" s="77">
        <f t="shared" ref="AD1196" si="4089">1-(1-AC1196)^(1/12)</f>
        <v>7.1110795759765644E-4</v>
      </c>
      <c r="AE1196" s="77">
        <f t="shared" si="3994"/>
        <v>2.5000000000000001E-3</v>
      </c>
      <c r="AF1196" s="77">
        <f t="shared" ref="AF1196" si="4090">1-(1-AE1196)^(1/12)</f>
        <v>2.0857243058891584E-4</v>
      </c>
      <c r="AH1196" t="s">
        <v>175</v>
      </c>
      <c r="AI1196" t="s">
        <v>180</v>
      </c>
      <c r="AJ1196" s="197" t="str">
        <f t="shared" si="3985"/>
        <v>Lifecycle_Opportunity_433</v>
      </c>
      <c r="AK1196">
        <v>433</v>
      </c>
      <c r="AL1196">
        <f>VLOOKUP($U1196,[2]Standard_Opportunity!$Q$1:$T$542,2,FALSE)</f>
        <v>0.99999997777777772</v>
      </c>
      <c r="AM1196">
        <f>VLOOKUP($U1196,[2]Standard_Opportunity!$Q$1:$T$542,3,FALSE)</f>
        <v>2.2222222284540294E-8</v>
      </c>
      <c r="AN1196">
        <f>VLOOKUP($U1196,[2]Standard_Opportunity!$Q$1:$T$542,4,FALSE)</f>
        <v>0</v>
      </c>
      <c r="AO1196" s="77">
        <f t="shared" si="3986"/>
        <v>1</v>
      </c>
      <c r="AP1196" s="77">
        <f t="shared" si="3996"/>
        <v>6.4624999704999977E-2</v>
      </c>
      <c r="AQ1196" s="77">
        <f t="shared" si="3987"/>
        <v>5.2321923767311151E-3</v>
      </c>
      <c r="AR1196" s="79">
        <v>0</v>
      </c>
      <c r="AS1196" s="77">
        <f t="shared" si="3997"/>
        <v>0</v>
      </c>
      <c r="AT1196" s="77">
        <f t="shared" si="3998"/>
        <v>0</v>
      </c>
      <c r="AU1196" s="77">
        <f t="shared" si="3999"/>
        <v>2.5000000000000001E-3</v>
      </c>
      <c r="AV1196" s="77">
        <f t="shared" si="4000"/>
        <v>2.0809499864316017E-4</v>
      </c>
    </row>
    <row r="1197" spans="1:48">
      <c r="A1197" t="s">
        <v>175</v>
      </c>
      <c r="B1197" t="s">
        <v>180</v>
      </c>
      <c r="C1197" s="197" t="str">
        <f t="shared" si="4021"/>
        <v>Lifecycle_Opportunity_432</v>
      </c>
      <c r="D1197">
        <v>432</v>
      </c>
      <c r="E1197">
        <f>VLOOKUP($D1197,'[2]LC Opportunity'!$Q$2:$U$542,2,FALSE)</f>
        <v>0</v>
      </c>
      <c r="F1197">
        <f>VLOOKUP($D1197,'[2]LC Opportunity'!$Q$2:$U$542,3,FALSE)</f>
        <v>0</v>
      </c>
      <c r="G1197">
        <f>VLOOKUP($D1197,'[2]LC Opportunity'!$Q$2:$U$542,4,FALSE)</f>
        <v>0</v>
      </c>
      <c r="H1197">
        <f>VLOOKUP($D1197,'[2]LC Opportunity'!$Q$2:$U$542,5,FALSE)</f>
        <v>0.99999999999999989</v>
      </c>
      <c r="I1197" s="77">
        <f t="shared" si="3981"/>
        <v>0.99999999999999989</v>
      </c>
      <c r="J1197" s="77">
        <f t="shared" si="3982"/>
        <v>7.1999999999999981E-2</v>
      </c>
      <c r="K1197" s="77">
        <f t="shared" si="4026"/>
        <v>5.8106552987937654E-3</v>
      </c>
      <c r="L1197" s="76">
        <v>0</v>
      </c>
      <c r="M1197" s="77">
        <f t="shared" si="3988"/>
        <v>0</v>
      </c>
      <c r="N1197" s="77">
        <f t="shared" si="3989"/>
        <v>0</v>
      </c>
      <c r="O1197" s="77">
        <f t="shared" si="3990"/>
        <v>4.9999999999999992E-3</v>
      </c>
      <c r="P1197" s="77">
        <f t="shared" si="3991"/>
        <v>4.1762458919303302E-4</v>
      </c>
      <c r="R1197" t="s">
        <v>177</v>
      </c>
      <c r="S1197" t="s">
        <v>180</v>
      </c>
      <c r="T1197" s="197" t="str">
        <f t="shared" si="4022"/>
        <v>Autopilot_Opportunity_432</v>
      </c>
      <c r="U1197">
        <v>432</v>
      </c>
      <c r="V1197">
        <f>VLOOKUP($U1197,'[2]AP Opportunity'!$Q$1:$T$542,2,FALSE)</f>
        <v>0.99999997777777772</v>
      </c>
      <c r="W1197">
        <f>VLOOKUP($U1197,'[2]AP Opportunity'!$Q$1:$T$542,3,FALSE)</f>
        <v>2.2222222284540294E-8</v>
      </c>
      <c r="X1197">
        <f>VLOOKUP($U1197,'[2]AP Opportunity'!$Q$1:$T$542,4,FALSE)</f>
        <v>0</v>
      </c>
      <c r="Y1197" s="77">
        <f t="shared" si="4023"/>
        <v>1</v>
      </c>
      <c r="Z1197" s="77">
        <f t="shared" si="4027"/>
        <v>6.4624999704999977E-2</v>
      </c>
      <c r="AA1197" s="77">
        <f t="shared" si="4028"/>
        <v>5.2321923767311151E-3</v>
      </c>
      <c r="AB1197" s="79">
        <v>1</v>
      </c>
      <c r="AC1197" s="77">
        <f t="shared" si="3992"/>
        <v>8.499999955555556E-3</v>
      </c>
      <c r="AD1197" s="77">
        <f t="shared" ref="AD1197" si="4091">1-(1-AC1197)^(1/12)</f>
        <v>7.1110795759765644E-4</v>
      </c>
      <c r="AE1197" s="77">
        <f t="shared" si="3994"/>
        <v>2.5000000000000001E-3</v>
      </c>
      <c r="AF1197" s="77">
        <f t="shared" ref="AF1197" si="4092">1-(1-AE1197)^(1/12)</f>
        <v>2.0857243058891584E-4</v>
      </c>
      <c r="AH1197" t="s">
        <v>175</v>
      </c>
      <c r="AI1197" t="s">
        <v>180</v>
      </c>
      <c r="AJ1197" s="197" t="str">
        <f t="shared" si="3985"/>
        <v>Lifecycle_Opportunity_432</v>
      </c>
      <c r="AK1197">
        <v>432</v>
      </c>
      <c r="AL1197">
        <f>VLOOKUP($U1197,[2]Standard_Opportunity!$Q$1:$T$542,2,FALSE)</f>
        <v>0.99999997777777772</v>
      </c>
      <c r="AM1197">
        <f>VLOOKUP($U1197,[2]Standard_Opportunity!$Q$1:$T$542,3,FALSE)</f>
        <v>2.2222222284540294E-8</v>
      </c>
      <c r="AN1197">
        <f>VLOOKUP($U1197,[2]Standard_Opportunity!$Q$1:$T$542,4,FALSE)</f>
        <v>0</v>
      </c>
      <c r="AO1197" s="77">
        <f t="shared" si="3986"/>
        <v>1</v>
      </c>
      <c r="AP1197" s="77">
        <f t="shared" si="3996"/>
        <v>6.4624999704999977E-2</v>
      </c>
      <c r="AQ1197" s="77">
        <f t="shared" si="3987"/>
        <v>5.2321923767311151E-3</v>
      </c>
      <c r="AR1197" s="79">
        <v>0</v>
      </c>
      <c r="AS1197" s="77">
        <f t="shared" si="3997"/>
        <v>0</v>
      </c>
      <c r="AT1197" s="77">
        <f t="shared" si="3998"/>
        <v>0</v>
      </c>
      <c r="AU1197" s="77">
        <f t="shared" si="3999"/>
        <v>2.5000000000000001E-3</v>
      </c>
      <c r="AV1197" s="77">
        <f t="shared" si="4000"/>
        <v>2.0809499864316017E-4</v>
      </c>
    </row>
    <row r="1198" spans="1:48">
      <c r="A1198" t="s">
        <v>175</v>
      </c>
      <c r="B1198" t="s">
        <v>180</v>
      </c>
      <c r="C1198" s="197" t="str">
        <f t="shared" si="4021"/>
        <v>Lifecycle_Opportunity_431</v>
      </c>
      <c r="D1198">
        <v>431</v>
      </c>
      <c r="E1198">
        <f>VLOOKUP($D1198,'[2]LC Opportunity'!$Q$2:$U$542,2,FALSE)</f>
        <v>0</v>
      </c>
      <c r="F1198">
        <f>VLOOKUP($D1198,'[2]LC Opportunity'!$Q$2:$U$542,3,FALSE)</f>
        <v>0</v>
      </c>
      <c r="G1198">
        <f>VLOOKUP($D1198,'[2]LC Opportunity'!$Q$2:$U$542,4,FALSE)</f>
        <v>0</v>
      </c>
      <c r="H1198">
        <f>VLOOKUP($D1198,'[2]LC Opportunity'!$Q$2:$U$542,5,FALSE)</f>
        <v>0.99999999999999989</v>
      </c>
      <c r="I1198" s="77">
        <f t="shared" si="3981"/>
        <v>0.99999999999999989</v>
      </c>
      <c r="J1198" s="77">
        <f t="shared" si="3982"/>
        <v>7.1999999999999981E-2</v>
      </c>
      <c r="K1198" s="77">
        <f t="shared" si="4026"/>
        <v>5.8106552987937654E-3</v>
      </c>
      <c r="L1198" s="76">
        <v>0</v>
      </c>
      <c r="M1198" s="77">
        <f t="shared" si="3988"/>
        <v>0</v>
      </c>
      <c r="N1198" s="77">
        <f t="shared" si="3989"/>
        <v>0</v>
      </c>
      <c r="O1198" s="77">
        <f t="shared" si="3990"/>
        <v>4.9999999999999992E-3</v>
      </c>
      <c r="P1198" s="77">
        <f t="shared" si="3991"/>
        <v>4.1762458919303302E-4</v>
      </c>
      <c r="R1198" t="s">
        <v>177</v>
      </c>
      <c r="S1198" t="s">
        <v>180</v>
      </c>
      <c r="T1198" s="197" t="str">
        <f t="shared" si="4022"/>
        <v>Autopilot_Opportunity_431</v>
      </c>
      <c r="U1198">
        <v>431</v>
      </c>
      <c r="V1198">
        <f>VLOOKUP($U1198,'[2]AP Opportunity'!$Q$1:$T$542,2,FALSE)</f>
        <v>0.99999997777777772</v>
      </c>
      <c r="W1198">
        <f>VLOOKUP($U1198,'[2]AP Opportunity'!$Q$1:$T$542,3,FALSE)</f>
        <v>2.2222222284540294E-8</v>
      </c>
      <c r="X1198">
        <f>VLOOKUP($U1198,'[2]AP Opportunity'!$Q$1:$T$542,4,FALSE)</f>
        <v>0</v>
      </c>
      <c r="Y1198" s="77">
        <f t="shared" si="4023"/>
        <v>1</v>
      </c>
      <c r="Z1198" s="77">
        <f t="shared" si="4027"/>
        <v>6.4624999704999977E-2</v>
      </c>
      <c r="AA1198" s="77">
        <f t="shared" si="4028"/>
        <v>5.2321923767311151E-3</v>
      </c>
      <c r="AB1198" s="79">
        <v>1</v>
      </c>
      <c r="AC1198" s="77">
        <f t="shared" si="3992"/>
        <v>8.499999955555556E-3</v>
      </c>
      <c r="AD1198" s="77">
        <f t="shared" ref="AD1198" si="4093">1-(1-AC1198)^(1/12)</f>
        <v>7.1110795759765644E-4</v>
      </c>
      <c r="AE1198" s="77">
        <f t="shared" si="3994"/>
        <v>2.5000000000000001E-3</v>
      </c>
      <c r="AF1198" s="77">
        <f t="shared" ref="AF1198" si="4094">1-(1-AE1198)^(1/12)</f>
        <v>2.0857243058891584E-4</v>
      </c>
      <c r="AH1198" t="s">
        <v>175</v>
      </c>
      <c r="AI1198" t="s">
        <v>180</v>
      </c>
      <c r="AJ1198" s="197" t="str">
        <f t="shared" si="3985"/>
        <v>Lifecycle_Opportunity_431</v>
      </c>
      <c r="AK1198">
        <v>431</v>
      </c>
      <c r="AL1198">
        <f>VLOOKUP($U1198,[2]Standard_Opportunity!$Q$1:$T$542,2,FALSE)</f>
        <v>0.99999997777777772</v>
      </c>
      <c r="AM1198">
        <f>VLOOKUP($U1198,[2]Standard_Opportunity!$Q$1:$T$542,3,FALSE)</f>
        <v>2.2222222284540294E-8</v>
      </c>
      <c r="AN1198">
        <f>VLOOKUP($U1198,[2]Standard_Opportunity!$Q$1:$T$542,4,FALSE)</f>
        <v>0</v>
      </c>
      <c r="AO1198" s="77">
        <f t="shared" si="3986"/>
        <v>1</v>
      </c>
      <c r="AP1198" s="77">
        <f t="shared" si="3996"/>
        <v>6.4624999704999977E-2</v>
      </c>
      <c r="AQ1198" s="77">
        <f t="shared" si="3987"/>
        <v>5.2321923767311151E-3</v>
      </c>
      <c r="AR1198" s="79">
        <v>0</v>
      </c>
      <c r="AS1198" s="77">
        <f t="shared" si="3997"/>
        <v>0</v>
      </c>
      <c r="AT1198" s="77">
        <f t="shared" si="3998"/>
        <v>0</v>
      </c>
      <c r="AU1198" s="77">
        <f t="shared" si="3999"/>
        <v>2.5000000000000001E-3</v>
      </c>
      <c r="AV1198" s="77">
        <f t="shared" si="4000"/>
        <v>2.0809499864316017E-4</v>
      </c>
    </row>
    <row r="1199" spans="1:48">
      <c r="A1199" t="s">
        <v>175</v>
      </c>
      <c r="B1199" t="s">
        <v>180</v>
      </c>
      <c r="C1199" s="197" t="str">
        <f t="shared" si="4021"/>
        <v>Lifecycle_Opportunity_430</v>
      </c>
      <c r="D1199">
        <v>430</v>
      </c>
      <c r="E1199">
        <f>VLOOKUP($D1199,'[2]LC Opportunity'!$Q$2:$U$542,2,FALSE)</f>
        <v>0</v>
      </c>
      <c r="F1199">
        <f>VLOOKUP($D1199,'[2]LC Opportunity'!$Q$2:$U$542,3,FALSE)</f>
        <v>0</v>
      </c>
      <c r="G1199">
        <f>VLOOKUP($D1199,'[2]LC Opportunity'!$Q$2:$U$542,4,FALSE)</f>
        <v>0</v>
      </c>
      <c r="H1199">
        <f>VLOOKUP($D1199,'[2]LC Opportunity'!$Q$2:$U$542,5,FALSE)</f>
        <v>0.99999999999999989</v>
      </c>
      <c r="I1199" s="77">
        <f t="shared" si="3981"/>
        <v>0.99999999999999989</v>
      </c>
      <c r="J1199" s="77">
        <f t="shared" si="3982"/>
        <v>7.1999999999999981E-2</v>
      </c>
      <c r="K1199" s="77">
        <f t="shared" si="4026"/>
        <v>5.8106552987937654E-3</v>
      </c>
      <c r="L1199" s="76">
        <v>0</v>
      </c>
      <c r="M1199" s="77">
        <f t="shared" si="3988"/>
        <v>0</v>
      </c>
      <c r="N1199" s="77">
        <f t="shared" si="3989"/>
        <v>0</v>
      </c>
      <c r="O1199" s="77">
        <f t="shared" si="3990"/>
        <v>4.9999999999999992E-3</v>
      </c>
      <c r="P1199" s="77">
        <f t="shared" si="3991"/>
        <v>4.1762458919303302E-4</v>
      </c>
      <c r="R1199" t="s">
        <v>177</v>
      </c>
      <c r="S1199" t="s">
        <v>180</v>
      </c>
      <c r="T1199" s="197" t="str">
        <f t="shared" si="4022"/>
        <v>Autopilot_Opportunity_430</v>
      </c>
      <c r="U1199">
        <v>430</v>
      </c>
      <c r="V1199">
        <f>VLOOKUP($U1199,'[2]AP Opportunity'!$Q$1:$T$542,2,FALSE)</f>
        <v>0.99999997777777772</v>
      </c>
      <c r="W1199">
        <f>VLOOKUP($U1199,'[2]AP Opportunity'!$Q$1:$T$542,3,FALSE)</f>
        <v>2.2222222284540294E-8</v>
      </c>
      <c r="X1199">
        <f>VLOOKUP($U1199,'[2]AP Opportunity'!$Q$1:$T$542,4,FALSE)</f>
        <v>0</v>
      </c>
      <c r="Y1199" s="77">
        <f t="shared" si="4023"/>
        <v>1</v>
      </c>
      <c r="Z1199" s="77">
        <f t="shared" si="4027"/>
        <v>6.4624999704999977E-2</v>
      </c>
      <c r="AA1199" s="77">
        <f t="shared" si="4028"/>
        <v>5.2321923767311151E-3</v>
      </c>
      <c r="AB1199" s="79">
        <v>1</v>
      </c>
      <c r="AC1199" s="77">
        <f t="shared" si="3992"/>
        <v>8.499999955555556E-3</v>
      </c>
      <c r="AD1199" s="77">
        <f t="shared" ref="AD1199" si="4095">1-(1-AC1199)^(1/12)</f>
        <v>7.1110795759765644E-4</v>
      </c>
      <c r="AE1199" s="77">
        <f t="shared" si="3994"/>
        <v>2.5000000000000001E-3</v>
      </c>
      <c r="AF1199" s="77">
        <f t="shared" ref="AF1199" si="4096">1-(1-AE1199)^(1/12)</f>
        <v>2.0857243058891584E-4</v>
      </c>
      <c r="AH1199" t="s">
        <v>175</v>
      </c>
      <c r="AI1199" t="s">
        <v>180</v>
      </c>
      <c r="AJ1199" s="197" t="str">
        <f t="shared" si="3985"/>
        <v>Lifecycle_Opportunity_430</v>
      </c>
      <c r="AK1199">
        <v>430</v>
      </c>
      <c r="AL1199">
        <f>VLOOKUP($U1199,[2]Standard_Opportunity!$Q$1:$T$542,2,FALSE)</f>
        <v>0.99999997777777772</v>
      </c>
      <c r="AM1199">
        <f>VLOOKUP($U1199,[2]Standard_Opportunity!$Q$1:$T$542,3,FALSE)</f>
        <v>2.2222222284540294E-8</v>
      </c>
      <c r="AN1199">
        <f>VLOOKUP($U1199,[2]Standard_Opportunity!$Q$1:$T$542,4,FALSE)</f>
        <v>0</v>
      </c>
      <c r="AO1199" s="77">
        <f t="shared" si="3986"/>
        <v>1</v>
      </c>
      <c r="AP1199" s="77">
        <f t="shared" si="3996"/>
        <v>6.4624999704999977E-2</v>
      </c>
      <c r="AQ1199" s="77">
        <f t="shared" si="3987"/>
        <v>5.2321923767311151E-3</v>
      </c>
      <c r="AR1199" s="79">
        <v>0</v>
      </c>
      <c r="AS1199" s="77">
        <f t="shared" si="3997"/>
        <v>0</v>
      </c>
      <c r="AT1199" s="77">
        <f t="shared" si="3998"/>
        <v>0</v>
      </c>
      <c r="AU1199" s="77">
        <f t="shared" si="3999"/>
        <v>2.5000000000000001E-3</v>
      </c>
      <c r="AV1199" s="77">
        <f t="shared" si="4000"/>
        <v>2.0809499864316017E-4</v>
      </c>
    </row>
    <row r="1200" spans="1:48">
      <c r="A1200" t="s">
        <v>175</v>
      </c>
      <c r="B1200" t="s">
        <v>180</v>
      </c>
      <c r="C1200" s="197" t="str">
        <f t="shared" si="4021"/>
        <v>Lifecycle_Opportunity_429</v>
      </c>
      <c r="D1200">
        <v>429</v>
      </c>
      <c r="E1200">
        <f>VLOOKUP($D1200,'[2]LC Opportunity'!$Q$2:$U$542,2,FALSE)</f>
        <v>0</v>
      </c>
      <c r="F1200">
        <f>VLOOKUP($D1200,'[2]LC Opportunity'!$Q$2:$U$542,3,FALSE)</f>
        <v>0</v>
      </c>
      <c r="G1200">
        <f>VLOOKUP($D1200,'[2]LC Opportunity'!$Q$2:$U$542,4,FALSE)</f>
        <v>0</v>
      </c>
      <c r="H1200">
        <f>VLOOKUP($D1200,'[2]LC Opportunity'!$Q$2:$U$542,5,FALSE)</f>
        <v>0.99999999999999989</v>
      </c>
      <c r="I1200" s="77">
        <f t="shared" si="3981"/>
        <v>0.99999999999999989</v>
      </c>
      <c r="J1200" s="77">
        <f t="shared" si="3982"/>
        <v>7.1999999999999981E-2</v>
      </c>
      <c r="K1200" s="77">
        <f t="shared" si="4026"/>
        <v>5.8106552987937654E-3</v>
      </c>
      <c r="L1200" s="76">
        <v>0</v>
      </c>
      <c r="M1200" s="77">
        <f t="shared" si="3988"/>
        <v>0</v>
      </c>
      <c r="N1200" s="77">
        <f t="shared" si="3989"/>
        <v>0</v>
      </c>
      <c r="O1200" s="77">
        <f t="shared" si="3990"/>
        <v>4.9999999999999992E-3</v>
      </c>
      <c r="P1200" s="77">
        <f t="shared" si="3991"/>
        <v>4.1762458919303302E-4</v>
      </c>
      <c r="R1200" t="s">
        <v>177</v>
      </c>
      <c r="S1200" t="s">
        <v>180</v>
      </c>
      <c r="T1200" s="197" t="str">
        <f t="shared" si="4022"/>
        <v>Autopilot_Opportunity_429</v>
      </c>
      <c r="U1200">
        <v>429</v>
      </c>
      <c r="V1200">
        <f>VLOOKUP($U1200,'[2]AP Opportunity'!$Q$1:$T$542,2,FALSE)</f>
        <v>0.99999997777777772</v>
      </c>
      <c r="W1200">
        <f>VLOOKUP($U1200,'[2]AP Opportunity'!$Q$1:$T$542,3,FALSE)</f>
        <v>2.2222222284540294E-8</v>
      </c>
      <c r="X1200">
        <f>VLOOKUP($U1200,'[2]AP Opportunity'!$Q$1:$T$542,4,FALSE)</f>
        <v>0</v>
      </c>
      <c r="Y1200" s="77">
        <f t="shared" si="4023"/>
        <v>1</v>
      </c>
      <c r="Z1200" s="77">
        <f t="shared" si="4027"/>
        <v>6.4624999704999977E-2</v>
      </c>
      <c r="AA1200" s="77">
        <f t="shared" si="4028"/>
        <v>5.2321923767311151E-3</v>
      </c>
      <c r="AB1200" s="79">
        <v>1</v>
      </c>
      <c r="AC1200" s="77">
        <f t="shared" si="3992"/>
        <v>8.499999955555556E-3</v>
      </c>
      <c r="AD1200" s="77">
        <f t="shared" ref="AD1200" si="4097">1-(1-AC1200)^(1/12)</f>
        <v>7.1110795759765644E-4</v>
      </c>
      <c r="AE1200" s="77">
        <f t="shared" si="3994"/>
        <v>2.5000000000000001E-3</v>
      </c>
      <c r="AF1200" s="77">
        <f t="shared" ref="AF1200" si="4098">1-(1-AE1200)^(1/12)</f>
        <v>2.0857243058891584E-4</v>
      </c>
      <c r="AH1200" t="s">
        <v>175</v>
      </c>
      <c r="AI1200" t="s">
        <v>180</v>
      </c>
      <c r="AJ1200" s="197" t="str">
        <f t="shared" si="3985"/>
        <v>Lifecycle_Opportunity_429</v>
      </c>
      <c r="AK1200">
        <v>429</v>
      </c>
      <c r="AL1200">
        <f>VLOOKUP($U1200,[2]Standard_Opportunity!$Q$1:$T$542,2,FALSE)</f>
        <v>0.99999997777777772</v>
      </c>
      <c r="AM1200">
        <f>VLOOKUP($U1200,[2]Standard_Opportunity!$Q$1:$T$542,3,FALSE)</f>
        <v>2.2222222284540294E-8</v>
      </c>
      <c r="AN1200">
        <f>VLOOKUP($U1200,[2]Standard_Opportunity!$Q$1:$T$542,4,FALSE)</f>
        <v>0</v>
      </c>
      <c r="AO1200" s="77">
        <f t="shared" si="3986"/>
        <v>1</v>
      </c>
      <c r="AP1200" s="77">
        <f t="shared" si="3996"/>
        <v>6.4624999704999977E-2</v>
      </c>
      <c r="AQ1200" s="77">
        <f t="shared" si="3987"/>
        <v>5.2321923767311151E-3</v>
      </c>
      <c r="AR1200" s="79">
        <v>0</v>
      </c>
      <c r="AS1200" s="77">
        <f t="shared" si="3997"/>
        <v>0</v>
      </c>
      <c r="AT1200" s="77">
        <f t="shared" si="3998"/>
        <v>0</v>
      </c>
      <c r="AU1200" s="77">
        <f t="shared" si="3999"/>
        <v>2.5000000000000001E-3</v>
      </c>
      <c r="AV1200" s="77">
        <f t="shared" si="4000"/>
        <v>2.0809499864316017E-4</v>
      </c>
    </row>
    <row r="1201" spans="1:48">
      <c r="A1201" t="s">
        <v>175</v>
      </c>
      <c r="B1201" t="s">
        <v>180</v>
      </c>
      <c r="C1201" s="197" t="str">
        <f t="shared" si="4021"/>
        <v>Lifecycle_Opportunity_428</v>
      </c>
      <c r="D1201">
        <v>428</v>
      </c>
      <c r="E1201">
        <f>VLOOKUP($D1201,'[2]LC Opportunity'!$Q$2:$U$542,2,FALSE)</f>
        <v>0</v>
      </c>
      <c r="F1201">
        <f>VLOOKUP($D1201,'[2]LC Opportunity'!$Q$2:$U$542,3,FALSE)</f>
        <v>0</v>
      </c>
      <c r="G1201">
        <f>VLOOKUP($D1201,'[2]LC Opportunity'!$Q$2:$U$542,4,FALSE)</f>
        <v>0</v>
      </c>
      <c r="H1201">
        <f>VLOOKUP($D1201,'[2]LC Opportunity'!$Q$2:$U$542,5,FALSE)</f>
        <v>0.99999999999999989</v>
      </c>
      <c r="I1201" s="77">
        <f t="shared" si="3981"/>
        <v>0.99999999999999989</v>
      </c>
      <c r="J1201" s="77">
        <f t="shared" si="3982"/>
        <v>7.1999999999999981E-2</v>
      </c>
      <c r="K1201" s="77">
        <f t="shared" si="4026"/>
        <v>5.8106552987937654E-3</v>
      </c>
      <c r="L1201" s="76">
        <v>0</v>
      </c>
      <c r="M1201" s="77">
        <f t="shared" si="3988"/>
        <v>0</v>
      </c>
      <c r="N1201" s="77">
        <f t="shared" si="3989"/>
        <v>0</v>
      </c>
      <c r="O1201" s="77">
        <f t="shared" si="3990"/>
        <v>4.9999999999999992E-3</v>
      </c>
      <c r="P1201" s="77">
        <f t="shared" si="3991"/>
        <v>4.1762458919303302E-4</v>
      </c>
      <c r="R1201" t="s">
        <v>177</v>
      </c>
      <c r="S1201" t="s">
        <v>180</v>
      </c>
      <c r="T1201" s="197" t="str">
        <f t="shared" si="4022"/>
        <v>Autopilot_Opportunity_428</v>
      </c>
      <c r="U1201">
        <v>428</v>
      </c>
      <c r="V1201">
        <f>VLOOKUP($U1201,'[2]AP Opportunity'!$Q$1:$T$542,2,FALSE)</f>
        <v>0.99999997777777772</v>
      </c>
      <c r="W1201">
        <f>VLOOKUP($U1201,'[2]AP Opportunity'!$Q$1:$T$542,3,FALSE)</f>
        <v>2.2222222284540294E-8</v>
      </c>
      <c r="X1201">
        <f>VLOOKUP($U1201,'[2]AP Opportunity'!$Q$1:$T$542,4,FALSE)</f>
        <v>0</v>
      </c>
      <c r="Y1201" s="77">
        <f t="shared" si="4023"/>
        <v>1</v>
      </c>
      <c r="Z1201" s="77">
        <f t="shared" si="4027"/>
        <v>6.4624999704999977E-2</v>
      </c>
      <c r="AA1201" s="77">
        <f t="shared" si="4028"/>
        <v>5.2321923767311151E-3</v>
      </c>
      <c r="AB1201" s="79">
        <v>1</v>
      </c>
      <c r="AC1201" s="77">
        <f t="shared" si="3992"/>
        <v>8.499999955555556E-3</v>
      </c>
      <c r="AD1201" s="77">
        <f t="shared" ref="AD1201" si="4099">1-(1-AC1201)^(1/12)</f>
        <v>7.1110795759765644E-4</v>
      </c>
      <c r="AE1201" s="77">
        <f t="shared" si="3994"/>
        <v>2.5000000000000001E-3</v>
      </c>
      <c r="AF1201" s="77">
        <f t="shared" ref="AF1201" si="4100">1-(1-AE1201)^(1/12)</f>
        <v>2.0857243058891584E-4</v>
      </c>
      <c r="AH1201" t="s">
        <v>175</v>
      </c>
      <c r="AI1201" t="s">
        <v>180</v>
      </c>
      <c r="AJ1201" s="197" t="str">
        <f t="shared" si="3985"/>
        <v>Lifecycle_Opportunity_428</v>
      </c>
      <c r="AK1201">
        <v>428</v>
      </c>
      <c r="AL1201">
        <f>VLOOKUP($U1201,[2]Standard_Opportunity!$Q$1:$T$542,2,FALSE)</f>
        <v>0.99999997777777772</v>
      </c>
      <c r="AM1201">
        <f>VLOOKUP($U1201,[2]Standard_Opportunity!$Q$1:$T$542,3,FALSE)</f>
        <v>2.2222222284540294E-8</v>
      </c>
      <c r="AN1201">
        <f>VLOOKUP($U1201,[2]Standard_Opportunity!$Q$1:$T$542,4,FALSE)</f>
        <v>0</v>
      </c>
      <c r="AO1201" s="77">
        <f t="shared" si="3986"/>
        <v>1</v>
      </c>
      <c r="AP1201" s="77">
        <f t="shared" si="3996"/>
        <v>6.4624999704999977E-2</v>
      </c>
      <c r="AQ1201" s="77">
        <f t="shared" si="3987"/>
        <v>5.2321923767311151E-3</v>
      </c>
      <c r="AR1201" s="79">
        <v>0</v>
      </c>
      <c r="AS1201" s="77">
        <f t="shared" si="3997"/>
        <v>0</v>
      </c>
      <c r="AT1201" s="77">
        <f t="shared" si="3998"/>
        <v>0</v>
      </c>
      <c r="AU1201" s="77">
        <f t="shared" si="3999"/>
        <v>2.5000000000000001E-3</v>
      </c>
      <c r="AV1201" s="77">
        <f t="shared" si="4000"/>
        <v>2.0809499864316017E-4</v>
      </c>
    </row>
    <row r="1202" spans="1:48">
      <c r="A1202" t="s">
        <v>175</v>
      </c>
      <c r="B1202" t="s">
        <v>180</v>
      </c>
      <c r="C1202" s="197" t="str">
        <f t="shared" si="4021"/>
        <v>Lifecycle_Opportunity_427</v>
      </c>
      <c r="D1202">
        <v>427</v>
      </c>
      <c r="E1202">
        <f>VLOOKUP($D1202,'[2]LC Opportunity'!$Q$2:$U$542,2,FALSE)</f>
        <v>0</v>
      </c>
      <c r="F1202">
        <f>VLOOKUP($D1202,'[2]LC Opportunity'!$Q$2:$U$542,3,FALSE)</f>
        <v>0</v>
      </c>
      <c r="G1202">
        <f>VLOOKUP($D1202,'[2]LC Opportunity'!$Q$2:$U$542,4,FALSE)</f>
        <v>0</v>
      </c>
      <c r="H1202">
        <f>VLOOKUP($D1202,'[2]LC Opportunity'!$Q$2:$U$542,5,FALSE)</f>
        <v>0.99999999999999989</v>
      </c>
      <c r="I1202" s="77">
        <f t="shared" si="3981"/>
        <v>0.99999999999999989</v>
      </c>
      <c r="J1202" s="77">
        <f t="shared" si="3982"/>
        <v>7.1999999999999981E-2</v>
      </c>
      <c r="K1202" s="77">
        <f t="shared" si="4026"/>
        <v>5.8106552987937654E-3</v>
      </c>
      <c r="L1202" s="76">
        <v>0</v>
      </c>
      <c r="M1202" s="77">
        <f t="shared" si="3988"/>
        <v>0</v>
      </c>
      <c r="N1202" s="77">
        <f t="shared" si="3989"/>
        <v>0</v>
      </c>
      <c r="O1202" s="77">
        <f t="shared" si="3990"/>
        <v>4.9999999999999992E-3</v>
      </c>
      <c r="P1202" s="77">
        <f t="shared" si="3991"/>
        <v>4.1762458919303302E-4</v>
      </c>
      <c r="R1202" t="s">
        <v>177</v>
      </c>
      <c r="S1202" t="s">
        <v>180</v>
      </c>
      <c r="T1202" s="197" t="str">
        <f t="shared" si="4022"/>
        <v>Autopilot_Opportunity_427</v>
      </c>
      <c r="U1202">
        <v>427</v>
      </c>
      <c r="V1202">
        <f>VLOOKUP($U1202,'[2]AP Opportunity'!$Q$1:$T$542,2,FALSE)</f>
        <v>0.99999997777777772</v>
      </c>
      <c r="W1202">
        <f>VLOOKUP($U1202,'[2]AP Opportunity'!$Q$1:$T$542,3,FALSE)</f>
        <v>2.2222222284540294E-8</v>
      </c>
      <c r="X1202">
        <f>VLOOKUP($U1202,'[2]AP Opportunity'!$Q$1:$T$542,4,FALSE)</f>
        <v>0</v>
      </c>
      <c r="Y1202" s="77">
        <f t="shared" si="4023"/>
        <v>1</v>
      </c>
      <c r="Z1202" s="77">
        <f t="shared" si="4027"/>
        <v>6.4624999704999977E-2</v>
      </c>
      <c r="AA1202" s="77">
        <f t="shared" si="4028"/>
        <v>5.2321923767311151E-3</v>
      </c>
      <c r="AB1202" s="79">
        <v>1</v>
      </c>
      <c r="AC1202" s="77">
        <f t="shared" si="3992"/>
        <v>8.499999955555556E-3</v>
      </c>
      <c r="AD1202" s="77">
        <f t="shared" ref="AD1202" si="4101">1-(1-AC1202)^(1/12)</f>
        <v>7.1110795759765644E-4</v>
      </c>
      <c r="AE1202" s="77">
        <f t="shared" si="3994"/>
        <v>2.5000000000000001E-3</v>
      </c>
      <c r="AF1202" s="77">
        <f t="shared" ref="AF1202" si="4102">1-(1-AE1202)^(1/12)</f>
        <v>2.0857243058891584E-4</v>
      </c>
      <c r="AH1202" t="s">
        <v>175</v>
      </c>
      <c r="AI1202" t="s">
        <v>180</v>
      </c>
      <c r="AJ1202" s="197" t="str">
        <f t="shared" si="3985"/>
        <v>Lifecycle_Opportunity_427</v>
      </c>
      <c r="AK1202">
        <v>427</v>
      </c>
      <c r="AL1202">
        <f>VLOOKUP($U1202,[2]Standard_Opportunity!$Q$1:$T$542,2,FALSE)</f>
        <v>0.99999997777777772</v>
      </c>
      <c r="AM1202">
        <f>VLOOKUP($U1202,[2]Standard_Opportunity!$Q$1:$T$542,3,FALSE)</f>
        <v>2.2222222284540294E-8</v>
      </c>
      <c r="AN1202">
        <f>VLOOKUP($U1202,[2]Standard_Opportunity!$Q$1:$T$542,4,FALSE)</f>
        <v>0</v>
      </c>
      <c r="AO1202" s="77">
        <f t="shared" si="3986"/>
        <v>1</v>
      </c>
      <c r="AP1202" s="77">
        <f t="shared" si="3996"/>
        <v>6.4624999704999977E-2</v>
      </c>
      <c r="AQ1202" s="77">
        <f t="shared" si="3987"/>
        <v>5.2321923767311151E-3</v>
      </c>
      <c r="AR1202" s="79">
        <v>0</v>
      </c>
      <c r="AS1202" s="77">
        <f t="shared" si="3997"/>
        <v>0</v>
      </c>
      <c r="AT1202" s="77">
        <f t="shared" si="3998"/>
        <v>0</v>
      </c>
      <c r="AU1202" s="77">
        <f t="shared" si="3999"/>
        <v>2.5000000000000001E-3</v>
      </c>
      <c r="AV1202" s="77">
        <f t="shared" si="4000"/>
        <v>2.0809499864316017E-4</v>
      </c>
    </row>
    <row r="1203" spans="1:48">
      <c r="A1203" t="s">
        <v>175</v>
      </c>
      <c r="B1203" t="s">
        <v>180</v>
      </c>
      <c r="C1203" s="197" t="str">
        <f t="shared" si="4021"/>
        <v>Lifecycle_Opportunity_426</v>
      </c>
      <c r="D1203">
        <v>426</v>
      </c>
      <c r="E1203">
        <f>VLOOKUP($D1203,'[2]LC Opportunity'!$Q$2:$U$542,2,FALSE)</f>
        <v>0</v>
      </c>
      <c r="F1203">
        <f>VLOOKUP($D1203,'[2]LC Opportunity'!$Q$2:$U$542,3,FALSE)</f>
        <v>0</v>
      </c>
      <c r="G1203">
        <f>VLOOKUP($D1203,'[2]LC Opportunity'!$Q$2:$U$542,4,FALSE)</f>
        <v>0</v>
      </c>
      <c r="H1203">
        <f>VLOOKUP($D1203,'[2]LC Opportunity'!$Q$2:$U$542,5,FALSE)</f>
        <v>0.99999999999999989</v>
      </c>
      <c r="I1203" s="77">
        <f t="shared" si="3981"/>
        <v>0.99999999999999989</v>
      </c>
      <c r="J1203" s="77">
        <f t="shared" si="3982"/>
        <v>7.1999999999999981E-2</v>
      </c>
      <c r="K1203" s="77">
        <f t="shared" si="4026"/>
        <v>5.8106552987937654E-3</v>
      </c>
      <c r="L1203" s="76">
        <v>0</v>
      </c>
      <c r="M1203" s="77">
        <f t="shared" si="3988"/>
        <v>0</v>
      </c>
      <c r="N1203" s="77">
        <f t="shared" si="3989"/>
        <v>0</v>
      </c>
      <c r="O1203" s="77">
        <f t="shared" si="3990"/>
        <v>4.9999999999999992E-3</v>
      </c>
      <c r="P1203" s="77">
        <f t="shared" si="3991"/>
        <v>4.1762458919303302E-4</v>
      </c>
      <c r="R1203" t="s">
        <v>177</v>
      </c>
      <c r="S1203" t="s">
        <v>180</v>
      </c>
      <c r="T1203" s="197" t="str">
        <f t="shared" si="4022"/>
        <v>Autopilot_Opportunity_426</v>
      </c>
      <c r="U1203">
        <v>426</v>
      </c>
      <c r="V1203">
        <f>VLOOKUP($U1203,'[2]AP Opportunity'!$Q$1:$T$542,2,FALSE)</f>
        <v>0.99999997777777772</v>
      </c>
      <c r="W1203">
        <f>VLOOKUP($U1203,'[2]AP Opportunity'!$Q$1:$T$542,3,FALSE)</f>
        <v>2.2222222284540294E-8</v>
      </c>
      <c r="X1203">
        <f>VLOOKUP($U1203,'[2]AP Opportunity'!$Q$1:$T$542,4,FALSE)</f>
        <v>0</v>
      </c>
      <c r="Y1203" s="77">
        <f t="shared" si="4023"/>
        <v>1</v>
      </c>
      <c r="Z1203" s="77">
        <f t="shared" si="4027"/>
        <v>6.4624999704999977E-2</v>
      </c>
      <c r="AA1203" s="77">
        <f t="shared" si="4028"/>
        <v>5.2321923767311151E-3</v>
      </c>
      <c r="AB1203" s="79">
        <v>1</v>
      </c>
      <c r="AC1203" s="77">
        <f t="shared" si="3992"/>
        <v>8.499999955555556E-3</v>
      </c>
      <c r="AD1203" s="77">
        <f t="shared" ref="AD1203" si="4103">1-(1-AC1203)^(1/12)</f>
        <v>7.1110795759765644E-4</v>
      </c>
      <c r="AE1203" s="77">
        <f t="shared" si="3994"/>
        <v>2.5000000000000001E-3</v>
      </c>
      <c r="AF1203" s="77">
        <f t="shared" ref="AF1203" si="4104">1-(1-AE1203)^(1/12)</f>
        <v>2.0857243058891584E-4</v>
      </c>
      <c r="AH1203" t="s">
        <v>175</v>
      </c>
      <c r="AI1203" t="s">
        <v>180</v>
      </c>
      <c r="AJ1203" s="197" t="str">
        <f t="shared" si="3985"/>
        <v>Lifecycle_Opportunity_426</v>
      </c>
      <c r="AK1203">
        <v>426</v>
      </c>
      <c r="AL1203">
        <f>VLOOKUP($U1203,[2]Standard_Opportunity!$Q$1:$T$542,2,FALSE)</f>
        <v>0.99999997777777772</v>
      </c>
      <c r="AM1203">
        <f>VLOOKUP($U1203,[2]Standard_Opportunity!$Q$1:$T$542,3,FALSE)</f>
        <v>2.2222222284540294E-8</v>
      </c>
      <c r="AN1203">
        <f>VLOOKUP($U1203,[2]Standard_Opportunity!$Q$1:$T$542,4,FALSE)</f>
        <v>0</v>
      </c>
      <c r="AO1203" s="77">
        <f t="shared" si="3986"/>
        <v>1</v>
      </c>
      <c r="AP1203" s="77">
        <f t="shared" si="3996"/>
        <v>6.4624999704999977E-2</v>
      </c>
      <c r="AQ1203" s="77">
        <f t="shared" si="3987"/>
        <v>5.2321923767311151E-3</v>
      </c>
      <c r="AR1203" s="79">
        <v>0</v>
      </c>
      <c r="AS1203" s="77">
        <f t="shared" si="3997"/>
        <v>0</v>
      </c>
      <c r="AT1203" s="77">
        <f t="shared" si="3998"/>
        <v>0</v>
      </c>
      <c r="AU1203" s="77">
        <f t="shared" si="3999"/>
        <v>2.5000000000000001E-3</v>
      </c>
      <c r="AV1203" s="77">
        <f t="shared" si="4000"/>
        <v>2.0809499864316017E-4</v>
      </c>
    </row>
    <row r="1204" spans="1:48">
      <c r="A1204" t="s">
        <v>175</v>
      </c>
      <c r="B1204" t="s">
        <v>180</v>
      </c>
      <c r="C1204" s="197" t="str">
        <f t="shared" si="4021"/>
        <v>Lifecycle_Opportunity_425</v>
      </c>
      <c r="D1204">
        <v>425</v>
      </c>
      <c r="E1204">
        <f>VLOOKUP($D1204,'[2]LC Opportunity'!$Q$2:$U$542,2,FALSE)</f>
        <v>0</v>
      </c>
      <c r="F1204">
        <f>VLOOKUP($D1204,'[2]LC Opportunity'!$Q$2:$U$542,3,FALSE)</f>
        <v>0</v>
      </c>
      <c r="G1204">
        <f>VLOOKUP($D1204,'[2]LC Opportunity'!$Q$2:$U$542,4,FALSE)</f>
        <v>0</v>
      </c>
      <c r="H1204">
        <f>VLOOKUP($D1204,'[2]LC Opportunity'!$Q$2:$U$542,5,FALSE)</f>
        <v>0.99999999999999989</v>
      </c>
      <c r="I1204" s="77">
        <f t="shared" si="3981"/>
        <v>0.99999999999999989</v>
      </c>
      <c r="J1204" s="77">
        <f t="shared" si="3982"/>
        <v>7.1999999999999981E-2</v>
      </c>
      <c r="K1204" s="77">
        <f t="shared" si="4026"/>
        <v>5.8106552987937654E-3</v>
      </c>
      <c r="L1204" s="76">
        <v>0</v>
      </c>
      <c r="M1204" s="77">
        <f t="shared" si="3988"/>
        <v>0</v>
      </c>
      <c r="N1204" s="77">
        <f t="shared" si="3989"/>
        <v>0</v>
      </c>
      <c r="O1204" s="77">
        <f t="shared" si="3990"/>
        <v>4.9999999999999992E-3</v>
      </c>
      <c r="P1204" s="77">
        <f t="shared" si="3991"/>
        <v>4.1762458919303302E-4</v>
      </c>
      <c r="R1204" t="s">
        <v>177</v>
      </c>
      <c r="S1204" t="s">
        <v>180</v>
      </c>
      <c r="T1204" s="197" t="str">
        <f t="shared" si="4022"/>
        <v>Autopilot_Opportunity_425</v>
      </c>
      <c r="U1204">
        <v>425</v>
      </c>
      <c r="V1204">
        <f>VLOOKUP($U1204,'[2]AP Opportunity'!$Q$1:$T$542,2,FALSE)</f>
        <v>0.99999997777777772</v>
      </c>
      <c r="W1204">
        <f>VLOOKUP($U1204,'[2]AP Opportunity'!$Q$1:$T$542,3,FALSE)</f>
        <v>2.2222222284540294E-8</v>
      </c>
      <c r="X1204">
        <f>VLOOKUP($U1204,'[2]AP Opportunity'!$Q$1:$T$542,4,FALSE)</f>
        <v>0</v>
      </c>
      <c r="Y1204" s="77">
        <f t="shared" si="4023"/>
        <v>1</v>
      </c>
      <c r="Z1204" s="77">
        <f t="shared" si="4027"/>
        <v>6.4624999704999977E-2</v>
      </c>
      <c r="AA1204" s="77">
        <f t="shared" si="4028"/>
        <v>5.2321923767311151E-3</v>
      </c>
      <c r="AB1204" s="79">
        <v>1</v>
      </c>
      <c r="AC1204" s="77">
        <f t="shared" si="3992"/>
        <v>8.499999955555556E-3</v>
      </c>
      <c r="AD1204" s="77">
        <f t="shared" ref="AD1204" si="4105">1-(1-AC1204)^(1/12)</f>
        <v>7.1110795759765644E-4</v>
      </c>
      <c r="AE1204" s="77">
        <f t="shared" si="3994"/>
        <v>2.5000000000000001E-3</v>
      </c>
      <c r="AF1204" s="77">
        <f t="shared" ref="AF1204" si="4106">1-(1-AE1204)^(1/12)</f>
        <v>2.0857243058891584E-4</v>
      </c>
      <c r="AH1204" t="s">
        <v>175</v>
      </c>
      <c r="AI1204" t="s">
        <v>180</v>
      </c>
      <c r="AJ1204" s="197" t="str">
        <f t="shared" si="3985"/>
        <v>Lifecycle_Opportunity_425</v>
      </c>
      <c r="AK1204">
        <v>425</v>
      </c>
      <c r="AL1204">
        <f>VLOOKUP($U1204,[2]Standard_Opportunity!$Q$1:$T$542,2,FALSE)</f>
        <v>0.99999997777777772</v>
      </c>
      <c r="AM1204">
        <f>VLOOKUP($U1204,[2]Standard_Opportunity!$Q$1:$T$542,3,FALSE)</f>
        <v>2.2222222284540294E-8</v>
      </c>
      <c r="AN1204">
        <f>VLOOKUP($U1204,[2]Standard_Opportunity!$Q$1:$T$542,4,FALSE)</f>
        <v>0</v>
      </c>
      <c r="AO1204" s="77">
        <f t="shared" si="3986"/>
        <v>1</v>
      </c>
      <c r="AP1204" s="77">
        <f t="shared" si="3996"/>
        <v>6.4624999704999977E-2</v>
      </c>
      <c r="AQ1204" s="77">
        <f t="shared" si="3987"/>
        <v>5.2321923767311151E-3</v>
      </c>
      <c r="AR1204" s="79">
        <v>0</v>
      </c>
      <c r="AS1204" s="77">
        <f t="shared" si="3997"/>
        <v>0</v>
      </c>
      <c r="AT1204" s="77">
        <f t="shared" si="3998"/>
        <v>0</v>
      </c>
      <c r="AU1204" s="77">
        <f t="shared" si="3999"/>
        <v>2.5000000000000001E-3</v>
      </c>
      <c r="AV1204" s="77">
        <f t="shared" si="4000"/>
        <v>2.0809499864316017E-4</v>
      </c>
    </row>
    <row r="1205" spans="1:48">
      <c r="A1205" t="s">
        <v>175</v>
      </c>
      <c r="B1205" t="s">
        <v>180</v>
      </c>
      <c r="C1205" s="197" t="str">
        <f t="shared" si="4021"/>
        <v>Lifecycle_Opportunity_424</v>
      </c>
      <c r="D1205">
        <v>424</v>
      </c>
      <c r="E1205">
        <f>VLOOKUP($D1205,'[2]LC Opportunity'!$Q$2:$U$542,2,FALSE)</f>
        <v>0</v>
      </c>
      <c r="F1205">
        <f>VLOOKUP($D1205,'[2]LC Opportunity'!$Q$2:$U$542,3,FALSE)</f>
        <v>0</v>
      </c>
      <c r="G1205">
        <f>VLOOKUP($D1205,'[2]LC Opportunity'!$Q$2:$U$542,4,FALSE)</f>
        <v>0</v>
      </c>
      <c r="H1205">
        <f>VLOOKUP($D1205,'[2]LC Opportunity'!$Q$2:$U$542,5,FALSE)</f>
        <v>0.99999999999999989</v>
      </c>
      <c r="I1205" s="77">
        <f t="shared" si="3981"/>
        <v>0.99999999999999989</v>
      </c>
      <c r="J1205" s="77">
        <f t="shared" si="3982"/>
        <v>7.1999999999999981E-2</v>
      </c>
      <c r="K1205" s="77">
        <f t="shared" si="4026"/>
        <v>5.8106552987937654E-3</v>
      </c>
      <c r="L1205" s="76">
        <v>0</v>
      </c>
      <c r="M1205" s="77">
        <f t="shared" si="3988"/>
        <v>0</v>
      </c>
      <c r="N1205" s="77">
        <f t="shared" si="3989"/>
        <v>0</v>
      </c>
      <c r="O1205" s="77">
        <f t="shared" si="3990"/>
        <v>4.9999999999999992E-3</v>
      </c>
      <c r="P1205" s="77">
        <f t="shared" si="3991"/>
        <v>4.1762458919303302E-4</v>
      </c>
      <c r="R1205" t="s">
        <v>177</v>
      </c>
      <c r="S1205" t="s">
        <v>180</v>
      </c>
      <c r="T1205" s="197" t="str">
        <f t="shared" si="4022"/>
        <v>Autopilot_Opportunity_424</v>
      </c>
      <c r="U1205">
        <v>424</v>
      </c>
      <c r="V1205">
        <f>VLOOKUP($U1205,'[2]AP Opportunity'!$Q$1:$T$542,2,FALSE)</f>
        <v>0.99999997777777772</v>
      </c>
      <c r="W1205">
        <f>VLOOKUP($U1205,'[2]AP Opportunity'!$Q$1:$T$542,3,FALSE)</f>
        <v>2.2222222284540294E-8</v>
      </c>
      <c r="X1205">
        <f>VLOOKUP($U1205,'[2]AP Opportunity'!$Q$1:$T$542,4,FALSE)</f>
        <v>0</v>
      </c>
      <c r="Y1205" s="77">
        <f t="shared" si="4023"/>
        <v>1</v>
      </c>
      <c r="Z1205" s="77">
        <f t="shared" si="4027"/>
        <v>6.4624999704999977E-2</v>
      </c>
      <c r="AA1205" s="77">
        <f t="shared" si="4028"/>
        <v>5.2321923767311151E-3</v>
      </c>
      <c r="AB1205" s="79">
        <v>1</v>
      </c>
      <c r="AC1205" s="77">
        <f t="shared" si="3992"/>
        <v>8.499999955555556E-3</v>
      </c>
      <c r="AD1205" s="77">
        <f t="shared" ref="AD1205" si="4107">1-(1-AC1205)^(1/12)</f>
        <v>7.1110795759765644E-4</v>
      </c>
      <c r="AE1205" s="77">
        <f t="shared" si="3994"/>
        <v>2.5000000000000001E-3</v>
      </c>
      <c r="AF1205" s="77">
        <f t="shared" ref="AF1205" si="4108">1-(1-AE1205)^(1/12)</f>
        <v>2.0857243058891584E-4</v>
      </c>
      <c r="AH1205" t="s">
        <v>175</v>
      </c>
      <c r="AI1205" t="s">
        <v>180</v>
      </c>
      <c r="AJ1205" s="197" t="str">
        <f t="shared" si="3985"/>
        <v>Lifecycle_Opportunity_424</v>
      </c>
      <c r="AK1205">
        <v>424</v>
      </c>
      <c r="AL1205">
        <f>VLOOKUP($U1205,[2]Standard_Opportunity!$Q$1:$T$542,2,FALSE)</f>
        <v>0.99999997777777772</v>
      </c>
      <c r="AM1205">
        <f>VLOOKUP($U1205,[2]Standard_Opportunity!$Q$1:$T$542,3,FALSE)</f>
        <v>2.2222222284540294E-8</v>
      </c>
      <c r="AN1205">
        <f>VLOOKUP($U1205,[2]Standard_Opportunity!$Q$1:$T$542,4,FALSE)</f>
        <v>0</v>
      </c>
      <c r="AO1205" s="77">
        <f t="shared" si="3986"/>
        <v>1</v>
      </c>
      <c r="AP1205" s="77">
        <f t="shared" si="3996"/>
        <v>6.4624999704999977E-2</v>
      </c>
      <c r="AQ1205" s="77">
        <f t="shared" si="3987"/>
        <v>5.2321923767311151E-3</v>
      </c>
      <c r="AR1205" s="79">
        <v>0</v>
      </c>
      <c r="AS1205" s="77">
        <f t="shared" si="3997"/>
        <v>0</v>
      </c>
      <c r="AT1205" s="77">
        <f t="shared" si="3998"/>
        <v>0</v>
      </c>
      <c r="AU1205" s="77">
        <f t="shared" si="3999"/>
        <v>2.5000000000000001E-3</v>
      </c>
      <c r="AV1205" s="77">
        <f t="shared" si="4000"/>
        <v>2.0809499864316017E-4</v>
      </c>
    </row>
    <row r="1206" spans="1:48">
      <c r="A1206" t="s">
        <v>175</v>
      </c>
      <c r="B1206" t="s">
        <v>180</v>
      </c>
      <c r="C1206" s="197" t="str">
        <f t="shared" si="4021"/>
        <v>Lifecycle_Opportunity_423</v>
      </c>
      <c r="D1206">
        <v>423</v>
      </c>
      <c r="E1206">
        <f>VLOOKUP($D1206,'[2]LC Opportunity'!$Q$2:$U$542,2,FALSE)</f>
        <v>0</v>
      </c>
      <c r="F1206">
        <f>VLOOKUP($D1206,'[2]LC Opportunity'!$Q$2:$U$542,3,FALSE)</f>
        <v>0</v>
      </c>
      <c r="G1206">
        <f>VLOOKUP($D1206,'[2]LC Opportunity'!$Q$2:$U$542,4,FALSE)</f>
        <v>0</v>
      </c>
      <c r="H1206">
        <f>VLOOKUP($D1206,'[2]LC Opportunity'!$Q$2:$U$542,5,FALSE)</f>
        <v>0.99999999999999989</v>
      </c>
      <c r="I1206" s="77">
        <f t="shared" si="3981"/>
        <v>0.99999999999999989</v>
      </c>
      <c r="J1206" s="77">
        <f t="shared" si="3982"/>
        <v>7.1999999999999981E-2</v>
      </c>
      <c r="K1206" s="77">
        <f t="shared" si="4026"/>
        <v>5.8106552987937654E-3</v>
      </c>
      <c r="L1206" s="76">
        <v>0</v>
      </c>
      <c r="M1206" s="77">
        <f t="shared" si="3988"/>
        <v>0</v>
      </c>
      <c r="N1206" s="77">
        <f t="shared" si="3989"/>
        <v>0</v>
      </c>
      <c r="O1206" s="77">
        <f t="shared" si="3990"/>
        <v>4.9999999999999992E-3</v>
      </c>
      <c r="P1206" s="77">
        <f t="shared" si="3991"/>
        <v>4.1762458919303302E-4</v>
      </c>
      <c r="R1206" t="s">
        <v>177</v>
      </c>
      <c r="S1206" t="s">
        <v>180</v>
      </c>
      <c r="T1206" s="197" t="str">
        <f t="shared" si="4022"/>
        <v>Autopilot_Opportunity_423</v>
      </c>
      <c r="U1206">
        <v>423</v>
      </c>
      <c r="V1206">
        <f>VLOOKUP($U1206,'[2]AP Opportunity'!$Q$1:$T$542,2,FALSE)</f>
        <v>0.99999997777777772</v>
      </c>
      <c r="W1206">
        <f>VLOOKUP($U1206,'[2]AP Opportunity'!$Q$1:$T$542,3,FALSE)</f>
        <v>2.2222222284540294E-8</v>
      </c>
      <c r="X1206">
        <f>VLOOKUP($U1206,'[2]AP Opportunity'!$Q$1:$T$542,4,FALSE)</f>
        <v>0</v>
      </c>
      <c r="Y1206" s="77">
        <f t="shared" si="4023"/>
        <v>1</v>
      </c>
      <c r="Z1206" s="77">
        <f t="shared" si="4027"/>
        <v>6.4624999704999977E-2</v>
      </c>
      <c r="AA1206" s="77">
        <f t="shared" si="4028"/>
        <v>5.2321923767311151E-3</v>
      </c>
      <c r="AB1206" s="79">
        <v>1</v>
      </c>
      <c r="AC1206" s="77">
        <f t="shared" si="3992"/>
        <v>8.499999955555556E-3</v>
      </c>
      <c r="AD1206" s="77">
        <f t="shared" ref="AD1206" si="4109">1-(1-AC1206)^(1/12)</f>
        <v>7.1110795759765644E-4</v>
      </c>
      <c r="AE1206" s="77">
        <f t="shared" si="3994"/>
        <v>2.5000000000000001E-3</v>
      </c>
      <c r="AF1206" s="77">
        <f t="shared" ref="AF1206" si="4110">1-(1-AE1206)^(1/12)</f>
        <v>2.0857243058891584E-4</v>
      </c>
      <c r="AH1206" t="s">
        <v>175</v>
      </c>
      <c r="AI1206" t="s">
        <v>180</v>
      </c>
      <c r="AJ1206" s="197" t="str">
        <f t="shared" si="3985"/>
        <v>Lifecycle_Opportunity_423</v>
      </c>
      <c r="AK1206">
        <v>423</v>
      </c>
      <c r="AL1206">
        <f>VLOOKUP($U1206,[2]Standard_Opportunity!$Q$1:$T$542,2,FALSE)</f>
        <v>0.99999997777777772</v>
      </c>
      <c r="AM1206">
        <f>VLOOKUP($U1206,[2]Standard_Opportunity!$Q$1:$T$542,3,FALSE)</f>
        <v>2.2222222284540294E-8</v>
      </c>
      <c r="AN1206">
        <f>VLOOKUP($U1206,[2]Standard_Opportunity!$Q$1:$T$542,4,FALSE)</f>
        <v>0</v>
      </c>
      <c r="AO1206" s="77">
        <f t="shared" si="3986"/>
        <v>1</v>
      </c>
      <c r="AP1206" s="77">
        <f t="shared" si="3996"/>
        <v>6.4624999704999977E-2</v>
      </c>
      <c r="AQ1206" s="77">
        <f t="shared" si="3987"/>
        <v>5.2321923767311151E-3</v>
      </c>
      <c r="AR1206" s="79">
        <v>0</v>
      </c>
      <c r="AS1206" s="77">
        <f t="shared" si="3997"/>
        <v>0</v>
      </c>
      <c r="AT1206" s="77">
        <f t="shared" si="3998"/>
        <v>0</v>
      </c>
      <c r="AU1206" s="77">
        <f t="shared" si="3999"/>
        <v>2.5000000000000001E-3</v>
      </c>
      <c r="AV1206" s="77">
        <f t="shared" si="4000"/>
        <v>2.0809499864316017E-4</v>
      </c>
    </row>
    <row r="1207" spans="1:48">
      <c r="A1207" t="s">
        <v>175</v>
      </c>
      <c r="B1207" t="s">
        <v>180</v>
      </c>
      <c r="C1207" s="197" t="str">
        <f t="shared" si="4021"/>
        <v>Lifecycle_Opportunity_422</v>
      </c>
      <c r="D1207">
        <v>422</v>
      </c>
      <c r="E1207">
        <f>VLOOKUP($D1207,'[2]LC Opportunity'!$Q$2:$U$542,2,FALSE)</f>
        <v>0</v>
      </c>
      <c r="F1207">
        <f>VLOOKUP($D1207,'[2]LC Opportunity'!$Q$2:$U$542,3,FALSE)</f>
        <v>0</v>
      </c>
      <c r="G1207">
        <f>VLOOKUP($D1207,'[2]LC Opportunity'!$Q$2:$U$542,4,FALSE)</f>
        <v>0</v>
      </c>
      <c r="H1207">
        <f>VLOOKUP($D1207,'[2]LC Opportunity'!$Q$2:$U$542,5,FALSE)</f>
        <v>0.99999999999999989</v>
      </c>
      <c r="I1207" s="77">
        <f t="shared" si="3981"/>
        <v>0.99999999999999989</v>
      </c>
      <c r="J1207" s="77">
        <f t="shared" si="3982"/>
        <v>7.1999999999999981E-2</v>
      </c>
      <c r="K1207" s="77">
        <f t="shared" si="4026"/>
        <v>5.8106552987937654E-3</v>
      </c>
      <c r="L1207" s="76">
        <v>0</v>
      </c>
      <c r="M1207" s="77">
        <f t="shared" si="3988"/>
        <v>0</v>
      </c>
      <c r="N1207" s="77">
        <f t="shared" si="3989"/>
        <v>0</v>
      </c>
      <c r="O1207" s="77">
        <f t="shared" si="3990"/>
        <v>4.9999999999999992E-3</v>
      </c>
      <c r="P1207" s="77">
        <f t="shared" si="3991"/>
        <v>4.1762458919303302E-4</v>
      </c>
      <c r="R1207" t="s">
        <v>177</v>
      </c>
      <c r="S1207" t="s">
        <v>180</v>
      </c>
      <c r="T1207" s="197" t="str">
        <f t="shared" si="4022"/>
        <v>Autopilot_Opportunity_422</v>
      </c>
      <c r="U1207">
        <v>422</v>
      </c>
      <c r="V1207">
        <f>VLOOKUP($U1207,'[2]AP Opportunity'!$Q$1:$T$542,2,FALSE)</f>
        <v>0.99999997777777772</v>
      </c>
      <c r="W1207">
        <f>VLOOKUP($U1207,'[2]AP Opportunity'!$Q$1:$T$542,3,FALSE)</f>
        <v>2.2222222284540294E-8</v>
      </c>
      <c r="X1207">
        <f>VLOOKUP($U1207,'[2]AP Opportunity'!$Q$1:$T$542,4,FALSE)</f>
        <v>0</v>
      </c>
      <c r="Y1207" s="77">
        <f t="shared" si="4023"/>
        <v>1</v>
      </c>
      <c r="Z1207" s="77">
        <f t="shared" si="4027"/>
        <v>6.4624999704999977E-2</v>
      </c>
      <c r="AA1207" s="77">
        <f t="shared" si="4028"/>
        <v>5.2321923767311151E-3</v>
      </c>
      <c r="AB1207" s="79">
        <v>1</v>
      </c>
      <c r="AC1207" s="77">
        <f t="shared" si="3992"/>
        <v>8.499999955555556E-3</v>
      </c>
      <c r="AD1207" s="77">
        <f t="shared" ref="AD1207" si="4111">1-(1-AC1207)^(1/12)</f>
        <v>7.1110795759765644E-4</v>
      </c>
      <c r="AE1207" s="77">
        <f t="shared" si="3994"/>
        <v>2.5000000000000001E-3</v>
      </c>
      <c r="AF1207" s="77">
        <f t="shared" ref="AF1207" si="4112">1-(1-AE1207)^(1/12)</f>
        <v>2.0857243058891584E-4</v>
      </c>
      <c r="AH1207" t="s">
        <v>175</v>
      </c>
      <c r="AI1207" t="s">
        <v>180</v>
      </c>
      <c r="AJ1207" s="197" t="str">
        <f t="shared" si="3985"/>
        <v>Lifecycle_Opportunity_422</v>
      </c>
      <c r="AK1207">
        <v>422</v>
      </c>
      <c r="AL1207">
        <f>VLOOKUP($U1207,[2]Standard_Opportunity!$Q$1:$T$542,2,FALSE)</f>
        <v>0.99999997777777772</v>
      </c>
      <c r="AM1207">
        <f>VLOOKUP($U1207,[2]Standard_Opportunity!$Q$1:$T$542,3,FALSE)</f>
        <v>2.2222222284540294E-8</v>
      </c>
      <c r="AN1207">
        <f>VLOOKUP($U1207,[2]Standard_Opportunity!$Q$1:$T$542,4,FALSE)</f>
        <v>0</v>
      </c>
      <c r="AO1207" s="77">
        <f t="shared" si="3986"/>
        <v>1</v>
      </c>
      <c r="AP1207" s="77">
        <f t="shared" si="3996"/>
        <v>6.4624999704999977E-2</v>
      </c>
      <c r="AQ1207" s="77">
        <f t="shared" si="3987"/>
        <v>5.2321923767311151E-3</v>
      </c>
      <c r="AR1207" s="79">
        <v>0</v>
      </c>
      <c r="AS1207" s="77">
        <f t="shared" si="3997"/>
        <v>0</v>
      </c>
      <c r="AT1207" s="77">
        <f t="shared" si="3998"/>
        <v>0</v>
      </c>
      <c r="AU1207" s="77">
        <f t="shared" si="3999"/>
        <v>2.5000000000000001E-3</v>
      </c>
      <c r="AV1207" s="77">
        <f t="shared" si="4000"/>
        <v>2.0809499864316017E-4</v>
      </c>
    </row>
    <row r="1208" spans="1:48">
      <c r="A1208" t="s">
        <v>175</v>
      </c>
      <c r="B1208" t="s">
        <v>180</v>
      </c>
      <c r="C1208" s="197" t="str">
        <f t="shared" si="4021"/>
        <v>Lifecycle_Opportunity_421</v>
      </c>
      <c r="D1208">
        <v>421</v>
      </c>
      <c r="E1208">
        <f>VLOOKUP($D1208,'[2]LC Opportunity'!$Q$2:$U$542,2,FALSE)</f>
        <v>0</v>
      </c>
      <c r="F1208">
        <f>VLOOKUP($D1208,'[2]LC Opportunity'!$Q$2:$U$542,3,FALSE)</f>
        <v>0</v>
      </c>
      <c r="G1208">
        <f>VLOOKUP($D1208,'[2]LC Opportunity'!$Q$2:$U$542,4,FALSE)</f>
        <v>0</v>
      </c>
      <c r="H1208">
        <f>VLOOKUP($D1208,'[2]LC Opportunity'!$Q$2:$U$542,5,FALSE)</f>
        <v>0.99999999999999989</v>
      </c>
      <c r="I1208" s="77">
        <f t="shared" si="3981"/>
        <v>0.99999999999999989</v>
      </c>
      <c r="J1208" s="77">
        <f t="shared" si="3982"/>
        <v>7.1999999999999981E-2</v>
      </c>
      <c r="K1208" s="77">
        <f t="shared" si="4026"/>
        <v>5.8106552987937654E-3</v>
      </c>
      <c r="L1208" s="76">
        <v>0</v>
      </c>
      <c r="M1208" s="77">
        <f t="shared" si="3988"/>
        <v>0</v>
      </c>
      <c r="N1208" s="77">
        <f t="shared" si="3989"/>
        <v>0</v>
      </c>
      <c r="O1208" s="77">
        <f t="shared" si="3990"/>
        <v>4.9999999999999992E-3</v>
      </c>
      <c r="P1208" s="77">
        <f t="shared" si="3991"/>
        <v>4.1762458919303302E-4</v>
      </c>
      <c r="R1208" t="s">
        <v>177</v>
      </c>
      <c r="S1208" t="s">
        <v>180</v>
      </c>
      <c r="T1208" s="197" t="str">
        <f t="shared" si="4022"/>
        <v>Autopilot_Opportunity_421</v>
      </c>
      <c r="U1208">
        <v>421</v>
      </c>
      <c r="V1208">
        <f>VLOOKUP($U1208,'[2]AP Opportunity'!$Q$1:$T$542,2,FALSE)</f>
        <v>0.99999997777777772</v>
      </c>
      <c r="W1208">
        <f>VLOOKUP($U1208,'[2]AP Opportunity'!$Q$1:$T$542,3,FALSE)</f>
        <v>2.2222222284540294E-8</v>
      </c>
      <c r="X1208">
        <f>VLOOKUP($U1208,'[2]AP Opportunity'!$Q$1:$T$542,4,FALSE)</f>
        <v>0</v>
      </c>
      <c r="Y1208" s="77">
        <f t="shared" si="4023"/>
        <v>1</v>
      </c>
      <c r="Z1208" s="77">
        <f t="shared" si="4027"/>
        <v>6.4624999704999977E-2</v>
      </c>
      <c r="AA1208" s="77">
        <f t="shared" si="4028"/>
        <v>5.2321923767311151E-3</v>
      </c>
      <c r="AB1208" s="79">
        <v>1</v>
      </c>
      <c r="AC1208" s="77">
        <f t="shared" si="3992"/>
        <v>8.499999955555556E-3</v>
      </c>
      <c r="AD1208" s="77">
        <f t="shared" ref="AD1208" si="4113">1-(1-AC1208)^(1/12)</f>
        <v>7.1110795759765644E-4</v>
      </c>
      <c r="AE1208" s="77">
        <f t="shared" si="3994"/>
        <v>2.5000000000000001E-3</v>
      </c>
      <c r="AF1208" s="77">
        <f t="shared" ref="AF1208" si="4114">1-(1-AE1208)^(1/12)</f>
        <v>2.0857243058891584E-4</v>
      </c>
      <c r="AH1208" t="s">
        <v>175</v>
      </c>
      <c r="AI1208" t="s">
        <v>180</v>
      </c>
      <c r="AJ1208" s="197" t="str">
        <f t="shared" si="3985"/>
        <v>Lifecycle_Opportunity_421</v>
      </c>
      <c r="AK1208">
        <v>421</v>
      </c>
      <c r="AL1208">
        <f>VLOOKUP($U1208,[2]Standard_Opportunity!$Q$1:$T$542,2,FALSE)</f>
        <v>0.99999997777777772</v>
      </c>
      <c r="AM1208">
        <f>VLOOKUP($U1208,[2]Standard_Opportunity!$Q$1:$T$542,3,FALSE)</f>
        <v>2.2222222284540294E-8</v>
      </c>
      <c r="AN1208">
        <f>VLOOKUP($U1208,[2]Standard_Opportunity!$Q$1:$T$542,4,FALSE)</f>
        <v>0</v>
      </c>
      <c r="AO1208" s="77">
        <f t="shared" si="3986"/>
        <v>1</v>
      </c>
      <c r="AP1208" s="77">
        <f t="shared" si="3996"/>
        <v>6.4624999704999977E-2</v>
      </c>
      <c r="AQ1208" s="77">
        <f t="shared" si="3987"/>
        <v>5.2321923767311151E-3</v>
      </c>
      <c r="AR1208" s="79">
        <v>0</v>
      </c>
      <c r="AS1208" s="77">
        <f t="shared" si="3997"/>
        <v>0</v>
      </c>
      <c r="AT1208" s="77">
        <f t="shared" si="3998"/>
        <v>0</v>
      </c>
      <c r="AU1208" s="77">
        <f t="shared" si="3999"/>
        <v>2.5000000000000001E-3</v>
      </c>
      <c r="AV1208" s="77">
        <f t="shared" si="4000"/>
        <v>2.0809499864316017E-4</v>
      </c>
    </row>
    <row r="1209" spans="1:48">
      <c r="A1209" t="s">
        <v>175</v>
      </c>
      <c r="B1209" t="s">
        <v>180</v>
      </c>
      <c r="C1209" s="197" t="str">
        <f t="shared" si="4021"/>
        <v>Lifecycle_Opportunity_420</v>
      </c>
      <c r="D1209">
        <v>420</v>
      </c>
      <c r="E1209">
        <f>VLOOKUP($D1209,'[2]LC Opportunity'!$Q$2:$U$542,2,FALSE)</f>
        <v>0</v>
      </c>
      <c r="F1209">
        <f>VLOOKUP($D1209,'[2]LC Opportunity'!$Q$2:$U$542,3,FALSE)</f>
        <v>0</v>
      </c>
      <c r="G1209">
        <f>VLOOKUP($D1209,'[2]LC Opportunity'!$Q$2:$U$542,4,FALSE)</f>
        <v>0</v>
      </c>
      <c r="H1209">
        <f>VLOOKUP($D1209,'[2]LC Opportunity'!$Q$2:$U$542,5,FALSE)</f>
        <v>0.99999999999999989</v>
      </c>
      <c r="I1209" s="77">
        <f t="shared" si="3981"/>
        <v>0.99999999999999989</v>
      </c>
      <c r="J1209" s="77">
        <f t="shared" si="3982"/>
        <v>7.1999999999999981E-2</v>
      </c>
      <c r="K1209" s="77">
        <f t="shared" si="4026"/>
        <v>5.8106552987937654E-3</v>
      </c>
      <c r="L1209" s="76">
        <v>0</v>
      </c>
      <c r="M1209" s="77">
        <f t="shared" si="3988"/>
        <v>0</v>
      </c>
      <c r="N1209" s="77">
        <f t="shared" si="3989"/>
        <v>0</v>
      </c>
      <c r="O1209" s="77">
        <f t="shared" si="3990"/>
        <v>4.9999999999999992E-3</v>
      </c>
      <c r="P1209" s="77">
        <f t="shared" si="3991"/>
        <v>4.1762458919303302E-4</v>
      </c>
      <c r="R1209" t="s">
        <v>177</v>
      </c>
      <c r="S1209" t="s">
        <v>180</v>
      </c>
      <c r="T1209" s="197" t="str">
        <f t="shared" si="4022"/>
        <v>Autopilot_Opportunity_420</v>
      </c>
      <c r="U1209">
        <v>420</v>
      </c>
      <c r="V1209">
        <f>VLOOKUP($U1209,'[2]AP Opportunity'!$Q$1:$T$542,2,FALSE)</f>
        <v>0.99999997777777772</v>
      </c>
      <c r="W1209">
        <f>VLOOKUP($U1209,'[2]AP Opportunity'!$Q$1:$T$542,3,FALSE)</f>
        <v>2.2222222284540294E-8</v>
      </c>
      <c r="X1209">
        <f>VLOOKUP($U1209,'[2]AP Opportunity'!$Q$1:$T$542,4,FALSE)</f>
        <v>0</v>
      </c>
      <c r="Y1209" s="77">
        <f t="shared" si="4023"/>
        <v>1</v>
      </c>
      <c r="Z1209" s="77">
        <f t="shared" si="4027"/>
        <v>6.4624999704999977E-2</v>
      </c>
      <c r="AA1209" s="77">
        <f t="shared" si="4028"/>
        <v>5.2321923767311151E-3</v>
      </c>
      <c r="AB1209" s="79">
        <v>1</v>
      </c>
      <c r="AC1209" s="77">
        <f t="shared" si="3992"/>
        <v>8.499999955555556E-3</v>
      </c>
      <c r="AD1209" s="77">
        <f t="shared" ref="AD1209" si="4115">1-(1-AC1209)^(1/12)</f>
        <v>7.1110795759765644E-4</v>
      </c>
      <c r="AE1209" s="77">
        <f t="shared" si="3994"/>
        <v>2.5000000000000001E-3</v>
      </c>
      <c r="AF1209" s="77">
        <f t="shared" ref="AF1209" si="4116">1-(1-AE1209)^(1/12)</f>
        <v>2.0857243058891584E-4</v>
      </c>
      <c r="AH1209" t="s">
        <v>175</v>
      </c>
      <c r="AI1209" t="s">
        <v>180</v>
      </c>
      <c r="AJ1209" s="197" t="str">
        <f t="shared" si="3985"/>
        <v>Lifecycle_Opportunity_420</v>
      </c>
      <c r="AK1209">
        <v>420</v>
      </c>
      <c r="AL1209">
        <f>VLOOKUP($U1209,[2]Standard_Opportunity!$Q$1:$T$542,2,FALSE)</f>
        <v>0.99999997777777772</v>
      </c>
      <c r="AM1209">
        <f>VLOOKUP($U1209,[2]Standard_Opportunity!$Q$1:$T$542,3,FALSE)</f>
        <v>2.2222222284540294E-8</v>
      </c>
      <c r="AN1209">
        <f>VLOOKUP($U1209,[2]Standard_Opportunity!$Q$1:$T$542,4,FALSE)</f>
        <v>0</v>
      </c>
      <c r="AO1209" s="77">
        <f t="shared" si="3986"/>
        <v>1</v>
      </c>
      <c r="AP1209" s="77">
        <f t="shared" si="3996"/>
        <v>6.4624999704999977E-2</v>
      </c>
      <c r="AQ1209" s="77">
        <f t="shared" si="3987"/>
        <v>5.2321923767311151E-3</v>
      </c>
      <c r="AR1209" s="79">
        <v>0</v>
      </c>
      <c r="AS1209" s="77">
        <f t="shared" si="3997"/>
        <v>0</v>
      </c>
      <c r="AT1209" s="77">
        <f t="shared" si="3998"/>
        <v>0</v>
      </c>
      <c r="AU1209" s="77">
        <f t="shared" si="3999"/>
        <v>2.5000000000000001E-3</v>
      </c>
      <c r="AV1209" s="77">
        <f t="shared" si="4000"/>
        <v>2.0809499864316017E-4</v>
      </c>
    </row>
    <row r="1210" spans="1:48">
      <c r="A1210" t="s">
        <v>175</v>
      </c>
      <c r="B1210" t="s">
        <v>180</v>
      </c>
      <c r="C1210" s="197" t="str">
        <f t="shared" si="4021"/>
        <v>Lifecycle_Opportunity_419</v>
      </c>
      <c r="D1210">
        <v>419</v>
      </c>
      <c r="E1210">
        <f>VLOOKUP($D1210,'[2]LC Opportunity'!$Q$2:$U$542,2,FALSE)</f>
        <v>0</v>
      </c>
      <c r="F1210">
        <f>VLOOKUP($D1210,'[2]LC Opportunity'!$Q$2:$U$542,3,FALSE)</f>
        <v>0</v>
      </c>
      <c r="G1210">
        <f>VLOOKUP($D1210,'[2]LC Opportunity'!$Q$2:$U$542,4,FALSE)</f>
        <v>0</v>
      </c>
      <c r="H1210">
        <f>VLOOKUP($D1210,'[2]LC Opportunity'!$Q$2:$U$542,5,FALSE)</f>
        <v>0.99999999999999989</v>
      </c>
      <c r="I1210" s="77">
        <f t="shared" si="3981"/>
        <v>0.99999999999999989</v>
      </c>
      <c r="J1210" s="77">
        <f t="shared" si="3982"/>
        <v>7.1999999999999981E-2</v>
      </c>
      <c r="K1210" s="77">
        <f t="shared" si="4026"/>
        <v>5.8106552987937654E-3</v>
      </c>
      <c r="L1210" s="76">
        <v>0</v>
      </c>
      <c r="M1210" s="77">
        <f t="shared" si="3988"/>
        <v>0</v>
      </c>
      <c r="N1210" s="77">
        <f t="shared" si="3989"/>
        <v>0</v>
      </c>
      <c r="O1210" s="77">
        <f t="shared" si="3990"/>
        <v>4.9999999999999992E-3</v>
      </c>
      <c r="P1210" s="77">
        <f t="shared" si="3991"/>
        <v>4.1762458919303302E-4</v>
      </c>
      <c r="R1210" t="s">
        <v>177</v>
      </c>
      <c r="S1210" t="s">
        <v>180</v>
      </c>
      <c r="T1210" s="197" t="str">
        <f t="shared" si="4022"/>
        <v>Autopilot_Opportunity_419</v>
      </c>
      <c r="U1210">
        <v>419</v>
      </c>
      <c r="V1210">
        <f>VLOOKUP($U1210,'[2]AP Opportunity'!$Q$1:$T$542,2,FALSE)</f>
        <v>0.99999997777777772</v>
      </c>
      <c r="W1210">
        <f>VLOOKUP($U1210,'[2]AP Opportunity'!$Q$1:$T$542,3,FALSE)</f>
        <v>2.2222222284540294E-8</v>
      </c>
      <c r="X1210">
        <f>VLOOKUP($U1210,'[2]AP Opportunity'!$Q$1:$T$542,4,FALSE)</f>
        <v>0</v>
      </c>
      <c r="Y1210" s="77">
        <f t="shared" si="4023"/>
        <v>1</v>
      </c>
      <c r="Z1210" s="77">
        <f t="shared" si="4027"/>
        <v>6.4624999704999977E-2</v>
      </c>
      <c r="AA1210" s="77">
        <f t="shared" si="4028"/>
        <v>5.2321923767311151E-3</v>
      </c>
      <c r="AB1210" s="79">
        <v>1</v>
      </c>
      <c r="AC1210" s="77">
        <f t="shared" si="3992"/>
        <v>8.499999955555556E-3</v>
      </c>
      <c r="AD1210" s="77">
        <f t="shared" ref="AD1210" si="4117">1-(1-AC1210)^(1/12)</f>
        <v>7.1110795759765644E-4</v>
      </c>
      <c r="AE1210" s="77">
        <f t="shared" si="3994"/>
        <v>2.5000000000000001E-3</v>
      </c>
      <c r="AF1210" s="77">
        <f t="shared" ref="AF1210" si="4118">1-(1-AE1210)^(1/12)</f>
        <v>2.0857243058891584E-4</v>
      </c>
      <c r="AH1210" t="s">
        <v>175</v>
      </c>
      <c r="AI1210" t="s">
        <v>180</v>
      </c>
      <c r="AJ1210" s="197" t="str">
        <f t="shared" si="3985"/>
        <v>Lifecycle_Opportunity_419</v>
      </c>
      <c r="AK1210">
        <v>419</v>
      </c>
      <c r="AL1210">
        <f>VLOOKUP($U1210,[2]Standard_Opportunity!$Q$1:$T$542,2,FALSE)</f>
        <v>0.99999997777777772</v>
      </c>
      <c r="AM1210">
        <f>VLOOKUP($U1210,[2]Standard_Opportunity!$Q$1:$T$542,3,FALSE)</f>
        <v>2.2222222284540294E-8</v>
      </c>
      <c r="AN1210">
        <f>VLOOKUP($U1210,[2]Standard_Opportunity!$Q$1:$T$542,4,FALSE)</f>
        <v>0</v>
      </c>
      <c r="AO1210" s="77">
        <f t="shared" si="3986"/>
        <v>1</v>
      </c>
      <c r="AP1210" s="77">
        <f t="shared" si="3996"/>
        <v>6.4624999704999977E-2</v>
      </c>
      <c r="AQ1210" s="77">
        <f t="shared" si="3987"/>
        <v>5.2321923767311151E-3</v>
      </c>
      <c r="AR1210" s="79">
        <v>0</v>
      </c>
      <c r="AS1210" s="77">
        <f t="shared" si="3997"/>
        <v>0</v>
      </c>
      <c r="AT1210" s="77">
        <f t="shared" si="3998"/>
        <v>0</v>
      </c>
      <c r="AU1210" s="77">
        <f t="shared" si="3999"/>
        <v>2.5000000000000001E-3</v>
      </c>
      <c r="AV1210" s="77">
        <f t="shared" si="4000"/>
        <v>2.0809499864316017E-4</v>
      </c>
    </row>
    <row r="1211" spans="1:48">
      <c r="A1211" t="s">
        <v>175</v>
      </c>
      <c r="B1211" t="s">
        <v>180</v>
      </c>
      <c r="C1211" s="197" t="str">
        <f t="shared" si="4021"/>
        <v>Lifecycle_Opportunity_418</v>
      </c>
      <c r="D1211">
        <v>418</v>
      </c>
      <c r="E1211">
        <f>VLOOKUP($D1211,'[2]LC Opportunity'!$Q$2:$U$542,2,FALSE)</f>
        <v>0</v>
      </c>
      <c r="F1211">
        <f>VLOOKUP($D1211,'[2]LC Opportunity'!$Q$2:$U$542,3,FALSE)</f>
        <v>0</v>
      </c>
      <c r="G1211">
        <f>VLOOKUP($D1211,'[2]LC Opportunity'!$Q$2:$U$542,4,FALSE)</f>
        <v>0</v>
      </c>
      <c r="H1211">
        <f>VLOOKUP($D1211,'[2]LC Opportunity'!$Q$2:$U$542,5,FALSE)</f>
        <v>0.99999999999999989</v>
      </c>
      <c r="I1211" s="77">
        <f t="shared" si="3981"/>
        <v>0.99999999999999989</v>
      </c>
      <c r="J1211" s="77">
        <f t="shared" si="3982"/>
        <v>7.1999999999999981E-2</v>
      </c>
      <c r="K1211" s="77">
        <f t="shared" si="4026"/>
        <v>5.8106552987937654E-3</v>
      </c>
      <c r="L1211" s="76">
        <v>0</v>
      </c>
      <c r="M1211" s="77">
        <f t="shared" si="3988"/>
        <v>0</v>
      </c>
      <c r="N1211" s="77">
        <f t="shared" si="3989"/>
        <v>0</v>
      </c>
      <c r="O1211" s="77">
        <f t="shared" si="3990"/>
        <v>4.9999999999999992E-3</v>
      </c>
      <c r="P1211" s="77">
        <f t="shared" si="3991"/>
        <v>4.1762458919303302E-4</v>
      </c>
      <c r="R1211" t="s">
        <v>177</v>
      </c>
      <c r="S1211" t="s">
        <v>180</v>
      </c>
      <c r="T1211" s="197" t="str">
        <f t="shared" si="4022"/>
        <v>Autopilot_Opportunity_418</v>
      </c>
      <c r="U1211">
        <v>418</v>
      </c>
      <c r="V1211">
        <f>VLOOKUP($U1211,'[2]AP Opportunity'!$Q$1:$T$542,2,FALSE)</f>
        <v>0.99999997777777772</v>
      </c>
      <c r="W1211">
        <f>VLOOKUP($U1211,'[2]AP Opportunity'!$Q$1:$T$542,3,FALSE)</f>
        <v>2.2222222284540294E-8</v>
      </c>
      <c r="X1211">
        <f>VLOOKUP($U1211,'[2]AP Opportunity'!$Q$1:$T$542,4,FALSE)</f>
        <v>0</v>
      </c>
      <c r="Y1211" s="77">
        <f t="shared" si="4023"/>
        <v>1</v>
      </c>
      <c r="Z1211" s="77">
        <f t="shared" si="4027"/>
        <v>6.4624999704999977E-2</v>
      </c>
      <c r="AA1211" s="77">
        <f t="shared" si="4028"/>
        <v>5.2321923767311151E-3</v>
      </c>
      <c r="AB1211" s="79">
        <v>1</v>
      </c>
      <c r="AC1211" s="77">
        <f t="shared" si="3992"/>
        <v>8.499999955555556E-3</v>
      </c>
      <c r="AD1211" s="77">
        <f t="shared" ref="AD1211" si="4119">1-(1-AC1211)^(1/12)</f>
        <v>7.1110795759765644E-4</v>
      </c>
      <c r="AE1211" s="77">
        <f t="shared" si="3994"/>
        <v>2.5000000000000001E-3</v>
      </c>
      <c r="AF1211" s="77">
        <f t="shared" ref="AF1211" si="4120">1-(1-AE1211)^(1/12)</f>
        <v>2.0857243058891584E-4</v>
      </c>
      <c r="AH1211" t="s">
        <v>175</v>
      </c>
      <c r="AI1211" t="s">
        <v>180</v>
      </c>
      <c r="AJ1211" s="197" t="str">
        <f t="shared" si="3985"/>
        <v>Lifecycle_Opportunity_418</v>
      </c>
      <c r="AK1211">
        <v>418</v>
      </c>
      <c r="AL1211">
        <f>VLOOKUP($U1211,[2]Standard_Opportunity!$Q$1:$T$542,2,FALSE)</f>
        <v>0.99999997777777772</v>
      </c>
      <c r="AM1211">
        <f>VLOOKUP($U1211,[2]Standard_Opportunity!$Q$1:$T$542,3,FALSE)</f>
        <v>2.2222222284540294E-8</v>
      </c>
      <c r="AN1211">
        <f>VLOOKUP($U1211,[2]Standard_Opportunity!$Q$1:$T$542,4,FALSE)</f>
        <v>0</v>
      </c>
      <c r="AO1211" s="77">
        <f t="shared" si="3986"/>
        <v>1</v>
      </c>
      <c r="AP1211" s="77">
        <f t="shared" si="3996"/>
        <v>6.4624999704999977E-2</v>
      </c>
      <c r="AQ1211" s="77">
        <f t="shared" si="3987"/>
        <v>5.2321923767311151E-3</v>
      </c>
      <c r="AR1211" s="79">
        <v>0</v>
      </c>
      <c r="AS1211" s="77">
        <f t="shared" si="3997"/>
        <v>0</v>
      </c>
      <c r="AT1211" s="77">
        <f t="shared" si="3998"/>
        <v>0</v>
      </c>
      <c r="AU1211" s="77">
        <f t="shared" si="3999"/>
        <v>2.5000000000000001E-3</v>
      </c>
      <c r="AV1211" s="77">
        <f t="shared" si="4000"/>
        <v>2.0809499864316017E-4</v>
      </c>
    </row>
    <row r="1212" spans="1:48">
      <c r="A1212" t="s">
        <v>175</v>
      </c>
      <c r="B1212" t="s">
        <v>180</v>
      </c>
      <c r="C1212" s="197" t="str">
        <f t="shared" si="4021"/>
        <v>Lifecycle_Opportunity_417</v>
      </c>
      <c r="D1212">
        <v>417</v>
      </c>
      <c r="E1212">
        <f>VLOOKUP($D1212,'[2]LC Opportunity'!$Q$2:$U$542,2,FALSE)</f>
        <v>0</v>
      </c>
      <c r="F1212">
        <f>VLOOKUP($D1212,'[2]LC Opportunity'!$Q$2:$U$542,3,FALSE)</f>
        <v>0</v>
      </c>
      <c r="G1212">
        <f>VLOOKUP($D1212,'[2]LC Opportunity'!$Q$2:$U$542,4,FALSE)</f>
        <v>0</v>
      </c>
      <c r="H1212">
        <f>VLOOKUP($D1212,'[2]LC Opportunity'!$Q$2:$U$542,5,FALSE)</f>
        <v>0.99999999999999989</v>
      </c>
      <c r="I1212" s="77">
        <f t="shared" si="3981"/>
        <v>0.99999999999999989</v>
      </c>
      <c r="J1212" s="77">
        <f t="shared" si="3982"/>
        <v>7.1999999999999981E-2</v>
      </c>
      <c r="K1212" s="77">
        <f t="shared" si="4026"/>
        <v>5.8106552987937654E-3</v>
      </c>
      <c r="L1212" s="76">
        <v>0</v>
      </c>
      <c r="M1212" s="77">
        <f t="shared" si="3988"/>
        <v>0</v>
      </c>
      <c r="N1212" s="77">
        <f t="shared" si="3989"/>
        <v>0</v>
      </c>
      <c r="O1212" s="77">
        <f t="shared" si="3990"/>
        <v>4.9999999999999992E-3</v>
      </c>
      <c r="P1212" s="77">
        <f t="shared" si="3991"/>
        <v>4.1762458919303302E-4</v>
      </c>
      <c r="R1212" t="s">
        <v>177</v>
      </c>
      <c r="S1212" t="s">
        <v>180</v>
      </c>
      <c r="T1212" s="197" t="str">
        <f t="shared" si="4022"/>
        <v>Autopilot_Opportunity_417</v>
      </c>
      <c r="U1212">
        <v>417</v>
      </c>
      <c r="V1212">
        <f>VLOOKUP($U1212,'[2]AP Opportunity'!$Q$1:$T$542,2,FALSE)</f>
        <v>0.99999997777777772</v>
      </c>
      <c r="W1212">
        <f>VLOOKUP($U1212,'[2]AP Opportunity'!$Q$1:$T$542,3,FALSE)</f>
        <v>2.2222222284540294E-8</v>
      </c>
      <c r="X1212">
        <f>VLOOKUP($U1212,'[2]AP Opportunity'!$Q$1:$T$542,4,FALSE)</f>
        <v>0</v>
      </c>
      <c r="Y1212" s="77">
        <f t="shared" si="4023"/>
        <v>1</v>
      </c>
      <c r="Z1212" s="77">
        <f t="shared" si="4027"/>
        <v>6.4624999704999977E-2</v>
      </c>
      <c r="AA1212" s="77">
        <f t="shared" si="4028"/>
        <v>5.2321923767311151E-3</v>
      </c>
      <c r="AB1212" s="79">
        <v>1</v>
      </c>
      <c r="AC1212" s="77">
        <f t="shared" si="3992"/>
        <v>8.499999955555556E-3</v>
      </c>
      <c r="AD1212" s="77">
        <f t="shared" ref="AD1212" si="4121">1-(1-AC1212)^(1/12)</f>
        <v>7.1110795759765644E-4</v>
      </c>
      <c r="AE1212" s="77">
        <f t="shared" si="3994"/>
        <v>2.5000000000000001E-3</v>
      </c>
      <c r="AF1212" s="77">
        <f t="shared" ref="AF1212" si="4122">1-(1-AE1212)^(1/12)</f>
        <v>2.0857243058891584E-4</v>
      </c>
      <c r="AH1212" t="s">
        <v>175</v>
      </c>
      <c r="AI1212" t="s">
        <v>180</v>
      </c>
      <c r="AJ1212" s="197" t="str">
        <f t="shared" si="3985"/>
        <v>Lifecycle_Opportunity_417</v>
      </c>
      <c r="AK1212">
        <v>417</v>
      </c>
      <c r="AL1212">
        <f>VLOOKUP($U1212,[2]Standard_Opportunity!$Q$1:$T$542,2,FALSE)</f>
        <v>0.99999997777777772</v>
      </c>
      <c r="AM1212">
        <f>VLOOKUP($U1212,[2]Standard_Opportunity!$Q$1:$T$542,3,FALSE)</f>
        <v>2.2222222284540294E-8</v>
      </c>
      <c r="AN1212">
        <f>VLOOKUP($U1212,[2]Standard_Opportunity!$Q$1:$T$542,4,FALSE)</f>
        <v>0</v>
      </c>
      <c r="AO1212" s="77">
        <f t="shared" si="3986"/>
        <v>1</v>
      </c>
      <c r="AP1212" s="77">
        <f t="shared" si="3996"/>
        <v>6.4624999704999977E-2</v>
      </c>
      <c r="AQ1212" s="77">
        <f t="shared" si="3987"/>
        <v>5.2321923767311151E-3</v>
      </c>
      <c r="AR1212" s="79">
        <v>0</v>
      </c>
      <c r="AS1212" s="77">
        <f t="shared" si="3997"/>
        <v>0</v>
      </c>
      <c r="AT1212" s="77">
        <f t="shared" si="3998"/>
        <v>0</v>
      </c>
      <c r="AU1212" s="77">
        <f t="shared" si="3999"/>
        <v>2.5000000000000001E-3</v>
      </c>
      <c r="AV1212" s="77">
        <f t="shared" si="4000"/>
        <v>2.0809499864316017E-4</v>
      </c>
    </row>
    <row r="1213" spans="1:48">
      <c r="A1213" t="s">
        <v>175</v>
      </c>
      <c r="B1213" t="s">
        <v>180</v>
      </c>
      <c r="C1213" s="197" t="str">
        <f t="shared" si="4021"/>
        <v>Lifecycle_Opportunity_416</v>
      </c>
      <c r="D1213">
        <v>416</v>
      </c>
      <c r="E1213">
        <f>VLOOKUP($D1213,'[2]LC Opportunity'!$Q$2:$U$542,2,FALSE)</f>
        <v>0</v>
      </c>
      <c r="F1213">
        <f>VLOOKUP($D1213,'[2]LC Opportunity'!$Q$2:$U$542,3,FALSE)</f>
        <v>0</v>
      </c>
      <c r="G1213">
        <f>VLOOKUP($D1213,'[2]LC Opportunity'!$Q$2:$U$542,4,FALSE)</f>
        <v>0</v>
      </c>
      <c r="H1213">
        <f>VLOOKUP($D1213,'[2]LC Opportunity'!$Q$2:$U$542,5,FALSE)</f>
        <v>0.99999999999999989</v>
      </c>
      <c r="I1213" s="77">
        <f t="shared" si="3981"/>
        <v>0.99999999999999989</v>
      </c>
      <c r="J1213" s="77">
        <f t="shared" si="3982"/>
        <v>7.1999999999999981E-2</v>
      </c>
      <c r="K1213" s="77">
        <f t="shared" si="4026"/>
        <v>5.8106552987937654E-3</v>
      </c>
      <c r="L1213" s="76">
        <v>0</v>
      </c>
      <c r="M1213" s="77">
        <f t="shared" si="3988"/>
        <v>0</v>
      </c>
      <c r="N1213" s="77">
        <f t="shared" si="3989"/>
        <v>0</v>
      </c>
      <c r="O1213" s="77">
        <f t="shared" si="3990"/>
        <v>4.9999999999999992E-3</v>
      </c>
      <c r="P1213" s="77">
        <f t="shared" si="3991"/>
        <v>4.1762458919303302E-4</v>
      </c>
      <c r="R1213" t="s">
        <v>177</v>
      </c>
      <c r="S1213" t="s">
        <v>180</v>
      </c>
      <c r="T1213" s="197" t="str">
        <f t="shared" si="4022"/>
        <v>Autopilot_Opportunity_416</v>
      </c>
      <c r="U1213">
        <v>416</v>
      </c>
      <c r="V1213">
        <f>VLOOKUP($U1213,'[2]AP Opportunity'!$Q$1:$T$542,2,FALSE)</f>
        <v>0.99999997777777772</v>
      </c>
      <c r="W1213">
        <f>VLOOKUP($U1213,'[2]AP Opportunity'!$Q$1:$T$542,3,FALSE)</f>
        <v>2.2222222284540294E-8</v>
      </c>
      <c r="X1213">
        <f>VLOOKUP($U1213,'[2]AP Opportunity'!$Q$1:$T$542,4,FALSE)</f>
        <v>0</v>
      </c>
      <c r="Y1213" s="77">
        <f t="shared" si="4023"/>
        <v>1</v>
      </c>
      <c r="Z1213" s="77">
        <f t="shared" si="4027"/>
        <v>6.4624999704999977E-2</v>
      </c>
      <c r="AA1213" s="77">
        <f t="shared" si="4028"/>
        <v>5.2321923767311151E-3</v>
      </c>
      <c r="AB1213" s="79">
        <v>1</v>
      </c>
      <c r="AC1213" s="77">
        <f t="shared" si="3992"/>
        <v>8.499999955555556E-3</v>
      </c>
      <c r="AD1213" s="77">
        <f t="shared" ref="AD1213" si="4123">1-(1-AC1213)^(1/12)</f>
        <v>7.1110795759765644E-4</v>
      </c>
      <c r="AE1213" s="77">
        <f t="shared" si="3994"/>
        <v>2.5000000000000001E-3</v>
      </c>
      <c r="AF1213" s="77">
        <f t="shared" ref="AF1213" si="4124">1-(1-AE1213)^(1/12)</f>
        <v>2.0857243058891584E-4</v>
      </c>
      <c r="AH1213" t="s">
        <v>175</v>
      </c>
      <c r="AI1213" t="s">
        <v>180</v>
      </c>
      <c r="AJ1213" s="197" t="str">
        <f t="shared" si="3985"/>
        <v>Lifecycle_Opportunity_416</v>
      </c>
      <c r="AK1213">
        <v>416</v>
      </c>
      <c r="AL1213">
        <f>VLOOKUP($U1213,[2]Standard_Opportunity!$Q$1:$T$542,2,FALSE)</f>
        <v>0.99999997777777772</v>
      </c>
      <c r="AM1213">
        <f>VLOOKUP($U1213,[2]Standard_Opportunity!$Q$1:$T$542,3,FALSE)</f>
        <v>2.2222222284540294E-8</v>
      </c>
      <c r="AN1213">
        <f>VLOOKUP($U1213,[2]Standard_Opportunity!$Q$1:$T$542,4,FALSE)</f>
        <v>0</v>
      </c>
      <c r="AO1213" s="77">
        <f t="shared" si="3986"/>
        <v>1</v>
      </c>
      <c r="AP1213" s="77">
        <f t="shared" si="3996"/>
        <v>6.4624999704999977E-2</v>
      </c>
      <c r="AQ1213" s="77">
        <f t="shared" si="3987"/>
        <v>5.2321923767311151E-3</v>
      </c>
      <c r="AR1213" s="79">
        <v>0</v>
      </c>
      <c r="AS1213" s="77">
        <f t="shared" si="3997"/>
        <v>0</v>
      </c>
      <c r="AT1213" s="77">
        <f t="shared" si="3998"/>
        <v>0</v>
      </c>
      <c r="AU1213" s="77">
        <f t="shared" si="3999"/>
        <v>2.5000000000000001E-3</v>
      </c>
      <c r="AV1213" s="77">
        <f t="shared" si="4000"/>
        <v>2.0809499864316017E-4</v>
      </c>
    </row>
    <row r="1214" spans="1:48">
      <c r="A1214" t="s">
        <v>175</v>
      </c>
      <c r="B1214" t="s">
        <v>180</v>
      </c>
      <c r="C1214" s="197" t="str">
        <f t="shared" si="4021"/>
        <v>Lifecycle_Opportunity_415</v>
      </c>
      <c r="D1214">
        <v>415</v>
      </c>
      <c r="E1214">
        <f>VLOOKUP($D1214,'[2]LC Opportunity'!$Q$2:$U$542,2,FALSE)</f>
        <v>0</v>
      </c>
      <c r="F1214">
        <f>VLOOKUP($D1214,'[2]LC Opportunity'!$Q$2:$U$542,3,FALSE)</f>
        <v>0</v>
      </c>
      <c r="G1214">
        <f>VLOOKUP($D1214,'[2]LC Opportunity'!$Q$2:$U$542,4,FALSE)</f>
        <v>0</v>
      </c>
      <c r="H1214">
        <f>VLOOKUP($D1214,'[2]LC Opportunity'!$Q$2:$U$542,5,FALSE)</f>
        <v>0.99999999999999989</v>
      </c>
      <c r="I1214" s="77">
        <f t="shared" si="3981"/>
        <v>0.99999999999999989</v>
      </c>
      <c r="J1214" s="77">
        <f t="shared" si="3982"/>
        <v>7.1999999999999981E-2</v>
      </c>
      <c r="K1214" s="77">
        <f t="shared" si="4026"/>
        <v>5.8106552987937654E-3</v>
      </c>
      <c r="L1214" s="76">
        <v>0</v>
      </c>
      <c r="M1214" s="77">
        <f t="shared" si="3988"/>
        <v>0</v>
      </c>
      <c r="N1214" s="77">
        <f t="shared" si="3989"/>
        <v>0</v>
      </c>
      <c r="O1214" s="77">
        <f t="shared" si="3990"/>
        <v>4.9999999999999992E-3</v>
      </c>
      <c r="P1214" s="77">
        <f t="shared" si="3991"/>
        <v>4.1762458919303302E-4</v>
      </c>
      <c r="R1214" t="s">
        <v>177</v>
      </c>
      <c r="S1214" t="s">
        <v>180</v>
      </c>
      <c r="T1214" s="197" t="str">
        <f t="shared" si="4022"/>
        <v>Autopilot_Opportunity_415</v>
      </c>
      <c r="U1214">
        <v>415</v>
      </c>
      <c r="V1214">
        <f>VLOOKUP($U1214,'[2]AP Opportunity'!$Q$1:$T$542,2,FALSE)</f>
        <v>0.99999997777777772</v>
      </c>
      <c r="W1214">
        <f>VLOOKUP($U1214,'[2]AP Opportunity'!$Q$1:$T$542,3,FALSE)</f>
        <v>2.2222222284540294E-8</v>
      </c>
      <c r="X1214">
        <f>VLOOKUP($U1214,'[2]AP Opportunity'!$Q$1:$T$542,4,FALSE)</f>
        <v>0</v>
      </c>
      <c r="Y1214" s="77">
        <f t="shared" si="4023"/>
        <v>1</v>
      </c>
      <c r="Z1214" s="77">
        <f t="shared" si="4027"/>
        <v>6.4624999704999977E-2</v>
      </c>
      <c r="AA1214" s="77">
        <f t="shared" si="4028"/>
        <v>5.2321923767311151E-3</v>
      </c>
      <c r="AB1214" s="79">
        <v>1</v>
      </c>
      <c r="AC1214" s="77">
        <f t="shared" si="3992"/>
        <v>8.499999955555556E-3</v>
      </c>
      <c r="AD1214" s="77">
        <f t="shared" ref="AD1214" si="4125">1-(1-AC1214)^(1/12)</f>
        <v>7.1110795759765644E-4</v>
      </c>
      <c r="AE1214" s="77">
        <f t="shared" si="3994"/>
        <v>2.5000000000000001E-3</v>
      </c>
      <c r="AF1214" s="77">
        <f t="shared" ref="AF1214" si="4126">1-(1-AE1214)^(1/12)</f>
        <v>2.0857243058891584E-4</v>
      </c>
      <c r="AH1214" t="s">
        <v>175</v>
      </c>
      <c r="AI1214" t="s">
        <v>180</v>
      </c>
      <c r="AJ1214" s="197" t="str">
        <f t="shared" si="3985"/>
        <v>Lifecycle_Opportunity_415</v>
      </c>
      <c r="AK1214">
        <v>415</v>
      </c>
      <c r="AL1214">
        <f>VLOOKUP($U1214,[2]Standard_Opportunity!$Q$1:$T$542,2,FALSE)</f>
        <v>0.99999997777777772</v>
      </c>
      <c r="AM1214">
        <f>VLOOKUP($U1214,[2]Standard_Opportunity!$Q$1:$T$542,3,FALSE)</f>
        <v>2.2222222284540294E-8</v>
      </c>
      <c r="AN1214">
        <f>VLOOKUP($U1214,[2]Standard_Opportunity!$Q$1:$T$542,4,FALSE)</f>
        <v>0</v>
      </c>
      <c r="AO1214" s="77">
        <f t="shared" si="3986"/>
        <v>1</v>
      </c>
      <c r="AP1214" s="77">
        <f t="shared" si="3996"/>
        <v>6.4624999704999977E-2</v>
      </c>
      <c r="AQ1214" s="77">
        <f t="shared" si="3987"/>
        <v>5.2321923767311151E-3</v>
      </c>
      <c r="AR1214" s="79">
        <v>0</v>
      </c>
      <c r="AS1214" s="77">
        <f t="shared" si="3997"/>
        <v>0</v>
      </c>
      <c r="AT1214" s="77">
        <f t="shared" si="3998"/>
        <v>0</v>
      </c>
      <c r="AU1214" s="77">
        <f t="shared" si="3999"/>
        <v>2.5000000000000001E-3</v>
      </c>
      <c r="AV1214" s="77">
        <f t="shared" si="4000"/>
        <v>2.0809499864316017E-4</v>
      </c>
    </row>
    <row r="1215" spans="1:48">
      <c r="A1215" t="s">
        <v>175</v>
      </c>
      <c r="B1215" t="s">
        <v>180</v>
      </c>
      <c r="C1215" s="197" t="str">
        <f t="shared" si="4021"/>
        <v>Lifecycle_Opportunity_414</v>
      </c>
      <c r="D1215">
        <v>414</v>
      </c>
      <c r="E1215">
        <f>VLOOKUP($D1215,'[2]LC Opportunity'!$Q$2:$U$542,2,FALSE)</f>
        <v>0</v>
      </c>
      <c r="F1215">
        <f>VLOOKUP($D1215,'[2]LC Opportunity'!$Q$2:$U$542,3,FALSE)</f>
        <v>0</v>
      </c>
      <c r="G1215">
        <f>VLOOKUP($D1215,'[2]LC Opportunity'!$Q$2:$U$542,4,FALSE)</f>
        <v>0</v>
      </c>
      <c r="H1215">
        <f>VLOOKUP($D1215,'[2]LC Opportunity'!$Q$2:$U$542,5,FALSE)</f>
        <v>0.99999999999999989</v>
      </c>
      <c r="I1215" s="77">
        <f t="shared" si="3981"/>
        <v>0.99999999999999989</v>
      </c>
      <c r="J1215" s="77">
        <f t="shared" si="3982"/>
        <v>7.1999999999999981E-2</v>
      </c>
      <c r="K1215" s="77">
        <f t="shared" si="4026"/>
        <v>5.8106552987937654E-3</v>
      </c>
      <c r="L1215" s="76">
        <v>0</v>
      </c>
      <c r="M1215" s="77">
        <f t="shared" si="3988"/>
        <v>0</v>
      </c>
      <c r="N1215" s="77">
        <f t="shared" si="3989"/>
        <v>0</v>
      </c>
      <c r="O1215" s="77">
        <f t="shared" si="3990"/>
        <v>4.9999999999999992E-3</v>
      </c>
      <c r="P1215" s="77">
        <f t="shared" si="3991"/>
        <v>4.1762458919303302E-4</v>
      </c>
      <c r="R1215" t="s">
        <v>177</v>
      </c>
      <c r="S1215" t="s">
        <v>180</v>
      </c>
      <c r="T1215" s="197" t="str">
        <f t="shared" si="4022"/>
        <v>Autopilot_Opportunity_414</v>
      </c>
      <c r="U1215">
        <v>414</v>
      </c>
      <c r="V1215">
        <f>VLOOKUP($U1215,'[2]AP Opportunity'!$Q$1:$T$542,2,FALSE)</f>
        <v>0.99999997777777772</v>
      </c>
      <c r="W1215">
        <f>VLOOKUP($U1215,'[2]AP Opportunity'!$Q$1:$T$542,3,FALSE)</f>
        <v>2.2222222284540294E-8</v>
      </c>
      <c r="X1215">
        <f>VLOOKUP($U1215,'[2]AP Opportunity'!$Q$1:$T$542,4,FALSE)</f>
        <v>0</v>
      </c>
      <c r="Y1215" s="77">
        <f t="shared" si="4023"/>
        <v>1</v>
      </c>
      <c r="Z1215" s="77">
        <f t="shared" si="4027"/>
        <v>6.4624999704999977E-2</v>
      </c>
      <c r="AA1215" s="77">
        <f t="shared" si="4028"/>
        <v>5.2321923767311151E-3</v>
      </c>
      <c r="AB1215" s="79">
        <v>1</v>
      </c>
      <c r="AC1215" s="77">
        <f t="shared" si="3992"/>
        <v>8.499999955555556E-3</v>
      </c>
      <c r="AD1215" s="77">
        <f t="shared" ref="AD1215" si="4127">1-(1-AC1215)^(1/12)</f>
        <v>7.1110795759765644E-4</v>
      </c>
      <c r="AE1215" s="77">
        <f t="shared" si="3994"/>
        <v>2.5000000000000001E-3</v>
      </c>
      <c r="AF1215" s="77">
        <f t="shared" ref="AF1215" si="4128">1-(1-AE1215)^(1/12)</f>
        <v>2.0857243058891584E-4</v>
      </c>
      <c r="AH1215" t="s">
        <v>175</v>
      </c>
      <c r="AI1215" t="s">
        <v>180</v>
      </c>
      <c r="AJ1215" s="197" t="str">
        <f t="shared" si="3985"/>
        <v>Lifecycle_Opportunity_414</v>
      </c>
      <c r="AK1215">
        <v>414</v>
      </c>
      <c r="AL1215">
        <f>VLOOKUP($U1215,[2]Standard_Opportunity!$Q$1:$T$542,2,FALSE)</f>
        <v>0.99999997777777772</v>
      </c>
      <c r="AM1215">
        <f>VLOOKUP($U1215,[2]Standard_Opportunity!$Q$1:$T$542,3,FALSE)</f>
        <v>2.2222222284540294E-8</v>
      </c>
      <c r="AN1215">
        <f>VLOOKUP($U1215,[2]Standard_Opportunity!$Q$1:$T$542,4,FALSE)</f>
        <v>0</v>
      </c>
      <c r="AO1215" s="77">
        <f t="shared" si="3986"/>
        <v>1</v>
      </c>
      <c r="AP1215" s="77">
        <f t="shared" si="3996"/>
        <v>6.4624999704999977E-2</v>
      </c>
      <c r="AQ1215" s="77">
        <f t="shared" si="3987"/>
        <v>5.2321923767311151E-3</v>
      </c>
      <c r="AR1215" s="79">
        <v>0</v>
      </c>
      <c r="AS1215" s="77">
        <f t="shared" si="3997"/>
        <v>0</v>
      </c>
      <c r="AT1215" s="77">
        <f t="shared" si="3998"/>
        <v>0</v>
      </c>
      <c r="AU1215" s="77">
        <f t="shared" si="3999"/>
        <v>2.5000000000000001E-3</v>
      </c>
      <c r="AV1215" s="77">
        <f t="shared" si="4000"/>
        <v>2.0809499864316017E-4</v>
      </c>
    </row>
    <row r="1216" spans="1:48">
      <c r="A1216" t="s">
        <v>175</v>
      </c>
      <c r="B1216" t="s">
        <v>180</v>
      </c>
      <c r="C1216" s="197" t="str">
        <f t="shared" si="4021"/>
        <v>Lifecycle_Opportunity_413</v>
      </c>
      <c r="D1216">
        <v>413</v>
      </c>
      <c r="E1216">
        <f>VLOOKUP($D1216,'[2]LC Opportunity'!$Q$2:$U$542,2,FALSE)</f>
        <v>0</v>
      </c>
      <c r="F1216">
        <f>VLOOKUP($D1216,'[2]LC Opportunity'!$Q$2:$U$542,3,FALSE)</f>
        <v>0</v>
      </c>
      <c r="G1216">
        <f>VLOOKUP($D1216,'[2]LC Opportunity'!$Q$2:$U$542,4,FALSE)</f>
        <v>0</v>
      </c>
      <c r="H1216">
        <f>VLOOKUP($D1216,'[2]LC Opportunity'!$Q$2:$U$542,5,FALSE)</f>
        <v>0.99999999999999989</v>
      </c>
      <c r="I1216" s="77">
        <f t="shared" si="3981"/>
        <v>0.99999999999999989</v>
      </c>
      <c r="J1216" s="77">
        <f t="shared" si="3982"/>
        <v>7.1999999999999981E-2</v>
      </c>
      <c r="K1216" s="77">
        <f t="shared" si="4026"/>
        <v>5.8106552987937654E-3</v>
      </c>
      <c r="L1216" s="76">
        <v>0</v>
      </c>
      <c r="M1216" s="77">
        <f t="shared" si="3988"/>
        <v>0</v>
      </c>
      <c r="N1216" s="77">
        <f t="shared" si="3989"/>
        <v>0</v>
      </c>
      <c r="O1216" s="77">
        <f t="shared" si="3990"/>
        <v>4.9999999999999992E-3</v>
      </c>
      <c r="P1216" s="77">
        <f t="shared" si="3991"/>
        <v>4.1762458919303302E-4</v>
      </c>
      <c r="R1216" t="s">
        <v>177</v>
      </c>
      <c r="S1216" t="s">
        <v>180</v>
      </c>
      <c r="T1216" s="197" t="str">
        <f t="shared" si="4022"/>
        <v>Autopilot_Opportunity_413</v>
      </c>
      <c r="U1216">
        <v>413</v>
      </c>
      <c r="V1216">
        <f>VLOOKUP($U1216,'[2]AP Opportunity'!$Q$1:$T$542,2,FALSE)</f>
        <v>0.99999997777777772</v>
      </c>
      <c r="W1216">
        <f>VLOOKUP($U1216,'[2]AP Opportunity'!$Q$1:$T$542,3,FALSE)</f>
        <v>2.2222222284540294E-8</v>
      </c>
      <c r="X1216">
        <f>VLOOKUP($U1216,'[2]AP Opportunity'!$Q$1:$T$542,4,FALSE)</f>
        <v>0</v>
      </c>
      <c r="Y1216" s="77">
        <f t="shared" si="4023"/>
        <v>1</v>
      </c>
      <c r="Z1216" s="77">
        <f t="shared" si="4027"/>
        <v>6.4624999704999977E-2</v>
      </c>
      <c r="AA1216" s="77">
        <f t="shared" si="4028"/>
        <v>5.2321923767311151E-3</v>
      </c>
      <c r="AB1216" s="79">
        <v>1</v>
      </c>
      <c r="AC1216" s="77">
        <f t="shared" si="3992"/>
        <v>8.499999955555556E-3</v>
      </c>
      <c r="AD1216" s="77">
        <f t="shared" ref="AD1216" si="4129">1-(1-AC1216)^(1/12)</f>
        <v>7.1110795759765644E-4</v>
      </c>
      <c r="AE1216" s="77">
        <f t="shared" si="3994"/>
        <v>2.5000000000000001E-3</v>
      </c>
      <c r="AF1216" s="77">
        <f t="shared" ref="AF1216" si="4130">1-(1-AE1216)^(1/12)</f>
        <v>2.0857243058891584E-4</v>
      </c>
      <c r="AH1216" t="s">
        <v>175</v>
      </c>
      <c r="AI1216" t="s">
        <v>180</v>
      </c>
      <c r="AJ1216" s="197" t="str">
        <f t="shared" si="3985"/>
        <v>Lifecycle_Opportunity_413</v>
      </c>
      <c r="AK1216">
        <v>413</v>
      </c>
      <c r="AL1216">
        <f>VLOOKUP($U1216,[2]Standard_Opportunity!$Q$1:$T$542,2,FALSE)</f>
        <v>0.99999997777777772</v>
      </c>
      <c r="AM1216">
        <f>VLOOKUP($U1216,[2]Standard_Opportunity!$Q$1:$T$542,3,FALSE)</f>
        <v>2.2222222284540294E-8</v>
      </c>
      <c r="AN1216">
        <f>VLOOKUP($U1216,[2]Standard_Opportunity!$Q$1:$T$542,4,FALSE)</f>
        <v>0</v>
      </c>
      <c r="AO1216" s="77">
        <f t="shared" si="3986"/>
        <v>1</v>
      </c>
      <c r="AP1216" s="77">
        <f t="shared" si="3996"/>
        <v>6.4624999704999977E-2</v>
      </c>
      <c r="AQ1216" s="77">
        <f t="shared" si="3987"/>
        <v>5.2321923767311151E-3</v>
      </c>
      <c r="AR1216" s="79">
        <v>0</v>
      </c>
      <c r="AS1216" s="77">
        <f t="shared" si="3997"/>
        <v>0</v>
      </c>
      <c r="AT1216" s="77">
        <f t="shared" si="3998"/>
        <v>0</v>
      </c>
      <c r="AU1216" s="77">
        <f t="shared" si="3999"/>
        <v>2.5000000000000001E-3</v>
      </c>
      <c r="AV1216" s="77">
        <f t="shared" si="4000"/>
        <v>2.0809499864316017E-4</v>
      </c>
    </row>
    <row r="1217" spans="1:48">
      <c r="A1217" t="s">
        <v>175</v>
      </c>
      <c r="B1217" t="s">
        <v>180</v>
      </c>
      <c r="C1217" s="197" t="str">
        <f t="shared" si="4021"/>
        <v>Lifecycle_Opportunity_412</v>
      </c>
      <c r="D1217">
        <v>412</v>
      </c>
      <c r="E1217">
        <f>VLOOKUP($D1217,'[2]LC Opportunity'!$Q$2:$U$542,2,FALSE)</f>
        <v>0</v>
      </c>
      <c r="F1217">
        <f>VLOOKUP($D1217,'[2]LC Opportunity'!$Q$2:$U$542,3,FALSE)</f>
        <v>0</v>
      </c>
      <c r="G1217">
        <f>VLOOKUP($D1217,'[2]LC Opportunity'!$Q$2:$U$542,4,FALSE)</f>
        <v>0</v>
      </c>
      <c r="H1217">
        <f>VLOOKUP($D1217,'[2]LC Opportunity'!$Q$2:$U$542,5,FALSE)</f>
        <v>0.99999999999999989</v>
      </c>
      <c r="I1217" s="77">
        <f t="shared" ref="I1217:I1280" si="4131">SUM(E1217:H1217)</f>
        <v>0.99999999999999989</v>
      </c>
      <c r="J1217" s="77">
        <f t="shared" ref="J1217:J1280" si="4132">SUMPRODUCT($E$1:$H$1,E1217:H1217)</f>
        <v>7.1999999999999981E-2</v>
      </c>
      <c r="K1217" s="77">
        <f t="shared" si="4026"/>
        <v>5.8106552987937654E-3</v>
      </c>
      <c r="L1217" s="76">
        <v>0</v>
      </c>
      <c r="M1217" s="77">
        <f t="shared" si="3988"/>
        <v>0</v>
      </c>
      <c r="N1217" s="77">
        <f t="shared" si="3989"/>
        <v>0</v>
      </c>
      <c r="O1217" s="77">
        <f t="shared" si="3990"/>
        <v>4.9999999999999992E-3</v>
      </c>
      <c r="P1217" s="77">
        <f t="shared" si="3991"/>
        <v>4.1762458919303302E-4</v>
      </c>
      <c r="R1217" t="s">
        <v>177</v>
      </c>
      <c r="S1217" t="s">
        <v>180</v>
      </c>
      <c r="T1217" s="197" t="str">
        <f t="shared" si="4022"/>
        <v>Autopilot_Opportunity_412</v>
      </c>
      <c r="U1217">
        <v>412</v>
      </c>
      <c r="V1217">
        <f>VLOOKUP($U1217,'[2]AP Opportunity'!$Q$1:$T$542,2,FALSE)</f>
        <v>0.99999997777777772</v>
      </c>
      <c r="W1217">
        <f>VLOOKUP($U1217,'[2]AP Opportunity'!$Q$1:$T$542,3,FALSE)</f>
        <v>2.2222222284540294E-8</v>
      </c>
      <c r="X1217">
        <f>VLOOKUP($U1217,'[2]AP Opportunity'!$Q$1:$T$542,4,FALSE)</f>
        <v>0</v>
      </c>
      <c r="Y1217" s="77">
        <f t="shared" si="4023"/>
        <v>1</v>
      </c>
      <c r="Z1217" s="77">
        <f t="shared" si="4027"/>
        <v>6.4624999704999977E-2</v>
      </c>
      <c r="AA1217" s="77">
        <f t="shared" si="4028"/>
        <v>5.2321923767311151E-3</v>
      </c>
      <c r="AB1217" s="79">
        <v>1</v>
      </c>
      <c r="AC1217" s="77">
        <f t="shared" si="3992"/>
        <v>8.499999955555556E-3</v>
      </c>
      <c r="AD1217" s="77">
        <f t="shared" ref="AD1217" si="4133">1-(1-AC1217)^(1/12)</f>
        <v>7.1110795759765644E-4</v>
      </c>
      <c r="AE1217" s="77">
        <f t="shared" si="3994"/>
        <v>2.5000000000000001E-3</v>
      </c>
      <c r="AF1217" s="77">
        <f t="shared" ref="AF1217" si="4134">1-(1-AE1217)^(1/12)</f>
        <v>2.0857243058891584E-4</v>
      </c>
      <c r="AH1217" t="s">
        <v>175</v>
      </c>
      <c r="AI1217" t="s">
        <v>180</v>
      </c>
      <c r="AJ1217" s="197" t="str">
        <f t="shared" ref="AJ1217:AJ1280" si="4135">AH1217&amp;"_"&amp;AI1217&amp;"_"&amp;AK1217</f>
        <v>Lifecycle_Opportunity_412</v>
      </c>
      <c r="AK1217">
        <v>412</v>
      </c>
      <c r="AL1217">
        <f>VLOOKUP($U1217,[2]Standard_Opportunity!$Q$1:$T$542,2,FALSE)</f>
        <v>0.99999997777777772</v>
      </c>
      <c r="AM1217">
        <f>VLOOKUP($U1217,[2]Standard_Opportunity!$Q$1:$T$542,3,FALSE)</f>
        <v>2.2222222284540294E-8</v>
      </c>
      <c r="AN1217">
        <f>VLOOKUP($U1217,[2]Standard_Opportunity!$Q$1:$T$542,4,FALSE)</f>
        <v>0</v>
      </c>
      <c r="AO1217" s="77">
        <f t="shared" ref="AO1217:AO1280" si="4136">SUM(AL1217:AN1217)</f>
        <v>1</v>
      </c>
      <c r="AP1217" s="77">
        <f t="shared" si="3996"/>
        <v>6.4624999704999977E-2</v>
      </c>
      <c r="AQ1217" s="77">
        <f t="shared" ref="AQ1217:AQ1280" si="4137">(1+AP1217)^(1/12)-1</f>
        <v>5.2321923767311151E-3</v>
      </c>
      <c r="AR1217" s="79">
        <v>0</v>
      </c>
      <c r="AS1217" s="77">
        <f t="shared" si="3997"/>
        <v>0</v>
      </c>
      <c r="AT1217" s="77">
        <f t="shared" si="3998"/>
        <v>0</v>
      </c>
      <c r="AU1217" s="77">
        <f t="shared" si="3999"/>
        <v>2.5000000000000001E-3</v>
      </c>
      <c r="AV1217" s="77">
        <f t="shared" si="4000"/>
        <v>2.0809499864316017E-4</v>
      </c>
    </row>
    <row r="1218" spans="1:48">
      <c r="A1218" t="s">
        <v>175</v>
      </c>
      <c r="B1218" t="s">
        <v>180</v>
      </c>
      <c r="C1218" s="197" t="str">
        <f t="shared" si="4021"/>
        <v>Lifecycle_Opportunity_411</v>
      </c>
      <c r="D1218">
        <v>411</v>
      </c>
      <c r="E1218">
        <f>VLOOKUP($D1218,'[2]LC Opportunity'!$Q$2:$U$542,2,FALSE)</f>
        <v>0</v>
      </c>
      <c r="F1218">
        <f>VLOOKUP($D1218,'[2]LC Opportunity'!$Q$2:$U$542,3,FALSE)</f>
        <v>0</v>
      </c>
      <c r="G1218">
        <f>VLOOKUP($D1218,'[2]LC Opportunity'!$Q$2:$U$542,4,FALSE)</f>
        <v>0</v>
      </c>
      <c r="H1218">
        <f>VLOOKUP($D1218,'[2]LC Opportunity'!$Q$2:$U$542,5,FALSE)</f>
        <v>0.99999999999999989</v>
      </c>
      <c r="I1218" s="77">
        <f t="shared" si="4131"/>
        <v>0.99999999999999989</v>
      </c>
      <c r="J1218" s="77">
        <f t="shared" si="4132"/>
        <v>7.1999999999999981E-2</v>
      </c>
      <c r="K1218" s="77">
        <f t="shared" si="4026"/>
        <v>5.8106552987937654E-3</v>
      </c>
      <c r="L1218" s="76">
        <v>0</v>
      </c>
      <c r="M1218" s="77">
        <f t="shared" ref="M1218:M1281" si="4138">IF($L1218=0,0,SUMPRODUCT($E$3:$H$3,E1218:H1218))</f>
        <v>0</v>
      </c>
      <c r="N1218" s="77">
        <f t="shared" ref="N1218:N1281" si="4139">1-(1-M1218)^(1/12)</f>
        <v>0</v>
      </c>
      <c r="O1218" s="77">
        <f t="shared" ref="O1218:O1281" si="4140">SUMPRODUCT($E$2:$H$2,E1218:H1218)</f>
        <v>4.9999999999999992E-3</v>
      </c>
      <c r="P1218" s="77">
        <f t="shared" ref="P1218:P1281" si="4141">1-(1-O1218)^(1/12)</f>
        <v>4.1762458919303302E-4</v>
      </c>
      <c r="R1218" t="s">
        <v>177</v>
      </c>
      <c r="S1218" t="s">
        <v>180</v>
      </c>
      <c r="T1218" s="197" t="str">
        <f t="shared" si="4022"/>
        <v>Autopilot_Opportunity_411</v>
      </c>
      <c r="U1218">
        <v>411</v>
      </c>
      <c r="V1218">
        <f>VLOOKUP($U1218,'[2]AP Opportunity'!$Q$1:$T$542,2,FALSE)</f>
        <v>0.99999997777777772</v>
      </c>
      <c r="W1218">
        <f>VLOOKUP($U1218,'[2]AP Opportunity'!$Q$1:$T$542,3,FALSE)</f>
        <v>2.2222222284540294E-8</v>
      </c>
      <c r="X1218">
        <f>VLOOKUP($U1218,'[2]AP Opportunity'!$Q$1:$T$542,4,FALSE)</f>
        <v>0</v>
      </c>
      <c r="Y1218" s="77">
        <f t="shared" si="4023"/>
        <v>1</v>
      </c>
      <c r="Z1218" s="77">
        <f t="shared" si="4027"/>
        <v>6.4624999704999977E-2</v>
      </c>
      <c r="AA1218" s="77">
        <f t="shared" si="4028"/>
        <v>5.2321923767311151E-3</v>
      </c>
      <c r="AB1218" s="79">
        <v>1</v>
      </c>
      <c r="AC1218" s="77">
        <f t="shared" ref="AC1218:AC1281" si="4142">IF($AB1218=0,0,SUMPRODUCT($V$3:$X$3,V1218:X1218))</f>
        <v>8.499999955555556E-3</v>
      </c>
      <c r="AD1218" s="77">
        <f t="shared" ref="AD1218" si="4143">1-(1-AC1218)^(1/12)</f>
        <v>7.1110795759765644E-4</v>
      </c>
      <c r="AE1218" s="77">
        <f t="shared" ref="AE1218:AE1281" si="4144">SUMPRODUCT($V$2:$X$2,V1218:X1218)</f>
        <v>2.5000000000000001E-3</v>
      </c>
      <c r="AF1218" s="77">
        <f t="shared" ref="AF1218" si="4145">1-(1-AE1218)^(1/12)</f>
        <v>2.0857243058891584E-4</v>
      </c>
      <c r="AH1218" t="s">
        <v>175</v>
      </c>
      <c r="AI1218" t="s">
        <v>180</v>
      </c>
      <c r="AJ1218" s="197" t="str">
        <f t="shared" si="4135"/>
        <v>Lifecycle_Opportunity_411</v>
      </c>
      <c r="AK1218">
        <v>411</v>
      </c>
      <c r="AL1218">
        <f>VLOOKUP($U1218,[2]Standard_Opportunity!$Q$1:$T$542,2,FALSE)</f>
        <v>0.99999997777777772</v>
      </c>
      <c r="AM1218">
        <f>VLOOKUP($U1218,[2]Standard_Opportunity!$Q$1:$T$542,3,FALSE)</f>
        <v>2.2222222284540294E-8</v>
      </c>
      <c r="AN1218">
        <f>VLOOKUP($U1218,[2]Standard_Opportunity!$Q$1:$T$542,4,FALSE)</f>
        <v>0</v>
      </c>
      <c r="AO1218" s="77">
        <f t="shared" si="4136"/>
        <v>1</v>
      </c>
      <c r="AP1218" s="77">
        <f t="shared" ref="AP1218:AP1281" si="4146">SUMPRODUCT($AL$1:$AN$1,AL1218:AN1218)</f>
        <v>6.4624999704999977E-2</v>
      </c>
      <c r="AQ1218" s="77">
        <f t="shared" si="4137"/>
        <v>5.2321923767311151E-3</v>
      </c>
      <c r="AR1218" s="79">
        <v>0</v>
      </c>
      <c r="AS1218" s="77">
        <f t="shared" ref="AS1218:AS1281" si="4147">IF(AR1218=0,0,SUMPRODUCT($AL$3:$AN$3,AL1218:AN1218))</f>
        <v>0</v>
      </c>
      <c r="AT1218" s="77">
        <f t="shared" ref="AT1218:AT1281" si="4148">(1+AS1218)^(1/12)-1</f>
        <v>0</v>
      </c>
      <c r="AU1218" s="77">
        <f t="shared" ref="AU1218:AU1281" si="4149">SUMPRODUCT($AL$2:$AN$2,AL1218:AN1218)</f>
        <v>2.5000000000000001E-3</v>
      </c>
      <c r="AV1218" s="77">
        <f t="shared" ref="AV1218:AV1281" si="4150">(1+AU1218)^(1/12)-1</f>
        <v>2.0809499864316017E-4</v>
      </c>
    </row>
    <row r="1219" spans="1:48">
      <c r="A1219" t="s">
        <v>175</v>
      </c>
      <c r="B1219" t="s">
        <v>180</v>
      </c>
      <c r="C1219" s="197" t="str">
        <f t="shared" si="4021"/>
        <v>Lifecycle_Opportunity_410</v>
      </c>
      <c r="D1219">
        <v>410</v>
      </c>
      <c r="E1219">
        <f>VLOOKUP($D1219,'[2]LC Opportunity'!$Q$2:$U$542,2,FALSE)</f>
        <v>0</v>
      </c>
      <c r="F1219">
        <f>VLOOKUP($D1219,'[2]LC Opportunity'!$Q$2:$U$542,3,FALSE)</f>
        <v>0</v>
      </c>
      <c r="G1219">
        <f>VLOOKUP($D1219,'[2]LC Opportunity'!$Q$2:$U$542,4,FALSE)</f>
        <v>0</v>
      </c>
      <c r="H1219">
        <f>VLOOKUP($D1219,'[2]LC Opportunity'!$Q$2:$U$542,5,FALSE)</f>
        <v>0.99999999999999989</v>
      </c>
      <c r="I1219" s="77">
        <f t="shared" si="4131"/>
        <v>0.99999999999999989</v>
      </c>
      <c r="J1219" s="77">
        <f t="shared" si="4132"/>
        <v>7.1999999999999981E-2</v>
      </c>
      <c r="K1219" s="77">
        <f t="shared" si="4026"/>
        <v>5.8106552987937654E-3</v>
      </c>
      <c r="L1219" s="76">
        <v>0</v>
      </c>
      <c r="M1219" s="77">
        <f t="shared" si="4138"/>
        <v>0</v>
      </c>
      <c r="N1219" s="77">
        <f t="shared" si="4139"/>
        <v>0</v>
      </c>
      <c r="O1219" s="77">
        <f t="shared" si="4140"/>
        <v>4.9999999999999992E-3</v>
      </c>
      <c r="P1219" s="77">
        <f t="shared" si="4141"/>
        <v>4.1762458919303302E-4</v>
      </c>
      <c r="R1219" t="s">
        <v>177</v>
      </c>
      <c r="S1219" t="s">
        <v>180</v>
      </c>
      <c r="T1219" s="197" t="str">
        <f t="shared" si="4022"/>
        <v>Autopilot_Opportunity_410</v>
      </c>
      <c r="U1219">
        <v>410</v>
      </c>
      <c r="V1219">
        <f>VLOOKUP($U1219,'[2]AP Opportunity'!$Q$1:$T$542,2,FALSE)</f>
        <v>0.99999997777777772</v>
      </c>
      <c r="W1219">
        <f>VLOOKUP($U1219,'[2]AP Opportunity'!$Q$1:$T$542,3,FALSE)</f>
        <v>2.2222222284540294E-8</v>
      </c>
      <c r="X1219">
        <f>VLOOKUP($U1219,'[2]AP Opportunity'!$Q$1:$T$542,4,FALSE)</f>
        <v>0</v>
      </c>
      <c r="Y1219" s="77">
        <f t="shared" si="4023"/>
        <v>1</v>
      </c>
      <c r="Z1219" s="77">
        <f t="shared" si="4027"/>
        <v>6.4624999704999977E-2</v>
      </c>
      <c r="AA1219" s="77">
        <f t="shared" si="4028"/>
        <v>5.2321923767311151E-3</v>
      </c>
      <c r="AB1219" s="79">
        <v>1</v>
      </c>
      <c r="AC1219" s="77">
        <f t="shared" si="4142"/>
        <v>8.499999955555556E-3</v>
      </c>
      <c r="AD1219" s="77">
        <f t="shared" ref="AD1219" si="4151">1-(1-AC1219)^(1/12)</f>
        <v>7.1110795759765644E-4</v>
      </c>
      <c r="AE1219" s="77">
        <f t="shared" si="4144"/>
        <v>2.5000000000000001E-3</v>
      </c>
      <c r="AF1219" s="77">
        <f t="shared" ref="AF1219" si="4152">1-(1-AE1219)^(1/12)</f>
        <v>2.0857243058891584E-4</v>
      </c>
      <c r="AH1219" t="s">
        <v>175</v>
      </c>
      <c r="AI1219" t="s">
        <v>180</v>
      </c>
      <c r="AJ1219" s="197" t="str">
        <f t="shared" si="4135"/>
        <v>Lifecycle_Opportunity_410</v>
      </c>
      <c r="AK1219">
        <v>410</v>
      </c>
      <c r="AL1219">
        <f>VLOOKUP($U1219,[2]Standard_Opportunity!$Q$1:$T$542,2,FALSE)</f>
        <v>0.99999997777777772</v>
      </c>
      <c r="AM1219">
        <f>VLOOKUP($U1219,[2]Standard_Opportunity!$Q$1:$T$542,3,FALSE)</f>
        <v>2.2222222284540294E-8</v>
      </c>
      <c r="AN1219">
        <f>VLOOKUP($U1219,[2]Standard_Opportunity!$Q$1:$T$542,4,FALSE)</f>
        <v>0</v>
      </c>
      <c r="AO1219" s="77">
        <f t="shared" si="4136"/>
        <v>1</v>
      </c>
      <c r="AP1219" s="77">
        <f t="shared" si="4146"/>
        <v>6.4624999704999977E-2</v>
      </c>
      <c r="AQ1219" s="77">
        <f t="shared" si="4137"/>
        <v>5.2321923767311151E-3</v>
      </c>
      <c r="AR1219" s="79">
        <v>0</v>
      </c>
      <c r="AS1219" s="77">
        <f t="shared" si="4147"/>
        <v>0</v>
      </c>
      <c r="AT1219" s="77">
        <f t="shared" si="4148"/>
        <v>0</v>
      </c>
      <c r="AU1219" s="77">
        <f t="shared" si="4149"/>
        <v>2.5000000000000001E-3</v>
      </c>
      <c r="AV1219" s="77">
        <f t="shared" si="4150"/>
        <v>2.0809499864316017E-4</v>
      </c>
    </row>
    <row r="1220" spans="1:48">
      <c r="A1220" t="s">
        <v>175</v>
      </c>
      <c r="B1220" t="s">
        <v>180</v>
      </c>
      <c r="C1220" s="197" t="str">
        <f t="shared" si="4021"/>
        <v>Lifecycle_Opportunity_409</v>
      </c>
      <c r="D1220">
        <v>409</v>
      </c>
      <c r="E1220">
        <f>VLOOKUP($D1220,'[2]LC Opportunity'!$Q$2:$U$542,2,FALSE)</f>
        <v>0</v>
      </c>
      <c r="F1220">
        <f>VLOOKUP($D1220,'[2]LC Opportunity'!$Q$2:$U$542,3,FALSE)</f>
        <v>0</v>
      </c>
      <c r="G1220">
        <f>VLOOKUP($D1220,'[2]LC Opportunity'!$Q$2:$U$542,4,FALSE)</f>
        <v>0</v>
      </c>
      <c r="H1220">
        <f>VLOOKUP($D1220,'[2]LC Opportunity'!$Q$2:$U$542,5,FALSE)</f>
        <v>0.99999999999999989</v>
      </c>
      <c r="I1220" s="77">
        <f t="shared" si="4131"/>
        <v>0.99999999999999989</v>
      </c>
      <c r="J1220" s="77">
        <f t="shared" si="4132"/>
        <v>7.1999999999999981E-2</v>
      </c>
      <c r="K1220" s="77">
        <f t="shared" si="4026"/>
        <v>5.8106552987937654E-3</v>
      </c>
      <c r="L1220" s="76">
        <v>0</v>
      </c>
      <c r="M1220" s="77">
        <f t="shared" si="4138"/>
        <v>0</v>
      </c>
      <c r="N1220" s="77">
        <f t="shared" si="4139"/>
        <v>0</v>
      </c>
      <c r="O1220" s="77">
        <f t="shared" si="4140"/>
        <v>4.9999999999999992E-3</v>
      </c>
      <c r="P1220" s="77">
        <f t="shared" si="4141"/>
        <v>4.1762458919303302E-4</v>
      </c>
      <c r="R1220" t="s">
        <v>177</v>
      </c>
      <c r="S1220" t="s">
        <v>180</v>
      </c>
      <c r="T1220" s="197" t="str">
        <f t="shared" si="4022"/>
        <v>Autopilot_Opportunity_409</v>
      </c>
      <c r="U1220">
        <v>409</v>
      </c>
      <c r="V1220">
        <f>VLOOKUP($U1220,'[2]AP Opportunity'!$Q$1:$T$542,2,FALSE)</f>
        <v>0.99999997777777772</v>
      </c>
      <c r="W1220">
        <f>VLOOKUP($U1220,'[2]AP Opportunity'!$Q$1:$T$542,3,FALSE)</f>
        <v>2.2222222284540294E-8</v>
      </c>
      <c r="X1220">
        <f>VLOOKUP($U1220,'[2]AP Opportunity'!$Q$1:$T$542,4,FALSE)</f>
        <v>0</v>
      </c>
      <c r="Y1220" s="77">
        <f t="shared" si="4023"/>
        <v>1</v>
      </c>
      <c r="Z1220" s="77">
        <f t="shared" si="4027"/>
        <v>6.4624999704999977E-2</v>
      </c>
      <c r="AA1220" s="77">
        <f t="shared" si="4028"/>
        <v>5.2321923767311151E-3</v>
      </c>
      <c r="AB1220" s="79">
        <v>1</v>
      </c>
      <c r="AC1220" s="77">
        <f t="shared" si="4142"/>
        <v>8.499999955555556E-3</v>
      </c>
      <c r="AD1220" s="77">
        <f t="shared" ref="AD1220" si="4153">1-(1-AC1220)^(1/12)</f>
        <v>7.1110795759765644E-4</v>
      </c>
      <c r="AE1220" s="77">
        <f t="shared" si="4144"/>
        <v>2.5000000000000001E-3</v>
      </c>
      <c r="AF1220" s="77">
        <f t="shared" ref="AF1220" si="4154">1-(1-AE1220)^(1/12)</f>
        <v>2.0857243058891584E-4</v>
      </c>
      <c r="AH1220" t="s">
        <v>175</v>
      </c>
      <c r="AI1220" t="s">
        <v>180</v>
      </c>
      <c r="AJ1220" s="197" t="str">
        <f t="shared" si="4135"/>
        <v>Lifecycle_Opportunity_409</v>
      </c>
      <c r="AK1220">
        <v>409</v>
      </c>
      <c r="AL1220">
        <f>VLOOKUP($U1220,[2]Standard_Opportunity!$Q$1:$T$542,2,FALSE)</f>
        <v>0.99999997777777772</v>
      </c>
      <c r="AM1220">
        <f>VLOOKUP($U1220,[2]Standard_Opportunity!$Q$1:$T$542,3,FALSE)</f>
        <v>2.2222222284540294E-8</v>
      </c>
      <c r="AN1220">
        <f>VLOOKUP($U1220,[2]Standard_Opportunity!$Q$1:$T$542,4,FALSE)</f>
        <v>0</v>
      </c>
      <c r="AO1220" s="77">
        <f t="shared" si="4136"/>
        <v>1</v>
      </c>
      <c r="AP1220" s="77">
        <f t="shared" si="4146"/>
        <v>6.4624999704999977E-2</v>
      </c>
      <c r="AQ1220" s="77">
        <f t="shared" si="4137"/>
        <v>5.2321923767311151E-3</v>
      </c>
      <c r="AR1220" s="79">
        <v>0</v>
      </c>
      <c r="AS1220" s="77">
        <f t="shared" si="4147"/>
        <v>0</v>
      </c>
      <c r="AT1220" s="77">
        <f t="shared" si="4148"/>
        <v>0</v>
      </c>
      <c r="AU1220" s="77">
        <f t="shared" si="4149"/>
        <v>2.5000000000000001E-3</v>
      </c>
      <c r="AV1220" s="77">
        <f t="shared" si="4150"/>
        <v>2.0809499864316017E-4</v>
      </c>
    </row>
    <row r="1221" spans="1:48">
      <c r="A1221" t="s">
        <v>175</v>
      </c>
      <c r="B1221" t="s">
        <v>180</v>
      </c>
      <c r="C1221" s="197" t="str">
        <f t="shared" si="4021"/>
        <v>Lifecycle_Opportunity_408</v>
      </c>
      <c r="D1221">
        <v>408</v>
      </c>
      <c r="E1221">
        <f>VLOOKUP($D1221,'[2]LC Opportunity'!$Q$2:$U$542,2,FALSE)</f>
        <v>0</v>
      </c>
      <c r="F1221">
        <f>VLOOKUP($D1221,'[2]LC Opportunity'!$Q$2:$U$542,3,FALSE)</f>
        <v>0</v>
      </c>
      <c r="G1221">
        <f>VLOOKUP($D1221,'[2]LC Opportunity'!$Q$2:$U$542,4,FALSE)</f>
        <v>0</v>
      </c>
      <c r="H1221">
        <f>VLOOKUP($D1221,'[2]LC Opportunity'!$Q$2:$U$542,5,FALSE)</f>
        <v>0.99999999999999989</v>
      </c>
      <c r="I1221" s="77">
        <f t="shared" si="4131"/>
        <v>0.99999999999999989</v>
      </c>
      <c r="J1221" s="77">
        <f t="shared" si="4132"/>
        <v>7.1999999999999981E-2</v>
      </c>
      <c r="K1221" s="77">
        <f t="shared" si="4026"/>
        <v>5.8106552987937654E-3</v>
      </c>
      <c r="L1221" s="76">
        <v>0</v>
      </c>
      <c r="M1221" s="77">
        <f t="shared" si="4138"/>
        <v>0</v>
      </c>
      <c r="N1221" s="77">
        <f t="shared" si="4139"/>
        <v>0</v>
      </c>
      <c r="O1221" s="77">
        <f t="shared" si="4140"/>
        <v>4.9999999999999992E-3</v>
      </c>
      <c r="P1221" s="77">
        <f t="shared" si="4141"/>
        <v>4.1762458919303302E-4</v>
      </c>
      <c r="R1221" t="s">
        <v>177</v>
      </c>
      <c r="S1221" t="s">
        <v>180</v>
      </c>
      <c r="T1221" s="197" t="str">
        <f t="shared" si="4022"/>
        <v>Autopilot_Opportunity_408</v>
      </c>
      <c r="U1221">
        <v>408</v>
      </c>
      <c r="V1221">
        <f>VLOOKUP($U1221,'[2]AP Opportunity'!$Q$1:$T$542,2,FALSE)</f>
        <v>0.99999997777777772</v>
      </c>
      <c r="W1221">
        <f>VLOOKUP($U1221,'[2]AP Opportunity'!$Q$1:$T$542,3,FALSE)</f>
        <v>2.2222222284540294E-8</v>
      </c>
      <c r="X1221">
        <f>VLOOKUP($U1221,'[2]AP Opportunity'!$Q$1:$T$542,4,FALSE)</f>
        <v>0</v>
      </c>
      <c r="Y1221" s="77">
        <f t="shared" si="4023"/>
        <v>1</v>
      </c>
      <c r="Z1221" s="77">
        <f t="shared" si="4027"/>
        <v>6.4624999704999977E-2</v>
      </c>
      <c r="AA1221" s="77">
        <f t="shared" si="4028"/>
        <v>5.2321923767311151E-3</v>
      </c>
      <c r="AB1221" s="79">
        <v>1</v>
      </c>
      <c r="AC1221" s="77">
        <f t="shared" si="4142"/>
        <v>8.499999955555556E-3</v>
      </c>
      <c r="AD1221" s="77">
        <f t="shared" ref="AD1221" si="4155">1-(1-AC1221)^(1/12)</f>
        <v>7.1110795759765644E-4</v>
      </c>
      <c r="AE1221" s="77">
        <f t="shared" si="4144"/>
        <v>2.5000000000000001E-3</v>
      </c>
      <c r="AF1221" s="77">
        <f t="shared" ref="AF1221" si="4156">1-(1-AE1221)^(1/12)</f>
        <v>2.0857243058891584E-4</v>
      </c>
      <c r="AH1221" t="s">
        <v>175</v>
      </c>
      <c r="AI1221" t="s">
        <v>180</v>
      </c>
      <c r="AJ1221" s="197" t="str">
        <f t="shared" si="4135"/>
        <v>Lifecycle_Opportunity_408</v>
      </c>
      <c r="AK1221">
        <v>408</v>
      </c>
      <c r="AL1221">
        <f>VLOOKUP($U1221,[2]Standard_Opportunity!$Q$1:$T$542,2,FALSE)</f>
        <v>0.99999997777777772</v>
      </c>
      <c r="AM1221">
        <f>VLOOKUP($U1221,[2]Standard_Opportunity!$Q$1:$T$542,3,FALSE)</f>
        <v>2.2222222284540294E-8</v>
      </c>
      <c r="AN1221">
        <f>VLOOKUP($U1221,[2]Standard_Opportunity!$Q$1:$T$542,4,FALSE)</f>
        <v>0</v>
      </c>
      <c r="AO1221" s="77">
        <f t="shared" si="4136"/>
        <v>1</v>
      </c>
      <c r="AP1221" s="77">
        <f t="shared" si="4146"/>
        <v>6.4624999704999977E-2</v>
      </c>
      <c r="AQ1221" s="77">
        <f t="shared" si="4137"/>
        <v>5.2321923767311151E-3</v>
      </c>
      <c r="AR1221" s="79">
        <v>0</v>
      </c>
      <c r="AS1221" s="77">
        <f t="shared" si="4147"/>
        <v>0</v>
      </c>
      <c r="AT1221" s="77">
        <f t="shared" si="4148"/>
        <v>0</v>
      </c>
      <c r="AU1221" s="77">
        <f t="shared" si="4149"/>
        <v>2.5000000000000001E-3</v>
      </c>
      <c r="AV1221" s="77">
        <f t="shared" si="4150"/>
        <v>2.0809499864316017E-4</v>
      </c>
    </row>
    <row r="1222" spans="1:48">
      <c r="A1222" t="s">
        <v>175</v>
      </c>
      <c r="B1222" t="s">
        <v>180</v>
      </c>
      <c r="C1222" s="197" t="str">
        <f t="shared" si="4021"/>
        <v>Lifecycle_Opportunity_407</v>
      </c>
      <c r="D1222">
        <v>407</v>
      </c>
      <c r="E1222">
        <f>VLOOKUP($D1222,'[2]LC Opportunity'!$Q$2:$U$542,2,FALSE)</f>
        <v>0</v>
      </c>
      <c r="F1222">
        <f>VLOOKUP($D1222,'[2]LC Opportunity'!$Q$2:$U$542,3,FALSE)</f>
        <v>0</v>
      </c>
      <c r="G1222">
        <f>VLOOKUP($D1222,'[2]LC Opportunity'!$Q$2:$U$542,4,FALSE)</f>
        <v>0</v>
      </c>
      <c r="H1222">
        <f>VLOOKUP($D1222,'[2]LC Opportunity'!$Q$2:$U$542,5,FALSE)</f>
        <v>0.99999999999999989</v>
      </c>
      <c r="I1222" s="77">
        <f t="shared" si="4131"/>
        <v>0.99999999999999989</v>
      </c>
      <c r="J1222" s="77">
        <f t="shared" si="4132"/>
        <v>7.1999999999999981E-2</v>
      </c>
      <c r="K1222" s="77">
        <f t="shared" si="4026"/>
        <v>5.8106552987937654E-3</v>
      </c>
      <c r="L1222" s="76">
        <v>0</v>
      </c>
      <c r="M1222" s="77">
        <f t="shared" si="4138"/>
        <v>0</v>
      </c>
      <c r="N1222" s="77">
        <f t="shared" si="4139"/>
        <v>0</v>
      </c>
      <c r="O1222" s="77">
        <f t="shared" si="4140"/>
        <v>4.9999999999999992E-3</v>
      </c>
      <c r="P1222" s="77">
        <f t="shared" si="4141"/>
        <v>4.1762458919303302E-4</v>
      </c>
      <c r="R1222" t="s">
        <v>177</v>
      </c>
      <c r="S1222" t="s">
        <v>180</v>
      </c>
      <c r="T1222" s="197" t="str">
        <f t="shared" si="4022"/>
        <v>Autopilot_Opportunity_407</v>
      </c>
      <c r="U1222">
        <v>407</v>
      </c>
      <c r="V1222">
        <f>VLOOKUP($U1222,'[2]AP Opportunity'!$Q$1:$T$542,2,FALSE)</f>
        <v>0.99999997777777772</v>
      </c>
      <c r="W1222">
        <f>VLOOKUP($U1222,'[2]AP Opportunity'!$Q$1:$T$542,3,FALSE)</f>
        <v>2.2222222284540294E-8</v>
      </c>
      <c r="X1222">
        <f>VLOOKUP($U1222,'[2]AP Opportunity'!$Q$1:$T$542,4,FALSE)</f>
        <v>0</v>
      </c>
      <c r="Y1222" s="77">
        <f t="shared" si="4023"/>
        <v>1</v>
      </c>
      <c r="Z1222" s="77">
        <f t="shared" si="4027"/>
        <v>6.4624999704999977E-2</v>
      </c>
      <c r="AA1222" s="77">
        <f t="shared" si="4028"/>
        <v>5.2321923767311151E-3</v>
      </c>
      <c r="AB1222" s="79">
        <v>1</v>
      </c>
      <c r="AC1222" s="77">
        <f t="shared" si="4142"/>
        <v>8.499999955555556E-3</v>
      </c>
      <c r="AD1222" s="77">
        <f t="shared" ref="AD1222" si="4157">1-(1-AC1222)^(1/12)</f>
        <v>7.1110795759765644E-4</v>
      </c>
      <c r="AE1222" s="77">
        <f t="shared" si="4144"/>
        <v>2.5000000000000001E-3</v>
      </c>
      <c r="AF1222" s="77">
        <f t="shared" ref="AF1222" si="4158">1-(1-AE1222)^(1/12)</f>
        <v>2.0857243058891584E-4</v>
      </c>
      <c r="AH1222" t="s">
        <v>175</v>
      </c>
      <c r="AI1222" t="s">
        <v>180</v>
      </c>
      <c r="AJ1222" s="197" t="str">
        <f t="shared" si="4135"/>
        <v>Lifecycle_Opportunity_407</v>
      </c>
      <c r="AK1222">
        <v>407</v>
      </c>
      <c r="AL1222">
        <f>VLOOKUP($U1222,[2]Standard_Opportunity!$Q$1:$T$542,2,FALSE)</f>
        <v>0.99999997777777772</v>
      </c>
      <c r="AM1222">
        <f>VLOOKUP($U1222,[2]Standard_Opportunity!$Q$1:$T$542,3,FALSE)</f>
        <v>2.2222222284540294E-8</v>
      </c>
      <c r="AN1222">
        <f>VLOOKUP($U1222,[2]Standard_Opportunity!$Q$1:$T$542,4,FALSE)</f>
        <v>0</v>
      </c>
      <c r="AO1222" s="77">
        <f t="shared" si="4136"/>
        <v>1</v>
      </c>
      <c r="AP1222" s="77">
        <f t="shared" si="4146"/>
        <v>6.4624999704999977E-2</v>
      </c>
      <c r="AQ1222" s="77">
        <f t="shared" si="4137"/>
        <v>5.2321923767311151E-3</v>
      </c>
      <c r="AR1222" s="79">
        <v>0</v>
      </c>
      <c r="AS1222" s="77">
        <f t="shared" si="4147"/>
        <v>0</v>
      </c>
      <c r="AT1222" s="77">
        <f t="shared" si="4148"/>
        <v>0</v>
      </c>
      <c r="AU1222" s="77">
        <f t="shared" si="4149"/>
        <v>2.5000000000000001E-3</v>
      </c>
      <c r="AV1222" s="77">
        <f t="shared" si="4150"/>
        <v>2.0809499864316017E-4</v>
      </c>
    </row>
    <row r="1223" spans="1:48">
      <c r="A1223" t="s">
        <v>175</v>
      </c>
      <c r="B1223" t="s">
        <v>180</v>
      </c>
      <c r="C1223" s="197" t="str">
        <f t="shared" si="4021"/>
        <v>Lifecycle_Opportunity_406</v>
      </c>
      <c r="D1223">
        <v>406</v>
      </c>
      <c r="E1223">
        <f>VLOOKUP($D1223,'[2]LC Opportunity'!$Q$2:$U$542,2,FALSE)</f>
        <v>0</v>
      </c>
      <c r="F1223">
        <f>VLOOKUP($D1223,'[2]LC Opportunity'!$Q$2:$U$542,3,FALSE)</f>
        <v>0</v>
      </c>
      <c r="G1223">
        <f>VLOOKUP($D1223,'[2]LC Opportunity'!$Q$2:$U$542,4,FALSE)</f>
        <v>0</v>
      </c>
      <c r="H1223">
        <f>VLOOKUP($D1223,'[2]LC Opportunity'!$Q$2:$U$542,5,FALSE)</f>
        <v>0.99999999999999989</v>
      </c>
      <c r="I1223" s="77">
        <f t="shared" si="4131"/>
        <v>0.99999999999999989</v>
      </c>
      <c r="J1223" s="77">
        <f t="shared" si="4132"/>
        <v>7.1999999999999981E-2</v>
      </c>
      <c r="K1223" s="77">
        <f t="shared" si="4026"/>
        <v>5.8106552987937654E-3</v>
      </c>
      <c r="L1223" s="76">
        <v>0</v>
      </c>
      <c r="M1223" s="77">
        <f t="shared" si="4138"/>
        <v>0</v>
      </c>
      <c r="N1223" s="77">
        <f t="shared" si="4139"/>
        <v>0</v>
      </c>
      <c r="O1223" s="77">
        <f t="shared" si="4140"/>
        <v>4.9999999999999992E-3</v>
      </c>
      <c r="P1223" s="77">
        <f t="shared" si="4141"/>
        <v>4.1762458919303302E-4</v>
      </c>
      <c r="R1223" t="s">
        <v>177</v>
      </c>
      <c r="S1223" t="s">
        <v>180</v>
      </c>
      <c r="T1223" s="197" t="str">
        <f t="shared" si="4022"/>
        <v>Autopilot_Opportunity_406</v>
      </c>
      <c r="U1223">
        <v>406</v>
      </c>
      <c r="V1223">
        <f>VLOOKUP($U1223,'[2]AP Opportunity'!$Q$1:$T$542,2,FALSE)</f>
        <v>0.99999997777777772</v>
      </c>
      <c r="W1223">
        <f>VLOOKUP($U1223,'[2]AP Opportunity'!$Q$1:$T$542,3,FALSE)</f>
        <v>2.2222222284540294E-8</v>
      </c>
      <c r="X1223">
        <f>VLOOKUP($U1223,'[2]AP Opportunity'!$Q$1:$T$542,4,FALSE)</f>
        <v>0</v>
      </c>
      <c r="Y1223" s="77">
        <f t="shared" si="4023"/>
        <v>1</v>
      </c>
      <c r="Z1223" s="77">
        <f t="shared" si="4027"/>
        <v>6.4624999704999977E-2</v>
      </c>
      <c r="AA1223" s="77">
        <f t="shared" si="4028"/>
        <v>5.2321923767311151E-3</v>
      </c>
      <c r="AB1223" s="79">
        <v>1</v>
      </c>
      <c r="AC1223" s="77">
        <f t="shared" si="4142"/>
        <v>8.499999955555556E-3</v>
      </c>
      <c r="AD1223" s="77">
        <f t="shared" ref="AD1223" si="4159">1-(1-AC1223)^(1/12)</f>
        <v>7.1110795759765644E-4</v>
      </c>
      <c r="AE1223" s="77">
        <f t="shared" si="4144"/>
        <v>2.5000000000000001E-3</v>
      </c>
      <c r="AF1223" s="77">
        <f t="shared" ref="AF1223" si="4160">1-(1-AE1223)^(1/12)</f>
        <v>2.0857243058891584E-4</v>
      </c>
      <c r="AH1223" t="s">
        <v>175</v>
      </c>
      <c r="AI1223" t="s">
        <v>180</v>
      </c>
      <c r="AJ1223" s="197" t="str">
        <f t="shared" si="4135"/>
        <v>Lifecycle_Opportunity_406</v>
      </c>
      <c r="AK1223">
        <v>406</v>
      </c>
      <c r="AL1223">
        <f>VLOOKUP($U1223,[2]Standard_Opportunity!$Q$1:$T$542,2,FALSE)</f>
        <v>0.99999997777777772</v>
      </c>
      <c r="AM1223">
        <f>VLOOKUP($U1223,[2]Standard_Opportunity!$Q$1:$T$542,3,FALSE)</f>
        <v>2.2222222284540294E-8</v>
      </c>
      <c r="AN1223">
        <f>VLOOKUP($U1223,[2]Standard_Opportunity!$Q$1:$T$542,4,FALSE)</f>
        <v>0</v>
      </c>
      <c r="AO1223" s="77">
        <f t="shared" si="4136"/>
        <v>1</v>
      </c>
      <c r="AP1223" s="77">
        <f t="shared" si="4146"/>
        <v>6.4624999704999977E-2</v>
      </c>
      <c r="AQ1223" s="77">
        <f t="shared" si="4137"/>
        <v>5.2321923767311151E-3</v>
      </c>
      <c r="AR1223" s="79">
        <v>0</v>
      </c>
      <c r="AS1223" s="77">
        <f t="shared" si="4147"/>
        <v>0</v>
      </c>
      <c r="AT1223" s="77">
        <f t="shared" si="4148"/>
        <v>0</v>
      </c>
      <c r="AU1223" s="77">
        <f t="shared" si="4149"/>
        <v>2.5000000000000001E-3</v>
      </c>
      <c r="AV1223" s="77">
        <f t="shared" si="4150"/>
        <v>2.0809499864316017E-4</v>
      </c>
    </row>
    <row r="1224" spans="1:48">
      <c r="A1224" t="s">
        <v>175</v>
      </c>
      <c r="B1224" t="s">
        <v>180</v>
      </c>
      <c r="C1224" s="197" t="str">
        <f t="shared" si="4021"/>
        <v>Lifecycle_Opportunity_405</v>
      </c>
      <c r="D1224">
        <v>405</v>
      </c>
      <c r="E1224">
        <f>VLOOKUP($D1224,'[2]LC Opportunity'!$Q$2:$U$542,2,FALSE)</f>
        <v>0</v>
      </c>
      <c r="F1224">
        <f>VLOOKUP($D1224,'[2]LC Opportunity'!$Q$2:$U$542,3,FALSE)</f>
        <v>0</v>
      </c>
      <c r="G1224">
        <f>VLOOKUP($D1224,'[2]LC Opportunity'!$Q$2:$U$542,4,FALSE)</f>
        <v>0</v>
      </c>
      <c r="H1224">
        <f>VLOOKUP($D1224,'[2]LC Opportunity'!$Q$2:$U$542,5,FALSE)</f>
        <v>0.99999999999999989</v>
      </c>
      <c r="I1224" s="77">
        <f t="shared" si="4131"/>
        <v>0.99999999999999989</v>
      </c>
      <c r="J1224" s="77">
        <f t="shared" si="4132"/>
        <v>7.1999999999999981E-2</v>
      </c>
      <c r="K1224" s="77">
        <f t="shared" si="4026"/>
        <v>5.8106552987937654E-3</v>
      </c>
      <c r="L1224" s="76">
        <v>0</v>
      </c>
      <c r="M1224" s="77">
        <f t="shared" si="4138"/>
        <v>0</v>
      </c>
      <c r="N1224" s="77">
        <f t="shared" si="4139"/>
        <v>0</v>
      </c>
      <c r="O1224" s="77">
        <f t="shared" si="4140"/>
        <v>4.9999999999999992E-3</v>
      </c>
      <c r="P1224" s="77">
        <f t="shared" si="4141"/>
        <v>4.1762458919303302E-4</v>
      </c>
      <c r="R1224" t="s">
        <v>177</v>
      </c>
      <c r="S1224" t="s">
        <v>180</v>
      </c>
      <c r="T1224" s="197" t="str">
        <f t="shared" si="4022"/>
        <v>Autopilot_Opportunity_405</v>
      </c>
      <c r="U1224">
        <v>405</v>
      </c>
      <c r="V1224">
        <f>VLOOKUP($U1224,'[2]AP Opportunity'!$Q$1:$T$542,2,FALSE)</f>
        <v>0.99999997777777772</v>
      </c>
      <c r="W1224">
        <f>VLOOKUP($U1224,'[2]AP Opportunity'!$Q$1:$T$542,3,FALSE)</f>
        <v>2.2222222284540294E-8</v>
      </c>
      <c r="X1224">
        <f>VLOOKUP($U1224,'[2]AP Opportunity'!$Q$1:$T$542,4,FALSE)</f>
        <v>0</v>
      </c>
      <c r="Y1224" s="77">
        <f t="shared" si="4023"/>
        <v>1</v>
      </c>
      <c r="Z1224" s="77">
        <f t="shared" si="4027"/>
        <v>6.4624999704999977E-2</v>
      </c>
      <c r="AA1224" s="77">
        <f t="shared" si="4028"/>
        <v>5.2321923767311151E-3</v>
      </c>
      <c r="AB1224" s="79">
        <v>1</v>
      </c>
      <c r="AC1224" s="77">
        <f t="shared" si="4142"/>
        <v>8.499999955555556E-3</v>
      </c>
      <c r="AD1224" s="77">
        <f t="shared" ref="AD1224" si="4161">1-(1-AC1224)^(1/12)</f>
        <v>7.1110795759765644E-4</v>
      </c>
      <c r="AE1224" s="77">
        <f t="shared" si="4144"/>
        <v>2.5000000000000001E-3</v>
      </c>
      <c r="AF1224" s="77">
        <f t="shared" ref="AF1224" si="4162">1-(1-AE1224)^(1/12)</f>
        <v>2.0857243058891584E-4</v>
      </c>
      <c r="AH1224" t="s">
        <v>175</v>
      </c>
      <c r="AI1224" t="s">
        <v>180</v>
      </c>
      <c r="AJ1224" s="197" t="str">
        <f t="shared" si="4135"/>
        <v>Lifecycle_Opportunity_405</v>
      </c>
      <c r="AK1224">
        <v>405</v>
      </c>
      <c r="AL1224">
        <f>VLOOKUP($U1224,[2]Standard_Opportunity!$Q$1:$T$542,2,FALSE)</f>
        <v>0.99999997777777772</v>
      </c>
      <c r="AM1224">
        <f>VLOOKUP($U1224,[2]Standard_Opportunity!$Q$1:$T$542,3,FALSE)</f>
        <v>2.2222222284540294E-8</v>
      </c>
      <c r="AN1224">
        <f>VLOOKUP($U1224,[2]Standard_Opportunity!$Q$1:$T$542,4,FALSE)</f>
        <v>0</v>
      </c>
      <c r="AO1224" s="77">
        <f t="shared" si="4136"/>
        <v>1</v>
      </c>
      <c r="AP1224" s="77">
        <f t="shared" si="4146"/>
        <v>6.4624999704999977E-2</v>
      </c>
      <c r="AQ1224" s="77">
        <f t="shared" si="4137"/>
        <v>5.2321923767311151E-3</v>
      </c>
      <c r="AR1224" s="79">
        <v>0</v>
      </c>
      <c r="AS1224" s="77">
        <f t="shared" si="4147"/>
        <v>0</v>
      </c>
      <c r="AT1224" s="77">
        <f t="shared" si="4148"/>
        <v>0</v>
      </c>
      <c r="AU1224" s="77">
        <f t="shared" si="4149"/>
        <v>2.5000000000000001E-3</v>
      </c>
      <c r="AV1224" s="77">
        <f t="shared" si="4150"/>
        <v>2.0809499864316017E-4</v>
      </c>
    </row>
    <row r="1225" spans="1:48">
      <c r="A1225" t="s">
        <v>175</v>
      </c>
      <c r="B1225" t="s">
        <v>180</v>
      </c>
      <c r="C1225" s="197" t="str">
        <f t="shared" si="4021"/>
        <v>Lifecycle_Opportunity_404</v>
      </c>
      <c r="D1225">
        <v>404</v>
      </c>
      <c r="E1225">
        <f>VLOOKUP($D1225,'[2]LC Opportunity'!$Q$2:$U$542,2,FALSE)</f>
        <v>0</v>
      </c>
      <c r="F1225">
        <f>VLOOKUP($D1225,'[2]LC Opportunity'!$Q$2:$U$542,3,FALSE)</f>
        <v>0</v>
      </c>
      <c r="G1225">
        <f>VLOOKUP($D1225,'[2]LC Opportunity'!$Q$2:$U$542,4,FALSE)</f>
        <v>0</v>
      </c>
      <c r="H1225">
        <f>VLOOKUP($D1225,'[2]LC Opportunity'!$Q$2:$U$542,5,FALSE)</f>
        <v>0.99999999999999989</v>
      </c>
      <c r="I1225" s="77">
        <f t="shared" si="4131"/>
        <v>0.99999999999999989</v>
      </c>
      <c r="J1225" s="77">
        <f t="shared" si="4132"/>
        <v>7.1999999999999981E-2</v>
      </c>
      <c r="K1225" s="77">
        <f t="shared" si="4026"/>
        <v>5.8106552987937654E-3</v>
      </c>
      <c r="L1225" s="76">
        <v>0</v>
      </c>
      <c r="M1225" s="77">
        <f t="shared" si="4138"/>
        <v>0</v>
      </c>
      <c r="N1225" s="77">
        <f t="shared" si="4139"/>
        <v>0</v>
      </c>
      <c r="O1225" s="77">
        <f t="shared" si="4140"/>
        <v>4.9999999999999992E-3</v>
      </c>
      <c r="P1225" s="77">
        <f t="shared" si="4141"/>
        <v>4.1762458919303302E-4</v>
      </c>
      <c r="R1225" t="s">
        <v>177</v>
      </c>
      <c r="S1225" t="s">
        <v>180</v>
      </c>
      <c r="T1225" s="197" t="str">
        <f t="shared" si="4022"/>
        <v>Autopilot_Opportunity_404</v>
      </c>
      <c r="U1225">
        <v>404</v>
      </c>
      <c r="V1225">
        <f>VLOOKUP($U1225,'[2]AP Opportunity'!$Q$1:$T$542,2,FALSE)</f>
        <v>0.99999997777777772</v>
      </c>
      <c r="W1225">
        <f>VLOOKUP($U1225,'[2]AP Opportunity'!$Q$1:$T$542,3,FALSE)</f>
        <v>2.2222222284540294E-8</v>
      </c>
      <c r="X1225">
        <f>VLOOKUP($U1225,'[2]AP Opportunity'!$Q$1:$T$542,4,FALSE)</f>
        <v>0</v>
      </c>
      <c r="Y1225" s="77">
        <f t="shared" si="4023"/>
        <v>1</v>
      </c>
      <c r="Z1225" s="77">
        <f t="shared" si="4027"/>
        <v>6.4624999704999977E-2</v>
      </c>
      <c r="AA1225" s="77">
        <f t="shared" si="4028"/>
        <v>5.2321923767311151E-3</v>
      </c>
      <c r="AB1225" s="79">
        <v>1</v>
      </c>
      <c r="AC1225" s="77">
        <f t="shared" si="4142"/>
        <v>8.499999955555556E-3</v>
      </c>
      <c r="AD1225" s="77">
        <f t="shared" ref="AD1225" si="4163">1-(1-AC1225)^(1/12)</f>
        <v>7.1110795759765644E-4</v>
      </c>
      <c r="AE1225" s="77">
        <f t="shared" si="4144"/>
        <v>2.5000000000000001E-3</v>
      </c>
      <c r="AF1225" s="77">
        <f t="shared" ref="AF1225" si="4164">1-(1-AE1225)^(1/12)</f>
        <v>2.0857243058891584E-4</v>
      </c>
      <c r="AH1225" t="s">
        <v>175</v>
      </c>
      <c r="AI1225" t="s">
        <v>180</v>
      </c>
      <c r="AJ1225" s="197" t="str">
        <f t="shared" si="4135"/>
        <v>Lifecycle_Opportunity_404</v>
      </c>
      <c r="AK1225">
        <v>404</v>
      </c>
      <c r="AL1225">
        <f>VLOOKUP($U1225,[2]Standard_Opportunity!$Q$1:$T$542,2,FALSE)</f>
        <v>0.99999997777777772</v>
      </c>
      <c r="AM1225">
        <f>VLOOKUP($U1225,[2]Standard_Opportunity!$Q$1:$T$542,3,FALSE)</f>
        <v>2.2222222284540294E-8</v>
      </c>
      <c r="AN1225">
        <f>VLOOKUP($U1225,[2]Standard_Opportunity!$Q$1:$T$542,4,FALSE)</f>
        <v>0</v>
      </c>
      <c r="AO1225" s="77">
        <f t="shared" si="4136"/>
        <v>1</v>
      </c>
      <c r="AP1225" s="77">
        <f t="shared" si="4146"/>
        <v>6.4624999704999977E-2</v>
      </c>
      <c r="AQ1225" s="77">
        <f t="shared" si="4137"/>
        <v>5.2321923767311151E-3</v>
      </c>
      <c r="AR1225" s="79">
        <v>0</v>
      </c>
      <c r="AS1225" s="77">
        <f t="shared" si="4147"/>
        <v>0</v>
      </c>
      <c r="AT1225" s="77">
        <f t="shared" si="4148"/>
        <v>0</v>
      </c>
      <c r="AU1225" s="77">
        <f t="shared" si="4149"/>
        <v>2.5000000000000001E-3</v>
      </c>
      <c r="AV1225" s="77">
        <f t="shared" si="4150"/>
        <v>2.0809499864316017E-4</v>
      </c>
    </row>
    <row r="1226" spans="1:48">
      <c r="A1226" t="s">
        <v>175</v>
      </c>
      <c r="B1226" t="s">
        <v>180</v>
      </c>
      <c r="C1226" s="197" t="str">
        <f t="shared" si="4021"/>
        <v>Lifecycle_Opportunity_403</v>
      </c>
      <c r="D1226">
        <v>403</v>
      </c>
      <c r="E1226">
        <f>VLOOKUP($D1226,'[2]LC Opportunity'!$Q$2:$U$542,2,FALSE)</f>
        <v>0</v>
      </c>
      <c r="F1226">
        <f>VLOOKUP($D1226,'[2]LC Opportunity'!$Q$2:$U$542,3,FALSE)</f>
        <v>0</v>
      </c>
      <c r="G1226">
        <f>VLOOKUP($D1226,'[2]LC Opportunity'!$Q$2:$U$542,4,FALSE)</f>
        <v>0</v>
      </c>
      <c r="H1226">
        <f>VLOOKUP($D1226,'[2]LC Opportunity'!$Q$2:$U$542,5,FALSE)</f>
        <v>0.99999999999999989</v>
      </c>
      <c r="I1226" s="77">
        <f t="shared" si="4131"/>
        <v>0.99999999999999989</v>
      </c>
      <c r="J1226" s="77">
        <f t="shared" si="4132"/>
        <v>7.1999999999999981E-2</v>
      </c>
      <c r="K1226" s="77">
        <f t="shared" si="4026"/>
        <v>5.8106552987937654E-3</v>
      </c>
      <c r="L1226" s="76">
        <v>0</v>
      </c>
      <c r="M1226" s="77">
        <f t="shared" si="4138"/>
        <v>0</v>
      </c>
      <c r="N1226" s="77">
        <f t="shared" si="4139"/>
        <v>0</v>
      </c>
      <c r="O1226" s="77">
        <f t="shared" si="4140"/>
        <v>4.9999999999999992E-3</v>
      </c>
      <c r="P1226" s="77">
        <f t="shared" si="4141"/>
        <v>4.1762458919303302E-4</v>
      </c>
      <c r="R1226" t="s">
        <v>177</v>
      </c>
      <c r="S1226" t="s">
        <v>180</v>
      </c>
      <c r="T1226" s="197" t="str">
        <f t="shared" si="4022"/>
        <v>Autopilot_Opportunity_403</v>
      </c>
      <c r="U1226">
        <v>403</v>
      </c>
      <c r="V1226">
        <f>VLOOKUP($U1226,'[2]AP Opportunity'!$Q$1:$T$542,2,FALSE)</f>
        <v>0.99999997777777772</v>
      </c>
      <c r="W1226">
        <f>VLOOKUP($U1226,'[2]AP Opportunity'!$Q$1:$T$542,3,FALSE)</f>
        <v>2.2222222284540294E-8</v>
      </c>
      <c r="X1226">
        <f>VLOOKUP($U1226,'[2]AP Opportunity'!$Q$1:$T$542,4,FALSE)</f>
        <v>0</v>
      </c>
      <c r="Y1226" s="77">
        <f t="shared" si="4023"/>
        <v>1</v>
      </c>
      <c r="Z1226" s="77">
        <f t="shared" si="4027"/>
        <v>6.4624999704999977E-2</v>
      </c>
      <c r="AA1226" s="77">
        <f t="shared" si="4028"/>
        <v>5.2321923767311151E-3</v>
      </c>
      <c r="AB1226" s="79">
        <v>1</v>
      </c>
      <c r="AC1226" s="77">
        <f t="shared" si="4142"/>
        <v>8.499999955555556E-3</v>
      </c>
      <c r="AD1226" s="77">
        <f t="shared" ref="AD1226" si="4165">1-(1-AC1226)^(1/12)</f>
        <v>7.1110795759765644E-4</v>
      </c>
      <c r="AE1226" s="77">
        <f t="shared" si="4144"/>
        <v>2.5000000000000001E-3</v>
      </c>
      <c r="AF1226" s="77">
        <f t="shared" ref="AF1226" si="4166">1-(1-AE1226)^(1/12)</f>
        <v>2.0857243058891584E-4</v>
      </c>
      <c r="AH1226" t="s">
        <v>175</v>
      </c>
      <c r="AI1226" t="s">
        <v>180</v>
      </c>
      <c r="AJ1226" s="197" t="str">
        <f t="shared" si="4135"/>
        <v>Lifecycle_Opportunity_403</v>
      </c>
      <c r="AK1226">
        <v>403</v>
      </c>
      <c r="AL1226">
        <f>VLOOKUP($U1226,[2]Standard_Opportunity!$Q$1:$T$542,2,FALSE)</f>
        <v>0.99999997777777772</v>
      </c>
      <c r="AM1226">
        <f>VLOOKUP($U1226,[2]Standard_Opportunity!$Q$1:$T$542,3,FALSE)</f>
        <v>2.2222222284540294E-8</v>
      </c>
      <c r="AN1226">
        <f>VLOOKUP($U1226,[2]Standard_Opportunity!$Q$1:$T$542,4,FALSE)</f>
        <v>0</v>
      </c>
      <c r="AO1226" s="77">
        <f t="shared" si="4136"/>
        <v>1</v>
      </c>
      <c r="AP1226" s="77">
        <f t="shared" si="4146"/>
        <v>6.4624999704999977E-2</v>
      </c>
      <c r="AQ1226" s="77">
        <f t="shared" si="4137"/>
        <v>5.2321923767311151E-3</v>
      </c>
      <c r="AR1226" s="79">
        <v>0</v>
      </c>
      <c r="AS1226" s="77">
        <f t="shared" si="4147"/>
        <v>0</v>
      </c>
      <c r="AT1226" s="77">
        <f t="shared" si="4148"/>
        <v>0</v>
      </c>
      <c r="AU1226" s="77">
        <f t="shared" si="4149"/>
        <v>2.5000000000000001E-3</v>
      </c>
      <c r="AV1226" s="77">
        <f t="shared" si="4150"/>
        <v>2.0809499864316017E-4</v>
      </c>
    </row>
    <row r="1227" spans="1:48">
      <c r="A1227" t="s">
        <v>175</v>
      </c>
      <c r="B1227" t="s">
        <v>180</v>
      </c>
      <c r="C1227" s="197" t="str">
        <f t="shared" si="4021"/>
        <v>Lifecycle_Opportunity_402</v>
      </c>
      <c r="D1227">
        <v>402</v>
      </c>
      <c r="E1227">
        <f>VLOOKUP($D1227,'[2]LC Opportunity'!$Q$2:$U$542,2,FALSE)</f>
        <v>0</v>
      </c>
      <c r="F1227">
        <f>VLOOKUP($D1227,'[2]LC Opportunity'!$Q$2:$U$542,3,FALSE)</f>
        <v>0</v>
      </c>
      <c r="G1227">
        <f>VLOOKUP($D1227,'[2]LC Opportunity'!$Q$2:$U$542,4,FALSE)</f>
        <v>0</v>
      </c>
      <c r="H1227">
        <f>VLOOKUP($D1227,'[2]LC Opportunity'!$Q$2:$U$542,5,FALSE)</f>
        <v>0.99999999999999989</v>
      </c>
      <c r="I1227" s="77">
        <f t="shared" si="4131"/>
        <v>0.99999999999999989</v>
      </c>
      <c r="J1227" s="77">
        <f t="shared" si="4132"/>
        <v>7.1999999999999981E-2</v>
      </c>
      <c r="K1227" s="77">
        <f t="shared" si="4026"/>
        <v>5.8106552987937654E-3</v>
      </c>
      <c r="L1227" s="76">
        <v>0</v>
      </c>
      <c r="M1227" s="77">
        <f t="shared" si="4138"/>
        <v>0</v>
      </c>
      <c r="N1227" s="77">
        <f t="shared" si="4139"/>
        <v>0</v>
      </c>
      <c r="O1227" s="77">
        <f t="shared" si="4140"/>
        <v>4.9999999999999992E-3</v>
      </c>
      <c r="P1227" s="77">
        <f t="shared" si="4141"/>
        <v>4.1762458919303302E-4</v>
      </c>
      <c r="R1227" t="s">
        <v>177</v>
      </c>
      <c r="S1227" t="s">
        <v>180</v>
      </c>
      <c r="T1227" s="197" t="str">
        <f t="shared" si="4022"/>
        <v>Autopilot_Opportunity_402</v>
      </c>
      <c r="U1227">
        <v>402</v>
      </c>
      <c r="V1227">
        <f>VLOOKUP($U1227,'[2]AP Opportunity'!$Q$1:$T$542,2,FALSE)</f>
        <v>0.99999997777777772</v>
      </c>
      <c r="W1227">
        <f>VLOOKUP($U1227,'[2]AP Opportunity'!$Q$1:$T$542,3,FALSE)</f>
        <v>2.2222222284540294E-8</v>
      </c>
      <c r="X1227">
        <f>VLOOKUP($U1227,'[2]AP Opportunity'!$Q$1:$T$542,4,FALSE)</f>
        <v>0</v>
      </c>
      <c r="Y1227" s="77">
        <f t="shared" si="4023"/>
        <v>1</v>
      </c>
      <c r="Z1227" s="77">
        <f t="shared" si="4027"/>
        <v>6.4624999704999977E-2</v>
      </c>
      <c r="AA1227" s="77">
        <f t="shared" si="4028"/>
        <v>5.2321923767311151E-3</v>
      </c>
      <c r="AB1227" s="79">
        <v>1</v>
      </c>
      <c r="AC1227" s="77">
        <f t="shared" si="4142"/>
        <v>8.499999955555556E-3</v>
      </c>
      <c r="AD1227" s="77">
        <f t="shared" ref="AD1227" si="4167">1-(1-AC1227)^(1/12)</f>
        <v>7.1110795759765644E-4</v>
      </c>
      <c r="AE1227" s="77">
        <f t="shared" si="4144"/>
        <v>2.5000000000000001E-3</v>
      </c>
      <c r="AF1227" s="77">
        <f t="shared" ref="AF1227" si="4168">1-(1-AE1227)^(1/12)</f>
        <v>2.0857243058891584E-4</v>
      </c>
      <c r="AH1227" t="s">
        <v>175</v>
      </c>
      <c r="AI1227" t="s">
        <v>180</v>
      </c>
      <c r="AJ1227" s="197" t="str">
        <f t="shared" si="4135"/>
        <v>Lifecycle_Opportunity_402</v>
      </c>
      <c r="AK1227">
        <v>402</v>
      </c>
      <c r="AL1227">
        <f>VLOOKUP($U1227,[2]Standard_Opportunity!$Q$1:$T$542,2,FALSE)</f>
        <v>0.99999997777777772</v>
      </c>
      <c r="AM1227">
        <f>VLOOKUP($U1227,[2]Standard_Opportunity!$Q$1:$T$542,3,FALSE)</f>
        <v>2.2222222284540294E-8</v>
      </c>
      <c r="AN1227">
        <f>VLOOKUP($U1227,[2]Standard_Opportunity!$Q$1:$T$542,4,FALSE)</f>
        <v>0</v>
      </c>
      <c r="AO1227" s="77">
        <f t="shared" si="4136"/>
        <v>1</v>
      </c>
      <c r="AP1227" s="77">
        <f t="shared" si="4146"/>
        <v>6.4624999704999977E-2</v>
      </c>
      <c r="AQ1227" s="77">
        <f t="shared" si="4137"/>
        <v>5.2321923767311151E-3</v>
      </c>
      <c r="AR1227" s="79">
        <v>0</v>
      </c>
      <c r="AS1227" s="77">
        <f t="shared" si="4147"/>
        <v>0</v>
      </c>
      <c r="AT1227" s="77">
        <f t="shared" si="4148"/>
        <v>0</v>
      </c>
      <c r="AU1227" s="77">
        <f t="shared" si="4149"/>
        <v>2.5000000000000001E-3</v>
      </c>
      <c r="AV1227" s="77">
        <f t="shared" si="4150"/>
        <v>2.0809499864316017E-4</v>
      </c>
    </row>
    <row r="1228" spans="1:48">
      <c r="A1228" t="s">
        <v>175</v>
      </c>
      <c r="B1228" t="s">
        <v>180</v>
      </c>
      <c r="C1228" s="197" t="str">
        <f t="shared" si="4021"/>
        <v>Lifecycle_Opportunity_401</v>
      </c>
      <c r="D1228">
        <v>401</v>
      </c>
      <c r="E1228">
        <f>VLOOKUP($D1228,'[2]LC Opportunity'!$Q$2:$U$542,2,FALSE)</f>
        <v>0</v>
      </c>
      <c r="F1228">
        <f>VLOOKUP($D1228,'[2]LC Opportunity'!$Q$2:$U$542,3,FALSE)</f>
        <v>0</v>
      </c>
      <c r="G1228">
        <f>VLOOKUP($D1228,'[2]LC Opportunity'!$Q$2:$U$542,4,FALSE)</f>
        <v>0</v>
      </c>
      <c r="H1228">
        <f>VLOOKUP($D1228,'[2]LC Opportunity'!$Q$2:$U$542,5,FALSE)</f>
        <v>0.99999999999999989</v>
      </c>
      <c r="I1228" s="77">
        <f t="shared" si="4131"/>
        <v>0.99999999999999989</v>
      </c>
      <c r="J1228" s="77">
        <f t="shared" si="4132"/>
        <v>7.1999999999999981E-2</v>
      </c>
      <c r="K1228" s="77">
        <f t="shared" si="4026"/>
        <v>5.8106552987937654E-3</v>
      </c>
      <c r="L1228" s="76">
        <v>0</v>
      </c>
      <c r="M1228" s="77">
        <f t="shared" si="4138"/>
        <v>0</v>
      </c>
      <c r="N1228" s="77">
        <f t="shared" si="4139"/>
        <v>0</v>
      </c>
      <c r="O1228" s="77">
        <f t="shared" si="4140"/>
        <v>4.9999999999999992E-3</v>
      </c>
      <c r="P1228" s="77">
        <f t="shared" si="4141"/>
        <v>4.1762458919303302E-4</v>
      </c>
      <c r="R1228" t="s">
        <v>177</v>
      </c>
      <c r="S1228" t="s">
        <v>180</v>
      </c>
      <c r="T1228" s="197" t="str">
        <f t="shared" si="4022"/>
        <v>Autopilot_Opportunity_401</v>
      </c>
      <c r="U1228">
        <v>401</v>
      </c>
      <c r="V1228">
        <f>VLOOKUP($U1228,'[2]AP Opportunity'!$Q$1:$T$542,2,FALSE)</f>
        <v>0.99999997777777772</v>
      </c>
      <c r="W1228">
        <f>VLOOKUP($U1228,'[2]AP Opportunity'!$Q$1:$T$542,3,FALSE)</f>
        <v>2.2222222284540294E-8</v>
      </c>
      <c r="X1228">
        <f>VLOOKUP($U1228,'[2]AP Opportunity'!$Q$1:$T$542,4,FALSE)</f>
        <v>0</v>
      </c>
      <c r="Y1228" s="77">
        <f t="shared" si="4023"/>
        <v>1</v>
      </c>
      <c r="Z1228" s="77">
        <f t="shared" si="4027"/>
        <v>6.4624999704999977E-2</v>
      </c>
      <c r="AA1228" s="77">
        <f t="shared" si="4028"/>
        <v>5.2321923767311151E-3</v>
      </c>
      <c r="AB1228" s="79">
        <v>1</v>
      </c>
      <c r="AC1228" s="77">
        <f t="shared" si="4142"/>
        <v>8.499999955555556E-3</v>
      </c>
      <c r="AD1228" s="77">
        <f t="shared" ref="AD1228" si="4169">1-(1-AC1228)^(1/12)</f>
        <v>7.1110795759765644E-4</v>
      </c>
      <c r="AE1228" s="77">
        <f t="shared" si="4144"/>
        <v>2.5000000000000001E-3</v>
      </c>
      <c r="AF1228" s="77">
        <f t="shared" ref="AF1228" si="4170">1-(1-AE1228)^(1/12)</f>
        <v>2.0857243058891584E-4</v>
      </c>
      <c r="AH1228" t="s">
        <v>175</v>
      </c>
      <c r="AI1228" t="s">
        <v>180</v>
      </c>
      <c r="AJ1228" s="197" t="str">
        <f t="shared" si="4135"/>
        <v>Lifecycle_Opportunity_401</v>
      </c>
      <c r="AK1228">
        <v>401</v>
      </c>
      <c r="AL1228">
        <f>VLOOKUP($U1228,[2]Standard_Opportunity!$Q$1:$T$542,2,FALSE)</f>
        <v>0.99999997777777772</v>
      </c>
      <c r="AM1228">
        <f>VLOOKUP($U1228,[2]Standard_Opportunity!$Q$1:$T$542,3,FALSE)</f>
        <v>2.2222222284540294E-8</v>
      </c>
      <c r="AN1228">
        <f>VLOOKUP($U1228,[2]Standard_Opportunity!$Q$1:$T$542,4,FALSE)</f>
        <v>0</v>
      </c>
      <c r="AO1228" s="77">
        <f t="shared" si="4136"/>
        <v>1</v>
      </c>
      <c r="AP1228" s="77">
        <f t="shared" si="4146"/>
        <v>6.4624999704999977E-2</v>
      </c>
      <c r="AQ1228" s="77">
        <f t="shared" si="4137"/>
        <v>5.2321923767311151E-3</v>
      </c>
      <c r="AR1228" s="79">
        <v>0</v>
      </c>
      <c r="AS1228" s="77">
        <f t="shared" si="4147"/>
        <v>0</v>
      </c>
      <c r="AT1228" s="77">
        <f t="shared" si="4148"/>
        <v>0</v>
      </c>
      <c r="AU1228" s="77">
        <f t="shared" si="4149"/>
        <v>2.5000000000000001E-3</v>
      </c>
      <c r="AV1228" s="77">
        <f t="shared" si="4150"/>
        <v>2.0809499864316017E-4</v>
      </c>
    </row>
    <row r="1229" spans="1:48">
      <c r="A1229" t="s">
        <v>175</v>
      </c>
      <c r="B1229" t="s">
        <v>180</v>
      </c>
      <c r="C1229" s="197" t="str">
        <f t="shared" ref="C1229:C1292" si="4171">A1229&amp;"_"&amp;B1229&amp;"_"&amp;D1229</f>
        <v>Lifecycle_Opportunity_400</v>
      </c>
      <c r="D1229">
        <v>400</v>
      </c>
      <c r="E1229">
        <f>VLOOKUP($D1229,'[2]LC Opportunity'!$Q$2:$U$542,2,FALSE)</f>
        <v>0</v>
      </c>
      <c r="F1229">
        <f>VLOOKUP($D1229,'[2]LC Opportunity'!$Q$2:$U$542,3,FALSE)</f>
        <v>0</v>
      </c>
      <c r="G1229">
        <f>VLOOKUP($D1229,'[2]LC Opportunity'!$Q$2:$U$542,4,FALSE)</f>
        <v>0</v>
      </c>
      <c r="H1229">
        <f>VLOOKUP($D1229,'[2]LC Opportunity'!$Q$2:$U$542,5,FALSE)</f>
        <v>0.99999999999999989</v>
      </c>
      <c r="I1229" s="77">
        <f t="shared" si="4131"/>
        <v>0.99999999999999989</v>
      </c>
      <c r="J1229" s="77">
        <f t="shared" si="4132"/>
        <v>7.1999999999999981E-2</v>
      </c>
      <c r="K1229" s="77">
        <f t="shared" si="4026"/>
        <v>5.8106552987937654E-3</v>
      </c>
      <c r="L1229" s="76">
        <v>0</v>
      </c>
      <c r="M1229" s="77">
        <f t="shared" si="4138"/>
        <v>0</v>
      </c>
      <c r="N1229" s="77">
        <f t="shared" si="4139"/>
        <v>0</v>
      </c>
      <c r="O1229" s="77">
        <f t="shared" si="4140"/>
        <v>4.9999999999999992E-3</v>
      </c>
      <c r="P1229" s="77">
        <f t="shared" si="4141"/>
        <v>4.1762458919303302E-4</v>
      </c>
      <c r="R1229" t="s">
        <v>177</v>
      </c>
      <c r="S1229" t="s">
        <v>180</v>
      </c>
      <c r="T1229" s="197" t="str">
        <f t="shared" ref="T1229:T1292" si="4172">R1229&amp;"_"&amp;S1229&amp;"_"&amp;U1229</f>
        <v>Autopilot_Opportunity_400</v>
      </c>
      <c r="U1229">
        <v>400</v>
      </c>
      <c r="V1229">
        <f>VLOOKUP($U1229,'[2]AP Opportunity'!$Q$1:$T$542,2,FALSE)</f>
        <v>0.99999997777777772</v>
      </c>
      <c r="W1229">
        <f>VLOOKUP($U1229,'[2]AP Opportunity'!$Q$1:$T$542,3,FALSE)</f>
        <v>2.2222222284540294E-8</v>
      </c>
      <c r="X1229">
        <f>VLOOKUP($U1229,'[2]AP Opportunity'!$Q$1:$T$542,4,FALSE)</f>
        <v>0</v>
      </c>
      <c r="Y1229" s="77">
        <f t="shared" ref="Y1229:Y1292" si="4173">SUM(V1229:X1229)</f>
        <v>1</v>
      </c>
      <c r="Z1229" s="77">
        <f t="shared" si="4027"/>
        <v>6.4624999704999977E-2</v>
      </c>
      <c r="AA1229" s="77">
        <f t="shared" si="4028"/>
        <v>5.2321923767311151E-3</v>
      </c>
      <c r="AB1229" s="79">
        <v>1</v>
      </c>
      <c r="AC1229" s="77">
        <f t="shared" si="4142"/>
        <v>8.499999955555556E-3</v>
      </c>
      <c r="AD1229" s="77">
        <f t="shared" ref="AD1229" si="4174">1-(1-AC1229)^(1/12)</f>
        <v>7.1110795759765644E-4</v>
      </c>
      <c r="AE1229" s="77">
        <f t="shared" si="4144"/>
        <v>2.5000000000000001E-3</v>
      </c>
      <c r="AF1229" s="77">
        <f t="shared" ref="AF1229" si="4175">1-(1-AE1229)^(1/12)</f>
        <v>2.0857243058891584E-4</v>
      </c>
      <c r="AH1229" t="s">
        <v>175</v>
      </c>
      <c r="AI1229" t="s">
        <v>180</v>
      </c>
      <c r="AJ1229" s="197" t="str">
        <f t="shared" si="4135"/>
        <v>Lifecycle_Opportunity_400</v>
      </c>
      <c r="AK1229">
        <v>400</v>
      </c>
      <c r="AL1229">
        <f>VLOOKUP($U1229,[2]Standard_Opportunity!$Q$1:$T$542,2,FALSE)</f>
        <v>0.99999997777777772</v>
      </c>
      <c r="AM1229">
        <f>VLOOKUP($U1229,[2]Standard_Opportunity!$Q$1:$T$542,3,FALSE)</f>
        <v>2.2222222284540294E-8</v>
      </c>
      <c r="AN1229">
        <f>VLOOKUP($U1229,[2]Standard_Opportunity!$Q$1:$T$542,4,FALSE)</f>
        <v>0</v>
      </c>
      <c r="AO1229" s="77">
        <f t="shared" si="4136"/>
        <v>1</v>
      </c>
      <c r="AP1229" s="77">
        <f t="shared" si="4146"/>
        <v>6.4624999704999977E-2</v>
      </c>
      <c r="AQ1229" s="77">
        <f t="shared" si="4137"/>
        <v>5.2321923767311151E-3</v>
      </c>
      <c r="AR1229" s="79">
        <v>0</v>
      </c>
      <c r="AS1229" s="77">
        <f t="shared" si="4147"/>
        <v>0</v>
      </c>
      <c r="AT1229" s="77">
        <f t="shared" si="4148"/>
        <v>0</v>
      </c>
      <c r="AU1229" s="77">
        <f t="shared" si="4149"/>
        <v>2.5000000000000001E-3</v>
      </c>
      <c r="AV1229" s="77">
        <f t="shared" si="4150"/>
        <v>2.0809499864316017E-4</v>
      </c>
    </row>
    <row r="1230" spans="1:48">
      <c r="A1230" t="s">
        <v>175</v>
      </c>
      <c r="B1230" t="s">
        <v>180</v>
      </c>
      <c r="C1230" s="197" t="str">
        <f t="shared" si="4171"/>
        <v>Lifecycle_Opportunity_399</v>
      </c>
      <c r="D1230">
        <v>399</v>
      </c>
      <c r="E1230">
        <f>VLOOKUP($D1230,'[2]LC Opportunity'!$Q$2:$U$542,2,FALSE)</f>
        <v>0</v>
      </c>
      <c r="F1230">
        <f>VLOOKUP($D1230,'[2]LC Opportunity'!$Q$2:$U$542,3,FALSE)</f>
        <v>0</v>
      </c>
      <c r="G1230">
        <f>VLOOKUP($D1230,'[2]LC Opportunity'!$Q$2:$U$542,4,FALSE)</f>
        <v>0</v>
      </c>
      <c r="H1230">
        <f>VLOOKUP($D1230,'[2]LC Opportunity'!$Q$2:$U$542,5,FALSE)</f>
        <v>0.99999999999999989</v>
      </c>
      <c r="I1230" s="77">
        <f t="shared" si="4131"/>
        <v>0.99999999999999989</v>
      </c>
      <c r="J1230" s="77">
        <f t="shared" si="4132"/>
        <v>7.1999999999999981E-2</v>
      </c>
      <c r="K1230" s="77">
        <f t="shared" ref="K1230:K1293" si="4176">(1+J1230)^(1/12)-1</f>
        <v>5.8106552987937654E-3</v>
      </c>
      <c r="L1230" s="76">
        <v>0</v>
      </c>
      <c r="M1230" s="77">
        <f t="shared" si="4138"/>
        <v>0</v>
      </c>
      <c r="N1230" s="77">
        <f t="shared" si="4139"/>
        <v>0</v>
      </c>
      <c r="O1230" s="77">
        <f t="shared" si="4140"/>
        <v>4.9999999999999992E-3</v>
      </c>
      <c r="P1230" s="77">
        <f t="shared" si="4141"/>
        <v>4.1762458919303302E-4</v>
      </c>
      <c r="R1230" t="s">
        <v>177</v>
      </c>
      <c r="S1230" t="s">
        <v>180</v>
      </c>
      <c r="T1230" s="197" t="str">
        <f t="shared" si="4172"/>
        <v>Autopilot_Opportunity_399</v>
      </c>
      <c r="U1230">
        <v>399</v>
      </c>
      <c r="V1230">
        <f>VLOOKUP($U1230,'[2]AP Opportunity'!$Q$1:$T$542,2,FALSE)</f>
        <v>0.99999997777777772</v>
      </c>
      <c r="W1230">
        <f>VLOOKUP($U1230,'[2]AP Opportunity'!$Q$1:$T$542,3,FALSE)</f>
        <v>2.2222222284540294E-8</v>
      </c>
      <c r="X1230">
        <f>VLOOKUP($U1230,'[2]AP Opportunity'!$Q$1:$T$542,4,FALSE)</f>
        <v>0</v>
      </c>
      <c r="Y1230" s="77">
        <f t="shared" si="4173"/>
        <v>1</v>
      </c>
      <c r="Z1230" s="77">
        <f t="shared" ref="Z1230:Z1293" si="4177">SUMPRODUCT($V$1:$X$1,V1230:X1230)</f>
        <v>6.4624999704999977E-2</v>
      </c>
      <c r="AA1230" s="77">
        <f t="shared" ref="AA1230:AA1293" si="4178">(1+Z1230)^(1/12)-1</f>
        <v>5.2321923767311151E-3</v>
      </c>
      <c r="AB1230" s="79">
        <v>1</v>
      </c>
      <c r="AC1230" s="77">
        <f t="shared" si="4142"/>
        <v>8.499999955555556E-3</v>
      </c>
      <c r="AD1230" s="77">
        <f t="shared" ref="AD1230" si="4179">1-(1-AC1230)^(1/12)</f>
        <v>7.1110795759765644E-4</v>
      </c>
      <c r="AE1230" s="77">
        <f t="shared" si="4144"/>
        <v>2.5000000000000001E-3</v>
      </c>
      <c r="AF1230" s="77">
        <f t="shared" ref="AF1230" si="4180">1-(1-AE1230)^(1/12)</f>
        <v>2.0857243058891584E-4</v>
      </c>
      <c r="AH1230" t="s">
        <v>175</v>
      </c>
      <c r="AI1230" t="s">
        <v>180</v>
      </c>
      <c r="AJ1230" s="197" t="str">
        <f t="shared" si="4135"/>
        <v>Lifecycle_Opportunity_399</v>
      </c>
      <c r="AK1230">
        <v>399</v>
      </c>
      <c r="AL1230">
        <f>VLOOKUP($U1230,[2]Standard_Opportunity!$Q$1:$T$542,2,FALSE)</f>
        <v>0.99999997777777772</v>
      </c>
      <c r="AM1230">
        <f>VLOOKUP($U1230,[2]Standard_Opportunity!$Q$1:$T$542,3,FALSE)</f>
        <v>2.2222222284540294E-8</v>
      </c>
      <c r="AN1230">
        <f>VLOOKUP($U1230,[2]Standard_Opportunity!$Q$1:$T$542,4,FALSE)</f>
        <v>0</v>
      </c>
      <c r="AO1230" s="77">
        <f t="shared" si="4136"/>
        <v>1</v>
      </c>
      <c r="AP1230" s="77">
        <f t="shared" si="4146"/>
        <v>6.4624999704999977E-2</v>
      </c>
      <c r="AQ1230" s="77">
        <f t="shared" si="4137"/>
        <v>5.2321923767311151E-3</v>
      </c>
      <c r="AR1230" s="79">
        <v>0</v>
      </c>
      <c r="AS1230" s="77">
        <f t="shared" si="4147"/>
        <v>0</v>
      </c>
      <c r="AT1230" s="77">
        <f t="shared" si="4148"/>
        <v>0</v>
      </c>
      <c r="AU1230" s="77">
        <f t="shared" si="4149"/>
        <v>2.5000000000000001E-3</v>
      </c>
      <c r="AV1230" s="77">
        <f t="shared" si="4150"/>
        <v>2.0809499864316017E-4</v>
      </c>
    </row>
    <row r="1231" spans="1:48">
      <c r="A1231" t="s">
        <v>175</v>
      </c>
      <c r="B1231" t="s">
        <v>180</v>
      </c>
      <c r="C1231" s="197" t="str">
        <f t="shared" si="4171"/>
        <v>Lifecycle_Opportunity_398</v>
      </c>
      <c r="D1231">
        <v>398</v>
      </c>
      <c r="E1231">
        <f>VLOOKUP($D1231,'[2]LC Opportunity'!$Q$2:$U$542,2,FALSE)</f>
        <v>0</v>
      </c>
      <c r="F1231">
        <f>VLOOKUP($D1231,'[2]LC Opportunity'!$Q$2:$U$542,3,FALSE)</f>
        <v>0</v>
      </c>
      <c r="G1231">
        <f>VLOOKUP($D1231,'[2]LC Opportunity'!$Q$2:$U$542,4,FALSE)</f>
        <v>0</v>
      </c>
      <c r="H1231">
        <f>VLOOKUP($D1231,'[2]LC Opportunity'!$Q$2:$U$542,5,FALSE)</f>
        <v>0.99999999999999989</v>
      </c>
      <c r="I1231" s="77">
        <f t="shared" si="4131"/>
        <v>0.99999999999999989</v>
      </c>
      <c r="J1231" s="77">
        <f t="shared" si="4132"/>
        <v>7.1999999999999981E-2</v>
      </c>
      <c r="K1231" s="77">
        <f t="shared" si="4176"/>
        <v>5.8106552987937654E-3</v>
      </c>
      <c r="L1231" s="76">
        <v>0</v>
      </c>
      <c r="M1231" s="77">
        <f t="shared" si="4138"/>
        <v>0</v>
      </c>
      <c r="N1231" s="77">
        <f t="shared" si="4139"/>
        <v>0</v>
      </c>
      <c r="O1231" s="77">
        <f t="shared" si="4140"/>
        <v>4.9999999999999992E-3</v>
      </c>
      <c r="P1231" s="77">
        <f t="shared" si="4141"/>
        <v>4.1762458919303302E-4</v>
      </c>
      <c r="R1231" t="s">
        <v>177</v>
      </c>
      <c r="S1231" t="s">
        <v>180</v>
      </c>
      <c r="T1231" s="197" t="str">
        <f t="shared" si="4172"/>
        <v>Autopilot_Opportunity_398</v>
      </c>
      <c r="U1231">
        <v>398</v>
      </c>
      <c r="V1231">
        <f>VLOOKUP($U1231,'[2]AP Opportunity'!$Q$1:$T$542,2,FALSE)</f>
        <v>0.99999997777777772</v>
      </c>
      <c r="W1231">
        <f>VLOOKUP($U1231,'[2]AP Opportunity'!$Q$1:$T$542,3,FALSE)</f>
        <v>2.2222222284540294E-8</v>
      </c>
      <c r="X1231">
        <f>VLOOKUP($U1231,'[2]AP Opportunity'!$Q$1:$T$542,4,FALSE)</f>
        <v>0</v>
      </c>
      <c r="Y1231" s="77">
        <f t="shared" si="4173"/>
        <v>1</v>
      </c>
      <c r="Z1231" s="77">
        <f t="shared" si="4177"/>
        <v>6.4624999704999977E-2</v>
      </c>
      <c r="AA1231" s="77">
        <f t="shared" si="4178"/>
        <v>5.2321923767311151E-3</v>
      </c>
      <c r="AB1231" s="79">
        <v>1</v>
      </c>
      <c r="AC1231" s="77">
        <f t="shared" si="4142"/>
        <v>8.499999955555556E-3</v>
      </c>
      <c r="AD1231" s="77">
        <f t="shared" ref="AD1231" si="4181">1-(1-AC1231)^(1/12)</f>
        <v>7.1110795759765644E-4</v>
      </c>
      <c r="AE1231" s="77">
        <f t="shared" si="4144"/>
        <v>2.5000000000000001E-3</v>
      </c>
      <c r="AF1231" s="77">
        <f t="shared" ref="AF1231" si="4182">1-(1-AE1231)^(1/12)</f>
        <v>2.0857243058891584E-4</v>
      </c>
      <c r="AH1231" t="s">
        <v>175</v>
      </c>
      <c r="AI1231" t="s">
        <v>180</v>
      </c>
      <c r="AJ1231" s="197" t="str">
        <f t="shared" si="4135"/>
        <v>Lifecycle_Opportunity_398</v>
      </c>
      <c r="AK1231">
        <v>398</v>
      </c>
      <c r="AL1231">
        <f>VLOOKUP($U1231,[2]Standard_Opportunity!$Q$1:$T$542,2,FALSE)</f>
        <v>0.99999997777777772</v>
      </c>
      <c r="AM1231">
        <f>VLOOKUP($U1231,[2]Standard_Opportunity!$Q$1:$T$542,3,FALSE)</f>
        <v>2.2222222284540294E-8</v>
      </c>
      <c r="AN1231">
        <f>VLOOKUP($U1231,[2]Standard_Opportunity!$Q$1:$T$542,4,FALSE)</f>
        <v>0</v>
      </c>
      <c r="AO1231" s="77">
        <f t="shared" si="4136"/>
        <v>1</v>
      </c>
      <c r="AP1231" s="77">
        <f t="shared" si="4146"/>
        <v>6.4624999704999977E-2</v>
      </c>
      <c r="AQ1231" s="77">
        <f t="shared" si="4137"/>
        <v>5.2321923767311151E-3</v>
      </c>
      <c r="AR1231" s="79">
        <v>0</v>
      </c>
      <c r="AS1231" s="77">
        <f t="shared" si="4147"/>
        <v>0</v>
      </c>
      <c r="AT1231" s="77">
        <f t="shared" si="4148"/>
        <v>0</v>
      </c>
      <c r="AU1231" s="77">
        <f t="shared" si="4149"/>
        <v>2.5000000000000001E-3</v>
      </c>
      <c r="AV1231" s="77">
        <f t="shared" si="4150"/>
        <v>2.0809499864316017E-4</v>
      </c>
    </row>
    <row r="1232" spans="1:48">
      <c r="A1232" t="s">
        <v>175</v>
      </c>
      <c r="B1232" t="s">
        <v>180</v>
      </c>
      <c r="C1232" s="197" t="str">
        <f t="shared" si="4171"/>
        <v>Lifecycle_Opportunity_397</v>
      </c>
      <c r="D1232">
        <v>397</v>
      </c>
      <c r="E1232">
        <f>VLOOKUP($D1232,'[2]LC Opportunity'!$Q$2:$U$542,2,FALSE)</f>
        <v>0</v>
      </c>
      <c r="F1232">
        <f>VLOOKUP($D1232,'[2]LC Opportunity'!$Q$2:$U$542,3,FALSE)</f>
        <v>0</v>
      </c>
      <c r="G1232">
        <f>VLOOKUP($D1232,'[2]LC Opportunity'!$Q$2:$U$542,4,FALSE)</f>
        <v>0</v>
      </c>
      <c r="H1232">
        <f>VLOOKUP($D1232,'[2]LC Opportunity'!$Q$2:$U$542,5,FALSE)</f>
        <v>0.99999999999999989</v>
      </c>
      <c r="I1232" s="77">
        <f t="shared" si="4131"/>
        <v>0.99999999999999989</v>
      </c>
      <c r="J1232" s="77">
        <f t="shared" si="4132"/>
        <v>7.1999999999999981E-2</v>
      </c>
      <c r="K1232" s="77">
        <f t="shared" si="4176"/>
        <v>5.8106552987937654E-3</v>
      </c>
      <c r="L1232" s="76">
        <v>0</v>
      </c>
      <c r="M1232" s="77">
        <f t="shared" si="4138"/>
        <v>0</v>
      </c>
      <c r="N1232" s="77">
        <f t="shared" si="4139"/>
        <v>0</v>
      </c>
      <c r="O1232" s="77">
        <f t="shared" si="4140"/>
        <v>4.9999999999999992E-3</v>
      </c>
      <c r="P1232" s="77">
        <f t="shared" si="4141"/>
        <v>4.1762458919303302E-4</v>
      </c>
      <c r="R1232" t="s">
        <v>177</v>
      </c>
      <c r="S1232" t="s">
        <v>180</v>
      </c>
      <c r="T1232" s="197" t="str">
        <f t="shared" si="4172"/>
        <v>Autopilot_Opportunity_397</v>
      </c>
      <c r="U1232">
        <v>397</v>
      </c>
      <c r="V1232">
        <f>VLOOKUP($U1232,'[2]AP Opportunity'!$Q$1:$T$542,2,FALSE)</f>
        <v>0.99999997777777772</v>
      </c>
      <c r="W1232">
        <f>VLOOKUP($U1232,'[2]AP Opportunity'!$Q$1:$T$542,3,FALSE)</f>
        <v>2.2222222284540294E-8</v>
      </c>
      <c r="X1232">
        <f>VLOOKUP($U1232,'[2]AP Opportunity'!$Q$1:$T$542,4,FALSE)</f>
        <v>0</v>
      </c>
      <c r="Y1232" s="77">
        <f t="shared" si="4173"/>
        <v>1</v>
      </c>
      <c r="Z1232" s="77">
        <f t="shared" si="4177"/>
        <v>6.4624999704999977E-2</v>
      </c>
      <c r="AA1232" s="77">
        <f t="shared" si="4178"/>
        <v>5.2321923767311151E-3</v>
      </c>
      <c r="AB1232" s="79">
        <v>1</v>
      </c>
      <c r="AC1232" s="77">
        <f t="shared" si="4142"/>
        <v>8.499999955555556E-3</v>
      </c>
      <c r="AD1232" s="77">
        <f t="shared" ref="AD1232" si="4183">1-(1-AC1232)^(1/12)</f>
        <v>7.1110795759765644E-4</v>
      </c>
      <c r="AE1232" s="77">
        <f t="shared" si="4144"/>
        <v>2.5000000000000001E-3</v>
      </c>
      <c r="AF1232" s="77">
        <f t="shared" ref="AF1232" si="4184">1-(1-AE1232)^(1/12)</f>
        <v>2.0857243058891584E-4</v>
      </c>
      <c r="AH1232" t="s">
        <v>175</v>
      </c>
      <c r="AI1232" t="s">
        <v>180</v>
      </c>
      <c r="AJ1232" s="197" t="str">
        <f t="shared" si="4135"/>
        <v>Lifecycle_Opportunity_397</v>
      </c>
      <c r="AK1232">
        <v>397</v>
      </c>
      <c r="AL1232">
        <f>VLOOKUP($U1232,[2]Standard_Opportunity!$Q$1:$T$542,2,FALSE)</f>
        <v>0.99999997777777772</v>
      </c>
      <c r="AM1232">
        <f>VLOOKUP($U1232,[2]Standard_Opportunity!$Q$1:$T$542,3,FALSE)</f>
        <v>2.2222222284540294E-8</v>
      </c>
      <c r="AN1232">
        <f>VLOOKUP($U1232,[2]Standard_Opportunity!$Q$1:$T$542,4,FALSE)</f>
        <v>0</v>
      </c>
      <c r="AO1232" s="77">
        <f t="shared" si="4136"/>
        <v>1</v>
      </c>
      <c r="AP1232" s="77">
        <f t="shared" si="4146"/>
        <v>6.4624999704999977E-2</v>
      </c>
      <c r="AQ1232" s="77">
        <f t="shared" si="4137"/>
        <v>5.2321923767311151E-3</v>
      </c>
      <c r="AR1232" s="79">
        <v>0</v>
      </c>
      <c r="AS1232" s="77">
        <f t="shared" si="4147"/>
        <v>0</v>
      </c>
      <c r="AT1232" s="77">
        <f t="shared" si="4148"/>
        <v>0</v>
      </c>
      <c r="AU1232" s="77">
        <f t="shared" si="4149"/>
        <v>2.5000000000000001E-3</v>
      </c>
      <c r="AV1232" s="77">
        <f t="shared" si="4150"/>
        <v>2.0809499864316017E-4</v>
      </c>
    </row>
    <row r="1233" spans="1:48">
      <c r="A1233" t="s">
        <v>175</v>
      </c>
      <c r="B1233" t="s">
        <v>180</v>
      </c>
      <c r="C1233" s="197" t="str">
        <f t="shared" si="4171"/>
        <v>Lifecycle_Opportunity_396</v>
      </c>
      <c r="D1233">
        <v>396</v>
      </c>
      <c r="E1233">
        <f>VLOOKUP($D1233,'[2]LC Opportunity'!$Q$2:$U$542,2,FALSE)</f>
        <v>0</v>
      </c>
      <c r="F1233">
        <f>VLOOKUP($D1233,'[2]LC Opportunity'!$Q$2:$U$542,3,FALSE)</f>
        <v>0</v>
      </c>
      <c r="G1233">
        <f>VLOOKUP($D1233,'[2]LC Opportunity'!$Q$2:$U$542,4,FALSE)</f>
        <v>0</v>
      </c>
      <c r="H1233">
        <f>VLOOKUP($D1233,'[2]LC Opportunity'!$Q$2:$U$542,5,FALSE)</f>
        <v>0.99999999999999989</v>
      </c>
      <c r="I1233" s="77">
        <f t="shared" si="4131"/>
        <v>0.99999999999999989</v>
      </c>
      <c r="J1233" s="77">
        <f t="shared" si="4132"/>
        <v>7.1999999999999981E-2</v>
      </c>
      <c r="K1233" s="77">
        <f t="shared" si="4176"/>
        <v>5.8106552987937654E-3</v>
      </c>
      <c r="L1233" s="76">
        <v>0</v>
      </c>
      <c r="M1233" s="77">
        <f t="shared" si="4138"/>
        <v>0</v>
      </c>
      <c r="N1233" s="77">
        <f t="shared" si="4139"/>
        <v>0</v>
      </c>
      <c r="O1233" s="77">
        <f t="shared" si="4140"/>
        <v>4.9999999999999992E-3</v>
      </c>
      <c r="P1233" s="77">
        <f t="shared" si="4141"/>
        <v>4.1762458919303302E-4</v>
      </c>
      <c r="R1233" t="s">
        <v>177</v>
      </c>
      <c r="S1233" t="s">
        <v>180</v>
      </c>
      <c r="T1233" s="197" t="str">
        <f t="shared" si="4172"/>
        <v>Autopilot_Opportunity_396</v>
      </c>
      <c r="U1233">
        <v>396</v>
      </c>
      <c r="V1233">
        <f>VLOOKUP($U1233,'[2]AP Opportunity'!$Q$1:$T$542,2,FALSE)</f>
        <v>0.99999997777777772</v>
      </c>
      <c r="W1233">
        <f>VLOOKUP($U1233,'[2]AP Opportunity'!$Q$1:$T$542,3,FALSE)</f>
        <v>2.2222222284540294E-8</v>
      </c>
      <c r="X1233">
        <f>VLOOKUP($U1233,'[2]AP Opportunity'!$Q$1:$T$542,4,FALSE)</f>
        <v>0</v>
      </c>
      <c r="Y1233" s="77">
        <f t="shared" si="4173"/>
        <v>1</v>
      </c>
      <c r="Z1233" s="77">
        <f t="shared" si="4177"/>
        <v>6.4624999704999977E-2</v>
      </c>
      <c r="AA1233" s="77">
        <f t="shared" si="4178"/>
        <v>5.2321923767311151E-3</v>
      </c>
      <c r="AB1233" s="79">
        <v>1</v>
      </c>
      <c r="AC1233" s="77">
        <f t="shared" si="4142"/>
        <v>8.499999955555556E-3</v>
      </c>
      <c r="AD1233" s="77">
        <f t="shared" ref="AD1233" si="4185">1-(1-AC1233)^(1/12)</f>
        <v>7.1110795759765644E-4</v>
      </c>
      <c r="AE1233" s="77">
        <f t="shared" si="4144"/>
        <v>2.5000000000000001E-3</v>
      </c>
      <c r="AF1233" s="77">
        <f t="shared" ref="AF1233" si="4186">1-(1-AE1233)^(1/12)</f>
        <v>2.0857243058891584E-4</v>
      </c>
      <c r="AH1233" t="s">
        <v>175</v>
      </c>
      <c r="AI1233" t="s">
        <v>180</v>
      </c>
      <c r="AJ1233" s="197" t="str">
        <f t="shared" si="4135"/>
        <v>Lifecycle_Opportunity_396</v>
      </c>
      <c r="AK1233">
        <v>396</v>
      </c>
      <c r="AL1233">
        <f>VLOOKUP($U1233,[2]Standard_Opportunity!$Q$1:$T$542,2,FALSE)</f>
        <v>0.99999997777777772</v>
      </c>
      <c r="AM1233">
        <f>VLOOKUP($U1233,[2]Standard_Opportunity!$Q$1:$T$542,3,FALSE)</f>
        <v>2.2222222284540294E-8</v>
      </c>
      <c r="AN1233">
        <f>VLOOKUP($U1233,[2]Standard_Opportunity!$Q$1:$T$542,4,FALSE)</f>
        <v>0</v>
      </c>
      <c r="AO1233" s="77">
        <f t="shared" si="4136"/>
        <v>1</v>
      </c>
      <c r="AP1233" s="77">
        <f t="shared" si="4146"/>
        <v>6.4624999704999977E-2</v>
      </c>
      <c r="AQ1233" s="77">
        <f t="shared" si="4137"/>
        <v>5.2321923767311151E-3</v>
      </c>
      <c r="AR1233" s="79">
        <v>0</v>
      </c>
      <c r="AS1233" s="77">
        <f t="shared" si="4147"/>
        <v>0</v>
      </c>
      <c r="AT1233" s="77">
        <f t="shared" si="4148"/>
        <v>0</v>
      </c>
      <c r="AU1233" s="77">
        <f t="shared" si="4149"/>
        <v>2.5000000000000001E-3</v>
      </c>
      <c r="AV1233" s="77">
        <f t="shared" si="4150"/>
        <v>2.0809499864316017E-4</v>
      </c>
    </row>
    <row r="1234" spans="1:48">
      <c r="A1234" t="s">
        <v>175</v>
      </c>
      <c r="B1234" t="s">
        <v>180</v>
      </c>
      <c r="C1234" s="197" t="str">
        <f t="shared" si="4171"/>
        <v>Lifecycle_Opportunity_395</v>
      </c>
      <c r="D1234">
        <v>395</v>
      </c>
      <c r="E1234">
        <f>VLOOKUP($D1234,'[2]LC Opportunity'!$Q$2:$U$542,2,FALSE)</f>
        <v>0</v>
      </c>
      <c r="F1234">
        <f>VLOOKUP($D1234,'[2]LC Opportunity'!$Q$2:$U$542,3,FALSE)</f>
        <v>0</v>
      </c>
      <c r="G1234">
        <f>VLOOKUP($D1234,'[2]LC Opportunity'!$Q$2:$U$542,4,FALSE)</f>
        <v>0</v>
      </c>
      <c r="H1234">
        <f>VLOOKUP($D1234,'[2]LC Opportunity'!$Q$2:$U$542,5,FALSE)</f>
        <v>0.99999999999999989</v>
      </c>
      <c r="I1234" s="77">
        <f t="shared" si="4131"/>
        <v>0.99999999999999989</v>
      </c>
      <c r="J1234" s="77">
        <f t="shared" si="4132"/>
        <v>7.1999999999999981E-2</v>
      </c>
      <c r="K1234" s="77">
        <f t="shared" si="4176"/>
        <v>5.8106552987937654E-3</v>
      </c>
      <c r="L1234" s="76">
        <v>0</v>
      </c>
      <c r="M1234" s="77">
        <f t="shared" si="4138"/>
        <v>0</v>
      </c>
      <c r="N1234" s="77">
        <f t="shared" si="4139"/>
        <v>0</v>
      </c>
      <c r="O1234" s="77">
        <f t="shared" si="4140"/>
        <v>4.9999999999999992E-3</v>
      </c>
      <c r="P1234" s="77">
        <f t="shared" si="4141"/>
        <v>4.1762458919303302E-4</v>
      </c>
      <c r="R1234" t="s">
        <v>177</v>
      </c>
      <c r="S1234" t="s">
        <v>180</v>
      </c>
      <c r="T1234" s="197" t="str">
        <f t="shared" si="4172"/>
        <v>Autopilot_Opportunity_395</v>
      </c>
      <c r="U1234">
        <v>395</v>
      </c>
      <c r="V1234">
        <f>VLOOKUP($U1234,'[2]AP Opportunity'!$Q$1:$T$542,2,FALSE)</f>
        <v>0.99999997777777772</v>
      </c>
      <c r="W1234">
        <f>VLOOKUP($U1234,'[2]AP Opportunity'!$Q$1:$T$542,3,FALSE)</f>
        <v>2.2222222284540294E-8</v>
      </c>
      <c r="X1234">
        <f>VLOOKUP($U1234,'[2]AP Opportunity'!$Q$1:$T$542,4,FALSE)</f>
        <v>0</v>
      </c>
      <c r="Y1234" s="77">
        <f t="shared" si="4173"/>
        <v>1</v>
      </c>
      <c r="Z1234" s="77">
        <f t="shared" si="4177"/>
        <v>6.4624999704999977E-2</v>
      </c>
      <c r="AA1234" s="77">
        <f t="shared" si="4178"/>
        <v>5.2321923767311151E-3</v>
      </c>
      <c r="AB1234" s="79">
        <v>1</v>
      </c>
      <c r="AC1234" s="77">
        <f t="shared" si="4142"/>
        <v>8.499999955555556E-3</v>
      </c>
      <c r="AD1234" s="77">
        <f t="shared" ref="AD1234" si="4187">1-(1-AC1234)^(1/12)</f>
        <v>7.1110795759765644E-4</v>
      </c>
      <c r="AE1234" s="77">
        <f t="shared" si="4144"/>
        <v>2.5000000000000001E-3</v>
      </c>
      <c r="AF1234" s="77">
        <f t="shared" ref="AF1234" si="4188">1-(1-AE1234)^(1/12)</f>
        <v>2.0857243058891584E-4</v>
      </c>
      <c r="AH1234" t="s">
        <v>175</v>
      </c>
      <c r="AI1234" t="s">
        <v>180</v>
      </c>
      <c r="AJ1234" s="197" t="str">
        <f t="shared" si="4135"/>
        <v>Lifecycle_Opportunity_395</v>
      </c>
      <c r="AK1234">
        <v>395</v>
      </c>
      <c r="AL1234">
        <f>VLOOKUP($U1234,[2]Standard_Opportunity!$Q$1:$T$542,2,FALSE)</f>
        <v>0.99999997777777772</v>
      </c>
      <c r="AM1234">
        <f>VLOOKUP($U1234,[2]Standard_Opportunity!$Q$1:$T$542,3,FALSE)</f>
        <v>2.2222222284540294E-8</v>
      </c>
      <c r="AN1234">
        <f>VLOOKUP($U1234,[2]Standard_Opportunity!$Q$1:$T$542,4,FALSE)</f>
        <v>0</v>
      </c>
      <c r="AO1234" s="77">
        <f t="shared" si="4136"/>
        <v>1</v>
      </c>
      <c r="AP1234" s="77">
        <f t="shared" si="4146"/>
        <v>6.4624999704999977E-2</v>
      </c>
      <c r="AQ1234" s="77">
        <f t="shared" si="4137"/>
        <v>5.2321923767311151E-3</v>
      </c>
      <c r="AR1234" s="79">
        <v>0</v>
      </c>
      <c r="AS1234" s="77">
        <f t="shared" si="4147"/>
        <v>0</v>
      </c>
      <c r="AT1234" s="77">
        <f t="shared" si="4148"/>
        <v>0</v>
      </c>
      <c r="AU1234" s="77">
        <f t="shared" si="4149"/>
        <v>2.5000000000000001E-3</v>
      </c>
      <c r="AV1234" s="77">
        <f t="shared" si="4150"/>
        <v>2.0809499864316017E-4</v>
      </c>
    </row>
    <row r="1235" spans="1:48">
      <c r="A1235" t="s">
        <v>175</v>
      </c>
      <c r="B1235" t="s">
        <v>180</v>
      </c>
      <c r="C1235" s="197" t="str">
        <f t="shared" si="4171"/>
        <v>Lifecycle_Opportunity_394</v>
      </c>
      <c r="D1235">
        <v>394</v>
      </c>
      <c r="E1235">
        <f>VLOOKUP($D1235,'[2]LC Opportunity'!$Q$2:$U$542,2,FALSE)</f>
        <v>0</v>
      </c>
      <c r="F1235">
        <f>VLOOKUP($D1235,'[2]LC Opportunity'!$Q$2:$U$542,3,FALSE)</f>
        <v>0</v>
      </c>
      <c r="G1235">
        <f>VLOOKUP($D1235,'[2]LC Opportunity'!$Q$2:$U$542,4,FALSE)</f>
        <v>0</v>
      </c>
      <c r="H1235">
        <f>VLOOKUP($D1235,'[2]LC Opportunity'!$Q$2:$U$542,5,FALSE)</f>
        <v>0.99999999999999989</v>
      </c>
      <c r="I1235" s="77">
        <f t="shared" si="4131"/>
        <v>0.99999999999999989</v>
      </c>
      <c r="J1235" s="77">
        <f t="shared" si="4132"/>
        <v>7.1999999999999981E-2</v>
      </c>
      <c r="K1235" s="77">
        <f t="shared" si="4176"/>
        <v>5.8106552987937654E-3</v>
      </c>
      <c r="L1235" s="76">
        <v>0</v>
      </c>
      <c r="M1235" s="77">
        <f t="shared" si="4138"/>
        <v>0</v>
      </c>
      <c r="N1235" s="77">
        <f t="shared" si="4139"/>
        <v>0</v>
      </c>
      <c r="O1235" s="77">
        <f t="shared" si="4140"/>
        <v>4.9999999999999992E-3</v>
      </c>
      <c r="P1235" s="77">
        <f t="shared" si="4141"/>
        <v>4.1762458919303302E-4</v>
      </c>
      <c r="R1235" t="s">
        <v>177</v>
      </c>
      <c r="S1235" t="s">
        <v>180</v>
      </c>
      <c r="T1235" s="197" t="str">
        <f t="shared" si="4172"/>
        <v>Autopilot_Opportunity_394</v>
      </c>
      <c r="U1235">
        <v>394</v>
      </c>
      <c r="V1235">
        <f>VLOOKUP($U1235,'[2]AP Opportunity'!$Q$1:$T$542,2,FALSE)</f>
        <v>0.99999997777777772</v>
      </c>
      <c r="W1235">
        <f>VLOOKUP($U1235,'[2]AP Opportunity'!$Q$1:$T$542,3,FALSE)</f>
        <v>2.2222222284540294E-8</v>
      </c>
      <c r="X1235">
        <f>VLOOKUP($U1235,'[2]AP Opportunity'!$Q$1:$T$542,4,FALSE)</f>
        <v>0</v>
      </c>
      <c r="Y1235" s="77">
        <f t="shared" si="4173"/>
        <v>1</v>
      </c>
      <c r="Z1235" s="77">
        <f t="shared" si="4177"/>
        <v>6.4624999704999977E-2</v>
      </c>
      <c r="AA1235" s="77">
        <f t="shared" si="4178"/>
        <v>5.2321923767311151E-3</v>
      </c>
      <c r="AB1235" s="79">
        <v>1</v>
      </c>
      <c r="AC1235" s="77">
        <f t="shared" si="4142"/>
        <v>8.499999955555556E-3</v>
      </c>
      <c r="AD1235" s="77">
        <f t="shared" ref="AD1235" si="4189">1-(1-AC1235)^(1/12)</f>
        <v>7.1110795759765644E-4</v>
      </c>
      <c r="AE1235" s="77">
        <f t="shared" si="4144"/>
        <v>2.5000000000000001E-3</v>
      </c>
      <c r="AF1235" s="77">
        <f t="shared" ref="AF1235" si="4190">1-(1-AE1235)^(1/12)</f>
        <v>2.0857243058891584E-4</v>
      </c>
      <c r="AH1235" t="s">
        <v>175</v>
      </c>
      <c r="AI1235" t="s">
        <v>180</v>
      </c>
      <c r="AJ1235" s="197" t="str">
        <f t="shared" si="4135"/>
        <v>Lifecycle_Opportunity_394</v>
      </c>
      <c r="AK1235">
        <v>394</v>
      </c>
      <c r="AL1235">
        <f>VLOOKUP($U1235,[2]Standard_Opportunity!$Q$1:$T$542,2,FALSE)</f>
        <v>0.99999997777777772</v>
      </c>
      <c r="AM1235">
        <f>VLOOKUP($U1235,[2]Standard_Opportunity!$Q$1:$T$542,3,FALSE)</f>
        <v>2.2222222284540294E-8</v>
      </c>
      <c r="AN1235">
        <f>VLOOKUP($U1235,[2]Standard_Opportunity!$Q$1:$T$542,4,FALSE)</f>
        <v>0</v>
      </c>
      <c r="AO1235" s="77">
        <f t="shared" si="4136"/>
        <v>1</v>
      </c>
      <c r="AP1235" s="77">
        <f t="shared" si="4146"/>
        <v>6.4624999704999977E-2</v>
      </c>
      <c r="AQ1235" s="77">
        <f t="shared" si="4137"/>
        <v>5.2321923767311151E-3</v>
      </c>
      <c r="AR1235" s="79">
        <v>0</v>
      </c>
      <c r="AS1235" s="77">
        <f t="shared" si="4147"/>
        <v>0</v>
      </c>
      <c r="AT1235" s="77">
        <f t="shared" si="4148"/>
        <v>0</v>
      </c>
      <c r="AU1235" s="77">
        <f t="shared" si="4149"/>
        <v>2.5000000000000001E-3</v>
      </c>
      <c r="AV1235" s="77">
        <f t="shared" si="4150"/>
        <v>2.0809499864316017E-4</v>
      </c>
    </row>
    <row r="1236" spans="1:48">
      <c r="A1236" t="s">
        <v>175</v>
      </c>
      <c r="B1236" t="s">
        <v>180</v>
      </c>
      <c r="C1236" s="197" t="str">
        <f t="shared" si="4171"/>
        <v>Lifecycle_Opportunity_393</v>
      </c>
      <c r="D1236">
        <v>393</v>
      </c>
      <c r="E1236">
        <f>VLOOKUP($D1236,'[2]LC Opportunity'!$Q$2:$U$542,2,FALSE)</f>
        <v>0</v>
      </c>
      <c r="F1236">
        <f>VLOOKUP($D1236,'[2]LC Opportunity'!$Q$2:$U$542,3,FALSE)</f>
        <v>0</v>
      </c>
      <c r="G1236">
        <f>VLOOKUP($D1236,'[2]LC Opportunity'!$Q$2:$U$542,4,FALSE)</f>
        <v>0</v>
      </c>
      <c r="H1236">
        <f>VLOOKUP($D1236,'[2]LC Opportunity'!$Q$2:$U$542,5,FALSE)</f>
        <v>0.99999999999999989</v>
      </c>
      <c r="I1236" s="77">
        <f t="shared" si="4131"/>
        <v>0.99999999999999989</v>
      </c>
      <c r="J1236" s="77">
        <f t="shared" si="4132"/>
        <v>7.1999999999999981E-2</v>
      </c>
      <c r="K1236" s="77">
        <f t="shared" si="4176"/>
        <v>5.8106552987937654E-3</v>
      </c>
      <c r="L1236" s="76">
        <v>0</v>
      </c>
      <c r="M1236" s="77">
        <f t="shared" si="4138"/>
        <v>0</v>
      </c>
      <c r="N1236" s="77">
        <f t="shared" si="4139"/>
        <v>0</v>
      </c>
      <c r="O1236" s="77">
        <f t="shared" si="4140"/>
        <v>4.9999999999999992E-3</v>
      </c>
      <c r="P1236" s="77">
        <f t="shared" si="4141"/>
        <v>4.1762458919303302E-4</v>
      </c>
      <c r="R1236" t="s">
        <v>177</v>
      </c>
      <c r="S1236" t="s">
        <v>180</v>
      </c>
      <c r="T1236" s="197" t="str">
        <f t="shared" si="4172"/>
        <v>Autopilot_Opportunity_393</v>
      </c>
      <c r="U1236">
        <v>393</v>
      </c>
      <c r="V1236">
        <f>VLOOKUP($U1236,'[2]AP Opportunity'!$Q$1:$T$542,2,FALSE)</f>
        <v>0.99999997777777772</v>
      </c>
      <c r="W1236">
        <f>VLOOKUP($U1236,'[2]AP Opportunity'!$Q$1:$T$542,3,FALSE)</f>
        <v>2.2222222284540294E-8</v>
      </c>
      <c r="X1236">
        <f>VLOOKUP($U1236,'[2]AP Opportunity'!$Q$1:$T$542,4,FALSE)</f>
        <v>0</v>
      </c>
      <c r="Y1236" s="77">
        <f t="shared" si="4173"/>
        <v>1</v>
      </c>
      <c r="Z1236" s="77">
        <f t="shared" si="4177"/>
        <v>6.4624999704999977E-2</v>
      </c>
      <c r="AA1236" s="77">
        <f t="shared" si="4178"/>
        <v>5.2321923767311151E-3</v>
      </c>
      <c r="AB1236" s="79">
        <v>1</v>
      </c>
      <c r="AC1236" s="77">
        <f t="shared" si="4142"/>
        <v>8.499999955555556E-3</v>
      </c>
      <c r="AD1236" s="77">
        <f t="shared" ref="AD1236" si="4191">1-(1-AC1236)^(1/12)</f>
        <v>7.1110795759765644E-4</v>
      </c>
      <c r="AE1236" s="77">
        <f t="shared" si="4144"/>
        <v>2.5000000000000001E-3</v>
      </c>
      <c r="AF1236" s="77">
        <f t="shared" ref="AF1236" si="4192">1-(1-AE1236)^(1/12)</f>
        <v>2.0857243058891584E-4</v>
      </c>
      <c r="AH1236" t="s">
        <v>175</v>
      </c>
      <c r="AI1236" t="s">
        <v>180</v>
      </c>
      <c r="AJ1236" s="197" t="str">
        <f t="shared" si="4135"/>
        <v>Lifecycle_Opportunity_393</v>
      </c>
      <c r="AK1236">
        <v>393</v>
      </c>
      <c r="AL1236">
        <f>VLOOKUP($U1236,[2]Standard_Opportunity!$Q$1:$T$542,2,FALSE)</f>
        <v>0.99999997777777772</v>
      </c>
      <c r="AM1236">
        <f>VLOOKUP($U1236,[2]Standard_Opportunity!$Q$1:$T$542,3,FALSE)</f>
        <v>2.2222222284540294E-8</v>
      </c>
      <c r="AN1236">
        <f>VLOOKUP($U1236,[2]Standard_Opportunity!$Q$1:$T$542,4,FALSE)</f>
        <v>0</v>
      </c>
      <c r="AO1236" s="77">
        <f t="shared" si="4136"/>
        <v>1</v>
      </c>
      <c r="AP1236" s="77">
        <f t="shared" si="4146"/>
        <v>6.4624999704999977E-2</v>
      </c>
      <c r="AQ1236" s="77">
        <f t="shared" si="4137"/>
        <v>5.2321923767311151E-3</v>
      </c>
      <c r="AR1236" s="79">
        <v>0</v>
      </c>
      <c r="AS1236" s="77">
        <f t="shared" si="4147"/>
        <v>0</v>
      </c>
      <c r="AT1236" s="77">
        <f t="shared" si="4148"/>
        <v>0</v>
      </c>
      <c r="AU1236" s="77">
        <f t="shared" si="4149"/>
        <v>2.5000000000000001E-3</v>
      </c>
      <c r="AV1236" s="77">
        <f t="shared" si="4150"/>
        <v>2.0809499864316017E-4</v>
      </c>
    </row>
    <row r="1237" spans="1:48">
      <c r="A1237" t="s">
        <v>175</v>
      </c>
      <c r="B1237" t="s">
        <v>180</v>
      </c>
      <c r="C1237" s="197" t="str">
        <f t="shared" si="4171"/>
        <v>Lifecycle_Opportunity_392</v>
      </c>
      <c r="D1237">
        <v>392</v>
      </c>
      <c r="E1237">
        <f>VLOOKUP($D1237,'[2]LC Opportunity'!$Q$2:$U$542,2,FALSE)</f>
        <v>0</v>
      </c>
      <c r="F1237">
        <f>VLOOKUP($D1237,'[2]LC Opportunity'!$Q$2:$U$542,3,FALSE)</f>
        <v>0</v>
      </c>
      <c r="G1237">
        <f>VLOOKUP($D1237,'[2]LC Opportunity'!$Q$2:$U$542,4,FALSE)</f>
        <v>0</v>
      </c>
      <c r="H1237">
        <f>VLOOKUP($D1237,'[2]LC Opportunity'!$Q$2:$U$542,5,FALSE)</f>
        <v>0.99999999999999989</v>
      </c>
      <c r="I1237" s="77">
        <f t="shared" si="4131"/>
        <v>0.99999999999999989</v>
      </c>
      <c r="J1237" s="77">
        <f t="shared" si="4132"/>
        <v>7.1999999999999981E-2</v>
      </c>
      <c r="K1237" s="77">
        <f t="shared" si="4176"/>
        <v>5.8106552987937654E-3</v>
      </c>
      <c r="L1237" s="76">
        <v>0</v>
      </c>
      <c r="M1237" s="77">
        <f t="shared" si="4138"/>
        <v>0</v>
      </c>
      <c r="N1237" s="77">
        <f t="shared" si="4139"/>
        <v>0</v>
      </c>
      <c r="O1237" s="77">
        <f t="shared" si="4140"/>
        <v>4.9999999999999992E-3</v>
      </c>
      <c r="P1237" s="77">
        <f t="shared" si="4141"/>
        <v>4.1762458919303302E-4</v>
      </c>
      <c r="R1237" t="s">
        <v>177</v>
      </c>
      <c r="S1237" t="s">
        <v>180</v>
      </c>
      <c r="T1237" s="197" t="str">
        <f t="shared" si="4172"/>
        <v>Autopilot_Opportunity_392</v>
      </c>
      <c r="U1237">
        <v>392</v>
      </c>
      <c r="V1237">
        <f>VLOOKUP($U1237,'[2]AP Opportunity'!$Q$1:$T$542,2,FALSE)</f>
        <v>0.99999997777777772</v>
      </c>
      <c r="W1237">
        <f>VLOOKUP($U1237,'[2]AP Opportunity'!$Q$1:$T$542,3,FALSE)</f>
        <v>2.2222222284540294E-8</v>
      </c>
      <c r="X1237">
        <f>VLOOKUP($U1237,'[2]AP Opportunity'!$Q$1:$T$542,4,FALSE)</f>
        <v>0</v>
      </c>
      <c r="Y1237" s="77">
        <f t="shared" si="4173"/>
        <v>1</v>
      </c>
      <c r="Z1237" s="77">
        <f t="shared" si="4177"/>
        <v>6.4624999704999977E-2</v>
      </c>
      <c r="AA1237" s="77">
        <f t="shared" si="4178"/>
        <v>5.2321923767311151E-3</v>
      </c>
      <c r="AB1237" s="79">
        <v>1</v>
      </c>
      <c r="AC1237" s="77">
        <f t="shared" si="4142"/>
        <v>8.499999955555556E-3</v>
      </c>
      <c r="AD1237" s="77">
        <f t="shared" ref="AD1237" si="4193">1-(1-AC1237)^(1/12)</f>
        <v>7.1110795759765644E-4</v>
      </c>
      <c r="AE1237" s="77">
        <f t="shared" si="4144"/>
        <v>2.5000000000000001E-3</v>
      </c>
      <c r="AF1237" s="77">
        <f t="shared" ref="AF1237" si="4194">1-(1-AE1237)^(1/12)</f>
        <v>2.0857243058891584E-4</v>
      </c>
      <c r="AH1237" t="s">
        <v>175</v>
      </c>
      <c r="AI1237" t="s">
        <v>180</v>
      </c>
      <c r="AJ1237" s="197" t="str">
        <f t="shared" si="4135"/>
        <v>Lifecycle_Opportunity_392</v>
      </c>
      <c r="AK1237">
        <v>392</v>
      </c>
      <c r="AL1237">
        <f>VLOOKUP($U1237,[2]Standard_Opportunity!$Q$1:$T$542,2,FALSE)</f>
        <v>0.99999997777777772</v>
      </c>
      <c r="AM1237">
        <f>VLOOKUP($U1237,[2]Standard_Opportunity!$Q$1:$T$542,3,FALSE)</f>
        <v>2.2222222284540294E-8</v>
      </c>
      <c r="AN1237">
        <f>VLOOKUP($U1237,[2]Standard_Opportunity!$Q$1:$T$542,4,FALSE)</f>
        <v>0</v>
      </c>
      <c r="AO1237" s="77">
        <f t="shared" si="4136"/>
        <v>1</v>
      </c>
      <c r="AP1237" s="77">
        <f t="shared" si="4146"/>
        <v>6.4624999704999977E-2</v>
      </c>
      <c r="AQ1237" s="77">
        <f t="shared" si="4137"/>
        <v>5.2321923767311151E-3</v>
      </c>
      <c r="AR1237" s="79">
        <v>0</v>
      </c>
      <c r="AS1237" s="77">
        <f t="shared" si="4147"/>
        <v>0</v>
      </c>
      <c r="AT1237" s="77">
        <f t="shared" si="4148"/>
        <v>0</v>
      </c>
      <c r="AU1237" s="77">
        <f t="shared" si="4149"/>
        <v>2.5000000000000001E-3</v>
      </c>
      <c r="AV1237" s="77">
        <f t="shared" si="4150"/>
        <v>2.0809499864316017E-4</v>
      </c>
    </row>
    <row r="1238" spans="1:48">
      <c r="A1238" t="s">
        <v>175</v>
      </c>
      <c r="B1238" t="s">
        <v>180</v>
      </c>
      <c r="C1238" s="197" t="str">
        <f t="shared" si="4171"/>
        <v>Lifecycle_Opportunity_391</v>
      </c>
      <c r="D1238">
        <v>391</v>
      </c>
      <c r="E1238">
        <f>VLOOKUP($D1238,'[2]LC Opportunity'!$Q$2:$U$542,2,FALSE)</f>
        <v>0</v>
      </c>
      <c r="F1238">
        <f>VLOOKUP($D1238,'[2]LC Opportunity'!$Q$2:$U$542,3,FALSE)</f>
        <v>0</v>
      </c>
      <c r="G1238">
        <f>VLOOKUP($D1238,'[2]LC Opportunity'!$Q$2:$U$542,4,FALSE)</f>
        <v>0</v>
      </c>
      <c r="H1238">
        <f>VLOOKUP($D1238,'[2]LC Opportunity'!$Q$2:$U$542,5,FALSE)</f>
        <v>0.99999999999999989</v>
      </c>
      <c r="I1238" s="77">
        <f t="shared" si="4131"/>
        <v>0.99999999999999989</v>
      </c>
      <c r="J1238" s="77">
        <f t="shared" si="4132"/>
        <v>7.1999999999999981E-2</v>
      </c>
      <c r="K1238" s="77">
        <f t="shared" si="4176"/>
        <v>5.8106552987937654E-3</v>
      </c>
      <c r="L1238" s="76">
        <v>0</v>
      </c>
      <c r="M1238" s="77">
        <f t="shared" si="4138"/>
        <v>0</v>
      </c>
      <c r="N1238" s="77">
        <f t="shared" si="4139"/>
        <v>0</v>
      </c>
      <c r="O1238" s="77">
        <f t="shared" si="4140"/>
        <v>4.9999999999999992E-3</v>
      </c>
      <c r="P1238" s="77">
        <f t="shared" si="4141"/>
        <v>4.1762458919303302E-4</v>
      </c>
      <c r="R1238" t="s">
        <v>177</v>
      </c>
      <c r="S1238" t="s">
        <v>180</v>
      </c>
      <c r="T1238" s="197" t="str">
        <f t="shared" si="4172"/>
        <v>Autopilot_Opportunity_391</v>
      </c>
      <c r="U1238">
        <v>391</v>
      </c>
      <c r="V1238">
        <f>VLOOKUP($U1238,'[2]AP Opportunity'!$Q$1:$T$542,2,FALSE)</f>
        <v>0.99999997777777772</v>
      </c>
      <c r="W1238">
        <f>VLOOKUP($U1238,'[2]AP Opportunity'!$Q$1:$T$542,3,FALSE)</f>
        <v>2.2222222284540294E-8</v>
      </c>
      <c r="X1238">
        <f>VLOOKUP($U1238,'[2]AP Opportunity'!$Q$1:$T$542,4,FALSE)</f>
        <v>0</v>
      </c>
      <c r="Y1238" s="77">
        <f t="shared" si="4173"/>
        <v>1</v>
      </c>
      <c r="Z1238" s="77">
        <f t="shared" si="4177"/>
        <v>6.4624999704999977E-2</v>
      </c>
      <c r="AA1238" s="77">
        <f t="shared" si="4178"/>
        <v>5.2321923767311151E-3</v>
      </c>
      <c r="AB1238" s="79">
        <v>1</v>
      </c>
      <c r="AC1238" s="77">
        <f t="shared" si="4142"/>
        <v>8.499999955555556E-3</v>
      </c>
      <c r="AD1238" s="77">
        <f t="shared" ref="AD1238" si="4195">1-(1-AC1238)^(1/12)</f>
        <v>7.1110795759765644E-4</v>
      </c>
      <c r="AE1238" s="77">
        <f t="shared" si="4144"/>
        <v>2.5000000000000001E-3</v>
      </c>
      <c r="AF1238" s="77">
        <f t="shared" ref="AF1238" si="4196">1-(1-AE1238)^(1/12)</f>
        <v>2.0857243058891584E-4</v>
      </c>
      <c r="AH1238" t="s">
        <v>175</v>
      </c>
      <c r="AI1238" t="s">
        <v>180</v>
      </c>
      <c r="AJ1238" s="197" t="str">
        <f t="shared" si="4135"/>
        <v>Lifecycle_Opportunity_391</v>
      </c>
      <c r="AK1238">
        <v>391</v>
      </c>
      <c r="AL1238">
        <f>VLOOKUP($U1238,[2]Standard_Opportunity!$Q$1:$T$542,2,FALSE)</f>
        <v>0.99999997777777772</v>
      </c>
      <c r="AM1238">
        <f>VLOOKUP($U1238,[2]Standard_Opportunity!$Q$1:$T$542,3,FALSE)</f>
        <v>2.2222222284540294E-8</v>
      </c>
      <c r="AN1238">
        <f>VLOOKUP($U1238,[2]Standard_Opportunity!$Q$1:$T$542,4,FALSE)</f>
        <v>0</v>
      </c>
      <c r="AO1238" s="77">
        <f t="shared" si="4136"/>
        <v>1</v>
      </c>
      <c r="AP1238" s="77">
        <f t="shared" si="4146"/>
        <v>6.4624999704999977E-2</v>
      </c>
      <c r="AQ1238" s="77">
        <f t="shared" si="4137"/>
        <v>5.2321923767311151E-3</v>
      </c>
      <c r="AR1238" s="79">
        <v>0</v>
      </c>
      <c r="AS1238" s="77">
        <f t="shared" si="4147"/>
        <v>0</v>
      </c>
      <c r="AT1238" s="77">
        <f t="shared" si="4148"/>
        <v>0</v>
      </c>
      <c r="AU1238" s="77">
        <f t="shared" si="4149"/>
        <v>2.5000000000000001E-3</v>
      </c>
      <c r="AV1238" s="77">
        <f t="shared" si="4150"/>
        <v>2.0809499864316017E-4</v>
      </c>
    </row>
    <row r="1239" spans="1:48">
      <c r="A1239" t="s">
        <v>175</v>
      </c>
      <c r="B1239" t="s">
        <v>180</v>
      </c>
      <c r="C1239" s="197" t="str">
        <f t="shared" si="4171"/>
        <v>Lifecycle_Opportunity_390</v>
      </c>
      <c r="D1239">
        <v>390</v>
      </c>
      <c r="E1239">
        <f>VLOOKUP($D1239,'[2]LC Opportunity'!$Q$2:$U$542,2,FALSE)</f>
        <v>0</v>
      </c>
      <c r="F1239">
        <f>VLOOKUP($D1239,'[2]LC Opportunity'!$Q$2:$U$542,3,FALSE)</f>
        <v>0</v>
      </c>
      <c r="G1239">
        <f>VLOOKUP($D1239,'[2]LC Opportunity'!$Q$2:$U$542,4,FALSE)</f>
        <v>0</v>
      </c>
      <c r="H1239">
        <f>VLOOKUP($D1239,'[2]LC Opportunity'!$Q$2:$U$542,5,FALSE)</f>
        <v>0.99999999999999989</v>
      </c>
      <c r="I1239" s="77">
        <f t="shared" si="4131"/>
        <v>0.99999999999999989</v>
      </c>
      <c r="J1239" s="77">
        <f t="shared" si="4132"/>
        <v>7.1999999999999981E-2</v>
      </c>
      <c r="K1239" s="77">
        <f t="shared" si="4176"/>
        <v>5.8106552987937654E-3</v>
      </c>
      <c r="L1239" s="76">
        <v>0</v>
      </c>
      <c r="M1239" s="77">
        <f t="shared" si="4138"/>
        <v>0</v>
      </c>
      <c r="N1239" s="77">
        <f t="shared" si="4139"/>
        <v>0</v>
      </c>
      <c r="O1239" s="77">
        <f t="shared" si="4140"/>
        <v>4.9999999999999992E-3</v>
      </c>
      <c r="P1239" s="77">
        <f t="shared" si="4141"/>
        <v>4.1762458919303302E-4</v>
      </c>
      <c r="R1239" t="s">
        <v>177</v>
      </c>
      <c r="S1239" t="s">
        <v>180</v>
      </c>
      <c r="T1239" s="197" t="str">
        <f t="shared" si="4172"/>
        <v>Autopilot_Opportunity_390</v>
      </c>
      <c r="U1239">
        <v>390</v>
      </c>
      <c r="V1239">
        <f>VLOOKUP($U1239,'[2]AP Opportunity'!$Q$1:$T$542,2,FALSE)</f>
        <v>0.99999997777777772</v>
      </c>
      <c r="W1239">
        <f>VLOOKUP($U1239,'[2]AP Opportunity'!$Q$1:$T$542,3,FALSE)</f>
        <v>2.2222222284540294E-8</v>
      </c>
      <c r="X1239">
        <f>VLOOKUP($U1239,'[2]AP Opportunity'!$Q$1:$T$542,4,FALSE)</f>
        <v>0</v>
      </c>
      <c r="Y1239" s="77">
        <f t="shared" si="4173"/>
        <v>1</v>
      </c>
      <c r="Z1239" s="77">
        <f t="shared" si="4177"/>
        <v>6.4624999704999977E-2</v>
      </c>
      <c r="AA1239" s="77">
        <f t="shared" si="4178"/>
        <v>5.2321923767311151E-3</v>
      </c>
      <c r="AB1239" s="79">
        <v>1</v>
      </c>
      <c r="AC1239" s="77">
        <f t="shared" si="4142"/>
        <v>8.499999955555556E-3</v>
      </c>
      <c r="AD1239" s="77">
        <f t="shared" ref="AD1239" si="4197">1-(1-AC1239)^(1/12)</f>
        <v>7.1110795759765644E-4</v>
      </c>
      <c r="AE1239" s="77">
        <f t="shared" si="4144"/>
        <v>2.5000000000000001E-3</v>
      </c>
      <c r="AF1239" s="77">
        <f t="shared" ref="AF1239" si="4198">1-(1-AE1239)^(1/12)</f>
        <v>2.0857243058891584E-4</v>
      </c>
      <c r="AH1239" t="s">
        <v>175</v>
      </c>
      <c r="AI1239" t="s">
        <v>180</v>
      </c>
      <c r="AJ1239" s="197" t="str">
        <f t="shared" si="4135"/>
        <v>Lifecycle_Opportunity_390</v>
      </c>
      <c r="AK1239">
        <v>390</v>
      </c>
      <c r="AL1239">
        <f>VLOOKUP($U1239,[2]Standard_Opportunity!$Q$1:$T$542,2,FALSE)</f>
        <v>0.99999997777777772</v>
      </c>
      <c r="AM1239">
        <f>VLOOKUP($U1239,[2]Standard_Opportunity!$Q$1:$T$542,3,FALSE)</f>
        <v>2.2222222284540294E-8</v>
      </c>
      <c r="AN1239">
        <f>VLOOKUP($U1239,[2]Standard_Opportunity!$Q$1:$T$542,4,FALSE)</f>
        <v>0</v>
      </c>
      <c r="AO1239" s="77">
        <f t="shared" si="4136"/>
        <v>1</v>
      </c>
      <c r="AP1239" s="77">
        <f t="shared" si="4146"/>
        <v>6.4624999704999977E-2</v>
      </c>
      <c r="AQ1239" s="77">
        <f t="shared" si="4137"/>
        <v>5.2321923767311151E-3</v>
      </c>
      <c r="AR1239" s="79">
        <v>0</v>
      </c>
      <c r="AS1239" s="77">
        <f t="shared" si="4147"/>
        <v>0</v>
      </c>
      <c r="AT1239" s="77">
        <f t="shared" si="4148"/>
        <v>0</v>
      </c>
      <c r="AU1239" s="77">
        <f t="shared" si="4149"/>
        <v>2.5000000000000001E-3</v>
      </c>
      <c r="AV1239" s="77">
        <f t="shared" si="4150"/>
        <v>2.0809499864316017E-4</v>
      </c>
    </row>
    <row r="1240" spans="1:48">
      <c r="A1240" t="s">
        <v>175</v>
      </c>
      <c r="B1240" t="s">
        <v>180</v>
      </c>
      <c r="C1240" s="197" t="str">
        <f t="shared" si="4171"/>
        <v>Lifecycle_Opportunity_389</v>
      </c>
      <c r="D1240">
        <v>389</v>
      </c>
      <c r="E1240">
        <f>VLOOKUP($D1240,'[2]LC Opportunity'!$Q$2:$U$542,2,FALSE)</f>
        <v>0</v>
      </c>
      <c r="F1240">
        <f>VLOOKUP($D1240,'[2]LC Opportunity'!$Q$2:$U$542,3,FALSE)</f>
        <v>0</v>
      </c>
      <c r="G1240">
        <f>VLOOKUP($D1240,'[2]LC Opportunity'!$Q$2:$U$542,4,FALSE)</f>
        <v>0</v>
      </c>
      <c r="H1240">
        <f>VLOOKUP($D1240,'[2]LC Opportunity'!$Q$2:$U$542,5,FALSE)</f>
        <v>0.99999999999999989</v>
      </c>
      <c r="I1240" s="77">
        <f t="shared" si="4131"/>
        <v>0.99999999999999989</v>
      </c>
      <c r="J1240" s="77">
        <f t="shared" si="4132"/>
        <v>7.1999999999999981E-2</v>
      </c>
      <c r="K1240" s="77">
        <f t="shared" si="4176"/>
        <v>5.8106552987937654E-3</v>
      </c>
      <c r="L1240" s="76">
        <v>0</v>
      </c>
      <c r="M1240" s="77">
        <f t="shared" si="4138"/>
        <v>0</v>
      </c>
      <c r="N1240" s="77">
        <f t="shared" si="4139"/>
        <v>0</v>
      </c>
      <c r="O1240" s="77">
        <f t="shared" si="4140"/>
        <v>4.9999999999999992E-3</v>
      </c>
      <c r="P1240" s="77">
        <f t="shared" si="4141"/>
        <v>4.1762458919303302E-4</v>
      </c>
      <c r="R1240" t="s">
        <v>177</v>
      </c>
      <c r="S1240" t="s">
        <v>180</v>
      </c>
      <c r="T1240" s="197" t="str">
        <f t="shared" si="4172"/>
        <v>Autopilot_Opportunity_389</v>
      </c>
      <c r="U1240">
        <v>389</v>
      </c>
      <c r="V1240">
        <f>VLOOKUP($U1240,'[2]AP Opportunity'!$Q$1:$T$542,2,FALSE)</f>
        <v>0.99999997777777772</v>
      </c>
      <c r="W1240">
        <f>VLOOKUP($U1240,'[2]AP Opportunity'!$Q$1:$T$542,3,FALSE)</f>
        <v>2.2222222284540294E-8</v>
      </c>
      <c r="X1240">
        <f>VLOOKUP($U1240,'[2]AP Opportunity'!$Q$1:$T$542,4,FALSE)</f>
        <v>0</v>
      </c>
      <c r="Y1240" s="77">
        <f t="shared" si="4173"/>
        <v>1</v>
      </c>
      <c r="Z1240" s="77">
        <f t="shared" si="4177"/>
        <v>6.4624999704999977E-2</v>
      </c>
      <c r="AA1240" s="77">
        <f t="shared" si="4178"/>
        <v>5.2321923767311151E-3</v>
      </c>
      <c r="AB1240" s="79">
        <v>1</v>
      </c>
      <c r="AC1240" s="77">
        <f t="shared" si="4142"/>
        <v>8.499999955555556E-3</v>
      </c>
      <c r="AD1240" s="77">
        <f t="shared" ref="AD1240" si="4199">1-(1-AC1240)^(1/12)</f>
        <v>7.1110795759765644E-4</v>
      </c>
      <c r="AE1240" s="77">
        <f t="shared" si="4144"/>
        <v>2.5000000000000001E-3</v>
      </c>
      <c r="AF1240" s="77">
        <f t="shared" ref="AF1240" si="4200">1-(1-AE1240)^(1/12)</f>
        <v>2.0857243058891584E-4</v>
      </c>
      <c r="AH1240" t="s">
        <v>175</v>
      </c>
      <c r="AI1240" t="s">
        <v>180</v>
      </c>
      <c r="AJ1240" s="197" t="str">
        <f t="shared" si="4135"/>
        <v>Lifecycle_Opportunity_389</v>
      </c>
      <c r="AK1240">
        <v>389</v>
      </c>
      <c r="AL1240">
        <f>VLOOKUP($U1240,[2]Standard_Opportunity!$Q$1:$T$542,2,FALSE)</f>
        <v>0.99999997777777772</v>
      </c>
      <c r="AM1240">
        <f>VLOOKUP($U1240,[2]Standard_Opportunity!$Q$1:$T$542,3,FALSE)</f>
        <v>2.2222222284540294E-8</v>
      </c>
      <c r="AN1240">
        <f>VLOOKUP($U1240,[2]Standard_Opportunity!$Q$1:$T$542,4,FALSE)</f>
        <v>0</v>
      </c>
      <c r="AO1240" s="77">
        <f t="shared" si="4136"/>
        <v>1</v>
      </c>
      <c r="AP1240" s="77">
        <f t="shared" si="4146"/>
        <v>6.4624999704999977E-2</v>
      </c>
      <c r="AQ1240" s="77">
        <f t="shared" si="4137"/>
        <v>5.2321923767311151E-3</v>
      </c>
      <c r="AR1240" s="79">
        <v>0</v>
      </c>
      <c r="AS1240" s="77">
        <f t="shared" si="4147"/>
        <v>0</v>
      </c>
      <c r="AT1240" s="77">
        <f t="shared" si="4148"/>
        <v>0</v>
      </c>
      <c r="AU1240" s="77">
        <f t="shared" si="4149"/>
        <v>2.5000000000000001E-3</v>
      </c>
      <c r="AV1240" s="77">
        <f t="shared" si="4150"/>
        <v>2.0809499864316017E-4</v>
      </c>
    </row>
    <row r="1241" spans="1:48">
      <c r="A1241" t="s">
        <v>175</v>
      </c>
      <c r="B1241" t="s">
        <v>180</v>
      </c>
      <c r="C1241" s="197" t="str">
        <f t="shared" si="4171"/>
        <v>Lifecycle_Opportunity_388</v>
      </c>
      <c r="D1241">
        <v>388</v>
      </c>
      <c r="E1241">
        <f>VLOOKUP($D1241,'[2]LC Opportunity'!$Q$2:$U$542,2,FALSE)</f>
        <v>0</v>
      </c>
      <c r="F1241">
        <f>VLOOKUP($D1241,'[2]LC Opportunity'!$Q$2:$U$542,3,FALSE)</f>
        <v>0</v>
      </c>
      <c r="G1241">
        <f>VLOOKUP($D1241,'[2]LC Opportunity'!$Q$2:$U$542,4,FALSE)</f>
        <v>0</v>
      </c>
      <c r="H1241">
        <f>VLOOKUP($D1241,'[2]LC Opportunity'!$Q$2:$U$542,5,FALSE)</f>
        <v>0.99999999999999989</v>
      </c>
      <c r="I1241" s="77">
        <f t="shared" si="4131"/>
        <v>0.99999999999999989</v>
      </c>
      <c r="J1241" s="77">
        <f t="shared" si="4132"/>
        <v>7.1999999999999981E-2</v>
      </c>
      <c r="K1241" s="77">
        <f t="shared" si="4176"/>
        <v>5.8106552987937654E-3</v>
      </c>
      <c r="L1241" s="76">
        <v>0</v>
      </c>
      <c r="M1241" s="77">
        <f t="shared" si="4138"/>
        <v>0</v>
      </c>
      <c r="N1241" s="77">
        <f t="shared" si="4139"/>
        <v>0</v>
      </c>
      <c r="O1241" s="77">
        <f t="shared" si="4140"/>
        <v>4.9999999999999992E-3</v>
      </c>
      <c r="P1241" s="77">
        <f t="shared" si="4141"/>
        <v>4.1762458919303302E-4</v>
      </c>
      <c r="R1241" t="s">
        <v>177</v>
      </c>
      <c r="S1241" t="s">
        <v>180</v>
      </c>
      <c r="T1241" s="197" t="str">
        <f t="shared" si="4172"/>
        <v>Autopilot_Opportunity_388</v>
      </c>
      <c r="U1241">
        <v>388</v>
      </c>
      <c r="V1241">
        <f>VLOOKUP($U1241,'[2]AP Opportunity'!$Q$1:$T$542,2,FALSE)</f>
        <v>0.99999997777777772</v>
      </c>
      <c r="W1241">
        <f>VLOOKUP($U1241,'[2]AP Opportunity'!$Q$1:$T$542,3,FALSE)</f>
        <v>2.2222222284540294E-8</v>
      </c>
      <c r="X1241">
        <f>VLOOKUP($U1241,'[2]AP Opportunity'!$Q$1:$T$542,4,FALSE)</f>
        <v>0</v>
      </c>
      <c r="Y1241" s="77">
        <f t="shared" si="4173"/>
        <v>1</v>
      </c>
      <c r="Z1241" s="77">
        <f t="shared" si="4177"/>
        <v>6.4624999704999977E-2</v>
      </c>
      <c r="AA1241" s="77">
        <f t="shared" si="4178"/>
        <v>5.2321923767311151E-3</v>
      </c>
      <c r="AB1241" s="79">
        <v>1</v>
      </c>
      <c r="AC1241" s="77">
        <f t="shared" si="4142"/>
        <v>8.499999955555556E-3</v>
      </c>
      <c r="AD1241" s="77">
        <f t="shared" ref="AD1241" si="4201">1-(1-AC1241)^(1/12)</f>
        <v>7.1110795759765644E-4</v>
      </c>
      <c r="AE1241" s="77">
        <f t="shared" si="4144"/>
        <v>2.5000000000000001E-3</v>
      </c>
      <c r="AF1241" s="77">
        <f t="shared" ref="AF1241" si="4202">1-(1-AE1241)^(1/12)</f>
        <v>2.0857243058891584E-4</v>
      </c>
      <c r="AH1241" t="s">
        <v>175</v>
      </c>
      <c r="AI1241" t="s">
        <v>180</v>
      </c>
      <c r="AJ1241" s="197" t="str">
        <f t="shared" si="4135"/>
        <v>Lifecycle_Opportunity_388</v>
      </c>
      <c r="AK1241">
        <v>388</v>
      </c>
      <c r="AL1241">
        <f>VLOOKUP($U1241,[2]Standard_Opportunity!$Q$1:$T$542,2,FALSE)</f>
        <v>0.99999997777777772</v>
      </c>
      <c r="AM1241">
        <f>VLOOKUP($U1241,[2]Standard_Opportunity!$Q$1:$T$542,3,FALSE)</f>
        <v>2.2222222284540294E-8</v>
      </c>
      <c r="AN1241">
        <f>VLOOKUP($U1241,[2]Standard_Opportunity!$Q$1:$T$542,4,FALSE)</f>
        <v>0</v>
      </c>
      <c r="AO1241" s="77">
        <f t="shared" si="4136"/>
        <v>1</v>
      </c>
      <c r="AP1241" s="77">
        <f t="shared" si="4146"/>
        <v>6.4624999704999977E-2</v>
      </c>
      <c r="AQ1241" s="77">
        <f t="shared" si="4137"/>
        <v>5.2321923767311151E-3</v>
      </c>
      <c r="AR1241" s="79">
        <v>0</v>
      </c>
      <c r="AS1241" s="77">
        <f t="shared" si="4147"/>
        <v>0</v>
      </c>
      <c r="AT1241" s="77">
        <f t="shared" si="4148"/>
        <v>0</v>
      </c>
      <c r="AU1241" s="77">
        <f t="shared" si="4149"/>
        <v>2.5000000000000001E-3</v>
      </c>
      <c r="AV1241" s="77">
        <f t="shared" si="4150"/>
        <v>2.0809499864316017E-4</v>
      </c>
    </row>
    <row r="1242" spans="1:48">
      <c r="A1242" t="s">
        <v>175</v>
      </c>
      <c r="B1242" t="s">
        <v>180</v>
      </c>
      <c r="C1242" s="197" t="str">
        <f t="shared" si="4171"/>
        <v>Lifecycle_Opportunity_387</v>
      </c>
      <c r="D1242">
        <v>387</v>
      </c>
      <c r="E1242">
        <f>VLOOKUP($D1242,'[2]LC Opportunity'!$Q$2:$U$542,2,FALSE)</f>
        <v>0</v>
      </c>
      <c r="F1242">
        <f>VLOOKUP($D1242,'[2]LC Opportunity'!$Q$2:$U$542,3,FALSE)</f>
        <v>0</v>
      </c>
      <c r="G1242">
        <f>VLOOKUP($D1242,'[2]LC Opportunity'!$Q$2:$U$542,4,FALSE)</f>
        <v>0</v>
      </c>
      <c r="H1242">
        <f>VLOOKUP($D1242,'[2]LC Opportunity'!$Q$2:$U$542,5,FALSE)</f>
        <v>0.99999999999999989</v>
      </c>
      <c r="I1242" s="77">
        <f t="shared" si="4131"/>
        <v>0.99999999999999989</v>
      </c>
      <c r="J1242" s="77">
        <f t="shared" si="4132"/>
        <v>7.1999999999999981E-2</v>
      </c>
      <c r="K1242" s="77">
        <f t="shared" si="4176"/>
        <v>5.8106552987937654E-3</v>
      </c>
      <c r="L1242" s="76">
        <v>0</v>
      </c>
      <c r="M1242" s="77">
        <f t="shared" si="4138"/>
        <v>0</v>
      </c>
      <c r="N1242" s="77">
        <f t="shared" si="4139"/>
        <v>0</v>
      </c>
      <c r="O1242" s="77">
        <f t="shared" si="4140"/>
        <v>4.9999999999999992E-3</v>
      </c>
      <c r="P1242" s="77">
        <f t="shared" si="4141"/>
        <v>4.1762458919303302E-4</v>
      </c>
      <c r="R1242" t="s">
        <v>177</v>
      </c>
      <c r="S1242" t="s">
        <v>180</v>
      </c>
      <c r="T1242" s="197" t="str">
        <f t="shared" si="4172"/>
        <v>Autopilot_Opportunity_387</v>
      </c>
      <c r="U1242">
        <v>387</v>
      </c>
      <c r="V1242">
        <f>VLOOKUP($U1242,'[2]AP Opportunity'!$Q$1:$T$542,2,FALSE)</f>
        <v>0.99999997777777772</v>
      </c>
      <c r="W1242">
        <f>VLOOKUP($U1242,'[2]AP Opportunity'!$Q$1:$T$542,3,FALSE)</f>
        <v>2.2222222284540294E-8</v>
      </c>
      <c r="X1242">
        <f>VLOOKUP($U1242,'[2]AP Opportunity'!$Q$1:$T$542,4,FALSE)</f>
        <v>0</v>
      </c>
      <c r="Y1242" s="77">
        <f t="shared" si="4173"/>
        <v>1</v>
      </c>
      <c r="Z1242" s="77">
        <f t="shared" si="4177"/>
        <v>6.4624999704999977E-2</v>
      </c>
      <c r="AA1242" s="77">
        <f t="shared" si="4178"/>
        <v>5.2321923767311151E-3</v>
      </c>
      <c r="AB1242" s="79">
        <v>1</v>
      </c>
      <c r="AC1242" s="77">
        <f t="shared" si="4142"/>
        <v>8.499999955555556E-3</v>
      </c>
      <c r="AD1242" s="77">
        <f t="shared" ref="AD1242" si="4203">1-(1-AC1242)^(1/12)</f>
        <v>7.1110795759765644E-4</v>
      </c>
      <c r="AE1242" s="77">
        <f t="shared" si="4144"/>
        <v>2.5000000000000001E-3</v>
      </c>
      <c r="AF1242" s="77">
        <f t="shared" ref="AF1242" si="4204">1-(1-AE1242)^(1/12)</f>
        <v>2.0857243058891584E-4</v>
      </c>
      <c r="AH1242" t="s">
        <v>175</v>
      </c>
      <c r="AI1242" t="s">
        <v>180</v>
      </c>
      <c r="AJ1242" s="197" t="str">
        <f t="shared" si="4135"/>
        <v>Lifecycle_Opportunity_387</v>
      </c>
      <c r="AK1242">
        <v>387</v>
      </c>
      <c r="AL1242">
        <f>VLOOKUP($U1242,[2]Standard_Opportunity!$Q$1:$T$542,2,FALSE)</f>
        <v>0.99999997777777772</v>
      </c>
      <c r="AM1242">
        <f>VLOOKUP($U1242,[2]Standard_Opportunity!$Q$1:$T$542,3,FALSE)</f>
        <v>2.2222222284540294E-8</v>
      </c>
      <c r="AN1242">
        <f>VLOOKUP($U1242,[2]Standard_Opportunity!$Q$1:$T$542,4,FALSE)</f>
        <v>0</v>
      </c>
      <c r="AO1242" s="77">
        <f t="shared" si="4136"/>
        <v>1</v>
      </c>
      <c r="AP1242" s="77">
        <f t="shared" si="4146"/>
        <v>6.4624999704999977E-2</v>
      </c>
      <c r="AQ1242" s="77">
        <f t="shared" si="4137"/>
        <v>5.2321923767311151E-3</v>
      </c>
      <c r="AR1242" s="79">
        <v>0</v>
      </c>
      <c r="AS1242" s="77">
        <f t="shared" si="4147"/>
        <v>0</v>
      </c>
      <c r="AT1242" s="77">
        <f t="shared" si="4148"/>
        <v>0</v>
      </c>
      <c r="AU1242" s="77">
        <f t="shared" si="4149"/>
        <v>2.5000000000000001E-3</v>
      </c>
      <c r="AV1242" s="77">
        <f t="shared" si="4150"/>
        <v>2.0809499864316017E-4</v>
      </c>
    </row>
    <row r="1243" spans="1:48">
      <c r="A1243" t="s">
        <v>175</v>
      </c>
      <c r="B1243" t="s">
        <v>180</v>
      </c>
      <c r="C1243" s="197" t="str">
        <f t="shared" si="4171"/>
        <v>Lifecycle_Opportunity_386</v>
      </c>
      <c r="D1243">
        <v>386</v>
      </c>
      <c r="E1243">
        <f>VLOOKUP($D1243,'[2]LC Opportunity'!$Q$2:$U$542,2,FALSE)</f>
        <v>0</v>
      </c>
      <c r="F1243">
        <f>VLOOKUP($D1243,'[2]LC Opportunity'!$Q$2:$U$542,3,FALSE)</f>
        <v>0</v>
      </c>
      <c r="G1243">
        <f>VLOOKUP($D1243,'[2]LC Opportunity'!$Q$2:$U$542,4,FALSE)</f>
        <v>0</v>
      </c>
      <c r="H1243">
        <f>VLOOKUP($D1243,'[2]LC Opportunity'!$Q$2:$U$542,5,FALSE)</f>
        <v>0.99999999999999989</v>
      </c>
      <c r="I1243" s="77">
        <f t="shared" si="4131"/>
        <v>0.99999999999999989</v>
      </c>
      <c r="J1243" s="77">
        <f t="shared" si="4132"/>
        <v>7.1999999999999981E-2</v>
      </c>
      <c r="K1243" s="77">
        <f t="shared" si="4176"/>
        <v>5.8106552987937654E-3</v>
      </c>
      <c r="L1243" s="76">
        <v>0</v>
      </c>
      <c r="M1243" s="77">
        <f t="shared" si="4138"/>
        <v>0</v>
      </c>
      <c r="N1243" s="77">
        <f t="shared" si="4139"/>
        <v>0</v>
      </c>
      <c r="O1243" s="77">
        <f t="shared" si="4140"/>
        <v>4.9999999999999992E-3</v>
      </c>
      <c r="P1243" s="77">
        <f t="shared" si="4141"/>
        <v>4.1762458919303302E-4</v>
      </c>
      <c r="R1243" t="s">
        <v>177</v>
      </c>
      <c r="S1243" t="s">
        <v>180</v>
      </c>
      <c r="T1243" s="197" t="str">
        <f t="shared" si="4172"/>
        <v>Autopilot_Opportunity_386</v>
      </c>
      <c r="U1243">
        <v>386</v>
      </c>
      <c r="V1243">
        <f>VLOOKUP($U1243,'[2]AP Opportunity'!$Q$1:$T$542,2,FALSE)</f>
        <v>0.99999997777777772</v>
      </c>
      <c r="W1243">
        <f>VLOOKUP($U1243,'[2]AP Opportunity'!$Q$1:$T$542,3,FALSE)</f>
        <v>2.2222222284540294E-8</v>
      </c>
      <c r="X1243">
        <f>VLOOKUP($U1243,'[2]AP Opportunity'!$Q$1:$T$542,4,FALSE)</f>
        <v>0</v>
      </c>
      <c r="Y1243" s="77">
        <f t="shared" si="4173"/>
        <v>1</v>
      </c>
      <c r="Z1243" s="77">
        <f t="shared" si="4177"/>
        <v>6.4624999704999977E-2</v>
      </c>
      <c r="AA1243" s="77">
        <f t="shared" si="4178"/>
        <v>5.2321923767311151E-3</v>
      </c>
      <c r="AB1243" s="79">
        <v>1</v>
      </c>
      <c r="AC1243" s="77">
        <f t="shared" si="4142"/>
        <v>8.499999955555556E-3</v>
      </c>
      <c r="AD1243" s="77">
        <f t="shared" ref="AD1243" si="4205">1-(1-AC1243)^(1/12)</f>
        <v>7.1110795759765644E-4</v>
      </c>
      <c r="AE1243" s="77">
        <f t="shared" si="4144"/>
        <v>2.5000000000000001E-3</v>
      </c>
      <c r="AF1243" s="77">
        <f t="shared" ref="AF1243" si="4206">1-(1-AE1243)^(1/12)</f>
        <v>2.0857243058891584E-4</v>
      </c>
      <c r="AH1243" t="s">
        <v>175</v>
      </c>
      <c r="AI1243" t="s">
        <v>180</v>
      </c>
      <c r="AJ1243" s="197" t="str">
        <f t="shared" si="4135"/>
        <v>Lifecycle_Opportunity_386</v>
      </c>
      <c r="AK1243">
        <v>386</v>
      </c>
      <c r="AL1243">
        <f>VLOOKUP($U1243,[2]Standard_Opportunity!$Q$1:$T$542,2,FALSE)</f>
        <v>0.99999997777777772</v>
      </c>
      <c r="AM1243">
        <f>VLOOKUP($U1243,[2]Standard_Opportunity!$Q$1:$T$542,3,FALSE)</f>
        <v>2.2222222284540294E-8</v>
      </c>
      <c r="AN1243">
        <f>VLOOKUP($U1243,[2]Standard_Opportunity!$Q$1:$T$542,4,FALSE)</f>
        <v>0</v>
      </c>
      <c r="AO1243" s="77">
        <f t="shared" si="4136"/>
        <v>1</v>
      </c>
      <c r="AP1243" s="77">
        <f t="shared" si="4146"/>
        <v>6.4624999704999977E-2</v>
      </c>
      <c r="AQ1243" s="77">
        <f t="shared" si="4137"/>
        <v>5.2321923767311151E-3</v>
      </c>
      <c r="AR1243" s="79">
        <v>0</v>
      </c>
      <c r="AS1243" s="77">
        <f t="shared" si="4147"/>
        <v>0</v>
      </c>
      <c r="AT1243" s="77">
        <f t="shared" si="4148"/>
        <v>0</v>
      </c>
      <c r="AU1243" s="77">
        <f t="shared" si="4149"/>
        <v>2.5000000000000001E-3</v>
      </c>
      <c r="AV1243" s="77">
        <f t="shared" si="4150"/>
        <v>2.0809499864316017E-4</v>
      </c>
    </row>
    <row r="1244" spans="1:48">
      <c r="A1244" t="s">
        <v>175</v>
      </c>
      <c r="B1244" t="s">
        <v>180</v>
      </c>
      <c r="C1244" s="197" t="str">
        <f t="shared" si="4171"/>
        <v>Lifecycle_Opportunity_385</v>
      </c>
      <c r="D1244">
        <v>385</v>
      </c>
      <c r="E1244">
        <f>VLOOKUP($D1244,'[2]LC Opportunity'!$Q$2:$U$542,2,FALSE)</f>
        <v>0</v>
      </c>
      <c r="F1244">
        <f>VLOOKUP($D1244,'[2]LC Opportunity'!$Q$2:$U$542,3,FALSE)</f>
        <v>0</v>
      </c>
      <c r="G1244">
        <f>VLOOKUP($D1244,'[2]LC Opportunity'!$Q$2:$U$542,4,FALSE)</f>
        <v>0</v>
      </c>
      <c r="H1244">
        <f>VLOOKUP($D1244,'[2]LC Opportunity'!$Q$2:$U$542,5,FALSE)</f>
        <v>0.99999999999999989</v>
      </c>
      <c r="I1244" s="77">
        <f t="shared" si="4131"/>
        <v>0.99999999999999989</v>
      </c>
      <c r="J1244" s="77">
        <f t="shared" si="4132"/>
        <v>7.1999999999999981E-2</v>
      </c>
      <c r="K1244" s="77">
        <f t="shared" si="4176"/>
        <v>5.8106552987937654E-3</v>
      </c>
      <c r="L1244" s="76">
        <v>0</v>
      </c>
      <c r="M1244" s="77">
        <f t="shared" si="4138"/>
        <v>0</v>
      </c>
      <c r="N1244" s="77">
        <f t="shared" si="4139"/>
        <v>0</v>
      </c>
      <c r="O1244" s="77">
        <f t="shared" si="4140"/>
        <v>4.9999999999999992E-3</v>
      </c>
      <c r="P1244" s="77">
        <f t="shared" si="4141"/>
        <v>4.1762458919303302E-4</v>
      </c>
      <c r="R1244" t="s">
        <v>177</v>
      </c>
      <c r="S1244" t="s">
        <v>180</v>
      </c>
      <c r="T1244" s="197" t="str">
        <f t="shared" si="4172"/>
        <v>Autopilot_Opportunity_385</v>
      </c>
      <c r="U1244">
        <v>385</v>
      </c>
      <c r="V1244">
        <f>VLOOKUP($U1244,'[2]AP Opportunity'!$Q$1:$T$542,2,FALSE)</f>
        <v>0.99999997777777772</v>
      </c>
      <c r="W1244">
        <f>VLOOKUP($U1244,'[2]AP Opportunity'!$Q$1:$T$542,3,FALSE)</f>
        <v>2.2222222284540294E-8</v>
      </c>
      <c r="X1244">
        <f>VLOOKUP($U1244,'[2]AP Opportunity'!$Q$1:$T$542,4,FALSE)</f>
        <v>0</v>
      </c>
      <c r="Y1244" s="77">
        <f t="shared" si="4173"/>
        <v>1</v>
      </c>
      <c r="Z1244" s="77">
        <f t="shared" si="4177"/>
        <v>6.4624999704999977E-2</v>
      </c>
      <c r="AA1244" s="77">
        <f t="shared" si="4178"/>
        <v>5.2321923767311151E-3</v>
      </c>
      <c r="AB1244" s="79">
        <v>1</v>
      </c>
      <c r="AC1244" s="77">
        <f t="shared" si="4142"/>
        <v>8.499999955555556E-3</v>
      </c>
      <c r="AD1244" s="77">
        <f t="shared" ref="AD1244" si="4207">1-(1-AC1244)^(1/12)</f>
        <v>7.1110795759765644E-4</v>
      </c>
      <c r="AE1244" s="77">
        <f t="shared" si="4144"/>
        <v>2.5000000000000001E-3</v>
      </c>
      <c r="AF1244" s="77">
        <f t="shared" ref="AF1244" si="4208">1-(1-AE1244)^(1/12)</f>
        <v>2.0857243058891584E-4</v>
      </c>
      <c r="AH1244" t="s">
        <v>175</v>
      </c>
      <c r="AI1244" t="s">
        <v>180</v>
      </c>
      <c r="AJ1244" s="197" t="str">
        <f t="shared" si="4135"/>
        <v>Lifecycle_Opportunity_385</v>
      </c>
      <c r="AK1244">
        <v>385</v>
      </c>
      <c r="AL1244">
        <f>VLOOKUP($U1244,[2]Standard_Opportunity!$Q$1:$T$542,2,FALSE)</f>
        <v>0.99999997777777772</v>
      </c>
      <c r="AM1244">
        <f>VLOOKUP($U1244,[2]Standard_Opportunity!$Q$1:$T$542,3,FALSE)</f>
        <v>2.2222222284540294E-8</v>
      </c>
      <c r="AN1244">
        <f>VLOOKUP($U1244,[2]Standard_Opportunity!$Q$1:$T$542,4,FALSE)</f>
        <v>0</v>
      </c>
      <c r="AO1244" s="77">
        <f t="shared" si="4136"/>
        <v>1</v>
      </c>
      <c r="AP1244" s="77">
        <f t="shared" si="4146"/>
        <v>6.4624999704999977E-2</v>
      </c>
      <c r="AQ1244" s="77">
        <f t="shared" si="4137"/>
        <v>5.2321923767311151E-3</v>
      </c>
      <c r="AR1244" s="79">
        <v>0</v>
      </c>
      <c r="AS1244" s="77">
        <f t="shared" si="4147"/>
        <v>0</v>
      </c>
      <c r="AT1244" s="77">
        <f t="shared" si="4148"/>
        <v>0</v>
      </c>
      <c r="AU1244" s="77">
        <f t="shared" si="4149"/>
        <v>2.5000000000000001E-3</v>
      </c>
      <c r="AV1244" s="77">
        <f t="shared" si="4150"/>
        <v>2.0809499864316017E-4</v>
      </c>
    </row>
    <row r="1245" spans="1:48">
      <c r="A1245" t="s">
        <v>175</v>
      </c>
      <c r="B1245" t="s">
        <v>180</v>
      </c>
      <c r="C1245" s="197" t="str">
        <f t="shared" si="4171"/>
        <v>Lifecycle_Opportunity_384</v>
      </c>
      <c r="D1245">
        <v>384</v>
      </c>
      <c r="E1245">
        <f>VLOOKUP($D1245,'[2]LC Opportunity'!$Q$2:$U$542,2,FALSE)</f>
        <v>0</v>
      </c>
      <c r="F1245">
        <f>VLOOKUP($D1245,'[2]LC Opportunity'!$Q$2:$U$542,3,FALSE)</f>
        <v>0</v>
      </c>
      <c r="G1245">
        <f>VLOOKUP($D1245,'[2]LC Opportunity'!$Q$2:$U$542,4,FALSE)</f>
        <v>0</v>
      </c>
      <c r="H1245">
        <f>VLOOKUP($D1245,'[2]LC Opportunity'!$Q$2:$U$542,5,FALSE)</f>
        <v>0.99999999999999989</v>
      </c>
      <c r="I1245" s="77">
        <f t="shared" si="4131"/>
        <v>0.99999999999999989</v>
      </c>
      <c r="J1245" s="77">
        <f t="shared" si="4132"/>
        <v>7.1999999999999981E-2</v>
      </c>
      <c r="K1245" s="77">
        <f t="shared" si="4176"/>
        <v>5.8106552987937654E-3</v>
      </c>
      <c r="L1245" s="76">
        <v>0</v>
      </c>
      <c r="M1245" s="77">
        <f t="shared" si="4138"/>
        <v>0</v>
      </c>
      <c r="N1245" s="77">
        <f t="shared" si="4139"/>
        <v>0</v>
      </c>
      <c r="O1245" s="77">
        <f t="shared" si="4140"/>
        <v>4.9999999999999992E-3</v>
      </c>
      <c r="P1245" s="77">
        <f t="shared" si="4141"/>
        <v>4.1762458919303302E-4</v>
      </c>
      <c r="R1245" t="s">
        <v>177</v>
      </c>
      <c r="S1245" t="s">
        <v>180</v>
      </c>
      <c r="T1245" s="197" t="str">
        <f t="shared" si="4172"/>
        <v>Autopilot_Opportunity_384</v>
      </c>
      <c r="U1245">
        <v>384</v>
      </c>
      <c r="V1245">
        <f>VLOOKUP($U1245,'[2]AP Opportunity'!$Q$1:$T$542,2,FALSE)</f>
        <v>0.99999997777777772</v>
      </c>
      <c r="W1245">
        <f>VLOOKUP($U1245,'[2]AP Opportunity'!$Q$1:$T$542,3,FALSE)</f>
        <v>2.2222222284540294E-8</v>
      </c>
      <c r="X1245">
        <f>VLOOKUP($U1245,'[2]AP Opportunity'!$Q$1:$T$542,4,FALSE)</f>
        <v>0</v>
      </c>
      <c r="Y1245" s="77">
        <f t="shared" si="4173"/>
        <v>1</v>
      </c>
      <c r="Z1245" s="77">
        <f t="shared" si="4177"/>
        <v>6.4624999704999977E-2</v>
      </c>
      <c r="AA1245" s="77">
        <f t="shared" si="4178"/>
        <v>5.2321923767311151E-3</v>
      </c>
      <c r="AB1245" s="79">
        <v>1</v>
      </c>
      <c r="AC1245" s="77">
        <f t="shared" si="4142"/>
        <v>8.499999955555556E-3</v>
      </c>
      <c r="AD1245" s="77">
        <f t="shared" ref="AD1245" si="4209">1-(1-AC1245)^(1/12)</f>
        <v>7.1110795759765644E-4</v>
      </c>
      <c r="AE1245" s="77">
        <f t="shared" si="4144"/>
        <v>2.5000000000000001E-3</v>
      </c>
      <c r="AF1245" s="77">
        <f t="shared" ref="AF1245" si="4210">1-(1-AE1245)^(1/12)</f>
        <v>2.0857243058891584E-4</v>
      </c>
      <c r="AH1245" t="s">
        <v>175</v>
      </c>
      <c r="AI1245" t="s">
        <v>180</v>
      </c>
      <c r="AJ1245" s="197" t="str">
        <f t="shared" si="4135"/>
        <v>Lifecycle_Opportunity_384</v>
      </c>
      <c r="AK1245">
        <v>384</v>
      </c>
      <c r="AL1245">
        <f>VLOOKUP($U1245,[2]Standard_Opportunity!$Q$1:$T$542,2,FALSE)</f>
        <v>0.99999997777777772</v>
      </c>
      <c r="AM1245">
        <f>VLOOKUP($U1245,[2]Standard_Opportunity!$Q$1:$T$542,3,FALSE)</f>
        <v>2.2222222284540294E-8</v>
      </c>
      <c r="AN1245">
        <f>VLOOKUP($U1245,[2]Standard_Opportunity!$Q$1:$T$542,4,FALSE)</f>
        <v>0</v>
      </c>
      <c r="AO1245" s="77">
        <f t="shared" si="4136"/>
        <v>1</v>
      </c>
      <c r="AP1245" s="77">
        <f t="shared" si="4146"/>
        <v>6.4624999704999977E-2</v>
      </c>
      <c r="AQ1245" s="77">
        <f t="shared" si="4137"/>
        <v>5.2321923767311151E-3</v>
      </c>
      <c r="AR1245" s="79">
        <v>0</v>
      </c>
      <c r="AS1245" s="77">
        <f t="shared" si="4147"/>
        <v>0</v>
      </c>
      <c r="AT1245" s="77">
        <f t="shared" si="4148"/>
        <v>0</v>
      </c>
      <c r="AU1245" s="77">
        <f t="shared" si="4149"/>
        <v>2.5000000000000001E-3</v>
      </c>
      <c r="AV1245" s="77">
        <f t="shared" si="4150"/>
        <v>2.0809499864316017E-4</v>
      </c>
    </row>
    <row r="1246" spans="1:48">
      <c r="A1246" t="s">
        <v>175</v>
      </c>
      <c r="B1246" t="s">
        <v>180</v>
      </c>
      <c r="C1246" s="197" t="str">
        <f t="shared" si="4171"/>
        <v>Lifecycle_Opportunity_383</v>
      </c>
      <c r="D1246">
        <v>383</v>
      </c>
      <c r="E1246">
        <f>VLOOKUP($D1246,'[2]LC Opportunity'!$Q$2:$U$542,2,FALSE)</f>
        <v>0</v>
      </c>
      <c r="F1246">
        <f>VLOOKUP($D1246,'[2]LC Opportunity'!$Q$2:$U$542,3,FALSE)</f>
        <v>0</v>
      </c>
      <c r="G1246">
        <f>VLOOKUP($D1246,'[2]LC Opportunity'!$Q$2:$U$542,4,FALSE)</f>
        <v>0</v>
      </c>
      <c r="H1246">
        <f>VLOOKUP($D1246,'[2]LC Opportunity'!$Q$2:$U$542,5,FALSE)</f>
        <v>0.99999999999999989</v>
      </c>
      <c r="I1246" s="77">
        <f t="shared" si="4131"/>
        <v>0.99999999999999989</v>
      </c>
      <c r="J1246" s="77">
        <f t="shared" si="4132"/>
        <v>7.1999999999999981E-2</v>
      </c>
      <c r="K1246" s="77">
        <f t="shared" si="4176"/>
        <v>5.8106552987937654E-3</v>
      </c>
      <c r="L1246" s="76">
        <v>0</v>
      </c>
      <c r="M1246" s="77">
        <f t="shared" si="4138"/>
        <v>0</v>
      </c>
      <c r="N1246" s="77">
        <f t="shared" si="4139"/>
        <v>0</v>
      </c>
      <c r="O1246" s="77">
        <f t="shared" si="4140"/>
        <v>4.9999999999999992E-3</v>
      </c>
      <c r="P1246" s="77">
        <f t="shared" si="4141"/>
        <v>4.1762458919303302E-4</v>
      </c>
      <c r="R1246" t="s">
        <v>177</v>
      </c>
      <c r="S1246" t="s">
        <v>180</v>
      </c>
      <c r="T1246" s="197" t="str">
        <f t="shared" si="4172"/>
        <v>Autopilot_Opportunity_383</v>
      </c>
      <c r="U1246">
        <v>383</v>
      </c>
      <c r="V1246">
        <f>VLOOKUP($U1246,'[2]AP Opportunity'!$Q$1:$T$542,2,FALSE)</f>
        <v>0.99999997777777772</v>
      </c>
      <c r="W1246">
        <f>VLOOKUP($U1246,'[2]AP Opportunity'!$Q$1:$T$542,3,FALSE)</f>
        <v>2.2222222284540294E-8</v>
      </c>
      <c r="X1246">
        <f>VLOOKUP($U1246,'[2]AP Opportunity'!$Q$1:$T$542,4,FALSE)</f>
        <v>0</v>
      </c>
      <c r="Y1246" s="77">
        <f t="shared" si="4173"/>
        <v>1</v>
      </c>
      <c r="Z1246" s="77">
        <f t="shared" si="4177"/>
        <v>6.4624999704999977E-2</v>
      </c>
      <c r="AA1246" s="77">
        <f t="shared" si="4178"/>
        <v>5.2321923767311151E-3</v>
      </c>
      <c r="AB1246" s="79">
        <v>1</v>
      </c>
      <c r="AC1246" s="77">
        <f t="shared" si="4142"/>
        <v>8.499999955555556E-3</v>
      </c>
      <c r="AD1246" s="77">
        <f t="shared" ref="AD1246" si="4211">1-(1-AC1246)^(1/12)</f>
        <v>7.1110795759765644E-4</v>
      </c>
      <c r="AE1246" s="77">
        <f t="shared" si="4144"/>
        <v>2.5000000000000001E-3</v>
      </c>
      <c r="AF1246" s="77">
        <f t="shared" ref="AF1246" si="4212">1-(1-AE1246)^(1/12)</f>
        <v>2.0857243058891584E-4</v>
      </c>
      <c r="AH1246" t="s">
        <v>175</v>
      </c>
      <c r="AI1246" t="s">
        <v>180</v>
      </c>
      <c r="AJ1246" s="197" t="str">
        <f t="shared" si="4135"/>
        <v>Lifecycle_Opportunity_383</v>
      </c>
      <c r="AK1246">
        <v>383</v>
      </c>
      <c r="AL1246">
        <f>VLOOKUP($U1246,[2]Standard_Opportunity!$Q$1:$T$542,2,FALSE)</f>
        <v>0.99999997777777772</v>
      </c>
      <c r="AM1246">
        <f>VLOOKUP($U1246,[2]Standard_Opportunity!$Q$1:$T$542,3,FALSE)</f>
        <v>2.2222222284540294E-8</v>
      </c>
      <c r="AN1246">
        <f>VLOOKUP($U1246,[2]Standard_Opportunity!$Q$1:$T$542,4,FALSE)</f>
        <v>0</v>
      </c>
      <c r="AO1246" s="77">
        <f t="shared" si="4136"/>
        <v>1</v>
      </c>
      <c r="AP1246" s="77">
        <f t="shared" si="4146"/>
        <v>6.4624999704999977E-2</v>
      </c>
      <c r="AQ1246" s="77">
        <f t="shared" si="4137"/>
        <v>5.2321923767311151E-3</v>
      </c>
      <c r="AR1246" s="79">
        <v>0</v>
      </c>
      <c r="AS1246" s="77">
        <f t="shared" si="4147"/>
        <v>0</v>
      </c>
      <c r="AT1246" s="77">
        <f t="shared" si="4148"/>
        <v>0</v>
      </c>
      <c r="AU1246" s="77">
        <f t="shared" si="4149"/>
        <v>2.5000000000000001E-3</v>
      </c>
      <c r="AV1246" s="77">
        <f t="shared" si="4150"/>
        <v>2.0809499864316017E-4</v>
      </c>
    </row>
    <row r="1247" spans="1:48">
      <c r="A1247" t="s">
        <v>175</v>
      </c>
      <c r="B1247" t="s">
        <v>180</v>
      </c>
      <c r="C1247" s="197" t="str">
        <f t="shared" si="4171"/>
        <v>Lifecycle_Opportunity_382</v>
      </c>
      <c r="D1247">
        <v>382</v>
      </c>
      <c r="E1247">
        <f>VLOOKUP($D1247,'[2]LC Opportunity'!$Q$2:$U$542,2,FALSE)</f>
        <v>0</v>
      </c>
      <c r="F1247">
        <f>VLOOKUP($D1247,'[2]LC Opportunity'!$Q$2:$U$542,3,FALSE)</f>
        <v>0</v>
      </c>
      <c r="G1247">
        <f>VLOOKUP($D1247,'[2]LC Opportunity'!$Q$2:$U$542,4,FALSE)</f>
        <v>0</v>
      </c>
      <c r="H1247">
        <f>VLOOKUP($D1247,'[2]LC Opportunity'!$Q$2:$U$542,5,FALSE)</f>
        <v>0.99999999999999989</v>
      </c>
      <c r="I1247" s="77">
        <f t="shared" si="4131"/>
        <v>0.99999999999999989</v>
      </c>
      <c r="J1247" s="77">
        <f t="shared" si="4132"/>
        <v>7.1999999999999981E-2</v>
      </c>
      <c r="K1247" s="77">
        <f t="shared" si="4176"/>
        <v>5.8106552987937654E-3</v>
      </c>
      <c r="L1247" s="76">
        <v>0</v>
      </c>
      <c r="M1247" s="77">
        <f t="shared" si="4138"/>
        <v>0</v>
      </c>
      <c r="N1247" s="77">
        <f t="shared" si="4139"/>
        <v>0</v>
      </c>
      <c r="O1247" s="77">
        <f t="shared" si="4140"/>
        <v>4.9999999999999992E-3</v>
      </c>
      <c r="P1247" s="77">
        <f t="shared" si="4141"/>
        <v>4.1762458919303302E-4</v>
      </c>
      <c r="R1247" t="s">
        <v>177</v>
      </c>
      <c r="S1247" t="s">
        <v>180</v>
      </c>
      <c r="T1247" s="197" t="str">
        <f t="shared" si="4172"/>
        <v>Autopilot_Opportunity_382</v>
      </c>
      <c r="U1247">
        <v>382</v>
      </c>
      <c r="V1247">
        <f>VLOOKUP($U1247,'[2]AP Opportunity'!$Q$1:$T$542,2,FALSE)</f>
        <v>0.99999997777777772</v>
      </c>
      <c r="W1247">
        <f>VLOOKUP($U1247,'[2]AP Opportunity'!$Q$1:$T$542,3,FALSE)</f>
        <v>2.2222222284540294E-8</v>
      </c>
      <c r="X1247">
        <f>VLOOKUP($U1247,'[2]AP Opportunity'!$Q$1:$T$542,4,FALSE)</f>
        <v>0</v>
      </c>
      <c r="Y1247" s="77">
        <f t="shared" si="4173"/>
        <v>1</v>
      </c>
      <c r="Z1247" s="77">
        <f t="shared" si="4177"/>
        <v>6.4624999704999977E-2</v>
      </c>
      <c r="AA1247" s="77">
        <f t="shared" si="4178"/>
        <v>5.2321923767311151E-3</v>
      </c>
      <c r="AB1247" s="79">
        <v>1</v>
      </c>
      <c r="AC1247" s="77">
        <f t="shared" si="4142"/>
        <v>8.499999955555556E-3</v>
      </c>
      <c r="AD1247" s="77">
        <f t="shared" ref="AD1247" si="4213">1-(1-AC1247)^(1/12)</f>
        <v>7.1110795759765644E-4</v>
      </c>
      <c r="AE1247" s="77">
        <f t="shared" si="4144"/>
        <v>2.5000000000000001E-3</v>
      </c>
      <c r="AF1247" s="77">
        <f t="shared" ref="AF1247" si="4214">1-(1-AE1247)^(1/12)</f>
        <v>2.0857243058891584E-4</v>
      </c>
      <c r="AH1247" t="s">
        <v>175</v>
      </c>
      <c r="AI1247" t="s">
        <v>180</v>
      </c>
      <c r="AJ1247" s="197" t="str">
        <f t="shared" si="4135"/>
        <v>Lifecycle_Opportunity_382</v>
      </c>
      <c r="AK1247">
        <v>382</v>
      </c>
      <c r="AL1247">
        <f>VLOOKUP($U1247,[2]Standard_Opportunity!$Q$1:$T$542,2,FALSE)</f>
        <v>0.99999997777777772</v>
      </c>
      <c r="AM1247">
        <f>VLOOKUP($U1247,[2]Standard_Opportunity!$Q$1:$T$542,3,FALSE)</f>
        <v>2.2222222284540294E-8</v>
      </c>
      <c r="AN1247">
        <f>VLOOKUP($U1247,[2]Standard_Opportunity!$Q$1:$T$542,4,FALSE)</f>
        <v>0</v>
      </c>
      <c r="AO1247" s="77">
        <f t="shared" si="4136"/>
        <v>1</v>
      </c>
      <c r="AP1247" s="77">
        <f t="shared" si="4146"/>
        <v>6.4624999704999977E-2</v>
      </c>
      <c r="AQ1247" s="77">
        <f t="shared" si="4137"/>
        <v>5.2321923767311151E-3</v>
      </c>
      <c r="AR1247" s="79">
        <v>0</v>
      </c>
      <c r="AS1247" s="77">
        <f t="shared" si="4147"/>
        <v>0</v>
      </c>
      <c r="AT1247" s="77">
        <f t="shared" si="4148"/>
        <v>0</v>
      </c>
      <c r="AU1247" s="77">
        <f t="shared" si="4149"/>
        <v>2.5000000000000001E-3</v>
      </c>
      <c r="AV1247" s="77">
        <f t="shared" si="4150"/>
        <v>2.0809499864316017E-4</v>
      </c>
    </row>
    <row r="1248" spans="1:48">
      <c r="A1248" t="s">
        <v>175</v>
      </c>
      <c r="B1248" t="s">
        <v>180</v>
      </c>
      <c r="C1248" s="197" t="str">
        <f t="shared" si="4171"/>
        <v>Lifecycle_Opportunity_381</v>
      </c>
      <c r="D1248">
        <v>381</v>
      </c>
      <c r="E1248">
        <f>VLOOKUP($D1248,'[2]LC Opportunity'!$Q$2:$U$542,2,FALSE)</f>
        <v>0</v>
      </c>
      <c r="F1248">
        <f>VLOOKUP($D1248,'[2]LC Opportunity'!$Q$2:$U$542,3,FALSE)</f>
        <v>0</v>
      </c>
      <c r="G1248">
        <f>VLOOKUP($D1248,'[2]LC Opportunity'!$Q$2:$U$542,4,FALSE)</f>
        <v>0</v>
      </c>
      <c r="H1248">
        <f>VLOOKUP($D1248,'[2]LC Opportunity'!$Q$2:$U$542,5,FALSE)</f>
        <v>0.99999999999999989</v>
      </c>
      <c r="I1248" s="77">
        <f t="shared" si="4131"/>
        <v>0.99999999999999989</v>
      </c>
      <c r="J1248" s="77">
        <f t="shared" si="4132"/>
        <v>7.1999999999999981E-2</v>
      </c>
      <c r="K1248" s="77">
        <f t="shared" si="4176"/>
        <v>5.8106552987937654E-3</v>
      </c>
      <c r="L1248" s="76">
        <v>0</v>
      </c>
      <c r="M1248" s="77">
        <f t="shared" si="4138"/>
        <v>0</v>
      </c>
      <c r="N1248" s="77">
        <f t="shared" si="4139"/>
        <v>0</v>
      </c>
      <c r="O1248" s="77">
        <f t="shared" si="4140"/>
        <v>4.9999999999999992E-3</v>
      </c>
      <c r="P1248" s="77">
        <f t="shared" si="4141"/>
        <v>4.1762458919303302E-4</v>
      </c>
      <c r="R1248" t="s">
        <v>177</v>
      </c>
      <c r="S1248" t="s">
        <v>180</v>
      </c>
      <c r="T1248" s="197" t="str">
        <f t="shared" si="4172"/>
        <v>Autopilot_Opportunity_381</v>
      </c>
      <c r="U1248">
        <v>381</v>
      </c>
      <c r="V1248">
        <f>VLOOKUP($U1248,'[2]AP Opportunity'!$Q$1:$T$542,2,FALSE)</f>
        <v>0.99999997777777772</v>
      </c>
      <c r="W1248">
        <f>VLOOKUP($U1248,'[2]AP Opportunity'!$Q$1:$T$542,3,FALSE)</f>
        <v>2.2222222284540294E-8</v>
      </c>
      <c r="X1248">
        <f>VLOOKUP($U1248,'[2]AP Opportunity'!$Q$1:$T$542,4,FALSE)</f>
        <v>0</v>
      </c>
      <c r="Y1248" s="77">
        <f t="shared" si="4173"/>
        <v>1</v>
      </c>
      <c r="Z1248" s="77">
        <f t="shared" si="4177"/>
        <v>6.4624999704999977E-2</v>
      </c>
      <c r="AA1248" s="77">
        <f t="shared" si="4178"/>
        <v>5.2321923767311151E-3</v>
      </c>
      <c r="AB1248" s="79">
        <v>1</v>
      </c>
      <c r="AC1248" s="77">
        <f t="shared" si="4142"/>
        <v>8.499999955555556E-3</v>
      </c>
      <c r="AD1248" s="77">
        <f t="shared" ref="AD1248" si="4215">1-(1-AC1248)^(1/12)</f>
        <v>7.1110795759765644E-4</v>
      </c>
      <c r="AE1248" s="77">
        <f t="shared" si="4144"/>
        <v>2.5000000000000001E-3</v>
      </c>
      <c r="AF1248" s="77">
        <f t="shared" ref="AF1248" si="4216">1-(1-AE1248)^(1/12)</f>
        <v>2.0857243058891584E-4</v>
      </c>
      <c r="AH1248" t="s">
        <v>175</v>
      </c>
      <c r="AI1248" t="s">
        <v>180</v>
      </c>
      <c r="AJ1248" s="197" t="str">
        <f t="shared" si="4135"/>
        <v>Lifecycle_Opportunity_381</v>
      </c>
      <c r="AK1248">
        <v>381</v>
      </c>
      <c r="AL1248">
        <f>VLOOKUP($U1248,[2]Standard_Opportunity!$Q$1:$T$542,2,FALSE)</f>
        <v>0.99999997777777772</v>
      </c>
      <c r="AM1248">
        <f>VLOOKUP($U1248,[2]Standard_Opportunity!$Q$1:$T$542,3,FALSE)</f>
        <v>2.2222222284540294E-8</v>
      </c>
      <c r="AN1248">
        <f>VLOOKUP($U1248,[2]Standard_Opportunity!$Q$1:$T$542,4,FALSE)</f>
        <v>0</v>
      </c>
      <c r="AO1248" s="77">
        <f t="shared" si="4136"/>
        <v>1</v>
      </c>
      <c r="AP1248" s="77">
        <f t="shared" si="4146"/>
        <v>6.4624999704999977E-2</v>
      </c>
      <c r="AQ1248" s="77">
        <f t="shared" si="4137"/>
        <v>5.2321923767311151E-3</v>
      </c>
      <c r="AR1248" s="79">
        <v>0</v>
      </c>
      <c r="AS1248" s="77">
        <f t="shared" si="4147"/>
        <v>0</v>
      </c>
      <c r="AT1248" s="77">
        <f t="shared" si="4148"/>
        <v>0</v>
      </c>
      <c r="AU1248" s="77">
        <f t="shared" si="4149"/>
        <v>2.5000000000000001E-3</v>
      </c>
      <c r="AV1248" s="77">
        <f t="shared" si="4150"/>
        <v>2.0809499864316017E-4</v>
      </c>
    </row>
    <row r="1249" spans="1:48">
      <c r="A1249" t="s">
        <v>175</v>
      </c>
      <c r="B1249" t="s">
        <v>180</v>
      </c>
      <c r="C1249" s="197" t="str">
        <f t="shared" si="4171"/>
        <v>Lifecycle_Opportunity_380</v>
      </c>
      <c r="D1249">
        <v>380</v>
      </c>
      <c r="E1249">
        <f>VLOOKUP($D1249,'[2]LC Opportunity'!$Q$2:$U$542,2,FALSE)</f>
        <v>0</v>
      </c>
      <c r="F1249">
        <f>VLOOKUP($D1249,'[2]LC Opportunity'!$Q$2:$U$542,3,FALSE)</f>
        <v>0</v>
      </c>
      <c r="G1249">
        <f>VLOOKUP($D1249,'[2]LC Opportunity'!$Q$2:$U$542,4,FALSE)</f>
        <v>0</v>
      </c>
      <c r="H1249">
        <f>VLOOKUP($D1249,'[2]LC Opportunity'!$Q$2:$U$542,5,FALSE)</f>
        <v>0.99999999999999989</v>
      </c>
      <c r="I1249" s="77">
        <f t="shared" si="4131"/>
        <v>0.99999999999999989</v>
      </c>
      <c r="J1249" s="77">
        <f t="shared" si="4132"/>
        <v>7.1999999999999981E-2</v>
      </c>
      <c r="K1249" s="77">
        <f t="shared" si="4176"/>
        <v>5.8106552987937654E-3</v>
      </c>
      <c r="L1249" s="76">
        <v>0</v>
      </c>
      <c r="M1249" s="77">
        <f t="shared" si="4138"/>
        <v>0</v>
      </c>
      <c r="N1249" s="77">
        <f t="shared" si="4139"/>
        <v>0</v>
      </c>
      <c r="O1249" s="77">
        <f t="shared" si="4140"/>
        <v>4.9999999999999992E-3</v>
      </c>
      <c r="P1249" s="77">
        <f t="shared" si="4141"/>
        <v>4.1762458919303302E-4</v>
      </c>
      <c r="R1249" t="s">
        <v>177</v>
      </c>
      <c r="S1249" t="s">
        <v>180</v>
      </c>
      <c r="T1249" s="197" t="str">
        <f t="shared" si="4172"/>
        <v>Autopilot_Opportunity_380</v>
      </c>
      <c r="U1249">
        <v>380</v>
      </c>
      <c r="V1249">
        <f>VLOOKUP($U1249,'[2]AP Opportunity'!$Q$1:$T$542,2,FALSE)</f>
        <v>0.99999997777777772</v>
      </c>
      <c r="W1249">
        <f>VLOOKUP($U1249,'[2]AP Opportunity'!$Q$1:$T$542,3,FALSE)</f>
        <v>2.2222222284540294E-8</v>
      </c>
      <c r="X1249">
        <f>VLOOKUP($U1249,'[2]AP Opportunity'!$Q$1:$T$542,4,FALSE)</f>
        <v>0</v>
      </c>
      <c r="Y1249" s="77">
        <f t="shared" si="4173"/>
        <v>1</v>
      </c>
      <c r="Z1249" s="77">
        <f t="shared" si="4177"/>
        <v>6.4624999704999977E-2</v>
      </c>
      <c r="AA1249" s="77">
        <f t="shared" si="4178"/>
        <v>5.2321923767311151E-3</v>
      </c>
      <c r="AB1249" s="79">
        <v>1</v>
      </c>
      <c r="AC1249" s="77">
        <f t="shared" si="4142"/>
        <v>8.499999955555556E-3</v>
      </c>
      <c r="AD1249" s="77">
        <f t="shared" ref="AD1249" si="4217">1-(1-AC1249)^(1/12)</f>
        <v>7.1110795759765644E-4</v>
      </c>
      <c r="AE1249" s="77">
        <f t="shared" si="4144"/>
        <v>2.5000000000000001E-3</v>
      </c>
      <c r="AF1249" s="77">
        <f t="shared" ref="AF1249" si="4218">1-(1-AE1249)^(1/12)</f>
        <v>2.0857243058891584E-4</v>
      </c>
      <c r="AH1249" t="s">
        <v>175</v>
      </c>
      <c r="AI1249" t="s">
        <v>180</v>
      </c>
      <c r="AJ1249" s="197" t="str">
        <f t="shared" si="4135"/>
        <v>Lifecycle_Opportunity_380</v>
      </c>
      <c r="AK1249">
        <v>380</v>
      </c>
      <c r="AL1249">
        <f>VLOOKUP($U1249,[2]Standard_Opportunity!$Q$1:$T$542,2,FALSE)</f>
        <v>0.99999997777777772</v>
      </c>
      <c r="AM1249">
        <f>VLOOKUP($U1249,[2]Standard_Opportunity!$Q$1:$T$542,3,FALSE)</f>
        <v>2.2222222284540294E-8</v>
      </c>
      <c r="AN1249">
        <f>VLOOKUP($U1249,[2]Standard_Opportunity!$Q$1:$T$542,4,FALSE)</f>
        <v>0</v>
      </c>
      <c r="AO1249" s="77">
        <f t="shared" si="4136"/>
        <v>1</v>
      </c>
      <c r="AP1249" s="77">
        <f t="shared" si="4146"/>
        <v>6.4624999704999977E-2</v>
      </c>
      <c r="AQ1249" s="77">
        <f t="shared" si="4137"/>
        <v>5.2321923767311151E-3</v>
      </c>
      <c r="AR1249" s="79">
        <v>0</v>
      </c>
      <c r="AS1249" s="77">
        <f t="shared" si="4147"/>
        <v>0</v>
      </c>
      <c r="AT1249" s="77">
        <f t="shared" si="4148"/>
        <v>0</v>
      </c>
      <c r="AU1249" s="77">
        <f t="shared" si="4149"/>
        <v>2.5000000000000001E-3</v>
      </c>
      <c r="AV1249" s="77">
        <f t="shared" si="4150"/>
        <v>2.0809499864316017E-4</v>
      </c>
    </row>
    <row r="1250" spans="1:48">
      <c r="A1250" t="s">
        <v>175</v>
      </c>
      <c r="B1250" t="s">
        <v>180</v>
      </c>
      <c r="C1250" s="197" t="str">
        <f t="shared" si="4171"/>
        <v>Lifecycle_Opportunity_379</v>
      </c>
      <c r="D1250">
        <v>379</v>
      </c>
      <c r="E1250">
        <f>VLOOKUP($D1250,'[2]LC Opportunity'!$Q$2:$U$542,2,FALSE)</f>
        <v>0</v>
      </c>
      <c r="F1250">
        <f>VLOOKUP($D1250,'[2]LC Opportunity'!$Q$2:$U$542,3,FALSE)</f>
        <v>0</v>
      </c>
      <c r="G1250">
        <f>VLOOKUP($D1250,'[2]LC Opportunity'!$Q$2:$U$542,4,FALSE)</f>
        <v>0</v>
      </c>
      <c r="H1250">
        <f>VLOOKUP($D1250,'[2]LC Opportunity'!$Q$2:$U$542,5,FALSE)</f>
        <v>0.99999999999999989</v>
      </c>
      <c r="I1250" s="77">
        <f t="shared" si="4131"/>
        <v>0.99999999999999989</v>
      </c>
      <c r="J1250" s="77">
        <f t="shared" si="4132"/>
        <v>7.1999999999999981E-2</v>
      </c>
      <c r="K1250" s="77">
        <f t="shared" si="4176"/>
        <v>5.8106552987937654E-3</v>
      </c>
      <c r="L1250" s="76">
        <v>0</v>
      </c>
      <c r="M1250" s="77">
        <f t="shared" si="4138"/>
        <v>0</v>
      </c>
      <c r="N1250" s="77">
        <f t="shared" si="4139"/>
        <v>0</v>
      </c>
      <c r="O1250" s="77">
        <f t="shared" si="4140"/>
        <v>4.9999999999999992E-3</v>
      </c>
      <c r="P1250" s="77">
        <f t="shared" si="4141"/>
        <v>4.1762458919303302E-4</v>
      </c>
      <c r="R1250" t="s">
        <v>177</v>
      </c>
      <c r="S1250" t="s">
        <v>180</v>
      </c>
      <c r="T1250" s="197" t="str">
        <f t="shared" si="4172"/>
        <v>Autopilot_Opportunity_379</v>
      </c>
      <c r="U1250">
        <v>379</v>
      </c>
      <c r="V1250">
        <f>VLOOKUP($U1250,'[2]AP Opportunity'!$Q$1:$T$542,2,FALSE)</f>
        <v>0.99999997777777772</v>
      </c>
      <c r="W1250">
        <f>VLOOKUP($U1250,'[2]AP Opportunity'!$Q$1:$T$542,3,FALSE)</f>
        <v>2.2222222284540294E-8</v>
      </c>
      <c r="X1250">
        <f>VLOOKUP($U1250,'[2]AP Opportunity'!$Q$1:$T$542,4,FALSE)</f>
        <v>0</v>
      </c>
      <c r="Y1250" s="77">
        <f t="shared" si="4173"/>
        <v>1</v>
      </c>
      <c r="Z1250" s="77">
        <f t="shared" si="4177"/>
        <v>6.4624999704999977E-2</v>
      </c>
      <c r="AA1250" s="77">
        <f t="shared" si="4178"/>
        <v>5.2321923767311151E-3</v>
      </c>
      <c r="AB1250" s="79">
        <v>1</v>
      </c>
      <c r="AC1250" s="77">
        <f t="shared" si="4142"/>
        <v>8.499999955555556E-3</v>
      </c>
      <c r="AD1250" s="77">
        <f t="shared" ref="AD1250" si="4219">1-(1-AC1250)^(1/12)</f>
        <v>7.1110795759765644E-4</v>
      </c>
      <c r="AE1250" s="77">
        <f t="shared" si="4144"/>
        <v>2.5000000000000001E-3</v>
      </c>
      <c r="AF1250" s="77">
        <f t="shared" ref="AF1250" si="4220">1-(1-AE1250)^(1/12)</f>
        <v>2.0857243058891584E-4</v>
      </c>
      <c r="AH1250" t="s">
        <v>175</v>
      </c>
      <c r="AI1250" t="s">
        <v>180</v>
      </c>
      <c r="AJ1250" s="197" t="str">
        <f t="shared" si="4135"/>
        <v>Lifecycle_Opportunity_379</v>
      </c>
      <c r="AK1250">
        <v>379</v>
      </c>
      <c r="AL1250">
        <f>VLOOKUP($U1250,[2]Standard_Opportunity!$Q$1:$T$542,2,FALSE)</f>
        <v>0.99999997777777772</v>
      </c>
      <c r="AM1250">
        <f>VLOOKUP($U1250,[2]Standard_Opportunity!$Q$1:$T$542,3,FALSE)</f>
        <v>2.2222222284540294E-8</v>
      </c>
      <c r="AN1250">
        <f>VLOOKUP($U1250,[2]Standard_Opportunity!$Q$1:$T$542,4,FALSE)</f>
        <v>0</v>
      </c>
      <c r="AO1250" s="77">
        <f t="shared" si="4136"/>
        <v>1</v>
      </c>
      <c r="AP1250" s="77">
        <f t="shared" si="4146"/>
        <v>6.4624999704999977E-2</v>
      </c>
      <c r="AQ1250" s="77">
        <f t="shared" si="4137"/>
        <v>5.2321923767311151E-3</v>
      </c>
      <c r="AR1250" s="79">
        <v>0</v>
      </c>
      <c r="AS1250" s="77">
        <f t="shared" si="4147"/>
        <v>0</v>
      </c>
      <c r="AT1250" s="77">
        <f t="shared" si="4148"/>
        <v>0</v>
      </c>
      <c r="AU1250" s="77">
        <f t="shared" si="4149"/>
        <v>2.5000000000000001E-3</v>
      </c>
      <c r="AV1250" s="77">
        <f t="shared" si="4150"/>
        <v>2.0809499864316017E-4</v>
      </c>
    </row>
    <row r="1251" spans="1:48">
      <c r="A1251" t="s">
        <v>175</v>
      </c>
      <c r="B1251" t="s">
        <v>180</v>
      </c>
      <c r="C1251" s="197" t="str">
        <f t="shared" si="4171"/>
        <v>Lifecycle_Opportunity_378</v>
      </c>
      <c r="D1251">
        <v>378</v>
      </c>
      <c r="E1251">
        <f>VLOOKUP($D1251,'[2]LC Opportunity'!$Q$2:$U$542,2,FALSE)</f>
        <v>0</v>
      </c>
      <c r="F1251">
        <f>VLOOKUP($D1251,'[2]LC Opportunity'!$Q$2:$U$542,3,FALSE)</f>
        <v>0</v>
      </c>
      <c r="G1251">
        <f>VLOOKUP($D1251,'[2]LC Opportunity'!$Q$2:$U$542,4,FALSE)</f>
        <v>0</v>
      </c>
      <c r="H1251">
        <f>VLOOKUP($D1251,'[2]LC Opportunity'!$Q$2:$U$542,5,FALSE)</f>
        <v>0.99999999999999989</v>
      </c>
      <c r="I1251" s="77">
        <f t="shared" si="4131"/>
        <v>0.99999999999999989</v>
      </c>
      <c r="J1251" s="77">
        <f t="shared" si="4132"/>
        <v>7.1999999999999981E-2</v>
      </c>
      <c r="K1251" s="77">
        <f t="shared" si="4176"/>
        <v>5.8106552987937654E-3</v>
      </c>
      <c r="L1251" s="76">
        <v>0</v>
      </c>
      <c r="M1251" s="77">
        <f t="shared" si="4138"/>
        <v>0</v>
      </c>
      <c r="N1251" s="77">
        <f t="shared" si="4139"/>
        <v>0</v>
      </c>
      <c r="O1251" s="77">
        <f t="shared" si="4140"/>
        <v>4.9999999999999992E-3</v>
      </c>
      <c r="P1251" s="77">
        <f t="shared" si="4141"/>
        <v>4.1762458919303302E-4</v>
      </c>
      <c r="R1251" t="s">
        <v>177</v>
      </c>
      <c r="S1251" t="s">
        <v>180</v>
      </c>
      <c r="T1251" s="197" t="str">
        <f t="shared" si="4172"/>
        <v>Autopilot_Opportunity_378</v>
      </c>
      <c r="U1251">
        <v>378</v>
      </c>
      <c r="V1251">
        <f>VLOOKUP($U1251,'[2]AP Opportunity'!$Q$1:$T$542,2,FALSE)</f>
        <v>0.99999997777777772</v>
      </c>
      <c r="W1251">
        <f>VLOOKUP($U1251,'[2]AP Opportunity'!$Q$1:$T$542,3,FALSE)</f>
        <v>2.2222222284540294E-8</v>
      </c>
      <c r="X1251">
        <f>VLOOKUP($U1251,'[2]AP Opportunity'!$Q$1:$T$542,4,FALSE)</f>
        <v>0</v>
      </c>
      <c r="Y1251" s="77">
        <f t="shared" si="4173"/>
        <v>1</v>
      </c>
      <c r="Z1251" s="77">
        <f t="shared" si="4177"/>
        <v>6.4624999704999977E-2</v>
      </c>
      <c r="AA1251" s="77">
        <f t="shared" si="4178"/>
        <v>5.2321923767311151E-3</v>
      </c>
      <c r="AB1251" s="79">
        <v>1</v>
      </c>
      <c r="AC1251" s="77">
        <f t="shared" si="4142"/>
        <v>8.499999955555556E-3</v>
      </c>
      <c r="AD1251" s="77">
        <f t="shared" ref="AD1251" si="4221">1-(1-AC1251)^(1/12)</f>
        <v>7.1110795759765644E-4</v>
      </c>
      <c r="AE1251" s="77">
        <f t="shared" si="4144"/>
        <v>2.5000000000000001E-3</v>
      </c>
      <c r="AF1251" s="77">
        <f t="shared" ref="AF1251" si="4222">1-(1-AE1251)^(1/12)</f>
        <v>2.0857243058891584E-4</v>
      </c>
      <c r="AH1251" t="s">
        <v>175</v>
      </c>
      <c r="AI1251" t="s">
        <v>180</v>
      </c>
      <c r="AJ1251" s="197" t="str">
        <f t="shared" si="4135"/>
        <v>Lifecycle_Opportunity_378</v>
      </c>
      <c r="AK1251">
        <v>378</v>
      </c>
      <c r="AL1251">
        <f>VLOOKUP($U1251,[2]Standard_Opportunity!$Q$1:$T$542,2,FALSE)</f>
        <v>0.99999997777777772</v>
      </c>
      <c r="AM1251">
        <f>VLOOKUP($U1251,[2]Standard_Opportunity!$Q$1:$T$542,3,FALSE)</f>
        <v>2.2222222284540294E-8</v>
      </c>
      <c r="AN1251">
        <f>VLOOKUP($U1251,[2]Standard_Opportunity!$Q$1:$T$542,4,FALSE)</f>
        <v>0</v>
      </c>
      <c r="AO1251" s="77">
        <f t="shared" si="4136"/>
        <v>1</v>
      </c>
      <c r="AP1251" s="77">
        <f t="shared" si="4146"/>
        <v>6.4624999704999977E-2</v>
      </c>
      <c r="AQ1251" s="77">
        <f t="shared" si="4137"/>
        <v>5.2321923767311151E-3</v>
      </c>
      <c r="AR1251" s="79">
        <v>0</v>
      </c>
      <c r="AS1251" s="77">
        <f t="shared" si="4147"/>
        <v>0</v>
      </c>
      <c r="AT1251" s="77">
        <f t="shared" si="4148"/>
        <v>0</v>
      </c>
      <c r="AU1251" s="77">
        <f t="shared" si="4149"/>
        <v>2.5000000000000001E-3</v>
      </c>
      <c r="AV1251" s="77">
        <f t="shared" si="4150"/>
        <v>2.0809499864316017E-4</v>
      </c>
    </row>
    <row r="1252" spans="1:48">
      <c r="A1252" t="s">
        <v>175</v>
      </c>
      <c r="B1252" t="s">
        <v>180</v>
      </c>
      <c r="C1252" s="197" t="str">
        <f t="shared" si="4171"/>
        <v>Lifecycle_Opportunity_377</v>
      </c>
      <c r="D1252">
        <v>377</v>
      </c>
      <c r="E1252">
        <f>VLOOKUP($D1252,'[2]LC Opportunity'!$Q$2:$U$542,2,FALSE)</f>
        <v>0</v>
      </c>
      <c r="F1252">
        <f>VLOOKUP($D1252,'[2]LC Opportunity'!$Q$2:$U$542,3,FALSE)</f>
        <v>0</v>
      </c>
      <c r="G1252">
        <f>VLOOKUP($D1252,'[2]LC Opportunity'!$Q$2:$U$542,4,FALSE)</f>
        <v>0</v>
      </c>
      <c r="H1252">
        <f>VLOOKUP($D1252,'[2]LC Opportunity'!$Q$2:$U$542,5,FALSE)</f>
        <v>0.99999999999999989</v>
      </c>
      <c r="I1252" s="77">
        <f t="shared" si="4131"/>
        <v>0.99999999999999989</v>
      </c>
      <c r="J1252" s="77">
        <f t="shared" si="4132"/>
        <v>7.1999999999999981E-2</v>
      </c>
      <c r="K1252" s="77">
        <f t="shared" si="4176"/>
        <v>5.8106552987937654E-3</v>
      </c>
      <c r="L1252" s="76">
        <v>0</v>
      </c>
      <c r="M1252" s="77">
        <f t="shared" si="4138"/>
        <v>0</v>
      </c>
      <c r="N1252" s="77">
        <f t="shared" si="4139"/>
        <v>0</v>
      </c>
      <c r="O1252" s="77">
        <f t="shared" si="4140"/>
        <v>4.9999999999999992E-3</v>
      </c>
      <c r="P1252" s="77">
        <f t="shared" si="4141"/>
        <v>4.1762458919303302E-4</v>
      </c>
      <c r="R1252" t="s">
        <v>177</v>
      </c>
      <c r="S1252" t="s">
        <v>180</v>
      </c>
      <c r="T1252" s="197" t="str">
        <f t="shared" si="4172"/>
        <v>Autopilot_Opportunity_377</v>
      </c>
      <c r="U1252">
        <v>377</v>
      </c>
      <c r="V1252">
        <f>VLOOKUP($U1252,'[2]AP Opportunity'!$Q$1:$T$542,2,FALSE)</f>
        <v>0.99999997777777772</v>
      </c>
      <c r="W1252">
        <f>VLOOKUP($U1252,'[2]AP Opportunity'!$Q$1:$T$542,3,FALSE)</f>
        <v>2.2222222284540294E-8</v>
      </c>
      <c r="X1252">
        <f>VLOOKUP($U1252,'[2]AP Opportunity'!$Q$1:$T$542,4,FALSE)</f>
        <v>0</v>
      </c>
      <c r="Y1252" s="77">
        <f t="shared" si="4173"/>
        <v>1</v>
      </c>
      <c r="Z1252" s="77">
        <f t="shared" si="4177"/>
        <v>6.4624999704999977E-2</v>
      </c>
      <c r="AA1252" s="77">
        <f t="shared" si="4178"/>
        <v>5.2321923767311151E-3</v>
      </c>
      <c r="AB1252" s="79">
        <v>1</v>
      </c>
      <c r="AC1252" s="77">
        <f t="shared" si="4142"/>
        <v>8.499999955555556E-3</v>
      </c>
      <c r="AD1252" s="77">
        <f t="shared" ref="AD1252" si="4223">1-(1-AC1252)^(1/12)</f>
        <v>7.1110795759765644E-4</v>
      </c>
      <c r="AE1252" s="77">
        <f t="shared" si="4144"/>
        <v>2.5000000000000001E-3</v>
      </c>
      <c r="AF1252" s="77">
        <f t="shared" ref="AF1252" si="4224">1-(1-AE1252)^(1/12)</f>
        <v>2.0857243058891584E-4</v>
      </c>
      <c r="AH1252" t="s">
        <v>175</v>
      </c>
      <c r="AI1252" t="s">
        <v>180</v>
      </c>
      <c r="AJ1252" s="197" t="str">
        <f t="shared" si="4135"/>
        <v>Lifecycle_Opportunity_377</v>
      </c>
      <c r="AK1252">
        <v>377</v>
      </c>
      <c r="AL1252">
        <f>VLOOKUP($U1252,[2]Standard_Opportunity!$Q$1:$T$542,2,FALSE)</f>
        <v>0.99999997777777772</v>
      </c>
      <c r="AM1252">
        <f>VLOOKUP($U1252,[2]Standard_Opportunity!$Q$1:$T$542,3,FALSE)</f>
        <v>2.2222222284540294E-8</v>
      </c>
      <c r="AN1252">
        <f>VLOOKUP($U1252,[2]Standard_Opportunity!$Q$1:$T$542,4,FALSE)</f>
        <v>0</v>
      </c>
      <c r="AO1252" s="77">
        <f t="shared" si="4136"/>
        <v>1</v>
      </c>
      <c r="AP1252" s="77">
        <f t="shared" si="4146"/>
        <v>6.4624999704999977E-2</v>
      </c>
      <c r="AQ1252" s="77">
        <f t="shared" si="4137"/>
        <v>5.2321923767311151E-3</v>
      </c>
      <c r="AR1252" s="79">
        <v>0</v>
      </c>
      <c r="AS1252" s="77">
        <f t="shared" si="4147"/>
        <v>0</v>
      </c>
      <c r="AT1252" s="77">
        <f t="shared" si="4148"/>
        <v>0</v>
      </c>
      <c r="AU1252" s="77">
        <f t="shared" si="4149"/>
        <v>2.5000000000000001E-3</v>
      </c>
      <c r="AV1252" s="77">
        <f t="shared" si="4150"/>
        <v>2.0809499864316017E-4</v>
      </c>
    </row>
    <row r="1253" spans="1:48">
      <c r="A1253" t="s">
        <v>175</v>
      </c>
      <c r="B1253" t="s">
        <v>180</v>
      </c>
      <c r="C1253" s="197" t="str">
        <f t="shared" si="4171"/>
        <v>Lifecycle_Opportunity_376</v>
      </c>
      <c r="D1253">
        <v>376</v>
      </c>
      <c r="E1253">
        <f>VLOOKUP($D1253,'[2]LC Opportunity'!$Q$2:$U$542,2,FALSE)</f>
        <v>0</v>
      </c>
      <c r="F1253">
        <f>VLOOKUP($D1253,'[2]LC Opportunity'!$Q$2:$U$542,3,FALSE)</f>
        <v>0</v>
      </c>
      <c r="G1253">
        <f>VLOOKUP($D1253,'[2]LC Opportunity'!$Q$2:$U$542,4,FALSE)</f>
        <v>0</v>
      </c>
      <c r="H1253">
        <f>VLOOKUP($D1253,'[2]LC Opportunity'!$Q$2:$U$542,5,FALSE)</f>
        <v>0.99999999999999989</v>
      </c>
      <c r="I1253" s="77">
        <f t="shared" si="4131"/>
        <v>0.99999999999999989</v>
      </c>
      <c r="J1253" s="77">
        <f t="shared" si="4132"/>
        <v>7.1999999999999981E-2</v>
      </c>
      <c r="K1253" s="77">
        <f t="shared" si="4176"/>
        <v>5.8106552987937654E-3</v>
      </c>
      <c r="L1253" s="76">
        <v>0</v>
      </c>
      <c r="M1253" s="77">
        <f t="shared" si="4138"/>
        <v>0</v>
      </c>
      <c r="N1253" s="77">
        <f t="shared" si="4139"/>
        <v>0</v>
      </c>
      <c r="O1253" s="77">
        <f t="shared" si="4140"/>
        <v>4.9999999999999992E-3</v>
      </c>
      <c r="P1253" s="77">
        <f t="shared" si="4141"/>
        <v>4.1762458919303302E-4</v>
      </c>
      <c r="R1253" t="s">
        <v>177</v>
      </c>
      <c r="S1253" t="s">
        <v>180</v>
      </c>
      <c r="T1253" s="197" t="str">
        <f t="shared" si="4172"/>
        <v>Autopilot_Opportunity_376</v>
      </c>
      <c r="U1253">
        <v>376</v>
      </c>
      <c r="V1253">
        <f>VLOOKUP($U1253,'[2]AP Opportunity'!$Q$1:$T$542,2,FALSE)</f>
        <v>0.99999997777777772</v>
      </c>
      <c r="W1253">
        <f>VLOOKUP($U1253,'[2]AP Opportunity'!$Q$1:$T$542,3,FALSE)</f>
        <v>2.2222222284540294E-8</v>
      </c>
      <c r="X1253">
        <f>VLOOKUP($U1253,'[2]AP Opportunity'!$Q$1:$T$542,4,FALSE)</f>
        <v>0</v>
      </c>
      <c r="Y1253" s="77">
        <f t="shared" si="4173"/>
        <v>1</v>
      </c>
      <c r="Z1253" s="77">
        <f t="shared" si="4177"/>
        <v>6.4624999704999977E-2</v>
      </c>
      <c r="AA1253" s="77">
        <f t="shared" si="4178"/>
        <v>5.2321923767311151E-3</v>
      </c>
      <c r="AB1253" s="79">
        <v>1</v>
      </c>
      <c r="AC1253" s="77">
        <f t="shared" si="4142"/>
        <v>8.499999955555556E-3</v>
      </c>
      <c r="AD1253" s="77">
        <f t="shared" ref="AD1253" si="4225">1-(1-AC1253)^(1/12)</f>
        <v>7.1110795759765644E-4</v>
      </c>
      <c r="AE1253" s="77">
        <f t="shared" si="4144"/>
        <v>2.5000000000000001E-3</v>
      </c>
      <c r="AF1253" s="77">
        <f t="shared" ref="AF1253" si="4226">1-(1-AE1253)^(1/12)</f>
        <v>2.0857243058891584E-4</v>
      </c>
      <c r="AH1253" t="s">
        <v>175</v>
      </c>
      <c r="AI1253" t="s">
        <v>180</v>
      </c>
      <c r="AJ1253" s="197" t="str">
        <f t="shared" si="4135"/>
        <v>Lifecycle_Opportunity_376</v>
      </c>
      <c r="AK1253">
        <v>376</v>
      </c>
      <c r="AL1253">
        <f>VLOOKUP($U1253,[2]Standard_Opportunity!$Q$1:$T$542,2,FALSE)</f>
        <v>0.99999997777777772</v>
      </c>
      <c r="AM1253">
        <f>VLOOKUP($U1253,[2]Standard_Opportunity!$Q$1:$T$542,3,FALSE)</f>
        <v>2.2222222284540294E-8</v>
      </c>
      <c r="AN1253">
        <f>VLOOKUP($U1253,[2]Standard_Opportunity!$Q$1:$T$542,4,FALSE)</f>
        <v>0</v>
      </c>
      <c r="AO1253" s="77">
        <f t="shared" si="4136"/>
        <v>1</v>
      </c>
      <c r="AP1253" s="77">
        <f t="shared" si="4146"/>
        <v>6.4624999704999977E-2</v>
      </c>
      <c r="AQ1253" s="77">
        <f t="shared" si="4137"/>
        <v>5.2321923767311151E-3</v>
      </c>
      <c r="AR1253" s="79">
        <v>0</v>
      </c>
      <c r="AS1253" s="77">
        <f t="shared" si="4147"/>
        <v>0</v>
      </c>
      <c r="AT1253" s="77">
        <f t="shared" si="4148"/>
        <v>0</v>
      </c>
      <c r="AU1253" s="77">
        <f t="shared" si="4149"/>
        <v>2.5000000000000001E-3</v>
      </c>
      <c r="AV1253" s="77">
        <f t="shared" si="4150"/>
        <v>2.0809499864316017E-4</v>
      </c>
    </row>
    <row r="1254" spans="1:48">
      <c r="A1254" t="s">
        <v>175</v>
      </c>
      <c r="B1254" t="s">
        <v>180</v>
      </c>
      <c r="C1254" s="197" t="str">
        <f t="shared" si="4171"/>
        <v>Lifecycle_Opportunity_375</v>
      </c>
      <c r="D1254">
        <v>375</v>
      </c>
      <c r="E1254">
        <f>VLOOKUP($D1254,'[2]LC Opportunity'!$Q$2:$U$542,2,FALSE)</f>
        <v>0</v>
      </c>
      <c r="F1254">
        <f>VLOOKUP($D1254,'[2]LC Opportunity'!$Q$2:$U$542,3,FALSE)</f>
        <v>0</v>
      </c>
      <c r="G1254">
        <f>VLOOKUP($D1254,'[2]LC Opportunity'!$Q$2:$U$542,4,FALSE)</f>
        <v>0</v>
      </c>
      <c r="H1254">
        <f>VLOOKUP($D1254,'[2]LC Opportunity'!$Q$2:$U$542,5,FALSE)</f>
        <v>0.99999999999999989</v>
      </c>
      <c r="I1254" s="77">
        <f t="shared" si="4131"/>
        <v>0.99999999999999989</v>
      </c>
      <c r="J1254" s="77">
        <f t="shared" si="4132"/>
        <v>7.1999999999999981E-2</v>
      </c>
      <c r="K1254" s="77">
        <f t="shared" si="4176"/>
        <v>5.8106552987937654E-3</v>
      </c>
      <c r="L1254" s="76">
        <v>0</v>
      </c>
      <c r="M1254" s="77">
        <f t="shared" si="4138"/>
        <v>0</v>
      </c>
      <c r="N1254" s="77">
        <f t="shared" si="4139"/>
        <v>0</v>
      </c>
      <c r="O1254" s="77">
        <f t="shared" si="4140"/>
        <v>4.9999999999999992E-3</v>
      </c>
      <c r="P1254" s="77">
        <f t="shared" si="4141"/>
        <v>4.1762458919303302E-4</v>
      </c>
      <c r="R1254" t="s">
        <v>177</v>
      </c>
      <c r="S1254" t="s">
        <v>180</v>
      </c>
      <c r="T1254" s="197" t="str">
        <f t="shared" si="4172"/>
        <v>Autopilot_Opportunity_375</v>
      </c>
      <c r="U1254">
        <v>375</v>
      </c>
      <c r="V1254">
        <f>VLOOKUP($U1254,'[2]AP Opportunity'!$Q$1:$T$542,2,FALSE)</f>
        <v>0.99999997777777772</v>
      </c>
      <c r="W1254">
        <f>VLOOKUP($U1254,'[2]AP Opportunity'!$Q$1:$T$542,3,FALSE)</f>
        <v>2.2222222284540294E-8</v>
      </c>
      <c r="X1254">
        <f>VLOOKUP($U1254,'[2]AP Opportunity'!$Q$1:$T$542,4,FALSE)</f>
        <v>0</v>
      </c>
      <c r="Y1254" s="77">
        <f t="shared" si="4173"/>
        <v>1</v>
      </c>
      <c r="Z1254" s="77">
        <f t="shared" si="4177"/>
        <v>6.4624999704999977E-2</v>
      </c>
      <c r="AA1254" s="77">
        <f t="shared" si="4178"/>
        <v>5.2321923767311151E-3</v>
      </c>
      <c r="AB1254" s="79">
        <v>1</v>
      </c>
      <c r="AC1254" s="77">
        <f t="shared" si="4142"/>
        <v>8.499999955555556E-3</v>
      </c>
      <c r="AD1254" s="77">
        <f t="shared" ref="AD1254" si="4227">1-(1-AC1254)^(1/12)</f>
        <v>7.1110795759765644E-4</v>
      </c>
      <c r="AE1254" s="77">
        <f t="shared" si="4144"/>
        <v>2.5000000000000001E-3</v>
      </c>
      <c r="AF1254" s="77">
        <f t="shared" ref="AF1254" si="4228">1-(1-AE1254)^(1/12)</f>
        <v>2.0857243058891584E-4</v>
      </c>
      <c r="AH1254" t="s">
        <v>175</v>
      </c>
      <c r="AI1254" t="s">
        <v>180</v>
      </c>
      <c r="AJ1254" s="197" t="str">
        <f t="shared" si="4135"/>
        <v>Lifecycle_Opportunity_375</v>
      </c>
      <c r="AK1254">
        <v>375</v>
      </c>
      <c r="AL1254">
        <f>VLOOKUP($U1254,[2]Standard_Opportunity!$Q$1:$T$542,2,FALSE)</f>
        <v>0.99999997777777772</v>
      </c>
      <c r="AM1254">
        <f>VLOOKUP($U1254,[2]Standard_Opportunity!$Q$1:$T$542,3,FALSE)</f>
        <v>2.2222222284540294E-8</v>
      </c>
      <c r="AN1254">
        <f>VLOOKUP($U1254,[2]Standard_Opportunity!$Q$1:$T$542,4,FALSE)</f>
        <v>0</v>
      </c>
      <c r="AO1254" s="77">
        <f t="shared" si="4136"/>
        <v>1</v>
      </c>
      <c r="AP1254" s="77">
        <f t="shared" si="4146"/>
        <v>6.4624999704999977E-2</v>
      </c>
      <c r="AQ1254" s="77">
        <f t="shared" si="4137"/>
        <v>5.2321923767311151E-3</v>
      </c>
      <c r="AR1254" s="79">
        <v>0</v>
      </c>
      <c r="AS1254" s="77">
        <f t="shared" si="4147"/>
        <v>0</v>
      </c>
      <c r="AT1254" s="77">
        <f t="shared" si="4148"/>
        <v>0</v>
      </c>
      <c r="AU1254" s="77">
        <f t="shared" si="4149"/>
        <v>2.5000000000000001E-3</v>
      </c>
      <c r="AV1254" s="77">
        <f t="shared" si="4150"/>
        <v>2.0809499864316017E-4</v>
      </c>
    </row>
    <row r="1255" spans="1:48">
      <c r="A1255" t="s">
        <v>175</v>
      </c>
      <c r="B1255" t="s">
        <v>180</v>
      </c>
      <c r="C1255" s="197" t="str">
        <f t="shared" si="4171"/>
        <v>Lifecycle_Opportunity_374</v>
      </c>
      <c r="D1255">
        <v>374</v>
      </c>
      <c r="E1255">
        <f>VLOOKUP($D1255,'[2]LC Opportunity'!$Q$2:$U$542,2,FALSE)</f>
        <v>0</v>
      </c>
      <c r="F1255">
        <f>VLOOKUP($D1255,'[2]LC Opportunity'!$Q$2:$U$542,3,FALSE)</f>
        <v>0</v>
      </c>
      <c r="G1255">
        <f>VLOOKUP($D1255,'[2]LC Opportunity'!$Q$2:$U$542,4,FALSE)</f>
        <v>0</v>
      </c>
      <c r="H1255">
        <f>VLOOKUP($D1255,'[2]LC Opportunity'!$Q$2:$U$542,5,FALSE)</f>
        <v>0.99999999999999989</v>
      </c>
      <c r="I1255" s="77">
        <f t="shared" si="4131"/>
        <v>0.99999999999999989</v>
      </c>
      <c r="J1255" s="77">
        <f t="shared" si="4132"/>
        <v>7.1999999999999981E-2</v>
      </c>
      <c r="K1255" s="77">
        <f t="shared" si="4176"/>
        <v>5.8106552987937654E-3</v>
      </c>
      <c r="L1255" s="76">
        <v>0</v>
      </c>
      <c r="M1255" s="77">
        <f t="shared" si="4138"/>
        <v>0</v>
      </c>
      <c r="N1255" s="77">
        <f t="shared" si="4139"/>
        <v>0</v>
      </c>
      <c r="O1255" s="77">
        <f t="shared" si="4140"/>
        <v>4.9999999999999992E-3</v>
      </c>
      <c r="P1255" s="77">
        <f t="shared" si="4141"/>
        <v>4.1762458919303302E-4</v>
      </c>
      <c r="R1255" t="s">
        <v>177</v>
      </c>
      <c r="S1255" t="s">
        <v>180</v>
      </c>
      <c r="T1255" s="197" t="str">
        <f t="shared" si="4172"/>
        <v>Autopilot_Opportunity_374</v>
      </c>
      <c r="U1255">
        <v>374</v>
      </c>
      <c r="V1255">
        <f>VLOOKUP($U1255,'[2]AP Opportunity'!$Q$1:$T$542,2,FALSE)</f>
        <v>0.99999997777777772</v>
      </c>
      <c r="W1255">
        <f>VLOOKUP($U1255,'[2]AP Opportunity'!$Q$1:$T$542,3,FALSE)</f>
        <v>2.2222222284540294E-8</v>
      </c>
      <c r="X1255">
        <f>VLOOKUP($U1255,'[2]AP Opportunity'!$Q$1:$T$542,4,FALSE)</f>
        <v>0</v>
      </c>
      <c r="Y1255" s="77">
        <f t="shared" si="4173"/>
        <v>1</v>
      </c>
      <c r="Z1255" s="77">
        <f t="shared" si="4177"/>
        <v>6.4624999704999977E-2</v>
      </c>
      <c r="AA1255" s="77">
        <f t="shared" si="4178"/>
        <v>5.2321923767311151E-3</v>
      </c>
      <c r="AB1255" s="79">
        <v>1</v>
      </c>
      <c r="AC1255" s="77">
        <f t="shared" si="4142"/>
        <v>8.499999955555556E-3</v>
      </c>
      <c r="AD1255" s="77">
        <f t="shared" ref="AD1255" si="4229">1-(1-AC1255)^(1/12)</f>
        <v>7.1110795759765644E-4</v>
      </c>
      <c r="AE1255" s="77">
        <f t="shared" si="4144"/>
        <v>2.5000000000000001E-3</v>
      </c>
      <c r="AF1255" s="77">
        <f t="shared" ref="AF1255" si="4230">1-(1-AE1255)^(1/12)</f>
        <v>2.0857243058891584E-4</v>
      </c>
      <c r="AH1255" t="s">
        <v>175</v>
      </c>
      <c r="AI1255" t="s">
        <v>180</v>
      </c>
      <c r="AJ1255" s="197" t="str">
        <f t="shared" si="4135"/>
        <v>Lifecycle_Opportunity_374</v>
      </c>
      <c r="AK1255">
        <v>374</v>
      </c>
      <c r="AL1255">
        <f>VLOOKUP($U1255,[2]Standard_Opportunity!$Q$1:$T$542,2,FALSE)</f>
        <v>0.99999997777777772</v>
      </c>
      <c r="AM1255">
        <f>VLOOKUP($U1255,[2]Standard_Opportunity!$Q$1:$T$542,3,FALSE)</f>
        <v>2.2222222284540294E-8</v>
      </c>
      <c r="AN1255">
        <f>VLOOKUP($U1255,[2]Standard_Opportunity!$Q$1:$T$542,4,FALSE)</f>
        <v>0</v>
      </c>
      <c r="AO1255" s="77">
        <f t="shared" si="4136"/>
        <v>1</v>
      </c>
      <c r="AP1255" s="77">
        <f t="shared" si="4146"/>
        <v>6.4624999704999977E-2</v>
      </c>
      <c r="AQ1255" s="77">
        <f t="shared" si="4137"/>
        <v>5.2321923767311151E-3</v>
      </c>
      <c r="AR1255" s="79">
        <v>0</v>
      </c>
      <c r="AS1255" s="77">
        <f t="shared" si="4147"/>
        <v>0</v>
      </c>
      <c r="AT1255" s="77">
        <f t="shared" si="4148"/>
        <v>0</v>
      </c>
      <c r="AU1255" s="77">
        <f t="shared" si="4149"/>
        <v>2.5000000000000001E-3</v>
      </c>
      <c r="AV1255" s="77">
        <f t="shared" si="4150"/>
        <v>2.0809499864316017E-4</v>
      </c>
    </row>
    <row r="1256" spans="1:48">
      <c r="A1256" t="s">
        <v>175</v>
      </c>
      <c r="B1256" t="s">
        <v>180</v>
      </c>
      <c r="C1256" s="197" t="str">
        <f t="shared" si="4171"/>
        <v>Lifecycle_Opportunity_373</v>
      </c>
      <c r="D1256">
        <v>373</v>
      </c>
      <c r="E1256">
        <f>VLOOKUP($D1256,'[2]LC Opportunity'!$Q$2:$U$542,2,FALSE)</f>
        <v>0</v>
      </c>
      <c r="F1256">
        <f>VLOOKUP($D1256,'[2]LC Opportunity'!$Q$2:$U$542,3,FALSE)</f>
        <v>0</v>
      </c>
      <c r="G1256">
        <f>VLOOKUP($D1256,'[2]LC Opportunity'!$Q$2:$U$542,4,FALSE)</f>
        <v>0</v>
      </c>
      <c r="H1256">
        <f>VLOOKUP($D1256,'[2]LC Opportunity'!$Q$2:$U$542,5,FALSE)</f>
        <v>0.99999999999999989</v>
      </c>
      <c r="I1256" s="77">
        <f t="shared" si="4131"/>
        <v>0.99999999999999989</v>
      </c>
      <c r="J1256" s="77">
        <f t="shared" si="4132"/>
        <v>7.1999999999999981E-2</v>
      </c>
      <c r="K1256" s="77">
        <f t="shared" si="4176"/>
        <v>5.8106552987937654E-3</v>
      </c>
      <c r="L1256" s="76">
        <v>0</v>
      </c>
      <c r="M1256" s="77">
        <f t="shared" si="4138"/>
        <v>0</v>
      </c>
      <c r="N1256" s="77">
        <f t="shared" si="4139"/>
        <v>0</v>
      </c>
      <c r="O1256" s="77">
        <f t="shared" si="4140"/>
        <v>4.9999999999999992E-3</v>
      </c>
      <c r="P1256" s="77">
        <f t="shared" si="4141"/>
        <v>4.1762458919303302E-4</v>
      </c>
      <c r="R1256" t="s">
        <v>177</v>
      </c>
      <c r="S1256" t="s">
        <v>180</v>
      </c>
      <c r="T1256" s="197" t="str">
        <f t="shared" si="4172"/>
        <v>Autopilot_Opportunity_373</v>
      </c>
      <c r="U1256">
        <v>373</v>
      </c>
      <c r="V1256">
        <f>VLOOKUP($U1256,'[2]AP Opportunity'!$Q$1:$T$542,2,FALSE)</f>
        <v>0.99999997777777772</v>
      </c>
      <c r="W1256">
        <f>VLOOKUP($U1256,'[2]AP Opportunity'!$Q$1:$T$542,3,FALSE)</f>
        <v>2.2222222284540294E-8</v>
      </c>
      <c r="X1256">
        <f>VLOOKUP($U1256,'[2]AP Opportunity'!$Q$1:$T$542,4,FALSE)</f>
        <v>0</v>
      </c>
      <c r="Y1256" s="77">
        <f t="shared" si="4173"/>
        <v>1</v>
      </c>
      <c r="Z1256" s="77">
        <f t="shared" si="4177"/>
        <v>6.4624999704999977E-2</v>
      </c>
      <c r="AA1256" s="77">
        <f t="shared" si="4178"/>
        <v>5.2321923767311151E-3</v>
      </c>
      <c r="AB1256" s="79">
        <v>1</v>
      </c>
      <c r="AC1256" s="77">
        <f t="shared" si="4142"/>
        <v>8.499999955555556E-3</v>
      </c>
      <c r="AD1256" s="77">
        <f t="shared" ref="AD1256" si="4231">1-(1-AC1256)^(1/12)</f>
        <v>7.1110795759765644E-4</v>
      </c>
      <c r="AE1256" s="77">
        <f t="shared" si="4144"/>
        <v>2.5000000000000001E-3</v>
      </c>
      <c r="AF1256" s="77">
        <f t="shared" ref="AF1256" si="4232">1-(1-AE1256)^(1/12)</f>
        <v>2.0857243058891584E-4</v>
      </c>
      <c r="AH1256" t="s">
        <v>175</v>
      </c>
      <c r="AI1256" t="s">
        <v>180</v>
      </c>
      <c r="AJ1256" s="197" t="str">
        <f t="shared" si="4135"/>
        <v>Lifecycle_Opportunity_373</v>
      </c>
      <c r="AK1256">
        <v>373</v>
      </c>
      <c r="AL1256">
        <f>VLOOKUP($U1256,[2]Standard_Opportunity!$Q$1:$T$542,2,FALSE)</f>
        <v>0.99999997777777772</v>
      </c>
      <c r="AM1256">
        <f>VLOOKUP($U1256,[2]Standard_Opportunity!$Q$1:$T$542,3,FALSE)</f>
        <v>2.2222222284540294E-8</v>
      </c>
      <c r="AN1256">
        <f>VLOOKUP($U1256,[2]Standard_Opportunity!$Q$1:$T$542,4,FALSE)</f>
        <v>0</v>
      </c>
      <c r="AO1256" s="77">
        <f t="shared" si="4136"/>
        <v>1</v>
      </c>
      <c r="AP1256" s="77">
        <f t="shared" si="4146"/>
        <v>6.4624999704999977E-2</v>
      </c>
      <c r="AQ1256" s="77">
        <f t="shared" si="4137"/>
        <v>5.2321923767311151E-3</v>
      </c>
      <c r="AR1256" s="79">
        <v>0</v>
      </c>
      <c r="AS1256" s="77">
        <f t="shared" si="4147"/>
        <v>0</v>
      </c>
      <c r="AT1256" s="77">
        <f t="shared" si="4148"/>
        <v>0</v>
      </c>
      <c r="AU1256" s="77">
        <f t="shared" si="4149"/>
        <v>2.5000000000000001E-3</v>
      </c>
      <c r="AV1256" s="77">
        <f t="shared" si="4150"/>
        <v>2.0809499864316017E-4</v>
      </c>
    </row>
    <row r="1257" spans="1:48">
      <c r="A1257" t="s">
        <v>175</v>
      </c>
      <c r="B1257" t="s">
        <v>180</v>
      </c>
      <c r="C1257" s="197" t="str">
        <f t="shared" si="4171"/>
        <v>Lifecycle_Opportunity_372</v>
      </c>
      <c r="D1257">
        <v>372</v>
      </c>
      <c r="E1257">
        <f>VLOOKUP($D1257,'[2]LC Opportunity'!$Q$2:$U$542,2,FALSE)</f>
        <v>0</v>
      </c>
      <c r="F1257">
        <f>VLOOKUP($D1257,'[2]LC Opportunity'!$Q$2:$U$542,3,FALSE)</f>
        <v>0</v>
      </c>
      <c r="G1257">
        <f>VLOOKUP($D1257,'[2]LC Opportunity'!$Q$2:$U$542,4,FALSE)</f>
        <v>0</v>
      </c>
      <c r="H1257">
        <f>VLOOKUP($D1257,'[2]LC Opportunity'!$Q$2:$U$542,5,FALSE)</f>
        <v>0.99999999999999989</v>
      </c>
      <c r="I1257" s="77">
        <f t="shared" si="4131"/>
        <v>0.99999999999999989</v>
      </c>
      <c r="J1257" s="77">
        <f t="shared" si="4132"/>
        <v>7.1999999999999981E-2</v>
      </c>
      <c r="K1257" s="77">
        <f t="shared" si="4176"/>
        <v>5.8106552987937654E-3</v>
      </c>
      <c r="L1257" s="76">
        <v>0</v>
      </c>
      <c r="M1257" s="77">
        <f t="shared" si="4138"/>
        <v>0</v>
      </c>
      <c r="N1257" s="77">
        <f t="shared" si="4139"/>
        <v>0</v>
      </c>
      <c r="O1257" s="77">
        <f t="shared" si="4140"/>
        <v>4.9999999999999992E-3</v>
      </c>
      <c r="P1257" s="77">
        <f t="shared" si="4141"/>
        <v>4.1762458919303302E-4</v>
      </c>
      <c r="R1257" t="s">
        <v>177</v>
      </c>
      <c r="S1257" t="s">
        <v>180</v>
      </c>
      <c r="T1257" s="197" t="str">
        <f t="shared" si="4172"/>
        <v>Autopilot_Opportunity_372</v>
      </c>
      <c r="U1257">
        <v>372</v>
      </c>
      <c r="V1257">
        <f>VLOOKUP($U1257,'[2]AP Opportunity'!$Q$1:$T$542,2,FALSE)</f>
        <v>0.99999997777777772</v>
      </c>
      <c r="W1257">
        <f>VLOOKUP($U1257,'[2]AP Opportunity'!$Q$1:$T$542,3,FALSE)</f>
        <v>2.2222222284540294E-8</v>
      </c>
      <c r="X1257">
        <f>VLOOKUP($U1257,'[2]AP Opportunity'!$Q$1:$T$542,4,FALSE)</f>
        <v>0</v>
      </c>
      <c r="Y1257" s="77">
        <f t="shared" si="4173"/>
        <v>1</v>
      </c>
      <c r="Z1257" s="77">
        <f t="shared" si="4177"/>
        <v>6.4624999704999977E-2</v>
      </c>
      <c r="AA1257" s="77">
        <f t="shared" si="4178"/>
        <v>5.2321923767311151E-3</v>
      </c>
      <c r="AB1257" s="79">
        <v>1</v>
      </c>
      <c r="AC1257" s="77">
        <f t="shared" si="4142"/>
        <v>8.499999955555556E-3</v>
      </c>
      <c r="AD1257" s="77">
        <f t="shared" ref="AD1257" si="4233">1-(1-AC1257)^(1/12)</f>
        <v>7.1110795759765644E-4</v>
      </c>
      <c r="AE1257" s="77">
        <f t="shared" si="4144"/>
        <v>2.5000000000000001E-3</v>
      </c>
      <c r="AF1257" s="77">
        <f t="shared" ref="AF1257" si="4234">1-(1-AE1257)^(1/12)</f>
        <v>2.0857243058891584E-4</v>
      </c>
      <c r="AH1257" t="s">
        <v>175</v>
      </c>
      <c r="AI1257" t="s">
        <v>180</v>
      </c>
      <c r="AJ1257" s="197" t="str">
        <f t="shared" si="4135"/>
        <v>Lifecycle_Opportunity_372</v>
      </c>
      <c r="AK1257">
        <v>372</v>
      </c>
      <c r="AL1257">
        <f>VLOOKUP($U1257,[2]Standard_Opportunity!$Q$1:$T$542,2,FALSE)</f>
        <v>0.99999997777777772</v>
      </c>
      <c r="AM1257">
        <f>VLOOKUP($U1257,[2]Standard_Opportunity!$Q$1:$T$542,3,FALSE)</f>
        <v>2.2222222284540294E-8</v>
      </c>
      <c r="AN1257">
        <f>VLOOKUP($U1257,[2]Standard_Opportunity!$Q$1:$T$542,4,FALSE)</f>
        <v>0</v>
      </c>
      <c r="AO1257" s="77">
        <f t="shared" si="4136"/>
        <v>1</v>
      </c>
      <c r="AP1257" s="77">
        <f t="shared" si="4146"/>
        <v>6.4624999704999977E-2</v>
      </c>
      <c r="AQ1257" s="77">
        <f t="shared" si="4137"/>
        <v>5.2321923767311151E-3</v>
      </c>
      <c r="AR1257" s="79">
        <v>0</v>
      </c>
      <c r="AS1257" s="77">
        <f t="shared" si="4147"/>
        <v>0</v>
      </c>
      <c r="AT1257" s="77">
        <f t="shared" si="4148"/>
        <v>0</v>
      </c>
      <c r="AU1257" s="77">
        <f t="shared" si="4149"/>
        <v>2.5000000000000001E-3</v>
      </c>
      <c r="AV1257" s="77">
        <f t="shared" si="4150"/>
        <v>2.0809499864316017E-4</v>
      </c>
    </row>
    <row r="1258" spans="1:48">
      <c r="A1258" t="s">
        <v>175</v>
      </c>
      <c r="B1258" t="s">
        <v>180</v>
      </c>
      <c r="C1258" s="197" t="str">
        <f t="shared" si="4171"/>
        <v>Lifecycle_Opportunity_371</v>
      </c>
      <c r="D1258">
        <v>371</v>
      </c>
      <c r="E1258">
        <f>VLOOKUP($D1258,'[2]LC Opportunity'!$Q$2:$U$542,2,FALSE)</f>
        <v>0</v>
      </c>
      <c r="F1258">
        <f>VLOOKUP($D1258,'[2]LC Opportunity'!$Q$2:$U$542,3,FALSE)</f>
        <v>0</v>
      </c>
      <c r="G1258">
        <f>VLOOKUP($D1258,'[2]LC Opportunity'!$Q$2:$U$542,4,FALSE)</f>
        <v>0</v>
      </c>
      <c r="H1258">
        <f>VLOOKUP($D1258,'[2]LC Opportunity'!$Q$2:$U$542,5,FALSE)</f>
        <v>0.99999999999999989</v>
      </c>
      <c r="I1258" s="77">
        <f t="shared" si="4131"/>
        <v>0.99999999999999989</v>
      </c>
      <c r="J1258" s="77">
        <f t="shared" si="4132"/>
        <v>7.1999999999999981E-2</v>
      </c>
      <c r="K1258" s="77">
        <f t="shared" si="4176"/>
        <v>5.8106552987937654E-3</v>
      </c>
      <c r="L1258" s="76">
        <v>0</v>
      </c>
      <c r="M1258" s="77">
        <f t="shared" si="4138"/>
        <v>0</v>
      </c>
      <c r="N1258" s="77">
        <f t="shared" si="4139"/>
        <v>0</v>
      </c>
      <c r="O1258" s="77">
        <f t="shared" si="4140"/>
        <v>4.9999999999999992E-3</v>
      </c>
      <c r="P1258" s="77">
        <f t="shared" si="4141"/>
        <v>4.1762458919303302E-4</v>
      </c>
      <c r="R1258" t="s">
        <v>177</v>
      </c>
      <c r="S1258" t="s">
        <v>180</v>
      </c>
      <c r="T1258" s="197" t="str">
        <f t="shared" si="4172"/>
        <v>Autopilot_Opportunity_371</v>
      </c>
      <c r="U1258">
        <v>371</v>
      </c>
      <c r="V1258">
        <f>VLOOKUP($U1258,'[2]AP Opportunity'!$Q$1:$T$542,2,FALSE)</f>
        <v>0.99999997777777772</v>
      </c>
      <c r="W1258">
        <f>VLOOKUP($U1258,'[2]AP Opportunity'!$Q$1:$T$542,3,FALSE)</f>
        <v>2.2222222284540294E-8</v>
      </c>
      <c r="X1258">
        <f>VLOOKUP($U1258,'[2]AP Opportunity'!$Q$1:$T$542,4,FALSE)</f>
        <v>0</v>
      </c>
      <c r="Y1258" s="77">
        <f t="shared" si="4173"/>
        <v>1</v>
      </c>
      <c r="Z1258" s="77">
        <f t="shared" si="4177"/>
        <v>6.4624999704999977E-2</v>
      </c>
      <c r="AA1258" s="77">
        <f t="shared" si="4178"/>
        <v>5.2321923767311151E-3</v>
      </c>
      <c r="AB1258" s="79">
        <v>1</v>
      </c>
      <c r="AC1258" s="77">
        <f t="shared" si="4142"/>
        <v>8.499999955555556E-3</v>
      </c>
      <c r="AD1258" s="77">
        <f t="shared" ref="AD1258" si="4235">1-(1-AC1258)^(1/12)</f>
        <v>7.1110795759765644E-4</v>
      </c>
      <c r="AE1258" s="77">
        <f t="shared" si="4144"/>
        <v>2.5000000000000001E-3</v>
      </c>
      <c r="AF1258" s="77">
        <f t="shared" ref="AF1258" si="4236">1-(1-AE1258)^(1/12)</f>
        <v>2.0857243058891584E-4</v>
      </c>
      <c r="AH1258" t="s">
        <v>175</v>
      </c>
      <c r="AI1258" t="s">
        <v>180</v>
      </c>
      <c r="AJ1258" s="197" t="str">
        <f t="shared" si="4135"/>
        <v>Lifecycle_Opportunity_371</v>
      </c>
      <c r="AK1258">
        <v>371</v>
      </c>
      <c r="AL1258">
        <f>VLOOKUP($U1258,[2]Standard_Opportunity!$Q$1:$T$542,2,FALSE)</f>
        <v>0.99999997777777772</v>
      </c>
      <c r="AM1258">
        <f>VLOOKUP($U1258,[2]Standard_Opportunity!$Q$1:$T$542,3,FALSE)</f>
        <v>2.2222222284540294E-8</v>
      </c>
      <c r="AN1258">
        <f>VLOOKUP($U1258,[2]Standard_Opportunity!$Q$1:$T$542,4,FALSE)</f>
        <v>0</v>
      </c>
      <c r="AO1258" s="77">
        <f t="shared" si="4136"/>
        <v>1</v>
      </c>
      <c r="AP1258" s="77">
        <f t="shared" si="4146"/>
        <v>6.4624999704999977E-2</v>
      </c>
      <c r="AQ1258" s="77">
        <f t="shared" si="4137"/>
        <v>5.2321923767311151E-3</v>
      </c>
      <c r="AR1258" s="79">
        <v>0</v>
      </c>
      <c r="AS1258" s="77">
        <f t="shared" si="4147"/>
        <v>0</v>
      </c>
      <c r="AT1258" s="77">
        <f t="shared" si="4148"/>
        <v>0</v>
      </c>
      <c r="AU1258" s="77">
        <f t="shared" si="4149"/>
        <v>2.5000000000000001E-3</v>
      </c>
      <c r="AV1258" s="77">
        <f t="shared" si="4150"/>
        <v>2.0809499864316017E-4</v>
      </c>
    </row>
    <row r="1259" spans="1:48">
      <c r="A1259" t="s">
        <v>175</v>
      </c>
      <c r="B1259" t="s">
        <v>180</v>
      </c>
      <c r="C1259" s="197" t="str">
        <f t="shared" si="4171"/>
        <v>Lifecycle_Opportunity_370</v>
      </c>
      <c r="D1259">
        <v>370</v>
      </c>
      <c r="E1259">
        <f>VLOOKUP($D1259,'[2]LC Opportunity'!$Q$2:$U$542,2,FALSE)</f>
        <v>0</v>
      </c>
      <c r="F1259">
        <f>VLOOKUP($D1259,'[2]LC Opportunity'!$Q$2:$U$542,3,FALSE)</f>
        <v>0</v>
      </c>
      <c r="G1259">
        <f>VLOOKUP($D1259,'[2]LC Opportunity'!$Q$2:$U$542,4,FALSE)</f>
        <v>0</v>
      </c>
      <c r="H1259">
        <f>VLOOKUP($D1259,'[2]LC Opportunity'!$Q$2:$U$542,5,FALSE)</f>
        <v>0.99999999999999989</v>
      </c>
      <c r="I1259" s="77">
        <f t="shared" si="4131"/>
        <v>0.99999999999999989</v>
      </c>
      <c r="J1259" s="77">
        <f t="shared" si="4132"/>
        <v>7.1999999999999981E-2</v>
      </c>
      <c r="K1259" s="77">
        <f t="shared" si="4176"/>
        <v>5.8106552987937654E-3</v>
      </c>
      <c r="L1259" s="76">
        <v>0</v>
      </c>
      <c r="M1259" s="77">
        <f t="shared" si="4138"/>
        <v>0</v>
      </c>
      <c r="N1259" s="77">
        <f t="shared" si="4139"/>
        <v>0</v>
      </c>
      <c r="O1259" s="77">
        <f t="shared" si="4140"/>
        <v>4.9999999999999992E-3</v>
      </c>
      <c r="P1259" s="77">
        <f t="shared" si="4141"/>
        <v>4.1762458919303302E-4</v>
      </c>
      <c r="R1259" t="s">
        <v>177</v>
      </c>
      <c r="S1259" t="s">
        <v>180</v>
      </c>
      <c r="T1259" s="197" t="str">
        <f t="shared" si="4172"/>
        <v>Autopilot_Opportunity_370</v>
      </c>
      <c r="U1259">
        <v>370</v>
      </c>
      <c r="V1259">
        <f>VLOOKUP($U1259,'[2]AP Opportunity'!$Q$1:$T$542,2,FALSE)</f>
        <v>0.99999997777777772</v>
      </c>
      <c r="W1259">
        <f>VLOOKUP($U1259,'[2]AP Opportunity'!$Q$1:$T$542,3,FALSE)</f>
        <v>2.2222222284540294E-8</v>
      </c>
      <c r="X1259">
        <f>VLOOKUP($U1259,'[2]AP Opportunity'!$Q$1:$T$542,4,FALSE)</f>
        <v>0</v>
      </c>
      <c r="Y1259" s="77">
        <f t="shared" si="4173"/>
        <v>1</v>
      </c>
      <c r="Z1259" s="77">
        <f t="shared" si="4177"/>
        <v>6.4624999704999977E-2</v>
      </c>
      <c r="AA1259" s="77">
        <f t="shared" si="4178"/>
        <v>5.2321923767311151E-3</v>
      </c>
      <c r="AB1259" s="79">
        <v>1</v>
      </c>
      <c r="AC1259" s="77">
        <f t="shared" si="4142"/>
        <v>8.499999955555556E-3</v>
      </c>
      <c r="AD1259" s="77">
        <f t="shared" ref="AD1259" si="4237">1-(1-AC1259)^(1/12)</f>
        <v>7.1110795759765644E-4</v>
      </c>
      <c r="AE1259" s="77">
        <f t="shared" si="4144"/>
        <v>2.5000000000000001E-3</v>
      </c>
      <c r="AF1259" s="77">
        <f t="shared" ref="AF1259" si="4238">1-(1-AE1259)^(1/12)</f>
        <v>2.0857243058891584E-4</v>
      </c>
      <c r="AH1259" t="s">
        <v>175</v>
      </c>
      <c r="AI1259" t="s">
        <v>180</v>
      </c>
      <c r="AJ1259" s="197" t="str">
        <f t="shared" si="4135"/>
        <v>Lifecycle_Opportunity_370</v>
      </c>
      <c r="AK1259">
        <v>370</v>
      </c>
      <c r="AL1259">
        <f>VLOOKUP($U1259,[2]Standard_Opportunity!$Q$1:$T$542,2,FALSE)</f>
        <v>0.99999997777777772</v>
      </c>
      <c r="AM1259">
        <f>VLOOKUP($U1259,[2]Standard_Opportunity!$Q$1:$T$542,3,FALSE)</f>
        <v>2.2222222284540294E-8</v>
      </c>
      <c r="AN1259">
        <f>VLOOKUP($U1259,[2]Standard_Opportunity!$Q$1:$T$542,4,FALSE)</f>
        <v>0</v>
      </c>
      <c r="AO1259" s="77">
        <f t="shared" si="4136"/>
        <v>1</v>
      </c>
      <c r="AP1259" s="77">
        <f t="shared" si="4146"/>
        <v>6.4624999704999977E-2</v>
      </c>
      <c r="AQ1259" s="77">
        <f t="shared" si="4137"/>
        <v>5.2321923767311151E-3</v>
      </c>
      <c r="AR1259" s="79">
        <v>0</v>
      </c>
      <c r="AS1259" s="77">
        <f t="shared" si="4147"/>
        <v>0</v>
      </c>
      <c r="AT1259" s="77">
        <f t="shared" si="4148"/>
        <v>0</v>
      </c>
      <c r="AU1259" s="77">
        <f t="shared" si="4149"/>
        <v>2.5000000000000001E-3</v>
      </c>
      <c r="AV1259" s="77">
        <f t="shared" si="4150"/>
        <v>2.0809499864316017E-4</v>
      </c>
    </row>
    <row r="1260" spans="1:48">
      <c r="A1260" t="s">
        <v>175</v>
      </c>
      <c r="B1260" t="s">
        <v>180</v>
      </c>
      <c r="C1260" s="197" t="str">
        <f t="shared" si="4171"/>
        <v>Lifecycle_Opportunity_369</v>
      </c>
      <c r="D1260">
        <v>369</v>
      </c>
      <c r="E1260">
        <f>VLOOKUP($D1260,'[2]LC Opportunity'!$Q$2:$U$542,2,FALSE)</f>
        <v>0</v>
      </c>
      <c r="F1260">
        <f>VLOOKUP($D1260,'[2]LC Opportunity'!$Q$2:$U$542,3,FALSE)</f>
        <v>0</v>
      </c>
      <c r="G1260">
        <f>VLOOKUP($D1260,'[2]LC Opportunity'!$Q$2:$U$542,4,FALSE)</f>
        <v>0</v>
      </c>
      <c r="H1260">
        <f>VLOOKUP($D1260,'[2]LC Opportunity'!$Q$2:$U$542,5,FALSE)</f>
        <v>0.99999999999999989</v>
      </c>
      <c r="I1260" s="77">
        <f t="shared" si="4131"/>
        <v>0.99999999999999989</v>
      </c>
      <c r="J1260" s="77">
        <f t="shared" si="4132"/>
        <v>7.1999999999999981E-2</v>
      </c>
      <c r="K1260" s="77">
        <f t="shared" si="4176"/>
        <v>5.8106552987937654E-3</v>
      </c>
      <c r="L1260" s="76">
        <v>0</v>
      </c>
      <c r="M1260" s="77">
        <f t="shared" si="4138"/>
        <v>0</v>
      </c>
      <c r="N1260" s="77">
        <f t="shared" si="4139"/>
        <v>0</v>
      </c>
      <c r="O1260" s="77">
        <f t="shared" si="4140"/>
        <v>4.9999999999999992E-3</v>
      </c>
      <c r="P1260" s="77">
        <f t="shared" si="4141"/>
        <v>4.1762458919303302E-4</v>
      </c>
      <c r="R1260" t="s">
        <v>177</v>
      </c>
      <c r="S1260" t="s">
        <v>180</v>
      </c>
      <c r="T1260" s="197" t="str">
        <f t="shared" si="4172"/>
        <v>Autopilot_Opportunity_369</v>
      </c>
      <c r="U1260">
        <v>369</v>
      </c>
      <c r="V1260">
        <f>VLOOKUP($U1260,'[2]AP Opportunity'!$Q$1:$T$542,2,FALSE)</f>
        <v>0.99999997777777772</v>
      </c>
      <c r="W1260">
        <f>VLOOKUP($U1260,'[2]AP Opportunity'!$Q$1:$T$542,3,FALSE)</f>
        <v>2.2222222284540294E-8</v>
      </c>
      <c r="X1260">
        <f>VLOOKUP($U1260,'[2]AP Opportunity'!$Q$1:$T$542,4,FALSE)</f>
        <v>0</v>
      </c>
      <c r="Y1260" s="77">
        <f t="shared" si="4173"/>
        <v>1</v>
      </c>
      <c r="Z1260" s="77">
        <f t="shared" si="4177"/>
        <v>6.4624999704999977E-2</v>
      </c>
      <c r="AA1260" s="77">
        <f t="shared" si="4178"/>
        <v>5.2321923767311151E-3</v>
      </c>
      <c r="AB1260" s="79">
        <v>1</v>
      </c>
      <c r="AC1260" s="77">
        <f t="shared" si="4142"/>
        <v>8.499999955555556E-3</v>
      </c>
      <c r="AD1260" s="77">
        <f t="shared" ref="AD1260" si="4239">1-(1-AC1260)^(1/12)</f>
        <v>7.1110795759765644E-4</v>
      </c>
      <c r="AE1260" s="77">
        <f t="shared" si="4144"/>
        <v>2.5000000000000001E-3</v>
      </c>
      <c r="AF1260" s="77">
        <f t="shared" ref="AF1260" si="4240">1-(1-AE1260)^(1/12)</f>
        <v>2.0857243058891584E-4</v>
      </c>
      <c r="AH1260" t="s">
        <v>175</v>
      </c>
      <c r="AI1260" t="s">
        <v>180</v>
      </c>
      <c r="AJ1260" s="197" t="str">
        <f t="shared" si="4135"/>
        <v>Lifecycle_Opportunity_369</v>
      </c>
      <c r="AK1260">
        <v>369</v>
      </c>
      <c r="AL1260">
        <f>VLOOKUP($U1260,[2]Standard_Opportunity!$Q$1:$T$542,2,FALSE)</f>
        <v>0.99999997777777772</v>
      </c>
      <c r="AM1260">
        <f>VLOOKUP($U1260,[2]Standard_Opportunity!$Q$1:$T$542,3,FALSE)</f>
        <v>2.2222222284540294E-8</v>
      </c>
      <c r="AN1260">
        <f>VLOOKUP($U1260,[2]Standard_Opportunity!$Q$1:$T$542,4,FALSE)</f>
        <v>0</v>
      </c>
      <c r="AO1260" s="77">
        <f t="shared" si="4136"/>
        <v>1</v>
      </c>
      <c r="AP1260" s="77">
        <f t="shared" si="4146"/>
        <v>6.4624999704999977E-2</v>
      </c>
      <c r="AQ1260" s="77">
        <f t="shared" si="4137"/>
        <v>5.2321923767311151E-3</v>
      </c>
      <c r="AR1260" s="79">
        <v>0</v>
      </c>
      <c r="AS1260" s="77">
        <f t="shared" si="4147"/>
        <v>0</v>
      </c>
      <c r="AT1260" s="77">
        <f t="shared" si="4148"/>
        <v>0</v>
      </c>
      <c r="AU1260" s="77">
        <f t="shared" si="4149"/>
        <v>2.5000000000000001E-3</v>
      </c>
      <c r="AV1260" s="77">
        <f t="shared" si="4150"/>
        <v>2.0809499864316017E-4</v>
      </c>
    </row>
    <row r="1261" spans="1:48">
      <c r="A1261" t="s">
        <v>175</v>
      </c>
      <c r="B1261" t="s">
        <v>180</v>
      </c>
      <c r="C1261" s="197" t="str">
        <f t="shared" si="4171"/>
        <v>Lifecycle_Opportunity_368</v>
      </c>
      <c r="D1261">
        <v>368</v>
      </c>
      <c r="E1261">
        <f>VLOOKUP($D1261,'[2]LC Opportunity'!$Q$2:$U$542,2,FALSE)</f>
        <v>0</v>
      </c>
      <c r="F1261">
        <f>VLOOKUP($D1261,'[2]LC Opportunity'!$Q$2:$U$542,3,FALSE)</f>
        <v>0</v>
      </c>
      <c r="G1261">
        <f>VLOOKUP($D1261,'[2]LC Opportunity'!$Q$2:$U$542,4,FALSE)</f>
        <v>0</v>
      </c>
      <c r="H1261">
        <f>VLOOKUP($D1261,'[2]LC Opportunity'!$Q$2:$U$542,5,FALSE)</f>
        <v>0.99999999999999989</v>
      </c>
      <c r="I1261" s="77">
        <f t="shared" si="4131"/>
        <v>0.99999999999999989</v>
      </c>
      <c r="J1261" s="77">
        <f t="shared" si="4132"/>
        <v>7.1999999999999981E-2</v>
      </c>
      <c r="K1261" s="77">
        <f t="shared" si="4176"/>
        <v>5.8106552987937654E-3</v>
      </c>
      <c r="L1261" s="76">
        <v>0</v>
      </c>
      <c r="M1261" s="77">
        <f t="shared" si="4138"/>
        <v>0</v>
      </c>
      <c r="N1261" s="77">
        <f t="shared" si="4139"/>
        <v>0</v>
      </c>
      <c r="O1261" s="77">
        <f t="shared" si="4140"/>
        <v>4.9999999999999992E-3</v>
      </c>
      <c r="P1261" s="77">
        <f t="shared" si="4141"/>
        <v>4.1762458919303302E-4</v>
      </c>
      <c r="R1261" t="s">
        <v>177</v>
      </c>
      <c r="S1261" t="s">
        <v>180</v>
      </c>
      <c r="T1261" s="197" t="str">
        <f t="shared" si="4172"/>
        <v>Autopilot_Opportunity_368</v>
      </c>
      <c r="U1261">
        <v>368</v>
      </c>
      <c r="V1261">
        <f>VLOOKUP($U1261,'[2]AP Opportunity'!$Q$1:$T$542,2,FALSE)</f>
        <v>0.99999997777777772</v>
      </c>
      <c r="W1261">
        <f>VLOOKUP($U1261,'[2]AP Opportunity'!$Q$1:$T$542,3,FALSE)</f>
        <v>2.2222222284540294E-8</v>
      </c>
      <c r="X1261">
        <f>VLOOKUP($U1261,'[2]AP Opportunity'!$Q$1:$T$542,4,FALSE)</f>
        <v>0</v>
      </c>
      <c r="Y1261" s="77">
        <f t="shared" si="4173"/>
        <v>1</v>
      </c>
      <c r="Z1261" s="77">
        <f t="shared" si="4177"/>
        <v>6.4624999704999977E-2</v>
      </c>
      <c r="AA1261" s="77">
        <f t="shared" si="4178"/>
        <v>5.2321923767311151E-3</v>
      </c>
      <c r="AB1261" s="79">
        <v>1</v>
      </c>
      <c r="AC1261" s="77">
        <f t="shared" si="4142"/>
        <v>8.499999955555556E-3</v>
      </c>
      <c r="AD1261" s="77">
        <f t="shared" ref="AD1261" si="4241">1-(1-AC1261)^(1/12)</f>
        <v>7.1110795759765644E-4</v>
      </c>
      <c r="AE1261" s="77">
        <f t="shared" si="4144"/>
        <v>2.5000000000000001E-3</v>
      </c>
      <c r="AF1261" s="77">
        <f t="shared" ref="AF1261" si="4242">1-(1-AE1261)^(1/12)</f>
        <v>2.0857243058891584E-4</v>
      </c>
      <c r="AH1261" t="s">
        <v>175</v>
      </c>
      <c r="AI1261" t="s">
        <v>180</v>
      </c>
      <c r="AJ1261" s="197" t="str">
        <f t="shared" si="4135"/>
        <v>Lifecycle_Opportunity_368</v>
      </c>
      <c r="AK1261">
        <v>368</v>
      </c>
      <c r="AL1261">
        <f>VLOOKUP($U1261,[2]Standard_Opportunity!$Q$1:$T$542,2,FALSE)</f>
        <v>0.99999997777777772</v>
      </c>
      <c r="AM1261">
        <f>VLOOKUP($U1261,[2]Standard_Opportunity!$Q$1:$T$542,3,FALSE)</f>
        <v>2.2222222284540294E-8</v>
      </c>
      <c r="AN1261">
        <f>VLOOKUP($U1261,[2]Standard_Opportunity!$Q$1:$T$542,4,FALSE)</f>
        <v>0</v>
      </c>
      <c r="AO1261" s="77">
        <f t="shared" si="4136"/>
        <v>1</v>
      </c>
      <c r="AP1261" s="77">
        <f t="shared" si="4146"/>
        <v>6.4624999704999977E-2</v>
      </c>
      <c r="AQ1261" s="77">
        <f t="shared" si="4137"/>
        <v>5.2321923767311151E-3</v>
      </c>
      <c r="AR1261" s="79">
        <v>0</v>
      </c>
      <c r="AS1261" s="77">
        <f t="shared" si="4147"/>
        <v>0</v>
      </c>
      <c r="AT1261" s="77">
        <f t="shared" si="4148"/>
        <v>0</v>
      </c>
      <c r="AU1261" s="77">
        <f t="shared" si="4149"/>
        <v>2.5000000000000001E-3</v>
      </c>
      <c r="AV1261" s="77">
        <f t="shared" si="4150"/>
        <v>2.0809499864316017E-4</v>
      </c>
    </row>
    <row r="1262" spans="1:48">
      <c r="A1262" t="s">
        <v>175</v>
      </c>
      <c r="B1262" t="s">
        <v>180</v>
      </c>
      <c r="C1262" s="197" t="str">
        <f t="shared" si="4171"/>
        <v>Lifecycle_Opportunity_367</v>
      </c>
      <c r="D1262">
        <v>367</v>
      </c>
      <c r="E1262">
        <f>VLOOKUP($D1262,'[2]LC Opportunity'!$Q$2:$U$542,2,FALSE)</f>
        <v>0</v>
      </c>
      <c r="F1262">
        <f>VLOOKUP($D1262,'[2]LC Opportunity'!$Q$2:$U$542,3,FALSE)</f>
        <v>0</v>
      </c>
      <c r="G1262">
        <f>VLOOKUP($D1262,'[2]LC Opportunity'!$Q$2:$U$542,4,FALSE)</f>
        <v>0</v>
      </c>
      <c r="H1262">
        <f>VLOOKUP($D1262,'[2]LC Opportunity'!$Q$2:$U$542,5,FALSE)</f>
        <v>0.99999999999999989</v>
      </c>
      <c r="I1262" s="77">
        <f t="shared" si="4131"/>
        <v>0.99999999999999989</v>
      </c>
      <c r="J1262" s="77">
        <f t="shared" si="4132"/>
        <v>7.1999999999999981E-2</v>
      </c>
      <c r="K1262" s="77">
        <f t="shared" si="4176"/>
        <v>5.8106552987937654E-3</v>
      </c>
      <c r="L1262" s="76">
        <v>0</v>
      </c>
      <c r="M1262" s="77">
        <f t="shared" si="4138"/>
        <v>0</v>
      </c>
      <c r="N1262" s="77">
        <f t="shared" si="4139"/>
        <v>0</v>
      </c>
      <c r="O1262" s="77">
        <f t="shared" si="4140"/>
        <v>4.9999999999999992E-3</v>
      </c>
      <c r="P1262" s="77">
        <f t="shared" si="4141"/>
        <v>4.1762458919303302E-4</v>
      </c>
      <c r="R1262" t="s">
        <v>177</v>
      </c>
      <c r="S1262" t="s">
        <v>180</v>
      </c>
      <c r="T1262" s="197" t="str">
        <f t="shared" si="4172"/>
        <v>Autopilot_Opportunity_367</v>
      </c>
      <c r="U1262">
        <v>367</v>
      </c>
      <c r="V1262">
        <f>VLOOKUP($U1262,'[2]AP Opportunity'!$Q$1:$T$542,2,FALSE)</f>
        <v>0.99999997777777772</v>
      </c>
      <c r="W1262">
        <f>VLOOKUP($U1262,'[2]AP Opportunity'!$Q$1:$T$542,3,FALSE)</f>
        <v>2.2222222284540294E-8</v>
      </c>
      <c r="X1262">
        <f>VLOOKUP($U1262,'[2]AP Opportunity'!$Q$1:$T$542,4,FALSE)</f>
        <v>0</v>
      </c>
      <c r="Y1262" s="77">
        <f t="shared" si="4173"/>
        <v>1</v>
      </c>
      <c r="Z1262" s="77">
        <f t="shared" si="4177"/>
        <v>6.4624999704999977E-2</v>
      </c>
      <c r="AA1262" s="77">
        <f t="shared" si="4178"/>
        <v>5.2321923767311151E-3</v>
      </c>
      <c r="AB1262" s="79">
        <v>1</v>
      </c>
      <c r="AC1262" s="77">
        <f t="shared" si="4142"/>
        <v>8.499999955555556E-3</v>
      </c>
      <c r="AD1262" s="77">
        <f t="shared" ref="AD1262" si="4243">1-(1-AC1262)^(1/12)</f>
        <v>7.1110795759765644E-4</v>
      </c>
      <c r="AE1262" s="77">
        <f t="shared" si="4144"/>
        <v>2.5000000000000001E-3</v>
      </c>
      <c r="AF1262" s="77">
        <f t="shared" ref="AF1262" si="4244">1-(1-AE1262)^(1/12)</f>
        <v>2.0857243058891584E-4</v>
      </c>
      <c r="AH1262" t="s">
        <v>175</v>
      </c>
      <c r="AI1262" t="s">
        <v>180</v>
      </c>
      <c r="AJ1262" s="197" t="str">
        <f t="shared" si="4135"/>
        <v>Lifecycle_Opportunity_367</v>
      </c>
      <c r="AK1262">
        <v>367</v>
      </c>
      <c r="AL1262">
        <f>VLOOKUP($U1262,[2]Standard_Opportunity!$Q$1:$T$542,2,FALSE)</f>
        <v>0.99999997777777772</v>
      </c>
      <c r="AM1262">
        <f>VLOOKUP($U1262,[2]Standard_Opportunity!$Q$1:$T$542,3,FALSE)</f>
        <v>2.2222222284540294E-8</v>
      </c>
      <c r="AN1262">
        <f>VLOOKUP($U1262,[2]Standard_Opportunity!$Q$1:$T$542,4,FALSE)</f>
        <v>0</v>
      </c>
      <c r="AO1262" s="77">
        <f t="shared" si="4136"/>
        <v>1</v>
      </c>
      <c r="AP1262" s="77">
        <f t="shared" si="4146"/>
        <v>6.4624999704999977E-2</v>
      </c>
      <c r="AQ1262" s="77">
        <f t="shared" si="4137"/>
        <v>5.2321923767311151E-3</v>
      </c>
      <c r="AR1262" s="79">
        <v>0</v>
      </c>
      <c r="AS1262" s="77">
        <f t="shared" si="4147"/>
        <v>0</v>
      </c>
      <c r="AT1262" s="77">
        <f t="shared" si="4148"/>
        <v>0</v>
      </c>
      <c r="AU1262" s="77">
        <f t="shared" si="4149"/>
        <v>2.5000000000000001E-3</v>
      </c>
      <c r="AV1262" s="77">
        <f t="shared" si="4150"/>
        <v>2.0809499864316017E-4</v>
      </c>
    </row>
    <row r="1263" spans="1:48">
      <c r="A1263" t="s">
        <v>175</v>
      </c>
      <c r="B1263" t="s">
        <v>180</v>
      </c>
      <c r="C1263" s="197" t="str">
        <f t="shared" si="4171"/>
        <v>Lifecycle_Opportunity_366</v>
      </c>
      <c r="D1263">
        <v>366</v>
      </c>
      <c r="E1263">
        <f>VLOOKUP($D1263,'[2]LC Opportunity'!$Q$2:$U$542,2,FALSE)</f>
        <v>0</v>
      </c>
      <c r="F1263">
        <f>VLOOKUP($D1263,'[2]LC Opportunity'!$Q$2:$U$542,3,FALSE)</f>
        <v>0</v>
      </c>
      <c r="G1263">
        <f>VLOOKUP($D1263,'[2]LC Opportunity'!$Q$2:$U$542,4,FALSE)</f>
        <v>0</v>
      </c>
      <c r="H1263">
        <f>VLOOKUP($D1263,'[2]LC Opportunity'!$Q$2:$U$542,5,FALSE)</f>
        <v>0.99999999999999989</v>
      </c>
      <c r="I1263" s="77">
        <f t="shared" si="4131"/>
        <v>0.99999999999999989</v>
      </c>
      <c r="J1263" s="77">
        <f t="shared" si="4132"/>
        <v>7.1999999999999981E-2</v>
      </c>
      <c r="K1263" s="77">
        <f t="shared" si="4176"/>
        <v>5.8106552987937654E-3</v>
      </c>
      <c r="L1263" s="76">
        <v>0</v>
      </c>
      <c r="M1263" s="77">
        <f t="shared" si="4138"/>
        <v>0</v>
      </c>
      <c r="N1263" s="77">
        <f t="shared" si="4139"/>
        <v>0</v>
      </c>
      <c r="O1263" s="77">
        <f t="shared" si="4140"/>
        <v>4.9999999999999992E-3</v>
      </c>
      <c r="P1263" s="77">
        <f t="shared" si="4141"/>
        <v>4.1762458919303302E-4</v>
      </c>
      <c r="R1263" t="s">
        <v>177</v>
      </c>
      <c r="S1263" t="s">
        <v>180</v>
      </c>
      <c r="T1263" s="197" t="str">
        <f t="shared" si="4172"/>
        <v>Autopilot_Opportunity_366</v>
      </c>
      <c r="U1263">
        <v>366</v>
      </c>
      <c r="V1263">
        <f>VLOOKUP($U1263,'[2]AP Opportunity'!$Q$1:$T$542,2,FALSE)</f>
        <v>0.99999997777777772</v>
      </c>
      <c r="W1263">
        <f>VLOOKUP($U1263,'[2]AP Opportunity'!$Q$1:$T$542,3,FALSE)</f>
        <v>2.2222222284540294E-8</v>
      </c>
      <c r="X1263">
        <f>VLOOKUP($U1263,'[2]AP Opportunity'!$Q$1:$T$542,4,FALSE)</f>
        <v>0</v>
      </c>
      <c r="Y1263" s="77">
        <f t="shared" si="4173"/>
        <v>1</v>
      </c>
      <c r="Z1263" s="77">
        <f t="shared" si="4177"/>
        <v>6.4624999704999977E-2</v>
      </c>
      <c r="AA1263" s="77">
        <f t="shared" si="4178"/>
        <v>5.2321923767311151E-3</v>
      </c>
      <c r="AB1263" s="79">
        <v>1</v>
      </c>
      <c r="AC1263" s="77">
        <f t="shared" si="4142"/>
        <v>8.499999955555556E-3</v>
      </c>
      <c r="AD1263" s="77">
        <f t="shared" ref="AD1263" si="4245">1-(1-AC1263)^(1/12)</f>
        <v>7.1110795759765644E-4</v>
      </c>
      <c r="AE1263" s="77">
        <f t="shared" si="4144"/>
        <v>2.5000000000000001E-3</v>
      </c>
      <c r="AF1263" s="77">
        <f t="shared" ref="AF1263" si="4246">1-(1-AE1263)^(1/12)</f>
        <v>2.0857243058891584E-4</v>
      </c>
      <c r="AH1263" t="s">
        <v>175</v>
      </c>
      <c r="AI1263" t="s">
        <v>180</v>
      </c>
      <c r="AJ1263" s="197" t="str">
        <f t="shared" si="4135"/>
        <v>Lifecycle_Opportunity_366</v>
      </c>
      <c r="AK1263">
        <v>366</v>
      </c>
      <c r="AL1263">
        <f>VLOOKUP($U1263,[2]Standard_Opportunity!$Q$1:$T$542,2,FALSE)</f>
        <v>0.99999997777777772</v>
      </c>
      <c r="AM1263">
        <f>VLOOKUP($U1263,[2]Standard_Opportunity!$Q$1:$T$542,3,FALSE)</f>
        <v>2.2222222284540294E-8</v>
      </c>
      <c r="AN1263">
        <f>VLOOKUP($U1263,[2]Standard_Opportunity!$Q$1:$T$542,4,FALSE)</f>
        <v>0</v>
      </c>
      <c r="AO1263" s="77">
        <f t="shared" si="4136"/>
        <v>1</v>
      </c>
      <c r="AP1263" s="77">
        <f t="shared" si="4146"/>
        <v>6.4624999704999977E-2</v>
      </c>
      <c r="AQ1263" s="77">
        <f t="shared" si="4137"/>
        <v>5.2321923767311151E-3</v>
      </c>
      <c r="AR1263" s="79">
        <v>0</v>
      </c>
      <c r="AS1263" s="77">
        <f t="shared" si="4147"/>
        <v>0</v>
      </c>
      <c r="AT1263" s="77">
        <f t="shared" si="4148"/>
        <v>0</v>
      </c>
      <c r="AU1263" s="77">
        <f t="shared" si="4149"/>
        <v>2.5000000000000001E-3</v>
      </c>
      <c r="AV1263" s="77">
        <f t="shared" si="4150"/>
        <v>2.0809499864316017E-4</v>
      </c>
    </row>
    <row r="1264" spans="1:48">
      <c r="A1264" t="s">
        <v>175</v>
      </c>
      <c r="B1264" t="s">
        <v>180</v>
      </c>
      <c r="C1264" s="197" t="str">
        <f t="shared" si="4171"/>
        <v>Lifecycle_Opportunity_365</v>
      </c>
      <c r="D1264">
        <v>365</v>
      </c>
      <c r="E1264">
        <f>VLOOKUP($D1264,'[2]LC Opportunity'!$Q$2:$U$542,2,FALSE)</f>
        <v>0</v>
      </c>
      <c r="F1264">
        <f>VLOOKUP($D1264,'[2]LC Opportunity'!$Q$2:$U$542,3,FALSE)</f>
        <v>0</v>
      </c>
      <c r="G1264">
        <f>VLOOKUP($D1264,'[2]LC Opportunity'!$Q$2:$U$542,4,FALSE)</f>
        <v>0</v>
      </c>
      <c r="H1264">
        <f>VLOOKUP($D1264,'[2]LC Opportunity'!$Q$2:$U$542,5,FALSE)</f>
        <v>0.99999999999999989</v>
      </c>
      <c r="I1264" s="77">
        <f t="shared" si="4131"/>
        <v>0.99999999999999989</v>
      </c>
      <c r="J1264" s="77">
        <f t="shared" si="4132"/>
        <v>7.1999999999999981E-2</v>
      </c>
      <c r="K1264" s="77">
        <f t="shared" si="4176"/>
        <v>5.8106552987937654E-3</v>
      </c>
      <c r="L1264" s="76">
        <v>0</v>
      </c>
      <c r="M1264" s="77">
        <f t="shared" si="4138"/>
        <v>0</v>
      </c>
      <c r="N1264" s="77">
        <f t="shared" si="4139"/>
        <v>0</v>
      </c>
      <c r="O1264" s="77">
        <f t="shared" si="4140"/>
        <v>4.9999999999999992E-3</v>
      </c>
      <c r="P1264" s="77">
        <f t="shared" si="4141"/>
        <v>4.1762458919303302E-4</v>
      </c>
      <c r="R1264" t="s">
        <v>177</v>
      </c>
      <c r="S1264" t="s">
        <v>180</v>
      </c>
      <c r="T1264" s="197" t="str">
        <f t="shared" si="4172"/>
        <v>Autopilot_Opportunity_365</v>
      </c>
      <c r="U1264">
        <v>365</v>
      </c>
      <c r="V1264">
        <f>VLOOKUP($U1264,'[2]AP Opportunity'!$Q$1:$T$542,2,FALSE)</f>
        <v>0.99999997777777772</v>
      </c>
      <c r="W1264">
        <f>VLOOKUP($U1264,'[2]AP Opportunity'!$Q$1:$T$542,3,FALSE)</f>
        <v>2.2222222284540294E-8</v>
      </c>
      <c r="X1264">
        <f>VLOOKUP($U1264,'[2]AP Opportunity'!$Q$1:$T$542,4,FALSE)</f>
        <v>0</v>
      </c>
      <c r="Y1264" s="77">
        <f t="shared" si="4173"/>
        <v>1</v>
      </c>
      <c r="Z1264" s="77">
        <f t="shared" si="4177"/>
        <v>6.4624999704999977E-2</v>
      </c>
      <c r="AA1264" s="77">
        <f t="shared" si="4178"/>
        <v>5.2321923767311151E-3</v>
      </c>
      <c r="AB1264" s="79">
        <v>1</v>
      </c>
      <c r="AC1264" s="77">
        <f t="shared" si="4142"/>
        <v>8.499999955555556E-3</v>
      </c>
      <c r="AD1264" s="77">
        <f t="shared" ref="AD1264" si="4247">1-(1-AC1264)^(1/12)</f>
        <v>7.1110795759765644E-4</v>
      </c>
      <c r="AE1264" s="77">
        <f t="shared" si="4144"/>
        <v>2.5000000000000001E-3</v>
      </c>
      <c r="AF1264" s="77">
        <f t="shared" ref="AF1264" si="4248">1-(1-AE1264)^(1/12)</f>
        <v>2.0857243058891584E-4</v>
      </c>
      <c r="AH1264" t="s">
        <v>175</v>
      </c>
      <c r="AI1264" t="s">
        <v>180</v>
      </c>
      <c r="AJ1264" s="197" t="str">
        <f t="shared" si="4135"/>
        <v>Lifecycle_Opportunity_365</v>
      </c>
      <c r="AK1264">
        <v>365</v>
      </c>
      <c r="AL1264">
        <f>VLOOKUP($U1264,[2]Standard_Opportunity!$Q$1:$T$542,2,FALSE)</f>
        <v>0.99999997777777772</v>
      </c>
      <c r="AM1264">
        <f>VLOOKUP($U1264,[2]Standard_Opportunity!$Q$1:$T$542,3,FALSE)</f>
        <v>2.2222222284540294E-8</v>
      </c>
      <c r="AN1264">
        <f>VLOOKUP($U1264,[2]Standard_Opportunity!$Q$1:$T$542,4,FALSE)</f>
        <v>0</v>
      </c>
      <c r="AO1264" s="77">
        <f t="shared" si="4136"/>
        <v>1</v>
      </c>
      <c r="AP1264" s="77">
        <f t="shared" si="4146"/>
        <v>6.4624999704999977E-2</v>
      </c>
      <c r="AQ1264" s="77">
        <f t="shared" si="4137"/>
        <v>5.2321923767311151E-3</v>
      </c>
      <c r="AR1264" s="79">
        <v>0</v>
      </c>
      <c r="AS1264" s="77">
        <f t="shared" si="4147"/>
        <v>0</v>
      </c>
      <c r="AT1264" s="77">
        <f t="shared" si="4148"/>
        <v>0</v>
      </c>
      <c r="AU1264" s="77">
        <f t="shared" si="4149"/>
        <v>2.5000000000000001E-3</v>
      </c>
      <c r="AV1264" s="77">
        <f t="shared" si="4150"/>
        <v>2.0809499864316017E-4</v>
      </c>
    </row>
    <row r="1265" spans="1:48">
      <c r="A1265" t="s">
        <v>175</v>
      </c>
      <c r="B1265" t="s">
        <v>180</v>
      </c>
      <c r="C1265" s="197" t="str">
        <f t="shared" si="4171"/>
        <v>Lifecycle_Opportunity_364</v>
      </c>
      <c r="D1265">
        <v>364</v>
      </c>
      <c r="E1265">
        <f>VLOOKUP($D1265,'[2]LC Opportunity'!$Q$2:$U$542,2,FALSE)</f>
        <v>0</v>
      </c>
      <c r="F1265">
        <f>VLOOKUP($D1265,'[2]LC Opportunity'!$Q$2:$U$542,3,FALSE)</f>
        <v>0</v>
      </c>
      <c r="G1265">
        <f>VLOOKUP($D1265,'[2]LC Opportunity'!$Q$2:$U$542,4,FALSE)</f>
        <v>0</v>
      </c>
      <c r="H1265">
        <f>VLOOKUP($D1265,'[2]LC Opportunity'!$Q$2:$U$542,5,FALSE)</f>
        <v>0.99999999999999989</v>
      </c>
      <c r="I1265" s="77">
        <f t="shared" si="4131"/>
        <v>0.99999999999999989</v>
      </c>
      <c r="J1265" s="77">
        <f t="shared" si="4132"/>
        <v>7.1999999999999981E-2</v>
      </c>
      <c r="K1265" s="77">
        <f t="shared" si="4176"/>
        <v>5.8106552987937654E-3</v>
      </c>
      <c r="L1265" s="76">
        <v>0</v>
      </c>
      <c r="M1265" s="77">
        <f t="shared" si="4138"/>
        <v>0</v>
      </c>
      <c r="N1265" s="77">
        <f t="shared" si="4139"/>
        <v>0</v>
      </c>
      <c r="O1265" s="77">
        <f t="shared" si="4140"/>
        <v>4.9999999999999992E-3</v>
      </c>
      <c r="P1265" s="77">
        <f t="shared" si="4141"/>
        <v>4.1762458919303302E-4</v>
      </c>
      <c r="R1265" t="s">
        <v>177</v>
      </c>
      <c r="S1265" t="s">
        <v>180</v>
      </c>
      <c r="T1265" s="197" t="str">
        <f t="shared" si="4172"/>
        <v>Autopilot_Opportunity_364</v>
      </c>
      <c r="U1265">
        <v>364</v>
      </c>
      <c r="V1265">
        <f>VLOOKUP($U1265,'[2]AP Opportunity'!$Q$1:$T$542,2,FALSE)</f>
        <v>0.99999997777777772</v>
      </c>
      <c r="W1265">
        <f>VLOOKUP($U1265,'[2]AP Opportunity'!$Q$1:$T$542,3,FALSE)</f>
        <v>2.2222222284540294E-8</v>
      </c>
      <c r="X1265">
        <f>VLOOKUP($U1265,'[2]AP Opportunity'!$Q$1:$T$542,4,FALSE)</f>
        <v>0</v>
      </c>
      <c r="Y1265" s="77">
        <f t="shared" si="4173"/>
        <v>1</v>
      </c>
      <c r="Z1265" s="77">
        <f t="shared" si="4177"/>
        <v>6.4624999704999977E-2</v>
      </c>
      <c r="AA1265" s="77">
        <f t="shared" si="4178"/>
        <v>5.2321923767311151E-3</v>
      </c>
      <c r="AB1265" s="79">
        <v>1</v>
      </c>
      <c r="AC1265" s="77">
        <f t="shared" si="4142"/>
        <v>8.499999955555556E-3</v>
      </c>
      <c r="AD1265" s="77">
        <f t="shared" ref="AD1265" si="4249">1-(1-AC1265)^(1/12)</f>
        <v>7.1110795759765644E-4</v>
      </c>
      <c r="AE1265" s="77">
        <f t="shared" si="4144"/>
        <v>2.5000000000000001E-3</v>
      </c>
      <c r="AF1265" s="77">
        <f t="shared" ref="AF1265" si="4250">1-(1-AE1265)^(1/12)</f>
        <v>2.0857243058891584E-4</v>
      </c>
      <c r="AH1265" t="s">
        <v>175</v>
      </c>
      <c r="AI1265" t="s">
        <v>180</v>
      </c>
      <c r="AJ1265" s="197" t="str">
        <f t="shared" si="4135"/>
        <v>Lifecycle_Opportunity_364</v>
      </c>
      <c r="AK1265">
        <v>364</v>
      </c>
      <c r="AL1265">
        <f>VLOOKUP($U1265,[2]Standard_Opportunity!$Q$1:$T$542,2,FALSE)</f>
        <v>0.99999997777777772</v>
      </c>
      <c r="AM1265">
        <f>VLOOKUP($U1265,[2]Standard_Opportunity!$Q$1:$T$542,3,FALSE)</f>
        <v>2.2222222284540294E-8</v>
      </c>
      <c r="AN1265">
        <f>VLOOKUP($U1265,[2]Standard_Opportunity!$Q$1:$T$542,4,FALSE)</f>
        <v>0</v>
      </c>
      <c r="AO1265" s="77">
        <f t="shared" si="4136"/>
        <v>1</v>
      </c>
      <c r="AP1265" s="77">
        <f t="shared" si="4146"/>
        <v>6.4624999704999977E-2</v>
      </c>
      <c r="AQ1265" s="77">
        <f t="shared" si="4137"/>
        <v>5.2321923767311151E-3</v>
      </c>
      <c r="AR1265" s="79">
        <v>0</v>
      </c>
      <c r="AS1265" s="77">
        <f t="shared" si="4147"/>
        <v>0</v>
      </c>
      <c r="AT1265" s="77">
        <f t="shared" si="4148"/>
        <v>0</v>
      </c>
      <c r="AU1265" s="77">
        <f t="shared" si="4149"/>
        <v>2.5000000000000001E-3</v>
      </c>
      <c r="AV1265" s="77">
        <f t="shared" si="4150"/>
        <v>2.0809499864316017E-4</v>
      </c>
    </row>
    <row r="1266" spans="1:48">
      <c r="A1266" t="s">
        <v>175</v>
      </c>
      <c r="B1266" t="s">
        <v>180</v>
      </c>
      <c r="C1266" s="197" t="str">
        <f t="shared" si="4171"/>
        <v>Lifecycle_Opportunity_363</v>
      </c>
      <c r="D1266">
        <v>363</v>
      </c>
      <c r="E1266">
        <f>VLOOKUP($D1266,'[2]LC Opportunity'!$Q$2:$U$542,2,FALSE)</f>
        <v>0</v>
      </c>
      <c r="F1266">
        <f>VLOOKUP($D1266,'[2]LC Opportunity'!$Q$2:$U$542,3,FALSE)</f>
        <v>0</v>
      </c>
      <c r="G1266">
        <f>VLOOKUP($D1266,'[2]LC Opportunity'!$Q$2:$U$542,4,FALSE)</f>
        <v>0</v>
      </c>
      <c r="H1266">
        <f>VLOOKUP($D1266,'[2]LC Opportunity'!$Q$2:$U$542,5,FALSE)</f>
        <v>0.99999999999999989</v>
      </c>
      <c r="I1266" s="77">
        <f t="shared" si="4131"/>
        <v>0.99999999999999989</v>
      </c>
      <c r="J1266" s="77">
        <f t="shared" si="4132"/>
        <v>7.1999999999999981E-2</v>
      </c>
      <c r="K1266" s="77">
        <f t="shared" si="4176"/>
        <v>5.8106552987937654E-3</v>
      </c>
      <c r="L1266" s="76">
        <v>0</v>
      </c>
      <c r="M1266" s="77">
        <f t="shared" si="4138"/>
        <v>0</v>
      </c>
      <c r="N1266" s="77">
        <f t="shared" si="4139"/>
        <v>0</v>
      </c>
      <c r="O1266" s="77">
        <f t="shared" si="4140"/>
        <v>4.9999999999999992E-3</v>
      </c>
      <c r="P1266" s="77">
        <f t="shared" si="4141"/>
        <v>4.1762458919303302E-4</v>
      </c>
      <c r="R1266" t="s">
        <v>177</v>
      </c>
      <c r="S1266" t="s">
        <v>180</v>
      </c>
      <c r="T1266" s="197" t="str">
        <f t="shared" si="4172"/>
        <v>Autopilot_Opportunity_363</v>
      </c>
      <c r="U1266">
        <v>363</v>
      </c>
      <c r="V1266">
        <f>VLOOKUP($U1266,'[2]AP Opportunity'!$Q$1:$T$542,2,FALSE)</f>
        <v>0.99999997777777772</v>
      </c>
      <c r="W1266">
        <f>VLOOKUP($U1266,'[2]AP Opportunity'!$Q$1:$T$542,3,FALSE)</f>
        <v>2.2222222284540294E-8</v>
      </c>
      <c r="X1266">
        <f>VLOOKUP($U1266,'[2]AP Opportunity'!$Q$1:$T$542,4,FALSE)</f>
        <v>0</v>
      </c>
      <c r="Y1266" s="77">
        <f t="shared" si="4173"/>
        <v>1</v>
      </c>
      <c r="Z1266" s="77">
        <f t="shared" si="4177"/>
        <v>6.4624999704999977E-2</v>
      </c>
      <c r="AA1266" s="77">
        <f t="shared" si="4178"/>
        <v>5.2321923767311151E-3</v>
      </c>
      <c r="AB1266" s="79">
        <v>1</v>
      </c>
      <c r="AC1266" s="77">
        <f t="shared" si="4142"/>
        <v>8.499999955555556E-3</v>
      </c>
      <c r="AD1266" s="77">
        <f t="shared" ref="AD1266" si="4251">1-(1-AC1266)^(1/12)</f>
        <v>7.1110795759765644E-4</v>
      </c>
      <c r="AE1266" s="77">
        <f t="shared" si="4144"/>
        <v>2.5000000000000001E-3</v>
      </c>
      <c r="AF1266" s="77">
        <f t="shared" ref="AF1266" si="4252">1-(1-AE1266)^(1/12)</f>
        <v>2.0857243058891584E-4</v>
      </c>
      <c r="AH1266" t="s">
        <v>175</v>
      </c>
      <c r="AI1266" t="s">
        <v>180</v>
      </c>
      <c r="AJ1266" s="197" t="str">
        <f t="shared" si="4135"/>
        <v>Lifecycle_Opportunity_363</v>
      </c>
      <c r="AK1266">
        <v>363</v>
      </c>
      <c r="AL1266">
        <f>VLOOKUP($U1266,[2]Standard_Opportunity!$Q$1:$T$542,2,FALSE)</f>
        <v>0.99999997777777772</v>
      </c>
      <c r="AM1266">
        <f>VLOOKUP($U1266,[2]Standard_Opportunity!$Q$1:$T$542,3,FALSE)</f>
        <v>2.2222222284540294E-8</v>
      </c>
      <c r="AN1266">
        <f>VLOOKUP($U1266,[2]Standard_Opportunity!$Q$1:$T$542,4,FALSE)</f>
        <v>0</v>
      </c>
      <c r="AO1266" s="77">
        <f t="shared" si="4136"/>
        <v>1</v>
      </c>
      <c r="AP1266" s="77">
        <f t="shared" si="4146"/>
        <v>6.4624999704999977E-2</v>
      </c>
      <c r="AQ1266" s="77">
        <f t="shared" si="4137"/>
        <v>5.2321923767311151E-3</v>
      </c>
      <c r="AR1266" s="79">
        <v>0</v>
      </c>
      <c r="AS1266" s="77">
        <f t="shared" si="4147"/>
        <v>0</v>
      </c>
      <c r="AT1266" s="77">
        <f t="shared" si="4148"/>
        <v>0</v>
      </c>
      <c r="AU1266" s="77">
        <f t="shared" si="4149"/>
        <v>2.5000000000000001E-3</v>
      </c>
      <c r="AV1266" s="77">
        <f t="shared" si="4150"/>
        <v>2.0809499864316017E-4</v>
      </c>
    </row>
    <row r="1267" spans="1:48">
      <c r="A1267" t="s">
        <v>175</v>
      </c>
      <c r="B1267" t="s">
        <v>180</v>
      </c>
      <c r="C1267" s="197" t="str">
        <f t="shared" si="4171"/>
        <v>Lifecycle_Opportunity_362</v>
      </c>
      <c r="D1267">
        <v>362</v>
      </c>
      <c r="E1267">
        <f>VLOOKUP($D1267,'[2]LC Opportunity'!$Q$2:$U$542,2,FALSE)</f>
        <v>0</v>
      </c>
      <c r="F1267">
        <f>VLOOKUP($D1267,'[2]LC Opportunity'!$Q$2:$U$542,3,FALSE)</f>
        <v>0</v>
      </c>
      <c r="G1267">
        <f>VLOOKUP($D1267,'[2]LC Opportunity'!$Q$2:$U$542,4,FALSE)</f>
        <v>0</v>
      </c>
      <c r="H1267">
        <f>VLOOKUP($D1267,'[2]LC Opportunity'!$Q$2:$U$542,5,FALSE)</f>
        <v>0.99999999999999989</v>
      </c>
      <c r="I1267" s="77">
        <f t="shared" si="4131"/>
        <v>0.99999999999999989</v>
      </c>
      <c r="J1267" s="77">
        <f t="shared" si="4132"/>
        <v>7.1999999999999981E-2</v>
      </c>
      <c r="K1267" s="77">
        <f t="shared" si="4176"/>
        <v>5.8106552987937654E-3</v>
      </c>
      <c r="L1267" s="76">
        <v>0</v>
      </c>
      <c r="M1267" s="77">
        <f t="shared" si="4138"/>
        <v>0</v>
      </c>
      <c r="N1267" s="77">
        <f t="shared" si="4139"/>
        <v>0</v>
      </c>
      <c r="O1267" s="77">
        <f t="shared" si="4140"/>
        <v>4.9999999999999992E-3</v>
      </c>
      <c r="P1267" s="77">
        <f t="shared" si="4141"/>
        <v>4.1762458919303302E-4</v>
      </c>
      <c r="R1267" t="s">
        <v>177</v>
      </c>
      <c r="S1267" t="s">
        <v>180</v>
      </c>
      <c r="T1267" s="197" t="str">
        <f t="shared" si="4172"/>
        <v>Autopilot_Opportunity_362</v>
      </c>
      <c r="U1267">
        <v>362</v>
      </c>
      <c r="V1267">
        <f>VLOOKUP($U1267,'[2]AP Opportunity'!$Q$1:$T$542,2,FALSE)</f>
        <v>0.99999997777777772</v>
      </c>
      <c r="W1267">
        <f>VLOOKUP($U1267,'[2]AP Opportunity'!$Q$1:$T$542,3,FALSE)</f>
        <v>2.2222222284540294E-8</v>
      </c>
      <c r="X1267">
        <f>VLOOKUP($U1267,'[2]AP Opportunity'!$Q$1:$T$542,4,FALSE)</f>
        <v>0</v>
      </c>
      <c r="Y1267" s="77">
        <f t="shared" si="4173"/>
        <v>1</v>
      </c>
      <c r="Z1267" s="77">
        <f t="shared" si="4177"/>
        <v>6.4624999704999977E-2</v>
      </c>
      <c r="AA1267" s="77">
        <f t="shared" si="4178"/>
        <v>5.2321923767311151E-3</v>
      </c>
      <c r="AB1267" s="79">
        <v>1</v>
      </c>
      <c r="AC1267" s="77">
        <f t="shared" si="4142"/>
        <v>8.499999955555556E-3</v>
      </c>
      <c r="AD1267" s="77">
        <f t="shared" ref="AD1267" si="4253">1-(1-AC1267)^(1/12)</f>
        <v>7.1110795759765644E-4</v>
      </c>
      <c r="AE1267" s="77">
        <f t="shared" si="4144"/>
        <v>2.5000000000000001E-3</v>
      </c>
      <c r="AF1267" s="77">
        <f t="shared" ref="AF1267" si="4254">1-(1-AE1267)^(1/12)</f>
        <v>2.0857243058891584E-4</v>
      </c>
      <c r="AH1267" t="s">
        <v>175</v>
      </c>
      <c r="AI1267" t="s">
        <v>180</v>
      </c>
      <c r="AJ1267" s="197" t="str">
        <f t="shared" si="4135"/>
        <v>Lifecycle_Opportunity_362</v>
      </c>
      <c r="AK1267">
        <v>362</v>
      </c>
      <c r="AL1267">
        <f>VLOOKUP($U1267,[2]Standard_Opportunity!$Q$1:$T$542,2,FALSE)</f>
        <v>0.99999997777777772</v>
      </c>
      <c r="AM1267">
        <f>VLOOKUP($U1267,[2]Standard_Opportunity!$Q$1:$T$542,3,FALSE)</f>
        <v>2.2222222284540294E-8</v>
      </c>
      <c r="AN1267">
        <f>VLOOKUP($U1267,[2]Standard_Opportunity!$Q$1:$T$542,4,FALSE)</f>
        <v>0</v>
      </c>
      <c r="AO1267" s="77">
        <f t="shared" si="4136"/>
        <v>1</v>
      </c>
      <c r="AP1267" s="77">
        <f t="shared" si="4146"/>
        <v>6.4624999704999977E-2</v>
      </c>
      <c r="AQ1267" s="77">
        <f t="shared" si="4137"/>
        <v>5.2321923767311151E-3</v>
      </c>
      <c r="AR1267" s="79">
        <v>0</v>
      </c>
      <c r="AS1267" s="77">
        <f t="shared" si="4147"/>
        <v>0</v>
      </c>
      <c r="AT1267" s="77">
        <f t="shared" si="4148"/>
        <v>0</v>
      </c>
      <c r="AU1267" s="77">
        <f t="shared" si="4149"/>
        <v>2.5000000000000001E-3</v>
      </c>
      <c r="AV1267" s="77">
        <f t="shared" si="4150"/>
        <v>2.0809499864316017E-4</v>
      </c>
    </row>
    <row r="1268" spans="1:48">
      <c r="A1268" t="s">
        <v>175</v>
      </c>
      <c r="B1268" t="s">
        <v>180</v>
      </c>
      <c r="C1268" s="197" t="str">
        <f t="shared" si="4171"/>
        <v>Lifecycle_Opportunity_361</v>
      </c>
      <c r="D1268">
        <v>361</v>
      </c>
      <c r="E1268">
        <f>VLOOKUP($D1268,'[2]LC Opportunity'!$Q$2:$U$542,2,FALSE)</f>
        <v>0</v>
      </c>
      <c r="F1268">
        <f>VLOOKUP($D1268,'[2]LC Opportunity'!$Q$2:$U$542,3,FALSE)</f>
        <v>0</v>
      </c>
      <c r="G1268">
        <f>VLOOKUP($D1268,'[2]LC Opportunity'!$Q$2:$U$542,4,FALSE)</f>
        <v>0</v>
      </c>
      <c r="H1268">
        <f>VLOOKUP($D1268,'[2]LC Opportunity'!$Q$2:$U$542,5,FALSE)</f>
        <v>0.99999999999999989</v>
      </c>
      <c r="I1268" s="77">
        <f t="shared" si="4131"/>
        <v>0.99999999999999989</v>
      </c>
      <c r="J1268" s="77">
        <f t="shared" si="4132"/>
        <v>7.1999999999999981E-2</v>
      </c>
      <c r="K1268" s="77">
        <f t="shared" si="4176"/>
        <v>5.8106552987937654E-3</v>
      </c>
      <c r="L1268" s="76">
        <v>0</v>
      </c>
      <c r="M1268" s="77">
        <f t="shared" si="4138"/>
        <v>0</v>
      </c>
      <c r="N1268" s="77">
        <f t="shared" si="4139"/>
        <v>0</v>
      </c>
      <c r="O1268" s="77">
        <f t="shared" si="4140"/>
        <v>4.9999999999999992E-3</v>
      </c>
      <c r="P1268" s="77">
        <f t="shared" si="4141"/>
        <v>4.1762458919303302E-4</v>
      </c>
      <c r="R1268" t="s">
        <v>177</v>
      </c>
      <c r="S1268" t="s">
        <v>180</v>
      </c>
      <c r="T1268" s="197" t="str">
        <f t="shared" si="4172"/>
        <v>Autopilot_Opportunity_361</v>
      </c>
      <c r="U1268">
        <v>361</v>
      </c>
      <c r="V1268">
        <f>VLOOKUP($U1268,'[2]AP Opportunity'!$Q$1:$T$542,2,FALSE)</f>
        <v>0.99999997777777772</v>
      </c>
      <c r="W1268">
        <f>VLOOKUP($U1268,'[2]AP Opportunity'!$Q$1:$T$542,3,FALSE)</f>
        <v>2.2222222284540294E-8</v>
      </c>
      <c r="X1268">
        <f>VLOOKUP($U1268,'[2]AP Opportunity'!$Q$1:$T$542,4,FALSE)</f>
        <v>0</v>
      </c>
      <c r="Y1268" s="77">
        <f t="shared" si="4173"/>
        <v>1</v>
      </c>
      <c r="Z1268" s="77">
        <f t="shared" si="4177"/>
        <v>6.4624999704999977E-2</v>
      </c>
      <c r="AA1268" s="77">
        <f t="shared" si="4178"/>
        <v>5.2321923767311151E-3</v>
      </c>
      <c r="AB1268" s="79">
        <v>1</v>
      </c>
      <c r="AC1268" s="77">
        <f t="shared" si="4142"/>
        <v>8.499999955555556E-3</v>
      </c>
      <c r="AD1268" s="77">
        <f t="shared" ref="AD1268" si="4255">1-(1-AC1268)^(1/12)</f>
        <v>7.1110795759765644E-4</v>
      </c>
      <c r="AE1268" s="77">
        <f t="shared" si="4144"/>
        <v>2.5000000000000001E-3</v>
      </c>
      <c r="AF1268" s="77">
        <f t="shared" ref="AF1268" si="4256">1-(1-AE1268)^(1/12)</f>
        <v>2.0857243058891584E-4</v>
      </c>
      <c r="AH1268" t="s">
        <v>175</v>
      </c>
      <c r="AI1268" t="s">
        <v>180</v>
      </c>
      <c r="AJ1268" s="197" t="str">
        <f t="shared" si="4135"/>
        <v>Lifecycle_Opportunity_361</v>
      </c>
      <c r="AK1268">
        <v>361</v>
      </c>
      <c r="AL1268">
        <f>VLOOKUP($U1268,[2]Standard_Opportunity!$Q$1:$T$542,2,FALSE)</f>
        <v>0.99999997777777772</v>
      </c>
      <c r="AM1268">
        <f>VLOOKUP($U1268,[2]Standard_Opportunity!$Q$1:$T$542,3,FALSE)</f>
        <v>2.2222222284540294E-8</v>
      </c>
      <c r="AN1268">
        <f>VLOOKUP($U1268,[2]Standard_Opportunity!$Q$1:$T$542,4,FALSE)</f>
        <v>0</v>
      </c>
      <c r="AO1268" s="77">
        <f t="shared" si="4136"/>
        <v>1</v>
      </c>
      <c r="AP1268" s="77">
        <f t="shared" si="4146"/>
        <v>6.4624999704999977E-2</v>
      </c>
      <c r="AQ1268" s="77">
        <f t="shared" si="4137"/>
        <v>5.2321923767311151E-3</v>
      </c>
      <c r="AR1268" s="79">
        <v>0</v>
      </c>
      <c r="AS1268" s="77">
        <f t="shared" si="4147"/>
        <v>0</v>
      </c>
      <c r="AT1268" s="77">
        <f t="shared" si="4148"/>
        <v>0</v>
      </c>
      <c r="AU1268" s="77">
        <f t="shared" si="4149"/>
        <v>2.5000000000000001E-3</v>
      </c>
      <c r="AV1268" s="77">
        <f t="shared" si="4150"/>
        <v>2.0809499864316017E-4</v>
      </c>
    </row>
    <row r="1269" spans="1:48">
      <c r="A1269" t="s">
        <v>175</v>
      </c>
      <c r="B1269" t="s">
        <v>180</v>
      </c>
      <c r="C1269" s="197" t="str">
        <f t="shared" si="4171"/>
        <v>Lifecycle_Opportunity_360</v>
      </c>
      <c r="D1269">
        <v>360</v>
      </c>
      <c r="E1269">
        <f>VLOOKUP($D1269,'[2]LC Opportunity'!$Q$2:$U$542,2,FALSE)</f>
        <v>0</v>
      </c>
      <c r="F1269">
        <f>VLOOKUP($D1269,'[2]LC Opportunity'!$Q$2:$U$542,3,FALSE)</f>
        <v>0</v>
      </c>
      <c r="G1269">
        <f>VLOOKUP($D1269,'[2]LC Opportunity'!$Q$2:$U$542,4,FALSE)</f>
        <v>0</v>
      </c>
      <c r="H1269">
        <f>VLOOKUP($D1269,'[2]LC Opportunity'!$Q$2:$U$542,5,FALSE)</f>
        <v>0.99999999999999989</v>
      </c>
      <c r="I1269" s="77">
        <f t="shared" si="4131"/>
        <v>0.99999999999999989</v>
      </c>
      <c r="J1269" s="77">
        <f t="shared" si="4132"/>
        <v>7.1999999999999981E-2</v>
      </c>
      <c r="K1269" s="77">
        <f t="shared" si="4176"/>
        <v>5.8106552987937654E-3</v>
      </c>
      <c r="L1269" s="76">
        <v>0</v>
      </c>
      <c r="M1269" s="77">
        <f t="shared" si="4138"/>
        <v>0</v>
      </c>
      <c r="N1269" s="77">
        <f t="shared" si="4139"/>
        <v>0</v>
      </c>
      <c r="O1269" s="77">
        <f t="shared" si="4140"/>
        <v>4.9999999999999992E-3</v>
      </c>
      <c r="P1269" s="77">
        <f t="shared" si="4141"/>
        <v>4.1762458919303302E-4</v>
      </c>
      <c r="R1269" t="s">
        <v>177</v>
      </c>
      <c r="S1269" t="s">
        <v>180</v>
      </c>
      <c r="T1269" s="197" t="str">
        <f t="shared" si="4172"/>
        <v>Autopilot_Opportunity_360</v>
      </c>
      <c r="U1269">
        <v>360</v>
      </c>
      <c r="V1269">
        <f>VLOOKUP($U1269,'[2]AP Opportunity'!$Q$1:$T$542,2,FALSE)</f>
        <v>0.99999997777777772</v>
      </c>
      <c r="W1269">
        <f>VLOOKUP($U1269,'[2]AP Opportunity'!$Q$1:$T$542,3,FALSE)</f>
        <v>2.2222222284540294E-8</v>
      </c>
      <c r="X1269">
        <f>VLOOKUP($U1269,'[2]AP Opportunity'!$Q$1:$T$542,4,FALSE)</f>
        <v>0</v>
      </c>
      <c r="Y1269" s="77">
        <f t="shared" si="4173"/>
        <v>1</v>
      </c>
      <c r="Z1269" s="77">
        <f t="shared" si="4177"/>
        <v>6.4624999704999977E-2</v>
      </c>
      <c r="AA1269" s="77">
        <f t="shared" si="4178"/>
        <v>5.2321923767311151E-3</v>
      </c>
      <c r="AB1269" s="79">
        <v>1</v>
      </c>
      <c r="AC1269" s="77">
        <f t="shared" si="4142"/>
        <v>8.499999955555556E-3</v>
      </c>
      <c r="AD1269" s="77">
        <f t="shared" ref="AD1269" si="4257">1-(1-AC1269)^(1/12)</f>
        <v>7.1110795759765644E-4</v>
      </c>
      <c r="AE1269" s="77">
        <f t="shared" si="4144"/>
        <v>2.5000000000000001E-3</v>
      </c>
      <c r="AF1269" s="77">
        <f t="shared" ref="AF1269" si="4258">1-(1-AE1269)^(1/12)</f>
        <v>2.0857243058891584E-4</v>
      </c>
      <c r="AH1269" t="s">
        <v>175</v>
      </c>
      <c r="AI1269" t="s">
        <v>180</v>
      </c>
      <c r="AJ1269" s="197" t="str">
        <f t="shared" si="4135"/>
        <v>Lifecycle_Opportunity_360</v>
      </c>
      <c r="AK1269">
        <v>360</v>
      </c>
      <c r="AL1269">
        <f>VLOOKUP($U1269,[2]Standard_Opportunity!$Q$1:$T$542,2,FALSE)</f>
        <v>0.99999997777777772</v>
      </c>
      <c r="AM1269">
        <f>VLOOKUP($U1269,[2]Standard_Opportunity!$Q$1:$T$542,3,FALSE)</f>
        <v>2.2222222284540294E-8</v>
      </c>
      <c r="AN1269">
        <f>VLOOKUP($U1269,[2]Standard_Opportunity!$Q$1:$T$542,4,FALSE)</f>
        <v>0</v>
      </c>
      <c r="AO1269" s="77">
        <f t="shared" si="4136"/>
        <v>1</v>
      </c>
      <c r="AP1269" s="77">
        <f t="shared" si="4146"/>
        <v>6.4624999704999977E-2</v>
      </c>
      <c r="AQ1269" s="77">
        <f t="shared" si="4137"/>
        <v>5.2321923767311151E-3</v>
      </c>
      <c r="AR1269" s="79">
        <v>0</v>
      </c>
      <c r="AS1269" s="77">
        <f t="shared" si="4147"/>
        <v>0</v>
      </c>
      <c r="AT1269" s="77">
        <f t="shared" si="4148"/>
        <v>0</v>
      </c>
      <c r="AU1269" s="77">
        <f t="shared" si="4149"/>
        <v>2.5000000000000001E-3</v>
      </c>
      <c r="AV1269" s="77">
        <f t="shared" si="4150"/>
        <v>2.0809499864316017E-4</v>
      </c>
    </row>
    <row r="1270" spans="1:48">
      <c r="A1270" t="s">
        <v>175</v>
      </c>
      <c r="B1270" t="s">
        <v>180</v>
      </c>
      <c r="C1270" s="197" t="str">
        <f t="shared" si="4171"/>
        <v>Lifecycle_Opportunity_359</v>
      </c>
      <c r="D1270">
        <v>359</v>
      </c>
      <c r="E1270">
        <f>VLOOKUP($D1270,'[2]LC Opportunity'!$Q$2:$U$542,2,FALSE)</f>
        <v>0</v>
      </c>
      <c r="F1270">
        <f>VLOOKUP($D1270,'[2]LC Opportunity'!$Q$2:$U$542,3,FALSE)</f>
        <v>0</v>
      </c>
      <c r="G1270">
        <f>VLOOKUP($D1270,'[2]LC Opportunity'!$Q$2:$U$542,4,FALSE)</f>
        <v>0</v>
      </c>
      <c r="H1270">
        <f>VLOOKUP($D1270,'[2]LC Opportunity'!$Q$2:$U$542,5,FALSE)</f>
        <v>0.99999999999999989</v>
      </c>
      <c r="I1270" s="77">
        <f t="shared" si="4131"/>
        <v>0.99999999999999989</v>
      </c>
      <c r="J1270" s="77">
        <f t="shared" si="4132"/>
        <v>7.1999999999999981E-2</v>
      </c>
      <c r="K1270" s="77">
        <f t="shared" si="4176"/>
        <v>5.8106552987937654E-3</v>
      </c>
      <c r="L1270" s="76">
        <v>0</v>
      </c>
      <c r="M1270" s="77">
        <f t="shared" si="4138"/>
        <v>0</v>
      </c>
      <c r="N1270" s="77">
        <f t="shared" si="4139"/>
        <v>0</v>
      </c>
      <c r="O1270" s="77">
        <f t="shared" si="4140"/>
        <v>4.9999999999999992E-3</v>
      </c>
      <c r="P1270" s="77">
        <f t="shared" si="4141"/>
        <v>4.1762458919303302E-4</v>
      </c>
      <c r="R1270" t="s">
        <v>177</v>
      </c>
      <c r="S1270" t="s">
        <v>180</v>
      </c>
      <c r="T1270" s="197" t="str">
        <f t="shared" si="4172"/>
        <v>Autopilot_Opportunity_359</v>
      </c>
      <c r="U1270">
        <v>359</v>
      </c>
      <c r="V1270">
        <f>VLOOKUP($U1270,'[2]AP Opportunity'!$Q$1:$T$542,2,FALSE)</f>
        <v>0.99999997777777772</v>
      </c>
      <c r="W1270">
        <f>VLOOKUP($U1270,'[2]AP Opportunity'!$Q$1:$T$542,3,FALSE)</f>
        <v>2.2222222284540294E-8</v>
      </c>
      <c r="X1270">
        <f>VLOOKUP($U1270,'[2]AP Opportunity'!$Q$1:$T$542,4,FALSE)</f>
        <v>0</v>
      </c>
      <c r="Y1270" s="77">
        <f t="shared" si="4173"/>
        <v>1</v>
      </c>
      <c r="Z1270" s="77">
        <f t="shared" si="4177"/>
        <v>6.4624999704999977E-2</v>
      </c>
      <c r="AA1270" s="77">
        <f t="shared" si="4178"/>
        <v>5.2321923767311151E-3</v>
      </c>
      <c r="AB1270" s="79">
        <v>1</v>
      </c>
      <c r="AC1270" s="77">
        <f t="shared" si="4142"/>
        <v>8.499999955555556E-3</v>
      </c>
      <c r="AD1270" s="77">
        <f t="shared" ref="AD1270" si="4259">1-(1-AC1270)^(1/12)</f>
        <v>7.1110795759765644E-4</v>
      </c>
      <c r="AE1270" s="77">
        <f t="shared" si="4144"/>
        <v>2.5000000000000001E-3</v>
      </c>
      <c r="AF1270" s="77">
        <f t="shared" ref="AF1270" si="4260">1-(1-AE1270)^(1/12)</f>
        <v>2.0857243058891584E-4</v>
      </c>
      <c r="AH1270" t="s">
        <v>175</v>
      </c>
      <c r="AI1270" t="s">
        <v>180</v>
      </c>
      <c r="AJ1270" s="197" t="str">
        <f t="shared" si="4135"/>
        <v>Lifecycle_Opportunity_359</v>
      </c>
      <c r="AK1270">
        <v>359</v>
      </c>
      <c r="AL1270">
        <f>VLOOKUP($U1270,[2]Standard_Opportunity!$Q$1:$T$542,2,FALSE)</f>
        <v>0.99999997777777772</v>
      </c>
      <c r="AM1270">
        <f>VLOOKUP($U1270,[2]Standard_Opportunity!$Q$1:$T$542,3,FALSE)</f>
        <v>2.2222222284540294E-8</v>
      </c>
      <c r="AN1270">
        <f>VLOOKUP($U1270,[2]Standard_Opportunity!$Q$1:$T$542,4,FALSE)</f>
        <v>0</v>
      </c>
      <c r="AO1270" s="77">
        <f t="shared" si="4136"/>
        <v>1</v>
      </c>
      <c r="AP1270" s="77">
        <f t="shared" si="4146"/>
        <v>6.4624999704999977E-2</v>
      </c>
      <c r="AQ1270" s="77">
        <f t="shared" si="4137"/>
        <v>5.2321923767311151E-3</v>
      </c>
      <c r="AR1270" s="79">
        <v>0</v>
      </c>
      <c r="AS1270" s="77">
        <f t="shared" si="4147"/>
        <v>0</v>
      </c>
      <c r="AT1270" s="77">
        <f t="shared" si="4148"/>
        <v>0</v>
      </c>
      <c r="AU1270" s="77">
        <f t="shared" si="4149"/>
        <v>2.5000000000000001E-3</v>
      </c>
      <c r="AV1270" s="77">
        <f t="shared" si="4150"/>
        <v>2.0809499864316017E-4</v>
      </c>
    </row>
    <row r="1271" spans="1:48">
      <c r="A1271" t="s">
        <v>175</v>
      </c>
      <c r="B1271" t="s">
        <v>180</v>
      </c>
      <c r="C1271" s="197" t="str">
        <f t="shared" si="4171"/>
        <v>Lifecycle_Opportunity_358</v>
      </c>
      <c r="D1271">
        <v>358</v>
      </c>
      <c r="E1271">
        <f>VLOOKUP($D1271,'[2]LC Opportunity'!$Q$2:$U$542,2,FALSE)</f>
        <v>0</v>
      </c>
      <c r="F1271">
        <f>VLOOKUP($D1271,'[2]LC Opportunity'!$Q$2:$U$542,3,FALSE)</f>
        <v>0</v>
      </c>
      <c r="G1271">
        <f>VLOOKUP($D1271,'[2]LC Opportunity'!$Q$2:$U$542,4,FALSE)</f>
        <v>0</v>
      </c>
      <c r="H1271">
        <f>VLOOKUP($D1271,'[2]LC Opportunity'!$Q$2:$U$542,5,FALSE)</f>
        <v>0.99999999999999989</v>
      </c>
      <c r="I1271" s="77">
        <f t="shared" si="4131"/>
        <v>0.99999999999999989</v>
      </c>
      <c r="J1271" s="77">
        <f t="shared" si="4132"/>
        <v>7.1999999999999981E-2</v>
      </c>
      <c r="K1271" s="77">
        <f t="shared" si="4176"/>
        <v>5.8106552987937654E-3</v>
      </c>
      <c r="L1271" s="76">
        <v>0</v>
      </c>
      <c r="M1271" s="77">
        <f t="shared" si="4138"/>
        <v>0</v>
      </c>
      <c r="N1271" s="77">
        <f t="shared" si="4139"/>
        <v>0</v>
      </c>
      <c r="O1271" s="77">
        <f t="shared" si="4140"/>
        <v>4.9999999999999992E-3</v>
      </c>
      <c r="P1271" s="77">
        <f t="shared" si="4141"/>
        <v>4.1762458919303302E-4</v>
      </c>
      <c r="R1271" t="s">
        <v>177</v>
      </c>
      <c r="S1271" t="s">
        <v>180</v>
      </c>
      <c r="T1271" s="197" t="str">
        <f t="shared" si="4172"/>
        <v>Autopilot_Opportunity_358</v>
      </c>
      <c r="U1271">
        <v>358</v>
      </c>
      <c r="V1271">
        <f>VLOOKUP($U1271,'[2]AP Opportunity'!$Q$1:$T$542,2,FALSE)</f>
        <v>0.99999997777777772</v>
      </c>
      <c r="W1271">
        <f>VLOOKUP($U1271,'[2]AP Opportunity'!$Q$1:$T$542,3,FALSE)</f>
        <v>2.2222222284540294E-8</v>
      </c>
      <c r="X1271">
        <f>VLOOKUP($U1271,'[2]AP Opportunity'!$Q$1:$T$542,4,FALSE)</f>
        <v>0</v>
      </c>
      <c r="Y1271" s="77">
        <f t="shared" si="4173"/>
        <v>1</v>
      </c>
      <c r="Z1271" s="77">
        <f t="shared" si="4177"/>
        <v>6.4624999704999977E-2</v>
      </c>
      <c r="AA1271" s="77">
        <f t="shared" si="4178"/>
        <v>5.2321923767311151E-3</v>
      </c>
      <c r="AB1271" s="79">
        <v>1</v>
      </c>
      <c r="AC1271" s="77">
        <f t="shared" si="4142"/>
        <v>8.499999955555556E-3</v>
      </c>
      <c r="AD1271" s="77">
        <f t="shared" ref="AD1271" si="4261">1-(1-AC1271)^(1/12)</f>
        <v>7.1110795759765644E-4</v>
      </c>
      <c r="AE1271" s="77">
        <f t="shared" si="4144"/>
        <v>2.5000000000000001E-3</v>
      </c>
      <c r="AF1271" s="77">
        <f t="shared" ref="AF1271" si="4262">1-(1-AE1271)^(1/12)</f>
        <v>2.0857243058891584E-4</v>
      </c>
      <c r="AH1271" t="s">
        <v>175</v>
      </c>
      <c r="AI1271" t="s">
        <v>180</v>
      </c>
      <c r="AJ1271" s="197" t="str">
        <f t="shared" si="4135"/>
        <v>Lifecycle_Opportunity_358</v>
      </c>
      <c r="AK1271">
        <v>358</v>
      </c>
      <c r="AL1271">
        <f>VLOOKUP($U1271,[2]Standard_Opportunity!$Q$1:$T$542,2,FALSE)</f>
        <v>0.99999997777777772</v>
      </c>
      <c r="AM1271">
        <f>VLOOKUP($U1271,[2]Standard_Opportunity!$Q$1:$T$542,3,FALSE)</f>
        <v>2.2222222284540294E-8</v>
      </c>
      <c r="AN1271">
        <f>VLOOKUP($U1271,[2]Standard_Opportunity!$Q$1:$T$542,4,FALSE)</f>
        <v>0</v>
      </c>
      <c r="AO1271" s="77">
        <f t="shared" si="4136"/>
        <v>1</v>
      </c>
      <c r="AP1271" s="77">
        <f t="shared" si="4146"/>
        <v>6.4624999704999977E-2</v>
      </c>
      <c r="AQ1271" s="77">
        <f t="shared" si="4137"/>
        <v>5.2321923767311151E-3</v>
      </c>
      <c r="AR1271" s="79">
        <v>0</v>
      </c>
      <c r="AS1271" s="77">
        <f t="shared" si="4147"/>
        <v>0</v>
      </c>
      <c r="AT1271" s="77">
        <f t="shared" si="4148"/>
        <v>0</v>
      </c>
      <c r="AU1271" s="77">
        <f t="shared" si="4149"/>
        <v>2.5000000000000001E-3</v>
      </c>
      <c r="AV1271" s="77">
        <f t="shared" si="4150"/>
        <v>2.0809499864316017E-4</v>
      </c>
    </row>
    <row r="1272" spans="1:48">
      <c r="A1272" t="s">
        <v>175</v>
      </c>
      <c r="B1272" t="s">
        <v>180</v>
      </c>
      <c r="C1272" s="197" t="str">
        <f t="shared" si="4171"/>
        <v>Lifecycle_Opportunity_357</v>
      </c>
      <c r="D1272">
        <v>357</v>
      </c>
      <c r="E1272">
        <f>VLOOKUP($D1272,'[2]LC Opportunity'!$Q$2:$U$542,2,FALSE)</f>
        <v>0</v>
      </c>
      <c r="F1272">
        <f>VLOOKUP($D1272,'[2]LC Opportunity'!$Q$2:$U$542,3,FALSE)</f>
        <v>0</v>
      </c>
      <c r="G1272">
        <f>VLOOKUP($D1272,'[2]LC Opportunity'!$Q$2:$U$542,4,FALSE)</f>
        <v>0</v>
      </c>
      <c r="H1272">
        <f>VLOOKUP($D1272,'[2]LC Opportunity'!$Q$2:$U$542,5,FALSE)</f>
        <v>0.99999999999999989</v>
      </c>
      <c r="I1272" s="77">
        <f t="shared" si="4131"/>
        <v>0.99999999999999989</v>
      </c>
      <c r="J1272" s="77">
        <f t="shared" si="4132"/>
        <v>7.1999999999999981E-2</v>
      </c>
      <c r="K1272" s="77">
        <f t="shared" si="4176"/>
        <v>5.8106552987937654E-3</v>
      </c>
      <c r="L1272" s="76">
        <v>0</v>
      </c>
      <c r="M1272" s="77">
        <f t="shared" si="4138"/>
        <v>0</v>
      </c>
      <c r="N1272" s="77">
        <f t="shared" si="4139"/>
        <v>0</v>
      </c>
      <c r="O1272" s="77">
        <f t="shared" si="4140"/>
        <v>4.9999999999999992E-3</v>
      </c>
      <c r="P1272" s="77">
        <f t="shared" si="4141"/>
        <v>4.1762458919303302E-4</v>
      </c>
      <c r="R1272" t="s">
        <v>177</v>
      </c>
      <c r="S1272" t="s">
        <v>180</v>
      </c>
      <c r="T1272" s="197" t="str">
        <f t="shared" si="4172"/>
        <v>Autopilot_Opportunity_357</v>
      </c>
      <c r="U1272">
        <v>357</v>
      </c>
      <c r="V1272">
        <f>VLOOKUP($U1272,'[2]AP Opportunity'!$Q$1:$T$542,2,FALSE)</f>
        <v>0.99999997777777772</v>
      </c>
      <c r="W1272">
        <f>VLOOKUP($U1272,'[2]AP Opportunity'!$Q$1:$T$542,3,FALSE)</f>
        <v>2.2222222284540294E-8</v>
      </c>
      <c r="X1272">
        <f>VLOOKUP($U1272,'[2]AP Opportunity'!$Q$1:$T$542,4,FALSE)</f>
        <v>0</v>
      </c>
      <c r="Y1272" s="77">
        <f t="shared" si="4173"/>
        <v>1</v>
      </c>
      <c r="Z1272" s="77">
        <f t="shared" si="4177"/>
        <v>6.4624999704999977E-2</v>
      </c>
      <c r="AA1272" s="77">
        <f t="shared" si="4178"/>
        <v>5.2321923767311151E-3</v>
      </c>
      <c r="AB1272" s="79">
        <v>1</v>
      </c>
      <c r="AC1272" s="77">
        <f t="shared" si="4142"/>
        <v>8.499999955555556E-3</v>
      </c>
      <c r="AD1272" s="77">
        <f t="shared" ref="AD1272" si="4263">1-(1-AC1272)^(1/12)</f>
        <v>7.1110795759765644E-4</v>
      </c>
      <c r="AE1272" s="77">
        <f t="shared" si="4144"/>
        <v>2.5000000000000001E-3</v>
      </c>
      <c r="AF1272" s="77">
        <f t="shared" ref="AF1272" si="4264">1-(1-AE1272)^(1/12)</f>
        <v>2.0857243058891584E-4</v>
      </c>
      <c r="AH1272" t="s">
        <v>175</v>
      </c>
      <c r="AI1272" t="s">
        <v>180</v>
      </c>
      <c r="AJ1272" s="197" t="str">
        <f t="shared" si="4135"/>
        <v>Lifecycle_Opportunity_357</v>
      </c>
      <c r="AK1272">
        <v>357</v>
      </c>
      <c r="AL1272">
        <f>VLOOKUP($U1272,[2]Standard_Opportunity!$Q$1:$T$542,2,FALSE)</f>
        <v>0.99999997777777772</v>
      </c>
      <c r="AM1272">
        <f>VLOOKUP($U1272,[2]Standard_Opportunity!$Q$1:$T$542,3,FALSE)</f>
        <v>2.2222222284540294E-8</v>
      </c>
      <c r="AN1272">
        <f>VLOOKUP($U1272,[2]Standard_Opportunity!$Q$1:$T$542,4,FALSE)</f>
        <v>0</v>
      </c>
      <c r="AO1272" s="77">
        <f t="shared" si="4136"/>
        <v>1</v>
      </c>
      <c r="AP1272" s="77">
        <f t="shared" si="4146"/>
        <v>6.4624999704999977E-2</v>
      </c>
      <c r="AQ1272" s="77">
        <f t="shared" si="4137"/>
        <v>5.2321923767311151E-3</v>
      </c>
      <c r="AR1272" s="79">
        <v>0</v>
      </c>
      <c r="AS1272" s="77">
        <f t="shared" si="4147"/>
        <v>0</v>
      </c>
      <c r="AT1272" s="77">
        <f t="shared" si="4148"/>
        <v>0</v>
      </c>
      <c r="AU1272" s="77">
        <f t="shared" si="4149"/>
        <v>2.5000000000000001E-3</v>
      </c>
      <c r="AV1272" s="77">
        <f t="shared" si="4150"/>
        <v>2.0809499864316017E-4</v>
      </c>
    </row>
    <row r="1273" spans="1:48">
      <c r="A1273" t="s">
        <v>175</v>
      </c>
      <c r="B1273" t="s">
        <v>180</v>
      </c>
      <c r="C1273" s="197" t="str">
        <f t="shared" si="4171"/>
        <v>Lifecycle_Opportunity_356</v>
      </c>
      <c r="D1273">
        <v>356</v>
      </c>
      <c r="E1273">
        <f>VLOOKUP($D1273,'[2]LC Opportunity'!$Q$2:$U$542,2,FALSE)</f>
        <v>0</v>
      </c>
      <c r="F1273">
        <f>VLOOKUP($D1273,'[2]LC Opportunity'!$Q$2:$U$542,3,FALSE)</f>
        <v>0</v>
      </c>
      <c r="G1273">
        <f>VLOOKUP($D1273,'[2]LC Opportunity'!$Q$2:$U$542,4,FALSE)</f>
        <v>0</v>
      </c>
      <c r="H1273">
        <f>VLOOKUP($D1273,'[2]LC Opportunity'!$Q$2:$U$542,5,FALSE)</f>
        <v>0.99999999999999989</v>
      </c>
      <c r="I1273" s="77">
        <f t="shared" si="4131"/>
        <v>0.99999999999999989</v>
      </c>
      <c r="J1273" s="77">
        <f t="shared" si="4132"/>
        <v>7.1999999999999981E-2</v>
      </c>
      <c r="K1273" s="77">
        <f t="shared" si="4176"/>
        <v>5.8106552987937654E-3</v>
      </c>
      <c r="L1273" s="76">
        <v>0</v>
      </c>
      <c r="M1273" s="77">
        <f t="shared" si="4138"/>
        <v>0</v>
      </c>
      <c r="N1273" s="77">
        <f t="shared" si="4139"/>
        <v>0</v>
      </c>
      <c r="O1273" s="77">
        <f t="shared" si="4140"/>
        <v>4.9999999999999992E-3</v>
      </c>
      <c r="P1273" s="77">
        <f t="shared" si="4141"/>
        <v>4.1762458919303302E-4</v>
      </c>
      <c r="R1273" t="s">
        <v>177</v>
      </c>
      <c r="S1273" t="s">
        <v>180</v>
      </c>
      <c r="T1273" s="197" t="str">
        <f t="shared" si="4172"/>
        <v>Autopilot_Opportunity_356</v>
      </c>
      <c r="U1273">
        <v>356</v>
      </c>
      <c r="V1273">
        <f>VLOOKUP($U1273,'[2]AP Opportunity'!$Q$1:$T$542,2,FALSE)</f>
        <v>0.99999997777777772</v>
      </c>
      <c r="W1273">
        <f>VLOOKUP($U1273,'[2]AP Opportunity'!$Q$1:$T$542,3,FALSE)</f>
        <v>2.2222222284540294E-8</v>
      </c>
      <c r="X1273">
        <f>VLOOKUP($U1273,'[2]AP Opportunity'!$Q$1:$T$542,4,FALSE)</f>
        <v>0</v>
      </c>
      <c r="Y1273" s="77">
        <f t="shared" si="4173"/>
        <v>1</v>
      </c>
      <c r="Z1273" s="77">
        <f t="shared" si="4177"/>
        <v>6.4624999704999977E-2</v>
      </c>
      <c r="AA1273" s="77">
        <f t="shared" si="4178"/>
        <v>5.2321923767311151E-3</v>
      </c>
      <c r="AB1273" s="79">
        <v>1</v>
      </c>
      <c r="AC1273" s="77">
        <f t="shared" si="4142"/>
        <v>8.499999955555556E-3</v>
      </c>
      <c r="AD1273" s="77">
        <f t="shared" ref="AD1273" si="4265">1-(1-AC1273)^(1/12)</f>
        <v>7.1110795759765644E-4</v>
      </c>
      <c r="AE1273" s="77">
        <f t="shared" si="4144"/>
        <v>2.5000000000000001E-3</v>
      </c>
      <c r="AF1273" s="77">
        <f t="shared" ref="AF1273" si="4266">1-(1-AE1273)^(1/12)</f>
        <v>2.0857243058891584E-4</v>
      </c>
      <c r="AH1273" t="s">
        <v>175</v>
      </c>
      <c r="AI1273" t="s">
        <v>180</v>
      </c>
      <c r="AJ1273" s="197" t="str">
        <f t="shared" si="4135"/>
        <v>Lifecycle_Opportunity_356</v>
      </c>
      <c r="AK1273">
        <v>356</v>
      </c>
      <c r="AL1273">
        <f>VLOOKUP($U1273,[2]Standard_Opportunity!$Q$1:$T$542,2,FALSE)</f>
        <v>0.99999997777777772</v>
      </c>
      <c r="AM1273">
        <f>VLOOKUP($U1273,[2]Standard_Opportunity!$Q$1:$T$542,3,FALSE)</f>
        <v>2.2222222284540294E-8</v>
      </c>
      <c r="AN1273">
        <f>VLOOKUP($U1273,[2]Standard_Opportunity!$Q$1:$T$542,4,FALSE)</f>
        <v>0</v>
      </c>
      <c r="AO1273" s="77">
        <f t="shared" si="4136"/>
        <v>1</v>
      </c>
      <c r="AP1273" s="77">
        <f t="shared" si="4146"/>
        <v>6.4624999704999977E-2</v>
      </c>
      <c r="AQ1273" s="77">
        <f t="shared" si="4137"/>
        <v>5.2321923767311151E-3</v>
      </c>
      <c r="AR1273" s="79">
        <v>0</v>
      </c>
      <c r="AS1273" s="77">
        <f t="shared" si="4147"/>
        <v>0</v>
      </c>
      <c r="AT1273" s="77">
        <f t="shared" si="4148"/>
        <v>0</v>
      </c>
      <c r="AU1273" s="77">
        <f t="shared" si="4149"/>
        <v>2.5000000000000001E-3</v>
      </c>
      <c r="AV1273" s="77">
        <f t="shared" si="4150"/>
        <v>2.0809499864316017E-4</v>
      </c>
    </row>
    <row r="1274" spans="1:48">
      <c r="A1274" t="s">
        <v>175</v>
      </c>
      <c r="B1274" t="s">
        <v>180</v>
      </c>
      <c r="C1274" s="197" t="str">
        <f t="shared" si="4171"/>
        <v>Lifecycle_Opportunity_355</v>
      </c>
      <c r="D1274">
        <v>355</v>
      </c>
      <c r="E1274">
        <f>VLOOKUP($D1274,'[2]LC Opportunity'!$Q$2:$U$542,2,FALSE)</f>
        <v>0</v>
      </c>
      <c r="F1274">
        <f>VLOOKUP($D1274,'[2]LC Opportunity'!$Q$2:$U$542,3,FALSE)</f>
        <v>0</v>
      </c>
      <c r="G1274">
        <f>VLOOKUP($D1274,'[2]LC Opportunity'!$Q$2:$U$542,4,FALSE)</f>
        <v>0</v>
      </c>
      <c r="H1274">
        <f>VLOOKUP($D1274,'[2]LC Opportunity'!$Q$2:$U$542,5,FALSE)</f>
        <v>0.99999999999999989</v>
      </c>
      <c r="I1274" s="77">
        <f t="shared" si="4131"/>
        <v>0.99999999999999989</v>
      </c>
      <c r="J1274" s="77">
        <f t="shared" si="4132"/>
        <v>7.1999999999999981E-2</v>
      </c>
      <c r="K1274" s="77">
        <f t="shared" si="4176"/>
        <v>5.8106552987937654E-3</v>
      </c>
      <c r="L1274" s="76">
        <v>0</v>
      </c>
      <c r="M1274" s="77">
        <f t="shared" si="4138"/>
        <v>0</v>
      </c>
      <c r="N1274" s="77">
        <f t="shared" si="4139"/>
        <v>0</v>
      </c>
      <c r="O1274" s="77">
        <f t="shared" si="4140"/>
        <v>4.9999999999999992E-3</v>
      </c>
      <c r="P1274" s="77">
        <f t="shared" si="4141"/>
        <v>4.1762458919303302E-4</v>
      </c>
      <c r="R1274" t="s">
        <v>177</v>
      </c>
      <c r="S1274" t="s">
        <v>180</v>
      </c>
      <c r="T1274" s="197" t="str">
        <f t="shared" si="4172"/>
        <v>Autopilot_Opportunity_355</v>
      </c>
      <c r="U1274">
        <v>355</v>
      </c>
      <c r="V1274">
        <f>VLOOKUP($U1274,'[2]AP Opportunity'!$Q$1:$T$542,2,FALSE)</f>
        <v>0.99999997777777772</v>
      </c>
      <c r="W1274">
        <f>VLOOKUP($U1274,'[2]AP Opportunity'!$Q$1:$T$542,3,FALSE)</f>
        <v>2.2222222284540294E-8</v>
      </c>
      <c r="X1274">
        <f>VLOOKUP($U1274,'[2]AP Opportunity'!$Q$1:$T$542,4,FALSE)</f>
        <v>0</v>
      </c>
      <c r="Y1274" s="77">
        <f t="shared" si="4173"/>
        <v>1</v>
      </c>
      <c r="Z1274" s="77">
        <f t="shared" si="4177"/>
        <v>6.4624999704999977E-2</v>
      </c>
      <c r="AA1274" s="77">
        <f t="shared" si="4178"/>
        <v>5.2321923767311151E-3</v>
      </c>
      <c r="AB1274" s="79">
        <v>1</v>
      </c>
      <c r="AC1274" s="77">
        <f t="shared" si="4142"/>
        <v>8.499999955555556E-3</v>
      </c>
      <c r="AD1274" s="77">
        <f t="shared" ref="AD1274" si="4267">1-(1-AC1274)^(1/12)</f>
        <v>7.1110795759765644E-4</v>
      </c>
      <c r="AE1274" s="77">
        <f t="shared" si="4144"/>
        <v>2.5000000000000001E-3</v>
      </c>
      <c r="AF1274" s="77">
        <f t="shared" ref="AF1274" si="4268">1-(1-AE1274)^(1/12)</f>
        <v>2.0857243058891584E-4</v>
      </c>
      <c r="AH1274" t="s">
        <v>175</v>
      </c>
      <c r="AI1274" t="s">
        <v>180</v>
      </c>
      <c r="AJ1274" s="197" t="str">
        <f t="shared" si="4135"/>
        <v>Lifecycle_Opportunity_355</v>
      </c>
      <c r="AK1274">
        <v>355</v>
      </c>
      <c r="AL1274">
        <f>VLOOKUP($U1274,[2]Standard_Opportunity!$Q$1:$T$542,2,FALSE)</f>
        <v>0.99999997777777772</v>
      </c>
      <c r="AM1274">
        <f>VLOOKUP($U1274,[2]Standard_Opportunity!$Q$1:$T$542,3,FALSE)</f>
        <v>2.2222222284540294E-8</v>
      </c>
      <c r="AN1274">
        <f>VLOOKUP($U1274,[2]Standard_Opportunity!$Q$1:$T$542,4,FALSE)</f>
        <v>0</v>
      </c>
      <c r="AO1274" s="77">
        <f t="shared" si="4136"/>
        <v>1</v>
      </c>
      <c r="AP1274" s="77">
        <f t="shared" si="4146"/>
        <v>6.4624999704999977E-2</v>
      </c>
      <c r="AQ1274" s="77">
        <f t="shared" si="4137"/>
        <v>5.2321923767311151E-3</v>
      </c>
      <c r="AR1274" s="79">
        <v>0</v>
      </c>
      <c r="AS1274" s="77">
        <f t="shared" si="4147"/>
        <v>0</v>
      </c>
      <c r="AT1274" s="77">
        <f t="shared" si="4148"/>
        <v>0</v>
      </c>
      <c r="AU1274" s="77">
        <f t="shared" si="4149"/>
        <v>2.5000000000000001E-3</v>
      </c>
      <c r="AV1274" s="77">
        <f t="shared" si="4150"/>
        <v>2.0809499864316017E-4</v>
      </c>
    </row>
    <row r="1275" spans="1:48">
      <c r="A1275" t="s">
        <v>175</v>
      </c>
      <c r="B1275" t="s">
        <v>180</v>
      </c>
      <c r="C1275" s="197" t="str">
        <f t="shared" si="4171"/>
        <v>Lifecycle_Opportunity_354</v>
      </c>
      <c r="D1275">
        <v>354</v>
      </c>
      <c r="E1275">
        <f>VLOOKUP($D1275,'[2]LC Opportunity'!$Q$2:$U$542,2,FALSE)</f>
        <v>0</v>
      </c>
      <c r="F1275">
        <f>VLOOKUP($D1275,'[2]LC Opportunity'!$Q$2:$U$542,3,FALSE)</f>
        <v>0</v>
      </c>
      <c r="G1275">
        <f>VLOOKUP($D1275,'[2]LC Opportunity'!$Q$2:$U$542,4,FALSE)</f>
        <v>0</v>
      </c>
      <c r="H1275">
        <f>VLOOKUP($D1275,'[2]LC Opportunity'!$Q$2:$U$542,5,FALSE)</f>
        <v>0.99999999999999989</v>
      </c>
      <c r="I1275" s="77">
        <f t="shared" si="4131"/>
        <v>0.99999999999999989</v>
      </c>
      <c r="J1275" s="77">
        <f t="shared" si="4132"/>
        <v>7.1999999999999981E-2</v>
      </c>
      <c r="K1275" s="77">
        <f t="shared" si="4176"/>
        <v>5.8106552987937654E-3</v>
      </c>
      <c r="L1275" s="76">
        <v>0</v>
      </c>
      <c r="M1275" s="77">
        <f t="shared" si="4138"/>
        <v>0</v>
      </c>
      <c r="N1275" s="77">
        <f t="shared" si="4139"/>
        <v>0</v>
      </c>
      <c r="O1275" s="77">
        <f t="shared" si="4140"/>
        <v>4.9999999999999992E-3</v>
      </c>
      <c r="P1275" s="77">
        <f t="shared" si="4141"/>
        <v>4.1762458919303302E-4</v>
      </c>
      <c r="R1275" t="s">
        <v>177</v>
      </c>
      <c r="S1275" t="s">
        <v>180</v>
      </c>
      <c r="T1275" s="197" t="str">
        <f t="shared" si="4172"/>
        <v>Autopilot_Opportunity_354</v>
      </c>
      <c r="U1275">
        <v>354</v>
      </c>
      <c r="V1275">
        <f>VLOOKUP($U1275,'[2]AP Opportunity'!$Q$1:$T$542,2,FALSE)</f>
        <v>0.99999997777777772</v>
      </c>
      <c r="W1275">
        <f>VLOOKUP($U1275,'[2]AP Opportunity'!$Q$1:$T$542,3,FALSE)</f>
        <v>2.2222222284540294E-8</v>
      </c>
      <c r="X1275">
        <f>VLOOKUP($U1275,'[2]AP Opportunity'!$Q$1:$T$542,4,FALSE)</f>
        <v>0</v>
      </c>
      <c r="Y1275" s="77">
        <f t="shared" si="4173"/>
        <v>1</v>
      </c>
      <c r="Z1275" s="77">
        <f t="shared" si="4177"/>
        <v>6.4624999704999977E-2</v>
      </c>
      <c r="AA1275" s="77">
        <f t="shared" si="4178"/>
        <v>5.2321923767311151E-3</v>
      </c>
      <c r="AB1275" s="79">
        <v>1</v>
      </c>
      <c r="AC1275" s="77">
        <f t="shared" si="4142"/>
        <v>8.499999955555556E-3</v>
      </c>
      <c r="AD1275" s="77">
        <f t="shared" ref="AD1275" si="4269">1-(1-AC1275)^(1/12)</f>
        <v>7.1110795759765644E-4</v>
      </c>
      <c r="AE1275" s="77">
        <f t="shared" si="4144"/>
        <v>2.5000000000000001E-3</v>
      </c>
      <c r="AF1275" s="77">
        <f t="shared" ref="AF1275" si="4270">1-(1-AE1275)^(1/12)</f>
        <v>2.0857243058891584E-4</v>
      </c>
      <c r="AH1275" t="s">
        <v>175</v>
      </c>
      <c r="AI1275" t="s">
        <v>180</v>
      </c>
      <c r="AJ1275" s="197" t="str">
        <f t="shared" si="4135"/>
        <v>Lifecycle_Opportunity_354</v>
      </c>
      <c r="AK1275">
        <v>354</v>
      </c>
      <c r="AL1275">
        <f>VLOOKUP($U1275,[2]Standard_Opportunity!$Q$1:$T$542,2,FALSE)</f>
        <v>0.99999997777777772</v>
      </c>
      <c r="AM1275">
        <f>VLOOKUP($U1275,[2]Standard_Opportunity!$Q$1:$T$542,3,FALSE)</f>
        <v>2.2222222284540294E-8</v>
      </c>
      <c r="AN1275">
        <f>VLOOKUP($U1275,[2]Standard_Opportunity!$Q$1:$T$542,4,FALSE)</f>
        <v>0</v>
      </c>
      <c r="AO1275" s="77">
        <f t="shared" si="4136"/>
        <v>1</v>
      </c>
      <c r="AP1275" s="77">
        <f t="shared" si="4146"/>
        <v>6.4624999704999977E-2</v>
      </c>
      <c r="AQ1275" s="77">
        <f t="shared" si="4137"/>
        <v>5.2321923767311151E-3</v>
      </c>
      <c r="AR1275" s="79">
        <v>0</v>
      </c>
      <c r="AS1275" s="77">
        <f t="shared" si="4147"/>
        <v>0</v>
      </c>
      <c r="AT1275" s="77">
        <f t="shared" si="4148"/>
        <v>0</v>
      </c>
      <c r="AU1275" s="77">
        <f t="shared" si="4149"/>
        <v>2.5000000000000001E-3</v>
      </c>
      <c r="AV1275" s="77">
        <f t="shared" si="4150"/>
        <v>2.0809499864316017E-4</v>
      </c>
    </row>
    <row r="1276" spans="1:48">
      <c r="A1276" t="s">
        <v>175</v>
      </c>
      <c r="B1276" t="s">
        <v>180</v>
      </c>
      <c r="C1276" s="197" t="str">
        <f t="shared" si="4171"/>
        <v>Lifecycle_Opportunity_353</v>
      </c>
      <c r="D1276">
        <v>353</v>
      </c>
      <c r="E1276">
        <f>VLOOKUP($D1276,'[2]LC Opportunity'!$Q$2:$U$542,2,FALSE)</f>
        <v>0</v>
      </c>
      <c r="F1276">
        <f>VLOOKUP($D1276,'[2]LC Opportunity'!$Q$2:$U$542,3,FALSE)</f>
        <v>0</v>
      </c>
      <c r="G1276">
        <f>VLOOKUP($D1276,'[2]LC Opportunity'!$Q$2:$U$542,4,FALSE)</f>
        <v>0</v>
      </c>
      <c r="H1276">
        <f>VLOOKUP($D1276,'[2]LC Opportunity'!$Q$2:$U$542,5,FALSE)</f>
        <v>0.99999999999999989</v>
      </c>
      <c r="I1276" s="77">
        <f t="shared" si="4131"/>
        <v>0.99999999999999989</v>
      </c>
      <c r="J1276" s="77">
        <f t="shared" si="4132"/>
        <v>7.1999999999999981E-2</v>
      </c>
      <c r="K1276" s="77">
        <f t="shared" si="4176"/>
        <v>5.8106552987937654E-3</v>
      </c>
      <c r="L1276" s="76">
        <v>0</v>
      </c>
      <c r="M1276" s="77">
        <f t="shared" si="4138"/>
        <v>0</v>
      </c>
      <c r="N1276" s="77">
        <f t="shared" si="4139"/>
        <v>0</v>
      </c>
      <c r="O1276" s="77">
        <f t="shared" si="4140"/>
        <v>4.9999999999999992E-3</v>
      </c>
      <c r="P1276" s="77">
        <f t="shared" si="4141"/>
        <v>4.1762458919303302E-4</v>
      </c>
      <c r="R1276" t="s">
        <v>177</v>
      </c>
      <c r="S1276" t="s">
        <v>180</v>
      </c>
      <c r="T1276" s="197" t="str">
        <f t="shared" si="4172"/>
        <v>Autopilot_Opportunity_353</v>
      </c>
      <c r="U1276">
        <v>353</v>
      </c>
      <c r="V1276">
        <f>VLOOKUP($U1276,'[2]AP Opportunity'!$Q$1:$T$542,2,FALSE)</f>
        <v>0.99999997777777772</v>
      </c>
      <c r="W1276">
        <f>VLOOKUP($U1276,'[2]AP Opportunity'!$Q$1:$T$542,3,FALSE)</f>
        <v>2.2222222284540294E-8</v>
      </c>
      <c r="X1276">
        <f>VLOOKUP($U1276,'[2]AP Opportunity'!$Q$1:$T$542,4,FALSE)</f>
        <v>0</v>
      </c>
      <c r="Y1276" s="77">
        <f t="shared" si="4173"/>
        <v>1</v>
      </c>
      <c r="Z1276" s="77">
        <f t="shared" si="4177"/>
        <v>6.4624999704999977E-2</v>
      </c>
      <c r="AA1276" s="77">
        <f t="shared" si="4178"/>
        <v>5.2321923767311151E-3</v>
      </c>
      <c r="AB1276" s="79">
        <v>1</v>
      </c>
      <c r="AC1276" s="77">
        <f t="shared" si="4142"/>
        <v>8.499999955555556E-3</v>
      </c>
      <c r="AD1276" s="77">
        <f t="shared" ref="AD1276" si="4271">1-(1-AC1276)^(1/12)</f>
        <v>7.1110795759765644E-4</v>
      </c>
      <c r="AE1276" s="77">
        <f t="shared" si="4144"/>
        <v>2.5000000000000001E-3</v>
      </c>
      <c r="AF1276" s="77">
        <f t="shared" ref="AF1276" si="4272">1-(1-AE1276)^(1/12)</f>
        <v>2.0857243058891584E-4</v>
      </c>
      <c r="AH1276" t="s">
        <v>175</v>
      </c>
      <c r="AI1276" t="s">
        <v>180</v>
      </c>
      <c r="AJ1276" s="197" t="str">
        <f t="shared" si="4135"/>
        <v>Lifecycle_Opportunity_353</v>
      </c>
      <c r="AK1276">
        <v>353</v>
      </c>
      <c r="AL1276">
        <f>VLOOKUP($U1276,[2]Standard_Opportunity!$Q$1:$T$542,2,FALSE)</f>
        <v>0.99999997777777772</v>
      </c>
      <c r="AM1276">
        <f>VLOOKUP($U1276,[2]Standard_Opportunity!$Q$1:$T$542,3,FALSE)</f>
        <v>2.2222222284540294E-8</v>
      </c>
      <c r="AN1276">
        <f>VLOOKUP($U1276,[2]Standard_Opportunity!$Q$1:$T$542,4,FALSE)</f>
        <v>0</v>
      </c>
      <c r="AO1276" s="77">
        <f t="shared" si="4136"/>
        <v>1</v>
      </c>
      <c r="AP1276" s="77">
        <f t="shared" si="4146"/>
        <v>6.4624999704999977E-2</v>
      </c>
      <c r="AQ1276" s="77">
        <f t="shared" si="4137"/>
        <v>5.2321923767311151E-3</v>
      </c>
      <c r="AR1276" s="79">
        <v>0</v>
      </c>
      <c r="AS1276" s="77">
        <f t="shared" si="4147"/>
        <v>0</v>
      </c>
      <c r="AT1276" s="77">
        <f t="shared" si="4148"/>
        <v>0</v>
      </c>
      <c r="AU1276" s="77">
        <f t="shared" si="4149"/>
        <v>2.5000000000000001E-3</v>
      </c>
      <c r="AV1276" s="77">
        <f t="shared" si="4150"/>
        <v>2.0809499864316017E-4</v>
      </c>
    </row>
    <row r="1277" spans="1:48">
      <c r="A1277" t="s">
        <v>175</v>
      </c>
      <c r="B1277" t="s">
        <v>180</v>
      </c>
      <c r="C1277" s="197" t="str">
        <f t="shared" si="4171"/>
        <v>Lifecycle_Opportunity_352</v>
      </c>
      <c r="D1277">
        <v>352</v>
      </c>
      <c r="E1277">
        <f>VLOOKUP($D1277,'[2]LC Opportunity'!$Q$2:$U$542,2,FALSE)</f>
        <v>0</v>
      </c>
      <c r="F1277">
        <f>VLOOKUP($D1277,'[2]LC Opportunity'!$Q$2:$U$542,3,FALSE)</f>
        <v>0</v>
      </c>
      <c r="G1277">
        <f>VLOOKUP($D1277,'[2]LC Opportunity'!$Q$2:$U$542,4,FALSE)</f>
        <v>0</v>
      </c>
      <c r="H1277">
        <f>VLOOKUP($D1277,'[2]LC Opportunity'!$Q$2:$U$542,5,FALSE)</f>
        <v>0.99999999999999989</v>
      </c>
      <c r="I1277" s="77">
        <f t="shared" si="4131"/>
        <v>0.99999999999999989</v>
      </c>
      <c r="J1277" s="77">
        <f t="shared" si="4132"/>
        <v>7.1999999999999981E-2</v>
      </c>
      <c r="K1277" s="77">
        <f t="shared" si="4176"/>
        <v>5.8106552987937654E-3</v>
      </c>
      <c r="L1277" s="76">
        <v>0</v>
      </c>
      <c r="M1277" s="77">
        <f t="shared" si="4138"/>
        <v>0</v>
      </c>
      <c r="N1277" s="77">
        <f t="shared" si="4139"/>
        <v>0</v>
      </c>
      <c r="O1277" s="77">
        <f t="shared" si="4140"/>
        <v>4.9999999999999992E-3</v>
      </c>
      <c r="P1277" s="77">
        <f t="shared" si="4141"/>
        <v>4.1762458919303302E-4</v>
      </c>
      <c r="R1277" t="s">
        <v>177</v>
      </c>
      <c r="S1277" t="s">
        <v>180</v>
      </c>
      <c r="T1277" s="197" t="str">
        <f t="shared" si="4172"/>
        <v>Autopilot_Opportunity_352</v>
      </c>
      <c r="U1277">
        <v>352</v>
      </c>
      <c r="V1277">
        <f>VLOOKUP($U1277,'[2]AP Opportunity'!$Q$1:$T$542,2,FALSE)</f>
        <v>0.99999997777777772</v>
      </c>
      <c r="W1277">
        <f>VLOOKUP($U1277,'[2]AP Opportunity'!$Q$1:$T$542,3,FALSE)</f>
        <v>2.2222222284540294E-8</v>
      </c>
      <c r="X1277">
        <f>VLOOKUP($U1277,'[2]AP Opportunity'!$Q$1:$T$542,4,FALSE)</f>
        <v>0</v>
      </c>
      <c r="Y1277" s="77">
        <f t="shared" si="4173"/>
        <v>1</v>
      </c>
      <c r="Z1277" s="77">
        <f t="shared" si="4177"/>
        <v>6.4624999704999977E-2</v>
      </c>
      <c r="AA1277" s="77">
        <f t="shared" si="4178"/>
        <v>5.2321923767311151E-3</v>
      </c>
      <c r="AB1277" s="79">
        <v>1</v>
      </c>
      <c r="AC1277" s="77">
        <f t="shared" si="4142"/>
        <v>8.499999955555556E-3</v>
      </c>
      <c r="AD1277" s="77">
        <f t="shared" ref="AD1277" si="4273">1-(1-AC1277)^(1/12)</f>
        <v>7.1110795759765644E-4</v>
      </c>
      <c r="AE1277" s="77">
        <f t="shared" si="4144"/>
        <v>2.5000000000000001E-3</v>
      </c>
      <c r="AF1277" s="77">
        <f t="shared" ref="AF1277" si="4274">1-(1-AE1277)^(1/12)</f>
        <v>2.0857243058891584E-4</v>
      </c>
      <c r="AH1277" t="s">
        <v>175</v>
      </c>
      <c r="AI1277" t="s">
        <v>180</v>
      </c>
      <c r="AJ1277" s="197" t="str">
        <f t="shared" si="4135"/>
        <v>Lifecycle_Opportunity_352</v>
      </c>
      <c r="AK1277">
        <v>352</v>
      </c>
      <c r="AL1277">
        <f>VLOOKUP($U1277,[2]Standard_Opportunity!$Q$1:$T$542,2,FALSE)</f>
        <v>0.99999997777777772</v>
      </c>
      <c r="AM1277">
        <f>VLOOKUP($U1277,[2]Standard_Opportunity!$Q$1:$T$542,3,FALSE)</f>
        <v>2.2222222284540294E-8</v>
      </c>
      <c r="AN1277">
        <f>VLOOKUP($U1277,[2]Standard_Opportunity!$Q$1:$T$542,4,FALSE)</f>
        <v>0</v>
      </c>
      <c r="AO1277" s="77">
        <f t="shared" si="4136"/>
        <v>1</v>
      </c>
      <c r="AP1277" s="77">
        <f t="shared" si="4146"/>
        <v>6.4624999704999977E-2</v>
      </c>
      <c r="AQ1277" s="77">
        <f t="shared" si="4137"/>
        <v>5.2321923767311151E-3</v>
      </c>
      <c r="AR1277" s="79">
        <v>0</v>
      </c>
      <c r="AS1277" s="77">
        <f t="shared" si="4147"/>
        <v>0</v>
      </c>
      <c r="AT1277" s="77">
        <f t="shared" si="4148"/>
        <v>0</v>
      </c>
      <c r="AU1277" s="77">
        <f t="shared" si="4149"/>
        <v>2.5000000000000001E-3</v>
      </c>
      <c r="AV1277" s="77">
        <f t="shared" si="4150"/>
        <v>2.0809499864316017E-4</v>
      </c>
    </row>
    <row r="1278" spans="1:48">
      <c r="A1278" t="s">
        <v>175</v>
      </c>
      <c r="B1278" t="s">
        <v>180</v>
      </c>
      <c r="C1278" s="197" t="str">
        <f t="shared" si="4171"/>
        <v>Lifecycle_Opportunity_351</v>
      </c>
      <c r="D1278">
        <v>351</v>
      </c>
      <c r="E1278">
        <f>VLOOKUP($D1278,'[2]LC Opportunity'!$Q$2:$U$542,2,FALSE)</f>
        <v>0</v>
      </c>
      <c r="F1278">
        <f>VLOOKUP($D1278,'[2]LC Opportunity'!$Q$2:$U$542,3,FALSE)</f>
        <v>0</v>
      </c>
      <c r="G1278">
        <f>VLOOKUP($D1278,'[2]LC Opportunity'!$Q$2:$U$542,4,FALSE)</f>
        <v>0</v>
      </c>
      <c r="H1278">
        <f>VLOOKUP($D1278,'[2]LC Opportunity'!$Q$2:$U$542,5,FALSE)</f>
        <v>0.99999999999999989</v>
      </c>
      <c r="I1278" s="77">
        <f t="shared" si="4131"/>
        <v>0.99999999999999989</v>
      </c>
      <c r="J1278" s="77">
        <f t="shared" si="4132"/>
        <v>7.1999999999999981E-2</v>
      </c>
      <c r="K1278" s="77">
        <f t="shared" si="4176"/>
        <v>5.8106552987937654E-3</v>
      </c>
      <c r="L1278" s="76">
        <v>0</v>
      </c>
      <c r="M1278" s="77">
        <f t="shared" si="4138"/>
        <v>0</v>
      </c>
      <c r="N1278" s="77">
        <f t="shared" si="4139"/>
        <v>0</v>
      </c>
      <c r="O1278" s="77">
        <f t="shared" si="4140"/>
        <v>4.9999999999999992E-3</v>
      </c>
      <c r="P1278" s="77">
        <f t="shared" si="4141"/>
        <v>4.1762458919303302E-4</v>
      </c>
      <c r="R1278" t="s">
        <v>177</v>
      </c>
      <c r="S1278" t="s">
        <v>180</v>
      </c>
      <c r="T1278" s="197" t="str">
        <f t="shared" si="4172"/>
        <v>Autopilot_Opportunity_351</v>
      </c>
      <c r="U1278">
        <v>351</v>
      </c>
      <c r="V1278">
        <f>VLOOKUP($U1278,'[2]AP Opportunity'!$Q$1:$T$542,2,FALSE)</f>
        <v>0.99999997777777772</v>
      </c>
      <c r="W1278">
        <f>VLOOKUP($U1278,'[2]AP Opportunity'!$Q$1:$T$542,3,FALSE)</f>
        <v>2.2222222284540294E-8</v>
      </c>
      <c r="X1278">
        <f>VLOOKUP($U1278,'[2]AP Opportunity'!$Q$1:$T$542,4,FALSE)</f>
        <v>0</v>
      </c>
      <c r="Y1278" s="77">
        <f t="shared" si="4173"/>
        <v>1</v>
      </c>
      <c r="Z1278" s="77">
        <f t="shared" si="4177"/>
        <v>6.4624999704999977E-2</v>
      </c>
      <c r="AA1278" s="77">
        <f t="shared" si="4178"/>
        <v>5.2321923767311151E-3</v>
      </c>
      <c r="AB1278" s="79">
        <v>1</v>
      </c>
      <c r="AC1278" s="77">
        <f t="shared" si="4142"/>
        <v>8.499999955555556E-3</v>
      </c>
      <c r="AD1278" s="77">
        <f t="shared" ref="AD1278" si="4275">1-(1-AC1278)^(1/12)</f>
        <v>7.1110795759765644E-4</v>
      </c>
      <c r="AE1278" s="77">
        <f t="shared" si="4144"/>
        <v>2.5000000000000001E-3</v>
      </c>
      <c r="AF1278" s="77">
        <f t="shared" ref="AF1278" si="4276">1-(1-AE1278)^(1/12)</f>
        <v>2.0857243058891584E-4</v>
      </c>
      <c r="AH1278" t="s">
        <v>175</v>
      </c>
      <c r="AI1278" t="s">
        <v>180</v>
      </c>
      <c r="AJ1278" s="197" t="str">
        <f t="shared" si="4135"/>
        <v>Lifecycle_Opportunity_351</v>
      </c>
      <c r="AK1278">
        <v>351</v>
      </c>
      <c r="AL1278">
        <f>VLOOKUP($U1278,[2]Standard_Opportunity!$Q$1:$T$542,2,FALSE)</f>
        <v>0.99999997777777772</v>
      </c>
      <c r="AM1278">
        <f>VLOOKUP($U1278,[2]Standard_Opportunity!$Q$1:$T$542,3,FALSE)</f>
        <v>2.2222222284540294E-8</v>
      </c>
      <c r="AN1278">
        <f>VLOOKUP($U1278,[2]Standard_Opportunity!$Q$1:$T$542,4,FALSE)</f>
        <v>0</v>
      </c>
      <c r="AO1278" s="77">
        <f t="shared" si="4136"/>
        <v>1</v>
      </c>
      <c r="AP1278" s="77">
        <f t="shared" si="4146"/>
        <v>6.4624999704999977E-2</v>
      </c>
      <c r="AQ1278" s="77">
        <f t="shared" si="4137"/>
        <v>5.2321923767311151E-3</v>
      </c>
      <c r="AR1278" s="79">
        <v>0</v>
      </c>
      <c r="AS1278" s="77">
        <f t="shared" si="4147"/>
        <v>0</v>
      </c>
      <c r="AT1278" s="77">
        <f t="shared" si="4148"/>
        <v>0</v>
      </c>
      <c r="AU1278" s="77">
        <f t="shared" si="4149"/>
        <v>2.5000000000000001E-3</v>
      </c>
      <c r="AV1278" s="77">
        <f t="shared" si="4150"/>
        <v>2.0809499864316017E-4</v>
      </c>
    </row>
    <row r="1279" spans="1:48">
      <c r="A1279" t="s">
        <v>175</v>
      </c>
      <c r="B1279" t="s">
        <v>180</v>
      </c>
      <c r="C1279" s="197" t="str">
        <f t="shared" si="4171"/>
        <v>Lifecycle_Opportunity_350</v>
      </c>
      <c r="D1279">
        <v>350</v>
      </c>
      <c r="E1279">
        <f>VLOOKUP($D1279,'[2]LC Opportunity'!$Q$2:$U$542,2,FALSE)</f>
        <v>0</v>
      </c>
      <c r="F1279">
        <f>VLOOKUP($D1279,'[2]LC Opportunity'!$Q$2:$U$542,3,FALSE)</f>
        <v>0</v>
      </c>
      <c r="G1279">
        <f>VLOOKUP($D1279,'[2]LC Opportunity'!$Q$2:$U$542,4,FALSE)</f>
        <v>0</v>
      </c>
      <c r="H1279">
        <f>VLOOKUP($D1279,'[2]LC Opportunity'!$Q$2:$U$542,5,FALSE)</f>
        <v>0.99999999999999989</v>
      </c>
      <c r="I1279" s="77">
        <f t="shared" si="4131"/>
        <v>0.99999999999999989</v>
      </c>
      <c r="J1279" s="77">
        <f t="shared" si="4132"/>
        <v>7.1999999999999981E-2</v>
      </c>
      <c r="K1279" s="77">
        <f t="shared" si="4176"/>
        <v>5.8106552987937654E-3</v>
      </c>
      <c r="L1279" s="76">
        <v>0</v>
      </c>
      <c r="M1279" s="77">
        <f t="shared" si="4138"/>
        <v>0</v>
      </c>
      <c r="N1279" s="77">
        <f t="shared" si="4139"/>
        <v>0</v>
      </c>
      <c r="O1279" s="77">
        <f t="shared" si="4140"/>
        <v>4.9999999999999992E-3</v>
      </c>
      <c r="P1279" s="77">
        <f t="shared" si="4141"/>
        <v>4.1762458919303302E-4</v>
      </c>
      <c r="R1279" t="s">
        <v>177</v>
      </c>
      <c r="S1279" t="s">
        <v>180</v>
      </c>
      <c r="T1279" s="197" t="str">
        <f t="shared" si="4172"/>
        <v>Autopilot_Opportunity_350</v>
      </c>
      <c r="U1279">
        <v>350</v>
      </c>
      <c r="V1279">
        <f>VLOOKUP($U1279,'[2]AP Opportunity'!$Q$1:$T$542,2,FALSE)</f>
        <v>0.99999997777777772</v>
      </c>
      <c r="W1279">
        <f>VLOOKUP($U1279,'[2]AP Opportunity'!$Q$1:$T$542,3,FALSE)</f>
        <v>2.2222222284540294E-8</v>
      </c>
      <c r="X1279">
        <f>VLOOKUP($U1279,'[2]AP Opportunity'!$Q$1:$T$542,4,FALSE)</f>
        <v>0</v>
      </c>
      <c r="Y1279" s="77">
        <f t="shared" si="4173"/>
        <v>1</v>
      </c>
      <c r="Z1279" s="77">
        <f t="shared" si="4177"/>
        <v>6.4624999704999977E-2</v>
      </c>
      <c r="AA1279" s="77">
        <f t="shared" si="4178"/>
        <v>5.2321923767311151E-3</v>
      </c>
      <c r="AB1279" s="79">
        <v>1</v>
      </c>
      <c r="AC1279" s="77">
        <f t="shared" si="4142"/>
        <v>8.499999955555556E-3</v>
      </c>
      <c r="AD1279" s="77">
        <f t="shared" ref="AD1279" si="4277">1-(1-AC1279)^(1/12)</f>
        <v>7.1110795759765644E-4</v>
      </c>
      <c r="AE1279" s="77">
        <f t="shared" si="4144"/>
        <v>2.5000000000000001E-3</v>
      </c>
      <c r="AF1279" s="77">
        <f t="shared" ref="AF1279" si="4278">1-(1-AE1279)^(1/12)</f>
        <v>2.0857243058891584E-4</v>
      </c>
      <c r="AH1279" t="s">
        <v>175</v>
      </c>
      <c r="AI1279" t="s">
        <v>180</v>
      </c>
      <c r="AJ1279" s="197" t="str">
        <f t="shared" si="4135"/>
        <v>Lifecycle_Opportunity_350</v>
      </c>
      <c r="AK1279">
        <v>350</v>
      </c>
      <c r="AL1279">
        <f>VLOOKUP($U1279,[2]Standard_Opportunity!$Q$1:$T$542,2,FALSE)</f>
        <v>0.99999997777777772</v>
      </c>
      <c r="AM1279">
        <f>VLOOKUP($U1279,[2]Standard_Opportunity!$Q$1:$T$542,3,FALSE)</f>
        <v>2.2222222284540294E-8</v>
      </c>
      <c r="AN1279">
        <f>VLOOKUP($U1279,[2]Standard_Opportunity!$Q$1:$T$542,4,FALSE)</f>
        <v>0</v>
      </c>
      <c r="AO1279" s="77">
        <f t="shared" si="4136"/>
        <v>1</v>
      </c>
      <c r="AP1279" s="77">
        <f t="shared" si="4146"/>
        <v>6.4624999704999977E-2</v>
      </c>
      <c r="AQ1279" s="77">
        <f t="shared" si="4137"/>
        <v>5.2321923767311151E-3</v>
      </c>
      <c r="AR1279" s="79">
        <v>0</v>
      </c>
      <c r="AS1279" s="77">
        <f t="shared" si="4147"/>
        <v>0</v>
      </c>
      <c r="AT1279" s="77">
        <f t="shared" si="4148"/>
        <v>0</v>
      </c>
      <c r="AU1279" s="77">
        <f t="shared" si="4149"/>
        <v>2.5000000000000001E-3</v>
      </c>
      <c r="AV1279" s="77">
        <f t="shared" si="4150"/>
        <v>2.0809499864316017E-4</v>
      </c>
    </row>
    <row r="1280" spans="1:48">
      <c r="A1280" t="s">
        <v>175</v>
      </c>
      <c r="B1280" t="s">
        <v>180</v>
      </c>
      <c r="C1280" s="197" t="str">
        <f t="shared" si="4171"/>
        <v>Lifecycle_Opportunity_349</v>
      </c>
      <c r="D1280">
        <v>349</v>
      </c>
      <c r="E1280">
        <f>VLOOKUP($D1280,'[2]LC Opportunity'!$Q$2:$U$542,2,FALSE)</f>
        <v>0</v>
      </c>
      <c r="F1280">
        <f>VLOOKUP($D1280,'[2]LC Opportunity'!$Q$2:$U$542,3,FALSE)</f>
        <v>0</v>
      </c>
      <c r="G1280">
        <f>VLOOKUP($D1280,'[2]LC Opportunity'!$Q$2:$U$542,4,FALSE)</f>
        <v>0</v>
      </c>
      <c r="H1280">
        <f>VLOOKUP($D1280,'[2]LC Opportunity'!$Q$2:$U$542,5,FALSE)</f>
        <v>0.99999999999999989</v>
      </c>
      <c r="I1280" s="77">
        <f t="shared" si="4131"/>
        <v>0.99999999999999989</v>
      </c>
      <c r="J1280" s="77">
        <f t="shared" si="4132"/>
        <v>7.1999999999999981E-2</v>
      </c>
      <c r="K1280" s="77">
        <f t="shared" si="4176"/>
        <v>5.8106552987937654E-3</v>
      </c>
      <c r="L1280" s="76">
        <v>0</v>
      </c>
      <c r="M1280" s="77">
        <f t="shared" si="4138"/>
        <v>0</v>
      </c>
      <c r="N1280" s="77">
        <f t="shared" si="4139"/>
        <v>0</v>
      </c>
      <c r="O1280" s="77">
        <f t="shared" si="4140"/>
        <v>4.9999999999999992E-3</v>
      </c>
      <c r="P1280" s="77">
        <f t="shared" si="4141"/>
        <v>4.1762458919303302E-4</v>
      </c>
      <c r="R1280" t="s">
        <v>177</v>
      </c>
      <c r="S1280" t="s">
        <v>180</v>
      </c>
      <c r="T1280" s="197" t="str">
        <f t="shared" si="4172"/>
        <v>Autopilot_Opportunity_349</v>
      </c>
      <c r="U1280">
        <v>349</v>
      </c>
      <c r="V1280">
        <f>VLOOKUP($U1280,'[2]AP Opportunity'!$Q$1:$T$542,2,FALSE)</f>
        <v>0.99999997777777772</v>
      </c>
      <c r="W1280">
        <f>VLOOKUP($U1280,'[2]AP Opportunity'!$Q$1:$T$542,3,FALSE)</f>
        <v>2.2222222284540294E-8</v>
      </c>
      <c r="X1280">
        <f>VLOOKUP($U1280,'[2]AP Opportunity'!$Q$1:$T$542,4,FALSE)</f>
        <v>0</v>
      </c>
      <c r="Y1280" s="77">
        <f t="shared" si="4173"/>
        <v>1</v>
      </c>
      <c r="Z1280" s="77">
        <f t="shared" si="4177"/>
        <v>6.4624999704999977E-2</v>
      </c>
      <c r="AA1280" s="77">
        <f t="shared" si="4178"/>
        <v>5.2321923767311151E-3</v>
      </c>
      <c r="AB1280" s="79">
        <v>1</v>
      </c>
      <c r="AC1280" s="77">
        <f t="shared" si="4142"/>
        <v>8.499999955555556E-3</v>
      </c>
      <c r="AD1280" s="77">
        <f t="shared" ref="AD1280" si="4279">1-(1-AC1280)^(1/12)</f>
        <v>7.1110795759765644E-4</v>
      </c>
      <c r="AE1280" s="77">
        <f t="shared" si="4144"/>
        <v>2.5000000000000001E-3</v>
      </c>
      <c r="AF1280" s="77">
        <f t="shared" ref="AF1280" si="4280">1-(1-AE1280)^(1/12)</f>
        <v>2.0857243058891584E-4</v>
      </c>
      <c r="AH1280" t="s">
        <v>175</v>
      </c>
      <c r="AI1280" t="s">
        <v>180</v>
      </c>
      <c r="AJ1280" s="197" t="str">
        <f t="shared" si="4135"/>
        <v>Lifecycle_Opportunity_349</v>
      </c>
      <c r="AK1280">
        <v>349</v>
      </c>
      <c r="AL1280">
        <f>VLOOKUP($U1280,[2]Standard_Opportunity!$Q$1:$T$542,2,FALSE)</f>
        <v>0.99999997777777772</v>
      </c>
      <c r="AM1280">
        <f>VLOOKUP($U1280,[2]Standard_Opportunity!$Q$1:$T$542,3,FALSE)</f>
        <v>2.2222222284540294E-8</v>
      </c>
      <c r="AN1280">
        <f>VLOOKUP($U1280,[2]Standard_Opportunity!$Q$1:$T$542,4,FALSE)</f>
        <v>0</v>
      </c>
      <c r="AO1280" s="77">
        <f t="shared" si="4136"/>
        <v>1</v>
      </c>
      <c r="AP1280" s="77">
        <f t="shared" si="4146"/>
        <v>6.4624999704999977E-2</v>
      </c>
      <c r="AQ1280" s="77">
        <f t="shared" si="4137"/>
        <v>5.2321923767311151E-3</v>
      </c>
      <c r="AR1280" s="79">
        <v>0</v>
      </c>
      <c r="AS1280" s="77">
        <f t="shared" si="4147"/>
        <v>0</v>
      </c>
      <c r="AT1280" s="77">
        <f t="shared" si="4148"/>
        <v>0</v>
      </c>
      <c r="AU1280" s="77">
        <f t="shared" si="4149"/>
        <v>2.5000000000000001E-3</v>
      </c>
      <c r="AV1280" s="77">
        <f t="shared" si="4150"/>
        <v>2.0809499864316017E-4</v>
      </c>
    </row>
    <row r="1281" spans="1:48">
      <c r="A1281" t="s">
        <v>175</v>
      </c>
      <c r="B1281" t="s">
        <v>180</v>
      </c>
      <c r="C1281" s="197" t="str">
        <f t="shared" si="4171"/>
        <v>Lifecycle_Opportunity_348</v>
      </c>
      <c r="D1281">
        <v>348</v>
      </c>
      <c r="E1281">
        <f>VLOOKUP($D1281,'[2]LC Opportunity'!$Q$2:$U$542,2,FALSE)</f>
        <v>0</v>
      </c>
      <c r="F1281">
        <f>VLOOKUP($D1281,'[2]LC Opportunity'!$Q$2:$U$542,3,FALSE)</f>
        <v>0</v>
      </c>
      <c r="G1281">
        <f>VLOOKUP($D1281,'[2]LC Opportunity'!$Q$2:$U$542,4,FALSE)</f>
        <v>0</v>
      </c>
      <c r="H1281">
        <f>VLOOKUP($D1281,'[2]LC Opportunity'!$Q$2:$U$542,5,FALSE)</f>
        <v>0.99999999999999989</v>
      </c>
      <c r="I1281" s="77">
        <f t="shared" ref="I1281:I1344" si="4281">SUM(E1281:H1281)</f>
        <v>0.99999999999999989</v>
      </c>
      <c r="J1281" s="77">
        <f t="shared" ref="J1281:J1344" si="4282">SUMPRODUCT($E$1:$H$1,E1281:H1281)</f>
        <v>7.1999999999999981E-2</v>
      </c>
      <c r="K1281" s="77">
        <f t="shared" si="4176"/>
        <v>5.8106552987937654E-3</v>
      </c>
      <c r="L1281" s="76">
        <v>0</v>
      </c>
      <c r="M1281" s="77">
        <f t="shared" si="4138"/>
        <v>0</v>
      </c>
      <c r="N1281" s="77">
        <f t="shared" si="4139"/>
        <v>0</v>
      </c>
      <c r="O1281" s="77">
        <f t="shared" si="4140"/>
        <v>4.9999999999999992E-3</v>
      </c>
      <c r="P1281" s="77">
        <f t="shared" si="4141"/>
        <v>4.1762458919303302E-4</v>
      </c>
      <c r="R1281" t="s">
        <v>177</v>
      </c>
      <c r="S1281" t="s">
        <v>180</v>
      </c>
      <c r="T1281" s="197" t="str">
        <f t="shared" si="4172"/>
        <v>Autopilot_Opportunity_348</v>
      </c>
      <c r="U1281">
        <v>348</v>
      </c>
      <c r="V1281">
        <f>VLOOKUP($U1281,'[2]AP Opportunity'!$Q$1:$T$542,2,FALSE)</f>
        <v>0.99999997777777772</v>
      </c>
      <c r="W1281">
        <f>VLOOKUP($U1281,'[2]AP Opportunity'!$Q$1:$T$542,3,FALSE)</f>
        <v>2.2222222284540294E-8</v>
      </c>
      <c r="X1281">
        <f>VLOOKUP($U1281,'[2]AP Opportunity'!$Q$1:$T$542,4,FALSE)</f>
        <v>0</v>
      </c>
      <c r="Y1281" s="77">
        <f t="shared" si="4173"/>
        <v>1</v>
      </c>
      <c r="Z1281" s="77">
        <f t="shared" si="4177"/>
        <v>6.4624999704999977E-2</v>
      </c>
      <c r="AA1281" s="77">
        <f t="shared" si="4178"/>
        <v>5.2321923767311151E-3</v>
      </c>
      <c r="AB1281" s="79">
        <v>1</v>
      </c>
      <c r="AC1281" s="77">
        <f t="shared" si="4142"/>
        <v>8.499999955555556E-3</v>
      </c>
      <c r="AD1281" s="77">
        <f t="shared" ref="AD1281" si="4283">1-(1-AC1281)^(1/12)</f>
        <v>7.1110795759765644E-4</v>
      </c>
      <c r="AE1281" s="77">
        <f t="shared" si="4144"/>
        <v>2.5000000000000001E-3</v>
      </c>
      <c r="AF1281" s="77">
        <f t="shared" ref="AF1281" si="4284">1-(1-AE1281)^(1/12)</f>
        <v>2.0857243058891584E-4</v>
      </c>
      <c r="AH1281" t="s">
        <v>175</v>
      </c>
      <c r="AI1281" t="s">
        <v>180</v>
      </c>
      <c r="AJ1281" s="197" t="str">
        <f t="shared" ref="AJ1281:AJ1344" si="4285">AH1281&amp;"_"&amp;AI1281&amp;"_"&amp;AK1281</f>
        <v>Lifecycle_Opportunity_348</v>
      </c>
      <c r="AK1281">
        <v>348</v>
      </c>
      <c r="AL1281">
        <f>VLOOKUP($U1281,[2]Standard_Opportunity!$Q$1:$T$542,2,FALSE)</f>
        <v>0.99999997777777772</v>
      </c>
      <c r="AM1281">
        <f>VLOOKUP($U1281,[2]Standard_Opportunity!$Q$1:$T$542,3,FALSE)</f>
        <v>2.2222222284540294E-8</v>
      </c>
      <c r="AN1281">
        <f>VLOOKUP($U1281,[2]Standard_Opportunity!$Q$1:$T$542,4,FALSE)</f>
        <v>0</v>
      </c>
      <c r="AO1281" s="77">
        <f t="shared" ref="AO1281:AO1344" si="4286">SUM(AL1281:AN1281)</f>
        <v>1</v>
      </c>
      <c r="AP1281" s="77">
        <f t="shared" si="4146"/>
        <v>6.4624999704999977E-2</v>
      </c>
      <c r="AQ1281" s="77">
        <f t="shared" ref="AQ1281:AQ1344" si="4287">(1+AP1281)^(1/12)-1</f>
        <v>5.2321923767311151E-3</v>
      </c>
      <c r="AR1281" s="79">
        <v>0</v>
      </c>
      <c r="AS1281" s="77">
        <f t="shared" si="4147"/>
        <v>0</v>
      </c>
      <c r="AT1281" s="77">
        <f t="shared" si="4148"/>
        <v>0</v>
      </c>
      <c r="AU1281" s="77">
        <f t="shared" si="4149"/>
        <v>2.5000000000000001E-3</v>
      </c>
      <c r="AV1281" s="77">
        <f t="shared" si="4150"/>
        <v>2.0809499864316017E-4</v>
      </c>
    </row>
    <row r="1282" spans="1:48">
      <c r="A1282" t="s">
        <v>175</v>
      </c>
      <c r="B1282" t="s">
        <v>180</v>
      </c>
      <c r="C1282" s="197" t="str">
        <f t="shared" si="4171"/>
        <v>Lifecycle_Opportunity_347</v>
      </c>
      <c r="D1282">
        <v>347</v>
      </c>
      <c r="E1282">
        <f>VLOOKUP($D1282,'[2]LC Opportunity'!$Q$2:$U$542,2,FALSE)</f>
        <v>0</v>
      </c>
      <c r="F1282">
        <f>VLOOKUP($D1282,'[2]LC Opportunity'!$Q$2:$U$542,3,FALSE)</f>
        <v>0</v>
      </c>
      <c r="G1282">
        <f>VLOOKUP($D1282,'[2]LC Opportunity'!$Q$2:$U$542,4,FALSE)</f>
        <v>0</v>
      </c>
      <c r="H1282">
        <f>VLOOKUP($D1282,'[2]LC Opportunity'!$Q$2:$U$542,5,FALSE)</f>
        <v>0.99999999999999989</v>
      </c>
      <c r="I1282" s="77">
        <f t="shared" si="4281"/>
        <v>0.99999999999999989</v>
      </c>
      <c r="J1282" s="77">
        <f t="shared" si="4282"/>
        <v>7.1999999999999981E-2</v>
      </c>
      <c r="K1282" s="77">
        <f t="shared" si="4176"/>
        <v>5.8106552987937654E-3</v>
      </c>
      <c r="L1282" s="76">
        <v>0</v>
      </c>
      <c r="M1282" s="77">
        <f t="shared" ref="M1282:M1345" si="4288">IF($L1282=0,0,SUMPRODUCT($E$3:$H$3,E1282:H1282))</f>
        <v>0</v>
      </c>
      <c r="N1282" s="77">
        <f t="shared" ref="N1282:N1345" si="4289">1-(1-M1282)^(1/12)</f>
        <v>0</v>
      </c>
      <c r="O1282" s="77">
        <f t="shared" ref="O1282:O1345" si="4290">SUMPRODUCT($E$2:$H$2,E1282:H1282)</f>
        <v>4.9999999999999992E-3</v>
      </c>
      <c r="P1282" s="77">
        <f t="shared" ref="P1282:P1345" si="4291">1-(1-O1282)^(1/12)</f>
        <v>4.1762458919303302E-4</v>
      </c>
      <c r="R1282" t="s">
        <v>177</v>
      </c>
      <c r="S1282" t="s">
        <v>180</v>
      </c>
      <c r="T1282" s="197" t="str">
        <f t="shared" si="4172"/>
        <v>Autopilot_Opportunity_347</v>
      </c>
      <c r="U1282">
        <v>347</v>
      </c>
      <c r="V1282">
        <f>VLOOKUP($U1282,'[2]AP Opportunity'!$Q$1:$T$542,2,FALSE)</f>
        <v>0.99999997777777772</v>
      </c>
      <c r="W1282">
        <f>VLOOKUP($U1282,'[2]AP Opportunity'!$Q$1:$T$542,3,FALSE)</f>
        <v>2.2222222284540294E-8</v>
      </c>
      <c r="X1282">
        <f>VLOOKUP($U1282,'[2]AP Opportunity'!$Q$1:$T$542,4,FALSE)</f>
        <v>0</v>
      </c>
      <c r="Y1282" s="77">
        <f t="shared" si="4173"/>
        <v>1</v>
      </c>
      <c r="Z1282" s="77">
        <f t="shared" si="4177"/>
        <v>6.4624999704999977E-2</v>
      </c>
      <c r="AA1282" s="77">
        <f t="shared" si="4178"/>
        <v>5.2321923767311151E-3</v>
      </c>
      <c r="AB1282" s="79">
        <v>1</v>
      </c>
      <c r="AC1282" s="77">
        <f t="shared" ref="AC1282:AC1345" si="4292">IF($AB1282=0,0,SUMPRODUCT($V$3:$X$3,V1282:X1282))</f>
        <v>8.499999955555556E-3</v>
      </c>
      <c r="AD1282" s="77">
        <f t="shared" ref="AD1282" si="4293">1-(1-AC1282)^(1/12)</f>
        <v>7.1110795759765644E-4</v>
      </c>
      <c r="AE1282" s="77">
        <f t="shared" ref="AE1282:AE1345" si="4294">SUMPRODUCT($V$2:$X$2,V1282:X1282)</f>
        <v>2.5000000000000001E-3</v>
      </c>
      <c r="AF1282" s="77">
        <f t="shared" ref="AF1282" si="4295">1-(1-AE1282)^(1/12)</f>
        <v>2.0857243058891584E-4</v>
      </c>
      <c r="AH1282" t="s">
        <v>175</v>
      </c>
      <c r="AI1282" t="s">
        <v>180</v>
      </c>
      <c r="AJ1282" s="197" t="str">
        <f t="shared" si="4285"/>
        <v>Lifecycle_Opportunity_347</v>
      </c>
      <c r="AK1282">
        <v>347</v>
      </c>
      <c r="AL1282">
        <f>VLOOKUP($U1282,[2]Standard_Opportunity!$Q$1:$T$542,2,FALSE)</f>
        <v>0.99999997777777772</v>
      </c>
      <c r="AM1282">
        <f>VLOOKUP($U1282,[2]Standard_Opportunity!$Q$1:$T$542,3,FALSE)</f>
        <v>2.2222222284540294E-8</v>
      </c>
      <c r="AN1282">
        <f>VLOOKUP($U1282,[2]Standard_Opportunity!$Q$1:$T$542,4,FALSE)</f>
        <v>0</v>
      </c>
      <c r="AO1282" s="77">
        <f t="shared" si="4286"/>
        <v>1</v>
      </c>
      <c r="AP1282" s="77">
        <f t="shared" ref="AP1282:AP1345" si="4296">SUMPRODUCT($AL$1:$AN$1,AL1282:AN1282)</f>
        <v>6.4624999704999977E-2</v>
      </c>
      <c r="AQ1282" s="77">
        <f t="shared" si="4287"/>
        <v>5.2321923767311151E-3</v>
      </c>
      <c r="AR1282" s="79">
        <v>0</v>
      </c>
      <c r="AS1282" s="77">
        <f t="shared" ref="AS1282:AS1345" si="4297">IF(AR1282=0,0,SUMPRODUCT($AL$3:$AN$3,AL1282:AN1282))</f>
        <v>0</v>
      </c>
      <c r="AT1282" s="77">
        <f t="shared" ref="AT1282:AT1345" si="4298">(1+AS1282)^(1/12)-1</f>
        <v>0</v>
      </c>
      <c r="AU1282" s="77">
        <f t="shared" ref="AU1282:AU1345" si="4299">SUMPRODUCT($AL$2:$AN$2,AL1282:AN1282)</f>
        <v>2.5000000000000001E-3</v>
      </c>
      <c r="AV1282" s="77">
        <f t="shared" ref="AV1282:AV1345" si="4300">(1+AU1282)^(1/12)-1</f>
        <v>2.0809499864316017E-4</v>
      </c>
    </row>
    <row r="1283" spans="1:48">
      <c r="A1283" t="s">
        <v>175</v>
      </c>
      <c r="B1283" t="s">
        <v>180</v>
      </c>
      <c r="C1283" s="197" t="str">
        <f t="shared" si="4171"/>
        <v>Lifecycle_Opportunity_346</v>
      </c>
      <c r="D1283">
        <v>346</v>
      </c>
      <c r="E1283">
        <f>VLOOKUP($D1283,'[2]LC Opportunity'!$Q$2:$U$542,2,FALSE)</f>
        <v>0</v>
      </c>
      <c r="F1283">
        <f>VLOOKUP($D1283,'[2]LC Opportunity'!$Q$2:$U$542,3,FALSE)</f>
        <v>0</v>
      </c>
      <c r="G1283">
        <f>VLOOKUP($D1283,'[2]LC Opportunity'!$Q$2:$U$542,4,FALSE)</f>
        <v>0</v>
      </c>
      <c r="H1283">
        <f>VLOOKUP($D1283,'[2]LC Opportunity'!$Q$2:$U$542,5,FALSE)</f>
        <v>0.99999999999999989</v>
      </c>
      <c r="I1283" s="77">
        <f t="shared" si="4281"/>
        <v>0.99999999999999989</v>
      </c>
      <c r="J1283" s="77">
        <f t="shared" si="4282"/>
        <v>7.1999999999999981E-2</v>
      </c>
      <c r="K1283" s="77">
        <f t="shared" si="4176"/>
        <v>5.8106552987937654E-3</v>
      </c>
      <c r="L1283" s="76">
        <v>0</v>
      </c>
      <c r="M1283" s="77">
        <f t="shared" si="4288"/>
        <v>0</v>
      </c>
      <c r="N1283" s="77">
        <f t="shared" si="4289"/>
        <v>0</v>
      </c>
      <c r="O1283" s="77">
        <f t="shared" si="4290"/>
        <v>4.9999999999999992E-3</v>
      </c>
      <c r="P1283" s="77">
        <f t="shared" si="4291"/>
        <v>4.1762458919303302E-4</v>
      </c>
      <c r="R1283" t="s">
        <v>177</v>
      </c>
      <c r="S1283" t="s">
        <v>180</v>
      </c>
      <c r="T1283" s="197" t="str">
        <f t="shared" si="4172"/>
        <v>Autopilot_Opportunity_346</v>
      </c>
      <c r="U1283">
        <v>346</v>
      </c>
      <c r="V1283">
        <f>VLOOKUP($U1283,'[2]AP Opportunity'!$Q$1:$T$542,2,FALSE)</f>
        <v>0.99999997777777772</v>
      </c>
      <c r="W1283">
        <f>VLOOKUP($U1283,'[2]AP Opportunity'!$Q$1:$T$542,3,FALSE)</f>
        <v>2.2222222284540294E-8</v>
      </c>
      <c r="X1283">
        <f>VLOOKUP($U1283,'[2]AP Opportunity'!$Q$1:$T$542,4,FALSE)</f>
        <v>0</v>
      </c>
      <c r="Y1283" s="77">
        <f t="shared" si="4173"/>
        <v>1</v>
      </c>
      <c r="Z1283" s="77">
        <f t="shared" si="4177"/>
        <v>6.4624999704999977E-2</v>
      </c>
      <c r="AA1283" s="77">
        <f t="shared" si="4178"/>
        <v>5.2321923767311151E-3</v>
      </c>
      <c r="AB1283" s="79">
        <v>1</v>
      </c>
      <c r="AC1283" s="77">
        <f t="shared" si="4292"/>
        <v>8.499999955555556E-3</v>
      </c>
      <c r="AD1283" s="77">
        <f t="shared" ref="AD1283" si="4301">1-(1-AC1283)^(1/12)</f>
        <v>7.1110795759765644E-4</v>
      </c>
      <c r="AE1283" s="77">
        <f t="shared" si="4294"/>
        <v>2.5000000000000001E-3</v>
      </c>
      <c r="AF1283" s="77">
        <f t="shared" ref="AF1283" si="4302">1-(1-AE1283)^(1/12)</f>
        <v>2.0857243058891584E-4</v>
      </c>
      <c r="AH1283" t="s">
        <v>175</v>
      </c>
      <c r="AI1283" t="s">
        <v>180</v>
      </c>
      <c r="AJ1283" s="197" t="str">
        <f t="shared" si="4285"/>
        <v>Lifecycle_Opportunity_346</v>
      </c>
      <c r="AK1283">
        <v>346</v>
      </c>
      <c r="AL1283">
        <f>VLOOKUP($U1283,[2]Standard_Opportunity!$Q$1:$T$542,2,FALSE)</f>
        <v>0.99999997777777772</v>
      </c>
      <c r="AM1283">
        <f>VLOOKUP($U1283,[2]Standard_Opportunity!$Q$1:$T$542,3,FALSE)</f>
        <v>2.2222222284540294E-8</v>
      </c>
      <c r="AN1283">
        <f>VLOOKUP($U1283,[2]Standard_Opportunity!$Q$1:$T$542,4,FALSE)</f>
        <v>0</v>
      </c>
      <c r="AO1283" s="77">
        <f t="shared" si="4286"/>
        <v>1</v>
      </c>
      <c r="AP1283" s="77">
        <f t="shared" si="4296"/>
        <v>6.4624999704999977E-2</v>
      </c>
      <c r="AQ1283" s="77">
        <f t="shared" si="4287"/>
        <v>5.2321923767311151E-3</v>
      </c>
      <c r="AR1283" s="79">
        <v>0</v>
      </c>
      <c r="AS1283" s="77">
        <f t="shared" si="4297"/>
        <v>0</v>
      </c>
      <c r="AT1283" s="77">
        <f t="shared" si="4298"/>
        <v>0</v>
      </c>
      <c r="AU1283" s="77">
        <f t="shared" si="4299"/>
        <v>2.5000000000000001E-3</v>
      </c>
      <c r="AV1283" s="77">
        <f t="shared" si="4300"/>
        <v>2.0809499864316017E-4</v>
      </c>
    </row>
    <row r="1284" spans="1:48">
      <c r="A1284" t="s">
        <v>175</v>
      </c>
      <c r="B1284" t="s">
        <v>180</v>
      </c>
      <c r="C1284" s="197" t="str">
        <f t="shared" si="4171"/>
        <v>Lifecycle_Opportunity_345</v>
      </c>
      <c r="D1284">
        <v>345</v>
      </c>
      <c r="E1284">
        <f>VLOOKUP($D1284,'[2]LC Opportunity'!$Q$2:$U$542,2,FALSE)</f>
        <v>0</v>
      </c>
      <c r="F1284">
        <f>VLOOKUP($D1284,'[2]LC Opportunity'!$Q$2:$U$542,3,FALSE)</f>
        <v>0</v>
      </c>
      <c r="G1284">
        <f>VLOOKUP($D1284,'[2]LC Opportunity'!$Q$2:$U$542,4,FALSE)</f>
        <v>0</v>
      </c>
      <c r="H1284">
        <f>VLOOKUP($D1284,'[2]LC Opportunity'!$Q$2:$U$542,5,FALSE)</f>
        <v>0.99999999999999989</v>
      </c>
      <c r="I1284" s="77">
        <f t="shared" si="4281"/>
        <v>0.99999999999999989</v>
      </c>
      <c r="J1284" s="77">
        <f t="shared" si="4282"/>
        <v>7.1999999999999981E-2</v>
      </c>
      <c r="K1284" s="77">
        <f t="shared" si="4176"/>
        <v>5.8106552987937654E-3</v>
      </c>
      <c r="L1284" s="76">
        <v>0</v>
      </c>
      <c r="M1284" s="77">
        <f t="shared" si="4288"/>
        <v>0</v>
      </c>
      <c r="N1284" s="77">
        <f t="shared" si="4289"/>
        <v>0</v>
      </c>
      <c r="O1284" s="77">
        <f t="shared" si="4290"/>
        <v>4.9999999999999992E-3</v>
      </c>
      <c r="P1284" s="77">
        <f t="shared" si="4291"/>
        <v>4.1762458919303302E-4</v>
      </c>
      <c r="R1284" t="s">
        <v>177</v>
      </c>
      <c r="S1284" t="s">
        <v>180</v>
      </c>
      <c r="T1284" s="197" t="str">
        <f t="shared" si="4172"/>
        <v>Autopilot_Opportunity_345</v>
      </c>
      <c r="U1284">
        <v>345</v>
      </c>
      <c r="V1284">
        <f>VLOOKUP($U1284,'[2]AP Opportunity'!$Q$1:$T$542,2,FALSE)</f>
        <v>0.99999997777777772</v>
      </c>
      <c r="W1284">
        <f>VLOOKUP($U1284,'[2]AP Opportunity'!$Q$1:$T$542,3,FALSE)</f>
        <v>2.2222222284540294E-8</v>
      </c>
      <c r="X1284">
        <f>VLOOKUP($U1284,'[2]AP Opportunity'!$Q$1:$T$542,4,FALSE)</f>
        <v>0</v>
      </c>
      <c r="Y1284" s="77">
        <f t="shared" si="4173"/>
        <v>1</v>
      </c>
      <c r="Z1284" s="77">
        <f t="shared" si="4177"/>
        <v>6.4624999704999977E-2</v>
      </c>
      <c r="AA1284" s="77">
        <f t="shared" si="4178"/>
        <v>5.2321923767311151E-3</v>
      </c>
      <c r="AB1284" s="79">
        <v>1</v>
      </c>
      <c r="AC1284" s="77">
        <f t="shared" si="4292"/>
        <v>8.499999955555556E-3</v>
      </c>
      <c r="AD1284" s="77">
        <f t="shared" ref="AD1284" si="4303">1-(1-AC1284)^(1/12)</f>
        <v>7.1110795759765644E-4</v>
      </c>
      <c r="AE1284" s="77">
        <f t="shared" si="4294"/>
        <v>2.5000000000000001E-3</v>
      </c>
      <c r="AF1284" s="77">
        <f t="shared" ref="AF1284" si="4304">1-(1-AE1284)^(1/12)</f>
        <v>2.0857243058891584E-4</v>
      </c>
      <c r="AH1284" t="s">
        <v>175</v>
      </c>
      <c r="AI1284" t="s">
        <v>180</v>
      </c>
      <c r="AJ1284" s="197" t="str">
        <f t="shared" si="4285"/>
        <v>Lifecycle_Opportunity_345</v>
      </c>
      <c r="AK1284">
        <v>345</v>
      </c>
      <c r="AL1284">
        <f>VLOOKUP($U1284,[2]Standard_Opportunity!$Q$1:$T$542,2,FALSE)</f>
        <v>0.99999997777777772</v>
      </c>
      <c r="AM1284">
        <f>VLOOKUP($U1284,[2]Standard_Opportunity!$Q$1:$T$542,3,FALSE)</f>
        <v>2.2222222284540294E-8</v>
      </c>
      <c r="AN1284">
        <f>VLOOKUP($U1284,[2]Standard_Opportunity!$Q$1:$T$542,4,FALSE)</f>
        <v>0</v>
      </c>
      <c r="AO1284" s="77">
        <f t="shared" si="4286"/>
        <v>1</v>
      </c>
      <c r="AP1284" s="77">
        <f t="shared" si="4296"/>
        <v>6.4624999704999977E-2</v>
      </c>
      <c r="AQ1284" s="77">
        <f t="shared" si="4287"/>
        <v>5.2321923767311151E-3</v>
      </c>
      <c r="AR1284" s="79">
        <v>0</v>
      </c>
      <c r="AS1284" s="77">
        <f t="shared" si="4297"/>
        <v>0</v>
      </c>
      <c r="AT1284" s="77">
        <f t="shared" si="4298"/>
        <v>0</v>
      </c>
      <c r="AU1284" s="77">
        <f t="shared" si="4299"/>
        <v>2.5000000000000001E-3</v>
      </c>
      <c r="AV1284" s="77">
        <f t="shared" si="4300"/>
        <v>2.0809499864316017E-4</v>
      </c>
    </row>
    <row r="1285" spans="1:48">
      <c r="A1285" t="s">
        <v>175</v>
      </c>
      <c r="B1285" t="s">
        <v>180</v>
      </c>
      <c r="C1285" s="197" t="str">
        <f t="shared" si="4171"/>
        <v>Lifecycle_Opportunity_344</v>
      </c>
      <c r="D1285">
        <v>344</v>
      </c>
      <c r="E1285">
        <f>VLOOKUP($D1285,'[2]LC Opportunity'!$Q$2:$U$542,2,FALSE)</f>
        <v>0</v>
      </c>
      <c r="F1285">
        <f>VLOOKUP($D1285,'[2]LC Opportunity'!$Q$2:$U$542,3,FALSE)</f>
        <v>0</v>
      </c>
      <c r="G1285">
        <f>VLOOKUP($D1285,'[2]LC Opportunity'!$Q$2:$U$542,4,FALSE)</f>
        <v>0</v>
      </c>
      <c r="H1285">
        <f>VLOOKUP($D1285,'[2]LC Opportunity'!$Q$2:$U$542,5,FALSE)</f>
        <v>0.99999999999999989</v>
      </c>
      <c r="I1285" s="77">
        <f t="shared" si="4281"/>
        <v>0.99999999999999989</v>
      </c>
      <c r="J1285" s="77">
        <f t="shared" si="4282"/>
        <v>7.1999999999999981E-2</v>
      </c>
      <c r="K1285" s="77">
        <f t="shared" si="4176"/>
        <v>5.8106552987937654E-3</v>
      </c>
      <c r="L1285" s="76">
        <v>0</v>
      </c>
      <c r="M1285" s="77">
        <f t="shared" si="4288"/>
        <v>0</v>
      </c>
      <c r="N1285" s="77">
        <f t="shared" si="4289"/>
        <v>0</v>
      </c>
      <c r="O1285" s="77">
        <f t="shared" si="4290"/>
        <v>4.9999999999999992E-3</v>
      </c>
      <c r="P1285" s="77">
        <f t="shared" si="4291"/>
        <v>4.1762458919303302E-4</v>
      </c>
      <c r="R1285" t="s">
        <v>177</v>
      </c>
      <c r="S1285" t="s">
        <v>180</v>
      </c>
      <c r="T1285" s="197" t="str">
        <f t="shared" si="4172"/>
        <v>Autopilot_Opportunity_344</v>
      </c>
      <c r="U1285">
        <v>344</v>
      </c>
      <c r="V1285">
        <f>VLOOKUP($U1285,'[2]AP Opportunity'!$Q$1:$T$542,2,FALSE)</f>
        <v>0.99999997777777772</v>
      </c>
      <c r="W1285">
        <f>VLOOKUP($U1285,'[2]AP Opportunity'!$Q$1:$T$542,3,FALSE)</f>
        <v>2.2222222284540294E-8</v>
      </c>
      <c r="X1285">
        <f>VLOOKUP($U1285,'[2]AP Opportunity'!$Q$1:$T$542,4,FALSE)</f>
        <v>0</v>
      </c>
      <c r="Y1285" s="77">
        <f t="shared" si="4173"/>
        <v>1</v>
      </c>
      <c r="Z1285" s="77">
        <f t="shared" si="4177"/>
        <v>6.4624999704999977E-2</v>
      </c>
      <c r="AA1285" s="77">
        <f t="shared" si="4178"/>
        <v>5.2321923767311151E-3</v>
      </c>
      <c r="AB1285" s="79">
        <v>1</v>
      </c>
      <c r="AC1285" s="77">
        <f t="shared" si="4292"/>
        <v>8.499999955555556E-3</v>
      </c>
      <c r="AD1285" s="77">
        <f t="shared" ref="AD1285" si="4305">1-(1-AC1285)^(1/12)</f>
        <v>7.1110795759765644E-4</v>
      </c>
      <c r="AE1285" s="77">
        <f t="shared" si="4294"/>
        <v>2.5000000000000001E-3</v>
      </c>
      <c r="AF1285" s="77">
        <f t="shared" ref="AF1285" si="4306">1-(1-AE1285)^(1/12)</f>
        <v>2.0857243058891584E-4</v>
      </c>
      <c r="AH1285" t="s">
        <v>175</v>
      </c>
      <c r="AI1285" t="s">
        <v>180</v>
      </c>
      <c r="AJ1285" s="197" t="str">
        <f t="shared" si="4285"/>
        <v>Lifecycle_Opportunity_344</v>
      </c>
      <c r="AK1285">
        <v>344</v>
      </c>
      <c r="AL1285">
        <f>VLOOKUP($U1285,[2]Standard_Opportunity!$Q$1:$T$542,2,FALSE)</f>
        <v>0.99999997777777772</v>
      </c>
      <c r="AM1285">
        <f>VLOOKUP($U1285,[2]Standard_Opportunity!$Q$1:$T$542,3,FALSE)</f>
        <v>2.2222222284540294E-8</v>
      </c>
      <c r="AN1285">
        <f>VLOOKUP($U1285,[2]Standard_Opportunity!$Q$1:$T$542,4,FALSE)</f>
        <v>0</v>
      </c>
      <c r="AO1285" s="77">
        <f t="shared" si="4286"/>
        <v>1</v>
      </c>
      <c r="AP1285" s="77">
        <f t="shared" si="4296"/>
        <v>6.4624999704999977E-2</v>
      </c>
      <c r="AQ1285" s="77">
        <f t="shared" si="4287"/>
        <v>5.2321923767311151E-3</v>
      </c>
      <c r="AR1285" s="79">
        <v>0</v>
      </c>
      <c r="AS1285" s="77">
        <f t="shared" si="4297"/>
        <v>0</v>
      </c>
      <c r="AT1285" s="77">
        <f t="shared" si="4298"/>
        <v>0</v>
      </c>
      <c r="AU1285" s="77">
        <f t="shared" si="4299"/>
        <v>2.5000000000000001E-3</v>
      </c>
      <c r="AV1285" s="77">
        <f t="shared" si="4300"/>
        <v>2.0809499864316017E-4</v>
      </c>
    </row>
    <row r="1286" spans="1:48">
      <c r="A1286" t="s">
        <v>175</v>
      </c>
      <c r="B1286" t="s">
        <v>180</v>
      </c>
      <c r="C1286" s="197" t="str">
        <f t="shared" si="4171"/>
        <v>Lifecycle_Opportunity_343</v>
      </c>
      <c r="D1286">
        <v>343</v>
      </c>
      <c r="E1286">
        <f>VLOOKUP($D1286,'[2]LC Opportunity'!$Q$2:$U$542,2,FALSE)</f>
        <v>0</v>
      </c>
      <c r="F1286">
        <f>VLOOKUP($D1286,'[2]LC Opportunity'!$Q$2:$U$542,3,FALSE)</f>
        <v>0</v>
      </c>
      <c r="G1286">
        <f>VLOOKUP($D1286,'[2]LC Opportunity'!$Q$2:$U$542,4,FALSE)</f>
        <v>0</v>
      </c>
      <c r="H1286">
        <f>VLOOKUP($D1286,'[2]LC Opportunity'!$Q$2:$U$542,5,FALSE)</f>
        <v>0.99999999999999989</v>
      </c>
      <c r="I1286" s="77">
        <f t="shared" si="4281"/>
        <v>0.99999999999999989</v>
      </c>
      <c r="J1286" s="77">
        <f t="shared" si="4282"/>
        <v>7.1999999999999981E-2</v>
      </c>
      <c r="K1286" s="77">
        <f t="shared" si="4176"/>
        <v>5.8106552987937654E-3</v>
      </c>
      <c r="L1286" s="76">
        <v>0</v>
      </c>
      <c r="M1286" s="77">
        <f t="shared" si="4288"/>
        <v>0</v>
      </c>
      <c r="N1286" s="77">
        <f t="shared" si="4289"/>
        <v>0</v>
      </c>
      <c r="O1286" s="77">
        <f t="shared" si="4290"/>
        <v>4.9999999999999992E-3</v>
      </c>
      <c r="P1286" s="77">
        <f t="shared" si="4291"/>
        <v>4.1762458919303302E-4</v>
      </c>
      <c r="R1286" t="s">
        <v>177</v>
      </c>
      <c r="S1286" t="s">
        <v>180</v>
      </c>
      <c r="T1286" s="197" t="str">
        <f t="shared" si="4172"/>
        <v>Autopilot_Opportunity_343</v>
      </c>
      <c r="U1286">
        <v>343</v>
      </c>
      <c r="V1286">
        <f>VLOOKUP($U1286,'[2]AP Opportunity'!$Q$1:$T$542,2,FALSE)</f>
        <v>0.99999997777777772</v>
      </c>
      <c r="W1286">
        <f>VLOOKUP($U1286,'[2]AP Opportunity'!$Q$1:$T$542,3,FALSE)</f>
        <v>2.2222222284540294E-8</v>
      </c>
      <c r="X1286">
        <f>VLOOKUP($U1286,'[2]AP Opportunity'!$Q$1:$T$542,4,FALSE)</f>
        <v>0</v>
      </c>
      <c r="Y1286" s="77">
        <f t="shared" si="4173"/>
        <v>1</v>
      </c>
      <c r="Z1286" s="77">
        <f t="shared" si="4177"/>
        <v>6.4624999704999977E-2</v>
      </c>
      <c r="AA1286" s="77">
        <f t="shared" si="4178"/>
        <v>5.2321923767311151E-3</v>
      </c>
      <c r="AB1286" s="79">
        <v>1</v>
      </c>
      <c r="AC1286" s="77">
        <f t="shared" si="4292"/>
        <v>8.499999955555556E-3</v>
      </c>
      <c r="AD1286" s="77">
        <f t="shared" ref="AD1286" si="4307">1-(1-AC1286)^(1/12)</f>
        <v>7.1110795759765644E-4</v>
      </c>
      <c r="AE1286" s="77">
        <f t="shared" si="4294"/>
        <v>2.5000000000000001E-3</v>
      </c>
      <c r="AF1286" s="77">
        <f t="shared" ref="AF1286" si="4308">1-(1-AE1286)^(1/12)</f>
        <v>2.0857243058891584E-4</v>
      </c>
      <c r="AH1286" t="s">
        <v>175</v>
      </c>
      <c r="AI1286" t="s">
        <v>180</v>
      </c>
      <c r="AJ1286" s="197" t="str">
        <f t="shared" si="4285"/>
        <v>Lifecycle_Opportunity_343</v>
      </c>
      <c r="AK1286">
        <v>343</v>
      </c>
      <c r="AL1286">
        <f>VLOOKUP($U1286,[2]Standard_Opportunity!$Q$1:$T$542,2,FALSE)</f>
        <v>0.99999997777777772</v>
      </c>
      <c r="AM1286">
        <f>VLOOKUP($U1286,[2]Standard_Opportunity!$Q$1:$T$542,3,FALSE)</f>
        <v>2.2222222284540294E-8</v>
      </c>
      <c r="AN1286">
        <f>VLOOKUP($U1286,[2]Standard_Opportunity!$Q$1:$T$542,4,FALSE)</f>
        <v>0</v>
      </c>
      <c r="AO1286" s="77">
        <f t="shared" si="4286"/>
        <v>1</v>
      </c>
      <c r="AP1286" s="77">
        <f t="shared" si="4296"/>
        <v>6.4624999704999977E-2</v>
      </c>
      <c r="AQ1286" s="77">
        <f t="shared" si="4287"/>
        <v>5.2321923767311151E-3</v>
      </c>
      <c r="AR1286" s="79">
        <v>0</v>
      </c>
      <c r="AS1286" s="77">
        <f t="shared" si="4297"/>
        <v>0</v>
      </c>
      <c r="AT1286" s="77">
        <f t="shared" si="4298"/>
        <v>0</v>
      </c>
      <c r="AU1286" s="77">
        <f t="shared" si="4299"/>
        <v>2.5000000000000001E-3</v>
      </c>
      <c r="AV1286" s="77">
        <f t="shared" si="4300"/>
        <v>2.0809499864316017E-4</v>
      </c>
    </row>
    <row r="1287" spans="1:48">
      <c r="A1287" t="s">
        <v>175</v>
      </c>
      <c r="B1287" t="s">
        <v>180</v>
      </c>
      <c r="C1287" s="197" t="str">
        <f t="shared" si="4171"/>
        <v>Lifecycle_Opportunity_342</v>
      </c>
      <c r="D1287">
        <v>342</v>
      </c>
      <c r="E1287">
        <f>VLOOKUP($D1287,'[2]LC Opportunity'!$Q$2:$U$542,2,FALSE)</f>
        <v>0</v>
      </c>
      <c r="F1287">
        <f>VLOOKUP($D1287,'[2]LC Opportunity'!$Q$2:$U$542,3,FALSE)</f>
        <v>0</v>
      </c>
      <c r="G1287">
        <f>VLOOKUP($D1287,'[2]LC Opportunity'!$Q$2:$U$542,4,FALSE)</f>
        <v>0</v>
      </c>
      <c r="H1287">
        <f>VLOOKUP($D1287,'[2]LC Opportunity'!$Q$2:$U$542,5,FALSE)</f>
        <v>0.99999999999999989</v>
      </c>
      <c r="I1287" s="77">
        <f t="shared" si="4281"/>
        <v>0.99999999999999989</v>
      </c>
      <c r="J1287" s="77">
        <f t="shared" si="4282"/>
        <v>7.1999999999999981E-2</v>
      </c>
      <c r="K1287" s="77">
        <f t="shared" si="4176"/>
        <v>5.8106552987937654E-3</v>
      </c>
      <c r="L1287" s="76">
        <v>0</v>
      </c>
      <c r="M1287" s="77">
        <f t="shared" si="4288"/>
        <v>0</v>
      </c>
      <c r="N1287" s="77">
        <f t="shared" si="4289"/>
        <v>0</v>
      </c>
      <c r="O1287" s="77">
        <f t="shared" si="4290"/>
        <v>4.9999999999999992E-3</v>
      </c>
      <c r="P1287" s="77">
        <f t="shared" si="4291"/>
        <v>4.1762458919303302E-4</v>
      </c>
      <c r="R1287" t="s">
        <v>177</v>
      </c>
      <c r="S1287" t="s">
        <v>180</v>
      </c>
      <c r="T1287" s="197" t="str">
        <f t="shared" si="4172"/>
        <v>Autopilot_Opportunity_342</v>
      </c>
      <c r="U1287">
        <v>342</v>
      </c>
      <c r="V1287">
        <f>VLOOKUP($U1287,'[2]AP Opportunity'!$Q$1:$T$542,2,FALSE)</f>
        <v>0.99999997777777772</v>
      </c>
      <c r="W1287">
        <f>VLOOKUP($U1287,'[2]AP Opportunity'!$Q$1:$T$542,3,FALSE)</f>
        <v>2.2222222284540294E-8</v>
      </c>
      <c r="X1287">
        <f>VLOOKUP($U1287,'[2]AP Opportunity'!$Q$1:$T$542,4,FALSE)</f>
        <v>0</v>
      </c>
      <c r="Y1287" s="77">
        <f t="shared" si="4173"/>
        <v>1</v>
      </c>
      <c r="Z1287" s="77">
        <f t="shared" si="4177"/>
        <v>6.4624999704999977E-2</v>
      </c>
      <c r="AA1287" s="77">
        <f t="shared" si="4178"/>
        <v>5.2321923767311151E-3</v>
      </c>
      <c r="AB1287" s="79">
        <v>1</v>
      </c>
      <c r="AC1287" s="77">
        <f t="shared" si="4292"/>
        <v>8.499999955555556E-3</v>
      </c>
      <c r="AD1287" s="77">
        <f t="shared" ref="AD1287" si="4309">1-(1-AC1287)^(1/12)</f>
        <v>7.1110795759765644E-4</v>
      </c>
      <c r="AE1287" s="77">
        <f t="shared" si="4294"/>
        <v>2.5000000000000001E-3</v>
      </c>
      <c r="AF1287" s="77">
        <f t="shared" ref="AF1287" si="4310">1-(1-AE1287)^(1/12)</f>
        <v>2.0857243058891584E-4</v>
      </c>
      <c r="AH1287" t="s">
        <v>175</v>
      </c>
      <c r="AI1287" t="s">
        <v>180</v>
      </c>
      <c r="AJ1287" s="197" t="str">
        <f t="shared" si="4285"/>
        <v>Lifecycle_Opportunity_342</v>
      </c>
      <c r="AK1287">
        <v>342</v>
      </c>
      <c r="AL1287">
        <f>VLOOKUP($U1287,[2]Standard_Opportunity!$Q$1:$T$542,2,FALSE)</f>
        <v>0.99999997777777772</v>
      </c>
      <c r="AM1287">
        <f>VLOOKUP($U1287,[2]Standard_Opportunity!$Q$1:$T$542,3,FALSE)</f>
        <v>2.2222222284540294E-8</v>
      </c>
      <c r="AN1287">
        <f>VLOOKUP($U1287,[2]Standard_Opportunity!$Q$1:$T$542,4,FALSE)</f>
        <v>0</v>
      </c>
      <c r="AO1287" s="77">
        <f t="shared" si="4286"/>
        <v>1</v>
      </c>
      <c r="AP1287" s="77">
        <f t="shared" si="4296"/>
        <v>6.4624999704999977E-2</v>
      </c>
      <c r="AQ1287" s="77">
        <f t="shared" si="4287"/>
        <v>5.2321923767311151E-3</v>
      </c>
      <c r="AR1287" s="79">
        <v>0</v>
      </c>
      <c r="AS1287" s="77">
        <f t="shared" si="4297"/>
        <v>0</v>
      </c>
      <c r="AT1287" s="77">
        <f t="shared" si="4298"/>
        <v>0</v>
      </c>
      <c r="AU1287" s="77">
        <f t="shared" si="4299"/>
        <v>2.5000000000000001E-3</v>
      </c>
      <c r="AV1287" s="77">
        <f t="shared" si="4300"/>
        <v>2.0809499864316017E-4</v>
      </c>
    </row>
    <row r="1288" spans="1:48">
      <c r="A1288" t="s">
        <v>175</v>
      </c>
      <c r="B1288" t="s">
        <v>180</v>
      </c>
      <c r="C1288" s="197" t="str">
        <f t="shared" si="4171"/>
        <v>Lifecycle_Opportunity_341</v>
      </c>
      <c r="D1288">
        <v>341</v>
      </c>
      <c r="E1288">
        <f>VLOOKUP($D1288,'[2]LC Opportunity'!$Q$2:$U$542,2,FALSE)</f>
        <v>0</v>
      </c>
      <c r="F1288">
        <f>VLOOKUP($D1288,'[2]LC Opportunity'!$Q$2:$U$542,3,FALSE)</f>
        <v>0</v>
      </c>
      <c r="G1288">
        <f>VLOOKUP($D1288,'[2]LC Opportunity'!$Q$2:$U$542,4,FALSE)</f>
        <v>0</v>
      </c>
      <c r="H1288">
        <f>VLOOKUP($D1288,'[2]LC Opportunity'!$Q$2:$U$542,5,FALSE)</f>
        <v>0.99999999999999989</v>
      </c>
      <c r="I1288" s="77">
        <f t="shared" si="4281"/>
        <v>0.99999999999999989</v>
      </c>
      <c r="J1288" s="77">
        <f t="shared" si="4282"/>
        <v>7.1999999999999981E-2</v>
      </c>
      <c r="K1288" s="77">
        <f t="shared" si="4176"/>
        <v>5.8106552987937654E-3</v>
      </c>
      <c r="L1288" s="76">
        <v>0</v>
      </c>
      <c r="M1288" s="77">
        <f t="shared" si="4288"/>
        <v>0</v>
      </c>
      <c r="N1288" s="77">
        <f t="shared" si="4289"/>
        <v>0</v>
      </c>
      <c r="O1288" s="77">
        <f t="shared" si="4290"/>
        <v>4.9999999999999992E-3</v>
      </c>
      <c r="P1288" s="77">
        <f t="shared" si="4291"/>
        <v>4.1762458919303302E-4</v>
      </c>
      <c r="R1288" t="s">
        <v>177</v>
      </c>
      <c r="S1288" t="s">
        <v>180</v>
      </c>
      <c r="T1288" s="197" t="str">
        <f t="shared" si="4172"/>
        <v>Autopilot_Opportunity_341</v>
      </c>
      <c r="U1288">
        <v>341</v>
      </c>
      <c r="V1288">
        <f>VLOOKUP($U1288,'[2]AP Opportunity'!$Q$1:$T$542,2,FALSE)</f>
        <v>0.99999997777777772</v>
      </c>
      <c r="W1288">
        <f>VLOOKUP($U1288,'[2]AP Opportunity'!$Q$1:$T$542,3,FALSE)</f>
        <v>2.2222222284540294E-8</v>
      </c>
      <c r="X1288">
        <f>VLOOKUP($U1288,'[2]AP Opportunity'!$Q$1:$T$542,4,FALSE)</f>
        <v>0</v>
      </c>
      <c r="Y1288" s="77">
        <f t="shared" si="4173"/>
        <v>1</v>
      </c>
      <c r="Z1288" s="77">
        <f t="shared" si="4177"/>
        <v>6.4624999704999977E-2</v>
      </c>
      <c r="AA1288" s="77">
        <f t="shared" si="4178"/>
        <v>5.2321923767311151E-3</v>
      </c>
      <c r="AB1288" s="79">
        <v>1</v>
      </c>
      <c r="AC1288" s="77">
        <f t="shared" si="4292"/>
        <v>8.499999955555556E-3</v>
      </c>
      <c r="AD1288" s="77">
        <f t="shared" ref="AD1288" si="4311">1-(1-AC1288)^(1/12)</f>
        <v>7.1110795759765644E-4</v>
      </c>
      <c r="AE1288" s="77">
        <f t="shared" si="4294"/>
        <v>2.5000000000000001E-3</v>
      </c>
      <c r="AF1288" s="77">
        <f t="shared" ref="AF1288" si="4312">1-(1-AE1288)^(1/12)</f>
        <v>2.0857243058891584E-4</v>
      </c>
      <c r="AH1288" t="s">
        <v>175</v>
      </c>
      <c r="AI1288" t="s">
        <v>180</v>
      </c>
      <c r="AJ1288" s="197" t="str">
        <f t="shared" si="4285"/>
        <v>Lifecycle_Opportunity_341</v>
      </c>
      <c r="AK1288">
        <v>341</v>
      </c>
      <c r="AL1288">
        <f>VLOOKUP($U1288,[2]Standard_Opportunity!$Q$1:$T$542,2,FALSE)</f>
        <v>0.99999997777777772</v>
      </c>
      <c r="AM1288">
        <f>VLOOKUP($U1288,[2]Standard_Opportunity!$Q$1:$T$542,3,FALSE)</f>
        <v>2.2222222284540294E-8</v>
      </c>
      <c r="AN1288">
        <f>VLOOKUP($U1288,[2]Standard_Opportunity!$Q$1:$T$542,4,FALSE)</f>
        <v>0</v>
      </c>
      <c r="AO1288" s="77">
        <f t="shared" si="4286"/>
        <v>1</v>
      </c>
      <c r="AP1288" s="77">
        <f t="shared" si="4296"/>
        <v>6.4624999704999977E-2</v>
      </c>
      <c r="AQ1288" s="77">
        <f t="shared" si="4287"/>
        <v>5.2321923767311151E-3</v>
      </c>
      <c r="AR1288" s="79">
        <v>0</v>
      </c>
      <c r="AS1288" s="77">
        <f t="shared" si="4297"/>
        <v>0</v>
      </c>
      <c r="AT1288" s="77">
        <f t="shared" si="4298"/>
        <v>0</v>
      </c>
      <c r="AU1288" s="77">
        <f t="shared" si="4299"/>
        <v>2.5000000000000001E-3</v>
      </c>
      <c r="AV1288" s="77">
        <f t="shared" si="4300"/>
        <v>2.0809499864316017E-4</v>
      </c>
    </row>
    <row r="1289" spans="1:48">
      <c r="A1289" t="s">
        <v>175</v>
      </c>
      <c r="B1289" t="s">
        <v>180</v>
      </c>
      <c r="C1289" s="197" t="str">
        <f t="shared" si="4171"/>
        <v>Lifecycle_Opportunity_340</v>
      </c>
      <c r="D1289">
        <v>340</v>
      </c>
      <c r="E1289">
        <f>VLOOKUP($D1289,'[2]LC Opportunity'!$Q$2:$U$542,2,FALSE)</f>
        <v>0</v>
      </c>
      <c r="F1289">
        <f>VLOOKUP($D1289,'[2]LC Opportunity'!$Q$2:$U$542,3,FALSE)</f>
        <v>0</v>
      </c>
      <c r="G1289">
        <f>VLOOKUP($D1289,'[2]LC Opportunity'!$Q$2:$U$542,4,FALSE)</f>
        <v>0</v>
      </c>
      <c r="H1289">
        <f>VLOOKUP($D1289,'[2]LC Opportunity'!$Q$2:$U$542,5,FALSE)</f>
        <v>0.99999999999999989</v>
      </c>
      <c r="I1289" s="77">
        <f t="shared" si="4281"/>
        <v>0.99999999999999989</v>
      </c>
      <c r="J1289" s="77">
        <f t="shared" si="4282"/>
        <v>7.1999999999999981E-2</v>
      </c>
      <c r="K1289" s="77">
        <f t="shared" si="4176"/>
        <v>5.8106552987937654E-3</v>
      </c>
      <c r="L1289" s="76">
        <v>0</v>
      </c>
      <c r="M1289" s="77">
        <f t="shared" si="4288"/>
        <v>0</v>
      </c>
      <c r="N1289" s="77">
        <f t="shared" si="4289"/>
        <v>0</v>
      </c>
      <c r="O1289" s="77">
        <f t="shared" si="4290"/>
        <v>4.9999999999999992E-3</v>
      </c>
      <c r="P1289" s="77">
        <f t="shared" si="4291"/>
        <v>4.1762458919303302E-4</v>
      </c>
      <c r="R1289" t="s">
        <v>177</v>
      </c>
      <c r="S1289" t="s">
        <v>180</v>
      </c>
      <c r="T1289" s="197" t="str">
        <f t="shared" si="4172"/>
        <v>Autopilot_Opportunity_340</v>
      </c>
      <c r="U1289">
        <v>340</v>
      </c>
      <c r="V1289">
        <f>VLOOKUP($U1289,'[2]AP Opportunity'!$Q$1:$T$542,2,FALSE)</f>
        <v>0.99999997777777772</v>
      </c>
      <c r="W1289">
        <f>VLOOKUP($U1289,'[2]AP Opportunity'!$Q$1:$T$542,3,FALSE)</f>
        <v>2.2222222284540294E-8</v>
      </c>
      <c r="X1289">
        <f>VLOOKUP($U1289,'[2]AP Opportunity'!$Q$1:$T$542,4,FALSE)</f>
        <v>0</v>
      </c>
      <c r="Y1289" s="77">
        <f t="shared" si="4173"/>
        <v>1</v>
      </c>
      <c r="Z1289" s="77">
        <f t="shared" si="4177"/>
        <v>6.4624999704999977E-2</v>
      </c>
      <c r="AA1289" s="77">
        <f t="shared" si="4178"/>
        <v>5.2321923767311151E-3</v>
      </c>
      <c r="AB1289" s="79">
        <v>1</v>
      </c>
      <c r="AC1289" s="77">
        <f t="shared" si="4292"/>
        <v>8.499999955555556E-3</v>
      </c>
      <c r="AD1289" s="77">
        <f t="shared" ref="AD1289" si="4313">1-(1-AC1289)^(1/12)</f>
        <v>7.1110795759765644E-4</v>
      </c>
      <c r="AE1289" s="77">
        <f t="shared" si="4294"/>
        <v>2.5000000000000001E-3</v>
      </c>
      <c r="AF1289" s="77">
        <f t="shared" ref="AF1289" si="4314">1-(1-AE1289)^(1/12)</f>
        <v>2.0857243058891584E-4</v>
      </c>
      <c r="AH1289" t="s">
        <v>175</v>
      </c>
      <c r="AI1289" t="s">
        <v>180</v>
      </c>
      <c r="AJ1289" s="197" t="str">
        <f t="shared" si="4285"/>
        <v>Lifecycle_Opportunity_340</v>
      </c>
      <c r="AK1289">
        <v>340</v>
      </c>
      <c r="AL1289">
        <f>VLOOKUP($U1289,[2]Standard_Opportunity!$Q$1:$T$542,2,FALSE)</f>
        <v>0.99999997777777772</v>
      </c>
      <c r="AM1289">
        <f>VLOOKUP($U1289,[2]Standard_Opportunity!$Q$1:$T$542,3,FALSE)</f>
        <v>2.2222222284540294E-8</v>
      </c>
      <c r="AN1289">
        <f>VLOOKUP($U1289,[2]Standard_Opportunity!$Q$1:$T$542,4,FALSE)</f>
        <v>0</v>
      </c>
      <c r="AO1289" s="77">
        <f t="shared" si="4286"/>
        <v>1</v>
      </c>
      <c r="AP1289" s="77">
        <f t="shared" si="4296"/>
        <v>6.4624999704999977E-2</v>
      </c>
      <c r="AQ1289" s="77">
        <f t="shared" si="4287"/>
        <v>5.2321923767311151E-3</v>
      </c>
      <c r="AR1289" s="79">
        <v>0</v>
      </c>
      <c r="AS1289" s="77">
        <f t="shared" si="4297"/>
        <v>0</v>
      </c>
      <c r="AT1289" s="77">
        <f t="shared" si="4298"/>
        <v>0</v>
      </c>
      <c r="AU1289" s="77">
        <f t="shared" si="4299"/>
        <v>2.5000000000000001E-3</v>
      </c>
      <c r="AV1289" s="77">
        <f t="shared" si="4300"/>
        <v>2.0809499864316017E-4</v>
      </c>
    </row>
    <row r="1290" spans="1:48">
      <c r="A1290" t="s">
        <v>175</v>
      </c>
      <c r="B1290" t="s">
        <v>180</v>
      </c>
      <c r="C1290" s="197" t="str">
        <f t="shared" si="4171"/>
        <v>Lifecycle_Opportunity_339</v>
      </c>
      <c r="D1290">
        <v>339</v>
      </c>
      <c r="E1290">
        <f>VLOOKUP($D1290,'[2]LC Opportunity'!$Q$2:$U$542,2,FALSE)</f>
        <v>0</v>
      </c>
      <c r="F1290">
        <f>VLOOKUP($D1290,'[2]LC Opportunity'!$Q$2:$U$542,3,FALSE)</f>
        <v>0</v>
      </c>
      <c r="G1290">
        <f>VLOOKUP($D1290,'[2]LC Opportunity'!$Q$2:$U$542,4,FALSE)</f>
        <v>0</v>
      </c>
      <c r="H1290">
        <f>VLOOKUP($D1290,'[2]LC Opportunity'!$Q$2:$U$542,5,FALSE)</f>
        <v>0.99999999999999989</v>
      </c>
      <c r="I1290" s="77">
        <f t="shared" si="4281"/>
        <v>0.99999999999999989</v>
      </c>
      <c r="J1290" s="77">
        <f t="shared" si="4282"/>
        <v>7.1999999999999981E-2</v>
      </c>
      <c r="K1290" s="77">
        <f t="shared" si="4176"/>
        <v>5.8106552987937654E-3</v>
      </c>
      <c r="L1290" s="76">
        <v>0</v>
      </c>
      <c r="M1290" s="77">
        <f t="shared" si="4288"/>
        <v>0</v>
      </c>
      <c r="N1290" s="77">
        <f t="shared" si="4289"/>
        <v>0</v>
      </c>
      <c r="O1290" s="77">
        <f t="shared" si="4290"/>
        <v>4.9999999999999992E-3</v>
      </c>
      <c r="P1290" s="77">
        <f t="shared" si="4291"/>
        <v>4.1762458919303302E-4</v>
      </c>
      <c r="R1290" t="s">
        <v>177</v>
      </c>
      <c r="S1290" t="s">
        <v>180</v>
      </c>
      <c r="T1290" s="197" t="str">
        <f t="shared" si="4172"/>
        <v>Autopilot_Opportunity_339</v>
      </c>
      <c r="U1290">
        <v>339</v>
      </c>
      <c r="V1290">
        <f>VLOOKUP($U1290,'[2]AP Opportunity'!$Q$1:$T$542,2,FALSE)</f>
        <v>0.99999997777777772</v>
      </c>
      <c r="W1290">
        <f>VLOOKUP($U1290,'[2]AP Opportunity'!$Q$1:$T$542,3,FALSE)</f>
        <v>2.2222222284540294E-8</v>
      </c>
      <c r="X1290">
        <f>VLOOKUP($U1290,'[2]AP Opportunity'!$Q$1:$T$542,4,FALSE)</f>
        <v>0</v>
      </c>
      <c r="Y1290" s="77">
        <f t="shared" si="4173"/>
        <v>1</v>
      </c>
      <c r="Z1290" s="77">
        <f t="shared" si="4177"/>
        <v>6.4624999704999977E-2</v>
      </c>
      <c r="AA1290" s="77">
        <f t="shared" si="4178"/>
        <v>5.2321923767311151E-3</v>
      </c>
      <c r="AB1290" s="79">
        <v>1</v>
      </c>
      <c r="AC1290" s="77">
        <f t="shared" si="4292"/>
        <v>8.499999955555556E-3</v>
      </c>
      <c r="AD1290" s="77">
        <f t="shared" ref="AD1290" si="4315">1-(1-AC1290)^(1/12)</f>
        <v>7.1110795759765644E-4</v>
      </c>
      <c r="AE1290" s="77">
        <f t="shared" si="4294"/>
        <v>2.5000000000000001E-3</v>
      </c>
      <c r="AF1290" s="77">
        <f t="shared" ref="AF1290" si="4316">1-(1-AE1290)^(1/12)</f>
        <v>2.0857243058891584E-4</v>
      </c>
      <c r="AH1290" t="s">
        <v>175</v>
      </c>
      <c r="AI1290" t="s">
        <v>180</v>
      </c>
      <c r="AJ1290" s="197" t="str">
        <f t="shared" si="4285"/>
        <v>Lifecycle_Opportunity_339</v>
      </c>
      <c r="AK1290">
        <v>339</v>
      </c>
      <c r="AL1290">
        <f>VLOOKUP($U1290,[2]Standard_Opportunity!$Q$1:$T$542,2,FALSE)</f>
        <v>0.99999997777777772</v>
      </c>
      <c r="AM1290">
        <f>VLOOKUP($U1290,[2]Standard_Opportunity!$Q$1:$T$542,3,FALSE)</f>
        <v>2.2222222284540294E-8</v>
      </c>
      <c r="AN1290">
        <f>VLOOKUP($U1290,[2]Standard_Opportunity!$Q$1:$T$542,4,FALSE)</f>
        <v>0</v>
      </c>
      <c r="AO1290" s="77">
        <f t="shared" si="4286"/>
        <v>1</v>
      </c>
      <c r="AP1290" s="77">
        <f t="shared" si="4296"/>
        <v>6.4624999704999977E-2</v>
      </c>
      <c r="AQ1290" s="77">
        <f t="shared" si="4287"/>
        <v>5.2321923767311151E-3</v>
      </c>
      <c r="AR1290" s="79">
        <v>0</v>
      </c>
      <c r="AS1290" s="77">
        <f t="shared" si="4297"/>
        <v>0</v>
      </c>
      <c r="AT1290" s="77">
        <f t="shared" si="4298"/>
        <v>0</v>
      </c>
      <c r="AU1290" s="77">
        <f t="shared" si="4299"/>
        <v>2.5000000000000001E-3</v>
      </c>
      <c r="AV1290" s="77">
        <f t="shared" si="4300"/>
        <v>2.0809499864316017E-4</v>
      </c>
    </row>
    <row r="1291" spans="1:48">
      <c r="A1291" t="s">
        <v>175</v>
      </c>
      <c r="B1291" t="s">
        <v>180</v>
      </c>
      <c r="C1291" s="197" t="str">
        <f t="shared" si="4171"/>
        <v>Lifecycle_Opportunity_338</v>
      </c>
      <c r="D1291">
        <v>338</v>
      </c>
      <c r="E1291">
        <f>VLOOKUP($D1291,'[2]LC Opportunity'!$Q$2:$U$542,2,FALSE)</f>
        <v>0</v>
      </c>
      <c r="F1291">
        <f>VLOOKUP($D1291,'[2]LC Opportunity'!$Q$2:$U$542,3,FALSE)</f>
        <v>0</v>
      </c>
      <c r="G1291">
        <f>VLOOKUP($D1291,'[2]LC Opportunity'!$Q$2:$U$542,4,FALSE)</f>
        <v>0</v>
      </c>
      <c r="H1291">
        <f>VLOOKUP($D1291,'[2]LC Opportunity'!$Q$2:$U$542,5,FALSE)</f>
        <v>0.99999999999999989</v>
      </c>
      <c r="I1291" s="77">
        <f t="shared" si="4281"/>
        <v>0.99999999999999989</v>
      </c>
      <c r="J1291" s="77">
        <f t="shared" si="4282"/>
        <v>7.1999999999999981E-2</v>
      </c>
      <c r="K1291" s="77">
        <f t="shared" si="4176"/>
        <v>5.8106552987937654E-3</v>
      </c>
      <c r="L1291" s="76">
        <v>0</v>
      </c>
      <c r="M1291" s="77">
        <f t="shared" si="4288"/>
        <v>0</v>
      </c>
      <c r="N1291" s="77">
        <f t="shared" si="4289"/>
        <v>0</v>
      </c>
      <c r="O1291" s="77">
        <f t="shared" si="4290"/>
        <v>4.9999999999999992E-3</v>
      </c>
      <c r="P1291" s="77">
        <f t="shared" si="4291"/>
        <v>4.1762458919303302E-4</v>
      </c>
      <c r="R1291" t="s">
        <v>177</v>
      </c>
      <c r="S1291" t="s">
        <v>180</v>
      </c>
      <c r="T1291" s="197" t="str">
        <f t="shared" si="4172"/>
        <v>Autopilot_Opportunity_338</v>
      </c>
      <c r="U1291">
        <v>338</v>
      </c>
      <c r="V1291">
        <f>VLOOKUP($U1291,'[2]AP Opportunity'!$Q$1:$T$542,2,FALSE)</f>
        <v>0.99999997777777772</v>
      </c>
      <c r="W1291">
        <f>VLOOKUP($U1291,'[2]AP Opportunity'!$Q$1:$T$542,3,FALSE)</f>
        <v>2.2222222284540294E-8</v>
      </c>
      <c r="X1291">
        <f>VLOOKUP($U1291,'[2]AP Opportunity'!$Q$1:$T$542,4,FALSE)</f>
        <v>0</v>
      </c>
      <c r="Y1291" s="77">
        <f t="shared" si="4173"/>
        <v>1</v>
      </c>
      <c r="Z1291" s="77">
        <f t="shared" si="4177"/>
        <v>6.4624999704999977E-2</v>
      </c>
      <c r="AA1291" s="77">
        <f t="shared" si="4178"/>
        <v>5.2321923767311151E-3</v>
      </c>
      <c r="AB1291" s="79">
        <v>1</v>
      </c>
      <c r="AC1291" s="77">
        <f t="shared" si="4292"/>
        <v>8.499999955555556E-3</v>
      </c>
      <c r="AD1291" s="77">
        <f t="shared" ref="AD1291" si="4317">1-(1-AC1291)^(1/12)</f>
        <v>7.1110795759765644E-4</v>
      </c>
      <c r="AE1291" s="77">
        <f t="shared" si="4294"/>
        <v>2.5000000000000001E-3</v>
      </c>
      <c r="AF1291" s="77">
        <f t="shared" ref="AF1291" si="4318">1-(1-AE1291)^(1/12)</f>
        <v>2.0857243058891584E-4</v>
      </c>
      <c r="AH1291" t="s">
        <v>175</v>
      </c>
      <c r="AI1291" t="s">
        <v>180</v>
      </c>
      <c r="AJ1291" s="197" t="str">
        <f t="shared" si="4285"/>
        <v>Lifecycle_Opportunity_338</v>
      </c>
      <c r="AK1291">
        <v>338</v>
      </c>
      <c r="AL1291">
        <f>VLOOKUP($U1291,[2]Standard_Opportunity!$Q$1:$T$542,2,FALSE)</f>
        <v>0.99999997777777772</v>
      </c>
      <c r="AM1291">
        <f>VLOOKUP($U1291,[2]Standard_Opportunity!$Q$1:$T$542,3,FALSE)</f>
        <v>2.2222222284540294E-8</v>
      </c>
      <c r="AN1291">
        <f>VLOOKUP($U1291,[2]Standard_Opportunity!$Q$1:$T$542,4,FALSE)</f>
        <v>0</v>
      </c>
      <c r="AO1291" s="77">
        <f t="shared" si="4286"/>
        <v>1</v>
      </c>
      <c r="AP1291" s="77">
        <f t="shared" si="4296"/>
        <v>6.4624999704999977E-2</v>
      </c>
      <c r="AQ1291" s="77">
        <f t="shared" si="4287"/>
        <v>5.2321923767311151E-3</v>
      </c>
      <c r="AR1291" s="79">
        <v>0</v>
      </c>
      <c r="AS1291" s="77">
        <f t="shared" si="4297"/>
        <v>0</v>
      </c>
      <c r="AT1291" s="77">
        <f t="shared" si="4298"/>
        <v>0</v>
      </c>
      <c r="AU1291" s="77">
        <f t="shared" si="4299"/>
        <v>2.5000000000000001E-3</v>
      </c>
      <c r="AV1291" s="77">
        <f t="shared" si="4300"/>
        <v>2.0809499864316017E-4</v>
      </c>
    </row>
    <row r="1292" spans="1:48">
      <c r="A1292" t="s">
        <v>175</v>
      </c>
      <c r="B1292" t="s">
        <v>180</v>
      </c>
      <c r="C1292" s="197" t="str">
        <f t="shared" si="4171"/>
        <v>Lifecycle_Opportunity_337</v>
      </c>
      <c r="D1292">
        <v>337</v>
      </c>
      <c r="E1292">
        <f>VLOOKUP($D1292,'[2]LC Opportunity'!$Q$2:$U$542,2,FALSE)</f>
        <v>0</v>
      </c>
      <c r="F1292">
        <f>VLOOKUP($D1292,'[2]LC Opportunity'!$Q$2:$U$542,3,FALSE)</f>
        <v>0</v>
      </c>
      <c r="G1292">
        <f>VLOOKUP($D1292,'[2]LC Opportunity'!$Q$2:$U$542,4,FALSE)</f>
        <v>0</v>
      </c>
      <c r="H1292">
        <f>VLOOKUP($D1292,'[2]LC Opportunity'!$Q$2:$U$542,5,FALSE)</f>
        <v>0.99999999999999989</v>
      </c>
      <c r="I1292" s="77">
        <f t="shared" si="4281"/>
        <v>0.99999999999999989</v>
      </c>
      <c r="J1292" s="77">
        <f t="shared" si="4282"/>
        <v>7.1999999999999981E-2</v>
      </c>
      <c r="K1292" s="77">
        <f t="shared" si="4176"/>
        <v>5.8106552987937654E-3</v>
      </c>
      <c r="L1292" s="76">
        <v>0</v>
      </c>
      <c r="M1292" s="77">
        <f t="shared" si="4288"/>
        <v>0</v>
      </c>
      <c r="N1292" s="77">
        <f t="shared" si="4289"/>
        <v>0</v>
      </c>
      <c r="O1292" s="77">
        <f t="shared" si="4290"/>
        <v>4.9999999999999992E-3</v>
      </c>
      <c r="P1292" s="77">
        <f t="shared" si="4291"/>
        <v>4.1762458919303302E-4</v>
      </c>
      <c r="R1292" t="s">
        <v>177</v>
      </c>
      <c r="S1292" t="s">
        <v>180</v>
      </c>
      <c r="T1292" s="197" t="str">
        <f t="shared" si="4172"/>
        <v>Autopilot_Opportunity_337</v>
      </c>
      <c r="U1292">
        <v>337</v>
      </c>
      <c r="V1292">
        <f>VLOOKUP($U1292,'[2]AP Opportunity'!$Q$1:$T$542,2,FALSE)</f>
        <v>0.99999997777777772</v>
      </c>
      <c r="W1292">
        <f>VLOOKUP($U1292,'[2]AP Opportunity'!$Q$1:$T$542,3,FALSE)</f>
        <v>2.2222222284540294E-8</v>
      </c>
      <c r="X1292">
        <f>VLOOKUP($U1292,'[2]AP Opportunity'!$Q$1:$T$542,4,FALSE)</f>
        <v>0</v>
      </c>
      <c r="Y1292" s="77">
        <f t="shared" si="4173"/>
        <v>1</v>
      </c>
      <c r="Z1292" s="77">
        <f t="shared" si="4177"/>
        <v>6.4624999704999977E-2</v>
      </c>
      <c r="AA1292" s="77">
        <f t="shared" si="4178"/>
        <v>5.2321923767311151E-3</v>
      </c>
      <c r="AB1292" s="79">
        <v>1</v>
      </c>
      <c r="AC1292" s="77">
        <f t="shared" si="4292"/>
        <v>8.499999955555556E-3</v>
      </c>
      <c r="AD1292" s="77">
        <f t="shared" ref="AD1292" si="4319">1-(1-AC1292)^(1/12)</f>
        <v>7.1110795759765644E-4</v>
      </c>
      <c r="AE1292" s="77">
        <f t="shared" si="4294"/>
        <v>2.5000000000000001E-3</v>
      </c>
      <c r="AF1292" s="77">
        <f t="shared" ref="AF1292" si="4320">1-(1-AE1292)^(1/12)</f>
        <v>2.0857243058891584E-4</v>
      </c>
      <c r="AH1292" t="s">
        <v>175</v>
      </c>
      <c r="AI1292" t="s">
        <v>180</v>
      </c>
      <c r="AJ1292" s="197" t="str">
        <f t="shared" si="4285"/>
        <v>Lifecycle_Opportunity_337</v>
      </c>
      <c r="AK1292">
        <v>337</v>
      </c>
      <c r="AL1292">
        <f>VLOOKUP($U1292,[2]Standard_Opportunity!$Q$1:$T$542,2,FALSE)</f>
        <v>0.99999997777777772</v>
      </c>
      <c r="AM1292">
        <f>VLOOKUP($U1292,[2]Standard_Opportunity!$Q$1:$T$542,3,FALSE)</f>
        <v>2.2222222284540294E-8</v>
      </c>
      <c r="AN1292">
        <f>VLOOKUP($U1292,[2]Standard_Opportunity!$Q$1:$T$542,4,FALSE)</f>
        <v>0</v>
      </c>
      <c r="AO1292" s="77">
        <f t="shared" si="4286"/>
        <v>1</v>
      </c>
      <c r="AP1292" s="77">
        <f t="shared" si="4296"/>
        <v>6.4624999704999977E-2</v>
      </c>
      <c r="AQ1292" s="77">
        <f t="shared" si="4287"/>
        <v>5.2321923767311151E-3</v>
      </c>
      <c r="AR1292" s="79">
        <v>0</v>
      </c>
      <c r="AS1292" s="77">
        <f t="shared" si="4297"/>
        <v>0</v>
      </c>
      <c r="AT1292" s="77">
        <f t="shared" si="4298"/>
        <v>0</v>
      </c>
      <c r="AU1292" s="77">
        <f t="shared" si="4299"/>
        <v>2.5000000000000001E-3</v>
      </c>
      <c r="AV1292" s="77">
        <f t="shared" si="4300"/>
        <v>2.0809499864316017E-4</v>
      </c>
    </row>
    <row r="1293" spans="1:48">
      <c r="A1293" t="s">
        <v>175</v>
      </c>
      <c r="B1293" t="s">
        <v>180</v>
      </c>
      <c r="C1293" s="197" t="str">
        <f t="shared" ref="C1293:C1356" si="4321">A1293&amp;"_"&amp;B1293&amp;"_"&amp;D1293</f>
        <v>Lifecycle_Opportunity_336</v>
      </c>
      <c r="D1293">
        <v>336</v>
      </c>
      <c r="E1293">
        <f>VLOOKUP($D1293,'[2]LC Opportunity'!$Q$2:$U$542,2,FALSE)</f>
        <v>0</v>
      </c>
      <c r="F1293">
        <f>VLOOKUP($D1293,'[2]LC Opportunity'!$Q$2:$U$542,3,FALSE)</f>
        <v>0</v>
      </c>
      <c r="G1293">
        <f>VLOOKUP($D1293,'[2]LC Opportunity'!$Q$2:$U$542,4,FALSE)</f>
        <v>0</v>
      </c>
      <c r="H1293">
        <f>VLOOKUP($D1293,'[2]LC Opportunity'!$Q$2:$U$542,5,FALSE)</f>
        <v>0.99999999999999989</v>
      </c>
      <c r="I1293" s="77">
        <f t="shared" si="4281"/>
        <v>0.99999999999999989</v>
      </c>
      <c r="J1293" s="77">
        <f t="shared" si="4282"/>
        <v>7.1999999999999981E-2</v>
      </c>
      <c r="K1293" s="77">
        <f t="shared" si="4176"/>
        <v>5.8106552987937654E-3</v>
      </c>
      <c r="L1293" s="76">
        <v>0</v>
      </c>
      <c r="M1293" s="77">
        <f t="shared" si="4288"/>
        <v>0</v>
      </c>
      <c r="N1293" s="77">
        <f t="shared" si="4289"/>
        <v>0</v>
      </c>
      <c r="O1293" s="77">
        <f t="shared" si="4290"/>
        <v>4.9999999999999992E-3</v>
      </c>
      <c r="P1293" s="77">
        <f t="shared" si="4291"/>
        <v>4.1762458919303302E-4</v>
      </c>
      <c r="R1293" t="s">
        <v>177</v>
      </c>
      <c r="S1293" t="s">
        <v>180</v>
      </c>
      <c r="T1293" s="197" t="str">
        <f t="shared" ref="T1293:T1356" si="4322">R1293&amp;"_"&amp;S1293&amp;"_"&amp;U1293</f>
        <v>Autopilot_Opportunity_336</v>
      </c>
      <c r="U1293">
        <v>336</v>
      </c>
      <c r="V1293">
        <f>VLOOKUP($U1293,'[2]AP Opportunity'!$Q$1:$T$542,2,FALSE)</f>
        <v>0.99999997777777772</v>
      </c>
      <c r="W1293">
        <f>VLOOKUP($U1293,'[2]AP Opportunity'!$Q$1:$T$542,3,FALSE)</f>
        <v>2.2222222284540294E-8</v>
      </c>
      <c r="X1293">
        <f>VLOOKUP($U1293,'[2]AP Opportunity'!$Q$1:$T$542,4,FALSE)</f>
        <v>0</v>
      </c>
      <c r="Y1293" s="77">
        <f t="shared" ref="Y1293:Y1356" si="4323">SUM(V1293:X1293)</f>
        <v>1</v>
      </c>
      <c r="Z1293" s="77">
        <f t="shared" si="4177"/>
        <v>6.4624999704999977E-2</v>
      </c>
      <c r="AA1293" s="77">
        <f t="shared" si="4178"/>
        <v>5.2321923767311151E-3</v>
      </c>
      <c r="AB1293" s="79">
        <v>1</v>
      </c>
      <c r="AC1293" s="77">
        <f t="shared" si="4292"/>
        <v>8.499999955555556E-3</v>
      </c>
      <c r="AD1293" s="77">
        <f t="shared" ref="AD1293" si="4324">1-(1-AC1293)^(1/12)</f>
        <v>7.1110795759765644E-4</v>
      </c>
      <c r="AE1293" s="77">
        <f t="shared" si="4294"/>
        <v>2.5000000000000001E-3</v>
      </c>
      <c r="AF1293" s="77">
        <f t="shared" ref="AF1293" si="4325">1-(1-AE1293)^(1/12)</f>
        <v>2.0857243058891584E-4</v>
      </c>
      <c r="AH1293" t="s">
        <v>175</v>
      </c>
      <c r="AI1293" t="s">
        <v>180</v>
      </c>
      <c r="AJ1293" s="197" t="str">
        <f t="shared" si="4285"/>
        <v>Lifecycle_Opportunity_336</v>
      </c>
      <c r="AK1293">
        <v>336</v>
      </c>
      <c r="AL1293">
        <f>VLOOKUP($U1293,[2]Standard_Opportunity!$Q$1:$T$542,2,FALSE)</f>
        <v>0.99999997777777772</v>
      </c>
      <c r="AM1293">
        <f>VLOOKUP($U1293,[2]Standard_Opportunity!$Q$1:$T$542,3,FALSE)</f>
        <v>2.2222222284540294E-8</v>
      </c>
      <c r="AN1293">
        <f>VLOOKUP($U1293,[2]Standard_Opportunity!$Q$1:$T$542,4,FALSE)</f>
        <v>0</v>
      </c>
      <c r="AO1293" s="77">
        <f t="shared" si="4286"/>
        <v>1</v>
      </c>
      <c r="AP1293" s="77">
        <f t="shared" si="4296"/>
        <v>6.4624999704999977E-2</v>
      </c>
      <c r="AQ1293" s="77">
        <f t="shared" si="4287"/>
        <v>5.2321923767311151E-3</v>
      </c>
      <c r="AR1293" s="79">
        <v>0</v>
      </c>
      <c r="AS1293" s="77">
        <f t="shared" si="4297"/>
        <v>0</v>
      </c>
      <c r="AT1293" s="77">
        <f t="shared" si="4298"/>
        <v>0</v>
      </c>
      <c r="AU1293" s="77">
        <f t="shared" si="4299"/>
        <v>2.5000000000000001E-3</v>
      </c>
      <c r="AV1293" s="77">
        <f t="shared" si="4300"/>
        <v>2.0809499864316017E-4</v>
      </c>
    </row>
    <row r="1294" spans="1:48">
      <c r="A1294" t="s">
        <v>175</v>
      </c>
      <c r="B1294" t="s">
        <v>180</v>
      </c>
      <c r="C1294" s="197" t="str">
        <f t="shared" si="4321"/>
        <v>Lifecycle_Opportunity_335</v>
      </c>
      <c r="D1294">
        <v>335</v>
      </c>
      <c r="E1294">
        <f>VLOOKUP($D1294,'[2]LC Opportunity'!$Q$2:$U$542,2,FALSE)</f>
        <v>0</v>
      </c>
      <c r="F1294">
        <f>VLOOKUP($D1294,'[2]LC Opportunity'!$Q$2:$U$542,3,FALSE)</f>
        <v>0</v>
      </c>
      <c r="G1294">
        <f>VLOOKUP($D1294,'[2]LC Opportunity'!$Q$2:$U$542,4,FALSE)</f>
        <v>0</v>
      </c>
      <c r="H1294">
        <f>VLOOKUP($D1294,'[2]LC Opportunity'!$Q$2:$U$542,5,FALSE)</f>
        <v>0.99999999999999989</v>
      </c>
      <c r="I1294" s="77">
        <f t="shared" si="4281"/>
        <v>0.99999999999999989</v>
      </c>
      <c r="J1294" s="77">
        <f t="shared" si="4282"/>
        <v>7.1999999999999981E-2</v>
      </c>
      <c r="K1294" s="77">
        <f t="shared" ref="K1294:K1357" si="4326">(1+J1294)^(1/12)-1</f>
        <v>5.8106552987937654E-3</v>
      </c>
      <c r="L1294" s="76">
        <v>0</v>
      </c>
      <c r="M1294" s="77">
        <f t="shared" si="4288"/>
        <v>0</v>
      </c>
      <c r="N1294" s="77">
        <f t="shared" si="4289"/>
        <v>0</v>
      </c>
      <c r="O1294" s="77">
        <f t="shared" si="4290"/>
        <v>4.9999999999999992E-3</v>
      </c>
      <c r="P1294" s="77">
        <f t="shared" si="4291"/>
        <v>4.1762458919303302E-4</v>
      </c>
      <c r="R1294" t="s">
        <v>177</v>
      </c>
      <c r="S1294" t="s">
        <v>180</v>
      </c>
      <c r="T1294" s="197" t="str">
        <f t="shared" si="4322"/>
        <v>Autopilot_Opportunity_335</v>
      </c>
      <c r="U1294">
        <v>335</v>
      </c>
      <c r="V1294">
        <f>VLOOKUP($U1294,'[2]AP Opportunity'!$Q$1:$T$542,2,FALSE)</f>
        <v>0.99999997777777772</v>
      </c>
      <c r="W1294">
        <f>VLOOKUP($U1294,'[2]AP Opportunity'!$Q$1:$T$542,3,FALSE)</f>
        <v>2.2222222284540294E-8</v>
      </c>
      <c r="X1294">
        <f>VLOOKUP($U1294,'[2]AP Opportunity'!$Q$1:$T$542,4,FALSE)</f>
        <v>0</v>
      </c>
      <c r="Y1294" s="77">
        <f t="shared" si="4323"/>
        <v>1</v>
      </c>
      <c r="Z1294" s="77">
        <f t="shared" ref="Z1294:Z1357" si="4327">SUMPRODUCT($V$1:$X$1,V1294:X1294)</f>
        <v>6.4624999704999977E-2</v>
      </c>
      <c r="AA1294" s="77">
        <f t="shared" ref="AA1294:AA1357" si="4328">(1+Z1294)^(1/12)-1</f>
        <v>5.2321923767311151E-3</v>
      </c>
      <c r="AB1294" s="79">
        <v>1</v>
      </c>
      <c r="AC1294" s="77">
        <f t="shared" si="4292"/>
        <v>8.499999955555556E-3</v>
      </c>
      <c r="AD1294" s="77">
        <f t="shared" ref="AD1294" si="4329">1-(1-AC1294)^(1/12)</f>
        <v>7.1110795759765644E-4</v>
      </c>
      <c r="AE1294" s="77">
        <f t="shared" si="4294"/>
        <v>2.5000000000000001E-3</v>
      </c>
      <c r="AF1294" s="77">
        <f t="shared" ref="AF1294" si="4330">1-(1-AE1294)^(1/12)</f>
        <v>2.0857243058891584E-4</v>
      </c>
      <c r="AH1294" t="s">
        <v>175</v>
      </c>
      <c r="AI1294" t="s">
        <v>180</v>
      </c>
      <c r="AJ1294" s="197" t="str">
        <f t="shared" si="4285"/>
        <v>Lifecycle_Opportunity_335</v>
      </c>
      <c r="AK1294">
        <v>335</v>
      </c>
      <c r="AL1294">
        <f>VLOOKUP($U1294,[2]Standard_Opportunity!$Q$1:$T$542,2,FALSE)</f>
        <v>0.99999997777777772</v>
      </c>
      <c r="AM1294">
        <f>VLOOKUP($U1294,[2]Standard_Opportunity!$Q$1:$T$542,3,FALSE)</f>
        <v>2.2222222284540294E-8</v>
      </c>
      <c r="AN1294">
        <f>VLOOKUP($U1294,[2]Standard_Opportunity!$Q$1:$T$542,4,FALSE)</f>
        <v>0</v>
      </c>
      <c r="AO1294" s="77">
        <f t="shared" si="4286"/>
        <v>1</v>
      </c>
      <c r="AP1294" s="77">
        <f t="shared" si="4296"/>
        <v>6.4624999704999977E-2</v>
      </c>
      <c r="AQ1294" s="77">
        <f t="shared" si="4287"/>
        <v>5.2321923767311151E-3</v>
      </c>
      <c r="AR1294" s="79">
        <v>0</v>
      </c>
      <c r="AS1294" s="77">
        <f t="shared" si="4297"/>
        <v>0</v>
      </c>
      <c r="AT1294" s="77">
        <f t="shared" si="4298"/>
        <v>0</v>
      </c>
      <c r="AU1294" s="77">
        <f t="shared" si="4299"/>
        <v>2.5000000000000001E-3</v>
      </c>
      <c r="AV1294" s="77">
        <f t="shared" si="4300"/>
        <v>2.0809499864316017E-4</v>
      </c>
    </row>
    <row r="1295" spans="1:48">
      <c r="A1295" t="s">
        <v>175</v>
      </c>
      <c r="B1295" t="s">
        <v>180</v>
      </c>
      <c r="C1295" s="197" t="str">
        <f t="shared" si="4321"/>
        <v>Lifecycle_Opportunity_334</v>
      </c>
      <c r="D1295">
        <v>334</v>
      </c>
      <c r="E1295">
        <f>VLOOKUP($D1295,'[2]LC Opportunity'!$Q$2:$U$542,2,FALSE)</f>
        <v>0</v>
      </c>
      <c r="F1295">
        <f>VLOOKUP($D1295,'[2]LC Opportunity'!$Q$2:$U$542,3,FALSE)</f>
        <v>0</v>
      </c>
      <c r="G1295">
        <f>VLOOKUP($D1295,'[2]LC Opportunity'!$Q$2:$U$542,4,FALSE)</f>
        <v>0</v>
      </c>
      <c r="H1295">
        <f>VLOOKUP($D1295,'[2]LC Opportunity'!$Q$2:$U$542,5,FALSE)</f>
        <v>0.99999999999999989</v>
      </c>
      <c r="I1295" s="77">
        <f t="shared" si="4281"/>
        <v>0.99999999999999989</v>
      </c>
      <c r="J1295" s="77">
        <f t="shared" si="4282"/>
        <v>7.1999999999999981E-2</v>
      </c>
      <c r="K1295" s="77">
        <f t="shared" si="4326"/>
        <v>5.8106552987937654E-3</v>
      </c>
      <c r="L1295" s="76">
        <v>0</v>
      </c>
      <c r="M1295" s="77">
        <f t="shared" si="4288"/>
        <v>0</v>
      </c>
      <c r="N1295" s="77">
        <f t="shared" si="4289"/>
        <v>0</v>
      </c>
      <c r="O1295" s="77">
        <f t="shared" si="4290"/>
        <v>4.9999999999999992E-3</v>
      </c>
      <c r="P1295" s="77">
        <f t="shared" si="4291"/>
        <v>4.1762458919303302E-4</v>
      </c>
      <c r="R1295" t="s">
        <v>177</v>
      </c>
      <c r="S1295" t="s">
        <v>180</v>
      </c>
      <c r="T1295" s="197" t="str">
        <f t="shared" si="4322"/>
        <v>Autopilot_Opportunity_334</v>
      </c>
      <c r="U1295">
        <v>334</v>
      </c>
      <c r="V1295">
        <f>VLOOKUP($U1295,'[2]AP Opportunity'!$Q$1:$T$542,2,FALSE)</f>
        <v>0.99999997777777772</v>
      </c>
      <c r="W1295">
        <f>VLOOKUP($U1295,'[2]AP Opportunity'!$Q$1:$T$542,3,FALSE)</f>
        <v>2.2222222284540294E-8</v>
      </c>
      <c r="X1295">
        <f>VLOOKUP($U1295,'[2]AP Opportunity'!$Q$1:$T$542,4,FALSE)</f>
        <v>0</v>
      </c>
      <c r="Y1295" s="77">
        <f t="shared" si="4323"/>
        <v>1</v>
      </c>
      <c r="Z1295" s="77">
        <f t="shared" si="4327"/>
        <v>6.4624999704999977E-2</v>
      </c>
      <c r="AA1295" s="77">
        <f t="shared" si="4328"/>
        <v>5.2321923767311151E-3</v>
      </c>
      <c r="AB1295" s="79">
        <v>1</v>
      </c>
      <c r="AC1295" s="77">
        <f t="shared" si="4292"/>
        <v>8.499999955555556E-3</v>
      </c>
      <c r="AD1295" s="77">
        <f t="shared" ref="AD1295" si="4331">1-(1-AC1295)^(1/12)</f>
        <v>7.1110795759765644E-4</v>
      </c>
      <c r="AE1295" s="77">
        <f t="shared" si="4294"/>
        <v>2.5000000000000001E-3</v>
      </c>
      <c r="AF1295" s="77">
        <f t="shared" ref="AF1295" si="4332">1-(1-AE1295)^(1/12)</f>
        <v>2.0857243058891584E-4</v>
      </c>
      <c r="AH1295" t="s">
        <v>175</v>
      </c>
      <c r="AI1295" t="s">
        <v>180</v>
      </c>
      <c r="AJ1295" s="197" t="str">
        <f t="shared" si="4285"/>
        <v>Lifecycle_Opportunity_334</v>
      </c>
      <c r="AK1295">
        <v>334</v>
      </c>
      <c r="AL1295">
        <f>VLOOKUP($U1295,[2]Standard_Opportunity!$Q$1:$T$542,2,FALSE)</f>
        <v>0.99999997777777772</v>
      </c>
      <c r="AM1295">
        <f>VLOOKUP($U1295,[2]Standard_Opportunity!$Q$1:$T$542,3,FALSE)</f>
        <v>2.2222222284540294E-8</v>
      </c>
      <c r="AN1295">
        <f>VLOOKUP($U1295,[2]Standard_Opportunity!$Q$1:$T$542,4,FALSE)</f>
        <v>0</v>
      </c>
      <c r="AO1295" s="77">
        <f t="shared" si="4286"/>
        <v>1</v>
      </c>
      <c r="AP1295" s="77">
        <f t="shared" si="4296"/>
        <v>6.4624999704999977E-2</v>
      </c>
      <c r="AQ1295" s="77">
        <f t="shared" si="4287"/>
        <v>5.2321923767311151E-3</v>
      </c>
      <c r="AR1295" s="79">
        <v>0</v>
      </c>
      <c r="AS1295" s="77">
        <f t="shared" si="4297"/>
        <v>0</v>
      </c>
      <c r="AT1295" s="77">
        <f t="shared" si="4298"/>
        <v>0</v>
      </c>
      <c r="AU1295" s="77">
        <f t="shared" si="4299"/>
        <v>2.5000000000000001E-3</v>
      </c>
      <c r="AV1295" s="77">
        <f t="shared" si="4300"/>
        <v>2.0809499864316017E-4</v>
      </c>
    </row>
    <row r="1296" spans="1:48">
      <c r="A1296" t="s">
        <v>175</v>
      </c>
      <c r="B1296" t="s">
        <v>180</v>
      </c>
      <c r="C1296" s="197" t="str">
        <f t="shared" si="4321"/>
        <v>Lifecycle_Opportunity_333</v>
      </c>
      <c r="D1296">
        <v>333</v>
      </c>
      <c r="E1296">
        <f>VLOOKUP($D1296,'[2]LC Opportunity'!$Q$2:$U$542,2,FALSE)</f>
        <v>0</v>
      </c>
      <c r="F1296">
        <f>VLOOKUP($D1296,'[2]LC Opportunity'!$Q$2:$U$542,3,FALSE)</f>
        <v>0</v>
      </c>
      <c r="G1296">
        <f>VLOOKUP($D1296,'[2]LC Opportunity'!$Q$2:$U$542,4,FALSE)</f>
        <v>0</v>
      </c>
      <c r="H1296">
        <f>VLOOKUP($D1296,'[2]LC Opportunity'!$Q$2:$U$542,5,FALSE)</f>
        <v>0.99999999999999989</v>
      </c>
      <c r="I1296" s="77">
        <f t="shared" si="4281"/>
        <v>0.99999999999999989</v>
      </c>
      <c r="J1296" s="77">
        <f t="shared" si="4282"/>
        <v>7.1999999999999981E-2</v>
      </c>
      <c r="K1296" s="77">
        <f t="shared" si="4326"/>
        <v>5.8106552987937654E-3</v>
      </c>
      <c r="L1296" s="76">
        <v>0</v>
      </c>
      <c r="M1296" s="77">
        <f t="shared" si="4288"/>
        <v>0</v>
      </c>
      <c r="N1296" s="77">
        <f t="shared" si="4289"/>
        <v>0</v>
      </c>
      <c r="O1296" s="77">
        <f t="shared" si="4290"/>
        <v>4.9999999999999992E-3</v>
      </c>
      <c r="P1296" s="77">
        <f t="shared" si="4291"/>
        <v>4.1762458919303302E-4</v>
      </c>
      <c r="R1296" t="s">
        <v>177</v>
      </c>
      <c r="S1296" t="s">
        <v>180</v>
      </c>
      <c r="T1296" s="197" t="str">
        <f t="shared" si="4322"/>
        <v>Autopilot_Opportunity_333</v>
      </c>
      <c r="U1296">
        <v>333</v>
      </c>
      <c r="V1296">
        <f>VLOOKUP($U1296,'[2]AP Opportunity'!$Q$1:$T$542,2,FALSE)</f>
        <v>0.99999997777777772</v>
      </c>
      <c r="W1296">
        <f>VLOOKUP($U1296,'[2]AP Opportunity'!$Q$1:$T$542,3,FALSE)</f>
        <v>2.2222222284540294E-8</v>
      </c>
      <c r="X1296">
        <f>VLOOKUP($U1296,'[2]AP Opportunity'!$Q$1:$T$542,4,FALSE)</f>
        <v>0</v>
      </c>
      <c r="Y1296" s="77">
        <f t="shared" si="4323"/>
        <v>1</v>
      </c>
      <c r="Z1296" s="77">
        <f t="shared" si="4327"/>
        <v>6.4624999704999977E-2</v>
      </c>
      <c r="AA1296" s="77">
        <f t="shared" si="4328"/>
        <v>5.2321923767311151E-3</v>
      </c>
      <c r="AB1296" s="79">
        <v>1</v>
      </c>
      <c r="AC1296" s="77">
        <f t="shared" si="4292"/>
        <v>8.499999955555556E-3</v>
      </c>
      <c r="AD1296" s="77">
        <f t="shared" ref="AD1296" si="4333">1-(1-AC1296)^(1/12)</f>
        <v>7.1110795759765644E-4</v>
      </c>
      <c r="AE1296" s="77">
        <f t="shared" si="4294"/>
        <v>2.5000000000000001E-3</v>
      </c>
      <c r="AF1296" s="77">
        <f t="shared" ref="AF1296" si="4334">1-(1-AE1296)^(1/12)</f>
        <v>2.0857243058891584E-4</v>
      </c>
      <c r="AH1296" t="s">
        <v>175</v>
      </c>
      <c r="AI1296" t="s">
        <v>180</v>
      </c>
      <c r="AJ1296" s="197" t="str">
        <f t="shared" si="4285"/>
        <v>Lifecycle_Opportunity_333</v>
      </c>
      <c r="AK1296">
        <v>333</v>
      </c>
      <c r="AL1296">
        <f>VLOOKUP($U1296,[2]Standard_Opportunity!$Q$1:$T$542,2,FALSE)</f>
        <v>0.99999997777777772</v>
      </c>
      <c r="AM1296">
        <f>VLOOKUP($U1296,[2]Standard_Opportunity!$Q$1:$T$542,3,FALSE)</f>
        <v>2.2222222284540294E-8</v>
      </c>
      <c r="AN1296">
        <f>VLOOKUP($U1296,[2]Standard_Opportunity!$Q$1:$T$542,4,FALSE)</f>
        <v>0</v>
      </c>
      <c r="AO1296" s="77">
        <f t="shared" si="4286"/>
        <v>1</v>
      </c>
      <c r="AP1296" s="77">
        <f t="shared" si="4296"/>
        <v>6.4624999704999977E-2</v>
      </c>
      <c r="AQ1296" s="77">
        <f t="shared" si="4287"/>
        <v>5.2321923767311151E-3</v>
      </c>
      <c r="AR1296" s="79">
        <v>0</v>
      </c>
      <c r="AS1296" s="77">
        <f t="shared" si="4297"/>
        <v>0</v>
      </c>
      <c r="AT1296" s="77">
        <f t="shared" si="4298"/>
        <v>0</v>
      </c>
      <c r="AU1296" s="77">
        <f t="shared" si="4299"/>
        <v>2.5000000000000001E-3</v>
      </c>
      <c r="AV1296" s="77">
        <f t="shared" si="4300"/>
        <v>2.0809499864316017E-4</v>
      </c>
    </row>
    <row r="1297" spans="1:48">
      <c r="A1297" t="s">
        <v>175</v>
      </c>
      <c r="B1297" t="s">
        <v>180</v>
      </c>
      <c r="C1297" s="197" t="str">
        <f t="shared" si="4321"/>
        <v>Lifecycle_Opportunity_332</v>
      </c>
      <c r="D1297">
        <v>332</v>
      </c>
      <c r="E1297">
        <f>VLOOKUP($D1297,'[2]LC Opportunity'!$Q$2:$U$542,2,FALSE)</f>
        <v>0</v>
      </c>
      <c r="F1297">
        <f>VLOOKUP($D1297,'[2]LC Opportunity'!$Q$2:$U$542,3,FALSE)</f>
        <v>0</v>
      </c>
      <c r="G1297">
        <f>VLOOKUP($D1297,'[2]LC Opportunity'!$Q$2:$U$542,4,FALSE)</f>
        <v>0</v>
      </c>
      <c r="H1297">
        <f>VLOOKUP($D1297,'[2]LC Opportunity'!$Q$2:$U$542,5,FALSE)</f>
        <v>0.99999999999999989</v>
      </c>
      <c r="I1297" s="77">
        <f t="shared" si="4281"/>
        <v>0.99999999999999989</v>
      </c>
      <c r="J1297" s="77">
        <f t="shared" si="4282"/>
        <v>7.1999999999999981E-2</v>
      </c>
      <c r="K1297" s="77">
        <f t="shared" si="4326"/>
        <v>5.8106552987937654E-3</v>
      </c>
      <c r="L1297" s="76">
        <v>0</v>
      </c>
      <c r="M1297" s="77">
        <f t="shared" si="4288"/>
        <v>0</v>
      </c>
      <c r="N1297" s="77">
        <f t="shared" si="4289"/>
        <v>0</v>
      </c>
      <c r="O1297" s="77">
        <f t="shared" si="4290"/>
        <v>4.9999999999999992E-3</v>
      </c>
      <c r="P1297" s="77">
        <f t="shared" si="4291"/>
        <v>4.1762458919303302E-4</v>
      </c>
      <c r="R1297" t="s">
        <v>177</v>
      </c>
      <c r="S1297" t="s">
        <v>180</v>
      </c>
      <c r="T1297" s="197" t="str">
        <f t="shared" si="4322"/>
        <v>Autopilot_Opportunity_332</v>
      </c>
      <c r="U1297">
        <v>332</v>
      </c>
      <c r="V1297">
        <f>VLOOKUP($U1297,'[2]AP Opportunity'!$Q$1:$T$542,2,FALSE)</f>
        <v>0.99999997777777772</v>
      </c>
      <c r="W1297">
        <f>VLOOKUP($U1297,'[2]AP Opportunity'!$Q$1:$T$542,3,FALSE)</f>
        <v>2.2222222284540294E-8</v>
      </c>
      <c r="X1297">
        <f>VLOOKUP($U1297,'[2]AP Opportunity'!$Q$1:$T$542,4,FALSE)</f>
        <v>0</v>
      </c>
      <c r="Y1297" s="77">
        <f t="shared" si="4323"/>
        <v>1</v>
      </c>
      <c r="Z1297" s="77">
        <f t="shared" si="4327"/>
        <v>6.4624999704999977E-2</v>
      </c>
      <c r="AA1297" s="77">
        <f t="shared" si="4328"/>
        <v>5.2321923767311151E-3</v>
      </c>
      <c r="AB1297" s="79">
        <v>1</v>
      </c>
      <c r="AC1297" s="77">
        <f t="shared" si="4292"/>
        <v>8.499999955555556E-3</v>
      </c>
      <c r="AD1297" s="77">
        <f t="shared" ref="AD1297" si="4335">1-(1-AC1297)^(1/12)</f>
        <v>7.1110795759765644E-4</v>
      </c>
      <c r="AE1297" s="77">
        <f t="shared" si="4294"/>
        <v>2.5000000000000001E-3</v>
      </c>
      <c r="AF1297" s="77">
        <f t="shared" ref="AF1297" si="4336">1-(1-AE1297)^(1/12)</f>
        <v>2.0857243058891584E-4</v>
      </c>
      <c r="AH1297" t="s">
        <v>175</v>
      </c>
      <c r="AI1297" t="s">
        <v>180</v>
      </c>
      <c r="AJ1297" s="197" t="str">
        <f t="shared" si="4285"/>
        <v>Lifecycle_Opportunity_332</v>
      </c>
      <c r="AK1297">
        <v>332</v>
      </c>
      <c r="AL1297">
        <f>VLOOKUP($U1297,[2]Standard_Opportunity!$Q$1:$T$542,2,FALSE)</f>
        <v>0.99999997777777772</v>
      </c>
      <c r="AM1297">
        <f>VLOOKUP($U1297,[2]Standard_Opportunity!$Q$1:$T$542,3,FALSE)</f>
        <v>2.2222222284540294E-8</v>
      </c>
      <c r="AN1297">
        <f>VLOOKUP($U1297,[2]Standard_Opportunity!$Q$1:$T$542,4,FALSE)</f>
        <v>0</v>
      </c>
      <c r="AO1297" s="77">
        <f t="shared" si="4286"/>
        <v>1</v>
      </c>
      <c r="AP1297" s="77">
        <f t="shared" si="4296"/>
        <v>6.4624999704999977E-2</v>
      </c>
      <c r="AQ1297" s="77">
        <f t="shared" si="4287"/>
        <v>5.2321923767311151E-3</v>
      </c>
      <c r="AR1297" s="79">
        <v>0</v>
      </c>
      <c r="AS1297" s="77">
        <f t="shared" si="4297"/>
        <v>0</v>
      </c>
      <c r="AT1297" s="77">
        <f t="shared" si="4298"/>
        <v>0</v>
      </c>
      <c r="AU1297" s="77">
        <f t="shared" si="4299"/>
        <v>2.5000000000000001E-3</v>
      </c>
      <c r="AV1297" s="77">
        <f t="shared" si="4300"/>
        <v>2.0809499864316017E-4</v>
      </c>
    </row>
    <row r="1298" spans="1:48">
      <c r="A1298" t="s">
        <v>175</v>
      </c>
      <c r="B1298" t="s">
        <v>180</v>
      </c>
      <c r="C1298" s="197" t="str">
        <f t="shared" si="4321"/>
        <v>Lifecycle_Opportunity_331</v>
      </c>
      <c r="D1298">
        <v>331</v>
      </c>
      <c r="E1298">
        <f>VLOOKUP($D1298,'[2]LC Opportunity'!$Q$2:$U$542,2,FALSE)</f>
        <v>0</v>
      </c>
      <c r="F1298">
        <f>VLOOKUP($D1298,'[2]LC Opportunity'!$Q$2:$U$542,3,FALSE)</f>
        <v>0</v>
      </c>
      <c r="G1298">
        <f>VLOOKUP($D1298,'[2]LC Opportunity'!$Q$2:$U$542,4,FALSE)</f>
        <v>0</v>
      </c>
      <c r="H1298">
        <f>VLOOKUP($D1298,'[2]LC Opportunity'!$Q$2:$U$542,5,FALSE)</f>
        <v>0.99999999999999989</v>
      </c>
      <c r="I1298" s="77">
        <f t="shared" si="4281"/>
        <v>0.99999999999999989</v>
      </c>
      <c r="J1298" s="77">
        <f t="shared" si="4282"/>
        <v>7.1999999999999981E-2</v>
      </c>
      <c r="K1298" s="77">
        <f t="shared" si="4326"/>
        <v>5.8106552987937654E-3</v>
      </c>
      <c r="L1298" s="76">
        <v>0</v>
      </c>
      <c r="M1298" s="77">
        <f t="shared" si="4288"/>
        <v>0</v>
      </c>
      <c r="N1298" s="77">
        <f t="shared" si="4289"/>
        <v>0</v>
      </c>
      <c r="O1298" s="77">
        <f t="shared" si="4290"/>
        <v>4.9999999999999992E-3</v>
      </c>
      <c r="P1298" s="77">
        <f t="shared" si="4291"/>
        <v>4.1762458919303302E-4</v>
      </c>
      <c r="R1298" t="s">
        <v>177</v>
      </c>
      <c r="S1298" t="s">
        <v>180</v>
      </c>
      <c r="T1298" s="197" t="str">
        <f t="shared" si="4322"/>
        <v>Autopilot_Opportunity_331</v>
      </c>
      <c r="U1298">
        <v>331</v>
      </c>
      <c r="V1298">
        <f>VLOOKUP($U1298,'[2]AP Opportunity'!$Q$1:$T$542,2,FALSE)</f>
        <v>0.99999997777777772</v>
      </c>
      <c r="W1298">
        <f>VLOOKUP($U1298,'[2]AP Opportunity'!$Q$1:$T$542,3,FALSE)</f>
        <v>2.2222222284540294E-8</v>
      </c>
      <c r="X1298">
        <f>VLOOKUP($U1298,'[2]AP Opportunity'!$Q$1:$T$542,4,FALSE)</f>
        <v>0</v>
      </c>
      <c r="Y1298" s="77">
        <f t="shared" si="4323"/>
        <v>1</v>
      </c>
      <c r="Z1298" s="77">
        <f t="shared" si="4327"/>
        <v>6.4624999704999977E-2</v>
      </c>
      <c r="AA1298" s="77">
        <f t="shared" si="4328"/>
        <v>5.2321923767311151E-3</v>
      </c>
      <c r="AB1298" s="79">
        <v>1</v>
      </c>
      <c r="AC1298" s="77">
        <f t="shared" si="4292"/>
        <v>8.499999955555556E-3</v>
      </c>
      <c r="AD1298" s="77">
        <f t="shared" ref="AD1298" si="4337">1-(1-AC1298)^(1/12)</f>
        <v>7.1110795759765644E-4</v>
      </c>
      <c r="AE1298" s="77">
        <f t="shared" si="4294"/>
        <v>2.5000000000000001E-3</v>
      </c>
      <c r="AF1298" s="77">
        <f t="shared" ref="AF1298" si="4338">1-(1-AE1298)^(1/12)</f>
        <v>2.0857243058891584E-4</v>
      </c>
      <c r="AH1298" t="s">
        <v>175</v>
      </c>
      <c r="AI1298" t="s">
        <v>180</v>
      </c>
      <c r="AJ1298" s="197" t="str">
        <f t="shared" si="4285"/>
        <v>Lifecycle_Opportunity_331</v>
      </c>
      <c r="AK1298">
        <v>331</v>
      </c>
      <c r="AL1298">
        <f>VLOOKUP($U1298,[2]Standard_Opportunity!$Q$1:$T$542,2,FALSE)</f>
        <v>0.99999997777777772</v>
      </c>
      <c r="AM1298">
        <f>VLOOKUP($U1298,[2]Standard_Opportunity!$Q$1:$T$542,3,FALSE)</f>
        <v>2.2222222284540294E-8</v>
      </c>
      <c r="AN1298">
        <f>VLOOKUP($U1298,[2]Standard_Opportunity!$Q$1:$T$542,4,FALSE)</f>
        <v>0</v>
      </c>
      <c r="AO1298" s="77">
        <f t="shared" si="4286"/>
        <v>1</v>
      </c>
      <c r="AP1298" s="77">
        <f t="shared" si="4296"/>
        <v>6.4624999704999977E-2</v>
      </c>
      <c r="AQ1298" s="77">
        <f t="shared" si="4287"/>
        <v>5.2321923767311151E-3</v>
      </c>
      <c r="AR1298" s="79">
        <v>0</v>
      </c>
      <c r="AS1298" s="77">
        <f t="shared" si="4297"/>
        <v>0</v>
      </c>
      <c r="AT1298" s="77">
        <f t="shared" si="4298"/>
        <v>0</v>
      </c>
      <c r="AU1298" s="77">
        <f t="shared" si="4299"/>
        <v>2.5000000000000001E-3</v>
      </c>
      <c r="AV1298" s="77">
        <f t="shared" si="4300"/>
        <v>2.0809499864316017E-4</v>
      </c>
    </row>
    <row r="1299" spans="1:48">
      <c r="A1299" t="s">
        <v>175</v>
      </c>
      <c r="B1299" t="s">
        <v>180</v>
      </c>
      <c r="C1299" s="197" t="str">
        <f t="shared" si="4321"/>
        <v>Lifecycle_Opportunity_330</v>
      </c>
      <c r="D1299">
        <v>330</v>
      </c>
      <c r="E1299">
        <f>VLOOKUP($D1299,'[2]LC Opportunity'!$Q$2:$U$542,2,FALSE)</f>
        <v>0</v>
      </c>
      <c r="F1299">
        <f>VLOOKUP($D1299,'[2]LC Opportunity'!$Q$2:$U$542,3,FALSE)</f>
        <v>0</v>
      </c>
      <c r="G1299">
        <f>VLOOKUP($D1299,'[2]LC Opportunity'!$Q$2:$U$542,4,FALSE)</f>
        <v>0</v>
      </c>
      <c r="H1299">
        <f>VLOOKUP($D1299,'[2]LC Opportunity'!$Q$2:$U$542,5,FALSE)</f>
        <v>0.99999999999999989</v>
      </c>
      <c r="I1299" s="77">
        <f t="shared" si="4281"/>
        <v>0.99999999999999989</v>
      </c>
      <c r="J1299" s="77">
        <f t="shared" si="4282"/>
        <v>7.1999999999999981E-2</v>
      </c>
      <c r="K1299" s="77">
        <f t="shared" si="4326"/>
        <v>5.8106552987937654E-3</v>
      </c>
      <c r="L1299" s="76">
        <v>0</v>
      </c>
      <c r="M1299" s="77">
        <f t="shared" si="4288"/>
        <v>0</v>
      </c>
      <c r="N1299" s="77">
        <f t="shared" si="4289"/>
        <v>0</v>
      </c>
      <c r="O1299" s="77">
        <f t="shared" si="4290"/>
        <v>4.9999999999999992E-3</v>
      </c>
      <c r="P1299" s="77">
        <f t="shared" si="4291"/>
        <v>4.1762458919303302E-4</v>
      </c>
      <c r="R1299" t="s">
        <v>177</v>
      </c>
      <c r="S1299" t="s">
        <v>180</v>
      </c>
      <c r="T1299" s="197" t="str">
        <f t="shared" si="4322"/>
        <v>Autopilot_Opportunity_330</v>
      </c>
      <c r="U1299">
        <v>330</v>
      </c>
      <c r="V1299">
        <f>VLOOKUP($U1299,'[2]AP Opportunity'!$Q$1:$T$542,2,FALSE)</f>
        <v>0.99999997777777772</v>
      </c>
      <c r="W1299">
        <f>VLOOKUP($U1299,'[2]AP Opportunity'!$Q$1:$T$542,3,FALSE)</f>
        <v>2.2222222284540294E-8</v>
      </c>
      <c r="X1299">
        <f>VLOOKUP($U1299,'[2]AP Opportunity'!$Q$1:$T$542,4,FALSE)</f>
        <v>0</v>
      </c>
      <c r="Y1299" s="77">
        <f t="shared" si="4323"/>
        <v>1</v>
      </c>
      <c r="Z1299" s="77">
        <f t="shared" si="4327"/>
        <v>6.4624999704999977E-2</v>
      </c>
      <c r="AA1299" s="77">
        <f t="shared" si="4328"/>
        <v>5.2321923767311151E-3</v>
      </c>
      <c r="AB1299" s="79">
        <v>1</v>
      </c>
      <c r="AC1299" s="77">
        <f t="shared" si="4292"/>
        <v>8.499999955555556E-3</v>
      </c>
      <c r="AD1299" s="77">
        <f t="shared" ref="AD1299" si="4339">1-(1-AC1299)^(1/12)</f>
        <v>7.1110795759765644E-4</v>
      </c>
      <c r="AE1299" s="77">
        <f t="shared" si="4294"/>
        <v>2.5000000000000001E-3</v>
      </c>
      <c r="AF1299" s="77">
        <f t="shared" ref="AF1299" si="4340">1-(1-AE1299)^(1/12)</f>
        <v>2.0857243058891584E-4</v>
      </c>
      <c r="AH1299" t="s">
        <v>175</v>
      </c>
      <c r="AI1299" t="s">
        <v>180</v>
      </c>
      <c r="AJ1299" s="197" t="str">
        <f t="shared" si="4285"/>
        <v>Lifecycle_Opportunity_330</v>
      </c>
      <c r="AK1299">
        <v>330</v>
      </c>
      <c r="AL1299">
        <f>VLOOKUP($U1299,[2]Standard_Opportunity!$Q$1:$T$542,2,FALSE)</f>
        <v>0.99999997777777772</v>
      </c>
      <c r="AM1299">
        <f>VLOOKUP($U1299,[2]Standard_Opportunity!$Q$1:$T$542,3,FALSE)</f>
        <v>2.2222222284540294E-8</v>
      </c>
      <c r="AN1299">
        <f>VLOOKUP($U1299,[2]Standard_Opportunity!$Q$1:$T$542,4,FALSE)</f>
        <v>0</v>
      </c>
      <c r="AO1299" s="77">
        <f t="shared" si="4286"/>
        <v>1</v>
      </c>
      <c r="AP1299" s="77">
        <f t="shared" si="4296"/>
        <v>6.4624999704999977E-2</v>
      </c>
      <c r="AQ1299" s="77">
        <f t="shared" si="4287"/>
        <v>5.2321923767311151E-3</v>
      </c>
      <c r="AR1299" s="79">
        <v>0</v>
      </c>
      <c r="AS1299" s="77">
        <f t="shared" si="4297"/>
        <v>0</v>
      </c>
      <c r="AT1299" s="77">
        <f t="shared" si="4298"/>
        <v>0</v>
      </c>
      <c r="AU1299" s="77">
        <f t="shared" si="4299"/>
        <v>2.5000000000000001E-3</v>
      </c>
      <c r="AV1299" s="77">
        <f t="shared" si="4300"/>
        <v>2.0809499864316017E-4</v>
      </c>
    </row>
    <row r="1300" spans="1:48">
      <c r="A1300" t="s">
        <v>175</v>
      </c>
      <c r="B1300" t="s">
        <v>180</v>
      </c>
      <c r="C1300" s="197" t="str">
        <f t="shared" si="4321"/>
        <v>Lifecycle_Opportunity_329</v>
      </c>
      <c r="D1300">
        <v>329</v>
      </c>
      <c r="E1300">
        <f>VLOOKUP($D1300,'[2]LC Opportunity'!$Q$2:$U$542,2,FALSE)</f>
        <v>0</v>
      </c>
      <c r="F1300">
        <f>VLOOKUP($D1300,'[2]LC Opportunity'!$Q$2:$U$542,3,FALSE)</f>
        <v>0</v>
      </c>
      <c r="G1300">
        <f>VLOOKUP($D1300,'[2]LC Opportunity'!$Q$2:$U$542,4,FALSE)</f>
        <v>0</v>
      </c>
      <c r="H1300">
        <f>VLOOKUP($D1300,'[2]LC Opportunity'!$Q$2:$U$542,5,FALSE)</f>
        <v>0.99999999999999989</v>
      </c>
      <c r="I1300" s="77">
        <f t="shared" si="4281"/>
        <v>0.99999999999999989</v>
      </c>
      <c r="J1300" s="77">
        <f t="shared" si="4282"/>
        <v>7.1999999999999981E-2</v>
      </c>
      <c r="K1300" s="77">
        <f t="shared" si="4326"/>
        <v>5.8106552987937654E-3</v>
      </c>
      <c r="L1300" s="76">
        <v>0</v>
      </c>
      <c r="M1300" s="77">
        <f t="shared" si="4288"/>
        <v>0</v>
      </c>
      <c r="N1300" s="77">
        <f t="shared" si="4289"/>
        <v>0</v>
      </c>
      <c r="O1300" s="77">
        <f t="shared" si="4290"/>
        <v>4.9999999999999992E-3</v>
      </c>
      <c r="P1300" s="77">
        <f t="shared" si="4291"/>
        <v>4.1762458919303302E-4</v>
      </c>
      <c r="R1300" t="s">
        <v>177</v>
      </c>
      <c r="S1300" t="s">
        <v>180</v>
      </c>
      <c r="T1300" s="197" t="str">
        <f t="shared" si="4322"/>
        <v>Autopilot_Opportunity_329</v>
      </c>
      <c r="U1300">
        <v>329</v>
      </c>
      <c r="V1300">
        <f>VLOOKUP($U1300,'[2]AP Opportunity'!$Q$1:$T$542,2,FALSE)</f>
        <v>0.99999997777777772</v>
      </c>
      <c r="W1300">
        <f>VLOOKUP($U1300,'[2]AP Opportunity'!$Q$1:$T$542,3,FALSE)</f>
        <v>2.2222222284540294E-8</v>
      </c>
      <c r="X1300">
        <f>VLOOKUP($U1300,'[2]AP Opportunity'!$Q$1:$T$542,4,FALSE)</f>
        <v>0</v>
      </c>
      <c r="Y1300" s="77">
        <f t="shared" si="4323"/>
        <v>1</v>
      </c>
      <c r="Z1300" s="77">
        <f t="shared" si="4327"/>
        <v>6.4624999704999977E-2</v>
      </c>
      <c r="AA1300" s="77">
        <f t="shared" si="4328"/>
        <v>5.2321923767311151E-3</v>
      </c>
      <c r="AB1300" s="79">
        <v>1</v>
      </c>
      <c r="AC1300" s="77">
        <f t="shared" si="4292"/>
        <v>8.499999955555556E-3</v>
      </c>
      <c r="AD1300" s="77">
        <f t="shared" ref="AD1300" si="4341">1-(1-AC1300)^(1/12)</f>
        <v>7.1110795759765644E-4</v>
      </c>
      <c r="AE1300" s="77">
        <f t="shared" si="4294"/>
        <v>2.5000000000000001E-3</v>
      </c>
      <c r="AF1300" s="77">
        <f t="shared" ref="AF1300" si="4342">1-(1-AE1300)^(1/12)</f>
        <v>2.0857243058891584E-4</v>
      </c>
      <c r="AH1300" t="s">
        <v>175</v>
      </c>
      <c r="AI1300" t="s">
        <v>180</v>
      </c>
      <c r="AJ1300" s="197" t="str">
        <f t="shared" si="4285"/>
        <v>Lifecycle_Opportunity_329</v>
      </c>
      <c r="AK1300">
        <v>329</v>
      </c>
      <c r="AL1300">
        <f>VLOOKUP($U1300,[2]Standard_Opportunity!$Q$1:$T$542,2,FALSE)</f>
        <v>0.99999997777777772</v>
      </c>
      <c r="AM1300">
        <f>VLOOKUP($U1300,[2]Standard_Opportunity!$Q$1:$T$542,3,FALSE)</f>
        <v>2.2222222284540294E-8</v>
      </c>
      <c r="AN1300">
        <f>VLOOKUP($U1300,[2]Standard_Opportunity!$Q$1:$T$542,4,FALSE)</f>
        <v>0</v>
      </c>
      <c r="AO1300" s="77">
        <f t="shared" si="4286"/>
        <v>1</v>
      </c>
      <c r="AP1300" s="77">
        <f t="shared" si="4296"/>
        <v>6.4624999704999977E-2</v>
      </c>
      <c r="AQ1300" s="77">
        <f t="shared" si="4287"/>
        <v>5.2321923767311151E-3</v>
      </c>
      <c r="AR1300" s="79">
        <v>0</v>
      </c>
      <c r="AS1300" s="77">
        <f t="shared" si="4297"/>
        <v>0</v>
      </c>
      <c r="AT1300" s="77">
        <f t="shared" si="4298"/>
        <v>0</v>
      </c>
      <c r="AU1300" s="77">
        <f t="shared" si="4299"/>
        <v>2.5000000000000001E-3</v>
      </c>
      <c r="AV1300" s="77">
        <f t="shared" si="4300"/>
        <v>2.0809499864316017E-4</v>
      </c>
    </row>
    <row r="1301" spans="1:48">
      <c r="A1301" t="s">
        <v>175</v>
      </c>
      <c r="B1301" t="s">
        <v>180</v>
      </c>
      <c r="C1301" s="197" t="str">
        <f t="shared" si="4321"/>
        <v>Lifecycle_Opportunity_328</v>
      </c>
      <c r="D1301">
        <v>328</v>
      </c>
      <c r="E1301">
        <f>VLOOKUP($D1301,'[2]LC Opportunity'!$Q$2:$U$542,2,FALSE)</f>
        <v>0</v>
      </c>
      <c r="F1301">
        <f>VLOOKUP($D1301,'[2]LC Opportunity'!$Q$2:$U$542,3,FALSE)</f>
        <v>0</v>
      </c>
      <c r="G1301">
        <f>VLOOKUP($D1301,'[2]LC Opportunity'!$Q$2:$U$542,4,FALSE)</f>
        <v>0</v>
      </c>
      <c r="H1301">
        <f>VLOOKUP($D1301,'[2]LC Opportunity'!$Q$2:$U$542,5,FALSE)</f>
        <v>0.99999999999999989</v>
      </c>
      <c r="I1301" s="77">
        <f t="shared" si="4281"/>
        <v>0.99999999999999989</v>
      </c>
      <c r="J1301" s="77">
        <f t="shared" si="4282"/>
        <v>7.1999999999999981E-2</v>
      </c>
      <c r="K1301" s="77">
        <f t="shared" si="4326"/>
        <v>5.8106552987937654E-3</v>
      </c>
      <c r="L1301" s="76">
        <v>0</v>
      </c>
      <c r="M1301" s="77">
        <f t="shared" si="4288"/>
        <v>0</v>
      </c>
      <c r="N1301" s="77">
        <f t="shared" si="4289"/>
        <v>0</v>
      </c>
      <c r="O1301" s="77">
        <f t="shared" si="4290"/>
        <v>4.9999999999999992E-3</v>
      </c>
      <c r="P1301" s="77">
        <f t="shared" si="4291"/>
        <v>4.1762458919303302E-4</v>
      </c>
      <c r="R1301" t="s">
        <v>177</v>
      </c>
      <c r="S1301" t="s">
        <v>180</v>
      </c>
      <c r="T1301" s="197" t="str">
        <f t="shared" si="4322"/>
        <v>Autopilot_Opportunity_328</v>
      </c>
      <c r="U1301">
        <v>328</v>
      </c>
      <c r="V1301">
        <f>VLOOKUP($U1301,'[2]AP Opportunity'!$Q$1:$T$542,2,FALSE)</f>
        <v>0.99999997777777772</v>
      </c>
      <c r="W1301">
        <f>VLOOKUP($U1301,'[2]AP Opportunity'!$Q$1:$T$542,3,FALSE)</f>
        <v>2.2222222284540294E-8</v>
      </c>
      <c r="X1301">
        <f>VLOOKUP($U1301,'[2]AP Opportunity'!$Q$1:$T$542,4,FALSE)</f>
        <v>0</v>
      </c>
      <c r="Y1301" s="77">
        <f t="shared" si="4323"/>
        <v>1</v>
      </c>
      <c r="Z1301" s="77">
        <f t="shared" si="4327"/>
        <v>6.4624999704999977E-2</v>
      </c>
      <c r="AA1301" s="77">
        <f t="shared" si="4328"/>
        <v>5.2321923767311151E-3</v>
      </c>
      <c r="AB1301" s="79">
        <v>1</v>
      </c>
      <c r="AC1301" s="77">
        <f t="shared" si="4292"/>
        <v>8.499999955555556E-3</v>
      </c>
      <c r="AD1301" s="77">
        <f t="shared" ref="AD1301" si="4343">1-(1-AC1301)^(1/12)</f>
        <v>7.1110795759765644E-4</v>
      </c>
      <c r="AE1301" s="77">
        <f t="shared" si="4294"/>
        <v>2.5000000000000001E-3</v>
      </c>
      <c r="AF1301" s="77">
        <f t="shared" ref="AF1301" si="4344">1-(1-AE1301)^(1/12)</f>
        <v>2.0857243058891584E-4</v>
      </c>
      <c r="AH1301" t="s">
        <v>175</v>
      </c>
      <c r="AI1301" t="s">
        <v>180</v>
      </c>
      <c r="AJ1301" s="197" t="str">
        <f t="shared" si="4285"/>
        <v>Lifecycle_Opportunity_328</v>
      </c>
      <c r="AK1301">
        <v>328</v>
      </c>
      <c r="AL1301">
        <f>VLOOKUP($U1301,[2]Standard_Opportunity!$Q$1:$T$542,2,FALSE)</f>
        <v>0.99999997777777772</v>
      </c>
      <c r="AM1301">
        <f>VLOOKUP($U1301,[2]Standard_Opportunity!$Q$1:$T$542,3,FALSE)</f>
        <v>2.2222222284540294E-8</v>
      </c>
      <c r="AN1301">
        <f>VLOOKUP($U1301,[2]Standard_Opportunity!$Q$1:$T$542,4,FALSE)</f>
        <v>0</v>
      </c>
      <c r="AO1301" s="77">
        <f t="shared" si="4286"/>
        <v>1</v>
      </c>
      <c r="AP1301" s="77">
        <f t="shared" si="4296"/>
        <v>6.4624999704999977E-2</v>
      </c>
      <c r="AQ1301" s="77">
        <f t="shared" si="4287"/>
        <v>5.2321923767311151E-3</v>
      </c>
      <c r="AR1301" s="79">
        <v>0</v>
      </c>
      <c r="AS1301" s="77">
        <f t="shared" si="4297"/>
        <v>0</v>
      </c>
      <c r="AT1301" s="77">
        <f t="shared" si="4298"/>
        <v>0</v>
      </c>
      <c r="AU1301" s="77">
        <f t="shared" si="4299"/>
        <v>2.5000000000000001E-3</v>
      </c>
      <c r="AV1301" s="77">
        <f t="shared" si="4300"/>
        <v>2.0809499864316017E-4</v>
      </c>
    </row>
    <row r="1302" spans="1:48">
      <c r="A1302" t="s">
        <v>175</v>
      </c>
      <c r="B1302" t="s">
        <v>180</v>
      </c>
      <c r="C1302" s="197" t="str">
        <f t="shared" si="4321"/>
        <v>Lifecycle_Opportunity_327</v>
      </c>
      <c r="D1302">
        <v>327</v>
      </c>
      <c r="E1302">
        <f>VLOOKUP($D1302,'[2]LC Opportunity'!$Q$2:$U$542,2,FALSE)</f>
        <v>0</v>
      </c>
      <c r="F1302">
        <f>VLOOKUP($D1302,'[2]LC Opportunity'!$Q$2:$U$542,3,FALSE)</f>
        <v>0</v>
      </c>
      <c r="G1302">
        <f>VLOOKUP($D1302,'[2]LC Opportunity'!$Q$2:$U$542,4,FALSE)</f>
        <v>0</v>
      </c>
      <c r="H1302">
        <f>VLOOKUP($D1302,'[2]LC Opportunity'!$Q$2:$U$542,5,FALSE)</f>
        <v>0.99999999999999989</v>
      </c>
      <c r="I1302" s="77">
        <f t="shared" si="4281"/>
        <v>0.99999999999999989</v>
      </c>
      <c r="J1302" s="77">
        <f t="shared" si="4282"/>
        <v>7.1999999999999981E-2</v>
      </c>
      <c r="K1302" s="77">
        <f t="shared" si="4326"/>
        <v>5.8106552987937654E-3</v>
      </c>
      <c r="L1302" s="76">
        <v>0</v>
      </c>
      <c r="M1302" s="77">
        <f t="shared" si="4288"/>
        <v>0</v>
      </c>
      <c r="N1302" s="77">
        <f t="shared" si="4289"/>
        <v>0</v>
      </c>
      <c r="O1302" s="77">
        <f t="shared" si="4290"/>
        <v>4.9999999999999992E-3</v>
      </c>
      <c r="P1302" s="77">
        <f t="shared" si="4291"/>
        <v>4.1762458919303302E-4</v>
      </c>
      <c r="R1302" t="s">
        <v>177</v>
      </c>
      <c r="S1302" t="s">
        <v>180</v>
      </c>
      <c r="T1302" s="197" t="str">
        <f t="shared" si="4322"/>
        <v>Autopilot_Opportunity_327</v>
      </c>
      <c r="U1302">
        <v>327</v>
      </c>
      <c r="V1302">
        <f>VLOOKUP($U1302,'[2]AP Opportunity'!$Q$1:$T$542,2,FALSE)</f>
        <v>0.99999997777777772</v>
      </c>
      <c r="W1302">
        <f>VLOOKUP($U1302,'[2]AP Opportunity'!$Q$1:$T$542,3,FALSE)</f>
        <v>2.2222222284540294E-8</v>
      </c>
      <c r="X1302">
        <f>VLOOKUP($U1302,'[2]AP Opportunity'!$Q$1:$T$542,4,FALSE)</f>
        <v>0</v>
      </c>
      <c r="Y1302" s="77">
        <f t="shared" si="4323"/>
        <v>1</v>
      </c>
      <c r="Z1302" s="77">
        <f t="shared" si="4327"/>
        <v>6.4624999704999977E-2</v>
      </c>
      <c r="AA1302" s="77">
        <f t="shared" si="4328"/>
        <v>5.2321923767311151E-3</v>
      </c>
      <c r="AB1302" s="79">
        <v>1</v>
      </c>
      <c r="AC1302" s="77">
        <f t="shared" si="4292"/>
        <v>8.499999955555556E-3</v>
      </c>
      <c r="AD1302" s="77">
        <f t="shared" ref="AD1302" si="4345">1-(1-AC1302)^(1/12)</f>
        <v>7.1110795759765644E-4</v>
      </c>
      <c r="AE1302" s="77">
        <f t="shared" si="4294"/>
        <v>2.5000000000000001E-3</v>
      </c>
      <c r="AF1302" s="77">
        <f t="shared" ref="AF1302" si="4346">1-(1-AE1302)^(1/12)</f>
        <v>2.0857243058891584E-4</v>
      </c>
      <c r="AH1302" t="s">
        <v>175</v>
      </c>
      <c r="AI1302" t="s">
        <v>180</v>
      </c>
      <c r="AJ1302" s="197" t="str">
        <f t="shared" si="4285"/>
        <v>Lifecycle_Opportunity_327</v>
      </c>
      <c r="AK1302">
        <v>327</v>
      </c>
      <c r="AL1302">
        <f>VLOOKUP($U1302,[2]Standard_Opportunity!$Q$1:$T$542,2,FALSE)</f>
        <v>0.99999997777777772</v>
      </c>
      <c r="AM1302">
        <f>VLOOKUP($U1302,[2]Standard_Opportunity!$Q$1:$T$542,3,FALSE)</f>
        <v>2.2222222284540294E-8</v>
      </c>
      <c r="AN1302">
        <f>VLOOKUP($U1302,[2]Standard_Opportunity!$Q$1:$T$542,4,FALSE)</f>
        <v>0</v>
      </c>
      <c r="AO1302" s="77">
        <f t="shared" si="4286"/>
        <v>1</v>
      </c>
      <c r="AP1302" s="77">
        <f t="shared" si="4296"/>
        <v>6.4624999704999977E-2</v>
      </c>
      <c r="AQ1302" s="77">
        <f t="shared" si="4287"/>
        <v>5.2321923767311151E-3</v>
      </c>
      <c r="AR1302" s="79">
        <v>0</v>
      </c>
      <c r="AS1302" s="77">
        <f t="shared" si="4297"/>
        <v>0</v>
      </c>
      <c r="AT1302" s="77">
        <f t="shared" si="4298"/>
        <v>0</v>
      </c>
      <c r="AU1302" s="77">
        <f t="shared" si="4299"/>
        <v>2.5000000000000001E-3</v>
      </c>
      <c r="AV1302" s="77">
        <f t="shared" si="4300"/>
        <v>2.0809499864316017E-4</v>
      </c>
    </row>
    <row r="1303" spans="1:48">
      <c r="A1303" t="s">
        <v>175</v>
      </c>
      <c r="B1303" t="s">
        <v>180</v>
      </c>
      <c r="C1303" s="197" t="str">
        <f t="shared" si="4321"/>
        <v>Lifecycle_Opportunity_326</v>
      </c>
      <c r="D1303">
        <v>326</v>
      </c>
      <c r="E1303">
        <f>VLOOKUP($D1303,'[2]LC Opportunity'!$Q$2:$U$542,2,FALSE)</f>
        <v>0</v>
      </c>
      <c r="F1303">
        <f>VLOOKUP($D1303,'[2]LC Opportunity'!$Q$2:$U$542,3,FALSE)</f>
        <v>0</v>
      </c>
      <c r="G1303">
        <f>VLOOKUP($D1303,'[2]LC Opportunity'!$Q$2:$U$542,4,FALSE)</f>
        <v>0</v>
      </c>
      <c r="H1303">
        <f>VLOOKUP($D1303,'[2]LC Opportunity'!$Q$2:$U$542,5,FALSE)</f>
        <v>0.99999999999999989</v>
      </c>
      <c r="I1303" s="77">
        <f t="shared" si="4281"/>
        <v>0.99999999999999989</v>
      </c>
      <c r="J1303" s="77">
        <f t="shared" si="4282"/>
        <v>7.1999999999999981E-2</v>
      </c>
      <c r="K1303" s="77">
        <f t="shared" si="4326"/>
        <v>5.8106552987937654E-3</v>
      </c>
      <c r="L1303" s="76">
        <v>0</v>
      </c>
      <c r="M1303" s="77">
        <f t="shared" si="4288"/>
        <v>0</v>
      </c>
      <c r="N1303" s="77">
        <f t="shared" si="4289"/>
        <v>0</v>
      </c>
      <c r="O1303" s="77">
        <f t="shared" si="4290"/>
        <v>4.9999999999999992E-3</v>
      </c>
      <c r="P1303" s="77">
        <f t="shared" si="4291"/>
        <v>4.1762458919303302E-4</v>
      </c>
      <c r="R1303" t="s">
        <v>177</v>
      </c>
      <c r="S1303" t="s">
        <v>180</v>
      </c>
      <c r="T1303" s="197" t="str">
        <f t="shared" si="4322"/>
        <v>Autopilot_Opportunity_326</v>
      </c>
      <c r="U1303">
        <v>326</v>
      </c>
      <c r="V1303">
        <f>VLOOKUP($U1303,'[2]AP Opportunity'!$Q$1:$T$542,2,FALSE)</f>
        <v>0.99999997777777772</v>
      </c>
      <c r="W1303">
        <f>VLOOKUP($U1303,'[2]AP Opportunity'!$Q$1:$T$542,3,FALSE)</f>
        <v>2.2222222284540294E-8</v>
      </c>
      <c r="X1303">
        <f>VLOOKUP($U1303,'[2]AP Opportunity'!$Q$1:$T$542,4,FALSE)</f>
        <v>0</v>
      </c>
      <c r="Y1303" s="77">
        <f t="shared" si="4323"/>
        <v>1</v>
      </c>
      <c r="Z1303" s="77">
        <f t="shared" si="4327"/>
        <v>6.4624999704999977E-2</v>
      </c>
      <c r="AA1303" s="77">
        <f t="shared" si="4328"/>
        <v>5.2321923767311151E-3</v>
      </c>
      <c r="AB1303" s="79">
        <v>1</v>
      </c>
      <c r="AC1303" s="77">
        <f t="shared" si="4292"/>
        <v>8.499999955555556E-3</v>
      </c>
      <c r="AD1303" s="77">
        <f t="shared" ref="AD1303" si="4347">1-(1-AC1303)^(1/12)</f>
        <v>7.1110795759765644E-4</v>
      </c>
      <c r="AE1303" s="77">
        <f t="shared" si="4294"/>
        <v>2.5000000000000001E-3</v>
      </c>
      <c r="AF1303" s="77">
        <f t="shared" ref="AF1303" si="4348">1-(1-AE1303)^(1/12)</f>
        <v>2.0857243058891584E-4</v>
      </c>
      <c r="AH1303" t="s">
        <v>175</v>
      </c>
      <c r="AI1303" t="s">
        <v>180</v>
      </c>
      <c r="AJ1303" s="197" t="str">
        <f t="shared" si="4285"/>
        <v>Lifecycle_Opportunity_326</v>
      </c>
      <c r="AK1303">
        <v>326</v>
      </c>
      <c r="AL1303">
        <f>VLOOKUP($U1303,[2]Standard_Opportunity!$Q$1:$T$542,2,FALSE)</f>
        <v>0.99999997777777772</v>
      </c>
      <c r="AM1303">
        <f>VLOOKUP($U1303,[2]Standard_Opportunity!$Q$1:$T$542,3,FALSE)</f>
        <v>2.2222222284540294E-8</v>
      </c>
      <c r="AN1303">
        <f>VLOOKUP($U1303,[2]Standard_Opportunity!$Q$1:$T$542,4,FALSE)</f>
        <v>0</v>
      </c>
      <c r="AO1303" s="77">
        <f t="shared" si="4286"/>
        <v>1</v>
      </c>
      <c r="AP1303" s="77">
        <f t="shared" si="4296"/>
        <v>6.4624999704999977E-2</v>
      </c>
      <c r="AQ1303" s="77">
        <f t="shared" si="4287"/>
        <v>5.2321923767311151E-3</v>
      </c>
      <c r="AR1303" s="79">
        <v>0</v>
      </c>
      <c r="AS1303" s="77">
        <f t="shared" si="4297"/>
        <v>0</v>
      </c>
      <c r="AT1303" s="77">
        <f t="shared" si="4298"/>
        <v>0</v>
      </c>
      <c r="AU1303" s="77">
        <f t="shared" si="4299"/>
        <v>2.5000000000000001E-3</v>
      </c>
      <c r="AV1303" s="77">
        <f t="shared" si="4300"/>
        <v>2.0809499864316017E-4</v>
      </c>
    </row>
    <row r="1304" spans="1:48">
      <c r="A1304" t="s">
        <v>175</v>
      </c>
      <c r="B1304" t="s">
        <v>180</v>
      </c>
      <c r="C1304" s="197" t="str">
        <f t="shared" si="4321"/>
        <v>Lifecycle_Opportunity_325</v>
      </c>
      <c r="D1304">
        <v>325</v>
      </c>
      <c r="E1304">
        <f>VLOOKUP($D1304,'[2]LC Opportunity'!$Q$2:$U$542,2,FALSE)</f>
        <v>0</v>
      </c>
      <c r="F1304">
        <f>VLOOKUP($D1304,'[2]LC Opportunity'!$Q$2:$U$542,3,FALSE)</f>
        <v>0</v>
      </c>
      <c r="G1304">
        <f>VLOOKUP($D1304,'[2]LC Opportunity'!$Q$2:$U$542,4,FALSE)</f>
        <v>0</v>
      </c>
      <c r="H1304">
        <f>VLOOKUP($D1304,'[2]LC Opportunity'!$Q$2:$U$542,5,FALSE)</f>
        <v>0.99999999999999989</v>
      </c>
      <c r="I1304" s="77">
        <f t="shared" si="4281"/>
        <v>0.99999999999999989</v>
      </c>
      <c r="J1304" s="77">
        <f t="shared" si="4282"/>
        <v>7.1999999999999981E-2</v>
      </c>
      <c r="K1304" s="77">
        <f t="shared" si="4326"/>
        <v>5.8106552987937654E-3</v>
      </c>
      <c r="L1304" s="76">
        <v>0</v>
      </c>
      <c r="M1304" s="77">
        <f t="shared" si="4288"/>
        <v>0</v>
      </c>
      <c r="N1304" s="77">
        <f t="shared" si="4289"/>
        <v>0</v>
      </c>
      <c r="O1304" s="77">
        <f t="shared" si="4290"/>
        <v>4.9999999999999992E-3</v>
      </c>
      <c r="P1304" s="77">
        <f t="shared" si="4291"/>
        <v>4.1762458919303302E-4</v>
      </c>
      <c r="R1304" t="s">
        <v>177</v>
      </c>
      <c r="S1304" t="s">
        <v>180</v>
      </c>
      <c r="T1304" s="197" t="str">
        <f t="shared" si="4322"/>
        <v>Autopilot_Opportunity_325</v>
      </c>
      <c r="U1304">
        <v>325</v>
      </c>
      <c r="V1304">
        <f>VLOOKUP($U1304,'[2]AP Opportunity'!$Q$1:$T$542,2,FALSE)</f>
        <v>0.99999997777777772</v>
      </c>
      <c r="W1304">
        <f>VLOOKUP($U1304,'[2]AP Opportunity'!$Q$1:$T$542,3,FALSE)</f>
        <v>2.2222222284540294E-8</v>
      </c>
      <c r="X1304">
        <f>VLOOKUP($U1304,'[2]AP Opportunity'!$Q$1:$T$542,4,FALSE)</f>
        <v>0</v>
      </c>
      <c r="Y1304" s="77">
        <f t="shared" si="4323"/>
        <v>1</v>
      </c>
      <c r="Z1304" s="77">
        <f t="shared" si="4327"/>
        <v>6.4624999704999977E-2</v>
      </c>
      <c r="AA1304" s="77">
        <f t="shared" si="4328"/>
        <v>5.2321923767311151E-3</v>
      </c>
      <c r="AB1304" s="79">
        <v>1</v>
      </c>
      <c r="AC1304" s="77">
        <f t="shared" si="4292"/>
        <v>8.499999955555556E-3</v>
      </c>
      <c r="AD1304" s="77">
        <f t="shared" ref="AD1304" si="4349">1-(1-AC1304)^(1/12)</f>
        <v>7.1110795759765644E-4</v>
      </c>
      <c r="AE1304" s="77">
        <f t="shared" si="4294"/>
        <v>2.5000000000000001E-3</v>
      </c>
      <c r="AF1304" s="77">
        <f t="shared" ref="AF1304" si="4350">1-(1-AE1304)^(1/12)</f>
        <v>2.0857243058891584E-4</v>
      </c>
      <c r="AH1304" t="s">
        <v>175</v>
      </c>
      <c r="AI1304" t="s">
        <v>180</v>
      </c>
      <c r="AJ1304" s="197" t="str">
        <f t="shared" si="4285"/>
        <v>Lifecycle_Opportunity_325</v>
      </c>
      <c r="AK1304">
        <v>325</v>
      </c>
      <c r="AL1304">
        <f>VLOOKUP($U1304,[2]Standard_Opportunity!$Q$1:$T$542,2,FALSE)</f>
        <v>0.99999997777777772</v>
      </c>
      <c r="AM1304">
        <f>VLOOKUP($U1304,[2]Standard_Opportunity!$Q$1:$T$542,3,FALSE)</f>
        <v>2.2222222284540294E-8</v>
      </c>
      <c r="AN1304">
        <f>VLOOKUP($U1304,[2]Standard_Opportunity!$Q$1:$T$542,4,FALSE)</f>
        <v>0</v>
      </c>
      <c r="AO1304" s="77">
        <f t="shared" si="4286"/>
        <v>1</v>
      </c>
      <c r="AP1304" s="77">
        <f t="shared" si="4296"/>
        <v>6.4624999704999977E-2</v>
      </c>
      <c r="AQ1304" s="77">
        <f t="shared" si="4287"/>
        <v>5.2321923767311151E-3</v>
      </c>
      <c r="AR1304" s="79">
        <v>0</v>
      </c>
      <c r="AS1304" s="77">
        <f t="shared" si="4297"/>
        <v>0</v>
      </c>
      <c r="AT1304" s="77">
        <f t="shared" si="4298"/>
        <v>0</v>
      </c>
      <c r="AU1304" s="77">
        <f t="shared" si="4299"/>
        <v>2.5000000000000001E-3</v>
      </c>
      <c r="AV1304" s="77">
        <f t="shared" si="4300"/>
        <v>2.0809499864316017E-4</v>
      </c>
    </row>
    <row r="1305" spans="1:48">
      <c r="A1305" t="s">
        <v>175</v>
      </c>
      <c r="B1305" t="s">
        <v>180</v>
      </c>
      <c r="C1305" s="197" t="str">
        <f t="shared" si="4321"/>
        <v>Lifecycle_Opportunity_324</v>
      </c>
      <c r="D1305">
        <v>324</v>
      </c>
      <c r="E1305">
        <f>VLOOKUP($D1305,'[2]LC Opportunity'!$Q$2:$U$542,2,FALSE)</f>
        <v>0</v>
      </c>
      <c r="F1305">
        <f>VLOOKUP($D1305,'[2]LC Opportunity'!$Q$2:$U$542,3,FALSE)</f>
        <v>0</v>
      </c>
      <c r="G1305">
        <f>VLOOKUP($D1305,'[2]LC Opportunity'!$Q$2:$U$542,4,FALSE)</f>
        <v>0</v>
      </c>
      <c r="H1305">
        <f>VLOOKUP($D1305,'[2]LC Opportunity'!$Q$2:$U$542,5,FALSE)</f>
        <v>0.99999999999999989</v>
      </c>
      <c r="I1305" s="77">
        <f t="shared" si="4281"/>
        <v>0.99999999999999989</v>
      </c>
      <c r="J1305" s="77">
        <f t="shared" si="4282"/>
        <v>7.1999999999999981E-2</v>
      </c>
      <c r="K1305" s="77">
        <f t="shared" si="4326"/>
        <v>5.8106552987937654E-3</v>
      </c>
      <c r="L1305" s="76">
        <v>0</v>
      </c>
      <c r="M1305" s="77">
        <f t="shared" si="4288"/>
        <v>0</v>
      </c>
      <c r="N1305" s="77">
        <f t="shared" si="4289"/>
        <v>0</v>
      </c>
      <c r="O1305" s="77">
        <f t="shared" si="4290"/>
        <v>4.9999999999999992E-3</v>
      </c>
      <c r="P1305" s="77">
        <f t="shared" si="4291"/>
        <v>4.1762458919303302E-4</v>
      </c>
      <c r="R1305" t="s">
        <v>177</v>
      </c>
      <c r="S1305" t="s">
        <v>180</v>
      </c>
      <c r="T1305" s="197" t="str">
        <f t="shared" si="4322"/>
        <v>Autopilot_Opportunity_324</v>
      </c>
      <c r="U1305">
        <v>324</v>
      </c>
      <c r="V1305">
        <f>VLOOKUP($U1305,'[2]AP Opportunity'!$Q$1:$T$542,2,FALSE)</f>
        <v>0.99999997777777772</v>
      </c>
      <c r="W1305">
        <f>VLOOKUP($U1305,'[2]AP Opportunity'!$Q$1:$T$542,3,FALSE)</f>
        <v>2.2222222284540294E-8</v>
      </c>
      <c r="X1305">
        <f>VLOOKUP($U1305,'[2]AP Opportunity'!$Q$1:$T$542,4,FALSE)</f>
        <v>0</v>
      </c>
      <c r="Y1305" s="77">
        <f t="shared" si="4323"/>
        <v>1</v>
      </c>
      <c r="Z1305" s="77">
        <f t="shared" si="4327"/>
        <v>6.4624999704999977E-2</v>
      </c>
      <c r="AA1305" s="77">
        <f t="shared" si="4328"/>
        <v>5.2321923767311151E-3</v>
      </c>
      <c r="AB1305" s="79">
        <v>1</v>
      </c>
      <c r="AC1305" s="77">
        <f t="shared" si="4292"/>
        <v>8.499999955555556E-3</v>
      </c>
      <c r="AD1305" s="77">
        <f t="shared" ref="AD1305" si="4351">1-(1-AC1305)^(1/12)</f>
        <v>7.1110795759765644E-4</v>
      </c>
      <c r="AE1305" s="77">
        <f t="shared" si="4294"/>
        <v>2.5000000000000001E-3</v>
      </c>
      <c r="AF1305" s="77">
        <f t="shared" ref="AF1305" si="4352">1-(1-AE1305)^(1/12)</f>
        <v>2.0857243058891584E-4</v>
      </c>
      <c r="AH1305" t="s">
        <v>175</v>
      </c>
      <c r="AI1305" t="s">
        <v>180</v>
      </c>
      <c r="AJ1305" s="197" t="str">
        <f t="shared" si="4285"/>
        <v>Lifecycle_Opportunity_324</v>
      </c>
      <c r="AK1305">
        <v>324</v>
      </c>
      <c r="AL1305">
        <f>VLOOKUP($U1305,[2]Standard_Opportunity!$Q$1:$T$542,2,FALSE)</f>
        <v>0.99999997777777772</v>
      </c>
      <c r="AM1305">
        <f>VLOOKUP($U1305,[2]Standard_Opportunity!$Q$1:$T$542,3,FALSE)</f>
        <v>2.2222222284540294E-8</v>
      </c>
      <c r="AN1305">
        <f>VLOOKUP($U1305,[2]Standard_Opportunity!$Q$1:$T$542,4,FALSE)</f>
        <v>0</v>
      </c>
      <c r="AO1305" s="77">
        <f t="shared" si="4286"/>
        <v>1</v>
      </c>
      <c r="AP1305" s="77">
        <f t="shared" si="4296"/>
        <v>6.4624999704999977E-2</v>
      </c>
      <c r="AQ1305" s="77">
        <f t="shared" si="4287"/>
        <v>5.2321923767311151E-3</v>
      </c>
      <c r="AR1305" s="79">
        <v>0</v>
      </c>
      <c r="AS1305" s="77">
        <f t="shared" si="4297"/>
        <v>0</v>
      </c>
      <c r="AT1305" s="77">
        <f t="shared" si="4298"/>
        <v>0</v>
      </c>
      <c r="AU1305" s="77">
        <f t="shared" si="4299"/>
        <v>2.5000000000000001E-3</v>
      </c>
      <c r="AV1305" s="77">
        <f t="shared" si="4300"/>
        <v>2.0809499864316017E-4</v>
      </c>
    </row>
    <row r="1306" spans="1:48">
      <c r="A1306" t="s">
        <v>175</v>
      </c>
      <c r="B1306" t="s">
        <v>180</v>
      </c>
      <c r="C1306" s="197" t="str">
        <f t="shared" si="4321"/>
        <v>Lifecycle_Opportunity_323</v>
      </c>
      <c r="D1306">
        <v>323</v>
      </c>
      <c r="E1306">
        <f>VLOOKUP($D1306,'[2]LC Opportunity'!$Q$2:$U$542,2,FALSE)</f>
        <v>0</v>
      </c>
      <c r="F1306">
        <f>VLOOKUP($D1306,'[2]LC Opportunity'!$Q$2:$U$542,3,FALSE)</f>
        <v>0</v>
      </c>
      <c r="G1306">
        <f>VLOOKUP($D1306,'[2]LC Opportunity'!$Q$2:$U$542,4,FALSE)</f>
        <v>0</v>
      </c>
      <c r="H1306">
        <f>VLOOKUP($D1306,'[2]LC Opportunity'!$Q$2:$U$542,5,FALSE)</f>
        <v>0.99999999999999989</v>
      </c>
      <c r="I1306" s="77">
        <f t="shared" si="4281"/>
        <v>0.99999999999999989</v>
      </c>
      <c r="J1306" s="77">
        <f t="shared" si="4282"/>
        <v>7.1999999999999981E-2</v>
      </c>
      <c r="K1306" s="77">
        <f t="shared" si="4326"/>
        <v>5.8106552987937654E-3</v>
      </c>
      <c r="L1306" s="76">
        <v>0</v>
      </c>
      <c r="M1306" s="77">
        <f t="shared" si="4288"/>
        <v>0</v>
      </c>
      <c r="N1306" s="77">
        <f t="shared" si="4289"/>
        <v>0</v>
      </c>
      <c r="O1306" s="77">
        <f t="shared" si="4290"/>
        <v>4.9999999999999992E-3</v>
      </c>
      <c r="P1306" s="77">
        <f t="shared" si="4291"/>
        <v>4.1762458919303302E-4</v>
      </c>
      <c r="R1306" t="s">
        <v>177</v>
      </c>
      <c r="S1306" t="s">
        <v>180</v>
      </c>
      <c r="T1306" s="197" t="str">
        <f t="shared" si="4322"/>
        <v>Autopilot_Opportunity_323</v>
      </c>
      <c r="U1306">
        <v>323</v>
      </c>
      <c r="V1306">
        <f>VLOOKUP($U1306,'[2]AP Opportunity'!$Q$1:$T$542,2,FALSE)</f>
        <v>0.99999997777777772</v>
      </c>
      <c r="W1306">
        <f>VLOOKUP($U1306,'[2]AP Opportunity'!$Q$1:$T$542,3,FALSE)</f>
        <v>2.2222222284540294E-8</v>
      </c>
      <c r="X1306">
        <f>VLOOKUP($U1306,'[2]AP Opportunity'!$Q$1:$T$542,4,FALSE)</f>
        <v>0</v>
      </c>
      <c r="Y1306" s="77">
        <f t="shared" si="4323"/>
        <v>1</v>
      </c>
      <c r="Z1306" s="77">
        <f t="shared" si="4327"/>
        <v>6.4624999704999977E-2</v>
      </c>
      <c r="AA1306" s="77">
        <f t="shared" si="4328"/>
        <v>5.2321923767311151E-3</v>
      </c>
      <c r="AB1306" s="79">
        <v>1</v>
      </c>
      <c r="AC1306" s="77">
        <f t="shared" si="4292"/>
        <v>8.499999955555556E-3</v>
      </c>
      <c r="AD1306" s="77">
        <f t="shared" ref="AD1306" si="4353">1-(1-AC1306)^(1/12)</f>
        <v>7.1110795759765644E-4</v>
      </c>
      <c r="AE1306" s="77">
        <f t="shared" si="4294"/>
        <v>2.5000000000000001E-3</v>
      </c>
      <c r="AF1306" s="77">
        <f t="shared" ref="AF1306" si="4354">1-(1-AE1306)^(1/12)</f>
        <v>2.0857243058891584E-4</v>
      </c>
      <c r="AH1306" t="s">
        <v>175</v>
      </c>
      <c r="AI1306" t="s">
        <v>180</v>
      </c>
      <c r="AJ1306" s="197" t="str">
        <f t="shared" si="4285"/>
        <v>Lifecycle_Opportunity_323</v>
      </c>
      <c r="AK1306">
        <v>323</v>
      </c>
      <c r="AL1306">
        <f>VLOOKUP($U1306,[2]Standard_Opportunity!$Q$1:$T$542,2,FALSE)</f>
        <v>0.99999997777777772</v>
      </c>
      <c r="AM1306">
        <f>VLOOKUP($U1306,[2]Standard_Opportunity!$Q$1:$T$542,3,FALSE)</f>
        <v>2.2222222284540294E-8</v>
      </c>
      <c r="AN1306">
        <f>VLOOKUP($U1306,[2]Standard_Opportunity!$Q$1:$T$542,4,FALSE)</f>
        <v>0</v>
      </c>
      <c r="AO1306" s="77">
        <f t="shared" si="4286"/>
        <v>1</v>
      </c>
      <c r="AP1306" s="77">
        <f t="shared" si="4296"/>
        <v>6.4624999704999977E-2</v>
      </c>
      <c r="AQ1306" s="77">
        <f t="shared" si="4287"/>
        <v>5.2321923767311151E-3</v>
      </c>
      <c r="AR1306" s="79">
        <v>0</v>
      </c>
      <c r="AS1306" s="77">
        <f t="shared" si="4297"/>
        <v>0</v>
      </c>
      <c r="AT1306" s="77">
        <f t="shared" si="4298"/>
        <v>0</v>
      </c>
      <c r="AU1306" s="77">
        <f t="shared" si="4299"/>
        <v>2.5000000000000001E-3</v>
      </c>
      <c r="AV1306" s="77">
        <f t="shared" si="4300"/>
        <v>2.0809499864316017E-4</v>
      </c>
    </row>
    <row r="1307" spans="1:48">
      <c r="A1307" t="s">
        <v>175</v>
      </c>
      <c r="B1307" t="s">
        <v>180</v>
      </c>
      <c r="C1307" s="197" t="str">
        <f t="shared" si="4321"/>
        <v>Lifecycle_Opportunity_322</v>
      </c>
      <c r="D1307">
        <v>322</v>
      </c>
      <c r="E1307">
        <f>VLOOKUP($D1307,'[2]LC Opportunity'!$Q$2:$U$542,2,FALSE)</f>
        <v>0</v>
      </c>
      <c r="F1307">
        <f>VLOOKUP($D1307,'[2]LC Opportunity'!$Q$2:$U$542,3,FALSE)</f>
        <v>0</v>
      </c>
      <c r="G1307">
        <f>VLOOKUP($D1307,'[2]LC Opportunity'!$Q$2:$U$542,4,FALSE)</f>
        <v>0</v>
      </c>
      <c r="H1307">
        <f>VLOOKUP($D1307,'[2]LC Opportunity'!$Q$2:$U$542,5,FALSE)</f>
        <v>0.99999999999999989</v>
      </c>
      <c r="I1307" s="77">
        <f t="shared" si="4281"/>
        <v>0.99999999999999989</v>
      </c>
      <c r="J1307" s="77">
        <f t="shared" si="4282"/>
        <v>7.1999999999999981E-2</v>
      </c>
      <c r="K1307" s="77">
        <f t="shared" si="4326"/>
        <v>5.8106552987937654E-3</v>
      </c>
      <c r="L1307" s="76">
        <v>0</v>
      </c>
      <c r="M1307" s="77">
        <f t="shared" si="4288"/>
        <v>0</v>
      </c>
      <c r="N1307" s="77">
        <f t="shared" si="4289"/>
        <v>0</v>
      </c>
      <c r="O1307" s="77">
        <f t="shared" si="4290"/>
        <v>4.9999999999999992E-3</v>
      </c>
      <c r="P1307" s="77">
        <f t="shared" si="4291"/>
        <v>4.1762458919303302E-4</v>
      </c>
      <c r="R1307" t="s">
        <v>177</v>
      </c>
      <c r="S1307" t="s">
        <v>180</v>
      </c>
      <c r="T1307" s="197" t="str">
        <f t="shared" si="4322"/>
        <v>Autopilot_Opportunity_322</v>
      </c>
      <c r="U1307">
        <v>322</v>
      </c>
      <c r="V1307">
        <f>VLOOKUP($U1307,'[2]AP Opportunity'!$Q$1:$T$542,2,FALSE)</f>
        <v>0.99999997777777772</v>
      </c>
      <c r="W1307">
        <f>VLOOKUP($U1307,'[2]AP Opportunity'!$Q$1:$T$542,3,FALSE)</f>
        <v>2.2222222284540294E-8</v>
      </c>
      <c r="X1307">
        <f>VLOOKUP($U1307,'[2]AP Opportunity'!$Q$1:$T$542,4,FALSE)</f>
        <v>0</v>
      </c>
      <c r="Y1307" s="77">
        <f t="shared" si="4323"/>
        <v>1</v>
      </c>
      <c r="Z1307" s="77">
        <f t="shared" si="4327"/>
        <v>6.4624999704999977E-2</v>
      </c>
      <c r="AA1307" s="77">
        <f t="shared" si="4328"/>
        <v>5.2321923767311151E-3</v>
      </c>
      <c r="AB1307" s="79">
        <v>1</v>
      </c>
      <c r="AC1307" s="77">
        <f t="shared" si="4292"/>
        <v>8.499999955555556E-3</v>
      </c>
      <c r="AD1307" s="77">
        <f t="shared" ref="AD1307" si="4355">1-(1-AC1307)^(1/12)</f>
        <v>7.1110795759765644E-4</v>
      </c>
      <c r="AE1307" s="77">
        <f t="shared" si="4294"/>
        <v>2.5000000000000001E-3</v>
      </c>
      <c r="AF1307" s="77">
        <f t="shared" ref="AF1307" si="4356">1-(1-AE1307)^(1/12)</f>
        <v>2.0857243058891584E-4</v>
      </c>
      <c r="AH1307" t="s">
        <v>175</v>
      </c>
      <c r="AI1307" t="s">
        <v>180</v>
      </c>
      <c r="AJ1307" s="197" t="str">
        <f t="shared" si="4285"/>
        <v>Lifecycle_Opportunity_322</v>
      </c>
      <c r="AK1307">
        <v>322</v>
      </c>
      <c r="AL1307">
        <f>VLOOKUP($U1307,[2]Standard_Opportunity!$Q$1:$T$542,2,FALSE)</f>
        <v>0.99999997777777772</v>
      </c>
      <c r="AM1307">
        <f>VLOOKUP($U1307,[2]Standard_Opportunity!$Q$1:$T$542,3,FALSE)</f>
        <v>2.2222222284540294E-8</v>
      </c>
      <c r="AN1307">
        <f>VLOOKUP($U1307,[2]Standard_Opportunity!$Q$1:$T$542,4,FALSE)</f>
        <v>0</v>
      </c>
      <c r="AO1307" s="77">
        <f t="shared" si="4286"/>
        <v>1</v>
      </c>
      <c r="AP1307" s="77">
        <f t="shared" si="4296"/>
        <v>6.4624999704999977E-2</v>
      </c>
      <c r="AQ1307" s="77">
        <f t="shared" si="4287"/>
        <v>5.2321923767311151E-3</v>
      </c>
      <c r="AR1307" s="79">
        <v>0</v>
      </c>
      <c r="AS1307" s="77">
        <f t="shared" si="4297"/>
        <v>0</v>
      </c>
      <c r="AT1307" s="77">
        <f t="shared" si="4298"/>
        <v>0</v>
      </c>
      <c r="AU1307" s="77">
        <f t="shared" si="4299"/>
        <v>2.5000000000000001E-3</v>
      </c>
      <c r="AV1307" s="77">
        <f t="shared" si="4300"/>
        <v>2.0809499864316017E-4</v>
      </c>
    </row>
    <row r="1308" spans="1:48">
      <c r="A1308" t="s">
        <v>175</v>
      </c>
      <c r="B1308" t="s">
        <v>180</v>
      </c>
      <c r="C1308" s="197" t="str">
        <f t="shared" si="4321"/>
        <v>Lifecycle_Opportunity_321</v>
      </c>
      <c r="D1308">
        <v>321</v>
      </c>
      <c r="E1308">
        <f>VLOOKUP($D1308,'[2]LC Opportunity'!$Q$2:$U$542,2,FALSE)</f>
        <v>0</v>
      </c>
      <c r="F1308">
        <f>VLOOKUP($D1308,'[2]LC Opportunity'!$Q$2:$U$542,3,FALSE)</f>
        <v>0</v>
      </c>
      <c r="G1308">
        <f>VLOOKUP($D1308,'[2]LC Opportunity'!$Q$2:$U$542,4,FALSE)</f>
        <v>0</v>
      </c>
      <c r="H1308">
        <f>VLOOKUP($D1308,'[2]LC Opportunity'!$Q$2:$U$542,5,FALSE)</f>
        <v>0.99999999999999989</v>
      </c>
      <c r="I1308" s="77">
        <f t="shared" si="4281"/>
        <v>0.99999999999999989</v>
      </c>
      <c r="J1308" s="77">
        <f t="shared" si="4282"/>
        <v>7.1999999999999981E-2</v>
      </c>
      <c r="K1308" s="77">
        <f t="shared" si="4326"/>
        <v>5.8106552987937654E-3</v>
      </c>
      <c r="L1308" s="76">
        <v>0</v>
      </c>
      <c r="M1308" s="77">
        <f t="shared" si="4288"/>
        <v>0</v>
      </c>
      <c r="N1308" s="77">
        <f t="shared" si="4289"/>
        <v>0</v>
      </c>
      <c r="O1308" s="77">
        <f t="shared" si="4290"/>
        <v>4.9999999999999992E-3</v>
      </c>
      <c r="P1308" s="77">
        <f t="shared" si="4291"/>
        <v>4.1762458919303302E-4</v>
      </c>
      <c r="R1308" t="s">
        <v>177</v>
      </c>
      <c r="S1308" t="s">
        <v>180</v>
      </c>
      <c r="T1308" s="197" t="str">
        <f t="shared" si="4322"/>
        <v>Autopilot_Opportunity_321</v>
      </c>
      <c r="U1308">
        <v>321</v>
      </c>
      <c r="V1308">
        <f>VLOOKUP($U1308,'[2]AP Opportunity'!$Q$1:$T$542,2,FALSE)</f>
        <v>0.99999997777777772</v>
      </c>
      <c r="W1308">
        <f>VLOOKUP($U1308,'[2]AP Opportunity'!$Q$1:$T$542,3,FALSE)</f>
        <v>2.2222222284540294E-8</v>
      </c>
      <c r="X1308">
        <f>VLOOKUP($U1308,'[2]AP Opportunity'!$Q$1:$T$542,4,FALSE)</f>
        <v>0</v>
      </c>
      <c r="Y1308" s="77">
        <f t="shared" si="4323"/>
        <v>1</v>
      </c>
      <c r="Z1308" s="77">
        <f t="shared" si="4327"/>
        <v>6.4624999704999977E-2</v>
      </c>
      <c r="AA1308" s="77">
        <f t="shared" si="4328"/>
        <v>5.2321923767311151E-3</v>
      </c>
      <c r="AB1308" s="79">
        <v>1</v>
      </c>
      <c r="AC1308" s="77">
        <f t="shared" si="4292"/>
        <v>8.499999955555556E-3</v>
      </c>
      <c r="AD1308" s="77">
        <f t="shared" ref="AD1308" si="4357">1-(1-AC1308)^(1/12)</f>
        <v>7.1110795759765644E-4</v>
      </c>
      <c r="AE1308" s="77">
        <f t="shared" si="4294"/>
        <v>2.5000000000000001E-3</v>
      </c>
      <c r="AF1308" s="77">
        <f t="shared" ref="AF1308" si="4358">1-(1-AE1308)^(1/12)</f>
        <v>2.0857243058891584E-4</v>
      </c>
      <c r="AH1308" t="s">
        <v>175</v>
      </c>
      <c r="AI1308" t="s">
        <v>180</v>
      </c>
      <c r="AJ1308" s="197" t="str">
        <f t="shared" si="4285"/>
        <v>Lifecycle_Opportunity_321</v>
      </c>
      <c r="AK1308">
        <v>321</v>
      </c>
      <c r="AL1308">
        <f>VLOOKUP($U1308,[2]Standard_Opportunity!$Q$1:$T$542,2,FALSE)</f>
        <v>0.99999997777777772</v>
      </c>
      <c r="AM1308">
        <f>VLOOKUP($U1308,[2]Standard_Opportunity!$Q$1:$T$542,3,FALSE)</f>
        <v>2.2222222284540294E-8</v>
      </c>
      <c r="AN1308">
        <f>VLOOKUP($U1308,[2]Standard_Opportunity!$Q$1:$T$542,4,FALSE)</f>
        <v>0</v>
      </c>
      <c r="AO1308" s="77">
        <f t="shared" si="4286"/>
        <v>1</v>
      </c>
      <c r="AP1308" s="77">
        <f t="shared" si="4296"/>
        <v>6.4624999704999977E-2</v>
      </c>
      <c r="AQ1308" s="77">
        <f t="shared" si="4287"/>
        <v>5.2321923767311151E-3</v>
      </c>
      <c r="AR1308" s="79">
        <v>0</v>
      </c>
      <c r="AS1308" s="77">
        <f t="shared" si="4297"/>
        <v>0</v>
      </c>
      <c r="AT1308" s="77">
        <f t="shared" si="4298"/>
        <v>0</v>
      </c>
      <c r="AU1308" s="77">
        <f t="shared" si="4299"/>
        <v>2.5000000000000001E-3</v>
      </c>
      <c r="AV1308" s="77">
        <f t="shared" si="4300"/>
        <v>2.0809499864316017E-4</v>
      </c>
    </row>
    <row r="1309" spans="1:48">
      <c r="A1309" t="s">
        <v>175</v>
      </c>
      <c r="B1309" t="s">
        <v>180</v>
      </c>
      <c r="C1309" s="197" t="str">
        <f t="shared" si="4321"/>
        <v>Lifecycle_Opportunity_320</v>
      </c>
      <c r="D1309">
        <v>320</v>
      </c>
      <c r="E1309">
        <f>VLOOKUP($D1309,'[2]LC Opportunity'!$Q$2:$U$542,2,FALSE)</f>
        <v>0</v>
      </c>
      <c r="F1309">
        <f>VLOOKUP($D1309,'[2]LC Opportunity'!$Q$2:$U$542,3,FALSE)</f>
        <v>0</v>
      </c>
      <c r="G1309">
        <f>VLOOKUP($D1309,'[2]LC Opportunity'!$Q$2:$U$542,4,FALSE)</f>
        <v>0</v>
      </c>
      <c r="H1309">
        <f>VLOOKUP($D1309,'[2]LC Opportunity'!$Q$2:$U$542,5,FALSE)</f>
        <v>0.99999999999999989</v>
      </c>
      <c r="I1309" s="77">
        <f t="shared" si="4281"/>
        <v>0.99999999999999989</v>
      </c>
      <c r="J1309" s="77">
        <f t="shared" si="4282"/>
        <v>7.1999999999999981E-2</v>
      </c>
      <c r="K1309" s="77">
        <f t="shared" si="4326"/>
        <v>5.8106552987937654E-3</v>
      </c>
      <c r="L1309" s="76">
        <v>0</v>
      </c>
      <c r="M1309" s="77">
        <f t="shared" si="4288"/>
        <v>0</v>
      </c>
      <c r="N1309" s="77">
        <f t="shared" si="4289"/>
        <v>0</v>
      </c>
      <c r="O1309" s="77">
        <f t="shared" si="4290"/>
        <v>4.9999999999999992E-3</v>
      </c>
      <c r="P1309" s="77">
        <f t="shared" si="4291"/>
        <v>4.1762458919303302E-4</v>
      </c>
      <c r="R1309" t="s">
        <v>177</v>
      </c>
      <c r="S1309" t="s">
        <v>180</v>
      </c>
      <c r="T1309" s="197" t="str">
        <f t="shared" si="4322"/>
        <v>Autopilot_Opportunity_320</v>
      </c>
      <c r="U1309">
        <v>320</v>
      </c>
      <c r="V1309">
        <f>VLOOKUP($U1309,'[2]AP Opportunity'!$Q$1:$T$542,2,FALSE)</f>
        <v>0.99999997777777772</v>
      </c>
      <c r="W1309">
        <f>VLOOKUP($U1309,'[2]AP Opportunity'!$Q$1:$T$542,3,FALSE)</f>
        <v>2.2222222284540294E-8</v>
      </c>
      <c r="X1309">
        <f>VLOOKUP($U1309,'[2]AP Opportunity'!$Q$1:$T$542,4,FALSE)</f>
        <v>0</v>
      </c>
      <c r="Y1309" s="77">
        <f t="shared" si="4323"/>
        <v>1</v>
      </c>
      <c r="Z1309" s="77">
        <f t="shared" si="4327"/>
        <v>6.4624999704999977E-2</v>
      </c>
      <c r="AA1309" s="77">
        <f t="shared" si="4328"/>
        <v>5.2321923767311151E-3</v>
      </c>
      <c r="AB1309" s="79">
        <v>1</v>
      </c>
      <c r="AC1309" s="77">
        <f t="shared" si="4292"/>
        <v>8.499999955555556E-3</v>
      </c>
      <c r="AD1309" s="77">
        <f t="shared" ref="AD1309" si="4359">1-(1-AC1309)^(1/12)</f>
        <v>7.1110795759765644E-4</v>
      </c>
      <c r="AE1309" s="77">
        <f t="shared" si="4294"/>
        <v>2.5000000000000001E-3</v>
      </c>
      <c r="AF1309" s="77">
        <f t="shared" ref="AF1309" si="4360">1-(1-AE1309)^(1/12)</f>
        <v>2.0857243058891584E-4</v>
      </c>
      <c r="AH1309" t="s">
        <v>175</v>
      </c>
      <c r="AI1309" t="s">
        <v>180</v>
      </c>
      <c r="AJ1309" s="197" t="str">
        <f t="shared" si="4285"/>
        <v>Lifecycle_Opportunity_320</v>
      </c>
      <c r="AK1309">
        <v>320</v>
      </c>
      <c r="AL1309">
        <f>VLOOKUP($U1309,[2]Standard_Opportunity!$Q$1:$T$542,2,FALSE)</f>
        <v>0.99999997777777772</v>
      </c>
      <c r="AM1309">
        <f>VLOOKUP($U1309,[2]Standard_Opportunity!$Q$1:$T$542,3,FALSE)</f>
        <v>2.2222222284540294E-8</v>
      </c>
      <c r="AN1309">
        <f>VLOOKUP($U1309,[2]Standard_Opportunity!$Q$1:$T$542,4,FALSE)</f>
        <v>0</v>
      </c>
      <c r="AO1309" s="77">
        <f t="shared" si="4286"/>
        <v>1</v>
      </c>
      <c r="AP1309" s="77">
        <f t="shared" si="4296"/>
        <v>6.4624999704999977E-2</v>
      </c>
      <c r="AQ1309" s="77">
        <f t="shared" si="4287"/>
        <v>5.2321923767311151E-3</v>
      </c>
      <c r="AR1309" s="79">
        <v>0</v>
      </c>
      <c r="AS1309" s="77">
        <f t="shared" si="4297"/>
        <v>0</v>
      </c>
      <c r="AT1309" s="77">
        <f t="shared" si="4298"/>
        <v>0</v>
      </c>
      <c r="AU1309" s="77">
        <f t="shared" si="4299"/>
        <v>2.5000000000000001E-3</v>
      </c>
      <c r="AV1309" s="77">
        <f t="shared" si="4300"/>
        <v>2.0809499864316017E-4</v>
      </c>
    </row>
    <row r="1310" spans="1:48">
      <c r="A1310" t="s">
        <v>175</v>
      </c>
      <c r="B1310" t="s">
        <v>180</v>
      </c>
      <c r="C1310" s="197" t="str">
        <f t="shared" si="4321"/>
        <v>Lifecycle_Opportunity_319</v>
      </c>
      <c r="D1310">
        <v>319</v>
      </c>
      <c r="E1310">
        <f>VLOOKUP($D1310,'[2]LC Opportunity'!$Q$2:$U$542,2,FALSE)</f>
        <v>0</v>
      </c>
      <c r="F1310">
        <f>VLOOKUP($D1310,'[2]LC Opportunity'!$Q$2:$U$542,3,FALSE)</f>
        <v>0</v>
      </c>
      <c r="G1310">
        <f>VLOOKUP($D1310,'[2]LC Opportunity'!$Q$2:$U$542,4,FALSE)</f>
        <v>0</v>
      </c>
      <c r="H1310">
        <f>VLOOKUP($D1310,'[2]LC Opportunity'!$Q$2:$U$542,5,FALSE)</f>
        <v>0.99999999999999989</v>
      </c>
      <c r="I1310" s="77">
        <f t="shared" si="4281"/>
        <v>0.99999999999999989</v>
      </c>
      <c r="J1310" s="77">
        <f t="shared" si="4282"/>
        <v>7.1999999999999981E-2</v>
      </c>
      <c r="K1310" s="77">
        <f t="shared" si="4326"/>
        <v>5.8106552987937654E-3</v>
      </c>
      <c r="L1310" s="76">
        <v>0</v>
      </c>
      <c r="M1310" s="77">
        <f t="shared" si="4288"/>
        <v>0</v>
      </c>
      <c r="N1310" s="77">
        <f t="shared" si="4289"/>
        <v>0</v>
      </c>
      <c r="O1310" s="77">
        <f t="shared" si="4290"/>
        <v>4.9999999999999992E-3</v>
      </c>
      <c r="P1310" s="77">
        <f t="shared" si="4291"/>
        <v>4.1762458919303302E-4</v>
      </c>
      <c r="R1310" t="s">
        <v>177</v>
      </c>
      <c r="S1310" t="s">
        <v>180</v>
      </c>
      <c r="T1310" s="197" t="str">
        <f t="shared" si="4322"/>
        <v>Autopilot_Opportunity_319</v>
      </c>
      <c r="U1310">
        <v>319</v>
      </c>
      <c r="V1310">
        <f>VLOOKUP($U1310,'[2]AP Opportunity'!$Q$1:$T$542,2,FALSE)</f>
        <v>0.99999997777777772</v>
      </c>
      <c r="W1310">
        <f>VLOOKUP($U1310,'[2]AP Opportunity'!$Q$1:$T$542,3,FALSE)</f>
        <v>2.2222222284540294E-8</v>
      </c>
      <c r="X1310">
        <f>VLOOKUP($U1310,'[2]AP Opportunity'!$Q$1:$T$542,4,FALSE)</f>
        <v>0</v>
      </c>
      <c r="Y1310" s="77">
        <f t="shared" si="4323"/>
        <v>1</v>
      </c>
      <c r="Z1310" s="77">
        <f t="shared" si="4327"/>
        <v>6.4624999704999977E-2</v>
      </c>
      <c r="AA1310" s="77">
        <f t="shared" si="4328"/>
        <v>5.2321923767311151E-3</v>
      </c>
      <c r="AB1310" s="79">
        <v>1</v>
      </c>
      <c r="AC1310" s="77">
        <f t="shared" si="4292"/>
        <v>8.499999955555556E-3</v>
      </c>
      <c r="AD1310" s="77">
        <f t="shared" ref="AD1310" si="4361">1-(1-AC1310)^(1/12)</f>
        <v>7.1110795759765644E-4</v>
      </c>
      <c r="AE1310" s="77">
        <f t="shared" si="4294"/>
        <v>2.5000000000000001E-3</v>
      </c>
      <c r="AF1310" s="77">
        <f t="shared" ref="AF1310" si="4362">1-(1-AE1310)^(1/12)</f>
        <v>2.0857243058891584E-4</v>
      </c>
      <c r="AH1310" t="s">
        <v>175</v>
      </c>
      <c r="AI1310" t="s">
        <v>180</v>
      </c>
      <c r="AJ1310" s="197" t="str">
        <f t="shared" si="4285"/>
        <v>Lifecycle_Opportunity_319</v>
      </c>
      <c r="AK1310">
        <v>319</v>
      </c>
      <c r="AL1310">
        <f>VLOOKUP($U1310,[2]Standard_Opportunity!$Q$1:$T$542,2,FALSE)</f>
        <v>0.99999997777777772</v>
      </c>
      <c r="AM1310">
        <f>VLOOKUP($U1310,[2]Standard_Opportunity!$Q$1:$T$542,3,FALSE)</f>
        <v>2.2222222284540294E-8</v>
      </c>
      <c r="AN1310">
        <f>VLOOKUP($U1310,[2]Standard_Opportunity!$Q$1:$T$542,4,FALSE)</f>
        <v>0</v>
      </c>
      <c r="AO1310" s="77">
        <f t="shared" si="4286"/>
        <v>1</v>
      </c>
      <c r="AP1310" s="77">
        <f t="shared" si="4296"/>
        <v>6.4624999704999977E-2</v>
      </c>
      <c r="AQ1310" s="77">
        <f t="shared" si="4287"/>
        <v>5.2321923767311151E-3</v>
      </c>
      <c r="AR1310" s="79">
        <v>0</v>
      </c>
      <c r="AS1310" s="77">
        <f t="shared" si="4297"/>
        <v>0</v>
      </c>
      <c r="AT1310" s="77">
        <f t="shared" si="4298"/>
        <v>0</v>
      </c>
      <c r="AU1310" s="77">
        <f t="shared" si="4299"/>
        <v>2.5000000000000001E-3</v>
      </c>
      <c r="AV1310" s="77">
        <f t="shared" si="4300"/>
        <v>2.0809499864316017E-4</v>
      </c>
    </row>
    <row r="1311" spans="1:48">
      <c r="A1311" t="s">
        <v>175</v>
      </c>
      <c r="B1311" t="s">
        <v>180</v>
      </c>
      <c r="C1311" s="197" t="str">
        <f t="shared" si="4321"/>
        <v>Lifecycle_Opportunity_318</v>
      </c>
      <c r="D1311">
        <v>318</v>
      </c>
      <c r="E1311">
        <f>VLOOKUP($D1311,'[2]LC Opportunity'!$Q$2:$U$542,2,FALSE)</f>
        <v>0</v>
      </c>
      <c r="F1311">
        <f>VLOOKUP($D1311,'[2]LC Opportunity'!$Q$2:$U$542,3,FALSE)</f>
        <v>0</v>
      </c>
      <c r="G1311">
        <f>VLOOKUP($D1311,'[2]LC Opportunity'!$Q$2:$U$542,4,FALSE)</f>
        <v>0</v>
      </c>
      <c r="H1311">
        <f>VLOOKUP($D1311,'[2]LC Opportunity'!$Q$2:$U$542,5,FALSE)</f>
        <v>0.99999999999999989</v>
      </c>
      <c r="I1311" s="77">
        <f t="shared" si="4281"/>
        <v>0.99999999999999989</v>
      </c>
      <c r="J1311" s="77">
        <f t="shared" si="4282"/>
        <v>7.1999999999999981E-2</v>
      </c>
      <c r="K1311" s="77">
        <f t="shared" si="4326"/>
        <v>5.8106552987937654E-3</v>
      </c>
      <c r="L1311" s="76">
        <v>0</v>
      </c>
      <c r="M1311" s="77">
        <f t="shared" si="4288"/>
        <v>0</v>
      </c>
      <c r="N1311" s="77">
        <f t="shared" si="4289"/>
        <v>0</v>
      </c>
      <c r="O1311" s="77">
        <f t="shared" si="4290"/>
        <v>4.9999999999999992E-3</v>
      </c>
      <c r="P1311" s="77">
        <f t="shared" si="4291"/>
        <v>4.1762458919303302E-4</v>
      </c>
      <c r="R1311" t="s">
        <v>177</v>
      </c>
      <c r="S1311" t="s">
        <v>180</v>
      </c>
      <c r="T1311" s="197" t="str">
        <f t="shared" si="4322"/>
        <v>Autopilot_Opportunity_318</v>
      </c>
      <c r="U1311">
        <v>318</v>
      </c>
      <c r="V1311">
        <f>VLOOKUP($U1311,'[2]AP Opportunity'!$Q$1:$T$542,2,FALSE)</f>
        <v>0.99999997777777772</v>
      </c>
      <c r="W1311">
        <f>VLOOKUP($U1311,'[2]AP Opportunity'!$Q$1:$T$542,3,FALSE)</f>
        <v>2.2222222284540294E-8</v>
      </c>
      <c r="X1311">
        <f>VLOOKUP($U1311,'[2]AP Opportunity'!$Q$1:$T$542,4,FALSE)</f>
        <v>0</v>
      </c>
      <c r="Y1311" s="77">
        <f t="shared" si="4323"/>
        <v>1</v>
      </c>
      <c r="Z1311" s="77">
        <f t="shared" si="4327"/>
        <v>6.4624999704999977E-2</v>
      </c>
      <c r="AA1311" s="77">
        <f t="shared" si="4328"/>
        <v>5.2321923767311151E-3</v>
      </c>
      <c r="AB1311" s="79">
        <v>1</v>
      </c>
      <c r="AC1311" s="77">
        <f t="shared" si="4292"/>
        <v>8.499999955555556E-3</v>
      </c>
      <c r="AD1311" s="77">
        <f t="shared" ref="AD1311" si="4363">1-(1-AC1311)^(1/12)</f>
        <v>7.1110795759765644E-4</v>
      </c>
      <c r="AE1311" s="77">
        <f t="shared" si="4294"/>
        <v>2.5000000000000001E-3</v>
      </c>
      <c r="AF1311" s="77">
        <f t="shared" ref="AF1311" si="4364">1-(1-AE1311)^(1/12)</f>
        <v>2.0857243058891584E-4</v>
      </c>
      <c r="AH1311" t="s">
        <v>175</v>
      </c>
      <c r="AI1311" t="s">
        <v>180</v>
      </c>
      <c r="AJ1311" s="197" t="str">
        <f t="shared" si="4285"/>
        <v>Lifecycle_Opportunity_318</v>
      </c>
      <c r="AK1311">
        <v>318</v>
      </c>
      <c r="AL1311">
        <f>VLOOKUP($U1311,[2]Standard_Opportunity!$Q$1:$T$542,2,FALSE)</f>
        <v>0.99999997777777772</v>
      </c>
      <c r="AM1311">
        <f>VLOOKUP($U1311,[2]Standard_Opportunity!$Q$1:$T$542,3,FALSE)</f>
        <v>2.2222222284540294E-8</v>
      </c>
      <c r="AN1311">
        <f>VLOOKUP($U1311,[2]Standard_Opportunity!$Q$1:$T$542,4,FALSE)</f>
        <v>0</v>
      </c>
      <c r="AO1311" s="77">
        <f t="shared" si="4286"/>
        <v>1</v>
      </c>
      <c r="AP1311" s="77">
        <f t="shared" si="4296"/>
        <v>6.4624999704999977E-2</v>
      </c>
      <c r="AQ1311" s="77">
        <f t="shared" si="4287"/>
        <v>5.2321923767311151E-3</v>
      </c>
      <c r="AR1311" s="79">
        <v>0</v>
      </c>
      <c r="AS1311" s="77">
        <f t="shared" si="4297"/>
        <v>0</v>
      </c>
      <c r="AT1311" s="77">
        <f t="shared" si="4298"/>
        <v>0</v>
      </c>
      <c r="AU1311" s="77">
        <f t="shared" si="4299"/>
        <v>2.5000000000000001E-3</v>
      </c>
      <c r="AV1311" s="77">
        <f t="shared" si="4300"/>
        <v>2.0809499864316017E-4</v>
      </c>
    </row>
    <row r="1312" spans="1:48">
      <c r="A1312" t="s">
        <v>175</v>
      </c>
      <c r="B1312" t="s">
        <v>180</v>
      </c>
      <c r="C1312" s="197" t="str">
        <f t="shared" si="4321"/>
        <v>Lifecycle_Opportunity_317</v>
      </c>
      <c r="D1312">
        <v>317</v>
      </c>
      <c r="E1312">
        <f>VLOOKUP($D1312,'[2]LC Opportunity'!$Q$2:$U$542,2,FALSE)</f>
        <v>0</v>
      </c>
      <c r="F1312">
        <f>VLOOKUP($D1312,'[2]LC Opportunity'!$Q$2:$U$542,3,FALSE)</f>
        <v>0</v>
      </c>
      <c r="G1312">
        <f>VLOOKUP($D1312,'[2]LC Opportunity'!$Q$2:$U$542,4,FALSE)</f>
        <v>0</v>
      </c>
      <c r="H1312">
        <f>VLOOKUP($D1312,'[2]LC Opportunity'!$Q$2:$U$542,5,FALSE)</f>
        <v>0.99999999999999989</v>
      </c>
      <c r="I1312" s="77">
        <f t="shared" si="4281"/>
        <v>0.99999999999999989</v>
      </c>
      <c r="J1312" s="77">
        <f t="shared" si="4282"/>
        <v>7.1999999999999981E-2</v>
      </c>
      <c r="K1312" s="77">
        <f t="shared" si="4326"/>
        <v>5.8106552987937654E-3</v>
      </c>
      <c r="L1312" s="76">
        <v>0</v>
      </c>
      <c r="M1312" s="77">
        <f t="shared" si="4288"/>
        <v>0</v>
      </c>
      <c r="N1312" s="77">
        <f t="shared" si="4289"/>
        <v>0</v>
      </c>
      <c r="O1312" s="77">
        <f t="shared" si="4290"/>
        <v>4.9999999999999992E-3</v>
      </c>
      <c r="P1312" s="77">
        <f t="shared" si="4291"/>
        <v>4.1762458919303302E-4</v>
      </c>
      <c r="R1312" t="s">
        <v>177</v>
      </c>
      <c r="S1312" t="s">
        <v>180</v>
      </c>
      <c r="T1312" s="197" t="str">
        <f t="shared" si="4322"/>
        <v>Autopilot_Opportunity_317</v>
      </c>
      <c r="U1312">
        <v>317</v>
      </c>
      <c r="V1312">
        <f>VLOOKUP($U1312,'[2]AP Opportunity'!$Q$1:$T$542,2,FALSE)</f>
        <v>0.99999997777777772</v>
      </c>
      <c r="W1312">
        <f>VLOOKUP($U1312,'[2]AP Opportunity'!$Q$1:$T$542,3,FALSE)</f>
        <v>2.2222222284540294E-8</v>
      </c>
      <c r="X1312">
        <f>VLOOKUP($U1312,'[2]AP Opportunity'!$Q$1:$T$542,4,FALSE)</f>
        <v>0</v>
      </c>
      <c r="Y1312" s="77">
        <f t="shared" si="4323"/>
        <v>1</v>
      </c>
      <c r="Z1312" s="77">
        <f t="shared" si="4327"/>
        <v>6.4624999704999977E-2</v>
      </c>
      <c r="AA1312" s="77">
        <f t="shared" si="4328"/>
        <v>5.2321923767311151E-3</v>
      </c>
      <c r="AB1312" s="79">
        <v>1</v>
      </c>
      <c r="AC1312" s="77">
        <f t="shared" si="4292"/>
        <v>8.499999955555556E-3</v>
      </c>
      <c r="AD1312" s="77">
        <f t="shared" ref="AD1312" si="4365">1-(1-AC1312)^(1/12)</f>
        <v>7.1110795759765644E-4</v>
      </c>
      <c r="AE1312" s="77">
        <f t="shared" si="4294"/>
        <v>2.5000000000000001E-3</v>
      </c>
      <c r="AF1312" s="77">
        <f t="shared" ref="AF1312" si="4366">1-(1-AE1312)^(1/12)</f>
        <v>2.0857243058891584E-4</v>
      </c>
      <c r="AH1312" t="s">
        <v>175</v>
      </c>
      <c r="AI1312" t="s">
        <v>180</v>
      </c>
      <c r="AJ1312" s="197" t="str">
        <f t="shared" si="4285"/>
        <v>Lifecycle_Opportunity_317</v>
      </c>
      <c r="AK1312">
        <v>317</v>
      </c>
      <c r="AL1312">
        <f>VLOOKUP($U1312,[2]Standard_Opportunity!$Q$1:$T$542,2,FALSE)</f>
        <v>0.99999997777777772</v>
      </c>
      <c r="AM1312">
        <f>VLOOKUP($U1312,[2]Standard_Opportunity!$Q$1:$T$542,3,FALSE)</f>
        <v>2.2222222284540294E-8</v>
      </c>
      <c r="AN1312">
        <f>VLOOKUP($U1312,[2]Standard_Opportunity!$Q$1:$T$542,4,FALSE)</f>
        <v>0</v>
      </c>
      <c r="AO1312" s="77">
        <f t="shared" si="4286"/>
        <v>1</v>
      </c>
      <c r="AP1312" s="77">
        <f t="shared" si="4296"/>
        <v>6.4624999704999977E-2</v>
      </c>
      <c r="AQ1312" s="77">
        <f t="shared" si="4287"/>
        <v>5.2321923767311151E-3</v>
      </c>
      <c r="AR1312" s="79">
        <v>0</v>
      </c>
      <c r="AS1312" s="77">
        <f t="shared" si="4297"/>
        <v>0</v>
      </c>
      <c r="AT1312" s="77">
        <f t="shared" si="4298"/>
        <v>0</v>
      </c>
      <c r="AU1312" s="77">
        <f t="shared" si="4299"/>
        <v>2.5000000000000001E-3</v>
      </c>
      <c r="AV1312" s="77">
        <f t="shared" si="4300"/>
        <v>2.0809499864316017E-4</v>
      </c>
    </row>
    <row r="1313" spans="1:48">
      <c r="A1313" t="s">
        <v>175</v>
      </c>
      <c r="B1313" t="s">
        <v>180</v>
      </c>
      <c r="C1313" s="197" t="str">
        <f t="shared" si="4321"/>
        <v>Lifecycle_Opportunity_316</v>
      </c>
      <c r="D1313">
        <v>316</v>
      </c>
      <c r="E1313">
        <f>VLOOKUP($D1313,'[2]LC Opportunity'!$Q$2:$U$542,2,FALSE)</f>
        <v>0</v>
      </c>
      <c r="F1313">
        <f>VLOOKUP($D1313,'[2]LC Opportunity'!$Q$2:$U$542,3,FALSE)</f>
        <v>0</v>
      </c>
      <c r="G1313">
        <f>VLOOKUP($D1313,'[2]LC Opportunity'!$Q$2:$U$542,4,FALSE)</f>
        <v>0</v>
      </c>
      <c r="H1313">
        <f>VLOOKUP($D1313,'[2]LC Opportunity'!$Q$2:$U$542,5,FALSE)</f>
        <v>0.99999999999999989</v>
      </c>
      <c r="I1313" s="77">
        <f t="shared" si="4281"/>
        <v>0.99999999999999989</v>
      </c>
      <c r="J1313" s="77">
        <f t="shared" si="4282"/>
        <v>7.1999999999999981E-2</v>
      </c>
      <c r="K1313" s="77">
        <f t="shared" si="4326"/>
        <v>5.8106552987937654E-3</v>
      </c>
      <c r="L1313" s="76">
        <v>0</v>
      </c>
      <c r="M1313" s="77">
        <f t="shared" si="4288"/>
        <v>0</v>
      </c>
      <c r="N1313" s="77">
        <f t="shared" si="4289"/>
        <v>0</v>
      </c>
      <c r="O1313" s="77">
        <f t="shared" si="4290"/>
        <v>4.9999999999999992E-3</v>
      </c>
      <c r="P1313" s="77">
        <f t="shared" si="4291"/>
        <v>4.1762458919303302E-4</v>
      </c>
      <c r="R1313" t="s">
        <v>177</v>
      </c>
      <c r="S1313" t="s">
        <v>180</v>
      </c>
      <c r="T1313" s="197" t="str">
        <f t="shared" si="4322"/>
        <v>Autopilot_Opportunity_316</v>
      </c>
      <c r="U1313">
        <v>316</v>
      </c>
      <c r="V1313">
        <f>VLOOKUP($U1313,'[2]AP Opportunity'!$Q$1:$T$542,2,FALSE)</f>
        <v>0.99999997777777772</v>
      </c>
      <c r="W1313">
        <f>VLOOKUP($U1313,'[2]AP Opportunity'!$Q$1:$T$542,3,FALSE)</f>
        <v>2.2222222284540294E-8</v>
      </c>
      <c r="X1313">
        <f>VLOOKUP($U1313,'[2]AP Opportunity'!$Q$1:$T$542,4,FALSE)</f>
        <v>0</v>
      </c>
      <c r="Y1313" s="77">
        <f t="shared" si="4323"/>
        <v>1</v>
      </c>
      <c r="Z1313" s="77">
        <f t="shared" si="4327"/>
        <v>6.4624999704999977E-2</v>
      </c>
      <c r="AA1313" s="77">
        <f t="shared" si="4328"/>
        <v>5.2321923767311151E-3</v>
      </c>
      <c r="AB1313" s="79">
        <v>1</v>
      </c>
      <c r="AC1313" s="77">
        <f t="shared" si="4292"/>
        <v>8.499999955555556E-3</v>
      </c>
      <c r="AD1313" s="77">
        <f t="shared" ref="AD1313" si="4367">1-(1-AC1313)^(1/12)</f>
        <v>7.1110795759765644E-4</v>
      </c>
      <c r="AE1313" s="77">
        <f t="shared" si="4294"/>
        <v>2.5000000000000001E-3</v>
      </c>
      <c r="AF1313" s="77">
        <f t="shared" ref="AF1313" si="4368">1-(1-AE1313)^(1/12)</f>
        <v>2.0857243058891584E-4</v>
      </c>
      <c r="AH1313" t="s">
        <v>175</v>
      </c>
      <c r="AI1313" t="s">
        <v>180</v>
      </c>
      <c r="AJ1313" s="197" t="str">
        <f t="shared" si="4285"/>
        <v>Lifecycle_Opportunity_316</v>
      </c>
      <c r="AK1313">
        <v>316</v>
      </c>
      <c r="AL1313">
        <f>VLOOKUP($U1313,[2]Standard_Opportunity!$Q$1:$T$542,2,FALSE)</f>
        <v>0.99999997777777772</v>
      </c>
      <c r="AM1313">
        <f>VLOOKUP($U1313,[2]Standard_Opportunity!$Q$1:$T$542,3,FALSE)</f>
        <v>2.2222222284540294E-8</v>
      </c>
      <c r="AN1313">
        <f>VLOOKUP($U1313,[2]Standard_Opportunity!$Q$1:$T$542,4,FALSE)</f>
        <v>0</v>
      </c>
      <c r="AO1313" s="77">
        <f t="shared" si="4286"/>
        <v>1</v>
      </c>
      <c r="AP1313" s="77">
        <f t="shared" si="4296"/>
        <v>6.4624999704999977E-2</v>
      </c>
      <c r="AQ1313" s="77">
        <f t="shared" si="4287"/>
        <v>5.2321923767311151E-3</v>
      </c>
      <c r="AR1313" s="79">
        <v>0</v>
      </c>
      <c r="AS1313" s="77">
        <f t="shared" si="4297"/>
        <v>0</v>
      </c>
      <c r="AT1313" s="77">
        <f t="shared" si="4298"/>
        <v>0</v>
      </c>
      <c r="AU1313" s="77">
        <f t="shared" si="4299"/>
        <v>2.5000000000000001E-3</v>
      </c>
      <c r="AV1313" s="77">
        <f t="shared" si="4300"/>
        <v>2.0809499864316017E-4</v>
      </c>
    </row>
    <row r="1314" spans="1:48">
      <c r="A1314" t="s">
        <v>175</v>
      </c>
      <c r="B1314" t="s">
        <v>180</v>
      </c>
      <c r="C1314" s="197" t="str">
        <f t="shared" si="4321"/>
        <v>Lifecycle_Opportunity_315</v>
      </c>
      <c r="D1314">
        <v>315</v>
      </c>
      <c r="E1314">
        <f>VLOOKUP($D1314,'[2]LC Opportunity'!$Q$2:$U$542,2,FALSE)</f>
        <v>0</v>
      </c>
      <c r="F1314">
        <f>VLOOKUP($D1314,'[2]LC Opportunity'!$Q$2:$U$542,3,FALSE)</f>
        <v>0</v>
      </c>
      <c r="G1314">
        <f>VLOOKUP($D1314,'[2]LC Opportunity'!$Q$2:$U$542,4,FALSE)</f>
        <v>0</v>
      </c>
      <c r="H1314">
        <f>VLOOKUP($D1314,'[2]LC Opportunity'!$Q$2:$U$542,5,FALSE)</f>
        <v>0.99999999999999989</v>
      </c>
      <c r="I1314" s="77">
        <f t="shared" si="4281"/>
        <v>0.99999999999999989</v>
      </c>
      <c r="J1314" s="77">
        <f t="shared" si="4282"/>
        <v>7.1999999999999981E-2</v>
      </c>
      <c r="K1314" s="77">
        <f t="shared" si="4326"/>
        <v>5.8106552987937654E-3</v>
      </c>
      <c r="L1314" s="76">
        <v>0</v>
      </c>
      <c r="M1314" s="77">
        <f t="shared" si="4288"/>
        <v>0</v>
      </c>
      <c r="N1314" s="77">
        <f t="shared" si="4289"/>
        <v>0</v>
      </c>
      <c r="O1314" s="77">
        <f t="shared" si="4290"/>
        <v>4.9999999999999992E-3</v>
      </c>
      <c r="P1314" s="77">
        <f t="shared" si="4291"/>
        <v>4.1762458919303302E-4</v>
      </c>
      <c r="R1314" t="s">
        <v>177</v>
      </c>
      <c r="S1314" t="s">
        <v>180</v>
      </c>
      <c r="T1314" s="197" t="str">
        <f t="shared" si="4322"/>
        <v>Autopilot_Opportunity_315</v>
      </c>
      <c r="U1314">
        <v>315</v>
      </c>
      <c r="V1314">
        <f>VLOOKUP($U1314,'[2]AP Opportunity'!$Q$1:$T$542,2,FALSE)</f>
        <v>0.99999997777777772</v>
      </c>
      <c r="W1314">
        <f>VLOOKUP($U1314,'[2]AP Opportunity'!$Q$1:$T$542,3,FALSE)</f>
        <v>2.2222222284540294E-8</v>
      </c>
      <c r="X1314">
        <f>VLOOKUP($U1314,'[2]AP Opportunity'!$Q$1:$T$542,4,FALSE)</f>
        <v>0</v>
      </c>
      <c r="Y1314" s="77">
        <f t="shared" si="4323"/>
        <v>1</v>
      </c>
      <c r="Z1314" s="77">
        <f t="shared" si="4327"/>
        <v>6.4624999704999977E-2</v>
      </c>
      <c r="AA1314" s="77">
        <f t="shared" si="4328"/>
        <v>5.2321923767311151E-3</v>
      </c>
      <c r="AB1314" s="79">
        <v>1</v>
      </c>
      <c r="AC1314" s="77">
        <f t="shared" si="4292"/>
        <v>8.499999955555556E-3</v>
      </c>
      <c r="AD1314" s="77">
        <f t="shared" ref="AD1314" si="4369">1-(1-AC1314)^(1/12)</f>
        <v>7.1110795759765644E-4</v>
      </c>
      <c r="AE1314" s="77">
        <f t="shared" si="4294"/>
        <v>2.5000000000000001E-3</v>
      </c>
      <c r="AF1314" s="77">
        <f t="shared" ref="AF1314" si="4370">1-(1-AE1314)^(1/12)</f>
        <v>2.0857243058891584E-4</v>
      </c>
      <c r="AH1314" t="s">
        <v>175</v>
      </c>
      <c r="AI1314" t="s">
        <v>180</v>
      </c>
      <c r="AJ1314" s="197" t="str">
        <f t="shared" si="4285"/>
        <v>Lifecycle_Opportunity_315</v>
      </c>
      <c r="AK1314">
        <v>315</v>
      </c>
      <c r="AL1314">
        <f>VLOOKUP($U1314,[2]Standard_Opportunity!$Q$1:$T$542,2,FALSE)</f>
        <v>0.99999997777777772</v>
      </c>
      <c r="AM1314">
        <f>VLOOKUP($U1314,[2]Standard_Opportunity!$Q$1:$T$542,3,FALSE)</f>
        <v>2.2222222284540294E-8</v>
      </c>
      <c r="AN1314">
        <f>VLOOKUP($U1314,[2]Standard_Opportunity!$Q$1:$T$542,4,FALSE)</f>
        <v>0</v>
      </c>
      <c r="AO1314" s="77">
        <f t="shared" si="4286"/>
        <v>1</v>
      </c>
      <c r="AP1314" s="77">
        <f t="shared" si="4296"/>
        <v>6.4624999704999977E-2</v>
      </c>
      <c r="AQ1314" s="77">
        <f t="shared" si="4287"/>
        <v>5.2321923767311151E-3</v>
      </c>
      <c r="AR1314" s="79">
        <v>0</v>
      </c>
      <c r="AS1314" s="77">
        <f t="shared" si="4297"/>
        <v>0</v>
      </c>
      <c r="AT1314" s="77">
        <f t="shared" si="4298"/>
        <v>0</v>
      </c>
      <c r="AU1314" s="77">
        <f t="shared" si="4299"/>
        <v>2.5000000000000001E-3</v>
      </c>
      <c r="AV1314" s="77">
        <f t="shared" si="4300"/>
        <v>2.0809499864316017E-4</v>
      </c>
    </row>
    <row r="1315" spans="1:48">
      <c r="A1315" t="s">
        <v>175</v>
      </c>
      <c r="B1315" t="s">
        <v>180</v>
      </c>
      <c r="C1315" s="197" t="str">
        <f t="shared" si="4321"/>
        <v>Lifecycle_Opportunity_314</v>
      </c>
      <c r="D1315">
        <v>314</v>
      </c>
      <c r="E1315">
        <f>VLOOKUP($D1315,'[2]LC Opportunity'!$Q$2:$U$542,2,FALSE)</f>
        <v>0</v>
      </c>
      <c r="F1315">
        <f>VLOOKUP($D1315,'[2]LC Opportunity'!$Q$2:$U$542,3,FALSE)</f>
        <v>0</v>
      </c>
      <c r="G1315">
        <f>VLOOKUP($D1315,'[2]LC Opportunity'!$Q$2:$U$542,4,FALSE)</f>
        <v>0</v>
      </c>
      <c r="H1315">
        <f>VLOOKUP($D1315,'[2]LC Opportunity'!$Q$2:$U$542,5,FALSE)</f>
        <v>0.99999999999999989</v>
      </c>
      <c r="I1315" s="77">
        <f t="shared" si="4281"/>
        <v>0.99999999999999989</v>
      </c>
      <c r="J1315" s="77">
        <f t="shared" si="4282"/>
        <v>7.1999999999999981E-2</v>
      </c>
      <c r="K1315" s="77">
        <f t="shared" si="4326"/>
        <v>5.8106552987937654E-3</v>
      </c>
      <c r="L1315" s="76">
        <v>0</v>
      </c>
      <c r="M1315" s="77">
        <f t="shared" si="4288"/>
        <v>0</v>
      </c>
      <c r="N1315" s="77">
        <f t="shared" si="4289"/>
        <v>0</v>
      </c>
      <c r="O1315" s="77">
        <f t="shared" si="4290"/>
        <v>4.9999999999999992E-3</v>
      </c>
      <c r="P1315" s="77">
        <f t="shared" si="4291"/>
        <v>4.1762458919303302E-4</v>
      </c>
      <c r="R1315" t="s">
        <v>177</v>
      </c>
      <c r="S1315" t="s">
        <v>180</v>
      </c>
      <c r="T1315" s="197" t="str">
        <f t="shared" si="4322"/>
        <v>Autopilot_Opportunity_314</v>
      </c>
      <c r="U1315">
        <v>314</v>
      </c>
      <c r="V1315">
        <f>VLOOKUP($U1315,'[2]AP Opportunity'!$Q$1:$T$542,2,FALSE)</f>
        <v>0.99999997777777772</v>
      </c>
      <c r="W1315">
        <f>VLOOKUP($U1315,'[2]AP Opportunity'!$Q$1:$T$542,3,FALSE)</f>
        <v>2.2222222284540294E-8</v>
      </c>
      <c r="X1315">
        <f>VLOOKUP($U1315,'[2]AP Opportunity'!$Q$1:$T$542,4,FALSE)</f>
        <v>0</v>
      </c>
      <c r="Y1315" s="77">
        <f t="shared" si="4323"/>
        <v>1</v>
      </c>
      <c r="Z1315" s="77">
        <f t="shared" si="4327"/>
        <v>6.4624999704999977E-2</v>
      </c>
      <c r="AA1315" s="77">
        <f t="shared" si="4328"/>
        <v>5.2321923767311151E-3</v>
      </c>
      <c r="AB1315" s="79">
        <v>1</v>
      </c>
      <c r="AC1315" s="77">
        <f t="shared" si="4292"/>
        <v>8.499999955555556E-3</v>
      </c>
      <c r="AD1315" s="77">
        <f t="shared" ref="AD1315" si="4371">1-(1-AC1315)^(1/12)</f>
        <v>7.1110795759765644E-4</v>
      </c>
      <c r="AE1315" s="77">
        <f t="shared" si="4294"/>
        <v>2.5000000000000001E-3</v>
      </c>
      <c r="AF1315" s="77">
        <f t="shared" ref="AF1315" si="4372">1-(1-AE1315)^(1/12)</f>
        <v>2.0857243058891584E-4</v>
      </c>
      <c r="AH1315" t="s">
        <v>175</v>
      </c>
      <c r="AI1315" t="s">
        <v>180</v>
      </c>
      <c r="AJ1315" s="197" t="str">
        <f t="shared" si="4285"/>
        <v>Lifecycle_Opportunity_314</v>
      </c>
      <c r="AK1315">
        <v>314</v>
      </c>
      <c r="AL1315">
        <f>VLOOKUP($U1315,[2]Standard_Opportunity!$Q$1:$T$542,2,FALSE)</f>
        <v>0.99999997777777772</v>
      </c>
      <c r="AM1315">
        <f>VLOOKUP($U1315,[2]Standard_Opportunity!$Q$1:$T$542,3,FALSE)</f>
        <v>2.2222222284540294E-8</v>
      </c>
      <c r="AN1315">
        <f>VLOOKUP($U1315,[2]Standard_Opportunity!$Q$1:$T$542,4,FALSE)</f>
        <v>0</v>
      </c>
      <c r="AO1315" s="77">
        <f t="shared" si="4286"/>
        <v>1</v>
      </c>
      <c r="AP1315" s="77">
        <f t="shared" si="4296"/>
        <v>6.4624999704999977E-2</v>
      </c>
      <c r="AQ1315" s="77">
        <f t="shared" si="4287"/>
        <v>5.2321923767311151E-3</v>
      </c>
      <c r="AR1315" s="79">
        <v>0</v>
      </c>
      <c r="AS1315" s="77">
        <f t="shared" si="4297"/>
        <v>0</v>
      </c>
      <c r="AT1315" s="77">
        <f t="shared" si="4298"/>
        <v>0</v>
      </c>
      <c r="AU1315" s="77">
        <f t="shared" si="4299"/>
        <v>2.5000000000000001E-3</v>
      </c>
      <c r="AV1315" s="77">
        <f t="shared" si="4300"/>
        <v>2.0809499864316017E-4</v>
      </c>
    </row>
    <row r="1316" spans="1:48">
      <c r="A1316" t="s">
        <v>175</v>
      </c>
      <c r="B1316" t="s">
        <v>180</v>
      </c>
      <c r="C1316" s="197" t="str">
        <f t="shared" si="4321"/>
        <v>Lifecycle_Opportunity_313</v>
      </c>
      <c r="D1316">
        <v>313</v>
      </c>
      <c r="E1316">
        <f>VLOOKUP($D1316,'[2]LC Opportunity'!$Q$2:$U$542,2,FALSE)</f>
        <v>0</v>
      </c>
      <c r="F1316">
        <f>VLOOKUP($D1316,'[2]LC Opportunity'!$Q$2:$U$542,3,FALSE)</f>
        <v>0</v>
      </c>
      <c r="G1316">
        <f>VLOOKUP($D1316,'[2]LC Opportunity'!$Q$2:$U$542,4,FALSE)</f>
        <v>0</v>
      </c>
      <c r="H1316">
        <f>VLOOKUP($D1316,'[2]LC Opportunity'!$Q$2:$U$542,5,FALSE)</f>
        <v>0.99999999999999989</v>
      </c>
      <c r="I1316" s="77">
        <f t="shared" si="4281"/>
        <v>0.99999999999999989</v>
      </c>
      <c r="J1316" s="77">
        <f t="shared" si="4282"/>
        <v>7.1999999999999981E-2</v>
      </c>
      <c r="K1316" s="77">
        <f t="shared" si="4326"/>
        <v>5.8106552987937654E-3</v>
      </c>
      <c r="L1316" s="76">
        <v>0</v>
      </c>
      <c r="M1316" s="77">
        <f t="shared" si="4288"/>
        <v>0</v>
      </c>
      <c r="N1316" s="77">
        <f t="shared" si="4289"/>
        <v>0</v>
      </c>
      <c r="O1316" s="77">
        <f t="shared" si="4290"/>
        <v>4.9999999999999992E-3</v>
      </c>
      <c r="P1316" s="77">
        <f t="shared" si="4291"/>
        <v>4.1762458919303302E-4</v>
      </c>
      <c r="R1316" t="s">
        <v>177</v>
      </c>
      <c r="S1316" t="s">
        <v>180</v>
      </c>
      <c r="T1316" s="197" t="str">
        <f t="shared" si="4322"/>
        <v>Autopilot_Opportunity_313</v>
      </c>
      <c r="U1316">
        <v>313</v>
      </c>
      <c r="V1316">
        <f>VLOOKUP($U1316,'[2]AP Opportunity'!$Q$1:$T$542,2,FALSE)</f>
        <v>0.99999997777777772</v>
      </c>
      <c r="W1316">
        <f>VLOOKUP($U1316,'[2]AP Opportunity'!$Q$1:$T$542,3,FALSE)</f>
        <v>2.2222222284540294E-8</v>
      </c>
      <c r="X1316">
        <f>VLOOKUP($U1316,'[2]AP Opportunity'!$Q$1:$T$542,4,FALSE)</f>
        <v>0</v>
      </c>
      <c r="Y1316" s="77">
        <f t="shared" si="4323"/>
        <v>1</v>
      </c>
      <c r="Z1316" s="77">
        <f t="shared" si="4327"/>
        <v>6.4624999704999977E-2</v>
      </c>
      <c r="AA1316" s="77">
        <f t="shared" si="4328"/>
        <v>5.2321923767311151E-3</v>
      </c>
      <c r="AB1316" s="79">
        <v>1</v>
      </c>
      <c r="AC1316" s="77">
        <f t="shared" si="4292"/>
        <v>8.499999955555556E-3</v>
      </c>
      <c r="AD1316" s="77">
        <f t="shared" ref="AD1316" si="4373">1-(1-AC1316)^(1/12)</f>
        <v>7.1110795759765644E-4</v>
      </c>
      <c r="AE1316" s="77">
        <f t="shared" si="4294"/>
        <v>2.5000000000000001E-3</v>
      </c>
      <c r="AF1316" s="77">
        <f t="shared" ref="AF1316" si="4374">1-(1-AE1316)^(1/12)</f>
        <v>2.0857243058891584E-4</v>
      </c>
      <c r="AH1316" t="s">
        <v>175</v>
      </c>
      <c r="AI1316" t="s">
        <v>180</v>
      </c>
      <c r="AJ1316" s="197" t="str">
        <f t="shared" si="4285"/>
        <v>Lifecycle_Opportunity_313</v>
      </c>
      <c r="AK1316">
        <v>313</v>
      </c>
      <c r="AL1316">
        <f>VLOOKUP($U1316,[2]Standard_Opportunity!$Q$1:$T$542,2,FALSE)</f>
        <v>0.99999997777777772</v>
      </c>
      <c r="AM1316">
        <f>VLOOKUP($U1316,[2]Standard_Opportunity!$Q$1:$T$542,3,FALSE)</f>
        <v>2.2222222284540294E-8</v>
      </c>
      <c r="AN1316">
        <f>VLOOKUP($U1316,[2]Standard_Opportunity!$Q$1:$T$542,4,FALSE)</f>
        <v>0</v>
      </c>
      <c r="AO1316" s="77">
        <f t="shared" si="4286"/>
        <v>1</v>
      </c>
      <c r="AP1316" s="77">
        <f t="shared" si="4296"/>
        <v>6.4624999704999977E-2</v>
      </c>
      <c r="AQ1316" s="77">
        <f t="shared" si="4287"/>
        <v>5.2321923767311151E-3</v>
      </c>
      <c r="AR1316" s="79">
        <v>0</v>
      </c>
      <c r="AS1316" s="77">
        <f t="shared" si="4297"/>
        <v>0</v>
      </c>
      <c r="AT1316" s="77">
        <f t="shared" si="4298"/>
        <v>0</v>
      </c>
      <c r="AU1316" s="77">
        <f t="shared" si="4299"/>
        <v>2.5000000000000001E-3</v>
      </c>
      <c r="AV1316" s="77">
        <f t="shared" si="4300"/>
        <v>2.0809499864316017E-4</v>
      </c>
    </row>
    <row r="1317" spans="1:48">
      <c r="A1317" t="s">
        <v>175</v>
      </c>
      <c r="B1317" t="s">
        <v>180</v>
      </c>
      <c r="C1317" s="197" t="str">
        <f t="shared" si="4321"/>
        <v>Lifecycle_Opportunity_312</v>
      </c>
      <c r="D1317">
        <v>312</v>
      </c>
      <c r="E1317">
        <f>VLOOKUP($D1317,'[2]LC Opportunity'!$Q$2:$U$542,2,FALSE)</f>
        <v>0</v>
      </c>
      <c r="F1317">
        <f>VLOOKUP($D1317,'[2]LC Opportunity'!$Q$2:$U$542,3,FALSE)</f>
        <v>0</v>
      </c>
      <c r="G1317">
        <f>VLOOKUP($D1317,'[2]LC Opportunity'!$Q$2:$U$542,4,FALSE)</f>
        <v>0</v>
      </c>
      <c r="H1317">
        <f>VLOOKUP($D1317,'[2]LC Opportunity'!$Q$2:$U$542,5,FALSE)</f>
        <v>0.99999999999999989</v>
      </c>
      <c r="I1317" s="77">
        <f t="shared" si="4281"/>
        <v>0.99999999999999989</v>
      </c>
      <c r="J1317" s="77">
        <f t="shared" si="4282"/>
        <v>7.1999999999999981E-2</v>
      </c>
      <c r="K1317" s="77">
        <f t="shared" si="4326"/>
        <v>5.8106552987937654E-3</v>
      </c>
      <c r="L1317" s="76">
        <v>0</v>
      </c>
      <c r="M1317" s="77">
        <f t="shared" si="4288"/>
        <v>0</v>
      </c>
      <c r="N1317" s="77">
        <f t="shared" si="4289"/>
        <v>0</v>
      </c>
      <c r="O1317" s="77">
        <f t="shared" si="4290"/>
        <v>4.9999999999999992E-3</v>
      </c>
      <c r="P1317" s="77">
        <f t="shared" si="4291"/>
        <v>4.1762458919303302E-4</v>
      </c>
      <c r="R1317" t="s">
        <v>177</v>
      </c>
      <c r="S1317" t="s">
        <v>180</v>
      </c>
      <c r="T1317" s="197" t="str">
        <f t="shared" si="4322"/>
        <v>Autopilot_Opportunity_312</v>
      </c>
      <c r="U1317">
        <v>312</v>
      </c>
      <c r="V1317">
        <f>VLOOKUP($U1317,'[2]AP Opportunity'!$Q$1:$T$542,2,FALSE)</f>
        <v>0.99999997777777772</v>
      </c>
      <c r="W1317">
        <f>VLOOKUP($U1317,'[2]AP Opportunity'!$Q$1:$T$542,3,FALSE)</f>
        <v>2.2222222284540294E-8</v>
      </c>
      <c r="X1317">
        <f>VLOOKUP($U1317,'[2]AP Opportunity'!$Q$1:$T$542,4,FALSE)</f>
        <v>0</v>
      </c>
      <c r="Y1317" s="77">
        <f t="shared" si="4323"/>
        <v>1</v>
      </c>
      <c r="Z1317" s="77">
        <f t="shared" si="4327"/>
        <v>6.4624999704999977E-2</v>
      </c>
      <c r="AA1317" s="77">
        <f t="shared" si="4328"/>
        <v>5.2321923767311151E-3</v>
      </c>
      <c r="AB1317" s="79">
        <v>1</v>
      </c>
      <c r="AC1317" s="77">
        <f t="shared" si="4292"/>
        <v>8.499999955555556E-3</v>
      </c>
      <c r="AD1317" s="77">
        <f t="shared" ref="AD1317" si="4375">1-(1-AC1317)^(1/12)</f>
        <v>7.1110795759765644E-4</v>
      </c>
      <c r="AE1317" s="77">
        <f t="shared" si="4294"/>
        <v>2.5000000000000001E-3</v>
      </c>
      <c r="AF1317" s="77">
        <f t="shared" ref="AF1317" si="4376">1-(1-AE1317)^(1/12)</f>
        <v>2.0857243058891584E-4</v>
      </c>
      <c r="AH1317" t="s">
        <v>175</v>
      </c>
      <c r="AI1317" t="s">
        <v>180</v>
      </c>
      <c r="AJ1317" s="197" t="str">
        <f t="shared" si="4285"/>
        <v>Lifecycle_Opportunity_312</v>
      </c>
      <c r="AK1317">
        <v>312</v>
      </c>
      <c r="AL1317">
        <f>VLOOKUP($U1317,[2]Standard_Opportunity!$Q$1:$T$542,2,FALSE)</f>
        <v>0.99999997777777772</v>
      </c>
      <c r="AM1317">
        <f>VLOOKUP($U1317,[2]Standard_Opportunity!$Q$1:$T$542,3,FALSE)</f>
        <v>2.2222222284540294E-8</v>
      </c>
      <c r="AN1317">
        <f>VLOOKUP($U1317,[2]Standard_Opportunity!$Q$1:$T$542,4,FALSE)</f>
        <v>0</v>
      </c>
      <c r="AO1317" s="77">
        <f t="shared" si="4286"/>
        <v>1</v>
      </c>
      <c r="AP1317" s="77">
        <f t="shared" si="4296"/>
        <v>6.4624999704999977E-2</v>
      </c>
      <c r="AQ1317" s="77">
        <f t="shared" si="4287"/>
        <v>5.2321923767311151E-3</v>
      </c>
      <c r="AR1317" s="79">
        <v>0</v>
      </c>
      <c r="AS1317" s="77">
        <f t="shared" si="4297"/>
        <v>0</v>
      </c>
      <c r="AT1317" s="77">
        <f t="shared" si="4298"/>
        <v>0</v>
      </c>
      <c r="AU1317" s="77">
        <f t="shared" si="4299"/>
        <v>2.5000000000000001E-3</v>
      </c>
      <c r="AV1317" s="77">
        <f t="shared" si="4300"/>
        <v>2.0809499864316017E-4</v>
      </c>
    </row>
    <row r="1318" spans="1:48">
      <c r="A1318" t="s">
        <v>175</v>
      </c>
      <c r="B1318" t="s">
        <v>180</v>
      </c>
      <c r="C1318" s="197" t="str">
        <f t="shared" si="4321"/>
        <v>Lifecycle_Opportunity_311</v>
      </c>
      <c r="D1318">
        <v>311</v>
      </c>
      <c r="E1318">
        <f>VLOOKUP($D1318,'[2]LC Opportunity'!$Q$2:$U$542,2,FALSE)</f>
        <v>0</v>
      </c>
      <c r="F1318">
        <f>VLOOKUP($D1318,'[2]LC Opportunity'!$Q$2:$U$542,3,FALSE)</f>
        <v>0</v>
      </c>
      <c r="G1318">
        <f>VLOOKUP($D1318,'[2]LC Opportunity'!$Q$2:$U$542,4,FALSE)</f>
        <v>0</v>
      </c>
      <c r="H1318">
        <f>VLOOKUP($D1318,'[2]LC Opportunity'!$Q$2:$U$542,5,FALSE)</f>
        <v>0.99999999999999989</v>
      </c>
      <c r="I1318" s="77">
        <f t="shared" si="4281"/>
        <v>0.99999999999999989</v>
      </c>
      <c r="J1318" s="77">
        <f t="shared" si="4282"/>
        <v>7.1999999999999981E-2</v>
      </c>
      <c r="K1318" s="77">
        <f t="shared" si="4326"/>
        <v>5.8106552987937654E-3</v>
      </c>
      <c r="L1318" s="76">
        <v>0</v>
      </c>
      <c r="M1318" s="77">
        <f t="shared" si="4288"/>
        <v>0</v>
      </c>
      <c r="N1318" s="77">
        <f t="shared" si="4289"/>
        <v>0</v>
      </c>
      <c r="O1318" s="77">
        <f t="shared" si="4290"/>
        <v>4.9999999999999992E-3</v>
      </c>
      <c r="P1318" s="77">
        <f t="shared" si="4291"/>
        <v>4.1762458919303302E-4</v>
      </c>
      <c r="R1318" t="s">
        <v>177</v>
      </c>
      <c r="S1318" t="s">
        <v>180</v>
      </c>
      <c r="T1318" s="197" t="str">
        <f t="shared" si="4322"/>
        <v>Autopilot_Opportunity_311</v>
      </c>
      <c r="U1318">
        <v>311</v>
      </c>
      <c r="V1318">
        <f>VLOOKUP($U1318,'[2]AP Opportunity'!$Q$1:$T$542,2,FALSE)</f>
        <v>0.99999997777777772</v>
      </c>
      <c r="W1318">
        <f>VLOOKUP($U1318,'[2]AP Opportunity'!$Q$1:$T$542,3,FALSE)</f>
        <v>2.2222222284540294E-8</v>
      </c>
      <c r="X1318">
        <f>VLOOKUP($U1318,'[2]AP Opportunity'!$Q$1:$T$542,4,FALSE)</f>
        <v>0</v>
      </c>
      <c r="Y1318" s="77">
        <f t="shared" si="4323"/>
        <v>1</v>
      </c>
      <c r="Z1318" s="77">
        <f t="shared" si="4327"/>
        <v>6.4624999704999977E-2</v>
      </c>
      <c r="AA1318" s="77">
        <f t="shared" si="4328"/>
        <v>5.2321923767311151E-3</v>
      </c>
      <c r="AB1318" s="79">
        <v>1</v>
      </c>
      <c r="AC1318" s="77">
        <f t="shared" si="4292"/>
        <v>8.499999955555556E-3</v>
      </c>
      <c r="AD1318" s="77">
        <f t="shared" ref="AD1318" si="4377">1-(1-AC1318)^(1/12)</f>
        <v>7.1110795759765644E-4</v>
      </c>
      <c r="AE1318" s="77">
        <f t="shared" si="4294"/>
        <v>2.5000000000000001E-3</v>
      </c>
      <c r="AF1318" s="77">
        <f t="shared" ref="AF1318" si="4378">1-(1-AE1318)^(1/12)</f>
        <v>2.0857243058891584E-4</v>
      </c>
      <c r="AH1318" t="s">
        <v>175</v>
      </c>
      <c r="AI1318" t="s">
        <v>180</v>
      </c>
      <c r="AJ1318" s="197" t="str">
        <f t="shared" si="4285"/>
        <v>Lifecycle_Opportunity_311</v>
      </c>
      <c r="AK1318">
        <v>311</v>
      </c>
      <c r="AL1318">
        <f>VLOOKUP($U1318,[2]Standard_Opportunity!$Q$1:$T$542,2,FALSE)</f>
        <v>0.99999997777777772</v>
      </c>
      <c r="AM1318">
        <f>VLOOKUP($U1318,[2]Standard_Opportunity!$Q$1:$T$542,3,FALSE)</f>
        <v>2.2222222284540294E-8</v>
      </c>
      <c r="AN1318">
        <f>VLOOKUP($U1318,[2]Standard_Opportunity!$Q$1:$T$542,4,FALSE)</f>
        <v>0</v>
      </c>
      <c r="AO1318" s="77">
        <f t="shared" si="4286"/>
        <v>1</v>
      </c>
      <c r="AP1318" s="77">
        <f t="shared" si="4296"/>
        <v>6.4624999704999977E-2</v>
      </c>
      <c r="AQ1318" s="77">
        <f t="shared" si="4287"/>
        <v>5.2321923767311151E-3</v>
      </c>
      <c r="AR1318" s="79">
        <v>0</v>
      </c>
      <c r="AS1318" s="77">
        <f t="shared" si="4297"/>
        <v>0</v>
      </c>
      <c r="AT1318" s="77">
        <f t="shared" si="4298"/>
        <v>0</v>
      </c>
      <c r="AU1318" s="77">
        <f t="shared" si="4299"/>
        <v>2.5000000000000001E-3</v>
      </c>
      <c r="AV1318" s="77">
        <f t="shared" si="4300"/>
        <v>2.0809499864316017E-4</v>
      </c>
    </row>
    <row r="1319" spans="1:48">
      <c r="A1319" t="s">
        <v>175</v>
      </c>
      <c r="B1319" t="s">
        <v>180</v>
      </c>
      <c r="C1319" s="197" t="str">
        <f t="shared" si="4321"/>
        <v>Lifecycle_Opportunity_310</v>
      </c>
      <c r="D1319">
        <v>310</v>
      </c>
      <c r="E1319">
        <f>VLOOKUP($D1319,'[2]LC Opportunity'!$Q$2:$U$542,2,FALSE)</f>
        <v>0</v>
      </c>
      <c r="F1319">
        <f>VLOOKUP($D1319,'[2]LC Opportunity'!$Q$2:$U$542,3,FALSE)</f>
        <v>0</v>
      </c>
      <c r="G1319">
        <f>VLOOKUP($D1319,'[2]LC Opportunity'!$Q$2:$U$542,4,FALSE)</f>
        <v>0</v>
      </c>
      <c r="H1319">
        <f>VLOOKUP($D1319,'[2]LC Opportunity'!$Q$2:$U$542,5,FALSE)</f>
        <v>0.99999999999999989</v>
      </c>
      <c r="I1319" s="77">
        <f t="shared" si="4281"/>
        <v>0.99999999999999989</v>
      </c>
      <c r="J1319" s="77">
        <f t="shared" si="4282"/>
        <v>7.1999999999999981E-2</v>
      </c>
      <c r="K1319" s="77">
        <f t="shared" si="4326"/>
        <v>5.8106552987937654E-3</v>
      </c>
      <c r="L1319" s="76">
        <v>0</v>
      </c>
      <c r="M1319" s="77">
        <f t="shared" si="4288"/>
        <v>0</v>
      </c>
      <c r="N1319" s="77">
        <f t="shared" si="4289"/>
        <v>0</v>
      </c>
      <c r="O1319" s="77">
        <f t="shared" si="4290"/>
        <v>4.9999999999999992E-3</v>
      </c>
      <c r="P1319" s="77">
        <f t="shared" si="4291"/>
        <v>4.1762458919303302E-4</v>
      </c>
      <c r="R1319" t="s">
        <v>177</v>
      </c>
      <c r="S1319" t="s">
        <v>180</v>
      </c>
      <c r="T1319" s="197" t="str">
        <f t="shared" si="4322"/>
        <v>Autopilot_Opportunity_310</v>
      </c>
      <c r="U1319">
        <v>310</v>
      </c>
      <c r="V1319">
        <f>VLOOKUP($U1319,'[2]AP Opportunity'!$Q$1:$T$542,2,FALSE)</f>
        <v>0.99999997777777772</v>
      </c>
      <c r="W1319">
        <f>VLOOKUP($U1319,'[2]AP Opportunity'!$Q$1:$T$542,3,FALSE)</f>
        <v>2.2222222284540294E-8</v>
      </c>
      <c r="X1319">
        <f>VLOOKUP($U1319,'[2]AP Opportunity'!$Q$1:$T$542,4,FALSE)</f>
        <v>0</v>
      </c>
      <c r="Y1319" s="77">
        <f t="shared" si="4323"/>
        <v>1</v>
      </c>
      <c r="Z1319" s="77">
        <f t="shared" si="4327"/>
        <v>6.4624999704999977E-2</v>
      </c>
      <c r="AA1319" s="77">
        <f t="shared" si="4328"/>
        <v>5.2321923767311151E-3</v>
      </c>
      <c r="AB1319" s="79">
        <v>1</v>
      </c>
      <c r="AC1319" s="77">
        <f t="shared" si="4292"/>
        <v>8.499999955555556E-3</v>
      </c>
      <c r="AD1319" s="77">
        <f t="shared" ref="AD1319" si="4379">1-(1-AC1319)^(1/12)</f>
        <v>7.1110795759765644E-4</v>
      </c>
      <c r="AE1319" s="77">
        <f t="shared" si="4294"/>
        <v>2.5000000000000001E-3</v>
      </c>
      <c r="AF1319" s="77">
        <f t="shared" ref="AF1319" si="4380">1-(1-AE1319)^(1/12)</f>
        <v>2.0857243058891584E-4</v>
      </c>
      <c r="AH1319" t="s">
        <v>175</v>
      </c>
      <c r="AI1319" t="s">
        <v>180</v>
      </c>
      <c r="AJ1319" s="197" t="str">
        <f t="shared" si="4285"/>
        <v>Lifecycle_Opportunity_310</v>
      </c>
      <c r="AK1319">
        <v>310</v>
      </c>
      <c r="AL1319">
        <f>VLOOKUP($U1319,[2]Standard_Opportunity!$Q$1:$T$542,2,FALSE)</f>
        <v>0.99999997777777772</v>
      </c>
      <c r="AM1319">
        <f>VLOOKUP($U1319,[2]Standard_Opportunity!$Q$1:$T$542,3,FALSE)</f>
        <v>2.2222222284540294E-8</v>
      </c>
      <c r="AN1319">
        <f>VLOOKUP($U1319,[2]Standard_Opportunity!$Q$1:$T$542,4,FALSE)</f>
        <v>0</v>
      </c>
      <c r="AO1319" s="77">
        <f t="shared" si="4286"/>
        <v>1</v>
      </c>
      <c r="AP1319" s="77">
        <f t="shared" si="4296"/>
        <v>6.4624999704999977E-2</v>
      </c>
      <c r="AQ1319" s="77">
        <f t="shared" si="4287"/>
        <v>5.2321923767311151E-3</v>
      </c>
      <c r="AR1319" s="79">
        <v>0</v>
      </c>
      <c r="AS1319" s="77">
        <f t="shared" si="4297"/>
        <v>0</v>
      </c>
      <c r="AT1319" s="77">
        <f t="shared" si="4298"/>
        <v>0</v>
      </c>
      <c r="AU1319" s="77">
        <f t="shared" si="4299"/>
        <v>2.5000000000000001E-3</v>
      </c>
      <c r="AV1319" s="77">
        <f t="shared" si="4300"/>
        <v>2.0809499864316017E-4</v>
      </c>
    </row>
    <row r="1320" spans="1:48">
      <c r="A1320" t="s">
        <v>175</v>
      </c>
      <c r="B1320" t="s">
        <v>180</v>
      </c>
      <c r="C1320" s="197" t="str">
        <f t="shared" si="4321"/>
        <v>Lifecycle_Opportunity_309</v>
      </c>
      <c r="D1320">
        <v>309</v>
      </c>
      <c r="E1320">
        <f>VLOOKUP($D1320,'[2]LC Opportunity'!$Q$2:$U$542,2,FALSE)</f>
        <v>0</v>
      </c>
      <c r="F1320">
        <f>VLOOKUP($D1320,'[2]LC Opportunity'!$Q$2:$U$542,3,FALSE)</f>
        <v>0</v>
      </c>
      <c r="G1320">
        <f>VLOOKUP($D1320,'[2]LC Opportunity'!$Q$2:$U$542,4,FALSE)</f>
        <v>0</v>
      </c>
      <c r="H1320">
        <f>VLOOKUP($D1320,'[2]LC Opportunity'!$Q$2:$U$542,5,FALSE)</f>
        <v>0.99999999999999989</v>
      </c>
      <c r="I1320" s="77">
        <f t="shared" si="4281"/>
        <v>0.99999999999999989</v>
      </c>
      <c r="J1320" s="77">
        <f t="shared" si="4282"/>
        <v>7.1999999999999981E-2</v>
      </c>
      <c r="K1320" s="77">
        <f t="shared" si="4326"/>
        <v>5.8106552987937654E-3</v>
      </c>
      <c r="L1320" s="76">
        <v>0</v>
      </c>
      <c r="M1320" s="77">
        <f t="shared" si="4288"/>
        <v>0</v>
      </c>
      <c r="N1320" s="77">
        <f t="shared" si="4289"/>
        <v>0</v>
      </c>
      <c r="O1320" s="77">
        <f t="shared" si="4290"/>
        <v>4.9999999999999992E-3</v>
      </c>
      <c r="P1320" s="77">
        <f t="shared" si="4291"/>
        <v>4.1762458919303302E-4</v>
      </c>
      <c r="R1320" t="s">
        <v>177</v>
      </c>
      <c r="S1320" t="s">
        <v>180</v>
      </c>
      <c r="T1320" s="197" t="str">
        <f t="shared" si="4322"/>
        <v>Autopilot_Opportunity_309</v>
      </c>
      <c r="U1320">
        <v>309</v>
      </c>
      <c r="V1320">
        <f>VLOOKUP($U1320,'[2]AP Opportunity'!$Q$1:$T$542,2,FALSE)</f>
        <v>0.99999997777777772</v>
      </c>
      <c r="W1320">
        <f>VLOOKUP($U1320,'[2]AP Opportunity'!$Q$1:$T$542,3,FALSE)</f>
        <v>2.2222222284540294E-8</v>
      </c>
      <c r="X1320">
        <f>VLOOKUP($U1320,'[2]AP Opportunity'!$Q$1:$T$542,4,FALSE)</f>
        <v>0</v>
      </c>
      <c r="Y1320" s="77">
        <f t="shared" si="4323"/>
        <v>1</v>
      </c>
      <c r="Z1320" s="77">
        <f t="shared" si="4327"/>
        <v>6.4624999704999977E-2</v>
      </c>
      <c r="AA1320" s="77">
        <f t="shared" si="4328"/>
        <v>5.2321923767311151E-3</v>
      </c>
      <c r="AB1320" s="79">
        <v>1</v>
      </c>
      <c r="AC1320" s="77">
        <f t="shared" si="4292"/>
        <v>8.499999955555556E-3</v>
      </c>
      <c r="AD1320" s="77">
        <f t="shared" ref="AD1320" si="4381">1-(1-AC1320)^(1/12)</f>
        <v>7.1110795759765644E-4</v>
      </c>
      <c r="AE1320" s="77">
        <f t="shared" si="4294"/>
        <v>2.5000000000000001E-3</v>
      </c>
      <c r="AF1320" s="77">
        <f t="shared" ref="AF1320" si="4382">1-(1-AE1320)^(1/12)</f>
        <v>2.0857243058891584E-4</v>
      </c>
      <c r="AH1320" t="s">
        <v>175</v>
      </c>
      <c r="AI1320" t="s">
        <v>180</v>
      </c>
      <c r="AJ1320" s="197" t="str">
        <f t="shared" si="4285"/>
        <v>Lifecycle_Opportunity_309</v>
      </c>
      <c r="AK1320">
        <v>309</v>
      </c>
      <c r="AL1320">
        <f>VLOOKUP($U1320,[2]Standard_Opportunity!$Q$1:$T$542,2,FALSE)</f>
        <v>0.99999997777777772</v>
      </c>
      <c r="AM1320">
        <f>VLOOKUP($U1320,[2]Standard_Opportunity!$Q$1:$T$542,3,FALSE)</f>
        <v>2.2222222284540294E-8</v>
      </c>
      <c r="AN1320">
        <f>VLOOKUP($U1320,[2]Standard_Opportunity!$Q$1:$T$542,4,FALSE)</f>
        <v>0</v>
      </c>
      <c r="AO1320" s="77">
        <f t="shared" si="4286"/>
        <v>1</v>
      </c>
      <c r="AP1320" s="77">
        <f t="shared" si="4296"/>
        <v>6.4624999704999977E-2</v>
      </c>
      <c r="AQ1320" s="77">
        <f t="shared" si="4287"/>
        <v>5.2321923767311151E-3</v>
      </c>
      <c r="AR1320" s="79">
        <v>0</v>
      </c>
      <c r="AS1320" s="77">
        <f t="shared" si="4297"/>
        <v>0</v>
      </c>
      <c r="AT1320" s="77">
        <f t="shared" si="4298"/>
        <v>0</v>
      </c>
      <c r="AU1320" s="77">
        <f t="shared" si="4299"/>
        <v>2.5000000000000001E-3</v>
      </c>
      <c r="AV1320" s="77">
        <f t="shared" si="4300"/>
        <v>2.0809499864316017E-4</v>
      </c>
    </row>
    <row r="1321" spans="1:48">
      <c r="A1321" t="s">
        <v>175</v>
      </c>
      <c r="B1321" t="s">
        <v>180</v>
      </c>
      <c r="C1321" s="197" t="str">
        <f t="shared" si="4321"/>
        <v>Lifecycle_Opportunity_308</v>
      </c>
      <c r="D1321">
        <v>308</v>
      </c>
      <c r="E1321">
        <f>VLOOKUP($D1321,'[2]LC Opportunity'!$Q$2:$U$542,2,FALSE)</f>
        <v>0</v>
      </c>
      <c r="F1321">
        <f>VLOOKUP($D1321,'[2]LC Opportunity'!$Q$2:$U$542,3,FALSE)</f>
        <v>0</v>
      </c>
      <c r="G1321">
        <f>VLOOKUP($D1321,'[2]LC Opportunity'!$Q$2:$U$542,4,FALSE)</f>
        <v>0</v>
      </c>
      <c r="H1321">
        <f>VLOOKUP($D1321,'[2]LC Opportunity'!$Q$2:$U$542,5,FALSE)</f>
        <v>0.99999999999999989</v>
      </c>
      <c r="I1321" s="77">
        <f t="shared" si="4281"/>
        <v>0.99999999999999989</v>
      </c>
      <c r="J1321" s="77">
        <f t="shared" si="4282"/>
        <v>7.1999999999999981E-2</v>
      </c>
      <c r="K1321" s="77">
        <f t="shared" si="4326"/>
        <v>5.8106552987937654E-3</v>
      </c>
      <c r="L1321" s="76">
        <v>0</v>
      </c>
      <c r="M1321" s="77">
        <f t="shared" si="4288"/>
        <v>0</v>
      </c>
      <c r="N1321" s="77">
        <f t="shared" si="4289"/>
        <v>0</v>
      </c>
      <c r="O1321" s="77">
        <f t="shared" si="4290"/>
        <v>4.9999999999999992E-3</v>
      </c>
      <c r="P1321" s="77">
        <f t="shared" si="4291"/>
        <v>4.1762458919303302E-4</v>
      </c>
      <c r="R1321" t="s">
        <v>177</v>
      </c>
      <c r="S1321" t="s">
        <v>180</v>
      </c>
      <c r="T1321" s="197" t="str">
        <f t="shared" si="4322"/>
        <v>Autopilot_Opportunity_308</v>
      </c>
      <c r="U1321">
        <v>308</v>
      </c>
      <c r="V1321">
        <f>VLOOKUP($U1321,'[2]AP Opportunity'!$Q$1:$T$542,2,FALSE)</f>
        <v>0.99999997777777772</v>
      </c>
      <c r="W1321">
        <f>VLOOKUP($U1321,'[2]AP Opportunity'!$Q$1:$T$542,3,FALSE)</f>
        <v>2.2222222284540294E-8</v>
      </c>
      <c r="X1321">
        <f>VLOOKUP($U1321,'[2]AP Opportunity'!$Q$1:$T$542,4,FALSE)</f>
        <v>0</v>
      </c>
      <c r="Y1321" s="77">
        <f t="shared" si="4323"/>
        <v>1</v>
      </c>
      <c r="Z1321" s="77">
        <f t="shared" si="4327"/>
        <v>6.4624999704999977E-2</v>
      </c>
      <c r="AA1321" s="77">
        <f t="shared" si="4328"/>
        <v>5.2321923767311151E-3</v>
      </c>
      <c r="AB1321" s="79">
        <v>1</v>
      </c>
      <c r="AC1321" s="77">
        <f t="shared" si="4292"/>
        <v>8.499999955555556E-3</v>
      </c>
      <c r="AD1321" s="77">
        <f t="shared" ref="AD1321" si="4383">1-(1-AC1321)^(1/12)</f>
        <v>7.1110795759765644E-4</v>
      </c>
      <c r="AE1321" s="77">
        <f t="shared" si="4294"/>
        <v>2.5000000000000001E-3</v>
      </c>
      <c r="AF1321" s="77">
        <f t="shared" ref="AF1321" si="4384">1-(1-AE1321)^(1/12)</f>
        <v>2.0857243058891584E-4</v>
      </c>
      <c r="AH1321" t="s">
        <v>175</v>
      </c>
      <c r="AI1321" t="s">
        <v>180</v>
      </c>
      <c r="AJ1321" s="197" t="str">
        <f t="shared" si="4285"/>
        <v>Lifecycle_Opportunity_308</v>
      </c>
      <c r="AK1321">
        <v>308</v>
      </c>
      <c r="AL1321">
        <f>VLOOKUP($U1321,[2]Standard_Opportunity!$Q$1:$T$542,2,FALSE)</f>
        <v>0.99999997777777772</v>
      </c>
      <c r="AM1321">
        <f>VLOOKUP($U1321,[2]Standard_Opportunity!$Q$1:$T$542,3,FALSE)</f>
        <v>2.2222222284540294E-8</v>
      </c>
      <c r="AN1321">
        <f>VLOOKUP($U1321,[2]Standard_Opportunity!$Q$1:$T$542,4,FALSE)</f>
        <v>0</v>
      </c>
      <c r="AO1321" s="77">
        <f t="shared" si="4286"/>
        <v>1</v>
      </c>
      <c r="AP1321" s="77">
        <f t="shared" si="4296"/>
        <v>6.4624999704999977E-2</v>
      </c>
      <c r="AQ1321" s="77">
        <f t="shared" si="4287"/>
        <v>5.2321923767311151E-3</v>
      </c>
      <c r="AR1321" s="79">
        <v>0</v>
      </c>
      <c r="AS1321" s="77">
        <f t="shared" si="4297"/>
        <v>0</v>
      </c>
      <c r="AT1321" s="77">
        <f t="shared" si="4298"/>
        <v>0</v>
      </c>
      <c r="AU1321" s="77">
        <f t="shared" si="4299"/>
        <v>2.5000000000000001E-3</v>
      </c>
      <c r="AV1321" s="77">
        <f t="shared" si="4300"/>
        <v>2.0809499864316017E-4</v>
      </c>
    </row>
    <row r="1322" spans="1:48">
      <c r="A1322" t="s">
        <v>175</v>
      </c>
      <c r="B1322" t="s">
        <v>180</v>
      </c>
      <c r="C1322" s="197" t="str">
        <f t="shared" si="4321"/>
        <v>Lifecycle_Opportunity_307</v>
      </c>
      <c r="D1322">
        <v>307</v>
      </c>
      <c r="E1322">
        <f>VLOOKUP($D1322,'[2]LC Opportunity'!$Q$2:$U$542,2,FALSE)</f>
        <v>0</v>
      </c>
      <c r="F1322">
        <f>VLOOKUP($D1322,'[2]LC Opportunity'!$Q$2:$U$542,3,FALSE)</f>
        <v>0</v>
      </c>
      <c r="G1322">
        <f>VLOOKUP($D1322,'[2]LC Opportunity'!$Q$2:$U$542,4,FALSE)</f>
        <v>0</v>
      </c>
      <c r="H1322">
        <f>VLOOKUP($D1322,'[2]LC Opportunity'!$Q$2:$U$542,5,FALSE)</f>
        <v>0.99999999999999989</v>
      </c>
      <c r="I1322" s="77">
        <f t="shared" si="4281"/>
        <v>0.99999999999999989</v>
      </c>
      <c r="J1322" s="77">
        <f t="shared" si="4282"/>
        <v>7.1999999999999981E-2</v>
      </c>
      <c r="K1322" s="77">
        <f t="shared" si="4326"/>
        <v>5.8106552987937654E-3</v>
      </c>
      <c r="L1322" s="76">
        <v>0</v>
      </c>
      <c r="M1322" s="77">
        <f t="shared" si="4288"/>
        <v>0</v>
      </c>
      <c r="N1322" s="77">
        <f t="shared" si="4289"/>
        <v>0</v>
      </c>
      <c r="O1322" s="77">
        <f t="shared" si="4290"/>
        <v>4.9999999999999992E-3</v>
      </c>
      <c r="P1322" s="77">
        <f t="shared" si="4291"/>
        <v>4.1762458919303302E-4</v>
      </c>
      <c r="R1322" t="s">
        <v>177</v>
      </c>
      <c r="S1322" t="s">
        <v>180</v>
      </c>
      <c r="T1322" s="197" t="str">
        <f t="shared" si="4322"/>
        <v>Autopilot_Opportunity_307</v>
      </c>
      <c r="U1322">
        <v>307</v>
      </c>
      <c r="V1322">
        <f>VLOOKUP($U1322,'[2]AP Opportunity'!$Q$1:$T$542,2,FALSE)</f>
        <v>0.99999997777777772</v>
      </c>
      <c r="W1322">
        <f>VLOOKUP($U1322,'[2]AP Opportunity'!$Q$1:$T$542,3,FALSE)</f>
        <v>2.2222222284540294E-8</v>
      </c>
      <c r="X1322">
        <f>VLOOKUP($U1322,'[2]AP Opportunity'!$Q$1:$T$542,4,FALSE)</f>
        <v>0</v>
      </c>
      <c r="Y1322" s="77">
        <f t="shared" si="4323"/>
        <v>1</v>
      </c>
      <c r="Z1322" s="77">
        <f t="shared" si="4327"/>
        <v>6.4624999704999977E-2</v>
      </c>
      <c r="AA1322" s="77">
        <f t="shared" si="4328"/>
        <v>5.2321923767311151E-3</v>
      </c>
      <c r="AB1322" s="79">
        <v>1</v>
      </c>
      <c r="AC1322" s="77">
        <f t="shared" si="4292"/>
        <v>8.499999955555556E-3</v>
      </c>
      <c r="AD1322" s="77">
        <f t="shared" ref="AD1322" si="4385">1-(1-AC1322)^(1/12)</f>
        <v>7.1110795759765644E-4</v>
      </c>
      <c r="AE1322" s="77">
        <f t="shared" si="4294"/>
        <v>2.5000000000000001E-3</v>
      </c>
      <c r="AF1322" s="77">
        <f t="shared" ref="AF1322" si="4386">1-(1-AE1322)^(1/12)</f>
        <v>2.0857243058891584E-4</v>
      </c>
      <c r="AH1322" t="s">
        <v>175</v>
      </c>
      <c r="AI1322" t="s">
        <v>180</v>
      </c>
      <c r="AJ1322" s="197" t="str">
        <f t="shared" si="4285"/>
        <v>Lifecycle_Opportunity_307</v>
      </c>
      <c r="AK1322">
        <v>307</v>
      </c>
      <c r="AL1322">
        <f>VLOOKUP($U1322,[2]Standard_Opportunity!$Q$1:$T$542,2,FALSE)</f>
        <v>0.99999997777777772</v>
      </c>
      <c r="AM1322">
        <f>VLOOKUP($U1322,[2]Standard_Opportunity!$Q$1:$T$542,3,FALSE)</f>
        <v>2.2222222284540294E-8</v>
      </c>
      <c r="AN1322">
        <f>VLOOKUP($U1322,[2]Standard_Opportunity!$Q$1:$T$542,4,FALSE)</f>
        <v>0</v>
      </c>
      <c r="AO1322" s="77">
        <f t="shared" si="4286"/>
        <v>1</v>
      </c>
      <c r="AP1322" s="77">
        <f t="shared" si="4296"/>
        <v>6.4624999704999977E-2</v>
      </c>
      <c r="AQ1322" s="77">
        <f t="shared" si="4287"/>
        <v>5.2321923767311151E-3</v>
      </c>
      <c r="AR1322" s="79">
        <v>0</v>
      </c>
      <c r="AS1322" s="77">
        <f t="shared" si="4297"/>
        <v>0</v>
      </c>
      <c r="AT1322" s="77">
        <f t="shared" si="4298"/>
        <v>0</v>
      </c>
      <c r="AU1322" s="77">
        <f t="shared" si="4299"/>
        <v>2.5000000000000001E-3</v>
      </c>
      <c r="AV1322" s="77">
        <f t="shared" si="4300"/>
        <v>2.0809499864316017E-4</v>
      </c>
    </row>
    <row r="1323" spans="1:48">
      <c r="A1323" t="s">
        <v>175</v>
      </c>
      <c r="B1323" t="s">
        <v>180</v>
      </c>
      <c r="C1323" s="197" t="str">
        <f t="shared" si="4321"/>
        <v>Lifecycle_Opportunity_306</v>
      </c>
      <c r="D1323">
        <v>306</v>
      </c>
      <c r="E1323">
        <f>VLOOKUP($D1323,'[2]LC Opportunity'!$Q$2:$U$542,2,FALSE)</f>
        <v>0</v>
      </c>
      <c r="F1323">
        <f>VLOOKUP($D1323,'[2]LC Opportunity'!$Q$2:$U$542,3,FALSE)</f>
        <v>0</v>
      </c>
      <c r="G1323">
        <f>VLOOKUP($D1323,'[2]LC Opportunity'!$Q$2:$U$542,4,FALSE)</f>
        <v>0</v>
      </c>
      <c r="H1323">
        <f>VLOOKUP($D1323,'[2]LC Opportunity'!$Q$2:$U$542,5,FALSE)</f>
        <v>0.99999999999999989</v>
      </c>
      <c r="I1323" s="77">
        <f t="shared" si="4281"/>
        <v>0.99999999999999989</v>
      </c>
      <c r="J1323" s="77">
        <f t="shared" si="4282"/>
        <v>7.1999999999999981E-2</v>
      </c>
      <c r="K1323" s="77">
        <f t="shared" si="4326"/>
        <v>5.8106552987937654E-3</v>
      </c>
      <c r="L1323" s="76">
        <v>0</v>
      </c>
      <c r="M1323" s="77">
        <f t="shared" si="4288"/>
        <v>0</v>
      </c>
      <c r="N1323" s="77">
        <f t="shared" si="4289"/>
        <v>0</v>
      </c>
      <c r="O1323" s="77">
        <f t="shared" si="4290"/>
        <v>4.9999999999999992E-3</v>
      </c>
      <c r="P1323" s="77">
        <f t="shared" si="4291"/>
        <v>4.1762458919303302E-4</v>
      </c>
      <c r="R1323" t="s">
        <v>177</v>
      </c>
      <c r="S1323" t="s">
        <v>180</v>
      </c>
      <c r="T1323" s="197" t="str">
        <f t="shared" si="4322"/>
        <v>Autopilot_Opportunity_306</v>
      </c>
      <c r="U1323">
        <v>306</v>
      </c>
      <c r="V1323">
        <f>VLOOKUP($U1323,'[2]AP Opportunity'!$Q$1:$T$542,2,FALSE)</f>
        <v>0.99999997777777772</v>
      </c>
      <c r="W1323">
        <f>VLOOKUP($U1323,'[2]AP Opportunity'!$Q$1:$T$542,3,FALSE)</f>
        <v>2.2222222284540294E-8</v>
      </c>
      <c r="X1323">
        <f>VLOOKUP($U1323,'[2]AP Opportunity'!$Q$1:$T$542,4,FALSE)</f>
        <v>0</v>
      </c>
      <c r="Y1323" s="77">
        <f t="shared" si="4323"/>
        <v>1</v>
      </c>
      <c r="Z1323" s="77">
        <f t="shared" si="4327"/>
        <v>6.4624999704999977E-2</v>
      </c>
      <c r="AA1323" s="77">
        <f t="shared" si="4328"/>
        <v>5.2321923767311151E-3</v>
      </c>
      <c r="AB1323" s="79">
        <v>1</v>
      </c>
      <c r="AC1323" s="77">
        <f t="shared" si="4292"/>
        <v>8.499999955555556E-3</v>
      </c>
      <c r="AD1323" s="77">
        <f t="shared" ref="AD1323" si="4387">1-(1-AC1323)^(1/12)</f>
        <v>7.1110795759765644E-4</v>
      </c>
      <c r="AE1323" s="77">
        <f t="shared" si="4294"/>
        <v>2.5000000000000001E-3</v>
      </c>
      <c r="AF1323" s="77">
        <f t="shared" ref="AF1323" si="4388">1-(1-AE1323)^(1/12)</f>
        <v>2.0857243058891584E-4</v>
      </c>
      <c r="AH1323" t="s">
        <v>175</v>
      </c>
      <c r="AI1323" t="s">
        <v>180</v>
      </c>
      <c r="AJ1323" s="197" t="str">
        <f t="shared" si="4285"/>
        <v>Lifecycle_Opportunity_306</v>
      </c>
      <c r="AK1323">
        <v>306</v>
      </c>
      <c r="AL1323">
        <f>VLOOKUP($U1323,[2]Standard_Opportunity!$Q$1:$T$542,2,FALSE)</f>
        <v>0.99999997777777772</v>
      </c>
      <c r="AM1323">
        <f>VLOOKUP($U1323,[2]Standard_Opportunity!$Q$1:$T$542,3,FALSE)</f>
        <v>2.2222222284540294E-8</v>
      </c>
      <c r="AN1323">
        <f>VLOOKUP($U1323,[2]Standard_Opportunity!$Q$1:$T$542,4,FALSE)</f>
        <v>0</v>
      </c>
      <c r="AO1323" s="77">
        <f t="shared" si="4286"/>
        <v>1</v>
      </c>
      <c r="AP1323" s="77">
        <f t="shared" si="4296"/>
        <v>6.4624999704999977E-2</v>
      </c>
      <c r="AQ1323" s="77">
        <f t="shared" si="4287"/>
        <v>5.2321923767311151E-3</v>
      </c>
      <c r="AR1323" s="79">
        <v>0</v>
      </c>
      <c r="AS1323" s="77">
        <f t="shared" si="4297"/>
        <v>0</v>
      </c>
      <c r="AT1323" s="77">
        <f t="shared" si="4298"/>
        <v>0</v>
      </c>
      <c r="AU1323" s="77">
        <f t="shared" si="4299"/>
        <v>2.5000000000000001E-3</v>
      </c>
      <c r="AV1323" s="77">
        <f t="shared" si="4300"/>
        <v>2.0809499864316017E-4</v>
      </c>
    </row>
    <row r="1324" spans="1:48">
      <c r="A1324" t="s">
        <v>175</v>
      </c>
      <c r="B1324" t="s">
        <v>180</v>
      </c>
      <c r="C1324" s="197" t="str">
        <f t="shared" si="4321"/>
        <v>Lifecycle_Opportunity_305</v>
      </c>
      <c r="D1324">
        <v>305</v>
      </c>
      <c r="E1324">
        <f>VLOOKUP($D1324,'[2]LC Opportunity'!$Q$2:$U$542,2,FALSE)</f>
        <v>0</v>
      </c>
      <c r="F1324">
        <f>VLOOKUP($D1324,'[2]LC Opportunity'!$Q$2:$U$542,3,FALSE)</f>
        <v>0</v>
      </c>
      <c r="G1324">
        <f>VLOOKUP($D1324,'[2]LC Opportunity'!$Q$2:$U$542,4,FALSE)</f>
        <v>0</v>
      </c>
      <c r="H1324">
        <f>VLOOKUP($D1324,'[2]LC Opportunity'!$Q$2:$U$542,5,FALSE)</f>
        <v>0.99999999999999989</v>
      </c>
      <c r="I1324" s="77">
        <f t="shared" si="4281"/>
        <v>0.99999999999999989</v>
      </c>
      <c r="J1324" s="77">
        <f t="shared" si="4282"/>
        <v>7.1999999999999981E-2</v>
      </c>
      <c r="K1324" s="77">
        <f t="shared" si="4326"/>
        <v>5.8106552987937654E-3</v>
      </c>
      <c r="L1324" s="76">
        <v>0</v>
      </c>
      <c r="M1324" s="77">
        <f t="shared" si="4288"/>
        <v>0</v>
      </c>
      <c r="N1324" s="77">
        <f t="shared" si="4289"/>
        <v>0</v>
      </c>
      <c r="O1324" s="77">
        <f t="shared" si="4290"/>
        <v>4.9999999999999992E-3</v>
      </c>
      <c r="P1324" s="77">
        <f t="shared" si="4291"/>
        <v>4.1762458919303302E-4</v>
      </c>
      <c r="R1324" t="s">
        <v>177</v>
      </c>
      <c r="S1324" t="s">
        <v>180</v>
      </c>
      <c r="T1324" s="197" t="str">
        <f t="shared" si="4322"/>
        <v>Autopilot_Opportunity_305</v>
      </c>
      <c r="U1324">
        <v>305</v>
      </c>
      <c r="V1324">
        <f>VLOOKUP($U1324,'[2]AP Opportunity'!$Q$1:$T$542,2,FALSE)</f>
        <v>0.99999997777777772</v>
      </c>
      <c r="W1324">
        <f>VLOOKUP($U1324,'[2]AP Opportunity'!$Q$1:$T$542,3,FALSE)</f>
        <v>2.2222222284540294E-8</v>
      </c>
      <c r="X1324">
        <f>VLOOKUP($U1324,'[2]AP Opportunity'!$Q$1:$T$542,4,FALSE)</f>
        <v>0</v>
      </c>
      <c r="Y1324" s="77">
        <f t="shared" si="4323"/>
        <v>1</v>
      </c>
      <c r="Z1324" s="77">
        <f t="shared" si="4327"/>
        <v>6.4624999704999977E-2</v>
      </c>
      <c r="AA1324" s="77">
        <f t="shared" si="4328"/>
        <v>5.2321923767311151E-3</v>
      </c>
      <c r="AB1324" s="79">
        <v>1</v>
      </c>
      <c r="AC1324" s="77">
        <f t="shared" si="4292"/>
        <v>8.499999955555556E-3</v>
      </c>
      <c r="AD1324" s="77">
        <f t="shared" ref="AD1324" si="4389">1-(1-AC1324)^(1/12)</f>
        <v>7.1110795759765644E-4</v>
      </c>
      <c r="AE1324" s="77">
        <f t="shared" si="4294"/>
        <v>2.5000000000000001E-3</v>
      </c>
      <c r="AF1324" s="77">
        <f t="shared" ref="AF1324" si="4390">1-(1-AE1324)^(1/12)</f>
        <v>2.0857243058891584E-4</v>
      </c>
      <c r="AH1324" t="s">
        <v>175</v>
      </c>
      <c r="AI1324" t="s">
        <v>180</v>
      </c>
      <c r="AJ1324" s="197" t="str">
        <f t="shared" si="4285"/>
        <v>Lifecycle_Opportunity_305</v>
      </c>
      <c r="AK1324">
        <v>305</v>
      </c>
      <c r="AL1324">
        <f>VLOOKUP($U1324,[2]Standard_Opportunity!$Q$1:$T$542,2,FALSE)</f>
        <v>0.99999997777777772</v>
      </c>
      <c r="AM1324">
        <f>VLOOKUP($U1324,[2]Standard_Opportunity!$Q$1:$T$542,3,FALSE)</f>
        <v>2.2222222284540294E-8</v>
      </c>
      <c r="AN1324">
        <f>VLOOKUP($U1324,[2]Standard_Opportunity!$Q$1:$T$542,4,FALSE)</f>
        <v>0</v>
      </c>
      <c r="AO1324" s="77">
        <f t="shared" si="4286"/>
        <v>1</v>
      </c>
      <c r="AP1324" s="77">
        <f t="shared" si="4296"/>
        <v>6.4624999704999977E-2</v>
      </c>
      <c r="AQ1324" s="77">
        <f t="shared" si="4287"/>
        <v>5.2321923767311151E-3</v>
      </c>
      <c r="AR1324" s="79">
        <v>0</v>
      </c>
      <c r="AS1324" s="77">
        <f t="shared" si="4297"/>
        <v>0</v>
      </c>
      <c r="AT1324" s="77">
        <f t="shared" si="4298"/>
        <v>0</v>
      </c>
      <c r="AU1324" s="77">
        <f t="shared" si="4299"/>
        <v>2.5000000000000001E-3</v>
      </c>
      <c r="AV1324" s="77">
        <f t="shared" si="4300"/>
        <v>2.0809499864316017E-4</v>
      </c>
    </row>
    <row r="1325" spans="1:48">
      <c r="A1325" t="s">
        <v>175</v>
      </c>
      <c r="B1325" t="s">
        <v>180</v>
      </c>
      <c r="C1325" s="197" t="str">
        <f t="shared" si="4321"/>
        <v>Lifecycle_Opportunity_304</v>
      </c>
      <c r="D1325">
        <v>304</v>
      </c>
      <c r="E1325">
        <f>VLOOKUP($D1325,'[2]LC Opportunity'!$Q$2:$U$542,2,FALSE)</f>
        <v>0</v>
      </c>
      <c r="F1325">
        <f>VLOOKUP($D1325,'[2]LC Opportunity'!$Q$2:$U$542,3,FALSE)</f>
        <v>0</v>
      </c>
      <c r="G1325">
        <f>VLOOKUP($D1325,'[2]LC Opportunity'!$Q$2:$U$542,4,FALSE)</f>
        <v>0</v>
      </c>
      <c r="H1325">
        <f>VLOOKUP($D1325,'[2]LC Opportunity'!$Q$2:$U$542,5,FALSE)</f>
        <v>0.99999999999999989</v>
      </c>
      <c r="I1325" s="77">
        <f t="shared" si="4281"/>
        <v>0.99999999999999989</v>
      </c>
      <c r="J1325" s="77">
        <f t="shared" si="4282"/>
        <v>7.1999999999999981E-2</v>
      </c>
      <c r="K1325" s="77">
        <f t="shared" si="4326"/>
        <v>5.8106552987937654E-3</v>
      </c>
      <c r="L1325" s="76">
        <v>0</v>
      </c>
      <c r="M1325" s="77">
        <f t="shared" si="4288"/>
        <v>0</v>
      </c>
      <c r="N1325" s="77">
        <f t="shared" si="4289"/>
        <v>0</v>
      </c>
      <c r="O1325" s="77">
        <f t="shared" si="4290"/>
        <v>4.9999999999999992E-3</v>
      </c>
      <c r="P1325" s="77">
        <f t="shared" si="4291"/>
        <v>4.1762458919303302E-4</v>
      </c>
      <c r="R1325" t="s">
        <v>177</v>
      </c>
      <c r="S1325" t="s">
        <v>180</v>
      </c>
      <c r="T1325" s="197" t="str">
        <f t="shared" si="4322"/>
        <v>Autopilot_Opportunity_304</v>
      </c>
      <c r="U1325">
        <v>304</v>
      </c>
      <c r="V1325">
        <f>VLOOKUP($U1325,'[2]AP Opportunity'!$Q$1:$T$542,2,FALSE)</f>
        <v>0.99999997777777772</v>
      </c>
      <c r="W1325">
        <f>VLOOKUP($U1325,'[2]AP Opportunity'!$Q$1:$T$542,3,FALSE)</f>
        <v>2.2222222284540294E-8</v>
      </c>
      <c r="X1325">
        <f>VLOOKUP($U1325,'[2]AP Opportunity'!$Q$1:$T$542,4,FALSE)</f>
        <v>0</v>
      </c>
      <c r="Y1325" s="77">
        <f t="shared" si="4323"/>
        <v>1</v>
      </c>
      <c r="Z1325" s="77">
        <f t="shared" si="4327"/>
        <v>6.4624999704999977E-2</v>
      </c>
      <c r="AA1325" s="77">
        <f t="shared" si="4328"/>
        <v>5.2321923767311151E-3</v>
      </c>
      <c r="AB1325" s="79">
        <v>1</v>
      </c>
      <c r="AC1325" s="77">
        <f t="shared" si="4292"/>
        <v>8.499999955555556E-3</v>
      </c>
      <c r="AD1325" s="77">
        <f t="shared" ref="AD1325" si="4391">1-(1-AC1325)^(1/12)</f>
        <v>7.1110795759765644E-4</v>
      </c>
      <c r="AE1325" s="77">
        <f t="shared" si="4294"/>
        <v>2.5000000000000001E-3</v>
      </c>
      <c r="AF1325" s="77">
        <f t="shared" ref="AF1325" si="4392">1-(1-AE1325)^(1/12)</f>
        <v>2.0857243058891584E-4</v>
      </c>
      <c r="AH1325" t="s">
        <v>175</v>
      </c>
      <c r="AI1325" t="s">
        <v>180</v>
      </c>
      <c r="AJ1325" s="197" t="str">
        <f t="shared" si="4285"/>
        <v>Lifecycle_Opportunity_304</v>
      </c>
      <c r="AK1325">
        <v>304</v>
      </c>
      <c r="AL1325">
        <f>VLOOKUP($U1325,[2]Standard_Opportunity!$Q$1:$T$542,2,FALSE)</f>
        <v>0.99999997777777772</v>
      </c>
      <c r="AM1325">
        <f>VLOOKUP($U1325,[2]Standard_Opportunity!$Q$1:$T$542,3,FALSE)</f>
        <v>2.2222222284540294E-8</v>
      </c>
      <c r="AN1325">
        <f>VLOOKUP($U1325,[2]Standard_Opportunity!$Q$1:$T$542,4,FALSE)</f>
        <v>0</v>
      </c>
      <c r="AO1325" s="77">
        <f t="shared" si="4286"/>
        <v>1</v>
      </c>
      <c r="AP1325" s="77">
        <f t="shared" si="4296"/>
        <v>6.4624999704999977E-2</v>
      </c>
      <c r="AQ1325" s="77">
        <f t="shared" si="4287"/>
        <v>5.2321923767311151E-3</v>
      </c>
      <c r="AR1325" s="79">
        <v>0</v>
      </c>
      <c r="AS1325" s="77">
        <f t="shared" si="4297"/>
        <v>0</v>
      </c>
      <c r="AT1325" s="77">
        <f t="shared" si="4298"/>
        <v>0</v>
      </c>
      <c r="AU1325" s="77">
        <f t="shared" si="4299"/>
        <v>2.5000000000000001E-3</v>
      </c>
      <c r="AV1325" s="77">
        <f t="shared" si="4300"/>
        <v>2.0809499864316017E-4</v>
      </c>
    </row>
    <row r="1326" spans="1:48">
      <c r="A1326" t="s">
        <v>175</v>
      </c>
      <c r="B1326" t="s">
        <v>180</v>
      </c>
      <c r="C1326" s="197" t="str">
        <f t="shared" si="4321"/>
        <v>Lifecycle_Opportunity_303</v>
      </c>
      <c r="D1326">
        <v>303</v>
      </c>
      <c r="E1326">
        <f>VLOOKUP($D1326,'[2]LC Opportunity'!$Q$2:$U$542,2,FALSE)</f>
        <v>0</v>
      </c>
      <c r="F1326">
        <f>VLOOKUP($D1326,'[2]LC Opportunity'!$Q$2:$U$542,3,FALSE)</f>
        <v>0</v>
      </c>
      <c r="G1326">
        <f>VLOOKUP($D1326,'[2]LC Opportunity'!$Q$2:$U$542,4,FALSE)</f>
        <v>0</v>
      </c>
      <c r="H1326">
        <f>VLOOKUP($D1326,'[2]LC Opportunity'!$Q$2:$U$542,5,FALSE)</f>
        <v>0.99999999999999989</v>
      </c>
      <c r="I1326" s="77">
        <f t="shared" si="4281"/>
        <v>0.99999999999999989</v>
      </c>
      <c r="J1326" s="77">
        <f t="shared" si="4282"/>
        <v>7.1999999999999981E-2</v>
      </c>
      <c r="K1326" s="77">
        <f t="shared" si="4326"/>
        <v>5.8106552987937654E-3</v>
      </c>
      <c r="L1326" s="76">
        <v>0</v>
      </c>
      <c r="M1326" s="77">
        <f t="shared" si="4288"/>
        <v>0</v>
      </c>
      <c r="N1326" s="77">
        <f t="shared" si="4289"/>
        <v>0</v>
      </c>
      <c r="O1326" s="77">
        <f t="shared" si="4290"/>
        <v>4.9999999999999992E-3</v>
      </c>
      <c r="P1326" s="77">
        <f t="shared" si="4291"/>
        <v>4.1762458919303302E-4</v>
      </c>
      <c r="R1326" t="s">
        <v>177</v>
      </c>
      <c r="S1326" t="s">
        <v>180</v>
      </c>
      <c r="T1326" s="197" t="str">
        <f t="shared" si="4322"/>
        <v>Autopilot_Opportunity_303</v>
      </c>
      <c r="U1326">
        <v>303</v>
      </c>
      <c r="V1326">
        <f>VLOOKUP($U1326,'[2]AP Opportunity'!$Q$1:$T$542,2,FALSE)</f>
        <v>0.99999997777777772</v>
      </c>
      <c r="W1326">
        <f>VLOOKUP($U1326,'[2]AP Opportunity'!$Q$1:$T$542,3,FALSE)</f>
        <v>2.2222222284540294E-8</v>
      </c>
      <c r="X1326">
        <f>VLOOKUP($U1326,'[2]AP Opportunity'!$Q$1:$T$542,4,FALSE)</f>
        <v>0</v>
      </c>
      <c r="Y1326" s="77">
        <f t="shared" si="4323"/>
        <v>1</v>
      </c>
      <c r="Z1326" s="77">
        <f t="shared" si="4327"/>
        <v>6.4624999704999977E-2</v>
      </c>
      <c r="AA1326" s="77">
        <f t="shared" si="4328"/>
        <v>5.2321923767311151E-3</v>
      </c>
      <c r="AB1326" s="79">
        <v>1</v>
      </c>
      <c r="AC1326" s="77">
        <f t="shared" si="4292"/>
        <v>8.499999955555556E-3</v>
      </c>
      <c r="AD1326" s="77">
        <f t="shared" ref="AD1326" si="4393">1-(1-AC1326)^(1/12)</f>
        <v>7.1110795759765644E-4</v>
      </c>
      <c r="AE1326" s="77">
        <f t="shared" si="4294"/>
        <v>2.5000000000000001E-3</v>
      </c>
      <c r="AF1326" s="77">
        <f t="shared" ref="AF1326" si="4394">1-(1-AE1326)^(1/12)</f>
        <v>2.0857243058891584E-4</v>
      </c>
      <c r="AH1326" t="s">
        <v>175</v>
      </c>
      <c r="AI1326" t="s">
        <v>180</v>
      </c>
      <c r="AJ1326" s="197" t="str">
        <f t="shared" si="4285"/>
        <v>Lifecycle_Opportunity_303</v>
      </c>
      <c r="AK1326">
        <v>303</v>
      </c>
      <c r="AL1326">
        <f>VLOOKUP($U1326,[2]Standard_Opportunity!$Q$1:$T$542,2,FALSE)</f>
        <v>0.99999997777777772</v>
      </c>
      <c r="AM1326">
        <f>VLOOKUP($U1326,[2]Standard_Opportunity!$Q$1:$T$542,3,FALSE)</f>
        <v>2.2222222284540294E-8</v>
      </c>
      <c r="AN1326">
        <f>VLOOKUP($U1326,[2]Standard_Opportunity!$Q$1:$T$542,4,FALSE)</f>
        <v>0</v>
      </c>
      <c r="AO1326" s="77">
        <f t="shared" si="4286"/>
        <v>1</v>
      </c>
      <c r="AP1326" s="77">
        <f t="shared" si="4296"/>
        <v>6.4624999704999977E-2</v>
      </c>
      <c r="AQ1326" s="77">
        <f t="shared" si="4287"/>
        <v>5.2321923767311151E-3</v>
      </c>
      <c r="AR1326" s="79">
        <v>0</v>
      </c>
      <c r="AS1326" s="77">
        <f t="shared" si="4297"/>
        <v>0</v>
      </c>
      <c r="AT1326" s="77">
        <f t="shared" si="4298"/>
        <v>0</v>
      </c>
      <c r="AU1326" s="77">
        <f t="shared" si="4299"/>
        <v>2.5000000000000001E-3</v>
      </c>
      <c r="AV1326" s="77">
        <f t="shared" si="4300"/>
        <v>2.0809499864316017E-4</v>
      </c>
    </row>
    <row r="1327" spans="1:48">
      <c r="A1327" t="s">
        <v>175</v>
      </c>
      <c r="B1327" t="s">
        <v>180</v>
      </c>
      <c r="C1327" s="197" t="str">
        <f t="shared" si="4321"/>
        <v>Lifecycle_Opportunity_302</v>
      </c>
      <c r="D1327">
        <v>302</v>
      </c>
      <c r="E1327">
        <f>VLOOKUP($D1327,'[2]LC Opportunity'!$Q$2:$U$542,2,FALSE)</f>
        <v>0</v>
      </c>
      <c r="F1327">
        <f>VLOOKUP($D1327,'[2]LC Opportunity'!$Q$2:$U$542,3,FALSE)</f>
        <v>0</v>
      </c>
      <c r="G1327">
        <f>VLOOKUP($D1327,'[2]LC Opportunity'!$Q$2:$U$542,4,FALSE)</f>
        <v>0</v>
      </c>
      <c r="H1327">
        <f>VLOOKUP($D1327,'[2]LC Opportunity'!$Q$2:$U$542,5,FALSE)</f>
        <v>0.99999999999999989</v>
      </c>
      <c r="I1327" s="77">
        <f t="shared" si="4281"/>
        <v>0.99999999999999989</v>
      </c>
      <c r="J1327" s="77">
        <f t="shared" si="4282"/>
        <v>7.1999999999999981E-2</v>
      </c>
      <c r="K1327" s="77">
        <f t="shared" si="4326"/>
        <v>5.8106552987937654E-3</v>
      </c>
      <c r="L1327" s="76">
        <v>0</v>
      </c>
      <c r="M1327" s="77">
        <f t="shared" si="4288"/>
        <v>0</v>
      </c>
      <c r="N1327" s="77">
        <f t="shared" si="4289"/>
        <v>0</v>
      </c>
      <c r="O1327" s="77">
        <f t="shared" si="4290"/>
        <v>4.9999999999999992E-3</v>
      </c>
      <c r="P1327" s="77">
        <f t="shared" si="4291"/>
        <v>4.1762458919303302E-4</v>
      </c>
      <c r="R1327" t="s">
        <v>177</v>
      </c>
      <c r="S1327" t="s">
        <v>180</v>
      </c>
      <c r="T1327" s="197" t="str">
        <f t="shared" si="4322"/>
        <v>Autopilot_Opportunity_302</v>
      </c>
      <c r="U1327">
        <v>302</v>
      </c>
      <c r="V1327">
        <f>VLOOKUP($U1327,'[2]AP Opportunity'!$Q$1:$T$542,2,FALSE)</f>
        <v>0.99999997777777772</v>
      </c>
      <c r="W1327">
        <f>VLOOKUP($U1327,'[2]AP Opportunity'!$Q$1:$T$542,3,FALSE)</f>
        <v>2.2222222284540294E-8</v>
      </c>
      <c r="X1327">
        <f>VLOOKUP($U1327,'[2]AP Opportunity'!$Q$1:$T$542,4,FALSE)</f>
        <v>0</v>
      </c>
      <c r="Y1327" s="77">
        <f t="shared" si="4323"/>
        <v>1</v>
      </c>
      <c r="Z1327" s="77">
        <f t="shared" si="4327"/>
        <v>6.4624999704999977E-2</v>
      </c>
      <c r="AA1327" s="77">
        <f t="shared" si="4328"/>
        <v>5.2321923767311151E-3</v>
      </c>
      <c r="AB1327" s="79">
        <v>1</v>
      </c>
      <c r="AC1327" s="77">
        <f t="shared" si="4292"/>
        <v>8.499999955555556E-3</v>
      </c>
      <c r="AD1327" s="77">
        <f t="shared" ref="AD1327" si="4395">1-(1-AC1327)^(1/12)</f>
        <v>7.1110795759765644E-4</v>
      </c>
      <c r="AE1327" s="77">
        <f t="shared" si="4294"/>
        <v>2.5000000000000001E-3</v>
      </c>
      <c r="AF1327" s="77">
        <f t="shared" ref="AF1327" si="4396">1-(1-AE1327)^(1/12)</f>
        <v>2.0857243058891584E-4</v>
      </c>
      <c r="AH1327" t="s">
        <v>175</v>
      </c>
      <c r="AI1327" t="s">
        <v>180</v>
      </c>
      <c r="AJ1327" s="197" t="str">
        <f t="shared" si="4285"/>
        <v>Lifecycle_Opportunity_302</v>
      </c>
      <c r="AK1327">
        <v>302</v>
      </c>
      <c r="AL1327">
        <f>VLOOKUP($U1327,[2]Standard_Opportunity!$Q$1:$T$542,2,FALSE)</f>
        <v>0.99999997777777772</v>
      </c>
      <c r="AM1327">
        <f>VLOOKUP($U1327,[2]Standard_Opportunity!$Q$1:$T$542,3,FALSE)</f>
        <v>2.2222222284540294E-8</v>
      </c>
      <c r="AN1327">
        <f>VLOOKUP($U1327,[2]Standard_Opportunity!$Q$1:$T$542,4,FALSE)</f>
        <v>0</v>
      </c>
      <c r="AO1327" s="77">
        <f t="shared" si="4286"/>
        <v>1</v>
      </c>
      <c r="AP1327" s="77">
        <f t="shared" si="4296"/>
        <v>6.4624999704999977E-2</v>
      </c>
      <c r="AQ1327" s="77">
        <f t="shared" si="4287"/>
        <v>5.2321923767311151E-3</v>
      </c>
      <c r="AR1327" s="79">
        <v>0</v>
      </c>
      <c r="AS1327" s="77">
        <f t="shared" si="4297"/>
        <v>0</v>
      </c>
      <c r="AT1327" s="77">
        <f t="shared" si="4298"/>
        <v>0</v>
      </c>
      <c r="AU1327" s="77">
        <f t="shared" si="4299"/>
        <v>2.5000000000000001E-3</v>
      </c>
      <c r="AV1327" s="77">
        <f t="shared" si="4300"/>
        <v>2.0809499864316017E-4</v>
      </c>
    </row>
    <row r="1328" spans="1:48">
      <c r="A1328" t="s">
        <v>175</v>
      </c>
      <c r="B1328" t="s">
        <v>180</v>
      </c>
      <c r="C1328" s="197" t="str">
        <f t="shared" si="4321"/>
        <v>Lifecycle_Opportunity_301</v>
      </c>
      <c r="D1328">
        <v>301</v>
      </c>
      <c r="E1328">
        <f>VLOOKUP($D1328,'[2]LC Opportunity'!$Q$2:$U$542,2,FALSE)</f>
        <v>0</v>
      </c>
      <c r="F1328">
        <f>VLOOKUP($D1328,'[2]LC Opportunity'!$Q$2:$U$542,3,FALSE)</f>
        <v>0</v>
      </c>
      <c r="G1328">
        <f>VLOOKUP($D1328,'[2]LC Opportunity'!$Q$2:$U$542,4,FALSE)</f>
        <v>0</v>
      </c>
      <c r="H1328">
        <f>VLOOKUP($D1328,'[2]LC Opportunity'!$Q$2:$U$542,5,FALSE)</f>
        <v>0.99999999999999989</v>
      </c>
      <c r="I1328" s="77">
        <f t="shared" si="4281"/>
        <v>0.99999999999999989</v>
      </c>
      <c r="J1328" s="77">
        <f t="shared" si="4282"/>
        <v>7.1999999999999981E-2</v>
      </c>
      <c r="K1328" s="77">
        <f t="shared" si="4326"/>
        <v>5.8106552987937654E-3</v>
      </c>
      <c r="L1328" s="76">
        <v>0</v>
      </c>
      <c r="M1328" s="77">
        <f t="shared" si="4288"/>
        <v>0</v>
      </c>
      <c r="N1328" s="77">
        <f t="shared" si="4289"/>
        <v>0</v>
      </c>
      <c r="O1328" s="77">
        <f t="shared" si="4290"/>
        <v>4.9999999999999992E-3</v>
      </c>
      <c r="P1328" s="77">
        <f t="shared" si="4291"/>
        <v>4.1762458919303302E-4</v>
      </c>
      <c r="R1328" t="s">
        <v>177</v>
      </c>
      <c r="S1328" t="s">
        <v>180</v>
      </c>
      <c r="T1328" s="197" t="str">
        <f t="shared" si="4322"/>
        <v>Autopilot_Opportunity_301</v>
      </c>
      <c r="U1328">
        <v>301</v>
      </c>
      <c r="V1328">
        <f>VLOOKUP($U1328,'[2]AP Opportunity'!$Q$1:$T$542,2,FALSE)</f>
        <v>0.99999997777777772</v>
      </c>
      <c r="W1328">
        <f>VLOOKUP($U1328,'[2]AP Opportunity'!$Q$1:$T$542,3,FALSE)</f>
        <v>2.2222222284540294E-8</v>
      </c>
      <c r="X1328">
        <f>VLOOKUP($U1328,'[2]AP Opportunity'!$Q$1:$T$542,4,FALSE)</f>
        <v>0</v>
      </c>
      <c r="Y1328" s="77">
        <f t="shared" si="4323"/>
        <v>1</v>
      </c>
      <c r="Z1328" s="77">
        <f t="shared" si="4327"/>
        <v>6.4624999704999977E-2</v>
      </c>
      <c r="AA1328" s="77">
        <f t="shared" si="4328"/>
        <v>5.2321923767311151E-3</v>
      </c>
      <c r="AB1328" s="79">
        <v>1</v>
      </c>
      <c r="AC1328" s="77">
        <f t="shared" si="4292"/>
        <v>8.499999955555556E-3</v>
      </c>
      <c r="AD1328" s="77">
        <f t="shared" ref="AD1328" si="4397">1-(1-AC1328)^(1/12)</f>
        <v>7.1110795759765644E-4</v>
      </c>
      <c r="AE1328" s="77">
        <f t="shared" si="4294"/>
        <v>2.5000000000000001E-3</v>
      </c>
      <c r="AF1328" s="77">
        <f t="shared" ref="AF1328" si="4398">1-(1-AE1328)^(1/12)</f>
        <v>2.0857243058891584E-4</v>
      </c>
      <c r="AH1328" t="s">
        <v>175</v>
      </c>
      <c r="AI1328" t="s">
        <v>180</v>
      </c>
      <c r="AJ1328" s="197" t="str">
        <f t="shared" si="4285"/>
        <v>Lifecycle_Opportunity_301</v>
      </c>
      <c r="AK1328">
        <v>301</v>
      </c>
      <c r="AL1328">
        <f>VLOOKUP($U1328,[2]Standard_Opportunity!$Q$1:$T$542,2,FALSE)</f>
        <v>0.99999997777777772</v>
      </c>
      <c r="AM1328">
        <f>VLOOKUP($U1328,[2]Standard_Opportunity!$Q$1:$T$542,3,FALSE)</f>
        <v>2.2222222284540294E-8</v>
      </c>
      <c r="AN1328">
        <f>VLOOKUP($U1328,[2]Standard_Opportunity!$Q$1:$T$542,4,FALSE)</f>
        <v>0</v>
      </c>
      <c r="AO1328" s="77">
        <f t="shared" si="4286"/>
        <v>1</v>
      </c>
      <c r="AP1328" s="77">
        <f t="shared" si="4296"/>
        <v>6.4624999704999977E-2</v>
      </c>
      <c r="AQ1328" s="77">
        <f t="shared" si="4287"/>
        <v>5.2321923767311151E-3</v>
      </c>
      <c r="AR1328" s="79">
        <v>0</v>
      </c>
      <c r="AS1328" s="77">
        <f t="shared" si="4297"/>
        <v>0</v>
      </c>
      <c r="AT1328" s="77">
        <f t="shared" si="4298"/>
        <v>0</v>
      </c>
      <c r="AU1328" s="77">
        <f t="shared" si="4299"/>
        <v>2.5000000000000001E-3</v>
      </c>
      <c r="AV1328" s="77">
        <f t="shared" si="4300"/>
        <v>2.0809499864316017E-4</v>
      </c>
    </row>
    <row r="1329" spans="1:48">
      <c r="A1329" t="s">
        <v>175</v>
      </c>
      <c r="B1329" t="s">
        <v>180</v>
      </c>
      <c r="C1329" s="197" t="str">
        <f t="shared" si="4321"/>
        <v>Lifecycle_Opportunity_300</v>
      </c>
      <c r="D1329">
        <v>300</v>
      </c>
      <c r="E1329">
        <f>VLOOKUP($D1329,'[2]LC Opportunity'!$Q$2:$U$542,2,FALSE)</f>
        <v>0</v>
      </c>
      <c r="F1329">
        <f>VLOOKUP($D1329,'[2]LC Opportunity'!$Q$2:$U$542,3,FALSE)</f>
        <v>0</v>
      </c>
      <c r="G1329">
        <f>VLOOKUP($D1329,'[2]LC Opportunity'!$Q$2:$U$542,4,FALSE)</f>
        <v>0</v>
      </c>
      <c r="H1329">
        <f>VLOOKUP($D1329,'[2]LC Opportunity'!$Q$2:$U$542,5,FALSE)</f>
        <v>0.99999999999999989</v>
      </c>
      <c r="I1329" s="77">
        <f t="shared" si="4281"/>
        <v>0.99999999999999989</v>
      </c>
      <c r="J1329" s="77">
        <f t="shared" si="4282"/>
        <v>7.1999999999999981E-2</v>
      </c>
      <c r="K1329" s="77">
        <f t="shared" si="4326"/>
        <v>5.8106552987937654E-3</v>
      </c>
      <c r="L1329" s="76">
        <v>0</v>
      </c>
      <c r="M1329" s="77">
        <f t="shared" si="4288"/>
        <v>0</v>
      </c>
      <c r="N1329" s="77">
        <f t="shared" si="4289"/>
        <v>0</v>
      </c>
      <c r="O1329" s="77">
        <f t="shared" si="4290"/>
        <v>4.9999999999999992E-3</v>
      </c>
      <c r="P1329" s="77">
        <f t="shared" si="4291"/>
        <v>4.1762458919303302E-4</v>
      </c>
      <c r="R1329" t="s">
        <v>177</v>
      </c>
      <c r="S1329" t="s">
        <v>180</v>
      </c>
      <c r="T1329" s="197" t="str">
        <f t="shared" si="4322"/>
        <v>Autopilot_Opportunity_300</v>
      </c>
      <c r="U1329">
        <v>300</v>
      </c>
      <c r="V1329">
        <f>VLOOKUP($U1329,'[2]AP Opportunity'!$Q$1:$T$542,2,FALSE)</f>
        <v>0.99999997777777772</v>
      </c>
      <c r="W1329">
        <f>VLOOKUP($U1329,'[2]AP Opportunity'!$Q$1:$T$542,3,FALSE)</f>
        <v>2.2222222284540294E-8</v>
      </c>
      <c r="X1329">
        <f>VLOOKUP($U1329,'[2]AP Opportunity'!$Q$1:$T$542,4,FALSE)</f>
        <v>0</v>
      </c>
      <c r="Y1329" s="77">
        <f t="shared" si="4323"/>
        <v>1</v>
      </c>
      <c r="Z1329" s="77">
        <f t="shared" si="4327"/>
        <v>6.4624999704999977E-2</v>
      </c>
      <c r="AA1329" s="77">
        <f t="shared" si="4328"/>
        <v>5.2321923767311151E-3</v>
      </c>
      <c r="AB1329" s="79">
        <v>1</v>
      </c>
      <c r="AC1329" s="77">
        <f t="shared" si="4292"/>
        <v>8.499999955555556E-3</v>
      </c>
      <c r="AD1329" s="77">
        <f t="shared" ref="AD1329" si="4399">1-(1-AC1329)^(1/12)</f>
        <v>7.1110795759765644E-4</v>
      </c>
      <c r="AE1329" s="77">
        <f t="shared" si="4294"/>
        <v>2.5000000000000001E-3</v>
      </c>
      <c r="AF1329" s="77">
        <f t="shared" ref="AF1329" si="4400">1-(1-AE1329)^(1/12)</f>
        <v>2.0857243058891584E-4</v>
      </c>
      <c r="AH1329" t="s">
        <v>175</v>
      </c>
      <c r="AI1329" t="s">
        <v>180</v>
      </c>
      <c r="AJ1329" s="197" t="str">
        <f t="shared" si="4285"/>
        <v>Lifecycle_Opportunity_300</v>
      </c>
      <c r="AK1329">
        <v>300</v>
      </c>
      <c r="AL1329">
        <f>VLOOKUP($U1329,[2]Standard_Opportunity!$Q$1:$T$542,2,FALSE)</f>
        <v>0.99999997777777772</v>
      </c>
      <c r="AM1329">
        <f>VLOOKUP($U1329,[2]Standard_Opportunity!$Q$1:$T$542,3,FALSE)</f>
        <v>2.2222222284540294E-8</v>
      </c>
      <c r="AN1329">
        <f>VLOOKUP($U1329,[2]Standard_Opportunity!$Q$1:$T$542,4,FALSE)</f>
        <v>0</v>
      </c>
      <c r="AO1329" s="77">
        <f t="shared" si="4286"/>
        <v>1</v>
      </c>
      <c r="AP1329" s="77">
        <f t="shared" si="4296"/>
        <v>6.4624999704999977E-2</v>
      </c>
      <c r="AQ1329" s="77">
        <f t="shared" si="4287"/>
        <v>5.2321923767311151E-3</v>
      </c>
      <c r="AR1329" s="79">
        <v>0</v>
      </c>
      <c r="AS1329" s="77">
        <f t="shared" si="4297"/>
        <v>0</v>
      </c>
      <c r="AT1329" s="77">
        <f t="shared" si="4298"/>
        <v>0</v>
      </c>
      <c r="AU1329" s="77">
        <f t="shared" si="4299"/>
        <v>2.5000000000000001E-3</v>
      </c>
      <c r="AV1329" s="77">
        <f t="shared" si="4300"/>
        <v>2.0809499864316017E-4</v>
      </c>
    </row>
    <row r="1330" spans="1:48">
      <c r="A1330" t="s">
        <v>175</v>
      </c>
      <c r="B1330" t="s">
        <v>180</v>
      </c>
      <c r="C1330" s="197" t="str">
        <f t="shared" si="4321"/>
        <v>Lifecycle_Opportunity_299</v>
      </c>
      <c r="D1330">
        <v>299</v>
      </c>
      <c r="E1330">
        <f>VLOOKUP($D1330,'[2]LC Opportunity'!$Q$2:$U$542,2,FALSE)</f>
        <v>0</v>
      </c>
      <c r="F1330">
        <f>VLOOKUP($D1330,'[2]LC Opportunity'!$Q$2:$U$542,3,FALSE)</f>
        <v>0</v>
      </c>
      <c r="G1330">
        <f>VLOOKUP($D1330,'[2]LC Opportunity'!$Q$2:$U$542,4,FALSE)</f>
        <v>0</v>
      </c>
      <c r="H1330">
        <f>VLOOKUP($D1330,'[2]LC Opportunity'!$Q$2:$U$542,5,FALSE)</f>
        <v>0.99999999999999989</v>
      </c>
      <c r="I1330" s="77">
        <f t="shared" si="4281"/>
        <v>0.99999999999999989</v>
      </c>
      <c r="J1330" s="77">
        <f t="shared" si="4282"/>
        <v>7.1999999999999981E-2</v>
      </c>
      <c r="K1330" s="77">
        <f t="shared" si="4326"/>
        <v>5.8106552987937654E-3</v>
      </c>
      <c r="L1330" s="76">
        <v>0</v>
      </c>
      <c r="M1330" s="77">
        <f t="shared" si="4288"/>
        <v>0</v>
      </c>
      <c r="N1330" s="77">
        <f t="shared" si="4289"/>
        <v>0</v>
      </c>
      <c r="O1330" s="77">
        <f t="shared" si="4290"/>
        <v>4.9999999999999992E-3</v>
      </c>
      <c r="P1330" s="77">
        <f t="shared" si="4291"/>
        <v>4.1762458919303302E-4</v>
      </c>
      <c r="R1330" t="s">
        <v>177</v>
      </c>
      <c r="S1330" t="s">
        <v>180</v>
      </c>
      <c r="T1330" s="197" t="str">
        <f t="shared" si="4322"/>
        <v>Autopilot_Opportunity_299</v>
      </c>
      <c r="U1330">
        <v>299</v>
      </c>
      <c r="V1330">
        <f>VLOOKUP($U1330,'[2]AP Opportunity'!$Q$1:$T$542,2,FALSE)</f>
        <v>0.99999997777777772</v>
      </c>
      <c r="W1330">
        <f>VLOOKUP($U1330,'[2]AP Opportunity'!$Q$1:$T$542,3,FALSE)</f>
        <v>2.2222222284540294E-8</v>
      </c>
      <c r="X1330">
        <f>VLOOKUP($U1330,'[2]AP Opportunity'!$Q$1:$T$542,4,FALSE)</f>
        <v>0</v>
      </c>
      <c r="Y1330" s="77">
        <f t="shared" si="4323"/>
        <v>1</v>
      </c>
      <c r="Z1330" s="77">
        <f t="shared" si="4327"/>
        <v>6.4624999704999977E-2</v>
      </c>
      <c r="AA1330" s="77">
        <f t="shared" si="4328"/>
        <v>5.2321923767311151E-3</v>
      </c>
      <c r="AB1330" s="79">
        <v>1</v>
      </c>
      <c r="AC1330" s="77">
        <f t="shared" si="4292"/>
        <v>8.499999955555556E-3</v>
      </c>
      <c r="AD1330" s="77">
        <f t="shared" ref="AD1330" si="4401">1-(1-AC1330)^(1/12)</f>
        <v>7.1110795759765644E-4</v>
      </c>
      <c r="AE1330" s="77">
        <f t="shared" si="4294"/>
        <v>2.5000000000000001E-3</v>
      </c>
      <c r="AF1330" s="77">
        <f t="shared" ref="AF1330" si="4402">1-(1-AE1330)^(1/12)</f>
        <v>2.0857243058891584E-4</v>
      </c>
      <c r="AH1330" t="s">
        <v>175</v>
      </c>
      <c r="AI1330" t="s">
        <v>180</v>
      </c>
      <c r="AJ1330" s="197" t="str">
        <f t="shared" si="4285"/>
        <v>Lifecycle_Opportunity_299</v>
      </c>
      <c r="AK1330">
        <v>299</v>
      </c>
      <c r="AL1330">
        <f>VLOOKUP($U1330,[2]Standard_Opportunity!$Q$1:$T$542,2,FALSE)</f>
        <v>0.99999997777777772</v>
      </c>
      <c r="AM1330">
        <f>VLOOKUP($U1330,[2]Standard_Opportunity!$Q$1:$T$542,3,FALSE)</f>
        <v>2.2222222284540294E-8</v>
      </c>
      <c r="AN1330">
        <f>VLOOKUP($U1330,[2]Standard_Opportunity!$Q$1:$T$542,4,FALSE)</f>
        <v>0</v>
      </c>
      <c r="AO1330" s="77">
        <f t="shared" si="4286"/>
        <v>1</v>
      </c>
      <c r="AP1330" s="77">
        <f t="shared" si="4296"/>
        <v>6.4624999704999977E-2</v>
      </c>
      <c r="AQ1330" s="77">
        <f t="shared" si="4287"/>
        <v>5.2321923767311151E-3</v>
      </c>
      <c r="AR1330" s="79">
        <v>0</v>
      </c>
      <c r="AS1330" s="77">
        <f t="shared" si="4297"/>
        <v>0</v>
      </c>
      <c r="AT1330" s="77">
        <f t="shared" si="4298"/>
        <v>0</v>
      </c>
      <c r="AU1330" s="77">
        <f t="shared" si="4299"/>
        <v>2.5000000000000001E-3</v>
      </c>
      <c r="AV1330" s="77">
        <f t="shared" si="4300"/>
        <v>2.0809499864316017E-4</v>
      </c>
    </row>
    <row r="1331" spans="1:48">
      <c r="A1331" t="s">
        <v>175</v>
      </c>
      <c r="B1331" t="s">
        <v>180</v>
      </c>
      <c r="C1331" s="197" t="str">
        <f t="shared" si="4321"/>
        <v>Lifecycle_Opportunity_298</v>
      </c>
      <c r="D1331">
        <v>298</v>
      </c>
      <c r="E1331">
        <f>VLOOKUP($D1331,'[2]LC Opportunity'!$Q$2:$U$542,2,FALSE)</f>
        <v>0</v>
      </c>
      <c r="F1331">
        <f>VLOOKUP($D1331,'[2]LC Opportunity'!$Q$2:$U$542,3,FALSE)</f>
        <v>0</v>
      </c>
      <c r="G1331">
        <f>VLOOKUP($D1331,'[2]LC Opportunity'!$Q$2:$U$542,4,FALSE)</f>
        <v>0</v>
      </c>
      <c r="H1331">
        <f>VLOOKUP($D1331,'[2]LC Opportunity'!$Q$2:$U$542,5,FALSE)</f>
        <v>0.99999999999999989</v>
      </c>
      <c r="I1331" s="77">
        <f t="shared" si="4281"/>
        <v>0.99999999999999989</v>
      </c>
      <c r="J1331" s="77">
        <f t="shared" si="4282"/>
        <v>7.1999999999999981E-2</v>
      </c>
      <c r="K1331" s="77">
        <f t="shared" si="4326"/>
        <v>5.8106552987937654E-3</v>
      </c>
      <c r="L1331" s="76">
        <v>0</v>
      </c>
      <c r="M1331" s="77">
        <f t="shared" si="4288"/>
        <v>0</v>
      </c>
      <c r="N1331" s="77">
        <f t="shared" si="4289"/>
        <v>0</v>
      </c>
      <c r="O1331" s="77">
        <f t="shared" si="4290"/>
        <v>4.9999999999999992E-3</v>
      </c>
      <c r="P1331" s="77">
        <f t="shared" si="4291"/>
        <v>4.1762458919303302E-4</v>
      </c>
      <c r="R1331" t="s">
        <v>177</v>
      </c>
      <c r="S1331" t="s">
        <v>180</v>
      </c>
      <c r="T1331" s="197" t="str">
        <f t="shared" si="4322"/>
        <v>Autopilot_Opportunity_298</v>
      </c>
      <c r="U1331">
        <v>298</v>
      </c>
      <c r="V1331">
        <f>VLOOKUP($U1331,'[2]AP Opportunity'!$Q$1:$T$542,2,FALSE)</f>
        <v>0.99999997777777772</v>
      </c>
      <c r="W1331">
        <f>VLOOKUP($U1331,'[2]AP Opportunity'!$Q$1:$T$542,3,FALSE)</f>
        <v>2.2222222284540294E-8</v>
      </c>
      <c r="X1331">
        <f>VLOOKUP($U1331,'[2]AP Opportunity'!$Q$1:$T$542,4,FALSE)</f>
        <v>0</v>
      </c>
      <c r="Y1331" s="77">
        <f t="shared" si="4323"/>
        <v>1</v>
      </c>
      <c r="Z1331" s="77">
        <f t="shared" si="4327"/>
        <v>6.4624999704999977E-2</v>
      </c>
      <c r="AA1331" s="77">
        <f t="shared" si="4328"/>
        <v>5.2321923767311151E-3</v>
      </c>
      <c r="AB1331" s="79">
        <v>1</v>
      </c>
      <c r="AC1331" s="77">
        <f t="shared" si="4292"/>
        <v>8.499999955555556E-3</v>
      </c>
      <c r="AD1331" s="77">
        <f t="shared" ref="AD1331" si="4403">1-(1-AC1331)^(1/12)</f>
        <v>7.1110795759765644E-4</v>
      </c>
      <c r="AE1331" s="77">
        <f t="shared" si="4294"/>
        <v>2.5000000000000001E-3</v>
      </c>
      <c r="AF1331" s="77">
        <f t="shared" ref="AF1331" si="4404">1-(1-AE1331)^(1/12)</f>
        <v>2.0857243058891584E-4</v>
      </c>
      <c r="AH1331" t="s">
        <v>175</v>
      </c>
      <c r="AI1331" t="s">
        <v>180</v>
      </c>
      <c r="AJ1331" s="197" t="str">
        <f t="shared" si="4285"/>
        <v>Lifecycle_Opportunity_298</v>
      </c>
      <c r="AK1331">
        <v>298</v>
      </c>
      <c r="AL1331">
        <f>VLOOKUP($U1331,[2]Standard_Opportunity!$Q$1:$T$542,2,FALSE)</f>
        <v>0.99999997777777772</v>
      </c>
      <c r="AM1331">
        <f>VLOOKUP($U1331,[2]Standard_Opportunity!$Q$1:$T$542,3,FALSE)</f>
        <v>2.2222222284540294E-8</v>
      </c>
      <c r="AN1331">
        <f>VLOOKUP($U1331,[2]Standard_Opportunity!$Q$1:$T$542,4,FALSE)</f>
        <v>0</v>
      </c>
      <c r="AO1331" s="77">
        <f t="shared" si="4286"/>
        <v>1</v>
      </c>
      <c r="AP1331" s="77">
        <f t="shared" si="4296"/>
        <v>6.4624999704999977E-2</v>
      </c>
      <c r="AQ1331" s="77">
        <f t="shared" si="4287"/>
        <v>5.2321923767311151E-3</v>
      </c>
      <c r="AR1331" s="79">
        <v>0</v>
      </c>
      <c r="AS1331" s="77">
        <f t="shared" si="4297"/>
        <v>0</v>
      </c>
      <c r="AT1331" s="77">
        <f t="shared" si="4298"/>
        <v>0</v>
      </c>
      <c r="AU1331" s="77">
        <f t="shared" si="4299"/>
        <v>2.5000000000000001E-3</v>
      </c>
      <c r="AV1331" s="77">
        <f t="shared" si="4300"/>
        <v>2.0809499864316017E-4</v>
      </c>
    </row>
    <row r="1332" spans="1:48">
      <c r="A1332" t="s">
        <v>175</v>
      </c>
      <c r="B1332" t="s">
        <v>180</v>
      </c>
      <c r="C1332" s="197" t="str">
        <f t="shared" si="4321"/>
        <v>Lifecycle_Opportunity_297</v>
      </c>
      <c r="D1332">
        <v>297</v>
      </c>
      <c r="E1332">
        <f>VLOOKUP($D1332,'[2]LC Opportunity'!$Q$2:$U$542,2,FALSE)</f>
        <v>0</v>
      </c>
      <c r="F1332">
        <f>VLOOKUP($D1332,'[2]LC Opportunity'!$Q$2:$U$542,3,FALSE)</f>
        <v>0</v>
      </c>
      <c r="G1332">
        <f>VLOOKUP($D1332,'[2]LC Opportunity'!$Q$2:$U$542,4,FALSE)</f>
        <v>0</v>
      </c>
      <c r="H1332">
        <f>VLOOKUP($D1332,'[2]LC Opportunity'!$Q$2:$U$542,5,FALSE)</f>
        <v>0.99999999999999989</v>
      </c>
      <c r="I1332" s="77">
        <f t="shared" si="4281"/>
        <v>0.99999999999999989</v>
      </c>
      <c r="J1332" s="77">
        <f t="shared" si="4282"/>
        <v>7.1999999999999981E-2</v>
      </c>
      <c r="K1332" s="77">
        <f t="shared" si="4326"/>
        <v>5.8106552987937654E-3</v>
      </c>
      <c r="L1332" s="76">
        <v>0</v>
      </c>
      <c r="M1332" s="77">
        <f t="shared" si="4288"/>
        <v>0</v>
      </c>
      <c r="N1332" s="77">
        <f t="shared" si="4289"/>
        <v>0</v>
      </c>
      <c r="O1332" s="77">
        <f t="shared" si="4290"/>
        <v>4.9999999999999992E-3</v>
      </c>
      <c r="P1332" s="77">
        <f t="shared" si="4291"/>
        <v>4.1762458919303302E-4</v>
      </c>
      <c r="R1332" t="s">
        <v>177</v>
      </c>
      <c r="S1332" t="s">
        <v>180</v>
      </c>
      <c r="T1332" s="197" t="str">
        <f t="shared" si="4322"/>
        <v>Autopilot_Opportunity_297</v>
      </c>
      <c r="U1332">
        <v>297</v>
      </c>
      <c r="V1332">
        <f>VLOOKUP($U1332,'[2]AP Opportunity'!$Q$1:$T$542,2,FALSE)</f>
        <v>0.99999997777777772</v>
      </c>
      <c r="W1332">
        <f>VLOOKUP($U1332,'[2]AP Opportunity'!$Q$1:$T$542,3,FALSE)</f>
        <v>2.2222222284540294E-8</v>
      </c>
      <c r="X1332">
        <f>VLOOKUP($U1332,'[2]AP Opportunity'!$Q$1:$T$542,4,FALSE)</f>
        <v>0</v>
      </c>
      <c r="Y1332" s="77">
        <f t="shared" si="4323"/>
        <v>1</v>
      </c>
      <c r="Z1332" s="77">
        <f t="shared" si="4327"/>
        <v>6.4624999704999977E-2</v>
      </c>
      <c r="AA1332" s="77">
        <f t="shared" si="4328"/>
        <v>5.2321923767311151E-3</v>
      </c>
      <c r="AB1332" s="79">
        <v>1</v>
      </c>
      <c r="AC1332" s="77">
        <f t="shared" si="4292"/>
        <v>8.499999955555556E-3</v>
      </c>
      <c r="AD1332" s="77">
        <f t="shared" ref="AD1332" si="4405">1-(1-AC1332)^(1/12)</f>
        <v>7.1110795759765644E-4</v>
      </c>
      <c r="AE1332" s="77">
        <f t="shared" si="4294"/>
        <v>2.5000000000000001E-3</v>
      </c>
      <c r="AF1332" s="77">
        <f t="shared" ref="AF1332" si="4406">1-(1-AE1332)^(1/12)</f>
        <v>2.0857243058891584E-4</v>
      </c>
      <c r="AH1332" t="s">
        <v>175</v>
      </c>
      <c r="AI1332" t="s">
        <v>180</v>
      </c>
      <c r="AJ1332" s="197" t="str">
        <f t="shared" si="4285"/>
        <v>Lifecycle_Opportunity_297</v>
      </c>
      <c r="AK1332">
        <v>297</v>
      </c>
      <c r="AL1332">
        <f>VLOOKUP($U1332,[2]Standard_Opportunity!$Q$1:$T$542,2,FALSE)</f>
        <v>0.99999997777777772</v>
      </c>
      <c r="AM1332">
        <f>VLOOKUP($U1332,[2]Standard_Opportunity!$Q$1:$T$542,3,FALSE)</f>
        <v>2.2222222284540294E-8</v>
      </c>
      <c r="AN1332">
        <f>VLOOKUP($U1332,[2]Standard_Opportunity!$Q$1:$T$542,4,FALSE)</f>
        <v>0</v>
      </c>
      <c r="AO1332" s="77">
        <f t="shared" si="4286"/>
        <v>1</v>
      </c>
      <c r="AP1332" s="77">
        <f t="shared" si="4296"/>
        <v>6.4624999704999977E-2</v>
      </c>
      <c r="AQ1332" s="77">
        <f t="shared" si="4287"/>
        <v>5.2321923767311151E-3</v>
      </c>
      <c r="AR1332" s="79">
        <v>0</v>
      </c>
      <c r="AS1332" s="77">
        <f t="shared" si="4297"/>
        <v>0</v>
      </c>
      <c r="AT1332" s="77">
        <f t="shared" si="4298"/>
        <v>0</v>
      </c>
      <c r="AU1332" s="77">
        <f t="shared" si="4299"/>
        <v>2.5000000000000001E-3</v>
      </c>
      <c r="AV1332" s="77">
        <f t="shared" si="4300"/>
        <v>2.0809499864316017E-4</v>
      </c>
    </row>
    <row r="1333" spans="1:48">
      <c r="A1333" t="s">
        <v>175</v>
      </c>
      <c r="B1333" t="s">
        <v>180</v>
      </c>
      <c r="C1333" s="197" t="str">
        <f t="shared" si="4321"/>
        <v>Lifecycle_Opportunity_296</v>
      </c>
      <c r="D1333">
        <v>296</v>
      </c>
      <c r="E1333">
        <f>VLOOKUP($D1333,'[2]LC Opportunity'!$Q$2:$U$542,2,FALSE)</f>
        <v>0</v>
      </c>
      <c r="F1333">
        <f>VLOOKUP($D1333,'[2]LC Opportunity'!$Q$2:$U$542,3,FALSE)</f>
        <v>0</v>
      </c>
      <c r="G1333">
        <f>VLOOKUP($D1333,'[2]LC Opportunity'!$Q$2:$U$542,4,FALSE)</f>
        <v>0</v>
      </c>
      <c r="H1333">
        <f>VLOOKUP($D1333,'[2]LC Opportunity'!$Q$2:$U$542,5,FALSE)</f>
        <v>0.99999999999999989</v>
      </c>
      <c r="I1333" s="77">
        <f t="shared" si="4281"/>
        <v>0.99999999999999989</v>
      </c>
      <c r="J1333" s="77">
        <f t="shared" si="4282"/>
        <v>7.1999999999999981E-2</v>
      </c>
      <c r="K1333" s="77">
        <f t="shared" si="4326"/>
        <v>5.8106552987937654E-3</v>
      </c>
      <c r="L1333" s="76">
        <v>0</v>
      </c>
      <c r="M1333" s="77">
        <f t="shared" si="4288"/>
        <v>0</v>
      </c>
      <c r="N1333" s="77">
        <f t="shared" si="4289"/>
        <v>0</v>
      </c>
      <c r="O1333" s="77">
        <f t="shared" si="4290"/>
        <v>4.9999999999999992E-3</v>
      </c>
      <c r="P1333" s="77">
        <f t="shared" si="4291"/>
        <v>4.1762458919303302E-4</v>
      </c>
      <c r="R1333" t="s">
        <v>177</v>
      </c>
      <c r="S1333" t="s">
        <v>180</v>
      </c>
      <c r="T1333" s="197" t="str">
        <f t="shared" si="4322"/>
        <v>Autopilot_Opportunity_296</v>
      </c>
      <c r="U1333">
        <v>296</v>
      </c>
      <c r="V1333">
        <f>VLOOKUP($U1333,'[2]AP Opportunity'!$Q$1:$T$542,2,FALSE)</f>
        <v>0.99999997777777772</v>
      </c>
      <c r="W1333">
        <f>VLOOKUP($U1333,'[2]AP Opportunity'!$Q$1:$T$542,3,FALSE)</f>
        <v>2.2222222284540294E-8</v>
      </c>
      <c r="X1333">
        <f>VLOOKUP($U1333,'[2]AP Opportunity'!$Q$1:$T$542,4,FALSE)</f>
        <v>0</v>
      </c>
      <c r="Y1333" s="77">
        <f t="shared" si="4323"/>
        <v>1</v>
      </c>
      <c r="Z1333" s="77">
        <f t="shared" si="4327"/>
        <v>6.4624999704999977E-2</v>
      </c>
      <c r="AA1333" s="77">
        <f t="shared" si="4328"/>
        <v>5.2321923767311151E-3</v>
      </c>
      <c r="AB1333" s="79">
        <v>1</v>
      </c>
      <c r="AC1333" s="77">
        <f t="shared" si="4292"/>
        <v>8.499999955555556E-3</v>
      </c>
      <c r="AD1333" s="77">
        <f t="shared" ref="AD1333" si="4407">1-(1-AC1333)^(1/12)</f>
        <v>7.1110795759765644E-4</v>
      </c>
      <c r="AE1333" s="77">
        <f t="shared" si="4294"/>
        <v>2.5000000000000001E-3</v>
      </c>
      <c r="AF1333" s="77">
        <f t="shared" ref="AF1333" si="4408">1-(1-AE1333)^(1/12)</f>
        <v>2.0857243058891584E-4</v>
      </c>
      <c r="AH1333" t="s">
        <v>175</v>
      </c>
      <c r="AI1333" t="s">
        <v>180</v>
      </c>
      <c r="AJ1333" s="197" t="str">
        <f t="shared" si="4285"/>
        <v>Lifecycle_Opportunity_296</v>
      </c>
      <c r="AK1333">
        <v>296</v>
      </c>
      <c r="AL1333">
        <f>VLOOKUP($U1333,[2]Standard_Opportunity!$Q$1:$T$542,2,FALSE)</f>
        <v>0.99999997777777772</v>
      </c>
      <c r="AM1333">
        <f>VLOOKUP($U1333,[2]Standard_Opportunity!$Q$1:$T$542,3,FALSE)</f>
        <v>2.2222222284540294E-8</v>
      </c>
      <c r="AN1333">
        <f>VLOOKUP($U1333,[2]Standard_Opportunity!$Q$1:$T$542,4,FALSE)</f>
        <v>0</v>
      </c>
      <c r="AO1333" s="77">
        <f t="shared" si="4286"/>
        <v>1</v>
      </c>
      <c r="AP1333" s="77">
        <f t="shared" si="4296"/>
        <v>6.4624999704999977E-2</v>
      </c>
      <c r="AQ1333" s="77">
        <f t="shared" si="4287"/>
        <v>5.2321923767311151E-3</v>
      </c>
      <c r="AR1333" s="79">
        <v>0</v>
      </c>
      <c r="AS1333" s="77">
        <f t="shared" si="4297"/>
        <v>0</v>
      </c>
      <c r="AT1333" s="77">
        <f t="shared" si="4298"/>
        <v>0</v>
      </c>
      <c r="AU1333" s="77">
        <f t="shared" si="4299"/>
        <v>2.5000000000000001E-3</v>
      </c>
      <c r="AV1333" s="77">
        <f t="shared" si="4300"/>
        <v>2.0809499864316017E-4</v>
      </c>
    </row>
    <row r="1334" spans="1:48">
      <c r="A1334" t="s">
        <v>175</v>
      </c>
      <c r="B1334" t="s">
        <v>180</v>
      </c>
      <c r="C1334" s="197" t="str">
        <f t="shared" si="4321"/>
        <v>Lifecycle_Opportunity_295</v>
      </c>
      <c r="D1334">
        <v>295</v>
      </c>
      <c r="E1334">
        <f>VLOOKUP($D1334,'[2]LC Opportunity'!$Q$2:$U$542,2,FALSE)</f>
        <v>0</v>
      </c>
      <c r="F1334">
        <f>VLOOKUP($D1334,'[2]LC Opportunity'!$Q$2:$U$542,3,FALSE)</f>
        <v>0</v>
      </c>
      <c r="G1334">
        <f>VLOOKUP($D1334,'[2]LC Opportunity'!$Q$2:$U$542,4,FALSE)</f>
        <v>0</v>
      </c>
      <c r="H1334">
        <f>VLOOKUP($D1334,'[2]LC Opportunity'!$Q$2:$U$542,5,FALSE)</f>
        <v>0.99999999999999989</v>
      </c>
      <c r="I1334" s="77">
        <f t="shared" si="4281"/>
        <v>0.99999999999999989</v>
      </c>
      <c r="J1334" s="77">
        <f t="shared" si="4282"/>
        <v>7.1999999999999981E-2</v>
      </c>
      <c r="K1334" s="77">
        <f t="shared" si="4326"/>
        <v>5.8106552987937654E-3</v>
      </c>
      <c r="L1334" s="76">
        <v>0</v>
      </c>
      <c r="M1334" s="77">
        <f t="shared" si="4288"/>
        <v>0</v>
      </c>
      <c r="N1334" s="77">
        <f t="shared" si="4289"/>
        <v>0</v>
      </c>
      <c r="O1334" s="77">
        <f t="shared" si="4290"/>
        <v>4.9999999999999992E-3</v>
      </c>
      <c r="P1334" s="77">
        <f t="shared" si="4291"/>
        <v>4.1762458919303302E-4</v>
      </c>
      <c r="R1334" t="s">
        <v>177</v>
      </c>
      <c r="S1334" t="s">
        <v>180</v>
      </c>
      <c r="T1334" s="197" t="str">
        <f t="shared" si="4322"/>
        <v>Autopilot_Opportunity_295</v>
      </c>
      <c r="U1334">
        <v>295</v>
      </c>
      <c r="V1334">
        <f>VLOOKUP($U1334,'[2]AP Opportunity'!$Q$1:$T$542,2,FALSE)</f>
        <v>0.99999997777777772</v>
      </c>
      <c r="W1334">
        <f>VLOOKUP($U1334,'[2]AP Opportunity'!$Q$1:$T$542,3,FALSE)</f>
        <v>2.2222222284540294E-8</v>
      </c>
      <c r="X1334">
        <f>VLOOKUP($U1334,'[2]AP Opportunity'!$Q$1:$T$542,4,FALSE)</f>
        <v>0</v>
      </c>
      <c r="Y1334" s="77">
        <f t="shared" si="4323"/>
        <v>1</v>
      </c>
      <c r="Z1334" s="77">
        <f t="shared" si="4327"/>
        <v>6.4624999704999977E-2</v>
      </c>
      <c r="AA1334" s="77">
        <f t="shared" si="4328"/>
        <v>5.2321923767311151E-3</v>
      </c>
      <c r="AB1334" s="79">
        <v>1</v>
      </c>
      <c r="AC1334" s="77">
        <f t="shared" si="4292"/>
        <v>8.499999955555556E-3</v>
      </c>
      <c r="AD1334" s="77">
        <f t="shared" ref="AD1334" si="4409">1-(1-AC1334)^(1/12)</f>
        <v>7.1110795759765644E-4</v>
      </c>
      <c r="AE1334" s="77">
        <f t="shared" si="4294"/>
        <v>2.5000000000000001E-3</v>
      </c>
      <c r="AF1334" s="77">
        <f t="shared" ref="AF1334" si="4410">1-(1-AE1334)^(1/12)</f>
        <v>2.0857243058891584E-4</v>
      </c>
      <c r="AH1334" t="s">
        <v>175</v>
      </c>
      <c r="AI1334" t="s">
        <v>180</v>
      </c>
      <c r="AJ1334" s="197" t="str">
        <f t="shared" si="4285"/>
        <v>Lifecycle_Opportunity_295</v>
      </c>
      <c r="AK1334">
        <v>295</v>
      </c>
      <c r="AL1334">
        <f>VLOOKUP($U1334,[2]Standard_Opportunity!$Q$1:$T$542,2,FALSE)</f>
        <v>0.99999997777777772</v>
      </c>
      <c r="AM1334">
        <f>VLOOKUP($U1334,[2]Standard_Opportunity!$Q$1:$T$542,3,FALSE)</f>
        <v>2.2222222284540294E-8</v>
      </c>
      <c r="AN1334">
        <f>VLOOKUP($U1334,[2]Standard_Opportunity!$Q$1:$T$542,4,FALSE)</f>
        <v>0</v>
      </c>
      <c r="AO1334" s="77">
        <f t="shared" si="4286"/>
        <v>1</v>
      </c>
      <c r="AP1334" s="77">
        <f t="shared" si="4296"/>
        <v>6.4624999704999977E-2</v>
      </c>
      <c r="AQ1334" s="77">
        <f t="shared" si="4287"/>
        <v>5.2321923767311151E-3</v>
      </c>
      <c r="AR1334" s="79">
        <v>0</v>
      </c>
      <c r="AS1334" s="77">
        <f t="shared" si="4297"/>
        <v>0</v>
      </c>
      <c r="AT1334" s="77">
        <f t="shared" si="4298"/>
        <v>0</v>
      </c>
      <c r="AU1334" s="77">
        <f t="shared" si="4299"/>
        <v>2.5000000000000001E-3</v>
      </c>
      <c r="AV1334" s="77">
        <f t="shared" si="4300"/>
        <v>2.0809499864316017E-4</v>
      </c>
    </row>
    <row r="1335" spans="1:48">
      <c r="A1335" t="s">
        <v>175</v>
      </c>
      <c r="B1335" t="s">
        <v>180</v>
      </c>
      <c r="C1335" s="197" t="str">
        <f t="shared" si="4321"/>
        <v>Lifecycle_Opportunity_294</v>
      </c>
      <c r="D1335">
        <v>294</v>
      </c>
      <c r="E1335">
        <f>VLOOKUP($D1335,'[2]LC Opportunity'!$Q$2:$U$542,2,FALSE)</f>
        <v>0</v>
      </c>
      <c r="F1335">
        <f>VLOOKUP($D1335,'[2]LC Opportunity'!$Q$2:$U$542,3,FALSE)</f>
        <v>0</v>
      </c>
      <c r="G1335">
        <f>VLOOKUP($D1335,'[2]LC Opportunity'!$Q$2:$U$542,4,FALSE)</f>
        <v>0</v>
      </c>
      <c r="H1335">
        <f>VLOOKUP($D1335,'[2]LC Opportunity'!$Q$2:$U$542,5,FALSE)</f>
        <v>0.99999999999999989</v>
      </c>
      <c r="I1335" s="77">
        <f t="shared" si="4281"/>
        <v>0.99999999999999989</v>
      </c>
      <c r="J1335" s="77">
        <f t="shared" si="4282"/>
        <v>7.1999999999999981E-2</v>
      </c>
      <c r="K1335" s="77">
        <f t="shared" si="4326"/>
        <v>5.8106552987937654E-3</v>
      </c>
      <c r="L1335" s="76">
        <v>0</v>
      </c>
      <c r="M1335" s="77">
        <f t="shared" si="4288"/>
        <v>0</v>
      </c>
      <c r="N1335" s="77">
        <f t="shared" si="4289"/>
        <v>0</v>
      </c>
      <c r="O1335" s="77">
        <f t="shared" si="4290"/>
        <v>4.9999999999999992E-3</v>
      </c>
      <c r="P1335" s="77">
        <f t="shared" si="4291"/>
        <v>4.1762458919303302E-4</v>
      </c>
      <c r="R1335" t="s">
        <v>177</v>
      </c>
      <c r="S1335" t="s">
        <v>180</v>
      </c>
      <c r="T1335" s="197" t="str">
        <f t="shared" si="4322"/>
        <v>Autopilot_Opportunity_294</v>
      </c>
      <c r="U1335">
        <v>294</v>
      </c>
      <c r="V1335">
        <f>VLOOKUP($U1335,'[2]AP Opportunity'!$Q$1:$T$542,2,FALSE)</f>
        <v>0.99999997777777772</v>
      </c>
      <c r="W1335">
        <f>VLOOKUP($U1335,'[2]AP Opportunity'!$Q$1:$T$542,3,FALSE)</f>
        <v>2.2222222284540294E-8</v>
      </c>
      <c r="X1335">
        <f>VLOOKUP($U1335,'[2]AP Opportunity'!$Q$1:$T$542,4,FALSE)</f>
        <v>0</v>
      </c>
      <c r="Y1335" s="77">
        <f t="shared" si="4323"/>
        <v>1</v>
      </c>
      <c r="Z1335" s="77">
        <f t="shared" si="4327"/>
        <v>6.4624999704999977E-2</v>
      </c>
      <c r="AA1335" s="77">
        <f t="shared" si="4328"/>
        <v>5.2321923767311151E-3</v>
      </c>
      <c r="AB1335" s="79">
        <v>1</v>
      </c>
      <c r="AC1335" s="77">
        <f t="shared" si="4292"/>
        <v>8.499999955555556E-3</v>
      </c>
      <c r="AD1335" s="77">
        <f t="shared" ref="AD1335" si="4411">1-(1-AC1335)^(1/12)</f>
        <v>7.1110795759765644E-4</v>
      </c>
      <c r="AE1335" s="77">
        <f t="shared" si="4294"/>
        <v>2.5000000000000001E-3</v>
      </c>
      <c r="AF1335" s="77">
        <f t="shared" ref="AF1335" si="4412">1-(1-AE1335)^(1/12)</f>
        <v>2.0857243058891584E-4</v>
      </c>
      <c r="AH1335" t="s">
        <v>175</v>
      </c>
      <c r="AI1335" t="s">
        <v>180</v>
      </c>
      <c r="AJ1335" s="197" t="str">
        <f t="shared" si="4285"/>
        <v>Lifecycle_Opportunity_294</v>
      </c>
      <c r="AK1335">
        <v>294</v>
      </c>
      <c r="AL1335">
        <f>VLOOKUP($U1335,[2]Standard_Opportunity!$Q$1:$T$542,2,FALSE)</f>
        <v>0.99999997777777772</v>
      </c>
      <c r="AM1335">
        <f>VLOOKUP($U1335,[2]Standard_Opportunity!$Q$1:$T$542,3,FALSE)</f>
        <v>2.2222222284540294E-8</v>
      </c>
      <c r="AN1335">
        <f>VLOOKUP($U1335,[2]Standard_Opportunity!$Q$1:$T$542,4,FALSE)</f>
        <v>0</v>
      </c>
      <c r="AO1335" s="77">
        <f t="shared" si="4286"/>
        <v>1</v>
      </c>
      <c r="AP1335" s="77">
        <f t="shared" si="4296"/>
        <v>6.4624999704999977E-2</v>
      </c>
      <c r="AQ1335" s="77">
        <f t="shared" si="4287"/>
        <v>5.2321923767311151E-3</v>
      </c>
      <c r="AR1335" s="79">
        <v>0</v>
      </c>
      <c r="AS1335" s="77">
        <f t="shared" si="4297"/>
        <v>0</v>
      </c>
      <c r="AT1335" s="77">
        <f t="shared" si="4298"/>
        <v>0</v>
      </c>
      <c r="AU1335" s="77">
        <f t="shared" si="4299"/>
        <v>2.5000000000000001E-3</v>
      </c>
      <c r="AV1335" s="77">
        <f t="shared" si="4300"/>
        <v>2.0809499864316017E-4</v>
      </c>
    </row>
    <row r="1336" spans="1:48">
      <c r="A1336" t="s">
        <v>175</v>
      </c>
      <c r="B1336" t="s">
        <v>180</v>
      </c>
      <c r="C1336" s="197" t="str">
        <f t="shared" si="4321"/>
        <v>Lifecycle_Opportunity_293</v>
      </c>
      <c r="D1336">
        <v>293</v>
      </c>
      <c r="E1336">
        <f>VLOOKUP($D1336,'[2]LC Opportunity'!$Q$2:$U$542,2,FALSE)</f>
        <v>0</v>
      </c>
      <c r="F1336">
        <f>VLOOKUP($D1336,'[2]LC Opportunity'!$Q$2:$U$542,3,FALSE)</f>
        <v>0</v>
      </c>
      <c r="G1336">
        <f>VLOOKUP($D1336,'[2]LC Opportunity'!$Q$2:$U$542,4,FALSE)</f>
        <v>0</v>
      </c>
      <c r="H1336">
        <f>VLOOKUP($D1336,'[2]LC Opportunity'!$Q$2:$U$542,5,FALSE)</f>
        <v>0.99999999999999989</v>
      </c>
      <c r="I1336" s="77">
        <f t="shared" si="4281"/>
        <v>0.99999999999999989</v>
      </c>
      <c r="J1336" s="77">
        <f t="shared" si="4282"/>
        <v>7.1999999999999981E-2</v>
      </c>
      <c r="K1336" s="77">
        <f t="shared" si="4326"/>
        <v>5.8106552987937654E-3</v>
      </c>
      <c r="L1336" s="76">
        <v>0</v>
      </c>
      <c r="M1336" s="77">
        <f t="shared" si="4288"/>
        <v>0</v>
      </c>
      <c r="N1336" s="77">
        <f t="shared" si="4289"/>
        <v>0</v>
      </c>
      <c r="O1336" s="77">
        <f t="shared" si="4290"/>
        <v>4.9999999999999992E-3</v>
      </c>
      <c r="P1336" s="77">
        <f t="shared" si="4291"/>
        <v>4.1762458919303302E-4</v>
      </c>
      <c r="R1336" t="s">
        <v>177</v>
      </c>
      <c r="S1336" t="s">
        <v>180</v>
      </c>
      <c r="T1336" s="197" t="str">
        <f t="shared" si="4322"/>
        <v>Autopilot_Opportunity_293</v>
      </c>
      <c r="U1336">
        <v>293</v>
      </c>
      <c r="V1336">
        <f>VLOOKUP($U1336,'[2]AP Opportunity'!$Q$1:$T$542,2,FALSE)</f>
        <v>0.99999997777777772</v>
      </c>
      <c r="W1336">
        <f>VLOOKUP($U1336,'[2]AP Opportunity'!$Q$1:$T$542,3,FALSE)</f>
        <v>2.2222222284540294E-8</v>
      </c>
      <c r="X1336">
        <f>VLOOKUP($U1336,'[2]AP Opportunity'!$Q$1:$T$542,4,FALSE)</f>
        <v>0</v>
      </c>
      <c r="Y1336" s="77">
        <f t="shared" si="4323"/>
        <v>1</v>
      </c>
      <c r="Z1336" s="77">
        <f t="shared" si="4327"/>
        <v>6.4624999704999977E-2</v>
      </c>
      <c r="AA1336" s="77">
        <f t="shared" si="4328"/>
        <v>5.2321923767311151E-3</v>
      </c>
      <c r="AB1336" s="79">
        <v>1</v>
      </c>
      <c r="AC1336" s="77">
        <f t="shared" si="4292"/>
        <v>8.499999955555556E-3</v>
      </c>
      <c r="AD1336" s="77">
        <f t="shared" ref="AD1336" si="4413">1-(1-AC1336)^(1/12)</f>
        <v>7.1110795759765644E-4</v>
      </c>
      <c r="AE1336" s="77">
        <f t="shared" si="4294"/>
        <v>2.5000000000000001E-3</v>
      </c>
      <c r="AF1336" s="77">
        <f t="shared" ref="AF1336" si="4414">1-(1-AE1336)^(1/12)</f>
        <v>2.0857243058891584E-4</v>
      </c>
      <c r="AH1336" t="s">
        <v>175</v>
      </c>
      <c r="AI1336" t="s">
        <v>180</v>
      </c>
      <c r="AJ1336" s="197" t="str">
        <f t="shared" si="4285"/>
        <v>Lifecycle_Opportunity_293</v>
      </c>
      <c r="AK1336">
        <v>293</v>
      </c>
      <c r="AL1336">
        <f>VLOOKUP($U1336,[2]Standard_Opportunity!$Q$1:$T$542,2,FALSE)</f>
        <v>0.99999997777777772</v>
      </c>
      <c r="AM1336">
        <f>VLOOKUP($U1336,[2]Standard_Opportunity!$Q$1:$T$542,3,FALSE)</f>
        <v>2.2222222284540294E-8</v>
      </c>
      <c r="AN1336">
        <f>VLOOKUP($U1336,[2]Standard_Opportunity!$Q$1:$T$542,4,FALSE)</f>
        <v>0</v>
      </c>
      <c r="AO1336" s="77">
        <f t="shared" si="4286"/>
        <v>1</v>
      </c>
      <c r="AP1336" s="77">
        <f t="shared" si="4296"/>
        <v>6.4624999704999977E-2</v>
      </c>
      <c r="AQ1336" s="77">
        <f t="shared" si="4287"/>
        <v>5.2321923767311151E-3</v>
      </c>
      <c r="AR1336" s="79">
        <v>0</v>
      </c>
      <c r="AS1336" s="77">
        <f t="shared" si="4297"/>
        <v>0</v>
      </c>
      <c r="AT1336" s="77">
        <f t="shared" si="4298"/>
        <v>0</v>
      </c>
      <c r="AU1336" s="77">
        <f t="shared" si="4299"/>
        <v>2.5000000000000001E-3</v>
      </c>
      <c r="AV1336" s="77">
        <f t="shared" si="4300"/>
        <v>2.0809499864316017E-4</v>
      </c>
    </row>
    <row r="1337" spans="1:48">
      <c r="A1337" t="s">
        <v>175</v>
      </c>
      <c r="B1337" t="s">
        <v>180</v>
      </c>
      <c r="C1337" s="197" t="str">
        <f t="shared" si="4321"/>
        <v>Lifecycle_Opportunity_292</v>
      </c>
      <c r="D1337">
        <v>292</v>
      </c>
      <c r="E1337">
        <f>VLOOKUP($D1337,'[2]LC Opportunity'!$Q$2:$U$542,2,FALSE)</f>
        <v>0</v>
      </c>
      <c r="F1337">
        <f>VLOOKUP($D1337,'[2]LC Opportunity'!$Q$2:$U$542,3,FALSE)</f>
        <v>0</v>
      </c>
      <c r="G1337">
        <f>VLOOKUP($D1337,'[2]LC Opportunity'!$Q$2:$U$542,4,FALSE)</f>
        <v>0</v>
      </c>
      <c r="H1337">
        <f>VLOOKUP($D1337,'[2]LC Opportunity'!$Q$2:$U$542,5,FALSE)</f>
        <v>0.99999999999999989</v>
      </c>
      <c r="I1337" s="77">
        <f t="shared" si="4281"/>
        <v>0.99999999999999989</v>
      </c>
      <c r="J1337" s="77">
        <f t="shared" si="4282"/>
        <v>7.1999999999999981E-2</v>
      </c>
      <c r="K1337" s="77">
        <f t="shared" si="4326"/>
        <v>5.8106552987937654E-3</v>
      </c>
      <c r="L1337" s="76">
        <v>0</v>
      </c>
      <c r="M1337" s="77">
        <f t="shared" si="4288"/>
        <v>0</v>
      </c>
      <c r="N1337" s="77">
        <f t="shared" si="4289"/>
        <v>0</v>
      </c>
      <c r="O1337" s="77">
        <f t="shared" si="4290"/>
        <v>4.9999999999999992E-3</v>
      </c>
      <c r="P1337" s="77">
        <f t="shared" si="4291"/>
        <v>4.1762458919303302E-4</v>
      </c>
      <c r="R1337" t="s">
        <v>177</v>
      </c>
      <c r="S1337" t="s">
        <v>180</v>
      </c>
      <c r="T1337" s="197" t="str">
        <f t="shared" si="4322"/>
        <v>Autopilot_Opportunity_292</v>
      </c>
      <c r="U1337">
        <v>292</v>
      </c>
      <c r="V1337">
        <f>VLOOKUP($U1337,'[2]AP Opportunity'!$Q$1:$T$542,2,FALSE)</f>
        <v>0.99999997777777772</v>
      </c>
      <c r="W1337">
        <f>VLOOKUP($U1337,'[2]AP Opportunity'!$Q$1:$T$542,3,FALSE)</f>
        <v>2.2222222284540294E-8</v>
      </c>
      <c r="X1337">
        <f>VLOOKUP($U1337,'[2]AP Opportunity'!$Q$1:$T$542,4,FALSE)</f>
        <v>0</v>
      </c>
      <c r="Y1337" s="77">
        <f t="shared" si="4323"/>
        <v>1</v>
      </c>
      <c r="Z1337" s="77">
        <f t="shared" si="4327"/>
        <v>6.4624999704999977E-2</v>
      </c>
      <c r="AA1337" s="77">
        <f t="shared" si="4328"/>
        <v>5.2321923767311151E-3</v>
      </c>
      <c r="AB1337" s="79">
        <v>1</v>
      </c>
      <c r="AC1337" s="77">
        <f t="shared" si="4292"/>
        <v>8.499999955555556E-3</v>
      </c>
      <c r="AD1337" s="77">
        <f t="shared" ref="AD1337" si="4415">1-(1-AC1337)^(1/12)</f>
        <v>7.1110795759765644E-4</v>
      </c>
      <c r="AE1337" s="77">
        <f t="shared" si="4294"/>
        <v>2.5000000000000001E-3</v>
      </c>
      <c r="AF1337" s="77">
        <f t="shared" ref="AF1337" si="4416">1-(1-AE1337)^(1/12)</f>
        <v>2.0857243058891584E-4</v>
      </c>
      <c r="AH1337" t="s">
        <v>175</v>
      </c>
      <c r="AI1337" t="s">
        <v>180</v>
      </c>
      <c r="AJ1337" s="197" t="str">
        <f t="shared" si="4285"/>
        <v>Lifecycle_Opportunity_292</v>
      </c>
      <c r="AK1337">
        <v>292</v>
      </c>
      <c r="AL1337">
        <f>VLOOKUP($U1337,[2]Standard_Opportunity!$Q$1:$T$542,2,FALSE)</f>
        <v>0.99999997777777772</v>
      </c>
      <c r="AM1337">
        <f>VLOOKUP($U1337,[2]Standard_Opportunity!$Q$1:$T$542,3,FALSE)</f>
        <v>2.2222222284540294E-8</v>
      </c>
      <c r="AN1337">
        <f>VLOOKUP($U1337,[2]Standard_Opportunity!$Q$1:$T$542,4,FALSE)</f>
        <v>0</v>
      </c>
      <c r="AO1337" s="77">
        <f t="shared" si="4286"/>
        <v>1</v>
      </c>
      <c r="AP1337" s="77">
        <f t="shared" si="4296"/>
        <v>6.4624999704999977E-2</v>
      </c>
      <c r="AQ1337" s="77">
        <f t="shared" si="4287"/>
        <v>5.2321923767311151E-3</v>
      </c>
      <c r="AR1337" s="79">
        <v>0</v>
      </c>
      <c r="AS1337" s="77">
        <f t="shared" si="4297"/>
        <v>0</v>
      </c>
      <c r="AT1337" s="77">
        <f t="shared" si="4298"/>
        <v>0</v>
      </c>
      <c r="AU1337" s="77">
        <f t="shared" si="4299"/>
        <v>2.5000000000000001E-3</v>
      </c>
      <c r="AV1337" s="77">
        <f t="shared" si="4300"/>
        <v>2.0809499864316017E-4</v>
      </c>
    </row>
    <row r="1338" spans="1:48">
      <c r="A1338" t="s">
        <v>175</v>
      </c>
      <c r="B1338" t="s">
        <v>180</v>
      </c>
      <c r="C1338" s="197" t="str">
        <f t="shared" si="4321"/>
        <v>Lifecycle_Opportunity_291</v>
      </c>
      <c r="D1338">
        <v>291</v>
      </c>
      <c r="E1338">
        <f>VLOOKUP($D1338,'[2]LC Opportunity'!$Q$2:$U$542,2,FALSE)</f>
        <v>0</v>
      </c>
      <c r="F1338">
        <f>VLOOKUP($D1338,'[2]LC Opportunity'!$Q$2:$U$542,3,FALSE)</f>
        <v>0</v>
      </c>
      <c r="G1338">
        <f>VLOOKUP($D1338,'[2]LC Opportunity'!$Q$2:$U$542,4,FALSE)</f>
        <v>0</v>
      </c>
      <c r="H1338">
        <f>VLOOKUP($D1338,'[2]LC Opportunity'!$Q$2:$U$542,5,FALSE)</f>
        <v>0.99999999999999989</v>
      </c>
      <c r="I1338" s="77">
        <f t="shared" si="4281"/>
        <v>0.99999999999999989</v>
      </c>
      <c r="J1338" s="77">
        <f t="shared" si="4282"/>
        <v>7.1999999999999981E-2</v>
      </c>
      <c r="K1338" s="77">
        <f t="shared" si="4326"/>
        <v>5.8106552987937654E-3</v>
      </c>
      <c r="L1338" s="76">
        <v>0</v>
      </c>
      <c r="M1338" s="77">
        <f t="shared" si="4288"/>
        <v>0</v>
      </c>
      <c r="N1338" s="77">
        <f t="shared" si="4289"/>
        <v>0</v>
      </c>
      <c r="O1338" s="77">
        <f t="shared" si="4290"/>
        <v>4.9999999999999992E-3</v>
      </c>
      <c r="P1338" s="77">
        <f t="shared" si="4291"/>
        <v>4.1762458919303302E-4</v>
      </c>
      <c r="R1338" t="s">
        <v>177</v>
      </c>
      <c r="S1338" t="s">
        <v>180</v>
      </c>
      <c r="T1338" s="197" t="str">
        <f t="shared" si="4322"/>
        <v>Autopilot_Opportunity_291</v>
      </c>
      <c r="U1338">
        <v>291</v>
      </c>
      <c r="V1338">
        <f>VLOOKUP($U1338,'[2]AP Opportunity'!$Q$1:$T$542,2,FALSE)</f>
        <v>0.99999997777777772</v>
      </c>
      <c r="W1338">
        <f>VLOOKUP($U1338,'[2]AP Opportunity'!$Q$1:$T$542,3,FALSE)</f>
        <v>2.2222222284540294E-8</v>
      </c>
      <c r="X1338">
        <f>VLOOKUP($U1338,'[2]AP Opportunity'!$Q$1:$T$542,4,FALSE)</f>
        <v>0</v>
      </c>
      <c r="Y1338" s="77">
        <f t="shared" si="4323"/>
        <v>1</v>
      </c>
      <c r="Z1338" s="77">
        <f t="shared" si="4327"/>
        <v>6.4624999704999977E-2</v>
      </c>
      <c r="AA1338" s="77">
        <f t="shared" si="4328"/>
        <v>5.2321923767311151E-3</v>
      </c>
      <c r="AB1338" s="79">
        <v>1</v>
      </c>
      <c r="AC1338" s="77">
        <f t="shared" si="4292"/>
        <v>8.499999955555556E-3</v>
      </c>
      <c r="AD1338" s="77">
        <f t="shared" ref="AD1338" si="4417">1-(1-AC1338)^(1/12)</f>
        <v>7.1110795759765644E-4</v>
      </c>
      <c r="AE1338" s="77">
        <f t="shared" si="4294"/>
        <v>2.5000000000000001E-3</v>
      </c>
      <c r="AF1338" s="77">
        <f t="shared" ref="AF1338" si="4418">1-(1-AE1338)^(1/12)</f>
        <v>2.0857243058891584E-4</v>
      </c>
      <c r="AH1338" t="s">
        <v>175</v>
      </c>
      <c r="AI1338" t="s">
        <v>180</v>
      </c>
      <c r="AJ1338" s="197" t="str">
        <f t="shared" si="4285"/>
        <v>Lifecycle_Opportunity_291</v>
      </c>
      <c r="AK1338">
        <v>291</v>
      </c>
      <c r="AL1338">
        <f>VLOOKUP($U1338,[2]Standard_Opportunity!$Q$1:$T$542,2,FALSE)</f>
        <v>0.99999997777777772</v>
      </c>
      <c r="AM1338">
        <f>VLOOKUP($U1338,[2]Standard_Opportunity!$Q$1:$T$542,3,FALSE)</f>
        <v>2.2222222284540294E-8</v>
      </c>
      <c r="AN1338">
        <f>VLOOKUP($U1338,[2]Standard_Opportunity!$Q$1:$T$542,4,FALSE)</f>
        <v>0</v>
      </c>
      <c r="AO1338" s="77">
        <f t="shared" si="4286"/>
        <v>1</v>
      </c>
      <c r="AP1338" s="77">
        <f t="shared" si="4296"/>
        <v>6.4624999704999977E-2</v>
      </c>
      <c r="AQ1338" s="77">
        <f t="shared" si="4287"/>
        <v>5.2321923767311151E-3</v>
      </c>
      <c r="AR1338" s="79">
        <v>0</v>
      </c>
      <c r="AS1338" s="77">
        <f t="shared" si="4297"/>
        <v>0</v>
      </c>
      <c r="AT1338" s="77">
        <f t="shared" si="4298"/>
        <v>0</v>
      </c>
      <c r="AU1338" s="77">
        <f t="shared" si="4299"/>
        <v>2.5000000000000001E-3</v>
      </c>
      <c r="AV1338" s="77">
        <f t="shared" si="4300"/>
        <v>2.0809499864316017E-4</v>
      </c>
    </row>
    <row r="1339" spans="1:48">
      <c r="A1339" t="s">
        <v>175</v>
      </c>
      <c r="B1339" t="s">
        <v>180</v>
      </c>
      <c r="C1339" s="197" t="str">
        <f t="shared" si="4321"/>
        <v>Lifecycle_Opportunity_290</v>
      </c>
      <c r="D1339">
        <v>290</v>
      </c>
      <c r="E1339">
        <f>VLOOKUP($D1339,'[2]LC Opportunity'!$Q$2:$U$542,2,FALSE)</f>
        <v>0</v>
      </c>
      <c r="F1339">
        <f>VLOOKUP($D1339,'[2]LC Opportunity'!$Q$2:$U$542,3,FALSE)</f>
        <v>0</v>
      </c>
      <c r="G1339">
        <f>VLOOKUP($D1339,'[2]LC Opportunity'!$Q$2:$U$542,4,FALSE)</f>
        <v>0</v>
      </c>
      <c r="H1339">
        <f>VLOOKUP($D1339,'[2]LC Opportunity'!$Q$2:$U$542,5,FALSE)</f>
        <v>0.99999999999999989</v>
      </c>
      <c r="I1339" s="77">
        <f t="shared" si="4281"/>
        <v>0.99999999999999989</v>
      </c>
      <c r="J1339" s="77">
        <f t="shared" si="4282"/>
        <v>7.1999999999999981E-2</v>
      </c>
      <c r="K1339" s="77">
        <f t="shared" si="4326"/>
        <v>5.8106552987937654E-3</v>
      </c>
      <c r="L1339" s="76">
        <v>0</v>
      </c>
      <c r="M1339" s="77">
        <f t="shared" si="4288"/>
        <v>0</v>
      </c>
      <c r="N1339" s="77">
        <f t="shared" si="4289"/>
        <v>0</v>
      </c>
      <c r="O1339" s="77">
        <f t="shared" si="4290"/>
        <v>4.9999999999999992E-3</v>
      </c>
      <c r="P1339" s="77">
        <f t="shared" si="4291"/>
        <v>4.1762458919303302E-4</v>
      </c>
      <c r="R1339" t="s">
        <v>177</v>
      </c>
      <c r="S1339" t="s">
        <v>180</v>
      </c>
      <c r="T1339" s="197" t="str">
        <f t="shared" si="4322"/>
        <v>Autopilot_Opportunity_290</v>
      </c>
      <c r="U1339">
        <v>290</v>
      </c>
      <c r="V1339">
        <f>VLOOKUP($U1339,'[2]AP Opportunity'!$Q$1:$T$542,2,FALSE)</f>
        <v>0.99999997777777772</v>
      </c>
      <c r="W1339">
        <f>VLOOKUP($U1339,'[2]AP Opportunity'!$Q$1:$T$542,3,FALSE)</f>
        <v>2.2222222284540294E-8</v>
      </c>
      <c r="X1339">
        <f>VLOOKUP($U1339,'[2]AP Opportunity'!$Q$1:$T$542,4,FALSE)</f>
        <v>0</v>
      </c>
      <c r="Y1339" s="77">
        <f t="shared" si="4323"/>
        <v>1</v>
      </c>
      <c r="Z1339" s="77">
        <f t="shared" si="4327"/>
        <v>6.4624999704999977E-2</v>
      </c>
      <c r="AA1339" s="77">
        <f t="shared" si="4328"/>
        <v>5.2321923767311151E-3</v>
      </c>
      <c r="AB1339" s="79">
        <v>1</v>
      </c>
      <c r="AC1339" s="77">
        <f t="shared" si="4292"/>
        <v>8.499999955555556E-3</v>
      </c>
      <c r="AD1339" s="77">
        <f t="shared" ref="AD1339" si="4419">1-(1-AC1339)^(1/12)</f>
        <v>7.1110795759765644E-4</v>
      </c>
      <c r="AE1339" s="77">
        <f t="shared" si="4294"/>
        <v>2.5000000000000001E-3</v>
      </c>
      <c r="AF1339" s="77">
        <f t="shared" ref="AF1339" si="4420">1-(1-AE1339)^(1/12)</f>
        <v>2.0857243058891584E-4</v>
      </c>
      <c r="AH1339" t="s">
        <v>175</v>
      </c>
      <c r="AI1339" t="s">
        <v>180</v>
      </c>
      <c r="AJ1339" s="197" t="str">
        <f t="shared" si="4285"/>
        <v>Lifecycle_Opportunity_290</v>
      </c>
      <c r="AK1339">
        <v>290</v>
      </c>
      <c r="AL1339">
        <f>VLOOKUP($U1339,[2]Standard_Opportunity!$Q$1:$T$542,2,FALSE)</f>
        <v>0.99999997777777772</v>
      </c>
      <c r="AM1339">
        <f>VLOOKUP($U1339,[2]Standard_Opportunity!$Q$1:$T$542,3,FALSE)</f>
        <v>2.2222222284540294E-8</v>
      </c>
      <c r="AN1339">
        <f>VLOOKUP($U1339,[2]Standard_Opportunity!$Q$1:$T$542,4,FALSE)</f>
        <v>0</v>
      </c>
      <c r="AO1339" s="77">
        <f t="shared" si="4286"/>
        <v>1</v>
      </c>
      <c r="AP1339" s="77">
        <f t="shared" si="4296"/>
        <v>6.4624999704999977E-2</v>
      </c>
      <c r="AQ1339" s="77">
        <f t="shared" si="4287"/>
        <v>5.2321923767311151E-3</v>
      </c>
      <c r="AR1339" s="79">
        <v>0</v>
      </c>
      <c r="AS1339" s="77">
        <f t="shared" si="4297"/>
        <v>0</v>
      </c>
      <c r="AT1339" s="77">
        <f t="shared" si="4298"/>
        <v>0</v>
      </c>
      <c r="AU1339" s="77">
        <f t="shared" si="4299"/>
        <v>2.5000000000000001E-3</v>
      </c>
      <c r="AV1339" s="77">
        <f t="shared" si="4300"/>
        <v>2.0809499864316017E-4</v>
      </c>
    </row>
    <row r="1340" spans="1:48">
      <c r="A1340" t="s">
        <v>175</v>
      </c>
      <c r="B1340" t="s">
        <v>180</v>
      </c>
      <c r="C1340" s="197" t="str">
        <f t="shared" si="4321"/>
        <v>Lifecycle_Opportunity_289</v>
      </c>
      <c r="D1340">
        <v>289</v>
      </c>
      <c r="E1340">
        <f>VLOOKUP($D1340,'[2]LC Opportunity'!$Q$2:$U$542,2,FALSE)</f>
        <v>0</v>
      </c>
      <c r="F1340">
        <f>VLOOKUP($D1340,'[2]LC Opportunity'!$Q$2:$U$542,3,FALSE)</f>
        <v>0</v>
      </c>
      <c r="G1340">
        <f>VLOOKUP($D1340,'[2]LC Opportunity'!$Q$2:$U$542,4,FALSE)</f>
        <v>0</v>
      </c>
      <c r="H1340">
        <f>VLOOKUP($D1340,'[2]LC Opportunity'!$Q$2:$U$542,5,FALSE)</f>
        <v>0.99999999999999989</v>
      </c>
      <c r="I1340" s="77">
        <f t="shared" si="4281"/>
        <v>0.99999999999999989</v>
      </c>
      <c r="J1340" s="77">
        <f t="shared" si="4282"/>
        <v>7.1999999999999981E-2</v>
      </c>
      <c r="K1340" s="77">
        <f t="shared" si="4326"/>
        <v>5.8106552987937654E-3</v>
      </c>
      <c r="L1340" s="76">
        <v>0</v>
      </c>
      <c r="M1340" s="77">
        <f t="shared" si="4288"/>
        <v>0</v>
      </c>
      <c r="N1340" s="77">
        <f t="shared" si="4289"/>
        <v>0</v>
      </c>
      <c r="O1340" s="77">
        <f t="shared" si="4290"/>
        <v>4.9999999999999992E-3</v>
      </c>
      <c r="P1340" s="77">
        <f t="shared" si="4291"/>
        <v>4.1762458919303302E-4</v>
      </c>
      <c r="R1340" t="s">
        <v>177</v>
      </c>
      <c r="S1340" t="s">
        <v>180</v>
      </c>
      <c r="T1340" s="197" t="str">
        <f t="shared" si="4322"/>
        <v>Autopilot_Opportunity_289</v>
      </c>
      <c r="U1340">
        <v>289</v>
      </c>
      <c r="V1340">
        <f>VLOOKUP($U1340,'[2]AP Opportunity'!$Q$1:$T$542,2,FALSE)</f>
        <v>0.99999997777777772</v>
      </c>
      <c r="W1340">
        <f>VLOOKUP($U1340,'[2]AP Opportunity'!$Q$1:$T$542,3,FALSE)</f>
        <v>2.2222222284540294E-8</v>
      </c>
      <c r="X1340">
        <f>VLOOKUP($U1340,'[2]AP Opportunity'!$Q$1:$T$542,4,FALSE)</f>
        <v>0</v>
      </c>
      <c r="Y1340" s="77">
        <f t="shared" si="4323"/>
        <v>1</v>
      </c>
      <c r="Z1340" s="77">
        <f t="shared" si="4327"/>
        <v>6.4624999704999977E-2</v>
      </c>
      <c r="AA1340" s="77">
        <f t="shared" si="4328"/>
        <v>5.2321923767311151E-3</v>
      </c>
      <c r="AB1340" s="79">
        <v>1</v>
      </c>
      <c r="AC1340" s="77">
        <f t="shared" si="4292"/>
        <v>8.499999955555556E-3</v>
      </c>
      <c r="AD1340" s="77">
        <f t="shared" ref="AD1340" si="4421">1-(1-AC1340)^(1/12)</f>
        <v>7.1110795759765644E-4</v>
      </c>
      <c r="AE1340" s="77">
        <f t="shared" si="4294"/>
        <v>2.5000000000000001E-3</v>
      </c>
      <c r="AF1340" s="77">
        <f t="shared" ref="AF1340" si="4422">1-(1-AE1340)^(1/12)</f>
        <v>2.0857243058891584E-4</v>
      </c>
      <c r="AH1340" t="s">
        <v>175</v>
      </c>
      <c r="AI1340" t="s">
        <v>180</v>
      </c>
      <c r="AJ1340" s="197" t="str">
        <f t="shared" si="4285"/>
        <v>Lifecycle_Opportunity_289</v>
      </c>
      <c r="AK1340">
        <v>289</v>
      </c>
      <c r="AL1340">
        <f>VLOOKUP($U1340,[2]Standard_Opportunity!$Q$1:$T$542,2,FALSE)</f>
        <v>0.99999997777777772</v>
      </c>
      <c r="AM1340">
        <f>VLOOKUP($U1340,[2]Standard_Opportunity!$Q$1:$T$542,3,FALSE)</f>
        <v>2.2222222284540294E-8</v>
      </c>
      <c r="AN1340">
        <f>VLOOKUP($U1340,[2]Standard_Opportunity!$Q$1:$T$542,4,FALSE)</f>
        <v>0</v>
      </c>
      <c r="AO1340" s="77">
        <f t="shared" si="4286"/>
        <v>1</v>
      </c>
      <c r="AP1340" s="77">
        <f t="shared" si="4296"/>
        <v>6.4624999704999977E-2</v>
      </c>
      <c r="AQ1340" s="77">
        <f t="shared" si="4287"/>
        <v>5.2321923767311151E-3</v>
      </c>
      <c r="AR1340" s="79">
        <v>0</v>
      </c>
      <c r="AS1340" s="77">
        <f t="shared" si="4297"/>
        <v>0</v>
      </c>
      <c r="AT1340" s="77">
        <f t="shared" si="4298"/>
        <v>0</v>
      </c>
      <c r="AU1340" s="77">
        <f t="shared" si="4299"/>
        <v>2.5000000000000001E-3</v>
      </c>
      <c r="AV1340" s="77">
        <f t="shared" si="4300"/>
        <v>2.0809499864316017E-4</v>
      </c>
    </row>
    <row r="1341" spans="1:48">
      <c r="A1341" t="s">
        <v>175</v>
      </c>
      <c r="B1341" t="s">
        <v>180</v>
      </c>
      <c r="C1341" s="197" t="str">
        <f t="shared" si="4321"/>
        <v>Lifecycle_Opportunity_288</v>
      </c>
      <c r="D1341">
        <v>288</v>
      </c>
      <c r="E1341">
        <f>VLOOKUP($D1341,'[2]LC Opportunity'!$Q$2:$U$542,2,FALSE)</f>
        <v>0</v>
      </c>
      <c r="F1341">
        <f>VLOOKUP($D1341,'[2]LC Opportunity'!$Q$2:$U$542,3,FALSE)</f>
        <v>0</v>
      </c>
      <c r="G1341">
        <f>VLOOKUP($D1341,'[2]LC Opportunity'!$Q$2:$U$542,4,FALSE)</f>
        <v>0</v>
      </c>
      <c r="H1341">
        <f>VLOOKUP($D1341,'[2]LC Opportunity'!$Q$2:$U$542,5,FALSE)</f>
        <v>0.99999999999999989</v>
      </c>
      <c r="I1341" s="77">
        <f t="shared" si="4281"/>
        <v>0.99999999999999989</v>
      </c>
      <c r="J1341" s="77">
        <f t="shared" si="4282"/>
        <v>7.1999999999999981E-2</v>
      </c>
      <c r="K1341" s="77">
        <f t="shared" si="4326"/>
        <v>5.8106552987937654E-3</v>
      </c>
      <c r="L1341" s="76">
        <v>0</v>
      </c>
      <c r="M1341" s="77">
        <f t="shared" si="4288"/>
        <v>0</v>
      </c>
      <c r="N1341" s="77">
        <f t="shared" si="4289"/>
        <v>0</v>
      </c>
      <c r="O1341" s="77">
        <f t="shared" si="4290"/>
        <v>4.9999999999999992E-3</v>
      </c>
      <c r="P1341" s="77">
        <f t="shared" si="4291"/>
        <v>4.1762458919303302E-4</v>
      </c>
      <c r="R1341" t="s">
        <v>177</v>
      </c>
      <c r="S1341" t="s">
        <v>180</v>
      </c>
      <c r="T1341" s="197" t="str">
        <f t="shared" si="4322"/>
        <v>Autopilot_Opportunity_288</v>
      </c>
      <c r="U1341">
        <v>288</v>
      </c>
      <c r="V1341">
        <f>VLOOKUP($U1341,'[2]AP Opportunity'!$Q$1:$T$542,2,FALSE)</f>
        <v>0.99999997777777772</v>
      </c>
      <c r="W1341">
        <f>VLOOKUP($U1341,'[2]AP Opportunity'!$Q$1:$T$542,3,FALSE)</f>
        <v>2.2222222284540294E-8</v>
      </c>
      <c r="X1341">
        <f>VLOOKUP($U1341,'[2]AP Opportunity'!$Q$1:$T$542,4,FALSE)</f>
        <v>0</v>
      </c>
      <c r="Y1341" s="77">
        <f t="shared" si="4323"/>
        <v>1</v>
      </c>
      <c r="Z1341" s="77">
        <f t="shared" si="4327"/>
        <v>6.4624999704999977E-2</v>
      </c>
      <c r="AA1341" s="77">
        <f t="shared" si="4328"/>
        <v>5.2321923767311151E-3</v>
      </c>
      <c r="AB1341" s="79">
        <v>1</v>
      </c>
      <c r="AC1341" s="77">
        <f t="shared" si="4292"/>
        <v>8.499999955555556E-3</v>
      </c>
      <c r="AD1341" s="77">
        <f t="shared" ref="AD1341" si="4423">1-(1-AC1341)^(1/12)</f>
        <v>7.1110795759765644E-4</v>
      </c>
      <c r="AE1341" s="77">
        <f t="shared" si="4294"/>
        <v>2.5000000000000001E-3</v>
      </c>
      <c r="AF1341" s="77">
        <f t="shared" ref="AF1341" si="4424">1-(1-AE1341)^(1/12)</f>
        <v>2.0857243058891584E-4</v>
      </c>
      <c r="AH1341" t="s">
        <v>175</v>
      </c>
      <c r="AI1341" t="s">
        <v>180</v>
      </c>
      <c r="AJ1341" s="197" t="str">
        <f t="shared" si="4285"/>
        <v>Lifecycle_Opportunity_288</v>
      </c>
      <c r="AK1341">
        <v>288</v>
      </c>
      <c r="AL1341">
        <f>VLOOKUP($U1341,[2]Standard_Opportunity!$Q$1:$T$542,2,FALSE)</f>
        <v>0.99999997777777772</v>
      </c>
      <c r="AM1341">
        <f>VLOOKUP($U1341,[2]Standard_Opportunity!$Q$1:$T$542,3,FALSE)</f>
        <v>2.2222222284540294E-8</v>
      </c>
      <c r="AN1341">
        <f>VLOOKUP($U1341,[2]Standard_Opportunity!$Q$1:$T$542,4,FALSE)</f>
        <v>0</v>
      </c>
      <c r="AO1341" s="77">
        <f t="shared" si="4286"/>
        <v>1</v>
      </c>
      <c r="AP1341" s="77">
        <f t="shared" si="4296"/>
        <v>6.4624999704999977E-2</v>
      </c>
      <c r="AQ1341" s="77">
        <f t="shared" si="4287"/>
        <v>5.2321923767311151E-3</v>
      </c>
      <c r="AR1341" s="79">
        <v>0</v>
      </c>
      <c r="AS1341" s="77">
        <f t="shared" si="4297"/>
        <v>0</v>
      </c>
      <c r="AT1341" s="77">
        <f t="shared" si="4298"/>
        <v>0</v>
      </c>
      <c r="AU1341" s="77">
        <f t="shared" si="4299"/>
        <v>2.5000000000000001E-3</v>
      </c>
      <c r="AV1341" s="77">
        <f t="shared" si="4300"/>
        <v>2.0809499864316017E-4</v>
      </c>
    </row>
    <row r="1342" spans="1:48">
      <c r="A1342" t="s">
        <v>175</v>
      </c>
      <c r="B1342" t="s">
        <v>180</v>
      </c>
      <c r="C1342" s="197" t="str">
        <f t="shared" si="4321"/>
        <v>Lifecycle_Opportunity_287</v>
      </c>
      <c r="D1342">
        <v>287</v>
      </c>
      <c r="E1342">
        <f>VLOOKUP($D1342,'[2]LC Opportunity'!$Q$2:$U$542,2,FALSE)</f>
        <v>0</v>
      </c>
      <c r="F1342">
        <f>VLOOKUP($D1342,'[2]LC Opportunity'!$Q$2:$U$542,3,FALSE)</f>
        <v>0</v>
      </c>
      <c r="G1342">
        <f>VLOOKUP($D1342,'[2]LC Opportunity'!$Q$2:$U$542,4,FALSE)</f>
        <v>0</v>
      </c>
      <c r="H1342">
        <f>VLOOKUP($D1342,'[2]LC Opportunity'!$Q$2:$U$542,5,FALSE)</f>
        <v>0.99999999999999989</v>
      </c>
      <c r="I1342" s="77">
        <f t="shared" si="4281"/>
        <v>0.99999999999999989</v>
      </c>
      <c r="J1342" s="77">
        <f t="shared" si="4282"/>
        <v>7.1999999999999981E-2</v>
      </c>
      <c r="K1342" s="77">
        <f t="shared" si="4326"/>
        <v>5.8106552987937654E-3</v>
      </c>
      <c r="L1342" s="76">
        <v>0</v>
      </c>
      <c r="M1342" s="77">
        <f t="shared" si="4288"/>
        <v>0</v>
      </c>
      <c r="N1342" s="77">
        <f t="shared" si="4289"/>
        <v>0</v>
      </c>
      <c r="O1342" s="77">
        <f t="shared" si="4290"/>
        <v>4.9999999999999992E-3</v>
      </c>
      <c r="P1342" s="77">
        <f t="shared" si="4291"/>
        <v>4.1762458919303302E-4</v>
      </c>
      <c r="R1342" t="s">
        <v>177</v>
      </c>
      <c r="S1342" t="s">
        <v>180</v>
      </c>
      <c r="T1342" s="197" t="str">
        <f t="shared" si="4322"/>
        <v>Autopilot_Opportunity_287</v>
      </c>
      <c r="U1342">
        <v>287</v>
      </c>
      <c r="V1342">
        <f>VLOOKUP($U1342,'[2]AP Opportunity'!$Q$1:$T$542,2,FALSE)</f>
        <v>0.99999997777777772</v>
      </c>
      <c r="W1342">
        <f>VLOOKUP($U1342,'[2]AP Opportunity'!$Q$1:$T$542,3,FALSE)</f>
        <v>2.2222222284540294E-8</v>
      </c>
      <c r="X1342">
        <f>VLOOKUP($U1342,'[2]AP Opportunity'!$Q$1:$T$542,4,FALSE)</f>
        <v>0</v>
      </c>
      <c r="Y1342" s="77">
        <f t="shared" si="4323"/>
        <v>1</v>
      </c>
      <c r="Z1342" s="77">
        <f t="shared" si="4327"/>
        <v>6.4624999704999977E-2</v>
      </c>
      <c r="AA1342" s="77">
        <f t="shared" si="4328"/>
        <v>5.2321923767311151E-3</v>
      </c>
      <c r="AB1342" s="79">
        <v>1</v>
      </c>
      <c r="AC1342" s="77">
        <f t="shared" si="4292"/>
        <v>8.499999955555556E-3</v>
      </c>
      <c r="AD1342" s="77">
        <f t="shared" ref="AD1342" si="4425">1-(1-AC1342)^(1/12)</f>
        <v>7.1110795759765644E-4</v>
      </c>
      <c r="AE1342" s="77">
        <f t="shared" si="4294"/>
        <v>2.5000000000000001E-3</v>
      </c>
      <c r="AF1342" s="77">
        <f t="shared" ref="AF1342" si="4426">1-(1-AE1342)^(1/12)</f>
        <v>2.0857243058891584E-4</v>
      </c>
      <c r="AH1342" t="s">
        <v>175</v>
      </c>
      <c r="AI1342" t="s">
        <v>180</v>
      </c>
      <c r="AJ1342" s="197" t="str">
        <f t="shared" si="4285"/>
        <v>Lifecycle_Opportunity_287</v>
      </c>
      <c r="AK1342">
        <v>287</v>
      </c>
      <c r="AL1342">
        <f>VLOOKUP($U1342,[2]Standard_Opportunity!$Q$1:$T$542,2,FALSE)</f>
        <v>0.99999997777777772</v>
      </c>
      <c r="AM1342">
        <f>VLOOKUP($U1342,[2]Standard_Opportunity!$Q$1:$T$542,3,FALSE)</f>
        <v>2.2222222284540294E-8</v>
      </c>
      <c r="AN1342">
        <f>VLOOKUP($U1342,[2]Standard_Opportunity!$Q$1:$T$542,4,FALSE)</f>
        <v>0</v>
      </c>
      <c r="AO1342" s="77">
        <f t="shared" si="4286"/>
        <v>1</v>
      </c>
      <c r="AP1342" s="77">
        <f t="shared" si="4296"/>
        <v>6.4624999704999977E-2</v>
      </c>
      <c r="AQ1342" s="77">
        <f t="shared" si="4287"/>
        <v>5.2321923767311151E-3</v>
      </c>
      <c r="AR1342" s="79">
        <v>0</v>
      </c>
      <c r="AS1342" s="77">
        <f t="shared" si="4297"/>
        <v>0</v>
      </c>
      <c r="AT1342" s="77">
        <f t="shared" si="4298"/>
        <v>0</v>
      </c>
      <c r="AU1342" s="77">
        <f t="shared" si="4299"/>
        <v>2.5000000000000001E-3</v>
      </c>
      <c r="AV1342" s="77">
        <f t="shared" si="4300"/>
        <v>2.0809499864316017E-4</v>
      </c>
    </row>
    <row r="1343" spans="1:48">
      <c r="A1343" t="s">
        <v>175</v>
      </c>
      <c r="B1343" t="s">
        <v>180</v>
      </c>
      <c r="C1343" s="197" t="str">
        <f t="shared" si="4321"/>
        <v>Lifecycle_Opportunity_286</v>
      </c>
      <c r="D1343">
        <v>286</v>
      </c>
      <c r="E1343">
        <f>VLOOKUP($D1343,'[2]LC Opportunity'!$Q$2:$U$542,2,FALSE)</f>
        <v>0</v>
      </c>
      <c r="F1343">
        <f>VLOOKUP($D1343,'[2]LC Opportunity'!$Q$2:$U$542,3,FALSE)</f>
        <v>0</v>
      </c>
      <c r="G1343">
        <f>VLOOKUP($D1343,'[2]LC Opportunity'!$Q$2:$U$542,4,FALSE)</f>
        <v>0</v>
      </c>
      <c r="H1343">
        <f>VLOOKUP($D1343,'[2]LC Opportunity'!$Q$2:$U$542,5,FALSE)</f>
        <v>0.99999999999999989</v>
      </c>
      <c r="I1343" s="77">
        <f t="shared" si="4281"/>
        <v>0.99999999999999989</v>
      </c>
      <c r="J1343" s="77">
        <f t="shared" si="4282"/>
        <v>7.1999999999999981E-2</v>
      </c>
      <c r="K1343" s="77">
        <f t="shared" si="4326"/>
        <v>5.8106552987937654E-3</v>
      </c>
      <c r="L1343" s="76">
        <v>0</v>
      </c>
      <c r="M1343" s="77">
        <f t="shared" si="4288"/>
        <v>0</v>
      </c>
      <c r="N1343" s="77">
        <f t="shared" si="4289"/>
        <v>0</v>
      </c>
      <c r="O1343" s="77">
        <f t="shared" si="4290"/>
        <v>4.9999999999999992E-3</v>
      </c>
      <c r="P1343" s="77">
        <f t="shared" si="4291"/>
        <v>4.1762458919303302E-4</v>
      </c>
      <c r="R1343" t="s">
        <v>177</v>
      </c>
      <c r="S1343" t="s">
        <v>180</v>
      </c>
      <c r="T1343" s="197" t="str">
        <f t="shared" si="4322"/>
        <v>Autopilot_Opportunity_286</v>
      </c>
      <c r="U1343">
        <v>286</v>
      </c>
      <c r="V1343">
        <f>VLOOKUP($U1343,'[2]AP Opportunity'!$Q$1:$T$542,2,FALSE)</f>
        <v>0.99999997777777772</v>
      </c>
      <c r="W1343">
        <f>VLOOKUP($U1343,'[2]AP Opportunity'!$Q$1:$T$542,3,FALSE)</f>
        <v>2.2222222284540294E-8</v>
      </c>
      <c r="X1343">
        <f>VLOOKUP($U1343,'[2]AP Opportunity'!$Q$1:$T$542,4,FALSE)</f>
        <v>0</v>
      </c>
      <c r="Y1343" s="77">
        <f t="shared" si="4323"/>
        <v>1</v>
      </c>
      <c r="Z1343" s="77">
        <f t="shared" si="4327"/>
        <v>6.4624999704999977E-2</v>
      </c>
      <c r="AA1343" s="77">
        <f t="shared" si="4328"/>
        <v>5.2321923767311151E-3</v>
      </c>
      <c r="AB1343" s="79">
        <v>1</v>
      </c>
      <c r="AC1343" s="77">
        <f t="shared" si="4292"/>
        <v>8.499999955555556E-3</v>
      </c>
      <c r="AD1343" s="77">
        <f t="shared" ref="AD1343" si="4427">1-(1-AC1343)^(1/12)</f>
        <v>7.1110795759765644E-4</v>
      </c>
      <c r="AE1343" s="77">
        <f t="shared" si="4294"/>
        <v>2.5000000000000001E-3</v>
      </c>
      <c r="AF1343" s="77">
        <f t="shared" ref="AF1343" si="4428">1-(1-AE1343)^(1/12)</f>
        <v>2.0857243058891584E-4</v>
      </c>
      <c r="AH1343" t="s">
        <v>175</v>
      </c>
      <c r="AI1343" t="s">
        <v>180</v>
      </c>
      <c r="AJ1343" s="197" t="str">
        <f t="shared" si="4285"/>
        <v>Lifecycle_Opportunity_286</v>
      </c>
      <c r="AK1343">
        <v>286</v>
      </c>
      <c r="AL1343">
        <f>VLOOKUP($U1343,[2]Standard_Opportunity!$Q$1:$T$542,2,FALSE)</f>
        <v>0.99999997777777772</v>
      </c>
      <c r="AM1343">
        <f>VLOOKUP($U1343,[2]Standard_Opportunity!$Q$1:$T$542,3,FALSE)</f>
        <v>2.2222222284540294E-8</v>
      </c>
      <c r="AN1343">
        <f>VLOOKUP($U1343,[2]Standard_Opportunity!$Q$1:$T$542,4,FALSE)</f>
        <v>0</v>
      </c>
      <c r="AO1343" s="77">
        <f t="shared" si="4286"/>
        <v>1</v>
      </c>
      <c r="AP1343" s="77">
        <f t="shared" si="4296"/>
        <v>6.4624999704999977E-2</v>
      </c>
      <c r="AQ1343" s="77">
        <f t="shared" si="4287"/>
        <v>5.2321923767311151E-3</v>
      </c>
      <c r="AR1343" s="79">
        <v>0</v>
      </c>
      <c r="AS1343" s="77">
        <f t="shared" si="4297"/>
        <v>0</v>
      </c>
      <c r="AT1343" s="77">
        <f t="shared" si="4298"/>
        <v>0</v>
      </c>
      <c r="AU1343" s="77">
        <f t="shared" si="4299"/>
        <v>2.5000000000000001E-3</v>
      </c>
      <c r="AV1343" s="77">
        <f t="shared" si="4300"/>
        <v>2.0809499864316017E-4</v>
      </c>
    </row>
    <row r="1344" spans="1:48">
      <c r="A1344" t="s">
        <v>175</v>
      </c>
      <c r="B1344" t="s">
        <v>180</v>
      </c>
      <c r="C1344" s="197" t="str">
        <f t="shared" si="4321"/>
        <v>Lifecycle_Opportunity_285</v>
      </c>
      <c r="D1344">
        <v>285</v>
      </c>
      <c r="E1344">
        <f>VLOOKUP($D1344,'[2]LC Opportunity'!$Q$2:$U$542,2,FALSE)</f>
        <v>0</v>
      </c>
      <c r="F1344">
        <f>VLOOKUP($D1344,'[2]LC Opportunity'!$Q$2:$U$542,3,FALSE)</f>
        <v>0</v>
      </c>
      <c r="G1344">
        <f>VLOOKUP($D1344,'[2]LC Opportunity'!$Q$2:$U$542,4,FALSE)</f>
        <v>0</v>
      </c>
      <c r="H1344">
        <f>VLOOKUP($D1344,'[2]LC Opportunity'!$Q$2:$U$542,5,FALSE)</f>
        <v>0.99999999999999989</v>
      </c>
      <c r="I1344" s="77">
        <f t="shared" si="4281"/>
        <v>0.99999999999999989</v>
      </c>
      <c r="J1344" s="77">
        <f t="shared" si="4282"/>
        <v>7.1999999999999981E-2</v>
      </c>
      <c r="K1344" s="77">
        <f t="shared" si="4326"/>
        <v>5.8106552987937654E-3</v>
      </c>
      <c r="L1344" s="76">
        <v>0</v>
      </c>
      <c r="M1344" s="77">
        <f t="shared" si="4288"/>
        <v>0</v>
      </c>
      <c r="N1344" s="77">
        <f t="shared" si="4289"/>
        <v>0</v>
      </c>
      <c r="O1344" s="77">
        <f t="shared" si="4290"/>
        <v>4.9999999999999992E-3</v>
      </c>
      <c r="P1344" s="77">
        <f t="shared" si="4291"/>
        <v>4.1762458919303302E-4</v>
      </c>
      <c r="R1344" t="s">
        <v>177</v>
      </c>
      <c r="S1344" t="s">
        <v>180</v>
      </c>
      <c r="T1344" s="197" t="str">
        <f t="shared" si="4322"/>
        <v>Autopilot_Opportunity_285</v>
      </c>
      <c r="U1344">
        <v>285</v>
      </c>
      <c r="V1344">
        <f>VLOOKUP($U1344,'[2]AP Opportunity'!$Q$1:$T$542,2,FALSE)</f>
        <v>0.99999997777777772</v>
      </c>
      <c r="W1344">
        <f>VLOOKUP($U1344,'[2]AP Opportunity'!$Q$1:$T$542,3,FALSE)</f>
        <v>2.2222222284540294E-8</v>
      </c>
      <c r="X1344">
        <f>VLOOKUP($U1344,'[2]AP Opportunity'!$Q$1:$T$542,4,FALSE)</f>
        <v>0</v>
      </c>
      <c r="Y1344" s="77">
        <f t="shared" si="4323"/>
        <v>1</v>
      </c>
      <c r="Z1344" s="77">
        <f t="shared" si="4327"/>
        <v>6.4624999704999977E-2</v>
      </c>
      <c r="AA1344" s="77">
        <f t="shared" si="4328"/>
        <v>5.2321923767311151E-3</v>
      </c>
      <c r="AB1344" s="79">
        <v>1</v>
      </c>
      <c r="AC1344" s="77">
        <f t="shared" si="4292"/>
        <v>8.499999955555556E-3</v>
      </c>
      <c r="AD1344" s="77">
        <f t="shared" ref="AD1344" si="4429">1-(1-AC1344)^(1/12)</f>
        <v>7.1110795759765644E-4</v>
      </c>
      <c r="AE1344" s="77">
        <f t="shared" si="4294"/>
        <v>2.5000000000000001E-3</v>
      </c>
      <c r="AF1344" s="77">
        <f t="shared" ref="AF1344" si="4430">1-(1-AE1344)^(1/12)</f>
        <v>2.0857243058891584E-4</v>
      </c>
      <c r="AH1344" t="s">
        <v>175</v>
      </c>
      <c r="AI1344" t="s">
        <v>180</v>
      </c>
      <c r="AJ1344" s="197" t="str">
        <f t="shared" si="4285"/>
        <v>Lifecycle_Opportunity_285</v>
      </c>
      <c r="AK1344">
        <v>285</v>
      </c>
      <c r="AL1344">
        <f>VLOOKUP($U1344,[2]Standard_Opportunity!$Q$1:$T$542,2,FALSE)</f>
        <v>0.99999997777777772</v>
      </c>
      <c r="AM1344">
        <f>VLOOKUP($U1344,[2]Standard_Opportunity!$Q$1:$T$542,3,FALSE)</f>
        <v>2.2222222284540294E-8</v>
      </c>
      <c r="AN1344">
        <f>VLOOKUP($U1344,[2]Standard_Opportunity!$Q$1:$T$542,4,FALSE)</f>
        <v>0</v>
      </c>
      <c r="AO1344" s="77">
        <f t="shared" si="4286"/>
        <v>1</v>
      </c>
      <c r="AP1344" s="77">
        <f t="shared" si="4296"/>
        <v>6.4624999704999977E-2</v>
      </c>
      <c r="AQ1344" s="77">
        <f t="shared" si="4287"/>
        <v>5.2321923767311151E-3</v>
      </c>
      <c r="AR1344" s="79">
        <v>0</v>
      </c>
      <c r="AS1344" s="77">
        <f t="shared" si="4297"/>
        <v>0</v>
      </c>
      <c r="AT1344" s="77">
        <f t="shared" si="4298"/>
        <v>0</v>
      </c>
      <c r="AU1344" s="77">
        <f t="shared" si="4299"/>
        <v>2.5000000000000001E-3</v>
      </c>
      <c r="AV1344" s="77">
        <f t="shared" si="4300"/>
        <v>2.0809499864316017E-4</v>
      </c>
    </row>
    <row r="1345" spans="1:48">
      <c r="A1345" t="s">
        <v>175</v>
      </c>
      <c r="B1345" t="s">
        <v>180</v>
      </c>
      <c r="C1345" s="197" t="str">
        <f t="shared" si="4321"/>
        <v>Lifecycle_Opportunity_284</v>
      </c>
      <c r="D1345">
        <v>284</v>
      </c>
      <c r="E1345">
        <f>VLOOKUP($D1345,'[2]LC Opportunity'!$Q$2:$U$542,2,FALSE)</f>
        <v>0</v>
      </c>
      <c r="F1345">
        <f>VLOOKUP($D1345,'[2]LC Opportunity'!$Q$2:$U$542,3,FALSE)</f>
        <v>0</v>
      </c>
      <c r="G1345">
        <f>VLOOKUP($D1345,'[2]LC Opportunity'!$Q$2:$U$542,4,FALSE)</f>
        <v>0</v>
      </c>
      <c r="H1345">
        <f>VLOOKUP($D1345,'[2]LC Opportunity'!$Q$2:$U$542,5,FALSE)</f>
        <v>0.99999999999999989</v>
      </c>
      <c r="I1345" s="77">
        <f t="shared" ref="I1345:I1408" si="4431">SUM(E1345:H1345)</f>
        <v>0.99999999999999989</v>
      </c>
      <c r="J1345" s="77">
        <f t="shared" ref="J1345:J1408" si="4432">SUMPRODUCT($E$1:$H$1,E1345:H1345)</f>
        <v>7.1999999999999981E-2</v>
      </c>
      <c r="K1345" s="77">
        <f t="shared" si="4326"/>
        <v>5.8106552987937654E-3</v>
      </c>
      <c r="L1345" s="76">
        <v>0</v>
      </c>
      <c r="M1345" s="77">
        <f t="shared" si="4288"/>
        <v>0</v>
      </c>
      <c r="N1345" s="77">
        <f t="shared" si="4289"/>
        <v>0</v>
      </c>
      <c r="O1345" s="77">
        <f t="shared" si="4290"/>
        <v>4.9999999999999992E-3</v>
      </c>
      <c r="P1345" s="77">
        <f t="shared" si="4291"/>
        <v>4.1762458919303302E-4</v>
      </c>
      <c r="R1345" t="s">
        <v>177</v>
      </c>
      <c r="S1345" t="s">
        <v>180</v>
      </c>
      <c r="T1345" s="197" t="str">
        <f t="shared" si="4322"/>
        <v>Autopilot_Opportunity_284</v>
      </c>
      <c r="U1345">
        <v>284</v>
      </c>
      <c r="V1345">
        <f>VLOOKUP($U1345,'[2]AP Opportunity'!$Q$1:$T$542,2,FALSE)</f>
        <v>0.99999997777777772</v>
      </c>
      <c r="W1345">
        <f>VLOOKUP($U1345,'[2]AP Opportunity'!$Q$1:$T$542,3,FALSE)</f>
        <v>2.2222222284540294E-8</v>
      </c>
      <c r="X1345">
        <f>VLOOKUP($U1345,'[2]AP Opportunity'!$Q$1:$T$542,4,FALSE)</f>
        <v>0</v>
      </c>
      <c r="Y1345" s="77">
        <f t="shared" si="4323"/>
        <v>1</v>
      </c>
      <c r="Z1345" s="77">
        <f t="shared" si="4327"/>
        <v>6.4624999704999977E-2</v>
      </c>
      <c r="AA1345" s="77">
        <f t="shared" si="4328"/>
        <v>5.2321923767311151E-3</v>
      </c>
      <c r="AB1345" s="79">
        <v>1</v>
      </c>
      <c r="AC1345" s="77">
        <f t="shared" si="4292"/>
        <v>8.499999955555556E-3</v>
      </c>
      <c r="AD1345" s="77">
        <f t="shared" ref="AD1345" si="4433">1-(1-AC1345)^(1/12)</f>
        <v>7.1110795759765644E-4</v>
      </c>
      <c r="AE1345" s="77">
        <f t="shared" si="4294"/>
        <v>2.5000000000000001E-3</v>
      </c>
      <c r="AF1345" s="77">
        <f t="shared" ref="AF1345" si="4434">1-(1-AE1345)^(1/12)</f>
        <v>2.0857243058891584E-4</v>
      </c>
      <c r="AH1345" t="s">
        <v>175</v>
      </c>
      <c r="AI1345" t="s">
        <v>180</v>
      </c>
      <c r="AJ1345" s="197" t="str">
        <f t="shared" ref="AJ1345:AJ1408" si="4435">AH1345&amp;"_"&amp;AI1345&amp;"_"&amp;AK1345</f>
        <v>Lifecycle_Opportunity_284</v>
      </c>
      <c r="AK1345">
        <v>284</v>
      </c>
      <c r="AL1345">
        <f>VLOOKUP($U1345,[2]Standard_Opportunity!$Q$1:$T$542,2,FALSE)</f>
        <v>0.99999997777777772</v>
      </c>
      <c r="AM1345">
        <f>VLOOKUP($U1345,[2]Standard_Opportunity!$Q$1:$T$542,3,FALSE)</f>
        <v>2.2222222284540294E-8</v>
      </c>
      <c r="AN1345">
        <f>VLOOKUP($U1345,[2]Standard_Opportunity!$Q$1:$T$542,4,FALSE)</f>
        <v>0</v>
      </c>
      <c r="AO1345" s="77">
        <f t="shared" ref="AO1345:AO1408" si="4436">SUM(AL1345:AN1345)</f>
        <v>1</v>
      </c>
      <c r="AP1345" s="77">
        <f t="shared" si="4296"/>
        <v>6.4624999704999977E-2</v>
      </c>
      <c r="AQ1345" s="77">
        <f t="shared" ref="AQ1345:AQ1408" si="4437">(1+AP1345)^(1/12)-1</f>
        <v>5.2321923767311151E-3</v>
      </c>
      <c r="AR1345" s="79">
        <v>0</v>
      </c>
      <c r="AS1345" s="77">
        <f t="shared" si="4297"/>
        <v>0</v>
      </c>
      <c r="AT1345" s="77">
        <f t="shared" si="4298"/>
        <v>0</v>
      </c>
      <c r="AU1345" s="77">
        <f t="shared" si="4299"/>
        <v>2.5000000000000001E-3</v>
      </c>
      <c r="AV1345" s="77">
        <f t="shared" si="4300"/>
        <v>2.0809499864316017E-4</v>
      </c>
    </row>
    <row r="1346" spans="1:48">
      <c r="A1346" t="s">
        <v>175</v>
      </c>
      <c r="B1346" t="s">
        <v>180</v>
      </c>
      <c r="C1346" s="197" t="str">
        <f t="shared" si="4321"/>
        <v>Lifecycle_Opportunity_283</v>
      </c>
      <c r="D1346">
        <v>283</v>
      </c>
      <c r="E1346">
        <f>VLOOKUP($D1346,'[2]LC Opportunity'!$Q$2:$U$542,2,FALSE)</f>
        <v>0</v>
      </c>
      <c r="F1346">
        <f>VLOOKUP($D1346,'[2]LC Opportunity'!$Q$2:$U$542,3,FALSE)</f>
        <v>0</v>
      </c>
      <c r="G1346">
        <f>VLOOKUP($D1346,'[2]LC Opportunity'!$Q$2:$U$542,4,FALSE)</f>
        <v>0</v>
      </c>
      <c r="H1346">
        <f>VLOOKUP($D1346,'[2]LC Opportunity'!$Q$2:$U$542,5,FALSE)</f>
        <v>0.99999999999999989</v>
      </c>
      <c r="I1346" s="77">
        <f t="shared" si="4431"/>
        <v>0.99999999999999989</v>
      </c>
      <c r="J1346" s="77">
        <f t="shared" si="4432"/>
        <v>7.1999999999999981E-2</v>
      </c>
      <c r="K1346" s="77">
        <f t="shared" si="4326"/>
        <v>5.8106552987937654E-3</v>
      </c>
      <c r="L1346" s="76">
        <v>0</v>
      </c>
      <c r="M1346" s="77">
        <f t="shared" ref="M1346:M1409" si="4438">IF($L1346=0,0,SUMPRODUCT($E$3:$H$3,E1346:H1346))</f>
        <v>0</v>
      </c>
      <c r="N1346" s="77">
        <f t="shared" ref="N1346:N1409" si="4439">1-(1-M1346)^(1/12)</f>
        <v>0</v>
      </c>
      <c r="O1346" s="77">
        <f t="shared" ref="O1346:O1409" si="4440">SUMPRODUCT($E$2:$H$2,E1346:H1346)</f>
        <v>4.9999999999999992E-3</v>
      </c>
      <c r="P1346" s="77">
        <f t="shared" ref="P1346:P1409" si="4441">1-(1-O1346)^(1/12)</f>
        <v>4.1762458919303302E-4</v>
      </c>
      <c r="R1346" t="s">
        <v>177</v>
      </c>
      <c r="S1346" t="s">
        <v>180</v>
      </c>
      <c r="T1346" s="197" t="str">
        <f t="shared" si="4322"/>
        <v>Autopilot_Opportunity_283</v>
      </c>
      <c r="U1346">
        <v>283</v>
      </c>
      <c r="V1346">
        <f>VLOOKUP($U1346,'[2]AP Opportunity'!$Q$1:$T$542,2,FALSE)</f>
        <v>0.99999997777777772</v>
      </c>
      <c r="W1346">
        <f>VLOOKUP($U1346,'[2]AP Opportunity'!$Q$1:$T$542,3,FALSE)</f>
        <v>2.2222222284540294E-8</v>
      </c>
      <c r="X1346">
        <f>VLOOKUP($U1346,'[2]AP Opportunity'!$Q$1:$T$542,4,FALSE)</f>
        <v>0</v>
      </c>
      <c r="Y1346" s="77">
        <f t="shared" si="4323"/>
        <v>1</v>
      </c>
      <c r="Z1346" s="77">
        <f t="shared" si="4327"/>
        <v>6.4624999704999977E-2</v>
      </c>
      <c r="AA1346" s="77">
        <f t="shared" si="4328"/>
        <v>5.2321923767311151E-3</v>
      </c>
      <c r="AB1346" s="79">
        <v>1</v>
      </c>
      <c r="AC1346" s="77">
        <f t="shared" ref="AC1346:AC1409" si="4442">IF($AB1346=0,0,SUMPRODUCT($V$3:$X$3,V1346:X1346))</f>
        <v>8.499999955555556E-3</v>
      </c>
      <c r="AD1346" s="77">
        <f t="shared" ref="AD1346" si="4443">1-(1-AC1346)^(1/12)</f>
        <v>7.1110795759765644E-4</v>
      </c>
      <c r="AE1346" s="77">
        <f t="shared" ref="AE1346:AE1409" si="4444">SUMPRODUCT($V$2:$X$2,V1346:X1346)</f>
        <v>2.5000000000000001E-3</v>
      </c>
      <c r="AF1346" s="77">
        <f t="shared" ref="AF1346" si="4445">1-(1-AE1346)^(1/12)</f>
        <v>2.0857243058891584E-4</v>
      </c>
      <c r="AH1346" t="s">
        <v>175</v>
      </c>
      <c r="AI1346" t="s">
        <v>180</v>
      </c>
      <c r="AJ1346" s="197" t="str">
        <f t="shared" si="4435"/>
        <v>Lifecycle_Opportunity_283</v>
      </c>
      <c r="AK1346">
        <v>283</v>
      </c>
      <c r="AL1346">
        <f>VLOOKUP($U1346,[2]Standard_Opportunity!$Q$1:$T$542,2,FALSE)</f>
        <v>0.99999997777777772</v>
      </c>
      <c r="AM1346">
        <f>VLOOKUP($U1346,[2]Standard_Opportunity!$Q$1:$T$542,3,FALSE)</f>
        <v>2.2222222284540294E-8</v>
      </c>
      <c r="AN1346">
        <f>VLOOKUP($U1346,[2]Standard_Opportunity!$Q$1:$T$542,4,FALSE)</f>
        <v>0</v>
      </c>
      <c r="AO1346" s="77">
        <f t="shared" si="4436"/>
        <v>1</v>
      </c>
      <c r="AP1346" s="77">
        <f t="shared" ref="AP1346:AP1409" si="4446">SUMPRODUCT($AL$1:$AN$1,AL1346:AN1346)</f>
        <v>6.4624999704999977E-2</v>
      </c>
      <c r="AQ1346" s="77">
        <f t="shared" si="4437"/>
        <v>5.2321923767311151E-3</v>
      </c>
      <c r="AR1346" s="79">
        <v>0</v>
      </c>
      <c r="AS1346" s="77">
        <f t="shared" ref="AS1346:AS1409" si="4447">IF(AR1346=0,0,SUMPRODUCT($AL$3:$AN$3,AL1346:AN1346))</f>
        <v>0</v>
      </c>
      <c r="AT1346" s="77">
        <f t="shared" ref="AT1346:AT1409" si="4448">(1+AS1346)^(1/12)-1</f>
        <v>0</v>
      </c>
      <c r="AU1346" s="77">
        <f t="shared" ref="AU1346:AU1409" si="4449">SUMPRODUCT($AL$2:$AN$2,AL1346:AN1346)</f>
        <v>2.5000000000000001E-3</v>
      </c>
      <c r="AV1346" s="77">
        <f t="shared" ref="AV1346:AV1409" si="4450">(1+AU1346)^(1/12)-1</f>
        <v>2.0809499864316017E-4</v>
      </c>
    </row>
    <row r="1347" spans="1:48">
      <c r="A1347" t="s">
        <v>175</v>
      </c>
      <c r="B1347" t="s">
        <v>180</v>
      </c>
      <c r="C1347" s="197" t="str">
        <f t="shared" si="4321"/>
        <v>Lifecycle_Opportunity_282</v>
      </c>
      <c r="D1347">
        <v>282</v>
      </c>
      <c r="E1347">
        <f>VLOOKUP($D1347,'[2]LC Opportunity'!$Q$2:$U$542,2,FALSE)</f>
        <v>0</v>
      </c>
      <c r="F1347">
        <f>VLOOKUP($D1347,'[2]LC Opportunity'!$Q$2:$U$542,3,FALSE)</f>
        <v>0</v>
      </c>
      <c r="G1347">
        <f>VLOOKUP($D1347,'[2]LC Opportunity'!$Q$2:$U$542,4,FALSE)</f>
        <v>0</v>
      </c>
      <c r="H1347">
        <f>VLOOKUP($D1347,'[2]LC Opportunity'!$Q$2:$U$542,5,FALSE)</f>
        <v>0.99999999999999989</v>
      </c>
      <c r="I1347" s="77">
        <f t="shared" si="4431"/>
        <v>0.99999999999999989</v>
      </c>
      <c r="J1347" s="77">
        <f t="shared" si="4432"/>
        <v>7.1999999999999981E-2</v>
      </c>
      <c r="K1347" s="77">
        <f t="shared" si="4326"/>
        <v>5.8106552987937654E-3</v>
      </c>
      <c r="L1347" s="76">
        <v>0</v>
      </c>
      <c r="M1347" s="77">
        <f t="shared" si="4438"/>
        <v>0</v>
      </c>
      <c r="N1347" s="77">
        <f t="shared" si="4439"/>
        <v>0</v>
      </c>
      <c r="O1347" s="77">
        <f t="shared" si="4440"/>
        <v>4.9999999999999992E-3</v>
      </c>
      <c r="P1347" s="77">
        <f t="shared" si="4441"/>
        <v>4.1762458919303302E-4</v>
      </c>
      <c r="R1347" t="s">
        <v>177</v>
      </c>
      <c r="S1347" t="s">
        <v>180</v>
      </c>
      <c r="T1347" s="197" t="str">
        <f t="shared" si="4322"/>
        <v>Autopilot_Opportunity_282</v>
      </c>
      <c r="U1347">
        <v>282</v>
      </c>
      <c r="V1347">
        <f>VLOOKUP($U1347,'[2]AP Opportunity'!$Q$1:$T$542,2,FALSE)</f>
        <v>0.99999997777777772</v>
      </c>
      <c r="W1347">
        <f>VLOOKUP($U1347,'[2]AP Opportunity'!$Q$1:$T$542,3,FALSE)</f>
        <v>2.2222222284540294E-8</v>
      </c>
      <c r="X1347">
        <f>VLOOKUP($U1347,'[2]AP Opportunity'!$Q$1:$T$542,4,FALSE)</f>
        <v>0</v>
      </c>
      <c r="Y1347" s="77">
        <f t="shared" si="4323"/>
        <v>1</v>
      </c>
      <c r="Z1347" s="77">
        <f t="shared" si="4327"/>
        <v>6.4624999704999977E-2</v>
      </c>
      <c r="AA1347" s="77">
        <f t="shared" si="4328"/>
        <v>5.2321923767311151E-3</v>
      </c>
      <c r="AB1347" s="79">
        <v>1</v>
      </c>
      <c r="AC1347" s="77">
        <f t="shared" si="4442"/>
        <v>8.499999955555556E-3</v>
      </c>
      <c r="AD1347" s="77">
        <f t="shared" ref="AD1347" si="4451">1-(1-AC1347)^(1/12)</f>
        <v>7.1110795759765644E-4</v>
      </c>
      <c r="AE1347" s="77">
        <f t="shared" si="4444"/>
        <v>2.5000000000000001E-3</v>
      </c>
      <c r="AF1347" s="77">
        <f t="shared" ref="AF1347" si="4452">1-(1-AE1347)^(1/12)</f>
        <v>2.0857243058891584E-4</v>
      </c>
      <c r="AH1347" t="s">
        <v>175</v>
      </c>
      <c r="AI1347" t="s">
        <v>180</v>
      </c>
      <c r="AJ1347" s="197" t="str">
        <f t="shared" si="4435"/>
        <v>Lifecycle_Opportunity_282</v>
      </c>
      <c r="AK1347">
        <v>282</v>
      </c>
      <c r="AL1347">
        <f>VLOOKUP($U1347,[2]Standard_Opportunity!$Q$1:$T$542,2,FALSE)</f>
        <v>0.99999997777777772</v>
      </c>
      <c r="AM1347">
        <f>VLOOKUP($U1347,[2]Standard_Opportunity!$Q$1:$T$542,3,FALSE)</f>
        <v>2.2222222284540294E-8</v>
      </c>
      <c r="AN1347">
        <f>VLOOKUP($U1347,[2]Standard_Opportunity!$Q$1:$T$542,4,FALSE)</f>
        <v>0</v>
      </c>
      <c r="AO1347" s="77">
        <f t="shared" si="4436"/>
        <v>1</v>
      </c>
      <c r="AP1347" s="77">
        <f t="shared" si="4446"/>
        <v>6.4624999704999977E-2</v>
      </c>
      <c r="AQ1347" s="77">
        <f t="shared" si="4437"/>
        <v>5.2321923767311151E-3</v>
      </c>
      <c r="AR1347" s="79">
        <v>0</v>
      </c>
      <c r="AS1347" s="77">
        <f t="shared" si="4447"/>
        <v>0</v>
      </c>
      <c r="AT1347" s="77">
        <f t="shared" si="4448"/>
        <v>0</v>
      </c>
      <c r="AU1347" s="77">
        <f t="shared" si="4449"/>
        <v>2.5000000000000001E-3</v>
      </c>
      <c r="AV1347" s="77">
        <f t="shared" si="4450"/>
        <v>2.0809499864316017E-4</v>
      </c>
    </row>
    <row r="1348" spans="1:48">
      <c r="A1348" t="s">
        <v>175</v>
      </c>
      <c r="B1348" t="s">
        <v>180</v>
      </c>
      <c r="C1348" s="197" t="str">
        <f t="shared" si="4321"/>
        <v>Lifecycle_Opportunity_281</v>
      </c>
      <c r="D1348">
        <v>281</v>
      </c>
      <c r="E1348">
        <f>VLOOKUP($D1348,'[2]LC Opportunity'!$Q$2:$U$542,2,FALSE)</f>
        <v>0</v>
      </c>
      <c r="F1348">
        <f>VLOOKUP($D1348,'[2]LC Opportunity'!$Q$2:$U$542,3,FALSE)</f>
        <v>0</v>
      </c>
      <c r="G1348">
        <f>VLOOKUP($D1348,'[2]LC Opportunity'!$Q$2:$U$542,4,FALSE)</f>
        <v>0</v>
      </c>
      <c r="H1348">
        <f>VLOOKUP($D1348,'[2]LC Opportunity'!$Q$2:$U$542,5,FALSE)</f>
        <v>0.99999999999999989</v>
      </c>
      <c r="I1348" s="77">
        <f t="shared" si="4431"/>
        <v>0.99999999999999989</v>
      </c>
      <c r="J1348" s="77">
        <f t="shared" si="4432"/>
        <v>7.1999999999999981E-2</v>
      </c>
      <c r="K1348" s="77">
        <f t="shared" si="4326"/>
        <v>5.8106552987937654E-3</v>
      </c>
      <c r="L1348" s="76">
        <v>0</v>
      </c>
      <c r="M1348" s="77">
        <f t="shared" si="4438"/>
        <v>0</v>
      </c>
      <c r="N1348" s="77">
        <f t="shared" si="4439"/>
        <v>0</v>
      </c>
      <c r="O1348" s="77">
        <f t="shared" si="4440"/>
        <v>4.9999999999999992E-3</v>
      </c>
      <c r="P1348" s="77">
        <f t="shared" si="4441"/>
        <v>4.1762458919303302E-4</v>
      </c>
      <c r="R1348" t="s">
        <v>177</v>
      </c>
      <c r="S1348" t="s">
        <v>180</v>
      </c>
      <c r="T1348" s="197" t="str">
        <f t="shared" si="4322"/>
        <v>Autopilot_Opportunity_281</v>
      </c>
      <c r="U1348">
        <v>281</v>
      </c>
      <c r="V1348">
        <f>VLOOKUP($U1348,'[2]AP Opportunity'!$Q$1:$T$542,2,FALSE)</f>
        <v>0.99999997777777772</v>
      </c>
      <c r="W1348">
        <f>VLOOKUP($U1348,'[2]AP Opportunity'!$Q$1:$T$542,3,FALSE)</f>
        <v>2.2222222284540294E-8</v>
      </c>
      <c r="X1348">
        <f>VLOOKUP($U1348,'[2]AP Opportunity'!$Q$1:$T$542,4,FALSE)</f>
        <v>0</v>
      </c>
      <c r="Y1348" s="77">
        <f t="shared" si="4323"/>
        <v>1</v>
      </c>
      <c r="Z1348" s="77">
        <f t="shared" si="4327"/>
        <v>6.4624999704999977E-2</v>
      </c>
      <c r="AA1348" s="77">
        <f t="shared" si="4328"/>
        <v>5.2321923767311151E-3</v>
      </c>
      <c r="AB1348" s="79">
        <v>1</v>
      </c>
      <c r="AC1348" s="77">
        <f t="shared" si="4442"/>
        <v>8.499999955555556E-3</v>
      </c>
      <c r="AD1348" s="77">
        <f t="shared" ref="AD1348" si="4453">1-(1-AC1348)^(1/12)</f>
        <v>7.1110795759765644E-4</v>
      </c>
      <c r="AE1348" s="77">
        <f t="shared" si="4444"/>
        <v>2.5000000000000001E-3</v>
      </c>
      <c r="AF1348" s="77">
        <f t="shared" ref="AF1348" si="4454">1-(1-AE1348)^(1/12)</f>
        <v>2.0857243058891584E-4</v>
      </c>
      <c r="AH1348" t="s">
        <v>175</v>
      </c>
      <c r="AI1348" t="s">
        <v>180</v>
      </c>
      <c r="AJ1348" s="197" t="str">
        <f t="shared" si="4435"/>
        <v>Lifecycle_Opportunity_281</v>
      </c>
      <c r="AK1348">
        <v>281</v>
      </c>
      <c r="AL1348">
        <f>VLOOKUP($U1348,[2]Standard_Opportunity!$Q$1:$T$542,2,FALSE)</f>
        <v>0.99999997777777772</v>
      </c>
      <c r="AM1348">
        <f>VLOOKUP($U1348,[2]Standard_Opportunity!$Q$1:$T$542,3,FALSE)</f>
        <v>2.2222222284540294E-8</v>
      </c>
      <c r="AN1348">
        <f>VLOOKUP($U1348,[2]Standard_Opportunity!$Q$1:$T$542,4,FALSE)</f>
        <v>0</v>
      </c>
      <c r="AO1348" s="77">
        <f t="shared" si="4436"/>
        <v>1</v>
      </c>
      <c r="AP1348" s="77">
        <f t="shared" si="4446"/>
        <v>6.4624999704999977E-2</v>
      </c>
      <c r="AQ1348" s="77">
        <f t="shared" si="4437"/>
        <v>5.2321923767311151E-3</v>
      </c>
      <c r="AR1348" s="79">
        <v>0</v>
      </c>
      <c r="AS1348" s="77">
        <f t="shared" si="4447"/>
        <v>0</v>
      </c>
      <c r="AT1348" s="77">
        <f t="shared" si="4448"/>
        <v>0</v>
      </c>
      <c r="AU1348" s="77">
        <f t="shared" si="4449"/>
        <v>2.5000000000000001E-3</v>
      </c>
      <c r="AV1348" s="77">
        <f t="shared" si="4450"/>
        <v>2.0809499864316017E-4</v>
      </c>
    </row>
    <row r="1349" spans="1:48">
      <c r="A1349" t="s">
        <v>175</v>
      </c>
      <c r="B1349" t="s">
        <v>180</v>
      </c>
      <c r="C1349" s="197" t="str">
        <f t="shared" si="4321"/>
        <v>Lifecycle_Opportunity_280</v>
      </c>
      <c r="D1349">
        <v>280</v>
      </c>
      <c r="E1349">
        <f>VLOOKUP($D1349,'[2]LC Opportunity'!$Q$2:$U$542,2,FALSE)</f>
        <v>0</v>
      </c>
      <c r="F1349">
        <f>VLOOKUP($D1349,'[2]LC Opportunity'!$Q$2:$U$542,3,FALSE)</f>
        <v>0</v>
      </c>
      <c r="G1349">
        <f>VLOOKUP($D1349,'[2]LC Opportunity'!$Q$2:$U$542,4,FALSE)</f>
        <v>0</v>
      </c>
      <c r="H1349">
        <f>VLOOKUP($D1349,'[2]LC Opportunity'!$Q$2:$U$542,5,FALSE)</f>
        <v>0.99999999999999989</v>
      </c>
      <c r="I1349" s="77">
        <f t="shared" si="4431"/>
        <v>0.99999999999999989</v>
      </c>
      <c r="J1349" s="77">
        <f t="shared" si="4432"/>
        <v>7.1999999999999981E-2</v>
      </c>
      <c r="K1349" s="77">
        <f t="shared" si="4326"/>
        <v>5.8106552987937654E-3</v>
      </c>
      <c r="L1349" s="76">
        <v>0</v>
      </c>
      <c r="M1349" s="77">
        <f t="shared" si="4438"/>
        <v>0</v>
      </c>
      <c r="N1349" s="77">
        <f t="shared" si="4439"/>
        <v>0</v>
      </c>
      <c r="O1349" s="77">
        <f t="shared" si="4440"/>
        <v>4.9999999999999992E-3</v>
      </c>
      <c r="P1349" s="77">
        <f t="shared" si="4441"/>
        <v>4.1762458919303302E-4</v>
      </c>
      <c r="R1349" t="s">
        <v>177</v>
      </c>
      <c r="S1349" t="s">
        <v>180</v>
      </c>
      <c r="T1349" s="197" t="str">
        <f t="shared" si="4322"/>
        <v>Autopilot_Opportunity_280</v>
      </c>
      <c r="U1349">
        <v>280</v>
      </c>
      <c r="V1349">
        <f>VLOOKUP($U1349,'[2]AP Opportunity'!$Q$1:$T$542,2,FALSE)</f>
        <v>0.99999997777777772</v>
      </c>
      <c r="W1349">
        <f>VLOOKUP($U1349,'[2]AP Opportunity'!$Q$1:$T$542,3,FALSE)</f>
        <v>2.2222222284540294E-8</v>
      </c>
      <c r="X1349">
        <f>VLOOKUP($U1349,'[2]AP Opportunity'!$Q$1:$T$542,4,FALSE)</f>
        <v>0</v>
      </c>
      <c r="Y1349" s="77">
        <f t="shared" si="4323"/>
        <v>1</v>
      </c>
      <c r="Z1349" s="77">
        <f t="shared" si="4327"/>
        <v>6.4624999704999977E-2</v>
      </c>
      <c r="AA1349" s="77">
        <f t="shared" si="4328"/>
        <v>5.2321923767311151E-3</v>
      </c>
      <c r="AB1349" s="79">
        <v>1</v>
      </c>
      <c r="AC1349" s="77">
        <f t="shared" si="4442"/>
        <v>8.499999955555556E-3</v>
      </c>
      <c r="AD1349" s="77">
        <f t="shared" ref="AD1349" si="4455">1-(1-AC1349)^(1/12)</f>
        <v>7.1110795759765644E-4</v>
      </c>
      <c r="AE1349" s="77">
        <f t="shared" si="4444"/>
        <v>2.5000000000000001E-3</v>
      </c>
      <c r="AF1349" s="77">
        <f t="shared" ref="AF1349" si="4456">1-(1-AE1349)^(1/12)</f>
        <v>2.0857243058891584E-4</v>
      </c>
      <c r="AH1349" t="s">
        <v>175</v>
      </c>
      <c r="AI1349" t="s">
        <v>180</v>
      </c>
      <c r="AJ1349" s="197" t="str">
        <f t="shared" si="4435"/>
        <v>Lifecycle_Opportunity_280</v>
      </c>
      <c r="AK1349">
        <v>280</v>
      </c>
      <c r="AL1349">
        <f>VLOOKUP($U1349,[2]Standard_Opportunity!$Q$1:$T$542,2,FALSE)</f>
        <v>0.99999997777777772</v>
      </c>
      <c r="AM1349">
        <f>VLOOKUP($U1349,[2]Standard_Opportunity!$Q$1:$T$542,3,FALSE)</f>
        <v>2.2222222284540294E-8</v>
      </c>
      <c r="AN1349">
        <f>VLOOKUP($U1349,[2]Standard_Opportunity!$Q$1:$T$542,4,FALSE)</f>
        <v>0</v>
      </c>
      <c r="AO1349" s="77">
        <f t="shared" si="4436"/>
        <v>1</v>
      </c>
      <c r="AP1349" s="77">
        <f t="shared" si="4446"/>
        <v>6.4624999704999977E-2</v>
      </c>
      <c r="AQ1349" s="77">
        <f t="shared" si="4437"/>
        <v>5.2321923767311151E-3</v>
      </c>
      <c r="AR1349" s="79">
        <v>0</v>
      </c>
      <c r="AS1349" s="77">
        <f t="shared" si="4447"/>
        <v>0</v>
      </c>
      <c r="AT1349" s="77">
        <f t="shared" si="4448"/>
        <v>0</v>
      </c>
      <c r="AU1349" s="77">
        <f t="shared" si="4449"/>
        <v>2.5000000000000001E-3</v>
      </c>
      <c r="AV1349" s="77">
        <f t="shared" si="4450"/>
        <v>2.0809499864316017E-4</v>
      </c>
    </row>
    <row r="1350" spans="1:48">
      <c r="A1350" t="s">
        <v>175</v>
      </c>
      <c r="B1350" t="s">
        <v>180</v>
      </c>
      <c r="C1350" s="197" t="str">
        <f t="shared" si="4321"/>
        <v>Lifecycle_Opportunity_279</v>
      </c>
      <c r="D1350">
        <v>279</v>
      </c>
      <c r="E1350">
        <f>VLOOKUP($D1350,'[2]LC Opportunity'!$Q$2:$U$542,2,FALSE)</f>
        <v>0</v>
      </c>
      <c r="F1350">
        <f>VLOOKUP($D1350,'[2]LC Opportunity'!$Q$2:$U$542,3,FALSE)</f>
        <v>0</v>
      </c>
      <c r="G1350">
        <f>VLOOKUP($D1350,'[2]LC Opportunity'!$Q$2:$U$542,4,FALSE)</f>
        <v>0</v>
      </c>
      <c r="H1350">
        <f>VLOOKUP($D1350,'[2]LC Opportunity'!$Q$2:$U$542,5,FALSE)</f>
        <v>0.99999999999999989</v>
      </c>
      <c r="I1350" s="77">
        <f t="shared" si="4431"/>
        <v>0.99999999999999989</v>
      </c>
      <c r="J1350" s="77">
        <f t="shared" si="4432"/>
        <v>7.1999999999999981E-2</v>
      </c>
      <c r="K1350" s="77">
        <f t="shared" si="4326"/>
        <v>5.8106552987937654E-3</v>
      </c>
      <c r="L1350" s="76">
        <v>0</v>
      </c>
      <c r="M1350" s="77">
        <f t="shared" si="4438"/>
        <v>0</v>
      </c>
      <c r="N1350" s="77">
        <f t="shared" si="4439"/>
        <v>0</v>
      </c>
      <c r="O1350" s="77">
        <f t="shared" si="4440"/>
        <v>4.9999999999999992E-3</v>
      </c>
      <c r="P1350" s="77">
        <f t="shared" si="4441"/>
        <v>4.1762458919303302E-4</v>
      </c>
      <c r="R1350" t="s">
        <v>177</v>
      </c>
      <c r="S1350" t="s">
        <v>180</v>
      </c>
      <c r="T1350" s="197" t="str">
        <f t="shared" si="4322"/>
        <v>Autopilot_Opportunity_279</v>
      </c>
      <c r="U1350">
        <v>279</v>
      </c>
      <c r="V1350">
        <f>VLOOKUP($U1350,'[2]AP Opportunity'!$Q$1:$T$542,2,FALSE)</f>
        <v>0.99999997777777772</v>
      </c>
      <c r="W1350">
        <f>VLOOKUP($U1350,'[2]AP Opportunity'!$Q$1:$T$542,3,FALSE)</f>
        <v>2.2222222284540294E-8</v>
      </c>
      <c r="X1350">
        <f>VLOOKUP($U1350,'[2]AP Opportunity'!$Q$1:$T$542,4,FALSE)</f>
        <v>0</v>
      </c>
      <c r="Y1350" s="77">
        <f t="shared" si="4323"/>
        <v>1</v>
      </c>
      <c r="Z1350" s="77">
        <f t="shared" si="4327"/>
        <v>6.4624999704999977E-2</v>
      </c>
      <c r="AA1350" s="77">
        <f t="shared" si="4328"/>
        <v>5.2321923767311151E-3</v>
      </c>
      <c r="AB1350" s="79">
        <v>1</v>
      </c>
      <c r="AC1350" s="77">
        <f t="shared" si="4442"/>
        <v>8.499999955555556E-3</v>
      </c>
      <c r="AD1350" s="77">
        <f t="shared" ref="AD1350" si="4457">1-(1-AC1350)^(1/12)</f>
        <v>7.1110795759765644E-4</v>
      </c>
      <c r="AE1350" s="77">
        <f t="shared" si="4444"/>
        <v>2.5000000000000001E-3</v>
      </c>
      <c r="AF1350" s="77">
        <f t="shared" ref="AF1350" si="4458">1-(1-AE1350)^(1/12)</f>
        <v>2.0857243058891584E-4</v>
      </c>
      <c r="AH1350" t="s">
        <v>175</v>
      </c>
      <c r="AI1350" t="s">
        <v>180</v>
      </c>
      <c r="AJ1350" s="197" t="str">
        <f t="shared" si="4435"/>
        <v>Lifecycle_Opportunity_279</v>
      </c>
      <c r="AK1350">
        <v>279</v>
      </c>
      <c r="AL1350">
        <f>VLOOKUP($U1350,[2]Standard_Opportunity!$Q$1:$T$542,2,FALSE)</f>
        <v>0.99999997777777772</v>
      </c>
      <c r="AM1350">
        <f>VLOOKUP($U1350,[2]Standard_Opportunity!$Q$1:$T$542,3,FALSE)</f>
        <v>2.2222222284540294E-8</v>
      </c>
      <c r="AN1350">
        <f>VLOOKUP($U1350,[2]Standard_Opportunity!$Q$1:$T$542,4,FALSE)</f>
        <v>0</v>
      </c>
      <c r="AO1350" s="77">
        <f t="shared" si="4436"/>
        <v>1</v>
      </c>
      <c r="AP1350" s="77">
        <f t="shared" si="4446"/>
        <v>6.4624999704999977E-2</v>
      </c>
      <c r="AQ1350" s="77">
        <f t="shared" si="4437"/>
        <v>5.2321923767311151E-3</v>
      </c>
      <c r="AR1350" s="79">
        <v>0</v>
      </c>
      <c r="AS1350" s="77">
        <f t="shared" si="4447"/>
        <v>0</v>
      </c>
      <c r="AT1350" s="77">
        <f t="shared" si="4448"/>
        <v>0</v>
      </c>
      <c r="AU1350" s="77">
        <f t="shared" si="4449"/>
        <v>2.5000000000000001E-3</v>
      </c>
      <c r="AV1350" s="77">
        <f t="shared" si="4450"/>
        <v>2.0809499864316017E-4</v>
      </c>
    </row>
    <row r="1351" spans="1:48">
      <c r="A1351" t="s">
        <v>175</v>
      </c>
      <c r="B1351" t="s">
        <v>180</v>
      </c>
      <c r="C1351" s="197" t="str">
        <f t="shared" si="4321"/>
        <v>Lifecycle_Opportunity_278</v>
      </c>
      <c r="D1351">
        <v>278</v>
      </c>
      <c r="E1351">
        <f>VLOOKUP($D1351,'[2]LC Opportunity'!$Q$2:$U$542,2,FALSE)</f>
        <v>0</v>
      </c>
      <c r="F1351">
        <f>VLOOKUP($D1351,'[2]LC Opportunity'!$Q$2:$U$542,3,FALSE)</f>
        <v>0</v>
      </c>
      <c r="G1351">
        <f>VLOOKUP($D1351,'[2]LC Opportunity'!$Q$2:$U$542,4,FALSE)</f>
        <v>0</v>
      </c>
      <c r="H1351">
        <f>VLOOKUP($D1351,'[2]LC Opportunity'!$Q$2:$U$542,5,FALSE)</f>
        <v>0.99999999999999989</v>
      </c>
      <c r="I1351" s="77">
        <f t="shared" si="4431"/>
        <v>0.99999999999999989</v>
      </c>
      <c r="J1351" s="77">
        <f t="shared" si="4432"/>
        <v>7.1999999999999981E-2</v>
      </c>
      <c r="K1351" s="77">
        <f t="shared" si="4326"/>
        <v>5.8106552987937654E-3</v>
      </c>
      <c r="L1351" s="76">
        <v>0</v>
      </c>
      <c r="M1351" s="77">
        <f t="shared" si="4438"/>
        <v>0</v>
      </c>
      <c r="N1351" s="77">
        <f t="shared" si="4439"/>
        <v>0</v>
      </c>
      <c r="O1351" s="77">
        <f t="shared" si="4440"/>
        <v>4.9999999999999992E-3</v>
      </c>
      <c r="P1351" s="77">
        <f t="shared" si="4441"/>
        <v>4.1762458919303302E-4</v>
      </c>
      <c r="R1351" t="s">
        <v>177</v>
      </c>
      <c r="S1351" t="s">
        <v>180</v>
      </c>
      <c r="T1351" s="197" t="str">
        <f t="shared" si="4322"/>
        <v>Autopilot_Opportunity_278</v>
      </c>
      <c r="U1351">
        <v>278</v>
      </c>
      <c r="V1351">
        <f>VLOOKUP($U1351,'[2]AP Opportunity'!$Q$1:$T$542,2,FALSE)</f>
        <v>0.99999997777777772</v>
      </c>
      <c r="W1351">
        <f>VLOOKUP($U1351,'[2]AP Opportunity'!$Q$1:$T$542,3,FALSE)</f>
        <v>2.2222222284540294E-8</v>
      </c>
      <c r="X1351">
        <f>VLOOKUP($U1351,'[2]AP Opportunity'!$Q$1:$T$542,4,FALSE)</f>
        <v>0</v>
      </c>
      <c r="Y1351" s="77">
        <f t="shared" si="4323"/>
        <v>1</v>
      </c>
      <c r="Z1351" s="77">
        <f t="shared" si="4327"/>
        <v>6.4624999704999977E-2</v>
      </c>
      <c r="AA1351" s="77">
        <f t="shared" si="4328"/>
        <v>5.2321923767311151E-3</v>
      </c>
      <c r="AB1351" s="79">
        <v>1</v>
      </c>
      <c r="AC1351" s="77">
        <f t="shared" si="4442"/>
        <v>8.499999955555556E-3</v>
      </c>
      <c r="AD1351" s="77">
        <f t="shared" ref="AD1351" si="4459">1-(1-AC1351)^(1/12)</f>
        <v>7.1110795759765644E-4</v>
      </c>
      <c r="AE1351" s="77">
        <f t="shared" si="4444"/>
        <v>2.5000000000000001E-3</v>
      </c>
      <c r="AF1351" s="77">
        <f t="shared" ref="AF1351" si="4460">1-(1-AE1351)^(1/12)</f>
        <v>2.0857243058891584E-4</v>
      </c>
      <c r="AH1351" t="s">
        <v>175</v>
      </c>
      <c r="AI1351" t="s">
        <v>180</v>
      </c>
      <c r="AJ1351" s="197" t="str">
        <f t="shared" si="4435"/>
        <v>Lifecycle_Opportunity_278</v>
      </c>
      <c r="AK1351">
        <v>278</v>
      </c>
      <c r="AL1351">
        <f>VLOOKUP($U1351,[2]Standard_Opportunity!$Q$1:$T$542,2,FALSE)</f>
        <v>0.99999997777777772</v>
      </c>
      <c r="AM1351">
        <f>VLOOKUP($U1351,[2]Standard_Opportunity!$Q$1:$T$542,3,FALSE)</f>
        <v>2.2222222284540294E-8</v>
      </c>
      <c r="AN1351">
        <f>VLOOKUP($U1351,[2]Standard_Opportunity!$Q$1:$T$542,4,FALSE)</f>
        <v>0</v>
      </c>
      <c r="AO1351" s="77">
        <f t="shared" si="4436"/>
        <v>1</v>
      </c>
      <c r="AP1351" s="77">
        <f t="shared" si="4446"/>
        <v>6.4624999704999977E-2</v>
      </c>
      <c r="AQ1351" s="77">
        <f t="shared" si="4437"/>
        <v>5.2321923767311151E-3</v>
      </c>
      <c r="AR1351" s="79">
        <v>0</v>
      </c>
      <c r="AS1351" s="77">
        <f t="shared" si="4447"/>
        <v>0</v>
      </c>
      <c r="AT1351" s="77">
        <f t="shared" si="4448"/>
        <v>0</v>
      </c>
      <c r="AU1351" s="77">
        <f t="shared" si="4449"/>
        <v>2.5000000000000001E-3</v>
      </c>
      <c r="AV1351" s="77">
        <f t="shared" si="4450"/>
        <v>2.0809499864316017E-4</v>
      </c>
    </row>
    <row r="1352" spans="1:48">
      <c r="A1352" t="s">
        <v>175</v>
      </c>
      <c r="B1352" t="s">
        <v>180</v>
      </c>
      <c r="C1352" s="197" t="str">
        <f t="shared" si="4321"/>
        <v>Lifecycle_Opportunity_277</v>
      </c>
      <c r="D1352">
        <v>277</v>
      </c>
      <c r="E1352">
        <f>VLOOKUP($D1352,'[2]LC Opportunity'!$Q$2:$U$542,2,FALSE)</f>
        <v>0</v>
      </c>
      <c r="F1352">
        <f>VLOOKUP($D1352,'[2]LC Opportunity'!$Q$2:$U$542,3,FALSE)</f>
        <v>0</v>
      </c>
      <c r="G1352">
        <f>VLOOKUP($D1352,'[2]LC Opportunity'!$Q$2:$U$542,4,FALSE)</f>
        <v>0</v>
      </c>
      <c r="H1352">
        <f>VLOOKUP($D1352,'[2]LC Opportunity'!$Q$2:$U$542,5,FALSE)</f>
        <v>0.99999999999999989</v>
      </c>
      <c r="I1352" s="77">
        <f t="shared" si="4431"/>
        <v>0.99999999999999989</v>
      </c>
      <c r="J1352" s="77">
        <f t="shared" si="4432"/>
        <v>7.1999999999999981E-2</v>
      </c>
      <c r="K1352" s="77">
        <f t="shared" si="4326"/>
        <v>5.8106552987937654E-3</v>
      </c>
      <c r="L1352" s="76">
        <v>0</v>
      </c>
      <c r="M1352" s="77">
        <f t="shared" si="4438"/>
        <v>0</v>
      </c>
      <c r="N1352" s="77">
        <f t="shared" si="4439"/>
        <v>0</v>
      </c>
      <c r="O1352" s="77">
        <f t="shared" si="4440"/>
        <v>4.9999999999999992E-3</v>
      </c>
      <c r="P1352" s="77">
        <f t="shared" si="4441"/>
        <v>4.1762458919303302E-4</v>
      </c>
      <c r="R1352" t="s">
        <v>177</v>
      </c>
      <c r="S1352" t="s">
        <v>180</v>
      </c>
      <c r="T1352" s="197" t="str">
        <f t="shared" si="4322"/>
        <v>Autopilot_Opportunity_277</v>
      </c>
      <c r="U1352">
        <v>277</v>
      </c>
      <c r="V1352">
        <f>VLOOKUP($U1352,'[2]AP Opportunity'!$Q$1:$T$542,2,FALSE)</f>
        <v>0.99999997777777772</v>
      </c>
      <c r="W1352">
        <f>VLOOKUP($U1352,'[2]AP Opportunity'!$Q$1:$T$542,3,FALSE)</f>
        <v>2.2222222284540294E-8</v>
      </c>
      <c r="X1352">
        <f>VLOOKUP($U1352,'[2]AP Opportunity'!$Q$1:$T$542,4,FALSE)</f>
        <v>0</v>
      </c>
      <c r="Y1352" s="77">
        <f t="shared" si="4323"/>
        <v>1</v>
      </c>
      <c r="Z1352" s="77">
        <f t="shared" si="4327"/>
        <v>6.4624999704999977E-2</v>
      </c>
      <c r="AA1352" s="77">
        <f t="shared" si="4328"/>
        <v>5.2321923767311151E-3</v>
      </c>
      <c r="AB1352" s="79">
        <v>1</v>
      </c>
      <c r="AC1352" s="77">
        <f t="shared" si="4442"/>
        <v>8.499999955555556E-3</v>
      </c>
      <c r="AD1352" s="77">
        <f t="shared" ref="AD1352" si="4461">1-(1-AC1352)^(1/12)</f>
        <v>7.1110795759765644E-4</v>
      </c>
      <c r="AE1352" s="77">
        <f t="shared" si="4444"/>
        <v>2.5000000000000001E-3</v>
      </c>
      <c r="AF1352" s="77">
        <f t="shared" ref="AF1352" si="4462">1-(1-AE1352)^(1/12)</f>
        <v>2.0857243058891584E-4</v>
      </c>
      <c r="AH1352" t="s">
        <v>175</v>
      </c>
      <c r="AI1352" t="s">
        <v>180</v>
      </c>
      <c r="AJ1352" s="197" t="str">
        <f t="shared" si="4435"/>
        <v>Lifecycle_Opportunity_277</v>
      </c>
      <c r="AK1352">
        <v>277</v>
      </c>
      <c r="AL1352">
        <f>VLOOKUP($U1352,[2]Standard_Opportunity!$Q$1:$T$542,2,FALSE)</f>
        <v>0.99999997777777772</v>
      </c>
      <c r="AM1352">
        <f>VLOOKUP($U1352,[2]Standard_Opportunity!$Q$1:$T$542,3,FALSE)</f>
        <v>2.2222222284540294E-8</v>
      </c>
      <c r="AN1352">
        <f>VLOOKUP($U1352,[2]Standard_Opportunity!$Q$1:$T$542,4,FALSE)</f>
        <v>0</v>
      </c>
      <c r="AO1352" s="77">
        <f t="shared" si="4436"/>
        <v>1</v>
      </c>
      <c r="AP1352" s="77">
        <f t="shared" si="4446"/>
        <v>6.4624999704999977E-2</v>
      </c>
      <c r="AQ1352" s="77">
        <f t="shared" si="4437"/>
        <v>5.2321923767311151E-3</v>
      </c>
      <c r="AR1352" s="79">
        <v>0</v>
      </c>
      <c r="AS1352" s="77">
        <f t="shared" si="4447"/>
        <v>0</v>
      </c>
      <c r="AT1352" s="77">
        <f t="shared" si="4448"/>
        <v>0</v>
      </c>
      <c r="AU1352" s="77">
        <f t="shared" si="4449"/>
        <v>2.5000000000000001E-3</v>
      </c>
      <c r="AV1352" s="77">
        <f t="shared" si="4450"/>
        <v>2.0809499864316017E-4</v>
      </c>
    </row>
    <row r="1353" spans="1:48">
      <c r="A1353" t="s">
        <v>175</v>
      </c>
      <c r="B1353" t="s">
        <v>180</v>
      </c>
      <c r="C1353" s="197" t="str">
        <f t="shared" si="4321"/>
        <v>Lifecycle_Opportunity_276</v>
      </c>
      <c r="D1353">
        <v>276</v>
      </c>
      <c r="E1353">
        <f>VLOOKUP($D1353,'[2]LC Opportunity'!$Q$2:$U$542,2,FALSE)</f>
        <v>0</v>
      </c>
      <c r="F1353">
        <f>VLOOKUP($D1353,'[2]LC Opportunity'!$Q$2:$U$542,3,FALSE)</f>
        <v>0</v>
      </c>
      <c r="G1353">
        <f>VLOOKUP($D1353,'[2]LC Opportunity'!$Q$2:$U$542,4,FALSE)</f>
        <v>0</v>
      </c>
      <c r="H1353">
        <f>VLOOKUP($D1353,'[2]LC Opportunity'!$Q$2:$U$542,5,FALSE)</f>
        <v>0.99999999999999989</v>
      </c>
      <c r="I1353" s="77">
        <f t="shared" si="4431"/>
        <v>0.99999999999999989</v>
      </c>
      <c r="J1353" s="77">
        <f t="shared" si="4432"/>
        <v>7.1999999999999981E-2</v>
      </c>
      <c r="K1353" s="77">
        <f t="shared" si="4326"/>
        <v>5.8106552987937654E-3</v>
      </c>
      <c r="L1353" s="76">
        <v>0</v>
      </c>
      <c r="M1353" s="77">
        <f t="shared" si="4438"/>
        <v>0</v>
      </c>
      <c r="N1353" s="77">
        <f t="shared" si="4439"/>
        <v>0</v>
      </c>
      <c r="O1353" s="77">
        <f t="shared" si="4440"/>
        <v>4.9999999999999992E-3</v>
      </c>
      <c r="P1353" s="77">
        <f t="shared" si="4441"/>
        <v>4.1762458919303302E-4</v>
      </c>
      <c r="R1353" t="s">
        <v>177</v>
      </c>
      <c r="S1353" t="s">
        <v>180</v>
      </c>
      <c r="T1353" s="197" t="str">
        <f t="shared" si="4322"/>
        <v>Autopilot_Opportunity_276</v>
      </c>
      <c r="U1353">
        <v>276</v>
      </c>
      <c r="V1353">
        <f>VLOOKUP($U1353,'[2]AP Opportunity'!$Q$1:$T$542,2,FALSE)</f>
        <v>0.99999997777777772</v>
      </c>
      <c r="W1353">
        <f>VLOOKUP($U1353,'[2]AP Opportunity'!$Q$1:$T$542,3,FALSE)</f>
        <v>2.2222222284540294E-8</v>
      </c>
      <c r="X1353">
        <f>VLOOKUP($U1353,'[2]AP Opportunity'!$Q$1:$T$542,4,FALSE)</f>
        <v>0</v>
      </c>
      <c r="Y1353" s="77">
        <f t="shared" si="4323"/>
        <v>1</v>
      </c>
      <c r="Z1353" s="77">
        <f t="shared" si="4327"/>
        <v>6.4624999704999977E-2</v>
      </c>
      <c r="AA1353" s="77">
        <f t="shared" si="4328"/>
        <v>5.2321923767311151E-3</v>
      </c>
      <c r="AB1353" s="79">
        <v>1</v>
      </c>
      <c r="AC1353" s="77">
        <f t="shared" si="4442"/>
        <v>8.499999955555556E-3</v>
      </c>
      <c r="AD1353" s="77">
        <f t="shared" ref="AD1353" si="4463">1-(1-AC1353)^(1/12)</f>
        <v>7.1110795759765644E-4</v>
      </c>
      <c r="AE1353" s="77">
        <f t="shared" si="4444"/>
        <v>2.5000000000000001E-3</v>
      </c>
      <c r="AF1353" s="77">
        <f t="shared" ref="AF1353" si="4464">1-(1-AE1353)^(1/12)</f>
        <v>2.0857243058891584E-4</v>
      </c>
      <c r="AH1353" t="s">
        <v>175</v>
      </c>
      <c r="AI1353" t="s">
        <v>180</v>
      </c>
      <c r="AJ1353" s="197" t="str">
        <f t="shared" si="4435"/>
        <v>Lifecycle_Opportunity_276</v>
      </c>
      <c r="AK1353">
        <v>276</v>
      </c>
      <c r="AL1353">
        <f>VLOOKUP($U1353,[2]Standard_Opportunity!$Q$1:$T$542,2,FALSE)</f>
        <v>0.99999997777777772</v>
      </c>
      <c r="AM1353">
        <f>VLOOKUP($U1353,[2]Standard_Opportunity!$Q$1:$T$542,3,FALSE)</f>
        <v>2.2222222284540294E-8</v>
      </c>
      <c r="AN1353">
        <f>VLOOKUP($U1353,[2]Standard_Opportunity!$Q$1:$T$542,4,FALSE)</f>
        <v>0</v>
      </c>
      <c r="AO1353" s="77">
        <f t="shared" si="4436"/>
        <v>1</v>
      </c>
      <c r="AP1353" s="77">
        <f t="shared" si="4446"/>
        <v>6.4624999704999977E-2</v>
      </c>
      <c r="AQ1353" s="77">
        <f t="shared" si="4437"/>
        <v>5.2321923767311151E-3</v>
      </c>
      <c r="AR1353" s="79">
        <v>0</v>
      </c>
      <c r="AS1353" s="77">
        <f t="shared" si="4447"/>
        <v>0</v>
      </c>
      <c r="AT1353" s="77">
        <f t="shared" si="4448"/>
        <v>0</v>
      </c>
      <c r="AU1353" s="77">
        <f t="shared" si="4449"/>
        <v>2.5000000000000001E-3</v>
      </c>
      <c r="AV1353" s="77">
        <f t="shared" si="4450"/>
        <v>2.0809499864316017E-4</v>
      </c>
    </row>
    <row r="1354" spans="1:48">
      <c r="A1354" t="s">
        <v>175</v>
      </c>
      <c r="B1354" t="s">
        <v>180</v>
      </c>
      <c r="C1354" s="197" t="str">
        <f t="shared" si="4321"/>
        <v>Lifecycle_Opportunity_275</v>
      </c>
      <c r="D1354">
        <v>275</v>
      </c>
      <c r="E1354">
        <f>VLOOKUP($D1354,'[2]LC Opportunity'!$Q$2:$U$542,2,FALSE)</f>
        <v>0</v>
      </c>
      <c r="F1354">
        <f>VLOOKUP($D1354,'[2]LC Opportunity'!$Q$2:$U$542,3,FALSE)</f>
        <v>0</v>
      </c>
      <c r="G1354">
        <f>VLOOKUP($D1354,'[2]LC Opportunity'!$Q$2:$U$542,4,FALSE)</f>
        <v>0</v>
      </c>
      <c r="H1354">
        <f>VLOOKUP($D1354,'[2]LC Opportunity'!$Q$2:$U$542,5,FALSE)</f>
        <v>0.99999999999999989</v>
      </c>
      <c r="I1354" s="77">
        <f t="shared" si="4431"/>
        <v>0.99999999999999989</v>
      </c>
      <c r="J1354" s="77">
        <f t="shared" si="4432"/>
        <v>7.1999999999999981E-2</v>
      </c>
      <c r="K1354" s="77">
        <f t="shared" si="4326"/>
        <v>5.8106552987937654E-3</v>
      </c>
      <c r="L1354" s="76">
        <v>0</v>
      </c>
      <c r="M1354" s="77">
        <f t="shared" si="4438"/>
        <v>0</v>
      </c>
      <c r="N1354" s="77">
        <f t="shared" si="4439"/>
        <v>0</v>
      </c>
      <c r="O1354" s="77">
        <f t="shared" si="4440"/>
        <v>4.9999999999999992E-3</v>
      </c>
      <c r="P1354" s="77">
        <f t="shared" si="4441"/>
        <v>4.1762458919303302E-4</v>
      </c>
      <c r="R1354" t="s">
        <v>177</v>
      </c>
      <c r="S1354" t="s">
        <v>180</v>
      </c>
      <c r="T1354" s="197" t="str">
        <f t="shared" si="4322"/>
        <v>Autopilot_Opportunity_275</v>
      </c>
      <c r="U1354">
        <v>275</v>
      </c>
      <c r="V1354">
        <f>VLOOKUP($U1354,'[2]AP Opportunity'!$Q$1:$T$542,2,FALSE)</f>
        <v>0.99999997777777772</v>
      </c>
      <c r="W1354">
        <f>VLOOKUP($U1354,'[2]AP Opportunity'!$Q$1:$T$542,3,FALSE)</f>
        <v>2.2222222284540294E-8</v>
      </c>
      <c r="X1354">
        <f>VLOOKUP($U1354,'[2]AP Opportunity'!$Q$1:$T$542,4,FALSE)</f>
        <v>0</v>
      </c>
      <c r="Y1354" s="77">
        <f t="shared" si="4323"/>
        <v>1</v>
      </c>
      <c r="Z1354" s="77">
        <f t="shared" si="4327"/>
        <v>6.4624999704999977E-2</v>
      </c>
      <c r="AA1354" s="77">
        <f t="shared" si="4328"/>
        <v>5.2321923767311151E-3</v>
      </c>
      <c r="AB1354" s="79">
        <v>1</v>
      </c>
      <c r="AC1354" s="77">
        <f t="shared" si="4442"/>
        <v>8.499999955555556E-3</v>
      </c>
      <c r="AD1354" s="77">
        <f t="shared" ref="AD1354" si="4465">1-(1-AC1354)^(1/12)</f>
        <v>7.1110795759765644E-4</v>
      </c>
      <c r="AE1354" s="77">
        <f t="shared" si="4444"/>
        <v>2.5000000000000001E-3</v>
      </c>
      <c r="AF1354" s="77">
        <f t="shared" ref="AF1354" si="4466">1-(1-AE1354)^(1/12)</f>
        <v>2.0857243058891584E-4</v>
      </c>
      <c r="AH1354" t="s">
        <v>175</v>
      </c>
      <c r="AI1354" t="s">
        <v>180</v>
      </c>
      <c r="AJ1354" s="197" t="str">
        <f t="shared" si="4435"/>
        <v>Lifecycle_Opportunity_275</v>
      </c>
      <c r="AK1354">
        <v>275</v>
      </c>
      <c r="AL1354">
        <f>VLOOKUP($U1354,[2]Standard_Opportunity!$Q$1:$T$542,2,FALSE)</f>
        <v>0.99999997777777772</v>
      </c>
      <c r="AM1354">
        <f>VLOOKUP($U1354,[2]Standard_Opportunity!$Q$1:$T$542,3,FALSE)</f>
        <v>2.2222222284540294E-8</v>
      </c>
      <c r="AN1354">
        <f>VLOOKUP($U1354,[2]Standard_Opportunity!$Q$1:$T$542,4,FALSE)</f>
        <v>0</v>
      </c>
      <c r="AO1354" s="77">
        <f t="shared" si="4436"/>
        <v>1</v>
      </c>
      <c r="AP1354" s="77">
        <f t="shared" si="4446"/>
        <v>6.4624999704999977E-2</v>
      </c>
      <c r="AQ1354" s="77">
        <f t="shared" si="4437"/>
        <v>5.2321923767311151E-3</v>
      </c>
      <c r="AR1354" s="79">
        <v>0</v>
      </c>
      <c r="AS1354" s="77">
        <f t="shared" si="4447"/>
        <v>0</v>
      </c>
      <c r="AT1354" s="77">
        <f t="shared" si="4448"/>
        <v>0</v>
      </c>
      <c r="AU1354" s="77">
        <f t="shared" si="4449"/>
        <v>2.5000000000000001E-3</v>
      </c>
      <c r="AV1354" s="77">
        <f t="shared" si="4450"/>
        <v>2.0809499864316017E-4</v>
      </c>
    </row>
    <row r="1355" spans="1:48">
      <c r="A1355" t="s">
        <v>175</v>
      </c>
      <c r="B1355" t="s">
        <v>180</v>
      </c>
      <c r="C1355" s="197" t="str">
        <f t="shared" si="4321"/>
        <v>Lifecycle_Opportunity_274</v>
      </c>
      <c r="D1355">
        <v>274</v>
      </c>
      <c r="E1355">
        <f>VLOOKUP($D1355,'[2]LC Opportunity'!$Q$2:$U$542,2,FALSE)</f>
        <v>0</v>
      </c>
      <c r="F1355">
        <f>VLOOKUP($D1355,'[2]LC Opportunity'!$Q$2:$U$542,3,FALSE)</f>
        <v>0</v>
      </c>
      <c r="G1355">
        <f>VLOOKUP($D1355,'[2]LC Opportunity'!$Q$2:$U$542,4,FALSE)</f>
        <v>0</v>
      </c>
      <c r="H1355">
        <f>VLOOKUP($D1355,'[2]LC Opportunity'!$Q$2:$U$542,5,FALSE)</f>
        <v>0.99999999999999989</v>
      </c>
      <c r="I1355" s="77">
        <f t="shared" si="4431"/>
        <v>0.99999999999999989</v>
      </c>
      <c r="J1355" s="77">
        <f t="shared" si="4432"/>
        <v>7.1999999999999981E-2</v>
      </c>
      <c r="K1355" s="77">
        <f t="shared" si="4326"/>
        <v>5.8106552987937654E-3</v>
      </c>
      <c r="L1355" s="76">
        <v>0</v>
      </c>
      <c r="M1355" s="77">
        <f t="shared" si="4438"/>
        <v>0</v>
      </c>
      <c r="N1355" s="77">
        <f t="shared" si="4439"/>
        <v>0</v>
      </c>
      <c r="O1355" s="77">
        <f t="shared" si="4440"/>
        <v>4.9999999999999992E-3</v>
      </c>
      <c r="P1355" s="77">
        <f t="shared" si="4441"/>
        <v>4.1762458919303302E-4</v>
      </c>
      <c r="R1355" t="s">
        <v>177</v>
      </c>
      <c r="S1355" t="s">
        <v>180</v>
      </c>
      <c r="T1355" s="197" t="str">
        <f t="shared" si="4322"/>
        <v>Autopilot_Opportunity_274</v>
      </c>
      <c r="U1355">
        <v>274</v>
      </c>
      <c r="V1355">
        <f>VLOOKUP($U1355,'[2]AP Opportunity'!$Q$1:$T$542,2,FALSE)</f>
        <v>0.99999997777777772</v>
      </c>
      <c r="W1355">
        <f>VLOOKUP($U1355,'[2]AP Opportunity'!$Q$1:$T$542,3,FALSE)</f>
        <v>2.2222222284540294E-8</v>
      </c>
      <c r="X1355">
        <f>VLOOKUP($U1355,'[2]AP Opportunity'!$Q$1:$T$542,4,FALSE)</f>
        <v>0</v>
      </c>
      <c r="Y1355" s="77">
        <f t="shared" si="4323"/>
        <v>1</v>
      </c>
      <c r="Z1355" s="77">
        <f t="shared" si="4327"/>
        <v>6.4624999704999977E-2</v>
      </c>
      <c r="AA1355" s="77">
        <f t="shared" si="4328"/>
        <v>5.2321923767311151E-3</v>
      </c>
      <c r="AB1355" s="79">
        <v>1</v>
      </c>
      <c r="AC1355" s="77">
        <f t="shared" si="4442"/>
        <v>8.499999955555556E-3</v>
      </c>
      <c r="AD1355" s="77">
        <f t="shared" ref="AD1355" si="4467">1-(1-AC1355)^(1/12)</f>
        <v>7.1110795759765644E-4</v>
      </c>
      <c r="AE1355" s="77">
        <f t="shared" si="4444"/>
        <v>2.5000000000000001E-3</v>
      </c>
      <c r="AF1355" s="77">
        <f t="shared" ref="AF1355" si="4468">1-(1-AE1355)^(1/12)</f>
        <v>2.0857243058891584E-4</v>
      </c>
      <c r="AH1355" t="s">
        <v>175</v>
      </c>
      <c r="AI1355" t="s">
        <v>180</v>
      </c>
      <c r="AJ1355" s="197" t="str">
        <f t="shared" si="4435"/>
        <v>Lifecycle_Opportunity_274</v>
      </c>
      <c r="AK1355">
        <v>274</v>
      </c>
      <c r="AL1355">
        <f>VLOOKUP($U1355,[2]Standard_Opportunity!$Q$1:$T$542,2,FALSE)</f>
        <v>0.99999997777777772</v>
      </c>
      <c r="AM1355">
        <f>VLOOKUP($U1355,[2]Standard_Opportunity!$Q$1:$T$542,3,FALSE)</f>
        <v>2.2222222284540294E-8</v>
      </c>
      <c r="AN1355">
        <f>VLOOKUP($U1355,[2]Standard_Opportunity!$Q$1:$T$542,4,FALSE)</f>
        <v>0</v>
      </c>
      <c r="AO1355" s="77">
        <f t="shared" si="4436"/>
        <v>1</v>
      </c>
      <c r="AP1355" s="77">
        <f t="shared" si="4446"/>
        <v>6.4624999704999977E-2</v>
      </c>
      <c r="AQ1355" s="77">
        <f t="shared" si="4437"/>
        <v>5.2321923767311151E-3</v>
      </c>
      <c r="AR1355" s="79">
        <v>0</v>
      </c>
      <c r="AS1355" s="77">
        <f t="shared" si="4447"/>
        <v>0</v>
      </c>
      <c r="AT1355" s="77">
        <f t="shared" si="4448"/>
        <v>0</v>
      </c>
      <c r="AU1355" s="77">
        <f t="shared" si="4449"/>
        <v>2.5000000000000001E-3</v>
      </c>
      <c r="AV1355" s="77">
        <f t="shared" si="4450"/>
        <v>2.0809499864316017E-4</v>
      </c>
    </row>
    <row r="1356" spans="1:48">
      <c r="A1356" t="s">
        <v>175</v>
      </c>
      <c r="B1356" t="s">
        <v>180</v>
      </c>
      <c r="C1356" s="197" t="str">
        <f t="shared" si="4321"/>
        <v>Lifecycle_Opportunity_273</v>
      </c>
      <c r="D1356">
        <v>273</v>
      </c>
      <c r="E1356">
        <f>VLOOKUP($D1356,'[2]LC Opportunity'!$Q$2:$U$542,2,FALSE)</f>
        <v>0</v>
      </c>
      <c r="F1356">
        <f>VLOOKUP($D1356,'[2]LC Opportunity'!$Q$2:$U$542,3,FALSE)</f>
        <v>0</v>
      </c>
      <c r="G1356">
        <f>VLOOKUP($D1356,'[2]LC Opportunity'!$Q$2:$U$542,4,FALSE)</f>
        <v>0</v>
      </c>
      <c r="H1356">
        <f>VLOOKUP($D1356,'[2]LC Opportunity'!$Q$2:$U$542,5,FALSE)</f>
        <v>0.99999999999999989</v>
      </c>
      <c r="I1356" s="77">
        <f t="shared" si="4431"/>
        <v>0.99999999999999989</v>
      </c>
      <c r="J1356" s="77">
        <f t="shared" si="4432"/>
        <v>7.1999999999999981E-2</v>
      </c>
      <c r="K1356" s="77">
        <f t="shared" si="4326"/>
        <v>5.8106552987937654E-3</v>
      </c>
      <c r="L1356" s="76">
        <v>0</v>
      </c>
      <c r="M1356" s="77">
        <f t="shared" si="4438"/>
        <v>0</v>
      </c>
      <c r="N1356" s="77">
        <f t="shared" si="4439"/>
        <v>0</v>
      </c>
      <c r="O1356" s="77">
        <f t="shared" si="4440"/>
        <v>4.9999999999999992E-3</v>
      </c>
      <c r="P1356" s="77">
        <f t="shared" si="4441"/>
        <v>4.1762458919303302E-4</v>
      </c>
      <c r="R1356" t="s">
        <v>177</v>
      </c>
      <c r="S1356" t="s">
        <v>180</v>
      </c>
      <c r="T1356" s="197" t="str">
        <f t="shared" si="4322"/>
        <v>Autopilot_Opportunity_273</v>
      </c>
      <c r="U1356">
        <v>273</v>
      </c>
      <c r="V1356">
        <f>VLOOKUP($U1356,'[2]AP Opportunity'!$Q$1:$T$542,2,FALSE)</f>
        <v>0.99999997777777772</v>
      </c>
      <c r="W1356">
        <f>VLOOKUP($U1356,'[2]AP Opportunity'!$Q$1:$T$542,3,FALSE)</f>
        <v>2.2222222284540294E-8</v>
      </c>
      <c r="X1356">
        <f>VLOOKUP($U1356,'[2]AP Opportunity'!$Q$1:$T$542,4,FALSE)</f>
        <v>0</v>
      </c>
      <c r="Y1356" s="77">
        <f t="shared" si="4323"/>
        <v>1</v>
      </c>
      <c r="Z1356" s="77">
        <f t="shared" si="4327"/>
        <v>6.4624999704999977E-2</v>
      </c>
      <c r="AA1356" s="77">
        <f t="shared" si="4328"/>
        <v>5.2321923767311151E-3</v>
      </c>
      <c r="AB1356" s="79">
        <v>1</v>
      </c>
      <c r="AC1356" s="77">
        <f t="shared" si="4442"/>
        <v>8.499999955555556E-3</v>
      </c>
      <c r="AD1356" s="77">
        <f t="shared" ref="AD1356" si="4469">1-(1-AC1356)^(1/12)</f>
        <v>7.1110795759765644E-4</v>
      </c>
      <c r="AE1356" s="77">
        <f t="shared" si="4444"/>
        <v>2.5000000000000001E-3</v>
      </c>
      <c r="AF1356" s="77">
        <f t="shared" ref="AF1356" si="4470">1-(1-AE1356)^(1/12)</f>
        <v>2.0857243058891584E-4</v>
      </c>
      <c r="AH1356" t="s">
        <v>175</v>
      </c>
      <c r="AI1356" t="s">
        <v>180</v>
      </c>
      <c r="AJ1356" s="197" t="str">
        <f t="shared" si="4435"/>
        <v>Lifecycle_Opportunity_273</v>
      </c>
      <c r="AK1356">
        <v>273</v>
      </c>
      <c r="AL1356">
        <f>VLOOKUP($U1356,[2]Standard_Opportunity!$Q$1:$T$542,2,FALSE)</f>
        <v>0.99999997777777772</v>
      </c>
      <c r="AM1356">
        <f>VLOOKUP($U1356,[2]Standard_Opportunity!$Q$1:$T$542,3,FALSE)</f>
        <v>2.2222222284540294E-8</v>
      </c>
      <c r="AN1356">
        <f>VLOOKUP($U1356,[2]Standard_Opportunity!$Q$1:$T$542,4,FALSE)</f>
        <v>0</v>
      </c>
      <c r="AO1356" s="77">
        <f t="shared" si="4436"/>
        <v>1</v>
      </c>
      <c r="AP1356" s="77">
        <f t="shared" si="4446"/>
        <v>6.4624999704999977E-2</v>
      </c>
      <c r="AQ1356" s="77">
        <f t="shared" si="4437"/>
        <v>5.2321923767311151E-3</v>
      </c>
      <c r="AR1356" s="79">
        <v>0</v>
      </c>
      <c r="AS1356" s="77">
        <f t="shared" si="4447"/>
        <v>0</v>
      </c>
      <c r="AT1356" s="77">
        <f t="shared" si="4448"/>
        <v>0</v>
      </c>
      <c r="AU1356" s="77">
        <f t="shared" si="4449"/>
        <v>2.5000000000000001E-3</v>
      </c>
      <c r="AV1356" s="77">
        <f t="shared" si="4450"/>
        <v>2.0809499864316017E-4</v>
      </c>
    </row>
    <row r="1357" spans="1:48">
      <c r="A1357" t="s">
        <v>175</v>
      </c>
      <c r="B1357" t="s">
        <v>180</v>
      </c>
      <c r="C1357" s="197" t="str">
        <f t="shared" ref="C1357:C1420" si="4471">A1357&amp;"_"&amp;B1357&amp;"_"&amp;D1357</f>
        <v>Lifecycle_Opportunity_272</v>
      </c>
      <c r="D1357">
        <v>272</v>
      </c>
      <c r="E1357">
        <f>VLOOKUP($D1357,'[2]LC Opportunity'!$Q$2:$U$542,2,FALSE)</f>
        <v>0</v>
      </c>
      <c r="F1357">
        <f>VLOOKUP($D1357,'[2]LC Opportunity'!$Q$2:$U$542,3,FALSE)</f>
        <v>0</v>
      </c>
      <c r="G1357">
        <f>VLOOKUP($D1357,'[2]LC Opportunity'!$Q$2:$U$542,4,FALSE)</f>
        <v>0</v>
      </c>
      <c r="H1357">
        <f>VLOOKUP($D1357,'[2]LC Opportunity'!$Q$2:$U$542,5,FALSE)</f>
        <v>0.99999999999999989</v>
      </c>
      <c r="I1357" s="77">
        <f t="shared" si="4431"/>
        <v>0.99999999999999989</v>
      </c>
      <c r="J1357" s="77">
        <f t="shared" si="4432"/>
        <v>7.1999999999999981E-2</v>
      </c>
      <c r="K1357" s="77">
        <f t="shared" si="4326"/>
        <v>5.8106552987937654E-3</v>
      </c>
      <c r="L1357" s="76">
        <v>0</v>
      </c>
      <c r="M1357" s="77">
        <f t="shared" si="4438"/>
        <v>0</v>
      </c>
      <c r="N1357" s="77">
        <f t="shared" si="4439"/>
        <v>0</v>
      </c>
      <c r="O1357" s="77">
        <f t="shared" si="4440"/>
        <v>4.9999999999999992E-3</v>
      </c>
      <c r="P1357" s="77">
        <f t="shared" si="4441"/>
        <v>4.1762458919303302E-4</v>
      </c>
      <c r="R1357" t="s">
        <v>177</v>
      </c>
      <c r="S1357" t="s">
        <v>180</v>
      </c>
      <c r="T1357" s="197" t="str">
        <f t="shared" ref="T1357:T1420" si="4472">R1357&amp;"_"&amp;S1357&amp;"_"&amp;U1357</f>
        <v>Autopilot_Opportunity_272</v>
      </c>
      <c r="U1357">
        <v>272</v>
      </c>
      <c r="V1357">
        <f>VLOOKUP($U1357,'[2]AP Opportunity'!$Q$1:$T$542,2,FALSE)</f>
        <v>0.99999997777777772</v>
      </c>
      <c r="W1357">
        <f>VLOOKUP($U1357,'[2]AP Opportunity'!$Q$1:$T$542,3,FALSE)</f>
        <v>2.2222222284540294E-8</v>
      </c>
      <c r="X1357">
        <f>VLOOKUP($U1357,'[2]AP Opportunity'!$Q$1:$T$542,4,FALSE)</f>
        <v>0</v>
      </c>
      <c r="Y1357" s="77">
        <f t="shared" ref="Y1357:Y1420" si="4473">SUM(V1357:X1357)</f>
        <v>1</v>
      </c>
      <c r="Z1357" s="77">
        <f t="shared" si="4327"/>
        <v>6.4624999704999977E-2</v>
      </c>
      <c r="AA1357" s="77">
        <f t="shared" si="4328"/>
        <v>5.2321923767311151E-3</v>
      </c>
      <c r="AB1357" s="79">
        <v>1</v>
      </c>
      <c r="AC1357" s="77">
        <f t="shared" si="4442"/>
        <v>8.499999955555556E-3</v>
      </c>
      <c r="AD1357" s="77">
        <f t="shared" ref="AD1357" si="4474">1-(1-AC1357)^(1/12)</f>
        <v>7.1110795759765644E-4</v>
      </c>
      <c r="AE1357" s="77">
        <f t="shared" si="4444"/>
        <v>2.5000000000000001E-3</v>
      </c>
      <c r="AF1357" s="77">
        <f t="shared" ref="AF1357" si="4475">1-(1-AE1357)^(1/12)</f>
        <v>2.0857243058891584E-4</v>
      </c>
      <c r="AH1357" t="s">
        <v>175</v>
      </c>
      <c r="AI1357" t="s">
        <v>180</v>
      </c>
      <c r="AJ1357" s="197" t="str">
        <f t="shared" si="4435"/>
        <v>Lifecycle_Opportunity_272</v>
      </c>
      <c r="AK1357">
        <v>272</v>
      </c>
      <c r="AL1357">
        <f>VLOOKUP($U1357,[2]Standard_Opportunity!$Q$1:$T$542,2,FALSE)</f>
        <v>0.99999997777777772</v>
      </c>
      <c r="AM1357">
        <f>VLOOKUP($U1357,[2]Standard_Opportunity!$Q$1:$T$542,3,FALSE)</f>
        <v>2.2222222284540294E-8</v>
      </c>
      <c r="AN1357">
        <f>VLOOKUP($U1357,[2]Standard_Opportunity!$Q$1:$T$542,4,FALSE)</f>
        <v>0</v>
      </c>
      <c r="AO1357" s="77">
        <f t="shared" si="4436"/>
        <v>1</v>
      </c>
      <c r="AP1357" s="77">
        <f t="shared" si="4446"/>
        <v>6.4624999704999977E-2</v>
      </c>
      <c r="AQ1357" s="77">
        <f t="shared" si="4437"/>
        <v>5.2321923767311151E-3</v>
      </c>
      <c r="AR1357" s="79">
        <v>0</v>
      </c>
      <c r="AS1357" s="77">
        <f t="shared" si="4447"/>
        <v>0</v>
      </c>
      <c r="AT1357" s="77">
        <f t="shared" si="4448"/>
        <v>0</v>
      </c>
      <c r="AU1357" s="77">
        <f t="shared" si="4449"/>
        <v>2.5000000000000001E-3</v>
      </c>
      <c r="AV1357" s="77">
        <f t="shared" si="4450"/>
        <v>2.0809499864316017E-4</v>
      </c>
    </row>
    <row r="1358" spans="1:48">
      <c r="A1358" t="s">
        <v>175</v>
      </c>
      <c r="B1358" t="s">
        <v>180</v>
      </c>
      <c r="C1358" s="197" t="str">
        <f t="shared" si="4471"/>
        <v>Lifecycle_Opportunity_271</v>
      </c>
      <c r="D1358">
        <v>271</v>
      </c>
      <c r="E1358">
        <f>VLOOKUP($D1358,'[2]LC Opportunity'!$Q$2:$U$542,2,FALSE)</f>
        <v>0</v>
      </c>
      <c r="F1358">
        <f>VLOOKUP($D1358,'[2]LC Opportunity'!$Q$2:$U$542,3,FALSE)</f>
        <v>0</v>
      </c>
      <c r="G1358">
        <f>VLOOKUP($D1358,'[2]LC Opportunity'!$Q$2:$U$542,4,FALSE)</f>
        <v>0</v>
      </c>
      <c r="H1358">
        <f>VLOOKUP($D1358,'[2]LC Opportunity'!$Q$2:$U$542,5,FALSE)</f>
        <v>0.99999999999999989</v>
      </c>
      <c r="I1358" s="77">
        <f t="shared" si="4431"/>
        <v>0.99999999999999989</v>
      </c>
      <c r="J1358" s="77">
        <f t="shared" si="4432"/>
        <v>7.1999999999999981E-2</v>
      </c>
      <c r="K1358" s="77">
        <f t="shared" ref="K1358:K1421" si="4476">(1+J1358)^(1/12)-1</f>
        <v>5.8106552987937654E-3</v>
      </c>
      <c r="L1358" s="76">
        <v>0</v>
      </c>
      <c r="M1358" s="77">
        <f t="shared" si="4438"/>
        <v>0</v>
      </c>
      <c r="N1358" s="77">
        <f t="shared" si="4439"/>
        <v>0</v>
      </c>
      <c r="O1358" s="77">
        <f t="shared" si="4440"/>
        <v>4.9999999999999992E-3</v>
      </c>
      <c r="P1358" s="77">
        <f t="shared" si="4441"/>
        <v>4.1762458919303302E-4</v>
      </c>
      <c r="R1358" t="s">
        <v>177</v>
      </c>
      <c r="S1358" t="s">
        <v>180</v>
      </c>
      <c r="T1358" s="197" t="str">
        <f t="shared" si="4472"/>
        <v>Autopilot_Opportunity_271</v>
      </c>
      <c r="U1358">
        <v>271</v>
      </c>
      <c r="V1358">
        <f>VLOOKUP($U1358,'[2]AP Opportunity'!$Q$1:$T$542,2,FALSE)</f>
        <v>0.99999997777777772</v>
      </c>
      <c r="W1358">
        <f>VLOOKUP($U1358,'[2]AP Opportunity'!$Q$1:$T$542,3,FALSE)</f>
        <v>2.2222222284540294E-8</v>
      </c>
      <c r="X1358">
        <f>VLOOKUP($U1358,'[2]AP Opportunity'!$Q$1:$T$542,4,FALSE)</f>
        <v>0</v>
      </c>
      <c r="Y1358" s="77">
        <f t="shared" si="4473"/>
        <v>1</v>
      </c>
      <c r="Z1358" s="77">
        <f t="shared" ref="Z1358:Z1421" si="4477">SUMPRODUCT($V$1:$X$1,V1358:X1358)</f>
        <v>6.4624999704999977E-2</v>
      </c>
      <c r="AA1358" s="77">
        <f t="shared" ref="AA1358:AA1421" si="4478">(1+Z1358)^(1/12)-1</f>
        <v>5.2321923767311151E-3</v>
      </c>
      <c r="AB1358" s="79">
        <v>1</v>
      </c>
      <c r="AC1358" s="77">
        <f t="shared" si="4442"/>
        <v>8.499999955555556E-3</v>
      </c>
      <c r="AD1358" s="77">
        <f t="shared" ref="AD1358" si="4479">1-(1-AC1358)^(1/12)</f>
        <v>7.1110795759765644E-4</v>
      </c>
      <c r="AE1358" s="77">
        <f t="shared" si="4444"/>
        <v>2.5000000000000001E-3</v>
      </c>
      <c r="AF1358" s="77">
        <f t="shared" ref="AF1358" si="4480">1-(1-AE1358)^(1/12)</f>
        <v>2.0857243058891584E-4</v>
      </c>
      <c r="AH1358" t="s">
        <v>175</v>
      </c>
      <c r="AI1358" t="s">
        <v>180</v>
      </c>
      <c r="AJ1358" s="197" t="str">
        <f t="shared" si="4435"/>
        <v>Lifecycle_Opportunity_271</v>
      </c>
      <c r="AK1358">
        <v>271</v>
      </c>
      <c r="AL1358">
        <f>VLOOKUP($U1358,[2]Standard_Opportunity!$Q$1:$T$542,2,FALSE)</f>
        <v>0.99999997777777772</v>
      </c>
      <c r="AM1358">
        <f>VLOOKUP($U1358,[2]Standard_Opportunity!$Q$1:$T$542,3,FALSE)</f>
        <v>2.2222222284540294E-8</v>
      </c>
      <c r="AN1358">
        <f>VLOOKUP($U1358,[2]Standard_Opportunity!$Q$1:$T$542,4,FALSE)</f>
        <v>0</v>
      </c>
      <c r="AO1358" s="77">
        <f t="shared" si="4436"/>
        <v>1</v>
      </c>
      <c r="AP1358" s="77">
        <f t="shared" si="4446"/>
        <v>6.4624999704999977E-2</v>
      </c>
      <c r="AQ1358" s="77">
        <f t="shared" si="4437"/>
        <v>5.2321923767311151E-3</v>
      </c>
      <c r="AR1358" s="79">
        <v>0</v>
      </c>
      <c r="AS1358" s="77">
        <f t="shared" si="4447"/>
        <v>0</v>
      </c>
      <c r="AT1358" s="77">
        <f t="shared" si="4448"/>
        <v>0</v>
      </c>
      <c r="AU1358" s="77">
        <f t="shared" si="4449"/>
        <v>2.5000000000000001E-3</v>
      </c>
      <c r="AV1358" s="77">
        <f t="shared" si="4450"/>
        <v>2.0809499864316017E-4</v>
      </c>
    </row>
    <row r="1359" spans="1:48">
      <c r="A1359" t="s">
        <v>175</v>
      </c>
      <c r="B1359" t="s">
        <v>180</v>
      </c>
      <c r="C1359" s="197" t="str">
        <f t="shared" si="4471"/>
        <v>Lifecycle_Opportunity_270</v>
      </c>
      <c r="D1359">
        <v>270</v>
      </c>
      <c r="E1359">
        <f>VLOOKUP($D1359,'[2]LC Opportunity'!$Q$2:$U$542,2,FALSE)</f>
        <v>0</v>
      </c>
      <c r="F1359">
        <f>VLOOKUP($D1359,'[2]LC Opportunity'!$Q$2:$U$542,3,FALSE)</f>
        <v>0</v>
      </c>
      <c r="G1359">
        <f>VLOOKUP($D1359,'[2]LC Opportunity'!$Q$2:$U$542,4,FALSE)</f>
        <v>0</v>
      </c>
      <c r="H1359">
        <f>VLOOKUP($D1359,'[2]LC Opportunity'!$Q$2:$U$542,5,FALSE)</f>
        <v>0.99999999999999989</v>
      </c>
      <c r="I1359" s="77">
        <f t="shared" si="4431"/>
        <v>0.99999999999999989</v>
      </c>
      <c r="J1359" s="77">
        <f t="shared" si="4432"/>
        <v>7.1999999999999981E-2</v>
      </c>
      <c r="K1359" s="77">
        <f t="shared" si="4476"/>
        <v>5.8106552987937654E-3</v>
      </c>
      <c r="L1359" s="76">
        <v>0</v>
      </c>
      <c r="M1359" s="77">
        <f t="shared" si="4438"/>
        <v>0</v>
      </c>
      <c r="N1359" s="77">
        <f t="shared" si="4439"/>
        <v>0</v>
      </c>
      <c r="O1359" s="77">
        <f t="shared" si="4440"/>
        <v>4.9999999999999992E-3</v>
      </c>
      <c r="P1359" s="77">
        <f t="shared" si="4441"/>
        <v>4.1762458919303302E-4</v>
      </c>
      <c r="R1359" t="s">
        <v>177</v>
      </c>
      <c r="S1359" t="s">
        <v>180</v>
      </c>
      <c r="T1359" s="197" t="str">
        <f t="shared" si="4472"/>
        <v>Autopilot_Opportunity_270</v>
      </c>
      <c r="U1359">
        <v>270</v>
      </c>
      <c r="V1359">
        <f>VLOOKUP($U1359,'[2]AP Opportunity'!$Q$1:$T$542,2,FALSE)</f>
        <v>0.99999997777777772</v>
      </c>
      <c r="W1359">
        <f>VLOOKUP($U1359,'[2]AP Opportunity'!$Q$1:$T$542,3,FALSE)</f>
        <v>2.2222222284540294E-8</v>
      </c>
      <c r="X1359">
        <f>VLOOKUP($U1359,'[2]AP Opportunity'!$Q$1:$T$542,4,FALSE)</f>
        <v>0</v>
      </c>
      <c r="Y1359" s="77">
        <f t="shared" si="4473"/>
        <v>1</v>
      </c>
      <c r="Z1359" s="77">
        <f t="shared" si="4477"/>
        <v>6.4624999704999977E-2</v>
      </c>
      <c r="AA1359" s="77">
        <f t="shared" si="4478"/>
        <v>5.2321923767311151E-3</v>
      </c>
      <c r="AB1359" s="79">
        <v>1</v>
      </c>
      <c r="AC1359" s="77">
        <f t="shared" si="4442"/>
        <v>8.499999955555556E-3</v>
      </c>
      <c r="AD1359" s="77">
        <f t="shared" ref="AD1359" si="4481">1-(1-AC1359)^(1/12)</f>
        <v>7.1110795759765644E-4</v>
      </c>
      <c r="AE1359" s="77">
        <f t="shared" si="4444"/>
        <v>2.5000000000000001E-3</v>
      </c>
      <c r="AF1359" s="77">
        <f t="shared" ref="AF1359" si="4482">1-(1-AE1359)^(1/12)</f>
        <v>2.0857243058891584E-4</v>
      </c>
      <c r="AH1359" t="s">
        <v>175</v>
      </c>
      <c r="AI1359" t="s">
        <v>180</v>
      </c>
      <c r="AJ1359" s="197" t="str">
        <f t="shared" si="4435"/>
        <v>Lifecycle_Opportunity_270</v>
      </c>
      <c r="AK1359">
        <v>270</v>
      </c>
      <c r="AL1359">
        <f>VLOOKUP($U1359,[2]Standard_Opportunity!$Q$1:$T$542,2,FALSE)</f>
        <v>0.99999997777777772</v>
      </c>
      <c r="AM1359">
        <f>VLOOKUP($U1359,[2]Standard_Opportunity!$Q$1:$T$542,3,FALSE)</f>
        <v>2.2222222284540294E-8</v>
      </c>
      <c r="AN1359">
        <f>VLOOKUP($U1359,[2]Standard_Opportunity!$Q$1:$T$542,4,FALSE)</f>
        <v>0</v>
      </c>
      <c r="AO1359" s="77">
        <f t="shared" si="4436"/>
        <v>1</v>
      </c>
      <c r="AP1359" s="77">
        <f t="shared" si="4446"/>
        <v>6.4624999704999977E-2</v>
      </c>
      <c r="AQ1359" s="77">
        <f t="shared" si="4437"/>
        <v>5.2321923767311151E-3</v>
      </c>
      <c r="AR1359" s="79">
        <v>0</v>
      </c>
      <c r="AS1359" s="77">
        <f t="shared" si="4447"/>
        <v>0</v>
      </c>
      <c r="AT1359" s="77">
        <f t="shared" si="4448"/>
        <v>0</v>
      </c>
      <c r="AU1359" s="77">
        <f t="shared" si="4449"/>
        <v>2.5000000000000001E-3</v>
      </c>
      <c r="AV1359" s="77">
        <f t="shared" si="4450"/>
        <v>2.0809499864316017E-4</v>
      </c>
    </row>
    <row r="1360" spans="1:48">
      <c r="A1360" t="s">
        <v>175</v>
      </c>
      <c r="B1360" t="s">
        <v>180</v>
      </c>
      <c r="C1360" s="197" t="str">
        <f t="shared" si="4471"/>
        <v>Lifecycle_Opportunity_269</v>
      </c>
      <c r="D1360">
        <v>269</v>
      </c>
      <c r="E1360">
        <f>VLOOKUP($D1360,'[2]LC Opportunity'!$Q$2:$U$542,2,FALSE)</f>
        <v>0</v>
      </c>
      <c r="F1360">
        <f>VLOOKUP($D1360,'[2]LC Opportunity'!$Q$2:$U$542,3,FALSE)</f>
        <v>0</v>
      </c>
      <c r="G1360">
        <f>VLOOKUP($D1360,'[2]LC Opportunity'!$Q$2:$U$542,4,FALSE)</f>
        <v>0</v>
      </c>
      <c r="H1360">
        <f>VLOOKUP($D1360,'[2]LC Opportunity'!$Q$2:$U$542,5,FALSE)</f>
        <v>0.99999999999999989</v>
      </c>
      <c r="I1360" s="77">
        <f t="shared" si="4431"/>
        <v>0.99999999999999989</v>
      </c>
      <c r="J1360" s="77">
        <f t="shared" si="4432"/>
        <v>7.1999999999999981E-2</v>
      </c>
      <c r="K1360" s="77">
        <f t="shared" si="4476"/>
        <v>5.8106552987937654E-3</v>
      </c>
      <c r="L1360" s="76">
        <v>0</v>
      </c>
      <c r="M1360" s="77">
        <f t="shared" si="4438"/>
        <v>0</v>
      </c>
      <c r="N1360" s="77">
        <f t="shared" si="4439"/>
        <v>0</v>
      </c>
      <c r="O1360" s="77">
        <f t="shared" si="4440"/>
        <v>4.9999999999999992E-3</v>
      </c>
      <c r="P1360" s="77">
        <f t="shared" si="4441"/>
        <v>4.1762458919303302E-4</v>
      </c>
      <c r="R1360" t="s">
        <v>177</v>
      </c>
      <c r="S1360" t="s">
        <v>180</v>
      </c>
      <c r="T1360" s="197" t="str">
        <f t="shared" si="4472"/>
        <v>Autopilot_Opportunity_269</v>
      </c>
      <c r="U1360">
        <v>269</v>
      </c>
      <c r="V1360">
        <f>VLOOKUP($U1360,'[2]AP Opportunity'!$Q$1:$T$542,2,FALSE)</f>
        <v>0.99999997777777772</v>
      </c>
      <c r="W1360">
        <f>VLOOKUP($U1360,'[2]AP Opportunity'!$Q$1:$T$542,3,FALSE)</f>
        <v>2.2222222284540294E-8</v>
      </c>
      <c r="X1360">
        <f>VLOOKUP($U1360,'[2]AP Opportunity'!$Q$1:$T$542,4,FALSE)</f>
        <v>0</v>
      </c>
      <c r="Y1360" s="77">
        <f t="shared" si="4473"/>
        <v>1</v>
      </c>
      <c r="Z1360" s="77">
        <f t="shared" si="4477"/>
        <v>6.4624999704999977E-2</v>
      </c>
      <c r="AA1360" s="77">
        <f t="shared" si="4478"/>
        <v>5.2321923767311151E-3</v>
      </c>
      <c r="AB1360" s="79">
        <v>1</v>
      </c>
      <c r="AC1360" s="77">
        <f t="shared" si="4442"/>
        <v>8.499999955555556E-3</v>
      </c>
      <c r="AD1360" s="77">
        <f t="shared" ref="AD1360" si="4483">1-(1-AC1360)^(1/12)</f>
        <v>7.1110795759765644E-4</v>
      </c>
      <c r="AE1360" s="77">
        <f t="shared" si="4444"/>
        <v>2.5000000000000001E-3</v>
      </c>
      <c r="AF1360" s="77">
        <f t="shared" ref="AF1360" si="4484">1-(1-AE1360)^(1/12)</f>
        <v>2.0857243058891584E-4</v>
      </c>
      <c r="AH1360" t="s">
        <v>175</v>
      </c>
      <c r="AI1360" t="s">
        <v>180</v>
      </c>
      <c r="AJ1360" s="197" t="str">
        <f t="shared" si="4435"/>
        <v>Lifecycle_Opportunity_269</v>
      </c>
      <c r="AK1360">
        <v>269</v>
      </c>
      <c r="AL1360">
        <f>VLOOKUP($U1360,[2]Standard_Opportunity!$Q$1:$T$542,2,FALSE)</f>
        <v>0.99999997777777772</v>
      </c>
      <c r="AM1360">
        <f>VLOOKUP($U1360,[2]Standard_Opportunity!$Q$1:$T$542,3,FALSE)</f>
        <v>2.2222222284540294E-8</v>
      </c>
      <c r="AN1360">
        <f>VLOOKUP($U1360,[2]Standard_Opportunity!$Q$1:$T$542,4,FALSE)</f>
        <v>0</v>
      </c>
      <c r="AO1360" s="77">
        <f t="shared" si="4436"/>
        <v>1</v>
      </c>
      <c r="AP1360" s="77">
        <f t="shared" si="4446"/>
        <v>6.4624999704999977E-2</v>
      </c>
      <c r="AQ1360" s="77">
        <f t="shared" si="4437"/>
        <v>5.2321923767311151E-3</v>
      </c>
      <c r="AR1360" s="79">
        <v>0</v>
      </c>
      <c r="AS1360" s="77">
        <f t="shared" si="4447"/>
        <v>0</v>
      </c>
      <c r="AT1360" s="77">
        <f t="shared" si="4448"/>
        <v>0</v>
      </c>
      <c r="AU1360" s="77">
        <f t="shared" si="4449"/>
        <v>2.5000000000000001E-3</v>
      </c>
      <c r="AV1360" s="77">
        <f t="shared" si="4450"/>
        <v>2.0809499864316017E-4</v>
      </c>
    </row>
    <row r="1361" spans="1:48">
      <c r="A1361" t="s">
        <v>175</v>
      </c>
      <c r="B1361" t="s">
        <v>180</v>
      </c>
      <c r="C1361" s="197" t="str">
        <f t="shared" si="4471"/>
        <v>Lifecycle_Opportunity_268</v>
      </c>
      <c r="D1361">
        <v>268</v>
      </c>
      <c r="E1361">
        <f>VLOOKUP($D1361,'[2]LC Opportunity'!$Q$2:$U$542,2,FALSE)</f>
        <v>0</v>
      </c>
      <c r="F1361">
        <f>VLOOKUP($D1361,'[2]LC Opportunity'!$Q$2:$U$542,3,FALSE)</f>
        <v>0</v>
      </c>
      <c r="G1361">
        <f>VLOOKUP($D1361,'[2]LC Opportunity'!$Q$2:$U$542,4,FALSE)</f>
        <v>0</v>
      </c>
      <c r="H1361">
        <f>VLOOKUP($D1361,'[2]LC Opportunity'!$Q$2:$U$542,5,FALSE)</f>
        <v>0.99999999999999989</v>
      </c>
      <c r="I1361" s="77">
        <f t="shared" si="4431"/>
        <v>0.99999999999999989</v>
      </c>
      <c r="J1361" s="77">
        <f t="shared" si="4432"/>
        <v>7.1999999999999981E-2</v>
      </c>
      <c r="K1361" s="77">
        <f t="shared" si="4476"/>
        <v>5.8106552987937654E-3</v>
      </c>
      <c r="L1361" s="76">
        <v>0</v>
      </c>
      <c r="M1361" s="77">
        <f t="shared" si="4438"/>
        <v>0</v>
      </c>
      <c r="N1361" s="77">
        <f t="shared" si="4439"/>
        <v>0</v>
      </c>
      <c r="O1361" s="77">
        <f t="shared" si="4440"/>
        <v>4.9999999999999992E-3</v>
      </c>
      <c r="P1361" s="77">
        <f t="shared" si="4441"/>
        <v>4.1762458919303302E-4</v>
      </c>
      <c r="R1361" t="s">
        <v>177</v>
      </c>
      <c r="S1361" t="s">
        <v>180</v>
      </c>
      <c r="T1361" s="197" t="str">
        <f t="shared" si="4472"/>
        <v>Autopilot_Opportunity_268</v>
      </c>
      <c r="U1361">
        <v>268</v>
      </c>
      <c r="V1361">
        <f>VLOOKUP($U1361,'[2]AP Opportunity'!$Q$1:$T$542,2,FALSE)</f>
        <v>0.99999997777777772</v>
      </c>
      <c r="W1361">
        <f>VLOOKUP($U1361,'[2]AP Opportunity'!$Q$1:$T$542,3,FALSE)</f>
        <v>2.2222222284540294E-8</v>
      </c>
      <c r="X1361">
        <f>VLOOKUP($U1361,'[2]AP Opportunity'!$Q$1:$T$542,4,FALSE)</f>
        <v>0</v>
      </c>
      <c r="Y1361" s="77">
        <f t="shared" si="4473"/>
        <v>1</v>
      </c>
      <c r="Z1361" s="77">
        <f t="shared" si="4477"/>
        <v>6.4624999704999977E-2</v>
      </c>
      <c r="AA1361" s="77">
        <f t="shared" si="4478"/>
        <v>5.2321923767311151E-3</v>
      </c>
      <c r="AB1361" s="79">
        <v>1</v>
      </c>
      <c r="AC1361" s="77">
        <f t="shared" si="4442"/>
        <v>8.499999955555556E-3</v>
      </c>
      <c r="AD1361" s="77">
        <f t="shared" ref="AD1361" si="4485">1-(1-AC1361)^(1/12)</f>
        <v>7.1110795759765644E-4</v>
      </c>
      <c r="AE1361" s="77">
        <f t="shared" si="4444"/>
        <v>2.5000000000000001E-3</v>
      </c>
      <c r="AF1361" s="77">
        <f t="shared" ref="AF1361" si="4486">1-(1-AE1361)^(1/12)</f>
        <v>2.0857243058891584E-4</v>
      </c>
      <c r="AH1361" t="s">
        <v>175</v>
      </c>
      <c r="AI1361" t="s">
        <v>180</v>
      </c>
      <c r="AJ1361" s="197" t="str">
        <f t="shared" si="4435"/>
        <v>Lifecycle_Opportunity_268</v>
      </c>
      <c r="AK1361">
        <v>268</v>
      </c>
      <c r="AL1361">
        <f>VLOOKUP($U1361,[2]Standard_Opportunity!$Q$1:$T$542,2,FALSE)</f>
        <v>0.99999997777777772</v>
      </c>
      <c r="AM1361">
        <f>VLOOKUP($U1361,[2]Standard_Opportunity!$Q$1:$T$542,3,FALSE)</f>
        <v>2.2222222284540294E-8</v>
      </c>
      <c r="AN1361">
        <f>VLOOKUP($U1361,[2]Standard_Opportunity!$Q$1:$T$542,4,FALSE)</f>
        <v>0</v>
      </c>
      <c r="AO1361" s="77">
        <f t="shared" si="4436"/>
        <v>1</v>
      </c>
      <c r="AP1361" s="77">
        <f t="shared" si="4446"/>
        <v>6.4624999704999977E-2</v>
      </c>
      <c r="AQ1361" s="77">
        <f t="shared" si="4437"/>
        <v>5.2321923767311151E-3</v>
      </c>
      <c r="AR1361" s="79">
        <v>0</v>
      </c>
      <c r="AS1361" s="77">
        <f t="shared" si="4447"/>
        <v>0</v>
      </c>
      <c r="AT1361" s="77">
        <f t="shared" si="4448"/>
        <v>0</v>
      </c>
      <c r="AU1361" s="77">
        <f t="shared" si="4449"/>
        <v>2.5000000000000001E-3</v>
      </c>
      <c r="AV1361" s="77">
        <f t="shared" si="4450"/>
        <v>2.0809499864316017E-4</v>
      </c>
    </row>
    <row r="1362" spans="1:48">
      <c r="A1362" t="s">
        <v>175</v>
      </c>
      <c r="B1362" t="s">
        <v>180</v>
      </c>
      <c r="C1362" s="197" t="str">
        <f t="shared" si="4471"/>
        <v>Lifecycle_Opportunity_267</v>
      </c>
      <c r="D1362">
        <v>267</v>
      </c>
      <c r="E1362">
        <f>VLOOKUP($D1362,'[2]LC Opportunity'!$Q$2:$U$542,2,FALSE)</f>
        <v>0</v>
      </c>
      <c r="F1362">
        <f>VLOOKUP($D1362,'[2]LC Opportunity'!$Q$2:$U$542,3,FALSE)</f>
        <v>0</v>
      </c>
      <c r="G1362">
        <f>VLOOKUP($D1362,'[2]LC Opportunity'!$Q$2:$U$542,4,FALSE)</f>
        <v>0</v>
      </c>
      <c r="H1362">
        <f>VLOOKUP($D1362,'[2]LC Opportunity'!$Q$2:$U$542,5,FALSE)</f>
        <v>0.99999999999999989</v>
      </c>
      <c r="I1362" s="77">
        <f t="shared" si="4431"/>
        <v>0.99999999999999989</v>
      </c>
      <c r="J1362" s="77">
        <f t="shared" si="4432"/>
        <v>7.1999999999999981E-2</v>
      </c>
      <c r="K1362" s="77">
        <f t="shared" si="4476"/>
        <v>5.8106552987937654E-3</v>
      </c>
      <c r="L1362" s="76">
        <v>0</v>
      </c>
      <c r="M1362" s="77">
        <f t="shared" si="4438"/>
        <v>0</v>
      </c>
      <c r="N1362" s="77">
        <f t="shared" si="4439"/>
        <v>0</v>
      </c>
      <c r="O1362" s="77">
        <f t="shared" si="4440"/>
        <v>4.9999999999999992E-3</v>
      </c>
      <c r="P1362" s="77">
        <f t="shared" si="4441"/>
        <v>4.1762458919303302E-4</v>
      </c>
      <c r="R1362" t="s">
        <v>177</v>
      </c>
      <c r="S1362" t="s">
        <v>180</v>
      </c>
      <c r="T1362" s="197" t="str">
        <f t="shared" si="4472"/>
        <v>Autopilot_Opportunity_267</v>
      </c>
      <c r="U1362">
        <v>267</v>
      </c>
      <c r="V1362">
        <f>VLOOKUP($U1362,'[2]AP Opportunity'!$Q$1:$T$542,2,FALSE)</f>
        <v>0.99999997777777772</v>
      </c>
      <c r="W1362">
        <f>VLOOKUP($U1362,'[2]AP Opportunity'!$Q$1:$T$542,3,FALSE)</f>
        <v>2.2222222284540294E-8</v>
      </c>
      <c r="X1362">
        <f>VLOOKUP($U1362,'[2]AP Opportunity'!$Q$1:$T$542,4,FALSE)</f>
        <v>0</v>
      </c>
      <c r="Y1362" s="77">
        <f t="shared" si="4473"/>
        <v>1</v>
      </c>
      <c r="Z1362" s="77">
        <f t="shared" si="4477"/>
        <v>6.4624999704999977E-2</v>
      </c>
      <c r="AA1362" s="77">
        <f t="shared" si="4478"/>
        <v>5.2321923767311151E-3</v>
      </c>
      <c r="AB1362" s="79">
        <v>1</v>
      </c>
      <c r="AC1362" s="77">
        <f t="shared" si="4442"/>
        <v>8.499999955555556E-3</v>
      </c>
      <c r="AD1362" s="77">
        <f t="shared" ref="AD1362" si="4487">1-(1-AC1362)^(1/12)</f>
        <v>7.1110795759765644E-4</v>
      </c>
      <c r="AE1362" s="77">
        <f t="shared" si="4444"/>
        <v>2.5000000000000001E-3</v>
      </c>
      <c r="AF1362" s="77">
        <f t="shared" ref="AF1362" si="4488">1-(1-AE1362)^(1/12)</f>
        <v>2.0857243058891584E-4</v>
      </c>
      <c r="AH1362" t="s">
        <v>175</v>
      </c>
      <c r="AI1362" t="s">
        <v>180</v>
      </c>
      <c r="AJ1362" s="197" t="str">
        <f t="shared" si="4435"/>
        <v>Lifecycle_Opportunity_267</v>
      </c>
      <c r="AK1362">
        <v>267</v>
      </c>
      <c r="AL1362">
        <f>VLOOKUP($U1362,[2]Standard_Opportunity!$Q$1:$T$542,2,FALSE)</f>
        <v>0.99999997777777772</v>
      </c>
      <c r="AM1362">
        <f>VLOOKUP($U1362,[2]Standard_Opportunity!$Q$1:$T$542,3,FALSE)</f>
        <v>2.2222222284540294E-8</v>
      </c>
      <c r="AN1362">
        <f>VLOOKUP($U1362,[2]Standard_Opportunity!$Q$1:$T$542,4,FALSE)</f>
        <v>0</v>
      </c>
      <c r="AO1362" s="77">
        <f t="shared" si="4436"/>
        <v>1</v>
      </c>
      <c r="AP1362" s="77">
        <f t="shared" si="4446"/>
        <v>6.4624999704999977E-2</v>
      </c>
      <c r="AQ1362" s="77">
        <f t="shared" si="4437"/>
        <v>5.2321923767311151E-3</v>
      </c>
      <c r="AR1362" s="79">
        <v>0</v>
      </c>
      <c r="AS1362" s="77">
        <f t="shared" si="4447"/>
        <v>0</v>
      </c>
      <c r="AT1362" s="77">
        <f t="shared" si="4448"/>
        <v>0</v>
      </c>
      <c r="AU1362" s="77">
        <f t="shared" si="4449"/>
        <v>2.5000000000000001E-3</v>
      </c>
      <c r="AV1362" s="77">
        <f t="shared" si="4450"/>
        <v>2.0809499864316017E-4</v>
      </c>
    </row>
    <row r="1363" spans="1:48">
      <c r="A1363" t="s">
        <v>175</v>
      </c>
      <c r="B1363" t="s">
        <v>180</v>
      </c>
      <c r="C1363" s="197" t="str">
        <f t="shared" si="4471"/>
        <v>Lifecycle_Opportunity_266</v>
      </c>
      <c r="D1363">
        <v>266</v>
      </c>
      <c r="E1363">
        <f>VLOOKUP($D1363,'[2]LC Opportunity'!$Q$2:$U$542,2,FALSE)</f>
        <v>0</v>
      </c>
      <c r="F1363">
        <f>VLOOKUP($D1363,'[2]LC Opportunity'!$Q$2:$U$542,3,FALSE)</f>
        <v>0</v>
      </c>
      <c r="G1363">
        <f>VLOOKUP($D1363,'[2]LC Opportunity'!$Q$2:$U$542,4,FALSE)</f>
        <v>0</v>
      </c>
      <c r="H1363">
        <f>VLOOKUP($D1363,'[2]LC Opportunity'!$Q$2:$U$542,5,FALSE)</f>
        <v>0.99999999999999989</v>
      </c>
      <c r="I1363" s="77">
        <f t="shared" si="4431"/>
        <v>0.99999999999999989</v>
      </c>
      <c r="J1363" s="77">
        <f t="shared" si="4432"/>
        <v>7.1999999999999981E-2</v>
      </c>
      <c r="K1363" s="77">
        <f t="shared" si="4476"/>
        <v>5.8106552987937654E-3</v>
      </c>
      <c r="L1363" s="76">
        <v>0</v>
      </c>
      <c r="M1363" s="77">
        <f t="shared" si="4438"/>
        <v>0</v>
      </c>
      <c r="N1363" s="77">
        <f t="shared" si="4439"/>
        <v>0</v>
      </c>
      <c r="O1363" s="77">
        <f t="shared" si="4440"/>
        <v>4.9999999999999992E-3</v>
      </c>
      <c r="P1363" s="77">
        <f t="shared" si="4441"/>
        <v>4.1762458919303302E-4</v>
      </c>
      <c r="R1363" t="s">
        <v>177</v>
      </c>
      <c r="S1363" t="s">
        <v>180</v>
      </c>
      <c r="T1363" s="197" t="str">
        <f t="shared" si="4472"/>
        <v>Autopilot_Opportunity_266</v>
      </c>
      <c r="U1363">
        <v>266</v>
      </c>
      <c r="V1363">
        <f>VLOOKUP($U1363,'[2]AP Opportunity'!$Q$1:$T$542,2,FALSE)</f>
        <v>0.99999997777777772</v>
      </c>
      <c r="W1363">
        <f>VLOOKUP($U1363,'[2]AP Opportunity'!$Q$1:$T$542,3,FALSE)</f>
        <v>2.2222222284540294E-8</v>
      </c>
      <c r="X1363">
        <f>VLOOKUP($U1363,'[2]AP Opportunity'!$Q$1:$T$542,4,FALSE)</f>
        <v>0</v>
      </c>
      <c r="Y1363" s="77">
        <f t="shared" si="4473"/>
        <v>1</v>
      </c>
      <c r="Z1363" s="77">
        <f t="shared" si="4477"/>
        <v>6.4624999704999977E-2</v>
      </c>
      <c r="AA1363" s="77">
        <f t="shared" si="4478"/>
        <v>5.2321923767311151E-3</v>
      </c>
      <c r="AB1363" s="79">
        <v>1</v>
      </c>
      <c r="AC1363" s="77">
        <f t="shared" si="4442"/>
        <v>8.499999955555556E-3</v>
      </c>
      <c r="AD1363" s="77">
        <f t="shared" ref="AD1363" si="4489">1-(1-AC1363)^(1/12)</f>
        <v>7.1110795759765644E-4</v>
      </c>
      <c r="AE1363" s="77">
        <f t="shared" si="4444"/>
        <v>2.5000000000000001E-3</v>
      </c>
      <c r="AF1363" s="77">
        <f t="shared" ref="AF1363" si="4490">1-(1-AE1363)^(1/12)</f>
        <v>2.0857243058891584E-4</v>
      </c>
      <c r="AH1363" t="s">
        <v>175</v>
      </c>
      <c r="AI1363" t="s">
        <v>180</v>
      </c>
      <c r="AJ1363" s="197" t="str">
        <f t="shared" si="4435"/>
        <v>Lifecycle_Opportunity_266</v>
      </c>
      <c r="AK1363">
        <v>266</v>
      </c>
      <c r="AL1363">
        <f>VLOOKUP($U1363,[2]Standard_Opportunity!$Q$1:$T$542,2,FALSE)</f>
        <v>0.99999997777777772</v>
      </c>
      <c r="AM1363">
        <f>VLOOKUP($U1363,[2]Standard_Opportunity!$Q$1:$T$542,3,FALSE)</f>
        <v>2.2222222284540294E-8</v>
      </c>
      <c r="AN1363">
        <f>VLOOKUP($U1363,[2]Standard_Opportunity!$Q$1:$T$542,4,FALSE)</f>
        <v>0</v>
      </c>
      <c r="AO1363" s="77">
        <f t="shared" si="4436"/>
        <v>1</v>
      </c>
      <c r="AP1363" s="77">
        <f t="shared" si="4446"/>
        <v>6.4624999704999977E-2</v>
      </c>
      <c r="AQ1363" s="77">
        <f t="shared" si="4437"/>
        <v>5.2321923767311151E-3</v>
      </c>
      <c r="AR1363" s="79">
        <v>0</v>
      </c>
      <c r="AS1363" s="77">
        <f t="shared" si="4447"/>
        <v>0</v>
      </c>
      <c r="AT1363" s="77">
        <f t="shared" si="4448"/>
        <v>0</v>
      </c>
      <c r="AU1363" s="77">
        <f t="shared" si="4449"/>
        <v>2.5000000000000001E-3</v>
      </c>
      <c r="AV1363" s="77">
        <f t="shared" si="4450"/>
        <v>2.0809499864316017E-4</v>
      </c>
    </row>
    <row r="1364" spans="1:48">
      <c r="A1364" t="s">
        <v>175</v>
      </c>
      <c r="B1364" t="s">
        <v>180</v>
      </c>
      <c r="C1364" s="197" t="str">
        <f t="shared" si="4471"/>
        <v>Lifecycle_Opportunity_265</v>
      </c>
      <c r="D1364">
        <v>265</v>
      </c>
      <c r="E1364">
        <f>VLOOKUP($D1364,'[2]LC Opportunity'!$Q$2:$U$542,2,FALSE)</f>
        <v>0</v>
      </c>
      <c r="F1364">
        <f>VLOOKUP($D1364,'[2]LC Opportunity'!$Q$2:$U$542,3,FALSE)</f>
        <v>0</v>
      </c>
      <c r="G1364">
        <f>VLOOKUP($D1364,'[2]LC Opportunity'!$Q$2:$U$542,4,FALSE)</f>
        <v>0</v>
      </c>
      <c r="H1364">
        <f>VLOOKUP($D1364,'[2]LC Opportunity'!$Q$2:$U$542,5,FALSE)</f>
        <v>0.99999999999999989</v>
      </c>
      <c r="I1364" s="77">
        <f t="shared" si="4431"/>
        <v>0.99999999999999989</v>
      </c>
      <c r="J1364" s="77">
        <f t="shared" si="4432"/>
        <v>7.1999999999999981E-2</v>
      </c>
      <c r="K1364" s="77">
        <f t="shared" si="4476"/>
        <v>5.8106552987937654E-3</v>
      </c>
      <c r="L1364" s="76">
        <v>0</v>
      </c>
      <c r="M1364" s="77">
        <f t="shared" si="4438"/>
        <v>0</v>
      </c>
      <c r="N1364" s="77">
        <f t="shared" si="4439"/>
        <v>0</v>
      </c>
      <c r="O1364" s="77">
        <f t="shared" si="4440"/>
        <v>4.9999999999999992E-3</v>
      </c>
      <c r="P1364" s="77">
        <f t="shared" si="4441"/>
        <v>4.1762458919303302E-4</v>
      </c>
      <c r="R1364" t="s">
        <v>177</v>
      </c>
      <c r="S1364" t="s">
        <v>180</v>
      </c>
      <c r="T1364" s="197" t="str">
        <f t="shared" si="4472"/>
        <v>Autopilot_Opportunity_265</v>
      </c>
      <c r="U1364">
        <v>265</v>
      </c>
      <c r="V1364">
        <f>VLOOKUP($U1364,'[2]AP Opportunity'!$Q$1:$T$542,2,FALSE)</f>
        <v>0.99999997777777772</v>
      </c>
      <c r="W1364">
        <f>VLOOKUP($U1364,'[2]AP Opportunity'!$Q$1:$T$542,3,FALSE)</f>
        <v>2.2222222284540294E-8</v>
      </c>
      <c r="X1364">
        <f>VLOOKUP($U1364,'[2]AP Opportunity'!$Q$1:$T$542,4,FALSE)</f>
        <v>0</v>
      </c>
      <c r="Y1364" s="77">
        <f t="shared" si="4473"/>
        <v>1</v>
      </c>
      <c r="Z1364" s="77">
        <f t="shared" si="4477"/>
        <v>6.4624999704999977E-2</v>
      </c>
      <c r="AA1364" s="77">
        <f t="shared" si="4478"/>
        <v>5.2321923767311151E-3</v>
      </c>
      <c r="AB1364" s="79">
        <v>1</v>
      </c>
      <c r="AC1364" s="77">
        <f t="shared" si="4442"/>
        <v>8.499999955555556E-3</v>
      </c>
      <c r="AD1364" s="77">
        <f t="shared" ref="AD1364" si="4491">1-(1-AC1364)^(1/12)</f>
        <v>7.1110795759765644E-4</v>
      </c>
      <c r="AE1364" s="77">
        <f t="shared" si="4444"/>
        <v>2.5000000000000001E-3</v>
      </c>
      <c r="AF1364" s="77">
        <f t="shared" ref="AF1364" si="4492">1-(1-AE1364)^(1/12)</f>
        <v>2.0857243058891584E-4</v>
      </c>
      <c r="AH1364" t="s">
        <v>175</v>
      </c>
      <c r="AI1364" t="s">
        <v>180</v>
      </c>
      <c r="AJ1364" s="197" t="str">
        <f t="shared" si="4435"/>
        <v>Lifecycle_Opportunity_265</v>
      </c>
      <c r="AK1364">
        <v>265</v>
      </c>
      <c r="AL1364">
        <f>VLOOKUP($U1364,[2]Standard_Opportunity!$Q$1:$T$542,2,FALSE)</f>
        <v>0.99999997777777772</v>
      </c>
      <c r="AM1364">
        <f>VLOOKUP($U1364,[2]Standard_Opportunity!$Q$1:$T$542,3,FALSE)</f>
        <v>2.2222222284540294E-8</v>
      </c>
      <c r="AN1364">
        <f>VLOOKUP($U1364,[2]Standard_Opportunity!$Q$1:$T$542,4,FALSE)</f>
        <v>0</v>
      </c>
      <c r="AO1364" s="77">
        <f t="shared" si="4436"/>
        <v>1</v>
      </c>
      <c r="AP1364" s="77">
        <f t="shared" si="4446"/>
        <v>6.4624999704999977E-2</v>
      </c>
      <c r="AQ1364" s="77">
        <f t="shared" si="4437"/>
        <v>5.2321923767311151E-3</v>
      </c>
      <c r="AR1364" s="79">
        <v>0</v>
      </c>
      <c r="AS1364" s="77">
        <f t="shared" si="4447"/>
        <v>0</v>
      </c>
      <c r="AT1364" s="77">
        <f t="shared" si="4448"/>
        <v>0</v>
      </c>
      <c r="AU1364" s="77">
        <f t="shared" si="4449"/>
        <v>2.5000000000000001E-3</v>
      </c>
      <c r="AV1364" s="77">
        <f t="shared" si="4450"/>
        <v>2.0809499864316017E-4</v>
      </c>
    </row>
    <row r="1365" spans="1:48">
      <c r="A1365" t="s">
        <v>175</v>
      </c>
      <c r="B1365" t="s">
        <v>180</v>
      </c>
      <c r="C1365" s="197" t="str">
        <f t="shared" si="4471"/>
        <v>Lifecycle_Opportunity_264</v>
      </c>
      <c r="D1365">
        <v>264</v>
      </c>
      <c r="E1365">
        <f>VLOOKUP($D1365,'[2]LC Opportunity'!$Q$2:$U$542,2,FALSE)</f>
        <v>0</v>
      </c>
      <c r="F1365">
        <f>VLOOKUP($D1365,'[2]LC Opportunity'!$Q$2:$U$542,3,FALSE)</f>
        <v>0</v>
      </c>
      <c r="G1365">
        <f>VLOOKUP($D1365,'[2]LC Opportunity'!$Q$2:$U$542,4,FALSE)</f>
        <v>0</v>
      </c>
      <c r="H1365">
        <f>VLOOKUP($D1365,'[2]LC Opportunity'!$Q$2:$U$542,5,FALSE)</f>
        <v>0.99999999999999989</v>
      </c>
      <c r="I1365" s="77">
        <f t="shared" si="4431"/>
        <v>0.99999999999999989</v>
      </c>
      <c r="J1365" s="77">
        <f t="shared" si="4432"/>
        <v>7.1999999999999981E-2</v>
      </c>
      <c r="K1365" s="77">
        <f t="shared" si="4476"/>
        <v>5.8106552987937654E-3</v>
      </c>
      <c r="L1365" s="76">
        <v>0</v>
      </c>
      <c r="M1365" s="77">
        <f t="shared" si="4438"/>
        <v>0</v>
      </c>
      <c r="N1365" s="77">
        <f t="shared" si="4439"/>
        <v>0</v>
      </c>
      <c r="O1365" s="77">
        <f t="shared" si="4440"/>
        <v>4.9999999999999992E-3</v>
      </c>
      <c r="P1365" s="77">
        <f t="shared" si="4441"/>
        <v>4.1762458919303302E-4</v>
      </c>
      <c r="R1365" t="s">
        <v>177</v>
      </c>
      <c r="S1365" t="s">
        <v>180</v>
      </c>
      <c r="T1365" s="197" t="str">
        <f t="shared" si="4472"/>
        <v>Autopilot_Opportunity_264</v>
      </c>
      <c r="U1365">
        <v>264</v>
      </c>
      <c r="V1365">
        <f>VLOOKUP($U1365,'[2]AP Opportunity'!$Q$1:$T$542,2,FALSE)</f>
        <v>0.99999997777777772</v>
      </c>
      <c r="W1365">
        <f>VLOOKUP($U1365,'[2]AP Opportunity'!$Q$1:$T$542,3,FALSE)</f>
        <v>2.2222222284540294E-8</v>
      </c>
      <c r="X1365">
        <f>VLOOKUP($U1365,'[2]AP Opportunity'!$Q$1:$T$542,4,FALSE)</f>
        <v>0</v>
      </c>
      <c r="Y1365" s="77">
        <f t="shared" si="4473"/>
        <v>1</v>
      </c>
      <c r="Z1365" s="77">
        <f t="shared" si="4477"/>
        <v>6.4624999704999977E-2</v>
      </c>
      <c r="AA1365" s="77">
        <f t="shared" si="4478"/>
        <v>5.2321923767311151E-3</v>
      </c>
      <c r="AB1365" s="79">
        <v>1</v>
      </c>
      <c r="AC1365" s="77">
        <f t="shared" si="4442"/>
        <v>8.499999955555556E-3</v>
      </c>
      <c r="AD1365" s="77">
        <f t="shared" ref="AD1365" si="4493">1-(1-AC1365)^(1/12)</f>
        <v>7.1110795759765644E-4</v>
      </c>
      <c r="AE1365" s="77">
        <f t="shared" si="4444"/>
        <v>2.5000000000000001E-3</v>
      </c>
      <c r="AF1365" s="77">
        <f t="shared" ref="AF1365" si="4494">1-(1-AE1365)^(1/12)</f>
        <v>2.0857243058891584E-4</v>
      </c>
      <c r="AH1365" t="s">
        <v>175</v>
      </c>
      <c r="AI1365" t="s">
        <v>180</v>
      </c>
      <c r="AJ1365" s="197" t="str">
        <f t="shared" si="4435"/>
        <v>Lifecycle_Opportunity_264</v>
      </c>
      <c r="AK1365">
        <v>264</v>
      </c>
      <c r="AL1365">
        <f>VLOOKUP($U1365,[2]Standard_Opportunity!$Q$1:$T$542,2,FALSE)</f>
        <v>0.99999997777777772</v>
      </c>
      <c r="AM1365">
        <f>VLOOKUP($U1365,[2]Standard_Opportunity!$Q$1:$T$542,3,FALSE)</f>
        <v>2.2222222284540294E-8</v>
      </c>
      <c r="AN1365">
        <f>VLOOKUP($U1365,[2]Standard_Opportunity!$Q$1:$T$542,4,FALSE)</f>
        <v>0</v>
      </c>
      <c r="AO1365" s="77">
        <f t="shared" si="4436"/>
        <v>1</v>
      </c>
      <c r="AP1365" s="77">
        <f t="shared" si="4446"/>
        <v>6.4624999704999977E-2</v>
      </c>
      <c r="AQ1365" s="77">
        <f t="shared" si="4437"/>
        <v>5.2321923767311151E-3</v>
      </c>
      <c r="AR1365" s="79">
        <v>0</v>
      </c>
      <c r="AS1365" s="77">
        <f t="shared" si="4447"/>
        <v>0</v>
      </c>
      <c r="AT1365" s="77">
        <f t="shared" si="4448"/>
        <v>0</v>
      </c>
      <c r="AU1365" s="77">
        <f t="shared" si="4449"/>
        <v>2.5000000000000001E-3</v>
      </c>
      <c r="AV1365" s="77">
        <f t="shared" si="4450"/>
        <v>2.0809499864316017E-4</v>
      </c>
    </row>
    <row r="1366" spans="1:48">
      <c r="A1366" t="s">
        <v>175</v>
      </c>
      <c r="B1366" t="s">
        <v>180</v>
      </c>
      <c r="C1366" s="197" t="str">
        <f t="shared" si="4471"/>
        <v>Lifecycle_Opportunity_263</v>
      </c>
      <c r="D1366">
        <v>263</v>
      </c>
      <c r="E1366">
        <f>VLOOKUP($D1366,'[2]LC Opportunity'!$Q$2:$U$542,2,FALSE)</f>
        <v>0</v>
      </c>
      <c r="F1366">
        <f>VLOOKUP($D1366,'[2]LC Opportunity'!$Q$2:$U$542,3,FALSE)</f>
        <v>0</v>
      </c>
      <c r="G1366">
        <f>VLOOKUP($D1366,'[2]LC Opportunity'!$Q$2:$U$542,4,FALSE)</f>
        <v>0</v>
      </c>
      <c r="H1366">
        <f>VLOOKUP($D1366,'[2]LC Opportunity'!$Q$2:$U$542,5,FALSE)</f>
        <v>0.99999999999999989</v>
      </c>
      <c r="I1366" s="77">
        <f t="shared" si="4431"/>
        <v>0.99999999999999989</v>
      </c>
      <c r="J1366" s="77">
        <f t="shared" si="4432"/>
        <v>7.1999999999999981E-2</v>
      </c>
      <c r="K1366" s="77">
        <f t="shared" si="4476"/>
        <v>5.8106552987937654E-3</v>
      </c>
      <c r="L1366" s="76">
        <v>0</v>
      </c>
      <c r="M1366" s="77">
        <f t="shared" si="4438"/>
        <v>0</v>
      </c>
      <c r="N1366" s="77">
        <f t="shared" si="4439"/>
        <v>0</v>
      </c>
      <c r="O1366" s="77">
        <f t="shared" si="4440"/>
        <v>4.9999999999999992E-3</v>
      </c>
      <c r="P1366" s="77">
        <f t="shared" si="4441"/>
        <v>4.1762458919303302E-4</v>
      </c>
      <c r="R1366" t="s">
        <v>177</v>
      </c>
      <c r="S1366" t="s">
        <v>180</v>
      </c>
      <c r="T1366" s="197" t="str">
        <f t="shared" si="4472"/>
        <v>Autopilot_Opportunity_263</v>
      </c>
      <c r="U1366">
        <v>263</v>
      </c>
      <c r="V1366">
        <f>VLOOKUP($U1366,'[2]AP Opportunity'!$Q$1:$T$542,2,FALSE)</f>
        <v>0.99999997777777772</v>
      </c>
      <c r="W1366">
        <f>VLOOKUP($U1366,'[2]AP Opportunity'!$Q$1:$T$542,3,FALSE)</f>
        <v>2.2222222284540294E-8</v>
      </c>
      <c r="X1366">
        <f>VLOOKUP($U1366,'[2]AP Opportunity'!$Q$1:$T$542,4,FALSE)</f>
        <v>0</v>
      </c>
      <c r="Y1366" s="77">
        <f t="shared" si="4473"/>
        <v>1</v>
      </c>
      <c r="Z1366" s="77">
        <f t="shared" si="4477"/>
        <v>6.4624999704999977E-2</v>
      </c>
      <c r="AA1366" s="77">
        <f t="shared" si="4478"/>
        <v>5.2321923767311151E-3</v>
      </c>
      <c r="AB1366" s="79">
        <v>1</v>
      </c>
      <c r="AC1366" s="77">
        <f t="shared" si="4442"/>
        <v>8.499999955555556E-3</v>
      </c>
      <c r="AD1366" s="77">
        <f t="shared" ref="AD1366" si="4495">1-(1-AC1366)^(1/12)</f>
        <v>7.1110795759765644E-4</v>
      </c>
      <c r="AE1366" s="77">
        <f t="shared" si="4444"/>
        <v>2.5000000000000001E-3</v>
      </c>
      <c r="AF1366" s="77">
        <f t="shared" ref="AF1366" si="4496">1-(1-AE1366)^(1/12)</f>
        <v>2.0857243058891584E-4</v>
      </c>
      <c r="AH1366" t="s">
        <v>175</v>
      </c>
      <c r="AI1366" t="s">
        <v>180</v>
      </c>
      <c r="AJ1366" s="197" t="str">
        <f t="shared" si="4435"/>
        <v>Lifecycle_Opportunity_263</v>
      </c>
      <c r="AK1366">
        <v>263</v>
      </c>
      <c r="AL1366">
        <f>VLOOKUP($U1366,[2]Standard_Opportunity!$Q$1:$T$542,2,FALSE)</f>
        <v>0.99999997777777772</v>
      </c>
      <c r="AM1366">
        <f>VLOOKUP($U1366,[2]Standard_Opportunity!$Q$1:$T$542,3,FALSE)</f>
        <v>2.2222222284540294E-8</v>
      </c>
      <c r="AN1366">
        <f>VLOOKUP($U1366,[2]Standard_Opportunity!$Q$1:$T$542,4,FALSE)</f>
        <v>0</v>
      </c>
      <c r="AO1366" s="77">
        <f t="shared" si="4436"/>
        <v>1</v>
      </c>
      <c r="AP1366" s="77">
        <f t="shared" si="4446"/>
        <v>6.4624999704999977E-2</v>
      </c>
      <c r="AQ1366" s="77">
        <f t="shared" si="4437"/>
        <v>5.2321923767311151E-3</v>
      </c>
      <c r="AR1366" s="79">
        <v>0</v>
      </c>
      <c r="AS1366" s="77">
        <f t="shared" si="4447"/>
        <v>0</v>
      </c>
      <c r="AT1366" s="77">
        <f t="shared" si="4448"/>
        <v>0</v>
      </c>
      <c r="AU1366" s="77">
        <f t="shared" si="4449"/>
        <v>2.5000000000000001E-3</v>
      </c>
      <c r="AV1366" s="77">
        <f t="shared" si="4450"/>
        <v>2.0809499864316017E-4</v>
      </c>
    </row>
    <row r="1367" spans="1:48">
      <c r="A1367" t="s">
        <v>175</v>
      </c>
      <c r="B1367" t="s">
        <v>180</v>
      </c>
      <c r="C1367" s="197" t="str">
        <f t="shared" si="4471"/>
        <v>Lifecycle_Opportunity_262</v>
      </c>
      <c r="D1367">
        <v>262</v>
      </c>
      <c r="E1367">
        <f>VLOOKUP($D1367,'[2]LC Opportunity'!$Q$2:$U$542,2,FALSE)</f>
        <v>0</v>
      </c>
      <c r="F1367">
        <f>VLOOKUP($D1367,'[2]LC Opportunity'!$Q$2:$U$542,3,FALSE)</f>
        <v>0</v>
      </c>
      <c r="G1367">
        <f>VLOOKUP($D1367,'[2]LC Opportunity'!$Q$2:$U$542,4,FALSE)</f>
        <v>0</v>
      </c>
      <c r="H1367">
        <f>VLOOKUP($D1367,'[2]LC Opportunity'!$Q$2:$U$542,5,FALSE)</f>
        <v>0.99999999999999989</v>
      </c>
      <c r="I1367" s="77">
        <f t="shared" si="4431"/>
        <v>0.99999999999999989</v>
      </c>
      <c r="J1367" s="77">
        <f t="shared" si="4432"/>
        <v>7.1999999999999981E-2</v>
      </c>
      <c r="K1367" s="77">
        <f t="shared" si="4476"/>
        <v>5.8106552987937654E-3</v>
      </c>
      <c r="L1367" s="76">
        <v>0</v>
      </c>
      <c r="M1367" s="77">
        <f t="shared" si="4438"/>
        <v>0</v>
      </c>
      <c r="N1367" s="77">
        <f t="shared" si="4439"/>
        <v>0</v>
      </c>
      <c r="O1367" s="77">
        <f t="shared" si="4440"/>
        <v>4.9999999999999992E-3</v>
      </c>
      <c r="P1367" s="77">
        <f t="shared" si="4441"/>
        <v>4.1762458919303302E-4</v>
      </c>
      <c r="R1367" t="s">
        <v>177</v>
      </c>
      <c r="S1367" t="s">
        <v>180</v>
      </c>
      <c r="T1367" s="197" t="str">
        <f t="shared" si="4472"/>
        <v>Autopilot_Opportunity_262</v>
      </c>
      <c r="U1367">
        <v>262</v>
      </c>
      <c r="V1367">
        <f>VLOOKUP($U1367,'[2]AP Opportunity'!$Q$1:$T$542,2,FALSE)</f>
        <v>0.99999997777777772</v>
      </c>
      <c r="W1367">
        <f>VLOOKUP($U1367,'[2]AP Opportunity'!$Q$1:$T$542,3,FALSE)</f>
        <v>2.2222222284540294E-8</v>
      </c>
      <c r="X1367">
        <f>VLOOKUP($U1367,'[2]AP Opportunity'!$Q$1:$T$542,4,FALSE)</f>
        <v>0</v>
      </c>
      <c r="Y1367" s="77">
        <f t="shared" si="4473"/>
        <v>1</v>
      </c>
      <c r="Z1367" s="77">
        <f t="shared" si="4477"/>
        <v>6.4624999704999977E-2</v>
      </c>
      <c r="AA1367" s="77">
        <f t="shared" si="4478"/>
        <v>5.2321923767311151E-3</v>
      </c>
      <c r="AB1367" s="79">
        <v>1</v>
      </c>
      <c r="AC1367" s="77">
        <f t="shared" si="4442"/>
        <v>8.499999955555556E-3</v>
      </c>
      <c r="AD1367" s="77">
        <f t="shared" ref="AD1367" si="4497">1-(1-AC1367)^(1/12)</f>
        <v>7.1110795759765644E-4</v>
      </c>
      <c r="AE1367" s="77">
        <f t="shared" si="4444"/>
        <v>2.5000000000000001E-3</v>
      </c>
      <c r="AF1367" s="77">
        <f t="shared" ref="AF1367" si="4498">1-(1-AE1367)^(1/12)</f>
        <v>2.0857243058891584E-4</v>
      </c>
      <c r="AH1367" t="s">
        <v>175</v>
      </c>
      <c r="AI1367" t="s">
        <v>180</v>
      </c>
      <c r="AJ1367" s="197" t="str">
        <f t="shared" si="4435"/>
        <v>Lifecycle_Opportunity_262</v>
      </c>
      <c r="AK1367">
        <v>262</v>
      </c>
      <c r="AL1367">
        <f>VLOOKUP($U1367,[2]Standard_Opportunity!$Q$1:$T$542,2,FALSE)</f>
        <v>0.99999997777777772</v>
      </c>
      <c r="AM1367">
        <f>VLOOKUP($U1367,[2]Standard_Opportunity!$Q$1:$T$542,3,FALSE)</f>
        <v>2.2222222284540294E-8</v>
      </c>
      <c r="AN1367">
        <f>VLOOKUP($U1367,[2]Standard_Opportunity!$Q$1:$T$542,4,FALSE)</f>
        <v>0</v>
      </c>
      <c r="AO1367" s="77">
        <f t="shared" si="4436"/>
        <v>1</v>
      </c>
      <c r="AP1367" s="77">
        <f t="shared" si="4446"/>
        <v>6.4624999704999977E-2</v>
      </c>
      <c r="AQ1367" s="77">
        <f t="shared" si="4437"/>
        <v>5.2321923767311151E-3</v>
      </c>
      <c r="AR1367" s="79">
        <v>0</v>
      </c>
      <c r="AS1367" s="77">
        <f t="shared" si="4447"/>
        <v>0</v>
      </c>
      <c r="AT1367" s="77">
        <f t="shared" si="4448"/>
        <v>0</v>
      </c>
      <c r="AU1367" s="77">
        <f t="shared" si="4449"/>
        <v>2.5000000000000001E-3</v>
      </c>
      <c r="AV1367" s="77">
        <f t="shared" si="4450"/>
        <v>2.0809499864316017E-4</v>
      </c>
    </row>
    <row r="1368" spans="1:48">
      <c r="A1368" t="s">
        <v>175</v>
      </c>
      <c r="B1368" t="s">
        <v>180</v>
      </c>
      <c r="C1368" s="197" t="str">
        <f t="shared" si="4471"/>
        <v>Lifecycle_Opportunity_261</v>
      </c>
      <c r="D1368">
        <v>261</v>
      </c>
      <c r="E1368">
        <f>VLOOKUP($D1368,'[2]LC Opportunity'!$Q$2:$U$542,2,FALSE)</f>
        <v>0</v>
      </c>
      <c r="F1368">
        <f>VLOOKUP($D1368,'[2]LC Opportunity'!$Q$2:$U$542,3,FALSE)</f>
        <v>0</v>
      </c>
      <c r="G1368">
        <f>VLOOKUP($D1368,'[2]LC Opportunity'!$Q$2:$U$542,4,FALSE)</f>
        <v>0</v>
      </c>
      <c r="H1368">
        <f>VLOOKUP($D1368,'[2]LC Opportunity'!$Q$2:$U$542,5,FALSE)</f>
        <v>0.99999999999999989</v>
      </c>
      <c r="I1368" s="77">
        <f t="shared" si="4431"/>
        <v>0.99999999999999989</v>
      </c>
      <c r="J1368" s="77">
        <f t="shared" si="4432"/>
        <v>7.1999999999999981E-2</v>
      </c>
      <c r="K1368" s="77">
        <f t="shared" si="4476"/>
        <v>5.8106552987937654E-3</v>
      </c>
      <c r="L1368" s="76">
        <v>0</v>
      </c>
      <c r="M1368" s="77">
        <f t="shared" si="4438"/>
        <v>0</v>
      </c>
      <c r="N1368" s="77">
        <f t="shared" si="4439"/>
        <v>0</v>
      </c>
      <c r="O1368" s="77">
        <f t="shared" si="4440"/>
        <v>4.9999999999999992E-3</v>
      </c>
      <c r="P1368" s="77">
        <f t="shared" si="4441"/>
        <v>4.1762458919303302E-4</v>
      </c>
      <c r="R1368" t="s">
        <v>177</v>
      </c>
      <c r="S1368" t="s">
        <v>180</v>
      </c>
      <c r="T1368" s="197" t="str">
        <f t="shared" si="4472"/>
        <v>Autopilot_Opportunity_261</v>
      </c>
      <c r="U1368">
        <v>261</v>
      </c>
      <c r="V1368">
        <f>VLOOKUP($U1368,'[2]AP Opportunity'!$Q$1:$T$542,2,FALSE)</f>
        <v>0.99999997777777772</v>
      </c>
      <c r="W1368">
        <f>VLOOKUP($U1368,'[2]AP Opportunity'!$Q$1:$T$542,3,FALSE)</f>
        <v>2.2222222284540294E-8</v>
      </c>
      <c r="X1368">
        <f>VLOOKUP($U1368,'[2]AP Opportunity'!$Q$1:$T$542,4,FALSE)</f>
        <v>0</v>
      </c>
      <c r="Y1368" s="77">
        <f t="shared" si="4473"/>
        <v>1</v>
      </c>
      <c r="Z1368" s="77">
        <f t="shared" si="4477"/>
        <v>6.4624999704999977E-2</v>
      </c>
      <c r="AA1368" s="77">
        <f t="shared" si="4478"/>
        <v>5.2321923767311151E-3</v>
      </c>
      <c r="AB1368" s="79">
        <v>1</v>
      </c>
      <c r="AC1368" s="77">
        <f t="shared" si="4442"/>
        <v>8.499999955555556E-3</v>
      </c>
      <c r="AD1368" s="77">
        <f t="shared" ref="AD1368" si="4499">1-(1-AC1368)^(1/12)</f>
        <v>7.1110795759765644E-4</v>
      </c>
      <c r="AE1368" s="77">
        <f t="shared" si="4444"/>
        <v>2.5000000000000001E-3</v>
      </c>
      <c r="AF1368" s="77">
        <f t="shared" ref="AF1368" si="4500">1-(1-AE1368)^(1/12)</f>
        <v>2.0857243058891584E-4</v>
      </c>
      <c r="AH1368" t="s">
        <v>175</v>
      </c>
      <c r="AI1368" t="s">
        <v>180</v>
      </c>
      <c r="AJ1368" s="197" t="str">
        <f t="shared" si="4435"/>
        <v>Lifecycle_Opportunity_261</v>
      </c>
      <c r="AK1368">
        <v>261</v>
      </c>
      <c r="AL1368">
        <f>VLOOKUP($U1368,[2]Standard_Opportunity!$Q$1:$T$542,2,FALSE)</f>
        <v>0.99999997777777772</v>
      </c>
      <c r="AM1368">
        <f>VLOOKUP($U1368,[2]Standard_Opportunity!$Q$1:$T$542,3,FALSE)</f>
        <v>2.2222222284540294E-8</v>
      </c>
      <c r="AN1368">
        <f>VLOOKUP($U1368,[2]Standard_Opportunity!$Q$1:$T$542,4,FALSE)</f>
        <v>0</v>
      </c>
      <c r="AO1368" s="77">
        <f t="shared" si="4436"/>
        <v>1</v>
      </c>
      <c r="AP1368" s="77">
        <f t="shared" si="4446"/>
        <v>6.4624999704999977E-2</v>
      </c>
      <c r="AQ1368" s="77">
        <f t="shared" si="4437"/>
        <v>5.2321923767311151E-3</v>
      </c>
      <c r="AR1368" s="79">
        <v>0</v>
      </c>
      <c r="AS1368" s="77">
        <f t="shared" si="4447"/>
        <v>0</v>
      </c>
      <c r="AT1368" s="77">
        <f t="shared" si="4448"/>
        <v>0</v>
      </c>
      <c r="AU1368" s="77">
        <f t="shared" si="4449"/>
        <v>2.5000000000000001E-3</v>
      </c>
      <c r="AV1368" s="77">
        <f t="shared" si="4450"/>
        <v>2.0809499864316017E-4</v>
      </c>
    </row>
    <row r="1369" spans="1:48">
      <c r="A1369" t="s">
        <v>175</v>
      </c>
      <c r="B1369" t="s">
        <v>180</v>
      </c>
      <c r="C1369" s="197" t="str">
        <f t="shared" si="4471"/>
        <v>Lifecycle_Opportunity_260</v>
      </c>
      <c r="D1369">
        <v>260</v>
      </c>
      <c r="E1369">
        <f>VLOOKUP($D1369,'[2]LC Opportunity'!$Q$2:$U$542,2,FALSE)</f>
        <v>0</v>
      </c>
      <c r="F1369">
        <f>VLOOKUP($D1369,'[2]LC Opportunity'!$Q$2:$U$542,3,FALSE)</f>
        <v>0</v>
      </c>
      <c r="G1369">
        <f>VLOOKUP($D1369,'[2]LC Opportunity'!$Q$2:$U$542,4,FALSE)</f>
        <v>0</v>
      </c>
      <c r="H1369">
        <f>VLOOKUP($D1369,'[2]LC Opportunity'!$Q$2:$U$542,5,FALSE)</f>
        <v>0.99999999999999989</v>
      </c>
      <c r="I1369" s="77">
        <f t="shared" si="4431"/>
        <v>0.99999999999999989</v>
      </c>
      <c r="J1369" s="77">
        <f t="shared" si="4432"/>
        <v>7.1999999999999981E-2</v>
      </c>
      <c r="K1369" s="77">
        <f t="shared" si="4476"/>
        <v>5.8106552987937654E-3</v>
      </c>
      <c r="L1369" s="76">
        <v>0</v>
      </c>
      <c r="M1369" s="77">
        <f t="shared" si="4438"/>
        <v>0</v>
      </c>
      <c r="N1369" s="77">
        <f t="shared" si="4439"/>
        <v>0</v>
      </c>
      <c r="O1369" s="77">
        <f t="shared" si="4440"/>
        <v>4.9999999999999992E-3</v>
      </c>
      <c r="P1369" s="77">
        <f t="shared" si="4441"/>
        <v>4.1762458919303302E-4</v>
      </c>
      <c r="R1369" t="s">
        <v>177</v>
      </c>
      <c r="S1369" t="s">
        <v>180</v>
      </c>
      <c r="T1369" s="197" t="str">
        <f t="shared" si="4472"/>
        <v>Autopilot_Opportunity_260</v>
      </c>
      <c r="U1369">
        <v>260</v>
      </c>
      <c r="V1369">
        <f>VLOOKUP($U1369,'[2]AP Opportunity'!$Q$1:$T$542,2,FALSE)</f>
        <v>0.99999997777777772</v>
      </c>
      <c r="W1369">
        <f>VLOOKUP($U1369,'[2]AP Opportunity'!$Q$1:$T$542,3,FALSE)</f>
        <v>2.2222222284540294E-8</v>
      </c>
      <c r="X1369">
        <f>VLOOKUP($U1369,'[2]AP Opportunity'!$Q$1:$T$542,4,FALSE)</f>
        <v>0</v>
      </c>
      <c r="Y1369" s="77">
        <f t="shared" si="4473"/>
        <v>1</v>
      </c>
      <c r="Z1369" s="77">
        <f t="shared" si="4477"/>
        <v>6.4624999704999977E-2</v>
      </c>
      <c r="AA1369" s="77">
        <f t="shared" si="4478"/>
        <v>5.2321923767311151E-3</v>
      </c>
      <c r="AB1369" s="79">
        <v>1</v>
      </c>
      <c r="AC1369" s="77">
        <f t="shared" si="4442"/>
        <v>8.499999955555556E-3</v>
      </c>
      <c r="AD1369" s="77">
        <f t="shared" ref="AD1369" si="4501">1-(1-AC1369)^(1/12)</f>
        <v>7.1110795759765644E-4</v>
      </c>
      <c r="AE1369" s="77">
        <f t="shared" si="4444"/>
        <v>2.5000000000000001E-3</v>
      </c>
      <c r="AF1369" s="77">
        <f t="shared" ref="AF1369" si="4502">1-(1-AE1369)^(1/12)</f>
        <v>2.0857243058891584E-4</v>
      </c>
      <c r="AH1369" t="s">
        <v>175</v>
      </c>
      <c r="AI1369" t="s">
        <v>180</v>
      </c>
      <c r="AJ1369" s="197" t="str">
        <f t="shared" si="4435"/>
        <v>Lifecycle_Opportunity_260</v>
      </c>
      <c r="AK1369">
        <v>260</v>
      </c>
      <c r="AL1369">
        <f>VLOOKUP($U1369,[2]Standard_Opportunity!$Q$1:$T$542,2,FALSE)</f>
        <v>0.99999997777777772</v>
      </c>
      <c r="AM1369">
        <f>VLOOKUP($U1369,[2]Standard_Opportunity!$Q$1:$T$542,3,FALSE)</f>
        <v>2.2222222284540294E-8</v>
      </c>
      <c r="AN1369">
        <f>VLOOKUP($U1369,[2]Standard_Opportunity!$Q$1:$T$542,4,FALSE)</f>
        <v>0</v>
      </c>
      <c r="AO1369" s="77">
        <f t="shared" si="4436"/>
        <v>1</v>
      </c>
      <c r="AP1369" s="77">
        <f t="shared" si="4446"/>
        <v>6.4624999704999977E-2</v>
      </c>
      <c r="AQ1369" s="77">
        <f t="shared" si="4437"/>
        <v>5.2321923767311151E-3</v>
      </c>
      <c r="AR1369" s="79">
        <v>0</v>
      </c>
      <c r="AS1369" s="77">
        <f t="shared" si="4447"/>
        <v>0</v>
      </c>
      <c r="AT1369" s="77">
        <f t="shared" si="4448"/>
        <v>0</v>
      </c>
      <c r="AU1369" s="77">
        <f t="shared" si="4449"/>
        <v>2.5000000000000001E-3</v>
      </c>
      <c r="AV1369" s="77">
        <f t="shared" si="4450"/>
        <v>2.0809499864316017E-4</v>
      </c>
    </row>
    <row r="1370" spans="1:48">
      <c r="A1370" t="s">
        <v>175</v>
      </c>
      <c r="B1370" t="s">
        <v>180</v>
      </c>
      <c r="C1370" s="197" t="str">
        <f t="shared" si="4471"/>
        <v>Lifecycle_Opportunity_259</v>
      </c>
      <c r="D1370">
        <v>259</v>
      </c>
      <c r="E1370">
        <f>VLOOKUP($D1370,'[2]LC Opportunity'!$Q$2:$U$542,2,FALSE)</f>
        <v>0</v>
      </c>
      <c r="F1370">
        <f>VLOOKUP($D1370,'[2]LC Opportunity'!$Q$2:$U$542,3,FALSE)</f>
        <v>0</v>
      </c>
      <c r="G1370">
        <f>VLOOKUP($D1370,'[2]LC Opportunity'!$Q$2:$U$542,4,FALSE)</f>
        <v>0</v>
      </c>
      <c r="H1370">
        <f>VLOOKUP($D1370,'[2]LC Opportunity'!$Q$2:$U$542,5,FALSE)</f>
        <v>0.99999999999999989</v>
      </c>
      <c r="I1370" s="77">
        <f t="shared" si="4431"/>
        <v>0.99999999999999989</v>
      </c>
      <c r="J1370" s="77">
        <f t="shared" si="4432"/>
        <v>7.1999999999999981E-2</v>
      </c>
      <c r="K1370" s="77">
        <f t="shared" si="4476"/>
        <v>5.8106552987937654E-3</v>
      </c>
      <c r="L1370" s="76">
        <v>0</v>
      </c>
      <c r="M1370" s="77">
        <f t="shared" si="4438"/>
        <v>0</v>
      </c>
      <c r="N1370" s="77">
        <f t="shared" si="4439"/>
        <v>0</v>
      </c>
      <c r="O1370" s="77">
        <f t="shared" si="4440"/>
        <v>4.9999999999999992E-3</v>
      </c>
      <c r="P1370" s="77">
        <f t="shared" si="4441"/>
        <v>4.1762458919303302E-4</v>
      </c>
      <c r="R1370" t="s">
        <v>177</v>
      </c>
      <c r="S1370" t="s">
        <v>180</v>
      </c>
      <c r="T1370" s="197" t="str">
        <f t="shared" si="4472"/>
        <v>Autopilot_Opportunity_259</v>
      </c>
      <c r="U1370">
        <v>259</v>
      </c>
      <c r="V1370">
        <f>VLOOKUP($U1370,'[2]AP Opportunity'!$Q$1:$T$542,2,FALSE)</f>
        <v>0.99999997777777772</v>
      </c>
      <c r="W1370">
        <f>VLOOKUP($U1370,'[2]AP Opportunity'!$Q$1:$T$542,3,FALSE)</f>
        <v>2.2222222284540294E-8</v>
      </c>
      <c r="X1370">
        <f>VLOOKUP($U1370,'[2]AP Opportunity'!$Q$1:$T$542,4,FALSE)</f>
        <v>0</v>
      </c>
      <c r="Y1370" s="77">
        <f t="shared" si="4473"/>
        <v>1</v>
      </c>
      <c r="Z1370" s="77">
        <f t="shared" si="4477"/>
        <v>6.4624999704999977E-2</v>
      </c>
      <c r="AA1370" s="77">
        <f t="shared" si="4478"/>
        <v>5.2321923767311151E-3</v>
      </c>
      <c r="AB1370" s="79">
        <v>1</v>
      </c>
      <c r="AC1370" s="77">
        <f t="shared" si="4442"/>
        <v>8.499999955555556E-3</v>
      </c>
      <c r="AD1370" s="77">
        <f t="shared" ref="AD1370" si="4503">1-(1-AC1370)^(1/12)</f>
        <v>7.1110795759765644E-4</v>
      </c>
      <c r="AE1370" s="77">
        <f t="shared" si="4444"/>
        <v>2.5000000000000001E-3</v>
      </c>
      <c r="AF1370" s="77">
        <f t="shared" ref="AF1370" si="4504">1-(1-AE1370)^(1/12)</f>
        <v>2.0857243058891584E-4</v>
      </c>
      <c r="AH1370" t="s">
        <v>175</v>
      </c>
      <c r="AI1370" t="s">
        <v>180</v>
      </c>
      <c r="AJ1370" s="197" t="str">
        <f t="shared" si="4435"/>
        <v>Lifecycle_Opportunity_259</v>
      </c>
      <c r="AK1370">
        <v>259</v>
      </c>
      <c r="AL1370">
        <f>VLOOKUP($U1370,[2]Standard_Opportunity!$Q$1:$T$542,2,FALSE)</f>
        <v>0.99999997777777772</v>
      </c>
      <c r="AM1370">
        <f>VLOOKUP($U1370,[2]Standard_Opportunity!$Q$1:$T$542,3,FALSE)</f>
        <v>2.2222222284540294E-8</v>
      </c>
      <c r="AN1370">
        <f>VLOOKUP($U1370,[2]Standard_Opportunity!$Q$1:$T$542,4,FALSE)</f>
        <v>0</v>
      </c>
      <c r="AO1370" s="77">
        <f t="shared" si="4436"/>
        <v>1</v>
      </c>
      <c r="AP1370" s="77">
        <f t="shared" si="4446"/>
        <v>6.4624999704999977E-2</v>
      </c>
      <c r="AQ1370" s="77">
        <f t="shared" si="4437"/>
        <v>5.2321923767311151E-3</v>
      </c>
      <c r="AR1370" s="79">
        <v>0</v>
      </c>
      <c r="AS1370" s="77">
        <f t="shared" si="4447"/>
        <v>0</v>
      </c>
      <c r="AT1370" s="77">
        <f t="shared" si="4448"/>
        <v>0</v>
      </c>
      <c r="AU1370" s="77">
        <f t="shared" si="4449"/>
        <v>2.5000000000000001E-3</v>
      </c>
      <c r="AV1370" s="77">
        <f t="shared" si="4450"/>
        <v>2.0809499864316017E-4</v>
      </c>
    </row>
    <row r="1371" spans="1:48">
      <c r="A1371" t="s">
        <v>175</v>
      </c>
      <c r="B1371" t="s">
        <v>180</v>
      </c>
      <c r="C1371" s="197" t="str">
        <f t="shared" si="4471"/>
        <v>Lifecycle_Opportunity_258</v>
      </c>
      <c r="D1371">
        <v>258</v>
      </c>
      <c r="E1371">
        <f>VLOOKUP($D1371,'[2]LC Opportunity'!$Q$2:$U$542,2,FALSE)</f>
        <v>0</v>
      </c>
      <c r="F1371">
        <f>VLOOKUP($D1371,'[2]LC Opportunity'!$Q$2:$U$542,3,FALSE)</f>
        <v>0</v>
      </c>
      <c r="G1371">
        <f>VLOOKUP($D1371,'[2]LC Opportunity'!$Q$2:$U$542,4,FALSE)</f>
        <v>0</v>
      </c>
      <c r="H1371">
        <f>VLOOKUP($D1371,'[2]LC Opportunity'!$Q$2:$U$542,5,FALSE)</f>
        <v>0.99999999999999989</v>
      </c>
      <c r="I1371" s="77">
        <f t="shared" si="4431"/>
        <v>0.99999999999999989</v>
      </c>
      <c r="J1371" s="77">
        <f t="shared" si="4432"/>
        <v>7.1999999999999981E-2</v>
      </c>
      <c r="K1371" s="77">
        <f t="shared" si="4476"/>
        <v>5.8106552987937654E-3</v>
      </c>
      <c r="L1371" s="76">
        <v>0</v>
      </c>
      <c r="M1371" s="77">
        <f t="shared" si="4438"/>
        <v>0</v>
      </c>
      <c r="N1371" s="77">
        <f t="shared" si="4439"/>
        <v>0</v>
      </c>
      <c r="O1371" s="77">
        <f t="shared" si="4440"/>
        <v>4.9999999999999992E-3</v>
      </c>
      <c r="P1371" s="77">
        <f t="shared" si="4441"/>
        <v>4.1762458919303302E-4</v>
      </c>
      <c r="R1371" t="s">
        <v>177</v>
      </c>
      <c r="S1371" t="s">
        <v>180</v>
      </c>
      <c r="T1371" s="197" t="str">
        <f t="shared" si="4472"/>
        <v>Autopilot_Opportunity_258</v>
      </c>
      <c r="U1371">
        <v>258</v>
      </c>
      <c r="V1371">
        <f>VLOOKUP($U1371,'[2]AP Opportunity'!$Q$1:$T$542,2,FALSE)</f>
        <v>0.99999997777777772</v>
      </c>
      <c r="W1371">
        <f>VLOOKUP($U1371,'[2]AP Opportunity'!$Q$1:$T$542,3,FALSE)</f>
        <v>2.2222222284540294E-8</v>
      </c>
      <c r="X1371">
        <f>VLOOKUP($U1371,'[2]AP Opportunity'!$Q$1:$T$542,4,FALSE)</f>
        <v>0</v>
      </c>
      <c r="Y1371" s="77">
        <f t="shared" si="4473"/>
        <v>1</v>
      </c>
      <c r="Z1371" s="77">
        <f t="shared" si="4477"/>
        <v>6.4624999704999977E-2</v>
      </c>
      <c r="AA1371" s="77">
        <f t="shared" si="4478"/>
        <v>5.2321923767311151E-3</v>
      </c>
      <c r="AB1371" s="79">
        <v>1</v>
      </c>
      <c r="AC1371" s="77">
        <f t="shared" si="4442"/>
        <v>8.499999955555556E-3</v>
      </c>
      <c r="AD1371" s="77">
        <f t="shared" ref="AD1371" si="4505">1-(1-AC1371)^(1/12)</f>
        <v>7.1110795759765644E-4</v>
      </c>
      <c r="AE1371" s="77">
        <f t="shared" si="4444"/>
        <v>2.5000000000000001E-3</v>
      </c>
      <c r="AF1371" s="77">
        <f t="shared" ref="AF1371" si="4506">1-(1-AE1371)^(1/12)</f>
        <v>2.0857243058891584E-4</v>
      </c>
      <c r="AH1371" t="s">
        <v>175</v>
      </c>
      <c r="AI1371" t="s">
        <v>180</v>
      </c>
      <c r="AJ1371" s="197" t="str">
        <f t="shared" si="4435"/>
        <v>Lifecycle_Opportunity_258</v>
      </c>
      <c r="AK1371">
        <v>258</v>
      </c>
      <c r="AL1371">
        <f>VLOOKUP($U1371,[2]Standard_Opportunity!$Q$1:$T$542,2,FALSE)</f>
        <v>0.99999997777777772</v>
      </c>
      <c r="AM1371">
        <f>VLOOKUP($U1371,[2]Standard_Opportunity!$Q$1:$T$542,3,FALSE)</f>
        <v>2.2222222284540294E-8</v>
      </c>
      <c r="AN1371">
        <f>VLOOKUP($U1371,[2]Standard_Opportunity!$Q$1:$T$542,4,FALSE)</f>
        <v>0</v>
      </c>
      <c r="AO1371" s="77">
        <f t="shared" si="4436"/>
        <v>1</v>
      </c>
      <c r="AP1371" s="77">
        <f t="shared" si="4446"/>
        <v>6.4624999704999977E-2</v>
      </c>
      <c r="AQ1371" s="77">
        <f t="shared" si="4437"/>
        <v>5.2321923767311151E-3</v>
      </c>
      <c r="AR1371" s="79">
        <v>0</v>
      </c>
      <c r="AS1371" s="77">
        <f t="shared" si="4447"/>
        <v>0</v>
      </c>
      <c r="AT1371" s="77">
        <f t="shared" si="4448"/>
        <v>0</v>
      </c>
      <c r="AU1371" s="77">
        <f t="shared" si="4449"/>
        <v>2.5000000000000001E-3</v>
      </c>
      <c r="AV1371" s="77">
        <f t="shared" si="4450"/>
        <v>2.0809499864316017E-4</v>
      </c>
    </row>
    <row r="1372" spans="1:48">
      <c r="A1372" t="s">
        <v>175</v>
      </c>
      <c r="B1372" t="s">
        <v>180</v>
      </c>
      <c r="C1372" s="197" t="str">
        <f t="shared" si="4471"/>
        <v>Lifecycle_Opportunity_257</v>
      </c>
      <c r="D1372">
        <v>257</v>
      </c>
      <c r="E1372">
        <f>VLOOKUP($D1372,'[2]LC Opportunity'!$Q$2:$U$542,2,FALSE)</f>
        <v>0</v>
      </c>
      <c r="F1372">
        <f>VLOOKUP($D1372,'[2]LC Opportunity'!$Q$2:$U$542,3,FALSE)</f>
        <v>0</v>
      </c>
      <c r="G1372">
        <f>VLOOKUP($D1372,'[2]LC Opportunity'!$Q$2:$U$542,4,FALSE)</f>
        <v>0</v>
      </c>
      <c r="H1372">
        <f>VLOOKUP($D1372,'[2]LC Opportunity'!$Q$2:$U$542,5,FALSE)</f>
        <v>0.99999999999999989</v>
      </c>
      <c r="I1372" s="77">
        <f t="shared" si="4431"/>
        <v>0.99999999999999989</v>
      </c>
      <c r="J1372" s="77">
        <f t="shared" si="4432"/>
        <v>7.1999999999999981E-2</v>
      </c>
      <c r="K1372" s="77">
        <f t="shared" si="4476"/>
        <v>5.8106552987937654E-3</v>
      </c>
      <c r="L1372" s="76">
        <v>0</v>
      </c>
      <c r="M1372" s="77">
        <f t="shared" si="4438"/>
        <v>0</v>
      </c>
      <c r="N1372" s="77">
        <f t="shared" si="4439"/>
        <v>0</v>
      </c>
      <c r="O1372" s="77">
        <f t="shared" si="4440"/>
        <v>4.9999999999999992E-3</v>
      </c>
      <c r="P1372" s="77">
        <f t="shared" si="4441"/>
        <v>4.1762458919303302E-4</v>
      </c>
      <c r="R1372" t="s">
        <v>177</v>
      </c>
      <c r="S1372" t="s">
        <v>180</v>
      </c>
      <c r="T1372" s="197" t="str">
        <f t="shared" si="4472"/>
        <v>Autopilot_Opportunity_257</v>
      </c>
      <c r="U1372">
        <v>257</v>
      </c>
      <c r="V1372">
        <f>VLOOKUP($U1372,'[2]AP Opportunity'!$Q$1:$T$542,2,FALSE)</f>
        <v>0.99999997777777772</v>
      </c>
      <c r="W1372">
        <f>VLOOKUP($U1372,'[2]AP Opportunity'!$Q$1:$T$542,3,FALSE)</f>
        <v>2.2222222284540294E-8</v>
      </c>
      <c r="X1372">
        <f>VLOOKUP($U1372,'[2]AP Opportunity'!$Q$1:$T$542,4,FALSE)</f>
        <v>0</v>
      </c>
      <c r="Y1372" s="77">
        <f t="shared" si="4473"/>
        <v>1</v>
      </c>
      <c r="Z1372" s="77">
        <f t="shared" si="4477"/>
        <v>6.4624999704999977E-2</v>
      </c>
      <c r="AA1372" s="77">
        <f t="shared" si="4478"/>
        <v>5.2321923767311151E-3</v>
      </c>
      <c r="AB1372" s="79">
        <v>1</v>
      </c>
      <c r="AC1372" s="77">
        <f t="shared" si="4442"/>
        <v>8.499999955555556E-3</v>
      </c>
      <c r="AD1372" s="77">
        <f t="shared" ref="AD1372" si="4507">1-(1-AC1372)^(1/12)</f>
        <v>7.1110795759765644E-4</v>
      </c>
      <c r="AE1372" s="77">
        <f t="shared" si="4444"/>
        <v>2.5000000000000001E-3</v>
      </c>
      <c r="AF1372" s="77">
        <f t="shared" ref="AF1372" si="4508">1-(1-AE1372)^(1/12)</f>
        <v>2.0857243058891584E-4</v>
      </c>
      <c r="AH1372" t="s">
        <v>175</v>
      </c>
      <c r="AI1372" t="s">
        <v>180</v>
      </c>
      <c r="AJ1372" s="197" t="str">
        <f t="shared" si="4435"/>
        <v>Lifecycle_Opportunity_257</v>
      </c>
      <c r="AK1372">
        <v>257</v>
      </c>
      <c r="AL1372">
        <f>VLOOKUP($U1372,[2]Standard_Opportunity!$Q$1:$T$542,2,FALSE)</f>
        <v>0.99999997777777772</v>
      </c>
      <c r="AM1372">
        <f>VLOOKUP($U1372,[2]Standard_Opportunity!$Q$1:$T$542,3,FALSE)</f>
        <v>2.2222222284540294E-8</v>
      </c>
      <c r="AN1372">
        <f>VLOOKUP($U1372,[2]Standard_Opportunity!$Q$1:$T$542,4,FALSE)</f>
        <v>0</v>
      </c>
      <c r="AO1372" s="77">
        <f t="shared" si="4436"/>
        <v>1</v>
      </c>
      <c r="AP1372" s="77">
        <f t="shared" si="4446"/>
        <v>6.4624999704999977E-2</v>
      </c>
      <c r="AQ1372" s="77">
        <f t="shared" si="4437"/>
        <v>5.2321923767311151E-3</v>
      </c>
      <c r="AR1372" s="79">
        <v>0</v>
      </c>
      <c r="AS1372" s="77">
        <f t="shared" si="4447"/>
        <v>0</v>
      </c>
      <c r="AT1372" s="77">
        <f t="shared" si="4448"/>
        <v>0</v>
      </c>
      <c r="AU1372" s="77">
        <f t="shared" si="4449"/>
        <v>2.5000000000000001E-3</v>
      </c>
      <c r="AV1372" s="77">
        <f t="shared" si="4450"/>
        <v>2.0809499864316017E-4</v>
      </c>
    </row>
    <row r="1373" spans="1:48">
      <c r="A1373" t="s">
        <v>175</v>
      </c>
      <c r="B1373" t="s">
        <v>180</v>
      </c>
      <c r="C1373" s="197" t="str">
        <f t="shared" si="4471"/>
        <v>Lifecycle_Opportunity_256</v>
      </c>
      <c r="D1373">
        <v>256</v>
      </c>
      <c r="E1373">
        <f>VLOOKUP($D1373,'[2]LC Opportunity'!$Q$2:$U$542,2,FALSE)</f>
        <v>0</v>
      </c>
      <c r="F1373">
        <f>VLOOKUP($D1373,'[2]LC Opportunity'!$Q$2:$U$542,3,FALSE)</f>
        <v>0</v>
      </c>
      <c r="G1373">
        <f>VLOOKUP($D1373,'[2]LC Opportunity'!$Q$2:$U$542,4,FALSE)</f>
        <v>0</v>
      </c>
      <c r="H1373">
        <f>VLOOKUP($D1373,'[2]LC Opportunity'!$Q$2:$U$542,5,FALSE)</f>
        <v>0.99999999999999989</v>
      </c>
      <c r="I1373" s="77">
        <f t="shared" si="4431"/>
        <v>0.99999999999999989</v>
      </c>
      <c r="J1373" s="77">
        <f t="shared" si="4432"/>
        <v>7.1999999999999981E-2</v>
      </c>
      <c r="K1373" s="77">
        <f t="shared" si="4476"/>
        <v>5.8106552987937654E-3</v>
      </c>
      <c r="L1373" s="76">
        <v>0</v>
      </c>
      <c r="M1373" s="77">
        <f t="shared" si="4438"/>
        <v>0</v>
      </c>
      <c r="N1373" s="77">
        <f t="shared" si="4439"/>
        <v>0</v>
      </c>
      <c r="O1373" s="77">
        <f t="shared" si="4440"/>
        <v>4.9999999999999992E-3</v>
      </c>
      <c r="P1373" s="77">
        <f t="shared" si="4441"/>
        <v>4.1762458919303302E-4</v>
      </c>
      <c r="R1373" t="s">
        <v>177</v>
      </c>
      <c r="S1373" t="s">
        <v>180</v>
      </c>
      <c r="T1373" s="197" t="str">
        <f t="shared" si="4472"/>
        <v>Autopilot_Opportunity_256</v>
      </c>
      <c r="U1373">
        <v>256</v>
      </c>
      <c r="V1373">
        <f>VLOOKUP($U1373,'[2]AP Opportunity'!$Q$1:$T$542,2,FALSE)</f>
        <v>0.99999997777777772</v>
      </c>
      <c r="W1373">
        <f>VLOOKUP($U1373,'[2]AP Opportunity'!$Q$1:$T$542,3,FALSE)</f>
        <v>2.2222222284540294E-8</v>
      </c>
      <c r="X1373">
        <f>VLOOKUP($U1373,'[2]AP Opportunity'!$Q$1:$T$542,4,FALSE)</f>
        <v>0</v>
      </c>
      <c r="Y1373" s="77">
        <f t="shared" si="4473"/>
        <v>1</v>
      </c>
      <c r="Z1373" s="77">
        <f t="shared" si="4477"/>
        <v>6.4624999704999977E-2</v>
      </c>
      <c r="AA1373" s="77">
        <f t="shared" si="4478"/>
        <v>5.2321923767311151E-3</v>
      </c>
      <c r="AB1373" s="79">
        <v>1</v>
      </c>
      <c r="AC1373" s="77">
        <f t="shared" si="4442"/>
        <v>8.499999955555556E-3</v>
      </c>
      <c r="AD1373" s="77">
        <f t="shared" ref="AD1373" si="4509">1-(1-AC1373)^(1/12)</f>
        <v>7.1110795759765644E-4</v>
      </c>
      <c r="AE1373" s="77">
        <f t="shared" si="4444"/>
        <v>2.5000000000000001E-3</v>
      </c>
      <c r="AF1373" s="77">
        <f t="shared" ref="AF1373" si="4510">1-(1-AE1373)^(1/12)</f>
        <v>2.0857243058891584E-4</v>
      </c>
      <c r="AH1373" t="s">
        <v>175</v>
      </c>
      <c r="AI1373" t="s">
        <v>180</v>
      </c>
      <c r="AJ1373" s="197" t="str">
        <f t="shared" si="4435"/>
        <v>Lifecycle_Opportunity_256</v>
      </c>
      <c r="AK1373">
        <v>256</v>
      </c>
      <c r="AL1373">
        <f>VLOOKUP($U1373,[2]Standard_Opportunity!$Q$1:$T$542,2,FALSE)</f>
        <v>0.99999997777777772</v>
      </c>
      <c r="AM1373">
        <f>VLOOKUP($U1373,[2]Standard_Opportunity!$Q$1:$T$542,3,FALSE)</f>
        <v>2.2222222284540294E-8</v>
      </c>
      <c r="AN1373">
        <f>VLOOKUP($U1373,[2]Standard_Opportunity!$Q$1:$T$542,4,FALSE)</f>
        <v>0</v>
      </c>
      <c r="AO1373" s="77">
        <f t="shared" si="4436"/>
        <v>1</v>
      </c>
      <c r="AP1373" s="77">
        <f t="shared" si="4446"/>
        <v>6.4624999704999977E-2</v>
      </c>
      <c r="AQ1373" s="77">
        <f t="shared" si="4437"/>
        <v>5.2321923767311151E-3</v>
      </c>
      <c r="AR1373" s="79">
        <v>0</v>
      </c>
      <c r="AS1373" s="77">
        <f t="shared" si="4447"/>
        <v>0</v>
      </c>
      <c r="AT1373" s="77">
        <f t="shared" si="4448"/>
        <v>0</v>
      </c>
      <c r="AU1373" s="77">
        <f t="shared" si="4449"/>
        <v>2.5000000000000001E-3</v>
      </c>
      <c r="AV1373" s="77">
        <f t="shared" si="4450"/>
        <v>2.0809499864316017E-4</v>
      </c>
    </row>
    <row r="1374" spans="1:48">
      <c r="A1374" t="s">
        <v>175</v>
      </c>
      <c r="B1374" t="s">
        <v>180</v>
      </c>
      <c r="C1374" s="197" t="str">
        <f t="shared" si="4471"/>
        <v>Lifecycle_Opportunity_255</v>
      </c>
      <c r="D1374">
        <v>255</v>
      </c>
      <c r="E1374">
        <f>VLOOKUP($D1374,'[2]LC Opportunity'!$Q$2:$U$542,2,FALSE)</f>
        <v>0</v>
      </c>
      <c r="F1374">
        <f>VLOOKUP($D1374,'[2]LC Opportunity'!$Q$2:$U$542,3,FALSE)</f>
        <v>0</v>
      </c>
      <c r="G1374">
        <f>VLOOKUP($D1374,'[2]LC Opportunity'!$Q$2:$U$542,4,FALSE)</f>
        <v>0</v>
      </c>
      <c r="H1374">
        <f>VLOOKUP($D1374,'[2]LC Opportunity'!$Q$2:$U$542,5,FALSE)</f>
        <v>0.99999999999999989</v>
      </c>
      <c r="I1374" s="77">
        <f t="shared" si="4431"/>
        <v>0.99999999999999989</v>
      </c>
      <c r="J1374" s="77">
        <f t="shared" si="4432"/>
        <v>7.1999999999999981E-2</v>
      </c>
      <c r="K1374" s="77">
        <f t="shared" si="4476"/>
        <v>5.8106552987937654E-3</v>
      </c>
      <c r="L1374" s="76">
        <v>0</v>
      </c>
      <c r="M1374" s="77">
        <f t="shared" si="4438"/>
        <v>0</v>
      </c>
      <c r="N1374" s="77">
        <f t="shared" si="4439"/>
        <v>0</v>
      </c>
      <c r="O1374" s="77">
        <f t="shared" si="4440"/>
        <v>4.9999999999999992E-3</v>
      </c>
      <c r="P1374" s="77">
        <f t="shared" si="4441"/>
        <v>4.1762458919303302E-4</v>
      </c>
      <c r="R1374" t="s">
        <v>177</v>
      </c>
      <c r="S1374" t="s">
        <v>180</v>
      </c>
      <c r="T1374" s="197" t="str">
        <f t="shared" si="4472"/>
        <v>Autopilot_Opportunity_255</v>
      </c>
      <c r="U1374">
        <v>255</v>
      </c>
      <c r="V1374">
        <f>VLOOKUP($U1374,'[2]AP Opportunity'!$Q$1:$T$542,2,FALSE)</f>
        <v>0.99999997777777772</v>
      </c>
      <c r="W1374">
        <f>VLOOKUP($U1374,'[2]AP Opportunity'!$Q$1:$T$542,3,FALSE)</f>
        <v>2.2222222284540294E-8</v>
      </c>
      <c r="X1374">
        <f>VLOOKUP($U1374,'[2]AP Opportunity'!$Q$1:$T$542,4,FALSE)</f>
        <v>0</v>
      </c>
      <c r="Y1374" s="77">
        <f t="shared" si="4473"/>
        <v>1</v>
      </c>
      <c r="Z1374" s="77">
        <f t="shared" si="4477"/>
        <v>6.4624999704999977E-2</v>
      </c>
      <c r="AA1374" s="77">
        <f t="shared" si="4478"/>
        <v>5.2321923767311151E-3</v>
      </c>
      <c r="AB1374" s="79">
        <v>1</v>
      </c>
      <c r="AC1374" s="77">
        <f t="shared" si="4442"/>
        <v>8.499999955555556E-3</v>
      </c>
      <c r="AD1374" s="77">
        <f t="shared" ref="AD1374" si="4511">1-(1-AC1374)^(1/12)</f>
        <v>7.1110795759765644E-4</v>
      </c>
      <c r="AE1374" s="77">
        <f t="shared" si="4444"/>
        <v>2.5000000000000001E-3</v>
      </c>
      <c r="AF1374" s="77">
        <f t="shared" ref="AF1374" si="4512">1-(1-AE1374)^(1/12)</f>
        <v>2.0857243058891584E-4</v>
      </c>
      <c r="AH1374" t="s">
        <v>175</v>
      </c>
      <c r="AI1374" t="s">
        <v>180</v>
      </c>
      <c r="AJ1374" s="197" t="str">
        <f t="shared" si="4435"/>
        <v>Lifecycle_Opportunity_255</v>
      </c>
      <c r="AK1374">
        <v>255</v>
      </c>
      <c r="AL1374">
        <f>VLOOKUP($U1374,[2]Standard_Opportunity!$Q$1:$T$542,2,FALSE)</f>
        <v>0.99999997777777772</v>
      </c>
      <c r="AM1374">
        <f>VLOOKUP($U1374,[2]Standard_Opportunity!$Q$1:$T$542,3,FALSE)</f>
        <v>2.2222222284540294E-8</v>
      </c>
      <c r="AN1374">
        <f>VLOOKUP($U1374,[2]Standard_Opportunity!$Q$1:$T$542,4,FALSE)</f>
        <v>0</v>
      </c>
      <c r="AO1374" s="77">
        <f t="shared" si="4436"/>
        <v>1</v>
      </c>
      <c r="AP1374" s="77">
        <f t="shared" si="4446"/>
        <v>6.4624999704999977E-2</v>
      </c>
      <c r="AQ1374" s="77">
        <f t="shared" si="4437"/>
        <v>5.2321923767311151E-3</v>
      </c>
      <c r="AR1374" s="79">
        <v>0</v>
      </c>
      <c r="AS1374" s="77">
        <f t="shared" si="4447"/>
        <v>0</v>
      </c>
      <c r="AT1374" s="77">
        <f t="shared" si="4448"/>
        <v>0</v>
      </c>
      <c r="AU1374" s="77">
        <f t="shared" si="4449"/>
        <v>2.5000000000000001E-3</v>
      </c>
      <c r="AV1374" s="77">
        <f t="shared" si="4450"/>
        <v>2.0809499864316017E-4</v>
      </c>
    </row>
    <row r="1375" spans="1:48">
      <c r="A1375" t="s">
        <v>175</v>
      </c>
      <c r="B1375" t="s">
        <v>180</v>
      </c>
      <c r="C1375" s="197" t="str">
        <f t="shared" si="4471"/>
        <v>Lifecycle_Opportunity_254</v>
      </c>
      <c r="D1375">
        <v>254</v>
      </c>
      <c r="E1375">
        <f>VLOOKUP($D1375,'[2]LC Opportunity'!$Q$2:$U$542,2,FALSE)</f>
        <v>0</v>
      </c>
      <c r="F1375">
        <f>VLOOKUP($D1375,'[2]LC Opportunity'!$Q$2:$U$542,3,FALSE)</f>
        <v>0</v>
      </c>
      <c r="G1375">
        <f>VLOOKUP($D1375,'[2]LC Opportunity'!$Q$2:$U$542,4,FALSE)</f>
        <v>0</v>
      </c>
      <c r="H1375">
        <f>VLOOKUP($D1375,'[2]LC Opportunity'!$Q$2:$U$542,5,FALSE)</f>
        <v>0.99999999999999989</v>
      </c>
      <c r="I1375" s="77">
        <f t="shared" si="4431"/>
        <v>0.99999999999999989</v>
      </c>
      <c r="J1375" s="77">
        <f t="shared" si="4432"/>
        <v>7.1999999999999981E-2</v>
      </c>
      <c r="K1375" s="77">
        <f t="shared" si="4476"/>
        <v>5.8106552987937654E-3</v>
      </c>
      <c r="L1375" s="76">
        <v>0</v>
      </c>
      <c r="M1375" s="77">
        <f t="shared" si="4438"/>
        <v>0</v>
      </c>
      <c r="N1375" s="77">
        <f t="shared" si="4439"/>
        <v>0</v>
      </c>
      <c r="O1375" s="77">
        <f t="shared" si="4440"/>
        <v>4.9999999999999992E-3</v>
      </c>
      <c r="P1375" s="77">
        <f t="shared" si="4441"/>
        <v>4.1762458919303302E-4</v>
      </c>
      <c r="R1375" t="s">
        <v>177</v>
      </c>
      <c r="S1375" t="s">
        <v>180</v>
      </c>
      <c r="T1375" s="197" t="str">
        <f t="shared" si="4472"/>
        <v>Autopilot_Opportunity_254</v>
      </c>
      <c r="U1375">
        <v>254</v>
      </c>
      <c r="V1375">
        <f>VLOOKUP($U1375,'[2]AP Opportunity'!$Q$1:$T$542,2,FALSE)</f>
        <v>0.99999997777777772</v>
      </c>
      <c r="W1375">
        <f>VLOOKUP($U1375,'[2]AP Opportunity'!$Q$1:$T$542,3,FALSE)</f>
        <v>2.2222222284540294E-8</v>
      </c>
      <c r="X1375">
        <f>VLOOKUP($U1375,'[2]AP Opportunity'!$Q$1:$T$542,4,FALSE)</f>
        <v>0</v>
      </c>
      <c r="Y1375" s="77">
        <f t="shared" si="4473"/>
        <v>1</v>
      </c>
      <c r="Z1375" s="77">
        <f t="shared" si="4477"/>
        <v>6.4624999704999977E-2</v>
      </c>
      <c r="AA1375" s="77">
        <f t="shared" si="4478"/>
        <v>5.2321923767311151E-3</v>
      </c>
      <c r="AB1375" s="79">
        <v>1</v>
      </c>
      <c r="AC1375" s="77">
        <f t="shared" si="4442"/>
        <v>8.499999955555556E-3</v>
      </c>
      <c r="AD1375" s="77">
        <f t="shared" ref="AD1375" si="4513">1-(1-AC1375)^(1/12)</f>
        <v>7.1110795759765644E-4</v>
      </c>
      <c r="AE1375" s="77">
        <f t="shared" si="4444"/>
        <v>2.5000000000000001E-3</v>
      </c>
      <c r="AF1375" s="77">
        <f t="shared" ref="AF1375" si="4514">1-(1-AE1375)^(1/12)</f>
        <v>2.0857243058891584E-4</v>
      </c>
      <c r="AH1375" t="s">
        <v>175</v>
      </c>
      <c r="AI1375" t="s">
        <v>180</v>
      </c>
      <c r="AJ1375" s="197" t="str">
        <f t="shared" si="4435"/>
        <v>Lifecycle_Opportunity_254</v>
      </c>
      <c r="AK1375">
        <v>254</v>
      </c>
      <c r="AL1375">
        <f>VLOOKUP($U1375,[2]Standard_Opportunity!$Q$1:$T$542,2,FALSE)</f>
        <v>0.99999997777777772</v>
      </c>
      <c r="AM1375">
        <f>VLOOKUP($U1375,[2]Standard_Opportunity!$Q$1:$T$542,3,FALSE)</f>
        <v>2.2222222284540294E-8</v>
      </c>
      <c r="AN1375">
        <f>VLOOKUP($U1375,[2]Standard_Opportunity!$Q$1:$T$542,4,FALSE)</f>
        <v>0</v>
      </c>
      <c r="AO1375" s="77">
        <f t="shared" si="4436"/>
        <v>1</v>
      </c>
      <c r="AP1375" s="77">
        <f t="shared" si="4446"/>
        <v>6.4624999704999977E-2</v>
      </c>
      <c r="AQ1375" s="77">
        <f t="shared" si="4437"/>
        <v>5.2321923767311151E-3</v>
      </c>
      <c r="AR1375" s="79">
        <v>0</v>
      </c>
      <c r="AS1375" s="77">
        <f t="shared" si="4447"/>
        <v>0</v>
      </c>
      <c r="AT1375" s="77">
        <f t="shared" si="4448"/>
        <v>0</v>
      </c>
      <c r="AU1375" s="77">
        <f t="shared" si="4449"/>
        <v>2.5000000000000001E-3</v>
      </c>
      <c r="AV1375" s="77">
        <f t="shared" si="4450"/>
        <v>2.0809499864316017E-4</v>
      </c>
    </row>
    <row r="1376" spans="1:48">
      <c r="A1376" t="s">
        <v>175</v>
      </c>
      <c r="B1376" t="s">
        <v>180</v>
      </c>
      <c r="C1376" s="197" t="str">
        <f t="shared" si="4471"/>
        <v>Lifecycle_Opportunity_253</v>
      </c>
      <c r="D1376">
        <v>253</v>
      </c>
      <c r="E1376">
        <f>VLOOKUP($D1376,'[2]LC Opportunity'!$Q$2:$U$542,2,FALSE)</f>
        <v>0</v>
      </c>
      <c r="F1376">
        <f>VLOOKUP($D1376,'[2]LC Opportunity'!$Q$2:$U$542,3,FALSE)</f>
        <v>0</v>
      </c>
      <c r="G1376">
        <f>VLOOKUP($D1376,'[2]LC Opportunity'!$Q$2:$U$542,4,FALSE)</f>
        <v>0</v>
      </c>
      <c r="H1376">
        <f>VLOOKUP($D1376,'[2]LC Opportunity'!$Q$2:$U$542,5,FALSE)</f>
        <v>0.99999999999999989</v>
      </c>
      <c r="I1376" s="77">
        <f t="shared" si="4431"/>
        <v>0.99999999999999989</v>
      </c>
      <c r="J1376" s="77">
        <f t="shared" si="4432"/>
        <v>7.1999999999999981E-2</v>
      </c>
      <c r="K1376" s="77">
        <f t="shared" si="4476"/>
        <v>5.8106552987937654E-3</v>
      </c>
      <c r="L1376" s="76">
        <v>0</v>
      </c>
      <c r="M1376" s="77">
        <f t="shared" si="4438"/>
        <v>0</v>
      </c>
      <c r="N1376" s="77">
        <f t="shared" si="4439"/>
        <v>0</v>
      </c>
      <c r="O1376" s="77">
        <f t="shared" si="4440"/>
        <v>4.9999999999999992E-3</v>
      </c>
      <c r="P1376" s="77">
        <f t="shared" si="4441"/>
        <v>4.1762458919303302E-4</v>
      </c>
      <c r="R1376" t="s">
        <v>177</v>
      </c>
      <c r="S1376" t="s">
        <v>180</v>
      </c>
      <c r="T1376" s="197" t="str">
        <f t="shared" si="4472"/>
        <v>Autopilot_Opportunity_253</v>
      </c>
      <c r="U1376">
        <v>253</v>
      </c>
      <c r="V1376">
        <f>VLOOKUP($U1376,'[2]AP Opportunity'!$Q$1:$T$542,2,FALSE)</f>
        <v>0.99999997777777772</v>
      </c>
      <c r="W1376">
        <f>VLOOKUP($U1376,'[2]AP Opportunity'!$Q$1:$T$542,3,FALSE)</f>
        <v>2.2222222284540294E-8</v>
      </c>
      <c r="X1376">
        <f>VLOOKUP($U1376,'[2]AP Opportunity'!$Q$1:$T$542,4,FALSE)</f>
        <v>0</v>
      </c>
      <c r="Y1376" s="77">
        <f t="shared" si="4473"/>
        <v>1</v>
      </c>
      <c r="Z1376" s="77">
        <f t="shared" si="4477"/>
        <v>6.4624999704999977E-2</v>
      </c>
      <c r="AA1376" s="77">
        <f t="shared" si="4478"/>
        <v>5.2321923767311151E-3</v>
      </c>
      <c r="AB1376" s="79">
        <v>1</v>
      </c>
      <c r="AC1376" s="77">
        <f t="shared" si="4442"/>
        <v>8.499999955555556E-3</v>
      </c>
      <c r="AD1376" s="77">
        <f t="shared" ref="AD1376" si="4515">1-(1-AC1376)^(1/12)</f>
        <v>7.1110795759765644E-4</v>
      </c>
      <c r="AE1376" s="77">
        <f t="shared" si="4444"/>
        <v>2.5000000000000001E-3</v>
      </c>
      <c r="AF1376" s="77">
        <f t="shared" ref="AF1376" si="4516">1-(1-AE1376)^(1/12)</f>
        <v>2.0857243058891584E-4</v>
      </c>
      <c r="AH1376" t="s">
        <v>175</v>
      </c>
      <c r="AI1376" t="s">
        <v>180</v>
      </c>
      <c r="AJ1376" s="197" t="str">
        <f t="shared" si="4435"/>
        <v>Lifecycle_Opportunity_253</v>
      </c>
      <c r="AK1376">
        <v>253</v>
      </c>
      <c r="AL1376">
        <f>VLOOKUP($U1376,[2]Standard_Opportunity!$Q$1:$T$542,2,FALSE)</f>
        <v>0.99999997777777772</v>
      </c>
      <c r="AM1376">
        <f>VLOOKUP($U1376,[2]Standard_Opportunity!$Q$1:$T$542,3,FALSE)</f>
        <v>2.2222222284540294E-8</v>
      </c>
      <c r="AN1376">
        <f>VLOOKUP($U1376,[2]Standard_Opportunity!$Q$1:$T$542,4,FALSE)</f>
        <v>0</v>
      </c>
      <c r="AO1376" s="77">
        <f t="shared" si="4436"/>
        <v>1</v>
      </c>
      <c r="AP1376" s="77">
        <f t="shared" si="4446"/>
        <v>6.4624999704999977E-2</v>
      </c>
      <c r="AQ1376" s="77">
        <f t="shared" si="4437"/>
        <v>5.2321923767311151E-3</v>
      </c>
      <c r="AR1376" s="79">
        <v>0</v>
      </c>
      <c r="AS1376" s="77">
        <f t="shared" si="4447"/>
        <v>0</v>
      </c>
      <c r="AT1376" s="77">
        <f t="shared" si="4448"/>
        <v>0</v>
      </c>
      <c r="AU1376" s="77">
        <f t="shared" si="4449"/>
        <v>2.5000000000000001E-3</v>
      </c>
      <c r="AV1376" s="77">
        <f t="shared" si="4450"/>
        <v>2.0809499864316017E-4</v>
      </c>
    </row>
    <row r="1377" spans="1:48">
      <c r="A1377" t="s">
        <v>175</v>
      </c>
      <c r="B1377" t="s">
        <v>180</v>
      </c>
      <c r="C1377" s="197" t="str">
        <f t="shared" si="4471"/>
        <v>Lifecycle_Opportunity_252</v>
      </c>
      <c r="D1377">
        <v>252</v>
      </c>
      <c r="E1377">
        <f>VLOOKUP($D1377,'[2]LC Opportunity'!$Q$2:$U$542,2,FALSE)</f>
        <v>0</v>
      </c>
      <c r="F1377">
        <f>VLOOKUP($D1377,'[2]LC Opportunity'!$Q$2:$U$542,3,FALSE)</f>
        <v>0</v>
      </c>
      <c r="G1377">
        <f>VLOOKUP($D1377,'[2]LC Opportunity'!$Q$2:$U$542,4,FALSE)</f>
        <v>0</v>
      </c>
      <c r="H1377">
        <f>VLOOKUP($D1377,'[2]LC Opportunity'!$Q$2:$U$542,5,FALSE)</f>
        <v>0.99999999999999989</v>
      </c>
      <c r="I1377" s="77">
        <f t="shared" si="4431"/>
        <v>0.99999999999999989</v>
      </c>
      <c r="J1377" s="77">
        <f t="shared" si="4432"/>
        <v>7.1999999999999981E-2</v>
      </c>
      <c r="K1377" s="77">
        <f t="shared" si="4476"/>
        <v>5.8106552987937654E-3</v>
      </c>
      <c r="L1377" s="76">
        <v>0</v>
      </c>
      <c r="M1377" s="77">
        <f t="shared" si="4438"/>
        <v>0</v>
      </c>
      <c r="N1377" s="77">
        <f t="shared" si="4439"/>
        <v>0</v>
      </c>
      <c r="O1377" s="77">
        <f t="shared" si="4440"/>
        <v>4.9999999999999992E-3</v>
      </c>
      <c r="P1377" s="77">
        <f t="shared" si="4441"/>
        <v>4.1762458919303302E-4</v>
      </c>
      <c r="R1377" t="s">
        <v>177</v>
      </c>
      <c r="S1377" t="s">
        <v>180</v>
      </c>
      <c r="T1377" s="197" t="str">
        <f t="shared" si="4472"/>
        <v>Autopilot_Opportunity_252</v>
      </c>
      <c r="U1377">
        <v>252</v>
      </c>
      <c r="V1377">
        <f>VLOOKUP($U1377,'[2]AP Opportunity'!$Q$1:$T$542,2,FALSE)</f>
        <v>0.99999997777777772</v>
      </c>
      <c r="W1377">
        <f>VLOOKUP($U1377,'[2]AP Opportunity'!$Q$1:$T$542,3,FALSE)</f>
        <v>2.2222222284540294E-8</v>
      </c>
      <c r="X1377">
        <f>VLOOKUP($U1377,'[2]AP Opportunity'!$Q$1:$T$542,4,FALSE)</f>
        <v>0</v>
      </c>
      <c r="Y1377" s="77">
        <f t="shared" si="4473"/>
        <v>1</v>
      </c>
      <c r="Z1377" s="77">
        <f t="shared" si="4477"/>
        <v>6.4624999704999977E-2</v>
      </c>
      <c r="AA1377" s="77">
        <f t="shared" si="4478"/>
        <v>5.2321923767311151E-3</v>
      </c>
      <c r="AB1377" s="79">
        <v>1</v>
      </c>
      <c r="AC1377" s="77">
        <f t="shared" si="4442"/>
        <v>8.499999955555556E-3</v>
      </c>
      <c r="AD1377" s="77">
        <f t="shared" ref="AD1377" si="4517">1-(1-AC1377)^(1/12)</f>
        <v>7.1110795759765644E-4</v>
      </c>
      <c r="AE1377" s="77">
        <f t="shared" si="4444"/>
        <v>2.5000000000000001E-3</v>
      </c>
      <c r="AF1377" s="77">
        <f t="shared" ref="AF1377" si="4518">1-(1-AE1377)^(1/12)</f>
        <v>2.0857243058891584E-4</v>
      </c>
      <c r="AH1377" t="s">
        <v>175</v>
      </c>
      <c r="AI1377" t="s">
        <v>180</v>
      </c>
      <c r="AJ1377" s="197" t="str">
        <f t="shared" si="4435"/>
        <v>Lifecycle_Opportunity_252</v>
      </c>
      <c r="AK1377">
        <v>252</v>
      </c>
      <c r="AL1377">
        <f>VLOOKUP($U1377,[2]Standard_Opportunity!$Q$1:$T$542,2,FALSE)</f>
        <v>0.99999997777777772</v>
      </c>
      <c r="AM1377">
        <f>VLOOKUP($U1377,[2]Standard_Opportunity!$Q$1:$T$542,3,FALSE)</f>
        <v>2.2222222284540294E-8</v>
      </c>
      <c r="AN1377">
        <f>VLOOKUP($U1377,[2]Standard_Opportunity!$Q$1:$T$542,4,FALSE)</f>
        <v>0</v>
      </c>
      <c r="AO1377" s="77">
        <f t="shared" si="4436"/>
        <v>1</v>
      </c>
      <c r="AP1377" s="77">
        <f t="shared" si="4446"/>
        <v>6.4624999704999977E-2</v>
      </c>
      <c r="AQ1377" s="77">
        <f t="shared" si="4437"/>
        <v>5.2321923767311151E-3</v>
      </c>
      <c r="AR1377" s="79">
        <v>0</v>
      </c>
      <c r="AS1377" s="77">
        <f t="shared" si="4447"/>
        <v>0</v>
      </c>
      <c r="AT1377" s="77">
        <f t="shared" si="4448"/>
        <v>0</v>
      </c>
      <c r="AU1377" s="77">
        <f t="shared" si="4449"/>
        <v>2.5000000000000001E-3</v>
      </c>
      <c r="AV1377" s="77">
        <f t="shared" si="4450"/>
        <v>2.0809499864316017E-4</v>
      </c>
    </row>
    <row r="1378" spans="1:48">
      <c r="A1378" t="s">
        <v>175</v>
      </c>
      <c r="B1378" t="s">
        <v>180</v>
      </c>
      <c r="C1378" s="197" t="str">
        <f t="shared" si="4471"/>
        <v>Lifecycle_Opportunity_251</v>
      </c>
      <c r="D1378">
        <v>251</v>
      </c>
      <c r="E1378">
        <f>VLOOKUP($D1378,'[2]LC Opportunity'!$Q$2:$U$542,2,FALSE)</f>
        <v>0</v>
      </c>
      <c r="F1378">
        <f>VLOOKUP($D1378,'[2]LC Opportunity'!$Q$2:$U$542,3,FALSE)</f>
        <v>0</v>
      </c>
      <c r="G1378">
        <f>VLOOKUP($D1378,'[2]LC Opportunity'!$Q$2:$U$542,4,FALSE)</f>
        <v>0</v>
      </c>
      <c r="H1378">
        <f>VLOOKUP($D1378,'[2]LC Opportunity'!$Q$2:$U$542,5,FALSE)</f>
        <v>0.99999999999999989</v>
      </c>
      <c r="I1378" s="77">
        <f t="shared" si="4431"/>
        <v>0.99999999999999989</v>
      </c>
      <c r="J1378" s="77">
        <f t="shared" si="4432"/>
        <v>7.1999999999999981E-2</v>
      </c>
      <c r="K1378" s="77">
        <f t="shared" si="4476"/>
        <v>5.8106552987937654E-3</v>
      </c>
      <c r="L1378" s="76">
        <v>0</v>
      </c>
      <c r="M1378" s="77">
        <f t="shared" si="4438"/>
        <v>0</v>
      </c>
      <c r="N1378" s="77">
        <f t="shared" si="4439"/>
        <v>0</v>
      </c>
      <c r="O1378" s="77">
        <f t="shared" si="4440"/>
        <v>4.9999999999999992E-3</v>
      </c>
      <c r="P1378" s="77">
        <f t="shared" si="4441"/>
        <v>4.1762458919303302E-4</v>
      </c>
      <c r="R1378" t="s">
        <v>177</v>
      </c>
      <c r="S1378" t="s">
        <v>180</v>
      </c>
      <c r="T1378" s="197" t="str">
        <f t="shared" si="4472"/>
        <v>Autopilot_Opportunity_251</v>
      </c>
      <c r="U1378">
        <v>251</v>
      </c>
      <c r="V1378">
        <f>VLOOKUP($U1378,'[2]AP Opportunity'!$Q$1:$T$542,2,FALSE)</f>
        <v>0.99999997777777772</v>
      </c>
      <c r="W1378">
        <f>VLOOKUP($U1378,'[2]AP Opportunity'!$Q$1:$T$542,3,FALSE)</f>
        <v>2.2222222284540294E-8</v>
      </c>
      <c r="X1378">
        <f>VLOOKUP($U1378,'[2]AP Opportunity'!$Q$1:$T$542,4,FALSE)</f>
        <v>0</v>
      </c>
      <c r="Y1378" s="77">
        <f t="shared" si="4473"/>
        <v>1</v>
      </c>
      <c r="Z1378" s="77">
        <f t="shared" si="4477"/>
        <v>6.4624999704999977E-2</v>
      </c>
      <c r="AA1378" s="77">
        <f t="shared" si="4478"/>
        <v>5.2321923767311151E-3</v>
      </c>
      <c r="AB1378" s="79">
        <v>1</v>
      </c>
      <c r="AC1378" s="77">
        <f t="shared" si="4442"/>
        <v>8.499999955555556E-3</v>
      </c>
      <c r="AD1378" s="77">
        <f t="shared" ref="AD1378" si="4519">1-(1-AC1378)^(1/12)</f>
        <v>7.1110795759765644E-4</v>
      </c>
      <c r="AE1378" s="77">
        <f t="shared" si="4444"/>
        <v>2.5000000000000001E-3</v>
      </c>
      <c r="AF1378" s="77">
        <f t="shared" ref="AF1378" si="4520">1-(1-AE1378)^(1/12)</f>
        <v>2.0857243058891584E-4</v>
      </c>
      <c r="AH1378" t="s">
        <v>175</v>
      </c>
      <c r="AI1378" t="s">
        <v>180</v>
      </c>
      <c r="AJ1378" s="197" t="str">
        <f t="shared" si="4435"/>
        <v>Lifecycle_Opportunity_251</v>
      </c>
      <c r="AK1378">
        <v>251</v>
      </c>
      <c r="AL1378">
        <f>VLOOKUP($U1378,[2]Standard_Opportunity!$Q$1:$T$542,2,FALSE)</f>
        <v>0.99999997777777772</v>
      </c>
      <c r="AM1378">
        <f>VLOOKUP($U1378,[2]Standard_Opportunity!$Q$1:$T$542,3,FALSE)</f>
        <v>2.2222222284540294E-8</v>
      </c>
      <c r="AN1378">
        <f>VLOOKUP($U1378,[2]Standard_Opportunity!$Q$1:$T$542,4,FALSE)</f>
        <v>0</v>
      </c>
      <c r="AO1378" s="77">
        <f t="shared" si="4436"/>
        <v>1</v>
      </c>
      <c r="AP1378" s="77">
        <f t="shared" si="4446"/>
        <v>6.4624999704999977E-2</v>
      </c>
      <c r="AQ1378" s="77">
        <f t="shared" si="4437"/>
        <v>5.2321923767311151E-3</v>
      </c>
      <c r="AR1378" s="79">
        <v>0</v>
      </c>
      <c r="AS1378" s="77">
        <f t="shared" si="4447"/>
        <v>0</v>
      </c>
      <c r="AT1378" s="77">
        <f t="shared" si="4448"/>
        <v>0</v>
      </c>
      <c r="AU1378" s="77">
        <f t="shared" si="4449"/>
        <v>2.5000000000000001E-3</v>
      </c>
      <c r="AV1378" s="77">
        <f t="shared" si="4450"/>
        <v>2.0809499864316017E-4</v>
      </c>
    </row>
    <row r="1379" spans="1:48">
      <c r="A1379" t="s">
        <v>175</v>
      </c>
      <c r="B1379" t="s">
        <v>180</v>
      </c>
      <c r="C1379" s="197" t="str">
        <f t="shared" si="4471"/>
        <v>Lifecycle_Opportunity_250</v>
      </c>
      <c r="D1379">
        <v>250</v>
      </c>
      <c r="E1379">
        <f>VLOOKUP($D1379,'[2]LC Opportunity'!$Q$2:$U$542,2,FALSE)</f>
        <v>0</v>
      </c>
      <c r="F1379">
        <f>VLOOKUP($D1379,'[2]LC Opportunity'!$Q$2:$U$542,3,FALSE)</f>
        <v>0</v>
      </c>
      <c r="G1379">
        <f>VLOOKUP($D1379,'[2]LC Opportunity'!$Q$2:$U$542,4,FALSE)</f>
        <v>0</v>
      </c>
      <c r="H1379">
        <f>VLOOKUP($D1379,'[2]LC Opportunity'!$Q$2:$U$542,5,FALSE)</f>
        <v>0.99999999999999989</v>
      </c>
      <c r="I1379" s="77">
        <f t="shared" si="4431"/>
        <v>0.99999999999999989</v>
      </c>
      <c r="J1379" s="77">
        <f t="shared" si="4432"/>
        <v>7.1999999999999981E-2</v>
      </c>
      <c r="K1379" s="77">
        <f t="shared" si="4476"/>
        <v>5.8106552987937654E-3</v>
      </c>
      <c r="L1379" s="76">
        <v>0</v>
      </c>
      <c r="M1379" s="77">
        <f t="shared" si="4438"/>
        <v>0</v>
      </c>
      <c r="N1379" s="77">
        <f t="shared" si="4439"/>
        <v>0</v>
      </c>
      <c r="O1379" s="77">
        <f t="shared" si="4440"/>
        <v>4.9999999999999992E-3</v>
      </c>
      <c r="P1379" s="77">
        <f t="shared" si="4441"/>
        <v>4.1762458919303302E-4</v>
      </c>
      <c r="R1379" t="s">
        <v>177</v>
      </c>
      <c r="S1379" t="s">
        <v>180</v>
      </c>
      <c r="T1379" s="197" t="str">
        <f t="shared" si="4472"/>
        <v>Autopilot_Opportunity_250</v>
      </c>
      <c r="U1379">
        <v>250</v>
      </c>
      <c r="V1379">
        <f>VLOOKUP($U1379,'[2]AP Opportunity'!$Q$1:$T$542,2,FALSE)</f>
        <v>0.99999997777777772</v>
      </c>
      <c r="W1379">
        <f>VLOOKUP($U1379,'[2]AP Opportunity'!$Q$1:$T$542,3,FALSE)</f>
        <v>2.2222222284540294E-8</v>
      </c>
      <c r="X1379">
        <f>VLOOKUP($U1379,'[2]AP Opportunity'!$Q$1:$T$542,4,FALSE)</f>
        <v>0</v>
      </c>
      <c r="Y1379" s="77">
        <f t="shared" si="4473"/>
        <v>1</v>
      </c>
      <c r="Z1379" s="77">
        <f t="shared" si="4477"/>
        <v>6.4624999704999977E-2</v>
      </c>
      <c r="AA1379" s="77">
        <f t="shared" si="4478"/>
        <v>5.2321923767311151E-3</v>
      </c>
      <c r="AB1379" s="79">
        <v>1</v>
      </c>
      <c r="AC1379" s="77">
        <f t="shared" si="4442"/>
        <v>8.499999955555556E-3</v>
      </c>
      <c r="AD1379" s="77">
        <f t="shared" ref="AD1379" si="4521">1-(1-AC1379)^(1/12)</f>
        <v>7.1110795759765644E-4</v>
      </c>
      <c r="AE1379" s="77">
        <f t="shared" si="4444"/>
        <v>2.5000000000000001E-3</v>
      </c>
      <c r="AF1379" s="77">
        <f t="shared" ref="AF1379" si="4522">1-(1-AE1379)^(1/12)</f>
        <v>2.0857243058891584E-4</v>
      </c>
      <c r="AH1379" t="s">
        <v>175</v>
      </c>
      <c r="AI1379" t="s">
        <v>180</v>
      </c>
      <c r="AJ1379" s="197" t="str">
        <f t="shared" si="4435"/>
        <v>Lifecycle_Opportunity_250</v>
      </c>
      <c r="AK1379">
        <v>250</v>
      </c>
      <c r="AL1379">
        <f>VLOOKUP($U1379,[2]Standard_Opportunity!$Q$1:$T$542,2,FALSE)</f>
        <v>0.99999997777777772</v>
      </c>
      <c r="AM1379">
        <f>VLOOKUP($U1379,[2]Standard_Opportunity!$Q$1:$T$542,3,FALSE)</f>
        <v>2.2222222284540294E-8</v>
      </c>
      <c r="AN1379">
        <f>VLOOKUP($U1379,[2]Standard_Opportunity!$Q$1:$T$542,4,FALSE)</f>
        <v>0</v>
      </c>
      <c r="AO1379" s="77">
        <f t="shared" si="4436"/>
        <v>1</v>
      </c>
      <c r="AP1379" s="77">
        <f t="shared" si="4446"/>
        <v>6.4624999704999977E-2</v>
      </c>
      <c r="AQ1379" s="77">
        <f t="shared" si="4437"/>
        <v>5.2321923767311151E-3</v>
      </c>
      <c r="AR1379" s="79">
        <v>0</v>
      </c>
      <c r="AS1379" s="77">
        <f t="shared" si="4447"/>
        <v>0</v>
      </c>
      <c r="AT1379" s="77">
        <f t="shared" si="4448"/>
        <v>0</v>
      </c>
      <c r="AU1379" s="77">
        <f t="shared" si="4449"/>
        <v>2.5000000000000001E-3</v>
      </c>
      <c r="AV1379" s="77">
        <f t="shared" si="4450"/>
        <v>2.0809499864316017E-4</v>
      </c>
    </row>
    <row r="1380" spans="1:48">
      <c r="A1380" t="s">
        <v>175</v>
      </c>
      <c r="B1380" t="s">
        <v>180</v>
      </c>
      <c r="C1380" s="197" t="str">
        <f t="shared" si="4471"/>
        <v>Lifecycle_Opportunity_249</v>
      </c>
      <c r="D1380">
        <v>249</v>
      </c>
      <c r="E1380">
        <f>VLOOKUP($D1380,'[2]LC Opportunity'!$Q$2:$U$542,2,FALSE)</f>
        <v>0</v>
      </c>
      <c r="F1380">
        <f>VLOOKUP($D1380,'[2]LC Opportunity'!$Q$2:$U$542,3,FALSE)</f>
        <v>0</v>
      </c>
      <c r="G1380">
        <f>VLOOKUP($D1380,'[2]LC Opportunity'!$Q$2:$U$542,4,FALSE)</f>
        <v>0</v>
      </c>
      <c r="H1380">
        <f>VLOOKUP($D1380,'[2]LC Opportunity'!$Q$2:$U$542,5,FALSE)</f>
        <v>0.99999999999999989</v>
      </c>
      <c r="I1380" s="77">
        <f t="shared" si="4431"/>
        <v>0.99999999999999989</v>
      </c>
      <c r="J1380" s="77">
        <f t="shared" si="4432"/>
        <v>7.1999999999999981E-2</v>
      </c>
      <c r="K1380" s="77">
        <f t="shared" si="4476"/>
        <v>5.8106552987937654E-3</v>
      </c>
      <c r="L1380" s="76">
        <v>0</v>
      </c>
      <c r="M1380" s="77">
        <f t="shared" si="4438"/>
        <v>0</v>
      </c>
      <c r="N1380" s="77">
        <f t="shared" si="4439"/>
        <v>0</v>
      </c>
      <c r="O1380" s="77">
        <f t="shared" si="4440"/>
        <v>4.9999999999999992E-3</v>
      </c>
      <c r="P1380" s="77">
        <f t="shared" si="4441"/>
        <v>4.1762458919303302E-4</v>
      </c>
      <c r="R1380" t="s">
        <v>177</v>
      </c>
      <c r="S1380" t="s">
        <v>180</v>
      </c>
      <c r="T1380" s="197" t="str">
        <f t="shared" si="4472"/>
        <v>Autopilot_Opportunity_249</v>
      </c>
      <c r="U1380">
        <v>249</v>
      </c>
      <c r="V1380">
        <f>VLOOKUP($U1380,'[2]AP Opportunity'!$Q$1:$T$542,2,FALSE)</f>
        <v>0.99999997777777772</v>
      </c>
      <c r="W1380">
        <f>VLOOKUP($U1380,'[2]AP Opportunity'!$Q$1:$T$542,3,FALSE)</f>
        <v>2.2222222284540294E-8</v>
      </c>
      <c r="X1380">
        <f>VLOOKUP($U1380,'[2]AP Opportunity'!$Q$1:$T$542,4,FALSE)</f>
        <v>0</v>
      </c>
      <c r="Y1380" s="77">
        <f t="shared" si="4473"/>
        <v>1</v>
      </c>
      <c r="Z1380" s="77">
        <f t="shared" si="4477"/>
        <v>6.4624999704999977E-2</v>
      </c>
      <c r="AA1380" s="77">
        <f t="shared" si="4478"/>
        <v>5.2321923767311151E-3</v>
      </c>
      <c r="AB1380" s="79">
        <v>1</v>
      </c>
      <c r="AC1380" s="77">
        <f t="shared" si="4442"/>
        <v>8.499999955555556E-3</v>
      </c>
      <c r="AD1380" s="77">
        <f t="shared" ref="AD1380" si="4523">1-(1-AC1380)^(1/12)</f>
        <v>7.1110795759765644E-4</v>
      </c>
      <c r="AE1380" s="77">
        <f t="shared" si="4444"/>
        <v>2.5000000000000001E-3</v>
      </c>
      <c r="AF1380" s="77">
        <f t="shared" ref="AF1380" si="4524">1-(1-AE1380)^(1/12)</f>
        <v>2.0857243058891584E-4</v>
      </c>
      <c r="AH1380" t="s">
        <v>175</v>
      </c>
      <c r="AI1380" t="s">
        <v>180</v>
      </c>
      <c r="AJ1380" s="197" t="str">
        <f t="shared" si="4435"/>
        <v>Lifecycle_Opportunity_249</v>
      </c>
      <c r="AK1380">
        <v>249</v>
      </c>
      <c r="AL1380">
        <f>VLOOKUP($U1380,[2]Standard_Opportunity!$Q$1:$T$542,2,FALSE)</f>
        <v>0.99999997777777772</v>
      </c>
      <c r="AM1380">
        <f>VLOOKUP($U1380,[2]Standard_Opportunity!$Q$1:$T$542,3,FALSE)</f>
        <v>2.2222222284540294E-8</v>
      </c>
      <c r="AN1380">
        <f>VLOOKUP($U1380,[2]Standard_Opportunity!$Q$1:$T$542,4,FALSE)</f>
        <v>0</v>
      </c>
      <c r="AO1380" s="77">
        <f t="shared" si="4436"/>
        <v>1</v>
      </c>
      <c r="AP1380" s="77">
        <f t="shared" si="4446"/>
        <v>6.4624999704999977E-2</v>
      </c>
      <c r="AQ1380" s="77">
        <f t="shared" si="4437"/>
        <v>5.2321923767311151E-3</v>
      </c>
      <c r="AR1380" s="79">
        <v>0</v>
      </c>
      <c r="AS1380" s="77">
        <f t="shared" si="4447"/>
        <v>0</v>
      </c>
      <c r="AT1380" s="77">
        <f t="shared" si="4448"/>
        <v>0</v>
      </c>
      <c r="AU1380" s="77">
        <f t="shared" si="4449"/>
        <v>2.5000000000000001E-3</v>
      </c>
      <c r="AV1380" s="77">
        <f t="shared" si="4450"/>
        <v>2.0809499864316017E-4</v>
      </c>
    </row>
    <row r="1381" spans="1:48">
      <c r="A1381" t="s">
        <v>175</v>
      </c>
      <c r="B1381" t="s">
        <v>180</v>
      </c>
      <c r="C1381" s="197" t="str">
        <f t="shared" si="4471"/>
        <v>Lifecycle_Opportunity_248</v>
      </c>
      <c r="D1381">
        <v>248</v>
      </c>
      <c r="E1381">
        <f>VLOOKUP($D1381,'[2]LC Opportunity'!$Q$2:$U$542,2,FALSE)</f>
        <v>0</v>
      </c>
      <c r="F1381">
        <f>VLOOKUP($D1381,'[2]LC Opportunity'!$Q$2:$U$542,3,FALSE)</f>
        <v>0</v>
      </c>
      <c r="G1381">
        <f>VLOOKUP($D1381,'[2]LC Opportunity'!$Q$2:$U$542,4,FALSE)</f>
        <v>0</v>
      </c>
      <c r="H1381">
        <f>VLOOKUP($D1381,'[2]LC Opportunity'!$Q$2:$U$542,5,FALSE)</f>
        <v>0.99999999999999989</v>
      </c>
      <c r="I1381" s="77">
        <f t="shared" si="4431"/>
        <v>0.99999999999999989</v>
      </c>
      <c r="J1381" s="77">
        <f t="shared" si="4432"/>
        <v>7.1999999999999981E-2</v>
      </c>
      <c r="K1381" s="77">
        <f t="shared" si="4476"/>
        <v>5.8106552987937654E-3</v>
      </c>
      <c r="L1381" s="76">
        <v>0</v>
      </c>
      <c r="M1381" s="77">
        <f t="shared" si="4438"/>
        <v>0</v>
      </c>
      <c r="N1381" s="77">
        <f t="shared" si="4439"/>
        <v>0</v>
      </c>
      <c r="O1381" s="77">
        <f t="shared" si="4440"/>
        <v>4.9999999999999992E-3</v>
      </c>
      <c r="P1381" s="77">
        <f t="shared" si="4441"/>
        <v>4.1762458919303302E-4</v>
      </c>
      <c r="R1381" t="s">
        <v>177</v>
      </c>
      <c r="S1381" t="s">
        <v>180</v>
      </c>
      <c r="T1381" s="197" t="str">
        <f t="shared" si="4472"/>
        <v>Autopilot_Opportunity_248</v>
      </c>
      <c r="U1381">
        <v>248</v>
      </c>
      <c r="V1381">
        <f>VLOOKUP($U1381,'[2]AP Opportunity'!$Q$1:$T$542,2,FALSE)</f>
        <v>0.99999997777777772</v>
      </c>
      <c r="W1381">
        <f>VLOOKUP($U1381,'[2]AP Opportunity'!$Q$1:$T$542,3,FALSE)</f>
        <v>2.2222222284540294E-8</v>
      </c>
      <c r="X1381">
        <f>VLOOKUP($U1381,'[2]AP Opportunity'!$Q$1:$T$542,4,FALSE)</f>
        <v>0</v>
      </c>
      <c r="Y1381" s="77">
        <f t="shared" si="4473"/>
        <v>1</v>
      </c>
      <c r="Z1381" s="77">
        <f t="shared" si="4477"/>
        <v>6.4624999704999977E-2</v>
      </c>
      <c r="AA1381" s="77">
        <f t="shared" si="4478"/>
        <v>5.2321923767311151E-3</v>
      </c>
      <c r="AB1381" s="79">
        <v>1</v>
      </c>
      <c r="AC1381" s="77">
        <f t="shared" si="4442"/>
        <v>8.499999955555556E-3</v>
      </c>
      <c r="AD1381" s="77">
        <f t="shared" ref="AD1381" si="4525">1-(1-AC1381)^(1/12)</f>
        <v>7.1110795759765644E-4</v>
      </c>
      <c r="AE1381" s="77">
        <f t="shared" si="4444"/>
        <v>2.5000000000000001E-3</v>
      </c>
      <c r="AF1381" s="77">
        <f t="shared" ref="AF1381" si="4526">1-(1-AE1381)^(1/12)</f>
        <v>2.0857243058891584E-4</v>
      </c>
      <c r="AH1381" t="s">
        <v>175</v>
      </c>
      <c r="AI1381" t="s">
        <v>180</v>
      </c>
      <c r="AJ1381" s="197" t="str">
        <f t="shared" si="4435"/>
        <v>Lifecycle_Opportunity_248</v>
      </c>
      <c r="AK1381">
        <v>248</v>
      </c>
      <c r="AL1381">
        <f>VLOOKUP($U1381,[2]Standard_Opportunity!$Q$1:$T$542,2,FALSE)</f>
        <v>0.99999997777777772</v>
      </c>
      <c r="AM1381">
        <f>VLOOKUP($U1381,[2]Standard_Opportunity!$Q$1:$T$542,3,FALSE)</f>
        <v>2.2222222284540294E-8</v>
      </c>
      <c r="AN1381">
        <f>VLOOKUP($U1381,[2]Standard_Opportunity!$Q$1:$T$542,4,FALSE)</f>
        <v>0</v>
      </c>
      <c r="AO1381" s="77">
        <f t="shared" si="4436"/>
        <v>1</v>
      </c>
      <c r="AP1381" s="77">
        <f t="shared" si="4446"/>
        <v>6.4624999704999977E-2</v>
      </c>
      <c r="AQ1381" s="77">
        <f t="shared" si="4437"/>
        <v>5.2321923767311151E-3</v>
      </c>
      <c r="AR1381" s="79">
        <v>0</v>
      </c>
      <c r="AS1381" s="77">
        <f t="shared" si="4447"/>
        <v>0</v>
      </c>
      <c r="AT1381" s="77">
        <f t="shared" si="4448"/>
        <v>0</v>
      </c>
      <c r="AU1381" s="77">
        <f t="shared" si="4449"/>
        <v>2.5000000000000001E-3</v>
      </c>
      <c r="AV1381" s="77">
        <f t="shared" si="4450"/>
        <v>2.0809499864316017E-4</v>
      </c>
    </row>
    <row r="1382" spans="1:48">
      <c r="A1382" t="s">
        <v>175</v>
      </c>
      <c r="B1382" t="s">
        <v>180</v>
      </c>
      <c r="C1382" s="197" t="str">
        <f t="shared" si="4471"/>
        <v>Lifecycle_Opportunity_247</v>
      </c>
      <c r="D1382">
        <v>247</v>
      </c>
      <c r="E1382">
        <f>VLOOKUP($D1382,'[2]LC Opportunity'!$Q$2:$U$542,2,FALSE)</f>
        <v>0</v>
      </c>
      <c r="F1382">
        <f>VLOOKUP($D1382,'[2]LC Opportunity'!$Q$2:$U$542,3,FALSE)</f>
        <v>0</v>
      </c>
      <c r="G1382">
        <f>VLOOKUP($D1382,'[2]LC Opportunity'!$Q$2:$U$542,4,FALSE)</f>
        <v>0</v>
      </c>
      <c r="H1382">
        <f>VLOOKUP($D1382,'[2]LC Opportunity'!$Q$2:$U$542,5,FALSE)</f>
        <v>0.99999999999999989</v>
      </c>
      <c r="I1382" s="77">
        <f t="shared" si="4431"/>
        <v>0.99999999999999989</v>
      </c>
      <c r="J1382" s="77">
        <f t="shared" si="4432"/>
        <v>7.1999999999999981E-2</v>
      </c>
      <c r="K1382" s="77">
        <f t="shared" si="4476"/>
        <v>5.8106552987937654E-3</v>
      </c>
      <c r="L1382" s="76">
        <v>0</v>
      </c>
      <c r="M1382" s="77">
        <f t="shared" si="4438"/>
        <v>0</v>
      </c>
      <c r="N1382" s="77">
        <f t="shared" si="4439"/>
        <v>0</v>
      </c>
      <c r="O1382" s="77">
        <f t="shared" si="4440"/>
        <v>4.9999999999999992E-3</v>
      </c>
      <c r="P1382" s="77">
        <f t="shared" si="4441"/>
        <v>4.1762458919303302E-4</v>
      </c>
      <c r="R1382" t="s">
        <v>177</v>
      </c>
      <c r="S1382" t="s">
        <v>180</v>
      </c>
      <c r="T1382" s="197" t="str">
        <f t="shared" si="4472"/>
        <v>Autopilot_Opportunity_247</v>
      </c>
      <c r="U1382">
        <v>247</v>
      </c>
      <c r="V1382">
        <f>VLOOKUP($U1382,'[2]AP Opportunity'!$Q$1:$T$542,2,FALSE)</f>
        <v>0.99999997777777772</v>
      </c>
      <c r="W1382">
        <f>VLOOKUP($U1382,'[2]AP Opportunity'!$Q$1:$T$542,3,FALSE)</f>
        <v>2.2222222284540294E-8</v>
      </c>
      <c r="X1382">
        <f>VLOOKUP($U1382,'[2]AP Opportunity'!$Q$1:$T$542,4,FALSE)</f>
        <v>0</v>
      </c>
      <c r="Y1382" s="77">
        <f t="shared" si="4473"/>
        <v>1</v>
      </c>
      <c r="Z1382" s="77">
        <f t="shared" si="4477"/>
        <v>6.4624999704999977E-2</v>
      </c>
      <c r="AA1382" s="77">
        <f t="shared" si="4478"/>
        <v>5.2321923767311151E-3</v>
      </c>
      <c r="AB1382" s="79">
        <v>1</v>
      </c>
      <c r="AC1382" s="77">
        <f t="shared" si="4442"/>
        <v>8.499999955555556E-3</v>
      </c>
      <c r="AD1382" s="77">
        <f t="shared" ref="AD1382" si="4527">1-(1-AC1382)^(1/12)</f>
        <v>7.1110795759765644E-4</v>
      </c>
      <c r="AE1382" s="77">
        <f t="shared" si="4444"/>
        <v>2.5000000000000001E-3</v>
      </c>
      <c r="AF1382" s="77">
        <f t="shared" ref="AF1382" si="4528">1-(1-AE1382)^(1/12)</f>
        <v>2.0857243058891584E-4</v>
      </c>
      <c r="AH1382" t="s">
        <v>175</v>
      </c>
      <c r="AI1382" t="s">
        <v>180</v>
      </c>
      <c r="AJ1382" s="197" t="str">
        <f t="shared" si="4435"/>
        <v>Lifecycle_Opportunity_247</v>
      </c>
      <c r="AK1382">
        <v>247</v>
      </c>
      <c r="AL1382">
        <f>VLOOKUP($U1382,[2]Standard_Opportunity!$Q$1:$T$542,2,FALSE)</f>
        <v>0.99999997777777772</v>
      </c>
      <c r="AM1382">
        <f>VLOOKUP($U1382,[2]Standard_Opportunity!$Q$1:$T$542,3,FALSE)</f>
        <v>2.2222222284540294E-8</v>
      </c>
      <c r="AN1382">
        <f>VLOOKUP($U1382,[2]Standard_Opportunity!$Q$1:$T$542,4,FALSE)</f>
        <v>0</v>
      </c>
      <c r="AO1382" s="77">
        <f t="shared" si="4436"/>
        <v>1</v>
      </c>
      <c r="AP1382" s="77">
        <f t="shared" si="4446"/>
        <v>6.4624999704999977E-2</v>
      </c>
      <c r="AQ1382" s="77">
        <f t="shared" si="4437"/>
        <v>5.2321923767311151E-3</v>
      </c>
      <c r="AR1382" s="79">
        <v>0</v>
      </c>
      <c r="AS1382" s="77">
        <f t="shared" si="4447"/>
        <v>0</v>
      </c>
      <c r="AT1382" s="77">
        <f t="shared" si="4448"/>
        <v>0</v>
      </c>
      <c r="AU1382" s="77">
        <f t="shared" si="4449"/>
        <v>2.5000000000000001E-3</v>
      </c>
      <c r="AV1382" s="77">
        <f t="shared" si="4450"/>
        <v>2.0809499864316017E-4</v>
      </c>
    </row>
    <row r="1383" spans="1:48">
      <c r="A1383" t="s">
        <v>175</v>
      </c>
      <c r="B1383" t="s">
        <v>180</v>
      </c>
      <c r="C1383" s="197" t="str">
        <f t="shared" si="4471"/>
        <v>Lifecycle_Opportunity_246</v>
      </c>
      <c r="D1383">
        <v>246</v>
      </c>
      <c r="E1383">
        <f>VLOOKUP($D1383,'[2]LC Opportunity'!$Q$2:$U$542,2,FALSE)</f>
        <v>0</v>
      </c>
      <c r="F1383">
        <f>VLOOKUP($D1383,'[2]LC Opportunity'!$Q$2:$U$542,3,FALSE)</f>
        <v>0</v>
      </c>
      <c r="G1383">
        <f>VLOOKUP($D1383,'[2]LC Opportunity'!$Q$2:$U$542,4,FALSE)</f>
        <v>0</v>
      </c>
      <c r="H1383">
        <f>VLOOKUP($D1383,'[2]LC Opportunity'!$Q$2:$U$542,5,FALSE)</f>
        <v>0.99999999999999989</v>
      </c>
      <c r="I1383" s="77">
        <f t="shared" si="4431"/>
        <v>0.99999999999999989</v>
      </c>
      <c r="J1383" s="77">
        <f t="shared" si="4432"/>
        <v>7.1999999999999981E-2</v>
      </c>
      <c r="K1383" s="77">
        <f t="shared" si="4476"/>
        <v>5.8106552987937654E-3</v>
      </c>
      <c r="L1383" s="76">
        <v>0</v>
      </c>
      <c r="M1383" s="77">
        <f t="shared" si="4438"/>
        <v>0</v>
      </c>
      <c r="N1383" s="77">
        <f t="shared" si="4439"/>
        <v>0</v>
      </c>
      <c r="O1383" s="77">
        <f t="shared" si="4440"/>
        <v>4.9999999999999992E-3</v>
      </c>
      <c r="P1383" s="77">
        <f t="shared" si="4441"/>
        <v>4.1762458919303302E-4</v>
      </c>
      <c r="R1383" t="s">
        <v>177</v>
      </c>
      <c r="S1383" t="s">
        <v>180</v>
      </c>
      <c r="T1383" s="197" t="str">
        <f t="shared" si="4472"/>
        <v>Autopilot_Opportunity_246</v>
      </c>
      <c r="U1383">
        <v>246</v>
      </c>
      <c r="V1383">
        <f>VLOOKUP($U1383,'[2]AP Opportunity'!$Q$1:$T$542,2,FALSE)</f>
        <v>0.99999997777777772</v>
      </c>
      <c r="W1383">
        <f>VLOOKUP($U1383,'[2]AP Opportunity'!$Q$1:$T$542,3,FALSE)</f>
        <v>2.2222222284540294E-8</v>
      </c>
      <c r="X1383">
        <f>VLOOKUP($U1383,'[2]AP Opportunity'!$Q$1:$T$542,4,FALSE)</f>
        <v>0</v>
      </c>
      <c r="Y1383" s="77">
        <f t="shared" si="4473"/>
        <v>1</v>
      </c>
      <c r="Z1383" s="77">
        <f t="shared" si="4477"/>
        <v>6.4624999704999977E-2</v>
      </c>
      <c r="AA1383" s="77">
        <f t="shared" si="4478"/>
        <v>5.2321923767311151E-3</v>
      </c>
      <c r="AB1383" s="79">
        <v>1</v>
      </c>
      <c r="AC1383" s="77">
        <f t="shared" si="4442"/>
        <v>8.499999955555556E-3</v>
      </c>
      <c r="AD1383" s="77">
        <f t="shared" ref="AD1383" si="4529">1-(1-AC1383)^(1/12)</f>
        <v>7.1110795759765644E-4</v>
      </c>
      <c r="AE1383" s="77">
        <f t="shared" si="4444"/>
        <v>2.5000000000000001E-3</v>
      </c>
      <c r="AF1383" s="77">
        <f t="shared" ref="AF1383" si="4530">1-(1-AE1383)^(1/12)</f>
        <v>2.0857243058891584E-4</v>
      </c>
      <c r="AH1383" t="s">
        <v>175</v>
      </c>
      <c r="AI1383" t="s">
        <v>180</v>
      </c>
      <c r="AJ1383" s="197" t="str">
        <f t="shared" si="4435"/>
        <v>Lifecycle_Opportunity_246</v>
      </c>
      <c r="AK1383">
        <v>246</v>
      </c>
      <c r="AL1383">
        <f>VLOOKUP($U1383,[2]Standard_Opportunity!$Q$1:$T$542,2,FALSE)</f>
        <v>0.99999997777777772</v>
      </c>
      <c r="AM1383">
        <f>VLOOKUP($U1383,[2]Standard_Opportunity!$Q$1:$T$542,3,FALSE)</f>
        <v>2.2222222284540294E-8</v>
      </c>
      <c r="AN1383">
        <f>VLOOKUP($U1383,[2]Standard_Opportunity!$Q$1:$T$542,4,FALSE)</f>
        <v>0</v>
      </c>
      <c r="AO1383" s="77">
        <f t="shared" si="4436"/>
        <v>1</v>
      </c>
      <c r="AP1383" s="77">
        <f t="shared" si="4446"/>
        <v>6.4624999704999977E-2</v>
      </c>
      <c r="AQ1383" s="77">
        <f t="shared" si="4437"/>
        <v>5.2321923767311151E-3</v>
      </c>
      <c r="AR1383" s="79">
        <v>0</v>
      </c>
      <c r="AS1383" s="77">
        <f t="shared" si="4447"/>
        <v>0</v>
      </c>
      <c r="AT1383" s="77">
        <f t="shared" si="4448"/>
        <v>0</v>
      </c>
      <c r="AU1383" s="77">
        <f t="shared" si="4449"/>
        <v>2.5000000000000001E-3</v>
      </c>
      <c r="AV1383" s="77">
        <f t="shared" si="4450"/>
        <v>2.0809499864316017E-4</v>
      </c>
    </row>
    <row r="1384" spans="1:48">
      <c r="A1384" t="s">
        <v>175</v>
      </c>
      <c r="B1384" t="s">
        <v>180</v>
      </c>
      <c r="C1384" s="197" t="str">
        <f t="shared" si="4471"/>
        <v>Lifecycle_Opportunity_245</v>
      </c>
      <c r="D1384">
        <v>245</v>
      </c>
      <c r="E1384">
        <f>VLOOKUP($D1384,'[2]LC Opportunity'!$Q$2:$U$542,2,FALSE)</f>
        <v>0</v>
      </c>
      <c r="F1384">
        <f>VLOOKUP($D1384,'[2]LC Opportunity'!$Q$2:$U$542,3,FALSE)</f>
        <v>0</v>
      </c>
      <c r="G1384">
        <f>VLOOKUP($D1384,'[2]LC Opportunity'!$Q$2:$U$542,4,FALSE)</f>
        <v>0</v>
      </c>
      <c r="H1384">
        <f>VLOOKUP($D1384,'[2]LC Opportunity'!$Q$2:$U$542,5,FALSE)</f>
        <v>0.99999999999999989</v>
      </c>
      <c r="I1384" s="77">
        <f t="shared" si="4431"/>
        <v>0.99999999999999989</v>
      </c>
      <c r="J1384" s="77">
        <f t="shared" si="4432"/>
        <v>7.1999999999999981E-2</v>
      </c>
      <c r="K1384" s="77">
        <f t="shared" si="4476"/>
        <v>5.8106552987937654E-3</v>
      </c>
      <c r="L1384" s="76">
        <v>0</v>
      </c>
      <c r="M1384" s="77">
        <f t="shared" si="4438"/>
        <v>0</v>
      </c>
      <c r="N1384" s="77">
        <f t="shared" si="4439"/>
        <v>0</v>
      </c>
      <c r="O1384" s="77">
        <f t="shared" si="4440"/>
        <v>4.9999999999999992E-3</v>
      </c>
      <c r="P1384" s="77">
        <f t="shared" si="4441"/>
        <v>4.1762458919303302E-4</v>
      </c>
      <c r="R1384" t="s">
        <v>177</v>
      </c>
      <c r="S1384" t="s">
        <v>180</v>
      </c>
      <c r="T1384" s="197" t="str">
        <f t="shared" si="4472"/>
        <v>Autopilot_Opportunity_245</v>
      </c>
      <c r="U1384">
        <v>245</v>
      </c>
      <c r="V1384">
        <f>VLOOKUP($U1384,'[2]AP Opportunity'!$Q$1:$T$542,2,FALSE)</f>
        <v>0.99999997777777772</v>
      </c>
      <c r="W1384">
        <f>VLOOKUP($U1384,'[2]AP Opportunity'!$Q$1:$T$542,3,FALSE)</f>
        <v>2.2222222284540294E-8</v>
      </c>
      <c r="X1384">
        <f>VLOOKUP($U1384,'[2]AP Opportunity'!$Q$1:$T$542,4,FALSE)</f>
        <v>0</v>
      </c>
      <c r="Y1384" s="77">
        <f t="shared" si="4473"/>
        <v>1</v>
      </c>
      <c r="Z1384" s="77">
        <f t="shared" si="4477"/>
        <v>6.4624999704999977E-2</v>
      </c>
      <c r="AA1384" s="77">
        <f t="shared" si="4478"/>
        <v>5.2321923767311151E-3</v>
      </c>
      <c r="AB1384" s="79">
        <v>1</v>
      </c>
      <c r="AC1384" s="77">
        <f t="shared" si="4442"/>
        <v>8.499999955555556E-3</v>
      </c>
      <c r="AD1384" s="77">
        <f t="shared" ref="AD1384" si="4531">1-(1-AC1384)^(1/12)</f>
        <v>7.1110795759765644E-4</v>
      </c>
      <c r="AE1384" s="77">
        <f t="shared" si="4444"/>
        <v>2.5000000000000001E-3</v>
      </c>
      <c r="AF1384" s="77">
        <f t="shared" ref="AF1384" si="4532">1-(1-AE1384)^(1/12)</f>
        <v>2.0857243058891584E-4</v>
      </c>
      <c r="AH1384" t="s">
        <v>175</v>
      </c>
      <c r="AI1384" t="s">
        <v>180</v>
      </c>
      <c r="AJ1384" s="197" t="str">
        <f t="shared" si="4435"/>
        <v>Lifecycle_Opportunity_245</v>
      </c>
      <c r="AK1384">
        <v>245</v>
      </c>
      <c r="AL1384">
        <f>VLOOKUP($U1384,[2]Standard_Opportunity!$Q$1:$T$542,2,FALSE)</f>
        <v>0.99999997777777772</v>
      </c>
      <c r="AM1384">
        <f>VLOOKUP($U1384,[2]Standard_Opportunity!$Q$1:$T$542,3,FALSE)</f>
        <v>2.2222222284540294E-8</v>
      </c>
      <c r="AN1384">
        <f>VLOOKUP($U1384,[2]Standard_Opportunity!$Q$1:$T$542,4,FALSE)</f>
        <v>0</v>
      </c>
      <c r="AO1384" s="77">
        <f t="shared" si="4436"/>
        <v>1</v>
      </c>
      <c r="AP1384" s="77">
        <f t="shared" si="4446"/>
        <v>6.4624999704999977E-2</v>
      </c>
      <c r="AQ1384" s="77">
        <f t="shared" si="4437"/>
        <v>5.2321923767311151E-3</v>
      </c>
      <c r="AR1384" s="79">
        <v>0</v>
      </c>
      <c r="AS1384" s="77">
        <f t="shared" si="4447"/>
        <v>0</v>
      </c>
      <c r="AT1384" s="77">
        <f t="shared" si="4448"/>
        <v>0</v>
      </c>
      <c r="AU1384" s="77">
        <f t="shared" si="4449"/>
        <v>2.5000000000000001E-3</v>
      </c>
      <c r="AV1384" s="77">
        <f t="shared" si="4450"/>
        <v>2.0809499864316017E-4</v>
      </c>
    </row>
    <row r="1385" spans="1:48">
      <c r="A1385" t="s">
        <v>175</v>
      </c>
      <c r="B1385" t="s">
        <v>180</v>
      </c>
      <c r="C1385" s="197" t="str">
        <f t="shared" si="4471"/>
        <v>Lifecycle_Opportunity_244</v>
      </c>
      <c r="D1385">
        <v>244</v>
      </c>
      <c r="E1385">
        <f>VLOOKUP($D1385,'[2]LC Opportunity'!$Q$2:$U$542,2,FALSE)</f>
        <v>0</v>
      </c>
      <c r="F1385">
        <f>VLOOKUP($D1385,'[2]LC Opportunity'!$Q$2:$U$542,3,FALSE)</f>
        <v>0</v>
      </c>
      <c r="G1385">
        <f>VLOOKUP($D1385,'[2]LC Opportunity'!$Q$2:$U$542,4,FALSE)</f>
        <v>0</v>
      </c>
      <c r="H1385">
        <f>VLOOKUP($D1385,'[2]LC Opportunity'!$Q$2:$U$542,5,FALSE)</f>
        <v>0.99999999999999989</v>
      </c>
      <c r="I1385" s="77">
        <f t="shared" si="4431"/>
        <v>0.99999999999999989</v>
      </c>
      <c r="J1385" s="77">
        <f t="shared" si="4432"/>
        <v>7.1999999999999981E-2</v>
      </c>
      <c r="K1385" s="77">
        <f t="shared" si="4476"/>
        <v>5.8106552987937654E-3</v>
      </c>
      <c r="L1385" s="76">
        <v>0</v>
      </c>
      <c r="M1385" s="77">
        <f t="shared" si="4438"/>
        <v>0</v>
      </c>
      <c r="N1385" s="77">
        <f t="shared" si="4439"/>
        <v>0</v>
      </c>
      <c r="O1385" s="77">
        <f t="shared" si="4440"/>
        <v>4.9999999999999992E-3</v>
      </c>
      <c r="P1385" s="77">
        <f t="shared" si="4441"/>
        <v>4.1762458919303302E-4</v>
      </c>
      <c r="R1385" t="s">
        <v>177</v>
      </c>
      <c r="S1385" t="s">
        <v>180</v>
      </c>
      <c r="T1385" s="197" t="str">
        <f t="shared" si="4472"/>
        <v>Autopilot_Opportunity_244</v>
      </c>
      <c r="U1385">
        <v>244</v>
      </c>
      <c r="V1385">
        <f>VLOOKUP($U1385,'[2]AP Opportunity'!$Q$1:$T$542,2,FALSE)</f>
        <v>0.99999997777777772</v>
      </c>
      <c r="W1385">
        <f>VLOOKUP($U1385,'[2]AP Opportunity'!$Q$1:$T$542,3,FALSE)</f>
        <v>2.2222222284540294E-8</v>
      </c>
      <c r="X1385">
        <f>VLOOKUP($U1385,'[2]AP Opportunity'!$Q$1:$T$542,4,FALSE)</f>
        <v>0</v>
      </c>
      <c r="Y1385" s="77">
        <f t="shared" si="4473"/>
        <v>1</v>
      </c>
      <c r="Z1385" s="77">
        <f t="shared" si="4477"/>
        <v>6.4624999704999977E-2</v>
      </c>
      <c r="AA1385" s="77">
        <f t="shared" si="4478"/>
        <v>5.2321923767311151E-3</v>
      </c>
      <c r="AB1385" s="79">
        <v>1</v>
      </c>
      <c r="AC1385" s="77">
        <f t="shared" si="4442"/>
        <v>8.499999955555556E-3</v>
      </c>
      <c r="AD1385" s="77">
        <f t="shared" ref="AD1385" si="4533">1-(1-AC1385)^(1/12)</f>
        <v>7.1110795759765644E-4</v>
      </c>
      <c r="AE1385" s="77">
        <f t="shared" si="4444"/>
        <v>2.5000000000000001E-3</v>
      </c>
      <c r="AF1385" s="77">
        <f t="shared" ref="AF1385" si="4534">1-(1-AE1385)^(1/12)</f>
        <v>2.0857243058891584E-4</v>
      </c>
      <c r="AH1385" t="s">
        <v>175</v>
      </c>
      <c r="AI1385" t="s">
        <v>180</v>
      </c>
      <c r="AJ1385" s="197" t="str">
        <f t="shared" si="4435"/>
        <v>Lifecycle_Opportunity_244</v>
      </c>
      <c r="AK1385">
        <v>244</v>
      </c>
      <c r="AL1385">
        <f>VLOOKUP($U1385,[2]Standard_Opportunity!$Q$1:$T$542,2,FALSE)</f>
        <v>0.99999997777777772</v>
      </c>
      <c r="AM1385">
        <f>VLOOKUP($U1385,[2]Standard_Opportunity!$Q$1:$T$542,3,FALSE)</f>
        <v>2.2222222284540294E-8</v>
      </c>
      <c r="AN1385">
        <f>VLOOKUP($U1385,[2]Standard_Opportunity!$Q$1:$T$542,4,FALSE)</f>
        <v>0</v>
      </c>
      <c r="AO1385" s="77">
        <f t="shared" si="4436"/>
        <v>1</v>
      </c>
      <c r="AP1385" s="77">
        <f t="shared" si="4446"/>
        <v>6.4624999704999977E-2</v>
      </c>
      <c r="AQ1385" s="77">
        <f t="shared" si="4437"/>
        <v>5.2321923767311151E-3</v>
      </c>
      <c r="AR1385" s="79">
        <v>0</v>
      </c>
      <c r="AS1385" s="77">
        <f t="shared" si="4447"/>
        <v>0</v>
      </c>
      <c r="AT1385" s="77">
        <f t="shared" si="4448"/>
        <v>0</v>
      </c>
      <c r="AU1385" s="77">
        <f t="shared" si="4449"/>
        <v>2.5000000000000001E-3</v>
      </c>
      <c r="AV1385" s="77">
        <f t="shared" si="4450"/>
        <v>2.0809499864316017E-4</v>
      </c>
    </row>
    <row r="1386" spans="1:48">
      <c r="A1386" t="s">
        <v>175</v>
      </c>
      <c r="B1386" t="s">
        <v>180</v>
      </c>
      <c r="C1386" s="197" t="str">
        <f t="shared" si="4471"/>
        <v>Lifecycle_Opportunity_243</v>
      </c>
      <c r="D1386">
        <v>243</v>
      </c>
      <c r="E1386">
        <f>VLOOKUP($D1386,'[2]LC Opportunity'!$Q$2:$U$542,2,FALSE)</f>
        <v>0</v>
      </c>
      <c r="F1386">
        <f>VLOOKUP($D1386,'[2]LC Opportunity'!$Q$2:$U$542,3,FALSE)</f>
        <v>0</v>
      </c>
      <c r="G1386">
        <f>VLOOKUP($D1386,'[2]LC Opportunity'!$Q$2:$U$542,4,FALSE)</f>
        <v>0</v>
      </c>
      <c r="H1386">
        <f>VLOOKUP($D1386,'[2]LC Opportunity'!$Q$2:$U$542,5,FALSE)</f>
        <v>0.99999999999999989</v>
      </c>
      <c r="I1386" s="77">
        <f t="shared" si="4431"/>
        <v>0.99999999999999989</v>
      </c>
      <c r="J1386" s="77">
        <f t="shared" si="4432"/>
        <v>7.1999999999999981E-2</v>
      </c>
      <c r="K1386" s="77">
        <f t="shared" si="4476"/>
        <v>5.8106552987937654E-3</v>
      </c>
      <c r="L1386" s="76">
        <v>0</v>
      </c>
      <c r="M1386" s="77">
        <f t="shared" si="4438"/>
        <v>0</v>
      </c>
      <c r="N1386" s="77">
        <f t="shared" si="4439"/>
        <v>0</v>
      </c>
      <c r="O1386" s="77">
        <f t="shared" si="4440"/>
        <v>4.9999999999999992E-3</v>
      </c>
      <c r="P1386" s="77">
        <f t="shared" si="4441"/>
        <v>4.1762458919303302E-4</v>
      </c>
      <c r="R1386" t="s">
        <v>177</v>
      </c>
      <c r="S1386" t="s">
        <v>180</v>
      </c>
      <c r="T1386" s="197" t="str">
        <f t="shared" si="4472"/>
        <v>Autopilot_Opportunity_243</v>
      </c>
      <c r="U1386">
        <v>243</v>
      </c>
      <c r="V1386">
        <f>VLOOKUP($U1386,'[2]AP Opportunity'!$Q$1:$T$542,2,FALSE)</f>
        <v>0.99999997777777772</v>
      </c>
      <c r="W1386">
        <f>VLOOKUP($U1386,'[2]AP Opportunity'!$Q$1:$T$542,3,FALSE)</f>
        <v>2.2222222284540294E-8</v>
      </c>
      <c r="X1386">
        <f>VLOOKUP($U1386,'[2]AP Opportunity'!$Q$1:$T$542,4,FALSE)</f>
        <v>0</v>
      </c>
      <c r="Y1386" s="77">
        <f t="shared" si="4473"/>
        <v>1</v>
      </c>
      <c r="Z1386" s="77">
        <f t="shared" si="4477"/>
        <v>6.4624999704999977E-2</v>
      </c>
      <c r="AA1386" s="77">
        <f t="shared" si="4478"/>
        <v>5.2321923767311151E-3</v>
      </c>
      <c r="AB1386" s="79">
        <v>1</v>
      </c>
      <c r="AC1386" s="77">
        <f t="shared" si="4442"/>
        <v>8.499999955555556E-3</v>
      </c>
      <c r="AD1386" s="77">
        <f t="shared" ref="AD1386" si="4535">1-(1-AC1386)^(1/12)</f>
        <v>7.1110795759765644E-4</v>
      </c>
      <c r="AE1386" s="77">
        <f t="shared" si="4444"/>
        <v>2.5000000000000001E-3</v>
      </c>
      <c r="AF1386" s="77">
        <f t="shared" ref="AF1386" si="4536">1-(1-AE1386)^(1/12)</f>
        <v>2.0857243058891584E-4</v>
      </c>
      <c r="AH1386" t="s">
        <v>175</v>
      </c>
      <c r="AI1386" t="s">
        <v>180</v>
      </c>
      <c r="AJ1386" s="197" t="str">
        <f t="shared" si="4435"/>
        <v>Lifecycle_Opportunity_243</v>
      </c>
      <c r="AK1386">
        <v>243</v>
      </c>
      <c r="AL1386">
        <f>VLOOKUP($U1386,[2]Standard_Opportunity!$Q$1:$T$542,2,FALSE)</f>
        <v>0.99999997777777772</v>
      </c>
      <c r="AM1386">
        <f>VLOOKUP($U1386,[2]Standard_Opportunity!$Q$1:$T$542,3,FALSE)</f>
        <v>2.2222222284540294E-8</v>
      </c>
      <c r="AN1386">
        <f>VLOOKUP($U1386,[2]Standard_Opportunity!$Q$1:$T$542,4,FALSE)</f>
        <v>0</v>
      </c>
      <c r="AO1386" s="77">
        <f t="shared" si="4436"/>
        <v>1</v>
      </c>
      <c r="AP1386" s="77">
        <f t="shared" si="4446"/>
        <v>6.4624999704999977E-2</v>
      </c>
      <c r="AQ1386" s="77">
        <f t="shared" si="4437"/>
        <v>5.2321923767311151E-3</v>
      </c>
      <c r="AR1386" s="79">
        <v>0</v>
      </c>
      <c r="AS1386" s="77">
        <f t="shared" si="4447"/>
        <v>0</v>
      </c>
      <c r="AT1386" s="77">
        <f t="shared" si="4448"/>
        <v>0</v>
      </c>
      <c r="AU1386" s="77">
        <f t="shared" si="4449"/>
        <v>2.5000000000000001E-3</v>
      </c>
      <c r="AV1386" s="77">
        <f t="shared" si="4450"/>
        <v>2.0809499864316017E-4</v>
      </c>
    </row>
    <row r="1387" spans="1:48">
      <c r="A1387" t="s">
        <v>175</v>
      </c>
      <c r="B1387" t="s">
        <v>180</v>
      </c>
      <c r="C1387" s="197" t="str">
        <f t="shared" si="4471"/>
        <v>Lifecycle_Opportunity_242</v>
      </c>
      <c r="D1387">
        <v>242</v>
      </c>
      <c r="E1387">
        <f>VLOOKUP($D1387,'[2]LC Opportunity'!$Q$2:$U$542,2,FALSE)</f>
        <v>0</v>
      </c>
      <c r="F1387">
        <f>VLOOKUP($D1387,'[2]LC Opportunity'!$Q$2:$U$542,3,FALSE)</f>
        <v>0</v>
      </c>
      <c r="G1387">
        <f>VLOOKUP($D1387,'[2]LC Opportunity'!$Q$2:$U$542,4,FALSE)</f>
        <v>0</v>
      </c>
      <c r="H1387">
        <f>VLOOKUP($D1387,'[2]LC Opportunity'!$Q$2:$U$542,5,FALSE)</f>
        <v>0.99999999999999989</v>
      </c>
      <c r="I1387" s="77">
        <f t="shared" si="4431"/>
        <v>0.99999999999999989</v>
      </c>
      <c r="J1387" s="77">
        <f t="shared" si="4432"/>
        <v>7.1999999999999981E-2</v>
      </c>
      <c r="K1387" s="77">
        <f t="shared" si="4476"/>
        <v>5.8106552987937654E-3</v>
      </c>
      <c r="L1387" s="76">
        <v>0</v>
      </c>
      <c r="M1387" s="77">
        <f t="shared" si="4438"/>
        <v>0</v>
      </c>
      <c r="N1387" s="77">
        <f t="shared" si="4439"/>
        <v>0</v>
      </c>
      <c r="O1387" s="77">
        <f t="shared" si="4440"/>
        <v>4.9999999999999992E-3</v>
      </c>
      <c r="P1387" s="77">
        <f t="shared" si="4441"/>
        <v>4.1762458919303302E-4</v>
      </c>
      <c r="R1387" t="s">
        <v>177</v>
      </c>
      <c r="S1387" t="s">
        <v>180</v>
      </c>
      <c r="T1387" s="197" t="str">
        <f t="shared" si="4472"/>
        <v>Autopilot_Opportunity_242</v>
      </c>
      <c r="U1387">
        <v>242</v>
      </c>
      <c r="V1387">
        <f>VLOOKUP($U1387,'[2]AP Opportunity'!$Q$1:$T$542,2,FALSE)</f>
        <v>0.99999997777777772</v>
      </c>
      <c r="W1387">
        <f>VLOOKUP($U1387,'[2]AP Opportunity'!$Q$1:$T$542,3,FALSE)</f>
        <v>2.2222222284540294E-8</v>
      </c>
      <c r="X1387">
        <f>VLOOKUP($U1387,'[2]AP Opportunity'!$Q$1:$T$542,4,FALSE)</f>
        <v>0</v>
      </c>
      <c r="Y1387" s="77">
        <f t="shared" si="4473"/>
        <v>1</v>
      </c>
      <c r="Z1387" s="77">
        <f t="shared" si="4477"/>
        <v>6.4624999704999977E-2</v>
      </c>
      <c r="AA1387" s="77">
        <f t="shared" si="4478"/>
        <v>5.2321923767311151E-3</v>
      </c>
      <c r="AB1387" s="79">
        <v>1</v>
      </c>
      <c r="AC1387" s="77">
        <f t="shared" si="4442"/>
        <v>8.499999955555556E-3</v>
      </c>
      <c r="AD1387" s="77">
        <f t="shared" ref="AD1387" si="4537">1-(1-AC1387)^(1/12)</f>
        <v>7.1110795759765644E-4</v>
      </c>
      <c r="AE1387" s="77">
        <f t="shared" si="4444"/>
        <v>2.5000000000000001E-3</v>
      </c>
      <c r="AF1387" s="77">
        <f t="shared" ref="AF1387" si="4538">1-(1-AE1387)^(1/12)</f>
        <v>2.0857243058891584E-4</v>
      </c>
      <c r="AH1387" t="s">
        <v>175</v>
      </c>
      <c r="AI1387" t="s">
        <v>180</v>
      </c>
      <c r="AJ1387" s="197" t="str">
        <f t="shared" si="4435"/>
        <v>Lifecycle_Opportunity_242</v>
      </c>
      <c r="AK1387">
        <v>242</v>
      </c>
      <c r="AL1387">
        <f>VLOOKUP($U1387,[2]Standard_Opportunity!$Q$1:$T$542,2,FALSE)</f>
        <v>0.99999997777777772</v>
      </c>
      <c r="AM1387">
        <f>VLOOKUP($U1387,[2]Standard_Opportunity!$Q$1:$T$542,3,FALSE)</f>
        <v>2.2222222284540294E-8</v>
      </c>
      <c r="AN1387">
        <f>VLOOKUP($U1387,[2]Standard_Opportunity!$Q$1:$T$542,4,FALSE)</f>
        <v>0</v>
      </c>
      <c r="AO1387" s="77">
        <f t="shared" si="4436"/>
        <v>1</v>
      </c>
      <c r="AP1387" s="77">
        <f t="shared" si="4446"/>
        <v>6.4624999704999977E-2</v>
      </c>
      <c r="AQ1387" s="77">
        <f t="shared" si="4437"/>
        <v>5.2321923767311151E-3</v>
      </c>
      <c r="AR1387" s="79">
        <v>0</v>
      </c>
      <c r="AS1387" s="77">
        <f t="shared" si="4447"/>
        <v>0</v>
      </c>
      <c r="AT1387" s="77">
        <f t="shared" si="4448"/>
        <v>0</v>
      </c>
      <c r="AU1387" s="77">
        <f t="shared" si="4449"/>
        <v>2.5000000000000001E-3</v>
      </c>
      <c r="AV1387" s="77">
        <f t="shared" si="4450"/>
        <v>2.0809499864316017E-4</v>
      </c>
    </row>
    <row r="1388" spans="1:48">
      <c r="A1388" t="s">
        <v>175</v>
      </c>
      <c r="B1388" t="s">
        <v>180</v>
      </c>
      <c r="C1388" s="197" t="str">
        <f t="shared" si="4471"/>
        <v>Lifecycle_Opportunity_241</v>
      </c>
      <c r="D1388">
        <v>241</v>
      </c>
      <c r="E1388">
        <f>VLOOKUP($D1388,'[2]LC Opportunity'!$Q$2:$U$542,2,FALSE)</f>
        <v>0</v>
      </c>
      <c r="F1388">
        <f>VLOOKUP($D1388,'[2]LC Opportunity'!$Q$2:$U$542,3,FALSE)</f>
        <v>0</v>
      </c>
      <c r="G1388">
        <f>VLOOKUP($D1388,'[2]LC Opportunity'!$Q$2:$U$542,4,FALSE)</f>
        <v>0</v>
      </c>
      <c r="H1388">
        <f>VLOOKUP($D1388,'[2]LC Opportunity'!$Q$2:$U$542,5,FALSE)</f>
        <v>0.99999999999999989</v>
      </c>
      <c r="I1388" s="77">
        <f t="shared" si="4431"/>
        <v>0.99999999999999989</v>
      </c>
      <c r="J1388" s="77">
        <f t="shared" si="4432"/>
        <v>7.1999999999999981E-2</v>
      </c>
      <c r="K1388" s="77">
        <f t="shared" si="4476"/>
        <v>5.8106552987937654E-3</v>
      </c>
      <c r="L1388" s="76">
        <v>0</v>
      </c>
      <c r="M1388" s="77">
        <f t="shared" si="4438"/>
        <v>0</v>
      </c>
      <c r="N1388" s="77">
        <f t="shared" si="4439"/>
        <v>0</v>
      </c>
      <c r="O1388" s="77">
        <f t="shared" si="4440"/>
        <v>4.9999999999999992E-3</v>
      </c>
      <c r="P1388" s="77">
        <f t="shared" si="4441"/>
        <v>4.1762458919303302E-4</v>
      </c>
      <c r="R1388" t="s">
        <v>177</v>
      </c>
      <c r="S1388" t="s">
        <v>180</v>
      </c>
      <c r="T1388" s="197" t="str">
        <f t="shared" si="4472"/>
        <v>Autopilot_Opportunity_241</v>
      </c>
      <c r="U1388">
        <v>241</v>
      </c>
      <c r="V1388">
        <f>VLOOKUP($U1388,'[2]AP Opportunity'!$Q$1:$T$542,2,FALSE)</f>
        <v>0.99999997777777772</v>
      </c>
      <c r="W1388">
        <f>VLOOKUP($U1388,'[2]AP Opportunity'!$Q$1:$T$542,3,FALSE)</f>
        <v>2.2222222284540294E-8</v>
      </c>
      <c r="X1388">
        <f>VLOOKUP($U1388,'[2]AP Opportunity'!$Q$1:$T$542,4,FALSE)</f>
        <v>0</v>
      </c>
      <c r="Y1388" s="77">
        <f t="shared" si="4473"/>
        <v>1</v>
      </c>
      <c r="Z1388" s="77">
        <f t="shared" si="4477"/>
        <v>6.4624999704999977E-2</v>
      </c>
      <c r="AA1388" s="77">
        <f t="shared" si="4478"/>
        <v>5.2321923767311151E-3</v>
      </c>
      <c r="AB1388" s="79">
        <v>1</v>
      </c>
      <c r="AC1388" s="77">
        <f t="shared" si="4442"/>
        <v>8.499999955555556E-3</v>
      </c>
      <c r="AD1388" s="77">
        <f t="shared" ref="AD1388" si="4539">1-(1-AC1388)^(1/12)</f>
        <v>7.1110795759765644E-4</v>
      </c>
      <c r="AE1388" s="77">
        <f t="shared" si="4444"/>
        <v>2.5000000000000001E-3</v>
      </c>
      <c r="AF1388" s="77">
        <f t="shared" ref="AF1388" si="4540">1-(1-AE1388)^(1/12)</f>
        <v>2.0857243058891584E-4</v>
      </c>
      <c r="AH1388" t="s">
        <v>175</v>
      </c>
      <c r="AI1388" t="s">
        <v>180</v>
      </c>
      <c r="AJ1388" s="197" t="str">
        <f t="shared" si="4435"/>
        <v>Lifecycle_Opportunity_241</v>
      </c>
      <c r="AK1388">
        <v>241</v>
      </c>
      <c r="AL1388">
        <f>VLOOKUP($U1388,[2]Standard_Opportunity!$Q$1:$T$542,2,FALSE)</f>
        <v>0.99999997777777772</v>
      </c>
      <c r="AM1388">
        <f>VLOOKUP($U1388,[2]Standard_Opportunity!$Q$1:$T$542,3,FALSE)</f>
        <v>2.2222222284540294E-8</v>
      </c>
      <c r="AN1388">
        <f>VLOOKUP($U1388,[2]Standard_Opportunity!$Q$1:$T$542,4,FALSE)</f>
        <v>0</v>
      </c>
      <c r="AO1388" s="77">
        <f t="shared" si="4436"/>
        <v>1</v>
      </c>
      <c r="AP1388" s="77">
        <f t="shared" si="4446"/>
        <v>6.4624999704999977E-2</v>
      </c>
      <c r="AQ1388" s="77">
        <f t="shared" si="4437"/>
        <v>5.2321923767311151E-3</v>
      </c>
      <c r="AR1388" s="79">
        <v>0</v>
      </c>
      <c r="AS1388" s="77">
        <f t="shared" si="4447"/>
        <v>0</v>
      </c>
      <c r="AT1388" s="77">
        <f t="shared" si="4448"/>
        <v>0</v>
      </c>
      <c r="AU1388" s="77">
        <f t="shared" si="4449"/>
        <v>2.5000000000000001E-3</v>
      </c>
      <c r="AV1388" s="77">
        <f t="shared" si="4450"/>
        <v>2.0809499864316017E-4</v>
      </c>
    </row>
    <row r="1389" spans="1:48">
      <c r="A1389" t="s">
        <v>175</v>
      </c>
      <c r="B1389" t="s">
        <v>180</v>
      </c>
      <c r="C1389" s="197" t="str">
        <f t="shared" si="4471"/>
        <v>Lifecycle_Opportunity_240</v>
      </c>
      <c r="D1389">
        <v>240</v>
      </c>
      <c r="E1389">
        <f>VLOOKUP($D1389,'[2]LC Opportunity'!$Q$2:$U$542,2,FALSE)</f>
        <v>0</v>
      </c>
      <c r="F1389">
        <f>VLOOKUP($D1389,'[2]LC Opportunity'!$Q$2:$U$542,3,FALSE)</f>
        <v>0</v>
      </c>
      <c r="G1389">
        <f>VLOOKUP($D1389,'[2]LC Opportunity'!$Q$2:$U$542,4,FALSE)</f>
        <v>0</v>
      </c>
      <c r="H1389">
        <f>VLOOKUP($D1389,'[2]LC Opportunity'!$Q$2:$U$542,5,FALSE)</f>
        <v>0.99999999999999989</v>
      </c>
      <c r="I1389" s="77">
        <f t="shared" si="4431"/>
        <v>0.99999999999999989</v>
      </c>
      <c r="J1389" s="77">
        <f t="shared" si="4432"/>
        <v>7.1999999999999981E-2</v>
      </c>
      <c r="K1389" s="77">
        <f t="shared" si="4476"/>
        <v>5.8106552987937654E-3</v>
      </c>
      <c r="L1389" s="76">
        <v>0</v>
      </c>
      <c r="M1389" s="77">
        <f t="shared" si="4438"/>
        <v>0</v>
      </c>
      <c r="N1389" s="77">
        <f t="shared" si="4439"/>
        <v>0</v>
      </c>
      <c r="O1389" s="77">
        <f t="shared" si="4440"/>
        <v>4.9999999999999992E-3</v>
      </c>
      <c r="P1389" s="77">
        <f t="shared" si="4441"/>
        <v>4.1762458919303302E-4</v>
      </c>
      <c r="R1389" t="s">
        <v>177</v>
      </c>
      <c r="S1389" t="s">
        <v>180</v>
      </c>
      <c r="T1389" s="197" t="str">
        <f t="shared" si="4472"/>
        <v>Autopilot_Opportunity_240</v>
      </c>
      <c r="U1389">
        <v>240</v>
      </c>
      <c r="V1389">
        <f>VLOOKUP($U1389,'[2]AP Opportunity'!$Q$1:$T$542,2,FALSE)</f>
        <v>0.99999997777777772</v>
      </c>
      <c r="W1389">
        <f>VLOOKUP($U1389,'[2]AP Opportunity'!$Q$1:$T$542,3,FALSE)</f>
        <v>2.2222222284540294E-8</v>
      </c>
      <c r="X1389">
        <f>VLOOKUP($U1389,'[2]AP Opportunity'!$Q$1:$T$542,4,FALSE)</f>
        <v>0</v>
      </c>
      <c r="Y1389" s="77">
        <f t="shared" si="4473"/>
        <v>1</v>
      </c>
      <c r="Z1389" s="77">
        <f t="shared" si="4477"/>
        <v>6.4624999704999977E-2</v>
      </c>
      <c r="AA1389" s="77">
        <f t="shared" si="4478"/>
        <v>5.2321923767311151E-3</v>
      </c>
      <c r="AB1389" s="79">
        <v>1</v>
      </c>
      <c r="AC1389" s="77">
        <f t="shared" si="4442"/>
        <v>8.499999955555556E-3</v>
      </c>
      <c r="AD1389" s="77">
        <f t="shared" ref="AD1389" si="4541">1-(1-AC1389)^(1/12)</f>
        <v>7.1110795759765644E-4</v>
      </c>
      <c r="AE1389" s="77">
        <f t="shared" si="4444"/>
        <v>2.5000000000000001E-3</v>
      </c>
      <c r="AF1389" s="77">
        <f t="shared" ref="AF1389" si="4542">1-(1-AE1389)^(1/12)</f>
        <v>2.0857243058891584E-4</v>
      </c>
      <c r="AH1389" t="s">
        <v>175</v>
      </c>
      <c r="AI1389" t="s">
        <v>180</v>
      </c>
      <c r="AJ1389" s="197" t="str">
        <f t="shared" si="4435"/>
        <v>Lifecycle_Opportunity_240</v>
      </c>
      <c r="AK1389">
        <v>240</v>
      </c>
      <c r="AL1389">
        <f>VLOOKUP($U1389,[2]Standard_Opportunity!$Q$1:$T$542,2,FALSE)</f>
        <v>0.99999997777777772</v>
      </c>
      <c r="AM1389">
        <f>VLOOKUP($U1389,[2]Standard_Opportunity!$Q$1:$T$542,3,FALSE)</f>
        <v>2.2222222284540294E-8</v>
      </c>
      <c r="AN1389">
        <f>VLOOKUP($U1389,[2]Standard_Opportunity!$Q$1:$T$542,4,FALSE)</f>
        <v>0</v>
      </c>
      <c r="AO1389" s="77">
        <f t="shared" si="4436"/>
        <v>1</v>
      </c>
      <c r="AP1389" s="77">
        <f t="shared" si="4446"/>
        <v>6.4624999704999977E-2</v>
      </c>
      <c r="AQ1389" s="77">
        <f t="shared" si="4437"/>
        <v>5.2321923767311151E-3</v>
      </c>
      <c r="AR1389" s="79">
        <v>0</v>
      </c>
      <c r="AS1389" s="77">
        <f t="shared" si="4447"/>
        <v>0</v>
      </c>
      <c r="AT1389" s="77">
        <f t="shared" si="4448"/>
        <v>0</v>
      </c>
      <c r="AU1389" s="77">
        <f t="shared" si="4449"/>
        <v>2.5000000000000001E-3</v>
      </c>
      <c r="AV1389" s="77">
        <f t="shared" si="4450"/>
        <v>2.0809499864316017E-4</v>
      </c>
    </row>
    <row r="1390" spans="1:48">
      <c r="A1390" t="s">
        <v>175</v>
      </c>
      <c r="B1390" t="s">
        <v>180</v>
      </c>
      <c r="C1390" s="197" t="str">
        <f t="shared" si="4471"/>
        <v>Lifecycle_Opportunity_239</v>
      </c>
      <c r="D1390">
        <v>239</v>
      </c>
      <c r="E1390">
        <f>VLOOKUP($D1390,'[2]LC Opportunity'!$Q$2:$U$542,2,FALSE)</f>
        <v>0</v>
      </c>
      <c r="F1390">
        <f>VLOOKUP($D1390,'[2]LC Opportunity'!$Q$2:$U$542,3,FALSE)</f>
        <v>0</v>
      </c>
      <c r="G1390">
        <f>VLOOKUP($D1390,'[2]LC Opportunity'!$Q$2:$U$542,4,FALSE)</f>
        <v>0</v>
      </c>
      <c r="H1390">
        <f>VLOOKUP($D1390,'[2]LC Opportunity'!$Q$2:$U$542,5,FALSE)</f>
        <v>0.99999999999999989</v>
      </c>
      <c r="I1390" s="77">
        <f t="shared" si="4431"/>
        <v>0.99999999999999989</v>
      </c>
      <c r="J1390" s="77">
        <f t="shared" si="4432"/>
        <v>7.1999999999999981E-2</v>
      </c>
      <c r="K1390" s="77">
        <f t="shared" si="4476"/>
        <v>5.8106552987937654E-3</v>
      </c>
      <c r="L1390" s="76">
        <v>0</v>
      </c>
      <c r="M1390" s="77">
        <f t="shared" si="4438"/>
        <v>0</v>
      </c>
      <c r="N1390" s="77">
        <f t="shared" si="4439"/>
        <v>0</v>
      </c>
      <c r="O1390" s="77">
        <f t="shared" si="4440"/>
        <v>4.9999999999999992E-3</v>
      </c>
      <c r="P1390" s="77">
        <f t="shared" si="4441"/>
        <v>4.1762458919303302E-4</v>
      </c>
      <c r="R1390" t="s">
        <v>177</v>
      </c>
      <c r="S1390" t="s">
        <v>180</v>
      </c>
      <c r="T1390" s="197" t="str">
        <f t="shared" si="4472"/>
        <v>Autopilot_Opportunity_239</v>
      </c>
      <c r="U1390">
        <v>239</v>
      </c>
      <c r="V1390">
        <f>VLOOKUP($U1390,'[2]AP Opportunity'!$Q$1:$T$542,2,FALSE)</f>
        <v>0.99999997777777772</v>
      </c>
      <c r="W1390">
        <f>VLOOKUP($U1390,'[2]AP Opportunity'!$Q$1:$T$542,3,FALSE)</f>
        <v>2.2222222284540294E-8</v>
      </c>
      <c r="X1390">
        <f>VLOOKUP($U1390,'[2]AP Opportunity'!$Q$1:$T$542,4,FALSE)</f>
        <v>0</v>
      </c>
      <c r="Y1390" s="77">
        <f t="shared" si="4473"/>
        <v>1</v>
      </c>
      <c r="Z1390" s="77">
        <f t="shared" si="4477"/>
        <v>6.4624999704999977E-2</v>
      </c>
      <c r="AA1390" s="77">
        <f t="shared" si="4478"/>
        <v>5.2321923767311151E-3</v>
      </c>
      <c r="AB1390" s="79">
        <v>1</v>
      </c>
      <c r="AC1390" s="77">
        <f t="shared" si="4442"/>
        <v>8.499999955555556E-3</v>
      </c>
      <c r="AD1390" s="77">
        <f t="shared" ref="AD1390" si="4543">1-(1-AC1390)^(1/12)</f>
        <v>7.1110795759765644E-4</v>
      </c>
      <c r="AE1390" s="77">
        <f t="shared" si="4444"/>
        <v>2.5000000000000001E-3</v>
      </c>
      <c r="AF1390" s="77">
        <f t="shared" ref="AF1390" si="4544">1-(1-AE1390)^(1/12)</f>
        <v>2.0857243058891584E-4</v>
      </c>
      <c r="AH1390" t="s">
        <v>175</v>
      </c>
      <c r="AI1390" t="s">
        <v>180</v>
      </c>
      <c r="AJ1390" s="197" t="str">
        <f t="shared" si="4435"/>
        <v>Lifecycle_Opportunity_239</v>
      </c>
      <c r="AK1390">
        <v>239</v>
      </c>
      <c r="AL1390">
        <f>VLOOKUP($U1390,[2]Standard_Opportunity!$Q$1:$T$542,2,FALSE)</f>
        <v>0.99999997777777772</v>
      </c>
      <c r="AM1390">
        <f>VLOOKUP($U1390,[2]Standard_Opportunity!$Q$1:$T$542,3,FALSE)</f>
        <v>2.2222222284540294E-8</v>
      </c>
      <c r="AN1390">
        <f>VLOOKUP($U1390,[2]Standard_Opportunity!$Q$1:$T$542,4,FALSE)</f>
        <v>0</v>
      </c>
      <c r="AO1390" s="77">
        <f t="shared" si="4436"/>
        <v>1</v>
      </c>
      <c r="AP1390" s="77">
        <f t="shared" si="4446"/>
        <v>6.4624999704999977E-2</v>
      </c>
      <c r="AQ1390" s="77">
        <f t="shared" si="4437"/>
        <v>5.2321923767311151E-3</v>
      </c>
      <c r="AR1390" s="79">
        <v>0</v>
      </c>
      <c r="AS1390" s="77">
        <f t="shared" si="4447"/>
        <v>0</v>
      </c>
      <c r="AT1390" s="77">
        <f t="shared" si="4448"/>
        <v>0</v>
      </c>
      <c r="AU1390" s="77">
        <f t="shared" si="4449"/>
        <v>2.5000000000000001E-3</v>
      </c>
      <c r="AV1390" s="77">
        <f t="shared" si="4450"/>
        <v>2.0809499864316017E-4</v>
      </c>
    </row>
    <row r="1391" spans="1:48">
      <c r="A1391" t="s">
        <v>175</v>
      </c>
      <c r="B1391" t="s">
        <v>180</v>
      </c>
      <c r="C1391" s="197" t="str">
        <f t="shared" si="4471"/>
        <v>Lifecycle_Opportunity_238</v>
      </c>
      <c r="D1391">
        <v>238</v>
      </c>
      <c r="E1391">
        <f>VLOOKUP($D1391,'[2]LC Opportunity'!$Q$2:$U$542,2,FALSE)</f>
        <v>0</v>
      </c>
      <c r="F1391">
        <f>VLOOKUP($D1391,'[2]LC Opportunity'!$Q$2:$U$542,3,FALSE)</f>
        <v>0</v>
      </c>
      <c r="G1391">
        <f>VLOOKUP($D1391,'[2]LC Opportunity'!$Q$2:$U$542,4,FALSE)</f>
        <v>0</v>
      </c>
      <c r="H1391">
        <f>VLOOKUP($D1391,'[2]LC Opportunity'!$Q$2:$U$542,5,FALSE)</f>
        <v>0.99999999999999989</v>
      </c>
      <c r="I1391" s="77">
        <f t="shared" si="4431"/>
        <v>0.99999999999999989</v>
      </c>
      <c r="J1391" s="77">
        <f t="shared" si="4432"/>
        <v>7.1999999999999981E-2</v>
      </c>
      <c r="K1391" s="77">
        <f t="shared" si="4476"/>
        <v>5.8106552987937654E-3</v>
      </c>
      <c r="L1391" s="76">
        <v>0</v>
      </c>
      <c r="M1391" s="77">
        <f t="shared" si="4438"/>
        <v>0</v>
      </c>
      <c r="N1391" s="77">
        <f t="shared" si="4439"/>
        <v>0</v>
      </c>
      <c r="O1391" s="77">
        <f t="shared" si="4440"/>
        <v>4.9999999999999992E-3</v>
      </c>
      <c r="P1391" s="77">
        <f t="shared" si="4441"/>
        <v>4.1762458919303302E-4</v>
      </c>
      <c r="R1391" t="s">
        <v>177</v>
      </c>
      <c r="S1391" t="s">
        <v>180</v>
      </c>
      <c r="T1391" s="197" t="str">
        <f t="shared" si="4472"/>
        <v>Autopilot_Opportunity_238</v>
      </c>
      <c r="U1391">
        <v>238</v>
      </c>
      <c r="V1391">
        <f>VLOOKUP($U1391,'[2]AP Opportunity'!$Q$1:$T$542,2,FALSE)</f>
        <v>0.99999997777777772</v>
      </c>
      <c r="W1391">
        <f>VLOOKUP($U1391,'[2]AP Opportunity'!$Q$1:$T$542,3,FALSE)</f>
        <v>2.2222222284540294E-8</v>
      </c>
      <c r="X1391">
        <f>VLOOKUP($U1391,'[2]AP Opportunity'!$Q$1:$T$542,4,FALSE)</f>
        <v>0</v>
      </c>
      <c r="Y1391" s="77">
        <f t="shared" si="4473"/>
        <v>1</v>
      </c>
      <c r="Z1391" s="77">
        <f t="shared" si="4477"/>
        <v>6.4624999704999977E-2</v>
      </c>
      <c r="AA1391" s="77">
        <f t="shared" si="4478"/>
        <v>5.2321923767311151E-3</v>
      </c>
      <c r="AB1391" s="79">
        <v>1</v>
      </c>
      <c r="AC1391" s="77">
        <f t="shared" si="4442"/>
        <v>8.499999955555556E-3</v>
      </c>
      <c r="AD1391" s="77">
        <f t="shared" ref="AD1391" si="4545">1-(1-AC1391)^(1/12)</f>
        <v>7.1110795759765644E-4</v>
      </c>
      <c r="AE1391" s="77">
        <f t="shared" si="4444"/>
        <v>2.5000000000000001E-3</v>
      </c>
      <c r="AF1391" s="77">
        <f t="shared" ref="AF1391" si="4546">1-(1-AE1391)^(1/12)</f>
        <v>2.0857243058891584E-4</v>
      </c>
      <c r="AH1391" t="s">
        <v>175</v>
      </c>
      <c r="AI1391" t="s">
        <v>180</v>
      </c>
      <c r="AJ1391" s="197" t="str">
        <f t="shared" si="4435"/>
        <v>Lifecycle_Opportunity_238</v>
      </c>
      <c r="AK1391">
        <v>238</v>
      </c>
      <c r="AL1391">
        <f>VLOOKUP($U1391,[2]Standard_Opportunity!$Q$1:$T$542,2,FALSE)</f>
        <v>0.99999997777777772</v>
      </c>
      <c r="AM1391">
        <f>VLOOKUP($U1391,[2]Standard_Opportunity!$Q$1:$T$542,3,FALSE)</f>
        <v>2.2222222284540294E-8</v>
      </c>
      <c r="AN1391">
        <f>VLOOKUP($U1391,[2]Standard_Opportunity!$Q$1:$T$542,4,FALSE)</f>
        <v>0</v>
      </c>
      <c r="AO1391" s="77">
        <f t="shared" si="4436"/>
        <v>1</v>
      </c>
      <c r="AP1391" s="77">
        <f t="shared" si="4446"/>
        <v>6.4624999704999977E-2</v>
      </c>
      <c r="AQ1391" s="77">
        <f t="shared" si="4437"/>
        <v>5.2321923767311151E-3</v>
      </c>
      <c r="AR1391" s="79">
        <v>0</v>
      </c>
      <c r="AS1391" s="77">
        <f t="shared" si="4447"/>
        <v>0</v>
      </c>
      <c r="AT1391" s="77">
        <f t="shared" si="4448"/>
        <v>0</v>
      </c>
      <c r="AU1391" s="77">
        <f t="shared" si="4449"/>
        <v>2.5000000000000001E-3</v>
      </c>
      <c r="AV1391" s="77">
        <f t="shared" si="4450"/>
        <v>2.0809499864316017E-4</v>
      </c>
    </row>
    <row r="1392" spans="1:48">
      <c r="A1392" t="s">
        <v>175</v>
      </c>
      <c r="B1392" t="s">
        <v>180</v>
      </c>
      <c r="C1392" s="197" t="str">
        <f t="shared" si="4471"/>
        <v>Lifecycle_Opportunity_237</v>
      </c>
      <c r="D1392">
        <v>237</v>
      </c>
      <c r="E1392">
        <f>VLOOKUP($D1392,'[2]LC Opportunity'!$Q$2:$U$542,2,FALSE)</f>
        <v>0</v>
      </c>
      <c r="F1392">
        <f>VLOOKUP($D1392,'[2]LC Opportunity'!$Q$2:$U$542,3,FALSE)</f>
        <v>0</v>
      </c>
      <c r="G1392">
        <f>VLOOKUP($D1392,'[2]LC Opportunity'!$Q$2:$U$542,4,FALSE)</f>
        <v>0</v>
      </c>
      <c r="H1392">
        <f>VLOOKUP($D1392,'[2]LC Opportunity'!$Q$2:$U$542,5,FALSE)</f>
        <v>0.99999999999999989</v>
      </c>
      <c r="I1392" s="77">
        <f t="shared" si="4431"/>
        <v>0.99999999999999989</v>
      </c>
      <c r="J1392" s="77">
        <f t="shared" si="4432"/>
        <v>7.1999999999999981E-2</v>
      </c>
      <c r="K1392" s="77">
        <f t="shared" si="4476"/>
        <v>5.8106552987937654E-3</v>
      </c>
      <c r="L1392" s="76">
        <v>0</v>
      </c>
      <c r="M1392" s="77">
        <f t="shared" si="4438"/>
        <v>0</v>
      </c>
      <c r="N1392" s="77">
        <f t="shared" si="4439"/>
        <v>0</v>
      </c>
      <c r="O1392" s="77">
        <f t="shared" si="4440"/>
        <v>4.9999999999999992E-3</v>
      </c>
      <c r="P1392" s="77">
        <f t="shared" si="4441"/>
        <v>4.1762458919303302E-4</v>
      </c>
      <c r="R1392" t="s">
        <v>177</v>
      </c>
      <c r="S1392" t="s">
        <v>180</v>
      </c>
      <c r="T1392" s="197" t="str">
        <f t="shared" si="4472"/>
        <v>Autopilot_Opportunity_237</v>
      </c>
      <c r="U1392">
        <v>237</v>
      </c>
      <c r="V1392">
        <f>VLOOKUP($U1392,'[2]AP Opportunity'!$Q$1:$T$542,2,FALSE)</f>
        <v>0.99999997777777772</v>
      </c>
      <c r="W1392">
        <f>VLOOKUP($U1392,'[2]AP Opportunity'!$Q$1:$T$542,3,FALSE)</f>
        <v>2.2222222284540294E-8</v>
      </c>
      <c r="X1392">
        <f>VLOOKUP($U1392,'[2]AP Opportunity'!$Q$1:$T$542,4,FALSE)</f>
        <v>0</v>
      </c>
      <c r="Y1392" s="77">
        <f t="shared" si="4473"/>
        <v>1</v>
      </c>
      <c r="Z1392" s="77">
        <f t="shared" si="4477"/>
        <v>6.4624999704999977E-2</v>
      </c>
      <c r="AA1392" s="77">
        <f t="shared" si="4478"/>
        <v>5.2321923767311151E-3</v>
      </c>
      <c r="AB1392" s="79">
        <v>1</v>
      </c>
      <c r="AC1392" s="77">
        <f t="shared" si="4442"/>
        <v>8.499999955555556E-3</v>
      </c>
      <c r="AD1392" s="77">
        <f t="shared" ref="AD1392" si="4547">1-(1-AC1392)^(1/12)</f>
        <v>7.1110795759765644E-4</v>
      </c>
      <c r="AE1392" s="77">
        <f t="shared" si="4444"/>
        <v>2.5000000000000001E-3</v>
      </c>
      <c r="AF1392" s="77">
        <f t="shared" ref="AF1392" si="4548">1-(1-AE1392)^(1/12)</f>
        <v>2.0857243058891584E-4</v>
      </c>
      <c r="AH1392" t="s">
        <v>175</v>
      </c>
      <c r="AI1392" t="s">
        <v>180</v>
      </c>
      <c r="AJ1392" s="197" t="str">
        <f t="shared" si="4435"/>
        <v>Lifecycle_Opportunity_237</v>
      </c>
      <c r="AK1392">
        <v>237</v>
      </c>
      <c r="AL1392">
        <f>VLOOKUP($U1392,[2]Standard_Opportunity!$Q$1:$T$542,2,FALSE)</f>
        <v>0.99999997777777772</v>
      </c>
      <c r="AM1392">
        <f>VLOOKUP($U1392,[2]Standard_Opportunity!$Q$1:$T$542,3,FALSE)</f>
        <v>2.2222222284540294E-8</v>
      </c>
      <c r="AN1392">
        <f>VLOOKUP($U1392,[2]Standard_Opportunity!$Q$1:$T$542,4,FALSE)</f>
        <v>0</v>
      </c>
      <c r="AO1392" s="77">
        <f t="shared" si="4436"/>
        <v>1</v>
      </c>
      <c r="AP1392" s="77">
        <f t="shared" si="4446"/>
        <v>6.4624999704999977E-2</v>
      </c>
      <c r="AQ1392" s="77">
        <f t="shared" si="4437"/>
        <v>5.2321923767311151E-3</v>
      </c>
      <c r="AR1392" s="79">
        <v>0</v>
      </c>
      <c r="AS1392" s="77">
        <f t="shared" si="4447"/>
        <v>0</v>
      </c>
      <c r="AT1392" s="77">
        <f t="shared" si="4448"/>
        <v>0</v>
      </c>
      <c r="AU1392" s="77">
        <f t="shared" si="4449"/>
        <v>2.5000000000000001E-3</v>
      </c>
      <c r="AV1392" s="77">
        <f t="shared" si="4450"/>
        <v>2.0809499864316017E-4</v>
      </c>
    </row>
    <row r="1393" spans="1:48">
      <c r="A1393" t="s">
        <v>175</v>
      </c>
      <c r="B1393" t="s">
        <v>180</v>
      </c>
      <c r="C1393" s="197" t="str">
        <f t="shared" si="4471"/>
        <v>Lifecycle_Opportunity_236</v>
      </c>
      <c r="D1393">
        <v>236</v>
      </c>
      <c r="E1393">
        <f>VLOOKUP($D1393,'[2]LC Opportunity'!$Q$2:$U$542,2,FALSE)</f>
        <v>0</v>
      </c>
      <c r="F1393">
        <f>VLOOKUP($D1393,'[2]LC Opportunity'!$Q$2:$U$542,3,FALSE)</f>
        <v>0</v>
      </c>
      <c r="G1393">
        <f>VLOOKUP($D1393,'[2]LC Opportunity'!$Q$2:$U$542,4,FALSE)</f>
        <v>0</v>
      </c>
      <c r="H1393">
        <f>VLOOKUP($D1393,'[2]LC Opportunity'!$Q$2:$U$542,5,FALSE)</f>
        <v>0.99999999999999989</v>
      </c>
      <c r="I1393" s="77">
        <f t="shared" si="4431"/>
        <v>0.99999999999999989</v>
      </c>
      <c r="J1393" s="77">
        <f t="shared" si="4432"/>
        <v>7.1999999999999981E-2</v>
      </c>
      <c r="K1393" s="77">
        <f t="shared" si="4476"/>
        <v>5.8106552987937654E-3</v>
      </c>
      <c r="L1393" s="76">
        <v>0</v>
      </c>
      <c r="M1393" s="77">
        <f t="shared" si="4438"/>
        <v>0</v>
      </c>
      <c r="N1393" s="77">
        <f t="shared" si="4439"/>
        <v>0</v>
      </c>
      <c r="O1393" s="77">
        <f t="shared" si="4440"/>
        <v>4.9999999999999992E-3</v>
      </c>
      <c r="P1393" s="77">
        <f t="shared" si="4441"/>
        <v>4.1762458919303302E-4</v>
      </c>
      <c r="R1393" t="s">
        <v>177</v>
      </c>
      <c r="S1393" t="s">
        <v>180</v>
      </c>
      <c r="T1393" s="197" t="str">
        <f t="shared" si="4472"/>
        <v>Autopilot_Opportunity_236</v>
      </c>
      <c r="U1393">
        <v>236</v>
      </c>
      <c r="V1393">
        <f>VLOOKUP($U1393,'[2]AP Opportunity'!$Q$1:$T$542,2,FALSE)</f>
        <v>0.99999997777777772</v>
      </c>
      <c r="W1393">
        <f>VLOOKUP($U1393,'[2]AP Opportunity'!$Q$1:$T$542,3,FALSE)</f>
        <v>2.2222222284540294E-8</v>
      </c>
      <c r="X1393">
        <f>VLOOKUP($U1393,'[2]AP Opportunity'!$Q$1:$T$542,4,FALSE)</f>
        <v>0</v>
      </c>
      <c r="Y1393" s="77">
        <f t="shared" si="4473"/>
        <v>1</v>
      </c>
      <c r="Z1393" s="77">
        <f t="shared" si="4477"/>
        <v>6.4624999704999977E-2</v>
      </c>
      <c r="AA1393" s="77">
        <f t="shared" si="4478"/>
        <v>5.2321923767311151E-3</v>
      </c>
      <c r="AB1393" s="79">
        <v>1</v>
      </c>
      <c r="AC1393" s="77">
        <f t="shared" si="4442"/>
        <v>8.499999955555556E-3</v>
      </c>
      <c r="AD1393" s="77">
        <f t="shared" ref="AD1393" si="4549">1-(1-AC1393)^(1/12)</f>
        <v>7.1110795759765644E-4</v>
      </c>
      <c r="AE1393" s="77">
        <f t="shared" si="4444"/>
        <v>2.5000000000000001E-3</v>
      </c>
      <c r="AF1393" s="77">
        <f t="shared" ref="AF1393" si="4550">1-(1-AE1393)^(1/12)</f>
        <v>2.0857243058891584E-4</v>
      </c>
      <c r="AH1393" t="s">
        <v>175</v>
      </c>
      <c r="AI1393" t="s">
        <v>180</v>
      </c>
      <c r="AJ1393" s="197" t="str">
        <f t="shared" si="4435"/>
        <v>Lifecycle_Opportunity_236</v>
      </c>
      <c r="AK1393">
        <v>236</v>
      </c>
      <c r="AL1393">
        <f>VLOOKUP($U1393,[2]Standard_Opportunity!$Q$1:$T$542,2,FALSE)</f>
        <v>0.99999997777777772</v>
      </c>
      <c r="AM1393">
        <f>VLOOKUP($U1393,[2]Standard_Opportunity!$Q$1:$T$542,3,FALSE)</f>
        <v>2.2222222284540294E-8</v>
      </c>
      <c r="AN1393">
        <f>VLOOKUP($U1393,[2]Standard_Opportunity!$Q$1:$T$542,4,FALSE)</f>
        <v>0</v>
      </c>
      <c r="AO1393" s="77">
        <f t="shared" si="4436"/>
        <v>1</v>
      </c>
      <c r="AP1393" s="77">
        <f t="shared" si="4446"/>
        <v>6.4624999704999977E-2</v>
      </c>
      <c r="AQ1393" s="77">
        <f t="shared" si="4437"/>
        <v>5.2321923767311151E-3</v>
      </c>
      <c r="AR1393" s="79">
        <v>0</v>
      </c>
      <c r="AS1393" s="77">
        <f t="shared" si="4447"/>
        <v>0</v>
      </c>
      <c r="AT1393" s="77">
        <f t="shared" si="4448"/>
        <v>0</v>
      </c>
      <c r="AU1393" s="77">
        <f t="shared" si="4449"/>
        <v>2.5000000000000001E-3</v>
      </c>
      <c r="AV1393" s="77">
        <f t="shared" si="4450"/>
        <v>2.0809499864316017E-4</v>
      </c>
    </row>
    <row r="1394" spans="1:48">
      <c r="A1394" t="s">
        <v>175</v>
      </c>
      <c r="B1394" t="s">
        <v>180</v>
      </c>
      <c r="C1394" s="197" t="str">
        <f t="shared" si="4471"/>
        <v>Lifecycle_Opportunity_235</v>
      </c>
      <c r="D1394">
        <v>235</v>
      </c>
      <c r="E1394">
        <f>VLOOKUP($D1394,'[2]LC Opportunity'!$Q$2:$U$542,2,FALSE)</f>
        <v>0</v>
      </c>
      <c r="F1394">
        <f>VLOOKUP($D1394,'[2]LC Opportunity'!$Q$2:$U$542,3,FALSE)</f>
        <v>0</v>
      </c>
      <c r="G1394">
        <f>VLOOKUP($D1394,'[2]LC Opportunity'!$Q$2:$U$542,4,FALSE)</f>
        <v>0</v>
      </c>
      <c r="H1394">
        <f>VLOOKUP($D1394,'[2]LC Opportunity'!$Q$2:$U$542,5,FALSE)</f>
        <v>0.99999999999999989</v>
      </c>
      <c r="I1394" s="77">
        <f t="shared" si="4431"/>
        <v>0.99999999999999989</v>
      </c>
      <c r="J1394" s="77">
        <f t="shared" si="4432"/>
        <v>7.1999999999999981E-2</v>
      </c>
      <c r="K1394" s="77">
        <f t="shared" si="4476"/>
        <v>5.8106552987937654E-3</v>
      </c>
      <c r="L1394" s="76">
        <v>0</v>
      </c>
      <c r="M1394" s="77">
        <f t="shared" si="4438"/>
        <v>0</v>
      </c>
      <c r="N1394" s="77">
        <f t="shared" si="4439"/>
        <v>0</v>
      </c>
      <c r="O1394" s="77">
        <f t="shared" si="4440"/>
        <v>4.9999999999999992E-3</v>
      </c>
      <c r="P1394" s="77">
        <f t="shared" si="4441"/>
        <v>4.1762458919303302E-4</v>
      </c>
      <c r="R1394" t="s">
        <v>177</v>
      </c>
      <c r="S1394" t="s">
        <v>180</v>
      </c>
      <c r="T1394" s="197" t="str">
        <f t="shared" si="4472"/>
        <v>Autopilot_Opportunity_235</v>
      </c>
      <c r="U1394">
        <v>235</v>
      </c>
      <c r="V1394">
        <f>VLOOKUP($U1394,'[2]AP Opportunity'!$Q$1:$T$542,2,FALSE)</f>
        <v>0.99999997777777772</v>
      </c>
      <c r="W1394">
        <f>VLOOKUP($U1394,'[2]AP Opportunity'!$Q$1:$T$542,3,FALSE)</f>
        <v>2.2222222284540294E-8</v>
      </c>
      <c r="X1394">
        <f>VLOOKUP($U1394,'[2]AP Opportunity'!$Q$1:$T$542,4,FALSE)</f>
        <v>0</v>
      </c>
      <c r="Y1394" s="77">
        <f t="shared" si="4473"/>
        <v>1</v>
      </c>
      <c r="Z1394" s="77">
        <f t="shared" si="4477"/>
        <v>6.4624999704999977E-2</v>
      </c>
      <c r="AA1394" s="77">
        <f t="shared" si="4478"/>
        <v>5.2321923767311151E-3</v>
      </c>
      <c r="AB1394" s="79">
        <v>1</v>
      </c>
      <c r="AC1394" s="77">
        <f t="shared" si="4442"/>
        <v>8.499999955555556E-3</v>
      </c>
      <c r="AD1394" s="77">
        <f t="shared" ref="AD1394" si="4551">1-(1-AC1394)^(1/12)</f>
        <v>7.1110795759765644E-4</v>
      </c>
      <c r="AE1394" s="77">
        <f t="shared" si="4444"/>
        <v>2.5000000000000001E-3</v>
      </c>
      <c r="AF1394" s="77">
        <f t="shared" ref="AF1394" si="4552">1-(1-AE1394)^(1/12)</f>
        <v>2.0857243058891584E-4</v>
      </c>
      <c r="AH1394" t="s">
        <v>175</v>
      </c>
      <c r="AI1394" t="s">
        <v>180</v>
      </c>
      <c r="AJ1394" s="197" t="str">
        <f t="shared" si="4435"/>
        <v>Lifecycle_Opportunity_235</v>
      </c>
      <c r="AK1394">
        <v>235</v>
      </c>
      <c r="AL1394">
        <f>VLOOKUP($U1394,[2]Standard_Opportunity!$Q$1:$T$542,2,FALSE)</f>
        <v>0.99999997777777772</v>
      </c>
      <c r="AM1394">
        <f>VLOOKUP($U1394,[2]Standard_Opportunity!$Q$1:$T$542,3,FALSE)</f>
        <v>2.2222222284540294E-8</v>
      </c>
      <c r="AN1394">
        <f>VLOOKUP($U1394,[2]Standard_Opportunity!$Q$1:$T$542,4,FALSE)</f>
        <v>0</v>
      </c>
      <c r="AO1394" s="77">
        <f t="shared" si="4436"/>
        <v>1</v>
      </c>
      <c r="AP1394" s="77">
        <f t="shared" si="4446"/>
        <v>6.4624999704999977E-2</v>
      </c>
      <c r="AQ1394" s="77">
        <f t="shared" si="4437"/>
        <v>5.2321923767311151E-3</v>
      </c>
      <c r="AR1394" s="79">
        <v>0</v>
      </c>
      <c r="AS1394" s="77">
        <f t="shared" si="4447"/>
        <v>0</v>
      </c>
      <c r="AT1394" s="77">
        <f t="shared" si="4448"/>
        <v>0</v>
      </c>
      <c r="AU1394" s="77">
        <f t="shared" si="4449"/>
        <v>2.5000000000000001E-3</v>
      </c>
      <c r="AV1394" s="77">
        <f t="shared" si="4450"/>
        <v>2.0809499864316017E-4</v>
      </c>
    </row>
    <row r="1395" spans="1:48">
      <c r="A1395" t="s">
        <v>175</v>
      </c>
      <c r="B1395" t="s">
        <v>180</v>
      </c>
      <c r="C1395" s="197" t="str">
        <f t="shared" si="4471"/>
        <v>Lifecycle_Opportunity_234</v>
      </c>
      <c r="D1395">
        <v>234</v>
      </c>
      <c r="E1395">
        <f>VLOOKUP($D1395,'[2]LC Opportunity'!$Q$2:$U$542,2,FALSE)</f>
        <v>0</v>
      </c>
      <c r="F1395">
        <f>VLOOKUP($D1395,'[2]LC Opportunity'!$Q$2:$U$542,3,FALSE)</f>
        <v>0</v>
      </c>
      <c r="G1395">
        <f>VLOOKUP($D1395,'[2]LC Opportunity'!$Q$2:$U$542,4,FALSE)</f>
        <v>0</v>
      </c>
      <c r="H1395">
        <f>VLOOKUP($D1395,'[2]LC Opportunity'!$Q$2:$U$542,5,FALSE)</f>
        <v>0.99999999999999989</v>
      </c>
      <c r="I1395" s="77">
        <f t="shared" si="4431"/>
        <v>0.99999999999999989</v>
      </c>
      <c r="J1395" s="77">
        <f t="shared" si="4432"/>
        <v>7.1999999999999981E-2</v>
      </c>
      <c r="K1395" s="77">
        <f t="shared" si="4476"/>
        <v>5.8106552987937654E-3</v>
      </c>
      <c r="L1395" s="76">
        <v>0</v>
      </c>
      <c r="M1395" s="77">
        <f t="shared" si="4438"/>
        <v>0</v>
      </c>
      <c r="N1395" s="77">
        <f t="shared" si="4439"/>
        <v>0</v>
      </c>
      <c r="O1395" s="77">
        <f t="shared" si="4440"/>
        <v>4.9999999999999992E-3</v>
      </c>
      <c r="P1395" s="77">
        <f t="shared" si="4441"/>
        <v>4.1762458919303302E-4</v>
      </c>
      <c r="R1395" t="s">
        <v>177</v>
      </c>
      <c r="S1395" t="s">
        <v>180</v>
      </c>
      <c r="T1395" s="197" t="str">
        <f t="shared" si="4472"/>
        <v>Autopilot_Opportunity_234</v>
      </c>
      <c r="U1395">
        <v>234</v>
      </c>
      <c r="V1395">
        <f>VLOOKUP($U1395,'[2]AP Opportunity'!$Q$1:$T$542,2,FALSE)</f>
        <v>0.99999997777777772</v>
      </c>
      <c r="W1395">
        <f>VLOOKUP($U1395,'[2]AP Opportunity'!$Q$1:$T$542,3,FALSE)</f>
        <v>2.2222222284540294E-8</v>
      </c>
      <c r="X1395">
        <f>VLOOKUP($U1395,'[2]AP Opportunity'!$Q$1:$T$542,4,FALSE)</f>
        <v>0</v>
      </c>
      <c r="Y1395" s="77">
        <f t="shared" si="4473"/>
        <v>1</v>
      </c>
      <c r="Z1395" s="77">
        <f t="shared" si="4477"/>
        <v>6.4624999704999977E-2</v>
      </c>
      <c r="AA1395" s="77">
        <f t="shared" si="4478"/>
        <v>5.2321923767311151E-3</v>
      </c>
      <c r="AB1395" s="79">
        <v>1</v>
      </c>
      <c r="AC1395" s="77">
        <f t="shared" si="4442"/>
        <v>8.499999955555556E-3</v>
      </c>
      <c r="AD1395" s="77">
        <f t="shared" ref="AD1395" si="4553">1-(1-AC1395)^(1/12)</f>
        <v>7.1110795759765644E-4</v>
      </c>
      <c r="AE1395" s="77">
        <f t="shared" si="4444"/>
        <v>2.5000000000000001E-3</v>
      </c>
      <c r="AF1395" s="77">
        <f t="shared" ref="AF1395" si="4554">1-(1-AE1395)^(1/12)</f>
        <v>2.0857243058891584E-4</v>
      </c>
      <c r="AH1395" t="s">
        <v>175</v>
      </c>
      <c r="AI1395" t="s">
        <v>180</v>
      </c>
      <c r="AJ1395" s="197" t="str">
        <f t="shared" si="4435"/>
        <v>Lifecycle_Opportunity_234</v>
      </c>
      <c r="AK1395">
        <v>234</v>
      </c>
      <c r="AL1395">
        <f>VLOOKUP($U1395,[2]Standard_Opportunity!$Q$1:$T$542,2,FALSE)</f>
        <v>0.99999997777777772</v>
      </c>
      <c r="AM1395">
        <f>VLOOKUP($U1395,[2]Standard_Opportunity!$Q$1:$T$542,3,FALSE)</f>
        <v>2.2222222284540294E-8</v>
      </c>
      <c r="AN1395">
        <f>VLOOKUP($U1395,[2]Standard_Opportunity!$Q$1:$T$542,4,FALSE)</f>
        <v>0</v>
      </c>
      <c r="AO1395" s="77">
        <f t="shared" si="4436"/>
        <v>1</v>
      </c>
      <c r="AP1395" s="77">
        <f t="shared" si="4446"/>
        <v>6.4624999704999977E-2</v>
      </c>
      <c r="AQ1395" s="77">
        <f t="shared" si="4437"/>
        <v>5.2321923767311151E-3</v>
      </c>
      <c r="AR1395" s="79">
        <v>0</v>
      </c>
      <c r="AS1395" s="77">
        <f t="shared" si="4447"/>
        <v>0</v>
      </c>
      <c r="AT1395" s="77">
        <f t="shared" si="4448"/>
        <v>0</v>
      </c>
      <c r="AU1395" s="77">
        <f t="shared" si="4449"/>
        <v>2.5000000000000001E-3</v>
      </c>
      <c r="AV1395" s="77">
        <f t="shared" si="4450"/>
        <v>2.0809499864316017E-4</v>
      </c>
    </row>
    <row r="1396" spans="1:48">
      <c r="A1396" t="s">
        <v>175</v>
      </c>
      <c r="B1396" t="s">
        <v>180</v>
      </c>
      <c r="C1396" s="197" t="str">
        <f t="shared" si="4471"/>
        <v>Lifecycle_Opportunity_233</v>
      </c>
      <c r="D1396">
        <v>233</v>
      </c>
      <c r="E1396">
        <f>VLOOKUP($D1396,'[2]LC Opportunity'!$Q$2:$U$542,2,FALSE)</f>
        <v>0</v>
      </c>
      <c r="F1396">
        <f>VLOOKUP($D1396,'[2]LC Opportunity'!$Q$2:$U$542,3,FALSE)</f>
        <v>0</v>
      </c>
      <c r="G1396">
        <f>VLOOKUP($D1396,'[2]LC Opportunity'!$Q$2:$U$542,4,FALSE)</f>
        <v>0</v>
      </c>
      <c r="H1396">
        <f>VLOOKUP($D1396,'[2]LC Opportunity'!$Q$2:$U$542,5,FALSE)</f>
        <v>0.99999999999999989</v>
      </c>
      <c r="I1396" s="77">
        <f t="shared" si="4431"/>
        <v>0.99999999999999989</v>
      </c>
      <c r="J1396" s="77">
        <f t="shared" si="4432"/>
        <v>7.1999999999999981E-2</v>
      </c>
      <c r="K1396" s="77">
        <f t="shared" si="4476"/>
        <v>5.8106552987937654E-3</v>
      </c>
      <c r="L1396" s="76">
        <v>0</v>
      </c>
      <c r="M1396" s="77">
        <f t="shared" si="4438"/>
        <v>0</v>
      </c>
      <c r="N1396" s="77">
        <f t="shared" si="4439"/>
        <v>0</v>
      </c>
      <c r="O1396" s="77">
        <f t="shared" si="4440"/>
        <v>4.9999999999999992E-3</v>
      </c>
      <c r="P1396" s="77">
        <f t="shared" si="4441"/>
        <v>4.1762458919303302E-4</v>
      </c>
      <c r="R1396" t="s">
        <v>177</v>
      </c>
      <c r="S1396" t="s">
        <v>180</v>
      </c>
      <c r="T1396" s="197" t="str">
        <f t="shared" si="4472"/>
        <v>Autopilot_Opportunity_233</v>
      </c>
      <c r="U1396">
        <v>233</v>
      </c>
      <c r="V1396">
        <f>VLOOKUP($U1396,'[2]AP Opportunity'!$Q$1:$T$542,2,FALSE)</f>
        <v>0.99999997777777772</v>
      </c>
      <c r="W1396">
        <f>VLOOKUP($U1396,'[2]AP Opportunity'!$Q$1:$T$542,3,FALSE)</f>
        <v>2.2222222284540294E-8</v>
      </c>
      <c r="X1396">
        <f>VLOOKUP($U1396,'[2]AP Opportunity'!$Q$1:$T$542,4,FALSE)</f>
        <v>0</v>
      </c>
      <c r="Y1396" s="77">
        <f t="shared" si="4473"/>
        <v>1</v>
      </c>
      <c r="Z1396" s="77">
        <f t="shared" si="4477"/>
        <v>6.4624999704999977E-2</v>
      </c>
      <c r="AA1396" s="77">
        <f t="shared" si="4478"/>
        <v>5.2321923767311151E-3</v>
      </c>
      <c r="AB1396" s="79">
        <v>1</v>
      </c>
      <c r="AC1396" s="77">
        <f t="shared" si="4442"/>
        <v>8.499999955555556E-3</v>
      </c>
      <c r="AD1396" s="77">
        <f t="shared" ref="AD1396" si="4555">1-(1-AC1396)^(1/12)</f>
        <v>7.1110795759765644E-4</v>
      </c>
      <c r="AE1396" s="77">
        <f t="shared" si="4444"/>
        <v>2.5000000000000001E-3</v>
      </c>
      <c r="AF1396" s="77">
        <f t="shared" ref="AF1396" si="4556">1-(1-AE1396)^(1/12)</f>
        <v>2.0857243058891584E-4</v>
      </c>
      <c r="AH1396" t="s">
        <v>175</v>
      </c>
      <c r="AI1396" t="s">
        <v>180</v>
      </c>
      <c r="AJ1396" s="197" t="str">
        <f t="shared" si="4435"/>
        <v>Lifecycle_Opportunity_233</v>
      </c>
      <c r="AK1396">
        <v>233</v>
      </c>
      <c r="AL1396">
        <f>VLOOKUP($U1396,[2]Standard_Opportunity!$Q$1:$T$542,2,FALSE)</f>
        <v>0.99999997777777772</v>
      </c>
      <c r="AM1396">
        <f>VLOOKUP($U1396,[2]Standard_Opportunity!$Q$1:$T$542,3,FALSE)</f>
        <v>2.2222222284540294E-8</v>
      </c>
      <c r="AN1396">
        <f>VLOOKUP($U1396,[2]Standard_Opportunity!$Q$1:$T$542,4,FALSE)</f>
        <v>0</v>
      </c>
      <c r="AO1396" s="77">
        <f t="shared" si="4436"/>
        <v>1</v>
      </c>
      <c r="AP1396" s="77">
        <f t="shared" si="4446"/>
        <v>6.4624999704999977E-2</v>
      </c>
      <c r="AQ1396" s="77">
        <f t="shared" si="4437"/>
        <v>5.2321923767311151E-3</v>
      </c>
      <c r="AR1396" s="79">
        <v>0</v>
      </c>
      <c r="AS1396" s="77">
        <f t="shared" si="4447"/>
        <v>0</v>
      </c>
      <c r="AT1396" s="77">
        <f t="shared" si="4448"/>
        <v>0</v>
      </c>
      <c r="AU1396" s="77">
        <f t="shared" si="4449"/>
        <v>2.5000000000000001E-3</v>
      </c>
      <c r="AV1396" s="77">
        <f t="shared" si="4450"/>
        <v>2.0809499864316017E-4</v>
      </c>
    </row>
    <row r="1397" spans="1:48">
      <c r="A1397" t="s">
        <v>175</v>
      </c>
      <c r="B1397" t="s">
        <v>180</v>
      </c>
      <c r="C1397" s="197" t="str">
        <f t="shared" si="4471"/>
        <v>Lifecycle_Opportunity_232</v>
      </c>
      <c r="D1397">
        <v>232</v>
      </c>
      <c r="E1397">
        <f>VLOOKUP($D1397,'[2]LC Opportunity'!$Q$2:$U$542,2,FALSE)</f>
        <v>0</v>
      </c>
      <c r="F1397">
        <f>VLOOKUP($D1397,'[2]LC Opportunity'!$Q$2:$U$542,3,FALSE)</f>
        <v>0</v>
      </c>
      <c r="G1397">
        <f>VLOOKUP($D1397,'[2]LC Opportunity'!$Q$2:$U$542,4,FALSE)</f>
        <v>0</v>
      </c>
      <c r="H1397">
        <f>VLOOKUP($D1397,'[2]LC Opportunity'!$Q$2:$U$542,5,FALSE)</f>
        <v>0.99999999999999989</v>
      </c>
      <c r="I1397" s="77">
        <f t="shared" si="4431"/>
        <v>0.99999999999999989</v>
      </c>
      <c r="J1397" s="77">
        <f t="shared" si="4432"/>
        <v>7.1999999999999981E-2</v>
      </c>
      <c r="K1397" s="77">
        <f t="shared" si="4476"/>
        <v>5.8106552987937654E-3</v>
      </c>
      <c r="L1397" s="76">
        <v>0</v>
      </c>
      <c r="M1397" s="77">
        <f t="shared" si="4438"/>
        <v>0</v>
      </c>
      <c r="N1397" s="77">
        <f t="shared" si="4439"/>
        <v>0</v>
      </c>
      <c r="O1397" s="77">
        <f t="shared" si="4440"/>
        <v>4.9999999999999992E-3</v>
      </c>
      <c r="P1397" s="77">
        <f t="shared" si="4441"/>
        <v>4.1762458919303302E-4</v>
      </c>
      <c r="R1397" t="s">
        <v>177</v>
      </c>
      <c r="S1397" t="s">
        <v>180</v>
      </c>
      <c r="T1397" s="197" t="str">
        <f t="shared" si="4472"/>
        <v>Autopilot_Opportunity_232</v>
      </c>
      <c r="U1397">
        <v>232</v>
      </c>
      <c r="V1397">
        <f>VLOOKUP($U1397,'[2]AP Opportunity'!$Q$1:$T$542,2,FALSE)</f>
        <v>0.99999997777777772</v>
      </c>
      <c r="W1397">
        <f>VLOOKUP($U1397,'[2]AP Opportunity'!$Q$1:$T$542,3,FALSE)</f>
        <v>2.2222222284540294E-8</v>
      </c>
      <c r="X1397">
        <f>VLOOKUP($U1397,'[2]AP Opportunity'!$Q$1:$T$542,4,FALSE)</f>
        <v>0</v>
      </c>
      <c r="Y1397" s="77">
        <f t="shared" si="4473"/>
        <v>1</v>
      </c>
      <c r="Z1397" s="77">
        <f t="shared" si="4477"/>
        <v>6.4624999704999977E-2</v>
      </c>
      <c r="AA1397" s="77">
        <f t="shared" si="4478"/>
        <v>5.2321923767311151E-3</v>
      </c>
      <c r="AB1397" s="79">
        <v>1</v>
      </c>
      <c r="AC1397" s="77">
        <f t="shared" si="4442"/>
        <v>8.499999955555556E-3</v>
      </c>
      <c r="AD1397" s="77">
        <f t="shared" ref="AD1397" si="4557">1-(1-AC1397)^(1/12)</f>
        <v>7.1110795759765644E-4</v>
      </c>
      <c r="AE1397" s="77">
        <f t="shared" si="4444"/>
        <v>2.5000000000000001E-3</v>
      </c>
      <c r="AF1397" s="77">
        <f t="shared" ref="AF1397" si="4558">1-(1-AE1397)^(1/12)</f>
        <v>2.0857243058891584E-4</v>
      </c>
      <c r="AH1397" t="s">
        <v>175</v>
      </c>
      <c r="AI1397" t="s">
        <v>180</v>
      </c>
      <c r="AJ1397" s="197" t="str">
        <f t="shared" si="4435"/>
        <v>Lifecycle_Opportunity_232</v>
      </c>
      <c r="AK1397">
        <v>232</v>
      </c>
      <c r="AL1397">
        <f>VLOOKUP($U1397,[2]Standard_Opportunity!$Q$1:$T$542,2,FALSE)</f>
        <v>0.99999997777777772</v>
      </c>
      <c r="AM1397">
        <f>VLOOKUP($U1397,[2]Standard_Opportunity!$Q$1:$T$542,3,FALSE)</f>
        <v>2.2222222284540294E-8</v>
      </c>
      <c r="AN1397">
        <f>VLOOKUP($U1397,[2]Standard_Opportunity!$Q$1:$T$542,4,FALSE)</f>
        <v>0</v>
      </c>
      <c r="AO1397" s="77">
        <f t="shared" si="4436"/>
        <v>1</v>
      </c>
      <c r="AP1397" s="77">
        <f t="shared" si="4446"/>
        <v>6.4624999704999977E-2</v>
      </c>
      <c r="AQ1397" s="77">
        <f t="shared" si="4437"/>
        <v>5.2321923767311151E-3</v>
      </c>
      <c r="AR1397" s="79">
        <v>0</v>
      </c>
      <c r="AS1397" s="77">
        <f t="shared" si="4447"/>
        <v>0</v>
      </c>
      <c r="AT1397" s="77">
        <f t="shared" si="4448"/>
        <v>0</v>
      </c>
      <c r="AU1397" s="77">
        <f t="shared" si="4449"/>
        <v>2.5000000000000001E-3</v>
      </c>
      <c r="AV1397" s="77">
        <f t="shared" si="4450"/>
        <v>2.0809499864316017E-4</v>
      </c>
    </row>
    <row r="1398" spans="1:48">
      <c r="A1398" t="s">
        <v>175</v>
      </c>
      <c r="B1398" t="s">
        <v>180</v>
      </c>
      <c r="C1398" s="197" t="str">
        <f t="shared" si="4471"/>
        <v>Lifecycle_Opportunity_231</v>
      </c>
      <c r="D1398">
        <v>231</v>
      </c>
      <c r="E1398">
        <f>VLOOKUP($D1398,'[2]LC Opportunity'!$Q$2:$U$542,2,FALSE)</f>
        <v>0</v>
      </c>
      <c r="F1398">
        <f>VLOOKUP($D1398,'[2]LC Opportunity'!$Q$2:$U$542,3,FALSE)</f>
        <v>0</v>
      </c>
      <c r="G1398">
        <f>VLOOKUP($D1398,'[2]LC Opportunity'!$Q$2:$U$542,4,FALSE)</f>
        <v>0</v>
      </c>
      <c r="H1398">
        <f>VLOOKUP($D1398,'[2]LC Opportunity'!$Q$2:$U$542,5,FALSE)</f>
        <v>0.99999999999999989</v>
      </c>
      <c r="I1398" s="77">
        <f t="shared" si="4431"/>
        <v>0.99999999999999989</v>
      </c>
      <c r="J1398" s="77">
        <f t="shared" si="4432"/>
        <v>7.1999999999999981E-2</v>
      </c>
      <c r="K1398" s="77">
        <f t="shared" si="4476"/>
        <v>5.8106552987937654E-3</v>
      </c>
      <c r="L1398" s="76">
        <v>0</v>
      </c>
      <c r="M1398" s="77">
        <f t="shared" si="4438"/>
        <v>0</v>
      </c>
      <c r="N1398" s="77">
        <f t="shared" si="4439"/>
        <v>0</v>
      </c>
      <c r="O1398" s="77">
        <f t="shared" si="4440"/>
        <v>4.9999999999999992E-3</v>
      </c>
      <c r="P1398" s="77">
        <f t="shared" si="4441"/>
        <v>4.1762458919303302E-4</v>
      </c>
      <c r="R1398" t="s">
        <v>177</v>
      </c>
      <c r="S1398" t="s">
        <v>180</v>
      </c>
      <c r="T1398" s="197" t="str">
        <f t="shared" si="4472"/>
        <v>Autopilot_Opportunity_231</v>
      </c>
      <c r="U1398">
        <v>231</v>
      </c>
      <c r="V1398">
        <f>VLOOKUP($U1398,'[2]AP Opportunity'!$Q$1:$T$542,2,FALSE)</f>
        <v>0.99999997777777772</v>
      </c>
      <c r="W1398">
        <f>VLOOKUP($U1398,'[2]AP Opportunity'!$Q$1:$T$542,3,FALSE)</f>
        <v>2.2222222284540294E-8</v>
      </c>
      <c r="X1398">
        <f>VLOOKUP($U1398,'[2]AP Opportunity'!$Q$1:$T$542,4,FALSE)</f>
        <v>0</v>
      </c>
      <c r="Y1398" s="77">
        <f t="shared" si="4473"/>
        <v>1</v>
      </c>
      <c r="Z1398" s="77">
        <f t="shared" si="4477"/>
        <v>6.4624999704999977E-2</v>
      </c>
      <c r="AA1398" s="77">
        <f t="shared" si="4478"/>
        <v>5.2321923767311151E-3</v>
      </c>
      <c r="AB1398" s="79">
        <v>1</v>
      </c>
      <c r="AC1398" s="77">
        <f t="shared" si="4442"/>
        <v>8.499999955555556E-3</v>
      </c>
      <c r="AD1398" s="77">
        <f t="shared" ref="AD1398" si="4559">1-(1-AC1398)^(1/12)</f>
        <v>7.1110795759765644E-4</v>
      </c>
      <c r="AE1398" s="77">
        <f t="shared" si="4444"/>
        <v>2.5000000000000001E-3</v>
      </c>
      <c r="AF1398" s="77">
        <f t="shared" ref="AF1398" si="4560">1-(1-AE1398)^(1/12)</f>
        <v>2.0857243058891584E-4</v>
      </c>
      <c r="AH1398" t="s">
        <v>175</v>
      </c>
      <c r="AI1398" t="s">
        <v>180</v>
      </c>
      <c r="AJ1398" s="197" t="str">
        <f t="shared" si="4435"/>
        <v>Lifecycle_Opportunity_231</v>
      </c>
      <c r="AK1398">
        <v>231</v>
      </c>
      <c r="AL1398">
        <f>VLOOKUP($U1398,[2]Standard_Opportunity!$Q$1:$T$542,2,FALSE)</f>
        <v>0.99999997777777772</v>
      </c>
      <c r="AM1398">
        <f>VLOOKUP($U1398,[2]Standard_Opportunity!$Q$1:$T$542,3,FALSE)</f>
        <v>2.2222222284540294E-8</v>
      </c>
      <c r="AN1398">
        <f>VLOOKUP($U1398,[2]Standard_Opportunity!$Q$1:$T$542,4,FALSE)</f>
        <v>0</v>
      </c>
      <c r="AO1398" s="77">
        <f t="shared" si="4436"/>
        <v>1</v>
      </c>
      <c r="AP1398" s="77">
        <f t="shared" si="4446"/>
        <v>6.4624999704999977E-2</v>
      </c>
      <c r="AQ1398" s="77">
        <f t="shared" si="4437"/>
        <v>5.2321923767311151E-3</v>
      </c>
      <c r="AR1398" s="79">
        <v>0</v>
      </c>
      <c r="AS1398" s="77">
        <f t="shared" si="4447"/>
        <v>0</v>
      </c>
      <c r="AT1398" s="77">
        <f t="shared" si="4448"/>
        <v>0</v>
      </c>
      <c r="AU1398" s="77">
        <f t="shared" si="4449"/>
        <v>2.5000000000000001E-3</v>
      </c>
      <c r="AV1398" s="77">
        <f t="shared" si="4450"/>
        <v>2.0809499864316017E-4</v>
      </c>
    </row>
    <row r="1399" spans="1:48">
      <c r="A1399" t="s">
        <v>175</v>
      </c>
      <c r="B1399" t="s">
        <v>180</v>
      </c>
      <c r="C1399" s="197" t="str">
        <f t="shared" si="4471"/>
        <v>Lifecycle_Opportunity_230</v>
      </c>
      <c r="D1399">
        <v>230</v>
      </c>
      <c r="E1399">
        <f>VLOOKUP($D1399,'[2]LC Opportunity'!$Q$2:$U$542,2,FALSE)</f>
        <v>0</v>
      </c>
      <c r="F1399">
        <f>VLOOKUP($D1399,'[2]LC Opportunity'!$Q$2:$U$542,3,FALSE)</f>
        <v>0</v>
      </c>
      <c r="G1399">
        <f>VLOOKUP($D1399,'[2]LC Opportunity'!$Q$2:$U$542,4,FALSE)</f>
        <v>0</v>
      </c>
      <c r="H1399">
        <f>VLOOKUP($D1399,'[2]LC Opportunity'!$Q$2:$U$542,5,FALSE)</f>
        <v>0.99999999999999989</v>
      </c>
      <c r="I1399" s="77">
        <f t="shared" si="4431"/>
        <v>0.99999999999999989</v>
      </c>
      <c r="J1399" s="77">
        <f t="shared" si="4432"/>
        <v>7.1999999999999981E-2</v>
      </c>
      <c r="K1399" s="77">
        <f t="shared" si="4476"/>
        <v>5.8106552987937654E-3</v>
      </c>
      <c r="L1399" s="76">
        <v>0</v>
      </c>
      <c r="M1399" s="77">
        <f t="shared" si="4438"/>
        <v>0</v>
      </c>
      <c r="N1399" s="77">
        <f t="shared" si="4439"/>
        <v>0</v>
      </c>
      <c r="O1399" s="77">
        <f t="shared" si="4440"/>
        <v>4.9999999999999992E-3</v>
      </c>
      <c r="P1399" s="77">
        <f t="shared" si="4441"/>
        <v>4.1762458919303302E-4</v>
      </c>
      <c r="R1399" t="s">
        <v>177</v>
      </c>
      <c r="S1399" t="s">
        <v>180</v>
      </c>
      <c r="T1399" s="197" t="str">
        <f t="shared" si="4472"/>
        <v>Autopilot_Opportunity_230</v>
      </c>
      <c r="U1399">
        <v>230</v>
      </c>
      <c r="V1399">
        <f>VLOOKUP($U1399,'[2]AP Opportunity'!$Q$1:$T$542,2,FALSE)</f>
        <v>0.99999997777777772</v>
      </c>
      <c r="W1399">
        <f>VLOOKUP($U1399,'[2]AP Opportunity'!$Q$1:$T$542,3,FALSE)</f>
        <v>2.2222222284540294E-8</v>
      </c>
      <c r="X1399">
        <f>VLOOKUP($U1399,'[2]AP Opportunity'!$Q$1:$T$542,4,FALSE)</f>
        <v>0</v>
      </c>
      <c r="Y1399" s="77">
        <f t="shared" si="4473"/>
        <v>1</v>
      </c>
      <c r="Z1399" s="77">
        <f t="shared" si="4477"/>
        <v>6.4624999704999977E-2</v>
      </c>
      <c r="AA1399" s="77">
        <f t="shared" si="4478"/>
        <v>5.2321923767311151E-3</v>
      </c>
      <c r="AB1399" s="79">
        <v>1</v>
      </c>
      <c r="AC1399" s="77">
        <f t="shared" si="4442"/>
        <v>8.499999955555556E-3</v>
      </c>
      <c r="AD1399" s="77">
        <f t="shared" ref="AD1399" si="4561">1-(1-AC1399)^(1/12)</f>
        <v>7.1110795759765644E-4</v>
      </c>
      <c r="AE1399" s="77">
        <f t="shared" si="4444"/>
        <v>2.5000000000000001E-3</v>
      </c>
      <c r="AF1399" s="77">
        <f t="shared" ref="AF1399" si="4562">1-(1-AE1399)^(1/12)</f>
        <v>2.0857243058891584E-4</v>
      </c>
      <c r="AH1399" t="s">
        <v>175</v>
      </c>
      <c r="AI1399" t="s">
        <v>180</v>
      </c>
      <c r="AJ1399" s="197" t="str">
        <f t="shared" si="4435"/>
        <v>Lifecycle_Opportunity_230</v>
      </c>
      <c r="AK1399">
        <v>230</v>
      </c>
      <c r="AL1399">
        <f>VLOOKUP($U1399,[2]Standard_Opportunity!$Q$1:$T$542,2,FALSE)</f>
        <v>0.99999997777777772</v>
      </c>
      <c r="AM1399">
        <f>VLOOKUP($U1399,[2]Standard_Opportunity!$Q$1:$T$542,3,FALSE)</f>
        <v>2.2222222284540294E-8</v>
      </c>
      <c r="AN1399">
        <f>VLOOKUP($U1399,[2]Standard_Opportunity!$Q$1:$T$542,4,FALSE)</f>
        <v>0</v>
      </c>
      <c r="AO1399" s="77">
        <f t="shared" si="4436"/>
        <v>1</v>
      </c>
      <c r="AP1399" s="77">
        <f t="shared" si="4446"/>
        <v>6.4624999704999977E-2</v>
      </c>
      <c r="AQ1399" s="77">
        <f t="shared" si="4437"/>
        <v>5.2321923767311151E-3</v>
      </c>
      <c r="AR1399" s="79">
        <v>0</v>
      </c>
      <c r="AS1399" s="77">
        <f t="shared" si="4447"/>
        <v>0</v>
      </c>
      <c r="AT1399" s="77">
        <f t="shared" si="4448"/>
        <v>0</v>
      </c>
      <c r="AU1399" s="77">
        <f t="shared" si="4449"/>
        <v>2.5000000000000001E-3</v>
      </c>
      <c r="AV1399" s="77">
        <f t="shared" si="4450"/>
        <v>2.0809499864316017E-4</v>
      </c>
    </row>
    <row r="1400" spans="1:48">
      <c r="A1400" t="s">
        <v>175</v>
      </c>
      <c r="B1400" t="s">
        <v>180</v>
      </c>
      <c r="C1400" s="197" t="str">
        <f t="shared" si="4471"/>
        <v>Lifecycle_Opportunity_229</v>
      </c>
      <c r="D1400">
        <v>229</v>
      </c>
      <c r="E1400">
        <f>VLOOKUP($D1400,'[2]LC Opportunity'!$Q$2:$U$542,2,FALSE)</f>
        <v>0</v>
      </c>
      <c r="F1400">
        <f>VLOOKUP($D1400,'[2]LC Opportunity'!$Q$2:$U$542,3,FALSE)</f>
        <v>0</v>
      </c>
      <c r="G1400">
        <f>VLOOKUP($D1400,'[2]LC Opportunity'!$Q$2:$U$542,4,FALSE)</f>
        <v>0</v>
      </c>
      <c r="H1400">
        <f>VLOOKUP($D1400,'[2]LC Opportunity'!$Q$2:$U$542,5,FALSE)</f>
        <v>0.99999999999999989</v>
      </c>
      <c r="I1400" s="77">
        <f t="shared" si="4431"/>
        <v>0.99999999999999989</v>
      </c>
      <c r="J1400" s="77">
        <f t="shared" si="4432"/>
        <v>7.1999999999999981E-2</v>
      </c>
      <c r="K1400" s="77">
        <f t="shared" si="4476"/>
        <v>5.8106552987937654E-3</v>
      </c>
      <c r="L1400" s="76">
        <v>0</v>
      </c>
      <c r="M1400" s="77">
        <f t="shared" si="4438"/>
        <v>0</v>
      </c>
      <c r="N1400" s="77">
        <f t="shared" si="4439"/>
        <v>0</v>
      </c>
      <c r="O1400" s="77">
        <f t="shared" si="4440"/>
        <v>4.9999999999999992E-3</v>
      </c>
      <c r="P1400" s="77">
        <f t="shared" si="4441"/>
        <v>4.1762458919303302E-4</v>
      </c>
      <c r="R1400" t="s">
        <v>177</v>
      </c>
      <c r="S1400" t="s">
        <v>180</v>
      </c>
      <c r="T1400" s="197" t="str">
        <f t="shared" si="4472"/>
        <v>Autopilot_Opportunity_229</v>
      </c>
      <c r="U1400">
        <v>229</v>
      </c>
      <c r="V1400">
        <f>VLOOKUP($U1400,'[2]AP Opportunity'!$Q$1:$T$542,2,FALSE)</f>
        <v>0.99999997777777772</v>
      </c>
      <c r="W1400">
        <f>VLOOKUP($U1400,'[2]AP Opportunity'!$Q$1:$T$542,3,FALSE)</f>
        <v>2.2222222284540294E-8</v>
      </c>
      <c r="X1400">
        <f>VLOOKUP($U1400,'[2]AP Opportunity'!$Q$1:$T$542,4,FALSE)</f>
        <v>0</v>
      </c>
      <c r="Y1400" s="77">
        <f t="shared" si="4473"/>
        <v>1</v>
      </c>
      <c r="Z1400" s="77">
        <f t="shared" si="4477"/>
        <v>6.4624999704999977E-2</v>
      </c>
      <c r="AA1400" s="77">
        <f t="shared" si="4478"/>
        <v>5.2321923767311151E-3</v>
      </c>
      <c r="AB1400" s="79">
        <v>1</v>
      </c>
      <c r="AC1400" s="77">
        <f t="shared" si="4442"/>
        <v>8.499999955555556E-3</v>
      </c>
      <c r="AD1400" s="77">
        <f t="shared" ref="AD1400" si="4563">1-(1-AC1400)^(1/12)</f>
        <v>7.1110795759765644E-4</v>
      </c>
      <c r="AE1400" s="77">
        <f t="shared" si="4444"/>
        <v>2.5000000000000001E-3</v>
      </c>
      <c r="AF1400" s="77">
        <f t="shared" ref="AF1400" si="4564">1-(1-AE1400)^(1/12)</f>
        <v>2.0857243058891584E-4</v>
      </c>
      <c r="AH1400" t="s">
        <v>175</v>
      </c>
      <c r="AI1400" t="s">
        <v>180</v>
      </c>
      <c r="AJ1400" s="197" t="str">
        <f t="shared" si="4435"/>
        <v>Lifecycle_Opportunity_229</v>
      </c>
      <c r="AK1400">
        <v>229</v>
      </c>
      <c r="AL1400">
        <f>VLOOKUP($U1400,[2]Standard_Opportunity!$Q$1:$T$542,2,FALSE)</f>
        <v>0.99999997777777772</v>
      </c>
      <c r="AM1400">
        <f>VLOOKUP($U1400,[2]Standard_Opportunity!$Q$1:$T$542,3,FALSE)</f>
        <v>2.2222222284540294E-8</v>
      </c>
      <c r="AN1400">
        <f>VLOOKUP($U1400,[2]Standard_Opportunity!$Q$1:$T$542,4,FALSE)</f>
        <v>0</v>
      </c>
      <c r="AO1400" s="77">
        <f t="shared" si="4436"/>
        <v>1</v>
      </c>
      <c r="AP1400" s="77">
        <f t="shared" si="4446"/>
        <v>6.4624999704999977E-2</v>
      </c>
      <c r="AQ1400" s="77">
        <f t="shared" si="4437"/>
        <v>5.2321923767311151E-3</v>
      </c>
      <c r="AR1400" s="79">
        <v>0</v>
      </c>
      <c r="AS1400" s="77">
        <f t="shared" si="4447"/>
        <v>0</v>
      </c>
      <c r="AT1400" s="77">
        <f t="shared" si="4448"/>
        <v>0</v>
      </c>
      <c r="AU1400" s="77">
        <f t="shared" si="4449"/>
        <v>2.5000000000000001E-3</v>
      </c>
      <c r="AV1400" s="77">
        <f t="shared" si="4450"/>
        <v>2.0809499864316017E-4</v>
      </c>
    </row>
    <row r="1401" spans="1:48">
      <c r="A1401" t="s">
        <v>175</v>
      </c>
      <c r="B1401" t="s">
        <v>180</v>
      </c>
      <c r="C1401" s="197" t="str">
        <f t="shared" si="4471"/>
        <v>Lifecycle_Opportunity_228</v>
      </c>
      <c r="D1401">
        <v>228</v>
      </c>
      <c r="E1401">
        <f>VLOOKUP($D1401,'[2]LC Opportunity'!$Q$2:$U$542,2,FALSE)</f>
        <v>0</v>
      </c>
      <c r="F1401">
        <f>VLOOKUP($D1401,'[2]LC Opportunity'!$Q$2:$U$542,3,FALSE)</f>
        <v>0</v>
      </c>
      <c r="G1401">
        <f>VLOOKUP($D1401,'[2]LC Opportunity'!$Q$2:$U$542,4,FALSE)</f>
        <v>0</v>
      </c>
      <c r="H1401">
        <f>VLOOKUP($D1401,'[2]LC Opportunity'!$Q$2:$U$542,5,FALSE)</f>
        <v>0.99999999999999989</v>
      </c>
      <c r="I1401" s="77">
        <f t="shared" si="4431"/>
        <v>0.99999999999999989</v>
      </c>
      <c r="J1401" s="77">
        <f t="shared" si="4432"/>
        <v>7.1999999999999981E-2</v>
      </c>
      <c r="K1401" s="77">
        <f t="shared" si="4476"/>
        <v>5.8106552987937654E-3</v>
      </c>
      <c r="L1401" s="76">
        <v>0</v>
      </c>
      <c r="M1401" s="77">
        <f t="shared" si="4438"/>
        <v>0</v>
      </c>
      <c r="N1401" s="77">
        <f t="shared" si="4439"/>
        <v>0</v>
      </c>
      <c r="O1401" s="77">
        <f t="shared" si="4440"/>
        <v>4.9999999999999992E-3</v>
      </c>
      <c r="P1401" s="77">
        <f t="shared" si="4441"/>
        <v>4.1762458919303302E-4</v>
      </c>
      <c r="R1401" t="s">
        <v>177</v>
      </c>
      <c r="S1401" t="s">
        <v>180</v>
      </c>
      <c r="T1401" s="197" t="str">
        <f t="shared" si="4472"/>
        <v>Autopilot_Opportunity_228</v>
      </c>
      <c r="U1401">
        <v>228</v>
      </c>
      <c r="V1401">
        <f>VLOOKUP($U1401,'[2]AP Opportunity'!$Q$1:$T$542,2,FALSE)</f>
        <v>0.99999997777777772</v>
      </c>
      <c r="W1401">
        <f>VLOOKUP($U1401,'[2]AP Opportunity'!$Q$1:$T$542,3,FALSE)</f>
        <v>2.2222222284540294E-8</v>
      </c>
      <c r="X1401">
        <f>VLOOKUP($U1401,'[2]AP Opportunity'!$Q$1:$T$542,4,FALSE)</f>
        <v>0</v>
      </c>
      <c r="Y1401" s="77">
        <f t="shared" si="4473"/>
        <v>1</v>
      </c>
      <c r="Z1401" s="77">
        <f t="shared" si="4477"/>
        <v>6.4624999704999977E-2</v>
      </c>
      <c r="AA1401" s="77">
        <f t="shared" si="4478"/>
        <v>5.2321923767311151E-3</v>
      </c>
      <c r="AB1401" s="79">
        <v>1</v>
      </c>
      <c r="AC1401" s="77">
        <f t="shared" si="4442"/>
        <v>8.499999955555556E-3</v>
      </c>
      <c r="AD1401" s="77">
        <f t="shared" ref="AD1401" si="4565">1-(1-AC1401)^(1/12)</f>
        <v>7.1110795759765644E-4</v>
      </c>
      <c r="AE1401" s="77">
        <f t="shared" si="4444"/>
        <v>2.5000000000000001E-3</v>
      </c>
      <c r="AF1401" s="77">
        <f t="shared" ref="AF1401" si="4566">1-(1-AE1401)^(1/12)</f>
        <v>2.0857243058891584E-4</v>
      </c>
      <c r="AH1401" t="s">
        <v>175</v>
      </c>
      <c r="AI1401" t="s">
        <v>180</v>
      </c>
      <c r="AJ1401" s="197" t="str">
        <f t="shared" si="4435"/>
        <v>Lifecycle_Opportunity_228</v>
      </c>
      <c r="AK1401">
        <v>228</v>
      </c>
      <c r="AL1401">
        <f>VLOOKUP($U1401,[2]Standard_Opportunity!$Q$1:$T$542,2,FALSE)</f>
        <v>0.99999997777777772</v>
      </c>
      <c r="AM1401">
        <f>VLOOKUP($U1401,[2]Standard_Opportunity!$Q$1:$T$542,3,FALSE)</f>
        <v>2.2222222284540294E-8</v>
      </c>
      <c r="AN1401">
        <f>VLOOKUP($U1401,[2]Standard_Opportunity!$Q$1:$T$542,4,FALSE)</f>
        <v>0</v>
      </c>
      <c r="AO1401" s="77">
        <f t="shared" si="4436"/>
        <v>1</v>
      </c>
      <c r="AP1401" s="77">
        <f t="shared" si="4446"/>
        <v>6.4624999704999977E-2</v>
      </c>
      <c r="AQ1401" s="77">
        <f t="shared" si="4437"/>
        <v>5.2321923767311151E-3</v>
      </c>
      <c r="AR1401" s="79">
        <v>0</v>
      </c>
      <c r="AS1401" s="77">
        <f t="shared" si="4447"/>
        <v>0</v>
      </c>
      <c r="AT1401" s="77">
        <f t="shared" si="4448"/>
        <v>0</v>
      </c>
      <c r="AU1401" s="77">
        <f t="shared" si="4449"/>
        <v>2.5000000000000001E-3</v>
      </c>
      <c r="AV1401" s="77">
        <f t="shared" si="4450"/>
        <v>2.0809499864316017E-4</v>
      </c>
    </row>
    <row r="1402" spans="1:48">
      <c r="A1402" t="s">
        <v>175</v>
      </c>
      <c r="B1402" t="s">
        <v>180</v>
      </c>
      <c r="C1402" s="197" t="str">
        <f t="shared" si="4471"/>
        <v>Lifecycle_Opportunity_227</v>
      </c>
      <c r="D1402">
        <v>227</v>
      </c>
      <c r="E1402">
        <f>VLOOKUP($D1402,'[2]LC Opportunity'!$Q$2:$U$542,2,FALSE)</f>
        <v>0</v>
      </c>
      <c r="F1402">
        <f>VLOOKUP($D1402,'[2]LC Opportunity'!$Q$2:$U$542,3,FALSE)</f>
        <v>0</v>
      </c>
      <c r="G1402">
        <f>VLOOKUP($D1402,'[2]LC Opportunity'!$Q$2:$U$542,4,FALSE)</f>
        <v>0</v>
      </c>
      <c r="H1402">
        <f>VLOOKUP($D1402,'[2]LC Opportunity'!$Q$2:$U$542,5,FALSE)</f>
        <v>0.99999999999999989</v>
      </c>
      <c r="I1402" s="77">
        <f t="shared" si="4431"/>
        <v>0.99999999999999989</v>
      </c>
      <c r="J1402" s="77">
        <f t="shared" si="4432"/>
        <v>7.1999999999999981E-2</v>
      </c>
      <c r="K1402" s="77">
        <f t="shared" si="4476"/>
        <v>5.8106552987937654E-3</v>
      </c>
      <c r="L1402" s="76">
        <v>0</v>
      </c>
      <c r="M1402" s="77">
        <f t="shared" si="4438"/>
        <v>0</v>
      </c>
      <c r="N1402" s="77">
        <f t="shared" si="4439"/>
        <v>0</v>
      </c>
      <c r="O1402" s="77">
        <f t="shared" si="4440"/>
        <v>4.9999999999999992E-3</v>
      </c>
      <c r="P1402" s="77">
        <f t="shared" si="4441"/>
        <v>4.1762458919303302E-4</v>
      </c>
      <c r="R1402" t="s">
        <v>177</v>
      </c>
      <c r="S1402" t="s">
        <v>180</v>
      </c>
      <c r="T1402" s="197" t="str">
        <f t="shared" si="4472"/>
        <v>Autopilot_Opportunity_227</v>
      </c>
      <c r="U1402">
        <v>227</v>
      </c>
      <c r="V1402">
        <f>VLOOKUP($U1402,'[2]AP Opportunity'!$Q$1:$T$542,2,FALSE)</f>
        <v>0.99999997777777772</v>
      </c>
      <c r="W1402">
        <f>VLOOKUP($U1402,'[2]AP Opportunity'!$Q$1:$T$542,3,FALSE)</f>
        <v>2.2222222284540294E-8</v>
      </c>
      <c r="X1402">
        <f>VLOOKUP($U1402,'[2]AP Opportunity'!$Q$1:$T$542,4,FALSE)</f>
        <v>0</v>
      </c>
      <c r="Y1402" s="77">
        <f t="shared" si="4473"/>
        <v>1</v>
      </c>
      <c r="Z1402" s="77">
        <f t="shared" si="4477"/>
        <v>6.4624999704999977E-2</v>
      </c>
      <c r="AA1402" s="77">
        <f t="shared" si="4478"/>
        <v>5.2321923767311151E-3</v>
      </c>
      <c r="AB1402" s="79">
        <v>1</v>
      </c>
      <c r="AC1402" s="77">
        <f t="shared" si="4442"/>
        <v>8.499999955555556E-3</v>
      </c>
      <c r="AD1402" s="77">
        <f t="shared" ref="AD1402" si="4567">1-(1-AC1402)^(1/12)</f>
        <v>7.1110795759765644E-4</v>
      </c>
      <c r="AE1402" s="77">
        <f t="shared" si="4444"/>
        <v>2.5000000000000001E-3</v>
      </c>
      <c r="AF1402" s="77">
        <f t="shared" ref="AF1402" si="4568">1-(1-AE1402)^(1/12)</f>
        <v>2.0857243058891584E-4</v>
      </c>
      <c r="AH1402" t="s">
        <v>175</v>
      </c>
      <c r="AI1402" t="s">
        <v>180</v>
      </c>
      <c r="AJ1402" s="197" t="str">
        <f t="shared" si="4435"/>
        <v>Lifecycle_Opportunity_227</v>
      </c>
      <c r="AK1402">
        <v>227</v>
      </c>
      <c r="AL1402">
        <f>VLOOKUP($U1402,[2]Standard_Opportunity!$Q$1:$T$542,2,FALSE)</f>
        <v>0.99999997777777772</v>
      </c>
      <c r="AM1402">
        <f>VLOOKUP($U1402,[2]Standard_Opportunity!$Q$1:$T$542,3,FALSE)</f>
        <v>2.2222222284540294E-8</v>
      </c>
      <c r="AN1402">
        <f>VLOOKUP($U1402,[2]Standard_Opportunity!$Q$1:$T$542,4,FALSE)</f>
        <v>0</v>
      </c>
      <c r="AO1402" s="77">
        <f t="shared" si="4436"/>
        <v>1</v>
      </c>
      <c r="AP1402" s="77">
        <f t="shared" si="4446"/>
        <v>6.4624999704999977E-2</v>
      </c>
      <c r="AQ1402" s="77">
        <f t="shared" si="4437"/>
        <v>5.2321923767311151E-3</v>
      </c>
      <c r="AR1402" s="79">
        <v>0</v>
      </c>
      <c r="AS1402" s="77">
        <f t="shared" si="4447"/>
        <v>0</v>
      </c>
      <c r="AT1402" s="77">
        <f t="shared" si="4448"/>
        <v>0</v>
      </c>
      <c r="AU1402" s="77">
        <f t="shared" si="4449"/>
        <v>2.5000000000000001E-3</v>
      </c>
      <c r="AV1402" s="77">
        <f t="shared" si="4450"/>
        <v>2.0809499864316017E-4</v>
      </c>
    </row>
    <row r="1403" spans="1:48">
      <c r="A1403" t="s">
        <v>175</v>
      </c>
      <c r="B1403" t="s">
        <v>180</v>
      </c>
      <c r="C1403" s="197" t="str">
        <f t="shared" si="4471"/>
        <v>Lifecycle_Opportunity_226</v>
      </c>
      <c r="D1403">
        <v>226</v>
      </c>
      <c r="E1403">
        <f>VLOOKUP($D1403,'[2]LC Opportunity'!$Q$2:$U$542,2,FALSE)</f>
        <v>0</v>
      </c>
      <c r="F1403">
        <f>VLOOKUP($D1403,'[2]LC Opportunity'!$Q$2:$U$542,3,FALSE)</f>
        <v>0</v>
      </c>
      <c r="G1403">
        <f>VLOOKUP($D1403,'[2]LC Opportunity'!$Q$2:$U$542,4,FALSE)</f>
        <v>0</v>
      </c>
      <c r="H1403">
        <f>VLOOKUP($D1403,'[2]LC Opportunity'!$Q$2:$U$542,5,FALSE)</f>
        <v>0.99999999999999989</v>
      </c>
      <c r="I1403" s="77">
        <f t="shared" si="4431"/>
        <v>0.99999999999999989</v>
      </c>
      <c r="J1403" s="77">
        <f t="shared" si="4432"/>
        <v>7.1999999999999981E-2</v>
      </c>
      <c r="K1403" s="77">
        <f t="shared" si="4476"/>
        <v>5.8106552987937654E-3</v>
      </c>
      <c r="L1403" s="76">
        <v>0</v>
      </c>
      <c r="M1403" s="77">
        <f t="shared" si="4438"/>
        <v>0</v>
      </c>
      <c r="N1403" s="77">
        <f t="shared" si="4439"/>
        <v>0</v>
      </c>
      <c r="O1403" s="77">
        <f t="shared" si="4440"/>
        <v>4.9999999999999992E-3</v>
      </c>
      <c r="P1403" s="77">
        <f t="shared" si="4441"/>
        <v>4.1762458919303302E-4</v>
      </c>
      <c r="R1403" t="s">
        <v>177</v>
      </c>
      <c r="S1403" t="s">
        <v>180</v>
      </c>
      <c r="T1403" s="197" t="str">
        <f t="shared" si="4472"/>
        <v>Autopilot_Opportunity_226</v>
      </c>
      <c r="U1403">
        <v>226</v>
      </c>
      <c r="V1403">
        <f>VLOOKUP($U1403,'[2]AP Opportunity'!$Q$1:$T$542,2,FALSE)</f>
        <v>0.99999997777777772</v>
      </c>
      <c r="W1403">
        <f>VLOOKUP($U1403,'[2]AP Opportunity'!$Q$1:$T$542,3,FALSE)</f>
        <v>2.2222222284540294E-8</v>
      </c>
      <c r="X1403">
        <f>VLOOKUP($U1403,'[2]AP Opportunity'!$Q$1:$T$542,4,FALSE)</f>
        <v>0</v>
      </c>
      <c r="Y1403" s="77">
        <f t="shared" si="4473"/>
        <v>1</v>
      </c>
      <c r="Z1403" s="77">
        <f t="shared" si="4477"/>
        <v>6.4624999704999977E-2</v>
      </c>
      <c r="AA1403" s="77">
        <f t="shared" si="4478"/>
        <v>5.2321923767311151E-3</v>
      </c>
      <c r="AB1403" s="79">
        <v>1</v>
      </c>
      <c r="AC1403" s="77">
        <f t="shared" si="4442"/>
        <v>8.499999955555556E-3</v>
      </c>
      <c r="AD1403" s="77">
        <f t="shared" ref="AD1403" si="4569">1-(1-AC1403)^(1/12)</f>
        <v>7.1110795759765644E-4</v>
      </c>
      <c r="AE1403" s="77">
        <f t="shared" si="4444"/>
        <v>2.5000000000000001E-3</v>
      </c>
      <c r="AF1403" s="77">
        <f t="shared" ref="AF1403" si="4570">1-(1-AE1403)^(1/12)</f>
        <v>2.0857243058891584E-4</v>
      </c>
      <c r="AH1403" t="s">
        <v>175</v>
      </c>
      <c r="AI1403" t="s">
        <v>180</v>
      </c>
      <c r="AJ1403" s="197" t="str">
        <f t="shared" si="4435"/>
        <v>Lifecycle_Opportunity_226</v>
      </c>
      <c r="AK1403">
        <v>226</v>
      </c>
      <c r="AL1403">
        <f>VLOOKUP($U1403,[2]Standard_Opportunity!$Q$1:$T$542,2,FALSE)</f>
        <v>0.99999997777777772</v>
      </c>
      <c r="AM1403">
        <f>VLOOKUP($U1403,[2]Standard_Opportunity!$Q$1:$T$542,3,FALSE)</f>
        <v>2.2222222284540294E-8</v>
      </c>
      <c r="AN1403">
        <f>VLOOKUP($U1403,[2]Standard_Opportunity!$Q$1:$T$542,4,FALSE)</f>
        <v>0</v>
      </c>
      <c r="AO1403" s="77">
        <f t="shared" si="4436"/>
        <v>1</v>
      </c>
      <c r="AP1403" s="77">
        <f t="shared" si="4446"/>
        <v>6.4624999704999977E-2</v>
      </c>
      <c r="AQ1403" s="77">
        <f t="shared" si="4437"/>
        <v>5.2321923767311151E-3</v>
      </c>
      <c r="AR1403" s="79">
        <v>0</v>
      </c>
      <c r="AS1403" s="77">
        <f t="shared" si="4447"/>
        <v>0</v>
      </c>
      <c r="AT1403" s="77">
        <f t="shared" si="4448"/>
        <v>0</v>
      </c>
      <c r="AU1403" s="77">
        <f t="shared" si="4449"/>
        <v>2.5000000000000001E-3</v>
      </c>
      <c r="AV1403" s="77">
        <f t="shared" si="4450"/>
        <v>2.0809499864316017E-4</v>
      </c>
    </row>
    <row r="1404" spans="1:48">
      <c r="A1404" t="s">
        <v>175</v>
      </c>
      <c r="B1404" t="s">
        <v>180</v>
      </c>
      <c r="C1404" s="197" t="str">
        <f t="shared" si="4471"/>
        <v>Lifecycle_Opportunity_225</v>
      </c>
      <c r="D1404">
        <v>225</v>
      </c>
      <c r="E1404">
        <f>VLOOKUP($D1404,'[2]LC Opportunity'!$Q$2:$U$542,2,FALSE)</f>
        <v>0</v>
      </c>
      <c r="F1404">
        <f>VLOOKUP($D1404,'[2]LC Opportunity'!$Q$2:$U$542,3,FALSE)</f>
        <v>0</v>
      </c>
      <c r="G1404">
        <f>VLOOKUP($D1404,'[2]LC Opportunity'!$Q$2:$U$542,4,FALSE)</f>
        <v>0</v>
      </c>
      <c r="H1404">
        <f>VLOOKUP($D1404,'[2]LC Opportunity'!$Q$2:$U$542,5,FALSE)</f>
        <v>0.99999999999999989</v>
      </c>
      <c r="I1404" s="77">
        <f t="shared" si="4431"/>
        <v>0.99999999999999989</v>
      </c>
      <c r="J1404" s="77">
        <f t="shared" si="4432"/>
        <v>7.1999999999999981E-2</v>
      </c>
      <c r="K1404" s="77">
        <f t="shared" si="4476"/>
        <v>5.8106552987937654E-3</v>
      </c>
      <c r="L1404" s="76">
        <v>0</v>
      </c>
      <c r="M1404" s="77">
        <f t="shared" si="4438"/>
        <v>0</v>
      </c>
      <c r="N1404" s="77">
        <f t="shared" si="4439"/>
        <v>0</v>
      </c>
      <c r="O1404" s="77">
        <f t="shared" si="4440"/>
        <v>4.9999999999999992E-3</v>
      </c>
      <c r="P1404" s="77">
        <f t="shared" si="4441"/>
        <v>4.1762458919303302E-4</v>
      </c>
      <c r="R1404" t="s">
        <v>177</v>
      </c>
      <c r="S1404" t="s">
        <v>180</v>
      </c>
      <c r="T1404" s="197" t="str">
        <f t="shared" si="4472"/>
        <v>Autopilot_Opportunity_225</v>
      </c>
      <c r="U1404">
        <v>225</v>
      </c>
      <c r="V1404">
        <f>VLOOKUP($U1404,'[2]AP Opportunity'!$Q$1:$T$542,2,FALSE)</f>
        <v>0.99999997777777772</v>
      </c>
      <c r="W1404">
        <f>VLOOKUP($U1404,'[2]AP Opportunity'!$Q$1:$T$542,3,FALSE)</f>
        <v>2.2222222284540294E-8</v>
      </c>
      <c r="X1404">
        <f>VLOOKUP($U1404,'[2]AP Opportunity'!$Q$1:$T$542,4,FALSE)</f>
        <v>0</v>
      </c>
      <c r="Y1404" s="77">
        <f t="shared" si="4473"/>
        <v>1</v>
      </c>
      <c r="Z1404" s="77">
        <f t="shared" si="4477"/>
        <v>6.4624999704999977E-2</v>
      </c>
      <c r="AA1404" s="77">
        <f t="shared" si="4478"/>
        <v>5.2321923767311151E-3</v>
      </c>
      <c r="AB1404" s="79">
        <v>1</v>
      </c>
      <c r="AC1404" s="77">
        <f t="shared" si="4442"/>
        <v>8.499999955555556E-3</v>
      </c>
      <c r="AD1404" s="77">
        <f t="shared" ref="AD1404" si="4571">1-(1-AC1404)^(1/12)</f>
        <v>7.1110795759765644E-4</v>
      </c>
      <c r="AE1404" s="77">
        <f t="shared" si="4444"/>
        <v>2.5000000000000001E-3</v>
      </c>
      <c r="AF1404" s="77">
        <f t="shared" ref="AF1404" si="4572">1-(1-AE1404)^(1/12)</f>
        <v>2.0857243058891584E-4</v>
      </c>
      <c r="AH1404" t="s">
        <v>175</v>
      </c>
      <c r="AI1404" t="s">
        <v>180</v>
      </c>
      <c r="AJ1404" s="197" t="str">
        <f t="shared" si="4435"/>
        <v>Lifecycle_Opportunity_225</v>
      </c>
      <c r="AK1404">
        <v>225</v>
      </c>
      <c r="AL1404">
        <f>VLOOKUP($U1404,[2]Standard_Opportunity!$Q$1:$T$542,2,FALSE)</f>
        <v>0.99999997777777772</v>
      </c>
      <c r="AM1404">
        <f>VLOOKUP($U1404,[2]Standard_Opportunity!$Q$1:$T$542,3,FALSE)</f>
        <v>2.2222222284540294E-8</v>
      </c>
      <c r="AN1404">
        <f>VLOOKUP($U1404,[2]Standard_Opportunity!$Q$1:$T$542,4,FALSE)</f>
        <v>0</v>
      </c>
      <c r="AO1404" s="77">
        <f t="shared" si="4436"/>
        <v>1</v>
      </c>
      <c r="AP1404" s="77">
        <f t="shared" si="4446"/>
        <v>6.4624999704999977E-2</v>
      </c>
      <c r="AQ1404" s="77">
        <f t="shared" si="4437"/>
        <v>5.2321923767311151E-3</v>
      </c>
      <c r="AR1404" s="79">
        <v>0</v>
      </c>
      <c r="AS1404" s="77">
        <f t="shared" si="4447"/>
        <v>0</v>
      </c>
      <c r="AT1404" s="77">
        <f t="shared" si="4448"/>
        <v>0</v>
      </c>
      <c r="AU1404" s="77">
        <f t="shared" si="4449"/>
        <v>2.5000000000000001E-3</v>
      </c>
      <c r="AV1404" s="77">
        <f t="shared" si="4450"/>
        <v>2.0809499864316017E-4</v>
      </c>
    </row>
    <row r="1405" spans="1:48">
      <c r="A1405" t="s">
        <v>175</v>
      </c>
      <c r="B1405" t="s">
        <v>180</v>
      </c>
      <c r="C1405" s="197" t="str">
        <f t="shared" si="4471"/>
        <v>Lifecycle_Opportunity_224</v>
      </c>
      <c r="D1405">
        <v>224</v>
      </c>
      <c r="E1405">
        <f>VLOOKUP($D1405,'[2]LC Opportunity'!$Q$2:$U$542,2,FALSE)</f>
        <v>0</v>
      </c>
      <c r="F1405">
        <f>VLOOKUP($D1405,'[2]LC Opportunity'!$Q$2:$U$542,3,FALSE)</f>
        <v>0</v>
      </c>
      <c r="G1405">
        <f>VLOOKUP($D1405,'[2]LC Opportunity'!$Q$2:$U$542,4,FALSE)</f>
        <v>0</v>
      </c>
      <c r="H1405">
        <f>VLOOKUP($D1405,'[2]LC Opportunity'!$Q$2:$U$542,5,FALSE)</f>
        <v>0.99999999999999989</v>
      </c>
      <c r="I1405" s="77">
        <f t="shared" si="4431"/>
        <v>0.99999999999999989</v>
      </c>
      <c r="J1405" s="77">
        <f t="shared" si="4432"/>
        <v>7.1999999999999981E-2</v>
      </c>
      <c r="K1405" s="77">
        <f t="shared" si="4476"/>
        <v>5.8106552987937654E-3</v>
      </c>
      <c r="L1405" s="76">
        <v>0</v>
      </c>
      <c r="M1405" s="77">
        <f t="shared" si="4438"/>
        <v>0</v>
      </c>
      <c r="N1405" s="77">
        <f t="shared" si="4439"/>
        <v>0</v>
      </c>
      <c r="O1405" s="77">
        <f t="shared" si="4440"/>
        <v>4.9999999999999992E-3</v>
      </c>
      <c r="P1405" s="77">
        <f t="shared" si="4441"/>
        <v>4.1762458919303302E-4</v>
      </c>
      <c r="R1405" t="s">
        <v>177</v>
      </c>
      <c r="S1405" t="s">
        <v>180</v>
      </c>
      <c r="T1405" s="197" t="str">
        <f t="shared" si="4472"/>
        <v>Autopilot_Opportunity_224</v>
      </c>
      <c r="U1405">
        <v>224</v>
      </c>
      <c r="V1405">
        <f>VLOOKUP($U1405,'[2]AP Opportunity'!$Q$1:$T$542,2,FALSE)</f>
        <v>0.99999997777777772</v>
      </c>
      <c r="W1405">
        <f>VLOOKUP($U1405,'[2]AP Opportunity'!$Q$1:$T$542,3,FALSE)</f>
        <v>2.2222222284540294E-8</v>
      </c>
      <c r="X1405">
        <f>VLOOKUP($U1405,'[2]AP Opportunity'!$Q$1:$T$542,4,FALSE)</f>
        <v>0</v>
      </c>
      <c r="Y1405" s="77">
        <f t="shared" si="4473"/>
        <v>1</v>
      </c>
      <c r="Z1405" s="77">
        <f t="shared" si="4477"/>
        <v>6.4624999704999977E-2</v>
      </c>
      <c r="AA1405" s="77">
        <f t="shared" si="4478"/>
        <v>5.2321923767311151E-3</v>
      </c>
      <c r="AB1405" s="79">
        <v>1</v>
      </c>
      <c r="AC1405" s="77">
        <f t="shared" si="4442"/>
        <v>8.499999955555556E-3</v>
      </c>
      <c r="AD1405" s="77">
        <f t="shared" ref="AD1405" si="4573">1-(1-AC1405)^(1/12)</f>
        <v>7.1110795759765644E-4</v>
      </c>
      <c r="AE1405" s="77">
        <f t="shared" si="4444"/>
        <v>2.5000000000000001E-3</v>
      </c>
      <c r="AF1405" s="77">
        <f t="shared" ref="AF1405" si="4574">1-(1-AE1405)^(1/12)</f>
        <v>2.0857243058891584E-4</v>
      </c>
      <c r="AH1405" t="s">
        <v>175</v>
      </c>
      <c r="AI1405" t="s">
        <v>180</v>
      </c>
      <c r="AJ1405" s="197" t="str">
        <f t="shared" si="4435"/>
        <v>Lifecycle_Opportunity_224</v>
      </c>
      <c r="AK1405">
        <v>224</v>
      </c>
      <c r="AL1405">
        <f>VLOOKUP($U1405,[2]Standard_Opportunity!$Q$1:$T$542,2,FALSE)</f>
        <v>0.99999997777777772</v>
      </c>
      <c r="AM1405">
        <f>VLOOKUP($U1405,[2]Standard_Opportunity!$Q$1:$T$542,3,FALSE)</f>
        <v>2.2222222284540294E-8</v>
      </c>
      <c r="AN1405">
        <f>VLOOKUP($U1405,[2]Standard_Opportunity!$Q$1:$T$542,4,FALSE)</f>
        <v>0</v>
      </c>
      <c r="AO1405" s="77">
        <f t="shared" si="4436"/>
        <v>1</v>
      </c>
      <c r="AP1405" s="77">
        <f t="shared" si="4446"/>
        <v>6.4624999704999977E-2</v>
      </c>
      <c r="AQ1405" s="77">
        <f t="shared" si="4437"/>
        <v>5.2321923767311151E-3</v>
      </c>
      <c r="AR1405" s="79">
        <v>0</v>
      </c>
      <c r="AS1405" s="77">
        <f t="shared" si="4447"/>
        <v>0</v>
      </c>
      <c r="AT1405" s="77">
        <f t="shared" si="4448"/>
        <v>0</v>
      </c>
      <c r="AU1405" s="77">
        <f t="shared" si="4449"/>
        <v>2.5000000000000001E-3</v>
      </c>
      <c r="AV1405" s="77">
        <f t="shared" si="4450"/>
        <v>2.0809499864316017E-4</v>
      </c>
    </row>
    <row r="1406" spans="1:48">
      <c r="A1406" t="s">
        <v>175</v>
      </c>
      <c r="B1406" t="s">
        <v>180</v>
      </c>
      <c r="C1406" s="197" t="str">
        <f t="shared" si="4471"/>
        <v>Lifecycle_Opportunity_223</v>
      </c>
      <c r="D1406">
        <v>223</v>
      </c>
      <c r="E1406">
        <f>VLOOKUP($D1406,'[2]LC Opportunity'!$Q$2:$U$542,2,FALSE)</f>
        <v>0</v>
      </c>
      <c r="F1406">
        <f>VLOOKUP($D1406,'[2]LC Opportunity'!$Q$2:$U$542,3,FALSE)</f>
        <v>0</v>
      </c>
      <c r="G1406">
        <f>VLOOKUP($D1406,'[2]LC Opportunity'!$Q$2:$U$542,4,FALSE)</f>
        <v>0</v>
      </c>
      <c r="H1406">
        <f>VLOOKUP($D1406,'[2]LC Opportunity'!$Q$2:$U$542,5,FALSE)</f>
        <v>0.99999999999999989</v>
      </c>
      <c r="I1406" s="77">
        <f t="shared" si="4431"/>
        <v>0.99999999999999989</v>
      </c>
      <c r="J1406" s="77">
        <f t="shared" si="4432"/>
        <v>7.1999999999999981E-2</v>
      </c>
      <c r="K1406" s="77">
        <f t="shared" si="4476"/>
        <v>5.8106552987937654E-3</v>
      </c>
      <c r="L1406" s="76">
        <v>0</v>
      </c>
      <c r="M1406" s="77">
        <f t="shared" si="4438"/>
        <v>0</v>
      </c>
      <c r="N1406" s="77">
        <f t="shared" si="4439"/>
        <v>0</v>
      </c>
      <c r="O1406" s="77">
        <f t="shared" si="4440"/>
        <v>4.9999999999999992E-3</v>
      </c>
      <c r="P1406" s="77">
        <f t="shared" si="4441"/>
        <v>4.1762458919303302E-4</v>
      </c>
      <c r="R1406" t="s">
        <v>177</v>
      </c>
      <c r="S1406" t="s">
        <v>180</v>
      </c>
      <c r="T1406" s="197" t="str">
        <f t="shared" si="4472"/>
        <v>Autopilot_Opportunity_223</v>
      </c>
      <c r="U1406">
        <v>223</v>
      </c>
      <c r="V1406">
        <f>VLOOKUP($U1406,'[2]AP Opportunity'!$Q$1:$T$542,2,FALSE)</f>
        <v>0.99999997777777772</v>
      </c>
      <c r="W1406">
        <f>VLOOKUP($U1406,'[2]AP Opportunity'!$Q$1:$T$542,3,FALSE)</f>
        <v>2.2222222284540294E-8</v>
      </c>
      <c r="X1406">
        <f>VLOOKUP($U1406,'[2]AP Opportunity'!$Q$1:$T$542,4,FALSE)</f>
        <v>0</v>
      </c>
      <c r="Y1406" s="77">
        <f t="shared" si="4473"/>
        <v>1</v>
      </c>
      <c r="Z1406" s="77">
        <f t="shared" si="4477"/>
        <v>6.4624999704999977E-2</v>
      </c>
      <c r="AA1406" s="77">
        <f t="shared" si="4478"/>
        <v>5.2321923767311151E-3</v>
      </c>
      <c r="AB1406" s="79">
        <v>1</v>
      </c>
      <c r="AC1406" s="77">
        <f t="shared" si="4442"/>
        <v>8.499999955555556E-3</v>
      </c>
      <c r="AD1406" s="77">
        <f t="shared" ref="AD1406" si="4575">1-(1-AC1406)^(1/12)</f>
        <v>7.1110795759765644E-4</v>
      </c>
      <c r="AE1406" s="77">
        <f t="shared" si="4444"/>
        <v>2.5000000000000001E-3</v>
      </c>
      <c r="AF1406" s="77">
        <f t="shared" ref="AF1406" si="4576">1-(1-AE1406)^(1/12)</f>
        <v>2.0857243058891584E-4</v>
      </c>
      <c r="AH1406" t="s">
        <v>175</v>
      </c>
      <c r="AI1406" t="s">
        <v>180</v>
      </c>
      <c r="AJ1406" s="197" t="str">
        <f t="shared" si="4435"/>
        <v>Lifecycle_Opportunity_223</v>
      </c>
      <c r="AK1406">
        <v>223</v>
      </c>
      <c r="AL1406">
        <f>VLOOKUP($U1406,[2]Standard_Opportunity!$Q$1:$T$542,2,FALSE)</f>
        <v>0.99999997777777772</v>
      </c>
      <c r="AM1406">
        <f>VLOOKUP($U1406,[2]Standard_Opportunity!$Q$1:$T$542,3,FALSE)</f>
        <v>2.2222222284540294E-8</v>
      </c>
      <c r="AN1406">
        <f>VLOOKUP($U1406,[2]Standard_Opportunity!$Q$1:$T$542,4,FALSE)</f>
        <v>0</v>
      </c>
      <c r="AO1406" s="77">
        <f t="shared" si="4436"/>
        <v>1</v>
      </c>
      <c r="AP1406" s="77">
        <f t="shared" si="4446"/>
        <v>6.4624999704999977E-2</v>
      </c>
      <c r="AQ1406" s="77">
        <f t="shared" si="4437"/>
        <v>5.2321923767311151E-3</v>
      </c>
      <c r="AR1406" s="79">
        <v>0</v>
      </c>
      <c r="AS1406" s="77">
        <f t="shared" si="4447"/>
        <v>0</v>
      </c>
      <c r="AT1406" s="77">
        <f t="shared" si="4448"/>
        <v>0</v>
      </c>
      <c r="AU1406" s="77">
        <f t="shared" si="4449"/>
        <v>2.5000000000000001E-3</v>
      </c>
      <c r="AV1406" s="77">
        <f t="shared" si="4450"/>
        <v>2.0809499864316017E-4</v>
      </c>
    </row>
    <row r="1407" spans="1:48">
      <c r="A1407" t="s">
        <v>175</v>
      </c>
      <c r="B1407" t="s">
        <v>180</v>
      </c>
      <c r="C1407" s="197" t="str">
        <f t="shared" si="4471"/>
        <v>Lifecycle_Opportunity_222</v>
      </c>
      <c r="D1407">
        <v>222</v>
      </c>
      <c r="E1407">
        <f>VLOOKUP($D1407,'[2]LC Opportunity'!$Q$2:$U$542,2,FALSE)</f>
        <v>0</v>
      </c>
      <c r="F1407">
        <f>VLOOKUP($D1407,'[2]LC Opportunity'!$Q$2:$U$542,3,FALSE)</f>
        <v>0</v>
      </c>
      <c r="G1407">
        <f>VLOOKUP($D1407,'[2]LC Opportunity'!$Q$2:$U$542,4,FALSE)</f>
        <v>0</v>
      </c>
      <c r="H1407">
        <f>VLOOKUP($D1407,'[2]LC Opportunity'!$Q$2:$U$542,5,FALSE)</f>
        <v>0.99999999999999989</v>
      </c>
      <c r="I1407" s="77">
        <f t="shared" si="4431"/>
        <v>0.99999999999999989</v>
      </c>
      <c r="J1407" s="77">
        <f t="shared" si="4432"/>
        <v>7.1999999999999981E-2</v>
      </c>
      <c r="K1407" s="77">
        <f t="shared" si="4476"/>
        <v>5.8106552987937654E-3</v>
      </c>
      <c r="L1407" s="76">
        <v>0</v>
      </c>
      <c r="M1407" s="77">
        <f t="shared" si="4438"/>
        <v>0</v>
      </c>
      <c r="N1407" s="77">
        <f t="shared" si="4439"/>
        <v>0</v>
      </c>
      <c r="O1407" s="77">
        <f t="shared" si="4440"/>
        <v>4.9999999999999992E-3</v>
      </c>
      <c r="P1407" s="77">
        <f t="shared" si="4441"/>
        <v>4.1762458919303302E-4</v>
      </c>
      <c r="R1407" t="s">
        <v>177</v>
      </c>
      <c r="S1407" t="s">
        <v>180</v>
      </c>
      <c r="T1407" s="197" t="str">
        <f t="shared" si="4472"/>
        <v>Autopilot_Opportunity_222</v>
      </c>
      <c r="U1407">
        <v>222</v>
      </c>
      <c r="V1407">
        <f>VLOOKUP($U1407,'[2]AP Opportunity'!$Q$1:$T$542,2,FALSE)</f>
        <v>0.99999997777777772</v>
      </c>
      <c r="W1407">
        <f>VLOOKUP($U1407,'[2]AP Opportunity'!$Q$1:$T$542,3,FALSE)</f>
        <v>2.2222222284540294E-8</v>
      </c>
      <c r="X1407">
        <f>VLOOKUP($U1407,'[2]AP Opportunity'!$Q$1:$T$542,4,FALSE)</f>
        <v>0</v>
      </c>
      <c r="Y1407" s="77">
        <f t="shared" si="4473"/>
        <v>1</v>
      </c>
      <c r="Z1407" s="77">
        <f t="shared" si="4477"/>
        <v>6.4624999704999977E-2</v>
      </c>
      <c r="AA1407" s="77">
        <f t="shared" si="4478"/>
        <v>5.2321923767311151E-3</v>
      </c>
      <c r="AB1407" s="79">
        <v>1</v>
      </c>
      <c r="AC1407" s="77">
        <f t="shared" si="4442"/>
        <v>8.499999955555556E-3</v>
      </c>
      <c r="AD1407" s="77">
        <f t="shared" ref="AD1407" si="4577">1-(1-AC1407)^(1/12)</f>
        <v>7.1110795759765644E-4</v>
      </c>
      <c r="AE1407" s="77">
        <f t="shared" si="4444"/>
        <v>2.5000000000000001E-3</v>
      </c>
      <c r="AF1407" s="77">
        <f t="shared" ref="AF1407" si="4578">1-(1-AE1407)^(1/12)</f>
        <v>2.0857243058891584E-4</v>
      </c>
      <c r="AH1407" t="s">
        <v>175</v>
      </c>
      <c r="AI1407" t="s">
        <v>180</v>
      </c>
      <c r="AJ1407" s="197" t="str">
        <f t="shared" si="4435"/>
        <v>Lifecycle_Opportunity_222</v>
      </c>
      <c r="AK1407">
        <v>222</v>
      </c>
      <c r="AL1407">
        <f>VLOOKUP($U1407,[2]Standard_Opportunity!$Q$1:$T$542,2,FALSE)</f>
        <v>0.99999997777777772</v>
      </c>
      <c r="AM1407">
        <f>VLOOKUP($U1407,[2]Standard_Opportunity!$Q$1:$T$542,3,FALSE)</f>
        <v>2.2222222284540294E-8</v>
      </c>
      <c r="AN1407">
        <f>VLOOKUP($U1407,[2]Standard_Opportunity!$Q$1:$T$542,4,FALSE)</f>
        <v>0</v>
      </c>
      <c r="AO1407" s="77">
        <f t="shared" si="4436"/>
        <v>1</v>
      </c>
      <c r="AP1407" s="77">
        <f t="shared" si="4446"/>
        <v>6.4624999704999977E-2</v>
      </c>
      <c r="AQ1407" s="77">
        <f t="shared" si="4437"/>
        <v>5.2321923767311151E-3</v>
      </c>
      <c r="AR1407" s="79">
        <v>0</v>
      </c>
      <c r="AS1407" s="77">
        <f t="shared" si="4447"/>
        <v>0</v>
      </c>
      <c r="AT1407" s="77">
        <f t="shared" si="4448"/>
        <v>0</v>
      </c>
      <c r="AU1407" s="77">
        <f t="shared" si="4449"/>
        <v>2.5000000000000001E-3</v>
      </c>
      <c r="AV1407" s="77">
        <f t="shared" si="4450"/>
        <v>2.0809499864316017E-4</v>
      </c>
    </row>
    <row r="1408" spans="1:48">
      <c r="A1408" t="s">
        <v>175</v>
      </c>
      <c r="B1408" t="s">
        <v>180</v>
      </c>
      <c r="C1408" s="197" t="str">
        <f t="shared" si="4471"/>
        <v>Lifecycle_Opportunity_221</v>
      </c>
      <c r="D1408">
        <v>221</v>
      </c>
      <c r="E1408">
        <f>VLOOKUP($D1408,'[2]LC Opportunity'!$Q$2:$U$542,2,FALSE)</f>
        <v>0</v>
      </c>
      <c r="F1408">
        <f>VLOOKUP($D1408,'[2]LC Opportunity'!$Q$2:$U$542,3,FALSE)</f>
        <v>0</v>
      </c>
      <c r="G1408">
        <f>VLOOKUP($D1408,'[2]LC Opportunity'!$Q$2:$U$542,4,FALSE)</f>
        <v>0</v>
      </c>
      <c r="H1408">
        <f>VLOOKUP($D1408,'[2]LC Opportunity'!$Q$2:$U$542,5,FALSE)</f>
        <v>0.99999999999999989</v>
      </c>
      <c r="I1408" s="77">
        <f t="shared" si="4431"/>
        <v>0.99999999999999989</v>
      </c>
      <c r="J1408" s="77">
        <f t="shared" si="4432"/>
        <v>7.1999999999999981E-2</v>
      </c>
      <c r="K1408" s="77">
        <f t="shared" si="4476"/>
        <v>5.8106552987937654E-3</v>
      </c>
      <c r="L1408" s="76">
        <v>0</v>
      </c>
      <c r="M1408" s="77">
        <f t="shared" si="4438"/>
        <v>0</v>
      </c>
      <c r="N1408" s="77">
        <f t="shared" si="4439"/>
        <v>0</v>
      </c>
      <c r="O1408" s="77">
        <f t="shared" si="4440"/>
        <v>4.9999999999999992E-3</v>
      </c>
      <c r="P1408" s="77">
        <f t="shared" si="4441"/>
        <v>4.1762458919303302E-4</v>
      </c>
      <c r="R1408" t="s">
        <v>177</v>
      </c>
      <c r="S1408" t="s">
        <v>180</v>
      </c>
      <c r="T1408" s="197" t="str">
        <f t="shared" si="4472"/>
        <v>Autopilot_Opportunity_221</v>
      </c>
      <c r="U1408">
        <v>221</v>
      </c>
      <c r="V1408">
        <f>VLOOKUP($U1408,'[2]AP Opportunity'!$Q$1:$T$542,2,FALSE)</f>
        <v>0.99999997777777772</v>
      </c>
      <c r="W1408">
        <f>VLOOKUP($U1408,'[2]AP Opportunity'!$Q$1:$T$542,3,FALSE)</f>
        <v>2.2222222284540294E-8</v>
      </c>
      <c r="X1408">
        <f>VLOOKUP($U1408,'[2]AP Opportunity'!$Q$1:$T$542,4,FALSE)</f>
        <v>0</v>
      </c>
      <c r="Y1408" s="77">
        <f t="shared" si="4473"/>
        <v>1</v>
      </c>
      <c r="Z1408" s="77">
        <f t="shared" si="4477"/>
        <v>6.4624999704999977E-2</v>
      </c>
      <c r="AA1408" s="77">
        <f t="shared" si="4478"/>
        <v>5.2321923767311151E-3</v>
      </c>
      <c r="AB1408" s="79">
        <v>1</v>
      </c>
      <c r="AC1408" s="77">
        <f t="shared" si="4442"/>
        <v>8.499999955555556E-3</v>
      </c>
      <c r="AD1408" s="77">
        <f t="shared" ref="AD1408" si="4579">1-(1-AC1408)^(1/12)</f>
        <v>7.1110795759765644E-4</v>
      </c>
      <c r="AE1408" s="77">
        <f t="shared" si="4444"/>
        <v>2.5000000000000001E-3</v>
      </c>
      <c r="AF1408" s="77">
        <f t="shared" ref="AF1408" si="4580">1-(1-AE1408)^(1/12)</f>
        <v>2.0857243058891584E-4</v>
      </c>
      <c r="AH1408" t="s">
        <v>175</v>
      </c>
      <c r="AI1408" t="s">
        <v>180</v>
      </c>
      <c r="AJ1408" s="197" t="str">
        <f t="shared" si="4435"/>
        <v>Lifecycle_Opportunity_221</v>
      </c>
      <c r="AK1408">
        <v>221</v>
      </c>
      <c r="AL1408">
        <f>VLOOKUP($U1408,[2]Standard_Opportunity!$Q$1:$T$542,2,FALSE)</f>
        <v>0.99999997777777772</v>
      </c>
      <c r="AM1408">
        <f>VLOOKUP($U1408,[2]Standard_Opportunity!$Q$1:$T$542,3,FALSE)</f>
        <v>2.2222222284540294E-8</v>
      </c>
      <c r="AN1408">
        <f>VLOOKUP($U1408,[2]Standard_Opportunity!$Q$1:$T$542,4,FALSE)</f>
        <v>0</v>
      </c>
      <c r="AO1408" s="77">
        <f t="shared" si="4436"/>
        <v>1</v>
      </c>
      <c r="AP1408" s="77">
        <f t="shared" si="4446"/>
        <v>6.4624999704999977E-2</v>
      </c>
      <c r="AQ1408" s="77">
        <f t="shared" si="4437"/>
        <v>5.2321923767311151E-3</v>
      </c>
      <c r="AR1408" s="79">
        <v>0</v>
      </c>
      <c r="AS1408" s="77">
        <f t="shared" si="4447"/>
        <v>0</v>
      </c>
      <c r="AT1408" s="77">
        <f t="shared" si="4448"/>
        <v>0</v>
      </c>
      <c r="AU1408" s="77">
        <f t="shared" si="4449"/>
        <v>2.5000000000000001E-3</v>
      </c>
      <c r="AV1408" s="77">
        <f t="shared" si="4450"/>
        <v>2.0809499864316017E-4</v>
      </c>
    </row>
    <row r="1409" spans="1:48">
      <c r="A1409" t="s">
        <v>175</v>
      </c>
      <c r="B1409" t="s">
        <v>180</v>
      </c>
      <c r="C1409" s="197" t="str">
        <f t="shared" si="4471"/>
        <v>Lifecycle_Opportunity_220</v>
      </c>
      <c r="D1409">
        <v>220</v>
      </c>
      <c r="E1409">
        <f>VLOOKUP($D1409,'[2]LC Opportunity'!$Q$2:$U$542,2,FALSE)</f>
        <v>0</v>
      </c>
      <c r="F1409">
        <f>VLOOKUP($D1409,'[2]LC Opportunity'!$Q$2:$U$542,3,FALSE)</f>
        <v>0</v>
      </c>
      <c r="G1409">
        <f>VLOOKUP($D1409,'[2]LC Opportunity'!$Q$2:$U$542,4,FALSE)</f>
        <v>0</v>
      </c>
      <c r="H1409">
        <f>VLOOKUP($D1409,'[2]LC Opportunity'!$Q$2:$U$542,5,FALSE)</f>
        <v>0.99999999999999989</v>
      </c>
      <c r="I1409" s="77">
        <f t="shared" ref="I1409:I1472" si="4581">SUM(E1409:H1409)</f>
        <v>0.99999999999999989</v>
      </c>
      <c r="J1409" s="77">
        <f t="shared" ref="J1409:J1472" si="4582">SUMPRODUCT($E$1:$H$1,E1409:H1409)</f>
        <v>7.1999999999999981E-2</v>
      </c>
      <c r="K1409" s="77">
        <f t="shared" si="4476"/>
        <v>5.8106552987937654E-3</v>
      </c>
      <c r="L1409" s="76">
        <v>0</v>
      </c>
      <c r="M1409" s="77">
        <f t="shared" si="4438"/>
        <v>0</v>
      </c>
      <c r="N1409" s="77">
        <f t="shared" si="4439"/>
        <v>0</v>
      </c>
      <c r="O1409" s="77">
        <f t="shared" si="4440"/>
        <v>4.9999999999999992E-3</v>
      </c>
      <c r="P1409" s="77">
        <f t="shared" si="4441"/>
        <v>4.1762458919303302E-4</v>
      </c>
      <c r="R1409" t="s">
        <v>177</v>
      </c>
      <c r="S1409" t="s">
        <v>180</v>
      </c>
      <c r="T1409" s="197" t="str">
        <f t="shared" si="4472"/>
        <v>Autopilot_Opportunity_220</v>
      </c>
      <c r="U1409">
        <v>220</v>
      </c>
      <c r="V1409">
        <f>VLOOKUP($U1409,'[2]AP Opportunity'!$Q$1:$T$542,2,FALSE)</f>
        <v>0.99999997777777772</v>
      </c>
      <c r="W1409">
        <f>VLOOKUP($U1409,'[2]AP Opportunity'!$Q$1:$T$542,3,FALSE)</f>
        <v>2.2222222284540294E-8</v>
      </c>
      <c r="X1409">
        <f>VLOOKUP($U1409,'[2]AP Opportunity'!$Q$1:$T$542,4,FALSE)</f>
        <v>0</v>
      </c>
      <c r="Y1409" s="77">
        <f t="shared" si="4473"/>
        <v>1</v>
      </c>
      <c r="Z1409" s="77">
        <f t="shared" si="4477"/>
        <v>6.4624999704999977E-2</v>
      </c>
      <c r="AA1409" s="77">
        <f t="shared" si="4478"/>
        <v>5.2321923767311151E-3</v>
      </c>
      <c r="AB1409" s="79">
        <v>1</v>
      </c>
      <c r="AC1409" s="77">
        <f t="shared" si="4442"/>
        <v>8.499999955555556E-3</v>
      </c>
      <c r="AD1409" s="77">
        <f t="shared" ref="AD1409" si="4583">1-(1-AC1409)^(1/12)</f>
        <v>7.1110795759765644E-4</v>
      </c>
      <c r="AE1409" s="77">
        <f t="shared" si="4444"/>
        <v>2.5000000000000001E-3</v>
      </c>
      <c r="AF1409" s="77">
        <f t="shared" ref="AF1409" si="4584">1-(1-AE1409)^(1/12)</f>
        <v>2.0857243058891584E-4</v>
      </c>
      <c r="AH1409" t="s">
        <v>175</v>
      </c>
      <c r="AI1409" t="s">
        <v>180</v>
      </c>
      <c r="AJ1409" s="197" t="str">
        <f t="shared" ref="AJ1409:AJ1472" si="4585">AH1409&amp;"_"&amp;AI1409&amp;"_"&amp;AK1409</f>
        <v>Lifecycle_Opportunity_220</v>
      </c>
      <c r="AK1409">
        <v>220</v>
      </c>
      <c r="AL1409">
        <f>VLOOKUP($U1409,[2]Standard_Opportunity!$Q$1:$T$542,2,FALSE)</f>
        <v>0.99999997777777772</v>
      </c>
      <c r="AM1409">
        <f>VLOOKUP($U1409,[2]Standard_Opportunity!$Q$1:$T$542,3,FALSE)</f>
        <v>2.2222222284540294E-8</v>
      </c>
      <c r="AN1409">
        <f>VLOOKUP($U1409,[2]Standard_Opportunity!$Q$1:$T$542,4,FALSE)</f>
        <v>0</v>
      </c>
      <c r="AO1409" s="77">
        <f t="shared" ref="AO1409:AO1472" si="4586">SUM(AL1409:AN1409)</f>
        <v>1</v>
      </c>
      <c r="AP1409" s="77">
        <f t="shared" si="4446"/>
        <v>6.4624999704999977E-2</v>
      </c>
      <c r="AQ1409" s="77">
        <f t="shared" ref="AQ1409:AQ1472" si="4587">(1+AP1409)^(1/12)-1</f>
        <v>5.2321923767311151E-3</v>
      </c>
      <c r="AR1409" s="79">
        <v>0</v>
      </c>
      <c r="AS1409" s="77">
        <f t="shared" si="4447"/>
        <v>0</v>
      </c>
      <c r="AT1409" s="77">
        <f t="shared" si="4448"/>
        <v>0</v>
      </c>
      <c r="AU1409" s="77">
        <f t="shared" si="4449"/>
        <v>2.5000000000000001E-3</v>
      </c>
      <c r="AV1409" s="77">
        <f t="shared" si="4450"/>
        <v>2.0809499864316017E-4</v>
      </c>
    </row>
    <row r="1410" spans="1:48">
      <c r="A1410" t="s">
        <v>175</v>
      </c>
      <c r="B1410" t="s">
        <v>180</v>
      </c>
      <c r="C1410" s="197" t="str">
        <f t="shared" si="4471"/>
        <v>Lifecycle_Opportunity_219</v>
      </c>
      <c r="D1410">
        <v>219</v>
      </c>
      <c r="E1410">
        <f>VLOOKUP($D1410,'[2]LC Opportunity'!$Q$2:$U$542,2,FALSE)</f>
        <v>0</v>
      </c>
      <c r="F1410">
        <f>VLOOKUP($D1410,'[2]LC Opportunity'!$Q$2:$U$542,3,FALSE)</f>
        <v>0</v>
      </c>
      <c r="G1410">
        <f>VLOOKUP($D1410,'[2]LC Opportunity'!$Q$2:$U$542,4,FALSE)</f>
        <v>0</v>
      </c>
      <c r="H1410">
        <f>VLOOKUP($D1410,'[2]LC Opportunity'!$Q$2:$U$542,5,FALSE)</f>
        <v>0.99999999999999989</v>
      </c>
      <c r="I1410" s="77">
        <f t="shared" si="4581"/>
        <v>0.99999999999999989</v>
      </c>
      <c r="J1410" s="77">
        <f t="shared" si="4582"/>
        <v>7.1999999999999981E-2</v>
      </c>
      <c r="K1410" s="77">
        <f t="shared" si="4476"/>
        <v>5.8106552987937654E-3</v>
      </c>
      <c r="L1410" s="76">
        <v>0</v>
      </c>
      <c r="M1410" s="77">
        <f t="shared" ref="M1410:M1473" si="4588">IF($L1410=0,0,SUMPRODUCT($E$3:$H$3,E1410:H1410))</f>
        <v>0</v>
      </c>
      <c r="N1410" s="77">
        <f t="shared" ref="N1410:N1473" si="4589">1-(1-M1410)^(1/12)</f>
        <v>0</v>
      </c>
      <c r="O1410" s="77">
        <f t="shared" ref="O1410:O1473" si="4590">SUMPRODUCT($E$2:$H$2,E1410:H1410)</f>
        <v>4.9999999999999992E-3</v>
      </c>
      <c r="P1410" s="77">
        <f t="shared" ref="P1410:P1473" si="4591">1-(1-O1410)^(1/12)</f>
        <v>4.1762458919303302E-4</v>
      </c>
      <c r="R1410" t="s">
        <v>177</v>
      </c>
      <c r="S1410" t="s">
        <v>180</v>
      </c>
      <c r="T1410" s="197" t="str">
        <f t="shared" si="4472"/>
        <v>Autopilot_Opportunity_219</v>
      </c>
      <c r="U1410">
        <v>219</v>
      </c>
      <c r="V1410">
        <f>VLOOKUP($U1410,'[2]AP Opportunity'!$Q$1:$T$542,2,FALSE)</f>
        <v>0.99999997777777772</v>
      </c>
      <c r="W1410">
        <f>VLOOKUP($U1410,'[2]AP Opportunity'!$Q$1:$T$542,3,FALSE)</f>
        <v>2.2222222284540294E-8</v>
      </c>
      <c r="X1410">
        <f>VLOOKUP($U1410,'[2]AP Opportunity'!$Q$1:$T$542,4,FALSE)</f>
        <v>0</v>
      </c>
      <c r="Y1410" s="77">
        <f t="shared" si="4473"/>
        <v>1</v>
      </c>
      <c r="Z1410" s="77">
        <f t="shared" si="4477"/>
        <v>6.4624999704999977E-2</v>
      </c>
      <c r="AA1410" s="77">
        <f t="shared" si="4478"/>
        <v>5.2321923767311151E-3</v>
      </c>
      <c r="AB1410" s="79">
        <v>1</v>
      </c>
      <c r="AC1410" s="77">
        <f t="shared" ref="AC1410:AC1473" si="4592">IF($AB1410=0,0,SUMPRODUCT($V$3:$X$3,V1410:X1410))</f>
        <v>8.499999955555556E-3</v>
      </c>
      <c r="AD1410" s="77">
        <f t="shared" ref="AD1410" si="4593">1-(1-AC1410)^(1/12)</f>
        <v>7.1110795759765644E-4</v>
      </c>
      <c r="AE1410" s="77">
        <f t="shared" ref="AE1410:AE1473" si="4594">SUMPRODUCT($V$2:$X$2,V1410:X1410)</f>
        <v>2.5000000000000001E-3</v>
      </c>
      <c r="AF1410" s="77">
        <f t="shared" ref="AF1410" si="4595">1-(1-AE1410)^(1/12)</f>
        <v>2.0857243058891584E-4</v>
      </c>
      <c r="AH1410" t="s">
        <v>175</v>
      </c>
      <c r="AI1410" t="s">
        <v>180</v>
      </c>
      <c r="AJ1410" s="197" t="str">
        <f t="shared" si="4585"/>
        <v>Lifecycle_Opportunity_219</v>
      </c>
      <c r="AK1410">
        <v>219</v>
      </c>
      <c r="AL1410">
        <f>VLOOKUP($U1410,[2]Standard_Opportunity!$Q$1:$T$542,2,FALSE)</f>
        <v>0.99999997777777772</v>
      </c>
      <c r="AM1410">
        <f>VLOOKUP($U1410,[2]Standard_Opportunity!$Q$1:$T$542,3,FALSE)</f>
        <v>2.2222222284540294E-8</v>
      </c>
      <c r="AN1410">
        <f>VLOOKUP($U1410,[2]Standard_Opportunity!$Q$1:$T$542,4,FALSE)</f>
        <v>0</v>
      </c>
      <c r="AO1410" s="77">
        <f t="shared" si="4586"/>
        <v>1</v>
      </c>
      <c r="AP1410" s="77">
        <f t="shared" ref="AP1410:AP1473" si="4596">SUMPRODUCT($AL$1:$AN$1,AL1410:AN1410)</f>
        <v>6.4624999704999977E-2</v>
      </c>
      <c r="AQ1410" s="77">
        <f t="shared" si="4587"/>
        <v>5.2321923767311151E-3</v>
      </c>
      <c r="AR1410" s="79">
        <v>0</v>
      </c>
      <c r="AS1410" s="77">
        <f t="shared" ref="AS1410:AS1473" si="4597">IF(AR1410=0,0,SUMPRODUCT($AL$3:$AN$3,AL1410:AN1410))</f>
        <v>0</v>
      </c>
      <c r="AT1410" s="77">
        <f t="shared" ref="AT1410:AT1473" si="4598">(1+AS1410)^(1/12)-1</f>
        <v>0</v>
      </c>
      <c r="AU1410" s="77">
        <f t="shared" ref="AU1410:AU1473" si="4599">SUMPRODUCT($AL$2:$AN$2,AL1410:AN1410)</f>
        <v>2.5000000000000001E-3</v>
      </c>
      <c r="AV1410" s="77">
        <f t="shared" ref="AV1410:AV1473" si="4600">(1+AU1410)^(1/12)-1</f>
        <v>2.0809499864316017E-4</v>
      </c>
    </row>
    <row r="1411" spans="1:48">
      <c r="A1411" t="s">
        <v>175</v>
      </c>
      <c r="B1411" t="s">
        <v>180</v>
      </c>
      <c r="C1411" s="197" t="str">
        <f t="shared" si="4471"/>
        <v>Lifecycle_Opportunity_218</v>
      </c>
      <c r="D1411">
        <v>218</v>
      </c>
      <c r="E1411">
        <f>VLOOKUP($D1411,'[2]LC Opportunity'!$Q$2:$U$542,2,FALSE)</f>
        <v>0</v>
      </c>
      <c r="F1411">
        <f>VLOOKUP($D1411,'[2]LC Opportunity'!$Q$2:$U$542,3,FALSE)</f>
        <v>0</v>
      </c>
      <c r="G1411">
        <f>VLOOKUP($D1411,'[2]LC Opportunity'!$Q$2:$U$542,4,FALSE)</f>
        <v>0</v>
      </c>
      <c r="H1411">
        <f>VLOOKUP($D1411,'[2]LC Opportunity'!$Q$2:$U$542,5,FALSE)</f>
        <v>0.99999999999999989</v>
      </c>
      <c r="I1411" s="77">
        <f t="shared" si="4581"/>
        <v>0.99999999999999989</v>
      </c>
      <c r="J1411" s="77">
        <f t="shared" si="4582"/>
        <v>7.1999999999999981E-2</v>
      </c>
      <c r="K1411" s="77">
        <f t="shared" si="4476"/>
        <v>5.8106552987937654E-3</v>
      </c>
      <c r="L1411" s="76">
        <v>0</v>
      </c>
      <c r="M1411" s="77">
        <f t="shared" si="4588"/>
        <v>0</v>
      </c>
      <c r="N1411" s="77">
        <f t="shared" si="4589"/>
        <v>0</v>
      </c>
      <c r="O1411" s="77">
        <f t="shared" si="4590"/>
        <v>4.9999999999999992E-3</v>
      </c>
      <c r="P1411" s="77">
        <f t="shared" si="4591"/>
        <v>4.1762458919303302E-4</v>
      </c>
      <c r="R1411" t="s">
        <v>177</v>
      </c>
      <c r="S1411" t="s">
        <v>180</v>
      </c>
      <c r="T1411" s="197" t="str">
        <f t="shared" si="4472"/>
        <v>Autopilot_Opportunity_218</v>
      </c>
      <c r="U1411">
        <v>218</v>
      </c>
      <c r="V1411">
        <f>VLOOKUP($U1411,'[2]AP Opportunity'!$Q$1:$T$542,2,FALSE)</f>
        <v>0.99999997777777772</v>
      </c>
      <c r="W1411">
        <f>VLOOKUP($U1411,'[2]AP Opportunity'!$Q$1:$T$542,3,FALSE)</f>
        <v>2.2222222284540294E-8</v>
      </c>
      <c r="X1411">
        <f>VLOOKUP($U1411,'[2]AP Opportunity'!$Q$1:$T$542,4,FALSE)</f>
        <v>0</v>
      </c>
      <c r="Y1411" s="77">
        <f t="shared" si="4473"/>
        <v>1</v>
      </c>
      <c r="Z1411" s="77">
        <f t="shared" si="4477"/>
        <v>6.4624999704999977E-2</v>
      </c>
      <c r="AA1411" s="77">
        <f t="shared" si="4478"/>
        <v>5.2321923767311151E-3</v>
      </c>
      <c r="AB1411" s="79">
        <v>1</v>
      </c>
      <c r="AC1411" s="77">
        <f t="shared" si="4592"/>
        <v>8.499999955555556E-3</v>
      </c>
      <c r="AD1411" s="77">
        <f t="shared" ref="AD1411" si="4601">1-(1-AC1411)^(1/12)</f>
        <v>7.1110795759765644E-4</v>
      </c>
      <c r="AE1411" s="77">
        <f t="shared" si="4594"/>
        <v>2.5000000000000001E-3</v>
      </c>
      <c r="AF1411" s="77">
        <f t="shared" ref="AF1411" si="4602">1-(1-AE1411)^(1/12)</f>
        <v>2.0857243058891584E-4</v>
      </c>
      <c r="AH1411" t="s">
        <v>175</v>
      </c>
      <c r="AI1411" t="s">
        <v>180</v>
      </c>
      <c r="AJ1411" s="197" t="str">
        <f t="shared" si="4585"/>
        <v>Lifecycle_Opportunity_218</v>
      </c>
      <c r="AK1411">
        <v>218</v>
      </c>
      <c r="AL1411">
        <f>VLOOKUP($U1411,[2]Standard_Opportunity!$Q$1:$T$542,2,FALSE)</f>
        <v>0.99999997777777772</v>
      </c>
      <c r="AM1411">
        <f>VLOOKUP($U1411,[2]Standard_Opportunity!$Q$1:$T$542,3,FALSE)</f>
        <v>2.2222222284540294E-8</v>
      </c>
      <c r="AN1411">
        <f>VLOOKUP($U1411,[2]Standard_Opportunity!$Q$1:$T$542,4,FALSE)</f>
        <v>0</v>
      </c>
      <c r="AO1411" s="77">
        <f t="shared" si="4586"/>
        <v>1</v>
      </c>
      <c r="AP1411" s="77">
        <f t="shared" si="4596"/>
        <v>6.4624999704999977E-2</v>
      </c>
      <c r="AQ1411" s="77">
        <f t="shared" si="4587"/>
        <v>5.2321923767311151E-3</v>
      </c>
      <c r="AR1411" s="79">
        <v>0</v>
      </c>
      <c r="AS1411" s="77">
        <f t="shared" si="4597"/>
        <v>0</v>
      </c>
      <c r="AT1411" s="77">
        <f t="shared" si="4598"/>
        <v>0</v>
      </c>
      <c r="AU1411" s="77">
        <f t="shared" si="4599"/>
        <v>2.5000000000000001E-3</v>
      </c>
      <c r="AV1411" s="77">
        <f t="shared" si="4600"/>
        <v>2.0809499864316017E-4</v>
      </c>
    </row>
    <row r="1412" spans="1:48">
      <c r="A1412" t="s">
        <v>175</v>
      </c>
      <c r="B1412" t="s">
        <v>180</v>
      </c>
      <c r="C1412" s="197" t="str">
        <f t="shared" si="4471"/>
        <v>Lifecycle_Opportunity_217</v>
      </c>
      <c r="D1412">
        <v>217</v>
      </c>
      <c r="E1412">
        <f>VLOOKUP($D1412,'[2]LC Opportunity'!$Q$2:$U$542,2,FALSE)</f>
        <v>0</v>
      </c>
      <c r="F1412">
        <f>VLOOKUP($D1412,'[2]LC Opportunity'!$Q$2:$U$542,3,FALSE)</f>
        <v>0</v>
      </c>
      <c r="G1412">
        <f>VLOOKUP($D1412,'[2]LC Opportunity'!$Q$2:$U$542,4,FALSE)</f>
        <v>0</v>
      </c>
      <c r="H1412">
        <f>VLOOKUP($D1412,'[2]LC Opportunity'!$Q$2:$U$542,5,FALSE)</f>
        <v>0.99999999999999989</v>
      </c>
      <c r="I1412" s="77">
        <f t="shared" si="4581"/>
        <v>0.99999999999999989</v>
      </c>
      <c r="J1412" s="77">
        <f t="shared" si="4582"/>
        <v>7.1999999999999981E-2</v>
      </c>
      <c r="K1412" s="77">
        <f t="shared" si="4476"/>
        <v>5.8106552987937654E-3</v>
      </c>
      <c r="L1412" s="76">
        <v>0</v>
      </c>
      <c r="M1412" s="77">
        <f t="shared" si="4588"/>
        <v>0</v>
      </c>
      <c r="N1412" s="77">
        <f t="shared" si="4589"/>
        <v>0</v>
      </c>
      <c r="O1412" s="77">
        <f t="shared" si="4590"/>
        <v>4.9999999999999992E-3</v>
      </c>
      <c r="P1412" s="77">
        <f t="shared" si="4591"/>
        <v>4.1762458919303302E-4</v>
      </c>
      <c r="R1412" t="s">
        <v>177</v>
      </c>
      <c r="S1412" t="s">
        <v>180</v>
      </c>
      <c r="T1412" s="197" t="str">
        <f t="shared" si="4472"/>
        <v>Autopilot_Opportunity_217</v>
      </c>
      <c r="U1412">
        <v>217</v>
      </c>
      <c r="V1412">
        <f>VLOOKUP($U1412,'[2]AP Opportunity'!$Q$1:$T$542,2,FALSE)</f>
        <v>0.99999997777777772</v>
      </c>
      <c r="W1412">
        <f>VLOOKUP($U1412,'[2]AP Opportunity'!$Q$1:$T$542,3,FALSE)</f>
        <v>2.2222222284540294E-8</v>
      </c>
      <c r="X1412">
        <f>VLOOKUP($U1412,'[2]AP Opportunity'!$Q$1:$T$542,4,FALSE)</f>
        <v>0</v>
      </c>
      <c r="Y1412" s="77">
        <f t="shared" si="4473"/>
        <v>1</v>
      </c>
      <c r="Z1412" s="77">
        <f t="shared" si="4477"/>
        <v>6.4624999704999977E-2</v>
      </c>
      <c r="AA1412" s="77">
        <f t="shared" si="4478"/>
        <v>5.2321923767311151E-3</v>
      </c>
      <c r="AB1412" s="79">
        <v>1</v>
      </c>
      <c r="AC1412" s="77">
        <f t="shared" si="4592"/>
        <v>8.499999955555556E-3</v>
      </c>
      <c r="AD1412" s="77">
        <f t="shared" ref="AD1412" si="4603">1-(1-AC1412)^(1/12)</f>
        <v>7.1110795759765644E-4</v>
      </c>
      <c r="AE1412" s="77">
        <f t="shared" si="4594"/>
        <v>2.5000000000000001E-3</v>
      </c>
      <c r="AF1412" s="77">
        <f t="shared" ref="AF1412" si="4604">1-(1-AE1412)^(1/12)</f>
        <v>2.0857243058891584E-4</v>
      </c>
      <c r="AH1412" t="s">
        <v>175</v>
      </c>
      <c r="AI1412" t="s">
        <v>180</v>
      </c>
      <c r="AJ1412" s="197" t="str">
        <f t="shared" si="4585"/>
        <v>Lifecycle_Opportunity_217</v>
      </c>
      <c r="AK1412">
        <v>217</v>
      </c>
      <c r="AL1412">
        <f>VLOOKUP($U1412,[2]Standard_Opportunity!$Q$1:$T$542,2,FALSE)</f>
        <v>0.99999997777777772</v>
      </c>
      <c r="AM1412">
        <f>VLOOKUP($U1412,[2]Standard_Opportunity!$Q$1:$T$542,3,FALSE)</f>
        <v>2.2222222284540294E-8</v>
      </c>
      <c r="AN1412">
        <f>VLOOKUP($U1412,[2]Standard_Opportunity!$Q$1:$T$542,4,FALSE)</f>
        <v>0</v>
      </c>
      <c r="AO1412" s="77">
        <f t="shared" si="4586"/>
        <v>1</v>
      </c>
      <c r="AP1412" s="77">
        <f t="shared" si="4596"/>
        <v>6.4624999704999977E-2</v>
      </c>
      <c r="AQ1412" s="77">
        <f t="shared" si="4587"/>
        <v>5.2321923767311151E-3</v>
      </c>
      <c r="AR1412" s="79">
        <v>0</v>
      </c>
      <c r="AS1412" s="77">
        <f t="shared" si="4597"/>
        <v>0</v>
      </c>
      <c r="AT1412" s="77">
        <f t="shared" si="4598"/>
        <v>0</v>
      </c>
      <c r="AU1412" s="77">
        <f t="shared" si="4599"/>
        <v>2.5000000000000001E-3</v>
      </c>
      <c r="AV1412" s="77">
        <f t="shared" si="4600"/>
        <v>2.0809499864316017E-4</v>
      </c>
    </row>
    <row r="1413" spans="1:48">
      <c r="A1413" t="s">
        <v>175</v>
      </c>
      <c r="B1413" t="s">
        <v>180</v>
      </c>
      <c r="C1413" s="197" t="str">
        <f t="shared" si="4471"/>
        <v>Lifecycle_Opportunity_216</v>
      </c>
      <c r="D1413">
        <v>216</v>
      </c>
      <c r="E1413">
        <f>VLOOKUP($D1413,'[2]LC Opportunity'!$Q$2:$U$542,2,FALSE)</f>
        <v>0</v>
      </c>
      <c r="F1413">
        <f>VLOOKUP($D1413,'[2]LC Opportunity'!$Q$2:$U$542,3,FALSE)</f>
        <v>0</v>
      </c>
      <c r="G1413">
        <f>VLOOKUP($D1413,'[2]LC Opportunity'!$Q$2:$U$542,4,FALSE)</f>
        <v>0</v>
      </c>
      <c r="H1413">
        <f>VLOOKUP($D1413,'[2]LC Opportunity'!$Q$2:$U$542,5,FALSE)</f>
        <v>0.99999999999999989</v>
      </c>
      <c r="I1413" s="77">
        <f t="shared" si="4581"/>
        <v>0.99999999999999989</v>
      </c>
      <c r="J1413" s="77">
        <f t="shared" si="4582"/>
        <v>7.1999999999999981E-2</v>
      </c>
      <c r="K1413" s="77">
        <f t="shared" si="4476"/>
        <v>5.8106552987937654E-3</v>
      </c>
      <c r="L1413" s="76">
        <v>0</v>
      </c>
      <c r="M1413" s="77">
        <f t="shared" si="4588"/>
        <v>0</v>
      </c>
      <c r="N1413" s="77">
        <f t="shared" si="4589"/>
        <v>0</v>
      </c>
      <c r="O1413" s="77">
        <f t="shared" si="4590"/>
        <v>4.9999999999999992E-3</v>
      </c>
      <c r="P1413" s="77">
        <f t="shared" si="4591"/>
        <v>4.1762458919303302E-4</v>
      </c>
      <c r="R1413" t="s">
        <v>177</v>
      </c>
      <c r="S1413" t="s">
        <v>180</v>
      </c>
      <c r="T1413" s="197" t="str">
        <f t="shared" si="4472"/>
        <v>Autopilot_Opportunity_216</v>
      </c>
      <c r="U1413">
        <v>216</v>
      </c>
      <c r="V1413">
        <f>VLOOKUP($U1413,'[2]AP Opportunity'!$Q$1:$T$542,2,FALSE)</f>
        <v>0.99999997777777772</v>
      </c>
      <c r="W1413">
        <f>VLOOKUP($U1413,'[2]AP Opportunity'!$Q$1:$T$542,3,FALSE)</f>
        <v>2.2222222284540294E-8</v>
      </c>
      <c r="X1413">
        <f>VLOOKUP($U1413,'[2]AP Opportunity'!$Q$1:$T$542,4,FALSE)</f>
        <v>0</v>
      </c>
      <c r="Y1413" s="77">
        <f t="shared" si="4473"/>
        <v>1</v>
      </c>
      <c r="Z1413" s="77">
        <f t="shared" si="4477"/>
        <v>6.4624999704999977E-2</v>
      </c>
      <c r="AA1413" s="77">
        <f t="shared" si="4478"/>
        <v>5.2321923767311151E-3</v>
      </c>
      <c r="AB1413" s="79">
        <v>1</v>
      </c>
      <c r="AC1413" s="77">
        <f t="shared" si="4592"/>
        <v>8.499999955555556E-3</v>
      </c>
      <c r="AD1413" s="77">
        <f t="shared" ref="AD1413" si="4605">1-(1-AC1413)^(1/12)</f>
        <v>7.1110795759765644E-4</v>
      </c>
      <c r="AE1413" s="77">
        <f t="shared" si="4594"/>
        <v>2.5000000000000001E-3</v>
      </c>
      <c r="AF1413" s="77">
        <f t="shared" ref="AF1413" si="4606">1-(1-AE1413)^(1/12)</f>
        <v>2.0857243058891584E-4</v>
      </c>
      <c r="AH1413" t="s">
        <v>175</v>
      </c>
      <c r="AI1413" t="s">
        <v>180</v>
      </c>
      <c r="AJ1413" s="197" t="str">
        <f t="shared" si="4585"/>
        <v>Lifecycle_Opportunity_216</v>
      </c>
      <c r="AK1413">
        <v>216</v>
      </c>
      <c r="AL1413">
        <f>VLOOKUP($U1413,[2]Standard_Opportunity!$Q$1:$T$542,2,FALSE)</f>
        <v>0.99999997777777772</v>
      </c>
      <c r="AM1413">
        <f>VLOOKUP($U1413,[2]Standard_Opportunity!$Q$1:$T$542,3,FALSE)</f>
        <v>2.2222222284540294E-8</v>
      </c>
      <c r="AN1413">
        <f>VLOOKUP($U1413,[2]Standard_Opportunity!$Q$1:$T$542,4,FALSE)</f>
        <v>0</v>
      </c>
      <c r="AO1413" s="77">
        <f t="shared" si="4586"/>
        <v>1</v>
      </c>
      <c r="AP1413" s="77">
        <f t="shared" si="4596"/>
        <v>6.4624999704999977E-2</v>
      </c>
      <c r="AQ1413" s="77">
        <f t="shared" si="4587"/>
        <v>5.2321923767311151E-3</v>
      </c>
      <c r="AR1413" s="79">
        <v>0</v>
      </c>
      <c r="AS1413" s="77">
        <f t="shared" si="4597"/>
        <v>0</v>
      </c>
      <c r="AT1413" s="77">
        <f t="shared" si="4598"/>
        <v>0</v>
      </c>
      <c r="AU1413" s="77">
        <f t="shared" si="4599"/>
        <v>2.5000000000000001E-3</v>
      </c>
      <c r="AV1413" s="77">
        <f t="shared" si="4600"/>
        <v>2.0809499864316017E-4</v>
      </c>
    </row>
    <row r="1414" spans="1:48">
      <c r="A1414" t="s">
        <v>175</v>
      </c>
      <c r="B1414" t="s">
        <v>180</v>
      </c>
      <c r="C1414" s="197" t="str">
        <f t="shared" si="4471"/>
        <v>Lifecycle_Opportunity_215</v>
      </c>
      <c r="D1414">
        <v>215</v>
      </c>
      <c r="E1414">
        <f>VLOOKUP($D1414,'[2]LC Opportunity'!$Q$2:$U$542,2,FALSE)</f>
        <v>0</v>
      </c>
      <c r="F1414">
        <f>VLOOKUP($D1414,'[2]LC Opportunity'!$Q$2:$U$542,3,FALSE)</f>
        <v>0</v>
      </c>
      <c r="G1414">
        <f>VLOOKUP($D1414,'[2]LC Opportunity'!$Q$2:$U$542,4,FALSE)</f>
        <v>0</v>
      </c>
      <c r="H1414">
        <f>VLOOKUP($D1414,'[2]LC Opportunity'!$Q$2:$U$542,5,FALSE)</f>
        <v>0.99999999999999989</v>
      </c>
      <c r="I1414" s="77">
        <f t="shared" si="4581"/>
        <v>0.99999999999999989</v>
      </c>
      <c r="J1414" s="77">
        <f t="shared" si="4582"/>
        <v>7.1999999999999981E-2</v>
      </c>
      <c r="K1414" s="77">
        <f t="shared" si="4476"/>
        <v>5.8106552987937654E-3</v>
      </c>
      <c r="L1414" s="76">
        <v>0</v>
      </c>
      <c r="M1414" s="77">
        <f t="shared" si="4588"/>
        <v>0</v>
      </c>
      <c r="N1414" s="77">
        <f t="shared" si="4589"/>
        <v>0</v>
      </c>
      <c r="O1414" s="77">
        <f t="shared" si="4590"/>
        <v>4.9999999999999992E-3</v>
      </c>
      <c r="P1414" s="77">
        <f t="shared" si="4591"/>
        <v>4.1762458919303302E-4</v>
      </c>
      <c r="R1414" t="s">
        <v>177</v>
      </c>
      <c r="S1414" t="s">
        <v>180</v>
      </c>
      <c r="T1414" s="197" t="str">
        <f t="shared" si="4472"/>
        <v>Autopilot_Opportunity_215</v>
      </c>
      <c r="U1414">
        <v>215</v>
      </c>
      <c r="V1414">
        <f>VLOOKUP($U1414,'[2]AP Opportunity'!$Q$1:$T$542,2,FALSE)</f>
        <v>0.99999997777777772</v>
      </c>
      <c r="W1414">
        <f>VLOOKUP($U1414,'[2]AP Opportunity'!$Q$1:$T$542,3,FALSE)</f>
        <v>2.2222222284540294E-8</v>
      </c>
      <c r="X1414">
        <f>VLOOKUP($U1414,'[2]AP Opportunity'!$Q$1:$T$542,4,FALSE)</f>
        <v>0</v>
      </c>
      <c r="Y1414" s="77">
        <f t="shared" si="4473"/>
        <v>1</v>
      </c>
      <c r="Z1414" s="77">
        <f t="shared" si="4477"/>
        <v>6.4624999704999977E-2</v>
      </c>
      <c r="AA1414" s="77">
        <f t="shared" si="4478"/>
        <v>5.2321923767311151E-3</v>
      </c>
      <c r="AB1414" s="79">
        <v>1</v>
      </c>
      <c r="AC1414" s="77">
        <f t="shared" si="4592"/>
        <v>8.499999955555556E-3</v>
      </c>
      <c r="AD1414" s="77">
        <f t="shared" ref="AD1414" si="4607">1-(1-AC1414)^(1/12)</f>
        <v>7.1110795759765644E-4</v>
      </c>
      <c r="AE1414" s="77">
        <f t="shared" si="4594"/>
        <v>2.5000000000000001E-3</v>
      </c>
      <c r="AF1414" s="77">
        <f t="shared" ref="AF1414" si="4608">1-(1-AE1414)^(1/12)</f>
        <v>2.0857243058891584E-4</v>
      </c>
      <c r="AH1414" t="s">
        <v>175</v>
      </c>
      <c r="AI1414" t="s">
        <v>180</v>
      </c>
      <c r="AJ1414" s="197" t="str">
        <f t="shared" si="4585"/>
        <v>Lifecycle_Opportunity_215</v>
      </c>
      <c r="AK1414">
        <v>215</v>
      </c>
      <c r="AL1414">
        <f>VLOOKUP($U1414,[2]Standard_Opportunity!$Q$1:$T$542,2,FALSE)</f>
        <v>0.99999997777777772</v>
      </c>
      <c r="AM1414">
        <f>VLOOKUP($U1414,[2]Standard_Opportunity!$Q$1:$T$542,3,FALSE)</f>
        <v>2.2222222284540294E-8</v>
      </c>
      <c r="AN1414">
        <f>VLOOKUP($U1414,[2]Standard_Opportunity!$Q$1:$T$542,4,FALSE)</f>
        <v>0</v>
      </c>
      <c r="AO1414" s="77">
        <f t="shared" si="4586"/>
        <v>1</v>
      </c>
      <c r="AP1414" s="77">
        <f t="shared" si="4596"/>
        <v>6.4624999704999977E-2</v>
      </c>
      <c r="AQ1414" s="77">
        <f t="shared" si="4587"/>
        <v>5.2321923767311151E-3</v>
      </c>
      <c r="AR1414" s="79">
        <v>0</v>
      </c>
      <c r="AS1414" s="77">
        <f t="shared" si="4597"/>
        <v>0</v>
      </c>
      <c r="AT1414" s="77">
        <f t="shared" si="4598"/>
        <v>0</v>
      </c>
      <c r="AU1414" s="77">
        <f t="shared" si="4599"/>
        <v>2.5000000000000001E-3</v>
      </c>
      <c r="AV1414" s="77">
        <f t="shared" si="4600"/>
        <v>2.0809499864316017E-4</v>
      </c>
    </row>
    <row r="1415" spans="1:48">
      <c r="A1415" t="s">
        <v>175</v>
      </c>
      <c r="B1415" t="s">
        <v>180</v>
      </c>
      <c r="C1415" s="197" t="str">
        <f t="shared" si="4471"/>
        <v>Lifecycle_Opportunity_214</v>
      </c>
      <c r="D1415">
        <v>214</v>
      </c>
      <c r="E1415">
        <f>VLOOKUP($D1415,'[2]LC Opportunity'!$Q$2:$U$542,2,FALSE)</f>
        <v>0</v>
      </c>
      <c r="F1415">
        <f>VLOOKUP($D1415,'[2]LC Opportunity'!$Q$2:$U$542,3,FALSE)</f>
        <v>0</v>
      </c>
      <c r="G1415">
        <f>VLOOKUP($D1415,'[2]LC Opportunity'!$Q$2:$U$542,4,FALSE)</f>
        <v>0</v>
      </c>
      <c r="H1415">
        <f>VLOOKUP($D1415,'[2]LC Opportunity'!$Q$2:$U$542,5,FALSE)</f>
        <v>0.99999999999999989</v>
      </c>
      <c r="I1415" s="77">
        <f t="shared" si="4581"/>
        <v>0.99999999999999989</v>
      </c>
      <c r="J1415" s="77">
        <f t="shared" si="4582"/>
        <v>7.1999999999999981E-2</v>
      </c>
      <c r="K1415" s="77">
        <f t="shared" si="4476"/>
        <v>5.8106552987937654E-3</v>
      </c>
      <c r="L1415" s="76">
        <v>0</v>
      </c>
      <c r="M1415" s="77">
        <f t="shared" si="4588"/>
        <v>0</v>
      </c>
      <c r="N1415" s="77">
        <f t="shared" si="4589"/>
        <v>0</v>
      </c>
      <c r="O1415" s="77">
        <f t="shared" si="4590"/>
        <v>4.9999999999999992E-3</v>
      </c>
      <c r="P1415" s="77">
        <f t="shared" si="4591"/>
        <v>4.1762458919303302E-4</v>
      </c>
      <c r="R1415" t="s">
        <v>177</v>
      </c>
      <c r="S1415" t="s">
        <v>180</v>
      </c>
      <c r="T1415" s="197" t="str">
        <f t="shared" si="4472"/>
        <v>Autopilot_Opportunity_214</v>
      </c>
      <c r="U1415">
        <v>214</v>
      </c>
      <c r="V1415">
        <f>VLOOKUP($U1415,'[2]AP Opportunity'!$Q$1:$T$542,2,FALSE)</f>
        <v>0.99999997777777772</v>
      </c>
      <c r="W1415">
        <f>VLOOKUP($U1415,'[2]AP Opportunity'!$Q$1:$T$542,3,FALSE)</f>
        <v>2.2222222284540294E-8</v>
      </c>
      <c r="X1415">
        <f>VLOOKUP($U1415,'[2]AP Opportunity'!$Q$1:$T$542,4,FALSE)</f>
        <v>0</v>
      </c>
      <c r="Y1415" s="77">
        <f t="shared" si="4473"/>
        <v>1</v>
      </c>
      <c r="Z1415" s="77">
        <f t="shared" si="4477"/>
        <v>6.4624999704999977E-2</v>
      </c>
      <c r="AA1415" s="77">
        <f t="shared" si="4478"/>
        <v>5.2321923767311151E-3</v>
      </c>
      <c r="AB1415" s="79">
        <v>1</v>
      </c>
      <c r="AC1415" s="77">
        <f t="shared" si="4592"/>
        <v>8.499999955555556E-3</v>
      </c>
      <c r="AD1415" s="77">
        <f t="shared" ref="AD1415" si="4609">1-(1-AC1415)^(1/12)</f>
        <v>7.1110795759765644E-4</v>
      </c>
      <c r="AE1415" s="77">
        <f t="shared" si="4594"/>
        <v>2.5000000000000001E-3</v>
      </c>
      <c r="AF1415" s="77">
        <f t="shared" ref="AF1415" si="4610">1-(1-AE1415)^(1/12)</f>
        <v>2.0857243058891584E-4</v>
      </c>
      <c r="AH1415" t="s">
        <v>175</v>
      </c>
      <c r="AI1415" t="s">
        <v>180</v>
      </c>
      <c r="AJ1415" s="197" t="str">
        <f t="shared" si="4585"/>
        <v>Lifecycle_Opportunity_214</v>
      </c>
      <c r="AK1415">
        <v>214</v>
      </c>
      <c r="AL1415">
        <f>VLOOKUP($U1415,[2]Standard_Opportunity!$Q$1:$T$542,2,FALSE)</f>
        <v>0.99999997777777772</v>
      </c>
      <c r="AM1415">
        <f>VLOOKUP($U1415,[2]Standard_Opportunity!$Q$1:$T$542,3,FALSE)</f>
        <v>2.2222222284540294E-8</v>
      </c>
      <c r="AN1415">
        <f>VLOOKUP($U1415,[2]Standard_Opportunity!$Q$1:$T$542,4,FALSE)</f>
        <v>0</v>
      </c>
      <c r="AO1415" s="77">
        <f t="shared" si="4586"/>
        <v>1</v>
      </c>
      <c r="AP1415" s="77">
        <f t="shared" si="4596"/>
        <v>6.4624999704999977E-2</v>
      </c>
      <c r="AQ1415" s="77">
        <f t="shared" si="4587"/>
        <v>5.2321923767311151E-3</v>
      </c>
      <c r="AR1415" s="79">
        <v>0</v>
      </c>
      <c r="AS1415" s="77">
        <f t="shared" si="4597"/>
        <v>0</v>
      </c>
      <c r="AT1415" s="77">
        <f t="shared" si="4598"/>
        <v>0</v>
      </c>
      <c r="AU1415" s="77">
        <f t="shared" si="4599"/>
        <v>2.5000000000000001E-3</v>
      </c>
      <c r="AV1415" s="77">
        <f t="shared" si="4600"/>
        <v>2.0809499864316017E-4</v>
      </c>
    </row>
    <row r="1416" spans="1:48">
      <c r="A1416" t="s">
        <v>175</v>
      </c>
      <c r="B1416" t="s">
        <v>180</v>
      </c>
      <c r="C1416" s="197" t="str">
        <f t="shared" si="4471"/>
        <v>Lifecycle_Opportunity_213</v>
      </c>
      <c r="D1416">
        <v>213</v>
      </c>
      <c r="E1416">
        <f>VLOOKUP($D1416,'[2]LC Opportunity'!$Q$2:$U$542,2,FALSE)</f>
        <v>0</v>
      </c>
      <c r="F1416">
        <f>VLOOKUP($D1416,'[2]LC Opportunity'!$Q$2:$U$542,3,FALSE)</f>
        <v>0</v>
      </c>
      <c r="G1416">
        <f>VLOOKUP($D1416,'[2]LC Opportunity'!$Q$2:$U$542,4,FALSE)</f>
        <v>0</v>
      </c>
      <c r="H1416">
        <f>VLOOKUP($D1416,'[2]LC Opportunity'!$Q$2:$U$542,5,FALSE)</f>
        <v>0.99999999999999989</v>
      </c>
      <c r="I1416" s="77">
        <f t="shared" si="4581"/>
        <v>0.99999999999999989</v>
      </c>
      <c r="J1416" s="77">
        <f t="shared" si="4582"/>
        <v>7.1999999999999981E-2</v>
      </c>
      <c r="K1416" s="77">
        <f t="shared" si="4476"/>
        <v>5.8106552987937654E-3</v>
      </c>
      <c r="L1416" s="76">
        <v>0</v>
      </c>
      <c r="M1416" s="77">
        <f t="shared" si="4588"/>
        <v>0</v>
      </c>
      <c r="N1416" s="77">
        <f t="shared" si="4589"/>
        <v>0</v>
      </c>
      <c r="O1416" s="77">
        <f t="shared" si="4590"/>
        <v>4.9999999999999992E-3</v>
      </c>
      <c r="P1416" s="77">
        <f t="shared" si="4591"/>
        <v>4.1762458919303302E-4</v>
      </c>
      <c r="R1416" t="s">
        <v>177</v>
      </c>
      <c r="S1416" t="s">
        <v>180</v>
      </c>
      <c r="T1416" s="197" t="str">
        <f t="shared" si="4472"/>
        <v>Autopilot_Opportunity_213</v>
      </c>
      <c r="U1416">
        <v>213</v>
      </c>
      <c r="V1416">
        <f>VLOOKUP($U1416,'[2]AP Opportunity'!$Q$1:$T$542,2,FALSE)</f>
        <v>0.99999997777777772</v>
      </c>
      <c r="W1416">
        <f>VLOOKUP($U1416,'[2]AP Opportunity'!$Q$1:$T$542,3,FALSE)</f>
        <v>2.2222222284540294E-8</v>
      </c>
      <c r="X1416">
        <f>VLOOKUP($U1416,'[2]AP Opportunity'!$Q$1:$T$542,4,FALSE)</f>
        <v>0</v>
      </c>
      <c r="Y1416" s="77">
        <f t="shared" si="4473"/>
        <v>1</v>
      </c>
      <c r="Z1416" s="77">
        <f t="shared" si="4477"/>
        <v>6.4624999704999977E-2</v>
      </c>
      <c r="AA1416" s="77">
        <f t="shared" si="4478"/>
        <v>5.2321923767311151E-3</v>
      </c>
      <c r="AB1416" s="79">
        <v>1</v>
      </c>
      <c r="AC1416" s="77">
        <f t="shared" si="4592"/>
        <v>8.499999955555556E-3</v>
      </c>
      <c r="AD1416" s="77">
        <f t="shared" ref="AD1416" si="4611">1-(1-AC1416)^(1/12)</f>
        <v>7.1110795759765644E-4</v>
      </c>
      <c r="AE1416" s="77">
        <f t="shared" si="4594"/>
        <v>2.5000000000000001E-3</v>
      </c>
      <c r="AF1416" s="77">
        <f t="shared" ref="AF1416" si="4612">1-(1-AE1416)^(1/12)</f>
        <v>2.0857243058891584E-4</v>
      </c>
      <c r="AH1416" t="s">
        <v>175</v>
      </c>
      <c r="AI1416" t="s">
        <v>180</v>
      </c>
      <c r="AJ1416" s="197" t="str">
        <f t="shared" si="4585"/>
        <v>Lifecycle_Opportunity_213</v>
      </c>
      <c r="AK1416">
        <v>213</v>
      </c>
      <c r="AL1416">
        <f>VLOOKUP($U1416,[2]Standard_Opportunity!$Q$1:$T$542,2,FALSE)</f>
        <v>0.99999997777777772</v>
      </c>
      <c r="AM1416">
        <f>VLOOKUP($U1416,[2]Standard_Opportunity!$Q$1:$T$542,3,FALSE)</f>
        <v>2.2222222284540294E-8</v>
      </c>
      <c r="AN1416">
        <f>VLOOKUP($U1416,[2]Standard_Opportunity!$Q$1:$T$542,4,FALSE)</f>
        <v>0</v>
      </c>
      <c r="AO1416" s="77">
        <f t="shared" si="4586"/>
        <v>1</v>
      </c>
      <c r="AP1416" s="77">
        <f t="shared" si="4596"/>
        <v>6.4624999704999977E-2</v>
      </c>
      <c r="AQ1416" s="77">
        <f t="shared" si="4587"/>
        <v>5.2321923767311151E-3</v>
      </c>
      <c r="AR1416" s="79">
        <v>0</v>
      </c>
      <c r="AS1416" s="77">
        <f t="shared" si="4597"/>
        <v>0</v>
      </c>
      <c r="AT1416" s="77">
        <f t="shared" si="4598"/>
        <v>0</v>
      </c>
      <c r="AU1416" s="77">
        <f t="shared" si="4599"/>
        <v>2.5000000000000001E-3</v>
      </c>
      <c r="AV1416" s="77">
        <f t="shared" si="4600"/>
        <v>2.0809499864316017E-4</v>
      </c>
    </row>
    <row r="1417" spans="1:48">
      <c r="A1417" t="s">
        <v>175</v>
      </c>
      <c r="B1417" t="s">
        <v>180</v>
      </c>
      <c r="C1417" s="197" t="str">
        <f t="shared" si="4471"/>
        <v>Lifecycle_Opportunity_212</v>
      </c>
      <c r="D1417">
        <v>212</v>
      </c>
      <c r="E1417">
        <f>VLOOKUP($D1417,'[2]LC Opportunity'!$Q$2:$U$542,2,FALSE)</f>
        <v>0</v>
      </c>
      <c r="F1417">
        <f>VLOOKUP($D1417,'[2]LC Opportunity'!$Q$2:$U$542,3,FALSE)</f>
        <v>0</v>
      </c>
      <c r="G1417">
        <f>VLOOKUP($D1417,'[2]LC Opportunity'!$Q$2:$U$542,4,FALSE)</f>
        <v>0</v>
      </c>
      <c r="H1417">
        <f>VLOOKUP($D1417,'[2]LC Opportunity'!$Q$2:$U$542,5,FALSE)</f>
        <v>0.99999999999999989</v>
      </c>
      <c r="I1417" s="77">
        <f t="shared" si="4581"/>
        <v>0.99999999999999989</v>
      </c>
      <c r="J1417" s="77">
        <f t="shared" si="4582"/>
        <v>7.1999999999999981E-2</v>
      </c>
      <c r="K1417" s="77">
        <f t="shared" si="4476"/>
        <v>5.8106552987937654E-3</v>
      </c>
      <c r="L1417" s="76">
        <v>0</v>
      </c>
      <c r="M1417" s="77">
        <f t="shared" si="4588"/>
        <v>0</v>
      </c>
      <c r="N1417" s="77">
        <f t="shared" si="4589"/>
        <v>0</v>
      </c>
      <c r="O1417" s="77">
        <f t="shared" si="4590"/>
        <v>4.9999999999999992E-3</v>
      </c>
      <c r="P1417" s="77">
        <f t="shared" si="4591"/>
        <v>4.1762458919303302E-4</v>
      </c>
      <c r="R1417" t="s">
        <v>177</v>
      </c>
      <c r="S1417" t="s">
        <v>180</v>
      </c>
      <c r="T1417" s="197" t="str">
        <f t="shared" si="4472"/>
        <v>Autopilot_Opportunity_212</v>
      </c>
      <c r="U1417">
        <v>212</v>
      </c>
      <c r="V1417">
        <f>VLOOKUP($U1417,'[2]AP Opportunity'!$Q$1:$T$542,2,FALSE)</f>
        <v>0.99999997777777772</v>
      </c>
      <c r="W1417">
        <f>VLOOKUP($U1417,'[2]AP Opportunity'!$Q$1:$T$542,3,FALSE)</f>
        <v>2.2222222284540294E-8</v>
      </c>
      <c r="X1417">
        <f>VLOOKUP($U1417,'[2]AP Opportunity'!$Q$1:$T$542,4,FALSE)</f>
        <v>0</v>
      </c>
      <c r="Y1417" s="77">
        <f t="shared" si="4473"/>
        <v>1</v>
      </c>
      <c r="Z1417" s="77">
        <f t="shared" si="4477"/>
        <v>6.4624999704999977E-2</v>
      </c>
      <c r="AA1417" s="77">
        <f t="shared" si="4478"/>
        <v>5.2321923767311151E-3</v>
      </c>
      <c r="AB1417" s="79">
        <v>1</v>
      </c>
      <c r="AC1417" s="77">
        <f t="shared" si="4592"/>
        <v>8.499999955555556E-3</v>
      </c>
      <c r="AD1417" s="77">
        <f t="shared" ref="AD1417" si="4613">1-(1-AC1417)^(1/12)</f>
        <v>7.1110795759765644E-4</v>
      </c>
      <c r="AE1417" s="77">
        <f t="shared" si="4594"/>
        <v>2.5000000000000001E-3</v>
      </c>
      <c r="AF1417" s="77">
        <f t="shared" ref="AF1417" si="4614">1-(1-AE1417)^(1/12)</f>
        <v>2.0857243058891584E-4</v>
      </c>
      <c r="AH1417" t="s">
        <v>175</v>
      </c>
      <c r="AI1417" t="s">
        <v>180</v>
      </c>
      <c r="AJ1417" s="197" t="str">
        <f t="shared" si="4585"/>
        <v>Lifecycle_Opportunity_212</v>
      </c>
      <c r="AK1417">
        <v>212</v>
      </c>
      <c r="AL1417">
        <f>VLOOKUP($U1417,[2]Standard_Opportunity!$Q$1:$T$542,2,FALSE)</f>
        <v>0.99999997777777772</v>
      </c>
      <c r="AM1417">
        <f>VLOOKUP($U1417,[2]Standard_Opportunity!$Q$1:$T$542,3,FALSE)</f>
        <v>2.2222222284540294E-8</v>
      </c>
      <c r="AN1417">
        <f>VLOOKUP($U1417,[2]Standard_Opportunity!$Q$1:$T$542,4,FALSE)</f>
        <v>0</v>
      </c>
      <c r="AO1417" s="77">
        <f t="shared" si="4586"/>
        <v>1</v>
      </c>
      <c r="AP1417" s="77">
        <f t="shared" si="4596"/>
        <v>6.4624999704999977E-2</v>
      </c>
      <c r="AQ1417" s="77">
        <f t="shared" si="4587"/>
        <v>5.2321923767311151E-3</v>
      </c>
      <c r="AR1417" s="79">
        <v>0</v>
      </c>
      <c r="AS1417" s="77">
        <f t="shared" si="4597"/>
        <v>0</v>
      </c>
      <c r="AT1417" s="77">
        <f t="shared" si="4598"/>
        <v>0</v>
      </c>
      <c r="AU1417" s="77">
        <f t="shared" si="4599"/>
        <v>2.5000000000000001E-3</v>
      </c>
      <c r="AV1417" s="77">
        <f t="shared" si="4600"/>
        <v>2.0809499864316017E-4</v>
      </c>
    </row>
    <row r="1418" spans="1:48">
      <c r="A1418" t="s">
        <v>175</v>
      </c>
      <c r="B1418" t="s">
        <v>180</v>
      </c>
      <c r="C1418" s="197" t="str">
        <f t="shared" si="4471"/>
        <v>Lifecycle_Opportunity_211</v>
      </c>
      <c r="D1418">
        <v>211</v>
      </c>
      <c r="E1418">
        <f>VLOOKUP($D1418,'[2]LC Opportunity'!$Q$2:$U$542,2,FALSE)</f>
        <v>0</v>
      </c>
      <c r="F1418">
        <f>VLOOKUP($D1418,'[2]LC Opportunity'!$Q$2:$U$542,3,FALSE)</f>
        <v>0</v>
      </c>
      <c r="G1418">
        <f>VLOOKUP($D1418,'[2]LC Opportunity'!$Q$2:$U$542,4,FALSE)</f>
        <v>0</v>
      </c>
      <c r="H1418">
        <f>VLOOKUP($D1418,'[2]LC Opportunity'!$Q$2:$U$542,5,FALSE)</f>
        <v>0.99999999999999989</v>
      </c>
      <c r="I1418" s="77">
        <f t="shared" si="4581"/>
        <v>0.99999999999999989</v>
      </c>
      <c r="J1418" s="77">
        <f t="shared" si="4582"/>
        <v>7.1999999999999981E-2</v>
      </c>
      <c r="K1418" s="77">
        <f t="shared" si="4476"/>
        <v>5.8106552987937654E-3</v>
      </c>
      <c r="L1418" s="76">
        <v>0</v>
      </c>
      <c r="M1418" s="77">
        <f t="shared" si="4588"/>
        <v>0</v>
      </c>
      <c r="N1418" s="77">
        <f t="shared" si="4589"/>
        <v>0</v>
      </c>
      <c r="O1418" s="77">
        <f t="shared" si="4590"/>
        <v>4.9999999999999992E-3</v>
      </c>
      <c r="P1418" s="77">
        <f t="shared" si="4591"/>
        <v>4.1762458919303302E-4</v>
      </c>
      <c r="R1418" t="s">
        <v>177</v>
      </c>
      <c r="S1418" t="s">
        <v>180</v>
      </c>
      <c r="T1418" s="197" t="str">
        <f t="shared" si="4472"/>
        <v>Autopilot_Opportunity_211</v>
      </c>
      <c r="U1418">
        <v>211</v>
      </c>
      <c r="V1418">
        <f>VLOOKUP($U1418,'[2]AP Opportunity'!$Q$1:$T$542,2,FALSE)</f>
        <v>0.99999997777777772</v>
      </c>
      <c r="W1418">
        <f>VLOOKUP($U1418,'[2]AP Opportunity'!$Q$1:$T$542,3,FALSE)</f>
        <v>2.2222222284540294E-8</v>
      </c>
      <c r="X1418">
        <f>VLOOKUP($U1418,'[2]AP Opportunity'!$Q$1:$T$542,4,FALSE)</f>
        <v>0</v>
      </c>
      <c r="Y1418" s="77">
        <f t="shared" si="4473"/>
        <v>1</v>
      </c>
      <c r="Z1418" s="77">
        <f t="shared" si="4477"/>
        <v>6.4624999704999977E-2</v>
      </c>
      <c r="AA1418" s="77">
        <f t="shared" si="4478"/>
        <v>5.2321923767311151E-3</v>
      </c>
      <c r="AB1418" s="79">
        <v>1</v>
      </c>
      <c r="AC1418" s="77">
        <f t="shared" si="4592"/>
        <v>8.499999955555556E-3</v>
      </c>
      <c r="AD1418" s="77">
        <f t="shared" ref="AD1418" si="4615">1-(1-AC1418)^(1/12)</f>
        <v>7.1110795759765644E-4</v>
      </c>
      <c r="AE1418" s="77">
        <f t="shared" si="4594"/>
        <v>2.5000000000000001E-3</v>
      </c>
      <c r="AF1418" s="77">
        <f t="shared" ref="AF1418" si="4616">1-(1-AE1418)^(1/12)</f>
        <v>2.0857243058891584E-4</v>
      </c>
      <c r="AH1418" t="s">
        <v>175</v>
      </c>
      <c r="AI1418" t="s">
        <v>180</v>
      </c>
      <c r="AJ1418" s="197" t="str">
        <f t="shared" si="4585"/>
        <v>Lifecycle_Opportunity_211</v>
      </c>
      <c r="AK1418">
        <v>211</v>
      </c>
      <c r="AL1418">
        <f>VLOOKUP($U1418,[2]Standard_Opportunity!$Q$1:$T$542,2,FALSE)</f>
        <v>0.99999997777777772</v>
      </c>
      <c r="AM1418">
        <f>VLOOKUP($U1418,[2]Standard_Opportunity!$Q$1:$T$542,3,FALSE)</f>
        <v>2.2222222284540294E-8</v>
      </c>
      <c r="AN1418">
        <f>VLOOKUP($U1418,[2]Standard_Opportunity!$Q$1:$T$542,4,FALSE)</f>
        <v>0</v>
      </c>
      <c r="AO1418" s="77">
        <f t="shared" si="4586"/>
        <v>1</v>
      </c>
      <c r="AP1418" s="77">
        <f t="shared" si="4596"/>
        <v>6.4624999704999977E-2</v>
      </c>
      <c r="AQ1418" s="77">
        <f t="shared" si="4587"/>
        <v>5.2321923767311151E-3</v>
      </c>
      <c r="AR1418" s="79">
        <v>0</v>
      </c>
      <c r="AS1418" s="77">
        <f t="shared" si="4597"/>
        <v>0</v>
      </c>
      <c r="AT1418" s="77">
        <f t="shared" si="4598"/>
        <v>0</v>
      </c>
      <c r="AU1418" s="77">
        <f t="shared" si="4599"/>
        <v>2.5000000000000001E-3</v>
      </c>
      <c r="AV1418" s="77">
        <f t="shared" si="4600"/>
        <v>2.0809499864316017E-4</v>
      </c>
    </row>
    <row r="1419" spans="1:48">
      <c r="A1419" t="s">
        <v>175</v>
      </c>
      <c r="B1419" t="s">
        <v>180</v>
      </c>
      <c r="C1419" s="197" t="str">
        <f t="shared" si="4471"/>
        <v>Lifecycle_Opportunity_210</v>
      </c>
      <c r="D1419">
        <v>210</v>
      </c>
      <c r="E1419">
        <f>VLOOKUP($D1419,'[2]LC Opportunity'!$Q$2:$U$542,2,FALSE)</f>
        <v>0</v>
      </c>
      <c r="F1419">
        <f>VLOOKUP($D1419,'[2]LC Opportunity'!$Q$2:$U$542,3,FALSE)</f>
        <v>0</v>
      </c>
      <c r="G1419">
        <f>VLOOKUP($D1419,'[2]LC Opportunity'!$Q$2:$U$542,4,FALSE)</f>
        <v>0</v>
      </c>
      <c r="H1419">
        <f>VLOOKUP($D1419,'[2]LC Opportunity'!$Q$2:$U$542,5,FALSE)</f>
        <v>0.99999999999999989</v>
      </c>
      <c r="I1419" s="77">
        <f t="shared" si="4581"/>
        <v>0.99999999999999989</v>
      </c>
      <c r="J1419" s="77">
        <f t="shared" si="4582"/>
        <v>7.1999999999999981E-2</v>
      </c>
      <c r="K1419" s="77">
        <f t="shared" si="4476"/>
        <v>5.8106552987937654E-3</v>
      </c>
      <c r="L1419" s="76">
        <v>0</v>
      </c>
      <c r="M1419" s="77">
        <f t="shared" si="4588"/>
        <v>0</v>
      </c>
      <c r="N1419" s="77">
        <f t="shared" si="4589"/>
        <v>0</v>
      </c>
      <c r="O1419" s="77">
        <f t="shared" si="4590"/>
        <v>4.9999999999999992E-3</v>
      </c>
      <c r="P1419" s="77">
        <f t="shared" si="4591"/>
        <v>4.1762458919303302E-4</v>
      </c>
      <c r="R1419" t="s">
        <v>177</v>
      </c>
      <c r="S1419" t="s">
        <v>180</v>
      </c>
      <c r="T1419" s="197" t="str">
        <f t="shared" si="4472"/>
        <v>Autopilot_Opportunity_210</v>
      </c>
      <c r="U1419">
        <v>210</v>
      </c>
      <c r="V1419">
        <f>VLOOKUP($U1419,'[2]AP Opportunity'!$Q$1:$T$542,2,FALSE)</f>
        <v>0.99999997777777772</v>
      </c>
      <c r="W1419">
        <f>VLOOKUP($U1419,'[2]AP Opportunity'!$Q$1:$T$542,3,FALSE)</f>
        <v>2.2222222284540294E-8</v>
      </c>
      <c r="X1419">
        <f>VLOOKUP($U1419,'[2]AP Opportunity'!$Q$1:$T$542,4,FALSE)</f>
        <v>0</v>
      </c>
      <c r="Y1419" s="77">
        <f t="shared" si="4473"/>
        <v>1</v>
      </c>
      <c r="Z1419" s="77">
        <f t="shared" si="4477"/>
        <v>6.4624999704999977E-2</v>
      </c>
      <c r="AA1419" s="77">
        <f t="shared" si="4478"/>
        <v>5.2321923767311151E-3</v>
      </c>
      <c r="AB1419" s="79">
        <v>1</v>
      </c>
      <c r="AC1419" s="77">
        <f t="shared" si="4592"/>
        <v>8.499999955555556E-3</v>
      </c>
      <c r="AD1419" s="77">
        <f t="shared" ref="AD1419" si="4617">1-(1-AC1419)^(1/12)</f>
        <v>7.1110795759765644E-4</v>
      </c>
      <c r="AE1419" s="77">
        <f t="shared" si="4594"/>
        <v>2.5000000000000001E-3</v>
      </c>
      <c r="AF1419" s="77">
        <f t="shared" ref="AF1419" si="4618">1-(1-AE1419)^(1/12)</f>
        <v>2.0857243058891584E-4</v>
      </c>
      <c r="AH1419" t="s">
        <v>175</v>
      </c>
      <c r="AI1419" t="s">
        <v>180</v>
      </c>
      <c r="AJ1419" s="197" t="str">
        <f t="shared" si="4585"/>
        <v>Lifecycle_Opportunity_210</v>
      </c>
      <c r="AK1419">
        <v>210</v>
      </c>
      <c r="AL1419">
        <f>VLOOKUP($U1419,[2]Standard_Opportunity!$Q$1:$T$542,2,FALSE)</f>
        <v>0.99999997777777772</v>
      </c>
      <c r="AM1419">
        <f>VLOOKUP($U1419,[2]Standard_Opportunity!$Q$1:$T$542,3,FALSE)</f>
        <v>2.2222222284540294E-8</v>
      </c>
      <c r="AN1419">
        <f>VLOOKUP($U1419,[2]Standard_Opportunity!$Q$1:$T$542,4,FALSE)</f>
        <v>0</v>
      </c>
      <c r="AO1419" s="77">
        <f t="shared" si="4586"/>
        <v>1</v>
      </c>
      <c r="AP1419" s="77">
        <f t="shared" si="4596"/>
        <v>6.4624999704999977E-2</v>
      </c>
      <c r="AQ1419" s="77">
        <f t="shared" si="4587"/>
        <v>5.2321923767311151E-3</v>
      </c>
      <c r="AR1419" s="79">
        <v>0</v>
      </c>
      <c r="AS1419" s="77">
        <f t="shared" si="4597"/>
        <v>0</v>
      </c>
      <c r="AT1419" s="77">
        <f t="shared" si="4598"/>
        <v>0</v>
      </c>
      <c r="AU1419" s="77">
        <f t="shared" si="4599"/>
        <v>2.5000000000000001E-3</v>
      </c>
      <c r="AV1419" s="77">
        <f t="shared" si="4600"/>
        <v>2.0809499864316017E-4</v>
      </c>
    </row>
    <row r="1420" spans="1:48">
      <c r="A1420" t="s">
        <v>175</v>
      </c>
      <c r="B1420" t="s">
        <v>180</v>
      </c>
      <c r="C1420" s="197" t="str">
        <f t="shared" si="4471"/>
        <v>Lifecycle_Opportunity_209</v>
      </c>
      <c r="D1420">
        <v>209</v>
      </c>
      <c r="E1420">
        <f>VLOOKUP($D1420,'[2]LC Opportunity'!$Q$2:$U$542,2,FALSE)</f>
        <v>0</v>
      </c>
      <c r="F1420">
        <f>VLOOKUP($D1420,'[2]LC Opportunity'!$Q$2:$U$542,3,FALSE)</f>
        <v>0</v>
      </c>
      <c r="G1420">
        <f>VLOOKUP($D1420,'[2]LC Opportunity'!$Q$2:$U$542,4,FALSE)</f>
        <v>0</v>
      </c>
      <c r="H1420">
        <f>VLOOKUP($D1420,'[2]LC Opportunity'!$Q$2:$U$542,5,FALSE)</f>
        <v>0.99999999999999989</v>
      </c>
      <c r="I1420" s="77">
        <f t="shared" si="4581"/>
        <v>0.99999999999999989</v>
      </c>
      <c r="J1420" s="77">
        <f t="shared" si="4582"/>
        <v>7.1999999999999981E-2</v>
      </c>
      <c r="K1420" s="77">
        <f t="shared" si="4476"/>
        <v>5.8106552987937654E-3</v>
      </c>
      <c r="L1420" s="76">
        <v>0</v>
      </c>
      <c r="M1420" s="77">
        <f t="shared" si="4588"/>
        <v>0</v>
      </c>
      <c r="N1420" s="77">
        <f t="shared" si="4589"/>
        <v>0</v>
      </c>
      <c r="O1420" s="77">
        <f t="shared" si="4590"/>
        <v>4.9999999999999992E-3</v>
      </c>
      <c r="P1420" s="77">
        <f t="shared" si="4591"/>
        <v>4.1762458919303302E-4</v>
      </c>
      <c r="R1420" t="s">
        <v>177</v>
      </c>
      <c r="S1420" t="s">
        <v>180</v>
      </c>
      <c r="T1420" s="197" t="str">
        <f t="shared" si="4472"/>
        <v>Autopilot_Opportunity_209</v>
      </c>
      <c r="U1420">
        <v>209</v>
      </c>
      <c r="V1420">
        <f>VLOOKUP($U1420,'[2]AP Opportunity'!$Q$1:$T$542,2,FALSE)</f>
        <v>0.99999997777777772</v>
      </c>
      <c r="W1420">
        <f>VLOOKUP($U1420,'[2]AP Opportunity'!$Q$1:$T$542,3,FALSE)</f>
        <v>2.2222222284540294E-8</v>
      </c>
      <c r="X1420">
        <f>VLOOKUP($U1420,'[2]AP Opportunity'!$Q$1:$T$542,4,FALSE)</f>
        <v>0</v>
      </c>
      <c r="Y1420" s="77">
        <f t="shared" si="4473"/>
        <v>1</v>
      </c>
      <c r="Z1420" s="77">
        <f t="shared" si="4477"/>
        <v>6.4624999704999977E-2</v>
      </c>
      <c r="AA1420" s="77">
        <f t="shared" si="4478"/>
        <v>5.2321923767311151E-3</v>
      </c>
      <c r="AB1420" s="79">
        <v>1</v>
      </c>
      <c r="AC1420" s="77">
        <f t="shared" si="4592"/>
        <v>8.499999955555556E-3</v>
      </c>
      <c r="AD1420" s="77">
        <f t="shared" ref="AD1420" si="4619">1-(1-AC1420)^(1/12)</f>
        <v>7.1110795759765644E-4</v>
      </c>
      <c r="AE1420" s="77">
        <f t="shared" si="4594"/>
        <v>2.5000000000000001E-3</v>
      </c>
      <c r="AF1420" s="77">
        <f t="shared" ref="AF1420" si="4620">1-(1-AE1420)^(1/12)</f>
        <v>2.0857243058891584E-4</v>
      </c>
      <c r="AH1420" t="s">
        <v>175</v>
      </c>
      <c r="AI1420" t="s">
        <v>180</v>
      </c>
      <c r="AJ1420" s="197" t="str">
        <f t="shared" si="4585"/>
        <v>Lifecycle_Opportunity_209</v>
      </c>
      <c r="AK1420">
        <v>209</v>
      </c>
      <c r="AL1420">
        <f>VLOOKUP($U1420,[2]Standard_Opportunity!$Q$1:$T$542,2,FALSE)</f>
        <v>0.99999997777777772</v>
      </c>
      <c r="AM1420">
        <f>VLOOKUP($U1420,[2]Standard_Opportunity!$Q$1:$T$542,3,FALSE)</f>
        <v>2.2222222284540294E-8</v>
      </c>
      <c r="AN1420">
        <f>VLOOKUP($U1420,[2]Standard_Opportunity!$Q$1:$T$542,4,FALSE)</f>
        <v>0</v>
      </c>
      <c r="AO1420" s="77">
        <f t="shared" si="4586"/>
        <v>1</v>
      </c>
      <c r="AP1420" s="77">
        <f t="shared" si="4596"/>
        <v>6.4624999704999977E-2</v>
      </c>
      <c r="AQ1420" s="77">
        <f t="shared" si="4587"/>
        <v>5.2321923767311151E-3</v>
      </c>
      <c r="AR1420" s="79">
        <v>0</v>
      </c>
      <c r="AS1420" s="77">
        <f t="shared" si="4597"/>
        <v>0</v>
      </c>
      <c r="AT1420" s="77">
        <f t="shared" si="4598"/>
        <v>0</v>
      </c>
      <c r="AU1420" s="77">
        <f t="shared" si="4599"/>
        <v>2.5000000000000001E-3</v>
      </c>
      <c r="AV1420" s="77">
        <f t="shared" si="4600"/>
        <v>2.0809499864316017E-4</v>
      </c>
    </row>
    <row r="1421" spans="1:48">
      <c r="A1421" t="s">
        <v>175</v>
      </c>
      <c r="B1421" t="s">
        <v>180</v>
      </c>
      <c r="C1421" s="197" t="str">
        <f t="shared" ref="C1421:C1484" si="4621">A1421&amp;"_"&amp;B1421&amp;"_"&amp;D1421</f>
        <v>Lifecycle_Opportunity_208</v>
      </c>
      <c r="D1421">
        <v>208</v>
      </c>
      <c r="E1421">
        <f>VLOOKUP($D1421,'[2]LC Opportunity'!$Q$2:$U$542,2,FALSE)</f>
        <v>0</v>
      </c>
      <c r="F1421">
        <f>VLOOKUP($D1421,'[2]LC Opportunity'!$Q$2:$U$542,3,FALSE)</f>
        <v>0</v>
      </c>
      <c r="G1421">
        <f>VLOOKUP($D1421,'[2]LC Opportunity'!$Q$2:$U$542,4,FALSE)</f>
        <v>0</v>
      </c>
      <c r="H1421">
        <f>VLOOKUP($D1421,'[2]LC Opportunity'!$Q$2:$U$542,5,FALSE)</f>
        <v>0.99999999999999989</v>
      </c>
      <c r="I1421" s="77">
        <f t="shared" si="4581"/>
        <v>0.99999999999999989</v>
      </c>
      <c r="J1421" s="77">
        <f t="shared" si="4582"/>
        <v>7.1999999999999981E-2</v>
      </c>
      <c r="K1421" s="77">
        <f t="shared" si="4476"/>
        <v>5.8106552987937654E-3</v>
      </c>
      <c r="L1421" s="76">
        <v>0</v>
      </c>
      <c r="M1421" s="77">
        <f t="shared" si="4588"/>
        <v>0</v>
      </c>
      <c r="N1421" s="77">
        <f t="shared" si="4589"/>
        <v>0</v>
      </c>
      <c r="O1421" s="77">
        <f t="shared" si="4590"/>
        <v>4.9999999999999992E-3</v>
      </c>
      <c r="P1421" s="77">
        <f t="shared" si="4591"/>
        <v>4.1762458919303302E-4</v>
      </c>
      <c r="R1421" t="s">
        <v>177</v>
      </c>
      <c r="S1421" t="s">
        <v>180</v>
      </c>
      <c r="T1421" s="197" t="str">
        <f t="shared" ref="T1421:T1484" si="4622">R1421&amp;"_"&amp;S1421&amp;"_"&amp;U1421</f>
        <v>Autopilot_Opportunity_208</v>
      </c>
      <c r="U1421">
        <v>208</v>
      </c>
      <c r="V1421">
        <f>VLOOKUP($U1421,'[2]AP Opportunity'!$Q$1:$T$542,2,FALSE)</f>
        <v>0.99999997777777772</v>
      </c>
      <c r="W1421">
        <f>VLOOKUP($U1421,'[2]AP Opportunity'!$Q$1:$T$542,3,FALSE)</f>
        <v>2.2222222284540294E-8</v>
      </c>
      <c r="X1421">
        <f>VLOOKUP($U1421,'[2]AP Opportunity'!$Q$1:$T$542,4,FALSE)</f>
        <v>0</v>
      </c>
      <c r="Y1421" s="77">
        <f t="shared" ref="Y1421:Y1484" si="4623">SUM(V1421:X1421)</f>
        <v>1</v>
      </c>
      <c r="Z1421" s="77">
        <f t="shared" si="4477"/>
        <v>6.4624999704999977E-2</v>
      </c>
      <c r="AA1421" s="77">
        <f t="shared" si="4478"/>
        <v>5.2321923767311151E-3</v>
      </c>
      <c r="AB1421" s="79">
        <v>1</v>
      </c>
      <c r="AC1421" s="77">
        <f t="shared" si="4592"/>
        <v>8.499999955555556E-3</v>
      </c>
      <c r="AD1421" s="77">
        <f t="shared" ref="AD1421" si="4624">1-(1-AC1421)^(1/12)</f>
        <v>7.1110795759765644E-4</v>
      </c>
      <c r="AE1421" s="77">
        <f t="shared" si="4594"/>
        <v>2.5000000000000001E-3</v>
      </c>
      <c r="AF1421" s="77">
        <f t="shared" ref="AF1421" si="4625">1-(1-AE1421)^(1/12)</f>
        <v>2.0857243058891584E-4</v>
      </c>
      <c r="AH1421" t="s">
        <v>175</v>
      </c>
      <c r="AI1421" t="s">
        <v>180</v>
      </c>
      <c r="AJ1421" s="197" t="str">
        <f t="shared" si="4585"/>
        <v>Lifecycle_Opportunity_208</v>
      </c>
      <c r="AK1421">
        <v>208</v>
      </c>
      <c r="AL1421">
        <f>VLOOKUP($U1421,[2]Standard_Opportunity!$Q$1:$T$542,2,FALSE)</f>
        <v>0.99999997777777772</v>
      </c>
      <c r="AM1421">
        <f>VLOOKUP($U1421,[2]Standard_Opportunity!$Q$1:$T$542,3,FALSE)</f>
        <v>2.2222222284540294E-8</v>
      </c>
      <c r="AN1421">
        <f>VLOOKUP($U1421,[2]Standard_Opportunity!$Q$1:$T$542,4,FALSE)</f>
        <v>0</v>
      </c>
      <c r="AO1421" s="77">
        <f t="shared" si="4586"/>
        <v>1</v>
      </c>
      <c r="AP1421" s="77">
        <f t="shared" si="4596"/>
        <v>6.4624999704999977E-2</v>
      </c>
      <c r="AQ1421" s="77">
        <f t="shared" si="4587"/>
        <v>5.2321923767311151E-3</v>
      </c>
      <c r="AR1421" s="79">
        <v>0</v>
      </c>
      <c r="AS1421" s="77">
        <f t="shared" si="4597"/>
        <v>0</v>
      </c>
      <c r="AT1421" s="77">
        <f t="shared" si="4598"/>
        <v>0</v>
      </c>
      <c r="AU1421" s="77">
        <f t="shared" si="4599"/>
        <v>2.5000000000000001E-3</v>
      </c>
      <c r="AV1421" s="77">
        <f t="shared" si="4600"/>
        <v>2.0809499864316017E-4</v>
      </c>
    </row>
    <row r="1422" spans="1:48">
      <c r="A1422" t="s">
        <v>175</v>
      </c>
      <c r="B1422" t="s">
        <v>180</v>
      </c>
      <c r="C1422" s="197" t="str">
        <f t="shared" si="4621"/>
        <v>Lifecycle_Opportunity_207</v>
      </c>
      <c r="D1422">
        <v>207</v>
      </c>
      <c r="E1422">
        <f>VLOOKUP($D1422,'[2]LC Opportunity'!$Q$2:$U$542,2,FALSE)</f>
        <v>0</v>
      </c>
      <c r="F1422">
        <f>VLOOKUP($D1422,'[2]LC Opportunity'!$Q$2:$U$542,3,FALSE)</f>
        <v>0</v>
      </c>
      <c r="G1422">
        <f>VLOOKUP($D1422,'[2]LC Opportunity'!$Q$2:$U$542,4,FALSE)</f>
        <v>0</v>
      </c>
      <c r="H1422">
        <f>VLOOKUP($D1422,'[2]LC Opportunity'!$Q$2:$U$542,5,FALSE)</f>
        <v>0.99999999999999989</v>
      </c>
      <c r="I1422" s="77">
        <f t="shared" si="4581"/>
        <v>0.99999999999999989</v>
      </c>
      <c r="J1422" s="77">
        <f t="shared" si="4582"/>
        <v>7.1999999999999981E-2</v>
      </c>
      <c r="K1422" s="77">
        <f t="shared" ref="K1422:K1485" si="4626">(1+J1422)^(1/12)-1</f>
        <v>5.8106552987937654E-3</v>
      </c>
      <c r="L1422" s="76">
        <v>0</v>
      </c>
      <c r="M1422" s="77">
        <f t="shared" si="4588"/>
        <v>0</v>
      </c>
      <c r="N1422" s="77">
        <f t="shared" si="4589"/>
        <v>0</v>
      </c>
      <c r="O1422" s="77">
        <f t="shared" si="4590"/>
        <v>4.9999999999999992E-3</v>
      </c>
      <c r="P1422" s="77">
        <f t="shared" si="4591"/>
        <v>4.1762458919303302E-4</v>
      </c>
      <c r="R1422" t="s">
        <v>177</v>
      </c>
      <c r="S1422" t="s">
        <v>180</v>
      </c>
      <c r="T1422" s="197" t="str">
        <f t="shared" si="4622"/>
        <v>Autopilot_Opportunity_207</v>
      </c>
      <c r="U1422">
        <v>207</v>
      </c>
      <c r="V1422">
        <f>VLOOKUP($U1422,'[2]AP Opportunity'!$Q$1:$T$542,2,FALSE)</f>
        <v>0.99999997777777772</v>
      </c>
      <c r="W1422">
        <f>VLOOKUP($U1422,'[2]AP Opportunity'!$Q$1:$T$542,3,FALSE)</f>
        <v>2.2222222284540294E-8</v>
      </c>
      <c r="X1422">
        <f>VLOOKUP($U1422,'[2]AP Opportunity'!$Q$1:$T$542,4,FALSE)</f>
        <v>0</v>
      </c>
      <c r="Y1422" s="77">
        <f t="shared" si="4623"/>
        <v>1</v>
      </c>
      <c r="Z1422" s="77">
        <f t="shared" ref="Z1422:Z1485" si="4627">SUMPRODUCT($V$1:$X$1,V1422:X1422)</f>
        <v>6.4624999704999977E-2</v>
      </c>
      <c r="AA1422" s="77">
        <f t="shared" ref="AA1422:AA1485" si="4628">(1+Z1422)^(1/12)-1</f>
        <v>5.2321923767311151E-3</v>
      </c>
      <c r="AB1422" s="79">
        <v>1</v>
      </c>
      <c r="AC1422" s="77">
        <f t="shared" si="4592"/>
        <v>8.499999955555556E-3</v>
      </c>
      <c r="AD1422" s="77">
        <f t="shared" ref="AD1422" si="4629">1-(1-AC1422)^(1/12)</f>
        <v>7.1110795759765644E-4</v>
      </c>
      <c r="AE1422" s="77">
        <f t="shared" si="4594"/>
        <v>2.5000000000000001E-3</v>
      </c>
      <c r="AF1422" s="77">
        <f t="shared" ref="AF1422" si="4630">1-(1-AE1422)^(1/12)</f>
        <v>2.0857243058891584E-4</v>
      </c>
      <c r="AH1422" t="s">
        <v>175</v>
      </c>
      <c r="AI1422" t="s">
        <v>180</v>
      </c>
      <c r="AJ1422" s="197" t="str">
        <f t="shared" si="4585"/>
        <v>Lifecycle_Opportunity_207</v>
      </c>
      <c r="AK1422">
        <v>207</v>
      </c>
      <c r="AL1422">
        <f>VLOOKUP($U1422,[2]Standard_Opportunity!$Q$1:$T$542,2,FALSE)</f>
        <v>0.99999997777777772</v>
      </c>
      <c r="AM1422">
        <f>VLOOKUP($U1422,[2]Standard_Opportunity!$Q$1:$T$542,3,FALSE)</f>
        <v>2.2222222284540294E-8</v>
      </c>
      <c r="AN1422">
        <f>VLOOKUP($U1422,[2]Standard_Opportunity!$Q$1:$T$542,4,FALSE)</f>
        <v>0</v>
      </c>
      <c r="AO1422" s="77">
        <f t="shared" si="4586"/>
        <v>1</v>
      </c>
      <c r="AP1422" s="77">
        <f t="shared" si="4596"/>
        <v>6.4624999704999977E-2</v>
      </c>
      <c r="AQ1422" s="77">
        <f t="shared" si="4587"/>
        <v>5.2321923767311151E-3</v>
      </c>
      <c r="AR1422" s="79">
        <v>0</v>
      </c>
      <c r="AS1422" s="77">
        <f t="shared" si="4597"/>
        <v>0</v>
      </c>
      <c r="AT1422" s="77">
        <f t="shared" si="4598"/>
        <v>0</v>
      </c>
      <c r="AU1422" s="77">
        <f t="shared" si="4599"/>
        <v>2.5000000000000001E-3</v>
      </c>
      <c r="AV1422" s="77">
        <f t="shared" si="4600"/>
        <v>2.0809499864316017E-4</v>
      </c>
    </row>
    <row r="1423" spans="1:48">
      <c r="A1423" t="s">
        <v>175</v>
      </c>
      <c r="B1423" t="s">
        <v>180</v>
      </c>
      <c r="C1423" s="197" t="str">
        <f t="shared" si="4621"/>
        <v>Lifecycle_Opportunity_206</v>
      </c>
      <c r="D1423">
        <v>206</v>
      </c>
      <c r="E1423">
        <f>VLOOKUP($D1423,'[2]LC Opportunity'!$Q$2:$U$542,2,FALSE)</f>
        <v>0</v>
      </c>
      <c r="F1423">
        <f>VLOOKUP($D1423,'[2]LC Opportunity'!$Q$2:$U$542,3,FALSE)</f>
        <v>0</v>
      </c>
      <c r="G1423">
        <f>VLOOKUP($D1423,'[2]LC Opportunity'!$Q$2:$U$542,4,FALSE)</f>
        <v>0</v>
      </c>
      <c r="H1423">
        <f>VLOOKUP($D1423,'[2]LC Opportunity'!$Q$2:$U$542,5,FALSE)</f>
        <v>0.99999999999999989</v>
      </c>
      <c r="I1423" s="77">
        <f t="shared" si="4581"/>
        <v>0.99999999999999989</v>
      </c>
      <c r="J1423" s="77">
        <f t="shared" si="4582"/>
        <v>7.1999999999999981E-2</v>
      </c>
      <c r="K1423" s="77">
        <f t="shared" si="4626"/>
        <v>5.8106552987937654E-3</v>
      </c>
      <c r="L1423" s="76">
        <v>0</v>
      </c>
      <c r="M1423" s="77">
        <f t="shared" si="4588"/>
        <v>0</v>
      </c>
      <c r="N1423" s="77">
        <f t="shared" si="4589"/>
        <v>0</v>
      </c>
      <c r="O1423" s="77">
        <f t="shared" si="4590"/>
        <v>4.9999999999999992E-3</v>
      </c>
      <c r="P1423" s="77">
        <f t="shared" si="4591"/>
        <v>4.1762458919303302E-4</v>
      </c>
      <c r="R1423" t="s">
        <v>177</v>
      </c>
      <c r="S1423" t="s">
        <v>180</v>
      </c>
      <c r="T1423" s="197" t="str">
        <f t="shared" si="4622"/>
        <v>Autopilot_Opportunity_206</v>
      </c>
      <c r="U1423">
        <v>206</v>
      </c>
      <c r="V1423">
        <f>VLOOKUP($U1423,'[2]AP Opportunity'!$Q$1:$T$542,2,FALSE)</f>
        <v>0.99999997777777772</v>
      </c>
      <c r="W1423">
        <f>VLOOKUP($U1423,'[2]AP Opportunity'!$Q$1:$T$542,3,FALSE)</f>
        <v>2.2222222284540294E-8</v>
      </c>
      <c r="X1423">
        <f>VLOOKUP($U1423,'[2]AP Opportunity'!$Q$1:$T$542,4,FALSE)</f>
        <v>0</v>
      </c>
      <c r="Y1423" s="77">
        <f t="shared" si="4623"/>
        <v>1</v>
      </c>
      <c r="Z1423" s="77">
        <f t="shared" si="4627"/>
        <v>6.4624999704999977E-2</v>
      </c>
      <c r="AA1423" s="77">
        <f t="shared" si="4628"/>
        <v>5.2321923767311151E-3</v>
      </c>
      <c r="AB1423" s="79">
        <v>1</v>
      </c>
      <c r="AC1423" s="77">
        <f t="shared" si="4592"/>
        <v>8.499999955555556E-3</v>
      </c>
      <c r="AD1423" s="77">
        <f t="shared" ref="AD1423" si="4631">1-(1-AC1423)^(1/12)</f>
        <v>7.1110795759765644E-4</v>
      </c>
      <c r="AE1423" s="77">
        <f t="shared" si="4594"/>
        <v>2.5000000000000001E-3</v>
      </c>
      <c r="AF1423" s="77">
        <f t="shared" ref="AF1423" si="4632">1-(1-AE1423)^(1/12)</f>
        <v>2.0857243058891584E-4</v>
      </c>
      <c r="AH1423" t="s">
        <v>175</v>
      </c>
      <c r="AI1423" t="s">
        <v>180</v>
      </c>
      <c r="AJ1423" s="197" t="str">
        <f t="shared" si="4585"/>
        <v>Lifecycle_Opportunity_206</v>
      </c>
      <c r="AK1423">
        <v>206</v>
      </c>
      <c r="AL1423">
        <f>VLOOKUP($U1423,[2]Standard_Opportunity!$Q$1:$T$542,2,FALSE)</f>
        <v>0.99999997777777772</v>
      </c>
      <c r="AM1423">
        <f>VLOOKUP($U1423,[2]Standard_Opportunity!$Q$1:$T$542,3,FALSE)</f>
        <v>2.2222222284540294E-8</v>
      </c>
      <c r="AN1423">
        <f>VLOOKUP($U1423,[2]Standard_Opportunity!$Q$1:$T$542,4,FALSE)</f>
        <v>0</v>
      </c>
      <c r="AO1423" s="77">
        <f t="shared" si="4586"/>
        <v>1</v>
      </c>
      <c r="AP1423" s="77">
        <f t="shared" si="4596"/>
        <v>6.4624999704999977E-2</v>
      </c>
      <c r="AQ1423" s="77">
        <f t="shared" si="4587"/>
        <v>5.2321923767311151E-3</v>
      </c>
      <c r="AR1423" s="79">
        <v>0</v>
      </c>
      <c r="AS1423" s="77">
        <f t="shared" si="4597"/>
        <v>0</v>
      </c>
      <c r="AT1423" s="77">
        <f t="shared" si="4598"/>
        <v>0</v>
      </c>
      <c r="AU1423" s="77">
        <f t="shared" si="4599"/>
        <v>2.5000000000000001E-3</v>
      </c>
      <c r="AV1423" s="77">
        <f t="shared" si="4600"/>
        <v>2.0809499864316017E-4</v>
      </c>
    </row>
    <row r="1424" spans="1:48">
      <c r="A1424" t="s">
        <v>175</v>
      </c>
      <c r="B1424" t="s">
        <v>180</v>
      </c>
      <c r="C1424" s="197" t="str">
        <f t="shared" si="4621"/>
        <v>Lifecycle_Opportunity_205</v>
      </c>
      <c r="D1424">
        <v>205</v>
      </c>
      <c r="E1424">
        <f>VLOOKUP($D1424,'[2]LC Opportunity'!$Q$2:$U$542,2,FALSE)</f>
        <v>0</v>
      </c>
      <c r="F1424">
        <f>VLOOKUP($D1424,'[2]LC Opportunity'!$Q$2:$U$542,3,FALSE)</f>
        <v>0</v>
      </c>
      <c r="G1424">
        <f>VLOOKUP($D1424,'[2]LC Opportunity'!$Q$2:$U$542,4,FALSE)</f>
        <v>0</v>
      </c>
      <c r="H1424">
        <f>VLOOKUP($D1424,'[2]LC Opportunity'!$Q$2:$U$542,5,FALSE)</f>
        <v>0.99999999999999989</v>
      </c>
      <c r="I1424" s="77">
        <f t="shared" si="4581"/>
        <v>0.99999999999999989</v>
      </c>
      <c r="J1424" s="77">
        <f t="shared" si="4582"/>
        <v>7.1999999999999981E-2</v>
      </c>
      <c r="K1424" s="77">
        <f t="shared" si="4626"/>
        <v>5.8106552987937654E-3</v>
      </c>
      <c r="L1424" s="76">
        <v>0</v>
      </c>
      <c r="M1424" s="77">
        <f t="shared" si="4588"/>
        <v>0</v>
      </c>
      <c r="N1424" s="77">
        <f t="shared" si="4589"/>
        <v>0</v>
      </c>
      <c r="O1424" s="77">
        <f t="shared" si="4590"/>
        <v>4.9999999999999992E-3</v>
      </c>
      <c r="P1424" s="77">
        <f t="shared" si="4591"/>
        <v>4.1762458919303302E-4</v>
      </c>
      <c r="R1424" t="s">
        <v>177</v>
      </c>
      <c r="S1424" t="s">
        <v>180</v>
      </c>
      <c r="T1424" s="197" t="str">
        <f t="shared" si="4622"/>
        <v>Autopilot_Opportunity_205</v>
      </c>
      <c r="U1424">
        <v>205</v>
      </c>
      <c r="V1424">
        <f>VLOOKUP($U1424,'[2]AP Opportunity'!$Q$1:$T$542,2,FALSE)</f>
        <v>0.99999997777777772</v>
      </c>
      <c r="W1424">
        <f>VLOOKUP($U1424,'[2]AP Opportunity'!$Q$1:$T$542,3,FALSE)</f>
        <v>2.2222222284540294E-8</v>
      </c>
      <c r="X1424">
        <f>VLOOKUP($U1424,'[2]AP Opportunity'!$Q$1:$T$542,4,FALSE)</f>
        <v>0</v>
      </c>
      <c r="Y1424" s="77">
        <f t="shared" si="4623"/>
        <v>1</v>
      </c>
      <c r="Z1424" s="77">
        <f t="shared" si="4627"/>
        <v>6.4624999704999977E-2</v>
      </c>
      <c r="AA1424" s="77">
        <f t="shared" si="4628"/>
        <v>5.2321923767311151E-3</v>
      </c>
      <c r="AB1424" s="79">
        <v>1</v>
      </c>
      <c r="AC1424" s="77">
        <f t="shared" si="4592"/>
        <v>8.499999955555556E-3</v>
      </c>
      <c r="AD1424" s="77">
        <f t="shared" ref="AD1424" si="4633">1-(1-AC1424)^(1/12)</f>
        <v>7.1110795759765644E-4</v>
      </c>
      <c r="AE1424" s="77">
        <f t="shared" si="4594"/>
        <v>2.5000000000000001E-3</v>
      </c>
      <c r="AF1424" s="77">
        <f t="shared" ref="AF1424" si="4634">1-(1-AE1424)^(1/12)</f>
        <v>2.0857243058891584E-4</v>
      </c>
      <c r="AH1424" t="s">
        <v>175</v>
      </c>
      <c r="AI1424" t="s">
        <v>180</v>
      </c>
      <c r="AJ1424" s="197" t="str">
        <f t="shared" si="4585"/>
        <v>Lifecycle_Opportunity_205</v>
      </c>
      <c r="AK1424">
        <v>205</v>
      </c>
      <c r="AL1424">
        <f>VLOOKUP($U1424,[2]Standard_Opportunity!$Q$1:$T$542,2,FALSE)</f>
        <v>0.99999997777777772</v>
      </c>
      <c r="AM1424">
        <f>VLOOKUP($U1424,[2]Standard_Opportunity!$Q$1:$T$542,3,FALSE)</f>
        <v>2.2222222284540294E-8</v>
      </c>
      <c r="AN1424">
        <f>VLOOKUP($U1424,[2]Standard_Opportunity!$Q$1:$T$542,4,FALSE)</f>
        <v>0</v>
      </c>
      <c r="AO1424" s="77">
        <f t="shared" si="4586"/>
        <v>1</v>
      </c>
      <c r="AP1424" s="77">
        <f t="shared" si="4596"/>
        <v>6.4624999704999977E-2</v>
      </c>
      <c r="AQ1424" s="77">
        <f t="shared" si="4587"/>
        <v>5.2321923767311151E-3</v>
      </c>
      <c r="AR1424" s="79">
        <v>0</v>
      </c>
      <c r="AS1424" s="77">
        <f t="shared" si="4597"/>
        <v>0</v>
      </c>
      <c r="AT1424" s="77">
        <f t="shared" si="4598"/>
        <v>0</v>
      </c>
      <c r="AU1424" s="77">
        <f t="shared" si="4599"/>
        <v>2.5000000000000001E-3</v>
      </c>
      <c r="AV1424" s="77">
        <f t="shared" si="4600"/>
        <v>2.0809499864316017E-4</v>
      </c>
    </row>
    <row r="1425" spans="1:48">
      <c r="A1425" t="s">
        <v>175</v>
      </c>
      <c r="B1425" t="s">
        <v>180</v>
      </c>
      <c r="C1425" s="197" t="str">
        <f t="shared" si="4621"/>
        <v>Lifecycle_Opportunity_204</v>
      </c>
      <c r="D1425">
        <v>204</v>
      </c>
      <c r="E1425">
        <f>VLOOKUP($D1425,'[2]LC Opportunity'!$Q$2:$U$542,2,FALSE)</f>
        <v>0</v>
      </c>
      <c r="F1425">
        <f>VLOOKUP($D1425,'[2]LC Opportunity'!$Q$2:$U$542,3,FALSE)</f>
        <v>0</v>
      </c>
      <c r="G1425">
        <f>VLOOKUP($D1425,'[2]LC Opportunity'!$Q$2:$U$542,4,FALSE)</f>
        <v>0</v>
      </c>
      <c r="H1425">
        <f>VLOOKUP($D1425,'[2]LC Opportunity'!$Q$2:$U$542,5,FALSE)</f>
        <v>0.99999999999999989</v>
      </c>
      <c r="I1425" s="77">
        <f t="shared" si="4581"/>
        <v>0.99999999999999989</v>
      </c>
      <c r="J1425" s="77">
        <f t="shared" si="4582"/>
        <v>7.1999999999999981E-2</v>
      </c>
      <c r="K1425" s="77">
        <f t="shared" si="4626"/>
        <v>5.8106552987937654E-3</v>
      </c>
      <c r="L1425" s="76">
        <v>0</v>
      </c>
      <c r="M1425" s="77">
        <f t="shared" si="4588"/>
        <v>0</v>
      </c>
      <c r="N1425" s="77">
        <f t="shared" si="4589"/>
        <v>0</v>
      </c>
      <c r="O1425" s="77">
        <f t="shared" si="4590"/>
        <v>4.9999999999999992E-3</v>
      </c>
      <c r="P1425" s="77">
        <f t="shared" si="4591"/>
        <v>4.1762458919303302E-4</v>
      </c>
      <c r="R1425" t="s">
        <v>177</v>
      </c>
      <c r="S1425" t="s">
        <v>180</v>
      </c>
      <c r="T1425" s="197" t="str">
        <f t="shared" si="4622"/>
        <v>Autopilot_Opportunity_204</v>
      </c>
      <c r="U1425">
        <v>204</v>
      </c>
      <c r="V1425">
        <f>VLOOKUP($U1425,'[2]AP Opportunity'!$Q$1:$T$542,2,FALSE)</f>
        <v>0.99999997777777772</v>
      </c>
      <c r="W1425">
        <f>VLOOKUP($U1425,'[2]AP Opportunity'!$Q$1:$T$542,3,FALSE)</f>
        <v>2.2222222284540294E-8</v>
      </c>
      <c r="X1425">
        <f>VLOOKUP($U1425,'[2]AP Opportunity'!$Q$1:$T$542,4,FALSE)</f>
        <v>0</v>
      </c>
      <c r="Y1425" s="77">
        <f t="shared" si="4623"/>
        <v>1</v>
      </c>
      <c r="Z1425" s="77">
        <f t="shared" si="4627"/>
        <v>6.4624999704999977E-2</v>
      </c>
      <c r="AA1425" s="77">
        <f t="shared" si="4628"/>
        <v>5.2321923767311151E-3</v>
      </c>
      <c r="AB1425" s="79">
        <v>1</v>
      </c>
      <c r="AC1425" s="77">
        <f t="shared" si="4592"/>
        <v>8.499999955555556E-3</v>
      </c>
      <c r="AD1425" s="77">
        <f t="shared" ref="AD1425" si="4635">1-(1-AC1425)^(1/12)</f>
        <v>7.1110795759765644E-4</v>
      </c>
      <c r="AE1425" s="77">
        <f t="shared" si="4594"/>
        <v>2.5000000000000001E-3</v>
      </c>
      <c r="AF1425" s="77">
        <f t="shared" ref="AF1425" si="4636">1-(1-AE1425)^(1/12)</f>
        <v>2.0857243058891584E-4</v>
      </c>
      <c r="AH1425" t="s">
        <v>175</v>
      </c>
      <c r="AI1425" t="s">
        <v>180</v>
      </c>
      <c r="AJ1425" s="197" t="str">
        <f t="shared" si="4585"/>
        <v>Lifecycle_Opportunity_204</v>
      </c>
      <c r="AK1425">
        <v>204</v>
      </c>
      <c r="AL1425">
        <f>VLOOKUP($U1425,[2]Standard_Opportunity!$Q$1:$T$542,2,FALSE)</f>
        <v>0.99999997777777772</v>
      </c>
      <c r="AM1425">
        <f>VLOOKUP($U1425,[2]Standard_Opportunity!$Q$1:$T$542,3,FALSE)</f>
        <v>2.2222222284540294E-8</v>
      </c>
      <c r="AN1425">
        <f>VLOOKUP($U1425,[2]Standard_Opportunity!$Q$1:$T$542,4,FALSE)</f>
        <v>0</v>
      </c>
      <c r="AO1425" s="77">
        <f t="shared" si="4586"/>
        <v>1</v>
      </c>
      <c r="AP1425" s="77">
        <f t="shared" si="4596"/>
        <v>6.4624999704999977E-2</v>
      </c>
      <c r="AQ1425" s="77">
        <f t="shared" si="4587"/>
        <v>5.2321923767311151E-3</v>
      </c>
      <c r="AR1425" s="79">
        <v>0</v>
      </c>
      <c r="AS1425" s="77">
        <f t="shared" si="4597"/>
        <v>0</v>
      </c>
      <c r="AT1425" s="77">
        <f t="shared" si="4598"/>
        <v>0</v>
      </c>
      <c r="AU1425" s="77">
        <f t="shared" si="4599"/>
        <v>2.5000000000000001E-3</v>
      </c>
      <c r="AV1425" s="77">
        <f t="shared" si="4600"/>
        <v>2.0809499864316017E-4</v>
      </c>
    </row>
    <row r="1426" spans="1:48">
      <c r="A1426" t="s">
        <v>175</v>
      </c>
      <c r="B1426" t="s">
        <v>180</v>
      </c>
      <c r="C1426" s="197" t="str">
        <f t="shared" si="4621"/>
        <v>Lifecycle_Opportunity_203</v>
      </c>
      <c r="D1426">
        <v>203</v>
      </c>
      <c r="E1426">
        <f>VLOOKUP($D1426,'[2]LC Opportunity'!$Q$2:$U$542,2,FALSE)</f>
        <v>0</v>
      </c>
      <c r="F1426">
        <f>VLOOKUP($D1426,'[2]LC Opportunity'!$Q$2:$U$542,3,FALSE)</f>
        <v>0</v>
      </c>
      <c r="G1426">
        <f>VLOOKUP($D1426,'[2]LC Opportunity'!$Q$2:$U$542,4,FALSE)</f>
        <v>0</v>
      </c>
      <c r="H1426">
        <f>VLOOKUP($D1426,'[2]LC Opportunity'!$Q$2:$U$542,5,FALSE)</f>
        <v>0.99999999999999989</v>
      </c>
      <c r="I1426" s="77">
        <f t="shared" si="4581"/>
        <v>0.99999999999999989</v>
      </c>
      <c r="J1426" s="77">
        <f t="shared" si="4582"/>
        <v>7.1999999999999981E-2</v>
      </c>
      <c r="K1426" s="77">
        <f t="shared" si="4626"/>
        <v>5.8106552987937654E-3</v>
      </c>
      <c r="L1426" s="76">
        <v>0</v>
      </c>
      <c r="M1426" s="77">
        <f t="shared" si="4588"/>
        <v>0</v>
      </c>
      <c r="N1426" s="77">
        <f t="shared" si="4589"/>
        <v>0</v>
      </c>
      <c r="O1426" s="77">
        <f t="shared" si="4590"/>
        <v>4.9999999999999992E-3</v>
      </c>
      <c r="P1426" s="77">
        <f t="shared" si="4591"/>
        <v>4.1762458919303302E-4</v>
      </c>
      <c r="R1426" t="s">
        <v>177</v>
      </c>
      <c r="S1426" t="s">
        <v>180</v>
      </c>
      <c r="T1426" s="197" t="str">
        <f t="shared" si="4622"/>
        <v>Autopilot_Opportunity_203</v>
      </c>
      <c r="U1426">
        <v>203</v>
      </c>
      <c r="V1426">
        <f>VLOOKUP($U1426,'[2]AP Opportunity'!$Q$1:$T$542,2,FALSE)</f>
        <v>0.99999997777777772</v>
      </c>
      <c r="W1426">
        <f>VLOOKUP($U1426,'[2]AP Opportunity'!$Q$1:$T$542,3,FALSE)</f>
        <v>2.2222222284540294E-8</v>
      </c>
      <c r="X1426">
        <f>VLOOKUP($U1426,'[2]AP Opportunity'!$Q$1:$T$542,4,FALSE)</f>
        <v>0</v>
      </c>
      <c r="Y1426" s="77">
        <f t="shared" si="4623"/>
        <v>1</v>
      </c>
      <c r="Z1426" s="77">
        <f t="shared" si="4627"/>
        <v>6.4624999704999977E-2</v>
      </c>
      <c r="AA1426" s="77">
        <f t="shared" si="4628"/>
        <v>5.2321923767311151E-3</v>
      </c>
      <c r="AB1426" s="79">
        <v>1</v>
      </c>
      <c r="AC1426" s="77">
        <f t="shared" si="4592"/>
        <v>8.499999955555556E-3</v>
      </c>
      <c r="AD1426" s="77">
        <f t="shared" ref="AD1426" si="4637">1-(1-AC1426)^(1/12)</f>
        <v>7.1110795759765644E-4</v>
      </c>
      <c r="AE1426" s="77">
        <f t="shared" si="4594"/>
        <v>2.5000000000000001E-3</v>
      </c>
      <c r="AF1426" s="77">
        <f t="shared" ref="AF1426" si="4638">1-(1-AE1426)^(1/12)</f>
        <v>2.0857243058891584E-4</v>
      </c>
      <c r="AH1426" t="s">
        <v>175</v>
      </c>
      <c r="AI1426" t="s">
        <v>180</v>
      </c>
      <c r="AJ1426" s="197" t="str">
        <f t="shared" si="4585"/>
        <v>Lifecycle_Opportunity_203</v>
      </c>
      <c r="AK1426">
        <v>203</v>
      </c>
      <c r="AL1426">
        <f>VLOOKUP($U1426,[2]Standard_Opportunity!$Q$1:$T$542,2,FALSE)</f>
        <v>0.99999997777777772</v>
      </c>
      <c r="AM1426">
        <f>VLOOKUP($U1426,[2]Standard_Opportunity!$Q$1:$T$542,3,FALSE)</f>
        <v>2.2222222284540294E-8</v>
      </c>
      <c r="AN1426">
        <f>VLOOKUP($U1426,[2]Standard_Opportunity!$Q$1:$T$542,4,FALSE)</f>
        <v>0</v>
      </c>
      <c r="AO1426" s="77">
        <f t="shared" si="4586"/>
        <v>1</v>
      </c>
      <c r="AP1426" s="77">
        <f t="shared" si="4596"/>
        <v>6.4624999704999977E-2</v>
      </c>
      <c r="AQ1426" s="77">
        <f t="shared" si="4587"/>
        <v>5.2321923767311151E-3</v>
      </c>
      <c r="AR1426" s="79">
        <v>0</v>
      </c>
      <c r="AS1426" s="77">
        <f t="shared" si="4597"/>
        <v>0</v>
      </c>
      <c r="AT1426" s="77">
        <f t="shared" si="4598"/>
        <v>0</v>
      </c>
      <c r="AU1426" s="77">
        <f t="shared" si="4599"/>
        <v>2.5000000000000001E-3</v>
      </c>
      <c r="AV1426" s="77">
        <f t="shared" si="4600"/>
        <v>2.0809499864316017E-4</v>
      </c>
    </row>
    <row r="1427" spans="1:48">
      <c r="A1427" t="s">
        <v>175</v>
      </c>
      <c r="B1427" t="s">
        <v>180</v>
      </c>
      <c r="C1427" s="197" t="str">
        <f t="shared" si="4621"/>
        <v>Lifecycle_Opportunity_202</v>
      </c>
      <c r="D1427">
        <v>202</v>
      </c>
      <c r="E1427">
        <f>VLOOKUP($D1427,'[2]LC Opportunity'!$Q$2:$U$542,2,FALSE)</f>
        <v>0</v>
      </c>
      <c r="F1427">
        <f>VLOOKUP($D1427,'[2]LC Opportunity'!$Q$2:$U$542,3,FALSE)</f>
        <v>0</v>
      </c>
      <c r="G1427">
        <f>VLOOKUP($D1427,'[2]LC Opportunity'!$Q$2:$U$542,4,FALSE)</f>
        <v>0</v>
      </c>
      <c r="H1427">
        <f>VLOOKUP($D1427,'[2]LC Opportunity'!$Q$2:$U$542,5,FALSE)</f>
        <v>0.99999999999999989</v>
      </c>
      <c r="I1427" s="77">
        <f t="shared" si="4581"/>
        <v>0.99999999999999989</v>
      </c>
      <c r="J1427" s="77">
        <f t="shared" si="4582"/>
        <v>7.1999999999999981E-2</v>
      </c>
      <c r="K1427" s="77">
        <f t="shared" si="4626"/>
        <v>5.8106552987937654E-3</v>
      </c>
      <c r="L1427" s="76">
        <v>0</v>
      </c>
      <c r="M1427" s="77">
        <f t="shared" si="4588"/>
        <v>0</v>
      </c>
      <c r="N1427" s="77">
        <f t="shared" si="4589"/>
        <v>0</v>
      </c>
      <c r="O1427" s="77">
        <f t="shared" si="4590"/>
        <v>4.9999999999999992E-3</v>
      </c>
      <c r="P1427" s="77">
        <f t="shared" si="4591"/>
        <v>4.1762458919303302E-4</v>
      </c>
      <c r="R1427" t="s">
        <v>177</v>
      </c>
      <c r="S1427" t="s">
        <v>180</v>
      </c>
      <c r="T1427" s="197" t="str">
        <f t="shared" si="4622"/>
        <v>Autopilot_Opportunity_202</v>
      </c>
      <c r="U1427">
        <v>202</v>
      </c>
      <c r="V1427">
        <f>VLOOKUP($U1427,'[2]AP Opportunity'!$Q$1:$T$542,2,FALSE)</f>
        <v>0.99999997777777772</v>
      </c>
      <c r="W1427">
        <f>VLOOKUP($U1427,'[2]AP Opportunity'!$Q$1:$T$542,3,FALSE)</f>
        <v>2.2222222284540294E-8</v>
      </c>
      <c r="X1427">
        <f>VLOOKUP($U1427,'[2]AP Opportunity'!$Q$1:$T$542,4,FALSE)</f>
        <v>0</v>
      </c>
      <c r="Y1427" s="77">
        <f t="shared" si="4623"/>
        <v>1</v>
      </c>
      <c r="Z1427" s="77">
        <f t="shared" si="4627"/>
        <v>6.4624999704999977E-2</v>
      </c>
      <c r="AA1427" s="77">
        <f t="shared" si="4628"/>
        <v>5.2321923767311151E-3</v>
      </c>
      <c r="AB1427" s="79">
        <v>1</v>
      </c>
      <c r="AC1427" s="77">
        <f t="shared" si="4592"/>
        <v>8.499999955555556E-3</v>
      </c>
      <c r="AD1427" s="77">
        <f t="shared" ref="AD1427" si="4639">1-(1-AC1427)^(1/12)</f>
        <v>7.1110795759765644E-4</v>
      </c>
      <c r="AE1427" s="77">
        <f t="shared" si="4594"/>
        <v>2.5000000000000001E-3</v>
      </c>
      <c r="AF1427" s="77">
        <f t="shared" ref="AF1427" si="4640">1-(1-AE1427)^(1/12)</f>
        <v>2.0857243058891584E-4</v>
      </c>
      <c r="AH1427" t="s">
        <v>175</v>
      </c>
      <c r="AI1427" t="s">
        <v>180</v>
      </c>
      <c r="AJ1427" s="197" t="str">
        <f t="shared" si="4585"/>
        <v>Lifecycle_Opportunity_202</v>
      </c>
      <c r="AK1427">
        <v>202</v>
      </c>
      <c r="AL1427">
        <f>VLOOKUP($U1427,[2]Standard_Opportunity!$Q$1:$T$542,2,FALSE)</f>
        <v>0.99999997777777772</v>
      </c>
      <c r="AM1427">
        <f>VLOOKUP($U1427,[2]Standard_Opportunity!$Q$1:$T$542,3,FALSE)</f>
        <v>2.2222222284540294E-8</v>
      </c>
      <c r="AN1427">
        <f>VLOOKUP($U1427,[2]Standard_Opportunity!$Q$1:$T$542,4,FALSE)</f>
        <v>0</v>
      </c>
      <c r="AO1427" s="77">
        <f t="shared" si="4586"/>
        <v>1</v>
      </c>
      <c r="AP1427" s="77">
        <f t="shared" si="4596"/>
        <v>6.4624999704999977E-2</v>
      </c>
      <c r="AQ1427" s="77">
        <f t="shared" si="4587"/>
        <v>5.2321923767311151E-3</v>
      </c>
      <c r="AR1427" s="79">
        <v>0</v>
      </c>
      <c r="AS1427" s="77">
        <f t="shared" si="4597"/>
        <v>0</v>
      </c>
      <c r="AT1427" s="77">
        <f t="shared" si="4598"/>
        <v>0</v>
      </c>
      <c r="AU1427" s="77">
        <f t="shared" si="4599"/>
        <v>2.5000000000000001E-3</v>
      </c>
      <c r="AV1427" s="77">
        <f t="shared" si="4600"/>
        <v>2.0809499864316017E-4</v>
      </c>
    </row>
    <row r="1428" spans="1:48">
      <c r="A1428" t="s">
        <v>175</v>
      </c>
      <c r="B1428" t="s">
        <v>180</v>
      </c>
      <c r="C1428" s="197" t="str">
        <f t="shared" si="4621"/>
        <v>Lifecycle_Opportunity_201</v>
      </c>
      <c r="D1428">
        <v>201</v>
      </c>
      <c r="E1428">
        <f>VLOOKUP($D1428,'[2]LC Opportunity'!$Q$2:$U$542,2,FALSE)</f>
        <v>0</v>
      </c>
      <c r="F1428">
        <f>VLOOKUP($D1428,'[2]LC Opportunity'!$Q$2:$U$542,3,FALSE)</f>
        <v>0</v>
      </c>
      <c r="G1428">
        <f>VLOOKUP($D1428,'[2]LC Opportunity'!$Q$2:$U$542,4,FALSE)</f>
        <v>0</v>
      </c>
      <c r="H1428">
        <f>VLOOKUP($D1428,'[2]LC Opportunity'!$Q$2:$U$542,5,FALSE)</f>
        <v>0.99999999999999989</v>
      </c>
      <c r="I1428" s="77">
        <f t="shared" si="4581"/>
        <v>0.99999999999999989</v>
      </c>
      <c r="J1428" s="77">
        <f t="shared" si="4582"/>
        <v>7.1999999999999981E-2</v>
      </c>
      <c r="K1428" s="77">
        <f t="shared" si="4626"/>
        <v>5.8106552987937654E-3</v>
      </c>
      <c r="L1428" s="76">
        <v>0</v>
      </c>
      <c r="M1428" s="77">
        <f t="shared" si="4588"/>
        <v>0</v>
      </c>
      <c r="N1428" s="77">
        <f t="shared" si="4589"/>
        <v>0</v>
      </c>
      <c r="O1428" s="77">
        <f t="shared" si="4590"/>
        <v>4.9999999999999992E-3</v>
      </c>
      <c r="P1428" s="77">
        <f t="shared" si="4591"/>
        <v>4.1762458919303302E-4</v>
      </c>
      <c r="R1428" t="s">
        <v>177</v>
      </c>
      <c r="S1428" t="s">
        <v>180</v>
      </c>
      <c r="T1428" s="197" t="str">
        <f t="shared" si="4622"/>
        <v>Autopilot_Opportunity_201</v>
      </c>
      <c r="U1428">
        <v>201</v>
      </c>
      <c r="V1428">
        <f>VLOOKUP($U1428,'[2]AP Opportunity'!$Q$1:$T$542,2,FALSE)</f>
        <v>0.99999997777777772</v>
      </c>
      <c r="W1428">
        <f>VLOOKUP($U1428,'[2]AP Opportunity'!$Q$1:$T$542,3,FALSE)</f>
        <v>2.2222222284540294E-8</v>
      </c>
      <c r="X1428">
        <f>VLOOKUP($U1428,'[2]AP Opportunity'!$Q$1:$T$542,4,FALSE)</f>
        <v>0</v>
      </c>
      <c r="Y1428" s="77">
        <f t="shared" si="4623"/>
        <v>1</v>
      </c>
      <c r="Z1428" s="77">
        <f t="shared" si="4627"/>
        <v>6.4624999704999977E-2</v>
      </c>
      <c r="AA1428" s="77">
        <f t="shared" si="4628"/>
        <v>5.2321923767311151E-3</v>
      </c>
      <c r="AB1428" s="79">
        <v>1</v>
      </c>
      <c r="AC1428" s="77">
        <f t="shared" si="4592"/>
        <v>8.499999955555556E-3</v>
      </c>
      <c r="AD1428" s="77">
        <f t="shared" ref="AD1428" si="4641">1-(1-AC1428)^(1/12)</f>
        <v>7.1110795759765644E-4</v>
      </c>
      <c r="AE1428" s="77">
        <f t="shared" si="4594"/>
        <v>2.5000000000000001E-3</v>
      </c>
      <c r="AF1428" s="77">
        <f t="shared" ref="AF1428" si="4642">1-(1-AE1428)^(1/12)</f>
        <v>2.0857243058891584E-4</v>
      </c>
      <c r="AH1428" t="s">
        <v>175</v>
      </c>
      <c r="AI1428" t="s">
        <v>180</v>
      </c>
      <c r="AJ1428" s="197" t="str">
        <f t="shared" si="4585"/>
        <v>Lifecycle_Opportunity_201</v>
      </c>
      <c r="AK1428">
        <v>201</v>
      </c>
      <c r="AL1428">
        <f>VLOOKUP($U1428,[2]Standard_Opportunity!$Q$1:$T$542,2,FALSE)</f>
        <v>0.99999997777777772</v>
      </c>
      <c r="AM1428">
        <f>VLOOKUP($U1428,[2]Standard_Opportunity!$Q$1:$T$542,3,FALSE)</f>
        <v>2.2222222284540294E-8</v>
      </c>
      <c r="AN1428">
        <f>VLOOKUP($U1428,[2]Standard_Opportunity!$Q$1:$T$542,4,FALSE)</f>
        <v>0</v>
      </c>
      <c r="AO1428" s="77">
        <f t="shared" si="4586"/>
        <v>1</v>
      </c>
      <c r="AP1428" s="77">
        <f t="shared" si="4596"/>
        <v>6.4624999704999977E-2</v>
      </c>
      <c r="AQ1428" s="77">
        <f t="shared" si="4587"/>
        <v>5.2321923767311151E-3</v>
      </c>
      <c r="AR1428" s="79">
        <v>0</v>
      </c>
      <c r="AS1428" s="77">
        <f t="shared" si="4597"/>
        <v>0</v>
      </c>
      <c r="AT1428" s="77">
        <f t="shared" si="4598"/>
        <v>0</v>
      </c>
      <c r="AU1428" s="77">
        <f t="shared" si="4599"/>
        <v>2.5000000000000001E-3</v>
      </c>
      <c r="AV1428" s="77">
        <f t="shared" si="4600"/>
        <v>2.0809499864316017E-4</v>
      </c>
    </row>
    <row r="1429" spans="1:48">
      <c r="A1429" t="s">
        <v>175</v>
      </c>
      <c r="B1429" t="s">
        <v>180</v>
      </c>
      <c r="C1429" s="197" t="str">
        <f t="shared" si="4621"/>
        <v>Lifecycle_Opportunity_200</v>
      </c>
      <c r="D1429">
        <v>200</v>
      </c>
      <c r="E1429">
        <f>VLOOKUP($D1429,'[2]LC Opportunity'!$Q$2:$U$542,2,FALSE)</f>
        <v>0</v>
      </c>
      <c r="F1429">
        <f>VLOOKUP($D1429,'[2]LC Opportunity'!$Q$2:$U$542,3,FALSE)</f>
        <v>0</v>
      </c>
      <c r="G1429">
        <f>VLOOKUP($D1429,'[2]LC Opportunity'!$Q$2:$U$542,4,FALSE)</f>
        <v>0</v>
      </c>
      <c r="H1429">
        <f>VLOOKUP($D1429,'[2]LC Opportunity'!$Q$2:$U$542,5,FALSE)</f>
        <v>0.99999999999999989</v>
      </c>
      <c r="I1429" s="77">
        <f t="shared" si="4581"/>
        <v>0.99999999999999989</v>
      </c>
      <c r="J1429" s="77">
        <f t="shared" si="4582"/>
        <v>7.1999999999999981E-2</v>
      </c>
      <c r="K1429" s="77">
        <f t="shared" si="4626"/>
        <v>5.8106552987937654E-3</v>
      </c>
      <c r="L1429" s="76">
        <v>0</v>
      </c>
      <c r="M1429" s="77">
        <f t="shared" si="4588"/>
        <v>0</v>
      </c>
      <c r="N1429" s="77">
        <f t="shared" si="4589"/>
        <v>0</v>
      </c>
      <c r="O1429" s="77">
        <f t="shared" si="4590"/>
        <v>4.9999999999999992E-3</v>
      </c>
      <c r="P1429" s="77">
        <f t="shared" si="4591"/>
        <v>4.1762458919303302E-4</v>
      </c>
      <c r="R1429" t="s">
        <v>177</v>
      </c>
      <c r="S1429" t="s">
        <v>180</v>
      </c>
      <c r="T1429" s="197" t="str">
        <f t="shared" si="4622"/>
        <v>Autopilot_Opportunity_200</v>
      </c>
      <c r="U1429">
        <v>200</v>
      </c>
      <c r="V1429">
        <f>VLOOKUP($U1429,'[2]AP Opportunity'!$Q$1:$T$542,2,FALSE)</f>
        <v>0.99999997777777772</v>
      </c>
      <c r="W1429">
        <f>VLOOKUP($U1429,'[2]AP Opportunity'!$Q$1:$T$542,3,FALSE)</f>
        <v>2.2222222284540294E-8</v>
      </c>
      <c r="X1429">
        <f>VLOOKUP($U1429,'[2]AP Opportunity'!$Q$1:$T$542,4,FALSE)</f>
        <v>0</v>
      </c>
      <c r="Y1429" s="77">
        <f t="shared" si="4623"/>
        <v>1</v>
      </c>
      <c r="Z1429" s="77">
        <f t="shared" si="4627"/>
        <v>6.4624999704999977E-2</v>
      </c>
      <c r="AA1429" s="77">
        <f t="shared" si="4628"/>
        <v>5.2321923767311151E-3</v>
      </c>
      <c r="AB1429" s="79">
        <v>1</v>
      </c>
      <c r="AC1429" s="77">
        <f t="shared" si="4592"/>
        <v>8.499999955555556E-3</v>
      </c>
      <c r="AD1429" s="77">
        <f t="shared" ref="AD1429" si="4643">1-(1-AC1429)^(1/12)</f>
        <v>7.1110795759765644E-4</v>
      </c>
      <c r="AE1429" s="77">
        <f t="shared" si="4594"/>
        <v>2.5000000000000001E-3</v>
      </c>
      <c r="AF1429" s="77">
        <f t="shared" ref="AF1429" si="4644">1-(1-AE1429)^(1/12)</f>
        <v>2.0857243058891584E-4</v>
      </c>
      <c r="AH1429" t="s">
        <v>175</v>
      </c>
      <c r="AI1429" t="s">
        <v>180</v>
      </c>
      <c r="AJ1429" s="197" t="str">
        <f t="shared" si="4585"/>
        <v>Lifecycle_Opportunity_200</v>
      </c>
      <c r="AK1429">
        <v>200</v>
      </c>
      <c r="AL1429">
        <f>VLOOKUP($U1429,[2]Standard_Opportunity!$Q$1:$T$542,2,FALSE)</f>
        <v>0.99999997777777772</v>
      </c>
      <c r="AM1429">
        <f>VLOOKUP($U1429,[2]Standard_Opportunity!$Q$1:$T$542,3,FALSE)</f>
        <v>2.2222222284540294E-8</v>
      </c>
      <c r="AN1429">
        <f>VLOOKUP($U1429,[2]Standard_Opportunity!$Q$1:$T$542,4,FALSE)</f>
        <v>0</v>
      </c>
      <c r="AO1429" s="77">
        <f t="shared" si="4586"/>
        <v>1</v>
      </c>
      <c r="AP1429" s="77">
        <f t="shared" si="4596"/>
        <v>6.4624999704999977E-2</v>
      </c>
      <c r="AQ1429" s="77">
        <f t="shared" si="4587"/>
        <v>5.2321923767311151E-3</v>
      </c>
      <c r="AR1429" s="79">
        <v>0</v>
      </c>
      <c r="AS1429" s="77">
        <f t="shared" si="4597"/>
        <v>0</v>
      </c>
      <c r="AT1429" s="77">
        <f t="shared" si="4598"/>
        <v>0</v>
      </c>
      <c r="AU1429" s="77">
        <f t="shared" si="4599"/>
        <v>2.5000000000000001E-3</v>
      </c>
      <c r="AV1429" s="77">
        <f t="shared" si="4600"/>
        <v>2.0809499864316017E-4</v>
      </c>
    </row>
    <row r="1430" spans="1:48">
      <c r="A1430" t="s">
        <v>175</v>
      </c>
      <c r="B1430" t="s">
        <v>180</v>
      </c>
      <c r="C1430" s="197" t="str">
        <f t="shared" si="4621"/>
        <v>Lifecycle_Opportunity_199</v>
      </c>
      <c r="D1430">
        <v>199</v>
      </c>
      <c r="E1430">
        <f>VLOOKUP($D1430,'[2]LC Opportunity'!$Q$2:$U$542,2,FALSE)</f>
        <v>0</v>
      </c>
      <c r="F1430">
        <f>VLOOKUP($D1430,'[2]LC Opportunity'!$Q$2:$U$542,3,FALSE)</f>
        <v>0</v>
      </c>
      <c r="G1430">
        <f>VLOOKUP($D1430,'[2]LC Opportunity'!$Q$2:$U$542,4,FALSE)</f>
        <v>0</v>
      </c>
      <c r="H1430">
        <f>VLOOKUP($D1430,'[2]LC Opportunity'!$Q$2:$U$542,5,FALSE)</f>
        <v>0.99999999999999989</v>
      </c>
      <c r="I1430" s="77">
        <f t="shared" si="4581"/>
        <v>0.99999999999999989</v>
      </c>
      <c r="J1430" s="77">
        <f t="shared" si="4582"/>
        <v>7.1999999999999981E-2</v>
      </c>
      <c r="K1430" s="77">
        <f t="shared" si="4626"/>
        <v>5.8106552987937654E-3</v>
      </c>
      <c r="L1430" s="76">
        <v>0</v>
      </c>
      <c r="M1430" s="77">
        <f t="shared" si="4588"/>
        <v>0</v>
      </c>
      <c r="N1430" s="77">
        <f t="shared" si="4589"/>
        <v>0</v>
      </c>
      <c r="O1430" s="77">
        <f t="shared" si="4590"/>
        <v>4.9999999999999992E-3</v>
      </c>
      <c r="P1430" s="77">
        <f t="shared" si="4591"/>
        <v>4.1762458919303302E-4</v>
      </c>
      <c r="R1430" t="s">
        <v>177</v>
      </c>
      <c r="S1430" t="s">
        <v>180</v>
      </c>
      <c r="T1430" s="197" t="str">
        <f t="shared" si="4622"/>
        <v>Autopilot_Opportunity_199</v>
      </c>
      <c r="U1430">
        <v>199</v>
      </c>
      <c r="V1430">
        <f>VLOOKUP($U1430,'[2]AP Opportunity'!$Q$1:$T$542,2,FALSE)</f>
        <v>0.99999997777777772</v>
      </c>
      <c r="W1430">
        <f>VLOOKUP($U1430,'[2]AP Opportunity'!$Q$1:$T$542,3,FALSE)</f>
        <v>2.2222222284540294E-8</v>
      </c>
      <c r="X1430">
        <f>VLOOKUP($U1430,'[2]AP Opportunity'!$Q$1:$T$542,4,FALSE)</f>
        <v>0</v>
      </c>
      <c r="Y1430" s="77">
        <f t="shared" si="4623"/>
        <v>1</v>
      </c>
      <c r="Z1430" s="77">
        <f t="shared" si="4627"/>
        <v>6.4624999704999977E-2</v>
      </c>
      <c r="AA1430" s="77">
        <f t="shared" si="4628"/>
        <v>5.2321923767311151E-3</v>
      </c>
      <c r="AB1430" s="79">
        <v>1</v>
      </c>
      <c r="AC1430" s="77">
        <f t="shared" si="4592"/>
        <v>8.499999955555556E-3</v>
      </c>
      <c r="AD1430" s="77">
        <f t="shared" ref="AD1430" si="4645">1-(1-AC1430)^(1/12)</f>
        <v>7.1110795759765644E-4</v>
      </c>
      <c r="AE1430" s="77">
        <f t="shared" si="4594"/>
        <v>2.5000000000000001E-3</v>
      </c>
      <c r="AF1430" s="77">
        <f t="shared" ref="AF1430" si="4646">1-(1-AE1430)^(1/12)</f>
        <v>2.0857243058891584E-4</v>
      </c>
      <c r="AH1430" t="s">
        <v>175</v>
      </c>
      <c r="AI1430" t="s">
        <v>180</v>
      </c>
      <c r="AJ1430" s="197" t="str">
        <f t="shared" si="4585"/>
        <v>Lifecycle_Opportunity_199</v>
      </c>
      <c r="AK1430">
        <v>199</v>
      </c>
      <c r="AL1430">
        <f>VLOOKUP($U1430,[2]Standard_Opportunity!$Q$1:$T$542,2,FALSE)</f>
        <v>0.99999997777777772</v>
      </c>
      <c r="AM1430">
        <f>VLOOKUP($U1430,[2]Standard_Opportunity!$Q$1:$T$542,3,FALSE)</f>
        <v>2.2222222284540294E-8</v>
      </c>
      <c r="AN1430">
        <f>VLOOKUP($U1430,[2]Standard_Opportunity!$Q$1:$T$542,4,FALSE)</f>
        <v>0</v>
      </c>
      <c r="AO1430" s="77">
        <f t="shared" si="4586"/>
        <v>1</v>
      </c>
      <c r="AP1430" s="77">
        <f t="shared" si="4596"/>
        <v>6.4624999704999977E-2</v>
      </c>
      <c r="AQ1430" s="77">
        <f t="shared" si="4587"/>
        <v>5.2321923767311151E-3</v>
      </c>
      <c r="AR1430" s="79">
        <v>0</v>
      </c>
      <c r="AS1430" s="77">
        <f t="shared" si="4597"/>
        <v>0</v>
      </c>
      <c r="AT1430" s="77">
        <f t="shared" si="4598"/>
        <v>0</v>
      </c>
      <c r="AU1430" s="77">
        <f t="shared" si="4599"/>
        <v>2.5000000000000001E-3</v>
      </c>
      <c r="AV1430" s="77">
        <f t="shared" si="4600"/>
        <v>2.0809499864316017E-4</v>
      </c>
    </row>
    <row r="1431" spans="1:48">
      <c r="A1431" t="s">
        <v>175</v>
      </c>
      <c r="B1431" t="s">
        <v>180</v>
      </c>
      <c r="C1431" s="197" t="str">
        <f t="shared" si="4621"/>
        <v>Lifecycle_Opportunity_198</v>
      </c>
      <c r="D1431">
        <v>198</v>
      </c>
      <c r="E1431">
        <f>VLOOKUP($D1431,'[2]LC Opportunity'!$Q$2:$U$542,2,FALSE)</f>
        <v>0</v>
      </c>
      <c r="F1431">
        <f>VLOOKUP($D1431,'[2]LC Opportunity'!$Q$2:$U$542,3,FALSE)</f>
        <v>0</v>
      </c>
      <c r="G1431">
        <f>VLOOKUP($D1431,'[2]LC Opportunity'!$Q$2:$U$542,4,FALSE)</f>
        <v>0</v>
      </c>
      <c r="H1431">
        <f>VLOOKUP($D1431,'[2]LC Opportunity'!$Q$2:$U$542,5,FALSE)</f>
        <v>0.99999999999999989</v>
      </c>
      <c r="I1431" s="77">
        <f t="shared" si="4581"/>
        <v>0.99999999999999989</v>
      </c>
      <c r="J1431" s="77">
        <f t="shared" si="4582"/>
        <v>7.1999999999999981E-2</v>
      </c>
      <c r="K1431" s="77">
        <f t="shared" si="4626"/>
        <v>5.8106552987937654E-3</v>
      </c>
      <c r="L1431" s="76">
        <v>0</v>
      </c>
      <c r="M1431" s="77">
        <f t="shared" si="4588"/>
        <v>0</v>
      </c>
      <c r="N1431" s="77">
        <f t="shared" si="4589"/>
        <v>0</v>
      </c>
      <c r="O1431" s="77">
        <f t="shared" si="4590"/>
        <v>4.9999999999999992E-3</v>
      </c>
      <c r="P1431" s="77">
        <f t="shared" si="4591"/>
        <v>4.1762458919303302E-4</v>
      </c>
      <c r="R1431" t="s">
        <v>177</v>
      </c>
      <c r="S1431" t="s">
        <v>180</v>
      </c>
      <c r="T1431" s="197" t="str">
        <f t="shared" si="4622"/>
        <v>Autopilot_Opportunity_198</v>
      </c>
      <c r="U1431">
        <v>198</v>
      </c>
      <c r="V1431">
        <f>VLOOKUP($U1431,'[2]AP Opportunity'!$Q$1:$T$542,2,FALSE)</f>
        <v>0.99999997777777772</v>
      </c>
      <c r="W1431">
        <f>VLOOKUP($U1431,'[2]AP Opportunity'!$Q$1:$T$542,3,FALSE)</f>
        <v>2.2222222284540294E-8</v>
      </c>
      <c r="X1431">
        <f>VLOOKUP($U1431,'[2]AP Opportunity'!$Q$1:$T$542,4,FALSE)</f>
        <v>0</v>
      </c>
      <c r="Y1431" s="77">
        <f t="shared" si="4623"/>
        <v>1</v>
      </c>
      <c r="Z1431" s="77">
        <f t="shared" si="4627"/>
        <v>6.4624999704999977E-2</v>
      </c>
      <c r="AA1431" s="77">
        <f t="shared" si="4628"/>
        <v>5.2321923767311151E-3</v>
      </c>
      <c r="AB1431" s="79">
        <v>1</v>
      </c>
      <c r="AC1431" s="77">
        <f t="shared" si="4592"/>
        <v>8.499999955555556E-3</v>
      </c>
      <c r="AD1431" s="77">
        <f t="shared" ref="AD1431" si="4647">1-(1-AC1431)^(1/12)</f>
        <v>7.1110795759765644E-4</v>
      </c>
      <c r="AE1431" s="77">
        <f t="shared" si="4594"/>
        <v>2.5000000000000001E-3</v>
      </c>
      <c r="AF1431" s="77">
        <f t="shared" ref="AF1431" si="4648">1-(1-AE1431)^(1/12)</f>
        <v>2.0857243058891584E-4</v>
      </c>
      <c r="AH1431" t="s">
        <v>175</v>
      </c>
      <c r="AI1431" t="s">
        <v>180</v>
      </c>
      <c r="AJ1431" s="197" t="str">
        <f t="shared" si="4585"/>
        <v>Lifecycle_Opportunity_198</v>
      </c>
      <c r="AK1431">
        <v>198</v>
      </c>
      <c r="AL1431">
        <f>VLOOKUP($U1431,[2]Standard_Opportunity!$Q$1:$T$542,2,FALSE)</f>
        <v>0.99999997777777772</v>
      </c>
      <c r="AM1431">
        <f>VLOOKUP($U1431,[2]Standard_Opportunity!$Q$1:$T$542,3,FALSE)</f>
        <v>2.2222222284540294E-8</v>
      </c>
      <c r="AN1431">
        <f>VLOOKUP($U1431,[2]Standard_Opportunity!$Q$1:$T$542,4,FALSE)</f>
        <v>0</v>
      </c>
      <c r="AO1431" s="77">
        <f t="shared" si="4586"/>
        <v>1</v>
      </c>
      <c r="AP1431" s="77">
        <f t="shared" si="4596"/>
        <v>6.4624999704999977E-2</v>
      </c>
      <c r="AQ1431" s="77">
        <f t="shared" si="4587"/>
        <v>5.2321923767311151E-3</v>
      </c>
      <c r="AR1431" s="79">
        <v>0</v>
      </c>
      <c r="AS1431" s="77">
        <f t="shared" si="4597"/>
        <v>0</v>
      </c>
      <c r="AT1431" s="77">
        <f t="shared" si="4598"/>
        <v>0</v>
      </c>
      <c r="AU1431" s="77">
        <f t="shared" si="4599"/>
        <v>2.5000000000000001E-3</v>
      </c>
      <c r="AV1431" s="77">
        <f t="shared" si="4600"/>
        <v>2.0809499864316017E-4</v>
      </c>
    </row>
    <row r="1432" spans="1:48">
      <c r="A1432" t="s">
        <v>175</v>
      </c>
      <c r="B1432" t="s">
        <v>180</v>
      </c>
      <c r="C1432" s="197" t="str">
        <f t="shared" si="4621"/>
        <v>Lifecycle_Opportunity_197</v>
      </c>
      <c r="D1432">
        <v>197</v>
      </c>
      <c r="E1432">
        <f>VLOOKUP($D1432,'[2]LC Opportunity'!$Q$2:$U$542,2,FALSE)</f>
        <v>0</v>
      </c>
      <c r="F1432">
        <f>VLOOKUP($D1432,'[2]LC Opportunity'!$Q$2:$U$542,3,FALSE)</f>
        <v>0</v>
      </c>
      <c r="G1432">
        <f>VLOOKUP($D1432,'[2]LC Opportunity'!$Q$2:$U$542,4,FALSE)</f>
        <v>0</v>
      </c>
      <c r="H1432">
        <f>VLOOKUP($D1432,'[2]LC Opportunity'!$Q$2:$U$542,5,FALSE)</f>
        <v>0.99999999999999989</v>
      </c>
      <c r="I1432" s="77">
        <f t="shared" si="4581"/>
        <v>0.99999999999999989</v>
      </c>
      <c r="J1432" s="77">
        <f t="shared" si="4582"/>
        <v>7.1999999999999981E-2</v>
      </c>
      <c r="K1432" s="77">
        <f t="shared" si="4626"/>
        <v>5.8106552987937654E-3</v>
      </c>
      <c r="L1432" s="76">
        <v>0</v>
      </c>
      <c r="M1432" s="77">
        <f t="shared" si="4588"/>
        <v>0</v>
      </c>
      <c r="N1432" s="77">
        <f t="shared" si="4589"/>
        <v>0</v>
      </c>
      <c r="O1432" s="77">
        <f t="shared" si="4590"/>
        <v>4.9999999999999992E-3</v>
      </c>
      <c r="P1432" s="77">
        <f t="shared" si="4591"/>
        <v>4.1762458919303302E-4</v>
      </c>
      <c r="R1432" t="s">
        <v>177</v>
      </c>
      <c r="S1432" t="s">
        <v>180</v>
      </c>
      <c r="T1432" s="197" t="str">
        <f t="shared" si="4622"/>
        <v>Autopilot_Opportunity_197</v>
      </c>
      <c r="U1432">
        <v>197</v>
      </c>
      <c r="V1432">
        <f>VLOOKUP($U1432,'[2]AP Opportunity'!$Q$1:$T$542,2,FALSE)</f>
        <v>0.99999997777777772</v>
      </c>
      <c r="W1432">
        <f>VLOOKUP($U1432,'[2]AP Opportunity'!$Q$1:$T$542,3,FALSE)</f>
        <v>2.2222222284540294E-8</v>
      </c>
      <c r="X1432">
        <f>VLOOKUP($U1432,'[2]AP Opportunity'!$Q$1:$T$542,4,FALSE)</f>
        <v>0</v>
      </c>
      <c r="Y1432" s="77">
        <f t="shared" si="4623"/>
        <v>1</v>
      </c>
      <c r="Z1432" s="77">
        <f t="shared" si="4627"/>
        <v>6.4624999704999977E-2</v>
      </c>
      <c r="AA1432" s="77">
        <f t="shared" si="4628"/>
        <v>5.2321923767311151E-3</v>
      </c>
      <c r="AB1432" s="79">
        <v>1</v>
      </c>
      <c r="AC1432" s="77">
        <f t="shared" si="4592"/>
        <v>8.499999955555556E-3</v>
      </c>
      <c r="AD1432" s="77">
        <f t="shared" ref="AD1432" si="4649">1-(1-AC1432)^(1/12)</f>
        <v>7.1110795759765644E-4</v>
      </c>
      <c r="AE1432" s="77">
        <f t="shared" si="4594"/>
        <v>2.5000000000000001E-3</v>
      </c>
      <c r="AF1432" s="77">
        <f t="shared" ref="AF1432" si="4650">1-(1-AE1432)^(1/12)</f>
        <v>2.0857243058891584E-4</v>
      </c>
      <c r="AH1432" t="s">
        <v>175</v>
      </c>
      <c r="AI1432" t="s">
        <v>180</v>
      </c>
      <c r="AJ1432" s="197" t="str">
        <f t="shared" si="4585"/>
        <v>Lifecycle_Opportunity_197</v>
      </c>
      <c r="AK1432">
        <v>197</v>
      </c>
      <c r="AL1432">
        <f>VLOOKUP($U1432,[2]Standard_Opportunity!$Q$1:$T$542,2,FALSE)</f>
        <v>0.99999997777777772</v>
      </c>
      <c r="AM1432">
        <f>VLOOKUP($U1432,[2]Standard_Opportunity!$Q$1:$T$542,3,FALSE)</f>
        <v>2.2222222284540294E-8</v>
      </c>
      <c r="AN1432">
        <f>VLOOKUP($U1432,[2]Standard_Opportunity!$Q$1:$T$542,4,FALSE)</f>
        <v>0</v>
      </c>
      <c r="AO1432" s="77">
        <f t="shared" si="4586"/>
        <v>1</v>
      </c>
      <c r="AP1432" s="77">
        <f t="shared" si="4596"/>
        <v>6.4624999704999977E-2</v>
      </c>
      <c r="AQ1432" s="77">
        <f t="shared" si="4587"/>
        <v>5.2321923767311151E-3</v>
      </c>
      <c r="AR1432" s="79">
        <v>0</v>
      </c>
      <c r="AS1432" s="77">
        <f t="shared" si="4597"/>
        <v>0</v>
      </c>
      <c r="AT1432" s="77">
        <f t="shared" si="4598"/>
        <v>0</v>
      </c>
      <c r="AU1432" s="77">
        <f t="shared" si="4599"/>
        <v>2.5000000000000001E-3</v>
      </c>
      <c r="AV1432" s="77">
        <f t="shared" si="4600"/>
        <v>2.0809499864316017E-4</v>
      </c>
    </row>
    <row r="1433" spans="1:48">
      <c r="A1433" t="s">
        <v>175</v>
      </c>
      <c r="B1433" t="s">
        <v>180</v>
      </c>
      <c r="C1433" s="197" t="str">
        <f t="shared" si="4621"/>
        <v>Lifecycle_Opportunity_196</v>
      </c>
      <c r="D1433">
        <v>196</v>
      </c>
      <c r="E1433">
        <f>VLOOKUP($D1433,'[2]LC Opportunity'!$Q$2:$U$542,2,FALSE)</f>
        <v>0</v>
      </c>
      <c r="F1433">
        <f>VLOOKUP($D1433,'[2]LC Opportunity'!$Q$2:$U$542,3,FALSE)</f>
        <v>0</v>
      </c>
      <c r="G1433">
        <f>VLOOKUP($D1433,'[2]LC Opportunity'!$Q$2:$U$542,4,FALSE)</f>
        <v>0</v>
      </c>
      <c r="H1433">
        <f>VLOOKUP($D1433,'[2]LC Opportunity'!$Q$2:$U$542,5,FALSE)</f>
        <v>0.99999999999999989</v>
      </c>
      <c r="I1433" s="77">
        <f t="shared" si="4581"/>
        <v>0.99999999999999989</v>
      </c>
      <c r="J1433" s="77">
        <f t="shared" si="4582"/>
        <v>7.1999999999999981E-2</v>
      </c>
      <c r="K1433" s="77">
        <f t="shared" si="4626"/>
        <v>5.8106552987937654E-3</v>
      </c>
      <c r="L1433" s="76">
        <v>0</v>
      </c>
      <c r="M1433" s="77">
        <f t="shared" si="4588"/>
        <v>0</v>
      </c>
      <c r="N1433" s="77">
        <f t="shared" si="4589"/>
        <v>0</v>
      </c>
      <c r="O1433" s="77">
        <f t="shared" si="4590"/>
        <v>4.9999999999999992E-3</v>
      </c>
      <c r="P1433" s="77">
        <f t="shared" si="4591"/>
        <v>4.1762458919303302E-4</v>
      </c>
      <c r="R1433" t="s">
        <v>177</v>
      </c>
      <c r="S1433" t="s">
        <v>180</v>
      </c>
      <c r="T1433" s="197" t="str">
        <f t="shared" si="4622"/>
        <v>Autopilot_Opportunity_196</v>
      </c>
      <c r="U1433">
        <v>196</v>
      </c>
      <c r="V1433">
        <f>VLOOKUP($U1433,'[2]AP Opportunity'!$Q$1:$T$542,2,FALSE)</f>
        <v>0.99999997777777772</v>
      </c>
      <c r="W1433">
        <f>VLOOKUP($U1433,'[2]AP Opportunity'!$Q$1:$T$542,3,FALSE)</f>
        <v>2.2222222284540294E-8</v>
      </c>
      <c r="X1433">
        <f>VLOOKUP($U1433,'[2]AP Opportunity'!$Q$1:$T$542,4,FALSE)</f>
        <v>0</v>
      </c>
      <c r="Y1433" s="77">
        <f t="shared" si="4623"/>
        <v>1</v>
      </c>
      <c r="Z1433" s="77">
        <f t="shared" si="4627"/>
        <v>6.4624999704999977E-2</v>
      </c>
      <c r="AA1433" s="77">
        <f t="shared" si="4628"/>
        <v>5.2321923767311151E-3</v>
      </c>
      <c r="AB1433" s="79">
        <v>1</v>
      </c>
      <c r="AC1433" s="77">
        <f t="shared" si="4592"/>
        <v>8.499999955555556E-3</v>
      </c>
      <c r="AD1433" s="77">
        <f t="shared" ref="AD1433" si="4651">1-(1-AC1433)^(1/12)</f>
        <v>7.1110795759765644E-4</v>
      </c>
      <c r="AE1433" s="77">
        <f t="shared" si="4594"/>
        <v>2.5000000000000001E-3</v>
      </c>
      <c r="AF1433" s="77">
        <f t="shared" ref="AF1433" si="4652">1-(1-AE1433)^(1/12)</f>
        <v>2.0857243058891584E-4</v>
      </c>
      <c r="AH1433" t="s">
        <v>175</v>
      </c>
      <c r="AI1433" t="s">
        <v>180</v>
      </c>
      <c r="AJ1433" s="197" t="str">
        <f t="shared" si="4585"/>
        <v>Lifecycle_Opportunity_196</v>
      </c>
      <c r="AK1433">
        <v>196</v>
      </c>
      <c r="AL1433">
        <f>VLOOKUP($U1433,[2]Standard_Opportunity!$Q$1:$T$542,2,FALSE)</f>
        <v>0.99999997777777772</v>
      </c>
      <c r="AM1433">
        <f>VLOOKUP($U1433,[2]Standard_Opportunity!$Q$1:$T$542,3,FALSE)</f>
        <v>2.2222222284540294E-8</v>
      </c>
      <c r="AN1433">
        <f>VLOOKUP($U1433,[2]Standard_Opportunity!$Q$1:$T$542,4,FALSE)</f>
        <v>0</v>
      </c>
      <c r="AO1433" s="77">
        <f t="shared" si="4586"/>
        <v>1</v>
      </c>
      <c r="AP1433" s="77">
        <f t="shared" si="4596"/>
        <v>6.4624999704999977E-2</v>
      </c>
      <c r="AQ1433" s="77">
        <f t="shared" si="4587"/>
        <v>5.2321923767311151E-3</v>
      </c>
      <c r="AR1433" s="79">
        <v>0</v>
      </c>
      <c r="AS1433" s="77">
        <f t="shared" si="4597"/>
        <v>0</v>
      </c>
      <c r="AT1433" s="77">
        <f t="shared" si="4598"/>
        <v>0</v>
      </c>
      <c r="AU1433" s="77">
        <f t="shared" si="4599"/>
        <v>2.5000000000000001E-3</v>
      </c>
      <c r="AV1433" s="77">
        <f t="shared" si="4600"/>
        <v>2.0809499864316017E-4</v>
      </c>
    </row>
    <row r="1434" spans="1:48">
      <c r="A1434" t="s">
        <v>175</v>
      </c>
      <c r="B1434" t="s">
        <v>180</v>
      </c>
      <c r="C1434" s="197" t="str">
        <f t="shared" si="4621"/>
        <v>Lifecycle_Opportunity_195</v>
      </c>
      <c r="D1434">
        <v>195</v>
      </c>
      <c r="E1434">
        <f>VLOOKUP($D1434,'[2]LC Opportunity'!$Q$2:$U$542,2,FALSE)</f>
        <v>0</v>
      </c>
      <c r="F1434">
        <f>VLOOKUP($D1434,'[2]LC Opportunity'!$Q$2:$U$542,3,FALSE)</f>
        <v>0</v>
      </c>
      <c r="G1434">
        <f>VLOOKUP($D1434,'[2]LC Opportunity'!$Q$2:$U$542,4,FALSE)</f>
        <v>0</v>
      </c>
      <c r="H1434">
        <f>VLOOKUP($D1434,'[2]LC Opportunity'!$Q$2:$U$542,5,FALSE)</f>
        <v>0.99999999999999989</v>
      </c>
      <c r="I1434" s="77">
        <f t="shared" si="4581"/>
        <v>0.99999999999999989</v>
      </c>
      <c r="J1434" s="77">
        <f t="shared" si="4582"/>
        <v>7.1999999999999981E-2</v>
      </c>
      <c r="K1434" s="77">
        <f t="shared" si="4626"/>
        <v>5.8106552987937654E-3</v>
      </c>
      <c r="L1434" s="76">
        <v>0</v>
      </c>
      <c r="M1434" s="77">
        <f t="shared" si="4588"/>
        <v>0</v>
      </c>
      <c r="N1434" s="77">
        <f t="shared" si="4589"/>
        <v>0</v>
      </c>
      <c r="O1434" s="77">
        <f t="shared" si="4590"/>
        <v>4.9999999999999992E-3</v>
      </c>
      <c r="P1434" s="77">
        <f t="shared" si="4591"/>
        <v>4.1762458919303302E-4</v>
      </c>
      <c r="R1434" t="s">
        <v>177</v>
      </c>
      <c r="S1434" t="s">
        <v>180</v>
      </c>
      <c r="T1434" s="197" t="str">
        <f t="shared" si="4622"/>
        <v>Autopilot_Opportunity_195</v>
      </c>
      <c r="U1434">
        <v>195</v>
      </c>
      <c r="V1434">
        <f>VLOOKUP($U1434,'[2]AP Opportunity'!$Q$1:$T$542,2,FALSE)</f>
        <v>0.99999997777777772</v>
      </c>
      <c r="W1434">
        <f>VLOOKUP($U1434,'[2]AP Opportunity'!$Q$1:$T$542,3,FALSE)</f>
        <v>2.2222222284540294E-8</v>
      </c>
      <c r="X1434">
        <f>VLOOKUP($U1434,'[2]AP Opportunity'!$Q$1:$T$542,4,FALSE)</f>
        <v>0</v>
      </c>
      <c r="Y1434" s="77">
        <f t="shared" si="4623"/>
        <v>1</v>
      </c>
      <c r="Z1434" s="77">
        <f t="shared" si="4627"/>
        <v>6.4624999704999977E-2</v>
      </c>
      <c r="AA1434" s="77">
        <f t="shared" si="4628"/>
        <v>5.2321923767311151E-3</v>
      </c>
      <c r="AB1434" s="79">
        <v>1</v>
      </c>
      <c r="AC1434" s="77">
        <f t="shared" si="4592"/>
        <v>8.499999955555556E-3</v>
      </c>
      <c r="AD1434" s="77">
        <f t="shared" ref="AD1434" si="4653">1-(1-AC1434)^(1/12)</f>
        <v>7.1110795759765644E-4</v>
      </c>
      <c r="AE1434" s="77">
        <f t="shared" si="4594"/>
        <v>2.5000000000000001E-3</v>
      </c>
      <c r="AF1434" s="77">
        <f t="shared" ref="AF1434" si="4654">1-(1-AE1434)^(1/12)</f>
        <v>2.0857243058891584E-4</v>
      </c>
      <c r="AH1434" t="s">
        <v>175</v>
      </c>
      <c r="AI1434" t="s">
        <v>180</v>
      </c>
      <c r="AJ1434" s="197" t="str">
        <f t="shared" si="4585"/>
        <v>Lifecycle_Opportunity_195</v>
      </c>
      <c r="AK1434">
        <v>195</v>
      </c>
      <c r="AL1434">
        <f>VLOOKUP($U1434,[2]Standard_Opportunity!$Q$1:$T$542,2,FALSE)</f>
        <v>0.99999997777777772</v>
      </c>
      <c r="AM1434">
        <f>VLOOKUP($U1434,[2]Standard_Opportunity!$Q$1:$T$542,3,FALSE)</f>
        <v>2.2222222284540294E-8</v>
      </c>
      <c r="AN1434">
        <f>VLOOKUP($U1434,[2]Standard_Opportunity!$Q$1:$T$542,4,FALSE)</f>
        <v>0</v>
      </c>
      <c r="AO1434" s="77">
        <f t="shared" si="4586"/>
        <v>1</v>
      </c>
      <c r="AP1434" s="77">
        <f t="shared" si="4596"/>
        <v>6.4624999704999977E-2</v>
      </c>
      <c r="AQ1434" s="77">
        <f t="shared" si="4587"/>
        <v>5.2321923767311151E-3</v>
      </c>
      <c r="AR1434" s="79">
        <v>0</v>
      </c>
      <c r="AS1434" s="77">
        <f t="shared" si="4597"/>
        <v>0</v>
      </c>
      <c r="AT1434" s="77">
        <f t="shared" si="4598"/>
        <v>0</v>
      </c>
      <c r="AU1434" s="77">
        <f t="shared" si="4599"/>
        <v>2.5000000000000001E-3</v>
      </c>
      <c r="AV1434" s="77">
        <f t="shared" si="4600"/>
        <v>2.0809499864316017E-4</v>
      </c>
    </row>
    <row r="1435" spans="1:48">
      <c r="A1435" t="s">
        <v>175</v>
      </c>
      <c r="B1435" t="s">
        <v>180</v>
      </c>
      <c r="C1435" s="197" t="str">
        <f t="shared" si="4621"/>
        <v>Lifecycle_Opportunity_194</v>
      </c>
      <c r="D1435">
        <v>194</v>
      </c>
      <c r="E1435">
        <f>VLOOKUP($D1435,'[2]LC Opportunity'!$Q$2:$U$542,2,FALSE)</f>
        <v>0</v>
      </c>
      <c r="F1435">
        <f>VLOOKUP($D1435,'[2]LC Opportunity'!$Q$2:$U$542,3,FALSE)</f>
        <v>0</v>
      </c>
      <c r="G1435">
        <f>VLOOKUP($D1435,'[2]LC Opportunity'!$Q$2:$U$542,4,FALSE)</f>
        <v>0</v>
      </c>
      <c r="H1435">
        <f>VLOOKUP($D1435,'[2]LC Opportunity'!$Q$2:$U$542,5,FALSE)</f>
        <v>0.99999999999999989</v>
      </c>
      <c r="I1435" s="77">
        <f t="shared" si="4581"/>
        <v>0.99999999999999989</v>
      </c>
      <c r="J1435" s="77">
        <f t="shared" si="4582"/>
        <v>7.1999999999999981E-2</v>
      </c>
      <c r="K1435" s="77">
        <f t="shared" si="4626"/>
        <v>5.8106552987937654E-3</v>
      </c>
      <c r="L1435" s="76">
        <v>0</v>
      </c>
      <c r="M1435" s="77">
        <f t="shared" si="4588"/>
        <v>0</v>
      </c>
      <c r="N1435" s="77">
        <f t="shared" si="4589"/>
        <v>0</v>
      </c>
      <c r="O1435" s="77">
        <f t="shared" si="4590"/>
        <v>4.9999999999999992E-3</v>
      </c>
      <c r="P1435" s="77">
        <f t="shared" si="4591"/>
        <v>4.1762458919303302E-4</v>
      </c>
      <c r="R1435" t="s">
        <v>177</v>
      </c>
      <c r="S1435" t="s">
        <v>180</v>
      </c>
      <c r="T1435" s="197" t="str">
        <f t="shared" si="4622"/>
        <v>Autopilot_Opportunity_194</v>
      </c>
      <c r="U1435">
        <v>194</v>
      </c>
      <c r="V1435">
        <f>VLOOKUP($U1435,'[2]AP Opportunity'!$Q$1:$T$542,2,FALSE)</f>
        <v>0.99999997777777772</v>
      </c>
      <c r="W1435">
        <f>VLOOKUP($U1435,'[2]AP Opportunity'!$Q$1:$T$542,3,FALSE)</f>
        <v>2.2222222284540294E-8</v>
      </c>
      <c r="X1435">
        <f>VLOOKUP($U1435,'[2]AP Opportunity'!$Q$1:$T$542,4,FALSE)</f>
        <v>0</v>
      </c>
      <c r="Y1435" s="77">
        <f t="shared" si="4623"/>
        <v>1</v>
      </c>
      <c r="Z1435" s="77">
        <f t="shared" si="4627"/>
        <v>6.4624999704999977E-2</v>
      </c>
      <c r="AA1435" s="77">
        <f t="shared" si="4628"/>
        <v>5.2321923767311151E-3</v>
      </c>
      <c r="AB1435" s="79">
        <v>1</v>
      </c>
      <c r="AC1435" s="77">
        <f t="shared" si="4592"/>
        <v>8.499999955555556E-3</v>
      </c>
      <c r="AD1435" s="77">
        <f t="shared" ref="AD1435" si="4655">1-(1-AC1435)^(1/12)</f>
        <v>7.1110795759765644E-4</v>
      </c>
      <c r="AE1435" s="77">
        <f t="shared" si="4594"/>
        <v>2.5000000000000001E-3</v>
      </c>
      <c r="AF1435" s="77">
        <f t="shared" ref="AF1435" si="4656">1-(1-AE1435)^(1/12)</f>
        <v>2.0857243058891584E-4</v>
      </c>
      <c r="AH1435" t="s">
        <v>175</v>
      </c>
      <c r="AI1435" t="s">
        <v>180</v>
      </c>
      <c r="AJ1435" s="197" t="str">
        <f t="shared" si="4585"/>
        <v>Lifecycle_Opportunity_194</v>
      </c>
      <c r="AK1435">
        <v>194</v>
      </c>
      <c r="AL1435">
        <f>VLOOKUP($U1435,[2]Standard_Opportunity!$Q$1:$T$542,2,FALSE)</f>
        <v>0.99999997777777772</v>
      </c>
      <c r="AM1435">
        <f>VLOOKUP($U1435,[2]Standard_Opportunity!$Q$1:$T$542,3,FALSE)</f>
        <v>2.2222222284540294E-8</v>
      </c>
      <c r="AN1435">
        <f>VLOOKUP($U1435,[2]Standard_Opportunity!$Q$1:$T$542,4,FALSE)</f>
        <v>0</v>
      </c>
      <c r="AO1435" s="77">
        <f t="shared" si="4586"/>
        <v>1</v>
      </c>
      <c r="AP1435" s="77">
        <f t="shared" si="4596"/>
        <v>6.4624999704999977E-2</v>
      </c>
      <c r="AQ1435" s="77">
        <f t="shared" si="4587"/>
        <v>5.2321923767311151E-3</v>
      </c>
      <c r="AR1435" s="79">
        <v>0</v>
      </c>
      <c r="AS1435" s="77">
        <f t="shared" si="4597"/>
        <v>0</v>
      </c>
      <c r="AT1435" s="77">
        <f t="shared" si="4598"/>
        <v>0</v>
      </c>
      <c r="AU1435" s="77">
        <f t="shared" si="4599"/>
        <v>2.5000000000000001E-3</v>
      </c>
      <c r="AV1435" s="77">
        <f t="shared" si="4600"/>
        <v>2.0809499864316017E-4</v>
      </c>
    </row>
    <row r="1436" spans="1:48">
      <c r="A1436" t="s">
        <v>175</v>
      </c>
      <c r="B1436" t="s">
        <v>180</v>
      </c>
      <c r="C1436" s="197" t="str">
        <f t="shared" si="4621"/>
        <v>Lifecycle_Opportunity_193</v>
      </c>
      <c r="D1436">
        <v>193</v>
      </c>
      <c r="E1436">
        <f>VLOOKUP($D1436,'[2]LC Opportunity'!$Q$2:$U$542,2,FALSE)</f>
        <v>0</v>
      </c>
      <c r="F1436">
        <f>VLOOKUP($D1436,'[2]LC Opportunity'!$Q$2:$U$542,3,FALSE)</f>
        <v>0</v>
      </c>
      <c r="G1436">
        <f>VLOOKUP($D1436,'[2]LC Opportunity'!$Q$2:$U$542,4,FALSE)</f>
        <v>0</v>
      </c>
      <c r="H1436">
        <f>VLOOKUP($D1436,'[2]LC Opportunity'!$Q$2:$U$542,5,FALSE)</f>
        <v>0.99999999999999989</v>
      </c>
      <c r="I1436" s="77">
        <f t="shared" si="4581"/>
        <v>0.99999999999999989</v>
      </c>
      <c r="J1436" s="77">
        <f t="shared" si="4582"/>
        <v>7.1999999999999981E-2</v>
      </c>
      <c r="K1436" s="77">
        <f t="shared" si="4626"/>
        <v>5.8106552987937654E-3</v>
      </c>
      <c r="L1436" s="76">
        <v>0</v>
      </c>
      <c r="M1436" s="77">
        <f t="shared" si="4588"/>
        <v>0</v>
      </c>
      <c r="N1436" s="77">
        <f t="shared" si="4589"/>
        <v>0</v>
      </c>
      <c r="O1436" s="77">
        <f t="shared" si="4590"/>
        <v>4.9999999999999992E-3</v>
      </c>
      <c r="P1436" s="77">
        <f t="shared" si="4591"/>
        <v>4.1762458919303302E-4</v>
      </c>
      <c r="R1436" t="s">
        <v>177</v>
      </c>
      <c r="S1436" t="s">
        <v>180</v>
      </c>
      <c r="T1436" s="197" t="str">
        <f t="shared" si="4622"/>
        <v>Autopilot_Opportunity_193</v>
      </c>
      <c r="U1436">
        <v>193</v>
      </c>
      <c r="V1436">
        <f>VLOOKUP($U1436,'[2]AP Opportunity'!$Q$1:$T$542,2,FALSE)</f>
        <v>0.99999997777777772</v>
      </c>
      <c r="W1436">
        <f>VLOOKUP($U1436,'[2]AP Opportunity'!$Q$1:$T$542,3,FALSE)</f>
        <v>2.2222222284540294E-8</v>
      </c>
      <c r="X1436">
        <f>VLOOKUP($U1436,'[2]AP Opportunity'!$Q$1:$T$542,4,FALSE)</f>
        <v>0</v>
      </c>
      <c r="Y1436" s="77">
        <f t="shared" si="4623"/>
        <v>1</v>
      </c>
      <c r="Z1436" s="77">
        <f t="shared" si="4627"/>
        <v>6.4624999704999977E-2</v>
      </c>
      <c r="AA1436" s="77">
        <f t="shared" si="4628"/>
        <v>5.2321923767311151E-3</v>
      </c>
      <c r="AB1436" s="79">
        <v>1</v>
      </c>
      <c r="AC1436" s="77">
        <f t="shared" si="4592"/>
        <v>8.499999955555556E-3</v>
      </c>
      <c r="AD1436" s="77">
        <f t="shared" ref="AD1436" si="4657">1-(1-AC1436)^(1/12)</f>
        <v>7.1110795759765644E-4</v>
      </c>
      <c r="AE1436" s="77">
        <f t="shared" si="4594"/>
        <v>2.5000000000000001E-3</v>
      </c>
      <c r="AF1436" s="77">
        <f t="shared" ref="AF1436" si="4658">1-(1-AE1436)^(1/12)</f>
        <v>2.0857243058891584E-4</v>
      </c>
      <c r="AH1436" t="s">
        <v>175</v>
      </c>
      <c r="AI1436" t="s">
        <v>180</v>
      </c>
      <c r="AJ1436" s="197" t="str">
        <f t="shared" si="4585"/>
        <v>Lifecycle_Opportunity_193</v>
      </c>
      <c r="AK1436">
        <v>193</v>
      </c>
      <c r="AL1436">
        <f>VLOOKUP($U1436,[2]Standard_Opportunity!$Q$1:$T$542,2,FALSE)</f>
        <v>0.99999997777777772</v>
      </c>
      <c r="AM1436">
        <f>VLOOKUP($U1436,[2]Standard_Opportunity!$Q$1:$T$542,3,FALSE)</f>
        <v>2.2222222284540294E-8</v>
      </c>
      <c r="AN1436">
        <f>VLOOKUP($U1436,[2]Standard_Opportunity!$Q$1:$T$542,4,FALSE)</f>
        <v>0</v>
      </c>
      <c r="AO1436" s="77">
        <f t="shared" si="4586"/>
        <v>1</v>
      </c>
      <c r="AP1436" s="77">
        <f t="shared" si="4596"/>
        <v>6.4624999704999977E-2</v>
      </c>
      <c r="AQ1436" s="77">
        <f t="shared" si="4587"/>
        <v>5.2321923767311151E-3</v>
      </c>
      <c r="AR1436" s="79">
        <v>0</v>
      </c>
      <c r="AS1436" s="77">
        <f t="shared" si="4597"/>
        <v>0</v>
      </c>
      <c r="AT1436" s="77">
        <f t="shared" si="4598"/>
        <v>0</v>
      </c>
      <c r="AU1436" s="77">
        <f t="shared" si="4599"/>
        <v>2.5000000000000001E-3</v>
      </c>
      <c r="AV1436" s="77">
        <f t="shared" si="4600"/>
        <v>2.0809499864316017E-4</v>
      </c>
    </row>
    <row r="1437" spans="1:48">
      <c r="A1437" t="s">
        <v>175</v>
      </c>
      <c r="B1437" t="s">
        <v>180</v>
      </c>
      <c r="C1437" s="197" t="str">
        <f t="shared" si="4621"/>
        <v>Lifecycle_Opportunity_192</v>
      </c>
      <c r="D1437">
        <v>192</v>
      </c>
      <c r="E1437">
        <f>VLOOKUP($D1437,'[2]LC Opportunity'!$Q$2:$U$542,2,FALSE)</f>
        <v>0</v>
      </c>
      <c r="F1437">
        <f>VLOOKUP($D1437,'[2]LC Opportunity'!$Q$2:$U$542,3,FALSE)</f>
        <v>0</v>
      </c>
      <c r="G1437">
        <f>VLOOKUP($D1437,'[2]LC Opportunity'!$Q$2:$U$542,4,FALSE)</f>
        <v>0</v>
      </c>
      <c r="H1437">
        <f>VLOOKUP($D1437,'[2]LC Opportunity'!$Q$2:$U$542,5,FALSE)</f>
        <v>0.99999999999999989</v>
      </c>
      <c r="I1437" s="77">
        <f t="shared" si="4581"/>
        <v>0.99999999999999989</v>
      </c>
      <c r="J1437" s="77">
        <f t="shared" si="4582"/>
        <v>7.1999999999999981E-2</v>
      </c>
      <c r="K1437" s="77">
        <f t="shared" si="4626"/>
        <v>5.8106552987937654E-3</v>
      </c>
      <c r="L1437" s="76">
        <v>0</v>
      </c>
      <c r="M1437" s="77">
        <f t="shared" si="4588"/>
        <v>0</v>
      </c>
      <c r="N1437" s="77">
        <f t="shared" si="4589"/>
        <v>0</v>
      </c>
      <c r="O1437" s="77">
        <f t="shared" si="4590"/>
        <v>4.9999999999999992E-3</v>
      </c>
      <c r="P1437" s="77">
        <f t="shared" si="4591"/>
        <v>4.1762458919303302E-4</v>
      </c>
      <c r="R1437" t="s">
        <v>177</v>
      </c>
      <c r="S1437" t="s">
        <v>180</v>
      </c>
      <c r="T1437" s="197" t="str">
        <f t="shared" si="4622"/>
        <v>Autopilot_Opportunity_192</v>
      </c>
      <c r="U1437">
        <v>192</v>
      </c>
      <c r="V1437">
        <f>VLOOKUP($U1437,'[2]AP Opportunity'!$Q$1:$T$542,2,FALSE)</f>
        <v>0.99999997777777772</v>
      </c>
      <c r="W1437">
        <f>VLOOKUP($U1437,'[2]AP Opportunity'!$Q$1:$T$542,3,FALSE)</f>
        <v>2.2222222284540294E-8</v>
      </c>
      <c r="X1437">
        <f>VLOOKUP($U1437,'[2]AP Opportunity'!$Q$1:$T$542,4,FALSE)</f>
        <v>0</v>
      </c>
      <c r="Y1437" s="77">
        <f t="shared" si="4623"/>
        <v>1</v>
      </c>
      <c r="Z1437" s="77">
        <f t="shared" si="4627"/>
        <v>6.4624999704999977E-2</v>
      </c>
      <c r="AA1437" s="77">
        <f t="shared" si="4628"/>
        <v>5.2321923767311151E-3</v>
      </c>
      <c r="AB1437" s="79">
        <v>1</v>
      </c>
      <c r="AC1437" s="77">
        <f t="shared" si="4592"/>
        <v>8.499999955555556E-3</v>
      </c>
      <c r="AD1437" s="77">
        <f t="shared" ref="AD1437" si="4659">1-(1-AC1437)^(1/12)</f>
        <v>7.1110795759765644E-4</v>
      </c>
      <c r="AE1437" s="77">
        <f t="shared" si="4594"/>
        <v>2.5000000000000001E-3</v>
      </c>
      <c r="AF1437" s="77">
        <f t="shared" ref="AF1437" si="4660">1-(1-AE1437)^(1/12)</f>
        <v>2.0857243058891584E-4</v>
      </c>
      <c r="AH1437" t="s">
        <v>175</v>
      </c>
      <c r="AI1437" t="s">
        <v>180</v>
      </c>
      <c r="AJ1437" s="197" t="str">
        <f t="shared" si="4585"/>
        <v>Lifecycle_Opportunity_192</v>
      </c>
      <c r="AK1437">
        <v>192</v>
      </c>
      <c r="AL1437">
        <f>VLOOKUP($U1437,[2]Standard_Opportunity!$Q$1:$T$542,2,FALSE)</f>
        <v>0.99999997777777772</v>
      </c>
      <c r="AM1437">
        <f>VLOOKUP($U1437,[2]Standard_Opportunity!$Q$1:$T$542,3,FALSE)</f>
        <v>2.2222222284540294E-8</v>
      </c>
      <c r="AN1437">
        <f>VLOOKUP($U1437,[2]Standard_Opportunity!$Q$1:$T$542,4,FALSE)</f>
        <v>0</v>
      </c>
      <c r="AO1437" s="77">
        <f t="shared" si="4586"/>
        <v>1</v>
      </c>
      <c r="AP1437" s="77">
        <f t="shared" si="4596"/>
        <v>6.4624999704999977E-2</v>
      </c>
      <c r="AQ1437" s="77">
        <f t="shared" si="4587"/>
        <v>5.2321923767311151E-3</v>
      </c>
      <c r="AR1437" s="79">
        <v>0</v>
      </c>
      <c r="AS1437" s="77">
        <f t="shared" si="4597"/>
        <v>0</v>
      </c>
      <c r="AT1437" s="77">
        <f t="shared" si="4598"/>
        <v>0</v>
      </c>
      <c r="AU1437" s="77">
        <f t="shared" si="4599"/>
        <v>2.5000000000000001E-3</v>
      </c>
      <c r="AV1437" s="77">
        <f t="shared" si="4600"/>
        <v>2.0809499864316017E-4</v>
      </c>
    </row>
    <row r="1438" spans="1:48">
      <c r="A1438" t="s">
        <v>175</v>
      </c>
      <c r="B1438" t="s">
        <v>180</v>
      </c>
      <c r="C1438" s="197" t="str">
        <f t="shared" si="4621"/>
        <v>Lifecycle_Opportunity_191</v>
      </c>
      <c r="D1438">
        <v>191</v>
      </c>
      <c r="E1438">
        <f>VLOOKUP($D1438,'[2]LC Opportunity'!$Q$2:$U$542,2,FALSE)</f>
        <v>0</v>
      </c>
      <c r="F1438">
        <f>VLOOKUP($D1438,'[2]LC Opportunity'!$Q$2:$U$542,3,FALSE)</f>
        <v>0</v>
      </c>
      <c r="G1438">
        <f>VLOOKUP($D1438,'[2]LC Opportunity'!$Q$2:$U$542,4,FALSE)</f>
        <v>0</v>
      </c>
      <c r="H1438">
        <f>VLOOKUP($D1438,'[2]LC Opportunity'!$Q$2:$U$542,5,FALSE)</f>
        <v>0.99999999999999989</v>
      </c>
      <c r="I1438" s="77">
        <f t="shared" si="4581"/>
        <v>0.99999999999999989</v>
      </c>
      <c r="J1438" s="77">
        <f t="shared" si="4582"/>
        <v>7.1999999999999981E-2</v>
      </c>
      <c r="K1438" s="77">
        <f t="shared" si="4626"/>
        <v>5.8106552987937654E-3</v>
      </c>
      <c r="L1438" s="76">
        <v>0</v>
      </c>
      <c r="M1438" s="77">
        <f t="shared" si="4588"/>
        <v>0</v>
      </c>
      <c r="N1438" s="77">
        <f t="shared" si="4589"/>
        <v>0</v>
      </c>
      <c r="O1438" s="77">
        <f t="shared" si="4590"/>
        <v>4.9999999999999992E-3</v>
      </c>
      <c r="P1438" s="77">
        <f t="shared" si="4591"/>
        <v>4.1762458919303302E-4</v>
      </c>
      <c r="R1438" t="s">
        <v>177</v>
      </c>
      <c r="S1438" t="s">
        <v>180</v>
      </c>
      <c r="T1438" s="197" t="str">
        <f t="shared" si="4622"/>
        <v>Autopilot_Opportunity_191</v>
      </c>
      <c r="U1438">
        <v>191</v>
      </c>
      <c r="V1438">
        <f>VLOOKUP($U1438,'[2]AP Opportunity'!$Q$1:$T$542,2,FALSE)</f>
        <v>0.99999997777777772</v>
      </c>
      <c r="W1438">
        <f>VLOOKUP($U1438,'[2]AP Opportunity'!$Q$1:$T$542,3,FALSE)</f>
        <v>2.2222222284540294E-8</v>
      </c>
      <c r="X1438">
        <f>VLOOKUP($U1438,'[2]AP Opportunity'!$Q$1:$T$542,4,FALSE)</f>
        <v>0</v>
      </c>
      <c r="Y1438" s="77">
        <f t="shared" si="4623"/>
        <v>1</v>
      </c>
      <c r="Z1438" s="77">
        <f t="shared" si="4627"/>
        <v>6.4624999704999977E-2</v>
      </c>
      <c r="AA1438" s="77">
        <f t="shared" si="4628"/>
        <v>5.2321923767311151E-3</v>
      </c>
      <c r="AB1438" s="79">
        <v>1</v>
      </c>
      <c r="AC1438" s="77">
        <f t="shared" si="4592"/>
        <v>8.499999955555556E-3</v>
      </c>
      <c r="AD1438" s="77">
        <f t="shared" ref="AD1438" si="4661">1-(1-AC1438)^(1/12)</f>
        <v>7.1110795759765644E-4</v>
      </c>
      <c r="AE1438" s="77">
        <f t="shared" si="4594"/>
        <v>2.5000000000000001E-3</v>
      </c>
      <c r="AF1438" s="77">
        <f t="shared" ref="AF1438" si="4662">1-(1-AE1438)^(1/12)</f>
        <v>2.0857243058891584E-4</v>
      </c>
      <c r="AH1438" t="s">
        <v>175</v>
      </c>
      <c r="AI1438" t="s">
        <v>180</v>
      </c>
      <c r="AJ1438" s="197" t="str">
        <f t="shared" si="4585"/>
        <v>Lifecycle_Opportunity_191</v>
      </c>
      <c r="AK1438">
        <v>191</v>
      </c>
      <c r="AL1438">
        <f>VLOOKUP($U1438,[2]Standard_Opportunity!$Q$1:$T$542,2,FALSE)</f>
        <v>0.99999997777777772</v>
      </c>
      <c r="AM1438">
        <f>VLOOKUP($U1438,[2]Standard_Opportunity!$Q$1:$T$542,3,FALSE)</f>
        <v>2.2222222284540294E-8</v>
      </c>
      <c r="AN1438">
        <f>VLOOKUP($U1438,[2]Standard_Opportunity!$Q$1:$T$542,4,FALSE)</f>
        <v>0</v>
      </c>
      <c r="AO1438" s="77">
        <f t="shared" si="4586"/>
        <v>1</v>
      </c>
      <c r="AP1438" s="77">
        <f t="shared" si="4596"/>
        <v>6.4624999704999977E-2</v>
      </c>
      <c r="AQ1438" s="77">
        <f t="shared" si="4587"/>
        <v>5.2321923767311151E-3</v>
      </c>
      <c r="AR1438" s="79">
        <v>0</v>
      </c>
      <c r="AS1438" s="77">
        <f t="shared" si="4597"/>
        <v>0</v>
      </c>
      <c r="AT1438" s="77">
        <f t="shared" si="4598"/>
        <v>0</v>
      </c>
      <c r="AU1438" s="77">
        <f t="shared" si="4599"/>
        <v>2.5000000000000001E-3</v>
      </c>
      <c r="AV1438" s="77">
        <f t="shared" si="4600"/>
        <v>2.0809499864316017E-4</v>
      </c>
    </row>
    <row r="1439" spans="1:48">
      <c r="A1439" t="s">
        <v>175</v>
      </c>
      <c r="B1439" t="s">
        <v>180</v>
      </c>
      <c r="C1439" s="197" t="str">
        <f t="shared" si="4621"/>
        <v>Lifecycle_Opportunity_190</v>
      </c>
      <c r="D1439">
        <v>190</v>
      </c>
      <c r="E1439">
        <f>VLOOKUP($D1439,'[2]LC Opportunity'!$Q$2:$U$542,2,FALSE)</f>
        <v>0</v>
      </c>
      <c r="F1439">
        <f>VLOOKUP($D1439,'[2]LC Opportunity'!$Q$2:$U$542,3,FALSE)</f>
        <v>0</v>
      </c>
      <c r="G1439">
        <f>VLOOKUP($D1439,'[2]LC Opportunity'!$Q$2:$U$542,4,FALSE)</f>
        <v>0</v>
      </c>
      <c r="H1439">
        <f>VLOOKUP($D1439,'[2]LC Opportunity'!$Q$2:$U$542,5,FALSE)</f>
        <v>0.99999999999999989</v>
      </c>
      <c r="I1439" s="77">
        <f t="shared" si="4581"/>
        <v>0.99999999999999989</v>
      </c>
      <c r="J1439" s="77">
        <f t="shared" si="4582"/>
        <v>7.1999999999999981E-2</v>
      </c>
      <c r="K1439" s="77">
        <f t="shared" si="4626"/>
        <v>5.8106552987937654E-3</v>
      </c>
      <c r="L1439" s="76">
        <v>0</v>
      </c>
      <c r="M1439" s="77">
        <f t="shared" si="4588"/>
        <v>0</v>
      </c>
      <c r="N1439" s="77">
        <f t="shared" si="4589"/>
        <v>0</v>
      </c>
      <c r="O1439" s="77">
        <f t="shared" si="4590"/>
        <v>4.9999999999999992E-3</v>
      </c>
      <c r="P1439" s="77">
        <f t="shared" si="4591"/>
        <v>4.1762458919303302E-4</v>
      </c>
      <c r="R1439" t="s">
        <v>177</v>
      </c>
      <c r="S1439" t="s">
        <v>180</v>
      </c>
      <c r="T1439" s="197" t="str">
        <f t="shared" si="4622"/>
        <v>Autopilot_Opportunity_190</v>
      </c>
      <c r="U1439">
        <v>190</v>
      </c>
      <c r="V1439">
        <f>VLOOKUP($U1439,'[2]AP Opportunity'!$Q$1:$T$542,2,FALSE)</f>
        <v>0.99999997777777772</v>
      </c>
      <c r="W1439">
        <f>VLOOKUP($U1439,'[2]AP Opportunity'!$Q$1:$T$542,3,FALSE)</f>
        <v>2.2222222284540294E-8</v>
      </c>
      <c r="X1439">
        <f>VLOOKUP($U1439,'[2]AP Opportunity'!$Q$1:$T$542,4,FALSE)</f>
        <v>0</v>
      </c>
      <c r="Y1439" s="77">
        <f t="shared" si="4623"/>
        <v>1</v>
      </c>
      <c r="Z1439" s="77">
        <f t="shared" si="4627"/>
        <v>6.4624999704999977E-2</v>
      </c>
      <c r="AA1439" s="77">
        <f t="shared" si="4628"/>
        <v>5.2321923767311151E-3</v>
      </c>
      <c r="AB1439" s="79">
        <v>1</v>
      </c>
      <c r="AC1439" s="77">
        <f t="shared" si="4592"/>
        <v>8.499999955555556E-3</v>
      </c>
      <c r="AD1439" s="77">
        <f t="shared" ref="AD1439" si="4663">1-(1-AC1439)^(1/12)</f>
        <v>7.1110795759765644E-4</v>
      </c>
      <c r="AE1439" s="77">
        <f t="shared" si="4594"/>
        <v>2.5000000000000001E-3</v>
      </c>
      <c r="AF1439" s="77">
        <f t="shared" ref="AF1439" si="4664">1-(1-AE1439)^(1/12)</f>
        <v>2.0857243058891584E-4</v>
      </c>
      <c r="AH1439" t="s">
        <v>175</v>
      </c>
      <c r="AI1439" t="s">
        <v>180</v>
      </c>
      <c r="AJ1439" s="197" t="str">
        <f t="shared" si="4585"/>
        <v>Lifecycle_Opportunity_190</v>
      </c>
      <c r="AK1439">
        <v>190</v>
      </c>
      <c r="AL1439">
        <f>VLOOKUP($U1439,[2]Standard_Opportunity!$Q$1:$T$542,2,FALSE)</f>
        <v>0.99999997777777772</v>
      </c>
      <c r="AM1439">
        <f>VLOOKUP($U1439,[2]Standard_Opportunity!$Q$1:$T$542,3,FALSE)</f>
        <v>2.2222222284540294E-8</v>
      </c>
      <c r="AN1439">
        <f>VLOOKUP($U1439,[2]Standard_Opportunity!$Q$1:$T$542,4,FALSE)</f>
        <v>0</v>
      </c>
      <c r="AO1439" s="77">
        <f t="shared" si="4586"/>
        <v>1</v>
      </c>
      <c r="AP1439" s="77">
        <f t="shared" si="4596"/>
        <v>6.4624999704999977E-2</v>
      </c>
      <c r="AQ1439" s="77">
        <f t="shared" si="4587"/>
        <v>5.2321923767311151E-3</v>
      </c>
      <c r="AR1439" s="79">
        <v>0</v>
      </c>
      <c r="AS1439" s="77">
        <f t="shared" si="4597"/>
        <v>0</v>
      </c>
      <c r="AT1439" s="77">
        <f t="shared" si="4598"/>
        <v>0</v>
      </c>
      <c r="AU1439" s="77">
        <f t="shared" si="4599"/>
        <v>2.5000000000000001E-3</v>
      </c>
      <c r="AV1439" s="77">
        <f t="shared" si="4600"/>
        <v>2.0809499864316017E-4</v>
      </c>
    </row>
    <row r="1440" spans="1:48">
      <c r="A1440" t="s">
        <v>175</v>
      </c>
      <c r="B1440" t="s">
        <v>180</v>
      </c>
      <c r="C1440" s="197" t="str">
        <f t="shared" si="4621"/>
        <v>Lifecycle_Opportunity_189</v>
      </c>
      <c r="D1440">
        <v>189</v>
      </c>
      <c r="E1440">
        <f>VLOOKUP($D1440,'[2]LC Opportunity'!$Q$2:$U$542,2,FALSE)</f>
        <v>0</v>
      </c>
      <c r="F1440">
        <f>VLOOKUP($D1440,'[2]LC Opportunity'!$Q$2:$U$542,3,FALSE)</f>
        <v>0</v>
      </c>
      <c r="G1440">
        <f>VLOOKUP($D1440,'[2]LC Opportunity'!$Q$2:$U$542,4,FALSE)</f>
        <v>0</v>
      </c>
      <c r="H1440">
        <f>VLOOKUP($D1440,'[2]LC Opportunity'!$Q$2:$U$542,5,FALSE)</f>
        <v>0.99999999999999989</v>
      </c>
      <c r="I1440" s="77">
        <f t="shared" si="4581"/>
        <v>0.99999999999999989</v>
      </c>
      <c r="J1440" s="77">
        <f t="shared" si="4582"/>
        <v>7.1999999999999981E-2</v>
      </c>
      <c r="K1440" s="77">
        <f t="shared" si="4626"/>
        <v>5.8106552987937654E-3</v>
      </c>
      <c r="L1440" s="76">
        <v>0</v>
      </c>
      <c r="M1440" s="77">
        <f t="shared" si="4588"/>
        <v>0</v>
      </c>
      <c r="N1440" s="77">
        <f t="shared" si="4589"/>
        <v>0</v>
      </c>
      <c r="O1440" s="77">
        <f t="shared" si="4590"/>
        <v>4.9999999999999992E-3</v>
      </c>
      <c r="P1440" s="77">
        <f t="shared" si="4591"/>
        <v>4.1762458919303302E-4</v>
      </c>
      <c r="R1440" t="s">
        <v>177</v>
      </c>
      <c r="S1440" t="s">
        <v>180</v>
      </c>
      <c r="T1440" s="197" t="str">
        <f t="shared" si="4622"/>
        <v>Autopilot_Opportunity_189</v>
      </c>
      <c r="U1440">
        <v>189</v>
      </c>
      <c r="V1440">
        <f>VLOOKUP($U1440,'[2]AP Opportunity'!$Q$1:$T$542,2,FALSE)</f>
        <v>0.99999997777777772</v>
      </c>
      <c r="W1440">
        <f>VLOOKUP($U1440,'[2]AP Opportunity'!$Q$1:$T$542,3,FALSE)</f>
        <v>2.2222222284540294E-8</v>
      </c>
      <c r="X1440">
        <f>VLOOKUP($U1440,'[2]AP Opportunity'!$Q$1:$T$542,4,FALSE)</f>
        <v>0</v>
      </c>
      <c r="Y1440" s="77">
        <f t="shared" si="4623"/>
        <v>1</v>
      </c>
      <c r="Z1440" s="77">
        <f t="shared" si="4627"/>
        <v>6.4624999704999977E-2</v>
      </c>
      <c r="AA1440" s="77">
        <f t="shared" si="4628"/>
        <v>5.2321923767311151E-3</v>
      </c>
      <c r="AB1440" s="79">
        <v>1</v>
      </c>
      <c r="AC1440" s="77">
        <f t="shared" si="4592"/>
        <v>8.499999955555556E-3</v>
      </c>
      <c r="AD1440" s="77">
        <f t="shared" ref="AD1440" si="4665">1-(1-AC1440)^(1/12)</f>
        <v>7.1110795759765644E-4</v>
      </c>
      <c r="AE1440" s="77">
        <f t="shared" si="4594"/>
        <v>2.5000000000000001E-3</v>
      </c>
      <c r="AF1440" s="77">
        <f t="shared" ref="AF1440" si="4666">1-(1-AE1440)^(1/12)</f>
        <v>2.0857243058891584E-4</v>
      </c>
      <c r="AH1440" t="s">
        <v>175</v>
      </c>
      <c r="AI1440" t="s">
        <v>180</v>
      </c>
      <c r="AJ1440" s="197" t="str">
        <f t="shared" si="4585"/>
        <v>Lifecycle_Opportunity_189</v>
      </c>
      <c r="AK1440">
        <v>189</v>
      </c>
      <c r="AL1440">
        <f>VLOOKUP($U1440,[2]Standard_Opportunity!$Q$1:$T$542,2,FALSE)</f>
        <v>0.99999997777777772</v>
      </c>
      <c r="AM1440">
        <f>VLOOKUP($U1440,[2]Standard_Opportunity!$Q$1:$T$542,3,FALSE)</f>
        <v>2.2222222284540294E-8</v>
      </c>
      <c r="AN1440">
        <f>VLOOKUP($U1440,[2]Standard_Opportunity!$Q$1:$T$542,4,FALSE)</f>
        <v>0</v>
      </c>
      <c r="AO1440" s="77">
        <f t="shared" si="4586"/>
        <v>1</v>
      </c>
      <c r="AP1440" s="77">
        <f t="shared" si="4596"/>
        <v>6.4624999704999977E-2</v>
      </c>
      <c r="AQ1440" s="77">
        <f t="shared" si="4587"/>
        <v>5.2321923767311151E-3</v>
      </c>
      <c r="AR1440" s="79">
        <v>0</v>
      </c>
      <c r="AS1440" s="77">
        <f t="shared" si="4597"/>
        <v>0</v>
      </c>
      <c r="AT1440" s="77">
        <f t="shared" si="4598"/>
        <v>0</v>
      </c>
      <c r="AU1440" s="77">
        <f t="shared" si="4599"/>
        <v>2.5000000000000001E-3</v>
      </c>
      <c r="AV1440" s="77">
        <f t="shared" si="4600"/>
        <v>2.0809499864316017E-4</v>
      </c>
    </row>
    <row r="1441" spans="1:48">
      <c r="A1441" t="s">
        <v>175</v>
      </c>
      <c r="B1441" t="s">
        <v>180</v>
      </c>
      <c r="C1441" s="197" t="str">
        <f t="shared" si="4621"/>
        <v>Lifecycle_Opportunity_188</v>
      </c>
      <c r="D1441">
        <v>188</v>
      </c>
      <c r="E1441">
        <f>VLOOKUP($D1441,'[2]LC Opportunity'!$Q$2:$U$542,2,FALSE)</f>
        <v>0</v>
      </c>
      <c r="F1441">
        <f>VLOOKUP($D1441,'[2]LC Opportunity'!$Q$2:$U$542,3,FALSE)</f>
        <v>0</v>
      </c>
      <c r="G1441">
        <f>VLOOKUP($D1441,'[2]LC Opportunity'!$Q$2:$U$542,4,FALSE)</f>
        <v>0</v>
      </c>
      <c r="H1441">
        <f>VLOOKUP($D1441,'[2]LC Opportunity'!$Q$2:$U$542,5,FALSE)</f>
        <v>0.99999999999999989</v>
      </c>
      <c r="I1441" s="77">
        <f t="shared" si="4581"/>
        <v>0.99999999999999989</v>
      </c>
      <c r="J1441" s="77">
        <f t="shared" si="4582"/>
        <v>7.1999999999999981E-2</v>
      </c>
      <c r="K1441" s="77">
        <f t="shared" si="4626"/>
        <v>5.8106552987937654E-3</v>
      </c>
      <c r="L1441" s="76">
        <v>0</v>
      </c>
      <c r="M1441" s="77">
        <f t="shared" si="4588"/>
        <v>0</v>
      </c>
      <c r="N1441" s="77">
        <f t="shared" si="4589"/>
        <v>0</v>
      </c>
      <c r="O1441" s="77">
        <f t="shared" si="4590"/>
        <v>4.9999999999999992E-3</v>
      </c>
      <c r="P1441" s="77">
        <f t="shared" si="4591"/>
        <v>4.1762458919303302E-4</v>
      </c>
      <c r="R1441" t="s">
        <v>177</v>
      </c>
      <c r="S1441" t="s">
        <v>180</v>
      </c>
      <c r="T1441" s="197" t="str">
        <f t="shared" si="4622"/>
        <v>Autopilot_Opportunity_188</v>
      </c>
      <c r="U1441">
        <v>188</v>
      </c>
      <c r="V1441">
        <f>VLOOKUP($U1441,'[2]AP Opportunity'!$Q$1:$T$542,2,FALSE)</f>
        <v>0.99999997777777772</v>
      </c>
      <c r="W1441">
        <f>VLOOKUP($U1441,'[2]AP Opportunity'!$Q$1:$T$542,3,FALSE)</f>
        <v>2.2222222284540294E-8</v>
      </c>
      <c r="X1441">
        <f>VLOOKUP($U1441,'[2]AP Opportunity'!$Q$1:$T$542,4,FALSE)</f>
        <v>0</v>
      </c>
      <c r="Y1441" s="77">
        <f t="shared" si="4623"/>
        <v>1</v>
      </c>
      <c r="Z1441" s="77">
        <f t="shared" si="4627"/>
        <v>6.4624999704999977E-2</v>
      </c>
      <c r="AA1441" s="77">
        <f t="shared" si="4628"/>
        <v>5.2321923767311151E-3</v>
      </c>
      <c r="AB1441" s="79">
        <v>1</v>
      </c>
      <c r="AC1441" s="77">
        <f t="shared" si="4592"/>
        <v>8.499999955555556E-3</v>
      </c>
      <c r="AD1441" s="77">
        <f t="shared" ref="AD1441" si="4667">1-(1-AC1441)^(1/12)</f>
        <v>7.1110795759765644E-4</v>
      </c>
      <c r="AE1441" s="77">
        <f t="shared" si="4594"/>
        <v>2.5000000000000001E-3</v>
      </c>
      <c r="AF1441" s="77">
        <f t="shared" ref="AF1441" si="4668">1-(1-AE1441)^(1/12)</f>
        <v>2.0857243058891584E-4</v>
      </c>
      <c r="AH1441" t="s">
        <v>175</v>
      </c>
      <c r="AI1441" t="s">
        <v>180</v>
      </c>
      <c r="AJ1441" s="197" t="str">
        <f t="shared" si="4585"/>
        <v>Lifecycle_Opportunity_188</v>
      </c>
      <c r="AK1441">
        <v>188</v>
      </c>
      <c r="AL1441">
        <f>VLOOKUP($U1441,[2]Standard_Opportunity!$Q$1:$T$542,2,FALSE)</f>
        <v>0.99999997777777772</v>
      </c>
      <c r="AM1441">
        <f>VLOOKUP($U1441,[2]Standard_Opportunity!$Q$1:$T$542,3,FALSE)</f>
        <v>2.2222222284540294E-8</v>
      </c>
      <c r="AN1441">
        <f>VLOOKUP($U1441,[2]Standard_Opportunity!$Q$1:$T$542,4,FALSE)</f>
        <v>0</v>
      </c>
      <c r="AO1441" s="77">
        <f t="shared" si="4586"/>
        <v>1</v>
      </c>
      <c r="AP1441" s="77">
        <f t="shared" si="4596"/>
        <v>6.4624999704999977E-2</v>
      </c>
      <c r="AQ1441" s="77">
        <f t="shared" si="4587"/>
        <v>5.2321923767311151E-3</v>
      </c>
      <c r="AR1441" s="79">
        <v>0</v>
      </c>
      <c r="AS1441" s="77">
        <f t="shared" si="4597"/>
        <v>0</v>
      </c>
      <c r="AT1441" s="77">
        <f t="shared" si="4598"/>
        <v>0</v>
      </c>
      <c r="AU1441" s="77">
        <f t="shared" si="4599"/>
        <v>2.5000000000000001E-3</v>
      </c>
      <c r="AV1441" s="77">
        <f t="shared" si="4600"/>
        <v>2.0809499864316017E-4</v>
      </c>
    </row>
    <row r="1442" spans="1:48">
      <c r="A1442" t="s">
        <v>175</v>
      </c>
      <c r="B1442" t="s">
        <v>180</v>
      </c>
      <c r="C1442" s="197" t="str">
        <f t="shared" si="4621"/>
        <v>Lifecycle_Opportunity_187</v>
      </c>
      <c r="D1442">
        <v>187</v>
      </c>
      <c r="E1442">
        <f>VLOOKUP($D1442,'[2]LC Opportunity'!$Q$2:$U$542,2,FALSE)</f>
        <v>0</v>
      </c>
      <c r="F1442">
        <f>VLOOKUP($D1442,'[2]LC Opportunity'!$Q$2:$U$542,3,FALSE)</f>
        <v>0</v>
      </c>
      <c r="G1442">
        <f>VLOOKUP($D1442,'[2]LC Opportunity'!$Q$2:$U$542,4,FALSE)</f>
        <v>0</v>
      </c>
      <c r="H1442">
        <f>VLOOKUP($D1442,'[2]LC Opportunity'!$Q$2:$U$542,5,FALSE)</f>
        <v>0.99999999999999989</v>
      </c>
      <c r="I1442" s="77">
        <f t="shared" si="4581"/>
        <v>0.99999999999999989</v>
      </c>
      <c r="J1442" s="77">
        <f t="shared" si="4582"/>
        <v>7.1999999999999981E-2</v>
      </c>
      <c r="K1442" s="77">
        <f t="shared" si="4626"/>
        <v>5.8106552987937654E-3</v>
      </c>
      <c r="L1442" s="76">
        <v>0</v>
      </c>
      <c r="M1442" s="77">
        <f t="shared" si="4588"/>
        <v>0</v>
      </c>
      <c r="N1442" s="77">
        <f t="shared" si="4589"/>
        <v>0</v>
      </c>
      <c r="O1442" s="77">
        <f t="shared" si="4590"/>
        <v>4.9999999999999992E-3</v>
      </c>
      <c r="P1442" s="77">
        <f t="shared" si="4591"/>
        <v>4.1762458919303302E-4</v>
      </c>
      <c r="R1442" t="s">
        <v>177</v>
      </c>
      <c r="S1442" t="s">
        <v>180</v>
      </c>
      <c r="T1442" s="197" t="str">
        <f t="shared" si="4622"/>
        <v>Autopilot_Opportunity_187</v>
      </c>
      <c r="U1442">
        <v>187</v>
      </c>
      <c r="V1442">
        <f>VLOOKUP($U1442,'[2]AP Opportunity'!$Q$1:$T$542,2,FALSE)</f>
        <v>0.99999997777777772</v>
      </c>
      <c r="W1442">
        <f>VLOOKUP($U1442,'[2]AP Opportunity'!$Q$1:$T$542,3,FALSE)</f>
        <v>2.2222222284540294E-8</v>
      </c>
      <c r="X1442">
        <f>VLOOKUP($U1442,'[2]AP Opportunity'!$Q$1:$T$542,4,FALSE)</f>
        <v>0</v>
      </c>
      <c r="Y1442" s="77">
        <f t="shared" si="4623"/>
        <v>1</v>
      </c>
      <c r="Z1442" s="77">
        <f t="shared" si="4627"/>
        <v>6.4624999704999977E-2</v>
      </c>
      <c r="AA1442" s="77">
        <f t="shared" si="4628"/>
        <v>5.2321923767311151E-3</v>
      </c>
      <c r="AB1442" s="79">
        <v>1</v>
      </c>
      <c r="AC1442" s="77">
        <f t="shared" si="4592"/>
        <v>8.499999955555556E-3</v>
      </c>
      <c r="AD1442" s="77">
        <f t="shared" ref="AD1442" si="4669">1-(1-AC1442)^(1/12)</f>
        <v>7.1110795759765644E-4</v>
      </c>
      <c r="AE1442" s="77">
        <f t="shared" si="4594"/>
        <v>2.5000000000000001E-3</v>
      </c>
      <c r="AF1442" s="77">
        <f t="shared" ref="AF1442" si="4670">1-(1-AE1442)^(1/12)</f>
        <v>2.0857243058891584E-4</v>
      </c>
      <c r="AH1442" t="s">
        <v>175</v>
      </c>
      <c r="AI1442" t="s">
        <v>180</v>
      </c>
      <c r="AJ1442" s="197" t="str">
        <f t="shared" si="4585"/>
        <v>Lifecycle_Opportunity_187</v>
      </c>
      <c r="AK1442">
        <v>187</v>
      </c>
      <c r="AL1442">
        <f>VLOOKUP($U1442,[2]Standard_Opportunity!$Q$1:$T$542,2,FALSE)</f>
        <v>0.99999997777777772</v>
      </c>
      <c r="AM1442">
        <f>VLOOKUP($U1442,[2]Standard_Opportunity!$Q$1:$T$542,3,FALSE)</f>
        <v>2.2222222284540294E-8</v>
      </c>
      <c r="AN1442">
        <f>VLOOKUP($U1442,[2]Standard_Opportunity!$Q$1:$T$542,4,FALSE)</f>
        <v>0</v>
      </c>
      <c r="AO1442" s="77">
        <f t="shared" si="4586"/>
        <v>1</v>
      </c>
      <c r="AP1442" s="77">
        <f t="shared" si="4596"/>
        <v>6.4624999704999977E-2</v>
      </c>
      <c r="AQ1442" s="77">
        <f t="shared" si="4587"/>
        <v>5.2321923767311151E-3</v>
      </c>
      <c r="AR1442" s="79">
        <v>0</v>
      </c>
      <c r="AS1442" s="77">
        <f t="shared" si="4597"/>
        <v>0</v>
      </c>
      <c r="AT1442" s="77">
        <f t="shared" si="4598"/>
        <v>0</v>
      </c>
      <c r="AU1442" s="77">
        <f t="shared" si="4599"/>
        <v>2.5000000000000001E-3</v>
      </c>
      <c r="AV1442" s="77">
        <f t="shared" si="4600"/>
        <v>2.0809499864316017E-4</v>
      </c>
    </row>
    <row r="1443" spans="1:48">
      <c r="A1443" t="s">
        <v>175</v>
      </c>
      <c r="B1443" t="s">
        <v>180</v>
      </c>
      <c r="C1443" s="197" t="str">
        <f t="shared" si="4621"/>
        <v>Lifecycle_Opportunity_186</v>
      </c>
      <c r="D1443">
        <v>186</v>
      </c>
      <c r="E1443">
        <f>VLOOKUP($D1443,'[2]LC Opportunity'!$Q$2:$U$542,2,FALSE)</f>
        <v>0</v>
      </c>
      <c r="F1443">
        <f>VLOOKUP($D1443,'[2]LC Opportunity'!$Q$2:$U$542,3,FALSE)</f>
        <v>0</v>
      </c>
      <c r="G1443">
        <f>VLOOKUP($D1443,'[2]LC Opportunity'!$Q$2:$U$542,4,FALSE)</f>
        <v>0</v>
      </c>
      <c r="H1443">
        <f>VLOOKUP($D1443,'[2]LC Opportunity'!$Q$2:$U$542,5,FALSE)</f>
        <v>0.99999999999999989</v>
      </c>
      <c r="I1443" s="77">
        <f t="shared" si="4581"/>
        <v>0.99999999999999989</v>
      </c>
      <c r="J1443" s="77">
        <f t="shared" si="4582"/>
        <v>7.1999999999999981E-2</v>
      </c>
      <c r="K1443" s="77">
        <f t="shared" si="4626"/>
        <v>5.8106552987937654E-3</v>
      </c>
      <c r="L1443" s="76">
        <v>0</v>
      </c>
      <c r="M1443" s="77">
        <f t="shared" si="4588"/>
        <v>0</v>
      </c>
      <c r="N1443" s="77">
        <f t="shared" si="4589"/>
        <v>0</v>
      </c>
      <c r="O1443" s="77">
        <f t="shared" si="4590"/>
        <v>4.9999999999999992E-3</v>
      </c>
      <c r="P1443" s="77">
        <f t="shared" si="4591"/>
        <v>4.1762458919303302E-4</v>
      </c>
      <c r="R1443" t="s">
        <v>177</v>
      </c>
      <c r="S1443" t="s">
        <v>180</v>
      </c>
      <c r="T1443" s="197" t="str">
        <f t="shared" si="4622"/>
        <v>Autopilot_Opportunity_186</v>
      </c>
      <c r="U1443">
        <v>186</v>
      </c>
      <c r="V1443">
        <f>VLOOKUP($U1443,'[2]AP Opportunity'!$Q$1:$T$542,2,FALSE)</f>
        <v>0.99999997777777772</v>
      </c>
      <c r="W1443">
        <f>VLOOKUP($U1443,'[2]AP Opportunity'!$Q$1:$T$542,3,FALSE)</f>
        <v>2.2222222284540294E-8</v>
      </c>
      <c r="X1443">
        <f>VLOOKUP($U1443,'[2]AP Opportunity'!$Q$1:$T$542,4,FALSE)</f>
        <v>0</v>
      </c>
      <c r="Y1443" s="77">
        <f t="shared" si="4623"/>
        <v>1</v>
      </c>
      <c r="Z1443" s="77">
        <f t="shared" si="4627"/>
        <v>6.4624999704999977E-2</v>
      </c>
      <c r="AA1443" s="77">
        <f t="shared" si="4628"/>
        <v>5.2321923767311151E-3</v>
      </c>
      <c r="AB1443" s="79">
        <v>1</v>
      </c>
      <c r="AC1443" s="77">
        <f t="shared" si="4592"/>
        <v>8.499999955555556E-3</v>
      </c>
      <c r="AD1443" s="77">
        <f t="shared" ref="AD1443" si="4671">1-(1-AC1443)^(1/12)</f>
        <v>7.1110795759765644E-4</v>
      </c>
      <c r="AE1443" s="77">
        <f t="shared" si="4594"/>
        <v>2.5000000000000001E-3</v>
      </c>
      <c r="AF1443" s="77">
        <f t="shared" ref="AF1443" si="4672">1-(1-AE1443)^(1/12)</f>
        <v>2.0857243058891584E-4</v>
      </c>
      <c r="AH1443" t="s">
        <v>175</v>
      </c>
      <c r="AI1443" t="s">
        <v>180</v>
      </c>
      <c r="AJ1443" s="197" t="str">
        <f t="shared" si="4585"/>
        <v>Lifecycle_Opportunity_186</v>
      </c>
      <c r="AK1443">
        <v>186</v>
      </c>
      <c r="AL1443">
        <f>VLOOKUP($U1443,[2]Standard_Opportunity!$Q$1:$T$542,2,FALSE)</f>
        <v>0.99999997777777772</v>
      </c>
      <c r="AM1443">
        <f>VLOOKUP($U1443,[2]Standard_Opportunity!$Q$1:$T$542,3,FALSE)</f>
        <v>2.2222222284540294E-8</v>
      </c>
      <c r="AN1443">
        <f>VLOOKUP($U1443,[2]Standard_Opportunity!$Q$1:$T$542,4,FALSE)</f>
        <v>0</v>
      </c>
      <c r="AO1443" s="77">
        <f t="shared" si="4586"/>
        <v>1</v>
      </c>
      <c r="AP1443" s="77">
        <f t="shared" si="4596"/>
        <v>6.4624999704999977E-2</v>
      </c>
      <c r="AQ1443" s="77">
        <f t="shared" si="4587"/>
        <v>5.2321923767311151E-3</v>
      </c>
      <c r="AR1443" s="79">
        <v>0</v>
      </c>
      <c r="AS1443" s="77">
        <f t="shared" si="4597"/>
        <v>0</v>
      </c>
      <c r="AT1443" s="77">
        <f t="shared" si="4598"/>
        <v>0</v>
      </c>
      <c r="AU1443" s="77">
        <f t="shared" si="4599"/>
        <v>2.5000000000000001E-3</v>
      </c>
      <c r="AV1443" s="77">
        <f t="shared" si="4600"/>
        <v>2.0809499864316017E-4</v>
      </c>
    </row>
    <row r="1444" spans="1:48">
      <c r="A1444" t="s">
        <v>175</v>
      </c>
      <c r="B1444" t="s">
        <v>180</v>
      </c>
      <c r="C1444" s="197" t="str">
        <f t="shared" si="4621"/>
        <v>Lifecycle_Opportunity_185</v>
      </c>
      <c r="D1444">
        <v>185</v>
      </c>
      <c r="E1444">
        <f>VLOOKUP($D1444,'[2]LC Opportunity'!$Q$2:$U$542,2,FALSE)</f>
        <v>0</v>
      </c>
      <c r="F1444">
        <f>VLOOKUP($D1444,'[2]LC Opportunity'!$Q$2:$U$542,3,FALSE)</f>
        <v>0</v>
      </c>
      <c r="G1444">
        <f>VLOOKUP($D1444,'[2]LC Opportunity'!$Q$2:$U$542,4,FALSE)</f>
        <v>0</v>
      </c>
      <c r="H1444">
        <f>VLOOKUP($D1444,'[2]LC Opportunity'!$Q$2:$U$542,5,FALSE)</f>
        <v>0.99999999999999989</v>
      </c>
      <c r="I1444" s="77">
        <f t="shared" si="4581"/>
        <v>0.99999999999999989</v>
      </c>
      <c r="J1444" s="77">
        <f t="shared" si="4582"/>
        <v>7.1999999999999981E-2</v>
      </c>
      <c r="K1444" s="77">
        <f t="shared" si="4626"/>
        <v>5.8106552987937654E-3</v>
      </c>
      <c r="L1444" s="76">
        <v>0</v>
      </c>
      <c r="M1444" s="77">
        <f t="shared" si="4588"/>
        <v>0</v>
      </c>
      <c r="N1444" s="77">
        <f t="shared" si="4589"/>
        <v>0</v>
      </c>
      <c r="O1444" s="77">
        <f t="shared" si="4590"/>
        <v>4.9999999999999992E-3</v>
      </c>
      <c r="P1444" s="77">
        <f t="shared" si="4591"/>
        <v>4.1762458919303302E-4</v>
      </c>
      <c r="R1444" t="s">
        <v>177</v>
      </c>
      <c r="S1444" t="s">
        <v>180</v>
      </c>
      <c r="T1444" s="197" t="str">
        <f t="shared" si="4622"/>
        <v>Autopilot_Opportunity_185</v>
      </c>
      <c r="U1444">
        <v>185</v>
      </c>
      <c r="V1444">
        <f>VLOOKUP($U1444,'[2]AP Opportunity'!$Q$1:$T$542,2,FALSE)</f>
        <v>0.99999997777777772</v>
      </c>
      <c r="W1444">
        <f>VLOOKUP($U1444,'[2]AP Opportunity'!$Q$1:$T$542,3,FALSE)</f>
        <v>2.2222222284540294E-8</v>
      </c>
      <c r="X1444">
        <f>VLOOKUP($U1444,'[2]AP Opportunity'!$Q$1:$T$542,4,FALSE)</f>
        <v>0</v>
      </c>
      <c r="Y1444" s="77">
        <f t="shared" si="4623"/>
        <v>1</v>
      </c>
      <c r="Z1444" s="77">
        <f t="shared" si="4627"/>
        <v>6.4624999704999977E-2</v>
      </c>
      <c r="AA1444" s="77">
        <f t="shared" si="4628"/>
        <v>5.2321923767311151E-3</v>
      </c>
      <c r="AB1444" s="79">
        <v>1</v>
      </c>
      <c r="AC1444" s="77">
        <f t="shared" si="4592"/>
        <v>8.499999955555556E-3</v>
      </c>
      <c r="AD1444" s="77">
        <f t="shared" ref="AD1444" si="4673">1-(1-AC1444)^(1/12)</f>
        <v>7.1110795759765644E-4</v>
      </c>
      <c r="AE1444" s="77">
        <f t="shared" si="4594"/>
        <v>2.5000000000000001E-3</v>
      </c>
      <c r="AF1444" s="77">
        <f t="shared" ref="AF1444" si="4674">1-(1-AE1444)^(1/12)</f>
        <v>2.0857243058891584E-4</v>
      </c>
      <c r="AH1444" t="s">
        <v>175</v>
      </c>
      <c r="AI1444" t="s">
        <v>180</v>
      </c>
      <c r="AJ1444" s="197" t="str">
        <f t="shared" si="4585"/>
        <v>Lifecycle_Opportunity_185</v>
      </c>
      <c r="AK1444">
        <v>185</v>
      </c>
      <c r="AL1444">
        <f>VLOOKUP($U1444,[2]Standard_Opportunity!$Q$1:$T$542,2,FALSE)</f>
        <v>0.99999997777777772</v>
      </c>
      <c r="AM1444">
        <f>VLOOKUP($U1444,[2]Standard_Opportunity!$Q$1:$T$542,3,FALSE)</f>
        <v>2.2222222284540294E-8</v>
      </c>
      <c r="AN1444">
        <f>VLOOKUP($U1444,[2]Standard_Opportunity!$Q$1:$T$542,4,FALSE)</f>
        <v>0</v>
      </c>
      <c r="AO1444" s="77">
        <f t="shared" si="4586"/>
        <v>1</v>
      </c>
      <c r="AP1444" s="77">
        <f t="shared" si="4596"/>
        <v>6.4624999704999977E-2</v>
      </c>
      <c r="AQ1444" s="77">
        <f t="shared" si="4587"/>
        <v>5.2321923767311151E-3</v>
      </c>
      <c r="AR1444" s="79">
        <v>0</v>
      </c>
      <c r="AS1444" s="77">
        <f t="shared" si="4597"/>
        <v>0</v>
      </c>
      <c r="AT1444" s="77">
        <f t="shared" si="4598"/>
        <v>0</v>
      </c>
      <c r="AU1444" s="77">
        <f t="shared" si="4599"/>
        <v>2.5000000000000001E-3</v>
      </c>
      <c r="AV1444" s="77">
        <f t="shared" si="4600"/>
        <v>2.0809499864316017E-4</v>
      </c>
    </row>
    <row r="1445" spans="1:48">
      <c r="A1445" t="s">
        <v>175</v>
      </c>
      <c r="B1445" t="s">
        <v>180</v>
      </c>
      <c r="C1445" s="197" t="str">
        <f t="shared" si="4621"/>
        <v>Lifecycle_Opportunity_184</v>
      </c>
      <c r="D1445">
        <v>184</v>
      </c>
      <c r="E1445">
        <f>VLOOKUP($D1445,'[2]LC Opportunity'!$Q$2:$U$542,2,FALSE)</f>
        <v>0</v>
      </c>
      <c r="F1445">
        <f>VLOOKUP($D1445,'[2]LC Opportunity'!$Q$2:$U$542,3,FALSE)</f>
        <v>0</v>
      </c>
      <c r="G1445">
        <f>VLOOKUP($D1445,'[2]LC Opportunity'!$Q$2:$U$542,4,FALSE)</f>
        <v>0</v>
      </c>
      <c r="H1445">
        <f>VLOOKUP($D1445,'[2]LC Opportunity'!$Q$2:$U$542,5,FALSE)</f>
        <v>0.99999999999999989</v>
      </c>
      <c r="I1445" s="77">
        <f t="shared" si="4581"/>
        <v>0.99999999999999989</v>
      </c>
      <c r="J1445" s="77">
        <f t="shared" si="4582"/>
        <v>7.1999999999999981E-2</v>
      </c>
      <c r="K1445" s="77">
        <f t="shared" si="4626"/>
        <v>5.8106552987937654E-3</v>
      </c>
      <c r="L1445" s="76">
        <v>0</v>
      </c>
      <c r="M1445" s="77">
        <f t="shared" si="4588"/>
        <v>0</v>
      </c>
      <c r="N1445" s="77">
        <f t="shared" si="4589"/>
        <v>0</v>
      </c>
      <c r="O1445" s="77">
        <f t="shared" si="4590"/>
        <v>4.9999999999999992E-3</v>
      </c>
      <c r="P1445" s="77">
        <f t="shared" si="4591"/>
        <v>4.1762458919303302E-4</v>
      </c>
      <c r="R1445" t="s">
        <v>177</v>
      </c>
      <c r="S1445" t="s">
        <v>180</v>
      </c>
      <c r="T1445" s="197" t="str">
        <f t="shared" si="4622"/>
        <v>Autopilot_Opportunity_184</v>
      </c>
      <c r="U1445">
        <v>184</v>
      </c>
      <c r="V1445">
        <f>VLOOKUP($U1445,'[2]AP Opportunity'!$Q$1:$T$542,2,FALSE)</f>
        <v>0.99999997777777772</v>
      </c>
      <c r="W1445">
        <f>VLOOKUP($U1445,'[2]AP Opportunity'!$Q$1:$T$542,3,FALSE)</f>
        <v>2.2222222284540294E-8</v>
      </c>
      <c r="X1445">
        <f>VLOOKUP($U1445,'[2]AP Opportunity'!$Q$1:$T$542,4,FALSE)</f>
        <v>0</v>
      </c>
      <c r="Y1445" s="77">
        <f t="shared" si="4623"/>
        <v>1</v>
      </c>
      <c r="Z1445" s="77">
        <f t="shared" si="4627"/>
        <v>6.4624999704999977E-2</v>
      </c>
      <c r="AA1445" s="77">
        <f t="shared" si="4628"/>
        <v>5.2321923767311151E-3</v>
      </c>
      <c r="AB1445" s="79">
        <v>1</v>
      </c>
      <c r="AC1445" s="77">
        <f t="shared" si="4592"/>
        <v>8.499999955555556E-3</v>
      </c>
      <c r="AD1445" s="77">
        <f t="shared" ref="AD1445" si="4675">1-(1-AC1445)^(1/12)</f>
        <v>7.1110795759765644E-4</v>
      </c>
      <c r="AE1445" s="77">
        <f t="shared" si="4594"/>
        <v>2.5000000000000001E-3</v>
      </c>
      <c r="AF1445" s="77">
        <f t="shared" ref="AF1445" si="4676">1-(1-AE1445)^(1/12)</f>
        <v>2.0857243058891584E-4</v>
      </c>
      <c r="AH1445" t="s">
        <v>175</v>
      </c>
      <c r="AI1445" t="s">
        <v>180</v>
      </c>
      <c r="AJ1445" s="197" t="str">
        <f t="shared" si="4585"/>
        <v>Lifecycle_Opportunity_184</v>
      </c>
      <c r="AK1445">
        <v>184</v>
      </c>
      <c r="AL1445">
        <f>VLOOKUP($U1445,[2]Standard_Opportunity!$Q$1:$T$542,2,FALSE)</f>
        <v>0.99999997777777772</v>
      </c>
      <c r="AM1445">
        <f>VLOOKUP($U1445,[2]Standard_Opportunity!$Q$1:$T$542,3,FALSE)</f>
        <v>2.2222222284540294E-8</v>
      </c>
      <c r="AN1445">
        <f>VLOOKUP($U1445,[2]Standard_Opportunity!$Q$1:$T$542,4,FALSE)</f>
        <v>0</v>
      </c>
      <c r="AO1445" s="77">
        <f t="shared" si="4586"/>
        <v>1</v>
      </c>
      <c r="AP1445" s="77">
        <f t="shared" si="4596"/>
        <v>6.4624999704999977E-2</v>
      </c>
      <c r="AQ1445" s="77">
        <f t="shared" si="4587"/>
        <v>5.2321923767311151E-3</v>
      </c>
      <c r="AR1445" s="79">
        <v>0</v>
      </c>
      <c r="AS1445" s="77">
        <f t="shared" si="4597"/>
        <v>0</v>
      </c>
      <c r="AT1445" s="77">
        <f t="shared" si="4598"/>
        <v>0</v>
      </c>
      <c r="AU1445" s="77">
        <f t="shared" si="4599"/>
        <v>2.5000000000000001E-3</v>
      </c>
      <c r="AV1445" s="77">
        <f t="shared" si="4600"/>
        <v>2.0809499864316017E-4</v>
      </c>
    </row>
    <row r="1446" spans="1:48">
      <c r="A1446" t="s">
        <v>175</v>
      </c>
      <c r="B1446" t="s">
        <v>180</v>
      </c>
      <c r="C1446" s="197" t="str">
        <f t="shared" si="4621"/>
        <v>Lifecycle_Opportunity_183</v>
      </c>
      <c r="D1446">
        <v>183</v>
      </c>
      <c r="E1446">
        <f>VLOOKUP($D1446,'[2]LC Opportunity'!$Q$2:$U$542,2,FALSE)</f>
        <v>0</v>
      </c>
      <c r="F1446">
        <f>VLOOKUP($D1446,'[2]LC Opportunity'!$Q$2:$U$542,3,FALSE)</f>
        <v>0</v>
      </c>
      <c r="G1446">
        <f>VLOOKUP($D1446,'[2]LC Opportunity'!$Q$2:$U$542,4,FALSE)</f>
        <v>0</v>
      </c>
      <c r="H1446">
        <f>VLOOKUP($D1446,'[2]LC Opportunity'!$Q$2:$U$542,5,FALSE)</f>
        <v>0.99999999999999989</v>
      </c>
      <c r="I1446" s="77">
        <f t="shared" si="4581"/>
        <v>0.99999999999999989</v>
      </c>
      <c r="J1446" s="77">
        <f t="shared" si="4582"/>
        <v>7.1999999999999981E-2</v>
      </c>
      <c r="K1446" s="77">
        <f t="shared" si="4626"/>
        <v>5.8106552987937654E-3</v>
      </c>
      <c r="L1446" s="76">
        <v>0</v>
      </c>
      <c r="M1446" s="77">
        <f t="shared" si="4588"/>
        <v>0</v>
      </c>
      <c r="N1446" s="77">
        <f t="shared" si="4589"/>
        <v>0</v>
      </c>
      <c r="O1446" s="77">
        <f t="shared" si="4590"/>
        <v>4.9999999999999992E-3</v>
      </c>
      <c r="P1446" s="77">
        <f t="shared" si="4591"/>
        <v>4.1762458919303302E-4</v>
      </c>
      <c r="R1446" t="s">
        <v>177</v>
      </c>
      <c r="S1446" t="s">
        <v>180</v>
      </c>
      <c r="T1446" s="197" t="str">
        <f t="shared" si="4622"/>
        <v>Autopilot_Opportunity_183</v>
      </c>
      <c r="U1446">
        <v>183</v>
      </c>
      <c r="V1446">
        <f>VLOOKUP($U1446,'[2]AP Opportunity'!$Q$1:$T$542,2,FALSE)</f>
        <v>0.99999997777777772</v>
      </c>
      <c r="W1446">
        <f>VLOOKUP($U1446,'[2]AP Opportunity'!$Q$1:$T$542,3,FALSE)</f>
        <v>2.2222222284540294E-8</v>
      </c>
      <c r="X1446">
        <f>VLOOKUP($U1446,'[2]AP Opportunity'!$Q$1:$T$542,4,FALSE)</f>
        <v>0</v>
      </c>
      <c r="Y1446" s="77">
        <f t="shared" si="4623"/>
        <v>1</v>
      </c>
      <c r="Z1446" s="77">
        <f t="shared" si="4627"/>
        <v>6.4624999704999977E-2</v>
      </c>
      <c r="AA1446" s="77">
        <f t="shared" si="4628"/>
        <v>5.2321923767311151E-3</v>
      </c>
      <c r="AB1446" s="79">
        <v>1</v>
      </c>
      <c r="AC1446" s="77">
        <f t="shared" si="4592"/>
        <v>8.499999955555556E-3</v>
      </c>
      <c r="AD1446" s="77">
        <f t="shared" ref="AD1446" si="4677">1-(1-AC1446)^(1/12)</f>
        <v>7.1110795759765644E-4</v>
      </c>
      <c r="AE1446" s="77">
        <f t="shared" si="4594"/>
        <v>2.5000000000000001E-3</v>
      </c>
      <c r="AF1446" s="77">
        <f t="shared" ref="AF1446" si="4678">1-(1-AE1446)^(1/12)</f>
        <v>2.0857243058891584E-4</v>
      </c>
      <c r="AH1446" t="s">
        <v>175</v>
      </c>
      <c r="AI1446" t="s">
        <v>180</v>
      </c>
      <c r="AJ1446" s="197" t="str">
        <f t="shared" si="4585"/>
        <v>Lifecycle_Opportunity_183</v>
      </c>
      <c r="AK1446">
        <v>183</v>
      </c>
      <c r="AL1446">
        <f>VLOOKUP($U1446,[2]Standard_Opportunity!$Q$1:$T$542,2,FALSE)</f>
        <v>0.99999997777777772</v>
      </c>
      <c r="AM1446">
        <f>VLOOKUP($U1446,[2]Standard_Opportunity!$Q$1:$T$542,3,FALSE)</f>
        <v>2.2222222284540294E-8</v>
      </c>
      <c r="AN1446">
        <f>VLOOKUP($U1446,[2]Standard_Opportunity!$Q$1:$T$542,4,FALSE)</f>
        <v>0</v>
      </c>
      <c r="AO1446" s="77">
        <f t="shared" si="4586"/>
        <v>1</v>
      </c>
      <c r="AP1446" s="77">
        <f t="shared" si="4596"/>
        <v>6.4624999704999977E-2</v>
      </c>
      <c r="AQ1446" s="77">
        <f t="shared" si="4587"/>
        <v>5.2321923767311151E-3</v>
      </c>
      <c r="AR1446" s="79">
        <v>0</v>
      </c>
      <c r="AS1446" s="77">
        <f t="shared" si="4597"/>
        <v>0</v>
      </c>
      <c r="AT1446" s="77">
        <f t="shared" si="4598"/>
        <v>0</v>
      </c>
      <c r="AU1446" s="77">
        <f t="shared" si="4599"/>
        <v>2.5000000000000001E-3</v>
      </c>
      <c r="AV1446" s="77">
        <f t="shared" si="4600"/>
        <v>2.0809499864316017E-4</v>
      </c>
    </row>
    <row r="1447" spans="1:48">
      <c r="A1447" t="s">
        <v>175</v>
      </c>
      <c r="B1447" t="s">
        <v>180</v>
      </c>
      <c r="C1447" s="197" t="str">
        <f t="shared" si="4621"/>
        <v>Lifecycle_Opportunity_182</v>
      </c>
      <c r="D1447">
        <v>182</v>
      </c>
      <c r="E1447">
        <f>VLOOKUP($D1447,'[2]LC Opportunity'!$Q$2:$U$542,2,FALSE)</f>
        <v>0</v>
      </c>
      <c r="F1447">
        <f>VLOOKUP($D1447,'[2]LC Opportunity'!$Q$2:$U$542,3,FALSE)</f>
        <v>0</v>
      </c>
      <c r="G1447">
        <f>VLOOKUP($D1447,'[2]LC Opportunity'!$Q$2:$U$542,4,FALSE)</f>
        <v>0</v>
      </c>
      <c r="H1447">
        <f>VLOOKUP($D1447,'[2]LC Opportunity'!$Q$2:$U$542,5,FALSE)</f>
        <v>0.99999999999999989</v>
      </c>
      <c r="I1447" s="77">
        <f t="shared" si="4581"/>
        <v>0.99999999999999989</v>
      </c>
      <c r="J1447" s="77">
        <f t="shared" si="4582"/>
        <v>7.1999999999999981E-2</v>
      </c>
      <c r="K1447" s="77">
        <f t="shared" si="4626"/>
        <v>5.8106552987937654E-3</v>
      </c>
      <c r="L1447" s="76">
        <v>0</v>
      </c>
      <c r="M1447" s="77">
        <f t="shared" si="4588"/>
        <v>0</v>
      </c>
      <c r="N1447" s="77">
        <f t="shared" si="4589"/>
        <v>0</v>
      </c>
      <c r="O1447" s="77">
        <f t="shared" si="4590"/>
        <v>4.9999999999999992E-3</v>
      </c>
      <c r="P1447" s="77">
        <f t="shared" si="4591"/>
        <v>4.1762458919303302E-4</v>
      </c>
      <c r="R1447" t="s">
        <v>177</v>
      </c>
      <c r="S1447" t="s">
        <v>180</v>
      </c>
      <c r="T1447" s="197" t="str">
        <f t="shared" si="4622"/>
        <v>Autopilot_Opportunity_182</v>
      </c>
      <c r="U1447">
        <v>182</v>
      </c>
      <c r="V1447">
        <f>VLOOKUP($U1447,'[2]AP Opportunity'!$Q$1:$T$542,2,FALSE)</f>
        <v>0.99999997777777772</v>
      </c>
      <c r="W1447">
        <f>VLOOKUP($U1447,'[2]AP Opportunity'!$Q$1:$T$542,3,FALSE)</f>
        <v>2.2222222284540294E-8</v>
      </c>
      <c r="X1447">
        <f>VLOOKUP($U1447,'[2]AP Opportunity'!$Q$1:$T$542,4,FALSE)</f>
        <v>0</v>
      </c>
      <c r="Y1447" s="77">
        <f t="shared" si="4623"/>
        <v>1</v>
      </c>
      <c r="Z1447" s="77">
        <f t="shared" si="4627"/>
        <v>6.4624999704999977E-2</v>
      </c>
      <c r="AA1447" s="77">
        <f t="shared" si="4628"/>
        <v>5.2321923767311151E-3</v>
      </c>
      <c r="AB1447" s="79">
        <v>1</v>
      </c>
      <c r="AC1447" s="77">
        <f t="shared" si="4592"/>
        <v>8.499999955555556E-3</v>
      </c>
      <c r="AD1447" s="77">
        <f t="shared" ref="AD1447" si="4679">1-(1-AC1447)^(1/12)</f>
        <v>7.1110795759765644E-4</v>
      </c>
      <c r="AE1447" s="77">
        <f t="shared" si="4594"/>
        <v>2.5000000000000001E-3</v>
      </c>
      <c r="AF1447" s="77">
        <f t="shared" ref="AF1447" si="4680">1-(1-AE1447)^(1/12)</f>
        <v>2.0857243058891584E-4</v>
      </c>
      <c r="AH1447" t="s">
        <v>175</v>
      </c>
      <c r="AI1447" t="s">
        <v>180</v>
      </c>
      <c r="AJ1447" s="197" t="str">
        <f t="shared" si="4585"/>
        <v>Lifecycle_Opportunity_182</v>
      </c>
      <c r="AK1447">
        <v>182</v>
      </c>
      <c r="AL1447">
        <f>VLOOKUP($U1447,[2]Standard_Opportunity!$Q$1:$T$542,2,FALSE)</f>
        <v>0.99999997777777772</v>
      </c>
      <c r="AM1447">
        <f>VLOOKUP($U1447,[2]Standard_Opportunity!$Q$1:$T$542,3,FALSE)</f>
        <v>2.2222222284540294E-8</v>
      </c>
      <c r="AN1447">
        <f>VLOOKUP($U1447,[2]Standard_Opportunity!$Q$1:$T$542,4,FALSE)</f>
        <v>0</v>
      </c>
      <c r="AO1447" s="77">
        <f t="shared" si="4586"/>
        <v>1</v>
      </c>
      <c r="AP1447" s="77">
        <f t="shared" si="4596"/>
        <v>6.4624999704999977E-2</v>
      </c>
      <c r="AQ1447" s="77">
        <f t="shared" si="4587"/>
        <v>5.2321923767311151E-3</v>
      </c>
      <c r="AR1447" s="79">
        <v>0</v>
      </c>
      <c r="AS1447" s="77">
        <f t="shared" si="4597"/>
        <v>0</v>
      </c>
      <c r="AT1447" s="77">
        <f t="shared" si="4598"/>
        <v>0</v>
      </c>
      <c r="AU1447" s="77">
        <f t="shared" si="4599"/>
        <v>2.5000000000000001E-3</v>
      </c>
      <c r="AV1447" s="77">
        <f t="shared" si="4600"/>
        <v>2.0809499864316017E-4</v>
      </c>
    </row>
    <row r="1448" spans="1:48">
      <c r="A1448" t="s">
        <v>175</v>
      </c>
      <c r="B1448" t="s">
        <v>180</v>
      </c>
      <c r="C1448" s="197" t="str">
        <f t="shared" si="4621"/>
        <v>Lifecycle_Opportunity_181</v>
      </c>
      <c r="D1448">
        <v>181</v>
      </c>
      <c r="E1448">
        <f>VLOOKUP($D1448,'[2]LC Opportunity'!$Q$2:$U$542,2,FALSE)</f>
        <v>0</v>
      </c>
      <c r="F1448">
        <f>VLOOKUP($D1448,'[2]LC Opportunity'!$Q$2:$U$542,3,FALSE)</f>
        <v>0</v>
      </c>
      <c r="G1448">
        <f>VLOOKUP($D1448,'[2]LC Opportunity'!$Q$2:$U$542,4,FALSE)</f>
        <v>0</v>
      </c>
      <c r="H1448">
        <f>VLOOKUP($D1448,'[2]LC Opportunity'!$Q$2:$U$542,5,FALSE)</f>
        <v>0.99999999999999989</v>
      </c>
      <c r="I1448" s="77">
        <f t="shared" si="4581"/>
        <v>0.99999999999999989</v>
      </c>
      <c r="J1448" s="77">
        <f t="shared" si="4582"/>
        <v>7.1999999999999981E-2</v>
      </c>
      <c r="K1448" s="77">
        <f t="shared" si="4626"/>
        <v>5.8106552987937654E-3</v>
      </c>
      <c r="L1448" s="76">
        <v>0</v>
      </c>
      <c r="M1448" s="77">
        <f t="shared" si="4588"/>
        <v>0</v>
      </c>
      <c r="N1448" s="77">
        <f t="shared" si="4589"/>
        <v>0</v>
      </c>
      <c r="O1448" s="77">
        <f t="shared" si="4590"/>
        <v>4.9999999999999992E-3</v>
      </c>
      <c r="P1448" s="77">
        <f t="shared" si="4591"/>
        <v>4.1762458919303302E-4</v>
      </c>
      <c r="R1448" t="s">
        <v>177</v>
      </c>
      <c r="S1448" t="s">
        <v>180</v>
      </c>
      <c r="T1448" s="197" t="str">
        <f t="shared" si="4622"/>
        <v>Autopilot_Opportunity_181</v>
      </c>
      <c r="U1448">
        <v>181</v>
      </c>
      <c r="V1448">
        <f>VLOOKUP($U1448,'[2]AP Opportunity'!$Q$1:$T$542,2,FALSE)</f>
        <v>0.99999997777777772</v>
      </c>
      <c r="W1448">
        <f>VLOOKUP($U1448,'[2]AP Opportunity'!$Q$1:$T$542,3,FALSE)</f>
        <v>2.2222222284540294E-8</v>
      </c>
      <c r="X1448">
        <f>VLOOKUP($U1448,'[2]AP Opportunity'!$Q$1:$T$542,4,FALSE)</f>
        <v>0</v>
      </c>
      <c r="Y1448" s="77">
        <f t="shared" si="4623"/>
        <v>1</v>
      </c>
      <c r="Z1448" s="77">
        <f t="shared" si="4627"/>
        <v>6.4624999704999977E-2</v>
      </c>
      <c r="AA1448" s="77">
        <f t="shared" si="4628"/>
        <v>5.2321923767311151E-3</v>
      </c>
      <c r="AB1448" s="79">
        <v>1</v>
      </c>
      <c r="AC1448" s="77">
        <f t="shared" si="4592"/>
        <v>8.499999955555556E-3</v>
      </c>
      <c r="AD1448" s="77">
        <f t="shared" ref="AD1448" si="4681">1-(1-AC1448)^(1/12)</f>
        <v>7.1110795759765644E-4</v>
      </c>
      <c r="AE1448" s="77">
        <f t="shared" si="4594"/>
        <v>2.5000000000000001E-3</v>
      </c>
      <c r="AF1448" s="77">
        <f t="shared" ref="AF1448" si="4682">1-(1-AE1448)^(1/12)</f>
        <v>2.0857243058891584E-4</v>
      </c>
      <c r="AH1448" t="s">
        <v>175</v>
      </c>
      <c r="AI1448" t="s">
        <v>180</v>
      </c>
      <c r="AJ1448" s="197" t="str">
        <f t="shared" si="4585"/>
        <v>Lifecycle_Opportunity_181</v>
      </c>
      <c r="AK1448">
        <v>181</v>
      </c>
      <c r="AL1448">
        <f>VLOOKUP($U1448,[2]Standard_Opportunity!$Q$1:$T$542,2,FALSE)</f>
        <v>0.99999997777777772</v>
      </c>
      <c r="AM1448">
        <f>VLOOKUP($U1448,[2]Standard_Opportunity!$Q$1:$T$542,3,FALSE)</f>
        <v>2.2222222284540294E-8</v>
      </c>
      <c r="AN1448">
        <f>VLOOKUP($U1448,[2]Standard_Opportunity!$Q$1:$T$542,4,FALSE)</f>
        <v>0</v>
      </c>
      <c r="AO1448" s="77">
        <f t="shared" si="4586"/>
        <v>1</v>
      </c>
      <c r="AP1448" s="77">
        <f t="shared" si="4596"/>
        <v>6.4624999704999977E-2</v>
      </c>
      <c r="AQ1448" s="77">
        <f t="shared" si="4587"/>
        <v>5.2321923767311151E-3</v>
      </c>
      <c r="AR1448" s="79">
        <v>0</v>
      </c>
      <c r="AS1448" s="77">
        <f t="shared" si="4597"/>
        <v>0</v>
      </c>
      <c r="AT1448" s="77">
        <f t="shared" si="4598"/>
        <v>0</v>
      </c>
      <c r="AU1448" s="77">
        <f t="shared" si="4599"/>
        <v>2.5000000000000001E-3</v>
      </c>
      <c r="AV1448" s="77">
        <f t="shared" si="4600"/>
        <v>2.0809499864316017E-4</v>
      </c>
    </row>
    <row r="1449" spans="1:48">
      <c r="A1449" t="s">
        <v>175</v>
      </c>
      <c r="B1449" t="s">
        <v>180</v>
      </c>
      <c r="C1449" s="197" t="str">
        <f t="shared" si="4621"/>
        <v>Lifecycle_Opportunity_180</v>
      </c>
      <c r="D1449">
        <v>180</v>
      </c>
      <c r="E1449">
        <f>VLOOKUP($D1449,'[2]LC Opportunity'!$Q$2:$U$542,2,FALSE)</f>
        <v>0</v>
      </c>
      <c r="F1449">
        <f>VLOOKUP($D1449,'[2]LC Opportunity'!$Q$2:$U$542,3,FALSE)</f>
        <v>0</v>
      </c>
      <c r="G1449">
        <f>VLOOKUP($D1449,'[2]LC Opportunity'!$Q$2:$U$542,4,FALSE)</f>
        <v>0</v>
      </c>
      <c r="H1449">
        <f>VLOOKUP($D1449,'[2]LC Opportunity'!$Q$2:$U$542,5,FALSE)</f>
        <v>0.99999999999999989</v>
      </c>
      <c r="I1449" s="77">
        <f t="shared" si="4581"/>
        <v>0.99999999999999989</v>
      </c>
      <c r="J1449" s="77">
        <f t="shared" si="4582"/>
        <v>7.1999999999999981E-2</v>
      </c>
      <c r="K1449" s="77">
        <f t="shared" si="4626"/>
        <v>5.8106552987937654E-3</v>
      </c>
      <c r="L1449" s="76">
        <v>0</v>
      </c>
      <c r="M1449" s="77">
        <f t="shared" si="4588"/>
        <v>0</v>
      </c>
      <c r="N1449" s="77">
        <f t="shared" si="4589"/>
        <v>0</v>
      </c>
      <c r="O1449" s="77">
        <f t="shared" si="4590"/>
        <v>4.9999999999999992E-3</v>
      </c>
      <c r="P1449" s="77">
        <f t="shared" si="4591"/>
        <v>4.1762458919303302E-4</v>
      </c>
      <c r="R1449" t="s">
        <v>177</v>
      </c>
      <c r="S1449" t="s">
        <v>180</v>
      </c>
      <c r="T1449" s="197" t="str">
        <f t="shared" si="4622"/>
        <v>Autopilot_Opportunity_180</v>
      </c>
      <c r="U1449">
        <v>180</v>
      </c>
      <c r="V1449">
        <f>VLOOKUP($U1449,'[2]AP Opportunity'!$Q$1:$T$542,2,FALSE)</f>
        <v>0.99999997777777772</v>
      </c>
      <c r="W1449">
        <f>VLOOKUP($U1449,'[2]AP Opportunity'!$Q$1:$T$542,3,FALSE)</f>
        <v>2.2222222284540294E-8</v>
      </c>
      <c r="X1449">
        <f>VLOOKUP($U1449,'[2]AP Opportunity'!$Q$1:$T$542,4,FALSE)</f>
        <v>0</v>
      </c>
      <c r="Y1449" s="77">
        <f t="shared" si="4623"/>
        <v>1</v>
      </c>
      <c r="Z1449" s="77">
        <f t="shared" si="4627"/>
        <v>6.4624999704999977E-2</v>
      </c>
      <c r="AA1449" s="77">
        <f t="shared" si="4628"/>
        <v>5.2321923767311151E-3</v>
      </c>
      <c r="AB1449" s="79">
        <v>1</v>
      </c>
      <c r="AC1449" s="77">
        <f t="shared" si="4592"/>
        <v>8.499999955555556E-3</v>
      </c>
      <c r="AD1449" s="77">
        <f t="shared" ref="AD1449" si="4683">1-(1-AC1449)^(1/12)</f>
        <v>7.1110795759765644E-4</v>
      </c>
      <c r="AE1449" s="77">
        <f t="shared" si="4594"/>
        <v>2.5000000000000001E-3</v>
      </c>
      <c r="AF1449" s="77">
        <f t="shared" ref="AF1449" si="4684">1-(1-AE1449)^(1/12)</f>
        <v>2.0857243058891584E-4</v>
      </c>
      <c r="AH1449" t="s">
        <v>175</v>
      </c>
      <c r="AI1449" t="s">
        <v>180</v>
      </c>
      <c r="AJ1449" s="197" t="str">
        <f t="shared" si="4585"/>
        <v>Lifecycle_Opportunity_180</v>
      </c>
      <c r="AK1449">
        <v>180</v>
      </c>
      <c r="AL1449">
        <f>VLOOKUP($U1449,[2]Standard_Opportunity!$Q$1:$T$542,2,FALSE)</f>
        <v>0.99999997777777772</v>
      </c>
      <c r="AM1449">
        <f>VLOOKUP($U1449,[2]Standard_Opportunity!$Q$1:$T$542,3,FALSE)</f>
        <v>2.2222222284540294E-8</v>
      </c>
      <c r="AN1449">
        <f>VLOOKUP($U1449,[2]Standard_Opportunity!$Q$1:$T$542,4,FALSE)</f>
        <v>0</v>
      </c>
      <c r="AO1449" s="77">
        <f t="shared" si="4586"/>
        <v>1</v>
      </c>
      <c r="AP1449" s="77">
        <f t="shared" si="4596"/>
        <v>6.4624999704999977E-2</v>
      </c>
      <c r="AQ1449" s="77">
        <f t="shared" si="4587"/>
        <v>5.2321923767311151E-3</v>
      </c>
      <c r="AR1449" s="79">
        <v>0</v>
      </c>
      <c r="AS1449" s="77">
        <f t="shared" si="4597"/>
        <v>0</v>
      </c>
      <c r="AT1449" s="77">
        <f t="shared" si="4598"/>
        <v>0</v>
      </c>
      <c r="AU1449" s="77">
        <f t="shared" si="4599"/>
        <v>2.5000000000000001E-3</v>
      </c>
      <c r="AV1449" s="77">
        <f t="shared" si="4600"/>
        <v>2.0809499864316017E-4</v>
      </c>
    </row>
    <row r="1450" spans="1:48">
      <c r="A1450" t="s">
        <v>175</v>
      </c>
      <c r="B1450" t="s">
        <v>180</v>
      </c>
      <c r="C1450" s="197" t="str">
        <f t="shared" si="4621"/>
        <v>Lifecycle_Opportunity_179</v>
      </c>
      <c r="D1450">
        <v>179</v>
      </c>
      <c r="E1450">
        <f>VLOOKUP($D1450,'[2]LC Opportunity'!$Q$2:$U$542,2,FALSE)</f>
        <v>0</v>
      </c>
      <c r="F1450">
        <f>VLOOKUP($D1450,'[2]LC Opportunity'!$Q$2:$U$542,3,FALSE)</f>
        <v>0</v>
      </c>
      <c r="G1450">
        <f>VLOOKUP($D1450,'[2]LC Opportunity'!$Q$2:$U$542,4,FALSE)</f>
        <v>0</v>
      </c>
      <c r="H1450">
        <f>VLOOKUP($D1450,'[2]LC Opportunity'!$Q$2:$U$542,5,FALSE)</f>
        <v>0.99999999999999989</v>
      </c>
      <c r="I1450" s="77">
        <f t="shared" si="4581"/>
        <v>0.99999999999999989</v>
      </c>
      <c r="J1450" s="77">
        <f t="shared" si="4582"/>
        <v>7.1999999999999981E-2</v>
      </c>
      <c r="K1450" s="77">
        <f t="shared" si="4626"/>
        <v>5.8106552987937654E-3</v>
      </c>
      <c r="L1450" s="76">
        <v>0</v>
      </c>
      <c r="M1450" s="77">
        <f t="shared" si="4588"/>
        <v>0</v>
      </c>
      <c r="N1450" s="77">
        <f t="shared" si="4589"/>
        <v>0</v>
      </c>
      <c r="O1450" s="77">
        <f t="shared" si="4590"/>
        <v>4.9999999999999992E-3</v>
      </c>
      <c r="P1450" s="77">
        <f t="shared" si="4591"/>
        <v>4.1762458919303302E-4</v>
      </c>
      <c r="R1450" t="s">
        <v>177</v>
      </c>
      <c r="S1450" t="s">
        <v>180</v>
      </c>
      <c r="T1450" s="197" t="str">
        <f t="shared" si="4622"/>
        <v>Autopilot_Opportunity_179</v>
      </c>
      <c r="U1450">
        <v>179</v>
      </c>
      <c r="V1450">
        <f>VLOOKUP($U1450,'[2]AP Opportunity'!$Q$1:$T$542,2,FALSE)</f>
        <v>0.99999997777777772</v>
      </c>
      <c r="W1450">
        <f>VLOOKUP($U1450,'[2]AP Opportunity'!$Q$1:$T$542,3,FALSE)</f>
        <v>2.2222222284540294E-8</v>
      </c>
      <c r="X1450">
        <f>VLOOKUP($U1450,'[2]AP Opportunity'!$Q$1:$T$542,4,FALSE)</f>
        <v>0</v>
      </c>
      <c r="Y1450" s="77">
        <f t="shared" si="4623"/>
        <v>1</v>
      </c>
      <c r="Z1450" s="77">
        <f t="shared" si="4627"/>
        <v>6.4624999704999977E-2</v>
      </c>
      <c r="AA1450" s="77">
        <f t="shared" si="4628"/>
        <v>5.2321923767311151E-3</v>
      </c>
      <c r="AB1450" s="79">
        <v>1</v>
      </c>
      <c r="AC1450" s="77">
        <f t="shared" si="4592"/>
        <v>8.499999955555556E-3</v>
      </c>
      <c r="AD1450" s="77">
        <f t="shared" ref="AD1450" si="4685">1-(1-AC1450)^(1/12)</f>
        <v>7.1110795759765644E-4</v>
      </c>
      <c r="AE1450" s="77">
        <f t="shared" si="4594"/>
        <v>2.5000000000000001E-3</v>
      </c>
      <c r="AF1450" s="77">
        <f t="shared" ref="AF1450" si="4686">1-(1-AE1450)^(1/12)</f>
        <v>2.0857243058891584E-4</v>
      </c>
      <c r="AH1450" t="s">
        <v>175</v>
      </c>
      <c r="AI1450" t="s">
        <v>180</v>
      </c>
      <c r="AJ1450" s="197" t="str">
        <f t="shared" si="4585"/>
        <v>Lifecycle_Opportunity_179</v>
      </c>
      <c r="AK1450">
        <v>179</v>
      </c>
      <c r="AL1450">
        <f>VLOOKUP($U1450,[2]Standard_Opportunity!$Q$1:$T$542,2,FALSE)</f>
        <v>0.99999997777777772</v>
      </c>
      <c r="AM1450">
        <f>VLOOKUP($U1450,[2]Standard_Opportunity!$Q$1:$T$542,3,FALSE)</f>
        <v>2.2222222284540294E-8</v>
      </c>
      <c r="AN1450">
        <f>VLOOKUP($U1450,[2]Standard_Opportunity!$Q$1:$T$542,4,FALSE)</f>
        <v>0</v>
      </c>
      <c r="AO1450" s="77">
        <f t="shared" si="4586"/>
        <v>1</v>
      </c>
      <c r="AP1450" s="77">
        <f t="shared" si="4596"/>
        <v>6.4624999704999977E-2</v>
      </c>
      <c r="AQ1450" s="77">
        <f t="shared" si="4587"/>
        <v>5.2321923767311151E-3</v>
      </c>
      <c r="AR1450" s="79">
        <v>0</v>
      </c>
      <c r="AS1450" s="77">
        <f t="shared" si="4597"/>
        <v>0</v>
      </c>
      <c r="AT1450" s="77">
        <f t="shared" si="4598"/>
        <v>0</v>
      </c>
      <c r="AU1450" s="77">
        <f t="shared" si="4599"/>
        <v>2.5000000000000001E-3</v>
      </c>
      <c r="AV1450" s="77">
        <f t="shared" si="4600"/>
        <v>2.0809499864316017E-4</v>
      </c>
    </row>
    <row r="1451" spans="1:48">
      <c r="A1451" t="s">
        <v>175</v>
      </c>
      <c r="B1451" t="s">
        <v>180</v>
      </c>
      <c r="C1451" s="197" t="str">
        <f t="shared" si="4621"/>
        <v>Lifecycle_Opportunity_178</v>
      </c>
      <c r="D1451">
        <v>178</v>
      </c>
      <c r="E1451">
        <f>VLOOKUP($D1451,'[2]LC Opportunity'!$Q$2:$U$542,2,FALSE)</f>
        <v>0</v>
      </c>
      <c r="F1451">
        <f>VLOOKUP($D1451,'[2]LC Opportunity'!$Q$2:$U$542,3,FALSE)</f>
        <v>0</v>
      </c>
      <c r="G1451">
        <f>VLOOKUP($D1451,'[2]LC Opportunity'!$Q$2:$U$542,4,FALSE)</f>
        <v>0</v>
      </c>
      <c r="H1451">
        <f>VLOOKUP($D1451,'[2]LC Opportunity'!$Q$2:$U$542,5,FALSE)</f>
        <v>0.99999999999999989</v>
      </c>
      <c r="I1451" s="77">
        <f t="shared" si="4581"/>
        <v>0.99999999999999989</v>
      </c>
      <c r="J1451" s="77">
        <f t="shared" si="4582"/>
        <v>7.1999999999999981E-2</v>
      </c>
      <c r="K1451" s="77">
        <f t="shared" si="4626"/>
        <v>5.8106552987937654E-3</v>
      </c>
      <c r="L1451" s="76">
        <v>0</v>
      </c>
      <c r="M1451" s="77">
        <f t="shared" si="4588"/>
        <v>0</v>
      </c>
      <c r="N1451" s="77">
        <f t="shared" si="4589"/>
        <v>0</v>
      </c>
      <c r="O1451" s="77">
        <f t="shared" si="4590"/>
        <v>4.9999999999999992E-3</v>
      </c>
      <c r="P1451" s="77">
        <f t="shared" si="4591"/>
        <v>4.1762458919303302E-4</v>
      </c>
      <c r="R1451" t="s">
        <v>177</v>
      </c>
      <c r="S1451" t="s">
        <v>180</v>
      </c>
      <c r="T1451" s="197" t="str">
        <f t="shared" si="4622"/>
        <v>Autopilot_Opportunity_178</v>
      </c>
      <c r="U1451">
        <v>178</v>
      </c>
      <c r="V1451">
        <f>VLOOKUP($U1451,'[2]AP Opportunity'!$Q$1:$T$542,2,FALSE)</f>
        <v>0.99999997777777772</v>
      </c>
      <c r="W1451">
        <f>VLOOKUP($U1451,'[2]AP Opportunity'!$Q$1:$T$542,3,FALSE)</f>
        <v>2.2222222284540294E-8</v>
      </c>
      <c r="X1451">
        <f>VLOOKUP($U1451,'[2]AP Opportunity'!$Q$1:$T$542,4,FALSE)</f>
        <v>0</v>
      </c>
      <c r="Y1451" s="77">
        <f t="shared" si="4623"/>
        <v>1</v>
      </c>
      <c r="Z1451" s="77">
        <f t="shared" si="4627"/>
        <v>6.4624999704999977E-2</v>
      </c>
      <c r="AA1451" s="77">
        <f t="shared" si="4628"/>
        <v>5.2321923767311151E-3</v>
      </c>
      <c r="AB1451" s="79">
        <v>1</v>
      </c>
      <c r="AC1451" s="77">
        <f t="shared" si="4592"/>
        <v>8.499999955555556E-3</v>
      </c>
      <c r="AD1451" s="77">
        <f t="shared" ref="AD1451" si="4687">1-(1-AC1451)^(1/12)</f>
        <v>7.1110795759765644E-4</v>
      </c>
      <c r="AE1451" s="77">
        <f t="shared" si="4594"/>
        <v>2.5000000000000001E-3</v>
      </c>
      <c r="AF1451" s="77">
        <f t="shared" ref="AF1451" si="4688">1-(1-AE1451)^(1/12)</f>
        <v>2.0857243058891584E-4</v>
      </c>
      <c r="AH1451" t="s">
        <v>175</v>
      </c>
      <c r="AI1451" t="s">
        <v>180</v>
      </c>
      <c r="AJ1451" s="197" t="str">
        <f t="shared" si="4585"/>
        <v>Lifecycle_Opportunity_178</v>
      </c>
      <c r="AK1451">
        <v>178</v>
      </c>
      <c r="AL1451">
        <f>VLOOKUP($U1451,[2]Standard_Opportunity!$Q$1:$T$542,2,FALSE)</f>
        <v>0.99999997777777772</v>
      </c>
      <c r="AM1451">
        <f>VLOOKUP($U1451,[2]Standard_Opportunity!$Q$1:$T$542,3,FALSE)</f>
        <v>2.2222222284540294E-8</v>
      </c>
      <c r="AN1451">
        <f>VLOOKUP($U1451,[2]Standard_Opportunity!$Q$1:$T$542,4,FALSE)</f>
        <v>0</v>
      </c>
      <c r="AO1451" s="77">
        <f t="shared" si="4586"/>
        <v>1</v>
      </c>
      <c r="AP1451" s="77">
        <f t="shared" si="4596"/>
        <v>6.4624999704999977E-2</v>
      </c>
      <c r="AQ1451" s="77">
        <f t="shared" si="4587"/>
        <v>5.2321923767311151E-3</v>
      </c>
      <c r="AR1451" s="79">
        <v>0</v>
      </c>
      <c r="AS1451" s="77">
        <f t="shared" si="4597"/>
        <v>0</v>
      </c>
      <c r="AT1451" s="77">
        <f t="shared" si="4598"/>
        <v>0</v>
      </c>
      <c r="AU1451" s="77">
        <f t="shared" si="4599"/>
        <v>2.5000000000000001E-3</v>
      </c>
      <c r="AV1451" s="77">
        <f t="shared" si="4600"/>
        <v>2.0809499864316017E-4</v>
      </c>
    </row>
    <row r="1452" spans="1:48">
      <c r="A1452" t="s">
        <v>175</v>
      </c>
      <c r="B1452" t="s">
        <v>180</v>
      </c>
      <c r="C1452" s="197" t="str">
        <f t="shared" si="4621"/>
        <v>Lifecycle_Opportunity_177</v>
      </c>
      <c r="D1452">
        <v>177</v>
      </c>
      <c r="E1452">
        <f>VLOOKUP($D1452,'[2]LC Opportunity'!$Q$2:$U$542,2,FALSE)</f>
        <v>0</v>
      </c>
      <c r="F1452">
        <f>VLOOKUP($D1452,'[2]LC Opportunity'!$Q$2:$U$542,3,FALSE)</f>
        <v>0</v>
      </c>
      <c r="G1452">
        <f>VLOOKUP($D1452,'[2]LC Opportunity'!$Q$2:$U$542,4,FALSE)</f>
        <v>0</v>
      </c>
      <c r="H1452">
        <f>VLOOKUP($D1452,'[2]LC Opportunity'!$Q$2:$U$542,5,FALSE)</f>
        <v>0.99999999999999989</v>
      </c>
      <c r="I1452" s="77">
        <f t="shared" si="4581"/>
        <v>0.99999999999999989</v>
      </c>
      <c r="J1452" s="77">
        <f t="shared" si="4582"/>
        <v>7.1999999999999981E-2</v>
      </c>
      <c r="K1452" s="77">
        <f t="shared" si="4626"/>
        <v>5.8106552987937654E-3</v>
      </c>
      <c r="L1452" s="76">
        <v>0</v>
      </c>
      <c r="M1452" s="77">
        <f t="shared" si="4588"/>
        <v>0</v>
      </c>
      <c r="N1452" s="77">
        <f t="shared" si="4589"/>
        <v>0</v>
      </c>
      <c r="O1452" s="77">
        <f t="shared" si="4590"/>
        <v>4.9999999999999992E-3</v>
      </c>
      <c r="P1452" s="77">
        <f t="shared" si="4591"/>
        <v>4.1762458919303302E-4</v>
      </c>
      <c r="R1452" t="s">
        <v>177</v>
      </c>
      <c r="S1452" t="s">
        <v>180</v>
      </c>
      <c r="T1452" s="197" t="str">
        <f t="shared" si="4622"/>
        <v>Autopilot_Opportunity_177</v>
      </c>
      <c r="U1452">
        <v>177</v>
      </c>
      <c r="V1452">
        <f>VLOOKUP($U1452,'[2]AP Opportunity'!$Q$1:$T$542,2,FALSE)</f>
        <v>0.99999997777777772</v>
      </c>
      <c r="W1452">
        <f>VLOOKUP($U1452,'[2]AP Opportunity'!$Q$1:$T$542,3,FALSE)</f>
        <v>2.2222222284540294E-8</v>
      </c>
      <c r="X1452">
        <f>VLOOKUP($U1452,'[2]AP Opportunity'!$Q$1:$T$542,4,FALSE)</f>
        <v>0</v>
      </c>
      <c r="Y1452" s="77">
        <f t="shared" si="4623"/>
        <v>1</v>
      </c>
      <c r="Z1452" s="77">
        <f t="shared" si="4627"/>
        <v>6.4624999704999977E-2</v>
      </c>
      <c r="AA1452" s="77">
        <f t="shared" si="4628"/>
        <v>5.2321923767311151E-3</v>
      </c>
      <c r="AB1452" s="79">
        <v>1</v>
      </c>
      <c r="AC1452" s="77">
        <f t="shared" si="4592"/>
        <v>8.499999955555556E-3</v>
      </c>
      <c r="AD1452" s="77">
        <f t="shared" ref="AD1452" si="4689">1-(1-AC1452)^(1/12)</f>
        <v>7.1110795759765644E-4</v>
      </c>
      <c r="AE1452" s="77">
        <f t="shared" si="4594"/>
        <v>2.5000000000000001E-3</v>
      </c>
      <c r="AF1452" s="77">
        <f t="shared" ref="AF1452" si="4690">1-(1-AE1452)^(1/12)</f>
        <v>2.0857243058891584E-4</v>
      </c>
      <c r="AH1452" t="s">
        <v>175</v>
      </c>
      <c r="AI1452" t="s">
        <v>180</v>
      </c>
      <c r="AJ1452" s="197" t="str">
        <f t="shared" si="4585"/>
        <v>Lifecycle_Opportunity_177</v>
      </c>
      <c r="AK1452">
        <v>177</v>
      </c>
      <c r="AL1452">
        <f>VLOOKUP($U1452,[2]Standard_Opportunity!$Q$1:$T$542,2,FALSE)</f>
        <v>0.99999997777777772</v>
      </c>
      <c r="AM1452">
        <f>VLOOKUP($U1452,[2]Standard_Opportunity!$Q$1:$T$542,3,FALSE)</f>
        <v>2.2222222284540294E-8</v>
      </c>
      <c r="AN1452">
        <f>VLOOKUP($U1452,[2]Standard_Opportunity!$Q$1:$T$542,4,FALSE)</f>
        <v>0</v>
      </c>
      <c r="AO1452" s="77">
        <f t="shared" si="4586"/>
        <v>1</v>
      </c>
      <c r="AP1452" s="77">
        <f t="shared" si="4596"/>
        <v>6.4624999704999977E-2</v>
      </c>
      <c r="AQ1452" s="77">
        <f t="shared" si="4587"/>
        <v>5.2321923767311151E-3</v>
      </c>
      <c r="AR1452" s="79">
        <v>0</v>
      </c>
      <c r="AS1452" s="77">
        <f t="shared" si="4597"/>
        <v>0</v>
      </c>
      <c r="AT1452" s="77">
        <f t="shared" si="4598"/>
        <v>0</v>
      </c>
      <c r="AU1452" s="77">
        <f t="shared" si="4599"/>
        <v>2.5000000000000001E-3</v>
      </c>
      <c r="AV1452" s="77">
        <f t="shared" si="4600"/>
        <v>2.0809499864316017E-4</v>
      </c>
    </row>
    <row r="1453" spans="1:48">
      <c r="A1453" t="s">
        <v>175</v>
      </c>
      <c r="B1453" t="s">
        <v>180</v>
      </c>
      <c r="C1453" s="197" t="str">
        <f t="shared" si="4621"/>
        <v>Lifecycle_Opportunity_176</v>
      </c>
      <c r="D1453">
        <v>176</v>
      </c>
      <c r="E1453">
        <f>VLOOKUP($D1453,'[2]LC Opportunity'!$Q$2:$U$542,2,FALSE)</f>
        <v>0</v>
      </c>
      <c r="F1453">
        <f>VLOOKUP($D1453,'[2]LC Opportunity'!$Q$2:$U$542,3,FALSE)</f>
        <v>0</v>
      </c>
      <c r="G1453">
        <f>VLOOKUP($D1453,'[2]LC Opportunity'!$Q$2:$U$542,4,FALSE)</f>
        <v>0</v>
      </c>
      <c r="H1453">
        <f>VLOOKUP($D1453,'[2]LC Opportunity'!$Q$2:$U$542,5,FALSE)</f>
        <v>0.99999999999999989</v>
      </c>
      <c r="I1453" s="77">
        <f t="shared" si="4581"/>
        <v>0.99999999999999989</v>
      </c>
      <c r="J1453" s="77">
        <f t="shared" si="4582"/>
        <v>7.1999999999999981E-2</v>
      </c>
      <c r="K1453" s="77">
        <f t="shared" si="4626"/>
        <v>5.8106552987937654E-3</v>
      </c>
      <c r="L1453" s="76">
        <v>0</v>
      </c>
      <c r="M1453" s="77">
        <f t="shared" si="4588"/>
        <v>0</v>
      </c>
      <c r="N1453" s="77">
        <f t="shared" si="4589"/>
        <v>0</v>
      </c>
      <c r="O1453" s="77">
        <f t="shared" si="4590"/>
        <v>4.9999999999999992E-3</v>
      </c>
      <c r="P1453" s="77">
        <f t="shared" si="4591"/>
        <v>4.1762458919303302E-4</v>
      </c>
      <c r="R1453" t="s">
        <v>177</v>
      </c>
      <c r="S1453" t="s">
        <v>180</v>
      </c>
      <c r="T1453" s="197" t="str">
        <f t="shared" si="4622"/>
        <v>Autopilot_Opportunity_176</v>
      </c>
      <c r="U1453">
        <v>176</v>
      </c>
      <c r="V1453">
        <f>VLOOKUP($U1453,'[2]AP Opportunity'!$Q$1:$T$542,2,FALSE)</f>
        <v>0.99999997777777772</v>
      </c>
      <c r="W1453">
        <f>VLOOKUP($U1453,'[2]AP Opportunity'!$Q$1:$T$542,3,FALSE)</f>
        <v>2.2222222284540294E-8</v>
      </c>
      <c r="X1453">
        <f>VLOOKUP($U1453,'[2]AP Opportunity'!$Q$1:$T$542,4,FALSE)</f>
        <v>0</v>
      </c>
      <c r="Y1453" s="77">
        <f t="shared" si="4623"/>
        <v>1</v>
      </c>
      <c r="Z1453" s="77">
        <f t="shared" si="4627"/>
        <v>6.4624999704999977E-2</v>
      </c>
      <c r="AA1453" s="77">
        <f t="shared" si="4628"/>
        <v>5.2321923767311151E-3</v>
      </c>
      <c r="AB1453" s="79">
        <v>1</v>
      </c>
      <c r="AC1453" s="77">
        <f t="shared" si="4592"/>
        <v>8.499999955555556E-3</v>
      </c>
      <c r="AD1453" s="77">
        <f t="shared" ref="AD1453" si="4691">1-(1-AC1453)^(1/12)</f>
        <v>7.1110795759765644E-4</v>
      </c>
      <c r="AE1453" s="77">
        <f t="shared" si="4594"/>
        <v>2.5000000000000001E-3</v>
      </c>
      <c r="AF1453" s="77">
        <f t="shared" ref="AF1453" si="4692">1-(1-AE1453)^(1/12)</f>
        <v>2.0857243058891584E-4</v>
      </c>
      <c r="AH1453" t="s">
        <v>175</v>
      </c>
      <c r="AI1453" t="s">
        <v>180</v>
      </c>
      <c r="AJ1453" s="197" t="str">
        <f t="shared" si="4585"/>
        <v>Lifecycle_Opportunity_176</v>
      </c>
      <c r="AK1453">
        <v>176</v>
      </c>
      <c r="AL1453">
        <f>VLOOKUP($U1453,[2]Standard_Opportunity!$Q$1:$T$542,2,FALSE)</f>
        <v>0.99999997777777772</v>
      </c>
      <c r="AM1453">
        <f>VLOOKUP($U1453,[2]Standard_Opportunity!$Q$1:$T$542,3,FALSE)</f>
        <v>2.2222222284540294E-8</v>
      </c>
      <c r="AN1453">
        <f>VLOOKUP($U1453,[2]Standard_Opportunity!$Q$1:$T$542,4,FALSE)</f>
        <v>0</v>
      </c>
      <c r="AO1453" s="77">
        <f t="shared" si="4586"/>
        <v>1</v>
      </c>
      <c r="AP1453" s="77">
        <f t="shared" si="4596"/>
        <v>6.4624999704999977E-2</v>
      </c>
      <c r="AQ1453" s="77">
        <f t="shared" si="4587"/>
        <v>5.2321923767311151E-3</v>
      </c>
      <c r="AR1453" s="79">
        <v>0</v>
      </c>
      <c r="AS1453" s="77">
        <f t="shared" si="4597"/>
        <v>0</v>
      </c>
      <c r="AT1453" s="77">
        <f t="shared" si="4598"/>
        <v>0</v>
      </c>
      <c r="AU1453" s="77">
        <f t="shared" si="4599"/>
        <v>2.5000000000000001E-3</v>
      </c>
      <c r="AV1453" s="77">
        <f t="shared" si="4600"/>
        <v>2.0809499864316017E-4</v>
      </c>
    </row>
    <row r="1454" spans="1:48">
      <c r="A1454" t="s">
        <v>175</v>
      </c>
      <c r="B1454" t="s">
        <v>180</v>
      </c>
      <c r="C1454" s="197" t="str">
        <f t="shared" si="4621"/>
        <v>Lifecycle_Opportunity_175</v>
      </c>
      <c r="D1454">
        <v>175</v>
      </c>
      <c r="E1454">
        <f>VLOOKUP($D1454,'[2]LC Opportunity'!$Q$2:$U$542,2,FALSE)</f>
        <v>0</v>
      </c>
      <c r="F1454">
        <f>VLOOKUP($D1454,'[2]LC Opportunity'!$Q$2:$U$542,3,FALSE)</f>
        <v>0</v>
      </c>
      <c r="G1454">
        <f>VLOOKUP($D1454,'[2]LC Opportunity'!$Q$2:$U$542,4,FALSE)</f>
        <v>0</v>
      </c>
      <c r="H1454">
        <f>VLOOKUP($D1454,'[2]LC Opportunity'!$Q$2:$U$542,5,FALSE)</f>
        <v>0.99999999999999989</v>
      </c>
      <c r="I1454" s="77">
        <f t="shared" si="4581"/>
        <v>0.99999999999999989</v>
      </c>
      <c r="J1454" s="77">
        <f t="shared" si="4582"/>
        <v>7.1999999999999981E-2</v>
      </c>
      <c r="K1454" s="77">
        <f t="shared" si="4626"/>
        <v>5.8106552987937654E-3</v>
      </c>
      <c r="L1454" s="76">
        <v>0</v>
      </c>
      <c r="M1454" s="77">
        <f t="shared" si="4588"/>
        <v>0</v>
      </c>
      <c r="N1454" s="77">
        <f t="shared" si="4589"/>
        <v>0</v>
      </c>
      <c r="O1454" s="77">
        <f t="shared" si="4590"/>
        <v>4.9999999999999992E-3</v>
      </c>
      <c r="P1454" s="77">
        <f t="shared" si="4591"/>
        <v>4.1762458919303302E-4</v>
      </c>
      <c r="R1454" t="s">
        <v>177</v>
      </c>
      <c r="S1454" t="s">
        <v>180</v>
      </c>
      <c r="T1454" s="197" t="str">
        <f t="shared" si="4622"/>
        <v>Autopilot_Opportunity_175</v>
      </c>
      <c r="U1454">
        <v>175</v>
      </c>
      <c r="V1454">
        <f>VLOOKUP($U1454,'[2]AP Opportunity'!$Q$1:$T$542,2,FALSE)</f>
        <v>0.99999997777777772</v>
      </c>
      <c r="W1454">
        <f>VLOOKUP($U1454,'[2]AP Opportunity'!$Q$1:$T$542,3,FALSE)</f>
        <v>2.2222222284540294E-8</v>
      </c>
      <c r="X1454">
        <f>VLOOKUP($U1454,'[2]AP Opportunity'!$Q$1:$T$542,4,FALSE)</f>
        <v>0</v>
      </c>
      <c r="Y1454" s="77">
        <f t="shared" si="4623"/>
        <v>1</v>
      </c>
      <c r="Z1454" s="77">
        <f t="shared" si="4627"/>
        <v>6.4624999704999977E-2</v>
      </c>
      <c r="AA1454" s="77">
        <f t="shared" si="4628"/>
        <v>5.2321923767311151E-3</v>
      </c>
      <c r="AB1454" s="79">
        <v>1</v>
      </c>
      <c r="AC1454" s="77">
        <f t="shared" si="4592"/>
        <v>8.499999955555556E-3</v>
      </c>
      <c r="AD1454" s="77">
        <f t="shared" ref="AD1454" si="4693">1-(1-AC1454)^(1/12)</f>
        <v>7.1110795759765644E-4</v>
      </c>
      <c r="AE1454" s="77">
        <f t="shared" si="4594"/>
        <v>2.5000000000000001E-3</v>
      </c>
      <c r="AF1454" s="77">
        <f t="shared" ref="AF1454" si="4694">1-(1-AE1454)^(1/12)</f>
        <v>2.0857243058891584E-4</v>
      </c>
      <c r="AH1454" t="s">
        <v>175</v>
      </c>
      <c r="AI1454" t="s">
        <v>180</v>
      </c>
      <c r="AJ1454" s="197" t="str">
        <f t="shared" si="4585"/>
        <v>Lifecycle_Opportunity_175</v>
      </c>
      <c r="AK1454">
        <v>175</v>
      </c>
      <c r="AL1454">
        <f>VLOOKUP($U1454,[2]Standard_Opportunity!$Q$1:$T$542,2,FALSE)</f>
        <v>0.99999997777777772</v>
      </c>
      <c r="AM1454">
        <f>VLOOKUP($U1454,[2]Standard_Opportunity!$Q$1:$T$542,3,FALSE)</f>
        <v>2.2222222284540294E-8</v>
      </c>
      <c r="AN1454">
        <f>VLOOKUP($U1454,[2]Standard_Opportunity!$Q$1:$T$542,4,FALSE)</f>
        <v>0</v>
      </c>
      <c r="AO1454" s="77">
        <f t="shared" si="4586"/>
        <v>1</v>
      </c>
      <c r="AP1454" s="77">
        <f t="shared" si="4596"/>
        <v>6.4624999704999977E-2</v>
      </c>
      <c r="AQ1454" s="77">
        <f t="shared" si="4587"/>
        <v>5.2321923767311151E-3</v>
      </c>
      <c r="AR1454" s="79">
        <v>0</v>
      </c>
      <c r="AS1454" s="77">
        <f t="shared" si="4597"/>
        <v>0</v>
      </c>
      <c r="AT1454" s="77">
        <f t="shared" si="4598"/>
        <v>0</v>
      </c>
      <c r="AU1454" s="77">
        <f t="shared" si="4599"/>
        <v>2.5000000000000001E-3</v>
      </c>
      <c r="AV1454" s="77">
        <f t="shared" si="4600"/>
        <v>2.0809499864316017E-4</v>
      </c>
    </row>
    <row r="1455" spans="1:48">
      <c r="A1455" t="s">
        <v>175</v>
      </c>
      <c r="B1455" t="s">
        <v>180</v>
      </c>
      <c r="C1455" s="197" t="str">
        <f t="shared" si="4621"/>
        <v>Lifecycle_Opportunity_174</v>
      </c>
      <c r="D1455">
        <v>174</v>
      </c>
      <c r="E1455">
        <f>VLOOKUP($D1455,'[2]LC Opportunity'!$Q$2:$U$542,2,FALSE)</f>
        <v>0</v>
      </c>
      <c r="F1455">
        <f>VLOOKUP($D1455,'[2]LC Opportunity'!$Q$2:$U$542,3,FALSE)</f>
        <v>0</v>
      </c>
      <c r="G1455">
        <f>VLOOKUP($D1455,'[2]LC Opportunity'!$Q$2:$U$542,4,FALSE)</f>
        <v>0</v>
      </c>
      <c r="H1455">
        <f>VLOOKUP($D1455,'[2]LC Opportunity'!$Q$2:$U$542,5,FALSE)</f>
        <v>0.99999999999999989</v>
      </c>
      <c r="I1455" s="77">
        <f t="shared" si="4581"/>
        <v>0.99999999999999989</v>
      </c>
      <c r="J1455" s="77">
        <f t="shared" si="4582"/>
        <v>7.1999999999999981E-2</v>
      </c>
      <c r="K1455" s="77">
        <f t="shared" si="4626"/>
        <v>5.8106552987937654E-3</v>
      </c>
      <c r="L1455" s="76">
        <v>0</v>
      </c>
      <c r="M1455" s="77">
        <f t="shared" si="4588"/>
        <v>0</v>
      </c>
      <c r="N1455" s="77">
        <f t="shared" si="4589"/>
        <v>0</v>
      </c>
      <c r="O1455" s="77">
        <f t="shared" si="4590"/>
        <v>4.9999999999999992E-3</v>
      </c>
      <c r="P1455" s="77">
        <f t="shared" si="4591"/>
        <v>4.1762458919303302E-4</v>
      </c>
      <c r="R1455" t="s">
        <v>177</v>
      </c>
      <c r="S1455" t="s">
        <v>180</v>
      </c>
      <c r="T1455" s="197" t="str">
        <f t="shared" si="4622"/>
        <v>Autopilot_Opportunity_174</v>
      </c>
      <c r="U1455">
        <v>174</v>
      </c>
      <c r="V1455">
        <f>VLOOKUP($U1455,'[2]AP Opportunity'!$Q$1:$T$542,2,FALSE)</f>
        <v>0.99999997777777772</v>
      </c>
      <c r="W1455">
        <f>VLOOKUP($U1455,'[2]AP Opportunity'!$Q$1:$T$542,3,FALSE)</f>
        <v>2.2222222284540294E-8</v>
      </c>
      <c r="X1455">
        <f>VLOOKUP($U1455,'[2]AP Opportunity'!$Q$1:$T$542,4,FALSE)</f>
        <v>0</v>
      </c>
      <c r="Y1455" s="77">
        <f t="shared" si="4623"/>
        <v>1</v>
      </c>
      <c r="Z1455" s="77">
        <f t="shared" si="4627"/>
        <v>6.4624999704999977E-2</v>
      </c>
      <c r="AA1455" s="77">
        <f t="shared" si="4628"/>
        <v>5.2321923767311151E-3</v>
      </c>
      <c r="AB1455" s="79">
        <v>1</v>
      </c>
      <c r="AC1455" s="77">
        <f t="shared" si="4592"/>
        <v>8.499999955555556E-3</v>
      </c>
      <c r="AD1455" s="77">
        <f t="shared" ref="AD1455" si="4695">1-(1-AC1455)^(1/12)</f>
        <v>7.1110795759765644E-4</v>
      </c>
      <c r="AE1455" s="77">
        <f t="shared" si="4594"/>
        <v>2.5000000000000001E-3</v>
      </c>
      <c r="AF1455" s="77">
        <f t="shared" ref="AF1455" si="4696">1-(1-AE1455)^(1/12)</f>
        <v>2.0857243058891584E-4</v>
      </c>
      <c r="AH1455" t="s">
        <v>175</v>
      </c>
      <c r="AI1455" t="s">
        <v>180</v>
      </c>
      <c r="AJ1455" s="197" t="str">
        <f t="shared" si="4585"/>
        <v>Lifecycle_Opportunity_174</v>
      </c>
      <c r="AK1455">
        <v>174</v>
      </c>
      <c r="AL1455">
        <f>VLOOKUP($U1455,[2]Standard_Opportunity!$Q$1:$T$542,2,FALSE)</f>
        <v>0.99999997777777772</v>
      </c>
      <c r="AM1455">
        <f>VLOOKUP($U1455,[2]Standard_Opportunity!$Q$1:$T$542,3,FALSE)</f>
        <v>2.2222222284540294E-8</v>
      </c>
      <c r="AN1455">
        <f>VLOOKUP($U1455,[2]Standard_Opportunity!$Q$1:$T$542,4,FALSE)</f>
        <v>0</v>
      </c>
      <c r="AO1455" s="77">
        <f t="shared" si="4586"/>
        <v>1</v>
      </c>
      <c r="AP1455" s="77">
        <f t="shared" si="4596"/>
        <v>6.4624999704999977E-2</v>
      </c>
      <c r="AQ1455" s="77">
        <f t="shared" si="4587"/>
        <v>5.2321923767311151E-3</v>
      </c>
      <c r="AR1455" s="79">
        <v>0</v>
      </c>
      <c r="AS1455" s="77">
        <f t="shared" si="4597"/>
        <v>0</v>
      </c>
      <c r="AT1455" s="77">
        <f t="shared" si="4598"/>
        <v>0</v>
      </c>
      <c r="AU1455" s="77">
        <f t="shared" si="4599"/>
        <v>2.5000000000000001E-3</v>
      </c>
      <c r="AV1455" s="77">
        <f t="shared" si="4600"/>
        <v>2.0809499864316017E-4</v>
      </c>
    </row>
    <row r="1456" spans="1:48">
      <c r="A1456" t="s">
        <v>175</v>
      </c>
      <c r="B1456" t="s">
        <v>180</v>
      </c>
      <c r="C1456" s="197" t="str">
        <f t="shared" si="4621"/>
        <v>Lifecycle_Opportunity_173</v>
      </c>
      <c r="D1456">
        <v>173</v>
      </c>
      <c r="E1456">
        <f>VLOOKUP($D1456,'[2]LC Opportunity'!$Q$2:$U$542,2,FALSE)</f>
        <v>0</v>
      </c>
      <c r="F1456">
        <f>VLOOKUP($D1456,'[2]LC Opportunity'!$Q$2:$U$542,3,FALSE)</f>
        <v>0</v>
      </c>
      <c r="G1456">
        <f>VLOOKUP($D1456,'[2]LC Opportunity'!$Q$2:$U$542,4,FALSE)</f>
        <v>0</v>
      </c>
      <c r="H1456">
        <f>VLOOKUP($D1456,'[2]LC Opportunity'!$Q$2:$U$542,5,FALSE)</f>
        <v>0.99999999999999989</v>
      </c>
      <c r="I1456" s="77">
        <f t="shared" si="4581"/>
        <v>0.99999999999999989</v>
      </c>
      <c r="J1456" s="77">
        <f t="shared" si="4582"/>
        <v>7.1999999999999981E-2</v>
      </c>
      <c r="K1456" s="77">
        <f t="shared" si="4626"/>
        <v>5.8106552987937654E-3</v>
      </c>
      <c r="L1456" s="76">
        <v>0</v>
      </c>
      <c r="M1456" s="77">
        <f t="shared" si="4588"/>
        <v>0</v>
      </c>
      <c r="N1456" s="77">
        <f t="shared" si="4589"/>
        <v>0</v>
      </c>
      <c r="O1456" s="77">
        <f t="shared" si="4590"/>
        <v>4.9999999999999992E-3</v>
      </c>
      <c r="P1456" s="77">
        <f t="shared" si="4591"/>
        <v>4.1762458919303302E-4</v>
      </c>
      <c r="R1456" t="s">
        <v>177</v>
      </c>
      <c r="S1456" t="s">
        <v>180</v>
      </c>
      <c r="T1456" s="197" t="str">
        <f t="shared" si="4622"/>
        <v>Autopilot_Opportunity_173</v>
      </c>
      <c r="U1456">
        <v>173</v>
      </c>
      <c r="V1456">
        <f>VLOOKUP($U1456,'[2]AP Opportunity'!$Q$1:$T$542,2,FALSE)</f>
        <v>0.99999997777777772</v>
      </c>
      <c r="W1456">
        <f>VLOOKUP($U1456,'[2]AP Opportunity'!$Q$1:$T$542,3,FALSE)</f>
        <v>2.2222222284540294E-8</v>
      </c>
      <c r="X1456">
        <f>VLOOKUP($U1456,'[2]AP Opportunity'!$Q$1:$T$542,4,FALSE)</f>
        <v>0</v>
      </c>
      <c r="Y1456" s="77">
        <f t="shared" si="4623"/>
        <v>1</v>
      </c>
      <c r="Z1456" s="77">
        <f t="shared" si="4627"/>
        <v>6.4624999704999977E-2</v>
      </c>
      <c r="AA1456" s="77">
        <f t="shared" si="4628"/>
        <v>5.2321923767311151E-3</v>
      </c>
      <c r="AB1456" s="79">
        <v>1</v>
      </c>
      <c r="AC1456" s="77">
        <f t="shared" si="4592"/>
        <v>8.499999955555556E-3</v>
      </c>
      <c r="AD1456" s="77">
        <f t="shared" ref="AD1456" si="4697">1-(1-AC1456)^(1/12)</f>
        <v>7.1110795759765644E-4</v>
      </c>
      <c r="AE1456" s="77">
        <f t="shared" si="4594"/>
        <v>2.5000000000000001E-3</v>
      </c>
      <c r="AF1456" s="77">
        <f t="shared" ref="AF1456" si="4698">1-(1-AE1456)^(1/12)</f>
        <v>2.0857243058891584E-4</v>
      </c>
      <c r="AH1456" t="s">
        <v>175</v>
      </c>
      <c r="AI1456" t="s">
        <v>180</v>
      </c>
      <c r="AJ1456" s="197" t="str">
        <f t="shared" si="4585"/>
        <v>Lifecycle_Opportunity_173</v>
      </c>
      <c r="AK1456">
        <v>173</v>
      </c>
      <c r="AL1456">
        <f>VLOOKUP($U1456,[2]Standard_Opportunity!$Q$1:$T$542,2,FALSE)</f>
        <v>0.99999997777777772</v>
      </c>
      <c r="AM1456">
        <f>VLOOKUP($U1456,[2]Standard_Opportunity!$Q$1:$T$542,3,FALSE)</f>
        <v>2.2222222284540294E-8</v>
      </c>
      <c r="AN1456">
        <f>VLOOKUP($U1456,[2]Standard_Opportunity!$Q$1:$T$542,4,FALSE)</f>
        <v>0</v>
      </c>
      <c r="AO1456" s="77">
        <f t="shared" si="4586"/>
        <v>1</v>
      </c>
      <c r="AP1456" s="77">
        <f t="shared" si="4596"/>
        <v>6.4624999704999977E-2</v>
      </c>
      <c r="AQ1456" s="77">
        <f t="shared" si="4587"/>
        <v>5.2321923767311151E-3</v>
      </c>
      <c r="AR1456" s="79">
        <v>0</v>
      </c>
      <c r="AS1456" s="77">
        <f t="shared" si="4597"/>
        <v>0</v>
      </c>
      <c r="AT1456" s="77">
        <f t="shared" si="4598"/>
        <v>0</v>
      </c>
      <c r="AU1456" s="77">
        <f t="shared" si="4599"/>
        <v>2.5000000000000001E-3</v>
      </c>
      <c r="AV1456" s="77">
        <f t="shared" si="4600"/>
        <v>2.0809499864316017E-4</v>
      </c>
    </row>
    <row r="1457" spans="1:48">
      <c r="A1457" t="s">
        <v>175</v>
      </c>
      <c r="B1457" t="s">
        <v>180</v>
      </c>
      <c r="C1457" s="197" t="str">
        <f t="shared" si="4621"/>
        <v>Lifecycle_Opportunity_172</v>
      </c>
      <c r="D1457">
        <v>172</v>
      </c>
      <c r="E1457">
        <f>VLOOKUP($D1457,'[2]LC Opportunity'!$Q$2:$U$542,2,FALSE)</f>
        <v>0</v>
      </c>
      <c r="F1457">
        <f>VLOOKUP($D1457,'[2]LC Opportunity'!$Q$2:$U$542,3,FALSE)</f>
        <v>0</v>
      </c>
      <c r="G1457">
        <f>VLOOKUP($D1457,'[2]LC Opportunity'!$Q$2:$U$542,4,FALSE)</f>
        <v>0</v>
      </c>
      <c r="H1457">
        <f>VLOOKUP($D1457,'[2]LC Opportunity'!$Q$2:$U$542,5,FALSE)</f>
        <v>0.99999999999999989</v>
      </c>
      <c r="I1457" s="77">
        <f t="shared" si="4581"/>
        <v>0.99999999999999989</v>
      </c>
      <c r="J1457" s="77">
        <f t="shared" si="4582"/>
        <v>7.1999999999999981E-2</v>
      </c>
      <c r="K1457" s="77">
        <f t="shared" si="4626"/>
        <v>5.8106552987937654E-3</v>
      </c>
      <c r="L1457" s="76">
        <v>0</v>
      </c>
      <c r="M1457" s="77">
        <f t="shared" si="4588"/>
        <v>0</v>
      </c>
      <c r="N1457" s="77">
        <f t="shared" si="4589"/>
        <v>0</v>
      </c>
      <c r="O1457" s="77">
        <f t="shared" si="4590"/>
        <v>4.9999999999999992E-3</v>
      </c>
      <c r="P1457" s="77">
        <f t="shared" si="4591"/>
        <v>4.1762458919303302E-4</v>
      </c>
      <c r="R1457" t="s">
        <v>177</v>
      </c>
      <c r="S1457" t="s">
        <v>180</v>
      </c>
      <c r="T1457" s="197" t="str">
        <f t="shared" si="4622"/>
        <v>Autopilot_Opportunity_172</v>
      </c>
      <c r="U1457">
        <v>172</v>
      </c>
      <c r="V1457">
        <f>VLOOKUP($U1457,'[2]AP Opportunity'!$Q$1:$T$542,2,FALSE)</f>
        <v>0.99999997777777772</v>
      </c>
      <c r="W1457">
        <f>VLOOKUP($U1457,'[2]AP Opportunity'!$Q$1:$T$542,3,FALSE)</f>
        <v>2.2222222284540294E-8</v>
      </c>
      <c r="X1457">
        <f>VLOOKUP($U1457,'[2]AP Opportunity'!$Q$1:$T$542,4,FALSE)</f>
        <v>0</v>
      </c>
      <c r="Y1457" s="77">
        <f t="shared" si="4623"/>
        <v>1</v>
      </c>
      <c r="Z1457" s="77">
        <f t="shared" si="4627"/>
        <v>6.4624999704999977E-2</v>
      </c>
      <c r="AA1457" s="77">
        <f t="shared" si="4628"/>
        <v>5.2321923767311151E-3</v>
      </c>
      <c r="AB1457" s="79">
        <v>1</v>
      </c>
      <c r="AC1457" s="77">
        <f t="shared" si="4592"/>
        <v>8.499999955555556E-3</v>
      </c>
      <c r="AD1457" s="77">
        <f t="shared" ref="AD1457" si="4699">1-(1-AC1457)^(1/12)</f>
        <v>7.1110795759765644E-4</v>
      </c>
      <c r="AE1457" s="77">
        <f t="shared" si="4594"/>
        <v>2.5000000000000001E-3</v>
      </c>
      <c r="AF1457" s="77">
        <f t="shared" ref="AF1457" si="4700">1-(1-AE1457)^(1/12)</f>
        <v>2.0857243058891584E-4</v>
      </c>
      <c r="AH1457" t="s">
        <v>175</v>
      </c>
      <c r="AI1457" t="s">
        <v>180</v>
      </c>
      <c r="AJ1457" s="197" t="str">
        <f t="shared" si="4585"/>
        <v>Lifecycle_Opportunity_172</v>
      </c>
      <c r="AK1457">
        <v>172</v>
      </c>
      <c r="AL1457">
        <f>VLOOKUP($U1457,[2]Standard_Opportunity!$Q$1:$T$542,2,FALSE)</f>
        <v>0.99999997777777772</v>
      </c>
      <c r="AM1457">
        <f>VLOOKUP($U1457,[2]Standard_Opportunity!$Q$1:$T$542,3,FALSE)</f>
        <v>2.2222222284540294E-8</v>
      </c>
      <c r="AN1457">
        <f>VLOOKUP($U1457,[2]Standard_Opportunity!$Q$1:$T$542,4,FALSE)</f>
        <v>0</v>
      </c>
      <c r="AO1457" s="77">
        <f t="shared" si="4586"/>
        <v>1</v>
      </c>
      <c r="AP1457" s="77">
        <f t="shared" si="4596"/>
        <v>6.4624999704999977E-2</v>
      </c>
      <c r="AQ1457" s="77">
        <f t="shared" si="4587"/>
        <v>5.2321923767311151E-3</v>
      </c>
      <c r="AR1457" s="79">
        <v>0</v>
      </c>
      <c r="AS1457" s="77">
        <f t="shared" si="4597"/>
        <v>0</v>
      </c>
      <c r="AT1457" s="77">
        <f t="shared" si="4598"/>
        <v>0</v>
      </c>
      <c r="AU1457" s="77">
        <f t="shared" si="4599"/>
        <v>2.5000000000000001E-3</v>
      </c>
      <c r="AV1457" s="77">
        <f t="shared" si="4600"/>
        <v>2.0809499864316017E-4</v>
      </c>
    </row>
    <row r="1458" spans="1:48">
      <c r="A1458" t="s">
        <v>175</v>
      </c>
      <c r="B1458" t="s">
        <v>180</v>
      </c>
      <c r="C1458" s="197" t="str">
        <f t="shared" si="4621"/>
        <v>Lifecycle_Opportunity_171</v>
      </c>
      <c r="D1458">
        <v>171</v>
      </c>
      <c r="E1458">
        <f>VLOOKUP($D1458,'[2]LC Opportunity'!$Q$2:$U$542,2,FALSE)</f>
        <v>0</v>
      </c>
      <c r="F1458">
        <f>VLOOKUP($D1458,'[2]LC Opportunity'!$Q$2:$U$542,3,FALSE)</f>
        <v>0</v>
      </c>
      <c r="G1458">
        <f>VLOOKUP($D1458,'[2]LC Opportunity'!$Q$2:$U$542,4,FALSE)</f>
        <v>0</v>
      </c>
      <c r="H1458">
        <f>VLOOKUP($D1458,'[2]LC Opportunity'!$Q$2:$U$542,5,FALSE)</f>
        <v>0.99999999999999989</v>
      </c>
      <c r="I1458" s="77">
        <f t="shared" si="4581"/>
        <v>0.99999999999999989</v>
      </c>
      <c r="J1458" s="77">
        <f t="shared" si="4582"/>
        <v>7.1999999999999981E-2</v>
      </c>
      <c r="K1458" s="77">
        <f t="shared" si="4626"/>
        <v>5.8106552987937654E-3</v>
      </c>
      <c r="L1458" s="76">
        <v>0</v>
      </c>
      <c r="M1458" s="77">
        <f t="shared" si="4588"/>
        <v>0</v>
      </c>
      <c r="N1458" s="77">
        <f t="shared" si="4589"/>
        <v>0</v>
      </c>
      <c r="O1458" s="77">
        <f t="shared" si="4590"/>
        <v>4.9999999999999992E-3</v>
      </c>
      <c r="P1458" s="77">
        <f t="shared" si="4591"/>
        <v>4.1762458919303302E-4</v>
      </c>
      <c r="R1458" t="s">
        <v>177</v>
      </c>
      <c r="S1458" t="s">
        <v>180</v>
      </c>
      <c r="T1458" s="197" t="str">
        <f t="shared" si="4622"/>
        <v>Autopilot_Opportunity_171</v>
      </c>
      <c r="U1458">
        <v>171</v>
      </c>
      <c r="V1458">
        <f>VLOOKUP($U1458,'[2]AP Opportunity'!$Q$1:$T$542,2,FALSE)</f>
        <v>0.99999997777777772</v>
      </c>
      <c r="W1458">
        <f>VLOOKUP($U1458,'[2]AP Opportunity'!$Q$1:$T$542,3,FALSE)</f>
        <v>2.2222222284540294E-8</v>
      </c>
      <c r="X1458">
        <f>VLOOKUP($U1458,'[2]AP Opportunity'!$Q$1:$T$542,4,FALSE)</f>
        <v>0</v>
      </c>
      <c r="Y1458" s="77">
        <f t="shared" si="4623"/>
        <v>1</v>
      </c>
      <c r="Z1458" s="77">
        <f t="shared" si="4627"/>
        <v>6.4624999704999977E-2</v>
      </c>
      <c r="AA1458" s="77">
        <f t="shared" si="4628"/>
        <v>5.2321923767311151E-3</v>
      </c>
      <c r="AB1458" s="79">
        <v>1</v>
      </c>
      <c r="AC1458" s="77">
        <f t="shared" si="4592"/>
        <v>8.499999955555556E-3</v>
      </c>
      <c r="AD1458" s="77">
        <f t="shared" ref="AD1458" si="4701">1-(1-AC1458)^(1/12)</f>
        <v>7.1110795759765644E-4</v>
      </c>
      <c r="AE1458" s="77">
        <f t="shared" si="4594"/>
        <v>2.5000000000000001E-3</v>
      </c>
      <c r="AF1458" s="77">
        <f t="shared" ref="AF1458" si="4702">1-(1-AE1458)^(1/12)</f>
        <v>2.0857243058891584E-4</v>
      </c>
      <c r="AH1458" t="s">
        <v>175</v>
      </c>
      <c r="AI1458" t="s">
        <v>180</v>
      </c>
      <c r="AJ1458" s="197" t="str">
        <f t="shared" si="4585"/>
        <v>Lifecycle_Opportunity_171</v>
      </c>
      <c r="AK1458">
        <v>171</v>
      </c>
      <c r="AL1458">
        <f>VLOOKUP($U1458,[2]Standard_Opportunity!$Q$1:$T$542,2,FALSE)</f>
        <v>0.99999997777777772</v>
      </c>
      <c r="AM1458">
        <f>VLOOKUP($U1458,[2]Standard_Opportunity!$Q$1:$T$542,3,FALSE)</f>
        <v>2.2222222284540294E-8</v>
      </c>
      <c r="AN1458">
        <f>VLOOKUP($U1458,[2]Standard_Opportunity!$Q$1:$T$542,4,FALSE)</f>
        <v>0</v>
      </c>
      <c r="AO1458" s="77">
        <f t="shared" si="4586"/>
        <v>1</v>
      </c>
      <c r="AP1458" s="77">
        <f t="shared" si="4596"/>
        <v>6.4624999704999977E-2</v>
      </c>
      <c r="AQ1458" s="77">
        <f t="shared" si="4587"/>
        <v>5.2321923767311151E-3</v>
      </c>
      <c r="AR1458" s="79">
        <v>0</v>
      </c>
      <c r="AS1458" s="77">
        <f t="shared" si="4597"/>
        <v>0</v>
      </c>
      <c r="AT1458" s="77">
        <f t="shared" si="4598"/>
        <v>0</v>
      </c>
      <c r="AU1458" s="77">
        <f t="shared" si="4599"/>
        <v>2.5000000000000001E-3</v>
      </c>
      <c r="AV1458" s="77">
        <f t="shared" si="4600"/>
        <v>2.0809499864316017E-4</v>
      </c>
    </row>
    <row r="1459" spans="1:48">
      <c r="A1459" t="s">
        <v>175</v>
      </c>
      <c r="B1459" t="s">
        <v>180</v>
      </c>
      <c r="C1459" s="197" t="str">
        <f t="shared" si="4621"/>
        <v>Lifecycle_Opportunity_170</v>
      </c>
      <c r="D1459">
        <v>170</v>
      </c>
      <c r="E1459">
        <f>VLOOKUP($D1459,'[2]LC Opportunity'!$Q$2:$U$542,2,FALSE)</f>
        <v>0</v>
      </c>
      <c r="F1459">
        <f>VLOOKUP($D1459,'[2]LC Opportunity'!$Q$2:$U$542,3,FALSE)</f>
        <v>0</v>
      </c>
      <c r="G1459">
        <f>VLOOKUP($D1459,'[2]LC Opportunity'!$Q$2:$U$542,4,FALSE)</f>
        <v>0</v>
      </c>
      <c r="H1459">
        <f>VLOOKUP($D1459,'[2]LC Opportunity'!$Q$2:$U$542,5,FALSE)</f>
        <v>0.99999999999999989</v>
      </c>
      <c r="I1459" s="77">
        <f t="shared" si="4581"/>
        <v>0.99999999999999989</v>
      </c>
      <c r="J1459" s="77">
        <f t="shared" si="4582"/>
        <v>7.1999999999999981E-2</v>
      </c>
      <c r="K1459" s="77">
        <f t="shared" si="4626"/>
        <v>5.8106552987937654E-3</v>
      </c>
      <c r="L1459" s="76">
        <v>0</v>
      </c>
      <c r="M1459" s="77">
        <f t="shared" si="4588"/>
        <v>0</v>
      </c>
      <c r="N1459" s="77">
        <f t="shared" si="4589"/>
        <v>0</v>
      </c>
      <c r="O1459" s="77">
        <f t="shared" si="4590"/>
        <v>4.9999999999999992E-3</v>
      </c>
      <c r="P1459" s="77">
        <f t="shared" si="4591"/>
        <v>4.1762458919303302E-4</v>
      </c>
      <c r="R1459" t="s">
        <v>177</v>
      </c>
      <c r="S1459" t="s">
        <v>180</v>
      </c>
      <c r="T1459" s="197" t="str">
        <f t="shared" si="4622"/>
        <v>Autopilot_Opportunity_170</v>
      </c>
      <c r="U1459">
        <v>170</v>
      </c>
      <c r="V1459">
        <f>VLOOKUP($U1459,'[2]AP Opportunity'!$Q$1:$T$542,2,FALSE)</f>
        <v>0.99999997777777772</v>
      </c>
      <c r="W1459">
        <f>VLOOKUP($U1459,'[2]AP Opportunity'!$Q$1:$T$542,3,FALSE)</f>
        <v>2.2222222284540294E-8</v>
      </c>
      <c r="X1459">
        <f>VLOOKUP($U1459,'[2]AP Opportunity'!$Q$1:$T$542,4,FALSE)</f>
        <v>0</v>
      </c>
      <c r="Y1459" s="77">
        <f t="shared" si="4623"/>
        <v>1</v>
      </c>
      <c r="Z1459" s="77">
        <f t="shared" si="4627"/>
        <v>6.4624999704999977E-2</v>
      </c>
      <c r="AA1459" s="77">
        <f t="shared" si="4628"/>
        <v>5.2321923767311151E-3</v>
      </c>
      <c r="AB1459" s="79">
        <v>1</v>
      </c>
      <c r="AC1459" s="77">
        <f t="shared" si="4592"/>
        <v>8.499999955555556E-3</v>
      </c>
      <c r="AD1459" s="77">
        <f t="shared" ref="AD1459" si="4703">1-(1-AC1459)^(1/12)</f>
        <v>7.1110795759765644E-4</v>
      </c>
      <c r="AE1459" s="77">
        <f t="shared" si="4594"/>
        <v>2.5000000000000001E-3</v>
      </c>
      <c r="AF1459" s="77">
        <f t="shared" ref="AF1459" si="4704">1-(1-AE1459)^(1/12)</f>
        <v>2.0857243058891584E-4</v>
      </c>
      <c r="AH1459" t="s">
        <v>175</v>
      </c>
      <c r="AI1459" t="s">
        <v>180</v>
      </c>
      <c r="AJ1459" s="197" t="str">
        <f t="shared" si="4585"/>
        <v>Lifecycle_Opportunity_170</v>
      </c>
      <c r="AK1459">
        <v>170</v>
      </c>
      <c r="AL1459">
        <f>VLOOKUP($U1459,[2]Standard_Opportunity!$Q$1:$T$542,2,FALSE)</f>
        <v>0.99999997777777772</v>
      </c>
      <c r="AM1459">
        <f>VLOOKUP($U1459,[2]Standard_Opportunity!$Q$1:$T$542,3,FALSE)</f>
        <v>2.2222222284540294E-8</v>
      </c>
      <c r="AN1459">
        <f>VLOOKUP($U1459,[2]Standard_Opportunity!$Q$1:$T$542,4,FALSE)</f>
        <v>0</v>
      </c>
      <c r="AO1459" s="77">
        <f t="shared" si="4586"/>
        <v>1</v>
      </c>
      <c r="AP1459" s="77">
        <f t="shared" si="4596"/>
        <v>6.4624999704999977E-2</v>
      </c>
      <c r="AQ1459" s="77">
        <f t="shared" si="4587"/>
        <v>5.2321923767311151E-3</v>
      </c>
      <c r="AR1459" s="79">
        <v>0</v>
      </c>
      <c r="AS1459" s="77">
        <f t="shared" si="4597"/>
        <v>0</v>
      </c>
      <c r="AT1459" s="77">
        <f t="shared" si="4598"/>
        <v>0</v>
      </c>
      <c r="AU1459" s="77">
        <f t="shared" si="4599"/>
        <v>2.5000000000000001E-3</v>
      </c>
      <c r="AV1459" s="77">
        <f t="shared" si="4600"/>
        <v>2.0809499864316017E-4</v>
      </c>
    </row>
    <row r="1460" spans="1:48">
      <c r="A1460" t="s">
        <v>175</v>
      </c>
      <c r="B1460" t="s">
        <v>180</v>
      </c>
      <c r="C1460" s="197" t="str">
        <f t="shared" si="4621"/>
        <v>Lifecycle_Opportunity_169</v>
      </c>
      <c r="D1460">
        <v>169</v>
      </c>
      <c r="E1460">
        <f>VLOOKUP($D1460,'[2]LC Opportunity'!$Q$2:$U$542,2,FALSE)</f>
        <v>0</v>
      </c>
      <c r="F1460">
        <f>VLOOKUP($D1460,'[2]LC Opportunity'!$Q$2:$U$542,3,FALSE)</f>
        <v>0</v>
      </c>
      <c r="G1460">
        <f>VLOOKUP($D1460,'[2]LC Opportunity'!$Q$2:$U$542,4,FALSE)</f>
        <v>0</v>
      </c>
      <c r="H1460">
        <f>VLOOKUP($D1460,'[2]LC Opportunity'!$Q$2:$U$542,5,FALSE)</f>
        <v>0.99999999999999989</v>
      </c>
      <c r="I1460" s="77">
        <f t="shared" si="4581"/>
        <v>0.99999999999999989</v>
      </c>
      <c r="J1460" s="77">
        <f t="shared" si="4582"/>
        <v>7.1999999999999981E-2</v>
      </c>
      <c r="K1460" s="77">
        <f t="shared" si="4626"/>
        <v>5.8106552987937654E-3</v>
      </c>
      <c r="L1460" s="76">
        <v>0</v>
      </c>
      <c r="M1460" s="77">
        <f t="shared" si="4588"/>
        <v>0</v>
      </c>
      <c r="N1460" s="77">
        <f t="shared" si="4589"/>
        <v>0</v>
      </c>
      <c r="O1460" s="77">
        <f t="shared" si="4590"/>
        <v>4.9999999999999992E-3</v>
      </c>
      <c r="P1460" s="77">
        <f t="shared" si="4591"/>
        <v>4.1762458919303302E-4</v>
      </c>
      <c r="R1460" t="s">
        <v>177</v>
      </c>
      <c r="S1460" t="s">
        <v>180</v>
      </c>
      <c r="T1460" s="197" t="str">
        <f t="shared" si="4622"/>
        <v>Autopilot_Opportunity_169</v>
      </c>
      <c r="U1460">
        <v>169</v>
      </c>
      <c r="V1460">
        <f>VLOOKUP($U1460,'[2]AP Opportunity'!$Q$1:$T$542,2,FALSE)</f>
        <v>0.99999997777777772</v>
      </c>
      <c r="W1460">
        <f>VLOOKUP($U1460,'[2]AP Opportunity'!$Q$1:$T$542,3,FALSE)</f>
        <v>2.2222222284540294E-8</v>
      </c>
      <c r="X1460">
        <f>VLOOKUP($U1460,'[2]AP Opportunity'!$Q$1:$T$542,4,FALSE)</f>
        <v>0</v>
      </c>
      <c r="Y1460" s="77">
        <f t="shared" si="4623"/>
        <v>1</v>
      </c>
      <c r="Z1460" s="77">
        <f t="shared" si="4627"/>
        <v>6.4624999704999977E-2</v>
      </c>
      <c r="AA1460" s="77">
        <f t="shared" si="4628"/>
        <v>5.2321923767311151E-3</v>
      </c>
      <c r="AB1460" s="79">
        <v>1</v>
      </c>
      <c r="AC1460" s="77">
        <f t="shared" si="4592"/>
        <v>8.499999955555556E-3</v>
      </c>
      <c r="AD1460" s="77">
        <f t="shared" ref="AD1460" si="4705">1-(1-AC1460)^(1/12)</f>
        <v>7.1110795759765644E-4</v>
      </c>
      <c r="AE1460" s="77">
        <f t="shared" si="4594"/>
        <v>2.5000000000000001E-3</v>
      </c>
      <c r="AF1460" s="77">
        <f t="shared" ref="AF1460" si="4706">1-(1-AE1460)^(1/12)</f>
        <v>2.0857243058891584E-4</v>
      </c>
      <c r="AH1460" t="s">
        <v>175</v>
      </c>
      <c r="AI1460" t="s">
        <v>180</v>
      </c>
      <c r="AJ1460" s="197" t="str">
        <f t="shared" si="4585"/>
        <v>Lifecycle_Opportunity_169</v>
      </c>
      <c r="AK1460">
        <v>169</v>
      </c>
      <c r="AL1460">
        <f>VLOOKUP($U1460,[2]Standard_Opportunity!$Q$1:$T$542,2,FALSE)</f>
        <v>0.99999997777777772</v>
      </c>
      <c r="AM1460">
        <f>VLOOKUP($U1460,[2]Standard_Opportunity!$Q$1:$T$542,3,FALSE)</f>
        <v>2.2222222284540294E-8</v>
      </c>
      <c r="AN1460">
        <f>VLOOKUP($U1460,[2]Standard_Opportunity!$Q$1:$T$542,4,FALSE)</f>
        <v>0</v>
      </c>
      <c r="AO1460" s="77">
        <f t="shared" si="4586"/>
        <v>1</v>
      </c>
      <c r="AP1460" s="77">
        <f t="shared" si="4596"/>
        <v>6.4624999704999977E-2</v>
      </c>
      <c r="AQ1460" s="77">
        <f t="shared" si="4587"/>
        <v>5.2321923767311151E-3</v>
      </c>
      <c r="AR1460" s="79">
        <v>0</v>
      </c>
      <c r="AS1460" s="77">
        <f t="shared" si="4597"/>
        <v>0</v>
      </c>
      <c r="AT1460" s="77">
        <f t="shared" si="4598"/>
        <v>0</v>
      </c>
      <c r="AU1460" s="77">
        <f t="shared" si="4599"/>
        <v>2.5000000000000001E-3</v>
      </c>
      <c r="AV1460" s="77">
        <f t="shared" si="4600"/>
        <v>2.0809499864316017E-4</v>
      </c>
    </row>
    <row r="1461" spans="1:48">
      <c r="A1461" t="s">
        <v>175</v>
      </c>
      <c r="B1461" t="s">
        <v>180</v>
      </c>
      <c r="C1461" s="197" t="str">
        <f t="shared" si="4621"/>
        <v>Lifecycle_Opportunity_168</v>
      </c>
      <c r="D1461">
        <v>168</v>
      </c>
      <c r="E1461">
        <f>VLOOKUP($D1461,'[2]LC Opportunity'!$Q$2:$U$542,2,FALSE)</f>
        <v>0</v>
      </c>
      <c r="F1461">
        <f>VLOOKUP($D1461,'[2]LC Opportunity'!$Q$2:$U$542,3,FALSE)</f>
        <v>0</v>
      </c>
      <c r="G1461">
        <f>VLOOKUP($D1461,'[2]LC Opportunity'!$Q$2:$U$542,4,FALSE)</f>
        <v>0</v>
      </c>
      <c r="H1461">
        <f>VLOOKUP($D1461,'[2]LC Opportunity'!$Q$2:$U$542,5,FALSE)</f>
        <v>0.99999999999999989</v>
      </c>
      <c r="I1461" s="77">
        <f t="shared" si="4581"/>
        <v>0.99999999999999989</v>
      </c>
      <c r="J1461" s="77">
        <f t="shared" si="4582"/>
        <v>7.1999999999999981E-2</v>
      </c>
      <c r="K1461" s="77">
        <f t="shared" si="4626"/>
        <v>5.8106552987937654E-3</v>
      </c>
      <c r="L1461" s="76">
        <v>0</v>
      </c>
      <c r="M1461" s="77">
        <f t="shared" si="4588"/>
        <v>0</v>
      </c>
      <c r="N1461" s="77">
        <f t="shared" si="4589"/>
        <v>0</v>
      </c>
      <c r="O1461" s="77">
        <f t="shared" si="4590"/>
        <v>4.9999999999999992E-3</v>
      </c>
      <c r="P1461" s="77">
        <f t="shared" si="4591"/>
        <v>4.1762458919303302E-4</v>
      </c>
      <c r="R1461" t="s">
        <v>177</v>
      </c>
      <c r="S1461" t="s">
        <v>180</v>
      </c>
      <c r="T1461" s="197" t="str">
        <f t="shared" si="4622"/>
        <v>Autopilot_Opportunity_168</v>
      </c>
      <c r="U1461">
        <v>168</v>
      </c>
      <c r="V1461">
        <f>VLOOKUP($U1461,'[2]AP Opportunity'!$Q$1:$T$542,2,FALSE)</f>
        <v>0.99999997777777772</v>
      </c>
      <c r="W1461">
        <f>VLOOKUP($U1461,'[2]AP Opportunity'!$Q$1:$T$542,3,FALSE)</f>
        <v>2.2222222284540294E-8</v>
      </c>
      <c r="X1461">
        <f>VLOOKUP($U1461,'[2]AP Opportunity'!$Q$1:$T$542,4,FALSE)</f>
        <v>0</v>
      </c>
      <c r="Y1461" s="77">
        <f t="shared" si="4623"/>
        <v>1</v>
      </c>
      <c r="Z1461" s="77">
        <f t="shared" si="4627"/>
        <v>6.4624999704999977E-2</v>
      </c>
      <c r="AA1461" s="77">
        <f t="shared" si="4628"/>
        <v>5.2321923767311151E-3</v>
      </c>
      <c r="AB1461" s="79">
        <v>1</v>
      </c>
      <c r="AC1461" s="77">
        <f t="shared" si="4592"/>
        <v>8.499999955555556E-3</v>
      </c>
      <c r="AD1461" s="77">
        <f t="shared" ref="AD1461" si="4707">1-(1-AC1461)^(1/12)</f>
        <v>7.1110795759765644E-4</v>
      </c>
      <c r="AE1461" s="77">
        <f t="shared" si="4594"/>
        <v>2.5000000000000001E-3</v>
      </c>
      <c r="AF1461" s="77">
        <f t="shared" ref="AF1461" si="4708">1-(1-AE1461)^(1/12)</f>
        <v>2.0857243058891584E-4</v>
      </c>
      <c r="AH1461" t="s">
        <v>175</v>
      </c>
      <c r="AI1461" t="s">
        <v>180</v>
      </c>
      <c r="AJ1461" s="197" t="str">
        <f t="shared" si="4585"/>
        <v>Lifecycle_Opportunity_168</v>
      </c>
      <c r="AK1461">
        <v>168</v>
      </c>
      <c r="AL1461">
        <f>VLOOKUP($U1461,[2]Standard_Opportunity!$Q$1:$T$542,2,FALSE)</f>
        <v>0.99999997777777772</v>
      </c>
      <c r="AM1461">
        <f>VLOOKUP($U1461,[2]Standard_Opportunity!$Q$1:$T$542,3,FALSE)</f>
        <v>2.2222222284540294E-8</v>
      </c>
      <c r="AN1461">
        <f>VLOOKUP($U1461,[2]Standard_Opportunity!$Q$1:$T$542,4,FALSE)</f>
        <v>0</v>
      </c>
      <c r="AO1461" s="77">
        <f t="shared" si="4586"/>
        <v>1</v>
      </c>
      <c r="AP1461" s="77">
        <f t="shared" si="4596"/>
        <v>6.4624999704999977E-2</v>
      </c>
      <c r="AQ1461" s="77">
        <f t="shared" si="4587"/>
        <v>5.2321923767311151E-3</v>
      </c>
      <c r="AR1461" s="79">
        <v>0</v>
      </c>
      <c r="AS1461" s="77">
        <f t="shared" si="4597"/>
        <v>0</v>
      </c>
      <c r="AT1461" s="77">
        <f t="shared" si="4598"/>
        <v>0</v>
      </c>
      <c r="AU1461" s="77">
        <f t="shared" si="4599"/>
        <v>2.5000000000000001E-3</v>
      </c>
      <c r="AV1461" s="77">
        <f t="shared" si="4600"/>
        <v>2.0809499864316017E-4</v>
      </c>
    </row>
    <row r="1462" spans="1:48">
      <c r="A1462" t="s">
        <v>175</v>
      </c>
      <c r="B1462" t="s">
        <v>180</v>
      </c>
      <c r="C1462" s="197" t="str">
        <f t="shared" si="4621"/>
        <v>Lifecycle_Opportunity_167</v>
      </c>
      <c r="D1462">
        <v>167</v>
      </c>
      <c r="E1462">
        <f>VLOOKUP($D1462,'[2]LC Opportunity'!$Q$2:$U$542,2,FALSE)</f>
        <v>0</v>
      </c>
      <c r="F1462">
        <f>VLOOKUP($D1462,'[2]LC Opportunity'!$Q$2:$U$542,3,FALSE)</f>
        <v>0</v>
      </c>
      <c r="G1462">
        <f>VLOOKUP($D1462,'[2]LC Opportunity'!$Q$2:$U$542,4,FALSE)</f>
        <v>0</v>
      </c>
      <c r="H1462">
        <f>VLOOKUP($D1462,'[2]LC Opportunity'!$Q$2:$U$542,5,FALSE)</f>
        <v>0.99999999999999989</v>
      </c>
      <c r="I1462" s="77">
        <f t="shared" si="4581"/>
        <v>0.99999999999999989</v>
      </c>
      <c r="J1462" s="77">
        <f t="shared" si="4582"/>
        <v>7.1999999999999981E-2</v>
      </c>
      <c r="K1462" s="77">
        <f t="shared" si="4626"/>
        <v>5.8106552987937654E-3</v>
      </c>
      <c r="L1462" s="76">
        <v>0</v>
      </c>
      <c r="M1462" s="77">
        <f t="shared" si="4588"/>
        <v>0</v>
      </c>
      <c r="N1462" s="77">
        <f t="shared" si="4589"/>
        <v>0</v>
      </c>
      <c r="O1462" s="77">
        <f t="shared" si="4590"/>
        <v>4.9999999999999992E-3</v>
      </c>
      <c r="P1462" s="77">
        <f t="shared" si="4591"/>
        <v>4.1762458919303302E-4</v>
      </c>
      <c r="R1462" t="s">
        <v>177</v>
      </c>
      <c r="S1462" t="s">
        <v>180</v>
      </c>
      <c r="T1462" s="197" t="str">
        <f t="shared" si="4622"/>
        <v>Autopilot_Opportunity_167</v>
      </c>
      <c r="U1462">
        <v>167</v>
      </c>
      <c r="V1462">
        <f>VLOOKUP($U1462,'[2]AP Opportunity'!$Q$1:$T$542,2,FALSE)</f>
        <v>0.99999997777777772</v>
      </c>
      <c r="W1462">
        <f>VLOOKUP($U1462,'[2]AP Opportunity'!$Q$1:$T$542,3,FALSE)</f>
        <v>2.2222222284540294E-8</v>
      </c>
      <c r="X1462">
        <f>VLOOKUP($U1462,'[2]AP Opportunity'!$Q$1:$T$542,4,FALSE)</f>
        <v>0</v>
      </c>
      <c r="Y1462" s="77">
        <f t="shared" si="4623"/>
        <v>1</v>
      </c>
      <c r="Z1462" s="77">
        <f t="shared" si="4627"/>
        <v>6.4624999704999977E-2</v>
      </c>
      <c r="AA1462" s="77">
        <f t="shared" si="4628"/>
        <v>5.2321923767311151E-3</v>
      </c>
      <c r="AB1462" s="79">
        <v>1</v>
      </c>
      <c r="AC1462" s="77">
        <f t="shared" si="4592"/>
        <v>8.499999955555556E-3</v>
      </c>
      <c r="AD1462" s="77">
        <f t="shared" ref="AD1462" si="4709">1-(1-AC1462)^(1/12)</f>
        <v>7.1110795759765644E-4</v>
      </c>
      <c r="AE1462" s="77">
        <f t="shared" si="4594"/>
        <v>2.5000000000000001E-3</v>
      </c>
      <c r="AF1462" s="77">
        <f t="shared" ref="AF1462" si="4710">1-(1-AE1462)^(1/12)</f>
        <v>2.0857243058891584E-4</v>
      </c>
      <c r="AH1462" t="s">
        <v>175</v>
      </c>
      <c r="AI1462" t="s">
        <v>180</v>
      </c>
      <c r="AJ1462" s="197" t="str">
        <f t="shared" si="4585"/>
        <v>Lifecycle_Opportunity_167</v>
      </c>
      <c r="AK1462">
        <v>167</v>
      </c>
      <c r="AL1462">
        <f>VLOOKUP($U1462,[2]Standard_Opportunity!$Q$1:$T$542,2,FALSE)</f>
        <v>0.99999997777777772</v>
      </c>
      <c r="AM1462">
        <f>VLOOKUP($U1462,[2]Standard_Opportunity!$Q$1:$T$542,3,FALSE)</f>
        <v>2.2222222284540294E-8</v>
      </c>
      <c r="AN1462">
        <f>VLOOKUP($U1462,[2]Standard_Opportunity!$Q$1:$T$542,4,FALSE)</f>
        <v>0</v>
      </c>
      <c r="AO1462" s="77">
        <f t="shared" si="4586"/>
        <v>1</v>
      </c>
      <c r="AP1462" s="77">
        <f t="shared" si="4596"/>
        <v>6.4624999704999977E-2</v>
      </c>
      <c r="AQ1462" s="77">
        <f t="shared" si="4587"/>
        <v>5.2321923767311151E-3</v>
      </c>
      <c r="AR1462" s="79">
        <v>0</v>
      </c>
      <c r="AS1462" s="77">
        <f t="shared" si="4597"/>
        <v>0</v>
      </c>
      <c r="AT1462" s="77">
        <f t="shared" si="4598"/>
        <v>0</v>
      </c>
      <c r="AU1462" s="77">
        <f t="shared" si="4599"/>
        <v>2.5000000000000001E-3</v>
      </c>
      <c r="AV1462" s="77">
        <f t="shared" si="4600"/>
        <v>2.0809499864316017E-4</v>
      </c>
    </row>
    <row r="1463" spans="1:48">
      <c r="A1463" t="s">
        <v>175</v>
      </c>
      <c r="B1463" t="s">
        <v>180</v>
      </c>
      <c r="C1463" s="197" t="str">
        <f t="shared" si="4621"/>
        <v>Lifecycle_Opportunity_166</v>
      </c>
      <c r="D1463">
        <v>166</v>
      </c>
      <c r="E1463">
        <f>VLOOKUP($D1463,'[2]LC Opportunity'!$Q$2:$U$542,2,FALSE)</f>
        <v>0</v>
      </c>
      <c r="F1463">
        <f>VLOOKUP($D1463,'[2]LC Opportunity'!$Q$2:$U$542,3,FALSE)</f>
        <v>0</v>
      </c>
      <c r="G1463">
        <f>VLOOKUP($D1463,'[2]LC Opportunity'!$Q$2:$U$542,4,FALSE)</f>
        <v>0</v>
      </c>
      <c r="H1463">
        <f>VLOOKUP($D1463,'[2]LC Opportunity'!$Q$2:$U$542,5,FALSE)</f>
        <v>0.99999999999999989</v>
      </c>
      <c r="I1463" s="77">
        <f t="shared" si="4581"/>
        <v>0.99999999999999989</v>
      </c>
      <c r="J1463" s="77">
        <f t="shared" si="4582"/>
        <v>7.1999999999999981E-2</v>
      </c>
      <c r="K1463" s="77">
        <f t="shared" si="4626"/>
        <v>5.8106552987937654E-3</v>
      </c>
      <c r="L1463" s="76">
        <v>0</v>
      </c>
      <c r="M1463" s="77">
        <f t="shared" si="4588"/>
        <v>0</v>
      </c>
      <c r="N1463" s="77">
        <f t="shared" si="4589"/>
        <v>0</v>
      </c>
      <c r="O1463" s="77">
        <f t="shared" si="4590"/>
        <v>4.9999999999999992E-3</v>
      </c>
      <c r="P1463" s="77">
        <f t="shared" si="4591"/>
        <v>4.1762458919303302E-4</v>
      </c>
      <c r="R1463" t="s">
        <v>177</v>
      </c>
      <c r="S1463" t="s">
        <v>180</v>
      </c>
      <c r="T1463" s="197" t="str">
        <f t="shared" si="4622"/>
        <v>Autopilot_Opportunity_166</v>
      </c>
      <c r="U1463">
        <v>166</v>
      </c>
      <c r="V1463">
        <f>VLOOKUP($U1463,'[2]AP Opportunity'!$Q$1:$T$542,2,FALSE)</f>
        <v>0.99999997777777772</v>
      </c>
      <c r="W1463">
        <f>VLOOKUP($U1463,'[2]AP Opportunity'!$Q$1:$T$542,3,FALSE)</f>
        <v>2.2222222284540294E-8</v>
      </c>
      <c r="X1463">
        <f>VLOOKUP($U1463,'[2]AP Opportunity'!$Q$1:$T$542,4,FALSE)</f>
        <v>0</v>
      </c>
      <c r="Y1463" s="77">
        <f t="shared" si="4623"/>
        <v>1</v>
      </c>
      <c r="Z1463" s="77">
        <f t="shared" si="4627"/>
        <v>6.4624999704999977E-2</v>
      </c>
      <c r="AA1463" s="77">
        <f t="shared" si="4628"/>
        <v>5.2321923767311151E-3</v>
      </c>
      <c r="AB1463" s="79">
        <v>1</v>
      </c>
      <c r="AC1463" s="77">
        <f t="shared" si="4592"/>
        <v>8.499999955555556E-3</v>
      </c>
      <c r="AD1463" s="77">
        <f t="shared" ref="AD1463" si="4711">1-(1-AC1463)^(1/12)</f>
        <v>7.1110795759765644E-4</v>
      </c>
      <c r="AE1463" s="77">
        <f t="shared" si="4594"/>
        <v>2.5000000000000001E-3</v>
      </c>
      <c r="AF1463" s="77">
        <f t="shared" ref="AF1463" si="4712">1-(1-AE1463)^(1/12)</f>
        <v>2.0857243058891584E-4</v>
      </c>
      <c r="AH1463" t="s">
        <v>175</v>
      </c>
      <c r="AI1463" t="s">
        <v>180</v>
      </c>
      <c r="AJ1463" s="197" t="str">
        <f t="shared" si="4585"/>
        <v>Lifecycle_Opportunity_166</v>
      </c>
      <c r="AK1463">
        <v>166</v>
      </c>
      <c r="AL1463">
        <f>VLOOKUP($U1463,[2]Standard_Opportunity!$Q$1:$T$542,2,FALSE)</f>
        <v>0.99999997777777772</v>
      </c>
      <c r="AM1463">
        <f>VLOOKUP($U1463,[2]Standard_Opportunity!$Q$1:$T$542,3,FALSE)</f>
        <v>2.2222222284540294E-8</v>
      </c>
      <c r="AN1463">
        <f>VLOOKUP($U1463,[2]Standard_Opportunity!$Q$1:$T$542,4,FALSE)</f>
        <v>0</v>
      </c>
      <c r="AO1463" s="77">
        <f t="shared" si="4586"/>
        <v>1</v>
      </c>
      <c r="AP1463" s="77">
        <f t="shared" si="4596"/>
        <v>6.4624999704999977E-2</v>
      </c>
      <c r="AQ1463" s="77">
        <f t="shared" si="4587"/>
        <v>5.2321923767311151E-3</v>
      </c>
      <c r="AR1463" s="79">
        <v>0</v>
      </c>
      <c r="AS1463" s="77">
        <f t="shared" si="4597"/>
        <v>0</v>
      </c>
      <c r="AT1463" s="77">
        <f t="shared" si="4598"/>
        <v>0</v>
      </c>
      <c r="AU1463" s="77">
        <f t="shared" si="4599"/>
        <v>2.5000000000000001E-3</v>
      </c>
      <c r="AV1463" s="77">
        <f t="shared" si="4600"/>
        <v>2.0809499864316017E-4</v>
      </c>
    </row>
    <row r="1464" spans="1:48">
      <c r="A1464" t="s">
        <v>175</v>
      </c>
      <c r="B1464" t="s">
        <v>180</v>
      </c>
      <c r="C1464" s="197" t="str">
        <f t="shared" si="4621"/>
        <v>Lifecycle_Opportunity_165</v>
      </c>
      <c r="D1464">
        <v>165</v>
      </c>
      <c r="E1464">
        <f>VLOOKUP($D1464,'[2]LC Opportunity'!$Q$2:$U$542,2,FALSE)</f>
        <v>0</v>
      </c>
      <c r="F1464">
        <f>VLOOKUP($D1464,'[2]LC Opportunity'!$Q$2:$U$542,3,FALSE)</f>
        <v>0</v>
      </c>
      <c r="G1464">
        <f>VLOOKUP($D1464,'[2]LC Opportunity'!$Q$2:$U$542,4,FALSE)</f>
        <v>0</v>
      </c>
      <c r="H1464">
        <f>VLOOKUP($D1464,'[2]LC Opportunity'!$Q$2:$U$542,5,FALSE)</f>
        <v>0.99999999999999989</v>
      </c>
      <c r="I1464" s="77">
        <f t="shared" si="4581"/>
        <v>0.99999999999999989</v>
      </c>
      <c r="J1464" s="77">
        <f t="shared" si="4582"/>
        <v>7.1999999999999981E-2</v>
      </c>
      <c r="K1464" s="77">
        <f t="shared" si="4626"/>
        <v>5.8106552987937654E-3</v>
      </c>
      <c r="L1464" s="76">
        <v>0</v>
      </c>
      <c r="M1464" s="77">
        <f t="shared" si="4588"/>
        <v>0</v>
      </c>
      <c r="N1464" s="77">
        <f t="shared" si="4589"/>
        <v>0</v>
      </c>
      <c r="O1464" s="77">
        <f t="shared" si="4590"/>
        <v>4.9999999999999992E-3</v>
      </c>
      <c r="P1464" s="77">
        <f t="shared" si="4591"/>
        <v>4.1762458919303302E-4</v>
      </c>
      <c r="R1464" t="s">
        <v>177</v>
      </c>
      <c r="S1464" t="s">
        <v>180</v>
      </c>
      <c r="T1464" s="197" t="str">
        <f t="shared" si="4622"/>
        <v>Autopilot_Opportunity_165</v>
      </c>
      <c r="U1464">
        <v>165</v>
      </c>
      <c r="V1464">
        <f>VLOOKUP($U1464,'[2]AP Opportunity'!$Q$1:$T$542,2,FALSE)</f>
        <v>0.99999997777777772</v>
      </c>
      <c r="W1464">
        <f>VLOOKUP($U1464,'[2]AP Opportunity'!$Q$1:$T$542,3,FALSE)</f>
        <v>2.2222222284540294E-8</v>
      </c>
      <c r="X1464">
        <f>VLOOKUP($U1464,'[2]AP Opportunity'!$Q$1:$T$542,4,FALSE)</f>
        <v>0</v>
      </c>
      <c r="Y1464" s="77">
        <f t="shared" si="4623"/>
        <v>1</v>
      </c>
      <c r="Z1464" s="77">
        <f t="shared" si="4627"/>
        <v>6.4624999704999977E-2</v>
      </c>
      <c r="AA1464" s="77">
        <f t="shared" si="4628"/>
        <v>5.2321923767311151E-3</v>
      </c>
      <c r="AB1464" s="79">
        <v>1</v>
      </c>
      <c r="AC1464" s="77">
        <f t="shared" si="4592"/>
        <v>8.499999955555556E-3</v>
      </c>
      <c r="AD1464" s="77">
        <f t="shared" ref="AD1464" si="4713">1-(1-AC1464)^(1/12)</f>
        <v>7.1110795759765644E-4</v>
      </c>
      <c r="AE1464" s="77">
        <f t="shared" si="4594"/>
        <v>2.5000000000000001E-3</v>
      </c>
      <c r="AF1464" s="77">
        <f t="shared" ref="AF1464" si="4714">1-(1-AE1464)^(1/12)</f>
        <v>2.0857243058891584E-4</v>
      </c>
      <c r="AH1464" t="s">
        <v>175</v>
      </c>
      <c r="AI1464" t="s">
        <v>180</v>
      </c>
      <c r="AJ1464" s="197" t="str">
        <f t="shared" si="4585"/>
        <v>Lifecycle_Opportunity_165</v>
      </c>
      <c r="AK1464">
        <v>165</v>
      </c>
      <c r="AL1464">
        <f>VLOOKUP($U1464,[2]Standard_Opportunity!$Q$1:$T$542,2,FALSE)</f>
        <v>0.99999997777777772</v>
      </c>
      <c r="AM1464">
        <f>VLOOKUP($U1464,[2]Standard_Opportunity!$Q$1:$T$542,3,FALSE)</f>
        <v>2.2222222284540294E-8</v>
      </c>
      <c r="AN1464">
        <f>VLOOKUP($U1464,[2]Standard_Opportunity!$Q$1:$T$542,4,FALSE)</f>
        <v>0</v>
      </c>
      <c r="AO1464" s="77">
        <f t="shared" si="4586"/>
        <v>1</v>
      </c>
      <c r="AP1464" s="77">
        <f t="shared" si="4596"/>
        <v>6.4624999704999977E-2</v>
      </c>
      <c r="AQ1464" s="77">
        <f t="shared" si="4587"/>
        <v>5.2321923767311151E-3</v>
      </c>
      <c r="AR1464" s="79">
        <v>0</v>
      </c>
      <c r="AS1464" s="77">
        <f t="shared" si="4597"/>
        <v>0</v>
      </c>
      <c r="AT1464" s="77">
        <f t="shared" si="4598"/>
        <v>0</v>
      </c>
      <c r="AU1464" s="77">
        <f t="shared" si="4599"/>
        <v>2.5000000000000001E-3</v>
      </c>
      <c r="AV1464" s="77">
        <f t="shared" si="4600"/>
        <v>2.0809499864316017E-4</v>
      </c>
    </row>
    <row r="1465" spans="1:48">
      <c r="A1465" t="s">
        <v>175</v>
      </c>
      <c r="B1465" t="s">
        <v>180</v>
      </c>
      <c r="C1465" s="197" t="str">
        <f t="shared" si="4621"/>
        <v>Lifecycle_Opportunity_164</v>
      </c>
      <c r="D1465">
        <v>164</v>
      </c>
      <c r="E1465">
        <f>VLOOKUP($D1465,'[2]LC Opportunity'!$Q$2:$U$542,2,FALSE)</f>
        <v>0</v>
      </c>
      <c r="F1465">
        <f>VLOOKUP($D1465,'[2]LC Opportunity'!$Q$2:$U$542,3,FALSE)</f>
        <v>0</v>
      </c>
      <c r="G1465">
        <f>VLOOKUP($D1465,'[2]LC Opportunity'!$Q$2:$U$542,4,FALSE)</f>
        <v>0</v>
      </c>
      <c r="H1465">
        <f>VLOOKUP($D1465,'[2]LC Opportunity'!$Q$2:$U$542,5,FALSE)</f>
        <v>0.99999999999999989</v>
      </c>
      <c r="I1465" s="77">
        <f t="shared" si="4581"/>
        <v>0.99999999999999989</v>
      </c>
      <c r="J1465" s="77">
        <f t="shared" si="4582"/>
        <v>7.1999999999999981E-2</v>
      </c>
      <c r="K1465" s="77">
        <f t="shared" si="4626"/>
        <v>5.8106552987937654E-3</v>
      </c>
      <c r="L1465" s="76">
        <v>0</v>
      </c>
      <c r="M1465" s="77">
        <f t="shared" si="4588"/>
        <v>0</v>
      </c>
      <c r="N1465" s="77">
        <f t="shared" si="4589"/>
        <v>0</v>
      </c>
      <c r="O1465" s="77">
        <f t="shared" si="4590"/>
        <v>4.9999999999999992E-3</v>
      </c>
      <c r="P1465" s="77">
        <f t="shared" si="4591"/>
        <v>4.1762458919303302E-4</v>
      </c>
      <c r="R1465" t="s">
        <v>177</v>
      </c>
      <c r="S1465" t="s">
        <v>180</v>
      </c>
      <c r="T1465" s="197" t="str">
        <f t="shared" si="4622"/>
        <v>Autopilot_Opportunity_164</v>
      </c>
      <c r="U1465">
        <v>164</v>
      </c>
      <c r="V1465">
        <f>VLOOKUP($U1465,'[2]AP Opportunity'!$Q$1:$T$542,2,FALSE)</f>
        <v>0.99999997777777772</v>
      </c>
      <c r="W1465">
        <f>VLOOKUP($U1465,'[2]AP Opportunity'!$Q$1:$T$542,3,FALSE)</f>
        <v>2.2222222284540294E-8</v>
      </c>
      <c r="X1465">
        <f>VLOOKUP($U1465,'[2]AP Opportunity'!$Q$1:$T$542,4,FALSE)</f>
        <v>0</v>
      </c>
      <c r="Y1465" s="77">
        <f t="shared" si="4623"/>
        <v>1</v>
      </c>
      <c r="Z1465" s="77">
        <f t="shared" si="4627"/>
        <v>6.4624999704999977E-2</v>
      </c>
      <c r="AA1465" s="77">
        <f t="shared" si="4628"/>
        <v>5.2321923767311151E-3</v>
      </c>
      <c r="AB1465" s="79">
        <v>1</v>
      </c>
      <c r="AC1465" s="77">
        <f t="shared" si="4592"/>
        <v>8.499999955555556E-3</v>
      </c>
      <c r="AD1465" s="77">
        <f t="shared" ref="AD1465" si="4715">1-(1-AC1465)^(1/12)</f>
        <v>7.1110795759765644E-4</v>
      </c>
      <c r="AE1465" s="77">
        <f t="shared" si="4594"/>
        <v>2.5000000000000001E-3</v>
      </c>
      <c r="AF1465" s="77">
        <f t="shared" ref="AF1465" si="4716">1-(1-AE1465)^(1/12)</f>
        <v>2.0857243058891584E-4</v>
      </c>
      <c r="AH1465" t="s">
        <v>175</v>
      </c>
      <c r="AI1465" t="s">
        <v>180</v>
      </c>
      <c r="AJ1465" s="197" t="str">
        <f t="shared" si="4585"/>
        <v>Lifecycle_Opportunity_164</v>
      </c>
      <c r="AK1465">
        <v>164</v>
      </c>
      <c r="AL1465">
        <f>VLOOKUP($U1465,[2]Standard_Opportunity!$Q$1:$T$542,2,FALSE)</f>
        <v>0.99999997777777772</v>
      </c>
      <c r="AM1465">
        <f>VLOOKUP($U1465,[2]Standard_Opportunity!$Q$1:$T$542,3,FALSE)</f>
        <v>2.2222222284540294E-8</v>
      </c>
      <c r="AN1465">
        <f>VLOOKUP($U1465,[2]Standard_Opportunity!$Q$1:$T$542,4,FALSE)</f>
        <v>0</v>
      </c>
      <c r="AO1465" s="77">
        <f t="shared" si="4586"/>
        <v>1</v>
      </c>
      <c r="AP1465" s="77">
        <f t="shared" si="4596"/>
        <v>6.4624999704999977E-2</v>
      </c>
      <c r="AQ1465" s="77">
        <f t="shared" si="4587"/>
        <v>5.2321923767311151E-3</v>
      </c>
      <c r="AR1465" s="79">
        <v>0</v>
      </c>
      <c r="AS1465" s="77">
        <f t="shared" si="4597"/>
        <v>0</v>
      </c>
      <c r="AT1465" s="77">
        <f t="shared" si="4598"/>
        <v>0</v>
      </c>
      <c r="AU1465" s="77">
        <f t="shared" si="4599"/>
        <v>2.5000000000000001E-3</v>
      </c>
      <c r="AV1465" s="77">
        <f t="shared" si="4600"/>
        <v>2.0809499864316017E-4</v>
      </c>
    </row>
    <row r="1466" spans="1:48">
      <c r="A1466" t="s">
        <v>175</v>
      </c>
      <c r="B1466" t="s">
        <v>180</v>
      </c>
      <c r="C1466" s="197" t="str">
        <f t="shared" si="4621"/>
        <v>Lifecycle_Opportunity_163</v>
      </c>
      <c r="D1466">
        <v>163</v>
      </c>
      <c r="E1466">
        <f>VLOOKUP($D1466,'[2]LC Opportunity'!$Q$2:$U$542,2,FALSE)</f>
        <v>0</v>
      </c>
      <c r="F1466">
        <f>VLOOKUP($D1466,'[2]LC Opportunity'!$Q$2:$U$542,3,FALSE)</f>
        <v>0</v>
      </c>
      <c r="G1466">
        <f>VLOOKUP($D1466,'[2]LC Opportunity'!$Q$2:$U$542,4,FALSE)</f>
        <v>0</v>
      </c>
      <c r="H1466">
        <f>VLOOKUP($D1466,'[2]LC Opportunity'!$Q$2:$U$542,5,FALSE)</f>
        <v>0.99999999999999989</v>
      </c>
      <c r="I1466" s="77">
        <f t="shared" si="4581"/>
        <v>0.99999999999999989</v>
      </c>
      <c r="J1466" s="77">
        <f t="shared" si="4582"/>
        <v>7.1999999999999981E-2</v>
      </c>
      <c r="K1466" s="77">
        <f t="shared" si="4626"/>
        <v>5.8106552987937654E-3</v>
      </c>
      <c r="L1466" s="76">
        <v>0</v>
      </c>
      <c r="M1466" s="77">
        <f t="shared" si="4588"/>
        <v>0</v>
      </c>
      <c r="N1466" s="77">
        <f t="shared" si="4589"/>
        <v>0</v>
      </c>
      <c r="O1466" s="77">
        <f t="shared" si="4590"/>
        <v>4.9999999999999992E-3</v>
      </c>
      <c r="P1466" s="77">
        <f t="shared" si="4591"/>
        <v>4.1762458919303302E-4</v>
      </c>
      <c r="R1466" t="s">
        <v>177</v>
      </c>
      <c r="S1466" t="s">
        <v>180</v>
      </c>
      <c r="T1466" s="197" t="str">
        <f t="shared" si="4622"/>
        <v>Autopilot_Opportunity_163</v>
      </c>
      <c r="U1466">
        <v>163</v>
      </c>
      <c r="V1466">
        <f>VLOOKUP($U1466,'[2]AP Opportunity'!$Q$1:$T$542,2,FALSE)</f>
        <v>0.99999997777777772</v>
      </c>
      <c r="W1466">
        <f>VLOOKUP($U1466,'[2]AP Opportunity'!$Q$1:$T$542,3,FALSE)</f>
        <v>2.2222222284540294E-8</v>
      </c>
      <c r="X1466">
        <f>VLOOKUP($U1466,'[2]AP Opportunity'!$Q$1:$T$542,4,FALSE)</f>
        <v>0</v>
      </c>
      <c r="Y1466" s="77">
        <f t="shared" si="4623"/>
        <v>1</v>
      </c>
      <c r="Z1466" s="77">
        <f t="shared" si="4627"/>
        <v>6.4624999704999977E-2</v>
      </c>
      <c r="AA1466" s="77">
        <f t="shared" si="4628"/>
        <v>5.2321923767311151E-3</v>
      </c>
      <c r="AB1466" s="79">
        <v>1</v>
      </c>
      <c r="AC1466" s="77">
        <f t="shared" si="4592"/>
        <v>8.499999955555556E-3</v>
      </c>
      <c r="AD1466" s="77">
        <f t="shared" ref="AD1466" si="4717">1-(1-AC1466)^(1/12)</f>
        <v>7.1110795759765644E-4</v>
      </c>
      <c r="AE1466" s="77">
        <f t="shared" si="4594"/>
        <v>2.5000000000000001E-3</v>
      </c>
      <c r="AF1466" s="77">
        <f t="shared" ref="AF1466" si="4718">1-(1-AE1466)^(1/12)</f>
        <v>2.0857243058891584E-4</v>
      </c>
      <c r="AH1466" t="s">
        <v>175</v>
      </c>
      <c r="AI1466" t="s">
        <v>180</v>
      </c>
      <c r="AJ1466" s="197" t="str">
        <f t="shared" si="4585"/>
        <v>Lifecycle_Opportunity_163</v>
      </c>
      <c r="AK1466">
        <v>163</v>
      </c>
      <c r="AL1466">
        <f>VLOOKUP($U1466,[2]Standard_Opportunity!$Q$1:$T$542,2,FALSE)</f>
        <v>0.99999997777777772</v>
      </c>
      <c r="AM1466">
        <f>VLOOKUP($U1466,[2]Standard_Opportunity!$Q$1:$T$542,3,FALSE)</f>
        <v>2.2222222284540294E-8</v>
      </c>
      <c r="AN1466">
        <f>VLOOKUP($U1466,[2]Standard_Opportunity!$Q$1:$T$542,4,FALSE)</f>
        <v>0</v>
      </c>
      <c r="AO1466" s="77">
        <f t="shared" si="4586"/>
        <v>1</v>
      </c>
      <c r="AP1466" s="77">
        <f t="shared" si="4596"/>
        <v>6.4624999704999977E-2</v>
      </c>
      <c r="AQ1466" s="77">
        <f t="shared" si="4587"/>
        <v>5.2321923767311151E-3</v>
      </c>
      <c r="AR1466" s="79">
        <v>0</v>
      </c>
      <c r="AS1466" s="77">
        <f t="shared" si="4597"/>
        <v>0</v>
      </c>
      <c r="AT1466" s="77">
        <f t="shared" si="4598"/>
        <v>0</v>
      </c>
      <c r="AU1466" s="77">
        <f t="shared" si="4599"/>
        <v>2.5000000000000001E-3</v>
      </c>
      <c r="AV1466" s="77">
        <f t="shared" si="4600"/>
        <v>2.0809499864316017E-4</v>
      </c>
    </row>
    <row r="1467" spans="1:48">
      <c r="A1467" t="s">
        <v>175</v>
      </c>
      <c r="B1467" t="s">
        <v>180</v>
      </c>
      <c r="C1467" s="197" t="str">
        <f t="shared" si="4621"/>
        <v>Lifecycle_Opportunity_162</v>
      </c>
      <c r="D1467">
        <v>162</v>
      </c>
      <c r="E1467">
        <f>VLOOKUP($D1467,'[2]LC Opportunity'!$Q$2:$U$542,2,FALSE)</f>
        <v>0</v>
      </c>
      <c r="F1467">
        <f>VLOOKUP($D1467,'[2]LC Opportunity'!$Q$2:$U$542,3,FALSE)</f>
        <v>0</v>
      </c>
      <c r="G1467">
        <f>VLOOKUP($D1467,'[2]LC Opportunity'!$Q$2:$U$542,4,FALSE)</f>
        <v>0</v>
      </c>
      <c r="H1467">
        <f>VLOOKUP($D1467,'[2]LC Opportunity'!$Q$2:$U$542,5,FALSE)</f>
        <v>0.99999999999999989</v>
      </c>
      <c r="I1467" s="77">
        <f t="shared" si="4581"/>
        <v>0.99999999999999989</v>
      </c>
      <c r="J1467" s="77">
        <f t="shared" si="4582"/>
        <v>7.1999999999999981E-2</v>
      </c>
      <c r="K1467" s="77">
        <f t="shared" si="4626"/>
        <v>5.8106552987937654E-3</v>
      </c>
      <c r="L1467" s="76">
        <v>0</v>
      </c>
      <c r="M1467" s="77">
        <f t="shared" si="4588"/>
        <v>0</v>
      </c>
      <c r="N1467" s="77">
        <f t="shared" si="4589"/>
        <v>0</v>
      </c>
      <c r="O1467" s="77">
        <f t="shared" si="4590"/>
        <v>4.9999999999999992E-3</v>
      </c>
      <c r="P1467" s="77">
        <f t="shared" si="4591"/>
        <v>4.1762458919303302E-4</v>
      </c>
      <c r="R1467" t="s">
        <v>177</v>
      </c>
      <c r="S1467" t="s">
        <v>180</v>
      </c>
      <c r="T1467" s="197" t="str">
        <f t="shared" si="4622"/>
        <v>Autopilot_Opportunity_162</v>
      </c>
      <c r="U1467">
        <v>162</v>
      </c>
      <c r="V1467">
        <f>VLOOKUP($U1467,'[2]AP Opportunity'!$Q$1:$T$542,2,FALSE)</f>
        <v>0.99999997777777772</v>
      </c>
      <c r="W1467">
        <f>VLOOKUP($U1467,'[2]AP Opportunity'!$Q$1:$T$542,3,FALSE)</f>
        <v>2.2222222284540294E-8</v>
      </c>
      <c r="X1467">
        <f>VLOOKUP($U1467,'[2]AP Opportunity'!$Q$1:$T$542,4,FALSE)</f>
        <v>0</v>
      </c>
      <c r="Y1467" s="77">
        <f t="shared" si="4623"/>
        <v>1</v>
      </c>
      <c r="Z1467" s="77">
        <f t="shared" si="4627"/>
        <v>6.4624999704999977E-2</v>
      </c>
      <c r="AA1467" s="77">
        <f t="shared" si="4628"/>
        <v>5.2321923767311151E-3</v>
      </c>
      <c r="AB1467" s="79">
        <v>1</v>
      </c>
      <c r="AC1467" s="77">
        <f t="shared" si="4592"/>
        <v>8.499999955555556E-3</v>
      </c>
      <c r="AD1467" s="77">
        <f t="shared" ref="AD1467" si="4719">1-(1-AC1467)^(1/12)</f>
        <v>7.1110795759765644E-4</v>
      </c>
      <c r="AE1467" s="77">
        <f t="shared" si="4594"/>
        <v>2.5000000000000001E-3</v>
      </c>
      <c r="AF1467" s="77">
        <f t="shared" ref="AF1467" si="4720">1-(1-AE1467)^(1/12)</f>
        <v>2.0857243058891584E-4</v>
      </c>
      <c r="AH1467" t="s">
        <v>175</v>
      </c>
      <c r="AI1467" t="s">
        <v>180</v>
      </c>
      <c r="AJ1467" s="197" t="str">
        <f t="shared" si="4585"/>
        <v>Lifecycle_Opportunity_162</v>
      </c>
      <c r="AK1467">
        <v>162</v>
      </c>
      <c r="AL1467">
        <f>VLOOKUP($U1467,[2]Standard_Opportunity!$Q$1:$T$542,2,FALSE)</f>
        <v>0.99999997777777772</v>
      </c>
      <c r="AM1467">
        <f>VLOOKUP($U1467,[2]Standard_Opportunity!$Q$1:$T$542,3,FALSE)</f>
        <v>2.2222222284540294E-8</v>
      </c>
      <c r="AN1467">
        <f>VLOOKUP($U1467,[2]Standard_Opportunity!$Q$1:$T$542,4,FALSE)</f>
        <v>0</v>
      </c>
      <c r="AO1467" s="77">
        <f t="shared" si="4586"/>
        <v>1</v>
      </c>
      <c r="AP1467" s="77">
        <f t="shared" si="4596"/>
        <v>6.4624999704999977E-2</v>
      </c>
      <c r="AQ1467" s="77">
        <f t="shared" si="4587"/>
        <v>5.2321923767311151E-3</v>
      </c>
      <c r="AR1467" s="79">
        <v>0</v>
      </c>
      <c r="AS1467" s="77">
        <f t="shared" si="4597"/>
        <v>0</v>
      </c>
      <c r="AT1467" s="77">
        <f t="shared" si="4598"/>
        <v>0</v>
      </c>
      <c r="AU1467" s="77">
        <f t="shared" si="4599"/>
        <v>2.5000000000000001E-3</v>
      </c>
      <c r="AV1467" s="77">
        <f t="shared" si="4600"/>
        <v>2.0809499864316017E-4</v>
      </c>
    </row>
    <row r="1468" spans="1:48">
      <c r="A1468" t="s">
        <v>175</v>
      </c>
      <c r="B1468" t="s">
        <v>180</v>
      </c>
      <c r="C1468" s="197" t="str">
        <f t="shared" si="4621"/>
        <v>Lifecycle_Opportunity_161</v>
      </c>
      <c r="D1468">
        <v>161</v>
      </c>
      <c r="E1468">
        <f>VLOOKUP($D1468,'[2]LC Opportunity'!$Q$2:$U$542,2,FALSE)</f>
        <v>0</v>
      </c>
      <c r="F1468">
        <f>VLOOKUP($D1468,'[2]LC Opportunity'!$Q$2:$U$542,3,FALSE)</f>
        <v>0</v>
      </c>
      <c r="G1468">
        <f>VLOOKUP($D1468,'[2]LC Opportunity'!$Q$2:$U$542,4,FALSE)</f>
        <v>0</v>
      </c>
      <c r="H1468">
        <f>VLOOKUP($D1468,'[2]LC Opportunity'!$Q$2:$U$542,5,FALSE)</f>
        <v>0.99999999999999989</v>
      </c>
      <c r="I1468" s="77">
        <f t="shared" si="4581"/>
        <v>0.99999999999999989</v>
      </c>
      <c r="J1468" s="77">
        <f t="shared" si="4582"/>
        <v>7.1999999999999981E-2</v>
      </c>
      <c r="K1468" s="77">
        <f t="shared" si="4626"/>
        <v>5.8106552987937654E-3</v>
      </c>
      <c r="L1468" s="76">
        <v>0</v>
      </c>
      <c r="M1468" s="77">
        <f t="shared" si="4588"/>
        <v>0</v>
      </c>
      <c r="N1468" s="77">
        <f t="shared" si="4589"/>
        <v>0</v>
      </c>
      <c r="O1468" s="77">
        <f t="shared" si="4590"/>
        <v>4.9999999999999992E-3</v>
      </c>
      <c r="P1468" s="77">
        <f t="shared" si="4591"/>
        <v>4.1762458919303302E-4</v>
      </c>
      <c r="R1468" t="s">
        <v>177</v>
      </c>
      <c r="S1468" t="s">
        <v>180</v>
      </c>
      <c r="T1468" s="197" t="str">
        <f t="shared" si="4622"/>
        <v>Autopilot_Opportunity_161</v>
      </c>
      <c r="U1468">
        <v>161</v>
      </c>
      <c r="V1468">
        <f>VLOOKUP($U1468,'[2]AP Opportunity'!$Q$1:$T$542,2,FALSE)</f>
        <v>0.99999997777777772</v>
      </c>
      <c r="W1468">
        <f>VLOOKUP($U1468,'[2]AP Opportunity'!$Q$1:$T$542,3,FALSE)</f>
        <v>2.2222222284540294E-8</v>
      </c>
      <c r="X1468">
        <f>VLOOKUP($U1468,'[2]AP Opportunity'!$Q$1:$T$542,4,FALSE)</f>
        <v>0</v>
      </c>
      <c r="Y1468" s="77">
        <f t="shared" si="4623"/>
        <v>1</v>
      </c>
      <c r="Z1468" s="77">
        <f t="shared" si="4627"/>
        <v>6.4624999704999977E-2</v>
      </c>
      <c r="AA1468" s="77">
        <f t="shared" si="4628"/>
        <v>5.2321923767311151E-3</v>
      </c>
      <c r="AB1468" s="79">
        <v>1</v>
      </c>
      <c r="AC1468" s="77">
        <f t="shared" si="4592"/>
        <v>8.499999955555556E-3</v>
      </c>
      <c r="AD1468" s="77">
        <f t="shared" ref="AD1468" si="4721">1-(1-AC1468)^(1/12)</f>
        <v>7.1110795759765644E-4</v>
      </c>
      <c r="AE1468" s="77">
        <f t="shared" si="4594"/>
        <v>2.5000000000000001E-3</v>
      </c>
      <c r="AF1468" s="77">
        <f t="shared" ref="AF1468" si="4722">1-(1-AE1468)^(1/12)</f>
        <v>2.0857243058891584E-4</v>
      </c>
      <c r="AH1468" t="s">
        <v>175</v>
      </c>
      <c r="AI1468" t="s">
        <v>180</v>
      </c>
      <c r="AJ1468" s="197" t="str">
        <f t="shared" si="4585"/>
        <v>Lifecycle_Opportunity_161</v>
      </c>
      <c r="AK1468">
        <v>161</v>
      </c>
      <c r="AL1468">
        <f>VLOOKUP($U1468,[2]Standard_Opportunity!$Q$1:$T$542,2,FALSE)</f>
        <v>0.99999997777777772</v>
      </c>
      <c r="AM1468">
        <f>VLOOKUP($U1468,[2]Standard_Opportunity!$Q$1:$T$542,3,FALSE)</f>
        <v>2.2222222284540294E-8</v>
      </c>
      <c r="AN1468">
        <f>VLOOKUP($U1468,[2]Standard_Opportunity!$Q$1:$T$542,4,FALSE)</f>
        <v>0</v>
      </c>
      <c r="AO1468" s="77">
        <f t="shared" si="4586"/>
        <v>1</v>
      </c>
      <c r="AP1468" s="77">
        <f t="shared" si="4596"/>
        <v>6.4624999704999977E-2</v>
      </c>
      <c r="AQ1468" s="77">
        <f t="shared" si="4587"/>
        <v>5.2321923767311151E-3</v>
      </c>
      <c r="AR1468" s="79">
        <v>0</v>
      </c>
      <c r="AS1468" s="77">
        <f t="shared" si="4597"/>
        <v>0</v>
      </c>
      <c r="AT1468" s="77">
        <f t="shared" si="4598"/>
        <v>0</v>
      </c>
      <c r="AU1468" s="77">
        <f t="shared" si="4599"/>
        <v>2.5000000000000001E-3</v>
      </c>
      <c r="AV1468" s="77">
        <f t="shared" si="4600"/>
        <v>2.0809499864316017E-4</v>
      </c>
    </row>
    <row r="1469" spans="1:48">
      <c r="A1469" t="s">
        <v>175</v>
      </c>
      <c r="B1469" t="s">
        <v>180</v>
      </c>
      <c r="C1469" s="197" t="str">
        <f t="shared" si="4621"/>
        <v>Lifecycle_Opportunity_160</v>
      </c>
      <c r="D1469">
        <v>160</v>
      </c>
      <c r="E1469">
        <f>VLOOKUP($D1469,'[2]LC Opportunity'!$Q$2:$U$542,2,FALSE)</f>
        <v>0</v>
      </c>
      <c r="F1469">
        <f>VLOOKUP($D1469,'[2]LC Opportunity'!$Q$2:$U$542,3,FALSE)</f>
        <v>0</v>
      </c>
      <c r="G1469">
        <f>VLOOKUP($D1469,'[2]LC Opportunity'!$Q$2:$U$542,4,FALSE)</f>
        <v>0</v>
      </c>
      <c r="H1469">
        <f>VLOOKUP($D1469,'[2]LC Opportunity'!$Q$2:$U$542,5,FALSE)</f>
        <v>0.99999999999999989</v>
      </c>
      <c r="I1469" s="77">
        <f t="shared" si="4581"/>
        <v>0.99999999999999989</v>
      </c>
      <c r="J1469" s="77">
        <f t="shared" si="4582"/>
        <v>7.1999999999999981E-2</v>
      </c>
      <c r="K1469" s="77">
        <f t="shared" si="4626"/>
        <v>5.8106552987937654E-3</v>
      </c>
      <c r="L1469" s="76">
        <v>0</v>
      </c>
      <c r="M1469" s="77">
        <f t="shared" si="4588"/>
        <v>0</v>
      </c>
      <c r="N1469" s="77">
        <f t="shared" si="4589"/>
        <v>0</v>
      </c>
      <c r="O1469" s="77">
        <f t="shared" si="4590"/>
        <v>4.9999999999999992E-3</v>
      </c>
      <c r="P1469" s="77">
        <f t="shared" si="4591"/>
        <v>4.1762458919303302E-4</v>
      </c>
      <c r="R1469" t="s">
        <v>177</v>
      </c>
      <c r="S1469" t="s">
        <v>180</v>
      </c>
      <c r="T1469" s="197" t="str">
        <f t="shared" si="4622"/>
        <v>Autopilot_Opportunity_160</v>
      </c>
      <c r="U1469">
        <v>160</v>
      </c>
      <c r="V1469">
        <f>VLOOKUP($U1469,'[2]AP Opportunity'!$Q$1:$T$542,2,FALSE)</f>
        <v>0.99999997777777772</v>
      </c>
      <c r="W1469">
        <f>VLOOKUP($U1469,'[2]AP Opportunity'!$Q$1:$T$542,3,FALSE)</f>
        <v>2.2222222284540294E-8</v>
      </c>
      <c r="X1469">
        <f>VLOOKUP($U1469,'[2]AP Opportunity'!$Q$1:$T$542,4,FALSE)</f>
        <v>0</v>
      </c>
      <c r="Y1469" s="77">
        <f t="shared" si="4623"/>
        <v>1</v>
      </c>
      <c r="Z1469" s="77">
        <f t="shared" si="4627"/>
        <v>6.4624999704999977E-2</v>
      </c>
      <c r="AA1469" s="77">
        <f t="shared" si="4628"/>
        <v>5.2321923767311151E-3</v>
      </c>
      <c r="AB1469" s="79">
        <v>1</v>
      </c>
      <c r="AC1469" s="77">
        <f t="shared" si="4592"/>
        <v>8.499999955555556E-3</v>
      </c>
      <c r="AD1469" s="77">
        <f t="shared" ref="AD1469" si="4723">1-(1-AC1469)^(1/12)</f>
        <v>7.1110795759765644E-4</v>
      </c>
      <c r="AE1469" s="77">
        <f t="shared" si="4594"/>
        <v>2.5000000000000001E-3</v>
      </c>
      <c r="AF1469" s="77">
        <f t="shared" ref="AF1469" si="4724">1-(1-AE1469)^(1/12)</f>
        <v>2.0857243058891584E-4</v>
      </c>
      <c r="AH1469" t="s">
        <v>175</v>
      </c>
      <c r="AI1469" t="s">
        <v>180</v>
      </c>
      <c r="AJ1469" s="197" t="str">
        <f t="shared" si="4585"/>
        <v>Lifecycle_Opportunity_160</v>
      </c>
      <c r="AK1469">
        <v>160</v>
      </c>
      <c r="AL1469">
        <f>VLOOKUP($U1469,[2]Standard_Opportunity!$Q$1:$T$542,2,FALSE)</f>
        <v>0.99999997777777772</v>
      </c>
      <c r="AM1469">
        <f>VLOOKUP($U1469,[2]Standard_Opportunity!$Q$1:$T$542,3,FALSE)</f>
        <v>2.2222222284540294E-8</v>
      </c>
      <c r="AN1469">
        <f>VLOOKUP($U1469,[2]Standard_Opportunity!$Q$1:$T$542,4,FALSE)</f>
        <v>0</v>
      </c>
      <c r="AO1469" s="77">
        <f t="shared" si="4586"/>
        <v>1</v>
      </c>
      <c r="AP1469" s="77">
        <f t="shared" si="4596"/>
        <v>6.4624999704999977E-2</v>
      </c>
      <c r="AQ1469" s="77">
        <f t="shared" si="4587"/>
        <v>5.2321923767311151E-3</v>
      </c>
      <c r="AR1469" s="79">
        <v>0</v>
      </c>
      <c r="AS1469" s="77">
        <f t="shared" si="4597"/>
        <v>0</v>
      </c>
      <c r="AT1469" s="77">
        <f t="shared" si="4598"/>
        <v>0</v>
      </c>
      <c r="AU1469" s="77">
        <f t="shared" si="4599"/>
        <v>2.5000000000000001E-3</v>
      </c>
      <c r="AV1469" s="77">
        <f t="shared" si="4600"/>
        <v>2.0809499864316017E-4</v>
      </c>
    </row>
    <row r="1470" spans="1:48">
      <c r="A1470" t="s">
        <v>175</v>
      </c>
      <c r="B1470" t="s">
        <v>180</v>
      </c>
      <c r="C1470" s="197" t="str">
        <f t="shared" si="4621"/>
        <v>Lifecycle_Opportunity_159</v>
      </c>
      <c r="D1470">
        <v>159</v>
      </c>
      <c r="E1470">
        <f>VLOOKUP($D1470,'[2]LC Opportunity'!$Q$2:$U$542,2,FALSE)</f>
        <v>0</v>
      </c>
      <c r="F1470">
        <f>VLOOKUP($D1470,'[2]LC Opportunity'!$Q$2:$U$542,3,FALSE)</f>
        <v>0</v>
      </c>
      <c r="G1470">
        <f>VLOOKUP($D1470,'[2]LC Opportunity'!$Q$2:$U$542,4,FALSE)</f>
        <v>0</v>
      </c>
      <c r="H1470">
        <f>VLOOKUP($D1470,'[2]LC Opportunity'!$Q$2:$U$542,5,FALSE)</f>
        <v>0.99999999999999989</v>
      </c>
      <c r="I1470" s="77">
        <f t="shared" si="4581"/>
        <v>0.99999999999999989</v>
      </c>
      <c r="J1470" s="77">
        <f t="shared" si="4582"/>
        <v>7.1999999999999981E-2</v>
      </c>
      <c r="K1470" s="77">
        <f t="shared" si="4626"/>
        <v>5.8106552987937654E-3</v>
      </c>
      <c r="L1470" s="76">
        <v>0</v>
      </c>
      <c r="M1470" s="77">
        <f t="shared" si="4588"/>
        <v>0</v>
      </c>
      <c r="N1470" s="77">
        <f t="shared" si="4589"/>
        <v>0</v>
      </c>
      <c r="O1470" s="77">
        <f t="shared" si="4590"/>
        <v>4.9999999999999992E-3</v>
      </c>
      <c r="P1470" s="77">
        <f t="shared" si="4591"/>
        <v>4.1762458919303302E-4</v>
      </c>
      <c r="R1470" t="s">
        <v>177</v>
      </c>
      <c r="S1470" t="s">
        <v>180</v>
      </c>
      <c r="T1470" s="197" t="str">
        <f t="shared" si="4622"/>
        <v>Autopilot_Opportunity_159</v>
      </c>
      <c r="U1470">
        <v>159</v>
      </c>
      <c r="V1470">
        <f>VLOOKUP($U1470,'[2]AP Opportunity'!$Q$1:$T$542,2,FALSE)</f>
        <v>0.99999997777777772</v>
      </c>
      <c r="W1470">
        <f>VLOOKUP($U1470,'[2]AP Opportunity'!$Q$1:$T$542,3,FALSE)</f>
        <v>2.2222222284540294E-8</v>
      </c>
      <c r="X1470">
        <f>VLOOKUP($U1470,'[2]AP Opportunity'!$Q$1:$T$542,4,FALSE)</f>
        <v>0</v>
      </c>
      <c r="Y1470" s="77">
        <f t="shared" si="4623"/>
        <v>1</v>
      </c>
      <c r="Z1470" s="77">
        <f t="shared" si="4627"/>
        <v>6.4624999704999977E-2</v>
      </c>
      <c r="AA1470" s="77">
        <f t="shared" si="4628"/>
        <v>5.2321923767311151E-3</v>
      </c>
      <c r="AB1470" s="79">
        <v>1</v>
      </c>
      <c r="AC1470" s="77">
        <f t="shared" si="4592"/>
        <v>8.499999955555556E-3</v>
      </c>
      <c r="AD1470" s="77">
        <f t="shared" ref="AD1470" si="4725">1-(1-AC1470)^(1/12)</f>
        <v>7.1110795759765644E-4</v>
      </c>
      <c r="AE1470" s="77">
        <f t="shared" si="4594"/>
        <v>2.5000000000000001E-3</v>
      </c>
      <c r="AF1470" s="77">
        <f t="shared" ref="AF1470" si="4726">1-(1-AE1470)^(1/12)</f>
        <v>2.0857243058891584E-4</v>
      </c>
      <c r="AH1470" t="s">
        <v>175</v>
      </c>
      <c r="AI1470" t="s">
        <v>180</v>
      </c>
      <c r="AJ1470" s="197" t="str">
        <f t="shared" si="4585"/>
        <v>Lifecycle_Opportunity_159</v>
      </c>
      <c r="AK1470">
        <v>159</v>
      </c>
      <c r="AL1470">
        <f>VLOOKUP($U1470,[2]Standard_Opportunity!$Q$1:$T$542,2,FALSE)</f>
        <v>0.99999997777777772</v>
      </c>
      <c r="AM1470">
        <f>VLOOKUP($U1470,[2]Standard_Opportunity!$Q$1:$T$542,3,FALSE)</f>
        <v>2.2222222284540294E-8</v>
      </c>
      <c r="AN1470">
        <f>VLOOKUP($U1470,[2]Standard_Opportunity!$Q$1:$T$542,4,FALSE)</f>
        <v>0</v>
      </c>
      <c r="AO1470" s="77">
        <f t="shared" si="4586"/>
        <v>1</v>
      </c>
      <c r="AP1470" s="77">
        <f t="shared" si="4596"/>
        <v>6.4624999704999977E-2</v>
      </c>
      <c r="AQ1470" s="77">
        <f t="shared" si="4587"/>
        <v>5.2321923767311151E-3</v>
      </c>
      <c r="AR1470" s="79">
        <v>0</v>
      </c>
      <c r="AS1470" s="77">
        <f t="shared" si="4597"/>
        <v>0</v>
      </c>
      <c r="AT1470" s="77">
        <f t="shared" si="4598"/>
        <v>0</v>
      </c>
      <c r="AU1470" s="77">
        <f t="shared" si="4599"/>
        <v>2.5000000000000001E-3</v>
      </c>
      <c r="AV1470" s="77">
        <f t="shared" si="4600"/>
        <v>2.0809499864316017E-4</v>
      </c>
    </row>
    <row r="1471" spans="1:48">
      <c r="A1471" t="s">
        <v>175</v>
      </c>
      <c r="B1471" t="s">
        <v>180</v>
      </c>
      <c r="C1471" s="197" t="str">
        <f t="shared" si="4621"/>
        <v>Lifecycle_Opportunity_158</v>
      </c>
      <c r="D1471">
        <v>158</v>
      </c>
      <c r="E1471">
        <f>VLOOKUP($D1471,'[2]LC Opportunity'!$Q$2:$U$542,2,FALSE)</f>
        <v>0</v>
      </c>
      <c r="F1471">
        <f>VLOOKUP($D1471,'[2]LC Opportunity'!$Q$2:$U$542,3,FALSE)</f>
        <v>0</v>
      </c>
      <c r="G1471">
        <f>VLOOKUP($D1471,'[2]LC Opportunity'!$Q$2:$U$542,4,FALSE)</f>
        <v>0</v>
      </c>
      <c r="H1471">
        <f>VLOOKUP($D1471,'[2]LC Opportunity'!$Q$2:$U$542,5,FALSE)</f>
        <v>0.99999999999999989</v>
      </c>
      <c r="I1471" s="77">
        <f t="shared" si="4581"/>
        <v>0.99999999999999989</v>
      </c>
      <c r="J1471" s="77">
        <f t="shared" si="4582"/>
        <v>7.1999999999999981E-2</v>
      </c>
      <c r="K1471" s="77">
        <f t="shared" si="4626"/>
        <v>5.8106552987937654E-3</v>
      </c>
      <c r="L1471" s="76">
        <v>0</v>
      </c>
      <c r="M1471" s="77">
        <f t="shared" si="4588"/>
        <v>0</v>
      </c>
      <c r="N1471" s="77">
        <f t="shared" si="4589"/>
        <v>0</v>
      </c>
      <c r="O1471" s="77">
        <f t="shared" si="4590"/>
        <v>4.9999999999999992E-3</v>
      </c>
      <c r="P1471" s="77">
        <f t="shared" si="4591"/>
        <v>4.1762458919303302E-4</v>
      </c>
      <c r="R1471" t="s">
        <v>177</v>
      </c>
      <c r="S1471" t="s">
        <v>180</v>
      </c>
      <c r="T1471" s="197" t="str">
        <f t="shared" si="4622"/>
        <v>Autopilot_Opportunity_158</v>
      </c>
      <c r="U1471">
        <v>158</v>
      </c>
      <c r="V1471">
        <f>VLOOKUP($U1471,'[2]AP Opportunity'!$Q$1:$T$542,2,FALSE)</f>
        <v>0.99999997777777772</v>
      </c>
      <c r="W1471">
        <f>VLOOKUP($U1471,'[2]AP Opportunity'!$Q$1:$T$542,3,FALSE)</f>
        <v>2.2222222284540294E-8</v>
      </c>
      <c r="X1471">
        <f>VLOOKUP($U1471,'[2]AP Opportunity'!$Q$1:$T$542,4,FALSE)</f>
        <v>0</v>
      </c>
      <c r="Y1471" s="77">
        <f t="shared" si="4623"/>
        <v>1</v>
      </c>
      <c r="Z1471" s="77">
        <f t="shared" si="4627"/>
        <v>6.4624999704999977E-2</v>
      </c>
      <c r="AA1471" s="77">
        <f t="shared" si="4628"/>
        <v>5.2321923767311151E-3</v>
      </c>
      <c r="AB1471" s="79">
        <v>1</v>
      </c>
      <c r="AC1471" s="77">
        <f t="shared" si="4592"/>
        <v>8.499999955555556E-3</v>
      </c>
      <c r="AD1471" s="77">
        <f t="shared" ref="AD1471" si="4727">1-(1-AC1471)^(1/12)</f>
        <v>7.1110795759765644E-4</v>
      </c>
      <c r="AE1471" s="77">
        <f t="shared" si="4594"/>
        <v>2.5000000000000001E-3</v>
      </c>
      <c r="AF1471" s="77">
        <f t="shared" ref="AF1471" si="4728">1-(1-AE1471)^(1/12)</f>
        <v>2.0857243058891584E-4</v>
      </c>
      <c r="AH1471" t="s">
        <v>175</v>
      </c>
      <c r="AI1471" t="s">
        <v>180</v>
      </c>
      <c r="AJ1471" s="197" t="str">
        <f t="shared" si="4585"/>
        <v>Lifecycle_Opportunity_158</v>
      </c>
      <c r="AK1471">
        <v>158</v>
      </c>
      <c r="AL1471">
        <f>VLOOKUP($U1471,[2]Standard_Opportunity!$Q$1:$T$542,2,FALSE)</f>
        <v>0.99999997777777772</v>
      </c>
      <c r="AM1471">
        <f>VLOOKUP($U1471,[2]Standard_Opportunity!$Q$1:$T$542,3,FALSE)</f>
        <v>2.2222222284540294E-8</v>
      </c>
      <c r="AN1471">
        <f>VLOOKUP($U1471,[2]Standard_Opportunity!$Q$1:$T$542,4,FALSE)</f>
        <v>0</v>
      </c>
      <c r="AO1471" s="77">
        <f t="shared" si="4586"/>
        <v>1</v>
      </c>
      <c r="AP1471" s="77">
        <f t="shared" si="4596"/>
        <v>6.4624999704999977E-2</v>
      </c>
      <c r="AQ1471" s="77">
        <f t="shared" si="4587"/>
        <v>5.2321923767311151E-3</v>
      </c>
      <c r="AR1471" s="79">
        <v>0</v>
      </c>
      <c r="AS1471" s="77">
        <f t="shared" si="4597"/>
        <v>0</v>
      </c>
      <c r="AT1471" s="77">
        <f t="shared" si="4598"/>
        <v>0</v>
      </c>
      <c r="AU1471" s="77">
        <f t="shared" si="4599"/>
        <v>2.5000000000000001E-3</v>
      </c>
      <c r="AV1471" s="77">
        <f t="shared" si="4600"/>
        <v>2.0809499864316017E-4</v>
      </c>
    </row>
    <row r="1472" spans="1:48">
      <c r="A1472" t="s">
        <v>175</v>
      </c>
      <c r="B1472" t="s">
        <v>180</v>
      </c>
      <c r="C1472" s="197" t="str">
        <f t="shared" si="4621"/>
        <v>Lifecycle_Opportunity_157</v>
      </c>
      <c r="D1472">
        <v>157</v>
      </c>
      <c r="E1472">
        <f>VLOOKUP($D1472,'[2]LC Opportunity'!$Q$2:$U$542,2,FALSE)</f>
        <v>0</v>
      </c>
      <c r="F1472">
        <f>VLOOKUP($D1472,'[2]LC Opportunity'!$Q$2:$U$542,3,FALSE)</f>
        <v>0</v>
      </c>
      <c r="G1472">
        <f>VLOOKUP($D1472,'[2]LC Opportunity'!$Q$2:$U$542,4,FALSE)</f>
        <v>0</v>
      </c>
      <c r="H1472">
        <f>VLOOKUP($D1472,'[2]LC Opportunity'!$Q$2:$U$542,5,FALSE)</f>
        <v>0.99999999999999989</v>
      </c>
      <c r="I1472" s="77">
        <f t="shared" si="4581"/>
        <v>0.99999999999999989</v>
      </c>
      <c r="J1472" s="77">
        <f t="shared" si="4582"/>
        <v>7.1999999999999981E-2</v>
      </c>
      <c r="K1472" s="77">
        <f t="shared" si="4626"/>
        <v>5.8106552987937654E-3</v>
      </c>
      <c r="L1472" s="76">
        <v>0</v>
      </c>
      <c r="M1472" s="77">
        <f t="shared" si="4588"/>
        <v>0</v>
      </c>
      <c r="N1472" s="77">
        <f t="shared" si="4589"/>
        <v>0</v>
      </c>
      <c r="O1472" s="77">
        <f t="shared" si="4590"/>
        <v>4.9999999999999992E-3</v>
      </c>
      <c r="P1472" s="77">
        <f t="shared" si="4591"/>
        <v>4.1762458919303302E-4</v>
      </c>
      <c r="R1472" t="s">
        <v>177</v>
      </c>
      <c r="S1472" t="s">
        <v>180</v>
      </c>
      <c r="T1472" s="197" t="str">
        <f t="shared" si="4622"/>
        <v>Autopilot_Opportunity_157</v>
      </c>
      <c r="U1472">
        <v>157</v>
      </c>
      <c r="V1472">
        <f>VLOOKUP($U1472,'[2]AP Opportunity'!$Q$1:$T$542,2,FALSE)</f>
        <v>0.99999997777777772</v>
      </c>
      <c r="W1472">
        <f>VLOOKUP($U1472,'[2]AP Opportunity'!$Q$1:$T$542,3,FALSE)</f>
        <v>2.2222222284540294E-8</v>
      </c>
      <c r="X1472">
        <f>VLOOKUP($U1472,'[2]AP Opportunity'!$Q$1:$T$542,4,FALSE)</f>
        <v>0</v>
      </c>
      <c r="Y1472" s="77">
        <f t="shared" si="4623"/>
        <v>1</v>
      </c>
      <c r="Z1472" s="77">
        <f t="shared" si="4627"/>
        <v>6.4624999704999977E-2</v>
      </c>
      <c r="AA1472" s="77">
        <f t="shared" si="4628"/>
        <v>5.2321923767311151E-3</v>
      </c>
      <c r="AB1472" s="79">
        <v>1</v>
      </c>
      <c r="AC1472" s="77">
        <f t="shared" si="4592"/>
        <v>8.499999955555556E-3</v>
      </c>
      <c r="AD1472" s="77">
        <f t="shared" ref="AD1472" si="4729">1-(1-AC1472)^(1/12)</f>
        <v>7.1110795759765644E-4</v>
      </c>
      <c r="AE1472" s="77">
        <f t="shared" si="4594"/>
        <v>2.5000000000000001E-3</v>
      </c>
      <c r="AF1472" s="77">
        <f t="shared" ref="AF1472" si="4730">1-(1-AE1472)^(1/12)</f>
        <v>2.0857243058891584E-4</v>
      </c>
      <c r="AH1472" t="s">
        <v>175</v>
      </c>
      <c r="AI1472" t="s">
        <v>180</v>
      </c>
      <c r="AJ1472" s="197" t="str">
        <f t="shared" si="4585"/>
        <v>Lifecycle_Opportunity_157</v>
      </c>
      <c r="AK1472">
        <v>157</v>
      </c>
      <c r="AL1472">
        <f>VLOOKUP($U1472,[2]Standard_Opportunity!$Q$1:$T$542,2,FALSE)</f>
        <v>0.99999997777777772</v>
      </c>
      <c r="AM1472">
        <f>VLOOKUP($U1472,[2]Standard_Opportunity!$Q$1:$T$542,3,FALSE)</f>
        <v>2.2222222284540294E-8</v>
      </c>
      <c r="AN1472">
        <f>VLOOKUP($U1472,[2]Standard_Opportunity!$Q$1:$T$542,4,FALSE)</f>
        <v>0</v>
      </c>
      <c r="AO1472" s="77">
        <f t="shared" si="4586"/>
        <v>1</v>
      </c>
      <c r="AP1472" s="77">
        <f t="shared" si="4596"/>
        <v>6.4624999704999977E-2</v>
      </c>
      <c r="AQ1472" s="77">
        <f t="shared" si="4587"/>
        <v>5.2321923767311151E-3</v>
      </c>
      <c r="AR1472" s="79">
        <v>0</v>
      </c>
      <c r="AS1472" s="77">
        <f t="shared" si="4597"/>
        <v>0</v>
      </c>
      <c r="AT1472" s="77">
        <f t="shared" si="4598"/>
        <v>0</v>
      </c>
      <c r="AU1472" s="77">
        <f t="shared" si="4599"/>
        <v>2.5000000000000001E-3</v>
      </c>
      <c r="AV1472" s="77">
        <f t="shared" si="4600"/>
        <v>2.0809499864316017E-4</v>
      </c>
    </row>
    <row r="1473" spans="1:48">
      <c r="A1473" t="s">
        <v>175</v>
      </c>
      <c r="B1473" t="s">
        <v>180</v>
      </c>
      <c r="C1473" s="197" t="str">
        <f t="shared" si="4621"/>
        <v>Lifecycle_Opportunity_156</v>
      </c>
      <c r="D1473">
        <v>156</v>
      </c>
      <c r="E1473">
        <f>VLOOKUP($D1473,'[2]LC Opportunity'!$Q$2:$U$542,2,FALSE)</f>
        <v>0</v>
      </c>
      <c r="F1473">
        <f>VLOOKUP($D1473,'[2]LC Opportunity'!$Q$2:$U$542,3,FALSE)</f>
        <v>0</v>
      </c>
      <c r="G1473">
        <f>VLOOKUP($D1473,'[2]LC Opportunity'!$Q$2:$U$542,4,FALSE)</f>
        <v>0</v>
      </c>
      <c r="H1473">
        <f>VLOOKUP($D1473,'[2]LC Opportunity'!$Q$2:$U$542,5,FALSE)</f>
        <v>0.99999999999999989</v>
      </c>
      <c r="I1473" s="77">
        <f t="shared" ref="I1473:I1536" si="4731">SUM(E1473:H1473)</f>
        <v>0.99999999999999989</v>
      </c>
      <c r="J1473" s="77">
        <f t="shared" ref="J1473:J1536" si="4732">SUMPRODUCT($E$1:$H$1,E1473:H1473)</f>
        <v>7.1999999999999981E-2</v>
      </c>
      <c r="K1473" s="77">
        <f t="shared" si="4626"/>
        <v>5.8106552987937654E-3</v>
      </c>
      <c r="L1473" s="76">
        <v>0</v>
      </c>
      <c r="M1473" s="77">
        <f t="shared" si="4588"/>
        <v>0</v>
      </c>
      <c r="N1473" s="77">
        <f t="shared" si="4589"/>
        <v>0</v>
      </c>
      <c r="O1473" s="77">
        <f t="shared" si="4590"/>
        <v>4.9999999999999992E-3</v>
      </c>
      <c r="P1473" s="77">
        <f t="shared" si="4591"/>
        <v>4.1762458919303302E-4</v>
      </c>
      <c r="R1473" t="s">
        <v>177</v>
      </c>
      <c r="S1473" t="s">
        <v>180</v>
      </c>
      <c r="T1473" s="197" t="str">
        <f t="shared" si="4622"/>
        <v>Autopilot_Opportunity_156</v>
      </c>
      <c r="U1473">
        <v>156</v>
      </c>
      <c r="V1473">
        <f>VLOOKUP($U1473,'[2]AP Opportunity'!$Q$1:$T$542,2,FALSE)</f>
        <v>0.99999997777777772</v>
      </c>
      <c r="W1473">
        <f>VLOOKUP($U1473,'[2]AP Opportunity'!$Q$1:$T$542,3,FALSE)</f>
        <v>2.2222222284540294E-8</v>
      </c>
      <c r="X1473">
        <f>VLOOKUP($U1473,'[2]AP Opportunity'!$Q$1:$T$542,4,FALSE)</f>
        <v>0</v>
      </c>
      <c r="Y1473" s="77">
        <f t="shared" si="4623"/>
        <v>1</v>
      </c>
      <c r="Z1473" s="77">
        <f t="shared" si="4627"/>
        <v>6.4624999704999977E-2</v>
      </c>
      <c r="AA1473" s="77">
        <f t="shared" si="4628"/>
        <v>5.2321923767311151E-3</v>
      </c>
      <c r="AB1473" s="79">
        <v>1</v>
      </c>
      <c r="AC1473" s="77">
        <f t="shared" si="4592"/>
        <v>8.499999955555556E-3</v>
      </c>
      <c r="AD1473" s="77">
        <f t="shared" ref="AD1473" si="4733">1-(1-AC1473)^(1/12)</f>
        <v>7.1110795759765644E-4</v>
      </c>
      <c r="AE1473" s="77">
        <f t="shared" si="4594"/>
        <v>2.5000000000000001E-3</v>
      </c>
      <c r="AF1473" s="77">
        <f t="shared" ref="AF1473" si="4734">1-(1-AE1473)^(1/12)</f>
        <v>2.0857243058891584E-4</v>
      </c>
      <c r="AH1473" t="s">
        <v>175</v>
      </c>
      <c r="AI1473" t="s">
        <v>180</v>
      </c>
      <c r="AJ1473" s="197" t="str">
        <f t="shared" ref="AJ1473:AJ1536" si="4735">AH1473&amp;"_"&amp;AI1473&amp;"_"&amp;AK1473</f>
        <v>Lifecycle_Opportunity_156</v>
      </c>
      <c r="AK1473">
        <v>156</v>
      </c>
      <c r="AL1473">
        <f>VLOOKUP($U1473,[2]Standard_Opportunity!$Q$1:$T$542,2,FALSE)</f>
        <v>0.99999997777777772</v>
      </c>
      <c r="AM1473">
        <f>VLOOKUP($U1473,[2]Standard_Opportunity!$Q$1:$T$542,3,FALSE)</f>
        <v>2.2222222284540294E-8</v>
      </c>
      <c r="AN1473">
        <f>VLOOKUP($U1473,[2]Standard_Opportunity!$Q$1:$T$542,4,FALSE)</f>
        <v>0</v>
      </c>
      <c r="AO1473" s="77">
        <f t="shared" ref="AO1473:AO1536" si="4736">SUM(AL1473:AN1473)</f>
        <v>1</v>
      </c>
      <c r="AP1473" s="77">
        <f t="shared" si="4596"/>
        <v>6.4624999704999977E-2</v>
      </c>
      <c r="AQ1473" s="77">
        <f t="shared" ref="AQ1473:AQ1536" si="4737">(1+AP1473)^(1/12)-1</f>
        <v>5.2321923767311151E-3</v>
      </c>
      <c r="AR1473" s="79">
        <v>0</v>
      </c>
      <c r="AS1473" s="77">
        <f t="shared" si="4597"/>
        <v>0</v>
      </c>
      <c r="AT1473" s="77">
        <f t="shared" si="4598"/>
        <v>0</v>
      </c>
      <c r="AU1473" s="77">
        <f t="shared" si="4599"/>
        <v>2.5000000000000001E-3</v>
      </c>
      <c r="AV1473" s="77">
        <f t="shared" si="4600"/>
        <v>2.0809499864316017E-4</v>
      </c>
    </row>
    <row r="1474" spans="1:48">
      <c r="A1474" t="s">
        <v>175</v>
      </c>
      <c r="B1474" t="s">
        <v>180</v>
      </c>
      <c r="C1474" s="197" t="str">
        <f t="shared" si="4621"/>
        <v>Lifecycle_Opportunity_155</v>
      </c>
      <c r="D1474">
        <v>155</v>
      </c>
      <c r="E1474">
        <f>VLOOKUP($D1474,'[2]LC Opportunity'!$Q$2:$U$542,2,FALSE)</f>
        <v>0</v>
      </c>
      <c r="F1474">
        <f>VLOOKUP($D1474,'[2]LC Opportunity'!$Q$2:$U$542,3,FALSE)</f>
        <v>0</v>
      </c>
      <c r="G1474">
        <f>VLOOKUP($D1474,'[2]LC Opportunity'!$Q$2:$U$542,4,FALSE)</f>
        <v>0</v>
      </c>
      <c r="H1474">
        <f>VLOOKUP($D1474,'[2]LC Opportunity'!$Q$2:$U$542,5,FALSE)</f>
        <v>0.99999999999999989</v>
      </c>
      <c r="I1474" s="77">
        <f t="shared" si="4731"/>
        <v>0.99999999999999989</v>
      </c>
      <c r="J1474" s="77">
        <f t="shared" si="4732"/>
        <v>7.1999999999999981E-2</v>
      </c>
      <c r="K1474" s="77">
        <f t="shared" si="4626"/>
        <v>5.8106552987937654E-3</v>
      </c>
      <c r="L1474" s="76">
        <v>0</v>
      </c>
      <c r="M1474" s="77">
        <f t="shared" ref="M1474:M1537" si="4738">IF($L1474=0,0,SUMPRODUCT($E$3:$H$3,E1474:H1474))</f>
        <v>0</v>
      </c>
      <c r="N1474" s="77">
        <f t="shared" ref="N1474:N1537" si="4739">1-(1-M1474)^(1/12)</f>
        <v>0</v>
      </c>
      <c r="O1474" s="77">
        <f t="shared" ref="O1474:O1537" si="4740">SUMPRODUCT($E$2:$H$2,E1474:H1474)</f>
        <v>4.9999999999999992E-3</v>
      </c>
      <c r="P1474" s="77">
        <f t="shared" ref="P1474:P1537" si="4741">1-(1-O1474)^(1/12)</f>
        <v>4.1762458919303302E-4</v>
      </c>
      <c r="R1474" t="s">
        <v>177</v>
      </c>
      <c r="S1474" t="s">
        <v>180</v>
      </c>
      <c r="T1474" s="197" t="str">
        <f t="shared" si="4622"/>
        <v>Autopilot_Opportunity_155</v>
      </c>
      <c r="U1474">
        <v>155</v>
      </c>
      <c r="V1474">
        <f>VLOOKUP($U1474,'[2]AP Opportunity'!$Q$1:$T$542,2,FALSE)</f>
        <v>0.99999997777777772</v>
      </c>
      <c r="W1474">
        <f>VLOOKUP($U1474,'[2]AP Opportunity'!$Q$1:$T$542,3,FALSE)</f>
        <v>2.2222222284540294E-8</v>
      </c>
      <c r="X1474">
        <f>VLOOKUP($U1474,'[2]AP Opportunity'!$Q$1:$T$542,4,FALSE)</f>
        <v>0</v>
      </c>
      <c r="Y1474" s="77">
        <f t="shared" si="4623"/>
        <v>1</v>
      </c>
      <c r="Z1474" s="77">
        <f t="shared" si="4627"/>
        <v>6.4624999704999977E-2</v>
      </c>
      <c r="AA1474" s="77">
        <f t="shared" si="4628"/>
        <v>5.2321923767311151E-3</v>
      </c>
      <c r="AB1474" s="79">
        <v>1</v>
      </c>
      <c r="AC1474" s="77">
        <f t="shared" ref="AC1474:AC1537" si="4742">IF($AB1474=0,0,SUMPRODUCT($V$3:$X$3,V1474:X1474))</f>
        <v>8.499999955555556E-3</v>
      </c>
      <c r="AD1474" s="77">
        <f t="shared" ref="AD1474" si="4743">1-(1-AC1474)^(1/12)</f>
        <v>7.1110795759765644E-4</v>
      </c>
      <c r="AE1474" s="77">
        <f t="shared" ref="AE1474:AE1537" si="4744">SUMPRODUCT($V$2:$X$2,V1474:X1474)</f>
        <v>2.5000000000000001E-3</v>
      </c>
      <c r="AF1474" s="77">
        <f t="shared" ref="AF1474" si="4745">1-(1-AE1474)^(1/12)</f>
        <v>2.0857243058891584E-4</v>
      </c>
      <c r="AH1474" t="s">
        <v>175</v>
      </c>
      <c r="AI1474" t="s">
        <v>180</v>
      </c>
      <c r="AJ1474" s="197" t="str">
        <f t="shared" si="4735"/>
        <v>Lifecycle_Opportunity_155</v>
      </c>
      <c r="AK1474">
        <v>155</v>
      </c>
      <c r="AL1474">
        <f>VLOOKUP($U1474,[2]Standard_Opportunity!$Q$1:$T$542,2,FALSE)</f>
        <v>0.99999997777777772</v>
      </c>
      <c r="AM1474">
        <f>VLOOKUP($U1474,[2]Standard_Opportunity!$Q$1:$T$542,3,FALSE)</f>
        <v>2.2222222284540294E-8</v>
      </c>
      <c r="AN1474">
        <f>VLOOKUP($U1474,[2]Standard_Opportunity!$Q$1:$T$542,4,FALSE)</f>
        <v>0</v>
      </c>
      <c r="AO1474" s="77">
        <f t="shared" si="4736"/>
        <v>1</v>
      </c>
      <c r="AP1474" s="77">
        <f t="shared" ref="AP1474:AP1537" si="4746">SUMPRODUCT($AL$1:$AN$1,AL1474:AN1474)</f>
        <v>6.4624999704999977E-2</v>
      </c>
      <c r="AQ1474" s="77">
        <f t="shared" si="4737"/>
        <v>5.2321923767311151E-3</v>
      </c>
      <c r="AR1474" s="79">
        <v>0</v>
      </c>
      <c r="AS1474" s="77">
        <f t="shared" ref="AS1474:AS1537" si="4747">IF(AR1474=0,0,SUMPRODUCT($AL$3:$AN$3,AL1474:AN1474))</f>
        <v>0</v>
      </c>
      <c r="AT1474" s="77">
        <f t="shared" ref="AT1474:AT1537" si="4748">(1+AS1474)^(1/12)-1</f>
        <v>0</v>
      </c>
      <c r="AU1474" s="77">
        <f t="shared" ref="AU1474:AU1537" si="4749">SUMPRODUCT($AL$2:$AN$2,AL1474:AN1474)</f>
        <v>2.5000000000000001E-3</v>
      </c>
      <c r="AV1474" s="77">
        <f t="shared" ref="AV1474:AV1537" si="4750">(1+AU1474)^(1/12)-1</f>
        <v>2.0809499864316017E-4</v>
      </c>
    </row>
    <row r="1475" spans="1:48">
      <c r="A1475" t="s">
        <v>175</v>
      </c>
      <c r="B1475" t="s">
        <v>180</v>
      </c>
      <c r="C1475" s="197" t="str">
        <f t="shared" si="4621"/>
        <v>Lifecycle_Opportunity_154</v>
      </c>
      <c r="D1475">
        <v>154</v>
      </c>
      <c r="E1475">
        <f>VLOOKUP($D1475,'[2]LC Opportunity'!$Q$2:$U$542,2,FALSE)</f>
        <v>0</v>
      </c>
      <c r="F1475">
        <f>VLOOKUP($D1475,'[2]LC Opportunity'!$Q$2:$U$542,3,FALSE)</f>
        <v>0</v>
      </c>
      <c r="G1475">
        <f>VLOOKUP($D1475,'[2]LC Opportunity'!$Q$2:$U$542,4,FALSE)</f>
        <v>0</v>
      </c>
      <c r="H1475">
        <f>VLOOKUP($D1475,'[2]LC Opportunity'!$Q$2:$U$542,5,FALSE)</f>
        <v>0.99999999999999989</v>
      </c>
      <c r="I1475" s="77">
        <f t="shared" si="4731"/>
        <v>0.99999999999999989</v>
      </c>
      <c r="J1475" s="77">
        <f t="shared" si="4732"/>
        <v>7.1999999999999981E-2</v>
      </c>
      <c r="K1475" s="77">
        <f t="shared" si="4626"/>
        <v>5.8106552987937654E-3</v>
      </c>
      <c r="L1475" s="76">
        <v>0</v>
      </c>
      <c r="M1475" s="77">
        <f t="shared" si="4738"/>
        <v>0</v>
      </c>
      <c r="N1475" s="77">
        <f t="shared" si="4739"/>
        <v>0</v>
      </c>
      <c r="O1475" s="77">
        <f t="shared" si="4740"/>
        <v>4.9999999999999992E-3</v>
      </c>
      <c r="P1475" s="77">
        <f t="shared" si="4741"/>
        <v>4.1762458919303302E-4</v>
      </c>
      <c r="R1475" t="s">
        <v>177</v>
      </c>
      <c r="S1475" t="s">
        <v>180</v>
      </c>
      <c r="T1475" s="197" t="str">
        <f t="shared" si="4622"/>
        <v>Autopilot_Opportunity_154</v>
      </c>
      <c r="U1475">
        <v>154</v>
      </c>
      <c r="V1475">
        <f>VLOOKUP($U1475,'[2]AP Opportunity'!$Q$1:$T$542,2,FALSE)</f>
        <v>0.99999997777777772</v>
      </c>
      <c r="W1475">
        <f>VLOOKUP($U1475,'[2]AP Opportunity'!$Q$1:$T$542,3,FALSE)</f>
        <v>2.2222222284540294E-8</v>
      </c>
      <c r="X1475">
        <f>VLOOKUP($U1475,'[2]AP Opportunity'!$Q$1:$T$542,4,FALSE)</f>
        <v>0</v>
      </c>
      <c r="Y1475" s="77">
        <f t="shared" si="4623"/>
        <v>1</v>
      </c>
      <c r="Z1475" s="77">
        <f t="shared" si="4627"/>
        <v>6.4624999704999977E-2</v>
      </c>
      <c r="AA1475" s="77">
        <f t="shared" si="4628"/>
        <v>5.2321923767311151E-3</v>
      </c>
      <c r="AB1475" s="79">
        <v>1</v>
      </c>
      <c r="AC1475" s="77">
        <f t="shared" si="4742"/>
        <v>8.499999955555556E-3</v>
      </c>
      <c r="AD1475" s="77">
        <f t="shared" ref="AD1475" si="4751">1-(1-AC1475)^(1/12)</f>
        <v>7.1110795759765644E-4</v>
      </c>
      <c r="AE1475" s="77">
        <f t="shared" si="4744"/>
        <v>2.5000000000000001E-3</v>
      </c>
      <c r="AF1475" s="77">
        <f t="shared" ref="AF1475" si="4752">1-(1-AE1475)^(1/12)</f>
        <v>2.0857243058891584E-4</v>
      </c>
      <c r="AH1475" t="s">
        <v>175</v>
      </c>
      <c r="AI1475" t="s">
        <v>180</v>
      </c>
      <c r="AJ1475" s="197" t="str">
        <f t="shared" si="4735"/>
        <v>Lifecycle_Opportunity_154</v>
      </c>
      <c r="AK1475">
        <v>154</v>
      </c>
      <c r="AL1475">
        <f>VLOOKUP($U1475,[2]Standard_Opportunity!$Q$1:$T$542,2,FALSE)</f>
        <v>0.99999997777777772</v>
      </c>
      <c r="AM1475">
        <f>VLOOKUP($U1475,[2]Standard_Opportunity!$Q$1:$T$542,3,FALSE)</f>
        <v>2.2222222284540294E-8</v>
      </c>
      <c r="AN1475">
        <f>VLOOKUP($U1475,[2]Standard_Opportunity!$Q$1:$T$542,4,FALSE)</f>
        <v>0</v>
      </c>
      <c r="AO1475" s="77">
        <f t="shared" si="4736"/>
        <v>1</v>
      </c>
      <c r="AP1475" s="77">
        <f t="shared" si="4746"/>
        <v>6.4624999704999977E-2</v>
      </c>
      <c r="AQ1475" s="77">
        <f t="shared" si="4737"/>
        <v>5.2321923767311151E-3</v>
      </c>
      <c r="AR1475" s="79">
        <v>0</v>
      </c>
      <c r="AS1475" s="77">
        <f t="shared" si="4747"/>
        <v>0</v>
      </c>
      <c r="AT1475" s="77">
        <f t="shared" si="4748"/>
        <v>0</v>
      </c>
      <c r="AU1475" s="77">
        <f t="shared" si="4749"/>
        <v>2.5000000000000001E-3</v>
      </c>
      <c r="AV1475" s="77">
        <f t="shared" si="4750"/>
        <v>2.0809499864316017E-4</v>
      </c>
    </row>
    <row r="1476" spans="1:48">
      <c r="A1476" t="s">
        <v>175</v>
      </c>
      <c r="B1476" t="s">
        <v>180</v>
      </c>
      <c r="C1476" s="197" t="str">
        <f t="shared" si="4621"/>
        <v>Lifecycle_Opportunity_153</v>
      </c>
      <c r="D1476">
        <v>153</v>
      </c>
      <c r="E1476">
        <f>VLOOKUP($D1476,'[2]LC Opportunity'!$Q$2:$U$542,2,FALSE)</f>
        <v>0</v>
      </c>
      <c r="F1476">
        <f>VLOOKUP($D1476,'[2]LC Opportunity'!$Q$2:$U$542,3,FALSE)</f>
        <v>0</v>
      </c>
      <c r="G1476">
        <f>VLOOKUP($D1476,'[2]LC Opportunity'!$Q$2:$U$542,4,FALSE)</f>
        <v>0</v>
      </c>
      <c r="H1476">
        <f>VLOOKUP($D1476,'[2]LC Opportunity'!$Q$2:$U$542,5,FALSE)</f>
        <v>0.99999999999999989</v>
      </c>
      <c r="I1476" s="77">
        <f t="shared" si="4731"/>
        <v>0.99999999999999989</v>
      </c>
      <c r="J1476" s="77">
        <f t="shared" si="4732"/>
        <v>7.1999999999999981E-2</v>
      </c>
      <c r="K1476" s="77">
        <f t="shared" si="4626"/>
        <v>5.8106552987937654E-3</v>
      </c>
      <c r="L1476" s="76">
        <v>0</v>
      </c>
      <c r="M1476" s="77">
        <f t="shared" si="4738"/>
        <v>0</v>
      </c>
      <c r="N1476" s="77">
        <f t="shared" si="4739"/>
        <v>0</v>
      </c>
      <c r="O1476" s="77">
        <f t="shared" si="4740"/>
        <v>4.9999999999999992E-3</v>
      </c>
      <c r="P1476" s="77">
        <f t="shared" si="4741"/>
        <v>4.1762458919303302E-4</v>
      </c>
      <c r="R1476" t="s">
        <v>177</v>
      </c>
      <c r="S1476" t="s">
        <v>180</v>
      </c>
      <c r="T1476" s="197" t="str">
        <f t="shared" si="4622"/>
        <v>Autopilot_Opportunity_153</v>
      </c>
      <c r="U1476">
        <v>153</v>
      </c>
      <c r="V1476">
        <f>VLOOKUP($U1476,'[2]AP Opportunity'!$Q$1:$T$542,2,FALSE)</f>
        <v>0.99999997777777772</v>
      </c>
      <c r="W1476">
        <f>VLOOKUP($U1476,'[2]AP Opportunity'!$Q$1:$T$542,3,FALSE)</f>
        <v>2.2222222284540294E-8</v>
      </c>
      <c r="X1476">
        <f>VLOOKUP($U1476,'[2]AP Opportunity'!$Q$1:$T$542,4,FALSE)</f>
        <v>0</v>
      </c>
      <c r="Y1476" s="77">
        <f t="shared" si="4623"/>
        <v>1</v>
      </c>
      <c r="Z1476" s="77">
        <f t="shared" si="4627"/>
        <v>6.4624999704999977E-2</v>
      </c>
      <c r="AA1476" s="77">
        <f t="shared" si="4628"/>
        <v>5.2321923767311151E-3</v>
      </c>
      <c r="AB1476" s="79">
        <v>1</v>
      </c>
      <c r="AC1476" s="77">
        <f t="shared" si="4742"/>
        <v>8.499999955555556E-3</v>
      </c>
      <c r="AD1476" s="77">
        <f t="shared" ref="AD1476" si="4753">1-(1-AC1476)^(1/12)</f>
        <v>7.1110795759765644E-4</v>
      </c>
      <c r="AE1476" s="77">
        <f t="shared" si="4744"/>
        <v>2.5000000000000001E-3</v>
      </c>
      <c r="AF1476" s="77">
        <f t="shared" ref="AF1476" si="4754">1-(1-AE1476)^(1/12)</f>
        <v>2.0857243058891584E-4</v>
      </c>
      <c r="AH1476" t="s">
        <v>175</v>
      </c>
      <c r="AI1476" t="s">
        <v>180</v>
      </c>
      <c r="AJ1476" s="197" t="str">
        <f t="shared" si="4735"/>
        <v>Lifecycle_Opportunity_153</v>
      </c>
      <c r="AK1476">
        <v>153</v>
      </c>
      <c r="AL1476">
        <f>VLOOKUP($U1476,[2]Standard_Opportunity!$Q$1:$T$542,2,FALSE)</f>
        <v>0.99999997777777772</v>
      </c>
      <c r="AM1476">
        <f>VLOOKUP($U1476,[2]Standard_Opportunity!$Q$1:$T$542,3,FALSE)</f>
        <v>2.2222222284540294E-8</v>
      </c>
      <c r="AN1476">
        <f>VLOOKUP($U1476,[2]Standard_Opportunity!$Q$1:$T$542,4,FALSE)</f>
        <v>0</v>
      </c>
      <c r="AO1476" s="77">
        <f t="shared" si="4736"/>
        <v>1</v>
      </c>
      <c r="AP1476" s="77">
        <f t="shared" si="4746"/>
        <v>6.4624999704999977E-2</v>
      </c>
      <c r="AQ1476" s="77">
        <f t="shared" si="4737"/>
        <v>5.2321923767311151E-3</v>
      </c>
      <c r="AR1476" s="79">
        <v>0</v>
      </c>
      <c r="AS1476" s="77">
        <f t="shared" si="4747"/>
        <v>0</v>
      </c>
      <c r="AT1476" s="77">
        <f t="shared" si="4748"/>
        <v>0</v>
      </c>
      <c r="AU1476" s="77">
        <f t="shared" si="4749"/>
        <v>2.5000000000000001E-3</v>
      </c>
      <c r="AV1476" s="77">
        <f t="shared" si="4750"/>
        <v>2.0809499864316017E-4</v>
      </c>
    </row>
    <row r="1477" spans="1:48">
      <c r="A1477" t="s">
        <v>175</v>
      </c>
      <c r="B1477" t="s">
        <v>180</v>
      </c>
      <c r="C1477" s="197" t="str">
        <f t="shared" si="4621"/>
        <v>Lifecycle_Opportunity_152</v>
      </c>
      <c r="D1477">
        <v>152</v>
      </c>
      <c r="E1477">
        <f>VLOOKUP($D1477,'[2]LC Opportunity'!$Q$2:$U$542,2,FALSE)</f>
        <v>0</v>
      </c>
      <c r="F1477">
        <f>VLOOKUP($D1477,'[2]LC Opportunity'!$Q$2:$U$542,3,FALSE)</f>
        <v>0</v>
      </c>
      <c r="G1477">
        <f>VLOOKUP($D1477,'[2]LC Opportunity'!$Q$2:$U$542,4,FALSE)</f>
        <v>0</v>
      </c>
      <c r="H1477">
        <f>VLOOKUP($D1477,'[2]LC Opportunity'!$Q$2:$U$542,5,FALSE)</f>
        <v>0.99999999999999989</v>
      </c>
      <c r="I1477" s="77">
        <f t="shared" si="4731"/>
        <v>0.99999999999999989</v>
      </c>
      <c r="J1477" s="77">
        <f t="shared" si="4732"/>
        <v>7.1999999999999981E-2</v>
      </c>
      <c r="K1477" s="77">
        <f t="shared" si="4626"/>
        <v>5.8106552987937654E-3</v>
      </c>
      <c r="L1477" s="76">
        <v>0</v>
      </c>
      <c r="M1477" s="77">
        <f t="shared" si="4738"/>
        <v>0</v>
      </c>
      <c r="N1477" s="77">
        <f t="shared" si="4739"/>
        <v>0</v>
      </c>
      <c r="O1477" s="77">
        <f t="shared" si="4740"/>
        <v>4.9999999999999992E-3</v>
      </c>
      <c r="P1477" s="77">
        <f t="shared" si="4741"/>
        <v>4.1762458919303302E-4</v>
      </c>
      <c r="R1477" t="s">
        <v>177</v>
      </c>
      <c r="S1477" t="s">
        <v>180</v>
      </c>
      <c r="T1477" s="197" t="str">
        <f t="shared" si="4622"/>
        <v>Autopilot_Opportunity_152</v>
      </c>
      <c r="U1477">
        <v>152</v>
      </c>
      <c r="V1477">
        <f>VLOOKUP($U1477,'[2]AP Opportunity'!$Q$1:$T$542,2,FALSE)</f>
        <v>0.99999997777777772</v>
      </c>
      <c r="W1477">
        <f>VLOOKUP($U1477,'[2]AP Opportunity'!$Q$1:$T$542,3,FALSE)</f>
        <v>2.2222222284540294E-8</v>
      </c>
      <c r="X1477">
        <f>VLOOKUP($U1477,'[2]AP Opportunity'!$Q$1:$T$542,4,FALSE)</f>
        <v>0</v>
      </c>
      <c r="Y1477" s="77">
        <f t="shared" si="4623"/>
        <v>1</v>
      </c>
      <c r="Z1477" s="77">
        <f t="shared" si="4627"/>
        <v>6.4624999704999977E-2</v>
      </c>
      <c r="AA1477" s="77">
        <f t="shared" si="4628"/>
        <v>5.2321923767311151E-3</v>
      </c>
      <c r="AB1477" s="79">
        <v>1</v>
      </c>
      <c r="AC1477" s="77">
        <f t="shared" si="4742"/>
        <v>8.499999955555556E-3</v>
      </c>
      <c r="AD1477" s="77">
        <f t="shared" ref="AD1477" si="4755">1-(1-AC1477)^(1/12)</f>
        <v>7.1110795759765644E-4</v>
      </c>
      <c r="AE1477" s="77">
        <f t="shared" si="4744"/>
        <v>2.5000000000000001E-3</v>
      </c>
      <c r="AF1477" s="77">
        <f t="shared" ref="AF1477" si="4756">1-(1-AE1477)^(1/12)</f>
        <v>2.0857243058891584E-4</v>
      </c>
      <c r="AH1477" t="s">
        <v>175</v>
      </c>
      <c r="AI1477" t="s">
        <v>180</v>
      </c>
      <c r="AJ1477" s="197" t="str">
        <f t="shared" si="4735"/>
        <v>Lifecycle_Opportunity_152</v>
      </c>
      <c r="AK1477">
        <v>152</v>
      </c>
      <c r="AL1477">
        <f>VLOOKUP($U1477,[2]Standard_Opportunity!$Q$1:$T$542,2,FALSE)</f>
        <v>0.99999997777777772</v>
      </c>
      <c r="AM1477">
        <f>VLOOKUP($U1477,[2]Standard_Opportunity!$Q$1:$T$542,3,FALSE)</f>
        <v>2.2222222284540294E-8</v>
      </c>
      <c r="AN1477">
        <f>VLOOKUP($U1477,[2]Standard_Opportunity!$Q$1:$T$542,4,FALSE)</f>
        <v>0</v>
      </c>
      <c r="AO1477" s="77">
        <f t="shared" si="4736"/>
        <v>1</v>
      </c>
      <c r="AP1477" s="77">
        <f t="shared" si="4746"/>
        <v>6.4624999704999977E-2</v>
      </c>
      <c r="AQ1477" s="77">
        <f t="shared" si="4737"/>
        <v>5.2321923767311151E-3</v>
      </c>
      <c r="AR1477" s="79">
        <v>0</v>
      </c>
      <c r="AS1477" s="77">
        <f t="shared" si="4747"/>
        <v>0</v>
      </c>
      <c r="AT1477" s="77">
        <f t="shared" si="4748"/>
        <v>0</v>
      </c>
      <c r="AU1477" s="77">
        <f t="shared" si="4749"/>
        <v>2.5000000000000001E-3</v>
      </c>
      <c r="AV1477" s="77">
        <f t="shared" si="4750"/>
        <v>2.0809499864316017E-4</v>
      </c>
    </row>
    <row r="1478" spans="1:48">
      <c r="A1478" t="s">
        <v>175</v>
      </c>
      <c r="B1478" t="s">
        <v>180</v>
      </c>
      <c r="C1478" s="197" t="str">
        <f t="shared" si="4621"/>
        <v>Lifecycle_Opportunity_151</v>
      </c>
      <c r="D1478">
        <v>151</v>
      </c>
      <c r="E1478">
        <f>VLOOKUP($D1478,'[2]LC Opportunity'!$Q$2:$U$542,2,FALSE)</f>
        <v>0</v>
      </c>
      <c r="F1478">
        <f>VLOOKUP($D1478,'[2]LC Opportunity'!$Q$2:$U$542,3,FALSE)</f>
        <v>0</v>
      </c>
      <c r="G1478">
        <f>VLOOKUP($D1478,'[2]LC Opportunity'!$Q$2:$U$542,4,FALSE)</f>
        <v>0</v>
      </c>
      <c r="H1478">
        <f>VLOOKUP($D1478,'[2]LC Opportunity'!$Q$2:$U$542,5,FALSE)</f>
        <v>0.99999999999999989</v>
      </c>
      <c r="I1478" s="77">
        <f t="shared" si="4731"/>
        <v>0.99999999999999989</v>
      </c>
      <c r="J1478" s="77">
        <f t="shared" si="4732"/>
        <v>7.1999999999999981E-2</v>
      </c>
      <c r="K1478" s="77">
        <f t="shared" si="4626"/>
        <v>5.8106552987937654E-3</v>
      </c>
      <c r="L1478" s="76">
        <v>0</v>
      </c>
      <c r="M1478" s="77">
        <f t="shared" si="4738"/>
        <v>0</v>
      </c>
      <c r="N1478" s="77">
        <f t="shared" si="4739"/>
        <v>0</v>
      </c>
      <c r="O1478" s="77">
        <f t="shared" si="4740"/>
        <v>4.9999999999999992E-3</v>
      </c>
      <c r="P1478" s="77">
        <f t="shared" si="4741"/>
        <v>4.1762458919303302E-4</v>
      </c>
      <c r="R1478" t="s">
        <v>177</v>
      </c>
      <c r="S1478" t="s">
        <v>180</v>
      </c>
      <c r="T1478" s="197" t="str">
        <f t="shared" si="4622"/>
        <v>Autopilot_Opportunity_151</v>
      </c>
      <c r="U1478">
        <v>151</v>
      </c>
      <c r="V1478">
        <f>VLOOKUP($U1478,'[2]AP Opportunity'!$Q$1:$T$542,2,FALSE)</f>
        <v>0.99999997777777772</v>
      </c>
      <c r="W1478">
        <f>VLOOKUP($U1478,'[2]AP Opportunity'!$Q$1:$T$542,3,FALSE)</f>
        <v>2.2222222284540294E-8</v>
      </c>
      <c r="X1478">
        <f>VLOOKUP($U1478,'[2]AP Opportunity'!$Q$1:$T$542,4,FALSE)</f>
        <v>0</v>
      </c>
      <c r="Y1478" s="77">
        <f t="shared" si="4623"/>
        <v>1</v>
      </c>
      <c r="Z1478" s="77">
        <f t="shared" si="4627"/>
        <v>6.4624999704999977E-2</v>
      </c>
      <c r="AA1478" s="77">
        <f t="shared" si="4628"/>
        <v>5.2321923767311151E-3</v>
      </c>
      <c r="AB1478" s="79">
        <v>1</v>
      </c>
      <c r="AC1478" s="77">
        <f t="shared" si="4742"/>
        <v>8.499999955555556E-3</v>
      </c>
      <c r="AD1478" s="77">
        <f t="shared" ref="AD1478" si="4757">1-(1-AC1478)^(1/12)</f>
        <v>7.1110795759765644E-4</v>
      </c>
      <c r="AE1478" s="77">
        <f t="shared" si="4744"/>
        <v>2.5000000000000001E-3</v>
      </c>
      <c r="AF1478" s="77">
        <f t="shared" ref="AF1478" si="4758">1-(1-AE1478)^(1/12)</f>
        <v>2.0857243058891584E-4</v>
      </c>
      <c r="AH1478" t="s">
        <v>175</v>
      </c>
      <c r="AI1478" t="s">
        <v>180</v>
      </c>
      <c r="AJ1478" s="197" t="str">
        <f t="shared" si="4735"/>
        <v>Lifecycle_Opportunity_151</v>
      </c>
      <c r="AK1478">
        <v>151</v>
      </c>
      <c r="AL1478">
        <f>VLOOKUP($U1478,[2]Standard_Opportunity!$Q$1:$T$542,2,FALSE)</f>
        <v>0.99999997777777772</v>
      </c>
      <c r="AM1478">
        <f>VLOOKUP($U1478,[2]Standard_Opportunity!$Q$1:$T$542,3,FALSE)</f>
        <v>2.2222222284540294E-8</v>
      </c>
      <c r="AN1478">
        <f>VLOOKUP($U1478,[2]Standard_Opportunity!$Q$1:$T$542,4,FALSE)</f>
        <v>0</v>
      </c>
      <c r="AO1478" s="77">
        <f t="shared" si="4736"/>
        <v>1</v>
      </c>
      <c r="AP1478" s="77">
        <f t="shared" si="4746"/>
        <v>6.4624999704999977E-2</v>
      </c>
      <c r="AQ1478" s="77">
        <f t="shared" si="4737"/>
        <v>5.2321923767311151E-3</v>
      </c>
      <c r="AR1478" s="79">
        <v>0</v>
      </c>
      <c r="AS1478" s="77">
        <f t="shared" si="4747"/>
        <v>0</v>
      </c>
      <c r="AT1478" s="77">
        <f t="shared" si="4748"/>
        <v>0</v>
      </c>
      <c r="AU1478" s="77">
        <f t="shared" si="4749"/>
        <v>2.5000000000000001E-3</v>
      </c>
      <c r="AV1478" s="77">
        <f t="shared" si="4750"/>
        <v>2.0809499864316017E-4</v>
      </c>
    </row>
    <row r="1479" spans="1:48">
      <c r="A1479" t="s">
        <v>175</v>
      </c>
      <c r="B1479" t="s">
        <v>180</v>
      </c>
      <c r="C1479" s="197" t="str">
        <f t="shared" si="4621"/>
        <v>Lifecycle_Opportunity_150</v>
      </c>
      <c r="D1479">
        <v>150</v>
      </c>
      <c r="E1479">
        <f>VLOOKUP($D1479,'[2]LC Opportunity'!$Q$2:$U$542,2,FALSE)</f>
        <v>0</v>
      </c>
      <c r="F1479">
        <f>VLOOKUP($D1479,'[2]LC Opportunity'!$Q$2:$U$542,3,FALSE)</f>
        <v>0</v>
      </c>
      <c r="G1479">
        <f>VLOOKUP($D1479,'[2]LC Opportunity'!$Q$2:$U$542,4,FALSE)</f>
        <v>0</v>
      </c>
      <c r="H1479">
        <f>VLOOKUP($D1479,'[2]LC Opportunity'!$Q$2:$U$542,5,FALSE)</f>
        <v>0.99999999999999989</v>
      </c>
      <c r="I1479" s="77">
        <f t="shared" si="4731"/>
        <v>0.99999999999999989</v>
      </c>
      <c r="J1479" s="77">
        <f t="shared" si="4732"/>
        <v>7.1999999999999981E-2</v>
      </c>
      <c r="K1479" s="77">
        <f t="shared" si="4626"/>
        <v>5.8106552987937654E-3</v>
      </c>
      <c r="L1479" s="76">
        <v>0</v>
      </c>
      <c r="M1479" s="77">
        <f t="shared" si="4738"/>
        <v>0</v>
      </c>
      <c r="N1479" s="77">
        <f t="shared" si="4739"/>
        <v>0</v>
      </c>
      <c r="O1479" s="77">
        <f t="shared" si="4740"/>
        <v>4.9999999999999992E-3</v>
      </c>
      <c r="P1479" s="77">
        <f t="shared" si="4741"/>
        <v>4.1762458919303302E-4</v>
      </c>
      <c r="R1479" t="s">
        <v>177</v>
      </c>
      <c r="S1479" t="s">
        <v>180</v>
      </c>
      <c r="T1479" s="197" t="str">
        <f t="shared" si="4622"/>
        <v>Autopilot_Opportunity_150</v>
      </c>
      <c r="U1479">
        <v>150</v>
      </c>
      <c r="V1479">
        <f>VLOOKUP($U1479,'[2]AP Opportunity'!$Q$1:$T$542,2,FALSE)</f>
        <v>0.99999997777777772</v>
      </c>
      <c r="W1479">
        <f>VLOOKUP($U1479,'[2]AP Opportunity'!$Q$1:$T$542,3,FALSE)</f>
        <v>2.2222222284540294E-8</v>
      </c>
      <c r="X1479">
        <f>VLOOKUP($U1479,'[2]AP Opportunity'!$Q$1:$T$542,4,FALSE)</f>
        <v>0</v>
      </c>
      <c r="Y1479" s="77">
        <f t="shared" si="4623"/>
        <v>1</v>
      </c>
      <c r="Z1479" s="77">
        <f t="shared" si="4627"/>
        <v>6.4624999704999977E-2</v>
      </c>
      <c r="AA1479" s="77">
        <f t="shared" si="4628"/>
        <v>5.2321923767311151E-3</v>
      </c>
      <c r="AB1479" s="79">
        <v>1</v>
      </c>
      <c r="AC1479" s="77">
        <f t="shared" si="4742"/>
        <v>8.499999955555556E-3</v>
      </c>
      <c r="AD1479" s="77">
        <f t="shared" ref="AD1479" si="4759">1-(1-AC1479)^(1/12)</f>
        <v>7.1110795759765644E-4</v>
      </c>
      <c r="AE1479" s="77">
        <f t="shared" si="4744"/>
        <v>2.5000000000000001E-3</v>
      </c>
      <c r="AF1479" s="77">
        <f t="shared" ref="AF1479" si="4760">1-(1-AE1479)^(1/12)</f>
        <v>2.0857243058891584E-4</v>
      </c>
      <c r="AH1479" t="s">
        <v>175</v>
      </c>
      <c r="AI1479" t="s">
        <v>180</v>
      </c>
      <c r="AJ1479" s="197" t="str">
        <f t="shared" si="4735"/>
        <v>Lifecycle_Opportunity_150</v>
      </c>
      <c r="AK1479">
        <v>150</v>
      </c>
      <c r="AL1479">
        <f>VLOOKUP($U1479,[2]Standard_Opportunity!$Q$1:$T$542,2,FALSE)</f>
        <v>0.99999997777777772</v>
      </c>
      <c r="AM1479">
        <f>VLOOKUP($U1479,[2]Standard_Opportunity!$Q$1:$T$542,3,FALSE)</f>
        <v>2.2222222284540294E-8</v>
      </c>
      <c r="AN1479">
        <f>VLOOKUP($U1479,[2]Standard_Opportunity!$Q$1:$T$542,4,FALSE)</f>
        <v>0</v>
      </c>
      <c r="AO1479" s="77">
        <f t="shared" si="4736"/>
        <v>1</v>
      </c>
      <c r="AP1479" s="77">
        <f t="shared" si="4746"/>
        <v>6.4624999704999977E-2</v>
      </c>
      <c r="AQ1479" s="77">
        <f t="shared" si="4737"/>
        <v>5.2321923767311151E-3</v>
      </c>
      <c r="AR1479" s="79">
        <v>0</v>
      </c>
      <c r="AS1479" s="77">
        <f t="shared" si="4747"/>
        <v>0</v>
      </c>
      <c r="AT1479" s="77">
        <f t="shared" si="4748"/>
        <v>0</v>
      </c>
      <c r="AU1479" s="77">
        <f t="shared" si="4749"/>
        <v>2.5000000000000001E-3</v>
      </c>
      <c r="AV1479" s="77">
        <f t="shared" si="4750"/>
        <v>2.0809499864316017E-4</v>
      </c>
    </row>
    <row r="1480" spans="1:48">
      <c r="A1480" t="s">
        <v>175</v>
      </c>
      <c r="B1480" t="s">
        <v>180</v>
      </c>
      <c r="C1480" s="197" t="str">
        <f t="shared" si="4621"/>
        <v>Lifecycle_Opportunity_149</v>
      </c>
      <c r="D1480">
        <v>149</v>
      </c>
      <c r="E1480">
        <f>VLOOKUP($D1480,'[2]LC Opportunity'!$Q$2:$U$542,2,FALSE)</f>
        <v>0</v>
      </c>
      <c r="F1480">
        <f>VLOOKUP($D1480,'[2]LC Opportunity'!$Q$2:$U$542,3,FALSE)</f>
        <v>0</v>
      </c>
      <c r="G1480">
        <f>VLOOKUP($D1480,'[2]LC Opportunity'!$Q$2:$U$542,4,FALSE)</f>
        <v>0</v>
      </c>
      <c r="H1480">
        <f>VLOOKUP($D1480,'[2]LC Opportunity'!$Q$2:$U$542,5,FALSE)</f>
        <v>0.99999999999999989</v>
      </c>
      <c r="I1480" s="77">
        <f t="shared" si="4731"/>
        <v>0.99999999999999989</v>
      </c>
      <c r="J1480" s="77">
        <f t="shared" si="4732"/>
        <v>7.1999999999999981E-2</v>
      </c>
      <c r="K1480" s="77">
        <f t="shared" si="4626"/>
        <v>5.8106552987937654E-3</v>
      </c>
      <c r="L1480" s="76">
        <v>0</v>
      </c>
      <c r="M1480" s="77">
        <f t="shared" si="4738"/>
        <v>0</v>
      </c>
      <c r="N1480" s="77">
        <f t="shared" si="4739"/>
        <v>0</v>
      </c>
      <c r="O1480" s="77">
        <f t="shared" si="4740"/>
        <v>4.9999999999999992E-3</v>
      </c>
      <c r="P1480" s="77">
        <f t="shared" si="4741"/>
        <v>4.1762458919303302E-4</v>
      </c>
      <c r="R1480" t="s">
        <v>177</v>
      </c>
      <c r="S1480" t="s">
        <v>180</v>
      </c>
      <c r="T1480" s="197" t="str">
        <f t="shared" si="4622"/>
        <v>Autopilot_Opportunity_149</v>
      </c>
      <c r="U1480">
        <v>149</v>
      </c>
      <c r="V1480">
        <f>VLOOKUP($U1480,'[2]AP Opportunity'!$Q$1:$T$542,2,FALSE)</f>
        <v>0.99999997777777772</v>
      </c>
      <c r="W1480">
        <f>VLOOKUP($U1480,'[2]AP Opportunity'!$Q$1:$T$542,3,FALSE)</f>
        <v>2.2222222284540294E-8</v>
      </c>
      <c r="X1480">
        <f>VLOOKUP($U1480,'[2]AP Opportunity'!$Q$1:$T$542,4,FALSE)</f>
        <v>0</v>
      </c>
      <c r="Y1480" s="77">
        <f t="shared" si="4623"/>
        <v>1</v>
      </c>
      <c r="Z1480" s="77">
        <f t="shared" si="4627"/>
        <v>6.4624999704999977E-2</v>
      </c>
      <c r="AA1480" s="77">
        <f t="shared" si="4628"/>
        <v>5.2321923767311151E-3</v>
      </c>
      <c r="AB1480" s="79">
        <v>1</v>
      </c>
      <c r="AC1480" s="77">
        <f t="shared" si="4742"/>
        <v>8.499999955555556E-3</v>
      </c>
      <c r="AD1480" s="77">
        <f t="shared" ref="AD1480" si="4761">1-(1-AC1480)^(1/12)</f>
        <v>7.1110795759765644E-4</v>
      </c>
      <c r="AE1480" s="77">
        <f t="shared" si="4744"/>
        <v>2.5000000000000001E-3</v>
      </c>
      <c r="AF1480" s="77">
        <f t="shared" ref="AF1480" si="4762">1-(1-AE1480)^(1/12)</f>
        <v>2.0857243058891584E-4</v>
      </c>
      <c r="AH1480" t="s">
        <v>175</v>
      </c>
      <c r="AI1480" t="s">
        <v>180</v>
      </c>
      <c r="AJ1480" s="197" t="str">
        <f t="shared" si="4735"/>
        <v>Lifecycle_Opportunity_149</v>
      </c>
      <c r="AK1480">
        <v>149</v>
      </c>
      <c r="AL1480">
        <f>VLOOKUP($U1480,[2]Standard_Opportunity!$Q$1:$T$542,2,FALSE)</f>
        <v>0.99999997777777772</v>
      </c>
      <c r="AM1480">
        <f>VLOOKUP($U1480,[2]Standard_Opportunity!$Q$1:$T$542,3,FALSE)</f>
        <v>2.2222222284540294E-8</v>
      </c>
      <c r="AN1480">
        <f>VLOOKUP($U1480,[2]Standard_Opportunity!$Q$1:$T$542,4,FALSE)</f>
        <v>0</v>
      </c>
      <c r="AO1480" s="77">
        <f t="shared" si="4736"/>
        <v>1</v>
      </c>
      <c r="AP1480" s="77">
        <f t="shared" si="4746"/>
        <v>6.4624999704999977E-2</v>
      </c>
      <c r="AQ1480" s="77">
        <f t="shared" si="4737"/>
        <v>5.2321923767311151E-3</v>
      </c>
      <c r="AR1480" s="79">
        <v>0</v>
      </c>
      <c r="AS1480" s="77">
        <f t="shared" si="4747"/>
        <v>0</v>
      </c>
      <c r="AT1480" s="77">
        <f t="shared" si="4748"/>
        <v>0</v>
      </c>
      <c r="AU1480" s="77">
        <f t="shared" si="4749"/>
        <v>2.5000000000000001E-3</v>
      </c>
      <c r="AV1480" s="77">
        <f t="shared" si="4750"/>
        <v>2.0809499864316017E-4</v>
      </c>
    </row>
    <row r="1481" spans="1:48">
      <c r="A1481" t="s">
        <v>175</v>
      </c>
      <c r="B1481" t="s">
        <v>180</v>
      </c>
      <c r="C1481" s="197" t="str">
        <f t="shared" si="4621"/>
        <v>Lifecycle_Opportunity_148</v>
      </c>
      <c r="D1481">
        <v>148</v>
      </c>
      <c r="E1481">
        <f>VLOOKUP($D1481,'[2]LC Opportunity'!$Q$2:$U$542,2,FALSE)</f>
        <v>0</v>
      </c>
      <c r="F1481">
        <f>VLOOKUP($D1481,'[2]LC Opportunity'!$Q$2:$U$542,3,FALSE)</f>
        <v>0</v>
      </c>
      <c r="G1481">
        <f>VLOOKUP($D1481,'[2]LC Opportunity'!$Q$2:$U$542,4,FALSE)</f>
        <v>0</v>
      </c>
      <c r="H1481">
        <f>VLOOKUP($D1481,'[2]LC Opportunity'!$Q$2:$U$542,5,FALSE)</f>
        <v>0.99999999999999989</v>
      </c>
      <c r="I1481" s="77">
        <f t="shared" si="4731"/>
        <v>0.99999999999999989</v>
      </c>
      <c r="J1481" s="77">
        <f t="shared" si="4732"/>
        <v>7.1999999999999981E-2</v>
      </c>
      <c r="K1481" s="77">
        <f t="shared" si="4626"/>
        <v>5.8106552987937654E-3</v>
      </c>
      <c r="L1481" s="76">
        <v>0</v>
      </c>
      <c r="M1481" s="77">
        <f t="shared" si="4738"/>
        <v>0</v>
      </c>
      <c r="N1481" s="77">
        <f t="shared" si="4739"/>
        <v>0</v>
      </c>
      <c r="O1481" s="77">
        <f t="shared" si="4740"/>
        <v>4.9999999999999992E-3</v>
      </c>
      <c r="P1481" s="77">
        <f t="shared" si="4741"/>
        <v>4.1762458919303302E-4</v>
      </c>
      <c r="R1481" t="s">
        <v>177</v>
      </c>
      <c r="S1481" t="s">
        <v>180</v>
      </c>
      <c r="T1481" s="197" t="str">
        <f t="shared" si="4622"/>
        <v>Autopilot_Opportunity_148</v>
      </c>
      <c r="U1481">
        <v>148</v>
      </c>
      <c r="V1481">
        <f>VLOOKUP($U1481,'[2]AP Opportunity'!$Q$1:$T$542,2,FALSE)</f>
        <v>0.99999997777777772</v>
      </c>
      <c r="W1481">
        <f>VLOOKUP($U1481,'[2]AP Opportunity'!$Q$1:$T$542,3,FALSE)</f>
        <v>2.2222222284540294E-8</v>
      </c>
      <c r="X1481">
        <f>VLOOKUP($U1481,'[2]AP Opportunity'!$Q$1:$T$542,4,FALSE)</f>
        <v>0</v>
      </c>
      <c r="Y1481" s="77">
        <f t="shared" si="4623"/>
        <v>1</v>
      </c>
      <c r="Z1481" s="77">
        <f t="shared" si="4627"/>
        <v>6.4624999704999977E-2</v>
      </c>
      <c r="AA1481" s="77">
        <f t="shared" si="4628"/>
        <v>5.2321923767311151E-3</v>
      </c>
      <c r="AB1481" s="79">
        <v>1</v>
      </c>
      <c r="AC1481" s="77">
        <f t="shared" si="4742"/>
        <v>8.499999955555556E-3</v>
      </c>
      <c r="AD1481" s="77">
        <f t="shared" ref="AD1481" si="4763">1-(1-AC1481)^(1/12)</f>
        <v>7.1110795759765644E-4</v>
      </c>
      <c r="AE1481" s="77">
        <f t="shared" si="4744"/>
        <v>2.5000000000000001E-3</v>
      </c>
      <c r="AF1481" s="77">
        <f t="shared" ref="AF1481" si="4764">1-(1-AE1481)^(1/12)</f>
        <v>2.0857243058891584E-4</v>
      </c>
      <c r="AH1481" t="s">
        <v>175</v>
      </c>
      <c r="AI1481" t="s">
        <v>180</v>
      </c>
      <c r="AJ1481" s="197" t="str">
        <f t="shared" si="4735"/>
        <v>Lifecycle_Opportunity_148</v>
      </c>
      <c r="AK1481">
        <v>148</v>
      </c>
      <c r="AL1481">
        <f>VLOOKUP($U1481,[2]Standard_Opportunity!$Q$1:$T$542,2,FALSE)</f>
        <v>0.99999997777777772</v>
      </c>
      <c r="AM1481">
        <f>VLOOKUP($U1481,[2]Standard_Opportunity!$Q$1:$T$542,3,FALSE)</f>
        <v>2.2222222284540294E-8</v>
      </c>
      <c r="AN1481">
        <f>VLOOKUP($U1481,[2]Standard_Opportunity!$Q$1:$T$542,4,FALSE)</f>
        <v>0</v>
      </c>
      <c r="AO1481" s="77">
        <f t="shared" si="4736"/>
        <v>1</v>
      </c>
      <c r="AP1481" s="77">
        <f t="shared" si="4746"/>
        <v>6.4624999704999977E-2</v>
      </c>
      <c r="AQ1481" s="77">
        <f t="shared" si="4737"/>
        <v>5.2321923767311151E-3</v>
      </c>
      <c r="AR1481" s="79">
        <v>0</v>
      </c>
      <c r="AS1481" s="77">
        <f t="shared" si="4747"/>
        <v>0</v>
      </c>
      <c r="AT1481" s="77">
        <f t="shared" si="4748"/>
        <v>0</v>
      </c>
      <c r="AU1481" s="77">
        <f t="shared" si="4749"/>
        <v>2.5000000000000001E-3</v>
      </c>
      <c r="AV1481" s="77">
        <f t="shared" si="4750"/>
        <v>2.0809499864316017E-4</v>
      </c>
    </row>
    <row r="1482" spans="1:48">
      <c r="A1482" t="s">
        <v>175</v>
      </c>
      <c r="B1482" t="s">
        <v>180</v>
      </c>
      <c r="C1482" s="197" t="str">
        <f t="shared" si="4621"/>
        <v>Lifecycle_Opportunity_147</v>
      </c>
      <c r="D1482">
        <v>147</v>
      </c>
      <c r="E1482">
        <f>VLOOKUP($D1482,'[2]LC Opportunity'!$Q$2:$U$542,2,FALSE)</f>
        <v>0</v>
      </c>
      <c r="F1482">
        <f>VLOOKUP($D1482,'[2]LC Opportunity'!$Q$2:$U$542,3,FALSE)</f>
        <v>0</v>
      </c>
      <c r="G1482">
        <f>VLOOKUP($D1482,'[2]LC Opportunity'!$Q$2:$U$542,4,FALSE)</f>
        <v>0</v>
      </c>
      <c r="H1482">
        <f>VLOOKUP($D1482,'[2]LC Opportunity'!$Q$2:$U$542,5,FALSE)</f>
        <v>0.99999999999999989</v>
      </c>
      <c r="I1482" s="77">
        <f t="shared" si="4731"/>
        <v>0.99999999999999989</v>
      </c>
      <c r="J1482" s="77">
        <f t="shared" si="4732"/>
        <v>7.1999999999999981E-2</v>
      </c>
      <c r="K1482" s="77">
        <f t="shared" si="4626"/>
        <v>5.8106552987937654E-3</v>
      </c>
      <c r="L1482" s="76">
        <v>0</v>
      </c>
      <c r="M1482" s="77">
        <f t="shared" si="4738"/>
        <v>0</v>
      </c>
      <c r="N1482" s="77">
        <f t="shared" si="4739"/>
        <v>0</v>
      </c>
      <c r="O1482" s="77">
        <f t="shared" si="4740"/>
        <v>4.9999999999999992E-3</v>
      </c>
      <c r="P1482" s="77">
        <f t="shared" si="4741"/>
        <v>4.1762458919303302E-4</v>
      </c>
      <c r="R1482" t="s">
        <v>177</v>
      </c>
      <c r="S1482" t="s">
        <v>180</v>
      </c>
      <c r="T1482" s="197" t="str">
        <f t="shared" si="4622"/>
        <v>Autopilot_Opportunity_147</v>
      </c>
      <c r="U1482">
        <v>147</v>
      </c>
      <c r="V1482">
        <f>VLOOKUP($U1482,'[2]AP Opportunity'!$Q$1:$T$542,2,FALSE)</f>
        <v>0.99999997777777772</v>
      </c>
      <c r="W1482">
        <f>VLOOKUP($U1482,'[2]AP Opportunity'!$Q$1:$T$542,3,FALSE)</f>
        <v>2.2222222284540294E-8</v>
      </c>
      <c r="X1482">
        <f>VLOOKUP($U1482,'[2]AP Opportunity'!$Q$1:$T$542,4,FALSE)</f>
        <v>0</v>
      </c>
      <c r="Y1482" s="77">
        <f t="shared" si="4623"/>
        <v>1</v>
      </c>
      <c r="Z1482" s="77">
        <f t="shared" si="4627"/>
        <v>6.4624999704999977E-2</v>
      </c>
      <c r="AA1482" s="77">
        <f t="shared" si="4628"/>
        <v>5.2321923767311151E-3</v>
      </c>
      <c r="AB1482" s="79">
        <v>1</v>
      </c>
      <c r="AC1482" s="77">
        <f t="shared" si="4742"/>
        <v>8.499999955555556E-3</v>
      </c>
      <c r="AD1482" s="77">
        <f t="shared" ref="AD1482" si="4765">1-(1-AC1482)^(1/12)</f>
        <v>7.1110795759765644E-4</v>
      </c>
      <c r="AE1482" s="77">
        <f t="shared" si="4744"/>
        <v>2.5000000000000001E-3</v>
      </c>
      <c r="AF1482" s="77">
        <f t="shared" ref="AF1482" si="4766">1-(1-AE1482)^(1/12)</f>
        <v>2.0857243058891584E-4</v>
      </c>
      <c r="AH1482" t="s">
        <v>175</v>
      </c>
      <c r="AI1482" t="s">
        <v>180</v>
      </c>
      <c r="AJ1482" s="197" t="str">
        <f t="shared" si="4735"/>
        <v>Lifecycle_Opportunity_147</v>
      </c>
      <c r="AK1482">
        <v>147</v>
      </c>
      <c r="AL1482">
        <f>VLOOKUP($U1482,[2]Standard_Opportunity!$Q$1:$T$542,2,FALSE)</f>
        <v>0.99999997777777772</v>
      </c>
      <c r="AM1482">
        <f>VLOOKUP($U1482,[2]Standard_Opportunity!$Q$1:$T$542,3,FALSE)</f>
        <v>2.2222222284540294E-8</v>
      </c>
      <c r="AN1482">
        <f>VLOOKUP($U1482,[2]Standard_Opportunity!$Q$1:$T$542,4,FALSE)</f>
        <v>0</v>
      </c>
      <c r="AO1482" s="77">
        <f t="shared" si="4736"/>
        <v>1</v>
      </c>
      <c r="AP1482" s="77">
        <f t="shared" si="4746"/>
        <v>6.4624999704999977E-2</v>
      </c>
      <c r="AQ1482" s="77">
        <f t="shared" si="4737"/>
        <v>5.2321923767311151E-3</v>
      </c>
      <c r="AR1482" s="79">
        <v>0</v>
      </c>
      <c r="AS1482" s="77">
        <f t="shared" si="4747"/>
        <v>0</v>
      </c>
      <c r="AT1482" s="77">
        <f t="shared" si="4748"/>
        <v>0</v>
      </c>
      <c r="AU1482" s="77">
        <f t="shared" si="4749"/>
        <v>2.5000000000000001E-3</v>
      </c>
      <c r="AV1482" s="77">
        <f t="shared" si="4750"/>
        <v>2.0809499864316017E-4</v>
      </c>
    </row>
    <row r="1483" spans="1:48">
      <c r="A1483" t="s">
        <v>175</v>
      </c>
      <c r="B1483" t="s">
        <v>180</v>
      </c>
      <c r="C1483" s="197" t="str">
        <f t="shared" si="4621"/>
        <v>Lifecycle_Opportunity_146</v>
      </c>
      <c r="D1483">
        <v>146</v>
      </c>
      <c r="E1483">
        <f>VLOOKUP($D1483,'[2]LC Opportunity'!$Q$2:$U$542,2,FALSE)</f>
        <v>0</v>
      </c>
      <c r="F1483">
        <f>VLOOKUP($D1483,'[2]LC Opportunity'!$Q$2:$U$542,3,FALSE)</f>
        <v>0</v>
      </c>
      <c r="G1483">
        <f>VLOOKUP($D1483,'[2]LC Opportunity'!$Q$2:$U$542,4,FALSE)</f>
        <v>0</v>
      </c>
      <c r="H1483">
        <f>VLOOKUP($D1483,'[2]LC Opportunity'!$Q$2:$U$542,5,FALSE)</f>
        <v>0.99999999999999989</v>
      </c>
      <c r="I1483" s="77">
        <f t="shared" si="4731"/>
        <v>0.99999999999999989</v>
      </c>
      <c r="J1483" s="77">
        <f t="shared" si="4732"/>
        <v>7.1999999999999981E-2</v>
      </c>
      <c r="K1483" s="77">
        <f t="shared" si="4626"/>
        <v>5.8106552987937654E-3</v>
      </c>
      <c r="L1483" s="76">
        <v>0</v>
      </c>
      <c r="M1483" s="77">
        <f t="shared" si="4738"/>
        <v>0</v>
      </c>
      <c r="N1483" s="77">
        <f t="shared" si="4739"/>
        <v>0</v>
      </c>
      <c r="O1483" s="77">
        <f t="shared" si="4740"/>
        <v>4.9999999999999992E-3</v>
      </c>
      <c r="P1483" s="77">
        <f t="shared" si="4741"/>
        <v>4.1762458919303302E-4</v>
      </c>
      <c r="R1483" t="s">
        <v>177</v>
      </c>
      <c r="S1483" t="s">
        <v>180</v>
      </c>
      <c r="T1483" s="197" t="str">
        <f t="shared" si="4622"/>
        <v>Autopilot_Opportunity_146</v>
      </c>
      <c r="U1483">
        <v>146</v>
      </c>
      <c r="V1483">
        <f>VLOOKUP($U1483,'[2]AP Opportunity'!$Q$1:$T$542,2,FALSE)</f>
        <v>0.99999997777777772</v>
      </c>
      <c r="W1483">
        <f>VLOOKUP($U1483,'[2]AP Opportunity'!$Q$1:$T$542,3,FALSE)</f>
        <v>2.2222222284540294E-8</v>
      </c>
      <c r="X1483">
        <f>VLOOKUP($U1483,'[2]AP Opportunity'!$Q$1:$T$542,4,FALSE)</f>
        <v>0</v>
      </c>
      <c r="Y1483" s="77">
        <f t="shared" si="4623"/>
        <v>1</v>
      </c>
      <c r="Z1483" s="77">
        <f t="shared" si="4627"/>
        <v>6.4624999704999977E-2</v>
      </c>
      <c r="AA1483" s="77">
        <f t="shared" si="4628"/>
        <v>5.2321923767311151E-3</v>
      </c>
      <c r="AB1483" s="79">
        <v>1</v>
      </c>
      <c r="AC1483" s="77">
        <f t="shared" si="4742"/>
        <v>8.499999955555556E-3</v>
      </c>
      <c r="AD1483" s="77">
        <f t="shared" ref="AD1483" si="4767">1-(1-AC1483)^(1/12)</f>
        <v>7.1110795759765644E-4</v>
      </c>
      <c r="AE1483" s="77">
        <f t="shared" si="4744"/>
        <v>2.5000000000000001E-3</v>
      </c>
      <c r="AF1483" s="77">
        <f t="shared" ref="AF1483" si="4768">1-(1-AE1483)^(1/12)</f>
        <v>2.0857243058891584E-4</v>
      </c>
      <c r="AH1483" t="s">
        <v>175</v>
      </c>
      <c r="AI1483" t="s">
        <v>180</v>
      </c>
      <c r="AJ1483" s="197" t="str">
        <f t="shared" si="4735"/>
        <v>Lifecycle_Opportunity_146</v>
      </c>
      <c r="AK1483">
        <v>146</v>
      </c>
      <c r="AL1483">
        <f>VLOOKUP($U1483,[2]Standard_Opportunity!$Q$1:$T$542,2,FALSE)</f>
        <v>0.99999997777777772</v>
      </c>
      <c r="AM1483">
        <f>VLOOKUP($U1483,[2]Standard_Opportunity!$Q$1:$T$542,3,FALSE)</f>
        <v>2.2222222284540294E-8</v>
      </c>
      <c r="AN1483">
        <f>VLOOKUP($U1483,[2]Standard_Opportunity!$Q$1:$T$542,4,FALSE)</f>
        <v>0</v>
      </c>
      <c r="AO1483" s="77">
        <f t="shared" si="4736"/>
        <v>1</v>
      </c>
      <c r="AP1483" s="77">
        <f t="shared" si="4746"/>
        <v>6.4624999704999977E-2</v>
      </c>
      <c r="AQ1483" s="77">
        <f t="shared" si="4737"/>
        <v>5.2321923767311151E-3</v>
      </c>
      <c r="AR1483" s="79">
        <v>0</v>
      </c>
      <c r="AS1483" s="77">
        <f t="shared" si="4747"/>
        <v>0</v>
      </c>
      <c r="AT1483" s="77">
        <f t="shared" si="4748"/>
        <v>0</v>
      </c>
      <c r="AU1483" s="77">
        <f t="shared" si="4749"/>
        <v>2.5000000000000001E-3</v>
      </c>
      <c r="AV1483" s="77">
        <f t="shared" si="4750"/>
        <v>2.0809499864316017E-4</v>
      </c>
    </row>
    <row r="1484" spans="1:48">
      <c r="A1484" t="s">
        <v>175</v>
      </c>
      <c r="B1484" t="s">
        <v>180</v>
      </c>
      <c r="C1484" s="197" t="str">
        <f t="shared" si="4621"/>
        <v>Lifecycle_Opportunity_145</v>
      </c>
      <c r="D1484">
        <v>145</v>
      </c>
      <c r="E1484">
        <f>VLOOKUP($D1484,'[2]LC Opportunity'!$Q$2:$U$542,2,FALSE)</f>
        <v>0</v>
      </c>
      <c r="F1484">
        <f>VLOOKUP($D1484,'[2]LC Opportunity'!$Q$2:$U$542,3,FALSE)</f>
        <v>0</v>
      </c>
      <c r="G1484">
        <f>VLOOKUP($D1484,'[2]LC Opportunity'!$Q$2:$U$542,4,FALSE)</f>
        <v>0</v>
      </c>
      <c r="H1484">
        <f>VLOOKUP($D1484,'[2]LC Opportunity'!$Q$2:$U$542,5,FALSE)</f>
        <v>0.99999999999999989</v>
      </c>
      <c r="I1484" s="77">
        <f t="shared" si="4731"/>
        <v>0.99999999999999989</v>
      </c>
      <c r="J1484" s="77">
        <f t="shared" si="4732"/>
        <v>7.1999999999999981E-2</v>
      </c>
      <c r="K1484" s="77">
        <f t="shared" si="4626"/>
        <v>5.8106552987937654E-3</v>
      </c>
      <c r="L1484" s="76">
        <v>0</v>
      </c>
      <c r="M1484" s="77">
        <f t="shared" si="4738"/>
        <v>0</v>
      </c>
      <c r="N1484" s="77">
        <f t="shared" si="4739"/>
        <v>0</v>
      </c>
      <c r="O1484" s="77">
        <f t="shared" si="4740"/>
        <v>4.9999999999999992E-3</v>
      </c>
      <c r="P1484" s="77">
        <f t="shared" si="4741"/>
        <v>4.1762458919303302E-4</v>
      </c>
      <c r="R1484" t="s">
        <v>177</v>
      </c>
      <c r="S1484" t="s">
        <v>180</v>
      </c>
      <c r="T1484" s="197" t="str">
        <f t="shared" si="4622"/>
        <v>Autopilot_Opportunity_145</v>
      </c>
      <c r="U1484">
        <v>145</v>
      </c>
      <c r="V1484">
        <f>VLOOKUP($U1484,'[2]AP Opportunity'!$Q$1:$T$542,2,FALSE)</f>
        <v>0.99999997777777772</v>
      </c>
      <c r="W1484">
        <f>VLOOKUP($U1484,'[2]AP Opportunity'!$Q$1:$T$542,3,FALSE)</f>
        <v>2.2222222284540294E-8</v>
      </c>
      <c r="X1484">
        <f>VLOOKUP($U1484,'[2]AP Opportunity'!$Q$1:$T$542,4,FALSE)</f>
        <v>0</v>
      </c>
      <c r="Y1484" s="77">
        <f t="shared" si="4623"/>
        <v>1</v>
      </c>
      <c r="Z1484" s="77">
        <f t="shared" si="4627"/>
        <v>6.4624999704999977E-2</v>
      </c>
      <c r="AA1484" s="77">
        <f t="shared" si="4628"/>
        <v>5.2321923767311151E-3</v>
      </c>
      <c r="AB1484" s="79">
        <v>1</v>
      </c>
      <c r="AC1484" s="77">
        <f t="shared" si="4742"/>
        <v>8.499999955555556E-3</v>
      </c>
      <c r="AD1484" s="77">
        <f t="shared" ref="AD1484" si="4769">1-(1-AC1484)^(1/12)</f>
        <v>7.1110795759765644E-4</v>
      </c>
      <c r="AE1484" s="77">
        <f t="shared" si="4744"/>
        <v>2.5000000000000001E-3</v>
      </c>
      <c r="AF1484" s="77">
        <f t="shared" ref="AF1484" si="4770">1-(1-AE1484)^(1/12)</f>
        <v>2.0857243058891584E-4</v>
      </c>
      <c r="AH1484" t="s">
        <v>175</v>
      </c>
      <c r="AI1484" t="s">
        <v>180</v>
      </c>
      <c r="AJ1484" s="197" t="str">
        <f t="shared" si="4735"/>
        <v>Lifecycle_Opportunity_145</v>
      </c>
      <c r="AK1484">
        <v>145</v>
      </c>
      <c r="AL1484">
        <f>VLOOKUP($U1484,[2]Standard_Opportunity!$Q$1:$T$542,2,FALSE)</f>
        <v>0.99999997777777772</v>
      </c>
      <c r="AM1484">
        <f>VLOOKUP($U1484,[2]Standard_Opportunity!$Q$1:$T$542,3,FALSE)</f>
        <v>2.2222222284540294E-8</v>
      </c>
      <c r="AN1484">
        <f>VLOOKUP($U1484,[2]Standard_Opportunity!$Q$1:$T$542,4,FALSE)</f>
        <v>0</v>
      </c>
      <c r="AO1484" s="77">
        <f t="shared" si="4736"/>
        <v>1</v>
      </c>
      <c r="AP1484" s="77">
        <f t="shared" si="4746"/>
        <v>6.4624999704999977E-2</v>
      </c>
      <c r="AQ1484" s="77">
        <f t="shared" si="4737"/>
        <v>5.2321923767311151E-3</v>
      </c>
      <c r="AR1484" s="79">
        <v>0</v>
      </c>
      <c r="AS1484" s="77">
        <f t="shared" si="4747"/>
        <v>0</v>
      </c>
      <c r="AT1484" s="77">
        <f t="shared" si="4748"/>
        <v>0</v>
      </c>
      <c r="AU1484" s="77">
        <f t="shared" si="4749"/>
        <v>2.5000000000000001E-3</v>
      </c>
      <c r="AV1484" s="77">
        <f t="shared" si="4750"/>
        <v>2.0809499864316017E-4</v>
      </c>
    </row>
    <row r="1485" spans="1:48">
      <c r="A1485" t="s">
        <v>175</v>
      </c>
      <c r="B1485" t="s">
        <v>180</v>
      </c>
      <c r="C1485" s="197" t="str">
        <f t="shared" ref="C1485:C1548" si="4771">A1485&amp;"_"&amp;B1485&amp;"_"&amp;D1485</f>
        <v>Lifecycle_Opportunity_144</v>
      </c>
      <c r="D1485">
        <v>144</v>
      </c>
      <c r="E1485">
        <f>VLOOKUP($D1485,'[2]LC Opportunity'!$Q$2:$U$542,2,FALSE)</f>
        <v>0</v>
      </c>
      <c r="F1485">
        <f>VLOOKUP($D1485,'[2]LC Opportunity'!$Q$2:$U$542,3,FALSE)</f>
        <v>0</v>
      </c>
      <c r="G1485">
        <f>VLOOKUP($D1485,'[2]LC Opportunity'!$Q$2:$U$542,4,FALSE)</f>
        <v>0</v>
      </c>
      <c r="H1485">
        <f>VLOOKUP($D1485,'[2]LC Opportunity'!$Q$2:$U$542,5,FALSE)</f>
        <v>0.99999999999999989</v>
      </c>
      <c r="I1485" s="77">
        <f t="shared" si="4731"/>
        <v>0.99999999999999989</v>
      </c>
      <c r="J1485" s="77">
        <f t="shared" si="4732"/>
        <v>7.1999999999999981E-2</v>
      </c>
      <c r="K1485" s="77">
        <f t="shared" si="4626"/>
        <v>5.8106552987937654E-3</v>
      </c>
      <c r="L1485" s="76">
        <v>0</v>
      </c>
      <c r="M1485" s="77">
        <f t="shared" si="4738"/>
        <v>0</v>
      </c>
      <c r="N1485" s="77">
        <f t="shared" si="4739"/>
        <v>0</v>
      </c>
      <c r="O1485" s="77">
        <f t="shared" si="4740"/>
        <v>4.9999999999999992E-3</v>
      </c>
      <c r="P1485" s="77">
        <f t="shared" si="4741"/>
        <v>4.1762458919303302E-4</v>
      </c>
      <c r="R1485" t="s">
        <v>177</v>
      </c>
      <c r="S1485" t="s">
        <v>180</v>
      </c>
      <c r="T1485" s="197" t="str">
        <f t="shared" ref="T1485:T1548" si="4772">R1485&amp;"_"&amp;S1485&amp;"_"&amp;U1485</f>
        <v>Autopilot_Opportunity_144</v>
      </c>
      <c r="U1485">
        <v>144</v>
      </c>
      <c r="V1485">
        <f>VLOOKUP($U1485,'[2]AP Opportunity'!$Q$1:$T$542,2,FALSE)</f>
        <v>0.99999997777777772</v>
      </c>
      <c r="W1485">
        <f>VLOOKUP($U1485,'[2]AP Opportunity'!$Q$1:$T$542,3,FALSE)</f>
        <v>2.2222222284540294E-8</v>
      </c>
      <c r="X1485">
        <f>VLOOKUP($U1485,'[2]AP Opportunity'!$Q$1:$T$542,4,FALSE)</f>
        <v>0</v>
      </c>
      <c r="Y1485" s="77">
        <f t="shared" ref="Y1485:Y1548" si="4773">SUM(V1485:X1485)</f>
        <v>1</v>
      </c>
      <c r="Z1485" s="77">
        <f t="shared" si="4627"/>
        <v>6.4624999704999977E-2</v>
      </c>
      <c r="AA1485" s="77">
        <f t="shared" si="4628"/>
        <v>5.2321923767311151E-3</v>
      </c>
      <c r="AB1485" s="79">
        <v>1</v>
      </c>
      <c r="AC1485" s="77">
        <f t="shared" si="4742"/>
        <v>8.499999955555556E-3</v>
      </c>
      <c r="AD1485" s="77">
        <f t="shared" ref="AD1485" si="4774">1-(1-AC1485)^(1/12)</f>
        <v>7.1110795759765644E-4</v>
      </c>
      <c r="AE1485" s="77">
        <f t="shared" si="4744"/>
        <v>2.5000000000000001E-3</v>
      </c>
      <c r="AF1485" s="77">
        <f t="shared" ref="AF1485" si="4775">1-(1-AE1485)^(1/12)</f>
        <v>2.0857243058891584E-4</v>
      </c>
      <c r="AH1485" t="s">
        <v>175</v>
      </c>
      <c r="AI1485" t="s">
        <v>180</v>
      </c>
      <c r="AJ1485" s="197" t="str">
        <f t="shared" si="4735"/>
        <v>Lifecycle_Opportunity_144</v>
      </c>
      <c r="AK1485">
        <v>144</v>
      </c>
      <c r="AL1485">
        <f>VLOOKUP($U1485,[2]Standard_Opportunity!$Q$1:$T$542,2,FALSE)</f>
        <v>0.99999997777777772</v>
      </c>
      <c r="AM1485">
        <f>VLOOKUP($U1485,[2]Standard_Opportunity!$Q$1:$T$542,3,FALSE)</f>
        <v>2.2222222284540294E-8</v>
      </c>
      <c r="AN1485">
        <f>VLOOKUP($U1485,[2]Standard_Opportunity!$Q$1:$T$542,4,FALSE)</f>
        <v>0</v>
      </c>
      <c r="AO1485" s="77">
        <f t="shared" si="4736"/>
        <v>1</v>
      </c>
      <c r="AP1485" s="77">
        <f t="shared" si="4746"/>
        <v>6.4624999704999977E-2</v>
      </c>
      <c r="AQ1485" s="77">
        <f t="shared" si="4737"/>
        <v>5.2321923767311151E-3</v>
      </c>
      <c r="AR1485" s="79">
        <v>0</v>
      </c>
      <c r="AS1485" s="77">
        <f t="shared" si="4747"/>
        <v>0</v>
      </c>
      <c r="AT1485" s="77">
        <f t="shared" si="4748"/>
        <v>0</v>
      </c>
      <c r="AU1485" s="77">
        <f t="shared" si="4749"/>
        <v>2.5000000000000001E-3</v>
      </c>
      <c r="AV1485" s="77">
        <f t="shared" si="4750"/>
        <v>2.0809499864316017E-4</v>
      </c>
    </row>
    <row r="1486" spans="1:48">
      <c r="A1486" t="s">
        <v>175</v>
      </c>
      <c r="B1486" t="s">
        <v>180</v>
      </c>
      <c r="C1486" s="197" t="str">
        <f t="shared" si="4771"/>
        <v>Lifecycle_Opportunity_143</v>
      </c>
      <c r="D1486">
        <v>143</v>
      </c>
      <c r="E1486">
        <f>VLOOKUP($D1486,'[2]LC Opportunity'!$Q$2:$U$542,2,FALSE)</f>
        <v>0</v>
      </c>
      <c r="F1486">
        <f>VLOOKUP($D1486,'[2]LC Opportunity'!$Q$2:$U$542,3,FALSE)</f>
        <v>0</v>
      </c>
      <c r="G1486">
        <f>VLOOKUP($D1486,'[2]LC Opportunity'!$Q$2:$U$542,4,FALSE)</f>
        <v>3.3416666666666671E-2</v>
      </c>
      <c r="H1486">
        <f>VLOOKUP($D1486,'[2]LC Opportunity'!$Q$2:$U$542,5,FALSE)</f>
        <v>0.96658333333333324</v>
      </c>
      <c r="I1486" s="77">
        <f t="shared" si="4731"/>
        <v>0.99999999999999989</v>
      </c>
      <c r="J1486" s="77">
        <f t="shared" si="4732"/>
        <v>7.1753552083333325E-2</v>
      </c>
      <c r="K1486" s="77">
        <f t="shared" ref="K1486:K1549" si="4776">(1+J1486)^(1/12)-1</f>
        <v>5.7913839941299283E-3</v>
      </c>
      <c r="L1486" s="76">
        <v>0</v>
      </c>
      <c r="M1486" s="77">
        <f t="shared" si="4738"/>
        <v>0</v>
      </c>
      <c r="N1486" s="77">
        <f t="shared" si="4739"/>
        <v>0</v>
      </c>
      <c r="O1486" s="77">
        <f t="shared" si="4740"/>
        <v>5.0735166666666656E-3</v>
      </c>
      <c r="P1486" s="77">
        <f t="shared" si="4741"/>
        <v>4.2377940100024603E-4</v>
      </c>
      <c r="R1486" t="s">
        <v>177</v>
      </c>
      <c r="S1486" t="s">
        <v>180</v>
      </c>
      <c r="T1486" s="197" t="str">
        <f t="shared" si="4772"/>
        <v>Autopilot_Opportunity_143</v>
      </c>
      <c r="U1486">
        <v>143</v>
      </c>
      <c r="V1486">
        <f>VLOOKUP($U1486,'[2]AP Opportunity'!$Q$1:$T$542,2,FALSE)</f>
        <v>0.99999997777777772</v>
      </c>
      <c r="W1486">
        <f>VLOOKUP($U1486,'[2]AP Opportunity'!$Q$1:$T$542,3,FALSE)</f>
        <v>2.2222222284540294E-8</v>
      </c>
      <c r="X1486">
        <f>VLOOKUP($U1486,'[2]AP Opportunity'!$Q$1:$T$542,4,FALSE)</f>
        <v>0</v>
      </c>
      <c r="Y1486" s="77">
        <f t="shared" si="4773"/>
        <v>1</v>
      </c>
      <c r="Z1486" s="77">
        <f t="shared" ref="Z1486:Z1549" si="4777">SUMPRODUCT($V$1:$X$1,V1486:X1486)</f>
        <v>6.4624999704999977E-2</v>
      </c>
      <c r="AA1486" s="77">
        <f t="shared" ref="AA1486:AA1549" si="4778">(1+Z1486)^(1/12)-1</f>
        <v>5.2321923767311151E-3</v>
      </c>
      <c r="AB1486" s="79">
        <v>1</v>
      </c>
      <c r="AC1486" s="77">
        <f t="shared" si="4742"/>
        <v>8.499999955555556E-3</v>
      </c>
      <c r="AD1486" s="77">
        <f t="shared" ref="AD1486" si="4779">1-(1-AC1486)^(1/12)</f>
        <v>7.1110795759765644E-4</v>
      </c>
      <c r="AE1486" s="77">
        <f t="shared" si="4744"/>
        <v>2.5000000000000001E-3</v>
      </c>
      <c r="AF1486" s="77">
        <f t="shared" ref="AF1486" si="4780">1-(1-AE1486)^(1/12)</f>
        <v>2.0857243058891584E-4</v>
      </c>
      <c r="AH1486" t="s">
        <v>175</v>
      </c>
      <c r="AI1486" t="s">
        <v>180</v>
      </c>
      <c r="AJ1486" s="197" t="str">
        <f t="shared" si="4735"/>
        <v>Lifecycle_Opportunity_143</v>
      </c>
      <c r="AK1486">
        <v>143</v>
      </c>
      <c r="AL1486">
        <f>VLOOKUP($U1486,[2]Standard_Opportunity!$Q$1:$T$542,2,FALSE)</f>
        <v>0.99999997777777772</v>
      </c>
      <c r="AM1486">
        <f>VLOOKUP($U1486,[2]Standard_Opportunity!$Q$1:$T$542,3,FALSE)</f>
        <v>2.2222222284540294E-8</v>
      </c>
      <c r="AN1486">
        <f>VLOOKUP($U1486,[2]Standard_Opportunity!$Q$1:$T$542,4,FALSE)</f>
        <v>0</v>
      </c>
      <c r="AO1486" s="77">
        <f t="shared" si="4736"/>
        <v>1</v>
      </c>
      <c r="AP1486" s="77">
        <f t="shared" si="4746"/>
        <v>6.4624999704999977E-2</v>
      </c>
      <c r="AQ1486" s="77">
        <f t="shared" si="4737"/>
        <v>5.2321923767311151E-3</v>
      </c>
      <c r="AR1486" s="79">
        <v>0</v>
      </c>
      <c r="AS1486" s="77">
        <f t="shared" si="4747"/>
        <v>0</v>
      </c>
      <c r="AT1486" s="77">
        <f t="shared" si="4748"/>
        <v>0</v>
      </c>
      <c r="AU1486" s="77">
        <f t="shared" si="4749"/>
        <v>2.5000000000000001E-3</v>
      </c>
      <c r="AV1486" s="77">
        <f t="shared" si="4750"/>
        <v>2.0809499864316017E-4</v>
      </c>
    </row>
    <row r="1487" spans="1:48">
      <c r="A1487" t="s">
        <v>175</v>
      </c>
      <c r="B1487" t="s">
        <v>180</v>
      </c>
      <c r="C1487" s="197" t="str">
        <f t="shared" si="4771"/>
        <v>Lifecycle_Opportunity_142</v>
      </c>
      <c r="D1487">
        <v>142</v>
      </c>
      <c r="E1487">
        <f>VLOOKUP($D1487,'[2]LC Opportunity'!$Q$2:$U$542,2,FALSE)</f>
        <v>0</v>
      </c>
      <c r="F1487">
        <f>VLOOKUP($D1487,'[2]LC Opportunity'!$Q$2:$U$542,3,FALSE)</f>
        <v>0</v>
      </c>
      <c r="G1487">
        <f>VLOOKUP($D1487,'[2]LC Opportunity'!$Q$2:$U$542,4,FALSE)</f>
        <v>6.6833333333333342E-2</v>
      </c>
      <c r="H1487">
        <f>VLOOKUP($D1487,'[2]LC Opportunity'!$Q$2:$U$542,5,FALSE)</f>
        <v>0.93316666666666659</v>
      </c>
      <c r="I1487" s="77">
        <f t="shared" si="4731"/>
        <v>0.99999999999999989</v>
      </c>
      <c r="J1487" s="77">
        <f t="shared" si="4732"/>
        <v>7.1507104166666655E-2</v>
      </c>
      <c r="K1487" s="77">
        <f t="shared" si="4776"/>
        <v>5.7721086269177935E-3</v>
      </c>
      <c r="L1487" s="76">
        <v>0</v>
      </c>
      <c r="M1487" s="77">
        <f t="shared" si="4738"/>
        <v>0</v>
      </c>
      <c r="N1487" s="77">
        <f t="shared" si="4739"/>
        <v>0</v>
      </c>
      <c r="O1487" s="77">
        <f t="shared" si="4740"/>
        <v>5.1470333333333337E-3</v>
      </c>
      <c r="P1487" s="77">
        <f t="shared" si="4741"/>
        <v>4.2993462971130381E-4</v>
      </c>
      <c r="R1487" t="s">
        <v>177</v>
      </c>
      <c r="S1487" t="s">
        <v>180</v>
      </c>
      <c r="T1487" s="197" t="str">
        <f t="shared" si="4772"/>
        <v>Autopilot_Opportunity_142</v>
      </c>
      <c r="U1487">
        <v>142</v>
      </c>
      <c r="V1487">
        <f>VLOOKUP($U1487,'[2]AP Opportunity'!$Q$1:$T$542,2,FALSE)</f>
        <v>0.99999997777777772</v>
      </c>
      <c r="W1487">
        <f>VLOOKUP($U1487,'[2]AP Opportunity'!$Q$1:$T$542,3,FALSE)</f>
        <v>2.2222222284540294E-8</v>
      </c>
      <c r="X1487">
        <f>VLOOKUP($U1487,'[2]AP Opportunity'!$Q$1:$T$542,4,FALSE)</f>
        <v>0</v>
      </c>
      <c r="Y1487" s="77">
        <f t="shared" si="4773"/>
        <v>1</v>
      </c>
      <c r="Z1487" s="77">
        <f t="shared" si="4777"/>
        <v>6.4624999704999977E-2</v>
      </c>
      <c r="AA1487" s="77">
        <f t="shared" si="4778"/>
        <v>5.2321923767311151E-3</v>
      </c>
      <c r="AB1487" s="79">
        <v>1</v>
      </c>
      <c r="AC1487" s="77">
        <f t="shared" si="4742"/>
        <v>8.499999955555556E-3</v>
      </c>
      <c r="AD1487" s="77">
        <f t="shared" ref="AD1487" si="4781">1-(1-AC1487)^(1/12)</f>
        <v>7.1110795759765644E-4</v>
      </c>
      <c r="AE1487" s="77">
        <f t="shared" si="4744"/>
        <v>2.5000000000000001E-3</v>
      </c>
      <c r="AF1487" s="77">
        <f t="shared" ref="AF1487" si="4782">1-(1-AE1487)^(1/12)</f>
        <v>2.0857243058891584E-4</v>
      </c>
      <c r="AH1487" t="s">
        <v>175</v>
      </c>
      <c r="AI1487" t="s">
        <v>180</v>
      </c>
      <c r="AJ1487" s="197" t="str">
        <f t="shared" si="4735"/>
        <v>Lifecycle_Opportunity_142</v>
      </c>
      <c r="AK1487">
        <v>142</v>
      </c>
      <c r="AL1487">
        <f>VLOOKUP($U1487,[2]Standard_Opportunity!$Q$1:$T$542,2,FALSE)</f>
        <v>0.99999997777777772</v>
      </c>
      <c r="AM1487">
        <f>VLOOKUP($U1487,[2]Standard_Opportunity!$Q$1:$T$542,3,FALSE)</f>
        <v>2.2222222284540294E-8</v>
      </c>
      <c r="AN1487">
        <f>VLOOKUP($U1487,[2]Standard_Opportunity!$Q$1:$T$542,4,FALSE)</f>
        <v>0</v>
      </c>
      <c r="AO1487" s="77">
        <f t="shared" si="4736"/>
        <v>1</v>
      </c>
      <c r="AP1487" s="77">
        <f t="shared" si="4746"/>
        <v>6.4624999704999977E-2</v>
      </c>
      <c r="AQ1487" s="77">
        <f t="shared" si="4737"/>
        <v>5.2321923767311151E-3</v>
      </c>
      <c r="AR1487" s="79">
        <v>0</v>
      </c>
      <c r="AS1487" s="77">
        <f t="shared" si="4747"/>
        <v>0</v>
      </c>
      <c r="AT1487" s="77">
        <f t="shared" si="4748"/>
        <v>0</v>
      </c>
      <c r="AU1487" s="77">
        <f t="shared" si="4749"/>
        <v>2.5000000000000001E-3</v>
      </c>
      <c r="AV1487" s="77">
        <f t="shared" si="4750"/>
        <v>2.0809499864316017E-4</v>
      </c>
    </row>
    <row r="1488" spans="1:48">
      <c r="A1488" t="s">
        <v>175</v>
      </c>
      <c r="B1488" t="s">
        <v>180</v>
      </c>
      <c r="C1488" s="197" t="str">
        <f t="shared" si="4771"/>
        <v>Lifecycle_Opportunity_141</v>
      </c>
      <c r="D1488">
        <v>141</v>
      </c>
      <c r="E1488">
        <f>VLOOKUP($D1488,'[2]LC Opportunity'!$Q$2:$U$542,2,FALSE)</f>
        <v>0</v>
      </c>
      <c r="F1488">
        <f>VLOOKUP($D1488,'[2]LC Opportunity'!$Q$2:$U$542,3,FALSE)</f>
        <v>0</v>
      </c>
      <c r="G1488">
        <f>VLOOKUP($D1488,'[2]LC Opportunity'!$Q$2:$U$542,4,FALSE)</f>
        <v>0.10025000000000001</v>
      </c>
      <c r="H1488">
        <f>VLOOKUP($D1488,'[2]LC Opportunity'!$Q$2:$U$542,5,FALSE)</f>
        <v>0.89974999999999994</v>
      </c>
      <c r="I1488" s="77">
        <f t="shared" si="4731"/>
        <v>1</v>
      </c>
      <c r="J1488" s="77">
        <f t="shared" si="4732"/>
        <v>7.1260656249999998E-2</v>
      </c>
      <c r="K1488" s="77">
        <f t="shared" si="4776"/>
        <v>5.752829195365905E-3</v>
      </c>
      <c r="L1488" s="76">
        <v>0</v>
      </c>
      <c r="M1488" s="77">
        <f t="shared" si="4738"/>
        <v>0</v>
      </c>
      <c r="N1488" s="77">
        <f t="shared" si="4739"/>
        <v>0</v>
      </c>
      <c r="O1488" s="77">
        <f t="shared" si="4740"/>
        <v>5.22055E-3</v>
      </c>
      <c r="P1488" s="77">
        <f t="shared" si="4741"/>
        <v>4.3609027538493716E-4</v>
      </c>
      <c r="R1488" t="s">
        <v>177</v>
      </c>
      <c r="S1488" t="s">
        <v>180</v>
      </c>
      <c r="T1488" s="197" t="str">
        <f t="shared" si="4772"/>
        <v>Autopilot_Opportunity_141</v>
      </c>
      <c r="U1488">
        <v>141</v>
      </c>
      <c r="V1488">
        <f>VLOOKUP($U1488,'[2]AP Opportunity'!$Q$1:$T$542,2,FALSE)</f>
        <v>0.99999997777777772</v>
      </c>
      <c r="W1488">
        <f>VLOOKUP($U1488,'[2]AP Opportunity'!$Q$1:$T$542,3,FALSE)</f>
        <v>2.2222222284540294E-8</v>
      </c>
      <c r="X1488">
        <f>VLOOKUP($U1488,'[2]AP Opportunity'!$Q$1:$T$542,4,FALSE)</f>
        <v>0</v>
      </c>
      <c r="Y1488" s="77">
        <f t="shared" si="4773"/>
        <v>1</v>
      </c>
      <c r="Z1488" s="77">
        <f t="shared" si="4777"/>
        <v>6.4624999704999977E-2</v>
      </c>
      <c r="AA1488" s="77">
        <f t="shared" si="4778"/>
        <v>5.2321923767311151E-3</v>
      </c>
      <c r="AB1488" s="79">
        <v>1</v>
      </c>
      <c r="AC1488" s="77">
        <f t="shared" si="4742"/>
        <v>8.499999955555556E-3</v>
      </c>
      <c r="AD1488" s="77">
        <f t="shared" ref="AD1488" si="4783">1-(1-AC1488)^(1/12)</f>
        <v>7.1110795759765644E-4</v>
      </c>
      <c r="AE1488" s="77">
        <f t="shared" si="4744"/>
        <v>2.5000000000000001E-3</v>
      </c>
      <c r="AF1488" s="77">
        <f t="shared" ref="AF1488" si="4784">1-(1-AE1488)^(1/12)</f>
        <v>2.0857243058891584E-4</v>
      </c>
      <c r="AH1488" t="s">
        <v>175</v>
      </c>
      <c r="AI1488" t="s">
        <v>180</v>
      </c>
      <c r="AJ1488" s="197" t="str">
        <f t="shared" si="4735"/>
        <v>Lifecycle_Opportunity_141</v>
      </c>
      <c r="AK1488">
        <v>141</v>
      </c>
      <c r="AL1488">
        <f>VLOOKUP($U1488,[2]Standard_Opportunity!$Q$1:$T$542,2,FALSE)</f>
        <v>0.99999997777777772</v>
      </c>
      <c r="AM1488">
        <f>VLOOKUP($U1488,[2]Standard_Opportunity!$Q$1:$T$542,3,FALSE)</f>
        <v>2.2222222284540294E-8</v>
      </c>
      <c r="AN1488">
        <f>VLOOKUP($U1488,[2]Standard_Opportunity!$Q$1:$T$542,4,FALSE)</f>
        <v>0</v>
      </c>
      <c r="AO1488" s="77">
        <f t="shared" si="4736"/>
        <v>1</v>
      </c>
      <c r="AP1488" s="77">
        <f t="shared" si="4746"/>
        <v>6.4624999704999977E-2</v>
      </c>
      <c r="AQ1488" s="77">
        <f t="shared" si="4737"/>
        <v>5.2321923767311151E-3</v>
      </c>
      <c r="AR1488" s="79">
        <v>0</v>
      </c>
      <c r="AS1488" s="77">
        <f t="shared" si="4747"/>
        <v>0</v>
      </c>
      <c r="AT1488" s="77">
        <f t="shared" si="4748"/>
        <v>0</v>
      </c>
      <c r="AU1488" s="77">
        <f t="shared" si="4749"/>
        <v>2.5000000000000001E-3</v>
      </c>
      <c r="AV1488" s="77">
        <f t="shared" si="4750"/>
        <v>2.0809499864316017E-4</v>
      </c>
    </row>
    <row r="1489" spans="1:48">
      <c r="A1489" t="s">
        <v>175</v>
      </c>
      <c r="B1489" t="s">
        <v>180</v>
      </c>
      <c r="C1489" s="197" t="str">
        <f t="shared" si="4771"/>
        <v>Lifecycle_Opportunity_140</v>
      </c>
      <c r="D1489">
        <v>140</v>
      </c>
      <c r="E1489">
        <f>VLOOKUP($D1489,'[2]LC Opportunity'!$Q$2:$U$542,2,FALSE)</f>
        <v>0</v>
      </c>
      <c r="F1489">
        <f>VLOOKUP($D1489,'[2]LC Opportunity'!$Q$2:$U$542,3,FALSE)</f>
        <v>0</v>
      </c>
      <c r="G1489">
        <f>VLOOKUP($D1489,'[2]LC Opportunity'!$Q$2:$U$542,4,FALSE)</f>
        <v>0.13366666666666668</v>
      </c>
      <c r="H1489">
        <f>VLOOKUP($D1489,'[2]LC Opportunity'!$Q$2:$U$542,5,FALSE)</f>
        <v>0.86633333333333329</v>
      </c>
      <c r="I1489" s="77">
        <f t="shared" si="4731"/>
        <v>1</v>
      </c>
      <c r="J1489" s="77">
        <f t="shared" si="4732"/>
        <v>7.1014208333333328E-2</v>
      </c>
      <c r="K1489" s="77">
        <f t="shared" si="4776"/>
        <v>5.7335456976823629E-3</v>
      </c>
      <c r="L1489" s="76">
        <v>0</v>
      </c>
      <c r="M1489" s="77">
        <f t="shared" si="4738"/>
        <v>0</v>
      </c>
      <c r="N1489" s="77">
        <f t="shared" si="4739"/>
        <v>0</v>
      </c>
      <c r="O1489" s="77">
        <f t="shared" si="4740"/>
        <v>5.2940666666666672E-3</v>
      </c>
      <c r="P1489" s="77">
        <f t="shared" si="4741"/>
        <v>4.4224633808054303E-4</v>
      </c>
      <c r="R1489" t="s">
        <v>177</v>
      </c>
      <c r="S1489" t="s">
        <v>180</v>
      </c>
      <c r="T1489" s="197" t="str">
        <f t="shared" si="4772"/>
        <v>Autopilot_Opportunity_140</v>
      </c>
      <c r="U1489">
        <v>140</v>
      </c>
      <c r="V1489">
        <f>VLOOKUP($U1489,'[2]AP Opportunity'!$Q$1:$T$542,2,FALSE)</f>
        <v>0.99999997777777772</v>
      </c>
      <c r="W1489">
        <f>VLOOKUP($U1489,'[2]AP Opportunity'!$Q$1:$T$542,3,FALSE)</f>
        <v>2.2222222284540294E-8</v>
      </c>
      <c r="X1489">
        <f>VLOOKUP($U1489,'[2]AP Opportunity'!$Q$1:$T$542,4,FALSE)</f>
        <v>0</v>
      </c>
      <c r="Y1489" s="77">
        <f t="shared" si="4773"/>
        <v>1</v>
      </c>
      <c r="Z1489" s="77">
        <f t="shared" si="4777"/>
        <v>6.4624999704999977E-2</v>
      </c>
      <c r="AA1489" s="77">
        <f t="shared" si="4778"/>
        <v>5.2321923767311151E-3</v>
      </c>
      <c r="AB1489" s="79">
        <v>1</v>
      </c>
      <c r="AC1489" s="77">
        <f t="shared" si="4742"/>
        <v>8.499999955555556E-3</v>
      </c>
      <c r="AD1489" s="77">
        <f t="shared" ref="AD1489" si="4785">1-(1-AC1489)^(1/12)</f>
        <v>7.1110795759765644E-4</v>
      </c>
      <c r="AE1489" s="77">
        <f t="shared" si="4744"/>
        <v>2.5000000000000001E-3</v>
      </c>
      <c r="AF1489" s="77">
        <f t="shared" ref="AF1489" si="4786">1-(1-AE1489)^(1/12)</f>
        <v>2.0857243058891584E-4</v>
      </c>
      <c r="AH1489" t="s">
        <v>175</v>
      </c>
      <c r="AI1489" t="s">
        <v>180</v>
      </c>
      <c r="AJ1489" s="197" t="str">
        <f t="shared" si="4735"/>
        <v>Lifecycle_Opportunity_140</v>
      </c>
      <c r="AK1489">
        <v>140</v>
      </c>
      <c r="AL1489">
        <f>VLOOKUP($U1489,[2]Standard_Opportunity!$Q$1:$T$542,2,FALSE)</f>
        <v>0.99999997777777772</v>
      </c>
      <c r="AM1489">
        <f>VLOOKUP($U1489,[2]Standard_Opportunity!$Q$1:$T$542,3,FALSE)</f>
        <v>2.2222222284540294E-8</v>
      </c>
      <c r="AN1489">
        <f>VLOOKUP($U1489,[2]Standard_Opportunity!$Q$1:$T$542,4,FALSE)</f>
        <v>0</v>
      </c>
      <c r="AO1489" s="77">
        <f t="shared" si="4736"/>
        <v>1</v>
      </c>
      <c r="AP1489" s="77">
        <f t="shared" si="4746"/>
        <v>6.4624999704999977E-2</v>
      </c>
      <c r="AQ1489" s="77">
        <f t="shared" si="4737"/>
        <v>5.2321923767311151E-3</v>
      </c>
      <c r="AR1489" s="79">
        <v>0</v>
      </c>
      <c r="AS1489" s="77">
        <f t="shared" si="4747"/>
        <v>0</v>
      </c>
      <c r="AT1489" s="77">
        <f t="shared" si="4748"/>
        <v>0</v>
      </c>
      <c r="AU1489" s="77">
        <f t="shared" si="4749"/>
        <v>2.5000000000000001E-3</v>
      </c>
      <c r="AV1489" s="77">
        <f t="shared" si="4750"/>
        <v>2.0809499864316017E-4</v>
      </c>
    </row>
    <row r="1490" spans="1:48">
      <c r="A1490" t="s">
        <v>175</v>
      </c>
      <c r="B1490" t="s">
        <v>180</v>
      </c>
      <c r="C1490" s="197" t="str">
        <f t="shared" si="4771"/>
        <v>Lifecycle_Opportunity_139</v>
      </c>
      <c r="D1490">
        <v>139</v>
      </c>
      <c r="E1490">
        <f>VLOOKUP($D1490,'[2]LC Opportunity'!$Q$2:$U$542,2,FALSE)</f>
        <v>0</v>
      </c>
      <c r="F1490">
        <f>VLOOKUP($D1490,'[2]LC Opportunity'!$Q$2:$U$542,3,FALSE)</f>
        <v>0</v>
      </c>
      <c r="G1490">
        <f>VLOOKUP($D1490,'[2]LC Opportunity'!$Q$2:$U$542,4,FALSE)</f>
        <v>0.16708333333333333</v>
      </c>
      <c r="H1490">
        <f>VLOOKUP($D1490,'[2]LC Opportunity'!$Q$2:$U$542,5,FALSE)</f>
        <v>0.83291666666666664</v>
      </c>
      <c r="I1490" s="77">
        <f t="shared" si="4731"/>
        <v>1</v>
      </c>
      <c r="J1490" s="77">
        <f t="shared" si="4732"/>
        <v>7.0767760416666659E-2</v>
      </c>
      <c r="K1490" s="77">
        <f t="shared" si="4776"/>
        <v>5.7142581320732688E-3</v>
      </c>
      <c r="L1490" s="76">
        <v>0</v>
      </c>
      <c r="M1490" s="77">
        <f t="shared" si="4738"/>
        <v>0</v>
      </c>
      <c r="N1490" s="77">
        <f t="shared" si="4739"/>
        <v>0</v>
      </c>
      <c r="O1490" s="77">
        <f t="shared" si="4740"/>
        <v>5.3675833333333336E-3</v>
      </c>
      <c r="P1490" s="77">
        <f t="shared" si="4741"/>
        <v>4.4840281785696323E-4</v>
      </c>
      <c r="R1490" t="s">
        <v>177</v>
      </c>
      <c r="S1490" t="s">
        <v>180</v>
      </c>
      <c r="T1490" s="197" t="str">
        <f t="shared" si="4772"/>
        <v>Autopilot_Opportunity_139</v>
      </c>
      <c r="U1490">
        <v>139</v>
      </c>
      <c r="V1490">
        <f>VLOOKUP($U1490,'[2]AP Opportunity'!$Q$1:$T$542,2,FALSE)</f>
        <v>0.99999997777777772</v>
      </c>
      <c r="W1490">
        <f>VLOOKUP($U1490,'[2]AP Opportunity'!$Q$1:$T$542,3,FALSE)</f>
        <v>2.2222222284540294E-8</v>
      </c>
      <c r="X1490">
        <f>VLOOKUP($U1490,'[2]AP Opportunity'!$Q$1:$T$542,4,FALSE)</f>
        <v>0</v>
      </c>
      <c r="Y1490" s="77">
        <f t="shared" si="4773"/>
        <v>1</v>
      </c>
      <c r="Z1490" s="77">
        <f t="shared" si="4777"/>
        <v>6.4624999704999977E-2</v>
      </c>
      <c r="AA1490" s="77">
        <f t="shared" si="4778"/>
        <v>5.2321923767311151E-3</v>
      </c>
      <c r="AB1490" s="79">
        <v>1</v>
      </c>
      <c r="AC1490" s="77">
        <f t="shared" si="4742"/>
        <v>8.499999955555556E-3</v>
      </c>
      <c r="AD1490" s="77">
        <f t="shared" ref="AD1490" si="4787">1-(1-AC1490)^(1/12)</f>
        <v>7.1110795759765644E-4</v>
      </c>
      <c r="AE1490" s="77">
        <f t="shared" si="4744"/>
        <v>2.5000000000000001E-3</v>
      </c>
      <c r="AF1490" s="77">
        <f t="shared" ref="AF1490" si="4788">1-(1-AE1490)^(1/12)</f>
        <v>2.0857243058891584E-4</v>
      </c>
      <c r="AH1490" t="s">
        <v>175</v>
      </c>
      <c r="AI1490" t="s">
        <v>180</v>
      </c>
      <c r="AJ1490" s="197" t="str">
        <f t="shared" si="4735"/>
        <v>Lifecycle_Opportunity_139</v>
      </c>
      <c r="AK1490">
        <v>139</v>
      </c>
      <c r="AL1490">
        <f>VLOOKUP($U1490,[2]Standard_Opportunity!$Q$1:$T$542,2,FALSE)</f>
        <v>0.99999997777777772</v>
      </c>
      <c r="AM1490">
        <f>VLOOKUP($U1490,[2]Standard_Opportunity!$Q$1:$T$542,3,FALSE)</f>
        <v>2.2222222284540294E-8</v>
      </c>
      <c r="AN1490">
        <f>VLOOKUP($U1490,[2]Standard_Opportunity!$Q$1:$T$542,4,FALSE)</f>
        <v>0</v>
      </c>
      <c r="AO1490" s="77">
        <f t="shared" si="4736"/>
        <v>1</v>
      </c>
      <c r="AP1490" s="77">
        <f t="shared" si="4746"/>
        <v>6.4624999704999977E-2</v>
      </c>
      <c r="AQ1490" s="77">
        <f t="shared" si="4737"/>
        <v>5.2321923767311151E-3</v>
      </c>
      <c r="AR1490" s="79">
        <v>0</v>
      </c>
      <c r="AS1490" s="77">
        <f t="shared" si="4747"/>
        <v>0</v>
      </c>
      <c r="AT1490" s="77">
        <f t="shared" si="4748"/>
        <v>0</v>
      </c>
      <c r="AU1490" s="77">
        <f t="shared" si="4749"/>
        <v>2.5000000000000001E-3</v>
      </c>
      <c r="AV1490" s="77">
        <f t="shared" si="4750"/>
        <v>2.0809499864316017E-4</v>
      </c>
    </row>
    <row r="1491" spans="1:48">
      <c r="A1491" t="s">
        <v>175</v>
      </c>
      <c r="B1491" t="s">
        <v>180</v>
      </c>
      <c r="C1491" s="197" t="str">
        <f t="shared" si="4771"/>
        <v>Lifecycle_Opportunity_138</v>
      </c>
      <c r="D1491">
        <v>138</v>
      </c>
      <c r="E1491">
        <f>VLOOKUP($D1491,'[2]LC Opportunity'!$Q$2:$U$542,2,FALSE)</f>
        <v>0</v>
      </c>
      <c r="F1491">
        <f>VLOOKUP($D1491,'[2]LC Opportunity'!$Q$2:$U$542,3,FALSE)</f>
        <v>0</v>
      </c>
      <c r="G1491">
        <f>VLOOKUP($D1491,'[2]LC Opportunity'!$Q$2:$U$542,4,FALSE)</f>
        <v>0.20050000000000001</v>
      </c>
      <c r="H1491">
        <f>VLOOKUP($D1491,'[2]LC Opportunity'!$Q$2:$U$542,5,FALSE)</f>
        <v>0.79949999999999988</v>
      </c>
      <c r="I1491" s="77">
        <f t="shared" si="4731"/>
        <v>0.99999999999999989</v>
      </c>
      <c r="J1491" s="77">
        <f t="shared" si="4732"/>
        <v>7.0521312499999989E-2</v>
      </c>
      <c r="K1491" s="77">
        <f t="shared" si="4776"/>
        <v>5.6949664967440583E-3</v>
      </c>
      <c r="L1491" s="76">
        <v>0</v>
      </c>
      <c r="M1491" s="77">
        <f t="shared" si="4738"/>
        <v>0</v>
      </c>
      <c r="N1491" s="77">
        <f t="shared" si="4739"/>
        <v>0</v>
      </c>
      <c r="O1491" s="77">
        <f t="shared" si="4740"/>
        <v>5.4410999999999991E-3</v>
      </c>
      <c r="P1491" s="77">
        <f t="shared" si="4741"/>
        <v>4.5455971477326162E-4</v>
      </c>
      <c r="R1491" t="s">
        <v>177</v>
      </c>
      <c r="S1491" t="s">
        <v>180</v>
      </c>
      <c r="T1491" s="197" t="str">
        <f t="shared" si="4772"/>
        <v>Autopilot_Opportunity_138</v>
      </c>
      <c r="U1491">
        <v>138</v>
      </c>
      <c r="V1491">
        <f>VLOOKUP($U1491,'[2]AP Opportunity'!$Q$1:$T$542,2,FALSE)</f>
        <v>0.99999997777777772</v>
      </c>
      <c r="W1491">
        <f>VLOOKUP($U1491,'[2]AP Opportunity'!$Q$1:$T$542,3,FALSE)</f>
        <v>2.2222222284540294E-8</v>
      </c>
      <c r="X1491">
        <f>VLOOKUP($U1491,'[2]AP Opportunity'!$Q$1:$T$542,4,FALSE)</f>
        <v>0</v>
      </c>
      <c r="Y1491" s="77">
        <f t="shared" si="4773"/>
        <v>1</v>
      </c>
      <c r="Z1491" s="77">
        <f t="shared" si="4777"/>
        <v>6.4624999704999977E-2</v>
      </c>
      <c r="AA1491" s="77">
        <f t="shared" si="4778"/>
        <v>5.2321923767311151E-3</v>
      </c>
      <c r="AB1491" s="79">
        <v>1</v>
      </c>
      <c r="AC1491" s="77">
        <f t="shared" si="4742"/>
        <v>8.499999955555556E-3</v>
      </c>
      <c r="AD1491" s="77">
        <f t="shared" ref="AD1491" si="4789">1-(1-AC1491)^(1/12)</f>
        <v>7.1110795759765644E-4</v>
      </c>
      <c r="AE1491" s="77">
        <f t="shared" si="4744"/>
        <v>2.5000000000000001E-3</v>
      </c>
      <c r="AF1491" s="77">
        <f t="shared" ref="AF1491" si="4790">1-(1-AE1491)^(1/12)</f>
        <v>2.0857243058891584E-4</v>
      </c>
      <c r="AH1491" t="s">
        <v>175</v>
      </c>
      <c r="AI1491" t="s">
        <v>180</v>
      </c>
      <c r="AJ1491" s="197" t="str">
        <f t="shared" si="4735"/>
        <v>Lifecycle_Opportunity_138</v>
      </c>
      <c r="AK1491">
        <v>138</v>
      </c>
      <c r="AL1491">
        <f>VLOOKUP($U1491,[2]Standard_Opportunity!$Q$1:$T$542,2,FALSE)</f>
        <v>0.99999997777777772</v>
      </c>
      <c r="AM1491">
        <f>VLOOKUP($U1491,[2]Standard_Opportunity!$Q$1:$T$542,3,FALSE)</f>
        <v>2.2222222284540294E-8</v>
      </c>
      <c r="AN1491">
        <f>VLOOKUP($U1491,[2]Standard_Opportunity!$Q$1:$T$542,4,FALSE)</f>
        <v>0</v>
      </c>
      <c r="AO1491" s="77">
        <f t="shared" si="4736"/>
        <v>1</v>
      </c>
      <c r="AP1491" s="77">
        <f t="shared" si="4746"/>
        <v>6.4624999704999977E-2</v>
      </c>
      <c r="AQ1491" s="77">
        <f t="shared" si="4737"/>
        <v>5.2321923767311151E-3</v>
      </c>
      <c r="AR1491" s="79">
        <v>0</v>
      </c>
      <c r="AS1491" s="77">
        <f t="shared" si="4747"/>
        <v>0</v>
      </c>
      <c r="AT1491" s="77">
        <f t="shared" si="4748"/>
        <v>0</v>
      </c>
      <c r="AU1491" s="77">
        <f t="shared" si="4749"/>
        <v>2.5000000000000001E-3</v>
      </c>
      <c r="AV1491" s="77">
        <f t="shared" si="4750"/>
        <v>2.0809499864316017E-4</v>
      </c>
    </row>
    <row r="1492" spans="1:48">
      <c r="A1492" t="s">
        <v>175</v>
      </c>
      <c r="B1492" t="s">
        <v>180</v>
      </c>
      <c r="C1492" s="197" t="str">
        <f t="shared" si="4771"/>
        <v>Lifecycle_Opportunity_137</v>
      </c>
      <c r="D1492">
        <v>137</v>
      </c>
      <c r="E1492">
        <f>VLOOKUP($D1492,'[2]LC Opportunity'!$Q$2:$U$542,2,FALSE)</f>
        <v>0</v>
      </c>
      <c r="F1492">
        <f>VLOOKUP($D1492,'[2]LC Opportunity'!$Q$2:$U$542,3,FALSE)</f>
        <v>0</v>
      </c>
      <c r="G1492">
        <f>VLOOKUP($D1492,'[2]LC Opportunity'!$Q$2:$U$542,4,FALSE)</f>
        <v>0.23391666666666669</v>
      </c>
      <c r="H1492">
        <f>VLOOKUP($D1492,'[2]LC Opportunity'!$Q$2:$U$542,5,FALSE)</f>
        <v>0.76608333333333323</v>
      </c>
      <c r="I1492" s="77">
        <f t="shared" si="4731"/>
        <v>0.99999999999999989</v>
      </c>
      <c r="J1492" s="77">
        <f t="shared" si="4732"/>
        <v>7.0274864583333319E-2</v>
      </c>
      <c r="K1492" s="77">
        <f t="shared" si="4776"/>
        <v>5.6756707898990566E-3</v>
      </c>
      <c r="L1492" s="76">
        <v>0</v>
      </c>
      <c r="M1492" s="77">
        <f t="shared" si="4738"/>
        <v>0</v>
      </c>
      <c r="N1492" s="77">
        <f t="shared" si="4739"/>
        <v>0</v>
      </c>
      <c r="O1492" s="77">
        <f t="shared" si="4740"/>
        <v>5.5146166666666663E-3</v>
      </c>
      <c r="P1492" s="77">
        <f t="shared" si="4741"/>
        <v>4.6071702888872412E-4</v>
      </c>
      <c r="R1492" t="s">
        <v>177</v>
      </c>
      <c r="S1492" t="s">
        <v>180</v>
      </c>
      <c r="T1492" s="197" t="str">
        <f t="shared" si="4772"/>
        <v>Autopilot_Opportunity_137</v>
      </c>
      <c r="U1492">
        <v>137</v>
      </c>
      <c r="V1492">
        <f>VLOOKUP($U1492,'[2]AP Opportunity'!$Q$1:$T$542,2,FALSE)</f>
        <v>0.99999997777777772</v>
      </c>
      <c r="W1492">
        <f>VLOOKUP($U1492,'[2]AP Opportunity'!$Q$1:$T$542,3,FALSE)</f>
        <v>2.2222222284540294E-8</v>
      </c>
      <c r="X1492">
        <f>VLOOKUP($U1492,'[2]AP Opportunity'!$Q$1:$T$542,4,FALSE)</f>
        <v>0</v>
      </c>
      <c r="Y1492" s="77">
        <f t="shared" si="4773"/>
        <v>1</v>
      </c>
      <c r="Z1492" s="77">
        <f t="shared" si="4777"/>
        <v>6.4624999704999977E-2</v>
      </c>
      <c r="AA1492" s="77">
        <f t="shared" si="4778"/>
        <v>5.2321923767311151E-3</v>
      </c>
      <c r="AB1492" s="79">
        <v>1</v>
      </c>
      <c r="AC1492" s="77">
        <f t="shared" si="4742"/>
        <v>8.499999955555556E-3</v>
      </c>
      <c r="AD1492" s="77">
        <f t="shared" ref="AD1492" si="4791">1-(1-AC1492)^(1/12)</f>
        <v>7.1110795759765644E-4</v>
      </c>
      <c r="AE1492" s="77">
        <f t="shared" si="4744"/>
        <v>2.5000000000000001E-3</v>
      </c>
      <c r="AF1492" s="77">
        <f t="shared" ref="AF1492" si="4792">1-(1-AE1492)^(1/12)</f>
        <v>2.0857243058891584E-4</v>
      </c>
      <c r="AH1492" t="s">
        <v>175</v>
      </c>
      <c r="AI1492" t="s">
        <v>180</v>
      </c>
      <c r="AJ1492" s="197" t="str">
        <f t="shared" si="4735"/>
        <v>Lifecycle_Opportunity_137</v>
      </c>
      <c r="AK1492">
        <v>137</v>
      </c>
      <c r="AL1492">
        <f>VLOOKUP($U1492,[2]Standard_Opportunity!$Q$1:$T$542,2,FALSE)</f>
        <v>0.99999997777777772</v>
      </c>
      <c r="AM1492">
        <f>VLOOKUP($U1492,[2]Standard_Opportunity!$Q$1:$T$542,3,FALSE)</f>
        <v>2.2222222284540294E-8</v>
      </c>
      <c r="AN1492">
        <f>VLOOKUP($U1492,[2]Standard_Opportunity!$Q$1:$T$542,4,FALSE)</f>
        <v>0</v>
      </c>
      <c r="AO1492" s="77">
        <f t="shared" si="4736"/>
        <v>1</v>
      </c>
      <c r="AP1492" s="77">
        <f t="shared" si="4746"/>
        <v>6.4624999704999977E-2</v>
      </c>
      <c r="AQ1492" s="77">
        <f t="shared" si="4737"/>
        <v>5.2321923767311151E-3</v>
      </c>
      <c r="AR1492" s="79">
        <v>0</v>
      </c>
      <c r="AS1492" s="77">
        <f t="shared" si="4747"/>
        <v>0</v>
      </c>
      <c r="AT1492" s="77">
        <f t="shared" si="4748"/>
        <v>0</v>
      </c>
      <c r="AU1492" s="77">
        <f t="shared" si="4749"/>
        <v>2.5000000000000001E-3</v>
      </c>
      <c r="AV1492" s="77">
        <f t="shared" si="4750"/>
        <v>2.0809499864316017E-4</v>
      </c>
    </row>
    <row r="1493" spans="1:48">
      <c r="A1493" t="s">
        <v>175</v>
      </c>
      <c r="B1493" t="s">
        <v>180</v>
      </c>
      <c r="C1493" s="197" t="str">
        <f t="shared" si="4771"/>
        <v>Lifecycle_Opportunity_136</v>
      </c>
      <c r="D1493">
        <v>136</v>
      </c>
      <c r="E1493">
        <f>VLOOKUP($D1493,'[2]LC Opportunity'!$Q$2:$U$542,2,FALSE)</f>
        <v>0</v>
      </c>
      <c r="F1493">
        <f>VLOOKUP($D1493,'[2]LC Opportunity'!$Q$2:$U$542,3,FALSE)</f>
        <v>0</v>
      </c>
      <c r="G1493">
        <f>VLOOKUP($D1493,'[2]LC Opportunity'!$Q$2:$U$542,4,FALSE)</f>
        <v>0.26733333333333337</v>
      </c>
      <c r="H1493">
        <f>VLOOKUP($D1493,'[2]LC Opportunity'!$Q$2:$U$542,5,FALSE)</f>
        <v>0.73266666666666658</v>
      </c>
      <c r="I1493" s="77">
        <f t="shared" si="4731"/>
        <v>1</v>
      </c>
      <c r="J1493" s="77">
        <f t="shared" si="4732"/>
        <v>7.0028416666666649E-2</v>
      </c>
      <c r="K1493" s="77">
        <f t="shared" si="4776"/>
        <v>5.6563710097408126E-3</v>
      </c>
      <c r="L1493" s="76">
        <v>0</v>
      </c>
      <c r="M1493" s="77">
        <f t="shared" si="4738"/>
        <v>0</v>
      </c>
      <c r="N1493" s="77">
        <f t="shared" si="4739"/>
        <v>0</v>
      </c>
      <c r="O1493" s="77">
        <f t="shared" si="4740"/>
        <v>5.5881333333333335E-3</v>
      </c>
      <c r="P1493" s="77">
        <f t="shared" si="4741"/>
        <v>4.6687476026241459E-4</v>
      </c>
      <c r="R1493" t="s">
        <v>177</v>
      </c>
      <c r="S1493" t="s">
        <v>180</v>
      </c>
      <c r="T1493" s="197" t="str">
        <f t="shared" si="4772"/>
        <v>Autopilot_Opportunity_136</v>
      </c>
      <c r="U1493">
        <v>136</v>
      </c>
      <c r="V1493">
        <f>VLOOKUP($U1493,'[2]AP Opportunity'!$Q$1:$T$542,2,FALSE)</f>
        <v>0.99999997777777772</v>
      </c>
      <c r="W1493">
        <f>VLOOKUP($U1493,'[2]AP Opportunity'!$Q$1:$T$542,3,FALSE)</f>
        <v>2.2222222284540294E-8</v>
      </c>
      <c r="X1493">
        <f>VLOOKUP($U1493,'[2]AP Opportunity'!$Q$1:$T$542,4,FALSE)</f>
        <v>0</v>
      </c>
      <c r="Y1493" s="77">
        <f t="shared" si="4773"/>
        <v>1</v>
      </c>
      <c r="Z1493" s="77">
        <f t="shared" si="4777"/>
        <v>6.4624999704999977E-2</v>
      </c>
      <c r="AA1493" s="77">
        <f t="shared" si="4778"/>
        <v>5.2321923767311151E-3</v>
      </c>
      <c r="AB1493" s="79">
        <v>1</v>
      </c>
      <c r="AC1493" s="77">
        <f t="shared" si="4742"/>
        <v>8.499999955555556E-3</v>
      </c>
      <c r="AD1493" s="77">
        <f t="shared" ref="AD1493" si="4793">1-(1-AC1493)^(1/12)</f>
        <v>7.1110795759765644E-4</v>
      </c>
      <c r="AE1493" s="77">
        <f t="shared" si="4744"/>
        <v>2.5000000000000001E-3</v>
      </c>
      <c r="AF1493" s="77">
        <f t="shared" ref="AF1493" si="4794">1-(1-AE1493)^(1/12)</f>
        <v>2.0857243058891584E-4</v>
      </c>
      <c r="AH1493" t="s">
        <v>175</v>
      </c>
      <c r="AI1493" t="s">
        <v>180</v>
      </c>
      <c r="AJ1493" s="197" t="str">
        <f t="shared" si="4735"/>
        <v>Lifecycle_Opportunity_136</v>
      </c>
      <c r="AK1493">
        <v>136</v>
      </c>
      <c r="AL1493">
        <f>VLOOKUP($U1493,[2]Standard_Opportunity!$Q$1:$T$542,2,FALSE)</f>
        <v>0.99999997777777772</v>
      </c>
      <c r="AM1493">
        <f>VLOOKUP($U1493,[2]Standard_Opportunity!$Q$1:$T$542,3,FALSE)</f>
        <v>2.2222222284540294E-8</v>
      </c>
      <c r="AN1493">
        <f>VLOOKUP($U1493,[2]Standard_Opportunity!$Q$1:$T$542,4,FALSE)</f>
        <v>0</v>
      </c>
      <c r="AO1493" s="77">
        <f t="shared" si="4736"/>
        <v>1</v>
      </c>
      <c r="AP1493" s="77">
        <f t="shared" si="4746"/>
        <v>6.4624999704999977E-2</v>
      </c>
      <c r="AQ1493" s="77">
        <f t="shared" si="4737"/>
        <v>5.2321923767311151E-3</v>
      </c>
      <c r="AR1493" s="79">
        <v>0</v>
      </c>
      <c r="AS1493" s="77">
        <f t="shared" si="4747"/>
        <v>0</v>
      </c>
      <c r="AT1493" s="77">
        <f t="shared" si="4748"/>
        <v>0</v>
      </c>
      <c r="AU1493" s="77">
        <f t="shared" si="4749"/>
        <v>2.5000000000000001E-3</v>
      </c>
      <c r="AV1493" s="77">
        <f t="shared" si="4750"/>
        <v>2.0809499864316017E-4</v>
      </c>
    </row>
    <row r="1494" spans="1:48">
      <c r="A1494" t="s">
        <v>175</v>
      </c>
      <c r="B1494" t="s">
        <v>180</v>
      </c>
      <c r="C1494" s="197" t="str">
        <f t="shared" si="4771"/>
        <v>Lifecycle_Opportunity_135</v>
      </c>
      <c r="D1494">
        <v>135</v>
      </c>
      <c r="E1494">
        <f>VLOOKUP($D1494,'[2]LC Opportunity'!$Q$2:$U$542,2,FALSE)</f>
        <v>0</v>
      </c>
      <c r="F1494">
        <f>VLOOKUP($D1494,'[2]LC Opportunity'!$Q$2:$U$542,3,FALSE)</f>
        <v>0</v>
      </c>
      <c r="G1494">
        <f>VLOOKUP($D1494,'[2]LC Opportunity'!$Q$2:$U$542,4,FALSE)</f>
        <v>0.30075000000000002</v>
      </c>
      <c r="H1494">
        <f>VLOOKUP($D1494,'[2]LC Opportunity'!$Q$2:$U$542,5,FALSE)</f>
        <v>0.69924999999999993</v>
      </c>
      <c r="I1494" s="77">
        <f t="shared" si="4731"/>
        <v>1</v>
      </c>
      <c r="J1494" s="77">
        <f t="shared" si="4732"/>
        <v>6.9781968749999979E-2</v>
      </c>
      <c r="K1494" s="77">
        <f t="shared" si="4776"/>
        <v>5.6370671544709872E-3</v>
      </c>
      <c r="L1494" s="76">
        <v>0</v>
      </c>
      <c r="M1494" s="77">
        <f t="shared" si="4738"/>
        <v>0</v>
      </c>
      <c r="N1494" s="77">
        <f t="shared" si="4739"/>
        <v>0</v>
      </c>
      <c r="O1494" s="77">
        <f t="shared" si="4740"/>
        <v>5.6616499999999998E-3</v>
      </c>
      <c r="P1494" s="77">
        <f t="shared" si="4741"/>
        <v>4.7303290895339689E-4</v>
      </c>
      <c r="R1494" t="s">
        <v>177</v>
      </c>
      <c r="S1494" t="s">
        <v>180</v>
      </c>
      <c r="T1494" s="197" t="str">
        <f t="shared" si="4772"/>
        <v>Autopilot_Opportunity_135</v>
      </c>
      <c r="U1494">
        <v>135</v>
      </c>
      <c r="V1494">
        <f>VLOOKUP($U1494,'[2]AP Opportunity'!$Q$1:$T$542,2,FALSE)</f>
        <v>0.99999997777777772</v>
      </c>
      <c r="W1494">
        <f>VLOOKUP($U1494,'[2]AP Opportunity'!$Q$1:$T$542,3,FALSE)</f>
        <v>2.2222222284540294E-8</v>
      </c>
      <c r="X1494">
        <f>VLOOKUP($U1494,'[2]AP Opportunity'!$Q$1:$T$542,4,FALSE)</f>
        <v>0</v>
      </c>
      <c r="Y1494" s="77">
        <f t="shared" si="4773"/>
        <v>1</v>
      </c>
      <c r="Z1494" s="77">
        <f t="shared" si="4777"/>
        <v>6.4624999704999977E-2</v>
      </c>
      <c r="AA1494" s="77">
        <f t="shared" si="4778"/>
        <v>5.2321923767311151E-3</v>
      </c>
      <c r="AB1494" s="79">
        <v>1</v>
      </c>
      <c r="AC1494" s="77">
        <f t="shared" si="4742"/>
        <v>8.499999955555556E-3</v>
      </c>
      <c r="AD1494" s="77">
        <f t="shared" ref="AD1494" si="4795">1-(1-AC1494)^(1/12)</f>
        <v>7.1110795759765644E-4</v>
      </c>
      <c r="AE1494" s="77">
        <f t="shared" si="4744"/>
        <v>2.5000000000000001E-3</v>
      </c>
      <c r="AF1494" s="77">
        <f t="shared" ref="AF1494" si="4796">1-(1-AE1494)^(1/12)</f>
        <v>2.0857243058891584E-4</v>
      </c>
      <c r="AH1494" t="s">
        <v>175</v>
      </c>
      <c r="AI1494" t="s">
        <v>180</v>
      </c>
      <c r="AJ1494" s="197" t="str">
        <f t="shared" si="4735"/>
        <v>Lifecycle_Opportunity_135</v>
      </c>
      <c r="AK1494">
        <v>135</v>
      </c>
      <c r="AL1494">
        <f>VLOOKUP($U1494,[2]Standard_Opportunity!$Q$1:$T$542,2,FALSE)</f>
        <v>0.99999997777777772</v>
      </c>
      <c r="AM1494">
        <f>VLOOKUP($U1494,[2]Standard_Opportunity!$Q$1:$T$542,3,FALSE)</f>
        <v>2.2222222284540294E-8</v>
      </c>
      <c r="AN1494">
        <f>VLOOKUP($U1494,[2]Standard_Opportunity!$Q$1:$T$542,4,FALSE)</f>
        <v>0</v>
      </c>
      <c r="AO1494" s="77">
        <f t="shared" si="4736"/>
        <v>1</v>
      </c>
      <c r="AP1494" s="77">
        <f t="shared" si="4746"/>
        <v>6.4624999704999977E-2</v>
      </c>
      <c r="AQ1494" s="77">
        <f t="shared" si="4737"/>
        <v>5.2321923767311151E-3</v>
      </c>
      <c r="AR1494" s="79">
        <v>0</v>
      </c>
      <c r="AS1494" s="77">
        <f t="shared" si="4747"/>
        <v>0</v>
      </c>
      <c r="AT1494" s="77">
        <f t="shared" si="4748"/>
        <v>0</v>
      </c>
      <c r="AU1494" s="77">
        <f t="shared" si="4749"/>
        <v>2.5000000000000001E-3</v>
      </c>
      <c r="AV1494" s="77">
        <f t="shared" si="4750"/>
        <v>2.0809499864316017E-4</v>
      </c>
    </row>
    <row r="1495" spans="1:48">
      <c r="A1495" t="s">
        <v>175</v>
      </c>
      <c r="B1495" t="s">
        <v>180</v>
      </c>
      <c r="C1495" s="197" t="str">
        <f t="shared" si="4771"/>
        <v>Lifecycle_Opportunity_134</v>
      </c>
      <c r="D1495">
        <v>134</v>
      </c>
      <c r="E1495">
        <f>VLOOKUP($D1495,'[2]LC Opportunity'!$Q$2:$U$542,2,FALSE)</f>
        <v>0</v>
      </c>
      <c r="F1495">
        <f>VLOOKUP($D1495,'[2]LC Opportunity'!$Q$2:$U$542,3,FALSE)</f>
        <v>0</v>
      </c>
      <c r="G1495">
        <f>VLOOKUP($D1495,'[2]LC Opportunity'!$Q$2:$U$542,4,FALSE)</f>
        <v>0.33416666666666667</v>
      </c>
      <c r="H1495">
        <f>VLOOKUP($D1495,'[2]LC Opportunity'!$Q$2:$U$542,5,FALSE)</f>
        <v>0.66583333333333328</v>
      </c>
      <c r="I1495" s="77">
        <f t="shared" si="4731"/>
        <v>1</v>
      </c>
      <c r="J1495" s="77">
        <f t="shared" si="4732"/>
        <v>6.9535520833333322E-2</v>
      </c>
      <c r="K1495" s="77">
        <f t="shared" si="4776"/>
        <v>5.6177592222901307E-3</v>
      </c>
      <c r="L1495" s="76">
        <v>0</v>
      </c>
      <c r="M1495" s="77">
        <f t="shared" si="4738"/>
        <v>0</v>
      </c>
      <c r="N1495" s="77">
        <f t="shared" si="4739"/>
        <v>0</v>
      </c>
      <c r="O1495" s="77">
        <f t="shared" si="4740"/>
        <v>5.7351666666666662E-3</v>
      </c>
      <c r="P1495" s="77">
        <f t="shared" si="4741"/>
        <v>4.7919147502084591E-4</v>
      </c>
      <c r="R1495" t="s">
        <v>177</v>
      </c>
      <c r="S1495" t="s">
        <v>180</v>
      </c>
      <c r="T1495" s="197" t="str">
        <f t="shared" si="4772"/>
        <v>Autopilot_Opportunity_134</v>
      </c>
      <c r="U1495">
        <v>134</v>
      </c>
      <c r="V1495">
        <f>VLOOKUP($U1495,'[2]AP Opportunity'!$Q$1:$T$542,2,FALSE)</f>
        <v>0.99999997777777772</v>
      </c>
      <c r="W1495">
        <f>VLOOKUP($U1495,'[2]AP Opportunity'!$Q$1:$T$542,3,FALSE)</f>
        <v>2.2222222284540294E-8</v>
      </c>
      <c r="X1495">
        <f>VLOOKUP($U1495,'[2]AP Opportunity'!$Q$1:$T$542,4,FALSE)</f>
        <v>0</v>
      </c>
      <c r="Y1495" s="77">
        <f t="shared" si="4773"/>
        <v>1</v>
      </c>
      <c r="Z1495" s="77">
        <f t="shared" si="4777"/>
        <v>6.4624999704999977E-2</v>
      </c>
      <c r="AA1495" s="77">
        <f t="shared" si="4778"/>
        <v>5.2321923767311151E-3</v>
      </c>
      <c r="AB1495" s="79">
        <v>1</v>
      </c>
      <c r="AC1495" s="77">
        <f t="shared" si="4742"/>
        <v>8.499999955555556E-3</v>
      </c>
      <c r="AD1495" s="77">
        <f t="shared" ref="AD1495" si="4797">1-(1-AC1495)^(1/12)</f>
        <v>7.1110795759765644E-4</v>
      </c>
      <c r="AE1495" s="77">
        <f t="shared" si="4744"/>
        <v>2.5000000000000001E-3</v>
      </c>
      <c r="AF1495" s="77">
        <f t="shared" ref="AF1495" si="4798">1-(1-AE1495)^(1/12)</f>
        <v>2.0857243058891584E-4</v>
      </c>
      <c r="AH1495" t="s">
        <v>175</v>
      </c>
      <c r="AI1495" t="s">
        <v>180</v>
      </c>
      <c r="AJ1495" s="197" t="str">
        <f t="shared" si="4735"/>
        <v>Lifecycle_Opportunity_134</v>
      </c>
      <c r="AK1495">
        <v>134</v>
      </c>
      <c r="AL1495">
        <f>VLOOKUP($U1495,[2]Standard_Opportunity!$Q$1:$T$542,2,FALSE)</f>
        <v>0.99999997777777772</v>
      </c>
      <c r="AM1495">
        <f>VLOOKUP($U1495,[2]Standard_Opportunity!$Q$1:$T$542,3,FALSE)</f>
        <v>2.2222222284540294E-8</v>
      </c>
      <c r="AN1495">
        <f>VLOOKUP($U1495,[2]Standard_Opportunity!$Q$1:$T$542,4,FALSE)</f>
        <v>0</v>
      </c>
      <c r="AO1495" s="77">
        <f t="shared" si="4736"/>
        <v>1</v>
      </c>
      <c r="AP1495" s="77">
        <f t="shared" si="4746"/>
        <v>6.4624999704999977E-2</v>
      </c>
      <c r="AQ1495" s="77">
        <f t="shared" si="4737"/>
        <v>5.2321923767311151E-3</v>
      </c>
      <c r="AR1495" s="79">
        <v>0</v>
      </c>
      <c r="AS1495" s="77">
        <f t="shared" si="4747"/>
        <v>0</v>
      </c>
      <c r="AT1495" s="77">
        <f t="shared" si="4748"/>
        <v>0</v>
      </c>
      <c r="AU1495" s="77">
        <f t="shared" si="4749"/>
        <v>2.5000000000000001E-3</v>
      </c>
      <c r="AV1495" s="77">
        <f t="shared" si="4750"/>
        <v>2.0809499864316017E-4</v>
      </c>
    </row>
    <row r="1496" spans="1:48">
      <c r="A1496" t="s">
        <v>175</v>
      </c>
      <c r="B1496" t="s">
        <v>180</v>
      </c>
      <c r="C1496" s="197" t="str">
        <f t="shared" si="4771"/>
        <v>Lifecycle_Opportunity_133</v>
      </c>
      <c r="D1496">
        <v>133</v>
      </c>
      <c r="E1496">
        <f>VLOOKUP($D1496,'[2]LC Opportunity'!$Q$2:$U$542,2,FALSE)</f>
        <v>0</v>
      </c>
      <c r="F1496">
        <f>VLOOKUP($D1496,'[2]LC Opportunity'!$Q$2:$U$542,3,FALSE)</f>
        <v>0</v>
      </c>
      <c r="G1496">
        <f>VLOOKUP($D1496,'[2]LC Opportunity'!$Q$2:$U$542,4,FALSE)</f>
        <v>0.36758333333333337</v>
      </c>
      <c r="H1496">
        <f>VLOOKUP($D1496,'[2]LC Opportunity'!$Q$2:$U$542,5,FALSE)</f>
        <v>0.63241666666666663</v>
      </c>
      <c r="I1496" s="77">
        <f t="shared" si="4731"/>
        <v>1</v>
      </c>
      <c r="J1496" s="77">
        <f t="shared" si="4732"/>
        <v>6.9289072916666652E-2</v>
      </c>
      <c r="K1496" s="77">
        <f t="shared" si="4776"/>
        <v>5.5984472113976835E-3</v>
      </c>
      <c r="L1496" s="76">
        <v>0</v>
      </c>
      <c r="M1496" s="77">
        <f t="shared" si="4738"/>
        <v>0</v>
      </c>
      <c r="N1496" s="77">
        <f t="shared" si="4739"/>
        <v>0</v>
      </c>
      <c r="O1496" s="77">
        <f t="shared" si="4740"/>
        <v>5.8086833333333334E-3</v>
      </c>
      <c r="P1496" s="77">
        <f t="shared" si="4741"/>
        <v>4.8535045852382552E-4</v>
      </c>
      <c r="R1496" t="s">
        <v>177</v>
      </c>
      <c r="S1496" t="s">
        <v>180</v>
      </c>
      <c r="T1496" s="197" t="str">
        <f t="shared" si="4772"/>
        <v>Autopilot_Opportunity_133</v>
      </c>
      <c r="U1496">
        <v>133</v>
      </c>
      <c r="V1496">
        <f>VLOOKUP($U1496,'[2]AP Opportunity'!$Q$1:$T$542,2,FALSE)</f>
        <v>0.99999997777777772</v>
      </c>
      <c r="W1496">
        <f>VLOOKUP($U1496,'[2]AP Opportunity'!$Q$1:$T$542,3,FALSE)</f>
        <v>2.2222222284540294E-8</v>
      </c>
      <c r="X1496">
        <f>VLOOKUP($U1496,'[2]AP Opportunity'!$Q$1:$T$542,4,FALSE)</f>
        <v>0</v>
      </c>
      <c r="Y1496" s="77">
        <f t="shared" si="4773"/>
        <v>1</v>
      </c>
      <c r="Z1496" s="77">
        <f t="shared" si="4777"/>
        <v>6.4624999704999977E-2</v>
      </c>
      <c r="AA1496" s="77">
        <f t="shared" si="4778"/>
        <v>5.2321923767311151E-3</v>
      </c>
      <c r="AB1496" s="79">
        <v>1</v>
      </c>
      <c r="AC1496" s="77">
        <f t="shared" si="4742"/>
        <v>8.499999955555556E-3</v>
      </c>
      <c r="AD1496" s="77">
        <f t="shared" ref="AD1496" si="4799">1-(1-AC1496)^(1/12)</f>
        <v>7.1110795759765644E-4</v>
      </c>
      <c r="AE1496" s="77">
        <f t="shared" si="4744"/>
        <v>2.5000000000000001E-3</v>
      </c>
      <c r="AF1496" s="77">
        <f t="shared" ref="AF1496" si="4800">1-(1-AE1496)^(1/12)</f>
        <v>2.0857243058891584E-4</v>
      </c>
      <c r="AH1496" t="s">
        <v>175</v>
      </c>
      <c r="AI1496" t="s">
        <v>180</v>
      </c>
      <c r="AJ1496" s="197" t="str">
        <f t="shared" si="4735"/>
        <v>Lifecycle_Opportunity_133</v>
      </c>
      <c r="AK1496">
        <v>133</v>
      </c>
      <c r="AL1496">
        <f>VLOOKUP($U1496,[2]Standard_Opportunity!$Q$1:$T$542,2,FALSE)</f>
        <v>0.99999997777777772</v>
      </c>
      <c r="AM1496">
        <f>VLOOKUP($U1496,[2]Standard_Opportunity!$Q$1:$T$542,3,FALSE)</f>
        <v>2.2222222284540294E-8</v>
      </c>
      <c r="AN1496">
        <f>VLOOKUP($U1496,[2]Standard_Opportunity!$Q$1:$T$542,4,FALSE)</f>
        <v>0</v>
      </c>
      <c r="AO1496" s="77">
        <f t="shared" si="4736"/>
        <v>1</v>
      </c>
      <c r="AP1496" s="77">
        <f t="shared" si="4746"/>
        <v>6.4624999704999977E-2</v>
      </c>
      <c r="AQ1496" s="77">
        <f t="shared" si="4737"/>
        <v>5.2321923767311151E-3</v>
      </c>
      <c r="AR1496" s="79">
        <v>0</v>
      </c>
      <c r="AS1496" s="77">
        <f t="shared" si="4747"/>
        <v>0</v>
      </c>
      <c r="AT1496" s="77">
        <f t="shared" si="4748"/>
        <v>0</v>
      </c>
      <c r="AU1496" s="77">
        <f t="shared" si="4749"/>
        <v>2.5000000000000001E-3</v>
      </c>
      <c r="AV1496" s="77">
        <f t="shared" si="4750"/>
        <v>2.0809499864316017E-4</v>
      </c>
    </row>
    <row r="1497" spans="1:48">
      <c r="A1497" t="s">
        <v>175</v>
      </c>
      <c r="B1497" t="s">
        <v>180</v>
      </c>
      <c r="C1497" s="197" t="str">
        <f t="shared" si="4771"/>
        <v>Lifecycle_Opportunity_132</v>
      </c>
      <c r="D1497">
        <v>132</v>
      </c>
      <c r="E1497">
        <f>VLOOKUP($D1497,'[2]LC Opportunity'!$Q$2:$U$542,2,FALSE)</f>
        <v>0</v>
      </c>
      <c r="F1497">
        <f>VLOOKUP($D1497,'[2]LC Opportunity'!$Q$2:$U$542,3,FALSE)</f>
        <v>0</v>
      </c>
      <c r="G1497">
        <f>VLOOKUP($D1497,'[2]LC Opportunity'!$Q$2:$U$542,4,FALSE)</f>
        <v>0.40100000000000002</v>
      </c>
      <c r="H1497">
        <f>VLOOKUP($D1497,'[2]LC Opportunity'!$Q$2:$U$542,5,FALSE)</f>
        <v>0.59899999999999998</v>
      </c>
      <c r="I1497" s="77">
        <f t="shared" si="4731"/>
        <v>1</v>
      </c>
      <c r="J1497" s="77">
        <f t="shared" si="4732"/>
        <v>6.9042624999999996E-2</v>
      </c>
      <c r="K1497" s="77">
        <f t="shared" si="4776"/>
        <v>5.5791311199915317E-3</v>
      </c>
      <c r="L1497" s="76">
        <v>0</v>
      </c>
      <c r="M1497" s="77">
        <f t="shared" si="4738"/>
        <v>0</v>
      </c>
      <c r="N1497" s="77">
        <f t="shared" si="4739"/>
        <v>0</v>
      </c>
      <c r="O1497" s="77">
        <f t="shared" si="4740"/>
        <v>5.8821999999999998E-3</v>
      </c>
      <c r="P1497" s="77">
        <f t="shared" si="4741"/>
        <v>4.9150985952162163E-4</v>
      </c>
      <c r="R1497" t="s">
        <v>177</v>
      </c>
      <c r="S1497" t="s">
        <v>180</v>
      </c>
      <c r="T1497" s="197" t="str">
        <f t="shared" si="4772"/>
        <v>Autopilot_Opportunity_132</v>
      </c>
      <c r="U1497">
        <v>132</v>
      </c>
      <c r="V1497">
        <f>VLOOKUP($U1497,'[2]AP Opportunity'!$Q$1:$T$542,2,FALSE)</f>
        <v>0.99999997777777772</v>
      </c>
      <c r="W1497">
        <f>VLOOKUP($U1497,'[2]AP Opportunity'!$Q$1:$T$542,3,FALSE)</f>
        <v>2.2222222284540294E-8</v>
      </c>
      <c r="X1497">
        <f>VLOOKUP($U1497,'[2]AP Opportunity'!$Q$1:$T$542,4,FALSE)</f>
        <v>0</v>
      </c>
      <c r="Y1497" s="77">
        <f t="shared" si="4773"/>
        <v>1</v>
      </c>
      <c r="Z1497" s="77">
        <f t="shared" si="4777"/>
        <v>6.4624999704999977E-2</v>
      </c>
      <c r="AA1497" s="77">
        <f t="shared" si="4778"/>
        <v>5.2321923767311151E-3</v>
      </c>
      <c r="AB1497" s="79">
        <v>1</v>
      </c>
      <c r="AC1497" s="77">
        <f t="shared" si="4742"/>
        <v>8.499999955555556E-3</v>
      </c>
      <c r="AD1497" s="77">
        <f t="shared" ref="AD1497" si="4801">1-(1-AC1497)^(1/12)</f>
        <v>7.1110795759765644E-4</v>
      </c>
      <c r="AE1497" s="77">
        <f t="shared" si="4744"/>
        <v>2.5000000000000001E-3</v>
      </c>
      <c r="AF1497" s="77">
        <f t="shared" ref="AF1497" si="4802">1-(1-AE1497)^(1/12)</f>
        <v>2.0857243058891584E-4</v>
      </c>
      <c r="AH1497" t="s">
        <v>175</v>
      </c>
      <c r="AI1497" t="s">
        <v>180</v>
      </c>
      <c r="AJ1497" s="197" t="str">
        <f t="shared" si="4735"/>
        <v>Lifecycle_Opportunity_132</v>
      </c>
      <c r="AK1497">
        <v>132</v>
      </c>
      <c r="AL1497">
        <f>VLOOKUP($U1497,[2]Standard_Opportunity!$Q$1:$T$542,2,FALSE)</f>
        <v>0.99999997777777772</v>
      </c>
      <c r="AM1497">
        <f>VLOOKUP($U1497,[2]Standard_Opportunity!$Q$1:$T$542,3,FALSE)</f>
        <v>2.2222222284540294E-8</v>
      </c>
      <c r="AN1497">
        <f>VLOOKUP($U1497,[2]Standard_Opportunity!$Q$1:$T$542,4,FALSE)</f>
        <v>0</v>
      </c>
      <c r="AO1497" s="77">
        <f t="shared" si="4736"/>
        <v>1</v>
      </c>
      <c r="AP1497" s="77">
        <f t="shared" si="4746"/>
        <v>6.4624999704999977E-2</v>
      </c>
      <c r="AQ1497" s="77">
        <f t="shared" si="4737"/>
        <v>5.2321923767311151E-3</v>
      </c>
      <c r="AR1497" s="79">
        <v>0</v>
      </c>
      <c r="AS1497" s="77">
        <f t="shared" si="4747"/>
        <v>0</v>
      </c>
      <c r="AT1497" s="77">
        <f t="shared" si="4748"/>
        <v>0</v>
      </c>
      <c r="AU1497" s="77">
        <f t="shared" si="4749"/>
        <v>2.5000000000000001E-3</v>
      </c>
      <c r="AV1497" s="77">
        <f t="shared" si="4750"/>
        <v>2.0809499864316017E-4</v>
      </c>
    </row>
    <row r="1498" spans="1:48">
      <c r="A1498" t="s">
        <v>175</v>
      </c>
      <c r="B1498" t="s">
        <v>180</v>
      </c>
      <c r="C1498" s="197" t="str">
        <f t="shared" si="4771"/>
        <v>Lifecycle_Opportunity_131</v>
      </c>
      <c r="D1498">
        <v>131</v>
      </c>
      <c r="E1498">
        <f>VLOOKUP($D1498,'[2]LC Opportunity'!$Q$2:$U$542,2,FALSE)</f>
        <v>0</v>
      </c>
      <c r="F1498">
        <f>VLOOKUP($D1498,'[2]LC Opportunity'!$Q$2:$U$542,3,FALSE)</f>
        <v>0</v>
      </c>
      <c r="G1498">
        <f>VLOOKUP($D1498,'[2]LC Opportunity'!$Q$2:$U$542,4,FALSE)</f>
        <v>0.43325000000000002</v>
      </c>
      <c r="H1498">
        <f>VLOOKUP($D1498,'[2]LC Opportunity'!$Q$2:$U$542,5,FALSE)</f>
        <v>0.56674999999999998</v>
      </c>
      <c r="I1498" s="77">
        <f t="shared" si="4731"/>
        <v>1</v>
      </c>
      <c r="J1498" s="77">
        <f t="shared" si="4732"/>
        <v>6.8804781249999988E-2</v>
      </c>
      <c r="K1498" s="77">
        <f t="shared" si="4776"/>
        <v>5.5604855348434512E-3</v>
      </c>
      <c r="L1498" s="76">
        <v>0</v>
      </c>
      <c r="M1498" s="77">
        <f t="shared" si="4738"/>
        <v>0</v>
      </c>
      <c r="N1498" s="77">
        <f t="shared" si="4739"/>
        <v>0</v>
      </c>
      <c r="O1498" s="77">
        <f t="shared" si="4740"/>
        <v>5.9531499999999999E-3</v>
      </c>
      <c r="P1498" s="77">
        <f t="shared" si="4741"/>
        <v>4.9745461502892496E-4</v>
      </c>
      <c r="R1498" t="s">
        <v>177</v>
      </c>
      <c r="S1498" t="s">
        <v>180</v>
      </c>
      <c r="T1498" s="197" t="str">
        <f t="shared" si="4772"/>
        <v>Autopilot_Opportunity_131</v>
      </c>
      <c r="U1498">
        <v>131</v>
      </c>
      <c r="V1498">
        <f>VLOOKUP($U1498,'[2]AP Opportunity'!$Q$1:$T$542,2,FALSE)</f>
        <v>0.99999997777777772</v>
      </c>
      <c r="W1498">
        <f>VLOOKUP($U1498,'[2]AP Opportunity'!$Q$1:$T$542,3,FALSE)</f>
        <v>2.2222222284540294E-8</v>
      </c>
      <c r="X1498">
        <f>VLOOKUP($U1498,'[2]AP Opportunity'!$Q$1:$T$542,4,FALSE)</f>
        <v>0</v>
      </c>
      <c r="Y1498" s="77">
        <f t="shared" si="4773"/>
        <v>1</v>
      </c>
      <c r="Z1498" s="77">
        <f t="shared" si="4777"/>
        <v>6.4624999704999977E-2</v>
      </c>
      <c r="AA1498" s="77">
        <f t="shared" si="4778"/>
        <v>5.2321923767311151E-3</v>
      </c>
      <c r="AB1498" s="79">
        <v>1</v>
      </c>
      <c r="AC1498" s="77">
        <f t="shared" si="4742"/>
        <v>8.499999955555556E-3</v>
      </c>
      <c r="AD1498" s="77">
        <f t="shared" ref="AD1498" si="4803">1-(1-AC1498)^(1/12)</f>
        <v>7.1110795759765644E-4</v>
      </c>
      <c r="AE1498" s="77">
        <f t="shared" si="4744"/>
        <v>2.5000000000000001E-3</v>
      </c>
      <c r="AF1498" s="77">
        <f t="shared" ref="AF1498" si="4804">1-(1-AE1498)^(1/12)</f>
        <v>2.0857243058891584E-4</v>
      </c>
      <c r="AH1498" t="s">
        <v>175</v>
      </c>
      <c r="AI1498" t="s">
        <v>180</v>
      </c>
      <c r="AJ1498" s="197" t="str">
        <f t="shared" si="4735"/>
        <v>Lifecycle_Opportunity_131</v>
      </c>
      <c r="AK1498">
        <v>131</v>
      </c>
      <c r="AL1498">
        <f>VLOOKUP($U1498,[2]Standard_Opportunity!$Q$1:$T$542,2,FALSE)</f>
        <v>0.99999997777777772</v>
      </c>
      <c r="AM1498">
        <f>VLOOKUP($U1498,[2]Standard_Opportunity!$Q$1:$T$542,3,FALSE)</f>
        <v>2.2222222284540294E-8</v>
      </c>
      <c r="AN1498">
        <f>VLOOKUP($U1498,[2]Standard_Opportunity!$Q$1:$T$542,4,FALSE)</f>
        <v>0</v>
      </c>
      <c r="AO1498" s="77">
        <f t="shared" si="4736"/>
        <v>1</v>
      </c>
      <c r="AP1498" s="77">
        <f t="shared" si="4746"/>
        <v>6.4624999704999977E-2</v>
      </c>
      <c r="AQ1498" s="77">
        <f t="shared" si="4737"/>
        <v>5.2321923767311151E-3</v>
      </c>
      <c r="AR1498" s="79">
        <v>0</v>
      </c>
      <c r="AS1498" s="77">
        <f t="shared" si="4747"/>
        <v>0</v>
      </c>
      <c r="AT1498" s="77">
        <f t="shared" si="4748"/>
        <v>0</v>
      </c>
      <c r="AU1498" s="77">
        <f t="shared" si="4749"/>
        <v>2.5000000000000001E-3</v>
      </c>
      <c r="AV1498" s="77">
        <f t="shared" si="4750"/>
        <v>2.0809499864316017E-4</v>
      </c>
    </row>
    <row r="1499" spans="1:48">
      <c r="A1499" t="s">
        <v>175</v>
      </c>
      <c r="B1499" t="s">
        <v>180</v>
      </c>
      <c r="C1499" s="197" t="str">
        <f t="shared" si="4771"/>
        <v>Lifecycle_Opportunity_130</v>
      </c>
      <c r="D1499">
        <v>130</v>
      </c>
      <c r="E1499">
        <f>VLOOKUP($D1499,'[2]LC Opportunity'!$Q$2:$U$542,2,FALSE)</f>
        <v>0</v>
      </c>
      <c r="F1499">
        <f>VLOOKUP($D1499,'[2]LC Opportunity'!$Q$2:$U$542,3,FALSE)</f>
        <v>0</v>
      </c>
      <c r="G1499">
        <f>VLOOKUP($D1499,'[2]LC Opportunity'!$Q$2:$U$542,4,FALSE)</f>
        <v>0.46550000000000002</v>
      </c>
      <c r="H1499">
        <f>VLOOKUP($D1499,'[2]LC Opportunity'!$Q$2:$U$542,5,FALSE)</f>
        <v>0.53449999999999998</v>
      </c>
      <c r="I1499" s="77">
        <f t="shared" si="4731"/>
        <v>1</v>
      </c>
      <c r="J1499" s="77">
        <f t="shared" si="4732"/>
        <v>6.8566937499999994E-2</v>
      </c>
      <c r="K1499" s="77">
        <f t="shared" si="4776"/>
        <v>5.54183614583037E-3</v>
      </c>
      <c r="L1499" s="76">
        <v>0</v>
      </c>
      <c r="M1499" s="77">
        <f t="shared" si="4738"/>
        <v>0</v>
      </c>
      <c r="N1499" s="77">
        <f t="shared" si="4739"/>
        <v>0</v>
      </c>
      <c r="O1499" s="77">
        <f t="shared" si="4740"/>
        <v>6.0241000000000001E-3</v>
      </c>
      <c r="P1499" s="77">
        <f t="shared" si="4741"/>
        <v>5.0339975949642568E-4</v>
      </c>
      <c r="R1499" t="s">
        <v>177</v>
      </c>
      <c r="S1499" t="s">
        <v>180</v>
      </c>
      <c r="T1499" s="197" t="str">
        <f t="shared" si="4772"/>
        <v>Autopilot_Opportunity_130</v>
      </c>
      <c r="U1499">
        <v>130</v>
      </c>
      <c r="V1499">
        <f>VLOOKUP($U1499,'[2]AP Opportunity'!$Q$1:$T$542,2,FALSE)</f>
        <v>0.99999997777777772</v>
      </c>
      <c r="W1499">
        <f>VLOOKUP($U1499,'[2]AP Opportunity'!$Q$1:$T$542,3,FALSE)</f>
        <v>2.2222222284540294E-8</v>
      </c>
      <c r="X1499">
        <f>VLOOKUP($U1499,'[2]AP Opportunity'!$Q$1:$T$542,4,FALSE)</f>
        <v>0</v>
      </c>
      <c r="Y1499" s="77">
        <f t="shared" si="4773"/>
        <v>1</v>
      </c>
      <c r="Z1499" s="77">
        <f t="shared" si="4777"/>
        <v>6.4624999704999977E-2</v>
      </c>
      <c r="AA1499" s="77">
        <f t="shared" si="4778"/>
        <v>5.2321923767311151E-3</v>
      </c>
      <c r="AB1499" s="79">
        <v>1</v>
      </c>
      <c r="AC1499" s="77">
        <f t="shared" si="4742"/>
        <v>8.499999955555556E-3</v>
      </c>
      <c r="AD1499" s="77">
        <f t="shared" ref="AD1499" si="4805">1-(1-AC1499)^(1/12)</f>
        <v>7.1110795759765644E-4</v>
      </c>
      <c r="AE1499" s="77">
        <f t="shared" si="4744"/>
        <v>2.5000000000000001E-3</v>
      </c>
      <c r="AF1499" s="77">
        <f t="shared" ref="AF1499" si="4806">1-(1-AE1499)^(1/12)</f>
        <v>2.0857243058891584E-4</v>
      </c>
      <c r="AH1499" t="s">
        <v>175</v>
      </c>
      <c r="AI1499" t="s">
        <v>180</v>
      </c>
      <c r="AJ1499" s="197" t="str">
        <f t="shared" si="4735"/>
        <v>Lifecycle_Opportunity_130</v>
      </c>
      <c r="AK1499">
        <v>130</v>
      </c>
      <c r="AL1499">
        <f>VLOOKUP($U1499,[2]Standard_Opportunity!$Q$1:$T$542,2,FALSE)</f>
        <v>0.99999997777777772</v>
      </c>
      <c r="AM1499">
        <f>VLOOKUP($U1499,[2]Standard_Opportunity!$Q$1:$T$542,3,FALSE)</f>
        <v>2.2222222284540294E-8</v>
      </c>
      <c r="AN1499">
        <f>VLOOKUP($U1499,[2]Standard_Opportunity!$Q$1:$T$542,4,FALSE)</f>
        <v>0</v>
      </c>
      <c r="AO1499" s="77">
        <f t="shared" si="4736"/>
        <v>1</v>
      </c>
      <c r="AP1499" s="77">
        <f t="shared" si="4746"/>
        <v>6.4624999704999977E-2</v>
      </c>
      <c r="AQ1499" s="77">
        <f t="shared" si="4737"/>
        <v>5.2321923767311151E-3</v>
      </c>
      <c r="AR1499" s="79">
        <v>0</v>
      </c>
      <c r="AS1499" s="77">
        <f t="shared" si="4747"/>
        <v>0</v>
      </c>
      <c r="AT1499" s="77">
        <f t="shared" si="4748"/>
        <v>0</v>
      </c>
      <c r="AU1499" s="77">
        <f t="shared" si="4749"/>
        <v>2.5000000000000001E-3</v>
      </c>
      <c r="AV1499" s="77">
        <f t="shared" si="4750"/>
        <v>2.0809499864316017E-4</v>
      </c>
    </row>
    <row r="1500" spans="1:48">
      <c r="A1500" t="s">
        <v>175</v>
      </c>
      <c r="B1500" t="s">
        <v>180</v>
      </c>
      <c r="C1500" s="197" t="str">
        <f t="shared" si="4771"/>
        <v>Lifecycle_Opportunity_129</v>
      </c>
      <c r="D1500">
        <v>129</v>
      </c>
      <c r="E1500">
        <f>VLOOKUP($D1500,'[2]LC Opportunity'!$Q$2:$U$542,2,FALSE)</f>
        <v>0</v>
      </c>
      <c r="F1500">
        <f>VLOOKUP($D1500,'[2]LC Opportunity'!$Q$2:$U$542,3,FALSE)</f>
        <v>0</v>
      </c>
      <c r="G1500">
        <f>VLOOKUP($D1500,'[2]LC Opportunity'!$Q$2:$U$542,4,FALSE)</f>
        <v>0.49775000000000003</v>
      </c>
      <c r="H1500">
        <f>VLOOKUP($D1500,'[2]LC Opportunity'!$Q$2:$U$542,5,FALSE)</f>
        <v>0.50224999999999997</v>
      </c>
      <c r="I1500" s="77">
        <f t="shared" si="4731"/>
        <v>1</v>
      </c>
      <c r="J1500" s="77">
        <f t="shared" si="4732"/>
        <v>6.8329093749999986E-2</v>
      </c>
      <c r="K1500" s="77">
        <f t="shared" si="4776"/>
        <v>5.5231829513291419E-3</v>
      </c>
      <c r="L1500" s="76">
        <v>0</v>
      </c>
      <c r="M1500" s="77">
        <f t="shared" si="4738"/>
        <v>0</v>
      </c>
      <c r="N1500" s="77">
        <f t="shared" si="4739"/>
        <v>0</v>
      </c>
      <c r="O1500" s="77">
        <f t="shared" si="4740"/>
        <v>6.0950500000000003E-3</v>
      </c>
      <c r="P1500" s="77">
        <f t="shared" si="4741"/>
        <v>5.0934529297741449E-4</v>
      </c>
      <c r="R1500" t="s">
        <v>177</v>
      </c>
      <c r="S1500" t="s">
        <v>180</v>
      </c>
      <c r="T1500" s="197" t="str">
        <f t="shared" si="4772"/>
        <v>Autopilot_Opportunity_129</v>
      </c>
      <c r="U1500">
        <v>129</v>
      </c>
      <c r="V1500">
        <f>VLOOKUP($U1500,'[2]AP Opportunity'!$Q$1:$T$542,2,FALSE)</f>
        <v>0.99999997777777772</v>
      </c>
      <c r="W1500">
        <f>VLOOKUP($U1500,'[2]AP Opportunity'!$Q$1:$T$542,3,FALSE)</f>
        <v>2.2222222284540294E-8</v>
      </c>
      <c r="X1500">
        <f>VLOOKUP($U1500,'[2]AP Opportunity'!$Q$1:$T$542,4,FALSE)</f>
        <v>0</v>
      </c>
      <c r="Y1500" s="77">
        <f t="shared" si="4773"/>
        <v>1</v>
      </c>
      <c r="Z1500" s="77">
        <f t="shared" si="4777"/>
        <v>6.4624999704999977E-2</v>
      </c>
      <c r="AA1500" s="77">
        <f t="shared" si="4778"/>
        <v>5.2321923767311151E-3</v>
      </c>
      <c r="AB1500" s="79">
        <v>1</v>
      </c>
      <c r="AC1500" s="77">
        <f t="shared" si="4742"/>
        <v>8.499999955555556E-3</v>
      </c>
      <c r="AD1500" s="77">
        <f t="shared" ref="AD1500" si="4807">1-(1-AC1500)^(1/12)</f>
        <v>7.1110795759765644E-4</v>
      </c>
      <c r="AE1500" s="77">
        <f t="shared" si="4744"/>
        <v>2.5000000000000001E-3</v>
      </c>
      <c r="AF1500" s="77">
        <f t="shared" ref="AF1500" si="4808">1-(1-AE1500)^(1/12)</f>
        <v>2.0857243058891584E-4</v>
      </c>
      <c r="AH1500" t="s">
        <v>175</v>
      </c>
      <c r="AI1500" t="s">
        <v>180</v>
      </c>
      <c r="AJ1500" s="197" t="str">
        <f t="shared" si="4735"/>
        <v>Lifecycle_Opportunity_129</v>
      </c>
      <c r="AK1500">
        <v>129</v>
      </c>
      <c r="AL1500">
        <f>VLOOKUP($U1500,[2]Standard_Opportunity!$Q$1:$T$542,2,FALSE)</f>
        <v>0.99999997777777772</v>
      </c>
      <c r="AM1500">
        <f>VLOOKUP($U1500,[2]Standard_Opportunity!$Q$1:$T$542,3,FALSE)</f>
        <v>2.2222222284540294E-8</v>
      </c>
      <c r="AN1500">
        <f>VLOOKUP($U1500,[2]Standard_Opportunity!$Q$1:$T$542,4,FALSE)</f>
        <v>0</v>
      </c>
      <c r="AO1500" s="77">
        <f t="shared" si="4736"/>
        <v>1</v>
      </c>
      <c r="AP1500" s="77">
        <f t="shared" si="4746"/>
        <v>6.4624999704999977E-2</v>
      </c>
      <c r="AQ1500" s="77">
        <f t="shared" si="4737"/>
        <v>5.2321923767311151E-3</v>
      </c>
      <c r="AR1500" s="79">
        <v>0</v>
      </c>
      <c r="AS1500" s="77">
        <f t="shared" si="4747"/>
        <v>0</v>
      </c>
      <c r="AT1500" s="77">
        <f t="shared" si="4748"/>
        <v>0</v>
      </c>
      <c r="AU1500" s="77">
        <f t="shared" si="4749"/>
        <v>2.5000000000000001E-3</v>
      </c>
      <c r="AV1500" s="77">
        <f t="shared" si="4750"/>
        <v>2.0809499864316017E-4</v>
      </c>
    </row>
    <row r="1501" spans="1:48">
      <c r="A1501" t="s">
        <v>175</v>
      </c>
      <c r="B1501" t="s">
        <v>180</v>
      </c>
      <c r="C1501" s="197" t="str">
        <f t="shared" si="4771"/>
        <v>Lifecycle_Opportunity_128</v>
      </c>
      <c r="D1501">
        <v>128</v>
      </c>
      <c r="E1501">
        <f>VLOOKUP($D1501,'[2]LC Opportunity'!$Q$2:$U$542,2,FALSE)</f>
        <v>0</v>
      </c>
      <c r="F1501">
        <f>VLOOKUP($D1501,'[2]LC Opportunity'!$Q$2:$U$542,3,FALSE)</f>
        <v>0</v>
      </c>
      <c r="G1501">
        <f>VLOOKUP($D1501,'[2]LC Opportunity'!$Q$2:$U$542,4,FALSE)</f>
        <v>0.53</v>
      </c>
      <c r="H1501">
        <f>VLOOKUP($D1501,'[2]LC Opportunity'!$Q$2:$U$542,5,FALSE)</f>
        <v>0.47</v>
      </c>
      <c r="I1501" s="77">
        <f t="shared" si="4731"/>
        <v>1</v>
      </c>
      <c r="J1501" s="77">
        <f t="shared" si="4732"/>
        <v>6.8091249999999992E-2</v>
      </c>
      <c r="K1501" s="77">
        <f t="shared" si="4776"/>
        <v>5.5045259497157328E-3</v>
      </c>
      <c r="L1501" s="76">
        <v>0</v>
      </c>
      <c r="M1501" s="77">
        <f t="shared" si="4738"/>
        <v>0</v>
      </c>
      <c r="N1501" s="77">
        <f t="shared" si="4739"/>
        <v>0</v>
      </c>
      <c r="O1501" s="77">
        <f t="shared" si="4740"/>
        <v>6.1659999999999996E-3</v>
      </c>
      <c r="P1501" s="77">
        <f t="shared" si="4741"/>
        <v>5.1529121552507107E-4</v>
      </c>
      <c r="R1501" t="s">
        <v>177</v>
      </c>
      <c r="S1501" t="s">
        <v>180</v>
      </c>
      <c r="T1501" s="197" t="str">
        <f t="shared" si="4772"/>
        <v>Autopilot_Opportunity_128</v>
      </c>
      <c r="U1501">
        <v>128</v>
      </c>
      <c r="V1501">
        <f>VLOOKUP($U1501,'[2]AP Opportunity'!$Q$1:$T$542,2,FALSE)</f>
        <v>0.99999997777777772</v>
      </c>
      <c r="W1501">
        <f>VLOOKUP($U1501,'[2]AP Opportunity'!$Q$1:$T$542,3,FALSE)</f>
        <v>2.2222222284540294E-8</v>
      </c>
      <c r="X1501">
        <f>VLOOKUP($U1501,'[2]AP Opportunity'!$Q$1:$T$542,4,FALSE)</f>
        <v>0</v>
      </c>
      <c r="Y1501" s="77">
        <f t="shared" si="4773"/>
        <v>1</v>
      </c>
      <c r="Z1501" s="77">
        <f t="shared" si="4777"/>
        <v>6.4624999704999977E-2</v>
      </c>
      <c r="AA1501" s="77">
        <f t="shared" si="4778"/>
        <v>5.2321923767311151E-3</v>
      </c>
      <c r="AB1501" s="79">
        <v>1</v>
      </c>
      <c r="AC1501" s="77">
        <f t="shared" si="4742"/>
        <v>8.499999955555556E-3</v>
      </c>
      <c r="AD1501" s="77">
        <f t="shared" ref="AD1501" si="4809">1-(1-AC1501)^(1/12)</f>
        <v>7.1110795759765644E-4</v>
      </c>
      <c r="AE1501" s="77">
        <f t="shared" si="4744"/>
        <v>2.5000000000000001E-3</v>
      </c>
      <c r="AF1501" s="77">
        <f t="shared" ref="AF1501" si="4810">1-(1-AE1501)^(1/12)</f>
        <v>2.0857243058891584E-4</v>
      </c>
      <c r="AH1501" t="s">
        <v>175</v>
      </c>
      <c r="AI1501" t="s">
        <v>180</v>
      </c>
      <c r="AJ1501" s="197" t="str">
        <f t="shared" si="4735"/>
        <v>Lifecycle_Opportunity_128</v>
      </c>
      <c r="AK1501">
        <v>128</v>
      </c>
      <c r="AL1501">
        <f>VLOOKUP($U1501,[2]Standard_Opportunity!$Q$1:$T$542,2,FALSE)</f>
        <v>0.99999997777777772</v>
      </c>
      <c r="AM1501">
        <f>VLOOKUP($U1501,[2]Standard_Opportunity!$Q$1:$T$542,3,FALSE)</f>
        <v>2.2222222284540294E-8</v>
      </c>
      <c r="AN1501">
        <f>VLOOKUP($U1501,[2]Standard_Opportunity!$Q$1:$T$542,4,FALSE)</f>
        <v>0</v>
      </c>
      <c r="AO1501" s="77">
        <f t="shared" si="4736"/>
        <v>1</v>
      </c>
      <c r="AP1501" s="77">
        <f t="shared" si="4746"/>
        <v>6.4624999704999977E-2</v>
      </c>
      <c r="AQ1501" s="77">
        <f t="shared" si="4737"/>
        <v>5.2321923767311151E-3</v>
      </c>
      <c r="AR1501" s="79">
        <v>0</v>
      </c>
      <c r="AS1501" s="77">
        <f t="shared" si="4747"/>
        <v>0</v>
      </c>
      <c r="AT1501" s="77">
        <f t="shared" si="4748"/>
        <v>0</v>
      </c>
      <c r="AU1501" s="77">
        <f t="shared" si="4749"/>
        <v>2.5000000000000001E-3</v>
      </c>
      <c r="AV1501" s="77">
        <f t="shared" si="4750"/>
        <v>2.0809499864316017E-4</v>
      </c>
    </row>
    <row r="1502" spans="1:48">
      <c r="A1502" t="s">
        <v>175</v>
      </c>
      <c r="B1502" t="s">
        <v>180</v>
      </c>
      <c r="C1502" s="197" t="str">
        <f t="shared" si="4771"/>
        <v>Lifecycle_Opportunity_127</v>
      </c>
      <c r="D1502">
        <v>127</v>
      </c>
      <c r="E1502">
        <f>VLOOKUP($D1502,'[2]LC Opportunity'!$Q$2:$U$542,2,FALSE)</f>
        <v>0</v>
      </c>
      <c r="F1502">
        <f>VLOOKUP($D1502,'[2]LC Opportunity'!$Q$2:$U$542,3,FALSE)</f>
        <v>0</v>
      </c>
      <c r="G1502">
        <f>VLOOKUP($D1502,'[2]LC Opportunity'!$Q$2:$U$542,4,FALSE)</f>
        <v>0.56225000000000003</v>
      </c>
      <c r="H1502">
        <f>VLOOKUP($D1502,'[2]LC Opportunity'!$Q$2:$U$542,5,FALSE)</f>
        <v>0.43774999999999997</v>
      </c>
      <c r="I1502" s="77">
        <f t="shared" si="4731"/>
        <v>1</v>
      </c>
      <c r="J1502" s="77">
        <f t="shared" si="4732"/>
        <v>6.7853406249999998E-2</v>
      </c>
      <c r="K1502" s="77">
        <f t="shared" si="4776"/>
        <v>5.4858651393652202E-3</v>
      </c>
      <c r="L1502" s="76">
        <v>0</v>
      </c>
      <c r="M1502" s="77">
        <f t="shared" si="4738"/>
        <v>0</v>
      </c>
      <c r="N1502" s="77">
        <f t="shared" si="4739"/>
        <v>0</v>
      </c>
      <c r="O1502" s="77">
        <f t="shared" si="4740"/>
        <v>6.2369499999999998E-3</v>
      </c>
      <c r="P1502" s="77">
        <f t="shared" si="4741"/>
        <v>5.212375271925751E-4</v>
      </c>
      <c r="R1502" t="s">
        <v>177</v>
      </c>
      <c r="S1502" t="s">
        <v>180</v>
      </c>
      <c r="T1502" s="197" t="str">
        <f t="shared" si="4772"/>
        <v>Autopilot_Opportunity_127</v>
      </c>
      <c r="U1502">
        <v>127</v>
      </c>
      <c r="V1502">
        <f>VLOOKUP($U1502,'[2]AP Opportunity'!$Q$1:$T$542,2,FALSE)</f>
        <v>0.99999997777777772</v>
      </c>
      <c r="W1502">
        <f>VLOOKUP($U1502,'[2]AP Opportunity'!$Q$1:$T$542,3,FALSE)</f>
        <v>2.2222222284540294E-8</v>
      </c>
      <c r="X1502">
        <f>VLOOKUP($U1502,'[2]AP Opportunity'!$Q$1:$T$542,4,FALSE)</f>
        <v>0</v>
      </c>
      <c r="Y1502" s="77">
        <f t="shared" si="4773"/>
        <v>1</v>
      </c>
      <c r="Z1502" s="77">
        <f t="shared" si="4777"/>
        <v>6.4624999704999977E-2</v>
      </c>
      <c r="AA1502" s="77">
        <f t="shared" si="4778"/>
        <v>5.2321923767311151E-3</v>
      </c>
      <c r="AB1502" s="79">
        <v>1</v>
      </c>
      <c r="AC1502" s="77">
        <f t="shared" si="4742"/>
        <v>8.499999955555556E-3</v>
      </c>
      <c r="AD1502" s="77">
        <f t="shared" ref="AD1502" si="4811">1-(1-AC1502)^(1/12)</f>
        <v>7.1110795759765644E-4</v>
      </c>
      <c r="AE1502" s="77">
        <f t="shared" si="4744"/>
        <v>2.5000000000000001E-3</v>
      </c>
      <c r="AF1502" s="77">
        <f t="shared" ref="AF1502" si="4812">1-(1-AE1502)^(1/12)</f>
        <v>2.0857243058891584E-4</v>
      </c>
      <c r="AH1502" t="s">
        <v>175</v>
      </c>
      <c r="AI1502" t="s">
        <v>180</v>
      </c>
      <c r="AJ1502" s="197" t="str">
        <f t="shared" si="4735"/>
        <v>Lifecycle_Opportunity_127</v>
      </c>
      <c r="AK1502">
        <v>127</v>
      </c>
      <c r="AL1502">
        <f>VLOOKUP($U1502,[2]Standard_Opportunity!$Q$1:$T$542,2,FALSE)</f>
        <v>0.99999997777777772</v>
      </c>
      <c r="AM1502">
        <f>VLOOKUP($U1502,[2]Standard_Opportunity!$Q$1:$T$542,3,FALSE)</f>
        <v>2.2222222284540294E-8</v>
      </c>
      <c r="AN1502">
        <f>VLOOKUP($U1502,[2]Standard_Opportunity!$Q$1:$T$542,4,FALSE)</f>
        <v>0</v>
      </c>
      <c r="AO1502" s="77">
        <f t="shared" si="4736"/>
        <v>1</v>
      </c>
      <c r="AP1502" s="77">
        <f t="shared" si="4746"/>
        <v>6.4624999704999977E-2</v>
      </c>
      <c r="AQ1502" s="77">
        <f t="shared" si="4737"/>
        <v>5.2321923767311151E-3</v>
      </c>
      <c r="AR1502" s="79">
        <v>0</v>
      </c>
      <c r="AS1502" s="77">
        <f t="shared" si="4747"/>
        <v>0</v>
      </c>
      <c r="AT1502" s="77">
        <f t="shared" si="4748"/>
        <v>0</v>
      </c>
      <c r="AU1502" s="77">
        <f t="shared" si="4749"/>
        <v>2.5000000000000001E-3</v>
      </c>
      <c r="AV1502" s="77">
        <f t="shared" si="4750"/>
        <v>2.0809499864316017E-4</v>
      </c>
    </row>
    <row r="1503" spans="1:48">
      <c r="A1503" t="s">
        <v>175</v>
      </c>
      <c r="B1503" t="s">
        <v>180</v>
      </c>
      <c r="C1503" s="197" t="str">
        <f t="shared" si="4771"/>
        <v>Lifecycle_Opportunity_126</v>
      </c>
      <c r="D1503">
        <v>126</v>
      </c>
      <c r="E1503">
        <f>VLOOKUP($D1503,'[2]LC Opportunity'!$Q$2:$U$542,2,FALSE)</f>
        <v>0</v>
      </c>
      <c r="F1503">
        <f>VLOOKUP($D1503,'[2]LC Opportunity'!$Q$2:$U$542,3,FALSE)</f>
        <v>0</v>
      </c>
      <c r="G1503">
        <f>VLOOKUP($D1503,'[2]LC Opportunity'!$Q$2:$U$542,4,FALSE)</f>
        <v>0.59450000000000003</v>
      </c>
      <c r="H1503">
        <f>VLOOKUP($D1503,'[2]LC Opportunity'!$Q$2:$U$542,5,FALSE)</f>
        <v>0.40549999999999997</v>
      </c>
      <c r="I1503" s="77">
        <f t="shared" si="4731"/>
        <v>1</v>
      </c>
      <c r="J1503" s="77">
        <f t="shared" si="4732"/>
        <v>6.761556249999999E-2</v>
      </c>
      <c r="K1503" s="77">
        <f t="shared" si="4776"/>
        <v>5.4672005186515715E-3</v>
      </c>
      <c r="L1503" s="76">
        <v>0</v>
      </c>
      <c r="M1503" s="77">
        <f t="shared" si="4738"/>
        <v>0</v>
      </c>
      <c r="N1503" s="77">
        <f t="shared" si="4739"/>
        <v>0</v>
      </c>
      <c r="O1503" s="77">
        <f t="shared" si="4740"/>
        <v>6.3079E-3</v>
      </c>
      <c r="P1503" s="77">
        <f t="shared" si="4741"/>
        <v>5.2718422803332832E-4</v>
      </c>
      <c r="R1503" t="s">
        <v>177</v>
      </c>
      <c r="S1503" t="s">
        <v>180</v>
      </c>
      <c r="T1503" s="197" t="str">
        <f t="shared" si="4772"/>
        <v>Autopilot_Opportunity_126</v>
      </c>
      <c r="U1503">
        <v>126</v>
      </c>
      <c r="V1503">
        <f>VLOOKUP($U1503,'[2]AP Opportunity'!$Q$1:$T$542,2,FALSE)</f>
        <v>0.99999997777777772</v>
      </c>
      <c r="W1503">
        <f>VLOOKUP($U1503,'[2]AP Opportunity'!$Q$1:$T$542,3,FALSE)</f>
        <v>2.2222222284540294E-8</v>
      </c>
      <c r="X1503">
        <f>VLOOKUP($U1503,'[2]AP Opportunity'!$Q$1:$T$542,4,FALSE)</f>
        <v>0</v>
      </c>
      <c r="Y1503" s="77">
        <f t="shared" si="4773"/>
        <v>1</v>
      </c>
      <c r="Z1503" s="77">
        <f t="shared" si="4777"/>
        <v>6.4624999704999977E-2</v>
      </c>
      <c r="AA1503" s="77">
        <f t="shared" si="4778"/>
        <v>5.2321923767311151E-3</v>
      </c>
      <c r="AB1503" s="79">
        <v>1</v>
      </c>
      <c r="AC1503" s="77">
        <f t="shared" si="4742"/>
        <v>8.499999955555556E-3</v>
      </c>
      <c r="AD1503" s="77">
        <f t="shared" ref="AD1503" si="4813">1-(1-AC1503)^(1/12)</f>
        <v>7.1110795759765644E-4</v>
      </c>
      <c r="AE1503" s="77">
        <f t="shared" si="4744"/>
        <v>2.5000000000000001E-3</v>
      </c>
      <c r="AF1503" s="77">
        <f t="shared" ref="AF1503" si="4814">1-(1-AE1503)^(1/12)</f>
        <v>2.0857243058891584E-4</v>
      </c>
      <c r="AH1503" t="s">
        <v>175</v>
      </c>
      <c r="AI1503" t="s">
        <v>180</v>
      </c>
      <c r="AJ1503" s="197" t="str">
        <f t="shared" si="4735"/>
        <v>Lifecycle_Opportunity_126</v>
      </c>
      <c r="AK1503">
        <v>126</v>
      </c>
      <c r="AL1503">
        <f>VLOOKUP($U1503,[2]Standard_Opportunity!$Q$1:$T$542,2,FALSE)</f>
        <v>0.99999997777777772</v>
      </c>
      <c r="AM1503">
        <f>VLOOKUP($U1503,[2]Standard_Opportunity!$Q$1:$T$542,3,FALSE)</f>
        <v>2.2222222284540294E-8</v>
      </c>
      <c r="AN1503">
        <f>VLOOKUP($U1503,[2]Standard_Opportunity!$Q$1:$T$542,4,FALSE)</f>
        <v>0</v>
      </c>
      <c r="AO1503" s="77">
        <f t="shared" si="4736"/>
        <v>1</v>
      </c>
      <c r="AP1503" s="77">
        <f t="shared" si="4746"/>
        <v>6.4624999704999977E-2</v>
      </c>
      <c r="AQ1503" s="77">
        <f t="shared" si="4737"/>
        <v>5.2321923767311151E-3</v>
      </c>
      <c r="AR1503" s="79">
        <v>0</v>
      </c>
      <c r="AS1503" s="77">
        <f t="shared" si="4747"/>
        <v>0</v>
      </c>
      <c r="AT1503" s="77">
        <f t="shared" si="4748"/>
        <v>0</v>
      </c>
      <c r="AU1503" s="77">
        <f t="shared" si="4749"/>
        <v>2.5000000000000001E-3</v>
      </c>
      <c r="AV1503" s="77">
        <f t="shared" si="4750"/>
        <v>2.0809499864316017E-4</v>
      </c>
    </row>
    <row r="1504" spans="1:48">
      <c r="A1504" t="s">
        <v>175</v>
      </c>
      <c r="B1504" t="s">
        <v>180</v>
      </c>
      <c r="C1504" s="197" t="str">
        <f t="shared" si="4771"/>
        <v>Lifecycle_Opportunity_125</v>
      </c>
      <c r="D1504">
        <v>125</v>
      </c>
      <c r="E1504">
        <f>VLOOKUP($D1504,'[2]LC Opportunity'!$Q$2:$U$542,2,FALSE)</f>
        <v>0</v>
      </c>
      <c r="F1504">
        <f>VLOOKUP($D1504,'[2]LC Opportunity'!$Q$2:$U$542,3,FALSE)</f>
        <v>0</v>
      </c>
      <c r="G1504">
        <f>VLOOKUP($D1504,'[2]LC Opportunity'!$Q$2:$U$542,4,FALSE)</f>
        <v>0.62675000000000003</v>
      </c>
      <c r="H1504">
        <f>VLOOKUP($D1504,'[2]LC Opportunity'!$Q$2:$U$542,5,FALSE)</f>
        <v>0.37324999999999997</v>
      </c>
      <c r="I1504" s="77">
        <f t="shared" si="4731"/>
        <v>1</v>
      </c>
      <c r="J1504" s="77">
        <f t="shared" si="4732"/>
        <v>6.7377718749999982E-2</v>
      </c>
      <c r="K1504" s="77">
        <f t="shared" si="4776"/>
        <v>5.4485320859471997E-3</v>
      </c>
      <c r="L1504" s="76">
        <v>0</v>
      </c>
      <c r="M1504" s="77">
        <f t="shared" si="4738"/>
        <v>0</v>
      </c>
      <c r="N1504" s="77">
        <f t="shared" si="4739"/>
        <v>0</v>
      </c>
      <c r="O1504" s="77">
        <f t="shared" si="4740"/>
        <v>6.3788500000000001E-3</v>
      </c>
      <c r="P1504" s="77">
        <f t="shared" si="4741"/>
        <v>5.3313131810039938E-4</v>
      </c>
      <c r="R1504" t="s">
        <v>177</v>
      </c>
      <c r="S1504" t="s">
        <v>180</v>
      </c>
      <c r="T1504" s="197" t="str">
        <f t="shared" si="4772"/>
        <v>Autopilot_Opportunity_125</v>
      </c>
      <c r="U1504">
        <v>125</v>
      </c>
      <c r="V1504">
        <f>VLOOKUP($U1504,'[2]AP Opportunity'!$Q$1:$T$542,2,FALSE)</f>
        <v>0.99999997777777772</v>
      </c>
      <c r="W1504">
        <f>VLOOKUP($U1504,'[2]AP Opportunity'!$Q$1:$T$542,3,FALSE)</f>
        <v>2.2222222284540294E-8</v>
      </c>
      <c r="X1504">
        <f>VLOOKUP($U1504,'[2]AP Opportunity'!$Q$1:$T$542,4,FALSE)</f>
        <v>0</v>
      </c>
      <c r="Y1504" s="77">
        <f t="shared" si="4773"/>
        <v>1</v>
      </c>
      <c r="Z1504" s="77">
        <f t="shared" si="4777"/>
        <v>6.4624999704999977E-2</v>
      </c>
      <c r="AA1504" s="77">
        <f t="shared" si="4778"/>
        <v>5.2321923767311151E-3</v>
      </c>
      <c r="AB1504" s="79">
        <v>1</v>
      </c>
      <c r="AC1504" s="77">
        <f t="shared" si="4742"/>
        <v>8.499999955555556E-3</v>
      </c>
      <c r="AD1504" s="77">
        <f t="shared" ref="AD1504" si="4815">1-(1-AC1504)^(1/12)</f>
        <v>7.1110795759765644E-4</v>
      </c>
      <c r="AE1504" s="77">
        <f t="shared" si="4744"/>
        <v>2.5000000000000001E-3</v>
      </c>
      <c r="AF1504" s="77">
        <f t="shared" ref="AF1504" si="4816">1-(1-AE1504)^(1/12)</f>
        <v>2.0857243058891584E-4</v>
      </c>
      <c r="AH1504" t="s">
        <v>175</v>
      </c>
      <c r="AI1504" t="s">
        <v>180</v>
      </c>
      <c r="AJ1504" s="197" t="str">
        <f t="shared" si="4735"/>
        <v>Lifecycle_Opportunity_125</v>
      </c>
      <c r="AK1504">
        <v>125</v>
      </c>
      <c r="AL1504">
        <f>VLOOKUP($U1504,[2]Standard_Opportunity!$Q$1:$T$542,2,FALSE)</f>
        <v>0.99999997777777772</v>
      </c>
      <c r="AM1504">
        <f>VLOOKUP($U1504,[2]Standard_Opportunity!$Q$1:$T$542,3,FALSE)</f>
        <v>2.2222222284540294E-8</v>
      </c>
      <c r="AN1504">
        <f>VLOOKUP($U1504,[2]Standard_Opportunity!$Q$1:$T$542,4,FALSE)</f>
        <v>0</v>
      </c>
      <c r="AO1504" s="77">
        <f t="shared" si="4736"/>
        <v>1</v>
      </c>
      <c r="AP1504" s="77">
        <f t="shared" si="4746"/>
        <v>6.4624999704999977E-2</v>
      </c>
      <c r="AQ1504" s="77">
        <f t="shared" si="4737"/>
        <v>5.2321923767311151E-3</v>
      </c>
      <c r="AR1504" s="79">
        <v>0</v>
      </c>
      <c r="AS1504" s="77">
        <f t="shared" si="4747"/>
        <v>0</v>
      </c>
      <c r="AT1504" s="77">
        <f t="shared" si="4748"/>
        <v>0</v>
      </c>
      <c r="AU1504" s="77">
        <f t="shared" si="4749"/>
        <v>2.5000000000000001E-3</v>
      </c>
      <c r="AV1504" s="77">
        <f t="shared" si="4750"/>
        <v>2.0809499864316017E-4</v>
      </c>
    </row>
    <row r="1505" spans="1:48">
      <c r="A1505" t="s">
        <v>175</v>
      </c>
      <c r="B1505" t="s">
        <v>180</v>
      </c>
      <c r="C1505" s="197" t="str">
        <f t="shared" si="4771"/>
        <v>Lifecycle_Opportunity_124</v>
      </c>
      <c r="D1505">
        <v>124</v>
      </c>
      <c r="E1505">
        <f>VLOOKUP($D1505,'[2]LC Opportunity'!$Q$2:$U$542,2,FALSE)</f>
        <v>0</v>
      </c>
      <c r="F1505">
        <f>VLOOKUP($D1505,'[2]LC Opportunity'!$Q$2:$U$542,3,FALSE)</f>
        <v>0</v>
      </c>
      <c r="G1505">
        <f>VLOOKUP($D1505,'[2]LC Opportunity'!$Q$2:$U$542,4,FALSE)</f>
        <v>0.65900000000000003</v>
      </c>
      <c r="H1505">
        <f>VLOOKUP($D1505,'[2]LC Opportunity'!$Q$2:$U$542,5,FALSE)</f>
        <v>0.34099999999999997</v>
      </c>
      <c r="I1505" s="77">
        <f t="shared" si="4731"/>
        <v>1</v>
      </c>
      <c r="J1505" s="77">
        <f t="shared" si="4732"/>
        <v>6.7139874999999988E-2</v>
      </c>
      <c r="K1505" s="77">
        <f t="shared" si="4776"/>
        <v>5.4298598396242959E-3</v>
      </c>
      <c r="L1505" s="76">
        <v>0</v>
      </c>
      <c r="M1505" s="77">
        <f t="shared" si="4738"/>
        <v>0</v>
      </c>
      <c r="N1505" s="77">
        <f t="shared" si="4739"/>
        <v>0</v>
      </c>
      <c r="O1505" s="77">
        <f t="shared" si="4740"/>
        <v>6.4498000000000003E-3</v>
      </c>
      <c r="P1505" s="77">
        <f t="shared" si="4741"/>
        <v>5.3907879744719001E-4</v>
      </c>
      <c r="R1505" t="s">
        <v>177</v>
      </c>
      <c r="S1505" t="s">
        <v>180</v>
      </c>
      <c r="T1505" s="197" t="str">
        <f t="shared" si="4772"/>
        <v>Autopilot_Opportunity_124</v>
      </c>
      <c r="U1505">
        <v>124</v>
      </c>
      <c r="V1505">
        <f>VLOOKUP($U1505,'[2]AP Opportunity'!$Q$1:$T$542,2,FALSE)</f>
        <v>0.99999997777777772</v>
      </c>
      <c r="W1505">
        <f>VLOOKUP($U1505,'[2]AP Opportunity'!$Q$1:$T$542,3,FALSE)</f>
        <v>2.2222222284540294E-8</v>
      </c>
      <c r="X1505">
        <f>VLOOKUP($U1505,'[2]AP Opportunity'!$Q$1:$T$542,4,FALSE)</f>
        <v>0</v>
      </c>
      <c r="Y1505" s="77">
        <f t="shared" si="4773"/>
        <v>1</v>
      </c>
      <c r="Z1505" s="77">
        <f t="shared" si="4777"/>
        <v>6.4624999704999977E-2</v>
      </c>
      <c r="AA1505" s="77">
        <f t="shared" si="4778"/>
        <v>5.2321923767311151E-3</v>
      </c>
      <c r="AB1505" s="79">
        <v>1</v>
      </c>
      <c r="AC1505" s="77">
        <f t="shared" si="4742"/>
        <v>8.499999955555556E-3</v>
      </c>
      <c r="AD1505" s="77">
        <f t="shared" ref="AD1505" si="4817">1-(1-AC1505)^(1/12)</f>
        <v>7.1110795759765644E-4</v>
      </c>
      <c r="AE1505" s="77">
        <f t="shared" si="4744"/>
        <v>2.5000000000000001E-3</v>
      </c>
      <c r="AF1505" s="77">
        <f t="shared" ref="AF1505" si="4818">1-(1-AE1505)^(1/12)</f>
        <v>2.0857243058891584E-4</v>
      </c>
      <c r="AH1505" t="s">
        <v>175</v>
      </c>
      <c r="AI1505" t="s">
        <v>180</v>
      </c>
      <c r="AJ1505" s="197" t="str">
        <f t="shared" si="4735"/>
        <v>Lifecycle_Opportunity_124</v>
      </c>
      <c r="AK1505">
        <v>124</v>
      </c>
      <c r="AL1505">
        <f>VLOOKUP($U1505,[2]Standard_Opportunity!$Q$1:$T$542,2,FALSE)</f>
        <v>0.99999997777777772</v>
      </c>
      <c r="AM1505">
        <f>VLOOKUP($U1505,[2]Standard_Opportunity!$Q$1:$T$542,3,FALSE)</f>
        <v>2.2222222284540294E-8</v>
      </c>
      <c r="AN1505">
        <f>VLOOKUP($U1505,[2]Standard_Opportunity!$Q$1:$T$542,4,FALSE)</f>
        <v>0</v>
      </c>
      <c r="AO1505" s="77">
        <f t="shared" si="4736"/>
        <v>1</v>
      </c>
      <c r="AP1505" s="77">
        <f t="shared" si="4746"/>
        <v>6.4624999704999977E-2</v>
      </c>
      <c r="AQ1505" s="77">
        <f t="shared" si="4737"/>
        <v>5.2321923767311151E-3</v>
      </c>
      <c r="AR1505" s="79">
        <v>0</v>
      </c>
      <c r="AS1505" s="77">
        <f t="shared" si="4747"/>
        <v>0</v>
      </c>
      <c r="AT1505" s="77">
        <f t="shared" si="4748"/>
        <v>0</v>
      </c>
      <c r="AU1505" s="77">
        <f t="shared" si="4749"/>
        <v>2.5000000000000001E-3</v>
      </c>
      <c r="AV1505" s="77">
        <f t="shared" si="4750"/>
        <v>2.0809499864316017E-4</v>
      </c>
    </row>
    <row r="1506" spans="1:48">
      <c r="A1506" t="s">
        <v>175</v>
      </c>
      <c r="B1506" t="s">
        <v>180</v>
      </c>
      <c r="C1506" s="197" t="str">
        <f t="shared" si="4771"/>
        <v>Lifecycle_Opportunity_123</v>
      </c>
      <c r="D1506">
        <v>123</v>
      </c>
      <c r="E1506">
        <f>VLOOKUP($D1506,'[2]LC Opportunity'!$Q$2:$U$542,2,FALSE)</f>
        <v>0</v>
      </c>
      <c r="F1506">
        <f>VLOOKUP($D1506,'[2]LC Opportunity'!$Q$2:$U$542,3,FALSE)</f>
        <v>0</v>
      </c>
      <c r="G1506">
        <f>VLOOKUP($D1506,'[2]LC Opportunity'!$Q$2:$U$542,4,FALSE)</f>
        <v>0.69125000000000003</v>
      </c>
      <c r="H1506">
        <f>VLOOKUP($D1506,'[2]LC Opportunity'!$Q$2:$U$542,5,FALSE)</f>
        <v>0.30874999999999997</v>
      </c>
      <c r="I1506" s="77">
        <f t="shared" si="4731"/>
        <v>1</v>
      </c>
      <c r="J1506" s="77">
        <f t="shared" si="4732"/>
        <v>6.6902031249999994E-2</v>
      </c>
      <c r="K1506" s="77">
        <f t="shared" si="4776"/>
        <v>5.4111837780532746E-3</v>
      </c>
      <c r="L1506" s="76">
        <v>0</v>
      </c>
      <c r="M1506" s="77">
        <f t="shared" si="4738"/>
        <v>0</v>
      </c>
      <c r="N1506" s="77">
        <f t="shared" si="4739"/>
        <v>0</v>
      </c>
      <c r="O1506" s="77">
        <f t="shared" si="4740"/>
        <v>6.5207500000000005E-3</v>
      </c>
      <c r="P1506" s="77">
        <f t="shared" si="4741"/>
        <v>5.4502666612699091E-4</v>
      </c>
      <c r="R1506" t="s">
        <v>177</v>
      </c>
      <c r="S1506" t="s">
        <v>180</v>
      </c>
      <c r="T1506" s="197" t="str">
        <f t="shared" si="4772"/>
        <v>Autopilot_Opportunity_123</v>
      </c>
      <c r="U1506">
        <v>123</v>
      </c>
      <c r="V1506">
        <f>VLOOKUP($U1506,'[2]AP Opportunity'!$Q$1:$T$542,2,FALSE)</f>
        <v>0.99999997777777772</v>
      </c>
      <c r="W1506">
        <f>VLOOKUP($U1506,'[2]AP Opportunity'!$Q$1:$T$542,3,FALSE)</f>
        <v>2.2222222284540294E-8</v>
      </c>
      <c r="X1506">
        <f>VLOOKUP($U1506,'[2]AP Opportunity'!$Q$1:$T$542,4,FALSE)</f>
        <v>0</v>
      </c>
      <c r="Y1506" s="77">
        <f t="shared" si="4773"/>
        <v>1</v>
      </c>
      <c r="Z1506" s="77">
        <f t="shared" si="4777"/>
        <v>6.4624999704999977E-2</v>
      </c>
      <c r="AA1506" s="77">
        <f t="shared" si="4778"/>
        <v>5.2321923767311151E-3</v>
      </c>
      <c r="AB1506" s="79">
        <v>1</v>
      </c>
      <c r="AC1506" s="77">
        <f t="shared" si="4742"/>
        <v>8.499999955555556E-3</v>
      </c>
      <c r="AD1506" s="77">
        <f t="shared" ref="AD1506" si="4819">1-(1-AC1506)^(1/12)</f>
        <v>7.1110795759765644E-4</v>
      </c>
      <c r="AE1506" s="77">
        <f t="shared" si="4744"/>
        <v>2.5000000000000001E-3</v>
      </c>
      <c r="AF1506" s="77">
        <f t="shared" ref="AF1506" si="4820">1-(1-AE1506)^(1/12)</f>
        <v>2.0857243058891584E-4</v>
      </c>
      <c r="AH1506" t="s">
        <v>175</v>
      </c>
      <c r="AI1506" t="s">
        <v>180</v>
      </c>
      <c r="AJ1506" s="197" t="str">
        <f t="shared" si="4735"/>
        <v>Lifecycle_Opportunity_123</v>
      </c>
      <c r="AK1506">
        <v>123</v>
      </c>
      <c r="AL1506">
        <f>VLOOKUP($U1506,[2]Standard_Opportunity!$Q$1:$T$542,2,FALSE)</f>
        <v>0.99999997777777772</v>
      </c>
      <c r="AM1506">
        <f>VLOOKUP($U1506,[2]Standard_Opportunity!$Q$1:$T$542,3,FALSE)</f>
        <v>2.2222222284540294E-8</v>
      </c>
      <c r="AN1506">
        <f>VLOOKUP($U1506,[2]Standard_Opportunity!$Q$1:$T$542,4,FALSE)</f>
        <v>0</v>
      </c>
      <c r="AO1506" s="77">
        <f t="shared" si="4736"/>
        <v>1</v>
      </c>
      <c r="AP1506" s="77">
        <f t="shared" si="4746"/>
        <v>6.4624999704999977E-2</v>
      </c>
      <c r="AQ1506" s="77">
        <f t="shared" si="4737"/>
        <v>5.2321923767311151E-3</v>
      </c>
      <c r="AR1506" s="79">
        <v>0</v>
      </c>
      <c r="AS1506" s="77">
        <f t="shared" si="4747"/>
        <v>0</v>
      </c>
      <c r="AT1506" s="77">
        <f t="shared" si="4748"/>
        <v>0</v>
      </c>
      <c r="AU1506" s="77">
        <f t="shared" si="4749"/>
        <v>2.5000000000000001E-3</v>
      </c>
      <c r="AV1506" s="77">
        <f t="shared" si="4750"/>
        <v>2.0809499864316017E-4</v>
      </c>
    </row>
    <row r="1507" spans="1:48">
      <c r="A1507" t="s">
        <v>175</v>
      </c>
      <c r="B1507" t="s">
        <v>180</v>
      </c>
      <c r="C1507" s="197" t="str">
        <f t="shared" si="4771"/>
        <v>Lifecycle_Opportunity_122</v>
      </c>
      <c r="D1507">
        <v>122</v>
      </c>
      <c r="E1507">
        <f>VLOOKUP($D1507,'[2]LC Opportunity'!$Q$2:$U$542,2,FALSE)</f>
        <v>0</v>
      </c>
      <c r="F1507">
        <f>VLOOKUP($D1507,'[2]LC Opportunity'!$Q$2:$U$542,3,FALSE)</f>
        <v>0</v>
      </c>
      <c r="G1507">
        <f>VLOOKUP($D1507,'[2]LC Opportunity'!$Q$2:$U$542,4,FALSE)</f>
        <v>0.72350000000000003</v>
      </c>
      <c r="H1507">
        <f>VLOOKUP($D1507,'[2]LC Opportunity'!$Q$2:$U$542,5,FALSE)</f>
        <v>0.27649999999999997</v>
      </c>
      <c r="I1507" s="77">
        <f t="shared" si="4731"/>
        <v>1</v>
      </c>
      <c r="J1507" s="77">
        <f t="shared" si="4732"/>
        <v>6.6664187499999986E-2</v>
      </c>
      <c r="K1507" s="77">
        <f t="shared" si="4776"/>
        <v>5.3925038996038843E-3</v>
      </c>
      <c r="L1507" s="76">
        <v>0</v>
      </c>
      <c r="M1507" s="77">
        <f t="shared" si="4738"/>
        <v>0</v>
      </c>
      <c r="N1507" s="77">
        <f t="shared" si="4739"/>
        <v>0</v>
      </c>
      <c r="O1507" s="77">
        <f t="shared" si="4740"/>
        <v>6.5916999999999998E-3</v>
      </c>
      <c r="P1507" s="77">
        <f t="shared" si="4741"/>
        <v>5.509749241930928E-4</v>
      </c>
      <c r="R1507" t="s">
        <v>177</v>
      </c>
      <c r="S1507" t="s">
        <v>180</v>
      </c>
      <c r="T1507" s="197" t="str">
        <f t="shared" si="4772"/>
        <v>Autopilot_Opportunity_122</v>
      </c>
      <c r="U1507">
        <v>122</v>
      </c>
      <c r="V1507">
        <f>VLOOKUP($U1507,'[2]AP Opportunity'!$Q$1:$T$542,2,FALSE)</f>
        <v>0.99999997777777772</v>
      </c>
      <c r="W1507">
        <f>VLOOKUP($U1507,'[2]AP Opportunity'!$Q$1:$T$542,3,FALSE)</f>
        <v>2.2222222284540294E-8</v>
      </c>
      <c r="X1507">
        <f>VLOOKUP($U1507,'[2]AP Opportunity'!$Q$1:$T$542,4,FALSE)</f>
        <v>0</v>
      </c>
      <c r="Y1507" s="77">
        <f t="shared" si="4773"/>
        <v>1</v>
      </c>
      <c r="Z1507" s="77">
        <f t="shared" si="4777"/>
        <v>6.4624999704999977E-2</v>
      </c>
      <c r="AA1507" s="77">
        <f t="shared" si="4778"/>
        <v>5.2321923767311151E-3</v>
      </c>
      <c r="AB1507" s="79">
        <v>1</v>
      </c>
      <c r="AC1507" s="77">
        <f t="shared" si="4742"/>
        <v>8.499999955555556E-3</v>
      </c>
      <c r="AD1507" s="77">
        <f t="shared" ref="AD1507" si="4821">1-(1-AC1507)^(1/12)</f>
        <v>7.1110795759765644E-4</v>
      </c>
      <c r="AE1507" s="77">
        <f t="shared" si="4744"/>
        <v>2.5000000000000001E-3</v>
      </c>
      <c r="AF1507" s="77">
        <f t="shared" ref="AF1507" si="4822">1-(1-AE1507)^(1/12)</f>
        <v>2.0857243058891584E-4</v>
      </c>
      <c r="AH1507" t="s">
        <v>175</v>
      </c>
      <c r="AI1507" t="s">
        <v>180</v>
      </c>
      <c r="AJ1507" s="197" t="str">
        <f t="shared" si="4735"/>
        <v>Lifecycle_Opportunity_122</v>
      </c>
      <c r="AK1507">
        <v>122</v>
      </c>
      <c r="AL1507">
        <f>VLOOKUP($U1507,[2]Standard_Opportunity!$Q$1:$T$542,2,FALSE)</f>
        <v>0.99999997777777772</v>
      </c>
      <c r="AM1507">
        <f>VLOOKUP($U1507,[2]Standard_Opportunity!$Q$1:$T$542,3,FALSE)</f>
        <v>2.2222222284540294E-8</v>
      </c>
      <c r="AN1507">
        <f>VLOOKUP($U1507,[2]Standard_Opportunity!$Q$1:$T$542,4,FALSE)</f>
        <v>0</v>
      </c>
      <c r="AO1507" s="77">
        <f t="shared" si="4736"/>
        <v>1</v>
      </c>
      <c r="AP1507" s="77">
        <f t="shared" si="4746"/>
        <v>6.4624999704999977E-2</v>
      </c>
      <c r="AQ1507" s="77">
        <f t="shared" si="4737"/>
        <v>5.2321923767311151E-3</v>
      </c>
      <c r="AR1507" s="79">
        <v>0</v>
      </c>
      <c r="AS1507" s="77">
        <f t="shared" si="4747"/>
        <v>0</v>
      </c>
      <c r="AT1507" s="77">
        <f t="shared" si="4748"/>
        <v>0</v>
      </c>
      <c r="AU1507" s="77">
        <f t="shared" si="4749"/>
        <v>2.5000000000000001E-3</v>
      </c>
      <c r="AV1507" s="77">
        <f t="shared" si="4750"/>
        <v>2.0809499864316017E-4</v>
      </c>
    </row>
    <row r="1508" spans="1:48">
      <c r="A1508" t="s">
        <v>175</v>
      </c>
      <c r="B1508" t="s">
        <v>180</v>
      </c>
      <c r="C1508" s="197" t="str">
        <f t="shared" si="4771"/>
        <v>Lifecycle_Opportunity_121</v>
      </c>
      <c r="D1508">
        <v>121</v>
      </c>
      <c r="E1508">
        <f>VLOOKUP($D1508,'[2]LC Opportunity'!$Q$2:$U$542,2,FALSE)</f>
        <v>0</v>
      </c>
      <c r="F1508">
        <f>VLOOKUP($D1508,'[2]LC Opportunity'!$Q$2:$U$542,3,FALSE)</f>
        <v>0</v>
      </c>
      <c r="G1508">
        <f>VLOOKUP($D1508,'[2]LC Opportunity'!$Q$2:$U$542,4,FALSE)</f>
        <v>0.75575000000000003</v>
      </c>
      <c r="H1508">
        <f>VLOOKUP($D1508,'[2]LC Opportunity'!$Q$2:$U$542,5,FALSE)</f>
        <v>0.24424999999999999</v>
      </c>
      <c r="I1508" s="77">
        <f t="shared" si="4731"/>
        <v>1</v>
      </c>
      <c r="J1508" s="77">
        <f t="shared" si="4732"/>
        <v>6.6426343749999991E-2</v>
      </c>
      <c r="K1508" s="77">
        <f t="shared" si="4776"/>
        <v>5.3738202026447635E-3</v>
      </c>
      <c r="L1508" s="76">
        <v>0</v>
      </c>
      <c r="M1508" s="77">
        <f t="shared" si="4738"/>
        <v>0</v>
      </c>
      <c r="N1508" s="77">
        <f t="shared" si="4739"/>
        <v>0</v>
      </c>
      <c r="O1508" s="77">
        <f t="shared" si="4740"/>
        <v>6.66265E-3</v>
      </c>
      <c r="P1508" s="77">
        <f t="shared" si="4741"/>
        <v>5.5692357169867535E-4</v>
      </c>
      <c r="R1508" t="s">
        <v>177</v>
      </c>
      <c r="S1508" t="s">
        <v>180</v>
      </c>
      <c r="T1508" s="197" t="str">
        <f t="shared" si="4772"/>
        <v>Autopilot_Opportunity_121</v>
      </c>
      <c r="U1508">
        <v>121</v>
      </c>
      <c r="V1508">
        <f>VLOOKUP($U1508,'[2]AP Opportunity'!$Q$1:$T$542,2,FALSE)</f>
        <v>0.99999997777777772</v>
      </c>
      <c r="W1508">
        <f>VLOOKUP($U1508,'[2]AP Opportunity'!$Q$1:$T$542,3,FALSE)</f>
        <v>2.2222222284540294E-8</v>
      </c>
      <c r="X1508">
        <f>VLOOKUP($U1508,'[2]AP Opportunity'!$Q$1:$T$542,4,FALSE)</f>
        <v>0</v>
      </c>
      <c r="Y1508" s="77">
        <f t="shared" si="4773"/>
        <v>1</v>
      </c>
      <c r="Z1508" s="77">
        <f t="shared" si="4777"/>
        <v>6.4624999704999977E-2</v>
      </c>
      <c r="AA1508" s="77">
        <f t="shared" si="4778"/>
        <v>5.2321923767311151E-3</v>
      </c>
      <c r="AB1508" s="79">
        <v>1</v>
      </c>
      <c r="AC1508" s="77">
        <f t="shared" si="4742"/>
        <v>8.499999955555556E-3</v>
      </c>
      <c r="AD1508" s="77">
        <f t="shared" ref="AD1508" si="4823">1-(1-AC1508)^(1/12)</f>
        <v>7.1110795759765644E-4</v>
      </c>
      <c r="AE1508" s="77">
        <f t="shared" si="4744"/>
        <v>2.5000000000000001E-3</v>
      </c>
      <c r="AF1508" s="77">
        <f t="shared" ref="AF1508" si="4824">1-(1-AE1508)^(1/12)</f>
        <v>2.0857243058891584E-4</v>
      </c>
      <c r="AH1508" t="s">
        <v>175</v>
      </c>
      <c r="AI1508" t="s">
        <v>180</v>
      </c>
      <c r="AJ1508" s="197" t="str">
        <f t="shared" si="4735"/>
        <v>Lifecycle_Opportunity_121</v>
      </c>
      <c r="AK1508">
        <v>121</v>
      </c>
      <c r="AL1508">
        <f>VLOOKUP($U1508,[2]Standard_Opportunity!$Q$1:$T$542,2,FALSE)</f>
        <v>0.99999997777777772</v>
      </c>
      <c r="AM1508">
        <f>VLOOKUP($U1508,[2]Standard_Opportunity!$Q$1:$T$542,3,FALSE)</f>
        <v>2.2222222284540294E-8</v>
      </c>
      <c r="AN1508">
        <f>VLOOKUP($U1508,[2]Standard_Opportunity!$Q$1:$T$542,4,FALSE)</f>
        <v>0</v>
      </c>
      <c r="AO1508" s="77">
        <f t="shared" si="4736"/>
        <v>1</v>
      </c>
      <c r="AP1508" s="77">
        <f t="shared" si="4746"/>
        <v>6.4624999704999977E-2</v>
      </c>
      <c r="AQ1508" s="77">
        <f t="shared" si="4737"/>
        <v>5.2321923767311151E-3</v>
      </c>
      <c r="AR1508" s="79">
        <v>0</v>
      </c>
      <c r="AS1508" s="77">
        <f t="shared" si="4747"/>
        <v>0</v>
      </c>
      <c r="AT1508" s="77">
        <f t="shared" si="4748"/>
        <v>0</v>
      </c>
      <c r="AU1508" s="77">
        <f t="shared" si="4749"/>
        <v>2.5000000000000001E-3</v>
      </c>
      <c r="AV1508" s="77">
        <f t="shared" si="4750"/>
        <v>2.0809499864316017E-4</v>
      </c>
    </row>
    <row r="1509" spans="1:48">
      <c r="A1509" t="s">
        <v>175</v>
      </c>
      <c r="B1509" t="s">
        <v>180</v>
      </c>
      <c r="C1509" s="197" t="str">
        <f t="shared" si="4771"/>
        <v>Lifecycle_Opportunity_120</v>
      </c>
      <c r="D1509">
        <v>120</v>
      </c>
      <c r="E1509">
        <f>VLOOKUP($D1509,'[2]LC Opportunity'!$Q$2:$U$542,2,FALSE)</f>
        <v>0</v>
      </c>
      <c r="F1509">
        <f>VLOOKUP($D1509,'[2]LC Opportunity'!$Q$2:$U$542,3,FALSE)</f>
        <v>0</v>
      </c>
      <c r="G1509">
        <f>VLOOKUP($D1509,'[2]LC Opportunity'!$Q$2:$U$542,4,FALSE)</f>
        <v>0.78800000000000003</v>
      </c>
      <c r="H1509">
        <f>VLOOKUP($D1509,'[2]LC Opportunity'!$Q$2:$U$542,5,FALSE)</f>
        <v>0.21199999999999999</v>
      </c>
      <c r="I1509" s="77">
        <f t="shared" si="4731"/>
        <v>1</v>
      </c>
      <c r="J1509" s="77">
        <f t="shared" si="4732"/>
        <v>6.6188499999999983E-2</v>
      </c>
      <c r="K1509" s="77">
        <f t="shared" si="4776"/>
        <v>5.35513268554344E-3</v>
      </c>
      <c r="L1509" s="76">
        <v>0</v>
      </c>
      <c r="M1509" s="77">
        <f t="shared" si="4738"/>
        <v>0</v>
      </c>
      <c r="N1509" s="77">
        <f t="shared" si="4739"/>
        <v>0</v>
      </c>
      <c r="O1509" s="77">
        <f t="shared" si="4740"/>
        <v>6.7336000000000002E-3</v>
      </c>
      <c r="P1509" s="77">
        <f t="shared" si="4741"/>
        <v>5.6287260869714029E-4</v>
      </c>
      <c r="R1509" t="s">
        <v>177</v>
      </c>
      <c r="S1509" t="s">
        <v>180</v>
      </c>
      <c r="T1509" s="197" t="str">
        <f t="shared" si="4772"/>
        <v>Autopilot_Opportunity_120</v>
      </c>
      <c r="U1509">
        <v>120</v>
      </c>
      <c r="V1509">
        <f>VLOOKUP($U1509,'[2]AP Opportunity'!$Q$1:$T$542,2,FALSE)</f>
        <v>0.99999997777777772</v>
      </c>
      <c r="W1509">
        <f>VLOOKUP($U1509,'[2]AP Opportunity'!$Q$1:$T$542,3,FALSE)</f>
        <v>2.2222222284540294E-8</v>
      </c>
      <c r="X1509">
        <f>VLOOKUP($U1509,'[2]AP Opportunity'!$Q$1:$T$542,4,FALSE)</f>
        <v>0</v>
      </c>
      <c r="Y1509" s="77">
        <f t="shared" si="4773"/>
        <v>1</v>
      </c>
      <c r="Z1509" s="77">
        <f t="shared" si="4777"/>
        <v>6.4624999704999977E-2</v>
      </c>
      <c r="AA1509" s="77">
        <f t="shared" si="4778"/>
        <v>5.2321923767311151E-3</v>
      </c>
      <c r="AB1509" s="79">
        <v>1</v>
      </c>
      <c r="AC1509" s="77">
        <f t="shared" si="4742"/>
        <v>8.499999955555556E-3</v>
      </c>
      <c r="AD1509" s="77">
        <f t="shared" ref="AD1509" si="4825">1-(1-AC1509)^(1/12)</f>
        <v>7.1110795759765644E-4</v>
      </c>
      <c r="AE1509" s="77">
        <f t="shared" si="4744"/>
        <v>2.5000000000000001E-3</v>
      </c>
      <c r="AF1509" s="77">
        <f t="shared" ref="AF1509" si="4826">1-(1-AE1509)^(1/12)</f>
        <v>2.0857243058891584E-4</v>
      </c>
      <c r="AH1509" t="s">
        <v>175</v>
      </c>
      <c r="AI1509" t="s">
        <v>180</v>
      </c>
      <c r="AJ1509" s="197" t="str">
        <f t="shared" si="4735"/>
        <v>Lifecycle_Opportunity_120</v>
      </c>
      <c r="AK1509">
        <v>120</v>
      </c>
      <c r="AL1509">
        <f>VLOOKUP($U1509,[2]Standard_Opportunity!$Q$1:$T$542,2,FALSE)</f>
        <v>0.99999997777777772</v>
      </c>
      <c r="AM1509">
        <f>VLOOKUP($U1509,[2]Standard_Opportunity!$Q$1:$T$542,3,FALSE)</f>
        <v>2.2222222284540294E-8</v>
      </c>
      <c r="AN1509">
        <f>VLOOKUP($U1509,[2]Standard_Opportunity!$Q$1:$T$542,4,FALSE)</f>
        <v>0</v>
      </c>
      <c r="AO1509" s="77">
        <f t="shared" si="4736"/>
        <v>1</v>
      </c>
      <c r="AP1509" s="77">
        <f t="shared" si="4746"/>
        <v>6.4624999704999977E-2</v>
      </c>
      <c r="AQ1509" s="77">
        <f t="shared" si="4737"/>
        <v>5.2321923767311151E-3</v>
      </c>
      <c r="AR1509" s="79">
        <v>0</v>
      </c>
      <c r="AS1509" s="77">
        <f t="shared" si="4747"/>
        <v>0</v>
      </c>
      <c r="AT1509" s="77">
        <f t="shared" si="4748"/>
        <v>0</v>
      </c>
      <c r="AU1509" s="77">
        <f t="shared" si="4749"/>
        <v>2.5000000000000001E-3</v>
      </c>
      <c r="AV1509" s="77">
        <f t="shared" si="4750"/>
        <v>2.0809499864316017E-4</v>
      </c>
    </row>
    <row r="1510" spans="1:48">
      <c r="A1510" t="s">
        <v>175</v>
      </c>
      <c r="B1510" t="s">
        <v>180</v>
      </c>
      <c r="C1510" s="197" t="str">
        <f t="shared" si="4771"/>
        <v>Lifecycle_Opportunity_119</v>
      </c>
      <c r="D1510">
        <v>119</v>
      </c>
      <c r="E1510">
        <f>VLOOKUP($D1510,'[2]LC Opportunity'!$Q$2:$U$542,2,FALSE)</f>
        <v>0</v>
      </c>
      <c r="F1510">
        <f>VLOOKUP($D1510,'[2]LC Opportunity'!$Q$2:$U$542,3,FALSE)</f>
        <v>3.5833333333333329E-3</v>
      </c>
      <c r="G1510">
        <f>VLOOKUP($D1510,'[2]LC Opportunity'!$Q$2:$U$542,4,FALSE)</f>
        <v>0.80208333333333337</v>
      </c>
      <c r="H1510">
        <f>VLOOKUP($D1510,'[2]LC Opportunity'!$Q$2:$U$542,5,FALSE)</f>
        <v>0.19433333333333333</v>
      </c>
      <c r="I1510" s="77">
        <f t="shared" si="4731"/>
        <v>1</v>
      </c>
      <c r="J1510" s="77">
        <f t="shared" si="4732"/>
        <v>6.5994783333333321E-2</v>
      </c>
      <c r="K1510" s="77">
        <f t="shared" si="4776"/>
        <v>5.3399094342814202E-3</v>
      </c>
      <c r="L1510" s="76">
        <v>0</v>
      </c>
      <c r="M1510" s="77">
        <f t="shared" si="4738"/>
        <v>0</v>
      </c>
      <c r="N1510" s="77">
        <f t="shared" si="4739"/>
        <v>0</v>
      </c>
      <c r="O1510" s="77">
        <f t="shared" si="4740"/>
        <v>6.7678083333333333E-3</v>
      </c>
      <c r="P1510" s="77">
        <f t="shared" si="4741"/>
        <v>5.6574105853168799E-4</v>
      </c>
      <c r="R1510" t="s">
        <v>177</v>
      </c>
      <c r="S1510" t="s">
        <v>180</v>
      </c>
      <c r="T1510" s="197" t="str">
        <f t="shared" si="4772"/>
        <v>Autopilot_Opportunity_119</v>
      </c>
      <c r="U1510">
        <v>119</v>
      </c>
      <c r="V1510">
        <f>VLOOKUP($U1510,'[2]AP Opportunity'!$Q$1:$T$542,2,FALSE)</f>
        <v>0.99999997777777772</v>
      </c>
      <c r="W1510">
        <f>VLOOKUP($U1510,'[2]AP Opportunity'!$Q$1:$T$542,3,FALSE)</f>
        <v>2.2222222284540294E-8</v>
      </c>
      <c r="X1510">
        <f>VLOOKUP($U1510,'[2]AP Opportunity'!$Q$1:$T$542,4,FALSE)</f>
        <v>0</v>
      </c>
      <c r="Y1510" s="77">
        <f t="shared" si="4773"/>
        <v>1</v>
      </c>
      <c r="Z1510" s="77">
        <f t="shared" si="4777"/>
        <v>6.4624999704999977E-2</v>
      </c>
      <c r="AA1510" s="77">
        <f t="shared" si="4778"/>
        <v>5.2321923767311151E-3</v>
      </c>
      <c r="AB1510" s="79">
        <v>1</v>
      </c>
      <c r="AC1510" s="77">
        <f t="shared" si="4742"/>
        <v>8.499999955555556E-3</v>
      </c>
      <c r="AD1510" s="77">
        <f t="shared" ref="AD1510" si="4827">1-(1-AC1510)^(1/12)</f>
        <v>7.1110795759765644E-4</v>
      </c>
      <c r="AE1510" s="77">
        <f t="shared" si="4744"/>
        <v>2.5000000000000001E-3</v>
      </c>
      <c r="AF1510" s="77">
        <f t="shared" ref="AF1510" si="4828">1-(1-AE1510)^(1/12)</f>
        <v>2.0857243058891584E-4</v>
      </c>
      <c r="AH1510" t="s">
        <v>175</v>
      </c>
      <c r="AI1510" t="s">
        <v>180</v>
      </c>
      <c r="AJ1510" s="197" t="str">
        <f t="shared" si="4735"/>
        <v>Lifecycle_Opportunity_119</v>
      </c>
      <c r="AK1510">
        <v>119</v>
      </c>
      <c r="AL1510">
        <f>VLOOKUP($U1510,[2]Standard_Opportunity!$Q$1:$T$542,2,FALSE)</f>
        <v>0.98765707925359292</v>
      </c>
      <c r="AM1510">
        <f>VLOOKUP($U1510,[2]Standard_Opportunity!$Q$1:$T$542,3,FALSE)</f>
        <v>1.2342920746407101E-2</v>
      </c>
      <c r="AN1510">
        <f>VLOOKUP($U1510,[2]Standard_Opportunity!$Q$1:$T$542,4,FALSE)</f>
        <v>0</v>
      </c>
      <c r="AO1510" s="77">
        <f t="shared" si="4736"/>
        <v>1</v>
      </c>
      <c r="AP1510" s="77">
        <f t="shared" si="4746"/>
        <v>6.4461147727091425E-2</v>
      </c>
      <c r="AQ1510" s="77">
        <f t="shared" si="4737"/>
        <v>5.2192988772370441E-3</v>
      </c>
      <c r="AR1510" s="79">
        <v>0</v>
      </c>
      <c r="AS1510" s="77">
        <f t="shared" si="4747"/>
        <v>0</v>
      </c>
      <c r="AT1510" s="77">
        <f t="shared" si="4748"/>
        <v>0</v>
      </c>
      <c r="AU1510" s="77">
        <f t="shared" si="4749"/>
        <v>2.5000000000000001E-3</v>
      </c>
      <c r="AV1510" s="77">
        <f t="shared" si="4750"/>
        <v>2.0809499864316017E-4</v>
      </c>
    </row>
    <row r="1511" spans="1:48">
      <c r="A1511" t="s">
        <v>175</v>
      </c>
      <c r="B1511" t="s">
        <v>180</v>
      </c>
      <c r="C1511" s="197" t="str">
        <f t="shared" si="4771"/>
        <v>Lifecycle_Opportunity_118</v>
      </c>
      <c r="D1511">
        <v>118</v>
      </c>
      <c r="E1511">
        <f>VLOOKUP($D1511,'[2]LC Opportunity'!$Q$2:$U$542,2,FALSE)</f>
        <v>0</v>
      </c>
      <c r="F1511">
        <f>VLOOKUP($D1511,'[2]LC Opportunity'!$Q$2:$U$542,3,FALSE)</f>
        <v>7.1666666666666658E-3</v>
      </c>
      <c r="G1511">
        <f>VLOOKUP($D1511,'[2]LC Opportunity'!$Q$2:$U$542,4,FALSE)</f>
        <v>0.81616666666666671</v>
      </c>
      <c r="H1511">
        <f>VLOOKUP($D1511,'[2]LC Opportunity'!$Q$2:$U$542,5,FALSE)</f>
        <v>0.17666666666666667</v>
      </c>
      <c r="I1511" s="77">
        <f t="shared" si="4731"/>
        <v>1</v>
      </c>
      <c r="J1511" s="77">
        <f t="shared" si="4732"/>
        <v>6.5801066666666658E-2</v>
      </c>
      <c r="K1511" s="77">
        <f t="shared" si="4776"/>
        <v>5.324683646916073E-3</v>
      </c>
      <c r="L1511" s="76">
        <v>0</v>
      </c>
      <c r="M1511" s="77">
        <f t="shared" si="4738"/>
        <v>0</v>
      </c>
      <c r="N1511" s="77">
        <f t="shared" si="4739"/>
        <v>0</v>
      </c>
      <c r="O1511" s="77">
        <f t="shared" si="4740"/>
        <v>6.8020166666666673E-3</v>
      </c>
      <c r="P1511" s="77">
        <f t="shared" si="4741"/>
        <v>5.6860959892846008E-4</v>
      </c>
      <c r="R1511" t="s">
        <v>177</v>
      </c>
      <c r="S1511" t="s">
        <v>180</v>
      </c>
      <c r="T1511" s="197" t="str">
        <f t="shared" si="4772"/>
        <v>Autopilot_Opportunity_118</v>
      </c>
      <c r="U1511">
        <v>118</v>
      </c>
      <c r="V1511">
        <f>VLOOKUP($U1511,'[2]AP Opportunity'!$Q$1:$T$542,2,FALSE)</f>
        <v>0.99999997777777772</v>
      </c>
      <c r="W1511">
        <f>VLOOKUP($U1511,'[2]AP Opportunity'!$Q$1:$T$542,3,FALSE)</f>
        <v>2.2222222284540294E-8</v>
      </c>
      <c r="X1511">
        <f>VLOOKUP($U1511,'[2]AP Opportunity'!$Q$1:$T$542,4,FALSE)</f>
        <v>0</v>
      </c>
      <c r="Y1511" s="77">
        <f t="shared" si="4773"/>
        <v>1</v>
      </c>
      <c r="Z1511" s="77">
        <f t="shared" si="4777"/>
        <v>6.4624999704999977E-2</v>
      </c>
      <c r="AA1511" s="77">
        <f t="shared" si="4778"/>
        <v>5.2321923767311151E-3</v>
      </c>
      <c r="AB1511" s="79">
        <v>1</v>
      </c>
      <c r="AC1511" s="77">
        <f t="shared" si="4742"/>
        <v>8.499999955555556E-3</v>
      </c>
      <c r="AD1511" s="77">
        <f t="shared" ref="AD1511" si="4829">1-(1-AC1511)^(1/12)</f>
        <v>7.1110795759765644E-4</v>
      </c>
      <c r="AE1511" s="77">
        <f t="shared" si="4744"/>
        <v>2.5000000000000001E-3</v>
      </c>
      <c r="AF1511" s="77">
        <f t="shared" ref="AF1511" si="4830">1-(1-AE1511)^(1/12)</f>
        <v>2.0857243058891584E-4</v>
      </c>
      <c r="AH1511" t="s">
        <v>175</v>
      </c>
      <c r="AI1511" t="s">
        <v>180</v>
      </c>
      <c r="AJ1511" s="197" t="str">
        <f t="shared" si="4735"/>
        <v>Lifecycle_Opportunity_118</v>
      </c>
      <c r="AK1511">
        <v>118</v>
      </c>
      <c r="AL1511">
        <f>VLOOKUP($U1511,[2]Standard_Opportunity!$Q$1:$T$542,2,FALSE)</f>
        <v>0.97531418072940812</v>
      </c>
      <c r="AM1511">
        <f>VLOOKUP($U1511,[2]Standard_Opportunity!$Q$1:$T$542,3,FALSE)</f>
        <v>2.4685819270591918E-2</v>
      </c>
      <c r="AN1511">
        <f>VLOOKUP($U1511,[2]Standard_Opportunity!$Q$1:$T$542,4,FALSE)</f>
        <v>0</v>
      </c>
      <c r="AO1511" s="77">
        <f t="shared" si="4736"/>
        <v>1</v>
      </c>
      <c r="AP1511" s="77">
        <f t="shared" si="4746"/>
        <v>6.4297295749182873E-2</v>
      </c>
      <c r="AQ1511" s="77">
        <f t="shared" si="4737"/>
        <v>5.2064035583154755E-3</v>
      </c>
      <c r="AR1511" s="79">
        <v>0</v>
      </c>
      <c r="AS1511" s="77">
        <f t="shared" si="4747"/>
        <v>0</v>
      </c>
      <c r="AT1511" s="77">
        <f t="shared" si="4748"/>
        <v>0</v>
      </c>
      <c r="AU1511" s="77">
        <f t="shared" si="4749"/>
        <v>2.5000000000000005E-3</v>
      </c>
      <c r="AV1511" s="77">
        <f t="shared" si="4750"/>
        <v>2.0809499864316017E-4</v>
      </c>
    </row>
    <row r="1512" spans="1:48">
      <c r="A1512" t="s">
        <v>175</v>
      </c>
      <c r="B1512" t="s">
        <v>180</v>
      </c>
      <c r="C1512" s="197" t="str">
        <f t="shared" si="4771"/>
        <v>Lifecycle_Opportunity_117</v>
      </c>
      <c r="D1512">
        <v>117</v>
      </c>
      <c r="E1512">
        <f>VLOOKUP($D1512,'[2]LC Opportunity'!$Q$2:$U$542,2,FALSE)</f>
        <v>0</v>
      </c>
      <c r="F1512">
        <f>VLOOKUP($D1512,'[2]LC Opportunity'!$Q$2:$U$542,3,FALSE)</f>
        <v>1.0749999999999999E-2</v>
      </c>
      <c r="G1512">
        <f>VLOOKUP($D1512,'[2]LC Opportunity'!$Q$2:$U$542,4,FALSE)</f>
        <v>0.83025000000000004</v>
      </c>
      <c r="H1512">
        <f>VLOOKUP($D1512,'[2]LC Opportunity'!$Q$2:$U$542,5,FALSE)</f>
        <v>0.159</v>
      </c>
      <c r="I1512" s="77">
        <f t="shared" si="4731"/>
        <v>1</v>
      </c>
      <c r="J1512" s="77">
        <f t="shared" si="4732"/>
        <v>6.5607349999999995E-2</v>
      </c>
      <c r="K1512" s="77">
        <f t="shared" si="4776"/>
        <v>5.309455322563883E-3</v>
      </c>
      <c r="L1512" s="76">
        <v>0</v>
      </c>
      <c r="M1512" s="77">
        <f t="shared" si="4738"/>
        <v>0</v>
      </c>
      <c r="N1512" s="77">
        <f t="shared" si="4739"/>
        <v>0</v>
      </c>
      <c r="O1512" s="77">
        <f t="shared" si="4740"/>
        <v>6.8362249999999996E-3</v>
      </c>
      <c r="P1512" s="77">
        <f t="shared" si="4741"/>
        <v>5.7147822989334074E-4</v>
      </c>
      <c r="R1512" t="s">
        <v>177</v>
      </c>
      <c r="S1512" t="s">
        <v>180</v>
      </c>
      <c r="T1512" s="197" t="str">
        <f t="shared" si="4772"/>
        <v>Autopilot_Opportunity_117</v>
      </c>
      <c r="U1512">
        <v>117</v>
      </c>
      <c r="V1512">
        <f>VLOOKUP($U1512,'[2]AP Opportunity'!$Q$1:$T$542,2,FALSE)</f>
        <v>0.99999997777777772</v>
      </c>
      <c r="W1512">
        <f>VLOOKUP($U1512,'[2]AP Opportunity'!$Q$1:$T$542,3,FALSE)</f>
        <v>2.2222222284540294E-8</v>
      </c>
      <c r="X1512">
        <f>VLOOKUP($U1512,'[2]AP Opportunity'!$Q$1:$T$542,4,FALSE)</f>
        <v>0</v>
      </c>
      <c r="Y1512" s="77">
        <f t="shared" si="4773"/>
        <v>1</v>
      </c>
      <c r="Z1512" s="77">
        <f t="shared" si="4777"/>
        <v>6.4624999704999977E-2</v>
      </c>
      <c r="AA1512" s="77">
        <f t="shared" si="4778"/>
        <v>5.2321923767311151E-3</v>
      </c>
      <c r="AB1512" s="79">
        <v>1</v>
      </c>
      <c r="AC1512" s="77">
        <f t="shared" si="4742"/>
        <v>8.499999955555556E-3</v>
      </c>
      <c r="AD1512" s="77">
        <f t="shared" ref="AD1512" si="4831">1-(1-AC1512)^(1/12)</f>
        <v>7.1110795759765644E-4</v>
      </c>
      <c r="AE1512" s="77">
        <f t="shared" si="4744"/>
        <v>2.5000000000000001E-3</v>
      </c>
      <c r="AF1512" s="77">
        <f t="shared" ref="AF1512" si="4832">1-(1-AE1512)^(1/12)</f>
        <v>2.0857243058891584E-4</v>
      </c>
      <c r="AH1512" t="s">
        <v>175</v>
      </c>
      <c r="AI1512" t="s">
        <v>180</v>
      </c>
      <c r="AJ1512" s="197" t="str">
        <f t="shared" si="4735"/>
        <v>Lifecycle_Opportunity_117</v>
      </c>
      <c r="AK1512">
        <v>117</v>
      </c>
      <c r="AL1512">
        <f>VLOOKUP($U1512,[2]Standard_Opportunity!$Q$1:$T$542,2,FALSE)</f>
        <v>0.96297128220522321</v>
      </c>
      <c r="AM1512">
        <f>VLOOKUP($U1512,[2]Standard_Opportunity!$Q$1:$T$542,3,FALSE)</f>
        <v>3.7028717794776733E-2</v>
      </c>
      <c r="AN1512">
        <f>VLOOKUP($U1512,[2]Standard_Opportunity!$Q$1:$T$542,4,FALSE)</f>
        <v>0</v>
      </c>
      <c r="AO1512" s="77">
        <f t="shared" si="4736"/>
        <v>1</v>
      </c>
      <c r="AP1512" s="77">
        <f t="shared" si="4746"/>
        <v>6.413344377127432E-2</v>
      </c>
      <c r="AQ1512" s="77">
        <f t="shared" si="4737"/>
        <v>5.1935064194292835E-3</v>
      </c>
      <c r="AR1512" s="79">
        <v>0</v>
      </c>
      <c r="AS1512" s="77">
        <f t="shared" si="4747"/>
        <v>0</v>
      </c>
      <c r="AT1512" s="77">
        <f t="shared" si="4748"/>
        <v>0</v>
      </c>
      <c r="AU1512" s="77">
        <f t="shared" si="4749"/>
        <v>2.5000000000000001E-3</v>
      </c>
      <c r="AV1512" s="77">
        <f t="shared" si="4750"/>
        <v>2.0809499864316017E-4</v>
      </c>
    </row>
    <row r="1513" spans="1:48">
      <c r="A1513" t="s">
        <v>175</v>
      </c>
      <c r="B1513" t="s">
        <v>180</v>
      </c>
      <c r="C1513" s="197" t="str">
        <f t="shared" si="4771"/>
        <v>Lifecycle_Opportunity_116</v>
      </c>
      <c r="D1513">
        <v>116</v>
      </c>
      <c r="E1513">
        <f>VLOOKUP($D1513,'[2]LC Opportunity'!$Q$2:$U$542,2,FALSE)</f>
        <v>0</v>
      </c>
      <c r="F1513">
        <f>VLOOKUP($D1513,'[2]LC Opportunity'!$Q$2:$U$542,3,FALSE)</f>
        <v>1.4333333333333332E-2</v>
      </c>
      <c r="G1513">
        <f>VLOOKUP($D1513,'[2]LC Opportunity'!$Q$2:$U$542,4,FALSE)</f>
        <v>0.84433333333333338</v>
      </c>
      <c r="H1513">
        <f>VLOOKUP($D1513,'[2]LC Opportunity'!$Q$2:$U$542,5,FALSE)</f>
        <v>0.14133333333333334</v>
      </c>
      <c r="I1513" s="77">
        <f t="shared" si="4731"/>
        <v>1</v>
      </c>
      <c r="J1513" s="77">
        <f t="shared" si="4732"/>
        <v>6.5413633333333332E-2</v>
      </c>
      <c r="K1513" s="77">
        <f t="shared" si="4776"/>
        <v>5.2942244603406685E-3</v>
      </c>
      <c r="L1513" s="76">
        <v>0</v>
      </c>
      <c r="M1513" s="77">
        <f t="shared" si="4738"/>
        <v>0</v>
      </c>
      <c r="N1513" s="77">
        <f t="shared" si="4739"/>
        <v>0</v>
      </c>
      <c r="O1513" s="77">
        <f t="shared" si="4740"/>
        <v>6.8704333333333336E-3</v>
      </c>
      <c r="P1513" s="77">
        <f t="shared" si="4741"/>
        <v>5.7434695143232517E-4</v>
      </c>
      <c r="R1513" t="s">
        <v>177</v>
      </c>
      <c r="S1513" t="s">
        <v>180</v>
      </c>
      <c r="T1513" s="197" t="str">
        <f t="shared" si="4772"/>
        <v>Autopilot_Opportunity_116</v>
      </c>
      <c r="U1513">
        <v>116</v>
      </c>
      <c r="V1513">
        <f>VLOOKUP($U1513,'[2]AP Opportunity'!$Q$1:$T$542,2,FALSE)</f>
        <v>0.99999997777777772</v>
      </c>
      <c r="W1513">
        <f>VLOOKUP($U1513,'[2]AP Opportunity'!$Q$1:$T$542,3,FALSE)</f>
        <v>2.2222222284540294E-8</v>
      </c>
      <c r="X1513">
        <f>VLOOKUP($U1513,'[2]AP Opportunity'!$Q$1:$T$542,4,FALSE)</f>
        <v>0</v>
      </c>
      <c r="Y1513" s="77">
        <f t="shared" si="4773"/>
        <v>1</v>
      </c>
      <c r="Z1513" s="77">
        <f t="shared" si="4777"/>
        <v>6.4624999704999977E-2</v>
      </c>
      <c r="AA1513" s="77">
        <f t="shared" si="4778"/>
        <v>5.2321923767311151E-3</v>
      </c>
      <c r="AB1513" s="79">
        <v>1</v>
      </c>
      <c r="AC1513" s="77">
        <f t="shared" si="4742"/>
        <v>8.499999955555556E-3</v>
      </c>
      <c r="AD1513" s="77">
        <f t="shared" ref="AD1513" si="4833">1-(1-AC1513)^(1/12)</f>
        <v>7.1110795759765644E-4</v>
      </c>
      <c r="AE1513" s="77">
        <f t="shared" si="4744"/>
        <v>2.5000000000000001E-3</v>
      </c>
      <c r="AF1513" s="77">
        <f t="shared" ref="AF1513" si="4834">1-(1-AE1513)^(1/12)</f>
        <v>2.0857243058891584E-4</v>
      </c>
      <c r="AH1513" t="s">
        <v>175</v>
      </c>
      <c r="AI1513" t="s">
        <v>180</v>
      </c>
      <c r="AJ1513" s="197" t="str">
        <f t="shared" si="4735"/>
        <v>Lifecycle_Opportunity_116</v>
      </c>
      <c r="AK1513">
        <v>116</v>
      </c>
      <c r="AL1513">
        <f>VLOOKUP($U1513,[2]Standard_Opportunity!$Q$1:$T$542,2,FALSE)</f>
        <v>0.95062838368103841</v>
      </c>
      <c r="AM1513">
        <f>VLOOKUP($U1513,[2]Standard_Opportunity!$Q$1:$T$542,3,FALSE)</f>
        <v>4.9371616318961552E-2</v>
      </c>
      <c r="AN1513">
        <f>VLOOKUP($U1513,[2]Standard_Opportunity!$Q$1:$T$542,4,FALSE)</f>
        <v>0</v>
      </c>
      <c r="AO1513" s="77">
        <f t="shared" si="4736"/>
        <v>1</v>
      </c>
      <c r="AP1513" s="77">
        <f t="shared" si="4746"/>
        <v>6.3969591793365768E-2</v>
      </c>
      <c r="AQ1513" s="77">
        <f t="shared" si="4737"/>
        <v>5.1806074600417862E-3</v>
      </c>
      <c r="AR1513" s="79">
        <v>0</v>
      </c>
      <c r="AS1513" s="77">
        <f t="shared" si="4747"/>
        <v>0</v>
      </c>
      <c r="AT1513" s="77">
        <f t="shared" si="4748"/>
        <v>0</v>
      </c>
      <c r="AU1513" s="77">
        <f t="shared" si="4749"/>
        <v>2.5000000000000001E-3</v>
      </c>
      <c r="AV1513" s="77">
        <f t="shared" si="4750"/>
        <v>2.0809499864316017E-4</v>
      </c>
    </row>
    <row r="1514" spans="1:48">
      <c r="A1514" t="s">
        <v>175</v>
      </c>
      <c r="B1514" t="s">
        <v>180</v>
      </c>
      <c r="C1514" s="197" t="str">
        <f t="shared" si="4771"/>
        <v>Lifecycle_Opportunity_115</v>
      </c>
      <c r="D1514">
        <v>115</v>
      </c>
      <c r="E1514">
        <f>VLOOKUP($D1514,'[2]LC Opportunity'!$Q$2:$U$542,2,FALSE)</f>
        <v>0</v>
      </c>
      <c r="F1514">
        <f>VLOOKUP($D1514,'[2]LC Opportunity'!$Q$2:$U$542,3,FALSE)</f>
        <v>1.7916666666666664E-2</v>
      </c>
      <c r="G1514">
        <f>VLOOKUP($D1514,'[2]LC Opportunity'!$Q$2:$U$542,4,FALSE)</f>
        <v>0.85841666666666672</v>
      </c>
      <c r="H1514">
        <f>VLOOKUP($D1514,'[2]LC Opportunity'!$Q$2:$U$542,5,FALSE)</f>
        <v>0.12366666666666666</v>
      </c>
      <c r="I1514" s="77">
        <f t="shared" si="4731"/>
        <v>1</v>
      </c>
      <c r="J1514" s="77">
        <f t="shared" si="4732"/>
        <v>6.5219916666666655E-2</v>
      </c>
      <c r="K1514" s="77">
        <f t="shared" si="4776"/>
        <v>5.278991059362248E-3</v>
      </c>
      <c r="L1514" s="76">
        <v>0</v>
      </c>
      <c r="M1514" s="77">
        <f t="shared" si="4738"/>
        <v>0</v>
      </c>
      <c r="N1514" s="77">
        <f t="shared" si="4739"/>
        <v>0</v>
      </c>
      <c r="O1514" s="77">
        <f t="shared" si="4740"/>
        <v>6.9046416666666676E-3</v>
      </c>
      <c r="P1514" s="77">
        <f t="shared" si="4741"/>
        <v>5.7721576355140858E-4</v>
      </c>
      <c r="R1514" t="s">
        <v>177</v>
      </c>
      <c r="S1514" t="s">
        <v>180</v>
      </c>
      <c r="T1514" s="197" t="str">
        <f t="shared" si="4772"/>
        <v>Autopilot_Opportunity_115</v>
      </c>
      <c r="U1514">
        <v>115</v>
      </c>
      <c r="V1514">
        <f>VLOOKUP($U1514,'[2]AP Opportunity'!$Q$1:$T$542,2,FALSE)</f>
        <v>0.99999997777777772</v>
      </c>
      <c r="W1514">
        <f>VLOOKUP($U1514,'[2]AP Opportunity'!$Q$1:$T$542,3,FALSE)</f>
        <v>2.2222222284540294E-8</v>
      </c>
      <c r="X1514">
        <f>VLOOKUP($U1514,'[2]AP Opportunity'!$Q$1:$T$542,4,FALSE)</f>
        <v>0</v>
      </c>
      <c r="Y1514" s="77">
        <f t="shared" si="4773"/>
        <v>1</v>
      </c>
      <c r="Z1514" s="77">
        <f t="shared" si="4777"/>
        <v>6.4624999704999977E-2</v>
      </c>
      <c r="AA1514" s="77">
        <f t="shared" si="4778"/>
        <v>5.2321923767311151E-3</v>
      </c>
      <c r="AB1514" s="79">
        <v>1</v>
      </c>
      <c r="AC1514" s="77">
        <f t="shared" si="4742"/>
        <v>8.499999955555556E-3</v>
      </c>
      <c r="AD1514" s="77">
        <f t="shared" ref="AD1514" si="4835">1-(1-AC1514)^(1/12)</f>
        <v>7.1110795759765644E-4</v>
      </c>
      <c r="AE1514" s="77">
        <f t="shared" si="4744"/>
        <v>2.5000000000000001E-3</v>
      </c>
      <c r="AF1514" s="77">
        <f t="shared" ref="AF1514" si="4836">1-(1-AE1514)^(1/12)</f>
        <v>2.0857243058891584E-4</v>
      </c>
      <c r="AH1514" t="s">
        <v>175</v>
      </c>
      <c r="AI1514" t="s">
        <v>180</v>
      </c>
      <c r="AJ1514" s="197" t="str">
        <f t="shared" si="4735"/>
        <v>Lifecycle_Opportunity_115</v>
      </c>
      <c r="AK1514">
        <v>115</v>
      </c>
      <c r="AL1514">
        <f>VLOOKUP($U1514,[2]Standard_Opportunity!$Q$1:$T$542,2,FALSE)</f>
        <v>0.93828548515685362</v>
      </c>
      <c r="AM1514">
        <f>VLOOKUP($U1514,[2]Standard_Opportunity!$Q$1:$T$542,3,FALSE)</f>
        <v>6.1714514843146363E-2</v>
      </c>
      <c r="AN1514">
        <f>VLOOKUP($U1514,[2]Standard_Opportunity!$Q$1:$T$542,4,FALSE)</f>
        <v>0</v>
      </c>
      <c r="AO1514" s="77">
        <f t="shared" si="4736"/>
        <v>1</v>
      </c>
      <c r="AP1514" s="77">
        <f t="shared" si="4746"/>
        <v>6.3805739815457216E-2</v>
      </c>
      <c r="AQ1514" s="77">
        <f t="shared" si="4737"/>
        <v>5.1677066796149695E-3</v>
      </c>
      <c r="AR1514" s="79">
        <v>0</v>
      </c>
      <c r="AS1514" s="77">
        <f t="shared" si="4747"/>
        <v>0</v>
      </c>
      <c r="AT1514" s="77">
        <f t="shared" si="4748"/>
        <v>0</v>
      </c>
      <c r="AU1514" s="77">
        <f t="shared" si="4749"/>
        <v>2.4999999999999996E-3</v>
      </c>
      <c r="AV1514" s="77">
        <f t="shared" si="4750"/>
        <v>2.0809499864316017E-4</v>
      </c>
    </row>
    <row r="1515" spans="1:48">
      <c r="A1515" t="s">
        <v>175</v>
      </c>
      <c r="B1515" t="s">
        <v>180</v>
      </c>
      <c r="C1515" s="197" t="str">
        <f t="shared" si="4771"/>
        <v>Lifecycle_Opportunity_114</v>
      </c>
      <c r="D1515">
        <v>114</v>
      </c>
      <c r="E1515">
        <f>VLOOKUP($D1515,'[2]LC Opportunity'!$Q$2:$U$542,2,FALSE)</f>
        <v>0</v>
      </c>
      <c r="F1515">
        <f>VLOOKUP($D1515,'[2]LC Opportunity'!$Q$2:$U$542,3,FALSE)</f>
        <v>2.1499999999999998E-2</v>
      </c>
      <c r="G1515">
        <f>VLOOKUP($D1515,'[2]LC Opportunity'!$Q$2:$U$542,4,FALSE)</f>
        <v>0.87250000000000005</v>
      </c>
      <c r="H1515">
        <f>VLOOKUP($D1515,'[2]LC Opportunity'!$Q$2:$U$542,5,FALSE)</f>
        <v>0.106</v>
      </c>
      <c r="I1515" s="77">
        <f t="shared" si="4731"/>
        <v>1</v>
      </c>
      <c r="J1515" s="77">
        <f t="shared" si="4732"/>
        <v>6.5026199999999992E-2</v>
      </c>
      <c r="K1515" s="77">
        <f t="shared" si="4776"/>
        <v>5.2637551187433296E-3</v>
      </c>
      <c r="L1515" s="76">
        <v>0</v>
      </c>
      <c r="M1515" s="77">
        <f t="shared" si="4738"/>
        <v>0</v>
      </c>
      <c r="N1515" s="77">
        <f t="shared" si="4739"/>
        <v>0</v>
      </c>
      <c r="O1515" s="77">
        <f t="shared" si="4740"/>
        <v>6.9388500000000007E-3</v>
      </c>
      <c r="P1515" s="77">
        <f t="shared" si="4741"/>
        <v>5.8008466625658617E-4</v>
      </c>
      <c r="R1515" t="s">
        <v>177</v>
      </c>
      <c r="S1515" t="s">
        <v>180</v>
      </c>
      <c r="T1515" s="197" t="str">
        <f t="shared" si="4772"/>
        <v>Autopilot_Opportunity_114</v>
      </c>
      <c r="U1515">
        <v>114</v>
      </c>
      <c r="V1515">
        <f>VLOOKUP($U1515,'[2]AP Opportunity'!$Q$1:$T$542,2,FALSE)</f>
        <v>0.99999997777777772</v>
      </c>
      <c r="W1515">
        <f>VLOOKUP($U1515,'[2]AP Opportunity'!$Q$1:$T$542,3,FALSE)</f>
        <v>2.2222222284540294E-8</v>
      </c>
      <c r="X1515">
        <f>VLOOKUP($U1515,'[2]AP Opportunity'!$Q$1:$T$542,4,FALSE)</f>
        <v>0</v>
      </c>
      <c r="Y1515" s="77">
        <f t="shared" si="4773"/>
        <v>1</v>
      </c>
      <c r="Z1515" s="77">
        <f t="shared" si="4777"/>
        <v>6.4624999704999977E-2</v>
      </c>
      <c r="AA1515" s="77">
        <f t="shared" si="4778"/>
        <v>5.2321923767311151E-3</v>
      </c>
      <c r="AB1515" s="79">
        <v>1</v>
      </c>
      <c r="AC1515" s="77">
        <f t="shared" si="4742"/>
        <v>8.499999955555556E-3</v>
      </c>
      <c r="AD1515" s="77">
        <f t="shared" ref="AD1515" si="4837">1-(1-AC1515)^(1/12)</f>
        <v>7.1110795759765644E-4</v>
      </c>
      <c r="AE1515" s="77">
        <f t="shared" si="4744"/>
        <v>2.5000000000000001E-3</v>
      </c>
      <c r="AF1515" s="77">
        <f t="shared" ref="AF1515" si="4838">1-(1-AE1515)^(1/12)</f>
        <v>2.0857243058891584E-4</v>
      </c>
      <c r="AH1515" t="s">
        <v>175</v>
      </c>
      <c r="AI1515" t="s">
        <v>180</v>
      </c>
      <c r="AJ1515" s="197" t="str">
        <f t="shared" si="4735"/>
        <v>Lifecycle_Opportunity_114</v>
      </c>
      <c r="AK1515">
        <v>114</v>
      </c>
      <c r="AL1515">
        <f>VLOOKUP($U1515,[2]Standard_Opportunity!$Q$1:$T$542,2,FALSE)</f>
        <v>0.92594258663266882</v>
      </c>
      <c r="AM1515">
        <f>VLOOKUP($U1515,[2]Standard_Opportunity!$Q$1:$T$542,3,FALSE)</f>
        <v>7.4057413367331182E-2</v>
      </c>
      <c r="AN1515">
        <f>VLOOKUP($U1515,[2]Standard_Opportunity!$Q$1:$T$542,4,FALSE)</f>
        <v>0</v>
      </c>
      <c r="AO1515" s="77">
        <f t="shared" si="4736"/>
        <v>1</v>
      </c>
      <c r="AP1515" s="77">
        <f t="shared" si="4746"/>
        <v>6.3641887837548664E-2</v>
      </c>
      <c r="AQ1515" s="77">
        <f t="shared" si="4737"/>
        <v>5.1548040776119297E-3</v>
      </c>
      <c r="AR1515" s="79">
        <v>0</v>
      </c>
      <c r="AS1515" s="77">
        <f t="shared" si="4747"/>
        <v>0</v>
      </c>
      <c r="AT1515" s="77">
        <f t="shared" si="4748"/>
        <v>0</v>
      </c>
      <c r="AU1515" s="77">
        <f t="shared" si="4749"/>
        <v>2.5000000000000001E-3</v>
      </c>
      <c r="AV1515" s="77">
        <f t="shared" si="4750"/>
        <v>2.0809499864316017E-4</v>
      </c>
    </row>
    <row r="1516" spans="1:48">
      <c r="A1516" t="s">
        <v>175</v>
      </c>
      <c r="B1516" t="s">
        <v>180</v>
      </c>
      <c r="C1516" s="197" t="str">
        <f t="shared" si="4771"/>
        <v>Lifecycle_Opportunity_113</v>
      </c>
      <c r="D1516">
        <v>113</v>
      </c>
      <c r="E1516">
        <f>VLOOKUP($D1516,'[2]LC Opportunity'!$Q$2:$U$542,2,FALSE)</f>
        <v>0</v>
      </c>
      <c r="F1516">
        <f>VLOOKUP($D1516,'[2]LC Opportunity'!$Q$2:$U$542,3,FALSE)</f>
        <v>2.5083333333333332E-2</v>
      </c>
      <c r="G1516">
        <f>VLOOKUP($D1516,'[2]LC Opportunity'!$Q$2:$U$542,4,FALSE)</f>
        <v>0.88658333333333328</v>
      </c>
      <c r="H1516">
        <f>VLOOKUP($D1516,'[2]LC Opportunity'!$Q$2:$U$542,5,FALSE)</f>
        <v>8.8333333333333333E-2</v>
      </c>
      <c r="I1516" s="77">
        <f t="shared" si="4731"/>
        <v>1</v>
      </c>
      <c r="J1516" s="77">
        <f t="shared" si="4732"/>
        <v>6.4832483333333316E-2</v>
      </c>
      <c r="K1516" s="77">
        <f t="shared" si="4776"/>
        <v>5.2485166375986214E-3</v>
      </c>
      <c r="L1516" s="76">
        <v>0</v>
      </c>
      <c r="M1516" s="77">
        <f t="shared" si="4738"/>
        <v>0</v>
      </c>
      <c r="N1516" s="77">
        <f t="shared" si="4739"/>
        <v>0</v>
      </c>
      <c r="O1516" s="77">
        <f t="shared" si="4740"/>
        <v>6.9730583333333322E-3</v>
      </c>
      <c r="P1516" s="77">
        <f t="shared" si="4741"/>
        <v>5.8295365955374212E-4</v>
      </c>
      <c r="R1516" t="s">
        <v>177</v>
      </c>
      <c r="S1516" t="s">
        <v>180</v>
      </c>
      <c r="T1516" s="197" t="str">
        <f t="shared" si="4772"/>
        <v>Autopilot_Opportunity_113</v>
      </c>
      <c r="U1516">
        <v>113</v>
      </c>
      <c r="V1516">
        <f>VLOOKUP($U1516,'[2]AP Opportunity'!$Q$1:$T$542,2,FALSE)</f>
        <v>0.99999997777777772</v>
      </c>
      <c r="W1516">
        <f>VLOOKUP($U1516,'[2]AP Opportunity'!$Q$1:$T$542,3,FALSE)</f>
        <v>2.2222222284540294E-8</v>
      </c>
      <c r="X1516">
        <f>VLOOKUP($U1516,'[2]AP Opportunity'!$Q$1:$T$542,4,FALSE)</f>
        <v>0</v>
      </c>
      <c r="Y1516" s="77">
        <f t="shared" si="4773"/>
        <v>1</v>
      </c>
      <c r="Z1516" s="77">
        <f t="shared" si="4777"/>
        <v>6.4624999704999977E-2</v>
      </c>
      <c r="AA1516" s="77">
        <f t="shared" si="4778"/>
        <v>5.2321923767311151E-3</v>
      </c>
      <c r="AB1516" s="79">
        <v>1</v>
      </c>
      <c r="AC1516" s="77">
        <f t="shared" si="4742"/>
        <v>8.499999955555556E-3</v>
      </c>
      <c r="AD1516" s="77">
        <f t="shared" ref="AD1516" si="4839">1-(1-AC1516)^(1/12)</f>
        <v>7.1110795759765644E-4</v>
      </c>
      <c r="AE1516" s="77">
        <f t="shared" si="4744"/>
        <v>2.5000000000000001E-3</v>
      </c>
      <c r="AF1516" s="77">
        <f t="shared" ref="AF1516" si="4840">1-(1-AE1516)^(1/12)</f>
        <v>2.0857243058891584E-4</v>
      </c>
      <c r="AH1516" t="s">
        <v>175</v>
      </c>
      <c r="AI1516" t="s">
        <v>180</v>
      </c>
      <c r="AJ1516" s="197" t="str">
        <f t="shared" si="4735"/>
        <v>Lifecycle_Opportunity_113</v>
      </c>
      <c r="AK1516">
        <v>113</v>
      </c>
      <c r="AL1516">
        <f>VLOOKUP($U1516,[2]Standard_Opportunity!$Q$1:$T$542,2,FALSE)</f>
        <v>0.91359968810848402</v>
      </c>
      <c r="AM1516">
        <f>VLOOKUP($U1516,[2]Standard_Opportunity!$Q$1:$T$542,3,FALSE)</f>
        <v>8.6400311891515993E-2</v>
      </c>
      <c r="AN1516">
        <f>VLOOKUP($U1516,[2]Standard_Opportunity!$Q$1:$T$542,4,FALSE)</f>
        <v>0</v>
      </c>
      <c r="AO1516" s="77">
        <f t="shared" si="4736"/>
        <v>1</v>
      </c>
      <c r="AP1516" s="77">
        <f t="shared" si="4746"/>
        <v>6.3478035859640111E-2</v>
      </c>
      <c r="AQ1516" s="77">
        <f t="shared" si="4737"/>
        <v>5.1418996534939865E-3</v>
      </c>
      <c r="AR1516" s="79">
        <v>0</v>
      </c>
      <c r="AS1516" s="77">
        <f t="shared" si="4747"/>
        <v>0</v>
      </c>
      <c r="AT1516" s="77">
        <f t="shared" si="4748"/>
        <v>0</v>
      </c>
      <c r="AU1516" s="77">
        <f t="shared" si="4749"/>
        <v>2.5000000000000001E-3</v>
      </c>
      <c r="AV1516" s="77">
        <f t="shared" si="4750"/>
        <v>2.0809499864316017E-4</v>
      </c>
    </row>
    <row r="1517" spans="1:48">
      <c r="A1517" t="s">
        <v>175</v>
      </c>
      <c r="B1517" t="s">
        <v>180</v>
      </c>
      <c r="C1517" s="197" t="str">
        <f t="shared" si="4771"/>
        <v>Lifecycle_Opportunity_112</v>
      </c>
      <c r="D1517">
        <v>112</v>
      </c>
      <c r="E1517">
        <f>VLOOKUP($D1517,'[2]LC Opportunity'!$Q$2:$U$542,2,FALSE)</f>
        <v>0</v>
      </c>
      <c r="F1517">
        <f>VLOOKUP($D1517,'[2]LC Opportunity'!$Q$2:$U$542,3,FALSE)</f>
        <v>2.8666666666666663E-2</v>
      </c>
      <c r="G1517">
        <f>VLOOKUP($D1517,'[2]LC Opportunity'!$Q$2:$U$542,4,FALSE)</f>
        <v>0.90066666666666662</v>
      </c>
      <c r="H1517">
        <f>VLOOKUP($D1517,'[2]LC Opportunity'!$Q$2:$U$542,5,FALSE)</f>
        <v>7.0666666666666669E-2</v>
      </c>
      <c r="I1517" s="77">
        <f t="shared" si="4731"/>
        <v>0.99999999999999989</v>
      </c>
      <c r="J1517" s="77">
        <f t="shared" si="4732"/>
        <v>6.4638766666666653E-2</v>
      </c>
      <c r="K1517" s="77">
        <f t="shared" si="4776"/>
        <v>5.2332756150419435E-3</v>
      </c>
      <c r="L1517" s="76">
        <v>0</v>
      </c>
      <c r="M1517" s="77">
        <f t="shared" si="4738"/>
        <v>0</v>
      </c>
      <c r="N1517" s="77">
        <f t="shared" si="4739"/>
        <v>0</v>
      </c>
      <c r="O1517" s="77">
        <f t="shared" si="4740"/>
        <v>7.0072666666666662E-3</v>
      </c>
      <c r="P1517" s="77">
        <f t="shared" si="4741"/>
        <v>5.8582274344887164E-4</v>
      </c>
      <c r="R1517" t="s">
        <v>177</v>
      </c>
      <c r="S1517" t="s">
        <v>180</v>
      </c>
      <c r="T1517" s="197" t="str">
        <f t="shared" si="4772"/>
        <v>Autopilot_Opportunity_112</v>
      </c>
      <c r="U1517">
        <v>112</v>
      </c>
      <c r="V1517">
        <f>VLOOKUP($U1517,'[2]AP Opportunity'!$Q$1:$T$542,2,FALSE)</f>
        <v>0.99999997777777772</v>
      </c>
      <c r="W1517">
        <f>VLOOKUP($U1517,'[2]AP Opportunity'!$Q$1:$T$542,3,FALSE)</f>
        <v>2.2222222284540294E-8</v>
      </c>
      <c r="X1517">
        <f>VLOOKUP($U1517,'[2]AP Opportunity'!$Q$1:$T$542,4,FALSE)</f>
        <v>0</v>
      </c>
      <c r="Y1517" s="77">
        <f t="shared" si="4773"/>
        <v>1</v>
      </c>
      <c r="Z1517" s="77">
        <f t="shared" si="4777"/>
        <v>6.4624999704999977E-2</v>
      </c>
      <c r="AA1517" s="77">
        <f t="shared" si="4778"/>
        <v>5.2321923767311151E-3</v>
      </c>
      <c r="AB1517" s="79">
        <v>1</v>
      </c>
      <c r="AC1517" s="77">
        <f t="shared" si="4742"/>
        <v>8.499999955555556E-3</v>
      </c>
      <c r="AD1517" s="77">
        <f t="shared" ref="AD1517" si="4841">1-(1-AC1517)^(1/12)</f>
        <v>7.1110795759765644E-4</v>
      </c>
      <c r="AE1517" s="77">
        <f t="shared" si="4744"/>
        <v>2.5000000000000001E-3</v>
      </c>
      <c r="AF1517" s="77">
        <f t="shared" ref="AF1517" si="4842">1-(1-AE1517)^(1/12)</f>
        <v>2.0857243058891584E-4</v>
      </c>
      <c r="AH1517" t="s">
        <v>175</v>
      </c>
      <c r="AI1517" t="s">
        <v>180</v>
      </c>
      <c r="AJ1517" s="197" t="str">
        <f t="shared" si="4735"/>
        <v>Lifecycle_Opportunity_112</v>
      </c>
      <c r="AK1517">
        <v>112</v>
      </c>
      <c r="AL1517">
        <f>VLOOKUP($U1517,[2]Standard_Opportunity!$Q$1:$T$542,2,FALSE)</f>
        <v>0.90125678958429922</v>
      </c>
      <c r="AM1517">
        <f>VLOOKUP($U1517,[2]Standard_Opportunity!$Q$1:$T$542,3,FALSE)</f>
        <v>9.8743210415700819E-2</v>
      </c>
      <c r="AN1517">
        <f>VLOOKUP($U1517,[2]Standard_Opportunity!$Q$1:$T$542,4,FALSE)</f>
        <v>0</v>
      </c>
      <c r="AO1517" s="77">
        <f t="shared" si="4736"/>
        <v>1</v>
      </c>
      <c r="AP1517" s="77">
        <f t="shared" si="4746"/>
        <v>6.3314183881731559E-2</v>
      </c>
      <c r="AQ1517" s="77">
        <f t="shared" si="4737"/>
        <v>5.1289934067237919E-3</v>
      </c>
      <c r="AR1517" s="79">
        <v>0</v>
      </c>
      <c r="AS1517" s="77">
        <f t="shared" si="4747"/>
        <v>0</v>
      </c>
      <c r="AT1517" s="77">
        <f t="shared" si="4748"/>
        <v>0</v>
      </c>
      <c r="AU1517" s="77">
        <f t="shared" si="4749"/>
        <v>2.5000000000000001E-3</v>
      </c>
      <c r="AV1517" s="77">
        <f t="shared" si="4750"/>
        <v>2.0809499864316017E-4</v>
      </c>
    </row>
    <row r="1518" spans="1:48">
      <c r="A1518" t="s">
        <v>175</v>
      </c>
      <c r="B1518" t="s">
        <v>180</v>
      </c>
      <c r="C1518" s="197" t="str">
        <f t="shared" si="4771"/>
        <v>Lifecycle_Opportunity_111</v>
      </c>
      <c r="D1518">
        <v>111</v>
      </c>
      <c r="E1518">
        <f>VLOOKUP($D1518,'[2]LC Opportunity'!$Q$2:$U$542,2,FALSE)</f>
        <v>0</v>
      </c>
      <c r="F1518">
        <f>VLOOKUP($D1518,'[2]LC Opportunity'!$Q$2:$U$542,3,FALSE)</f>
        <v>3.2250000000000001E-2</v>
      </c>
      <c r="G1518">
        <f>VLOOKUP($D1518,'[2]LC Opportunity'!$Q$2:$U$542,4,FALSE)</f>
        <v>0.91474999999999995</v>
      </c>
      <c r="H1518">
        <f>VLOOKUP($D1518,'[2]LC Opportunity'!$Q$2:$U$542,5,FALSE)</f>
        <v>5.2999999999999999E-2</v>
      </c>
      <c r="I1518" s="77">
        <f t="shared" si="4731"/>
        <v>1</v>
      </c>
      <c r="J1518" s="77">
        <f t="shared" si="4732"/>
        <v>6.4445049999999976E-2</v>
      </c>
      <c r="K1518" s="77">
        <f t="shared" si="4776"/>
        <v>5.2180320501873378E-3</v>
      </c>
      <c r="L1518" s="76">
        <v>0</v>
      </c>
      <c r="M1518" s="77">
        <f t="shared" si="4738"/>
        <v>0</v>
      </c>
      <c r="N1518" s="77">
        <f t="shared" si="4739"/>
        <v>0</v>
      </c>
      <c r="O1518" s="77">
        <f t="shared" si="4740"/>
        <v>7.0414749999999993E-3</v>
      </c>
      <c r="P1518" s="77">
        <f t="shared" si="4741"/>
        <v>5.8869191794808096E-4</v>
      </c>
      <c r="R1518" t="s">
        <v>177</v>
      </c>
      <c r="S1518" t="s">
        <v>180</v>
      </c>
      <c r="T1518" s="197" t="str">
        <f t="shared" si="4772"/>
        <v>Autopilot_Opportunity_111</v>
      </c>
      <c r="U1518">
        <v>111</v>
      </c>
      <c r="V1518">
        <f>VLOOKUP($U1518,'[2]AP Opportunity'!$Q$1:$T$542,2,FALSE)</f>
        <v>0.99999997777777772</v>
      </c>
      <c r="W1518">
        <f>VLOOKUP($U1518,'[2]AP Opportunity'!$Q$1:$T$542,3,FALSE)</f>
        <v>2.2222222284540294E-8</v>
      </c>
      <c r="X1518">
        <f>VLOOKUP($U1518,'[2]AP Opportunity'!$Q$1:$T$542,4,FALSE)</f>
        <v>0</v>
      </c>
      <c r="Y1518" s="77">
        <f t="shared" si="4773"/>
        <v>1</v>
      </c>
      <c r="Z1518" s="77">
        <f t="shared" si="4777"/>
        <v>6.4624999704999977E-2</v>
      </c>
      <c r="AA1518" s="77">
        <f t="shared" si="4778"/>
        <v>5.2321923767311151E-3</v>
      </c>
      <c r="AB1518" s="79">
        <v>1</v>
      </c>
      <c r="AC1518" s="77">
        <f t="shared" si="4742"/>
        <v>8.499999955555556E-3</v>
      </c>
      <c r="AD1518" s="77">
        <f t="shared" ref="AD1518" si="4843">1-(1-AC1518)^(1/12)</f>
        <v>7.1110795759765644E-4</v>
      </c>
      <c r="AE1518" s="77">
        <f t="shared" si="4744"/>
        <v>2.5000000000000001E-3</v>
      </c>
      <c r="AF1518" s="77">
        <f t="shared" ref="AF1518" si="4844">1-(1-AE1518)^(1/12)</f>
        <v>2.0857243058891584E-4</v>
      </c>
      <c r="AH1518" t="s">
        <v>175</v>
      </c>
      <c r="AI1518" t="s">
        <v>180</v>
      </c>
      <c r="AJ1518" s="197" t="str">
        <f t="shared" si="4735"/>
        <v>Lifecycle_Opportunity_111</v>
      </c>
      <c r="AK1518">
        <v>111</v>
      </c>
      <c r="AL1518">
        <f>VLOOKUP($U1518,[2]Standard_Opportunity!$Q$1:$T$542,2,FALSE)</f>
        <v>0.88891389106011443</v>
      </c>
      <c r="AM1518">
        <f>VLOOKUP($U1518,[2]Standard_Opportunity!$Q$1:$T$542,3,FALSE)</f>
        <v>0.11108610893988563</v>
      </c>
      <c r="AN1518">
        <f>VLOOKUP($U1518,[2]Standard_Opportunity!$Q$1:$T$542,4,FALSE)</f>
        <v>0</v>
      </c>
      <c r="AO1518" s="77">
        <f t="shared" si="4736"/>
        <v>1</v>
      </c>
      <c r="AP1518" s="77">
        <f t="shared" si="4746"/>
        <v>6.3150331903823007E-2</v>
      </c>
      <c r="AQ1518" s="77">
        <f t="shared" si="4737"/>
        <v>5.1160853367624437E-3</v>
      </c>
      <c r="AR1518" s="79">
        <v>0</v>
      </c>
      <c r="AS1518" s="77">
        <f t="shared" si="4747"/>
        <v>0</v>
      </c>
      <c r="AT1518" s="77">
        <f t="shared" si="4748"/>
        <v>0</v>
      </c>
      <c r="AU1518" s="77">
        <f t="shared" si="4749"/>
        <v>2.5000000000000001E-3</v>
      </c>
      <c r="AV1518" s="77">
        <f t="shared" si="4750"/>
        <v>2.0809499864316017E-4</v>
      </c>
    </row>
    <row r="1519" spans="1:48">
      <c r="A1519" t="s">
        <v>175</v>
      </c>
      <c r="B1519" t="s">
        <v>180</v>
      </c>
      <c r="C1519" s="197" t="str">
        <f t="shared" si="4771"/>
        <v>Lifecycle_Opportunity_110</v>
      </c>
      <c r="D1519">
        <v>110</v>
      </c>
      <c r="E1519">
        <f>VLOOKUP($D1519,'[2]LC Opportunity'!$Q$2:$U$542,2,FALSE)</f>
        <v>0</v>
      </c>
      <c r="F1519">
        <f>VLOOKUP($D1519,'[2]LC Opportunity'!$Q$2:$U$542,3,FALSE)</f>
        <v>3.5833333333333328E-2</v>
      </c>
      <c r="G1519">
        <f>VLOOKUP($D1519,'[2]LC Opportunity'!$Q$2:$U$542,4,FALSE)</f>
        <v>0.92883333333333329</v>
      </c>
      <c r="H1519">
        <f>VLOOKUP($D1519,'[2]LC Opportunity'!$Q$2:$U$542,5,FALSE)</f>
        <v>3.5333333333333335E-2</v>
      </c>
      <c r="I1519" s="77">
        <f t="shared" si="4731"/>
        <v>0.99999999999999989</v>
      </c>
      <c r="J1519" s="77">
        <f t="shared" si="4732"/>
        <v>6.4251333333333313E-2</v>
      </c>
      <c r="K1519" s="77">
        <f t="shared" si="4776"/>
        <v>5.2027859421477363E-3</v>
      </c>
      <c r="L1519" s="76">
        <v>0</v>
      </c>
      <c r="M1519" s="77">
        <f t="shared" si="4738"/>
        <v>0</v>
      </c>
      <c r="N1519" s="77">
        <f t="shared" si="4739"/>
        <v>0</v>
      </c>
      <c r="O1519" s="77">
        <f t="shared" si="4740"/>
        <v>7.0756833333333333E-3</v>
      </c>
      <c r="P1519" s="77">
        <f t="shared" si="4741"/>
        <v>5.9156118305725425E-4</v>
      </c>
      <c r="R1519" t="s">
        <v>177</v>
      </c>
      <c r="S1519" t="s">
        <v>180</v>
      </c>
      <c r="T1519" s="197" t="str">
        <f t="shared" si="4772"/>
        <v>Autopilot_Opportunity_110</v>
      </c>
      <c r="U1519">
        <v>110</v>
      </c>
      <c r="V1519">
        <f>VLOOKUP($U1519,'[2]AP Opportunity'!$Q$1:$T$542,2,FALSE)</f>
        <v>0.99999997777777772</v>
      </c>
      <c r="W1519">
        <f>VLOOKUP($U1519,'[2]AP Opportunity'!$Q$1:$T$542,3,FALSE)</f>
        <v>2.2222222284540294E-8</v>
      </c>
      <c r="X1519">
        <f>VLOOKUP($U1519,'[2]AP Opportunity'!$Q$1:$T$542,4,FALSE)</f>
        <v>0</v>
      </c>
      <c r="Y1519" s="77">
        <f t="shared" si="4773"/>
        <v>1</v>
      </c>
      <c r="Z1519" s="77">
        <f t="shared" si="4777"/>
        <v>6.4624999704999977E-2</v>
      </c>
      <c r="AA1519" s="77">
        <f t="shared" si="4778"/>
        <v>5.2321923767311151E-3</v>
      </c>
      <c r="AB1519" s="79">
        <v>1</v>
      </c>
      <c r="AC1519" s="77">
        <f t="shared" si="4742"/>
        <v>8.499999955555556E-3</v>
      </c>
      <c r="AD1519" s="77">
        <f t="shared" ref="AD1519" si="4845">1-(1-AC1519)^(1/12)</f>
        <v>7.1110795759765644E-4</v>
      </c>
      <c r="AE1519" s="77">
        <f t="shared" si="4744"/>
        <v>2.5000000000000001E-3</v>
      </c>
      <c r="AF1519" s="77">
        <f t="shared" ref="AF1519" si="4846">1-(1-AE1519)^(1/12)</f>
        <v>2.0857243058891584E-4</v>
      </c>
      <c r="AH1519" t="s">
        <v>175</v>
      </c>
      <c r="AI1519" t="s">
        <v>180</v>
      </c>
      <c r="AJ1519" s="197" t="str">
        <f t="shared" si="4735"/>
        <v>Lifecycle_Opportunity_110</v>
      </c>
      <c r="AK1519">
        <v>110</v>
      </c>
      <c r="AL1519">
        <f>VLOOKUP($U1519,[2]Standard_Opportunity!$Q$1:$T$542,2,FALSE)</f>
        <v>0.87657099253592952</v>
      </c>
      <c r="AM1519">
        <f>VLOOKUP($U1519,[2]Standard_Opportunity!$Q$1:$T$542,3,FALSE)</f>
        <v>0.12342900746407044</v>
      </c>
      <c r="AN1519">
        <f>VLOOKUP($U1519,[2]Standard_Opportunity!$Q$1:$T$542,4,FALSE)</f>
        <v>0</v>
      </c>
      <c r="AO1519" s="77">
        <f t="shared" si="4736"/>
        <v>1</v>
      </c>
      <c r="AP1519" s="77">
        <f t="shared" si="4746"/>
        <v>6.2986479925914454E-2</v>
      </c>
      <c r="AQ1519" s="77">
        <f t="shared" si="4737"/>
        <v>5.1031754430714837E-3</v>
      </c>
      <c r="AR1519" s="79">
        <v>0</v>
      </c>
      <c r="AS1519" s="77">
        <f t="shared" si="4747"/>
        <v>0</v>
      </c>
      <c r="AT1519" s="77">
        <f t="shared" si="4748"/>
        <v>0</v>
      </c>
      <c r="AU1519" s="77">
        <f t="shared" si="4749"/>
        <v>2.5000000000000001E-3</v>
      </c>
      <c r="AV1519" s="77">
        <f t="shared" si="4750"/>
        <v>2.0809499864316017E-4</v>
      </c>
    </row>
    <row r="1520" spans="1:48">
      <c r="A1520" t="s">
        <v>175</v>
      </c>
      <c r="B1520" t="s">
        <v>180</v>
      </c>
      <c r="C1520" s="197" t="str">
        <f t="shared" si="4771"/>
        <v>Lifecycle_Opportunity_109</v>
      </c>
      <c r="D1520">
        <v>109</v>
      </c>
      <c r="E1520">
        <f>VLOOKUP($D1520,'[2]LC Opportunity'!$Q$2:$U$542,2,FALSE)</f>
        <v>0</v>
      </c>
      <c r="F1520">
        <f>VLOOKUP($D1520,'[2]LC Opportunity'!$Q$2:$U$542,3,FALSE)</f>
        <v>3.9416666666666662E-2</v>
      </c>
      <c r="G1520">
        <f>VLOOKUP($D1520,'[2]LC Opportunity'!$Q$2:$U$542,4,FALSE)</f>
        <v>0.94291666666666663</v>
      </c>
      <c r="H1520">
        <f>VLOOKUP($D1520,'[2]LC Opportunity'!$Q$2:$U$542,5,FALSE)</f>
        <v>1.7666666666666667E-2</v>
      </c>
      <c r="I1520" s="77">
        <f t="shared" si="4731"/>
        <v>1</v>
      </c>
      <c r="J1520" s="77">
        <f t="shared" si="4732"/>
        <v>6.405761666666665E-2</v>
      </c>
      <c r="K1520" s="77">
        <f t="shared" si="4776"/>
        <v>5.1875372900358485E-3</v>
      </c>
      <c r="L1520" s="76">
        <v>0</v>
      </c>
      <c r="M1520" s="77">
        <f t="shared" si="4738"/>
        <v>0</v>
      </c>
      <c r="N1520" s="77">
        <f t="shared" si="4739"/>
        <v>0</v>
      </c>
      <c r="O1520" s="77">
        <f t="shared" si="4740"/>
        <v>7.1098916666666664E-3</v>
      </c>
      <c r="P1520" s="77">
        <f t="shared" si="4741"/>
        <v>5.9443053878238672E-4</v>
      </c>
      <c r="R1520" t="s">
        <v>177</v>
      </c>
      <c r="S1520" t="s">
        <v>180</v>
      </c>
      <c r="T1520" s="197" t="str">
        <f t="shared" si="4772"/>
        <v>Autopilot_Opportunity_109</v>
      </c>
      <c r="U1520">
        <v>109</v>
      </c>
      <c r="V1520">
        <f>VLOOKUP($U1520,'[2]AP Opportunity'!$Q$1:$T$542,2,FALSE)</f>
        <v>0.99999997777777772</v>
      </c>
      <c r="W1520">
        <f>VLOOKUP($U1520,'[2]AP Opportunity'!$Q$1:$T$542,3,FALSE)</f>
        <v>2.2222222284540294E-8</v>
      </c>
      <c r="X1520">
        <f>VLOOKUP($U1520,'[2]AP Opportunity'!$Q$1:$T$542,4,FALSE)</f>
        <v>0</v>
      </c>
      <c r="Y1520" s="77">
        <f t="shared" si="4773"/>
        <v>1</v>
      </c>
      <c r="Z1520" s="77">
        <f t="shared" si="4777"/>
        <v>6.4624999704999977E-2</v>
      </c>
      <c r="AA1520" s="77">
        <f t="shared" si="4778"/>
        <v>5.2321923767311151E-3</v>
      </c>
      <c r="AB1520" s="79">
        <v>1</v>
      </c>
      <c r="AC1520" s="77">
        <f t="shared" si="4742"/>
        <v>8.499999955555556E-3</v>
      </c>
      <c r="AD1520" s="77">
        <f t="shared" ref="AD1520" si="4847">1-(1-AC1520)^(1/12)</f>
        <v>7.1110795759765644E-4</v>
      </c>
      <c r="AE1520" s="77">
        <f t="shared" si="4744"/>
        <v>2.5000000000000001E-3</v>
      </c>
      <c r="AF1520" s="77">
        <f t="shared" ref="AF1520" si="4848">1-(1-AE1520)^(1/12)</f>
        <v>2.0857243058891584E-4</v>
      </c>
      <c r="AH1520" t="s">
        <v>175</v>
      </c>
      <c r="AI1520" t="s">
        <v>180</v>
      </c>
      <c r="AJ1520" s="197" t="str">
        <f t="shared" si="4735"/>
        <v>Lifecycle_Opportunity_109</v>
      </c>
      <c r="AK1520">
        <v>109</v>
      </c>
      <c r="AL1520">
        <f>VLOOKUP($U1520,[2]Standard_Opportunity!$Q$1:$T$542,2,FALSE)</f>
        <v>0.86422809401174472</v>
      </c>
      <c r="AM1520">
        <f>VLOOKUP($U1520,[2]Standard_Opportunity!$Q$1:$T$542,3,FALSE)</f>
        <v>0.13577190598825525</v>
      </c>
      <c r="AN1520">
        <f>VLOOKUP($U1520,[2]Standard_Opportunity!$Q$1:$T$542,4,FALSE)</f>
        <v>0</v>
      </c>
      <c r="AO1520" s="77">
        <f t="shared" si="4736"/>
        <v>1</v>
      </c>
      <c r="AP1520" s="77">
        <f t="shared" si="4746"/>
        <v>6.2822627948005902E-2</v>
      </c>
      <c r="AQ1520" s="77">
        <f t="shared" si="4737"/>
        <v>5.0902637251122318E-3</v>
      </c>
      <c r="AR1520" s="79">
        <v>0</v>
      </c>
      <c r="AS1520" s="77">
        <f t="shared" si="4747"/>
        <v>0</v>
      </c>
      <c r="AT1520" s="77">
        <f t="shared" si="4748"/>
        <v>0</v>
      </c>
      <c r="AU1520" s="77">
        <f t="shared" si="4749"/>
        <v>2.5000000000000001E-3</v>
      </c>
      <c r="AV1520" s="77">
        <f t="shared" si="4750"/>
        <v>2.0809499864316017E-4</v>
      </c>
    </row>
    <row r="1521" spans="1:48">
      <c r="A1521" t="s">
        <v>175</v>
      </c>
      <c r="B1521" t="s">
        <v>180</v>
      </c>
      <c r="C1521" s="197" t="str">
        <f t="shared" si="4771"/>
        <v>Lifecycle_Opportunity_108</v>
      </c>
      <c r="D1521">
        <v>108</v>
      </c>
      <c r="E1521">
        <f>VLOOKUP($D1521,'[2]LC Opportunity'!$Q$2:$U$542,2,FALSE)</f>
        <v>0</v>
      </c>
      <c r="F1521">
        <f>VLOOKUP($D1521,'[2]LC Opportunity'!$Q$2:$U$542,3,FALSE)</f>
        <v>4.2999999999999997E-2</v>
      </c>
      <c r="G1521">
        <f>VLOOKUP($D1521,'[2]LC Opportunity'!$Q$2:$U$542,4,FALSE)</f>
        <v>0.95699999999999996</v>
      </c>
      <c r="H1521">
        <f>VLOOKUP($D1521,'[2]LC Opportunity'!$Q$2:$U$542,5,FALSE)</f>
        <v>0</v>
      </c>
      <c r="I1521" s="77">
        <f t="shared" si="4731"/>
        <v>1</v>
      </c>
      <c r="J1521" s="77">
        <f t="shared" si="4732"/>
        <v>6.3863899999999987E-2</v>
      </c>
      <c r="K1521" s="77">
        <f t="shared" si="4776"/>
        <v>5.1722860929637182E-3</v>
      </c>
      <c r="L1521" s="76">
        <v>0</v>
      </c>
      <c r="M1521" s="77">
        <f t="shared" si="4738"/>
        <v>0</v>
      </c>
      <c r="N1521" s="77">
        <f t="shared" si="4739"/>
        <v>0</v>
      </c>
      <c r="O1521" s="77">
        <f t="shared" si="4740"/>
        <v>7.1440999999999996E-3</v>
      </c>
      <c r="P1521" s="77">
        <f t="shared" si="4741"/>
        <v>5.9729998512947358E-4</v>
      </c>
      <c r="R1521" t="s">
        <v>177</v>
      </c>
      <c r="S1521" t="s">
        <v>180</v>
      </c>
      <c r="T1521" s="197" t="str">
        <f t="shared" si="4772"/>
        <v>Autopilot_Opportunity_108</v>
      </c>
      <c r="U1521">
        <v>108</v>
      </c>
      <c r="V1521">
        <f>VLOOKUP($U1521,'[2]AP Opportunity'!$Q$1:$T$542,2,FALSE)</f>
        <v>0.85188519548755992</v>
      </c>
      <c r="W1521">
        <f>VLOOKUP($U1521,'[2]AP Opportunity'!$Q$1:$T$542,3,FALSE)</f>
        <v>0.14811480451244008</v>
      </c>
      <c r="X1521">
        <f>VLOOKUP($U1521,'[2]AP Opportunity'!$Q$1:$T$542,4,FALSE)</f>
        <v>0</v>
      </c>
      <c r="Y1521" s="77">
        <f t="shared" si="4773"/>
        <v>1</v>
      </c>
      <c r="Z1521" s="77">
        <f t="shared" si="4777"/>
        <v>6.265877597009735E-2</v>
      </c>
      <c r="AA1521" s="77">
        <f t="shared" si="4778"/>
        <v>5.0773501823453415E-3</v>
      </c>
      <c r="AB1521" s="79">
        <v>1</v>
      </c>
      <c r="AC1521" s="77">
        <f t="shared" si="4742"/>
        <v>8.2037703909751212E-3</v>
      </c>
      <c r="AD1521" s="77">
        <f t="shared" ref="AD1521" si="4849">1-(1-AC1521)^(1/12)</f>
        <v>6.862316434689264E-4</v>
      </c>
      <c r="AE1521" s="77">
        <f t="shared" si="4744"/>
        <v>2.5000000000000001E-3</v>
      </c>
      <c r="AF1521" s="77">
        <f t="shared" ref="AF1521" si="4850">1-(1-AE1521)^(1/12)</f>
        <v>2.0857243058891584E-4</v>
      </c>
      <c r="AH1521" t="s">
        <v>175</v>
      </c>
      <c r="AI1521" t="s">
        <v>180</v>
      </c>
      <c r="AJ1521" s="197" t="str">
        <f t="shared" si="4735"/>
        <v>Lifecycle_Opportunity_108</v>
      </c>
      <c r="AK1521">
        <v>108</v>
      </c>
      <c r="AL1521">
        <f>VLOOKUP($U1521,[2]Standard_Opportunity!$Q$1:$T$542,2,FALSE)</f>
        <v>0.85188519548755992</v>
      </c>
      <c r="AM1521">
        <f>VLOOKUP($U1521,[2]Standard_Opportunity!$Q$1:$T$542,3,FALSE)</f>
        <v>0.14811480451244008</v>
      </c>
      <c r="AN1521">
        <f>VLOOKUP($U1521,[2]Standard_Opportunity!$Q$1:$T$542,4,FALSE)</f>
        <v>0</v>
      </c>
      <c r="AO1521" s="77">
        <f t="shared" si="4736"/>
        <v>1</v>
      </c>
      <c r="AP1521" s="77">
        <f t="shared" si="4746"/>
        <v>6.265877597009735E-2</v>
      </c>
      <c r="AQ1521" s="77">
        <f t="shared" si="4737"/>
        <v>5.0773501823453415E-3</v>
      </c>
      <c r="AR1521" s="79">
        <v>0</v>
      </c>
      <c r="AS1521" s="77">
        <f t="shared" si="4747"/>
        <v>0</v>
      </c>
      <c r="AT1521" s="77">
        <f t="shared" si="4748"/>
        <v>0</v>
      </c>
      <c r="AU1521" s="77">
        <f t="shared" si="4749"/>
        <v>2.5000000000000001E-3</v>
      </c>
      <c r="AV1521" s="77">
        <f t="shared" si="4750"/>
        <v>2.0809499864316017E-4</v>
      </c>
    </row>
    <row r="1522" spans="1:48">
      <c r="A1522" t="s">
        <v>175</v>
      </c>
      <c r="B1522" t="s">
        <v>180</v>
      </c>
      <c r="C1522" s="197" t="str">
        <f t="shared" si="4771"/>
        <v>Lifecycle_Opportunity_107</v>
      </c>
      <c r="D1522">
        <v>107</v>
      </c>
      <c r="E1522">
        <f>VLOOKUP($D1522,'[2]LC Opportunity'!$Q$2:$U$542,2,FALSE)</f>
        <v>0</v>
      </c>
      <c r="F1522">
        <f>VLOOKUP($D1522,'[2]LC Opportunity'!$Q$2:$U$542,3,FALSE)</f>
        <v>4.9916666666666665E-2</v>
      </c>
      <c r="G1522">
        <f>VLOOKUP($D1522,'[2]LC Opportunity'!$Q$2:$U$542,4,FALSE)</f>
        <v>0.95008333333333328</v>
      </c>
      <c r="H1522">
        <f>VLOOKUP($D1522,'[2]LC Opportunity'!$Q$2:$U$542,5,FALSE)</f>
        <v>0</v>
      </c>
      <c r="I1522" s="77">
        <f t="shared" si="4731"/>
        <v>1</v>
      </c>
      <c r="J1522" s="77">
        <f t="shared" si="4732"/>
        <v>6.3741474999999992E-2</v>
      </c>
      <c r="K1522" s="77">
        <f t="shared" si="4776"/>
        <v>5.1626463332734573E-3</v>
      </c>
      <c r="L1522" s="76">
        <v>0</v>
      </c>
      <c r="M1522" s="77">
        <f t="shared" si="4738"/>
        <v>0</v>
      </c>
      <c r="N1522" s="77">
        <f t="shared" si="4739"/>
        <v>0</v>
      </c>
      <c r="O1522" s="77">
        <f t="shared" si="4740"/>
        <v>7.1351083333333325E-3</v>
      </c>
      <c r="P1522" s="77">
        <f t="shared" si="4741"/>
        <v>5.9654574185308284E-4</v>
      </c>
      <c r="R1522" t="s">
        <v>177</v>
      </c>
      <c r="S1522" t="s">
        <v>180</v>
      </c>
      <c r="T1522" s="197" t="str">
        <f t="shared" si="4772"/>
        <v>Autopilot_Opportunity_107</v>
      </c>
      <c r="U1522">
        <v>107</v>
      </c>
      <c r="V1522">
        <f>VLOOKUP($U1522,'[2]AP Opportunity'!$Q$1:$T$542,2,FALSE)</f>
        <v>0.85188519548755992</v>
      </c>
      <c r="W1522">
        <f>VLOOKUP($U1522,'[2]AP Opportunity'!$Q$1:$T$542,3,FALSE)</f>
        <v>0.14811480451244008</v>
      </c>
      <c r="X1522">
        <f>VLOOKUP($U1522,'[2]AP Opportunity'!$Q$1:$T$542,4,FALSE)</f>
        <v>0</v>
      </c>
      <c r="Y1522" s="77">
        <f t="shared" si="4773"/>
        <v>1</v>
      </c>
      <c r="Z1522" s="77">
        <f t="shared" si="4777"/>
        <v>6.265877597009735E-2</v>
      </c>
      <c r="AA1522" s="77">
        <f t="shared" si="4778"/>
        <v>5.0773501823453415E-3</v>
      </c>
      <c r="AB1522" s="79">
        <v>1</v>
      </c>
      <c r="AC1522" s="77">
        <f t="shared" si="4742"/>
        <v>8.2037703909751212E-3</v>
      </c>
      <c r="AD1522" s="77">
        <f t="shared" ref="AD1522" si="4851">1-(1-AC1522)^(1/12)</f>
        <v>6.862316434689264E-4</v>
      </c>
      <c r="AE1522" s="77">
        <f t="shared" si="4744"/>
        <v>2.5000000000000001E-3</v>
      </c>
      <c r="AF1522" s="77">
        <f t="shared" ref="AF1522" si="4852">1-(1-AE1522)^(1/12)</f>
        <v>2.0857243058891584E-4</v>
      </c>
      <c r="AH1522" t="s">
        <v>175</v>
      </c>
      <c r="AI1522" t="s">
        <v>180</v>
      </c>
      <c r="AJ1522" s="197" t="str">
        <f t="shared" si="4735"/>
        <v>Lifecycle_Opportunity_107</v>
      </c>
      <c r="AK1522">
        <v>107</v>
      </c>
      <c r="AL1522">
        <f>VLOOKUP($U1522,[2]Standard_Opportunity!$Q$1:$T$542,2,FALSE)</f>
        <v>0.84295593803121627</v>
      </c>
      <c r="AM1522">
        <f>VLOOKUP($U1522,[2]Standard_Opportunity!$Q$1:$T$542,3,FALSE)</f>
        <v>0.15704406196878376</v>
      </c>
      <c r="AN1522">
        <f>VLOOKUP($U1522,[2]Standard_Opportunity!$Q$1:$T$542,4,FALSE)</f>
        <v>0</v>
      </c>
      <c r="AO1522" s="77">
        <f t="shared" si="4736"/>
        <v>1</v>
      </c>
      <c r="AP1522" s="77">
        <f t="shared" si="4746"/>
        <v>6.254024007736439E-2</v>
      </c>
      <c r="AQ1522" s="77">
        <f t="shared" si="4737"/>
        <v>5.0680069642563552E-3</v>
      </c>
      <c r="AR1522" s="79">
        <v>0</v>
      </c>
      <c r="AS1522" s="77">
        <f t="shared" si="4747"/>
        <v>0</v>
      </c>
      <c r="AT1522" s="77">
        <f t="shared" si="4748"/>
        <v>0</v>
      </c>
      <c r="AU1522" s="77">
        <f t="shared" si="4749"/>
        <v>2.5000000000000005E-3</v>
      </c>
      <c r="AV1522" s="77">
        <f t="shared" si="4750"/>
        <v>2.0809499864316017E-4</v>
      </c>
    </row>
    <row r="1523" spans="1:48">
      <c r="A1523" t="s">
        <v>175</v>
      </c>
      <c r="B1523" t="s">
        <v>180</v>
      </c>
      <c r="C1523" s="197" t="str">
        <f t="shared" si="4771"/>
        <v>Lifecycle_Opportunity_106</v>
      </c>
      <c r="D1523">
        <v>106</v>
      </c>
      <c r="E1523">
        <f>VLOOKUP($D1523,'[2]LC Opportunity'!$Q$2:$U$542,2,FALSE)</f>
        <v>0</v>
      </c>
      <c r="F1523">
        <f>VLOOKUP($D1523,'[2]LC Opportunity'!$Q$2:$U$542,3,FALSE)</f>
        <v>5.6833333333333333E-2</v>
      </c>
      <c r="G1523">
        <f>VLOOKUP($D1523,'[2]LC Opportunity'!$Q$2:$U$542,4,FALSE)</f>
        <v>0.9431666666666666</v>
      </c>
      <c r="H1523">
        <f>VLOOKUP($D1523,'[2]LC Opportunity'!$Q$2:$U$542,5,FALSE)</f>
        <v>0</v>
      </c>
      <c r="I1523" s="77">
        <f t="shared" si="4731"/>
        <v>0.99999999999999989</v>
      </c>
      <c r="J1523" s="77">
        <f t="shared" si="4732"/>
        <v>6.3619049999999983E-2</v>
      </c>
      <c r="K1523" s="77">
        <f t="shared" si="4776"/>
        <v>5.1530055565511823E-3</v>
      </c>
      <c r="L1523" s="76">
        <v>0</v>
      </c>
      <c r="M1523" s="77">
        <f t="shared" si="4738"/>
        <v>0</v>
      </c>
      <c r="N1523" s="77">
        <f t="shared" si="4739"/>
        <v>0</v>
      </c>
      <c r="O1523" s="77">
        <f t="shared" si="4740"/>
        <v>7.1261166666666664E-3</v>
      </c>
      <c r="P1523" s="77">
        <f t="shared" si="4741"/>
        <v>5.9579150483812793E-4</v>
      </c>
      <c r="R1523" t="s">
        <v>177</v>
      </c>
      <c r="S1523" t="s">
        <v>180</v>
      </c>
      <c r="T1523" s="197" t="str">
        <f t="shared" si="4772"/>
        <v>Autopilot_Opportunity_106</v>
      </c>
      <c r="U1523">
        <v>106</v>
      </c>
      <c r="V1523">
        <f>VLOOKUP($U1523,'[2]AP Opportunity'!$Q$1:$T$542,2,FALSE)</f>
        <v>0.85188519548755992</v>
      </c>
      <c r="W1523">
        <f>VLOOKUP($U1523,'[2]AP Opportunity'!$Q$1:$T$542,3,FALSE)</f>
        <v>0.14811480451244008</v>
      </c>
      <c r="X1523">
        <f>VLOOKUP($U1523,'[2]AP Opportunity'!$Q$1:$T$542,4,FALSE)</f>
        <v>0</v>
      </c>
      <c r="Y1523" s="77">
        <f t="shared" si="4773"/>
        <v>1</v>
      </c>
      <c r="Z1523" s="77">
        <f t="shared" si="4777"/>
        <v>6.265877597009735E-2</v>
      </c>
      <c r="AA1523" s="77">
        <f t="shared" si="4778"/>
        <v>5.0773501823453415E-3</v>
      </c>
      <c r="AB1523" s="79">
        <v>1</v>
      </c>
      <c r="AC1523" s="77">
        <f t="shared" si="4742"/>
        <v>8.2037703909751212E-3</v>
      </c>
      <c r="AD1523" s="77">
        <f t="shared" ref="AD1523" si="4853">1-(1-AC1523)^(1/12)</f>
        <v>6.862316434689264E-4</v>
      </c>
      <c r="AE1523" s="77">
        <f t="shared" si="4744"/>
        <v>2.5000000000000001E-3</v>
      </c>
      <c r="AF1523" s="77">
        <f t="shared" ref="AF1523" si="4854">1-(1-AE1523)^(1/12)</f>
        <v>2.0857243058891584E-4</v>
      </c>
      <c r="AH1523" t="s">
        <v>175</v>
      </c>
      <c r="AI1523" t="s">
        <v>180</v>
      </c>
      <c r="AJ1523" s="197" t="str">
        <f t="shared" si="4735"/>
        <v>Lifecycle_Opportunity_106</v>
      </c>
      <c r="AK1523">
        <v>106</v>
      </c>
      <c r="AL1523">
        <f>VLOOKUP($U1523,[2]Standard_Opportunity!$Q$1:$T$542,2,FALSE)</f>
        <v>0.83402668057487261</v>
      </c>
      <c r="AM1523">
        <f>VLOOKUP($U1523,[2]Standard_Opportunity!$Q$1:$T$542,3,FALSE)</f>
        <v>0.16597331942512744</v>
      </c>
      <c r="AN1523">
        <f>VLOOKUP($U1523,[2]Standard_Opportunity!$Q$1:$T$542,4,FALSE)</f>
        <v>0</v>
      </c>
      <c r="AO1523" s="77">
        <f t="shared" si="4736"/>
        <v>1</v>
      </c>
      <c r="AP1523" s="77">
        <f t="shared" si="4746"/>
        <v>6.242170418463143E-2</v>
      </c>
      <c r="AQ1523" s="77">
        <f t="shared" si="4737"/>
        <v>5.0586627906583637E-3</v>
      </c>
      <c r="AR1523" s="79">
        <v>0</v>
      </c>
      <c r="AS1523" s="77">
        <f t="shared" si="4747"/>
        <v>0</v>
      </c>
      <c r="AT1523" s="77">
        <f t="shared" si="4748"/>
        <v>0</v>
      </c>
      <c r="AU1523" s="77">
        <f t="shared" si="4749"/>
        <v>2.5000000000000005E-3</v>
      </c>
      <c r="AV1523" s="77">
        <f t="shared" si="4750"/>
        <v>2.0809499864316017E-4</v>
      </c>
    </row>
    <row r="1524" spans="1:48">
      <c r="A1524" t="s">
        <v>175</v>
      </c>
      <c r="B1524" t="s">
        <v>180</v>
      </c>
      <c r="C1524" s="197" t="str">
        <f t="shared" si="4771"/>
        <v>Lifecycle_Opportunity_105</v>
      </c>
      <c r="D1524">
        <v>105</v>
      </c>
      <c r="E1524">
        <f>VLOOKUP($D1524,'[2]LC Opportunity'!$Q$2:$U$542,2,FALSE)</f>
        <v>0</v>
      </c>
      <c r="F1524">
        <f>VLOOKUP($D1524,'[2]LC Opportunity'!$Q$2:$U$542,3,FALSE)</f>
        <v>6.3750000000000001E-2</v>
      </c>
      <c r="G1524">
        <f>VLOOKUP($D1524,'[2]LC Opportunity'!$Q$2:$U$542,4,FALSE)</f>
        <v>0.93625000000000003</v>
      </c>
      <c r="H1524">
        <f>VLOOKUP($D1524,'[2]LC Opportunity'!$Q$2:$U$542,5,FALSE)</f>
        <v>0</v>
      </c>
      <c r="I1524" s="77">
        <f t="shared" si="4731"/>
        <v>1</v>
      </c>
      <c r="J1524" s="77">
        <f t="shared" si="4732"/>
        <v>6.3496624999999987E-2</v>
      </c>
      <c r="K1524" s="77">
        <f t="shared" si="4776"/>
        <v>5.143363762572406E-3</v>
      </c>
      <c r="L1524" s="76">
        <v>0</v>
      </c>
      <c r="M1524" s="77">
        <f t="shared" si="4738"/>
        <v>0</v>
      </c>
      <c r="N1524" s="77">
        <f t="shared" si="4739"/>
        <v>0</v>
      </c>
      <c r="O1524" s="77">
        <f t="shared" si="4740"/>
        <v>7.1171249999999993E-3</v>
      </c>
      <c r="P1524" s="77">
        <f t="shared" si="4741"/>
        <v>5.9503727408438678E-4</v>
      </c>
      <c r="R1524" t="s">
        <v>177</v>
      </c>
      <c r="S1524" t="s">
        <v>180</v>
      </c>
      <c r="T1524" s="197" t="str">
        <f t="shared" si="4772"/>
        <v>Autopilot_Opportunity_105</v>
      </c>
      <c r="U1524">
        <v>105</v>
      </c>
      <c r="V1524">
        <f>VLOOKUP($U1524,'[2]AP Opportunity'!$Q$1:$T$542,2,FALSE)</f>
        <v>0.85188519548755992</v>
      </c>
      <c r="W1524">
        <f>VLOOKUP($U1524,'[2]AP Opportunity'!$Q$1:$T$542,3,FALSE)</f>
        <v>0.14811480451244008</v>
      </c>
      <c r="X1524">
        <f>VLOOKUP($U1524,'[2]AP Opportunity'!$Q$1:$T$542,4,FALSE)</f>
        <v>0</v>
      </c>
      <c r="Y1524" s="77">
        <f t="shared" si="4773"/>
        <v>1</v>
      </c>
      <c r="Z1524" s="77">
        <f t="shared" si="4777"/>
        <v>6.265877597009735E-2</v>
      </c>
      <c r="AA1524" s="77">
        <f t="shared" si="4778"/>
        <v>5.0773501823453415E-3</v>
      </c>
      <c r="AB1524" s="79">
        <v>1</v>
      </c>
      <c r="AC1524" s="77">
        <f t="shared" si="4742"/>
        <v>8.2037703909751212E-3</v>
      </c>
      <c r="AD1524" s="77">
        <f t="shared" ref="AD1524" si="4855">1-(1-AC1524)^(1/12)</f>
        <v>6.862316434689264E-4</v>
      </c>
      <c r="AE1524" s="77">
        <f t="shared" si="4744"/>
        <v>2.5000000000000001E-3</v>
      </c>
      <c r="AF1524" s="77">
        <f t="shared" ref="AF1524" si="4856">1-(1-AE1524)^(1/12)</f>
        <v>2.0857243058891584E-4</v>
      </c>
      <c r="AH1524" t="s">
        <v>175</v>
      </c>
      <c r="AI1524" t="s">
        <v>180</v>
      </c>
      <c r="AJ1524" s="197" t="str">
        <f t="shared" si="4735"/>
        <v>Lifecycle_Opportunity_105</v>
      </c>
      <c r="AK1524">
        <v>105</v>
      </c>
      <c r="AL1524">
        <f>VLOOKUP($U1524,[2]Standard_Opportunity!$Q$1:$T$542,2,FALSE)</f>
        <v>0.82509742311852885</v>
      </c>
      <c r="AM1524">
        <f>VLOOKUP($U1524,[2]Standard_Opportunity!$Q$1:$T$542,3,FALSE)</f>
        <v>0.17490257688147112</v>
      </c>
      <c r="AN1524">
        <f>VLOOKUP($U1524,[2]Standard_Opportunity!$Q$1:$T$542,4,FALSE)</f>
        <v>0</v>
      </c>
      <c r="AO1524" s="77">
        <f t="shared" si="4736"/>
        <v>1</v>
      </c>
      <c r="AP1524" s="77">
        <f t="shared" si="4746"/>
        <v>6.2303168291898456E-2</v>
      </c>
      <c r="AQ1524" s="77">
        <f t="shared" si="4737"/>
        <v>5.0493176613475299E-3</v>
      </c>
      <c r="AR1524" s="79">
        <v>0</v>
      </c>
      <c r="AS1524" s="77">
        <f t="shared" si="4747"/>
        <v>0</v>
      </c>
      <c r="AT1524" s="77">
        <f t="shared" si="4748"/>
        <v>0</v>
      </c>
      <c r="AU1524" s="77">
        <f t="shared" si="4749"/>
        <v>2.5000000000000001E-3</v>
      </c>
      <c r="AV1524" s="77">
        <f t="shared" si="4750"/>
        <v>2.0809499864316017E-4</v>
      </c>
    </row>
    <row r="1525" spans="1:48">
      <c r="A1525" t="s">
        <v>175</v>
      </c>
      <c r="B1525" t="s">
        <v>180</v>
      </c>
      <c r="C1525" s="197" t="str">
        <f t="shared" si="4771"/>
        <v>Lifecycle_Opportunity_104</v>
      </c>
      <c r="D1525">
        <v>104</v>
      </c>
      <c r="E1525">
        <f>VLOOKUP($D1525,'[2]LC Opportunity'!$Q$2:$U$542,2,FALSE)</f>
        <v>0</v>
      </c>
      <c r="F1525">
        <f>VLOOKUP($D1525,'[2]LC Opportunity'!$Q$2:$U$542,3,FALSE)</f>
        <v>7.0666666666666669E-2</v>
      </c>
      <c r="G1525">
        <f>VLOOKUP($D1525,'[2]LC Opportunity'!$Q$2:$U$542,4,FALSE)</f>
        <v>0.92933333333333334</v>
      </c>
      <c r="H1525">
        <f>VLOOKUP($D1525,'[2]LC Opportunity'!$Q$2:$U$542,5,FALSE)</f>
        <v>0</v>
      </c>
      <c r="I1525" s="77">
        <f t="shared" si="4731"/>
        <v>1</v>
      </c>
      <c r="J1525" s="77">
        <f t="shared" si="4732"/>
        <v>6.3374199999999992E-2</v>
      </c>
      <c r="K1525" s="77">
        <f t="shared" si="4776"/>
        <v>5.1337209511130855E-3</v>
      </c>
      <c r="L1525" s="76">
        <v>0</v>
      </c>
      <c r="M1525" s="77">
        <f t="shared" si="4738"/>
        <v>0</v>
      </c>
      <c r="N1525" s="77">
        <f t="shared" si="4739"/>
        <v>0</v>
      </c>
      <c r="O1525" s="77">
        <f t="shared" si="4740"/>
        <v>7.1081333333333331E-3</v>
      </c>
      <c r="P1525" s="77">
        <f t="shared" si="4741"/>
        <v>5.942830495918594E-4</v>
      </c>
      <c r="R1525" t="s">
        <v>177</v>
      </c>
      <c r="S1525" t="s">
        <v>180</v>
      </c>
      <c r="T1525" s="197" t="str">
        <f t="shared" si="4772"/>
        <v>Autopilot_Opportunity_104</v>
      </c>
      <c r="U1525">
        <v>104</v>
      </c>
      <c r="V1525">
        <f>VLOOKUP($U1525,'[2]AP Opportunity'!$Q$1:$T$542,2,FALSE)</f>
        <v>0.85188519548755992</v>
      </c>
      <c r="W1525">
        <f>VLOOKUP($U1525,'[2]AP Opportunity'!$Q$1:$T$542,3,FALSE)</f>
        <v>0.14811480451244008</v>
      </c>
      <c r="X1525">
        <f>VLOOKUP($U1525,'[2]AP Opportunity'!$Q$1:$T$542,4,FALSE)</f>
        <v>0</v>
      </c>
      <c r="Y1525" s="77">
        <f t="shared" si="4773"/>
        <v>1</v>
      </c>
      <c r="Z1525" s="77">
        <f t="shared" si="4777"/>
        <v>6.265877597009735E-2</v>
      </c>
      <c r="AA1525" s="77">
        <f t="shared" si="4778"/>
        <v>5.0773501823453415E-3</v>
      </c>
      <c r="AB1525" s="79">
        <v>1</v>
      </c>
      <c r="AC1525" s="77">
        <f t="shared" si="4742"/>
        <v>8.2037703909751212E-3</v>
      </c>
      <c r="AD1525" s="77">
        <f t="shared" ref="AD1525" si="4857">1-(1-AC1525)^(1/12)</f>
        <v>6.862316434689264E-4</v>
      </c>
      <c r="AE1525" s="77">
        <f t="shared" si="4744"/>
        <v>2.5000000000000001E-3</v>
      </c>
      <c r="AF1525" s="77">
        <f t="shared" ref="AF1525" si="4858">1-(1-AE1525)^(1/12)</f>
        <v>2.0857243058891584E-4</v>
      </c>
      <c r="AH1525" t="s">
        <v>175</v>
      </c>
      <c r="AI1525" t="s">
        <v>180</v>
      </c>
      <c r="AJ1525" s="197" t="str">
        <f t="shared" si="4735"/>
        <v>Lifecycle_Opportunity_104</v>
      </c>
      <c r="AK1525">
        <v>104</v>
      </c>
      <c r="AL1525">
        <f>VLOOKUP($U1525,[2]Standard_Opportunity!$Q$1:$T$542,2,FALSE)</f>
        <v>0.8161681656621852</v>
      </c>
      <c r="AM1525">
        <f>VLOOKUP($U1525,[2]Standard_Opportunity!$Q$1:$T$542,3,FALSE)</f>
        <v>0.1838318343378148</v>
      </c>
      <c r="AN1525">
        <f>VLOOKUP($U1525,[2]Standard_Opportunity!$Q$1:$T$542,4,FALSE)</f>
        <v>0</v>
      </c>
      <c r="AO1525" s="77">
        <f t="shared" si="4736"/>
        <v>1</v>
      </c>
      <c r="AP1525" s="77">
        <f t="shared" si="4746"/>
        <v>6.2184632399165496E-2</v>
      </c>
      <c r="AQ1525" s="77">
        <f t="shared" si="4737"/>
        <v>5.0399715761193509E-3</v>
      </c>
      <c r="AR1525" s="79">
        <v>0</v>
      </c>
      <c r="AS1525" s="77">
        <f t="shared" si="4747"/>
        <v>0</v>
      </c>
      <c r="AT1525" s="77">
        <f t="shared" si="4748"/>
        <v>0</v>
      </c>
      <c r="AU1525" s="77">
        <f t="shared" si="4749"/>
        <v>2.5000000000000001E-3</v>
      </c>
      <c r="AV1525" s="77">
        <f t="shared" si="4750"/>
        <v>2.0809499864316017E-4</v>
      </c>
    </row>
    <row r="1526" spans="1:48">
      <c r="A1526" t="s">
        <v>175</v>
      </c>
      <c r="B1526" t="s">
        <v>180</v>
      </c>
      <c r="C1526" s="197" t="str">
        <f t="shared" si="4771"/>
        <v>Lifecycle_Opportunity_103</v>
      </c>
      <c r="D1526">
        <v>103</v>
      </c>
      <c r="E1526">
        <f>VLOOKUP($D1526,'[2]LC Opportunity'!$Q$2:$U$542,2,FALSE)</f>
        <v>0</v>
      </c>
      <c r="F1526">
        <f>VLOOKUP($D1526,'[2]LC Opportunity'!$Q$2:$U$542,3,FALSE)</f>
        <v>7.7583333333333337E-2</v>
      </c>
      <c r="G1526">
        <f>VLOOKUP($D1526,'[2]LC Opportunity'!$Q$2:$U$542,4,FALSE)</f>
        <v>0.92241666666666666</v>
      </c>
      <c r="H1526">
        <f>VLOOKUP($D1526,'[2]LC Opportunity'!$Q$2:$U$542,5,FALSE)</f>
        <v>0</v>
      </c>
      <c r="I1526" s="77">
        <f t="shared" si="4731"/>
        <v>1</v>
      </c>
      <c r="J1526" s="77">
        <f t="shared" si="4732"/>
        <v>6.3251774999999982E-2</v>
      </c>
      <c r="K1526" s="77">
        <f t="shared" si="4776"/>
        <v>5.1240771219485115E-3</v>
      </c>
      <c r="L1526" s="76">
        <v>0</v>
      </c>
      <c r="M1526" s="77">
        <f t="shared" si="4738"/>
        <v>0</v>
      </c>
      <c r="N1526" s="77">
        <f t="shared" si="4739"/>
        <v>0</v>
      </c>
      <c r="O1526" s="77">
        <f t="shared" si="4740"/>
        <v>7.0991416666666661E-3</v>
      </c>
      <c r="P1526" s="77">
        <f t="shared" si="4741"/>
        <v>5.9352883136043477E-4</v>
      </c>
      <c r="R1526" t="s">
        <v>177</v>
      </c>
      <c r="S1526" t="s">
        <v>180</v>
      </c>
      <c r="T1526" s="197" t="str">
        <f t="shared" si="4772"/>
        <v>Autopilot_Opportunity_103</v>
      </c>
      <c r="U1526">
        <v>103</v>
      </c>
      <c r="V1526">
        <f>VLOOKUP($U1526,'[2]AP Opportunity'!$Q$1:$T$542,2,FALSE)</f>
        <v>0.85188519548755992</v>
      </c>
      <c r="W1526">
        <f>VLOOKUP($U1526,'[2]AP Opportunity'!$Q$1:$T$542,3,FALSE)</f>
        <v>0.14811480451244008</v>
      </c>
      <c r="X1526">
        <f>VLOOKUP($U1526,'[2]AP Opportunity'!$Q$1:$T$542,4,FALSE)</f>
        <v>0</v>
      </c>
      <c r="Y1526" s="77">
        <f t="shared" si="4773"/>
        <v>1</v>
      </c>
      <c r="Z1526" s="77">
        <f t="shared" si="4777"/>
        <v>6.265877597009735E-2</v>
      </c>
      <c r="AA1526" s="77">
        <f t="shared" si="4778"/>
        <v>5.0773501823453415E-3</v>
      </c>
      <c r="AB1526" s="79">
        <v>1</v>
      </c>
      <c r="AC1526" s="77">
        <f t="shared" si="4742"/>
        <v>8.2037703909751212E-3</v>
      </c>
      <c r="AD1526" s="77">
        <f t="shared" ref="AD1526" si="4859">1-(1-AC1526)^(1/12)</f>
        <v>6.862316434689264E-4</v>
      </c>
      <c r="AE1526" s="77">
        <f t="shared" si="4744"/>
        <v>2.5000000000000001E-3</v>
      </c>
      <c r="AF1526" s="77">
        <f t="shared" ref="AF1526" si="4860">1-(1-AE1526)^(1/12)</f>
        <v>2.0857243058891584E-4</v>
      </c>
      <c r="AH1526" t="s">
        <v>175</v>
      </c>
      <c r="AI1526" t="s">
        <v>180</v>
      </c>
      <c r="AJ1526" s="197" t="str">
        <f t="shared" si="4735"/>
        <v>Lifecycle_Opportunity_103</v>
      </c>
      <c r="AK1526">
        <v>103</v>
      </c>
      <c r="AL1526">
        <f>VLOOKUP($U1526,[2]Standard_Opportunity!$Q$1:$T$542,2,FALSE)</f>
        <v>0.80723890820584154</v>
      </c>
      <c r="AM1526">
        <f>VLOOKUP($U1526,[2]Standard_Opportunity!$Q$1:$T$542,3,FALSE)</f>
        <v>0.19276109179415848</v>
      </c>
      <c r="AN1526">
        <f>VLOOKUP($U1526,[2]Standard_Opportunity!$Q$1:$T$542,4,FALSE)</f>
        <v>0</v>
      </c>
      <c r="AO1526" s="77">
        <f t="shared" si="4736"/>
        <v>1</v>
      </c>
      <c r="AP1526" s="77">
        <f t="shared" si="4746"/>
        <v>6.2066096506432536E-2</v>
      </c>
      <c r="AQ1526" s="77">
        <f t="shared" si="4737"/>
        <v>5.0306245347693235E-3</v>
      </c>
      <c r="AR1526" s="79">
        <v>0</v>
      </c>
      <c r="AS1526" s="77">
        <f t="shared" si="4747"/>
        <v>0</v>
      </c>
      <c r="AT1526" s="77">
        <f t="shared" si="4748"/>
        <v>0</v>
      </c>
      <c r="AU1526" s="77">
        <f t="shared" si="4749"/>
        <v>2.5000000000000001E-3</v>
      </c>
      <c r="AV1526" s="77">
        <f t="shared" si="4750"/>
        <v>2.0809499864316017E-4</v>
      </c>
    </row>
    <row r="1527" spans="1:48">
      <c r="A1527" t="s">
        <v>175</v>
      </c>
      <c r="B1527" t="s">
        <v>180</v>
      </c>
      <c r="C1527" s="197" t="str">
        <f t="shared" si="4771"/>
        <v>Lifecycle_Opportunity_102</v>
      </c>
      <c r="D1527">
        <v>102</v>
      </c>
      <c r="E1527">
        <f>VLOOKUP($D1527,'[2]LC Opportunity'!$Q$2:$U$542,2,FALSE)</f>
        <v>0</v>
      </c>
      <c r="F1527">
        <f>VLOOKUP($D1527,'[2]LC Opportunity'!$Q$2:$U$542,3,FALSE)</f>
        <v>8.4499999999999992E-2</v>
      </c>
      <c r="G1527">
        <f>VLOOKUP($D1527,'[2]LC Opportunity'!$Q$2:$U$542,4,FALSE)</f>
        <v>0.91549999999999998</v>
      </c>
      <c r="H1527">
        <f>VLOOKUP($D1527,'[2]LC Opportunity'!$Q$2:$U$542,5,FALSE)</f>
        <v>0</v>
      </c>
      <c r="I1527" s="77">
        <f t="shared" si="4731"/>
        <v>1</v>
      </c>
      <c r="J1527" s="77">
        <f t="shared" si="4732"/>
        <v>6.3129349999999987E-2</v>
      </c>
      <c r="K1527" s="77">
        <f t="shared" si="4776"/>
        <v>5.114432274853975E-3</v>
      </c>
      <c r="L1527" s="76">
        <v>0</v>
      </c>
      <c r="M1527" s="77">
        <f t="shared" si="4738"/>
        <v>0</v>
      </c>
      <c r="N1527" s="77">
        <f t="shared" si="4739"/>
        <v>0</v>
      </c>
      <c r="O1527" s="77">
        <f t="shared" si="4740"/>
        <v>7.0901499999999999E-3</v>
      </c>
      <c r="P1527" s="77">
        <f t="shared" si="4741"/>
        <v>5.9277461938989084E-4</v>
      </c>
      <c r="R1527" t="s">
        <v>177</v>
      </c>
      <c r="S1527" t="s">
        <v>180</v>
      </c>
      <c r="T1527" s="197" t="str">
        <f t="shared" si="4772"/>
        <v>Autopilot_Opportunity_102</v>
      </c>
      <c r="U1527">
        <v>102</v>
      </c>
      <c r="V1527">
        <f>VLOOKUP($U1527,'[2]AP Opportunity'!$Q$1:$T$542,2,FALSE)</f>
        <v>0.85188519548755992</v>
      </c>
      <c r="W1527">
        <f>VLOOKUP($U1527,'[2]AP Opportunity'!$Q$1:$T$542,3,FALSE)</f>
        <v>0.14811480451244008</v>
      </c>
      <c r="X1527">
        <f>VLOOKUP($U1527,'[2]AP Opportunity'!$Q$1:$T$542,4,FALSE)</f>
        <v>0</v>
      </c>
      <c r="Y1527" s="77">
        <f t="shared" si="4773"/>
        <v>1</v>
      </c>
      <c r="Z1527" s="77">
        <f t="shared" si="4777"/>
        <v>6.265877597009735E-2</v>
      </c>
      <c r="AA1527" s="77">
        <f t="shared" si="4778"/>
        <v>5.0773501823453415E-3</v>
      </c>
      <c r="AB1527" s="79">
        <v>1</v>
      </c>
      <c r="AC1527" s="77">
        <f t="shared" si="4742"/>
        <v>8.2037703909751212E-3</v>
      </c>
      <c r="AD1527" s="77">
        <f t="shared" ref="AD1527" si="4861">1-(1-AC1527)^(1/12)</f>
        <v>6.862316434689264E-4</v>
      </c>
      <c r="AE1527" s="77">
        <f t="shared" si="4744"/>
        <v>2.5000000000000001E-3</v>
      </c>
      <c r="AF1527" s="77">
        <f t="shared" ref="AF1527" si="4862">1-(1-AE1527)^(1/12)</f>
        <v>2.0857243058891584E-4</v>
      </c>
      <c r="AH1527" t="s">
        <v>175</v>
      </c>
      <c r="AI1527" t="s">
        <v>180</v>
      </c>
      <c r="AJ1527" s="197" t="str">
        <f t="shared" si="4735"/>
        <v>Lifecycle_Opportunity_102</v>
      </c>
      <c r="AK1527">
        <v>102</v>
      </c>
      <c r="AL1527">
        <f>VLOOKUP($U1527,[2]Standard_Opportunity!$Q$1:$T$542,2,FALSE)</f>
        <v>0.79830965074949778</v>
      </c>
      <c r="AM1527">
        <f>VLOOKUP($U1527,[2]Standard_Opportunity!$Q$1:$T$542,3,FALSE)</f>
        <v>0.20169034925050217</v>
      </c>
      <c r="AN1527">
        <f>VLOOKUP($U1527,[2]Standard_Opportunity!$Q$1:$T$542,4,FALSE)</f>
        <v>0</v>
      </c>
      <c r="AO1527" s="77">
        <f t="shared" si="4736"/>
        <v>1</v>
      </c>
      <c r="AP1527" s="77">
        <f t="shared" si="4746"/>
        <v>6.1947560613699569E-2</v>
      </c>
      <c r="AQ1527" s="77">
        <f t="shared" si="4737"/>
        <v>5.0212765370929446E-3</v>
      </c>
      <c r="AR1527" s="79">
        <v>0</v>
      </c>
      <c r="AS1527" s="77">
        <f t="shared" si="4747"/>
        <v>0</v>
      </c>
      <c r="AT1527" s="77">
        <f t="shared" si="4748"/>
        <v>0</v>
      </c>
      <c r="AU1527" s="77">
        <f t="shared" si="4749"/>
        <v>2.5000000000000001E-3</v>
      </c>
      <c r="AV1527" s="77">
        <f t="shared" si="4750"/>
        <v>2.0809499864316017E-4</v>
      </c>
    </row>
    <row r="1528" spans="1:48">
      <c r="A1528" t="s">
        <v>175</v>
      </c>
      <c r="B1528" t="s">
        <v>180</v>
      </c>
      <c r="C1528" s="197" t="str">
        <f t="shared" si="4771"/>
        <v>Lifecycle_Opportunity_101</v>
      </c>
      <c r="D1528">
        <v>101</v>
      </c>
      <c r="E1528">
        <f>VLOOKUP($D1528,'[2]LC Opportunity'!$Q$2:$U$542,2,FALSE)</f>
        <v>0</v>
      </c>
      <c r="F1528">
        <f>VLOOKUP($D1528,'[2]LC Opportunity'!$Q$2:$U$542,3,FALSE)</f>
        <v>9.141666666666666E-2</v>
      </c>
      <c r="G1528">
        <f>VLOOKUP($D1528,'[2]LC Opportunity'!$Q$2:$U$542,4,FALSE)</f>
        <v>0.9085833333333333</v>
      </c>
      <c r="H1528">
        <f>VLOOKUP($D1528,'[2]LC Opportunity'!$Q$2:$U$542,5,FALSE)</f>
        <v>0</v>
      </c>
      <c r="I1528" s="77">
        <f t="shared" si="4731"/>
        <v>1</v>
      </c>
      <c r="J1528" s="77">
        <f t="shared" si="4732"/>
        <v>6.3006924999999991E-2</v>
      </c>
      <c r="K1528" s="77">
        <f t="shared" si="4776"/>
        <v>5.1047864096049889E-3</v>
      </c>
      <c r="L1528" s="76">
        <v>0</v>
      </c>
      <c r="M1528" s="77">
        <f t="shared" si="4738"/>
        <v>0</v>
      </c>
      <c r="N1528" s="77">
        <f t="shared" si="4739"/>
        <v>0</v>
      </c>
      <c r="O1528" s="77">
        <f t="shared" si="4740"/>
        <v>7.0811583333333329E-3</v>
      </c>
      <c r="P1528" s="77">
        <f t="shared" si="4741"/>
        <v>5.9202041368022762E-4</v>
      </c>
      <c r="R1528" t="s">
        <v>177</v>
      </c>
      <c r="S1528" t="s">
        <v>180</v>
      </c>
      <c r="T1528" s="197" t="str">
        <f t="shared" si="4772"/>
        <v>Autopilot_Opportunity_101</v>
      </c>
      <c r="U1528">
        <v>101</v>
      </c>
      <c r="V1528">
        <f>VLOOKUP($U1528,'[2]AP Opportunity'!$Q$1:$T$542,2,FALSE)</f>
        <v>0.85188519548755992</v>
      </c>
      <c r="W1528">
        <f>VLOOKUP($U1528,'[2]AP Opportunity'!$Q$1:$T$542,3,FALSE)</f>
        <v>0.14811480451244008</v>
      </c>
      <c r="X1528">
        <f>VLOOKUP($U1528,'[2]AP Opportunity'!$Q$1:$T$542,4,FALSE)</f>
        <v>0</v>
      </c>
      <c r="Y1528" s="77">
        <f t="shared" si="4773"/>
        <v>1</v>
      </c>
      <c r="Z1528" s="77">
        <f t="shared" si="4777"/>
        <v>6.265877597009735E-2</v>
      </c>
      <c r="AA1528" s="77">
        <f t="shared" si="4778"/>
        <v>5.0773501823453415E-3</v>
      </c>
      <c r="AB1528" s="79">
        <v>1</v>
      </c>
      <c r="AC1528" s="77">
        <f t="shared" si="4742"/>
        <v>8.2037703909751212E-3</v>
      </c>
      <c r="AD1528" s="77">
        <f t="shared" ref="AD1528" si="4863">1-(1-AC1528)^(1/12)</f>
        <v>6.862316434689264E-4</v>
      </c>
      <c r="AE1528" s="77">
        <f t="shared" si="4744"/>
        <v>2.5000000000000001E-3</v>
      </c>
      <c r="AF1528" s="77">
        <f t="shared" ref="AF1528" si="4864">1-(1-AE1528)^(1/12)</f>
        <v>2.0857243058891584E-4</v>
      </c>
      <c r="AH1528" t="s">
        <v>175</v>
      </c>
      <c r="AI1528" t="s">
        <v>180</v>
      </c>
      <c r="AJ1528" s="197" t="str">
        <f t="shared" si="4735"/>
        <v>Lifecycle_Opportunity_101</v>
      </c>
      <c r="AK1528">
        <v>101</v>
      </c>
      <c r="AL1528">
        <f>VLOOKUP($U1528,[2]Standard_Opportunity!$Q$1:$T$542,2,FALSE)</f>
        <v>0.78938039329315413</v>
      </c>
      <c r="AM1528">
        <f>VLOOKUP($U1528,[2]Standard_Opportunity!$Q$1:$T$542,3,FALSE)</f>
        <v>0.21061960670684585</v>
      </c>
      <c r="AN1528">
        <f>VLOOKUP($U1528,[2]Standard_Opportunity!$Q$1:$T$542,4,FALSE)</f>
        <v>0</v>
      </c>
      <c r="AO1528" s="77">
        <f t="shared" si="4736"/>
        <v>1</v>
      </c>
      <c r="AP1528" s="77">
        <f t="shared" si="4746"/>
        <v>6.1829024720966609E-2</v>
      </c>
      <c r="AQ1528" s="77">
        <f t="shared" si="4737"/>
        <v>5.0119275828854892E-3</v>
      </c>
      <c r="AR1528" s="79">
        <v>0</v>
      </c>
      <c r="AS1528" s="77">
        <f t="shared" si="4747"/>
        <v>0</v>
      </c>
      <c r="AT1528" s="77">
        <f t="shared" si="4748"/>
        <v>0</v>
      </c>
      <c r="AU1528" s="77">
        <f t="shared" si="4749"/>
        <v>2.4999999999999996E-3</v>
      </c>
      <c r="AV1528" s="77">
        <f t="shared" si="4750"/>
        <v>2.0809499864316017E-4</v>
      </c>
    </row>
    <row r="1529" spans="1:48">
      <c r="A1529" t="s">
        <v>175</v>
      </c>
      <c r="B1529" t="s">
        <v>180</v>
      </c>
      <c r="C1529" s="197" t="str">
        <f t="shared" si="4771"/>
        <v>Lifecycle_Opportunity_100</v>
      </c>
      <c r="D1529">
        <v>100</v>
      </c>
      <c r="E1529">
        <f>VLOOKUP($D1529,'[2]LC Opportunity'!$Q$2:$U$542,2,FALSE)</f>
        <v>0</v>
      </c>
      <c r="F1529">
        <f>VLOOKUP($D1529,'[2]LC Opportunity'!$Q$2:$U$542,3,FALSE)</f>
        <v>9.8333333333333328E-2</v>
      </c>
      <c r="G1529">
        <f>VLOOKUP($D1529,'[2]LC Opportunity'!$Q$2:$U$542,4,FALSE)</f>
        <v>0.90166666666666662</v>
      </c>
      <c r="H1529">
        <f>VLOOKUP($D1529,'[2]LC Opportunity'!$Q$2:$U$542,5,FALSE)</f>
        <v>0</v>
      </c>
      <c r="I1529" s="77">
        <f t="shared" si="4731"/>
        <v>1</v>
      </c>
      <c r="J1529" s="77">
        <f t="shared" si="4732"/>
        <v>6.2884499999999982E-2</v>
      </c>
      <c r="K1529" s="77">
        <f t="shared" si="4776"/>
        <v>5.0951395259766219E-3</v>
      </c>
      <c r="L1529" s="76">
        <v>0</v>
      </c>
      <c r="M1529" s="77">
        <f t="shared" si="4738"/>
        <v>0</v>
      </c>
      <c r="N1529" s="77">
        <f t="shared" si="4739"/>
        <v>0</v>
      </c>
      <c r="O1529" s="77">
        <f t="shared" si="4740"/>
        <v>7.0721666666666658E-3</v>
      </c>
      <c r="P1529" s="77">
        <f t="shared" si="4741"/>
        <v>5.9126621423133408E-4</v>
      </c>
      <c r="R1529" t="s">
        <v>177</v>
      </c>
      <c r="S1529" t="s">
        <v>180</v>
      </c>
      <c r="T1529" s="197" t="str">
        <f t="shared" si="4772"/>
        <v>Autopilot_Opportunity_100</v>
      </c>
      <c r="U1529">
        <v>100</v>
      </c>
      <c r="V1529">
        <f>VLOOKUP($U1529,'[2]AP Opportunity'!$Q$1:$T$542,2,FALSE)</f>
        <v>0.85188519548755992</v>
      </c>
      <c r="W1529">
        <f>VLOOKUP($U1529,'[2]AP Opportunity'!$Q$1:$T$542,3,FALSE)</f>
        <v>0.14811480451244008</v>
      </c>
      <c r="X1529">
        <f>VLOOKUP($U1529,'[2]AP Opportunity'!$Q$1:$T$542,4,FALSE)</f>
        <v>0</v>
      </c>
      <c r="Y1529" s="77">
        <f t="shared" si="4773"/>
        <v>1</v>
      </c>
      <c r="Z1529" s="77">
        <f t="shared" si="4777"/>
        <v>6.265877597009735E-2</v>
      </c>
      <c r="AA1529" s="77">
        <f t="shared" si="4778"/>
        <v>5.0773501823453415E-3</v>
      </c>
      <c r="AB1529" s="79">
        <v>1</v>
      </c>
      <c r="AC1529" s="77">
        <f t="shared" si="4742"/>
        <v>8.2037703909751212E-3</v>
      </c>
      <c r="AD1529" s="77">
        <f t="shared" ref="AD1529" si="4865">1-(1-AC1529)^(1/12)</f>
        <v>6.862316434689264E-4</v>
      </c>
      <c r="AE1529" s="77">
        <f t="shared" si="4744"/>
        <v>2.5000000000000001E-3</v>
      </c>
      <c r="AF1529" s="77">
        <f t="shared" ref="AF1529" si="4866">1-(1-AE1529)^(1/12)</f>
        <v>2.0857243058891584E-4</v>
      </c>
      <c r="AH1529" t="s">
        <v>175</v>
      </c>
      <c r="AI1529" t="s">
        <v>180</v>
      </c>
      <c r="AJ1529" s="197" t="str">
        <f t="shared" si="4735"/>
        <v>Lifecycle_Opportunity_100</v>
      </c>
      <c r="AK1529">
        <v>100</v>
      </c>
      <c r="AL1529">
        <f>VLOOKUP($U1529,[2]Standard_Opportunity!$Q$1:$T$542,2,FALSE)</f>
        <v>0.78045113583681047</v>
      </c>
      <c r="AM1529">
        <f>VLOOKUP($U1529,[2]Standard_Opportunity!$Q$1:$T$542,3,FALSE)</f>
        <v>0.21954886416318953</v>
      </c>
      <c r="AN1529">
        <f>VLOOKUP($U1529,[2]Standard_Opportunity!$Q$1:$T$542,4,FALSE)</f>
        <v>0</v>
      </c>
      <c r="AO1529" s="77">
        <f t="shared" si="4736"/>
        <v>1</v>
      </c>
      <c r="AP1529" s="77">
        <f t="shared" si="4746"/>
        <v>6.1710488828233642E-2</v>
      </c>
      <c r="AQ1529" s="77">
        <f t="shared" si="4737"/>
        <v>5.0025776719422321E-3</v>
      </c>
      <c r="AR1529" s="79">
        <v>0</v>
      </c>
      <c r="AS1529" s="77">
        <f t="shared" si="4747"/>
        <v>0</v>
      </c>
      <c r="AT1529" s="77">
        <f t="shared" si="4748"/>
        <v>0</v>
      </c>
      <c r="AU1529" s="77">
        <f t="shared" si="4749"/>
        <v>2.5000000000000001E-3</v>
      </c>
      <c r="AV1529" s="77">
        <f t="shared" si="4750"/>
        <v>2.0809499864316017E-4</v>
      </c>
    </row>
    <row r="1530" spans="1:48">
      <c r="A1530" t="s">
        <v>175</v>
      </c>
      <c r="B1530" t="s">
        <v>180</v>
      </c>
      <c r="C1530" s="197" t="str">
        <f t="shared" si="4771"/>
        <v>Lifecycle_Opportunity_99</v>
      </c>
      <c r="D1530">
        <v>99</v>
      </c>
      <c r="E1530">
        <f>VLOOKUP($D1530,'[2]LC Opportunity'!$Q$2:$U$542,2,FALSE)</f>
        <v>0</v>
      </c>
      <c r="F1530">
        <f>VLOOKUP($D1530,'[2]LC Opportunity'!$Q$2:$U$542,3,FALSE)</f>
        <v>0.10525</v>
      </c>
      <c r="G1530">
        <f>VLOOKUP($D1530,'[2]LC Opportunity'!$Q$2:$U$542,4,FALSE)</f>
        <v>0.89474999999999993</v>
      </c>
      <c r="H1530">
        <f>VLOOKUP($D1530,'[2]LC Opportunity'!$Q$2:$U$542,5,FALSE)</f>
        <v>0</v>
      </c>
      <c r="I1530" s="77">
        <f t="shared" si="4731"/>
        <v>0.99999999999999989</v>
      </c>
      <c r="J1530" s="77">
        <f t="shared" si="4732"/>
        <v>6.2762074999999987E-2</v>
      </c>
      <c r="K1530" s="77">
        <f t="shared" si="4776"/>
        <v>5.0854916237439429E-3</v>
      </c>
      <c r="L1530" s="76">
        <v>0</v>
      </c>
      <c r="M1530" s="77">
        <f t="shared" si="4738"/>
        <v>0</v>
      </c>
      <c r="N1530" s="77">
        <f t="shared" si="4739"/>
        <v>0</v>
      </c>
      <c r="O1530" s="77">
        <f t="shared" si="4740"/>
        <v>7.0631749999999997E-3</v>
      </c>
      <c r="P1530" s="77">
        <f t="shared" si="4741"/>
        <v>5.9051202104309919E-4</v>
      </c>
      <c r="R1530" t="s">
        <v>177</v>
      </c>
      <c r="S1530" t="s">
        <v>180</v>
      </c>
      <c r="T1530" s="197" t="str">
        <f t="shared" si="4772"/>
        <v>Autopilot_Opportunity_99</v>
      </c>
      <c r="U1530">
        <v>99</v>
      </c>
      <c r="V1530">
        <f>VLOOKUP($U1530,'[2]AP Opportunity'!$Q$1:$T$542,2,FALSE)</f>
        <v>0.85188519548755992</v>
      </c>
      <c r="W1530">
        <f>VLOOKUP($U1530,'[2]AP Opportunity'!$Q$1:$T$542,3,FALSE)</f>
        <v>0.14811480451244008</v>
      </c>
      <c r="X1530">
        <f>VLOOKUP($U1530,'[2]AP Opportunity'!$Q$1:$T$542,4,FALSE)</f>
        <v>0</v>
      </c>
      <c r="Y1530" s="77">
        <f t="shared" si="4773"/>
        <v>1</v>
      </c>
      <c r="Z1530" s="77">
        <f t="shared" si="4777"/>
        <v>6.265877597009735E-2</v>
      </c>
      <c r="AA1530" s="77">
        <f t="shared" si="4778"/>
        <v>5.0773501823453415E-3</v>
      </c>
      <c r="AB1530" s="79">
        <v>1</v>
      </c>
      <c r="AC1530" s="77">
        <f t="shared" si="4742"/>
        <v>8.2037703909751212E-3</v>
      </c>
      <c r="AD1530" s="77">
        <f t="shared" ref="AD1530" si="4867">1-(1-AC1530)^(1/12)</f>
        <v>6.862316434689264E-4</v>
      </c>
      <c r="AE1530" s="77">
        <f t="shared" si="4744"/>
        <v>2.5000000000000001E-3</v>
      </c>
      <c r="AF1530" s="77">
        <f t="shared" ref="AF1530" si="4868">1-(1-AE1530)^(1/12)</f>
        <v>2.0857243058891584E-4</v>
      </c>
      <c r="AH1530" t="s">
        <v>175</v>
      </c>
      <c r="AI1530" t="s">
        <v>180</v>
      </c>
      <c r="AJ1530" s="197" t="str">
        <f t="shared" si="4735"/>
        <v>Lifecycle_Opportunity_99</v>
      </c>
      <c r="AK1530">
        <v>99</v>
      </c>
      <c r="AL1530">
        <f>VLOOKUP($U1530,[2]Standard_Opportunity!$Q$1:$T$542,2,FALSE)</f>
        <v>0.77152187838046682</v>
      </c>
      <c r="AM1530">
        <f>VLOOKUP($U1530,[2]Standard_Opportunity!$Q$1:$T$542,3,FALSE)</f>
        <v>0.22847812161953321</v>
      </c>
      <c r="AN1530">
        <f>VLOOKUP($U1530,[2]Standard_Opportunity!$Q$1:$T$542,4,FALSE)</f>
        <v>0</v>
      </c>
      <c r="AO1530" s="77">
        <f t="shared" si="4736"/>
        <v>1</v>
      </c>
      <c r="AP1530" s="77">
        <f t="shared" si="4746"/>
        <v>6.1591952935500689E-2</v>
      </c>
      <c r="AQ1530" s="77">
        <f t="shared" si="4737"/>
        <v>4.9932268040586703E-3</v>
      </c>
      <c r="AR1530" s="79">
        <v>0</v>
      </c>
      <c r="AS1530" s="77">
        <f t="shared" si="4747"/>
        <v>0</v>
      </c>
      <c r="AT1530" s="77">
        <f t="shared" si="4748"/>
        <v>0</v>
      </c>
      <c r="AU1530" s="77">
        <f t="shared" si="4749"/>
        <v>2.5000000000000001E-3</v>
      </c>
      <c r="AV1530" s="77">
        <f t="shared" si="4750"/>
        <v>2.0809499864316017E-4</v>
      </c>
    </row>
    <row r="1531" spans="1:48">
      <c r="A1531" t="s">
        <v>175</v>
      </c>
      <c r="B1531" t="s">
        <v>180</v>
      </c>
      <c r="C1531" s="197" t="str">
        <f t="shared" si="4771"/>
        <v>Lifecycle_Opportunity_98</v>
      </c>
      <c r="D1531">
        <v>98</v>
      </c>
      <c r="E1531">
        <f>VLOOKUP($D1531,'[2]LC Opportunity'!$Q$2:$U$542,2,FALSE)</f>
        <v>0</v>
      </c>
      <c r="F1531">
        <f>VLOOKUP($D1531,'[2]LC Opportunity'!$Q$2:$U$542,3,FALSE)</f>
        <v>0.11216666666666666</v>
      </c>
      <c r="G1531">
        <f>VLOOKUP($D1531,'[2]LC Opportunity'!$Q$2:$U$542,4,FALSE)</f>
        <v>0.88783333333333336</v>
      </c>
      <c r="H1531">
        <f>VLOOKUP($D1531,'[2]LC Opportunity'!$Q$2:$U$542,5,FALSE)</f>
        <v>0</v>
      </c>
      <c r="I1531" s="77">
        <f t="shared" si="4731"/>
        <v>1</v>
      </c>
      <c r="J1531" s="77">
        <f t="shared" si="4732"/>
        <v>6.2639649999999991E-2</v>
      </c>
      <c r="K1531" s="77">
        <f t="shared" si="4776"/>
        <v>5.0758427026824648E-3</v>
      </c>
      <c r="L1531" s="76">
        <v>0</v>
      </c>
      <c r="M1531" s="77">
        <f t="shared" si="4738"/>
        <v>0</v>
      </c>
      <c r="N1531" s="77">
        <f t="shared" si="4739"/>
        <v>0</v>
      </c>
      <c r="O1531" s="77">
        <f t="shared" si="4740"/>
        <v>7.0541833333333335E-3</v>
      </c>
      <c r="P1531" s="77">
        <f t="shared" si="4741"/>
        <v>5.8975783411541194E-4</v>
      </c>
      <c r="R1531" t="s">
        <v>177</v>
      </c>
      <c r="S1531" t="s">
        <v>180</v>
      </c>
      <c r="T1531" s="197" t="str">
        <f t="shared" si="4772"/>
        <v>Autopilot_Opportunity_98</v>
      </c>
      <c r="U1531">
        <v>98</v>
      </c>
      <c r="V1531">
        <f>VLOOKUP($U1531,'[2]AP Opportunity'!$Q$1:$T$542,2,FALSE)</f>
        <v>0.85188519548755992</v>
      </c>
      <c r="W1531">
        <f>VLOOKUP($U1531,'[2]AP Opportunity'!$Q$1:$T$542,3,FALSE)</f>
        <v>0.14811480451244008</v>
      </c>
      <c r="X1531">
        <f>VLOOKUP($U1531,'[2]AP Opportunity'!$Q$1:$T$542,4,FALSE)</f>
        <v>0</v>
      </c>
      <c r="Y1531" s="77">
        <f t="shared" si="4773"/>
        <v>1</v>
      </c>
      <c r="Z1531" s="77">
        <f t="shared" si="4777"/>
        <v>6.265877597009735E-2</v>
      </c>
      <c r="AA1531" s="77">
        <f t="shared" si="4778"/>
        <v>5.0773501823453415E-3</v>
      </c>
      <c r="AB1531" s="79">
        <v>1</v>
      </c>
      <c r="AC1531" s="77">
        <f t="shared" si="4742"/>
        <v>8.2037703909751212E-3</v>
      </c>
      <c r="AD1531" s="77">
        <f t="shared" ref="AD1531" si="4869">1-(1-AC1531)^(1/12)</f>
        <v>6.862316434689264E-4</v>
      </c>
      <c r="AE1531" s="77">
        <f t="shared" si="4744"/>
        <v>2.5000000000000001E-3</v>
      </c>
      <c r="AF1531" s="77">
        <f t="shared" ref="AF1531" si="4870">1-(1-AE1531)^(1/12)</f>
        <v>2.0857243058891584E-4</v>
      </c>
      <c r="AH1531" t="s">
        <v>175</v>
      </c>
      <c r="AI1531" t="s">
        <v>180</v>
      </c>
      <c r="AJ1531" s="197" t="str">
        <f t="shared" si="4735"/>
        <v>Lifecycle_Opportunity_98</v>
      </c>
      <c r="AK1531">
        <v>98</v>
      </c>
      <c r="AL1531">
        <f>VLOOKUP($U1531,[2]Standard_Opportunity!$Q$1:$T$542,2,FALSE)</f>
        <v>0.76259262092412317</v>
      </c>
      <c r="AM1531">
        <f>VLOOKUP($U1531,[2]Standard_Opportunity!$Q$1:$T$542,3,FALSE)</f>
        <v>0.23740737907587689</v>
      </c>
      <c r="AN1531">
        <f>VLOOKUP($U1531,[2]Standard_Opportunity!$Q$1:$T$542,4,FALSE)</f>
        <v>0</v>
      </c>
      <c r="AO1531" s="77">
        <f t="shared" si="4736"/>
        <v>1</v>
      </c>
      <c r="AP1531" s="77">
        <f t="shared" si="4746"/>
        <v>6.1473417042767729E-2</v>
      </c>
      <c r="AQ1531" s="77">
        <f t="shared" si="4737"/>
        <v>4.9838749790296344E-3</v>
      </c>
      <c r="AR1531" s="79">
        <v>0</v>
      </c>
      <c r="AS1531" s="77">
        <f t="shared" si="4747"/>
        <v>0</v>
      </c>
      <c r="AT1531" s="77">
        <f t="shared" si="4748"/>
        <v>0</v>
      </c>
      <c r="AU1531" s="77">
        <f t="shared" si="4749"/>
        <v>2.5000000000000001E-3</v>
      </c>
      <c r="AV1531" s="77">
        <f t="shared" si="4750"/>
        <v>2.0809499864316017E-4</v>
      </c>
    </row>
    <row r="1532" spans="1:48">
      <c r="A1532" t="s">
        <v>175</v>
      </c>
      <c r="B1532" t="s">
        <v>180</v>
      </c>
      <c r="C1532" s="197" t="str">
        <f t="shared" si="4771"/>
        <v>Lifecycle_Opportunity_97</v>
      </c>
      <c r="D1532">
        <v>97</v>
      </c>
      <c r="E1532">
        <f>VLOOKUP($D1532,'[2]LC Opportunity'!$Q$2:$U$542,2,FALSE)</f>
        <v>0</v>
      </c>
      <c r="F1532">
        <f>VLOOKUP($D1532,'[2]LC Opportunity'!$Q$2:$U$542,3,FALSE)</f>
        <v>0.11908333333333333</v>
      </c>
      <c r="G1532">
        <f>VLOOKUP($D1532,'[2]LC Opportunity'!$Q$2:$U$542,4,FALSE)</f>
        <v>0.88091666666666668</v>
      </c>
      <c r="H1532">
        <f>VLOOKUP($D1532,'[2]LC Opportunity'!$Q$2:$U$542,5,FALSE)</f>
        <v>0</v>
      </c>
      <c r="I1532" s="77">
        <f t="shared" si="4731"/>
        <v>1</v>
      </c>
      <c r="J1532" s="77">
        <f t="shared" si="4732"/>
        <v>6.2517224999999996E-2</v>
      </c>
      <c r="K1532" s="77">
        <f t="shared" si="4776"/>
        <v>5.0661927625668124E-3</v>
      </c>
      <c r="L1532" s="76">
        <v>0</v>
      </c>
      <c r="M1532" s="77">
        <f t="shared" si="4738"/>
        <v>0</v>
      </c>
      <c r="N1532" s="77">
        <f t="shared" si="4739"/>
        <v>0</v>
      </c>
      <c r="O1532" s="77">
        <f t="shared" si="4740"/>
        <v>7.0451916666666673E-3</v>
      </c>
      <c r="P1532" s="77">
        <f t="shared" si="4741"/>
        <v>5.8900365344805028E-4</v>
      </c>
      <c r="R1532" t="s">
        <v>177</v>
      </c>
      <c r="S1532" t="s">
        <v>180</v>
      </c>
      <c r="T1532" s="197" t="str">
        <f t="shared" si="4772"/>
        <v>Autopilot_Opportunity_97</v>
      </c>
      <c r="U1532">
        <v>97</v>
      </c>
      <c r="V1532">
        <f>VLOOKUP($U1532,'[2]AP Opportunity'!$Q$1:$T$542,2,FALSE)</f>
        <v>0.85188519548755992</v>
      </c>
      <c r="W1532">
        <f>VLOOKUP($U1532,'[2]AP Opportunity'!$Q$1:$T$542,3,FALSE)</f>
        <v>0.14811480451244008</v>
      </c>
      <c r="X1532">
        <f>VLOOKUP($U1532,'[2]AP Opportunity'!$Q$1:$T$542,4,FALSE)</f>
        <v>0</v>
      </c>
      <c r="Y1532" s="77">
        <f t="shared" si="4773"/>
        <v>1</v>
      </c>
      <c r="Z1532" s="77">
        <f t="shared" si="4777"/>
        <v>6.265877597009735E-2</v>
      </c>
      <c r="AA1532" s="77">
        <f t="shared" si="4778"/>
        <v>5.0773501823453415E-3</v>
      </c>
      <c r="AB1532" s="79">
        <v>1</v>
      </c>
      <c r="AC1532" s="77">
        <f t="shared" si="4742"/>
        <v>8.2037703909751212E-3</v>
      </c>
      <c r="AD1532" s="77">
        <f t="shared" ref="AD1532" si="4871">1-(1-AC1532)^(1/12)</f>
        <v>6.862316434689264E-4</v>
      </c>
      <c r="AE1532" s="77">
        <f t="shared" si="4744"/>
        <v>2.5000000000000001E-3</v>
      </c>
      <c r="AF1532" s="77">
        <f t="shared" ref="AF1532" si="4872">1-(1-AE1532)^(1/12)</f>
        <v>2.0857243058891584E-4</v>
      </c>
      <c r="AH1532" t="s">
        <v>175</v>
      </c>
      <c r="AI1532" t="s">
        <v>180</v>
      </c>
      <c r="AJ1532" s="197" t="str">
        <f t="shared" si="4735"/>
        <v>Lifecycle_Opportunity_97</v>
      </c>
      <c r="AK1532">
        <v>97</v>
      </c>
      <c r="AL1532">
        <f>VLOOKUP($U1532,[2]Standard_Opportunity!$Q$1:$T$542,2,FALSE)</f>
        <v>0.7536633634677794</v>
      </c>
      <c r="AM1532">
        <f>VLOOKUP($U1532,[2]Standard_Opportunity!$Q$1:$T$542,3,FALSE)</f>
        <v>0.24633663653222057</v>
      </c>
      <c r="AN1532">
        <f>VLOOKUP($U1532,[2]Standard_Opportunity!$Q$1:$T$542,4,FALSE)</f>
        <v>0</v>
      </c>
      <c r="AO1532" s="77">
        <f t="shared" si="4736"/>
        <v>1</v>
      </c>
      <c r="AP1532" s="77">
        <f t="shared" si="4746"/>
        <v>6.1354881150034762E-2</v>
      </c>
      <c r="AQ1532" s="77">
        <f t="shared" si="4737"/>
        <v>4.9745221966508435E-3</v>
      </c>
      <c r="AR1532" s="79">
        <v>0</v>
      </c>
      <c r="AS1532" s="77">
        <f t="shared" si="4747"/>
        <v>0</v>
      </c>
      <c r="AT1532" s="77">
        <f t="shared" si="4748"/>
        <v>0</v>
      </c>
      <c r="AU1532" s="77">
        <f t="shared" si="4749"/>
        <v>2.5000000000000001E-3</v>
      </c>
      <c r="AV1532" s="77">
        <f t="shared" si="4750"/>
        <v>2.0809499864316017E-4</v>
      </c>
    </row>
    <row r="1533" spans="1:48">
      <c r="A1533" t="s">
        <v>175</v>
      </c>
      <c r="B1533" t="s">
        <v>180</v>
      </c>
      <c r="C1533" s="197" t="str">
        <f t="shared" si="4771"/>
        <v>Lifecycle_Opportunity_96</v>
      </c>
      <c r="D1533">
        <v>96</v>
      </c>
      <c r="E1533">
        <f>VLOOKUP($D1533,'[2]LC Opportunity'!$Q$2:$U$542,2,FALSE)</f>
        <v>0</v>
      </c>
      <c r="F1533">
        <f>VLOOKUP($D1533,'[2]LC Opportunity'!$Q$2:$U$542,3,FALSE)</f>
        <v>0.126</v>
      </c>
      <c r="G1533">
        <f>VLOOKUP($D1533,'[2]LC Opportunity'!$Q$2:$U$542,4,FALSE)</f>
        <v>0.874</v>
      </c>
      <c r="H1533">
        <f>VLOOKUP($D1533,'[2]LC Opportunity'!$Q$2:$U$542,5,FALSE)</f>
        <v>0</v>
      </c>
      <c r="I1533" s="77">
        <f t="shared" si="4731"/>
        <v>1</v>
      </c>
      <c r="J1533" s="77">
        <f t="shared" si="4732"/>
        <v>6.2394799999999993E-2</v>
      </c>
      <c r="K1533" s="77">
        <f t="shared" si="4776"/>
        <v>5.0565418031718323E-3</v>
      </c>
      <c r="L1533" s="76">
        <v>0</v>
      </c>
      <c r="M1533" s="77">
        <f t="shared" si="4738"/>
        <v>0</v>
      </c>
      <c r="N1533" s="77">
        <f t="shared" si="4739"/>
        <v>0</v>
      </c>
      <c r="O1533" s="77">
        <f t="shared" si="4740"/>
        <v>7.0361999999999994E-3</v>
      </c>
      <c r="P1533" s="77">
        <f t="shared" si="4741"/>
        <v>5.8824947904101421E-4</v>
      </c>
      <c r="R1533" t="s">
        <v>177</v>
      </c>
      <c r="S1533" t="s">
        <v>180</v>
      </c>
      <c r="T1533" s="197" t="str">
        <f t="shared" si="4772"/>
        <v>Autopilot_Opportunity_96</v>
      </c>
      <c r="U1533">
        <v>96</v>
      </c>
      <c r="V1533">
        <f>VLOOKUP($U1533,'[2]AP Opportunity'!$Q$1:$T$542,2,FALSE)</f>
        <v>0.74473410601143575</v>
      </c>
      <c r="W1533">
        <f>VLOOKUP($U1533,'[2]AP Opportunity'!$Q$1:$T$542,3,FALSE)</f>
        <v>0.25526589398856425</v>
      </c>
      <c r="X1533">
        <f>VLOOKUP($U1533,'[2]AP Opportunity'!$Q$1:$T$542,4,FALSE)</f>
        <v>0</v>
      </c>
      <c r="Y1533" s="77">
        <f t="shared" si="4773"/>
        <v>1</v>
      </c>
      <c r="Z1533" s="77">
        <f t="shared" si="4777"/>
        <v>6.1236345257301796E-2</v>
      </c>
      <c r="AA1533" s="77">
        <f t="shared" si="4778"/>
        <v>4.9651684567166843E-3</v>
      </c>
      <c r="AB1533" s="79">
        <v>1</v>
      </c>
      <c r="AC1533" s="77">
        <f t="shared" si="4742"/>
        <v>7.9894682120228711E-3</v>
      </c>
      <c r="AD1533" s="77">
        <f t="shared" ref="AD1533" si="4873">1-(1-AC1533)^(1/12)</f>
        <v>6.6823954775985239E-4</v>
      </c>
      <c r="AE1533" s="77">
        <f t="shared" si="4744"/>
        <v>2.5000000000000001E-3</v>
      </c>
      <c r="AF1533" s="77">
        <f t="shared" ref="AF1533" si="4874">1-(1-AE1533)^(1/12)</f>
        <v>2.0857243058891584E-4</v>
      </c>
      <c r="AH1533" t="s">
        <v>175</v>
      </c>
      <c r="AI1533" t="s">
        <v>180</v>
      </c>
      <c r="AJ1533" s="197" t="str">
        <f t="shared" si="4735"/>
        <v>Lifecycle_Opportunity_96</v>
      </c>
      <c r="AK1533">
        <v>96</v>
      </c>
      <c r="AL1533">
        <f>VLOOKUP($U1533,[2]Standard_Opportunity!$Q$1:$T$542,2,FALSE)</f>
        <v>0.74473410601143575</v>
      </c>
      <c r="AM1533">
        <f>VLOOKUP($U1533,[2]Standard_Opportunity!$Q$1:$T$542,3,FALSE)</f>
        <v>0.25526589398856425</v>
      </c>
      <c r="AN1533">
        <f>VLOOKUP($U1533,[2]Standard_Opportunity!$Q$1:$T$542,4,FALSE)</f>
        <v>0</v>
      </c>
      <c r="AO1533" s="77">
        <f t="shared" si="4736"/>
        <v>1</v>
      </c>
      <c r="AP1533" s="77">
        <f t="shared" si="4746"/>
        <v>6.1236345257301796E-2</v>
      </c>
      <c r="AQ1533" s="77">
        <f t="shared" si="4737"/>
        <v>4.9651684567166843E-3</v>
      </c>
      <c r="AR1533" s="79">
        <v>0</v>
      </c>
      <c r="AS1533" s="77">
        <f t="shared" si="4747"/>
        <v>0</v>
      </c>
      <c r="AT1533" s="77">
        <f t="shared" si="4748"/>
        <v>0</v>
      </c>
      <c r="AU1533" s="77">
        <f t="shared" si="4749"/>
        <v>2.5000000000000001E-3</v>
      </c>
      <c r="AV1533" s="77">
        <f t="shared" si="4750"/>
        <v>2.0809499864316017E-4</v>
      </c>
    </row>
    <row r="1534" spans="1:48">
      <c r="A1534" t="s">
        <v>175</v>
      </c>
      <c r="B1534" t="s">
        <v>180</v>
      </c>
      <c r="C1534" s="197" t="str">
        <f t="shared" si="4771"/>
        <v>Lifecycle_Opportunity_95</v>
      </c>
      <c r="D1534">
        <v>95</v>
      </c>
      <c r="E1534">
        <f>VLOOKUP($D1534,'[2]LC Opportunity'!$Q$2:$U$542,2,FALSE)</f>
        <v>0</v>
      </c>
      <c r="F1534">
        <f>VLOOKUP($D1534,'[2]LC Opportunity'!$Q$2:$U$542,3,FALSE)</f>
        <v>0.13191666666666668</v>
      </c>
      <c r="G1534">
        <f>VLOOKUP($D1534,'[2]LC Opportunity'!$Q$2:$U$542,4,FALSE)</f>
        <v>0.86808333333333332</v>
      </c>
      <c r="H1534">
        <f>VLOOKUP($D1534,'[2]LC Opportunity'!$Q$2:$U$542,5,FALSE)</f>
        <v>0</v>
      </c>
      <c r="I1534" s="77">
        <f t="shared" si="4731"/>
        <v>1</v>
      </c>
      <c r="J1534" s="77">
        <f t="shared" si="4732"/>
        <v>6.2290074999999986E-2</v>
      </c>
      <c r="K1534" s="77">
        <f t="shared" si="4776"/>
        <v>5.0482853541540251E-3</v>
      </c>
      <c r="L1534" s="76">
        <v>0</v>
      </c>
      <c r="M1534" s="77">
        <f t="shared" si="4738"/>
        <v>0</v>
      </c>
      <c r="N1534" s="77">
        <f t="shared" si="4739"/>
        <v>0</v>
      </c>
      <c r="O1534" s="77">
        <f t="shared" si="4740"/>
        <v>7.0285083333333333E-3</v>
      </c>
      <c r="P1534" s="77">
        <f t="shared" si="4741"/>
        <v>5.8760434686566665E-4</v>
      </c>
      <c r="R1534" t="s">
        <v>177</v>
      </c>
      <c r="S1534" t="s">
        <v>180</v>
      </c>
      <c r="T1534" s="197" t="str">
        <f t="shared" si="4772"/>
        <v>Autopilot_Opportunity_95</v>
      </c>
      <c r="U1534">
        <v>95</v>
      </c>
      <c r="V1534">
        <f>VLOOKUP($U1534,'[2]AP Opportunity'!$Q$1:$T$542,2,FALSE)</f>
        <v>0.74473410601143575</v>
      </c>
      <c r="W1534">
        <f>VLOOKUP($U1534,'[2]AP Opportunity'!$Q$1:$T$542,3,FALSE)</f>
        <v>0.25526589398856425</v>
      </c>
      <c r="X1534">
        <f>VLOOKUP($U1534,'[2]AP Opportunity'!$Q$1:$T$542,4,FALSE)</f>
        <v>0</v>
      </c>
      <c r="Y1534" s="77">
        <f t="shared" si="4773"/>
        <v>1</v>
      </c>
      <c r="Z1534" s="77">
        <f t="shared" si="4777"/>
        <v>6.1236345257301796E-2</v>
      </c>
      <c r="AA1534" s="77">
        <f t="shared" si="4778"/>
        <v>4.9651684567166843E-3</v>
      </c>
      <c r="AB1534" s="79">
        <v>1</v>
      </c>
      <c r="AC1534" s="77">
        <f t="shared" si="4742"/>
        <v>7.9894682120228711E-3</v>
      </c>
      <c r="AD1534" s="77">
        <f t="shared" ref="AD1534" si="4875">1-(1-AC1534)^(1/12)</f>
        <v>6.6823954775985239E-4</v>
      </c>
      <c r="AE1534" s="77">
        <f t="shared" si="4744"/>
        <v>2.5000000000000001E-3</v>
      </c>
      <c r="AF1534" s="77">
        <f t="shared" ref="AF1534" si="4876">1-(1-AE1534)^(1/12)</f>
        <v>2.0857243058891584E-4</v>
      </c>
      <c r="AH1534" t="s">
        <v>175</v>
      </c>
      <c r="AI1534" t="s">
        <v>180</v>
      </c>
      <c r="AJ1534" s="197" t="str">
        <f t="shared" si="4735"/>
        <v>Lifecycle_Opportunity_95</v>
      </c>
      <c r="AK1534">
        <v>95</v>
      </c>
      <c r="AL1534">
        <f>VLOOKUP($U1534,[2]Standard_Opportunity!$Q$1:$T$542,2,FALSE)</f>
        <v>0.73709167954463517</v>
      </c>
      <c r="AM1534">
        <f>VLOOKUP($U1534,[2]Standard_Opportunity!$Q$1:$T$542,3,FALSE)</f>
        <v>0.26290832045536483</v>
      </c>
      <c r="AN1534">
        <f>VLOOKUP($U1534,[2]Standard_Opportunity!$Q$1:$T$542,4,FALSE)</f>
        <v>0</v>
      </c>
      <c r="AO1534" s="77">
        <f t="shared" si="4736"/>
        <v>1</v>
      </c>
      <c r="AP1534" s="77">
        <f t="shared" si="4746"/>
        <v>6.1134892045955021E-2</v>
      </c>
      <c r="AQ1534" s="77">
        <f t="shared" si="4737"/>
        <v>4.9571619609809492E-3</v>
      </c>
      <c r="AR1534" s="79">
        <v>0</v>
      </c>
      <c r="AS1534" s="77">
        <f t="shared" si="4747"/>
        <v>0</v>
      </c>
      <c r="AT1534" s="77">
        <f t="shared" si="4748"/>
        <v>0</v>
      </c>
      <c r="AU1534" s="77">
        <f t="shared" si="4749"/>
        <v>2.5000000000000001E-3</v>
      </c>
      <c r="AV1534" s="77">
        <f t="shared" si="4750"/>
        <v>2.0809499864316017E-4</v>
      </c>
    </row>
    <row r="1535" spans="1:48">
      <c r="A1535" t="s">
        <v>175</v>
      </c>
      <c r="B1535" t="s">
        <v>180</v>
      </c>
      <c r="C1535" s="197" t="str">
        <f t="shared" si="4771"/>
        <v>Lifecycle_Opportunity_94</v>
      </c>
      <c r="D1535">
        <v>94</v>
      </c>
      <c r="E1535">
        <f>VLOOKUP($D1535,'[2]LC Opportunity'!$Q$2:$U$542,2,FALSE)</f>
        <v>0</v>
      </c>
      <c r="F1535">
        <f>VLOOKUP($D1535,'[2]LC Opportunity'!$Q$2:$U$542,3,FALSE)</f>
        <v>0.13783333333333334</v>
      </c>
      <c r="G1535">
        <f>VLOOKUP($D1535,'[2]LC Opportunity'!$Q$2:$U$542,4,FALSE)</f>
        <v>0.86216666666666664</v>
      </c>
      <c r="H1535">
        <f>VLOOKUP($D1535,'[2]LC Opportunity'!$Q$2:$U$542,5,FALSE)</f>
        <v>0</v>
      </c>
      <c r="I1535" s="77">
        <f t="shared" si="4731"/>
        <v>1</v>
      </c>
      <c r="J1535" s="77">
        <f t="shared" si="4732"/>
        <v>6.2185349999999986E-2</v>
      </c>
      <c r="K1535" s="77">
        <f t="shared" si="4776"/>
        <v>5.0400281589768614E-3</v>
      </c>
      <c r="L1535" s="76">
        <v>0</v>
      </c>
      <c r="M1535" s="77">
        <f t="shared" si="4738"/>
        <v>0</v>
      </c>
      <c r="N1535" s="77">
        <f t="shared" si="4739"/>
        <v>0</v>
      </c>
      <c r="O1535" s="77">
        <f t="shared" si="4740"/>
        <v>7.0208166666666664E-3</v>
      </c>
      <c r="P1535" s="77">
        <f t="shared" si="4741"/>
        <v>5.8695921927121031E-4</v>
      </c>
      <c r="R1535" t="s">
        <v>177</v>
      </c>
      <c r="S1535" t="s">
        <v>180</v>
      </c>
      <c r="T1535" s="197" t="str">
        <f t="shared" si="4772"/>
        <v>Autopilot_Opportunity_94</v>
      </c>
      <c r="U1535">
        <v>94</v>
      </c>
      <c r="V1535">
        <f>VLOOKUP($U1535,'[2]AP Opportunity'!$Q$1:$T$542,2,FALSE)</f>
        <v>0.74473410601143575</v>
      </c>
      <c r="W1535">
        <f>VLOOKUP($U1535,'[2]AP Opportunity'!$Q$1:$T$542,3,FALSE)</f>
        <v>0.25526589398856425</v>
      </c>
      <c r="X1535">
        <f>VLOOKUP($U1535,'[2]AP Opportunity'!$Q$1:$T$542,4,FALSE)</f>
        <v>0</v>
      </c>
      <c r="Y1535" s="77">
        <f t="shared" si="4773"/>
        <v>1</v>
      </c>
      <c r="Z1535" s="77">
        <f t="shared" si="4777"/>
        <v>6.1236345257301796E-2</v>
      </c>
      <c r="AA1535" s="77">
        <f t="shared" si="4778"/>
        <v>4.9651684567166843E-3</v>
      </c>
      <c r="AB1535" s="79">
        <v>1</v>
      </c>
      <c r="AC1535" s="77">
        <f t="shared" si="4742"/>
        <v>7.9894682120228711E-3</v>
      </c>
      <c r="AD1535" s="77">
        <f t="shared" ref="AD1535" si="4877">1-(1-AC1535)^(1/12)</f>
        <v>6.6823954775985239E-4</v>
      </c>
      <c r="AE1535" s="77">
        <f t="shared" si="4744"/>
        <v>2.5000000000000001E-3</v>
      </c>
      <c r="AF1535" s="77">
        <f t="shared" ref="AF1535" si="4878">1-(1-AE1535)^(1/12)</f>
        <v>2.0857243058891584E-4</v>
      </c>
      <c r="AH1535" t="s">
        <v>175</v>
      </c>
      <c r="AI1535" t="s">
        <v>180</v>
      </c>
      <c r="AJ1535" s="197" t="str">
        <f t="shared" si="4735"/>
        <v>Lifecycle_Opportunity_94</v>
      </c>
      <c r="AK1535">
        <v>94</v>
      </c>
      <c r="AL1535">
        <f>VLOOKUP($U1535,[2]Standard_Opportunity!$Q$1:$T$542,2,FALSE)</f>
        <v>0.72944925307783448</v>
      </c>
      <c r="AM1535">
        <f>VLOOKUP($U1535,[2]Standard_Opportunity!$Q$1:$T$542,3,FALSE)</f>
        <v>0.27055074692216546</v>
      </c>
      <c r="AN1535">
        <f>VLOOKUP($U1535,[2]Standard_Opportunity!$Q$1:$T$542,4,FALSE)</f>
        <v>0</v>
      </c>
      <c r="AO1535" s="77">
        <f t="shared" si="4736"/>
        <v>1</v>
      </c>
      <c r="AP1535" s="77">
        <f t="shared" si="4746"/>
        <v>6.1033438834608239E-2</v>
      </c>
      <c r="AQ1535" s="77">
        <f t="shared" si="4737"/>
        <v>4.9491547635183153E-3</v>
      </c>
      <c r="AR1535" s="79">
        <v>0</v>
      </c>
      <c r="AS1535" s="77">
        <f t="shared" si="4747"/>
        <v>0</v>
      </c>
      <c r="AT1535" s="77">
        <f t="shared" si="4748"/>
        <v>0</v>
      </c>
      <c r="AU1535" s="77">
        <f t="shared" si="4749"/>
        <v>2.4999999999999996E-3</v>
      </c>
      <c r="AV1535" s="77">
        <f t="shared" si="4750"/>
        <v>2.0809499864316017E-4</v>
      </c>
    </row>
    <row r="1536" spans="1:48">
      <c r="A1536" t="s">
        <v>175</v>
      </c>
      <c r="B1536" t="s">
        <v>180</v>
      </c>
      <c r="C1536" s="197" t="str">
        <f t="shared" si="4771"/>
        <v>Lifecycle_Opportunity_93</v>
      </c>
      <c r="D1536">
        <v>93</v>
      </c>
      <c r="E1536">
        <f>VLOOKUP($D1536,'[2]LC Opportunity'!$Q$2:$U$542,2,FALSE)</f>
        <v>0</v>
      </c>
      <c r="F1536">
        <f>VLOOKUP($D1536,'[2]LC Opportunity'!$Q$2:$U$542,3,FALSE)</f>
        <v>0.14374999999999999</v>
      </c>
      <c r="G1536">
        <f>VLOOKUP($D1536,'[2]LC Opportunity'!$Q$2:$U$542,4,FALSE)</f>
        <v>0.85624999999999996</v>
      </c>
      <c r="H1536">
        <f>VLOOKUP($D1536,'[2]LC Opportunity'!$Q$2:$U$542,5,FALSE)</f>
        <v>0</v>
      </c>
      <c r="I1536" s="77">
        <f t="shared" si="4731"/>
        <v>1</v>
      </c>
      <c r="J1536" s="77">
        <f t="shared" si="4732"/>
        <v>6.2080624999999987E-2</v>
      </c>
      <c r="K1536" s="77">
        <f t="shared" si="4776"/>
        <v>5.0317702174991208E-3</v>
      </c>
      <c r="L1536" s="76">
        <v>0</v>
      </c>
      <c r="M1536" s="77">
        <f t="shared" si="4738"/>
        <v>0</v>
      </c>
      <c r="N1536" s="77">
        <f t="shared" si="4739"/>
        <v>0</v>
      </c>
      <c r="O1536" s="77">
        <f t="shared" si="4740"/>
        <v>7.0131249999999994E-3</v>
      </c>
      <c r="P1536" s="77">
        <f t="shared" si="4741"/>
        <v>5.8631409625742315E-4</v>
      </c>
      <c r="R1536" t="s">
        <v>177</v>
      </c>
      <c r="S1536" t="s">
        <v>180</v>
      </c>
      <c r="T1536" s="197" t="str">
        <f t="shared" si="4772"/>
        <v>Autopilot_Opportunity_93</v>
      </c>
      <c r="U1536">
        <v>93</v>
      </c>
      <c r="V1536">
        <f>VLOOKUP($U1536,'[2]AP Opportunity'!$Q$1:$T$542,2,FALSE)</f>
        <v>0.74473410601143575</v>
      </c>
      <c r="W1536">
        <f>VLOOKUP($U1536,'[2]AP Opportunity'!$Q$1:$T$542,3,FALSE)</f>
        <v>0.25526589398856425</v>
      </c>
      <c r="X1536">
        <f>VLOOKUP($U1536,'[2]AP Opportunity'!$Q$1:$T$542,4,FALSE)</f>
        <v>0</v>
      </c>
      <c r="Y1536" s="77">
        <f t="shared" si="4773"/>
        <v>1</v>
      </c>
      <c r="Z1536" s="77">
        <f t="shared" si="4777"/>
        <v>6.1236345257301796E-2</v>
      </c>
      <c r="AA1536" s="77">
        <f t="shared" si="4778"/>
        <v>4.9651684567166843E-3</v>
      </c>
      <c r="AB1536" s="79">
        <v>1</v>
      </c>
      <c r="AC1536" s="77">
        <f t="shared" si="4742"/>
        <v>7.9894682120228711E-3</v>
      </c>
      <c r="AD1536" s="77">
        <f t="shared" ref="AD1536" si="4879">1-(1-AC1536)^(1/12)</f>
        <v>6.6823954775985239E-4</v>
      </c>
      <c r="AE1536" s="77">
        <f t="shared" si="4744"/>
        <v>2.5000000000000001E-3</v>
      </c>
      <c r="AF1536" s="77">
        <f t="shared" ref="AF1536" si="4880">1-(1-AE1536)^(1/12)</f>
        <v>2.0857243058891584E-4</v>
      </c>
      <c r="AH1536" t="s">
        <v>175</v>
      </c>
      <c r="AI1536" t="s">
        <v>180</v>
      </c>
      <c r="AJ1536" s="197" t="str">
        <f t="shared" si="4735"/>
        <v>Lifecycle_Opportunity_93</v>
      </c>
      <c r="AK1536">
        <v>93</v>
      </c>
      <c r="AL1536">
        <f>VLOOKUP($U1536,[2]Standard_Opportunity!$Q$1:$T$542,2,FALSE)</f>
        <v>0.7218068266110339</v>
      </c>
      <c r="AM1536">
        <f>VLOOKUP($U1536,[2]Standard_Opportunity!$Q$1:$T$542,3,FALSE)</f>
        <v>0.2781931733889661</v>
      </c>
      <c r="AN1536">
        <f>VLOOKUP($U1536,[2]Standard_Opportunity!$Q$1:$T$542,4,FALSE)</f>
        <v>0</v>
      </c>
      <c r="AO1536" s="77">
        <f t="shared" si="4736"/>
        <v>1</v>
      </c>
      <c r="AP1536" s="77">
        <f t="shared" si="4746"/>
        <v>6.0931985623261464E-2</v>
      </c>
      <c r="AQ1536" s="77">
        <f t="shared" si="4737"/>
        <v>4.9411468642002188E-3</v>
      </c>
      <c r="AR1536" s="79">
        <v>0</v>
      </c>
      <c r="AS1536" s="77">
        <f t="shared" si="4747"/>
        <v>0</v>
      </c>
      <c r="AT1536" s="77">
        <f t="shared" si="4748"/>
        <v>0</v>
      </c>
      <c r="AU1536" s="77">
        <f t="shared" si="4749"/>
        <v>2.5000000000000001E-3</v>
      </c>
      <c r="AV1536" s="77">
        <f t="shared" si="4750"/>
        <v>2.0809499864316017E-4</v>
      </c>
    </row>
    <row r="1537" spans="1:48">
      <c r="A1537" t="s">
        <v>175</v>
      </c>
      <c r="B1537" t="s">
        <v>180</v>
      </c>
      <c r="C1537" s="197" t="str">
        <f t="shared" si="4771"/>
        <v>Lifecycle_Opportunity_92</v>
      </c>
      <c r="D1537">
        <v>92</v>
      </c>
      <c r="E1537">
        <f>VLOOKUP($D1537,'[2]LC Opportunity'!$Q$2:$U$542,2,FALSE)</f>
        <v>0</v>
      </c>
      <c r="F1537">
        <f>VLOOKUP($D1537,'[2]LC Opportunity'!$Q$2:$U$542,3,FALSE)</f>
        <v>0.14966666666666667</v>
      </c>
      <c r="G1537">
        <f>VLOOKUP($D1537,'[2]LC Opportunity'!$Q$2:$U$542,4,FALSE)</f>
        <v>0.85033333333333339</v>
      </c>
      <c r="H1537">
        <f>VLOOKUP($D1537,'[2]LC Opportunity'!$Q$2:$U$542,5,FALSE)</f>
        <v>0</v>
      </c>
      <c r="I1537" s="77">
        <f t="shared" ref="I1537:I1600" si="4881">SUM(E1537:H1537)</f>
        <v>1</v>
      </c>
      <c r="J1537" s="77">
        <f t="shared" ref="J1537:J1600" si="4882">SUMPRODUCT($E$1:$H$1,E1537:H1537)</f>
        <v>6.1975899999999993E-2</v>
      </c>
      <c r="K1537" s="77">
        <f t="shared" si="4776"/>
        <v>5.023511529580027E-3</v>
      </c>
      <c r="L1537" s="76">
        <v>0</v>
      </c>
      <c r="M1537" s="77">
        <f t="shared" si="4738"/>
        <v>0</v>
      </c>
      <c r="N1537" s="77">
        <f t="shared" si="4739"/>
        <v>0</v>
      </c>
      <c r="O1537" s="77">
        <f t="shared" si="4740"/>
        <v>7.0054333333333333E-3</v>
      </c>
      <c r="P1537" s="77">
        <f t="shared" si="4741"/>
        <v>5.8566897782430516E-4</v>
      </c>
      <c r="R1537" t="s">
        <v>177</v>
      </c>
      <c r="S1537" t="s">
        <v>180</v>
      </c>
      <c r="T1537" s="197" t="str">
        <f t="shared" si="4772"/>
        <v>Autopilot_Opportunity_92</v>
      </c>
      <c r="U1537">
        <v>92</v>
      </c>
      <c r="V1537">
        <f>VLOOKUP($U1537,'[2]AP Opportunity'!$Q$1:$T$542,2,FALSE)</f>
        <v>0.74473410601143575</v>
      </c>
      <c r="W1537">
        <f>VLOOKUP($U1537,'[2]AP Opportunity'!$Q$1:$T$542,3,FALSE)</f>
        <v>0.25526589398856425</v>
      </c>
      <c r="X1537">
        <f>VLOOKUP($U1537,'[2]AP Opportunity'!$Q$1:$T$542,4,FALSE)</f>
        <v>0</v>
      </c>
      <c r="Y1537" s="77">
        <f t="shared" si="4773"/>
        <v>1</v>
      </c>
      <c r="Z1537" s="77">
        <f t="shared" si="4777"/>
        <v>6.1236345257301796E-2</v>
      </c>
      <c r="AA1537" s="77">
        <f t="shared" si="4778"/>
        <v>4.9651684567166843E-3</v>
      </c>
      <c r="AB1537" s="79">
        <v>1</v>
      </c>
      <c r="AC1537" s="77">
        <f t="shared" si="4742"/>
        <v>7.9894682120228711E-3</v>
      </c>
      <c r="AD1537" s="77">
        <f t="shared" ref="AD1537" si="4883">1-(1-AC1537)^(1/12)</f>
        <v>6.6823954775985239E-4</v>
      </c>
      <c r="AE1537" s="77">
        <f t="shared" si="4744"/>
        <v>2.5000000000000001E-3</v>
      </c>
      <c r="AF1537" s="77">
        <f t="shared" ref="AF1537" si="4884">1-(1-AE1537)^(1/12)</f>
        <v>2.0857243058891584E-4</v>
      </c>
      <c r="AH1537" t="s">
        <v>175</v>
      </c>
      <c r="AI1537" t="s">
        <v>180</v>
      </c>
      <c r="AJ1537" s="197" t="str">
        <f t="shared" ref="AJ1537:AJ1600" si="4885">AH1537&amp;"_"&amp;AI1537&amp;"_"&amp;AK1537</f>
        <v>Lifecycle_Opportunity_92</v>
      </c>
      <c r="AK1537">
        <v>92</v>
      </c>
      <c r="AL1537">
        <f>VLOOKUP($U1537,[2]Standard_Opportunity!$Q$1:$T$542,2,FALSE)</f>
        <v>0.71416440014423332</v>
      </c>
      <c r="AM1537">
        <f>VLOOKUP($U1537,[2]Standard_Opportunity!$Q$1:$T$542,3,FALSE)</f>
        <v>0.28583559985576668</v>
      </c>
      <c r="AN1537">
        <f>VLOOKUP($U1537,[2]Standard_Opportunity!$Q$1:$T$542,4,FALSE)</f>
        <v>0</v>
      </c>
      <c r="AO1537" s="77">
        <f t="shared" ref="AO1537:AO1600" si="4886">SUM(AL1537:AN1537)</f>
        <v>1</v>
      </c>
      <c r="AP1537" s="77">
        <f t="shared" si="4746"/>
        <v>6.083053241191469E-2</v>
      </c>
      <c r="AQ1537" s="77">
        <f t="shared" ref="AQ1537:AQ1600" si="4887">(1+AP1537)^(1/12)-1</f>
        <v>4.9331382628976517E-3</v>
      </c>
      <c r="AR1537" s="79">
        <v>0</v>
      </c>
      <c r="AS1537" s="77">
        <f t="shared" si="4747"/>
        <v>0</v>
      </c>
      <c r="AT1537" s="77">
        <f t="shared" si="4748"/>
        <v>0</v>
      </c>
      <c r="AU1537" s="77">
        <f t="shared" si="4749"/>
        <v>2.5000000000000001E-3</v>
      </c>
      <c r="AV1537" s="77">
        <f t="shared" si="4750"/>
        <v>2.0809499864316017E-4</v>
      </c>
    </row>
    <row r="1538" spans="1:48">
      <c r="A1538" t="s">
        <v>175</v>
      </c>
      <c r="B1538" t="s">
        <v>180</v>
      </c>
      <c r="C1538" s="197" t="str">
        <f t="shared" si="4771"/>
        <v>Lifecycle_Opportunity_91</v>
      </c>
      <c r="D1538">
        <v>91</v>
      </c>
      <c r="E1538">
        <f>VLOOKUP($D1538,'[2]LC Opportunity'!$Q$2:$U$542,2,FALSE)</f>
        <v>0</v>
      </c>
      <c r="F1538">
        <f>VLOOKUP($D1538,'[2]LC Opportunity'!$Q$2:$U$542,3,FALSE)</f>
        <v>0.15558333333333335</v>
      </c>
      <c r="G1538">
        <f>VLOOKUP($D1538,'[2]LC Opportunity'!$Q$2:$U$542,4,FALSE)</f>
        <v>0.8444166666666667</v>
      </c>
      <c r="H1538">
        <f>VLOOKUP($D1538,'[2]LC Opportunity'!$Q$2:$U$542,5,FALSE)</f>
        <v>0</v>
      </c>
      <c r="I1538" s="77">
        <f t="shared" si="4881"/>
        <v>1</v>
      </c>
      <c r="J1538" s="77">
        <f t="shared" si="4882"/>
        <v>6.1871174999999994E-2</v>
      </c>
      <c r="K1538" s="77">
        <f t="shared" si="4776"/>
        <v>5.0152520950783597E-3</v>
      </c>
      <c r="L1538" s="76">
        <v>0</v>
      </c>
      <c r="M1538" s="77">
        <f t="shared" ref="M1538:M1601" si="4888">IF($L1538=0,0,SUMPRODUCT($E$3:$H$3,E1538:H1538))</f>
        <v>0</v>
      </c>
      <c r="N1538" s="77">
        <f t="shared" ref="N1538:N1601" si="4889">1-(1-M1538)^(1/12)</f>
        <v>0</v>
      </c>
      <c r="O1538" s="77">
        <f t="shared" ref="O1538:O1601" si="4890">SUMPRODUCT($E$2:$H$2,E1538:H1538)</f>
        <v>6.9977416666666663E-3</v>
      </c>
      <c r="P1538" s="77">
        <f t="shared" ref="P1538:P1601" si="4891">1-(1-O1538)^(1/12)</f>
        <v>5.8502386397174533E-4</v>
      </c>
      <c r="R1538" t="s">
        <v>177</v>
      </c>
      <c r="S1538" t="s">
        <v>180</v>
      </c>
      <c r="T1538" s="197" t="str">
        <f t="shared" si="4772"/>
        <v>Autopilot_Opportunity_91</v>
      </c>
      <c r="U1538">
        <v>91</v>
      </c>
      <c r="V1538">
        <f>VLOOKUP($U1538,'[2]AP Opportunity'!$Q$1:$T$542,2,FALSE)</f>
        <v>0.74473410601143575</v>
      </c>
      <c r="W1538">
        <f>VLOOKUP($U1538,'[2]AP Opportunity'!$Q$1:$T$542,3,FALSE)</f>
        <v>0.25526589398856425</v>
      </c>
      <c r="X1538">
        <f>VLOOKUP($U1538,'[2]AP Opportunity'!$Q$1:$T$542,4,FALSE)</f>
        <v>0</v>
      </c>
      <c r="Y1538" s="77">
        <f t="shared" si="4773"/>
        <v>1</v>
      </c>
      <c r="Z1538" s="77">
        <f t="shared" si="4777"/>
        <v>6.1236345257301796E-2</v>
      </c>
      <c r="AA1538" s="77">
        <f t="shared" si="4778"/>
        <v>4.9651684567166843E-3</v>
      </c>
      <c r="AB1538" s="79">
        <v>1</v>
      </c>
      <c r="AC1538" s="77">
        <f t="shared" ref="AC1538:AC1601" si="4892">IF($AB1538=0,0,SUMPRODUCT($V$3:$X$3,V1538:X1538))</f>
        <v>7.9894682120228711E-3</v>
      </c>
      <c r="AD1538" s="77">
        <f t="shared" ref="AD1538" si="4893">1-(1-AC1538)^(1/12)</f>
        <v>6.6823954775985239E-4</v>
      </c>
      <c r="AE1538" s="77">
        <f t="shared" ref="AE1538:AE1601" si="4894">SUMPRODUCT($V$2:$X$2,V1538:X1538)</f>
        <v>2.5000000000000001E-3</v>
      </c>
      <c r="AF1538" s="77">
        <f t="shared" ref="AF1538" si="4895">1-(1-AE1538)^(1/12)</f>
        <v>2.0857243058891584E-4</v>
      </c>
      <c r="AH1538" t="s">
        <v>175</v>
      </c>
      <c r="AI1538" t="s">
        <v>180</v>
      </c>
      <c r="AJ1538" s="197" t="str">
        <f t="shared" si="4885"/>
        <v>Lifecycle_Opportunity_91</v>
      </c>
      <c r="AK1538">
        <v>91</v>
      </c>
      <c r="AL1538">
        <f>VLOOKUP($U1538,[2]Standard_Opportunity!$Q$1:$T$542,2,FALSE)</f>
        <v>0.70652197367743275</v>
      </c>
      <c r="AM1538">
        <f>VLOOKUP($U1538,[2]Standard_Opportunity!$Q$1:$T$542,3,FALSE)</f>
        <v>0.29347802632256725</v>
      </c>
      <c r="AN1538">
        <f>VLOOKUP($U1538,[2]Standard_Opportunity!$Q$1:$T$542,4,FALSE)</f>
        <v>0</v>
      </c>
      <c r="AO1538" s="77">
        <f t="shared" si="4886"/>
        <v>1</v>
      </c>
      <c r="AP1538" s="77">
        <f t="shared" ref="AP1538:AP1601" si="4896">SUMPRODUCT($AL$1:$AN$1,AL1538:AN1538)</f>
        <v>6.0729079200567908E-2</v>
      </c>
      <c r="AQ1538" s="77">
        <f t="shared" si="4887"/>
        <v>4.9251289594824943E-3</v>
      </c>
      <c r="AR1538" s="79">
        <v>0</v>
      </c>
      <c r="AS1538" s="77">
        <f t="shared" ref="AS1538:AS1601" si="4897">IF(AR1538=0,0,SUMPRODUCT($AL$3:$AN$3,AL1538:AN1538))</f>
        <v>0</v>
      </c>
      <c r="AT1538" s="77">
        <f t="shared" ref="AT1538:AT1601" si="4898">(1+AS1538)^(1/12)-1</f>
        <v>0</v>
      </c>
      <c r="AU1538" s="77">
        <f t="shared" ref="AU1538:AU1601" si="4899">SUMPRODUCT($AL$2:$AN$2,AL1538:AN1538)</f>
        <v>2.5000000000000001E-3</v>
      </c>
      <c r="AV1538" s="77">
        <f t="shared" ref="AV1538:AV1601" si="4900">(1+AU1538)^(1/12)-1</f>
        <v>2.0809499864316017E-4</v>
      </c>
    </row>
    <row r="1539" spans="1:48">
      <c r="A1539" t="s">
        <v>175</v>
      </c>
      <c r="B1539" t="s">
        <v>180</v>
      </c>
      <c r="C1539" s="197" t="str">
        <f t="shared" si="4771"/>
        <v>Lifecycle_Opportunity_90</v>
      </c>
      <c r="D1539">
        <v>90</v>
      </c>
      <c r="E1539">
        <f>VLOOKUP($D1539,'[2]LC Opportunity'!$Q$2:$U$542,2,FALSE)</f>
        <v>0</v>
      </c>
      <c r="F1539">
        <f>VLOOKUP($D1539,'[2]LC Opportunity'!$Q$2:$U$542,3,FALSE)</f>
        <v>0.1615</v>
      </c>
      <c r="G1539">
        <f>VLOOKUP($D1539,'[2]LC Opportunity'!$Q$2:$U$542,4,FALSE)</f>
        <v>0.83850000000000002</v>
      </c>
      <c r="H1539">
        <f>VLOOKUP($D1539,'[2]LC Opportunity'!$Q$2:$U$542,5,FALSE)</f>
        <v>0</v>
      </c>
      <c r="I1539" s="77">
        <f t="shared" si="4881"/>
        <v>1</v>
      </c>
      <c r="J1539" s="77">
        <f t="shared" si="4882"/>
        <v>6.1766449999999987E-2</v>
      </c>
      <c r="K1539" s="77">
        <f t="shared" si="4776"/>
        <v>5.0069919138531205E-3</v>
      </c>
      <c r="L1539" s="76">
        <v>0</v>
      </c>
      <c r="M1539" s="77">
        <f t="shared" si="4888"/>
        <v>0</v>
      </c>
      <c r="N1539" s="77">
        <f t="shared" si="4889"/>
        <v>0</v>
      </c>
      <c r="O1539" s="77">
        <f t="shared" si="4890"/>
        <v>6.9900500000000003E-3</v>
      </c>
      <c r="P1539" s="77">
        <f t="shared" si="4891"/>
        <v>5.8437875469974365E-4</v>
      </c>
      <c r="R1539" t="s">
        <v>177</v>
      </c>
      <c r="S1539" t="s">
        <v>180</v>
      </c>
      <c r="T1539" s="197" t="str">
        <f t="shared" si="4772"/>
        <v>Autopilot_Opportunity_90</v>
      </c>
      <c r="U1539">
        <v>90</v>
      </c>
      <c r="V1539">
        <f>VLOOKUP($U1539,'[2]AP Opportunity'!$Q$1:$T$542,2,FALSE)</f>
        <v>0.74473410601143575</v>
      </c>
      <c r="W1539">
        <f>VLOOKUP($U1539,'[2]AP Opportunity'!$Q$1:$T$542,3,FALSE)</f>
        <v>0.25526589398856425</v>
      </c>
      <c r="X1539">
        <f>VLOOKUP($U1539,'[2]AP Opportunity'!$Q$1:$T$542,4,FALSE)</f>
        <v>0</v>
      </c>
      <c r="Y1539" s="77">
        <f t="shared" si="4773"/>
        <v>1</v>
      </c>
      <c r="Z1539" s="77">
        <f t="shared" si="4777"/>
        <v>6.1236345257301796E-2</v>
      </c>
      <c r="AA1539" s="77">
        <f t="shared" si="4778"/>
        <v>4.9651684567166843E-3</v>
      </c>
      <c r="AB1539" s="79">
        <v>1</v>
      </c>
      <c r="AC1539" s="77">
        <f t="shared" si="4892"/>
        <v>7.9894682120228711E-3</v>
      </c>
      <c r="AD1539" s="77">
        <f t="shared" ref="AD1539" si="4901">1-(1-AC1539)^(1/12)</f>
        <v>6.6823954775985239E-4</v>
      </c>
      <c r="AE1539" s="77">
        <f t="shared" si="4894"/>
        <v>2.5000000000000001E-3</v>
      </c>
      <c r="AF1539" s="77">
        <f t="shared" ref="AF1539" si="4902">1-(1-AE1539)^(1/12)</f>
        <v>2.0857243058891584E-4</v>
      </c>
      <c r="AH1539" t="s">
        <v>175</v>
      </c>
      <c r="AI1539" t="s">
        <v>180</v>
      </c>
      <c r="AJ1539" s="197" t="str">
        <f t="shared" si="4885"/>
        <v>Lifecycle_Opportunity_90</v>
      </c>
      <c r="AK1539">
        <v>90</v>
      </c>
      <c r="AL1539">
        <f>VLOOKUP($U1539,[2]Standard_Opportunity!$Q$1:$T$542,2,FALSE)</f>
        <v>0.69887954721063217</v>
      </c>
      <c r="AM1539">
        <f>VLOOKUP($U1539,[2]Standard_Opportunity!$Q$1:$T$542,3,FALSE)</f>
        <v>0.30112045278936789</v>
      </c>
      <c r="AN1539">
        <f>VLOOKUP($U1539,[2]Standard_Opportunity!$Q$1:$T$542,4,FALSE)</f>
        <v>0</v>
      </c>
      <c r="AO1539" s="77">
        <f t="shared" si="4886"/>
        <v>1</v>
      </c>
      <c r="AP1539" s="77">
        <f t="shared" si="4896"/>
        <v>6.0627625989221133E-2</v>
      </c>
      <c r="AQ1539" s="77">
        <f t="shared" si="4887"/>
        <v>4.9171189538255167E-3</v>
      </c>
      <c r="AR1539" s="79">
        <v>0</v>
      </c>
      <c r="AS1539" s="77">
        <f t="shared" si="4897"/>
        <v>0</v>
      </c>
      <c r="AT1539" s="77">
        <f t="shared" si="4898"/>
        <v>0</v>
      </c>
      <c r="AU1539" s="77">
        <f t="shared" si="4899"/>
        <v>2.5000000000000001E-3</v>
      </c>
      <c r="AV1539" s="77">
        <f t="shared" si="4900"/>
        <v>2.0809499864316017E-4</v>
      </c>
    </row>
    <row r="1540" spans="1:48">
      <c r="A1540" t="s">
        <v>175</v>
      </c>
      <c r="B1540" t="s">
        <v>180</v>
      </c>
      <c r="C1540" s="197" t="str">
        <f t="shared" si="4771"/>
        <v>Lifecycle_Opportunity_89</v>
      </c>
      <c r="D1540">
        <v>89</v>
      </c>
      <c r="E1540">
        <f>VLOOKUP($D1540,'[2]LC Opportunity'!$Q$2:$U$542,2,FALSE)</f>
        <v>0</v>
      </c>
      <c r="F1540">
        <f>VLOOKUP($D1540,'[2]LC Opportunity'!$Q$2:$U$542,3,FALSE)</f>
        <v>0.16741666666666666</v>
      </c>
      <c r="G1540">
        <f>VLOOKUP($D1540,'[2]LC Opportunity'!$Q$2:$U$542,4,FALSE)</f>
        <v>0.83258333333333334</v>
      </c>
      <c r="H1540">
        <f>VLOOKUP($D1540,'[2]LC Opportunity'!$Q$2:$U$542,5,FALSE)</f>
        <v>0</v>
      </c>
      <c r="I1540" s="77">
        <f t="shared" si="4881"/>
        <v>1</v>
      </c>
      <c r="J1540" s="77">
        <f t="shared" si="4882"/>
        <v>6.1661724999999994E-2</v>
      </c>
      <c r="K1540" s="77">
        <f t="shared" si="4776"/>
        <v>4.998730985762867E-3</v>
      </c>
      <c r="L1540" s="76">
        <v>0</v>
      </c>
      <c r="M1540" s="77">
        <f t="shared" si="4888"/>
        <v>0</v>
      </c>
      <c r="N1540" s="77">
        <f t="shared" si="4889"/>
        <v>0</v>
      </c>
      <c r="O1540" s="77">
        <f t="shared" si="4890"/>
        <v>6.9823583333333333E-3</v>
      </c>
      <c r="P1540" s="77">
        <f t="shared" si="4891"/>
        <v>5.8373365000830013E-4</v>
      </c>
      <c r="R1540" t="s">
        <v>177</v>
      </c>
      <c r="S1540" t="s">
        <v>180</v>
      </c>
      <c r="T1540" s="197" t="str">
        <f t="shared" si="4772"/>
        <v>Autopilot_Opportunity_89</v>
      </c>
      <c r="U1540">
        <v>89</v>
      </c>
      <c r="V1540">
        <f>VLOOKUP($U1540,'[2]AP Opportunity'!$Q$1:$T$542,2,FALSE)</f>
        <v>0.74473410601143575</v>
      </c>
      <c r="W1540">
        <f>VLOOKUP($U1540,'[2]AP Opportunity'!$Q$1:$T$542,3,FALSE)</f>
        <v>0.25526589398856425</v>
      </c>
      <c r="X1540">
        <f>VLOOKUP($U1540,'[2]AP Opportunity'!$Q$1:$T$542,4,FALSE)</f>
        <v>0</v>
      </c>
      <c r="Y1540" s="77">
        <f t="shared" si="4773"/>
        <v>1</v>
      </c>
      <c r="Z1540" s="77">
        <f t="shared" si="4777"/>
        <v>6.1236345257301796E-2</v>
      </c>
      <c r="AA1540" s="77">
        <f t="shared" si="4778"/>
        <v>4.9651684567166843E-3</v>
      </c>
      <c r="AB1540" s="79">
        <v>1</v>
      </c>
      <c r="AC1540" s="77">
        <f t="shared" si="4892"/>
        <v>7.9894682120228711E-3</v>
      </c>
      <c r="AD1540" s="77">
        <f t="shared" ref="AD1540" si="4903">1-(1-AC1540)^(1/12)</f>
        <v>6.6823954775985239E-4</v>
      </c>
      <c r="AE1540" s="77">
        <f t="shared" si="4894"/>
        <v>2.5000000000000001E-3</v>
      </c>
      <c r="AF1540" s="77">
        <f t="shared" ref="AF1540" si="4904">1-(1-AE1540)^(1/12)</f>
        <v>2.0857243058891584E-4</v>
      </c>
      <c r="AH1540" t="s">
        <v>175</v>
      </c>
      <c r="AI1540" t="s">
        <v>180</v>
      </c>
      <c r="AJ1540" s="197" t="str">
        <f t="shared" si="4885"/>
        <v>Lifecycle_Opportunity_89</v>
      </c>
      <c r="AK1540">
        <v>89</v>
      </c>
      <c r="AL1540">
        <f>VLOOKUP($U1540,[2]Standard_Opportunity!$Q$1:$T$542,2,FALSE)</f>
        <v>0.69123712074383148</v>
      </c>
      <c r="AM1540">
        <f>VLOOKUP($U1540,[2]Standard_Opportunity!$Q$1:$T$542,3,FALSE)</f>
        <v>0.30876287925616852</v>
      </c>
      <c r="AN1540">
        <f>VLOOKUP($U1540,[2]Standard_Opportunity!$Q$1:$T$542,4,FALSE)</f>
        <v>0</v>
      </c>
      <c r="AO1540" s="77">
        <f t="shared" si="4886"/>
        <v>1</v>
      </c>
      <c r="AP1540" s="77">
        <f t="shared" si="4896"/>
        <v>6.0526172777874351E-2</v>
      </c>
      <c r="AQ1540" s="77">
        <f t="shared" si="4887"/>
        <v>4.909108245798377E-3</v>
      </c>
      <c r="AR1540" s="79">
        <v>0</v>
      </c>
      <c r="AS1540" s="77">
        <f t="shared" si="4897"/>
        <v>0</v>
      </c>
      <c r="AT1540" s="77">
        <f t="shared" si="4898"/>
        <v>0</v>
      </c>
      <c r="AU1540" s="77">
        <f t="shared" si="4899"/>
        <v>2.5000000000000001E-3</v>
      </c>
      <c r="AV1540" s="77">
        <f t="shared" si="4900"/>
        <v>2.0809499864316017E-4</v>
      </c>
    </row>
    <row r="1541" spans="1:48">
      <c r="A1541" t="s">
        <v>175</v>
      </c>
      <c r="B1541" t="s">
        <v>180</v>
      </c>
      <c r="C1541" s="197" t="str">
        <f t="shared" si="4771"/>
        <v>Lifecycle_Opportunity_88</v>
      </c>
      <c r="D1541">
        <v>88</v>
      </c>
      <c r="E1541">
        <f>VLOOKUP($D1541,'[2]LC Opportunity'!$Q$2:$U$542,2,FALSE)</f>
        <v>0</v>
      </c>
      <c r="F1541">
        <f>VLOOKUP($D1541,'[2]LC Opportunity'!$Q$2:$U$542,3,FALSE)</f>
        <v>0.17333333333333334</v>
      </c>
      <c r="G1541">
        <f>VLOOKUP($D1541,'[2]LC Opportunity'!$Q$2:$U$542,4,FALSE)</f>
        <v>0.82666666666666666</v>
      </c>
      <c r="H1541">
        <f>VLOOKUP($D1541,'[2]LC Opportunity'!$Q$2:$U$542,5,FALSE)</f>
        <v>0</v>
      </c>
      <c r="I1541" s="77">
        <f t="shared" si="4881"/>
        <v>1</v>
      </c>
      <c r="J1541" s="77">
        <f t="shared" si="4882"/>
        <v>6.1556999999999987E-2</v>
      </c>
      <c r="K1541" s="77">
        <f t="shared" si="4776"/>
        <v>4.9904693106666009E-3</v>
      </c>
      <c r="L1541" s="76">
        <v>0</v>
      </c>
      <c r="M1541" s="77">
        <f t="shared" si="4888"/>
        <v>0</v>
      </c>
      <c r="N1541" s="77">
        <f t="shared" si="4889"/>
        <v>0</v>
      </c>
      <c r="O1541" s="77">
        <f t="shared" si="4890"/>
        <v>6.9746666666666663E-3</v>
      </c>
      <c r="P1541" s="77">
        <f t="shared" si="4891"/>
        <v>5.8308854989719272E-4</v>
      </c>
      <c r="R1541" t="s">
        <v>177</v>
      </c>
      <c r="S1541" t="s">
        <v>180</v>
      </c>
      <c r="T1541" s="197" t="str">
        <f t="shared" si="4772"/>
        <v>Autopilot_Opportunity_88</v>
      </c>
      <c r="U1541">
        <v>88</v>
      </c>
      <c r="V1541">
        <f>VLOOKUP($U1541,'[2]AP Opportunity'!$Q$1:$T$542,2,FALSE)</f>
        <v>0.74473410601143575</v>
      </c>
      <c r="W1541">
        <f>VLOOKUP($U1541,'[2]AP Opportunity'!$Q$1:$T$542,3,FALSE)</f>
        <v>0.25526589398856425</v>
      </c>
      <c r="X1541">
        <f>VLOOKUP($U1541,'[2]AP Opportunity'!$Q$1:$T$542,4,FALSE)</f>
        <v>0</v>
      </c>
      <c r="Y1541" s="77">
        <f t="shared" si="4773"/>
        <v>1</v>
      </c>
      <c r="Z1541" s="77">
        <f t="shared" si="4777"/>
        <v>6.1236345257301796E-2</v>
      </c>
      <c r="AA1541" s="77">
        <f t="shared" si="4778"/>
        <v>4.9651684567166843E-3</v>
      </c>
      <c r="AB1541" s="79">
        <v>1</v>
      </c>
      <c r="AC1541" s="77">
        <f t="shared" si="4892"/>
        <v>7.9894682120228711E-3</v>
      </c>
      <c r="AD1541" s="77">
        <f t="shared" ref="AD1541" si="4905">1-(1-AC1541)^(1/12)</f>
        <v>6.6823954775985239E-4</v>
      </c>
      <c r="AE1541" s="77">
        <f t="shared" si="4894"/>
        <v>2.5000000000000001E-3</v>
      </c>
      <c r="AF1541" s="77">
        <f t="shared" ref="AF1541" si="4906">1-(1-AE1541)^(1/12)</f>
        <v>2.0857243058891584E-4</v>
      </c>
      <c r="AH1541" t="s">
        <v>175</v>
      </c>
      <c r="AI1541" t="s">
        <v>180</v>
      </c>
      <c r="AJ1541" s="197" t="str">
        <f t="shared" si="4885"/>
        <v>Lifecycle_Opportunity_88</v>
      </c>
      <c r="AK1541">
        <v>88</v>
      </c>
      <c r="AL1541">
        <f>VLOOKUP($U1541,[2]Standard_Opportunity!$Q$1:$T$542,2,FALSE)</f>
        <v>0.6835946942770309</v>
      </c>
      <c r="AM1541">
        <f>VLOOKUP($U1541,[2]Standard_Opportunity!$Q$1:$T$542,3,FALSE)</f>
        <v>0.3164053057229691</v>
      </c>
      <c r="AN1541">
        <f>VLOOKUP($U1541,[2]Standard_Opportunity!$Q$1:$T$542,4,FALSE)</f>
        <v>0</v>
      </c>
      <c r="AO1541" s="77">
        <f t="shared" si="4886"/>
        <v>1</v>
      </c>
      <c r="AP1541" s="77">
        <f t="shared" si="4896"/>
        <v>6.0424719566527577E-2</v>
      </c>
      <c r="AQ1541" s="77">
        <f t="shared" si="4887"/>
        <v>4.9010968352720674E-3</v>
      </c>
      <c r="AR1541" s="79">
        <v>0</v>
      </c>
      <c r="AS1541" s="77">
        <f t="shared" si="4897"/>
        <v>0</v>
      </c>
      <c r="AT1541" s="77">
        <f t="shared" si="4898"/>
        <v>0</v>
      </c>
      <c r="AU1541" s="77">
        <f t="shared" si="4899"/>
        <v>2.5000000000000001E-3</v>
      </c>
      <c r="AV1541" s="77">
        <f t="shared" si="4900"/>
        <v>2.0809499864316017E-4</v>
      </c>
    </row>
    <row r="1542" spans="1:48">
      <c r="A1542" t="s">
        <v>175</v>
      </c>
      <c r="B1542" t="s">
        <v>180</v>
      </c>
      <c r="C1542" s="197" t="str">
        <f t="shared" si="4771"/>
        <v>Lifecycle_Opportunity_87</v>
      </c>
      <c r="D1542">
        <v>87</v>
      </c>
      <c r="E1542">
        <f>VLOOKUP($D1542,'[2]LC Opportunity'!$Q$2:$U$542,2,FALSE)</f>
        <v>0</v>
      </c>
      <c r="F1542">
        <f>VLOOKUP($D1542,'[2]LC Opportunity'!$Q$2:$U$542,3,FALSE)</f>
        <v>0.17925000000000002</v>
      </c>
      <c r="G1542">
        <f>VLOOKUP($D1542,'[2]LC Opportunity'!$Q$2:$U$542,4,FALSE)</f>
        <v>0.82075000000000009</v>
      </c>
      <c r="H1542">
        <f>VLOOKUP($D1542,'[2]LC Opportunity'!$Q$2:$U$542,5,FALSE)</f>
        <v>0</v>
      </c>
      <c r="I1542" s="77">
        <f t="shared" si="4881"/>
        <v>1</v>
      </c>
      <c r="J1542" s="77">
        <f t="shared" si="4882"/>
        <v>6.1452274999999994E-2</v>
      </c>
      <c r="K1542" s="77">
        <f t="shared" si="4776"/>
        <v>4.9822068884231019E-3</v>
      </c>
      <c r="L1542" s="76">
        <v>0</v>
      </c>
      <c r="M1542" s="77">
        <f t="shared" si="4888"/>
        <v>0</v>
      </c>
      <c r="N1542" s="77">
        <f t="shared" si="4889"/>
        <v>0</v>
      </c>
      <c r="O1542" s="77">
        <f t="shared" si="4890"/>
        <v>6.9669750000000003E-3</v>
      </c>
      <c r="P1542" s="77">
        <f t="shared" si="4891"/>
        <v>5.8244345436642142E-4</v>
      </c>
      <c r="R1542" t="s">
        <v>177</v>
      </c>
      <c r="S1542" t="s">
        <v>180</v>
      </c>
      <c r="T1542" s="197" t="str">
        <f t="shared" si="4772"/>
        <v>Autopilot_Opportunity_87</v>
      </c>
      <c r="U1542">
        <v>87</v>
      </c>
      <c r="V1542">
        <f>VLOOKUP($U1542,'[2]AP Opportunity'!$Q$1:$T$542,2,FALSE)</f>
        <v>0.74473410601143575</v>
      </c>
      <c r="W1542">
        <f>VLOOKUP($U1542,'[2]AP Opportunity'!$Q$1:$T$542,3,FALSE)</f>
        <v>0.25526589398856425</v>
      </c>
      <c r="X1542">
        <f>VLOOKUP($U1542,'[2]AP Opportunity'!$Q$1:$T$542,4,FALSE)</f>
        <v>0</v>
      </c>
      <c r="Y1542" s="77">
        <f t="shared" si="4773"/>
        <v>1</v>
      </c>
      <c r="Z1542" s="77">
        <f t="shared" si="4777"/>
        <v>6.1236345257301796E-2</v>
      </c>
      <c r="AA1542" s="77">
        <f t="shared" si="4778"/>
        <v>4.9651684567166843E-3</v>
      </c>
      <c r="AB1542" s="79">
        <v>1</v>
      </c>
      <c r="AC1542" s="77">
        <f t="shared" si="4892"/>
        <v>7.9894682120228711E-3</v>
      </c>
      <c r="AD1542" s="77">
        <f t="shared" ref="AD1542" si="4907">1-(1-AC1542)^(1/12)</f>
        <v>6.6823954775985239E-4</v>
      </c>
      <c r="AE1542" s="77">
        <f t="shared" si="4894"/>
        <v>2.5000000000000001E-3</v>
      </c>
      <c r="AF1542" s="77">
        <f t="shared" ref="AF1542" si="4908">1-(1-AE1542)^(1/12)</f>
        <v>2.0857243058891584E-4</v>
      </c>
      <c r="AH1542" t="s">
        <v>175</v>
      </c>
      <c r="AI1542" t="s">
        <v>180</v>
      </c>
      <c r="AJ1542" s="197" t="str">
        <f t="shared" si="4885"/>
        <v>Lifecycle_Opportunity_87</v>
      </c>
      <c r="AK1542">
        <v>87</v>
      </c>
      <c r="AL1542">
        <f>VLOOKUP($U1542,[2]Standard_Opportunity!$Q$1:$T$542,2,FALSE)</f>
        <v>0.67595226781023032</v>
      </c>
      <c r="AM1542">
        <f>VLOOKUP($U1542,[2]Standard_Opportunity!$Q$1:$T$542,3,FALSE)</f>
        <v>0.32404773218976968</v>
      </c>
      <c r="AN1542">
        <f>VLOOKUP($U1542,[2]Standard_Opportunity!$Q$1:$T$542,4,FALSE)</f>
        <v>0</v>
      </c>
      <c r="AO1542" s="77">
        <f t="shared" si="4886"/>
        <v>1</v>
      </c>
      <c r="AP1542" s="77">
        <f t="shared" si="4896"/>
        <v>6.0323266355180802E-2</v>
      </c>
      <c r="AQ1542" s="77">
        <f t="shared" si="4887"/>
        <v>4.893084722117802E-3</v>
      </c>
      <c r="AR1542" s="79">
        <v>0</v>
      </c>
      <c r="AS1542" s="77">
        <f t="shared" si="4897"/>
        <v>0</v>
      </c>
      <c r="AT1542" s="77">
        <f t="shared" si="4898"/>
        <v>0</v>
      </c>
      <c r="AU1542" s="77">
        <f t="shared" si="4899"/>
        <v>2.5000000000000001E-3</v>
      </c>
      <c r="AV1542" s="77">
        <f t="shared" si="4900"/>
        <v>2.0809499864316017E-4</v>
      </c>
    </row>
    <row r="1543" spans="1:48">
      <c r="A1543" t="s">
        <v>175</v>
      </c>
      <c r="B1543" t="s">
        <v>180</v>
      </c>
      <c r="C1543" s="197" t="str">
        <f t="shared" si="4771"/>
        <v>Lifecycle_Opportunity_86</v>
      </c>
      <c r="D1543">
        <v>86</v>
      </c>
      <c r="E1543">
        <f>VLOOKUP($D1543,'[2]LC Opportunity'!$Q$2:$U$542,2,FALSE)</f>
        <v>0</v>
      </c>
      <c r="F1543">
        <f>VLOOKUP($D1543,'[2]LC Opportunity'!$Q$2:$U$542,3,FALSE)</f>
        <v>0.18516666666666667</v>
      </c>
      <c r="G1543">
        <f>VLOOKUP($D1543,'[2]LC Opportunity'!$Q$2:$U$542,4,FALSE)</f>
        <v>0.81483333333333341</v>
      </c>
      <c r="H1543">
        <f>VLOOKUP($D1543,'[2]LC Opportunity'!$Q$2:$U$542,5,FALSE)</f>
        <v>0</v>
      </c>
      <c r="I1543" s="77">
        <f t="shared" si="4881"/>
        <v>1</v>
      </c>
      <c r="J1543" s="77">
        <f t="shared" si="4882"/>
        <v>6.1347550000000001E-2</v>
      </c>
      <c r="K1543" s="77">
        <f t="shared" si="4776"/>
        <v>4.9739437188909275E-3</v>
      </c>
      <c r="L1543" s="76">
        <v>0</v>
      </c>
      <c r="M1543" s="77">
        <f t="shared" si="4888"/>
        <v>0</v>
      </c>
      <c r="N1543" s="77">
        <f t="shared" si="4889"/>
        <v>0</v>
      </c>
      <c r="O1543" s="77">
        <f t="shared" si="4890"/>
        <v>6.9592833333333333E-3</v>
      </c>
      <c r="P1543" s="77">
        <f t="shared" si="4891"/>
        <v>5.8179836341587521E-4</v>
      </c>
      <c r="R1543" t="s">
        <v>177</v>
      </c>
      <c r="S1543" t="s">
        <v>180</v>
      </c>
      <c r="T1543" s="197" t="str">
        <f t="shared" si="4772"/>
        <v>Autopilot_Opportunity_86</v>
      </c>
      <c r="U1543">
        <v>86</v>
      </c>
      <c r="V1543">
        <f>VLOOKUP($U1543,'[2]AP Opportunity'!$Q$1:$T$542,2,FALSE)</f>
        <v>0.74473410601143575</v>
      </c>
      <c r="W1543">
        <f>VLOOKUP($U1543,'[2]AP Opportunity'!$Q$1:$T$542,3,FALSE)</f>
        <v>0.25526589398856425</v>
      </c>
      <c r="X1543">
        <f>VLOOKUP($U1543,'[2]AP Opportunity'!$Q$1:$T$542,4,FALSE)</f>
        <v>0</v>
      </c>
      <c r="Y1543" s="77">
        <f t="shared" si="4773"/>
        <v>1</v>
      </c>
      <c r="Z1543" s="77">
        <f t="shared" si="4777"/>
        <v>6.1236345257301796E-2</v>
      </c>
      <c r="AA1543" s="77">
        <f t="shared" si="4778"/>
        <v>4.9651684567166843E-3</v>
      </c>
      <c r="AB1543" s="79">
        <v>1</v>
      </c>
      <c r="AC1543" s="77">
        <f t="shared" si="4892"/>
        <v>7.9894682120228711E-3</v>
      </c>
      <c r="AD1543" s="77">
        <f t="shared" ref="AD1543" si="4909">1-(1-AC1543)^(1/12)</f>
        <v>6.6823954775985239E-4</v>
      </c>
      <c r="AE1543" s="77">
        <f t="shared" si="4894"/>
        <v>2.5000000000000001E-3</v>
      </c>
      <c r="AF1543" s="77">
        <f t="shared" ref="AF1543" si="4910">1-(1-AE1543)^(1/12)</f>
        <v>2.0857243058891584E-4</v>
      </c>
      <c r="AH1543" t="s">
        <v>175</v>
      </c>
      <c r="AI1543" t="s">
        <v>180</v>
      </c>
      <c r="AJ1543" s="197" t="str">
        <f t="shared" si="4885"/>
        <v>Lifecycle_Opportunity_86</v>
      </c>
      <c r="AK1543">
        <v>86</v>
      </c>
      <c r="AL1543">
        <f>VLOOKUP($U1543,[2]Standard_Opportunity!$Q$1:$T$542,2,FALSE)</f>
        <v>0.66830984134342963</v>
      </c>
      <c r="AM1543">
        <f>VLOOKUP($U1543,[2]Standard_Opportunity!$Q$1:$T$542,3,FALSE)</f>
        <v>0.33169015865657031</v>
      </c>
      <c r="AN1543">
        <f>VLOOKUP($U1543,[2]Standard_Opportunity!$Q$1:$T$542,4,FALSE)</f>
        <v>0</v>
      </c>
      <c r="AO1543" s="77">
        <f t="shared" si="4886"/>
        <v>1</v>
      </c>
      <c r="AP1543" s="77">
        <f t="shared" si="4896"/>
        <v>6.0221813143834013E-2</v>
      </c>
      <c r="AQ1543" s="77">
        <f t="shared" si="4887"/>
        <v>4.8850719062065728E-3</v>
      </c>
      <c r="AR1543" s="79">
        <v>0</v>
      </c>
      <c r="AS1543" s="77">
        <f t="shared" si="4897"/>
        <v>0</v>
      </c>
      <c r="AT1543" s="77">
        <f t="shared" si="4898"/>
        <v>0</v>
      </c>
      <c r="AU1543" s="77">
        <f t="shared" si="4899"/>
        <v>2.5000000000000001E-3</v>
      </c>
      <c r="AV1543" s="77">
        <f t="shared" si="4900"/>
        <v>2.0809499864316017E-4</v>
      </c>
    </row>
    <row r="1544" spans="1:48">
      <c r="A1544" t="s">
        <v>175</v>
      </c>
      <c r="B1544" t="s">
        <v>180</v>
      </c>
      <c r="C1544" s="197" t="str">
        <f t="shared" si="4771"/>
        <v>Lifecycle_Opportunity_85</v>
      </c>
      <c r="D1544">
        <v>85</v>
      </c>
      <c r="E1544">
        <f>VLOOKUP($D1544,'[2]LC Opportunity'!$Q$2:$U$542,2,FALSE)</f>
        <v>0</v>
      </c>
      <c r="F1544">
        <f>VLOOKUP($D1544,'[2]LC Opportunity'!$Q$2:$U$542,3,FALSE)</f>
        <v>0.19108333333333333</v>
      </c>
      <c r="G1544">
        <f>VLOOKUP($D1544,'[2]LC Opportunity'!$Q$2:$U$542,4,FALSE)</f>
        <v>0.80891666666666673</v>
      </c>
      <c r="H1544">
        <f>VLOOKUP($D1544,'[2]LC Opportunity'!$Q$2:$U$542,5,FALSE)</f>
        <v>0</v>
      </c>
      <c r="I1544" s="77">
        <f t="shared" si="4881"/>
        <v>1</v>
      </c>
      <c r="J1544" s="77">
        <f t="shared" si="4882"/>
        <v>6.1242824999999994E-2</v>
      </c>
      <c r="K1544" s="77">
        <f t="shared" si="4776"/>
        <v>4.9656798019288573E-3</v>
      </c>
      <c r="L1544" s="76">
        <v>0</v>
      </c>
      <c r="M1544" s="77">
        <f t="shared" si="4888"/>
        <v>0</v>
      </c>
      <c r="N1544" s="77">
        <f t="shared" si="4889"/>
        <v>0</v>
      </c>
      <c r="O1544" s="77">
        <f t="shared" si="4890"/>
        <v>6.9515916666666663E-3</v>
      </c>
      <c r="P1544" s="77">
        <f t="shared" si="4891"/>
        <v>5.8115327704555408E-4</v>
      </c>
      <c r="R1544" t="s">
        <v>177</v>
      </c>
      <c r="S1544" t="s">
        <v>180</v>
      </c>
      <c r="T1544" s="197" t="str">
        <f t="shared" si="4772"/>
        <v>Autopilot_Opportunity_85</v>
      </c>
      <c r="U1544">
        <v>85</v>
      </c>
      <c r="V1544">
        <f>VLOOKUP($U1544,'[2]AP Opportunity'!$Q$1:$T$542,2,FALSE)</f>
        <v>0.74473410601143575</v>
      </c>
      <c r="W1544">
        <f>VLOOKUP($U1544,'[2]AP Opportunity'!$Q$1:$T$542,3,FALSE)</f>
        <v>0.25526589398856425</v>
      </c>
      <c r="X1544">
        <f>VLOOKUP($U1544,'[2]AP Opportunity'!$Q$1:$T$542,4,FALSE)</f>
        <v>0</v>
      </c>
      <c r="Y1544" s="77">
        <f t="shared" si="4773"/>
        <v>1</v>
      </c>
      <c r="Z1544" s="77">
        <f t="shared" si="4777"/>
        <v>6.1236345257301796E-2</v>
      </c>
      <c r="AA1544" s="77">
        <f t="shared" si="4778"/>
        <v>4.9651684567166843E-3</v>
      </c>
      <c r="AB1544" s="79">
        <v>1</v>
      </c>
      <c r="AC1544" s="77">
        <f t="shared" si="4892"/>
        <v>7.9894682120228711E-3</v>
      </c>
      <c r="AD1544" s="77">
        <f t="shared" ref="AD1544" si="4911">1-(1-AC1544)^(1/12)</f>
        <v>6.6823954775985239E-4</v>
      </c>
      <c r="AE1544" s="77">
        <f t="shared" si="4894"/>
        <v>2.5000000000000001E-3</v>
      </c>
      <c r="AF1544" s="77">
        <f t="shared" ref="AF1544" si="4912">1-(1-AE1544)^(1/12)</f>
        <v>2.0857243058891584E-4</v>
      </c>
      <c r="AH1544" t="s">
        <v>175</v>
      </c>
      <c r="AI1544" t="s">
        <v>180</v>
      </c>
      <c r="AJ1544" s="197" t="str">
        <f t="shared" si="4885"/>
        <v>Lifecycle_Opportunity_85</v>
      </c>
      <c r="AK1544">
        <v>85</v>
      </c>
      <c r="AL1544">
        <f>VLOOKUP($U1544,[2]Standard_Opportunity!$Q$1:$T$542,2,FALSE)</f>
        <v>0.66066741487662906</v>
      </c>
      <c r="AM1544">
        <f>VLOOKUP($U1544,[2]Standard_Opportunity!$Q$1:$T$542,3,FALSE)</f>
        <v>0.33933258512337094</v>
      </c>
      <c r="AN1544">
        <f>VLOOKUP($U1544,[2]Standard_Opportunity!$Q$1:$T$542,4,FALSE)</f>
        <v>0</v>
      </c>
      <c r="AO1544" s="77">
        <f t="shared" si="4886"/>
        <v>1</v>
      </c>
      <c r="AP1544" s="77">
        <f t="shared" si="4896"/>
        <v>6.0120359932487245E-2</v>
      </c>
      <c r="AQ1544" s="77">
        <f t="shared" si="4887"/>
        <v>4.8770583874098161E-3</v>
      </c>
      <c r="AR1544" s="79">
        <v>0</v>
      </c>
      <c r="AS1544" s="77">
        <f t="shared" si="4897"/>
        <v>0</v>
      </c>
      <c r="AT1544" s="77">
        <f t="shared" si="4898"/>
        <v>0</v>
      </c>
      <c r="AU1544" s="77">
        <f t="shared" si="4899"/>
        <v>2.5000000000000001E-3</v>
      </c>
      <c r="AV1544" s="77">
        <f t="shared" si="4900"/>
        <v>2.0809499864316017E-4</v>
      </c>
    </row>
    <row r="1545" spans="1:48">
      <c r="A1545" t="s">
        <v>175</v>
      </c>
      <c r="B1545" t="s">
        <v>180</v>
      </c>
      <c r="C1545" s="197" t="str">
        <f t="shared" si="4771"/>
        <v>Lifecycle_Opportunity_84</v>
      </c>
      <c r="D1545">
        <v>84</v>
      </c>
      <c r="E1545">
        <f>VLOOKUP($D1545,'[2]LC Opportunity'!$Q$2:$U$542,2,FALSE)</f>
        <v>0</v>
      </c>
      <c r="F1545">
        <f>VLOOKUP($D1545,'[2]LC Opportunity'!$Q$2:$U$542,3,FALSE)</f>
        <v>0.19700000000000001</v>
      </c>
      <c r="G1545">
        <f>VLOOKUP($D1545,'[2]LC Opportunity'!$Q$2:$U$542,4,FALSE)</f>
        <v>0.80300000000000005</v>
      </c>
      <c r="H1545">
        <f>VLOOKUP($D1545,'[2]LC Opportunity'!$Q$2:$U$542,5,FALSE)</f>
        <v>0</v>
      </c>
      <c r="I1545" s="77">
        <f t="shared" si="4881"/>
        <v>1</v>
      </c>
      <c r="J1545" s="77">
        <f t="shared" si="4882"/>
        <v>6.1138099999999994E-2</v>
      </c>
      <c r="K1545" s="77">
        <f t="shared" si="4776"/>
        <v>4.9574151373954489E-3</v>
      </c>
      <c r="L1545" s="76">
        <v>0</v>
      </c>
      <c r="M1545" s="77">
        <f t="shared" si="4888"/>
        <v>0</v>
      </c>
      <c r="N1545" s="77">
        <f t="shared" si="4889"/>
        <v>0</v>
      </c>
      <c r="O1545" s="77">
        <f t="shared" si="4890"/>
        <v>6.9439000000000002E-3</v>
      </c>
      <c r="P1545" s="77">
        <f t="shared" si="4891"/>
        <v>5.8050819525534703E-4</v>
      </c>
      <c r="R1545" t="s">
        <v>177</v>
      </c>
      <c r="S1545" t="s">
        <v>180</v>
      </c>
      <c r="T1545" s="197" t="str">
        <f t="shared" si="4772"/>
        <v>Autopilot_Opportunity_84</v>
      </c>
      <c r="U1545">
        <v>84</v>
      </c>
      <c r="V1545">
        <f>VLOOKUP($U1545,'[2]AP Opportunity'!$Q$1:$T$542,2,FALSE)</f>
        <v>0.65302498840982848</v>
      </c>
      <c r="W1545">
        <f>VLOOKUP($U1545,'[2]AP Opportunity'!$Q$1:$T$542,3,FALSE)</f>
        <v>0.34697501159017152</v>
      </c>
      <c r="X1545">
        <f>VLOOKUP($U1545,'[2]AP Opportunity'!$Q$1:$T$542,4,FALSE)</f>
        <v>0</v>
      </c>
      <c r="Y1545" s="77">
        <f t="shared" si="4773"/>
        <v>1</v>
      </c>
      <c r="Z1545" s="77">
        <f t="shared" si="4777"/>
        <v>6.0018906721140464E-2</v>
      </c>
      <c r="AA1545" s="77">
        <f t="shared" si="4778"/>
        <v>4.8690441655983019E-3</v>
      </c>
      <c r="AB1545" s="79">
        <v>1</v>
      </c>
      <c r="AC1545" s="77">
        <f t="shared" si="4892"/>
        <v>7.8060499768196571E-3</v>
      </c>
      <c r="AD1545" s="77">
        <f t="shared" ref="AD1545" si="4913">1-(1-AC1545)^(1/12)</f>
        <v>6.5284319437075577E-4</v>
      </c>
      <c r="AE1545" s="77">
        <f t="shared" si="4894"/>
        <v>2.5000000000000001E-3</v>
      </c>
      <c r="AF1545" s="77">
        <f t="shared" ref="AF1545" si="4914">1-(1-AE1545)^(1/12)</f>
        <v>2.0857243058891584E-4</v>
      </c>
      <c r="AH1545" t="s">
        <v>175</v>
      </c>
      <c r="AI1545" t="s">
        <v>180</v>
      </c>
      <c r="AJ1545" s="197" t="str">
        <f t="shared" si="4885"/>
        <v>Lifecycle_Opportunity_84</v>
      </c>
      <c r="AK1545">
        <v>84</v>
      </c>
      <c r="AL1545">
        <f>VLOOKUP($U1545,[2]Standard_Opportunity!$Q$1:$T$542,2,FALSE)</f>
        <v>0.65302498840982848</v>
      </c>
      <c r="AM1545">
        <f>VLOOKUP($U1545,[2]Standard_Opportunity!$Q$1:$T$542,3,FALSE)</f>
        <v>0.34697501159017152</v>
      </c>
      <c r="AN1545">
        <f>VLOOKUP($U1545,[2]Standard_Opportunity!$Q$1:$T$542,4,FALSE)</f>
        <v>0</v>
      </c>
      <c r="AO1545" s="77">
        <f t="shared" si="4886"/>
        <v>1</v>
      </c>
      <c r="AP1545" s="77">
        <f t="shared" si="4896"/>
        <v>6.0018906721140464E-2</v>
      </c>
      <c r="AQ1545" s="77">
        <f t="shared" si="4887"/>
        <v>4.8690441655983019E-3</v>
      </c>
      <c r="AR1545" s="79">
        <v>0</v>
      </c>
      <c r="AS1545" s="77">
        <f t="shared" si="4897"/>
        <v>0</v>
      </c>
      <c r="AT1545" s="77">
        <f t="shared" si="4898"/>
        <v>0</v>
      </c>
      <c r="AU1545" s="77">
        <f t="shared" si="4899"/>
        <v>2.5000000000000001E-3</v>
      </c>
      <c r="AV1545" s="77">
        <f t="shared" si="4900"/>
        <v>2.0809499864316017E-4</v>
      </c>
    </row>
    <row r="1546" spans="1:48">
      <c r="A1546" t="s">
        <v>175</v>
      </c>
      <c r="B1546" t="s">
        <v>180</v>
      </c>
      <c r="C1546" s="197" t="str">
        <f t="shared" si="4771"/>
        <v>Lifecycle_Opportunity_83</v>
      </c>
      <c r="D1546">
        <v>83</v>
      </c>
      <c r="E1546">
        <f>VLOOKUP($D1546,'[2]LC Opportunity'!$Q$2:$U$542,2,FALSE)</f>
        <v>1.1666666666666668E-3</v>
      </c>
      <c r="F1546">
        <f>VLOOKUP($D1546,'[2]LC Opportunity'!$Q$2:$U$542,3,FALSE)</f>
        <v>0.20150000000000001</v>
      </c>
      <c r="G1546">
        <f>VLOOKUP($D1546,'[2]LC Opportunity'!$Q$2:$U$542,4,FALSE)</f>
        <v>0.79733333333333334</v>
      </c>
      <c r="H1546">
        <f>VLOOKUP($D1546,'[2]LC Opportunity'!$Q$2:$U$542,5,FALSE)</f>
        <v>0</v>
      </c>
      <c r="I1546" s="77">
        <f t="shared" si="4881"/>
        <v>1</v>
      </c>
      <c r="J1546" s="77">
        <f t="shared" si="4882"/>
        <v>6.1032637499999993E-2</v>
      </c>
      <c r="K1546" s="77">
        <f t="shared" si="4776"/>
        <v>4.9490915153691528E-3</v>
      </c>
      <c r="L1546" s="76">
        <v>0</v>
      </c>
      <c r="M1546" s="77">
        <f t="shared" si="4888"/>
        <v>0</v>
      </c>
      <c r="N1546" s="77">
        <f t="shared" si="4889"/>
        <v>0</v>
      </c>
      <c r="O1546" s="77">
        <f t="shared" si="4890"/>
        <v>6.9324499999999997E-3</v>
      </c>
      <c r="P1546" s="77">
        <f t="shared" si="4891"/>
        <v>5.7954791947067985E-4</v>
      </c>
      <c r="R1546" t="s">
        <v>177</v>
      </c>
      <c r="S1546" t="s">
        <v>180</v>
      </c>
      <c r="T1546" s="197" t="str">
        <f t="shared" si="4772"/>
        <v>Autopilot_Opportunity_83</v>
      </c>
      <c r="U1546">
        <v>83</v>
      </c>
      <c r="V1546">
        <f>VLOOKUP($U1546,'[2]AP Opportunity'!$Q$1:$T$542,2,FALSE)</f>
        <v>0.65302498840982848</v>
      </c>
      <c r="W1546">
        <f>VLOOKUP($U1546,'[2]AP Opportunity'!$Q$1:$T$542,3,FALSE)</f>
        <v>0.34697501159017152</v>
      </c>
      <c r="X1546">
        <f>VLOOKUP($U1546,'[2]AP Opportunity'!$Q$1:$T$542,4,FALSE)</f>
        <v>0</v>
      </c>
      <c r="Y1546" s="77">
        <f t="shared" si="4773"/>
        <v>1</v>
      </c>
      <c r="Z1546" s="77">
        <f t="shared" si="4777"/>
        <v>6.0018906721140464E-2</v>
      </c>
      <c r="AA1546" s="77">
        <f t="shared" si="4778"/>
        <v>4.8690441655983019E-3</v>
      </c>
      <c r="AB1546" s="79">
        <v>1</v>
      </c>
      <c r="AC1546" s="77">
        <f t="shared" si="4892"/>
        <v>7.8060499768196571E-3</v>
      </c>
      <c r="AD1546" s="77">
        <f t="shared" ref="AD1546" si="4915">1-(1-AC1546)^(1/12)</f>
        <v>6.5284319437075577E-4</v>
      </c>
      <c r="AE1546" s="77">
        <f t="shared" si="4894"/>
        <v>2.5000000000000001E-3</v>
      </c>
      <c r="AF1546" s="77">
        <f t="shared" ref="AF1546" si="4916">1-(1-AE1546)^(1/12)</f>
        <v>2.0857243058891584E-4</v>
      </c>
      <c r="AH1546" t="s">
        <v>175</v>
      </c>
      <c r="AI1546" t="s">
        <v>180</v>
      </c>
      <c r="AJ1546" s="197" t="str">
        <f t="shared" si="4885"/>
        <v>Lifecycle_Opportunity_83</v>
      </c>
      <c r="AK1546">
        <v>83</v>
      </c>
      <c r="AL1546">
        <f>VLOOKUP($U1546,[2]Standard_Opportunity!$Q$1:$T$542,2,FALSE)</f>
        <v>0.64535915365991858</v>
      </c>
      <c r="AM1546">
        <f>VLOOKUP($U1546,[2]Standard_Opportunity!$Q$1:$T$542,3,FALSE)</f>
        <v>0.35464084634008142</v>
      </c>
      <c r="AN1546">
        <f>VLOOKUP($U1546,[2]Standard_Opportunity!$Q$1:$T$542,4,FALSE)</f>
        <v>0</v>
      </c>
      <c r="AO1546" s="77">
        <f t="shared" si="4886"/>
        <v>1</v>
      </c>
      <c r="AP1546" s="77">
        <f t="shared" si="4896"/>
        <v>5.991714276483541E-2</v>
      </c>
      <c r="AQ1546" s="77">
        <f t="shared" si="4887"/>
        <v>4.8610046903398985E-3</v>
      </c>
      <c r="AR1546" s="79">
        <v>0</v>
      </c>
      <c r="AS1546" s="77">
        <f t="shared" si="4897"/>
        <v>0</v>
      </c>
      <c r="AT1546" s="77">
        <f t="shared" si="4898"/>
        <v>0</v>
      </c>
      <c r="AU1546" s="77">
        <f t="shared" si="4899"/>
        <v>2.5000000000000001E-3</v>
      </c>
      <c r="AV1546" s="77">
        <f t="shared" si="4900"/>
        <v>2.0809499864316017E-4</v>
      </c>
    </row>
    <row r="1547" spans="1:48">
      <c r="A1547" t="s">
        <v>175</v>
      </c>
      <c r="B1547" t="s">
        <v>180</v>
      </c>
      <c r="C1547" s="197" t="str">
        <f t="shared" si="4771"/>
        <v>Lifecycle_Opportunity_82</v>
      </c>
      <c r="D1547">
        <v>82</v>
      </c>
      <c r="E1547">
        <f>VLOOKUP($D1547,'[2]LC Opportunity'!$Q$2:$U$542,2,FALSE)</f>
        <v>2.3333333333333335E-3</v>
      </c>
      <c r="F1547">
        <f>VLOOKUP($D1547,'[2]LC Opportunity'!$Q$2:$U$542,3,FALSE)</f>
        <v>0.20600000000000002</v>
      </c>
      <c r="G1547">
        <f>VLOOKUP($D1547,'[2]LC Opportunity'!$Q$2:$U$542,4,FALSE)</f>
        <v>0.79166666666666674</v>
      </c>
      <c r="H1547">
        <f>VLOOKUP($D1547,'[2]LC Opportunity'!$Q$2:$U$542,5,FALSE)</f>
        <v>0</v>
      </c>
      <c r="I1547" s="77">
        <f t="shared" si="4881"/>
        <v>1</v>
      </c>
      <c r="J1547" s="77">
        <f t="shared" si="4882"/>
        <v>6.0927174999999993E-2</v>
      </c>
      <c r="K1547" s="77">
        <f t="shared" si="4776"/>
        <v>4.9407671349173121E-3</v>
      </c>
      <c r="L1547" s="76">
        <v>0</v>
      </c>
      <c r="M1547" s="77">
        <f t="shared" si="4888"/>
        <v>0</v>
      </c>
      <c r="N1547" s="77">
        <f t="shared" si="4889"/>
        <v>0</v>
      </c>
      <c r="O1547" s="77">
        <f t="shared" si="4890"/>
        <v>6.9210000000000001E-3</v>
      </c>
      <c r="P1547" s="77">
        <f t="shared" si="4891"/>
        <v>5.7858765383522748E-4</v>
      </c>
      <c r="R1547" t="s">
        <v>177</v>
      </c>
      <c r="S1547" t="s">
        <v>180</v>
      </c>
      <c r="T1547" s="197" t="str">
        <f t="shared" si="4772"/>
        <v>Autopilot_Opportunity_82</v>
      </c>
      <c r="U1547">
        <v>82</v>
      </c>
      <c r="V1547">
        <f>VLOOKUP($U1547,'[2]AP Opportunity'!$Q$1:$T$542,2,FALSE)</f>
        <v>0.65302498840982848</v>
      </c>
      <c r="W1547">
        <f>VLOOKUP($U1547,'[2]AP Opportunity'!$Q$1:$T$542,3,FALSE)</f>
        <v>0.34697501159017152</v>
      </c>
      <c r="X1547">
        <f>VLOOKUP($U1547,'[2]AP Opportunity'!$Q$1:$T$542,4,FALSE)</f>
        <v>0</v>
      </c>
      <c r="Y1547" s="77">
        <f t="shared" si="4773"/>
        <v>1</v>
      </c>
      <c r="Z1547" s="77">
        <f t="shared" si="4777"/>
        <v>6.0018906721140464E-2</v>
      </c>
      <c r="AA1547" s="77">
        <f t="shared" si="4778"/>
        <v>4.8690441655983019E-3</v>
      </c>
      <c r="AB1547" s="79">
        <v>1</v>
      </c>
      <c r="AC1547" s="77">
        <f t="shared" si="4892"/>
        <v>7.8060499768196571E-3</v>
      </c>
      <c r="AD1547" s="77">
        <f t="shared" ref="AD1547" si="4917">1-(1-AC1547)^(1/12)</f>
        <v>6.5284319437075577E-4</v>
      </c>
      <c r="AE1547" s="77">
        <f t="shared" si="4894"/>
        <v>2.5000000000000001E-3</v>
      </c>
      <c r="AF1547" s="77">
        <f t="shared" ref="AF1547" si="4918">1-(1-AE1547)^(1/12)</f>
        <v>2.0857243058891584E-4</v>
      </c>
      <c r="AH1547" t="s">
        <v>175</v>
      </c>
      <c r="AI1547" t="s">
        <v>180</v>
      </c>
      <c r="AJ1547" s="197" t="str">
        <f t="shared" si="4885"/>
        <v>Lifecycle_Opportunity_82</v>
      </c>
      <c r="AK1547">
        <v>82</v>
      </c>
      <c r="AL1547">
        <f>VLOOKUP($U1547,[2]Standard_Opportunity!$Q$1:$T$542,2,FALSE)</f>
        <v>0.63769331891000869</v>
      </c>
      <c r="AM1547">
        <f>VLOOKUP($U1547,[2]Standard_Opportunity!$Q$1:$T$542,3,FALSE)</f>
        <v>0.36230668108999126</v>
      </c>
      <c r="AN1547">
        <f>VLOOKUP($U1547,[2]Standard_Opportunity!$Q$1:$T$542,4,FALSE)</f>
        <v>0</v>
      </c>
      <c r="AO1547" s="77">
        <f t="shared" si="4886"/>
        <v>1</v>
      </c>
      <c r="AP1547" s="77">
        <f t="shared" si="4896"/>
        <v>5.9815378808530349E-2</v>
      </c>
      <c r="AQ1547" s="77">
        <f t="shared" si="4887"/>
        <v>4.8529645074935068E-3</v>
      </c>
      <c r="AR1547" s="79">
        <v>0</v>
      </c>
      <c r="AS1547" s="77">
        <f t="shared" si="4897"/>
        <v>0</v>
      </c>
      <c r="AT1547" s="77">
        <f t="shared" si="4898"/>
        <v>0</v>
      </c>
      <c r="AU1547" s="77">
        <f t="shared" si="4899"/>
        <v>2.4999999999999996E-3</v>
      </c>
      <c r="AV1547" s="77">
        <f t="shared" si="4900"/>
        <v>2.0809499864316017E-4</v>
      </c>
    </row>
    <row r="1548" spans="1:48">
      <c r="A1548" t="s">
        <v>175</v>
      </c>
      <c r="B1548" t="s">
        <v>180</v>
      </c>
      <c r="C1548" s="197" t="str">
        <f t="shared" si="4771"/>
        <v>Lifecycle_Opportunity_81</v>
      </c>
      <c r="D1548">
        <v>81</v>
      </c>
      <c r="E1548">
        <f>VLOOKUP($D1548,'[2]LC Opportunity'!$Q$2:$U$542,2,FALSE)</f>
        <v>3.5000000000000001E-3</v>
      </c>
      <c r="F1548">
        <f>VLOOKUP($D1548,'[2]LC Opportunity'!$Q$2:$U$542,3,FALSE)</f>
        <v>0.21050000000000002</v>
      </c>
      <c r="G1548">
        <f>VLOOKUP($D1548,'[2]LC Opportunity'!$Q$2:$U$542,4,FALSE)</f>
        <v>0.78600000000000003</v>
      </c>
      <c r="H1548">
        <f>VLOOKUP($D1548,'[2]LC Opportunity'!$Q$2:$U$542,5,FALSE)</f>
        <v>0</v>
      </c>
      <c r="I1548" s="77">
        <f t="shared" si="4881"/>
        <v>1</v>
      </c>
      <c r="J1548" s="77">
        <f t="shared" si="4882"/>
        <v>6.0821712499999993E-2</v>
      </c>
      <c r="K1548" s="77">
        <f t="shared" si="4776"/>
        <v>4.9324419958955978E-3</v>
      </c>
      <c r="L1548" s="76">
        <v>0</v>
      </c>
      <c r="M1548" s="77">
        <f t="shared" si="4888"/>
        <v>0</v>
      </c>
      <c r="N1548" s="77">
        <f t="shared" si="4889"/>
        <v>0</v>
      </c>
      <c r="O1548" s="77">
        <f t="shared" si="4890"/>
        <v>6.9095499999999995E-3</v>
      </c>
      <c r="P1548" s="77">
        <f t="shared" si="4891"/>
        <v>5.7762739834876786E-4</v>
      </c>
      <c r="R1548" t="s">
        <v>177</v>
      </c>
      <c r="S1548" t="s">
        <v>180</v>
      </c>
      <c r="T1548" s="197" t="str">
        <f t="shared" si="4772"/>
        <v>Autopilot_Opportunity_81</v>
      </c>
      <c r="U1548">
        <v>81</v>
      </c>
      <c r="V1548">
        <f>VLOOKUP($U1548,'[2]AP Opportunity'!$Q$1:$T$542,2,FALSE)</f>
        <v>0.65302498840982848</v>
      </c>
      <c r="W1548">
        <f>VLOOKUP($U1548,'[2]AP Opportunity'!$Q$1:$T$542,3,FALSE)</f>
        <v>0.34697501159017152</v>
      </c>
      <c r="X1548">
        <f>VLOOKUP($U1548,'[2]AP Opportunity'!$Q$1:$T$542,4,FALSE)</f>
        <v>0</v>
      </c>
      <c r="Y1548" s="77">
        <f t="shared" si="4773"/>
        <v>1</v>
      </c>
      <c r="Z1548" s="77">
        <f t="shared" si="4777"/>
        <v>6.0018906721140464E-2</v>
      </c>
      <c r="AA1548" s="77">
        <f t="shared" si="4778"/>
        <v>4.8690441655983019E-3</v>
      </c>
      <c r="AB1548" s="79">
        <v>1</v>
      </c>
      <c r="AC1548" s="77">
        <f t="shared" si="4892"/>
        <v>7.8060499768196571E-3</v>
      </c>
      <c r="AD1548" s="77">
        <f t="shared" ref="AD1548" si="4919">1-(1-AC1548)^(1/12)</f>
        <v>6.5284319437075577E-4</v>
      </c>
      <c r="AE1548" s="77">
        <f t="shared" si="4894"/>
        <v>2.5000000000000001E-3</v>
      </c>
      <c r="AF1548" s="77">
        <f t="shared" ref="AF1548" si="4920">1-(1-AE1548)^(1/12)</f>
        <v>2.0857243058891584E-4</v>
      </c>
      <c r="AH1548" t="s">
        <v>175</v>
      </c>
      <c r="AI1548" t="s">
        <v>180</v>
      </c>
      <c r="AJ1548" s="197" t="str">
        <f t="shared" si="4885"/>
        <v>Lifecycle_Opportunity_81</v>
      </c>
      <c r="AK1548">
        <v>81</v>
      </c>
      <c r="AL1548">
        <f>VLOOKUP($U1548,[2]Standard_Opportunity!$Q$1:$T$542,2,FALSE)</f>
        <v>0.63002748416009891</v>
      </c>
      <c r="AM1548">
        <f>VLOOKUP($U1548,[2]Standard_Opportunity!$Q$1:$T$542,3,FALSE)</f>
        <v>0.36997251583990109</v>
      </c>
      <c r="AN1548">
        <f>VLOOKUP($U1548,[2]Standard_Opportunity!$Q$1:$T$542,4,FALSE)</f>
        <v>0</v>
      </c>
      <c r="AO1548" s="77">
        <f t="shared" si="4886"/>
        <v>1</v>
      </c>
      <c r="AP1548" s="77">
        <f t="shared" si="4896"/>
        <v>5.9713614852225302E-2</v>
      </c>
      <c r="AQ1548" s="77">
        <f t="shared" si="4887"/>
        <v>4.8449236169292309E-3</v>
      </c>
      <c r="AR1548" s="79">
        <v>0</v>
      </c>
      <c r="AS1548" s="77">
        <f t="shared" si="4897"/>
        <v>0</v>
      </c>
      <c r="AT1548" s="77">
        <f t="shared" si="4898"/>
        <v>0</v>
      </c>
      <c r="AU1548" s="77">
        <f t="shared" si="4899"/>
        <v>2.5000000000000001E-3</v>
      </c>
      <c r="AV1548" s="77">
        <f t="shared" si="4900"/>
        <v>2.0809499864316017E-4</v>
      </c>
    </row>
    <row r="1549" spans="1:48">
      <c r="A1549" t="s">
        <v>175</v>
      </c>
      <c r="B1549" t="s">
        <v>180</v>
      </c>
      <c r="C1549" s="197" t="str">
        <f t="shared" ref="C1549:C1612" si="4921">A1549&amp;"_"&amp;B1549&amp;"_"&amp;D1549</f>
        <v>Lifecycle_Opportunity_80</v>
      </c>
      <c r="D1549">
        <v>80</v>
      </c>
      <c r="E1549">
        <f>VLOOKUP($D1549,'[2]LC Opportunity'!$Q$2:$U$542,2,FALSE)</f>
        <v>4.6666666666666671E-3</v>
      </c>
      <c r="F1549">
        <f>VLOOKUP($D1549,'[2]LC Opportunity'!$Q$2:$U$542,3,FALSE)</f>
        <v>0.215</v>
      </c>
      <c r="G1549">
        <f>VLOOKUP($D1549,'[2]LC Opportunity'!$Q$2:$U$542,4,FALSE)</f>
        <v>0.78033333333333332</v>
      </c>
      <c r="H1549">
        <f>VLOOKUP($D1549,'[2]LC Opportunity'!$Q$2:$U$542,5,FALSE)</f>
        <v>0</v>
      </c>
      <c r="I1549" s="77">
        <f t="shared" si="4881"/>
        <v>1</v>
      </c>
      <c r="J1549" s="77">
        <f t="shared" si="4882"/>
        <v>6.0716249999999986E-2</v>
      </c>
      <c r="K1549" s="77">
        <f t="shared" si="4776"/>
        <v>4.9241160981594589E-3</v>
      </c>
      <c r="L1549" s="76">
        <v>0</v>
      </c>
      <c r="M1549" s="77">
        <f t="shared" si="4888"/>
        <v>0</v>
      </c>
      <c r="N1549" s="77">
        <f t="shared" si="4889"/>
        <v>0</v>
      </c>
      <c r="O1549" s="77">
        <f t="shared" si="4890"/>
        <v>6.8980999999999999E-3</v>
      </c>
      <c r="P1549" s="77">
        <f t="shared" si="4891"/>
        <v>5.7666715301096794E-4</v>
      </c>
      <c r="R1549" t="s">
        <v>177</v>
      </c>
      <c r="S1549" t="s">
        <v>180</v>
      </c>
      <c r="T1549" s="197" t="str">
        <f t="shared" ref="T1549:T1612" si="4922">R1549&amp;"_"&amp;S1549&amp;"_"&amp;U1549</f>
        <v>Autopilot_Opportunity_80</v>
      </c>
      <c r="U1549">
        <v>80</v>
      </c>
      <c r="V1549">
        <f>VLOOKUP($U1549,'[2]AP Opportunity'!$Q$1:$T$542,2,FALSE)</f>
        <v>0.65302498840982848</v>
      </c>
      <c r="W1549">
        <f>VLOOKUP($U1549,'[2]AP Opportunity'!$Q$1:$T$542,3,FALSE)</f>
        <v>0.34697501159017152</v>
      </c>
      <c r="X1549">
        <f>VLOOKUP($U1549,'[2]AP Opportunity'!$Q$1:$T$542,4,FALSE)</f>
        <v>0</v>
      </c>
      <c r="Y1549" s="77">
        <f t="shared" ref="Y1549:Y1612" si="4923">SUM(V1549:X1549)</f>
        <v>1</v>
      </c>
      <c r="Z1549" s="77">
        <f t="shared" si="4777"/>
        <v>6.0018906721140464E-2</v>
      </c>
      <c r="AA1549" s="77">
        <f t="shared" si="4778"/>
        <v>4.8690441655983019E-3</v>
      </c>
      <c r="AB1549" s="79">
        <v>1</v>
      </c>
      <c r="AC1549" s="77">
        <f t="shared" si="4892"/>
        <v>7.8060499768196571E-3</v>
      </c>
      <c r="AD1549" s="77">
        <f t="shared" ref="AD1549" si="4924">1-(1-AC1549)^(1/12)</f>
        <v>6.5284319437075577E-4</v>
      </c>
      <c r="AE1549" s="77">
        <f t="shared" si="4894"/>
        <v>2.5000000000000001E-3</v>
      </c>
      <c r="AF1549" s="77">
        <f t="shared" ref="AF1549" si="4925">1-(1-AE1549)^(1/12)</f>
        <v>2.0857243058891584E-4</v>
      </c>
      <c r="AH1549" t="s">
        <v>175</v>
      </c>
      <c r="AI1549" t="s">
        <v>180</v>
      </c>
      <c r="AJ1549" s="197" t="str">
        <f t="shared" si="4885"/>
        <v>Lifecycle_Opportunity_80</v>
      </c>
      <c r="AK1549">
        <v>80</v>
      </c>
      <c r="AL1549">
        <f>VLOOKUP($U1549,[2]Standard_Opportunity!$Q$1:$T$542,2,FALSE)</f>
        <v>0.62236164941018901</v>
      </c>
      <c r="AM1549">
        <f>VLOOKUP($U1549,[2]Standard_Opportunity!$Q$1:$T$542,3,FALSE)</f>
        <v>0.37763835058981099</v>
      </c>
      <c r="AN1549">
        <f>VLOOKUP($U1549,[2]Standard_Opportunity!$Q$1:$T$542,4,FALSE)</f>
        <v>0</v>
      </c>
      <c r="AO1549" s="77">
        <f t="shared" si="4886"/>
        <v>1</v>
      </c>
      <c r="AP1549" s="77">
        <f t="shared" si="4896"/>
        <v>5.9611850895920249E-2</v>
      </c>
      <c r="AQ1549" s="77">
        <f t="shared" si="4887"/>
        <v>4.8368820185167305E-3</v>
      </c>
      <c r="AR1549" s="79">
        <v>0</v>
      </c>
      <c r="AS1549" s="77">
        <f t="shared" si="4897"/>
        <v>0</v>
      </c>
      <c r="AT1549" s="77">
        <f t="shared" si="4898"/>
        <v>0</v>
      </c>
      <c r="AU1549" s="77">
        <f t="shared" si="4899"/>
        <v>2.5000000000000001E-3</v>
      </c>
      <c r="AV1549" s="77">
        <f t="shared" si="4900"/>
        <v>2.0809499864316017E-4</v>
      </c>
    </row>
    <row r="1550" spans="1:48">
      <c r="A1550" t="s">
        <v>175</v>
      </c>
      <c r="B1550" t="s">
        <v>180</v>
      </c>
      <c r="C1550" s="197" t="str">
        <f t="shared" si="4921"/>
        <v>Lifecycle_Opportunity_79</v>
      </c>
      <c r="D1550">
        <v>79</v>
      </c>
      <c r="E1550">
        <f>VLOOKUP($D1550,'[2]LC Opportunity'!$Q$2:$U$542,2,FALSE)</f>
        <v>5.8333333333333336E-3</v>
      </c>
      <c r="F1550">
        <f>VLOOKUP($D1550,'[2]LC Opportunity'!$Q$2:$U$542,3,FALSE)</f>
        <v>0.2195</v>
      </c>
      <c r="G1550">
        <f>VLOOKUP($D1550,'[2]LC Opportunity'!$Q$2:$U$542,4,FALSE)</f>
        <v>0.77466666666666673</v>
      </c>
      <c r="H1550">
        <f>VLOOKUP($D1550,'[2]LC Opportunity'!$Q$2:$U$542,5,FALSE)</f>
        <v>0</v>
      </c>
      <c r="I1550" s="77">
        <f t="shared" si="4881"/>
        <v>1</v>
      </c>
      <c r="J1550" s="77">
        <f t="shared" si="4882"/>
        <v>6.0610787499999999E-2</v>
      </c>
      <c r="K1550" s="77">
        <f t="shared" ref="K1550:K1613" si="4926">(1+J1550)^(1/12)-1</f>
        <v>4.9157894415641223E-3</v>
      </c>
      <c r="L1550" s="76">
        <v>0</v>
      </c>
      <c r="M1550" s="77">
        <f t="shared" si="4888"/>
        <v>0</v>
      </c>
      <c r="N1550" s="77">
        <f t="shared" si="4889"/>
        <v>0</v>
      </c>
      <c r="O1550" s="77">
        <f t="shared" si="4890"/>
        <v>6.8866500000000002E-3</v>
      </c>
      <c r="P1550" s="77">
        <f t="shared" si="4891"/>
        <v>5.7570691782171668E-4</v>
      </c>
      <c r="R1550" t="s">
        <v>177</v>
      </c>
      <c r="S1550" t="s">
        <v>180</v>
      </c>
      <c r="T1550" s="197" t="str">
        <f t="shared" si="4922"/>
        <v>Autopilot_Opportunity_79</v>
      </c>
      <c r="U1550">
        <v>79</v>
      </c>
      <c r="V1550">
        <f>VLOOKUP($U1550,'[2]AP Opportunity'!$Q$1:$T$542,2,FALSE)</f>
        <v>0.65302498840982848</v>
      </c>
      <c r="W1550">
        <f>VLOOKUP($U1550,'[2]AP Opportunity'!$Q$1:$T$542,3,FALSE)</f>
        <v>0.34697501159017152</v>
      </c>
      <c r="X1550">
        <f>VLOOKUP($U1550,'[2]AP Opportunity'!$Q$1:$T$542,4,FALSE)</f>
        <v>0</v>
      </c>
      <c r="Y1550" s="77">
        <f t="shared" si="4923"/>
        <v>1</v>
      </c>
      <c r="Z1550" s="77">
        <f t="shared" ref="Z1550:Z1613" si="4927">SUMPRODUCT($V$1:$X$1,V1550:X1550)</f>
        <v>6.0018906721140464E-2</v>
      </c>
      <c r="AA1550" s="77">
        <f t="shared" ref="AA1550:AA1613" si="4928">(1+Z1550)^(1/12)-1</f>
        <v>4.8690441655983019E-3</v>
      </c>
      <c r="AB1550" s="79">
        <v>1</v>
      </c>
      <c r="AC1550" s="77">
        <f t="shared" si="4892"/>
        <v>7.8060499768196571E-3</v>
      </c>
      <c r="AD1550" s="77">
        <f t="shared" ref="AD1550" si="4929">1-(1-AC1550)^(1/12)</f>
        <v>6.5284319437075577E-4</v>
      </c>
      <c r="AE1550" s="77">
        <f t="shared" si="4894"/>
        <v>2.5000000000000001E-3</v>
      </c>
      <c r="AF1550" s="77">
        <f t="shared" ref="AF1550" si="4930">1-(1-AE1550)^(1/12)</f>
        <v>2.0857243058891584E-4</v>
      </c>
      <c r="AH1550" t="s">
        <v>175</v>
      </c>
      <c r="AI1550" t="s">
        <v>180</v>
      </c>
      <c r="AJ1550" s="197" t="str">
        <f t="shared" si="4885"/>
        <v>Lifecycle_Opportunity_79</v>
      </c>
      <c r="AK1550">
        <v>79</v>
      </c>
      <c r="AL1550">
        <f>VLOOKUP($U1550,[2]Standard_Opportunity!$Q$1:$T$542,2,FALSE)</f>
        <v>0.61469581466027912</v>
      </c>
      <c r="AM1550">
        <f>VLOOKUP($U1550,[2]Standard_Opportunity!$Q$1:$T$542,3,FALSE)</f>
        <v>0.38530418533972088</v>
      </c>
      <c r="AN1550">
        <f>VLOOKUP($U1550,[2]Standard_Opportunity!$Q$1:$T$542,4,FALSE)</f>
        <v>0</v>
      </c>
      <c r="AO1550" s="77">
        <f t="shared" si="4886"/>
        <v>1</v>
      </c>
      <c r="AP1550" s="77">
        <f t="shared" si="4896"/>
        <v>5.9510086939615195E-2</v>
      </c>
      <c r="AQ1550" s="77">
        <f t="shared" si="4887"/>
        <v>4.8288397121256654E-3</v>
      </c>
      <c r="AR1550" s="79">
        <v>0</v>
      </c>
      <c r="AS1550" s="77">
        <f t="shared" si="4897"/>
        <v>0</v>
      </c>
      <c r="AT1550" s="77">
        <f t="shared" si="4898"/>
        <v>0</v>
      </c>
      <c r="AU1550" s="77">
        <f t="shared" si="4899"/>
        <v>2.5000000000000001E-3</v>
      </c>
      <c r="AV1550" s="77">
        <f t="shared" si="4900"/>
        <v>2.0809499864316017E-4</v>
      </c>
    </row>
    <row r="1551" spans="1:48">
      <c r="A1551" t="s">
        <v>175</v>
      </c>
      <c r="B1551" t="s">
        <v>180</v>
      </c>
      <c r="C1551" s="197" t="str">
        <f t="shared" si="4921"/>
        <v>Lifecycle_Opportunity_78</v>
      </c>
      <c r="D1551">
        <v>78</v>
      </c>
      <c r="E1551">
        <f>VLOOKUP($D1551,'[2]LC Opportunity'!$Q$2:$U$542,2,FALSE)</f>
        <v>7.0000000000000001E-3</v>
      </c>
      <c r="F1551">
        <f>VLOOKUP($D1551,'[2]LC Opportunity'!$Q$2:$U$542,3,FALSE)</f>
        <v>0.224</v>
      </c>
      <c r="G1551">
        <f>VLOOKUP($D1551,'[2]LC Opportunity'!$Q$2:$U$542,4,FALSE)</f>
        <v>0.76900000000000002</v>
      </c>
      <c r="H1551">
        <f>VLOOKUP($D1551,'[2]LC Opportunity'!$Q$2:$U$542,5,FALSE)</f>
        <v>0</v>
      </c>
      <c r="I1551" s="77">
        <f t="shared" si="4881"/>
        <v>1</v>
      </c>
      <c r="J1551" s="77">
        <f t="shared" si="4882"/>
        <v>6.0505324999999999E-2</v>
      </c>
      <c r="K1551" s="77">
        <f t="shared" si="4926"/>
        <v>4.907462025965037E-3</v>
      </c>
      <c r="L1551" s="76">
        <v>0</v>
      </c>
      <c r="M1551" s="77">
        <f t="shared" si="4888"/>
        <v>0</v>
      </c>
      <c r="N1551" s="77">
        <f t="shared" si="4889"/>
        <v>0</v>
      </c>
      <c r="O1551" s="77">
        <f t="shared" si="4890"/>
        <v>6.8751999999999997E-3</v>
      </c>
      <c r="P1551" s="77">
        <f t="shared" si="4891"/>
        <v>5.7474669278079205E-4</v>
      </c>
      <c r="R1551" t="s">
        <v>177</v>
      </c>
      <c r="S1551" t="s">
        <v>180</v>
      </c>
      <c r="T1551" s="197" t="str">
        <f t="shared" si="4922"/>
        <v>Autopilot_Opportunity_78</v>
      </c>
      <c r="U1551">
        <v>78</v>
      </c>
      <c r="V1551">
        <f>VLOOKUP($U1551,'[2]AP Opportunity'!$Q$1:$T$542,2,FALSE)</f>
        <v>0.65302498840982848</v>
      </c>
      <c r="W1551">
        <f>VLOOKUP($U1551,'[2]AP Opportunity'!$Q$1:$T$542,3,FALSE)</f>
        <v>0.34697501159017152</v>
      </c>
      <c r="X1551">
        <f>VLOOKUP($U1551,'[2]AP Opportunity'!$Q$1:$T$542,4,FALSE)</f>
        <v>0</v>
      </c>
      <c r="Y1551" s="77">
        <f t="shared" si="4923"/>
        <v>1</v>
      </c>
      <c r="Z1551" s="77">
        <f t="shared" si="4927"/>
        <v>6.0018906721140464E-2</v>
      </c>
      <c r="AA1551" s="77">
        <f t="shared" si="4928"/>
        <v>4.8690441655983019E-3</v>
      </c>
      <c r="AB1551" s="79">
        <v>1</v>
      </c>
      <c r="AC1551" s="77">
        <f t="shared" si="4892"/>
        <v>7.8060499768196571E-3</v>
      </c>
      <c r="AD1551" s="77">
        <f t="shared" ref="AD1551" si="4931">1-(1-AC1551)^(1/12)</f>
        <v>6.5284319437075577E-4</v>
      </c>
      <c r="AE1551" s="77">
        <f t="shared" si="4894"/>
        <v>2.5000000000000001E-3</v>
      </c>
      <c r="AF1551" s="77">
        <f t="shared" ref="AF1551" si="4932">1-(1-AE1551)^(1/12)</f>
        <v>2.0857243058891584E-4</v>
      </c>
      <c r="AH1551" t="s">
        <v>175</v>
      </c>
      <c r="AI1551" t="s">
        <v>180</v>
      </c>
      <c r="AJ1551" s="197" t="str">
        <f t="shared" si="4885"/>
        <v>Lifecycle_Opportunity_78</v>
      </c>
      <c r="AK1551">
        <v>78</v>
      </c>
      <c r="AL1551">
        <f>VLOOKUP($U1551,[2]Standard_Opportunity!$Q$1:$T$542,2,FALSE)</f>
        <v>0.60702997991036933</v>
      </c>
      <c r="AM1551">
        <f>VLOOKUP($U1551,[2]Standard_Opportunity!$Q$1:$T$542,3,FALSE)</f>
        <v>0.39297002008963072</v>
      </c>
      <c r="AN1551">
        <f>VLOOKUP($U1551,[2]Standard_Opportunity!$Q$1:$T$542,4,FALSE)</f>
        <v>0</v>
      </c>
      <c r="AO1551" s="77">
        <f t="shared" si="4886"/>
        <v>1</v>
      </c>
      <c r="AP1551" s="77">
        <f t="shared" si="4896"/>
        <v>5.9408322983310141E-2</v>
      </c>
      <c r="AQ1551" s="77">
        <f t="shared" si="4887"/>
        <v>4.8207966976256955E-3</v>
      </c>
      <c r="AR1551" s="79">
        <v>0</v>
      </c>
      <c r="AS1551" s="77">
        <f t="shared" si="4897"/>
        <v>0</v>
      </c>
      <c r="AT1551" s="77">
        <f t="shared" si="4898"/>
        <v>0</v>
      </c>
      <c r="AU1551" s="77">
        <f t="shared" si="4899"/>
        <v>2.5000000000000001E-3</v>
      </c>
      <c r="AV1551" s="77">
        <f t="shared" si="4900"/>
        <v>2.0809499864316017E-4</v>
      </c>
    </row>
    <row r="1552" spans="1:48">
      <c r="A1552" t="s">
        <v>175</v>
      </c>
      <c r="B1552" t="s">
        <v>180</v>
      </c>
      <c r="C1552" s="197" t="str">
        <f t="shared" si="4921"/>
        <v>Lifecycle_Opportunity_77</v>
      </c>
      <c r="D1552">
        <v>77</v>
      </c>
      <c r="E1552">
        <f>VLOOKUP($D1552,'[2]LC Opportunity'!$Q$2:$U$542,2,FALSE)</f>
        <v>8.1666666666666676E-3</v>
      </c>
      <c r="F1552">
        <f>VLOOKUP($D1552,'[2]LC Opportunity'!$Q$2:$U$542,3,FALSE)</f>
        <v>0.22850000000000001</v>
      </c>
      <c r="G1552">
        <f>VLOOKUP($D1552,'[2]LC Opportunity'!$Q$2:$U$542,4,FALSE)</f>
        <v>0.76333333333333331</v>
      </c>
      <c r="H1552">
        <f>VLOOKUP($D1552,'[2]LC Opportunity'!$Q$2:$U$542,5,FALSE)</f>
        <v>0</v>
      </c>
      <c r="I1552" s="77">
        <f t="shared" si="4881"/>
        <v>1</v>
      </c>
      <c r="J1552" s="77">
        <f t="shared" si="4882"/>
        <v>6.0399862499999984E-2</v>
      </c>
      <c r="K1552" s="77">
        <f t="shared" si="4926"/>
        <v>4.8991338512176519E-3</v>
      </c>
      <c r="L1552" s="76">
        <v>0</v>
      </c>
      <c r="M1552" s="77">
        <f t="shared" si="4888"/>
        <v>0</v>
      </c>
      <c r="N1552" s="77">
        <f t="shared" si="4889"/>
        <v>0</v>
      </c>
      <c r="O1552" s="77">
        <f t="shared" si="4890"/>
        <v>6.8637500000000001E-3</v>
      </c>
      <c r="P1552" s="77">
        <f t="shared" si="4891"/>
        <v>5.7378647788797199E-4</v>
      </c>
      <c r="R1552" t="s">
        <v>177</v>
      </c>
      <c r="S1552" t="s">
        <v>180</v>
      </c>
      <c r="T1552" s="197" t="str">
        <f t="shared" si="4922"/>
        <v>Autopilot_Opportunity_77</v>
      </c>
      <c r="U1552">
        <v>77</v>
      </c>
      <c r="V1552">
        <f>VLOOKUP($U1552,'[2]AP Opportunity'!$Q$1:$T$542,2,FALSE)</f>
        <v>0.65302498840982848</v>
      </c>
      <c r="W1552">
        <f>VLOOKUP($U1552,'[2]AP Opportunity'!$Q$1:$T$542,3,FALSE)</f>
        <v>0.34697501159017152</v>
      </c>
      <c r="X1552">
        <f>VLOOKUP($U1552,'[2]AP Opportunity'!$Q$1:$T$542,4,FALSE)</f>
        <v>0</v>
      </c>
      <c r="Y1552" s="77">
        <f t="shared" si="4923"/>
        <v>1</v>
      </c>
      <c r="Z1552" s="77">
        <f t="shared" si="4927"/>
        <v>6.0018906721140464E-2</v>
      </c>
      <c r="AA1552" s="77">
        <f t="shared" si="4928"/>
        <v>4.8690441655983019E-3</v>
      </c>
      <c r="AB1552" s="79">
        <v>1</v>
      </c>
      <c r="AC1552" s="77">
        <f t="shared" si="4892"/>
        <v>7.8060499768196571E-3</v>
      </c>
      <c r="AD1552" s="77">
        <f t="shared" ref="AD1552" si="4933">1-(1-AC1552)^(1/12)</f>
        <v>6.5284319437075577E-4</v>
      </c>
      <c r="AE1552" s="77">
        <f t="shared" si="4894"/>
        <v>2.5000000000000001E-3</v>
      </c>
      <c r="AF1552" s="77">
        <f t="shared" ref="AF1552" si="4934">1-(1-AE1552)^(1/12)</f>
        <v>2.0857243058891584E-4</v>
      </c>
      <c r="AH1552" t="s">
        <v>175</v>
      </c>
      <c r="AI1552" t="s">
        <v>180</v>
      </c>
      <c r="AJ1552" s="197" t="str">
        <f t="shared" si="4885"/>
        <v>Lifecycle_Opportunity_77</v>
      </c>
      <c r="AK1552">
        <v>77</v>
      </c>
      <c r="AL1552">
        <f>VLOOKUP($U1552,[2]Standard_Opportunity!$Q$1:$T$542,2,FALSE)</f>
        <v>0.59936414516045944</v>
      </c>
      <c r="AM1552">
        <f>VLOOKUP($U1552,[2]Standard_Opportunity!$Q$1:$T$542,3,FALSE)</f>
        <v>0.40063585483954056</v>
      </c>
      <c r="AN1552">
        <f>VLOOKUP($U1552,[2]Standard_Opportunity!$Q$1:$T$542,4,FALSE)</f>
        <v>0</v>
      </c>
      <c r="AO1552" s="77">
        <f t="shared" si="4886"/>
        <v>1</v>
      </c>
      <c r="AP1552" s="77">
        <f t="shared" si="4896"/>
        <v>5.9306559027005087E-2</v>
      </c>
      <c r="AQ1552" s="77">
        <f t="shared" si="4887"/>
        <v>4.8127529748864806E-3</v>
      </c>
      <c r="AR1552" s="79">
        <v>0</v>
      </c>
      <c r="AS1552" s="77">
        <f t="shared" si="4897"/>
        <v>0</v>
      </c>
      <c r="AT1552" s="77">
        <f t="shared" si="4898"/>
        <v>0</v>
      </c>
      <c r="AU1552" s="77">
        <f t="shared" si="4899"/>
        <v>2.5000000000000001E-3</v>
      </c>
      <c r="AV1552" s="77">
        <f t="shared" si="4900"/>
        <v>2.0809499864316017E-4</v>
      </c>
    </row>
    <row r="1553" spans="1:48">
      <c r="A1553" t="s">
        <v>175</v>
      </c>
      <c r="B1553" t="s">
        <v>180</v>
      </c>
      <c r="C1553" s="197" t="str">
        <f t="shared" si="4921"/>
        <v>Lifecycle_Opportunity_76</v>
      </c>
      <c r="D1553">
        <v>76</v>
      </c>
      <c r="E1553">
        <f>VLOOKUP($D1553,'[2]LC Opportunity'!$Q$2:$U$542,2,FALSE)</f>
        <v>9.3333333333333341E-3</v>
      </c>
      <c r="F1553">
        <f>VLOOKUP($D1553,'[2]LC Opportunity'!$Q$2:$U$542,3,FALSE)</f>
        <v>0.23300000000000001</v>
      </c>
      <c r="G1553">
        <f>VLOOKUP($D1553,'[2]LC Opportunity'!$Q$2:$U$542,4,FALSE)</f>
        <v>0.75766666666666671</v>
      </c>
      <c r="H1553">
        <f>VLOOKUP($D1553,'[2]LC Opportunity'!$Q$2:$U$542,5,FALSE)</f>
        <v>0</v>
      </c>
      <c r="I1553" s="77">
        <f t="shared" si="4881"/>
        <v>1</v>
      </c>
      <c r="J1553" s="77">
        <f t="shared" si="4882"/>
        <v>6.0294399999999998E-2</v>
      </c>
      <c r="K1553" s="77">
        <f t="shared" si="4926"/>
        <v>4.8908049171769719E-3</v>
      </c>
      <c r="L1553" s="76">
        <v>0</v>
      </c>
      <c r="M1553" s="77">
        <f t="shared" si="4888"/>
        <v>0</v>
      </c>
      <c r="N1553" s="77">
        <f t="shared" si="4889"/>
        <v>0</v>
      </c>
      <c r="O1553" s="77">
        <f t="shared" si="4890"/>
        <v>6.8523000000000004E-3</v>
      </c>
      <c r="P1553" s="77">
        <f t="shared" si="4891"/>
        <v>5.7282627314303447E-4</v>
      </c>
      <c r="R1553" t="s">
        <v>177</v>
      </c>
      <c r="S1553" t="s">
        <v>180</v>
      </c>
      <c r="T1553" s="197" t="str">
        <f t="shared" si="4922"/>
        <v>Autopilot_Opportunity_76</v>
      </c>
      <c r="U1553">
        <v>76</v>
      </c>
      <c r="V1553">
        <f>VLOOKUP($U1553,'[2]AP Opportunity'!$Q$1:$T$542,2,FALSE)</f>
        <v>0.65302498840982848</v>
      </c>
      <c r="W1553">
        <f>VLOOKUP($U1553,'[2]AP Opportunity'!$Q$1:$T$542,3,FALSE)</f>
        <v>0.34697501159017152</v>
      </c>
      <c r="X1553">
        <f>VLOOKUP($U1553,'[2]AP Opportunity'!$Q$1:$T$542,4,FALSE)</f>
        <v>0</v>
      </c>
      <c r="Y1553" s="77">
        <f t="shared" si="4923"/>
        <v>1</v>
      </c>
      <c r="Z1553" s="77">
        <f t="shared" si="4927"/>
        <v>6.0018906721140464E-2</v>
      </c>
      <c r="AA1553" s="77">
        <f t="shared" si="4928"/>
        <v>4.8690441655983019E-3</v>
      </c>
      <c r="AB1553" s="79">
        <v>1</v>
      </c>
      <c r="AC1553" s="77">
        <f t="shared" si="4892"/>
        <v>7.8060499768196571E-3</v>
      </c>
      <c r="AD1553" s="77">
        <f t="shared" ref="AD1553" si="4935">1-(1-AC1553)^(1/12)</f>
        <v>6.5284319437075577E-4</v>
      </c>
      <c r="AE1553" s="77">
        <f t="shared" si="4894"/>
        <v>2.5000000000000001E-3</v>
      </c>
      <c r="AF1553" s="77">
        <f t="shared" ref="AF1553" si="4936">1-(1-AE1553)^(1/12)</f>
        <v>2.0857243058891584E-4</v>
      </c>
      <c r="AH1553" t="s">
        <v>175</v>
      </c>
      <c r="AI1553" t="s">
        <v>180</v>
      </c>
      <c r="AJ1553" s="197" t="str">
        <f t="shared" si="4885"/>
        <v>Lifecycle_Opportunity_76</v>
      </c>
      <c r="AK1553">
        <v>76</v>
      </c>
      <c r="AL1553">
        <f>VLOOKUP($U1553,[2]Standard_Opportunity!$Q$1:$T$542,2,FALSE)</f>
        <v>0.59169831041054954</v>
      </c>
      <c r="AM1553">
        <f>VLOOKUP($U1553,[2]Standard_Opportunity!$Q$1:$T$542,3,FALSE)</f>
        <v>0.40830168958945046</v>
      </c>
      <c r="AN1553">
        <f>VLOOKUP($U1553,[2]Standard_Opportunity!$Q$1:$T$542,4,FALSE)</f>
        <v>0</v>
      </c>
      <c r="AO1553" s="77">
        <f t="shared" si="4886"/>
        <v>1</v>
      </c>
      <c r="AP1553" s="77">
        <f t="shared" si="4896"/>
        <v>5.9204795070700034E-2</v>
      </c>
      <c r="AQ1553" s="77">
        <f t="shared" si="4887"/>
        <v>4.8047085437774584E-3</v>
      </c>
      <c r="AR1553" s="79">
        <v>0</v>
      </c>
      <c r="AS1553" s="77">
        <f t="shared" si="4897"/>
        <v>0</v>
      </c>
      <c r="AT1553" s="77">
        <f t="shared" si="4898"/>
        <v>0</v>
      </c>
      <c r="AU1553" s="77">
        <f t="shared" si="4899"/>
        <v>2.5000000000000001E-3</v>
      </c>
      <c r="AV1553" s="77">
        <f t="shared" si="4900"/>
        <v>2.0809499864316017E-4</v>
      </c>
    </row>
    <row r="1554" spans="1:48">
      <c r="A1554" t="s">
        <v>175</v>
      </c>
      <c r="B1554" t="s">
        <v>180</v>
      </c>
      <c r="C1554" s="197" t="str">
        <f t="shared" si="4921"/>
        <v>Lifecycle_Opportunity_75</v>
      </c>
      <c r="D1554">
        <v>75</v>
      </c>
      <c r="E1554">
        <f>VLOOKUP($D1554,'[2]LC Opportunity'!$Q$2:$U$542,2,FALSE)</f>
        <v>1.0500000000000001E-2</v>
      </c>
      <c r="F1554">
        <f>VLOOKUP($D1554,'[2]LC Opportunity'!$Q$2:$U$542,3,FALSE)</f>
        <v>0.23749999999999999</v>
      </c>
      <c r="G1554">
        <f>VLOOKUP($D1554,'[2]LC Opportunity'!$Q$2:$U$542,4,FALSE)</f>
        <v>0.752</v>
      </c>
      <c r="H1554">
        <f>VLOOKUP($D1554,'[2]LC Opportunity'!$Q$2:$U$542,5,FALSE)</f>
        <v>0</v>
      </c>
      <c r="I1554" s="77">
        <f t="shared" si="4881"/>
        <v>1</v>
      </c>
      <c r="J1554" s="77">
        <f t="shared" si="4882"/>
        <v>6.0188937499999991E-2</v>
      </c>
      <c r="K1554" s="77">
        <f t="shared" si="4926"/>
        <v>4.8824752236984459E-3</v>
      </c>
      <c r="L1554" s="76">
        <v>0</v>
      </c>
      <c r="M1554" s="77">
        <f t="shared" si="4888"/>
        <v>0</v>
      </c>
      <c r="N1554" s="77">
        <f t="shared" si="4889"/>
        <v>0</v>
      </c>
      <c r="O1554" s="77">
        <f t="shared" si="4890"/>
        <v>6.8408499999999999E-3</v>
      </c>
      <c r="P1554" s="77">
        <f t="shared" si="4891"/>
        <v>5.7186607854564642E-4</v>
      </c>
      <c r="R1554" t="s">
        <v>177</v>
      </c>
      <c r="S1554" t="s">
        <v>180</v>
      </c>
      <c r="T1554" s="197" t="str">
        <f t="shared" si="4922"/>
        <v>Autopilot_Opportunity_75</v>
      </c>
      <c r="U1554">
        <v>75</v>
      </c>
      <c r="V1554">
        <f>VLOOKUP($U1554,'[2]AP Opportunity'!$Q$1:$T$542,2,FALSE)</f>
        <v>0.65302498840982848</v>
      </c>
      <c r="W1554">
        <f>VLOOKUP($U1554,'[2]AP Opportunity'!$Q$1:$T$542,3,FALSE)</f>
        <v>0.34697501159017152</v>
      </c>
      <c r="X1554">
        <f>VLOOKUP($U1554,'[2]AP Opportunity'!$Q$1:$T$542,4,FALSE)</f>
        <v>0</v>
      </c>
      <c r="Y1554" s="77">
        <f t="shared" si="4923"/>
        <v>1</v>
      </c>
      <c r="Z1554" s="77">
        <f t="shared" si="4927"/>
        <v>6.0018906721140464E-2</v>
      </c>
      <c r="AA1554" s="77">
        <f t="shared" si="4928"/>
        <v>4.8690441655983019E-3</v>
      </c>
      <c r="AB1554" s="79">
        <v>1</v>
      </c>
      <c r="AC1554" s="77">
        <f t="shared" si="4892"/>
        <v>7.8060499768196571E-3</v>
      </c>
      <c r="AD1554" s="77">
        <f t="shared" ref="AD1554" si="4937">1-(1-AC1554)^(1/12)</f>
        <v>6.5284319437075577E-4</v>
      </c>
      <c r="AE1554" s="77">
        <f t="shared" si="4894"/>
        <v>2.5000000000000001E-3</v>
      </c>
      <c r="AF1554" s="77">
        <f t="shared" ref="AF1554" si="4938">1-(1-AE1554)^(1/12)</f>
        <v>2.0857243058891584E-4</v>
      </c>
      <c r="AH1554" t="s">
        <v>175</v>
      </c>
      <c r="AI1554" t="s">
        <v>180</v>
      </c>
      <c r="AJ1554" s="197" t="str">
        <f t="shared" si="4885"/>
        <v>Lifecycle_Opportunity_75</v>
      </c>
      <c r="AK1554">
        <v>75</v>
      </c>
      <c r="AL1554">
        <f>VLOOKUP($U1554,[2]Standard_Opportunity!$Q$1:$T$542,2,FALSE)</f>
        <v>0.58403247566063965</v>
      </c>
      <c r="AM1554">
        <f>VLOOKUP($U1554,[2]Standard_Opportunity!$Q$1:$T$542,3,FALSE)</f>
        <v>0.41596752433936035</v>
      </c>
      <c r="AN1554">
        <f>VLOOKUP($U1554,[2]Standard_Opportunity!$Q$1:$T$542,4,FALSE)</f>
        <v>0</v>
      </c>
      <c r="AO1554" s="77">
        <f t="shared" si="4886"/>
        <v>1</v>
      </c>
      <c r="AP1554" s="77">
        <f t="shared" si="4896"/>
        <v>5.910303111439498E-2</v>
      </c>
      <c r="AQ1554" s="77">
        <f t="shared" si="4887"/>
        <v>4.7966634041682887E-3</v>
      </c>
      <c r="AR1554" s="79">
        <v>0</v>
      </c>
      <c r="AS1554" s="77">
        <f t="shared" si="4897"/>
        <v>0</v>
      </c>
      <c r="AT1554" s="77">
        <f t="shared" si="4898"/>
        <v>0</v>
      </c>
      <c r="AU1554" s="77">
        <f t="shared" si="4899"/>
        <v>2.5000000000000001E-3</v>
      </c>
      <c r="AV1554" s="77">
        <f t="shared" si="4900"/>
        <v>2.0809499864316017E-4</v>
      </c>
    </row>
    <row r="1555" spans="1:48">
      <c r="A1555" t="s">
        <v>175</v>
      </c>
      <c r="B1555" t="s">
        <v>180</v>
      </c>
      <c r="C1555" s="197" t="str">
        <f t="shared" si="4921"/>
        <v>Lifecycle_Opportunity_74</v>
      </c>
      <c r="D1555">
        <v>74</v>
      </c>
      <c r="E1555">
        <f>VLOOKUP($D1555,'[2]LC Opportunity'!$Q$2:$U$542,2,FALSE)</f>
        <v>1.1666666666666667E-2</v>
      </c>
      <c r="F1555">
        <f>VLOOKUP($D1555,'[2]LC Opportunity'!$Q$2:$U$542,3,FALSE)</f>
        <v>0.24199999999999999</v>
      </c>
      <c r="G1555">
        <f>VLOOKUP($D1555,'[2]LC Opportunity'!$Q$2:$U$542,4,FALSE)</f>
        <v>0.74633333333333329</v>
      </c>
      <c r="H1555">
        <f>VLOOKUP($D1555,'[2]LC Opportunity'!$Q$2:$U$542,5,FALSE)</f>
        <v>0</v>
      </c>
      <c r="I1555" s="77">
        <f t="shared" si="4881"/>
        <v>1</v>
      </c>
      <c r="J1555" s="77">
        <f t="shared" si="4882"/>
        <v>6.008347499999999E-2</v>
      </c>
      <c r="K1555" s="77">
        <f t="shared" si="4926"/>
        <v>4.8741447706373009E-3</v>
      </c>
      <c r="L1555" s="76">
        <v>0</v>
      </c>
      <c r="M1555" s="77">
        <f t="shared" si="4888"/>
        <v>0</v>
      </c>
      <c r="N1555" s="77">
        <f t="shared" si="4889"/>
        <v>0</v>
      </c>
      <c r="O1555" s="77">
        <f t="shared" si="4890"/>
        <v>6.8293999999999994E-3</v>
      </c>
      <c r="P1555" s="77">
        <f t="shared" si="4891"/>
        <v>5.7090589409569681E-4</v>
      </c>
      <c r="R1555" t="s">
        <v>177</v>
      </c>
      <c r="S1555" t="s">
        <v>180</v>
      </c>
      <c r="T1555" s="197" t="str">
        <f t="shared" si="4922"/>
        <v>Autopilot_Opportunity_74</v>
      </c>
      <c r="U1555">
        <v>74</v>
      </c>
      <c r="V1555">
        <f>VLOOKUP($U1555,'[2]AP Opportunity'!$Q$1:$T$542,2,FALSE)</f>
        <v>0.65302498840982848</v>
      </c>
      <c r="W1555">
        <f>VLOOKUP($U1555,'[2]AP Opportunity'!$Q$1:$T$542,3,FALSE)</f>
        <v>0.34697501159017152</v>
      </c>
      <c r="X1555">
        <f>VLOOKUP($U1555,'[2]AP Opportunity'!$Q$1:$T$542,4,FALSE)</f>
        <v>0</v>
      </c>
      <c r="Y1555" s="77">
        <f t="shared" si="4923"/>
        <v>1</v>
      </c>
      <c r="Z1555" s="77">
        <f t="shared" si="4927"/>
        <v>6.0018906721140464E-2</v>
      </c>
      <c r="AA1555" s="77">
        <f t="shared" si="4928"/>
        <v>4.8690441655983019E-3</v>
      </c>
      <c r="AB1555" s="79">
        <v>1</v>
      </c>
      <c r="AC1555" s="77">
        <f t="shared" si="4892"/>
        <v>7.8060499768196571E-3</v>
      </c>
      <c r="AD1555" s="77">
        <f t="shared" ref="AD1555" si="4939">1-(1-AC1555)^(1/12)</f>
        <v>6.5284319437075577E-4</v>
      </c>
      <c r="AE1555" s="77">
        <f t="shared" si="4894"/>
        <v>2.5000000000000001E-3</v>
      </c>
      <c r="AF1555" s="77">
        <f t="shared" ref="AF1555" si="4940">1-(1-AE1555)^(1/12)</f>
        <v>2.0857243058891584E-4</v>
      </c>
      <c r="AH1555" t="s">
        <v>175</v>
      </c>
      <c r="AI1555" t="s">
        <v>180</v>
      </c>
      <c r="AJ1555" s="197" t="str">
        <f t="shared" si="4885"/>
        <v>Lifecycle_Opportunity_74</v>
      </c>
      <c r="AK1555">
        <v>74</v>
      </c>
      <c r="AL1555">
        <f>VLOOKUP($U1555,[2]Standard_Opportunity!$Q$1:$T$542,2,FALSE)</f>
        <v>0.57636664091072976</v>
      </c>
      <c r="AM1555">
        <f>VLOOKUP($U1555,[2]Standard_Opportunity!$Q$1:$T$542,3,FALSE)</f>
        <v>0.42363335908927019</v>
      </c>
      <c r="AN1555">
        <f>VLOOKUP($U1555,[2]Standard_Opportunity!$Q$1:$T$542,4,FALSE)</f>
        <v>0</v>
      </c>
      <c r="AO1555" s="77">
        <f t="shared" si="4886"/>
        <v>1</v>
      </c>
      <c r="AP1555" s="77">
        <f t="shared" si="4896"/>
        <v>5.9001267158089926E-2</v>
      </c>
      <c r="AQ1555" s="77">
        <f t="shared" si="4887"/>
        <v>4.7886175559284094E-3</v>
      </c>
      <c r="AR1555" s="79">
        <v>0</v>
      </c>
      <c r="AS1555" s="77">
        <f t="shared" si="4897"/>
        <v>0</v>
      </c>
      <c r="AT1555" s="77">
        <f t="shared" si="4898"/>
        <v>0</v>
      </c>
      <c r="AU1555" s="77">
        <f t="shared" si="4899"/>
        <v>2.4999999999999996E-3</v>
      </c>
      <c r="AV1555" s="77">
        <f t="shared" si="4900"/>
        <v>2.0809499864316017E-4</v>
      </c>
    </row>
    <row r="1556" spans="1:48">
      <c r="A1556" t="s">
        <v>175</v>
      </c>
      <c r="B1556" t="s">
        <v>180</v>
      </c>
      <c r="C1556" s="197" t="str">
        <f t="shared" si="4921"/>
        <v>Lifecycle_Opportunity_73</v>
      </c>
      <c r="D1556">
        <v>73</v>
      </c>
      <c r="E1556">
        <f>VLOOKUP($D1556,'[2]LC Opportunity'!$Q$2:$U$542,2,FALSE)</f>
        <v>1.2833333333333334E-2</v>
      </c>
      <c r="F1556">
        <f>VLOOKUP($D1556,'[2]LC Opportunity'!$Q$2:$U$542,3,FALSE)</f>
        <v>0.2465</v>
      </c>
      <c r="G1556">
        <f>VLOOKUP($D1556,'[2]LC Opportunity'!$Q$2:$U$542,4,FALSE)</f>
        <v>0.7406666666666667</v>
      </c>
      <c r="H1556">
        <f>VLOOKUP($D1556,'[2]LC Opportunity'!$Q$2:$U$542,5,FALSE)</f>
        <v>0</v>
      </c>
      <c r="I1556" s="77">
        <f t="shared" si="4881"/>
        <v>1</v>
      </c>
      <c r="J1556" s="77">
        <f t="shared" si="4882"/>
        <v>5.9978012499999997E-2</v>
      </c>
      <c r="K1556" s="77">
        <f t="shared" si="4926"/>
        <v>4.8658135578487638E-3</v>
      </c>
      <c r="L1556" s="76">
        <v>0</v>
      </c>
      <c r="M1556" s="77">
        <f t="shared" si="4888"/>
        <v>0</v>
      </c>
      <c r="N1556" s="77">
        <f t="shared" si="4889"/>
        <v>0</v>
      </c>
      <c r="O1556" s="77">
        <f t="shared" si="4890"/>
        <v>6.8179500000000006E-3</v>
      </c>
      <c r="P1556" s="77">
        <f t="shared" si="4891"/>
        <v>5.6994571979285258E-4</v>
      </c>
      <c r="R1556" t="s">
        <v>177</v>
      </c>
      <c r="S1556" t="s">
        <v>180</v>
      </c>
      <c r="T1556" s="197" t="str">
        <f t="shared" si="4922"/>
        <v>Autopilot_Opportunity_73</v>
      </c>
      <c r="U1556">
        <v>73</v>
      </c>
      <c r="V1556">
        <f>VLOOKUP($U1556,'[2]AP Opportunity'!$Q$1:$T$542,2,FALSE)</f>
        <v>0.65302498840982848</v>
      </c>
      <c r="W1556">
        <f>VLOOKUP($U1556,'[2]AP Opportunity'!$Q$1:$T$542,3,FALSE)</f>
        <v>0.34697501159017152</v>
      </c>
      <c r="X1556">
        <f>VLOOKUP($U1556,'[2]AP Opportunity'!$Q$1:$T$542,4,FALSE)</f>
        <v>0</v>
      </c>
      <c r="Y1556" s="77">
        <f t="shared" si="4923"/>
        <v>1</v>
      </c>
      <c r="Z1556" s="77">
        <f t="shared" si="4927"/>
        <v>6.0018906721140464E-2</v>
      </c>
      <c r="AA1556" s="77">
        <f t="shared" si="4928"/>
        <v>4.8690441655983019E-3</v>
      </c>
      <c r="AB1556" s="79">
        <v>1</v>
      </c>
      <c r="AC1556" s="77">
        <f t="shared" si="4892"/>
        <v>7.8060499768196571E-3</v>
      </c>
      <c r="AD1556" s="77">
        <f t="shared" ref="AD1556" si="4941">1-(1-AC1556)^(1/12)</f>
        <v>6.5284319437075577E-4</v>
      </c>
      <c r="AE1556" s="77">
        <f t="shared" si="4894"/>
        <v>2.5000000000000001E-3</v>
      </c>
      <c r="AF1556" s="77">
        <f t="shared" ref="AF1556" si="4942">1-(1-AE1556)^(1/12)</f>
        <v>2.0857243058891584E-4</v>
      </c>
      <c r="AH1556" t="s">
        <v>175</v>
      </c>
      <c r="AI1556" t="s">
        <v>180</v>
      </c>
      <c r="AJ1556" s="197" t="str">
        <f t="shared" si="4885"/>
        <v>Lifecycle_Opportunity_73</v>
      </c>
      <c r="AK1556">
        <v>73</v>
      </c>
      <c r="AL1556">
        <f>VLOOKUP($U1556,[2]Standard_Opportunity!$Q$1:$T$542,2,FALSE)</f>
        <v>0.56870080616081997</v>
      </c>
      <c r="AM1556">
        <f>VLOOKUP($U1556,[2]Standard_Opportunity!$Q$1:$T$542,3,FALSE)</f>
        <v>0.43129919383918003</v>
      </c>
      <c r="AN1556">
        <f>VLOOKUP($U1556,[2]Standard_Opportunity!$Q$1:$T$542,4,FALSE)</f>
        <v>0</v>
      </c>
      <c r="AO1556" s="77">
        <f t="shared" si="4886"/>
        <v>1</v>
      </c>
      <c r="AP1556" s="77">
        <f t="shared" si="4896"/>
        <v>5.8899503201784879E-2</v>
      </c>
      <c r="AQ1556" s="77">
        <f t="shared" si="4887"/>
        <v>4.7805709989274803E-3</v>
      </c>
      <c r="AR1556" s="79">
        <v>0</v>
      </c>
      <c r="AS1556" s="77">
        <f t="shared" si="4897"/>
        <v>0</v>
      </c>
      <c r="AT1556" s="77">
        <f t="shared" si="4898"/>
        <v>0</v>
      </c>
      <c r="AU1556" s="77">
        <f t="shared" si="4899"/>
        <v>2.5000000000000001E-3</v>
      </c>
      <c r="AV1556" s="77">
        <f t="shared" si="4900"/>
        <v>2.0809499864316017E-4</v>
      </c>
    </row>
    <row r="1557" spans="1:48">
      <c r="A1557" t="s">
        <v>175</v>
      </c>
      <c r="B1557" t="s">
        <v>180</v>
      </c>
      <c r="C1557" s="197" t="str">
        <f t="shared" si="4921"/>
        <v>Lifecycle_Opportunity_72</v>
      </c>
      <c r="D1557">
        <v>72</v>
      </c>
      <c r="E1557">
        <f>VLOOKUP($D1557,'[2]LC Opportunity'!$Q$2:$U$542,2,FALSE)</f>
        <v>1.4E-2</v>
      </c>
      <c r="F1557">
        <f>VLOOKUP($D1557,'[2]LC Opportunity'!$Q$2:$U$542,3,FALSE)</f>
        <v>0.251</v>
      </c>
      <c r="G1557">
        <f>VLOOKUP($D1557,'[2]LC Opportunity'!$Q$2:$U$542,4,FALSE)</f>
        <v>0.73499999999999999</v>
      </c>
      <c r="H1557">
        <f>VLOOKUP($D1557,'[2]LC Opportunity'!$Q$2:$U$542,5,FALSE)</f>
        <v>0</v>
      </c>
      <c r="I1557" s="77">
        <f t="shared" si="4881"/>
        <v>1</v>
      </c>
      <c r="J1557" s="77">
        <f t="shared" si="4882"/>
        <v>5.987254999999999E-2</v>
      </c>
      <c r="K1557" s="77">
        <f t="shared" si="4926"/>
        <v>4.8574815851876174E-3</v>
      </c>
      <c r="L1557" s="76">
        <v>0</v>
      </c>
      <c r="M1557" s="77">
        <f t="shared" si="4888"/>
        <v>0</v>
      </c>
      <c r="N1557" s="77">
        <f t="shared" si="4889"/>
        <v>0</v>
      </c>
      <c r="O1557" s="77">
        <f t="shared" si="4890"/>
        <v>6.8065000000000001E-3</v>
      </c>
      <c r="P1557" s="77">
        <f t="shared" si="4891"/>
        <v>5.6898555563711373E-4</v>
      </c>
      <c r="R1557" t="s">
        <v>177</v>
      </c>
      <c r="S1557" t="s">
        <v>180</v>
      </c>
      <c r="T1557" s="197" t="str">
        <f t="shared" si="4922"/>
        <v>Autopilot_Opportunity_72</v>
      </c>
      <c r="U1557">
        <v>72</v>
      </c>
      <c r="V1557">
        <f>VLOOKUP($U1557,'[2]AP Opportunity'!$Q$1:$T$542,2,FALSE)</f>
        <v>0.56103497141091008</v>
      </c>
      <c r="W1557">
        <f>VLOOKUP($U1557,'[2]AP Opportunity'!$Q$1:$T$542,3,FALSE)</f>
        <v>0.43896502858908992</v>
      </c>
      <c r="X1557">
        <f>VLOOKUP($U1557,'[2]AP Opportunity'!$Q$1:$T$542,4,FALSE)</f>
        <v>0</v>
      </c>
      <c r="Y1557" s="77">
        <f t="shared" si="4923"/>
        <v>1</v>
      </c>
      <c r="Z1557" s="77">
        <f t="shared" si="4927"/>
        <v>5.8797739245479819E-2</v>
      </c>
      <c r="AA1557" s="77">
        <f t="shared" si="4928"/>
        <v>4.772523733034939E-3</v>
      </c>
      <c r="AB1557" s="79">
        <v>1</v>
      </c>
      <c r="AC1557" s="77">
        <f t="shared" si="4892"/>
        <v>7.622069942821821E-3</v>
      </c>
      <c r="AD1557" s="77">
        <f t="shared" ref="AD1557" si="4943">1-(1-AC1557)^(1/12)</f>
        <v>6.3740230367959061E-4</v>
      </c>
      <c r="AE1557" s="77">
        <f t="shared" si="4894"/>
        <v>2.5000000000000001E-3</v>
      </c>
      <c r="AF1557" s="77">
        <f t="shared" ref="AF1557" si="4944">1-(1-AE1557)^(1/12)</f>
        <v>2.0857243058891584E-4</v>
      </c>
      <c r="AH1557" t="s">
        <v>175</v>
      </c>
      <c r="AI1557" t="s">
        <v>180</v>
      </c>
      <c r="AJ1557" s="197" t="str">
        <f t="shared" si="4885"/>
        <v>Lifecycle_Opportunity_72</v>
      </c>
      <c r="AK1557">
        <v>72</v>
      </c>
      <c r="AL1557">
        <f>VLOOKUP($U1557,[2]Standard_Opportunity!$Q$1:$T$542,2,FALSE)</f>
        <v>0.56103497141091008</v>
      </c>
      <c r="AM1557">
        <f>VLOOKUP($U1557,[2]Standard_Opportunity!$Q$1:$T$542,3,FALSE)</f>
        <v>0.43896502858908992</v>
      </c>
      <c r="AN1557">
        <f>VLOOKUP($U1557,[2]Standard_Opportunity!$Q$1:$T$542,4,FALSE)</f>
        <v>0</v>
      </c>
      <c r="AO1557" s="77">
        <f t="shared" si="4886"/>
        <v>1</v>
      </c>
      <c r="AP1557" s="77">
        <f t="shared" si="4896"/>
        <v>5.8797739245479819E-2</v>
      </c>
      <c r="AQ1557" s="77">
        <f t="shared" si="4887"/>
        <v>4.772523733034939E-3</v>
      </c>
      <c r="AR1557" s="79">
        <v>0</v>
      </c>
      <c r="AS1557" s="77">
        <f t="shared" si="4897"/>
        <v>0</v>
      </c>
      <c r="AT1557" s="77">
        <f t="shared" si="4898"/>
        <v>0</v>
      </c>
      <c r="AU1557" s="77">
        <f t="shared" si="4899"/>
        <v>2.5000000000000001E-3</v>
      </c>
      <c r="AV1557" s="77">
        <f t="shared" si="4900"/>
        <v>2.0809499864316017E-4</v>
      </c>
    </row>
    <row r="1558" spans="1:48">
      <c r="A1558" t="s">
        <v>175</v>
      </c>
      <c r="B1558" t="s">
        <v>180</v>
      </c>
      <c r="C1558" s="197" t="str">
        <f t="shared" si="4921"/>
        <v>Lifecycle_Opportunity_71</v>
      </c>
      <c r="D1558">
        <v>71</v>
      </c>
      <c r="E1558">
        <f>VLOOKUP($D1558,'[2]LC Opportunity'!$Q$2:$U$542,2,FALSE)</f>
        <v>1.4666666666666666E-2</v>
      </c>
      <c r="F1558">
        <f>VLOOKUP($D1558,'[2]LC Opportunity'!$Q$2:$U$542,3,FALSE)</f>
        <v>0.25508333333333333</v>
      </c>
      <c r="G1558">
        <f>VLOOKUP($D1558,'[2]LC Opportunity'!$Q$2:$U$542,4,FALSE)</f>
        <v>0.73024999999999995</v>
      </c>
      <c r="H1558">
        <f>VLOOKUP($D1558,'[2]LC Opportunity'!$Q$2:$U$542,5,FALSE)</f>
        <v>0</v>
      </c>
      <c r="I1558" s="77">
        <f t="shared" si="4881"/>
        <v>1</v>
      </c>
      <c r="J1558" s="77">
        <f t="shared" si="4882"/>
        <v>5.9785524999999985E-2</v>
      </c>
      <c r="K1558" s="77">
        <f t="shared" si="4926"/>
        <v>4.8506056787833707E-3</v>
      </c>
      <c r="L1558" s="76">
        <v>0</v>
      </c>
      <c r="M1558" s="77">
        <f t="shared" si="4888"/>
        <v>0</v>
      </c>
      <c r="N1558" s="77">
        <f t="shared" si="4889"/>
        <v>0</v>
      </c>
      <c r="O1558" s="77">
        <f t="shared" si="4890"/>
        <v>6.7979916666666661E-3</v>
      </c>
      <c r="P1558" s="77">
        <f t="shared" si="4891"/>
        <v>5.682720777812067E-4</v>
      </c>
      <c r="R1558" t="s">
        <v>177</v>
      </c>
      <c r="S1558" t="s">
        <v>180</v>
      </c>
      <c r="T1558" s="197" t="str">
        <f t="shared" si="4922"/>
        <v>Autopilot_Opportunity_71</v>
      </c>
      <c r="U1558">
        <v>71</v>
      </c>
      <c r="V1558">
        <f>VLOOKUP($U1558,'[2]AP Opportunity'!$Q$1:$T$542,2,FALSE)</f>
        <v>0.56103497141091008</v>
      </c>
      <c r="W1558">
        <f>VLOOKUP($U1558,'[2]AP Opportunity'!$Q$1:$T$542,3,FALSE)</f>
        <v>0.43896502858908992</v>
      </c>
      <c r="X1558">
        <f>VLOOKUP($U1558,'[2]AP Opportunity'!$Q$1:$T$542,4,FALSE)</f>
        <v>0</v>
      </c>
      <c r="Y1558" s="77">
        <f t="shared" si="4923"/>
        <v>1</v>
      </c>
      <c r="Z1558" s="77">
        <f t="shared" si="4927"/>
        <v>5.8797739245479819E-2</v>
      </c>
      <c r="AA1558" s="77">
        <f t="shared" si="4928"/>
        <v>4.772523733034939E-3</v>
      </c>
      <c r="AB1558" s="79">
        <v>1</v>
      </c>
      <c r="AC1558" s="77">
        <f t="shared" si="4892"/>
        <v>7.622069942821821E-3</v>
      </c>
      <c r="AD1558" s="77">
        <f t="shared" ref="AD1558" si="4945">1-(1-AC1558)^(1/12)</f>
        <v>6.3740230367959061E-4</v>
      </c>
      <c r="AE1558" s="77">
        <f t="shared" si="4894"/>
        <v>2.5000000000000001E-3</v>
      </c>
      <c r="AF1558" s="77">
        <f t="shared" ref="AF1558" si="4946">1-(1-AE1558)^(1/12)</f>
        <v>2.0857243058891584E-4</v>
      </c>
      <c r="AH1558" t="s">
        <v>175</v>
      </c>
      <c r="AI1558" t="s">
        <v>180</v>
      </c>
      <c r="AJ1558" s="197" t="str">
        <f t="shared" si="4885"/>
        <v>Lifecycle_Opportunity_71</v>
      </c>
      <c r="AK1558">
        <v>71</v>
      </c>
      <c r="AL1558">
        <f>VLOOKUP($U1558,[2]Standard_Opportunity!$Q$1:$T$542,2,FALSE)</f>
        <v>0.55469848233142727</v>
      </c>
      <c r="AM1558">
        <f>VLOOKUP($U1558,[2]Standard_Opportunity!$Q$1:$T$542,3,FALSE)</f>
        <v>0.44530151766857273</v>
      </c>
      <c r="AN1558">
        <f>VLOOKUP($U1558,[2]Standard_Opportunity!$Q$1:$T$542,4,FALSE)</f>
        <v>0</v>
      </c>
      <c r="AO1558" s="77">
        <f t="shared" si="4886"/>
        <v>1</v>
      </c>
      <c r="AP1558" s="77">
        <f t="shared" si="4896"/>
        <v>5.871362235294969E-2</v>
      </c>
      <c r="AQ1558" s="77">
        <f t="shared" si="4887"/>
        <v>4.7658714221989751E-3</v>
      </c>
      <c r="AR1558" s="79">
        <v>0</v>
      </c>
      <c r="AS1558" s="77">
        <f t="shared" si="4897"/>
        <v>0</v>
      </c>
      <c r="AT1558" s="77">
        <f t="shared" si="4898"/>
        <v>0</v>
      </c>
      <c r="AU1558" s="77">
        <f t="shared" si="4899"/>
        <v>2.5000000000000001E-3</v>
      </c>
      <c r="AV1558" s="77">
        <f t="shared" si="4900"/>
        <v>2.0809499864316017E-4</v>
      </c>
    </row>
    <row r="1559" spans="1:48">
      <c r="A1559" t="s">
        <v>175</v>
      </c>
      <c r="B1559" t="s">
        <v>180</v>
      </c>
      <c r="C1559" s="197" t="str">
        <f t="shared" si="4921"/>
        <v>Lifecycle_Opportunity_70</v>
      </c>
      <c r="D1559">
        <v>70</v>
      </c>
      <c r="E1559">
        <f>VLOOKUP($D1559,'[2]LC Opportunity'!$Q$2:$U$542,2,FALSE)</f>
        <v>1.5333333333333334E-2</v>
      </c>
      <c r="F1559">
        <f>VLOOKUP($D1559,'[2]LC Opportunity'!$Q$2:$U$542,3,FALSE)</f>
        <v>0.25916666666666666</v>
      </c>
      <c r="G1559">
        <f>VLOOKUP($D1559,'[2]LC Opportunity'!$Q$2:$U$542,4,FALSE)</f>
        <v>0.72550000000000003</v>
      </c>
      <c r="H1559">
        <f>VLOOKUP($D1559,'[2]LC Opportunity'!$Q$2:$U$542,5,FALSE)</f>
        <v>0</v>
      </c>
      <c r="I1559" s="77">
        <f t="shared" si="4881"/>
        <v>1</v>
      </c>
      <c r="J1559" s="77">
        <f t="shared" si="4882"/>
        <v>5.9698499999999995E-2</v>
      </c>
      <c r="K1559" s="77">
        <f t="shared" si="4926"/>
        <v>4.8437292547918176E-3</v>
      </c>
      <c r="L1559" s="76">
        <v>0</v>
      </c>
      <c r="M1559" s="77">
        <f t="shared" si="4888"/>
        <v>0</v>
      </c>
      <c r="N1559" s="77">
        <f t="shared" si="4889"/>
        <v>0</v>
      </c>
      <c r="O1559" s="77">
        <f t="shared" si="4890"/>
        <v>6.7894833333333338E-3</v>
      </c>
      <c r="P1559" s="77">
        <f t="shared" si="4891"/>
        <v>5.6755860552792914E-4</v>
      </c>
      <c r="R1559" t="s">
        <v>177</v>
      </c>
      <c r="S1559" t="s">
        <v>180</v>
      </c>
      <c r="T1559" s="197" t="str">
        <f t="shared" si="4922"/>
        <v>Autopilot_Opportunity_70</v>
      </c>
      <c r="U1559">
        <v>70</v>
      </c>
      <c r="V1559">
        <f>VLOOKUP($U1559,'[2]AP Opportunity'!$Q$1:$T$542,2,FALSE)</f>
        <v>0.56103497141091008</v>
      </c>
      <c r="W1559">
        <f>VLOOKUP($U1559,'[2]AP Opportunity'!$Q$1:$T$542,3,FALSE)</f>
        <v>0.43896502858908992</v>
      </c>
      <c r="X1559">
        <f>VLOOKUP($U1559,'[2]AP Opportunity'!$Q$1:$T$542,4,FALSE)</f>
        <v>0</v>
      </c>
      <c r="Y1559" s="77">
        <f t="shared" si="4923"/>
        <v>1</v>
      </c>
      <c r="Z1559" s="77">
        <f t="shared" si="4927"/>
        <v>5.8797739245479819E-2</v>
      </c>
      <c r="AA1559" s="77">
        <f t="shared" si="4928"/>
        <v>4.772523733034939E-3</v>
      </c>
      <c r="AB1559" s="79">
        <v>1</v>
      </c>
      <c r="AC1559" s="77">
        <f t="shared" si="4892"/>
        <v>7.622069942821821E-3</v>
      </c>
      <c r="AD1559" s="77">
        <f t="shared" ref="AD1559" si="4947">1-(1-AC1559)^(1/12)</f>
        <v>6.3740230367959061E-4</v>
      </c>
      <c r="AE1559" s="77">
        <f t="shared" si="4894"/>
        <v>2.5000000000000001E-3</v>
      </c>
      <c r="AF1559" s="77">
        <f t="shared" ref="AF1559" si="4948">1-(1-AE1559)^(1/12)</f>
        <v>2.0857243058891584E-4</v>
      </c>
      <c r="AH1559" t="s">
        <v>175</v>
      </c>
      <c r="AI1559" t="s">
        <v>180</v>
      </c>
      <c r="AJ1559" s="197" t="str">
        <f t="shared" si="4885"/>
        <v>Lifecycle_Opportunity_70</v>
      </c>
      <c r="AK1559">
        <v>70</v>
      </c>
      <c r="AL1559">
        <f>VLOOKUP($U1559,[2]Standard_Opportunity!$Q$1:$T$542,2,FALSE)</f>
        <v>0.54836199325194446</v>
      </c>
      <c r="AM1559">
        <f>VLOOKUP($U1559,[2]Standard_Opportunity!$Q$1:$T$542,3,FALSE)</f>
        <v>0.45163800674805549</v>
      </c>
      <c r="AN1559">
        <f>VLOOKUP($U1559,[2]Standard_Opportunity!$Q$1:$T$542,4,FALSE)</f>
        <v>0</v>
      </c>
      <c r="AO1559" s="77">
        <f t="shared" si="4886"/>
        <v>1</v>
      </c>
      <c r="AP1559" s="77">
        <f t="shared" si="4896"/>
        <v>5.8629505460419548E-2</v>
      </c>
      <c r="AQ1559" s="77">
        <f t="shared" si="4887"/>
        <v>4.7592186268512471E-3</v>
      </c>
      <c r="AR1559" s="79">
        <v>0</v>
      </c>
      <c r="AS1559" s="77">
        <f t="shared" si="4897"/>
        <v>0</v>
      </c>
      <c r="AT1559" s="77">
        <f t="shared" si="4898"/>
        <v>0</v>
      </c>
      <c r="AU1559" s="77">
        <f t="shared" si="4899"/>
        <v>2.5000000000000001E-3</v>
      </c>
      <c r="AV1559" s="77">
        <f t="shared" si="4900"/>
        <v>2.0809499864316017E-4</v>
      </c>
    </row>
    <row r="1560" spans="1:48">
      <c r="A1560" t="s">
        <v>175</v>
      </c>
      <c r="B1560" t="s">
        <v>180</v>
      </c>
      <c r="C1560" s="197" t="str">
        <f t="shared" si="4921"/>
        <v>Lifecycle_Opportunity_69</v>
      </c>
      <c r="D1560">
        <v>69</v>
      </c>
      <c r="E1560">
        <f>VLOOKUP($D1560,'[2]LC Opportunity'!$Q$2:$U$542,2,FALSE)</f>
        <v>1.6E-2</v>
      </c>
      <c r="F1560">
        <f>VLOOKUP($D1560,'[2]LC Opportunity'!$Q$2:$U$542,3,FALSE)</f>
        <v>0.26324999999999998</v>
      </c>
      <c r="G1560">
        <f>VLOOKUP($D1560,'[2]LC Opportunity'!$Q$2:$U$542,4,FALSE)</f>
        <v>0.72075</v>
      </c>
      <c r="H1560">
        <f>VLOOKUP($D1560,'[2]LC Opportunity'!$Q$2:$U$542,5,FALSE)</f>
        <v>0</v>
      </c>
      <c r="I1560" s="77">
        <f t="shared" si="4881"/>
        <v>1</v>
      </c>
      <c r="J1560" s="77">
        <f t="shared" si="4882"/>
        <v>5.961147499999999E-2</v>
      </c>
      <c r="K1560" s="77">
        <f t="shared" si="4926"/>
        <v>4.8368523131310237E-3</v>
      </c>
      <c r="L1560" s="76">
        <v>0</v>
      </c>
      <c r="M1560" s="77">
        <f t="shared" si="4888"/>
        <v>0</v>
      </c>
      <c r="N1560" s="77">
        <f t="shared" si="4889"/>
        <v>0</v>
      </c>
      <c r="O1560" s="77">
        <f t="shared" si="4890"/>
        <v>6.7809749999999998E-3</v>
      </c>
      <c r="P1560" s="77">
        <f t="shared" si="4891"/>
        <v>5.6684513887728105E-4</v>
      </c>
      <c r="R1560" t="s">
        <v>177</v>
      </c>
      <c r="S1560" t="s">
        <v>180</v>
      </c>
      <c r="T1560" s="197" t="str">
        <f t="shared" si="4922"/>
        <v>Autopilot_Opportunity_69</v>
      </c>
      <c r="U1560">
        <v>69</v>
      </c>
      <c r="V1560">
        <f>VLOOKUP($U1560,'[2]AP Opportunity'!$Q$1:$T$542,2,FALSE)</f>
        <v>0.56103497141091008</v>
      </c>
      <c r="W1560">
        <f>VLOOKUP($U1560,'[2]AP Opportunity'!$Q$1:$T$542,3,FALSE)</f>
        <v>0.43896502858908992</v>
      </c>
      <c r="X1560">
        <f>VLOOKUP($U1560,'[2]AP Opportunity'!$Q$1:$T$542,4,FALSE)</f>
        <v>0</v>
      </c>
      <c r="Y1560" s="77">
        <f t="shared" si="4923"/>
        <v>1</v>
      </c>
      <c r="Z1560" s="77">
        <f t="shared" si="4927"/>
        <v>5.8797739245479819E-2</v>
      </c>
      <c r="AA1560" s="77">
        <f t="shared" si="4928"/>
        <v>4.772523733034939E-3</v>
      </c>
      <c r="AB1560" s="79">
        <v>1</v>
      </c>
      <c r="AC1560" s="77">
        <f t="shared" si="4892"/>
        <v>7.622069942821821E-3</v>
      </c>
      <c r="AD1560" s="77">
        <f t="shared" ref="AD1560" si="4949">1-(1-AC1560)^(1/12)</f>
        <v>6.3740230367959061E-4</v>
      </c>
      <c r="AE1560" s="77">
        <f t="shared" si="4894"/>
        <v>2.5000000000000001E-3</v>
      </c>
      <c r="AF1560" s="77">
        <f t="shared" ref="AF1560" si="4950">1-(1-AE1560)^(1/12)</f>
        <v>2.0857243058891584E-4</v>
      </c>
      <c r="AH1560" t="s">
        <v>175</v>
      </c>
      <c r="AI1560" t="s">
        <v>180</v>
      </c>
      <c r="AJ1560" s="197" t="str">
        <f t="shared" si="4885"/>
        <v>Lifecycle_Opportunity_69</v>
      </c>
      <c r="AK1560">
        <v>69</v>
      </c>
      <c r="AL1560">
        <f>VLOOKUP($U1560,[2]Standard_Opportunity!$Q$1:$T$542,2,FALSE)</f>
        <v>0.54202550417246176</v>
      </c>
      <c r="AM1560">
        <f>VLOOKUP($U1560,[2]Standard_Opportunity!$Q$1:$T$542,3,FALSE)</f>
        <v>0.4579744958275383</v>
      </c>
      <c r="AN1560">
        <f>VLOOKUP($U1560,[2]Standard_Opportunity!$Q$1:$T$542,4,FALSE)</f>
        <v>0</v>
      </c>
      <c r="AO1560" s="77">
        <f t="shared" si="4886"/>
        <v>1</v>
      </c>
      <c r="AP1560" s="77">
        <f t="shared" si="4896"/>
        <v>5.8545388567889427E-2</v>
      </c>
      <c r="AQ1560" s="77">
        <f t="shared" si="4887"/>
        <v>4.7525653469178142E-3</v>
      </c>
      <c r="AR1560" s="79">
        <v>0</v>
      </c>
      <c r="AS1560" s="77">
        <f t="shared" si="4897"/>
        <v>0</v>
      </c>
      <c r="AT1560" s="77">
        <f t="shared" si="4898"/>
        <v>0</v>
      </c>
      <c r="AU1560" s="77">
        <f t="shared" si="4899"/>
        <v>2.5000000000000001E-3</v>
      </c>
      <c r="AV1560" s="77">
        <f t="shared" si="4900"/>
        <v>2.0809499864316017E-4</v>
      </c>
    </row>
    <row r="1561" spans="1:48">
      <c r="A1561" t="s">
        <v>175</v>
      </c>
      <c r="B1561" t="s">
        <v>180</v>
      </c>
      <c r="C1561" s="197" t="str">
        <f t="shared" si="4921"/>
        <v>Lifecycle_Opportunity_68</v>
      </c>
      <c r="D1561">
        <v>68</v>
      </c>
      <c r="E1561">
        <f>VLOOKUP($D1561,'[2]LC Opportunity'!$Q$2:$U$542,2,FALSE)</f>
        <v>1.6666666666666666E-2</v>
      </c>
      <c r="F1561">
        <f>VLOOKUP($D1561,'[2]LC Opportunity'!$Q$2:$U$542,3,FALSE)</f>
        <v>0.26733333333333331</v>
      </c>
      <c r="G1561">
        <f>VLOOKUP($D1561,'[2]LC Opportunity'!$Q$2:$U$542,4,FALSE)</f>
        <v>0.71599999999999997</v>
      </c>
      <c r="H1561">
        <f>VLOOKUP($D1561,'[2]LC Opportunity'!$Q$2:$U$542,5,FALSE)</f>
        <v>0</v>
      </c>
      <c r="I1561" s="77">
        <f t="shared" si="4881"/>
        <v>1</v>
      </c>
      <c r="J1561" s="77">
        <f t="shared" si="4882"/>
        <v>5.9524449999999986E-2</v>
      </c>
      <c r="K1561" s="77">
        <f t="shared" si="4926"/>
        <v>4.8299748537197207E-3</v>
      </c>
      <c r="L1561" s="76">
        <v>0</v>
      </c>
      <c r="M1561" s="77">
        <f t="shared" si="4888"/>
        <v>0</v>
      </c>
      <c r="N1561" s="77">
        <f t="shared" si="4889"/>
        <v>0</v>
      </c>
      <c r="O1561" s="77">
        <f t="shared" si="4890"/>
        <v>6.7724666666666659E-3</v>
      </c>
      <c r="P1561" s="77">
        <f t="shared" si="4891"/>
        <v>5.6613167782915141E-4</v>
      </c>
      <c r="R1561" t="s">
        <v>177</v>
      </c>
      <c r="S1561" t="s">
        <v>180</v>
      </c>
      <c r="T1561" s="197" t="str">
        <f t="shared" si="4922"/>
        <v>Autopilot_Opportunity_68</v>
      </c>
      <c r="U1561">
        <v>68</v>
      </c>
      <c r="V1561">
        <f>VLOOKUP($U1561,'[2]AP Opportunity'!$Q$1:$T$542,2,FALSE)</f>
        <v>0.56103497141091008</v>
      </c>
      <c r="W1561">
        <f>VLOOKUP($U1561,'[2]AP Opportunity'!$Q$1:$T$542,3,FALSE)</f>
        <v>0.43896502858908992</v>
      </c>
      <c r="X1561">
        <f>VLOOKUP($U1561,'[2]AP Opportunity'!$Q$1:$T$542,4,FALSE)</f>
        <v>0</v>
      </c>
      <c r="Y1561" s="77">
        <f t="shared" si="4923"/>
        <v>1</v>
      </c>
      <c r="Z1561" s="77">
        <f t="shared" si="4927"/>
        <v>5.8797739245479819E-2</v>
      </c>
      <c r="AA1561" s="77">
        <f t="shared" si="4928"/>
        <v>4.772523733034939E-3</v>
      </c>
      <c r="AB1561" s="79">
        <v>1</v>
      </c>
      <c r="AC1561" s="77">
        <f t="shared" si="4892"/>
        <v>7.622069942821821E-3</v>
      </c>
      <c r="AD1561" s="77">
        <f t="shared" ref="AD1561" si="4951">1-(1-AC1561)^(1/12)</f>
        <v>6.3740230367959061E-4</v>
      </c>
      <c r="AE1561" s="77">
        <f t="shared" si="4894"/>
        <v>2.5000000000000001E-3</v>
      </c>
      <c r="AF1561" s="77">
        <f t="shared" ref="AF1561" si="4952">1-(1-AE1561)^(1/12)</f>
        <v>2.0857243058891584E-4</v>
      </c>
      <c r="AH1561" t="s">
        <v>175</v>
      </c>
      <c r="AI1561" t="s">
        <v>180</v>
      </c>
      <c r="AJ1561" s="197" t="str">
        <f t="shared" si="4885"/>
        <v>Lifecycle_Opportunity_68</v>
      </c>
      <c r="AK1561">
        <v>68</v>
      </c>
      <c r="AL1561">
        <f>VLOOKUP($U1561,[2]Standard_Opportunity!$Q$1:$T$542,2,FALSE)</f>
        <v>0.53568901509297895</v>
      </c>
      <c r="AM1561">
        <f>VLOOKUP($U1561,[2]Standard_Opportunity!$Q$1:$T$542,3,FALSE)</f>
        <v>0.46431098490702111</v>
      </c>
      <c r="AN1561">
        <f>VLOOKUP($U1561,[2]Standard_Opportunity!$Q$1:$T$542,4,FALSE)</f>
        <v>0</v>
      </c>
      <c r="AO1561" s="77">
        <f t="shared" si="4886"/>
        <v>1</v>
      </c>
      <c r="AP1561" s="77">
        <f t="shared" si="4896"/>
        <v>5.8461271675359291E-2</v>
      </c>
      <c r="AQ1561" s="77">
        <f t="shared" si="4887"/>
        <v>4.7459115823245135E-3</v>
      </c>
      <c r="AR1561" s="79">
        <v>0</v>
      </c>
      <c r="AS1561" s="77">
        <f t="shared" si="4897"/>
        <v>0</v>
      </c>
      <c r="AT1561" s="77">
        <f t="shared" si="4898"/>
        <v>0</v>
      </c>
      <c r="AU1561" s="77">
        <f t="shared" si="4899"/>
        <v>2.5000000000000005E-3</v>
      </c>
      <c r="AV1561" s="77">
        <f t="shared" si="4900"/>
        <v>2.0809499864316017E-4</v>
      </c>
    </row>
    <row r="1562" spans="1:48">
      <c r="A1562" t="s">
        <v>175</v>
      </c>
      <c r="B1562" t="s">
        <v>180</v>
      </c>
      <c r="C1562" s="197" t="str">
        <f t="shared" si="4921"/>
        <v>Lifecycle_Opportunity_67</v>
      </c>
      <c r="D1562">
        <v>67</v>
      </c>
      <c r="E1562">
        <f>VLOOKUP($D1562,'[2]LC Opportunity'!$Q$2:$U$542,2,FALSE)</f>
        <v>1.7333333333333333E-2</v>
      </c>
      <c r="F1562">
        <f>VLOOKUP($D1562,'[2]LC Opportunity'!$Q$2:$U$542,3,FALSE)</f>
        <v>0.27141666666666664</v>
      </c>
      <c r="G1562">
        <f>VLOOKUP($D1562,'[2]LC Opportunity'!$Q$2:$U$542,4,FALSE)</f>
        <v>0.71125000000000005</v>
      </c>
      <c r="H1562">
        <f>VLOOKUP($D1562,'[2]LC Opportunity'!$Q$2:$U$542,5,FALSE)</f>
        <v>0</v>
      </c>
      <c r="I1562" s="77">
        <f t="shared" si="4881"/>
        <v>1</v>
      </c>
      <c r="J1562" s="77">
        <f t="shared" si="4882"/>
        <v>5.9437424999999995E-2</v>
      </c>
      <c r="K1562" s="77">
        <f t="shared" si="4926"/>
        <v>4.8230968764766402E-3</v>
      </c>
      <c r="L1562" s="76">
        <v>0</v>
      </c>
      <c r="M1562" s="77">
        <f t="shared" si="4888"/>
        <v>0</v>
      </c>
      <c r="N1562" s="77">
        <f t="shared" si="4889"/>
        <v>0</v>
      </c>
      <c r="O1562" s="77">
        <f t="shared" si="4890"/>
        <v>6.7639583333333336E-3</v>
      </c>
      <c r="P1562" s="77">
        <f t="shared" si="4891"/>
        <v>5.6541822238354023E-4</v>
      </c>
      <c r="R1562" t="s">
        <v>177</v>
      </c>
      <c r="S1562" t="s">
        <v>180</v>
      </c>
      <c r="T1562" s="197" t="str">
        <f t="shared" si="4922"/>
        <v>Autopilot_Opportunity_67</v>
      </c>
      <c r="U1562">
        <v>67</v>
      </c>
      <c r="V1562">
        <f>VLOOKUP($U1562,'[2]AP Opportunity'!$Q$1:$T$542,2,FALSE)</f>
        <v>0.56103497141091008</v>
      </c>
      <c r="W1562">
        <f>VLOOKUP($U1562,'[2]AP Opportunity'!$Q$1:$T$542,3,FALSE)</f>
        <v>0.43896502858908992</v>
      </c>
      <c r="X1562">
        <f>VLOOKUP($U1562,'[2]AP Opportunity'!$Q$1:$T$542,4,FALSE)</f>
        <v>0</v>
      </c>
      <c r="Y1562" s="77">
        <f t="shared" si="4923"/>
        <v>1</v>
      </c>
      <c r="Z1562" s="77">
        <f t="shared" si="4927"/>
        <v>5.8797739245479819E-2</v>
      </c>
      <c r="AA1562" s="77">
        <f t="shared" si="4928"/>
        <v>4.772523733034939E-3</v>
      </c>
      <c r="AB1562" s="79">
        <v>1</v>
      </c>
      <c r="AC1562" s="77">
        <f t="shared" si="4892"/>
        <v>7.622069942821821E-3</v>
      </c>
      <c r="AD1562" s="77">
        <f t="shared" ref="AD1562" si="4953">1-(1-AC1562)^(1/12)</f>
        <v>6.3740230367959061E-4</v>
      </c>
      <c r="AE1562" s="77">
        <f t="shared" si="4894"/>
        <v>2.5000000000000001E-3</v>
      </c>
      <c r="AF1562" s="77">
        <f t="shared" ref="AF1562" si="4954">1-(1-AE1562)^(1/12)</f>
        <v>2.0857243058891584E-4</v>
      </c>
      <c r="AH1562" t="s">
        <v>175</v>
      </c>
      <c r="AI1562" t="s">
        <v>180</v>
      </c>
      <c r="AJ1562" s="197" t="str">
        <f t="shared" si="4885"/>
        <v>Lifecycle_Opportunity_67</v>
      </c>
      <c r="AK1562">
        <v>67</v>
      </c>
      <c r="AL1562">
        <f>VLOOKUP($U1562,[2]Standard_Opportunity!$Q$1:$T$542,2,FALSE)</f>
        <v>0.52935252601349614</v>
      </c>
      <c r="AM1562">
        <f>VLOOKUP($U1562,[2]Standard_Opportunity!$Q$1:$T$542,3,FALSE)</f>
        <v>0.47064747398650386</v>
      </c>
      <c r="AN1562">
        <f>VLOOKUP($U1562,[2]Standard_Opportunity!$Q$1:$T$542,4,FALSE)</f>
        <v>0</v>
      </c>
      <c r="AO1562" s="77">
        <f t="shared" si="4886"/>
        <v>1</v>
      </c>
      <c r="AP1562" s="77">
        <f t="shared" si="4896"/>
        <v>5.8377154782829149E-2</v>
      </c>
      <c r="AQ1562" s="77">
        <f t="shared" si="4887"/>
        <v>4.7392573329980703E-3</v>
      </c>
      <c r="AR1562" s="79">
        <v>0</v>
      </c>
      <c r="AS1562" s="77">
        <f t="shared" si="4897"/>
        <v>0</v>
      </c>
      <c r="AT1562" s="77">
        <f t="shared" si="4898"/>
        <v>0</v>
      </c>
      <c r="AU1562" s="77">
        <f t="shared" si="4899"/>
        <v>2.5000000000000001E-3</v>
      </c>
      <c r="AV1562" s="77">
        <f t="shared" si="4900"/>
        <v>2.0809499864316017E-4</v>
      </c>
    </row>
    <row r="1563" spans="1:48">
      <c r="A1563" t="s">
        <v>175</v>
      </c>
      <c r="B1563" t="s">
        <v>180</v>
      </c>
      <c r="C1563" s="197" t="str">
        <f t="shared" si="4921"/>
        <v>Lifecycle_Opportunity_66</v>
      </c>
      <c r="D1563">
        <v>66</v>
      </c>
      <c r="E1563">
        <f>VLOOKUP($D1563,'[2]LC Opportunity'!$Q$2:$U$542,2,FALSE)</f>
        <v>1.7999999999999999E-2</v>
      </c>
      <c r="F1563">
        <f>VLOOKUP($D1563,'[2]LC Opportunity'!$Q$2:$U$542,3,FALSE)</f>
        <v>0.27549999999999997</v>
      </c>
      <c r="G1563">
        <f>VLOOKUP($D1563,'[2]LC Opportunity'!$Q$2:$U$542,4,FALSE)</f>
        <v>0.70650000000000002</v>
      </c>
      <c r="H1563">
        <f>VLOOKUP($D1563,'[2]LC Opportunity'!$Q$2:$U$542,5,FALSE)</f>
        <v>0</v>
      </c>
      <c r="I1563" s="77">
        <f t="shared" si="4881"/>
        <v>1</v>
      </c>
      <c r="J1563" s="77">
        <f t="shared" si="4882"/>
        <v>5.9350399999999991E-2</v>
      </c>
      <c r="K1563" s="77">
        <f t="shared" si="4926"/>
        <v>4.8162183813198478E-3</v>
      </c>
      <c r="L1563" s="76">
        <v>0</v>
      </c>
      <c r="M1563" s="77">
        <f t="shared" si="4888"/>
        <v>0</v>
      </c>
      <c r="N1563" s="77">
        <f t="shared" si="4889"/>
        <v>0</v>
      </c>
      <c r="O1563" s="77">
        <f t="shared" si="4890"/>
        <v>6.7554499999999996E-3</v>
      </c>
      <c r="P1563" s="77">
        <f t="shared" si="4891"/>
        <v>5.6470477254011442E-4</v>
      </c>
      <c r="R1563" t="s">
        <v>177</v>
      </c>
      <c r="S1563" t="s">
        <v>180</v>
      </c>
      <c r="T1563" s="197" t="str">
        <f t="shared" si="4922"/>
        <v>Autopilot_Opportunity_66</v>
      </c>
      <c r="U1563">
        <v>66</v>
      </c>
      <c r="V1563">
        <f>VLOOKUP($U1563,'[2]AP Opportunity'!$Q$1:$T$542,2,FALSE)</f>
        <v>0.56103497141091008</v>
      </c>
      <c r="W1563">
        <f>VLOOKUP($U1563,'[2]AP Opportunity'!$Q$1:$T$542,3,FALSE)</f>
        <v>0.43896502858908992</v>
      </c>
      <c r="X1563">
        <f>VLOOKUP($U1563,'[2]AP Opportunity'!$Q$1:$T$542,4,FALSE)</f>
        <v>0</v>
      </c>
      <c r="Y1563" s="77">
        <f t="shared" si="4923"/>
        <v>1</v>
      </c>
      <c r="Z1563" s="77">
        <f t="shared" si="4927"/>
        <v>5.8797739245479819E-2</v>
      </c>
      <c r="AA1563" s="77">
        <f t="shared" si="4928"/>
        <v>4.772523733034939E-3</v>
      </c>
      <c r="AB1563" s="79">
        <v>1</v>
      </c>
      <c r="AC1563" s="77">
        <f t="shared" si="4892"/>
        <v>7.622069942821821E-3</v>
      </c>
      <c r="AD1563" s="77">
        <f t="shared" ref="AD1563" si="4955">1-(1-AC1563)^(1/12)</f>
        <v>6.3740230367959061E-4</v>
      </c>
      <c r="AE1563" s="77">
        <f t="shared" si="4894"/>
        <v>2.5000000000000001E-3</v>
      </c>
      <c r="AF1563" s="77">
        <f t="shared" ref="AF1563" si="4956">1-(1-AE1563)^(1/12)</f>
        <v>2.0857243058891584E-4</v>
      </c>
      <c r="AH1563" t="s">
        <v>175</v>
      </c>
      <c r="AI1563" t="s">
        <v>180</v>
      </c>
      <c r="AJ1563" s="197" t="str">
        <f t="shared" si="4885"/>
        <v>Lifecycle_Opportunity_66</v>
      </c>
      <c r="AK1563">
        <v>66</v>
      </c>
      <c r="AL1563">
        <f>VLOOKUP($U1563,[2]Standard_Opportunity!$Q$1:$T$542,2,FALSE)</f>
        <v>0.52301603693401333</v>
      </c>
      <c r="AM1563">
        <f>VLOOKUP($U1563,[2]Standard_Opportunity!$Q$1:$T$542,3,FALSE)</f>
        <v>0.47698396306598667</v>
      </c>
      <c r="AN1563">
        <f>VLOOKUP($U1563,[2]Standard_Opportunity!$Q$1:$T$542,4,FALSE)</f>
        <v>0</v>
      </c>
      <c r="AO1563" s="77">
        <f t="shared" si="4886"/>
        <v>1</v>
      </c>
      <c r="AP1563" s="77">
        <f t="shared" si="4896"/>
        <v>5.8293037890299021E-2</v>
      </c>
      <c r="AQ1563" s="77">
        <f t="shared" si="4887"/>
        <v>4.7326025988643217E-3</v>
      </c>
      <c r="AR1563" s="79">
        <v>0</v>
      </c>
      <c r="AS1563" s="77">
        <f t="shared" si="4897"/>
        <v>0</v>
      </c>
      <c r="AT1563" s="77">
        <f t="shared" si="4898"/>
        <v>0</v>
      </c>
      <c r="AU1563" s="77">
        <f t="shared" si="4899"/>
        <v>2.5000000000000001E-3</v>
      </c>
      <c r="AV1563" s="77">
        <f t="shared" si="4900"/>
        <v>2.0809499864316017E-4</v>
      </c>
    </row>
    <row r="1564" spans="1:48">
      <c r="A1564" t="s">
        <v>175</v>
      </c>
      <c r="B1564" t="s">
        <v>180</v>
      </c>
      <c r="C1564" s="197" t="str">
        <f t="shared" si="4921"/>
        <v>Lifecycle_Opportunity_65</v>
      </c>
      <c r="D1564">
        <v>65</v>
      </c>
      <c r="E1564">
        <f>VLOOKUP($D1564,'[2]LC Opportunity'!$Q$2:$U$542,2,FALSE)</f>
        <v>1.8666666666666665E-2</v>
      </c>
      <c r="F1564">
        <f>VLOOKUP($D1564,'[2]LC Opportunity'!$Q$2:$U$542,3,FALSE)</f>
        <v>0.27958333333333335</v>
      </c>
      <c r="G1564">
        <f>VLOOKUP($D1564,'[2]LC Opportunity'!$Q$2:$U$542,4,FALSE)</f>
        <v>0.70174999999999998</v>
      </c>
      <c r="H1564">
        <f>VLOOKUP($D1564,'[2]LC Opportunity'!$Q$2:$U$542,5,FALSE)</f>
        <v>0</v>
      </c>
      <c r="I1564" s="77">
        <f t="shared" si="4881"/>
        <v>1</v>
      </c>
      <c r="J1564" s="77">
        <f t="shared" si="4882"/>
        <v>5.9263374999999986E-2</v>
      </c>
      <c r="K1564" s="77">
        <f t="shared" si="4926"/>
        <v>4.8093393681680752E-3</v>
      </c>
      <c r="L1564" s="76">
        <v>0</v>
      </c>
      <c r="M1564" s="77">
        <f t="shared" si="4888"/>
        <v>0</v>
      </c>
      <c r="N1564" s="77">
        <f t="shared" si="4889"/>
        <v>0</v>
      </c>
      <c r="O1564" s="77">
        <f t="shared" si="4890"/>
        <v>6.7469416666666665E-3</v>
      </c>
      <c r="P1564" s="77">
        <f t="shared" si="4891"/>
        <v>5.6399132829898502E-4</v>
      </c>
      <c r="R1564" t="s">
        <v>177</v>
      </c>
      <c r="S1564" t="s">
        <v>180</v>
      </c>
      <c r="T1564" s="197" t="str">
        <f t="shared" si="4922"/>
        <v>Autopilot_Opportunity_65</v>
      </c>
      <c r="U1564">
        <v>65</v>
      </c>
      <c r="V1564">
        <f>VLOOKUP($U1564,'[2]AP Opportunity'!$Q$1:$T$542,2,FALSE)</f>
        <v>0.56103497141091008</v>
      </c>
      <c r="W1564">
        <f>VLOOKUP($U1564,'[2]AP Opportunity'!$Q$1:$T$542,3,FALSE)</f>
        <v>0.43896502858908992</v>
      </c>
      <c r="X1564">
        <f>VLOOKUP($U1564,'[2]AP Opportunity'!$Q$1:$T$542,4,FALSE)</f>
        <v>0</v>
      </c>
      <c r="Y1564" s="77">
        <f t="shared" si="4923"/>
        <v>1</v>
      </c>
      <c r="Z1564" s="77">
        <f t="shared" si="4927"/>
        <v>5.8797739245479819E-2</v>
      </c>
      <c r="AA1564" s="77">
        <f t="shared" si="4928"/>
        <v>4.772523733034939E-3</v>
      </c>
      <c r="AB1564" s="79">
        <v>1</v>
      </c>
      <c r="AC1564" s="77">
        <f t="shared" si="4892"/>
        <v>7.622069942821821E-3</v>
      </c>
      <c r="AD1564" s="77">
        <f t="shared" ref="AD1564" si="4957">1-(1-AC1564)^(1/12)</f>
        <v>6.3740230367959061E-4</v>
      </c>
      <c r="AE1564" s="77">
        <f t="shared" si="4894"/>
        <v>2.5000000000000001E-3</v>
      </c>
      <c r="AF1564" s="77">
        <f t="shared" ref="AF1564" si="4958">1-(1-AE1564)^(1/12)</f>
        <v>2.0857243058891584E-4</v>
      </c>
      <c r="AH1564" t="s">
        <v>175</v>
      </c>
      <c r="AI1564" t="s">
        <v>180</v>
      </c>
      <c r="AJ1564" s="197" t="str">
        <f t="shared" si="4885"/>
        <v>Lifecycle_Opportunity_65</v>
      </c>
      <c r="AK1564">
        <v>65</v>
      </c>
      <c r="AL1564">
        <f>VLOOKUP($U1564,[2]Standard_Opportunity!$Q$1:$T$542,2,FALSE)</f>
        <v>0.51667954785453052</v>
      </c>
      <c r="AM1564">
        <f>VLOOKUP($U1564,[2]Standard_Opportunity!$Q$1:$T$542,3,FALSE)</f>
        <v>0.48332045214546948</v>
      </c>
      <c r="AN1564">
        <f>VLOOKUP($U1564,[2]Standard_Opportunity!$Q$1:$T$542,4,FALSE)</f>
        <v>0</v>
      </c>
      <c r="AO1564" s="77">
        <f t="shared" si="4886"/>
        <v>1</v>
      </c>
      <c r="AP1564" s="77">
        <f t="shared" si="4896"/>
        <v>5.8208920997768879E-2</v>
      </c>
      <c r="AQ1564" s="77">
        <f t="shared" si="4887"/>
        <v>4.7259473798495488E-3</v>
      </c>
      <c r="AR1564" s="79">
        <v>0</v>
      </c>
      <c r="AS1564" s="77">
        <f t="shared" si="4897"/>
        <v>0</v>
      </c>
      <c r="AT1564" s="77">
        <f t="shared" si="4898"/>
        <v>0</v>
      </c>
      <c r="AU1564" s="77">
        <f t="shared" si="4899"/>
        <v>2.5000000000000001E-3</v>
      </c>
      <c r="AV1564" s="77">
        <f t="shared" si="4900"/>
        <v>2.0809499864316017E-4</v>
      </c>
    </row>
    <row r="1565" spans="1:48">
      <c r="A1565" t="s">
        <v>175</v>
      </c>
      <c r="B1565" t="s">
        <v>180</v>
      </c>
      <c r="C1565" s="197" t="str">
        <f t="shared" si="4921"/>
        <v>Lifecycle_Opportunity_64</v>
      </c>
      <c r="D1565">
        <v>64</v>
      </c>
      <c r="E1565">
        <f>VLOOKUP($D1565,'[2]LC Opportunity'!$Q$2:$U$542,2,FALSE)</f>
        <v>1.9333333333333334E-2</v>
      </c>
      <c r="F1565">
        <f>VLOOKUP($D1565,'[2]LC Opportunity'!$Q$2:$U$542,3,FALSE)</f>
        <v>0.28366666666666668</v>
      </c>
      <c r="G1565">
        <f>VLOOKUP($D1565,'[2]LC Opportunity'!$Q$2:$U$542,4,FALSE)</f>
        <v>0.69700000000000006</v>
      </c>
      <c r="H1565">
        <f>VLOOKUP($D1565,'[2]LC Opportunity'!$Q$2:$U$542,5,FALSE)</f>
        <v>0</v>
      </c>
      <c r="I1565" s="77">
        <f t="shared" si="4881"/>
        <v>1</v>
      </c>
      <c r="J1565" s="77">
        <f t="shared" si="4882"/>
        <v>5.9176349999999996E-2</v>
      </c>
      <c r="K1565" s="77">
        <f t="shared" si="4926"/>
        <v>4.8024598369398319E-3</v>
      </c>
      <c r="L1565" s="76">
        <v>0</v>
      </c>
      <c r="M1565" s="77">
        <f t="shared" si="4888"/>
        <v>0</v>
      </c>
      <c r="N1565" s="77">
        <f t="shared" si="4889"/>
        <v>0</v>
      </c>
      <c r="O1565" s="77">
        <f t="shared" si="4890"/>
        <v>6.7384333333333334E-3</v>
      </c>
      <c r="P1565" s="77">
        <f t="shared" si="4891"/>
        <v>5.63277889660041E-4</v>
      </c>
      <c r="R1565" t="s">
        <v>177</v>
      </c>
      <c r="S1565" t="s">
        <v>180</v>
      </c>
      <c r="T1565" s="197" t="str">
        <f t="shared" si="4922"/>
        <v>Autopilot_Opportunity_64</v>
      </c>
      <c r="U1565">
        <v>64</v>
      </c>
      <c r="V1565">
        <f>VLOOKUP($U1565,'[2]AP Opportunity'!$Q$1:$T$542,2,FALSE)</f>
        <v>0.56103497141091008</v>
      </c>
      <c r="W1565">
        <f>VLOOKUP($U1565,'[2]AP Opportunity'!$Q$1:$T$542,3,FALSE)</f>
        <v>0.43896502858908992</v>
      </c>
      <c r="X1565">
        <f>VLOOKUP($U1565,'[2]AP Opportunity'!$Q$1:$T$542,4,FALSE)</f>
        <v>0</v>
      </c>
      <c r="Y1565" s="77">
        <f t="shared" si="4923"/>
        <v>1</v>
      </c>
      <c r="Z1565" s="77">
        <f t="shared" si="4927"/>
        <v>5.8797739245479819E-2</v>
      </c>
      <c r="AA1565" s="77">
        <f t="shared" si="4928"/>
        <v>4.772523733034939E-3</v>
      </c>
      <c r="AB1565" s="79">
        <v>1</v>
      </c>
      <c r="AC1565" s="77">
        <f t="shared" si="4892"/>
        <v>7.622069942821821E-3</v>
      </c>
      <c r="AD1565" s="77">
        <f t="shared" ref="AD1565" si="4959">1-(1-AC1565)^(1/12)</f>
        <v>6.3740230367959061E-4</v>
      </c>
      <c r="AE1565" s="77">
        <f t="shared" si="4894"/>
        <v>2.5000000000000001E-3</v>
      </c>
      <c r="AF1565" s="77">
        <f t="shared" ref="AF1565" si="4960">1-(1-AE1565)^(1/12)</f>
        <v>2.0857243058891584E-4</v>
      </c>
      <c r="AH1565" t="s">
        <v>175</v>
      </c>
      <c r="AI1565" t="s">
        <v>180</v>
      </c>
      <c r="AJ1565" s="197" t="str">
        <f t="shared" si="4885"/>
        <v>Lifecycle_Opportunity_64</v>
      </c>
      <c r="AK1565">
        <v>64</v>
      </c>
      <c r="AL1565">
        <f>VLOOKUP($U1565,[2]Standard_Opportunity!$Q$1:$T$542,2,FALSE)</f>
        <v>0.51034305877504771</v>
      </c>
      <c r="AM1565">
        <f>VLOOKUP($U1565,[2]Standard_Opportunity!$Q$1:$T$542,3,FALSE)</f>
        <v>0.48965694122495224</v>
      </c>
      <c r="AN1565">
        <f>VLOOKUP($U1565,[2]Standard_Opportunity!$Q$1:$T$542,4,FALSE)</f>
        <v>0</v>
      </c>
      <c r="AO1565" s="77">
        <f t="shared" si="4886"/>
        <v>1</v>
      </c>
      <c r="AP1565" s="77">
        <f t="shared" si="4896"/>
        <v>5.812480410523875E-2</v>
      </c>
      <c r="AQ1565" s="77">
        <f t="shared" si="4887"/>
        <v>4.7192916758798109E-3</v>
      </c>
      <c r="AR1565" s="79">
        <v>0</v>
      </c>
      <c r="AS1565" s="77">
        <f t="shared" si="4897"/>
        <v>0</v>
      </c>
      <c r="AT1565" s="77">
        <f t="shared" si="4898"/>
        <v>0</v>
      </c>
      <c r="AU1565" s="77">
        <f t="shared" si="4899"/>
        <v>2.5000000000000001E-3</v>
      </c>
      <c r="AV1565" s="77">
        <f t="shared" si="4900"/>
        <v>2.0809499864316017E-4</v>
      </c>
    </row>
    <row r="1566" spans="1:48">
      <c r="A1566" t="s">
        <v>175</v>
      </c>
      <c r="B1566" t="s">
        <v>180</v>
      </c>
      <c r="C1566" s="197" t="str">
        <f t="shared" si="4921"/>
        <v>Lifecycle_Opportunity_63</v>
      </c>
      <c r="D1566">
        <v>63</v>
      </c>
      <c r="E1566">
        <f>VLOOKUP($D1566,'[2]LC Opportunity'!$Q$2:$U$542,2,FALSE)</f>
        <v>0.02</v>
      </c>
      <c r="F1566">
        <f>VLOOKUP($D1566,'[2]LC Opportunity'!$Q$2:$U$542,3,FALSE)</f>
        <v>0.28775000000000001</v>
      </c>
      <c r="G1566">
        <f>VLOOKUP($D1566,'[2]LC Opportunity'!$Q$2:$U$542,4,FALSE)</f>
        <v>0.69225000000000003</v>
      </c>
      <c r="H1566">
        <f>VLOOKUP($D1566,'[2]LC Opportunity'!$Q$2:$U$542,5,FALSE)</f>
        <v>0</v>
      </c>
      <c r="I1566" s="77">
        <f t="shared" si="4881"/>
        <v>1</v>
      </c>
      <c r="J1566" s="77">
        <f t="shared" si="4882"/>
        <v>5.9089324999999991E-2</v>
      </c>
      <c r="K1566" s="77">
        <f t="shared" si="4926"/>
        <v>4.7955797875531836E-3</v>
      </c>
      <c r="L1566" s="76">
        <v>0</v>
      </c>
      <c r="M1566" s="77">
        <f t="shared" si="4888"/>
        <v>0</v>
      </c>
      <c r="N1566" s="77">
        <f t="shared" si="4889"/>
        <v>0</v>
      </c>
      <c r="O1566" s="77">
        <f t="shared" si="4890"/>
        <v>6.7299250000000003E-3</v>
      </c>
      <c r="P1566" s="77">
        <f t="shared" si="4891"/>
        <v>5.6256445662306032E-4</v>
      </c>
      <c r="R1566" t="s">
        <v>177</v>
      </c>
      <c r="S1566" t="s">
        <v>180</v>
      </c>
      <c r="T1566" s="197" t="str">
        <f t="shared" si="4922"/>
        <v>Autopilot_Opportunity_63</v>
      </c>
      <c r="U1566">
        <v>63</v>
      </c>
      <c r="V1566">
        <f>VLOOKUP($U1566,'[2]AP Opportunity'!$Q$1:$T$542,2,FALSE)</f>
        <v>0.56103497141091008</v>
      </c>
      <c r="W1566">
        <f>VLOOKUP($U1566,'[2]AP Opportunity'!$Q$1:$T$542,3,FALSE)</f>
        <v>0.43896502858908992</v>
      </c>
      <c r="X1566">
        <f>VLOOKUP($U1566,'[2]AP Opportunity'!$Q$1:$T$542,4,FALSE)</f>
        <v>0</v>
      </c>
      <c r="Y1566" s="77">
        <f t="shared" si="4923"/>
        <v>1</v>
      </c>
      <c r="Z1566" s="77">
        <f t="shared" si="4927"/>
        <v>5.8797739245479819E-2</v>
      </c>
      <c r="AA1566" s="77">
        <f t="shared" si="4928"/>
        <v>4.772523733034939E-3</v>
      </c>
      <c r="AB1566" s="79">
        <v>1</v>
      </c>
      <c r="AC1566" s="77">
        <f t="shared" si="4892"/>
        <v>7.622069942821821E-3</v>
      </c>
      <c r="AD1566" s="77">
        <f t="shared" ref="AD1566" si="4961">1-(1-AC1566)^(1/12)</f>
        <v>6.3740230367959061E-4</v>
      </c>
      <c r="AE1566" s="77">
        <f t="shared" si="4894"/>
        <v>2.5000000000000001E-3</v>
      </c>
      <c r="AF1566" s="77">
        <f t="shared" ref="AF1566" si="4962">1-(1-AE1566)^(1/12)</f>
        <v>2.0857243058891584E-4</v>
      </c>
      <c r="AH1566" t="s">
        <v>175</v>
      </c>
      <c r="AI1566" t="s">
        <v>180</v>
      </c>
      <c r="AJ1566" s="197" t="str">
        <f t="shared" si="4885"/>
        <v>Lifecycle_Opportunity_63</v>
      </c>
      <c r="AK1566">
        <v>63</v>
      </c>
      <c r="AL1566">
        <f>VLOOKUP($U1566,[2]Standard_Opportunity!$Q$1:$T$542,2,FALSE)</f>
        <v>0.5040065696955649</v>
      </c>
      <c r="AM1566">
        <f>VLOOKUP($U1566,[2]Standard_Opportunity!$Q$1:$T$542,3,FALSE)</f>
        <v>0.49599343030443505</v>
      </c>
      <c r="AN1566">
        <f>VLOOKUP($U1566,[2]Standard_Opportunity!$Q$1:$T$542,4,FALSE)</f>
        <v>0</v>
      </c>
      <c r="AO1566" s="77">
        <f t="shared" si="4886"/>
        <v>1</v>
      </c>
      <c r="AP1566" s="77">
        <f t="shared" si="4896"/>
        <v>5.8040687212708615E-2</v>
      </c>
      <c r="AQ1566" s="77">
        <f t="shared" si="4887"/>
        <v>4.7126354868811671E-3</v>
      </c>
      <c r="AR1566" s="79">
        <v>0</v>
      </c>
      <c r="AS1566" s="77">
        <f t="shared" si="4897"/>
        <v>0</v>
      </c>
      <c r="AT1566" s="77">
        <f t="shared" si="4898"/>
        <v>0</v>
      </c>
      <c r="AU1566" s="77">
        <f t="shared" si="4899"/>
        <v>2.5000000000000001E-3</v>
      </c>
      <c r="AV1566" s="77">
        <f t="shared" si="4900"/>
        <v>2.0809499864316017E-4</v>
      </c>
    </row>
    <row r="1567" spans="1:48">
      <c r="A1567" t="s">
        <v>175</v>
      </c>
      <c r="B1567" t="s">
        <v>180</v>
      </c>
      <c r="C1567" s="197" t="str">
        <f t="shared" si="4921"/>
        <v>Lifecycle_Opportunity_62</v>
      </c>
      <c r="D1567">
        <v>62</v>
      </c>
      <c r="E1567">
        <f>VLOOKUP($D1567,'[2]LC Opportunity'!$Q$2:$U$542,2,FALSE)</f>
        <v>2.0666666666666667E-2</v>
      </c>
      <c r="F1567">
        <f>VLOOKUP($D1567,'[2]LC Opportunity'!$Q$2:$U$542,3,FALSE)</f>
        <v>0.29183333333333333</v>
      </c>
      <c r="G1567">
        <f>VLOOKUP($D1567,'[2]LC Opportunity'!$Q$2:$U$542,4,FALSE)</f>
        <v>0.6875</v>
      </c>
      <c r="H1567">
        <f>VLOOKUP($D1567,'[2]LC Opportunity'!$Q$2:$U$542,5,FALSE)</f>
        <v>0</v>
      </c>
      <c r="I1567" s="77">
        <f t="shared" si="4881"/>
        <v>1</v>
      </c>
      <c r="J1567" s="77">
        <f t="shared" si="4882"/>
        <v>5.9002299999999994E-2</v>
      </c>
      <c r="K1567" s="77">
        <f t="shared" si="4926"/>
        <v>4.7886992199266398E-3</v>
      </c>
      <c r="L1567" s="76">
        <v>0</v>
      </c>
      <c r="M1567" s="77">
        <f t="shared" si="4888"/>
        <v>0</v>
      </c>
      <c r="N1567" s="77">
        <f t="shared" si="4889"/>
        <v>0</v>
      </c>
      <c r="O1567" s="77">
        <f t="shared" si="4890"/>
        <v>6.7214166666666663E-3</v>
      </c>
      <c r="P1567" s="77">
        <f t="shared" si="4891"/>
        <v>5.6185102918815399E-4</v>
      </c>
      <c r="R1567" t="s">
        <v>177</v>
      </c>
      <c r="S1567" t="s">
        <v>180</v>
      </c>
      <c r="T1567" s="197" t="str">
        <f t="shared" si="4922"/>
        <v>Autopilot_Opportunity_62</v>
      </c>
      <c r="U1567">
        <v>62</v>
      </c>
      <c r="V1567">
        <f>VLOOKUP($U1567,'[2]AP Opportunity'!$Q$1:$T$542,2,FALSE)</f>
        <v>0.56103497141091008</v>
      </c>
      <c r="W1567">
        <f>VLOOKUP($U1567,'[2]AP Opportunity'!$Q$1:$T$542,3,FALSE)</f>
        <v>0.43896502858908992</v>
      </c>
      <c r="X1567">
        <f>VLOOKUP($U1567,'[2]AP Opportunity'!$Q$1:$T$542,4,FALSE)</f>
        <v>0</v>
      </c>
      <c r="Y1567" s="77">
        <f t="shared" si="4923"/>
        <v>1</v>
      </c>
      <c r="Z1567" s="77">
        <f t="shared" si="4927"/>
        <v>5.8797739245479819E-2</v>
      </c>
      <c r="AA1567" s="77">
        <f t="shared" si="4928"/>
        <v>4.772523733034939E-3</v>
      </c>
      <c r="AB1567" s="79">
        <v>1</v>
      </c>
      <c r="AC1567" s="77">
        <f t="shared" si="4892"/>
        <v>7.622069942821821E-3</v>
      </c>
      <c r="AD1567" s="77">
        <f t="shared" ref="AD1567" si="4963">1-(1-AC1567)^(1/12)</f>
        <v>6.3740230367959061E-4</v>
      </c>
      <c r="AE1567" s="77">
        <f t="shared" si="4894"/>
        <v>2.5000000000000001E-3</v>
      </c>
      <c r="AF1567" s="77">
        <f t="shared" ref="AF1567" si="4964">1-(1-AE1567)^(1/12)</f>
        <v>2.0857243058891584E-4</v>
      </c>
      <c r="AH1567" t="s">
        <v>175</v>
      </c>
      <c r="AI1567" t="s">
        <v>180</v>
      </c>
      <c r="AJ1567" s="197" t="str">
        <f t="shared" si="4885"/>
        <v>Lifecycle_Opportunity_62</v>
      </c>
      <c r="AK1567">
        <v>62</v>
      </c>
      <c r="AL1567">
        <f>VLOOKUP($U1567,[2]Standard_Opportunity!$Q$1:$T$542,2,FALSE)</f>
        <v>0.49767008061608214</v>
      </c>
      <c r="AM1567">
        <f>VLOOKUP($U1567,[2]Standard_Opportunity!$Q$1:$T$542,3,FALSE)</f>
        <v>0.5023299193839178</v>
      </c>
      <c r="AN1567">
        <f>VLOOKUP($U1567,[2]Standard_Opportunity!$Q$1:$T$542,4,FALSE)</f>
        <v>0</v>
      </c>
      <c r="AO1567" s="77">
        <f t="shared" si="4886"/>
        <v>1</v>
      </c>
      <c r="AP1567" s="77">
        <f t="shared" si="4896"/>
        <v>5.795657032017848E-2</v>
      </c>
      <c r="AQ1567" s="77">
        <f t="shared" si="4887"/>
        <v>4.7059788127796764E-3</v>
      </c>
      <c r="AR1567" s="79">
        <v>0</v>
      </c>
      <c r="AS1567" s="77">
        <f t="shared" si="4897"/>
        <v>0</v>
      </c>
      <c r="AT1567" s="77">
        <f t="shared" si="4898"/>
        <v>0</v>
      </c>
      <c r="AU1567" s="77">
        <f t="shared" si="4899"/>
        <v>2.5000000000000001E-3</v>
      </c>
      <c r="AV1567" s="77">
        <f t="shared" si="4900"/>
        <v>2.0809499864316017E-4</v>
      </c>
    </row>
    <row r="1568" spans="1:48">
      <c r="A1568" t="s">
        <v>175</v>
      </c>
      <c r="B1568" t="s">
        <v>180</v>
      </c>
      <c r="C1568" s="197" t="str">
        <f t="shared" si="4921"/>
        <v>Lifecycle_Opportunity_61</v>
      </c>
      <c r="D1568">
        <v>61</v>
      </c>
      <c r="E1568">
        <f>VLOOKUP($D1568,'[2]LC Opportunity'!$Q$2:$U$542,2,FALSE)</f>
        <v>2.1333333333333333E-2</v>
      </c>
      <c r="F1568">
        <f>VLOOKUP($D1568,'[2]LC Opportunity'!$Q$2:$U$542,3,FALSE)</f>
        <v>0.29591666666666666</v>
      </c>
      <c r="G1568">
        <f>VLOOKUP($D1568,'[2]LC Opportunity'!$Q$2:$U$542,4,FALSE)</f>
        <v>0.68275000000000008</v>
      </c>
      <c r="H1568">
        <f>VLOOKUP($D1568,'[2]LC Opportunity'!$Q$2:$U$542,5,FALSE)</f>
        <v>0</v>
      </c>
      <c r="I1568" s="77">
        <f t="shared" si="4881"/>
        <v>1</v>
      </c>
      <c r="J1568" s="77">
        <f t="shared" si="4882"/>
        <v>5.8915274999999996E-2</v>
      </c>
      <c r="K1568" s="77">
        <f t="shared" si="4926"/>
        <v>4.7818181339787103E-3</v>
      </c>
      <c r="L1568" s="76">
        <v>0</v>
      </c>
      <c r="M1568" s="77">
        <f t="shared" si="4888"/>
        <v>0</v>
      </c>
      <c r="N1568" s="77">
        <f t="shared" si="4889"/>
        <v>0</v>
      </c>
      <c r="O1568" s="77">
        <f t="shared" si="4890"/>
        <v>6.7129083333333332E-3</v>
      </c>
      <c r="P1568" s="77">
        <f t="shared" si="4891"/>
        <v>5.6113760735498897E-4</v>
      </c>
      <c r="R1568" t="s">
        <v>177</v>
      </c>
      <c r="S1568" t="s">
        <v>180</v>
      </c>
      <c r="T1568" s="197" t="str">
        <f t="shared" si="4922"/>
        <v>Autopilot_Opportunity_61</v>
      </c>
      <c r="U1568">
        <v>61</v>
      </c>
      <c r="V1568">
        <f>VLOOKUP($U1568,'[2]AP Opportunity'!$Q$1:$T$542,2,FALSE)</f>
        <v>0.56103497141091008</v>
      </c>
      <c r="W1568">
        <f>VLOOKUP($U1568,'[2]AP Opportunity'!$Q$1:$T$542,3,FALSE)</f>
        <v>0.43896502858908992</v>
      </c>
      <c r="X1568">
        <f>VLOOKUP($U1568,'[2]AP Opportunity'!$Q$1:$T$542,4,FALSE)</f>
        <v>0</v>
      </c>
      <c r="Y1568" s="77">
        <f t="shared" si="4923"/>
        <v>1</v>
      </c>
      <c r="Z1568" s="77">
        <f t="shared" si="4927"/>
        <v>5.8797739245479819E-2</v>
      </c>
      <c r="AA1568" s="77">
        <f t="shared" si="4928"/>
        <v>4.772523733034939E-3</v>
      </c>
      <c r="AB1568" s="79">
        <v>1</v>
      </c>
      <c r="AC1568" s="77">
        <f t="shared" si="4892"/>
        <v>7.622069942821821E-3</v>
      </c>
      <c r="AD1568" s="77">
        <f t="shared" ref="AD1568" si="4965">1-(1-AC1568)^(1/12)</f>
        <v>6.3740230367959061E-4</v>
      </c>
      <c r="AE1568" s="77">
        <f t="shared" si="4894"/>
        <v>2.5000000000000001E-3</v>
      </c>
      <c r="AF1568" s="77">
        <f t="shared" ref="AF1568" si="4966">1-(1-AE1568)^(1/12)</f>
        <v>2.0857243058891584E-4</v>
      </c>
      <c r="AH1568" t="s">
        <v>175</v>
      </c>
      <c r="AI1568" t="s">
        <v>180</v>
      </c>
      <c r="AJ1568" s="197" t="str">
        <f t="shared" si="4885"/>
        <v>Lifecycle_Opportunity_61</v>
      </c>
      <c r="AK1568">
        <v>61</v>
      </c>
      <c r="AL1568">
        <f>VLOOKUP($U1568,[2]Standard_Opportunity!$Q$1:$T$542,2,FALSE)</f>
        <v>0.49133359153659939</v>
      </c>
      <c r="AM1568">
        <f>VLOOKUP($U1568,[2]Standard_Opportunity!$Q$1:$T$542,3,FALSE)</f>
        <v>0.50866640846340061</v>
      </c>
      <c r="AN1568">
        <f>VLOOKUP($U1568,[2]Standard_Opportunity!$Q$1:$T$542,4,FALSE)</f>
        <v>0</v>
      </c>
      <c r="AO1568" s="77">
        <f t="shared" si="4886"/>
        <v>1</v>
      </c>
      <c r="AP1568" s="77">
        <f t="shared" si="4896"/>
        <v>5.7872453427648352E-2</v>
      </c>
      <c r="AQ1568" s="77">
        <f t="shared" si="4887"/>
        <v>4.6993216535013982E-3</v>
      </c>
      <c r="AR1568" s="79">
        <v>0</v>
      </c>
      <c r="AS1568" s="77">
        <f t="shared" si="4897"/>
        <v>0</v>
      </c>
      <c r="AT1568" s="77">
        <f t="shared" si="4898"/>
        <v>0</v>
      </c>
      <c r="AU1568" s="77">
        <f t="shared" si="4899"/>
        <v>2.5000000000000001E-3</v>
      </c>
      <c r="AV1568" s="77">
        <f t="shared" si="4900"/>
        <v>2.0809499864316017E-4</v>
      </c>
    </row>
    <row r="1569" spans="1:48">
      <c r="A1569" t="s">
        <v>175</v>
      </c>
      <c r="B1569" t="s">
        <v>180</v>
      </c>
      <c r="C1569" s="197" t="str">
        <f t="shared" si="4921"/>
        <v>Lifecycle_Opportunity_60</v>
      </c>
      <c r="D1569">
        <v>60</v>
      </c>
      <c r="E1569">
        <f>VLOOKUP($D1569,'[2]LC Opportunity'!$Q$2:$U$542,2,FALSE)</f>
        <v>2.1999999999999999E-2</v>
      </c>
      <c r="F1569">
        <f>VLOOKUP($D1569,'[2]LC Opportunity'!$Q$2:$U$542,3,FALSE)</f>
        <v>0.3</v>
      </c>
      <c r="G1569">
        <f>VLOOKUP($D1569,'[2]LC Opportunity'!$Q$2:$U$542,4,FALSE)</f>
        <v>0.67800000000000005</v>
      </c>
      <c r="H1569">
        <f>VLOOKUP($D1569,'[2]LC Opportunity'!$Q$2:$U$542,5,FALSE)</f>
        <v>0</v>
      </c>
      <c r="I1569" s="77">
        <f t="shared" si="4881"/>
        <v>1</v>
      </c>
      <c r="J1569" s="77">
        <f t="shared" si="4882"/>
        <v>5.8828249999999992E-2</v>
      </c>
      <c r="K1569" s="77">
        <f t="shared" si="4926"/>
        <v>4.7749365296276824E-3</v>
      </c>
      <c r="L1569" s="76">
        <v>0</v>
      </c>
      <c r="M1569" s="77">
        <f t="shared" si="4888"/>
        <v>0</v>
      </c>
      <c r="N1569" s="77">
        <f t="shared" si="4889"/>
        <v>0</v>
      </c>
      <c r="O1569" s="77">
        <f t="shared" si="4890"/>
        <v>6.7043999999999992E-3</v>
      </c>
      <c r="P1569" s="77">
        <f t="shared" si="4891"/>
        <v>5.6042419112367625E-4</v>
      </c>
      <c r="R1569" t="s">
        <v>177</v>
      </c>
      <c r="S1569" t="s">
        <v>180</v>
      </c>
      <c r="T1569" s="197" t="str">
        <f t="shared" si="4922"/>
        <v>Autopilot_Opportunity_60</v>
      </c>
      <c r="U1569">
        <v>60</v>
      </c>
      <c r="V1569">
        <f>VLOOKUP($U1569,'[2]AP Opportunity'!$Q$1:$T$542,2,FALSE)</f>
        <v>0.48499710245711658</v>
      </c>
      <c r="W1569">
        <f>VLOOKUP($U1569,'[2]AP Opportunity'!$Q$1:$T$542,3,FALSE)</f>
        <v>0.51500289754288342</v>
      </c>
      <c r="X1569">
        <f>VLOOKUP($U1569,'[2]AP Opportunity'!$Q$1:$T$542,4,FALSE)</f>
        <v>0</v>
      </c>
      <c r="Y1569" s="77">
        <f t="shared" si="4923"/>
        <v>1</v>
      </c>
      <c r="Z1569" s="77">
        <f t="shared" si="4927"/>
        <v>5.7788336535118216E-2</v>
      </c>
      <c r="AA1569" s="77">
        <f t="shared" si="4928"/>
        <v>4.6926640089726135E-3</v>
      </c>
      <c r="AB1569" s="79">
        <v>1</v>
      </c>
      <c r="AC1569" s="77">
        <f t="shared" si="4892"/>
        <v>7.4699942049142338E-3</v>
      </c>
      <c r="AD1569" s="77">
        <f t="shared" ref="AD1569" si="4967">1-(1-AC1569)^(1/12)</f>
        <v>6.246410254046042E-4</v>
      </c>
      <c r="AE1569" s="77">
        <f t="shared" si="4894"/>
        <v>2.5000000000000001E-3</v>
      </c>
      <c r="AF1569" s="77">
        <f t="shared" ref="AF1569" si="4968">1-(1-AE1569)^(1/12)</f>
        <v>2.0857243058891584E-4</v>
      </c>
      <c r="AH1569" t="s">
        <v>175</v>
      </c>
      <c r="AI1569" t="s">
        <v>180</v>
      </c>
      <c r="AJ1569" s="197" t="str">
        <f t="shared" si="4885"/>
        <v>Lifecycle_Opportunity_60</v>
      </c>
      <c r="AK1569">
        <v>60</v>
      </c>
      <c r="AL1569">
        <f>VLOOKUP($U1569,[2]Standard_Opportunity!$Q$1:$T$542,2,FALSE)</f>
        <v>0.48499710245711658</v>
      </c>
      <c r="AM1569">
        <f>VLOOKUP($U1569,[2]Standard_Opportunity!$Q$1:$T$542,3,FALSE)</f>
        <v>0.51500289754288342</v>
      </c>
      <c r="AN1569">
        <f>VLOOKUP($U1569,[2]Standard_Opportunity!$Q$1:$T$542,4,FALSE)</f>
        <v>0</v>
      </c>
      <c r="AO1569" s="77">
        <f t="shared" si="4886"/>
        <v>1</v>
      </c>
      <c r="AP1569" s="77">
        <f t="shared" si="4896"/>
        <v>5.7788336535118216E-2</v>
      </c>
      <c r="AQ1569" s="77">
        <f t="shared" si="4887"/>
        <v>4.6926640089726135E-3</v>
      </c>
      <c r="AR1569" s="79">
        <v>0</v>
      </c>
      <c r="AS1569" s="77">
        <f t="shared" si="4897"/>
        <v>0</v>
      </c>
      <c r="AT1569" s="77">
        <f t="shared" si="4898"/>
        <v>0</v>
      </c>
      <c r="AU1569" s="77">
        <f t="shared" si="4899"/>
        <v>2.5000000000000001E-3</v>
      </c>
      <c r="AV1569" s="77">
        <f t="shared" si="4900"/>
        <v>2.0809499864316017E-4</v>
      </c>
    </row>
    <row r="1570" spans="1:48">
      <c r="A1570" t="s">
        <v>175</v>
      </c>
      <c r="B1570" t="s">
        <v>180</v>
      </c>
      <c r="C1570" s="197" t="str">
        <f t="shared" si="4921"/>
        <v>Lifecycle_Opportunity_59</v>
      </c>
      <c r="D1570">
        <v>59</v>
      </c>
      <c r="E1570">
        <f>VLOOKUP($D1570,'[2]LC Opportunity'!$Q$2:$U$542,2,FALSE)</f>
        <v>2.2916666666666665E-2</v>
      </c>
      <c r="F1570">
        <f>VLOOKUP($D1570,'[2]LC Opportunity'!$Q$2:$U$542,3,FALSE)</f>
        <v>0.30325000000000002</v>
      </c>
      <c r="G1570">
        <f>VLOOKUP($D1570,'[2]LC Opportunity'!$Q$2:$U$542,4,FALSE)</f>
        <v>0.6738333333333334</v>
      </c>
      <c r="H1570">
        <f>VLOOKUP($D1570,'[2]LC Opportunity'!$Q$2:$U$542,5,FALSE)</f>
        <v>0</v>
      </c>
      <c r="I1570" s="77">
        <f t="shared" si="4881"/>
        <v>1</v>
      </c>
      <c r="J1570" s="77">
        <f t="shared" si="4882"/>
        <v>5.8750443749999999E-2</v>
      </c>
      <c r="K1570" s="77">
        <f t="shared" si="4926"/>
        <v>4.7687834697833775E-3</v>
      </c>
      <c r="L1570" s="76">
        <v>0</v>
      </c>
      <c r="M1570" s="77">
        <f t="shared" si="4888"/>
        <v>0</v>
      </c>
      <c r="N1570" s="77">
        <f t="shared" si="4889"/>
        <v>0</v>
      </c>
      <c r="O1570" s="77">
        <f t="shared" si="4890"/>
        <v>6.6957750000000002E-3</v>
      </c>
      <c r="P1570" s="77">
        <f t="shared" si="4891"/>
        <v>5.5970099821289754E-4</v>
      </c>
      <c r="R1570" t="s">
        <v>177</v>
      </c>
      <c r="S1570" t="s">
        <v>180</v>
      </c>
      <c r="T1570" s="197" t="str">
        <f t="shared" si="4922"/>
        <v>Autopilot_Opportunity_59</v>
      </c>
      <c r="U1570">
        <v>59</v>
      </c>
      <c r="V1570">
        <f>VLOOKUP($U1570,'[2]AP Opportunity'!$Q$1:$T$542,2,FALSE)</f>
        <v>0.48499710245711658</v>
      </c>
      <c r="W1570">
        <f>VLOOKUP($U1570,'[2]AP Opportunity'!$Q$1:$T$542,3,FALSE)</f>
        <v>0.51500289754288342</v>
      </c>
      <c r="X1570">
        <f>VLOOKUP($U1570,'[2]AP Opportunity'!$Q$1:$T$542,4,FALSE)</f>
        <v>0</v>
      </c>
      <c r="Y1570" s="77">
        <f t="shared" si="4923"/>
        <v>1</v>
      </c>
      <c r="Z1570" s="77">
        <f t="shared" si="4927"/>
        <v>5.7788336535118216E-2</v>
      </c>
      <c r="AA1570" s="77">
        <f t="shared" si="4928"/>
        <v>4.6926640089726135E-3</v>
      </c>
      <c r="AB1570" s="79">
        <v>1</v>
      </c>
      <c r="AC1570" s="77">
        <f t="shared" si="4892"/>
        <v>7.4699942049142338E-3</v>
      </c>
      <c r="AD1570" s="77">
        <f t="shared" ref="AD1570" si="4969">1-(1-AC1570)^(1/12)</f>
        <v>6.246410254046042E-4</v>
      </c>
      <c r="AE1570" s="77">
        <f t="shared" si="4894"/>
        <v>2.5000000000000001E-3</v>
      </c>
      <c r="AF1570" s="77">
        <f t="shared" ref="AF1570" si="4970">1-(1-AE1570)^(1/12)</f>
        <v>2.0857243058891584E-4</v>
      </c>
      <c r="AH1570" t="s">
        <v>175</v>
      </c>
      <c r="AI1570" t="s">
        <v>180</v>
      </c>
      <c r="AJ1570" s="197" t="str">
        <f t="shared" si="4885"/>
        <v>Lifecycle_Opportunity_59</v>
      </c>
      <c r="AK1570">
        <v>59</v>
      </c>
      <c r="AL1570">
        <f>VLOOKUP($U1570,[2]Standard_Opportunity!$Q$1:$T$542,2,FALSE)</f>
        <v>0.47933342412301055</v>
      </c>
      <c r="AM1570">
        <f>VLOOKUP($U1570,[2]Standard_Opportunity!$Q$1:$T$542,3,FALSE)</f>
        <v>0.5206665758769895</v>
      </c>
      <c r="AN1570">
        <f>VLOOKUP($U1570,[2]Standard_Opportunity!$Q$1:$T$542,4,FALSE)</f>
        <v>0</v>
      </c>
      <c r="AO1570" s="77">
        <f t="shared" si="4886"/>
        <v>1</v>
      </c>
      <c r="AP1570" s="77">
        <f t="shared" si="4896"/>
        <v>5.771315120523296E-2</v>
      </c>
      <c r="AQ1570" s="77">
        <f t="shared" si="4887"/>
        <v>4.6867128648329093E-3</v>
      </c>
      <c r="AR1570" s="79">
        <v>0</v>
      </c>
      <c r="AS1570" s="77">
        <f t="shared" si="4897"/>
        <v>0</v>
      </c>
      <c r="AT1570" s="77">
        <f t="shared" si="4898"/>
        <v>0</v>
      </c>
      <c r="AU1570" s="77">
        <f t="shared" si="4899"/>
        <v>2.5000000000000005E-3</v>
      </c>
      <c r="AV1570" s="77">
        <f t="shared" si="4900"/>
        <v>2.0809499864316017E-4</v>
      </c>
    </row>
    <row r="1571" spans="1:48">
      <c r="A1571" t="s">
        <v>175</v>
      </c>
      <c r="B1571" t="s">
        <v>180</v>
      </c>
      <c r="C1571" s="197" t="str">
        <f t="shared" si="4921"/>
        <v>Lifecycle_Opportunity_58</v>
      </c>
      <c r="D1571">
        <v>58</v>
      </c>
      <c r="E1571">
        <f>VLOOKUP($D1571,'[2]LC Opportunity'!$Q$2:$U$542,2,FALSE)</f>
        <v>2.3833333333333331E-2</v>
      </c>
      <c r="F1571">
        <f>VLOOKUP($D1571,'[2]LC Opportunity'!$Q$2:$U$542,3,FALSE)</f>
        <v>0.30649999999999999</v>
      </c>
      <c r="G1571">
        <f>VLOOKUP($D1571,'[2]LC Opportunity'!$Q$2:$U$542,4,FALSE)</f>
        <v>0.66966666666666674</v>
      </c>
      <c r="H1571">
        <f>VLOOKUP($D1571,'[2]LC Opportunity'!$Q$2:$U$542,5,FALSE)</f>
        <v>0</v>
      </c>
      <c r="I1571" s="77">
        <f t="shared" si="4881"/>
        <v>1</v>
      </c>
      <c r="J1571" s="77">
        <f t="shared" si="4882"/>
        <v>5.8672637499999999E-2</v>
      </c>
      <c r="K1571" s="77">
        <f t="shared" si="4926"/>
        <v>4.7626299954259821E-3</v>
      </c>
      <c r="L1571" s="76">
        <v>0</v>
      </c>
      <c r="M1571" s="77">
        <f t="shared" si="4888"/>
        <v>0</v>
      </c>
      <c r="N1571" s="77">
        <f t="shared" si="4889"/>
        <v>0</v>
      </c>
      <c r="O1571" s="77">
        <f t="shared" si="4890"/>
        <v>6.6871500000000011E-3</v>
      </c>
      <c r="P1571" s="77">
        <f t="shared" si="4891"/>
        <v>5.5897781105840316E-4</v>
      </c>
      <c r="R1571" t="s">
        <v>177</v>
      </c>
      <c r="S1571" t="s">
        <v>180</v>
      </c>
      <c r="T1571" s="197" t="str">
        <f t="shared" si="4922"/>
        <v>Autopilot_Opportunity_58</v>
      </c>
      <c r="U1571">
        <v>58</v>
      </c>
      <c r="V1571">
        <f>VLOOKUP($U1571,'[2]AP Opportunity'!$Q$1:$T$542,2,FALSE)</f>
        <v>0.48499710245711658</v>
      </c>
      <c r="W1571">
        <f>VLOOKUP($U1571,'[2]AP Opportunity'!$Q$1:$T$542,3,FALSE)</f>
        <v>0.51500289754288342</v>
      </c>
      <c r="X1571">
        <f>VLOOKUP($U1571,'[2]AP Opportunity'!$Q$1:$T$542,4,FALSE)</f>
        <v>0</v>
      </c>
      <c r="Y1571" s="77">
        <f t="shared" si="4923"/>
        <v>1</v>
      </c>
      <c r="Z1571" s="77">
        <f t="shared" si="4927"/>
        <v>5.7788336535118216E-2</v>
      </c>
      <c r="AA1571" s="77">
        <f t="shared" si="4928"/>
        <v>4.6926640089726135E-3</v>
      </c>
      <c r="AB1571" s="79">
        <v>1</v>
      </c>
      <c r="AC1571" s="77">
        <f t="shared" si="4892"/>
        <v>7.4699942049142338E-3</v>
      </c>
      <c r="AD1571" s="77">
        <f t="shared" ref="AD1571" si="4971">1-(1-AC1571)^(1/12)</f>
        <v>6.246410254046042E-4</v>
      </c>
      <c r="AE1571" s="77">
        <f t="shared" si="4894"/>
        <v>2.5000000000000001E-3</v>
      </c>
      <c r="AF1571" s="77">
        <f t="shared" ref="AF1571" si="4972">1-(1-AE1571)^(1/12)</f>
        <v>2.0857243058891584E-4</v>
      </c>
      <c r="AH1571" t="s">
        <v>175</v>
      </c>
      <c r="AI1571" t="s">
        <v>180</v>
      </c>
      <c r="AJ1571" s="197" t="str">
        <f t="shared" si="4885"/>
        <v>Lifecycle_Opportunity_58</v>
      </c>
      <c r="AK1571">
        <v>58</v>
      </c>
      <c r="AL1571">
        <f>VLOOKUP($U1571,[2]Standard_Opportunity!$Q$1:$T$542,2,FALSE)</f>
        <v>0.47366974578890447</v>
      </c>
      <c r="AM1571">
        <f>VLOOKUP($U1571,[2]Standard_Opportunity!$Q$1:$T$542,3,FALSE)</f>
        <v>0.52633025421109547</v>
      </c>
      <c r="AN1571">
        <f>VLOOKUP($U1571,[2]Standard_Opportunity!$Q$1:$T$542,4,FALSE)</f>
        <v>0</v>
      </c>
      <c r="AO1571" s="77">
        <f t="shared" si="4886"/>
        <v>1</v>
      </c>
      <c r="AP1571" s="77">
        <f t="shared" si="4896"/>
        <v>5.7637965875347696E-2</v>
      </c>
      <c r="AQ1571" s="77">
        <f t="shared" si="4887"/>
        <v>4.6807613329078457E-3</v>
      </c>
      <c r="AR1571" s="79">
        <v>0</v>
      </c>
      <c r="AS1571" s="77">
        <f t="shared" si="4897"/>
        <v>0</v>
      </c>
      <c r="AT1571" s="77">
        <f t="shared" si="4898"/>
        <v>0</v>
      </c>
      <c r="AU1571" s="77">
        <f t="shared" si="4899"/>
        <v>2.5000000000000001E-3</v>
      </c>
      <c r="AV1571" s="77">
        <f t="shared" si="4900"/>
        <v>2.0809499864316017E-4</v>
      </c>
    </row>
    <row r="1572" spans="1:48">
      <c r="A1572" t="s">
        <v>175</v>
      </c>
      <c r="B1572" t="s">
        <v>180</v>
      </c>
      <c r="C1572" s="197" t="str">
        <f t="shared" si="4921"/>
        <v>Lifecycle_Opportunity_57</v>
      </c>
      <c r="D1572">
        <v>57</v>
      </c>
      <c r="E1572">
        <f>VLOOKUP($D1572,'[2]LC Opportunity'!$Q$2:$U$542,2,FALSE)</f>
        <v>2.4750000000000001E-2</v>
      </c>
      <c r="F1572">
        <f>VLOOKUP($D1572,'[2]LC Opportunity'!$Q$2:$U$542,3,FALSE)</f>
        <v>0.30974999999999997</v>
      </c>
      <c r="G1572">
        <f>VLOOKUP($D1572,'[2]LC Opportunity'!$Q$2:$U$542,4,FALSE)</f>
        <v>0.66549999999999998</v>
      </c>
      <c r="H1572">
        <f>VLOOKUP($D1572,'[2]LC Opportunity'!$Q$2:$U$542,5,FALSE)</f>
        <v>0</v>
      </c>
      <c r="I1572" s="77">
        <f t="shared" si="4881"/>
        <v>1</v>
      </c>
      <c r="J1572" s="77">
        <f t="shared" si="4882"/>
        <v>5.8594831249999993E-2</v>
      </c>
      <c r="K1572" s="77">
        <f t="shared" si="4926"/>
        <v>4.7564761064973204E-3</v>
      </c>
      <c r="L1572" s="76">
        <v>0</v>
      </c>
      <c r="M1572" s="77">
        <f t="shared" si="4888"/>
        <v>0</v>
      </c>
      <c r="N1572" s="77">
        <f t="shared" si="4889"/>
        <v>0</v>
      </c>
      <c r="O1572" s="77">
        <f t="shared" si="4890"/>
        <v>6.6785249999999994E-3</v>
      </c>
      <c r="P1572" s="77">
        <f t="shared" si="4891"/>
        <v>5.5825462965997108E-4</v>
      </c>
      <c r="R1572" t="s">
        <v>177</v>
      </c>
      <c r="S1572" t="s">
        <v>180</v>
      </c>
      <c r="T1572" s="197" t="str">
        <f t="shared" si="4922"/>
        <v>Autopilot_Opportunity_57</v>
      </c>
      <c r="U1572">
        <v>57</v>
      </c>
      <c r="V1572">
        <f>VLOOKUP($U1572,'[2]AP Opportunity'!$Q$1:$T$542,2,FALSE)</f>
        <v>0.48499710245711658</v>
      </c>
      <c r="W1572">
        <f>VLOOKUP($U1572,'[2]AP Opportunity'!$Q$1:$T$542,3,FALSE)</f>
        <v>0.51500289754288342</v>
      </c>
      <c r="X1572">
        <f>VLOOKUP($U1572,'[2]AP Opportunity'!$Q$1:$T$542,4,FALSE)</f>
        <v>0</v>
      </c>
      <c r="Y1572" s="77">
        <f t="shared" si="4923"/>
        <v>1</v>
      </c>
      <c r="Z1572" s="77">
        <f t="shared" si="4927"/>
        <v>5.7788336535118216E-2</v>
      </c>
      <c r="AA1572" s="77">
        <f t="shared" si="4928"/>
        <v>4.6926640089726135E-3</v>
      </c>
      <c r="AB1572" s="79">
        <v>1</v>
      </c>
      <c r="AC1572" s="77">
        <f t="shared" si="4892"/>
        <v>7.4699942049142338E-3</v>
      </c>
      <c r="AD1572" s="77">
        <f t="shared" ref="AD1572" si="4973">1-(1-AC1572)^(1/12)</f>
        <v>6.246410254046042E-4</v>
      </c>
      <c r="AE1572" s="77">
        <f t="shared" si="4894"/>
        <v>2.5000000000000001E-3</v>
      </c>
      <c r="AF1572" s="77">
        <f t="shared" ref="AF1572" si="4974">1-(1-AE1572)^(1/12)</f>
        <v>2.0857243058891584E-4</v>
      </c>
      <c r="AH1572" t="s">
        <v>175</v>
      </c>
      <c r="AI1572" t="s">
        <v>180</v>
      </c>
      <c r="AJ1572" s="197" t="str">
        <f t="shared" si="4885"/>
        <v>Lifecycle_Opportunity_57</v>
      </c>
      <c r="AK1572">
        <v>57</v>
      </c>
      <c r="AL1572">
        <f>VLOOKUP($U1572,[2]Standard_Opportunity!$Q$1:$T$542,2,FALSE)</f>
        <v>0.46800606745479845</v>
      </c>
      <c r="AM1572">
        <f>VLOOKUP($U1572,[2]Standard_Opportunity!$Q$1:$T$542,3,FALSE)</f>
        <v>0.53199393254520155</v>
      </c>
      <c r="AN1572">
        <f>VLOOKUP($U1572,[2]Standard_Opportunity!$Q$1:$T$542,4,FALSE)</f>
        <v>0</v>
      </c>
      <c r="AO1572" s="77">
        <f t="shared" si="4886"/>
        <v>1</v>
      </c>
      <c r="AP1572" s="77">
        <f t="shared" si="4896"/>
        <v>5.756278054546244E-2</v>
      </c>
      <c r="AQ1572" s="77">
        <f t="shared" si="4887"/>
        <v>4.6748094131447981E-3</v>
      </c>
      <c r="AR1572" s="79">
        <v>0</v>
      </c>
      <c r="AS1572" s="77">
        <f t="shared" si="4897"/>
        <v>0</v>
      </c>
      <c r="AT1572" s="77">
        <f t="shared" si="4898"/>
        <v>0</v>
      </c>
      <c r="AU1572" s="77">
        <f t="shared" si="4899"/>
        <v>2.5000000000000001E-3</v>
      </c>
      <c r="AV1572" s="77">
        <f t="shared" si="4900"/>
        <v>2.0809499864316017E-4</v>
      </c>
    </row>
    <row r="1573" spans="1:48">
      <c r="A1573" t="s">
        <v>175</v>
      </c>
      <c r="B1573" t="s">
        <v>180</v>
      </c>
      <c r="C1573" s="197" t="str">
        <f t="shared" si="4921"/>
        <v>Lifecycle_Opportunity_56</v>
      </c>
      <c r="D1573">
        <v>56</v>
      </c>
      <c r="E1573">
        <f>VLOOKUP($D1573,'[2]LC Opportunity'!$Q$2:$U$542,2,FALSE)</f>
        <v>2.5666666666666667E-2</v>
      </c>
      <c r="F1573">
        <f>VLOOKUP($D1573,'[2]LC Opportunity'!$Q$2:$U$542,3,FALSE)</f>
        <v>0.313</v>
      </c>
      <c r="G1573">
        <f>VLOOKUP($D1573,'[2]LC Opportunity'!$Q$2:$U$542,4,FALSE)</f>
        <v>0.66133333333333333</v>
      </c>
      <c r="H1573">
        <f>VLOOKUP($D1573,'[2]LC Opportunity'!$Q$2:$U$542,5,FALSE)</f>
        <v>0</v>
      </c>
      <c r="I1573" s="77">
        <f t="shared" si="4881"/>
        <v>1</v>
      </c>
      <c r="J1573" s="77">
        <f t="shared" si="4882"/>
        <v>5.8517024999999993E-2</v>
      </c>
      <c r="K1573" s="77">
        <f t="shared" si="4926"/>
        <v>4.7503218029389949E-3</v>
      </c>
      <c r="L1573" s="76">
        <v>0</v>
      </c>
      <c r="M1573" s="77">
        <f t="shared" si="4888"/>
        <v>0</v>
      </c>
      <c r="N1573" s="77">
        <f t="shared" si="4889"/>
        <v>0</v>
      </c>
      <c r="O1573" s="77">
        <f t="shared" si="4890"/>
        <v>6.6698999999999994E-3</v>
      </c>
      <c r="P1573" s="77">
        <f t="shared" si="4891"/>
        <v>5.5753145401771231E-4</v>
      </c>
      <c r="R1573" t="s">
        <v>177</v>
      </c>
      <c r="S1573" t="s">
        <v>180</v>
      </c>
      <c r="T1573" s="197" t="str">
        <f t="shared" si="4922"/>
        <v>Autopilot_Opportunity_56</v>
      </c>
      <c r="U1573">
        <v>56</v>
      </c>
      <c r="V1573">
        <f>VLOOKUP($U1573,'[2]AP Opportunity'!$Q$1:$T$542,2,FALSE)</f>
        <v>0.48499710245711658</v>
      </c>
      <c r="W1573">
        <f>VLOOKUP($U1573,'[2]AP Opportunity'!$Q$1:$T$542,3,FALSE)</f>
        <v>0.51500289754288342</v>
      </c>
      <c r="X1573">
        <f>VLOOKUP($U1573,'[2]AP Opportunity'!$Q$1:$T$542,4,FALSE)</f>
        <v>0</v>
      </c>
      <c r="Y1573" s="77">
        <f t="shared" si="4923"/>
        <v>1</v>
      </c>
      <c r="Z1573" s="77">
        <f t="shared" si="4927"/>
        <v>5.7788336535118216E-2</v>
      </c>
      <c r="AA1573" s="77">
        <f t="shared" si="4928"/>
        <v>4.6926640089726135E-3</v>
      </c>
      <c r="AB1573" s="79">
        <v>1</v>
      </c>
      <c r="AC1573" s="77">
        <f t="shared" si="4892"/>
        <v>7.4699942049142338E-3</v>
      </c>
      <c r="AD1573" s="77">
        <f t="shared" ref="AD1573" si="4975">1-(1-AC1573)^(1/12)</f>
        <v>6.246410254046042E-4</v>
      </c>
      <c r="AE1573" s="77">
        <f t="shared" si="4894"/>
        <v>2.5000000000000001E-3</v>
      </c>
      <c r="AF1573" s="77">
        <f t="shared" ref="AF1573" si="4976">1-(1-AE1573)^(1/12)</f>
        <v>2.0857243058891584E-4</v>
      </c>
      <c r="AH1573" t="s">
        <v>175</v>
      </c>
      <c r="AI1573" t="s">
        <v>180</v>
      </c>
      <c r="AJ1573" s="197" t="str">
        <f t="shared" si="4885"/>
        <v>Lifecycle_Opportunity_56</v>
      </c>
      <c r="AK1573">
        <v>56</v>
      </c>
      <c r="AL1573">
        <f>VLOOKUP($U1573,[2]Standard_Opportunity!$Q$1:$T$542,2,FALSE)</f>
        <v>0.46234238912069242</v>
      </c>
      <c r="AM1573">
        <f>VLOOKUP($U1573,[2]Standard_Opportunity!$Q$1:$T$542,3,FALSE)</f>
        <v>0.53765761087930763</v>
      </c>
      <c r="AN1573">
        <f>VLOOKUP($U1573,[2]Standard_Opportunity!$Q$1:$T$542,4,FALSE)</f>
        <v>0</v>
      </c>
      <c r="AO1573" s="77">
        <f t="shared" si="4886"/>
        <v>1</v>
      </c>
      <c r="AP1573" s="77">
        <f t="shared" si="4896"/>
        <v>5.7487595215577184E-2</v>
      </c>
      <c r="AQ1573" s="77">
        <f t="shared" si="4887"/>
        <v>4.668857105490698E-3</v>
      </c>
      <c r="AR1573" s="79">
        <v>0</v>
      </c>
      <c r="AS1573" s="77">
        <f t="shared" si="4897"/>
        <v>0</v>
      </c>
      <c r="AT1573" s="77">
        <f t="shared" si="4898"/>
        <v>0</v>
      </c>
      <c r="AU1573" s="77">
        <f t="shared" si="4899"/>
        <v>2.5000000000000001E-3</v>
      </c>
      <c r="AV1573" s="77">
        <f t="shared" si="4900"/>
        <v>2.0809499864316017E-4</v>
      </c>
    </row>
    <row r="1574" spans="1:48">
      <c r="A1574" t="s">
        <v>175</v>
      </c>
      <c r="B1574" t="s">
        <v>180</v>
      </c>
      <c r="C1574" s="197" t="str">
        <f t="shared" si="4921"/>
        <v>Lifecycle_Opportunity_55</v>
      </c>
      <c r="D1574">
        <v>55</v>
      </c>
      <c r="E1574">
        <f>VLOOKUP($D1574,'[2]LC Opportunity'!$Q$2:$U$542,2,FALSE)</f>
        <v>2.6583333333333334E-2</v>
      </c>
      <c r="F1574">
        <f>VLOOKUP($D1574,'[2]LC Opportunity'!$Q$2:$U$542,3,FALSE)</f>
        <v>0.31625000000000003</v>
      </c>
      <c r="G1574">
        <f>VLOOKUP($D1574,'[2]LC Opportunity'!$Q$2:$U$542,4,FALSE)</f>
        <v>0.65716666666666668</v>
      </c>
      <c r="H1574">
        <f>VLOOKUP($D1574,'[2]LC Opportunity'!$Q$2:$U$542,5,FALSE)</f>
        <v>0</v>
      </c>
      <c r="I1574" s="77">
        <f t="shared" si="4881"/>
        <v>1</v>
      </c>
      <c r="J1574" s="77">
        <f t="shared" si="4882"/>
        <v>5.8439218749999994E-2</v>
      </c>
      <c r="K1574" s="77">
        <f t="shared" si="4926"/>
        <v>4.7441670846923856E-3</v>
      </c>
      <c r="L1574" s="76">
        <v>0</v>
      </c>
      <c r="M1574" s="77">
        <f t="shared" si="4888"/>
        <v>0</v>
      </c>
      <c r="N1574" s="77">
        <f t="shared" si="4889"/>
        <v>0</v>
      </c>
      <c r="O1574" s="77">
        <f t="shared" si="4890"/>
        <v>6.6612749999999995E-3</v>
      </c>
      <c r="P1574" s="77">
        <f t="shared" si="4891"/>
        <v>5.5680828413140482E-4</v>
      </c>
      <c r="R1574" t="s">
        <v>177</v>
      </c>
      <c r="S1574" t="s">
        <v>180</v>
      </c>
      <c r="T1574" s="197" t="str">
        <f t="shared" si="4922"/>
        <v>Autopilot_Opportunity_55</v>
      </c>
      <c r="U1574">
        <v>55</v>
      </c>
      <c r="V1574">
        <f>VLOOKUP($U1574,'[2]AP Opportunity'!$Q$1:$T$542,2,FALSE)</f>
        <v>0.48499710245711658</v>
      </c>
      <c r="W1574">
        <f>VLOOKUP($U1574,'[2]AP Opportunity'!$Q$1:$T$542,3,FALSE)</f>
        <v>0.51500289754288342</v>
      </c>
      <c r="X1574">
        <f>VLOOKUP($U1574,'[2]AP Opportunity'!$Q$1:$T$542,4,FALSE)</f>
        <v>0</v>
      </c>
      <c r="Y1574" s="77">
        <f t="shared" si="4923"/>
        <v>1</v>
      </c>
      <c r="Z1574" s="77">
        <f t="shared" si="4927"/>
        <v>5.7788336535118216E-2</v>
      </c>
      <c r="AA1574" s="77">
        <f t="shared" si="4928"/>
        <v>4.6926640089726135E-3</v>
      </c>
      <c r="AB1574" s="79">
        <v>1</v>
      </c>
      <c r="AC1574" s="77">
        <f t="shared" si="4892"/>
        <v>7.4699942049142338E-3</v>
      </c>
      <c r="AD1574" s="77">
        <f t="shared" ref="AD1574" si="4977">1-(1-AC1574)^(1/12)</f>
        <v>6.246410254046042E-4</v>
      </c>
      <c r="AE1574" s="77">
        <f t="shared" si="4894"/>
        <v>2.5000000000000001E-3</v>
      </c>
      <c r="AF1574" s="77">
        <f t="shared" ref="AF1574" si="4978">1-(1-AE1574)^(1/12)</f>
        <v>2.0857243058891584E-4</v>
      </c>
      <c r="AH1574" t="s">
        <v>175</v>
      </c>
      <c r="AI1574" t="s">
        <v>180</v>
      </c>
      <c r="AJ1574" s="197" t="str">
        <f t="shared" si="4885"/>
        <v>Lifecycle_Opportunity_55</v>
      </c>
      <c r="AK1574">
        <v>55</v>
      </c>
      <c r="AL1574">
        <f>VLOOKUP($U1574,[2]Standard_Opportunity!$Q$1:$T$542,2,FALSE)</f>
        <v>0.45667871078658634</v>
      </c>
      <c r="AM1574">
        <f>VLOOKUP($U1574,[2]Standard_Opportunity!$Q$1:$T$542,3,FALSE)</f>
        <v>0.54332128921341361</v>
      </c>
      <c r="AN1574">
        <f>VLOOKUP($U1574,[2]Standard_Opportunity!$Q$1:$T$542,4,FALSE)</f>
        <v>0</v>
      </c>
      <c r="AO1574" s="77">
        <f t="shared" si="4886"/>
        <v>1</v>
      </c>
      <c r="AP1574" s="77">
        <f t="shared" si="4896"/>
        <v>5.741240988569192E-2</v>
      </c>
      <c r="AQ1574" s="77">
        <f t="shared" si="4887"/>
        <v>4.6629044098929207E-3</v>
      </c>
      <c r="AR1574" s="79">
        <v>0</v>
      </c>
      <c r="AS1574" s="77">
        <f t="shared" si="4897"/>
        <v>0</v>
      </c>
      <c r="AT1574" s="77">
        <f t="shared" si="4898"/>
        <v>0</v>
      </c>
      <c r="AU1574" s="77">
        <f t="shared" si="4899"/>
        <v>2.5000000000000001E-3</v>
      </c>
      <c r="AV1574" s="77">
        <f t="shared" si="4900"/>
        <v>2.0809499864316017E-4</v>
      </c>
    </row>
    <row r="1575" spans="1:48">
      <c r="A1575" t="s">
        <v>175</v>
      </c>
      <c r="B1575" t="s">
        <v>180</v>
      </c>
      <c r="C1575" s="197" t="str">
        <f t="shared" si="4921"/>
        <v>Lifecycle_Opportunity_54</v>
      </c>
      <c r="D1575">
        <v>54</v>
      </c>
      <c r="E1575">
        <f>VLOOKUP($D1575,'[2]LC Opportunity'!$Q$2:$U$542,2,FALSE)</f>
        <v>2.75E-2</v>
      </c>
      <c r="F1575">
        <f>VLOOKUP($D1575,'[2]LC Opportunity'!$Q$2:$U$542,3,FALSE)</f>
        <v>0.31950000000000001</v>
      </c>
      <c r="G1575">
        <f>VLOOKUP($D1575,'[2]LC Opportunity'!$Q$2:$U$542,4,FALSE)</f>
        <v>0.65300000000000002</v>
      </c>
      <c r="H1575">
        <f>VLOOKUP($D1575,'[2]LC Opportunity'!$Q$2:$U$542,5,FALSE)</f>
        <v>0</v>
      </c>
      <c r="I1575" s="77">
        <f t="shared" si="4881"/>
        <v>1</v>
      </c>
      <c r="J1575" s="77">
        <f t="shared" si="4882"/>
        <v>5.8361412499999987E-2</v>
      </c>
      <c r="K1575" s="77">
        <f t="shared" si="4926"/>
        <v>4.7380119516993169E-3</v>
      </c>
      <c r="L1575" s="76">
        <v>0</v>
      </c>
      <c r="M1575" s="77">
        <f t="shared" si="4888"/>
        <v>0</v>
      </c>
      <c r="N1575" s="77">
        <f t="shared" si="4889"/>
        <v>0</v>
      </c>
      <c r="O1575" s="77">
        <f t="shared" si="4890"/>
        <v>6.6526500000000004E-3</v>
      </c>
      <c r="P1575" s="77">
        <f t="shared" si="4891"/>
        <v>5.5608512000093757E-4</v>
      </c>
      <c r="R1575" t="s">
        <v>177</v>
      </c>
      <c r="S1575" t="s">
        <v>180</v>
      </c>
      <c r="T1575" s="197" t="str">
        <f t="shared" si="4922"/>
        <v>Autopilot_Opportunity_54</v>
      </c>
      <c r="U1575">
        <v>54</v>
      </c>
      <c r="V1575">
        <f>VLOOKUP($U1575,'[2]AP Opportunity'!$Q$1:$T$542,2,FALSE)</f>
        <v>0.48499710245711658</v>
      </c>
      <c r="W1575">
        <f>VLOOKUP($U1575,'[2]AP Opportunity'!$Q$1:$T$542,3,FALSE)</f>
        <v>0.51500289754288342</v>
      </c>
      <c r="X1575">
        <f>VLOOKUP($U1575,'[2]AP Opportunity'!$Q$1:$T$542,4,FALSE)</f>
        <v>0</v>
      </c>
      <c r="Y1575" s="77">
        <f t="shared" si="4923"/>
        <v>1</v>
      </c>
      <c r="Z1575" s="77">
        <f t="shared" si="4927"/>
        <v>5.7788336535118216E-2</v>
      </c>
      <c r="AA1575" s="77">
        <f t="shared" si="4928"/>
        <v>4.6926640089726135E-3</v>
      </c>
      <c r="AB1575" s="79">
        <v>1</v>
      </c>
      <c r="AC1575" s="77">
        <f t="shared" si="4892"/>
        <v>7.4699942049142338E-3</v>
      </c>
      <c r="AD1575" s="77">
        <f t="shared" ref="AD1575" si="4979">1-(1-AC1575)^(1/12)</f>
        <v>6.246410254046042E-4</v>
      </c>
      <c r="AE1575" s="77">
        <f t="shared" si="4894"/>
        <v>2.5000000000000001E-3</v>
      </c>
      <c r="AF1575" s="77">
        <f t="shared" ref="AF1575" si="4980">1-(1-AE1575)^(1/12)</f>
        <v>2.0857243058891584E-4</v>
      </c>
      <c r="AH1575" t="s">
        <v>175</v>
      </c>
      <c r="AI1575" t="s">
        <v>180</v>
      </c>
      <c r="AJ1575" s="197" t="str">
        <f t="shared" si="4885"/>
        <v>Lifecycle_Opportunity_54</v>
      </c>
      <c r="AK1575">
        <v>54</v>
      </c>
      <c r="AL1575">
        <f>VLOOKUP($U1575,[2]Standard_Opportunity!$Q$1:$T$542,2,FALSE)</f>
        <v>0.45101503245248031</v>
      </c>
      <c r="AM1575">
        <f>VLOOKUP($U1575,[2]Standard_Opportunity!$Q$1:$T$542,3,FALSE)</f>
        <v>0.54898496754751969</v>
      </c>
      <c r="AN1575">
        <f>VLOOKUP($U1575,[2]Standard_Opportunity!$Q$1:$T$542,4,FALSE)</f>
        <v>0</v>
      </c>
      <c r="AO1575" s="77">
        <f t="shared" si="4886"/>
        <v>1</v>
      </c>
      <c r="AP1575" s="77">
        <f t="shared" si="4896"/>
        <v>5.7337224555806671E-2</v>
      </c>
      <c r="AQ1575" s="77">
        <f t="shared" si="4887"/>
        <v>4.6569513262983975E-3</v>
      </c>
      <c r="AR1575" s="79">
        <v>0</v>
      </c>
      <c r="AS1575" s="77">
        <f t="shared" si="4897"/>
        <v>0</v>
      </c>
      <c r="AT1575" s="77">
        <f t="shared" si="4898"/>
        <v>0</v>
      </c>
      <c r="AU1575" s="77">
        <f t="shared" si="4899"/>
        <v>2.5000000000000001E-3</v>
      </c>
      <c r="AV1575" s="77">
        <f t="shared" si="4900"/>
        <v>2.0809499864316017E-4</v>
      </c>
    </row>
    <row r="1576" spans="1:48">
      <c r="A1576" t="s">
        <v>175</v>
      </c>
      <c r="B1576" t="s">
        <v>180</v>
      </c>
      <c r="C1576" s="197" t="str">
        <f t="shared" si="4921"/>
        <v>Lifecycle_Opportunity_53</v>
      </c>
      <c r="D1576">
        <v>53</v>
      </c>
      <c r="E1576">
        <f>VLOOKUP($D1576,'[2]LC Opportunity'!$Q$2:$U$542,2,FALSE)</f>
        <v>2.8416666666666666E-2</v>
      </c>
      <c r="F1576">
        <f>VLOOKUP($D1576,'[2]LC Opportunity'!$Q$2:$U$542,3,FALSE)</f>
        <v>0.32274999999999998</v>
      </c>
      <c r="G1576">
        <f>VLOOKUP($D1576,'[2]LC Opportunity'!$Q$2:$U$542,4,FALSE)</f>
        <v>0.64883333333333337</v>
      </c>
      <c r="H1576">
        <f>VLOOKUP($D1576,'[2]LC Opportunity'!$Q$2:$U$542,5,FALSE)</f>
        <v>0</v>
      </c>
      <c r="I1576" s="77">
        <f t="shared" si="4881"/>
        <v>1</v>
      </c>
      <c r="J1576" s="77">
        <f t="shared" si="4882"/>
        <v>5.8283606249999995E-2</v>
      </c>
      <c r="K1576" s="77">
        <f t="shared" si="4926"/>
        <v>4.731856403901169E-3</v>
      </c>
      <c r="L1576" s="76">
        <v>0</v>
      </c>
      <c r="M1576" s="77">
        <f t="shared" si="4888"/>
        <v>0</v>
      </c>
      <c r="N1576" s="77">
        <f t="shared" si="4889"/>
        <v>0</v>
      </c>
      <c r="O1576" s="77">
        <f t="shared" si="4890"/>
        <v>6.6440250000000005E-3</v>
      </c>
      <c r="P1576" s="77">
        <f t="shared" si="4891"/>
        <v>5.5536196162631057E-4</v>
      </c>
      <c r="R1576" t="s">
        <v>177</v>
      </c>
      <c r="S1576" t="s">
        <v>180</v>
      </c>
      <c r="T1576" s="197" t="str">
        <f t="shared" si="4922"/>
        <v>Autopilot_Opportunity_53</v>
      </c>
      <c r="U1576">
        <v>53</v>
      </c>
      <c r="V1576">
        <f>VLOOKUP($U1576,'[2]AP Opportunity'!$Q$1:$T$542,2,FALSE)</f>
        <v>0.48499710245711658</v>
      </c>
      <c r="W1576">
        <f>VLOOKUP($U1576,'[2]AP Opportunity'!$Q$1:$T$542,3,FALSE)</f>
        <v>0.51500289754288342</v>
      </c>
      <c r="X1576">
        <f>VLOOKUP($U1576,'[2]AP Opportunity'!$Q$1:$T$542,4,FALSE)</f>
        <v>0</v>
      </c>
      <c r="Y1576" s="77">
        <f t="shared" si="4923"/>
        <v>1</v>
      </c>
      <c r="Z1576" s="77">
        <f t="shared" si="4927"/>
        <v>5.7788336535118216E-2</v>
      </c>
      <c r="AA1576" s="77">
        <f t="shared" si="4928"/>
        <v>4.6926640089726135E-3</v>
      </c>
      <c r="AB1576" s="79">
        <v>1</v>
      </c>
      <c r="AC1576" s="77">
        <f t="shared" si="4892"/>
        <v>7.4699942049142338E-3</v>
      </c>
      <c r="AD1576" s="77">
        <f t="shared" ref="AD1576" si="4981">1-(1-AC1576)^(1/12)</f>
        <v>6.246410254046042E-4</v>
      </c>
      <c r="AE1576" s="77">
        <f t="shared" si="4894"/>
        <v>2.5000000000000001E-3</v>
      </c>
      <c r="AF1576" s="77">
        <f t="shared" ref="AF1576" si="4982">1-(1-AE1576)^(1/12)</f>
        <v>2.0857243058891584E-4</v>
      </c>
      <c r="AH1576" t="s">
        <v>175</v>
      </c>
      <c r="AI1576" t="s">
        <v>180</v>
      </c>
      <c r="AJ1576" s="197" t="str">
        <f t="shared" si="4885"/>
        <v>Lifecycle_Opportunity_53</v>
      </c>
      <c r="AK1576">
        <v>53</v>
      </c>
      <c r="AL1576">
        <f>VLOOKUP($U1576,[2]Standard_Opportunity!$Q$1:$T$542,2,FALSE)</f>
        <v>0.44535135411837429</v>
      </c>
      <c r="AM1576">
        <f>VLOOKUP($U1576,[2]Standard_Opportunity!$Q$1:$T$542,3,FALSE)</f>
        <v>0.55464864588162577</v>
      </c>
      <c r="AN1576">
        <f>VLOOKUP($U1576,[2]Standard_Opportunity!$Q$1:$T$542,4,FALSE)</f>
        <v>0</v>
      </c>
      <c r="AO1576" s="77">
        <f t="shared" si="4886"/>
        <v>1</v>
      </c>
      <c r="AP1576" s="77">
        <f t="shared" si="4896"/>
        <v>5.7262039225921414E-2</v>
      </c>
      <c r="AQ1576" s="77">
        <f t="shared" si="4887"/>
        <v>4.6509978546545039E-3</v>
      </c>
      <c r="AR1576" s="79">
        <v>0</v>
      </c>
      <c r="AS1576" s="77">
        <f t="shared" si="4897"/>
        <v>0</v>
      </c>
      <c r="AT1576" s="77">
        <f t="shared" si="4898"/>
        <v>0</v>
      </c>
      <c r="AU1576" s="77">
        <f t="shared" si="4899"/>
        <v>2.5000000000000005E-3</v>
      </c>
      <c r="AV1576" s="77">
        <f t="shared" si="4900"/>
        <v>2.0809499864316017E-4</v>
      </c>
    </row>
    <row r="1577" spans="1:48">
      <c r="A1577" t="s">
        <v>175</v>
      </c>
      <c r="B1577" t="s">
        <v>180</v>
      </c>
      <c r="C1577" s="197" t="str">
        <f t="shared" si="4921"/>
        <v>Lifecycle_Opportunity_52</v>
      </c>
      <c r="D1577">
        <v>52</v>
      </c>
      <c r="E1577">
        <f>VLOOKUP($D1577,'[2]LC Opportunity'!$Q$2:$U$542,2,FALSE)</f>
        <v>2.9333333333333333E-2</v>
      </c>
      <c r="F1577">
        <f>VLOOKUP($D1577,'[2]LC Opportunity'!$Q$2:$U$542,3,FALSE)</f>
        <v>0.32600000000000001</v>
      </c>
      <c r="G1577">
        <f>VLOOKUP($D1577,'[2]LC Opportunity'!$Q$2:$U$542,4,FALSE)</f>
        <v>0.64466666666666672</v>
      </c>
      <c r="H1577">
        <f>VLOOKUP($D1577,'[2]LC Opportunity'!$Q$2:$U$542,5,FALSE)</f>
        <v>0</v>
      </c>
      <c r="I1577" s="77">
        <f t="shared" si="4881"/>
        <v>1</v>
      </c>
      <c r="J1577" s="77">
        <f t="shared" si="4882"/>
        <v>5.8205799999999995E-2</v>
      </c>
      <c r="K1577" s="77">
        <f t="shared" si="4926"/>
        <v>4.7257004412397663E-3</v>
      </c>
      <c r="L1577" s="76">
        <v>0</v>
      </c>
      <c r="M1577" s="77">
        <f t="shared" si="4888"/>
        <v>0</v>
      </c>
      <c r="N1577" s="77">
        <f t="shared" si="4889"/>
        <v>0</v>
      </c>
      <c r="O1577" s="77">
        <f t="shared" si="4890"/>
        <v>6.6353999999999996E-3</v>
      </c>
      <c r="P1577" s="77">
        <f t="shared" si="4891"/>
        <v>5.546388090074128E-4</v>
      </c>
      <c r="R1577" t="s">
        <v>177</v>
      </c>
      <c r="S1577" t="s">
        <v>180</v>
      </c>
      <c r="T1577" s="197" t="str">
        <f t="shared" si="4922"/>
        <v>Autopilot_Opportunity_52</v>
      </c>
      <c r="U1577">
        <v>52</v>
      </c>
      <c r="V1577">
        <f>VLOOKUP($U1577,'[2]AP Opportunity'!$Q$1:$T$542,2,FALSE)</f>
        <v>0.48499710245711658</v>
      </c>
      <c r="W1577">
        <f>VLOOKUP($U1577,'[2]AP Opportunity'!$Q$1:$T$542,3,FALSE)</f>
        <v>0.51500289754288342</v>
      </c>
      <c r="X1577">
        <f>VLOOKUP($U1577,'[2]AP Opportunity'!$Q$1:$T$542,4,FALSE)</f>
        <v>0</v>
      </c>
      <c r="Y1577" s="77">
        <f t="shared" si="4923"/>
        <v>1</v>
      </c>
      <c r="Z1577" s="77">
        <f t="shared" si="4927"/>
        <v>5.7788336535118216E-2</v>
      </c>
      <c r="AA1577" s="77">
        <f t="shared" si="4928"/>
        <v>4.6926640089726135E-3</v>
      </c>
      <c r="AB1577" s="79">
        <v>1</v>
      </c>
      <c r="AC1577" s="77">
        <f t="shared" si="4892"/>
        <v>7.4699942049142338E-3</v>
      </c>
      <c r="AD1577" s="77">
        <f t="shared" ref="AD1577" si="4983">1-(1-AC1577)^(1/12)</f>
        <v>6.246410254046042E-4</v>
      </c>
      <c r="AE1577" s="77">
        <f t="shared" si="4894"/>
        <v>2.5000000000000001E-3</v>
      </c>
      <c r="AF1577" s="77">
        <f t="shared" ref="AF1577" si="4984">1-(1-AE1577)^(1/12)</f>
        <v>2.0857243058891584E-4</v>
      </c>
      <c r="AH1577" t="s">
        <v>175</v>
      </c>
      <c r="AI1577" t="s">
        <v>180</v>
      </c>
      <c r="AJ1577" s="197" t="str">
        <f t="shared" si="4885"/>
        <v>Lifecycle_Opportunity_52</v>
      </c>
      <c r="AK1577">
        <v>52</v>
      </c>
      <c r="AL1577">
        <f>VLOOKUP($U1577,[2]Standard_Opportunity!$Q$1:$T$542,2,FALSE)</f>
        <v>0.43968767578426821</v>
      </c>
      <c r="AM1577">
        <f>VLOOKUP($U1577,[2]Standard_Opportunity!$Q$1:$T$542,3,FALSE)</f>
        <v>0.56031232421573174</v>
      </c>
      <c r="AN1577">
        <f>VLOOKUP($U1577,[2]Standard_Opportunity!$Q$1:$T$542,4,FALSE)</f>
        <v>0</v>
      </c>
      <c r="AO1577" s="77">
        <f t="shared" si="4886"/>
        <v>1</v>
      </c>
      <c r="AP1577" s="77">
        <f t="shared" si="4896"/>
        <v>5.7186853896036144E-2</v>
      </c>
      <c r="AQ1577" s="77">
        <f t="shared" si="4887"/>
        <v>4.6450439949081712E-3</v>
      </c>
      <c r="AR1577" s="79">
        <v>0</v>
      </c>
      <c r="AS1577" s="77">
        <f t="shared" si="4897"/>
        <v>0</v>
      </c>
      <c r="AT1577" s="77">
        <f t="shared" si="4898"/>
        <v>0</v>
      </c>
      <c r="AU1577" s="77">
        <f t="shared" si="4899"/>
        <v>2.4999999999999996E-3</v>
      </c>
      <c r="AV1577" s="77">
        <f t="shared" si="4900"/>
        <v>2.0809499864316017E-4</v>
      </c>
    </row>
    <row r="1578" spans="1:48">
      <c r="A1578" t="s">
        <v>175</v>
      </c>
      <c r="B1578" t="s">
        <v>180</v>
      </c>
      <c r="C1578" s="197" t="str">
        <f t="shared" si="4921"/>
        <v>Lifecycle_Opportunity_51</v>
      </c>
      <c r="D1578">
        <v>51</v>
      </c>
      <c r="E1578">
        <f>VLOOKUP($D1578,'[2]LC Opportunity'!$Q$2:$U$542,2,FALSE)</f>
        <v>3.0249999999999999E-2</v>
      </c>
      <c r="F1578">
        <f>VLOOKUP($D1578,'[2]LC Opportunity'!$Q$2:$U$542,3,FALSE)</f>
        <v>0.32925000000000004</v>
      </c>
      <c r="G1578">
        <f>VLOOKUP($D1578,'[2]LC Opportunity'!$Q$2:$U$542,4,FALSE)</f>
        <v>0.64050000000000007</v>
      </c>
      <c r="H1578">
        <f>VLOOKUP($D1578,'[2]LC Opportunity'!$Q$2:$U$542,5,FALSE)</f>
        <v>0</v>
      </c>
      <c r="I1578" s="77">
        <f t="shared" si="4881"/>
        <v>1</v>
      </c>
      <c r="J1578" s="77">
        <f t="shared" si="4882"/>
        <v>5.8127993749999995E-2</v>
      </c>
      <c r="K1578" s="77">
        <f t="shared" si="4926"/>
        <v>4.7195440636560448E-3</v>
      </c>
      <c r="L1578" s="76">
        <v>0</v>
      </c>
      <c r="M1578" s="77">
        <f t="shared" si="4888"/>
        <v>0</v>
      </c>
      <c r="N1578" s="77">
        <f t="shared" si="4889"/>
        <v>0</v>
      </c>
      <c r="O1578" s="77">
        <f t="shared" si="4890"/>
        <v>6.6267750000000005E-3</v>
      </c>
      <c r="P1578" s="77">
        <f t="shared" si="4891"/>
        <v>5.5391566214402221E-4</v>
      </c>
      <c r="R1578" t="s">
        <v>177</v>
      </c>
      <c r="S1578" t="s">
        <v>180</v>
      </c>
      <c r="T1578" s="197" t="str">
        <f t="shared" si="4922"/>
        <v>Autopilot_Opportunity_51</v>
      </c>
      <c r="U1578">
        <v>51</v>
      </c>
      <c r="V1578">
        <f>VLOOKUP($U1578,'[2]AP Opportunity'!$Q$1:$T$542,2,FALSE)</f>
        <v>0.48499710245711658</v>
      </c>
      <c r="W1578">
        <f>VLOOKUP($U1578,'[2]AP Opportunity'!$Q$1:$T$542,3,FALSE)</f>
        <v>0.51500289754288342</v>
      </c>
      <c r="X1578">
        <f>VLOOKUP($U1578,'[2]AP Opportunity'!$Q$1:$T$542,4,FALSE)</f>
        <v>0</v>
      </c>
      <c r="Y1578" s="77">
        <f t="shared" si="4923"/>
        <v>1</v>
      </c>
      <c r="Z1578" s="77">
        <f t="shared" si="4927"/>
        <v>5.7788336535118216E-2</v>
      </c>
      <c r="AA1578" s="77">
        <f t="shared" si="4928"/>
        <v>4.6926640089726135E-3</v>
      </c>
      <c r="AB1578" s="79">
        <v>1</v>
      </c>
      <c r="AC1578" s="77">
        <f t="shared" si="4892"/>
        <v>7.4699942049142338E-3</v>
      </c>
      <c r="AD1578" s="77">
        <f t="shared" ref="AD1578" si="4985">1-(1-AC1578)^(1/12)</f>
        <v>6.246410254046042E-4</v>
      </c>
      <c r="AE1578" s="77">
        <f t="shared" si="4894"/>
        <v>2.5000000000000001E-3</v>
      </c>
      <c r="AF1578" s="77">
        <f t="shared" ref="AF1578" si="4986">1-(1-AE1578)^(1/12)</f>
        <v>2.0857243058891584E-4</v>
      </c>
      <c r="AH1578" t="s">
        <v>175</v>
      </c>
      <c r="AI1578" t="s">
        <v>180</v>
      </c>
      <c r="AJ1578" s="197" t="str">
        <f t="shared" si="4885"/>
        <v>Lifecycle_Opportunity_51</v>
      </c>
      <c r="AK1578">
        <v>51</v>
      </c>
      <c r="AL1578">
        <f>VLOOKUP($U1578,[2]Standard_Opportunity!$Q$1:$T$542,2,FALSE)</f>
        <v>0.43402399745016218</v>
      </c>
      <c r="AM1578">
        <f>VLOOKUP($U1578,[2]Standard_Opportunity!$Q$1:$T$542,3,FALSE)</f>
        <v>0.56597600254983782</v>
      </c>
      <c r="AN1578">
        <f>VLOOKUP($U1578,[2]Standard_Opportunity!$Q$1:$T$542,4,FALSE)</f>
        <v>0</v>
      </c>
      <c r="AO1578" s="77">
        <f t="shared" si="4886"/>
        <v>1</v>
      </c>
      <c r="AP1578" s="77">
        <f t="shared" si="4896"/>
        <v>5.7111668566150894E-2</v>
      </c>
      <c r="AQ1578" s="77">
        <f t="shared" si="4887"/>
        <v>4.6390897470063308E-3</v>
      </c>
      <c r="AR1578" s="79">
        <v>0</v>
      </c>
      <c r="AS1578" s="77">
        <f t="shared" si="4897"/>
        <v>0</v>
      </c>
      <c r="AT1578" s="77">
        <f t="shared" si="4898"/>
        <v>0</v>
      </c>
      <c r="AU1578" s="77">
        <f t="shared" si="4899"/>
        <v>2.5000000000000001E-3</v>
      </c>
      <c r="AV1578" s="77">
        <f t="shared" si="4900"/>
        <v>2.0809499864316017E-4</v>
      </c>
    </row>
    <row r="1579" spans="1:48">
      <c r="A1579" t="s">
        <v>175</v>
      </c>
      <c r="B1579" t="s">
        <v>180</v>
      </c>
      <c r="C1579" s="197" t="str">
        <f t="shared" si="4921"/>
        <v>Lifecycle_Opportunity_50</v>
      </c>
      <c r="D1579">
        <v>50</v>
      </c>
      <c r="E1579">
        <f>VLOOKUP($D1579,'[2]LC Opportunity'!$Q$2:$U$542,2,FALSE)</f>
        <v>3.1166666666666669E-2</v>
      </c>
      <c r="F1579">
        <f>VLOOKUP($D1579,'[2]LC Opportunity'!$Q$2:$U$542,3,FALSE)</f>
        <v>0.33250000000000002</v>
      </c>
      <c r="G1579">
        <f>VLOOKUP($D1579,'[2]LC Opportunity'!$Q$2:$U$542,4,FALSE)</f>
        <v>0.63633333333333331</v>
      </c>
      <c r="H1579">
        <f>VLOOKUP($D1579,'[2]LC Opportunity'!$Q$2:$U$542,5,FALSE)</f>
        <v>0</v>
      </c>
      <c r="I1579" s="77">
        <f t="shared" si="4881"/>
        <v>1</v>
      </c>
      <c r="J1579" s="77">
        <f t="shared" si="4882"/>
        <v>5.8050187499999989E-2</v>
      </c>
      <c r="K1579" s="77">
        <f t="shared" si="4926"/>
        <v>4.7133872710922731E-3</v>
      </c>
      <c r="L1579" s="76">
        <v>0</v>
      </c>
      <c r="M1579" s="77">
        <f t="shared" si="4888"/>
        <v>0</v>
      </c>
      <c r="N1579" s="77">
        <f t="shared" si="4889"/>
        <v>0</v>
      </c>
      <c r="O1579" s="77">
        <f t="shared" si="4890"/>
        <v>6.6181499999999997E-3</v>
      </c>
      <c r="P1579" s="77">
        <f t="shared" si="4891"/>
        <v>5.5319252103613881E-4</v>
      </c>
      <c r="R1579" t="s">
        <v>177</v>
      </c>
      <c r="S1579" t="s">
        <v>180</v>
      </c>
      <c r="T1579" s="197" t="str">
        <f t="shared" si="4922"/>
        <v>Autopilot_Opportunity_50</v>
      </c>
      <c r="U1579">
        <v>50</v>
      </c>
      <c r="V1579">
        <f>VLOOKUP($U1579,'[2]AP Opportunity'!$Q$1:$T$542,2,FALSE)</f>
        <v>0.48499710245711658</v>
      </c>
      <c r="W1579">
        <f>VLOOKUP($U1579,'[2]AP Opportunity'!$Q$1:$T$542,3,FALSE)</f>
        <v>0.51500289754288342</v>
      </c>
      <c r="X1579">
        <f>VLOOKUP($U1579,'[2]AP Opportunity'!$Q$1:$T$542,4,FALSE)</f>
        <v>0</v>
      </c>
      <c r="Y1579" s="77">
        <f t="shared" si="4923"/>
        <v>1</v>
      </c>
      <c r="Z1579" s="77">
        <f t="shared" si="4927"/>
        <v>5.7788336535118216E-2</v>
      </c>
      <c r="AA1579" s="77">
        <f t="shared" si="4928"/>
        <v>4.6926640089726135E-3</v>
      </c>
      <c r="AB1579" s="79">
        <v>1</v>
      </c>
      <c r="AC1579" s="77">
        <f t="shared" si="4892"/>
        <v>7.4699942049142338E-3</v>
      </c>
      <c r="AD1579" s="77">
        <f t="shared" ref="AD1579" si="4987">1-(1-AC1579)^(1/12)</f>
        <v>6.246410254046042E-4</v>
      </c>
      <c r="AE1579" s="77">
        <f t="shared" si="4894"/>
        <v>2.5000000000000001E-3</v>
      </c>
      <c r="AF1579" s="77">
        <f t="shared" ref="AF1579" si="4988">1-(1-AE1579)^(1/12)</f>
        <v>2.0857243058891584E-4</v>
      </c>
      <c r="AH1579" t="s">
        <v>175</v>
      </c>
      <c r="AI1579" t="s">
        <v>180</v>
      </c>
      <c r="AJ1579" s="197" t="str">
        <f t="shared" si="4885"/>
        <v>Lifecycle_Opportunity_50</v>
      </c>
      <c r="AK1579">
        <v>50</v>
      </c>
      <c r="AL1579">
        <f>VLOOKUP($U1579,[2]Standard_Opportunity!$Q$1:$T$542,2,FALSE)</f>
        <v>0.42836031911605615</v>
      </c>
      <c r="AM1579">
        <f>VLOOKUP($U1579,[2]Standard_Opportunity!$Q$1:$T$542,3,FALSE)</f>
        <v>0.5716396808839439</v>
      </c>
      <c r="AN1579">
        <f>VLOOKUP($U1579,[2]Standard_Opportunity!$Q$1:$T$542,4,FALSE)</f>
        <v>0</v>
      </c>
      <c r="AO1579" s="77">
        <f t="shared" si="4886"/>
        <v>1</v>
      </c>
      <c r="AP1579" s="77">
        <f t="shared" si="4896"/>
        <v>5.7036483236265645E-2</v>
      </c>
      <c r="AQ1579" s="77">
        <f t="shared" si="4887"/>
        <v>4.6331351108963581E-3</v>
      </c>
      <c r="AR1579" s="79">
        <v>0</v>
      </c>
      <c r="AS1579" s="77">
        <f t="shared" si="4897"/>
        <v>0</v>
      </c>
      <c r="AT1579" s="77">
        <f t="shared" si="4898"/>
        <v>0</v>
      </c>
      <c r="AU1579" s="77">
        <f t="shared" si="4899"/>
        <v>2.5000000000000005E-3</v>
      </c>
      <c r="AV1579" s="77">
        <f t="shared" si="4900"/>
        <v>2.0809499864316017E-4</v>
      </c>
    </row>
    <row r="1580" spans="1:48">
      <c r="A1580" t="s">
        <v>175</v>
      </c>
      <c r="B1580" t="s">
        <v>180</v>
      </c>
      <c r="C1580" s="197" t="str">
        <f t="shared" si="4921"/>
        <v>Lifecycle_Opportunity_49</v>
      </c>
      <c r="D1580">
        <v>49</v>
      </c>
      <c r="E1580">
        <f>VLOOKUP($D1580,'[2]LC Opportunity'!$Q$2:$U$542,2,FALSE)</f>
        <v>3.2083333333333332E-2</v>
      </c>
      <c r="F1580">
        <f>VLOOKUP($D1580,'[2]LC Opportunity'!$Q$2:$U$542,3,FALSE)</f>
        <v>0.33574999999999999</v>
      </c>
      <c r="G1580">
        <f>VLOOKUP($D1580,'[2]LC Opportunity'!$Q$2:$U$542,4,FALSE)</f>
        <v>0.63216666666666665</v>
      </c>
      <c r="H1580">
        <f>VLOOKUP($D1580,'[2]LC Opportunity'!$Q$2:$U$542,5,FALSE)</f>
        <v>0</v>
      </c>
      <c r="I1580" s="77">
        <f t="shared" si="4881"/>
        <v>1</v>
      </c>
      <c r="J1580" s="77">
        <f t="shared" si="4882"/>
        <v>5.7972381249999989E-2</v>
      </c>
      <c r="K1580" s="77">
        <f t="shared" si="4926"/>
        <v>4.7072300634893871E-3</v>
      </c>
      <c r="L1580" s="76">
        <v>0</v>
      </c>
      <c r="M1580" s="77">
        <f t="shared" si="4888"/>
        <v>0</v>
      </c>
      <c r="N1580" s="77">
        <f t="shared" si="4889"/>
        <v>0</v>
      </c>
      <c r="O1580" s="77">
        <f t="shared" si="4890"/>
        <v>6.6095249999999989E-3</v>
      </c>
      <c r="P1580" s="77">
        <f t="shared" si="4891"/>
        <v>5.5246938568365156E-4</v>
      </c>
      <c r="R1580" t="s">
        <v>177</v>
      </c>
      <c r="S1580" t="s">
        <v>180</v>
      </c>
      <c r="T1580" s="197" t="str">
        <f t="shared" si="4922"/>
        <v>Autopilot_Opportunity_49</v>
      </c>
      <c r="U1580">
        <v>49</v>
      </c>
      <c r="V1580">
        <f>VLOOKUP($U1580,'[2]AP Opportunity'!$Q$1:$T$542,2,FALSE)</f>
        <v>0.48499710245711658</v>
      </c>
      <c r="W1580">
        <f>VLOOKUP($U1580,'[2]AP Opportunity'!$Q$1:$T$542,3,FALSE)</f>
        <v>0.51500289754288342</v>
      </c>
      <c r="X1580">
        <f>VLOOKUP($U1580,'[2]AP Opportunity'!$Q$1:$T$542,4,FALSE)</f>
        <v>0</v>
      </c>
      <c r="Y1580" s="77">
        <f t="shared" si="4923"/>
        <v>1</v>
      </c>
      <c r="Z1580" s="77">
        <f t="shared" si="4927"/>
        <v>5.7788336535118216E-2</v>
      </c>
      <c r="AA1580" s="77">
        <f t="shared" si="4928"/>
        <v>4.6926640089726135E-3</v>
      </c>
      <c r="AB1580" s="79">
        <v>1</v>
      </c>
      <c r="AC1580" s="77">
        <f t="shared" si="4892"/>
        <v>7.4699942049142338E-3</v>
      </c>
      <c r="AD1580" s="77">
        <f t="shared" ref="AD1580" si="4989">1-(1-AC1580)^(1/12)</f>
        <v>6.246410254046042E-4</v>
      </c>
      <c r="AE1580" s="77">
        <f t="shared" si="4894"/>
        <v>2.5000000000000001E-3</v>
      </c>
      <c r="AF1580" s="77">
        <f t="shared" ref="AF1580" si="4990">1-(1-AE1580)^(1/12)</f>
        <v>2.0857243058891584E-4</v>
      </c>
      <c r="AH1580" t="s">
        <v>175</v>
      </c>
      <c r="AI1580" t="s">
        <v>180</v>
      </c>
      <c r="AJ1580" s="197" t="str">
        <f t="shared" si="4885"/>
        <v>Lifecycle_Opportunity_49</v>
      </c>
      <c r="AK1580">
        <v>49</v>
      </c>
      <c r="AL1580">
        <f>VLOOKUP($U1580,[2]Standard_Opportunity!$Q$1:$T$542,2,FALSE)</f>
        <v>0.42269664078195007</v>
      </c>
      <c r="AM1580">
        <f>VLOOKUP($U1580,[2]Standard_Opportunity!$Q$1:$T$542,3,FALSE)</f>
        <v>0.57730335921804987</v>
      </c>
      <c r="AN1580">
        <f>VLOOKUP($U1580,[2]Standard_Opportunity!$Q$1:$T$542,4,FALSE)</f>
        <v>0</v>
      </c>
      <c r="AO1580" s="77">
        <f t="shared" si="4886"/>
        <v>1</v>
      </c>
      <c r="AP1580" s="77">
        <f t="shared" si="4896"/>
        <v>5.6961297906380375E-2</v>
      </c>
      <c r="AQ1580" s="77">
        <f t="shared" si="4887"/>
        <v>4.6271800865251844E-3</v>
      </c>
      <c r="AR1580" s="79">
        <v>0</v>
      </c>
      <c r="AS1580" s="77">
        <f t="shared" si="4897"/>
        <v>0</v>
      </c>
      <c r="AT1580" s="77">
        <f t="shared" si="4898"/>
        <v>0</v>
      </c>
      <c r="AU1580" s="77">
        <f t="shared" si="4899"/>
        <v>2.4999999999999996E-3</v>
      </c>
      <c r="AV1580" s="77">
        <f t="shared" si="4900"/>
        <v>2.0809499864316017E-4</v>
      </c>
    </row>
    <row r="1581" spans="1:48">
      <c r="A1581" t="s">
        <v>175</v>
      </c>
      <c r="B1581" t="s">
        <v>180</v>
      </c>
      <c r="C1581" s="197" t="str">
        <f t="shared" si="4921"/>
        <v>Lifecycle_Opportunity_48</v>
      </c>
      <c r="D1581">
        <v>48</v>
      </c>
      <c r="E1581">
        <f>VLOOKUP($D1581,'[2]LC Opportunity'!$Q$2:$U$542,2,FALSE)</f>
        <v>3.3000000000000002E-2</v>
      </c>
      <c r="F1581">
        <f>VLOOKUP($D1581,'[2]LC Opportunity'!$Q$2:$U$542,3,FALSE)</f>
        <v>0.33900000000000002</v>
      </c>
      <c r="G1581">
        <f>VLOOKUP($D1581,'[2]LC Opportunity'!$Q$2:$U$542,4,FALSE)</f>
        <v>0.628</v>
      </c>
      <c r="H1581">
        <f>VLOOKUP($D1581,'[2]LC Opportunity'!$Q$2:$U$542,5,FALSE)</f>
        <v>0</v>
      </c>
      <c r="I1581" s="77">
        <f t="shared" si="4881"/>
        <v>1</v>
      </c>
      <c r="J1581" s="77">
        <f t="shared" si="4882"/>
        <v>5.7894574999999997E-2</v>
      </c>
      <c r="K1581" s="77">
        <f t="shared" si="4926"/>
        <v>4.7010724407889892E-3</v>
      </c>
      <c r="L1581" s="76">
        <v>0</v>
      </c>
      <c r="M1581" s="77">
        <f t="shared" si="4888"/>
        <v>0</v>
      </c>
      <c r="N1581" s="77">
        <f t="shared" si="4889"/>
        <v>0</v>
      </c>
      <c r="O1581" s="77">
        <f t="shared" si="4890"/>
        <v>6.6008999999999998E-3</v>
      </c>
      <c r="P1581" s="77">
        <f t="shared" si="4891"/>
        <v>5.5174625608644945E-4</v>
      </c>
      <c r="R1581" t="s">
        <v>177</v>
      </c>
      <c r="S1581" t="s">
        <v>180</v>
      </c>
      <c r="T1581" s="197" t="str">
        <f t="shared" si="4922"/>
        <v>Autopilot_Opportunity_48</v>
      </c>
      <c r="U1581">
        <v>48</v>
      </c>
      <c r="V1581">
        <f>VLOOKUP($U1581,'[2]AP Opportunity'!$Q$1:$T$542,2,FALSE)</f>
        <v>0.41703296244784405</v>
      </c>
      <c r="W1581">
        <f>VLOOKUP($U1581,'[2]AP Opportunity'!$Q$1:$T$542,3,FALSE)</f>
        <v>0.58296703755215595</v>
      </c>
      <c r="X1581">
        <f>VLOOKUP($U1581,'[2]AP Opportunity'!$Q$1:$T$542,4,FALSE)</f>
        <v>0</v>
      </c>
      <c r="Y1581" s="77">
        <f t="shared" si="4923"/>
        <v>1</v>
      </c>
      <c r="Z1581" s="77">
        <f t="shared" si="4927"/>
        <v>5.6886112576495118E-2</v>
      </c>
      <c r="AA1581" s="77">
        <f t="shared" si="4928"/>
        <v>4.6212246738399632E-3</v>
      </c>
      <c r="AB1581" s="79">
        <v>1</v>
      </c>
      <c r="AC1581" s="77">
        <f t="shared" si="4892"/>
        <v>7.3340659248956885E-3</v>
      </c>
      <c r="AD1581" s="77">
        <f t="shared" ref="AD1581" si="4991">1-(1-AC1581)^(1/12)</f>
        <v>6.1323626125042718E-4</v>
      </c>
      <c r="AE1581" s="77">
        <f t="shared" si="4894"/>
        <v>2.5000000000000001E-3</v>
      </c>
      <c r="AF1581" s="77">
        <f t="shared" ref="AF1581" si="4992">1-(1-AE1581)^(1/12)</f>
        <v>2.0857243058891584E-4</v>
      </c>
      <c r="AH1581" t="s">
        <v>175</v>
      </c>
      <c r="AI1581" t="s">
        <v>180</v>
      </c>
      <c r="AJ1581" s="197" t="str">
        <f t="shared" si="4885"/>
        <v>Lifecycle_Opportunity_48</v>
      </c>
      <c r="AK1581">
        <v>48</v>
      </c>
      <c r="AL1581">
        <f>VLOOKUP($U1581,[2]Standard_Opportunity!$Q$1:$T$542,2,FALSE)</f>
        <v>0.41703296244784405</v>
      </c>
      <c r="AM1581">
        <f>VLOOKUP($U1581,[2]Standard_Opportunity!$Q$1:$T$542,3,FALSE)</f>
        <v>0.58296703755215595</v>
      </c>
      <c r="AN1581">
        <f>VLOOKUP($U1581,[2]Standard_Opportunity!$Q$1:$T$542,4,FALSE)</f>
        <v>0</v>
      </c>
      <c r="AO1581" s="77">
        <f t="shared" si="4886"/>
        <v>1</v>
      </c>
      <c r="AP1581" s="77">
        <f t="shared" si="4896"/>
        <v>5.6886112576495118E-2</v>
      </c>
      <c r="AQ1581" s="77">
        <f t="shared" si="4887"/>
        <v>4.6212246738399632E-3</v>
      </c>
      <c r="AR1581" s="79">
        <v>0</v>
      </c>
      <c r="AS1581" s="77">
        <f t="shared" si="4897"/>
        <v>0</v>
      </c>
      <c r="AT1581" s="77">
        <f t="shared" si="4898"/>
        <v>0</v>
      </c>
      <c r="AU1581" s="77">
        <f t="shared" si="4899"/>
        <v>2.5000000000000001E-3</v>
      </c>
      <c r="AV1581" s="77">
        <f t="shared" si="4900"/>
        <v>2.0809499864316017E-4</v>
      </c>
    </row>
    <row r="1582" spans="1:48">
      <c r="A1582" t="s">
        <v>175</v>
      </c>
      <c r="B1582" t="s">
        <v>180</v>
      </c>
      <c r="C1582" s="197" t="str">
        <f t="shared" si="4921"/>
        <v>Lifecycle_Opportunity_47</v>
      </c>
      <c r="D1582">
        <v>47</v>
      </c>
      <c r="E1582">
        <f>VLOOKUP($D1582,'[2]LC Opportunity'!$Q$2:$U$542,2,FALSE)</f>
        <v>3.4250000000000003E-2</v>
      </c>
      <c r="F1582">
        <f>VLOOKUP($D1582,'[2]LC Opportunity'!$Q$2:$U$542,3,FALSE)</f>
        <v>0.34133333333333338</v>
      </c>
      <c r="G1582">
        <f>VLOOKUP($D1582,'[2]LC Opportunity'!$Q$2:$U$542,4,FALSE)</f>
        <v>0.62441666666666662</v>
      </c>
      <c r="H1582">
        <f>VLOOKUP($D1582,'[2]LC Opportunity'!$Q$2:$U$542,5,FALSE)</f>
        <v>0</v>
      </c>
      <c r="I1582" s="77">
        <f t="shared" si="4881"/>
        <v>1</v>
      </c>
      <c r="J1582" s="77">
        <f t="shared" si="4882"/>
        <v>5.7825618749999995E-2</v>
      </c>
      <c r="K1582" s="77">
        <f t="shared" si="4926"/>
        <v>4.6956148641847939E-3</v>
      </c>
      <c r="L1582" s="76">
        <v>0</v>
      </c>
      <c r="M1582" s="77">
        <f t="shared" si="4888"/>
        <v>0</v>
      </c>
      <c r="N1582" s="77">
        <f t="shared" si="4889"/>
        <v>0</v>
      </c>
      <c r="O1582" s="77">
        <f t="shared" si="4890"/>
        <v>6.5918666666666664E-3</v>
      </c>
      <c r="P1582" s="77">
        <f t="shared" si="4891"/>
        <v>5.5098889753868452E-4</v>
      </c>
      <c r="R1582" t="s">
        <v>177</v>
      </c>
      <c r="S1582" t="s">
        <v>180</v>
      </c>
      <c r="T1582" s="197" t="str">
        <f t="shared" si="4922"/>
        <v>Autopilot_Opportunity_47</v>
      </c>
      <c r="U1582">
        <v>47</v>
      </c>
      <c r="V1582">
        <f>VLOOKUP($U1582,'[2]AP Opportunity'!$Q$1:$T$542,2,FALSE)</f>
        <v>0.41703296244784405</v>
      </c>
      <c r="W1582">
        <f>VLOOKUP($U1582,'[2]AP Opportunity'!$Q$1:$T$542,3,FALSE)</f>
        <v>0.58296703755215595</v>
      </c>
      <c r="X1582">
        <f>VLOOKUP($U1582,'[2]AP Opportunity'!$Q$1:$T$542,4,FALSE)</f>
        <v>0</v>
      </c>
      <c r="Y1582" s="77">
        <f t="shared" si="4923"/>
        <v>1</v>
      </c>
      <c r="Z1582" s="77">
        <f t="shared" si="4927"/>
        <v>5.6886112576495118E-2</v>
      </c>
      <c r="AA1582" s="77">
        <f t="shared" si="4928"/>
        <v>4.6212246738399632E-3</v>
      </c>
      <c r="AB1582" s="79">
        <v>1</v>
      </c>
      <c r="AC1582" s="77">
        <f t="shared" si="4892"/>
        <v>7.3340659248956885E-3</v>
      </c>
      <c r="AD1582" s="77">
        <f t="shared" ref="AD1582" si="4993">1-(1-AC1582)^(1/12)</f>
        <v>6.1323626125042718E-4</v>
      </c>
      <c r="AE1582" s="77">
        <f t="shared" si="4894"/>
        <v>2.5000000000000001E-3</v>
      </c>
      <c r="AF1582" s="77">
        <f t="shared" ref="AF1582" si="4994">1-(1-AE1582)^(1/12)</f>
        <v>2.0857243058891584E-4</v>
      </c>
      <c r="AH1582" t="s">
        <v>175</v>
      </c>
      <c r="AI1582" t="s">
        <v>180</v>
      </c>
      <c r="AJ1582" s="197" t="str">
        <f t="shared" si="4885"/>
        <v>Lifecycle_Opportunity_47</v>
      </c>
      <c r="AK1582">
        <v>47</v>
      </c>
      <c r="AL1582">
        <f>VLOOKUP($U1582,[2]Standard_Opportunity!$Q$1:$T$542,2,FALSE)</f>
        <v>0.41201239633235442</v>
      </c>
      <c r="AM1582">
        <f>VLOOKUP($U1582,[2]Standard_Opportunity!$Q$1:$T$542,3,FALSE)</f>
        <v>0.58798760366764558</v>
      </c>
      <c r="AN1582">
        <f>VLOOKUP($U1582,[2]Standard_Opportunity!$Q$1:$T$542,4,FALSE)</f>
        <v>0</v>
      </c>
      <c r="AO1582" s="77">
        <f t="shared" si="4886"/>
        <v>1</v>
      </c>
      <c r="AP1582" s="77">
        <f t="shared" si="4896"/>
        <v>5.6819464561311997E-2</v>
      </c>
      <c r="AQ1582" s="77">
        <f t="shared" si="4887"/>
        <v>4.6159451751681679E-3</v>
      </c>
      <c r="AR1582" s="79">
        <v>0</v>
      </c>
      <c r="AS1582" s="77">
        <f t="shared" si="4897"/>
        <v>0</v>
      </c>
      <c r="AT1582" s="77">
        <f t="shared" si="4898"/>
        <v>0</v>
      </c>
      <c r="AU1582" s="77">
        <f t="shared" si="4899"/>
        <v>2.5000000000000001E-3</v>
      </c>
      <c r="AV1582" s="77">
        <f t="shared" si="4900"/>
        <v>2.0809499864316017E-4</v>
      </c>
    </row>
    <row r="1583" spans="1:48">
      <c r="A1583" t="s">
        <v>175</v>
      </c>
      <c r="B1583" t="s">
        <v>180</v>
      </c>
      <c r="C1583" s="197" t="str">
        <f t="shared" si="4921"/>
        <v>Lifecycle_Opportunity_46</v>
      </c>
      <c r="D1583">
        <v>46</v>
      </c>
      <c r="E1583">
        <f>VLOOKUP($D1583,'[2]LC Opportunity'!$Q$2:$U$542,2,FALSE)</f>
        <v>3.5500000000000004E-2</v>
      </c>
      <c r="F1583">
        <f>VLOOKUP($D1583,'[2]LC Opportunity'!$Q$2:$U$542,3,FALSE)</f>
        <v>0.34366666666666668</v>
      </c>
      <c r="G1583">
        <f>VLOOKUP($D1583,'[2]LC Opportunity'!$Q$2:$U$542,4,FALSE)</f>
        <v>0.62083333333333335</v>
      </c>
      <c r="H1583">
        <f>VLOOKUP($D1583,'[2]LC Opportunity'!$Q$2:$U$542,5,FALSE)</f>
        <v>0</v>
      </c>
      <c r="I1583" s="77">
        <f t="shared" si="4881"/>
        <v>1</v>
      </c>
      <c r="J1583" s="77">
        <f t="shared" si="4882"/>
        <v>5.7756662499999993E-2</v>
      </c>
      <c r="K1583" s="77">
        <f t="shared" si="4926"/>
        <v>4.6901569614556937E-3</v>
      </c>
      <c r="L1583" s="76">
        <v>0</v>
      </c>
      <c r="M1583" s="77">
        <f t="shared" si="4888"/>
        <v>0</v>
      </c>
      <c r="N1583" s="77">
        <f t="shared" si="4889"/>
        <v>0</v>
      </c>
      <c r="O1583" s="77">
        <f t="shared" si="4890"/>
        <v>6.5828333333333329E-3</v>
      </c>
      <c r="P1583" s="77">
        <f t="shared" si="4891"/>
        <v>5.5023154530375873E-4</v>
      </c>
      <c r="R1583" t="s">
        <v>177</v>
      </c>
      <c r="S1583" t="s">
        <v>180</v>
      </c>
      <c r="T1583" s="197" t="str">
        <f t="shared" si="4922"/>
        <v>Autopilot_Opportunity_46</v>
      </c>
      <c r="U1583">
        <v>46</v>
      </c>
      <c r="V1583">
        <f>VLOOKUP($U1583,'[2]AP Opportunity'!$Q$1:$T$542,2,FALSE)</f>
        <v>0.41703296244784405</v>
      </c>
      <c r="W1583">
        <f>VLOOKUP($U1583,'[2]AP Opportunity'!$Q$1:$T$542,3,FALSE)</f>
        <v>0.58296703755215595</v>
      </c>
      <c r="X1583">
        <f>VLOOKUP($U1583,'[2]AP Opportunity'!$Q$1:$T$542,4,FALSE)</f>
        <v>0</v>
      </c>
      <c r="Y1583" s="77">
        <f t="shared" si="4923"/>
        <v>1</v>
      </c>
      <c r="Z1583" s="77">
        <f t="shared" si="4927"/>
        <v>5.6886112576495118E-2</v>
      </c>
      <c r="AA1583" s="77">
        <f t="shared" si="4928"/>
        <v>4.6212246738399632E-3</v>
      </c>
      <c r="AB1583" s="79">
        <v>1</v>
      </c>
      <c r="AC1583" s="77">
        <f t="shared" si="4892"/>
        <v>7.3340659248956885E-3</v>
      </c>
      <c r="AD1583" s="77">
        <f t="shared" ref="AD1583" si="4995">1-(1-AC1583)^(1/12)</f>
        <v>6.1323626125042718E-4</v>
      </c>
      <c r="AE1583" s="77">
        <f t="shared" si="4894"/>
        <v>2.5000000000000001E-3</v>
      </c>
      <c r="AF1583" s="77">
        <f t="shared" ref="AF1583" si="4996">1-(1-AE1583)^(1/12)</f>
        <v>2.0857243058891584E-4</v>
      </c>
      <c r="AH1583" t="s">
        <v>175</v>
      </c>
      <c r="AI1583" t="s">
        <v>180</v>
      </c>
      <c r="AJ1583" s="197" t="str">
        <f t="shared" si="4885"/>
        <v>Lifecycle_Opportunity_46</v>
      </c>
      <c r="AK1583">
        <v>46</v>
      </c>
      <c r="AL1583">
        <f>VLOOKUP($U1583,[2]Standard_Opportunity!$Q$1:$T$542,2,FALSE)</f>
        <v>0.4069918302168648</v>
      </c>
      <c r="AM1583">
        <f>VLOOKUP($U1583,[2]Standard_Opportunity!$Q$1:$T$542,3,FALSE)</f>
        <v>0.5930081697831352</v>
      </c>
      <c r="AN1583">
        <f>VLOOKUP($U1583,[2]Standard_Opportunity!$Q$1:$T$542,4,FALSE)</f>
        <v>0</v>
      </c>
      <c r="AO1583" s="77">
        <f t="shared" si="4886"/>
        <v>1</v>
      </c>
      <c r="AP1583" s="77">
        <f t="shared" si="4896"/>
        <v>5.6752816546128876E-2</v>
      </c>
      <c r="AQ1583" s="77">
        <f t="shared" si="4887"/>
        <v>4.6106653712831847E-3</v>
      </c>
      <c r="AR1583" s="79">
        <v>0</v>
      </c>
      <c r="AS1583" s="77">
        <f t="shared" si="4897"/>
        <v>0</v>
      </c>
      <c r="AT1583" s="77">
        <f t="shared" si="4898"/>
        <v>0</v>
      </c>
      <c r="AU1583" s="77">
        <f t="shared" si="4899"/>
        <v>2.5000000000000001E-3</v>
      </c>
      <c r="AV1583" s="77">
        <f t="shared" si="4900"/>
        <v>2.0809499864316017E-4</v>
      </c>
    </row>
    <row r="1584" spans="1:48">
      <c r="A1584" t="s">
        <v>175</v>
      </c>
      <c r="B1584" t="s">
        <v>180</v>
      </c>
      <c r="C1584" s="197" t="str">
        <f t="shared" si="4921"/>
        <v>Lifecycle_Opportunity_45</v>
      </c>
      <c r="D1584">
        <v>45</v>
      </c>
      <c r="E1584">
        <f>VLOOKUP($D1584,'[2]LC Opportunity'!$Q$2:$U$542,2,FALSE)</f>
        <v>3.6750000000000005E-2</v>
      </c>
      <c r="F1584">
        <f>VLOOKUP($D1584,'[2]LC Opportunity'!$Q$2:$U$542,3,FALSE)</f>
        <v>0.34600000000000003</v>
      </c>
      <c r="G1584">
        <f>VLOOKUP($D1584,'[2]LC Opportunity'!$Q$2:$U$542,4,FALSE)</f>
        <v>0.61724999999999997</v>
      </c>
      <c r="H1584">
        <f>VLOOKUP($D1584,'[2]LC Opportunity'!$Q$2:$U$542,5,FALSE)</f>
        <v>0</v>
      </c>
      <c r="I1584" s="77">
        <f t="shared" si="4881"/>
        <v>1</v>
      </c>
      <c r="J1584" s="77">
        <f t="shared" si="4882"/>
        <v>5.7687706249999998E-2</v>
      </c>
      <c r="K1584" s="77">
        <f t="shared" si="4926"/>
        <v>4.6846987325610545E-3</v>
      </c>
      <c r="L1584" s="76">
        <v>0</v>
      </c>
      <c r="M1584" s="77">
        <f t="shared" si="4888"/>
        <v>0</v>
      </c>
      <c r="N1584" s="77">
        <f t="shared" si="4889"/>
        <v>0</v>
      </c>
      <c r="O1584" s="77">
        <f t="shared" si="4890"/>
        <v>6.5737999999999994E-3</v>
      </c>
      <c r="P1584" s="77">
        <f t="shared" si="4891"/>
        <v>5.4947419938167208E-4</v>
      </c>
      <c r="R1584" t="s">
        <v>177</v>
      </c>
      <c r="S1584" t="s">
        <v>180</v>
      </c>
      <c r="T1584" s="197" t="str">
        <f t="shared" si="4922"/>
        <v>Autopilot_Opportunity_45</v>
      </c>
      <c r="U1584">
        <v>45</v>
      </c>
      <c r="V1584">
        <f>VLOOKUP($U1584,'[2]AP Opportunity'!$Q$1:$T$542,2,FALSE)</f>
        <v>0.41703296244784405</v>
      </c>
      <c r="W1584">
        <f>VLOOKUP($U1584,'[2]AP Opportunity'!$Q$1:$T$542,3,FALSE)</f>
        <v>0.58296703755215595</v>
      </c>
      <c r="X1584">
        <f>VLOOKUP($U1584,'[2]AP Opportunity'!$Q$1:$T$542,4,FALSE)</f>
        <v>0</v>
      </c>
      <c r="Y1584" s="77">
        <f t="shared" si="4923"/>
        <v>1</v>
      </c>
      <c r="Z1584" s="77">
        <f t="shared" si="4927"/>
        <v>5.6886112576495118E-2</v>
      </c>
      <c r="AA1584" s="77">
        <f t="shared" si="4928"/>
        <v>4.6212246738399632E-3</v>
      </c>
      <c r="AB1584" s="79">
        <v>1</v>
      </c>
      <c r="AC1584" s="77">
        <f t="shared" si="4892"/>
        <v>7.3340659248956885E-3</v>
      </c>
      <c r="AD1584" s="77">
        <f t="shared" ref="AD1584" si="4997">1-(1-AC1584)^(1/12)</f>
        <v>6.1323626125042718E-4</v>
      </c>
      <c r="AE1584" s="77">
        <f t="shared" si="4894"/>
        <v>2.5000000000000001E-3</v>
      </c>
      <c r="AF1584" s="77">
        <f t="shared" ref="AF1584" si="4998">1-(1-AE1584)^(1/12)</f>
        <v>2.0857243058891584E-4</v>
      </c>
      <c r="AH1584" t="s">
        <v>175</v>
      </c>
      <c r="AI1584" t="s">
        <v>180</v>
      </c>
      <c r="AJ1584" s="197" t="str">
        <f t="shared" si="4885"/>
        <v>Lifecycle_Opportunity_45</v>
      </c>
      <c r="AK1584">
        <v>45</v>
      </c>
      <c r="AL1584">
        <f>VLOOKUP($U1584,[2]Standard_Opportunity!$Q$1:$T$542,2,FALSE)</f>
        <v>0.40197126410137518</v>
      </c>
      <c r="AM1584">
        <f>VLOOKUP($U1584,[2]Standard_Opportunity!$Q$1:$T$542,3,FALSE)</f>
        <v>0.59802873589862482</v>
      </c>
      <c r="AN1584">
        <f>VLOOKUP($U1584,[2]Standard_Opportunity!$Q$1:$T$542,4,FALSE)</f>
        <v>0</v>
      </c>
      <c r="AO1584" s="77">
        <f t="shared" si="4886"/>
        <v>1</v>
      </c>
      <c r="AP1584" s="77">
        <f t="shared" si="4896"/>
        <v>5.6686168530945741E-2</v>
      </c>
      <c r="AQ1584" s="77">
        <f t="shared" si="4887"/>
        <v>4.605385262148376E-3</v>
      </c>
      <c r="AR1584" s="79">
        <v>0</v>
      </c>
      <c r="AS1584" s="77">
        <f t="shared" si="4897"/>
        <v>0</v>
      </c>
      <c r="AT1584" s="77">
        <f t="shared" si="4898"/>
        <v>0</v>
      </c>
      <c r="AU1584" s="77">
        <f t="shared" si="4899"/>
        <v>2.5000000000000001E-3</v>
      </c>
      <c r="AV1584" s="77">
        <f t="shared" si="4900"/>
        <v>2.0809499864316017E-4</v>
      </c>
    </row>
    <row r="1585" spans="1:48">
      <c r="A1585" t="s">
        <v>175</v>
      </c>
      <c r="B1585" t="s">
        <v>180</v>
      </c>
      <c r="C1585" s="197" t="str">
        <f t="shared" si="4921"/>
        <v>Lifecycle_Opportunity_44</v>
      </c>
      <c r="D1585">
        <v>44</v>
      </c>
      <c r="E1585">
        <f>VLOOKUP($D1585,'[2]LC Opportunity'!$Q$2:$U$542,2,FALSE)</f>
        <v>3.7999999999999999E-2</v>
      </c>
      <c r="F1585">
        <f>VLOOKUP($D1585,'[2]LC Opportunity'!$Q$2:$U$542,3,FALSE)</f>
        <v>0.34833333333333333</v>
      </c>
      <c r="G1585">
        <f>VLOOKUP($D1585,'[2]LC Opportunity'!$Q$2:$U$542,4,FALSE)</f>
        <v>0.61366666666666669</v>
      </c>
      <c r="H1585">
        <f>VLOOKUP($D1585,'[2]LC Opportunity'!$Q$2:$U$542,5,FALSE)</f>
        <v>0</v>
      </c>
      <c r="I1585" s="77">
        <f t="shared" si="4881"/>
        <v>1</v>
      </c>
      <c r="J1585" s="77">
        <f t="shared" si="4882"/>
        <v>5.7618749999999996E-2</v>
      </c>
      <c r="K1585" s="77">
        <f t="shared" si="4926"/>
        <v>4.6792401774602421E-3</v>
      </c>
      <c r="L1585" s="76">
        <v>0</v>
      </c>
      <c r="M1585" s="77">
        <f t="shared" si="4888"/>
        <v>0</v>
      </c>
      <c r="N1585" s="77">
        <f t="shared" si="4889"/>
        <v>0</v>
      </c>
      <c r="O1585" s="77">
        <f t="shared" si="4890"/>
        <v>6.5647666666666668E-3</v>
      </c>
      <c r="P1585" s="77">
        <f t="shared" si="4891"/>
        <v>5.4871685977242457E-4</v>
      </c>
      <c r="R1585" t="s">
        <v>177</v>
      </c>
      <c r="S1585" t="s">
        <v>180</v>
      </c>
      <c r="T1585" s="197" t="str">
        <f t="shared" si="4922"/>
        <v>Autopilot_Opportunity_44</v>
      </c>
      <c r="U1585">
        <v>44</v>
      </c>
      <c r="V1585">
        <f>VLOOKUP($U1585,'[2]AP Opportunity'!$Q$1:$T$542,2,FALSE)</f>
        <v>0.41703296244784405</v>
      </c>
      <c r="W1585">
        <f>VLOOKUP($U1585,'[2]AP Opportunity'!$Q$1:$T$542,3,FALSE)</f>
        <v>0.58296703755215595</v>
      </c>
      <c r="X1585">
        <f>VLOOKUP($U1585,'[2]AP Opportunity'!$Q$1:$T$542,4,FALSE)</f>
        <v>0</v>
      </c>
      <c r="Y1585" s="77">
        <f t="shared" si="4923"/>
        <v>1</v>
      </c>
      <c r="Z1585" s="77">
        <f t="shared" si="4927"/>
        <v>5.6886112576495118E-2</v>
      </c>
      <c r="AA1585" s="77">
        <f t="shared" si="4928"/>
        <v>4.6212246738399632E-3</v>
      </c>
      <c r="AB1585" s="79">
        <v>1</v>
      </c>
      <c r="AC1585" s="77">
        <f t="shared" si="4892"/>
        <v>7.3340659248956885E-3</v>
      </c>
      <c r="AD1585" s="77">
        <f t="shared" ref="AD1585" si="4999">1-(1-AC1585)^(1/12)</f>
        <v>6.1323626125042718E-4</v>
      </c>
      <c r="AE1585" s="77">
        <f t="shared" si="4894"/>
        <v>2.5000000000000001E-3</v>
      </c>
      <c r="AF1585" s="77">
        <f t="shared" ref="AF1585" si="5000">1-(1-AE1585)^(1/12)</f>
        <v>2.0857243058891584E-4</v>
      </c>
      <c r="AH1585" t="s">
        <v>175</v>
      </c>
      <c r="AI1585" t="s">
        <v>180</v>
      </c>
      <c r="AJ1585" s="197" t="str">
        <f t="shared" si="4885"/>
        <v>Lifecycle_Opportunity_44</v>
      </c>
      <c r="AK1585">
        <v>44</v>
      </c>
      <c r="AL1585">
        <f>VLOOKUP($U1585,[2]Standard_Opportunity!$Q$1:$T$542,2,FALSE)</f>
        <v>0.39695069798588556</v>
      </c>
      <c r="AM1585">
        <f>VLOOKUP($U1585,[2]Standard_Opportunity!$Q$1:$T$542,3,FALSE)</f>
        <v>0.60304930201411444</v>
      </c>
      <c r="AN1585">
        <f>VLOOKUP($U1585,[2]Standard_Opportunity!$Q$1:$T$542,4,FALSE)</f>
        <v>0</v>
      </c>
      <c r="AO1585" s="77">
        <f t="shared" si="4886"/>
        <v>1</v>
      </c>
      <c r="AP1585" s="77">
        <f t="shared" si="4896"/>
        <v>5.661952051576262E-2</v>
      </c>
      <c r="AQ1585" s="77">
        <f t="shared" si="4887"/>
        <v>4.6001048477266604E-3</v>
      </c>
      <c r="AR1585" s="79">
        <v>0</v>
      </c>
      <c r="AS1585" s="77">
        <f t="shared" si="4897"/>
        <v>0</v>
      </c>
      <c r="AT1585" s="77">
        <f t="shared" si="4898"/>
        <v>0</v>
      </c>
      <c r="AU1585" s="77">
        <f t="shared" si="4899"/>
        <v>2.5000000000000001E-3</v>
      </c>
      <c r="AV1585" s="77">
        <f t="shared" si="4900"/>
        <v>2.0809499864316017E-4</v>
      </c>
    </row>
    <row r="1586" spans="1:48">
      <c r="A1586" t="s">
        <v>175</v>
      </c>
      <c r="B1586" t="s">
        <v>180</v>
      </c>
      <c r="C1586" s="197" t="str">
        <f t="shared" si="4921"/>
        <v>Lifecycle_Opportunity_43</v>
      </c>
      <c r="D1586">
        <v>43</v>
      </c>
      <c r="E1586">
        <f>VLOOKUP($D1586,'[2]LC Opportunity'!$Q$2:$U$542,2,FALSE)</f>
        <v>3.925E-2</v>
      </c>
      <c r="F1586">
        <f>VLOOKUP($D1586,'[2]LC Opportunity'!$Q$2:$U$542,3,FALSE)</f>
        <v>0.35066666666666668</v>
      </c>
      <c r="G1586">
        <f>VLOOKUP($D1586,'[2]LC Opportunity'!$Q$2:$U$542,4,FALSE)</f>
        <v>0.61008333333333331</v>
      </c>
      <c r="H1586">
        <f>VLOOKUP($D1586,'[2]LC Opportunity'!$Q$2:$U$542,5,FALSE)</f>
        <v>0</v>
      </c>
      <c r="I1586" s="77">
        <f t="shared" si="4881"/>
        <v>1</v>
      </c>
      <c r="J1586" s="77">
        <f t="shared" si="4882"/>
        <v>5.7549793749999995E-2</v>
      </c>
      <c r="K1586" s="77">
        <f t="shared" si="4926"/>
        <v>4.6737812961121783E-3</v>
      </c>
      <c r="L1586" s="76">
        <v>0</v>
      </c>
      <c r="M1586" s="77">
        <f t="shared" si="4888"/>
        <v>0</v>
      </c>
      <c r="N1586" s="77">
        <f t="shared" si="4889"/>
        <v>0</v>
      </c>
      <c r="O1586" s="77">
        <f t="shared" si="4890"/>
        <v>6.5557333333333334E-3</v>
      </c>
      <c r="P1586" s="77">
        <f t="shared" si="4891"/>
        <v>5.4795952647568313E-4</v>
      </c>
      <c r="R1586" t="s">
        <v>177</v>
      </c>
      <c r="S1586" t="s">
        <v>180</v>
      </c>
      <c r="T1586" s="197" t="str">
        <f t="shared" si="4922"/>
        <v>Autopilot_Opportunity_43</v>
      </c>
      <c r="U1586">
        <v>43</v>
      </c>
      <c r="V1586">
        <f>VLOOKUP($U1586,'[2]AP Opportunity'!$Q$1:$T$542,2,FALSE)</f>
        <v>0.41703296244784405</v>
      </c>
      <c r="W1586">
        <f>VLOOKUP($U1586,'[2]AP Opportunity'!$Q$1:$T$542,3,FALSE)</f>
        <v>0.58296703755215595</v>
      </c>
      <c r="X1586">
        <f>VLOOKUP($U1586,'[2]AP Opportunity'!$Q$1:$T$542,4,FALSE)</f>
        <v>0</v>
      </c>
      <c r="Y1586" s="77">
        <f t="shared" si="4923"/>
        <v>1</v>
      </c>
      <c r="Z1586" s="77">
        <f t="shared" si="4927"/>
        <v>5.6886112576495118E-2</v>
      </c>
      <c r="AA1586" s="77">
        <f t="shared" si="4928"/>
        <v>4.6212246738399632E-3</v>
      </c>
      <c r="AB1586" s="79">
        <v>1</v>
      </c>
      <c r="AC1586" s="77">
        <f t="shared" si="4892"/>
        <v>7.3340659248956885E-3</v>
      </c>
      <c r="AD1586" s="77">
        <f t="shared" ref="AD1586" si="5001">1-(1-AC1586)^(1/12)</f>
        <v>6.1323626125042718E-4</v>
      </c>
      <c r="AE1586" s="77">
        <f t="shared" si="4894"/>
        <v>2.5000000000000001E-3</v>
      </c>
      <c r="AF1586" s="77">
        <f t="shared" ref="AF1586" si="5002">1-(1-AE1586)^(1/12)</f>
        <v>2.0857243058891584E-4</v>
      </c>
      <c r="AH1586" t="s">
        <v>175</v>
      </c>
      <c r="AI1586" t="s">
        <v>180</v>
      </c>
      <c r="AJ1586" s="197" t="str">
        <f t="shared" si="4885"/>
        <v>Lifecycle_Opportunity_43</v>
      </c>
      <c r="AK1586">
        <v>43</v>
      </c>
      <c r="AL1586">
        <f>VLOOKUP($U1586,[2]Standard_Opportunity!$Q$1:$T$542,2,FALSE)</f>
        <v>0.39193013187039594</v>
      </c>
      <c r="AM1586">
        <f>VLOOKUP($U1586,[2]Standard_Opportunity!$Q$1:$T$542,3,FALSE)</f>
        <v>0.60806986812960406</v>
      </c>
      <c r="AN1586">
        <f>VLOOKUP($U1586,[2]Standard_Opportunity!$Q$1:$T$542,4,FALSE)</f>
        <v>0</v>
      </c>
      <c r="AO1586" s="77">
        <f t="shared" si="4886"/>
        <v>1</v>
      </c>
      <c r="AP1586" s="77">
        <f t="shared" si="4896"/>
        <v>5.6552872500579499E-2</v>
      </c>
      <c r="AQ1586" s="77">
        <f t="shared" si="4887"/>
        <v>4.5948241279811786E-3</v>
      </c>
      <c r="AR1586" s="79">
        <v>0</v>
      </c>
      <c r="AS1586" s="77">
        <f t="shared" si="4897"/>
        <v>0</v>
      </c>
      <c r="AT1586" s="77">
        <f t="shared" si="4898"/>
        <v>0</v>
      </c>
      <c r="AU1586" s="77">
        <f t="shared" si="4899"/>
        <v>2.5000000000000001E-3</v>
      </c>
      <c r="AV1586" s="77">
        <f t="shared" si="4900"/>
        <v>2.0809499864316017E-4</v>
      </c>
    </row>
    <row r="1587" spans="1:48">
      <c r="A1587" t="s">
        <v>175</v>
      </c>
      <c r="B1587" t="s">
        <v>180</v>
      </c>
      <c r="C1587" s="197" t="str">
        <f t="shared" si="4921"/>
        <v>Lifecycle_Opportunity_42</v>
      </c>
      <c r="D1587">
        <v>42</v>
      </c>
      <c r="E1587">
        <f>VLOOKUP($D1587,'[2]LC Opportunity'!$Q$2:$U$542,2,FALSE)</f>
        <v>4.0500000000000001E-2</v>
      </c>
      <c r="F1587">
        <f>VLOOKUP($D1587,'[2]LC Opportunity'!$Q$2:$U$542,3,FALSE)</f>
        <v>0.35299999999999998</v>
      </c>
      <c r="G1587">
        <f>VLOOKUP($D1587,'[2]LC Opportunity'!$Q$2:$U$542,4,FALSE)</f>
        <v>0.60650000000000004</v>
      </c>
      <c r="H1587">
        <f>VLOOKUP($D1587,'[2]LC Opportunity'!$Q$2:$U$542,5,FALSE)</f>
        <v>0</v>
      </c>
      <c r="I1587" s="77">
        <f t="shared" si="4881"/>
        <v>1</v>
      </c>
      <c r="J1587" s="77">
        <f t="shared" si="4882"/>
        <v>5.7480837499999993E-2</v>
      </c>
      <c r="K1587" s="77">
        <f t="shared" si="4926"/>
        <v>4.6683220884764509E-3</v>
      </c>
      <c r="L1587" s="76">
        <v>0</v>
      </c>
      <c r="M1587" s="77">
        <f t="shared" si="4888"/>
        <v>0</v>
      </c>
      <c r="N1587" s="77">
        <f t="shared" si="4889"/>
        <v>0</v>
      </c>
      <c r="O1587" s="77">
        <f t="shared" si="4890"/>
        <v>6.5467000000000008E-3</v>
      </c>
      <c r="P1587" s="77">
        <f t="shared" si="4891"/>
        <v>5.4720219949144777E-4</v>
      </c>
      <c r="R1587" t="s">
        <v>177</v>
      </c>
      <c r="S1587" t="s">
        <v>180</v>
      </c>
      <c r="T1587" s="197" t="str">
        <f t="shared" si="4922"/>
        <v>Autopilot_Opportunity_42</v>
      </c>
      <c r="U1587">
        <v>42</v>
      </c>
      <c r="V1587">
        <f>VLOOKUP($U1587,'[2]AP Opportunity'!$Q$1:$T$542,2,FALSE)</f>
        <v>0.41703296244784405</v>
      </c>
      <c r="W1587">
        <f>VLOOKUP($U1587,'[2]AP Opportunity'!$Q$1:$T$542,3,FALSE)</f>
        <v>0.58296703755215595</v>
      </c>
      <c r="X1587">
        <f>VLOOKUP($U1587,'[2]AP Opportunity'!$Q$1:$T$542,4,FALSE)</f>
        <v>0</v>
      </c>
      <c r="Y1587" s="77">
        <f t="shared" si="4923"/>
        <v>1</v>
      </c>
      <c r="Z1587" s="77">
        <f t="shared" si="4927"/>
        <v>5.6886112576495118E-2</v>
      </c>
      <c r="AA1587" s="77">
        <f t="shared" si="4928"/>
        <v>4.6212246738399632E-3</v>
      </c>
      <c r="AB1587" s="79">
        <v>1</v>
      </c>
      <c r="AC1587" s="77">
        <f t="shared" si="4892"/>
        <v>7.3340659248956885E-3</v>
      </c>
      <c r="AD1587" s="77">
        <f t="shared" ref="AD1587" si="5003">1-(1-AC1587)^(1/12)</f>
        <v>6.1323626125042718E-4</v>
      </c>
      <c r="AE1587" s="77">
        <f t="shared" si="4894"/>
        <v>2.5000000000000001E-3</v>
      </c>
      <c r="AF1587" s="77">
        <f t="shared" ref="AF1587" si="5004">1-(1-AE1587)^(1/12)</f>
        <v>2.0857243058891584E-4</v>
      </c>
      <c r="AH1587" t="s">
        <v>175</v>
      </c>
      <c r="AI1587" t="s">
        <v>180</v>
      </c>
      <c r="AJ1587" s="197" t="str">
        <f t="shared" si="4885"/>
        <v>Lifecycle_Opportunity_42</v>
      </c>
      <c r="AK1587">
        <v>42</v>
      </c>
      <c r="AL1587">
        <f>VLOOKUP($U1587,[2]Standard_Opportunity!$Q$1:$T$542,2,FALSE)</f>
        <v>0.38690956575490631</v>
      </c>
      <c r="AM1587">
        <f>VLOOKUP($U1587,[2]Standard_Opportunity!$Q$1:$T$542,3,FALSE)</f>
        <v>0.61309043424509357</v>
      </c>
      <c r="AN1587">
        <f>VLOOKUP($U1587,[2]Standard_Opportunity!$Q$1:$T$542,4,FALSE)</f>
        <v>0</v>
      </c>
      <c r="AO1587" s="77">
        <f t="shared" si="4886"/>
        <v>0.99999999999999989</v>
      </c>
      <c r="AP1587" s="77">
        <f t="shared" si="4896"/>
        <v>5.648622448539637E-2</v>
      </c>
      <c r="AQ1587" s="77">
        <f t="shared" si="4887"/>
        <v>4.5895431028750711E-3</v>
      </c>
      <c r="AR1587" s="79">
        <v>0</v>
      </c>
      <c r="AS1587" s="77">
        <f t="shared" si="4897"/>
        <v>0</v>
      </c>
      <c r="AT1587" s="77">
        <f t="shared" si="4898"/>
        <v>0</v>
      </c>
      <c r="AU1587" s="77">
        <f t="shared" si="4899"/>
        <v>2.4999999999999996E-3</v>
      </c>
      <c r="AV1587" s="77">
        <f t="shared" si="4900"/>
        <v>2.0809499864316017E-4</v>
      </c>
    </row>
    <row r="1588" spans="1:48">
      <c r="A1588" t="s">
        <v>175</v>
      </c>
      <c r="B1588" t="s">
        <v>180</v>
      </c>
      <c r="C1588" s="197" t="str">
        <f t="shared" si="4921"/>
        <v>Lifecycle_Opportunity_41</v>
      </c>
      <c r="D1588">
        <v>41</v>
      </c>
      <c r="E1588">
        <f>VLOOKUP($D1588,'[2]LC Opportunity'!$Q$2:$U$542,2,FALSE)</f>
        <v>4.1750000000000002E-2</v>
      </c>
      <c r="F1588">
        <f>VLOOKUP($D1588,'[2]LC Opportunity'!$Q$2:$U$542,3,FALSE)</f>
        <v>0.35533333333333333</v>
      </c>
      <c r="G1588">
        <f>VLOOKUP($D1588,'[2]LC Opportunity'!$Q$2:$U$542,4,FALSE)</f>
        <v>0.60291666666666666</v>
      </c>
      <c r="H1588">
        <f>VLOOKUP($D1588,'[2]LC Opportunity'!$Q$2:$U$542,5,FALSE)</f>
        <v>0</v>
      </c>
      <c r="I1588" s="77">
        <f t="shared" si="4881"/>
        <v>1</v>
      </c>
      <c r="J1588" s="77">
        <f t="shared" si="4882"/>
        <v>5.7411881249999991E-2</v>
      </c>
      <c r="K1588" s="77">
        <f t="shared" si="4926"/>
        <v>4.6628625545119817E-3</v>
      </c>
      <c r="L1588" s="76">
        <v>0</v>
      </c>
      <c r="M1588" s="77">
        <f t="shared" si="4888"/>
        <v>0</v>
      </c>
      <c r="N1588" s="77">
        <f t="shared" si="4889"/>
        <v>0</v>
      </c>
      <c r="O1588" s="77">
        <f t="shared" si="4890"/>
        <v>6.5376666666666656E-3</v>
      </c>
      <c r="P1588" s="77">
        <f t="shared" si="4891"/>
        <v>5.4644487881949644E-4</v>
      </c>
      <c r="R1588" t="s">
        <v>177</v>
      </c>
      <c r="S1588" t="s">
        <v>180</v>
      </c>
      <c r="T1588" s="197" t="str">
        <f t="shared" si="4922"/>
        <v>Autopilot_Opportunity_41</v>
      </c>
      <c r="U1588">
        <v>41</v>
      </c>
      <c r="V1588">
        <f>VLOOKUP($U1588,'[2]AP Opportunity'!$Q$1:$T$542,2,FALSE)</f>
        <v>0.41703296244784405</v>
      </c>
      <c r="W1588">
        <f>VLOOKUP($U1588,'[2]AP Opportunity'!$Q$1:$T$542,3,FALSE)</f>
        <v>0.58296703755215595</v>
      </c>
      <c r="X1588">
        <f>VLOOKUP($U1588,'[2]AP Opportunity'!$Q$1:$T$542,4,FALSE)</f>
        <v>0</v>
      </c>
      <c r="Y1588" s="77">
        <f t="shared" si="4923"/>
        <v>1</v>
      </c>
      <c r="Z1588" s="77">
        <f t="shared" si="4927"/>
        <v>5.6886112576495118E-2</v>
      </c>
      <c r="AA1588" s="77">
        <f t="shared" si="4928"/>
        <v>4.6212246738399632E-3</v>
      </c>
      <c r="AB1588" s="79">
        <v>1</v>
      </c>
      <c r="AC1588" s="77">
        <f t="shared" si="4892"/>
        <v>7.3340659248956885E-3</v>
      </c>
      <c r="AD1588" s="77">
        <f t="shared" ref="AD1588" si="5005">1-(1-AC1588)^(1/12)</f>
        <v>6.1323626125042718E-4</v>
      </c>
      <c r="AE1588" s="77">
        <f t="shared" si="4894"/>
        <v>2.5000000000000001E-3</v>
      </c>
      <c r="AF1588" s="77">
        <f t="shared" ref="AF1588" si="5006">1-(1-AE1588)^(1/12)</f>
        <v>2.0857243058891584E-4</v>
      </c>
      <c r="AH1588" t="s">
        <v>175</v>
      </c>
      <c r="AI1588" t="s">
        <v>180</v>
      </c>
      <c r="AJ1588" s="197" t="str">
        <f t="shared" si="4885"/>
        <v>Lifecycle_Opportunity_41</v>
      </c>
      <c r="AK1588">
        <v>41</v>
      </c>
      <c r="AL1588">
        <f>VLOOKUP($U1588,[2]Standard_Opportunity!$Q$1:$T$542,2,FALSE)</f>
        <v>0.38188899963941675</v>
      </c>
      <c r="AM1588">
        <f>VLOOKUP($U1588,[2]Standard_Opportunity!$Q$1:$T$542,3,FALSE)</f>
        <v>0.6181110003605832</v>
      </c>
      <c r="AN1588">
        <f>VLOOKUP($U1588,[2]Standard_Opportunity!$Q$1:$T$542,4,FALSE)</f>
        <v>0</v>
      </c>
      <c r="AO1588" s="77">
        <f t="shared" si="4886"/>
        <v>1</v>
      </c>
      <c r="AP1588" s="77">
        <f t="shared" si="4896"/>
        <v>5.6419576470213242E-2</v>
      </c>
      <c r="AQ1588" s="77">
        <f t="shared" si="4887"/>
        <v>4.5842617723714785E-3</v>
      </c>
      <c r="AR1588" s="79">
        <v>0</v>
      </c>
      <c r="AS1588" s="77">
        <f t="shared" si="4897"/>
        <v>0</v>
      </c>
      <c r="AT1588" s="77">
        <f t="shared" si="4898"/>
        <v>0</v>
      </c>
      <c r="AU1588" s="77">
        <f t="shared" si="4899"/>
        <v>2.4999999999999996E-3</v>
      </c>
      <c r="AV1588" s="77">
        <f t="shared" si="4900"/>
        <v>2.0809499864316017E-4</v>
      </c>
    </row>
    <row r="1589" spans="1:48">
      <c r="A1589" t="s">
        <v>175</v>
      </c>
      <c r="B1589" t="s">
        <v>180</v>
      </c>
      <c r="C1589" s="197" t="str">
        <f t="shared" si="4921"/>
        <v>Lifecycle_Opportunity_40</v>
      </c>
      <c r="D1589">
        <v>40</v>
      </c>
      <c r="E1589">
        <f>VLOOKUP($D1589,'[2]LC Opportunity'!$Q$2:$U$542,2,FALSE)</f>
        <v>4.3000000000000003E-2</v>
      </c>
      <c r="F1589">
        <f>VLOOKUP($D1589,'[2]LC Opportunity'!$Q$2:$U$542,3,FALSE)</f>
        <v>0.35766666666666669</v>
      </c>
      <c r="G1589">
        <f>VLOOKUP($D1589,'[2]LC Opportunity'!$Q$2:$U$542,4,FALSE)</f>
        <v>0.59933333333333327</v>
      </c>
      <c r="H1589">
        <f>VLOOKUP($D1589,'[2]LC Opportunity'!$Q$2:$U$542,5,FALSE)</f>
        <v>0</v>
      </c>
      <c r="I1589" s="77">
        <f t="shared" si="4881"/>
        <v>1</v>
      </c>
      <c r="J1589" s="77">
        <f t="shared" si="4882"/>
        <v>5.7342924999999989E-2</v>
      </c>
      <c r="K1589" s="77">
        <f t="shared" si="4926"/>
        <v>4.6574026941781366E-3</v>
      </c>
      <c r="L1589" s="76">
        <v>0</v>
      </c>
      <c r="M1589" s="77">
        <f t="shared" si="4888"/>
        <v>0</v>
      </c>
      <c r="N1589" s="77">
        <f t="shared" si="4889"/>
        <v>0</v>
      </c>
      <c r="O1589" s="77">
        <f t="shared" si="4890"/>
        <v>6.5286333333333321E-3</v>
      </c>
      <c r="P1589" s="77">
        <f t="shared" si="4891"/>
        <v>5.4568756445994016E-4</v>
      </c>
      <c r="R1589" t="s">
        <v>177</v>
      </c>
      <c r="S1589" t="s">
        <v>180</v>
      </c>
      <c r="T1589" s="197" t="str">
        <f t="shared" si="4922"/>
        <v>Autopilot_Opportunity_40</v>
      </c>
      <c r="U1589">
        <v>40</v>
      </c>
      <c r="V1589">
        <f>VLOOKUP($U1589,'[2]AP Opportunity'!$Q$1:$T$542,2,FALSE)</f>
        <v>0.41703296244784405</v>
      </c>
      <c r="W1589">
        <f>VLOOKUP($U1589,'[2]AP Opportunity'!$Q$1:$T$542,3,FALSE)</f>
        <v>0.58296703755215595</v>
      </c>
      <c r="X1589">
        <f>VLOOKUP($U1589,'[2]AP Opportunity'!$Q$1:$T$542,4,FALSE)</f>
        <v>0</v>
      </c>
      <c r="Y1589" s="77">
        <f t="shared" si="4923"/>
        <v>1</v>
      </c>
      <c r="Z1589" s="77">
        <f t="shared" si="4927"/>
        <v>5.6886112576495118E-2</v>
      </c>
      <c r="AA1589" s="77">
        <f t="shared" si="4928"/>
        <v>4.6212246738399632E-3</v>
      </c>
      <c r="AB1589" s="79">
        <v>1</v>
      </c>
      <c r="AC1589" s="77">
        <f t="shared" si="4892"/>
        <v>7.3340659248956885E-3</v>
      </c>
      <c r="AD1589" s="77">
        <f t="shared" ref="AD1589" si="5007">1-(1-AC1589)^(1/12)</f>
        <v>6.1323626125042718E-4</v>
      </c>
      <c r="AE1589" s="77">
        <f t="shared" si="4894"/>
        <v>2.5000000000000001E-3</v>
      </c>
      <c r="AF1589" s="77">
        <f t="shared" ref="AF1589" si="5008">1-(1-AE1589)^(1/12)</f>
        <v>2.0857243058891584E-4</v>
      </c>
      <c r="AH1589" t="s">
        <v>175</v>
      </c>
      <c r="AI1589" t="s">
        <v>180</v>
      </c>
      <c r="AJ1589" s="197" t="str">
        <f t="shared" si="4885"/>
        <v>Lifecycle_Opportunity_40</v>
      </c>
      <c r="AK1589">
        <v>40</v>
      </c>
      <c r="AL1589">
        <f>VLOOKUP($U1589,[2]Standard_Opportunity!$Q$1:$T$542,2,FALSE)</f>
        <v>0.37686843352392713</v>
      </c>
      <c r="AM1589">
        <f>VLOOKUP($U1589,[2]Standard_Opportunity!$Q$1:$T$542,3,FALSE)</f>
        <v>0.62313156647607282</v>
      </c>
      <c r="AN1589">
        <f>VLOOKUP($U1589,[2]Standard_Opportunity!$Q$1:$T$542,4,FALSE)</f>
        <v>0</v>
      </c>
      <c r="AO1589" s="77">
        <f t="shared" si="4886"/>
        <v>1</v>
      </c>
      <c r="AP1589" s="77">
        <f t="shared" si="4896"/>
        <v>5.6352928455030121E-2</v>
      </c>
      <c r="AQ1589" s="77">
        <f t="shared" si="4887"/>
        <v>4.5789801364330973E-3</v>
      </c>
      <c r="AR1589" s="79">
        <v>0</v>
      </c>
      <c r="AS1589" s="77">
        <f t="shared" si="4897"/>
        <v>0</v>
      </c>
      <c r="AT1589" s="77">
        <f t="shared" si="4898"/>
        <v>0</v>
      </c>
      <c r="AU1589" s="77">
        <f t="shared" si="4899"/>
        <v>2.5000000000000001E-3</v>
      </c>
      <c r="AV1589" s="77">
        <f t="shared" si="4900"/>
        <v>2.0809499864316017E-4</v>
      </c>
    </row>
    <row r="1590" spans="1:48">
      <c r="A1590" t="s">
        <v>175</v>
      </c>
      <c r="B1590" t="s">
        <v>180</v>
      </c>
      <c r="C1590" s="197" t="str">
        <f t="shared" si="4921"/>
        <v>Lifecycle_Opportunity_39</v>
      </c>
      <c r="D1590">
        <v>39</v>
      </c>
      <c r="E1590">
        <f>VLOOKUP($D1590,'[2]LC Opportunity'!$Q$2:$U$542,2,FALSE)</f>
        <v>4.4249999999999998E-2</v>
      </c>
      <c r="F1590">
        <f>VLOOKUP($D1590,'[2]LC Opportunity'!$Q$2:$U$542,3,FALSE)</f>
        <v>0.36</v>
      </c>
      <c r="G1590">
        <f>VLOOKUP($D1590,'[2]LC Opportunity'!$Q$2:$U$542,4,FALSE)</f>
        <v>0.59575</v>
      </c>
      <c r="H1590">
        <f>VLOOKUP($D1590,'[2]LC Opportunity'!$Q$2:$U$542,5,FALSE)</f>
        <v>0</v>
      </c>
      <c r="I1590" s="77">
        <f t="shared" si="4881"/>
        <v>1</v>
      </c>
      <c r="J1590" s="77">
        <f t="shared" si="4882"/>
        <v>5.7273968749999987E-2</v>
      </c>
      <c r="K1590" s="77">
        <f t="shared" si="4926"/>
        <v>4.6519425074340592E-3</v>
      </c>
      <c r="L1590" s="76">
        <v>0</v>
      </c>
      <c r="M1590" s="77">
        <f t="shared" si="4888"/>
        <v>0</v>
      </c>
      <c r="N1590" s="77">
        <f t="shared" si="4889"/>
        <v>0</v>
      </c>
      <c r="O1590" s="77">
        <f t="shared" si="4890"/>
        <v>6.5195999999999995E-3</v>
      </c>
      <c r="P1590" s="77">
        <f t="shared" si="4891"/>
        <v>5.4493025641255688E-4</v>
      </c>
      <c r="R1590" t="s">
        <v>177</v>
      </c>
      <c r="S1590" t="s">
        <v>180</v>
      </c>
      <c r="T1590" s="197" t="str">
        <f t="shared" si="4922"/>
        <v>Autopilot_Opportunity_39</v>
      </c>
      <c r="U1590">
        <v>39</v>
      </c>
      <c r="V1590">
        <f>VLOOKUP($U1590,'[2]AP Opportunity'!$Q$1:$T$542,2,FALSE)</f>
        <v>0.41703296244784405</v>
      </c>
      <c r="W1590">
        <f>VLOOKUP($U1590,'[2]AP Opportunity'!$Q$1:$T$542,3,FALSE)</f>
        <v>0.58296703755215595</v>
      </c>
      <c r="X1590">
        <f>VLOOKUP($U1590,'[2]AP Opportunity'!$Q$1:$T$542,4,FALSE)</f>
        <v>0</v>
      </c>
      <c r="Y1590" s="77">
        <f t="shared" si="4923"/>
        <v>1</v>
      </c>
      <c r="Z1590" s="77">
        <f t="shared" si="4927"/>
        <v>5.6886112576495118E-2</v>
      </c>
      <c r="AA1590" s="77">
        <f t="shared" si="4928"/>
        <v>4.6212246738399632E-3</v>
      </c>
      <c r="AB1590" s="79">
        <v>1</v>
      </c>
      <c r="AC1590" s="77">
        <f t="shared" si="4892"/>
        <v>7.3340659248956885E-3</v>
      </c>
      <c r="AD1590" s="77">
        <f t="shared" ref="AD1590" si="5009">1-(1-AC1590)^(1/12)</f>
        <v>6.1323626125042718E-4</v>
      </c>
      <c r="AE1590" s="77">
        <f t="shared" si="4894"/>
        <v>2.5000000000000001E-3</v>
      </c>
      <c r="AF1590" s="77">
        <f t="shared" ref="AF1590" si="5010">1-(1-AE1590)^(1/12)</f>
        <v>2.0857243058891584E-4</v>
      </c>
      <c r="AH1590" t="s">
        <v>175</v>
      </c>
      <c r="AI1590" t="s">
        <v>180</v>
      </c>
      <c r="AJ1590" s="197" t="str">
        <f t="shared" si="4885"/>
        <v>Lifecycle_Opportunity_39</v>
      </c>
      <c r="AK1590">
        <v>39</v>
      </c>
      <c r="AL1590">
        <f>VLOOKUP($U1590,[2]Standard_Opportunity!$Q$1:$T$542,2,FALSE)</f>
        <v>0.3718478674084375</v>
      </c>
      <c r="AM1590">
        <f>VLOOKUP($U1590,[2]Standard_Opportunity!$Q$1:$T$542,3,FALSE)</f>
        <v>0.62815213259156244</v>
      </c>
      <c r="AN1590">
        <f>VLOOKUP($U1590,[2]Standard_Opportunity!$Q$1:$T$542,4,FALSE)</f>
        <v>0</v>
      </c>
      <c r="AO1590" s="77">
        <f t="shared" si="4886"/>
        <v>1</v>
      </c>
      <c r="AP1590" s="77">
        <f t="shared" si="4896"/>
        <v>5.6286280439846993E-2</v>
      </c>
      <c r="AQ1590" s="77">
        <f t="shared" si="4887"/>
        <v>4.5736981950235123E-3</v>
      </c>
      <c r="AR1590" s="79">
        <v>0</v>
      </c>
      <c r="AS1590" s="77">
        <f t="shared" si="4897"/>
        <v>0</v>
      </c>
      <c r="AT1590" s="77">
        <f t="shared" si="4898"/>
        <v>0</v>
      </c>
      <c r="AU1590" s="77">
        <f t="shared" si="4899"/>
        <v>2.4999999999999996E-3</v>
      </c>
      <c r="AV1590" s="77">
        <f t="shared" si="4900"/>
        <v>2.0809499864316017E-4</v>
      </c>
    </row>
    <row r="1591" spans="1:48">
      <c r="A1591" t="s">
        <v>175</v>
      </c>
      <c r="B1591" t="s">
        <v>180</v>
      </c>
      <c r="C1591" s="197" t="str">
        <f t="shared" si="4921"/>
        <v>Lifecycle_Opportunity_38</v>
      </c>
      <c r="D1591">
        <v>38</v>
      </c>
      <c r="E1591">
        <f>VLOOKUP($D1591,'[2]LC Opportunity'!$Q$2:$U$542,2,FALSE)</f>
        <v>4.5499999999999999E-2</v>
      </c>
      <c r="F1591">
        <f>VLOOKUP($D1591,'[2]LC Opportunity'!$Q$2:$U$542,3,FALSE)</f>
        <v>0.36233333333333334</v>
      </c>
      <c r="G1591">
        <f>VLOOKUP($D1591,'[2]LC Opportunity'!$Q$2:$U$542,4,FALSE)</f>
        <v>0.59216666666666662</v>
      </c>
      <c r="H1591">
        <f>VLOOKUP($D1591,'[2]LC Opportunity'!$Q$2:$U$542,5,FALSE)</f>
        <v>0</v>
      </c>
      <c r="I1591" s="77">
        <f t="shared" si="4881"/>
        <v>1</v>
      </c>
      <c r="J1591" s="77">
        <f t="shared" si="4882"/>
        <v>5.7205012499999999E-2</v>
      </c>
      <c r="K1591" s="77">
        <f t="shared" si="4926"/>
        <v>4.6464819942388935E-3</v>
      </c>
      <c r="L1591" s="76">
        <v>0</v>
      </c>
      <c r="M1591" s="77">
        <f t="shared" si="4888"/>
        <v>0</v>
      </c>
      <c r="N1591" s="77">
        <f t="shared" si="4889"/>
        <v>0</v>
      </c>
      <c r="O1591" s="77">
        <f t="shared" si="4890"/>
        <v>6.5105666666666652E-3</v>
      </c>
      <c r="P1591" s="77">
        <f t="shared" si="4891"/>
        <v>5.4417295467723559E-4</v>
      </c>
      <c r="R1591" t="s">
        <v>177</v>
      </c>
      <c r="S1591" t="s">
        <v>180</v>
      </c>
      <c r="T1591" s="197" t="str">
        <f t="shared" si="4922"/>
        <v>Autopilot_Opportunity_38</v>
      </c>
      <c r="U1591">
        <v>38</v>
      </c>
      <c r="V1591">
        <f>VLOOKUP($U1591,'[2]AP Opportunity'!$Q$1:$T$542,2,FALSE)</f>
        <v>0.41703296244784405</v>
      </c>
      <c r="W1591">
        <f>VLOOKUP($U1591,'[2]AP Opportunity'!$Q$1:$T$542,3,FALSE)</f>
        <v>0.58296703755215595</v>
      </c>
      <c r="X1591">
        <f>VLOOKUP($U1591,'[2]AP Opportunity'!$Q$1:$T$542,4,FALSE)</f>
        <v>0</v>
      </c>
      <c r="Y1591" s="77">
        <f t="shared" si="4923"/>
        <v>1</v>
      </c>
      <c r="Z1591" s="77">
        <f t="shared" si="4927"/>
        <v>5.6886112576495118E-2</v>
      </c>
      <c r="AA1591" s="77">
        <f t="shared" si="4928"/>
        <v>4.6212246738399632E-3</v>
      </c>
      <c r="AB1591" s="79">
        <v>1</v>
      </c>
      <c r="AC1591" s="77">
        <f t="shared" si="4892"/>
        <v>7.3340659248956885E-3</v>
      </c>
      <c r="AD1591" s="77">
        <f t="shared" ref="AD1591" si="5011">1-(1-AC1591)^(1/12)</f>
        <v>6.1323626125042718E-4</v>
      </c>
      <c r="AE1591" s="77">
        <f t="shared" si="4894"/>
        <v>2.5000000000000001E-3</v>
      </c>
      <c r="AF1591" s="77">
        <f t="shared" ref="AF1591" si="5012">1-(1-AE1591)^(1/12)</f>
        <v>2.0857243058891584E-4</v>
      </c>
      <c r="AH1591" t="s">
        <v>175</v>
      </c>
      <c r="AI1591" t="s">
        <v>180</v>
      </c>
      <c r="AJ1591" s="197" t="str">
        <f t="shared" si="4885"/>
        <v>Lifecycle_Opportunity_38</v>
      </c>
      <c r="AK1591">
        <v>38</v>
      </c>
      <c r="AL1591">
        <f>VLOOKUP($U1591,[2]Standard_Opportunity!$Q$1:$T$542,2,FALSE)</f>
        <v>0.36682730129294788</v>
      </c>
      <c r="AM1591">
        <f>VLOOKUP($U1591,[2]Standard_Opportunity!$Q$1:$T$542,3,FALSE)</f>
        <v>0.63317269870705206</v>
      </c>
      <c r="AN1591">
        <f>VLOOKUP($U1591,[2]Standard_Opportunity!$Q$1:$T$542,4,FALSE)</f>
        <v>0</v>
      </c>
      <c r="AO1591" s="77">
        <f t="shared" si="4886"/>
        <v>1</v>
      </c>
      <c r="AP1591" s="77">
        <f t="shared" si="4896"/>
        <v>5.6219632424663865E-2</v>
      </c>
      <c r="AQ1591" s="77">
        <f t="shared" si="4887"/>
        <v>4.5684159481054198E-3</v>
      </c>
      <c r="AR1591" s="79">
        <v>0</v>
      </c>
      <c r="AS1591" s="77">
        <f t="shared" si="4897"/>
        <v>0</v>
      </c>
      <c r="AT1591" s="77">
        <f t="shared" si="4898"/>
        <v>0</v>
      </c>
      <c r="AU1591" s="77">
        <f t="shared" si="4899"/>
        <v>2.5000000000000001E-3</v>
      </c>
      <c r="AV1591" s="77">
        <f t="shared" si="4900"/>
        <v>2.0809499864316017E-4</v>
      </c>
    </row>
    <row r="1592" spans="1:48">
      <c r="A1592" t="s">
        <v>175</v>
      </c>
      <c r="B1592" t="s">
        <v>180</v>
      </c>
      <c r="C1592" s="197" t="str">
        <f t="shared" si="4921"/>
        <v>Lifecycle_Opportunity_37</v>
      </c>
      <c r="D1592">
        <v>37</v>
      </c>
      <c r="E1592">
        <f>VLOOKUP($D1592,'[2]LC Opportunity'!$Q$2:$U$542,2,FALSE)</f>
        <v>4.675E-2</v>
      </c>
      <c r="F1592">
        <f>VLOOKUP($D1592,'[2]LC Opportunity'!$Q$2:$U$542,3,FALSE)</f>
        <v>0.36466666666666664</v>
      </c>
      <c r="G1592">
        <f>VLOOKUP($D1592,'[2]LC Opportunity'!$Q$2:$U$542,4,FALSE)</f>
        <v>0.58858333333333335</v>
      </c>
      <c r="H1592">
        <f>VLOOKUP($D1592,'[2]LC Opportunity'!$Q$2:$U$542,5,FALSE)</f>
        <v>0</v>
      </c>
      <c r="I1592" s="77">
        <f t="shared" si="4881"/>
        <v>1</v>
      </c>
      <c r="J1592" s="77">
        <f t="shared" si="4882"/>
        <v>5.7136056249999997E-2</v>
      </c>
      <c r="K1592" s="77">
        <f t="shared" si="4926"/>
        <v>4.6410211545522273E-3</v>
      </c>
      <c r="L1592" s="76">
        <v>0</v>
      </c>
      <c r="M1592" s="77">
        <f t="shared" si="4888"/>
        <v>0</v>
      </c>
      <c r="N1592" s="77">
        <f t="shared" si="4889"/>
        <v>0</v>
      </c>
      <c r="O1592" s="77">
        <f t="shared" si="4890"/>
        <v>6.5015333333333335E-3</v>
      </c>
      <c r="P1592" s="77">
        <f t="shared" si="4891"/>
        <v>5.4341565925386526E-4</v>
      </c>
      <c r="R1592" t="s">
        <v>177</v>
      </c>
      <c r="S1592" t="s">
        <v>180</v>
      </c>
      <c r="T1592" s="197" t="str">
        <f t="shared" si="4922"/>
        <v>Autopilot_Opportunity_37</v>
      </c>
      <c r="U1592">
        <v>37</v>
      </c>
      <c r="V1592">
        <f>VLOOKUP($U1592,'[2]AP Opportunity'!$Q$1:$T$542,2,FALSE)</f>
        <v>0.41703296244784405</v>
      </c>
      <c r="W1592">
        <f>VLOOKUP($U1592,'[2]AP Opportunity'!$Q$1:$T$542,3,FALSE)</f>
        <v>0.58296703755215595</v>
      </c>
      <c r="X1592">
        <f>VLOOKUP($U1592,'[2]AP Opportunity'!$Q$1:$T$542,4,FALSE)</f>
        <v>0</v>
      </c>
      <c r="Y1592" s="77">
        <f t="shared" si="4923"/>
        <v>1</v>
      </c>
      <c r="Z1592" s="77">
        <f t="shared" si="4927"/>
        <v>5.6886112576495118E-2</v>
      </c>
      <c r="AA1592" s="77">
        <f t="shared" si="4928"/>
        <v>4.6212246738399632E-3</v>
      </c>
      <c r="AB1592" s="79">
        <v>1</v>
      </c>
      <c r="AC1592" s="77">
        <f t="shared" si="4892"/>
        <v>7.3340659248956885E-3</v>
      </c>
      <c r="AD1592" s="77">
        <f t="shared" ref="AD1592" si="5013">1-(1-AC1592)^(1/12)</f>
        <v>6.1323626125042718E-4</v>
      </c>
      <c r="AE1592" s="77">
        <f t="shared" si="4894"/>
        <v>2.5000000000000001E-3</v>
      </c>
      <c r="AF1592" s="77">
        <f t="shared" ref="AF1592" si="5014">1-(1-AE1592)^(1/12)</f>
        <v>2.0857243058891584E-4</v>
      </c>
      <c r="AH1592" t="s">
        <v>175</v>
      </c>
      <c r="AI1592" t="s">
        <v>180</v>
      </c>
      <c r="AJ1592" s="197" t="str">
        <f t="shared" si="4885"/>
        <v>Lifecycle_Opportunity_37</v>
      </c>
      <c r="AK1592">
        <v>37</v>
      </c>
      <c r="AL1592">
        <f>VLOOKUP($U1592,[2]Standard_Opportunity!$Q$1:$T$542,2,FALSE)</f>
        <v>0.36180673517745826</v>
      </c>
      <c r="AM1592">
        <f>VLOOKUP($U1592,[2]Standard_Opportunity!$Q$1:$T$542,3,FALSE)</f>
        <v>0.63819326482254168</v>
      </c>
      <c r="AN1592">
        <f>VLOOKUP($U1592,[2]Standard_Opportunity!$Q$1:$T$542,4,FALSE)</f>
        <v>0</v>
      </c>
      <c r="AO1592" s="77">
        <f t="shared" si="4886"/>
        <v>1</v>
      </c>
      <c r="AP1592" s="77">
        <f t="shared" si="4896"/>
        <v>5.6152984409480751E-2</v>
      </c>
      <c r="AQ1592" s="77">
        <f t="shared" si="4887"/>
        <v>4.5631333956419606E-3</v>
      </c>
      <c r="AR1592" s="79">
        <v>0</v>
      </c>
      <c r="AS1592" s="77">
        <f t="shared" si="4897"/>
        <v>0</v>
      </c>
      <c r="AT1592" s="77">
        <f t="shared" si="4898"/>
        <v>0</v>
      </c>
      <c r="AU1592" s="77">
        <f t="shared" si="4899"/>
        <v>2.4999999999999996E-3</v>
      </c>
      <c r="AV1592" s="77">
        <f t="shared" si="4900"/>
        <v>2.0809499864316017E-4</v>
      </c>
    </row>
    <row r="1593" spans="1:48">
      <c r="A1593" t="s">
        <v>175</v>
      </c>
      <c r="B1593" t="s">
        <v>180</v>
      </c>
      <c r="C1593" s="197" t="str">
        <f t="shared" si="4921"/>
        <v>Lifecycle_Opportunity_36</v>
      </c>
      <c r="D1593">
        <v>36</v>
      </c>
      <c r="E1593">
        <f>VLOOKUP($D1593,'[2]LC Opportunity'!$Q$2:$U$542,2,FALSE)</f>
        <v>4.8000000000000001E-2</v>
      </c>
      <c r="F1593">
        <f>VLOOKUP($D1593,'[2]LC Opportunity'!$Q$2:$U$542,3,FALSE)</f>
        <v>0.36699999999999999</v>
      </c>
      <c r="G1593">
        <f>VLOOKUP($D1593,'[2]LC Opportunity'!$Q$2:$U$542,4,FALSE)</f>
        <v>0.58499999999999996</v>
      </c>
      <c r="H1593">
        <f>VLOOKUP($D1593,'[2]LC Opportunity'!$Q$2:$U$542,5,FALSE)</f>
        <v>0</v>
      </c>
      <c r="I1593" s="77">
        <f t="shared" si="4881"/>
        <v>1</v>
      </c>
      <c r="J1593" s="77">
        <f t="shared" si="4882"/>
        <v>5.7067099999999989E-2</v>
      </c>
      <c r="K1593" s="77">
        <f t="shared" si="4926"/>
        <v>4.6355599883325382E-3</v>
      </c>
      <c r="L1593" s="76">
        <v>0</v>
      </c>
      <c r="M1593" s="77">
        <f t="shared" si="4888"/>
        <v>0</v>
      </c>
      <c r="N1593" s="77">
        <f t="shared" si="4889"/>
        <v>0</v>
      </c>
      <c r="O1593" s="77">
        <f t="shared" si="4890"/>
        <v>6.4925E-3</v>
      </c>
      <c r="P1593" s="77">
        <f t="shared" si="4891"/>
        <v>5.4265837014222384E-4</v>
      </c>
      <c r="R1593" t="s">
        <v>177</v>
      </c>
      <c r="S1593" t="s">
        <v>180</v>
      </c>
      <c r="T1593" s="197" t="str">
        <f t="shared" si="4922"/>
        <v>Autopilot_Opportunity_36</v>
      </c>
      <c r="U1593">
        <v>36</v>
      </c>
      <c r="V1593">
        <f>VLOOKUP($U1593,'[2]AP Opportunity'!$Q$1:$T$542,2,FALSE)</f>
        <v>0.35678616906196864</v>
      </c>
      <c r="W1593">
        <f>VLOOKUP($U1593,'[2]AP Opportunity'!$Q$1:$T$542,3,FALSE)</f>
        <v>0.64321383093803131</v>
      </c>
      <c r="X1593">
        <f>VLOOKUP($U1593,'[2]AP Opportunity'!$Q$1:$T$542,4,FALSE)</f>
        <v>0</v>
      </c>
      <c r="Y1593" s="77">
        <f t="shared" si="4923"/>
        <v>1</v>
      </c>
      <c r="Z1593" s="77">
        <f t="shared" si="4927"/>
        <v>5.6086336394297623E-2</v>
      </c>
      <c r="AA1593" s="77">
        <f t="shared" si="4928"/>
        <v>4.5578505375960532E-3</v>
      </c>
      <c r="AB1593" s="79">
        <v>1</v>
      </c>
      <c r="AC1593" s="77">
        <f t="shared" si="4892"/>
        <v>7.2135723381239365E-3</v>
      </c>
      <c r="AD1593" s="77">
        <f t="shared" ref="AD1593" si="5015">1-(1-AC1593)^(1/12)</f>
        <v>6.0312770805526217E-4</v>
      </c>
      <c r="AE1593" s="77">
        <f t="shared" si="4894"/>
        <v>2.5000000000000001E-3</v>
      </c>
      <c r="AF1593" s="77">
        <f t="shared" ref="AF1593" si="5016">1-(1-AE1593)^(1/12)</f>
        <v>2.0857243058891584E-4</v>
      </c>
      <c r="AH1593" t="s">
        <v>175</v>
      </c>
      <c r="AI1593" t="s">
        <v>180</v>
      </c>
      <c r="AJ1593" s="197" t="str">
        <f t="shared" si="4885"/>
        <v>Lifecycle_Opportunity_36</v>
      </c>
      <c r="AK1593">
        <v>36</v>
      </c>
      <c r="AL1593">
        <f>VLOOKUP($U1593,[2]Standard_Opportunity!$Q$1:$T$542,2,FALSE)</f>
        <v>0.35678616906196864</v>
      </c>
      <c r="AM1593">
        <f>VLOOKUP($U1593,[2]Standard_Opportunity!$Q$1:$T$542,3,FALSE)</f>
        <v>0.64321383093803131</v>
      </c>
      <c r="AN1593">
        <f>VLOOKUP($U1593,[2]Standard_Opportunity!$Q$1:$T$542,4,FALSE)</f>
        <v>0</v>
      </c>
      <c r="AO1593" s="77">
        <f t="shared" si="4886"/>
        <v>1</v>
      </c>
      <c r="AP1593" s="77">
        <f t="shared" si="4896"/>
        <v>5.6086336394297623E-2</v>
      </c>
      <c r="AQ1593" s="77">
        <f t="shared" si="4887"/>
        <v>4.5578505375960532E-3</v>
      </c>
      <c r="AR1593" s="79">
        <v>0</v>
      </c>
      <c r="AS1593" s="77">
        <f t="shared" si="4897"/>
        <v>0</v>
      </c>
      <c r="AT1593" s="77">
        <f t="shared" si="4898"/>
        <v>0</v>
      </c>
      <c r="AU1593" s="77">
        <f t="shared" si="4899"/>
        <v>2.5000000000000001E-3</v>
      </c>
      <c r="AV1593" s="77">
        <f t="shared" si="4900"/>
        <v>2.0809499864316017E-4</v>
      </c>
    </row>
    <row r="1594" spans="1:48">
      <c r="A1594" t="s">
        <v>175</v>
      </c>
      <c r="B1594" t="s">
        <v>180</v>
      </c>
      <c r="C1594" s="197" t="str">
        <f t="shared" si="4921"/>
        <v>Lifecycle_Opportunity_35</v>
      </c>
      <c r="D1594">
        <v>35</v>
      </c>
      <c r="E1594">
        <f>VLOOKUP($D1594,'[2]LC Opportunity'!$Q$2:$U$542,2,FALSE)</f>
        <v>4.9833333333333334E-2</v>
      </c>
      <c r="F1594">
        <f>VLOOKUP($D1594,'[2]LC Opportunity'!$Q$2:$U$542,3,FALSE)</f>
        <v>0.36799999999999999</v>
      </c>
      <c r="G1594">
        <f>VLOOKUP($D1594,'[2]LC Opportunity'!$Q$2:$U$542,4,FALSE)</f>
        <v>0.58216666666666661</v>
      </c>
      <c r="H1594">
        <f>VLOOKUP($D1594,'[2]LC Opportunity'!$Q$2:$U$542,5,FALSE)</f>
        <v>0</v>
      </c>
      <c r="I1594" s="77">
        <f t="shared" si="4881"/>
        <v>1</v>
      </c>
      <c r="J1594" s="77">
        <f t="shared" si="4882"/>
        <v>5.7008837499999993E-2</v>
      </c>
      <c r="K1594" s="77">
        <f t="shared" si="4926"/>
        <v>4.6309454864073007E-3</v>
      </c>
      <c r="L1594" s="76">
        <v>0</v>
      </c>
      <c r="M1594" s="77">
        <f t="shared" si="4888"/>
        <v>0</v>
      </c>
      <c r="N1594" s="77">
        <f t="shared" si="4889"/>
        <v>0</v>
      </c>
      <c r="O1594" s="77">
        <f t="shared" si="4890"/>
        <v>6.4823999999999993E-3</v>
      </c>
      <c r="P1594" s="77">
        <f t="shared" si="4891"/>
        <v>5.4181166691180671E-4</v>
      </c>
      <c r="R1594" t="s">
        <v>177</v>
      </c>
      <c r="S1594" t="s">
        <v>180</v>
      </c>
      <c r="T1594" s="197" t="str">
        <f t="shared" si="4922"/>
        <v>Autopilot_Opportunity_35</v>
      </c>
      <c r="U1594">
        <v>35</v>
      </c>
      <c r="V1594">
        <f>VLOOKUP($U1594,'[2]AP Opportunity'!$Q$1:$T$542,2,FALSE)</f>
        <v>0.35678616906196864</v>
      </c>
      <c r="W1594">
        <f>VLOOKUP($U1594,'[2]AP Opportunity'!$Q$1:$T$542,3,FALSE)</f>
        <v>0.64321383093803131</v>
      </c>
      <c r="X1594">
        <f>VLOOKUP($U1594,'[2]AP Opportunity'!$Q$1:$T$542,4,FALSE)</f>
        <v>0</v>
      </c>
      <c r="Y1594" s="77">
        <f t="shared" si="4923"/>
        <v>1</v>
      </c>
      <c r="Z1594" s="77">
        <f t="shared" si="4927"/>
        <v>5.6086336394297623E-2</v>
      </c>
      <c r="AA1594" s="77">
        <f t="shared" si="4928"/>
        <v>4.5578505375960532E-3</v>
      </c>
      <c r="AB1594" s="79">
        <v>1</v>
      </c>
      <c r="AC1594" s="77">
        <f t="shared" si="4892"/>
        <v>7.2135723381239365E-3</v>
      </c>
      <c r="AD1594" s="77">
        <f t="shared" ref="AD1594" si="5017">1-(1-AC1594)^(1/12)</f>
        <v>6.0312770805526217E-4</v>
      </c>
      <c r="AE1594" s="77">
        <f t="shared" si="4894"/>
        <v>2.5000000000000001E-3</v>
      </c>
      <c r="AF1594" s="77">
        <f t="shared" ref="AF1594" si="5018">1-(1-AE1594)^(1/12)</f>
        <v>2.0857243058891584E-4</v>
      </c>
      <c r="AH1594" t="s">
        <v>175</v>
      </c>
      <c r="AI1594" t="s">
        <v>180</v>
      </c>
      <c r="AJ1594" s="197" t="str">
        <f t="shared" si="4885"/>
        <v>Lifecycle_Opportunity_35</v>
      </c>
      <c r="AK1594">
        <v>35</v>
      </c>
      <c r="AL1594">
        <f>VLOOKUP($U1594,[2]Standard_Opportunity!$Q$1:$T$542,2,FALSE)</f>
        <v>0.35253436099520929</v>
      </c>
      <c r="AM1594">
        <f>VLOOKUP($U1594,[2]Standard_Opportunity!$Q$1:$T$542,3,FALSE)</f>
        <v>0.64746563900479071</v>
      </c>
      <c r="AN1594">
        <f>VLOOKUP($U1594,[2]Standard_Opportunity!$Q$1:$T$542,4,FALSE)</f>
        <v>0</v>
      </c>
      <c r="AO1594" s="77">
        <f t="shared" si="4886"/>
        <v>1</v>
      </c>
      <c r="AP1594" s="77">
        <f t="shared" si="4896"/>
        <v>5.6029893642211392E-2</v>
      </c>
      <c r="AQ1594" s="77">
        <f t="shared" si="4887"/>
        <v>4.5533763612026767E-3</v>
      </c>
      <c r="AR1594" s="79">
        <v>0</v>
      </c>
      <c r="AS1594" s="77">
        <f t="shared" si="4897"/>
        <v>0</v>
      </c>
      <c r="AT1594" s="77">
        <f t="shared" si="4898"/>
        <v>0</v>
      </c>
      <c r="AU1594" s="77">
        <f t="shared" si="4899"/>
        <v>2.5000000000000001E-3</v>
      </c>
      <c r="AV1594" s="77">
        <f t="shared" si="4900"/>
        <v>2.0809499864316017E-4</v>
      </c>
    </row>
    <row r="1595" spans="1:48">
      <c r="A1595" t="s">
        <v>175</v>
      </c>
      <c r="B1595" t="s">
        <v>180</v>
      </c>
      <c r="C1595" s="197" t="str">
        <f t="shared" si="4921"/>
        <v>Lifecycle_Opportunity_34</v>
      </c>
      <c r="D1595">
        <v>34</v>
      </c>
      <c r="E1595">
        <f>VLOOKUP($D1595,'[2]LC Opportunity'!$Q$2:$U$542,2,FALSE)</f>
        <v>5.1666666666666666E-2</v>
      </c>
      <c r="F1595">
        <f>VLOOKUP($D1595,'[2]LC Opportunity'!$Q$2:$U$542,3,FALSE)</f>
        <v>0.36899999999999999</v>
      </c>
      <c r="G1595">
        <f>VLOOKUP($D1595,'[2]LC Opportunity'!$Q$2:$U$542,4,FALSE)</f>
        <v>0.57933333333333326</v>
      </c>
      <c r="H1595">
        <f>VLOOKUP($D1595,'[2]LC Opportunity'!$Q$2:$U$542,5,FALSE)</f>
        <v>0</v>
      </c>
      <c r="I1595" s="77">
        <f t="shared" si="4881"/>
        <v>0.99999999999999989</v>
      </c>
      <c r="J1595" s="77">
        <f t="shared" si="4882"/>
        <v>5.6950574999999989E-2</v>
      </c>
      <c r="K1595" s="77">
        <f t="shared" si="4926"/>
        <v>4.6263307513201291E-3</v>
      </c>
      <c r="L1595" s="76">
        <v>0</v>
      </c>
      <c r="M1595" s="77">
        <f t="shared" si="4888"/>
        <v>0</v>
      </c>
      <c r="N1595" s="77">
        <f t="shared" si="4889"/>
        <v>0</v>
      </c>
      <c r="O1595" s="77">
        <f t="shared" si="4890"/>
        <v>6.4722999999999985E-3</v>
      </c>
      <c r="P1595" s="77">
        <f t="shared" si="4891"/>
        <v>5.4096497157163359E-4</v>
      </c>
      <c r="R1595" t="s">
        <v>177</v>
      </c>
      <c r="S1595" t="s">
        <v>180</v>
      </c>
      <c r="T1595" s="197" t="str">
        <f t="shared" si="4922"/>
        <v>Autopilot_Opportunity_34</v>
      </c>
      <c r="U1595">
        <v>34</v>
      </c>
      <c r="V1595">
        <f>VLOOKUP($U1595,'[2]AP Opportunity'!$Q$1:$T$542,2,FALSE)</f>
        <v>0.35678616906196864</v>
      </c>
      <c r="W1595">
        <f>VLOOKUP($U1595,'[2]AP Opportunity'!$Q$1:$T$542,3,FALSE)</f>
        <v>0.64321383093803131</v>
      </c>
      <c r="X1595">
        <f>VLOOKUP($U1595,'[2]AP Opportunity'!$Q$1:$T$542,4,FALSE)</f>
        <v>0</v>
      </c>
      <c r="Y1595" s="77">
        <f t="shared" si="4923"/>
        <v>1</v>
      </c>
      <c r="Z1595" s="77">
        <f t="shared" si="4927"/>
        <v>5.6086336394297623E-2</v>
      </c>
      <c r="AA1595" s="77">
        <f t="shared" si="4928"/>
        <v>4.5578505375960532E-3</v>
      </c>
      <c r="AB1595" s="79">
        <v>1</v>
      </c>
      <c r="AC1595" s="77">
        <f t="shared" si="4892"/>
        <v>7.2135723381239365E-3</v>
      </c>
      <c r="AD1595" s="77">
        <f t="shared" ref="AD1595" si="5019">1-(1-AC1595)^(1/12)</f>
        <v>6.0312770805526217E-4</v>
      </c>
      <c r="AE1595" s="77">
        <f t="shared" si="4894"/>
        <v>2.5000000000000001E-3</v>
      </c>
      <c r="AF1595" s="77">
        <f t="shared" ref="AF1595" si="5020">1-(1-AE1595)^(1/12)</f>
        <v>2.0857243058891584E-4</v>
      </c>
      <c r="AH1595" t="s">
        <v>175</v>
      </c>
      <c r="AI1595" t="s">
        <v>180</v>
      </c>
      <c r="AJ1595" s="197" t="str">
        <f t="shared" si="4885"/>
        <v>Lifecycle_Opportunity_34</v>
      </c>
      <c r="AK1595">
        <v>34</v>
      </c>
      <c r="AL1595">
        <f>VLOOKUP($U1595,[2]Standard_Opportunity!$Q$1:$T$542,2,FALSE)</f>
        <v>0.3482825529284499</v>
      </c>
      <c r="AM1595">
        <f>VLOOKUP($U1595,[2]Standard_Opportunity!$Q$1:$T$542,3,FALSE)</f>
        <v>0.65171744707154999</v>
      </c>
      <c r="AN1595">
        <f>VLOOKUP($U1595,[2]Standard_Opportunity!$Q$1:$T$542,4,FALSE)</f>
        <v>0</v>
      </c>
      <c r="AO1595" s="77">
        <f t="shared" si="4886"/>
        <v>0.99999999999999989</v>
      </c>
      <c r="AP1595" s="77">
        <f t="shared" si="4896"/>
        <v>5.5973450890125162E-2</v>
      </c>
      <c r="AQ1595" s="77">
        <f t="shared" si="4887"/>
        <v>4.5489019655957641E-3</v>
      </c>
      <c r="AR1595" s="79">
        <v>0</v>
      </c>
      <c r="AS1595" s="77">
        <f t="shared" si="4897"/>
        <v>0</v>
      </c>
      <c r="AT1595" s="77">
        <f t="shared" si="4898"/>
        <v>0</v>
      </c>
      <c r="AU1595" s="77">
        <f t="shared" si="4899"/>
        <v>2.4999999999999996E-3</v>
      </c>
      <c r="AV1595" s="77">
        <f t="shared" si="4900"/>
        <v>2.0809499864316017E-4</v>
      </c>
    </row>
    <row r="1596" spans="1:48">
      <c r="A1596" t="s">
        <v>175</v>
      </c>
      <c r="B1596" t="s">
        <v>180</v>
      </c>
      <c r="C1596" s="197" t="str">
        <f t="shared" si="4921"/>
        <v>Lifecycle_Opportunity_33</v>
      </c>
      <c r="D1596">
        <v>33</v>
      </c>
      <c r="E1596">
        <f>VLOOKUP($D1596,'[2]LC Opportunity'!$Q$2:$U$542,2,FALSE)</f>
        <v>5.3500000000000006E-2</v>
      </c>
      <c r="F1596">
        <f>VLOOKUP($D1596,'[2]LC Opportunity'!$Q$2:$U$542,3,FALSE)</f>
        <v>0.37</v>
      </c>
      <c r="G1596">
        <f>VLOOKUP($D1596,'[2]LC Opportunity'!$Q$2:$U$542,4,FALSE)</f>
        <v>0.57650000000000001</v>
      </c>
      <c r="H1596">
        <f>VLOOKUP($D1596,'[2]LC Opportunity'!$Q$2:$U$542,5,FALSE)</f>
        <v>0</v>
      </c>
      <c r="I1596" s="77">
        <f t="shared" si="4881"/>
        <v>1</v>
      </c>
      <c r="J1596" s="77">
        <f t="shared" si="4882"/>
        <v>5.6892312499999993E-2</v>
      </c>
      <c r="K1596" s="77">
        <f t="shared" si="4926"/>
        <v>4.6217157830463762E-3</v>
      </c>
      <c r="L1596" s="76">
        <v>0</v>
      </c>
      <c r="M1596" s="77">
        <f t="shared" si="4888"/>
        <v>0</v>
      </c>
      <c r="N1596" s="77">
        <f t="shared" si="4889"/>
        <v>0</v>
      </c>
      <c r="O1596" s="77">
        <f t="shared" si="4890"/>
        <v>6.4621999999999995E-3</v>
      </c>
      <c r="P1596" s="77">
        <f t="shared" si="4891"/>
        <v>5.4011828412137142E-4</v>
      </c>
      <c r="R1596" t="s">
        <v>177</v>
      </c>
      <c r="S1596" t="s">
        <v>180</v>
      </c>
      <c r="T1596" s="197" t="str">
        <f t="shared" si="4922"/>
        <v>Autopilot_Opportunity_33</v>
      </c>
      <c r="U1596">
        <v>33</v>
      </c>
      <c r="V1596">
        <f>VLOOKUP($U1596,'[2]AP Opportunity'!$Q$1:$T$542,2,FALSE)</f>
        <v>0.35678616906196864</v>
      </c>
      <c r="W1596">
        <f>VLOOKUP($U1596,'[2]AP Opportunity'!$Q$1:$T$542,3,FALSE)</f>
        <v>0.64321383093803131</v>
      </c>
      <c r="X1596">
        <f>VLOOKUP($U1596,'[2]AP Opportunity'!$Q$1:$T$542,4,FALSE)</f>
        <v>0</v>
      </c>
      <c r="Y1596" s="77">
        <f t="shared" si="4923"/>
        <v>1</v>
      </c>
      <c r="Z1596" s="77">
        <f t="shared" si="4927"/>
        <v>5.6086336394297623E-2</v>
      </c>
      <c r="AA1596" s="77">
        <f t="shared" si="4928"/>
        <v>4.5578505375960532E-3</v>
      </c>
      <c r="AB1596" s="79">
        <v>1</v>
      </c>
      <c r="AC1596" s="77">
        <f t="shared" si="4892"/>
        <v>7.2135723381239365E-3</v>
      </c>
      <c r="AD1596" s="77">
        <f t="shared" ref="AD1596" si="5021">1-(1-AC1596)^(1/12)</f>
        <v>6.0312770805526217E-4</v>
      </c>
      <c r="AE1596" s="77">
        <f t="shared" si="4894"/>
        <v>2.5000000000000001E-3</v>
      </c>
      <c r="AF1596" s="77">
        <f t="shared" ref="AF1596" si="5022">1-(1-AE1596)^(1/12)</f>
        <v>2.0857243058891584E-4</v>
      </c>
      <c r="AH1596" t="s">
        <v>175</v>
      </c>
      <c r="AI1596" t="s">
        <v>180</v>
      </c>
      <c r="AJ1596" s="197" t="str">
        <f t="shared" si="4885"/>
        <v>Lifecycle_Opportunity_33</v>
      </c>
      <c r="AK1596">
        <v>33</v>
      </c>
      <c r="AL1596">
        <f>VLOOKUP($U1596,[2]Standard_Opportunity!$Q$1:$T$542,2,FALSE)</f>
        <v>0.34403074486169055</v>
      </c>
      <c r="AM1596">
        <f>VLOOKUP($U1596,[2]Standard_Opportunity!$Q$1:$T$542,3,FALSE)</f>
        <v>0.65596925513830939</v>
      </c>
      <c r="AN1596">
        <f>VLOOKUP($U1596,[2]Standard_Opportunity!$Q$1:$T$542,4,FALSE)</f>
        <v>0</v>
      </c>
      <c r="AO1596" s="77">
        <f t="shared" si="4886"/>
        <v>1</v>
      </c>
      <c r="AP1596" s="77">
        <f t="shared" si="4896"/>
        <v>5.5917008138038932E-2</v>
      </c>
      <c r="AQ1596" s="77">
        <f t="shared" si="4887"/>
        <v>4.5444273507528887E-3</v>
      </c>
      <c r="AR1596" s="79">
        <v>0</v>
      </c>
      <c r="AS1596" s="77">
        <f t="shared" si="4897"/>
        <v>0</v>
      </c>
      <c r="AT1596" s="77">
        <f t="shared" si="4898"/>
        <v>0</v>
      </c>
      <c r="AU1596" s="77">
        <f t="shared" si="4899"/>
        <v>2.5000000000000001E-3</v>
      </c>
      <c r="AV1596" s="77">
        <f t="shared" si="4900"/>
        <v>2.0809499864316017E-4</v>
      </c>
    </row>
    <row r="1597" spans="1:48">
      <c r="A1597" t="s">
        <v>175</v>
      </c>
      <c r="B1597" t="s">
        <v>180</v>
      </c>
      <c r="C1597" s="197" t="str">
        <f t="shared" si="4921"/>
        <v>Lifecycle_Opportunity_32</v>
      </c>
      <c r="D1597">
        <v>32</v>
      </c>
      <c r="E1597">
        <f>VLOOKUP($D1597,'[2]LC Opportunity'!$Q$2:$U$542,2,FALSE)</f>
        <v>5.5333333333333339E-2</v>
      </c>
      <c r="F1597">
        <f>VLOOKUP($D1597,'[2]LC Opportunity'!$Q$2:$U$542,3,FALSE)</f>
        <v>0.371</v>
      </c>
      <c r="G1597">
        <f>VLOOKUP($D1597,'[2]LC Opportunity'!$Q$2:$U$542,4,FALSE)</f>
        <v>0.57366666666666666</v>
      </c>
      <c r="H1597">
        <f>VLOOKUP($D1597,'[2]LC Opportunity'!$Q$2:$U$542,5,FALSE)</f>
        <v>0</v>
      </c>
      <c r="I1597" s="77">
        <f t="shared" si="4881"/>
        <v>1</v>
      </c>
      <c r="J1597" s="77">
        <f t="shared" si="4882"/>
        <v>5.683404999999999E-2</v>
      </c>
      <c r="K1597" s="77">
        <f t="shared" si="4926"/>
        <v>4.6171005815611732E-3</v>
      </c>
      <c r="L1597" s="76">
        <v>0</v>
      </c>
      <c r="M1597" s="77">
        <f t="shared" si="4888"/>
        <v>0</v>
      </c>
      <c r="N1597" s="77">
        <f t="shared" si="4889"/>
        <v>0</v>
      </c>
      <c r="O1597" s="77">
        <f t="shared" si="4890"/>
        <v>6.4521000000000005E-3</v>
      </c>
      <c r="P1597" s="77">
        <f t="shared" si="4891"/>
        <v>5.3927160456102019E-4</v>
      </c>
      <c r="R1597" t="s">
        <v>177</v>
      </c>
      <c r="S1597" t="s">
        <v>180</v>
      </c>
      <c r="T1597" s="197" t="str">
        <f t="shared" si="4922"/>
        <v>Autopilot_Opportunity_32</v>
      </c>
      <c r="U1597">
        <v>32</v>
      </c>
      <c r="V1597">
        <f>VLOOKUP($U1597,'[2]AP Opportunity'!$Q$1:$T$542,2,FALSE)</f>
        <v>0.35678616906196864</v>
      </c>
      <c r="W1597">
        <f>VLOOKUP($U1597,'[2]AP Opportunity'!$Q$1:$T$542,3,FALSE)</f>
        <v>0.64321383093803131</v>
      </c>
      <c r="X1597">
        <f>VLOOKUP($U1597,'[2]AP Opportunity'!$Q$1:$T$542,4,FALSE)</f>
        <v>0</v>
      </c>
      <c r="Y1597" s="77">
        <f t="shared" si="4923"/>
        <v>1</v>
      </c>
      <c r="Z1597" s="77">
        <f t="shared" si="4927"/>
        <v>5.6086336394297623E-2</v>
      </c>
      <c r="AA1597" s="77">
        <f t="shared" si="4928"/>
        <v>4.5578505375960532E-3</v>
      </c>
      <c r="AB1597" s="79">
        <v>1</v>
      </c>
      <c r="AC1597" s="77">
        <f t="shared" si="4892"/>
        <v>7.2135723381239365E-3</v>
      </c>
      <c r="AD1597" s="77">
        <f t="shared" ref="AD1597" si="5023">1-(1-AC1597)^(1/12)</f>
        <v>6.0312770805526217E-4</v>
      </c>
      <c r="AE1597" s="77">
        <f t="shared" si="4894"/>
        <v>2.5000000000000001E-3</v>
      </c>
      <c r="AF1597" s="77">
        <f t="shared" ref="AF1597" si="5024">1-(1-AE1597)^(1/12)</f>
        <v>2.0857243058891584E-4</v>
      </c>
      <c r="AH1597" t="s">
        <v>175</v>
      </c>
      <c r="AI1597" t="s">
        <v>180</v>
      </c>
      <c r="AJ1597" s="197" t="str">
        <f t="shared" si="4885"/>
        <v>Lifecycle_Opportunity_32</v>
      </c>
      <c r="AK1597">
        <v>32</v>
      </c>
      <c r="AL1597">
        <f>VLOOKUP($U1597,[2]Standard_Opportunity!$Q$1:$T$542,2,FALSE)</f>
        <v>0.33977893679493121</v>
      </c>
      <c r="AM1597">
        <f>VLOOKUP($U1597,[2]Standard_Opportunity!$Q$1:$T$542,3,FALSE)</f>
        <v>0.66022106320506879</v>
      </c>
      <c r="AN1597">
        <f>VLOOKUP($U1597,[2]Standard_Opportunity!$Q$1:$T$542,4,FALSE)</f>
        <v>0</v>
      </c>
      <c r="AO1597" s="77">
        <f t="shared" si="4886"/>
        <v>1</v>
      </c>
      <c r="AP1597" s="77">
        <f t="shared" si="4896"/>
        <v>5.5860565385952701E-2</v>
      </c>
      <c r="AQ1597" s="77">
        <f t="shared" si="4887"/>
        <v>4.5399525166518462E-3</v>
      </c>
      <c r="AR1597" s="79">
        <v>0</v>
      </c>
      <c r="AS1597" s="77">
        <f t="shared" si="4897"/>
        <v>0</v>
      </c>
      <c r="AT1597" s="77">
        <f t="shared" si="4898"/>
        <v>0</v>
      </c>
      <c r="AU1597" s="77">
        <f t="shared" si="4899"/>
        <v>2.5000000000000001E-3</v>
      </c>
      <c r="AV1597" s="77">
        <f t="shared" si="4900"/>
        <v>2.0809499864316017E-4</v>
      </c>
    </row>
    <row r="1598" spans="1:48">
      <c r="A1598" t="s">
        <v>175</v>
      </c>
      <c r="B1598" t="s">
        <v>180</v>
      </c>
      <c r="C1598" s="197" t="str">
        <f t="shared" si="4921"/>
        <v>Lifecycle_Opportunity_31</v>
      </c>
      <c r="D1598">
        <v>31</v>
      </c>
      <c r="E1598">
        <f>VLOOKUP($D1598,'[2]LC Opportunity'!$Q$2:$U$542,2,FALSE)</f>
        <v>5.7166666666666671E-2</v>
      </c>
      <c r="F1598">
        <f>VLOOKUP($D1598,'[2]LC Opportunity'!$Q$2:$U$542,3,FALSE)</f>
        <v>0.372</v>
      </c>
      <c r="G1598">
        <f>VLOOKUP($D1598,'[2]LC Opportunity'!$Q$2:$U$542,4,FALSE)</f>
        <v>0.5708333333333333</v>
      </c>
      <c r="H1598">
        <f>VLOOKUP($D1598,'[2]LC Opportunity'!$Q$2:$U$542,5,FALSE)</f>
        <v>0</v>
      </c>
      <c r="I1598" s="77">
        <f t="shared" si="4881"/>
        <v>1</v>
      </c>
      <c r="J1598" s="77">
        <f t="shared" si="4882"/>
        <v>5.6775787499999994E-2</v>
      </c>
      <c r="K1598" s="77">
        <f t="shared" si="4926"/>
        <v>4.6124851468400951E-3</v>
      </c>
      <c r="L1598" s="76">
        <v>0</v>
      </c>
      <c r="M1598" s="77">
        <f t="shared" si="4888"/>
        <v>0</v>
      </c>
      <c r="N1598" s="77">
        <f t="shared" si="4889"/>
        <v>0</v>
      </c>
      <c r="O1598" s="77">
        <f t="shared" si="4890"/>
        <v>6.4419999999999998E-3</v>
      </c>
      <c r="P1598" s="77">
        <f t="shared" si="4891"/>
        <v>5.3842493289035787E-4</v>
      </c>
      <c r="R1598" t="s">
        <v>177</v>
      </c>
      <c r="S1598" t="s">
        <v>180</v>
      </c>
      <c r="T1598" s="197" t="str">
        <f t="shared" si="4922"/>
        <v>Autopilot_Opportunity_31</v>
      </c>
      <c r="U1598">
        <v>31</v>
      </c>
      <c r="V1598">
        <f>VLOOKUP($U1598,'[2]AP Opportunity'!$Q$1:$T$542,2,FALSE)</f>
        <v>0.35678616906196864</v>
      </c>
      <c r="W1598">
        <f>VLOOKUP($U1598,'[2]AP Opportunity'!$Q$1:$T$542,3,FALSE)</f>
        <v>0.64321383093803131</v>
      </c>
      <c r="X1598">
        <f>VLOOKUP($U1598,'[2]AP Opportunity'!$Q$1:$T$542,4,FALSE)</f>
        <v>0</v>
      </c>
      <c r="Y1598" s="77">
        <f t="shared" si="4923"/>
        <v>1</v>
      </c>
      <c r="Z1598" s="77">
        <f t="shared" si="4927"/>
        <v>5.6086336394297623E-2</v>
      </c>
      <c r="AA1598" s="77">
        <f t="shared" si="4928"/>
        <v>4.5578505375960532E-3</v>
      </c>
      <c r="AB1598" s="79">
        <v>1</v>
      </c>
      <c r="AC1598" s="77">
        <f t="shared" si="4892"/>
        <v>7.2135723381239365E-3</v>
      </c>
      <c r="AD1598" s="77">
        <f t="shared" ref="AD1598" si="5025">1-(1-AC1598)^(1/12)</f>
        <v>6.0312770805526217E-4</v>
      </c>
      <c r="AE1598" s="77">
        <f t="shared" si="4894"/>
        <v>2.5000000000000001E-3</v>
      </c>
      <c r="AF1598" s="77">
        <f t="shared" ref="AF1598" si="5026">1-(1-AE1598)^(1/12)</f>
        <v>2.0857243058891584E-4</v>
      </c>
      <c r="AH1598" t="s">
        <v>175</v>
      </c>
      <c r="AI1598" t="s">
        <v>180</v>
      </c>
      <c r="AJ1598" s="197" t="str">
        <f t="shared" si="4885"/>
        <v>Lifecycle_Opportunity_31</v>
      </c>
      <c r="AK1598">
        <v>31</v>
      </c>
      <c r="AL1598">
        <f>VLOOKUP($U1598,[2]Standard_Opportunity!$Q$1:$T$542,2,FALSE)</f>
        <v>0.33552712872817181</v>
      </c>
      <c r="AM1598">
        <f>VLOOKUP($U1598,[2]Standard_Opportunity!$Q$1:$T$542,3,FALSE)</f>
        <v>0.66447287127182808</v>
      </c>
      <c r="AN1598">
        <f>VLOOKUP($U1598,[2]Standard_Opportunity!$Q$1:$T$542,4,FALSE)</f>
        <v>0</v>
      </c>
      <c r="AO1598" s="77">
        <f t="shared" si="4886"/>
        <v>0.99999999999999989</v>
      </c>
      <c r="AP1598" s="77">
        <f t="shared" si="4896"/>
        <v>5.5804122633866471E-2</v>
      </c>
      <c r="AQ1598" s="77">
        <f t="shared" si="4887"/>
        <v>4.5354774632697659E-3</v>
      </c>
      <c r="AR1598" s="79">
        <v>0</v>
      </c>
      <c r="AS1598" s="77">
        <f t="shared" si="4897"/>
        <v>0</v>
      </c>
      <c r="AT1598" s="77">
        <f t="shared" si="4898"/>
        <v>0</v>
      </c>
      <c r="AU1598" s="77">
        <f t="shared" si="4899"/>
        <v>2.4999999999999996E-3</v>
      </c>
      <c r="AV1598" s="77">
        <f t="shared" si="4900"/>
        <v>2.0809499864316017E-4</v>
      </c>
    </row>
    <row r="1599" spans="1:48">
      <c r="A1599" t="s">
        <v>175</v>
      </c>
      <c r="B1599" t="s">
        <v>180</v>
      </c>
      <c r="C1599" s="197" t="str">
        <f t="shared" si="4921"/>
        <v>Lifecycle_Opportunity_30</v>
      </c>
      <c r="D1599">
        <v>30</v>
      </c>
      <c r="E1599">
        <f>VLOOKUP($D1599,'[2]LC Opportunity'!$Q$2:$U$542,2,FALSE)</f>
        <v>5.9000000000000004E-2</v>
      </c>
      <c r="F1599">
        <f>VLOOKUP($D1599,'[2]LC Opportunity'!$Q$2:$U$542,3,FALSE)</f>
        <v>0.373</v>
      </c>
      <c r="G1599">
        <f>VLOOKUP($D1599,'[2]LC Opportunity'!$Q$2:$U$542,4,FALSE)</f>
        <v>0.56800000000000006</v>
      </c>
      <c r="H1599">
        <f>VLOOKUP($D1599,'[2]LC Opportunity'!$Q$2:$U$542,5,FALSE)</f>
        <v>0</v>
      </c>
      <c r="I1599" s="77">
        <f t="shared" si="4881"/>
        <v>1</v>
      </c>
      <c r="J1599" s="77">
        <f t="shared" si="4882"/>
        <v>5.6717524999999998E-2</v>
      </c>
      <c r="K1599" s="77">
        <f t="shared" si="4926"/>
        <v>4.6078694788584951E-3</v>
      </c>
      <c r="L1599" s="76">
        <v>0</v>
      </c>
      <c r="M1599" s="77">
        <f t="shared" si="4888"/>
        <v>0</v>
      </c>
      <c r="N1599" s="77">
        <f t="shared" si="4889"/>
        <v>0</v>
      </c>
      <c r="O1599" s="77">
        <f t="shared" si="4890"/>
        <v>6.4319000000000008E-3</v>
      </c>
      <c r="P1599" s="77">
        <f t="shared" si="4891"/>
        <v>5.3757826910927342E-4</v>
      </c>
      <c r="R1599" t="s">
        <v>177</v>
      </c>
      <c r="S1599" t="s">
        <v>180</v>
      </c>
      <c r="T1599" s="197" t="str">
        <f t="shared" si="4922"/>
        <v>Autopilot_Opportunity_30</v>
      </c>
      <c r="U1599">
        <v>30</v>
      </c>
      <c r="V1599">
        <f>VLOOKUP($U1599,'[2]AP Opportunity'!$Q$1:$T$542,2,FALSE)</f>
        <v>0.35678616906196864</v>
      </c>
      <c r="W1599">
        <f>VLOOKUP($U1599,'[2]AP Opportunity'!$Q$1:$T$542,3,FALSE)</f>
        <v>0.64321383093803131</v>
      </c>
      <c r="X1599">
        <f>VLOOKUP($U1599,'[2]AP Opportunity'!$Q$1:$T$542,4,FALSE)</f>
        <v>0</v>
      </c>
      <c r="Y1599" s="77">
        <f t="shared" si="4923"/>
        <v>1</v>
      </c>
      <c r="Z1599" s="77">
        <f t="shared" si="4927"/>
        <v>5.6086336394297623E-2</v>
      </c>
      <c r="AA1599" s="77">
        <f t="shared" si="4928"/>
        <v>4.5578505375960532E-3</v>
      </c>
      <c r="AB1599" s="79">
        <v>1</v>
      </c>
      <c r="AC1599" s="77">
        <f t="shared" si="4892"/>
        <v>7.2135723381239365E-3</v>
      </c>
      <c r="AD1599" s="77">
        <f t="shared" ref="AD1599" si="5027">1-(1-AC1599)^(1/12)</f>
        <v>6.0312770805526217E-4</v>
      </c>
      <c r="AE1599" s="77">
        <f t="shared" si="4894"/>
        <v>2.5000000000000001E-3</v>
      </c>
      <c r="AF1599" s="77">
        <f t="shared" ref="AF1599" si="5028">1-(1-AE1599)^(1/12)</f>
        <v>2.0857243058891584E-4</v>
      </c>
      <c r="AH1599" t="s">
        <v>175</v>
      </c>
      <c r="AI1599" t="s">
        <v>180</v>
      </c>
      <c r="AJ1599" s="197" t="str">
        <f t="shared" si="4885"/>
        <v>Lifecycle_Opportunity_30</v>
      </c>
      <c r="AK1599">
        <v>30</v>
      </c>
      <c r="AL1599">
        <f>VLOOKUP($U1599,[2]Standard_Opportunity!$Q$1:$T$542,2,FALSE)</f>
        <v>0.33127532066141246</v>
      </c>
      <c r="AM1599">
        <f>VLOOKUP($U1599,[2]Standard_Opportunity!$Q$1:$T$542,3,FALSE)</f>
        <v>0.66872467933858748</v>
      </c>
      <c r="AN1599">
        <f>VLOOKUP($U1599,[2]Standard_Opportunity!$Q$1:$T$542,4,FALSE)</f>
        <v>0</v>
      </c>
      <c r="AO1599" s="77">
        <f t="shared" si="4886"/>
        <v>1</v>
      </c>
      <c r="AP1599" s="77">
        <f t="shared" si="4896"/>
        <v>5.574767988178024E-2</v>
      </c>
      <c r="AQ1599" s="77">
        <f t="shared" si="4887"/>
        <v>4.5310021905846654E-3</v>
      </c>
      <c r="AR1599" s="79">
        <v>0</v>
      </c>
      <c r="AS1599" s="77">
        <f t="shared" si="4897"/>
        <v>0</v>
      </c>
      <c r="AT1599" s="77">
        <f t="shared" si="4898"/>
        <v>0</v>
      </c>
      <c r="AU1599" s="77">
        <f t="shared" si="4899"/>
        <v>2.5000000000000001E-3</v>
      </c>
      <c r="AV1599" s="77">
        <f t="shared" si="4900"/>
        <v>2.0809499864316017E-4</v>
      </c>
    </row>
    <row r="1600" spans="1:48">
      <c r="A1600" t="s">
        <v>175</v>
      </c>
      <c r="B1600" t="s">
        <v>180</v>
      </c>
      <c r="C1600" s="197" t="str">
        <f t="shared" si="4921"/>
        <v>Lifecycle_Opportunity_29</v>
      </c>
      <c r="D1600">
        <v>29</v>
      </c>
      <c r="E1600">
        <f>VLOOKUP($D1600,'[2]LC Opportunity'!$Q$2:$U$542,2,FALSE)</f>
        <v>6.0833333333333336E-2</v>
      </c>
      <c r="F1600">
        <f>VLOOKUP($D1600,'[2]LC Opportunity'!$Q$2:$U$542,3,FALSE)</f>
        <v>0.374</v>
      </c>
      <c r="G1600">
        <f>VLOOKUP($D1600,'[2]LC Opportunity'!$Q$2:$U$542,4,FALSE)</f>
        <v>0.56516666666666671</v>
      </c>
      <c r="H1600">
        <f>VLOOKUP($D1600,'[2]LC Opportunity'!$Q$2:$U$542,5,FALSE)</f>
        <v>0</v>
      </c>
      <c r="I1600" s="77">
        <f t="shared" si="4881"/>
        <v>1</v>
      </c>
      <c r="J1600" s="77">
        <f t="shared" si="4882"/>
        <v>5.6659262499999995E-2</v>
      </c>
      <c r="K1600" s="77">
        <f t="shared" si="4926"/>
        <v>4.6032535775919481E-3</v>
      </c>
      <c r="L1600" s="76">
        <v>0</v>
      </c>
      <c r="M1600" s="77">
        <f t="shared" si="4888"/>
        <v>0</v>
      </c>
      <c r="N1600" s="77">
        <f t="shared" si="4889"/>
        <v>0</v>
      </c>
      <c r="O1600" s="77">
        <f t="shared" si="4890"/>
        <v>6.4218000000000001E-3</v>
      </c>
      <c r="P1600" s="77">
        <f t="shared" si="4891"/>
        <v>5.3673161321765583E-4</v>
      </c>
      <c r="R1600" t="s">
        <v>177</v>
      </c>
      <c r="S1600" t="s">
        <v>180</v>
      </c>
      <c r="T1600" s="197" t="str">
        <f t="shared" si="4922"/>
        <v>Autopilot_Opportunity_29</v>
      </c>
      <c r="U1600">
        <v>29</v>
      </c>
      <c r="V1600">
        <f>VLOOKUP($U1600,'[2]AP Opportunity'!$Q$1:$T$542,2,FALSE)</f>
        <v>0.35678616906196864</v>
      </c>
      <c r="W1600">
        <f>VLOOKUP($U1600,'[2]AP Opportunity'!$Q$1:$T$542,3,FALSE)</f>
        <v>0.64321383093803131</v>
      </c>
      <c r="X1600">
        <f>VLOOKUP($U1600,'[2]AP Opportunity'!$Q$1:$T$542,4,FALSE)</f>
        <v>0</v>
      </c>
      <c r="Y1600" s="77">
        <f t="shared" si="4923"/>
        <v>1</v>
      </c>
      <c r="Z1600" s="77">
        <f t="shared" si="4927"/>
        <v>5.6086336394297623E-2</v>
      </c>
      <c r="AA1600" s="77">
        <f t="shared" si="4928"/>
        <v>4.5578505375960532E-3</v>
      </c>
      <c r="AB1600" s="79">
        <v>1</v>
      </c>
      <c r="AC1600" s="77">
        <f t="shared" si="4892"/>
        <v>7.2135723381239365E-3</v>
      </c>
      <c r="AD1600" s="77">
        <f t="shared" ref="AD1600" si="5029">1-(1-AC1600)^(1/12)</f>
        <v>6.0312770805526217E-4</v>
      </c>
      <c r="AE1600" s="77">
        <f t="shared" si="4894"/>
        <v>2.5000000000000001E-3</v>
      </c>
      <c r="AF1600" s="77">
        <f t="shared" ref="AF1600" si="5030">1-(1-AE1600)^(1/12)</f>
        <v>2.0857243058891584E-4</v>
      </c>
      <c r="AH1600" t="s">
        <v>175</v>
      </c>
      <c r="AI1600" t="s">
        <v>180</v>
      </c>
      <c r="AJ1600" s="197" t="str">
        <f t="shared" si="4885"/>
        <v>Lifecycle_Opportunity_29</v>
      </c>
      <c r="AK1600">
        <v>29</v>
      </c>
      <c r="AL1600">
        <f>VLOOKUP($U1600,[2]Standard_Opportunity!$Q$1:$T$542,2,FALSE)</f>
        <v>0.32702351259465312</v>
      </c>
      <c r="AM1600">
        <f>VLOOKUP($U1600,[2]Standard_Opportunity!$Q$1:$T$542,3,FALSE)</f>
        <v>0.67297648740534688</v>
      </c>
      <c r="AN1600">
        <f>VLOOKUP($U1600,[2]Standard_Opportunity!$Q$1:$T$542,4,FALSE)</f>
        <v>0</v>
      </c>
      <c r="AO1600" s="77">
        <f t="shared" si="4886"/>
        <v>1</v>
      </c>
      <c r="AP1600" s="77">
        <f t="shared" si="4896"/>
        <v>5.569123712969401E-2</v>
      </c>
      <c r="AQ1600" s="77">
        <f t="shared" si="4887"/>
        <v>4.5265266985736741E-3</v>
      </c>
      <c r="AR1600" s="79">
        <v>0</v>
      </c>
      <c r="AS1600" s="77">
        <f t="shared" si="4897"/>
        <v>0</v>
      </c>
      <c r="AT1600" s="77">
        <f t="shared" si="4898"/>
        <v>0</v>
      </c>
      <c r="AU1600" s="77">
        <f t="shared" si="4899"/>
        <v>2.5000000000000001E-3</v>
      </c>
      <c r="AV1600" s="77">
        <f t="shared" si="4900"/>
        <v>2.0809499864316017E-4</v>
      </c>
    </row>
    <row r="1601" spans="1:48">
      <c r="A1601" t="s">
        <v>175</v>
      </c>
      <c r="B1601" t="s">
        <v>180</v>
      </c>
      <c r="C1601" s="197" t="str">
        <f t="shared" si="4921"/>
        <v>Lifecycle_Opportunity_28</v>
      </c>
      <c r="D1601">
        <v>28</v>
      </c>
      <c r="E1601">
        <f>VLOOKUP($D1601,'[2]LC Opportunity'!$Q$2:$U$542,2,FALSE)</f>
        <v>6.2666666666666676E-2</v>
      </c>
      <c r="F1601">
        <f>VLOOKUP($D1601,'[2]LC Opportunity'!$Q$2:$U$542,3,FALSE)</f>
        <v>0.375</v>
      </c>
      <c r="G1601">
        <f>VLOOKUP($D1601,'[2]LC Opportunity'!$Q$2:$U$542,4,FALSE)</f>
        <v>0.56233333333333335</v>
      </c>
      <c r="H1601">
        <f>VLOOKUP($D1601,'[2]LC Opportunity'!$Q$2:$U$542,5,FALSE)</f>
        <v>0</v>
      </c>
      <c r="I1601" s="77">
        <f t="shared" ref="I1601:I1629" si="5031">SUM(E1601:H1601)</f>
        <v>1</v>
      </c>
      <c r="J1601" s="77">
        <f t="shared" ref="J1601:J1629" si="5032">SUMPRODUCT($E$1:$H$1,E1601:H1601)</f>
        <v>5.6600999999999999E-2</v>
      </c>
      <c r="K1601" s="77">
        <f t="shared" si="4926"/>
        <v>4.5986374430151411E-3</v>
      </c>
      <c r="L1601" s="76">
        <v>0</v>
      </c>
      <c r="M1601" s="77">
        <f t="shared" si="4888"/>
        <v>0</v>
      </c>
      <c r="N1601" s="77">
        <f t="shared" si="4889"/>
        <v>0</v>
      </c>
      <c r="O1601" s="77">
        <f t="shared" si="4890"/>
        <v>6.4117000000000002E-3</v>
      </c>
      <c r="P1601" s="77">
        <f t="shared" si="4891"/>
        <v>5.3588496521517204E-4</v>
      </c>
      <c r="R1601" t="s">
        <v>177</v>
      </c>
      <c r="S1601" t="s">
        <v>180</v>
      </c>
      <c r="T1601" s="197" t="str">
        <f t="shared" si="4922"/>
        <v>Autopilot_Opportunity_28</v>
      </c>
      <c r="U1601">
        <v>28</v>
      </c>
      <c r="V1601">
        <f>VLOOKUP($U1601,'[2]AP Opportunity'!$Q$1:$T$542,2,FALSE)</f>
        <v>0.35678616906196864</v>
      </c>
      <c r="W1601">
        <f>VLOOKUP($U1601,'[2]AP Opportunity'!$Q$1:$T$542,3,FALSE)</f>
        <v>0.64321383093803131</v>
      </c>
      <c r="X1601">
        <f>VLOOKUP($U1601,'[2]AP Opportunity'!$Q$1:$T$542,4,FALSE)</f>
        <v>0</v>
      </c>
      <c r="Y1601" s="77">
        <f t="shared" si="4923"/>
        <v>1</v>
      </c>
      <c r="Z1601" s="77">
        <f t="shared" si="4927"/>
        <v>5.6086336394297623E-2</v>
      </c>
      <c r="AA1601" s="77">
        <f t="shared" si="4928"/>
        <v>4.5578505375960532E-3</v>
      </c>
      <c r="AB1601" s="79">
        <v>1</v>
      </c>
      <c r="AC1601" s="77">
        <f t="shared" si="4892"/>
        <v>7.2135723381239365E-3</v>
      </c>
      <c r="AD1601" s="77">
        <f t="shared" ref="AD1601" si="5033">1-(1-AC1601)^(1/12)</f>
        <v>6.0312770805526217E-4</v>
      </c>
      <c r="AE1601" s="77">
        <f t="shared" si="4894"/>
        <v>2.5000000000000001E-3</v>
      </c>
      <c r="AF1601" s="77">
        <f t="shared" ref="AF1601" si="5034">1-(1-AE1601)^(1/12)</f>
        <v>2.0857243058891584E-4</v>
      </c>
      <c r="AH1601" t="s">
        <v>175</v>
      </c>
      <c r="AI1601" t="s">
        <v>180</v>
      </c>
      <c r="AJ1601" s="197" t="str">
        <f t="shared" ref="AJ1601:AJ1629" si="5035">AH1601&amp;"_"&amp;AI1601&amp;"_"&amp;AK1601</f>
        <v>Lifecycle_Opportunity_28</v>
      </c>
      <c r="AK1601">
        <v>28</v>
      </c>
      <c r="AL1601">
        <f>VLOOKUP($U1601,[2]Standard_Opportunity!$Q$1:$T$542,2,FALSE)</f>
        <v>0.32277170452789372</v>
      </c>
      <c r="AM1601">
        <f>VLOOKUP($U1601,[2]Standard_Opportunity!$Q$1:$T$542,3,FALSE)</f>
        <v>0.67722829547210617</v>
      </c>
      <c r="AN1601">
        <f>VLOOKUP($U1601,[2]Standard_Opportunity!$Q$1:$T$542,4,FALSE)</f>
        <v>0</v>
      </c>
      <c r="AO1601" s="77">
        <f t="shared" ref="AO1601:AO1629" si="5036">SUM(AL1601:AN1601)</f>
        <v>0.99999999999999989</v>
      </c>
      <c r="AP1601" s="77">
        <f t="shared" si="4896"/>
        <v>5.563479437760778E-2</v>
      </c>
      <c r="AQ1601" s="77">
        <f t="shared" ref="AQ1601:AQ1629" si="5037">(1+AP1601)^(1/12)-1</f>
        <v>4.5220509872145875E-3</v>
      </c>
      <c r="AR1601" s="79">
        <v>0</v>
      </c>
      <c r="AS1601" s="77">
        <f t="shared" si="4897"/>
        <v>0</v>
      </c>
      <c r="AT1601" s="77">
        <f t="shared" si="4898"/>
        <v>0</v>
      </c>
      <c r="AU1601" s="77">
        <f t="shared" si="4899"/>
        <v>2.4999999999999996E-3</v>
      </c>
      <c r="AV1601" s="77">
        <f t="shared" si="4900"/>
        <v>2.0809499864316017E-4</v>
      </c>
    </row>
    <row r="1602" spans="1:48">
      <c r="A1602" t="s">
        <v>175</v>
      </c>
      <c r="B1602" t="s">
        <v>180</v>
      </c>
      <c r="C1602" s="197" t="str">
        <f t="shared" si="4921"/>
        <v>Lifecycle_Opportunity_27</v>
      </c>
      <c r="D1602">
        <v>27</v>
      </c>
      <c r="E1602">
        <f>VLOOKUP($D1602,'[2]LC Opportunity'!$Q$2:$U$542,2,FALSE)</f>
        <v>6.4500000000000002E-2</v>
      </c>
      <c r="F1602">
        <f>VLOOKUP($D1602,'[2]LC Opportunity'!$Q$2:$U$542,3,FALSE)</f>
        <v>0.376</v>
      </c>
      <c r="G1602">
        <f>VLOOKUP($D1602,'[2]LC Opportunity'!$Q$2:$U$542,4,FALSE)</f>
        <v>0.5595</v>
      </c>
      <c r="H1602">
        <f>VLOOKUP($D1602,'[2]LC Opportunity'!$Q$2:$U$542,5,FALSE)</f>
        <v>0</v>
      </c>
      <c r="I1602" s="77">
        <f t="shared" si="5031"/>
        <v>1</v>
      </c>
      <c r="J1602" s="77">
        <f t="shared" si="5032"/>
        <v>5.6542737499999995E-2</v>
      </c>
      <c r="K1602" s="77">
        <f t="shared" si="4926"/>
        <v>4.5940210751040933E-3</v>
      </c>
      <c r="L1602" s="76">
        <v>0</v>
      </c>
      <c r="M1602" s="77">
        <f t="shared" ref="M1602:M1629" si="5038">IF($L1602=0,0,SUMPRODUCT($E$3:$H$3,E1602:H1602))</f>
        <v>0</v>
      </c>
      <c r="N1602" s="77">
        <f t="shared" ref="N1602:N1629" si="5039">1-(1-M1602)^(1/12)</f>
        <v>0</v>
      </c>
      <c r="O1602" s="77">
        <f t="shared" ref="O1602:O1629" si="5040">SUMPRODUCT($E$2:$H$2,E1602:H1602)</f>
        <v>6.4016000000000003E-3</v>
      </c>
      <c r="P1602" s="77">
        <f t="shared" ref="P1602:P1629" si="5041">1-(1-O1602)^(1/12)</f>
        <v>5.3503832510182203E-4</v>
      </c>
      <c r="R1602" t="s">
        <v>177</v>
      </c>
      <c r="S1602" t="s">
        <v>180</v>
      </c>
      <c r="T1602" s="197" t="str">
        <f t="shared" si="4922"/>
        <v>Autopilot_Opportunity_27</v>
      </c>
      <c r="U1602">
        <v>27</v>
      </c>
      <c r="V1602">
        <f>VLOOKUP($U1602,'[2]AP Opportunity'!$Q$1:$T$542,2,FALSE)</f>
        <v>0.35678616906196864</v>
      </c>
      <c r="W1602">
        <f>VLOOKUP($U1602,'[2]AP Opportunity'!$Q$1:$T$542,3,FALSE)</f>
        <v>0.64321383093803131</v>
      </c>
      <c r="X1602">
        <f>VLOOKUP($U1602,'[2]AP Opportunity'!$Q$1:$T$542,4,FALSE)</f>
        <v>0</v>
      </c>
      <c r="Y1602" s="77">
        <f t="shared" si="4923"/>
        <v>1</v>
      </c>
      <c r="Z1602" s="77">
        <f t="shared" si="4927"/>
        <v>5.6086336394297623E-2</v>
      </c>
      <c r="AA1602" s="77">
        <f t="shared" si="4928"/>
        <v>4.5578505375960532E-3</v>
      </c>
      <c r="AB1602" s="79">
        <v>1</v>
      </c>
      <c r="AC1602" s="77">
        <f t="shared" ref="AC1602:AC1629" si="5042">IF($AB1602=0,0,SUMPRODUCT($V$3:$X$3,V1602:X1602))</f>
        <v>7.2135723381239365E-3</v>
      </c>
      <c r="AD1602" s="77">
        <f t="shared" ref="AD1602" si="5043">1-(1-AC1602)^(1/12)</f>
        <v>6.0312770805526217E-4</v>
      </c>
      <c r="AE1602" s="77">
        <f t="shared" ref="AE1602:AE1629" si="5044">SUMPRODUCT($V$2:$X$2,V1602:X1602)</f>
        <v>2.5000000000000001E-3</v>
      </c>
      <c r="AF1602" s="77">
        <f t="shared" ref="AF1602" si="5045">1-(1-AE1602)^(1/12)</f>
        <v>2.0857243058891584E-4</v>
      </c>
      <c r="AH1602" t="s">
        <v>175</v>
      </c>
      <c r="AI1602" t="s">
        <v>180</v>
      </c>
      <c r="AJ1602" s="197" t="str">
        <f t="shared" si="5035"/>
        <v>Lifecycle_Opportunity_27</v>
      </c>
      <c r="AK1602">
        <v>27</v>
      </c>
      <c r="AL1602">
        <f>VLOOKUP($U1602,[2]Standard_Opportunity!$Q$1:$T$542,2,FALSE)</f>
        <v>0.31851989646113438</v>
      </c>
      <c r="AM1602">
        <f>VLOOKUP($U1602,[2]Standard_Opportunity!$Q$1:$T$542,3,FALSE)</f>
        <v>0.68148010353886557</v>
      </c>
      <c r="AN1602">
        <f>VLOOKUP($U1602,[2]Standard_Opportunity!$Q$1:$T$542,4,FALSE)</f>
        <v>0</v>
      </c>
      <c r="AO1602" s="77">
        <f t="shared" si="5036"/>
        <v>1</v>
      </c>
      <c r="AP1602" s="77">
        <f t="shared" ref="AP1602:AP1629" si="5046">SUMPRODUCT($AL$1:$AN$1,AL1602:AN1602)</f>
        <v>5.5578351625521549E-2</v>
      </c>
      <c r="AQ1602" s="77">
        <f t="shared" si="5037"/>
        <v>4.5175750564845352E-3</v>
      </c>
      <c r="AR1602" s="79">
        <v>0</v>
      </c>
      <c r="AS1602" s="77">
        <f t="shared" ref="AS1602:AS1629" si="5047">IF(AR1602=0,0,SUMPRODUCT($AL$3:$AN$3,AL1602:AN1602))</f>
        <v>0</v>
      </c>
      <c r="AT1602" s="77">
        <f t="shared" ref="AT1602:AT1629" si="5048">(1+AS1602)^(1/12)-1</f>
        <v>0</v>
      </c>
      <c r="AU1602" s="77">
        <f t="shared" ref="AU1602:AU1629" si="5049">SUMPRODUCT($AL$2:$AN$2,AL1602:AN1602)</f>
        <v>2.5000000000000001E-3</v>
      </c>
      <c r="AV1602" s="77">
        <f t="shared" ref="AV1602:AV1629" si="5050">(1+AU1602)^(1/12)-1</f>
        <v>2.0809499864316017E-4</v>
      </c>
    </row>
    <row r="1603" spans="1:48">
      <c r="A1603" t="s">
        <v>175</v>
      </c>
      <c r="B1603" t="s">
        <v>180</v>
      </c>
      <c r="C1603" s="197" t="str">
        <f t="shared" si="4921"/>
        <v>Lifecycle_Opportunity_26</v>
      </c>
      <c r="D1603">
        <v>26</v>
      </c>
      <c r="E1603">
        <f>VLOOKUP($D1603,'[2]LC Opportunity'!$Q$2:$U$542,2,FALSE)</f>
        <v>6.6333333333333341E-2</v>
      </c>
      <c r="F1603">
        <f>VLOOKUP($D1603,'[2]LC Opportunity'!$Q$2:$U$542,3,FALSE)</f>
        <v>0.377</v>
      </c>
      <c r="G1603">
        <f>VLOOKUP($D1603,'[2]LC Opportunity'!$Q$2:$U$542,4,FALSE)</f>
        <v>0.55666666666666664</v>
      </c>
      <c r="H1603">
        <f>VLOOKUP($D1603,'[2]LC Opportunity'!$Q$2:$U$542,5,FALSE)</f>
        <v>0</v>
      </c>
      <c r="I1603" s="77">
        <f t="shared" si="5031"/>
        <v>1</v>
      </c>
      <c r="J1603" s="77">
        <f t="shared" si="5032"/>
        <v>5.6484474999999992E-2</v>
      </c>
      <c r="K1603" s="77">
        <f t="shared" si="4926"/>
        <v>4.5894044738339357E-3</v>
      </c>
      <c r="L1603" s="76">
        <v>0</v>
      </c>
      <c r="M1603" s="77">
        <f t="shared" si="5038"/>
        <v>0</v>
      </c>
      <c r="N1603" s="77">
        <f t="shared" si="5039"/>
        <v>0</v>
      </c>
      <c r="O1603" s="77">
        <f t="shared" si="5040"/>
        <v>6.3914999999999996E-3</v>
      </c>
      <c r="P1603" s="77">
        <f t="shared" si="5041"/>
        <v>5.3419169287749479E-4</v>
      </c>
      <c r="R1603" t="s">
        <v>177</v>
      </c>
      <c r="S1603" t="s">
        <v>180</v>
      </c>
      <c r="T1603" s="197" t="str">
        <f t="shared" si="4922"/>
        <v>Autopilot_Opportunity_26</v>
      </c>
      <c r="U1603">
        <v>26</v>
      </c>
      <c r="V1603">
        <f>VLOOKUP($U1603,'[2]AP Opportunity'!$Q$1:$T$542,2,FALSE)</f>
        <v>0.35678616906196864</v>
      </c>
      <c r="W1603">
        <f>VLOOKUP($U1603,'[2]AP Opportunity'!$Q$1:$T$542,3,FALSE)</f>
        <v>0.64321383093803131</v>
      </c>
      <c r="X1603">
        <f>VLOOKUP($U1603,'[2]AP Opportunity'!$Q$1:$T$542,4,FALSE)</f>
        <v>0</v>
      </c>
      <c r="Y1603" s="77">
        <f t="shared" si="4923"/>
        <v>1</v>
      </c>
      <c r="Z1603" s="77">
        <f t="shared" si="4927"/>
        <v>5.6086336394297623E-2</v>
      </c>
      <c r="AA1603" s="77">
        <f t="shared" si="4928"/>
        <v>4.5578505375960532E-3</v>
      </c>
      <c r="AB1603" s="79">
        <v>1</v>
      </c>
      <c r="AC1603" s="77">
        <f t="shared" si="5042"/>
        <v>7.2135723381239365E-3</v>
      </c>
      <c r="AD1603" s="77">
        <f t="shared" ref="AD1603" si="5051">1-(1-AC1603)^(1/12)</f>
        <v>6.0312770805526217E-4</v>
      </c>
      <c r="AE1603" s="77">
        <f t="shared" si="5044"/>
        <v>2.5000000000000001E-3</v>
      </c>
      <c r="AF1603" s="77">
        <f t="shared" ref="AF1603" si="5052">1-(1-AE1603)^(1/12)</f>
        <v>2.0857243058891584E-4</v>
      </c>
      <c r="AH1603" t="s">
        <v>175</v>
      </c>
      <c r="AI1603" t="s">
        <v>180</v>
      </c>
      <c r="AJ1603" s="197" t="str">
        <f t="shared" si="5035"/>
        <v>Lifecycle_Opportunity_26</v>
      </c>
      <c r="AK1603">
        <v>26</v>
      </c>
      <c r="AL1603">
        <f>VLOOKUP($U1603,[2]Standard_Opportunity!$Q$1:$T$542,2,FALSE)</f>
        <v>0.31426808839437503</v>
      </c>
      <c r="AM1603">
        <f>VLOOKUP($U1603,[2]Standard_Opportunity!$Q$1:$T$542,3,FALSE)</f>
        <v>0.68573191160562497</v>
      </c>
      <c r="AN1603">
        <f>VLOOKUP($U1603,[2]Standard_Opportunity!$Q$1:$T$542,4,FALSE)</f>
        <v>0</v>
      </c>
      <c r="AO1603" s="77">
        <f t="shared" si="5036"/>
        <v>1</v>
      </c>
      <c r="AP1603" s="77">
        <f t="shared" si="5046"/>
        <v>5.5521908873435319E-2</v>
      </c>
      <c r="AQ1603" s="77">
        <f t="shared" si="5037"/>
        <v>4.5130989063615345E-3</v>
      </c>
      <c r="AR1603" s="79">
        <v>0</v>
      </c>
      <c r="AS1603" s="77">
        <f t="shared" si="5047"/>
        <v>0</v>
      </c>
      <c r="AT1603" s="77">
        <f t="shared" si="5048"/>
        <v>0</v>
      </c>
      <c r="AU1603" s="77">
        <f t="shared" si="5049"/>
        <v>2.5000000000000001E-3</v>
      </c>
      <c r="AV1603" s="77">
        <f t="shared" si="5050"/>
        <v>2.0809499864316017E-4</v>
      </c>
    </row>
    <row r="1604" spans="1:48">
      <c r="A1604" t="s">
        <v>175</v>
      </c>
      <c r="B1604" t="s">
        <v>180</v>
      </c>
      <c r="C1604" s="197" t="str">
        <f t="shared" si="4921"/>
        <v>Lifecycle_Opportunity_25</v>
      </c>
      <c r="D1604">
        <v>25</v>
      </c>
      <c r="E1604">
        <f>VLOOKUP($D1604,'[2]LC Opportunity'!$Q$2:$U$542,2,FALSE)</f>
        <v>6.8166666666666667E-2</v>
      </c>
      <c r="F1604">
        <f>VLOOKUP($D1604,'[2]LC Opportunity'!$Q$2:$U$542,3,FALSE)</f>
        <v>0.378</v>
      </c>
      <c r="G1604">
        <f>VLOOKUP($D1604,'[2]LC Opportunity'!$Q$2:$U$542,4,FALSE)</f>
        <v>0.5538333333333334</v>
      </c>
      <c r="H1604">
        <f>VLOOKUP($D1604,'[2]LC Opportunity'!$Q$2:$U$542,5,FALSE)</f>
        <v>0</v>
      </c>
      <c r="I1604" s="77">
        <f t="shared" si="5031"/>
        <v>1</v>
      </c>
      <c r="J1604" s="77">
        <f t="shared" si="5032"/>
        <v>5.6426212500000003E-2</v>
      </c>
      <c r="K1604" s="77">
        <f t="shared" si="4926"/>
        <v>4.5847876391797993E-3</v>
      </c>
      <c r="L1604" s="76">
        <v>0</v>
      </c>
      <c r="M1604" s="77">
        <f t="shared" si="5038"/>
        <v>0</v>
      </c>
      <c r="N1604" s="77">
        <f t="shared" si="5039"/>
        <v>0</v>
      </c>
      <c r="O1604" s="77">
        <f t="shared" si="5040"/>
        <v>6.3813999999999997E-3</v>
      </c>
      <c r="P1604" s="77">
        <f t="shared" si="5041"/>
        <v>5.3334506854185726E-4</v>
      </c>
      <c r="R1604" t="s">
        <v>177</v>
      </c>
      <c r="S1604" t="s">
        <v>180</v>
      </c>
      <c r="T1604" s="197" t="str">
        <f t="shared" si="4922"/>
        <v>Autopilot_Opportunity_25</v>
      </c>
      <c r="U1604">
        <v>25</v>
      </c>
      <c r="V1604">
        <f>VLOOKUP($U1604,'[2]AP Opportunity'!$Q$1:$T$542,2,FALSE)</f>
        <v>0.35678616906196864</v>
      </c>
      <c r="W1604">
        <f>VLOOKUP($U1604,'[2]AP Opportunity'!$Q$1:$T$542,3,FALSE)</f>
        <v>0.64321383093803131</v>
      </c>
      <c r="X1604">
        <f>VLOOKUP($U1604,'[2]AP Opportunity'!$Q$1:$T$542,4,FALSE)</f>
        <v>0</v>
      </c>
      <c r="Y1604" s="77">
        <f t="shared" si="4923"/>
        <v>1</v>
      </c>
      <c r="Z1604" s="77">
        <f t="shared" si="4927"/>
        <v>5.6086336394297623E-2</v>
      </c>
      <c r="AA1604" s="77">
        <f t="shared" si="4928"/>
        <v>4.5578505375960532E-3</v>
      </c>
      <c r="AB1604" s="79">
        <v>1</v>
      </c>
      <c r="AC1604" s="77">
        <f t="shared" si="5042"/>
        <v>7.2135723381239365E-3</v>
      </c>
      <c r="AD1604" s="77">
        <f t="shared" ref="AD1604" si="5053">1-(1-AC1604)^(1/12)</f>
        <v>6.0312770805526217E-4</v>
      </c>
      <c r="AE1604" s="77">
        <f t="shared" si="5044"/>
        <v>2.5000000000000001E-3</v>
      </c>
      <c r="AF1604" s="77">
        <f t="shared" ref="AF1604" si="5054">1-(1-AE1604)^(1/12)</f>
        <v>2.0857243058891584E-4</v>
      </c>
      <c r="AH1604" t="s">
        <v>175</v>
      </c>
      <c r="AI1604" t="s">
        <v>180</v>
      </c>
      <c r="AJ1604" s="197" t="str">
        <f t="shared" si="5035"/>
        <v>Lifecycle_Opportunity_25</v>
      </c>
      <c r="AK1604">
        <v>25</v>
      </c>
      <c r="AL1604">
        <f>VLOOKUP($U1604,[2]Standard_Opportunity!$Q$1:$T$542,2,FALSE)</f>
        <v>0.31001628032761563</v>
      </c>
      <c r="AM1604">
        <f>VLOOKUP($U1604,[2]Standard_Opportunity!$Q$1:$T$542,3,FALSE)</f>
        <v>0.68998371967238425</v>
      </c>
      <c r="AN1604">
        <f>VLOOKUP($U1604,[2]Standard_Opportunity!$Q$1:$T$542,4,FALSE)</f>
        <v>0</v>
      </c>
      <c r="AO1604" s="77">
        <f t="shared" si="5036"/>
        <v>0.99999999999999989</v>
      </c>
      <c r="AP1604" s="77">
        <f t="shared" si="5046"/>
        <v>5.5465466121349088E-2</v>
      </c>
      <c r="AQ1604" s="77">
        <f t="shared" si="5037"/>
        <v>4.5086225368227151E-3</v>
      </c>
      <c r="AR1604" s="79">
        <v>0</v>
      </c>
      <c r="AS1604" s="77">
        <f t="shared" si="5047"/>
        <v>0</v>
      </c>
      <c r="AT1604" s="77">
        <f t="shared" si="5048"/>
        <v>0</v>
      </c>
      <c r="AU1604" s="77">
        <f t="shared" si="5049"/>
        <v>2.4999999999999996E-3</v>
      </c>
      <c r="AV1604" s="77">
        <f t="shared" si="5050"/>
        <v>2.0809499864316017E-4</v>
      </c>
    </row>
    <row r="1605" spans="1:48">
      <c r="A1605" t="s">
        <v>175</v>
      </c>
      <c r="B1605" t="s">
        <v>180</v>
      </c>
      <c r="C1605" s="197" t="str">
        <f t="shared" si="4921"/>
        <v>Lifecycle_Opportunity_24</v>
      </c>
      <c r="D1605">
        <v>24</v>
      </c>
      <c r="E1605">
        <f>VLOOKUP($D1605,'[2]LC Opportunity'!$Q$2:$U$542,2,FALSE)</f>
        <v>7.0000000000000007E-2</v>
      </c>
      <c r="F1605">
        <f>VLOOKUP($D1605,'[2]LC Opportunity'!$Q$2:$U$542,3,FALSE)</f>
        <v>0.379</v>
      </c>
      <c r="G1605">
        <f>VLOOKUP($D1605,'[2]LC Opportunity'!$Q$2:$U$542,4,FALSE)</f>
        <v>0.55100000000000005</v>
      </c>
      <c r="H1605">
        <f>VLOOKUP($D1605,'[2]LC Opportunity'!$Q$2:$U$542,5,FALSE)</f>
        <v>0</v>
      </c>
      <c r="I1605" s="77">
        <f t="shared" si="5031"/>
        <v>1</v>
      </c>
      <c r="J1605" s="77">
        <f t="shared" si="5032"/>
        <v>5.636795E-2</v>
      </c>
      <c r="K1605" s="77">
        <f t="shared" si="4926"/>
        <v>4.5801705711170371E-3</v>
      </c>
      <c r="L1605" s="76">
        <v>0</v>
      </c>
      <c r="M1605" s="77">
        <f t="shared" si="5038"/>
        <v>0</v>
      </c>
      <c r="N1605" s="77">
        <f t="shared" si="5039"/>
        <v>0</v>
      </c>
      <c r="O1605" s="77">
        <f t="shared" si="5040"/>
        <v>6.3713000000000007E-3</v>
      </c>
      <c r="P1605" s="77">
        <f t="shared" si="5041"/>
        <v>5.3249845209490942E-4</v>
      </c>
      <c r="R1605" t="s">
        <v>177</v>
      </c>
      <c r="S1605" t="s">
        <v>180</v>
      </c>
      <c r="T1605" s="197" t="str">
        <f t="shared" si="4922"/>
        <v>Autopilot_Opportunity_24</v>
      </c>
      <c r="U1605">
        <v>24</v>
      </c>
      <c r="V1605">
        <f>VLOOKUP($U1605,'[2]AP Opportunity'!$Q$1:$T$542,2,FALSE)</f>
        <v>0.30576447226085629</v>
      </c>
      <c r="W1605">
        <f>VLOOKUP($U1605,'[2]AP Opportunity'!$Q$1:$T$542,3,FALSE)</f>
        <v>0.69423552773914365</v>
      </c>
      <c r="X1605">
        <f>VLOOKUP($U1605,'[2]AP Opportunity'!$Q$1:$T$542,4,FALSE)</f>
        <v>0</v>
      </c>
      <c r="Y1605" s="77">
        <f t="shared" si="4923"/>
        <v>1</v>
      </c>
      <c r="Z1605" s="77">
        <f t="shared" si="4927"/>
        <v>5.5409023369262858E-2</v>
      </c>
      <c r="AA1605" s="77">
        <f t="shared" si="4928"/>
        <v>4.5041459478456503E-3</v>
      </c>
      <c r="AB1605" s="79">
        <v>1</v>
      </c>
      <c r="AC1605" s="77">
        <f t="shared" si="5042"/>
        <v>7.1115289445217115E-3</v>
      </c>
      <c r="AD1605" s="77">
        <f t="shared" ref="AD1605" si="5055">1-(1-AC1605)^(1/12)</f>
        <v>5.9456787404144062E-4</v>
      </c>
      <c r="AE1605" s="77">
        <f t="shared" si="5044"/>
        <v>2.5000000000000001E-3</v>
      </c>
      <c r="AF1605" s="77">
        <f t="shared" ref="AF1605" si="5056">1-(1-AE1605)^(1/12)</f>
        <v>2.0857243058891584E-4</v>
      </c>
      <c r="AH1605" t="s">
        <v>175</v>
      </c>
      <c r="AI1605" t="s">
        <v>180</v>
      </c>
      <c r="AJ1605" s="197" t="str">
        <f t="shared" si="5035"/>
        <v>Lifecycle_Opportunity_24</v>
      </c>
      <c r="AK1605">
        <v>24</v>
      </c>
      <c r="AL1605">
        <f>VLOOKUP($U1605,[2]Standard_Opportunity!$Q$1:$T$542,2,FALSE)</f>
        <v>0.30576447226085629</v>
      </c>
      <c r="AM1605">
        <f>VLOOKUP($U1605,[2]Standard_Opportunity!$Q$1:$T$542,3,FALSE)</f>
        <v>0.69423552773914365</v>
      </c>
      <c r="AN1605">
        <f>VLOOKUP($U1605,[2]Standard_Opportunity!$Q$1:$T$542,4,FALSE)</f>
        <v>0</v>
      </c>
      <c r="AO1605" s="77">
        <f t="shared" si="5036"/>
        <v>1</v>
      </c>
      <c r="AP1605" s="77">
        <f t="shared" si="5046"/>
        <v>5.5409023369262858E-2</v>
      </c>
      <c r="AQ1605" s="77">
        <f t="shared" si="5037"/>
        <v>4.5041459478456503E-3</v>
      </c>
      <c r="AR1605" s="79">
        <v>0</v>
      </c>
      <c r="AS1605" s="77">
        <f t="shared" si="5047"/>
        <v>0</v>
      </c>
      <c r="AT1605" s="77">
        <f t="shared" si="5048"/>
        <v>0</v>
      </c>
      <c r="AU1605" s="77">
        <f t="shared" si="5049"/>
        <v>2.5000000000000001E-3</v>
      </c>
      <c r="AV1605" s="77">
        <f t="shared" si="5050"/>
        <v>2.0809499864316017E-4</v>
      </c>
    </row>
    <row r="1606" spans="1:48">
      <c r="A1606" t="s">
        <v>175</v>
      </c>
      <c r="B1606" t="s">
        <v>180</v>
      </c>
      <c r="C1606" s="197" t="str">
        <f t="shared" si="4921"/>
        <v>Lifecycle_Opportunity_23</v>
      </c>
      <c r="D1606">
        <v>23</v>
      </c>
      <c r="E1606">
        <f>VLOOKUP($D1606,'[2]LC Opportunity'!$Q$2:$U$542,2,FALSE)</f>
        <v>7.2250000000000009E-2</v>
      </c>
      <c r="F1606">
        <f>VLOOKUP($D1606,'[2]LC Opportunity'!$Q$2:$U$542,3,FALSE)</f>
        <v>0.379</v>
      </c>
      <c r="G1606">
        <f>VLOOKUP($D1606,'[2]LC Opportunity'!$Q$2:$U$542,4,FALSE)</f>
        <v>0.54875000000000007</v>
      </c>
      <c r="H1606">
        <f>VLOOKUP($D1606,'[2]LC Opportunity'!$Q$2:$U$542,5,FALSE)</f>
        <v>0</v>
      </c>
      <c r="I1606" s="77">
        <f t="shared" si="5031"/>
        <v>1</v>
      </c>
      <c r="J1606" s="77">
        <f t="shared" si="5032"/>
        <v>5.6318168749999994E-2</v>
      </c>
      <c r="K1606" s="77">
        <f t="shared" si="4926"/>
        <v>4.5762254229646526E-3</v>
      </c>
      <c r="L1606" s="76">
        <v>0</v>
      </c>
      <c r="M1606" s="77">
        <f t="shared" si="5038"/>
        <v>0</v>
      </c>
      <c r="N1606" s="77">
        <f t="shared" si="5039"/>
        <v>0</v>
      </c>
      <c r="O1606" s="77">
        <f t="shared" si="5040"/>
        <v>6.3605000000000007E-3</v>
      </c>
      <c r="P1606" s="77">
        <f t="shared" si="5041"/>
        <v>5.3159316798800926E-4</v>
      </c>
      <c r="R1606" t="s">
        <v>177</v>
      </c>
      <c r="S1606" t="s">
        <v>180</v>
      </c>
      <c r="T1606" s="197" t="str">
        <f t="shared" si="4922"/>
        <v>Autopilot_Opportunity_23</v>
      </c>
      <c r="U1606">
        <v>23</v>
      </c>
      <c r="V1606">
        <f>VLOOKUP($U1606,'[2]AP Opportunity'!$Q$1:$T$542,2,FALSE)</f>
        <v>0.30576447226085629</v>
      </c>
      <c r="W1606">
        <f>VLOOKUP($U1606,'[2]AP Opportunity'!$Q$1:$T$542,3,FALSE)</f>
        <v>0.69423552773914365</v>
      </c>
      <c r="X1606">
        <f>VLOOKUP($U1606,'[2]AP Opportunity'!$Q$1:$T$542,4,FALSE)</f>
        <v>0</v>
      </c>
      <c r="Y1606" s="77">
        <f t="shared" si="4923"/>
        <v>1</v>
      </c>
      <c r="Z1606" s="77">
        <f t="shared" si="4927"/>
        <v>5.5409023369262858E-2</v>
      </c>
      <c r="AA1606" s="77">
        <f t="shared" si="4928"/>
        <v>4.5041459478456503E-3</v>
      </c>
      <c r="AB1606" s="79">
        <v>1</v>
      </c>
      <c r="AC1606" s="77">
        <f t="shared" si="5042"/>
        <v>7.1115289445217115E-3</v>
      </c>
      <c r="AD1606" s="77">
        <f t="shared" ref="AD1606" si="5057">1-(1-AC1606)^(1/12)</f>
        <v>5.9456787404144062E-4</v>
      </c>
      <c r="AE1606" s="77">
        <f t="shared" si="5044"/>
        <v>2.5000000000000001E-3</v>
      </c>
      <c r="AF1606" s="77">
        <f t="shared" ref="AF1606" si="5058">1-(1-AE1606)^(1/12)</f>
        <v>2.0857243058891584E-4</v>
      </c>
      <c r="AH1606" t="s">
        <v>175</v>
      </c>
      <c r="AI1606" t="s">
        <v>180</v>
      </c>
      <c r="AJ1606" s="197" t="str">
        <f t="shared" si="5035"/>
        <v>Lifecycle_Opportunity_23</v>
      </c>
      <c r="AK1606">
        <v>23</v>
      </c>
      <c r="AL1606">
        <f>VLOOKUP($U1606,[2]Standard_Opportunity!$Q$1:$T$542,2,FALSE)</f>
        <v>0.30212218584196171</v>
      </c>
      <c r="AM1606">
        <f>VLOOKUP($U1606,[2]Standard_Opportunity!$Q$1:$T$542,3,FALSE)</f>
        <v>0.69787781415803818</v>
      </c>
      <c r="AN1606">
        <f>VLOOKUP($U1606,[2]Standard_Opportunity!$Q$1:$T$542,4,FALSE)</f>
        <v>0</v>
      </c>
      <c r="AO1606" s="77">
        <f t="shared" si="5036"/>
        <v>0.99999999999999989</v>
      </c>
      <c r="AP1606" s="77">
        <f t="shared" si="5046"/>
        <v>5.5360672017052026E-2</v>
      </c>
      <c r="AQ1606" s="77">
        <f t="shared" si="5037"/>
        <v>4.5003109296564148E-3</v>
      </c>
      <c r="AR1606" s="79">
        <v>0</v>
      </c>
      <c r="AS1606" s="77">
        <f t="shared" si="5047"/>
        <v>0</v>
      </c>
      <c r="AT1606" s="77">
        <f t="shared" si="5048"/>
        <v>0</v>
      </c>
      <c r="AU1606" s="77">
        <f t="shared" si="5049"/>
        <v>2.4999999999999996E-3</v>
      </c>
      <c r="AV1606" s="77">
        <f t="shared" si="5050"/>
        <v>2.0809499864316017E-4</v>
      </c>
    </row>
    <row r="1607" spans="1:48">
      <c r="A1607" t="s">
        <v>175</v>
      </c>
      <c r="B1607" t="s">
        <v>180</v>
      </c>
      <c r="C1607" s="197" t="str">
        <f t="shared" si="4921"/>
        <v>Lifecycle_Opportunity_22</v>
      </c>
      <c r="D1607">
        <v>22</v>
      </c>
      <c r="E1607">
        <f>VLOOKUP($D1607,'[2]LC Opportunity'!$Q$2:$U$542,2,FALSE)</f>
        <v>7.4500000000000011E-2</v>
      </c>
      <c r="F1607">
        <f>VLOOKUP($D1607,'[2]LC Opportunity'!$Q$2:$U$542,3,FALSE)</f>
        <v>0.379</v>
      </c>
      <c r="G1607">
        <f>VLOOKUP($D1607,'[2]LC Opportunity'!$Q$2:$U$542,4,FALSE)</f>
        <v>0.54649999999999999</v>
      </c>
      <c r="H1607">
        <f>VLOOKUP($D1607,'[2]LC Opportunity'!$Q$2:$U$542,5,FALSE)</f>
        <v>0</v>
      </c>
      <c r="I1607" s="77">
        <f t="shared" si="5031"/>
        <v>1</v>
      </c>
      <c r="J1607" s="77">
        <f t="shared" si="5032"/>
        <v>5.6268387499999989E-2</v>
      </c>
      <c r="K1607" s="77">
        <f t="shared" si="4926"/>
        <v>4.572280104378601E-3</v>
      </c>
      <c r="L1607" s="76">
        <v>0</v>
      </c>
      <c r="M1607" s="77">
        <f t="shared" si="5038"/>
        <v>0</v>
      </c>
      <c r="N1607" s="77">
        <f t="shared" si="5039"/>
        <v>0</v>
      </c>
      <c r="O1607" s="77">
        <f t="shared" si="5040"/>
        <v>6.3496999999999998E-3</v>
      </c>
      <c r="P1607" s="77">
        <f t="shared" si="5041"/>
        <v>5.30687892900783E-4</v>
      </c>
      <c r="R1607" t="s">
        <v>177</v>
      </c>
      <c r="S1607" t="s">
        <v>180</v>
      </c>
      <c r="T1607" s="197" t="str">
        <f t="shared" si="4922"/>
        <v>Autopilot_Opportunity_22</v>
      </c>
      <c r="U1607">
        <v>22</v>
      </c>
      <c r="V1607">
        <f>VLOOKUP($U1607,'[2]AP Opportunity'!$Q$1:$T$542,2,FALSE)</f>
        <v>0.30576447226085629</v>
      </c>
      <c r="W1607">
        <f>VLOOKUP($U1607,'[2]AP Opportunity'!$Q$1:$T$542,3,FALSE)</f>
        <v>0.69423552773914365</v>
      </c>
      <c r="X1607">
        <f>VLOOKUP($U1607,'[2]AP Opportunity'!$Q$1:$T$542,4,FALSE)</f>
        <v>0</v>
      </c>
      <c r="Y1607" s="77">
        <f t="shared" si="4923"/>
        <v>1</v>
      </c>
      <c r="Z1607" s="77">
        <f t="shared" si="4927"/>
        <v>5.5409023369262858E-2</v>
      </c>
      <c r="AA1607" s="77">
        <f t="shared" si="4928"/>
        <v>4.5041459478456503E-3</v>
      </c>
      <c r="AB1607" s="79">
        <v>1</v>
      </c>
      <c r="AC1607" s="77">
        <f t="shared" si="5042"/>
        <v>7.1115289445217115E-3</v>
      </c>
      <c r="AD1607" s="77">
        <f t="shared" ref="AD1607" si="5059">1-(1-AC1607)^(1/12)</f>
        <v>5.9456787404144062E-4</v>
      </c>
      <c r="AE1607" s="77">
        <f t="shared" si="5044"/>
        <v>2.5000000000000001E-3</v>
      </c>
      <c r="AF1607" s="77">
        <f t="shared" ref="AF1607" si="5060">1-(1-AE1607)^(1/12)</f>
        <v>2.0857243058891584E-4</v>
      </c>
      <c r="AH1607" t="s">
        <v>175</v>
      </c>
      <c r="AI1607" t="s">
        <v>180</v>
      </c>
      <c r="AJ1607" s="197" t="str">
        <f t="shared" si="5035"/>
        <v>Lifecycle_Opportunity_22</v>
      </c>
      <c r="AK1607">
        <v>22</v>
      </c>
      <c r="AL1607">
        <f>VLOOKUP($U1607,[2]Standard_Opportunity!$Q$1:$T$542,2,FALSE)</f>
        <v>0.29847989942306719</v>
      </c>
      <c r="AM1607">
        <f>VLOOKUP($U1607,[2]Standard_Opportunity!$Q$1:$T$542,3,FALSE)</f>
        <v>0.70152010057693281</v>
      </c>
      <c r="AN1607">
        <f>VLOOKUP($U1607,[2]Standard_Opportunity!$Q$1:$T$542,4,FALSE)</f>
        <v>0</v>
      </c>
      <c r="AO1607" s="77">
        <f t="shared" si="5036"/>
        <v>1</v>
      </c>
      <c r="AP1607" s="77">
        <f t="shared" si="5046"/>
        <v>5.5312320664841208E-2</v>
      </c>
      <c r="AQ1607" s="77">
        <f t="shared" si="5037"/>
        <v>4.4964757504040165E-3</v>
      </c>
      <c r="AR1607" s="79">
        <v>0</v>
      </c>
      <c r="AS1607" s="77">
        <f t="shared" si="5047"/>
        <v>0</v>
      </c>
      <c r="AT1607" s="77">
        <f t="shared" si="5048"/>
        <v>0</v>
      </c>
      <c r="AU1607" s="77">
        <f t="shared" si="5049"/>
        <v>2.5000000000000001E-3</v>
      </c>
      <c r="AV1607" s="77">
        <f t="shared" si="5050"/>
        <v>2.0809499864316017E-4</v>
      </c>
    </row>
    <row r="1608" spans="1:48">
      <c r="A1608" t="s">
        <v>175</v>
      </c>
      <c r="B1608" t="s">
        <v>180</v>
      </c>
      <c r="C1608" s="197" t="str">
        <f t="shared" si="4921"/>
        <v>Lifecycle_Opportunity_21</v>
      </c>
      <c r="D1608">
        <v>21</v>
      </c>
      <c r="E1608">
        <f>VLOOKUP($D1608,'[2]LC Opportunity'!$Q$2:$U$542,2,FALSE)</f>
        <v>7.6750000000000013E-2</v>
      </c>
      <c r="F1608">
        <f>VLOOKUP($D1608,'[2]LC Opportunity'!$Q$2:$U$542,3,FALSE)</f>
        <v>0.379</v>
      </c>
      <c r="G1608">
        <f>VLOOKUP($D1608,'[2]LC Opportunity'!$Q$2:$U$542,4,FALSE)</f>
        <v>0.54425000000000001</v>
      </c>
      <c r="H1608">
        <f>VLOOKUP($D1608,'[2]LC Opportunity'!$Q$2:$U$542,5,FALSE)</f>
        <v>0</v>
      </c>
      <c r="I1608" s="77">
        <f t="shared" si="5031"/>
        <v>1</v>
      </c>
      <c r="J1608" s="77">
        <f t="shared" si="5032"/>
        <v>5.6218606249999997E-2</v>
      </c>
      <c r="K1608" s="77">
        <f t="shared" si="4926"/>
        <v>4.5683346153435611E-3</v>
      </c>
      <c r="L1608" s="76">
        <v>0</v>
      </c>
      <c r="M1608" s="77">
        <f t="shared" si="5038"/>
        <v>0</v>
      </c>
      <c r="N1608" s="77">
        <f t="shared" si="5039"/>
        <v>0</v>
      </c>
      <c r="O1608" s="77">
        <f t="shared" si="5040"/>
        <v>6.3388999999999997E-3</v>
      </c>
      <c r="P1608" s="77">
        <f t="shared" si="5041"/>
        <v>5.2978262683300859E-4</v>
      </c>
      <c r="R1608" t="s">
        <v>177</v>
      </c>
      <c r="S1608" t="s">
        <v>180</v>
      </c>
      <c r="T1608" s="197" t="str">
        <f t="shared" si="4922"/>
        <v>Autopilot_Opportunity_21</v>
      </c>
      <c r="U1608">
        <v>21</v>
      </c>
      <c r="V1608">
        <f>VLOOKUP($U1608,'[2]AP Opportunity'!$Q$1:$T$542,2,FALSE)</f>
        <v>0.30576447226085629</v>
      </c>
      <c r="W1608">
        <f>VLOOKUP($U1608,'[2]AP Opportunity'!$Q$1:$T$542,3,FALSE)</f>
        <v>0.69423552773914365</v>
      </c>
      <c r="X1608">
        <f>VLOOKUP($U1608,'[2]AP Opportunity'!$Q$1:$T$542,4,FALSE)</f>
        <v>0</v>
      </c>
      <c r="Y1608" s="77">
        <f t="shared" si="4923"/>
        <v>1</v>
      </c>
      <c r="Z1608" s="77">
        <f t="shared" si="4927"/>
        <v>5.5409023369262858E-2</v>
      </c>
      <c r="AA1608" s="77">
        <f t="shared" si="4928"/>
        <v>4.5041459478456503E-3</v>
      </c>
      <c r="AB1608" s="79">
        <v>1</v>
      </c>
      <c r="AC1608" s="77">
        <f t="shared" si="5042"/>
        <v>7.1115289445217115E-3</v>
      </c>
      <c r="AD1608" s="77">
        <f t="shared" ref="AD1608" si="5061">1-(1-AC1608)^(1/12)</f>
        <v>5.9456787404144062E-4</v>
      </c>
      <c r="AE1608" s="77">
        <f t="shared" si="5044"/>
        <v>2.5000000000000001E-3</v>
      </c>
      <c r="AF1608" s="77">
        <f t="shared" ref="AF1608" si="5062">1-(1-AE1608)^(1/12)</f>
        <v>2.0857243058891584E-4</v>
      </c>
      <c r="AH1608" t="s">
        <v>175</v>
      </c>
      <c r="AI1608" t="s">
        <v>180</v>
      </c>
      <c r="AJ1608" s="197" t="str">
        <f t="shared" si="5035"/>
        <v>Lifecycle_Opportunity_21</v>
      </c>
      <c r="AK1608">
        <v>21</v>
      </c>
      <c r="AL1608">
        <f>VLOOKUP($U1608,[2]Standard_Opportunity!$Q$1:$T$542,2,FALSE)</f>
        <v>0.29483761300417266</v>
      </c>
      <c r="AM1608">
        <f>VLOOKUP($U1608,[2]Standard_Opportunity!$Q$1:$T$542,3,FALSE)</f>
        <v>0.70516238699582734</v>
      </c>
      <c r="AN1608">
        <f>VLOOKUP($U1608,[2]Standard_Opportunity!$Q$1:$T$542,4,FALSE)</f>
        <v>0</v>
      </c>
      <c r="AO1608" s="77">
        <f t="shared" si="5036"/>
        <v>1</v>
      </c>
      <c r="AP1608" s="77">
        <f t="shared" si="5046"/>
        <v>5.5263969312630376E-2</v>
      </c>
      <c r="AQ1608" s="77">
        <f t="shared" si="5037"/>
        <v>4.4926404100746886E-3</v>
      </c>
      <c r="AR1608" s="79">
        <v>0</v>
      </c>
      <c r="AS1608" s="77">
        <f t="shared" si="5047"/>
        <v>0</v>
      </c>
      <c r="AT1608" s="77">
        <f t="shared" si="5048"/>
        <v>0</v>
      </c>
      <c r="AU1608" s="77">
        <f t="shared" si="5049"/>
        <v>2.5000000000000001E-3</v>
      </c>
      <c r="AV1608" s="77">
        <f t="shared" si="5050"/>
        <v>2.0809499864316017E-4</v>
      </c>
    </row>
    <row r="1609" spans="1:48">
      <c r="A1609" t="s">
        <v>175</v>
      </c>
      <c r="B1609" t="s">
        <v>180</v>
      </c>
      <c r="C1609" s="197" t="str">
        <f t="shared" si="4921"/>
        <v>Lifecycle_Opportunity_20</v>
      </c>
      <c r="D1609">
        <v>20</v>
      </c>
      <c r="E1609">
        <f>VLOOKUP($D1609,'[2]LC Opportunity'!$Q$2:$U$542,2,FALSE)</f>
        <v>7.9000000000000001E-2</v>
      </c>
      <c r="F1609">
        <f>VLOOKUP($D1609,'[2]LC Opportunity'!$Q$2:$U$542,3,FALSE)</f>
        <v>0.379</v>
      </c>
      <c r="G1609">
        <f>VLOOKUP($D1609,'[2]LC Opportunity'!$Q$2:$U$542,4,FALSE)</f>
        <v>0.54200000000000004</v>
      </c>
      <c r="H1609">
        <f>VLOOKUP($D1609,'[2]LC Opportunity'!$Q$2:$U$542,5,FALSE)</f>
        <v>0</v>
      </c>
      <c r="I1609" s="77">
        <f t="shared" si="5031"/>
        <v>1</v>
      </c>
      <c r="J1609" s="77">
        <f t="shared" si="5032"/>
        <v>5.6168824999999992E-2</v>
      </c>
      <c r="K1609" s="77">
        <f t="shared" si="4926"/>
        <v>4.5643889558442119E-3</v>
      </c>
      <c r="L1609" s="76">
        <v>0</v>
      </c>
      <c r="M1609" s="77">
        <f t="shared" si="5038"/>
        <v>0</v>
      </c>
      <c r="N1609" s="77">
        <f t="shared" si="5039"/>
        <v>0</v>
      </c>
      <c r="O1609" s="77">
        <f t="shared" si="5040"/>
        <v>6.3280999999999997E-3</v>
      </c>
      <c r="P1609" s="77">
        <f t="shared" si="5041"/>
        <v>5.2887736978446398E-4</v>
      </c>
      <c r="R1609" t="s">
        <v>177</v>
      </c>
      <c r="S1609" t="s">
        <v>180</v>
      </c>
      <c r="T1609" s="197" t="str">
        <f t="shared" si="4922"/>
        <v>Autopilot_Opportunity_20</v>
      </c>
      <c r="U1609">
        <v>20</v>
      </c>
      <c r="V1609">
        <f>VLOOKUP($U1609,'[2]AP Opportunity'!$Q$1:$T$542,2,FALSE)</f>
        <v>0.30576447226085629</v>
      </c>
      <c r="W1609">
        <f>VLOOKUP($U1609,'[2]AP Opportunity'!$Q$1:$T$542,3,FALSE)</f>
        <v>0.69423552773914365</v>
      </c>
      <c r="X1609">
        <f>VLOOKUP($U1609,'[2]AP Opportunity'!$Q$1:$T$542,4,FALSE)</f>
        <v>0</v>
      </c>
      <c r="Y1609" s="77">
        <f t="shared" si="4923"/>
        <v>1</v>
      </c>
      <c r="Z1609" s="77">
        <f t="shared" si="4927"/>
        <v>5.5409023369262858E-2</v>
      </c>
      <c r="AA1609" s="77">
        <f t="shared" si="4928"/>
        <v>4.5041459478456503E-3</v>
      </c>
      <c r="AB1609" s="79">
        <v>1</v>
      </c>
      <c r="AC1609" s="77">
        <f t="shared" si="5042"/>
        <v>7.1115289445217115E-3</v>
      </c>
      <c r="AD1609" s="77">
        <f t="shared" ref="AD1609" si="5063">1-(1-AC1609)^(1/12)</f>
        <v>5.9456787404144062E-4</v>
      </c>
      <c r="AE1609" s="77">
        <f t="shared" si="5044"/>
        <v>2.5000000000000001E-3</v>
      </c>
      <c r="AF1609" s="77">
        <f t="shared" ref="AF1609" si="5064">1-(1-AE1609)^(1/12)</f>
        <v>2.0857243058891584E-4</v>
      </c>
      <c r="AH1609" t="s">
        <v>175</v>
      </c>
      <c r="AI1609" t="s">
        <v>180</v>
      </c>
      <c r="AJ1609" s="197" t="str">
        <f t="shared" si="5035"/>
        <v>Lifecycle_Opportunity_20</v>
      </c>
      <c r="AK1609">
        <v>20</v>
      </c>
      <c r="AL1609">
        <f>VLOOKUP($U1609,[2]Standard_Opportunity!$Q$1:$T$542,2,FALSE)</f>
        <v>0.29119532658527808</v>
      </c>
      <c r="AM1609">
        <f>VLOOKUP($U1609,[2]Standard_Opportunity!$Q$1:$T$542,3,FALSE)</f>
        <v>0.70880467341472186</v>
      </c>
      <c r="AN1609">
        <f>VLOOKUP($U1609,[2]Standard_Opportunity!$Q$1:$T$542,4,FALSE)</f>
        <v>0</v>
      </c>
      <c r="AO1609" s="77">
        <f t="shared" si="5036"/>
        <v>1</v>
      </c>
      <c r="AP1609" s="77">
        <f t="shared" si="5046"/>
        <v>5.5215617960419551E-2</v>
      </c>
      <c r="AQ1609" s="77">
        <f t="shared" si="5037"/>
        <v>4.4888049086537762E-3</v>
      </c>
      <c r="AR1609" s="79">
        <v>0</v>
      </c>
      <c r="AS1609" s="77">
        <f t="shared" si="5047"/>
        <v>0</v>
      </c>
      <c r="AT1609" s="77">
        <f t="shared" si="5048"/>
        <v>0</v>
      </c>
      <c r="AU1609" s="77">
        <f t="shared" si="5049"/>
        <v>2.4999999999999996E-3</v>
      </c>
      <c r="AV1609" s="77">
        <f t="shared" si="5050"/>
        <v>2.0809499864316017E-4</v>
      </c>
    </row>
    <row r="1610" spans="1:48">
      <c r="A1610" t="s">
        <v>175</v>
      </c>
      <c r="B1610" t="s">
        <v>180</v>
      </c>
      <c r="C1610" s="197" t="str">
        <f t="shared" si="4921"/>
        <v>Lifecycle_Opportunity_19</v>
      </c>
      <c r="D1610">
        <v>19</v>
      </c>
      <c r="E1610">
        <f>VLOOKUP($D1610,'[2]LC Opportunity'!$Q$2:$U$542,2,FALSE)</f>
        <v>8.1250000000000003E-2</v>
      </c>
      <c r="F1610">
        <f>VLOOKUP($D1610,'[2]LC Opportunity'!$Q$2:$U$542,3,FALSE)</f>
        <v>0.379</v>
      </c>
      <c r="G1610">
        <f>VLOOKUP($D1610,'[2]LC Opportunity'!$Q$2:$U$542,4,FALSE)</f>
        <v>0.53975000000000006</v>
      </c>
      <c r="H1610">
        <f>VLOOKUP($D1610,'[2]LC Opportunity'!$Q$2:$U$542,5,FALSE)</f>
        <v>0</v>
      </c>
      <c r="I1610" s="77">
        <f t="shared" si="5031"/>
        <v>1</v>
      </c>
      <c r="J1610" s="77">
        <f t="shared" si="5032"/>
        <v>5.611904375E-2</v>
      </c>
      <c r="K1610" s="77">
        <f t="shared" si="4926"/>
        <v>4.5604431258652323E-3</v>
      </c>
      <c r="L1610" s="76">
        <v>0</v>
      </c>
      <c r="M1610" s="77">
        <f t="shared" si="5038"/>
        <v>0</v>
      </c>
      <c r="N1610" s="77">
        <f t="shared" si="5039"/>
        <v>0</v>
      </c>
      <c r="O1610" s="77">
        <f t="shared" si="5040"/>
        <v>6.3172999999999997E-3</v>
      </c>
      <c r="P1610" s="77">
        <f t="shared" si="5041"/>
        <v>5.2797212175503816E-4</v>
      </c>
      <c r="R1610" t="s">
        <v>177</v>
      </c>
      <c r="S1610" t="s">
        <v>180</v>
      </c>
      <c r="T1610" s="197" t="str">
        <f t="shared" si="4922"/>
        <v>Autopilot_Opportunity_19</v>
      </c>
      <c r="U1610">
        <v>19</v>
      </c>
      <c r="V1610">
        <f>VLOOKUP($U1610,'[2]AP Opportunity'!$Q$1:$T$542,2,FALSE)</f>
        <v>0.30576447226085629</v>
      </c>
      <c r="W1610">
        <f>VLOOKUP($U1610,'[2]AP Opportunity'!$Q$1:$T$542,3,FALSE)</f>
        <v>0.69423552773914365</v>
      </c>
      <c r="X1610">
        <f>VLOOKUP($U1610,'[2]AP Opportunity'!$Q$1:$T$542,4,FALSE)</f>
        <v>0</v>
      </c>
      <c r="Y1610" s="77">
        <f t="shared" si="4923"/>
        <v>1</v>
      </c>
      <c r="Z1610" s="77">
        <f t="shared" si="4927"/>
        <v>5.5409023369262858E-2</v>
      </c>
      <c r="AA1610" s="77">
        <f t="shared" si="4928"/>
        <v>4.5041459478456503E-3</v>
      </c>
      <c r="AB1610" s="79">
        <v>1</v>
      </c>
      <c r="AC1610" s="77">
        <f t="shared" si="5042"/>
        <v>7.1115289445217115E-3</v>
      </c>
      <c r="AD1610" s="77">
        <f t="shared" ref="AD1610" si="5065">1-(1-AC1610)^(1/12)</f>
        <v>5.9456787404144062E-4</v>
      </c>
      <c r="AE1610" s="77">
        <f t="shared" si="5044"/>
        <v>2.5000000000000001E-3</v>
      </c>
      <c r="AF1610" s="77">
        <f t="shared" ref="AF1610" si="5066">1-(1-AE1610)^(1/12)</f>
        <v>2.0857243058891584E-4</v>
      </c>
      <c r="AH1610" t="s">
        <v>175</v>
      </c>
      <c r="AI1610" t="s">
        <v>180</v>
      </c>
      <c r="AJ1610" s="197" t="str">
        <f t="shared" si="5035"/>
        <v>Lifecycle_Opportunity_19</v>
      </c>
      <c r="AK1610">
        <v>19</v>
      </c>
      <c r="AL1610">
        <f>VLOOKUP($U1610,[2]Standard_Opportunity!$Q$1:$T$542,2,FALSE)</f>
        <v>0.2875530401663835</v>
      </c>
      <c r="AM1610">
        <f>VLOOKUP($U1610,[2]Standard_Opportunity!$Q$1:$T$542,3,FALSE)</f>
        <v>0.7124469598336165</v>
      </c>
      <c r="AN1610">
        <f>VLOOKUP($U1610,[2]Standard_Opportunity!$Q$1:$T$542,4,FALSE)</f>
        <v>0</v>
      </c>
      <c r="AO1610" s="77">
        <f t="shared" si="5036"/>
        <v>1</v>
      </c>
      <c r="AP1610" s="77">
        <f t="shared" si="5046"/>
        <v>5.5167266608208733E-2</v>
      </c>
      <c r="AQ1610" s="77">
        <f t="shared" si="5037"/>
        <v>4.4849692461277346E-3</v>
      </c>
      <c r="AR1610" s="79">
        <v>0</v>
      </c>
      <c r="AS1610" s="77">
        <f t="shared" si="5047"/>
        <v>0</v>
      </c>
      <c r="AT1610" s="77">
        <f t="shared" si="5048"/>
        <v>0</v>
      </c>
      <c r="AU1610" s="77">
        <f t="shared" si="5049"/>
        <v>2.5000000000000001E-3</v>
      </c>
      <c r="AV1610" s="77">
        <f t="shared" si="5050"/>
        <v>2.0809499864316017E-4</v>
      </c>
    </row>
    <row r="1611" spans="1:48">
      <c r="A1611" t="s">
        <v>175</v>
      </c>
      <c r="B1611" t="s">
        <v>180</v>
      </c>
      <c r="C1611" s="197" t="str">
        <f t="shared" si="4921"/>
        <v>Lifecycle_Opportunity_18</v>
      </c>
      <c r="D1611">
        <v>18</v>
      </c>
      <c r="E1611">
        <f>VLOOKUP($D1611,'[2]LC Opportunity'!$Q$2:$U$542,2,FALSE)</f>
        <v>8.3500000000000005E-2</v>
      </c>
      <c r="F1611">
        <f>VLOOKUP($D1611,'[2]LC Opportunity'!$Q$2:$U$542,3,FALSE)</f>
        <v>0.379</v>
      </c>
      <c r="G1611">
        <f>VLOOKUP($D1611,'[2]LC Opportunity'!$Q$2:$U$542,4,FALSE)</f>
        <v>0.53750000000000009</v>
      </c>
      <c r="H1611">
        <f>VLOOKUP($D1611,'[2]LC Opportunity'!$Q$2:$U$542,5,FALSE)</f>
        <v>0</v>
      </c>
      <c r="I1611" s="77">
        <f t="shared" si="5031"/>
        <v>1</v>
      </c>
      <c r="J1611" s="77">
        <f t="shared" si="5032"/>
        <v>5.6069262500000001E-2</v>
      </c>
      <c r="K1611" s="77">
        <f t="shared" si="4926"/>
        <v>4.5564971253908571E-3</v>
      </c>
      <c r="L1611" s="76">
        <v>0</v>
      </c>
      <c r="M1611" s="77">
        <f t="shared" si="5038"/>
        <v>0</v>
      </c>
      <c r="N1611" s="77">
        <f t="shared" si="5039"/>
        <v>0</v>
      </c>
      <c r="O1611" s="77">
        <f t="shared" si="5040"/>
        <v>6.3065000000000005E-3</v>
      </c>
      <c r="P1611" s="77">
        <f t="shared" si="5041"/>
        <v>5.2706688274439806E-4</v>
      </c>
      <c r="R1611" t="s">
        <v>177</v>
      </c>
      <c r="S1611" t="s">
        <v>180</v>
      </c>
      <c r="T1611" s="197" t="str">
        <f t="shared" si="4922"/>
        <v>Autopilot_Opportunity_18</v>
      </c>
      <c r="U1611">
        <v>18</v>
      </c>
      <c r="V1611">
        <f>VLOOKUP($U1611,'[2]AP Opportunity'!$Q$1:$T$542,2,FALSE)</f>
        <v>0.30576447226085629</v>
      </c>
      <c r="W1611">
        <f>VLOOKUP($U1611,'[2]AP Opportunity'!$Q$1:$T$542,3,FALSE)</f>
        <v>0.69423552773914365</v>
      </c>
      <c r="X1611">
        <f>VLOOKUP($U1611,'[2]AP Opportunity'!$Q$1:$T$542,4,FALSE)</f>
        <v>0</v>
      </c>
      <c r="Y1611" s="77">
        <f t="shared" si="4923"/>
        <v>1</v>
      </c>
      <c r="Z1611" s="77">
        <f t="shared" si="4927"/>
        <v>5.5409023369262858E-2</v>
      </c>
      <c r="AA1611" s="77">
        <f t="shared" si="4928"/>
        <v>4.5041459478456503E-3</v>
      </c>
      <c r="AB1611" s="79">
        <v>1</v>
      </c>
      <c r="AC1611" s="77">
        <f t="shared" si="5042"/>
        <v>7.1115289445217115E-3</v>
      </c>
      <c r="AD1611" s="77">
        <f t="shared" ref="AD1611" si="5067">1-(1-AC1611)^(1/12)</f>
        <v>5.9456787404144062E-4</v>
      </c>
      <c r="AE1611" s="77">
        <f t="shared" si="5044"/>
        <v>2.5000000000000001E-3</v>
      </c>
      <c r="AF1611" s="77">
        <f t="shared" ref="AF1611" si="5068">1-(1-AE1611)^(1/12)</f>
        <v>2.0857243058891584E-4</v>
      </c>
      <c r="AH1611" t="s">
        <v>175</v>
      </c>
      <c r="AI1611" t="s">
        <v>180</v>
      </c>
      <c r="AJ1611" s="197" t="str">
        <f t="shared" si="5035"/>
        <v>Lifecycle_Opportunity_18</v>
      </c>
      <c r="AK1611">
        <v>18</v>
      </c>
      <c r="AL1611">
        <f>VLOOKUP($U1611,[2]Standard_Opportunity!$Q$1:$T$542,2,FALSE)</f>
        <v>0.28391075374748898</v>
      </c>
      <c r="AM1611">
        <f>VLOOKUP($U1611,[2]Standard_Opportunity!$Q$1:$T$542,3,FALSE)</f>
        <v>0.71608924625251102</v>
      </c>
      <c r="AN1611">
        <f>VLOOKUP($U1611,[2]Standard_Opportunity!$Q$1:$T$542,4,FALSE)</f>
        <v>0</v>
      </c>
      <c r="AO1611" s="77">
        <f t="shared" si="5036"/>
        <v>1</v>
      </c>
      <c r="AP1611" s="77">
        <f t="shared" si="5046"/>
        <v>5.5118915255997908E-2</v>
      </c>
      <c r="AQ1611" s="77">
        <f t="shared" si="5037"/>
        <v>4.4811334224821309E-3</v>
      </c>
      <c r="AR1611" s="79">
        <v>0</v>
      </c>
      <c r="AS1611" s="77">
        <f t="shared" si="5047"/>
        <v>0</v>
      </c>
      <c r="AT1611" s="77">
        <f t="shared" si="5048"/>
        <v>0</v>
      </c>
      <c r="AU1611" s="77">
        <f t="shared" si="5049"/>
        <v>2.5000000000000001E-3</v>
      </c>
      <c r="AV1611" s="77">
        <f t="shared" si="5050"/>
        <v>2.0809499864316017E-4</v>
      </c>
    </row>
    <row r="1612" spans="1:48">
      <c r="A1612" t="s">
        <v>175</v>
      </c>
      <c r="B1612" t="s">
        <v>180</v>
      </c>
      <c r="C1612" s="197" t="str">
        <f t="shared" si="4921"/>
        <v>Lifecycle_Opportunity_17</v>
      </c>
      <c r="D1612">
        <v>17</v>
      </c>
      <c r="E1612">
        <f>VLOOKUP($D1612,'[2]LC Opportunity'!$Q$2:$U$542,2,FALSE)</f>
        <v>8.5750000000000007E-2</v>
      </c>
      <c r="F1612">
        <f>VLOOKUP($D1612,'[2]LC Opportunity'!$Q$2:$U$542,3,FALSE)</f>
        <v>0.379</v>
      </c>
      <c r="G1612">
        <f>VLOOKUP($D1612,'[2]LC Opportunity'!$Q$2:$U$542,4,FALSE)</f>
        <v>0.53525</v>
      </c>
      <c r="H1612">
        <f>VLOOKUP($D1612,'[2]LC Opportunity'!$Q$2:$U$542,5,FALSE)</f>
        <v>0</v>
      </c>
      <c r="I1612" s="77">
        <f t="shared" si="5031"/>
        <v>1</v>
      </c>
      <c r="J1612" s="77">
        <f t="shared" si="5032"/>
        <v>5.6019481249999996E-2</v>
      </c>
      <c r="K1612" s="77">
        <f t="shared" si="4926"/>
        <v>4.5525509544057652E-3</v>
      </c>
      <c r="L1612" s="76">
        <v>0</v>
      </c>
      <c r="M1612" s="77">
        <f t="shared" si="5038"/>
        <v>0</v>
      </c>
      <c r="N1612" s="77">
        <f t="shared" si="5039"/>
        <v>0</v>
      </c>
      <c r="O1612" s="77">
        <f t="shared" si="5040"/>
        <v>6.2956999999999996E-3</v>
      </c>
      <c r="P1612" s="77">
        <f t="shared" si="5041"/>
        <v>5.2616165275254367E-4</v>
      </c>
      <c r="R1612" t="s">
        <v>177</v>
      </c>
      <c r="S1612" t="s">
        <v>180</v>
      </c>
      <c r="T1612" s="197" t="str">
        <f t="shared" si="4922"/>
        <v>Autopilot_Opportunity_17</v>
      </c>
      <c r="U1612">
        <v>17</v>
      </c>
      <c r="V1612">
        <f>VLOOKUP($U1612,'[2]AP Opportunity'!$Q$1:$T$542,2,FALSE)</f>
        <v>0.30576447226085629</v>
      </c>
      <c r="W1612">
        <f>VLOOKUP($U1612,'[2]AP Opportunity'!$Q$1:$T$542,3,FALSE)</f>
        <v>0.69423552773914365</v>
      </c>
      <c r="X1612">
        <f>VLOOKUP($U1612,'[2]AP Opportunity'!$Q$1:$T$542,4,FALSE)</f>
        <v>0</v>
      </c>
      <c r="Y1612" s="77">
        <f t="shared" si="4923"/>
        <v>1</v>
      </c>
      <c r="Z1612" s="77">
        <f t="shared" si="4927"/>
        <v>5.5409023369262858E-2</v>
      </c>
      <c r="AA1612" s="77">
        <f t="shared" si="4928"/>
        <v>4.5041459478456503E-3</v>
      </c>
      <c r="AB1612" s="79">
        <v>1</v>
      </c>
      <c r="AC1612" s="77">
        <f t="shared" si="5042"/>
        <v>7.1115289445217115E-3</v>
      </c>
      <c r="AD1612" s="77">
        <f t="shared" ref="AD1612" si="5069">1-(1-AC1612)^(1/12)</f>
        <v>5.9456787404144062E-4</v>
      </c>
      <c r="AE1612" s="77">
        <f t="shared" si="5044"/>
        <v>2.5000000000000001E-3</v>
      </c>
      <c r="AF1612" s="77">
        <f t="shared" ref="AF1612" si="5070">1-(1-AE1612)^(1/12)</f>
        <v>2.0857243058891584E-4</v>
      </c>
      <c r="AH1612" t="s">
        <v>175</v>
      </c>
      <c r="AI1612" t="s">
        <v>180</v>
      </c>
      <c r="AJ1612" s="197" t="str">
        <f t="shared" si="5035"/>
        <v>Lifecycle_Opportunity_17</v>
      </c>
      <c r="AK1612">
        <v>17</v>
      </c>
      <c r="AL1612">
        <f>VLOOKUP($U1612,[2]Standard_Opportunity!$Q$1:$T$542,2,FALSE)</f>
        <v>0.28026846732859445</v>
      </c>
      <c r="AM1612">
        <f>VLOOKUP($U1612,[2]Standard_Opportunity!$Q$1:$T$542,3,FALSE)</f>
        <v>0.71973153267140555</v>
      </c>
      <c r="AN1612">
        <f>VLOOKUP($U1612,[2]Standard_Opportunity!$Q$1:$T$542,4,FALSE)</f>
        <v>0</v>
      </c>
      <c r="AO1612" s="77">
        <f t="shared" si="5036"/>
        <v>1</v>
      </c>
      <c r="AP1612" s="77">
        <f t="shared" si="5046"/>
        <v>5.5070563903787083E-2</v>
      </c>
      <c r="AQ1612" s="77">
        <f t="shared" si="5037"/>
        <v>4.4772974377027541E-3</v>
      </c>
      <c r="AR1612" s="79">
        <v>0</v>
      </c>
      <c r="AS1612" s="77">
        <f t="shared" si="5047"/>
        <v>0</v>
      </c>
      <c r="AT1612" s="77">
        <f t="shared" si="5048"/>
        <v>0</v>
      </c>
      <c r="AU1612" s="77">
        <f t="shared" si="5049"/>
        <v>2.5000000000000001E-3</v>
      </c>
      <c r="AV1612" s="77">
        <f t="shared" si="5050"/>
        <v>2.0809499864316017E-4</v>
      </c>
    </row>
    <row r="1613" spans="1:48">
      <c r="A1613" t="s">
        <v>175</v>
      </c>
      <c r="B1613" t="s">
        <v>180</v>
      </c>
      <c r="C1613" s="197" t="str">
        <f t="shared" ref="C1613:C1628" si="5071">A1613&amp;"_"&amp;B1613&amp;"_"&amp;D1613</f>
        <v>Lifecycle_Opportunity_16</v>
      </c>
      <c r="D1613">
        <v>16</v>
      </c>
      <c r="E1613">
        <f>VLOOKUP($D1613,'[2]LC Opportunity'!$Q$2:$U$542,2,FALSE)</f>
        <v>8.8000000000000009E-2</v>
      </c>
      <c r="F1613">
        <f>VLOOKUP($D1613,'[2]LC Opportunity'!$Q$2:$U$542,3,FALSE)</f>
        <v>0.379</v>
      </c>
      <c r="G1613">
        <f>VLOOKUP($D1613,'[2]LC Opportunity'!$Q$2:$U$542,4,FALSE)</f>
        <v>0.53300000000000003</v>
      </c>
      <c r="H1613">
        <f>VLOOKUP($D1613,'[2]LC Opportunity'!$Q$2:$U$542,5,FALSE)</f>
        <v>0</v>
      </c>
      <c r="I1613" s="77">
        <f t="shared" si="5031"/>
        <v>1</v>
      </c>
      <c r="J1613" s="77">
        <f t="shared" si="5032"/>
        <v>5.5969699999999997E-2</v>
      </c>
      <c r="K1613" s="77">
        <f t="shared" si="4926"/>
        <v>4.5486046128948576E-3</v>
      </c>
      <c r="L1613" s="76">
        <v>0</v>
      </c>
      <c r="M1613" s="77">
        <f t="shared" si="5038"/>
        <v>0</v>
      </c>
      <c r="N1613" s="77">
        <f t="shared" si="5039"/>
        <v>0</v>
      </c>
      <c r="O1613" s="77">
        <f t="shared" si="5040"/>
        <v>6.2848999999999995E-3</v>
      </c>
      <c r="P1613" s="77">
        <f t="shared" si="5041"/>
        <v>5.2525643177925296E-4</v>
      </c>
      <c r="R1613" t="s">
        <v>177</v>
      </c>
      <c r="S1613" t="s">
        <v>180</v>
      </c>
      <c r="T1613" s="197" t="str">
        <f t="shared" ref="T1613:T1628" si="5072">R1613&amp;"_"&amp;S1613&amp;"_"&amp;U1613</f>
        <v>Autopilot_Opportunity_16</v>
      </c>
      <c r="U1613">
        <v>16</v>
      </c>
      <c r="V1613">
        <f>VLOOKUP($U1613,'[2]AP Opportunity'!$Q$1:$T$542,2,FALSE)</f>
        <v>0.30576447226085629</v>
      </c>
      <c r="W1613">
        <f>VLOOKUP($U1613,'[2]AP Opportunity'!$Q$1:$T$542,3,FALSE)</f>
        <v>0.69423552773914365</v>
      </c>
      <c r="X1613">
        <f>VLOOKUP($U1613,'[2]AP Opportunity'!$Q$1:$T$542,4,FALSE)</f>
        <v>0</v>
      </c>
      <c r="Y1613" s="77">
        <f t="shared" ref="Y1613:Y1628" si="5073">SUM(V1613:X1613)</f>
        <v>1</v>
      </c>
      <c r="Z1613" s="77">
        <f t="shared" si="4927"/>
        <v>5.5409023369262858E-2</v>
      </c>
      <c r="AA1613" s="77">
        <f t="shared" si="4928"/>
        <v>4.5041459478456503E-3</v>
      </c>
      <c r="AB1613" s="79">
        <v>1</v>
      </c>
      <c r="AC1613" s="77">
        <f t="shared" si="5042"/>
        <v>7.1115289445217115E-3</v>
      </c>
      <c r="AD1613" s="77">
        <f t="shared" ref="AD1613" si="5074">1-(1-AC1613)^(1/12)</f>
        <v>5.9456787404144062E-4</v>
      </c>
      <c r="AE1613" s="77">
        <f t="shared" si="5044"/>
        <v>2.5000000000000001E-3</v>
      </c>
      <c r="AF1613" s="77">
        <f t="shared" ref="AF1613" si="5075">1-(1-AE1613)^(1/12)</f>
        <v>2.0857243058891584E-4</v>
      </c>
      <c r="AH1613" t="s">
        <v>175</v>
      </c>
      <c r="AI1613" t="s">
        <v>180</v>
      </c>
      <c r="AJ1613" s="197" t="str">
        <f t="shared" si="5035"/>
        <v>Lifecycle_Opportunity_16</v>
      </c>
      <c r="AK1613">
        <v>16</v>
      </c>
      <c r="AL1613">
        <f>VLOOKUP($U1613,[2]Standard_Opportunity!$Q$1:$T$542,2,FALSE)</f>
        <v>0.27662618090969987</v>
      </c>
      <c r="AM1613">
        <f>VLOOKUP($U1613,[2]Standard_Opportunity!$Q$1:$T$542,3,FALSE)</f>
        <v>0.72337381909030019</v>
      </c>
      <c r="AN1613">
        <f>VLOOKUP($U1613,[2]Standard_Opportunity!$Q$1:$T$542,4,FALSE)</f>
        <v>0</v>
      </c>
      <c r="AO1613" s="77">
        <f t="shared" si="5036"/>
        <v>1</v>
      </c>
      <c r="AP1613" s="77">
        <f t="shared" si="5046"/>
        <v>5.5022212551576258E-2</v>
      </c>
      <c r="AQ1613" s="77">
        <f t="shared" si="5037"/>
        <v>4.4734612917753935E-3</v>
      </c>
      <c r="AR1613" s="79">
        <v>0</v>
      </c>
      <c r="AS1613" s="77">
        <f t="shared" si="5047"/>
        <v>0</v>
      </c>
      <c r="AT1613" s="77">
        <f t="shared" si="5048"/>
        <v>0</v>
      </c>
      <c r="AU1613" s="77">
        <f t="shared" si="5049"/>
        <v>2.5000000000000001E-3</v>
      </c>
      <c r="AV1613" s="77">
        <f t="shared" si="5050"/>
        <v>2.0809499864316017E-4</v>
      </c>
    </row>
    <row r="1614" spans="1:48">
      <c r="A1614" t="s">
        <v>175</v>
      </c>
      <c r="B1614" t="s">
        <v>180</v>
      </c>
      <c r="C1614" s="197" t="str">
        <f t="shared" si="5071"/>
        <v>Lifecycle_Opportunity_15</v>
      </c>
      <c r="D1614">
        <v>15</v>
      </c>
      <c r="E1614">
        <f>VLOOKUP($D1614,'[2]LC Opportunity'!$Q$2:$U$542,2,FALSE)</f>
        <v>9.0249999999999997E-2</v>
      </c>
      <c r="F1614">
        <f>VLOOKUP($D1614,'[2]LC Opportunity'!$Q$2:$U$542,3,FALSE)</f>
        <v>0.379</v>
      </c>
      <c r="G1614">
        <f>VLOOKUP($D1614,'[2]LC Opportunity'!$Q$2:$U$542,4,FALSE)</f>
        <v>0.53075000000000006</v>
      </c>
      <c r="H1614">
        <f>VLOOKUP($D1614,'[2]LC Opportunity'!$Q$2:$U$542,5,FALSE)</f>
        <v>0</v>
      </c>
      <c r="I1614" s="77">
        <f t="shared" si="5031"/>
        <v>1</v>
      </c>
      <c r="J1614" s="77">
        <f t="shared" si="5032"/>
        <v>5.5919918749999999E-2</v>
      </c>
      <c r="K1614" s="77">
        <f t="shared" ref="K1614:K1628" si="5076">(1+J1614)^(1/12)-1</f>
        <v>4.5446581008425913E-3</v>
      </c>
      <c r="L1614" s="76">
        <v>0</v>
      </c>
      <c r="M1614" s="77">
        <f t="shared" si="5038"/>
        <v>0</v>
      </c>
      <c r="N1614" s="77">
        <f t="shared" si="5039"/>
        <v>0</v>
      </c>
      <c r="O1614" s="77">
        <f t="shared" si="5040"/>
        <v>6.2741000000000003E-3</v>
      </c>
      <c r="P1614" s="77">
        <f t="shared" si="5041"/>
        <v>5.2435121982419286E-4</v>
      </c>
      <c r="R1614" t="s">
        <v>177</v>
      </c>
      <c r="S1614" t="s">
        <v>180</v>
      </c>
      <c r="T1614" s="197" t="str">
        <f t="shared" si="5072"/>
        <v>Autopilot_Opportunity_15</v>
      </c>
      <c r="U1614">
        <v>15</v>
      </c>
      <c r="V1614">
        <f>VLOOKUP($U1614,'[2]AP Opportunity'!$Q$1:$T$542,2,FALSE)</f>
        <v>0.30576447226085629</v>
      </c>
      <c r="W1614">
        <f>VLOOKUP($U1614,'[2]AP Opportunity'!$Q$1:$T$542,3,FALSE)</f>
        <v>0.69423552773914365</v>
      </c>
      <c r="X1614">
        <f>VLOOKUP($U1614,'[2]AP Opportunity'!$Q$1:$T$542,4,FALSE)</f>
        <v>0</v>
      </c>
      <c r="Y1614" s="77">
        <f t="shared" si="5073"/>
        <v>1</v>
      </c>
      <c r="Z1614" s="77">
        <f t="shared" ref="Z1614:Z1628" si="5077">SUMPRODUCT($V$1:$X$1,V1614:X1614)</f>
        <v>5.5409023369262858E-2</v>
      </c>
      <c r="AA1614" s="77">
        <f t="shared" ref="AA1614:AA1628" si="5078">(1+Z1614)^(1/12)-1</f>
        <v>4.5041459478456503E-3</v>
      </c>
      <c r="AB1614" s="79">
        <v>1</v>
      </c>
      <c r="AC1614" s="77">
        <f t="shared" si="5042"/>
        <v>7.1115289445217115E-3</v>
      </c>
      <c r="AD1614" s="77">
        <f t="shared" ref="AD1614" si="5079">1-(1-AC1614)^(1/12)</f>
        <v>5.9456787404144062E-4</v>
      </c>
      <c r="AE1614" s="77">
        <f t="shared" si="5044"/>
        <v>2.5000000000000001E-3</v>
      </c>
      <c r="AF1614" s="77">
        <f t="shared" ref="AF1614" si="5080">1-(1-AE1614)^(1/12)</f>
        <v>2.0857243058891584E-4</v>
      </c>
      <c r="AH1614" t="s">
        <v>175</v>
      </c>
      <c r="AI1614" t="s">
        <v>180</v>
      </c>
      <c r="AJ1614" s="197" t="str">
        <f t="shared" si="5035"/>
        <v>Lifecycle_Opportunity_15</v>
      </c>
      <c r="AK1614">
        <v>15</v>
      </c>
      <c r="AL1614">
        <f>VLOOKUP($U1614,[2]Standard_Opportunity!$Q$1:$T$542,2,FALSE)</f>
        <v>0.27298389449080529</v>
      </c>
      <c r="AM1614">
        <f>VLOOKUP($U1614,[2]Standard_Opportunity!$Q$1:$T$542,3,FALSE)</f>
        <v>0.72701610550919471</v>
      </c>
      <c r="AN1614">
        <f>VLOOKUP($U1614,[2]Standard_Opportunity!$Q$1:$T$542,4,FALSE)</f>
        <v>0</v>
      </c>
      <c r="AO1614" s="77">
        <f t="shared" si="5036"/>
        <v>1</v>
      </c>
      <c r="AP1614" s="77">
        <f t="shared" si="5046"/>
        <v>5.497386119936544E-2</v>
      </c>
      <c r="AQ1614" s="77">
        <f t="shared" si="5037"/>
        <v>4.4696249846860603E-3</v>
      </c>
      <c r="AR1614" s="79">
        <v>0</v>
      </c>
      <c r="AS1614" s="77">
        <f t="shared" si="5047"/>
        <v>0</v>
      </c>
      <c r="AT1614" s="77">
        <f t="shared" si="5048"/>
        <v>0</v>
      </c>
      <c r="AU1614" s="77">
        <f t="shared" si="5049"/>
        <v>2.5000000000000001E-3</v>
      </c>
      <c r="AV1614" s="77">
        <f t="shared" si="5050"/>
        <v>2.0809499864316017E-4</v>
      </c>
    </row>
    <row r="1615" spans="1:48">
      <c r="A1615" t="s">
        <v>175</v>
      </c>
      <c r="B1615" t="s">
        <v>180</v>
      </c>
      <c r="C1615" s="197" t="str">
        <f t="shared" si="5071"/>
        <v>Lifecycle_Opportunity_14</v>
      </c>
      <c r="D1615">
        <v>14</v>
      </c>
      <c r="E1615">
        <f>VLOOKUP($D1615,'[2]LC Opportunity'!$Q$2:$U$542,2,FALSE)</f>
        <v>9.2499999999999999E-2</v>
      </c>
      <c r="F1615">
        <f>VLOOKUP($D1615,'[2]LC Opportunity'!$Q$2:$U$542,3,FALSE)</f>
        <v>0.379</v>
      </c>
      <c r="G1615">
        <f>VLOOKUP($D1615,'[2]LC Opportunity'!$Q$2:$U$542,4,FALSE)</f>
        <v>0.52849999999999997</v>
      </c>
      <c r="H1615">
        <f>VLOOKUP($D1615,'[2]LC Opportunity'!$Q$2:$U$542,5,FALSE)</f>
        <v>0</v>
      </c>
      <c r="I1615" s="77">
        <f t="shared" si="5031"/>
        <v>1</v>
      </c>
      <c r="J1615" s="77">
        <f t="shared" si="5032"/>
        <v>5.5870137499999993E-2</v>
      </c>
      <c r="K1615" s="77">
        <f t="shared" si="5076"/>
        <v>4.5407114182334229E-3</v>
      </c>
      <c r="L1615" s="76">
        <v>0</v>
      </c>
      <c r="M1615" s="77">
        <f t="shared" si="5038"/>
        <v>0</v>
      </c>
      <c r="N1615" s="77">
        <f t="shared" si="5039"/>
        <v>0</v>
      </c>
      <c r="O1615" s="77">
        <f t="shared" si="5040"/>
        <v>6.2632999999999994E-3</v>
      </c>
      <c r="P1615" s="77">
        <f t="shared" si="5041"/>
        <v>5.2344601688725234E-4</v>
      </c>
      <c r="R1615" t="s">
        <v>177</v>
      </c>
      <c r="S1615" t="s">
        <v>180</v>
      </c>
      <c r="T1615" s="197" t="str">
        <f t="shared" si="5072"/>
        <v>Autopilot_Opportunity_14</v>
      </c>
      <c r="U1615">
        <v>14</v>
      </c>
      <c r="V1615">
        <f>VLOOKUP($U1615,'[2]AP Opportunity'!$Q$1:$T$542,2,FALSE)</f>
        <v>0.30576447226085629</v>
      </c>
      <c r="W1615">
        <f>VLOOKUP($U1615,'[2]AP Opportunity'!$Q$1:$T$542,3,FALSE)</f>
        <v>0.69423552773914365</v>
      </c>
      <c r="X1615">
        <f>VLOOKUP($U1615,'[2]AP Opportunity'!$Q$1:$T$542,4,FALSE)</f>
        <v>0</v>
      </c>
      <c r="Y1615" s="77">
        <f t="shared" si="5073"/>
        <v>1</v>
      </c>
      <c r="Z1615" s="77">
        <f t="shared" si="5077"/>
        <v>5.5409023369262858E-2</v>
      </c>
      <c r="AA1615" s="77">
        <f t="shared" si="5078"/>
        <v>4.5041459478456503E-3</v>
      </c>
      <c r="AB1615" s="79">
        <v>1</v>
      </c>
      <c r="AC1615" s="77">
        <f t="shared" si="5042"/>
        <v>7.1115289445217115E-3</v>
      </c>
      <c r="AD1615" s="77">
        <f t="shared" ref="AD1615" si="5081">1-(1-AC1615)^(1/12)</f>
        <v>5.9456787404144062E-4</v>
      </c>
      <c r="AE1615" s="77">
        <f t="shared" si="5044"/>
        <v>2.5000000000000001E-3</v>
      </c>
      <c r="AF1615" s="77">
        <f t="shared" ref="AF1615" si="5082">1-(1-AE1615)^(1/12)</f>
        <v>2.0857243058891584E-4</v>
      </c>
      <c r="AH1615" t="s">
        <v>175</v>
      </c>
      <c r="AI1615" t="s">
        <v>180</v>
      </c>
      <c r="AJ1615" s="197" t="str">
        <f t="shared" si="5035"/>
        <v>Lifecycle_Opportunity_14</v>
      </c>
      <c r="AK1615">
        <v>14</v>
      </c>
      <c r="AL1615">
        <f>VLOOKUP($U1615,[2]Standard_Opportunity!$Q$1:$T$542,2,FALSE)</f>
        <v>0.26934160807191077</v>
      </c>
      <c r="AM1615">
        <f>VLOOKUP($U1615,[2]Standard_Opportunity!$Q$1:$T$542,3,FALSE)</f>
        <v>0.73065839192808923</v>
      </c>
      <c r="AN1615">
        <f>VLOOKUP($U1615,[2]Standard_Opportunity!$Q$1:$T$542,4,FALSE)</f>
        <v>0</v>
      </c>
      <c r="AO1615" s="77">
        <f t="shared" si="5036"/>
        <v>1</v>
      </c>
      <c r="AP1615" s="77">
        <f t="shared" si="5046"/>
        <v>5.4925509847154608E-2</v>
      </c>
      <c r="AQ1615" s="77">
        <f t="shared" si="5037"/>
        <v>4.4657885164207656E-3</v>
      </c>
      <c r="AR1615" s="79">
        <v>0</v>
      </c>
      <c r="AS1615" s="77">
        <f t="shared" si="5047"/>
        <v>0</v>
      </c>
      <c r="AT1615" s="77">
        <f t="shared" si="5048"/>
        <v>0</v>
      </c>
      <c r="AU1615" s="77">
        <f t="shared" si="5049"/>
        <v>2.5000000000000001E-3</v>
      </c>
      <c r="AV1615" s="77">
        <f t="shared" si="5050"/>
        <v>2.0809499864316017E-4</v>
      </c>
    </row>
    <row r="1616" spans="1:48">
      <c r="A1616" t="s">
        <v>175</v>
      </c>
      <c r="B1616" t="s">
        <v>180</v>
      </c>
      <c r="C1616" s="197" t="str">
        <f t="shared" si="5071"/>
        <v>Lifecycle_Opportunity_13</v>
      </c>
      <c r="D1616">
        <v>13</v>
      </c>
      <c r="E1616">
        <f>VLOOKUP($D1616,'[2]LC Opportunity'!$Q$2:$U$542,2,FALSE)</f>
        <v>9.4750000000000001E-2</v>
      </c>
      <c r="F1616">
        <f>VLOOKUP($D1616,'[2]LC Opportunity'!$Q$2:$U$542,3,FALSE)</f>
        <v>0.379</v>
      </c>
      <c r="G1616">
        <f>VLOOKUP($D1616,'[2]LC Opportunity'!$Q$2:$U$542,4,FALSE)</f>
        <v>0.52625</v>
      </c>
      <c r="H1616">
        <f>VLOOKUP($D1616,'[2]LC Opportunity'!$Q$2:$U$542,5,FALSE)</f>
        <v>0</v>
      </c>
      <c r="I1616" s="77">
        <f t="shared" si="5031"/>
        <v>1</v>
      </c>
      <c r="J1616" s="77">
        <f t="shared" si="5032"/>
        <v>5.5820356249999994E-2</v>
      </c>
      <c r="K1616" s="77">
        <f t="shared" si="5076"/>
        <v>4.5367645650520316E-3</v>
      </c>
      <c r="L1616" s="76">
        <v>0</v>
      </c>
      <c r="M1616" s="77">
        <f t="shared" si="5038"/>
        <v>0</v>
      </c>
      <c r="N1616" s="77">
        <f t="shared" si="5039"/>
        <v>0</v>
      </c>
      <c r="O1616" s="77">
        <f t="shared" si="5040"/>
        <v>6.2524999999999994E-3</v>
      </c>
      <c r="P1616" s="77">
        <f t="shared" si="5041"/>
        <v>5.2254082296832038E-4</v>
      </c>
      <c r="R1616" t="s">
        <v>177</v>
      </c>
      <c r="S1616" t="s">
        <v>180</v>
      </c>
      <c r="T1616" s="197" t="str">
        <f t="shared" si="5072"/>
        <v>Autopilot_Opportunity_13</v>
      </c>
      <c r="U1616">
        <v>13</v>
      </c>
      <c r="V1616">
        <f>VLOOKUP($U1616,'[2]AP Opportunity'!$Q$1:$T$542,2,FALSE)</f>
        <v>0.30576447226085629</v>
      </c>
      <c r="W1616">
        <f>VLOOKUP($U1616,'[2]AP Opportunity'!$Q$1:$T$542,3,FALSE)</f>
        <v>0.69423552773914365</v>
      </c>
      <c r="X1616">
        <f>VLOOKUP($U1616,'[2]AP Opportunity'!$Q$1:$T$542,4,FALSE)</f>
        <v>0</v>
      </c>
      <c r="Y1616" s="77">
        <f t="shared" si="5073"/>
        <v>1</v>
      </c>
      <c r="Z1616" s="77">
        <f t="shared" si="5077"/>
        <v>5.5409023369262858E-2</v>
      </c>
      <c r="AA1616" s="77">
        <f t="shared" si="5078"/>
        <v>4.5041459478456503E-3</v>
      </c>
      <c r="AB1616" s="79">
        <v>1</v>
      </c>
      <c r="AC1616" s="77">
        <f t="shared" si="5042"/>
        <v>7.1115289445217115E-3</v>
      </c>
      <c r="AD1616" s="77">
        <f t="shared" ref="AD1616" si="5083">1-(1-AC1616)^(1/12)</f>
        <v>5.9456787404144062E-4</v>
      </c>
      <c r="AE1616" s="77">
        <f t="shared" si="5044"/>
        <v>2.5000000000000001E-3</v>
      </c>
      <c r="AF1616" s="77">
        <f t="shared" ref="AF1616" si="5084">1-(1-AE1616)^(1/12)</f>
        <v>2.0857243058891584E-4</v>
      </c>
      <c r="AH1616" t="s">
        <v>175</v>
      </c>
      <c r="AI1616" t="s">
        <v>180</v>
      </c>
      <c r="AJ1616" s="197" t="str">
        <f t="shared" si="5035"/>
        <v>Lifecycle_Opportunity_13</v>
      </c>
      <c r="AK1616">
        <v>13</v>
      </c>
      <c r="AL1616">
        <f>VLOOKUP($U1616,[2]Standard_Opportunity!$Q$1:$T$542,2,FALSE)</f>
        <v>0.26569932165301624</v>
      </c>
      <c r="AM1616">
        <f>VLOOKUP($U1616,[2]Standard_Opportunity!$Q$1:$T$542,3,FALSE)</f>
        <v>0.73430067834698387</v>
      </c>
      <c r="AN1616">
        <f>VLOOKUP($U1616,[2]Standard_Opportunity!$Q$1:$T$542,4,FALSE)</f>
        <v>0</v>
      </c>
      <c r="AO1616" s="77">
        <f t="shared" si="5036"/>
        <v>1</v>
      </c>
      <c r="AP1616" s="77">
        <f t="shared" si="5046"/>
        <v>5.487715849494379E-2</v>
      </c>
      <c r="AQ1616" s="77">
        <f t="shared" si="5037"/>
        <v>4.4619518869648545E-3</v>
      </c>
      <c r="AR1616" s="79">
        <v>0</v>
      </c>
      <c r="AS1616" s="77">
        <f t="shared" si="5047"/>
        <v>0</v>
      </c>
      <c r="AT1616" s="77">
        <f t="shared" si="5048"/>
        <v>0</v>
      </c>
      <c r="AU1616" s="77">
        <f t="shared" si="5049"/>
        <v>2.5000000000000005E-3</v>
      </c>
      <c r="AV1616" s="77">
        <f t="shared" si="5050"/>
        <v>2.0809499864316017E-4</v>
      </c>
    </row>
    <row r="1617" spans="1:48">
      <c r="A1617" t="s">
        <v>175</v>
      </c>
      <c r="B1617" t="s">
        <v>180</v>
      </c>
      <c r="C1617" s="197" t="str">
        <f t="shared" si="5071"/>
        <v>Lifecycle_Opportunity_12</v>
      </c>
      <c r="D1617">
        <v>12</v>
      </c>
      <c r="E1617">
        <f>VLOOKUP($D1617,'[2]LC Opportunity'!$Q$2:$U$542,2,FALSE)</f>
        <v>9.7000000000000003E-2</v>
      </c>
      <c r="F1617">
        <f>VLOOKUP($D1617,'[2]LC Opportunity'!$Q$2:$U$542,3,FALSE)</f>
        <v>0.379</v>
      </c>
      <c r="G1617">
        <f>VLOOKUP($D1617,'[2]LC Opportunity'!$Q$2:$U$542,4,FALSE)</f>
        <v>0.52400000000000002</v>
      </c>
      <c r="H1617">
        <f>VLOOKUP($D1617,'[2]LC Opportunity'!$Q$2:$U$542,5,FALSE)</f>
        <v>0</v>
      </c>
      <c r="I1617" s="77">
        <f t="shared" si="5031"/>
        <v>1</v>
      </c>
      <c r="J1617" s="77">
        <f t="shared" si="5032"/>
        <v>5.5770575000000003E-2</v>
      </c>
      <c r="K1617" s="77">
        <f t="shared" si="5076"/>
        <v>4.5328175412830962E-3</v>
      </c>
      <c r="L1617" s="76">
        <v>0</v>
      </c>
      <c r="M1617" s="77">
        <f t="shared" si="5038"/>
        <v>0</v>
      </c>
      <c r="N1617" s="77">
        <f t="shared" si="5039"/>
        <v>0</v>
      </c>
      <c r="O1617" s="77">
        <f t="shared" si="5040"/>
        <v>6.2417000000000002E-3</v>
      </c>
      <c r="P1617" s="77">
        <f t="shared" si="5041"/>
        <v>5.2163563806706392E-4</v>
      </c>
      <c r="R1617" t="s">
        <v>177</v>
      </c>
      <c r="S1617" t="s">
        <v>180</v>
      </c>
      <c r="T1617" s="197" t="str">
        <f t="shared" si="5072"/>
        <v>Autopilot_Opportunity_12</v>
      </c>
      <c r="U1617">
        <v>12</v>
      </c>
      <c r="V1617">
        <f>VLOOKUP($U1617,'[2]AP Opportunity'!$Q$1:$T$542,2,FALSE)</f>
        <v>0.26205703523412166</v>
      </c>
      <c r="W1617">
        <f>VLOOKUP($U1617,'[2]AP Opportunity'!$Q$1:$T$542,3,FALSE)</f>
        <v>0.7379429647658784</v>
      </c>
      <c r="X1617">
        <f>VLOOKUP($U1617,'[2]AP Opportunity'!$Q$1:$T$542,4,FALSE)</f>
        <v>0</v>
      </c>
      <c r="Y1617" s="77">
        <f t="shared" si="5073"/>
        <v>1</v>
      </c>
      <c r="Z1617" s="77">
        <f t="shared" si="5077"/>
        <v>5.4828807142732958E-2</v>
      </c>
      <c r="AA1617" s="77">
        <f t="shared" si="5078"/>
        <v>4.4581150963045602E-3</v>
      </c>
      <c r="AB1617" s="79">
        <v>1</v>
      </c>
      <c r="AC1617" s="77">
        <f t="shared" si="5042"/>
        <v>7.0241140704682438E-3</v>
      </c>
      <c r="AD1617" s="77">
        <f t="shared" ref="AD1617" si="5085">1-(1-AC1617)^(1/12)</f>
        <v>5.8723578376107533E-4</v>
      </c>
      <c r="AE1617" s="77">
        <f t="shared" si="5044"/>
        <v>2.5000000000000001E-3</v>
      </c>
      <c r="AF1617" s="77">
        <f t="shared" ref="AF1617" si="5086">1-(1-AE1617)^(1/12)</f>
        <v>2.0857243058891584E-4</v>
      </c>
      <c r="AH1617" t="s">
        <v>175</v>
      </c>
      <c r="AI1617" t="s">
        <v>180</v>
      </c>
      <c r="AJ1617" s="197" t="str">
        <f t="shared" si="5035"/>
        <v>Lifecycle_Opportunity_12</v>
      </c>
      <c r="AK1617">
        <v>12</v>
      </c>
      <c r="AL1617">
        <f>VLOOKUP($U1617,[2]Standard_Opportunity!$Q$1:$T$542,2,FALSE)</f>
        <v>0.26205703523412166</v>
      </c>
      <c r="AM1617">
        <f>VLOOKUP($U1617,[2]Standard_Opportunity!$Q$1:$T$542,3,FALSE)</f>
        <v>0.7379429647658784</v>
      </c>
      <c r="AN1617">
        <f>VLOOKUP($U1617,[2]Standard_Opportunity!$Q$1:$T$542,4,FALSE)</f>
        <v>0</v>
      </c>
      <c r="AO1617" s="77">
        <f t="shared" si="5036"/>
        <v>1</v>
      </c>
      <c r="AP1617" s="77">
        <f t="shared" si="5046"/>
        <v>5.4828807142732958E-2</v>
      </c>
      <c r="AQ1617" s="77">
        <f t="shared" si="5037"/>
        <v>4.4581150963045602E-3</v>
      </c>
      <c r="AR1617" s="79">
        <v>0</v>
      </c>
      <c r="AS1617" s="77">
        <f t="shared" si="5047"/>
        <v>0</v>
      </c>
      <c r="AT1617" s="77">
        <f t="shared" si="5048"/>
        <v>0</v>
      </c>
      <c r="AU1617" s="77">
        <f t="shared" si="5049"/>
        <v>2.5000000000000001E-3</v>
      </c>
      <c r="AV1617" s="77">
        <f t="shared" si="5050"/>
        <v>2.0809499864316017E-4</v>
      </c>
    </row>
    <row r="1618" spans="1:48">
      <c r="A1618" t="s">
        <v>175</v>
      </c>
      <c r="B1618" t="s">
        <v>180</v>
      </c>
      <c r="C1618" s="197" t="str">
        <f t="shared" si="5071"/>
        <v>Lifecycle_Opportunity_11</v>
      </c>
      <c r="D1618">
        <v>11</v>
      </c>
      <c r="E1618">
        <f>VLOOKUP($D1618,'[2]LC Opportunity'!$Q$2:$U$542,2,FALSE)</f>
        <v>9.9583333333333329E-2</v>
      </c>
      <c r="F1618">
        <f>VLOOKUP($D1618,'[2]LC Opportunity'!$Q$2:$U$542,3,FALSE)</f>
        <v>0.37833333333333335</v>
      </c>
      <c r="G1618">
        <f>VLOOKUP($D1618,'[2]LC Opportunity'!$Q$2:$U$542,4,FALSE)</f>
        <v>0.52208333333333334</v>
      </c>
      <c r="H1618">
        <f>VLOOKUP($D1618,'[2]LC Opportunity'!$Q$2:$U$542,5,FALSE)</f>
        <v>0</v>
      </c>
      <c r="I1618" s="77">
        <f t="shared" si="5031"/>
        <v>1</v>
      </c>
      <c r="J1618" s="77">
        <f t="shared" si="5032"/>
        <v>5.572521875E-2</v>
      </c>
      <c r="K1618" s="77">
        <f t="shared" si="5076"/>
        <v>4.5292212155418898E-3</v>
      </c>
      <c r="L1618" s="76">
        <v>0</v>
      </c>
      <c r="M1618" s="77">
        <f t="shared" si="5038"/>
        <v>0</v>
      </c>
      <c r="N1618" s="77">
        <f t="shared" si="5039"/>
        <v>0</v>
      </c>
      <c r="O1618" s="77">
        <f t="shared" si="5040"/>
        <v>6.2301666666666668E-3</v>
      </c>
      <c r="P1618" s="77">
        <f t="shared" si="5041"/>
        <v>5.2066899995040217E-4</v>
      </c>
      <c r="R1618" t="s">
        <v>177</v>
      </c>
      <c r="S1618" t="s">
        <v>180</v>
      </c>
      <c r="T1618" s="197" t="str">
        <f t="shared" si="5072"/>
        <v>Autopilot_Opportunity_11</v>
      </c>
      <c r="U1618">
        <v>11</v>
      </c>
      <c r="V1618">
        <f>VLOOKUP($U1618,'[2]AP Opportunity'!$Q$1:$T$542,2,FALSE)</f>
        <v>0.26205703523412166</v>
      </c>
      <c r="W1618">
        <f>VLOOKUP($U1618,'[2]AP Opportunity'!$Q$1:$T$542,3,FALSE)</f>
        <v>0.7379429647658784</v>
      </c>
      <c r="X1618">
        <f>VLOOKUP($U1618,'[2]AP Opportunity'!$Q$1:$T$542,4,FALSE)</f>
        <v>0</v>
      </c>
      <c r="Y1618" s="77">
        <f t="shared" si="5073"/>
        <v>1</v>
      </c>
      <c r="Z1618" s="77">
        <f t="shared" si="5077"/>
        <v>5.4828807142732958E-2</v>
      </c>
      <c r="AA1618" s="77">
        <f t="shared" si="5078"/>
        <v>4.4581150963045602E-3</v>
      </c>
      <c r="AB1618" s="79">
        <v>1</v>
      </c>
      <c r="AC1618" s="77">
        <f t="shared" si="5042"/>
        <v>7.0241140704682438E-3</v>
      </c>
      <c r="AD1618" s="77">
        <f t="shared" ref="AD1618" si="5087">1-(1-AC1618)^(1/12)</f>
        <v>5.8723578376107533E-4</v>
      </c>
      <c r="AE1618" s="77">
        <f t="shared" si="5044"/>
        <v>2.5000000000000001E-3</v>
      </c>
      <c r="AF1618" s="77">
        <f t="shared" ref="AF1618" si="5088">1-(1-AE1618)^(1/12)</f>
        <v>2.0857243058891584E-4</v>
      </c>
      <c r="AH1618" t="s">
        <v>175</v>
      </c>
      <c r="AI1618" t="s">
        <v>180</v>
      </c>
      <c r="AJ1618" s="197" t="str">
        <f t="shared" si="5035"/>
        <v>Lifecycle_Opportunity_11</v>
      </c>
      <c r="AK1618">
        <v>11</v>
      </c>
      <c r="AL1618">
        <f>VLOOKUP($U1618,[2]Standard_Opportunity!$Q$1:$T$542,2,FALSE)</f>
        <v>0.25873746748313003</v>
      </c>
      <c r="AM1618">
        <f>VLOOKUP($U1618,[2]Standard_Opportunity!$Q$1:$T$542,3,FALSE)</f>
        <v>0.74126253251687002</v>
      </c>
      <c r="AN1618">
        <f>VLOOKUP($U1618,[2]Standard_Opportunity!$Q$1:$T$542,4,FALSE)</f>
        <v>0</v>
      </c>
      <c r="AO1618" s="77">
        <f t="shared" si="5036"/>
        <v>1</v>
      </c>
      <c r="AP1618" s="77">
        <f t="shared" si="5046"/>
        <v>5.4784739880838547E-2</v>
      </c>
      <c r="AQ1618" s="77">
        <f t="shared" si="5037"/>
        <v>4.454618117609277E-3</v>
      </c>
      <c r="AR1618" s="79">
        <v>0</v>
      </c>
      <c r="AS1618" s="77">
        <f t="shared" si="5047"/>
        <v>0</v>
      </c>
      <c r="AT1618" s="77">
        <f t="shared" si="5048"/>
        <v>0</v>
      </c>
      <c r="AU1618" s="77">
        <f t="shared" si="5049"/>
        <v>2.5000000000000001E-3</v>
      </c>
      <c r="AV1618" s="77">
        <f t="shared" si="5050"/>
        <v>2.0809499864316017E-4</v>
      </c>
    </row>
    <row r="1619" spans="1:48">
      <c r="A1619" t="s">
        <v>175</v>
      </c>
      <c r="B1619" t="s">
        <v>180</v>
      </c>
      <c r="C1619" s="197" t="str">
        <f t="shared" si="5071"/>
        <v>Lifecycle_Opportunity_10</v>
      </c>
      <c r="D1619">
        <v>10</v>
      </c>
      <c r="E1619">
        <f>VLOOKUP($D1619,'[2]LC Opportunity'!$Q$2:$U$542,2,FALSE)</f>
        <v>0.10216666666666667</v>
      </c>
      <c r="F1619">
        <f>VLOOKUP($D1619,'[2]LC Opportunity'!$Q$2:$U$542,3,FALSE)</f>
        <v>0.37766666666666665</v>
      </c>
      <c r="G1619">
        <f>VLOOKUP($D1619,'[2]LC Opportunity'!$Q$2:$U$542,4,FALSE)</f>
        <v>0.52016666666666667</v>
      </c>
      <c r="H1619">
        <f>VLOOKUP($D1619,'[2]LC Opportunity'!$Q$2:$U$542,5,FALSE)</f>
        <v>0</v>
      </c>
      <c r="I1619" s="77">
        <f t="shared" si="5031"/>
        <v>1</v>
      </c>
      <c r="J1619" s="77">
        <f t="shared" si="5032"/>
        <v>5.5679862499999996E-2</v>
      </c>
      <c r="K1619" s="77">
        <f t="shared" si="5076"/>
        <v>4.5256247481670897E-3</v>
      </c>
      <c r="L1619" s="76">
        <v>0</v>
      </c>
      <c r="M1619" s="77">
        <f t="shared" si="5038"/>
        <v>0</v>
      </c>
      <c r="N1619" s="77">
        <f t="shared" si="5039"/>
        <v>0</v>
      </c>
      <c r="O1619" s="77">
        <f t="shared" si="5040"/>
        <v>6.2186333333333326E-3</v>
      </c>
      <c r="P1619" s="77">
        <f t="shared" si="5041"/>
        <v>5.197023721172922E-4</v>
      </c>
      <c r="R1619" t="s">
        <v>177</v>
      </c>
      <c r="S1619" t="s">
        <v>180</v>
      </c>
      <c r="T1619" s="197" t="str">
        <f t="shared" si="5072"/>
        <v>Autopilot_Opportunity_10</v>
      </c>
      <c r="U1619">
        <v>10</v>
      </c>
      <c r="V1619">
        <f>VLOOKUP($U1619,'[2]AP Opportunity'!$Q$1:$T$542,2,FALSE)</f>
        <v>0.26205703523412166</v>
      </c>
      <c r="W1619">
        <f>VLOOKUP($U1619,'[2]AP Opportunity'!$Q$1:$T$542,3,FALSE)</f>
        <v>0.7379429647658784</v>
      </c>
      <c r="X1619">
        <f>VLOOKUP($U1619,'[2]AP Opportunity'!$Q$1:$T$542,4,FALSE)</f>
        <v>0</v>
      </c>
      <c r="Y1619" s="77">
        <f t="shared" si="5073"/>
        <v>1</v>
      </c>
      <c r="Z1619" s="77">
        <f t="shared" si="5077"/>
        <v>5.4828807142732958E-2</v>
      </c>
      <c r="AA1619" s="77">
        <f t="shared" si="5078"/>
        <v>4.4581150963045602E-3</v>
      </c>
      <c r="AB1619" s="79">
        <v>1</v>
      </c>
      <c r="AC1619" s="77">
        <f t="shared" si="5042"/>
        <v>7.0241140704682438E-3</v>
      </c>
      <c r="AD1619" s="77">
        <f t="shared" ref="AD1619" si="5089">1-(1-AC1619)^(1/12)</f>
        <v>5.8723578376107533E-4</v>
      </c>
      <c r="AE1619" s="77">
        <f t="shared" si="5044"/>
        <v>2.5000000000000001E-3</v>
      </c>
      <c r="AF1619" s="77">
        <f t="shared" ref="AF1619" si="5090">1-(1-AE1619)^(1/12)</f>
        <v>2.0857243058891584E-4</v>
      </c>
      <c r="AH1619" t="s">
        <v>175</v>
      </c>
      <c r="AI1619" t="s">
        <v>180</v>
      </c>
      <c r="AJ1619" s="197" t="str">
        <f t="shared" si="5035"/>
        <v>Lifecycle_Opportunity_10</v>
      </c>
      <c r="AK1619">
        <v>10</v>
      </c>
      <c r="AL1619">
        <f>VLOOKUP($U1619,[2]Standard_Opportunity!$Q$1:$T$542,2,FALSE)</f>
        <v>0.25541789973213841</v>
      </c>
      <c r="AM1619">
        <f>VLOOKUP($U1619,[2]Standard_Opportunity!$Q$1:$T$542,3,FALSE)</f>
        <v>0.74458210026786165</v>
      </c>
      <c r="AN1619">
        <f>VLOOKUP($U1619,[2]Standard_Opportunity!$Q$1:$T$542,4,FALSE)</f>
        <v>0</v>
      </c>
      <c r="AO1619" s="77">
        <f t="shared" si="5036"/>
        <v>1</v>
      </c>
      <c r="AP1619" s="77">
        <f t="shared" si="5046"/>
        <v>5.4740672618944129E-2</v>
      </c>
      <c r="AQ1619" s="77">
        <f t="shared" si="5037"/>
        <v>4.4511210049880123E-3</v>
      </c>
      <c r="AR1619" s="79">
        <v>0</v>
      </c>
      <c r="AS1619" s="77">
        <f t="shared" si="5047"/>
        <v>0</v>
      </c>
      <c r="AT1619" s="77">
        <f t="shared" si="5048"/>
        <v>0</v>
      </c>
      <c r="AU1619" s="77">
        <f t="shared" si="5049"/>
        <v>2.5000000000000005E-3</v>
      </c>
      <c r="AV1619" s="77">
        <f t="shared" si="5050"/>
        <v>2.0809499864316017E-4</v>
      </c>
    </row>
    <row r="1620" spans="1:48">
      <c r="A1620" t="s">
        <v>175</v>
      </c>
      <c r="B1620" t="s">
        <v>180</v>
      </c>
      <c r="C1620" s="197" t="str">
        <f t="shared" si="5071"/>
        <v>Lifecycle_Opportunity_9</v>
      </c>
      <c r="D1620">
        <v>9</v>
      </c>
      <c r="E1620">
        <f>VLOOKUP($D1620,'[2]LC Opportunity'!$Q$2:$U$542,2,FALSE)</f>
        <v>0.10475000000000001</v>
      </c>
      <c r="F1620">
        <f>VLOOKUP($D1620,'[2]LC Opportunity'!$Q$2:$U$542,3,FALSE)</f>
        <v>0.377</v>
      </c>
      <c r="G1620">
        <f>VLOOKUP($D1620,'[2]LC Opportunity'!$Q$2:$U$542,4,FALSE)</f>
        <v>0.51824999999999999</v>
      </c>
      <c r="H1620">
        <f>VLOOKUP($D1620,'[2]LC Opportunity'!$Q$2:$U$542,5,FALSE)</f>
        <v>0</v>
      </c>
      <c r="I1620" s="77">
        <f t="shared" si="5031"/>
        <v>1</v>
      </c>
      <c r="J1620" s="77">
        <f t="shared" si="5032"/>
        <v>5.5634506249999993E-2</v>
      </c>
      <c r="K1620" s="77">
        <f t="shared" si="5076"/>
        <v>4.5220281391475936E-3</v>
      </c>
      <c r="L1620" s="76">
        <v>0</v>
      </c>
      <c r="M1620" s="77">
        <f t="shared" si="5038"/>
        <v>0</v>
      </c>
      <c r="N1620" s="77">
        <f t="shared" si="5039"/>
        <v>0</v>
      </c>
      <c r="O1620" s="77">
        <f t="shared" si="5040"/>
        <v>6.2071000000000001E-3</v>
      </c>
      <c r="P1620" s="77">
        <f t="shared" si="5041"/>
        <v>5.1873575456740095E-4</v>
      </c>
      <c r="R1620" t="s">
        <v>177</v>
      </c>
      <c r="S1620" t="s">
        <v>180</v>
      </c>
      <c r="T1620" s="197" t="str">
        <f t="shared" si="5072"/>
        <v>Autopilot_Opportunity_9</v>
      </c>
      <c r="U1620">
        <v>9</v>
      </c>
      <c r="V1620">
        <f>VLOOKUP($U1620,'[2]AP Opportunity'!$Q$1:$T$542,2,FALSE)</f>
        <v>0.26205703523412166</v>
      </c>
      <c r="W1620">
        <f>VLOOKUP($U1620,'[2]AP Opportunity'!$Q$1:$T$542,3,FALSE)</f>
        <v>0.7379429647658784</v>
      </c>
      <c r="X1620">
        <f>VLOOKUP($U1620,'[2]AP Opportunity'!$Q$1:$T$542,4,FALSE)</f>
        <v>0</v>
      </c>
      <c r="Y1620" s="77">
        <f t="shared" si="5073"/>
        <v>1</v>
      </c>
      <c r="Z1620" s="77">
        <f t="shared" si="5077"/>
        <v>5.4828807142732958E-2</v>
      </c>
      <c r="AA1620" s="77">
        <f t="shared" si="5078"/>
        <v>4.4581150963045602E-3</v>
      </c>
      <c r="AB1620" s="79">
        <v>1</v>
      </c>
      <c r="AC1620" s="77">
        <f t="shared" si="5042"/>
        <v>7.0241140704682438E-3</v>
      </c>
      <c r="AD1620" s="77">
        <f t="shared" ref="AD1620" si="5091">1-(1-AC1620)^(1/12)</f>
        <v>5.8723578376107533E-4</v>
      </c>
      <c r="AE1620" s="77">
        <f t="shared" si="5044"/>
        <v>2.5000000000000001E-3</v>
      </c>
      <c r="AF1620" s="77">
        <f t="shared" ref="AF1620" si="5092">1-(1-AE1620)^(1/12)</f>
        <v>2.0857243058891584E-4</v>
      </c>
      <c r="AH1620" t="s">
        <v>175</v>
      </c>
      <c r="AI1620" t="s">
        <v>180</v>
      </c>
      <c r="AJ1620" s="197" t="str">
        <f t="shared" si="5035"/>
        <v>Lifecycle_Opportunity_9</v>
      </c>
      <c r="AK1620">
        <v>9</v>
      </c>
      <c r="AL1620">
        <f>VLOOKUP($U1620,[2]Standard_Opportunity!$Q$1:$T$542,2,FALSE)</f>
        <v>0.25209833198114684</v>
      </c>
      <c r="AM1620">
        <f>VLOOKUP($U1620,[2]Standard_Opportunity!$Q$1:$T$542,3,FALSE)</f>
        <v>0.74790166801885327</v>
      </c>
      <c r="AN1620">
        <f>VLOOKUP($U1620,[2]Standard_Opportunity!$Q$1:$T$542,4,FALSE)</f>
        <v>0</v>
      </c>
      <c r="AO1620" s="77">
        <f t="shared" si="5036"/>
        <v>1</v>
      </c>
      <c r="AP1620" s="77">
        <f t="shared" si="5046"/>
        <v>5.4696605357049718E-2</v>
      </c>
      <c r="AQ1620" s="77">
        <f t="shared" si="5037"/>
        <v>4.4476237584301082E-3</v>
      </c>
      <c r="AR1620" s="79">
        <v>0</v>
      </c>
      <c r="AS1620" s="77">
        <f t="shared" si="5047"/>
        <v>0</v>
      </c>
      <c r="AT1620" s="77">
        <f t="shared" si="5048"/>
        <v>0</v>
      </c>
      <c r="AU1620" s="77">
        <f t="shared" si="5049"/>
        <v>2.5000000000000005E-3</v>
      </c>
      <c r="AV1620" s="77">
        <f t="shared" si="5050"/>
        <v>2.0809499864316017E-4</v>
      </c>
    </row>
    <row r="1621" spans="1:48">
      <c r="A1621" t="s">
        <v>175</v>
      </c>
      <c r="B1621" t="s">
        <v>180</v>
      </c>
      <c r="C1621" s="197" t="str">
        <f t="shared" si="5071"/>
        <v>Lifecycle_Opportunity_8</v>
      </c>
      <c r="D1621">
        <v>8</v>
      </c>
      <c r="E1621">
        <f>VLOOKUP($D1621,'[2]LC Opportunity'!$Q$2:$U$542,2,FALSE)</f>
        <v>0.10733333333333334</v>
      </c>
      <c r="F1621">
        <f>VLOOKUP($D1621,'[2]LC Opportunity'!$Q$2:$U$542,3,FALSE)</f>
        <v>0.37633333333333335</v>
      </c>
      <c r="G1621">
        <f>VLOOKUP($D1621,'[2]LC Opportunity'!$Q$2:$U$542,4,FALSE)</f>
        <v>0.51633333333333331</v>
      </c>
      <c r="H1621">
        <f>VLOOKUP($D1621,'[2]LC Opportunity'!$Q$2:$U$542,5,FALSE)</f>
        <v>0</v>
      </c>
      <c r="I1621" s="77">
        <f t="shared" si="5031"/>
        <v>1</v>
      </c>
      <c r="J1621" s="77">
        <f t="shared" si="5032"/>
        <v>5.5589149999999997E-2</v>
      </c>
      <c r="K1621" s="77">
        <f t="shared" si="5076"/>
        <v>4.5184313884716332E-3</v>
      </c>
      <c r="L1621" s="76">
        <v>0</v>
      </c>
      <c r="M1621" s="77">
        <f t="shared" si="5038"/>
        <v>0</v>
      </c>
      <c r="N1621" s="77">
        <f t="shared" si="5039"/>
        <v>0</v>
      </c>
      <c r="O1621" s="77">
        <f t="shared" si="5040"/>
        <v>6.1955666666666668E-3</v>
      </c>
      <c r="P1621" s="77">
        <f t="shared" si="5041"/>
        <v>5.177691473006174E-4</v>
      </c>
      <c r="R1621" t="s">
        <v>177</v>
      </c>
      <c r="S1621" t="s">
        <v>180</v>
      </c>
      <c r="T1621" s="197" t="str">
        <f t="shared" si="5072"/>
        <v>Autopilot_Opportunity_8</v>
      </c>
      <c r="U1621">
        <v>8</v>
      </c>
      <c r="V1621">
        <f>VLOOKUP($U1621,'[2]AP Opportunity'!$Q$1:$T$542,2,FALSE)</f>
        <v>0.26205703523412166</v>
      </c>
      <c r="W1621">
        <f>VLOOKUP($U1621,'[2]AP Opportunity'!$Q$1:$T$542,3,FALSE)</f>
        <v>0.7379429647658784</v>
      </c>
      <c r="X1621">
        <f>VLOOKUP($U1621,'[2]AP Opportunity'!$Q$1:$T$542,4,FALSE)</f>
        <v>0</v>
      </c>
      <c r="Y1621" s="77">
        <f t="shared" si="5073"/>
        <v>1</v>
      </c>
      <c r="Z1621" s="77">
        <f t="shared" si="5077"/>
        <v>5.4828807142732958E-2</v>
      </c>
      <c r="AA1621" s="77">
        <f t="shared" si="5078"/>
        <v>4.4581150963045602E-3</v>
      </c>
      <c r="AB1621" s="79">
        <v>1</v>
      </c>
      <c r="AC1621" s="77">
        <f t="shared" si="5042"/>
        <v>7.0241140704682438E-3</v>
      </c>
      <c r="AD1621" s="77">
        <f t="shared" ref="AD1621" si="5093">1-(1-AC1621)^(1/12)</f>
        <v>5.8723578376107533E-4</v>
      </c>
      <c r="AE1621" s="77">
        <f t="shared" si="5044"/>
        <v>2.5000000000000001E-3</v>
      </c>
      <c r="AF1621" s="77">
        <f t="shared" ref="AF1621" si="5094">1-(1-AE1621)^(1/12)</f>
        <v>2.0857243058891584E-4</v>
      </c>
      <c r="AH1621" t="s">
        <v>175</v>
      </c>
      <c r="AI1621" t="s">
        <v>180</v>
      </c>
      <c r="AJ1621" s="197" t="str">
        <f t="shared" si="5035"/>
        <v>Lifecycle_Opportunity_8</v>
      </c>
      <c r="AK1621">
        <v>8</v>
      </c>
      <c r="AL1621">
        <f>VLOOKUP($U1621,[2]Standard_Opportunity!$Q$1:$T$542,2,FALSE)</f>
        <v>0.24877876423015521</v>
      </c>
      <c r="AM1621">
        <f>VLOOKUP($U1621,[2]Standard_Opportunity!$Q$1:$T$542,3,FALSE)</f>
        <v>0.75122123576984479</v>
      </c>
      <c r="AN1621">
        <f>VLOOKUP($U1621,[2]Standard_Opportunity!$Q$1:$T$542,4,FALSE)</f>
        <v>0</v>
      </c>
      <c r="AO1621" s="77">
        <f t="shared" si="5036"/>
        <v>1</v>
      </c>
      <c r="AP1621" s="77">
        <f t="shared" si="5046"/>
        <v>5.4652538095155301E-2</v>
      </c>
      <c r="AQ1621" s="77">
        <f t="shared" si="5037"/>
        <v>4.4441263779244622E-3</v>
      </c>
      <c r="AR1621" s="79">
        <v>0</v>
      </c>
      <c r="AS1621" s="77">
        <f t="shared" si="5047"/>
        <v>0</v>
      </c>
      <c r="AT1621" s="77">
        <f t="shared" si="5048"/>
        <v>0</v>
      </c>
      <c r="AU1621" s="77">
        <f t="shared" si="5049"/>
        <v>2.5000000000000001E-3</v>
      </c>
      <c r="AV1621" s="77">
        <f t="shared" si="5050"/>
        <v>2.0809499864316017E-4</v>
      </c>
    </row>
    <row r="1622" spans="1:48">
      <c r="A1622" t="s">
        <v>175</v>
      </c>
      <c r="B1622" t="s">
        <v>180</v>
      </c>
      <c r="C1622" s="197" t="str">
        <f t="shared" si="5071"/>
        <v>Lifecycle_Opportunity_7</v>
      </c>
      <c r="D1622">
        <v>7</v>
      </c>
      <c r="E1622">
        <f>VLOOKUP($D1622,'[2]LC Opportunity'!$Q$2:$U$542,2,FALSE)</f>
        <v>0.10991666666666666</v>
      </c>
      <c r="F1622">
        <f>VLOOKUP($D1622,'[2]LC Opportunity'!$Q$2:$U$542,3,FALSE)</f>
        <v>0.37566666666666665</v>
      </c>
      <c r="G1622">
        <f>VLOOKUP($D1622,'[2]LC Opportunity'!$Q$2:$U$542,4,FALSE)</f>
        <v>0.51441666666666663</v>
      </c>
      <c r="H1622">
        <f>VLOOKUP($D1622,'[2]LC Opportunity'!$Q$2:$U$542,5,FALSE)</f>
        <v>0</v>
      </c>
      <c r="I1622" s="77">
        <f t="shared" si="5031"/>
        <v>1</v>
      </c>
      <c r="J1622" s="77">
        <f t="shared" si="5032"/>
        <v>5.5543793749999994E-2</v>
      </c>
      <c r="K1622" s="77">
        <f t="shared" si="5076"/>
        <v>4.514834496127218E-3</v>
      </c>
      <c r="L1622" s="76">
        <v>0</v>
      </c>
      <c r="M1622" s="77">
        <f t="shared" si="5038"/>
        <v>0</v>
      </c>
      <c r="N1622" s="77">
        <f t="shared" si="5039"/>
        <v>0</v>
      </c>
      <c r="O1622" s="77">
        <f t="shared" si="5040"/>
        <v>6.1840333333333325E-3</v>
      </c>
      <c r="P1622" s="77">
        <f t="shared" si="5041"/>
        <v>5.1680255031660849E-4</v>
      </c>
      <c r="R1622" t="s">
        <v>177</v>
      </c>
      <c r="S1622" t="s">
        <v>180</v>
      </c>
      <c r="T1622" s="197" t="str">
        <f t="shared" si="5072"/>
        <v>Autopilot_Opportunity_7</v>
      </c>
      <c r="U1622">
        <v>7</v>
      </c>
      <c r="V1622">
        <f>VLOOKUP($U1622,'[2]AP Opportunity'!$Q$1:$T$542,2,FALSE)</f>
        <v>0.26205703523412166</v>
      </c>
      <c r="W1622">
        <f>VLOOKUP($U1622,'[2]AP Opportunity'!$Q$1:$T$542,3,FALSE)</f>
        <v>0.7379429647658784</v>
      </c>
      <c r="X1622">
        <f>VLOOKUP($U1622,'[2]AP Opportunity'!$Q$1:$T$542,4,FALSE)</f>
        <v>0</v>
      </c>
      <c r="Y1622" s="77">
        <f t="shared" si="5073"/>
        <v>1</v>
      </c>
      <c r="Z1622" s="77">
        <f t="shared" si="5077"/>
        <v>5.4828807142732958E-2</v>
      </c>
      <c r="AA1622" s="77">
        <f t="shared" si="5078"/>
        <v>4.4581150963045602E-3</v>
      </c>
      <c r="AB1622" s="79">
        <v>1</v>
      </c>
      <c r="AC1622" s="77">
        <f t="shared" si="5042"/>
        <v>7.0241140704682438E-3</v>
      </c>
      <c r="AD1622" s="77">
        <f t="shared" ref="AD1622" si="5095">1-(1-AC1622)^(1/12)</f>
        <v>5.8723578376107533E-4</v>
      </c>
      <c r="AE1622" s="77">
        <f t="shared" si="5044"/>
        <v>2.5000000000000001E-3</v>
      </c>
      <c r="AF1622" s="77">
        <f t="shared" ref="AF1622" si="5096">1-(1-AE1622)^(1/12)</f>
        <v>2.0857243058891584E-4</v>
      </c>
      <c r="AH1622" t="s">
        <v>175</v>
      </c>
      <c r="AI1622" t="s">
        <v>180</v>
      </c>
      <c r="AJ1622" s="197" t="str">
        <f t="shared" si="5035"/>
        <v>Lifecycle_Opportunity_7</v>
      </c>
      <c r="AK1622">
        <v>7</v>
      </c>
      <c r="AL1622">
        <f>VLOOKUP($U1622,[2]Standard_Opportunity!$Q$1:$T$542,2,FALSE)</f>
        <v>0.24545919647916359</v>
      </c>
      <c r="AM1622">
        <f>VLOOKUP($U1622,[2]Standard_Opportunity!$Q$1:$T$542,3,FALSE)</f>
        <v>0.75454080352083641</v>
      </c>
      <c r="AN1622">
        <f>VLOOKUP($U1622,[2]Standard_Opportunity!$Q$1:$T$542,4,FALSE)</f>
        <v>0</v>
      </c>
      <c r="AO1622" s="77">
        <f t="shared" si="5036"/>
        <v>1</v>
      </c>
      <c r="AP1622" s="77">
        <f t="shared" si="5046"/>
        <v>5.4608470833260883E-2</v>
      </c>
      <c r="AQ1622" s="77">
        <f t="shared" si="5037"/>
        <v>4.4406288634608604E-3</v>
      </c>
      <c r="AR1622" s="79">
        <v>0</v>
      </c>
      <c r="AS1622" s="77">
        <f t="shared" si="5047"/>
        <v>0</v>
      </c>
      <c r="AT1622" s="77">
        <f t="shared" si="5048"/>
        <v>0</v>
      </c>
      <c r="AU1622" s="77">
        <f t="shared" si="5049"/>
        <v>2.5000000000000001E-3</v>
      </c>
      <c r="AV1622" s="77">
        <f t="shared" si="5050"/>
        <v>2.0809499864316017E-4</v>
      </c>
    </row>
    <row r="1623" spans="1:48">
      <c r="A1623" t="s">
        <v>175</v>
      </c>
      <c r="B1623" t="s">
        <v>180</v>
      </c>
      <c r="C1623" s="197" t="str">
        <f t="shared" si="5071"/>
        <v>Lifecycle_Opportunity_6</v>
      </c>
      <c r="D1623">
        <v>6</v>
      </c>
      <c r="E1623">
        <f>VLOOKUP($D1623,'[2]LC Opportunity'!$Q$2:$U$542,2,FALSE)</f>
        <v>0.1125</v>
      </c>
      <c r="F1623">
        <f>VLOOKUP($D1623,'[2]LC Opportunity'!$Q$2:$U$542,3,FALSE)</f>
        <v>0.375</v>
      </c>
      <c r="G1623">
        <f>VLOOKUP($D1623,'[2]LC Opportunity'!$Q$2:$U$542,4,FALSE)</f>
        <v>0.51249999999999996</v>
      </c>
      <c r="H1623">
        <f>VLOOKUP($D1623,'[2]LC Opportunity'!$Q$2:$U$542,5,FALSE)</f>
        <v>0</v>
      </c>
      <c r="I1623" s="77">
        <f t="shared" si="5031"/>
        <v>1</v>
      </c>
      <c r="J1623" s="77">
        <f t="shared" si="5032"/>
        <v>5.5498437499999997E-2</v>
      </c>
      <c r="K1623" s="77">
        <f t="shared" si="5076"/>
        <v>4.5112374621030238E-3</v>
      </c>
      <c r="L1623" s="76">
        <v>0</v>
      </c>
      <c r="M1623" s="77">
        <f t="shared" si="5038"/>
        <v>0</v>
      </c>
      <c r="N1623" s="77">
        <f t="shared" si="5039"/>
        <v>0</v>
      </c>
      <c r="O1623" s="77">
        <f t="shared" si="5040"/>
        <v>6.1724999999999992E-3</v>
      </c>
      <c r="P1623" s="77">
        <f t="shared" si="5041"/>
        <v>5.1583596361526318E-4</v>
      </c>
      <c r="R1623" t="s">
        <v>177</v>
      </c>
      <c r="S1623" t="s">
        <v>180</v>
      </c>
      <c r="T1623" s="197" t="str">
        <f t="shared" si="5072"/>
        <v>Autopilot_Opportunity_6</v>
      </c>
      <c r="U1623">
        <v>6</v>
      </c>
      <c r="V1623">
        <f>VLOOKUP($U1623,'[2]AP Opportunity'!$Q$1:$T$542,2,FALSE)</f>
        <v>0.26205703523412166</v>
      </c>
      <c r="W1623">
        <f>VLOOKUP($U1623,'[2]AP Opportunity'!$Q$1:$T$542,3,FALSE)</f>
        <v>0.7379429647658784</v>
      </c>
      <c r="X1623">
        <f>VLOOKUP($U1623,'[2]AP Opportunity'!$Q$1:$T$542,4,FALSE)</f>
        <v>0</v>
      </c>
      <c r="Y1623" s="77">
        <f t="shared" si="5073"/>
        <v>1</v>
      </c>
      <c r="Z1623" s="77">
        <f t="shared" si="5077"/>
        <v>5.4828807142732958E-2</v>
      </c>
      <c r="AA1623" s="77">
        <f t="shared" si="5078"/>
        <v>4.4581150963045602E-3</v>
      </c>
      <c r="AB1623" s="79">
        <v>1</v>
      </c>
      <c r="AC1623" s="77">
        <f t="shared" si="5042"/>
        <v>7.0241140704682438E-3</v>
      </c>
      <c r="AD1623" s="77">
        <f t="shared" ref="AD1623" si="5097">1-(1-AC1623)^(1/12)</f>
        <v>5.8723578376107533E-4</v>
      </c>
      <c r="AE1623" s="77">
        <f t="shared" si="5044"/>
        <v>2.5000000000000001E-3</v>
      </c>
      <c r="AF1623" s="77">
        <f t="shared" ref="AF1623" si="5098">1-(1-AE1623)^(1/12)</f>
        <v>2.0857243058891584E-4</v>
      </c>
      <c r="AH1623" t="s">
        <v>175</v>
      </c>
      <c r="AI1623" t="s">
        <v>180</v>
      </c>
      <c r="AJ1623" s="197" t="str">
        <f t="shared" si="5035"/>
        <v>Lifecycle_Opportunity_6</v>
      </c>
      <c r="AK1623">
        <v>6</v>
      </c>
      <c r="AL1623">
        <f>VLOOKUP($U1623,[2]Standard_Opportunity!$Q$1:$T$542,2,FALSE)</f>
        <v>0.24213962872817196</v>
      </c>
      <c r="AM1623">
        <f>VLOOKUP($U1623,[2]Standard_Opportunity!$Q$1:$T$542,3,FALSE)</f>
        <v>0.75786037127182804</v>
      </c>
      <c r="AN1623">
        <f>VLOOKUP($U1623,[2]Standard_Opportunity!$Q$1:$T$542,4,FALSE)</f>
        <v>0</v>
      </c>
      <c r="AO1623" s="77">
        <f t="shared" si="5036"/>
        <v>1</v>
      </c>
      <c r="AP1623" s="77">
        <f t="shared" si="5046"/>
        <v>5.4564403571366479E-2</v>
      </c>
      <c r="AQ1623" s="77">
        <f t="shared" si="5037"/>
        <v>4.4371312150282005E-3</v>
      </c>
      <c r="AR1623" s="79">
        <v>0</v>
      </c>
      <c r="AS1623" s="77">
        <f t="shared" si="5047"/>
        <v>0</v>
      </c>
      <c r="AT1623" s="77">
        <f t="shared" si="5048"/>
        <v>0</v>
      </c>
      <c r="AU1623" s="77">
        <f t="shared" si="5049"/>
        <v>2.5000000000000001E-3</v>
      </c>
      <c r="AV1623" s="77">
        <f t="shared" si="5050"/>
        <v>2.0809499864316017E-4</v>
      </c>
    </row>
    <row r="1624" spans="1:48">
      <c r="A1624" t="s">
        <v>175</v>
      </c>
      <c r="B1624" t="s">
        <v>180</v>
      </c>
      <c r="C1624" s="197" t="str">
        <f t="shared" si="5071"/>
        <v>Lifecycle_Opportunity_5</v>
      </c>
      <c r="D1624">
        <v>5</v>
      </c>
      <c r="E1624">
        <f>VLOOKUP($D1624,'[2]LC Opportunity'!$Q$2:$U$542,2,FALSE)</f>
        <v>0.11508333333333334</v>
      </c>
      <c r="F1624">
        <f>VLOOKUP($D1624,'[2]LC Opportunity'!$Q$2:$U$542,3,FALSE)</f>
        <v>0.37433333333333335</v>
      </c>
      <c r="G1624">
        <f>VLOOKUP($D1624,'[2]LC Opportunity'!$Q$2:$U$542,4,FALSE)</f>
        <v>0.51058333333333339</v>
      </c>
      <c r="H1624">
        <f>VLOOKUP($D1624,'[2]LC Opportunity'!$Q$2:$U$542,5,FALSE)</f>
        <v>0</v>
      </c>
      <c r="I1624" s="77">
        <f t="shared" si="5031"/>
        <v>1</v>
      </c>
      <c r="J1624" s="77">
        <f t="shared" si="5032"/>
        <v>5.5453081250000001E-2</v>
      </c>
      <c r="K1624" s="77">
        <f t="shared" si="5076"/>
        <v>4.5076402863870602E-3</v>
      </c>
      <c r="L1624" s="76">
        <v>0</v>
      </c>
      <c r="M1624" s="77">
        <f t="shared" si="5038"/>
        <v>0</v>
      </c>
      <c r="N1624" s="77">
        <f t="shared" si="5039"/>
        <v>0</v>
      </c>
      <c r="O1624" s="77">
        <f t="shared" si="5040"/>
        <v>6.1609666666666667E-3</v>
      </c>
      <c r="P1624" s="77">
        <f t="shared" si="5041"/>
        <v>5.1486938719635944E-4</v>
      </c>
      <c r="R1624" t="s">
        <v>177</v>
      </c>
      <c r="S1624" t="s">
        <v>180</v>
      </c>
      <c r="T1624" s="197" t="str">
        <f t="shared" si="5072"/>
        <v>Autopilot_Opportunity_5</v>
      </c>
      <c r="U1624">
        <v>5</v>
      </c>
      <c r="V1624">
        <f>VLOOKUP($U1624,'[2]AP Opportunity'!$Q$1:$T$542,2,FALSE)</f>
        <v>0.26205703523412166</v>
      </c>
      <c r="W1624">
        <f>VLOOKUP($U1624,'[2]AP Opportunity'!$Q$1:$T$542,3,FALSE)</f>
        <v>0.7379429647658784</v>
      </c>
      <c r="X1624">
        <f>VLOOKUP($U1624,'[2]AP Opportunity'!$Q$1:$T$542,4,FALSE)</f>
        <v>0</v>
      </c>
      <c r="Y1624" s="77">
        <f t="shared" si="5073"/>
        <v>1</v>
      </c>
      <c r="Z1624" s="77">
        <f t="shared" si="5077"/>
        <v>5.4828807142732958E-2</v>
      </c>
      <c r="AA1624" s="77">
        <f t="shared" si="5078"/>
        <v>4.4581150963045602E-3</v>
      </c>
      <c r="AB1624" s="79">
        <v>1</v>
      </c>
      <c r="AC1624" s="77">
        <f t="shared" si="5042"/>
        <v>7.0241140704682438E-3</v>
      </c>
      <c r="AD1624" s="77">
        <f t="shared" ref="AD1624" si="5099">1-(1-AC1624)^(1/12)</f>
        <v>5.8723578376107533E-4</v>
      </c>
      <c r="AE1624" s="77">
        <f t="shared" si="5044"/>
        <v>2.5000000000000001E-3</v>
      </c>
      <c r="AF1624" s="77">
        <f t="shared" ref="AF1624" si="5100">1-(1-AE1624)^(1/12)</f>
        <v>2.0857243058891584E-4</v>
      </c>
      <c r="AH1624" t="s">
        <v>175</v>
      </c>
      <c r="AI1624" t="s">
        <v>180</v>
      </c>
      <c r="AJ1624" s="197" t="str">
        <f t="shared" si="5035"/>
        <v>Lifecycle_Opportunity_5</v>
      </c>
      <c r="AK1624">
        <v>5</v>
      </c>
      <c r="AL1624">
        <f>VLOOKUP($U1624,[2]Standard_Opportunity!$Q$1:$T$542,2,FALSE)</f>
        <v>0.23882006097718037</v>
      </c>
      <c r="AM1624">
        <f>VLOOKUP($U1624,[2]Standard_Opportunity!$Q$1:$T$542,3,FALSE)</f>
        <v>0.76117993902281966</v>
      </c>
      <c r="AN1624">
        <f>VLOOKUP($U1624,[2]Standard_Opportunity!$Q$1:$T$542,4,FALSE)</f>
        <v>0</v>
      </c>
      <c r="AO1624" s="77">
        <f t="shared" si="5036"/>
        <v>1</v>
      </c>
      <c r="AP1624" s="77">
        <f t="shared" si="5046"/>
        <v>5.4520336309472062E-2</v>
      </c>
      <c r="AQ1624" s="77">
        <f t="shared" si="5037"/>
        <v>4.4336334326158244E-3</v>
      </c>
      <c r="AR1624" s="79">
        <v>0</v>
      </c>
      <c r="AS1624" s="77">
        <f t="shared" si="5047"/>
        <v>0</v>
      </c>
      <c r="AT1624" s="77">
        <f t="shared" si="5048"/>
        <v>0</v>
      </c>
      <c r="AU1624" s="77">
        <f t="shared" si="5049"/>
        <v>2.5000000000000001E-3</v>
      </c>
      <c r="AV1624" s="77">
        <f t="shared" si="5050"/>
        <v>2.0809499864316017E-4</v>
      </c>
    </row>
    <row r="1625" spans="1:48">
      <c r="A1625" t="s">
        <v>175</v>
      </c>
      <c r="B1625" t="s">
        <v>180</v>
      </c>
      <c r="C1625" s="197" t="str">
        <f t="shared" si="5071"/>
        <v>Lifecycle_Opportunity_4</v>
      </c>
      <c r="D1625">
        <v>4</v>
      </c>
      <c r="E1625">
        <f>VLOOKUP($D1625,'[2]LC Opportunity'!$Q$2:$U$542,2,FALSE)</f>
        <v>0.11766666666666667</v>
      </c>
      <c r="F1625">
        <f>VLOOKUP($D1625,'[2]LC Opportunity'!$Q$2:$U$542,3,FALSE)</f>
        <v>0.37366666666666665</v>
      </c>
      <c r="G1625">
        <f>VLOOKUP($D1625,'[2]LC Opportunity'!$Q$2:$U$542,4,FALSE)</f>
        <v>0.50866666666666671</v>
      </c>
      <c r="H1625">
        <f>VLOOKUP($D1625,'[2]LC Opportunity'!$Q$2:$U$542,5,FALSE)</f>
        <v>0</v>
      </c>
      <c r="I1625" s="77">
        <f t="shared" si="5031"/>
        <v>1</v>
      </c>
      <c r="J1625" s="77">
        <f t="shared" si="5032"/>
        <v>5.5407724999999991E-2</v>
      </c>
      <c r="K1625" s="77">
        <f t="shared" si="5076"/>
        <v>4.5040429689680028E-3</v>
      </c>
      <c r="L1625" s="76">
        <v>0</v>
      </c>
      <c r="M1625" s="77">
        <f t="shared" si="5038"/>
        <v>0</v>
      </c>
      <c r="N1625" s="77">
        <f t="shared" si="5039"/>
        <v>0</v>
      </c>
      <c r="O1625" s="77">
        <f t="shared" si="5040"/>
        <v>6.1494333333333333E-3</v>
      </c>
      <c r="P1625" s="77">
        <f t="shared" si="5041"/>
        <v>5.139028210595642E-4</v>
      </c>
      <c r="R1625" t="s">
        <v>177</v>
      </c>
      <c r="S1625" t="s">
        <v>180</v>
      </c>
      <c r="T1625" s="197" t="str">
        <f t="shared" si="5072"/>
        <v>Autopilot_Opportunity_4</v>
      </c>
      <c r="U1625">
        <v>4</v>
      </c>
      <c r="V1625">
        <f>VLOOKUP($U1625,'[2]AP Opportunity'!$Q$1:$T$542,2,FALSE)</f>
        <v>0.26205703523412166</v>
      </c>
      <c r="W1625">
        <f>VLOOKUP($U1625,'[2]AP Opportunity'!$Q$1:$T$542,3,FALSE)</f>
        <v>0.7379429647658784</v>
      </c>
      <c r="X1625">
        <f>VLOOKUP($U1625,'[2]AP Opportunity'!$Q$1:$T$542,4,FALSE)</f>
        <v>0</v>
      </c>
      <c r="Y1625" s="77">
        <f t="shared" si="5073"/>
        <v>1</v>
      </c>
      <c r="Z1625" s="77">
        <f t="shared" si="5077"/>
        <v>5.4828807142732958E-2</v>
      </c>
      <c r="AA1625" s="77">
        <f t="shared" si="5078"/>
        <v>4.4581150963045602E-3</v>
      </c>
      <c r="AB1625" s="79">
        <v>1</v>
      </c>
      <c r="AC1625" s="77">
        <f t="shared" si="5042"/>
        <v>7.0241140704682438E-3</v>
      </c>
      <c r="AD1625" s="77">
        <f t="shared" ref="AD1625" si="5101">1-(1-AC1625)^(1/12)</f>
        <v>5.8723578376107533E-4</v>
      </c>
      <c r="AE1625" s="77">
        <f t="shared" si="5044"/>
        <v>2.5000000000000001E-3</v>
      </c>
      <c r="AF1625" s="77">
        <f t="shared" ref="AF1625" si="5102">1-(1-AE1625)^(1/12)</f>
        <v>2.0857243058891584E-4</v>
      </c>
      <c r="AH1625" t="s">
        <v>175</v>
      </c>
      <c r="AI1625" t="s">
        <v>180</v>
      </c>
      <c r="AJ1625" s="197" t="str">
        <f t="shared" si="5035"/>
        <v>Lifecycle_Opportunity_4</v>
      </c>
      <c r="AK1625">
        <v>4</v>
      </c>
      <c r="AL1625">
        <f>VLOOKUP($U1625,[2]Standard_Opportunity!$Q$1:$T$542,2,FALSE)</f>
        <v>0.23550049322618874</v>
      </c>
      <c r="AM1625">
        <f>VLOOKUP($U1625,[2]Standard_Opportunity!$Q$1:$T$542,3,FALSE)</f>
        <v>0.76449950677381129</v>
      </c>
      <c r="AN1625">
        <f>VLOOKUP($U1625,[2]Standard_Opportunity!$Q$1:$T$542,4,FALSE)</f>
        <v>0</v>
      </c>
      <c r="AO1625" s="77">
        <f t="shared" si="5036"/>
        <v>1</v>
      </c>
      <c r="AP1625" s="77">
        <f t="shared" si="5046"/>
        <v>5.4476269047577651E-2</v>
      </c>
      <c r="AQ1625" s="77">
        <f t="shared" si="5037"/>
        <v>4.430135516213074E-3</v>
      </c>
      <c r="AR1625" s="79">
        <v>0</v>
      </c>
      <c r="AS1625" s="77">
        <f t="shared" si="5047"/>
        <v>0</v>
      </c>
      <c r="AT1625" s="77">
        <f t="shared" si="5048"/>
        <v>0</v>
      </c>
      <c r="AU1625" s="77">
        <f t="shared" si="5049"/>
        <v>2.5000000000000001E-3</v>
      </c>
      <c r="AV1625" s="77">
        <f t="shared" si="5050"/>
        <v>2.0809499864316017E-4</v>
      </c>
    </row>
    <row r="1626" spans="1:48">
      <c r="A1626" t="s">
        <v>175</v>
      </c>
      <c r="B1626" t="s">
        <v>180</v>
      </c>
      <c r="C1626" s="197" t="str">
        <f t="shared" si="5071"/>
        <v>Lifecycle_Opportunity_3</v>
      </c>
      <c r="D1626">
        <v>3</v>
      </c>
      <c r="E1626">
        <f>VLOOKUP($D1626,'[2]LC Opportunity'!$Q$2:$U$542,2,FALSE)</f>
        <v>0.12025</v>
      </c>
      <c r="F1626">
        <f>VLOOKUP($D1626,'[2]LC Opportunity'!$Q$2:$U$542,3,FALSE)</f>
        <v>0.373</v>
      </c>
      <c r="G1626">
        <f>VLOOKUP($D1626,'[2]LC Opportunity'!$Q$2:$U$542,4,FALSE)</f>
        <v>0.50675000000000003</v>
      </c>
      <c r="H1626">
        <f>VLOOKUP($D1626,'[2]LC Opportunity'!$Q$2:$U$542,5,FALSE)</f>
        <v>0</v>
      </c>
      <c r="I1626" s="77">
        <f t="shared" si="5031"/>
        <v>1</v>
      </c>
      <c r="J1626" s="77">
        <f t="shared" si="5032"/>
        <v>5.5362368750000002E-2</v>
      </c>
      <c r="K1626" s="77">
        <f t="shared" si="5076"/>
        <v>4.5004455098338614E-3</v>
      </c>
      <c r="L1626" s="76">
        <v>0</v>
      </c>
      <c r="M1626" s="77">
        <f t="shared" si="5038"/>
        <v>0</v>
      </c>
      <c r="N1626" s="77">
        <f t="shared" si="5039"/>
        <v>0</v>
      </c>
      <c r="O1626" s="77">
        <f t="shared" si="5040"/>
        <v>6.1379E-3</v>
      </c>
      <c r="P1626" s="77">
        <f t="shared" si="5041"/>
        <v>5.1293626520465541E-4</v>
      </c>
      <c r="R1626" t="s">
        <v>177</v>
      </c>
      <c r="S1626" t="s">
        <v>180</v>
      </c>
      <c r="T1626" s="197" t="str">
        <f t="shared" si="5072"/>
        <v>Autopilot_Opportunity_3</v>
      </c>
      <c r="U1626">
        <v>3</v>
      </c>
      <c r="V1626">
        <f>VLOOKUP($U1626,'[2]AP Opportunity'!$Q$1:$T$542,2,FALSE)</f>
        <v>0.26205703523412166</v>
      </c>
      <c r="W1626">
        <f>VLOOKUP($U1626,'[2]AP Opportunity'!$Q$1:$T$542,3,FALSE)</f>
        <v>0.7379429647658784</v>
      </c>
      <c r="X1626">
        <f>VLOOKUP($U1626,'[2]AP Opportunity'!$Q$1:$T$542,4,FALSE)</f>
        <v>0</v>
      </c>
      <c r="Y1626" s="77">
        <f t="shared" si="5073"/>
        <v>1</v>
      </c>
      <c r="Z1626" s="77">
        <f t="shared" si="5077"/>
        <v>5.4828807142732958E-2</v>
      </c>
      <c r="AA1626" s="77">
        <f t="shared" si="5078"/>
        <v>4.4581150963045602E-3</v>
      </c>
      <c r="AB1626" s="79">
        <v>1</v>
      </c>
      <c r="AC1626" s="77">
        <f t="shared" si="5042"/>
        <v>7.0241140704682438E-3</v>
      </c>
      <c r="AD1626" s="77">
        <f t="shared" ref="AD1626" si="5103">1-(1-AC1626)^(1/12)</f>
        <v>5.8723578376107533E-4</v>
      </c>
      <c r="AE1626" s="77">
        <f t="shared" si="5044"/>
        <v>2.5000000000000001E-3</v>
      </c>
      <c r="AF1626" s="77">
        <f t="shared" ref="AF1626" si="5104">1-(1-AE1626)^(1/12)</f>
        <v>2.0857243058891584E-4</v>
      </c>
      <c r="AH1626" t="s">
        <v>175</v>
      </c>
      <c r="AI1626" t="s">
        <v>180</v>
      </c>
      <c r="AJ1626" s="197" t="str">
        <f t="shared" si="5035"/>
        <v>Lifecycle_Opportunity_3</v>
      </c>
      <c r="AK1626">
        <v>3</v>
      </c>
      <c r="AL1626">
        <f>VLOOKUP($U1626,[2]Standard_Opportunity!$Q$1:$T$542,2,FALSE)</f>
        <v>0.23218092547519714</v>
      </c>
      <c r="AM1626">
        <f>VLOOKUP($U1626,[2]Standard_Opportunity!$Q$1:$T$542,3,FALSE)</f>
        <v>0.7678190745248028</v>
      </c>
      <c r="AN1626">
        <f>VLOOKUP($U1626,[2]Standard_Opportunity!$Q$1:$T$542,4,FALSE)</f>
        <v>0</v>
      </c>
      <c r="AO1626" s="77">
        <f t="shared" si="5036"/>
        <v>1</v>
      </c>
      <c r="AP1626" s="77">
        <f t="shared" si="5046"/>
        <v>5.4432201785683226E-2</v>
      </c>
      <c r="AQ1626" s="77">
        <f t="shared" si="5037"/>
        <v>4.4266374658092911E-3</v>
      </c>
      <c r="AR1626" s="79">
        <v>0</v>
      </c>
      <c r="AS1626" s="77">
        <f t="shared" si="5047"/>
        <v>0</v>
      </c>
      <c r="AT1626" s="77">
        <f t="shared" si="5048"/>
        <v>0</v>
      </c>
      <c r="AU1626" s="77">
        <f t="shared" si="5049"/>
        <v>2.4999999999999996E-3</v>
      </c>
      <c r="AV1626" s="77">
        <f t="shared" si="5050"/>
        <v>2.0809499864316017E-4</v>
      </c>
    </row>
    <row r="1627" spans="1:48">
      <c r="A1627" t="s">
        <v>175</v>
      </c>
      <c r="B1627" t="s">
        <v>180</v>
      </c>
      <c r="C1627" s="197" t="str">
        <f t="shared" si="5071"/>
        <v>Lifecycle_Opportunity_2</v>
      </c>
      <c r="D1627">
        <v>2</v>
      </c>
      <c r="E1627">
        <f>VLOOKUP($D1627,'[2]LC Opportunity'!$Q$2:$U$542,2,FALSE)</f>
        <v>0.12283333333333334</v>
      </c>
      <c r="F1627">
        <f>VLOOKUP($D1627,'[2]LC Opportunity'!$Q$2:$U$542,3,FALSE)</f>
        <v>0.37233333333333335</v>
      </c>
      <c r="G1627">
        <f>VLOOKUP($D1627,'[2]LC Opportunity'!$Q$2:$U$542,4,FALSE)</f>
        <v>0.50483333333333336</v>
      </c>
      <c r="H1627">
        <f>VLOOKUP($D1627,'[2]LC Opportunity'!$Q$2:$U$542,5,FALSE)</f>
        <v>0</v>
      </c>
      <c r="I1627" s="77">
        <f t="shared" si="5031"/>
        <v>1</v>
      </c>
      <c r="J1627" s="77">
        <f t="shared" si="5032"/>
        <v>5.5317012499999998E-2</v>
      </c>
      <c r="K1627" s="77">
        <f t="shared" si="5076"/>
        <v>4.4968479089730895E-3</v>
      </c>
      <c r="L1627" s="76">
        <v>0</v>
      </c>
      <c r="M1627" s="77">
        <f t="shared" si="5038"/>
        <v>0</v>
      </c>
      <c r="N1627" s="77">
        <f t="shared" si="5039"/>
        <v>0</v>
      </c>
      <c r="O1627" s="77">
        <f t="shared" si="5040"/>
        <v>6.1263666666666675E-3</v>
      </c>
      <c r="P1627" s="77">
        <f t="shared" si="5041"/>
        <v>5.1196971963141102E-4</v>
      </c>
      <c r="R1627" t="s">
        <v>177</v>
      </c>
      <c r="S1627" t="s">
        <v>180</v>
      </c>
      <c r="T1627" s="197" t="str">
        <f t="shared" si="5072"/>
        <v>Autopilot_Opportunity_2</v>
      </c>
      <c r="U1627">
        <v>2</v>
      </c>
      <c r="V1627">
        <f>VLOOKUP($U1627,'[2]AP Opportunity'!$Q$1:$T$542,2,FALSE)</f>
        <v>0.26205703523412166</v>
      </c>
      <c r="W1627">
        <f>VLOOKUP($U1627,'[2]AP Opportunity'!$Q$1:$T$542,3,FALSE)</f>
        <v>0.7379429647658784</v>
      </c>
      <c r="X1627">
        <f>VLOOKUP($U1627,'[2]AP Opportunity'!$Q$1:$T$542,4,FALSE)</f>
        <v>0</v>
      </c>
      <c r="Y1627" s="77">
        <f t="shared" si="5073"/>
        <v>1</v>
      </c>
      <c r="Z1627" s="77">
        <f t="shared" si="5077"/>
        <v>5.4828807142732958E-2</v>
      </c>
      <c r="AA1627" s="77">
        <f t="shared" si="5078"/>
        <v>4.4581150963045602E-3</v>
      </c>
      <c r="AB1627" s="79">
        <v>1</v>
      </c>
      <c r="AC1627" s="77">
        <f t="shared" si="5042"/>
        <v>7.0241140704682438E-3</v>
      </c>
      <c r="AD1627" s="77">
        <f t="shared" ref="AD1627" si="5105">1-(1-AC1627)^(1/12)</f>
        <v>5.8723578376107533E-4</v>
      </c>
      <c r="AE1627" s="77">
        <f t="shared" si="5044"/>
        <v>2.5000000000000001E-3</v>
      </c>
      <c r="AF1627" s="77">
        <f t="shared" ref="AF1627" si="5106">1-(1-AE1627)^(1/12)</f>
        <v>2.0857243058891584E-4</v>
      </c>
      <c r="AH1627" t="s">
        <v>175</v>
      </c>
      <c r="AI1627" t="s">
        <v>180</v>
      </c>
      <c r="AJ1627" s="197" t="str">
        <f t="shared" si="5035"/>
        <v>Lifecycle_Opportunity_2</v>
      </c>
      <c r="AK1627">
        <v>2</v>
      </c>
      <c r="AL1627">
        <f>VLOOKUP($U1627,[2]Standard_Opportunity!$Q$1:$T$542,2,FALSE)</f>
        <v>0.22886135772420552</v>
      </c>
      <c r="AM1627">
        <f>VLOOKUP($U1627,[2]Standard_Opportunity!$Q$1:$T$542,3,FALSE)</f>
        <v>0.77113864227579443</v>
      </c>
      <c r="AN1627">
        <f>VLOOKUP($U1627,[2]Standard_Opportunity!$Q$1:$T$542,4,FALSE)</f>
        <v>0</v>
      </c>
      <c r="AO1627" s="77">
        <f t="shared" si="5036"/>
        <v>1</v>
      </c>
      <c r="AP1627" s="77">
        <f t="shared" si="5046"/>
        <v>5.4388134523788816E-2</v>
      </c>
      <c r="AQ1627" s="77">
        <f t="shared" si="5037"/>
        <v>4.4231392813935955E-3</v>
      </c>
      <c r="AR1627" s="79">
        <v>0</v>
      </c>
      <c r="AS1627" s="77">
        <f t="shared" si="5047"/>
        <v>0</v>
      </c>
      <c r="AT1627" s="77">
        <f t="shared" si="5048"/>
        <v>0</v>
      </c>
      <c r="AU1627" s="77">
        <f t="shared" si="5049"/>
        <v>2.5000000000000001E-3</v>
      </c>
      <c r="AV1627" s="77">
        <f t="shared" si="5050"/>
        <v>2.0809499864316017E-4</v>
      </c>
    </row>
    <row r="1628" spans="1:48">
      <c r="A1628" t="s">
        <v>175</v>
      </c>
      <c r="B1628" t="s">
        <v>180</v>
      </c>
      <c r="C1628" s="197" t="str">
        <f t="shared" si="5071"/>
        <v>Lifecycle_Opportunity_1</v>
      </c>
      <c r="D1628">
        <v>1</v>
      </c>
      <c r="E1628">
        <f>VLOOKUP($D1628,'[2]LC Opportunity'!$Q$2:$U$542,2,FALSE)</f>
        <v>0.12541666666666668</v>
      </c>
      <c r="F1628">
        <f>VLOOKUP($D1628,'[2]LC Opportunity'!$Q$2:$U$542,3,FALSE)</f>
        <v>0.37166666666666665</v>
      </c>
      <c r="G1628">
        <f>VLOOKUP($D1628,'[2]LC Opportunity'!$Q$2:$U$542,4,FALSE)</f>
        <v>0.50291666666666668</v>
      </c>
      <c r="H1628">
        <f>VLOOKUP($D1628,'[2]LC Opportunity'!$Q$2:$U$542,5,FALSE)</f>
        <v>0</v>
      </c>
      <c r="I1628" s="77">
        <f t="shared" si="5031"/>
        <v>1</v>
      </c>
      <c r="J1628" s="77">
        <f t="shared" si="5032"/>
        <v>5.5271656249999995E-2</v>
      </c>
      <c r="K1628" s="77">
        <f t="shared" si="5076"/>
        <v>4.4932501663741409E-3</v>
      </c>
      <c r="L1628" s="76">
        <v>0</v>
      </c>
      <c r="M1628" s="77">
        <f t="shared" si="5038"/>
        <v>0</v>
      </c>
      <c r="N1628" s="77">
        <f t="shared" si="5039"/>
        <v>0</v>
      </c>
      <c r="O1628" s="77">
        <f t="shared" si="5040"/>
        <v>6.1148333333333332E-3</v>
      </c>
      <c r="P1628" s="77">
        <f t="shared" si="5041"/>
        <v>5.1100318433972003E-4</v>
      </c>
      <c r="R1628" t="s">
        <v>177</v>
      </c>
      <c r="S1628" t="s">
        <v>180</v>
      </c>
      <c r="T1628" s="197" t="str">
        <f t="shared" si="5072"/>
        <v>Autopilot_Opportunity_1</v>
      </c>
      <c r="U1628">
        <v>1</v>
      </c>
      <c r="V1628">
        <f>VLOOKUP($U1628,'[2]AP Opportunity'!$Q$1:$T$542,2,FALSE)</f>
        <v>0.26205703523412166</v>
      </c>
      <c r="W1628">
        <f>VLOOKUP($U1628,'[2]AP Opportunity'!$Q$1:$T$542,3,FALSE)</f>
        <v>0.7379429647658784</v>
      </c>
      <c r="X1628">
        <f>VLOOKUP($U1628,'[2]AP Opportunity'!$Q$1:$T$542,4,FALSE)</f>
        <v>0</v>
      </c>
      <c r="Y1628" s="77">
        <f t="shared" si="5073"/>
        <v>1</v>
      </c>
      <c r="Z1628" s="77">
        <f t="shared" si="5077"/>
        <v>5.4828807142732958E-2</v>
      </c>
      <c r="AA1628" s="77">
        <f t="shared" si="5078"/>
        <v>4.4581150963045602E-3</v>
      </c>
      <c r="AB1628" s="79">
        <v>1</v>
      </c>
      <c r="AC1628" s="77">
        <f t="shared" si="5042"/>
        <v>7.0241140704682438E-3</v>
      </c>
      <c r="AD1628" s="77">
        <f t="shared" ref="AD1628" si="5107">1-(1-AC1628)^(1/12)</f>
        <v>5.8723578376107533E-4</v>
      </c>
      <c r="AE1628" s="77">
        <f t="shared" si="5044"/>
        <v>2.5000000000000001E-3</v>
      </c>
      <c r="AF1628" s="77">
        <f t="shared" ref="AF1628" si="5108">1-(1-AE1628)^(1/12)</f>
        <v>2.0857243058891584E-4</v>
      </c>
      <c r="AH1628" t="s">
        <v>175</v>
      </c>
      <c r="AI1628" t="s">
        <v>180</v>
      </c>
      <c r="AJ1628" s="197" t="str">
        <f t="shared" si="5035"/>
        <v>Lifecycle_Opportunity_1</v>
      </c>
      <c r="AK1628">
        <v>1</v>
      </c>
      <c r="AL1628">
        <f>VLOOKUP($U1628,[2]Standard_Opportunity!$Q$1:$T$542,2,FALSE)</f>
        <v>0.22554178997321392</v>
      </c>
      <c r="AM1628">
        <f>VLOOKUP($U1628,[2]Standard_Opportunity!$Q$1:$T$542,3,FALSE)</f>
        <v>0.77445821002678605</v>
      </c>
      <c r="AN1628">
        <f>VLOOKUP($U1628,[2]Standard_Opportunity!$Q$1:$T$542,4,FALSE)</f>
        <v>0</v>
      </c>
      <c r="AO1628" s="77">
        <f t="shared" si="5036"/>
        <v>1</v>
      </c>
      <c r="AP1628" s="77">
        <f t="shared" si="5046"/>
        <v>5.4344067261894405E-2</v>
      </c>
      <c r="AQ1628" s="77">
        <f t="shared" si="5037"/>
        <v>4.419640962955329E-3</v>
      </c>
      <c r="AR1628" s="79">
        <v>0</v>
      </c>
      <c r="AS1628" s="77">
        <f t="shared" si="5047"/>
        <v>0</v>
      </c>
      <c r="AT1628" s="77">
        <f t="shared" si="5048"/>
        <v>0</v>
      </c>
      <c r="AU1628" s="77">
        <f t="shared" si="5049"/>
        <v>2.5000000000000001E-3</v>
      </c>
      <c r="AV1628" s="77">
        <f t="shared" si="5050"/>
        <v>2.0809499864316017E-4</v>
      </c>
    </row>
    <row r="1629" spans="1:48">
      <c r="A1629" t="s">
        <v>175</v>
      </c>
      <c r="B1629" t="s">
        <v>180</v>
      </c>
      <c r="C1629" s="197" t="str">
        <f t="shared" ref="C1629" si="5109">A1629&amp;"_"&amp;B1629&amp;"_"&amp;D1629</f>
        <v>Lifecycle_Opportunity_0</v>
      </c>
      <c r="D1629">
        <v>0</v>
      </c>
      <c r="E1629">
        <f>VLOOKUP($D1629,'[2]LC Opportunity'!$Q$2:$U$542,2,FALSE)</f>
        <v>0.128</v>
      </c>
      <c r="F1629">
        <f>VLOOKUP($D1629,'[2]LC Opportunity'!$Q$2:$U$542,3,FALSE)</f>
        <v>0.371</v>
      </c>
      <c r="G1629">
        <f>VLOOKUP($D1629,'[2]LC Opportunity'!$Q$2:$U$542,4,FALSE)</f>
        <v>0.501</v>
      </c>
      <c r="H1629">
        <f>VLOOKUP($D1629,'[2]LC Opportunity'!$Q$2:$U$542,5,FALSE)</f>
        <v>0</v>
      </c>
      <c r="I1629" s="77">
        <f t="shared" si="5031"/>
        <v>1</v>
      </c>
      <c r="J1629" s="77">
        <f t="shared" si="5032"/>
        <v>5.5226299999999992E-2</v>
      </c>
      <c r="K1629" s="77">
        <f t="shared" ref="K1629" si="5110">(1+J1629)^(1/12)-1</f>
        <v>4.4896522820252471E-3</v>
      </c>
      <c r="L1629" s="76">
        <v>0</v>
      </c>
      <c r="M1629" s="77">
        <f t="shared" si="5038"/>
        <v>0</v>
      </c>
      <c r="N1629" s="77">
        <f t="shared" si="5039"/>
        <v>0</v>
      </c>
      <c r="O1629" s="77">
        <f t="shared" si="5040"/>
        <v>6.1033000000000007E-3</v>
      </c>
      <c r="P1629" s="77">
        <f t="shared" si="5041"/>
        <v>5.1003665932924935E-4</v>
      </c>
      <c r="R1629" t="s">
        <v>177</v>
      </c>
      <c r="S1629" t="s">
        <v>180</v>
      </c>
      <c r="T1629" s="197" t="str">
        <f t="shared" ref="T1629" si="5111">R1629&amp;"_"&amp;S1629&amp;"_"&amp;U1629</f>
        <v>Autopilot_Opportunity_0</v>
      </c>
      <c r="U1629">
        <v>0</v>
      </c>
      <c r="V1629">
        <f>VLOOKUP($U1629,'[2]AP Opportunity'!$Q$1:$T$542,2,FALSE)</f>
        <v>0.22222222222222229</v>
      </c>
      <c r="W1629">
        <f>VLOOKUP($U1629,'[2]AP Opportunity'!$Q$1:$T$542,3,FALSE)</f>
        <v>0.77777777777777768</v>
      </c>
      <c r="X1629">
        <f>VLOOKUP($U1629,'[2]AP Opportunity'!$Q$1:$T$542,4,FALSE)</f>
        <v>0</v>
      </c>
      <c r="Y1629" s="77">
        <f t="shared" ref="Y1629" si="5112">SUM(V1629:X1629)</f>
        <v>1</v>
      </c>
      <c r="Z1629" s="77">
        <f t="shared" ref="Z1629" si="5113">SUMPRODUCT($V$1:$X$1,V1629:X1629)</f>
        <v>5.4299999999999987E-2</v>
      </c>
      <c r="AA1629" s="77">
        <f t="shared" ref="AA1629" si="5114">(1+Z1629)^(1/12)-1</f>
        <v>4.4161425104838337E-3</v>
      </c>
      <c r="AB1629" s="79">
        <v>1</v>
      </c>
      <c r="AC1629" s="77">
        <f t="shared" si="5042"/>
        <v>6.9444444444444441E-3</v>
      </c>
      <c r="AD1629" s="77">
        <f t="shared" ref="AD1629" si="5115">1-(1-AC1629)^(1/12)</f>
        <v>5.805538563654622E-4</v>
      </c>
      <c r="AE1629" s="77">
        <f t="shared" si="5044"/>
        <v>2.5000000000000001E-3</v>
      </c>
      <c r="AF1629" s="77">
        <f t="shared" ref="AF1629" si="5116">1-(1-AE1629)^(1/12)</f>
        <v>2.0857243058891584E-4</v>
      </c>
      <c r="AH1629" t="s">
        <v>175</v>
      </c>
      <c r="AI1629" t="s">
        <v>180</v>
      </c>
      <c r="AJ1629" s="197" t="str">
        <f t="shared" si="5035"/>
        <v>Lifecycle_Opportunity_0</v>
      </c>
      <c r="AK1629">
        <v>0</v>
      </c>
      <c r="AL1629">
        <f>VLOOKUP($U1629,[2]Standard_Opportunity!$Q$1:$T$542,2,FALSE)</f>
        <v>0.22222222222222229</v>
      </c>
      <c r="AM1629">
        <f>VLOOKUP($U1629,[2]Standard_Opportunity!$Q$1:$T$542,3,FALSE)</f>
        <v>0.77777777777777768</v>
      </c>
      <c r="AN1629">
        <f>VLOOKUP($U1629,[2]Standard_Opportunity!$Q$1:$T$542,4,FALSE)</f>
        <v>0</v>
      </c>
      <c r="AO1629" s="77">
        <f t="shared" si="5036"/>
        <v>1</v>
      </c>
      <c r="AP1629" s="77">
        <f t="shared" si="5046"/>
        <v>5.4299999999999987E-2</v>
      </c>
      <c r="AQ1629" s="77">
        <f t="shared" si="5037"/>
        <v>4.4161425104838337E-3</v>
      </c>
      <c r="AR1629" s="79">
        <v>0</v>
      </c>
      <c r="AS1629" s="77">
        <f t="shared" si="5047"/>
        <v>0</v>
      </c>
      <c r="AT1629" s="77">
        <f t="shared" si="5048"/>
        <v>0</v>
      </c>
      <c r="AU1629" s="77">
        <f t="shared" si="5049"/>
        <v>2.5000000000000001E-3</v>
      </c>
      <c r="AV1629" s="77">
        <f t="shared" si="5050"/>
        <v>2.0809499864316017E-4</v>
      </c>
    </row>
  </sheetData>
  <mergeCells count="2">
    <mergeCell ref="AH3:AI3"/>
    <mergeCell ref="A3:B3"/>
  </mergeCells>
  <conditionalFormatting sqref="I5:I545">
    <cfRule type="cellIs" dxfId="13" priority="31" operator="notEqual">
      <formula>1</formula>
    </cfRule>
  </conditionalFormatting>
  <conditionalFormatting sqref="I547:I1087">
    <cfRule type="cellIs" dxfId="12" priority="15" operator="notEqual">
      <formula>1</formula>
    </cfRule>
  </conditionalFormatting>
  <conditionalFormatting sqref="I1089:I1629">
    <cfRule type="cellIs" dxfId="11" priority="13" operator="notEqual">
      <formula>1</formula>
    </cfRule>
  </conditionalFormatting>
  <conditionalFormatting sqref="Y5:Y545">
    <cfRule type="cellIs" dxfId="10" priority="25" operator="notEqual">
      <formula>1</formula>
    </cfRule>
  </conditionalFormatting>
  <conditionalFormatting sqref="Y547:Y1087">
    <cfRule type="cellIs" dxfId="9" priority="11" operator="notEqual">
      <formula>1</formula>
    </cfRule>
  </conditionalFormatting>
  <conditionalFormatting sqref="Y1089:Y1629">
    <cfRule type="cellIs" dxfId="8" priority="9" operator="notEqual">
      <formula>1</formula>
    </cfRule>
  </conditionalFormatting>
  <conditionalFormatting sqref="AO5:AO545">
    <cfRule type="cellIs" dxfId="7" priority="5" operator="notEqual">
      <formula>1</formula>
    </cfRule>
  </conditionalFormatting>
  <conditionalFormatting sqref="AO547:AO1087">
    <cfRule type="cellIs" dxfId="6" priority="3" operator="notEqual">
      <formula>1</formula>
    </cfRule>
  </conditionalFormatting>
  <conditionalFormatting sqref="AO1089:AO1629">
    <cfRule type="cellIs" dxfId="5" priority="1" operator="notEqual">
      <formula>1</formula>
    </cfRule>
  </conditionalFormatting>
  <conditionalFormatting sqref="BI5:BI545">
    <cfRule type="cellIs" dxfId="4" priority="17" operator="notEqual">
      <formula>1</formula>
    </cfRule>
  </conditionalFormatting>
  <conditionalFormatting sqref="BI547:BI1087">
    <cfRule type="cellIs" dxfId="3" priority="7" operator="notEqual">
      <formula>1</formula>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2D4F-126E-41F6-9DA2-F9F8408A01CA}">
  <sheetPr codeName="Sheet4"/>
  <dimension ref="A1:BQ1622"/>
  <sheetViews>
    <sheetView tabSelected="1" topLeftCell="A11" zoomScale="70" zoomScaleNormal="70" workbookViewId="0">
      <selection activeCell="E61" sqref="E61"/>
    </sheetView>
  </sheetViews>
  <sheetFormatPr defaultColWidth="21.140625" defaultRowHeight="13.5"/>
  <cols>
    <col min="1" max="2" width="21.140625" style="1"/>
    <col min="3" max="3" width="33" style="1" customWidth="1"/>
    <col min="4" max="4" width="21.140625" style="1"/>
    <col min="5" max="5" width="29.140625" style="1" customWidth="1"/>
    <col min="6" max="6" width="22.85546875" style="1" customWidth="1"/>
    <col min="7" max="8" width="21.140625" style="1"/>
    <col min="9" max="9" width="14.7109375" style="1" customWidth="1"/>
    <col min="10" max="10" width="16.28515625" style="1" customWidth="1"/>
    <col min="11" max="14" width="21.140625" style="1"/>
    <col min="15" max="17" width="21.140625" style="1" customWidth="1"/>
    <col min="18" max="18" width="16.85546875" style="1" bestFit="1" customWidth="1"/>
    <col min="19" max="19" width="18" style="1" customWidth="1"/>
    <col min="20" max="20" width="16.5703125" style="1" customWidth="1"/>
    <col min="21" max="21" width="14.85546875" style="1" customWidth="1"/>
    <col min="22" max="22" width="10.85546875" style="1" customWidth="1"/>
    <col min="23" max="23" width="16.42578125" style="1" bestFit="1" customWidth="1"/>
    <col min="24" max="24" width="11.5703125" style="1" bestFit="1" customWidth="1"/>
    <col min="25" max="26" width="10.85546875" style="1" customWidth="1"/>
    <col min="27" max="27" width="11.5703125" style="1" bestFit="1" customWidth="1"/>
    <col min="28" max="28" width="14.28515625" style="1" bestFit="1" customWidth="1"/>
    <col min="29" max="29" width="20.5703125" style="1" bestFit="1" customWidth="1"/>
    <col min="30" max="30" width="10.7109375" style="1" customWidth="1"/>
    <col min="31" max="31" width="3.140625" style="1" customWidth="1"/>
    <col min="32" max="32" width="11.5703125" style="1" bestFit="1" customWidth="1"/>
    <col min="33" max="33" width="11.7109375" style="1" bestFit="1" customWidth="1"/>
    <col min="34" max="34" width="11" style="1" bestFit="1" customWidth="1"/>
    <col min="35" max="35" width="6.42578125" style="1" bestFit="1" customWidth="1"/>
    <col min="36" max="47" width="3.140625" style="1" bestFit="1" customWidth="1"/>
    <col min="48" max="48" width="12.42578125" style="1" bestFit="1" customWidth="1"/>
    <col min="49" max="49" width="15.85546875" style="1" bestFit="1" customWidth="1"/>
    <col min="50" max="51" width="21.140625" style="1"/>
    <col min="52" max="52" width="24.42578125" style="1" bestFit="1" customWidth="1"/>
    <col min="53" max="16384" width="21.140625" style="1"/>
  </cols>
  <sheetData>
    <row r="1" spans="1:21">
      <c r="F1" s="291" t="str">
        <f>IF(OR(AND(SUM(F4:R4)&gt;0,S4&lt;&gt;1),AND(SUM(F9:R9)&gt;0,S9&lt;&gt;1),AND(SUM(F13:R13)&gt;0,S13&lt;&gt;1)),"Total Fund Percents not equal to 100% For DIY Investment Strategy","")</f>
        <v/>
      </c>
      <c r="G1" s="292"/>
      <c r="H1" s="292"/>
      <c r="I1" s="292"/>
      <c r="J1" s="292"/>
      <c r="K1" s="292"/>
      <c r="L1" s="292"/>
      <c r="M1" s="292"/>
      <c r="N1" s="292"/>
      <c r="O1" s="293"/>
    </row>
    <row r="2" spans="1:21" ht="14.25" thickBot="1">
      <c r="F2" s="294"/>
      <c r="G2" s="295"/>
      <c r="H2" s="295"/>
      <c r="I2" s="295"/>
      <c r="J2" s="295"/>
      <c r="K2" s="295"/>
      <c r="L2" s="295"/>
      <c r="M2" s="295"/>
      <c r="N2" s="295"/>
      <c r="O2" s="296"/>
    </row>
    <row r="3" spans="1:21" ht="24" customHeight="1" thickBot="1">
      <c r="A3" s="2" t="s">
        <v>181</v>
      </c>
      <c r="B3" s="2" t="s">
        <v>182</v>
      </c>
      <c r="C3" s="11" t="s">
        <v>122</v>
      </c>
      <c r="E3" s="92" t="s">
        <v>183</v>
      </c>
      <c r="F3" s="93" t="str">
        <f>IF(Investment_Strategy="DIY",Parameters!$C$48,"")</f>
        <v>Allianz Strategy Select 30</v>
      </c>
      <c r="G3" s="93" t="str">
        <f>IF(Investment_Strategy="DIY",Parameters!$C$49,"")</f>
        <v>Allianz Strategy Select 50</v>
      </c>
      <c r="H3" s="93" t="str">
        <f>IF(Investment_Strategy="DIY",Parameters!$C$50,"")</f>
        <v>Allianz Strategy Select 75</v>
      </c>
      <c r="I3" s="93" t="str">
        <f>IF(AND(Investment_Strategy="DIY",Investment_Strategy_Sub1 &lt;&gt;"Standard"),Parameters!$C$51,"")</f>
        <v>Allianz Best Styles Global Equity SRI</v>
      </c>
      <c r="J3" s="93" t="str">
        <f>IF(Investment_Strategy="DIY",Parameters!$C$52,"")</f>
        <v>Allianz Advanced Fixed Income Short Duration</v>
      </c>
      <c r="K3" s="93" t="str">
        <f>IF(AND(Investment_Strategy="DIY",Investment_Strategy_Sub1 &lt;&gt;"Standard"),Parameters!$C$53,"")</f>
        <v>Allianz Advanced Fixed Income Euro</v>
      </c>
      <c r="L3" s="93" t="str">
        <f>IF(AND(Investment_Strategy="DIY",Investment_Strategy_Sub1 &lt;&gt;"Standard"),Parameters!$C$54,"")</f>
        <v>Allianz Dynamic Multi Asset Strategy SRI 75</v>
      </c>
      <c r="M3" s="93" t="str">
        <f>IF(AND(Investment_Strategy="DIY",Investment_Strategy_Sub1 &lt;&gt;"Standard"),Parameters!$C$55,"")</f>
        <v>Allianz Dynamic Multi Asset Strategy SRI 50</v>
      </c>
      <c r="N3" s="93" t="str">
        <f>IF(AND(Investment_Strategy="DIY",Investment_Strategy_Sub1 &lt;&gt;"Standard"),Parameters!$C$56,"")</f>
        <v>Allianz Dynamic Multi Asset Strategy SRI 15</v>
      </c>
      <c r="O3" s="93" t="str">
        <f>IF(AND(Investment_Strategy="DIY"),Parameters!$C$57,"")</f>
        <v>HSBC EURO STOXX 50 UCITS ETF</v>
      </c>
      <c r="P3" s="93" t="str">
        <f>IF(AND(Investment_Strategy="DIY"),Parameters!$C$58,"")</f>
        <v>HSBC MSCI World UCITS ETF</v>
      </c>
      <c r="Q3" s="93" t="str">
        <f>IF(AND(Investment_Strategy="DIY"),Parameters!$C$59,"")</f>
        <v>HSBC S&amp;P 500 UCITS ETF</v>
      </c>
      <c r="R3" s="93" t="str">
        <f>IF(Investment_Strategy="DIY",Parameters!$C$60,"")</f>
        <v>Allianz Euro Cash</v>
      </c>
      <c r="S3" s="255" t="s">
        <v>184</v>
      </c>
      <c r="T3" s="256" t="s">
        <v>185</v>
      </c>
    </row>
    <row r="4" spans="1:21" ht="15">
      <c r="B4" s="2" t="s">
        <v>60</v>
      </c>
      <c r="C4" s="11" t="s">
        <v>79</v>
      </c>
      <c r="E4" s="100" t="s">
        <v>186</v>
      </c>
      <c r="F4" s="94">
        <v>1</v>
      </c>
      <c r="G4" s="94"/>
      <c r="H4" s="94"/>
      <c r="I4" s="94"/>
      <c r="J4" s="94"/>
      <c r="K4" s="94"/>
      <c r="L4" s="94"/>
      <c r="M4" s="94"/>
      <c r="N4" s="94"/>
      <c r="O4" s="94"/>
      <c r="P4" s="94"/>
      <c r="Q4" s="94"/>
      <c r="R4" s="96"/>
      <c r="S4" s="39">
        <f>SUM(F4:R4)</f>
        <v>1</v>
      </c>
      <c r="T4" s="82"/>
      <c r="U4" s="1" t="str">
        <f>IF(OR(AND(SUM(F4:R4)&gt;0,S4&lt;&gt;1),AND(SUM(F9:R9)&gt;0,S9&lt;&gt;1),AND(SUM(F13:R13)&gt;0,S13&lt;&gt;1)),"Check","")</f>
        <v/>
      </c>
    </row>
    <row r="5" spans="1:21">
      <c r="A5" s="2"/>
      <c r="B5" s="2" t="s">
        <v>61</v>
      </c>
      <c r="C5" s="11" t="s">
        <v>73</v>
      </c>
      <c r="E5" s="100" t="s">
        <v>187</v>
      </c>
      <c r="F5" s="304">
        <f t="shared" ref="F5:R5" si="0">IF(F$3="","",VLOOKUP(F$3,Rates_of_Return,2,FALSE))</f>
        <v>5.1349999999999993E-2</v>
      </c>
      <c r="G5" s="85">
        <f t="shared" si="0"/>
        <v>5.7249999999999995E-2</v>
      </c>
      <c r="H5" s="85">
        <f t="shared" si="0"/>
        <v>6.4624999999999988E-2</v>
      </c>
      <c r="I5" s="85">
        <f t="shared" si="0"/>
        <v>7.1999999999999995E-2</v>
      </c>
      <c r="J5" s="85">
        <f t="shared" si="0"/>
        <v>4.2500000000000003E-2</v>
      </c>
      <c r="K5" s="85">
        <f t="shared" si="0"/>
        <v>4.2500000000000003E-2</v>
      </c>
      <c r="L5" s="85">
        <f t="shared" si="0"/>
        <v>6.4624999999999988E-2</v>
      </c>
      <c r="M5" s="85">
        <f t="shared" si="0"/>
        <v>5.7249999999999995E-2</v>
      </c>
      <c r="N5" s="85">
        <f t="shared" si="0"/>
        <v>4.6925000000000001E-2</v>
      </c>
      <c r="O5" s="85">
        <f t="shared" si="0"/>
        <v>7.1999999999999995E-2</v>
      </c>
      <c r="P5" s="85">
        <f t="shared" si="0"/>
        <v>7.1999999999999995E-2</v>
      </c>
      <c r="Q5" s="85">
        <f t="shared" si="0"/>
        <v>7.1999999999999995E-2</v>
      </c>
      <c r="R5" s="86">
        <f t="shared" si="0"/>
        <v>3.2000000000000001E-2</v>
      </c>
      <c r="S5" s="85">
        <f>SUMPRODUCT($F$4:$R$4,$F5:$R5)</f>
        <v>5.1349999999999993E-2</v>
      </c>
      <c r="T5" s="86">
        <f>(1+S5)^(1/12)-1</f>
        <v>4.1816398110932074E-3</v>
      </c>
    </row>
    <row r="6" spans="1:21" ht="27">
      <c r="B6" s="1" t="s">
        <v>188</v>
      </c>
      <c r="C6" s="11" t="s">
        <v>189</v>
      </c>
      <c r="E6" s="100" t="s">
        <v>190</v>
      </c>
      <c r="F6" s="84">
        <f t="shared" ref="F6:R6" si="1">IF(F$3="","",VLOOKUP(F$3,External_Man_Chrge,3,FALSE))</f>
        <v>2.5000000000000001E-3</v>
      </c>
      <c r="G6" s="85">
        <f t="shared" si="1"/>
        <v>2.5000000000000001E-3</v>
      </c>
      <c r="H6" s="85">
        <f t="shared" si="1"/>
        <v>2.5000000000000001E-3</v>
      </c>
      <c r="I6" s="85">
        <f t="shared" si="1"/>
        <v>5.0000000000000001E-3</v>
      </c>
      <c r="J6" s="85">
        <f t="shared" si="1"/>
        <v>2.3999999999999998E-3</v>
      </c>
      <c r="K6" s="85">
        <f t="shared" si="1"/>
        <v>2.8000000000000004E-3</v>
      </c>
      <c r="L6" s="85">
        <f t="shared" si="1"/>
        <v>7.1999999999999998E-3</v>
      </c>
      <c r="M6" s="85">
        <f t="shared" si="1"/>
        <v>6.7000000000000002E-3</v>
      </c>
      <c r="N6" s="85">
        <f t="shared" si="1"/>
        <v>5.8999999999999999E-3</v>
      </c>
      <c r="O6" s="85">
        <f t="shared" si="1"/>
        <v>5.0000000000000001E-4</v>
      </c>
      <c r="P6" s="85">
        <f t="shared" si="1"/>
        <v>1.5E-3</v>
      </c>
      <c r="Q6" s="85">
        <f t="shared" si="1"/>
        <v>8.9999999999999998E-4</v>
      </c>
      <c r="R6" s="86">
        <f t="shared" si="1"/>
        <v>1.8E-3</v>
      </c>
      <c r="S6" s="85">
        <f>SUMPRODUCT($F$4:$R$4,$F6:$R6)</f>
        <v>2.5000000000000001E-3</v>
      </c>
      <c r="T6" s="86">
        <f>1-(1-S6)^(1/12)</f>
        <v>2.0857243058891584E-4</v>
      </c>
    </row>
    <row r="7" spans="1:21">
      <c r="B7" s="1" t="s">
        <v>191</v>
      </c>
      <c r="C7" s="13" t="str">
        <f>IF(RIGHT(Product_Type,12)="Non-Standard","Non-Standard","Standard")</f>
        <v>Non-Standard</v>
      </c>
      <c r="E7" s="100" t="s">
        <v>192</v>
      </c>
      <c r="F7" s="91" t="s">
        <v>127</v>
      </c>
      <c r="G7" s="11" t="s">
        <v>122</v>
      </c>
      <c r="H7" s="11" t="s">
        <v>122</v>
      </c>
      <c r="I7" s="130"/>
      <c r="J7" s="130"/>
      <c r="K7" s="130"/>
      <c r="L7" s="130"/>
      <c r="M7" s="130"/>
      <c r="N7" s="130"/>
      <c r="O7" s="130"/>
      <c r="P7" s="130"/>
      <c r="Q7" s="130"/>
      <c r="R7" s="83"/>
      <c r="S7" s="85"/>
      <c r="T7" s="97"/>
    </row>
    <row r="8" spans="1:21" ht="14.25" thickBot="1">
      <c r="B8" s="1" t="s">
        <v>193</v>
      </c>
      <c r="C8" s="11" t="s">
        <v>194</v>
      </c>
      <c r="E8" s="101" t="s">
        <v>161</v>
      </c>
      <c r="F8" s="87">
        <f>IF(F$3="","",IF(F$7="Yes",VLOOKUP(F$3,Gtee_Chrge,2,FALSE),""))</f>
        <v>6.4999999999999997E-3</v>
      </c>
      <c r="G8" s="88" t="str">
        <f>IF(G$3="","",IF(G$7="Yes",VLOOKUP(G$3,Gtee_Chrge,2,FALSE),""))</f>
        <v/>
      </c>
      <c r="H8" s="88" t="str">
        <f>IF(H$3="","",IF(H$7="Yes",VLOOKUP(H$3,Gtee_Chrge,2,FALSE),""))</f>
        <v/>
      </c>
      <c r="I8" s="89"/>
      <c r="J8" s="89"/>
      <c r="K8" s="89"/>
      <c r="L8" s="89"/>
      <c r="M8" s="89"/>
      <c r="N8" s="89"/>
      <c r="O8" s="89"/>
      <c r="P8" s="89"/>
      <c r="Q8" s="89"/>
      <c r="R8" s="90"/>
      <c r="S8" s="88">
        <f>SUMPRODUCT($F$4:$R$4,$F8:$R8)</f>
        <v>6.4999999999999997E-3</v>
      </c>
      <c r="T8" s="98">
        <f>1-(1-S8)^(1/12)</f>
        <v>5.4328711526985263E-4</v>
      </c>
    </row>
    <row r="9" spans="1:21" ht="15.75" thickBot="1">
      <c r="E9" s="100" t="s">
        <v>195</v>
      </c>
      <c r="F9" s="95"/>
      <c r="G9" s="94"/>
      <c r="H9" s="94">
        <v>1</v>
      </c>
      <c r="I9" s="94"/>
      <c r="J9" s="94"/>
      <c r="K9" s="94"/>
      <c r="L9" s="94"/>
      <c r="M9" s="94"/>
      <c r="N9" s="94"/>
      <c r="O9" s="94"/>
      <c r="P9" s="94"/>
      <c r="Q9" s="94"/>
      <c r="R9" s="96"/>
      <c r="S9" s="39">
        <f>SUM(F9:R9)</f>
        <v>1</v>
      </c>
      <c r="T9" s="86"/>
    </row>
    <row r="10" spans="1:21" ht="26.25" customHeight="1" thickBot="1">
      <c r="B10" s="297" t="str">
        <f>IF(AND(Investment_Strategy_Sub1 ="Standard",Investment_Strategy="DIY",AND($F$7="No",$G$7="No",$H$7="No")),"DIY Guarantee Check OK",
IF(Investment_Strategy_Sub1 ="Non-Standard","This Check only applies to Standard DIY investment strategy",
IF(Investment_Strategy&lt;&gt;"DIY","Not DIY",
"Error - No Guarantee on standard product type")))</f>
        <v>This Check only applies to Standard DIY investment strategy</v>
      </c>
      <c r="C10" s="298"/>
      <c r="E10" s="100" t="s">
        <v>196</v>
      </c>
      <c r="F10" s="84">
        <f t="shared" ref="F10:R10" si="2">IF(F$3="","",VLOOKUP(F$3,Rates_of_Return,2,FALSE))</f>
        <v>5.1349999999999993E-2</v>
      </c>
      <c r="G10" s="85">
        <f t="shared" si="2"/>
        <v>5.7249999999999995E-2</v>
      </c>
      <c r="H10" s="85">
        <f t="shared" si="2"/>
        <v>6.4624999999999988E-2</v>
      </c>
      <c r="I10" s="127">
        <f t="shared" si="2"/>
        <v>7.1999999999999995E-2</v>
      </c>
      <c r="J10" s="127">
        <f t="shared" si="2"/>
        <v>4.2500000000000003E-2</v>
      </c>
      <c r="K10" s="127">
        <f t="shared" si="2"/>
        <v>4.2500000000000003E-2</v>
      </c>
      <c r="L10" s="127">
        <f t="shared" si="2"/>
        <v>6.4624999999999988E-2</v>
      </c>
      <c r="M10" s="127">
        <f t="shared" si="2"/>
        <v>5.7249999999999995E-2</v>
      </c>
      <c r="N10" s="127">
        <f t="shared" si="2"/>
        <v>4.6925000000000001E-2</v>
      </c>
      <c r="O10" s="127">
        <f t="shared" si="2"/>
        <v>7.1999999999999995E-2</v>
      </c>
      <c r="P10" s="127">
        <f t="shared" si="2"/>
        <v>7.1999999999999995E-2</v>
      </c>
      <c r="Q10" s="127">
        <f t="shared" si="2"/>
        <v>7.1999999999999995E-2</v>
      </c>
      <c r="R10" s="128">
        <f t="shared" si="2"/>
        <v>3.2000000000000001E-2</v>
      </c>
      <c r="S10" s="85">
        <f>SUMPRODUCT($F$9:$R$9,$F10:$R10)</f>
        <v>6.4624999999999988E-2</v>
      </c>
      <c r="T10" s="86">
        <f>(1+S10)^(1/12)-1</f>
        <v>5.232192399942992E-3</v>
      </c>
    </row>
    <row r="11" spans="1:21" ht="27">
      <c r="B11" s="302"/>
      <c r="C11" s="302"/>
      <c r="E11" s="100" t="s">
        <v>197</v>
      </c>
      <c r="F11" s="84">
        <f t="shared" ref="F11:R11" si="3">IF(F$3="","",VLOOKUP(F$3,External_Man_Chrge,3,FALSE))</f>
        <v>2.5000000000000001E-3</v>
      </c>
      <c r="G11" s="85">
        <f t="shared" si="3"/>
        <v>2.5000000000000001E-3</v>
      </c>
      <c r="H11" s="85">
        <f t="shared" si="3"/>
        <v>2.5000000000000001E-3</v>
      </c>
      <c r="I11" s="85">
        <f t="shared" si="3"/>
        <v>5.0000000000000001E-3</v>
      </c>
      <c r="J11" s="85">
        <f t="shared" si="3"/>
        <v>2.3999999999999998E-3</v>
      </c>
      <c r="K11" s="85">
        <f t="shared" si="3"/>
        <v>2.8000000000000004E-3</v>
      </c>
      <c r="L11" s="85">
        <f t="shared" si="3"/>
        <v>7.1999999999999998E-3</v>
      </c>
      <c r="M11" s="85">
        <f t="shared" si="3"/>
        <v>6.7000000000000002E-3</v>
      </c>
      <c r="N11" s="85">
        <f t="shared" si="3"/>
        <v>5.8999999999999999E-3</v>
      </c>
      <c r="O11" s="85">
        <f t="shared" si="3"/>
        <v>5.0000000000000001E-4</v>
      </c>
      <c r="P11" s="85">
        <f t="shared" si="3"/>
        <v>1.5E-3</v>
      </c>
      <c r="Q11" s="85">
        <f t="shared" si="3"/>
        <v>8.9999999999999998E-4</v>
      </c>
      <c r="R11" s="86">
        <f t="shared" si="3"/>
        <v>1.8E-3</v>
      </c>
      <c r="S11" s="85">
        <f>SUMPRODUCT($F$9:$R$9,$F11:$R11)</f>
        <v>2.5000000000000001E-3</v>
      </c>
      <c r="T11" s="86">
        <f>1-(1-S11)^(1/12)</f>
        <v>2.0857243058891584E-4</v>
      </c>
    </row>
    <row r="12" spans="1:21" ht="27.75" thickBot="1">
      <c r="B12" s="302"/>
      <c r="C12" s="302"/>
      <c r="E12" s="101" t="s">
        <v>198</v>
      </c>
      <c r="F12" s="87">
        <f>IF(F$3="","",IF(F$7="Yes",VLOOKUP(F$3,Gtee_Chrge,2,FALSE),""))</f>
        <v>6.4999999999999997E-3</v>
      </c>
      <c r="G12" s="88" t="str">
        <f>IF(G$3="","",IF(G$7="Yes",VLOOKUP(G$3,Gtee_Chrge,2,FALSE),""))</f>
        <v/>
      </c>
      <c r="H12" s="88" t="str">
        <f>IF(H$3="","",IF(H$7="Yes",VLOOKUP(H$3,Gtee_Chrge,2,FALSE),""))</f>
        <v/>
      </c>
      <c r="I12" s="89"/>
      <c r="J12" s="89"/>
      <c r="K12" s="89"/>
      <c r="L12" s="89"/>
      <c r="M12" s="89"/>
      <c r="N12" s="89"/>
      <c r="O12" s="89"/>
      <c r="P12" s="89"/>
      <c r="Q12" s="89"/>
      <c r="R12" s="90"/>
      <c r="S12" s="88">
        <f>SUMPRODUCT($F$9:$R$9,$F12:$R12)</f>
        <v>0</v>
      </c>
      <c r="T12" s="98">
        <f>1-(1-S12)^(1/12)</f>
        <v>0</v>
      </c>
    </row>
    <row r="13" spans="1:21" ht="27">
      <c r="E13" s="100" t="s">
        <v>199</v>
      </c>
      <c r="F13" s="95"/>
      <c r="G13" s="94"/>
      <c r="H13" s="94"/>
      <c r="I13" s="94"/>
      <c r="J13" s="94"/>
      <c r="K13" s="94"/>
      <c r="L13" s="94"/>
      <c r="M13" s="94"/>
      <c r="N13" s="94"/>
      <c r="O13" s="94"/>
      <c r="P13" s="94">
        <v>1</v>
      </c>
      <c r="Q13" s="94"/>
      <c r="R13" s="96"/>
      <c r="S13" s="39">
        <f>SUM(F13:R13)</f>
        <v>1</v>
      </c>
      <c r="T13" s="82"/>
      <c r="U13" s="1" t="str">
        <f>IF(AND(SUM(F13:R13),S13&lt;1),"Error","")</f>
        <v/>
      </c>
    </row>
    <row r="14" spans="1:21">
      <c r="E14" s="100" t="s">
        <v>196</v>
      </c>
      <c r="F14" s="84">
        <f t="shared" ref="F14:R14" si="4">IF(F$3="","",VLOOKUP(F$3,Rates_of_Return,2,FALSE))</f>
        <v>5.1349999999999993E-2</v>
      </c>
      <c r="G14" s="85">
        <f t="shared" si="4"/>
        <v>5.7249999999999995E-2</v>
      </c>
      <c r="H14" s="85">
        <f t="shared" si="4"/>
        <v>6.4624999999999988E-2</v>
      </c>
      <c r="I14" s="85">
        <f t="shared" si="4"/>
        <v>7.1999999999999995E-2</v>
      </c>
      <c r="J14" s="85">
        <f t="shared" si="4"/>
        <v>4.2500000000000003E-2</v>
      </c>
      <c r="K14" s="85">
        <f t="shared" si="4"/>
        <v>4.2500000000000003E-2</v>
      </c>
      <c r="L14" s="85">
        <f t="shared" si="4"/>
        <v>6.4624999999999988E-2</v>
      </c>
      <c r="M14" s="85">
        <f t="shared" si="4"/>
        <v>5.7249999999999995E-2</v>
      </c>
      <c r="N14" s="85">
        <f t="shared" si="4"/>
        <v>4.6925000000000001E-2</v>
      </c>
      <c r="O14" s="85">
        <f t="shared" si="4"/>
        <v>7.1999999999999995E-2</v>
      </c>
      <c r="P14" s="85">
        <f t="shared" si="4"/>
        <v>7.1999999999999995E-2</v>
      </c>
      <c r="Q14" s="85">
        <f t="shared" si="4"/>
        <v>7.1999999999999995E-2</v>
      </c>
      <c r="R14" s="86">
        <f t="shared" si="4"/>
        <v>3.2000000000000001E-2</v>
      </c>
      <c r="S14" s="85">
        <f>SUMPRODUCT($F$13:$R$13,$F14:$R14)</f>
        <v>7.1999999999999995E-2</v>
      </c>
      <c r="T14" s="86">
        <f>(1+S14)^(1/12)-1</f>
        <v>5.8106552987937654E-3</v>
      </c>
    </row>
    <row r="15" spans="1:21" ht="27">
      <c r="D15" s="305">
        <f>742/700</f>
        <v>1.06</v>
      </c>
      <c r="E15" s="100" t="s">
        <v>197</v>
      </c>
      <c r="F15" s="84">
        <f t="shared" ref="F15:R15" si="5">IF(F$3="","",VLOOKUP(F$3,External_Man_Chrge,3,FALSE))</f>
        <v>2.5000000000000001E-3</v>
      </c>
      <c r="G15" s="85">
        <f t="shared" si="5"/>
        <v>2.5000000000000001E-3</v>
      </c>
      <c r="H15" s="85">
        <f t="shared" si="5"/>
        <v>2.5000000000000001E-3</v>
      </c>
      <c r="I15" s="85">
        <f t="shared" si="5"/>
        <v>5.0000000000000001E-3</v>
      </c>
      <c r="J15" s="85">
        <f t="shared" si="5"/>
        <v>2.3999999999999998E-3</v>
      </c>
      <c r="K15" s="85">
        <f t="shared" si="5"/>
        <v>2.8000000000000004E-3</v>
      </c>
      <c r="L15" s="85">
        <f t="shared" si="5"/>
        <v>7.1999999999999998E-3</v>
      </c>
      <c r="M15" s="85">
        <f t="shared" si="5"/>
        <v>6.7000000000000002E-3</v>
      </c>
      <c r="N15" s="85">
        <f t="shared" si="5"/>
        <v>5.8999999999999999E-3</v>
      </c>
      <c r="O15" s="85">
        <f t="shared" si="5"/>
        <v>5.0000000000000001E-4</v>
      </c>
      <c r="P15" s="85">
        <f t="shared" si="5"/>
        <v>1.5E-3</v>
      </c>
      <c r="Q15" s="85">
        <f t="shared" si="5"/>
        <v>8.9999999999999998E-4</v>
      </c>
      <c r="R15" s="86">
        <f t="shared" si="5"/>
        <v>1.8E-3</v>
      </c>
      <c r="S15" s="85">
        <f>SUMPRODUCT($F$13:$R$13,$F15:$R15)</f>
        <v>1.5E-3</v>
      </c>
      <c r="T15" s="86">
        <f>1-(1-S15)^(1/12)</f>
        <v>1.2508601994698498E-4</v>
      </c>
    </row>
    <row r="16" spans="1:21" ht="27.75" thickBot="1">
      <c r="E16" s="101" t="s">
        <v>198</v>
      </c>
      <c r="F16" s="87">
        <f>IF(F$3="","",IF(F$7="Yes",VLOOKUP(F$3,Gtee_Chrge,2,FALSE),""))</f>
        <v>6.4999999999999997E-3</v>
      </c>
      <c r="G16" s="88" t="str">
        <f>IF(G$3="","",IF(G$7="Yes",VLOOKUP(G$3,Gtee_Chrge,2,FALSE),""))</f>
        <v/>
      </c>
      <c r="H16" s="88" t="str">
        <f>IF(H$3="","",IF(H$7="Yes",VLOOKUP(H$3,Gtee_Chrge,2,FALSE),""))</f>
        <v/>
      </c>
      <c r="I16" s="89"/>
      <c r="J16" s="89"/>
      <c r="K16" s="89"/>
      <c r="L16" s="89"/>
      <c r="M16" s="89"/>
      <c r="N16" s="89"/>
      <c r="O16" s="89"/>
      <c r="P16" s="89"/>
      <c r="Q16" s="89"/>
      <c r="R16" s="90"/>
      <c r="S16" s="88">
        <f>SUMPRODUCT($F$13:$R$13,$F16:$R16)</f>
        <v>0</v>
      </c>
      <c r="T16" s="98">
        <f>1-(1-S16)^(1/12)</f>
        <v>0</v>
      </c>
    </row>
    <row r="17" spans="2:15" ht="14.25" thickBot="1"/>
    <row r="18" spans="2:15">
      <c r="C18" s="286" t="s">
        <v>200</v>
      </c>
      <c r="D18" s="22" t="s">
        <v>201</v>
      </c>
      <c r="E18" s="24" t="s">
        <v>201</v>
      </c>
      <c r="F18" s="24" t="s">
        <v>201</v>
      </c>
      <c r="G18" s="24" t="s">
        <v>201</v>
      </c>
      <c r="I18" s="286" t="s">
        <v>200</v>
      </c>
      <c r="J18" s="22" t="s">
        <v>201</v>
      </c>
      <c r="K18" s="24" t="s">
        <v>201</v>
      </c>
    </row>
    <row r="19" spans="2:15" ht="51.75" thickBot="1">
      <c r="C19" s="287"/>
      <c r="D19" s="23" t="s">
        <v>202</v>
      </c>
      <c r="E19" s="25" t="s">
        <v>203</v>
      </c>
      <c r="F19" s="25" t="s">
        <v>204</v>
      </c>
      <c r="G19" s="25" t="s">
        <v>205</v>
      </c>
      <c r="I19" s="287"/>
      <c r="J19" s="23" t="s">
        <v>206</v>
      </c>
      <c r="K19" s="25" t="s">
        <v>207</v>
      </c>
    </row>
    <row r="20" spans="2:15" ht="14.25" thickBot="1">
      <c r="C20" s="21">
        <v>1</v>
      </c>
      <c r="D20" s="58">
        <f>IF(C20="","",SUMPRODUCT($X$91:$X$690,$AJ$91:$AJ$690)+SUMPRODUCT($P$91:$P$690,$AJ$91:$AJ$690))</f>
        <v>700000</v>
      </c>
      <c r="E20" s="58">
        <f>IF($C20="","",SUMPRODUCT($AG$91:$AG$690,$AJ$91:$AJ$690))</f>
        <v>35944.999999999687</v>
      </c>
      <c r="F20" s="58">
        <f t="shared" ref="F20:F31" si="6">IF($C20="","",VLOOKUP(C20+1,$C$91:$AH$690,26,FALSE))</f>
        <v>735944.99999999988</v>
      </c>
      <c r="G20" s="58">
        <f t="shared" ref="G20:G31" si="7">IF($C20="","",VLOOKUP(C20+1,$C$91:$AH$690,30,FALSE))</f>
        <v>727514.31598283013</v>
      </c>
      <c r="I20" s="21">
        <f>C20</f>
        <v>1</v>
      </c>
      <c r="J20" s="58">
        <f t="shared" ref="J20:J31" si="8">SUMIF($C$91:$C$690,$I20,$X$91:$X$690)+SUMIF($C$91:$C$690,$I20,$P$91:$P$690)</f>
        <v>700000</v>
      </c>
      <c r="K20" s="58">
        <f t="shared" ref="K20:K31" si="9">-SUMIF($C$91:$C$690,$I20,$AD$91:$AD$690)</f>
        <v>26287.080381676984</v>
      </c>
      <c r="L20" s="143">
        <f t="shared" ref="L20:L27" si="10">K20/G20</f>
        <v>3.6132732791882789E-2</v>
      </c>
      <c r="O20" s="4"/>
    </row>
    <row r="21" spans="2:15" ht="14.25" thickBot="1">
      <c r="C21" s="21">
        <f>IF(C20="","",
IF(C20+1&lt;$A$33,C20+1,""))</f>
        <v>2</v>
      </c>
      <c r="D21" s="58">
        <f>IF(C21="","",SUMPRODUCT($X$91:$X$690,$AK$91:$AK$690)+SUMPRODUCT($P$91:$P$690,$AK$91:$AK$690))</f>
        <v>700000</v>
      </c>
      <c r="E21" s="58">
        <f>IF($C21="","",SUMPRODUCT($AG$91:$AG$690,$AK$91:$AK$690))</f>
        <v>73735.775749999346</v>
      </c>
      <c r="F21" s="58">
        <f t="shared" si="6"/>
        <v>773735.77574999968</v>
      </c>
      <c r="G21" s="58">
        <f t="shared" si="7"/>
        <v>756110.11422852194</v>
      </c>
      <c r="I21" s="21">
        <f t="shared" ref="I21:I32" si="11">C21</f>
        <v>2</v>
      </c>
      <c r="J21" s="58">
        <f t="shared" si="8"/>
        <v>0</v>
      </c>
      <c r="K21" s="58">
        <f t="shared" si="9"/>
        <v>1857.3236592600933</v>
      </c>
      <c r="L21" s="143">
        <f t="shared" si="10"/>
        <v>2.4564195403670363E-3</v>
      </c>
      <c r="O21" s="4"/>
    </row>
    <row r="22" spans="2:15" ht="14.25" thickBot="1">
      <c r="C22" s="21">
        <f>IF(C21="","",
IF(C21+1&lt;$A$33,C21+1,""))</f>
        <v>3</v>
      </c>
      <c r="D22" s="58">
        <f>IF(C22="","",SUMPRODUCT($X$91:$X$690,$AL$91:$AL$690)+SUMPRODUCT($P$91:$P$690,$AL$91:$AL$690))</f>
        <v>700000</v>
      </c>
      <c r="E22" s="58">
        <f>IF($C22="","",SUMPRODUCT($AG$91:$AG$690,$AL$91:$AL$690))</f>
        <v>113467.10783476147</v>
      </c>
      <c r="F22" s="58">
        <f t="shared" si="6"/>
        <v>813467.10783476196</v>
      </c>
      <c r="G22" s="58">
        <f t="shared" si="7"/>
        <v>785829.90365808946</v>
      </c>
      <c r="I22" s="21">
        <f t="shared" si="11"/>
        <v>3</v>
      </c>
      <c r="J22" s="58">
        <f t="shared" si="8"/>
        <v>0</v>
      </c>
      <c r="K22" s="58">
        <f t="shared" si="9"/>
        <v>1930.3279307504768</v>
      </c>
      <c r="L22" s="143">
        <f t="shared" si="10"/>
        <v>2.4564195403670368E-3</v>
      </c>
      <c r="O22" s="4"/>
    </row>
    <row r="23" spans="2:15" ht="14.25" thickBot="1">
      <c r="C23" s="21">
        <f>IF(C22="","",
IF(C22+1&lt;$A$33,C22+1,""))</f>
        <v>4</v>
      </c>
      <c r="D23" s="58">
        <f>IF(C23="","",SUMPRODUCT($X$91:$X$690,$AM$91:$AM$690)+SUMPRODUCT($P$91:$P$690,$AM$91:$AM$690))</f>
        <v>700000</v>
      </c>
      <c r="E23" s="58">
        <f>IF($C23="","",SUMPRODUCT($AG$91:$AG$690,$AM$91:$AM$690))</f>
        <v>155238.64382207612</v>
      </c>
      <c r="F23" s="58">
        <f t="shared" si="6"/>
        <v>855238.64382207685</v>
      </c>
      <c r="G23" s="58">
        <f t="shared" si="7"/>
        <v>816717.86405524041</v>
      </c>
      <c r="I23" s="21">
        <f t="shared" si="11"/>
        <v>4</v>
      </c>
      <c r="J23" s="58">
        <f t="shared" si="8"/>
        <v>0</v>
      </c>
      <c r="K23" s="58">
        <f t="shared" si="9"/>
        <v>2006.2017202321213</v>
      </c>
      <c r="L23" s="143">
        <f t="shared" si="10"/>
        <v>2.4564195403670363E-3</v>
      </c>
      <c r="O23" s="4"/>
    </row>
    <row r="24" spans="2:15" ht="14.25" thickBot="1">
      <c r="C24" s="21">
        <f>IF(C23="","",
IF(C23+1&lt;$A$33,C23+1,""))</f>
        <v>5</v>
      </c>
      <c r="D24" s="58">
        <f>IF(C24="","",SUMPRODUCT($X$91:$X$690,$AN$91:$AN$690)+SUMPRODUCT($P$91:$P$690,$AN$91:$AN$690))</f>
        <v>700000</v>
      </c>
      <c r="E24" s="58">
        <f>IF($C24="","",SUMPRODUCT($AG$91:$AG$690,$AN$91:$AN$690))</f>
        <v>199155.1481823393</v>
      </c>
      <c r="F24" s="58">
        <f t="shared" si="6"/>
        <v>899155.14818233985</v>
      </c>
      <c r="G24" s="58">
        <f t="shared" si="7"/>
        <v>848819.91174158035</v>
      </c>
      <c r="I24" s="21">
        <f t="shared" si="11"/>
        <v>5</v>
      </c>
      <c r="J24" s="58">
        <f t="shared" si="8"/>
        <v>0</v>
      </c>
      <c r="K24" s="58">
        <f t="shared" si="9"/>
        <v>2085.0578174546417</v>
      </c>
      <c r="L24" s="143">
        <f t="shared" si="10"/>
        <v>2.4564195403670372E-3</v>
      </c>
      <c r="O24" s="4"/>
    </row>
    <row r="25" spans="2:15" ht="14.25" thickBot="1">
      <c r="C25" s="21" t="str">
        <f t="shared" ref="C25:C31" si="12">IF(C24="","",
IF(C24+5&lt;$A$33,C24+5,""))</f>
        <v/>
      </c>
      <c r="D25" s="58" t="str">
        <f>IF(C25="","",SUMPRODUCT($X$91:$X$690,$AO$91:$AO$690)+SUMPRODUCT($P$91:$P$690,$AO$91:$AO$690))</f>
        <v/>
      </c>
      <c r="E25" s="58" t="str">
        <f>IF($C25="","",SUMPRODUCT($AG$91:$AG$690,$AO$91:$AO$690))</f>
        <v/>
      </c>
      <c r="F25" s="58" t="str">
        <f t="shared" si="6"/>
        <v/>
      </c>
      <c r="G25" s="58" t="str">
        <f t="shared" si="7"/>
        <v/>
      </c>
      <c r="I25" s="21" t="str">
        <f t="shared" si="11"/>
        <v/>
      </c>
      <c r="J25" s="58">
        <f t="shared" si="8"/>
        <v>0</v>
      </c>
      <c r="K25" s="58">
        <f t="shared" si="9"/>
        <v>0</v>
      </c>
      <c r="L25" s="143" t="e">
        <f t="shared" si="10"/>
        <v>#VALUE!</v>
      </c>
      <c r="O25" s="4"/>
    </row>
    <row r="26" spans="2:15" ht="14.25" thickBot="1">
      <c r="B26" s="20"/>
      <c r="C26" s="21" t="str">
        <f t="shared" si="12"/>
        <v/>
      </c>
      <c r="D26" s="58" t="str">
        <f>IF(C26="","",SUMPRODUCT($X$91:$X$690,$AP$91:$AP$690)+SUMPRODUCT($P$91:$P$690,$AP$91:$AP$690))</f>
        <v/>
      </c>
      <c r="E26" s="58" t="str">
        <f>IF($C26="","",SUMPRODUCT($AG$91:$AG$690,$AP$91:$AP$690))</f>
        <v/>
      </c>
      <c r="F26" s="58" t="str">
        <f t="shared" si="6"/>
        <v/>
      </c>
      <c r="G26" s="58" t="str">
        <f t="shared" si="7"/>
        <v/>
      </c>
      <c r="I26" s="21" t="str">
        <f t="shared" si="11"/>
        <v/>
      </c>
      <c r="J26" s="58">
        <f t="shared" si="8"/>
        <v>0</v>
      </c>
      <c r="K26" s="58">
        <f t="shared" si="9"/>
        <v>0</v>
      </c>
      <c r="L26" s="143" t="e">
        <f t="shared" si="10"/>
        <v>#VALUE!</v>
      </c>
      <c r="O26" s="4"/>
    </row>
    <row r="27" spans="2:15" ht="14.25" thickBot="1">
      <c r="B27" s="20"/>
      <c r="C27" s="21" t="str">
        <f t="shared" si="12"/>
        <v/>
      </c>
      <c r="D27" s="58" t="str">
        <f>IF(C27="","",SUMPRODUCT($X$91:$X$690,$AQ$91:$AQ$690)+SUMPRODUCT($P$91:$P$690,$AQ$91:$AQ$690))</f>
        <v/>
      </c>
      <c r="E27" s="58" t="str">
        <f>IF($C27="","",SUMPRODUCT($AG$91:$AG$690,$AQ$91:$AQ$690))</f>
        <v/>
      </c>
      <c r="F27" s="58" t="str">
        <f t="shared" si="6"/>
        <v/>
      </c>
      <c r="G27" s="58" t="str">
        <f t="shared" si="7"/>
        <v/>
      </c>
      <c r="I27" s="21" t="str">
        <f t="shared" si="11"/>
        <v/>
      </c>
      <c r="J27" s="58">
        <f t="shared" si="8"/>
        <v>0</v>
      </c>
      <c r="K27" s="58">
        <f t="shared" si="9"/>
        <v>0</v>
      </c>
      <c r="L27" s="143" t="e">
        <f t="shared" si="10"/>
        <v>#VALUE!</v>
      </c>
      <c r="O27" s="4"/>
    </row>
    <row r="28" spans="2:15" ht="14.25" thickBot="1">
      <c r="B28" s="20"/>
      <c r="C28" s="21" t="str">
        <f t="shared" si="12"/>
        <v/>
      </c>
      <c r="D28" s="58" t="str">
        <f>IF(C28="","",SUMPRODUCT($X$91:$X$690,$AR$91:$AR$690)+SUMPRODUCT($P$91:$P$690,$AR$91:$AR$690))</f>
        <v/>
      </c>
      <c r="E28" s="58" t="str">
        <f>IF($C28="","",SUMPRODUCT($AG$91:$AG$690,$AR$91:$AR$690))</f>
        <v/>
      </c>
      <c r="F28" s="58" t="str">
        <f t="shared" si="6"/>
        <v/>
      </c>
      <c r="G28" s="58" t="str">
        <f t="shared" si="7"/>
        <v/>
      </c>
      <c r="I28" s="21" t="str">
        <f t="shared" si="11"/>
        <v/>
      </c>
      <c r="J28" s="58">
        <f t="shared" si="8"/>
        <v>0</v>
      </c>
      <c r="K28" s="58">
        <f t="shared" si="9"/>
        <v>0</v>
      </c>
      <c r="L28" s="143"/>
      <c r="O28" s="4"/>
    </row>
    <row r="29" spans="2:15" ht="14.25" thickBot="1">
      <c r="B29" s="20"/>
      <c r="C29" s="21" t="str">
        <f t="shared" si="12"/>
        <v/>
      </c>
      <c r="D29" s="58" t="str">
        <f>IF(C29="","",SUMPRODUCT($X$91:$X$690,$AS$91:$AS$690)+SUMPRODUCT($P$91:$P$690,$AS$91:$AS$690))</f>
        <v/>
      </c>
      <c r="E29" s="58" t="str">
        <f>IF($C29="","",SUMPRODUCT($AG$91:$AG$690,$AS$91:$AS$690))</f>
        <v/>
      </c>
      <c r="F29" s="58" t="str">
        <f t="shared" si="6"/>
        <v/>
      </c>
      <c r="G29" s="58" t="str">
        <f t="shared" si="7"/>
        <v/>
      </c>
      <c r="I29" s="21" t="str">
        <f t="shared" si="11"/>
        <v/>
      </c>
      <c r="J29" s="58">
        <f t="shared" si="8"/>
        <v>0</v>
      </c>
      <c r="K29" s="58">
        <f t="shared" si="9"/>
        <v>0</v>
      </c>
      <c r="L29" s="143"/>
      <c r="O29" s="4"/>
    </row>
    <row r="30" spans="2:15" ht="14.25" thickBot="1">
      <c r="B30" s="20"/>
      <c r="C30" s="21" t="str">
        <f t="shared" si="12"/>
        <v/>
      </c>
      <c r="D30" s="58" t="str">
        <f>IF(C30="","",SUMPRODUCT($X$91:$X$690,$AT$91:$AT$690)+SUMPRODUCT($P$91:$P$690,$AT$91:$AT$690))</f>
        <v/>
      </c>
      <c r="E30" s="58" t="str">
        <f>IF($C30="","",SUMPRODUCT($AG$91:$AG$690,$AT$91:$AT$690))</f>
        <v/>
      </c>
      <c r="F30" s="58" t="str">
        <f t="shared" si="6"/>
        <v/>
      </c>
      <c r="G30" s="58" t="str">
        <f t="shared" si="7"/>
        <v/>
      </c>
      <c r="I30" s="21" t="str">
        <f t="shared" si="11"/>
        <v/>
      </c>
      <c r="J30" s="58">
        <f t="shared" si="8"/>
        <v>0</v>
      </c>
      <c r="K30" s="58">
        <f t="shared" si="9"/>
        <v>0</v>
      </c>
      <c r="L30" s="143"/>
      <c r="O30" s="4"/>
    </row>
    <row r="31" spans="2:15" ht="14.25" thickBot="1">
      <c r="B31" s="20"/>
      <c r="C31" s="21" t="str">
        <f t="shared" si="12"/>
        <v/>
      </c>
      <c r="D31" s="58" t="str">
        <f>IF(C31="","",SUMPRODUCT($X$91:$X$690,$AU$91:$AU$690)+SUMPRODUCT($P$91:$P$690,$AU$91:$AU$690))</f>
        <v/>
      </c>
      <c r="E31" s="58" t="str">
        <f>IF($C31="","",SUMPRODUCT($AG$91:$AG$690,$AU$91:$AU$690))</f>
        <v/>
      </c>
      <c r="F31" s="58" t="str">
        <f t="shared" si="6"/>
        <v/>
      </c>
      <c r="G31" s="58" t="str">
        <f t="shared" si="7"/>
        <v/>
      </c>
      <c r="I31" s="21" t="str">
        <f t="shared" si="11"/>
        <v/>
      </c>
      <c r="J31" s="58">
        <f t="shared" si="8"/>
        <v>0</v>
      </c>
      <c r="K31" s="58">
        <f t="shared" si="9"/>
        <v>0</v>
      </c>
      <c r="L31" s="143"/>
      <c r="O31" s="4"/>
    </row>
    <row r="32" spans="2:15" ht="14.25" thickBot="1">
      <c r="C32" s="26" t="s">
        <v>208</v>
      </c>
      <c r="D32" s="58">
        <f>SUMPRODUCT($X$91:$X$690,$AV$91:$AV$690)+SUMPRODUCT($P$91:$P$690,$AV$91:$AV$690)</f>
        <v>700000</v>
      </c>
      <c r="E32" s="58">
        <f>SUMPRODUCT($AG$91:$AG$690,$AV$91:$AV$690)</f>
        <v>293767.31421605841</v>
      </c>
      <c r="F32" s="58">
        <f>E32+D32+Opening_Fund_Value</f>
        <v>993767.31421605847</v>
      </c>
      <c r="G32" s="207">
        <f>VLOOKUP(A91+1,$D$91:$AH$690,29,FALSE)</f>
        <v>916786.60669617692</v>
      </c>
      <c r="H32" s="247"/>
      <c r="I32" s="21" t="str">
        <f t="shared" si="11"/>
        <v>Year of Maturity</v>
      </c>
      <c r="J32" s="207">
        <f>SUMIF($C$91:$C$690,$A33,$X$91:$X$690)+SUMIF($C$91:$C$690,$A33,$P$91:$P$690)</f>
        <v>0</v>
      </c>
      <c r="K32" s="207">
        <f>-SUMIF($C$91:$C$690,$A33,$AD$91:$AD$690)</f>
        <v>2252.1806145525916</v>
      </c>
      <c r="L32" s="143">
        <f>K32/G32</f>
        <v>2.456602875852182E-3</v>
      </c>
      <c r="O32" s="4"/>
    </row>
    <row r="33" spans="1:14">
      <c r="A33" s="47">
        <f>SRP_NRA-INT(SRP_Current_Age)</f>
        <v>7</v>
      </c>
    </row>
    <row r="34" spans="1:14" ht="14.25" thickBot="1"/>
    <row r="35" spans="1:14" ht="14.25" customHeight="1" thickBot="1">
      <c r="C35" s="299" t="s">
        <v>209</v>
      </c>
      <c r="D35" s="300"/>
      <c r="E35" s="300"/>
      <c r="F35" s="300"/>
      <c r="G35" s="301"/>
    </row>
    <row r="36" spans="1:14" ht="28.5" customHeight="1" thickBot="1">
      <c r="C36" s="29">
        <f>INT(SRP_Current_Age)</f>
        <v>53</v>
      </c>
      <c r="J36" s="29" t="s">
        <v>210</v>
      </c>
      <c r="K36" s="53">
        <f>G32</f>
        <v>916786.60669617692</v>
      </c>
      <c r="M36" s="29" t="s">
        <v>211</v>
      </c>
      <c r="N36" s="53">
        <f>VLOOKUP(A91+1,$D$91:$AH$690,5,FALSE)</f>
        <v>0</v>
      </c>
    </row>
    <row r="37" spans="1:14" ht="14.25" thickBot="1">
      <c r="C37" s="208">
        <f>+G32</f>
        <v>916786.60669617692</v>
      </c>
      <c r="J37" s="29" t="s">
        <v>212</v>
      </c>
      <c r="K37" s="27">
        <f>K36*SRP_Discount_factor</f>
        <v>745476.65346652688</v>
      </c>
      <c r="L37" s="36"/>
      <c r="M37" s="29" t="s">
        <v>212</v>
      </c>
      <c r="N37" s="27">
        <f>N36*SRP_Discount_factor</f>
        <v>0</v>
      </c>
    </row>
    <row r="38" spans="1:14" ht="27.75" thickBot="1">
      <c r="J38" s="29" t="s">
        <v>213</v>
      </c>
      <c r="K38" s="27">
        <f>(K37/(SRP_Annuity_Factor*SRP_Mort_Improve_Fact))/12</f>
        <v>2563.137881075962</v>
      </c>
      <c r="M38" s="29" t="s">
        <v>213</v>
      </c>
      <c r="N38" s="27">
        <f>(N37/(SRP_Annuity_Factor*SRP_Mort_Improve_Fact))/12</f>
        <v>0</v>
      </c>
    </row>
    <row r="39" spans="1:14" ht="14.25" thickBot="1"/>
    <row r="40" spans="1:14" ht="27.75" thickBot="1">
      <c r="C40" s="299" t="s">
        <v>214</v>
      </c>
      <c r="D40" s="300"/>
      <c r="E40" s="300"/>
      <c r="F40" s="300"/>
      <c r="G40" s="301"/>
      <c r="J40" s="29" t="s">
        <v>215</v>
      </c>
      <c r="K40" s="206">
        <f>BC86</f>
        <v>5.133458814167291E-2</v>
      </c>
    </row>
    <row r="41" spans="1:14" ht="14.25" thickBot="1">
      <c r="C41" s="29">
        <f>SRP_Current_Age</f>
        <v>53.002053388090346</v>
      </c>
      <c r="J41" s="29" t="s">
        <v>216</v>
      </c>
      <c r="K41" s="53">
        <f>+A91+1</f>
        <v>85</v>
      </c>
    </row>
    <row r="42" spans="1:14" ht="14.25" thickBot="1">
      <c r="C42" s="8">
        <f>(1+SRP_Inf_Rate)^-(SRP_NRA-C41)</f>
        <v>0.813140863993422</v>
      </c>
    </row>
    <row r="44" spans="1:14" ht="14.25" thickBot="1"/>
    <row r="45" spans="1:14" ht="14.25" customHeight="1" thickBot="1">
      <c r="C45" s="299" t="s">
        <v>217</v>
      </c>
      <c r="D45" s="300"/>
      <c r="E45" s="300"/>
      <c r="F45" s="300"/>
      <c r="G45" s="301"/>
      <c r="K45" s="246"/>
    </row>
    <row r="46" spans="1:14" ht="14.25" thickBot="1">
      <c r="C46" s="29">
        <f>SRP_Current_Age</f>
        <v>53.002053388090346</v>
      </c>
    </row>
    <row r="47" spans="1:14" ht="14.25" thickBot="1">
      <c r="C47" s="10">
        <f>(1+IF(SRP_Gender="Female",SRP_Improve_Fact_F,SRP_Improve_Fact_M))^(SRP_Current_Year-SRP_Base_Year+SRP_NRA-C$46)</f>
        <v>1.0681034231063606</v>
      </c>
    </row>
    <row r="49" spans="2:12" ht="14.25" thickBot="1"/>
    <row r="50" spans="2:12" ht="14.25" customHeight="1" thickBot="1">
      <c r="C50" s="299" t="s">
        <v>218</v>
      </c>
      <c r="D50" s="300"/>
      <c r="E50" s="300"/>
      <c r="F50" s="300"/>
      <c r="G50" s="301"/>
    </row>
    <row r="51" spans="2:12" ht="14.25" thickBot="1">
      <c r="C51" s="29">
        <f>SRP_Current_Age</f>
        <v>53.002053388090346</v>
      </c>
    </row>
    <row r="52" spans="2:12" ht="14.25" thickBot="1">
      <c r="C52" s="9">
        <f>IF((SRP_NRA-SRP_Current_Age)&lt;=5,'Irish Life Quote'!$T$9/12,SUMPRODUCT($I$697:$I$1357,$J$697:$J$1357))</f>
        <v>22.69172568260619</v>
      </c>
    </row>
    <row r="53" spans="2:12">
      <c r="I53" s="42"/>
    </row>
    <row r="54" spans="2:12" ht="15.75">
      <c r="B54" s="2" t="s">
        <v>219</v>
      </c>
      <c r="C54" s="1" t="s">
        <v>220</v>
      </c>
      <c r="D54" s="34">
        <v>46280</v>
      </c>
      <c r="I54" s="65"/>
      <c r="J54" s="66"/>
      <c r="K54" s="65"/>
      <c r="L54" s="66"/>
    </row>
    <row r="55" spans="2:12" ht="15">
      <c r="C55" s="1" t="s">
        <v>221</v>
      </c>
      <c r="D55" s="34">
        <f>SRP_PolicyStartDate</f>
        <v>46280</v>
      </c>
      <c r="I55" s="67"/>
      <c r="J55" s="68"/>
      <c r="K55" s="69"/>
      <c r="L55" s="68"/>
    </row>
    <row r="56" spans="2:12" ht="15">
      <c r="C56" s="1" t="s">
        <v>222</v>
      </c>
      <c r="D56" s="34">
        <v>26921</v>
      </c>
      <c r="I56" s="67"/>
      <c r="J56" s="70"/>
      <c r="K56" s="69"/>
      <c r="L56" s="68"/>
    </row>
    <row r="57" spans="2:12" ht="15">
      <c r="C57" s="1" t="s">
        <v>223</v>
      </c>
      <c r="D57" s="107">
        <f>DATE(YEAR(SRP_DoB)+SRP_NRA,MONTH(SRP_DoB),DAY(SRP_DoB))</f>
        <v>48836</v>
      </c>
      <c r="I57" s="67"/>
      <c r="J57" s="70"/>
      <c r="K57" s="69"/>
      <c r="L57" s="68"/>
    </row>
    <row r="58" spans="2:12" ht="15">
      <c r="C58" s="1" t="s">
        <v>224</v>
      </c>
      <c r="D58" s="99"/>
      <c r="E58" s="284"/>
      <c r="I58" s="67"/>
      <c r="J58" s="70"/>
      <c r="K58" s="69"/>
      <c r="L58" s="68"/>
    </row>
    <row r="59" spans="2:12" ht="15.75" thickBot="1">
      <c r="C59" s="1" t="s">
        <v>225</v>
      </c>
      <c r="D59" s="15">
        <v>700000</v>
      </c>
      <c r="I59" s="67"/>
      <c r="J59" s="68"/>
      <c r="K59" s="69"/>
      <c r="L59" s="68"/>
    </row>
    <row r="60" spans="2:12" ht="24" thickBot="1">
      <c r="C60" s="1" t="s">
        <v>226</v>
      </c>
      <c r="D60" s="15">
        <v>0</v>
      </c>
      <c r="F60" s="1" t="s">
        <v>227</v>
      </c>
      <c r="G60" s="15" t="s">
        <v>456</v>
      </c>
      <c r="H60" s="129" t="s">
        <v>228</v>
      </c>
      <c r="I60" s="140" t="s">
        <v>127</v>
      </c>
      <c r="J60" s="68"/>
      <c r="K60" s="71"/>
      <c r="L60" s="72"/>
    </row>
    <row r="61" spans="2:12" ht="15">
      <c r="C61" s="1" t="s">
        <v>229</v>
      </c>
      <c r="D61" s="14">
        <v>0</v>
      </c>
      <c r="F61" s="1" t="s">
        <v>230</v>
      </c>
      <c r="G61" s="257" cm="1">
        <f t="array" ref="G61">_xlfn.IFS(SRP_PremFreq = "Monthly", 12, SRP_PremFreq = "Quarterly", 4, SRP_PremFreq = "Half-Yearly", 2, SRP_PremFreq = "Annual", 1, TRUE, 0)</f>
        <v>12</v>
      </c>
      <c r="K61"/>
      <c r="L61"/>
    </row>
    <row r="62" spans="2:12">
      <c r="C62" s="1" t="s">
        <v>231</v>
      </c>
      <c r="D62" s="33">
        <f>IF(Transfer_Indicator = "Yes", 0, IF(SRP_SP&lt;=9999.99,2%,0))</f>
        <v>0</v>
      </c>
      <c r="F62" s="1" t="s">
        <v>232</v>
      </c>
      <c r="G62" s="52">
        <v>0.03</v>
      </c>
    </row>
    <row r="63" spans="2:12">
      <c r="C63" s="1" t="s">
        <v>233</v>
      </c>
      <c r="D63" s="33">
        <f>IF(SRP_AP/12&lt;=99.99,2%,0)</f>
        <v>0.02</v>
      </c>
    </row>
    <row r="64" spans="2:12">
      <c r="C64" s="1" t="s">
        <v>65</v>
      </c>
      <c r="D64" s="33">
        <f>VLOOKUP(Product_Version&amp;"_"&amp;Product_Type,Parameters!$E$6:$J$28,5,FALSE)</f>
        <v>8.9999999999999993E-3</v>
      </c>
      <c r="E64" s="62">
        <f>1-(1-D64)^(1/12)</f>
        <v>7.531116566323881E-4</v>
      </c>
      <c r="F64" s="142"/>
    </row>
    <row r="65" spans="3:6">
      <c r="C65" s="1" t="s">
        <v>234</v>
      </c>
      <c r="D65" s="241">
        <v>1</v>
      </c>
      <c r="E65" s="141"/>
    </row>
    <row r="66" spans="3:6">
      <c r="C66" s="1" t="s">
        <v>235</v>
      </c>
      <c r="D66" s="31" cm="1">
        <f t="array" ref="D66">VLOOKUP(Product_Version&amp;"_"&amp;Product_Type,Parameters!$E$6:$J$28,2,FALSE)*Commission_Uplift_Factor + _xlfn.IFS(special_deal_indicator = "Yes", special_deal_increase_sp_upfront, special_deal_indicator = "No", 0, TRUE, NA())</f>
        <v>3.5000000000000003E-2</v>
      </c>
    </row>
    <row r="67" spans="3:6">
      <c r="C67" s="1" t="s">
        <v>236</v>
      </c>
      <c r="D67" s="33">
        <f>MIN(_xlfn.XLOOKUP(Product_Type, 'Product Name Table'!$E$12:$E$21,'Product Name Table'!$J$12:$J$21)*SRP_Policy_Term,_xlfn.XLOOKUP(Product_Type,'Product Name Table'!$E$12:$E$21,'Product Name Table'!$K$12:$K$21))*Commission_Uplift_Factor</f>
        <v>6.9979466119096542E-2</v>
      </c>
    </row>
    <row r="68" spans="3:6">
      <c r="C68" s="1" t="s">
        <v>237</v>
      </c>
      <c r="D68" s="31">
        <f>VLOOKUP(Product_Version&amp;"_"&amp;Product_Type,Parameters!$E$6:$J$28,4,FALSE)</f>
        <v>2.5000000000000001E-3</v>
      </c>
      <c r="E68" s="62">
        <f>1-(1-D68)^(1/12)</f>
        <v>2.0857243058891584E-4</v>
      </c>
      <c r="F68" s="142"/>
    </row>
    <row r="69" spans="3:6">
      <c r="C69" s="1" t="s">
        <v>238</v>
      </c>
      <c r="D69" s="48" t="s">
        <v>239</v>
      </c>
      <c r="E69" s="1" t="s">
        <v>240</v>
      </c>
      <c r="F69" s="20"/>
    </row>
    <row r="70" spans="3:6">
      <c r="C70" s="1" t="s">
        <v>241</v>
      </c>
      <c r="D70" s="49">
        <v>0.42</v>
      </c>
      <c r="E70" s="1" t="s">
        <v>242</v>
      </c>
    </row>
    <row r="71" spans="3:6">
      <c r="C71" s="1" t="s">
        <v>243</v>
      </c>
      <c r="D71" s="49">
        <v>0.5</v>
      </c>
      <c r="E71" s="1" t="s">
        <v>242</v>
      </c>
    </row>
    <row r="72" spans="3:6">
      <c r="C72" s="1" t="s">
        <v>244</v>
      </c>
      <c r="D72" s="55">
        <f>(D54-D56)/365.25</f>
        <v>53.002053388090346</v>
      </c>
    </row>
    <row r="73" spans="3:6">
      <c r="C73" s="1" t="s">
        <v>245</v>
      </c>
      <c r="D73" s="55">
        <f>(D55-D56)/365.25</f>
        <v>53.002053388090346</v>
      </c>
    </row>
    <row r="74" spans="3:6">
      <c r="C74" s="1" t="s">
        <v>246</v>
      </c>
      <c r="D74" s="15">
        <v>60</v>
      </c>
    </row>
    <row r="75" spans="3:6">
      <c r="C75" s="1" t="s">
        <v>247</v>
      </c>
      <c r="D75" s="209">
        <f>SRP_NRA-SRP_Age_at_Entry</f>
        <v>6.9979466119096543</v>
      </c>
    </row>
    <row r="76" spans="3:6">
      <c r="C76" s="1" t="s">
        <v>248</v>
      </c>
      <c r="D76" s="50">
        <v>2013</v>
      </c>
      <c r="E76" s="1" t="s">
        <v>240</v>
      </c>
    </row>
    <row r="77" spans="3:6">
      <c r="C77" s="1" t="s">
        <v>249</v>
      </c>
      <c r="D77" s="32">
        <f>YEAR(D55)</f>
        <v>2026</v>
      </c>
    </row>
    <row r="78" spans="3:6">
      <c r="C78" s="1" t="s">
        <v>250</v>
      </c>
      <c r="D78" s="210">
        <f>(1+E78)^(1/12)-1</f>
        <v>4.1816398110932074E-3</v>
      </c>
      <c r="E78" s="306">
        <f>F5</f>
        <v>5.1349999999999993E-2</v>
      </c>
    </row>
    <row r="79" spans="3:6">
      <c r="C79" s="1" t="s">
        <v>251</v>
      </c>
      <c r="D79" s="52">
        <v>3.7499999999999999E-2</v>
      </c>
      <c r="E79" s="1" t="s">
        <v>242</v>
      </c>
    </row>
    <row r="80" spans="3:6">
      <c r="C80" s="1" t="s">
        <v>252</v>
      </c>
      <c r="D80" s="51">
        <v>0.03</v>
      </c>
      <c r="E80" s="1" t="s">
        <v>242</v>
      </c>
    </row>
    <row r="81" spans="1:69">
      <c r="C81" s="1" t="s">
        <v>253</v>
      </c>
      <c r="D81" s="51">
        <v>0.02</v>
      </c>
      <c r="E81" s="1" t="s">
        <v>240</v>
      </c>
    </row>
    <row r="82" spans="1:69">
      <c r="C82" s="1" t="s">
        <v>254</v>
      </c>
      <c r="D82" s="52">
        <v>4.4000000000000003E-3</v>
      </c>
      <c r="E82" s="1" t="s">
        <v>240</v>
      </c>
    </row>
    <row r="83" spans="1:69">
      <c r="C83" s="1" t="s">
        <v>255</v>
      </c>
      <c r="D83" s="52">
        <v>3.3E-3</v>
      </c>
      <c r="E83" s="1" t="s">
        <v>240</v>
      </c>
    </row>
    <row r="84" spans="1:69" ht="14.25" thickBot="1">
      <c r="C84" s="1" t="s">
        <v>256</v>
      </c>
      <c r="D84" s="46">
        <v>5</v>
      </c>
    </row>
    <row r="85" spans="1:69" ht="14.25" thickBot="1">
      <c r="C85" s="1" t="s">
        <v>257</v>
      </c>
      <c r="D85" s="55">
        <f>((SRP_NRA-SRP_Current_Age)*12+1-A91)</f>
        <v>0.97535934291585136</v>
      </c>
      <c r="BA85" s="1" t="s">
        <v>258</v>
      </c>
      <c r="BB85" s="59" t="s">
        <v>259</v>
      </c>
      <c r="BC85" s="214">
        <f>IRR(BC91:BC690,0)</f>
        <v>4.1804131018503554E-3</v>
      </c>
      <c r="BD85" s="215">
        <f>IRR(BD91:BD690,0)</f>
        <v>3.2170015984021028E-3</v>
      </c>
      <c r="BE85" s="61" t="s">
        <v>260</v>
      </c>
    </row>
    <row r="86" spans="1:69" ht="14.25" thickBot="1">
      <c r="C86" s="1" t="s">
        <v>261</v>
      </c>
      <c r="D86" s="15" t="s">
        <v>122</v>
      </c>
      <c r="G86" s="246"/>
      <c r="R86" s="246"/>
      <c r="S86" s="246"/>
      <c r="AA86" s="246"/>
      <c r="BB86" s="60" t="s">
        <v>262</v>
      </c>
      <c r="BC86" s="88">
        <f>(1+BC85)^12-1</f>
        <v>5.133458814167291E-2</v>
      </c>
      <c r="BD86" s="98">
        <f>(1+BD85)^12-1</f>
        <v>3.929443749906647E-2</v>
      </c>
      <c r="BE86" s="213">
        <f>BC86-BD86</f>
        <v>1.204015064260644E-2</v>
      </c>
    </row>
    <row r="87" spans="1:69" ht="15">
      <c r="C87" s="1" t="s">
        <v>263</v>
      </c>
      <c r="D87" s="15" t="s">
        <v>127</v>
      </c>
      <c r="G87" s="246"/>
      <c r="R87" s="246"/>
      <c r="S87" s="246"/>
      <c r="AA87" s="246"/>
      <c r="BC87"/>
      <c r="BD87"/>
      <c r="BE87"/>
    </row>
    <row r="88" spans="1:69" ht="15">
      <c r="C88" s="1" t="s">
        <v>264</v>
      </c>
      <c r="D88" s="278">
        <v>0</v>
      </c>
      <c r="G88" s="246"/>
      <c r="R88" s="246"/>
      <c r="S88" s="246"/>
      <c r="AA88" s="246"/>
      <c r="AH88" s="36"/>
      <c r="BC88"/>
      <c r="BD88"/>
      <c r="BE88"/>
    </row>
    <row r="89" spans="1:69">
      <c r="B89" s="2" t="s">
        <v>265</v>
      </c>
      <c r="H89" s="36"/>
      <c r="I89" s="36"/>
    </row>
    <row r="90" spans="1:69" s="102" customFormat="1" ht="35.25" customHeight="1">
      <c r="A90" s="102" t="s">
        <v>266</v>
      </c>
      <c r="B90" s="103" t="s">
        <v>267</v>
      </c>
      <c r="C90" s="103" t="s">
        <v>200</v>
      </c>
      <c r="D90" s="102" t="s">
        <v>174</v>
      </c>
      <c r="E90" s="102" t="s">
        <v>268</v>
      </c>
      <c r="F90" s="102" t="s">
        <v>269</v>
      </c>
      <c r="G90" s="102" t="s">
        <v>270</v>
      </c>
      <c r="H90" s="102" t="s">
        <v>271</v>
      </c>
      <c r="I90" s="102" t="s">
        <v>272</v>
      </c>
      <c r="J90" s="103" t="s">
        <v>273</v>
      </c>
      <c r="K90" s="102" t="s">
        <v>274</v>
      </c>
      <c r="L90" s="102" t="s">
        <v>275</v>
      </c>
      <c r="M90" s="102" t="s">
        <v>276</v>
      </c>
      <c r="N90" s="102" t="s">
        <v>277</v>
      </c>
      <c r="O90" s="102" t="s">
        <v>278</v>
      </c>
      <c r="P90" s="102" t="s">
        <v>225</v>
      </c>
      <c r="Q90" s="102" t="s">
        <v>279</v>
      </c>
      <c r="R90" s="102" t="s">
        <v>280</v>
      </c>
      <c r="S90" s="102" t="s">
        <v>281</v>
      </c>
      <c r="T90" s="102" t="s">
        <v>282</v>
      </c>
      <c r="U90" s="102" t="s">
        <v>283</v>
      </c>
      <c r="V90" s="102" t="s">
        <v>284</v>
      </c>
      <c r="W90" s="103" t="s">
        <v>285</v>
      </c>
      <c r="X90" s="103" t="s">
        <v>286</v>
      </c>
      <c r="Y90" s="103" t="s">
        <v>287</v>
      </c>
      <c r="Z90" s="103" t="s">
        <v>288</v>
      </c>
      <c r="AA90" s="103" t="s">
        <v>289</v>
      </c>
      <c r="AC90" s="102" t="s">
        <v>290</v>
      </c>
      <c r="AD90" s="103" t="s">
        <v>59</v>
      </c>
      <c r="AE90" s="103"/>
      <c r="AF90" s="103" t="s">
        <v>291</v>
      </c>
      <c r="AG90" s="103" t="s">
        <v>292</v>
      </c>
      <c r="AH90" s="103" t="s">
        <v>293</v>
      </c>
      <c r="AJ90" s="102">
        <f>$C$20</f>
        <v>1</v>
      </c>
      <c r="AK90" s="102">
        <f>$C$21</f>
        <v>2</v>
      </c>
      <c r="AL90" s="102">
        <f>$C$22</f>
        <v>3</v>
      </c>
      <c r="AM90" s="102">
        <f>$C$23</f>
        <v>4</v>
      </c>
      <c r="AN90" s="102">
        <f>$C$24</f>
        <v>5</v>
      </c>
      <c r="AO90" s="102" t="str">
        <f>$C$25</f>
        <v/>
      </c>
      <c r="AP90" s="102" t="str">
        <f>$C$26</f>
        <v/>
      </c>
      <c r="AQ90" s="102" t="str">
        <f>$C$27</f>
        <v/>
      </c>
      <c r="AR90" s="102">
        <v>25</v>
      </c>
      <c r="AS90" s="102">
        <v>30</v>
      </c>
      <c r="AT90" s="102">
        <v>35</v>
      </c>
      <c r="AU90" s="102">
        <v>40</v>
      </c>
      <c r="AV90" s="104" t="s">
        <v>294</v>
      </c>
      <c r="AW90" s="102" t="s">
        <v>295</v>
      </c>
      <c r="AY90" s="102" t="s">
        <v>174</v>
      </c>
      <c r="AZ90" s="102" t="s">
        <v>296</v>
      </c>
      <c r="BA90" s="102" t="s">
        <v>297</v>
      </c>
      <c r="BB90" s="102" t="s">
        <v>298</v>
      </c>
      <c r="BC90" s="102" t="s">
        <v>299</v>
      </c>
      <c r="BD90" s="102" t="s">
        <v>300</v>
      </c>
      <c r="BF90" s="102" t="s">
        <v>301</v>
      </c>
      <c r="BG90" s="102" t="s">
        <v>302</v>
      </c>
      <c r="BH90" s="102" t="s">
        <v>224</v>
      </c>
      <c r="BI90" s="102" t="s">
        <v>303</v>
      </c>
      <c r="BJ90" s="102" t="s">
        <v>304</v>
      </c>
      <c r="BK90" s="102" t="s">
        <v>305</v>
      </c>
      <c r="BL90" s="102" t="s">
        <v>306</v>
      </c>
      <c r="BN90" s="102" t="s">
        <v>307</v>
      </c>
      <c r="BO90" s="102" t="s">
        <v>303</v>
      </c>
      <c r="BP90" s="102" t="s">
        <v>308</v>
      </c>
      <c r="BQ90" s="102" t="s">
        <v>308</v>
      </c>
    </row>
    <row r="91" spans="1:69">
      <c r="A91" s="47">
        <f>ROUNDUP((SRP_NRA-SRP_Current_Age)*12,0)</f>
        <v>84</v>
      </c>
      <c r="B91" s="47">
        <f>INT(SRP_Current_Age)</f>
        <v>53</v>
      </c>
      <c r="C91" s="211">
        <v>1</v>
      </c>
      <c r="D91" s="212">
        <v>1</v>
      </c>
      <c r="E91" s="74">
        <f>MIN(IF(AV91=0,0,
IF(Investment_Strategy="DIS",VLOOKUP(Investment_Strategy&amp;"_"&amp;Investment_Strategy_Sub1&amp;"_"&amp;$A91,'Investment Strategies'!$AZ:$BP,12,FALSE),
IF(AND(Investment_Strategy="Lifecycle",Investment_Strategy_Sub1="Non-Standard"),VLOOKUP(Investment_Strategy&amp;"_"&amp;Investment_Strategy_Sub2&amp;"_"&amp;$A91,'Investment Strategies'!$C:$P,9,FALSE),
IF(AND(Investment_Strategy="Lifecycle",Investment_Strategy_Sub1="Standard"),VLOOKUP(Investment_Strategy&amp;"_"&amp;Investment_Strategy_Sub2&amp;"_"&amp;$A91,'Investment Strategies'!$AJ:$AV,8,FALSE),
IF(AND(Investment_Strategy="Autopilot",Investment_Strategy_Sub1="Non-Standard"),VLOOKUP(Investment_Strategy&amp;"_"&amp;Investment_Strategy_Sub2&amp;"_"&amp;$A91,'Investment Strategies'!$T:$AF,8,FALSE),
IF(Investment_Strategy ="DIY",DIY_RateOfReturn_CurrentFunds,
"Error")))))),Max_InvReturn)</f>
        <v>4.1816398110932074E-3</v>
      </c>
      <c r="F91" s="62">
        <f>IF(AV91=0,0,
IF(Investment_Strategy="DIS",VLOOKUP(Investment_Strategy&amp;"_"&amp;Investment_Strategy_Sub1&amp;"_"&amp;$A91,'Investment Strategies'!$AZ:$BP,15,FALSE),
IF(AND(Investment_Strategy="Lifecycle",Investment_Strategy_Sub1="Non-Standard"),VLOOKUP(Investment_Strategy&amp;"_"&amp;Investment_Strategy_Sub2&amp;"_"&amp;$A91,'Investment Strategies'!$C:$P,12,FALSE),
IF(AND(Investment_Strategy="Lifecycle",Investment_Strategy_Sub1="Standard"),VLOOKUP(Investment_Strategy&amp;"_"&amp;Investment_Strategy_Sub2&amp;"_"&amp;$A91,'Investment Strategies'!$AJ:$AV,11,FALSE),
IF(AND(Investment_Strategy="Autopilot",Investment_Strategy_Sub1="Non-Standard"),VLOOKUP(Investment_Strategy&amp;"_"&amp;Investment_Strategy_Sub2&amp;"_"&amp;$A91,'Investment Strategies'!$T:$AF,11,FALSE),
IF(Investment_Strategy="DIY",DIY_GteeChrge_CurrentFunds,
"Error"))))))</f>
        <v>5.4328711526985263E-4</v>
      </c>
      <c r="G91" s="33">
        <f>IF(AV91=0,0,
IF(Investment_Strategy="DIS",VLOOKUP(Investment_Strategy&amp;"_"&amp;Investment_Strategy_Sub1&amp;"_"&amp;$A91,'Investment Strategies'!$AZ:$BP,17,FALSE),
IF(AND(Investment_Strategy="Lifecycle",Investment_Strategy_Sub1="Non-Standard"),VLOOKUP(Investment_Strategy&amp;"_"&amp;Investment_Strategy_Sub2&amp;"_"&amp;$A91,'Investment Strategies'!$C:$P,14,FALSE),
IF(AND(Investment_Strategy="Lifecycle",Investment_Strategy_Sub1="Standard"),VLOOKUP(Investment_Strategy&amp;"_"&amp;Investment_Strategy_Sub2&amp;"_"&amp;$A91,'Investment Strategies'!$AJ:$AV,13,FALSE),
IF(AND(Investment_Strategy="Autopilot",Investment_Strategy_Sub1="Non-Standard"),VLOOKUP(Investment_Strategy&amp;"_"&amp;Investment_Strategy_Sub2&amp;"_"&amp;$A91,'Investment Strategies'!$T:$AF,13,FALSE),
IF(Investment_Strategy="DIY",DIY_ExtManChrge_CurrentFunds,
"Error"))))))</f>
        <v>2.0857243058891584E-4</v>
      </c>
      <c r="H91" s="105">
        <f>Opening_Fund_Value</f>
        <v>0</v>
      </c>
      <c r="I91" s="16">
        <f t="shared" ref="I91:I154" si="13">(H91*E91)*IF(D91=$A$91,SRP_finalmonthfactor,1)</f>
        <v>0</v>
      </c>
      <c r="J91" s="16">
        <f t="shared" ref="J91:J154" si="14">IF($AV91=0,0,
-((H91+I91/2)*(SRP_Monthly_Admin_Chge+F91+G91)*IF(D91=$A$91,SRP_finalmonthfactor,1)))</f>
        <v>0</v>
      </c>
      <c r="K91" s="105">
        <f>Opening_Fund_Value*E91*IF(D91=$A$91,SRP_finalmonthfactor,1)</f>
        <v>0</v>
      </c>
      <c r="L91" s="74">
        <f>MIN(IF($AV91=0,0,
IF(Investment_Strategy="DIS",VLOOKUP(Investment_Strategy&amp;"_"&amp;Investment_Strategy_Sub1&amp;"_"&amp;$A91,'Investment Strategies'!$AZ:$BP,12,FALSE),
IF(AND(Investment_Strategy="Lifecycle",Investment_Strategy_Sub1="Non-Standard"),VLOOKUP(Investment_Strategy&amp;"_"&amp;Investment_Strategy_Sub2&amp;"_"&amp;$A91,'Investment Strategies'!$C:$P,9,FALSE),
IF(AND(Investment_Strategy="Lifecycle",Investment_Strategy_Sub1="Standard"),VLOOKUP(Investment_Strategy&amp;"_"&amp;Investment_Strategy_Sub2&amp;"_"&amp;$A91,'Investment Strategies'!$AJ:$AV,8,FALSE),
IF(AND(Investment_Strategy="Autopilot",Investment_Strategy_Sub1="Non-Standard"),VLOOKUP(Investment_Strategy&amp;"_"&amp;Investment_Strategy_Sub2&amp;"_"&amp;$A91,'Investment Strategies'!$T:$AF,8,FALSE),
IF(Investment_Strategy ="DIY",DIY_RateofReturn_SP,
"Error")))))),Max_InvReturn)</f>
        <v>4.1816398110932074E-3</v>
      </c>
      <c r="M91" s="62">
        <f>IF($AV91=0,0,
IF(Investment_Strategy="DIS",VLOOKUP(Investment_Strategy&amp;"_"&amp;Investment_Strategy_Sub1&amp;"_"&amp;$A91,'Investment Strategies'!$AZ:$BP,15,FALSE),
IF(AND(Investment_Strategy="Lifecycle",Investment_Strategy_Sub1="Non-Standard"),VLOOKUP(Investment_Strategy&amp;"_"&amp;Investment_Strategy_Sub2&amp;"_"&amp;$A91,'Investment Strategies'!$C:$P,12,FALSE),
IF(AND(Investment_Strategy="Lifecycle",Investment_Strategy_Sub1="Standard"),VLOOKUP(Investment_Strategy&amp;"_"&amp;Investment_Strategy_Sub2&amp;"_"&amp;$A91,'Investment Strategies'!$AJ:$AV,11,FALSE),
IF(AND(Investment_Strategy="Autopilot",Investment_Strategy_Sub1="Non-Standard"),VLOOKUP(Investment_Strategy&amp;"_"&amp;Investment_Strategy_Sub2&amp;"_"&amp;$A91,'Investment Strategies'!$T:$AF,11,FALSE),
IF(Investment_Strategy="DIY",DIY_GteeChrge_SP,
"Error"))))))</f>
        <v>0</v>
      </c>
      <c r="N91" s="33">
        <f>IF($AV91=0,0,
IF(Investment_Strategy="DIS",VLOOKUP(Investment_Strategy&amp;"_"&amp;Investment_Strategy_Sub1&amp;"_"&amp;$A91,'Investment Strategies'!$AZ:$BP,17,FALSE),
IF(AND(Investment_Strategy="Lifecycle",Investment_Strategy_Sub1="Non-Standard"),VLOOKUP(Investment_Strategy&amp;"_"&amp;Investment_Strategy_Sub2&amp;"_"&amp;$A91,'Investment Strategies'!$C:$P,14,FALSE),
IF(AND(Investment_Strategy="Lifecycle",Investment_Strategy_Sub1="Standard"),VLOOKUP(Investment_Strategy&amp;"_"&amp;Investment_Strategy_Sub2&amp;"_"&amp;$A91,'Investment Strategies'!$AJ:$AV,13,FALSE),
IF(AND(Investment_Strategy="Autopilot",Investment_Strategy_Sub1="Non-Standard"),VLOOKUP(Investment_Strategy&amp;"_"&amp;Investment_Strategy_Sub2&amp;"_"&amp;$A91,'Investment Strategies'!$T:$AF,13,FALSE),
IF(Investment_Strategy="DIY",DIY_ExtManChrge_SP,
"Error"))))))</f>
        <v>2.0857243058891584E-4</v>
      </c>
      <c r="O91" s="106"/>
      <c r="P91" s="16">
        <f>SRP_SP</f>
        <v>700000</v>
      </c>
      <c r="Q91" s="16">
        <f t="shared" ref="Q91:Q154" si="15">(O91+(P91*(1-SRP_Contrib_Chge_SP)))*L91*IF(D91=$A$91,SRP_finalmonthfactor,1)</f>
        <v>2927.1478677652453</v>
      </c>
      <c r="R91" s="16">
        <f t="shared" ref="R91:R154" si="16">IF($AV91=0,0,
-(($O91+($P91)*(1-SRP_Contrib_Chge_SP)+Q91/2)*(SRP_Monthly_Admin_Chge+$M91+$N91)*IF(D91=$A$91,SRP_finalmonthfactor,1)+
($P91)*SRP_Contrib_Chge_SP))</f>
        <v>-674.58635681759961</v>
      </c>
      <c r="S91" s="105">
        <f>SUM(O91:P91)*L91*IF(D91=$A$91,SRP_finalmonthfactor,1)</f>
        <v>2927.1478677652453</v>
      </c>
      <c r="T91" s="74">
        <f>MIN(IF($AV91=0,0,
IF(Investment_Strategy="DIS",VLOOKUP(Investment_Strategy&amp;"_"&amp;Investment_Strategy_Sub1&amp;"_"&amp;$A91,'Investment Strategies'!$AZ:$BP,12,FALSE),
IF(AND(Investment_Strategy="Lifecycle",Investment_Strategy_Sub1="Non-Standard"),VLOOKUP(Investment_Strategy&amp;"_"&amp;Investment_Strategy_Sub2&amp;"_"&amp;$A91,'Investment Strategies'!$C:$P,9,FALSE),
IF(AND(Investment_Strategy="Lifecycle",Investment_Strategy_Sub1="Standard"),VLOOKUP(Investment_Strategy&amp;"_"&amp;Investment_Strategy_Sub2&amp;"_"&amp;$A91,'Investment Strategies'!$AJ:$AV,8,FALSE),
IF(AND(Investment_Strategy="Autopilot",Investment_Strategy_Sub1="Non-Standard"),VLOOKUP(Investment_Strategy&amp;"_"&amp;Investment_Strategy_Sub2&amp;"_"&amp;$A91,'Investment Strategies'!$T:$AF,8,FALSE),
IF(Investment_Strategy ="DIY",DIY_RateOfReturn_FuturePremiums,
"Error")))))),Max_InvReturn)</f>
        <v>4.1816398110932074E-3</v>
      </c>
      <c r="U91" s="62">
        <f>IF($AV91=0,0,
IF(Investment_Strategy="DIS",VLOOKUP(Investment_Strategy&amp;"_"&amp;Investment_Strategy_Sub1&amp;"_"&amp;$A91,'Investment Strategies'!$AZ:$BP,15,FALSE),
IF(AND(Investment_Strategy="Lifecycle",Investment_Strategy_Sub1="Non-Standard"),VLOOKUP(Investment_Strategy&amp;"_"&amp;Investment_Strategy_Sub2&amp;"_"&amp;$A91,'Investment Strategies'!$C:$P,12,FALSE),
IF(AND(Investment_Strategy="Lifecycle",Investment_Strategy_Sub1="Standard"),VLOOKUP(Investment_Strategy&amp;"_"&amp;Investment_Strategy_Sub2&amp;"_"&amp;$A91,'Investment Strategies'!$AJ:$AV,11,FALSE),
IF(AND(Investment_Strategy="Autopilot",Investment_Strategy_Sub1="Non-Standard"),VLOOKUP(Investment_Strategy&amp;"_"&amp;Investment_Strategy_Sub2&amp;"_"&amp;$A91,'Investment Strategies'!$T:$AF,11,FALSE),
IF(Investment_Strategy="DIY",DIY_GteeChrge_FuturePremiums,
"Error"))))))</f>
        <v>0</v>
      </c>
      <c r="V91" s="33">
        <f>IF($AV91=0,0,
IF(Investment_Strategy="DIS",VLOOKUP(Investment_Strategy&amp;"_"&amp;Investment_Strategy_Sub1&amp;"_"&amp;$A91,'Investment Strategies'!$AZ:$BP,17,FALSE),
IF(AND(Investment_Strategy="Lifecycle",Investment_Strategy_Sub1="Non-Standard"),VLOOKUP(Investment_Strategy&amp;"_"&amp;Investment_Strategy_Sub2&amp;"_"&amp;$A91,'Investment Strategies'!$C:$P,14,FALSE),
IF(AND(Investment_Strategy="Lifecycle",Investment_Strategy_Sub1="Standard"),VLOOKUP(Investment_Strategy&amp;"_"&amp;Investment_Strategy_Sub2&amp;"_"&amp;$A91,'Investment Strategies'!$AJ:$AV,13,FALSE),
IF(AND(Investment_Strategy="Autopilot",Investment_Strategy_Sub1="Non-Standard"),VLOOKUP(Investment_Strategy&amp;"_"&amp;Investment_Strategy_Sub2&amp;"_"&amp;$A91,'Investment Strategies'!$T:$AF,13,FALSE),
IF(Investment_Strategy="DIY",DIY_ExtManChrge_FuturePremiums,
"Error"))))))</f>
        <v>1.2508601994698498E-4</v>
      </c>
      <c r="X91" s="16">
        <f t="shared" ref="X91:X154" si="17">SRP_AP/Contributions_per_year * (1+MIN(Max_Contrib_Escalation,SRP_Contrib_Escalation))^($C91-1) * $AV91 * $AW91</f>
        <v>0</v>
      </c>
      <c r="Y91" s="16">
        <f t="shared" ref="Y91:Y154" si="18">(W91+(X91*(1-Z91)))*T91*IF(D91=$A$91,SRP_finalmonthfactor,1)</f>
        <v>0</v>
      </c>
      <c r="Z91" s="31">
        <f t="shared" ref="Z91:Z154" si="19">IF(X91/(12/Contributions_per_year)&lt;=99.99,2%,0%)*AW91</f>
        <v>0.02</v>
      </c>
      <c r="AA91" s="16">
        <f t="shared" ref="AA91:AA154" si="20">IF($AV91=0,0,
-(($W91+($X91)*(1-Z91)+Y91/2)*(SRP_Monthly_Admin_Chge+$U91+$V91)*IF(D91=$A$91,SRP_finalmonthfactor,1)+
+($X91)*Z91))</f>
        <v>0</v>
      </c>
      <c r="AC91" s="63">
        <f>(W91+X91)*T91*IF(D91=$A$91,SRP_finalmonthfactor,1)</f>
        <v>0</v>
      </c>
      <c r="AD91" s="16">
        <f t="shared" ref="AD91:AD154" si="21">IF($AV91=0,0,
IF((SRP_ValDate-SRP_PolicyStartDate)+(365*(D91-1)/12)&lt;365,-(($H91+$I91/2+$O91+$P91+Q91/2+$W91+$X91+Y91/2)*(SRP_Ren_Com_Mthly)+($P91*SRP_Init_Com_SP)+($X91*SRP_Init_Com_RP)),
-((H$91+$I91/2+$O91+$P91+Q91/2+$W91+$X91+Y91/2)*(SRP_Ren_Com_Mthly))))</f>
        <v>-24646.305962584982</v>
      </c>
      <c r="AE91" s="106"/>
      <c r="AF91" s="16">
        <f>H91+O91+W91</f>
        <v>0</v>
      </c>
      <c r="AG91" s="16">
        <f>SUM($K91,$S91,$AC91)</f>
        <v>2927.1478677652453</v>
      </c>
      <c r="AH91" s="16">
        <f>SUM($J91,$R91,$AA91)</f>
        <v>-674.58635681759961</v>
      </c>
      <c r="AJ91" s="13">
        <f t="shared" ref="AJ91:AU100" si="22">IF($C91&lt;=AJ$90,1,0)</f>
        <v>1</v>
      </c>
      <c r="AK91" s="13">
        <f t="shared" si="22"/>
        <v>1</v>
      </c>
      <c r="AL91" s="13">
        <f t="shared" si="22"/>
        <v>1</v>
      </c>
      <c r="AM91" s="13">
        <f t="shared" si="22"/>
        <v>1</v>
      </c>
      <c r="AN91" s="13">
        <f t="shared" si="22"/>
        <v>1</v>
      </c>
      <c r="AO91" s="13">
        <f t="shared" si="22"/>
        <v>1</v>
      </c>
      <c r="AP91" s="13">
        <f t="shared" si="22"/>
        <v>1</v>
      </c>
      <c r="AQ91" s="13">
        <f t="shared" si="22"/>
        <v>1</v>
      </c>
      <c r="AR91" s="13">
        <f t="shared" si="22"/>
        <v>1</v>
      </c>
      <c r="AS91" s="13">
        <f t="shared" si="22"/>
        <v>1</v>
      </c>
      <c r="AT91" s="13">
        <f t="shared" si="22"/>
        <v>1</v>
      </c>
      <c r="AU91" s="13">
        <f t="shared" si="22"/>
        <v>1</v>
      </c>
      <c r="AV91" s="13">
        <f t="shared" ref="AV91:AV154" si="23">IF($B91&lt;SRP_NRA,1,0)</f>
        <v>1</v>
      </c>
      <c r="AW91" s="13">
        <f>IF($I$60 = "Yes",IF(SRP_PremFreq = "Annual",IF(MOD(D91-1, 12) = 0, 1, 0), IF(SRP_PremFreq = "Half-Yearly", IF(MOD(D91-1, 6) = 0, 1, 0), IF(SRP_PremFreq = "Quarterly", IF(MOD(D91-1, 3) = 0, 1, 0), IF(SRP_PremFreq = "Monthly", IF(MOD(D91-1, 1) = 0, 1, 0), "Error")))),0)</f>
        <v>1</v>
      </c>
      <c r="AY91" s="17">
        <f t="shared" ref="AY91:AY154" si="24">D91</f>
        <v>1</v>
      </c>
      <c r="AZ91" s="63">
        <f>X91+P91+H91</f>
        <v>700000</v>
      </c>
      <c r="BA91" s="13">
        <f t="shared" ref="BA91:BA154" si="25">-IF(A91=0,$F$32,0)</f>
        <v>0</v>
      </c>
      <c r="BB91" s="13">
        <f t="shared" ref="BB91:BB154" si="26">-IF(A91=0,$G$32,0)</f>
        <v>0</v>
      </c>
      <c r="BC91" s="28">
        <f>SUM(AZ91,BA91)</f>
        <v>700000</v>
      </c>
      <c r="BD91" s="28">
        <f>SUM(AZ91,BB91)</f>
        <v>700000</v>
      </c>
      <c r="BF91" s="248">
        <f>IF(ISNUMBER(BF90), (BF90+X91), (P91+X91))*(1+T91)</f>
        <v>702927.14786776528</v>
      </c>
      <c r="BG91" s="36">
        <f>P91+X91</f>
        <v>700000</v>
      </c>
      <c r="BH91" s="36">
        <f>IF(ISNUMBER(BH90), BG91+BP90, BG91)</f>
        <v>700000</v>
      </c>
      <c r="BI91" s="249">
        <f>E91</f>
        <v>4.1816398110932074E-3</v>
      </c>
      <c r="BJ91" s="246">
        <f>N91</f>
        <v>2.0857243058891584E-4</v>
      </c>
      <c r="BK91" s="246">
        <f t="shared" ref="BK91:BK154" si="27">SRP_Monthly_Admin_Chge+U91</f>
        <v>7.531116566323881E-4</v>
      </c>
      <c r="BL91" s="246">
        <f>U91</f>
        <v>0</v>
      </c>
      <c r="BM91" s="246">
        <f>BJ91+BK91+BL91</f>
        <v>9.6168408722130394E-4</v>
      </c>
      <c r="BN91" s="36">
        <f>BH91*(1+BI91/2)*(BM91)</f>
        <v>674.58635681759949</v>
      </c>
      <c r="BO91" s="36">
        <f>BH91*BI91</f>
        <v>2927.1478677652453</v>
      </c>
      <c r="BP91" s="36">
        <f>BH91+BO91-BN91</f>
        <v>702252.56151094765</v>
      </c>
    </row>
    <row r="92" spans="1:69">
      <c r="A92" s="32">
        <f>A91-1</f>
        <v>83</v>
      </c>
      <c r="B92" s="32">
        <f t="shared" ref="B92:B155" si="28">INT(SRP_Current_Age+D91/12)</f>
        <v>53</v>
      </c>
      <c r="C92" s="32">
        <f t="shared" ref="C92" si="29">INT((D92-1)/12)+1</f>
        <v>1</v>
      </c>
      <c r="D92" s="32">
        <f>D91+1</f>
        <v>2</v>
      </c>
      <c r="E92" s="74">
        <f>MIN(IF(AV92=0,0,
IF(Investment_Strategy="DIS",VLOOKUP(Investment_Strategy&amp;"_"&amp;Investment_Strategy_Sub1&amp;"_"&amp;$A92,'Investment Strategies'!$AZ:$BP,12,FALSE),
IF(AND(Investment_Strategy="Lifecycle",Investment_Strategy_Sub1="Non-Standard"),VLOOKUP(Investment_Strategy&amp;"_"&amp;Investment_Strategy_Sub2&amp;"_"&amp;$A92,'Investment Strategies'!$C:$P,9,FALSE),
IF(AND(Investment_Strategy="Lifecycle",Investment_Strategy_Sub1="Standard"),VLOOKUP(Investment_Strategy&amp;"_"&amp;Investment_Strategy_Sub2&amp;"_"&amp;$A92,'Investment Strategies'!$AJ:$AV,8,FALSE),
IF(AND(Investment_Strategy="Autopilot",Investment_Strategy_Sub1="Non-Standard"),VLOOKUP(Investment_Strategy&amp;"_"&amp;Investment_Strategy_Sub2&amp;"_"&amp;$A92,'Investment Strategies'!$T:$AF,8,FALSE),
IF(Investment_Strategy ="DIY",DIY_RateOfReturn_CurrentFunds,
"Error")))))),Max_InvReturn)</f>
        <v>4.1816398110932074E-3</v>
      </c>
      <c r="F92" s="62">
        <f>IF(AV92=0,0,
IF(Investment_Strategy="DIS",VLOOKUP(Investment_Strategy&amp;"_"&amp;Investment_Strategy_Sub1&amp;"_"&amp;$A92,'Investment Strategies'!$AZ:$BP,15,FALSE),
IF(AND(Investment_Strategy="Lifecycle",Investment_Strategy_Sub1="Non-Standard"),VLOOKUP(Investment_Strategy&amp;"_"&amp;Investment_Strategy_Sub2&amp;"_"&amp;$A92,'Investment Strategies'!$C:$P,12,FALSE),
IF(AND(Investment_Strategy="Lifecycle",Investment_Strategy_Sub1="Standard"),VLOOKUP(Investment_Strategy&amp;"_"&amp;Investment_Strategy_Sub2&amp;"_"&amp;$A92,'Investment Strategies'!$AJ:$AV,11,FALSE),
IF(AND(Investment_Strategy="Autopilot",Investment_Strategy_Sub1="Non-Standard"),VLOOKUP(Investment_Strategy&amp;"_"&amp;Investment_Strategy_Sub2&amp;"_"&amp;$A92,'Investment Strategies'!$T:$AF,11,FALSE),
IF(Investment_Strategy="DIY",DIY_GteeChrge_CurrentFunds,
"Error"))))))</f>
        <v>5.4328711526985263E-4</v>
      </c>
      <c r="G92" s="33">
        <f>IF(AV92=0,0,
IF(Investment_Strategy="DIS",VLOOKUP(Investment_Strategy&amp;"_"&amp;Investment_Strategy_Sub1&amp;"_"&amp;$A92,'Investment Strategies'!$AZ:$BP,17,FALSE),
IF(AND(Investment_Strategy="Lifecycle",Investment_Strategy_Sub1="Non-Standard"),VLOOKUP(Investment_Strategy&amp;"_"&amp;Investment_Strategy_Sub2&amp;"_"&amp;$A92,'Investment Strategies'!$C:$P,14,FALSE),
IF(AND(Investment_Strategy="Lifecycle",Investment_Strategy_Sub1="Standard"),VLOOKUP(Investment_Strategy&amp;"_"&amp;Investment_Strategy_Sub2&amp;"_"&amp;$A92,'Investment Strategies'!$AJ:$AV,13,FALSE),
IF(AND(Investment_Strategy="Autopilot",Investment_Strategy_Sub1="Non-Standard"),VLOOKUP(Investment_Strategy&amp;"_"&amp;Investment_Strategy_Sub2&amp;"_"&amp;$A92,'Investment Strategies'!$T:$AF,13,FALSE),
IF(Investment_Strategy="DIY",DIY_ExtManChrge_CurrentFunds,
"Error"))))))</f>
        <v>2.0857243058891584E-4</v>
      </c>
      <c r="H92" s="16">
        <f t="shared" ref="H92:H155" si="30">IF($AV91=0,0,SUM(H91:J91))</f>
        <v>0</v>
      </c>
      <c r="I92" s="16">
        <f t="shared" si="13"/>
        <v>0</v>
      </c>
      <c r="J92" s="16">
        <f t="shared" si="14"/>
        <v>0</v>
      </c>
      <c r="K92" s="16">
        <f>(Opening_Fund_Value+SUM(K$91:K91))*E92*IF(D92=$A$91,SRP_finalmonthfactor,1)</f>
        <v>0</v>
      </c>
      <c r="L92" s="74">
        <f>MIN(IF($AV92=0,0,
IF(Investment_Strategy="DIS",VLOOKUP(Investment_Strategy&amp;"_"&amp;Investment_Strategy_Sub1&amp;"_"&amp;$A92,'Investment Strategies'!$AZ:$BP,12,FALSE),
IF(AND(Investment_Strategy="Lifecycle",Investment_Strategy_Sub1="Non-Standard"),VLOOKUP(Investment_Strategy&amp;"_"&amp;Investment_Strategy_Sub2&amp;"_"&amp;$A92,'Investment Strategies'!$C:$P,9,FALSE),
IF(AND(Investment_Strategy="Lifecycle",Investment_Strategy_Sub1="Standard"),VLOOKUP(Investment_Strategy&amp;"_"&amp;Investment_Strategy_Sub2&amp;"_"&amp;$A92,'Investment Strategies'!$AJ:$AV,8,FALSE),
IF(AND(Investment_Strategy="Autopilot",Investment_Strategy_Sub1="Non-Standard"),VLOOKUP(Investment_Strategy&amp;"_"&amp;Investment_Strategy_Sub2&amp;"_"&amp;$A92,'Investment Strategies'!$T:$AF,8,FALSE),
IF(Investment_Strategy ="DIY",DIY_RateofReturn_SP,
"Error")))))),Max_InvReturn)</f>
        <v>4.1816398110932074E-3</v>
      </c>
      <c r="M92" s="62">
        <f>IF($AV92=0,0,
IF(Investment_Strategy="DIS",VLOOKUP(Investment_Strategy&amp;"_"&amp;Investment_Strategy_Sub1&amp;"_"&amp;$A92,'Investment Strategies'!$AZ:$BP,15,FALSE),
IF(AND(Investment_Strategy="Lifecycle",Investment_Strategy_Sub1="Non-Standard"),VLOOKUP(Investment_Strategy&amp;"_"&amp;Investment_Strategy_Sub2&amp;"_"&amp;$A92,'Investment Strategies'!$C:$P,12,FALSE),
IF(AND(Investment_Strategy="Lifecycle",Investment_Strategy_Sub1="Standard"),VLOOKUP(Investment_Strategy&amp;"_"&amp;Investment_Strategy_Sub2&amp;"_"&amp;$A92,'Investment Strategies'!$AJ:$AV,11,FALSE),
IF(AND(Investment_Strategy="Autopilot",Investment_Strategy_Sub1="Non-Standard"),VLOOKUP(Investment_Strategy&amp;"_"&amp;Investment_Strategy_Sub2&amp;"_"&amp;$A92,'Investment Strategies'!$T:$AF,11,FALSE),
IF(Investment_Strategy="DIY",DIY_GteeChrge_SP,
"Error"))))))</f>
        <v>0</v>
      </c>
      <c r="N92" s="33">
        <f>IF($AV92=0,0,
IF(Investment_Strategy="DIS",VLOOKUP(Investment_Strategy&amp;"_"&amp;Investment_Strategy_Sub1&amp;"_"&amp;$A92,'Investment Strategies'!$AZ:$BP,17,FALSE),
IF(AND(Investment_Strategy="Lifecycle",Investment_Strategy_Sub1="Non-Standard"),VLOOKUP(Investment_Strategy&amp;"_"&amp;Investment_Strategy_Sub2&amp;"_"&amp;$A92,'Investment Strategies'!$C:$P,14,FALSE),
IF(AND(Investment_Strategy="Lifecycle",Investment_Strategy_Sub1="Standard"),VLOOKUP(Investment_Strategy&amp;"_"&amp;Investment_Strategy_Sub2&amp;"_"&amp;$A92,'Investment Strategies'!$AJ:$AV,13,FALSE),
IF(AND(Investment_Strategy="Autopilot",Investment_Strategy_Sub1="Non-Standard"),VLOOKUP(Investment_Strategy&amp;"_"&amp;Investment_Strategy_Sub2&amp;"_"&amp;$A92,'Investment Strategies'!$T:$AF,13,FALSE),
IF(Investment_Strategy="DIY",DIY_ExtManChrge_SP,
"Error"))))))</f>
        <v>2.0857243058891584E-4</v>
      </c>
      <c r="O92" s="16">
        <f>IF($AV91=0,0,SUM(O91:R91))</f>
        <v>702252.56151094765</v>
      </c>
      <c r="Q92" s="16">
        <f t="shared" si="15"/>
        <v>2936.5672686563603</v>
      </c>
      <c r="R92" s="16">
        <f t="shared" si="16"/>
        <v>-676.75713862213911</v>
      </c>
      <c r="S92" s="16">
        <f>(SRP_SP+SUM(S$91:S91))*L92*IF(D92=$A$91,SRP_finalmonthfactor,1)</f>
        <v>2939.388145822049</v>
      </c>
      <c r="T92" s="74">
        <f>MIN(IF($AV92=0,0,
IF(Investment_Strategy="DIS",VLOOKUP(Investment_Strategy&amp;"_"&amp;Investment_Strategy_Sub1&amp;"_"&amp;$A92,'Investment Strategies'!$AZ:$BP,12,FALSE),
IF(AND(Investment_Strategy="Lifecycle",Investment_Strategy_Sub1="Non-Standard"),VLOOKUP(Investment_Strategy&amp;"_"&amp;Investment_Strategy_Sub2&amp;"_"&amp;$A92,'Investment Strategies'!$C:$P,9,FALSE),
IF(AND(Investment_Strategy="Lifecycle",Investment_Strategy_Sub1="Standard"),VLOOKUP(Investment_Strategy&amp;"_"&amp;Investment_Strategy_Sub2&amp;"_"&amp;$A92,'Investment Strategies'!$AJ:$AV,8,FALSE),
IF(AND(Investment_Strategy="Autopilot",Investment_Strategy_Sub1="Non-Standard"),VLOOKUP(Investment_Strategy&amp;"_"&amp;Investment_Strategy_Sub2&amp;"_"&amp;$A92,'Investment Strategies'!$T:$AF,8,FALSE),
IF(Investment_Strategy ="DIY",DIY_RateOfReturn_FuturePremiums,
"Error")))))),Max_InvReturn)</f>
        <v>4.1816398110932074E-3</v>
      </c>
      <c r="U92" s="62">
        <f>IF($AV92=0,0,
IF(Investment_Strategy="DIS",VLOOKUP(Investment_Strategy&amp;"_"&amp;Investment_Strategy_Sub1&amp;"_"&amp;$A92,'Investment Strategies'!$AZ:$BP,15,FALSE),
IF(AND(Investment_Strategy="Lifecycle",Investment_Strategy_Sub1="Non-Standard"),VLOOKUP(Investment_Strategy&amp;"_"&amp;Investment_Strategy_Sub2&amp;"_"&amp;$A92,'Investment Strategies'!$C:$P,12,FALSE),
IF(AND(Investment_Strategy="Lifecycle",Investment_Strategy_Sub1="Standard"),VLOOKUP(Investment_Strategy&amp;"_"&amp;Investment_Strategy_Sub2&amp;"_"&amp;$A92,'Investment Strategies'!$AJ:$AV,11,FALSE),
IF(AND(Investment_Strategy="Autopilot",Investment_Strategy_Sub1="Non-Standard"),VLOOKUP(Investment_Strategy&amp;"_"&amp;Investment_Strategy_Sub2&amp;"_"&amp;$A92,'Investment Strategies'!$T:$AF,11,FALSE),
IF(Investment_Strategy="DIY",DIY_GteeChrge_FuturePremiums,
"Error"))))))</f>
        <v>0</v>
      </c>
      <c r="V92" s="33">
        <f>IF(AV92=0,0,
IF(Investment_Strategy="DIS",VLOOKUP(Investment_Strategy&amp;"_"&amp;Investment_Strategy_Sub1&amp;"_"&amp;$A92,'Investment Strategies'!$AZ:$BP,17,FALSE),
IF(AND(Investment_Strategy="Lifecycle",Investment_Strategy_Sub1="Non-Standard"),VLOOKUP(Investment_Strategy&amp;"_"&amp;Investment_Strategy_Sub2&amp;"_"&amp;$A92,'Investment Strategies'!$C:$P,14,FALSE),
IF(AND(Investment_Strategy="Lifecycle",Investment_Strategy_Sub1="Standard"),VLOOKUP(Investment_Strategy&amp;"_"&amp;Investment_Strategy_Sub2&amp;"_"&amp;$A92,'Investment Strategies'!$AJ:$AV,13,FALSE),
IF(AND(Investment_Strategy="Autopilot",Investment_Strategy_Sub1="Non-Standard"),VLOOKUP(Investment_Strategy&amp;"_"&amp;Investment_Strategy_Sub2&amp;"_"&amp;$A92,'Investment Strategies'!$T:$AF,13,FALSE),
IF(Investment_Strategy="DIY",DIY_ExtManChrge_FuturePremiums,
"Error"))))))</f>
        <v>1.2508601994698498E-4</v>
      </c>
      <c r="W92" s="16">
        <f>IF($AV91=0,0,SUM(W91:Y91)+AA91)</f>
        <v>0</v>
      </c>
      <c r="X92" s="16">
        <f t="shared" si="17"/>
        <v>0</v>
      </c>
      <c r="Y92" s="16">
        <f t="shared" si="18"/>
        <v>0</v>
      </c>
      <c r="Z92" s="31">
        <f t="shared" si="19"/>
        <v>0.02</v>
      </c>
      <c r="AA92" s="16">
        <f t="shared" si="20"/>
        <v>0</v>
      </c>
      <c r="AB92" s="63">
        <f>IF($AV91=0,0,SUM(H91,K91)+SUM(P91,S91)+SUM(X91,AC91))</f>
        <v>702927.14786776528</v>
      </c>
      <c r="AC92" s="28">
        <f>(SUM($AC$91:AC91)+SUM($X$91:X91)+X92)*T92*IF(D92=$A$91,SRP_finalmonthfactor,1)</f>
        <v>0</v>
      </c>
      <c r="AD92" s="16">
        <f t="shared" si="21"/>
        <v>-146.77676712803623</v>
      </c>
      <c r="AE92" s="106"/>
      <c r="AF92" s="16">
        <f>H92+O92+W92</f>
        <v>702252.56151094765</v>
      </c>
      <c r="AG92" s="16">
        <f t="shared" ref="AG92:AG155" si="31">SUM($K92,$S92,$AC92)</f>
        <v>2939.388145822049</v>
      </c>
      <c r="AH92" s="16">
        <f t="shared" ref="AH92:AH155" si="32">SUM($J92,$R92,$AA92)</f>
        <v>-676.75713862213911</v>
      </c>
      <c r="AJ92" s="13">
        <f t="shared" si="22"/>
        <v>1</v>
      </c>
      <c r="AK92" s="13">
        <f t="shared" si="22"/>
        <v>1</v>
      </c>
      <c r="AL92" s="13">
        <f t="shared" si="22"/>
        <v>1</v>
      </c>
      <c r="AM92" s="13">
        <f t="shared" si="22"/>
        <v>1</v>
      </c>
      <c r="AN92" s="13">
        <f t="shared" si="22"/>
        <v>1</v>
      </c>
      <c r="AO92" s="13">
        <f t="shared" si="22"/>
        <v>1</v>
      </c>
      <c r="AP92" s="13">
        <f t="shared" si="22"/>
        <v>1</v>
      </c>
      <c r="AQ92" s="13">
        <f t="shared" si="22"/>
        <v>1</v>
      </c>
      <c r="AR92" s="13">
        <f t="shared" si="22"/>
        <v>1</v>
      </c>
      <c r="AS92" s="13">
        <f t="shared" si="22"/>
        <v>1</v>
      </c>
      <c r="AT92" s="13">
        <f t="shared" si="22"/>
        <v>1</v>
      </c>
      <c r="AU92" s="13">
        <f t="shared" si="22"/>
        <v>1</v>
      </c>
      <c r="AV92" s="13">
        <f t="shared" si="23"/>
        <v>1</v>
      </c>
      <c r="AW92" s="13">
        <f t="shared" ref="AW92:AW154" si="33">IF($I$60 = "Yes",IF(SRP_PremFreq = "Annual",IF(MOD(D92-1, 12) = 0, 1, 0), IF(SRP_PremFreq = "Half-Yearly", IF(MOD(D92-1, 6) = 0, 1, 0), IF(SRP_PremFreq = "Quarterly", IF(MOD(D92-1, 3) = 0, 1, 0), IF(SRP_PremFreq = "Monthly", IF(MOD(D92-1, 1) = 0, 1, 0), "Error")))),0)</f>
        <v>1</v>
      </c>
      <c r="AY92" s="17">
        <f t="shared" si="24"/>
        <v>2</v>
      </c>
      <c r="AZ92" s="28">
        <f t="shared" ref="AZ92:AZ155" si="34">X92+P92</f>
        <v>0</v>
      </c>
      <c r="BA92" s="13">
        <f t="shared" si="25"/>
        <v>0</v>
      </c>
      <c r="BB92" s="13">
        <f t="shared" si="26"/>
        <v>0</v>
      </c>
      <c r="BC92" s="28">
        <f t="shared" ref="BC92:BC155" si="35">SUM(AZ92,BA92)</f>
        <v>0</v>
      </c>
      <c r="BD92" s="28">
        <f t="shared" ref="BD92:BD155" si="36">SUM(AZ92,BB92)</f>
        <v>0</v>
      </c>
      <c r="BF92" s="248">
        <f t="shared" ref="BF92:BF155" si="37">IF(ISNUMBER(BF91), (BF91+X92), (P92+X92))*(1+T92)</f>
        <v>705866.53601358738</v>
      </c>
      <c r="BG92" s="36">
        <f t="shared" ref="BG92:BG95" si="38">P92+X92</f>
        <v>0</v>
      </c>
      <c r="BH92" s="36">
        <f t="shared" ref="BH92:BH95" si="39">IF(ISNUMBER(BH91), BG92+BP91, BG92)</f>
        <v>702252.56151094765</v>
      </c>
      <c r="BI92" s="249">
        <f t="shared" ref="BI92:BI95" si="40">E92</f>
        <v>4.1816398110932074E-3</v>
      </c>
      <c r="BJ92" s="246">
        <f t="shared" ref="BJ92:BJ95" si="41">N92</f>
        <v>2.0857243058891584E-4</v>
      </c>
      <c r="BK92" s="246">
        <f t="shared" si="27"/>
        <v>7.531116566323881E-4</v>
      </c>
      <c r="BL92" s="246">
        <f t="shared" ref="BL92:BL95" si="42">U92</f>
        <v>0</v>
      </c>
      <c r="BM92" s="246">
        <f t="shared" ref="BM92:BM95" si="43">BJ92+BK92+BL92</f>
        <v>9.6168408722130394E-4</v>
      </c>
      <c r="BN92" s="36">
        <f t="shared" ref="BN92:BN155" si="44">BH92*(1+BI92/2)*(BM92)</f>
        <v>676.757138622139</v>
      </c>
      <c r="BO92" s="36">
        <f t="shared" ref="BO92:BO95" si="45">BH92*BI92</f>
        <v>2936.5672686563603</v>
      </c>
      <c r="BP92" s="36">
        <f t="shared" ref="BP92:BP95" si="46">BH92+BO92-BN92</f>
        <v>704512.37164098187</v>
      </c>
    </row>
    <row r="93" spans="1:69">
      <c r="A93" s="32">
        <f t="shared" ref="A93:A156" si="47">A92-1</f>
        <v>82</v>
      </c>
      <c r="B93" s="32">
        <f t="shared" si="28"/>
        <v>53</v>
      </c>
      <c r="C93" s="32">
        <f t="shared" ref="C93:C156" si="48">INT((D93-1)/12)+1</f>
        <v>1</v>
      </c>
      <c r="D93" s="32">
        <f t="shared" ref="D93:D156" si="49">D92+1</f>
        <v>3</v>
      </c>
      <c r="E93" s="74">
        <f>MIN(IF(AV93=0,0,
IF(Investment_Strategy="DIS",VLOOKUP(Investment_Strategy&amp;"_"&amp;Investment_Strategy_Sub1&amp;"_"&amp;$A93,'Investment Strategies'!$AZ:$BP,12,FALSE),
IF(AND(Investment_Strategy="Lifecycle",Investment_Strategy_Sub1="Non-Standard"),VLOOKUP(Investment_Strategy&amp;"_"&amp;Investment_Strategy_Sub2&amp;"_"&amp;$A93,'Investment Strategies'!$C:$P,9,FALSE),
IF(AND(Investment_Strategy="Lifecycle",Investment_Strategy_Sub1="Standard"),VLOOKUP(Investment_Strategy&amp;"_"&amp;Investment_Strategy_Sub2&amp;"_"&amp;$A93,'Investment Strategies'!$AJ:$AV,8,FALSE),
IF(AND(Investment_Strategy="Autopilot",Investment_Strategy_Sub1="Non-Standard"),VLOOKUP(Investment_Strategy&amp;"_"&amp;Investment_Strategy_Sub2&amp;"_"&amp;$A93,'Investment Strategies'!$T:$AF,8,FALSE),
IF(Investment_Strategy ="DIY",DIY_RateOfReturn_CurrentFunds,
"Error")))))),Max_InvReturn)</f>
        <v>4.1816398110932074E-3</v>
      </c>
      <c r="F93" s="62">
        <f>IF(AV93=0,0,
IF(Investment_Strategy="DIS",VLOOKUP(Investment_Strategy&amp;"_"&amp;Investment_Strategy_Sub1&amp;"_"&amp;$A93,'Investment Strategies'!$AZ:$BP,15,FALSE),
IF(AND(Investment_Strategy="Lifecycle",Investment_Strategy_Sub1="Non-Standard"),VLOOKUP(Investment_Strategy&amp;"_"&amp;Investment_Strategy_Sub2&amp;"_"&amp;$A93,'Investment Strategies'!$C:$P,12,FALSE),
IF(AND(Investment_Strategy="Lifecycle",Investment_Strategy_Sub1="Standard"),VLOOKUP(Investment_Strategy&amp;"_"&amp;Investment_Strategy_Sub2&amp;"_"&amp;$A93,'Investment Strategies'!$AJ:$AV,11,FALSE),
IF(AND(Investment_Strategy="Autopilot",Investment_Strategy_Sub1="Non-Standard"),VLOOKUP(Investment_Strategy&amp;"_"&amp;Investment_Strategy_Sub2&amp;"_"&amp;$A93,'Investment Strategies'!$T:$AF,11,FALSE),
IF(Investment_Strategy="DIY",DIY_GteeChrge_CurrentFunds,
"Error"))))))</f>
        <v>5.4328711526985263E-4</v>
      </c>
      <c r="G93" s="33">
        <f>IF(AV93=0,0,
IF(Investment_Strategy="DIS",VLOOKUP(Investment_Strategy&amp;"_"&amp;Investment_Strategy_Sub1&amp;"_"&amp;$A93,'Investment Strategies'!$AZ:$BP,17,FALSE),
IF(AND(Investment_Strategy="Lifecycle",Investment_Strategy_Sub1="Non-Standard"),VLOOKUP(Investment_Strategy&amp;"_"&amp;Investment_Strategy_Sub2&amp;"_"&amp;$A93,'Investment Strategies'!$C:$P,14,FALSE),
IF(AND(Investment_Strategy="Lifecycle",Investment_Strategy_Sub1="Standard"),VLOOKUP(Investment_Strategy&amp;"_"&amp;Investment_Strategy_Sub2&amp;"_"&amp;$A93,'Investment Strategies'!$AJ:$AV,13,FALSE),
IF(AND(Investment_Strategy="Autopilot",Investment_Strategy_Sub1="Non-Standard"),VLOOKUP(Investment_Strategy&amp;"_"&amp;Investment_Strategy_Sub2&amp;"_"&amp;$A93,'Investment Strategies'!$T:$AF,13,FALSE),
IF(Investment_Strategy="DIY",DIY_ExtManChrge_CurrentFunds,
"Error"))))))</f>
        <v>2.0857243058891584E-4</v>
      </c>
      <c r="H93" s="16">
        <f t="shared" si="30"/>
        <v>0</v>
      </c>
      <c r="I93" s="16">
        <f t="shared" si="13"/>
        <v>0</v>
      </c>
      <c r="J93" s="16">
        <f t="shared" si="14"/>
        <v>0</v>
      </c>
      <c r="K93" s="16">
        <f>(Opening_Fund_Value+SUM(K$91:K92))*E93*IF(D93=$A$91,SRP_finalmonthfactor,1)</f>
        <v>0</v>
      </c>
      <c r="L93" s="74">
        <f>MIN(IF($AV93=0,0,
IF(Investment_Strategy="DIS",VLOOKUP(Investment_Strategy&amp;"_"&amp;Investment_Strategy_Sub1&amp;"_"&amp;$A93,'Investment Strategies'!$AZ:$BP,12,FALSE),
IF(AND(Investment_Strategy="Lifecycle",Investment_Strategy_Sub1="Non-Standard"),VLOOKUP(Investment_Strategy&amp;"_"&amp;Investment_Strategy_Sub2&amp;"_"&amp;$A93,'Investment Strategies'!$C:$P,9,FALSE),
IF(AND(Investment_Strategy="Lifecycle",Investment_Strategy_Sub1="Standard"),VLOOKUP(Investment_Strategy&amp;"_"&amp;Investment_Strategy_Sub2&amp;"_"&amp;$A93,'Investment Strategies'!$AJ:$AV,8,FALSE),
IF(AND(Investment_Strategy="Autopilot",Investment_Strategy_Sub1="Non-Standard"),VLOOKUP(Investment_Strategy&amp;"_"&amp;Investment_Strategy_Sub2&amp;"_"&amp;$A93,'Investment Strategies'!$T:$AF,8,FALSE),
IF(Investment_Strategy ="DIY",DIY_RateofReturn_SP,
"Error")))))),Max_InvReturn)</f>
        <v>4.1816398110932074E-3</v>
      </c>
      <c r="M93" s="62">
        <f>IF($AV93=0,0,
IF(Investment_Strategy="DIS",VLOOKUP(Investment_Strategy&amp;"_"&amp;Investment_Strategy_Sub1&amp;"_"&amp;$A93,'Investment Strategies'!$AZ:$BP,15,FALSE),
IF(AND(Investment_Strategy="Lifecycle",Investment_Strategy_Sub1="Non-Standard"),VLOOKUP(Investment_Strategy&amp;"_"&amp;Investment_Strategy_Sub2&amp;"_"&amp;$A93,'Investment Strategies'!$C:$P,12,FALSE),
IF(AND(Investment_Strategy="Lifecycle",Investment_Strategy_Sub1="Standard"),VLOOKUP(Investment_Strategy&amp;"_"&amp;Investment_Strategy_Sub2&amp;"_"&amp;$A93,'Investment Strategies'!$AJ:$AV,11,FALSE),
IF(AND(Investment_Strategy="Autopilot",Investment_Strategy_Sub1="Non-Standard"),VLOOKUP(Investment_Strategy&amp;"_"&amp;Investment_Strategy_Sub2&amp;"_"&amp;$A93,'Investment Strategies'!$T:$AF,11,FALSE),
IF(Investment_Strategy="DIY",DIY_GteeChrge_SP,
"Error"))))))</f>
        <v>0</v>
      </c>
      <c r="N93" s="33">
        <f>IF($AV93=0,0,
IF(Investment_Strategy="DIS",VLOOKUP(Investment_Strategy&amp;"_"&amp;Investment_Strategy_Sub1&amp;"_"&amp;$A93,'Investment Strategies'!$AZ:$BP,17,FALSE),
IF(AND(Investment_Strategy="Lifecycle",Investment_Strategy_Sub1="Non-Standard"),VLOOKUP(Investment_Strategy&amp;"_"&amp;Investment_Strategy_Sub2&amp;"_"&amp;$A93,'Investment Strategies'!$C:$P,14,FALSE),
IF(AND(Investment_Strategy="Lifecycle",Investment_Strategy_Sub1="Standard"),VLOOKUP(Investment_Strategy&amp;"_"&amp;Investment_Strategy_Sub2&amp;"_"&amp;$A93,'Investment Strategies'!$AJ:$AV,13,FALSE),
IF(AND(Investment_Strategy="Autopilot",Investment_Strategy_Sub1="Non-Standard"),VLOOKUP(Investment_Strategy&amp;"_"&amp;Investment_Strategy_Sub2&amp;"_"&amp;$A93,'Investment Strategies'!$T:$AF,13,FALSE),
IF(Investment_Strategy="DIY",DIY_ExtManChrge_SP,
"Error"))))))</f>
        <v>2.0857243058891584E-4</v>
      </c>
      <c r="O93" s="16">
        <f t="shared" ref="O93:O156" si="50">IF($AV92=0,0,SUM(O92:R92))</f>
        <v>704512.37164098187</v>
      </c>
      <c r="Q93" s="16">
        <f t="shared" si="15"/>
        <v>2946.0169806616232</v>
      </c>
      <c r="R93" s="16">
        <f t="shared" si="16"/>
        <v>-678.93490588316672</v>
      </c>
      <c r="S93" s="16">
        <f>(SRP_SP+SUM(S$91:S92))*L93*IF(D93=$A$91,SRP_finalmonthfactor,1)</f>
        <v>2951.6796083128738</v>
      </c>
      <c r="T93" s="74">
        <f>MIN(IF($AV93=0,0,
IF(Investment_Strategy="DIS",VLOOKUP(Investment_Strategy&amp;"_"&amp;Investment_Strategy_Sub1&amp;"_"&amp;$A93,'Investment Strategies'!$AZ:$BP,12,FALSE),
IF(AND(Investment_Strategy="Lifecycle",Investment_Strategy_Sub1="Non-Standard"),VLOOKUP(Investment_Strategy&amp;"_"&amp;Investment_Strategy_Sub2&amp;"_"&amp;$A93,'Investment Strategies'!$C:$P,9,FALSE),
IF(AND(Investment_Strategy="Lifecycle",Investment_Strategy_Sub1="Standard"),VLOOKUP(Investment_Strategy&amp;"_"&amp;Investment_Strategy_Sub2&amp;"_"&amp;$A93,'Investment Strategies'!$AJ:$AV,8,FALSE),
IF(AND(Investment_Strategy="Autopilot",Investment_Strategy_Sub1="Non-Standard"),VLOOKUP(Investment_Strategy&amp;"_"&amp;Investment_Strategy_Sub2&amp;"_"&amp;$A93,'Investment Strategies'!$T:$AF,8,FALSE),
IF(Investment_Strategy ="DIY",DIY_RateOfReturn_FuturePremiums,
"Error")))))),Max_InvReturn)</f>
        <v>4.1816398110932074E-3</v>
      </c>
      <c r="U93" s="62">
        <f>IF($AV93=0,0,
IF(Investment_Strategy="DIS",VLOOKUP(Investment_Strategy&amp;"_"&amp;Investment_Strategy_Sub1&amp;"_"&amp;$A93,'Investment Strategies'!$AZ:$BP,15,FALSE),
IF(AND(Investment_Strategy="Lifecycle",Investment_Strategy_Sub1="Non-Standard"),VLOOKUP(Investment_Strategy&amp;"_"&amp;Investment_Strategy_Sub2&amp;"_"&amp;$A93,'Investment Strategies'!$C:$P,12,FALSE),
IF(AND(Investment_Strategy="Lifecycle",Investment_Strategy_Sub1="Standard"),VLOOKUP(Investment_Strategy&amp;"_"&amp;Investment_Strategy_Sub2&amp;"_"&amp;$A93,'Investment Strategies'!$AJ:$AV,11,FALSE),
IF(AND(Investment_Strategy="Autopilot",Investment_Strategy_Sub1="Non-Standard"),VLOOKUP(Investment_Strategy&amp;"_"&amp;Investment_Strategy_Sub2&amp;"_"&amp;$A93,'Investment Strategies'!$T:$AF,11,FALSE),
IF(Investment_Strategy="DIY",DIY_GteeChrge_FuturePremiums,
"Error"))))))</f>
        <v>0</v>
      </c>
      <c r="V93" s="33">
        <f>IF(AV93=0,0,
IF(Investment_Strategy="DIS",VLOOKUP(Investment_Strategy&amp;"_"&amp;Investment_Strategy_Sub1&amp;"_"&amp;$A93,'Investment Strategies'!$AZ:$BP,17,FALSE),
IF(AND(Investment_Strategy="Lifecycle",Investment_Strategy_Sub1="Non-Standard"),VLOOKUP(Investment_Strategy&amp;"_"&amp;Investment_Strategy_Sub2&amp;"_"&amp;$A93,'Investment Strategies'!$C:$P,14,FALSE),
IF(AND(Investment_Strategy="Lifecycle",Investment_Strategy_Sub1="Standard"),VLOOKUP(Investment_Strategy&amp;"_"&amp;Investment_Strategy_Sub2&amp;"_"&amp;$A93,'Investment Strategies'!$AJ:$AV,13,FALSE),
IF(AND(Investment_Strategy="Autopilot",Investment_Strategy_Sub1="Non-Standard"),VLOOKUP(Investment_Strategy&amp;"_"&amp;Investment_Strategy_Sub2&amp;"_"&amp;$A93,'Investment Strategies'!$T:$AF,13,FALSE),
IF(Investment_Strategy="DIY",DIY_ExtManChrge_FuturePremiums,
"Error"))))))</f>
        <v>1.2508601994698498E-4</v>
      </c>
      <c r="W93" s="16">
        <f t="shared" ref="W93:W156" si="51">IF($AV92=0,0,SUM(W92:Y92)+AA92)</f>
        <v>0</v>
      </c>
      <c r="X93" s="16">
        <f t="shared" si="17"/>
        <v>0</v>
      </c>
      <c r="Y93" s="16">
        <f t="shared" si="18"/>
        <v>0</v>
      </c>
      <c r="Z93" s="31">
        <f t="shared" si="19"/>
        <v>0.02</v>
      </c>
      <c r="AA93" s="16">
        <f t="shared" si="20"/>
        <v>0</v>
      </c>
      <c r="AB93" s="28">
        <f>IF($AV92=0,0,SUM(K92,S92,AB92:AC92)+X92)</f>
        <v>705866.53601358738</v>
      </c>
      <c r="AC93" s="28">
        <f>(SUM($AC$91:AC92)+SUM($X$91:X92)+X93)*T93*IF(D93=$A$91,SRP_finalmonthfactor,1)</f>
        <v>0</v>
      </c>
      <c r="AD93" s="16">
        <f t="shared" si="21"/>
        <v>-147.24908669422757</v>
      </c>
      <c r="AE93" s="106"/>
      <c r="AF93" s="16">
        <f t="shared" ref="AF93:AF155" si="52">H93+O93+W93</f>
        <v>704512.37164098187</v>
      </c>
      <c r="AG93" s="16">
        <f t="shared" si="31"/>
        <v>2951.6796083128738</v>
      </c>
      <c r="AH93" s="16">
        <f t="shared" si="32"/>
        <v>-678.93490588316672</v>
      </c>
      <c r="AJ93" s="13">
        <f t="shared" si="22"/>
        <v>1</v>
      </c>
      <c r="AK93" s="13">
        <f t="shared" si="22"/>
        <v>1</v>
      </c>
      <c r="AL93" s="13">
        <f t="shared" si="22"/>
        <v>1</v>
      </c>
      <c r="AM93" s="13">
        <f t="shared" si="22"/>
        <v>1</v>
      </c>
      <c r="AN93" s="13">
        <f t="shared" si="22"/>
        <v>1</v>
      </c>
      <c r="AO93" s="13">
        <f t="shared" si="22"/>
        <v>1</v>
      </c>
      <c r="AP93" s="13">
        <f t="shared" si="22"/>
        <v>1</v>
      </c>
      <c r="AQ93" s="13">
        <f t="shared" si="22"/>
        <v>1</v>
      </c>
      <c r="AR93" s="13">
        <f t="shared" si="22"/>
        <v>1</v>
      </c>
      <c r="AS93" s="13">
        <f t="shared" si="22"/>
        <v>1</v>
      </c>
      <c r="AT93" s="13">
        <f t="shared" si="22"/>
        <v>1</v>
      </c>
      <c r="AU93" s="13">
        <f t="shared" si="22"/>
        <v>1</v>
      </c>
      <c r="AV93" s="13">
        <f t="shared" si="23"/>
        <v>1</v>
      </c>
      <c r="AW93" s="13">
        <f t="shared" si="33"/>
        <v>1</v>
      </c>
      <c r="AY93" s="17">
        <f t="shared" si="24"/>
        <v>3</v>
      </c>
      <c r="AZ93" s="28">
        <f t="shared" si="34"/>
        <v>0</v>
      </c>
      <c r="BA93" s="13">
        <f t="shared" si="25"/>
        <v>0</v>
      </c>
      <c r="BB93" s="13">
        <f t="shared" si="26"/>
        <v>0</v>
      </c>
      <c r="BC93" s="28">
        <f t="shared" si="35"/>
        <v>0</v>
      </c>
      <c r="BD93" s="28">
        <f t="shared" si="36"/>
        <v>0</v>
      </c>
      <c r="BF93" s="248">
        <f t="shared" si="37"/>
        <v>708818.21562190028</v>
      </c>
      <c r="BG93" s="36">
        <f t="shared" si="38"/>
        <v>0</v>
      </c>
      <c r="BH93" s="36">
        <f t="shared" si="39"/>
        <v>704512.37164098187</v>
      </c>
      <c r="BI93" s="249">
        <f t="shared" si="40"/>
        <v>4.1816398110932074E-3</v>
      </c>
      <c r="BJ93" s="246">
        <f t="shared" si="41"/>
        <v>2.0857243058891584E-4</v>
      </c>
      <c r="BK93" s="246">
        <f t="shared" si="27"/>
        <v>7.531116566323881E-4</v>
      </c>
      <c r="BL93" s="246">
        <f t="shared" si="42"/>
        <v>0</v>
      </c>
      <c r="BM93" s="246">
        <f t="shared" si="43"/>
        <v>9.6168408722130394E-4</v>
      </c>
      <c r="BN93" s="36">
        <f t="shared" si="44"/>
        <v>678.93490588316672</v>
      </c>
      <c r="BO93" s="36">
        <f t="shared" si="45"/>
        <v>2946.0169806616232</v>
      </c>
      <c r="BP93" s="36">
        <f t="shared" si="46"/>
        <v>706779.45371576038</v>
      </c>
    </row>
    <row r="94" spans="1:69">
      <c r="A94" s="32">
        <f t="shared" si="47"/>
        <v>81</v>
      </c>
      <c r="B94" s="32">
        <f t="shared" si="28"/>
        <v>53</v>
      </c>
      <c r="C94" s="32">
        <f t="shared" si="48"/>
        <v>1</v>
      </c>
      <c r="D94" s="32">
        <f t="shared" si="49"/>
        <v>4</v>
      </c>
      <c r="E94" s="74">
        <f>MIN(IF(AV94=0,0,
IF(Investment_Strategy="DIS",VLOOKUP(Investment_Strategy&amp;"_"&amp;Investment_Strategy_Sub1&amp;"_"&amp;$A94,'Investment Strategies'!$AZ:$BP,12,FALSE),
IF(AND(Investment_Strategy="Lifecycle",Investment_Strategy_Sub1="Non-Standard"),VLOOKUP(Investment_Strategy&amp;"_"&amp;Investment_Strategy_Sub2&amp;"_"&amp;$A94,'Investment Strategies'!$C:$P,9,FALSE),
IF(AND(Investment_Strategy="Lifecycle",Investment_Strategy_Sub1="Standard"),VLOOKUP(Investment_Strategy&amp;"_"&amp;Investment_Strategy_Sub2&amp;"_"&amp;$A94,'Investment Strategies'!$AJ:$AV,8,FALSE),
IF(AND(Investment_Strategy="Autopilot",Investment_Strategy_Sub1="Non-Standard"),VLOOKUP(Investment_Strategy&amp;"_"&amp;Investment_Strategy_Sub2&amp;"_"&amp;$A94,'Investment Strategies'!$T:$AF,8,FALSE),
IF(Investment_Strategy ="DIY",DIY_RateOfReturn_CurrentFunds,
"Error")))))),Max_InvReturn)</f>
        <v>4.1816398110932074E-3</v>
      </c>
      <c r="F94" s="62">
        <f>IF(AV94=0,0,
IF(Investment_Strategy="DIS",VLOOKUP(Investment_Strategy&amp;"_"&amp;Investment_Strategy_Sub1&amp;"_"&amp;$A94,'Investment Strategies'!$AZ:$BP,15,FALSE),
IF(AND(Investment_Strategy="Lifecycle",Investment_Strategy_Sub1="Non-Standard"),VLOOKUP(Investment_Strategy&amp;"_"&amp;Investment_Strategy_Sub2&amp;"_"&amp;$A94,'Investment Strategies'!$C:$P,12,FALSE),
IF(AND(Investment_Strategy="Lifecycle",Investment_Strategy_Sub1="Standard"),VLOOKUP(Investment_Strategy&amp;"_"&amp;Investment_Strategy_Sub2&amp;"_"&amp;$A94,'Investment Strategies'!$AJ:$AV,11,FALSE),
IF(AND(Investment_Strategy="Autopilot",Investment_Strategy_Sub1="Non-Standard"),VLOOKUP(Investment_Strategy&amp;"_"&amp;Investment_Strategy_Sub2&amp;"_"&amp;$A94,'Investment Strategies'!$T:$AF,11,FALSE),
IF(Investment_Strategy="DIY",DIY_GteeChrge_CurrentFunds,
"Error"))))))</f>
        <v>5.4328711526985263E-4</v>
      </c>
      <c r="G94" s="33">
        <f>IF(AV94=0,0,
IF(Investment_Strategy="DIS",VLOOKUP(Investment_Strategy&amp;"_"&amp;Investment_Strategy_Sub1&amp;"_"&amp;$A94,'Investment Strategies'!$AZ:$BP,17,FALSE),
IF(AND(Investment_Strategy="Lifecycle",Investment_Strategy_Sub1="Non-Standard"),VLOOKUP(Investment_Strategy&amp;"_"&amp;Investment_Strategy_Sub2&amp;"_"&amp;$A94,'Investment Strategies'!$C:$P,14,FALSE),
IF(AND(Investment_Strategy="Lifecycle",Investment_Strategy_Sub1="Standard"),VLOOKUP(Investment_Strategy&amp;"_"&amp;Investment_Strategy_Sub2&amp;"_"&amp;$A94,'Investment Strategies'!$AJ:$AV,13,FALSE),
IF(AND(Investment_Strategy="Autopilot",Investment_Strategy_Sub1="Non-Standard"),VLOOKUP(Investment_Strategy&amp;"_"&amp;Investment_Strategy_Sub2&amp;"_"&amp;$A94,'Investment Strategies'!$T:$AF,13,FALSE),
IF(Investment_Strategy="DIY",DIY_ExtManChrge_CurrentFunds,
"Error"))))))</f>
        <v>2.0857243058891584E-4</v>
      </c>
      <c r="H94" s="16">
        <f t="shared" si="30"/>
        <v>0</v>
      </c>
      <c r="I94" s="16">
        <f t="shared" si="13"/>
        <v>0</v>
      </c>
      <c r="J94" s="16">
        <f t="shared" si="14"/>
        <v>0</v>
      </c>
      <c r="K94" s="16">
        <f>(Opening_Fund_Value+SUM(K$91:K93))*E94*IF(D94=$A$91,SRP_finalmonthfactor,1)</f>
        <v>0</v>
      </c>
      <c r="L94" s="74">
        <f>MIN(IF($AV94=0,0,
IF(Investment_Strategy="DIS",VLOOKUP(Investment_Strategy&amp;"_"&amp;Investment_Strategy_Sub1&amp;"_"&amp;$A94,'Investment Strategies'!$AZ:$BP,12,FALSE),
IF(AND(Investment_Strategy="Lifecycle",Investment_Strategy_Sub1="Non-Standard"),VLOOKUP(Investment_Strategy&amp;"_"&amp;Investment_Strategy_Sub2&amp;"_"&amp;$A94,'Investment Strategies'!$C:$P,9,FALSE),
IF(AND(Investment_Strategy="Lifecycle",Investment_Strategy_Sub1="Standard"),VLOOKUP(Investment_Strategy&amp;"_"&amp;Investment_Strategy_Sub2&amp;"_"&amp;$A94,'Investment Strategies'!$AJ:$AV,8,FALSE),
IF(AND(Investment_Strategy="Autopilot",Investment_Strategy_Sub1="Non-Standard"),VLOOKUP(Investment_Strategy&amp;"_"&amp;Investment_Strategy_Sub2&amp;"_"&amp;$A94,'Investment Strategies'!$T:$AF,8,FALSE),
IF(Investment_Strategy ="DIY",DIY_RateofReturn_SP,
"Error")))))),Max_InvReturn)</f>
        <v>4.1816398110932074E-3</v>
      </c>
      <c r="M94" s="62">
        <f>IF($AV94=0,0,
IF(Investment_Strategy="DIS",VLOOKUP(Investment_Strategy&amp;"_"&amp;Investment_Strategy_Sub1&amp;"_"&amp;$A94,'Investment Strategies'!$AZ:$BP,15,FALSE),
IF(AND(Investment_Strategy="Lifecycle",Investment_Strategy_Sub1="Non-Standard"),VLOOKUP(Investment_Strategy&amp;"_"&amp;Investment_Strategy_Sub2&amp;"_"&amp;$A94,'Investment Strategies'!$C:$P,12,FALSE),
IF(AND(Investment_Strategy="Lifecycle",Investment_Strategy_Sub1="Standard"),VLOOKUP(Investment_Strategy&amp;"_"&amp;Investment_Strategy_Sub2&amp;"_"&amp;$A94,'Investment Strategies'!$AJ:$AV,11,FALSE),
IF(AND(Investment_Strategy="Autopilot",Investment_Strategy_Sub1="Non-Standard"),VLOOKUP(Investment_Strategy&amp;"_"&amp;Investment_Strategy_Sub2&amp;"_"&amp;$A94,'Investment Strategies'!$T:$AF,11,FALSE),
IF(Investment_Strategy="DIY",DIY_GteeChrge_SP,
"Error"))))))</f>
        <v>0</v>
      </c>
      <c r="N94" s="33">
        <f>IF($AV94=0,0,
IF(Investment_Strategy="DIS",VLOOKUP(Investment_Strategy&amp;"_"&amp;Investment_Strategy_Sub1&amp;"_"&amp;$A94,'Investment Strategies'!$AZ:$BP,17,FALSE),
IF(AND(Investment_Strategy="Lifecycle",Investment_Strategy_Sub1="Non-Standard"),VLOOKUP(Investment_Strategy&amp;"_"&amp;Investment_Strategy_Sub2&amp;"_"&amp;$A94,'Investment Strategies'!$C:$P,14,FALSE),
IF(AND(Investment_Strategy="Lifecycle",Investment_Strategy_Sub1="Standard"),VLOOKUP(Investment_Strategy&amp;"_"&amp;Investment_Strategy_Sub2&amp;"_"&amp;$A94,'Investment Strategies'!$AJ:$AV,13,FALSE),
IF(AND(Investment_Strategy="Autopilot",Investment_Strategy_Sub1="Non-Standard"),VLOOKUP(Investment_Strategy&amp;"_"&amp;Investment_Strategy_Sub2&amp;"_"&amp;$A94,'Investment Strategies'!$T:$AF,13,FALSE),
IF(Investment_Strategy="DIY",DIY_ExtManChrge_SP,
"Error"))))))</f>
        <v>2.0857243058891584E-4</v>
      </c>
      <c r="O94" s="16">
        <f t="shared" si="50"/>
        <v>706779.45371576038</v>
      </c>
      <c r="Q94" s="16">
        <f t="shared" si="15"/>
        <v>2955.4971013205327</v>
      </c>
      <c r="R94" s="16">
        <f t="shared" si="16"/>
        <v>-681.11968107949713</v>
      </c>
      <c r="S94" s="16">
        <f>(SRP_SP+SUM(S$91:S93))*L94*IF(D94=$A$91,SRP_finalmonthfactor,1)</f>
        <v>2964.0224692725869</v>
      </c>
      <c r="T94" s="74">
        <f>MIN(IF($AV94=0,0,
IF(Investment_Strategy="DIS",VLOOKUP(Investment_Strategy&amp;"_"&amp;Investment_Strategy_Sub1&amp;"_"&amp;$A94,'Investment Strategies'!$AZ:$BP,12,FALSE),
IF(AND(Investment_Strategy="Lifecycle",Investment_Strategy_Sub1="Non-Standard"),VLOOKUP(Investment_Strategy&amp;"_"&amp;Investment_Strategy_Sub2&amp;"_"&amp;$A94,'Investment Strategies'!$C:$P,9,FALSE),
IF(AND(Investment_Strategy="Lifecycle",Investment_Strategy_Sub1="Standard"),VLOOKUP(Investment_Strategy&amp;"_"&amp;Investment_Strategy_Sub2&amp;"_"&amp;$A94,'Investment Strategies'!$AJ:$AV,8,FALSE),
IF(AND(Investment_Strategy="Autopilot",Investment_Strategy_Sub1="Non-Standard"),VLOOKUP(Investment_Strategy&amp;"_"&amp;Investment_Strategy_Sub2&amp;"_"&amp;$A94,'Investment Strategies'!$T:$AF,8,FALSE),
IF(Investment_Strategy ="DIY",DIY_RateOfReturn_FuturePremiums,
"Error")))))),Max_InvReturn)</f>
        <v>4.1816398110932074E-3</v>
      </c>
      <c r="U94" s="62">
        <f>IF($AV94=0,0,
IF(Investment_Strategy="DIS",VLOOKUP(Investment_Strategy&amp;"_"&amp;Investment_Strategy_Sub1&amp;"_"&amp;$A94,'Investment Strategies'!$AZ:$BP,15,FALSE),
IF(AND(Investment_Strategy="Lifecycle",Investment_Strategy_Sub1="Non-Standard"),VLOOKUP(Investment_Strategy&amp;"_"&amp;Investment_Strategy_Sub2&amp;"_"&amp;$A94,'Investment Strategies'!$C:$P,12,FALSE),
IF(AND(Investment_Strategy="Lifecycle",Investment_Strategy_Sub1="Standard"),VLOOKUP(Investment_Strategy&amp;"_"&amp;Investment_Strategy_Sub2&amp;"_"&amp;$A94,'Investment Strategies'!$AJ:$AV,11,FALSE),
IF(AND(Investment_Strategy="Autopilot",Investment_Strategy_Sub1="Non-Standard"),VLOOKUP(Investment_Strategy&amp;"_"&amp;Investment_Strategy_Sub2&amp;"_"&amp;$A94,'Investment Strategies'!$T:$AF,11,FALSE),
IF(Investment_Strategy="DIY",DIY_GteeChrge_FuturePremiums,
"Error"))))))</f>
        <v>0</v>
      </c>
      <c r="V94" s="33">
        <f>IF(AV94=0,0,
IF(Investment_Strategy="DIS",VLOOKUP(Investment_Strategy&amp;"_"&amp;Investment_Strategy_Sub1&amp;"_"&amp;$A94,'Investment Strategies'!$AZ:$BP,17,FALSE),
IF(AND(Investment_Strategy="Lifecycle",Investment_Strategy_Sub1="Non-Standard"),VLOOKUP(Investment_Strategy&amp;"_"&amp;Investment_Strategy_Sub2&amp;"_"&amp;$A94,'Investment Strategies'!$C:$P,14,FALSE),
IF(AND(Investment_Strategy="Lifecycle",Investment_Strategy_Sub1="Standard"),VLOOKUP(Investment_Strategy&amp;"_"&amp;Investment_Strategy_Sub2&amp;"_"&amp;$A94,'Investment Strategies'!$AJ:$AV,13,FALSE),
IF(AND(Investment_Strategy="Autopilot",Investment_Strategy_Sub1="Non-Standard"),VLOOKUP(Investment_Strategy&amp;"_"&amp;Investment_Strategy_Sub2&amp;"_"&amp;$A94,'Investment Strategies'!$T:$AF,13,FALSE),
IF(Investment_Strategy="DIY",DIY_ExtManChrge_FuturePremiums,
"Error"))))))</f>
        <v>1.2508601994698498E-4</v>
      </c>
      <c r="W94" s="16">
        <f t="shared" si="51"/>
        <v>0</v>
      </c>
      <c r="X94" s="16">
        <f t="shared" si="17"/>
        <v>0</v>
      </c>
      <c r="Y94" s="16">
        <f t="shared" si="18"/>
        <v>0</v>
      </c>
      <c r="Z94" s="31">
        <f t="shared" si="19"/>
        <v>0.02</v>
      </c>
      <c r="AA94" s="16">
        <f t="shared" si="20"/>
        <v>0</v>
      </c>
      <c r="AB94" s="28">
        <f t="shared" ref="AB94:AB157" si="53">IF($AV93=0,0,SUM(K93,S93,AB93:AC93)+X93)</f>
        <v>708818.21562190028</v>
      </c>
      <c r="AC94" s="28">
        <f>(SUM($AC$91:AC93)+SUM($X$91:X93)+X94)*T94*IF(D94=$A$91,SRP_finalmonthfactor,1)</f>
        <v>0</v>
      </c>
      <c r="AD94" s="16">
        <f t="shared" si="21"/>
        <v>-147.72292615881273</v>
      </c>
      <c r="AE94" s="106"/>
      <c r="AF94" s="16">
        <f t="shared" si="52"/>
        <v>706779.45371576038</v>
      </c>
      <c r="AG94" s="16">
        <f t="shared" si="31"/>
        <v>2964.0224692725869</v>
      </c>
      <c r="AH94" s="16">
        <f t="shared" si="32"/>
        <v>-681.11968107949713</v>
      </c>
      <c r="AJ94" s="13">
        <f t="shared" si="22"/>
        <v>1</v>
      </c>
      <c r="AK94" s="13">
        <f t="shared" si="22"/>
        <v>1</v>
      </c>
      <c r="AL94" s="13">
        <f t="shared" si="22"/>
        <v>1</v>
      </c>
      <c r="AM94" s="13">
        <f t="shared" si="22"/>
        <v>1</v>
      </c>
      <c r="AN94" s="13">
        <f t="shared" si="22"/>
        <v>1</v>
      </c>
      <c r="AO94" s="13">
        <f t="shared" si="22"/>
        <v>1</v>
      </c>
      <c r="AP94" s="13">
        <f t="shared" si="22"/>
        <v>1</v>
      </c>
      <c r="AQ94" s="13">
        <f t="shared" si="22"/>
        <v>1</v>
      </c>
      <c r="AR94" s="13">
        <f t="shared" si="22"/>
        <v>1</v>
      </c>
      <c r="AS94" s="13">
        <f t="shared" si="22"/>
        <v>1</v>
      </c>
      <c r="AT94" s="13">
        <f t="shared" si="22"/>
        <v>1</v>
      </c>
      <c r="AU94" s="13">
        <f t="shared" si="22"/>
        <v>1</v>
      </c>
      <c r="AV94" s="13">
        <f t="shared" si="23"/>
        <v>1</v>
      </c>
      <c r="AW94" s="13">
        <f t="shared" si="33"/>
        <v>1</v>
      </c>
      <c r="AY94" s="17">
        <f t="shared" si="24"/>
        <v>4</v>
      </c>
      <c r="AZ94" s="28">
        <f t="shared" si="34"/>
        <v>0</v>
      </c>
      <c r="BA94" s="13">
        <f t="shared" si="25"/>
        <v>0</v>
      </c>
      <c r="BB94" s="13">
        <f t="shared" si="26"/>
        <v>0</v>
      </c>
      <c r="BC94" s="28">
        <f t="shared" si="35"/>
        <v>0</v>
      </c>
      <c r="BD94" s="28">
        <f t="shared" si="36"/>
        <v>0</v>
      </c>
      <c r="BF94" s="248">
        <f t="shared" si="37"/>
        <v>711782.23809117288</v>
      </c>
      <c r="BG94" s="36">
        <f t="shared" si="38"/>
        <v>0</v>
      </c>
      <c r="BH94" s="36">
        <f t="shared" si="39"/>
        <v>706779.45371576038</v>
      </c>
      <c r="BI94" s="249">
        <f t="shared" si="40"/>
        <v>4.1816398110932074E-3</v>
      </c>
      <c r="BJ94" s="246">
        <f t="shared" si="41"/>
        <v>2.0857243058891584E-4</v>
      </c>
      <c r="BK94" s="246">
        <f t="shared" si="27"/>
        <v>7.531116566323881E-4</v>
      </c>
      <c r="BL94" s="246">
        <f t="shared" si="42"/>
        <v>0</v>
      </c>
      <c r="BM94" s="246">
        <f t="shared" si="43"/>
        <v>9.6168408722130394E-4</v>
      </c>
      <c r="BN94" s="36">
        <f t="shared" si="44"/>
        <v>681.11968107949713</v>
      </c>
      <c r="BO94" s="36">
        <f t="shared" si="45"/>
        <v>2955.4971013205327</v>
      </c>
      <c r="BP94" s="36">
        <f t="shared" si="46"/>
        <v>709053.83113600139</v>
      </c>
    </row>
    <row r="95" spans="1:69">
      <c r="A95" s="32">
        <f t="shared" si="47"/>
        <v>80</v>
      </c>
      <c r="B95" s="32">
        <f t="shared" si="28"/>
        <v>53</v>
      </c>
      <c r="C95" s="32">
        <f t="shared" si="48"/>
        <v>1</v>
      </c>
      <c r="D95" s="32">
        <f t="shared" si="49"/>
        <v>5</v>
      </c>
      <c r="E95" s="74">
        <f>MIN(IF(AV95=0,0,
IF(Investment_Strategy="DIS",VLOOKUP(Investment_Strategy&amp;"_"&amp;Investment_Strategy_Sub1&amp;"_"&amp;$A95,'Investment Strategies'!$AZ:$BP,12,FALSE),
IF(AND(Investment_Strategy="Lifecycle",Investment_Strategy_Sub1="Non-Standard"),VLOOKUP(Investment_Strategy&amp;"_"&amp;Investment_Strategy_Sub2&amp;"_"&amp;$A95,'Investment Strategies'!$C:$P,9,FALSE),
IF(AND(Investment_Strategy="Lifecycle",Investment_Strategy_Sub1="Standard"),VLOOKUP(Investment_Strategy&amp;"_"&amp;Investment_Strategy_Sub2&amp;"_"&amp;$A95,'Investment Strategies'!$AJ:$AV,8,FALSE),
IF(AND(Investment_Strategy="Autopilot",Investment_Strategy_Sub1="Non-Standard"),VLOOKUP(Investment_Strategy&amp;"_"&amp;Investment_Strategy_Sub2&amp;"_"&amp;$A95,'Investment Strategies'!$T:$AF,8,FALSE),
IF(Investment_Strategy ="DIY",DIY_RateOfReturn_CurrentFunds,
"Error")))))),Max_InvReturn)</f>
        <v>4.1816398110932074E-3</v>
      </c>
      <c r="F95" s="62">
        <f>IF(AV95=0,0,
IF(Investment_Strategy="DIS",VLOOKUP(Investment_Strategy&amp;"_"&amp;Investment_Strategy_Sub1&amp;"_"&amp;$A95,'Investment Strategies'!$AZ:$BP,15,FALSE),
IF(AND(Investment_Strategy="Lifecycle",Investment_Strategy_Sub1="Non-Standard"),VLOOKUP(Investment_Strategy&amp;"_"&amp;Investment_Strategy_Sub2&amp;"_"&amp;$A95,'Investment Strategies'!$C:$P,12,FALSE),
IF(AND(Investment_Strategy="Lifecycle",Investment_Strategy_Sub1="Standard"),VLOOKUP(Investment_Strategy&amp;"_"&amp;Investment_Strategy_Sub2&amp;"_"&amp;$A95,'Investment Strategies'!$AJ:$AV,11,FALSE),
IF(AND(Investment_Strategy="Autopilot",Investment_Strategy_Sub1="Non-Standard"),VLOOKUP(Investment_Strategy&amp;"_"&amp;Investment_Strategy_Sub2&amp;"_"&amp;$A95,'Investment Strategies'!$T:$AF,11,FALSE),
IF(Investment_Strategy="DIY",DIY_GteeChrge_CurrentFunds,
"Error"))))))</f>
        <v>5.4328711526985263E-4</v>
      </c>
      <c r="G95" s="33">
        <f>IF(AV95=0,0,
IF(Investment_Strategy="DIS",VLOOKUP(Investment_Strategy&amp;"_"&amp;Investment_Strategy_Sub1&amp;"_"&amp;$A95,'Investment Strategies'!$AZ:$BP,17,FALSE),
IF(AND(Investment_Strategy="Lifecycle",Investment_Strategy_Sub1="Non-Standard"),VLOOKUP(Investment_Strategy&amp;"_"&amp;Investment_Strategy_Sub2&amp;"_"&amp;$A95,'Investment Strategies'!$C:$P,14,FALSE),
IF(AND(Investment_Strategy="Lifecycle",Investment_Strategy_Sub1="Standard"),VLOOKUP(Investment_Strategy&amp;"_"&amp;Investment_Strategy_Sub2&amp;"_"&amp;$A95,'Investment Strategies'!$AJ:$AV,13,FALSE),
IF(AND(Investment_Strategy="Autopilot",Investment_Strategy_Sub1="Non-Standard"),VLOOKUP(Investment_Strategy&amp;"_"&amp;Investment_Strategy_Sub2&amp;"_"&amp;$A95,'Investment Strategies'!$T:$AF,13,FALSE),
IF(Investment_Strategy="DIY",DIY_ExtManChrge_CurrentFunds,
"Error"))))))</f>
        <v>2.0857243058891584E-4</v>
      </c>
      <c r="H95" s="16">
        <f t="shared" si="30"/>
        <v>0</v>
      </c>
      <c r="I95" s="16">
        <f t="shared" si="13"/>
        <v>0</v>
      </c>
      <c r="J95" s="16">
        <f t="shared" si="14"/>
        <v>0</v>
      </c>
      <c r="K95" s="16">
        <f>(Opening_Fund_Value+SUM(K$91:K94))*E95*IF(D95=$A$91,SRP_finalmonthfactor,1)</f>
        <v>0</v>
      </c>
      <c r="L95" s="74">
        <f>MIN(IF($AV95=0,0,
IF(Investment_Strategy="DIS",VLOOKUP(Investment_Strategy&amp;"_"&amp;Investment_Strategy_Sub1&amp;"_"&amp;$A95,'Investment Strategies'!$AZ:$BP,12,FALSE),
IF(AND(Investment_Strategy="Lifecycle",Investment_Strategy_Sub1="Non-Standard"),VLOOKUP(Investment_Strategy&amp;"_"&amp;Investment_Strategy_Sub2&amp;"_"&amp;$A95,'Investment Strategies'!$C:$P,9,FALSE),
IF(AND(Investment_Strategy="Lifecycle",Investment_Strategy_Sub1="Standard"),VLOOKUP(Investment_Strategy&amp;"_"&amp;Investment_Strategy_Sub2&amp;"_"&amp;$A95,'Investment Strategies'!$AJ:$AV,8,FALSE),
IF(AND(Investment_Strategy="Autopilot",Investment_Strategy_Sub1="Non-Standard"),VLOOKUP(Investment_Strategy&amp;"_"&amp;Investment_Strategy_Sub2&amp;"_"&amp;$A95,'Investment Strategies'!$T:$AF,8,FALSE),
IF(Investment_Strategy ="DIY",DIY_RateofReturn_SP,
"Error")))))),Max_InvReturn)</f>
        <v>4.1816398110932074E-3</v>
      </c>
      <c r="M95" s="62">
        <f>IF($AV95=0,0,
IF(Investment_Strategy="DIS",VLOOKUP(Investment_Strategy&amp;"_"&amp;Investment_Strategy_Sub1&amp;"_"&amp;$A95,'Investment Strategies'!$AZ:$BP,15,FALSE),
IF(AND(Investment_Strategy="Lifecycle",Investment_Strategy_Sub1="Non-Standard"),VLOOKUP(Investment_Strategy&amp;"_"&amp;Investment_Strategy_Sub2&amp;"_"&amp;$A95,'Investment Strategies'!$C:$P,12,FALSE),
IF(AND(Investment_Strategy="Lifecycle",Investment_Strategy_Sub1="Standard"),VLOOKUP(Investment_Strategy&amp;"_"&amp;Investment_Strategy_Sub2&amp;"_"&amp;$A95,'Investment Strategies'!$AJ:$AV,11,FALSE),
IF(AND(Investment_Strategy="Autopilot",Investment_Strategy_Sub1="Non-Standard"),VLOOKUP(Investment_Strategy&amp;"_"&amp;Investment_Strategy_Sub2&amp;"_"&amp;$A95,'Investment Strategies'!$T:$AF,11,FALSE),
IF(Investment_Strategy="DIY",DIY_GteeChrge_SP,
"Error"))))))</f>
        <v>0</v>
      </c>
      <c r="N95" s="33">
        <f>IF($AV95=0,0,
IF(Investment_Strategy="DIS",VLOOKUP(Investment_Strategy&amp;"_"&amp;Investment_Strategy_Sub1&amp;"_"&amp;$A95,'Investment Strategies'!$AZ:$BP,17,FALSE),
IF(AND(Investment_Strategy="Lifecycle",Investment_Strategy_Sub1="Non-Standard"),VLOOKUP(Investment_Strategy&amp;"_"&amp;Investment_Strategy_Sub2&amp;"_"&amp;$A95,'Investment Strategies'!$C:$P,14,FALSE),
IF(AND(Investment_Strategy="Lifecycle",Investment_Strategy_Sub1="Standard"),VLOOKUP(Investment_Strategy&amp;"_"&amp;Investment_Strategy_Sub2&amp;"_"&amp;$A95,'Investment Strategies'!$AJ:$AV,13,FALSE),
IF(AND(Investment_Strategy="Autopilot",Investment_Strategy_Sub1="Non-Standard"),VLOOKUP(Investment_Strategy&amp;"_"&amp;Investment_Strategy_Sub2&amp;"_"&amp;$A95,'Investment Strategies'!$T:$AF,13,FALSE),
IF(Investment_Strategy="DIY",DIY_ExtManChrge_SP,
"Error"))))))</f>
        <v>2.0857243058891584E-4</v>
      </c>
      <c r="O95" s="16">
        <f t="shared" si="50"/>
        <v>709053.83113600139</v>
      </c>
      <c r="Q95" s="16">
        <f t="shared" si="15"/>
        <v>2965.0077284864637</v>
      </c>
      <c r="R95" s="16">
        <f t="shared" si="16"/>
        <v>-683.31148676228088</v>
      </c>
      <c r="S95" s="16">
        <f>(SRP_SP+SUM(S$91:S94))*L95*IF(D95=$A$91,SRP_finalmonthfactor,1)</f>
        <v>2976.4169436310722</v>
      </c>
      <c r="T95" s="74">
        <f>MIN(IF($AV95=0,0,
IF(Investment_Strategy="DIS",VLOOKUP(Investment_Strategy&amp;"_"&amp;Investment_Strategy_Sub1&amp;"_"&amp;$A95,'Investment Strategies'!$AZ:$BP,12,FALSE),
IF(AND(Investment_Strategy="Lifecycle",Investment_Strategy_Sub1="Non-Standard"),VLOOKUP(Investment_Strategy&amp;"_"&amp;Investment_Strategy_Sub2&amp;"_"&amp;$A95,'Investment Strategies'!$C:$P,9,FALSE),
IF(AND(Investment_Strategy="Lifecycle",Investment_Strategy_Sub1="Standard"),VLOOKUP(Investment_Strategy&amp;"_"&amp;Investment_Strategy_Sub2&amp;"_"&amp;$A95,'Investment Strategies'!$AJ:$AV,8,FALSE),
IF(AND(Investment_Strategy="Autopilot",Investment_Strategy_Sub1="Non-Standard"),VLOOKUP(Investment_Strategy&amp;"_"&amp;Investment_Strategy_Sub2&amp;"_"&amp;$A95,'Investment Strategies'!$T:$AF,8,FALSE),
IF(Investment_Strategy ="DIY",DIY_RateOfReturn_FuturePremiums,
"Error")))))),Max_InvReturn)</f>
        <v>4.1816398110932074E-3</v>
      </c>
      <c r="U95" s="62">
        <f>IF($AV95=0,0,
IF(Investment_Strategy="DIS",VLOOKUP(Investment_Strategy&amp;"_"&amp;Investment_Strategy_Sub1&amp;"_"&amp;$A95,'Investment Strategies'!$AZ:$BP,15,FALSE),
IF(AND(Investment_Strategy="Lifecycle",Investment_Strategy_Sub1="Non-Standard"),VLOOKUP(Investment_Strategy&amp;"_"&amp;Investment_Strategy_Sub2&amp;"_"&amp;$A95,'Investment Strategies'!$C:$P,12,FALSE),
IF(AND(Investment_Strategy="Lifecycle",Investment_Strategy_Sub1="Standard"),VLOOKUP(Investment_Strategy&amp;"_"&amp;Investment_Strategy_Sub2&amp;"_"&amp;$A95,'Investment Strategies'!$AJ:$AV,11,FALSE),
IF(AND(Investment_Strategy="Autopilot",Investment_Strategy_Sub1="Non-Standard"),VLOOKUP(Investment_Strategy&amp;"_"&amp;Investment_Strategy_Sub2&amp;"_"&amp;$A95,'Investment Strategies'!$T:$AF,11,FALSE),
IF(Investment_Strategy="DIY",DIY_GteeChrge_FuturePremiums,
"Error"))))))</f>
        <v>0</v>
      </c>
      <c r="V95" s="33">
        <f>IF(AV95=0,0,
IF(Investment_Strategy="DIS",VLOOKUP(Investment_Strategy&amp;"_"&amp;Investment_Strategy_Sub1&amp;"_"&amp;$A95,'Investment Strategies'!$AZ:$BP,17,FALSE),
IF(AND(Investment_Strategy="Lifecycle",Investment_Strategy_Sub1="Non-Standard"),VLOOKUP(Investment_Strategy&amp;"_"&amp;Investment_Strategy_Sub2&amp;"_"&amp;$A95,'Investment Strategies'!$C:$P,14,FALSE),
IF(AND(Investment_Strategy="Lifecycle",Investment_Strategy_Sub1="Standard"),VLOOKUP(Investment_Strategy&amp;"_"&amp;Investment_Strategy_Sub2&amp;"_"&amp;$A95,'Investment Strategies'!$AJ:$AV,13,FALSE),
IF(AND(Investment_Strategy="Autopilot",Investment_Strategy_Sub1="Non-Standard"),VLOOKUP(Investment_Strategy&amp;"_"&amp;Investment_Strategy_Sub2&amp;"_"&amp;$A95,'Investment Strategies'!$T:$AF,13,FALSE),
IF(Investment_Strategy="DIY",DIY_ExtManChrge_FuturePremiums,
"Error"))))))</f>
        <v>1.2508601994698498E-4</v>
      </c>
      <c r="W95" s="16">
        <f t="shared" si="51"/>
        <v>0</v>
      </c>
      <c r="X95" s="16">
        <f t="shared" si="17"/>
        <v>0</v>
      </c>
      <c r="Y95" s="16">
        <f t="shared" si="18"/>
        <v>0</v>
      </c>
      <c r="Z95" s="31">
        <f t="shared" si="19"/>
        <v>0.02</v>
      </c>
      <c r="AA95" s="16">
        <f t="shared" si="20"/>
        <v>0</v>
      </c>
      <c r="AB95" s="28">
        <f t="shared" si="53"/>
        <v>711782.23809117288</v>
      </c>
      <c r="AC95" s="28">
        <f>(SUM($AC$91:AC94)+SUM($X$91:X94)+X95)*T95*IF(D95=$A$91,SRP_finalmonthfactor,1)</f>
        <v>0</v>
      </c>
      <c r="AD95" s="16">
        <f t="shared" si="21"/>
        <v>-148.19829041274119</v>
      </c>
      <c r="AE95" s="106"/>
      <c r="AF95" s="16">
        <f t="shared" si="52"/>
        <v>709053.83113600139</v>
      </c>
      <c r="AG95" s="16">
        <f t="shared" si="31"/>
        <v>2976.4169436310722</v>
      </c>
      <c r="AH95" s="16">
        <f t="shared" si="32"/>
        <v>-683.31148676228088</v>
      </c>
      <c r="AJ95" s="13">
        <f t="shared" si="22"/>
        <v>1</v>
      </c>
      <c r="AK95" s="13">
        <f t="shared" si="22"/>
        <v>1</v>
      </c>
      <c r="AL95" s="13">
        <f t="shared" si="22"/>
        <v>1</v>
      </c>
      <c r="AM95" s="13">
        <f t="shared" si="22"/>
        <v>1</v>
      </c>
      <c r="AN95" s="13">
        <f t="shared" si="22"/>
        <v>1</v>
      </c>
      <c r="AO95" s="13">
        <f t="shared" si="22"/>
        <v>1</v>
      </c>
      <c r="AP95" s="13">
        <f t="shared" si="22"/>
        <v>1</v>
      </c>
      <c r="AQ95" s="13">
        <f t="shared" si="22"/>
        <v>1</v>
      </c>
      <c r="AR95" s="13">
        <f t="shared" si="22"/>
        <v>1</v>
      </c>
      <c r="AS95" s="13">
        <f t="shared" si="22"/>
        <v>1</v>
      </c>
      <c r="AT95" s="13">
        <f t="shared" si="22"/>
        <v>1</v>
      </c>
      <c r="AU95" s="13">
        <f t="shared" si="22"/>
        <v>1</v>
      </c>
      <c r="AV95" s="13">
        <f t="shared" si="23"/>
        <v>1</v>
      </c>
      <c r="AW95" s="13">
        <f t="shared" si="33"/>
        <v>1</v>
      </c>
      <c r="AY95" s="17">
        <f t="shared" si="24"/>
        <v>5</v>
      </c>
      <c r="AZ95" s="28">
        <f t="shared" si="34"/>
        <v>0</v>
      </c>
      <c r="BA95" s="13">
        <f t="shared" si="25"/>
        <v>0</v>
      </c>
      <c r="BB95" s="13">
        <f t="shared" si="26"/>
        <v>0</v>
      </c>
      <c r="BC95" s="28">
        <f t="shared" si="35"/>
        <v>0</v>
      </c>
      <c r="BD95" s="28">
        <f t="shared" si="36"/>
        <v>0</v>
      </c>
      <c r="BF95" s="248">
        <f t="shared" si="37"/>
        <v>714758.6550348039</v>
      </c>
      <c r="BG95" s="36">
        <f t="shared" si="38"/>
        <v>0</v>
      </c>
      <c r="BH95" s="36">
        <f t="shared" si="39"/>
        <v>709053.83113600139</v>
      </c>
      <c r="BI95" s="249">
        <f t="shared" si="40"/>
        <v>4.1816398110932074E-3</v>
      </c>
      <c r="BJ95" s="246">
        <f t="shared" si="41"/>
        <v>2.0857243058891584E-4</v>
      </c>
      <c r="BK95" s="246">
        <f t="shared" si="27"/>
        <v>7.531116566323881E-4</v>
      </c>
      <c r="BL95" s="246">
        <f t="shared" si="42"/>
        <v>0</v>
      </c>
      <c r="BM95" s="246">
        <f t="shared" si="43"/>
        <v>9.6168408722130394E-4</v>
      </c>
      <c r="BN95" s="36">
        <f t="shared" si="44"/>
        <v>683.31148676228077</v>
      </c>
      <c r="BO95" s="36">
        <f t="shared" si="45"/>
        <v>2965.0077284864637</v>
      </c>
      <c r="BP95" s="36">
        <f t="shared" si="46"/>
        <v>711335.52737772558</v>
      </c>
    </row>
    <row r="96" spans="1:69">
      <c r="A96" s="32">
        <f t="shared" si="47"/>
        <v>79</v>
      </c>
      <c r="B96" s="32">
        <f t="shared" si="28"/>
        <v>53</v>
      </c>
      <c r="C96" s="32">
        <f t="shared" si="48"/>
        <v>1</v>
      </c>
      <c r="D96" s="32">
        <f t="shared" si="49"/>
        <v>6</v>
      </c>
      <c r="E96" s="74">
        <f>MIN(IF(AV96=0,0,
IF(Investment_Strategy="DIS",VLOOKUP(Investment_Strategy&amp;"_"&amp;Investment_Strategy_Sub1&amp;"_"&amp;$A96,'Investment Strategies'!$AZ:$BP,12,FALSE),
IF(AND(Investment_Strategy="Lifecycle",Investment_Strategy_Sub1="Non-Standard"),VLOOKUP(Investment_Strategy&amp;"_"&amp;Investment_Strategy_Sub2&amp;"_"&amp;$A96,'Investment Strategies'!$C:$P,9,FALSE),
IF(AND(Investment_Strategy="Lifecycle",Investment_Strategy_Sub1="Standard"),VLOOKUP(Investment_Strategy&amp;"_"&amp;Investment_Strategy_Sub2&amp;"_"&amp;$A96,'Investment Strategies'!$AJ:$AV,8,FALSE),
IF(AND(Investment_Strategy="Autopilot",Investment_Strategy_Sub1="Non-Standard"),VLOOKUP(Investment_Strategy&amp;"_"&amp;Investment_Strategy_Sub2&amp;"_"&amp;$A96,'Investment Strategies'!$T:$AF,8,FALSE),
IF(Investment_Strategy ="DIY",DIY_RateOfReturn_CurrentFunds,
"Error")))))),Max_InvReturn)</f>
        <v>4.1816398110932074E-3</v>
      </c>
      <c r="F96" s="62">
        <f>IF(AV96=0,0,
IF(Investment_Strategy="DIS",VLOOKUP(Investment_Strategy&amp;"_"&amp;Investment_Strategy_Sub1&amp;"_"&amp;$A96,'Investment Strategies'!$AZ:$BP,15,FALSE),
IF(AND(Investment_Strategy="Lifecycle",Investment_Strategy_Sub1="Non-Standard"),VLOOKUP(Investment_Strategy&amp;"_"&amp;Investment_Strategy_Sub2&amp;"_"&amp;$A96,'Investment Strategies'!$C:$P,12,FALSE),
IF(AND(Investment_Strategy="Lifecycle",Investment_Strategy_Sub1="Standard"),VLOOKUP(Investment_Strategy&amp;"_"&amp;Investment_Strategy_Sub2&amp;"_"&amp;$A96,'Investment Strategies'!$AJ:$AV,11,FALSE),
IF(AND(Investment_Strategy="Autopilot",Investment_Strategy_Sub1="Non-Standard"),VLOOKUP(Investment_Strategy&amp;"_"&amp;Investment_Strategy_Sub2&amp;"_"&amp;$A96,'Investment Strategies'!$T:$AF,11,FALSE),
IF(Investment_Strategy="DIY",DIY_GteeChrge_CurrentFunds,
"Error"))))))</f>
        <v>5.4328711526985263E-4</v>
      </c>
      <c r="G96" s="33">
        <f>IF(AV96=0,0,
IF(Investment_Strategy="DIS",VLOOKUP(Investment_Strategy&amp;"_"&amp;Investment_Strategy_Sub1&amp;"_"&amp;$A96,'Investment Strategies'!$AZ:$BP,17,FALSE),
IF(AND(Investment_Strategy="Lifecycle",Investment_Strategy_Sub1="Non-Standard"),VLOOKUP(Investment_Strategy&amp;"_"&amp;Investment_Strategy_Sub2&amp;"_"&amp;$A96,'Investment Strategies'!$C:$P,14,FALSE),
IF(AND(Investment_Strategy="Lifecycle",Investment_Strategy_Sub1="Standard"),VLOOKUP(Investment_Strategy&amp;"_"&amp;Investment_Strategy_Sub2&amp;"_"&amp;$A96,'Investment Strategies'!$AJ:$AV,13,FALSE),
IF(AND(Investment_Strategy="Autopilot",Investment_Strategy_Sub1="Non-Standard"),VLOOKUP(Investment_Strategy&amp;"_"&amp;Investment_Strategy_Sub2&amp;"_"&amp;$A96,'Investment Strategies'!$T:$AF,13,FALSE),
IF(Investment_Strategy="DIY",DIY_ExtManChrge_CurrentFunds,
"Error"))))))</f>
        <v>2.0857243058891584E-4</v>
      </c>
      <c r="H96" s="16">
        <f t="shared" si="30"/>
        <v>0</v>
      </c>
      <c r="I96" s="16">
        <f t="shared" si="13"/>
        <v>0</v>
      </c>
      <c r="J96" s="16">
        <f t="shared" si="14"/>
        <v>0</v>
      </c>
      <c r="K96" s="16">
        <f>(Opening_Fund_Value+SUM(K$91:K95))*E96*IF(D96=$A$91,SRP_finalmonthfactor,1)</f>
        <v>0</v>
      </c>
      <c r="L96" s="74">
        <f>MIN(IF($AV96=0,0,
IF(Investment_Strategy="DIS",VLOOKUP(Investment_Strategy&amp;"_"&amp;Investment_Strategy_Sub1&amp;"_"&amp;$A96,'Investment Strategies'!$AZ:$BP,12,FALSE),
IF(AND(Investment_Strategy="Lifecycle",Investment_Strategy_Sub1="Non-Standard"),VLOOKUP(Investment_Strategy&amp;"_"&amp;Investment_Strategy_Sub2&amp;"_"&amp;$A96,'Investment Strategies'!$C:$P,9,FALSE),
IF(AND(Investment_Strategy="Lifecycle",Investment_Strategy_Sub1="Standard"),VLOOKUP(Investment_Strategy&amp;"_"&amp;Investment_Strategy_Sub2&amp;"_"&amp;$A96,'Investment Strategies'!$AJ:$AV,8,FALSE),
IF(AND(Investment_Strategy="Autopilot",Investment_Strategy_Sub1="Non-Standard"),VLOOKUP(Investment_Strategy&amp;"_"&amp;Investment_Strategy_Sub2&amp;"_"&amp;$A96,'Investment Strategies'!$T:$AF,8,FALSE),
IF(Investment_Strategy ="DIY",DIY_RateofReturn_SP,
"Error")))))),Max_InvReturn)</f>
        <v>4.1816398110932074E-3</v>
      </c>
      <c r="M96" s="62">
        <f>IF($AV96=0,0,
IF(Investment_Strategy="DIS",VLOOKUP(Investment_Strategy&amp;"_"&amp;Investment_Strategy_Sub1&amp;"_"&amp;$A96,'Investment Strategies'!$AZ:$BP,15,FALSE),
IF(AND(Investment_Strategy="Lifecycle",Investment_Strategy_Sub1="Non-Standard"),VLOOKUP(Investment_Strategy&amp;"_"&amp;Investment_Strategy_Sub2&amp;"_"&amp;$A96,'Investment Strategies'!$C:$P,12,FALSE),
IF(AND(Investment_Strategy="Lifecycle",Investment_Strategy_Sub1="Standard"),VLOOKUP(Investment_Strategy&amp;"_"&amp;Investment_Strategy_Sub2&amp;"_"&amp;$A96,'Investment Strategies'!$AJ:$AV,11,FALSE),
IF(AND(Investment_Strategy="Autopilot",Investment_Strategy_Sub1="Non-Standard"),VLOOKUP(Investment_Strategy&amp;"_"&amp;Investment_Strategy_Sub2&amp;"_"&amp;$A96,'Investment Strategies'!$T:$AF,11,FALSE),
IF(Investment_Strategy="DIY",DIY_GteeChrge_SP,
"Error"))))))</f>
        <v>0</v>
      </c>
      <c r="N96" s="33">
        <f>IF($AV96=0,0,
IF(Investment_Strategy="DIS",VLOOKUP(Investment_Strategy&amp;"_"&amp;Investment_Strategy_Sub1&amp;"_"&amp;$A96,'Investment Strategies'!$AZ:$BP,17,FALSE),
IF(AND(Investment_Strategy="Lifecycle",Investment_Strategy_Sub1="Non-Standard"),VLOOKUP(Investment_Strategy&amp;"_"&amp;Investment_Strategy_Sub2&amp;"_"&amp;$A96,'Investment Strategies'!$C:$P,14,FALSE),
IF(AND(Investment_Strategy="Lifecycle",Investment_Strategy_Sub1="Standard"),VLOOKUP(Investment_Strategy&amp;"_"&amp;Investment_Strategy_Sub2&amp;"_"&amp;$A96,'Investment Strategies'!$AJ:$AV,13,FALSE),
IF(AND(Investment_Strategy="Autopilot",Investment_Strategy_Sub1="Non-Standard"),VLOOKUP(Investment_Strategy&amp;"_"&amp;Investment_Strategy_Sub2&amp;"_"&amp;$A96,'Investment Strategies'!$T:$AF,13,FALSE),
IF(Investment_Strategy="DIY",DIY_ExtManChrge_SP,
"Error"))))))</f>
        <v>2.0857243058891584E-4</v>
      </c>
      <c r="O96" s="16">
        <f t="shared" si="50"/>
        <v>711335.52737772558</v>
      </c>
      <c r="Q96" s="16">
        <f t="shared" si="15"/>
        <v>2974.5489603276797</v>
      </c>
      <c r="R96" s="16">
        <f t="shared" si="16"/>
        <v>-685.51034555523677</v>
      </c>
      <c r="S96" s="16">
        <f>(SRP_SP+SUM(S$91:S95))*L96*IF(D96=$A$91,SRP_finalmonthfactor,1)</f>
        <v>2988.863247216972</v>
      </c>
      <c r="T96" s="74">
        <f>MIN(IF($AV96=0,0,
IF(Investment_Strategy="DIS",VLOOKUP(Investment_Strategy&amp;"_"&amp;Investment_Strategy_Sub1&amp;"_"&amp;$A96,'Investment Strategies'!$AZ:$BP,12,FALSE),
IF(AND(Investment_Strategy="Lifecycle",Investment_Strategy_Sub1="Non-Standard"),VLOOKUP(Investment_Strategy&amp;"_"&amp;Investment_Strategy_Sub2&amp;"_"&amp;$A96,'Investment Strategies'!$C:$P,9,FALSE),
IF(AND(Investment_Strategy="Lifecycle",Investment_Strategy_Sub1="Standard"),VLOOKUP(Investment_Strategy&amp;"_"&amp;Investment_Strategy_Sub2&amp;"_"&amp;$A96,'Investment Strategies'!$AJ:$AV,8,FALSE),
IF(AND(Investment_Strategy="Autopilot",Investment_Strategy_Sub1="Non-Standard"),VLOOKUP(Investment_Strategy&amp;"_"&amp;Investment_Strategy_Sub2&amp;"_"&amp;$A96,'Investment Strategies'!$T:$AF,8,FALSE),
IF(Investment_Strategy ="DIY",DIY_RateOfReturn_FuturePremiums,
"Error")))))),Max_InvReturn)</f>
        <v>4.1816398110932074E-3</v>
      </c>
      <c r="U96" s="62">
        <f>IF($AV96=0,0,
IF(Investment_Strategy="DIS",VLOOKUP(Investment_Strategy&amp;"_"&amp;Investment_Strategy_Sub1&amp;"_"&amp;$A96,'Investment Strategies'!$AZ:$BP,15,FALSE),
IF(AND(Investment_Strategy="Lifecycle",Investment_Strategy_Sub1="Non-Standard"),VLOOKUP(Investment_Strategy&amp;"_"&amp;Investment_Strategy_Sub2&amp;"_"&amp;$A96,'Investment Strategies'!$C:$P,12,FALSE),
IF(AND(Investment_Strategy="Lifecycle",Investment_Strategy_Sub1="Standard"),VLOOKUP(Investment_Strategy&amp;"_"&amp;Investment_Strategy_Sub2&amp;"_"&amp;$A96,'Investment Strategies'!$AJ:$AV,11,FALSE),
IF(AND(Investment_Strategy="Autopilot",Investment_Strategy_Sub1="Non-Standard"),VLOOKUP(Investment_Strategy&amp;"_"&amp;Investment_Strategy_Sub2&amp;"_"&amp;$A96,'Investment Strategies'!$T:$AF,11,FALSE),
IF(Investment_Strategy="DIY",DIY_GteeChrge_FuturePremiums,
"Error"))))))</f>
        <v>0</v>
      </c>
      <c r="V96" s="33">
        <f>IF(AV96=0,0,
IF(Investment_Strategy="DIS",VLOOKUP(Investment_Strategy&amp;"_"&amp;Investment_Strategy_Sub1&amp;"_"&amp;$A96,'Investment Strategies'!$AZ:$BP,17,FALSE),
IF(AND(Investment_Strategy="Lifecycle",Investment_Strategy_Sub1="Non-Standard"),VLOOKUP(Investment_Strategy&amp;"_"&amp;Investment_Strategy_Sub2&amp;"_"&amp;$A96,'Investment Strategies'!$C:$P,14,FALSE),
IF(AND(Investment_Strategy="Lifecycle",Investment_Strategy_Sub1="Standard"),VLOOKUP(Investment_Strategy&amp;"_"&amp;Investment_Strategy_Sub2&amp;"_"&amp;$A96,'Investment Strategies'!$AJ:$AV,13,FALSE),
IF(AND(Investment_Strategy="Autopilot",Investment_Strategy_Sub1="Non-Standard"),VLOOKUP(Investment_Strategy&amp;"_"&amp;Investment_Strategy_Sub2&amp;"_"&amp;$A96,'Investment Strategies'!$T:$AF,13,FALSE),
IF(Investment_Strategy="DIY",DIY_ExtManChrge_FuturePremiums,
"Error"))))))</f>
        <v>1.2508601994698498E-4</v>
      </c>
      <c r="W96" s="16">
        <f t="shared" si="51"/>
        <v>0</v>
      </c>
      <c r="X96" s="16">
        <f t="shared" si="17"/>
        <v>0</v>
      </c>
      <c r="Y96" s="16">
        <f t="shared" si="18"/>
        <v>0</v>
      </c>
      <c r="Z96" s="31">
        <f t="shared" si="19"/>
        <v>0.02</v>
      </c>
      <c r="AA96" s="16">
        <f t="shared" si="20"/>
        <v>0</v>
      </c>
      <c r="AB96" s="28">
        <f t="shared" si="53"/>
        <v>714758.6550348039</v>
      </c>
      <c r="AC96" s="28">
        <f>(SUM($AC$91:AC95)+SUM($X$91:X95)+X96)*T96*IF(D96=$A$91,SRP_finalmonthfactor,1)</f>
        <v>0</v>
      </c>
      <c r="AD96" s="16">
        <f t="shared" si="21"/>
        <v>-148.67518436270115</v>
      </c>
      <c r="AE96" s="106"/>
      <c r="AF96" s="16">
        <f t="shared" si="52"/>
        <v>711335.52737772558</v>
      </c>
      <c r="AG96" s="16">
        <f t="shared" si="31"/>
        <v>2988.863247216972</v>
      </c>
      <c r="AH96" s="16">
        <f t="shared" si="32"/>
        <v>-685.51034555523677</v>
      </c>
      <c r="AJ96" s="13">
        <f t="shared" si="22"/>
        <v>1</v>
      </c>
      <c r="AK96" s="13">
        <f t="shared" si="22"/>
        <v>1</v>
      </c>
      <c r="AL96" s="13">
        <f t="shared" si="22"/>
        <v>1</v>
      </c>
      <c r="AM96" s="13">
        <f t="shared" si="22"/>
        <v>1</v>
      </c>
      <c r="AN96" s="13">
        <f t="shared" si="22"/>
        <v>1</v>
      </c>
      <c r="AO96" s="13">
        <f t="shared" si="22"/>
        <v>1</v>
      </c>
      <c r="AP96" s="13">
        <f t="shared" si="22"/>
        <v>1</v>
      </c>
      <c r="AQ96" s="13">
        <f t="shared" si="22"/>
        <v>1</v>
      </c>
      <c r="AR96" s="13">
        <f t="shared" si="22"/>
        <v>1</v>
      </c>
      <c r="AS96" s="13">
        <f t="shared" si="22"/>
        <v>1</v>
      </c>
      <c r="AT96" s="13">
        <f t="shared" si="22"/>
        <v>1</v>
      </c>
      <c r="AU96" s="13">
        <f t="shared" si="22"/>
        <v>1</v>
      </c>
      <c r="AV96" s="13">
        <f t="shared" si="23"/>
        <v>1</v>
      </c>
      <c r="AW96" s="13">
        <f t="shared" si="33"/>
        <v>1</v>
      </c>
      <c r="AY96" s="17">
        <f t="shared" si="24"/>
        <v>6</v>
      </c>
      <c r="AZ96" s="28">
        <f t="shared" si="34"/>
        <v>0</v>
      </c>
      <c r="BA96" s="13">
        <f t="shared" si="25"/>
        <v>0</v>
      </c>
      <c r="BB96" s="13">
        <f t="shared" si="26"/>
        <v>0</v>
      </c>
      <c r="BC96" s="28">
        <f t="shared" si="35"/>
        <v>0</v>
      </c>
      <c r="BD96" s="28">
        <f t="shared" si="36"/>
        <v>0</v>
      </c>
      <c r="BF96" s="248">
        <f t="shared" si="37"/>
        <v>717747.51828202093</v>
      </c>
      <c r="BG96" s="36">
        <f t="shared" ref="BG96:BG159" si="54">P96+X96</f>
        <v>0</v>
      </c>
      <c r="BH96" s="36">
        <f t="shared" ref="BH96:BH159" si="55">IF(ISNUMBER(BH95), BG96+BP95, BG96)</f>
        <v>711335.52737772558</v>
      </c>
      <c r="BI96" s="249">
        <f t="shared" ref="BI96:BI159" si="56">E96</f>
        <v>4.1816398110932074E-3</v>
      </c>
      <c r="BJ96" s="246">
        <f t="shared" ref="BJ96:BJ159" si="57">N96</f>
        <v>2.0857243058891584E-4</v>
      </c>
      <c r="BK96" s="246">
        <f t="shared" si="27"/>
        <v>7.531116566323881E-4</v>
      </c>
      <c r="BL96" s="246">
        <f t="shared" ref="BL96:BL159" si="58">U96</f>
        <v>0</v>
      </c>
      <c r="BM96" s="246">
        <f t="shared" ref="BM96:BM159" si="59">BJ96+BK96+BL96</f>
        <v>9.6168408722130394E-4</v>
      </c>
      <c r="BN96" s="36">
        <f t="shared" si="44"/>
        <v>685.51034555523677</v>
      </c>
      <c r="BO96" s="36">
        <f t="shared" ref="BO96:BO159" si="60">BH96*BI96</f>
        <v>2974.5489603276797</v>
      </c>
      <c r="BP96" s="36">
        <f t="shared" ref="BP96:BP159" si="61">BH96+BO96-BN96</f>
        <v>713624.56599249796</v>
      </c>
    </row>
    <row r="97" spans="1:68">
      <c r="A97" s="32">
        <f t="shared" si="47"/>
        <v>78</v>
      </c>
      <c r="B97" s="32">
        <f t="shared" si="28"/>
        <v>53</v>
      </c>
      <c r="C97" s="32">
        <f t="shared" si="48"/>
        <v>1</v>
      </c>
      <c r="D97" s="32">
        <f t="shared" si="49"/>
        <v>7</v>
      </c>
      <c r="E97" s="74">
        <f>MIN(IF(AV97=0,0,
IF(Investment_Strategy="DIS",VLOOKUP(Investment_Strategy&amp;"_"&amp;Investment_Strategy_Sub1&amp;"_"&amp;$A97,'Investment Strategies'!$AZ:$BP,12,FALSE),
IF(AND(Investment_Strategy="Lifecycle",Investment_Strategy_Sub1="Non-Standard"),VLOOKUP(Investment_Strategy&amp;"_"&amp;Investment_Strategy_Sub2&amp;"_"&amp;$A97,'Investment Strategies'!$C:$P,9,FALSE),
IF(AND(Investment_Strategy="Lifecycle",Investment_Strategy_Sub1="Standard"),VLOOKUP(Investment_Strategy&amp;"_"&amp;Investment_Strategy_Sub2&amp;"_"&amp;$A97,'Investment Strategies'!$AJ:$AV,8,FALSE),
IF(AND(Investment_Strategy="Autopilot",Investment_Strategy_Sub1="Non-Standard"),VLOOKUP(Investment_Strategy&amp;"_"&amp;Investment_Strategy_Sub2&amp;"_"&amp;$A97,'Investment Strategies'!$T:$AF,8,FALSE),
IF(Investment_Strategy ="DIY",DIY_RateOfReturn_CurrentFunds,
"Error")))))),Max_InvReturn)</f>
        <v>4.1816398110932074E-3</v>
      </c>
      <c r="F97" s="62">
        <f>IF(AV97=0,0,
IF(Investment_Strategy="DIS",VLOOKUP(Investment_Strategy&amp;"_"&amp;Investment_Strategy_Sub1&amp;"_"&amp;$A97,'Investment Strategies'!$AZ:$BP,15,FALSE),
IF(AND(Investment_Strategy="Lifecycle",Investment_Strategy_Sub1="Non-Standard"),VLOOKUP(Investment_Strategy&amp;"_"&amp;Investment_Strategy_Sub2&amp;"_"&amp;$A97,'Investment Strategies'!$C:$P,12,FALSE),
IF(AND(Investment_Strategy="Lifecycle",Investment_Strategy_Sub1="Standard"),VLOOKUP(Investment_Strategy&amp;"_"&amp;Investment_Strategy_Sub2&amp;"_"&amp;$A97,'Investment Strategies'!$AJ:$AV,11,FALSE),
IF(AND(Investment_Strategy="Autopilot",Investment_Strategy_Sub1="Non-Standard"),VLOOKUP(Investment_Strategy&amp;"_"&amp;Investment_Strategy_Sub2&amp;"_"&amp;$A97,'Investment Strategies'!$T:$AF,11,FALSE),
IF(Investment_Strategy="DIY",DIY_GteeChrge_CurrentFunds,
"Error"))))))</f>
        <v>5.4328711526985263E-4</v>
      </c>
      <c r="G97" s="33">
        <f>IF(AV97=0,0,
IF(Investment_Strategy="DIS",VLOOKUP(Investment_Strategy&amp;"_"&amp;Investment_Strategy_Sub1&amp;"_"&amp;$A97,'Investment Strategies'!$AZ:$BP,17,FALSE),
IF(AND(Investment_Strategy="Lifecycle",Investment_Strategy_Sub1="Non-Standard"),VLOOKUP(Investment_Strategy&amp;"_"&amp;Investment_Strategy_Sub2&amp;"_"&amp;$A97,'Investment Strategies'!$C:$P,14,FALSE),
IF(AND(Investment_Strategy="Lifecycle",Investment_Strategy_Sub1="Standard"),VLOOKUP(Investment_Strategy&amp;"_"&amp;Investment_Strategy_Sub2&amp;"_"&amp;$A97,'Investment Strategies'!$AJ:$AV,13,FALSE),
IF(AND(Investment_Strategy="Autopilot",Investment_Strategy_Sub1="Non-Standard"),VLOOKUP(Investment_Strategy&amp;"_"&amp;Investment_Strategy_Sub2&amp;"_"&amp;$A97,'Investment Strategies'!$T:$AF,13,FALSE),
IF(Investment_Strategy="DIY",DIY_ExtManChrge_CurrentFunds,
"Error"))))))</f>
        <v>2.0857243058891584E-4</v>
      </c>
      <c r="H97" s="16">
        <f t="shared" si="30"/>
        <v>0</v>
      </c>
      <c r="I97" s="16">
        <f t="shared" si="13"/>
        <v>0</v>
      </c>
      <c r="J97" s="16">
        <f t="shared" si="14"/>
        <v>0</v>
      </c>
      <c r="K97" s="16">
        <f>(Opening_Fund_Value+SUM(K$91:K96))*E97*IF(D97=$A$91,SRP_finalmonthfactor,1)</f>
        <v>0</v>
      </c>
      <c r="L97" s="74">
        <f>MIN(IF($AV97=0,0,
IF(Investment_Strategy="DIS",VLOOKUP(Investment_Strategy&amp;"_"&amp;Investment_Strategy_Sub1&amp;"_"&amp;$A97,'Investment Strategies'!$AZ:$BP,12,FALSE),
IF(AND(Investment_Strategy="Lifecycle",Investment_Strategy_Sub1="Non-Standard"),VLOOKUP(Investment_Strategy&amp;"_"&amp;Investment_Strategy_Sub2&amp;"_"&amp;$A97,'Investment Strategies'!$C:$P,9,FALSE),
IF(AND(Investment_Strategy="Lifecycle",Investment_Strategy_Sub1="Standard"),VLOOKUP(Investment_Strategy&amp;"_"&amp;Investment_Strategy_Sub2&amp;"_"&amp;$A97,'Investment Strategies'!$AJ:$AV,8,FALSE),
IF(AND(Investment_Strategy="Autopilot",Investment_Strategy_Sub1="Non-Standard"),VLOOKUP(Investment_Strategy&amp;"_"&amp;Investment_Strategy_Sub2&amp;"_"&amp;$A97,'Investment Strategies'!$T:$AF,8,FALSE),
IF(Investment_Strategy ="DIY",DIY_RateofReturn_SP,
"Error")))))),Max_InvReturn)</f>
        <v>4.1816398110932074E-3</v>
      </c>
      <c r="M97" s="62">
        <f>IF($AV97=0,0,
IF(Investment_Strategy="DIS",VLOOKUP(Investment_Strategy&amp;"_"&amp;Investment_Strategy_Sub1&amp;"_"&amp;$A97,'Investment Strategies'!$AZ:$BP,15,FALSE),
IF(AND(Investment_Strategy="Lifecycle",Investment_Strategy_Sub1="Non-Standard"),VLOOKUP(Investment_Strategy&amp;"_"&amp;Investment_Strategy_Sub2&amp;"_"&amp;$A97,'Investment Strategies'!$C:$P,12,FALSE),
IF(AND(Investment_Strategy="Lifecycle",Investment_Strategy_Sub1="Standard"),VLOOKUP(Investment_Strategy&amp;"_"&amp;Investment_Strategy_Sub2&amp;"_"&amp;$A97,'Investment Strategies'!$AJ:$AV,11,FALSE),
IF(AND(Investment_Strategy="Autopilot",Investment_Strategy_Sub1="Non-Standard"),VLOOKUP(Investment_Strategy&amp;"_"&amp;Investment_Strategy_Sub2&amp;"_"&amp;$A97,'Investment Strategies'!$T:$AF,11,FALSE),
IF(Investment_Strategy="DIY",DIY_GteeChrge_SP,
"Error"))))))</f>
        <v>0</v>
      </c>
      <c r="N97" s="33">
        <f>IF($AV97=0,0,
IF(Investment_Strategy="DIS",VLOOKUP(Investment_Strategy&amp;"_"&amp;Investment_Strategy_Sub1&amp;"_"&amp;$A97,'Investment Strategies'!$AZ:$BP,17,FALSE),
IF(AND(Investment_Strategy="Lifecycle",Investment_Strategy_Sub1="Non-Standard"),VLOOKUP(Investment_Strategy&amp;"_"&amp;Investment_Strategy_Sub2&amp;"_"&amp;$A97,'Investment Strategies'!$C:$P,14,FALSE),
IF(AND(Investment_Strategy="Lifecycle",Investment_Strategy_Sub1="Standard"),VLOOKUP(Investment_Strategy&amp;"_"&amp;Investment_Strategy_Sub2&amp;"_"&amp;$A97,'Investment Strategies'!$AJ:$AV,13,FALSE),
IF(AND(Investment_Strategy="Autopilot",Investment_Strategy_Sub1="Non-Standard"),VLOOKUP(Investment_Strategy&amp;"_"&amp;Investment_Strategy_Sub2&amp;"_"&amp;$A97,'Investment Strategies'!$T:$AF,13,FALSE),
IF(Investment_Strategy="DIY",DIY_ExtManChrge_SP,
"Error"))))))</f>
        <v>2.0857243058891584E-4</v>
      </c>
      <c r="O97" s="16">
        <f t="shared" si="50"/>
        <v>713624.56599249796</v>
      </c>
      <c r="Q97" s="16">
        <f t="shared" si="15"/>
        <v>2984.1208953283412</v>
      </c>
      <c r="R97" s="16">
        <f t="shared" si="16"/>
        <v>-687.71628015488545</v>
      </c>
      <c r="S97" s="16">
        <f>(SRP_SP+SUM(S$91:S96))*L97*IF(D97=$A$91,SRP_finalmonthfactor,1)</f>
        <v>3001.3615967614478</v>
      </c>
      <c r="T97" s="74">
        <f>MIN(IF($AV97=0,0,
IF(Investment_Strategy="DIS",VLOOKUP(Investment_Strategy&amp;"_"&amp;Investment_Strategy_Sub1&amp;"_"&amp;$A97,'Investment Strategies'!$AZ:$BP,12,FALSE),
IF(AND(Investment_Strategy="Lifecycle",Investment_Strategy_Sub1="Non-Standard"),VLOOKUP(Investment_Strategy&amp;"_"&amp;Investment_Strategy_Sub2&amp;"_"&amp;$A97,'Investment Strategies'!$C:$P,9,FALSE),
IF(AND(Investment_Strategy="Lifecycle",Investment_Strategy_Sub1="Standard"),VLOOKUP(Investment_Strategy&amp;"_"&amp;Investment_Strategy_Sub2&amp;"_"&amp;$A97,'Investment Strategies'!$AJ:$AV,8,FALSE),
IF(AND(Investment_Strategy="Autopilot",Investment_Strategy_Sub1="Non-Standard"),VLOOKUP(Investment_Strategy&amp;"_"&amp;Investment_Strategy_Sub2&amp;"_"&amp;$A97,'Investment Strategies'!$T:$AF,8,FALSE),
IF(Investment_Strategy ="DIY",DIY_RateOfReturn_FuturePremiums,
"Error")))))),Max_InvReturn)</f>
        <v>4.1816398110932074E-3</v>
      </c>
      <c r="U97" s="62">
        <f>IF($AV97=0,0,
IF(Investment_Strategy="DIS",VLOOKUP(Investment_Strategy&amp;"_"&amp;Investment_Strategy_Sub1&amp;"_"&amp;$A97,'Investment Strategies'!$AZ:$BP,15,FALSE),
IF(AND(Investment_Strategy="Lifecycle",Investment_Strategy_Sub1="Non-Standard"),VLOOKUP(Investment_Strategy&amp;"_"&amp;Investment_Strategy_Sub2&amp;"_"&amp;$A97,'Investment Strategies'!$C:$P,12,FALSE),
IF(AND(Investment_Strategy="Lifecycle",Investment_Strategy_Sub1="Standard"),VLOOKUP(Investment_Strategy&amp;"_"&amp;Investment_Strategy_Sub2&amp;"_"&amp;$A97,'Investment Strategies'!$AJ:$AV,11,FALSE),
IF(AND(Investment_Strategy="Autopilot",Investment_Strategy_Sub1="Non-Standard"),VLOOKUP(Investment_Strategy&amp;"_"&amp;Investment_Strategy_Sub2&amp;"_"&amp;$A97,'Investment Strategies'!$T:$AF,11,FALSE),
IF(Investment_Strategy="DIY",DIY_GteeChrge_FuturePremiums,
"Error"))))))</f>
        <v>0</v>
      </c>
      <c r="V97" s="33">
        <f>IF(AV97=0,0,
IF(Investment_Strategy="DIS",VLOOKUP(Investment_Strategy&amp;"_"&amp;Investment_Strategy_Sub1&amp;"_"&amp;$A97,'Investment Strategies'!$AZ:$BP,17,FALSE),
IF(AND(Investment_Strategy="Lifecycle",Investment_Strategy_Sub1="Non-Standard"),VLOOKUP(Investment_Strategy&amp;"_"&amp;Investment_Strategy_Sub2&amp;"_"&amp;$A97,'Investment Strategies'!$C:$P,14,FALSE),
IF(AND(Investment_Strategy="Lifecycle",Investment_Strategy_Sub1="Standard"),VLOOKUP(Investment_Strategy&amp;"_"&amp;Investment_Strategy_Sub2&amp;"_"&amp;$A97,'Investment Strategies'!$AJ:$AV,13,FALSE),
IF(AND(Investment_Strategy="Autopilot",Investment_Strategy_Sub1="Non-Standard"),VLOOKUP(Investment_Strategy&amp;"_"&amp;Investment_Strategy_Sub2&amp;"_"&amp;$A97,'Investment Strategies'!$T:$AF,13,FALSE),
IF(Investment_Strategy="DIY",DIY_ExtManChrge_FuturePremiums,
"Error"))))))</f>
        <v>1.2508601994698498E-4</v>
      </c>
      <c r="W97" s="16">
        <f t="shared" si="51"/>
        <v>0</v>
      </c>
      <c r="X97" s="16">
        <f t="shared" si="17"/>
        <v>0</v>
      </c>
      <c r="Y97" s="16">
        <f t="shared" si="18"/>
        <v>0</v>
      </c>
      <c r="Z97" s="31">
        <f t="shared" si="19"/>
        <v>0.02</v>
      </c>
      <c r="AA97" s="16">
        <f t="shared" si="20"/>
        <v>0</v>
      </c>
      <c r="AB97" s="28">
        <f t="shared" si="53"/>
        <v>717747.51828202093</v>
      </c>
      <c r="AC97" s="28">
        <f>(SUM($AC$91:AC96)+SUM($X$91:X96)+X97)*T97*IF(D97=$A$91,SRP_finalmonthfactor,1)</f>
        <v>0</v>
      </c>
      <c r="AD97" s="16">
        <f t="shared" si="21"/>
        <v>-149.15361293117036</v>
      </c>
      <c r="AE97" s="106"/>
      <c r="AF97" s="16">
        <f t="shared" si="52"/>
        <v>713624.56599249796</v>
      </c>
      <c r="AG97" s="16">
        <f t="shared" si="31"/>
        <v>3001.3615967614478</v>
      </c>
      <c r="AH97" s="16">
        <f t="shared" si="32"/>
        <v>-687.71628015488545</v>
      </c>
      <c r="AJ97" s="13">
        <f t="shared" si="22"/>
        <v>1</v>
      </c>
      <c r="AK97" s="13">
        <f t="shared" si="22"/>
        <v>1</v>
      </c>
      <c r="AL97" s="13">
        <f t="shared" si="22"/>
        <v>1</v>
      </c>
      <c r="AM97" s="13">
        <f t="shared" si="22"/>
        <v>1</v>
      </c>
      <c r="AN97" s="13">
        <f t="shared" si="22"/>
        <v>1</v>
      </c>
      <c r="AO97" s="13">
        <f t="shared" si="22"/>
        <v>1</v>
      </c>
      <c r="AP97" s="13">
        <f t="shared" si="22"/>
        <v>1</v>
      </c>
      <c r="AQ97" s="13">
        <f t="shared" si="22"/>
        <v>1</v>
      </c>
      <c r="AR97" s="13">
        <f t="shared" si="22"/>
        <v>1</v>
      </c>
      <c r="AS97" s="13">
        <f t="shared" si="22"/>
        <v>1</v>
      </c>
      <c r="AT97" s="13">
        <f t="shared" si="22"/>
        <v>1</v>
      </c>
      <c r="AU97" s="13">
        <f t="shared" si="22"/>
        <v>1</v>
      </c>
      <c r="AV97" s="13">
        <f t="shared" si="23"/>
        <v>1</v>
      </c>
      <c r="AW97" s="13">
        <f t="shared" si="33"/>
        <v>1</v>
      </c>
      <c r="AY97" s="17">
        <f t="shared" si="24"/>
        <v>7</v>
      </c>
      <c r="AZ97" s="28">
        <f t="shared" si="34"/>
        <v>0</v>
      </c>
      <c r="BA97" s="13">
        <f t="shared" si="25"/>
        <v>0</v>
      </c>
      <c r="BB97" s="13">
        <f t="shared" si="26"/>
        <v>0</v>
      </c>
      <c r="BC97" s="28">
        <f t="shared" si="35"/>
        <v>0</v>
      </c>
      <c r="BD97" s="28">
        <f t="shared" si="36"/>
        <v>0</v>
      </c>
      <c r="BF97" s="248">
        <f t="shared" si="37"/>
        <v>720748.87987878243</v>
      </c>
      <c r="BG97" s="36">
        <f t="shared" si="54"/>
        <v>0</v>
      </c>
      <c r="BH97" s="36">
        <f t="shared" si="55"/>
        <v>713624.56599249796</v>
      </c>
      <c r="BI97" s="249">
        <f t="shared" si="56"/>
        <v>4.1816398110932074E-3</v>
      </c>
      <c r="BJ97" s="246">
        <f t="shared" si="57"/>
        <v>2.0857243058891584E-4</v>
      </c>
      <c r="BK97" s="246">
        <f t="shared" si="27"/>
        <v>7.531116566323881E-4</v>
      </c>
      <c r="BL97" s="246">
        <f t="shared" si="58"/>
        <v>0</v>
      </c>
      <c r="BM97" s="246">
        <f t="shared" si="59"/>
        <v>9.6168408722130394E-4</v>
      </c>
      <c r="BN97" s="36">
        <f t="shared" si="44"/>
        <v>687.71628015488545</v>
      </c>
      <c r="BO97" s="36">
        <f t="shared" si="60"/>
        <v>2984.1208953283412</v>
      </c>
      <c r="BP97" s="36">
        <f t="shared" si="61"/>
        <v>715920.97060767142</v>
      </c>
    </row>
    <row r="98" spans="1:68">
      <c r="A98" s="32">
        <f t="shared" si="47"/>
        <v>77</v>
      </c>
      <c r="B98" s="32">
        <f t="shared" si="28"/>
        <v>53</v>
      </c>
      <c r="C98" s="32">
        <f t="shared" si="48"/>
        <v>1</v>
      </c>
      <c r="D98" s="32">
        <f t="shared" si="49"/>
        <v>8</v>
      </c>
      <c r="E98" s="74">
        <f>MIN(IF(AV98=0,0,
IF(Investment_Strategy="DIS",VLOOKUP(Investment_Strategy&amp;"_"&amp;Investment_Strategy_Sub1&amp;"_"&amp;$A98,'Investment Strategies'!$AZ:$BP,12,FALSE),
IF(AND(Investment_Strategy="Lifecycle",Investment_Strategy_Sub1="Non-Standard"),VLOOKUP(Investment_Strategy&amp;"_"&amp;Investment_Strategy_Sub2&amp;"_"&amp;$A98,'Investment Strategies'!$C:$P,9,FALSE),
IF(AND(Investment_Strategy="Lifecycle",Investment_Strategy_Sub1="Standard"),VLOOKUP(Investment_Strategy&amp;"_"&amp;Investment_Strategy_Sub2&amp;"_"&amp;$A98,'Investment Strategies'!$AJ:$AV,8,FALSE),
IF(AND(Investment_Strategy="Autopilot",Investment_Strategy_Sub1="Non-Standard"),VLOOKUP(Investment_Strategy&amp;"_"&amp;Investment_Strategy_Sub2&amp;"_"&amp;$A98,'Investment Strategies'!$T:$AF,8,FALSE),
IF(Investment_Strategy ="DIY",DIY_RateOfReturn_CurrentFunds,
"Error")))))),Max_InvReturn)</f>
        <v>4.1816398110932074E-3</v>
      </c>
      <c r="F98" s="62">
        <f>IF(AV98=0,0,
IF(Investment_Strategy="DIS",VLOOKUP(Investment_Strategy&amp;"_"&amp;Investment_Strategy_Sub1&amp;"_"&amp;$A98,'Investment Strategies'!$AZ:$BP,15,FALSE),
IF(AND(Investment_Strategy="Lifecycle",Investment_Strategy_Sub1="Non-Standard"),VLOOKUP(Investment_Strategy&amp;"_"&amp;Investment_Strategy_Sub2&amp;"_"&amp;$A98,'Investment Strategies'!$C:$P,12,FALSE),
IF(AND(Investment_Strategy="Lifecycle",Investment_Strategy_Sub1="Standard"),VLOOKUP(Investment_Strategy&amp;"_"&amp;Investment_Strategy_Sub2&amp;"_"&amp;$A98,'Investment Strategies'!$AJ:$AV,11,FALSE),
IF(AND(Investment_Strategy="Autopilot",Investment_Strategy_Sub1="Non-Standard"),VLOOKUP(Investment_Strategy&amp;"_"&amp;Investment_Strategy_Sub2&amp;"_"&amp;$A98,'Investment Strategies'!$T:$AF,11,FALSE),
IF(Investment_Strategy="DIY",DIY_GteeChrge_CurrentFunds,
"Error"))))))</f>
        <v>5.4328711526985263E-4</v>
      </c>
      <c r="G98" s="33">
        <f>IF(AV98=0,0,
IF(Investment_Strategy="DIS",VLOOKUP(Investment_Strategy&amp;"_"&amp;Investment_Strategy_Sub1&amp;"_"&amp;$A98,'Investment Strategies'!$AZ:$BP,17,FALSE),
IF(AND(Investment_Strategy="Lifecycle",Investment_Strategy_Sub1="Non-Standard"),VLOOKUP(Investment_Strategy&amp;"_"&amp;Investment_Strategy_Sub2&amp;"_"&amp;$A98,'Investment Strategies'!$C:$P,14,FALSE),
IF(AND(Investment_Strategy="Lifecycle",Investment_Strategy_Sub1="Standard"),VLOOKUP(Investment_Strategy&amp;"_"&amp;Investment_Strategy_Sub2&amp;"_"&amp;$A98,'Investment Strategies'!$AJ:$AV,13,FALSE),
IF(AND(Investment_Strategy="Autopilot",Investment_Strategy_Sub1="Non-Standard"),VLOOKUP(Investment_Strategy&amp;"_"&amp;Investment_Strategy_Sub2&amp;"_"&amp;$A98,'Investment Strategies'!$T:$AF,13,FALSE),
IF(Investment_Strategy="DIY",DIY_ExtManChrge_CurrentFunds,
"Error"))))))</f>
        <v>2.0857243058891584E-4</v>
      </c>
      <c r="H98" s="16">
        <f t="shared" si="30"/>
        <v>0</v>
      </c>
      <c r="I98" s="16">
        <f t="shared" si="13"/>
        <v>0</v>
      </c>
      <c r="J98" s="16">
        <f t="shared" si="14"/>
        <v>0</v>
      </c>
      <c r="K98" s="16">
        <f>(Opening_Fund_Value+SUM(K$91:K97))*E98*IF(D98=$A$91,SRP_finalmonthfactor,1)</f>
        <v>0</v>
      </c>
      <c r="L98" s="74">
        <f>MIN(IF($AV98=0,0,
IF(Investment_Strategy="DIS",VLOOKUP(Investment_Strategy&amp;"_"&amp;Investment_Strategy_Sub1&amp;"_"&amp;$A98,'Investment Strategies'!$AZ:$BP,12,FALSE),
IF(AND(Investment_Strategy="Lifecycle",Investment_Strategy_Sub1="Non-Standard"),VLOOKUP(Investment_Strategy&amp;"_"&amp;Investment_Strategy_Sub2&amp;"_"&amp;$A98,'Investment Strategies'!$C:$P,9,FALSE),
IF(AND(Investment_Strategy="Lifecycle",Investment_Strategy_Sub1="Standard"),VLOOKUP(Investment_Strategy&amp;"_"&amp;Investment_Strategy_Sub2&amp;"_"&amp;$A98,'Investment Strategies'!$AJ:$AV,8,FALSE),
IF(AND(Investment_Strategy="Autopilot",Investment_Strategy_Sub1="Non-Standard"),VLOOKUP(Investment_Strategy&amp;"_"&amp;Investment_Strategy_Sub2&amp;"_"&amp;$A98,'Investment Strategies'!$T:$AF,8,FALSE),
IF(Investment_Strategy ="DIY",DIY_RateofReturn_SP,
"Error")))))),Max_InvReturn)</f>
        <v>4.1816398110932074E-3</v>
      </c>
      <c r="M98" s="62">
        <f>IF($AV98=0,0,
IF(Investment_Strategy="DIS",VLOOKUP(Investment_Strategy&amp;"_"&amp;Investment_Strategy_Sub1&amp;"_"&amp;$A98,'Investment Strategies'!$AZ:$BP,15,FALSE),
IF(AND(Investment_Strategy="Lifecycle",Investment_Strategy_Sub1="Non-Standard"),VLOOKUP(Investment_Strategy&amp;"_"&amp;Investment_Strategy_Sub2&amp;"_"&amp;$A98,'Investment Strategies'!$C:$P,12,FALSE),
IF(AND(Investment_Strategy="Lifecycle",Investment_Strategy_Sub1="Standard"),VLOOKUP(Investment_Strategy&amp;"_"&amp;Investment_Strategy_Sub2&amp;"_"&amp;$A98,'Investment Strategies'!$AJ:$AV,11,FALSE),
IF(AND(Investment_Strategy="Autopilot",Investment_Strategy_Sub1="Non-Standard"),VLOOKUP(Investment_Strategy&amp;"_"&amp;Investment_Strategy_Sub2&amp;"_"&amp;$A98,'Investment Strategies'!$T:$AF,11,FALSE),
IF(Investment_Strategy="DIY",DIY_GteeChrge_SP,
"Error"))))))</f>
        <v>0</v>
      </c>
      <c r="N98" s="33">
        <f>IF($AV98=0,0,
IF(Investment_Strategy="DIS",VLOOKUP(Investment_Strategy&amp;"_"&amp;Investment_Strategy_Sub1&amp;"_"&amp;$A98,'Investment Strategies'!$AZ:$BP,17,FALSE),
IF(AND(Investment_Strategy="Lifecycle",Investment_Strategy_Sub1="Non-Standard"),VLOOKUP(Investment_Strategy&amp;"_"&amp;Investment_Strategy_Sub2&amp;"_"&amp;$A98,'Investment Strategies'!$C:$P,14,FALSE),
IF(AND(Investment_Strategy="Lifecycle",Investment_Strategy_Sub1="Standard"),VLOOKUP(Investment_Strategy&amp;"_"&amp;Investment_Strategy_Sub2&amp;"_"&amp;$A98,'Investment Strategies'!$AJ:$AV,13,FALSE),
IF(AND(Investment_Strategy="Autopilot",Investment_Strategy_Sub1="Non-Standard"),VLOOKUP(Investment_Strategy&amp;"_"&amp;Investment_Strategy_Sub2&amp;"_"&amp;$A98,'Investment Strategies'!$T:$AF,13,FALSE),
IF(Investment_Strategy="DIY",DIY_ExtManChrge_SP,
"Error"))))))</f>
        <v>2.0857243058891584E-4</v>
      </c>
      <c r="O98" s="16">
        <f t="shared" si="50"/>
        <v>715920.97060767142</v>
      </c>
      <c r="Q98" s="16">
        <f t="shared" si="15"/>
        <v>2993.7236322895287</v>
      </c>
      <c r="R98" s="16">
        <f t="shared" si="16"/>
        <v>-689.92931333078411</v>
      </c>
      <c r="S98" s="16">
        <f>(SRP_SP+SUM(S$91:S97))*L98*IF(D98=$A$91,SRP_finalmonthfactor,1)</f>
        <v>3013.9122099019514</v>
      </c>
      <c r="T98" s="74">
        <f>MIN(IF($AV98=0,0,
IF(Investment_Strategy="DIS",VLOOKUP(Investment_Strategy&amp;"_"&amp;Investment_Strategy_Sub1&amp;"_"&amp;$A98,'Investment Strategies'!$AZ:$BP,12,FALSE),
IF(AND(Investment_Strategy="Lifecycle",Investment_Strategy_Sub1="Non-Standard"),VLOOKUP(Investment_Strategy&amp;"_"&amp;Investment_Strategy_Sub2&amp;"_"&amp;$A98,'Investment Strategies'!$C:$P,9,FALSE),
IF(AND(Investment_Strategy="Lifecycle",Investment_Strategy_Sub1="Standard"),VLOOKUP(Investment_Strategy&amp;"_"&amp;Investment_Strategy_Sub2&amp;"_"&amp;$A98,'Investment Strategies'!$AJ:$AV,8,FALSE),
IF(AND(Investment_Strategy="Autopilot",Investment_Strategy_Sub1="Non-Standard"),VLOOKUP(Investment_Strategy&amp;"_"&amp;Investment_Strategy_Sub2&amp;"_"&amp;$A98,'Investment Strategies'!$T:$AF,8,FALSE),
IF(Investment_Strategy ="DIY",DIY_RateOfReturn_FuturePremiums,
"Error")))))),Max_InvReturn)</f>
        <v>4.1816398110932074E-3</v>
      </c>
      <c r="U98" s="62">
        <f>IF($AV98=0,0,
IF(Investment_Strategy="DIS",VLOOKUP(Investment_Strategy&amp;"_"&amp;Investment_Strategy_Sub1&amp;"_"&amp;$A98,'Investment Strategies'!$AZ:$BP,15,FALSE),
IF(AND(Investment_Strategy="Lifecycle",Investment_Strategy_Sub1="Non-Standard"),VLOOKUP(Investment_Strategy&amp;"_"&amp;Investment_Strategy_Sub2&amp;"_"&amp;$A98,'Investment Strategies'!$C:$P,12,FALSE),
IF(AND(Investment_Strategy="Lifecycle",Investment_Strategy_Sub1="Standard"),VLOOKUP(Investment_Strategy&amp;"_"&amp;Investment_Strategy_Sub2&amp;"_"&amp;$A98,'Investment Strategies'!$AJ:$AV,11,FALSE),
IF(AND(Investment_Strategy="Autopilot",Investment_Strategy_Sub1="Non-Standard"),VLOOKUP(Investment_Strategy&amp;"_"&amp;Investment_Strategy_Sub2&amp;"_"&amp;$A98,'Investment Strategies'!$T:$AF,11,FALSE),
IF(Investment_Strategy="DIY",DIY_GteeChrge_FuturePremiums,
"Error"))))))</f>
        <v>0</v>
      </c>
      <c r="V98" s="33">
        <f>IF(AV98=0,0,
IF(Investment_Strategy="DIS",VLOOKUP(Investment_Strategy&amp;"_"&amp;Investment_Strategy_Sub1&amp;"_"&amp;$A98,'Investment Strategies'!$AZ:$BP,17,FALSE),
IF(AND(Investment_Strategy="Lifecycle",Investment_Strategy_Sub1="Non-Standard"),VLOOKUP(Investment_Strategy&amp;"_"&amp;Investment_Strategy_Sub2&amp;"_"&amp;$A98,'Investment Strategies'!$C:$P,14,FALSE),
IF(AND(Investment_Strategy="Lifecycle",Investment_Strategy_Sub1="Standard"),VLOOKUP(Investment_Strategy&amp;"_"&amp;Investment_Strategy_Sub2&amp;"_"&amp;$A98,'Investment Strategies'!$AJ:$AV,13,FALSE),
IF(AND(Investment_Strategy="Autopilot",Investment_Strategy_Sub1="Non-Standard"),VLOOKUP(Investment_Strategy&amp;"_"&amp;Investment_Strategy_Sub2&amp;"_"&amp;$A98,'Investment Strategies'!$T:$AF,13,FALSE),
IF(Investment_Strategy="DIY",DIY_ExtManChrge_FuturePremiums,
"Error"))))))</f>
        <v>1.2508601994698498E-4</v>
      </c>
      <c r="W98" s="16">
        <f t="shared" si="51"/>
        <v>0</v>
      </c>
      <c r="X98" s="16">
        <f t="shared" si="17"/>
        <v>0</v>
      </c>
      <c r="Y98" s="16">
        <f t="shared" si="18"/>
        <v>0</v>
      </c>
      <c r="Z98" s="31">
        <f t="shared" si="19"/>
        <v>0.02</v>
      </c>
      <c r="AA98" s="16">
        <f t="shared" si="20"/>
        <v>0</v>
      </c>
      <c r="AB98" s="28">
        <f t="shared" si="53"/>
        <v>720748.87987878243</v>
      </c>
      <c r="AC98" s="28">
        <f>(SUM($AC$91:AC97)+SUM($X$91:X97)+X98)*T98*IF(D98=$A$91,SRP_finalmonthfactor,1)</f>
        <v>0</v>
      </c>
      <c r="AD98" s="16">
        <f t="shared" si="21"/>
        <v>-149.63358105646685</v>
      </c>
      <c r="AE98" s="106"/>
      <c r="AF98" s="16">
        <f t="shared" si="52"/>
        <v>715920.97060767142</v>
      </c>
      <c r="AG98" s="16">
        <f t="shared" si="31"/>
        <v>3013.9122099019514</v>
      </c>
      <c r="AH98" s="16">
        <f t="shared" si="32"/>
        <v>-689.92931333078411</v>
      </c>
      <c r="AJ98" s="13">
        <f t="shared" si="22"/>
        <v>1</v>
      </c>
      <c r="AK98" s="13">
        <f t="shared" si="22"/>
        <v>1</v>
      </c>
      <c r="AL98" s="13">
        <f t="shared" si="22"/>
        <v>1</v>
      </c>
      <c r="AM98" s="13">
        <f t="shared" si="22"/>
        <v>1</v>
      </c>
      <c r="AN98" s="13">
        <f t="shared" si="22"/>
        <v>1</v>
      </c>
      <c r="AO98" s="13">
        <f t="shared" si="22"/>
        <v>1</v>
      </c>
      <c r="AP98" s="13">
        <f t="shared" si="22"/>
        <v>1</v>
      </c>
      <c r="AQ98" s="13">
        <f t="shared" si="22"/>
        <v>1</v>
      </c>
      <c r="AR98" s="13">
        <f t="shared" si="22"/>
        <v>1</v>
      </c>
      <c r="AS98" s="13">
        <f t="shared" si="22"/>
        <v>1</v>
      </c>
      <c r="AT98" s="13">
        <f t="shared" si="22"/>
        <v>1</v>
      </c>
      <c r="AU98" s="13">
        <f t="shared" si="22"/>
        <v>1</v>
      </c>
      <c r="AV98" s="13">
        <f t="shared" si="23"/>
        <v>1</v>
      </c>
      <c r="AW98" s="13">
        <f t="shared" si="33"/>
        <v>1</v>
      </c>
      <c r="AY98" s="17">
        <f t="shared" si="24"/>
        <v>8</v>
      </c>
      <c r="AZ98" s="28">
        <f t="shared" si="34"/>
        <v>0</v>
      </c>
      <c r="BA98" s="13">
        <f t="shared" si="25"/>
        <v>0</v>
      </c>
      <c r="BB98" s="13">
        <f t="shared" si="26"/>
        <v>0</v>
      </c>
      <c r="BC98" s="28">
        <f t="shared" si="35"/>
        <v>0</v>
      </c>
      <c r="BD98" s="28">
        <f t="shared" si="36"/>
        <v>0</v>
      </c>
      <c r="BF98" s="248">
        <f t="shared" si="37"/>
        <v>723762.79208868439</v>
      </c>
      <c r="BG98" s="36">
        <f t="shared" si="54"/>
        <v>0</v>
      </c>
      <c r="BH98" s="36">
        <f t="shared" si="55"/>
        <v>715920.97060767142</v>
      </c>
      <c r="BI98" s="249">
        <f t="shared" si="56"/>
        <v>4.1816398110932074E-3</v>
      </c>
      <c r="BJ98" s="246">
        <f t="shared" si="57"/>
        <v>2.0857243058891584E-4</v>
      </c>
      <c r="BK98" s="246">
        <f t="shared" si="27"/>
        <v>7.531116566323881E-4</v>
      </c>
      <c r="BL98" s="246">
        <f t="shared" si="58"/>
        <v>0</v>
      </c>
      <c r="BM98" s="246">
        <f t="shared" si="59"/>
        <v>9.6168408722130394E-4</v>
      </c>
      <c r="BN98" s="36">
        <f t="shared" si="44"/>
        <v>689.929313330784</v>
      </c>
      <c r="BO98" s="36">
        <f t="shared" si="60"/>
        <v>2993.7236322895287</v>
      </c>
      <c r="BP98" s="36">
        <f t="shared" si="61"/>
        <v>718224.76492663019</v>
      </c>
    </row>
    <row r="99" spans="1:68">
      <c r="A99" s="32">
        <f t="shared" si="47"/>
        <v>76</v>
      </c>
      <c r="B99" s="32">
        <f t="shared" si="28"/>
        <v>53</v>
      </c>
      <c r="C99" s="32">
        <f t="shared" si="48"/>
        <v>1</v>
      </c>
      <c r="D99" s="32">
        <f t="shared" si="49"/>
        <v>9</v>
      </c>
      <c r="E99" s="74">
        <f>MIN(IF(AV99=0,0,
IF(Investment_Strategy="DIS",VLOOKUP(Investment_Strategy&amp;"_"&amp;Investment_Strategy_Sub1&amp;"_"&amp;$A99,'Investment Strategies'!$AZ:$BP,12,FALSE),
IF(AND(Investment_Strategy="Lifecycle",Investment_Strategy_Sub1="Non-Standard"),VLOOKUP(Investment_Strategy&amp;"_"&amp;Investment_Strategy_Sub2&amp;"_"&amp;$A99,'Investment Strategies'!$C:$P,9,FALSE),
IF(AND(Investment_Strategy="Lifecycle",Investment_Strategy_Sub1="Standard"),VLOOKUP(Investment_Strategy&amp;"_"&amp;Investment_Strategy_Sub2&amp;"_"&amp;$A99,'Investment Strategies'!$AJ:$AV,8,FALSE),
IF(AND(Investment_Strategy="Autopilot",Investment_Strategy_Sub1="Non-Standard"),VLOOKUP(Investment_Strategy&amp;"_"&amp;Investment_Strategy_Sub2&amp;"_"&amp;$A99,'Investment Strategies'!$T:$AF,8,FALSE),
IF(Investment_Strategy ="DIY",DIY_RateOfReturn_CurrentFunds,
"Error")))))),Max_InvReturn)</f>
        <v>4.1816398110932074E-3</v>
      </c>
      <c r="F99" s="62">
        <f>IF(AV99=0,0,
IF(Investment_Strategy="DIS",VLOOKUP(Investment_Strategy&amp;"_"&amp;Investment_Strategy_Sub1&amp;"_"&amp;$A99,'Investment Strategies'!$AZ:$BP,15,FALSE),
IF(AND(Investment_Strategy="Lifecycle",Investment_Strategy_Sub1="Non-Standard"),VLOOKUP(Investment_Strategy&amp;"_"&amp;Investment_Strategy_Sub2&amp;"_"&amp;$A99,'Investment Strategies'!$C:$P,12,FALSE),
IF(AND(Investment_Strategy="Lifecycle",Investment_Strategy_Sub1="Standard"),VLOOKUP(Investment_Strategy&amp;"_"&amp;Investment_Strategy_Sub2&amp;"_"&amp;$A99,'Investment Strategies'!$AJ:$AV,11,FALSE),
IF(AND(Investment_Strategy="Autopilot",Investment_Strategy_Sub1="Non-Standard"),VLOOKUP(Investment_Strategy&amp;"_"&amp;Investment_Strategy_Sub2&amp;"_"&amp;$A99,'Investment Strategies'!$T:$AF,11,FALSE),
IF(Investment_Strategy="DIY",DIY_GteeChrge_CurrentFunds,
"Error"))))))</f>
        <v>5.4328711526985263E-4</v>
      </c>
      <c r="G99" s="33">
        <f>IF(AV99=0,0,
IF(Investment_Strategy="DIS",VLOOKUP(Investment_Strategy&amp;"_"&amp;Investment_Strategy_Sub1&amp;"_"&amp;$A99,'Investment Strategies'!$AZ:$BP,17,FALSE),
IF(AND(Investment_Strategy="Lifecycle",Investment_Strategy_Sub1="Non-Standard"),VLOOKUP(Investment_Strategy&amp;"_"&amp;Investment_Strategy_Sub2&amp;"_"&amp;$A99,'Investment Strategies'!$C:$P,14,FALSE),
IF(AND(Investment_Strategy="Lifecycle",Investment_Strategy_Sub1="Standard"),VLOOKUP(Investment_Strategy&amp;"_"&amp;Investment_Strategy_Sub2&amp;"_"&amp;$A99,'Investment Strategies'!$AJ:$AV,13,FALSE),
IF(AND(Investment_Strategy="Autopilot",Investment_Strategy_Sub1="Non-Standard"),VLOOKUP(Investment_Strategy&amp;"_"&amp;Investment_Strategy_Sub2&amp;"_"&amp;$A99,'Investment Strategies'!$T:$AF,13,FALSE),
IF(Investment_Strategy="DIY",DIY_ExtManChrge_CurrentFunds,
"Error"))))))</f>
        <v>2.0857243058891584E-4</v>
      </c>
      <c r="H99" s="16">
        <f t="shared" si="30"/>
        <v>0</v>
      </c>
      <c r="I99" s="16">
        <f t="shared" si="13"/>
        <v>0</v>
      </c>
      <c r="J99" s="16">
        <f t="shared" si="14"/>
        <v>0</v>
      </c>
      <c r="K99" s="16">
        <f>(Opening_Fund_Value+SUM(K$91:K98))*E99*IF(D99=$A$91,SRP_finalmonthfactor,1)</f>
        <v>0</v>
      </c>
      <c r="L99" s="74">
        <f>MIN(IF($AV99=0,0,
IF(Investment_Strategy="DIS",VLOOKUP(Investment_Strategy&amp;"_"&amp;Investment_Strategy_Sub1&amp;"_"&amp;$A99,'Investment Strategies'!$AZ:$BP,12,FALSE),
IF(AND(Investment_Strategy="Lifecycle",Investment_Strategy_Sub1="Non-Standard"),VLOOKUP(Investment_Strategy&amp;"_"&amp;Investment_Strategy_Sub2&amp;"_"&amp;$A99,'Investment Strategies'!$C:$P,9,FALSE),
IF(AND(Investment_Strategy="Lifecycle",Investment_Strategy_Sub1="Standard"),VLOOKUP(Investment_Strategy&amp;"_"&amp;Investment_Strategy_Sub2&amp;"_"&amp;$A99,'Investment Strategies'!$AJ:$AV,8,FALSE),
IF(AND(Investment_Strategy="Autopilot",Investment_Strategy_Sub1="Non-Standard"),VLOOKUP(Investment_Strategy&amp;"_"&amp;Investment_Strategy_Sub2&amp;"_"&amp;$A99,'Investment Strategies'!$T:$AF,8,FALSE),
IF(Investment_Strategy ="DIY",DIY_RateofReturn_SP,
"Error")))))),Max_InvReturn)</f>
        <v>4.1816398110932074E-3</v>
      </c>
      <c r="M99" s="62">
        <f>IF($AV99=0,0,
IF(Investment_Strategy="DIS",VLOOKUP(Investment_Strategy&amp;"_"&amp;Investment_Strategy_Sub1&amp;"_"&amp;$A99,'Investment Strategies'!$AZ:$BP,15,FALSE),
IF(AND(Investment_Strategy="Lifecycle",Investment_Strategy_Sub1="Non-Standard"),VLOOKUP(Investment_Strategy&amp;"_"&amp;Investment_Strategy_Sub2&amp;"_"&amp;$A99,'Investment Strategies'!$C:$P,12,FALSE),
IF(AND(Investment_Strategy="Lifecycle",Investment_Strategy_Sub1="Standard"),VLOOKUP(Investment_Strategy&amp;"_"&amp;Investment_Strategy_Sub2&amp;"_"&amp;$A99,'Investment Strategies'!$AJ:$AV,11,FALSE),
IF(AND(Investment_Strategy="Autopilot",Investment_Strategy_Sub1="Non-Standard"),VLOOKUP(Investment_Strategy&amp;"_"&amp;Investment_Strategy_Sub2&amp;"_"&amp;$A99,'Investment Strategies'!$T:$AF,11,FALSE),
IF(Investment_Strategy="DIY",DIY_GteeChrge_SP,
"Error"))))))</f>
        <v>0</v>
      </c>
      <c r="N99" s="33">
        <f>IF($AV99=0,0,
IF(Investment_Strategy="DIS",VLOOKUP(Investment_Strategy&amp;"_"&amp;Investment_Strategy_Sub1&amp;"_"&amp;$A99,'Investment Strategies'!$AZ:$BP,17,FALSE),
IF(AND(Investment_Strategy="Lifecycle",Investment_Strategy_Sub1="Non-Standard"),VLOOKUP(Investment_Strategy&amp;"_"&amp;Investment_Strategy_Sub2&amp;"_"&amp;$A99,'Investment Strategies'!$C:$P,14,FALSE),
IF(AND(Investment_Strategy="Lifecycle",Investment_Strategy_Sub1="Standard"),VLOOKUP(Investment_Strategy&amp;"_"&amp;Investment_Strategy_Sub2&amp;"_"&amp;$A99,'Investment Strategies'!$AJ:$AV,13,FALSE),
IF(AND(Investment_Strategy="Autopilot",Investment_Strategy_Sub1="Non-Standard"),VLOOKUP(Investment_Strategy&amp;"_"&amp;Investment_Strategy_Sub2&amp;"_"&amp;$A99,'Investment Strategies'!$T:$AF,13,FALSE),
IF(Investment_Strategy="DIY",DIY_ExtManChrge_SP,
"Error"))))))</f>
        <v>2.0857243058891584E-4</v>
      </c>
      <c r="O99" s="16">
        <f t="shared" si="50"/>
        <v>718224.76492663019</v>
      </c>
      <c r="Q99" s="16">
        <f t="shared" si="15"/>
        <v>3003.3572703302571</v>
      </c>
      <c r="R99" s="16">
        <f t="shared" si="16"/>
        <v>-692.1494679257604</v>
      </c>
      <c r="S99" s="16">
        <f>(SRP_SP+SUM(S$91:S98))*L99*IF(D99=$A$91,SRP_finalmonthfactor,1)</f>
        <v>3026.5153051860175</v>
      </c>
      <c r="T99" s="74">
        <f>MIN(IF($AV99=0,0,
IF(Investment_Strategy="DIS",VLOOKUP(Investment_Strategy&amp;"_"&amp;Investment_Strategy_Sub1&amp;"_"&amp;$A99,'Investment Strategies'!$AZ:$BP,12,FALSE),
IF(AND(Investment_Strategy="Lifecycle",Investment_Strategy_Sub1="Non-Standard"),VLOOKUP(Investment_Strategy&amp;"_"&amp;Investment_Strategy_Sub2&amp;"_"&amp;$A99,'Investment Strategies'!$C:$P,9,FALSE),
IF(AND(Investment_Strategy="Lifecycle",Investment_Strategy_Sub1="Standard"),VLOOKUP(Investment_Strategy&amp;"_"&amp;Investment_Strategy_Sub2&amp;"_"&amp;$A99,'Investment Strategies'!$AJ:$AV,8,FALSE),
IF(AND(Investment_Strategy="Autopilot",Investment_Strategy_Sub1="Non-Standard"),VLOOKUP(Investment_Strategy&amp;"_"&amp;Investment_Strategy_Sub2&amp;"_"&amp;$A99,'Investment Strategies'!$T:$AF,8,FALSE),
IF(Investment_Strategy ="DIY",DIY_RateOfReturn_FuturePremiums,
"Error")))))),Max_InvReturn)</f>
        <v>4.1816398110932074E-3</v>
      </c>
      <c r="U99" s="62">
        <f>IF($AV99=0,0,
IF(Investment_Strategy="DIS",VLOOKUP(Investment_Strategy&amp;"_"&amp;Investment_Strategy_Sub1&amp;"_"&amp;$A99,'Investment Strategies'!$AZ:$BP,15,FALSE),
IF(AND(Investment_Strategy="Lifecycle",Investment_Strategy_Sub1="Non-Standard"),VLOOKUP(Investment_Strategy&amp;"_"&amp;Investment_Strategy_Sub2&amp;"_"&amp;$A99,'Investment Strategies'!$C:$P,12,FALSE),
IF(AND(Investment_Strategy="Lifecycle",Investment_Strategy_Sub1="Standard"),VLOOKUP(Investment_Strategy&amp;"_"&amp;Investment_Strategy_Sub2&amp;"_"&amp;$A99,'Investment Strategies'!$AJ:$AV,11,FALSE),
IF(AND(Investment_Strategy="Autopilot",Investment_Strategy_Sub1="Non-Standard"),VLOOKUP(Investment_Strategy&amp;"_"&amp;Investment_Strategy_Sub2&amp;"_"&amp;$A99,'Investment Strategies'!$T:$AF,11,FALSE),
IF(Investment_Strategy="DIY",DIY_GteeChrge_FuturePremiums,
"Error"))))))</f>
        <v>0</v>
      </c>
      <c r="V99" s="33">
        <f>IF(AV99=0,0,
IF(Investment_Strategy="DIS",VLOOKUP(Investment_Strategy&amp;"_"&amp;Investment_Strategy_Sub1&amp;"_"&amp;$A99,'Investment Strategies'!$AZ:$BP,17,FALSE),
IF(AND(Investment_Strategy="Lifecycle",Investment_Strategy_Sub1="Non-Standard"),VLOOKUP(Investment_Strategy&amp;"_"&amp;Investment_Strategy_Sub2&amp;"_"&amp;$A99,'Investment Strategies'!$C:$P,14,FALSE),
IF(AND(Investment_Strategy="Lifecycle",Investment_Strategy_Sub1="Standard"),VLOOKUP(Investment_Strategy&amp;"_"&amp;Investment_Strategy_Sub2&amp;"_"&amp;$A99,'Investment Strategies'!$AJ:$AV,13,FALSE),
IF(AND(Investment_Strategy="Autopilot",Investment_Strategy_Sub1="Non-Standard"),VLOOKUP(Investment_Strategy&amp;"_"&amp;Investment_Strategy_Sub2&amp;"_"&amp;$A99,'Investment Strategies'!$T:$AF,13,FALSE),
IF(Investment_Strategy="DIY",DIY_ExtManChrge_FuturePremiums,
"Error"))))))</f>
        <v>1.2508601994698498E-4</v>
      </c>
      <c r="W99" s="16">
        <f t="shared" si="51"/>
        <v>0</v>
      </c>
      <c r="X99" s="16">
        <f t="shared" si="17"/>
        <v>0</v>
      </c>
      <c r="Y99" s="16">
        <f t="shared" si="18"/>
        <v>0</v>
      </c>
      <c r="Z99" s="31">
        <f t="shared" si="19"/>
        <v>0.02</v>
      </c>
      <c r="AA99" s="16">
        <f t="shared" si="20"/>
        <v>0</v>
      </c>
      <c r="AB99" s="28">
        <f t="shared" si="53"/>
        <v>723762.79208868439</v>
      </c>
      <c r="AC99" s="28">
        <f>(SUM($AC$91:AC98)+SUM($X$91:X98)+X99)*T99*IF(D99=$A$91,SRP_finalmonthfactor,1)</f>
        <v>0</v>
      </c>
      <c r="AD99" s="16">
        <f t="shared" si="21"/>
        <v>-150.1150936927998</v>
      </c>
      <c r="AE99" s="106"/>
      <c r="AF99" s="16">
        <f t="shared" si="52"/>
        <v>718224.76492663019</v>
      </c>
      <c r="AG99" s="16">
        <f t="shared" si="31"/>
        <v>3026.5153051860175</v>
      </c>
      <c r="AH99" s="16">
        <f t="shared" si="32"/>
        <v>-692.1494679257604</v>
      </c>
      <c r="AJ99" s="13">
        <f t="shared" si="22"/>
        <v>1</v>
      </c>
      <c r="AK99" s="13">
        <f t="shared" si="22"/>
        <v>1</v>
      </c>
      <c r="AL99" s="13">
        <f t="shared" si="22"/>
        <v>1</v>
      </c>
      <c r="AM99" s="13">
        <f t="shared" si="22"/>
        <v>1</v>
      </c>
      <c r="AN99" s="13">
        <f t="shared" si="22"/>
        <v>1</v>
      </c>
      <c r="AO99" s="13">
        <f t="shared" si="22"/>
        <v>1</v>
      </c>
      <c r="AP99" s="13">
        <f t="shared" si="22"/>
        <v>1</v>
      </c>
      <c r="AQ99" s="13">
        <f t="shared" si="22"/>
        <v>1</v>
      </c>
      <c r="AR99" s="13">
        <f t="shared" si="22"/>
        <v>1</v>
      </c>
      <c r="AS99" s="13">
        <f t="shared" si="22"/>
        <v>1</v>
      </c>
      <c r="AT99" s="13">
        <f t="shared" si="22"/>
        <v>1</v>
      </c>
      <c r="AU99" s="13">
        <f t="shared" si="22"/>
        <v>1</v>
      </c>
      <c r="AV99" s="13">
        <f t="shared" si="23"/>
        <v>1</v>
      </c>
      <c r="AW99" s="13">
        <f t="shared" si="33"/>
        <v>1</v>
      </c>
      <c r="AY99" s="17">
        <f t="shared" si="24"/>
        <v>9</v>
      </c>
      <c r="AZ99" s="28">
        <f t="shared" si="34"/>
        <v>0</v>
      </c>
      <c r="BA99" s="13">
        <f t="shared" si="25"/>
        <v>0</v>
      </c>
      <c r="BB99" s="13">
        <f t="shared" si="26"/>
        <v>0</v>
      </c>
      <c r="BC99" s="28">
        <f t="shared" si="35"/>
        <v>0</v>
      </c>
      <c r="BD99" s="28">
        <f t="shared" si="36"/>
        <v>0</v>
      </c>
      <c r="BF99" s="248">
        <f t="shared" si="37"/>
        <v>726789.30739387043</v>
      </c>
      <c r="BG99" s="36">
        <f t="shared" si="54"/>
        <v>0</v>
      </c>
      <c r="BH99" s="36">
        <f t="shared" si="55"/>
        <v>718224.76492663019</v>
      </c>
      <c r="BI99" s="249">
        <f t="shared" si="56"/>
        <v>4.1816398110932074E-3</v>
      </c>
      <c r="BJ99" s="246">
        <f t="shared" si="57"/>
        <v>2.0857243058891584E-4</v>
      </c>
      <c r="BK99" s="246">
        <f t="shared" si="27"/>
        <v>7.531116566323881E-4</v>
      </c>
      <c r="BL99" s="246">
        <f t="shared" si="58"/>
        <v>0</v>
      </c>
      <c r="BM99" s="246">
        <f t="shared" si="59"/>
        <v>9.6168408722130394E-4</v>
      </c>
      <c r="BN99" s="36">
        <f t="shared" si="44"/>
        <v>692.1494679257604</v>
      </c>
      <c r="BO99" s="36">
        <f t="shared" si="60"/>
        <v>3003.3572703302571</v>
      </c>
      <c r="BP99" s="36">
        <f t="shared" si="61"/>
        <v>720535.97272903472</v>
      </c>
    </row>
    <row r="100" spans="1:68">
      <c r="A100" s="32">
        <f t="shared" si="47"/>
        <v>75</v>
      </c>
      <c r="B100" s="32">
        <f t="shared" si="28"/>
        <v>53</v>
      </c>
      <c r="C100" s="32">
        <f t="shared" si="48"/>
        <v>1</v>
      </c>
      <c r="D100" s="32">
        <f t="shared" si="49"/>
        <v>10</v>
      </c>
      <c r="E100" s="74">
        <f>MIN(IF(AV100=0,0,
IF(Investment_Strategy="DIS",VLOOKUP(Investment_Strategy&amp;"_"&amp;Investment_Strategy_Sub1&amp;"_"&amp;$A100,'Investment Strategies'!$AZ:$BP,12,FALSE),
IF(AND(Investment_Strategy="Lifecycle",Investment_Strategy_Sub1="Non-Standard"),VLOOKUP(Investment_Strategy&amp;"_"&amp;Investment_Strategy_Sub2&amp;"_"&amp;$A100,'Investment Strategies'!$C:$P,9,FALSE),
IF(AND(Investment_Strategy="Lifecycle",Investment_Strategy_Sub1="Standard"),VLOOKUP(Investment_Strategy&amp;"_"&amp;Investment_Strategy_Sub2&amp;"_"&amp;$A100,'Investment Strategies'!$AJ:$AV,8,FALSE),
IF(AND(Investment_Strategy="Autopilot",Investment_Strategy_Sub1="Non-Standard"),VLOOKUP(Investment_Strategy&amp;"_"&amp;Investment_Strategy_Sub2&amp;"_"&amp;$A100,'Investment Strategies'!$T:$AF,8,FALSE),
IF(Investment_Strategy ="DIY",DIY_RateOfReturn_CurrentFunds,
"Error")))))),Max_InvReturn)</f>
        <v>4.1816398110932074E-3</v>
      </c>
      <c r="F100" s="62">
        <f>IF(AV100=0,0,
IF(Investment_Strategy="DIS",VLOOKUP(Investment_Strategy&amp;"_"&amp;Investment_Strategy_Sub1&amp;"_"&amp;$A100,'Investment Strategies'!$AZ:$BP,15,FALSE),
IF(AND(Investment_Strategy="Lifecycle",Investment_Strategy_Sub1="Non-Standard"),VLOOKUP(Investment_Strategy&amp;"_"&amp;Investment_Strategy_Sub2&amp;"_"&amp;$A100,'Investment Strategies'!$C:$P,12,FALSE),
IF(AND(Investment_Strategy="Lifecycle",Investment_Strategy_Sub1="Standard"),VLOOKUP(Investment_Strategy&amp;"_"&amp;Investment_Strategy_Sub2&amp;"_"&amp;$A100,'Investment Strategies'!$AJ:$AV,11,FALSE),
IF(AND(Investment_Strategy="Autopilot",Investment_Strategy_Sub1="Non-Standard"),VLOOKUP(Investment_Strategy&amp;"_"&amp;Investment_Strategy_Sub2&amp;"_"&amp;$A100,'Investment Strategies'!$T:$AF,11,FALSE),
IF(Investment_Strategy="DIY",DIY_GteeChrge_CurrentFunds,
"Error"))))))</f>
        <v>5.4328711526985263E-4</v>
      </c>
      <c r="G100" s="33">
        <f>IF(AV100=0,0,
IF(Investment_Strategy="DIS",VLOOKUP(Investment_Strategy&amp;"_"&amp;Investment_Strategy_Sub1&amp;"_"&amp;$A100,'Investment Strategies'!$AZ:$BP,17,FALSE),
IF(AND(Investment_Strategy="Lifecycle",Investment_Strategy_Sub1="Non-Standard"),VLOOKUP(Investment_Strategy&amp;"_"&amp;Investment_Strategy_Sub2&amp;"_"&amp;$A100,'Investment Strategies'!$C:$P,14,FALSE),
IF(AND(Investment_Strategy="Lifecycle",Investment_Strategy_Sub1="Standard"),VLOOKUP(Investment_Strategy&amp;"_"&amp;Investment_Strategy_Sub2&amp;"_"&amp;$A100,'Investment Strategies'!$AJ:$AV,13,FALSE),
IF(AND(Investment_Strategy="Autopilot",Investment_Strategy_Sub1="Non-Standard"),VLOOKUP(Investment_Strategy&amp;"_"&amp;Investment_Strategy_Sub2&amp;"_"&amp;$A100,'Investment Strategies'!$T:$AF,13,FALSE),
IF(Investment_Strategy="DIY",DIY_ExtManChrge_CurrentFunds,
"Error"))))))</f>
        <v>2.0857243058891584E-4</v>
      </c>
      <c r="H100" s="16">
        <f t="shared" si="30"/>
        <v>0</v>
      </c>
      <c r="I100" s="16">
        <f t="shared" si="13"/>
        <v>0</v>
      </c>
      <c r="J100" s="16">
        <f t="shared" si="14"/>
        <v>0</v>
      </c>
      <c r="K100" s="16">
        <f>(Opening_Fund_Value+SUM(K$91:K99))*E100*IF(D100=$A$91,SRP_finalmonthfactor,1)</f>
        <v>0</v>
      </c>
      <c r="L100" s="74">
        <f>MIN(IF($AV100=0,0,
IF(Investment_Strategy="DIS",VLOOKUP(Investment_Strategy&amp;"_"&amp;Investment_Strategy_Sub1&amp;"_"&amp;$A100,'Investment Strategies'!$AZ:$BP,12,FALSE),
IF(AND(Investment_Strategy="Lifecycle",Investment_Strategy_Sub1="Non-Standard"),VLOOKUP(Investment_Strategy&amp;"_"&amp;Investment_Strategy_Sub2&amp;"_"&amp;$A100,'Investment Strategies'!$C:$P,9,FALSE),
IF(AND(Investment_Strategy="Lifecycle",Investment_Strategy_Sub1="Standard"),VLOOKUP(Investment_Strategy&amp;"_"&amp;Investment_Strategy_Sub2&amp;"_"&amp;$A100,'Investment Strategies'!$AJ:$AV,8,FALSE),
IF(AND(Investment_Strategy="Autopilot",Investment_Strategy_Sub1="Non-Standard"),VLOOKUP(Investment_Strategy&amp;"_"&amp;Investment_Strategy_Sub2&amp;"_"&amp;$A100,'Investment Strategies'!$T:$AF,8,FALSE),
IF(Investment_Strategy ="DIY",DIY_RateofReturn_SP,
"Error")))))),Max_InvReturn)</f>
        <v>4.1816398110932074E-3</v>
      </c>
      <c r="M100" s="62">
        <f>IF($AV100=0,0,
IF(Investment_Strategy="DIS",VLOOKUP(Investment_Strategy&amp;"_"&amp;Investment_Strategy_Sub1&amp;"_"&amp;$A100,'Investment Strategies'!$AZ:$BP,15,FALSE),
IF(AND(Investment_Strategy="Lifecycle",Investment_Strategy_Sub1="Non-Standard"),VLOOKUP(Investment_Strategy&amp;"_"&amp;Investment_Strategy_Sub2&amp;"_"&amp;$A100,'Investment Strategies'!$C:$P,12,FALSE),
IF(AND(Investment_Strategy="Lifecycle",Investment_Strategy_Sub1="Standard"),VLOOKUP(Investment_Strategy&amp;"_"&amp;Investment_Strategy_Sub2&amp;"_"&amp;$A100,'Investment Strategies'!$AJ:$AV,11,FALSE),
IF(AND(Investment_Strategy="Autopilot",Investment_Strategy_Sub1="Non-Standard"),VLOOKUP(Investment_Strategy&amp;"_"&amp;Investment_Strategy_Sub2&amp;"_"&amp;$A100,'Investment Strategies'!$T:$AF,11,FALSE),
IF(Investment_Strategy="DIY",DIY_GteeChrge_SP,
"Error"))))))</f>
        <v>0</v>
      </c>
      <c r="N100" s="33">
        <f>IF($AV100=0,0,
IF(Investment_Strategy="DIS",VLOOKUP(Investment_Strategy&amp;"_"&amp;Investment_Strategy_Sub1&amp;"_"&amp;$A100,'Investment Strategies'!$AZ:$BP,17,FALSE),
IF(AND(Investment_Strategy="Lifecycle",Investment_Strategy_Sub1="Non-Standard"),VLOOKUP(Investment_Strategy&amp;"_"&amp;Investment_Strategy_Sub2&amp;"_"&amp;$A100,'Investment Strategies'!$C:$P,14,FALSE),
IF(AND(Investment_Strategy="Lifecycle",Investment_Strategy_Sub1="Standard"),VLOOKUP(Investment_Strategy&amp;"_"&amp;Investment_Strategy_Sub2&amp;"_"&amp;$A100,'Investment Strategies'!$AJ:$AV,13,FALSE),
IF(AND(Investment_Strategy="Autopilot",Investment_Strategy_Sub1="Non-Standard"),VLOOKUP(Investment_Strategy&amp;"_"&amp;Investment_Strategy_Sub2&amp;"_"&amp;$A100,'Investment Strategies'!$T:$AF,13,FALSE),
IF(Investment_Strategy="DIY",DIY_ExtManChrge_SP,
"Error"))))))</f>
        <v>2.0857243058891584E-4</v>
      </c>
      <c r="O100" s="16">
        <f t="shared" si="50"/>
        <v>720535.97272903472</v>
      </c>
      <c r="Q100" s="16">
        <f t="shared" si="15"/>
        <v>3013.021908888501</v>
      </c>
      <c r="R100" s="16">
        <f t="shared" si="16"/>
        <v>-694.37676685614974</v>
      </c>
      <c r="S100" s="16">
        <f>(SRP_SP+SUM(S$91:S99))*L100*IF(D100=$A$91,SRP_finalmonthfactor,1)</f>
        <v>3039.1711020750663</v>
      </c>
      <c r="T100" s="74">
        <f>MIN(IF($AV100=0,0,
IF(Investment_Strategy="DIS",VLOOKUP(Investment_Strategy&amp;"_"&amp;Investment_Strategy_Sub1&amp;"_"&amp;$A100,'Investment Strategies'!$AZ:$BP,12,FALSE),
IF(AND(Investment_Strategy="Lifecycle",Investment_Strategy_Sub1="Non-Standard"),VLOOKUP(Investment_Strategy&amp;"_"&amp;Investment_Strategy_Sub2&amp;"_"&amp;$A100,'Investment Strategies'!$C:$P,9,FALSE),
IF(AND(Investment_Strategy="Lifecycle",Investment_Strategy_Sub1="Standard"),VLOOKUP(Investment_Strategy&amp;"_"&amp;Investment_Strategy_Sub2&amp;"_"&amp;$A100,'Investment Strategies'!$AJ:$AV,8,FALSE),
IF(AND(Investment_Strategy="Autopilot",Investment_Strategy_Sub1="Non-Standard"),VLOOKUP(Investment_Strategy&amp;"_"&amp;Investment_Strategy_Sub2&amp;"_"&amp;$A100,'Investment Strategies'!$T:$AF,8,FALSE),
IF(Investment_Strategy ="DIY",DIY_RateOfReturn_FuturePremiums,
"Error")))))),Max_InvReturn)</f>
        <v>4.1816398110932074E-3</v>
      </c>
      <c r="U100" s="62">
        <f>IF($AV100=0,0,
IF(Investment_Strategy="DIS",VLOOKUP(Investment_Strategy&amp;"_"&amp;Investment_Strategy_Sub1&amp;"_"&amp;$A100,'Investment Strategies'!$AZ:$BP,15,FALSE),
IF(AND(Investment_Strategy="Lifecycle",Investment_Strategy_Sub1="Non-Standard"),VLOOKUP(Investment_Strategy&amp;"_"&amp;Investment_Strategy_Sub2&amp;"_"&amp;$A100,'Investment Strategies'!$C:$P,12,FALSE),
IF(AND(Investment_Strategy="Lifecycle",Investment_Strategy_Sub1="Standard"),VLOOKUP(Investment_Strategy&amp;"_"&amp;Investment_Strategy_Sub2&amp;"_"&amp;$A100,'Investment Strategies'!$AJ:$AV,11,FALSE),
IF(AND(Investment_Strategy="Autopilot",Investment_Strategy_Sub1="Non-Standard"),VLOOKUP(Investment_Strategy&amp;"_"&amp;Investment_Strategy_Sub2&amp;"_"&amp;$A100,'Investment Strategies'!$T:$AF,11,FALSE),
IF(Investment_Strategy="DIY",DIY_GteeChrge_FuturePremiums,
"Error"))))))</f>
        <v>0</v>
      </c>
      <c r="V100" s="33">
        <f>IF(AV100=0,0,
IF(Investment_Strategy="DIS",VLOOKUP(Investment_Strategy&amp;"_"&amp;Investment_Strategy_Sub1&amp;"_"&amp;$A100,'Investment Strategies'!$AZ:$BP,17,FALSE),
IF(AND(Investment_Strategy="Lifecycle",Investment_Strategy_Sub1="Non-Standard"),VLOOKUP(Investment_Strategy&amp;"_"&amp;Investment_Strategy_Sub2&amp;"_"&amp;$A100,'Investment Strategies'!$C:$P,14,FALSE),
IF(AND(Investment_Strategy="Lifecycle",Investment_Strategy_Sub1="Standard"),VLOOKUP(Investment_Strategy&amp;"_"&amp;Investment_Strategy_Sub2&amp;"_"&amp;$A100,'Investment Strategies'!$AJ:$AV,13,FALSE),
IF(AND(Investment_Strategy="Autopilot",Investment_Strategy_Sub1="Non-Standard"),VLOOKUP(Investment_Strategy&amp;"_"&amp;Investment_Strategy_Sub2&amp;"_"&amp;$A100,'Investment Strategies'!$T:$AF,13,FALSE),
IF(Investment_Strategy="DIY",DIY_ExtManChrge_FuturePremiums,
"Error"))))))</f>
        <v>1.2508601994698498E-4</v>
      </c>
      <c r="W100" s="16">
        <f t="shared" si="51"/>
        <v>0</v>
      </c>
      <c r="X100" s="16">
        <f t="shared" si="17"/>
        <v>0</v>
      </c>
      <c r="Y100" s="16">
        <f t="shared" si="18"/>
        <v>0</v>
      </c>
      <c r="Z100" s="31">
        <f t="shared" si="19"/>
        <v>0.02</v>
      </c>
      <c r="AA100" s="16">
        <f t="shared" si="20"/>
        <v>0</v>
      </c>
      <c r="AB100" s="28">
        <f t="shared" si="53"/>
        <v>726789.30739387043</v>
      </c>
      <c r="AC100" s="28">
        <f>(SUM($AC$91:AC99)+SUM($X$91:X99)+X100)*T100*IF(D100=$A$91,SRP_finalmonthfactor,1)</f>
        <v>0</v>
      </c>
      <c r="AD100" s="16">
        <f t="shared" si="21"/>
        <v>-150.59815581032083</v>
      </c>
      <c r="AE100" s="106"/>
      <c r="AF100" s="16">
        <f t="shared" si="52"/>
        <v>720535.97272903472</v>
      </c>
      <c r="AG100" s="16">
        <f t="shared" si="31"/>
        <v>3039.1711020750663</v>
      </c>
      <c r="AH100" s="16">
        <f t="shared" si="32"/>
        <v>-694.37676685614974</v>
      </c>
      <c r="AJ100" s="13">
        <f t="shared" si="22"/>
        <v>1</v>
      </c>
      <c r="AK100" s="13">
        <f t="shared" si="22"/>
        <v>1</v>
      </c>
      <c r="AL100" s="13">
        <f t="shared" si="22"/>
        <v>1</v>
      </c>
      <c r="AM100" s="13">
        <f t="shared" si="22"/>
        <v>1</v>
      </c>
      <c r="AN100" s="13">
        <f t="shared" si="22"/>
        <v>1</v>
      </c>
      <c r="AO100" s="13">
        <f t="shared" si="22"/>
        <v>1</v>
      </c>
      <c r="AP100" s="13">
        <f t="shared" si="22"/>
        <v>1</v>
      </c>
      <c r="AQ100" s="13">
        <f t="shared" si="22"/>
        <v>1</v>
      </c>
      <c r="AR100" s="13">
        <f t="shared" si="22"/>
        <v>1</v>
      </c>
      <c r="AS100" s="13">
        <f t="shared" si="22"/>
        <v>1</v>
      </c>
      <c r="AT100" s="13">
        <f t="shared" si="22"/>
        <v>1</v>
      </c>
      <c r="AU100" s="13">
        <f t="shared" si="22"/>
        <v>1</v>
      </c>
      <c r="AV100" s="13">
        <f t="shared" si="23"/>
        <v>1</v>
      </c>
      <c r="AW100" s="13">
        <f t="shared" si="33"/>
        <v>1</v>
      </c>
      <c r="AY100" s="17">
        <f t="shared" si="24"/>
        <v>10</v>
      </c>
      <c r="AZ100" s="28">
        <f t="shared" si="34"/>
        <v>0</v>
      </c>
      <c r="BA100" s="13">
        <f t="shared" si="25"/>
        <v>0</v>
      </c>
      <c r="BB100" s="13">
        <f t="shared" si="26"/>
        <v>0</v>
      </c>
      <c r="BC100" s="28">
        <f t="shared" si="35"/>
        <v>0</v>
      </c>
      <c r="BD100" s="28">
        <f t="shared" si="36"/>
        <v>0</v>
      </c>
      <c r="BF100" s="248">
        <f t="shared" si="37"/>
        <v>729828.47849594546</v>
      </c>
      <c r="BG100" s="36">
        <f t="shared" si="54"/>
        <v>0</v>
      </c>
      <c r="BH100" s="36">
        <f t="shared" si="55"/>
        <v>720535.97272903472</v>
      </c>
      <c r="BI100" s="249">
        <f t="shared" si="56"/>
        <v>4.1816398110932074E-3</v>
      </c>
      <c r="BJ100" s="246">
        <f t="shared" si="57"/>
        <v>2.0857243058891584E-4</v>
      </c>
      <c r="BK100" s="246">
        <f t="shared" si="27"/>
        <v>7.531116566323881E-4</v>
      </c>
      <c r="BL100" s="246">
        <f t="shared" si="58"/>
        <v>0</v>
      </c>
      <c r="BM100" s="246">
        <f t="shared" si="59"/>
        <v>9.6168408722130394E-4</v>
      </c>
      <c r="BN100" s="36">
        <f t="shared" si="44"/>
        <v>694.37676685614963</v>
      </c>
      <c r="BO100" s="36">
        <f t="shared" si="60"/>
        <v>3013.021908888501</v>
      </c>
      <c r="BP100" s="36">
        <f t="shared" si="61"/>
        <v>722854.61787106702</v>
      </c>
    </row>
    <row r="101" spans="1:68">
      <c r="A101" s="32">
        <f t="shared" si="47"/>
        <v>74</v>
      </c>
      <c r="B101" s="32">
        <f t="shared" si="28"/>
        <v>53</v>
      </c>
      <c r="C101" s="32">
        <f t="shared" si="48"/>
        <v>1</v>
      </c>
      <c r="D101" s="32">
        <f t="shared" si="49"/>
        <v>11</v>
      </c>
      <c r="E101" s="74">
        <f>MIN(IF(AV101=0,0,
IF(Investment_Strategy="DIS",VLOOKUP(Investment_Strategy&amp;"_"&amp;Investment_Strategy_Sub1&amp;"_"&amp;$A101,'Investment Strategies'!$AZ:$BP,12,FALSE),
IF(AND(Investment_Strategy="Lifecycle",Investment_Strategy_Sub1="Non-Standard"),VLOOKUP(Investment_Strategy&amp;"_"&amp;Investment_Strategy_Sub2&amp;"_"&amp;$A101,'Investment Strategies'!$C:$P,9,FALSE),
IF(AND(Investment_Strategy="Lifecycle",Investment_Strategy_Sub1="Standard"),VLOOKUP(Investment_Strategy&amp;"_"&amp;Investment_Strategy_Sub2&amp;"_"&amp;$A101,'Investment Strategies'!$AJ:$AV,8,FALSE),
IF(AND(Investment_Strategy="Autopilot",Investment_Strategy_Sub1="Non-Standard"),VLOOKUP(Investment_Strategy&amp;"_"&amp;Investment_Strategy_Sub2&amp;"_"&amp;$A101,'Investment Strategies'!$T:$AF,8,FALSE),
IF(Investment_Strategy ="DIY",DIY_RateOfReturn_CurrentFunds,
"Error")))))),Max_InvReturn)</f>
        <v>4.1816398110932074E-3</v>
      </c>
      <c r="F101" s="62">
        <f>IF(AV101=0,0,
IF(Investment_Strategy="DIS",VLOOKUP(Investment_Strategy&amp;"_"&amp;Investment_Strategy_Sub1&amp;"_"&amp;$A101,'Investment Strategies'!$AZ:$BP,15,FALSE),
IF(AND(Investment_Strategy="Lifecycle",Investment_Strategy_Sub1="Non-Standard"),VLOOKUP(Investment_Strategy&amp;"_"&amp;Investment_Strategy_Sub2&amp;"_"&amp;$A101,'Investment Strategies'!$C:$P,12,FALSE),
IF(AND(Investment_Strategy="Lifecycle",Investment_Strategy_Sub1="Standard"),VLOOKUP(Investment_Strategy&amp;"_"&amp;Investment_Strategy_Sub2&amp;"_"&amp;$A101,'Investment Strategies'!$AJ:$AV,11,FALSE),
IF(AND(Investment_Strategy="Autopilot",Investment_Strategy_Sub1="Non-Standard"),VLOOKUP(Investment_Strategy&amp;"_"&amp;Investment_Strategy_Sub2&amp;"_"&amp;$A101,'Investment Strategies'!$T:$AF,11,FALSE),
IF(Investment_Strategy="DIY",DIY_GteeChrge_CurrentFunds,
"Error"))))))</f>
        <v>5.4328711526985263E-4</v>
      </c>
      <c r="G101" s="33">
        <f>IF(AV101=0,0,
IF(Investment_Strategy="DIS",VLOOKUP(Investment_Strategy&amp;"_"&amp;Investment_Strategy_Sub1&amp;"_"&amp;$A101,'Investment Strategies'!$AZ:$BP,17,FALSE),
IF(AND(Investment_Strategy="Lifecycle",Investment_Strategy_Sub1="Non-Standard"),VLOOKUP(Investment_Strategy&amp;"_"&amp;Investment_Strategy_Sub2&amp;"_"&amp;$A101,'Investment Strategies'!$C:$P,14,FALSE),
IF(AND(Investment_Strategy="Lifecycle",Investment_Strategy_Sub1="Standard"),VLOOKUP(Investment_Strategy&amp;"_"&amp;Investment_Strategy_Sub2&amp;"_"&amp;$A101,'Investment Strategies'!$AJ:$AV,13,FALSE),
IF(AND(Investment_Strategy="Autopilot",Investment_Strategy_Sub1="Non-Standard"),VLOOKUP(Investment_Strategy&amp;"_"&amp;Investment_Strategy_Sub2&amp;"_"&amp;$A101,'Investment Strategies'!$T:$AF,13,FALSE),
IF(Investment_Strategy="DIY",DIY_ExtManChrge_CurrentFunds,
"Error"))))))</f>
        <v>2.0857243058891584E-4</v>
      </c>
      <c r="H101" s="16">
        <f t="shared" si="30"/>
        <v>0</v>
      </c>
      <c r="I101" s="16">
        <f t="shared" si="13"/>
        <v>0</v>
      </c>
      <c r="J101" s="16">
        <f t="shared" si="14"/>
        <v>0</v>
      </c>
      <c r="K101" s="16">
        <f>(Opening_Fund_Value+SUM(K$91:K100))*E101*IF(D101=$A$91,SRP_finalmonthfactor,1)</f>
        <v>0</v>
      </c>
      <c r="L101" s="74">
        <f>MIN(IF($AV101=0,0,
IF(Investment_Strategy="DIS",VLOOKUP(Investment_Strategy&amp;"_"&amp;Investment_Strategy_Sub1&amp;"_"&amp;$A101,'Investment Strategies'!$AZ:$BP,12,FALSE),
IF(AND(Investment_Strategy="Lifecycle",Investment_Strategy_Sub1="Non-Standard"),VLOOKUP(Investment_Strategy&amp;"_"&amp;Investment_Strategy_Sub2&amp;"_"&amp;$A101,'Investment Strategies'!$C:$P,9,FALSE),
IF(AND(Investment_Strategy="Lifecycle",Investment_Strategy_Sub1="Standard"),VLOOKUP(Investment_Strategy&amp;"_"&amp;Investment_Strategy_Sub2&amp;"_"&amp;$A101,'Investment Strategies'!$AJ:$AV,8,FALSE),
IF(AND(Investment_Strategy="Autopilot",Investment_Strategy_Sub1="Non-Standard"),VLOOKUP(Investment_Strategy&amp;"_"&amp;Investment_Strategy_Sub2&amp;"_"&amp;$A101,'Investment Strategies'!$T:$AF,8,FALSE),
IF(Investment_Strategy ="DIY",DIY_RateofReturn_SP,
"Error")))))),Max_InvReturn)</f>
        <v>4.1816398110932074E-3</v>
      </c>
      <c r="M101" s="62">
        <f>IF($AV101=0,0,
IF(Investment_Strategy="DIS",VLOOKUP(Investment_Strategy&amp;"_"&amp;Investment_Strategy_Sub1&amp;"_"&amp;$A101,'Investment Strategies'!$AZ:$BP,15,FALSE),
IF(AND(Investment_Strategy="Lifecycle",Investment_Strategy_Sub1="Non-Standard"),VLOOKUP(Investment_Strategy&amp;"_"&amp;Investment_Strategy_Sub2&amp;"_"&amp;$A101,'Investment Strategies'!$C:$P,12,FALSE),
IF(AND(Investment_Strategy="Lifecycle",Investment_Strategy_Sub1="Standard"),VLOOKUP(Investment_Strategy&amp;"_"&amp;Investment_Strategy_Sub2&amp;"_"&amp;$A101,'Investment Strategies'!$AJ:$AV,11,FALSE),
IF(AND(Investment_Strategy="Autopilot",Investment_Strategy_Sub1="Non-Standard"),VLOOKUP(Investment_Strategy&amp;"_"&amp;Investment_Strategy_Sub2&amp;"_"&amp;$A101,'Investment Strategies'!$T:$AF,11,FALSE),
IF(Investment_Strategy="DIY",DIY_GteeChrge_SP,
"Error"))))))</f>
        <v>0</v>
      </c>
      <c r="N101" s="33">
        <f>IF($AV101=0,0,
IF(Investment_Strategy="DIS",VLOOKUP(Investment_Strategy&amp;"_"&amp;Investment_Strategy_Sub1&amp;"_"&amp;$A101,'Investment Strategies'!$AZ:$BP,17,FALSE),
IF(AND(Investment_Strategy="Lifecycle",Investment_Strategy_Sub1="Non-Standard"),VLOOKUP(Investment_Strategy&amp;"_"&amp;Investment_Strategy_Sub2&amp;"_"&amp;$A101,'Investment Strategies'!$C:$P,14,FALSE),
IF(AND(Investment_Strategy="Lifecycle",Investment_Strategy_Sub1="Standard"),VLOOKUP(Investment_Strategy&amp;"_"&amp;Investment_Strategy_Sub2&amp;"_"&amp;$A101,'Investment Strategies'!$AJ:$AV,13,FALSE),
IF(AND(Investment_Strategy="Autopilot",Investment_Strategy_Sub1="Non-Standard"),VLOOKUP(Investment_Strategy&amp;"_"&amp;Investment_Strategy_Sub2&amp;"_"&amp;$A101,'Investment Strategies'!$T:$AF,13,FALSE),
IF(Investment_Strategy="DIY",DIY_ExtManChrge_SP,
"Error"))))))</f>
        <v>2.0857243058891584E-4</v>
      </c>
      <c r="O101" s="16">
        <f t="shared" si="50"/>
        <v>722854.61787106702</v>
      </c>
      <c r="Q101" s="16">
        <f t="shared" si="15"/>
        <v>3022.7176477222215</v>
      </c>
      <c r="R101" s="16">
        <f t="shared" si="16"/>
        <v>-696.61123311203028</v>
      </c>
      <c r="S101" s="16">
        <f>(SRP_SP+SUM(S$91:S100))*L101*IF(D101=$A$91,SRP_finalmonthfactor,1)</f>
        <v>3051.8798209482275</v>
      </c>
      <c r="T101" s="74">
        <f>MIN(IF($AV101=0,0,
IF(Investment_Strategy="DIS",VLOOKUP(Investment_Strategy&amp;"_"&amp;Investment_Strategy_Sub1&amp;"_"&amp;$A101,'Investment Strategies'!$AZ:$BP,12,FALSE),
IF(AND(Investment_Strategy="Lifecycle",Investment_Strategy_Sub1="Non-Standard"),VLOOKUP(Investment_Strategy&amp;"_"&amp;Investment_Strategy_Sub2&amp;"_"&amp;$A101,'Investment Strategies'!$C:$P,9,FALSE),
IF(AND(Investment_Strategy="Lifecycle",Investment_Strategy_Sub1="Standard"),VLOOKUP(Investment_Strategy&amp;"_"&amp;Investment_Strategy_Sub2&amp;"_"&amp;$A101,'Investment Strategies'!$AJ:$AV,8,FALSE),
IF(AND(Investment_Strategy="Autopilot",Investment_Strategy_Sub1="Non-Standard"),VLOOKUP(Investment_Strategy&amp;"_"&amp;Investment_Strategy_Sub2&amp;"_"&amp;$A101,'Investment Strategies'!$T:$AF,8,FALSE),
IF(Investment_Strategy ="DIY",DIY_RateOfReturn_FuturePremiums,
"Error")))))),Max_InvReturn)</f>
        <v>4.1816398110932074E-3</v>
      </c>
      <c r="U101" s="62">
        <f>IF($AV101=0,0,
IF(Investment_Strategy="DIS",VLOOKUP(Investment_Strategy&amp;"_"&amp;Investment_Strategy_Sub1&amp;"_"&amp;$A101,'Investment Strategies'!$AZ:$BP,15,FALSE),
IF(AND(Investment_Strategy="Lifecycle",Investment_Strategy_Sub1="Non-Standard"),VLOOKUP(Investment_Strategy&amp;"_"&amp;Investment_Strategy_Sub2&amp;"_"&amp;$A101,'Investment Strategies'!$C:$P,12,FALSE),
IF(AND(Investment_Strategy="Lifecycle",Investment_Strategy_Sub1="Standard"),VLOOKUP(Investment_Strategy&amp;"_"&amp;Investment_Strategy_Sub2&amp;"_"&amp;$A101,'Investment Strategies'!$AJ:$AV,11,FALSE),
IF(AND(Investment_Strategy="Autopilot",Investment_Strategy_Sub1="Non-Standard"),VLOOKUP(Investment_Strategy&amp;"_"&amp;Investment_Strategy_Sub2&amp;"_"&amp;$A101,'Investment Strategies'!$T:$AF,11,FALSE),
IF(Investment_Strategy="DIY",DIY_GteeChrge_FuturePremiums,
"Error"))))))</f>
        <v>0</v>
      </c>
      <c r="V101" s="33">
        <f>IF(AV101=0,0,
IF(Investment_Strategy="DIS",VLOOKUP(Investment_Strategy&amp;"_"&amp;Investment_Strategy_Sub1&amp;"_"&amp;$A101,'Investment Strategies'!$AZ:$BP,17,FALSE),
IF(AND(Investment_Strategy="Lifecycle",Investment_Strategy_Sub1="Non-Standard"),VLOOKUP(Investment_Strategy&amp;"_"&amp;Investment_Strategy_Sub2&amp;"_"&amp;$A101,'Investment Strategies'!$C:$P,14,FALSE),
IF(AND(Investment_Strategy="Lifecycle",Investment_Strategy_Sub1="Standard"),VLOOKUP(Investment_Strategy&amp;"_"&amp;Investment_Strategy_Sub2&amp;"_"&amp;$A101,'Investment Strategies'!$AJ:$AV,13,FALSE),
IF(AND(Investment_Strategy="Autopilot",Investment_Strategy_Sub1="Non-Standard"),VLOOKUP(Investment_Strategy&amp;"_"&amp;Investment_Strategy_Sub2&amp;"_"&amp;$A101,'Investment Strategies'!$T:$AF,13,FALSE),
IF(Investment_Strategy="DIY",DIY_ExtManChrge_FuturePremiums,
"Error"))))))</f>
        <v>1.2508601994698498E-4</v>
      </c>
      <c r="W101" s="16">
        <f t="shared" si="51"/>
        <v>0</v>
      </c>
      <c r="X101" s="16">
        <f t="shared" si="17"/>
        <v>0</v>
      </c>
      <c r="Y101" s="16">
        <f t="shared" si="18"/>
        <v>0</v>
      </c>
      <c r="Z101" s="31">
        <f t="shared" si="19"/>
        <v>0.02</v>
      </c>
      <c r="AA101" s="16">
        <f t="shared" si="20"/>
        <v>0</v>
      </c>
      <c r="AB101" s="28">
        <f t="shared" si="53"/>
        <v>729828.47849594546</v>
      </c>
      <c r="AC101" s="28">
        <f>(SUM($AC$91:AC100)+SUM($X$91:X100)+X101)*T101*IF(D101=$A$91,SRP_finalmonthfactor,1)</f>
        <v>0</v>
      </c>
      <c r="AD101" s="16">
        <f t="shared" si="21"/>
        <v>-151.08277239517511</v>
      </c>
      <c r="AE101" s="106"/>
      <c r="AF101" s="16">
        <f t="shared" si="52"/>
        <v>722854.61787106702</v>
      </c>
      <c r="AG101" s="16">
        <f t="shared" si="31"/>
        <v>3051.8798209482275</v>
      </c>
      <c r="AH101" s="16">
        <f t="shared" si="32"/>
        <v>-696.61123311203028</v>
      </c>
      <c r="AJ101" s="13">
        <f t="shared" ref="AJ101:AU110" si="62">IF($C101&lt;=AJ$90,1,0)</f>
        <v>1</v>
      </c>
      <c r="AK101" s="13">
        <f t="shared" si="62"/>
        <v>1</v>
      </c>
      <c r="AL101" s="13">
        <f t="shared" si="62"/>
        <v>1</v>
      </c>
      <c r="AM101" s="13">
        <f t="shared" si="62"/>
        <v>1</v>
      </c>
      <c r="AN101" s="13">
        <f t="shared" si="62"/>
        <v>1</v>
      </c>
      <c r="AO101" s="13">
        <f t="shared" si="62"/>
        <v>1</v>
      </c>
      <c r="AP101" s="13">
        <f t="shared" si="62"/>
        <v>1</v>
      </c>
      <c r="AQ101" s="13">
        <f t="shared" si="62"/>
        <v>1</v>
      </c>
      <c r="AR101" s="13">
        <f t="shared" si="62"/>
        <v>1</v>
      </c>
      <c r="AS101" s="13">
        <f t="shared" si="62"/>
        <v>1</v>
      </c>
      <c r="AT101" s="13">
        <f t="shared" si="62"/>
        <v>1</v>
      </c>
      <c r="AU101" s="13">
        <f t="shared" si="62"/>
        <v>1</v>
      </c>
      <c r="AV101" s="13">
        <f t="shared" si="23"/>
        <v>1</v>
      </c>
      <c r="AW101" s="13">
        <f t="shared" si="33"/>
        <v>1</v>
      </c>
      <c r="AY101" s="17">
        <f t="shared" si="24"/>
        <v>11</v>
      </c>
      <c r="AZ101" s="28">
        <f t="shared" si="34"/>
        <v>0</v>
      </c>
      <c r="BA101" s="13">
        <f t="shared" si="25"/>
        <v>0</v>
      </c>
      <c r="BB101" s="13">
        <f t="shared" si="26"/>
        <v>0</v>
      </c>
      <c r="BC101" s="28">
        <f t="shared" si="35"/>
        <v>0</v>
      </c>
      <c r="BD101" s="28">
        <f t="shared" si="36"/>
        <v>0</v>
      </c>
      <c r="BF101" s="248">
        <f t="shared" si="37"/>
        <v>732880.35831689369</v>
      </c>
      <c r="BG101" s="36">
        <f t="shared" si="54"/>
        <v>0</v>
      </c>
      <c r="BH101" s="36">
        <f t="shared" si="55"/>
        <v>722854.61787106702</v>
      </c>
      <c r="BI101" s="249">
        <f t="shared" si="56"/>
        <v>4.1816398110932074E-3</v>
      </c>
      <c r="BJ101" s="246">
        <f t="shared" si="57"/>
        <v>2.0857243058891584E-4</v>
      </c>
      <c r="BK101" s="246">
        <f t="shared" si="27"/>
        <v>7.531116566323881E-4</v>
      </c>
      <c r="BL101" s="246">
        <f t="shared" si="58"/>
        <v>0</v>
      </c>
      <c r="BM101" s="246">
        <f t="shared" si="59"/>
        <v>9.6168408722130394E-4</v>
      </c>
      <c r="BN101" s="36">
        <f t="shared" si="44"/>
        <v>696.61123311203016</v>
      </c>
      <c r="BO101" s="36">
        <f t="shared" si="60"/>
        <v>3022.7176477222215</v>
      </c>
      <c r="BP101" s="36">
        <f t="shared" si="61"/>
        <v>725180.72428567719</v>
      </c>
    </row>
    <row r="102" spans="1:68">
      <c r="A102" s="32">
        <f t="shared" si="47"/>
        <v>73</v>
      </c>
      <c r="B102" s="32">
        <f t="shared" si="28"/>
        <v>53</v>
      </c>
      <c r="C102" s="32">
        <f t="shared" si="48"/>
        <v>1</v>
      </c>
      <c r="D102" s="32">
        <f t="shared" si="49"/>
        <v>12</v>
      </c>
      <c r="E102" s="74">
        <f>MIN(IF(AV102=0,0,
IF(Investment_Strategy="DIS",VLOOKUP(Investment_Strategy&amp;"_"&amp;Investment_Strategy_Sub1&amp;"_"&amp;$A102,'Investment Strategies'!$AZ:$BP,12,FALSE),
IF(AND(Investment_Strategy="Lifecycle",Investment_Strategy_Sub1="Non-Standard"),VLOOKUP(Investment_Strategy&amp;"_"&amp;Investment_Strategy_Sub2&amp;"_"&amp;$A102,'Investment Strategies'!$C:$P,9,FALSE),
IF(AND(Investment_Strategy="Lifecycle",Investment_Strategy_Sub1="Standard"),VLOOKUP(Investment_Strategy&amp;"_"&amp;Investment_Strategy_Sub2&amp;"_"&amp;$A102,'Investment Strategies'!$AJ:$AV,8,FALSE),
IF(AND(Investment_Strategy="Autopilot",Investment_Strategy_Sub1="Non-Standard"),VLOOKUP(Investment_Strategy&amp;"_"&amp;Investment_Strategy_Sub2&amp;"_"&amp;$A102,'Investment Strategies'!$T:$AF,8,FALSE),
IF(Investment_Strategy ="DIY",DIY_RateOfReturn_CurrentFunds,
"Error")))))),Max_InvReturn)</f>
        <v>4.1816398110932074E-3</v>
      </c>
      <c r="F102" s="62">
        <f>IF(AV102=0,0,
IF(Investment_Strategy="DIS",VLOOKUP(Investment_Strategy&amp;"_"&amp;Investment_Strategy_Sub1&amp;"_"&amp;$A102,'Investment Strategies'!$AZ:$BP,15,FALSE),
IF(AND(Investment_Strategy="Lifecycle",Investment_Strategy_Sub1="Non-Standard"),VLOOKUP(Investment_Strategy&amp;"_"&amp;Investment_Strategy_Sub2&amp;"_"&amp;$A102,'Investment Strategies'!$C:$P,12,FALSE),
IF(AND(Investment_Strategy="Lifecycle",Investment_Strategy_Sub1="Standard"),VLOOKUP(Investment_Strategy&amp;"_"&amp;Investment_Strategy_Sub2&amp;"_"&amp;$A102,'Investment Strategies'!$AJ:$AV,11,FALSE),
IF(AND(Investment_Strategy="Autopilot",Investment_Strategy_Sub1="Non-Standard"),VLOOKUP(Investment_Strategy&amp;"_"&amp;Investment_Strategy_Sub2&amp;"_"&amp;$A102,'Investment Strategies'!$T:$AF,11,FALSE),
IF(Investment_Strategy="DIY",DIY_GteeChrge_CurrentFunds,
"Error"))))))</f>
        <v>5.4328711526985263E-4</v>
      </c>
      <c r="G102" s="33">
        <f>IF(AV102=0,0,
IF(Investment_Strategy="DIS",VLOOKUP(Investment_Strategy&amp;"_"&amp;Investment_Strategy_Sub1&amp;"_"&amp;$A102,'Investment Strategies'!$AZ:$BP,17,FALSE),
IF(AND(Investment_Strategy="Lifecycle",Investment_Strategy_Sub1="Non-Standard"),VLOOKUP(Investment_Strategy&amp;"_"&amp;Investment_Strategy_Sub2&amp;"_"&amp;$A102,'Investment Strategies'!$C:$P,14,FALSE),
IF(AND(Investment_Strategy="Lifecycle",Investment_Strategy_Sub1="Standard"),VLOOKUP(Investment_Strategy&amp;"_"&amp;Investment_Strategy_Sub2&amp;"_"&amp;$A102,'Investment Strategies'!$AJ:$AV,13,FALSE),
IF(AND(Investment_Strategy="Autopilot",Investment_Strategy_Sub1="Non-Standard"),VLOOKUP(Investment_Strategy&amp;"_"&amp;Investment_Strategy_Sub2&amp;"_"&amp;$A102,'Investment Strategies'!$T:$AF,13,FALSE),
IF(Investment_Strategy="DIY",DIY_ExtManChrge_CurrentFunds,
"Error"))))))</f>
        <v>2.0857243058891584E-4</v>
      </c>
      <c r="H102" s="16">
        <f t="shared" si="30"/>
        <v>0</v>
      </c>
      <c r="I102" s="16">
        <f t="shared" si="13"/>
        <v>0</v>
      </c>
      <c r="J102" s="16">
        <f t="shared" si="14"/>
        <v>0</v>
      </c>
      <c r="K102" s="16">
        <f>(Opening_Fund_Value+SUM(K$91:K101))*E102*IF(D102=$A$91,SRP_finalmonthfactor,1)</f>
        <v>0</v>
      </c>
      <c r="L102" s="74">
        <f>MIN(IF($AV102=0,0,
IF(Investment_Strategy="DIS",VLOOKUP(Investment_Strategy&amp;"_"&amp;Investment_Strategy_Sub1&amp;"_"&amp;$A102,'Investment Strategies'!$AZ:$BP,12,FALSE),
IF(AND(Investment_Strategy="Lifecycle",Investment_Strategy_Sub1="Non-Standard"),VLOOKUP(Investment_Strategy&amp;"_"&amp;Investment_Strategy_Sub2&amp;"_"&amp;$A102,'Investment Strategies'!$C:$P,9,FALSE),
IF(AND(Investment_Strategy="Lifecycle",Investment_Strategy_Sub1="Standard"),VLOOKUP(Investment_Strategy&amp;"_"&amp;Investment_Strategy_Sub2&amp;"_"&amp;$A102,'Investment Strategies'!$AJ:$AV,8,FALSE),
IF(AND(Investment_Strategy="Autopilot",Investment_Strategy_Sub1="Non-Standard"),VLOOKUP(Investment_Strategy&amp;"_"&amp;Investment_Strategy_Sub2&amp;"_"&amp;$A102,'Investment Strategies'!$T:$AF,8,FALSE),
IF(Investment_Strategy ="DIY",DIY_RateofReturn_SP,
"Error")))))),Max_InvReturn)</f>
        <v>4.1816398110932074E-3</v>
      </c>
      <c r="M102" s="62">
        <f>IF($AV102=0,0,
IF(Investment_Strategy="DIS",VLOOKUP(Investment_Strategy&amp;"_"&amp;Investment_Strategy_Sub1&amp;"_"&amp;$A102,'Investment Strategies'!$AZ:$BP,15,FALSE),
IF(AND(Investment_Strategy="Lifecycle",Investment_Strategy_Sub1="Non-Standard"),VLOOKUP(Investment_Strategy&amp;"_"&amp;Investment_Strategy_Sub2&amp;"_"&amp;$A102,'Investment Strategies'!$C:$P,12,FALSE),
IF(AND(Investment_Strategy="Lifecycle",Investment_Strategy_Sub1="Standard"),VLOOKUP(Investment_Strategy&amp;"_"&amp;Investment_Strategy_Sub2&amp;"_"&amp;$A102,'Investment Strategies'!$AJ:$AV,11,FALSE),
IF(AND(Investment_Strategy="Autopilot",Investment_Strategy_Sub1="Non-Standard"),VLOOKUP(Investment_Strategy&amp;"_"&amp;Investment_Strategy_Sub2&amp;"_"&amp;$A102,'Investment Strategies'!$T:$AF,11,FALSE),
IF(Investment_Strategy="DIY",DIY_GteeChrge_SP,
"Error"))))))</f>
        <v>0</v>
      </c>
      <c r="N102" s="33">
        <f>IF($AV102=0,0,
IF(Investment_Strategy="DIS",VLOOKUP(Investment_Strategy&amp;"_"&amp;Investment_Strategy_Sub1&amp;"_"&amp;$A102,'Investment Strategies'!$AZ:$BP,17,FALSE),
IF(AND(Investment_Strategy="Lifecycle",Investment_Strategy_Sub1="Non-Standard"),VLOOKUP(Investment_Strategy&amp;"_"&amp;Investment_Strategy_Sub2&amp;"_"&amp;$A102,'Investment Strategies'!$C:$P,14,FALSE),
IF(AND(Investment_Strategy="Lifecycle",Investment_Strategy_Sub1="Standard"),VLOOKUP(Investment_Strategy&amp;"_"&amp;Investment_Strategy_Sub2&amp;"_"&amp;$A102,'Investment Strategies'!$AJ:$AV,13,FALSE),
IF(AND(Investment_Strategy="Autopilot",Investment_Strategy_Sub1="Non-Standard"),VLOOKUP(Investment_Strategy&amp;"_"&amp;Investment_Strategy_Sub2&amp;"_"&amp;$A102,'Investment Strategies'!$T:$AF,13,FALSE),
IF(Investment_Strategy="DIY",DIY_ExtManChrge_SP,
"Error"))))))</f>
        <v>2.0857243058891584E-4</v>
      </c>
      <c r="O102" s="16">
        <f t="shared" si="50"/>
        <v>725180.72428567719</v>
      </c>
      <c r="Q102" s="16">
        <f t="shared" si="15"/>
        <v>3032.4445869103943</v>
      </c>
      <c r="R102" s="16">
        <f t="shared" si="16"/>
        <v>-698.85288975746153</v>
      </c>
      <c r="S102" s="16">
        <f>(SRP_SP+SUM(S$91:S101))*L102*IF(D102=$A$91,SRP_finalmonthfactor,1)</f>
        <v>3064.6416831061765</v>
      </c>
      <c r="T102" s="74">
        <f>MIN(IF($AV102=0,0,
IF(Investment_Strategy="DIS",VLOOKUP(Investment_Strategy&amp;"_"&amp;Investment_Strategy_Sub1&amp;"_"&amp;$A102,'Investment Strategies'!$AZ:$BP,12,FALSE),
IF(AND(Investment_Strategy="Lifecycle",Investment_Strategy_Sub1="Non-Standard"),VLOOKUP(Investment_Strategy&amp;"_"&amp;Investment_Strategy_Sub2&amp;"_"&amp;$A102,'Investment Strategies'!$C:$P,9,FALSE),
IF(AND(Investment_Strategy="Lifecycle",Investment_Strategy_Sub1="Standard"),VLOOKUP(Investment_Strategy&amp;"_"&amp;Investment_Strategy_Sub2&amp;"_"&amp;$A102,'Investment Strategies'!$AJ:$AV,8,FALSE),
IF(AND(Investment_Strategy="Autopilot",Investment_Strategy_Sub1="Non-Standard"),VLOOKUP(Investment_Strategy&amp;"_"&amp;Investment_Strategy_Sub2&amp;"_"&amp;$A102,'Investment Strategies'!$T:$AF,8,FALSE),
IF(Investment_Strategy ="DIY",DIY_RateOfReturn_FuturePremiums,
"Error")))))),Max_InvReturn)</f>
        <v>4.1816398110932074E-3</v>
      </c>
      <c r="U102" s="62">
        <f>IF($AV102=0,0,
IF(Investment_Strategy="DIS",VLOOKUP(Investment_Strategy&amp;"_"&amp;Investment_Strategy_Sub1&amp;"_"&amp;$A102,'Investment Strategies'!$AZ:$BP,15,FALSE),
IF(AND(Investment_Strategy="Lifecycle",Investment_Strategy_Sub1="Non-Standard"),VLOOKUP(Investment_Strategy&amp;"_"&amp;Investment_Strategy_Sub2&amp;"_"&amp;$A102,'Investment Strategies'!$C:$P,12,FALSE),
IF(AND(Investment_Strategy="Lifecycle",Investment_Strategy_Sub1="Standard"),VLOOKUP(Investment_Strategy&amp;"_"&amp;Investment_Strategy_Sub2&amp;"_"&amp;$A102,'Investment Strategies'!$AJ:$AV,11,FALSE),
IF(AND(Investment_Strategy="Autopilot",Investment_Strategy_Sub1="Non-Standard"),VLOOKUP(Investment_Strategy&amp;"_"&amp;Investment_Strategy_Sub2&amp;"_"&amp;$A102,'Investment Strategies'!$T:$AF,11,FALSE),
IF(Investment_Strategy="DIY",DIY_GteeChrge_FuturePremiums,
"Error"))))))</f>
        <v>0</v>
      </c>
      <c r="V102" s="33">
        <f>IF(AV102=0,0,
IF(Investment_Strategy="DIS",VLOOKUP(Investment_Strategy&amp;"_"&amp;Investment_Strategy_Sub1&amp;"_"&amp;$A102,'Investment Strategies'!$AZ:$BP,17,FALSE),
IF(AND(Investment_Strategy="Lifecycle",Investment_Strategy_Sub1="Non-Standard"),VLOOKUP(Investment_Strategy&amp;"_"&amp;Investment_Strategy_Sub2&amp;"_"&amp;$A102,'Investment Strategies'!$C:$P,14,FALSE),
IF(AND(Investment_Strategy="Lifecycle",Investment_Strategy_Sub1="Standard"),VLOOKUP(Investment_Strategy&amp;"_"&amp;Investment_Strategy_Sub2&amp;"_"&amp;$A102,'Investment Strategies'!$AJ:$AV,13,FALSE),
IF(AND(Investment_Strategy="Autopilot",Investment_Strategy_Sub1="Non-Standard"),VLOOKUP(Investment_Strategy&amp;"_"&amp;Investment_Strategy_Sub2&amp;"_"&amp;$A102,'Investment Strategies'!$T:$AF,13,FALSE),
IF(Investment_Strategy="DIY",DIY_ExtManChrge_FuturePremiums,
"Error"))))))</f>
        <v>1.2508601994698498E-4</v>
      </c>
      <c r="W102" s="16">
        <f t="shared" si="51"/>
        <v>0</v>
      </c>
      <c r="X102" s="16">
        <f t="shared" si="17"/>
        <v>0</v>
      </c>
      <c r="Y102" s="16">
        <f t="shared" si="18"/>
        <v>0</v>
      </c>
      <c r="Z102" s="31">
        <f t="shared" si="19"/>
        <v>0.02</v>
      </c>
      <c r="AA102" s="16">
        <f t="shared" si="20"/>
        <v>0</v>
      </c>
      <c r="AB102" s="28">
        <f t="shared" si="53"/>
        <v>732880.35831689369</v>
      </c>
      <c r="AC102" s="28">
        <f>(SUM($AC$91:AC101)+SUM($X$91:X101)+X102)*T102*IF(D102=$A$91,SRP_finalmonthfactor,1)</f>
        <v>0</v>
      </c>
      <c r="AD102" s="16">
        <f t="shared" si="21"/>
        <v>-151.56894844955315</v>
      </c>
      <c r="AE102" s="106"/>
      <c r="AF102" s="16">
        <f t="shared" si="52"/>
        <v>725180.72428567719</v>
      </c>
      <c r="AG102" s="16">
        <f t="shared" si="31"/>
        <v>3064.6416831061765</v>
      </c>
      <c r="AH102" s="16">
        <f t="shared" si="32"/>
        <v>-698.85288975746153</v>
      </c>
      <c r="AJ102" s="13">
        <f t="shared" si="62"/>
        <v>1</v>
      </c>
      <c r="AK102" s="13">
        <f t="shared" si="62"/>
        <v>1</v>
      </c>
      <c r="AL102" s="13">
        <f t="shared" si="62"/>
        <v>1</v>
      </c>
      <c r="AM102" s="13">
        <f t="shared" si="62"/>
        <v>1</v>
      </c>
      <c r="AN102" s="13">
        <f t="shared" si="62"/>
        <v>1</v>
      </c>
      <c r="AO102" s="13">
        <f t="shared" si="62"/>
        <v>1</v>
      </c>
      <c r="AP102" s="13">
        <f t="shared" si="62"/>
        <v>1</v>
      </c>
      <c r="AQ102" s="13">
        <f t="shared" si="62"/>
        <v>1</v>
      </c>
      <c r="AR102" s="13">
        <f t="shared" si="62"/>
        <v>1</v>
      </c>
      <c r="AS102" s="13">
        <f t="shared" si="62"/>
        <v>1</v>
      </c>
      <c r="AT102" s="13">
        <f t="shared" si="62"/>
        <v>1</v>
      </c>
      <c r="AU102" s="13">
        <f t="shared" si="62"/>
        <v>1</v>
      </c>
      <c r="AV102" s="13">
        <f t="shared" si="23"/>
        <v>1</v>
      </c>
      <c r="AW102" s="13">
        <f t="shared" si="33"/>
        <v>1</v>
      </c>
      <c r="AY102" s="17">
        <f t="shared" si="24"/>
        <v>12</v>
      </c>
      <c r="AZ102" s="28">
        <f t="shared" si="34"/>
        <v>0</v>
      </c>
      <c r="BA102" s="13">
        <f t="shared" si="25"/>
        <v>0</v>
      </c>
      <c r="BB102" s="13">
        <f t="shared" si="26"/>
        <v>0</v>
      </c>
      <c r="BC102" s="28">
        <f t="shared" si="35"/>
        <v>0</v>
      </c>
      <c r="BD102" s="28">
        <f t="shared" si="36"/>
        <v>0</v>
      </c>
      <c r="BF102" s="248">
        <f t="shared" si="37"/>
        <v>735944.99999999988</v>
      </c>
      <c r="BG102" s="36">
        <f t="shared" si="54"/>
        <v>0</v>
      </c>
      <c r="BH102" s="36">
        <f t="shared" si="55"/>
        <v>725180.72428567719</v>
      </c>
      <c r="BI102" s="249">
        <f t="shared" si="56"/>
        <v>4.1816398110932074E-3</v>
      </c>
      <c r="BJ102" s="246">
        <f t="shared" si="57"/>
        <v>2.0857243058891584E-4</v>
      </c>
      <c r="BK102" s="246">
        <f t="shared" si="27"/>
        <v>7.531116566323881E-4</v>
      </c>
      <c r="BL102" s="246">
        <f t="shared" si="58"/>
        <v>0</v>
      </c>
      <c r="BM102" s="246">
        <f t="shared" si="59"/>
        <v>9.6168408722130394E-4</v>
      </c>
      <c r="BN102" s="36">
        <f t="shared" si="44"/>
        <v>698.85288975746153</v>
      </c>
      <c r="BO102" s="36">
        <f t="shared" si="60"/>
        <v>3032.4445869103943</v>
      </c>
      <c r="BP102" s="36">
        <f t="shared" si="61"/>
        <v>727514.31598283013</v>
      </c>
    </row>
    <row r="103" spans="1:68">
      <c r="A103" s="32">
        <f t="shared" si="47"/>
        <v>72</v>
      </c>
      <c r="B103" s="32">
        <f t="shared" si="28"/>
        <v>54</v>
      </c>
      <c r="C103" s="32">
        <f t="shared" si="48"/>
        <v>2</v>
      </c>
      <c r="D103" s="32">
        <f t="shared" si="49"/>
        <v>13</v>
      </c>
      <c r="E103" s="74">
        <f>MIN(IF(AV103=0,0,
IF(Investment_Strategy="DIS",VLOOKUP(Investment_Strategy&amp;"_"&amp;Investment_Strategy_Sub1&amp;"_"&amp;$A103,'Investment Strategies'!$AZ:$BP,12,FALSE),
IF(AND(Investment_Strategy="Lifecycle",Investment_Strategy_Sub1="Non-Standard"),VLOOKUP(Investment_Strategy&amp;"_"&amp;Investment_Strategy_Sub2&amp;"_"&amp;$A103,'Investment Strategies'!$C:$P,9,FALSE),
IF(AND(Investment_Strategy="Lifecycle",Investment_Strategy_Sub1="Standard"),VLOOKUP(Investment_Strategy&amp;"_"&amp;Investment_Strategy_Sub2&amp;"_"&amp;$A103,'Investment Strategies'!$AJ:$AV,8,FALSE),
IF(AND(Investment_Strategy="Autopilot",Investment_Strategy_Sub1="Non-Standard"),VLOOKUP(Investment_Strategy&amp;"_"&amp;Investment_Strategy_Sub2&amp;"_"&amp;$A103,'Investment Strategies'!$T:$AF,8,FALSE),
IF(Investment_Strategy ="DIY",DIY_RateOfReturn_CurrentFunds,
"Error")))))),Max_InvReturn)</f>
        <v>4.1816398110932074E-3</v>
      </c>
      <c r="F103" s="62">
        <f>IF(AV103=0,0,
IF(Investment_Strategy="DIS",VLOOKUP(Investment_Strategy&amp;"_"&amp;Investment_Strategy_Sub1&amp;"_"&amp;$A103,'Investment Strategies'!$AZ:$BP,15,FALSE),
IF(AND(Investment_Strategy="Lifecycle",Investment_Strategy_Sub1="Non-Standard"),VLOOKUP(Investment_Strategy&amp;"_"&amp;Investment_Strategy_Sub2&amp;"_"&amp;$A103,'Investment Strategies'!$C:$P,12,FALSE),
IF(AND(Investment_Strategy="Lifecycle",Investment_Strategy_Sub1="Standard"),VLOOKUP(Investment_Strategy&amp;"_"&amp;Investment_Strategy_Sub2&amp;"_"&amp;$A103,'Investment Strategies'!$AJ:$AV,11,FALSE),
IF(AND(Investment_Strategy="Autopilot",Investment_Strategy_Sub1="Non-Standard"),VLOOKUP(Investment_Strategy&amp;"_"&amp;Investment_Strategy_Sub2&amp;"_"&amp;$A103,'Investment Strategies'!$T:$AF,11,FALSE),
IF(Investment_Strategy="DIY",DIY_GteeChrge_CurrentFunds,
"Error"))))))</f>
        <v>5.4328711526985263E-4</v>
      </c>
      <c r="G103" s="33">
        <f>IF(AV103=0,0,
IF(Investment_Strategy="DIS",VLOOKUP(Investment_Strategy&amp;"_"&amp;Investment_Strategy_Sub1&amp;"_"&amp;$A103,'Investment Strategies'!$AZ:$BP,17,FALSE),
IF(AND(Investment_Strategy="Lifecycle",Investment_Strategy_Sub1="Non-Standard"),VLOOKUP(Investment_Strategy&amp;"_"&amp;Investment_Strategy_Sub2&amp;"_"&amp;$A103,'Investment Strategies'!$C:$P,14,FALSE),
IF(AND(Investment_Strategy="Lifecycle",Investment_Strategy_Sub1="Standard"),VLOOKUP(Investment_Strategy&amp;"_"&amp;Investment_Strategy_Sub2&amp;"_"&amp;$A103,'Investment Strategies'!$AJ:$AV,13,FALSE),
IF(AND(Investment_Strategy="Autopilot",Investment_Strategy_Sub1="Non-Standard"),VLOOKUP(Investment_Strategy&amp;"_"&amp;Investment_Strategy_Sub2&amp;"_"&amp;$A103,'Investment Strategies'!$T:$AF,13,FALSE),
IF(Investment_Strategy="DIY",DIY_ExtManChrge_CurrentFunds,
"Error"))))))</f>
        <v>2.0857243058891584E-4</v>
      </c>
      <c r="H103" s="16">
        <f t="shared" si="30"/>
        <v>0</v>
      </c>
      <c r="I103" s="16">
        <f t="shared" si="13"/>
        <v>0</v>
      </c>
      <c r="J103" s="16">
        <f t="shared" si="14"/>
        <v>0</v>
      </c>
      <c r="K103" s="16">
        <f>(Opening_Fund_Value+SUM(K$91:K102))*E103*IF(D103=$A$91,SRP_finalmonthfactor,1)</f>
        <v>0</v>
      </c>
      <c r="L103" s="74">
        <f>MIN(IF($AV103=0,0,
IF(Investment_Strategy="DIS",VLOOKUP(Investment_Strategy&amp;"_"&amp;Investment_Strategy_Sub1&amp;"_"&amp;$A103,'Investment Strategies'!$AZ:$BP,12,FALSE),
IF(AND(Investment_Strategy="Lifecycle",Investment_Strategy_Sub1="Non-Standard"),VLOOKUP(Investment_Strategy&amp;"_"&amp;Investment_Strategy_Sub2&amp;"_"&amp;$A103,'Investment Strategies'!$C:$P,9,FALSE),
IF(AND(Investment_Strategy="Lifecycle",Investment_Strategy_Sub1="Standard"),VLOOKUP(Investment_Strategy&amp;"_"&amp;Investment_Strategy_Sub2&amp;"_"&amp;$A103,'Investment Strategies'!$AJ:$AV,8,FALSE),
IF(AND(Investment_Strategy="Autopilot",Investment_Strategy_Sub1="Non-Standard"),VLOOKUP(Investment_Strategy&amp;"_"&amp;Investment_Strategy_Sub2&amp;"_"&amp;$A103,'Investment Strategies'!$T:$AF,8,FALSE),
IF(Investment_Strategy ="DIY",DIY_RateofReturn_SP,
"Error")))))),Max_InvReturn)</f>
        <v>4.1816398110932074E-3</v>
      </c>
      <c r="M103" s="62">
        <f>IF($AV103=0,0,
IF(Investment_Strategy="DIS",VLOOKUP(Investment_Strategy&amp;"_"&amp;Investment_Strategy_Sub1&amp;"_"&amp;$A103,'Investment Strategies'!$AZ:$BP,15,FALSE),
IF(AND(Investment_Strategy="Lifecycle",Investment_Strategy_Sub1="Non-Standard"),VLOOKUP(Investment_Strategy&amp;"_"&amp;Investment_Strategy_Sub2&amp;"_"&amp;$A103,'Investment Strategies'!$C:$P,12,FALSE),
IF(AND(Investment_Strategy="Lifecycle",Investment_Strategy_Sub1="Standard"),VLOOKUP(Investment_Strategy&amp;"_"&amp;Investment_Strategy_Sub2&amp;"_"&amp;$A103,'Investment Strategies'!$AJ:$AV,11,FALSE),
IF(AND(Investment_Strategy="Autopilot",Investment_Strategy_Sub1="Non-Standard"),VLOOKUP(Investment_Strategy&amp;"_"&amp;Investment_Strategy_Sub2&amp;"_"&amp;$A103,'Investment Strategies'!$T:$AF,11,FALSE),
IF(Investment_Strategy="DIY",DIY_GteeChrge_SP,
"Error"))))))</f>
        <v>0</v>
      </c>
      <c r="N103" s="33">
        <f>IF($AV103=0,0,
IF(Investment_Strategy="DIS",VLOOKUP(Investment_Strategy&amp;"_"&amp;Investment_Strategy_Sub1&amp;"_"&amp;$A103,'Investment Strategies'!$AZ:$BP,17,FALSE),
IF(AND(Investment_Strategy="Lifecycle",Investment_Strategy_Sub1="Non-Standard"),VLOOKUP(Investment_Strategy&amp;"_"&amp;Investment_Strategy_Sub2&amp;"_"&amp;$A103,'Investment Strategies'!$C:$P,14,FALSE),
IF(AND(Investment_Strategy="Lifecycle",Investment_Strategy_Sub1="Standard"),VLOOKUP(Investment_Strategy&amp;"_"&amp;Investment_Strategy_Sub2&amp;"_"&amp;$A103,'Investment Strategies'!$AJ:$AV,13,FALSE),
IF(AND(Investment_Strategy="Autopilot",Investment_Strategy_Sub1="Non-Standard"),VLOOKUP(Investment_Strategy&amp;"_"&amp;Investment_Strategy_Sub2&amp;"_"&amp;$A103,'Investment Strategies'!$T:$AF,13,FALSE),
IF(Investment_Strategy="DIY",DIY_ExtManChrge_SP,
"Error"))))))</f>
        <v>2.0857243058891584E-4</v>
      </c>
      <c r="O103" s="16">
        <f t="shared" si="50"/>
        <v>727514.31598283013</v>
      </c>
      <c r="Q103" s="16">
        <f t="shared" si="15"/>
        <v>3042.2028268540457</v>
      </c>
      <c r="R103" s="16">
        <f t="shared" si="16"/>
        <v>-701.10175993072187</v>
      </c>
      <c r="S103" s="16">
        <f>(SRP_SP+SUM(S$91:S102))*L103*IF(D103=$A$91,SRP_finalmonthfactor,1)</f>
        <v>3077.456910774989</v>
      </c>
      <c r="T103" s="74">
        <f>MIN(IF($AV103=0,0,
IF(Investment_Strategy="DIS",VLOOKUP(Investment_Strategy&amp;"_"&amp;Investment_Strategy_Sub1&amp;"_"&amp;$A103,'Investment Strategies'!$AZ:$BP,12,FALSE),
IF(AND(Investment_Strategy="Lifecycle",Investment_Strategy_Sub1="Non-Standard"),VLOOKUP(Investment_Strategy&amp;"_"&amp;Investment_Strategy_Sub2&amp;"_"&amp;$A103,'Investment Strategies'!$C:$P,9,FALSE),
IF(AND(Investment_Strategy="Lifecycle",Investment_Strategy_Sub1="Standard"),VLOOKUP(Investment_Strategy&amp;"_"&amp;Investment_Strategy_Sub2&amp;"_"&amp;$A103,'Investment Strategies'!$AJ:$AV,8,FALSE),
IF(AND(Investment_Strategy="Autopilot",Investment_Strategy_Sub1="Non-Standard"),VLOOKUP(Investment_Strategy&amp;"_"&amp;Investment_Strategy_Sub2&amp;"_"&amp;$A103,'Investment Strategies'!$T:$AF,8,FALSE),
IF(Investment_Strategy ="DIY",DIY_RateOfReturn_FuturePremiums,
"Error")))))),Max_InvReturn)</f>
        <v>4.1816398110932074E-3</v>
      </c>
      <c r="U103" s="62">
        <f>IF($AV103=0,0,
IF(Investment_Strategy="DIS",VLOOKUP(Investment_Strategy&amp;"_"&amp;Investment_Strategy_Sub1&amp;"_"&amp;$A103,'Investment Strategies'!$AZ:$BP,15,FALSE),
IF(AND(Investment_Strategy="Lifecycle",Investment_Strategy_Sub1="Non-Standard"),VLOOKUP(Investment_Strategy&amp;"_"&amp;Investment_Strategy_Sub2&amp;"_"&amp;$A103,'Investment Strategies'!$C:$P,12,FALSE),
IF(AND(Investment_Strategy="Lifecycle",Investment_Strategy_Sub1="Standard"),VLOOKUP(Investment_Strategy&amp;"_"&amp;Investment_Strategy_Sub2&amp;"_"&amp;$A103,'Investment Strategies'!$AJ:$AV,11,FALSE),
IF(AND(Investment_Strategy="Autopilot",Investment_Strategy_Sub1="Non-Standard"),VLOOKUP(Investment_Strategy&amp;"_"&amp;Investment_Strategy_Sub2&amp;"_"&amp;$A103,'Investment Strategies'!$T:$AF,11,FALSE),
IF(Investment_Strategy="DIY",DIY_GteeChrge_FuturePremiums,
"Error"))))))</f>
        <v>0</v>
      </c>
      <c r="V103" s="33">
        <f>IF(AV103=0,0,
IF(Investment_Strategy="DIS",VLOOKUP(Investment_Strategy&amp;"_"&amp;Investment_Strategy_Sub1&amp;"_"&amp;$A103,'Investment Strategies'!$AZ:$BP,17,FALSE),
IF(AND(Investment_Strategy="Lifecycle",Investment_Strategy_Sub1="Non-Standard"),VLOOKUP(Investment_Strategy&amp;"_"&amp;Investment_Strategy_Sub2&amp;"_"&amp;$A103,'Investment Strategies'!$C:$P,14,FALSE),
IF(AND(Investment_Strategy="Lifecycle",Investment_Strategy_Sub1="Standard"),VLOOKUP(Investment_Strategy&amp;"_"&amp;Investment_Strategy_Sub2&amp;"_"&amp;$A103,'Investment Strategies'!$AJ:$AV,13,FALSE),
IF(AND(Investment_Strategy="Autopilot",Investment_Strategy_Sub1="Non-Standard"),VLOOKUP(Investment_Strategy&amp;"_"&amp;Investment_Strategy_Sub2&amp;"_"&amp;$A103,'Investment Strategies'!$T:$AF,13,FALSE),
IF(Investment_Strategy="DIY",DIY_ExtManChrge_FuturePremiums,
"Error"))))))</f>
        <v>1.2508601994698498E-4</v>
      </c>
      <c r="W103" s="16">
        <f t="shared" si="51"/>
        <v>0</v>
      </c>
      <c r="X103" s="16">
        <f t="shared" si="17"/>
        <v>0</v>
      </c>
      <c r="Y103" s="16">
        <f t="shared" si="18"/>
        <v>0</v>
      </c>
      <c r="Z103" s="31">
        <f t="shared" si="19"/>
        <v>0.02</v>
      </c>
      <c r="AA103" s="16">
        <f t="shared" si="20"/>
        <v>0</v>
      </c>
      <c r="AB103" s="28">
        <f t="shared" si="53"/>
        <v>735944.99999999988</v>
      </c>
      <c r="AC103" s="28">
        <f>(SUM($AC$91:AC102)+SUM($X$91:X102)+X103)*T103*IF(D103=$A$91,SRP_finalmonthfactor,1)</f>
        <v>0</v>
      </c>
      <c r="AD103" s="16">
        <f t="shared" si="21"/>
        <v>-152.05668899174213</v>
      </c>
      <c r="AE103" s="106"/>
      <c r="AF103" s="16">
        <f t="shared" si="52"/>
        <v>727514.31598283013</v>
      </c>
      <c r="AG103" s="16">
        <f t="shared" si="31"/>
        <v>3077.456910774989</v>
      </c>
      <c r="AH103" s="16">
        <f t="shared" si="32"/>
        <v>-701.10175993072187</v>
      </c>
      <c r="AJ103" s="13">
        <f t="shared" si="62"/>
        <v>0</v>
      </c>
      <c r="AK103" s="13">
        <f t="shared" si="62"/>
        <v>1</v>
      </c>
      <c r="AL103" s="13">
        <f t="shared" si="62"/>
        <v>1</v>
      </c>
      <c r="AM103" s="13">
        <f t="shared" si="62"/>
        <v>1</v>
      </c>
      <c r="AN103" s="13">
        <f t="shared" si="62"/>
        <v>1</v>
      </c>
      <c r="AO103" s="13">
        <f t="shared" si="62"/>
        <v>1</v>
      </c>
      <c r="AP103" s="13">
        <f t="shared" si="62"/>
        <v>1</v>
      </c>
      <c r="AQ103" s="13">
        <f t="shared" si="62"/>
        <v>1</v>
      </c>
      <c r="AR103" s="13">
        <f t="shared" si="62"/>
        <v>1</v>
      </c>
      <c r="AS103" s="13">
        <f t="shared" si="62"/>
        <v>1</v>
      </c>
      <c r="AT103" s="13">
        <f t="shared" si="62"/>
        <v>1</v>
      </c>
      <c r="AU103" s="13">
        <f t="shared" si="62"/>
        <v>1</v>
      </c>
      <c r="AV103" s="13">
        <f t="shared" si="23"/>
        <v>1</v>
      </c>
      <c r="AW103" s="13">
        <f t="shared" si="33"/>
        <v>1</v>
      </c>
      <c r="AY103" s="17">
        <f t="shared" si="24"/>
        <v>13</v>
      </c>
      <c r="AZ103" s="28">
        <f t="shared" si="34"/>
        <v>0</v>
      </c>
      <c r="BA103" s="13">
        <f t="shared" si="25"/>
        <v>0</v>
      </c>
      <c r="BB103" s="13">
        <f t="shared" si="26"/>
        <v>0</v>
      </c>
      <c r="BC103" s="28">
        <f t="shared" si="35"/>
        <v>0</v>
      </c>
      <c r="BD103" s="28">
        <f t="shared" si="36"/>
        <v>0</v>
      </c>
      <c r="BF103" s="248">
        <f t="shared" si="37"/>
        <v>739022.45691077493</v>
      </c>
      <c r="BG103" s="36">
        <f t="shared" si="54"/>
        <v>0</v>
      </c>
      <c r="BH103" s="36">
        <f t="shared" si="55"/>
        <v>727514.31598283013</v>
      </c>
      <c r="BI103" s="249">
        <f t="shared" si="56"/>
        <v>4.1816398110932074E-3</v>
      </c>
      <c r="BJ103" s="246">
        <f t="shared" si="57"/>
        <v>2.0857243058891584E-4</v>
      </c>
      <c r="BK103" s="246">
        <f t="shared" si="27"/>
        <v>7.531116566323881E-4</v>
      </c>
      <c r="BL103" s="246">
        <f t="shared" si="58"/>
        <v>0</v>
      </c>
      <c r="BM103" s="246">
        <f t="shared" si="59"/>
        <v>9.6168408722130394E-4</v>
      </c>
      <c r="BN103" s="36">
        <f t="shared" si="44"/>
        <v>701.10175993072176</v>
      </c>
      <c r="BO103" s="36">
        <f t="shared" si="60"/>
        <v>3042.2028268540457</v>
      </c>
      <c r="BP103" s="36">
        <f t="shared" si="61"/>
        <v>729855.41704975348</v>
      </c>
    </row>
    <row r="104" spans="1:68">
      <c r="A104" s="32">
        <f t="shared" si="47"/>
        <v>71</v>
      </c>
      <c r="B104" s="32">
        <f t="shared" si="28"/>
        <v>54</v>
      </c>
      <c r="C104" s="32">
        <f t="shared" si="48"/>
        <v>2</v>
      </c>
      <c r="D104" s="32">
        <f t="shared" si="49"/>
        <v>14</v>
      </c>
      <c r="E104" s="74">
        <f>MIN(IF(AV104=0,0,
IF(Investment_Strategy="DIS",VLOOKUP(Investment_Strategy&amp;"_"&amp;Investment_Strategy_Sub1&amp;"_"&amp;$A104,'Investment Strategies'!$AZ:$BP,12,FALSE),
IF(AND(Investment_Strategy="Lifecycle",Investment_Strategy_Sub1="Non-Standard"),VLOOKUP(Investment_Strategy&amp;"_"&amp;Investment_Strategy_Sub2&amp;"_"&amp;$A104,'Investment Strategies'!$C:$P,9,FALSE),
IF(AND(Investment_Strategy="Lifecycle",Investment_Strategy_Sub1="Standard"),VLOOKUP(Investment_Strategy&amp;"_"&amp;Investment_Strategy_Sub2&amp;"_"&amp;$A104,'Investment Strategies'!$AJ:$AV,8,FALSE),
IF(AND(Investment_Strategy="Autopilot",Investment_Strategy_Sub1="Non-Standard"),VLOOKUP(Investment_Strategy&amp;"_"&amp;Investment_Strategy_Sub2&amp;"_"&amp;$A104,'Investment Strategies'!$T:$AF,8,FALSE),
IF(Investment_Strategy ="DIY",DIY_RateOfReturn_CurrentFunds,
"Error")))))),Max_InvReturn)</f>
        <v>4.1816398110932074E-3</v>
      </c>
      <c r="F104" s="62">
        <f>IF(AV104=0,0,
IF(Investment_Strategy="DIS",VLOOKUP(Investment_Strategy&amp;"_"&amp;Investment_Strategy_Sub1&amp;"_"&amp;$A104,'Investment Strategies'!$AZ:$BP,15,FALSE),
IF(AND(Investment_Strategy="Lifecycle",Investment_Strategy_Sub1="Non-Standard"),VLOOKUP(Investment_Strategy&amp;"_"&amp;Investment_Strategy_Sub2&amp;"_"&amp;$A104,'Investment Strategies'!$C:$P,12,FALSE),
IF(AND(Investment_Strategy="Lifecycle",Investment_Strategy_Sub1="Standard"),VLOOKUP(Investment_Strategy&amp;"_"&amp;Investment_Strategy_Sub2&amp;"_"&amp;$A104,'Investment Strategies'!$AJ:$AV,11,FALSE),
IF(AND(Investment_Strategy="Autopilot",Investment_Strategy_Sub1="Non-Standard"),VLOOKUP(Investment_Strategy&amp;"_"&amp;Investment_Strategy_Sub2&amp;"_"&amp;$A104,'Investment Strategies'!$T:$AF,11,FALSE),
IF(Investment_Strategy="DIY",DIY_GteeChrge_CurrentFunds,
"Error"))))))</f>
        <v>5.4328711526985263E-4</v>
      </c>
      <c r="G104" s="33">
        <f>IF(AV104=0,0,
IF(Investment_Strategy="DIS",VLOOKUP(Investment_Strategy&amp;"_"&amp;Investment_Strategy_Sub1&amp;"_"&amp;$A104,'Investment Strategies'!$AZ:$BP,17,FALSE),
IF(AND(Investment_Strategy="Lifecycle",Investment_Strategy_Sub1="Non-Standard"),VLOOKUP(Investment_Strategy&amp;"_"&amp;Investment_Strategy_Sub2&amp;"_"&amp;$A104,'Investment Strategies'!$C:$P,14,FALSE),
IF(AND(Investment_Strategy="Lifecycle",Investment_Strategy_Sub1="Standard"),VLOOKUP(Investment_Strategy&amp;"_"&amp;Investment_Strategy_Sub2&amp;"_"&amp;$A104,'Investment Strategies'!$AJ:$AV,13,FALSE),
IF(AND(Investment_Strategy="Autopilot",Investment_Strategy_Sub1="Non-Standard"),VLOOKUP(Investment_Strategy&amp;"_"&amp;Investment_Strategy_Sub2&amp;"_"&amp;$A104,'Investment Strategies'!$T:$AF,13,FALSE),
IF(Investment_Strategy="DIY",DIY_ExtManChrge_CurrentFunds,
"Error"))))))</f>
        <v>2.0857243058891584E-4</v>
      </c>
      <c r="H104" s="16">
        <f t="shared" si="30"/>
        <v>0</v>
      </c>
      <c r="I104" s="16">
        <f t="shared" si="13"/>
        <v>0</v>
      </c>
      <c r="J104" s="16">
        <f t="shared" si="14"/>
        <v>0</v>
      </c>
      <c r="K104" s="16">
        <f>(Opening_Fund_Value+SUM(K$91:K103))*E104*IF(D104=$A$91,SRP_finalmonthfactor,1)</f>
        <v>0</v>
      </c>
      <c r="L104" s="74">
        <f>MIN(IF($AV104=0,0,
IF(Investment_Strategy="DIS",VLOOKUP(Investment_Strategy&amp;"_"&amp;Investment_Strategy_Sub1&amp;"_"&amp;$A104,'Investment Strategies'!$AZ:$BP,12,FALSE),
IF(AND(Investment_Strategy="Lifecycle",Investment_Strategy_Sub1="Non-Standard"),VLOOKUP(Investment_Strategy&amp;"_"&amp;Investment_Strategy_Sub2&amp;"_"&amp;$A104,'Investment Strategies'!$C:$P,9,FALSE),
IF(AND(Investment_Strategy="Lifecycle",Investment_Strategy_Sub1="Standard"),VLOOKUP(Investment_Strategy&amp;"_"&amp;Investment_Strategy_Sub2&amp;"_"&amp;$A104,'Investment Strategies'!$AJ:$AV,8,FALSE),
IF(AND(Investment_Strategy="Autopilot",Investment_Strategy_Sub1="Non-Standard"),VLOOKUP(Investment_Strategy&amp;"_"&amp;Investment_Strategy_Sub2&amp;"_"&amp;$A104,'Investment Strategies'!$T:$AF,8,FALSE),
IF(Investment_Strategy ="DIY",DIY_RateofReturn_SP,
"Error")))))),Max_InvReturn)</f>
        <v>4.1816398110932074E-3</v>
      </c>
      <c r="M104" s="62">
        <f>IF($AV104=0,0,
IF(Investment_Strategy="DIS",VLOOKUP(Investment_Strategy&amp;"_"&amp;Investment_Strategy_Sub1&amp;"_"&amp;$A104,'Investment Strategies'!$AZ:$BP,15,FALSE),
IF(AND(Investment_Strategy="Lifecycle",Investment_Strategy_Sub1="Non-Standard"),VLOOKUP(Investment_Strategy&amp;"_"&amp;Investment_Strategy_Sub2&amp;"_"&amp;$A104,'Investment Strategies'!$C:$P,12,FALSE),
IF(AND(Investment_Strategy="Lifecycle",Investment_Strategy_Sub1="Standard"),VLOOKUP(Investment_Strategy&amp;"_"&amp;Investment_Strategy_Sub2&amp;"_"&amp;$A104,'Investment Strategies'!$AJ:$AV,11,FALSE),
IF(AND(Investment_Strategy="Autopilot",Investment_Strategy_Sub1="Non-Standard"),VLOOKUP(Investment_Strategy&amp;"_"&amp;Investment_Strategy_Sub2&amp;"_"&amp;$A104,'Investment Strategies'!$T:$AF,11,FALSE),
IF(Investment_Strategy="DIY",DIY_GteeChrge_SP,
"Error"))))))</f>
        <v>0</v>
      </c>
      <c r="N104" s="33">
        <f>IF($AV104=0,0,
IF(Investment_Strategy="DIS",VLOOKUP(Investment_Strategy&amp;"_"&amp;Investment_Strategy_Sub1&amp;"_"&amp;$A104,'Investment Strategies'!$AZ:$BP,17,FALSE),
IF(AND(Investment_Strategy="Lifecycle",Investment_Strategy_Sub1="Non-Standard"),VLOOKUP(Investment_Strategy&amp;"_"&amp;Investment_Strategy_Sub2&amp;"_"&amp;$A104,'Investment Strategies'!$C:$P,14,FALSE),
IF(AND(Investment_Strategy="Lifecycle",Investment_Strategy_Sub1="Standard"),VLOOKUP(Investment_Strategy&amp;"_"&amp;Investment_Strategy_Sub2&amp;"_"&amp;$A104,'Investment Strategies'!$AJ:$AV,13,FALSE),
IF(AND(Investment_Strategy="Autopilot",Investment_Strategy_Sub1="Non-Standard"),VLOOKUP(Investment_Strategy&amp;"_"&amp;Investment_Strategy_Sub2&amp;"_"&amp;$A104,'Investment Strategies'!$T:$AF,13,FALSE),
IF(Investment_Strategy="DIY",DIY_ExtManChrge_SP,
"Error"))))))</f>
        <v>2.0857243058891584E-4</v>
      </c>
      <c r="O104" s="16">
        <f t="shared" si="50"/>
        <v>729855.41704975348</v>
      </c>
      <c r="Q104" s="16">
        <f t="shared" si="15"/>
        <v>3051.9924682772853</v>
      </c>
      <c r="R104" s="16">
        <f t="shared" si="16"/>
        <v>-703.35786684454706</v>
      </c>
      <c r="S104" s="16">
        <f>(SRP_SP+SUM(S$91:S103))*L104*IF(D104=$A$91,SRP_finalmonthfactor,1)</f>
        <v>3090.3257271100097</v>
      </c>
      <c r="T104" s="74">
        <f>MIN(IF($AV104=0,0,
IF(Investment_Strategy="DIS",VLOOKUP(Investment_Strategy&amp;"_"&amp;Investment_Strategy_Sub1&amp;"_"&amp;$A104,'Investment Strategies'!$AZ:$BP,12,FALSE),
IF(AND(Investment_Strategy="Lifecycle",Investment_Strategy_Sub1="Non-Standard"),VLOOKUP(Investment_Strategy&amp;"_"&amp;Investment_Strategy_Sub2&amp;"_"&amp;$A104,'Investment Strategies'!$C:$P,9,FALSE),
IF(AND(Investment_Strategy="Lifecycle",Investment_Strategy_Sub1="Standard"),VLOOKUP(Investment_Strategy&amp;"_"&amp;Investment_Strategy_Sub2&amp;"_"&amp;$A104,'Investment Strategies'!$AJ:$AV,8,FALSE),
IF(AND(Investment_Strategy="Autopilot",Investment_Strategy_Sub1="Non-Standard"),VLOOKUP(Investment_Strategy&amp;"_"&amp;Investment_Strategy_Sub2&amp;"_"&amp;$A104,'Investment Strategies'!$T:$AF,8,FALSE),
IF(Investment_Strategy ="DIY",DIY_RateOfReturn_FuturePremiums,
"Error")))))),Max_InvReturn)</f>
        <v>4.1816398110932074E-3</v>
      </c>
      <c r="U104" s="62">
        <f>IF($AV104=0,0,
IF(Investment_Strategy="DIS",VLOOKUP(Investment_Strategy&amp;"_"&amp;Investment_Strategy_Sub1&amp;"_"&amp;$A104,'Investment Strategies'!$AZ:$BP,15,FALSE),
IF(AND(Investment_Strategy="Lifecycle",Investment_Strategy_Sub1="Non-Standard"),VLOOKUP(Investment_Strategy&amp;"_"&amp;Investment_Strategy_Sub2&amp;"_"&amp;$A104,'Investment Strategies'!$C:$P,12,FALSE),
IF(AND(Investment_Strategy="Lifecycle",Investment_Strategy_Sub1="Standard"),VLOOKUP(Investment_Strategy&amp;"_"&amp;Investment_Strategy_Sub2&amp;"_"&amp;$A104,'Investment Strategies'!$AJ:$AV,11,FALSE),
IF(AND(Investment_Strategy="Autopilot",Investment_Strategy_Sub1="Non-Standard"),VLOOKUP(Investment_Strategy&amp;"_"&amp;Investment_Strategy_Sub2&amp;"_"&amp;$A104,'Investment Strategies'!$T:$AF,11,FALSE),
IF(Investment_Strategy="DIY",DIY_GteeChrge_FuturePremiums,
"Error"))))))</f>
        <v>0</v>
      </c>
      <c r="V104" s="33">
        <f>IF(AV104=0,0,
IF(Investment_Strategy="DIS",VLOOKUP(Investment_Strategy&amp;"_"&amp;Investment_Strategy_Sub1&amp;"_"&amp;$A104,'Investment Strategies'!$AZ:$BP,17,FALSE),
IF(AND(Investment_Strategy="Lifecycle",Investment_Strategy_Sub1="Non-Standard"),VLOOKUP(Investment_Strategy&amp;"_"&amp;Investment_Strategy_Sub2&amp;"_"&amp;$A104,'Investment Strategies'!$C:$P,14,FALSE),
IF(AND(Investment_Strategy="Lifecycle",Investment_Strategy_Sub1="Standard"),VLOOKUP(Investment_Strategy&amp;"_"&amp;Investment_Strategy_Sub2&amp;"_"&amp;$A104,'Investment Strategies'!$AJ:$AV,13,FALSE),
IF(AND(Investment_Strategy="Autopilot",Investment_Strategy_Sub1="Non-Standard"),VLOOKUP(Investment_Strategy&amp;"_"&amp;Investment_Strategy_Sub2&amp;"_"&amp;$A104,'Investment Strategies'!$T:$AF,13,FALSE),
IF(Investment_Strategy="DIY",DIY_ExtManChrge_FuturePremiums,
"Error"))))))</f>
        <v>1.2508601994698498E-4</v>
      </c>
      <c r="W104" s="16">
        <f t="shared" si="51"/>
        <v>0</v>
      </c>
      <c r="X104" s="16">
        <f t="shared" si="17"/>
        <v>0</v>
      </c>
      <c r="Y104" s="16">
        <f t="shared" si="18"/>
        <v>0</v>
      </c>
      <c r="Z104" s="31">
        <f t="shared" si="19"/>
        <v>0.02</v>
      </c>
      <c r="AA104" s="16">
        <f t="shared" si="20"/>
        <v>0</v>
      </c>
      <c r="AB104" s="28">
        <f t="shared" si="53"/>
        <v>739022.45691077493</v>
      </c>
      <c r="AC104" s="28">
        <f>(SUM($AC$91:AC103)+SUM($X$91:X103)+X104)*T104*IF(D104=$A$91,SRP_finalmonthfactor,1)</f>
        <v>0</v>
      </c>
      <c r="AD104" s="16">
        <f t="shared" si="21"/>
        <v>-152.54599905617775</v>
      </c>
      <c r="AE104" s="106"/>
      <c r="AF104" s="16">
        <f t="shared" si="52"/>
        <v>729855.41704975348</v>
      </c>
      <c r="AG104" s="16">
        <f t="shared" si="31"/>
        <v>3090.3257271100097</v>
      </c>
      <c r="AH104" s="16">
        <f t="shared" si="32"/>
        <v>-703.35786684454706</v>
      </c>
      <c r="AJ104" s="13">
        <f t="shared" si="62"/>
        <v>0</v>
      </c>
      <c r="AK104" s="13">
        <f t="shared" si="62"/>
        <v>1</v>
      </c>
      <c r="AL104" s="13">
        <f t="shared" si="62"/>
        <v>1</v>
      </c>
      <c r="AM104" s="13">
        <f t="shared" si="62"/>
        <v>1</v>
      </c>
      <c r="AN104" s="13">
        <f t="shared" si="62"/>
        <v>1</v>
      </c>
      <c r="AO104" s="13">
        <f t="shared" si="62"/>
        <v>1</v>
      </c>
      <c r="AP104" s="13">
        <f t="shared" si="62"/>
        <v>1</v>
      </c>
      <c r="AQ104" s="13">
        <f t="shared" si="62"/>
        <v>1</v>
      </c>
      <c r="AR104" s="13">
        <f t="shared" si="62"/>
        <v>1</v>
      </c>
      <c r="AS104" s="13">
        <f t="shared" si="62"/>
        <v>1</v>
      </c>
      <c r="AT104" s="13">
        <f t="shared" si="62"/>
        <v>1</v>
      </c>
      <c r="AU104" s="13">
        <f t="shared" si="62"/>
        <v>1</v>
      </c>
      <c r="AV104" s="13">
        <f t="shared" si="23"/>
        <v>1</v>
      </c>
      <c r="AW104" s="13">
        <f t="shared" si="33"/>
        <v>1</v>
      </c>
      <c r="AY104" s="17">
        <f t="shared" si="24"/>
        <v>14</v>
      </c>
      <c r="AZ104" s="28">
        <f t="shared" si="34"/>
        <v>0</v>
      </c>
      <c r="BA104" s="13">
        <f t="shared" si="25"/>
        <v>0</v>
      </c>
      <c r="BB104" s="13">
        <f t="shared" si="26"/>
        <v>0</v>
      </c>
      <c r="BC104" s="28">
        <f t="shared" si="35"/>
        <v>0</v>
      </c>
      <c r="BD104" s="28">
        <f t="shared" si="36"/>
        <v>0</v>
      </c>
      <c r="BF104" s="248">
        <f t="shared" si="37"/>
        <v>742112.78263788496</v>
      </c>
      <c r="BG104" s="36">
        <f t="shared" si="54"/>
        <v>0</v>
      </c>
      <c r="BH104" s="36">
        <f t="shared" si="55"/>
        <v>729855.41704975348</v>
      </c>
      <c r="BI104" s="249">
        <f t="shared" si="56"/>
        <v>4.1816398110932074E-3</v>
      </c>
      <c r="BJ104" s="246">
        <f t="shared" si="57"/>
        <v>2.0857243058891584E-4</v>
      </c>
      <c r="BK104" s="246">
        <f t="shared" si="27"/>
        <v>7.531116566323881E-4</v>
      </c>
      <c r="BL104" s="246">
        <f t="shared" si="58"/>
        <v>0</v>
      </c>
      <c r="BM104" s="246">
        <f t="shared" si="59"/>
        <v>9.6168408722130394E-4</v>
      </c>
      <c r="BN104" s="36">
        <f t="shared" si="44"/>
        <v>703.35786684454706</v>
      </c>
      <c r="BO104" s="36">
        <f t="shared" si="60"/>
        <v>3051.9924682772853</v>
      </c>
      <c r="BP104" s="36">
        <f t="shared" si="61"/>
        <v>732204.05165118631</v>
      </c>
    </row>
    <row r="105" spans="1:68">
      <c r="A105" s="32">
        <f t="shared" si="47"/>
        <v>70</v>
      </c>
      <c r="B105" s="32">
        <f t="shared" si="28"/>
        <v>54</v>
      </c>
      <c r="C105" s="32">
        <f t="shared" si="48"/>
        <v>2</v>
      </c>
      <c r="D105" s="32">
        <f t="shared" si="49"/>
        <v>15</v>
      </c>
      <c r="E105" s="74">
        <f>MIN(IF(AV105=0,0,
IF(Investment_Strategy="DIS",VLOOKUP(Investment_Strategy&amp;"_"&amp;Investment_Strategy_Sub1&amp;"_"&amp;$A105,'Investment Strategies'!$AZ:$BP,12,FALSE),
IF(AND(Investment_Strategy="Lifecycle",Investment_Strategy_Sub1="Non-Standard"),VLOOKUP(Investment_Strategy&amp;"_"&amp;Investment_Strategy_Sub2&amp;"_"&amp;$A105,'Investment Strategies'!$C:$P,9,FALSE),
IF(AND(Investment_Strategy="Lifecycle",Investment_Strategy_Sub1="Standard"),VLOOKUP(Investment_Strategy&amp;"_"&amp;Investment_Strategy_Sub2&amp;"_"&amp;$A105,'Investment Strategies'!$AJ:$AV,8,FALSE),
IF(AND(Investment_Strategy="Autopilot",Investment_Strategy_Sub1="Non-Standard"),VLOOKUP(Investment_Strategy&amp;"_"&amp;Investment_Strategy_Sub2&amp;"_"&amp;$A105,'Investment Strategies'!$T:$AF,8,FALSE),
IF(Investment_Strategy ="DIY",DIY_RateOfReturn_CurrentFunds,
"Error")))))),Max_InvReturn)</f>
        <v>4.1816398110932074E-3</v>
      </c>
      <c r="F105" s="62">
        <f>IF(AV105=0,0,
IF(Investment_Strategy="DIS",VLOOKUP(Investment_Strategy&amp;"_"&amp;Investment_Strategy_Sub1&amp;"_"&amp;$A105,'Investment Strategies'!$AZ:$BP,15,FALSE),
IF(AND(Investment_Strategy="Lifecycle",Investment_Strategy_Sub1="Non-Standard"),VLOOKUP(Investment_Strategy&amp;"_"&amp;Investment_Strategy_Sub2&amp;"_"&amp;$A105,'Investment Strategies'!$C:$P,12,FALSE),
IF(AND(Investment_Strategy="Lifecycle",Investment_Strategy_Sub1="Standard"),VLOOKUP(Investment_Strategy&amp;"_"&amp;Investment_Strategy_Sub2&amp;"_"&amp;$A105,'Investment Strategies'!$AJ:$AV,11,FALSE),
IF(AND(Investment_Strategy="Autopilot",Investment_Strategy_Sub1="Non-Standard"),VLOOKUP(Investment_Strategy&amp;"_"&amp;Investment_Strategy_Sub2&amp;"_"&amp;$A105,'Investment Strategies'!$T:$AF,11,FALSE),
IF(Investment_Strategy="DIY",DIY_GteeChrge_CurrentFunds,
"Error"))))))</f>
        <v>5.4328711526985263E-4</v>
      </c>
      <c r="G105" s="33">
        <f>IF(AV105=0,0,
IF(Investment_Strategy="DIS",VLOOKUP(Investment_Strategy&amp;"_"&amp;Investment_Strategy_Sub1&amp;"_"&amp;$A105,'Investment Strategies'!$AZ:$BP,17,FALSE),
IF(AND(Investment_Strategy="Lifecycle",Investment_Strategy_Sub1="Non-Standard"),VLOOKUP(Investment_Strategy&amp;"_"&amp;Investment_Strategy_Sub2&amp;"_"&amp;$A105,'Investment Strategies'!$C:$P,14,FALSE),
IF(AND(Investment_Strategy="Lifecycle",Investment_Strategy_Sub1="Standard"),VLOOKUP(Investment_Strategy&amp;"_"&amp;Investment_Strategy_Sub2&amp;"_"&amp;$A105,'Investment Strategies'!$AJ:$AV,13,FALSE),
IF(AND(Investment_Strategy="Autopilot",Investment_Strategy_Sub1="Non-Standard"),VLOOKUP(Investment_Strategy&amp;"_"&amp;Investment_Strategy_Sub2&amp;"_"&amp;$A105,'Investment Strategies'!$T:$AF,13,FALSE),
IF(Investment_Strategy="DIY",DIY_ExtManChrge_CurrentFunds,
"Error"))))))</f>
        <v>2.0857243058891584E-4</v>
      </c>
      <c r="H105" s="16">
        <f t="shared" si="30"/>
        <v>0</v>
      </c>
      <c r="I105" s="16">
        <f t="shared" si="13"/>
        <v>0</v>
      </c>
      <c r="J105" s="16">
        <f t="shared" si="14"/>
        <v>0</v>
      </c>
      <c r="K105" s="16">
        <f>(Opening_Fund_Value+SUM(K$91:K104))*E105*IF(D105=$A$91,SRP_finalmonthfactor,1)</f>
        <v>0</v>
      </c>
      <c r="L105" s="74">
        <f>MIN(IF($AV105=0,0,
IF(Investment_Strategy="DIS",VLOOKUP(Investment_Strategy&amp;"_"&amp;Investment_Strategy_Sub1&amp;"_"&amp;$A105,'Investment Strategies'!$AZ:$BP,12,FALSE),
IF(AND(Investment_Strategy="Lifecycle",Investment_Strategy_Sub1="Non-Standard"),VLOOKUP(Investment_Strategy&amp;"_"&amp;Investment_Strategy_Sub2&amp;"_"&amp;$A105,'Investment Strategies'!$C:$P,9,FALSE),
IF(AND(Investment_Strategy="Lifecycle",Investment_Strategy_Sub1="Standard"),VLOOKUP(Investment_Strategy&amp;"_"&amp;Investment_Strategy_Sub2&amp;"_"&amp;$A105,'Investment Strategies'!$AJ:$AV,8,FALSE),
IF(AND(Investment_Strategy="Autopilot",Investment_Strategy_Sub1="Non-Standard"),VLOOKUP(Investment_Strategy&amp;"_"&amp;Investment_Strategy_Sub2&amp;"_"&amp;$A105,'Investment Strategies'!$T:$AF,8,FALSE),
IF(Investment_Strategy ="DIY",DIY_RateofReturn_SP,
"Error")))))),Max_InvReturn)</f>
        <v>4.1816398110932074E-3</v>
      </c>
      <c r="M105" s="62">
        <f>IF($AV105=0,0,
IF(Investment_Strategy="DIS",VLOOKUP(Investment_Strategy&amp;"_"&amp;Investment_Strategy_Sub1&amp;"_"&amp;$A105,'Investment Strategies'!$AZ:$BP,15,FALSE),
IF(AND(Investment_Strategy="Lifecycle",Investment_Strategy_Sub1="Non-Standard"),VLOOKUP(Investment_Strategy&amp;"_"&amp;Investment_Strategy_Sub2&amp;"_"&amp;$A105,'Investment Strategies'!$C:$P,12,FALSE),
IF(AND(Investment_Strategy="Lifecycle",Investment_Strategy_Sub1="Standard"),VLOOKUP(Investment_Strategy&amp;"_"&amp;Investment_Strategy_Sub2&amp;"_"&amp;$A105,'Investment Strategies'!$AJ:$AV,11,FALSE),
IF(AND(Investment_Strategy="Autopilot",Investment_Strategy_Sub1="Non-Standard"),VLOOKUP(Investment_Strategy&amp;"_"&amp;Investment_Strategy_Sub2&amp;"_"&amp;$A105,'Investment Strategies'!$T:$AF,11,FALSE),
IF(Investment_Strategy="DIY",DIY_GteeChrge_SP,
"Error"))))))</f>
        <v>0</v>
      </c>
      <c r="N105" s="33">
        <f>IF($AV105=0,0,
IF(Investment_Strategy="DIS",VLOOKUP(Investment_Strategy&amp;"_"&amp;Investment_Strategy_Sub1&amp;"_"&amp;$A105,'Investment Strategies'!$AZ:$BP,17,FALSE),
IF(AND(Investment_Strategy="Lifecycle",Investment_Strategy_Sub1="Non-Standard"),VLOOKUP(Investment_Strategy&amp;"_"&amp;Investment_Strategy_Sub2&amp;"_"&amp;$A105,'Investment Strategies'!$C:$P,14,FALSE),
IF(AND(Investment_Strategy="Lifecycle",Investment_Strategy_Sub1="Standard"),VLOOKUP(Investment_Strategy&amp;"_"&amp;Investment_Strategy_Sub2&amp;"_"&amp;$A105,'Investment Strategies'!$AJ:$AV,13,FALSE),
IF(AND(Investment_Strategy="Autopilot",Investment_Strategy_Sub1="Non-Standard"),VLOOKUP(Investment_Strategy&amp;"_"&amp;Investment_Strategy_Sub2&amp;"_"&amp;$A105,'Investment Strategies'!$T:$AF,13,FALSE),
IF(Investment_Strategy="DIY",DIY_ExtManChrge_SP,
"Error"))))))</f>
        <v>2.0857243058891584E-4</v>
      </c>
      <c r="O105" s="16">
        <f t="shared" si="50"/>
        <v>732204.05165118631</v>
      </c>
      <c r="Q105" s="16">
        <f t="shared" si="15"/>
        <v>3061.8136122283477</v>
      </c>
      <c r="R105" s="16">
        <f t="shared" si="16"/>
        <v>-705.62123378637034</v>
      </c>
      <c r="S105" s="16">
        <f>(SRP_SP+SUM(S$91:S104))*L105*IF(D105=$A$91,SRP_finalmonthfactor,1)</f>
        <v>3103.2483561997387</v>
      </c>
      <c r="T105" s="74">
        <f>MIN(IF($AV105=0,0,
IF(Investment_Strategy="DIS",VLOOKUP(Investment_Strategy&amp;"_"&amp;Investment_Strategy_Sub1&amp;"_"&amp;$A105,'Investment Strategies'!$AZ:$BP,12,FALSE),
IF(AND(Investment_Strategy="Lifecycle",Investment_Strategy_Sub1="Non-Standard"),VLOOKUP(Investment_Strategy&amp;"_"&amp;Investment_Strategy_Sub2&amp;"_"&amp;$A105,'Investment Strategies'!$C:$P,9,FALSE),
IF(AND(Investment_Strategy="Lifecycle",Investment_Strategy_Sub1="Standard"),VLOOKUP(Investment_Strategy&amp;"_"&amp;Investment_Strategy_Sub2&amp;"_"&amp;$A105,'Investment Strategies'!$AJ:$AV,8,FALSE),
IF(AND(Investment_Strategy="Autopilot",Investment_Strategy_Sub1="Non-Standard"),VLOOKUP(Investment_Strategy&amp;"_"&amp;Investment_Strategy_Sub2&amp;"_"&amp;$A105,'Investment Strategies'!$T:$AF,8,FALSE),
IF(Investment_Strategy ="DIY",DIY_RateOfReturn_FuturePremiums,
"Error")))))),Max_InvReturn)</f>
        <v>4.1816398110932074E-3</v>
      </c>
      <c r="U105" s="62">
        <f>IF($AV105=0,0,
IF(Investment_Strategy="DIS",VLOOKUP(Investment_Strategy&amp;"_"&amp;Investment_Strategy_Sub1&amp;"_"&amp;$A105,'Investment Strategies'!$AZ:$BP,15,FALSE),
IF(AND(Investment_Strategy="Lifecycle",Investment_Strategy_Sub1="Non-Standard"),VLOOKUP(Investment_Strategy&amp;"_"&amp;Investment_Strategy_Sub2&amp;"_"&amp;$A105,'Investment Strategies'!$C:$P,12,FALSE),
IF(AND(Investment_Strategy="Lifecycle",Investment_Strategy_Sub1="Standard"),VLOOKUP(Investment_Strategy&amp;"_"&amp;Investment_Strategy_Sub2&amp;"_"&amp;$A105,'Investment Strategies'!$AJ:$AV,11,FALSE),
IF(AND(Investment_Strategy="Autopilot",Investment_Strategy_Sub1="Non-Standard"),VLOOKUP(Investment_Strategy&amp;"_"&amp;Investment_Strategy_Sub2&amp;"_"&amp;$A105,'Investment Strategies'!$T:$AF,11,FALSE),
IF(Investment_Strategy="DIY",DIY_GteeChrge_FuturePremiums,
"Error"))))))</f>
        <v>0</v>
      </c>
      <c r="V105" s="33">
        <f>IF(AV105=0,0,
IF(Investment_Strategy="DIS",VLOOKUP(Investment_Strategy&amp;"_"&amp;Investment_Strategy_Sub1&amp;"_"&amp;$A105,'Investment Strategies'!$AZ:$BP,17,FALSE),
IF(AND(Investment_Strategy="Lifecycle",Investment_Strategy_Sub1="Non-Standard"),VLOOKUP(Investment_Strategy&amp;"_"&amp;Investment_Strategy_Sub2&amp;"_"&amp;$A105,'Investment Strategies'!$C:$P,14,FALSE),
IF(AND(Investment_Strategy="Lifecycle",Investment_Strategy_Sub1="Standard"),VLOOKUP(Investment_Strategy&amp;"_"&amp;Investment_Strategy_Sub2&amp;"_"&amp;$A105,'Investment Strategies'!$AJ:$AV,13,FALSE),
IF(AND(Investment_Strategy="Autopilot",Investment_Strategy_Sub1="Non-Standard"),VLOOKUP(Investment_Strategy&amp;"_"&amp;Investment_Strategy_Sub2&amp;"_"&amp;$A105,'Investment Strategies'!$T:$AF,13,FALSE),
IF(Investment_Strategy="DIY",DIY_ExtManChrge_FuturePremiums,
"Error"))))))</f>
        <v>1.2508601994698498E-4</v>
      </c>
      <c r="W105" s="16">
        <f t="shared" si="51"/>
        <v>0</v>
      </c>
      <c r="X105" s="16">
        <f t="shared" si="17"/>
        <v>0</v>
      </c>
      <c r="Y105" s="16">
        <f t="shared" si="18"/>
        <v>0</v>
      </c>
      <c r="Z105" s="31">
        <f t="shared" si="19"/>
        <v>0.02</v>
      </c>
      <c r="AA105" s="16">
        <f t="shared" si="20"/>
        <v>0</v>
      </c>
      <c r="AB105" s="28">
        <f t="shared" si="53"/>
        <v>742112.78263788496</v>
      </c>
      <c r="AC105" s="28">
        <f>(SUM($AC$91:AC104)+SUM($X$91:X104)+X105)*T105*IF(D105=$A$91,SRP_finalmonthfactor,1)</f>
        <v>0</v>
      </c>
      <c r="AD105" s="16">
        <f t="shared" si="21"/>
        <v>-153.03688369349635</v>
      </c>
      <c r="AE105" s="106"/>
      <c r="AF105" s="16">
        <f t="shared" si="52"/>
        <v>732204.05165118631</v>
      </c>
      <c r="AG105" s="16">
        <f t="shared" si="31"/>
        <v>3103.2483561997387</v>
      </c>
      <c r="AH105" s="16">
        <f t="shared" si="32"/>
        <v>-705.62123378637034</v>
      </c>
      <c r="AJ105" s="13">
        <f t="shared" si="62"/>
        <v>0</v>
      </c>
      <c r="AK105" s="13">
        <f t="shared" si="62"/>
        <v>1</v>
      </c>
      <c r="AL105" s="13">
        <f t="shared" si="62"/>
        <v>1</v>
      </c>
      <c r="AM105" s="13">
        <f t="shared" si="62"/>
        <v>1</v>
      </c>
      <c r="AN105" s="13">
        <f t="shared" si="62"/>
        <v>1</v>
      </c>
      <c r="AO105" s="13">
        <f t="shared" si="62"/>
        <v>1</v>
      </c>
      <c r="AP105" s="13">
        <f t="shared" si="62"/>
        <v>1</v>
      </c>
      <c r="AQ105" s="13">
        <f t="shared" si="62"/>
        <v>1</v>
      </c>
      <c r="AR105" s="13">
        <f t="shared" si="62"/>
        <v>1</v>
      </c>
      <c r="AS105" s="13">
        <f t="shared" si="62"/>
        <v>1</v>
      </c>
      <c r="AT105" s="13">
        <f t="shared" si="62"/>
        <v>1</v>
      </c>
      <c r="AU105" s="13">
        <f t="shared" si="62"/>
        <v>1</v>
      </c>
      <c r="AV105" s="13">
        <f t="shared" si="23"/>
        <v>1</v>
      </c>
      <c r="AW105" s="13">
        <f t="shared" si="33"/>
        <v>1</v>
      </c>
      <c r="AY105" s="17">
        <f t="shared" si="24"/>
        <v>15</v>
      </c>
      <c r="AZ105" s="28">
        <f t="shared" si="34"/>
        <v>0</v>
      </c>
      <c r="BA105" s="13">
        <f t="shared" si="25"/>
        <v>0</v>
      </c>
      <c r="BB105" s="13">
        <f t="shared" si="26"/>
        <v>0</v>
      </c>
      <c r="BC105" s="28">
        <f t="shared" si="35"/>
        <v>0</v>
      </c>
      <c r="BD105" s="28">
        <f t="shared" si="36"/>
        <v>0</v>
      </c>
      <c r="BF105" s="248">
        <f t="shared" si="37"/>
        <v>745216.03099408466</v>
      </c>
      <c r="BG105" s="36">
        <f t="shared" si="54"/>
        <v>0</v>
      </c>
      <c r="BH105" s="36">
        <f t="shared" si="55"/>
        <v>732204.05165118631</v>
      </c>
      <c r="BI105" s="249">
        <f t="shared" si="56"/>
        <v>4.1816398110932074E-3</v>
      </c>
      <c r="BJ105" s="246">
        <f t="shared" si="57"/>
        <v>2.0857243058891584E-4</v>
      </c>
      <c r="BK105" s="246">
        <f t="shared" si="27"/>
        <v>7.531116566323881E-4</v>
      </c>
      <c r="BL105" s="246">
        <f t="shared" si="58"/>
        <v>0</v>
      </c>
      <c r="BM105" s="246">
        <f t="shared" si="59"/>
        <v>9.6168408722130394E-4</v>
      </c>
      <c r="BN105" s="36">
        <f t="shared" si="44"/>
        <v>705.62123378637034</v>
      </c>
      <c r="BO105" s="36">
        <f t="shared" si="60"/>
        <v>3061.8136122283477</v>
      </c>
      <c r="BP105" s="36">
        <f t="shared" si="61"/>
        <v>734560.24402962835</v>
      </c>
    </row>
    <row r="106" spans="1:68">
      <c r="A106" s="32">
        <f t="shared" si="47"/>
        <v>69</v>
      </c>
      <c r="B106" s="32">
        <f t="shared" si="28"/>
        <v>54</v>
      </c>
      <c r="C106" s="32">
        <f t="shared" si="48"/>
        <v>2</v>
      </c>
      <c r="D106" s="32">
        <f t="shared" si="49"/>
        <v>16</v>
      </c>
      <c r="E106" s="74">
        <f>MIN(IF(AV106=0,0,
IF(Investment_Strategy="DIS",VLOOKUP(Investment_Strategy&amp;"_"&amp;Investment_Strategy_Sub1&amp;"_"&amp;$A106,'Investment Strategies'!$AZ:$BP,12,FALSE),
IF(AND(Investment_Strategy="Lifecycle",Investment_Strategy_Sub1="Non-Standard"),VLOOKUP(Investment_Strategy&amp;"_"&amp;Investment_Strategy_Sub2&amp;"_"&amp;$A106,'Investment Strategies'!$C:$P,9,FALSE),
IF(AND(Investment_Strategy="Lifecycle",Investment_Strategy_Sub1="Standard"),VLOOKUP(Investment_Strategy&amp;"_"&amp;Investment_Strategy_Sub2&amp;"_"&amp;$A106,'Investment Strategies'!$AJ:$AV,8,FALSE),
IF(AND(Investment_Strategy="Autopilot",Investment_Strategy_Sub1="Non-Standard"),VLOOKUP(Investment_Strategy&amp;"_"&amp;Investment_Strategy_Sub2&amp;"_"&amp;$A106,'Investment Strategies'!$T:$AF,8,FALSE),
IF(Investment_Strategy ="DIY",DIY_RateOfReturn_CurrentFunds,
"Error")))))),Max_InvReturn)</f>
        <v>4.1816398110932074E-3</v>
      </c>
      <c r="F106" s="62">
        <f>IF(AV106=0,0,
IF(Investment_Strategy="DIS",VLOOKUP(Investment_Strategy&amp;"_"&amp;Investment_Strategy_Sub1&amp;"_"&amp;$A106,'Investment Strategies'!$AZ:$BP,15,FALSE),
IF(AND(Investment_Strategy="Lifecycle",Investment_Strategy_Sub1="Non-Standard"),VLOOKUP(Investment_Strategy&amp;"_"&amp;Investment_Strategy_Sub2&amp;"_"&amp;$A106,'Investment Strategies'!$C:$P,12,FALSE),
IF(AND(Investment_Strategy="Lifecycle",Investment_Strategy_Sub1="Standard"),VLOOKUP(Investment_Strategy&amp;"_"&amp;Investment_Strategy_Sub2&amp;"_"&amp;$A106,'Investment Strategies'!$AJ:$AV,11,FALSE),
IF(AND(Investment_Strategy="Autopilot",Investment_Strategy_Sub1="Non-Standard"),VLOOKUP(Investment_Strategy&amp;"_"&amp;Investment_Strategy_Sub2&amp;"_"&amp;$A106,'Investment Strategies'!$T:$AF,11,FALSE),
IF(Investment_Strategy="DIY",DIY_GteeChrge_CurrentFunds,
"Error"))))))</f>
        <v>5.4328711526985263E-4</v>
      </c>
      <c r="G106" s="33">
        <f>IF(AV106=0,0,
IF(Investment_Strategy="DIS",VLOOKUP(Investment_Strategy&amp;"_"&amp;Investment_Strategy_Sub1&amp;"_"&amp;$A106,'Investment Strategies'!$AZ:$BP,17,FALSE),
IF(AND(Investment_Strategy="Lifecycle",Investment_Strategy_Sub1="Non-Standard"),VLOOKUP(Investment_Strategy&amp;"_"&amp;Investment_Strategy_Sub2&amp;"_"&amp;$A106,'Investment Strategies'!$C:$P,14,FALSE),
IF(AND(Investment_Strategy="Lifecycle",Investment_Strategy_Sub1="Standard"),VLOOKUP(Investment_Strategy&amp;"_"&amp;Investment_Strategy_Sub2&amp;"_"&amp;$A106,'Investment Strategies'!$AJ:$AV,13,FALSE),
IF(AND(Investment_Strategy="Autopilot",Investment_Strategy_Sub1="Non-Standard"),VLOOKUP(Investment_Strategy&amp;"_"&amp;Investment_Strategy_Sub2&amp;"_"&amp;$A106,'Investment Strategies'!$T:$AF,13,FALSE),
IF(Investment_Strategy="DIY",DIY_ExtManChrge_CurrentFunds,
"Error"))))))</f>
        <v>2.0857243058891584E-4</v>
      </c>
      <c r="H106" s="16">
        <f t="shared" si="30"/>
        <v>0</v>
      </c>
      <c r="I106" s="16">
        <f t="shared" si="13"/>
        <v>0</v>
      </c>
      <c r="J106" s="16">
        <f t="shared" si="14"/>
        <v>0</v>
      </c>
      <c r="K106" s="16">
        <f>(Opening_Fund_Value+SUM(K$91:K105))*E106*IF(D106=$A$91,SRP_finalmonthfactor,1)</f>
        <v>0</v>
      </c>
      <c r="L106" s="74">
        <f>MIN(IF($AV106=0,0,
IF(Investment_Strategy="DIS",VLOOKUP(Investment_Strategy&amp;"_"&amp;Investment_Strategy_Sub1&amp;"_"&amp;$A106,'Investment Strategies'!$AZ:$BP,12,FALSE),
IF(AND(Investment_Strategy="Lifecycle",Investment_Strategy_Sub1="Non-Standard"),VLOOKUP(Investment_Strategy&amp;"_"&amp;Investment_Strategy_Sub2&amp;"_"&amp;$A106,'Investment Strategies'!$C:$P,9,FALSE),
IF(AND(Investment_Strategy="Lifecycle",Investment_Strategy_Sub1="Standard"),VLOOKUP(Investment_Strategy&amp;"_"&amp;Investment_Strategy_Sub2&amp;"_"&amp;$A106,'Investment Strategies'!$AJ:$AV,8,FALSE),
IF(AND(Investment_Strategy="Autopilot",Investment_Strategy_Sub1="Non-Standard"),VLOOKUP(Investment_Strategy&amp;"_"&amp;Investment_Strategy_Sub2&amp;"_"&amp;$A106,'Investment Strategies'!$T:$AF,8,FALSE),
IF(Investment_Strategy ="DIY",DIY_RateofReturn_SP,
"Error")))))),Max_InvReturn)</f>
        <v>4.1816398110932074E-3</v>
      </c>
      <c r="M106" s="62">
        <f>IF($AV106=0,0,
IF(Investment_Strategy="DIS",VLOOKUP(Investment_Strategy&amp;"_"&amp;Investment_Strategy_Sub1&amp;"_"&amp;$A106,'Investment Strategies'!$AZ:$BP,15,FALSE),
IF(AND(Investment_Strategy="Lifecycle",Investment_Strategy_Sub1="Non-Standard"),VLOOKUP(Investment_Strategy&amp;"_"&amp;Investment_Strategy_Sub2&amp;"_"&amp;$A106,'Investment Strategies'!$C:$P,12,FALSE),
IF(AND(Investment_Strategy="Lifecycle",Investment_Strategy_Sub1="Standard"),VLOOKUP(Investment_Strategy&amp;"_"&amp;Investment_Strategy_Sub2&amp;"_"&amp;$A106,'Investment Strategies'!$AJ:$AV,11,FALSE),
IF(AND(Investment_Strategy="Autopilot",Investment_Strategy_Sub1="Non-Standard"),VLOOKUP(Investment_Strategy&amp;"_"&amp;Investment_Strategy_Sub2&amp;"_"&amp;$A106,'Investment Strategies'!$T:$AF,11,FALSE),
IF(Investment_Strategy="DIY",DIY_GteeChrge_SP,
"Error"))))))</f>
        <v>0</v>
      </c>
      <c r="N106" s="33">
        <f>IF($AV106=0,0,
IF(Investment_Strategy="DIS",VLOOKUP(Investment_Strategy&amp;"_"&amp;Investment_Strategy_Sub1&amp;"_"&amp;$A106,'Investment Strategies'!$AZ:$BP,17,FALSE),
IF(AND(Investment_Strategy="Lifecycle",Investment_Strategy_Sub1="Non-Standard"),VLOOKUP(Investment_Strategy&amp;"_"&amp;Investment_Strategy_Sub2&amp;"_"&amp;$A106,'Investment Strategies'!$C:$P,14,FALSE),
IF(AND(Investment_Strategy="Lifecycle",Investment_Strategy_Sub1="Standard"),VLOOKUP(Investment_Strategy&amp;"_"&amp;Investment_Strategy_Sub2&amp;"_"&amp;$A106,'Investment Strategies'!$AJ:$AV,13,FALSE),
IF(AND(Investment_Strategy="Autopilot",Investment_Strategy_Sub1="Non-Standard"),VLOOKUP(Investment_Strategy&amp;"_"&amp;Investment_Strategy_Sub2&amp;"_"&amp;$A106,'Investment Strategies'!$T:$AF,13,FALSE),
IF(Investment_Strategy="DIY",DIY_ExtManChrge_SP,
"Error"))))))</f>
        <v>2.0857243058891584E-4</v>
      </c>
      <c r="O106" s="16">
        <f t="shared" si="50"/>
        <v>734560.24402962835</v>
      </c>
      <c r="Q106" s="16">
        <f t="shared" si="15"/>
        <v>3071.6663600806355</v>
      </c>
      <c r="R106" s="16">
        <f t="shared" si="16"/>
        <v>-707.89188411856276</v>
      </c>
      <c r="S106" s="16">
        <f>(SRP_SP+SUM(S$91:S105))*L106*IF(D106=$A$91,SRP_finalmonthfactor,1)</f>
        <v>3116.2250230697332</v>
      </c>
      <c r="T106" s="74">
        <f>MIN(IF($AV106=0,0,
IF(Investment_Strategy="DIS",VLOOKUP(Investment_Strategy&amp;"_"&amp;Investment_Strategy_Sub1&amp;"_"&amp;$A106,'Investment Strategies'!$AZ:$BP,12,FALSE),
IF(AND(Investment_Strategy="Lifecycle",Investment_Strategy_Sub1="Non-Standard"),VLOOKUP(Investment_Strategy&amp;"_"&amp;Investment_Strategy_Sub2&amp;"_"&amp;$A106,'Investment Strategies'!$C:$P,9,FALSE),
IF(AND(Investment_Strategy="Lifecycle",Investment_Strategy_Sub1="Standard"),VLOOKUP(Investment_Strategy&amp;"_"&amp;Investment_Strategy_Sub2&amp;"_"&amp;$A106,'Investment Strategies'!$AJ:$AV,8,FALSE),
IF(AND(Investment_Strategy="Autopilot",Investment_Strategy_Sub1="Non-Standard"),VLOOKUP(Investment_Strategy&amp;"_"&amp;Investment_Strategy_Sub2&amp;"_"&amp;$A106,'Investment Strategies'!$T:$AF,8,FALSE),
IF(Investment_Strategy ="DIY",DIY_RateOfReturn_FuturePremiums,
"Error")))))),Max_InvReturn)</f>
        <v>4.1816398110932074E-3</v>
      </c>
      <c r="U106" s="62">
        <f>IF($AV106=0,0,
IF(Investment_Strategy="DIS",VLOOKUP(Investment_Strategy&amp;"_"&amp;Investment_Strategy_Sub1&amp;"_"&amp;$A106,'Investment Strategies'!$AZ:$BP,15,FALSE),
IF(AND(Investment_Strategy="Lifecycle",Investment_Strategy_Sub1="Non-Standard"),VLOOKUP(Investment_Strategy&amp;"_"&amp;Investment_Strategy_Sub2&amp;"_"&amp;$A106,'Investment Strategies'!$C:$P,12,FALSE),
IF(AND(Investment_Strategy="Lifecycle",Investment_Strategy_Sub1="Standard"),VLOOKUP(Investment_Strategy&amp;"_"&amp;Investment_Strategy_Sub2&amp;"_"&amp;$A106,'Investment Strategies'!$AJ:$AV,11,FALSE),
IF(AND(Investment_Strategy="Autopilot",Investment_Strategy_Sub1="Non-Standard"),VLOOKUP(Investment_Strategy&amp;"_"&amp;Investment_Strategy_Sub2&amp;"_"&amp;$A106,'Investment Strategies'!$T:$AF,11,FALSE),
IF(Investment_Strategy="DIY",DIY_GteeChrge_FuturePremiums,
"Error"))))))</f>
        <v>0</v>
      </c>
      <c r="V106" s="33">
        <f>IF(AV106=0,0,
IF(Investment_Strategy="DIS",VLOOKUP(Investment_Strategy&amp;"_"&amp;Investment_Strategy_Sub1&amp;"_"&amp;$A106,'Investment Strategies'!$AZ:$BP,17,FALSE),
IF(AND(Investment_Strategy="Lifecycle",Investment_Strategy_Sub1="Non-Standard"),VLOOKUP(Investment_Strategy&amp;"_"&amp;Investment_Strategy_Sub2&amp;"_"&amp;$A106,'Investment Strategies'!$C:$P,14,FALSE),
IF(AND(Investment_Strategy="Lifecycle",Investment_Strategy_Sub1="Standard"),VLOOKUP(Investment_Strategy&amp;"_"&amp;Investment_Strategy_Sub2&amp;"_"&amp;$A106,'Investment Strategies'!$AJ:$AV,13,FALSE),
IF(AND(Investment_Strategy="Autopilot",Investment_Strategy_Sub1="Non-Standard"),VLOOKUP(Investment_Strategy&amp;"_"&amp;Investment_Strategy_Sub2&amp;"_"&amp;$A106,'Investment Strategies'!$T:$AF,13,FALSE),
IF(Investment_Strategy="DIY",DIY_ExtManChrge_FuturePremiums,
"Error"))))))</f>
        <v>1.2508601994698498E-4</v>
      </c>
      <c r="W106" s="16">
        <f t="shared" si="51"/>
        <v>0</v>
      </c>
      <c r="X106" s="16">
        <f t="shared" si="17"/>
        <v>0</v>
      </c>
      <c r="Y106" s="16">
        <f t="shared" si="18"/>
        <v>0</v>
      </c>
      <c r="Z106" s="31">
        <f t="shared" si="19"/>
        <v>0.02</v>
      </c>
      <c r="AA106" s="16">
        <f t="shared" si="20"/>
        <v>0</v>
      </c>
      <c r="AB106" s="28">
        <f t="shared" si="53"/>
        <v>745216.03099408466</v>
      </c>
      <c r="AC106" s="28">
        <f>(SUM($AC$91:AC105)+SUM($X$91:X105)+X106)*T106*IF(D106=$A$91,SRP_finalmonthfactor,1)</f>
        <v>0</v>
      </c>
      <c r="AD106" s="16">
        <f t="shared" si="21"/>
        <v>-153.52934797058685</v>
      </c>
      <c r="AE106" s="106"/>
      <c r="AF106" s="16">
        <f t="shared" si="52"/>
        <v>734560.24402962835</v>
      </c>
      <c r="AG106" s="16">
        <f t="shared" si="31"/>
        <v>3116.2250230697332</v>
      </c>
      <c r="AH106" s="16">
        <f t="shared" si="32"/>
        <v>-707.89188411856276</v>
      </c>
      <c r="AJ106" s="13">
        <f t="shared" si="62"/>
        <v>0</v>
      </c>
      <c r="AK106" s="13">
        <f t="shared" si="62"/>
        <v>1</v>
      </c>
      <c r="AL106" s="13">
        <f t="shared" si="62"/>
        <v>1</v>
      </c>
      <c r="AM106" s="13">
        <f t="shared" si="62"/>
        <v>1</v>
      </c>
      <c r="AN106" s="13">
        <f t="shared" si="62"/>
        <v>1</v>
      </c>
      <c r="AO106" s="13">
        <f t="shared" si="62"/>
        <v>1</v>
      </c>
      <c r="AP106" s="13">
        <f t="shared" si="62"/>
        <v>1</v>
      </c>
      <c r="AQ106" s="13">
        <f t="shared" si="62"/>
        <v>1</v>
      </c>
      <c r="AR106" s="13">
        <f t="shared" si="62"/>
        <v>1</v>
      </c>
      <c r="AS106" s="13">
        <f t="shared" si="62"/>
        <v>1</v>
      </c>
      <c r="AT106" s="13">
        <f t="shared" si="62"/>
        <v>1</v>
      </c>
      <c r="AU106" s="13">
        <f t="shared" si="62"/>
        <v>1</v>
      </c>
      <c r="AV106" s="13">
        <f t="shared" si="23"/>
        <v>1</v>
      </c>
      <c r="AW106" s="13">
        <f t="shared" si="33"/>
        <v>1</v>
      </c>
      <c r="AY106" s="17">
        <f t="shared" si="24"/>
        <v>16</v>
      </c>
      <c r="AZ106" s="28">
        <f t="shared" si="34"/>
        <v>0</v>
      </c>
      <c r="BA106" s="13">
        <f t="shared" si="25"/>
        <v>0</v>
      </c>
      <c r="BB106" s="13">
        <f t="shared" si="26"/>
        <v>0</v>
      </c>
      <c r="BC106" s="28">
        <f t="shared" si="35"/>
        <v>0</v>
      </c>
      <c r="BD106" s="28">
        <f t="shared" si="36"/>
        <v>0</v>
      </c>
      <c r="BF106" s="248">
        <f t="shared" si="37"/>
        <v>748332.25601715443</v>
      </c>
      <c r="BG106" s="36">
        <f t="shared" si="54"/>
        <v>0</v>
      </c>
      <c r="BH106" s="36">
        <f t="shared" si="55"/>
        <v>734560.24402962835</v>
      </c>
      <c r="BI106" s="249">
        <f t="shared" si="56"/>
        <v>4.1816398110932074E-3</v>
      </c>
      <c r="BJ106" s="246">
        <f t="shared" si="57"/>
        <v>2.0857243058891584E-4</v>
      </c>
      <c r="BK106" s="246">
        <f t="shared" si="27"/>
        <v>7.531116566323881E-4</v>
      </c>
      <c r="BL106" s="246">
        <f t="shared" si="58"/>
        <v>0</v>
      </c>
      <c r="BM106" s="246">
        <f t="shared" si="59"/>
        <v>9.6168408722130394E-4</v>
      </c>
      <c r="BN106" s="36">
        <f t="shared" si="44"/>
        <v>707.89188411856264</v>
      </c>
      <c r="BO106" s="36">
        <f t="shared" si="60"/>
        <v>3071.6663600806355</v>
      </c>
      <c r="BP106" s="36">
        <f t="shared" si="61"/>
        <v>736924.01850559039</v>
      </c>
    </row>
    <row r="107" spans="1:68">
      <c r="A107" s="32">
        <f t="shared" si="47"/>
        <v>68</v>
      </c>
      <c r="B107" s="32">
        <f t="shared" si="28"/>
        <v>54</v>
      </c>
      <c r="C107" s="32">
        <f t="shared" si="48"/>
        <v>2</v>
      </c>
      <c r="D107" s="32">
        <f t="shared" si="49"/>
        <v>17</v>
      </c>
      <c r="E107" s="74">
        <f>MIN(IF(AV107=0,0,
IF(Investment_Strategy="DIS",VLOOKUP(Investment_Strategy&amp;"_"&amp;Investment_Strategy_Sub1&amp;"_"&amp;$A107,'Investment Strategies'!$AZ:$BP,12,FALSE),
IF(AND(Investment_Strategy="Lifecycle",Investment_Strategy_Sub1="Non-Standard"),VLOOKUP(Investment_Strategy&amp;"_"&amp;Investment_Strategy_Sub2&amp;"_"&amp;$A107,'Investment Strategies'!$C:$P,9,FALSE),
IF(AND(Investment_Strategy="Lifecycle",Investment_Strategy_Sub1="Standard"),VLOOKUP(Investment_Strategy&amp;"_"&amp;Investment_Strategy_Sub2&amp;"_"&amp;$A107,'Investment Strategies'!$AJ:$AV,8,FALSE),
IF(AND(Investment_Strategy="Autopilot",Investment_Strategy_Sub1="Non-Standard"),VLOOKUP(Investment_Strategy&amp;"_"&amp;Investment_Strategy_Sub2&amp;"_"&amp;$A107,'Investment Strategies'!$T:$AF,8,FALSE),
IF(Investment_Strategy ="DIY",DIY_RateOfReturn_CurrentFunds,
"Error")))))),Max_InvReturn)</f>
        <v>4.1816398110932074E-3</v>
      </c>
      <c r="F107" s="62">
        <f>IF(AV107=0,0,
IF(Investment_Strategy="DIS",VLOOKUP(Investment_Strategy&amp;"_"&amp;Investment_Strategy_Sub1&amp;"_"&amp;$A107,'Investment Strategies'!$AZ:$BP,15,FALSE),
IF(AND(Investment_Strategy="Lifecycle",Investment_Strategy_Sub1="Non-Standard"),VLOOKUP(Investment_Strategy&amp;"_"&amp;Investment_Strategy_Sub2&amp;"_"&amp;$A107,'Investment Strategies'!$C:$P,12,FALSE),
IF(AND(Investment_Strategy="Lifecycle",Investment_Strategy_Sub1="Standard"),VLOOKUP(Investment_Strategy&amp;"_"&amp;Investment_Strategy_Sub2&amp;"_"&amp;$A107,'Investment Strategies'!$AJ:$AV,11,FALSE),
IF(AND(Investment_Strategy="Autopilot",Investment_Strategy_Sub1="Non-Standard"),VLOOKUP(Investment_Strategy&amp;"_"&amp;Investment_Strategy_Sub2&amp;"_"&amp;$A107,'Investment Strategies'!$T:$AF,11,FALSE),
IF(Investment_Strategy="DIY",DIY_GteeChrge_CurrentFunds,
"Error"))))))</f>
        <v>5.4328711526985263E-4</v>
      </c>
      <c r="G107" s="33">
        <f>IF(AV107=0,0,
IF(Investment_Strategy="DIS",VLOOKUP(Investment_Strategy&amp;"_"&amp;Investment_Strategy_Sub1&amp;"_"&amp;$A107,'Investment Strategies'!$AZ:$BP,17,FALSE),
IF(AND(Investment_Strategy="Lifecycle",Investment_Strategy_Sub1="Non-Standard"),VLOOKUP(Investment_Strategy&amp;"_"&amp;Investment_Strategy_Sub2&amp;"_"&amp;$A107,'Investment Strategies'!$C:$P,14,FALSE),
IF(AND(Investment_Strategy="Lifecycle",Investment_Strategy_Sub1="Standard"),VLOOKUP(Investment_Strategy&amp;"_"&amp;Investment_Strategy_Sub2&amp;"_"&amp;$A107,'Investment Strategies'!$AJ:$AV,13,FALSE),
IF(AND(Investment_Strategy="Autopilot",Investment_Strategy_Sub1="Non-Standard"),VLOOKUP(Investment_Strategy&amp;"_"&amp;Investment_Strategy_Sub2&amp;"_"&amp;$A107,'Investment Strategies'!$T:$AF,13,FALSE),
IF(Investment_Strategy="DIY",DIY_ExtManChrge_CurrentFunds,
"Error"))))))</f>
        <v>2.0857243058891584E-4</v>
      </c>
      <c r="H107" s="16">
        <f t="shared" si="30"/>
        <v>0</v>
      </c>
      <c r="I107" s="16">
        <f t="shared" si="13"/>
        <v>0</v>
      </c>
      <c r="J107" s="16">
        <f t="shared" si="14"/>
        <v>0</v>
      </c>
      <c r="K107" s="16">
        <f>(Opening_Fund_Value+SUM(K$91:K106))*E107*IF(D107=$A$91,SRP_finalmonthfactor,1)</f>
        <v>0</v>
      </c>
      <c r="L107" s="74">
        <f>MIN(IF($AV107=0,0,
IF(Investment_Strategy="DIS",VLOOKUP(Investment_Strategy&amp;"_"&amp;Investment_Strategy_Sub1&amp;"_"&amp;$A107,'Investment Strategies'!$AZ:$BP,12,FALSE),
IF(AND(Investment_Strategy="Lifecycle",Investment_Strategy_Sub1="Non-Standard"),VLOOKUP(Investment_Strategy&amp;"_"&amp;Investment_Strategy_Sub2&amp;"_"&amp;$A107,'Investment Strategies'!$C:$P,9,FALSE),
IF(AND(Investment_Strategy="Lifecycle",Investment_Strategy_Sub1="Standard"),VLOOKUP(Investment_Strategy&amp;"_"&amp;Investment_Strategy_Sub2&amp;"_"&amp;$A107,'Investment Strategies'!$AJ:$AV,8,FALSE),
IF(AND(Investment_Strategy="Autopilot",Investment_Strategy_Sub1="Non-Standard"),VLOOKUP(Investment_Strategy&amp;"_"&amp;Investment_Strategy_Sub2&amp;"_"&amp;$A107,'Investment Strategies'!$T:$AF,8,FALSE),
IF(Investment_Strategy ="DIY",DIY_RateofReturn_SP,
"Error")))))),Max_InvReturn)</f>
        <v>4.1816398110932074E-3</v>
      </c>
      <c r="M107" s="62">
        <f>IF($AV107=0,0,
IF(Investment_Strategy="DIS",VLOOKUP(Investment_Strategy&amp;"_"&amp;Investment_Strategy_Sub1&amp;"_"&amp;$A107,'Investment Strategies'!$AZ:$BP,15,FALSE),
IF(AND(Investment_Strategy="Lifecycle",Investment_Strategy_Sub1="Non-Standard"),VLOOKUP(Investment_Strategy&amp;"_"&amp;Investment_Strategy_Sub2&amp;"_"&amp;$A107,'Investment Strategies'!$C:$P,12,FALSE),
IF(AND(Investment_Strategy="Lifecycle",Investment_Strategy_Sub1="Standard"),VLOOKUP(Investment_Strategy&amp;"_"&amp;Investment_Strategy_Sub2&amp;"_"&amp;$A107,'Investment Strategies'!$AJ:$AV,11,FALSE),
IF(AND(Investment_Strategy="Autopilot",Investment_Strategy_Sub1="Non-Standard"),VLOOKUP(Investment_Strategy&amp;"_"&amp;Investment_Strategy_Sub2&amp;"_"&amp;$A107,'Investment Strategies'!$T:$AF,11,FALSE),
IF(Investment_Strategy="DIY",DIY_GteeChrge_SP,
"Error"))))))</f>
        <v>0</v>
      </c>
      <c r="N107" s="33">
        <f>IF($AV107=0,0,
IF(Investment_Strategy="DIS",VLOOKUP(Investment_Strategy&amp;"_"&amp;Investment_Strategy_Sub1&amp;"_"&amp;$A107,'Investment Strategies'!$AZ:$BP,17,FALSE),
IF(AND(Investment_Strategy="Lifecycle",Investment_Strategy_Sub1="Non-Standard"),VLOOKUP(Investment_Strategy&amp;"_"&amp;Investment_Strategy_Sub2&amp;"_"&amp;$A107,'Investment Strategies'!$C:$P,14,FALSE),
IF(AND(Investment_Strategy="Lifecycle",Investment_Strategy_Sub1="Standard"),VLOOKUP(Investment_Strategy&amp;"_"&amp;Investment_Strategy_Sub2&amp;"_"&amp;$A107,'Investment Strategies'!$AJ:$AV,13,FALSE),
IF(AND(Investment_Strategy="Autopilot",Investment_Strategy_Sub1="Non-Standard"),VLOOKUP(Investment_Strategy&amp;"_"&amp;Investment_Strategy_Sub2&amp;"_"&amp;$A107,'Investment Strategies'!$T:$AF,13,FALSE),
IF(Investment_Strategy="DIY",DIY_ExtManChrge_SP,
"Error"))))))</f>
        <v>2.0857243058891584E-4</v>
      </c>
      <c r="O107" s="16">
        <f t="shared" si="50"/>
        <v>736924.01850559039</v>
      </c>
      <c r="Q107" s="16">
        <f t="shared" si="15"/>
        <v>3081.5508135337641</v>
      </c>
      <c r="R107" s="16">
        <f t="shared" si="16"/>
        <v>-710.16984127867363</v>
      </c>
      <c r="S107" s="16">
        <f>(SRP_SP+SUM(S$91:S106))*L107*IF(D107=$A$91,SRP_finalmonthfactor,1)</f>
        <v>3129.2559536865265</v>
      </c>
      <c r="T107" s="74">
        <f>MIN(IF($AV107=0,0,
IF(Investment_Strategy="DIS",VLOOKUP(Investment_Strategy&amp;"_"&amp;Investment_Strategy_Sub1&amp;"_"&amp;$A107,'Investment Strategies'!$AZ:$BP,12,FALSE),
IF(AND(Investment_Strategy="Lifecycle",Investment_Strategy_Sub1="Non-Standard"),VLOOKUP(Investment_Strategy&amp;"_"&amp;Investment_Strategy_Sub2&amp;"_"&amp;$A107,'Investment Strategies'!$C:$P,9,FALSE),
IF(AND(Investment_Strategy="Lifecycle",Investment_Strategy_Sub1="Standard"),VLOOKUP(Investment_Strategy&amp;"_"&amp;Investment_Strategy_Sub2&amp;"_"&amp;$A107,'Investment Strategies'!$AJ:$AV,8,FALSE),
IF(AND(Investment_Strategy="Autopilot",Investment_Strategy_Sub1="Non-Standard"),VLOOKUP(Investment_Strategy&amp;"_"&amp;Investment_Strategy_Sub2&amp;"_"&amp;$A107,'Investment Strategies'!$T:$AF,8,FALSE),
IF(Investment_Strategy ="DIY",DIY_RateOfReturn_FuturePremiums,
"Error")))))),Max_InvReturn)</f>
        <v>4.1816398110932074E-3</v>
      </c>
      <c r="U107" s="62">
        <f>IF($AV107=0,0,
IF(Investment_Strategy="DIS",VLOOKUP(Investment_Strategy&amp;"_"&amp;Investment_Strategy_Sub1&amp;"_"&amp;$A107,'Investment Strategies'!$AZ:$BP,15,FALSE),
IF(AND(Investment_Strategy="Lifecycle",Investment_Strategy_Sub1="Non-Standard"),VLOOKUP(Investment_Strategy&amp;"_"&amp;Investment_Strategy_Sub2&amp;"_"&amp;$A107,'Investment Strategies'!$C:$P,12,FALSE),
IF(AND(Investment_Strategy="Lifecycle",Investment_Strategy_Sub1="Standard"),VLOOKUP(Investment_Strategy&amp;"_"&amp;Investment_Strategy_Sub2&amp;"_"&amp;$A107,'Investment Strategies'!$AJ:$AV,11,FALSE),
IF(AND(Investment_Strategy="Autopilot",Investment_Strategy_Sub1="Non-Standard"),VLOOKUP(Investment_Strategy&amp;"_"&amp;Investment_Strategy_Sub2&amp;"_"&amp;$A107,'Investment Strategies'!$T:$AF,11,FALSE),
IF(Investment_Strategy="DIY",DIY_GteeChrge_FuturePremiums,
"Error"))))))</f>
        <v>0</v>
      </c>
      <c r="V107" s="33">
        <f>IF(AV107=0,0,
IF(Investment_Strategy="DIS",VLOOKUP(Investment_Strategy&amp;"_"&amp;Investment_Strategy_Sub1&amp;"_"&amp;$A107,'Investment Strategies'!$AZ:$BP,17,FALSE),
IF(AND(Investment_Strategy="Lifecycle",Investment_Strategy_Sub1="Non-Standard"),VLOOKUP(Investment_Strategy&amp;"_"&amp;Investment_Strategy_Sub2&amp;"_"&amp;$A107,'Investment Strategies'!$C:$P,14,FALSE),
IF(AND(Investment_Strategy="Lifecycle",Investment_Strategy_Sub1="Standard"),VLOOKUP(Investment_Strategy&amp;"_"&amp;Investment_Strategy_Sub2&amp;"_"&amp;$A107,'Investment Strategies'!$AJ:$AV,13,FALSE),
IF(AND(Investment_Strategy="Autopilot",Investment_Strategy_Sub1="Non-Standard"),VLOOKUP(Investment_Strategy&amp;"_"&amp;Investment_Strategy_Sub2&amp;"_"&amp;$A107,'Investment Strategies'!$T:$AF,13,FALSE),
IF(Investment_Strategy="DIY",DIY_ExtManChrge_FuturePremiums,
"Error"))))))</f>
        <v>1.2508601994698498E-4</v>
      </c>
      <c r="W107" s="16">
        <f t="shared" si="51"/>
        <v>0</v>
      </c>
      <c r="X107" s="16">
        <f t="shared" si="17"/>
        <v>0</v>
      </c>
      <c r="Y107" s="16">
        <f t="shared" si="18"/>
        <v>0</v>
      </c>
      <c r="Z107" s="31">
        <f t="shared" si="19"/>
        <v>0.02</v>
      </c>
      <c r="AA107" s="16">
        <f t="shared" si="20"/>
        <v>0</v>
      </c>
      <c r="AB107" s="28">
        <f t="shared" si="53"/>
        <v>748332.25601715443</v>
      </c>
      <c r="AC107" s="28">
        <f>(SUM($AC$91:AC106)+SUM($X$91:X106)+X107)*T107*IF(D107=$A$91,SRP_finalmonthfactor,1)</f>
        <v>0</v>
      </c>
      <c r="AD107" s="16">
        <f t="shared" si="21"/>
        <v>-154.02339697064318</v>
      </c>
      <c r="AE107" s="106"/>
      <c r="AF107" s="16">
        <f t="shared" si="52"/>
        <v>736924.01850559039</v>
      </c>
      <c r="AG107" s="16">
        <f t="shared" si="31"/>
        <v>3129.2559536865265</v>
      </c>
      <c r="AH107" s="16">
        <f t="shared" si="32"/>
        <v>-710.16984127867363</v>
      </c>
      <c r="AJ107" s="13">
        <f t="shared" si="62"/>
        <v>0</v>
      </c>
      <c r="AK107" s="13">
        <f t="shared" si="62"/>
        <v>1</v>
      </c>
      <c r="AL107" s="13">
        <f t="shared" si="62"/>
        <v>1</v>
      </c>
      <c r="AM107" s="13">
        <f t="shared" si="62"/>
        <v>1</v>
      </c>
      <c r="AN107" s="13">
        <f t="shared" si="62"/>
        <v>1</v>
      </c>
      <c r="AO107" s="13">
        <f t="shared" si="62"/>
        <v>1</v>
      </c>
      <c r="AP107" s="13">
        <f t="shared" si="62"/>
        <v>1</v>
      </c>
      <c r="AQ107" s="13">
        <f t="shared" si="62"/>
        <v>1</v>
      </c>
      <c r="AR107" s="13">
        <f t="shared" si="62"/>
        <v>1</v>
      </c>
      <c r="AS107" s="13">
        <f t="shared" si="62"/>
        <v>1</v>
      </c>
      <c r="AT107" s="13">
        <f t="shared" si="62"/>
        <v>1</v>
      </c>
      <c r="AU107" s="13">
        <f t="shared" si="62"/>
        <v>1</v>
      </c>
      <c r="AV107" s="13">
        <f t="shared" si="23"/>
        <v>1</v>
      </c>
      <c r="AW107" s="13">
        <f t="shared" si="33"/>
        <v>1</v>
      </c>
      <c r="AY107" s="17">
        <f t="shared" si="24"/>
        <v>17</v>
      </c>
      <c r="AZ107" s="28">
        <f t="shared" si="34"/>
        <v>0</v>
      </c>
      <c r="BA107" s="13">
        <f t="shared" si="25"/>
        <v>0</v>
      </c>
      <c r="BB107" s="13">
        <f t="shared" si="26"/>
        <v>0</v>
      </c>
      <c r="BC107" s="28">
        <f t="shared" si="35"/>
        <v>0</v>
      </c>
      <c r="BD107" s="28">
        <f t="shared" si="36"/>
        <v>0</v>
      </c>
      <c r="BF107" s="248">
        <f t="shared" si="37"/>
        <v>751461.51197084098</v>
      </c>
      <c r="BG107" s="36">
        <f t="shared" si="54"/>
        <v>0</v>
      </c>
      <c r="BH107" s="36">
        <f t="shared" si="55"/>
        <v>736924.01850559039</v>
      </c>
      <c r="BI107" s="249">
        <f t="shared" si="56"/>
        <v>4.1816398110932074E-3</v>
      </c>
      <c r="BJ107" s="246">
        <f t="shared" si="57"/>
        <v>2.0857243058891584E-4</v>
      </c>
      <c r="BK107" s="246">
        <f t="shared" si="27"/>
        <v>7.531116566323881E-4</v>
      </c>
      <c r="BL107" s="246">
        <f t="shared" si="58"/>
        <v>0</v>
      </c>
      <c r="BM107" s="246">
        <f t="shared" si="59"/>
        <v>9.6168408722130394E-4</v>
      </c>
      <c r="BN107" s="36">
        <f t="shared" si="44"/>
        <v>710.16984127867352</v>
      </c>
      <c r="BO107" s="36">
        <f t="shared" si="60"/>
        <v>3081.5508135337641</v>
      </c>
      <c r="BP107" s="36">
        <f t="shared" si="61"/>
        <v>739295.39947784541</v>
      </c>
    </row>
    <row r="108" spans="1:68">
      <c r="A108" s="32">
        <f t="shared" si="47"/>
        <v>67</v>
      </c>
      <c r="B108" s="32">
        <f t="shared" si="28"/>
        <v>54</v>
      </c>
      <c r="C108" s="32">
        <f t="shared" si="48"/>
        <v>2</v>
      </c>
      <c r="D108" s="32">
        <f t="shared" si="49"/>
        <v>18</v>
      </c>
      <c r="E108" s="74">
        <f>MIN(IF(AV108=0,0,
IF(Investment_Strategy="DIS",VLOOKUP(Investment_Strategy&amp;"_"&amp;Investment_Strategy_Sub1&amp;"_"&amp;$A108,'Investment Strategies'!$AZ:$BP,12,FALSE),
IF(AND(Investment_Strategy="Lifecycle",Investment_Strategy_Sub1="Non-Standard"),VLOOKUP(Investment_Strategy&amp;"_"&amp;Investment_Strategy_Sub2&amp;"_"&amp;$A108,'Investment Strategies'!$C:$P,9,FALSE),
IF(AND(Investment_Strategy="Lifecycle",Investment_Strategy_Sub1="Standard"),VLOOKUP(Investment_Strategy&amp;"_"&amp;Investment_Strategy_Sub2&amp;"_"&amp;$A108,'Investment Strategies'!$AJ:$AV,8,FALSE),
IF(AND(Investment_Strategy="Autopilot",Investment_Strategy_Sub1="Non-Standard"),VLOOKUP(Investment_Strategy&amp;"_"&amp;Investment_Strategy_Sub2&amp;"_"&amp;$A108,'Investment Strategies'!$T:$AF,8,FALSE),
IF(Investment_Strategy ="DIY",DIY_RateOfReturn_CurrentFunds,
"Error")))))),Max_InvReturn)</f>
        <v>4.1816398110932074E-3</v>
      </c>
      <c r="F108" s="62">
        <f>IF(AV108=0,0,
IF(Investment_Strategy="DIS",VLOOKUP(Investment_Strategy&amp;"_"&amp;Investment_Strategy_Sub1&amp;"_"&amp;$A108,'Investment Strategies'!$AZ:$BP,15,FALSE),
IF(AND(Investment_Strategy="Lifecycle",Investment_Strategy_Sub1="Non-Standard"),VLOOKUP(Investment_Strategy&amp;"_"&amp;Investment_Strategy_Sub2&amp;"_"&amp;$A108,'Investment Strategies'!$C:$P,12,FALSE),
IF(AND(Investment_Strategy="Lifecycle",Investment_Strategy_Sub1="Standard"),VLOOKUP(Investment_Strategy&amp;"_"&amp;Investment_Strategy_Sub2&amp;"_"&amp;$A108,'Investment Strategies'!$AJ:$AV,11,FALSE),
IF(AND(Investment_Strategy="Autopilot",Investment_Strategy_Sub1="Non-Standard"),VLOOKUP(Investment_Strategy&amp;"_"&amp;Investment_Strategy_Sub2&amp;"_"&amp;$A108,'Investment Strategies'!$T:$AF,11,FALSE),
IF(Investment_Strategy="DIY",DIY_GteeChrge_CurrentFunds,
"Error"))))))</f>
        <v>5.4328711526985263E-4</v>
      </c>
      <c r="G108" s="33">
        <f>IF(AV108=0,0,
IF(Investment_Strategy="DIS",VLOOKUP(Investment_Strategy&amp;"_"&amp;Investment_Strategy_Sub1&amp;"_"&amp;$A108,'Investment Strategies'!$AZ:$BP,17,FALSE),
IF(AND(Investment_Strategy="Lifecycle",Investment_Strategy_Sub1="Non-Standard"),VLOOKUP(Investment_Strategy&amp;"_"&amp;Investment_Strategy_Sub2&amp;"_"&amp;$A108,'Investment Strategies'!$C:$P,14,FALSE),
IF(AND(Investment_Strategy="Lifecycle",Investment_Strategy_Sub1="Standard"),VLOOKUP(Investment_Strategy&amp;"_"&amp;Investment_Strategy_Sub2&amp;"_"&amp;$A108,'Investment Strategies'!$AJ:$AV,13,FALSE),
IF(AND(Investment_Strategy="Autopilot",Investment_Strategy_Sub1="Non-Standard"),VLOOKUP(Investment_Strategy&amp;"_"&amp;Investment_Strategy_Sub2&amp;"_"&amp;$A108,'Investment Strategies'!$T:$AF,13,FALSE),
IF(Investment_Strategy="DIY",DIY_ExtManChrge_CurrentFunds,
"Error"))))))</f>
        <v>2.0857243058891584E-4</v>
      </c>
      <c r="H108" s="16">
        <f t="shared" si="30"/>
        <v>0</v>
      </c>
      <c r="I108" s="16">
        <f t="shared" si="13"/>
        <v>0</v>
      </c>
      <c r="J108" s="16">
        <f t="shared" si="14"/>
        <v>0</v>
      </c>
      <c r="K108" s="16">
        <f>(Opening_Fund_Value+SUM(K$91:K107))*E108*IF(D108=$A$91,SRP_finalmonthfactor,1)</f>
        <v>0</v>
      </c>
      <c r="L108" s="74">
        <f>MIN(IF($AV108=0,0,
IF(Investment_Strategy="DIS",VLOOKUP(Investment_Strategy&amp;"_"&amp;Investment_Strategy_Sub1&amp;"_"&amp;$A108,'Investment Strategies'!$AZ:$BP,12,FALSE),
IF(AND(Investment_Strategy="Lifecycle",Investment_Strategy_Sub1="Non-Standard"),VLOOKUP(Investment_Strategy&amp;"_"&amp;Investment_Strategy_Sub2&amp;"_"&amp;$A108,'Investment Strategies'!$C:$P,9,FALSE),
IF(AND(Investment_Strategy="Lifecycle",Investment_Strategy_Sub1="Standard"),VLOOKUP(Investment_Strategy&amp;"_"&amp;Investment_Strategy_Sub2&amp;"_"&amp;$A108,'Investment Strategies'!$AJ:$AV,8,FALSE),
IF(AND(Investment_Strategy="Autopilot",Investment_Strategy_Sub1="Non-Standard"),VLOOKUP(Investment_Strategy&amp;"_"&amp;Investment_Strategy_Sub2&amp;"_"&amp;$A108,'Investment Strategies'!$T:$AF,8,FALSE),
IF(Investment_Strategy ="DIY",DIY_RateofReturn_SP,
"Error")))))),Max_InvReturn)</f>
        <v>4.1816398110932074E-3</v>
      </c>
      <c r="M108" s="62">
        <f>IF($AV108=0,0,
IF(Investment_Strategy="DIS",VLOOKUP(Investment_Strategy&amp;"_"&amp;Investment_Strategy_Sub1&amp;"_"&amp;$A108,'Investment Strategies'!$AZ:$BP,15,FALSE),
IF(AND(Investment_Strategy="Lifecycle",Investment_Strategy_Sub1="Non-Standard"),VLOOKUP(Investment_Strategy&amp;"_"&amp;Investment_Strategy_Sub2&amp;"_"&amp;$A108,'Investment Strategies'!$C:$P,12,FALSE),
IF(AND(Investment_Strategy="Lifecycle",Investment_Strategy_Sub1="Standard"),VLOOKUP(Investment_Strategy&amp;"_"&amp;Investment_Strategy_Sub2&amp;"_"&amp;$A108,'Investment Strategies'!$AJ:$AV,11,FALSE),
IF(AND(Investment_Strategy="Autopilot",Investment_Strategy_Sub1="Non-Standard"),VLOOKUP(Investment_Strategy&amp;"_"&amp;Investment_Strategy_Sub2&amp;"_"&amp;$A108,'Investment Strategies'!$T:$AF,11,FALSE),
IF(Investment_Strategy="DIY",DIY_GteeChrge_SP,
"Error"))))))</f>
        <v>0</v>
      </c>
      <c r="N108" s="33">
        <f>IF($AV108=0,0,
IF(Investment_Strategy="DIS",VLOOKUP(Investment_Strategy&amp;"_"&amp;Investment_Strategy_Sub1&amp;"_"&amp;$A108,'Investment Strategies'!$AZ:$BP,17,FALSE),
IF(AND(Investment_Strategy="Lifecycle",Investment_Strategy_Sub1="Non-Standard"),VLOOKUP(Investment_Strategy&amp;"_"&amp;Investment_Strategy_Sub2&amp;"_"&amp;$A108,'Investment Strategies'!$C:$P,14,FALSE),
IF(AND(Investment_Strategy="Lifecycle",Investment_Strategy_Sub1="Standard"),VLOOKUP(Investment_Strategy&amp;"_"&amp;Investment_Strategy_Sub2&amp;"_"&amp;$A108,'Investment Strategies'!$AJ:$AV,13,FALSE),
IF(AND(Investment_Strategy="Autopilot",Investment_Strategy_Sub1="Non-Standard"),VLOOKUP(Investment_Strategy&amp;"_"&amp;Investment_Strategy_Sub2&amp;"_"&amp;$A108,'Investment Strategies'!$T:$AF,13,FALSE),
IF(Investment_Strategy="DIY",DIY_ExtManChrge_SP,
"Error"))))))</f>
        <v>2.0857243058891584E-4</v>
      </c>
      <c r="O108" s="16">
        <f t="shared" si="50"/>
        <v>739295.39947784541</v>
      </c>
      <c r="Q108" s="16">
        <f t="shared" si="15"/>
        <v>3091.4670746146148</v>
      </c>
      <c r="R108" s="16">
        <f t="shared" si="16"/>
        <v>-712.45512877967383</v>
      </c>
      <c r="S108" s="16">
        <f>(SRP_SP+SUM(S$91:S107))*L108*IF(D108=$A$91,SRP_finalmonthfactor,1)</f>
        <v>3142.341374961562</v>
      </c>
      <c r="T108" s="74">
        <f>MIN(IF($AV108=0,0,
IF(Investment_Strategy="DIS",VLOOKUP(Investment_Strategy&amp;"_"&amp;Investment_Strategy_Sub1&amp;"_"&amp;$A108,'Investment Strategies'!$AZ:$BP,12,FALSE),
IF(AND(Investment_Strategy="Lifecycle",Investment_Strategy_Sub1="Non-Standard"),VLOOKUP(Investment_Strategy&amp;"_"&amp;Investment_Strategy_Sub2&amp;"_"&amp;$A108,'Investment Strategies'!$C:$P,9,FALSE),
IF(AND(Investment_Strategy="Lifecycle",Investment_Strategy_Sub1="Standard"),VLOOKUP(Investment_Strategy&amp;"_"&amp;Investment_Strategy_Sub2&amp;"_"&amp;$A108,'Investment Strategies'!$AJ:$AV,8,FALSE),
IF(AND(Investment_Strategy="Autopilot",Investment_Strategy_Sub1="Non-Standard"),VLOOKUP(Investment_Strategy&amp;"_"&amp;Investment_Strategy_Sub2&amp;"_"&amp;$A108,'Investment Strategies'!$T:$AF,8,FALSE),
IF(Investment_Strategy ="DIY",DIY_RateOfReturn_FuturePremiums,
"Error")))))),Max_InvReturn)</f>
        <v>4.1816398110932074E-3</v>
      </c>
      <c r="U108" s="62">
        <f>IF($AV108=0,0,
IF(Investment_Strategy="DIS",VLOOKUP(Investment_Strategy&amp;"_"&amp;Investment_Strategy_Sub1&amp;"_"&amp;$A108,'Investment Strategies'!$AZ:$BP,15,FALSE),
IF(AND(Investment_Strategy="Lifecycle",Investment_Strategy_Sub1="Non-Standard"),VLOOKUP(Investment_Strategy&amp;"_"&amp;Investment_Strategy_Sub2&amp;"_"&amp;$A108,'Investment Strategies'!$C:$P,12,FALSE),
IF(AND(Investment_Strategy="Lifecycle",Investment_Strategy_Sub1="Standard"),VLOOKUP(Investment_Strategy&amp;"_"&amp;Investment_Strategy_Sub2&amp;"_"&amp;$A108,'Investment Strategies'!$AJ:$AV,11,FALSE),
IF(AND(Investment_Strategy="Autopilot",Investment_Strategy_Sub1="Non-Standard"),VLOOKUP(Investment_Strategy&amp;"_"&amp;Investment_Strategy_Sub2&amp;"_"&amp;$A108,'Investment Strategies'!$T:$AF,11,FALSE),
IF(Investment_Strategy="DIY",DIY_GteeChrge_FuturePremiums,
"Error"))))))</f>
        <v>0</v>
      </c>
      <c r="V108" s="33">
        <f>IF(AV108=0,0,
IF(Investment_Strategy="DIS",VLOOKUP(Investment_Strategy&amp;"_"&amp;Investment_Strategy_Sub1&amp;"_"&amp;$A108,'Investment Strategies'!$AZ:$BP,17,FALSE),
IF(AND(Investment_Strategy="Lifecycle",Investment_Strategy_Sub1="Non-Standard"),VLOOKUP(Investment_Strategy&amp;"_"&amp;Investment_Strategy_Sub2&amp;"_"&amp;$A108,'Investment Strategies'!$C:$P,14,FALSE),
IF(AND(Investment_Strategy="Lifecycle",Investment_Strategy_Sub1="Standard"),VLOOKUP(Investment_Strategy&amp;"_"&amp;Investment_Strategy_Sub2&amp;"_"&amp;$A108,'Investment Strategies'!$AJ:$AV,13,FALSE),
IF(AND(Investment_Strategy="Autopilot",Investment_Strategy_Sub1="Non-Standard"),VLOOKUP(Investment_Strategy&amp;"_"&amp;Investment_Strategy_Sub2&amp;"_"&amp;$A108,'Investment Strategies'!$T:$AF,13,FALSE),
IF(Investment_Strategy="DIY",DIY_ExtManChrge_FuturePremiums,
"Error"))))))</f>
        <v>1.2508601994698498E-4</v>
      </c>
      <c r="W108" s="16">
        <f t="shared" si="51"/>
        <v>0</v>
      </c>
      <c r="X108" s="16">
        <f t="shared" si="17"/>
        <v>0</v>
      </c>
      <c r="Y108" s="16">
        <f t="shared" si="18"/>
        <v>0</v>
      </c>
      <c r="Z108" s="31">
        <f t="shared" si="19"/>
        <v>0.02</v>
      </c>
      <c r="AA108" s="16">
        <f t="shared" si="20"/>
        <v>0</v>
      </c>
      <c r="AB108" s="28">
        <f t="shared" si="53"/>
        <v>751461.51197084098</v>
      </c>
      <c r="AC108" s="28">
        <f>(SUM($AC$91:AC107)+SUM($X$91:X107)+X108)*T108*IF(D108=$A$91,SRP_finalmonthfactor,1)</f>
        <v>0</v>
      </c>
      <c r="AD108" s="16">
        <f t="shared" si="21"/>
        <v>-154.51903579321672</v>
      </c>
      <c r="AE108" s="106"/>
      <c r="AF108" s="16">
        <f t="shared" si="52"/>
        <v>739295.39947784541</v>
      </c>
      <c r="AG108" s="16">
        <f t="shared" si="31"/>
        <v>3142.341374961562</v>
      </c>
      <c r="AH108" s="16">
        <f t="shared" si="32"/>
        <v>-712.45512877967383</v>
      </c>
      <c r="AJ108" s="13">
        <f t="shared" si="62"/>
        <v>0</v>
      </c>
      <c r="AK108" s="13">
        <f t="shared" si="62"/>
        <v>1</v>
      </c>
      <c r="AL108" s="13">
        <f t="shared" si="62"/>
        <v>1</v>
      </c>
      <c r="AM108" s="13">
        <f t="shared" si="62"/>
        <v>1</v>
      </c>
      <c r="AN108" s="13">
        <f t="shared" si="62"/>
        <v>1</v>
      </c>
      <c r="AO108" s="13">
        <f t="shared" si="62"/>
        <v>1</v>
      </c>
      <c r="AP108" s="13">
        <f t="shared" si="62"/>
        <v>1</v>
      </c>
      <c r="AQ108" s="13">
        <f t="shared" si="62"/>
        <v>1</v>
      </c>
      <c r="AR108" s="13">
        <f t="shared" si="62"/>
        <v>1</v>
      </c>
      <c r="AS108" s="13">
        <f t="shared" si="62"/>
        <v>1</v>
      </c>
      <c r="AT108" s="13">
        <f t="shared" si="62"/>
        <v>1</v>
      </c>
      <c r="AU108" s="13">
        <f t="shared" si="62"/>
        <v>1</v>
      </c>
      <c r="AV108" s="13">
        <f t="shared" si="23"/>
        <v>1</v>
      </c>
      <c r="AW108" s="13">
        <f t="shared" si="33"/>
        <v>1</v>
      </c>
      <c r="AY108" s="17">
        <f t="shared" si="24"/>
        <v>18</v>
      </c>
      <c r="AZ108" s="28">
        <f t="shared" si="34"/>
        <v>0</v>
      </c>
      <c r="BA108" s="13">
        <f t="shared" si="25"/>
        <v>0</v>
      </c>
      <c r="BB108" s="13">
        <f t="shared" si="26"/>
        <v>0</v>
      </c>
      <c r="BC108" s="28">
        <f t="shared" si="35"/>
        <v>0</v>
      </c>
      <c r="BD108" s="28">
        <f t="shared" si="36"/>
        <v>0</v>
      </c>
      <c r="BF108" s="248">
        <f t="shared" si="37"/>
        <v>754603.85334580252</v>
      </c>
      <c r="BG108" s="36">
        <f t="shared" si="54"/>
        <v>0</v>
      </c>
      <c r="BH108" s="36">
        <f t="shared" si="55"/>
        <v>739295.39947784541</v>
      </c>
      <c r="BI108" s="249">
        <f t="shared" si="56"/>
        <v>4.1816398110932074E-3</v>
      </c>
      <c r="BJ108" s="246">
        <f t="shared" si="57"/>
        <v>2.0857243058891584E-4</v>
      </c>
      <c r="BK108" s="246">
        <f t="shared" si="27"/>
        <v>7.531116566323881E-4</v>
      </c>
      <c r="BL108" s="246">
        <f t="shared" si="58"/>
        <v>0</v>
      </c>
      <c r="BM108" s="246">
        <f t="shared" si="59"/>
        <v>9.6168408722130394E-4</v>
      </c>
      <c r="BN108" s="36">
        <f t="shared" si="44"/>
        <v>712.45512877967371</v>
      </c>
      <c r="BO108" s="36">
        <f t="shared" si="60"/>
        <v>3091.4670746146148</v>
      </c>
      <c r="BP108" s="36">
        <f t="shared" si="61"/>
        <v>741674.41142368037</v>
      </c>
    </row>
    <row r="109" spans="1:68">
      <c r="A109" s="32">
        <f t="shared" si="47"/>
        <v>66</v>
      </c>
      <c r="B109" s="32">
        <f t="shared" si="28"/>
        <v>54</v>
      </c>
      <c r="C109" s="32">
        <f t="shared" si="48"/>
        <v>2</v>
      </c>
      <c r="D109" s="32">
        <f t="shared" si="49"/>
        <v>19</v>
      </c>
      <c r="E109" s="74">
        <f>MIN(IF(AV109=0,0,
IF(Investment_Strategy="DIS",VLOOKUP(Investment_Strategy&amp;"_"&amp;Investment_Strategy_Sub1&amp;"_"&amp;$A109,'Investment Strategies'!$AZ:$BP,12,FALSE),
IF(AND(Investment_Strategy="Lifecycle",Investment_Strategy_Sub1="Non-Standard"),VLOOKUP(Investment_Strategy&amp;"_"&amp;Investment_Strategy_Sub2&amp;"_"&amp;$A109,'Investment Strategies'!$C:$P,9,FALSE),
IF(AND(Investment_Strategy="Lifecycle",Investment_Strategy_Sub1="Standard"),VLOOKUP(Investment_Strategy&amp;"_"&amp;Investment_Strategy_Sub2&amp;"_"&amp;$A109,'Investment Strategies'!$AJ:$AV,8,FALSE),
IF(AND(Investment_Strategy="Autopilot",Investment_Strategy_Sub1="Non-Standard"),VLOOKUP(Investment_Strategy&amp;"_"&amp;Investment_Strategy_Sub2&amp;"_"&amp;$A109,'Investment Strategies'!$T:$AF,8,FALSE),
IF(Investment_Strategy ="DIY",DIY_RateOfReturn_CurrentFunds,
"Error")))))),Max_InvReturn)</f>
        <v>4.1816398110932074E-3</v>
      </c>
      <c r="F109" s="62">
        <f>IF(AV109=0,0,
IF(Investment_Strategy="DIS",VLOOKUP(Investment_Strategy&amp;"_"&amp;Investment_Strategy_Sub1&amp;"_"&amp;$A109,'Investment Strategies'!$AZ:$BP,15,FALSE),
IF(AND(Investment_Strategy="Lifecycle",Investment_Strategy_Sub1="Non-Standard"),VLOOKUP(Investment_Strategy&amp;"_"&amp;Investment_Strategy_Sub2&amp;"_"&amp;$A109,'Investment Strategies'!$C:$P,12,FALSE),
IF(AND(Investment_Strategy="Lifecycle",Investment_Strategy_Sub1="Standard"),VLOOKUP(Investment_Strategy&amp;"_"&amp;Investment_Strategy_Sub2&amp;"_"&amp;$A109,'Investment Strategies'!$AJ:$AV,11,FALSE),
IF(AND(Investment_Strategy="Autopilot",Investment_Strategy_Sub1="Non-Standard"),VLOOKUP(Investment_Strategy&amp;"_"&amp;Investment_Strategy_Sub2&amp;"_"&amp;$A109,'Investment Strategies'!$T:$AF,11,FALSE),
IF(Investment_Strategy="DIY",DIY_GteeChrge_CurrentFunds,
"Error"))))))</f>
        <v>5.4328711526985263E-4</v>
      </c>
      <c r="G109" s="33">
        <f>IF(AV109=0,0,
IF(Investment_Strategy="DIS",VLOOKUP(Investment_Strategy&amp;"_"&amp;Investment_Strategy_Sub1&amp;"_"&amp;$A109,'Investment Strategies'!$AZ:$BP,17,FALSE),
IF(AND(Investment_Strategy="Lifecycle",Investment_Strategy_Sub1="Non-Standard"),VLOOKUP(Investment_Strategy&amp;"_"&amp;Investment_Strategy_Sub2&amp;"_"&amp;$A109,'Investment Strategies'!$C:$P,14,FALSE),
IF(AND(Investment_Strategy="Lifecycle",Investment_Strategy_Sub1="Standard"),VLOOKUP(Investment_Strategy&amp;"_"&amp;Investment_Strategy_Sub2&amp;"_"&amp;$A109,'Investment Strategies'!$AJ:$AV,13,FALSE),
IF(AND(Investment_Strategy="Autopilot",Investment_Strategy_Sub1="Non-Standard"),VLOOKUP(Investment_Strategy&amp;"_"&amp;Investment_Strategy_Sub2&amp;"_"&amp;$A109,'Investment Strategies'!$T:$AF,13,FALSE),
IF(Investment_Strategy="DIY",DIY_ExtManChrge_CurrentFunds,
"Error"))))))</f>
        <v>2.0857243058891584E-4</v>
      </c>
      <c r="H109" s="16">
        <f t="shared" si="30"/>
        <v>0</v>
      </c>
      <c r="I109" s="16">
        <f t="shared" si="13"/>
        <v>0</v>
      </c>
      <c r="J109" s="16">
        <f t="shared" si="14"/>
        <v>0</v>
      </c>
      <c r="K109" s="16">
        <f>(Opening_Fund_Value+SUM(K$91:K108))*E109*IF(D109=$A$91,SRP_finalmonthfactor,1)</f>
        <v>0</v>
      </c>
      <c r="L109" s="74">
        <f>MIN(IF($AV109=0,0,
IF(Investment_Strategy="DIS",VLOOKUP(Investment_Strategy&amp;"_"&amp;Investment_Strategy_Sub1&amp;"_"&amp;$A109,'Investment Strategies'!$AZ:$BP,12,FALSE),
IF(AND(Investment_Strategy="Lifecycle",Investment_Strategy_Sub1="Non-Standard"),VLOOKUP(Investment_Strategy&amp;"_"&amp;Investment_Strategy_Sub2&amp;"_"&amp;$A109,'Investment Strategies'!$C:$P,9,FALSE),
IF(AND(Investment_Strategy="Lifecycle",Investment_Strategy_Sub1="Standard"),VLOOKUP(Investment_Strategy&amp;"_"&amp;Investment_Strategy_Sub2&amp;"_"&amp;$A109,'Investment Strategies'!$AJ:$AV,8,FALSE),
IF(AND(Investment_Strategy="Autopilot",Investment_Strategy_Sub1="Non-Standard"),VLOOKUP(Investment_Strategy&amp;"_"&amp;Investment_Strategy_Sub2&amp;"_"&amp;$A109,'Investment Strategies'!$T:$AF,8,FALSE),
IF(Investment_Strategy ="DIY",DIY_RateofReturn_SP,
"Error")))))),Max_InvReturn)</f>
        <v>4.1816398110932074E-3</v>
      </c>
      <c r="M109" s="62">
        <f>IF($AV109=0,0,
IF(Investment_Strategy="DIS",VLOOKUP(Investment_Strategy&amp;"_"&amp;Investment_Strategy_Sub1&amp;"_"&amp;$A109,'Investment Strategies'!$AZ:$BP,15,FALSE),
IF(AND(Investment_Strategy="Lifecycle",Investment_Strategy_Sub1="Non-Standard"),VLOOKUP(Investment_Strategy&amp;"_"&amp;Investment_Strategy_Sub2&amp;"_"&amp;$A109,'Investment Strategies'!$C:$P,12,FALSE),
IF(AND(Investment_Strategy="Lifecycle",Investment_Strategy_Sub1="Standard"),VLOOKUP(Investment_Strategy&amp;"_"&amp;Investment_Strategy_Sub2&amp;"_"&amp;$A109,'Investment Strategies'!$AJ:$AV,11,FALSE),
IF(AND(Investment_Strategy="Autopilot",Investment_Strategy_Sub1="Non-Standard"),VLOOKUP(Investment_Strategy&amp;"_"&amp;Investment_Strategy_Sub2&amp;"_"&amp;$A109,'Investment Strategies'!$T:$AF,11,FALSE),
IF(Investment_Strategy="DIY",DIY_GteeChrge_SP,
"Error"))))))</f>
        <v>0</v>
      </c>
      <c r="N109" s="33">
        <f>IF($AV109=0,0,
IF(Investment_Strategy="DIS",VLOOKUP(Investment_Strategy&amp;"_"&amp;Investment_Strategy_Sub1&amp;"_"&amp;$A109,'Investment Strategies'!$AZ:$BP,17,FALSE),
IF(AND(Investment_Strategy="Lifecycle",Investment_Strategy_Sub1="Non-Standard"),VLOOKUP(Investment_Strategy&amp;"_"&amp;Investment_Strategy_Sub2&amp;"_"&amp;$A109,'Investment Strategies'!$C:$P,14,FALSE),
IF(AND(Investment_Strategy="Lifecycle",Investment_Strategy_Sub1="Standard"),VLOOKUP(Investment_Strategy&amp;"_"&amp;Investment_Strategy_Sub2&amp;"_"&amp;$A109,'Investment Strategies'!$AJ:$AV,13,FALSE),
IF(AND(Investment_Strategy="Autopilot",Investment_Strategy_Sub1="Non-Standard"),VLOOKUP(Investment_Strategy&amp;"_"&amp;Investment_Strategy_Sub2&amp;"_"&amp;$A109,'Investment Strategies'!$T:$AF,13,FALSE),
IF(Investment_Strategy="DIY",DIY_ExtManChrge_SP,
"Error"))))))</f>
        <v>2.0857243058891584E-4</v>
      </c>
      <c r="O109" s="16">
        <f t="shared" si="50"/>
        <v>741674.41142368037</v>
      </c>
      <c r="Q109" s="16">
        <f t="shared" si="15"/>
        <v>3101.4152456783845</v>
      </c>
      <c r="R109" s="16">
        <f t="shared" si="16"/>
        <v>-714.74777021019702</v>
      </c>
      <c r="S109" s="16">
        <f>(SRP_SP+SUM(S$91:S108))*L109*IF(D109=$A$91,SRP_finalmonthfactor,1)</f>
        <v>3155.4815147551471</v>
      </c>
      <c r="T109" s="74">
        <f>MIN(IF($AV109=0,0,
IF(Investment_Strategy="DIS",VLOOKUP(Investment_Strategy&amp;"_"&amp;Investment_Strategy_Sub1&amp;"_"&amp;$A109,'Investment Strategies'!$AZ:$BP,12,FALSE),
IF(AND(Investment_Strategy="Lifecycle",Investment_Strategy_Sub1="Non-Standard"),VLOOKUP(Investment_Strategy&amp;"_"&amp;Investment_Strategy_Sub2&amp;"_"&amp;$A109,'Investment Strategies'!$C:$P,9,FALSE),
IF(AND(Investment_Strategy="Lifecycle",Investment_Strategy_Sub1="Standard"),VLOOKUP(Investment_Strategy&amp;"_"&amp;Investment_Strategy_Sub2&amp;"_"&amp;$A109,'Investment Strategies'!$AJ:$AV,8,FALSE),
IF(AND(Investment_Strategy="Autopilot",Investment_Strategy_Sub1="Non-Standard"),VLOOKUP(Investment_Strategy&amp;"_"&amp;Investment_Strategy_Sub2&amp;"_"&amp;$A109,'Investment Strategies'!$T:$AF,8,FALSE),
IF(Investment_Strategy ="DIY",DIY_RateOfReturn_FuturePremiums,
"Error")))))),Max_InvReturn)</f>
        <v>4.1816398110932074E-3</v>
      </c>
      <c r="U109" s="62">
        <f>IF($AV109=0,0,
IF(Investment_Strategy="DIS",VLOOKUP(Investment_Strategy&amp;"_"&amp;Investment_Strategy_Sub1&amp;"_"&amp;$A109,'Investment Strategies'!$AZ:$BP,15,FALSE),
IF(AND(Investment_Strategy="Lifecycle",Investment_Strategy_Sub1="Non-Standard"),VLOOKUP(Investment_Strategy&amp;"_"&amp;Investment_Strategy_Sub2&amp;"_"&amp;$A109,'Investment Strategies'!$C:$P,12,FALSE),
IF(AND(Investment_Strategy="Lifecycle",Investment_Strategy_Sub1="Standard"),VLOOKUP(Investment_Strategy&amp;"_"&amp;Investment_Strategy_Sub2&amp;"_"&amp;$A109,'Investment Strategies'!$AJ:$AV,11,FALSE),
IF(AND(Investment_Strategy="Autopilot",Investment_Strategy_Sub1="Non-Standard"),VLOOKUP(Investment_Strategy&amp;"_"&amp;Investment_Strategy_Sub2&amp;"_"&amp;$A109,'Investment Strategies'!$T:$AF,11,FALSE),
IF(Investment_Strategy="DIY",DIY_GteeChrge_FuturePremiums,
"Error"))))))</f>
        <v>0</v>
      </c>
      <c r="V109" s="33">
        <f>IF(AV109=0,0,
IF(Investment_Strategy="DIS",VLOOKUP(Investment_Strategy&amp;"_"&amp;Investment_Strategy_Sub1&amp;"_"&amp;$A109,'Investment Strategies'!$AZ:$BP,17,FALSE),
IF(AND(Investment_Strategy="Lifecycle",Investment_Strategy_Sub1="Non-Standard"),VLOOKUP(Investment_Strategy&amp;"_"&amp;Investment_Strategy_Sub2&amp;"_"&amp;$A109,'Investment Strategies'!$C:$P,14,FALSE),
IF(AND(Investment_Strategy="Lifecycle",Investment_Strategy_Sub1="Standard"),VLOOKUP(Investment_Strategy&amp;"_"&amp;Investment_Strategy_Sub2&amp;"_"&amp;$A109,'Investment Strategies'!$AJ:$AV,13,FALSE),
IF(AND(Investment_Strategy="Autopilot",Investment_Strategy_Sub1="Non-Standard"),VLOOKUP(Investment_Strategy&amp;"_"&amp;Investment_Strategy_Sub2&amp;"_"&amp;$A109,'Investment Strategies'!$T:$AF,13,FALSE),
IF(Investment_Strategy="DIY",DIY_ExtManChrge_FuturePremiums,
"Error"))))))</f>
        <v>1.2508601994698498E-4</v>
      </c>
      <c r="W109" s="16">
        <f t="shared" si="51"/>
        <v>0</v>
      </c>
      <c r="X109" s="16">
        <f t="shared" si="17"/>
        <v>0</v>
      </c>
      <c r="Y109" s="16">
        <f t="shared" si="18"/>
        <v>0</v>
      </c>
      <c r="Z109" s="31">
        <f t="shared" si="19"/>
        <v>0.02</v>
      </c>
      <c r="AA109" s="16">
        <f t="shared" si="20"/>
        <v>0</v>
      </c>
      <c r="AB109" s="28">
        <f t="shared" si="53"/>
        <v>754603.85334580252</v>
      </c>
      <c r="AC109" s="28">
        <f>(SUM($AC$91:AC108)+SUM($X$91:X108)+X109)*T109*IF(D109=$A$91,SRP_finalmonthfactor,1)</f>
        <v>0</v>
      </c>
      <c r="AD109" s="16">
        <f t="shared" si="21"/>
        <v>-155.01626955426889</v>
      </c>
      <c r="AE109" s="106"/>
      <c r="AF109" s="16">
        <f t="shared" si="52"/>
        <v>741674.41142368037</v>
      </c>
      <c r="AG109" s="16">
        <f t="shared" si="31"/>
        <v>3155.4815147551471</v>
      </c>
      <c r="AH109" s="16">
        <f t="shared" si="32"/>
        <v>-714.74777021019702</v>
      </c>
      <c r="AJ109" s="13">
        <f t="shared" si="62"/>
        <v>0</v>
      </c>
      <c r="AK109" s="13">
        <f t="shared" si="62"/>
        <v>1</v>
      </c>
      <c r="AL109" s="13">
        <f t="shared" si="62"/>
        <v>1</v>
      </c>
      <c r="AM109" s="13">
        <f t="shared" si="62"/>
        <v>1</v>
      </c>
      <c r="AN109" s="13">
        <f t="shared" si="62"/>
        <v>1</v>
      </c>
      <c r="AO109" s="13">
        <f t="shared" si="62"/>
        <v>1</v>
      </c>
      <c r="AP109" s="13">
        <f t="shared" si="62"/>
        <v>1</v>
      </c>
      <c r="AQ109" s="13">
        <f t="shared" si="62"/>
        <v>1</v>
      </c>
      <c r="AR109" s="13">
        <f t="shared" si="62"/>
        <v>1</v>
      </c>
      <c r="AS109" s="13">
        <f t="shared" si="62"/>
        <v>1</v>
      </c>
      <c r="AT109" s="13">
        <f t="shared" si="62"/>
        <v>1</v>
      </c>
      <c r="AU109" s="13">
        <f t="shared" si="62"/>
        <v>1</v>
      </c>
      <c r="AV109" s="13">
        <f t="shared" si="23"/>
        <v>1</v>
      </c>
      <c r="AW109" s="13">
        <f t="shared" si="33"/>
        <v>1</v>
      </c>
      <c r="AY109" s="17">
        <f t="shared" si="24"/>
        <v>19</v>
      </c>
      <c r="AZ109" s="28">
        <f t="shared" si="34"/>
        <v>0</v>
      </c>
      <c r="BA109" s="13">
        <f t="shared" si="25"/>
        <v>0</v>
      </c>
      <c r="BB109" s="13">
        <f t="shared" si="26"/>
        <v>0</v>
      </c>
      <c r="BC109" s="28">
        <f t="shared" si="35"/>
        <v>0</v>
      </c>
      <c r="BD109" s="28">
        <f t="shared" si="36"/>
        <v>0</v>
      </c>
      <c r="BF109" s="248">
        <f t="shared" si="37"/>
        <v>757759.33486055769</v>
      </c>
      <c r="BG109" s="36">
        <f t="shared" si="54"/>
        <v>0</v>
      </c>
      <c r="BH109" s="36">
        <f t="shared" si="55"/>
        <v>741674.41142368037</v>
      </c>
      <c r="BI109" s="249">
        <f t="shared" si="56"/>
        <v>4.1816398110932074E-3</v>
      </c>
      <c r="BJ109" s="246">
        <f t="shared" si="57"/>
        <v>2.0857243058891584E-4</v>
      </c>
      <c r="BK109" s="246">
        <f t="shared" si="27"/>
        <v>7.531116566323881E-4</v>
      </c>
      <c r="BL109" s="246">
        <f t="shared" si="58"/>
        <v>0</v>
      </c>
      <c r="BM109" s="246">
        <f t="shared" si="59"/>
        <v>9.6168408722130394E-4</v>
      </c>
      <c r="BN109" s="36">
        <f t="shared" si="44"/>
        <v>714.74777021019702</v>
      </c>
      <c r="BO109" s="36">
        <f t="shared" si="60"/>
        <v>3101.4152456783845</v>
      </c>
      <c r="BP109" s="36">
        <f t="shared" si="61"/>
        <v>744061.07889914862</v>
      </c>
    </row>
    <row r="110" spans="1:68">
      <c r="A110" s="32">
        <f t="shared" si="47"/>
        <v>65</v>
      </c>
      <c r="B110" s="32">
        <f t="shared" si="28"/>
        <v>54</v>
      </c>
      <c r="C110" s="32">
        <f t="shared" si="48"/>
        <v>2</v>
      </c>
      <c r="D110" s="32">
        <f t="shared" si="49"/>
        <v>20</v>
      </c>
      <c r="E110" s="74">
        <f>MIN(IF(AV110=0,0,
IF(Investment_Strategy="DIS",VLOOKUP(Investment_Strategy&amp;"_"&amp;Investment_Strategy_Sub1&amp;"_"&amp;$A110,'Investment Strategies'!$AZ:$BP,12,FALSE),
IF(AND(Investment_Strategy="Lifecycle",Investment_Strategy_Sub1="Non-Standard"),VLOOKUP(Investment_Strategy&amp;"_"&amp;Investment_Strategy_Sub2&amp;"_"&amp;$A110,'Investment Strategies'!$C:$P,9,FALSE),
IF(AND(Investment_Strategy="Lifecycle",Investment_Strategy_Sub1="Standard"),VLOOKUP(Investment_Strategy&amp;"_"&amp;Investment_Strategy_Sub2&amp;"_"&amp;$A110,'Investment Strategies'!$AJ:$AV,8,FALSE),
IF(AND(Investment_Strategy="Autopilot",Investment_Strategy_Sub1="Non-Standard"),VLOOKUP(Investment_Strategy&amp;"_"&amp;Investment_Strategy_Sub2&amp;"_"&amp;$A110,'Investment Strategies'!$T:$AF,8,FALSE),
IF(Investment_Strategy ="DIY",DIY_RateOfReturn_CurrentFunds,
"Error")))))),Max_InvReturn)</f>
        <v>4.1816398110932074E-3</v>
      </c>
      <c r="F110" s="62">
        <f>IF(AV110=0,0,
IF(Investment_Strategy="DIS",VLOOKUP(Investment_Strategy&amp;"_"&amp;Investment_Strategy_Sub1&amp;"_"&amp;$A110,'Investment Strategies'!$AZ:$BP,15,FALSE),
IF(AND(Investment_Strategy="Lifecycle",Investment_Strategy_Sub1="Non-Standard"),VLOOKUP(Investment_Strategy&amp;"_"&amp;Investment_Strategy_Sub2&amp;"_"&amp;$A110,'Investment Strategies'!$C:$P,12,FALSE),
IF(AND(Investment_Strategy="Lifecycle",Investment_Strategy_Sub1="Standard"),VLOOKUP(Investment_Strategy&amp;"_"&amp;Investment_Strategy_Sub2&amp;"_"&amp;$A110,'Investment Strategies'!$AJ:$AV,11,FALSE),
IF(AND(Investment_Strategy="Autopilot",Investment_Strategy_Sub1="Non-Standard"),VLOOKUP(Investment_Strategy&amp;"_"&amp;Investment_Strategy_Sub2&amp;"_"&amp;$A110,'Investment Strategies'!$T:$AF,11,FALSE),
IF(Investment_Strategy="DIY",DIY_GteeChrge_CurrentFunds,
"Error"))))))</f>
        <v>5.4328711526985263E-4</v>
      </c>
      <c r="G110" s="33">
        <f>IF(AV110=0,0,
IF(Investment_Strategy="DIS",VLOOKUP(Investment_Strategy&amp;"_"&amp;Investment_Strategy_Sub1&amp;"_"&amp;$A110,'Investment Strategies'!$AZ:$BP,17,FALSE),
IF(AND(Investment_Strategy="Lifecycle",Investment_Strategy_Sub1="Non-Standard"),VLOOKUP(Investment_Strategy&amp;"_"&amp;Investment_Strategy_Sub2&amp;"_"&amp;$A110,'Investment Strategies'!$C:$P,14,FALSE),
IF(AND(Investment_Strategy="Lifecycle",Investment_Strategy_Sub1="Standard"),VLOOKUP(Investment_Strategy&amp;"_"&amp;Investment_Strategy_Sub2&amp;"_"&amp;$A110,'Investment Strategies'!$AJ:$AV,13,FALSE),
IF(AND(Investment_Strategy="Autopilot",Investment_Strategy_Sub1="Non-Standard"),VLOOKUP(Investment_Strategy&amp;"_"&amp;Investment_Strategy_Sub2&amp;"_"&amp;$A110,'Investment Strategies'!$T:$AF,13,FALSE),
IF(Investment_Strategy="DIY",DIY_ExtManChrge_CurrentFunds,
"Error"))))))</f>
        <v>2.0857243058891584E-4</v>
      </c>
      <c r="H110" s="16">
        <f t="shared" si="30"/>
        <v>0</v>
      </c>
      <c r="I110" s="16">
        <f t="shared" si="13"/>
        <v>0</v>
      </c>
      <c r="J110" s="16">
        <f t="shared" si="14"/>
        <v>0</v>
      </c>
      <c r="K110" s="16">
        <f>(Opening_Fund_Value+SUM(K$91:K109))*E110*IF(D110=$A$91,SRP_finalmonthfactor,1)</f>
        <v>0</v>
      </c>
      <c r="L110" s="74">
        <f>MIN(IF($AV110=0,0,
IF(Investment_Strategy="DIS",VLOOKUP(Investment_Strategy&amp;"_"&amp;Investment_Strategy_Sub1&amp;"_"&amp;$A110,'Investment Strategies'!$AZ:$BP,12,FALSE),
IF(AND(Investment_Strategy="Lifecycle",Investment_Strategy_Sub1="Non-Standard"),VLOOKUP(Investment_Strategy&amp;"_"&amp;Investment_Strategy_Sub2&amp;"_"&amp;$A110,'Investment Strategies'!$C:$P,9,FALSE),
IF(AND(Investment_Strategy="Lifecycle",Investment_Strategy_Sub1="Standard"),VLOOKUP(Investment_Strategy&amp;"_"&amp;Investment_Strategy_Sub2&amp;"_"&amp;$A110,'Investment Strategies'!$AJ:$AV,8,FALSE),
IF(AND(Investment_Strategy="Autopilot",Investment_Strategy_Sub1="Non-Standard"),VLOOKUP(Investment_Strategy&amp;"_"&amp;Investment_Strategy_Sub2&amp;"_"&amp;$A110,'Investment Strategies'!$T:$AF,8,FALSE),
IF(Investment_Strategy ="DIY",DIY_RateofReturn_SP,
"Error")))))),Max_InvReturn)</f>
        <v>4.1816398110932074E-3</v>
      </c>
      <c r="M110" s="62">
        <f>IF($AV110=0,0,
IF(Investment_Strategy="DIS",VLOOKUP(Investment_Strategy&amp;"_"&amp;Investment_Strategy_Sub1&amp;"_"&amp;$A110,'Investment Strategies'!$AZ:$BP,15,FALSE),
IF(AND(Investment_Strategy="Lifecycle",Investment_Strategy_Sub1="Non-Standard"),VLOOKUP(Investment_Strategy&amp;"_"&amp;Investment_Strategy_Sub2&amp;"_"&amp;$A110,'Investment Strategies'!$C:$P,12,FALSE),
IF(AND(Investment_Strategy="Lifecycle",Investment_Strategy_Sub1="Standard"),VLOOKUP(Investment_Strategy&amp;"_"&amp;Investment_Strategy_Sub2&amp;"_"&amp;$A110,'Investment Strategies'!$AJ:$AV,11,FALSE),
IF(AND(Investment_Strategy="Autopilot",Investment_Strategy_Sub1="Non-Standard"),VLOOKUP(Investment_Strategy&amp;"_"&amp;Investment_Strategy_Sub2&amp;"_"&amp;$A110,'Investment Strategies'!$T:$AF,11,FALSE),
IF(Investment_Strategy="DIY",DIY_GteeChrge_SP,
"Error"))))))</f>
        <v>0</v>
      </c>
      <c r="N110" s="33">
        <f>IF($AV110=0,0,
IF(Investment_Strategy="DIS",VLOOKUP(Investment_Strategy&amp;"_"&amp;Investment_Strategy_Sub1&amp;"_"&amp;$A110,'Investment Strategies'!$AZ:$BP,17,FALSE),
IF(AND(Investment_Strategy="Lifecycle",Investment_Strategy_Sub1="Non-Standard"),VLOOKUP(Investment_Strategy&amp;"_"&amp;Investment_Strategy_Sub2&amp;"_"&amp;$A110,'Investment Strategies'!$C:$P,14,FALSE),
IF(AND(Investment_Strategy="Lifecycle",Investment_Strategy_Sub1="Standard"),VLOOKUP(Investment_Strategy&amp;"_"&amp;Investment_Strategy_Sub2&amp;"_"&amp;$A110,'Investment Strategies'!$AJ:$AV,13,FALSE),
IF(AND(Investment_Strategy="Autopilot",Investment_Strategy_Sub1="Non-Standard"),VLOOKUP(Investment_Strategy&amp;"_"&amp;Investment_Strategy_Sub2&amp;"_"&amp;$A110,'Investment Strategies'!$T:$AF,13,FALSE),
IF(Investment_Strategy="DIY",DIY_ExtManChrge_SP,
"Error"))))))</f>
        <v>2.0857243058891584E-4</v>
      </c>
      <c r="O110" s="16">
        <f t="shared" si="50"/>
        <v>744061.07889914862</v>
      </c>
      <c r="Q110" s="16">
        <f t="shared" si="15"/>
        <v>3111.3954294096438</v>
      </c>
      <c r="R110" s="16">
        <f t="shared" si="16"/>
        <v>-717.04778923478455</v>
      </c>
      <c r="S110" s="16">
        <f>(SRP_SP+SUM(S$91:S109))*L110*IF(D110=$A$91,SRP_finalmonthfactor,1)</f>
        <v>3168.676601880416</v>
      </c>
      <c r="T110" s="74">
        <f>MIN(IF($AV110=0,0,
IF(Investment_Strategy="DIS",VLOOKUP(Investment_Strategy&amp;"_"&amp;Investment_Strategy_Sub1&amp;"_"&amp;$A110,'Investment Strategies'!$AZ:$BP,12,FALSE),
IF(AND(Investment_Strategy="Lifecycle",Investment_Strategy_Sub1="Non-Standard"),VLOOKUP(Investment_Strategy&amp;"_"&amp;Investment_Strategy_Sub2&amp;"_"&amp;$A110,'Investment Strategies'!$C:$P,9,FALSE),
IF(AND(Investment_Strategy="Lifecycle",Investment_Strategy_Sub1="Standard"),VLOOKUP(Investment_Strategy&amp;"_"&amp;Investment_Strategy_Sub2&amp;"_"&amp;$A110,'Investment Strategies'!$AJ:$AV,8,FALSE),
IF(AND(Investment_Strategy="Autopilot",Investment_Strategy_Sub1="Non-Standard"),VLOOKUP(Investment_Strategy&amp;"_"&amp;Investment_Strategy_Sub2&amp;"_"&amp;$A110,'Investment Strategies'!$T:$AF,8,FALSE),
IF(Investment_Strategy ="DIY",DIY_RateOfReturn_FuturePremiums,
"Error")))))),Max_InvReturn)</f>
        <v>4.1816398110932074E-3</v>
      </c>
      <c r="U110" s="62">
        <f>IF($AV110=0,0,
IF(Investment_Strategy="DIS",VLOOKUP(Investment_Strategy&amp;"_"&amp;Investment_Strategy_Sub1&amp;"_"&amp;$A110,'Investment Strategies'!$AZ:$BP,15,FALSE),
IF(AND(Investment_Strategy="Lifecycle",Investment_Strategy_Sub1="Non-Standard"),VLOOKUP(Investment_Strategy&amp;"_"&amp;Investment_Strategy_Sub2&amp;"_"&amp;$A110,'Investment Strategies'!$C:$P,12,FALSE),
IF(AND(Investment_Strategy="Lifecycle",Investment_Strategy_Sub1="Standard"),VLOOKUP(Investment_Strategy&amp;"_"&amp;Investment_Strategy_Sub2&amp;"_"&amp;$A110,'Investment Strategies'!$AJ:$AV,11,FALSE),
IF(AND(Investment_Strategy="Autopilot",Investment_Strategy_Sub1="Non-Standard"),VLOOKUP(Investment_Strategy&amp;"_"&amp;Investment_Strategy_Sub2&amp;"_"&amp;$A110,'Investment Strategies'!$T:$AF,11,FALSE),
IF(Investment_Strategy="DIY",DIY_GteeChrge_FuturePremiums,
"Error"))))))</f>
        <v>0</v>
      </c>
      <c r="V110" s="33">
        <f>IF(AV110=0,0,
IF(Investment_Strategy="DIS",VLOOKUP(Investment_Strategy&amp;"_"&amp;Investment_Strategy_Sub1&amp;"_"&amp;$A110,'Investment Strategies'!$AZ:$BP,17,FALSE),
IF(AND(Investment_Strategy="Lifecycle",Investment_Strategy_Sub1="Non-Standard"),VLOOKUP(Investment_Strategy&amp;"_"&amp;Investment_Strategy_Sub2&amp;"_"&amp;$A110,'Investment Strategies'!$C:$P,14,FALSE),
IF(AND(Investment_Strategy="Lifecycle",Investment_Strategy_Sub1="Standard"),VLOOKUP(Investment_Strategy&amp;"_"&amp;Investment_Strategy_Sub2&amp;"_"&amp;$A110,'Investment Strategies'!$AJ:$AV,13,FALSE),
IF(AND(Investment_Strategy="Autopilot",Investment_Strategy_Sub1="Non-Standard"),VLOOKUP(Investment_Strategy&amp;"_"&amp;Investment_Strategy_Sub2&amp;"_"&amp;$A110,'Investment Strategies'!$T:$AF,13,FALSE),
IF(Investment_Strategy="DIY",DIY_ExtManChrge_FuturePremiums,
"Error"))))))</f>
        <v>1.2508601994698498E-4</v>
      </c>
      <c r="W110" s="16">
        <f t="shared" si="51"/>
        <v>0</v>
      </c>
      <c r="X110" s="16">
        <f t="shared" si="17"/>
        <v>0</v>
      </c>
      <c r="Y110" s="16">
        <f t="shared" si="18"/>
        <v>0</v>
      </c>
      <c r="Z110" s="31">
        <f t="shared" si="19"/>
        <v>0.02</v>
      </c>
      <c r="AA110" s="16">
        <f t="shared" si="20"/>
        <v>0</v>
      </c>
      <c r="AB110" s="28">
        <f t="shared" si="53"/>
        <v>757759.33486055769</v>
      </c>
      <c r="AC110" s="28">
        <f>(SUM($AC$91:AC109)+SUM($X$91:X109)+X110)*T110*IF(D110=$A$91,SRP_finalmonthfactor,1)</f>
        <v>0</v>
      </c>
      <c r="AD110" s="16">
        <f t="shared" si="21"/>
        <v>-155.5151033862241</v>
      </c>
      <c r="AE110" s="106"/>
      <c r="AF110" s="16">
        <f t="shared" si="52"/>
        <v>744061.07889914862</v>
      </c>
      <c r="AG110" s="16">
        <f t="shared" si="31"/>
        <v>3168.676601880416</v>
      </c>
      <c r="AH110" s="16">
        <f t="shared" si="32"/>
        <v>-717.04778923478455</v>
      </c>
      <c r="AJ110" s="13">
        <f t="shared" si="62"/>
        <v>0</v>
      </c>
      <c r="AK110" s="13">
        <f t="shared" si="62"/>
        <v>1</v>
      </c>
      <c r="AL110" s="13">
        <f t="shared" si="62"/>
        <v>1</v>
      </c>
      <c r="AM110" s="13">
        <f t="shared" si="62"/>
        <v>1</v>
      </c>
      <c r="AN110" s="13">
        <f t="shared" si="62"/>
        <v>1</v>
      </c>
      <c r="AO110" s="13">
        <f t="shared" si="62"/>
        <v>1</v>
      </c>
      <c r="AP110" s="13">
        <f t="shared" si="62"/>
        <v>1</v>
      </c>
      <c r="AQ110" s="13">
        <f t="shared" si="62"/>
        <v>1</v>
      </c>
      <c r="AR110" s="13">
        <f t="shared" si="62"/>
        <v>1</v>
      </c>
      <c r="AS110" s="13">
        <f t="shared" si="62"/>
        <v>1</v>
      </c>
      <c r="AT110" s="13">
        <f t="shared" si="62"/>
        <v>1</v>
      </c>
      <c r="AU110" s="13">
        <f t="shared" si="62"/>
        <v>1</v>
      </c>
      <c r="AV110" s="13">
        <f t="shared" si="23"/>
        <v>1</v>
      </c>
      <c r="AW110" s="13">
        <f t="shared" si="33"/>
        <v>1</v>
      </c>
      <c r="AY110" s="17">
        <f t="shared" si="24"/>
        <v>20</v>
      </c>
      <c r="AZ110" s="28">
        <f t="shared" si="34"/>
        <v>0</v>
      </c>
      <c r="BA110" s="13">
        <f t="shared" si="25"/>
        <v>0</v>
      </c>
      <c r="BB110" s="13">
        <f t="shared" si="26"/>
        <v>0</v>
      </c>
      <c r="BC110" s="28">
        <f t="shared" si="35"/>
        <v>0</v>
      </c>
      <c r="BD110" s="28">
        <f t="shared" si="36"/>
        <v>0</v>
      </c>
      <c r="BF110" s="248">
        <f t="shared" si="37"/>
        <v>760928.01146243815</v>
      </c>
      <c r="BG110" s="36">
        <f t="shared" si="54"/>
        <v>0</v>
      </c>
      <c r="BH110" s="36">
        <f t="shared" si="55"/>
        <v>744061.07889914862</v>
      </c>
      <c r="BI110" s="249">
        <f t="shared" si="56"/>
        <v>4.1816398110932074E-3</v>
      </c>
      <c r="BJ110" s="246">
        <f t="shared" si="57"/>
        <v>2.0857243058891584E-4</v>
      </c>
      <c r="BK110" s="246">
        <f t="shared" si="27"/>
        <v>7.531116566323881E-4</v>
      </c>
      <c r="BL110" s="246">
        <f t="shared" si="58"/>
        <v>0</v>
      </c>
      <c r="BM110" s="246">
        <f t="shared" si="59"/>
        <v>9.6168408722130394E-4</v>
      </c>
      <c r="BN110" s="36">
        <f t="shared" si="44"/>
        <v>717.04778923478455</v>
      </c>
      <c r="BO110" s="36">
        <f t="shared" si="60"/>
        <v>3111.3954294096438</v>
      </c>
      <c r="BP110" s="36">
        <f t="shared" si="61"/>
        <v>746455.42653932353</v>
      </c>
    </row>
    <row r="111" spans="1:68">
      <c r="A111" s="32">
        <f t="shared" si="47"/>
        <v>64</v>
      </c>
      <c r="B111" s="32">
        <f t="shared" si="28"/>
        <v>54</v>
      </c>
      <c r="C111" s="32">
        <f t="shared" si="48"/>
        <v>2</v>
      </c>
      <c r="D111" s="32">
        <f t="shared" si="49"/>
        <v>21</v>
      </c>
      <c r="E111" s="74">
        <f>MIN(IF(AV111=0,0,
IF(Investment_Strategy="DIS",VLOOKUP(Investment_Strategy&amp;"_"&amp;Investment_Strategy_Sub1&amp;"_"&amp;$A111,'Investment Strategies'!$AZ:$BP,12,FALSE),
IF(AND(Investment_Strategy="Lifecycle",Investment_Strategy_Sub1="Non-Standard"),VLOOKUP(Investment_Strategy&amp;"_"&amp;Investment_Strategy_Sub2&amp;"_"&amp;$A111,'Investment Strategies'!$C:$P,9,FALSE),
IF(AND(Investment_Strategy="Lifecycle",Investment_Strategy_Sub1="Standard"),VLOOKUP(Investment_Strategy&amp;"_"&amp;Investment_Strategy_Sub2&amp;"_"&amp;$A111,'Investment Strategies'!$AJ:$AV,8,FALSE),
IF(AND(Investment_Strategy="Autopilot",Investment_Strategy_Sub1="Non-Standard"),VLOOKUP(Investment_Strategy&amp;"_"&amp;Investment_Strategy_Sub2&amp;"_"&amp;$A111,'Investment Strategies'!$T:$AF,8,FALSE),
IF(Investment_Strategy ="DIY",DIY_RateOfReturn_CurrentFunds,
"Error")))))),Max_InvReturn)</f>
        <v>4.1816398110932074E-3</v>
      </c>
      <c r="F111" s="62">
        <f>IF(AV111=0,0,
IF(Investment_Strategy="DIS",VLOOKUP(Investment_Strategy&amp;"_"&amp;Investment_Strategy_Sub1&amp;"_"&amp;$A111,'Investment Strategies'!$AZ:$BP,15,FALSE),
IF(AND(Investment_Strategy="Lifecycle",Investment_Strategy_Sub1="Non-Standard"),VLOOKUP(Investment_Strategy&amp;"_"&amp;Investment_Strategy_Sub2&amp;"_"&amp;$A111,'Investment Strategies'!$C:$P,12,FALSE),
IF(AND(Investment_Strategy="Lifecycle",Investment_Strategy_Sub1="Standard"),VLOOKUP(Investment_Strategy&amp;"_"&amp;Investment_Strategy_Sub2&amp;"_"&amp;$A111,'Investment Strategies'!$AJ:$AV,11,FALSE),
IF(AND(Investment_Strategy="Autopilot",Investment_Strategy_Sub1="Non-Standard"),VLOOKUP(Investment_Strategy&amp;"_"&amp;Investment_Strategy_Sub2&amp;"_"&amp;$A111,'Investment Strategies'!$T:$AF,11,FALSE),
IF(Investment_Strategy="DIY",DIY_GteeChrge_CurrentFunds,
"Error"))))))</f>
        <v>5.4328711526985263E-4</v>
      </c>
      <c r="G111" s="33">
        <f>IF(AV111=0,0,
IF(Investment_Strategy="DIS",VLOOKUP(Investment_Strategy&amp;"_"&amp;Investment_Strategy_Sub1&amp;"_"&amp;$A111,'Investment Strategies'!$AZ:$BP,17,FALSE),
IF(AND(Investment_Strategy="Lifecycle",Investment_Strategy_Sub1="Non-Standard"),VLOOKUP(Investment_Strategy&amp;"_"&amp;Investment_Strategy_Sub2&amp;"_"&amp;$A111,'Investment Strategies'!$C:$P,14,FALSE),
IF(AND(Investment_Strategy="Lifecycle",Investment_Strategy_Sub1="Standard"),VLOOKUP(Investment_Strategy&amp;"_"&amp;Investment_Strategy_Sub2&amp;"_"&amp;$A111,'Investment Strategies'!$AJ:$AV,13,FALSE),
IF(AND(Investment_Strategy="Autopilot",Investment_Strategy_Sub1="Non-Standard"),VLOOKUP(Investment_Strategy&amp;"_"&amp;Investment_Strategy_Sub2&amp;"_"&amp;$A111,'Investment Strategies'!$T:$AF,13,FALSE),
IF(Investment_Strategy="DIY",DIY_ExtManChrge_CurrentFunds,
"Error"))))))</f>
        <v>2.0857243058891584E-4</v>
      </c>
      <c r="H111" s="16">
        <f t="shared" si="30"/>
        <v>0</v>
      </c>
      <c r="I111" s="16">
        <f t="shared" si="13"/>
        <v>0</v>
      </c>
      <c r="J111" s="16">
        <f t="shared" si="14"/>
        <v>0</v>
      </c>
      <c r="K111" s="16">
        <f>(Opening_Fund_Value+SUM(K$91:K110))*E111*IF(D111=$A$91,SRP_finalmonthfactor,1)</f>
        <v>0</v>
      </c>
      <c r="L111" s="74">
        <f>MIN(IF($AV111=0,0,
IF(Investment_Strategy="DIS",VLOOKUP(Investment_Strategy&amp;"_"&amp;Investment_Strategy_Sub1&amp;"_"&amp;$A111,'Investment Strategies'!$AZ:$BP,12,FALSE),
IF(AND(Investment_Strategy="Lifecycle",Investment_Strategy_Sub1="Non-Standard"),VLOOKUP(Investment_Strategy&amp;"_"&amp;Investment_Strategy_Sub2&amp;"_"&amp;$A111,'Investment Strategies'!$C:$P,9,FALSE),
IF(AND(Investment_Strategy="Lifecycle",Investment_Strategy_Sub1="Standard"),VLOOKUP(Investment_Strategy&amp;"_"&amp;Investment_Strategy_Sub2&amp;"_"&amp;$A111,'Investment Strategies'!$AJ:$AV,8,FALSE),
IF(AND(Investment_Strategy="Autopilot",Investment_Strategy_Sub1="Non-Standard"),VLOOKUP(Investment_Strategy&amp;"_"&amp;Investment_Strategy_Sub2&amp;"_"&amp;$A111,'Investment Strategies'!$T:$AF,8,FALSE),
IF(Investment_Strategy ="DIY",DIY_RateofReturn_SP,
"Error")))))),Max_InvReturn)</f>
        <v>4.1816398110932074E-3</v>
      </c>
      <c r="M111" s="62">
        <f>IF($AV111=0,0,
IF(Investment_Strategy="DIS",VLOOKUP(Investment_Strategy&amp;"_"&amp;Investment_Strategy_Sub1&amp;"_"&amp;$A111,'Investment Strategies'!$AZ:$BP,15,FALSE),
IF(AND(Investment_Strategy="Lifecycle",Investment_Strategy_Sub1="Non-Standard"),VLOOKUP(Investment_Strategy&amp;"_"&amp;Investment_Strategy_Sub2&amp;"_"&amp;$A111,'Investment Strategies'!$C:$P,12,FALSE),
IF(AND(Investment_Strategy="Lifecycle",Investment_Strategy_Sub1="Standard"),VLOOKUP(Investment_Strategy&amp;"_"&amp;Investment_Strategy_Sub2&amp;"_"&amp;$A111,'Investment Strategies'!$AJ:$AV,11,FALSE),
IF(AND(Investment_Strategy="Autopilot",Investment_Strategy_Sub1="Non-Standard"),VLOOKUP(Investment_Strategy&amp;"_"&amp;Investment_Strategy_Sub2&amp;"_"&amp;$A111,'Investment Strategies'!$T:$AF,11,FALSE),
IF(Investment_Strategy="DIY",DIY_GteeChrge_SP,
"Error"))))))</f>
        <v>0</v>
      </c>
      <c r="N111" s="33">
        <f>IF($AV111=0,0,
IF(Investment_Strategy="DIS",VLOOKUP(Investment_Strategy&amp;"_"&amp;Investment_Strategy_Sub1&amp;"_"&amp;$A111,'Investment Strategies'!$AZ:$BP,17,FALSE),
IF(AND(Investment_Strategy="Lifecycle",Investment_Strategy_Sub1="Non-Standard"),VLOOKUP(Investment_Strategy&amp;"_"&amp;Investment_Strategy_Sub2&amp;"_"&amp;$A111,'Investment Strategies'!$C:$P,14,FALSE),
IF(AND(Investment_Strategy="Lifecycle",Investment_Strategy_Sub1="Standard"),VLOOKUP(Investment_Strategy&amp;"_"&amp;Investment_Strategy_Sub2&amp;"_"&amp;$A111,'Investment Strategies'!$AJ:$AV,13,FALSE),
IF(AND(Investment_Strategy="Autopilot",Investment_Strategy_Sub1="Non-Standard"),VLOOKUP(Investment_Strategy&amp;"_"&amp;Investment_Strategy_Sub2&amp;"_"&amp;$A111,'Investment Strategies'!$T:$AF,13,FALSE),
IF(Investment_Strategy="DIY",DIY_ExtManChrge_SP,
"Error"))))))</f>
        <v>2.0857243058891584E-4</v>
      </c>
      <c r="O111" s="16">
        <f t="shared" si="50"/>
        <v>746455.42653932353</v>
      </c>
      <c r="Q111" s="16">
        <f t="shared" si="15"/>
        <v>3121.4077288233962</v>
      </c>
      <c r="R111" s="16">
        <f t="shared" si="16"/>
        <v>-719.35520959412793</v>
      </c>
      <c r="S111" s="16">
        <f>(SRP_SP+SUM(S$91:S110))*L111*IF(D111=$A$91,SRP_finalmonthfactor,1)</f>
        <v>3181.9268661073183</v>
      </c>
      <c r="T111" s="74">
        <f>MIN(IF($AV111=0,0,
IF(Investment_Strategy="DIS",VLOOKUP(Investment_Strategy&amp;"_"&amp;Investment_Strategy_Sub1&amp;"_"&amp;$A111,'Investment Strategies'!$AZ:$BP,12,FALSE),
IF(AND(Investment_Strategy="Lifecycle",Investment_Strategy_Sub1="Non-Standard"),VLOOKUP(Investment_Strategy&amp;"_"&amp;Investment_Strategy_Sub2&amp;"_"&amp;$A111,'Investment Strategies'!$C:$P,9,FALSE),
IF(AND(Investment_Strategy="Lifecycle",Investment_Strategy_Sub1="Standard"),VLOOKUP(Investment_Strategy&amp;"_"&amp;Investment_Strategy_Sub2&amp;"_"&amp;$A111,'Investment Strategies'!$AJ:$AV,8,FALSE),
IF(AND(Investment_Strategy="Autopilot",Investment_Strategy_Sub1="Non-Standard"),VLOOKUP(Investment_Strategy&amp;"_"&amp;Investment_Strategy_Sub2&amp;"_"&amp;$A111,'Investment Strategies'!$T:$AF,8,FALSE),
IF(Investment_Strategy ="DIY",DIY_RateOfReturn_FuturePremiums,
"Error")))))),Max_InvReturn)</f>
        <v>4.1816398110932074E-3</v>
      </c>
      <c r="U111" s="62">
        <f>IF($AV111=0,0,
IF(Investment_Strategy="DIS",VLOOKUP(Investment_Strategy&amp;"_"&amp;Investment_Strategy_Sub1&amp;"_"&amp;$A111,'Investment Strategies'!$AZ:$BP,15,FALSE),
IF(AND(Investment_Strategy="Lifecycle",Investment_Strategy_Sub1="Non-Standard"),VLOOKUP(Investment_Strategy&amp;"_"&amp;Investment_Strategy_Sub2&amp;"_"&amp;$A111,'Investment Strategies'!$C:$P,12,FALSE),
IF(AND(Investment_Strategy="Lifecycle",Investment_Strategy_Sub1="Standard"),VLOOKUP(Investment_Strategy&amp;"_"&amp;Investment_Strategy_Sub2&amp;"_"&amp;$A111,'Investment Strategies'!$AJ:$AV,11,FALSE),
IF(AND(Investment_Strategy="Autopilot",Investment_Strategy_Sub1="Non-Standard"),VLOOKUP(Investment_Strategy&amp;"_"&amp;Investment_Strategy_Sub2&amp;"_"&amp;$A111,'Investment Strategies'!$T:$AF,11,FALSE),
IF(Investment_Strategy="DIY",DIY_GteeChrge_FuturePremiums,
"Error"))))))</f>
        <v>0</v>
      </c>
      <c r="V111" s="33">
        <f>IF(AV111=0,0,
IF(Investment_Strategy="DIS",VLOOKUP(Investment_Strategy&amp;"_"&amp;Investment_Strategy_Sub1&amp;"_"&amp;$A111,'Investment Strategies'!$AZ:$BP,17,FALSE),
IF(AND(Investment_Strategy="Lifecycle",Investment_Strategy_Sub1="Non-Standard"),VLOOKUP(Investment_Strategy&amp;"_"&amp;Investment_Strategy_Sub2&amp;"_"&amp;$A111,'Investment Strategies'!$C:$P,14,FALSE),
IF(AND(Investment_Strategy="Lifecycle",Investment_Strategy_Sub1="Standard"),VLOOKUP(Investment_Strategy&amp;"_"&amp;Investment_Strategy_Sub2&amp;"_"&amp;$A111,'Investment Strategies'!$AJ:$AV,13,FALSE),
IF(AND(Investment_Strategy="Autopilot",Investment_Strategy_Sub1="Non-Standard"),VLOOKUP(Investment_Strategy&amp;"_"&amp;Investment_Strategy_Sub2&amp;"_"&amp;$A111,'Investment Strategies'!$T:$AF,13,FALSE),
IF(Investment_Strategy="DIY",DIY_ExtManChrge_FuturePremiums,
"Error"))))))</f>
        <v>1.2508601994698498E-4</v>
      </c>
      <c r="W111" s="16">
        <f t="shared" si="51"/>
        <v>0</v>
      </c>
      <c r="X111" s="16">
        <f t="shared" si="17"/>
        <v>0</v>
      </c>
      <c r="Y111" s="16">
        <f t="shared" si="18"/>
        <v>0</v>
      </c>
      <c r="Z111" s="31">
        <f t="shared" si="19"/>
        <v>0.02</v>
      </c>
      <c r="AA111" s="16">
        <f t="shared" si="20"/>
        <v>0</v>
      </c>
      <c r="AB111" s="28">
        <f t="shared" si="53"/>
        <v>760928.01146243815</v>
      </c>
      <c r="AC111" s="28">
        <f>(SUM($AC$91:AC110)+SUM($X$91:X110)+X111)*T111*IF(D111=$A$91,SRP_finalmonthfactor,1)</f>
        <v>0</v>
      </c>
      <c r="AD111" s="16">
        <f t="shared" si="21"/>
        <v>-156.01554243802246</v>
      </c>
      <c r="AE111" s="106"/>
      <c r="AF111" s="16">
        <f t="shared" si="52"/>
        <v>746455.42653932353</v>
      </c>
      <c r="AG111" s="16">
        <f t="shared" si="31"/>
        <v>3181.9268661073183</v>
      </c>
      <c r="AH111" s="16">
        <f t="shared" si="32"/>
        <v>-719.35520959412793</v>
      </c>
      <c r="AJ111" s="13">
        <f t="shared" ref="AJ111:AU120" si="63">IF($C111&lt;=AJ$90,1,0)</f>
        <v>0</v>
      </c>
      <c r="AK111" s="13">
        <f t="shared" si="63"/>
        <v>1</v>
      </c>
      <c r="AL111" s="13">
        <f t="shared" si="63"/>
        <v>1</v>
      </c>
      <c r="AM111" s="13">
        <f t="shared" si="63"/>
        <v>1</v>
      </c>
      <c r="AN111" s="13">
        <f t="shared" si="63"/>
        <v>1</v>
      </c>
      <c r="AO111" s="13">
        <f t="shared" si="63"/>
        <v>1</v>
      </c>
      <c r="AP111" s="13">
        <f t="shared" si="63"/>
        <v>1</v>
      </c>
      <c r="AQ111" s="13">
        <f t="shared" si="63"/>
        <v>1</v>
      </c>
      <c r="AR111" s="13">
        <f t="shared" si="63"/>
        <v>1</v>
      </c>
      <c r="AS111" s="13">
        <f t="shared" si="63"/>
        <v>1</v>
      </c>
      <c r="AT111" s="13">
        <f t="shared" si="63"/>
        <v>1</v>
      </c>
      <c r="AU111" s="13">
        <f t="shared" si="63"/>
        <v>1</v>
      </c>
      <c r="AV111" s="13">
        <f t="shared" si="23"/>
        <v>1</v>
      </c>
      <c r="AW111" s="13">
        <f t="shared" si="33"/>
        <v>1</v>
      </c>
      <c r="AY111" s="17">
        <f t="shared" si="24"/>
        <v>21</v>
      </c>
      <c r="AZ111" s="28">
        <f t="shared" si="34"/>
        <v>0</v>
      </c>
      <c r="BA111" s="13">
        <f t="shared" si="25"/>
        <v>0</v>
      </c>
      <c r="BB111" s="13">
        <f t="shared" si="26"/>
        <v>0</v>
      </c>
      <c r="BC111" s="28">
        <f t="shared" si="35"/>
        <v>0</v>
      </c>
      <c r="BD111" s="28">
        <f t="shared" si="36"/>
        <v>0</v>
      </c>
      <c r="BF111" s="248">
        <f t="shared" si="37"/>
        <v>764109.93832854542</v>
      </c>
      <c r="BG111" s="36">
        <f t="shared" si="54"/>
        <v>0</v>
      </c>
      <c r="BH111" s="36">
        <f t="shared" si="55"/>
        <v>746455.42653932353</v>
      </c>
      <c r="BI111" s="249">
        <f t="shared" si="56"/>
        <v>4.1816398110932074E-3</v>
      </c>
      <c r="BJ111" s="246">
        <f t="shared" si="57"/>
        <v>2.0857243058891584E-4</v>
      </c>
      <c r="BK111" s="246">
        <f t="shared" si="27"/>
        <v>7.531116566323881E-4</v>
      </c>
      <c r="BL111" s="246">
        <f t="shared" si="58"/>
        <v>0</v>
      </c>
      <c r="BM111" s="246">
        <f t="shared" si="59"/>
        <v>9.6168408722130394E-4</v>
      </c>
      <c r="BN111" s="36">
        <f t="shared" si="44"/>
        <v>719.35520959412781</v>
      </c>
      <c r="BO111" s="36">
        <f t="shared" si="60"/>
        <v>3121.4077288233962</v>
      </c>
      <c r="BP111" s="36">
        <f t="shared" si="61"/>
        <v>748857.47905855277</v>
      </c>
    </row>
    <row r="112" spans="1:68">
      <c r="A112" s="32">
        <f t="shared" si="47"/>
        <v>63</v>
      </c>
      <c r="B112" s="32">
        <f t="shared" si="28"/>
        <v>54</v>
      </c>
      <c r="C112" s="32">
        <f t="shared" si="48"/>
        <v>2</v>
      </c>
      <c r="D112" s="32">
        <f t="shared" si="49"/>
        <v>22</v>
      </c>
      <c r="E112" s="74">
        <f>MIN(IF(AV112=0,0,
IF(Investment_Strategy="DIS",VLOOKUP(Investment_Strategy&amp;"_"&amp;Investment_Strategy_Sub1&amp;"_"&amp;$A112,'Investment Strategies'!$AZ:$BP,12,FALSE),
IF(AND(Investment_Strategy="Lifecycle",Investment_Strategy_Sub1="Non-Standard"),VLOOKUP(Investment_Strategy&amp;"_"&amp;Investment_Strategy_Sub2&amp;"_"&amp;$A112,'Investment Strategies'!$C:$P,9,FALSE),
IF(AND(Investment_Strategy="Lifecycle",Investment_Strategy_Sub1="Standard"),VLOOKUP(Investment_Strategy&amp;"_"&amp;Investment_Strategy_Sub2&amp;"_"&amp;$A112,'Investment Strategies'!$AJ:$AV,8,FALSE),
IF(AND(Investment_Strategy="Autopilot",Investment_Strategy_Sub1="Non-Standard"),VLOOKUP(Investment_Strategy&amp;"_"&amp;Investment_Strategy_Sub2&amp;"_"&amp;$A112,'Investment Strategies'!$T:$AF,8,FALSE),
IF(Investment_Strategy ="DIY",DIY_RateOfReturn_CurrentFunds,
"Error")))))),Max_InvReturn)</f>
        <v>4.1816398110932074E-3</v>
      </c>
      <c r="F112" s="62">
        <f>IF(AV112=0,0,
IF(Investment_Strategy="DIS",VLOOKUP(Investment_Strategy&amp;"_"&amp;Investment_Strategy_Sub1&amp;"_"&amp;$A112,'Investment Strategies'!$AZ:$BP,15,FALSE),
IF(AND(Investment_Strategy="Lifecycle",Investment_Strategy_Sub1="Non-Standard"),VLOOKUP(Investment_Strategy&amp;"_"&amp;Investment_Strategy_Sub2&amp;"_"&amp;$A112,'Investment Strategies'!$C:$P,12,FALSE),
IF(AND(Investment_Strategy="Lifecycle",Investment_Strategy_Sub1="Standard"),VLOOKUP(Investment_Strategy&amp;"_"&amp;Investment_Strategy_Sub2&amp;"_"&amp;$A112,'Investment Strategies'!$AJ:$AV,11,FALSE),
IF(AND(Investment_Strategy="Autopilot",Investment_Strategy_Sub1="Non-Standard"),VLOOKUP(Investment_Strategy&amp;"_"&amp;Investment_Strategy_Sub2&amp;"_"&amp;$A112,'Investment Strategies'!$T:$AF,11,FALSE),
IF(Investment_Strategy="DIY",DIY_GteeChrge_CurrentFunds,
"Error"))))))</f>
        <v>5.4328711526985263E-4</v>
      </c>
      <c r="G112" s="33">
        <f>IF(AV112=0,0,
IF(Investment_Strategy="DIS",VLOOKUP(Investment_Strategy&amp;"_"&amp;Investment_Strategy_Sub1&amp;"_"&amp;$A112,'Investment Strategies'!$AZ:$BP,17,FALSE),
IF(AND(Investment_Strategy="Lifecycle",Investment_Strategy_Sub1="Non-Standard"),VLOOKUP(Investment_Strategy&amp;"_"&amp;Investment_Strategy_Sub2&amp;"_"&amp;$A112,'Investment Strategies'!$C:$P,14,FALSE),
IF(AND(Investment_Strategy="Lifecycle",Investment_Strategy_Sub1="Standard"),VLOOKUP(Investment_Strategy&amp;"_"&amp;Investment_Strategy_Sub2&amp;"_"&amp;$A112,'Investment Strategies'!$AJ:$AV,13,FALSE),
IF(AND(Investment_Strategy="Autopilot",Investment_Strategy_Sub1="Non-Standard"),VLOOKUP(Investment_Strategy&amp;"_"&amp;Investment_Strategy_Sub2&amp;"_"&amp;$A112,'Investment Strategies'!$T:$AF,13,FALSE),
IF(Investment_Strategy="DIY",DIY_ExtManChrge_CurrentFunds,
"Error"))))))</f>
        <v>2.0857243058891584E-4</v>
      </c>
      <c r="H112" s="16">
        <f t="shared" si="30"/>
        <v>0</v>
      </c>
      <c r="I112" s="16">
        <f t="shared" si="13"/>
        <v>0</v>
      </c>
      <c r="J112" s="16">
        <f t="shared" si="14"/>
        <v>0</v>
      </c>
      <c r="K112" s="16">
        <f>(Opening_Fund_Value+SUM(K$91:K111))*E112*IF(D112=$A$91,SRP_finalmonthfactor,1)</f>
        <v>0</v>
      </c>
      <c r="L112" s="74">
        <f>MIN(IF($AV112=0,0,
IF(Investment_Strategy="DIS",VLOOKUP(Investment_Strategy&amp;"_"&amp;Investment_Strategy_Sub1&amp;"_"&amp;$A112,'Investment Strategies'!$AZ:$BP,12,FALSE),
IF(AND(Investment_Strategy="Lifecycle",Investment_Strategy_Sub1="Non-Standard"),VLOOKUP(Investment_Strategy&amp;"_"&amp;Investment_Strategy_Sub2&amp;"_"&amp;$A112,'Investment Strategies'!$C:$P,9,FALSE),
IF(AND(Investment_Strategy="Lifecycle",Investment_Strategy_Sub1="Standard"),VLOOKUP(Investment_Strategy&amp;"_"&amp;Investment_Strategy_Sub2&amp;"_"&amp;$A112,'Investment Strategies'!$AJ:$AV,8,FALSE),
IF(AND(Investment_Strategy="Autopilot",Investment_Strategy_Sub1="Non-Standard"),VLOOKUP(Investment_Strategy&amp;"_"&amp;Investment_Strategy_Sub2&amp;"_"&amp;$A112,'Investment Strategies'!$T:$AF,8,FALSE),
IF(Investment_Strategy ="DIY",DIY_RateofReturn_SP,
"Error")))))),Max_InvReturn)</f>
        <v>4.1816398110932074E-3</v>
      </c>
      <c r="M112" s="62">
        <f>IF($AV112=0,0,
IF(Investment_Strategy="DIS",VLOOKUP(Investment_Strategy&amp;"_"&amp;Investment_Strategy_Sub1&amp;"_"&amp;$A112,'Investment Strategies'!$AZ:$BP,15,FALSE),
IF(AND(Investment_Strategy="Lifecycle",Investment_Strategy_Sub1="Non-Standard"),VLOOKUP(Investment_Strategy&amp;"_"&amp;Investment_Strategy_Sub2&amp;"_"&amp;$A112,'Investment Strategies'!$C:$P,12,FALSE),
IF(AND(Investment_Strategy="Lifecycle",Investment_Strategy_Sub1="Standard"),VLOOKUP(Investment_Strategy&amp;"_"&amp;Investment_Strategy_Sub2&amp;"_"&amp;$A112,'Investment Strategies'!$AJ:$AV,11,FALSE),
IF(AND(Investment_Strategy="Autopilot",Investment_Strategy_Sub1="Non-Standard"),VLOOKUP(Investment_Strategy&amp;"_"&amp;Investment_Strategy_Sub2&amp;"_"&amp;$A112,'Investment Strategies'!$T:$AF,11,FALSE),
IF(Investment_Strategy="DIY",DIY_GteeChrge_SP,
"Error"))))))</f>
        <v>0</v>
      </c>
      <c r="N112" s="33">
        <f>IF($AV112=0,0,
IF(Investment_Strategy="DIS",VLOOKUP(Investment_Strategy&amp;"_"&amp;Investment_Strategy_Sub1&amp;"_"&amp;$A112,'Investment Strategies'!$AZ:$BP,17,FALSE),
IF(AND(Investment_Strategy="Lifecycle",Investment_Strategy_Sub1="Non-Standard"),VLOOKUP(Investment_Strategy&amp;"_"&amp;Investment_Strategy_Sub2&amp;"_"&amp;$A112,'Investment Strategies'!$C:$P,14,FALSE),
IF(AND(Investment_Strategy="Lifecycle",Investment_Strategy_Sub1="Standard"),VLOOKUP(Investment_Strategy&amp;"_"&amp;Investment_Strategy_Sub2&amp;"_"&amp;$A112,'Investment Strategies'!$AJ:$AV,13,FALSE),
IF(AND(Investment_Strategy="Autopilot",Investment_Strategy_Sub1="Non-Standard"),VLOOKUP(Investment_Strategy&amp;"_"&amp;Investment_Strategy_Sub2&amp;"_"&amp;$A112,'Investment Strategies'!$T:$AF,13,FALSE),
IF(Investment_Strategy="DIY",DIY_ExtManChrge_SP,
"Error"))))))</f>
        <v>2.0857243058891584E-4</v>
      </c>
      <c r="O112" s="16">
        <f t="shared" si="50"/>
        <v>748857.47905855277</v>
      </c>
      <c r="Q112" s="16">
        <f t="shared" si="15"/>
        <v>3131.452247266142</v>
      </c>
      <c r="R112" s="16">
        <f t="shared" si="16"/>
        <v>-721.67005510531567</v>
      </c>
      <c r="S112" s="16">
        <f>(SRP_SP+SUM(S$91:S111))*L112*IF(D112=$A$91,SRP_finalmonthfactor,1)</f>
        <v>3195.2325381666196</v>
      </c>
      <c r="T112" s="74">
        <f>MIN(IF($AV112=0,0,
IF(Investment_Strategy="DIS",VLOOKUP(Investment_Strategy&amp;"_"&amp;Investment_Strategy_Sub1&amp;"_"&amp;$A112,'Investment Strategies'!$AZ:$BP,12,FALSE),
IF(AND(Investment_Strategy="Lifecycle",Investment_Strategy_Sub1="Non-Standard"),VLOOKUP(Investment_Strategy&amp;"_"&amp;Investment_Strategy_Sub2&amp;"_"&amp;$A112,'Investment Strategies'!$C:$P,9,FALSE),
IF(AND(Investment_Strategy="Lifecycle",Investment_Strategy_Sub1="Standard"),VLOOKUP(Investment_Strategy&amp;"_"&amp;Investment_Strategy_Sub2&amp;"_"&amp;$A112,'Investment Strategies'!$AJ:$AV,8,FALSE),
IF(AND(Investment_Strategy="Autopilot",Investment_Strategy_Sub1="Non-Standard"),VLOOKUP(Investment_Strategy&amp;"_"&amp;Investment_Strategy_Sub2&amp;"_"&amp;$A112,'Investment Strategies'!$T:$AF,8,FALSE),
IF(Investment_Strategy ="DIY",DIY_RateOfReturn_FuturePremiums,
"Error")))))),Max_InvReturn)</f>
        <v>4.1816398110932074E-3</v>
      </c>
      <c r="U112" s="62">
        <f>IF($AV112=0,0,
IF(Investment_Strategy="DIS",VLOOKUP(Investment_Strategy&amp;"_"&amp;Investment_Strategy_Sub1&amp;"_"&amp;$A112,'Investment Strategies'!$AZ:$BP,15,FALSE),
IF(AND(Investment_Strategy="Lifecycle",Investment_Strategy_Sub1="Non-Standard"),VLOOKUP(Investment_Strategy&amp;"_"&amp;Investment_Strategy_Sub2&amp;"_"&amp;$A112,'Investment Strategies'!$C:$P,12,FALSE),
IF(AND(Investment_Strategy="Lifecycle",Investment_Strategy_Sub1="Standard"),VLOOKUP(Investment_Strategy&amp;"_"&amp;Investment_Strategy_Sub2&amp;"_"&amp;$A112,'Investment Strategies'!$AJ:$AV,11,FALSE),
IF(AND(Investment_Strategy="Autopilot",Investment_Strategy_Sub1="Non-Standard"),VLOOKUP(Investment_Strategy&amp;"_"&amp;Investment_Strategy_Sub2&amp;"_"&amp;$A112,'Investment Strategies'!$T:$AF,11,FALSE),
IF(Investment_Strategy="DIY",DIY_GteeChrge_FuturePremiums,
"Error"))))))</f>
        <v>0</v>
      </c>
      <c r="V112" s="33">
        <f>IF(AV112=0,0,
IF(Investment_Strategy="DIS",VLOOKUP(Investment_Strategy&amp;"_"&amp;Investment_Strategy_Sub1&amp;"_"&amp;$A112,'Investment Strategies'!$AZ:$BP,17,FALSE),
IF(AND(Investment_Strategy="Lifecycle",Investment_Strategy_Sub1="Non-Standard"),VLOOKUP(Investment_Strategy&amp;"_"&amp;Investment_Strategy_Sub2&amp;"_"&amp;$A112,'Investment Strategies'!$C:$P,14,FALSE),
IF(AND(Investment_Strategy="Lifecycle",Investment_Strategy_Sub1="Standard"),VLOOKUP(Investment_Strategy&amp;"_"&amp;Investment_Strategy_Sub2&amp;"_"&amp;$A112,'Investment Strategies'!$AJ:$AV,13,FALSE),
IF(AND(Investment_Strategy="Autopilot",Investment_Strategy_Sub1="Non-Standard"),VLOOKUP(Investment_Strategy&amp;"_"&amp;Investment_Strategy_Sub2&amp;"_"&amp;$A112,'Investment Strategies'!$T:$AF,13,FALSE),
IF(Investment_Strategy="DIY",DIY_ExtManChrge_FuturePremiums,
"Error"))))))</f>
        <v>1.2508601994698498E-4</v>
      </c>
      <c r="W112" s="16">
        <f t="shared" si="51"/>
        <v>0</v>
      </c>
      <c r="X112" s="16">
        <f t="shared" si="17"/>
        <v>0</v>
      </c>
      <c r="Y112" s="16">
        <f t="shared" si="18"/>
        <v>0</v>
      </c>
      <c r="Z112" s="31">
        <f t="shared" si="19"/>
        <v>0.02</v>
      </c>
      <c r="AA112" s="16">
        <f t="shared" si="20"/>
        <v>0</v>
      </c>
      <c r="AB112" s="28">
        <f t="shared" si="53"/>
        <v>764109.93832854542</v>
      </c>
      <c r="AC112" s="28">
        <f>(SUM($AC$91:AC111)+SUM($X$91:X111)+X112)*T112*IF(D112=$A$91,SRP_finalmonthfactor,1)</f>
        <v>0</v>
      </c>
      <c r="AD112" s="16">
        <f t="shared" si="21"/>
        <v>-156.5175918751732</v>
      </c>
      <c r="AE112" s="106"/>
      <c r="AF112" s="16">
        <f t="shared" si="52"/>
        <v>748857.47905855277</v>
      </c>
      <c r="AG112" s="16">
        <f t="shared" si="31"/>
        <v>3195.2325381666196</v>
      </c>
      <c r="AH112" s="16">
        <f t="shared" si="32"/>
        <v>-721.67005510531567</v>
      </c>
      <c r="AJ112" s="13">
        <f t="shared" si="63"/>
        <v>0</v>
      </c>
      <c r="AK112" s="13">
        <f t="shared" si="63"/>
        <v>1</v>
      </c>
      <c r="AL112" s="13">
        <f t="shared" si="63"/>
        <v>1</v>
      </c>
      <c r="AM112" s="13">
        <f t="shared" si="63"/>
        <v>1</v>
      </c>
      <c r="AN112" s="13">
        <f t="shared" si="63"/>
        <v>1</v>
      </c>
      <c r="AO112" s="13">
        <f t="shared" si="63"/>
        <v>1</v>
      </c>
      <c r="AP112" s="13">
        <f t="shared" si="63"/>
        <v>1</v>
      </c>
      <c r="AQ112" s="13">
        <f t="shared" si="63"/>
        <v>1</v>
      </c>
      <c r="AR112" s="13">
        <f t="shared" si="63"/>
        <v>1</v>
      </c>
      <c r="AS112" s="13">
        <f t="shared" si="63"/>
        <v>1</v>
      </c>
      <c r="AT112" s="13">
        <f t="shared" si="63"/>
        <v>1</v>
      </c>
      <c r="AU112" s="13">
        <f t="shared" si="63"/>
        <v>1</v>
      </c>
      <c r="AV112" s="13">
        <f t="shared" si="23"/>
        <v>1</v>
      </c>
      <c r="AW112" s="13">
        <f t="shared" si="33"/>
        <v>1</v>
      </c>
      <c r="AY112" s="17">
        <f t="shared" si="24"/>
        <v>22</v>
      </c>
      <c r="AZ112" s="28">
        <f t="shared" si="34"/>
        <v>0</v>
      </c>
      <c r="BA112" s="13">
        <f t="shared" si="25"/>
        <v>0</v>
      </c>
      <c r="BB112" s="13">
        <f t="shared" si="26"/>
        <v>0</v>
      </c>
      <c r="BC112" s="28">
        <f t="shared" si="35"/>
        <v>0</v>
      </c>
      <c r="BD112" s="28">
        <f t="shared" si="36"/>
        <v>0</v>
      </c>
      <c r="BF112" s="248">
        <f t="shared" si="37"/>
        <v>767305.170866712</v>
      </c>
      <c r="BG112" s="36">
        <f t="shared" si="54"/>
        <v>0</v>
      </c>
      <c r="BH112" s="36">
        <f t="shared" si="55"/>
        <v>748857.47905855277</v>
      </c>
      <c r="BI112" s="249">
        <f t="shared" si="56"/>
        <v>4.1816398110932074E-3</v>
      </c>
      <c r="BJ112" s="246">
        <f t="shared" si="57"/>
        <v>2.0857243058891584E-4</v>
      </c>
      <c r="BK112" s="246">
        <f t="shared" si="27"/>
        <v>7.531116566323881E-4</v>
      </c>
      <c r="BL112" s="246">
        <f t="shared" si="58"/>
        <v>0</v>
      </c>
      <c r="BM112" s="246">
        <f t="shared" si="59"/>
        <v>9.6168408722130394E-4</v>
      </c>
      <c r="BN112" s="36">
        <f t="shared" si="44"/>
        <v>721.67005510531556</v>
      </c>
      <c r="BO112" s="36">
        <f t="shared" si="60"/>
        <v>3131.452247266142</v>
      </c>
      <c r="BP112" s="36">
        <f t="shared" si="61"/>
        <v>751267.26125071361</v>
      </c>
    </row>
    <row r="113" spans="1:68">
      <c r="A113" s="32">
        <f t="shared" si="47"/>
        <v>62</v>
      </c>
      <c r="B113" s="32">
        <f t="shared" si="28"/>
        <v>54</v>
      </c>
      <c r="C113" s="32">
        <f t="shared" si="48"/>
        <v>2</v>
      </c>
      <c r="D113" s="32">
        <f t="shared" si="49"/>
        <v>23</v>
      </c>
      <c r="E113" s="74">
        <f>MIN(IF(AV113=0,0,
IF(Investment_Strategy="DIS",VLOOKUP(Investment_Strategy&amp;"_"&amp;Investment_Strategy_Sub1&amp;"_"&amp;$A113,'Investment Strategies'!$AZ:$BP,12,FALSE),
IF(AND(Investment_Strategy="Lifecycle",Investment_Strategy_Sub1="Non-Standard"),VLOOKUP(Investment_Strategy&amp;"_"&amp;Investment_Strategy_Sub2&amp;"_"&amp;$A113,'Investment Strategies'!$C:$P,9,FALSE),
IF(AND(Investment_Strategy="Lifecycle",Investment_Strategy_Sub1="Standard"),VLOOKUP(Investment_Strategy&amp;"_"&amp;Investment_Strategy_Sub2&amp;"_"&amp;$A113,'Investment Strategies'!$AJ:$AV,8,FALSE),
IF(AND(Investment_Strategy="Autopilot",Investment_Strategy_Sub1="Non-Standard"),VLOOKUP(Investment_Strategy&amp;"_"&amp;Investment_Strategy_Sub2&amp;"_"&amp;$A113,'Investment Strategies'!$T:$AF,8,FALSE),
IF(Investment_Strategy ="DIY",DIY_RateOfReturn_CurrentFunds,
"Error")))))),Max_InvReturn)</f>
        <v>4.1816398110932074E-3</v>
      </c>
      <c r="F113" s="62">
        <f>IF(AV113=0,0,
IF(Investment_Strategy="DIS",VLOOKUP(Investment_Strategy&amp;"_"&amp;Investment_Strategy_Sub1&amp;"_"&amp;$A113,'Investment Strategies'!$AZ:$BP,15,FALSE),
IF(AND(Investment_Strategy="Lifecycle",Investment_Strategy_Sub1="Non-Standard"),VLOOKUP(Investment_Strategy&amp;"_"&amp;Investment_Strategy_Sub2&amp;"_"&amp;$A113,'Investment Strategies'!$C:$P,12,FALSE),
IF(AND(Investment_Strategy="Lifecycle",Investment_Strategy_Sub1="Standard"),VLOOKUP(Investment_Strategy&amp;"_"&amp;Investment_Strategy_Sub2&amp;"_"&amp;$A113,'Investment Strategies'!$AJ:$AV,11,FALSE),
IF(AND(Investment_Strategy="Autopilot",Investment_Strategy_Sub1="Non-Standard"),VLOOKUP(Investment_Strategy&amp;"_"&amp;Investment_Strategy_Sub2&amp;"_"&amp;$A113,'Investment Strategies'!$T:$AF,11,FALSE),
IF(Investment_Strategy="DIY",DIY_GteeChrge_CurrentFunds,
"Error"))))))</f>
        <v>5.4328711526985263E-4</v>
      </c>
      <c r="G113" s="33">
        <f>IF(AV113=0,0,
IF(Investment_Strategy="DIS",VLOOKUP(Investment_Strategy&amp;"_"&amp;Investment_Strategy_Sub1&amp;"_"&amp;$A113,'Investment Strategies'!$AZ:$BP,17,FALSE),
IF(AND(Investment_Strategy="Lifecycle",Investment_Strategy_Sub1="Non-Standard"),VLOOKUP(Investment_Strategy&amp;"_"&amp;Investment_Strategy_Sub2&amp;"_"&amp;$A113,'Investment Strategies'!$C:$P,14,FALSE),
IF(AND(Investment_Strategy="Lifecycle",Investment_Strategy_Sub1="Standard"),VLOOKUP(Investment_Strategy&amp;"_"&amp;Investment_Strategy_Sub2&amp;"_"&amp;$A113,'Investment Strategies'!$AJ:$AV,13,FALSE),
IF(AND(Investment_Strategy="Autopilot",Investment_Strategy_Sub1="Non-Standard"),VLOOKUP(Investment_Strategy&amp;"_"&amp;Investment_Strategy_Sub2&amp;"_"&amp;$A113,'Investment Strategies'!$T:$AF,13,FALSE),
IF(Investment_Strategy="DIY",DIY_ExtManChrge_CurrentFunds,
"Error"))))))</f>
        <v>2.0857243058891584E-4</v>
      </c>
      <c r="H113" s="16">
        <f t="shared" si="30"/>
        <v>0</v>
      </c>
      <c r="I113" s="16">
        <f t="shared" si="13"/>
        <v>0</v>
      </c>
      <c r="J113" s="16">
        <f t="shared" si="14"/>
        <v>0</v>
      </c>
      <c r="K113" s="16">
        <f>(Opening_Fund_Value+SUM(K$91:K112))*E113*IF(D113=$A$91,SRP_finalmonthfactor,1)</f>
        <v>0</v>
      </c>
      <c r="L113" s="74">
        <f>MIN(IF($AV113=0,0,
IF(Investment_Strategy="DIS",VLOOKUP(Investment_Strategy&amp;"_"&amp;Investment_Strategy_Sub1&amp;"_"&amp;$A113,'Investment Strategies'!$AZ:$BP,12,FALSE),
IF(AND(Investment_Strategy="Lifecycle",Investment_Strategy_Sub1="Non-Standard"),VLOOKUP(Investment_Strategy&amp;"_"&amp;Investment_Strategy_Sub2&amp;"_"&amp;$A113,'Investment Strategies'!$C:$P,9,FALSE),
IF(AND(Investment_Strategy="Lifecycle",Investment_Strategy_Sub1="Standard"),VLOOKUP(Investment_Strategy&amp;"_"&amp;Investment_Strategy_Sub2&amp;"_"&amp;$A113,'Investment Strategies'!$AJ:$AV,8,FALSE),
IF(AND(Investment_Strategy="Autopilot",Investment_Strategy_Sub1="Non-Standard"),VLOOKUP(Investment_Strategy&amp;"_"&amp;Investment_Strategy_Sub2&amp;"_"&amp;$A113,'Investment Strategies'!$T:$AF,8,FALSE),
IF(Investment_Strategy ="DIY",DIY_RateofReturn_SP,
"Error")))))),Max_InvReturn)</f>
        <v>4.1816398110932074E-3</v>
      </c>
      <c r="M113" s="62">
        <f>IF($AV113=0,0,
IF(Investment_Strategy="DIS",VLOOKUP(Investment_Strategy&amp;"_"&amp;Investment_Strategy_Sub1&amp;"_"&amp;$A113,'Investment Strategies'!$AZ:$BP,15,FALSE),
IF(AND(Investment_Strategy="Lifecycle",Investment_Strategy_Sub1="Non-Standard"),VLOOKUP(Investment_Strategy&amp;"_"&amp;Investment_Strategy_Sub2&amp;"_"&amp;$A113,'Investment Strategies'!$C:$P,12,FALSE),
IF(AND(Investment_Strategy="Lifecycle",Investment_Strategy_Sub1="Standard"),VLOOKUP(Investment_Strategy&amp;"_"&amp;Investment_Strategy_Sub2&amp;"_"&amp;$A113,'Investment Strategies'!$AJ:$AV,11,FALSE),
IF(AND(Investment_Strategy="Autopilot",Investment_Strategy_Sub1="Non-Standard"),VLOOKUP(Investment_Strategy&amp;"_"&amp;Investment_Strategy_Sub2&amp;"_"&amp;$A113,'Investment Strategies'!$T:$AF,11,FALSE),
IF(Investment_Strategy="DIY",DIY_GteeChrge_SP,
"Error"))))))</f>
        <v>0</v>
      </c>
      <c r="N113" s="33">
        <f>IF($AV113=0,0,
IF(Investment_Strategy="DIS",VLOOKUP(Investment_Strategy&amp;"_"&amp;Investment_Strategy_Sub1&amp;"_"&amp;$A113,'Investment Strategies'!$AZ:$BP,17,FALSE),
IF(AND(Investment_Strategy="Lifecycle",Investment_Strategy_Sub1="Non-Standard"),VLOOKUP(Investment_Strategy&amp;"_"&amp;Investment_Strategy_Sub2&amp;"_"&amp;$A113,'Investment Strategies'!$C:$P,14,FALSE),
IF(AND(Investment_Strategy="Lifecycle",Investment_Strategy_Sub1="Standard"),VLOOKUP(Investment_Strategy&amp;"_"&amp;Investment_Strategy_Sub2&amp;"_"&amp;$A113,'Investment Strategies'!$AJ:$AV,13,FALSE),
IF(AND(Investment_Strategy="Autopilot",Investment_Strategy_Sub1="Non-Standard"),VLOOKUP(Investment_Strategy&amp;"_"&amp;Investment_Strategy_Sub2&amp;"_"&amp;$A113,'Investment Strategies'!$T:$AF,13,FALSE),
IF(Investment_Strategy="DIY",DIY_ExtManChrge_SP,
"Error"))))))</f>
        <v>2.0857243058891584E-4</v>
      </c>
      <c r="O113" s="16">
        <f t="shared" si="50"/>
        <v>751267.26125071361</v>
      </c>
      <c r="Q113" s="16">
        <f t="shared" si="15"/>
        <v>3141.5290884169453</v>
      </c>
      <c r="R113" s="16">
        <f t="shared" si="16"/>
        <v>-723.99234966207803</v>
      </c>
      <c r="S113" s="16">
        <f>(SRP_SP+SUM(S$91:S112))*L113*IF(D113=$A$91,SRP_finalmonthfactor,1)</f>
        <v>3208.5938497539178</v>
      </c>
      <c r="T113" s="74">
        <f>MIN(IF($AV113=0,0,
IF(Investment_Strategy="DIS",VLOOKUP(Investment_Strategy&amp;"_"&amp;Investment_Strategy_Sub1&amp;"_"&amp;$A113,'Investment Strategies'!$AZ:$BP,12,FALSE),
IF(AND(Investment_Strategy="Lifecycle",Investment_Strategy_Sub1="Non-Standard"),VLOOKUP(Investment_Strategy&amp;"_"&amp;Investment_Strategy_Sub2&amp;"_"&amp;$A113,'Investment Strategies'!$C:$P,9,FALSE),
IF(AND(Investment_Strategy="Lifecycle",Investment_Strategy_Sub1="Standard"),VLOOKUP(Investment_Strategy&amp;"_"&amp;Investment_Strategy_Sub2&amp;"_"&amp;$A113,'Investment Strategies'!$AJ:$AV,8,FALSE),
IF(AND(Investment_Strategy="Autopilot",Investment_Strategy_Sub1="Non-Standard"),VLOOKUP(Investment_Strategy&amp;"_"&amp;Investment_Strategy_Sub2&amp;"_"&amp;$A113,'Investment Strategies'!$T:$AF,8,FALSE),
IF(Investment_Strategy ="DIY",DIY_RateOfReturn_FuturePremiums,
"Error")))))),Max_InvReturn)</f>
        <v>4.1816398110932074E-3</v>
      </c>
      <c r="U113" s="62">
        <f>IF($AV113=0,0,
IF(Investment_Strategy="DIS",VLOOKUP(Investment_Strategy&amp;"_"&amp;Investment_Strategy_Sub1&amp;"_"&amp;$A113,'Investment Strategies'!$AZ:$BP,15,FALSE),
IF(AND(Investment_Strategy="Lifecycle",Investment_Strategy_Sub1="Non-Standard"),VLOOKUP(Investment_Strategy&amp;"_"&amp;Investment_Strategy_Sub2&amp;"_"&amp;$A113,'Investment Strategies'!$C:$P,12,FALSE),
IF(AND(Investment_Strategy="Lifecycle",Investment_Strategy_Sub1="Standard"),VLOOKUP(Investment_Strategy&amp;"_"&amp;Investment_Strategy_Sub2&amp;"_"&amp;$A113,'Investment Strategies'!$AJ:$AV,11,FALSE),
IF(AND(Investment_Strategy="Autopilot",Investment_Strategy_Sub1="Non-Standard"),VLOOKUP(Investment_Strategy&amp;"_"&amp;Investment_Strategy_Sub2&amp;"_"&amp;$A113,'Investment Strategies'!$T:$AF,11,FALSE),
IF(Investment_Strategy="DIY",DIY_GteeChrge_FuturePremiums,
"Error"))))))</f>
        <v>0</v>
      </c>
      <c r="V113" s="33">
        <f>IF(AV113=0,0,
IF(Investment_Strategy="DIS",VLOOKUP(Investment_Strategy&amp;"_"&amp;Investment_Strategy_Sub1&amp;"_"&amp;$A113,'Investment Strategies'!$AZ:$BP,17,FALSE),
IF(AND(Investment_Strategy="Lifecycle",Investment_Strategy_Sub1="Non-Standard"),VLOOKUP(Investment_Strategy&amp;"_"&amp;Investment_Strategy_Sub2&amp;"_"&amp;$A113,'Investment Strategies'!$C:$P,14,FALSE),
IF(AND(Investment_Strategy="Lifecycle",Investment_Strategy_Sub1="Standard"),VLOOKUP(Investment_Strategy&amp;"_"&amp;Investment_Strategy_Sub2&amp;"_"&amp;$A113,'Investment Strategies'!$AJ:$AV,13,FALSE),
IF(AND(Investment_Strategy="Autopilot",Investment_Strategy_Sub1="Non-Standard"),VLOOKUP(Investment_Strategy&amp;"_"&amp;Investment_Strategy_Sub2&amp;"_"&amp;$A113,'Investment Strategies'!$T:$AF,13,FALSE),
IF(Investment_Strategy="DIY",DIY_ExtManChrge_FuturePremiums,
"Error"))))))</f>
        <v>1.2508601994698498E-4</v>
      </c>
      <c r="W113" s="16">
        <f t="shared" si="51"/>
        <v>0</v>
      </c>
      <c r="X113" s="16">
        <f t="shared" si="17"/>
        <v>0</v>
      </c>
      <c r="Y113" s="16">
        <f t="shared" si="18"/>
        <v>0</v>
      </c>
      <c r="Z113" s="31">
        <f t="shared" si="19"/>
        <v>0.02</v>
      </c>
      <c r="AA113" s="16">
        <f t="shared" si="20"/>
        <v>0</v>
      </c>
      <c r="AB113" s="28">
        <f t="shared" si="53"/>
        <v>767305.170866712</v>
      </c>
      <c r="AC113" s="28">
        <f>(SUM($AC$91:AC112)+SUM($X$91:X112)+X113)*T113*IF(D113=$A$91,SRP_finalmonthfactor,1)</f>
        <v>0</v>
      </c>
      <c r="AD113" s="16">
        <f t="shared" si="21"/>
        <v>-157.02125687980779</v>
      </c>
      <c r="AE113" s="106"/>
      <c r="AF113" s="16">
        <f t="shared" si="52"/>
        <v>751267.26125071361</v>
      </c>
      <c r="AG113" s="16">
        <f t="shared" si="31"/>
        <v>3208.5938497539178</v>
      </c>
      <c r="AH113" s="16">
        <f t="shared" si="32"/>
        <v>-723.99234966207803</v>
      </c>
      <c r="AJ113" s="13">
        <f t="shared" si="63"/>
        <v>0</v>
      </c>
      <c r="AK113" s="13">
        <f t="shared" si="63"/>
        <v>1</v>
      </c>
      <c r="AL113" s="13">
        <f t="shared" si="63"/>
        <v>1</v>
      </c>
      <c r="AM113" s="13">
        <f t="shared" si="63"/>
        <v>1</v>
      </c>
      <c r="AN113" s="13">
        <f t="shared" si="63"/>
        <v>1</v>
      </c>
      <c r="AO113" s="13">
        <f t="shared" si="63"/>
        <v>1</v>
      </c>
      <c r="AP113" s="13">
        <f t="shared" si="63"/>
        <v>1</v>
      </c>
      <c r="AQ113" s="13">
        <f t="shared" si="63"/>
        <v>1</v>
      </c>
      <c r="AR113" s="13">
        <f t="shared" si="63"/>
        <v>1</v>
      </c>
      <c r="AS113" s="13">
        <f t="shared" si="63"/>
        <v>1</v>
      </c>
      <c r="AT113" s="13">
        <f t="shared" si="63"/>
        <v>1</v>
      </c>
      <c r="AU113" s="13">
        <f t="shared" si="63"/>
        <v>1</v>
      </c>
      <c r="AV113" s="13">
        <f t="shared" si="23"/>
        <v>1</v>
      </c>
      <c r="AW113" s="13">
        <f t="shared" si="33"/>
        <v>1</v>
      </c>
      <c r="AY113" s="17">
        <f t="shared" si="24"/>
        <v>23</v>
      </c>
      <c r="AZ113" s="28">
        <f t="shared" si="34"/>
        <v>0</v>
      </c>
      <c r="BA113" s="13">
        <f t="shared" si="25"/>
        <v>0</v>
      </c>
      <c r="BB113" s="13">
        <f t="shared" si="26"/>
        <v>0</v>
      </c>
      <c r="BC113" s="28">
        <f t="shared" si="35"/>
        <v>0</v>
      </c>
      <c r="BD113" s="28">
        <f t="shared" si="36"/>
        <v>0</v>
      </c>
      <c r="BF113" s="248">
        <f t="shared" si="37"/>
        <v>770513.76471646596</v>
      </c>
      <c r="BG113" s="36">
        <f t="shared" si="54"/>
        <v>0</v>
      </c>
      <c r="BH113" s="36">
        <f t="shared" si="55"/>
        <v>751267.26125071361</v>
      </c>
      <c r="BI113" s="249">
        <f t="shared" si="56"/>
        <v>4.1816398110932074E-3</v>
      </c>
      <c r="BJ113" s="246">
        <f t="shared" si="57"/>
        <v>2.0857243058891584E-4</v>
      </c>
      <c r="BK113" s="246">
        <f t="shared" si="27"/>
        <v>7.531116566323881E-4</v>
      </c>
      <c r="BL113" s="246">
        <f t="shared" si="58"/>
        <v>0</v>
      </c>
      <c r="BM113" s="246">
        <f t="shared" si="59"/>
        <v>9.6168408722130394E-4</v>
      </c>
      <c r="BN113" s="36">
        <f t="shared" si="44"/>
        <v>723.99234966207803</v>
      </c>
      <c r="BO113" s="36">
        <f t="shared" si="60"/>
        <v>3141.5290884169453</v>
      </c>
      <c r="BP113" s="36">
        <f t="shared" si="61"/>
        <v>753684.79798946844</v>
      </c>
    </row>
    <row r="114" spans="1:68">
      <c r="A114" s="32">
        <f t="shared" si="47"/>
        <v>61</v>
      </c>
      <c r="B114" s="32">
        <f t="shared" si="28"/>
        <v>54</v>
      </c>
      <c r="C114" s="32">
        <f t="shared" si="48"/>
        <v>2</v>
      </c>
      <c r="D114" s="32">
        <f t="shared" si="49"/>
        <v>24</v>
      </c>
      <c r="E114" s="74">
        <f>MIN(IF(AV114=0,0,
IF(Investment_Strategy="DIS",VLOOKUP(Investment_Strategy&amp;"_"&amp;Investment_Strategy_Sub1&amp;"_"&amp;$A114,'Investment Strategies'!$AZ:$BP,12,FALSE),
IF(AND(Investment_Strategy="Lifecycle",Investment_Strategy_Sub1="Non-Standard"),VLOOKUP(Investment_Strategy&amp;"_"&amp;Investment_Strategy_Sub2&amp;"_"&amp;$A114,'Investment Strategies'!$C:$P,9,FALSE),
IF(AND(Investment_Strategy="Lifecycle",Investment_Strategy_Sub1="Standard"),VLOOKUP(Investment_Strategy&amp;"_"&amp;Investment_Strategy_Sub2&amp;"_"&amp;$A114,'Investment Strategies'!$AJ:$AV,8,FALSE),
IF(AND(Investment_Strategy="Autopilot",Investment_Strategy_Sub1="Non-Standard"),VLOOKUP(Investment_Strategy&amp;"_"&amp;Investment_Strategy_Sub2&amp;"_"&amp;$A114,'Investment Strategies'!$T:$AF,8,FALSE),
IF(Investment_Strategy ="DIY",DIY_RateOfReturn_CurrentFunds,
"Error")))))),Max_InvReturn)</f>
        <v>4.1816398110932074E-3</v>
      </c>
      <c r="F114" s="62">
        <f>IF(AV114=0,0,
IF(Investment_Strategy="DIS",VLOOKUP(Investment_Strategy&amp;"_"&amp;Investment_Strategy_Sub1&amp;"_"&amp;$A114,'Investment Strategies'!$AZ:$BP,15,FALSE),
IF(AND(Investment_Strategy="Lifecycle",Investment_Strategy_Sub1="Non-Standard"),VLOOKUP(Investment_Strategy&amp;"_"&amp;Investment_Strategy_Sub2&amp;"_"&amp;$A114,'Investment Strategies'!$C:$P,12,FALSE),
IF(AND(Investment_Strategy="Lifecycle",Investment_Strategy_Sub1="Standard"),VLOOKUP(Investment_Strategy&amp;"_"&amp;Investment_Strategy_Sub2&amp;"_"&amp;$A114,'Investment Strategies'!$AJ:$AV,11,FALSE),
IF(AND(Investment_Strategy="Autopilot",Investment_Strategy_Sub1="Non-Standard"),VLOOKUP(Investment_Strategy&amp;"_"&amp;Investment_Strategy_Sub2&amp;"_"&amp;$A114,'Investment Strategies'!$T:$AF,11,FALSE),
IF(Investment_Strategy="DIY",DIY_GteeChrge_CurrentFunds,
"Error"))))))</f>
        <v>5.4328711526985263E-4</v>
      </c>
      <c r="G114" s="33">
        <f>IF(AV114=0,0,
IF(Investment_Strategy="DIS",VLOOKUP(Investment_Strategy&amp;"_"&amp;Investment_Strategy_Sub1&amp;"_"&amp;$A114,'Investment Strategies'!$AZ:$BP,17,FALSE),
IF(AND(Investment_Strategy="Lifecycle",Investment_Strategy_Sub1="Non-Standard"),VLOOKUP(Investment_Strategy&amp;"_"&amp;Investment_Strategy_Sub2&amp;"_"&amp;$A114,'Investment Strategies'!$C:$P,14,FALSE),
IF(AND(Investment_Strategy="Lifecycle",Investment_Strategy_Sub1="Standard"),VLOOKUP(Investment_Strategy&amp;"_"&amp;Investment_Strategy_Sub2&amp;"_"&amp;$A114,'Investment Strategies'!$AJ:$AV,13,FALSE),
IF(AND(Investment_Strategy="Autopilot",Investment_Strategy_Sub1="Non-Standard"),VLOOKUP(Investment_Strategy&amp;"_"&amp;Investment_Strategy_Sub2&amp;"_"&amp;$A114,'Investment Strategies'!$T:$AF,13,FALSE),
IF(Investment_Strategy="DIY",DIY_ExtManChrge_CurrentFunds,
"Error"))))))</f>
        <v>2.0857243058891584E-4</v>
      </c>
      <c r="H114" s="16">
        <f t="shared" si="30"/>
        <v>0</v>
      </c>
      <c r="I114" s="16">
        <f t="shared" si="13"/>
        <v>0</v>
      </c>
      <c r="J114" s="16">
        <f t="shared" si="14"/>
        <v>0</v>
      </c>
      <c r="K114" s="16">
        <f>(Opening_Fund_Value+SUM(K$91:K113))*E114*IF(D114=$A$91,SRP_finalmonthfactor,1)</f>
        <v>0</v>
      </c>
      <c r="L114" s="74">
        <f>MIN(IF($AV114=0,0,
IF(Investment_Strategy="DIS",VLOOKUP(Investment_Strategy&amp;"_"&amp;Investment_Strategy_Sub1&amp;"_"&amp;$A114,'Investment Strategies'!$AZ:$BP,12,FALSE),
IF(AND(Investment_Strategy="Lifecycle",Investment_Strategy_Sub1="Non-Standard"),VLOOKUP(Investment_Strategy&amp;"_"&amp;Investment_Strategy_Sub2&amp;"_"&amp;$A114,'Investment Strategies'!$C:$P,9,FALSE),
IF(AND(Investment_Strategy="Lifecycle",Investment_Strategy_Sub1="Standard"),VLOOKUP(Investment_Strategy&amp;"_"&amp;Investment_Strategy_Sub2&amp;"_"&amp;$A114,'Investment Strategies'!$AJ:$AV,8,FALSE),
IF(AND(Investment_Strategy="Autopilot",Investment_Strategy_Sub1="Non-Standard"),VLOOKUP(Investment_Strategy&amp;"_"&amp;Investment_Strategy_Sub2&amp;"_"&amp;$A114,'Investment Strategies'!$T:$AF,8,FALSE),
IF(Investment_Strategy ="DIY",DIY_RateofReturn_SP,
"Error")))))),Max_InvReturn)</f>
        <v>4.1816398110932074E-3</v>
      </c>
      <c r="M114" s="62">
        <f>IF($AV114=0,0,
IF(Investment_Strategy="DIS",VLOOKUP(Investment_Strategy&amp;"_"&amp;Investment_Strategy_Sub1&amp;"_"&amp;$A114,'Investment Strategies'!$AZ:$BP,15,FALSE),
IF(AND(Investment_Strategy="Lifecycle",Investment_Strategy_Sub1="Non-Standard"),VLOOKUP(Investment_Strategy&amp;"_"&amp;Investment_Strategy_Sub2&amp;"_"&amp;$A114,'Investment Strategies'!$C:$P,12,FALSE),
IF(AND(Investment_Strategy="Lifecycle",Investment_Strategy_Sub1="Standard"),VLOOKUP(Investment_Strategy&amp;"_"&amp;Investment_Strategy_Sub2&amp;"_"&amp;$A114,'Investment Strategies'!$AJ:$AV,11,FALSE),
IF(AND(Investment_Strategy="Autopilot",Investment_Strategy_Sub1="Non-Standard"),VLOOKUP(Investment_Strategy&amp;"_"&amp;Investment_Strategy_Sub2&amp;"_"&amp;$A114,'Investment Strategies'!$T:$AF,11,FALSE),
IF(Investment_Strategy="DIY",DIY_GteeChrge_SP,
"Error"))))))</f>
        <v>0</v>
      </c>
      <c r="N114" s="33">
        <f>IF($AV114=0,0,
IF(Investment_Strategy="DIS",VLOOKUP(Investment_Strategy&amp;"_"&amp;Investment_Strategy_Sub1&amp;"_"&amp;$A114,'Investment Strategies'!$AZ:$BP,17,FALSE),
IF(AND(Investment_Strategy="Lifecycle",Investment_Strategy_Sub1="Non-Standard"),VLOOKUP(Investment_Strategy&amp;"_"&amp;Investment_Strategy_Sub2&amp;"_"&amp;$A114,'Investment Strategies'!$C:$P,14,FALSE),
IF(AND(Investment_Strategy="Lifecycle",Investment_Strategy_Sub1="Standard"),VLOOKUP(Investment_Strategy&amp;"_"&amp;Investment_Strategy_Sub2&amp;"_"&amp;$A114,'Investment Strategies'!$AJ:$AV,13,FALSE),
IF(AND(Investment_Strategy="Autopilot",Investment_Strategy_Sub1="Non-Standard"),VLOOKUP(Investment_Strategy&amp;"_"&amp;Investment_Strategy_Sub2&amp;"_"&amp;$A114,'Investment Strategies'!$T:$AF,13,FALSE),
IF(Investment_Strategy="DIY",DIY_ExtManChrge_SP,
"Error"))))))</f>
        <v>2.0857243058891584E-4</v>
      </c>
      <c r="O114" s="16">
        <f t="shared" si="50"/>
        <v>753684.79798946844</v>
      </c>
      <c r="Q114" s="16">
        <f t="shared" si="15"/>
        <v>3151.638356288503</v>
      </c>
      <c r="R114" s="16">
        <f t="shared" si="16"/>
        <v>-726.32211723503428</v>
      </c>
      <c r="S114" s="16">
        <f>(SRP_SP+SUM(S$91:S113))*L114*IF(D114=$A$91,SRP_finalmonthfactor,1)</f>
        <v>3222.0110335336776</v>
      </c>
      <c r="T114" s="74">
        <f>MIN(IF($AV114=0,0,
IF(Investment_Strategy="DIS",VLOOKUP(Investment_Strategy&amp;"_"&amp;Investment_Strategy_Sub1&amp;"_"&amp;$A114,'Investment Strategies'!$AZ:$BP,12,FALSE),
IF(AND(Investment_Strategy="Lifecycle",Investment_Strategy_Sub1="Non-Standard"),VLOOKUP(Investment_Strategy&amp;"_"&amp;Investment_Strategy_Sub2&amp;"_"&amp;$A114,'Investment Strategies'!$C:$P,9,FALSE),
IF(AND(Investment_Strategy="Lifecycle",Investment_Strategy_Sub1="Standard"),VLOOKUP(Investment_Strategy&amp;"_"&amp;Investment_Strategy_Sub2&amp;"_"&amp;$A114,'Investment Strategies'!$AJ:$AV,8,FALSE),
IF(AND(Investment_Strategy="Autopilot",Investment_Strategy_Sub1="Non-Standard"),VLOOKUP(Investment_Strategy&amp;"_"&amp;Investment_Strategy_Sub2&amp;"_"&amp;$A114,'Investment Strategies'!$T:$AF,8,FALSE),
IF(Investment_Strategy ="DIY",DIY_RateOfReturn_FuturePremiums,
"Error")))))),Max_InvReturn)</f>
        <v>4.1816398110932074E-3</v>
      </c>
      <c r="U114" s="62">
        <f>IF($AV114=0,0,
IF(Investment_Strategy="DIS",VLOOKUP(Investment_Strategy&amp;"_"&amp;Investment_Strategy_Sub1&amp;"_"&amp;$A114,'Investment Strategies'!$AZ:$BP,15,FALSE),
IF(AND(Investment_Strategy="Lifecycle",Investment_Strategy_Sub1="Non-Standard"),VLOOKUP(Investment_Strategy&amp;"_"&amp;Investment_Strategy_Sub2&amp;"_"&amp;$A114,'Investment Strategies'!$C:$P,12,FALSE),
IF(AND(Investment_Strategy="Lifecycle",Investment_Strategy_Sub1="Standard"),VLOOKUP(Investment_Strategy&amp;"_"&amp;Investment_Strategy_Sub2&amp;"_"&amp;$A114,'Investment Strategies'!$AJ:$AV,11,FALSE),
IF(AND(Investment_Strategy="Autopilot",Investment_Strategy_Sub1="Non-Standard"),VLOOKUP(Investment_Strategy&amp;"_"&amp;Investment_Strategy_Sub2&amp;"_"&amp;$A114,'Investment Strategies'!$T:$AF,11,FALSE),
IF(Investment_Strategy="DIY",DIY_GteeChrge_FuturePremiums,
"Error"))))))</f>
        <v>0</v>
      </c>
      <c r="V114" s="33">
        <f>IF(AV114=0,0,
IF(Investment_Strategy="DIS",VLOOKUP(Investment_Strategy&amp;"_"&amp;Investment_Strategy_Sub1&amp;"_"&amp;$A114,'Investment Strategies'!$AZ:$BP,17,FALSE),
IF(AND(Investment_Strategy="Lifecycle",Investment_Strategy_Sub1="Non-Standard"),VLOOKUP(Investment_Strategy&amp;"_"&amp;Investment_Strategy_Sub2&amp;"_"&amp;$A114,'Investment Strategies'!$C:$P,14,FALSE),
IF(AND(Investment_Strategy="Lifecycle",Investment_Strategy_Sub1="Standard"),VLOOKUP(Investment_Strategy&amp;"_"&amp;Investment_Strategy_Sub2&amp;"_"&amp;$A114,'Investment Strategies'!$AJ:$AV,13,FALSE),
IF(AND(Investment_Strategy="Autopilot",Investment_Strategy_Sub1="Non-Standard"),VLOOKUP(Investment_Strategy&amp;"_"&amp;Investment_Strategy_Sub2&amp;"_"&amp;$A114,'Investment Strategies'!$T:$AF,13,FALSE),
IF(Investment_Strategy="DIY",DIY_ExtManChrge_FuturePremiums,
"Error"))))))</f>
        <v>1.2508601994698498E-4</v>
      </c>
      <c r="W114" s="16">
        <f t="shared" si="51"/>
        <v>0</v>
      </c>
      <c r="X114" s="16">
        <f t="shared" si="17"/>
        <v>0</v>
      </c>
      <c r="Y114" s="16">
        <f t="shared" si="18"/>
        <v>0</v>
      </c>
      <c r="Z114" s="31">
        <f t="shared" si="19"/>
        <v>0.02</v>
      </c>
      <c r="AA114" s="16">
        <f t="shared" si="20"/>
        <v>0</v>
      </c>
      <c r="AB114" s="28">
        <f t="shared" si="53"/>
        <v>770513.76471646596</v>
      </c>
      <c r="AC114" s="28">
        <f>(SUM($AC$91:AC113)+SUM($X$91:X113)+X114)*T114*IF(D114=$A$91,SRP_finalmonthfactor,1)</f>
        <v>0</v>
      </c>
      <c r="AD114" s="16">
        <f t="shared" si="21"/>
        <v>-157.52654265073363</v>
      </c>
      <c r="AE114" s="106"/>
      <c r="AF114" s="16">
        <f t="shared" si="52"/>
        <v>753684.79798946844</v>
      </c>
      <c r="AG114" s="16">
        <f t="shared" si="31"/>
        <v>3222.0110335336776</v>
      </c>
      <c r="AH114" s="16">
        <f t="shared" si="32"/>
        <v>-726.32211723503428</v>
      </c>
      <c r="AJ114" s="13">
        <f t="shared" si="63"/>
        <v>0</v>
      </c>
      <c r="AK114" s="13">
        <f t="shared" si="63"/>
        <v>1</v>
      </c>
      <c r="AL114" s="13">
        <f t="shared" si="63"/>
        <v>1</v>
      </c>
      <c r="AM114" s="13">
        <f t="shared" si="63"/>
        <v>1</v>
      </c>
      <c r="AN114" s="13">
        <f t="shared" si="63"/>
        <v>1</v>
      </c>
      <c r="AO114" s="13">
        <f t="shared" si="63"/>
        <v>1</v>
      </c>
      <c r="AP114" s="13">
        <f t="shared" si="63"/>
        <v>1</v>
      </c>
      <c r="AQ114" s="13">
        <f t="shared" si="63"/>
        <v>1</v>
      </c>
      <c r="AR114" s="13">
        <f t="shared" si="63"/>
        <v>1</v>
      </c>
      <c r="AS114" s="13">
        <f t="shared" si="63"/>
        <v>1</v>
      </c>
      <c r="AT114" s="13">
        <f t="shared" si="63"/>
        <v>1</v>
      </c>
      <c r="AU114" s="13">
        <f t="shared" si="63"/>
        <v>1</v>
      </c>
      <c r="AV114" s="13">
        <f t="shared" si="23"/>
        <v>1</v>
      </c>
      <c r="AW114" s="13">
        <f t="shared" si="33"/>
        <v>1</v>
      </c>
      <c r="AY114" s="17">
        <f t="shared" si="24"/>
        <v>24</v>
      </c>
      <c r="AZ114" s="28">
        <f t="shared" si="34"/>
        <v>0</v>
      </c>
      <c r="BA114" s="13">
        <f t="shared" si="25"/>
        <v>0</v>
      </c>
      <c r="BB114" s="13">
        <f t="shared" si="26"/>
        <v>0</v>
      </c>
      <c r="BC114" s="28">
        <f t="shared" si="35"/>
        <v>0</v>
      </c>
      <c r="BD114" s="28">
        <f t="shared" si="36"/>
        <v>0</v>
      </c>
      <c r="BF114" s="248">
        <f t="shared" si="37"/>
        <v>773735.77574999968</v>
      </c>
      <c r="BG114" s="36">
        <f t="shared" si="54"/>
        <v>0</v>
      </c>
      <c r="BH114" s="36">
        <f t="shared" si="55"/>
        <v>753684.79798946844</v>
      </c>
      <c r="BI114" s="249">
        <f t="shared" si="56"/>
        <v>4.1816398110932074E-3</v>
      </c>
      <c r="BJ114" s="246">
        <f t="shared" si="57"/>
        <v>2.0857243058891584E-4</v>
      </c>
      <c r="BK114" s="246">
        <f t="shared" si="27"/>
        <v>7.531116566323881E-4</v>
      </c>
      <c r="BL114" s="246">
        <f t="shared" si="58"/>
        <v>0</v>
      </c>
      <c r="BM114" s="246">
        <f t="shared" si="59"/>
        <v>9.6168408722130394E-4</v>
      </c>
      <c r="BN114" s="36">
        <f t="shared" si="44"/>
        <v>726.32211723503428</v>
      </c>
      <c r="BO114" s="36">
        <f t="shared" si="60"/>
        <v>3151.638356288503</v>
      </c>
      <c r="BP114" s="36">
        <f t="shared" si="61"/>
        <v>756110.11422852194</v>
      </c>
    </row>
    <row r="115" spans="1:68">
      <c r="A115" s="32">
        <f t="shared" si="47"/>
        <v>60</v>
      </c>
      <c r="B115" s="32">
        <f t="shared" si="28"/>
        <v>55</v>
      </c>
      <c r="C115" s="32">
        <f t="shared" si="48"/>
        <v>3</v>
      </c>
      <c r="D115" s="32">
        <f t="shared" si="49"/>
        <v>25</v>
      </c>
      <c r="E115" s="74">
        <f>MIN(IF(AV115=0,0,
IF(Investment_Strategy="DIS",VLOOKUP(Investment_Strategy&amp;"_"&amp;Investment_Strategy_Sub1&amp;"_"&amp;$A115,'Investment Strategies'!$AZ:$BP,12,FALSE),
IF(AND(Investment_Strategy="Lifecycle",Investment_Strategy_Sub1="Non-Standard"),VLOOKUP(Investment_Strategy&amp;"_"&amp;Investment_Strategy_Sub2&amp;"_"&amp;$A115,'Investment Strategies'!$C:$P,9,FALSE),
IF(AND(Investment_Strategy="Lifecycle",Investment_Strategy_Sub1="Standard"),VLOOKUP(Investment_Strategy&amp;"_"&amp;Investment_Strategy_Sub2&amp;"_"&amp;$A115,'Investment Strategies'!$AJ:$AV,8,FALSE),
IF(AND(Investment_Strategy="Autopilot",Investment_Strategy_Sub1="Non-Standard"),VLOOKUP(Investment_Strategy&amp;"_"&amp;Investment_Strategy_Sub2&amp;"_"&amp;$A115,'Investment Strategies'!$T:$AF,8,FALSE),
IF(Investment_Strategy ="DIY",DIY_RateOfReturn_CurrentFunds,
"Error")))))),Max_InvReturn)</f>
        <v>4.1816398110932074E-3</v>
      </c>
      <c r="F115" s="62">
        <f>IF(AV115=0,0,
IF(Investment_Strategy="DIS",VLOOKUP(Investment_Strategy&amp;"_"&amp;Investment_Strategy_Sub1&amp;"_"&amp;$A115,'Investment Strategies'!$AZ:$BP,15,FALSE),
IF(AND(Investment_Strategy="Lifecycle",Investment_Strategy_Sub1="Non-Standard"),VLOOKUP(Investment_Strategy&amp;"_"&amp;Investment_Strategy_Sub2&amp;"_"&amp;$A115,'Investment Strategies'!$C:$P,12,FALSE),
IF(AND(Investment_Strategy="Lifecycle",Investment_Strategy_Sub1="Standard"),VLOOKUP(Investment_Strategy&amp;"_"&amp;Investment_Strategy_Sub2&amp;"_"&amp;$A115,'Investment Strategies'!$AJ:$AV,11,FALSE),
IF(AND(Investment_Strategy="Autopilot",Investment_Strategy_Sub1="Non-Standard"),VLOOKUP(Investment_Strategy&amp;"_"&amp;Investment_Strategy_Sub2&amp;"_"&amp;$A115,'Investment Strategies'!$T:$AF,11,FALSE),
IF(Investment_Strategy="DIY",DIY_GteeChrge_CurrentFunds,
"Error"))))))</f>
        <v>5.4328711526985263E-4</v>
      </c>
      <c r="G115" s="33">
        <f>IF(AV115=0,0,
IF(Investment_Strategy="DIS",VLOOKUP(Investment_Strategy&amp;"_"&amp;Investment_Strategy_Sub1&amp;"_"&amp;$A115,'Investment Strategies'!$AZ:$BP,17,FALSE),
IF(AND(Investment_Strategy="Lifecycle",Investment_Strategy_Sub1="Non-Standard"),VLOOKUP(Investment_Strategy&amp;"_"&amp;Investment_Strategy_Sub2&amp;"_"&amp;$A115,'Investment Strategies'!$C:$P,14,FALSE),
IF(AND(Investment_Strategy="Lifecycle",Investment_Strategy_Sub1="Standard"),VLOOKUP(Investment_Strategy&amp;"_"&amp;Investment_Strategy_Sub2&amp;"_"&amp;$A115,'Investment Strategies'!$AJ:$AV,13,FALSE),
IF(AND(Investment_Strategy="Autopilot",Investment_Strategy_Sub1="Non-Standard"),VLOOKUP(Investment_Strategy&amp;"_"&amp;Investment_Strategy_Sub2&amp;"_"&amp;$A115,'Investment Strategies'!$T:$AF,13,FALSE),
IF(Investment_Strategy="DIY",DIY_ExtManChrge_CurrentFunds,
"Error"))))))</f>
        <v>2.0857243058891584E-4</v>
      </c>
      <c r="H115" s="16">
        <f t="shared" si="30"/>
        <v>0</v>
      </c>
      <c r="I115" s="16">
        <f t="shared" si="13"/>
        <v>0</v>
      </c>
      <c r="J115" s="16">
        <f t="shared" si="14"/>
        <v>0</v>
      </c>
      <c r="K115" s="16">
        <f>(Opening_Fund_Value+SUM(K$91:K114))*E115*IF(D115=$A$91,SRP_finalmonthfactor,1)</f>
        <v>0</v>
      </c>
      <c r="L115" s="74">
        <f>MIN(IF($AV115=0,0,
IF(Investment_Strategy="DIS",VLOOKUP(Investment_Strategy&amp;"_"&amp;Investment_Strategy_Sub1&amp;"_"&amp;$A115,'Investment Strategies'!$AZ:$BP,12,FALSE),
IF(AND(Investment_Strategy="Lifecycle",Investment_Strategy_Sub1="Non-Standard"),VLOOKUP(Investment_Strategy&amp;"_"&amp;Investment_Strategy_Sub2&amp;"_"&amp;$A115,'Investment Strategies'!$C:$P,9,FALSE),
IF(AND(Investment_Strategy="Lifecycle",Investment_Strategy_Sub1="Standard"),VLOOKUP(Investment_Strategy&amp;"_"&amp;Investment_Strategy_Sub2&amp;"_"&amp;$A115,'Investment Strategies'!$AJ:$AV,8,FALSE),
IF(AND(Investment_Strategy="Autopilot",Investment_Strategy_Sub1="Non-Standard"),VLOOKUP(Investment_Strategy&amp;"_"&amp;Investment_Strategy_Sub2&amp;"_"&amp;$A115,'Investment Strategies'!$T:$AF,8,FALSE),
IF(Investment_Strategy ="DIY",DIY_RateofReturn_SP,
"Error")))))),Max_InvReturn)</f>
        <v>4.1816398110932074E-3</v>
      </c>
      <c r="M115" s="62">
        <f>IF($AV115=0,0,
IF(Investment_Strategy="DIS",VLOOKUP(Investment_Strategy&amp;"_"&amp;Investment_Strategy_Sub1&amp;"_"&amp;$A115,'Investment Strategies'!$AZ:$BP,15,FALSE),
IF(AND(Investment_Strategy="Lifecycle",Investment_Strategy_Sub1="Non-Standard"),VLOOKUP(Investment_Strategy&amp;"_"&amp;Investment_Strategy_Sub2&amp;"_"&amp;$A115,'Investment Strategies'!$C:$P,12,FALSE),
IF(AND(Investment_Strategy="Lifecycle",Investment_Strategy_Sub1="Standard"),VLOOKUP(Investment_Strategy&amp;"_"&amp;Investment_Strategy_Sub2&amp;"_"&amp;$A115,'Investment Strategies'!$AJ:$AV,11,FALSE),
IF(AND(Investment_Strategy="Autopilot",Investment_Strategy_Sub1="Non-Standard"),VLOOKUP(Investment_Strategy&amp;"_"&amp;Investment_Strategy_Sub2&amp;"_"&amp;$A115,'Investment Strategies'!$T:$AF,11,FALSE),
IF(Investment_Strategy="DIY",DIY_GteeChrge_SP,
"Error"))))))</f>
        <v>0</v>
      </c>
      <c r="N115" s="33">
        <f>IF($AV115=0,0,
IF(Investment_Strategy="DIS",VLOOKUP(Investment_Strategy&amp;"_"&amp;Investment_Strategy_Sub1&amp;"_"&amp;$A115,'Investment Strategies'!$AZ:$BP,17,FALSE),
IF(AND(Investment_Strategy="Lifecycle",Investment_Strategy_Sub1="Non-Standard"),VLOOKUP(Investment_Strategy&amp;"_"&amp;Investment_Strategy_Sub2&amp;"_"&amp;$A115,'Investment Strategies'!$C:$P,14,FALSE),
IF(AND(Investment_Strategy="Lifecycle",Investment_Strategy_Sub1="Standard"),VLOOKUP(Investment_Strategy&amp;"_"&amp;Investment_Strategy_Sub2&amp;"_"&amp;$A115,'Investment Strategies'!$AJ:$AV,13,FALSE),
IF(AND(Investment_Strategy="Autopilot",Investment_Strategy_Sub1="Non-Standard"),VLOOKUP(Investment_Strategy&amp;"_"&amp;Investment_Strategy_Sub2&amp;"_"&amp;$A115,'Investment Strategies'!$T:$AF,13,FALSE),
IF(Investment_Strategy="DIY",DIY_ExtManChrge_SP,
"Error"))))))</f>
        <v>2.0857243058891584E-4</v>
      </c>
      <c r="O115" s="16">
        <f t="shared" si="50"/>
        <v>756110.11422852194</v>
      </c>
      <c r="Q115" s="16">
        <f t="shared" si="15"/>
        <v>3161.7801552282199</v>
      </c>
      <c r="R115" s="16">
        <f t="shared" si="16"/>
        <v>-728.65938187193956</v>
      </c>
      <c r="S115" s="16">
        <f>(SRP_SP+SUM(S$91:S114))*L115*IF(D115=$A$91,SRP_finalmonthfactor,1)</f>
        <v>3235.4843231432833</v>
      </c>
      <c r="T115" s="74">
        <f>MIN(IF($AV115=0,0,
IF(Investment_Strategy="DIS",VLOOKUP(Investment_Strategy&amp;"_"&amp;Investment_Strategy_Sub1&amp;"_"&amp;$A115,'Investment Strategies'!$AZ:$BP,12,FALSE),
IF(AND(Investment_Strategy="Lifecycle",Investment_Strategy_Sub1="Non-Standard"),VLOOKUP(Investment_Strategy&amp;"_"&amp;Investment_Strategy_Sub2&amp;"_"&amp;$A115,'Investment Strategies'!$C:$P,9,FALSE),
IF(AND(Investment_Strategy="Lifecycle",Investment_Strategy_Sub1="Standard"),VLOOKUP(Investment_Strategy&amp;"_"&amp;Investment_Strategy_Sub2&amp;"_"&amp;$A115,'Investment Strategies'!$AJ:$AV,8,FALSE),
IF(AND(Investment_Strategy="Autopilot",Investment_Strategy_Sub1="Non-Standard"),VLOOKUP(Investment_Strategy&amp;"_"&amp;Investment_Strategy_Sub2&amp;"_"&amp;$A115,'Investment Strategies'!$T:$AF,8,FALSE),
IF(Investment_Strategy ="DIY",DIY_RateOfReturn_FuturePremiums,
"Error")))))),Max_InvReturn)</f>
        <v>4.1816398110932074E-3</v>
      </c>
      <c r="U115" s="62">
        <f>IF($AV115=0,0,
IF(Investment_Strategy="DIS",VLOOKUP(Investment_Strategy&amp;"_"&amp;Investment_Strategy_Sub1&amp;"_"&amp;$A115,'Investment Strategies'!$AZ:$BP,15,FALSE),
IF(AND(Investment_Strategy="Lifecycle",Investment_Strategy_Sub1="Non-Standard"),VLOOKUP(Investment_Strategy&amp;"_"&amp;Investment_Strategy_Sub2&amp;"_"&amp;$A115,'Investment Strategies'!$C:$P,12,FALSE),
IF(AND(Investment_Strategy="Lifecycle",Investment_Strategy_Sub1="Standard"),VLOOKUP(Investment_Strategy&amp;"_"&amp;Investment_Strategy_Sub2&amp;"_"&amp;$A115,'Investment Strategies'!$AJ:$AV,11,FALSE),
IF(AND(Investment_Strategy="Autopilot",Investment_Strategy_Sub1="Non-Standard"),VLOOKUP(Investment_Strategy&amp;"_"&amp;Investment_Strategy_Sub2&amp;"_"&amp;$A115,'Investment Strategies'!$T:$AF,11,FALSE),
IF(Investment_Strategy="DIY",DIY_GteeChrge_FuturePremiums,
"Error"))))))</f>
        <v>0</v>
      </c>
      <c r="V115" s="33">
        <f>IF(AV115=0,0,
IF(Investment_Strategy="DIS",VLOOKUP(Investment_Strategy&amp;"_"&amp;Investment_Strategy_Sub1&amp;"_"&amp;$A115,'Investment Strategies'!$AZ:$BP,17,FALSE),
IF(AND(Investment_Strategy="Lifecycle",Investment_Strategy_Sub1="Non-Standard"),VLOOKUP(Investment_Strategy&amp;"_"&amp;Investment_Strategy_Sub2&amp;"_"&amp;$A115,'Investment Strategies'!$C:$P,14,FALSE),
IF(AND(Investment_Strategy="Lifecycle",Investment_Strategy_Sub1="Standard"),VLOOKUP(Investment_Strategy&amp;"_"&amp;Investment_Strategy_Sub2&amp;"_"&amp;$A115,'Investment Strategies'!$AJ:$AV,13,FALSE),
IF(AND(Investment_Strategy="Autopilot",Investment_Strategy_Sub1="Non-Standard"),VLOOKUP(Investment_Strategy&amp;"_"&amp;Investment_Strategy_Sub2&amp;"_"&amp;$A115,'Investment Strategies'!$T:$AF,13,FALSE),
IF(Investment_Strategy="DIY",DIY_ExtManChrge_FuturePremiums,
"Error"))))))</f>
        <v>1.2508601994698498E-4</v>
      </c>
      <c r="W115" s="16">
        <f t="shared" si="51"/>
        <v>0</v>
      </c>
      <c r="X115" s="16">
        <f t="shared" si="17"/>
        <v>0</v>
      </c>
      <c r="Y115" s="16">
        <f t="shared" si="18"/>
        <v>0</v>
      </c>
      <c r="Z115" s="31">
        <f t="shared" si="19"/>
        <v>0.02</v>
      </c>
      <c r="AA115" s="16">
        <f t="shared" si="20"/>
        <v>0</v>
      </c>
      <c r="AB115" s="28">
        <f t="shared" si="53"/>
        <v>773735.77574999968</v>
      </c>
      <c r="AC115" s="28">
        <f>(SUM($AC$91:AC114)+SUM($X$91:X114)+X115)*T115*IF(D115=$A$91,SRP_finalmonthfactor,1)</f>
        <v>0</v>
      </c>
      <c r="AD115" s="16">
        <f t="shared" si="21"/>
        <v>-158.0334544034875</v>
      </c>
      <c r="AE115" s="106"/>
      <c r="AF115" s="16">
        <f t="shared" si="52"/>
        <v>756110.11422852194</v>
      </c>
      <c r="AG115" s="16">
        <f t="shared" si="31"/>
        <v>3235.4843231432833</v>
      </c>
      <c r="AH115" s="16">
        <f t="shared" si="32"/>
        <v>-728.65938187193956</v>
      </c>
      <c r="AJ115" s="13">
        <f t="shared" si="63"/>
        <v>0</v>
      </c>
      <c r="AK115" s="13">
        <f t="shared" si="63"/>
        <v>0</v>
      </c>
      <c r="AL115" s="13">
        <f t="shared" si="63"/>
        <v>1</v>
      </c>
      <c r="AM115" s="13">
        <f t="shared" si="63"/>
        <v>1</v>
      </c>
      <c r="AN115" s="13">
        <f t="shared" si="63"/>
        <v>1</v>
      </c>
      <c r="AO115" s="13">
        <f t="shared" si="63"/>
        <v>1</v>
      </c>
      <c r="AP115" s="13">
        <f t="shared" si="63"/>
        <v>1</v>
      </c>
      <c r="AQ115" s="13">
        <f t="shared" si="63"/>
        <v>1</v>
      </c>
      <c r="AR115" s="13">
        <f t="shared" si="63"/>
        <v>1</v>
      </c>
      <c r="AS115" s="13">
        <f t="shared" si="63"/>
        <v>1</v>
      </c>
      <c r="AT115" s="13">
        <f t="shared" si="63"/>
        <v>1</v>
      </c>
      <c r="AU115" s="13">
        <f t="shared" si="63"/>
        <v>1</v>
      </c>
      <c r="AV115" s="13">
        <f t="shared" si="23"/>
        <v>1</v>
      </c>
      <c r="AW115" s="13">
        <f t="shared" si="33"/>
        <v>1</v>
      </c>
      <c r="AY115" s="17">
        <f t="shared" si="24"/>
        <v>25</v>
      </c>
      <c r="AZ115" s="28">
        <f t="shared" si="34"/>
        <v>0</v>
      </c>
      <c r="BA115" s="13">
        <f t="shared" si="25"/>
        <v>0</v>
      </c>
      <c r="BB115" s="13">
        <f t="shared" si="26"/>
        <v>0</v>
      </c>
      <c r="BC115" s="28">
        <f t="shared" si="35"/>
        <v>0</v>
      </c>
      <c r="BD115" s="28">
        <f t="shared" si="36"/>
        <v>0</v>
      </c>
      <c r="BF115" s="248">
        <f t="shared" si="37"/>
        <v>776971.26007314294</v>
      </c>
      <c r="BG115" s="36">
        <f t="shared" si="54"/>
        <v>0</v>
      </c>
      <c r="BH115" s="36">
        <f t="shared" si="55"/>
        <v>756110.11422852194</v>
      </c>
      <c r="BI115" s="249">
        <f t="shared" si="56"/>
        <v>4.1816398110932074E-3</v>
      </c>
      <c r="BJ115" s="246">
        <f t="shared" si="57"/>
        <v>2.0857243058891584E-4</v>
      </c>
      <c r="BK115" s="246">
        <f t="shared" si="27"/>
        <v>7.531116566323881E-4</v>
      </c>
      <c r="BL115" s="246">
        <f t="shared" si="58"/>
        <v>0</v>
      </c>
      <c r="BM115" s="246">
        <f t="shared" si="59"/>
        <v>9.6168408722130394E-4</v>
      </c>
      <c r="BN115" s="36">
        <f t="shared" si="44"/>
        <v>728.65938187193944</v>
      </c>
      <c r="BO115" s="36">
        <f t="shared" si="60"/>
        <v>3161.7801552282199</v>
      </c>
      <c r="BP115" s="36">
        <f t="shared" si="61"/>
        <v>758543.23500187823</v>
      </c>
    </row>
    <row r="116" spans="1:68">
      <c r="A116" s="32">
        <f t="shared" si="47"/>
        <v>59</v>
      </c>
      <c r="B116" s="32">
        <f t="shared" si="28"/>
        <v>55</v>
      </c>
      <c r="C116" s="32">
        <f t="shared" si="48"/>
        <v>3</v>
      </c>
      <c r="D116" s="32">
        <f t="shared" si="49"/>
        <v>26</v>
      </c>
      <c r="E116" s="74">
        <f>MIN(IF(AV116=0,0,
IF(Investment_Strategy="DIS",VLOOKUP(Investment_Strategy&amp;"_"&amp;Investment_Strategy_Sub1&amp;"_"&amp;$A116,'Investment Strategies'!$AZ:$BP,12,FALSE),
IF(AND(Investment_Strategy="Lifecycle",Investment_Strategy_Sub1="Non-Standard"),VLOOKUP(Investment_Strategy&amp;"_"&amp;Investment_Strategy_Sub2&amp;"_"&amp;$A116,'Investment Strategies'!$C:$P,9,FALSE),
IF(AND(Investment_Strategy="Lifecycle",Investment_Strategy_Sub1="Standard"),VLOOKUP(Investment_Strategy&amp;"_"&amp;Investment_Strategy_Sub2&amp;"_"&amp;$A116,'Investment Strategies'!$AJ:$AV,8,FALSE),
IF(AND(Investment_Strategy="Autopilot",Investment_Strategy_Sub1="Non-Standard"),VLOOKUP(Investment_Strategy&amp;"_"&amp;Investment_Strategy_Sub2&amp;"_"&amp;$A116,'Investment Strategies'!$T:$AF,8,FALSE),
IF(Investment_Strategy ="DIY",DIY_RateOfReturn_CurrentFunds,
"Error")))))),Max_InvReturn)</f>
        <v>4.1816398110932074E-3</v>
      </c>
      <c r="F116" s="62">
        <f>IF(AV116=0,0,
IF(Investment_Strategy="DIS",VLOOKUP(Investment_Strategy&amp;"_"&amp;Investment_Strategy_Sub1&amp;"_"&amp;$A116,'Investment Strategies'!$AZ:$BP,15,FALSE),
IF(AND(Investment_Strategy="Lifecycle",Investment_Strategy_Sub1="Non-Standard"),VLOOKUP(Investment_Strategy&amp;"_"&amp;Investment_Strategy_Sub2&amp;"_"&amp;$A116,'Investment Strategies'!$C:$P,12,FALSE),
IF(AND(Investment_Strategy="Lifecycle",Investment_Strategy_Sub1="Standard"),VLOOKUP(Investment_Strategy&amp;"_"&amp;Investment_Strategy_Sub2&amp;"_"&amp;$A116,'Investment Strategies'!$AJ:$AV,11,FALSE),
IF(AND(Investment_Strategy="Autopilot",Investment_Strategy_Sub1="Non-Standard"),VLOOKUP(Investment_Strategy&amp;"_"&amp;Investment_Strategy_Sub2&amp;"_"&amp;$A116,'Investment Strategies'!$T:$AF,11,FALSE),
IF(Investment_Strategy="DIY",DIY_GteeChrge_CurrentFunds,
"Error"))))))</f>
        <v>5.4328711526985263E-4</v>
      </c>
      <c r="G116" s="33">
        <f>IF(AV116=0,0,
IF(Investment_Strategy="DIS",VLOOKUP(Investment_Strategy&amp;"_"&amp;Investment_Strategy_Sub1&amp;"_"&amp;$A116,'Investment Strategies'!$AZ:$BP,17,FALSE),
IF(AND(Investment_Strategy="Lifecycle",Investment_Strategy_Sub1="Non-Standard"),VLOOKUP(Investment_Strategy&amp;"_"&amp;Investment_Strategy_Sub2&amp;"_"&amp;$A116,'Investment Strategies'!$C:$P,14,FALSE),
IF(AND(Investment_Strategy="Lifecycle",Investment_Strategy_Sub1="Standard"),VLOOKUP(Investment_Strategy&amp;"_"&amp;Investment_Strategy_Sub2&amp;"_"&amp;$A116,'Investment Strategies'!$AJ:$AV,13,FALSE),
IF(AND(Investment_Strategy="Autopilot",Investment_Strategy_Sub1="Non-Standard"),VLOOKUP(Investment_Strategy&amp;"_"&amp;Investment_Strategy_Sub2&amp;"_"&amp;$A116,'Investment Strategies'!$T:$AF,13,FALSE),
IF(Investment_Strategy="DIY",DIY_ExtManChrge_CurrentFunds,
"Error"))))))</f>
        <v>2.0857243058891584E-4</v>
      </c>
      <c r="H116" s="16">
        <f t="shared" si="30"/>
        <v>0</v>
      </c>
      <c r="I116" s="16">
        <f t="shared" si="13"/>
        <v>0</v>
      </c>
      <c r="J116" s="16">
        <f t="shared" si="14"/>
        <v>0</v>
      </c>
      <c r="K116" s="16">
        <f>(Opening_Fund_Value+SUM(K$91:K115))*E116*IF(D116=$A$91,SRP_finalmonthfactor,1)</f>
        <v>0</v>
      </c>
      <c r="L116" s="74">
        <f>MIN(IF($AV116=0,0,
IF(Investment_Strategy="DIS",VLOOKUP(Investment_Strategy&amp;"_"&amp;Investment_Strategy_Sub1&amp;"_"&amp;$A116,'Investment Strategies'!$AZ:$BP,12,FALSE),
IF(AND(Investment_Strategy="Lifecycle",Investment_Strategy_Sub1="Non-Standard"),VLOOKUP(Investment_Strategy&amp;"_"&amp;Investment_Strategy_Sub2&amp;"_"&amp;$A116,'Investment Strategies'!$C:$P,9,FALSE),
IF(AND(Investment_Strategy="Lifecycle",Investment_Strategy_Sub1="Standard"),VLOOKUP(Investment_Strategy&amp;"_"&amp;Investment_Strategy_Sub2&amp;"_"&amp;$A116,'Investment Strategies'!$AJ:$AV,8,FALSE),
IF(AND(Investment_Strategy="Autopilot",Investment_Strategy_Sub1="Non-Standard"),VLOOKUP(Investment_Strategy&amp;"_"&amp;Investment_Strategy_Sub2&amp;"_"&amp;$A116,'Investment Strategies'!$T:$AF,8,FALSE),
IF(Investment_Strategy ="DIY",DIY_RateofReturn_SP,
"Error")))))),Max_InvReturn)</f>
        <v>4.1816398110932074E-3</v>
      </c>
      <c r="M116" s="62">
        <f>IF($AV116=0,0,
IF(Investment_Strategy="DIS",VLOOKUP(Investment_Strategy&amp;"_"&amp;Investment_Strategy_Sub1&amp;"_"&amp;$A116,'Investment Strategies'!$AZ:$BP,15,FALSE),
IF(AND(Investment_Strategy="Lifecycle",Investment_Strategy_Sub1="Non-Standard"),VLOOKUP(Investment_Strategy&amp;"_"&amp;Investment_Strategy_Sub2&amp;"_"&amp;$A116,'Investment Strategies'!$C:$P,12,FALSE),
IF(AND(Investment_Strategy="Lifecycle",Investment_Strategy_Sub1="Standard"),VLOOKUP(Investment_Strategy&amp;"_"&amp;Investment_Strategy_Sub2&amp;"_"&amp;$A116,'Investment Strategies'!$AJ:$AV,11,FALSE),
IF(AND(Investment_Strategy="Autopilot",Investment_Strategy_Sub1="Non-Standard"),VLOOKUP(Investment_Strategy&amp;"_"&amp;Investment_Strategy_Sub2&amp;"_"&amp;$A116,'Investment Strategies'!$T:$AF,11,FALSE),
IF(Investment_Strategy="DIY",DIY_GteeChrge_SP,
"Error"))))))</f>
        <v>0</v>
      </c>
      <c r="N116" s="33">
        <f>IF($AV116=0,0,
IF(Investment_Strategy="DIS",VLOOKUP(Investment_Strategy&amp;"_"&amp;Investment_Strategy_Sub1&amp;"_"&amp;$A116,'Investment Strategies'!$AZ:$BP,17,FALSE),
IF(AND(Investment_Strategy="Lifecycle",Investment_Strategy_Sub1="Non-Standard"),VLOOKUP(Investment_Strategy&amp;"_"&amp;Investment_Strategy_Sub2&amp;"_"&amp;$A116,'Investment Strategies'!$C:$P,14,FALSE),
IF(AND(Investment_Strategy="Lifecycle",Investment_Strategy_Sub1="Standard"),VLOOKUP(Investment_Strategy&amp;"_"&amp;Investment_Strategy_Sub2&amp;"_"&amp;$A116,'Investment Strategies'!$AJ:$AV,13,FALSE),
IF(AND(Investment_Strategy="Autopilot",Investment_Strategy_Sub1="Non-Standard"),VLOOKUP(Investment_Strategy&amp;"_"&amp;Investment_Strategy_Sub2&amp;"_"&amp;$A116,'Investment Strategies'!$T:$AF,13,FALSE),
IF(Investment_Strategy="DIY",DIY_ExtManChrge_SP,
"Error"))))))</f>
        <v>2.0857243058891584E-4</v>
      </c>
      <c r="O116" s="16">
        <f t="shared" si="50"/>
        <v>758543.23500187823</v>
      </c>
      <c r="Q116" s="16">
        <f t="shared" si="15"/>
        <v>3171.9545899192844</v>
      </c>
      <c r="R116" s="16">
        <f t="shared" si="16"/>
        <v>-731.00416769793321</v>
      </c>
      <c r="S116" s="16">
        <f>(SRP_SP+SUM(S$91:S115))*L116*IF(D116=$A$91,SRP_finalmonthfactor,1)</f>
        <v>3249.0139531971072</v>
      </c>
      <c r="T116" s="74">
        <f>MIN(IF($AV116=0,0,
IF(Investment_Strategy="DIS",VLOOKUP(Investment_Strategy&amp;"_"&amp;Investment_Strategy_Sub1&amp;"_"&amp;$A116,'Investment Strategies'!$AZ:$BP,12,FALSE),
IF(AND(Investment_Strategy="Lifecycle",Investment_Strategy_Sub1="Non-Standard"),VLOOKUP(Investment_Strategy&amp;"_"&amp;Investment_Strategy_Sub2&amp;"_"&amp;$A116,'Investment Strategies'!$C:$P,9,FALSE),
IF(AND(Investment_Strategy="Lifecycle",Investment_Strategy_Sub1="Standard"),VLOOKUP(Investment_Strategy&amp;"_"&amp;Investment_Strategy_Sub2&amp;"_"&amp;$A116,'Investment Strategies'!$AJ:$AV,8,FALSE),
IF(AND(Investment_Strategy="Autopilot",Investment_Strategy_Sub1="Non-Standard"),VLOOKUP(Investment_Strategy&amp;"_"&amp;Investment_Strategy_Sub2&amp;"_"&amp;$A116,'Investment Strategies'!$T:$AF,8,FALSE),
IF(Investment_Strategy ="DIY",DIY_RateOfReturn_FuturePremiums,
"Error")))))),Max_InvReturn)</f>
        <v>4.1816398110932074E-3</v>
      </c>
      <c r="U116" s="62">
        <f>IF($AV116=0,0,
IF(Investment_Strategy="DIS",VLOOKUP(Investment_Strategy&amp;"_"&amp;Investment_Strategy_Sub1&amp;"_"&amp;$A116,'Investment Strategies'!$AZ:$BP,15,FALSE),
IF(AND(Investment_Strategy="Lifecycle",Investment_Strategy_Sub1="Non-Standard"),VLOOKUP(Investment_Strategy&amp;"_"&amp;Investment_Strategy_Sub2&amp;"_"&amp;$A116,'Investment Strategies'!$C:$P,12,FALSE),
IF(AND(Investment_Strategy="Lifecycle",Investment_Strategy_Sub1="Standard"),VLOOKUP(Investment_Strategy&amp;"_"&amp;Investment_Strategy_Sub2&amp;"_"&amp;$A116,'Investment Strategies'!$AJ:$AV,11,FALSE),
IF(AND(Investment_Strategy="Autopilot",Investment_Strategy_Sub1="Non-Standard"),VLOOKUP(Investment_Strategy&amp;"_"&amp;Investment_Strategy_Sub2&amp;"_"&amp;$A116,'Investment Strategies'!$T:$AF,11,FALSE),
IF(Investment_Strategy="DIY",DIY_GteeChrge_FuturePremiums,
"Error"))))))</f>
        <v>0</v>
      </c>
      <c r="V116" s="33">
        <f>IF(AV116=0,0,
IF(Investment_Strategy="DIS",VLOOKUP(Investment_Strategy&amp;"_"&amp;Investment_Strategy_Sub1&amp;"_"&amp;$A116,'Investment Strategies'!$AZ:$BP,17,FALSE),
IF(AND(Investment_Strategy="Lifecycle",Investment_Strategy_Sub1="Non-Standard"),VLOOKUP(Investment_Strategy&amp;"_"&amp;Investment_Strategy_Sub2&amp;"_"&amp;$A116,'Investment Strategies'!$C:$P,14,FALSE),
IF(AND(Investment_Strategy="Lifecycle",Investment_Strategy_Sub1="Standard"),VLOOKUP(Investment_Strategy&amp;"_"&amp;Investment_Strategy_Sub2&amp;"_"&amp;$A116,'Investment Strategies'!$AJ:$AV,13,FALSE),
IF(AND(Investment_Strategy="Autopilot",Investment_Strategy_Sub1="Non-Standard"),VLOOKUP(Investment_Strategy&amp;"_"&amp;Investment_Strategy_Sub2&amp;"_"&amp;$A116,'Investment Strategies'!$T:$AF,13,FALSE),
IF(Investment_Strategy="DIY",DIY_ExtManChrge_FuturePremiums,
"Error"))))))</f>
        <v>1.2508601994698498E-4</v>
      </c>
      <c r="W116" s="16">
        <f t="shared" si="51"/>
        <v>0</v>
      </c>
      <c r="X116" s="16">
        <f t="shared" si="17"/>
        <v>0</v>
      </c>
      <c r="Y116" s="16">
        <f t="shared" si="18"/>
        <v>0</v>
      </c>
      <c r="Z116" s="31">
        <f t="shared" si="19"/>
        <v>0.02</v>
      </c>
      <c r="AA116" s="16">
        <f t="shared" si="20"/>
        <v>0</v>
      </c>
      <c r="AB116" s="28">
        <f t="shared" si="53"/>
        <v>776971.26007314294</v>
      </c>
      <c r="AC116" s="28">
        <f>(SUM($AC$91:AC115)+SUM($X$91:X115)+X116)*T116*IF(D116=$A$91,SRP_finalmonthfactor,1)</f>
        <v>0</v>
      </c>
      <c r="AD116" s="16">
        <f t="shared" si="21"/>
        <v>-158.54199737038948</v>
      </c>
      <c r="AE116" s="106"/>
      <c r="AF116" s="16">
        <f t="shared" si="52"/>
        <v>758543.23500187823</v>
      </c>
      <c r="AG116" s="16">
        <f t="shared" si="31"/>
        <v>3249.0139531971072</v>
      </c>
      <c r="AH116" s="16">
        <f t="shared" si="32"/>
        <v>-731.00416769793321</v>
      </c>
      <c r="AJ116" s="13">
        <f t="shared" si="63"/>
        <v>0</v>
      </c>
      <c r="AK116" s="13">
        <f t="shared" si="63"/>
        <v>0</v>
      </c>
      <c r="AL116" s="13">
        <f t="shared" si="63"/>
        <v>1</v>
      </c>
      <c r="AM116" s="13">
        <f t="shared" si="63"/>
        <v>1</v>
      </c>
      <c r="AN116" s="13">
        <f t="shared" si="63"/>
        <v>1</v>
      </c>
      <c r="AO116" s="13">
        <f t="shared" si="63"/>
        <v>1</v>
      </c>
      <c r="AP116" s="13">
        <f t="shared" si="63"/>
        <v>1</v>
      </c>
      <c r="AQ116" s="13">
        <f t="shared" si="63"/>
        <v>1</v>
      </c>
      <c r="AR116" s="13">
        <f t="shared" si="63"/>
        <v>1</v>
      </c>
      <c r="AS116" s="13">
        <f t="shared" si="63"/>
        <v>1</v>
      </c>
      <c r="AT116" s="13">
        <f t="shared" si="63"/>
        <v>1</v>
      </c>
      <c r="AU116" s="13">
        <f t="shared" si="63"/>
        <v>1</v>
      </c>
      <c r="AV116" s="13">
        <f t="shared" si="23"/>
        <v>1</v>
      </c>
      <c r="AW116" s="13">
        <f t="shared" si="33"/>
        <v>1</v>
      </c>
      <c r="AY116" s="17">
        <f t="shared" si="24"/>
        <v>26</v>
      </c>
      <c r="AZ116" s="28">
        <f t="shared" si="34"/>
        <v>0</v>
      </c>
      <c r="BA116" s="13">
        <f t="shared" si="25"/>
        <v>0</v>
      </c>
      <c r="BB116" s="13">
        <f t="shared" si="26"/>
        <v>0</v>
      </c>
      <c r="BC116" s="28">
        <f t="shared" si="35"/>
        <v>0</v>
      </c>
      <c r="BD116" s="28">
        <f t="shared" si="36"/>
        <v>0</v>
      </c>
      <c r="BF116" s="248">
        <f t="shared" si="37"/>
        <v>780220.27402634011</v>
      </c>
      <c r="BG116" s="36">
        <f t="shared" si="54"/>
        <v>0</v>
      </c>
      <c r="BH116" s="36">
        <f t="shared" si="55"/>
        <v>758543.23500187823</v>
      </c>
      <c r="BI116" s="249">
        <f t="shared" si="56"/>
        <v>4.1816398110932074E-3</v>
      </c>
      <c r="BJ116" s="246">
        <f t="shared" si="57"/>
        <v>2.0857243058891584E-4</v>
      </c>
      <c r="BK116" s="246">
        <f t="shared" si="27"/>
        <v>7.531116566323881E-4</v>
      </c>
      <c r="BL116" s="246">
        <f t="shared" si="58"/>
        <v>0</v>
      </c>
      <c r="BM116" s="246">
        <f t="shared" si="59"/>
        <v>9.6168408722130394E-4</v>
      </c>
      <c r="BN116" s="36">
        <f t="shared" si="44"/>
        <v>731.00416769793321</v>
      </c>
      <c r="BO116" s="36">
        <f t="shared" si="60"/>
        <v>3171.9545899192844</v>
      </c>
      <c r="BP116" s="36">
        <f t="shared" si="61"/>
        <v>760984.18542409956</v>
      </c>
    </row>
    <row r="117" spans="1:68">
      <c r="A117" s="32">
        <f t="shared" si="47"/>
        <v>58</v>
      </c>
      <c r="B117" s="32">
        <f t="shared" si="28"/>
        <v>55</v>
      </c>
      <c r="C117" s="32">
        <f t="shared" si="48"/>
        <v>3</v>
      </c>
      <c r="D117" s="32">
        <f t="shared" si="49"/>
        <v>27</v>
      </c>
      <c r="E117" s="74">
        <f>MIN(IF(AV117=0,0,
IF(Investment_Strategy="DIS",VLOOKUP(Investment_Strategy&amp;"_"&amp;Investment_Strategy_Sub1&amp;"_"&amp;$A117,'Investment Strategies'!$AZ:$BP,12,FALSE),
IF(AND(Investment_Strategy="Lifecycle",Investment_Strategy_Sub1="Non-Standard"),VLOOKUP(Investment_Strategy&amp;"_"&amp;Investment_Strategy_Sub2&amp;"_"&amp;$A117,'Investment Strategies'!$C:$P,9,FALSE),
IF(AND(Investment_Strategy="Lifecycle",Investment_Strategy_Sub1="Standard"),VLOOKUP(Investment_Strategy&amp;"_"&amp;Investment_Strategy_Sub2&amp;"_"&amp;$A117,'Investment Strategies'!$AJ:$AV,8,FALSE),
IF(AND(Investment_Strategy="Autopilot",Investment_Strategy_Sub1="Non-Standard"),VLOOKUP(Investment_Strategy&amp;"_"&amp;Investment_Strategy_Sub2&amp;"_"&amp;$A117,'Investment Strategies'!$T:$AF,8,FALSE),
IF(Investment_Strategy ="DIY",DIY_RateOfReturn_CurrentFunds,
"Error")))))),Max_InvReturn)</f>
        <v>4.1816398110932074E-3</v>
      </c>
      <c r="F117" s="62">
        <f>IF(AV117=0,0,
IF(Investment_Strategy="DIS",VLOOKUP(Investment_Strategy&amp;"_"&amp;Investment_Strategy_Sub1&amp;"_"&amp;$A117,'Investment Strategies'!$AZ:$BP,15,FALSE),
IF(AND(Investment_Strategy="Lifecycle",Investment_Strategy_Sub1="Non-Standard"),VLOOKUP(Investment_Strategy&amp;"_"&amp;Investment_Strategy_Sub2&amp;"_"&amp;$A117,'Investment Strategies'!$C:$P,12,FALSE),
IF(AND(Investment_Strategy="Lifecycle",Investment_Strategy_Sub1="Standard"),VLOOKUP(Investment_Strategy&amp;"_"&amp;Investment_Strategy_Sub2&amp;"_"&amp;$A117,'Investment Strategies'!$AJ:$AV,11,FALSE),
IF(AND(Investment_Strategy="Autopilot",Investment_Strategy_Sub1="Non-Standard"),VLOOKUP(Investment_Strategy&amp;"_"&amp;Investment_Strategy_Sub2&amp;"_"&amp;$A117,'Investment Strategies'!$T:$AF,11,FALSE),
IF(Investment_Strategy="DIY",DIY_GteeChrge_CurrentFunds,
"Error"))))))</f>
        <v>5.4328711526985263E-4</v>
      </c>
      <c r="G117" s="33">
        <f>IF(AV117=0,0,
IF(Investment_Strategy="DIS",VLOOKUP(Investment_Strategy&amp;"_"&amp;Investment_Strategy_Sub1&amp;"_"&amp;$A117,'Investment Strategies'!$AZ:$BP,17,FALSE),
IF(AND(Investment_Strategy="Lifecycle",Investment_Strategy_Sub1="Non-Standard"),VLOOKUP(Investment_Strategy&amp;"_"&amp;Investment_Strategy_Sub2&amp;"_"&amp;$A117,'Investment Strategies'!$C:$P,14,FALSE),
IF(AND(Investment_Strategy="Lifecycle",Investment_Strategy_Sub1="Standard"),VLOOKUP(Investment_Strategy&amp;"_"&amp;Investment_Strategy_Sub2&amp;"_"&amp;$A117,'Investment Strategies'!$AJ:$AV,13,FALSE),
IF(AND(Investment_Strategy="Autopilot",Investment_Strategy_Sub1="Non-Standard"),VLOOKUP(Investment_Strategy&amp;"_"&amp;Investment_Strategy_Sub2&amp;"_"&amp;$A117,'Investment Strategies'!$T:$AF,13,FALSE),
IF(Investment_Strategy="DIY",DIY_ExtManChrge_CurrentFunds,
"Error"))))))</f>
        <v>2.0857243058891584E-4</v>
      </c>
      <c r="H117" s="16">
        <f t="shared" si="30"/>
        <v>0</v>
      </c>
      <c r="I117" s="16">
        <f t="shared" si="13"/>
        <v>0</v>
      </c>
      <c r="J117" s="16">
        <f t="shared" si="14"/>
        <v>0</v>
      </c>
      <c r="K117" s="16">
        <f>(Opening_Fund_Value+SUM(K$91:K116))*E117*IF(D117=$A$91,SRP_finalmonthfactor,1)</f>
        <v>0</v>
      </c>
      <c r="L117" s="74">
        <f>MIN(IF($AV117=0,0,
IF(Investment_Strategy="DIS",VLOOKUP(Investment_Strategy&amp;"_"&amp;Investment_Strategy_Sub1&amp;"_"&amp;$A117,'Investment Strategies'!$AZ:$BP,12,FALSE),
IF(AND(Investment_Strategy="Lifecycle",Investment_Strategy_Sub1="Non-Standard"),VLOOKUP(Investment_Strategy&amp;"_"&amp;Investment_Strategy_Sub2&amp;"_"&amp;$A117,'Investment Strategies'!$C:$P,9,FALSE),
IF(AND(Investment_Strategy="Lifecycle",Investment_Strategy_Sub1="Standard"),VLOOKUP(Investment_Strategy&amp;"_"&amp;Investment_Strategy_Sub2&amp;"_"&amp;$A117,'Investment Strategies'!$AJ:$AV,8,FALSE),
IF(AND(Investment_Strategy="Autopilot",Investment_Strategy_Sub1="Non-Standard"),VLOOKUP(Investment_Strategy&amp;"_"&amp;Investment_Strategy_Sub2&amp;"_"&amp;$A117,'Investment Strategies'!$T:$AF,8,FALSE),
IF(Investment_Strategy ="DIY",DIY_RateofReturn_SP,
"Error")))))),Max_InvReturn)</f>
        <v>4.1816398110932074E-3</v>
      </c>
      <c r="M117" s="62">
        <f>IF($AV117=0,0,
IF(Investment_Strategy="DIS",VLOOKUP(Investment_Strategy&amp;"_"&amp;Investment_Strategy_Sub1&amp;"_"&amp;$A117,'Investment Strategies'!$AZ:$BP,15,FALSE),
IF(AND(Investment_Strategy="Lifecycle",Investment_Strategy_Sub1="Non-Standard"),VLOOKUP(Investment_Strategy&amp;"_"&amp;Investment_Strategy_Sub2&amp;"_"&amp;$A117,'Investment Strategies'!$C:$P,12,FALSE),
IF(AND(Investment_Strategy="Lifecycle",Investment_Strategy_Sub1="Standard"),VLOOKUP(Investment_Strategy&amp;"_"&amp;Investment_Strategy_Sub2&amp;"_"&amp;$A117,'Investment Strategies'!$AJ:$AV,11,FALSE),
IF(AND(Investment_Strategy="Autopilot",Investment_Strategy_Sub1="Non-Standard"),VLOOKUP(Investment_Strategy&amp;"_"&amp;Investment_Strategy_Sub2&amp;"_"&amp;$A117,'Investment Strategies'!$T:$AF,11,FALSE),
IF(Investment_Strategy="DIY",DIY_GteeChrge_SP,
"Error"))))))</f>
        <v>0</v>
      </c>
      <c r="N117" s="33">
        <f>IF($AV117=0,0,
IF(Investment_Strategy="DIS",VLOOKUP(Investment_Strategy&amp;"_"&amp;Investment_Strategy_Sub1&amp;"_"&amp;$A117,'Investment Strategies'!$AZ:$BP,17,FALSE),
IF(AND(Investment_Strategy="Lifecycle",Investment_Strategy_Sub1="Non-Standard"),VLOOKUP(Investment_Strategy&amp;"_"&amp;Investment_Strategy_Sub2&amp;"_"&amp;$A117,'Investment Strategies'!$C:$P,14,FALSE),
IF(AND(Investment_Strategy="Lifecycle",Investment_Strategy_Sub1="Standard"),VLOOKUP(Investment_Strategy&amp;"_"&amp;Investment_Strategy_Sub2&amp;"_"&amp;$A117,'Investment Strategies'!$AJ:$AV,13,FALSE),
IF(AND(Investment_Strategy="Autopilot",Investment_Strategy_Sub1="Non-Standard"),VLOOKUP(Investment_Strategy&amp;"_"&amp;Investment_Strategy_Sub2&amp;"_"&amp;$A117,'Investment Strategies'!$T:$AF,13,FALSE),
IF(Investment_Strategy="DIY",DIY_ExtManChrge_SP,
"Error"))))))</f>
        <v>2.0857243058891584E-4</v>
      </c>
      <c r="O117" s="16">
        <f t="shared" si="50"/>
        <v>760984.18542409956</v>
      </c>
      <c r="Q117" s="16">
        <f t="shared" si="15"/>
        <v>3182.1617653817498</v>
      </c>
      <c r="R117" s="16">
        <f t="shared" si="16"/>
        <v>-733.35649891578851</v>
      </c>
      <c r="S117" s="16">
        <f>(SRP_SP+SUM(S$91:S116))*L117*IF(D117=$A$91,SRP_finalmonthfactor,1)</f>
        <v>3262.6001592905941</v>
      </c>
      <c r="T117" s="74">
        <f>MIN(IF($AV117=0,0,
IF(Investment_Strategy="DIS",VLOOKUP(Investment_Strategy&amp;"_"&amp;Investment_Strategy_Sub1&amp;"_"&amp;$A117,'Investment Strategies'!$AZ:$BP,12,FALSE),
IF(AND(Investment_Strategy="Lifecycle",Investment_Strategy_Sub1="Non-Standard"),VLOOKUP(Investment_Strategy&amp;"_"&amp;Investment_Strategy_Sub2&amp;"_"&amp;$A117,'Investment Strategies'!$C:$P,9,FALSE),
IF(AND(Investment_Strategy="Lifecycle",Investment_Strategy_Sub1="Standard"),VLOOKUP(Investment_Strategy&amp;"_"&amp;Investment_Strategy_Sub2&amp;"_"&amp;$A117,'Investment Strategies'!$AJ:$AV,8,FALSE),
IF(AND(Investment_Strategy="Autopilot",Investment_Strategy_Sub1="Non-Standard"),VLOOKUP(Investment_Strategy&amp;"_"&amp;Investment_Strategy_Sub2&amp;"_"&amp;$A117,'Investment Strategies'!$T:$AF,8,FALSE),
IF(Investment_Strategy ="DIY",DIY_RateOfReturn_FuturePremiums,
"Error")))))),Max_InvReturn)</f>
        <v>4.1816398110932074E-3</v>
      </c>
      <c r="U117" s="62">
        <f>IF($AV117=0,0,
IF(Investment_Strategy="DIS",VLOOKUP(Investment_Strategy&amp;"_"&amp;Investment_Strategy_Sub1&amp;"_"&amp;$A117,'Investment Strategies'!$AZ:$BP,15,FALSE),
IF(AND(Investment_Strategy="Lifecycle",Investment_Strategy_Sub1="Non-Standard"),VLOOKUP(Investment_Strategy&amp;"_"&amp;Investment_Strategy_Sub2&amp;"_"&amp;$A117,'Investment Strategies'!$C:$P,12,FALSE),
IF(AND(Investment_Strategy="Lifecycle",Investment_Strategy_Sub1="Standard"),VLOOKUP(Investment_Strategy&amp;"_"&amp;Investment_Strategy_Sub2&amp;"_"&amp;$A117,'Investment Strategies'!$AJ:$AV,11,FALSE),
IF(AND(Investment_Strategy="Autopilot",Investment_Strategy_Sub1="Non-Standard"),VLOOKUP(Investment_Strategy&amp;"_"&amp;Investment_Strategy_Sub2&amp;"_"&amp;$A117,'Investment Strategies'!$T:$AF,11,FALSE),
IF(Investment_Strategy="DIY",DIY_GteeChrge_FuturePremiums,
"Error"))))))</f>
        <v>0</v>
      </c>
      <c r="V117" s="33">
        <f>IF(AV117=0,0,
IF(Investment_Strategy="DIS",VLOOKUP(Investment_Strategy&amp;"_"&amp;Investment_Strategy_Sub1&amp;"_"&amp;$A117,'Investment Strategies'!$AZ:$BP,17,FALSE),
IF(AND(Investment_Strategy="Lifecycle",Investment_Strategy_Sub1="Non-Standard"),VLOOKUP(Investment_Strategy&amp;"_"&amp;Investment_Strategy_Sub2&amp;"_"&amp;$A117,'Investment Strategies'!$C:$P,14,FALSE),
IF(AND(Investment_Strategy="Lifecycle",Investment_Strategy_Sub1="Standard"),VLOOKUP(Investment_Strategy&amp;"_"&amp;Investment_Strategy_Sub2&amp;"_"&amp;$A117,'Investment Strategies'!$AJ:$AV,13,FALSE),
IF(AND(Investment_Strategy="Autopilot",Investment_Strategy_Sub1="Non-Standard"),VLOOKUP(Investment_Strategy&amp;"_"&amp;Investment_Strategy_Sub2&amp;"_"&amp;$A117,'Investment Strategies'!$T:$AF,13,FALSE),
IF(Investment_Strategy="DIY",DIY_ExtManChrge_FuturePremiums,
"Error"))))))</f>
        <v>1.2508601994698498E-4</v>
      </c>
      <c r="W117" s="16">
        <f t="shared" si="51"/>
        <v>0</v>
      </c>
      <c r="X117" s="16">
        <f t="shared" si="17"/>
        <v>0</v>
      </c>
      <c r="Y117" s="16">
        <f t="shared" si="18"/>
        <v>0</v>
      </c>
      <c r="Z117" s="31">
        <f t="shared" si="19"/>
        <v>0.02</v>
      </c>
      <c r="AA117" s="16">
        <f t="shared" si="20"/>
        <v>0</v>
      </c>
      <c r="AB117" s="28">
        <f t="shared" si="53"/>
        <v>780220.27402634011</v>
      </c>
      <c r="AC117" s="28">
        <f>(SUM($AC$91:AC116)+SUM($X$91:X116)+X117)*T117*IF(D117=$A$91,SRP_finalmonthfactor,1)</f>
        <v>0</v>
      </c>
      <c r="AD117" s="16">
        <f t="shared" si="21"/>
        <v>-159.05217680059704</v>
      </c>
      <c r="AE117" s="106"/>
      <c r="AF117" s="16">
        <f t="shared" si="52"/>
        <v>760984.18542409956</v>
      </c>
      <c r="AG117" s="16">
        <f t="shared" si="31"/>
        <v>3262.6001592905941</v>
      </c>
      <c r="AH117" s="16">
        <f t="shared" si="32"/>
        <v>-733.35649891578851</v>
      </c>
      <c r="AJ117" s="13">
        <f t="shared" si="63"/>
        <v>0</v>
      </c>
      <c r="AK117" s="13">
        <f t="shared" si="63"/>
        <v>0</v>
      </c>
      <c r="AL117" s="13">
        <f t="shared" si="63"/>
        <v>1</v>
      </c>
      <c r="AM117" s="13">
        <f t="shared" si="63"/>
        <v>1</v>
      </c>
      <c r="AN117" s="13">
        <f t="shared" si="63"/>
        <v>1</v>
      </c>
      <c r="AO117" s="13">
        <f t="shared" si="63"/>
        <v>1</v>
      </c>
      <c r="AP117" s="13">
        <f t="shared" si="63"/>
        <v>1</v>
      </c>
      <c r="AQ117" s="13">
        <f t="shared" si="63"/>
        <v>1</v>
      </c>
      <c r="AR117" s="13">
        <f t="shared" si="63"/>
        <v>1</v>
      </c>
      <c r="AS117" s="13">
        <f t="shared" si="63"/>
        <v>1</v>
      </c>
      <c r="AT117" s="13">
        <f t="shared" si="63"/>
        <v>1</v>
      </c>
      <c r="AU117" s="13">
        <f t="shared" si="63"/>
        <v>1</v>
      </c>
      <c r="AV117" s="13">
        <f t="shared" si="23"/>
        <v>1</v>
      </c>
      <c r="AW117" s="13">
        <f t="shared" si="33"/>
        <v>1</v>
      </c>
      <c r="AY117" s="17">
        <f t="shared" si="24"/>
        <v>27</v>
      </c>
      <c r="AZ117" s="28">
        <f t="shared" si="34"/>
        <v>0</v>
      </c>
      <c r="BA117" s="13">
        <f t="shared" si="25"/>
        <v>0</v>
      </c>
      <c r="BB117" s="13">
        <f t="shared" si="26"/>
        <v>0</v>
      </c>
      <c r="BC117" s="28">
        <f t="shared" si="35"/>
        <v>0</v>
      </c>
      <c r="BD117" s="28">
        <f t="shared" si="36"/>
        <v>0</v>
      </c>
      <c r="BF117" s="248">
        <f t="shared" si="37"/>
        <v>783482.8741856307</v>
      </c>
      <c r="BG117" s="36">
        <f t="shared" si="54"/>
        <v>0</v>
      </c>
      <c r="BH117" s="36">
        <f t="shared" si="55"/>
        <v>760984.18542409956</v>
      </c>
      <c r="BI117" s="249">
        <f t="shared" si="56"/>
        <v>4.1816398110932074E-3</v>
      </c>
      <c r="BJ117" s="246">
        <f t="shared" si="57"/>
        <v>2.0857243058891584E-4</v>
      </c>
      <c r="BK117" s="246">
        <f t="shared" si="27"/>
        <v>7.531116566323881E-4</v>
      </c>
      <c r="BL117" s="246">
        <f t="shared" si="58"/>
        <v>0</v>
      </c>
      <c r="BM117" s="246">
        <f t="shared" si="59"/>
        <v>9.6168408722130394E-4</v>
      </c>
      <c r="BN117" s="36">
        <f t="shared" si="44"/>
        <v>733.35649891578851</v>
      </c>
      <c r="BO117" s="36">
        <f t="shared" si="60"/>
        <v>3182.1617653817498</v>
      </c>
      <c r="BP117" s="36">
        <f t="shared" si="61"/>
        <v>763432.99069056544</v>
      </c>
    </row>
    <row r="118" spans="1:68">
      <c r="A118" s="32">
        <f t="shared" si="47"/>
        <v>57</v>
      </c>
      <c r="B118" s="32">
        <f t="shared" si="28"/>
        <v>55</v>
      </c>
      <c r="C118" s="32">
        <f t="shared" si="48"/>
        <v>3</v>
      </c>
      <c r="D118" s="32">
        <f t="shared" si="49"/>
        <v>28</v>
      </c>
      <c r="E118" s="74">
        <f>MIN(IF(AV118=0,0,
IF(Investment_Strategy="DIS",VLOOKUP(Investment_Strategy&amp;"_"&amp;Investment_Strategy_Sub1&amp;"_"&amp;$A118,'Investment Strategies'!$AZ:$BP,12,FALSE),
IF(AND(Investment_Strategy="Lifecycle",Investment_Strategy_Sub1="Non-Standard"),VLOOKUP(Investment_Strategy&amp;"_"&amp;Investment_Strategy_Sub2&amp;"_"&amp;$A118,'Investment Strategies'!$C:$P,9,FALSE),
IF(AND(Investment_Strategy="Lifecycle",Investment_Strategy_Sub1="Standard"),VLOOKUP(Investment_Strategy&amp;"_"&amp;Investment_Strategy_Sub2&amp;"_"&amp;$A118,'Investment Strategies'!$AJ:$AV,8,FALSE),
IF(AND(Investment_Strategy="Autopilot",Investment_Strategy_Sub1="Non-Standard"),VLOOKUP(Investment_Strategy&amp;"_"&amp;Investment_Strategy_Sub2&amp;"_"&amp;$A118,'Investment Strategies'!$T:$AF,8,FALSE),
IF(Investment_Strategy ="DIY",DIY_RateOfReturn_CurrentFunds,
"Error")))))),Max_InvReturn)</f>
        <v>4.1816398110932074E-3</v>
      </c>
      <c r="F118" s="62">
        <f>IF(AV118=0,0,
IF(Investment_Strategy="DIS",VLOOKUP(Investment_Strategy&amp;"_"&amp;Investment_Strategy_Sub1&amp;"_"&amp;$A118,'Investment Strategies'!$AZ:$BP,15,FALSE),
IF(AND(Investment_Strategy="Lifecycle",Investment_Strategy_Sub1="Non-Standard"),VLOOKUP(Investment_Strategy&amp;"_"&amp;Investment_Strategy_Sub2&amp;"_"&amp;$A118,'Investment Strategies'!$C:$P,12,FALSE),
IF(AND(Investment_Strategy="Lifecycle",Investment_Strategy_Sub1="Standard"),VLOOKUP(Investment_Strategy&amp;"_"&amp;Investment_Strategy_Sub2&amp;"_"&amp;$A118,'Investment Strategies'!$AJ:$AV,11,FALSE),
IF(AND(Investment_Strategy="Autopilot",Investment_Strategy_Sub1="Non-Standard"),VLOOKUP(Investment_Strategy&amp;"_"&amp;Investment_Strategy_Sub2&amp;"_"&amp;$A118,'Investment Strategies'!$T:$AF,11,FALSE),
IF(Investment_Strategy="DIY",DIY_GteeChrge_CurrentFunds,
"Error"))))))</f>
        <v>5.4328711526985263E-4</v>
      </c>
      <c r="G118" s="33">
        <f>IF(AV118=0,0,
IF(Investment_Strategy="DIS",VLOOKUP(Investment_Strategy&amp;"_"&amp;Investment_Strategy_Sub1&amp;"_"&amp;$A118,'Investment Strategies'!$AZ:$BP,17,FALSE),
IF(AND(Investment_Strategy="Lifecycle",Investment_Strategy_Sub1="Non-Standard"),VLOOKUP(Investment_Strategy&amp;"_"&amp;Investment_Strategy_Sub2&amp;"_"&amp;$A118,'Investment Strategies'!$C:$P,14,FALSE),
IF(AND(Investment_Strategy="Lifecycle",Investment_Strategy_Sub1="Standard"),VLOOKUP(Investment_Strategy&amp;"_"&amp;Investment_Strategy_Sub2&amp;"_"&amp;$A118,'Investment Strategies'!$AJ:$AV,13,FALSE),
IF(AND(Investment_Strategy="Autopilot",Investment_Strategy_Sub1="Non-Standard"),VLOOKUP(Investment_Strategy&amp;"_"&amp;Investment_Strategy_Sub2&amp;"_"&amp;$A118,'Investment Strategies'!$T:$AF,13,FALSE),
IF(Investment_Strategy="DIY",DIY_ExtManChrge_CurrentFunds,
"Error"))))))</f>
        <v>2.0857243058891584E-4</v>
      </c>
      <c r="H118" s="16">
        <f t="shared" si="30"/>
        <v>0</v>
      </c>
      <c r="I118" s="16">
        <f t="shared" si="13"/>
        <v>0</v>
      </c>
      <c r="J118" s="16">
        <f t="shared" si="14"/>
        <v>0</v>
      </c>
      <c r="K118" s="16">
        <f>(Opening_Fund_Value+SUM(K$91:K117))*E118*IF(D118=$A$91,SRP_finalmonthfactor,1)</f>
        <v>0</v>
      </c>
      <c r="L118" s="74">
        <f>MIN(IF($AV118=0,0,
IF(Investment_Strategy="DIS",VLOOKUP(Investment_Strategy&amp;"_"&amp;Investment_Strategy_Sub1&amp;"_"&amp;$A118,'Investment Strategies'!$AZ:$BP,12,FALSE),
IF(AND(Investment_Strategy="Lifecycle",Investment_Strategy_Sub1="Non-Standard"),VLOOKUP(Investment_Strategy&amp;"_"&amp;Investment_Strategy_Sub2&amp;"_"&amp;$A118,'Investment Strategies'!$C:$P,9,FALSE),
IF(AND(Investment_Strategy="Lifecycle",Investment_Strategy_Sub1="Standard"),VLOOKUP(Investment_Strategy&amp;"_"&amp;Investment_Strategy_Sub2&amp;"_"&amp;$A118,'Investment Strategies'!$AJ:$AV,8,FALSE),
IF(AND(Investment_Strategy="Autopilot",Investment_Strategy_Sub1="Non-Standard"),VLOOKUP(Investment_Strategy&amp;"_"&amp;Investment_Strategy_Sub2&amp;"_"&amp;$A118,'Investment Strategies'!$T:$AF,8,FALSE),
IF(Investment_Strategy ="DIY",DIY_RateofReturn_SP,
"Error")))))),Max_InvReturn)</f>
        <v>4.1816398110932074E-3</v>
      </c>
      <c r="M118" s="62">
        <f>IF($AV118=0,0,
IF(Investment_Strategy="DIS",VLOOKUP(Investment_Strategy&amp;"_"&amp;Investment_Strategy_Sub1&amp;"_"&amp;$A118,'Investment Strategies'!$AZ:$BP,15,FALSE),
IF(AND(Investment_Strategy="Lifecycle",Investment_Strategy_Sub1="Non-Standard"),VLOOKUP(Investment_Strategy&amp;"_"&amp;Investment_Strategy_Sub2&amp;"_"&amp;$A118,'Investment Strategies'!$C:$P,12,FALSE),
IF(AND(Investment_Strategy="Lifecycle",Investment_Strategy_Sub1="Standard"),VLOOKUP(Investment_Strategy&amp;"_"&amp;Investment_Strategy_Sub2&amp;"_"&amp;$A118,'Investment Strategies'!$AJ:$AV,11,FALSE),
IF(AND(Investment_Strategy="Autopilot",Investment_Strategy_Sub1="Non-Standard"),VLOOKUP(Investment_Strategy&amp;"_"&amp;Investment_Strategy_Sub2&amp;"_"&amp;$A118,'Investment Strategies'!$T:$AF,11,FALSE),
IF(Investment_Strategy="DIY",DIY_GteeChrge_SP,
"Error"))))))</f>
        <v>0</v>
      </c>
      <c r="N118" s="33">
        <f>IF($AV118=0,0,
IF(Investment_Strategy="DIS",VLOOKUP(Investment_Strategy&amp;"_"&amp;Investment_Strategy_Sub1&amp;"_"&amp;$A118,'Investment Strategies'!$AZ:$BP,17,FALSE),
IF(AND(Investment_Strategy="Lifecycle",Investment_Strategy_Sub1="Non-Standard"),VLOOKUP(Investment_Strategy&amp;"_"&amp;Investment_Strategy_Sub2&amp;"_"&amp;$A118,'Investment Strategies'!$C:$P,14,FALSE),
IF(AND(Investment_Strategy="Lifecycle",Investment_Strategy_Sub1="Standard"),VLOOKUP(Investment_Strategy&amp;"_"&amp;Investment_Strategy_Sub2&amp;"_"&amp;$A118,'Investment Strategies'!$AJ:$AV,13,FALSE),
IF(AND(Investment_Strategy="Autopilot",Investment_Strategy_Sub1="Non-Standard"),VLOOKUP(Investment_Strategy&amp;"_"&amp;Investment_Strategy_Sub2&amp;"_"&amp;$A118,'Investment Strategies'!$T:$AF,13,FALSE),
IF(Investment_Strategy="DIY",DIY_ExtManChrge_SP,
"Error"))))))</f>
        <v>2.0857243058891584E-4</v>
      </c>
      <c r="O118" s="16">
        <f t="shared" si="50"/>
        <v>763432.99069056544</v>
      </c>
      <c r="Q118" s="16">
        <f t="shared" si="15"/>
        <v>3192.4017869736185</v>
      </c>
      <c r="R118" s="16">
        <f t="shared" si="16"/>
        <v>-735.71639980616135</v>
      </c>
      <c r="S118" s="16">
        <f>(SRP_SP+SUM(S$91:S117))*L118*IF(D118=$A$91,SRP_finalmonthfactor,1)</f>
        <v>3276.2431780043626</v>
      </c>
      <c r="T118" s="74">
        <f>MIN(IF($AV118=0,0,
IF(Investment_Strategy="DIS",VLOOKUP(Investment_Strategy&amp;"_"&amp;Investment_Strategy_Sub1&amp;"_"&amp;$A118,'Investment Strategies'!$AZ:$BP,12,FALSE),
IF(AND(Investment_Strategy="Lifecycle",Investment_Strategy_Sub1="Non-Standard"),VLOOKUP(Investment_Strategy&amp;"_"&amp;Investment_Strategy_Sub2&amp;"_"&amp;$A118,'Investment Strategies'!$C:$P,9,FALSE),
IF(AND(Investment_Strategy="Lifecycle",Investment_Strategy_Sub1="Standard"),VLOOKUP(Investment_Strategy&amp;"_"&amp;Investment_Strategy_Sub2&amp;"_"&amp;$A118,'Investment Strategies'!$AJ:$AV,8,FALSE),
IF(AND(Investment_Strategy="Autopilot",Investment_Strategy_Sub1="Non-Standard"),VLOOKUP(Investment_Strategy&amp;"_"&amp;Investment_Strategy_Sub2&amp;"_"&amp;$A118,'Investment Strategies'!$T:$AF,8,FALSE),
IF(Investment_Strategy ="DIY",DIY_RateOfReturn_FuturePremiums,
"Error")))))),Max_InvReturn)</f>
        <v>4.1816398110932074E-3</v>
      </c>
      <c r="U118" s="62">
        <f>IF($AV118=0,0,
IF(Investment_Strategy="DIS",VLOOKUP(Investment_Strategy&amp;"_"&amp;Investment_Strategy_Sub1&amp;"_"&amp;$A118,'Investment Strategies'!$AZ:$BP,15,FALSE),
IF(AND(Investment_Strategy="Lifecycle",Investment_Strategy_Sub1="Non-Standard"),VLOOKUP(Investment_Strategy&amp;"_"&amp;Investment_Strategy_Sub2&amp;"_"&amp;$A118,'Investment Strategies'!$C:$P,12,FALSE),
IF(AND(Investment_Strategy="Lifecycle",Investment_Strategy_Sub1="Standard"),VLOOKUP(Investment_Strategy&amp;"_"&amp;Investment_Strategy_Sub2&amp;"_"&amp;$A118,'Investment Strategies'!$AJ:$AV,11,FALSE),
IF(AND(Investment_Strategy="Autopilot",Investment_Strategy_Sub1="Non-Standard"),VLOOKUP(Investment_Strategy&amp;"_"&amp;Investment_Strategy_Sub2&amp;"_"&amp;$A118,'Investment Strategies'!$T:$AF,11,FALSE),
IF(Investment_Strategy="DIY",DIY_GteeChrge_FuturePremiums,
"Error"))))))</f>
        <v>0</v>
      </c>
      <c r="V118" s="33">
        <f>IF(AV118=0,0,
IF(Investment_Strategy="DIS",VLOOKUP(Investment_Strategy&amp;"_"&amp;Investment_Strategy_Sub1&amp;"_"&amp;$A118,'Investment Strategies'!$AZ:$BP,17,FALSE),
IF(AND(Investment_Strategy="Lifecycle",Investment_Strategy_Sub1="Non-Standard"),VLOOKUP(Investment_Strategy&amp;"_"&amp;Investment_Strategy_Sub2&amp;"_"&amp;$A118,'Investment Strategies'!$C:$P,14,FALSE),
IF(AND(Investment_Strategy="Lifecycle",Investment_Strategy_Sub1="Standard"),VLOOKUP(Investment_Strategy&amp;"_"&amp;Investment_Strategy_Sub2&amp;"_"&amp;$A118,'Investment Strategies'!$AJ:$AV,13,FALSE),
IF(AND(Investment_Strategy="Autopilot",Investment_Strategy_Sub1="Non-Standard"),VLOOKUP(Investment_Strategy&amp;"_"&amp;Investment_Strategy_Sub2&amp;"_"&amp;$A118,'Investment Strategies'!$T:$AF,13,FALSE),
IF(Investment_Strategy="DIY",DIY_ExtManChrge_FuturePremiums,
"Error"))))))</f>
        <v>1.2508601994698498E-4</v>
      </c>
      <c r="W118" s="16">
        <f t="shared" si="51"/>
        <v>0</v>
      </c>
      <c r="X118" s="16">
        <f t="shared" si="17"/>
        <v>0</v>
      </c>
      <c r="Y118" s="16">
        <f t="shared" si="18"/>
        <v>0</v>
      </c>
      <c r="Z118" s="31">
        <f t="shared" si="19"/>
        <v>0.02</v>
      </c>
      <c r="AA118" s="16">
        <f t="shared" si="20"/>
        <v>0</v>
      </c>
      <c r="AB118" s="28">
        <f t="shared" si="53"/>
        <v>783482.8741856307</v>
      </c>
      <c r="AC118" s="28">
        <f>(SUM($AC$91:AC117)+SUM($X$91:X117)+X118)*T118*IF(D118=$A$91,SRP_finalmonthfactor,1)</f>
        <v>0</v>
      </c>
      <c r="AD118" s="16">
        <f t="shared" si="21"/>
        <v>-159.56399796015913</v>
      </c>
      <c r="AE118" s="106"/>
      <c r="AF118" s="16">
        <f t="shared" si="52"/>
        <v>763432.99069056544</v>
      </c>
      <c r="AG118" s="16">
        <f t="shared" si="31"/>
        <v>3276.2431780043626</v>
      </c>
      <c r="AH118" s="16">
        <f t="shared" si="32"/>
        <v>-735.71639980616135</v>
      </c>
      <c r="AJ118" s="13">
        <f t="shared" si="63"/>
        <v>0</v>
      </c>
      <c r="AK118" s="13">
        <f t="shared" si="63"/>
        <v>0</v>
      </c>
      <c r="AL118" s="13">
        <f t="shared" si="63"/>
        <v>1</v>
      </c>
      <c r="AM118" s="13">
        <f t="shared" si="63"/>
        <v>1</v>
      </c>
      <c r="AN118" s="13">
        <f t="shared" si="63"/>
        <v>1</v>
      </c>
      <c r="AO118" s="13">
        <f t="shared" si="63"/>
        <v>1</v>
      </c>
      <c r="AP118" s="13">
        <f t="shared" si="63"/>
        <v>1</v>
      </c>
      <c r="AQ118" s="13">
        <f t="shared" si="63"/>
        <v>1</v>
      </c>
      <c r="AR118" s="13">
        <f t="shared" si="63"/>
        <v>1</v>
      </c>
      <c r="AS118" s="13">
        <f t="shared" si="63"/>
        <v>1</v>
      </c>
      <c r="AT118" s="13">
        <f t="shared" si="63"/>
        <v>1</v>
      </c>
      <c r="AU118" s="13">
        <f t="shared" si="63"/>
        <v>1</v>
      </c>
      <c r="AV118" s="13">
        <f t="shared" si="23"/>
        <v>1</v>
      </c>
      <c r="AW118" s="13">
        <f t="shared" si="33"/>
        <v>1</v>
      </c>
      <c r="AY118" s="17">
        <f t="shared" si="24"/>
        <v>28</v>
      </c>
      <c r="AZ118" s="28">
        <f t="shared" si="34"/>
        <v>0</v>
      </c>
      <c r="BA118" s="13">
        <f t="shared" si="25"/>
        <v>0</v>
      </c>
      <c r="BB118" s="13">
        <f t="shared" si="26"/>
        <v>0</v>
      </c>
      <c r="BC118" s="28">
        <f t="shared" si="35"/>
        <v>0</v>
      </c>
      <c r="BD118" s="28">
        <f t="shared" si="36"/>
        <v>0</v>
      </c>
      <c r="BF118" s="248">
        <f t="shared" si="37"/>
        <v>786759.1173636351</v>
      </c>
      <c r="BG118" s="36">
        <f t="shared" si="54"/>
        <v>0</v>
      </c>
      <c r="BH118" s="36">
        <f t="shared" si="55"/>
        <v>763432.99069056544</v>
      </c>
      <c r="BI118" s="249">
        <f t="shared" si="56"/>
        <v>4.1816398110932074E-3</v>
      </c>
      <c r="BJ118" s="246">
        <f t="shared" si="57"/>
        <v>2.0857243058891584E-4</v>
      </c>
      <c r="BK118" s="246">
        <f t="shared" si="27"/>
        <v>7.531116566323881E-4</v>
      </c>
      <c r="BL118" s="246">
        <f t="shared" si="58"/>
        <v>0</v>
      </c>
      <c r="BM118" s="246">
        <f t="shared" si="59"/>
        <v>9.6168408722130394E-4</v>
      </c>
      <c r="BN118" s="36">
        <f t="shared" si="44"/>
        <v>735.71639980616123</v>
      </c>
      <c r="BO118" s="36">
        <f t="shared" si="60"/>
        <v>3192.4017869736185</v>
      </c>
      <c r="BP118" s="36">
        <f t="shared" si="61"/>
        <v>765889.67607773282</v>
      </c>
    </row>
    <row r="119" spans="1:68">
      <c r="A119" s="32">
        <f t="shared" si="47"/>
        <v>56</v>
      </c>
      <c r="B119" s="32">
        <f t="shared" si="28"/>
        <v>55</v>
      </c>
      <c r="C119" s="32">
        <f t="shared" si="48"/>
        <v>3</v>
      </c>
      <c r="D119" s="32">
        <f t="shared" si="49"/>
        <v>29</v>
      </c>
      <c r="E119" s="74">
        <f>MIN(IF(AV119=0,0,
IF(Investment_Strategy="DIS",VLOOKUP(Investment_Strategy&amp;"_"&amp;Investment_Strategy_Sub1&amp;"_"&amp;$A119,'Investment Strategies'!$AZ:$BP,12,FALSE),
IF(AND(Investment_Strategy="Lifecycle",Investment_Strategy_Sub1="Non-Standard"),VLOOKUP(Investment_Strategy&amp;"_"&amp;Investment_Strategy_Sub2&amp;"_"&amp;$A119,'Investment Strategies'!$C:$P,9,FALSE),
IF(AND(Investment_Strategy="Lifecycle",Investment_Strategy_Sub1="Standard"),VLOOKUP(Investment_Strategy&amp;"_"&amp;Investment_Strategy_Sub2&amp;"_"&amp;$A119,'Investment Strategies'!$AJ:$AV,8,FALSE),
IF(AND(Investment_Strategy="Autopilot",Investment_Strategy_Sub1="Non-Standard"),VLOOKUP(Investment_Strategy&amp;"_"&amp;Investment_Strategy_Sub2&amp;"_"&amp;$A119,'Investment Strategies'!$T:$AF,8,FALSE),
IF(Investment_Strategy ="DIY",DIY_RateOfReturn_CurrentFunds,
"Error")))))),Max_InvReturn)</f>
        <v>4.1816398110932074E-3</v>
      </c>
      <c r="F119" s="62">
        <f>IF(AV119=0,0,
IF(Investment_Strategy="DIS",VLOOKUP(Investment_Strategy&amp;"_"&amp;Investment_Strategy_Sub1&amp;"_"&amp;$A119,'Investment Strategies'!$AZ:$BP,15,FALSE),
IF(AND(Investment_Strategy="Lifecycle",Investment_Strategy_Sub1="Non-Standard"),VLOOKUP(Investment_Strategy&amp;"_"&amp;Investment_Strategy_Sub2&amp;"_"&amp;$A119,'Investment Strategies'!$C:$P,12,FALSE),
IF(AND(Investment_Strategy="Lifecycle",Investment_Strategy_Sub1="Standard"),VLOOKUP(Investment_Strategy&amp;"_"&amp;Investment_Strategy_Sub2&amp;"_"&amp;$A119,'Investment Strategies'!$AJ:$AV,11,FALSE),
IF(AND(Investment_Strategy="Autopilot",Investment_Strategy_Sub1="Non-Standard"),VLOOKUP(Investment_Strategy&amp;"_"&amp;Investment_Strategy_Sub2&amp;"_"&amp;$A119,'Investment Strategies'!$T:$AF,11,FALSE),
IF(Investment_Strategy="DIY",DIY_GteeChrge_CurrentFunds,
"Error"))))))</f>
        <v>5.4328711526985263E-4</v>
      </c>
      <c r="G119" s="33">
        <f>IF(AV119=0,0,
IF(Investment_Strategy="DIS",VLOOKUP(Investment_Strategy&amp;"_"&amp;Investment_Strategy_Sub1&amp;"_"&amp;$A119,'Investment Strategies'!$AZ:$BP,17,FALSE),
IF(AND(Investment_Strategy="Lifecycle",Investment_Strategy_Sub1="Non-Standard"),VLOOKUP(Investment_Strategy&amp;"_"&amp;Investment_Strategy_Sub2&amp;"_"&amp;$A119,'Investment Strategies'!$C:$P,14,FALSE),
IF(AND(Investment_Strategy="Lifecycle",Investment_Strategy_Sub1="Standard"),VLOOKUP(Investment_Strategy&amp;"_"&amp;Investment_Strategy_Sub2&amp;"_"&amp;$A119,'Investment Strategies'!$AJ:$AV,13,FALSE),
IF(AND(Investment_Strategy="Autopilot",Investment_Strategy_Sub1="Non-Standard"),VLOOKUP(Investment_Strategy&amp;"_"&amp;Investment_Strategy_Sub2&amp;"_"&amp;$A119,'Investment Strategies'!$T:$AF,13,FALSE),
IF(Investment_Strategy="DIY",DIY_ExtManChrge_CurrentFunds,
"Error"))))))</f>
        <v>2.0857243058891584E-4</v>
      </c>
      <c r="H119" s="16">
        <f t="shared" si="30"/>
        <v>0</v>
      </c>
      <c r="I119" s="16">
        <f t="shared" si="13"/>
        <v>0</v>
      </c>
      <c r="J119" s="16">
        <f t="shared" si="14"/>
        <v>0</v>
      </c>
      <c r="K119" s="16">
        <f>(Opening_Fund_Value+SUM(K$91:K118))*E119*IF(D119=$A$91,SRP_finalmonthfactor,1)</f>
        <v>0</v>
      </c>
      <c r="L119" s="74">
        <f>MIN(IF($AV119=0,0,
IF(Investment_Strategy="DIS",VLOOKUP(Investment_Strategy&amp;"_"&amp;Investment_Strategy_Sub1&amp;"_"&amp;$A119,'Investment Strategies'!$AZ:$BP,12,FALSE),
IF(AND(Investment_Strategy="Lifecycle",Investment_Strategy_Sub1="Non-Standard"),VLOOKUP(Investment_Strategy&amp;"_"&amp;Investment_Strategy_Sub2&amp;"_"&amp;$A119,'Investment Strategies'!$C:$P,9,FALSE),
IF(AND(Investment_Strategy="Lifecycle",Investment_Strategy_Sub1="Standard"),VLOOKUP(Investment_Strategy&amp;"_"&amp;Investment_Strategy_Sub2&amp;"_"&amp;$A119,'Investment Strategies'!$AJ:$AV,8,FALSE),
IF(AND(Investment_Strategy="Autopilot",Investment_Strategy_Sub1="Non-Standard"),VLOOKUP(Investment_Strategy&amp;"_"&amp;Investment_Strategy_Sub2&amp;"_"&amp;$A119,'Investment Strategies'!$T:$AF,8,FALSE),
IF(Investment_Strategy ="DIY",DIY_RateofReturn_SP,
"Error")))))),Max_InvReturn)</f>
        <v>4.1816398110932074E-3</v>
      </c>
      <c r="M119" s="62">
        <f>IF($AV119=0,0,
IF(Investment_Strategy="DIS",VLOOKUP(Investment_Strategy&amp;"_"&amp;Investment_Strategy_Sub1&amp;"_"&amp;$A119,'Investment Strategies'!$AZ:$BP,15,FALSE),
IF(AND(Investment_Strategy="Lifecycle",Investment_Strategy_Sub1="Non-Standard"),VLOOKUP(Investment_Strategy&amp;"_"&amp;Investment_Strategy_Sub2&amp;"_"&amp;$A119,'Investment Strategies'!$C:$P,12,FALSE),
IF(AND(Investment_Strategy="Lifecycle",Investment_Strategy_Sub1="Standard"),VLOOKUP(Investment_Strategy&amp;"_"&amp;Investment_Strategy_Sub2&amp;"_"&amp;$A119,'Investment Strategies'!$AJ:$AV,11,FALSE),
IF(AND(Investment_Strategy="Autopilot",Investment_Strategy_Sub1="Non-Standard"),VLOOKUP(Investment_Strategy&amp;"_"&amp;Investment_Strategy_Sub2&amp;"_"&amp;$A119,'Investment Strategies'!$T:$AF,11,FALSE),
IF(Investment_Strategy="DIY",DIY_GteeChrge_SP,
"Error"))))))</f>
        <v>0</v>
      </c>
      <c r="N119" s="33">
        <f>IF($AV119=0,0,
IF(Investment_Strategy="DIS",VLOOKUP(Investment_Strategy&amp;"_"&amp;Investment_Strategy_Sub1&amp;"_"&amp;$A119,'Investment Strategies'!$AZ:$BP,17,FALSE),
IF(AND(Investment_Strategy="Lifecycle",Investment_Strategy_Sub1="Non-Standard"),VLOOKUP(Investment_Strategy&amp;"_"&amp;Investment_Strategy_Sub2&amp;"_"&amp;$A119,'Investment Strategies'!$C:$P,14,FALSE),
IF(AND(Investment_Strategy="Lifecycle",Investment_Strategy_Sub1="Standard"),VLOOKUP(Investment_Strategy&amp;"_"&amp;Investment_Strategy_Sub2&amp;"_"&amp;$A119,'Investment Strategies'!$AJ:$AV,13,FALSE),
IF(AND(Investment_Strategy="Autopilot",Investment_Strategy_Sub1="Non-Standard"),VLOOKUP(Investment_Strategy&amp;"_"&amp;Investment_Strategy_Sub2&amp;"_"&amp;$A119,'Investment Strategies'!$T:$AF,13,FALSE),
IF(Investment_Strategy="DIY",DIY_ExtManChrge_SP,
"Error"))))))</f>
        <v>2.0857243058891584E-4</v>
      </c>
      <c r="O119" s="16">
        <f t="shared" si="50"/>
        <v>765889.67607773282</v>
      </c>
      <c r="Q119" s="16">
        <f t="shared" si="15"/>
        <v>3202.6747603919284</v>
      </c>
      <c r="R119" s="16">
        <f t="shared" si="16"/>
        <v>-738.08389472784177</v>
      </c>
      <c r="S119" s="16">
        <f>(SRP_SP+SUM(S$91:S118))*L119*IF(D119=$A$91,SRP_finalmonthfactor,1)</f>
        <v>3289.9432469083281</v>
      </c>
      <c r="T119" s="74">
        <f>MIN(IF($AV119=0,0,
IF(Investment_Strategy="DIS",VLOOKUP(Investment_Strategy&amp;"_"&amp;Investment_Strategy_Sub1&amp;"_"&amp;$A119,'Investment Strategies'!$AZ:$BP,12,FALSE),
IF(AND(Investment_Strategy="Lifecycle",Investment_Strategy_Sub1="Non-Standard"),VLOOKUP(Investment_Strategy&amp;"_"&amp;Investment_Strategy_Sub2&amp;"_"&amp;$A119,'Investment Strategies'!$C:$P,9,FALSE),
IF(AND(Investment_Strategy="Lifecycle",Investment_Strategy_Sub1="Standard"),VLOOKUP(Investment_Strategy&amp;"_"&amp;Investment_Strategy_Sub2&amp;"_"&amp;$A119,'Investment Strategies'!$AJ:$AV,8,FALSE),
IF(AND(Investment_Strategy="Autopilot",Investment_Strategy_Sub1="Non-Standard"),VLOOKUP(Investment_Strategy&amp;"_"&amp;Investment_Strategy_Sub2&amp;"_"&amp;$A119,'Investment Strategies'!$T:$AF,8,FALSE),
IF(Investment_Strategy ="DIY",DIY_RateOfReturn_FuturePremiums,
"Error")))))),Max_InvReturn)</f>
        <v>4.1816398110932074E-3</v>
      </c>
      <c r="U119" s="62">
        <f>IF($AV119=0,0,
IF(Investment_Strategy="DIS",VLOOKUP(Investment_Strategy&amp;"_"&amp;Investment_Strategy_Sub1&amp;"_"&amp;$A119,'Investment Strategies'!$AZ:$BP,15,FALSE),
IF(AND(Investment_Strategy="Lifecycle",Investment_Strategy_Sub1="Non-Standard"),VLOOKUP(Investment_Strategy&amp;"_"&amp;Investment_Strategy_Sub2&amp;"_"&amp;$A119,'Investment Strategies'!$C:$P,12,FALSE),
IF(AND(Investment_Strategy="Lifecycle",Investment_Strategy_Sub1="Standard"),VLOOKUP(Investment_Strategy&amp;"_"&amp;Investment_Strategy_Sub2&amp;"_"&amp;$A119,'Investment Strategies'!$AJ:$AV,11,FALSE),
IF(AND(Investment_Strategy="Autopilot",Investment_Strategy_Sub1="Non-Standard"),VLOOKUP(Investment_Strategy&amp;"_"&amp;Investment_Strategy_Sub2&amp;"_"&amp;$A119,'Investment Strategies'!$T:$AF,11,FALSE),
IF(Investment_Strategy="DIY",DIY_GteeChrge_FuturePremiums,
"Error"))))))</f>
        <v>0</v>
      </c>
      <c r="V119" s="33">
        <f>IF(AV119=0,0,
IF(Investment_Strategy="DIS",VLOOKUP(Investment_Strategy&amp;"_"&amp;Investment_Strategy_Sub1&amp;"_"&amp;$A119,'Investment Strategies'!$AZ:$BP,17,FALSE),
IF(AND(Investment_Strategy="Lifecycle",Investment_Strategy_Sub1="Non-Standard"),VLOOKUP(Investment_Strategy&amp;"_"&amp;Investment_Strategy_Sub2&amp;"_"&amp;$A119,'Investment Strategies'!$C:$P,14,FALSE),
IF(AND(Investment_Strategy="Lifecycle",Investment_Strategy_Sub1="Standard"),VLOOKUP(Investment_Strategy&amp;"_"&amp;Investment_Strategy_Sub2&amp;"_"&amp;$A119,'Investment Strategies'!$AJ:$AV,13,FALSE),
IF(AND(Investment_Strategy="Autopilot",Investment_Strategy_Sub1="Non-Standard"),VLOOKUP(Investment_Strategy&amp;"_"&amp;Investment_Strategy_Sub2&amp;"_"&amp;$A119,'Investment Strategies'!$T:$AF,13,FALSE),
IF(Investment_Strategy="DIY",DIY_ExtManChrge_FuturePremiums,
"Error"))))))</f>
        <v>1.2508601994698498E-4</v>
      </c>
      <c r="W119" s="16">
        <f t="shared" si="51"/>
        <v>0</v>
      </c>
      <c r="X119" s="16">
        <f t="shared" si="17"/>
        <v>0</v>
      </c>
      <c r="Y119" s="16">
        <f t="shared" si="18"/>
        <v>0</v>
      </c>
      <c r="Z119" s="31">
        <f t="shared" si="19"/>
        <v>0.02</v>
      </c>
      <c r="AA119" s="16">
        <f t="shared" si="20"/>
        <v>0</v>
      </c>
      <c r="AB119" s="28">
        <f t="shared" si="53"/>
        <v>786759.1173636351</v>
      </c>
      <c r="AC119" s="28">
        <f>(SUM($AC$91:AC118)+SUM($X$91:X118)+X119)*T119*IF(D119=$A$91,SRP_finalmonthfactor,1)</f>
        <v>0</v>
      </c>
      <c r="AD119" s="16">
        <f t="shared" si="21"/>
        <v>-160.07746613207053</v>
      </c>
      <c r="AE119" s="106"/>
      <c r="AF119" s="16">
        <f t="shared" si="52"/>
        <v>765889.67607773282</v>
      </c>
      <c r="AG119" s="16">
        <f t="shared" si="31"/>
        <v>3289.9432469083281</v>
      </c>
      <c r="AH119" s="16">
        <f t="shared" si="32"/>
        <v>-738.08389472784177</v>
      </c>
      <c r="AJ119" s="13">
        <f t="shared" si="63"/>
        <v>0</v>
      </c>
      <c r="AK119" s="13">
        <f t="shared" si="63"/>
        <v>0</v>
      </c>
      <c r="AL119" s="13">
        <f t="shared" si="63"/>
        <v>1</v>
      </c>
      <c r="AM119" s="13">
        <f t="shared" si="63"/>
        <v>1</v>
      </c>
      <c r="AN119" s="13">
        <f t="shared" si="63"/>
        <v>1</v>
      </c>
      <c r="AO119" s="13">
        <f t="shared" si="63"/>
        <v>1</v>
      </c>
      <c r="AP119" s="13">
        <f t="shared" si="63"/>
        <v>1</v>
      </c>
      <c r="AQ119" s="13">
        <f t="shared" si="63"/>
        <v>1</v>
      </c>
      <c r="AR119" s="13">
        <f t="shared" si="63"/>
        <v>1</v>
      </c>
      <c r="AS119" s="13">
        <f t="shared" si="63"/>
        <v>1</v>
      </c>
      <c r="AT119" s="13">
        <f t="shared" si="63"/>
        <v>1</v>
      </c>
      <c r="AU119" s="13">
        <f t="shared" si="63"/>
        <v>1</v>
      </c>
      <c r="AV119" s="13">
        <f t="shared" si="23"/>
        <v>1</v>
      </c>
      <c r="AW119" s="13">
        <f t="shared" si="33"/>
        <v>1</v>
      </c>
      <c r="AY119" s="17">
        <f t="shared" si="24"/>
        <v>29</v>
      </c>
      <c r="AZ119" s="28">
        <f t="shared" si="34"/>
        <v>0</v>
      </c>
      <c r="BA119" s="13">
        <f t="shared" si="25"/>
        <v>0</v>
      </c>
      <c r="BB119" s="13">
        <f t="shared" si="26"/>
        <v>0</v>
      </c>
      <c r="BC119" s="28">
        <f t="shared" si="35"/>
        <v>0</v>
      </c>
      <c r="BD119" s="28">
        <f t="shared" si="36"/>
        <v>0</v>
      </c>
      <c r="BF119" s="248">
        <f t="shared" si="37"/>
        <v>790049.06061054347</v>
      </c>
      <c r="BG119" s="36">
        <f t="shared" si="54"/>
        <v>0</v>
      </c>
      <c r="BH119" s="36">
        <f t="shared" si="55"/>
        <v>765889.67607773282</v>
      </c>
      <c r="BI119" s="249">
        <f t="shared" si="56"/>
        <v>4.1816398110932074E-3</v>
      </c>
      <c r="BJ119" s="246">
        <f t="shared" si="57"/>
        <v>2.0857243058891584E-4</v>
      </c>
      <c r="BK119" s="246">
        <f t="shared" si="27"/>
        <v>7.531116566323881E-4</v>
      </c>
      <c r="BL119" s="246">
        <f t="shared" si="58"/>
        <v>0</v>
      </c>
      <c r="BM119" s="246">
        <f t="shared" si="59"/>
        <v>9.6168408722130394E-4</v>
      </c>
      <c r="BN119" s="36">
        <f t="shared" si="44"/>
        <v>738.08389472784165</v>
      </c>
      <c r="BO119" s="36">
        <f t="shared" si="60"/>
        <v>3202.6747603919284</v>
      </c>
      <c r="BP119" s="36">
        <f t="shared" si="61"/>
        <v>768354.26694339688</v>
      </c>
    </row>
    <row r="120" spans="1:68">
      <c r="A120" s="32">
        <f t="shared" si="47"/>
        <v>55</v>
      </c>
      <c r="B120" s="32">
        <f t="shared" si="28"/>
        <v>55</v>
      </c>
      <c r="C120" s="32">
        <f t="shared" si="48"/>
        <v>3</v>
      </c>
      <c r="D120" s="32">
        <f t="shared" si="49"/>
        <v>30</v>
      </c>
      <c r="E120" s="74">
        <f>MIN(IF(AV120=0,0,
IF(Investment_Strategy="DIS",VLOOKUP(Investment_Strategy&amp;"_"&amp;Investment_Strategy_Sub1&amp;"_"&amp;$A120,'Investment Strategies'!$AZ:$BP,12,FALSE),
IF(AND(Investment_Strategy="Lifecycle",Investment_Strategy_Sub1="Non-Standard"),VLOOKUP(Investment_Strategy&amp;"_"&amp;Investment_Strategy_Sub2&amp;"_"&amp;$A120,'Investment Strategies'!$C:$P,9,FALSE),
IF(AND(Investment_Strategy="Lifecycle",Investment_Strategy_Sub1="Standard"),VLOOKUP(Investment_Strategy&amp;"_"&amp;Investment_Strategy_Sub2&amp;"_"&amp;$A120,'Investment Strategies'!$AJ:$AV,8,FALSE),
IF(AND(Investment_Strategy="Autopilot",Investment_Strategy_Sub1="Non-Standard"),VLOOKUP(Investment_Strategy&amp;"_"&amp;Investment_Strategy_Sub2&amp;"_"&amp;$A120,'Investment Strategies'!$T:$AF,8,FALSE),
IF(Investment_Strategy ="DIY",DIY_RateOfReturn_CurrentFunds,
"Error")))))),Max_InvReturn)</f>
        <v>4.1816398110932074E-3</v>
      </c>
      <c r="F120" s="62">
        <f>IF(AV120=0,0,
IF(Investment_Strategy="DIS",VLOOKUP(Investment_Strategy&amp;"_"&amp;Investment_Strategy_Sub1&amp;"_"&amp;$A120,'Investment Strategies'!$AZ:$BP,15,FALSE),
IF(AND(Investment_Strategy="Lifecycle",Investment_Strategy_Sub1="Non-Standard"),VLOOKUP(Investment_Strategy&amp;"_"&amp;Investment_Strategy_Sub2&amp;"_"&amp;$A120,'Investment Strategies'!$C:$P,12,FALSE),
IF(AND(Investment_Strategy="Lifecycle",Investment_Strategy_Sub1="Standard"),VLOOKUP(Investment_Strategy&amp;"_"&amp;Investment_Strategy_Sub2&amp;"_"&amp;$A120,'Investment Strategies'!$AJ:$AV,11,FALSE),
IF(AND(Investment_Strategy="Autopilot",Investment_Strategy_Sub1="Non-Standard"),VLOOKUP(Investment_Strategy&amp;"_"&amp;Investment_Strategy_Sub2&amp;"_"&amp;$A120,'Investment Strategies'!$T:$AF,11,FALSE),
IF(Investment_Strategy="DIY",DIY_GteeChrge_CurrentFunds,
"Error"))))))</f>
        <v>5.4328711526985263E-4</v>
      </c>
      <c r="G120" s="33">
        <f>IF(AV120=0,0,
IF(Investment_Strategy="DIS",VLOOKUP(Investment_Strategy&amp;"_"&amp;Investment_Strategy_Sub1&amp;"_"&amp;$A120,'Investment Strategies'!$AZ:$BP,17,FALSE),
IF(AND(Investment_Strategy="Lifecycle",Investment_Strategy_Sub1="Non-Standard"),VLOOKUP(Investment_Strategy&amp;"_"&amp;Investment_Strategy_Sub2&amp;"_"&amp;$A120,'Investment Strategies'!$C:$P,14,FALSE),
IF(AND(Investment_Strategy="Lifecycle",Investment_Strategy_Sub1="Standard"),VLOOKUP(Investment_Strategy&amp;"_"&amp;Investment_Strategy_Sub2&amp;"_"&amp;$A120,'Investment Strategies'!$AJ:$AV,13,FALSE),
IF(AND(Investment_Strategy="Autopilot",Investment_Strategy_Sub1="Non-Standard"),VLOOKUP(Investment_Strategy&amp;"_"&amp;Investment_Strategy_Sub2&amp;"_"&amp;$A120,'Investment Strategies'!$T:$AF,13,FALSE),
IF(Investment_Strategy="DIY",DIY_ExtManChrge_CurrentFunds,
"Error"))))))</f>
        <v>2.0857243058891584E-4</v>
      </c>
      <c r="H120" s="16">
        <f t="shared" si="30"/>
        <v>0</v>
      </c>
      <c r="I120" s="16">
        <f t="shared" si="13"/>
        <v>0</v>
      </c>
      <c r="J120" s="16">
        <f t="shared" si="14"/>
        <v>0</v>
      </c>
      <c r="K120" s="16">
        <f>(Opening_Fund_Value+SUM(K$91:K119))*E120*IF(D120=$A$91,SRP_finalmonthfactor,1)</f>
        <v>0</v>
      </c>
      <c r="L120" s="74">
        <f>MIN(IF($AV120=0,0,
IF(Investment_Strategy="DIS",VLOOKUP(Investment_Strategy&amp;"_"&amp;Investment_Strategy_Sub1&amp;"_"&amp;$A120,'Investment Strategies'!$AZ:$BP,12,FALSE),
IF(AND(Investment_Strategy="Lifecycle",Investment_Strategy_Sub1="Non-Standard"),VLOOKUP(Investment_Strategy&amp;"_"&amp;Investment_Strategy_Sub2&amp;"_"&amp;$A120,'Investment Strategies'!$C:$P,9,FALSE),
IF(AND(Investment_Strategy="Lifecycle",Investment_Strategy_Sub1="Standard"),VLOOKUP(Investment_Strategy&amp;"_"&amp;Investment_Strategy_Sub2&amp;"_"&amp;$A120,'Investment Strategies'!$AJ:$AV,8,FALSE),
IF(AND(Investment_Strategy="Autopilot",Investment_Strategy_Sub1="Non-Standard"),VLOOKUP(Investment_Strategy&amp;"_"&amp;Investment_Strategy_Sub2&amp;"_"&amp;$A120,'Investment Strategies'!$T:$AF,8,FALSE),
IF(Investment_Strategy ="DIY",DIY_RateofReturn_SP,
"Error")))))),Max_InvReturn)</f>
        <v>4.1816398110932074E-3</v>
      </c>
      <c r="M120" s="62">
        <f>IF($AV120=0,0,
IF(Investment_Strategy="DIS",VLOOKUP(Investment_Strategy&amp;"_"&amp;Investment_Strategy_Sub1&amp;"_"&amp;$A120,'Investment Strategies'!$AZ:$BP,15,FALSE),
IF(AND(Investment_Strategy="Lifecycle",Investment_Strategy_Sub1="Non-Standard"),VLOOKUP(Investment_Strategy&amp;"_"&amp;Investment_Strategy_Sub2&amp;"_"&amp;$A120,'Investment Strategies'!$C:$P,12,FALSE),
IF(AND(Investment_Strategy="Lifecycle",Investment_Strategy_Sub1="Standard"),VLOOKUP(Investment_Strategy&amp;"_"&amp;Investment_Strategy_Sub2&amp;"_"&amp;$A120,'Investment Strategies'!$AJ:$AV,11,FALSE),
IF(AND(Investment_Strategy="Autopilot",Investment_Strategy_Sub1="Non-Standard"),VLOOKUP(Investment_Strategy&amp;"_"&amp;Investment_Strategy_Sub2&amp;"_"&amp;$A120,'Investment Strategies'!$T:$AF,11,FALSE),
IF(Investment_Strategy="DIY",DIY_GteeChrge_SP,
"Error"))))))</f>
        <v>0</v>
      </c>
      <c r="N120" s="33">
        <f>IF($AV120=0,0,
IF(Investment_Strategy="DIS",VLOOKUP(Investment_Strategy&amp;"_"&amp;Investment_Strategy_Sub1&amp;"_"&amp;$A120,'Investment Strategies'!$AZ:$BP,17,FALSE),
IF(AND(Investment_Strategy="Lifecycle",Investment_Strategy_Sub1="Non-Standard"),VLOOKUP(Investment_Strategy&amp;"_"&amp;Investment_Strategy_Sub2&amp;"_"&amp;$A120,'Investment Strategies'!$C:$P,14,FALSE),
IF(AND(Investment_Strategy="Lifecycle",Investment_Strategy_Sub1="Standard"),VLOOKUP(Investment_Strategy&amp;"_"&amp;Investment_Strategy_Sub2&amp;"_"&amp;$A120,'Investment Strategies'!$AJ:$AV,13,FALSE),
IF(AND(Investment_Strategy="Autopilot",Investment_Strategy_Sub1="Non-Standard"),VLOOKUP(Investment_Strategy&amp;"_"&amp;Investment_Strategy_Sub2&amp;"_"&amp;$A120,'Investment Strategies'!$T:$AF,13,FALSE),
IF(Investment_Strategy="DIY",DIY_ExtManChrge_SP,
"Error"))))))</f>
        <v>2.0857243058891584E-4</v>
      </c>
      <c r="O120" s="16">
        <f t="shared" si="50"/>
        <v>768354.26694339688</v>
      </c>
      <c r="Q120" s="16">
        <f t="shared" si="15"/>
        <v>3212.9807916738459</v>
      </c>
      <c r="R120" s="16">
        <f t="shared" si="16"/>
        <v>-740.45900811800493</v>
      </c>
      <c r="S120" s="16">
        <f>(SRP_SP+SUM(S$91:S119))*L120*IF(D120=$A$91,SRP_finalmonthfactor,1)</f>
        <v>3303.7006045658368</v>
      </c>
      <c r="T120" s="74">
        <f>MIN(IF($AV120=0,0,
IF(Investment_Strategy="DIS",VLOOKUP(Investment_Strategy&amp;"_"&amp;Investment_Strategy_Sub1&amp;"_"&amp;$A120,'Investment Strategies'!$AZ:$BP,12,FALSE),
IF(AND(Investment_Strategy="Lifecycle",Investment_Strategy_Sub1="Non-Standard"),VLOOKUP(Investment_Strategy&amp;"_"&amp;Investment_Strategy_Sub2&amp;"_"&amp;$A120,'Investment Strategies'!$C:$P,9,FALSE),
IF(AND(Investment_Strategy="Lifecycle",Investment_Strategy_Sub1="Standard"),VLOOKUP(Investment_Strategy&amp;"_"&amp;Investment_Strategy_Sub2&amp;"_"&amp;$A120,'Investment Strategies'!$AJ:$AV,8,FALSE),
IF(AND(Investment_Strategy="Autopilot",Investment_Strategy_Sub1="Non-Standard"),VLOOKUP(Investment_Strategy&amp;"_"&amp;Investment_Strategy_Sub2&amp;"_"&amp;$A120,'Investment Strategies'!$T:$AF,8,FALSE),
IF(Investment_Strategy ="DIY",DIY_RateOfReturn_FuturePremiums,
"Error")))))),Max_InvReturn)</f>
        <v>4.1816398110932074E-3</v>
      </c>
      <c r="U120" s="62">
        <f>IF($AV120=0,0,
IF(Investment_Strategy="DIS",VLOOKUP(Investment_Strategy&amp;"_"&amp;Investment_Strategy_Sub1&amp;"_"&amp;$A120,'Investment Strategies'!$AZ:$BP,15,FALSE),
IF(AND(Investment_Strategy="Lifecycle",Investment_Strategy_Sub1="Non-Standard"),VLOOKUP(Investment_Strategy&amp;"_"&amp;Investment_Strategy_Sub2&amp;"_"&amp;$A120,'Investment Strategies'!$C:$P,12,FALSE),
IF(AND(Investment_Strategy="Lifecycle",Investment_Strategy_Sub1="Standard"),VLOOKUP(Investment_Strategy&amp;"_"&amp;Investment_Strategy_Sub2&amp;"_"&amp;$A120,'Investment Strategies'!$AJ:$AV,11,FALSE),
IF(AND(Investment_Strategy="Autopilot",Investment_Strategy_Sub1="Non-Standard"),VLOOKUP(Investment_Strategy&amp;"_"&amp;Investment_Strategy_Sub2&amp;"_"&amp;$A120,'Investment Strategies'!$T:$AF,11,FALSE),
IF(Investment_Strategy="DIY",DIY_GteeChrge_FuturePremiums,
"Error"))))))</f>
        <v>0</v>
      </c>
      <c r="V120" s="33">
        <f>IF(AV120=0,0,
IF(Investment_Strategy="DIS",VLOOKUP(Investment_Strategy&amp;"_"&amp;Investment_Strategy_Sub1&amp;"_"&amp;$A120,'Investment Strategies'!$AZ:$BP,17,FALSE),
IF(AND(Investment_Strategy="Lifecycle",Investment_Strategy_Sub1="Non-Standard"),VLOOKUP(Investment_Strategy&amp;"_"&amp;Investment_Strategy_Sub2&amp;"_"&amp;$A120,'Investment Strategies'!$C:$P,14,FALSE),
IF(AND(Investment_Strategy="Lifecycle",Investment_Strategy_Sub1="Standard"),VLOOKUP(Investment_Strategy&amp;"_"&amp;Investment_Strategy_Sub2&amp;"_"&amp;$A120,'Investment Strategies'!$AJ:$AV,13,FALSE),
IF(AND(Investment_Strategy="Autopilot",Investment_Strategy_Sub1="Non-Standard"),VLOOKUP(Investment_Strategy&amp;"_"&amp;Investment_Strategy_Sub2&amp;"_"&amp;$A120,'Investment Strategies'!$T:$AF,13,FALSE),
IF(Investment_Strategy="DIY",DIY_ExtManChrge_FuturePremiums,
"Error"))))))</f>
        <v>1.2508601994698498E-4</v>
      </c>
      <c r="W120" s="16">
        <f t="shared" si="51"/>
        <v>0</v>
      </c>
      <c r="X120" s="16">
        <f t="shared" si="17"/>
        <v>0</v>
      </c>
      <c r="Y120" s="16">
        <f t="shared" si="18"/>
        <v>0</v>
      </c>
      <c r="Z120" s="31">
        <f t="shared" si="19"/>
        <v>0.02</v>
      </c>
      <c r="AA120" s="16">
        <f t="shared" si="20"/>
        <v>0</v>
      </c>
      <c r="AB120" s="28">
        <f t="shared" si="53"/>
        <v>790049.06061054347</v>
      </c>
      <c r="AC120" s="28">
        <f>(SUM($AC$91:AC119)+SUM($X$91:X119)+X120)*T120*IF(D120=$A$91,SRP_finalmonthfactor,1)</f>
        <v>0</v>
      </c>
      <c r="AD120" s="16">
        <f t="shared" si="21"/>
        <v>-160.5925866163264</v>
      </c>
      <c r="AE120" s="106"/>
      <c r="AF120" s="16">
        <f t="shared" si="52"/>
        <v>768354.26694339688</v>
      </c>
      <c r="AG120" s="16">
        <f t="shared" si="31"/>
        <v>3303.7006045658368</v>
      </c>
      <c r="AH120" s="16">
        <f t="shared" si="32"/>
        <v>-740.45900811800493</v>
      </c>
      <c r="AJ120" s="13">
        <f t="shared" si="63"/>
        <v>0</v>
      </c>
      <c r="AK120" s="13">
        <f t="shared" si="63"/>
        <v>0</v>
      </c>
      <c r="AL120" s="13">
        <f t="shared" si="63"/>
        <v>1</v>
      </c>
      <c r="AM120" s="13">
        <f t="shared" si="63"/>
        <v>1</v>
      </c>
      <c r="AN120" s="13">
        <f t="shared" si="63"/>
        <v>1</v>
      </c>
      <c r="AO120" s="13">
        <f t="shared" si="63"/>
        <v>1</v>
      </c>
      <c r="AP120" s="13">
        <f t="shared" si="63"/>
        <v>1</v>
      </c>
      <c r="AQ120" s="13">
        <f t="shared" si="63"/>
        <v>1</v>
      </c>
      <c r="AR120" s="13">
        <f t="shared" si="63"/>
        <v>1</v>
      </c>
      <c r="AS120" s="13">
        <f t="shared" si="63"/>
        <v>1</v>
      </c>
      <c r="AT120" s="13">
        <f t="shared" si="63"/>
        <v>1</v>
      </c>
      <c r="AU120" s="13">
        <f t="shared" si="63"/>
        <v>1</v>
      </c>
      <c r="AV120" s="13">
        <f t="shared" si="23"/>
        <v>1</v>
      </c>
      <c r="AW120" s="13">
        <f t="shared" si="33"/>
        <v>1</v>
      </c>
      <c r="AY120" s="17">
        <f t="shared" si="24"/>
        <v>30</v>
      </c>
      <c r="AZ120" s="28">
        <f t="shared" si="34"/>
        <v>0</v>
      </c>
      <c r="BA120" s="13">
        <f t="shared" si="25"/>
        <v>0</v>
      </c>
      <c r="BB120" s="13">
        <f t="shared" si="26"/>
        <v>0</v>
      </c>
      <c r="BC120" s="28">
        <f t="shared" si="35"/>
        <v>0</v>
      </c>
      <c r="BD120" s="28">
        <f t="shared" si="36"/>
        <v>0</v>
      </c>
      <c r="BF120" s="248">
        <f t="shared" si="37"/>
        <v>793352.76121510926</v>
      </c>
      <c r="BG120" s="36">
        <f t="shared" si="54"/>
        <v>0</v>
      </c>
      <c r="BH120" s="36">
        <f t="shared" si="55"/>
        <v>768354.26694339688</v>
      </c>
      <c r="BI120" s="249">
        <f t="shared" si="56"/>
        <v>4.1816398110932074E-3</v>
      </c>
      <c r="BJ120" s="246">
        <f t="shared" si="57"/>
        <v>2.0857243058891584E-4</v>
      </c>
      <c r="BK120" s="246">
        <f t="shared" si="27"/>
        <v>7.531116566323881E-4</v>
      </c>
      <c r="BL120" s="246">
        <f t="shared" si="58"/>
        <v>0</v>
      </c>
      <c r="BM120" s="246">
        <f t="shared" si="59"/>
        <v>9.6168408722130394E-4</v>
      </c>
      <c r="BN120" s="36">
        <f t="shared" si="44"/>
        <v>740.45900811800493</v>
      </c>
      <c r="BO120" s="36">
        <f t="shared" si="60"/>
        <v>3212.9807916738459</v>
      </c>
      <c r="BP120" s="36">
        <f t="shared" si="61"/>
        <v>770826.78872695274</v>
      </c>
    </row>
    <row r="121" spans="1:68">
      <c r="A121" s="32">
        <f t="shared" si="47"/>
        <v>54</v>
      </c>
      <c r="B121" s="32">
        <f t="shared" si="28"/>
        <v>55</v>
      </c>
      <c r="C121" s="32">
        <f t="shared" si="48"/>
        <v>3</v>
      </c>
      <c r="D121" s="32">
        <f t="shared" si="49"/>
        <v>31</v>
      </c>
      <c r="E121" s="74">
        <f>MIN(IF(AV121=0,0,
IF(Investment_Strategy="DIS",VLOOKUP(Investment_Strategy&amp;"_"&amp;Investment_Strategy_Sub1&amp;"_"&amp;$A121,'Investment Strategies'!$AZ:$BP,12,FALSE),
IF(AND(Investment_Strategy="Lifecycle",Investment_Strategy_Sub1="Non-Standard"),VLOOKUP(Investment_Strategy&amp;"_"&amp;Investment_Strategy_Sub2&amp;"_"&amp;$A121,'Investment Strategies'!$C:$P,9,FALSE),
IF(AND(Investment_Strategy="Lifecycle",Investment_Strategy_Sub1="Standard"),VLOOKUP(Investment_Strategy&amp;"_"&amp;Investment_Strategy_Sub2&amp;"_"&amp;$A121,'Investment Strategies'!$AJ:$AV,8,FALSE),
IF(AND(Investment_Strategy="Autopilot",Investment_Strategy_Sub1="Non-Standard"),VLOOKUP(Investment_Strategy&amp;"_"&amp;Investment_Strategy_Sub2&amp;"_"&amp;$A121,'Investment Strategies'!$T:$AF,8,FALSE),
IF(Investment_Strategy ="DIY",DIY_RateOfReturn_CurrentFunds,
"Error")))))),Max_InvReturn)</f>
        <v>4.1816398110932074E-3</v>
      </c>
      <c r="F121" s="62">
        <f>IF(AV121=0,0,
IF(Investment_Strategy="DIS",VLOOKUP(Investment_Strategy&amp;"_"&amp;Investment_Strategy_Sub1&amp;"_"&amp;$A121,'Investment Strategies'!$AZ:$BP,15,FALSE),
IF(AND(Investment_Strategy="Lifecycle",Investment_Strategy_Sub1="Non-Standard"),VLOOKUP(Investment_Strategy&amp;"_"&amp;Investment_Strategy_Sub2&amp;"_"&amp;$A121,'Investment Strategies'!$C:$P,12,FALSE),
IF(AND(Investment_Strategy="Lifecycle",Investment_Strategy_Sub1="Standard"),VLOOKUP(Investment_Strategy&amp;"_"&amp;Investment_Strategy_Sub2&amp;"_"&amp;$A121,'Investment Strategies'!$AJ:$AV,11,FALSE),
IF(AND(Investment_Strategy="Autopilot",Investment_Strategy_Sub1="Non-Standard"),VLOOKUP(Investment_Strategy&amp;"_"&amp;Investment_Strategy_Sub2&amp;"_"&amp;$A121,'Investment Strategies'!$T:$AF,11,FALSE),
IF(Investment_Strategy="DIY",DIY_GteeChrge_CurrentFunds,
"Error"))))))</f>
        <v>5.4328711526985263E-4</v>
      </c>
      <c r="G121" s="33">
        <f>IF(AV121=0,0,
IF(Investment_Strategy="DIS",VLOOKUP(Investment_Strategy&amp;"_"&amp;Investment_Strategy_Sub1&amp;"_"&amp;$A121,'Investment Strategies'!$AZ:$BP,17,FALSE),
IF(AND(Investment_Strategy="Lifecycle",Investment_Strategy_Sub1="Non-Standard"),VLOOKUP(Investment_Strategy&amp;"_"&amp;Investment_Strategy_Sub2&amp;"_"&amp;$A121,'Investment Strategies'!$C:$P,14,FALSE),
IF(AND(Investment_Strategy="Lifecycle",Investment_Strategy_Sub1="Standard"),VLOOKUP(Investment_Strategy&amp;"_"&amp;Investment_Strategy_Sub2&amp;"_"&amp;$A121,'Investment Strategies'!$AJ:$AV,13,FALSE),
IF(AND(Investment_Strategy="Autopilot",Investment_Strategy_Sub1="Non-Standard"),VLOOKUP(Investment_Strategy&amp;"_"&amp;Investment_Strategy_Sub2&amp;"_"&amp;$A121,'Investment Strategies'!$T:$AF,13,FALSE),
IF(Investment_Strategy="DIY",DIY_ExtManChrge_CurrentFunds,
"Error"))))))</f>
        <v>2.0857243058891584E-4</v>
      </c>
      <c r="H121" s="16">
        <f t="shared" si="30"/>
        <v>0</v>
      </c>
      <c r="I121" s="16">
        <f t="shared" si="13"/>
        <v>0</v>
      </c>
      <c r="J121" s="16">
        <f t="shared" si="14"/>
        <v>0</v>
      </c>
      <c r="K121" s="16">
        <f>(Opening_Fund_Value+SUM(K$91:K120))*E121*IF(D121=$A$91,SRP_finalmonthfactor,1)</f>
        <v>0</v>
      </c>
      <c r="L121" s="74">
        <f>MIN(IF($AV121=0,0,
IF(Investment_Strategy="DIS",VLOOKUP(Investment_Strategy&amp;"_"&amp;Investment_Strategy_Sub1&amp;"_"&amp;$A121,'Investment Strategies'!$AZ:$BP,12,FALSE),
IF(AND(Investment_Strategy="Lifecycle",Investment_Strategy_Sub1="Non-Standard"),VLOOKUP(Investment_Strategy&amp;"_"&amp;Investment_Strategy_Sub2&amp;"_"&amp;$A121,'Investment Strategies'!$C:$P,9,FALSE),
IF(AND(Investment_Strategy="Lifecycle",Investment_Strategy_Sub1="Standard"),VLOOKUP(Investment_Strategy&amp;"_"&amp;Investment_Strategy_Sub2&amp;"_"&amp;$A121,'Investment Strategies'!$AJ:$AV,8,FALSE),
IF(AND(Investment_Strategy="Autopilot",Investment_Strategy_Sub1="Non-Standard"),VLOOKUP(Investment_Strategy&amp;"_"&amp;Investment_Strategy_Sub2&amp;"_"&amp;$A121,'Investment Strategies'!$T:$AF,8,FALSE),
IF(Investment_Strategy ="DIY",DIY_RateofReturn_SP,
"Error")))))),Max_InvReturn)</f>
        <v>4.1816398110932074E-3</v>
      </c>
      <c r="M121" s="62">
        <f>IF($AV121=0,0,
IF(Investment_Strategy="DIS",VLOOKUP(Investment_Strategy&amp;"_"&amp;Investment_Strategy_Sub1&amp;"_"&amp;$A121,'Investment Strategies'!$AZ:$BP,15,FALSE),
IF(AND(Investment_Strategy="Lifecycle",Investment_Strategy_Sub1="Non-Standard"),VLOOKUP(Investment_Strategy&amp;"_"&amp;Investment_Strategy_Sub2&amp;"_"&amp;$A121,'Investment Strategies'!$C:$P,12,FALSE),
IF(AND(Investment_Strategy="Lifecycle",Investment_Strategy_Sub1="Standard"),VLOOKUP(Investment_Strategy&amp;"_"&amp;Investment_Strategy_Sub2&amp;"_"&amp;$A121,'Investment Strategies'!$AJ:$AV,11,FALSE),
IF(AND(Investment_Strategy="Autopilot",Investment_Strategy_Sub1="Non-Standard"),VLOOKUP(Investment_Strategy&amp;"_"&amp;Investment_Strategy_Sub2&amp;"_"&amp;$A121,'Investment Strategies'!$T:$AF,11,FALSE),
IF(Investment_Strategy="DIY",DIY_GteeChrge_SP,
"Error"))))))</f>
        <v>0</v>
      </c>
      <c r="N121" s="33">
        <f>IF($AV121=0,0,
IF(Investment_Strategy="DIS",VLOOKUP(Investment_Strategy&amp;"_"&amp;Investment_Strategy_Sub1&amp;"_"&amp;$A121,'Investment Strategies'!$AZ:$BP,17,FALSE),
IF(AND(Investment_Strategy="Lifecycle",Investment_Strategy_Sub1="Non-Standard"),VLOOKUP(Investment_Strategy&amp;"_"&amp;Investment_Strategy_Sub2&amp;"_"&amp;$A121,'Investment Strategies'!$C:$P,14,FALSE),
IF(AND(Investment_Strategy="Lifecycle",Investment_Strategy_Sub1="Standard"),VLOOKUP(Investment_Strategy&amp;"_"&amp;Investment_Strategy_Sub2&amp;"_"&amp;$A121,'Investment Strategies'!$AJ:$AV,13,FALSE),
IF(AND(Investment_Strategy="Autopilot",Investment_Strategy_Sub1="Non-Standard"),VLOOKUP(Investment_Strategy&amp;"_"&amp;Investment_Strategy_Sub2&amp;"_"&amp;$A121,'Investment Strategies'!$T:$AF,13,FALSE),
IF(Investment_Strategy="DIY",DIY_ExtManChrge_SP,
"Error"))))))</f>
        <v>2.0857243058891584E-4</v>
      </c>
      <c r="O121" s="16">
        <f t="shared" si="50"/>
        <v>770826.78872695274</v>
      </c>
      <c r="Q121" s="16">
        <f t="shared" si="15"/>
        <v>3223.3199871977581</v>
      </c>
      <c r="R121" s="16">
        <f t="shared" si="16"/>
        <v>-742.84176449246377</v>
      </c>
      <c r="S121" s="16">
        <f>(SRP_SP+SUM(S$91:S120))*L121*IF(D121=$A$91,SRP_finalmonthfactor,1)</f>
        <v>3317.5154905378226</v>
      </c>
      <c r="T121" s="74">
        <f>MIN(IF($AV121=0,0,
IF(Investment_Strategy="DIS",VLOOKUP(Investment_Strategy&amp;"_"&amp;Investment_Strategy_Sub1&amp;"_"&amp;$A121,'Investment Strategies'!$AZ:$BP,12,FALSE),
IF(AND(Investment_Strategy="Lifecycle",Investment_Strategy_Sub1="Non-Standard"),VLOOKUP(Investment_Strategy&amp;"_"&amp;Investment_Strategy_Sub2&amp;"_"&amp;$A121,'Investment Strategies'!$C:$P,9,FALSE),
IF(AND(Investment_Strategy="Lifecycle",Investment_Strategy_Sub1="Standard"),VLOOKUP(Investment_Strategy&amp;"_"&amp;Investment_Strategy_Sub2&amp;"_"&amp;$A121,'Investment Strategies'!$AJ:$AV,8,FALSE),
IF(AND(Investment_Strategy="Autopilot",Investment_Strategy_Sub1="Non-Standard"),VLOOKUP(Investment_Strategy&amp;"_"&amp;Investment_Strategy_Sub2&amp;"_"&amp;$A121,'Investment Strategies'!$T:$AF,8,FALSE),
IF(Investment_Strategy ="DIY",DIY_RateOfReturn_FuturePremiums,
"Error")))))),Max_InvReturn)</f>
        <v>4.1816398110932074E-3</v>
      </c>
      <c r="U121" s="62">
        <f>IF($AV121=0,0,
IF(Investment_Strategy="DIS",VLOOKUP(Investment_Strategy&amp;"_"&amp;Investment_Strategy_Sub1&amp;"_"&amp;$A121,'Investment Strategies'!$AZ:$BP,15,FALSE),
IF(AND(Investment_Strategy="Lifecycle",Investment_Strategy_Sub1="Non-Standard"),VLOOKUP(Investment_Strategy&amp;"_"&amp;Investment_Strategy_Sub2&amp;"_"&amp;$A121,'Investment Strategies'!$C:$P,12,FALSE),
IF(AND(Investment_Strategy="Lifecycle",Investment_Strategy_Sub1="Standard"),VLOOKUP(Investment_Strategy&amp;"_"&amp;Investment_Strategy_Sub2&amp;"_"&amp;$A121,'Investment Strategies'!$AJ:$AV,11,FALSE),
IF(AND(Investment_Strategy="Autopilot",Investment_Strategy_Sub1="Non-Standard"),VLOOKUP(Investment_Strategy&amp;"_"&amp;Investment_Strategy_Sub2&amp;"_"&amp;$A121,'Investment Strategies'!$T:$AF,11,FALSE),
IF(Investment_Strategy="DIY",DIY_GteeChrge_FuturePremiums,
"Error"))))))</f>
        <v>0</v>
      </c>
      <c r="V121" s="33">
        <f>IF(AV121=0,0,
IF(Investment_Strategy="DIS",VLOOKUP(Investment_Strategy&amp;"_"&amp;Investment_Strategy_Sub1&amp;"_"&amp;$A121,'Investment Strategies'!$AZ:$BP,17,FALSE),
IF(AND(Investment_Strategy="Lifecycle",Investment_Strategy_Sub1="Non-Standard"),VLOOKUP(Investment_Strategy&amp;"_"&amp;Investment_Strategy_Sub2&amp;"_"&amp;$A121,'Investment Strategies'!$C:$P,14,FALSE),
IF(AND(Investment_Strategy="Lifecycle",Investment_Strategy_Sub1="Standard"),VLOOKUP(Investment_Strategy&amp;"_"&amp;Investment_Strategy_Sub2&amp;"_"&amp;$A121,'Investment Strategies'!$AJ:$AV,13,FALSE),
IF(AND(Investment_Strategy="Autopilot",Investment_Strategy_Sub1="Non-Standard"),VLOOKUP(Investment_Strategy&amp;"_"&amp;Investment_Strategy_Sub2&amp;"_"&amp;$A121,'Investment Strategies'!$T:$AF,13,FALSE),
IF(Investment_Strategy="DIY",DIY_ExtManChrge_FuturePremiums,
"Error"))))))</f>
        <v>1.2508601994698498E-4</v>
      </c>
      <c r="W121" s="16">
        <f t="shared" si="51"/>
        <v>0</v>
      </c>
      <c r="X121" s="16">
        <f t="shared" si="17"/>
        <v>0</v>
      </c>
      <c r="Y121" s="16">
        <f t="shared" si="18"/>
        <v>0</v>
      </c>
      <c r="Z121" s="31">
        <f t="shared" si="19"/>
        <v>0.02</v>
      </c>
      <c r="AA121" s="16">
        <f t="shared" si="20"/>
        <v>0</v>
      </c>
      <c r="AB121" s="28">
        <f t="shared" si="53"/>
        <v>793352.76121510926</v>
      </c>
      <c r="AC121" s="28">
        <f>(SUM($AC$91:AC120)+SUM($X$91:X120)+X121)*T121*IF(D121=$A$91,SRP_finalmonthfactor,1)</f>
        <v>0</v>
      </c>
      <c r="AD121" s="16">
        <f t="shared" si="21"/>
        <v>-161.1093647299771</v>
      </c>
      <c r="AE121" s="106"/>
      <c r="AF121" s="16">
        <f t="shared" si="52"/>
        <v>770826.78872695274</v>
      </c>
      <c r="AG121" s="16">
        <f t="shared" si="31"/>
        <v>3317.5154905378226</v>
      </c>
      <c r="AH121" s="16">
        <f t="shared" si="32"/>
        <v>-742.84176449246377</v>
      </c>
      <c r="AJ121" s="13">
        <f t="shared" ref="AJ121:AU130" si="64">IF($C121&lt;=AJ$90,1,0)</f>
        <v>0</v>
      </c>
      <c r="AK121" s="13">
        <f t="shared" si="64"/>
        <v>0</v>
      </c>
      <c r="AL121" s="13">
        <f t="shared" si="64"/>
        <v>1</v>
      </c>
      <c r="AM121" s="13">
        <f t="shared" si="64"/>
        <v>1</v>
      </c>
      <c r="AN121" s="13">
        <f t="shared" si="64"/>
        <v>1</v>
      </c>
      <c r="AO121" s="13">
        <f t="shared" si="64"/>
        <v>1</v>
      </c>
      <c r="AP121" s="13">
        <f t="shared" si="64"/>
        <v>1</v>
      </c>
      <c r="AQ121" s="13">
        <f t="shared" si="64"/>
        <v>1</v>
      </c>
      <c r="AR121" s="13">
        <f t="shared" si="64"/>
        <v>1</v>
      </c>
      <c r="AS121" s="13">
        <f t="shared" si="64"/>
        <v>1</v>
      </c>
      <c r="AT121" s="13">
        <f t="shared" si="64"/>
        <v>1</v>
      </c>
      <c r="AU121" s="13">
        <f t="shared" si="64"/>
        <v>1</v>
      </c>
      <c r="AV121" s="13">
        <f t="shared" si="23"/>
        <v>1</v>
      </c>
      <c r="AW121" s="13">
        <f t="shared" si="33"/>
        <v>1</v>
      </c>
      <c r="AY121" s="17">
        <f t="shared" si="24"/>
        <v>31</v>
      </c>
      <c r="AZ121" s="28">
        <f t="shared" si="34"/>
        <v>0</v>
      </c>
      <c r="BA121" s="13">
        <f t="shared" si="25"/>
        <v>0</v>
      </c>
      <c r="BB121" s="13">
        <f t="shared" si="26"/>
        <v>0</v>
      </c>
      <c r="BC121" s="28">
        <f t="shared" si="35"/>
        <v>0</v>
      </c>
      <c r="BD121" s="28">
        <f t="shared" si="36"/>
        <v>0</v>
      </c>
      <c r="BF121" s="248">
        <f t="shared" si="37"/>
        <v>796670.27670564712</v>
      </c>
      <c r="BG121" s="36">
        <f t="shared" si="54"/>
        <v>0</v>
      </c>
      <c r="BH121" s="36">
        <f t="shared" si="55"/>
        <v>770826.78872695274</v>
      </c>
      <c r="BI121" s="249">
        <f t="shared" si="56"/>
        <v>4.1816398110932074E-3</v>
      </c>
      <c r="BJ121" s="246">
        <f t="shared" si="57"/>
        <v>2.0857243058891584E-4</v>
      </c>
      <c r="BK121" s="246">
        <f t="shared" si="27"/>
        <v>7.531116566323881E-4</v>
      </c>
      <c r="BL121" s="246">
        <f t="shared" si="58"/>
        <v>0</v>
      </c>
      <c r="BM121" s="246">
        <f t="shared" si="59"/>
        <v>9.6168408722130394E-4</v>
      </c>
      <c r="BN121" s="36">
        <f t="shared" si="44"/>
        <v>742.84176449246365</v>
      </c>
      <c r="BO121" s="36">
        <f t="shared" si="60"/>
        <v>3223.3199871977581</v>
      </c>
      <c r="BP121" s="36">
        <f t="shared" si="61"/>
        <v>773307.26694965805</v>
      </c>
    </row>
    <row r="122" spans="1:68">
      <c r="A122" s="32">
        <f t="shared" si="47"/>
        <v>53</v>
      </c>
      <c r="B122" s="32">
        <f t="shared" si="28"/>
        <v>55</v>
      </c>
      <c r="C122" s="32">
        <f t="shared" si="48"/>
        <v>3</v>
      </c>
      <c r="D122" s="32">
        <f t="shared" si="49"/>
        <v>32</v>
      </c>
      <c r="E122" s="74">
        <f>MIN(IF(AV122=0,0,
IF(Investment_Strategy="DIS",VLOOKUP(Investment_Strategy&amp;"_"&amp;Investment_Strategy_Sub1&amp;"_"&amp;$A122,'Investment Strategies'!$AZ:$BP,12,FALSE),
IF(AND(Investment_Strategy="Lifecycle",Investment_Strategy_Sub1="Non-Standard"),VLOOKUP(Investment_Strategy&amp;"_"&amp;Investment_Strategy_Sub2&amp;"_"&amp;$A122,'Investment Strategies'!$C:$P,9,FALSE),
IF(AND(Investment_Strategy="Lifecycle",Investment_Strategy_Sub1="Standard"),VLOOKUP(Investment_Strategy&amp;"_"&amp;Investment_Strategy_Sub2&amp;"_"&amp;$A122,'Investment Strategies'!$AJ:$AV,8,FALSE),
IF(AND(Investment_Strategy="Autopilot",Investment_Strategy_Sub1="Non-Standard"),VLOOKUP(Investment_Strategy&amp;"_"&amp;Investment_Strategy_Sub2&amp;"_"&amp;$A122,'Investment Strategies'!$T:$AF,8,FALSE),
IF(Investment_Strategy ="DIY",DIY_RateOfReturn_CurrentFunds,
"Error")))))),Max_InvReturn)</f>
        <v>4.1816398110932074E-3</v>
      </c>
      <c r="F122" s="62">
        <f>IF(AV122=0,0,
IF(Investment_Strategy="DIS",VLOOKUP(Investment_Strategy&amp;"_"&amp;Investment_Strategy_Sub1&amp;"_"&amp;$A122,'Investment Strategies'!$AZ:$BP,15,FALSE),
IF(AND(Investment_Strategy="Lifecycle",Investment_Strategy_Sub1="Non-Standard"),VLOOKUP(Investment_Strategy&amp;"_"&amp;Investment_Strategy_Sub2&amp;"_"&amp;$A122,'Investment Strategies'!$C:$P,12,FALSE),
IF(AND(Investment_Strategy="Lifecycle",Investment_Strategy_Sub1="Standard"),VLOOKUP(Investment_Strategy&amp;"_"&amp;Investment_Strategy_Sub2&amp;"_"&amp;$A122,'Investment Strategies'!$AJ:$AV,11,FALSE),
IF(AND(Investment_Strategy="Autopilot",Investment_Strategy_Sub1="Non-Standard"),VLOOKUP(Investment_Strategy&amp;"_"&amp;Investment_Strategy_Sub2&amp;"_"&amp;$A122,'Investment Strategies'!$T:$AF,11,FALSE),
IF(Investment_Strategy="DIY",DIY_GteeChrge_CurrentFunds,
"Error"))))))</f>
        <v>5.4328711526985263E-4</v>
      </c>
      <c r="G122" s="33">
        <f>IF(AV122=0,0,
IF(Investment_Strategy="DIS",VLOOKUP(Investment_Strategy&amp;"_"&amp;Investment_Strategy_Sub1&amp;"_"&amp;$A122,'Investment Strategies'!$AZ:$BP,17,FALSE),
IF(AND(Investment_Strategy="Lifecycle",Investment_Strategy_Sub1="Non-Standard"),VLOOKUP(Investment_Strategy&amp;"_"&amp;Investment_Strategy_Sub2&amp;"_"&amp;$A122,'Investment Strategies'!$C:$P,14,FALSE),
IF(AND(Investment_Strategy="Lifecycle",Investment_Strategy_Sub1="Standard"),VLOOKUP(Investment_Strategy&amp;"_"&amp;Investment_Strategy_Sub2&amp;"_"&amp;$A122,'Investment Strategies'!$AJ:$AV,13,FALSE),
IF(AND(Investment_Strategy="Autopilot",Investment_Strategy_Sub1="Non-Standard"),VLOOKUP(Investment_Strategy&amp;"_"&amp;Investment_Strategy_Sub2&amp;"_"&amp;$A122,'Investment Strategies'!$T:$AF,13,FALSE),
IF(Investment_Strategy="DIY",DIY_ExtManChrge_CurrentFunds,
"Error"))))))</f>
        <v>2.0857243058891584E-4</v>
      </c>
      <c r="H122" s="16">
        <f t="shared" si="30"/>
        <v>0</v>
      </c>
      <c r="I122" s="16">
        <f t="shared" si="13"/>
        <v>0</v>
      </c>
      <c r="J122" s="16">
        <f t="shared" si="14"/>
        <v>0</v>
      </c>
      <c r="K122" s="16">
        <f>(Opening_Fund_Value+SUM(K$91:K121))*E122*IF(D122=$A$91,SRP_finalmonthfactor,1)</f>
        <v>0</v>
      </c>
      <c r="L122" s="74">
        <f>MIN(IF($AV122=0,0,
IF(Investment_Strategy="DIS",VLOOKUP(Investment_Strategy&amp;"_"&amp;Investment_Strategy_Sub1&amp;"_"&amp;$A122,'Investment Strategies'!$AZ:$BP,12,FALSE),
IF(AND(Investment_Strategy="Lifecycle",Investment_Strategy_Sub1="Non-Standard"),VLOOKUP(Investment_Strategy&amp;"_"&amp;Investment_Strategy_Sub2&amp;"_"&amp;$A122,'Investment Strategies'!$C:$P,9,FALSE),
IF(AND(Investment_Strategy="Lifecycle",Investment_Strategy_Sub1="Standard"),VLOOKUP(Investment_Strategy&amp;"_"&amp;Investment_Strategy_Sub2&amp;"_"&amp;$A122,'Investment Strategies'!$AJ:$AV,8,FALSE),
IF(AND(Investment_Strategy="Autopilot",Investment_Strategy_Sub1="Non-Standard"),VLOOKUP(Investment_Strategy&amp;"_"&amp;Investment_Strategy_Sub2&amp;"_"&amp;$A122,'Investment Strategies'!$T:$AF,8,FALSE),
IF(Investment_Strategy ="DIY",DIY_RateofReturn_SP,
"Error")))))),Max_InvReturn)</f>
        <v>4.1816398110932074E-3</v>
      </c>
      <c r="M122" s="62">
        <f>IF($AV122=0,0,
IF(Investment_Strategy="DIS",VLOOKUP(Investment_Strategy&amp;"_"&amp;Investment_Strategy_Sub1&amp;"_"&amp;$A122,'Investment Strategies'!$AZ:$BP,15,FALSE),
IF(AND(Investment_Strategy="Lifecycle",Investment_Strategy_Sub1="Non-Standard"),VLOOKUP(Investment_Strategy&amp;"_"&amp;Investment_Strategy_Sub2&amp;"_"&amp;$A122,'Investment Strategies'!$C:$P,12,FALSE),
IF(AND(Investment_Strategy="Lifecycle",Investment_Strategy_Sub1="Standard"),VLOOKUP(Investment_Strategy&amp;"_"&amp;Investment_Strategy_Sub2&amp;"_"&amp;$A122,'Investment Strategies'!$AJ:$AV,11,FALSE),
IF(AND(Investment_Strategy="Autopilot",Investment_Strategy_Sub1="Non-Standard"),VLOOKUP(Investment_Strategy&amp;"_"&amp;Investment_Strategy_Sub2&amp;"_"&amp;$A122,'Investment Strategies'!$T:$AF,11,FALSE),
IF(Investment_Strategy="DIY",DIY_GteeChrge_SP,
"Error"))))))</f>
        <v>0</v>
      </c>
      <c r="N122" s="33">
        <f>IF($AV122=0,0,
IF(Investment_Strategy="DIS",VLOOKUP(Investment_Strategy&amp;"_"&amp;Investment_Strategy_Sub1&amp;"_"&amp;$A122,'Investment Strategies'!$AZ:$BP,17,FALSE),
IF(AND(Investment_Strategy="Lifecycle",Investment_Strategy_Sub1="Non-Standard"),VLOOKUP(Investment_Strategy&amp;"_"&amp;Investment_Strategy_Sub2&amp;"_"&amp;$A122,'Investment Strategies'!$C:$P,14,FALSE),
IF(AND(Investment_Strategy="Lifecycle",Investment_Strategy_Sub1="Standard"),VLOOKUP(Investment_Strategy&amp;"_"&amp;Investment_Strategy_Sub2&amp;"_"&amp;$A122,'Investment Strategies'!$AJ:$AV,13,FALSE),
IF(AND(Investment_Strategy="Autopilot",Investment_Strategy_Sub1="Non-Standard"),VLOOKUP(Investment_Strategy&amp;"_"&amp;Investment_Strategy_Sub2&amp;"_"&amp;$A122,'Investment Strategies'!$T:$AF,13,FALSE),
IF(Investment_Strategy="DIY",DIY_ExtManChrge_SP,
"Error"))))))</f>
        <v>2.0857243058891584E-4</v>
      </c>
      <c r="O122" s="16">
        <f t="shared" si="50"/>
        <v>773307.26694965805</v>
      </c>
      <c r="Q122" s="16">
        <f t="shared" si="15"/>
        <v>3233.6924536843726</v>
      </c>
      <c r="R122" s="16">
        <f t="shared" si="16"/>
        <v>-745.232188445921</v>
      </c>
      <c r="S122" s="16">
        <f>(SRP_SP+SUM(S$91:S121))*L122*IF(D122=$A$91,SRP_finalmonthfactor,1)</f>
        <v>3331.3881453869735</v>
      </c>
      <c r="T122" s="74">
        <f>MIN(IF($AV122=0,0,
IF(Investment_Strategy="DIS",VLOOKUP(Investment_Strategy&amp;"_"&amp;Investment_Strategy_Sub1&amp;"_"&amp;$A122,'Investment Strategies'!$AZ:$BP,12,FALSE),
IF(AND(Investment_Strategy="Lifecycle",Investment_Strategy_Sub1="Non-Standard"),VLOOKUP(Investment_Strategy&amp;"_"&amp;Investment_Strategy_Sub2&amp;"_"&amp;$A122,'Investment Strategies'!$C:$P,9,FALSE),
IF(AND(Investment_Strategy="Lifecycle",Investment_Strategy_Sub1="Standard"),VLOOKUP(Investment_Strategy&amp;"_"&amp;Investment_Strategy_Sub2&amp;"_"&amp;$A122,'Investment Strategies'!$AJ:$AV,8,FALSE),
IF(AND(Investment_Strategy="Autopilot",Investment_Strategy_Sub1="Non-Standard"),VLOOKUP(Investment_Strategy&amp;"_"&amp;Investment_Strategy_Sub2&amp;"_"&amp;$A122,'Investment Strategies'!$T:$AF,8,FALSE),
IF(Investment_Strategy ="DIY",DIY_RateOfReturn_FuturePremiums,
"Error")))))),Max_InvReturn)</f>
        <v>4.1816398110932074E-3</v>
      </c>
      <c r="U122" s="62">
        <f>IF($AV122=0,0,
IF(Investment_Strategy="DIS",VLOOKUP(Investment_Strategy&amp;"_"&amp;Investment_Strategy_Sub1&amp;"_"&amp;$A122,'Investment Strategies'!$AZ:$BP,15,FALSE),
IF(AND(Investment_Strategy="Lifecycle",Investment_Strategy_Sub1="Non-Standard"),VLOOKUP(Investment_Strategy&amp;"_"&amp;Investment_Strategy_Sub2&amp;"_"&amp;$A122,'Investment Strategies'!$C:$P,12,FALSE),
IF(AND(Investment_Strategy="Lifecycle",Investment_Strategy_Sub1="Standard"),VLOOKUP(Investment_Strategy&amp;"_"&amp;Investment_Strategy_Sub2&amp;"_"&amp;$A122,'Investment Strategies'!$AJ:$AV,11,FALSE),
IF(AND(Investment_Strategy="Autopilot",Investment_Strategy_Sub1="Non-Standard"),VLOOKUP(Investment_Strategy&amp;"_"&amp;Investment_Strategy_Sub2&amp;"_"&amp;$A122,'Investment Strategies'!$T:$AF,11,FALSE),
IF(Investment_Strategy="DIY",DIY_GteeChrge_FuturePremiums,
"Error"))))))</f>
        <v>0</v>
      </c>
      <c r="V122" s="33">
        <f>IF(AV122=0,0,
IF(Investment_Strategy="DIS",VLOOKUP(Investment_Strategy&amp;"_"&amp;Investment_Strategy_Sub1&amp;"_"&amp;$A122,'Investment Strategies'!$AZ:$BP,17,FALSE),
IF(AND(Investment_Strategy="Lifecycle",Investment_Strategy_Sub1="Non-Standard"),VLOOKUP(Investment_Strategy&amp;"_"&amp;Investment_Strategy_Sub2&amp;"_"&amp;$A122,'Investment Strategies'!$C:$P,14,FALSE),
IF(AND(Investment_Strategy="Lifecycle",Investment_Strategy_Sub1="Standard"),VLOOKUP(Investment_Strategy&amp;"_"&amp;Investment_Strategy_Sub2&amp;"_"&amp;$A122,'Investment Strategies'!$AJ:$AV,13,FALSE),
IF(AND(Investment_Strategy="Autopilot",Investment_Strategy_Sub1="Non-Standard"),VLOOKUP(Investment_Strategy&amp;"_"&amp;Investment_Strategy_Sub2&amp;"_"&amp;$A122,'Investment Strategies'!$T:$AF,13,FALSE),
IF(Investment_Strategy="DIY",DIY_ExtManChrge_FuturePremiums,
"Error"))))))</f>
        <v>1.2508601994698498E-4</v>
      </c>
      <c r="W122" s="16">
        <f t="shared" si="51"/>
        <v>0</v>
      </c>
      <c r="X122" s="16">
        <f t="shared" si="17"/>
        <v>0</v>
      </c>
      <c r="Y122" s="16">
        <f t="shared" si="18"/>
        <v>0</v>
      </c>
      <c r="Z122" s="31">
        <f t="shared" si="19"/>
        <v>0.02</v>
      </c>
      <c r="AA122" s="16">
        <f t="shared" si="20"/>
        <v>0</v>
      </c>
      <c r="AB122" s="28">
        <f t="shared" si="53"/>
        <v>796670.27670564712</v>
      </c>
      <c r="AC122" s="28">
        <f>(SUM($AC$91:AC121)+SUM($X$91:X121)+X122)*T122*IF(D122=$A$91,SRP_finalmonthfactor,1)</f>
        <v>0</v>
      </c>
      <c r="AD122" s="16">
        <f t="shared" si="21"/>
        <v>-161.62780580718274</v>
      </c>
      <c r="AE122" s="106"/>
      <c r="AF122" s="16">
        <f t="shared" si="52"/>
        <v>773307.26694965805</v>
      </c>
      <c r="AG122" s="16">
        <f t="shared" si="31"/>
        <v>3331.3881453869735</v>
      </c>
      <c r="AH122" s="16">
        <f t="shared" si="32"/>
        <v>-745.232188445921</v>
      </c>
      <c r="AJ122" s="13">
        <f t="shared" si="64"/>
        <v>0</v>
      </c>
      <c r="AK122" s="13">
        <f t="shared" si="64"/>
        <v>0</v>
      </c>
      <c r="AL122" s="13">
        <f t="shared" si="64"/>
        <v>1</v>
      </c>
      <c r="AM122" s="13">
        <f t="shared" si="64"/>
        <v>1</v>
      </c>
      <c r="AN122" s="13">
        <f t="shared" si="64"/>
        <v>1</v>
      </c>
      <c r="AO122" s="13">
        <f t="shared" si="64"/>
        <v>1</v>
      </c>
      <c r="AP122" s="13">
        <f t="shared" si="64"/>
        <v>1</v>
      </c>
      <c r="AQ122" s="13">
        <f t="shared" si="64"/>
        <v>1</v>
      </c>
      <c r="AR122" s="13">
        <f t="shared" si="64"/>
        <v>1</v>
      </c>
      <c r="AS122" s="13">
        <f t="shared" si="64"/>
        <v>1</v>
      </c>
      <c r="AT122" s="13">
        <f t="shared" si="64"/>
        <v>1</v>
      </c>
      <c r="AU122" s="13">
        <f t="shared" si="64"/>
        <v>1</v>
      </c>
      <c r="AV122" s="13">
        <f t="shared" si="23"/>
        <v>1</v>
      </c>
      <c r="AW122" s="13">
        <f t="shared" si="33"/>
        <v>1</v>
      </c>
      <c r="AY122" s="17">
        <f t="shared" si="24"/>
        <v>32</v>
      </c>
      <c r="AZ122" s="28">
        <f t="shared" si="34"/>
        <v>0</v>
      </c>
      <c r="BA122" s="13">
        <f t="shared" si="25"/>
        <v>0</v>
      </c>
      <c r="BB122" s="13">
        <f t="shared" si="26"/>
        <v>0</v>
      </c>
      <c r="BC122" s="28">
        <f t="shared" si="35"/>
        <v>0</v>
      </c>
      <c r="BD122" s="28">
        <f t="shared" si="36"/>
        <v>0</v>
      </c>
      <c r="BF122" s="248">
        <f t="shared" si="37"/>
        <v>800001.66485103406</v>
      </c>
      <c r="BG122" s="36">
        <f t="shared" si="54"/>
        <v>0</v>
      </c>
      <c r="BH122" s="36">
        <f t="shared" si="55"/>
        <v>773307.26694965805</v>
      </c>
      <c r="BI122" s="249">
        <f t="shared" si="56"/>
        <v>4.1816398110932074E-3</v>
      </c>
      <c r="BJ122" s="246">
        <f t="shared" si="57"/>
        <v>2.0857243058891584E-4</v>
      </c>
      <c r="BK122" s="246">
        <f t="shared" si="27"/>
        <v>7.531116566323881E-4</v>
      </c>
      <c r="BL122" s="246">
        <f t="shared" si="58"/>
        <v>0</v>
      </c>
      <c r="BM122" s="246">
        <f t="shared" si="59"/>
        <v>9.6168408722130394E-4</v>
      </c>
      <c r="BN122" s="36">
        <f t="shared" si="44"/>
        <v>745.232188445921</v>
      </c>
      <c r="BO122" s="36">
        <f t="shared" si="60"/>
        <v>3233.6924536843726</v>
      </c>
      <c r="BP122" s="36">
        <f t="shared" si="61"/>
        <v>775795.72721489659</v>
      </c>
    </row>
    <row r="123" spans="1:68">
      <c r="A123" s="32">
        <f t="shared" si="47"/>
        <v>52</v>
      </c>
      <c r="B123" s="32">
        <f t="shared" si="28"/>
        <v>55</v>
      </c>
      <c r="C123" s="32">
        <f t="shared" si="48"/>
        <v>3</v>
      </c>
      <c r="D123" s="32">
        <f t="shared" si="49"/>
        <v>33</v>
      </c>
      <c r="E123" s="74">
        <f>MIN(IF(AV123=0,0,
IF(Investment_Strategy="DIS",VLOOKUP(Investment_Strategy&amp;"_"&amp;Investment_Strategy_Sub1&amp;"_"&amp;$A123,'Investment Strategies'!$AZ:$BP,12,FALSE),
IF(AND(Investment_Strategy="Lifecycle",Investment_Strategy_Sub1="Non-Standard"),VLOOKUP(Investment_Strategy&amp;"_"&amp;Investment_Strategy_Sub2&amp;"_"&amp;$A123,'Investment Strategies'!$C:$P,9,FALSE),
IF(AND(Investment_Strategy="Lifecycle",Investment_Strategy_Sub1="Standard"),VLOOKUP(Investment_Strategy&amp;"_"&amp;Investment_Strategy_Sub2&amp;"_"&amp;$A123,'Investment Strategies'!$AJ:$AV,8,FALSE),
IF(AND(Investment_Strategy="Autopilot",Investment_Strategy_Sub1="Non-Standard"),VLOOKUP(Investment_Strategy&amp;"_"&amp;Investment_Strategy_Sub2&amp;"_"&amp;$A123,'Investment Strategies'!$T:$AF,8,FALSE),
IF(Investment_Strategy ="DIY",DIY_RateOfReturn_CurrentFunds,
"Error")))))),Max_InvReturn)</f>
        <v>4.1816398110932074E-3</v>
      </c>
      <c r="F123" s="62">
        <f>IF(AV123=0,0,
IF(Investment_Strategy="DIS",VLOOKUP(Investment_Strategy&amp;"_"&amp;Investment_Strategy_Sub1&amp;"_"&amp;$A123,'Investment Strategies'!$AZ:$BP,15,FALSE),
IF(AND(Investment_Strategy="Lifecycle",Investment_Strategy_Sub1="Non-Standard"),VLOOKUP(Investment_Strategy&amp;"_"&amp;Investment_Strategy_Sub2&amp;"_"&amp;$A123,'Investment Strategies'!$C:$P,12,FALSE),
IF(AND(Investment_Strategy="Lifecycle",Investment_Strategy_Sub1="Standard"),VLOOKUP(Investment_Strategy&amp;"_"&amp;Investment_Strategy_Sub2&amp;"_"&amp;$A123,'Investment Strategies'!$AJ:$AV,11,FALSE),
IF(AND(Investment_Strategy="Autopilot",Investment_Strategy_Sub1="Non-Standard"),VLOOKUP(Investment_Strategy&amp;"_"&amp;Investment_Strategy_Sub2&amp;"_"&amp;$A123,'Investment Strategies'!$T:$AF,11,FALSE),
IF(Investment_Strategy="DIY",DIY_GteeChrge_CurrentFunds,
"Error"))))))</f>
        <v>5.4328711526985263E-4</v>
      </c>
      <c r="G123" s="33">
        <f>IF(AV123=0,0,
IF(Investment_Strategy="DIS",VLOOKUP(Investment_Strategy&amp;"_"&amp;Investment_Strategy_Sub1&amp;"_"&amp;$A123,'Investment Strategies'!$AZ:$BP,17,FALSE),
IF(AND(Investment_Strategy="Lifecycle",Investment_Strategy_Sub1="Non-Standard"),VLOOKUP(Investment_Strategy&amp;"_"&amp;Investment_Strategy_Sub2&amp;"_"&amp;$A123,'Investment Strategies'!$C:$P,14,FALSE),
IF(AND(Investment_Strategy="Lifecycle",Investment_Strategy_Sub1="Standard"),VLOOKUP(Investment_Strategy&amp;"_"&amp;Investment_Strategy_Sub2&amp;"_"&amp;$A123,'Investment Strategies'!$AJ:$AV,13,FALSE),
IF(AND(Investment_Strategy="Autopilot",Investment_Strategy_Sub1="Non-Standard"),VLOOKUP(Investment_Strategy&amp;"_"&amp;Investment_Strategy_Sub2&amp;"_"&amp;$A123,'Investment Strategies'!$T:$AF,13,FALSE),
IF(Investment_Strategy="DIY",DIY_ExtManChrge_CurrentFunds,
"Error"))))))</f>
        <v>2.0857243058891584E-4</v>
      </c>
      <c r="H123" s="16">
        <f t="shared" si="30"/>
        <v>0</v>
      </c>
      <c r="I123" s="16">
        <f t="shared" si="13"/>
        <v>0</v>
      </c>
      <c r="J123" s="16">
        <f t="shared" si="14"/>
        <v>0</v>
      </c>
      <c r="K123" s="16">
        <f>(Opening_Fund_Value+SUM(K$91:K122))*E123*IF(D123=$A$91,SRP_finalmonthfactor,1)</f>
        <v>0</v>
      </c>
      <c r="L123" s="74">
        <f>MIN(IF($AV123=0,0,
IF(Investment_Strategy="DIS",VLOOKUP(Investment_Strategy&amp;"_"&amp;Investment_Strategy_Sub1&amp;"_"&amp;$A123,'Investment Strategies'!$AZ:$BP,12,FALSE),
IF(AND(Investment_Strategy="Lifecycle",Investment_Strategy_Sub1="Non-Standard"),VLOOKUP(Investment_Strategy&amp;"_"&amp;Investment_Strategy_Sub2&amp;"_"&amp;$A123,'Investment Strategies'!$C:$P,9,FALSE),
IF(AND(Investment_Strategy="Lifecycle",Investment_Strategy_Sub1="Standard"),VLOOKUP(Investment_Strategy&amp;"_"&amp;Investment_Strategy_Sub2&amp;"_"&amp;$A123,'Investment Strategies'!$AJ:$AV,8,FALSE),
IF(AND(Investment_Strategy="Autopilot",Investment_Strategy_Sub1="Non-Standard"),VLOOKUP(Investment_Strategy&amp;"_"&amp;Investment_Strategy_Sub2&amp;"_"&amp;$A123,'Investment Strategies'!$T:$AF,8,FALSE),
IF(Investment_Strategy ="DIY",DIY_RateofReturn_SP,
"Error")))))),Max_InvReturn)</f>
        <v>4.1816398110932074E-3</v>
      </c>
      <c r="M123" s="62">
        <f>IF($AV123=0,0,
IF(Investment_Strategy="DIS",VLOOKUP(Investment_Strategy&amp;"_"&amp;Investment_Strategy_Sub1&amp;"_"&amp;$A123,'Investment Strategies'!$AZ:$BP,15,FALSE),
IF(AND(Investment_Strategy="Lifecycle",Investment_Strategy_Sub1="Non-Standard"),VLOOKUP(Investment_Strategy&amp;"_"&amp;Investment_Strategy_Sub2&amp;"_"&amp;$A123,'Investment Strategies'!$C:$P,12,FALSE),
IF(AND(Investment_Strategy="Lifecycle",Investment_Strategy_Sub1="Standard"),VLOOKUP(Investment_Strategy&amp;"_"&amp;Investment_Strategy_Sub2&amp;"_"&amp;$A123,'Investment Strategies'!$AJ:$AV,11,FALSE),
IF(AND(Investment_Strategy="Autopilot",Investment_Strategy_Sub1="Non-Standard"),VLOOKUP(Investment_Strategy&amp;"_"&amp;Investment_Strategy_Sub2&amp;"_"&amp;$A123,'Investment Strategies'!$T:$AF,11,FALSE),
IF(Investment_Strategy="DIY",DIY_GteeChrge_SP,
"Error"))))))</f>
        <v>0</v>
      </c>
      <c r="N123" s="33">
        <f>IF($AV123=0,0,
IF(Investment_Strategy="DIS",VLOOKUP(Investment_Strategy&amp;"_"&amp;Investment_Strategy_Sub1&amp;"_"&amp;$A123,'Investment Strategies'!$AZ:$BP,17,FALSE),
IF(AND(Investment_Strategy="Lifecycle",Investment_Strategy_Sub1="Non-Standard"),VLOOKUP(Investment_Strategy&amp;"_"&amp;Investment_Strategy_Sub2&amp;"_"&amp;$A123,'Investment Strategies'!$C:$P,14,FALSE),
IF(AND(Investment_Strategy="Lifecycle",Investment_Strategy_Sub1="Standard"),VLOOKUP(Investment_Strategy&amp;"_"&amp;Investment_Strategy_Sub2&amp;"_"&amp;$A123,'Investment Strategies'!$AJ:$AV,13,FALSE),
IF(AND(Investment_Strategy="Autopilot",Investment_Strategy_Sub1="Non-Standard"),VLOOKUP(Investment_Strategy&amp;"_"&amp;Investment_Strategy_Sub2&amp;"_"&amp;$A123,'Investment Strategies'!$T:$AF,13,FALSE),
IF(Investment_Strategy="DIY",DIY_ExtManChrge_SP,
"Error"))))))</f>
        <v>2.0857243058891584E-4</v>
      </c>
      <c r="O123" s="16">
        <f t="shared" si="50"/>
        <v>775795.72721489659</v>
      </c>
      <c r="Q123" s="16">
        <f t="shared" si="15"/>
        <v>3244.0982981978177</v>
      </c>
      <c r="R123" s="16">
        <f t="shared" si="16"/>
        <v>-747.63030465222482</v>
      </c>
      <c r="S123" s="16">
        <f>(SRP_SP+SUM(S$91:S122))*L123*IF(D123=$A$91,SRP_finalmonthfactor,1)</f>
        <v>3345.3188106819275</v>
      </c>
      <c r="T123" s="74">
        <f>MIN(IF($AV123=0,0,
IF(Investment_Strategy="DIS",VLOOKUP(Investment_Strategy&amp;"_"&amp;Investment_Strategy_Sub1&amp;"_"&amp;$A123,'Investment Strategies'!$AZ:$BP,12,FALSE),
IF(AND(Investment_Strategy="Lifecycle",Investment_Strategy_Sub1="Non-Standard"),VLOOKUP(Investment_Strategy&amp;"_"&amp;Investment_Strategy_Sub2&amp;"_"&amp;$A123,'Investment Strategies'!$C:$P,9,FALSE),
IF(AND(Investment_Strategy="Lifecycle",Investment_Strategy_Sub1="Standard"),VLOOKUP(Investment_Strategy&amp;"_"&amp;Investment_Strategy_Sub2&amp;"_"&amp;$A123,'Investment Strategies'!$AJ:$AV,8,FALSE),
IF(AND(Investment_Strategy="Autopilot",Investment_Strategy_Sub1="Non-Standard"),VLOOKUP(Investment_Strategy&amp;"_"&amp;Investment_Strategy_Sub2&amp;"_"&amp;$A123,'Investment Strategies'!$T:$AF,8,FALSE),
IF(Investment_Strategy ="DIY",DIY_RateOfReturn_FuturePremiums,
"Error")))))),Max_InvReturn)</f>
        <v>4.1816398110932074E-3</v>
      </c>
      <c r="U123" s="62">
        <f>IF($AV123=0,0,
IF(Investment_Strategy="DIS",VLOOKUP(Investment_Strategy&amp;"_"&amp;Investment_Strategy_Sub1&amp;"_"&amp;$A123,'Investment Strategies'!$AZ:$BP,15,FALSE),
IF(AND(Investment_Strategy="Lifecycle",Investment_Strategy_Sub1="Non-Standard"),VLOOKUP(Investment_Strategy&amp;"_"&amp;Investment_Strategy_Sub2&amp;"_"&amp;$A123,'Investment Strategies'!$C:$P,12,FALSE),
IF(AND(Investment_Strategy="Lifecycle",Investment_Strategy_Sub1="Standard"),VLOOKUP(Investment_Strategy&amp;"_"&amp;Investment_Strategy_Sub2&amp;"_"&amp;$A123,'Investment Strategies'!$AJ:$AV,11,FALSE),
IF(AND(Investment_Strategy="Autopilot",Investment_Strategy_Sub1="Non-Standard"),VLOOKUP(Investment_Strategy&amp;"_"&amp;Investment_Strategy_Sub2&amp;"_"&amp;$A123,'Investment Strategies'!$T:$AF,11,FALSE),
IF(Investment_Strategy="DIY",DIY_GteeChrge_FuturePremiums,
"Error"))))))</f>
        <v>0</v>
      </c>
      <c r="V123" s="33">
        <f>IF(AV123=0,0,
IF(Investment_Strategy="DIS",VLOOKUP(Investment_Strategy&amp;"_"&amp;Investment_Strategy_Sub1&amp;"_"&amp;$A123,'Investment Strategies'!$AZ:$BP,17,FALSE),
IF(AND(Investment_Strategy="Lifecycle",Investment_Strategy_Sub1="Non-Standard"),VLOOKUP(Investment_Strategy&amp;"_"&amp;Investment_Strategy_Sub2&amp;"_"&amp;$A123,'Investment Strategies'!$C:$P,14,FALSE),
IF(AND(Investment_Strategy="Lifecycle",Investment_Strategy_Sub1="Standard"),VLOOKUP(Investment_Strategy&amp;"_"&amp;Investment_Strategy_Sub2&amp;"_"&amp;$A123,'Investment Strategies'!$AJ:$AV,13,FALSE),
IF(AND(Investment_Strategy="Autopilot",Investment_Strategy_Sub1="Non-Standard"),VLOOKUP(Investment_Strategy&amp;"_"&amp;Investment_Strategy_Sub2&amp;"_"&amp;$A123,'Investment Strategies'!$T:$AF,13,FALSE),
IF(Investment_Strategy="DIY",DIY_ExtManChrge_FuturePremiums,
"Error"))))))</f>
        <v>1.2508601994698498E-4</v>
      </c>
      <c r="W123" s="16">
        <f t="shared" si="51"/>
        <v>0</v>
      </c>
      <c r="X123" s="16">
        <f t="shared" si="17"/>
        <v>0</v>
      </c>
      <c r="Y123" s="16">
        <f t="shared" si="18"/>
        <v>0</v>
      </c>
      <c r="Z123" s="31">
        <f t="shared" si="19"/>
        <v>0.02</v>
      </c>
      <c r="AA123" s="16">
        <f t="shared" si="20"/>
        <v>0</v>
      </c>
      <c r="AB123" s="28">
        <f t="shared" si="53"/>
        <v>800001.66485103406</v>
      </c>
      <c r="AC123" s="28">
        <f>(SUM($AC$91:AC122)+SUM($X$91:X122)+X123)*T123*IF(D123=$A$91,SRP_finalmonthfactor,1)</f>
        <v>0</v>
      </c>
      <c r="AD123" s="16">
        <f t="shared" si="21"/>
        <v>-162.14791519926874</v>
      </c>
      <c r="AE123" s="106"/>
      <c r="AF123" s="16">
        <f t="shared" si="52"/>
        <v>775795.72721489659</v>
      </c>
      <c r="AG123" s="16">
        <f t="shared" si="31"/>
        <v>3345.3188106819275</v>
      </c>
      <c r="AH123" s="16">
        <f t="shared" si="32"/>
        <v>-747.63030465222482</v>
      </c>
      <c r="AJ123" s="13">
        <f t="shared" si="64"/>
        <v>0</v>
      </c>
      <c r="AK123" s="13">
        <f t="shared" si="64"/>
        <v>0</v>
      </c>
      <c r="AL123" s="13">
        <f t="shared" si="64"/>
        <v>1</v>
      </c>
      <c r="AM123" s="13">
        <f t="shared" si="64"/>
        <v>1</v>
      </c>
      <c r="AN123" s="13">
        <f t="shared" si="64"/>
        <v>1</v>
      </c>
      <c r="AO123" s="13">
        <f t="shared" si="64"/>
        <v>1</v>
      </c>
      <c r="AP123" s="13">
        <f t="shared" si="64"/>
        <v>1</v>
      </c>
      <c r="AQ123" s="13">
        <f t="shared" si="64"/>
        <v>1</v>
      </c>
      <c r="AR123" s="13">
        <f t="shared" si="64"/>
        <v>1</v>
      </c>
      <c r="AS123" s="13">
        <f t="shared" si="64"/>
        <v>1</v>
      </c>
      <c r="AT123" s="13">
        <f t="shared" si="64"/>
        <v>1</v>
      </c>
      <c r="AU123" s="13">
        <f t="shared" si="64"/>
        <v>1</v>
      </c>
      <c r="AV123" s="13">
        <f t="shared" si="23"/>
        <v>1</v>
      </c>
      <c r="AW123" s="13">
        <f t="shared" si="33"/>
        <v>1</v>
      </c>
      <c r="AY123" s="17">
        <f t="shared" si="24"/>
        <v>33</v>
      </c>
      <c r="AZ123" s="28">
        <f t="shared" si="34"/>
        <v>0</v>
      </c>
      <c r="BA123" s="13">
        <f t="shared" si="25"/>
        <v>0</v>
      </c>
      <c r="BB123" s="13">
        <f t="shared" si="26"/>
        <v>0</v>
      </c>
      <c r="BC123" s="28">
        <f t="shared" si="35"/>
        <v>0</v>
      </c>
      <c r="BD123" s="28">
        <f t="shared" si="36"/>
        <v>0</v>
      </c>
      <c r="BF123" s="248">
        <f t="shared" si="37"/>
        <v>803346.98366171599</v>
      </c>
      <c r="BG123" s="36">
        <f t="shared" si="54"/>
        <v>0</v>
      </c>
      <c r="BH123" s="36">
        <f t="shared" si="55"/>
        <v>775795.72721489659</v>
      </c>
      <c r="BI123" s="249">
        <f t="shared" si="56"/>
        <v>4.1816398110932074E-3</v>
      </c>
      <c r="BJ123" s="246">
        <f t="shared" si="57"/>
        <v>2.0857243058891584E-4</v>
      </c>
      <c r="BK123" s="246">
        <f t="shared" si="27"/>
        <v>7.531116566323881E-4</v>
      </c>
      <c r="BL123" s="246">
        <f t="shared" si="58"/>
        <v>0</v>
      </c>
      <c r="BM123" s="246">
        <f t="shared" si="59"/>
        <v>9.6168408722130394E-4</v>
      </c>
      <c r="BN123" s="36">
        <f t="shared" si="44"/>
        <v>747.63030465222471</v>
      </c>
      <c r="BO123" s="36">
        <f t="shared" si="60"/>
        <v>3244.0982981978177</v>
      </c>
      <c r="BP123" s="36">
        <f t="shared" si="61"/>
        <v>778292.19520844216</v>
      </c>
    </row>
    <row r="124" spans="1:68">
      <c r="A124" s="32">
        <f t="shared" si="47"/>
        <v>51</v>
      </c>
      <c r="B124" s="32">
        <f t="shared" si="28"/>
        <v>55</v>
      </c>
      <c r="C124" s="32">
        <f t="shared" si="48"/>
        <v>3</v>
      </c>
      <c r="D124" s="32">
        <f t="shared" si="49"/>
        <v>34</v>
      </c>
      <c r="E124" s="74">
        <f>MIN(IF(AV124=0,0,
IF(Investment_Strategy="DIS",VLOOKUP(Investment_Strategy&amp;"_"&amp;Investment_Strategy_Sub1&amp;"_"&amp;$A124,'Investment Strategies'!$AZ:$BP,12,FALSE),
IF(AND(Investment_Strategy="Lifecycle",Investment_Strategy_Sub1="Non-Standard"),VLOOKUP(Investment_Strategy&amp;"_"&amp;Investment_Strategy_Sub2&amp;"_"&amp;$A124,'Investment Strategies'!$C:$P,9,FALSE),
IF(AND(Investment_Strategy="Lifecycle",Investment_Strategy_Sub1="Standard"),VLOOKUP(Investment_Strategy&amp;"_"&amp;Investment_Strategy_Sub2&amp;"_"&amp;$A124,'Investment Strategies'!$AJ:$AV,8,FALSE),
IF(AND(Investment_Strategy="Autopilot",Investment_Strategy_Sub1="Non-Standard"),VLOOKUP(Investment_Strategy&amp;"_"&amp;Investment_Strategy_Sub2&amp;"_"&amp;$A124,'Investment Strategies'!$T:$AF,8,FALSE),
IF(Investment_Strategy ="DIY",DIY_RateOfReturn_CurrentFunds,
"Error")))))),Max_InvReturn)</f>
        <v>4.1816398110932074E-3</v>
      </c>
      <c r="F124" s="62">
        <f>IF(AV124=0,0,
IF(Investment_Strategy="DIS",VLOOKUP(Investment_Strategy&amp;"_"&amp;Investment_Strategy_Sub1&amp;"_"&amp;$A124,'Investment Strategies'!$AZ:$BP,15,FALSE),
IF(AND(Investment_Strategy="Lifecycle",Investment_Strategy_Sub1="Non-Standard"),VLOOKUP(Investment_Strategy&amp;"_"&amp;Investment_Strategy_Sub2&amp;"_"&amp;$A124,'Investment Strategies'!$C:$P,12,FALSE),
IF(AND(Investment_Strategy="Lifecycle",Investment_Strategy_Sub1="Standard"),VLOOKUP(Investment_Strategy&amp;"_"&amp;Investment_Strategy_Sub2&amp;"_"&amp;$A124,'Investment Strategies'!$AJ:$AV,11,FALSE),
IF(AND(Investment_Strategy="Autopilot",Investment_Strategy_Sub1="Non-Standard"),VLOOKUP(Investment_Strategy&amp;"_"&amp;Investment_Strategy_Sub2&amp;"_"&amp;$A124,'Investment Strategies'!$T:$AF,11,FALSE),
IF(Investment_Strategy="DIY",DIY_GteeChrge_CurrentFunds,
"Error"))))))</f>
        <v>5.4328711526985263E-4</v>
      </c>
      <c r="G124" s="33">
        <f>IF(AV124=0,0,
IF(Investment_Strategy="DIS",VLOOKUP(Investment_Strategy&amp;"_"&amp;Investment_Strategy_Sub1&amp;"_"&amp;$A124,'Investment Strategies'!$AZ:$BP,17,FALSE),
IF(AND(Investment_Strategy="Lifecycle",Investment_Strategy_Sub1="Non-Standard"),VLOOKUP(Investment_Strategy&amp;"_"&amp;Investment_Strategy_Sub2&amp;"_"&amp;$A124,'Investment Strategies'!$C:$P,14,FALSE),
IF(AND(Investment_Strategy="Lifecycle",Investment_Strategy_Sub1="Standard"),VLOOKUP(Investment_Strategy&amp;"_"&amp;Investment_Strategy_Sub2&amp;"_"&amp;$A124,'Investment Strategies'!$AJ:$AV,13,FALSE),
IF(AND(Investment_Strategy="Autopilot",Investment_Strategy_Sub1="Non-Standard"),VLOOKUP(Investment_Strategy&amp;"_"&amp;Investment_Strategy_Sub2&amp;"_"&amp;$A124,'Investment Strategies'!$T:$AF,13,FALSE),
IF(Investment_Strategy="DIY",DIY_ExtManChrge_CurrentFunds,
"Error"))))))</f>
        <v>2.0857243058891584E-4</v>
      </c>
      <c r="H124" s="16">
        <f t="shared" si="30"/>
        <v>0</v>
      </c>
      <c r="I124" s="16">
        <f t="shared" si="13"/>
        <v>0</v>
      </c>
      <c r="J124" s="16">
        <f t="shared" si="14"/>
        <v>0</v>
      </c>
      <c r="K124" s="16">
        <f>(Opening_Fund_Value+SUM(K$91:K123))*E124*IF(D124=$A$91,SRP_finalmonthfactor,1)</f>
        <v>0</v>
      </c>
      <c r="L124" s="74">
        <f>MIN(IF($AV124=0,0,
IF(Investment_Strategy="DIS",VLOOKUP(Investment_Strategy&amp;"_"&amp;Investment_Strategy_Sub1&amp;"_"&amp;$A124,'Investment Strategies'!$AZ:$BP,12,FALSE),
IF(AND(Investment_Strategy="Lifecycle",Investment_Strategy_Sub1="Non-Standard"),VLOOKUP(Investment_Strategy&amp;"_"&amp;Investment_Strategy_Sub2&amp;"_"&amp;$A124,'Investment Strategies'!$C:$P,9,FALSE),
IF(AND(Investment_Strategy="Lifecycle",Investment_Strategy_Sub1="Standard"),VLOOKUP(Investment_Strategy&amp;"_"&amp;Investment_Strategy_Sub2&amp;"_"&amp;$A124,'Investment Strategies'!$AJ:$AV,8,FALSE),
IF(AND(Investment_Strategy="Autopilot",Investment_Strategy_Sub1="Non-Standard"),VLOOKUP(Investment_Strategy&amp;"_"&amp;Investment_Strategy_Sub2&amp;"_"&amp;$A124,'Investment Strategies'!$T:$AF,8,FALSE),
IF(Investment_Strategy ="DIY",DIY_RateofReturn_SP,
"Error")))))),Max_InvReturn)</f>
        <v>4.1816398110932074E-3</v>
      </c>
      <c r="M124" s="62">
        <f>IF($AV124=0,0,
IF(Investment_Strategy="DIS",VLOOKUP(Investment_Strategy&amp;"_"&amp;Investment_Strategy_Sub1&amp;"_"&amp;$A124,'Investment Strategies'!$AZ:$BP,15,FALSE),
IF(AND(Investment_Strategy="Lifecycle",Investment_Strategy_Sub1="Non-Standard"),VLOOKUP(Investment_Strategy&amp;"_"&amp;Investment_Strategy_Sub2&amp;"_"&amp;$A124,'Investment Strategies'!$C:$P,12,FALSE),
IF(AND(Investment_Strategy="Lifecycle",Investment_Strategy_Sub1="Standard"),VLOOKUP(Investment_Strategy&amp;"_"&amp;Investment_Strategy_Sub2&amp;"_"&amp;$A124,'Investment Strategies'!$AJ:$AV,11,FALSE),
IF(AND(Investment_Strategy="Autopilot",Investment_Strategy_Sub1="Non-Standard"),VLOOKUP(Investment_Strategy&amp;"_"&amp;Investment_Strategy_Sub2&amp;"_"&amp;$A124,'Investment Strategies'!$T:$AF,11,FALSE),
IF(Investment_Strategy="DIY",DIY_GteeChrge_SP,
"Error"))))))</f>
        <v>0</v>
      </c>
      <c r="N124" s="33">
        <f>IF($AV124=0,0,
IF(Investment_Strategy="DIS",VLOOKUP(Investment_Strategy&amp;"_"&amp;Investment_Strategy_Sub1&amp;"_"&amp;$A124,'Investment Strategies'!$AZ:$BP,17,FALSE),
IF(AND(Investment_Strategy="Lifecycle",Investment_Strategy_Sub1="Non-Standard"),VLOOKUP(Investment_Strategy&amp;"_"&amp;Investment_Strategy_Sub2&amp;"_"&amp;$A124,'Investment Strategies'!$C:$P,14,FALSE),
IF(AND(Investment_Strategy="Lifecycle",Investment_Strategy_Sub1="Standard"),VLOOKUP(Investment_Strategy&amp;"_"&amp;Investment_Strategy_Sub2&amp;"_"&amp;$A124,'Investment Strategies'!$AJ:$AV,13,FALSE),
IF(AND(Investment_Strategy="Autopilot",Investment_Strategy_Sub1="Non-Standard"),VLOOKUP(Investment_Strategy&amp;"_"&amp;Investment_Strategy_Sub2&amp;"_"&amp;$A124,'Investment Strategies'!$T:$AF,13,FALSE),
IF(Investment_Strategy="DIY",DIY_ExtManChrge_SP,
"Error"))))))</f>
        <v>2.0857243058891584E-4</v>
      </c>
      <c r="O124" s="16">
        <f t="shared" si="50"/>
        <v>778292.19520844216</v>
      </c>
      <c r="Q124" s="16">
        <f t="shared" si="15"/>
        <v>3254.5376281467479</v>
      </c>
      <c r="R124" s="16">
        <f t="shared" si="16"/>
        <v>-750.03613786462154</v>
      </c>
      <c r="S124" s="16">
        <f>(SRP_SP+SUM(S$91:S123))*L124*IF(D124=$A$91,SRP_finalmonthfactor,1)</f>
        <v>3359.3077290014744</v>
      </c>
      <c r="T124" s="74">
        <f>MIN(IF($AV124=0,0,
IF(Investment_Strategy="DIS",VLOOKUP(Investment_Strategy&amp;"_"&amp;Investment_Strategy_Sub1&amp;"_"&amp;$A124,'Investment Strategies'!$AZ:$BP,12,FALSE),
IF(AND(Investment_Strategy="Lifecycle",Investment_Strategy_Sub1="Non-Standard"),VLOOKUP(Investment_Strategy&amp;"_"&amp;Investment_Strategy_Sub2&amp;"_"&amp;$A124,'Investment Strategies'!$C:$P,9,FALSE),
IF(AND(Investment_Strategy="Lifecycle",Investment_Strategy_Sub1="Standard"),VLOOKUP(Investment_Strategy&amp;"_"&amp;Investment_Strategy_Sub2&amp;"_"&amp;$A124,'Investment Strategies'!$AJ:$AV,8,FALSE),
IF(AND(Investment_Strategy="Autopilot",Investment_Strategy_Sub1="Non-Standard"),VLOOKUP(Investment_Strategy&amp;"_"&amp;Investment_Strategy_Sub2&amp;"_"&amp;$A124,'Investment Strategies'!$T:$AF,8,FALSE),
IF(Investment_Strategy ="DIY",DIY_RateOfReturn_FuturePremiums,
"Error")))))),Max_InvReturn)</f>
        <v>4.1816398110932074E-3</v>
      </c>
      <c r="U124" s="62">
        <f>IF($AV124=0,0,
IF(Investment_Strategy="DIS",VLOOKUP(Investment_Strategy&amp;"_"&amp;Investment_Strategy_Sub1&amp;"_"&amp;$A124,'Investment Strategies'!$AZ:$BP,15,FALSE),
IF(AND(Investment_Strategy="Lifecycle",Investment_Strategy_Sub1="Non-Standard"),VLOOKUP(Investment_Strategy&amp;"_"&amp;Investment_Strategy_Sub2&amp;"_"&amp;$A124,'Investment Strategies'!$C:$P,12,FALSE),
IF(AND(Investment_Strategy="Lifecycle",Investment_Strategy_Sub1="Standard"),VLOOKUP(Investment_Strategy&amp;"_"&amp;Investment_Strategy_Sub2&amp;"_"&amp;$A124,'Investment Strategies'!$AJ:$AV,11,FALSE),
IF(AND(Investment_Strategy="Autopilot",Investment_Strategy_Sub1="Non-Standard"),VLOOKUP(Investment_Strategy&amp;"_"&amp;Investment_Strategy_Sub2&amp;"_"&amp;$A124,'Investment Strategies'!$T:$AF,11,FALSE),
IF(Investment_Strategy="DIY",DIY_GteeChrge_FuturePremiums,
"Error"))))))</f>
        <v>0</v>
      </c>
      <c r="V124" s="33">
        <f>IF(AV124=0,0,
IF(Investment_Strategy="DIS",VLOOKUP(Investment_Strategy&amp;"_"&amp;Investment_Strategy_Sub1&amp;"_"&amp;$A124,'Investment Strategies'!$AZ:$BP,17,FALSE),
IF(AND(Investment_Strategy="Lifecycle",Investment_Strategy_Sub1="Non-Standard"),VLOOKUP(Investment_Strategy&amp;"_"&amp;Investment_Strategy_Sub2&amp;"_"&amp;$A124,'Investment Strategies'!$C:$P,14,FALSE),
IF(AND(Investment_Strategy="Lifecycle",Investment_Strategy_Sub1="Standard"),VLOOKUP(Investment_Strategy&amp;"_"&amp;Investment_Strategy_Sub2&amp;"_"&amp;$A124,'Investment Strategies'!$AJ:$AV,13,FALSE),
IF(AND(Investment_Strategy="Autopilot",Investment_Strategy_Sub1="Non-Standard"),VLOOKUP(Investment_Strategy&amp;"_"&amp;Investment_Strategy_Sub2&amp;"_"&amp;$A124,'Investment Strategies'!$T:$AF,13,FALSE),
IF(Investment_Strategy="DIY",DIY_ExtManChrge_FuturePremiums,
"Error"))))))</f>
        <v>1.2508601994698498E-4</v>
      </c>
      <c r="W124" s="16">
        <f t="shared" si="51"/>
        <v>0</v>
      </c>
      <c r="X124" s="16">
        <f t="shared" si="17"/>
        <v>0</v>
      </c>
      <c r="Y124" s="16">
        <f t="shared" si="18"/>
        <v>0</v>
      </c>
      <c r="Z124" s="31">
        <f t="shared" si="19"/>
        <v>0.02</v>
      </c>
      <c r="AA124" s="16">
        <f t="shared" si="20"/>
        <v>0</v>
      </c>
      <c r="AB124" s="28">
        <f t="shared" si="53"/>
        <v>803346.98366171599</v>
      </c>
      <c r="AC124" s="28">
        <f>(SUM($AC$91:AC123)+SUM($X$91:X123)+X124)*T124*IF(D124=$A$91,SRP_finalmonthfactor,1)</f>
        <v>0</v>
      </c>
      <c r="AD124" s="16">
        <f t="shared" si="21"/>
        <v>-162.66969827478056</v>
      </c>
      <c r="AE124" s="106"/>
      <c r="AF124" s="16">
        <f t="shared" si="52"/>
        <v>778292.19520844216</v>
      </c>
      <c r="AG124" s="16">
        <f t="shared" si="31"/>
        <v>3359.3077290014744</v>
      </c>
      <c r="AH124" s="16">
        <f t="shared" si="32"/>
        <v>-750.03613786462154</v>
      </c>
      <c r="AJ124" s="13">
        <f t="shared" si="64"/>
        <v>0</v>
      </c>
      <c r="AK124" s="13">
        <f t="shared" si="64"/>
        <v>0</v>
      </c>
      <c r="AL124" s="13">
        <f t="shared" si="64"/>
        <v>1</v>
      </c>
      <c r="AM124" s="13">
        <f t="shared" si="64"/>
        <v>1</v>
      </c>
      <c r="AN124" s="13">
        <f t="shared" si="64"/>
        <v>1</v>
      </c>
      <c r="AO124" s="13">
        <f t="shared" si="64"/>
        <v>1</v>
      </c>
      <c r="AP124" s="13">
        <f t="shared" si="64"/>
        <v>1</v>
      </c>
      <c r="AQ124" s="13">
        <f t="shared" si="64"/>
        <v>1</v>
      </c>
      <c r="AR124" s="13">
        <f t="shared" si="64"/>
        <v>1</v>
      </c>
      <c r="AS124" s="13">
        <f t="shared" si="64"/>
        <v>1</v>
      </c>
      <c r="AT124" s="13">
        <f t="shared" si="64"/>
        <v>1</v>
      </c>
      <c r="AU124" s="13">
        <f t="shared" si="64"/>
        <v>1</v>
      </c>
      <c r="AV124" s="13">
        <f t="shared" si="23"/>
        <v>1</v>
      </c>
      <c r="AW124" s="13">
        <f t="shared" si="33"/>
        <v>1</v>
      </c>
      <c r="AY124" s="17">
        <f t="shared" si="24"/>
        <v>34</v>
      </c>
      <c r="AZ124" s="28">
        <f t="shared" si="34"/>
        <v>0</v>
      </c>
      <c r="BA124" s="13">
        <f t="shared" si="25"/>
        <v>0</v>
      </c>
      <c r="BB124" s="13">
        <f t="shared" si="26"/>
        <v>0</v>
      </c>
      <c r="BC124" s="28">
        <f t="shared" si="35"/>
        <v>0</v>
      </c>
      <c r="BD124" s="28">
        <f t="shared" si="36"/>
        <v>0</v>
      </c>
      <c r="BF124" s="248">
        <f t="shared" si="37"/>
        <v>806706.2913907175</v>
      </c>
      <c r="BG124" s="36">
        <f t="shared" si="54"/>
        <v>0</v>
      </c>
      <c r="BH124" s="36">
        <f t="shared" si="55"/>
        <v>778292.19520844216</v>
      </c>
      <c r="BI124" s="249">
        <f t="shared" si="56"/>
        <v>4.1816398110932074E-3</v>
      </c>
      <c r="BJ124" s="246">
        <f t="shared" si="57"/>
        <v>2.0857243058891584E-4</v>
      </c>
      <c r="BK124" s="246">
        <f t="shared" si="27"/>
        <v>7.531116566323881E-4</v>
      </c>
      <c r="BL124" s="246">
        <f t="shared" si="58"/>
        <v>0</v>
      </c>
      <c r="BM124" s="246">
        <f t="shared" si="59"/>
        <v>9.6168408722130394E-4</v>
      </c>
      <c r="BN124" s="36">
        <f t="shared" si="44"/>
        <v>750.03613786462142</v>
      </c>
      <c r="BO124" s="36">
        <f t="shared" si="60"/>
        <v>3254.5376281467479</v>
      </c>
      <c r="BP124" s="36">
        <f t="shared" si="61"/>
        <v>780796.69669872429</v>
      </c>
    </row>
    <row r="125" spans="1:68">
      <c r="A125" s="32">
        <f t="shared" si="47"/>
        <v>50</v>
      </c>
      <c r="B125" s="32">
        <f t="shared" si="28"/>
        <v>55</v>
      </c>
      <c r="C125" s="32">
        <f t="shared" si="48"/>
        <v>3</v>
      </c>
      <c r="D125" s="32">
        <f t="shared" si="49"/>
        <v>35</v>
      </c>
      <c r="E125" s="74">
        <f>MIN(IF(AV125=0,0,
IF(Investment_Strategy="DIS",VLOOKUP(Investment_Strategy&amp;"_"&amp;Investment_Strategy_Sub1&amp;"_"&amp;$A125,'Investment Strategies'!$AZ:$BP,12,FALSE),
IF(AND(Investment_Strategy="Lifecycle",Investment_Strategy_Sub1="Non-Standard"),VLOOKUP(Investment_Strategy&amp;"_"&amp;Investment_Strategy_Sub2&amp;"_"&amp;$A125,'Investment Strategies'!$C:$P,9,FALSE),
IF(AND(Investment_Strategy="Lifecycle",Investment_Strategy_Sub1="Standard"),VLOOKUP(Investment_Strategy&amp;"_"&amp;Investment_Strategy_Sub2&amp;"_"&amp;$A125,'Investment Strategies'!$AJ:$AV,8,FALSE),
IF(AND(Investment_Strategy="Autopilot",Investment_Strategy_Sub1="Non-Standard"),VLOOKUP(Investment_Strategy&amp;"_"&amp;Investment_Strategy_Sub2&amp;"_"&amp;$A125,'Investment Strategies'!$T:$AF,8,FALSE),
IF(Investment_Strategy ="DIY",DIY_RateOfReturn_CurrentFunds,
"Error")))))),Max_InvReturn)</f>
        <v>4.1816398110932074E-3</v>
      </c>
      <c r="F125" s="62">
        <f>IF(AV125=0,0,
IF(Investment_Strategy="DIS",VLOOKUP(Investment_Strategy&amp;"_"&amp;Investment_Strategy_Sub1&amp;"_"&amp;$A125,'Investment Strategies'!$AZ:$BP,15,FALSE),
IF(AND(Investment_Strategy="Lifecycle",Investment_Strategy_Sub1="Non-Standard"),VLOOKUP(Investment_Strategy&amp;"_"&amp;Investment_Strategy_Sub2&amp;"_"&amp;$A125,'Investment Strategies'!$C:$P,12,FALSE),
IF(AND(Investment_Strategy="Lifecycle",Investment_Strategy_Sub1="Standard"),VLOOKUP(Investment_Strategy&amp;"_"&amp;Investment_Strategy_Sub2&amp;"_"&amp;$A125,'Investment Strategies'!$AJ:$AV,11,FALSE),
IF(AND(Investment_Strategy="Autopilot",Investment_Strategy_Sub1="Non-Standard"),VLOOKUP(Investment_Strategy&amp;"_"&amp;Investment_Strategy_Sub2&amp;"_"&amp;$A125,'Investment Strategies'!$T:$AF,11,FALSE),
IF(Investment_Strategy="DIY",DIY_GteeChrge_CurrentFunds,
"Error"))))))</f>
        <v>5.4328711526985263E-4</v>
      </c>
      <c r="G125" s="33">
        <f>IF(AV125=0,0,
IF(Investment_Strategy="DIS",VLOOKUP(Investment_Strategy&amp;"_"&amp;Investment_Strategy_Sub1&amp;"_"&amp;$A125,'Investment Strategies'!$AZ:$BP,17,FALSE),
IF(AND(Investment_Strategy="Lifecycle",Investment_Strategy_Sub1="Non-Standard"),VLOOKUP(Investment_Strategy&amp;"_"&amp;Investment_Strategy_Sub2&amp;"_"&amp;$A125,'Investment Strategies'!$C:$P,14,FALSE),
IF(AND(Investment_Strategy="Lifecycle",Investment_Strategy_Sub1="Standard"),VLOOKUP(Investment_Strategy&amp;"_"&amp;Investment_Strategy_Sub2&amp;"_"&amp;$A125,'Investment Strategies'!$AJ:$AV,13,FALSE),
IF(AND(Investment_Strategy="Autopilot",Investment_Strategy_Sub1="Non-Standard"),VLOOKUP(Investment_Strategy&amp;"_"&amp;Investment_Strategy_Sub2&amp;"_"&amp;$A125,'Investment Strategies'!$T:$AF,13,FALSE),
IF(Investment_Strategy="DIY",DIY_ExtManChrge_CurrentFunds,
"Error"))))))</f>
        <v>2.0857243058891584E-4</v>
      </c>
      <c r="H125" s="16">
        <f t="shared" si="30"/>
        <v>0</v>
      </c>
      <c r="I125" s="16">
        <f t="shared" si="13"/>
        <v>0</v>
      </c>
      <c r="J125" s="16">
        <f t="shared" si="14"/>
        <v>0</v>
      </c>
      <c r="K125" s="16">
        <f>(Opening_Fund_Value+SUM(K$91:K124))*E125*IF(D125=$A$91,SRP_finalmonthfactor,1)</f>
        <v>0</v>
      </c>
      <c r="L125" s="74">
        <f>MIN(IF($AV125=0,0,
IF(Investment_Strategy="DIS",VLOOKUP(Investment_Strategy&amp;"_"&amp;Investment_Strategy_Sub1&amp;"_"&amp;$A125,'Investment Strategies'!$AZ:$BP,12,FALSE),
IF(AND(Investment_Strategy="Lifecycle",Investment_Strategy_Sub1="Non-Standard"),VLOOKUP(Investment_Strategy&amp;"_"&amp;Investment_Strategy_Sub2&amp;"_"&amp;$A125,'Investment Strategies'!$C:$P,9,FALSE),
IF(AND(Investment_Strategy="Lifecycle",Investment_Strategy_Sub1="Standard"),VLOOKUP(Investment_Strategy&amp;"_"&amp;Investment_Strategy_Sub2&amp;"_"&amp;$A125,'Investment Strategies'!$AJ:$AV,8,FALSE),
IF(AND(Investment_Strategy="Autopilot",Investment_Strategy_Sub1="Non-Standard"),VLOOKUP(Investment_Strategy&amp;"_"&amp;Investment_Strategy_Sub2&amp;"_"&amp;$A125,'Investment Strategies'!$T:$AF,8,FALSE),
IF(Investment_Strategy ="DIY",DIY_RateofReturn_SP,
"Error")))))),Max_InvReturn)</f>
        <v>4.1816398110932074E-3</v>
      </c>
      <c r="M125" s="62">
        <f>IF($AV125=0,0,
IF(Investment_Strategy="DIS",VLOOKUP(Investment_Strategy&amp;"_"&amp;Investment_Strategy_Sub1&amp;"_"&amp;$A125,'Investment Strategies'!$AZ:$BP,15,FALSE),
IF(AND(Investment_Strategy="Lifecycle",Investment_Strategy_Sub1="Non-Standard"),VLOOKUP(Investment_Strategy&amp;"_"&amp;Investment_Strategy_Sub2&amp;"_"&amp;$A125,'Investment Strategies'!$C:$P,12,FALSE),
IF(AND(Investment_Strategy="Lifecycle",Investment_Strategy_Sub1="Standard"),VLOOKUP(Investment_Strategy&amp;"_"&amp;Investment_Strategy_Sub2&amp;"_"&amp;$A125,'Investment Strategies'!$AJ:$AV,11,FALSE),
IF(AND(Investment_Strategy="Autopilot",Investment_Strategy_Sub1="Non-Standard"),VLOOKUP(Investment_Strategy&amp;"_"&amp;Investment_Strategy_Sub2&amp;"_"&amp;$A125,'Investment Strategies'!$T:$AF,11,FALSE),
IF(Investment_Strategy="DIY",DIY_GteeChrge_SP,
"Error"))))))</f>
        <v>0</v>
      </c>
      <c r="N125" s="33">
        <f>IF($AV125=0,0,
IF(Investment_Strategy="DIS",VLOOKUP(Investment_Strategy&amp;"_"&amp;Investment_Strategy_Sub1&amp;"_"&amp;$A125,'Investment Strategies'!$AZ:$BP,17,FALSE),
IF(AND(Investment_Strategy="Lifecycle",Investment_Strategy_Sub1="Non-Standard"),VLOOKUP(Investment_Strategy&amp;"_"&amp;Investment_Strategy_Sub2&amp;"_"&amp;$A125,'Investment Strategies'!$C:$P,14,FALSE),
IF(AND(Investment_Strategy="Lifecycle",Investment_Strategy_Sub1="Standard"),VLOOKUP(Investment_Strategy&amp;"_"&amp;Investment_Strategy_Sub2&amp;"_"&amp;$A125,'Investment Strategies'!$AJ:$AV,13,FALSE),
IF(AND(Investment_Strategy="Autopilot",Investment_Strategy_Sub1="Non-Standard"),VLOOKUP(Investment_Strategy&amp;"_"&amp;Investment_Strategy_Sub2&amp;"_"&amp;$A125,'Investment Strategies'!$T:$AF,13,FALSE),
IF(Investment_Strategy="DIY",DIY_ExtManChrge_SP,
"Error"))))))</f>
        <v>2.0857243058891584E-4</v>
      </c>
      <c r="O125" s="16">
        <f t="shared" si="50"/>
        <v>780796.69669872429</v>
      </c>
      <c r="Q125" s="16">
        <f t="shared" si="15"/>
        <v>3265.0105512854539</v>
      </c>
      <c r="R125" s="16">
        <f t="shared" si="16"/>
        <v>-752.44971291601246</v>
      </c>
      <c r="S125" s="16">
        <f>(SRP_SP+SUM(S$91:S124))*L125*IF(D125=$A$91,SRP_finalmonthfactor,1)</f>
        <v>3373.3551439387797</v>
      </c>
      <c r="T125" s="74">
        <f>MIN(IF($AV125=0,0,
IF(Investment_Strategy="DIS",VLOOKUP(Investment_Strategy&amp;"_"&amp;Investment_Strategy_Sub1&amp;"_"&amp;$A125,'Investment Strategies'!$AZ:$BP,12,FALSE),
IF(AND(Investment_Strategy="Lifecycle",Investment_Strategy_Sub1="Non-Standard"),VLOOKUP(Investment_Strategy&amp;"_"&amp;Investment_Strategy_Sub2&amp;"_"&amp;$A125,'Investment Strategies'!$C:$P,9,FALSE),
IF(AND(Investment_Strategy="Lifecycle",Investment_Strategy_Sub1="Standard"),VLOOKUP(Investment_Strategy&amp;"_"&amp;Investment_Strategy_Sub2&amp;"_"&amp;$A125,'Investment Strategies'!$AJ:$AV,8,FALSE),
IF(AND(Investment_Strategy="Autopilot",Investment_Strategy_Sub1="Non-Standard"),VLOOKUP(Investment_Strategy&amp;"_"&amp;Investment_Strategy_Sub2&amp;"_"&amp;$A125,'Investment Strategies'!$T:$AF,8,FALSE),
IF(Investment_Strategy ="DIY",DIY_RateOfReturn_FuturePremiums,
"Error")))))),Max_InvReturn)</f>
        <v>4.1816398110932074E-3</v>
      </c>
      <c r="U125" s="62">
        <f>IF($AV125=0,0,
IF(Investment_Strategy="DIS",VLOOKUP(Investment_Strategy&amp;"_"&amp;Investment_Strategy_Sub1&amp;"_"&amp;$A125,'Investment Strategies'!$AZ:$BP,15,FALSE),
IF(AND(Investment_Strategy="Lifecycle",Investment_Strategy_Sub1="Non-Standard"),VLOOKUP(Investment_Strategy&amp;"_"&amp;Investment_Strategy_Sub2&amp;"_"&amp;$A125,'Investment Strategies'!$C:$P,12,FALSE),
IF(AND(Investment_Strategy="Lifecycle",Investment_Strategy_Sub1="Standard"),VLOOKUP(Investment_Strategy&amp;"_"&amp;Investment_Strategy_Sub2&amp;"_"&amp;$A125,'Investment Strategies'!$AJ:$AV,11,FALSE),
IF(AND(Investment_Strategy="Autopilot",Investment_Strategy_Sub1="Non-Standard"),VLOOKUP(Investment_Strategy&amp;"_"&amp;Investment_Strategy_Sub2&amp;"_"&amp;$A125,'Investment Strategies'!$T:$AF,11,FALSE),
IF(Investment_Strategy="DIY",DIY_GteeChrge_FuturePremiums,
"Error"))))))</f>
        <v>0</v>
      </c>
      <c r="V125" s="33">
        <f>IF(AV125=0,0,
IF(Investment_Strategy="DIS",VLOOKUP(Investment_Strategy&amp;"_"&amp;Investment_Strategy_Sub1&amp;"_"&amp;$A125,'Investment Strategies'!$AZ:$BP,17,FALSE),
IF(AND(Investment_Strategy="Lifecycle",Investment_Strategy_Sub1="Non-Standard"),VLOOKUP(Investment_Strategy&amp;"_"&amp;Investment_Strategy_Sub2&amp;"_"&amp;$A125,'Investment Strategies'!$C:$P,14,FALSE),
IF(AND(Investment_Strategy="Lifecycle",Investment_Strategy_Sub1="Standard"),VLOOKUP(Investment_Strategy&amp;"_"&amp;Investment_Strategy_Sub2&amp;"_"&amp;$A125,'Investment Strategies'!$AJ:$AV,13,FALSE),
IF(AND(Investment_Strategy="Autopilot",Investment_Strategy_Sub1="Non-Standard"),VLOOKUP(Investment_Strategy&amp;"_"&amp;Investment_Strategy_Sub2&amp;"_"&amp;$A125,'Investment Strategies'!$T:$AF,13,FALSE),
IF(Investment_Strategy="DIY",DIY_ExtManChrge_FuturePremiums,
"Error"))))))</f>
        <v>1.2508601994698498E-4</v>
      </c>
      <c r="W125" s="16">
        <f t="shared" si="51"/>
        <v>0</v>
      </c>
      <c r="X125" s="16">
        <f t="shared" si="17"/>
        <v>0</v>
      </c>
      <c r="Y125" s="16">
        <f t="shared" si="18"/>
        <v>0</v>
      </c>
      <c r="Z125" s="31">
        <f t="shared" si="19"/>
        <v>0.02</v>
      </c>
      <c r="AA125" s="16">
        <f t="shared" si="20"/>
        <v>0</v>
      </c>
      <c r="AB125" s="28">
        <f t="shared" si="53"/>
        <v>806706.2913907175</v>
      </c>
      <c r="AC125" s="28">
        <f>(SUM($AC$91:AC124)+SUM($X$91:X124)+X125)*T125*IF(D125=$A$91,SRP_finalmonthfactor,1)</f>
        <v>0</v>
      </c>
      <c r="AD125" s="16">
        <f t="shared" si="21"/>
        <v>-163.19316041953948</v>
      </c>
      <c r="AE125" s="106"/>
      <c r="AF125" s="16">
        <f t="shared" si="52"/>
        <v>780796.69669872429</v>
      </c>
      <c r="AG125" s="16">
        <f t="shared" si="31"/>
        <v>3373.3551439387797</v>
      </c>
      <c r="AH125" s="16">
        <f t="shared" si="32"/>
        <v>-752.44971291601246</v>
      </c>
      <c r="AJ125" s="13">
        <f t="shared" si="64"/>
        <v>0</v>
      </c>
      <c r="AK125" s="13">
        <f t="shared" si="64"/>
        <v>0</v>
      </c>
      <c r="AL125" s="13">
        <f t="shared" si="64"/>
        <v>1</v>
      </c>
      <c r="AM125" s="13">
        <f t="shared" si="64"/>
        <v>1</v>
      </c>
      <c r="AN125" s="13">
        <f t="shared" si="64"/>
        <v>1</v>
      </c>
      <c r="AO125" s="13">
        <f t="shared" si="64"/>
        <v>1</v>
      </c>
      <c r="AP125" s="13">
        <f t="shared" si="64"/>
        <v>1</v>
      </c>
      <c r="AQ125" s="13">
        <f t="shared" si="64"/>
        <v>1</v>
      </c>
      <c r="AR125" s="13">
        <f t="shared" si="64"/>
        <v>1</v>
      </c>
      <c r="AS125" s="13">
        <f t="shared" si="64"/>
        <v>1</v>
      </c>
      <c r="AT125" s="13">
        <f t="shared" si="64"/>
        <v>1</v>
      </c>
      <c r="AU125" s="13">
        <f t="shared" si="64"/>
        <v>1</v>
      </c>
      <c r="AV125" s="13">
        <f t="shared" si="23"/>
        <v>1</v>
      </c>
      <c r="AW125" s="13">
        <f t="shared" si="33"/>
        <v>1</v>
      </c>
      <c r="AY125" s="17">
        <f t="shared" si="24"/>
        <v>35</v>
      </c>
      <c r="AZ125" s="28">
        <f t="shared" si="34"/>
        <v>0</v>
      </c>
      <c r="BA125" s="13">
        <f t="shared" si="25"/>
        <v>0</v>
      </c>
      <c r="BB125" s="13">
        <f t="shared" si="26"/>
        <v>0</v>
      </c>
      <c r="BC125" s="28">
        <f t="shared" si="35"/>
        <v>0</v>
      </c>
      <c r="BD125" s="28">
        <f t="shared" si="36"/>
        <v>0</v>
      </c>
      <c r="BF125" s="248">
        <f t="shared" si="37"/>
        <v>810079.64653465629</v>
      </c>
      <c r="BG125" s="36">
        <f t="shared" si="54"/>
        <v>0</v>
      </c>
      <c r="BH125" s="36">
        <f t="shared" si="55"/>
        <v>780796.69669872429</v>
      </c>
      <c r="BI125" s="249">
        <f t="shared" si="56"/>
        <v>4.1816398110932074E-3</v>
      </c>
      <c r="BJ125" s="246">
        <f t="shared" si="57"/>
        <v>2.0857243058891584E-4</v>
      </c>
      <c r="BK125" s="246">
        <f t="shared" si="27"/>
        <v>7.531116566323881E-4</v>
      </c>
      <c r="BL125" s="246">
        <f t="shared" si="58"/>
        <v>0</v>
      </c>
      <c r="BM125" s="246">
        <f t="shared" si="59"/>
        <v>9.6168408722130394E-4</v>
      </c>
      <c r="BN125" s="36">
        <f t="shared" si="44"/>
        <v>752.44971291601234</v>
      </c>
      <c r="BO125" s="36">
        <f t="shared" si="60"/>
        <v>3265.0105512854539</v>
      </c>
      <c r="BP125" s="36">
        <f t="shared" si="61"/>
        <v>783309.25753709371</v>
      </c>
    </row>
    <row r="126" spans="1:68">
      <c r="A126" s="32">
        <f t="shared" si="47"/>
        <v>49</v>
      </c>
      <c r="B126" s="32">
        <f t="shared" si="28"/>
        <v>55</v>
      </c>
      <c r="C126" s="32">
        <f t="shared" si="48"/>
        <v>3</v>
      </c>
      <c r="D126" s="32">
        <f t="shared" si="49"/>
        <v>36</v>
      </c>
      <c r="E126" s="74">
        <f>MIN(IF(AV126=0,0,
IF(Investment_Strategy="DIS",VLOOKUP(Investment_Strategy&amp;"_"&amp;Investment_Strategy_Sub1&amp;"_"&amp;$A126,'Investment Strategies'!$AZ:$BP,12,FALSE),
IF(AND(Investment_Strategy="Lifecycle",Investment_Strategy_Sub1="Non-Standard"),VLOOKUP(Investment_Strategy&amp;"_"&amp;Investment_Strategy_Sub2&amp;"_"&amp;$A126,'Investment Strategies'!$C:$P,9,FALSE),
IF(AND(Investment_Strategy="Lifecycle",Investment_Strategy_Sub1="Standard"),VLOOKUP(Investment_Strategy&amp;"_"&amp;Investment_Strategy_Sub2&amp;"_"&amp;$A126,'Investment Strategies'!$AJ:$AV,8,FALSE),
IF(AND(Investment_Strategy="Autopilot",Investment_Strategy_Sub1="Non-Standard"),VLOOKUP(Investment_Strategy&amp;"_"&amp;Investment_Strategy_Sub2&amp;"_"&amp;$A126,'Investment Strategies'!$T:$AF,8,FALSE),
IF(Investment_Strategy ="DIY",DIY_RateOfReturn_CurrentFunds,
"Error")))))),Max_InvReturn)</f>
        <v>4.1816398110932074E-3</v>
      </c>
      <c r="F126" s="62">
        <f>IF(AV126=0,0,
IF(Investment_Strategy="DIS",VLOOKUP(Investment_Strategy&amp;"_"&amp;Investment_Strategy_Sub1&amp;"_"&amp;$A126,'Investment Strategies'!$AZ:$BP,15,FALSE),
IF(AND(Investment_Strategy="Lifecycle",Investment_Strategy_Sub1="Non-Standard"),VLOOKUP(Investment_Strategy&amp;"_"&amp;Investment_Strategy_Sub2&amp;"_"&amp;$A126,'Investment Strategies'!$C:$P,12,FALSE),
IF(AND(Investment_Strategy="Lifecycle",Investment_Strategy_Sub1="Standard"),VLOOKUP(Investment_Strategy&amp;"_"&amp;Investment_Strategy_Sub2&amp;"_"&amp;$A126,'Investment Strategies'!$AJ:$AV,11,FALSE),
IF(AND(Investment_Strategy="Autopilot",Investment_Strategy_Sub1="Non-Standard"),VLOOKUP(Investment_Strategy&amp;"_"&amp;Investment_Strategy_Sub2&amp;"_"&amp;$A126,'Investment Strategies'!$T:$AF,11,FALSE),
IF(Investment_Strategy="DIY",DIY_GteeChrge_CurrentFunds,
"Error"))))))</f>
        <v>5.4328711526985263E-4</v>
      </c>
      <c r="G126" s="33">
        <f>IF(AV126=0,0,
IF(Investment_Strategy="DIS",VLOOKUP(Investment_Strategy&amp;"_"&amp;Investment_Strategy_Sub1&amp;"_"&amp;$A126,'Investment Strategies'!$AZ:$BP,17,FALSE),
IF(AND(Investment_Strategy="Lifecycle",Investment_Strategy_Sub1="Non-Standard"),VLOOKUP(Investment_Strategy&amp;"_"&amp;Investment_Strategy_Sub2&amp;"_"&amp;$A126,'Investment Strategies'!$C:$P,14,FALSE),
IF(AND(Investment_Strategy="Lifecycle",Investment_Strategy_Sub1="Standard"),VLOOKUP(Investment_Strategy&amp;"_"&amp;Investment_Strategy_Sub2&amp;"_"&amp;$A126,'Investment Strategies'!$AJ:$AV,13,FALSE),
IF(AND(Investment_Strategy="Autopilot",Investment_Strategy_Sub1="Non-Standard"),VLOOKUP(Investment_Strategy&amp;"_"&amp;Investment_Strategy_Sub2&amp;"_"&amp;$A126,'Investment Strategies'!$T:$AF,13,FALSE),
IF(Investment_Strategy="DIY",DIY_ExtManChrge_CurrentFunds,
"Error"))))))</f>
        <v>2.0857243058891584E-4</v>
      </c>
      <c r="H126" s="16">
        <f t="shared" si="30"/>
        <v>0</v>
      </c>
      <c r="I126" s="16">
        <f t="shared" si="13"/>
        <v>0</v>
      </c>
      <c r="J126" s="16">
        <f t="shared" si="14"/>
        <v>0</v>
      </c>
      <c r="K126" s="16">
        <f>(Opening_Fund_Value+SUM(K$91:K125))*E126*IF(D126=$A$91,SRP_finalmonthfactor,1)</f>
        <v>0</v>
      </c>
      <c r="L126" s="74">
        <f>MIN(IF($AV126=0,0,
IF(Investment_Strategy="DIS",VLOOKUP(Investment_Strategy&amp;"_"&amp;Investment_Strategy_Sub1&amp;"_"&amp;$A126,'Investment Strategies'!$AZ:$BP,12,FALSE),
IF(AND(Investment_Strategy="Lifecycle",Investment_Strategy_Sub1="Non-Standard"),VLOOKUP(Investment_Strategy&amp;"_"&amp;Investment_Strategy_Sub2&amp;"_"&amp;$A126,'Investment Strategies'!$C:$P,9,FALSE),
IF(AND(Investment_Strategy="Lifecycle",Investment_Strategy_Sub1="Standard"),VLOOKUP(Investment_Strategy&amp;"_"&amp;Investment_Strategy_Sub2&amp;"_"&amp;$A126,'Investment Strategies'!$AJ:$AV,8,FALSE),
IF(AND(Investment_Strategy="Autopilot",Investment_Strategy_Sub1="Non-Standard"),VLOOKUP(Investment_Strategy&amp;"_"&amp;Investment_Strategy_Sub2&amp;"_"&amp;$A126,'Investment Strategies'!$T:$AF,8,FALSE),
IF(Investment_Strategy ="DIY",DIY_RateofReturn_SP,
"Error")))))),Max_InvReturn)</f>
        <v>4.1816398110932074E-3</v>
      </c>
      <c r="M126" s="62">
        <f>IF($AV126=0,0,
IF(Investment_Strategy="DIS",VLOOKUP(Investment_Strategy&amp;"_"&amp;Investment_Strategy_Sub1&amp;"_"&amp;$A126,'Investment Strategies'!$AZ:$BP,15,FALSE),
IF(AND(Investment_Strategy="Lifecycle",Investment_Strategy_Sub1="Non-Standard"),VLOOKUP(Investment_Strategy&amp;"_"&amp;Investment_Strategy_Sub2&amp;"_"&amp;$A126,'Investment Strategies'!$C:$P,12,FALSE),
IF(AND(Investment_Strategy="Lifecycle",Investment_Strategy_Sub1="Standard"),VLOOKUP(Investment_Strategy&amp;"_"&amp;Investment_Strategy_Sub2&amp;"_"&amp;$A126,'Investment Strategies'!$AJ:$AV,11,FALSE),
IF(AND(Investment_Strategy="Autopilot",Investment_Strategy_Sub1="Non-Standard"),VLOOKUP(Investment_Strategy&amp;"_"&amp;Investment_Strategy_Sub2&amp;"_"&amp;$A126,'Investment Strategies'!$T:$AF,11,FALSE),
IF(Investment_Strategy="DIY",DIY_GteeChrge_SP,
"Error"))))))</f>
        <v>0</v>
      </c>
      <c r="N126" s="33">
        <f>IF($AV126=0,0,
IF(Investment_Strategy="DIS",VLOOKUP(Investment_Strategy&amp;"_"&amp;Investment_Strategy_Sub1&amp;"_"&amp;$A126,'Investment Strategies'!$AZ:$BP,17,FALSE),
IF(AND(Investment_Strategy="Lifecycle",Investment_Strategy_Sub1="Non-Standard"),VLOOKUP(Investment_Strategy&amp;"_"&amp;Investment_Strategy_Sub2&amp;"_"&amp;$A126,'Investment Strategies'!$C:$P,14,FALSE),
IF(AND(Investment_Strategy="Lifecycle",Investment_Strategy_Sub1="Standard"),VLOOKUP(Investment_Strategy&amp;"_"&amp;Investment_Strategy_Sub2&amp;"_"&amp;$A126,'Investment Strategies'!$AJ:$AV,13,FALSE),
IF(AND(Investment_Strategy="Autopilot",Investment_Strategy_Sub1="Non-Standard"),VLOOKUP(Investment_Strategy&amp;"_"&amp;Investment_Strategy_Sub2&amp;"_"&amp;$A126,'Investment Strategies'!$T:$AF,13,FALSE),
IF(Investment_Strategy="DIY",DIY_ExtManChrge_SP,
"Error"))))))</f>
        <v>2.0857243058891584E-4</v>
      </c>
      <c r="O126" s="16">
        <f t="shared" si="50"/>
        <v>783309.25753709371</v>
      </c>
      <c r="Q126" s="16">
        <f t="shared" si="15"/>
        <v>3275.5171757149733</v>
      </c>
      <c r="R126" s="16">
        <f t="shared" si="16"/>
        <v>-754.87105471920984</v>
      </c>
      <c r="S126" s="16">
        <f>(SRP_SP+SUM(S$91:S125))*L126*IF(D126=$A$91,SRP_finalmonthfactor,1)</f>
        <v>3387.4613001056305</v>
      </c>
      <c r="T126" s="74">
        <f>MIN(IF($AV126=0,0,
IF(Investment_Strategy="DIS",VLOOKUP(Investment_Strategy&amp;"_"&amp;Investment_Strategy_Sub1&amp;"_"&amp;$A126,'Investment Strategies'!$AZ:$BP,12,FALSE),
IF(AND(Investment_Strategy="Lifecycle",Investment_Strategy_Sub1="Non-Standard"),VLOOKUP(Investment_Strategy&amp;"_"&amp;Investment_Strategy_Sub2&amp;"_"&amp;$A126,'Investment Strategies'!$C:$P,9,FALSE),
IF(AND(Investment_Strategy="Lifecycle",Investment_Strategy_Sub1="Standard"),VLOOKUP(Investment_Strategy&amp;"_"&amp;Investment_Strategy_Sub2&amp;"_"&amp;$A126,'Investment Strategies'!$AJ:$AV,8,FALSE),
IF(AND(Investment_Strategy="Autopilot",Investment_Strategy_Sub1="Non-Standard"),VLOOKUP(Investment_Strategy&amp;"_"&amp;Investment_Strategy_Sub2&amp;"_"&amp;$A126,'Investment Strategies'!$T:$AF,8,FALSE),
IF(Investment_Strategy ="DIY",DIY_RateOfReturn_FuturePremiums,
"Error")))))),Max_InvReturn)</f>
        <v>4.1816398110932074E-3</v>
      </c>
      <c r="U126" s="62">
        <f>IF($AV126=0,0,
IF(Investment_Strategy="DIS",VLOOKUP(Investment_Strategy&amp;"_"&amp;Investment_Strategy_Sub1&amp;"_"&amp;$A126,'Investment Strategies'!$AZ:$BP,15,FALSE),
IF(AND(Investment_Strategy="Lifecycle",Investment_Strategy_Sub1="Non-Standard"),VLOOKUP(Investment_Strategy&amp;"_"&amp;Investment_Strategy_Sub2&amp;"_"&amp;$A126,'Investment Strategies'!$C:$P,12,FALSE),
IF(AND(Investment_Strategy="Lifecycle",Investment_Strategy_Sub1="Standard"),VLOOKUP(Investment_Strategy&amp;"_"&amp;Investment_Strategy_Sub2&amp;"_"&amp;$A126,'Investment Strategies'!$AJ:$AV,11,FALSE),
IF(AND(Investment_Strategy="Autopilot",Investment_Strategy_Sub1="Non-Standard"),VLOOKUP(Investment_Strategy&amp;"_"&amp;Investment_Strategy_Sub2&amp;"_"&amp;$A126,'Investment Strategies'!$T:$AF,11,FALSE),
IF(Investment_Strategy="DIY",DIY_GteeChrge_FuturePremiums,
"Error"))))))</f>
        <v>0</v>
      </c>
      <c r="V126" s="33">
        <f>IF(AV126=0,0,
IF(Investment_Strategy="DIS",VLOOKUP(Investment_Strategy&amp;"_"&amp;Investment_Strategy_Sub1&amp;"_"&amp;$A126,'Investment Strategies'!$AZ:$BP,17,FALSE),
IF(AND(Investment_Strategy="Lifecycle",Investment_Strategy_Sub1="Non-Standard"),VLOOKUP(Investment_Strategy&amp;"_"&amp;Investment_Strategy_Sub2&amp;"_"&amp;$A126,'Investment Strategies'!$C:$P,14,FALSE),
IF(AND(Investment_Strategy="Lifecycle",Investment_Strategy_Sub1="Standard"),VLOOKUP(Investment_Strategy&amp;"_"&amp;Investment_Strategy_Sub2&amp;"_"&amp;$A126,'Investment Strategies'!$AJ:$AV,13,FALSE),
IF(AND(Investment_Strategy="Autopilot",Investment_Strategy_Sub1="Non-Standard"),VLOOKUP(Investment_Strategy&amp;"_"&amp;Investment_Strategy_Sub2&amp;"_"&amp;$A126,'Investment Strategies'!$T:$AF,13,FALSE),
IF(Investment_Strategy="DIY",DIY_ExtManChrge_FuturePremiums,
"Error"))))))</f>
        <v>1.2508601994698498E-4</v>
      </c>
      <c r="W126" s="16">
        <f t="shared" si="51"/>
        <v>0</v>
      </c>
      <c r="X126" s="16">
        <f t="shared" si="17"/>
        <v>0</v>
      </c>
      <c r="Y126" s="16">
        <f t="shared" si="18"/>
        <v>0</v>
      </c>
      <c r="Z126" s="31">
        <f t="shared" si="19"/>
        <v>0.02</v>
      </c>
      <c r="AA126" s="16">
        <f t="shared" si="20"/>
        <v>0</v>
      </c>
      <c r="AB126" s="28">
        <f t="shared" si="53"/>
        <v>810079.64653465629</v>
      </c>
      <c r="AC126" s="28">
        <f>(SUM($AC$91:AC125)+SUM($X$91:X125)+X126)*T126*IF(D126=$A$91,SRP_finalmonthfactor,1)</f>
        <v>0</v>
      </c>
      <c r="AD126" s="16">
        <f t="shared" si="21"/>
        <v>-163.71830703669798</v>
      </c>
      <c r="AE126" s="106"/>
      <c r="AF126" s="16">
        <f t="shared" si="52"/>
        <v>783309.25753709371</v>
      </c>
      <c r="AG126" s="16">
        <f t="shared" si="31"/>
        <v>3387.4613001056305</v>
      </c>
      <c r="AH126" s="16">
        <f t="shared" si="32"/>
        <v>-754.87105471920984</v>
      </c>
      <c r="AJ126" s="13">
        <f t="shared" si="64"/>
        <v>0</v>
      </c>
      <c r="AK126" s="13">
        <f t="shared" si="64"/>
        <v>0</v>
      </c>
      <c r="AL126" s="13">
        <f t="shared" si="64"/>
        <v>1</v>
      </c>
      <c r="AM126" s="13">
        <f t="shared" si="64"/>
        <v>1</v>
      </c>
      <c r="AN126" s="13">
        <f t="shared" si="64"/>
        <v>1</v>
      </c>
      <c r="AO126" s="13">
        <f t="shared" si="64"/>
        <v>1</v>
      </c>
      <c r="AP126" s="13">
        <f t="shared" si="64"/>
        <v>1</v>
      </c>
      <c r="AQ126" s="13">
        <f t="shared" si="64"/>
        <v>1</v>
      </c>
      <c r="AR126" s="13">
        <f t="shared" si="64"/>
        <v>1</v>
      </c>
      <c r="AS126" s="13">
        <f t="shared" si="64"/>
        <v>1</v>
      </c>
      <c r="AT126" s="13">
        <f t="shared" si="64"/>
        <v>1</v>
      </c>
      <c r="AU126" s="13">
        <f t="shared" si="64"/>
        <v>1</v>
      </c>
      <c r="AV126" s="13">
        <f t="shared" si="23"/>
        <v>1</v>
      </c>
      <c r="AW126" s="13">
        <f t="shared" si="33"/>
        <v>1</v>
      </c>
      <c r="AY126" s="17">
        <f t="shared" si="24"/>
        <v>36</v>
      </c>
      <c r="AZ126" s="28">
        <f t="shared" si="34"/>
        <v>0</v>
      </c>
      <c r="BA126" s="13">
        <f t="shared" si="25"/>
        <v>0</v>
      </c>
      <c r="BB126" s="13">
        <f t="shared" si="26"/>
        <v>0</v>
      </c>
      <c r="BC126" s="28">
        <f t="shared" si="35"/>
        <v>0</v>
      </c>
      <c r="BD126" s="28">
        <f t="shared" si="36"/>
        <v>0</v>
      </c>
      <c r="BF126" s="248">
        <f t="shared" si="37"/>
        <v>813467.10783476196</v>
      </c>
      <c r="BG126" s="36">
        <f t="shared" si="54"/>
        <v>0</v>
      </c>
      <c r="BH126" s="36">
        <f t="shared" si="55"/>
        <v>783309.25753709371</v>
      </c>
      <c r="BI126" s="249">
        <f t="shared" si="56"/>
        <v>4.1816398110932074E-3</v>
      </c>
      <c r="BJ126" s="246">
        <f t="shared" si="57"/>
        <v>2.0857243058891584E-4</v>
      </c>
      <c r="BK126" s="246">
        <f t="shared" si="27"/>
        <v>7.531116566323881E-4</v>
      </c>
      <c r="BL126" s="246">
        <f t="shared" si="58"/>
        <v>0</v>
      </c>
      <c r="BM126" s="246">
        <f t="shared" si="59"/>
        <v>9.6168408722130394E-4</v>
      </c>
      <c r="BN126" s="36">
        <f t="shared" si="44"/>
        <v>754.87105471920972</v>
      </c>
      <c r="BO126" s="36">
        <f t="shared" si="60"/>
        <v>3275.5171757149733</v>
      </c>
      <c r="BP126" s="36">
        <f t="shared" si="61"/>
        <v>785829.90365808946</v>
      </c>
    </row>
    <row r="127" spans="1:68">
      <c r="A127" s="32">
        <f t="shared" si="47"/>
        <v>48</v>
      </c>
      <c r="B127" s="32">
        <f t="shared" si="28"/>
        <v>56</v>
      </c>
      <c r="C127" s="32">
        <f t="shared" si="48"/>
        <v>4</v>
      </c>
      <c r="D127" s="32">
        <f t="shared" si="49"/>
        <v>37</v>
      </c>
      <c r="E127" s="74">
        <f>MIN(IF(AV127=0,0,
IF(Investment_Strategy="DIS",VLOOKUP(Investment_Strategy&amp;"_"&amp;Investment_Strategy_Sub1&amp;"_"&amp;$A127,'Investment Strategies'!$AZ:$BP,12,FALSE),
IF(AND(Investment_Strategy="Lifecycle",Investment_Strategy_Sub1="Non-Standard"),VLOOKUP(Investment_Strategy&amp;"_"&amp;Investment_Strategy_Sub2&amp;"_"&amp;$A127,'Investment Strategies'!$C:$P,9,FALSE),
IF(AND(Investment_Strategy="Lifecycle",Investment_Strategy_Sub1="Standard"),VLOOKUP(Investment_Strategy&amp;"_"&amp;Investment_Strategy_Sub2&amp;"_"&amp;$A127,'Investment Strategies'!$AJ:$AV,8,FALSE),
IF(AND(Investment_Strategy="Autopilot",Investment_Strategy_Sub1="Non-Standard"),VLOOKUP(Investment_Strategy&amp;"_"&amp;Investment_Strategy_Sub2&amp;"_"&amp;$A127,'Investment Strategies'!$T:$AF,8,FALSE),
IF(Investment_Strategy ="DIY",DIY_RateOfReturn_CurrentFunds,
"Error")))))),Max_InvReturn)</f>
        <v>4.1816398110932074E-3</v>
      </c>
      <c r="F127" s="62">
        <f>IF(AV127=0,0,
IF(Investment_Strategy="DIS",VLOOKUP(Investment_Strategy&amp;"_"&amp;Investment_Strategy_Sub1&amp;"_"&amp;$A127,'Investment Strategies'!$AZ:$BP,15,FALSE),
IF(AND(Investment_Strategy="Lifecycle",Investment_Strategy_Sub1="Non-Standard"),VLOOKUP(Investment_Strategy&amp;"_"&amp;Investment_Strategy_Sub2&amp;"_"&amp;$A127,'Investment Strategies'!$C:$P,12,FALSE),
IF(AND(Investment_Strategy="Lifecycle",Investment_Strategy_Sub1="Standard"),VLOOKUP(Investment_Strategy&amp;"_"&amp;Investment_Strategy_Sub2&amp;"_"&amp;$A127,'Investment Strategies'!$AJ:$AV,11,FALSE),
IF(AND(Investment_Strategy="Autopilot",Investment_Strategy_Sub1="Non-Standard"),VLOOKUP(Investment_Strategy&amp;"_"&amp;Investment_Strategy_Sub2&amp;"_"&amp;$A127,'Investment Strategies'!$T:$AF,11,FALSE),
IF(Investment_Strategy="DIY",DIY_GteeChrge_CurrentFunds,
"Error"))))))</f>
        <v>5.4328711526985263E-4</v>
      </c>
      <c r="G127" s="33">
        <f>IF(AV127=0,0,
IF(Investment_Strategy="DIS",VLOOKUP(Investment_Strategy&amp;"_"&amp;Investment_Strategy_Sub1&amp;"_"&amp;$A127,'Investment Strategies'!$AZ:$BP,17,FALSE),
IF(AND(Investment_Strategy="Lifecycle",Investment_Strategy_Sub1="Non-Standard"),VLOOKUP(Investment_Strategy&amp;"_"&amp;Investment_Strategy_Sub2&amp;"_"&amp;$A127,'Investment Strategies'!$C:$P,14,FALSE),
IF(AND(Investment_Strategy="Lifecycle",Investment_Strategy_Sub1="Standard"),VLOOKUP(Investment_Strategy&amp;"_"&amp;Investment_Strategy_Sub2&amp;"_"&amp;$A127,'Investment Strategies'!$AJ:$AV,13,FALSE),
IF(AND(Investment_Strategy="Autopilot",Investment_Strategy_Sub1="Non-Standard"),VLOOKUP(Investment_Strategy&amp;"_"&amp;Investment_Strategy_Sub2&amp;"_"&amp;$A127,'Investment Strategies'!$T:$AF,13,FALSE),
IF(Investment_Strategy="DIY",DIY_ExtManChrge_CurrentFunds,
"Error"))))))</f>
        <v>2.0857243058891584E-4</v>
      </c>
      <c r="H127" s="16">
        <f t="shared" si="30"/>
        <v>0</v>
      </c>
      <c r="I127" s="16">
        <f t="shared" si="13"/>
        <v>0</v>
      </c>
      <c r="J127" s="16">
        <f t="shared" si="14"/>
        <v>0</v>
      </c>
      <c r="K127" s="16">
        <f>(Opening_Fund_Value+SUM(K$91:K126))*E127*IF(D127=$A$91,SRP_finalmonthfactor,1)</f>
        <v>0</v>
      </c>
      <c r="L127" s="74">
        <f>MIN(IF($AV127=0,0,
IF(Investment_Strategy="DIS",VLOOKUP(Investment_Strategy&amp;"_"&amp;Investment_Strategy_Sub1&amp;"_"&amp;$A127,'Investment Strategies'!$AZ:$BP,12,FALSE),
IF(AND(Investment_Strategy="Lifecycle",Investment_Strategy_Sub1="Non-Standard"),VLOOKUP(Investment_Strategy&amp;"_"&amp;Investment_Strategy_Sub2&amp;"_"&amp;$A127,'Investment Strategies'!$C:$P,9,FALSE),
IF(AND(Investment_Strategy="Lifecycle",Investment_Strategy_Sub1="Standard"),VLOOKUP(Investment_Strategy&amp;"_"&amp;Investment_Strategy_Sub2&amp;"_"&amp;$A127,'Investment Strategies'!$AJ:$AV,8,FALSE),
IF(AND(Investment_Strategy="Autopilot",Investment_Strategy_Sub1="Non-Standard"),VLOOKUP(Investment_Strategy&amp;"_"&amp;Investment_Strategy_Sub2&amp;"_"&amp;$A127,'Investment Strategies'!$T:$AF,8,FALSE),
IF(Investment_Strategy ="DIY",DIY_RateofReturn_SP,
"Error")))))),Max_InvReturn)</f>
        <v>4.1816398110932074E-3</v>
      </c>
      <c r="M127" s="62">
        <f>IF($AV127=0,0,
IF(Investment_Strategy="DIS",VLOOKUP(Investment_Strategy&amp;"_"&amp;Investment_Strategy_Sub1&amp;"_"&amp;$A127,'Investment Strategies'!$AZ:$BP,15,FALSE),
IF(AND(Investment_Strategy="Lifecycle",Investment_Strategy_Sub1="Non-Standard"),VLOOKUP(Investment_Strategy&amp;"_"&amp;Investment_Strategy_Sub2&amp;"_"&amp;$A127,'Investment Strategies'!$C:$P,12,FALSE),
IF(AND(Investment_Strategy="Lifecycle",Investment_Strategy_Sub1="Standard"),VLOOKUP(Investment_Strategy&amp;"_"&amp;Investment_Strategy_Sub2&amp;"_"&amp;$A127,'Investment Strategies'!$AJ:$AV,11,FALSE),
IF(AND(Investment_Strategy="Autopilot",Investment_Strategy_Sub1="Non-Standard"),VLOOKUP(Investment_Strategy&amp;"_"&amp;Investment_Strategy_Sub2&amp;"_"&amp;$A127,'Investment Strategies'!$T:$AF,11,FALSE),
IF(Investment_Strategy="DIY",DIY_GteeChrge_SP,
"Error"))))))</f>
        <v>0</v>
      </c>
      <c r="N127" s="33">
        <f>IF($AV127=0,0,
IF(Investment_Strategy="DIS",VLOOKUP(Investment_Strategy&amp;"_"&amp;Investment_Strategy_Sub1&amp;"_"&amp;$A127,'Investment Strategies'!$AZ:$BP,17,FALSE),
IF(AND(Investment_Strategy="Lifecycle",Investment_Strategy_Sub1="Non-Standard"),VLOOKUP(Investment_Strategy&amp;"_"&amp;Investment_Strategy_Sub2&amp;"_"&amp;$A127,'Investment Strategies'!$C:$P,14,FALSE),
IF(AND(Investment_Strategy="Lifecycle",Investment_Strategy_Sub1="Standard"),VLOOKUP(Investment_Strategy&amp;"_"&amp;Investment_Strategy_Sub2&amp;"_"&amp;$A127,'Investment Strategies'!$AJ:$AV,13,FALSE),
IF(AND(Investment_Strategy="Autopilot",Investment_Strategy_Sub1="Non-Standard"),VLOOKUP(Investment_Strategy&amp;"_"&amp;Investment_Strategy_Sub2&amp;"_"&amp;$A127,'Investment Strategies'!$T:$AF,13,FALSE),
IF(Investment_Strategy="DIY",DIY_ExtManChrge_SP,
"Error"))))))</f>
        <v>2.0857243058891584E-4</v>
      </c>
      <c r="O127" s="16">
        <f t="shared" si="50"/>
        <v>785829.90365808946</v>
      </c>
      <c r="Q127" s="16">
        <f t="shared" si="15"/>
        <v>3286.0576098842066</v>
      </c>
      <c r="R127" s="16">
        <f t="shared" si="16"/>
        <v>-757.30018826719413</v>
      </c>
      <c r="S127" s="16">
        <f>(SRP_SP+SUM(S$91:S126))*L127*IF(D127=$A$91,SRP_finalmonthfactor,1)</f>
        <v>3401.6264431366899</v>
      </c>
      <c r="T127" s="74">
        <f>MIN(IF($AV127=0,0,
IF(Investment_Strategy="DIS",VLOOKUP(Investment_Strategy&amp;"_"&amp;Investment_Strategy_Sub1&amp;"_"&amp;$A127,'Investment Strategies'!$AZ:$BP,12,FALSE),
IF(AND(Investment_Strategy="Lifecycle",Investment_Strategy_Sub1="Non-Standard"),VLOOKUP(Investment_Strategy&amp;"_"&amp;Investment_Strategy_Sub2&amp;"_"&amp;$A127,'Investment Strategies'!$C:$P,9,FALSE),
IF(AND(Investment_Strategy="Lifecycle",Investment_Strategy_Sub1="Standard"),VLOOKUP(Investment_Strategy&amp;"_"&amp;Investment_Strategy_Sub2&amp;"_"&amp;$A127,'Investment Strategies'!$AJ:$AV,8,FALSE),
IF(AND(Investment_Strategy="Autopilot",Investment_Strategy_Sub1="Non-Standard"),VLOOKUP(Investment_Strategy&amp;"_"&amp;Investment_Strategy_Sub2&amp;"_"&amp;$A127,'Investment Strategies'!$T:$AF,8,FALSE),
IF(Investment_Strategy ="DIY",DIY_RateOfReturn_FuturePremiums,
"Error")))))),Max_InvReturn)</f>
        <v>4.1816398110932074E-3</v>
      </c>
      <c r="U127" s="62">
        <f>IF($AV127=0,0,
IF(Investment_Strategy="DIS",VLOOKUP(Investment_Strategy&amp;"_"&amp;Investment_Strategy_Sub1&amp;"_"&amp;$A127,'Investment Strategies'!$AZ:$BP,15,FALSE),
IF(AND(Investment_Strategy="Lifecycle",Investment_Strategy_Sub1="Non-Standard"),VLOOKUP(Investment_Strategy&amp;"_"&amp;Investment_Strategy_Sub2&amp;"_"&amp;$A127,'Investment Strategies'!$C:$P,12,FALSE),
IF(AND(Investment_Strategy="Lifecycle",Investment_Strategy_Sub1="Standard"),VLOOKUP(Investment_Strategy&amp;"_"&amp;Investment_Strategy_Sub2&amp;"_"&amp;$A127,'Investment Strategies'!$AJ:$AV,11,FALSE),
IF(AND(Investment_Strategy="Autopilot",Investment_Strategy_Sub1="Non-Standard"),VLOOKUP(Investment_Strategy&amp;"_"&amp;Investment_Strategy_Sub2&amp;"_"&amp;$A127,'Investment Strategies'!$T:$AF,11,FALSE),
IF(Investment_Strategy="DIY",DIY_GteeChrge_FuturePremiums,
"Error"))))))</f>
        <v>0</v>
      </c>
      <c r="V127" s="33">
        <f>IF(AV127=0,0,
IF(Investment_Strategy="DIS",VLOOKUP(Investment_Strategy&amp;"_"&amp;Investment_Strategy_Sub1&amp;"_"&amp;$A127,'Investment Strategies'!$AZ:$BP,17,FALSE),
IF(AND(Investment_Strategy="Lifecycle",Investment_Strategy_Sub1="Non-Standard"),VLOOKUP(Investment_Strategy&amp;"_"&amp;Investment_Strategy_Sub2&amp;"_"&amp;$A127,'Investment Strategies'!$C:$P,14,FALSE),
IF(AND(Investment_Strategy="Lifecycle",Investment_Strategy_Sub1="Standard"),VLOOKUP(Investment_Strategy&amp;"_"&amp;Investment_Strategy_Sub2&amp;"_"&amp;$A127,'Investment Strategies'!$AJ:$AV,13,FALSE),
IF(AND(Investment_Strategy="Autopilot",Investment_Strategy_Sub1="Non-Standard"),VLOOKUP(Investment_Strategy&amp;"_"&amp;Investment_Strategy_Sub2&amp;"_"&amp;$A127,'Investment Strategies'!$T:$AF,13,FALSE),
IF(Investment_Strategy="DIY",DIY_ExtManChrge_FuturePremiums,
"Error"))))))</f>
        <v>1.2508601994698498E-4</v>
      </c>
      <c r="W127" s="16">
        <f t="shared" si="51"/>
        <v>0</v>
      </c>
      <c r="X127" s="16">
        <f t="shared" si="17"/>
        <v>0</v>
      </c>
      <c r="Y127" s="16">
        <f t="shared" si="18"/>
        <v>0</v>
      </c>
      <c r="Z127" s="31">
        <f t="shared" si="19"/>
        <v>0.02</v>
      </c>
      <c r="AA127" s="16">
        <f t="shared" si="20"/>
        <v>0</v>
      </c>
      <c r="AB127" s="28">
        <f t="shared" si="53"/>
        <v>813467.10783476196</v>
      </c>
      <c r="AC127" s="28">
        <f>(SUM($AC$91:AC126)+SUM($X$91:X126)+X127)*T127*IF(D127=$A$91,SRP_finalmonthfactor,1)</f>
        <v>0</v>
      </c>
      <c r="AD127" s="16">
        <f t="shared" si="21"/>
        <v>-164.24514354679567</v>
      </c>
      <c r="AE127" s="106"/>
      <c r="AF127" s="16">
        <f t="shared" si="52"/>
        <v>785829.90365808946</v>
      </c>
      <c r="AG127" s="16">
        <f t="shared" si="31"/>
        <v>3401.6264431366899</v>
      </c>
      <c r="AH127" s="16">
        <f t="shared" si="32"/>
        <v>-757.30018826719413</v>
      </c>
      <c r="AJ127" s="13">
        <f t="shared" si="64"/>
        <v>0</v>
      </c>
      <c r="AK127" s="13">
        <f t="shared" si="64"/>
        <v>0</v>
      </c>
      <c r="AL127" s="13">
        <f t="shared" si="64"/>
        <v>0</v>
      </c>
      <c r="AM127" s="13">
        <f t="shared" si="64"/>
        <v>1</v>
      </c>
      <c r="AN127" s="13">
        <f t="shared" si="64"/>
        <v>1</v>
      </c>
      <c r="AO127" s="13">
        <f t="shared" si="64"/>
        <v>1</v>
      </c>
      <c r="AP127" s="13">
        <f t="shared" si="64"/>
        <v>1</v>
      </c>
      <c r="AQ127" s="13">
        <f t="shared" si="64"/>
        <v>1</v>
      </c>
      <c r="AR127" s="13">
        <f t="shared" si="64"/>
        <v>1</v>
      </c>
      <c r="AS127" s="13">
        <f t="shared" si="64"/>
        <v>1</v>
      </c>
      <c r="AT127" s="13">
        <f t="shared" si="64"/>
        <v>1</v>
      </c>
      <c r="AU127" s="13">
        <f t="shared" si="64"/>
        <v>1</v>
      </c>
      <c r="AV127" s="13">
        <f t="shared" si="23"/>
        <v>1</v>
      </c>
      <c r="AW127" s="13">
        <f t="shared" si="33"/>
        <v>1</v>
      </c>
      <c r="AY127" s="17">
        <f t="shared" si="24"/>
        <v>37</v>
      </c>
      <c r="AZ127" s="28">
        <f t="shared" si="34"/>
        <v>0</v>
      </c>
      <c r="BA127" s="13">
        <f t="shared" si="25"/>
        <v>0</v>
      </c>
      <c r="BB127" s="13">
        <f t="shared" si="26"/>
        <v>0</v>
      </c>
      <c r="BC127" s="28">
        <f t="shared" si="35"/>
        <v>0</v>
      </c>
      <c r="BD127" s="28">
        <f t="shared" si="36"/>
        <v>0</v>
      </c>
      <c r="BF127" s="248">
        <f t="shared" si="37"/>
        <v>816868.73427789868</v>
      </c>
      <c r="BG127" s="36">
        <f t="shared" si="54"/>
        <v>0</v>
      </c>
      <c r="BH127" s="36">
        <f t="shared" si="55"/>
        <v>785829.90365808946</v>
      </c>
      <c r="BI127" s="249">
        <f t="shared" si="56"/>
        <v>4.1816398110932074E-3</v>
      </c>
      <c r="BJ127" s="246">
        <f t="shared" si="57"/>
        <v>2.0857243058891584E-4</v>
      </c>
      <c r="BK127" s="246">
        <f t="shared" si="27"/>
        <v>7.531116566323881E-4</v>
      </c>
      <c r="BL127" s="246">
        <f t="shared" si="58"/>
        <v>0</v>
      </c>
      <c r="BM127" s="246">
        <f t="shared" si="59"/>
        <v>9.6168408722130394E-4</v>
      </c>
      <c r="BN127" s="36">
        <f t="shared" si="44"/>
        <v>757.30018826719402</v>
      </c>
      <c r="BO127" s="36">
        <f t="shared" si="60"/>
        <v>3286.0576098842066</v>
      </c>
      <c r="BP127" s="36">
        <f t="shared" si="61"/>
        <v>788358.66107970651</v>
      </c>
    </row>
    <row r="128" spans="1:68">
      <c r="A128" s="32">
        <f t="shared" si="47"/>
        <v>47</v>
      </c>
      <c r="B128" s="32">
        <f t="shared" si="28"/>
        <v>56</v>
      </c>
      <c r="C128" s="32">
        <f t="shared" si="48"/>
        <v>4</v>
      </c>
      <c r="D128" s="32">
        <f t="shared" si="49"/>
        <v>38</v>
      </c>
      <c r="E128" s="74">
        <f>MIN(IF(AV128=0,0,
IF(Investment_Strategy="DIS",VLOOKUP(Investment_Strategy&amp;"_"&amp;Investment_Strategy_Sub1&amp;"_"&amp;$A128,'Investment Strategies'!$AZ:$BP,12,FALSE),
IF(AND(Investment_Strategy="Lifecycle",Investment_Strategy_Sub1="Non-Standard"),VLOOKUP(Investment_Strategy&amp;"_"&amp;Investment_Strategy_Sub2&amp;"_"&amp;$A128,'Investment Strategies'!$C:$P,9,FALSE),
IF(AND(Investment_Strategy="Lifecycle",Investment_Strategy_Sub1="Standard"),VLOOKUP(Investment_Strategy&amp;"_"&amp;Investment_Strategy_Sub2&amp;"_"&amp;$A128,'Investment Strategies'!$AJ:$AV,8,FALSE),
IF(AND(Investment_Strategy="Autopilot",Investment_Strategy_Sub1="Non-Standard"),VLOOKUP(Investment_Strategy&amp;"_"&amp;Investment_Strategy_Sub2&amp;"_"&amp;$A128,'Investment Strategies'!$T:$AF,8,FALSE),
IF(Investment_Strategy ="DIY",DIY_RateOfReturn_CurrentFunds,
"Error")))))),Max_InvReturn)</f>
        <v>4.1816398110932074E-3</v>
      </c>
      <c r="F128" s="62">
        <f>IF(AV128=0,0,
IF(Investment_Strategy="DIS",VLOOKUP(Investment_Strategy&amp;"_"&amp;Investment_Strategy_Sub1&amp;"_"&amp;$A128,'Investment Strategies'!$AZ:$BP,15,FALSE),
IF(AND(Investment_Strategy="Lifecycle",Investment_Strategy_Sub1="Non-Standard"),VLOOKUP(Investment_Strategy&amp;"_"&amp;Investment_Strategy_Sub2&amp;"_"&amp;$A128,'Investment Strategies'!$C:$P,12,FALSE),
IF(AND(Investment_Strategy="Lifecycle",Investment_Strategy_Sub1="Standard"),VLOOKUP(Investment_Strategy&amp;"_"&amp;Investment_Strategy_Sub2&amp;"_"&amp;$A128,'Investment Strategies'!$AJ:$AV,11,FALSE),
IF(AND(Investment_Strategy="Autopilot",Investment_Strategy_Sub1="Non-Standard"),VLOOKUP(Investment_Strategy&amp;"_"&amp;Investment_Strategy_Sub2&amp;"_"&amp;$A128,'Investment Strategies'!$T:$AF,11,FALSE),
IF(Investment_Strategy="DIY",DIY_GteeChrge_CurrentFunds,
"Error"))))))</f>
        <v>5.4328711526985263E-4</v>
      </c>
      <c r="G128" s="33">
        <f>IF(AV128=0,0,
IF(Investment_Strategy="DIS",VLOOKUP(Investment_Strategy&amp;"_"&amp;Investment_Strategy_Sub1&amp;"_"&amp;$A128,'Investment Strategies'!$AZ:$BP,17,FALSE),
IF(AND(Investment_Strategy="Lifecycle",Investment_Strategy_Sub1="Non-Standard"),VLOOKUP(Investment_Strategy&amp;"_"&amp;Investment_Strategy_Sub2&amp;"_"&amp;$A128,'Investment Strategies'!$C:$P,14,FALSE),
IF(AND(Investment_Strategy="Lifecycle",Investment_Strategy_Sub1="Standard"),VLOOKUP(Investment_Strategy&amp;"_"&amp;Investment_Strategy_Sub2&amp;"_"&amp;$A128,'Investment Strategies'!$AJ:$AV,13,FALSE),
IF(AND(Investment_Strategy="Autopilot",Investment_Strategy_Sub1="Non-Standard"),VLOOKUP(Investment_Strategy&amp;"_"&amp;Investment_Strategy_Sub2&amp;"_"&amp;$A128,'Investment Strategies'!$T:$AF,13,FALSE),
IF(Investment_Strategy="DIY",DIY_ExtManChrge_CurrentFunds,
"Error"))))))</f>
        <v>2.0857243058891584E-4</v>
      </c>
      <c r="H128" s="16">
        <f t="shared" si="30"/>
        <v>0</v>
      </c>
      <c r="I128" s="16">
        <f t="shared" si="13"/>
        <v>0</v>
      </c>
      <c r="J128" s="16">
        <f t="shared" si="14"/>
        <v>0</v>
      </c>
      <c r="K128" s="16">
        <f>(Opening_Fund_Value+SUM(K$91:K127))*E128*IF(D128=$A$91,SRP_finalmonthfactor,1)</f>
        <v>0</v>
      </c>
      <c r="L128" s="74">
        <f>MIN(IF($AV128=0,0,
IF(Investment_Strategy="DIS",VLOOKUP(Investment_Strategy&amp;"_"&amp;Investment_Strategy_Sub1&amp;"_"&amp;$A128,'Investment Strategies'!$AZ:$BP,12,FALSE),
IF(AND(Investment_Strategy="Lifecycle",Investment_Strategy_Sub1="Non-Standard"),VLOOKUP(Investment_Strategy&amp;"_"&amp;Investment_Strategy_Sub2&amp;"_"&amp;$A128,'Investment Strategies'!$C:$P,9,FALSE),
IF(AND(Investment_Strategy="Lifecycle",Investment_Strategy_Sub1="Standard"),VLOOKUP(Investment_Strategy&amp;"_"&amp;Investment_Strategy_Sub2&amp;"_"&amp;$A128,'Investment Strategies'!$AJ:$AV,8,FALSE),
IF(AND(Investment_Strategy="Autopilot",Investment_Strategy_Sub1="Non-Standard"),VLOOKUP(Investment_Strategy&amp;"_"&amp;Investment_Strategy_Sub2&amp;"_"&amp;$A128,'Investment Strategies'!$T:$AF,8,FALSE),
IF(Investment_Strategy ="DIY",DIY_RateofReturn_SP,
"Error")))))),Max_InvReturn)</f>
        <v>4.1816398110932074E-3</v>
      </c>
      <c r="M128" s="62">
        <f>IF($AV128=0,0,
IF(Investment_Strategy="DIS",VLOOKUP(Investment_Strategy&amp;"_"&amp;Investment_Strategy_Sub1&amp;"_"&amp;$A128,'Investment Strategies'!$AZ:$BP,15,FALSE),
IF(AND(Investment_Strategy="Lifecycle",Investment_Strategy_Sub1="Non-Standard"),VLOOKUP(Investment_Strategy&amp;"_"&amp;Investment_Strategy_Sub2&amp;"_"&amp;$A128,'Investment Strategies'!$C:$P,12,FALSE),
IF(AND(Investment_Strategy="Lifecycle",Investment_Strategy_Sub1="Standard"),VLOOKUP(Investment_Strategy&amp;"_"&amp;Investment_Strategy_Sub2&amp;"_"&amp;$A128,'Investment Strategies'!$AJ:$AV,11,FALSE),
IF(AND(Investment_Strategy="Autopilot",Investment_Strategy_Sub1="Non-Standard"),VLOOKUP(Investment_Strategy&amp;"_"&amp;Investment_Strategy_Sub2&amp;"_"&amp;$A128,'Investment Strategies'!$T:$AF,11,FALSE),
IF(Investment_Strategy="DIY",DIY_GteeChrge_SP,
"Error"))))))</f>
        <v>0</v>
      </c>
      <c r="N128" s="33">
        <f>IF($AV128=0,0,
IF(Investment_Strategy="DIS",VLOOKUP(Investment_Strategy&amp;"_"&amp;Investment_Strategy_Sub1&amp;"_"&amp;$A128,'Investment Strategies'!$AZ:$BP,17,FALSE),
IF(AND(Investment_Strategy="Lifecycle",Investment_Strategy_Sub1="Non-Standard"),VLOOKUP(Investment_Strategy&amp;"_"&amp;Investment_Strategy_Sub2&amp;"_"&amp;$A128,'Investment Strategies'!$C:$P,14,FALSE),
IF(AND(Investment_Strategy="Lifecycle",Investment_Strategy_Sub1="Standard"),VLOOKUP(Investment_Strategy&amp;"_"&amp;Investment_Strategy_Sub2&amp;"_"&amp;$A128,'Investment Strategies'!$AJ:$AV,13,FALSE),
IF(AND(Investment_Strategy="Autopilot",Investment_Strategy_Sub1="Non-Standard"),VLOOKUP(Investment_Strategy&amp;"_"&amp;Investment_Strategy_Sub2&amp;"_"&amp;$A128,'Investment Strategies'!$T:$AF,13,FALSE),
IF(Investment_Strategy="DIY",DIY_ExtManChrge_SP,
"Error"))))))</f>
        <v>2.0857243058891584E-4</v>
      </c>
      <c r="O128" s="16">
        <f t="shared" si="50"/>
        <v>788358.66107970651</v>
      </c>
      <c r="Q128" s="16">
        <f t="shared" si="15"/>
        <v>3296.6319625910378</v>
      </c>
      <c r="R128" s="16">
        <f t="shared" si="16"/>
        <v>-759.73713863337139</v>
      </c>
      <c r="S128" s="16">
        <f>(SRP_SP+SUM(S$91:S127))*L128*IF(D128=$A$91,SRP_finalmonthfactor,1)</f>
        <v>3415.8508196937778</v>
      </c>
      <c r="T128" s="74">
        <f>MIN(IF($AV128=0,0,
IF(Investment_Strategy="DIS",VLOOKUP(Investment_Strategy&amp;"_"&amp;Investment_Strategy_Sub1&amp;"_"&amp;$A128,'Investment Strategies'!$AZ:$BP,12,FALSE),
IF(AND(Investment_Strategy="Lifecycle",Investment_Strategy_Sub1="Non-Standard"),VLOOKUP(Investment_Strategy&amp;"_"&amp;Investment_Strategy_Sub2&amp;"_"&amp;$A128,'Investment Strategies'!$C:$P,9,FALSE),
IF(AND(Investment_Strategy="Lifecycle",Investment_Strategy_Sub1="Standard"),VLOOKUP(Investment_Strategy&amp;"_"&amp;Investment_Strategy_Sub2&amp;"_"&amp;$A128,'Investment Strategies'!$AJ:$AV,8,FALSE),
IF(AND(Investment_Strategy="Autopilot",Investment_Strategy_Sub1="Non-Standard"),VLOOKUP(Investment_Strategy&amp;"_"&amp;Investment_Strategy_Sub2&amp;"_"&amp;$A128,'Investment Strategies'!$T:$AF,8,FALSE),
IF(Investment_Strategy ="DIY",DIY_RateOfReturn_FuturePremiums,
"Error")))))),Max_InvReturn)</f>
        <v>4.1816398110932074E-3</v>
      </c>
      <c r="U128" s="62">
        <f>IF($AV128=0,0,
IF(Investment_Strategy="DIS",VLOOKUP(Investment_Strategy&amp;"_"&amp;Investment_Strategy_Sub1&amp;"_"&amp;$A128,'Investment Strategies'!$AZ:$BP,15,FALSE),
IF(AND(Investment_Strategy="Lifecycle",Investment_Strategy_Sub1="Non-Standard"),VLOOKUP(Investment_Strategy&amp;"_"&amp;Investment_Strategy_Sub2&amp;"_"&amp;$A128,'Investment Strategies'!$C:$P,12,FALSE),
IF(AND(Investment_Strategy="Lifecycle",Investment_Strategy_Sub1="Standard"),VLOOKUP(Investment_Strategy&amp;"_"&amp;Investment_Strategy_Sub2&amp;"_"&amp;$A128,'Investment Strategies'!$AJ:$AV,11,FALSE),
IF(AND(Investment_Strategy="Autopilot",Investment_Strategy_Sub1="Non-Standard"),VLOOKUP(Investment_Strategy&amp;"_"&amp;Investment_Strategy_Sub2&amp;"_"&amp;$A128,'Investment Strategies'!$T:$AF,11,FALSE),
IF(Investment_Strategy="DIY",DIY_GteeChrge_FuturePremiums,
"Error"))))))</f>
        <v>0</v>
      </c>
      <c r="V128" s="33">
        <f>IF(AV128=0,0,
IF(Investment_Strategy="DIS",VLOOKUP(Investment_Strategy&amp;"_"&amp;Investment_Strategy_Sub1&amp;"_"&amp;$A128,'Investment Strategies'!$AZ:$BP,17,FALSE),
IF(AND(Investment_Strategy="Lifecycle",Investment_Strategy_Sub1="Non-Standard"),VLOOKUP(Investment_Strategy&amp;"_"&amp;Investment_Strategy_Sub2&amp;"_"&amp;$A128,'Investment Strategies'!$C:$P,14,FALSE),
IF(AND(Investment_Strategy="Lifecycle",Investment_Strategy_Sub1="Standard"),VLOOKUP(Investment_Strategy&amp;"_"&amp;Investment_Strategy_Sub2&amp;"_"&amp;$A128,'Investment Strategies'!$AJ:$AV,13,FALSE),
IF(AND(Investment_Strategy="Autopilot",Investment_Strategy_Sub1="Non-Standard"),VLOOKUP(Investment_Strategy&amp;"_"&amp;Investment_Strategy_Sub2&amp;"_"&amp;$A128,'Investment Strategies'!$T:$AF,13,FALSE),
IF(Investment_Strategy="DIY",DIY_ExtManChrge_FuturePremiums,
"Error"))))))</f>
        <v>1.2508601994698498E-4</v>
      </c>
      <c r="W128" s="16">
        <f t="shared" si="51"/>
        <v>0</v>
      </c>
      <c r="X128" s="16">
        <f t="shared" si="17"/>
        <v>0</v>
      </c>
      <c r="Y128" s="16">
        <f t="shared" si="18"/>
        <v>0</v>
      </c>
      <c r="Z128" s="31">
        <f t="shared" si="19"/>
        <v>0.02</v>
      </c>
      <c r="AA128" s="16">
        <f t="shared" si="20"/>
        <v>0</v>
      </c>
      <c r="AB128" s="28">
        <f t="shared" si="53"/>
        <v>816868.73427789868</v>
      </c>
      <c r="AC128" s="28">
        <f>(SUM($AC$91:AC127)+SUM($X$91:X127)+X128)*T128*IF(D128=$A$91,SRP_finalmonthfactor,1)</f>
        <v>0</v>
      </c>
      <c r="AD128" s="16">
        <f t="shared" si="21"/>
        <v>-164.77367538781508</v>
      </c>
      <c r="AE128" s="106"/>
      <c r="AF128" s="16">
        <f t="shared" si="52"/>
        <v>788358.66107970651</v>
      </c>
      <c r="AG128" s="16">
        <f t="shared" si="31"/>
        <v>3415.8508196937778</v>
      </c>
      <c r="AH128" s="16">
        <f t="shared" si="32"/>
        <v>-759.73713863337139</v>
      </c>
      <c r="AJ128" s="13">
        <f t="shared" si="64"/>
        <v>0</v>
      </c>
      <c r="AK128" s="13">
        <f t="shared" si="64"/>
        <v>0</v>
      </c>
      <c r="AL128" s="13">
        <f t="shared" si="64"/>
        <v>0</v>
      </c>
      <c r="AM128" s="13">
        <f t="shared" si="64"/>
        <v>1</v>
      </c>
      <c r="AN128" s="13">
        <f t="shared" si="64"/>
        <v>1</v>
      </c>
      <c r="AO128" s="13">
        <f t="shared" si="64"/>
        <v>1</v>
      </c>
      <c r="AP128" s="13">
        <f t="shared" si="64"/>
        <v>1</v>
      </c>
      <c r="AQ128" s="13">
        <f t="shared" si="64"/>
        <v>1</v>
      </c>
      <c r="AR128" s="13">
        <f t="shared" si="64"/>
        <v>1</v>
      </c>
      <c r="AS128" s="13">
        <f t="shared" si="64"/>
        <v>1</v>
      </c>
      <c r="AT128" s="13">
        <f t="shared" si="64"/>
        <v>1</v>
      </c>
      <c r="AU128" s="13">
        <f t="shared" si="64"/>
        <v>1</v>
      </c>
      <c r="AV128" s="13">
        <f t="shared" si="23"/>
        <v>1</v>
      </c>
      <c r="AW128" s="13">
        <f t="shared" si="33"/>
        <v>1</v>
      </c>
      <c r="AY128" s="17">
        <f t="shared" si="24"/>
        <v>38</v>
      </c>
      <c r="AZ128" s="28">
        <f t="shared" si="34"/>
        <v>0</v>
      </c>
      <c r="BA128" s="13">
        <f t="shared" si="25"/>
        <v>0</v>
      </c>
      <c r="BB128" s="13">
        <f t="shared" si="26"/>
        <v>0</v>
      </c>
      <c r="BC128" s="28">
        <f t="shared" si="35"/>
        <v>0</v>
      </c>
      <c r="BD128" s="28">
        <f t="shared" si="36"/>
        <v>0</v>
      </c>
      <c r="BF128" s="248">
        <f t="shared" si="37"/>
        <v>820284.58509759244</v>
      </c>
      <c r="BG128" s="36">
        <f t="shared" si="54"/>
        <v>0</v>
      </c>
      <c r="BH128" s="36">
        <f t="shared" si="55"/>
        <v>788358.66107970651</v>
      </c>
      <c r="BI128" s="249">
        <f t="shared" si="56"/>
        <v>4.1816398110932074E-3</v>
      </c>
      <c r="BJ128" s="246">
        <f t="shared" si="57"/>
        <v>2.0857243058891584E-4</v>
      </c>
      <c r="BK128" s="246">
        <f t="shared" si="27"/>
        <v>7.531116566323881E-4</v>
      </c>
      <c r="BL128" s="246">
        <f t="shared" si="58"/>
        <v>0</v>
      </c>
      <c r="BM128" s="246">
        <f t="shared" si="59"/>
        <v>9.6168408722130394E-4</v>
      </c>
      <c r="BN128" s="36">
        <f t="shared" si="44"/>
        <v>759.73713863337127</v>
      </c>
      <c r="BO128" s="36">
        <f t="shared" si="60"/>
        <v>3296.6319625910378</v>
      </c>
      <c r="BP128" s="36">
        <f t="shared" si="61"/>
        <v>790895.55590366421</v>
      </c>
    </row>
    <row r="129" spans="1:68">
      <c r="A129" s="32">
        <f t="shared" si="47"/>
        <v>46</v>
      </c>
      <c r="B129" s="32">
        <f t="shared" si="28"/>
        <v>56</v>
      </c>
      <c r="C129" s="32">
        <f t="shared" si="48"/>
        <v>4</v>
      </c>
      <c r="D129" s="32">
        <f t="shared" si="49"/>
        <v>39</v>
      </c>
      <c r="E129" s="74">
        <f>MIN(IF(AV129=0,0,
IF(Investment_Strategy="DIS",VLOOKUP(Investment_Strategy&amp;"_"&amp;Investment_Strategy_Sub1&amp;"_"&amp;$A129,'Investment Strategies'!$AZ:$BP,12,FALSE),
IF(AND(Investment_Strategy="Lifecycle",Investment_Strategy_Sub1="Non-Standard"),VLOOKUP(Investment_Strategy&amp;"_"&amp;Investment_Strategy_Sub2&amp;"_"&amp;$A129,'Investment Strategies'!$C:$P,9,FALSE),
IF(AND(Investment_Strategy="Lifecycle",Investment_Strategy_Sub1="Standard"),VLOOKUP(Investment_Strategy&amp;"_"&amp;Investment_Strategy_Sub2&amp;"_"&amp;$A129,'Investment Strategies'!$AJ:$AV,8,FALSE),
IF(AND(Investment_Strategy="Autopilot",Investment_Strategy_Sub1="Non-Standard"),VLOOKUP(Investment_Strategy&amp;"_"&amp;Investment_Strategy_Sub2&amp;"_"&amp;$A129,'Investment Strategies'!$T:$AF,8,FALSE),
IF(Investment_Strategy ="DIY",DIY_RateOfReturn_CurrentFunds,
"Error")))))),Max_InvReturn)</f>
        <v>4.1816398110932074E-3</v>
      </c>
      <c r="F129" s="62">
        <f>IF(AV129=0,0,
IF(Investment_Strategy="DIS",VLOOKUP(Investment_Strategy&amp;"_"&amp;Investment_Strategy_Sub1&amp;"_"&amp;$A129,'Investment Strategies'!$AZ:$BP,15,FALSE),
IF(AND(Investment_Strategy="Lifecycle",Investment_Strategy_Sub1="Non-Standard"),VLOOKUP(Investment_Strategy&amp;"_"&amp;Investment_Strategy_Sub2&amp;"_"&amp;$A129,'Investment Strategies'!$C:$P,12,FALSE),
IF(AND(Investment_Strategy="Lifecycle",Investment_Strategy_Sub1="Standard"),VLOOKUP(Investment_Strategy&amp;"_"&amp;Investment_Strategy_Sub2&amp;"_"&amp;$A129,'Investment Strategies'!$AJ:$AV,11,FALSE),
IF(AND(Investment_Strategy="Autopilot",Investment_Strategy_Sub1="Non-Standard"),VLOOKUP(Investment_Strategy&amp;"_"&amp;Investment_Strategy_Sub2&amp;"_"&amp;$A129,'Investment Strategies'!$T:$AF,11,FALSE),
IF(Investment_Strategy="DIY",DIY_GteeChrge_CurrentFunds,
"Error"))))))</f>
        <v>5.4328711526985263E-4</v>
      </c>
      <c r="G129" s="33">
        <f>IF(AV129=0,0,
IF(Investment_Strategy="DIS",VLOOKUP(Investment_Strategy&amp;"_"&amp;Investment_Strategy_Sub1&amp;"_"&amp;$A129,'Investment Strategies'!$AZ:$BP,17,FALSE),
IF(AND(Investment_Strategy="Lifecycle",Investment_Strategy_Sub1="Non-Standard"),VLOOKUP(Investment_Strategy&amp;"_"&amp;Investment_Strategy_Sub2&amp;"_"&amp;$A129,'Investment Strategies'!$C:$P,14,FALSE),
IF(AND(Investment_Strategy="Lifecycle",Investment_Strategy_Sub1="Standard"),VLOOKUP(Investment_Strategy&amp;"_"&amp;Investment_Strategy_Sub2&amp;"_"&amp;$A129,'Investment Strategies'!$AJ:$AV,13,FALSE),
IF(AND(Investment_Strategy="Autopilot",Investment_Strategy_Sub1="Non-Standard"),VLOOKUP(Investment_Strategy&amp;"_"&amp;Investment_Strategy_Sub2&amp;"_"&amp;$A129,'Investment Strategies'!$T:$AF,13,FALSE),
IF(Investment_Strategy="DIY",DIY_ExtManChrge_CurrentFunds,
"Error"))))))</f>
        <v>2.0857243058891584E-4</v>
      </c>
      <c r="H129" s="16">
        <f t="shared" si="30"/>
        <v>0</v>
      </c>
      <c r="I129" s="16">
        <f t="shared" si="13"/>
        <v>0</v>
      </c>
      <c r="J129" s="16">
        <f t="shared" si="14"/>
        <v>0</v>
      </c>
      <c r="K129" s="16">
        <f>(Opening_Fund_Value+SUM(K$91:K128))*E129*IF(D129=$A$91,SRP_finalmonthfactor,1)</f>
        <v>0</v>
      </c>
      <c r="L129" s="74">
        <f>MIN(IF($AV129=0,0,
IF(Investment_Strategy="DIS",VLOOKUP(Investment_Strategy&amp;"_"&amp;Investment_Strategy_Sub1&amp;"_"&amp;$A129,'Investment Strategies'!$AZ:$BP,12,FALSE),
IF(AND(Investment_Strategy="Lifecycle",Investment_Strategy_Sub1="Non-Standard"),VLOOKUP(Investment_Strategy&amp;"_"&amp;Investment_Strategy_Sub2&amp;"_"&amp;$A129,'Investment Strategies'!$C:$P,9,FALSE),
IF(AND(Investment_Strategy="Lifecycle",Investment_Strategy_Sub1="Standard"),VLOOKUP(Investment_Strategy&amp;"_"&amp;Investment_Strategy_Sub2&amp;"_"&amp;$A129,'Investment Strategies'!$AJ:$AV,8,FALSE),
IF(AND(Investment_Strategy="Autopilot",Investment_Strategy_Sub1="Non-Standard"),VLOOKUP(Investment_Strategy&amp;"_"&amp;Investment_Strategy_Sub2&amp;"_"&amp;$A129,'Investment Strategies'!$T:$AF,8,FALSE),
IF(Investment_Strategy ="DIY",DIY_RateofReturn_SP,
"Error")))))),Max_InvReturn)</f>
        <v>4.1816398110932074E-3</v>
      </c>
      <c r="M129" s="62">
        <f>IF($AV129=0,0,
IF(Investment_Strategy="DIS",VLOOKUP(Investment_Strategy&amp;"_"&amp;Investment_Strategy_Sub1&amp;"_"&amp;$A129,'Investment Strategies'!$AZ:$BP,15,FALSE),
IF(AND(Investment_Strategy="Lifecycle",Investment_Strategy_Sub1="Non-Standard"),VLOOKUP(Investment_Strategy&amp;"_"&amp;Investment_Strategy_Sub2&amp;"_"&amp;$A129,'Investment Strategies'!$C:$P,12,FALSE),
IF(AND(Investment_Strategy="Lifecycle",Investment_Strategy_Sub1="Standard"),VLOOKUP(Investment_Strategy&amp;"_"&amp;Investment_Strategy_Sub2&amp;"_"&amp;$A129,'Investment Strategies'!$AJ:$AV,11,FALSE),
IF(AND(Investment_Strategy="Autopilot",Investment_Strategy_Sub1="Non-Standard"),VLOOKUP(Investment_Strategy&amp;"_"&amp;Investment_Strategy_Sub2&amp;"_"&amp;$A129,'Investment Strategies'!$T:$AF,11,FALSE),
IF(Investment_Strategy="DIY",DIY_GteeChrge_SP,
"Error"))))))</f>
        <v>0</v>
      </c>
      <c r="N129" s="33">
        <f>IF($AV129=0,0,
IF(Investment_Strategy="DIS",VLOOKUP(Investment_Strategy&amp;"_"&amp;Investment_Strategy_Sub1&amp;"_"&amp;$A129,'Investment Strategies'!$AZ:$BP,17,FALSE),
IF(AND(Investment_Strategy="Lifecycle",Investment_Strategy_Sub1="Non-Standard"),VLOOKUP(Investment_Strategy&amp;"_"&amp;Investment_Strategy_Sub2&amp;"_"&amp;$A129,'Investment Strategies'!$C:$P,14,FALSE),
IF(AND(Investment_Strategy="Lifecycle",Investment_Strategy_Sub1="Standard"),VLOOKUP(Investment_Strategy&amp;"_"&amp;Investment_Strategy_Sub2&amp;"_"&amp;$A129,'Investment Strategies'!$AJ:$AV,13,FALSE),
IF(AND(Investment_Strategy="Autopilot",Investment_Strategy_Sub1="Non-Standard"),VLOOKUP(Investment_Strategy&amp;"_"&amp;Investment_Strategy_Sub2&amp;"_"&amp;$A129,'Investment Strategies'!$T:$AF,13,FALSE),
IF(Investment_Strategy="DIY",DIY_ExtManChrge_SP,
"Error"))))))</f>
        <v>2.0857243058891584E-4</v>
      </c>
      <c r="O129" s="16">
        <f t="shared" si="50"/>
        <v>790895.55590366421</v>
      </c>
      <c r="Q129" s="16">
        <f t="shared" si="15"/>
        <v>3307.2403429834558</v>
      </c>
      <c r="R129" s="16">
        <f t="shared" si="16"/>
        <v>-762.18193097183291</v>
      </c>
      <c r="S129" s="16">
        <f>(SRP_SP+SUM(S$91:S128))*L129*IF(D129=$A$91,SRP_finalmonthfactor,1)</f>
        <v>3430.1346774701647</v>
      </c>
      <c r="T129" s="74">
        <f>MIN(IF($AV129=0,0,
IF(Investment_Strategy="DIS",VLOOKUP(Investment_Strategy&amp;"_"&amp;Investment_Strategy_Sub1&amp;"_"&amp;$A129,'Investment Strategies'!$AZ:$BP,12,FALSE),
IF(AND(Investment_Strategy="Lifecycle",Investment_Strategy_Sub1="Non-Standard"),VLOOKUP(Investment_Strategy&amp;"_"&amp;Investment_Strategy_Sub2&amp;"_"&amp;$A129,'Investment Strategies'!$C:$P,9,FALSE),
IF(AND(Investment_Strategy="Lifecycle",Investment_Strategy_Sub1="Standard"),VLOOKUP(Investment_Strategy&amp;"_"&amp;Investment_Strategy_Sub2&amp;"_"&amp;$A129,'Investment Strategies'!$AJ:$AV,8,FALSE),
IF(AND(Investment_Strategy="Autopilot",Investment_Strategy_Sub1="Non-Standard"),VLOOKUP(Investment_Strategy&amp;"_"&amp;Investment_Strategy_Sub2&amp;"_"&amp;$A129,'Investment Strategies'!$T:$AF,8,FALSE),
IF(Investment_Strategy ="DIY",DIY_RateOfReturn_FuturePremiums,
"Error")))))),Max_InvReturn)</f>
        <v>4.1816398110932074E-3</v>
      </c>
      <c r="U129" s="62">
        <f>IF($AV129=0,0,
IF(Investment_Strategy="DIS",VLOOKUP(Investment_Strategy&amp;"_"&amp;Investment_Strategy_Sub1&amp;"_"&amp;$A129,'Investment Strategies'!$AZ:$BP,15,FALSE),
IF(AND(Investment_Strategy="Lifecycle",Investment_Strategy_Sub1="Non-Standard"),VLOOKUP(Investment_Strategy&amp;"_"&amp;Investment_Strategy_Sub2&amp;"_"&amp;$A129,'Investment Strategies'!$C:$P,12,FALSE),
IF(AND(Investment_Strategy="Lifecycle",Investment_Strategy_Sub1="Standard"),VLOOKUP(Investment_Strategy&amp;"_"&amp;Investment_Strategy_Sub2&amp;"_"&amp;$A129,'Investment Strategies'!$AJ:$AV,11,FALSE),
IF(AND(Investment_Strategy="Autopilot",Investment_Strategy_Sub1="Non-Standard"),VLOOKUP(Investment_Strategy&amp;"_"&amp;Investment_Strategy_Sub2&amp;"_"&amp;$A129,'Investment Strategies'!$T:$AF,11,FALSE),
IF(Investment_Strategy="DIY",DIY_GteeChrge_FuturePremiums,
"Error"))))))</f>
        <v>0</v>
      </c>
      <c r="V129" s="33">
        <f>IF(AV129=0,0,
IF(Investment_Strategy="DIS",VLOOKUP(Investment_Strategy&amp;"_"&amp;Investment_Strategy_Sub1&amp;"_"&amp;$A129,'Investment Strategies'!$AZ:$BP,17,FALSE),
IF(AND(Investment_Strategy="Lifecycle",Investment_Strategy_Sub1="Non-Standard"),VLOOKUP(Investment_Strategy&amp;"_"&amp;Investment_Strategy_Sub2&amp;"_"&amp;$A129,'Investment Strategies'!$C:$P,14,FALSE),
IF(AND(Investment_Strategy="Lifecycle",Investment_Strategy_Sub1="Standard"),VLOOKUP(Investment_Strategy&amp;"_"&amp;Investment_Strategy_Sub2&amp;"_"&amp;$A129,'Investment Strategies'!$AJ:$AV,13,FALSE),
IF(AND(Investment_Strategy="Autopilot",Investment_Strategy_Sub1="Non-Standard"),VLOOKUP(Investment_Strategy&amp;"_"&amp;Investment_Strategy_Sub2&amp;"_"&amp;$A129,'Investment Strategies'!$T:$AF,13,FALSE),
IF(Investment_Strategy="DIY",DIY_ExtManChrge_FuturePremiums,
"Error"))))))</f>
        <v>1.2508601994698498E-4</v>
      </c>
      <c r="W129" s="16">
        <f t="shared" si="51"/>
        <v>0</v>
      </c>
      <c r="X129" s="16">
        <f t="shared" si="17"/>
        <v>0</v>
      </c>
      <c r="Y129" s="16">
        <f t="shared" si="18"/>
        <v>0</v>
      </c>
      <c r="Z129" s="31">
        <f t="shared" si="19"/>
        <v>0.02</v>
      </c>
      <c r="AA129" s="16">
        <f t="shared" si="20"/>
        <v>0</v>
      </c>
      <c r="AB129" s="28">
        <f t="shared" si="53"/>
        <v>820284.58509759244</v>
      </c>
      <c r="AC129" s="28">
        <f>(SUM($AC$91:AC128)+SUM($X$91:X128)+X129)*T129*IF(D129=$A$91,SRP_finalmonthfactor,1)</f>
        <v>0</v>
      </c>
      <c r="AD129" s="16">
        <f t="shared" si="21"/>
        <v>-165.30390801523791</v>
      </c>
      <c r="AE129" s="106"/>
      <c r="AF129" s="16">
        <f t="shared" si="52"/>
        <v>790895.55590366421</v>
      </c>
      <c r="AG129" s="16">
        <f t="shared" si="31"/>
        <v>3430.1346774701647</v>
      </c>
      <c r="AH129" s="16">
        <f t="shared" si="32"/>
        <v>-762.18193097183291</v>
      </c>
      <c r="AJ129" s="13">
        <f t="shared" si="64"/>
        <v>0</v>
      </c>
      <c r="AK129" s="13">
        <f t="shared" si="64"/>
        <v>0</v>
      </c>
      <c r="AL129" s="13">
        <f t="shared" si="64"/>
        <v>0</v>
      </c>
      <c r="AM129" s="13">
        <f t="shared" si="64"/>
        <v>1</v>
      </c>
      <c r="AN129" s="13">
        <f t="shared" si="64"/>
        <v>1</v>
      </c>
      <c r="AO129" s="13">
        <f t="shared" si="64"/>
        <v>1</v>
      </c>
      <c r="AP129" s="13">
        <f t="shared" si="64"/>
        <v>1</v>
      </c>
      <c r="AQ129" s="13">
        <f t="shared" si="64"/>
        <v>1</v>
      </c>
      <c r="AR129" s="13">
        <f t="shared" si="64"/>
        <v>1</v>
      </c>
      <c r="AS129" s="13">
        <f t="shared" si="64"/>
        <v>1</v>
      </c>
      <c r="AT129" s="13">
        <f t="shared" si="64"/>
        <v>1</v>
      </c>
      <c r="AU129" s="13">
        <f t="shared" si="64"/>
        <v>1</v>
      </c>
      <c r="AV129" s="13">
        <f t="shared" si="23"/>
        <v>1</v>
      </c>
      <c r="AW129" s="13">
        <f t="shared" si="33"/>
        <v>1</v>
      </c>
      <c r="AY129" s="17">
        <f t="shared" si="24"/>
        <v>39</v>
      </c>
      <c r="AZ129" s="28">
        <f t="shared" si="34"/>
        <v>0</v>
      </c>
      <c r="BA129" s="13">
        <f t="shared" si="25"/>
        <v>0</v>
      </c>
      <c r="BB129" s="13">
        <f t="shared" si="26"/>
        <v>0</v>
      </c>
      <c r="BC129" s="28">
        <f t="shared" si="35"/>
        <v>0</v>
      </c>
      <c r="BD129" s="28">
        <f t="shared" si="36"/>
        <v>0</v>
      </c>
      <c r="BF129" s="248">
        <f t="shared" si="37"/>
        <v>823714.71977506264</v>
      </c>
      <c r="BG129" s="36">
        <f t="shared" si="54"/>
        <v>0</v>
      </c>
      <c r="BH129" s="36">
        <f t="shared" si="55"/>
        <v>790895.55590366421</v>
      </c>
      <c r="BI129" s="249">
        <f t="shared" si="56"/>
        <v>4.1816398110932074E-3</v>
      </c>
      <c r="BJ129" s="246">
        <f t="shared" si="57"/>
        <v>2.0857243058891584E-4</v>
      </c>
      <c r="BK129" s="246">
        <f t="shared" si="27"/>
        <v>7.531116566323881E-4</v>
      </c>
      <c r="BL129" s="246">
        <f t="shared" si="58"/>
        <v>0</v>
      </c>
      <c r="BM129" s="246">
        <f t="shared" si="59"/>
        <v>9.6168408722130394E-4</v>
      </c>
      <c r="BN129" s="36">
        <f t="shared" si="44"/>
        <v>762.1819309718328</v>
      </c>
      <c r="BO129" s="36">
        <f t="shared" si="60"/>
        <v>3307.2403429834558</v>
      </c>
      <c r="BP129" s="36">
        <f t="shared" si="61"/>
        <v>793440.61431567592</v>
      </c>
    </row>
    <row r="130" spans="1:68">
      <c r="A130" s="32">
        <f t="shared" si="47"/>
        <v>45</v>
      </c>
      <c r="B130" s="32">
        <f t="shared" si="28"/>
        <v>56</v>
      </c>
      <c r="C130" s="32">
        <f t="shared" si="48"/>
        <v>4</v>
      </c>
      <c r="D130" s="32">
        <f t="shared" si="49"/>
        <v>40</v>
      </c>
      <c r="E130" s="74">
        <f>MIN(IF(AV130=0,0,
IF(Investment_Strategy="DIS",VLOOKUP(Investment_Strategy&amp;"_"&amp;Investment_Strategy_Sub1&amp;"_"&amp;$A130,'Investment Strategies'!$AZ:$BP,12,FALSE),
IF(AND(Investment_Strategy="Lifecycle",Investment_Strategy_Sub1="Non-Standard"),VLOOKUP(Investment_Strategy&amp;"_"&amp;Investment_Strategy_Sub2&amp;"_"&amp;$A130,'Investment Strategies'!$C:$P,9,FALSE),
IF(AND(Investment_Strategy="Lifecycle",Investment_Strategy_Sub1="Standard"),VLOOKUP(Investment_Strategy&amp;"_"&amp;Investment_Strategy_Sub2&amp;"_"&amp;$A130,'Investment Strategies'!$AJ:$AV,8,FALSE),
IF(AND(Investment_Strategy="Autopilot",Investment_Strategy_Sub1="Non-Standard"),VLOOKUP(Investment_Strategy&amp;"_"&amp;Investment_Strategy_Sub2&amp;"_"&amp;$A130,'Investment Strategies'!$T:$AF,8,FALSE),
IF(Investment_Strategy ="DIY",DIY_RateOfReturn_CurrentFunds,
"Error")))))),Max_InvReturn)</f>
        <v>4.1816398110932074E-3</v>
      </c>
      <c r="F130" s="62">
        <f>IF(AV130=0,0,
IF(Investment_Strategy="DIS",VLOOKUP(Investment_Strategy&amp;"_"&amp;Investment_Strategy_Sub1&amp;"_"&amp;$A130,'Investment Strategies'!$AZ:$BP,15,FALSE),
IF(AND(Investment_Strategy="Lifecycle",Investment_Strategy_Sub1="Non-Standard"),VLOOKUP(Investment_Strategy&amp;"_"&amp;Investment_Strategy_Sub2&amp;"_"&amp;$A130,'Investment Strategies'!$C:$P,12,FALSE),
IF(AND(Investment_Strategy="Lifecycle",Investment_Strategy_Sub1="Standard"),VLOOKUP(Investment_Strategy&amp;"_"&amp;Investment_Strategy_Sub2&amp;"_"&amp;$A130,'Investment Strategies'!$AJ:$AV,11,FALSE),
IF(AND(Investment_Strategy="Autopilot",Investment_Strategy_Sub1="Non-Standard"),VLOOKUP(Investment_Strategy&amp;"_"&amp;Investment_Strategy_Sub2&amp;"_"&amp;$A130,'Investment Strategies'!$T:$AF,11,FALSE),
IF(Investment_Strategy="DIY",DIY_GteeChrge_CurrentFunds,
"Error"))))))</f>
        <v>5.4328711526985263E-4</v>
      </c>
      <c r="G130" s="33">
        <f>IF(AV130=0,0,
IF(Investment_Strategy="DIS",VLOOKUP(Investment_Strategy&amp;"_"&amp;Investment_Strategy_Sub1&amp;"_"&amp;$A130,'Investment Strategies'!$AZ:$BP,17,FALSE),
IF(AND(Investment_Strategy="Lifecycle",Investment_Strategy_Sub1="Non-Standard"),VLOOKUP(Investment_Strategy&amp;"_"&amp;Investment_Strategy_Sub2&amp;"_"&amp;$A130,'Investment Strategies'!$C:$P,14,FALSE),
IF(AND(Investment_Strategy="Lifecycle",Investment_Strategy_Sub1="Standard"),VLOOKUP(Investment_Strategy&amp;"_"&amp;Investment_Strategy_Sub2&amp;"_"&amp;$A130,'Investment Strategies'!$AJ:$AV,13,FALSE),
IF(AND(Investment_Strategy="Autopilot",Investment_Strategy_Sub1="Non-Standard"),VLOOKUP(Investment_Strategy&amp;"_"&amp;Investment_Strategy_Sub2&amp;"_"&amp;$A130,'Investment Strategies'!$T:$AF,13,FALSE),
IF(Investment_Strategy="DIY",DIY_ExtManChrge_CurrentFunds,
"Error"))))))</f>
        <v>2.0857243058891584E-4</v>
      </c>
      <c r="H130" s="16">
        <f t="shared" si="30"/>
        <v>0</v>
      </c>
      <c r="I130" s="16">
        <f t="shared" si="13"/>
        <v>0</v>
      </c>
      <c r="J130" s="16">
        <f t="shared" si="14"/>
        <v>0</v>
      </c>
      <c r="K130" s="16">
        <f>(Opening_Fund_Value+SUM(K$91:K129))*E130*IF(D130=$A$91,SRP_finalmonthfactor,1)</f>
        <v>0</v>
      </c>
      <c r="L130" s="74">
        <f>MIN(IF($AV130=0,0,
IF(Investment_Strategy="DIS",VLOOKUP(Investment_Strategy&amp;"_"&amp;Investment_Strategy_Sub1&amp;"_"&amp;$A130,'Investment Strategies'!$AZ:$BP,12,FALSE),
IF(AND(Investment_Strategy="Lifecycle",Investment_Strategy_Sub1="Non-Standard"),VLOOKUP(Investment_Strategy&amp;"_"&amp;Investment_Strategy_Sub2&amp;"_"&amp;$A130,'Investment Strategies'!$C:$P,9,FALSE),
IF(AND(Investment_Strategy="Lifecycle",Investment_Strategy_Sub1="Standard"),VLOOKUP(Investment_Strategy&amp;"_"&amp;Investment_Strategy_Sub2&amp;"_"&amp;$A130,'Investment Strategies'!$AJ:$AV,8,FALSE),
IF(AND(Investment_Strategy="Autopilot",Investment_Strategy_Sub1="Non-Standard"),VLOOKUP(Investment_Strategy&amp;"_"&amp;Investment_Strategy_Sub2&amp;"_"&amp;$A130,'Investment Strategies'!$T:$AF,8,FALSE),
IF(Investment_Strategy ="DIY",DIY_RateofReturn_SP,
"Error")))))),Max_InvReturn)</f>
        <v>4.1816398110932074E-3</v>
      </c>
      <c r="M130" s="62">
        <f>IF($AV130=0,0,
IF(Investment_Strategy="DIS",VLOOKUP(Investment_Strategy&amp;"_"&amp;Investment_Strategy_Sub1&amp;"_"&amp;$A130,'Investment Strategies'!$AZ:$BP,15,FALSE),
IF(AND(Investment_Strategy="Lifecycle",Investment_Strategy_Sub1="Non-Standard"),VLOOKUP(Investment_Strategy&amp;"_"&amp;Investment_Strategy_Sub2&amp;"_"&amp;$A130,'Investment Strategies'!$C:$P,12,FALSE),
IF(AND(Investment_Strategy="Lifecycle",Investment_Strategy_Sub1="Standard"),VLOOKUP(Investment_Strategy&amp;"_"&amp;Investment_Strategy_Sub2&amp;"_"&amp;$A130,'Investment Strategies'!$AJ:$AV,11,FALSE),
IF(AND(Investment_Strategy="Autopilot",Investment_Strategy_Sub1="Non-Standard"),VLOOKUP(Investment_Strategy&amp;"_"&amp;Investment_Strategy_Sub2&amp;"_"&amp;$A130,'Investment Strategies'!$T:$AF,11,FALSE),
IF(Investment_Strategy="DIY",DIY_GteeChrge_SP,
"Error"))))))</f>
        <v>0</v>
      </c>
      <c r="N130" s="33">
        <f>IF($AV130=0,0,
IF(Investment_Strategy="DIS",VLOOKUP(Investment_Strategy&amp;"_"&amp;Investment_Strategy_Sub1&amp;"_"&amp;$A130,'Investment Strategies'!$AZ:$BP,17,FALSE),
IF(AND(Investment_Strategy="Lifecycle",Investment_Strategy_Sub1="Non-Standard"),VLOOKUP(Investment_Strategy&amp;"_"&amp;Investment_Strategy_Sub2&amp;"_"&amp;$A130,'Investment Strategies'!$C:$P,14,FALSE),
IF(AND(Investment_Strategy="Lifecycle",Investment_Strategy_Sub1="Standard"),VLOOKUP(Investment_Strategy&amp;"_"&amp;Investment_Strategy_Sub2&amp;"_"&amp;$A130,'Investment Strategies'!$AJ:$AV,13,FALSE),
IF(AND(Investment_Strategy="Autopilot",Investment_Strategy_Sub1="Non-Standard"),VLOOKUP(Investment_Strategy&amp;"_"&amp;Investment_Strategy_Sub2&amp;"_"&amp;$A130,'Investment Strategies'!$T:$AF,13,FALSE),
IF(Investment_Strategy="DIY",DIY_ExtManChrge_SP,
"Error"))))))</f>
        <v>2.0857243058891584E-4</v>
      </c>
      <c r="O130" s="16">
        <f t="shared" si="50"/>
        <v>793440.61431567592</v>
      </c>
      <c r="Q130" s="16">
        <f t="shared" si="15"/>
        <v>3317.8828605606814</v>
      </c>
      <c r="R130" s="16">
        <f t="shared" si="16"/>
        <v>-764.63459051761424</v>
      </c>
      <c r="S130" s="16">
        <f>(SRP_SP+SUM(S$91:S129))*L130*IF(D130=$A$91,SRP_finalmonthfactor,1)</f>
        <v>3444.4782651948849</v>
      </c>
      <c r="T130" s="74">
        <f>MIN(IF($AV130=0,0,
IF(Investment_Strategy="DIS",VLOOKUP(Investment_Strategy&amp;"_"&amp;Investment_Strategy_Sub1&amp;"_"&amp;$A130,'Investment Strategies'!$AZ:$BP,12,FALSE),
IF(AND(Investment_Strategy="Lifecycle",Investment_Strategy_Sub1="Non-Standard"),VLOOKUP(Investment_Strategy&amp;"_"&amp;Investment_Strategy_Sub2&amp;"_"&amp;$A130,'Investment Strategies'!$C:$P,9,FALSE),
IF(AND(Investment_Strategy="Lifecycle",Investment_Strategy_Sub1="Standard"),VLOOKUP(Investment_Strategy&amp;"_"&amp;Investment_Strategy_Sub2&amp;"_"&amp;$A130,'Investment Strategies'!$AJ:$AV,8,FALSE),
IF(AND(Investment_Strategy="Autopilot",Investment_Strategy_Sub1="Non-Standard"),VLOOKUP(Investment_Strategy&amp;"_"&amp;Investment_Strategy_Sub2&amp;"_"&amp;$A130,'Investment Strategies'!$T:$AF,8,FALSE),
IF(Investment_Strategy ="DIY",DIY_RateOfReturn_FuturePremiums,
"Error")))))),Max_InvReturn)</f>
        <v>4.1816398110932074E-3</v>
      </c>
      <c r="U130" s="62">
        <f>IF($AV130=0,0,
IF(Investment_Strategy="DIS",VLOOKUP(Investment_Strategy&amp;"_"&amp;Investment_Strategy_Sub1&amp;"_"&amp;$A130,'Investment Strategies'!$AZ:$BP,15,FALSE),
IF(AND(Investment_Strategy="Lifecycle",Investment_Strategy_Sub1="Non-Standard"),VLOOKUP(Investment_Strategy&amp;"_"&amp;Investment_Strategy_Sub2&amp;"_"&amp;$A130,'Investment Strategies'!$C:$P,12,FALSE),
IF(AND(Investment_Strategy="Lifecycle",Investment_Strategy_Sub1="Standard"),VLOOKUP(Investment_Strategy&amp;"_"&amp;Investment_Strategy_Sub2&amp;"_"&amp;$A130,'Investment Strategies'!$AJ:$AV,11,FALSE),
IF(AND(Investment_Strategy="Autopilot",Investment_Strategy_Sub1="Non-Standard"),VLOOKUP(Investment_Strategy&amp;"_"&amp;Investment_Strategy_Sub2&amp;"_"&amp;$A130,'Investment Strategies'!$T:$AF,11,FALSE),
IF(Investment_Strategy="DIY",DIY_GteeChrge_FuturePremiums,
"Error"))))))</f>
        <v>0</v>
      </c>
      <c r="V130" s="33">
        <f>IF(AV130=0,0,
IF(Investment_Strategy="DIS",VLOOKUP(Investment_Strategy&amp;"_"&amp;Investment_Strategy_Sub1&amp;"_"&amp;$A130,'Investment Strategies'!$AZ:$BP,17,FALSE),
IF(AND(Investment_Strategy="Lifecycle",Investment_Strategy_Sub1="Non-Standard"),VLOOKUP(Investment_Strategy&amp;"_"&amp;Investment_Strategy_Sub2&amp;"_"&amp;$A130,'Investment Strategies'!$C:$P,14,FALSE),
IF(AND(Investment_Strategy="Lifecycle",Investment_Strategy_Sub1="Standard"),VLOOKUP(Investment_Strategy&amp;"_"&amp;Investment_Strategy_Sub2&amp;"_"&amp;$A130,'Investment Strategies'!$AJ:$AV,13,FALSE),
IF(AND(Investment_Strategy="Autopilot",Investment_Strategy_Sub1="Non-Standard"),VLOOKUP(Investment_Strategy&amp;"_"&amp;Investment_Strategy_Sub2&amp;"_"&amp;$A130,'Investment Strategies'!$T:$AF,13,FALSE),
IF(Investment_Strategy="DIY",DIY_ExtManChrge_FuturePremiums,
"Error"))))))</f>
        <v>1.2508601994698498E-4</v>
      </c>
      <c r="W130" s="16">
        <f t="shared" si="51"/>
        <v>0</v>
      </c>
      <c r="X130" s="16">
        <f t="shared" si="17"/>
        <v>0</v>
      </c>
      <c r="Y130" s="16">
        <f t="shared" si="18"/>
        <v>0</v>
      </c>
      <c r="Z130" s="31">
        <f t="shared" si="19"/>
        <v>0.02</v>
      </c>
      <c r="AA130" s="16">
        <f t="shared" si="20"/>
        <v>0</v>
      </c>
      <c r="AB130" s="28">
        <f t="shared" si="53"/>
        <v>823714.71977506264</v>
      </c>
      <c r="AC130" s="28">
        <f>(SUM($AC$91:AC129)+SUM($X$91:X129)+X130)*T130*IF(D130=$A$91,SRP_finalmonthfactor,1)</f>
        <v>0</v>
      </c>
      <c r="AD130" s="16">
        <f t="shared" si="21"/>
        <v>-165.83584690210128</v>
      </c>
      <c r="AE130" s="106"/>
      <c r="AF130" s="16">
        <f t="shared" si="52"/>
        <v>793440.61431567592</v>
      </c>
      <c r="AG130" s="16">
        <f t="shared" si="31"/>
        <v>3444.4782651948849</v>
      </c>
      <c r="AH130" s="16">
        <f t="shared" si="32"/>
        <v>-764.63459051761424</v>
      </c>
      <c r="AJ130" s="13">
        <f t="shared" si="64"/>
        <v>0</v>
      </c>
      <c r="AK130" s="13">
        <f t="shared" si="64"/>
        <v>0</v>
      </c>
      <c r="AL130" s="13">
        <f t="shared" si="64"/>
        <v>0</v>
      </c>
      <c r="AM130" s="13">
        <f t="shared" si="64"/>
        <v>1</v>
      </c>
      <c r="AN130" s="13">
        <f t="shared" si="64"/>
        <v>1</v>
      </c>
      <c r="AO130" s="13">
        <f t="shared" si="64"/>
        <v>1</v>
      </c>
      <c r="AP130" s="13">
        <f t="shared" si="64"/>
        <v>1</v>
      </c>
      <c r="AQ130" s="13">
        <f t="shared" si="64"/>
        <v>1</v>
      </c>
      <c r="AR130" s="13">
        <f t="shared" si="64"/>
        <v>1</v>
      </c>
      <c r="AS130" s="13">
        <f t="shared" si="64"/>
        <v>1</v>
      </c>
      <c r="AT130" s="13">
        <f t="shared" si="64"/>
        <v>1</v>
      </c>
      <c r="AU130" s="13">
        <f t="shared" si="64"/>
        <v>1</v>
      </c>
      <c r="AV130" s="13">
        <f t="shared" si="23"/>
        <v>1</v>
      </c>
      <c r="AW130" s="13">
        <f t="shared" si="33"/>
        <v>1</v>
      </c>
      <c r="AY130" s="17">
        <f t="shared" si="24"/>
        <v>40</v>
      </c>
      <c r="AZ130" s="28">
        <f t="shared" si="34"/>
        <v>0</v>
      </c>
      <c r="BA130" s="13">
        <f t="shared" si="25"/>
        <v>0</v>
      </c>
      <c r="BB130" s="13">
        <f t="shared" si="26"/>
        <v>0</v>
      </c>
      <c r="BC130" s="28">
        <f t="shared" si="35"/>
        <v>0</v>
      </c>
      <c r="BD130" s="28">
        <f t="shared" si="36"/>
        <v>0</v>
      </c>
      <c r="BF130" s="248">
        <f t="shared" si="37"/>
        <v>827159.19804025756</v>
      </c>
      <c r="BG130" s="36">
        <f t="shared" si="54"/>
        <v>0</v>
      </c>
      <c r="BH130" s="36">
        <f t="shared" si="55"/>
        <v>793440.61431567592</v>
      </c>
      <c r="BI130" s="249">
        <f t="shared" si="56"/>
        <v>4.1816398110932074E-3</v>
      </c>
      <c r="BJ130" s="246">
        <f t="shared" si="57"/>
        <v>2.0857243058891584E-4</v>
      </c>
      <c r="BK130" s="246">
        <f t="shared" si="27"/>
        <v>7.531116566323881E-4</v>
      </c>
      <c r="BL130" s="246">
        <f t="shared" si="58"/>
        <v>0</v>
      </c>
      <c r="BM130" s="246">
        <f t="shared" si="59"/>
        <v>9.6168408722130394E-4</v>
      </c>
      <c r="BN130" s="36">
        <f t="shared" si="44"/>
        <v>764.63459051761413</v>
      </c>
      <c r="BO130" s="36">
        <f t="shared" si="60"/>
        <v>3317.8828605606814</v>
      </c>
      <c r="BP130" s="36">
        <f t="shared" si="61"/>
        <v>795993.86258571898</v>
      </c>
    </row>
    <row r="131" spans="1:68">
      <c r="A131" s="32">
        <f t="shared" si="47"/>
        <v>44</v>
      </c>
      <c r="B131" s="32">
        <f t="shared" si="28"/>
        <v>56</v>
      </c>
      <c r="C131" s="32">
        <f t="shared" si="48"/>
        <v>4</v>
      </c>
      <c r="D131" s="32">
        <f t="shared" si="49"/>
        <v>41</v>
      </c>
      <c r="E131" s="74">
        <f>MIN(IF(AV131=0,0,
IF(Investment_Strategy="DIS",VLOOKUP(Investment_Strategy&amp;"_"&amp;Investment_Strategy_Sub1&amp;"_"&amp;$A131,'Investment Strategies'!$AZ:$BP,12,FALSE),
IF(AND(Investment_Strategy="Lifecycle",Investment_Strategy_Sub1="Non-Standard"),VLOOKUP(Investment_Strategy&amp;"_"&amp;Investment_Strategy_Sub2&amp;"_"&amp;$A131,'Investment Strategies'!$C:$P,9,FALSE),
IF(AND(Investment_Strategy="Lifecycle",Investment_Strategy_Sub1="Standard"),VLOOKUP(Investment_Strategy&amp;"_"&amp;Investment_Strategy_Sub2&amp;"_"&amp;$A131,'Investment Strategies'!$AJ:$AV,8,FALSE),
IF(AND(Investment_Strategy="Autopilot",Investment_Strategy_Sub1="Non-Standard"),VLOOKUP(Investment_Strategy&amp;"_"&amp;Investment_Strategy_Sub2&amp;"_"&amp;$A131,'Investment Strategies'!$T:$AF,8,FALSE),
IF(Investment_Strategy ="DIY",DIY_RateOfReturn_CurrentFunds,
"Error")))))),Max_InvReturn)</f>
        <v>4.1816398110932074E-3</v>
      </c>
      <c r="F131" s="62">
        <f>IF(AV131=0,0,
IF(Investment_Strategy="DIS",VLOOKUP(Investment_Strategy&amp;"_"&amp;Investment_Strategy_Sub1&amp;"_"&amp;$A131,'Investment Strategies'!$AZ:$BP,15,FALSE),
IF(AND(Investment_Strategy="Lifecycle",Investment_Strategy_Sub1="Non-Standard"),VLOOKUP(Investment_Strategy&amp;"_"&amp;Investment_Strategy_Sub2&amp;"_"&amp;$A131,'Investment Strategies'!$C:$P,12,FALSE),
IF(AND(Investment_Strategy="Lifecycle",Investment_Strategy_Sub1="Standard"),VLOOKUP(Investment_Strategy&amp;"_"&amp;Investment_Strategy_Sub2&amp;"_"&amp;$A131,'Investment Strategies'!$AJ:$AV,11,FALSE),
IF(AND(Investment_Strategy="Autopilot",Investment_Strategy_Sub1="Non-Standard"),VLOOKUP(Investment_Strategy&amp;"_"&amp;Investment_Strategy_Sub2&amp;"_"&amp;$A131,'Investment Strategies'!$T:$AF,11,FALSE),
IF(Investment_Strategy="DIY",DIY_GteeChrge_CurrentFunds,
"Error"))))))</f>
        <v>5.4328711526985263E-4</v>
      </c>
      <c r="G131" s="33">
        <f>IF(AV131=0,0,
IF(Investment_Strategy="DIS",VLOOKUP(Investment_Strategy&amp;"_"&amp;Investment_Strategy_Sub1&amp;"_"&amp;$A131,'Investment Strategies'!$AZ:$BP,17,FALSE),
IF(AND(Investment_Strategy="Lifecycle",Investment_Strategy_Sub1="Non-Standard"),VLOOKUP(Investment_Strategy&amp;"_"&amp;Investment_Strategy_Sub2&amp;"_"&amp;$A131,'Investment Strategies'!$C:$P,14,FALSE),
IF(AND(Investment_Strategy="Lifecycle",Investment_Strategy_Sub1="Standard"),VLOOKUP(Investment_Strategy&amp;"_"&amp;Investment_Strategy_Sub2&amp;"_"&amp;$A131,'Investment Strategies'!$AJ:$AV,13,FALSE),
IF(AND(Investment_Strategy="Autopilot",Investment_Strategy_Sub1="Non-Standard"),VLOOKUP(Investment_Strategy&amp;"_"&amp;Investment_Strategy_Sub2&amp;"_"&amp;$A131,'Investment Strategies'!$T:$AF,13,FALSE),
IF(Investment_Strategy="DIY",DIY_ExtManChrge_CurrentFunds,
"Error"))))))</f>
        <v>2.0857243058891584E-4</v>
      </c>
      <c r="H131" s="16">
        <f t="shared" si="30"/>
        <v>0</v>
      </c>
      <c r="I131" s="16">
        <f t="shared" si="13"/>
        <v>0</v>
      </c>
      <c r="J131" s="16">
        <f t="shared" si="14"/>
        <v>0</v>
      </c>
      <c r="K131" s="16">
        <f>(Opening_Fund_Value+SUM(K$91:K130))*E131*IF(D131=$A$91,SRP_finalmonthfactor,1)</f>
        <v>0</v>
      </c>
      <c r="L131" s="74">
        <f>MIN(IF($AV131=0,0,
IF(Investment_Strategy="DIS",VLOOKUP(Investment_Strategy&amp;"_"&amp;Investment_Strategy_Sub1&amp;"_"&amp;$A131,'Investment Strategies'!$AZ:$BP,12,FALSE),
IF(AND(Investment_Strategy="Lifecycle",Investment_Strategy_Sub1="Non-Standard"),VLOOKUP(Investment_Strategy&amp;"_"&amp;Investment_Strategy_Sub2&amp;"_"&amp;$A131,'Investment Strategies'!$C:$P,9,FALSE),
IF(AND(Investment_Strategy="Lifecycle",Investment_Strategy_Sub1="Standard"),VLOOKUP(Investment_Strategy&amp;"_"&amp;Investment_Strategy_Sub2&amp;"_"&amp;$A131,'Investment Strategies'!$AJ:$AV,8,FALSE),
IF(AND(Investment_Strategy="Autopilot",Investment_Strategy_Sub1="Non-Standard"),VLOOKUP(Investment_Strategy&amp;"_"&amp;Investment_Strategy_Sub2&amp;"_"&amp;$A131,'Investment Strategies'!$T:$AF,8,FALSE),
IF(Investment_Strategy ="DIY",DIY_RateofReturn_SP,
"Error")))))),Max_InvReturn)</f>
        <v>4.1816398110932074E-3</v>
      </c>
      <c r="M131" s="62">
        <f>IF($AV131=0,0,
IF(Investment_Strategy="DIS",VLOOKUP(Investment_Strategy&amp;"_"&amp;Investment_Strategy_Sub1&amp;"_"&amp;$A131,'Investment Strategies'!$AZ:$BP,15,FALSE),
IF(AND(Investment_Strategy="Lifecycle",Investment_Strategy_Sub1="Non-Standard"),VLOOKUP(Investment_Strategy&amp;"_"&amp;Investment_Strategy_Sub2&amp;"_"&amp;$A131,'Investment Strategies'!$C:$P,12,FALSE),
IF(AND(Investment_Strategy="Lifecycle",Investment_Strategy_Sub1="Standard"),VLOOKUP(Investment_Strategy&amp;"_"&amp;Investment_Strategy_Sub2&amp;"_"&amp;$A131,'Investment Strategies'!$AJ:$AV,11,FALSE),
IF(AND(Investment_Strategy="Autopilot",Investment_Strategy_Sub1="Non-Standard"),VLOOKUP(Investment_Strategy&amp;"_"&amp;Investment_Strategy_Sub2&amp;"_"&amp;$A131,'Investment Strategies'!$T:$AF,11,FALSE),
IF(Investment_Strategy="DIY",DIY_GteeChrge_SP,
"Error"))))))</f>
        <v>0</v>
      </c>
      <c r="N131" s="33">
        <f>IF($AV131=0,0,
IF(Investment_Strategy="DIS",VLOOKUP(Investment_Strategy&amp;"_"&amp;Investment_Strategy_Sub1&amp;"_"&amp;$A131,'Investment Strategies'!$AZ:$BP,17,FALSE),
IF(AND(Investment_Strategy="Lifecycle",Investment_Strategy_Sub1="Non-Standard"),VLOOKUP(Investment_Strategy&amp;"_"&amp;Investment_Strategy_Sub2&amp;"_"&amp;$A131,'Investment Strategies'!$C:$P,14,FALSE),
IF(AND(Investment_Strategy="Lifecycle",Investment_Strategy_Sub1="Standard"),VLOOKUP(Investment_Strategy&amp;"_"&amp;Investment_Strategy_Sub2&amp;"_"&amp;$A131,'Investment Strategies'!$AJ:$AV,13,FALSE),
IF(AND(Investment_Strategy="Autopilot",Investment_Strategy_Sub1="Non-Standard"),VLOOKUP(Investment_Strategy&amp;"_"&amp;Investment_Strategy_Sub2&amp;"_"&amp;$A131,'Investment Strategies'!$T:$AF,13,FALSE),
IF(Investment_Strategy="DIY",DIY_ExtManChrge_SP,
"Error"))))))</f>
        <v>2.0857243058891584E-4</v>
      </c>
      <c r="O131" s="16">
        <f t="shared" si="50"/>
        <v>795993.86258571898</v>
      </c>
      <c r="Q131" s="16">
        <f t="shared" si="15"/>
        <v>3328.5596251742982</v>
      </c>
      <c r="R131" s="16">
        <f t="shared" si="16"/>
        <v>-767.09514258695594</v>
      </c>
      <c r="S131" s="16">
        <f>(SRP_SP+SUM(S$91:S130))*L131*IF(D131=$A$91,SRP_finalmonthfactor,1)</f>
        <v>3458.8818326370692</v>
      </c>
      <c r="T131" s="74">
        <f>MIN(IF($AV131=0,0,
IF(Investment_Strategy="DIS",VLOOKUP(Investment_Strategy&amp;"_"&amp;Investment_Strategy_Sub1&amp;"_"&amp;$A131,'Investment Strategies'!$AZ:$BP,12,FALSE),
IF(AND(Investment_Strategy="Lifecycle",Investment_Strategy_Sub1="Non-Standard"),VLOOKUP(Investment_Strategy&amp;"_"&amp;Investment_Strategy_Sub2&amp;"_"&amp;$A131,'Investment Strategies'!$C:$P,9,FALSE),
IF(AND(Investment_Strategy="Lifecycle",Investment_Strategy_Sub1="Standard"),VLOOKUP(Investment_Strategy&amp;"_"&amp;Investment_Strategy_Sub2&amp;"_"&amp;$A131,'Investment Strategies'!$AJ:$AV,8,FALSE),
IF(AND(Investment_Strategy="Autopilot",Investment_Strategy_Sub1="Non-Standard"),VLOOKUP(Investment_Strategy&amp;"_"&amp;Investment_Strategy_Sub2&amp;"_"&amp;$A131,'Investment Strategies'!$T:$AF,8,FALSE),
IF(Investment_Strategy ="DIY",DIY_RateOfReturn_FuturePremiums,
"Error")))))),Max_InvReturn)</f>
        <v>4.1816398110932074E-3</v>
      </c>
      <c r="U131" s="62">
        <f>IF($AV131=0,0,
IF(Investment_Strategy="DIS",VLOOKUP(Investment_Strategy&amp;"_"&amp;Investment_Strategy_Sub1&amp;"_"&amp;$A131,'Investment Strategies'!$AZ:$BP,15,FALSE),
IF(AND(Investment_Strategy="Lifecycle",Investment_Strategy_Sub1="Non-Standard"),VLOOKUP(Investment_Strategy&amp;"_"&amp;Investment_Strategy_Sub2&amp;"_"&amp;$A131,'Investment Strategies'!$C:$P,12,FALSE),
IF(AND(Investment_Strategy="Lifecycle",Investment_Strategy_Sub1="Standard"),VLOOKUP(Investment_Strategy&amp;"_"&amp;Investment_Strategy_Sub2&amp;"_"&amp;$A131,'Investment Strategies'!$AJ:$AV,11,FALSE),
IF(AND(Investment_Strategy="Autopilot",Investment_Strategy_Sub1="Non-Standard"),VLOOKUP(Investment_Strategy&amp;"_"&amp;Investment_Strategy_Sub2&amp;"_"&amp;$A131,'Investment Strategies'!$T:$AF,11,FALSE),
IF(Investment_Strategy="DIY",DIY_GteeChrge_FuturePremiums,
"Error"))))))</f>
        <v>0</v>
      </c>
      <c r="V131" s="33">
        <f>IF(AV131=0,0,
IF(Investment_Strategy="DIS",VLOOKUP(Investment_Strategy&amp;"_"&amp;Investment_Strategy_Sub1&amp;"_"&amp;$A131,'Investment Strategies'!$AZ:$BP,17,FALSE),
IF(AND(Investment_Strategy="Lifecycle",Investment_Strategy_Sub1="Non-Standard"),VLOOKUP(Investment_Strategy&amp;"_"&amp;Investment_Strategy_Sub2&amp;"_"&amp;$A131,'Investment Strategies'!$C:$P,14,FALSE),
IF(AND(Investment_Strategy="Lifecycle",Investment_Strategy_Sub1="Standard"),VLOOKUP(Investment_Strategy&amp;"_"&amp;Investment_Strategy_Sub2&amp;"_"&amp;$A131,'Investment Strategies'!$AJ:$AV,13,FALSE),
IF(AND(Investment_Strategy="Autopilot",Investment_Strategy_Sub1="Non-Standard"),VLOOKUP(Investment_Strategy&amp;"_"&amp;Investment_Strategy_Sub2&amp;"_"&amp;$A131,'Investment Strategies'!$T:$AF,13,FALSE),
IF(Investment_Strategy="DIY",DIY_ExtManChrge_FuturePremiums,
"Error"))))))</f>
        <v>1.2508601994698498E-4</v>
      </c>
      <c r="W131" s="16">
        <f t="shared" si="51"/>
        <v>0</v>
      </c>
      <c r="X131" s="16">
        <f t="shared" si="17"/>
        <v>0</v>
      </c>
      <c r="Y131" s="16">
        <f t="shared" si="18"/>
        <v>0</v>
      </c>
      <c r="Z131" s="31">
        <f t="shared" si="19"/>
        <v>0.02</v>
      </c>
      <c r="AA131" s="16">
        <f t="shared" si="20"/>
        <v>0</v>
      </c>
      <c r="AB131" s="28">
        <f t="shared" si="53"/>
        <v>827159.19804025756</v>
      </c>
      <c r="AC131" s="28">
        <f>(SUM($AC$91:AC130)+SUM($X$91:X130)+X131)*T131*IF(D131=$A$91,SRP_finalmonthfactor,1)</f>
        <v>0</v>
      </c>
      <c r="AD131" s="16">
        <f t="shared" si="21"/>
        <v>-166.36949753905427</v>
      </c>
      <c r="AE131" s="106"/>
      <c r="AF131" s="16">
        <f t="shared" si="52"/>
        <v>795993.86258571898</v>
      </c>
      <c r="AG131" s="16">
        <f t="shared" si="31"/>
        <v>3458.8818326370692</v>
      </c>
      <c r="AH131" s="16">
        <f t="shared" si="32"/>
        <v>-767.09514258695594</v>
      </c>
      <c r="AJ131" s="13">
        <f t="shared" ref="AJ131:AU140" si="65">IF($C131&lt;=AJ$90,1,0)</f>
        <v>0</v>
      </c>
      <c r="AK131" s="13">
        <f t="shared" si="65"/>
        <v>0</v>
      </c>
      <c r="AL131" s="13">
        <f t="shared" si="65"/>
        <v>0</v>
      </c>
      <c r="AM131" s="13">
        <f t="shared" si="65"/>
        <v>1</v>
      </c>
      <c r="AN131" s="13">
        <f t="shared" si="65"/>
        <v>1</v>
      </c>
      <c r="AO131" s="13">
        <f t="shared" si="65"/>
        <v>1</v>
      </c>
      <c r="AP131" s="13">
        <f t="shared" si="65"/>
        <v>1</v>
      </c>
      <c r="AQ131" s="13">
        <f t="shared" si="65"/>
        <v>1</v>
      </c>
      <c r="AR131" s="13">
        <f t="shared" si="65"/>
        <v>1</v>
      </c>
      <c r="AS131" s="13">
        <f t="shared" si="65"/>
        <v>1</v>
      </c>
      <c r="AT131" s="13">
        <f t="shared" si="65"/>
        <v>1</v>
      </c>
      <c r="AU131" s="13">
        <f t="shared" si="65"/>
        <v>1</v>
      </c>
      <c r="AV131" s="13">
        <f t="shared" si="23"/>
        <v>1</v>
      </c>
      <c r="AW131" s="13">
        <f t="shared" si="33"/>
        <v>1</v>
      </c>
      <c r="AY131" s="17">
        <f t="shared" si="24"/>
        <v>41</v>
      </c>
      <c r="AZ131" s="28">
        <f t="shared" si="34"/>
        <v>0</v>
      </c>
      <c r="BA131" s="13">
        <f t="shared" si="25"/>
        <v>0</v>
      </c>
      <c r="BB131" s="13">
        <f t="shared" si="26"/>
        <v>0</v>
      </c>
      <c r="BC131" s="28">
        <f t="shared" si="35"/>
        <v>0</v>
      </c>
      <c r="BD131" s="28">
        <f t="shared" si="36"/>
        <v>0</v>
      </c>
      <c r="BF131" s="248">
        <f t="shared" si="37"/>
        <v>830618.07987289468</v>
      </c>
      <c r="BG131" s="36">
        <f t="shared" si="54"/>
        <v>0</v>
      </c>
      <c r="BH131" s="36">
        <f t="shared" si="55"/>
        <v>795993.86258571898</v>
      </c>
      <c r="BI131" s="249">
        <f t="shared" si="56"/>
        <v>4.1816398110932074E-3</v>
      </c>
      <c r="BJ131" s="246">
        <f t="shared" si="57"/>
        <v>2.0857243058891584E-4</v>
      </c>
      <c r="BK131" s="246">
        <f t="shared" si="27"/>
        <v>7.531116566323881E-4</v>
      </c>
      <c r="BL131" s="246">
        <f t="shared" si="58"/>
        <v>0</v>
      </c>
      <c r="BM131" s="246">
        <f t="shared" si="59"/>
        <v>9.6168408722130394E-4</v>
      </c>
      <c r="BN131" s="36">
        <f t="shared" si="44"/>
        <v>767.09514258695583</v>
      </c>
      <c r="BO131" s="36">
        <f t="shared" si="60"/>
        <v>3328.5596251742982</v>
      </c>
      <c r="BP131" s="36">
        <f t="shared" si="61"/>
        <v>798555.32706830627</v>
      </c>
    </row>
    <row r="132" spans="1:68">
      <c r="A132" s="32">
        <f t="shared" si="47"/>
        <v>43</v>
      </c>
      <c r="B132" s="32">
        <f t="shared" si="28"/>
        <v>56</v>
      </c>
      <c r="C132" s="32">
        <f t="shared" si="48"/>
        <v>4</v>
      </c>
      <c r="D132" s="32">
        <f t="shared" si="49"/>
        <v>42</v>
      </c>
      <c r="E132" s="74">
        <f>MIN(IF(AV132=0,0,
IF(Investment_Strategy="DIS",VLOOKUP(Investment_Strategy&amp;"_"&amp;Investment_Strategy_Sub1&amp;"_"&amp;$A132,'Investment Strategies'!$AZ:$BP,12,FALSE),
IF(AND(Investment_Strategy="Lifecycle",Investment_Strategy_Sub1="Non-Standard"),VLOOKUP(Investment_Strategy&amp;"_"&amp;Investment_Strategy_Sub2&amp;"_"&amp;$A132,'Investment Strategies'!$C:$P,9,FALSE),
IF(AND(Investment_Strategy="Lifecycle",Investment_Strategy_Sub1="Standard"),VLOOKUP(Investment_Strategy&amp;"_"&amp;Investment_Strategy_Sub2&amp;"_"&amp;$A132,'Investment Strategies'!$AJ:$AV,8,FALSE),
IF(AND(Investment_Strategy="Autopilot",Investment_Strategy_Sub1="Non-Standard"),VLOOKUP(Investment_Strategy&amp;"_"&amp;Investment_Strategy_Sub2&amp;"_"&amp;$A132,'Investment Strategies'!$T:$AF,8,FALSE),
IF(Investment_Strategy ="DIY",DIY_RateOfReturn_CurrentFunds,
"Error")))))),Max_InvReturn)</f>
        <v>4.1816398110932074E-3</v>
      </c>
      <c r="F132" s="62">
        <f>IF(AV132=0,0,
IF(Investment_Strategy="DIS",VLOOKUP(Investment_Strategy&amp;"_"&amp;Investment_Strategy_Sub1&amp;"_"&amp;$A132,'Investment Strategies'!$AZ:$BP,15,FALSE),
IF(AND(Investment_Strategy="Lifecycle",Investment_Strategy_Sub1="Non-Standard"),VLOOKUP(Investment_Strategy&amp;"_"&amp;Investment_Strategy_Sub2&amp;"_"&amp;$A132,'Investment Strategies'!$C:$P,12,FALSE),
IF(AND(Investment_Strategy="Lifecycle",Investment_Strategy_Sub1="Standard"),VLOOKUP(Investment_Strategy&amp;"_"&amp;Investment_Strategy_Sub2&amp;"_"&amp;$A132,'Investment Strategies'!$AJ:$AV,11,FALSE),
IF(AND(Investment_Strategy="Autopilot",Investment_Strategy_Sub1="Non-Standard"),VLOOKUP(Investment_Strategy&amp;"_"&amp;Investment_Strategy_Sub2&amp;"_"&amp;$A132,'Investment Strategies'!$T:$AF,11,FALSE),
IF(Investment_Strategy="DIY",DIY_GteeChrge_CurrentFunds,
"Error"))))))</f>
        <v>5.4328711526985263E-4</v>
      </c>
      <c r="G132" s="33">
        <f>IF(AV132=0,0,
IF(Investment_Strategy="DIS",VLOOKUP(Investment_Strategy&amp;"_"&amp;Investment_Strategy_Sub1&amp;"_"&amp;$A132,'Investment Strategies'!$AZ:$BP,17,FALSE),
IF(AND(Investment_Strategy="Lifecycle",Investment_Strategy_Sub1="Non-Standard"),VLOOKUP(Investment_Strategy&amp;"_"&amp;Investment_Strategy_Sub2&amp;"_"&amp;$A132,'Investment Strategies'!$C:$P,14,FALSE),
IF(AND(Investment_Strategy="Lifecycle",Investment_Strategy_Sub1="Standard"),VLOOKUP(Investment_Strategy&amp;"_"&amp;Investment_Strategy_Sub2&amp;"_"&amp;$A132,'Investment Strategies'!$AJ:$AV,13,FALSE),
IF(AND(Investment_Strategy="Autopilot",Investment_Strategy_Sub1="Non-Standard"),VLOOKUP(Investment_Strategy&amp;"_"&amp;Investment_Strategy_Sub2&amp;"_"&amp;$A132,'Investment Strategies'!$T:$AF,13,FALSE),
IF(Investment_Strategy="DIY",DIY_ExtManChrge_CurrentFunds,
"Error"))))))</f>
        <v>2.0857243058891584E-4</v>
      </c>
      <c r="H132" s="16">
        <f t="shared" si="30"/>
        <v>0</v>
      </c>
      <c r="I132" s="16">
        <f t="shared" si="13"/>
        <v>0</v>
      </c>
      <c r="J132" s="16">
        <f t="shared" si="14"/>
        <v>0</v>
      </c>
      <c r="K132" s="16">
        <f>(Opening_Fund_Value+SUM(K$91:K131))*E132*IF(D132=$A$91,SRP_finalmonthfactor,1)</f>
        <v>0</v>
      </c>
      <c r="L132" s="74">
        <f>MIN(IF($AV132=0,0,
IF(Investment_Strategy="DIS",VLOOKUP(Investment_Strategy&amp;"_"&amp;Investment_Strategy_Sub1&amp;"_"&amp;$A132,'Investment Strategies'!$AZ:$BP,12,FALSE),
IF(AND(Investment_Strategy="Lifecycle",Investment_Strategy_Sub1="Non-Standard"),VLOOKUP(Investment_Strategy&amp;"_"&amp;Investment_Strategy_Sub2&amp;"_"&amp;$A132,'Investment Strategies'!$C:$P,9,FALSE),
IF(AND(Investment_Strategy="Lifecycle",Investment_Strategy_Sub1="Standard"),VLOOKUP(Investment_Strategy&amp;"_"&amp;Investment_Strategy_Sub2&amp;"_"&amp;$A132,'Investment Strategies'!$AJ:$AV,8,FALSE),
IF(AND(Investment_Strategy="Autopilot",Investment_Strategy_Sub1="Non-Standard"),VLOOKUP(Investment_Strategy&amp;"_"&amp;Investment_Strategy_Sub2&amp;"_"&amp;$A132,'Investment Strategies'!$T:$AF,8,FALSE),
IF(Investment_Strategy ="DIY",DIY_RateofReturn_SP,
"Error")))))),Max_InvReturn)</f>
        <v>4.1816398110932074E-3</v>
      </c>
      <c r="M132" s="62">
        <f>IF($AV132=0,0,
IF(Investment_Strategy="DIS",VLOOKUP(Investment_Strategy&amp;"_"&amp;Investment_Strategy_Sub1&amp;"_"&amp;$A132,'Investment Strategies'!$AZ:$BP,15,FALSE),
IF(AND(Investment_Strategy="Lifecycle",Investment_Strategy_Sub1="Non-Standard"),VLOOKUP(Investment_Strategy&amp;"_"&amp;Investment_Strategy_Sub2&amp;"_"&amp;$A132,'Investment Strategies'!$C:$P,12,FALSE),
IF(AND(Investment_Strategy="Lifecycle",Investment_Strategy_Sub1="Standard"),VLOOKUP(Investment_Strategy&amp;"_"&amp;Investment_Strategy_Sub2&amp;"_"&amp;$A132,'Investment Strategies'!$AJ:$AV,11,FALSE),
IF(AND(Investment_Strategy="Autopilot",Investment_Strategy_Sub1="Non-Standard"),VLOOKUP(Investment_Strategy&amp;"_"&amp;Investment_Strategy_Sub2&amp;"_"&amp;$A132,'Investment Strategies'!$T:$AF,11,FALSE),
IF(Investment_Strategy="DIY",DIY_GteeChrge_SP,
"Error"))))))</f>
        <v>0</v>
      </c>
      <c r="N132" s="33">
        <f>IF($AV132=0,0,
IF(Investment_Strategy="DIS",VLOOKUP(Investment_Strategy&amp;"_"&amp;Investment_Strategy_Sub1&amp;"_"&amp;$A132,'Investment Strategies'!$AZ:$BP,17,FALSE),
IF(AND(Investment_Strategy="Lifecycle",Investment_Strategy_Sub1="Non-Standard"),VLOOKUP(Investment_Strategy&amp;"_"&amp;Investment_Strategy_Sub2&amp;"_"&amp;$A132,'Investment Strategies'!$C:$P,14,FALSE),
IF(AND(Investment_Strategy="Lifecycle",Investment_Strategy_Sub1="Standard"),VLOOKUP(Investment_Strategy&amp;"_"&amp;Investment_Strategy_Sub2&amp;"_"&amp;$A132,'Investment Strategies'!$AJ:$AV,13,FALSE),
IF(AND(Investment_Strategy="Autopilot",Investment_Strategy_Sub1="Non-Standard"),VLOOKUP(Investment_Strategy&amp;"_"&amp;Investment_Strategy_Sub2&amp;"_"&amp;$A132,'Investment Strategies'!$T:$AF,13,FALSE),
IF(Investment_Strategy="DIY",DIY_ExtManChrge_SP,
"Error"))))))</f>
        <v>2.0857243058891584E-4</v>
      </c>
      <c r="O132" s="16">
        <f t="shared" si="50"/>
        <v>798555.32706830627</v>
      </c>
      <c r="Q132" s="16">
        <f t="shared" si="15"/>
        <v>3339.2707470293867</v>
      </c>
      <c r="R132" s="16">
        <f t="shared" si="16"/>
        <v>-769.56361257756487</v>
      </c>
      <c r="S132" s="16">
        <f>(SRP_SP+SUM(S$91:S131))*L132*IF(D132=$A$91,SRP_finalmonthfactor,1)</f>
        <v>3473.3456306102917</v>
      </c>
      <c r="T132" s="74">
        <f>MIN(IF($AV132=0,0,
IF(Investment_Strategy="DIS",VLOOKUP(Investment_Strategy&amp;"_"&amp;Investment_Strategy_Sub1&amp;"_"&amp;$A132,'Investment Strategies'!$AZ:$BP,12,FALSE),
IF(AND(Investment_Strategy="Lifecycle",Investment_Strategy_Sub1="Non-Standard"),VLOOKUP(Investment_Strategy&amp;"_"&amp;Investment_Strategy_Sub2&amp;"_"&amp;$A132,'Investment Strategies'!$C:$P,9,FALSE),
IF(AND(Investment_Strategy="Lifecycle",Investment_Strategy_Sub1="Standard"),VLOOKUP(Investment_Strategy&amp;"_"&amp;Investment_Strategy_Sub2&amp;"_"&amp;$A132,'Investment Strategies'!$AJ:$AV,8,FALSE),
IF(AND(Investment_Strategy="Autopilot",Investment_Strategy_Sub1="Non-Standard"),VLOOKUP(Investment_Strategy&amp;"_"&amp;Investment_Strategy_Sub2&amp;"_"&amp;$A132,'Investment Strategies'!$T:$AF,8,FALSE),
IF(Investment_Strategy ="DIY",DIY_RateOfReturn_FuturePremiums,
"Error")))))),Max_InvReturn)</f>
        <v>4.1816398110932074E-3</v>
      </c>
      <c r="U132" s="62">
        <f>IF($AV132=0,0,
IF(Investment_Strategy="DIS",VLOOKUP(Investment_Strategy&amp;"_"&amp;Investment_Strategy_Sub1&amp;"_"&amp;$A132,'Investment Strategies'!$AZ:$BP,15,FALSE),
IF(AND(Investment_Strategy="Lifecycle",Investment_Strategy_Sub1="Non-Standard"),VLOOKUP(Investment_Strategy&amp;"_"&amp;Investment_Strategy_Sub2&amp;"_"&amp;$A132,'Investment Strategies'!$C:$P,12,FALSE),
IF(AND(Investment_Strategy="Lifecycle",Investment_Strategy_Sub1="Standard"),VLOOKUP(Investment_Strategy&amp;"_"&amp;Investment_Strategy_Sub2&amp;"_"&amp;$A132,'Investment Strategies'!$AJ:$AV,11,FALSE),
IF(AND(Investment_Strategy="Autopilot",Investment_Strategy_Sub1="Non-Standard"),VLOOKUP(Investment_Strategy&amp;"_"&amp;Investment_Strategy_Sub2&amp;"_"&amp;$A132,'Investment Strategies'!$T:$AF,11,FALSE),
IF(Investment_Strategy="DIY",DIY_GteeChrge_FuturePremiums,
"Error"))))))</f>
        <v>0</v>
      </c>
      <c r="V132" s="33">
        <f>IF(AV132=0,0,
IF(Investment_Strategy="DIS",VLOOKUP(Investment_Strategy&amp;"_"&amp;Investment_Strategy_Sub1&amp;"_"&amp;$A132,'Investment Strategies'!$AZ:$BP,17,FALSE),
IF(AND(Investment_Strategy="Lifecycle",Investment_Strategy_Sub1="Non-Standard"),VLOOKUP(Investment_Strategy&amp;"_"&amp;Investment_Strategy_Sub2&amp;"_"&amp;$A132,'Investment Strategies'!$C:$P,14,FALSE),
IF(AND(Investment_Strategy="Lifecycle",Investment_Strategy_Sub1="Standard"),VLOOKUP(Investment_Strategy&amp;"_"&amp;Investment_Strategy_Sub2&amp;"_"&amp;$A132,'Investment Strategies'!$AJ:$AV,13,FALSE),
IF(AND(Investment_Strategy="Autopilot",Investment_Strategy_Sub1="Non-Standard"),VLOOKUP(Investment_Strategy&amp;"_"&amp;Investment_Strategy_Sub2&amp;"_"&amp;$A132,'Investment Strategies'!$T:$AF,13,FALSE),
IF(Investment_Strategy="DIY",DIY_ExtManChrge_FuturePremiums,
"Error"))))))</f>
        <v>1.2508601994698498E-4</v>
      </c>
      <c r="W132" s="16">
        <f t="shared" si="51"/>
        <v>0</v>
      </c>
      <c r="X132" s="16">
        <f t="shared" si="17"/>
        <v>0</v>
      </c>
      <c r="Y132" s="16">
        <f t="shared" si="18"/>
        <v>0</v>
      </c>
      <c r="Z132" s="31">
        <f t="shared" si="19"/>
        <v>0.02</v>
      </c>
      <c r="AA132" s="16">
        <f t="shared" si="20"/>
        <v>0</v>
      </c>
      <c r="AB132" s="28">
        <f t="shared" si="53"/>
        <v>830618.07987289468</v>
      </c>
      <c r="AC132" s="28">
        <f>(SUM($AC$91:AC131)+SUM($X$91:X131)+X132)*T132*IF(D132=$A$91,SRP_finalmonthfactor,1)</f>
        <v>0</v>
      </c>
      <c r="AD132" s="16">
        <f t="shared" si="21"/>
        <v>-166.90486543441449</v>
      </c>
      <c r="AE132" s="106"/>
      <c r="AF132" s="16">
        <f t="shared" si="52"/>
        <v>798555.32706830627</v>
      </c>
      <c r="AG132" s="16">
        <f t="shared" si="31"/>
        <v>3473.3456306102917</v>
      </c>
      <c r="AH132" s="16">
        <f t="shared" si="32"/>
        <v>-769.56361257756487</v>
      </c>
      <c r="AJ132" s="13">
        <f t="shared" si="65"/>
        <v>0</v>
      </c>
      <c r="AK132" s="13">
        <f t="shared" si="65"/>
        <v>0</v>
      </c>
      <c r="AL132" s="13">
        <f t="shared" si="65"/>
        <v>0</v>
      </c>
      <c r="AM132" s="13">
        <f t="shared" si="65"/>
        <v>1</v>
      </c>
      <c r="AN132" s="13">
        <f t="shared" si="65"/>
        <v>1</v>
      </c>
      <c r="AO132" s="13">
        <f t="shared" si="65"/>
        <v>1</v>
      </c>
      <c r="AP132" s="13">
        <f t="shared" si="65"/>
        <v>1</v>
      </c>
      <c r="AQ132" s="13">
        <f t="shared" si="65"/>
        <v>1</v>
      </c>
      <c r="AR132" s="13">
        <f t="shared" si="65"/>
        <v>1</v>
      </c>
      <c r="AS132" s="13">
        <f t="shared" si="65"/>
        <v>1</v>
      </c>
      <c r="AT132" s="13">
        <f t="shared" si="65"/>
        <v>1</v>
      </c>
      <c r="AU132" s="13">
        <f t="shared" si="65"/>
        <v>1</v>
      </c>
      <c r="AV132" s="13">
        <f t="shared" si="23"/>
        <v>1</v>
      </c>
      <c r="AW132" s="13">
        <f t="shared" si="33"/>
        <v>1</v>
      </c>
      <c r="AY132" s="17">
        <f t="shared" si="24"/>
        <v>42</v>
      </c>
      <c r="AZ132" s="28">
        <f t="shared" si="34"/>
        <v>0</v>
      </c>
      <c r="BA132" s="13">
        <f t="shared" si="25"/>
        <v>0</v>
      </c>
      <c r="BB132" s="13">
        <f t="shared" si="26"/>
        <v>0</v>
      </c>
      <c r="BC132" s="28">
        <f t="shared" si="35"/>
        <v>0</v>
      </c>
      <c r="BD132" s="28">
        <f t="shared" si="36"/>
        <v>0</v>
      </c>
      <c r="BF132" s="248">
        <f t="shared" si="37"/>
        <v>834091.42550350493</v>
      </c>
      <c r="BG132" s="36">
        <f t="shared" si="54"/>
        <v>0</v>
      </c>
      <c r="BH132" s="36">
        <f t="shared" si="55"/>
        <v>798555.32706830627</v>
      </c>
      <c r="BI132" s="249">
        <f t="shared" si="56"/>
        <v>4.1816398110932074E-3</v>
      </c>
      <c r="BJ132" s="246">
        <f t="shared" si="57"/>
        <v>2.0857243058891584E-4</v>
      </c>
      <c r="BK132" s="246">
        <f t="shared" si="27"/>
        <v>7.531116566323881E-4</v>
      </c>
      <c r="BL132" s="246">
        <f t="shared" si="58"/>
        <v>0</v>
      </c>
      <c r="BM132" s="246">
        <f t="shared" si="59"/>
        <v>9.6168408722130394E-4</v>
      </c>
      <c r="BN132" s="36">
        <f t="shared" si="44"/>
        <v>769.56361257756475</v>
      </c>
      <c r="BO132" s="36">
        <f t="shared" si="60"/>
        <v>3339.2707470293867</v>
      </c>
      <c r="BP132" s="36">
        <f t="shared" si="61"/>
        <v>801125.03420275799</v>
      </c>
    </row>
    <row r="133" spans="1:68">
      <c r="A133" s="32">
        <f t="shared" si="47"/>
        <v>42</v>
      </c>
      <c r="B133" s="32">
        <f t="shared" si="28"/>
        <v>56</v>
      </c>
      <c r="C133" s="32">
        <f t="shared" si="48"/>
        <v>4</v>
      </c>
      <c r="D133" s="32">
        <f t="shared" si="49"/>
        <v>43</v>
      </c>
      <c r="E133" s="74">
        <f>MIN(IF(AV133=0,0,
IF(Investment_Strategy="DIS",VLOOKUP(Investment_Strategy&amp;"_"&amp;Investment_Strategy_Sub1&amp;"_"&amp;$A133,'Investment Strategies'!$AZ:$BP,12,FALSE),
IF(AND(Investment_Strategy="Lifecycle",Investment_Strategy_Sub1="Non-Standard"),VLOOKUP(Investment_Strategy&amp;"_"&amp;Investment_Strategy_Sub2&amp;"_"&amp;$A133,'Investment Strategies'!$C:$P,9,FALSE),
IF(AND(Investment_Strategy="Lifecycle",Investment_Strategy_Sub1="Standard"),VLOOKUP(Investment_Strategy&amp;"_"&amp;Investment_Strategy_Sub2&amp;"_"&amp;$A133,'Investment Strategies'!$AJ:$AV,8,FALSE),
IF(AND(Investment_Strategy="Autopilot",Investment_Strategy_Sub1="Non-Standard"),VLOOKUP(Investment_Strategy&amp;"_"&amp;Investment_Strategy_Sub2&amp;"_"&amp;$A133,'Investment Strategies'!$T:$AF,8,FALSE),
IF(Investment_Strategy ="DIY",DIY_RateOfReturn_CurrentFunds,
"Error")))))),Max_InvReturn)</f>
        <v>4.1816398110932074E-3</v>
      </c>
      <c r="F133" s="62">
        <f>IF(AV133=0,0,
IF(Investment_Strategy="DIS",VLOOKUP(Investment_Strategy&amp;"_"&amp;Investment_Strategy_Sub1&amp;"_"&amp;$A133,'Investment Strategies'!$AZ:$BP,15,FALSE),
IF(AND(Investment_Strategy="Lifecycle",Investment_Strategy_Sub1="Non-Standard"),VLOOKUP(Investment_Strategy&amp;"_"&amp;Investment_Strategy_Sub2&amp;"_"&amp;$A133,'Investment Strategies'!$C:$P,12,FALSE),
IF(AND(Investment_Strategy="Lifecycle",Investment_Strategy_Sub1="Standard"),VLOOKUP(Investment_Strategy&amp;"_"&amp;Investment_Strategy_Sub2&amp;"_"&amp;$A133,'Investment Strategies'!$AJ:$AV,11,FALSE),
IF(AND(Investment_Strategy="Autopilot",Investment_Strategy_Sub1="Non-Standard"),VLOOKUP(Investment_Strategy&amp;"_"&amp;Investment_Strategy_Sub2&amp;"_"&amp;$A133,'Investment Strategies'!$T:$AF,11,FALSE),
IF(Investment_Strategy="DIY",DIY_GteeChrge_CurrentFunds,
"Error"))))))</f>
        <v>5.4328711526985263E-4</v>
      </c>
      <c r="G133" s="33">
        <f>IF(AV133=0,0,
IF(Investment_Strategy="DIS",VLOOKUP(Investment_Strategy&amp;"_"&amp;Investment_Strategy_Sub1&amp;"_"&amp;$A133,'Investment Strategies'!$AZ:$BP,17,FALSE),
IF(AND(Investment_Strategy="Lifecycle",Investment_Strategy_Sub1="Non-Standard"),VLOOKUP(Investment_Strategy&amp;"_"&amp;Investment_Strategy_Sub2&amp;"_"&amp;$A133,'Investment Strategies'!$C:$P,14,FALSE),
IF(AND(Investment_Strategy="Lifecycle",Investment_Strategy_Sub1="Standard"),VLOOKUP(Investment_Strategy&amp;"_"&amp;Investment_Strategy_Sub2&amp;"_"&amp;$A133,'Investment Strategies'!$AJ:$AV,13,FALSE),
IF(AND(Investment_Strategy="Autopilot",Investment_Strategy_Sub1="Non-Standard"),VLOOKUP(Investment_Strategy&amp;"_"&amp;Investment_Strategy_Sub2&amp;"_"&amp;$A133,'Investment Strategies'!$T:$AF,13,FALSE),
IF(Investment_Strategy="DIY",DIY_ExtManChrge_CurrentFunds,
"Error"))))))</f>
        <v>2.0857243058891584E-4</v>
      </c>
      <c r="H133" s="16">
        <f t="shared" si="30"/>
        <v>0</v>
      </c>
      <c r="I133" s="16">
        <f t="shared" si="13"/>
        <v>0</v>
      </c>
      <c r="J133" s="16">
        <f t="shared" si="14"/>
        <v>0</v>
      </c>
      <c r="K133" s="16">
        <f>(Opening_Fund_Value+SUM(K$91:K132))*E133*IF(D133=$A$91,SRP_finalmonthfactor,1)</f>
        <v>0</v>
      </c>
      <c r="L133" s="74">
        <f>MIN(IF($AV133=0,0,
IF(Investment_Strategy="DIS",VLOOKUP(Investment_Strategy&amp;"_"&amp;Investment_Strategy_Sub1&amp;"_"&amp;$A133,'Investment Strategies'!$AZ:$BP,12,FALSE),
IF(AND(Investment_Strategy="Lifecycle",Investment_Strategy_Sub1="Non-Standard"),VLOOKUP(Investment_Strategy&amp;"_"&amp;Investment_Strategy_Sub2&amp;"_"&amp;$A133,'Investment Strategies'!$C:$P,9,FALSE),
IF(AND(Investment_Strategy="Lifecycle",Investment_Strategy_Sub1="Standard"),VLOOKUP(Investment_Strategy&amp;"_"&amp;Investment_Strategy_Sub2&amp;"_"&amp;$A133,'Investment Strategies'!$AJ:$AV,8,FALSE),
IF(AND(Investment_Strategy="Autopilot",Investment_Strategy_Sub1="Non-Standard"),VLOOKUP(Investment_Strategy&amp;"_"&amp;Investment_Strategy_Sub2&amp;"_"&amp;$A133,'Investment Strategies'!$T:$AF,8,FALSE),
IF(Investment_Strategy ="DIY",DIY_RateofReturn_SP,
"Error")))))),Max_InvReturn)</f>
        <v>4.1816398110932074E-3</v>
      </c>
      <c r="M133" s="62">
        <f>IF($AV133=0,0,
IF(Investment_Strategy="DIS",VLOOKUP(Investment_Strategy&amp;"_"&amp;Investment_Strategy_Sub1&amp;"_"&amp;$A133,'Investment Strategies'!$AZ:$BP,15,FALSE),
IF(AND(Investment_Strategy="Lifecycle",Investment_Strategy_Sub1="Non-Standard"),VLOOKUP(Investment_Strategy&amp;"_"&amp;Investment_Strategy_Sub2&amp;"_"&amp;$A133,'Investment Strategies'!$C:$P,12,FALSE),
IF(AND(Investment_Strategy="Lifecycle",Investment_Strategy_Sub1="Standard"),VLOOKUP(Investment_Strategy&amp;"_"&amp;Investment_Strategy_Sub2&amp;"_"&amp;$A133,'Investment Strategies'!$AJ:$AV,11,FALSE),
IF(AND(Investment_Strategy="Autopilot",Investment_Strategy_Sub1="Non-Standard"),VLOOKUP(Investment_Strategy&amp;"_"&amp;Investment_Strategy_Sub2&amp;"_"&amp;$A133,'Investment Strategies'!$T:$AF,11,FALSE),
IF(Investment_Strategy="DIY",DIY_GteeChrge_SP,
"Error"))))))</f>
        <v>0</v>
      </c>
      <c r="N133" s="33">
        <f>IF($AV133=0,0,
IF(Investment_Strategy="DIS",VLOOKUP(Investment_Strategy&amp;"_"&amp;Investment_Strategy_Sub1&amp;"_"&amp;$A133,'Investment Strategies'!$AZ:$BP,17,FALSE),
IF(AND(Investment_Strategy="Lifecycle",Investment_Strategy_Sub1="Non-Standard"),VLOOKUP(Investment_Strategy&amp;"_"&amp;Investment_Strategy_Sub2&amp;"_"&amp;$A133,'Investment Strategies'!$C:$P,14,FALSE),
IF(AND(Investment_Strategy="Lifecycle",Investment_Strategy_Sub1="Standard"),VLOOKUP(Investment_Strategy&amp;"_"&amp;Investment_Strategy_Sub2&amp;"_"&amp;$A133,'Investment Strategies'!$AJ:$AV,13,FALSE),
IF(AND(Investment_Strategy="Autopilot",Investment_Strategy_Sub1="Non-Standard"),VLOOKUP(Investment_Strategy&amp;"_"&amp;Investment_Strategy_Sub2&amp;"_"&amp;$A133,'Investment Strategies'!$T:$AF,13,FALSE),
IF(Investment_Strategy="DIY",DIY_ExtManChrge_SP,
"Error"))))))</f>
        <v>2.0857243058891584E-4</v>
      </c>
      <c r="O133" s="16">
        <f t="shared" si="50"/>
        <v>801125.03420275799</v>
      </c>
      <c r="Q133" s="16">
        <f t="shared" si="15"/>
        <v>3350.01633668566</v>
      </c>
      <c r="R133" s="16">
        <f t="shared" si="16"/>
        <v>-772.04002596887631</v>
      </c>
      <c r="S133" s="16">
        <f>(SRP_SP+SUM(S$91:S132))*L133*IF(D133=$A$91,SRP_finalmonthfactor,1)</f>
        <v>3487.8699109769382</v>
      </c>
      <c r="T133" s="74">
        <f>MIN(IF($AV133=0,0,
IF(Investment_Strategy="DIS",VLOOKUP(Investment_Strategy&amp;"_"&amp;Investment_Strategy_Sub1&amp;"_"&amp;$A133,'Investment Strategies'!$AZ:$BP,12,FALSE),
IF(AND(Investment_Strategy="Lifecycle",Investment_Strategy_Sub1="Non-Standard"),VLOOKUP(Investment_Strategy&amp;"_"&amp;Investment_Strategy_Sub2&amp;"_"&amp;$A133,'Investment Strategies'!$C:$P,9,FALSE),
IF(AND(Investment_Strategy="Lifecycle",Investment_Strategy_Sub1="Standard"),VLOOKUP(Investment_Strategy&amp;"_"&amp;Investment_Strategy_Sub2&amp;"_"&amp;$A133,'Investment Strategies'!$AJ:$AV,8,FALSE),
IF(AND(Investment_Strategy="Autopilot",Investment_Strategy_Sub1="Non-Standard"),VLOOKUP(Investment_Strategy&amp;"_"&amp;Investment_Strategy_Sub2&amp;"_"&amp;$A133,'Investment Strategies'!$T:$AF,8,FALSE),
IF(Investment_Strategy ="DIY",DIY_RateOfReturn_FuturePremiums,
"Error")))))),Max_InvReturn)</f>
        <v>4.1816398110932074E-3</v>
      </c>
      <c r="U133" s="62">
        <f>IF($AV133=0,0,
IF(Investment_Strategy="DIS",VLOOKUP(Investment_Strategy&amp;"_"&amp;Investment_Strategy_Sub1&amp;"_"&amp;$A133,'Investment Strategies'!$AZ:$BP,15,FALSE),
IF(AND(Investment_Strategy="Lifecycle",Investment_Strategy_Sub1="Non-Standard"),VLOOKUP(Investment_Strategy&amp;"_"&amp;Investment_Strategy_Sub2&amp;"_"&amp;$A133,'Investment Strategies'!$C:$P,12,FALSE),
IF(AND(Investment_Strategy="Lifecycle",Investment_Strategy_Sub1="Standard"),VLOOKUP(Investment_Strategy&amp;"_"&amp;Investment_Strategy_Sub2&amp;"_"&amp;$A133,'Investment Strategies'!$AJ:$AV,11,FALSE),
IF(AND(Investment_Strategy="Autopilot",Investment_Strategy_Sub1="Non-Standard"),VLOOKUP(Investment_Strategy&amp;"_"&amp;Investment_Strategy_Sub2&amp;"_"&amp;$A133,'Investment Strategies'!$T:$AF,11,FALSE),
IF(Investment_Strategy="DIY",DIY_GteeChrge_FuturePremiums,
"Error"))))))</f>
        <v>0</v>
      </c>
      <c r="V133" s="33">
        <f>IF(AV133=0,0,
IF(Investment_Strategy="DIS",VLOOKUP(Investment_Strategy&amp;"_"&amp;Investment_Strategy_Sub1&amp;"_"&amp;$A133,'Investment Strategies'!$AZ:$BP,17,FALSE),
IF(AND(Investment_Strategy="Lifecycle",Investment_Strategy_Sub1="Non-Standard"),VLOOKUP(Investment_Strategy&amp;"_"&amp;Investment_Strategy_Sub2&amp;"_"&amp;$A133,'Investment Strategies'!$C:$P,14,FALSE),
IF(AND(Investment_Strategy="Lifecycle",Investment_Strategy_Sub1="Standard"),VLOOKUP(Investment_Strategy&amp;"_"&amp;Investment_Strategy_Sub2&amp;"_"&amp;$A133,'Investment Strategies'!$AJ:$AV,13,FALSE),
IF(AND(Investment_Strategy="Autopilot",Investment_Strategy_Sub1="Non-Standard"),VLOOKUP(Investment_Strategy&amp;"_"&amp;Investment_Strategy_Sub2&amp;"_"&amp;$A133,'Investment Strategies'!$T:$AF,13,FALSE),
IF(Investment_Strategy="DIY",DIY_ExtManChrge_FuturePremiums,
"Error"))))))</f>
        <v>1.2508601994698498E-4</v>
      </c>
      <c r="W133" s="16">
        <f t="shared" si="51"/>
        <v>0</v>
      </c>
      <c r="X133" s="16">
        <f t="shared" si="17"/>
        <v>0</v>
      </c>
      <c r="Y133" s="16">
        <f t="shared" si="18"/>
        <v>0</v>
      </c>
      <c r="Z133" s="31">
        <f t="shared" si="19"/>
        <v>0.02</v>
      </c>
      <c r="AA133" s="16">
        <f t="shared" si="20"/>
        <v>0</v>
      </c>
      <c r="AB133" s="28">
        <f t="shared" si="53"/>
        <v>834091.42550350493</v>
      </c>
      <c r="AC133" s="28">
        <f>(SUM($AC$91:AC132)+SUM($X$91:X132)+X133)*T133*IF(D133=$A$91,SRP_finalmonthfactor,1)</f>
        <v>0</v>
      </c>
      <c r="AD133" s="16">
        <f t="shared" si="21"/>
        <v>-167.44195611422512</v>
      </c>
      <c r="AE133" s="106"/>
      <c r="AF133" s="16">
        <f t="shared" si="52"/>
        <v>801125.03420275799</v>
      </c>
      <c r="AG133" s="16">
        <f t="shared" si="31"/>
        <v>3487.8699109769382</v>
      </c>
      <c r="AH133" s="16">
        <f t="shared" si="32"/>
        <v>-772.04002596887631</v>
      </c>
      <c r="AJ133" s="13">
        <f t="shared" si="65"/>
        <v>0</v>
      </c>
      <c r="AK133" s="13">
        <f t="shared" si="65"/>
        <v>0</v>
      </c>
      <c r="AL133" s="13">
        <f t="shared" si="65"/>
        <v>0</v>
      </c>
      <c r="AM133" s="13">
        <f t="shared" si="65"/>
        <v>1</v>
      </c>
      <c r="AN133" s="13">
        <f t="shared" si="65"/>
        <v>1</v>
      </c>
      <c r="AO133" s="13">
        <f t="shared" si="65"/>
        <v>1</v>
      </c>
      <c r="AP133" s="13">
        <f t="shared" si="65"/>
        <v>1</v>
      </c>
      <c r="AQ133" s="13">
        <f t="shared" si="65"/>
        <v>1</v>
      </c>
      <c r="AR133" s="13">
        <f t="shared" si="65"/>
        <v>1</v>
      </c>
      <c r="AS133" s="13">
        <f t="shared" si="65"/>
        <v>1</v>
      </c>
      <c r="AT133" s="13">
        <f t="shared" si="65"/>
        <v>1</v>
      </c>
      <c r="AU133" s="13">
        <f t="shared" si="65"/>
        <v>1</v>
      </c>
      <c r="AV133" s="13">
        <f t="shared" si="23"/>
        <v>1</v>
      </c>
      <c r="AW133" s="13">
        <f t="shared" si="33"/>
        <v>1</v>
      </c>
      <c r="AY133" s="17">
        <f t="shared" si="24"/>
        <v>43</v>
      </c>
      <c r="AZ133" s="28">
        <f t="shared" si="34"/>
        <v>0</v>
      </c>
      <c r="BA133" s="13">
        <f t="shared" si="25"/>
        <v>0</v>
      </c>
      <c r="BB133" s="13">
        <f t="shared" si="26"/>
        <v>0</v>
      </c>
      <c r="BC133" s="28">
        <f t="shared" si="35"/>
        <v>0</v>
      </c>
      <c r="BD133" s="28">
        <f t="shared" si="36"/>
        <v>0</v>
      </c>
      <c r="BF133" s="248">
        <f t="shared" si="37"/>
        <v>837579.29541448189</v>
      </c>
      <c r="BG133" s="36">
        <f t="shared" si="54"/>
        <v>0</v>
      </c>
      <c r="BH133" s="36">
        <f t="shared" si="55"/>
        <v>801125.03420275799</v>
      </c>
      <c r="BI133" s="249">
        <f t="shared" si="56"/>
        <v>4.1816398110932074E-3</v>
      </c>
      <c r="BJ133" s="246">
        <f t="shared" si="57"/>
        <v>2.0857243058891584E-4</v>
      </c>
      <c r="BK133" s="246">
        <f t="shared" si="27"/>
        <v>7.531116566323881E-4</v>
      </c>
      <c r="BL133" s="246">
        <f t="shared" si="58"/>
        <v>0</v>
      </c>
      <c r="BM133" s="246">
        <f t="shared" si="59"/>
        <v>9.6168408722130394E-4</v>
      </c>
      <c r="BN133" s="36">
        <f t="shared" si="44"/>
        <v>772.04002596887619</v>
      </c>
      <c r="BO133" s="36">
        <f t="shared" si="60"/>
        <v>3350.01633668566</v>
      </c>
      <c r="BP133" s="36">
        <f t="shared" si="61"/>
        <v>803703.0105134747</v>
      </c>
    </row>
    <row r="134" spans="1:68">
      <c r="A134" s="32">
        <f t="shared" si="47"/>
        <v>41</v>
      </c>
      <c r="B134" s="32">
        <f t="shared" si="28"/>
        <v>56</v>
      </c>
      <c r="C134" s="32">
        <f t="shared" si="48"/>
        <v>4</v>
      </c>
      <c r="D134" s="32">
        <f t="shared" si="49"/>
        <v>44</v>
      </c>
      <c r="E134" s="74">
        <f>MIN(IF(AV134=0,0,
IF(Investment_Strategy="DIS",VLOOKUP(Investment_Strategy&amp;"_"&amp;Investment_Strategy_Sub1&amp;"_"&amp;$A134,'Investment Strategies'!$AZ:$BP,12,FALSE),
IF(AND(Investment_Strategy="Lifecycle",Investment_Strategy_Sub1="Non-Standard"),VLOOKUP(Investment_Strategy&amp;"_"&amp;Investment_Strategy_Sub2&amp;"_"&amp;$A134,'Investment Strategies'!$C:$P,9,FALSE),
IF(AND(Investment_Strategy="Lifecycle",Investment_Strategy_Sub1="Standard"),VLOOKUP(Investment_Strategy&amp;"_"&amp;Investment_Strategy_Sub2&amp;"_"&amp;$A134,'Investment Strategies'!$AJ:$AV,8,FALSE),
IF(AND(Investment_Strategy="Autopilot",Investment_Strategy_Sub1="Non-Standard"),VLOOKUP(Investment_Strategy&amp;"_"&amp;Investment_Strategy_Sub2&amp;"_"&amp;$A134,'Investment Strategies'!$T:$AF,8,FALSE),
IF(Investment_Strategy ="DIY",DIY_RateOfReturn_CurrentFunds,
"Error")))))),Max_InvReturn)</f>
        <v>4.1816398110932074E-3</v>
      </c>
      <c r="F134" s="62">
        <f>IF(AV134=0,0,
IF(Investment_Strategy="DIS",VLOOKUP(Investment_Strategy&amp;"_"&amp;Investment_Strategy_Sub1&amp;"_"&amp;$A134,'Investment Strategies'!$AZ:$BP,15,FALSE),
IF(AND(Investment_Strategy="Lifecycle",Investment_Strategy_Sub1="Non-Standard"),VLOOKUP(Investment_Strategy&amp;"_"&amp;Investment_Strategy_Sub2&amp;"_"&amp;$A134,'Investment Strategies'!$C:$P,12,FALSE),
IF(AND(Investment_Strategy="Lifecycle",Investment_Strategy_Sub1="Standard"),VLOOKUP(Investment_Strategy&amp;"_"&amp;Investment_Strategy_Sub2&amp;"_"&amp;$A134,'Investment Strategies'!$AJ:$AV,11,FALSE),
IF(AND(Investment_Strategy="Autopilot",Investment_Strategy_Sub1="Non-Standard"),VLOOKUP(Investment_Strategy&amp;"_"&amp;Investment_Strategy_Sub2&amp;"_"&amp;$A134,'Investment Strategies'!$T:$AF,11,FALSE),
IF(Investment_Strategy="DIY",DIY_GteeChrge_CurrentFunds,
"Error"))))))</f>
        <v>5.4328711526985263E-4</v>
      </c>
      <c r="G134" s="33">
        <f>IF(AV134=0,0,
IF(Investment_Strategy="DIS",VLOOKUP(Investment_Strategy&amp;"_"&amp;Investment_Strategy_Sub1&amp;"_"&amp;$A134,'Investment Strategies'!$AZ:$BP,17,FALSE),
IF(AND(Investment_Strategy="Lifecycle",Investment_Strategy_Sub1="Non-Standard"),VLOOKUP(Investment_Strategy&amp;"_"&amp;Investment_Strategy_Sub2&amp;"_"&amp;$A134,'Investment Strategies'!$C:$P,14,FALSE),
IF(AND(Investment_Strategy="Lifecycle",Investment_Strategy_Sub1="Standard"),VLOOKUP(Investment_Strategy&amp;"_"&amp;Investment_Strategy_Sub2&amp;"_"&amp;$A134,'Investment Strategies'!$AJ:$AV,13,FALSE),
IF(AND(Investment_Strategy="Autopilot",Investment_Strategy_Sub1="Non-Standard"),VLOOKUP(Investment_Strategy&amp;"_"&amp;Investment_Strategy_Sub2&amp;"_"&amp;$A134,'Investment Strategies'!$T:$AF,13,FALSE),
IF(Investment_Strategy="DIY",DIY_ExtManChrge_CurrentFunds,
"Error"))))))</f>
        <v>2.0857243058891584E-4</v>
      </c>
      <c r="H134" s="16">
        <f t="shared" si="30"/>
        <v>0</v>
      </c>
      <c r="I134" s="16">
        <f t="shared" si="13"/>
        <v>0</v>
      </c>
      <c r="J134" s="16">
        <f t="shared" si="14"/>
        <v>0</v>
      </c>
      <c r="K134" s="16">
        <f>(Opening_Fund_Value+SUM(K$91:K133))*E134*IF(D134=$A$91,SRP_finalmonthfactor,1)</f>
        <v>0</v>
      </c>
      <c r="L134" s="74">
        <f>MIN(IF($AV134=0,0,
IF(Investment_Strategy="DIS",VLOOKUP(Investment_Strategy&amp;"_"&amp;Investment_Strategy_Sub1&amp;"_"&amp;$A134,'Investment Strategies'!$AZ:$BP,12,FALSE),
IF(AND(Investment_Strategy="Lifecycle",Investment_Strategy_Sub1="Non-Standard"),VLOOKUP(Investment_Strategy&amp;"_"&amp;Investment_Strategy_Sub2&amp;"_"&amp;$A134,'Investment Strategies'!$C:$P,9,FALSE),
IF(AND(Investment_Strategy="Lifecycle",Investment_Strategy_Sub1="Standard"),VLOOKUP(Investment_Strategy&amp;"_"&amp;Investment_Strategy_Sub2&amp;"_"&amp;$A134,'Investment Strategies'!$AJ:$AV,8,FALSE),
IF(AND(Investment_Strategy="Autopilot",Investment_Strategy_Sub1="Non-Standard"),VLOOKUP(Investment_Strategy&amp;"_"&amp;Investment_Strategy_Sub2&amp;"_"&amp;$A134,'Investment Strategies'!$T:$AF,8,FALSE),
IF(Investment_Strategy ="DIY",DIY_RateofReturn_SP,
"Error")))))),Max_InvReturn)</f>
        <v>4.1816398110932074E-3</v>
      </c>
      <c r="M134" s="62">
        <f>IF($AV134=0,0,
IF(Investment_Strategy="DIS",VLOOKUP(Investment_Strategy&amp;"_"&amp;Investment_Strategy_Sub1&amp;"_"&amp;$A134,'Investment Strategies'!$AZ:$BP,15,FALSE),
IF(AND(Investment_Strategy="Lifecycle",Investment_Strategy_Sub1="Non-Standard"),VLOOKUP(Investment_Strategy&amp;"_"&amp;Investment_Strategy_Sub2&amp;"_"&amp;$A134,'Investment Strategies'!$C:$P,12,FALSE),
IF(AND(Investment_Strategy="Lifecycle",Investment_Strategy_Sub1="Standard"),VLOOKUP(Investment_Strategy&amp;"_"&amp;Investment_Strategy_Sub2&amp;"_"&amp;$A134,'Investment Strategies'!$AJ:$AV,11,FALSE),
IF(AND(Investment_Strategy="Autopilot",Investment_Strategy_Sub1="Non-Standard"),VLOOKUP(Investment_Strategy&amp;"_"&amp;Investment_Strategy_Sub2&amp;"_"&amp;$A134,'Investment Strategies'!$T:$AF,11,FALSE),
IF(Investment_Strategy="DIY",DIY_GteeChrge_SP,
"Error"))))))</f>
        <v>0</v>
      </c>
      <c r="N134" s="33">
        <f>IF($AV134=0,0,
IF(Investment_Strategy="DIS",VLOOKUP(Investment_Strategy&amp;"_"&amp;Investment_Strategy_Sub1&amp;"_"&amp;$A134,'Investment Strategies'!$AZ:$BP,17,FALSE),
IF(AND(Investment_Strategy="Lifecycle",Investment_Strategy_Sub1="Non-Standard"),VLOOKUP(Investment_Strategy&amp;"_"&amp;Investment_Strategy_Sub2&amp;"_"&amp;$A134,'Investment Strategies'!$C:$P,14,FALSE),
IF(AND(Investment_Strategy="Lifecycle",Investment_Strategy_Sub1="Standard"),VLOOKUP(Investment_Strategy&amp;"_"&amp;Investment_Strategy_Sub2&amp;"_"&amp;$A134,'Investment Strategies'!$AJ:$AV,13,FALSE),
IF(AND(Investment_Strategy="Autopilot",Investment_Strategy_Sub1="Non-Standard"),VLOOKUP(Investment_Strategy&amp;"_"&amp;Investment_Strategy_Sub2&amp;"_"&amp;$A134,'Investment Strategies'!$T:$AF,13,FALSE),
IF(Investment_Strategy="DIY",DIY_ExtManChrge_SP,
"Error"))))))</f>
        <v>2.0857243058891584E-4</v>
      </c>
      <c r="O134" s="16">
        <f t="shared" si="50"/>
        <v>803703.0105134747</v>
      </c>
      <c r="Q134" s="16">
        <f t="shared" si="15"/>
        <v>3360.7965050586085</v>
      </c>
      <c r="R134" s="16">
        <f t="shared" si="16"/>
        <v>-774.52440832231684</v>
      </c>
      <c r="S134" s="16">
        <f>(SRP_SP+SUM(S$91:S133))*L134*IF(D134=$A$91,SRP_finalmonthfactor,1)</f>
        <v>3502.4549266525933</v>
      </c>
      <c r="T134" s="74">
        <f>MIN(IF($AV134=0,0,
IF(Investment_Strategy="DIS",VLOOKUP(Investment_Strategy&amp;"_"&amp;Investment_Strategy_Sub1&amp;"_"&amp;$A134,'Investment Strategies'!$AZ:$BP,12,FALSE),
IF(AND(Investment_Strategy="Lifecycle",Investment_Strategy_Sub1="Non-Standard"),VLOOKUP(Investment_Strategy&amp;"_"&amp;Investment_Strategy_Sub2&amp;"_"&amp;$A134,'Investment Strategies'!$C:$P,9,FALSE),
IF(AND(Investment_Strategy="Lifecycle",Investment_Strategy_Sub1="Standard"),VLOOKUP(Investment_Strategy&amp;"_"&amp;Investment_Strategy_Sub2&amp;"_"&amp;$A134,'Investment Strategies'!$AJ:$AV,8,FALSE),
IF(AND(Investment_Strategy="Autopilot",Investment_Strategy_Sub1="Non-Standard"),VLOOKUP(Investment_Strategy&amp;"_"&amp;Investment_Strategy_Sub2&amp;"_"&amp;$A134,'Investment Strategies'!$T:$AF,8,FALSE),
IF(Investment_Strategy ="DIY",DIY_RateOfReturn_FuturePremiums,
"Error")))))),Max_InvReturn)</f>
        <v>4.1816398110932074E-3</v>
      </c>
      <c r="U134" s="62">
        <f>IF($AV134=0,0,
IF(Investment_Strategy="DIS",VLOOKUP(Investment_Strategy&amp;"_"&amp;Investment_Strategy_Sub1&amp;"_"&amp;$A134,'Investment Strategies'!$AZ:$BP,15,FALSE),
IF(AND(Investment_Strategy="Lifecycle",Investment_Strategy_Sub1="Non-Standard"),VLOOKUP(Investment_Strategy&amp;"_"&amp;Investment_Strategy_Sub2&amp;"_"&amp;$A134,'Investment Strategies'!$C:$P,12,FALSE),
IF(AND(Investment_Strategy="Lifecycle",Investment_Strategy_Sub1="Standard"),VLOOKUP(Investment_Strategy&amp;"_"&amp;Investment_Strategy_Sub2&amp;"_"&amp;$A134,'Investment Strategies'!$AJ:$AV,11,FALSE),
IF(AND(Investment_Strategy="Autopilot",Investment_Strategy_Sub1="Non-Standard"),VLOOKUP(Investment_Strategy&amp;"_"&amp;Investment_Strategy_Sub2&amp;"_"&amp;$A134,'Investment Strategies'!$T:$AF,11,FALSE),
IF(Investment_Strategy="DIY",DIY_GteeChrge_FuturePremiums,
"Error"))))))</f>
        <v>0</v>
      </c>
      <c r="V134" s="33">
        <f>IF(AV134=0,0,
IF(Investment_Strategy="DIS",VLOOKUP(Investment_Strategy&amp;"_"&amp;Investment_Strategy_Sub1&amp;"_"&amp;$A134,'Investment Strategies'!$AZ:$BP,17,FALSE),
IF(AND(Investment_Strategy="Lifecycle",Investment_Strategy_Sub1="Non-Standard"),VLOOKUP(Investment_Strategy&amp;"_"&amp;Investment_Strategy_Sub2&amp;"_"&amp;$A134,'Investment Strategies'!$C:$P,14,FALSE),
IF(AND(Investment_Strategy="Lifecycle",Investment_Strategy_Sub1="Standard"),VLOOKUP(Investment_Strategy&amp;"_"&amp;Investment_Strategy_Sub2&amp;"_"&amp;$A134,'Investment Strategies'!$AJ:$AV,13,FALSE),
IF(AND(Investment_Strategy="Autopilot",Investment_Strategy_Sub1="Non-Standard"),VLOOKUP(Investment_Strategy&amp;"_"&amp;Investment_Strategy_Sub2&amp;"_"&amp;$A134,'Investment Strategies'!$T:$AF,13,FALSE),
IF(Investment_Strategy="DIY",DIY_ExtManChrge_FuturePremiums,
"Error"))))))</f>
        <v>1.2508601994698498E-4</v>
      </c>
      <c r="W134" s="16">
        <f t="shared" si="51"/>
        <v>0</v>
      </c>
      <c r="X134" s="16">
        <f t="shared" si="17"/>
        <v>0</v>
      </c>
      <c r="Y134" s="16">
        <f t="shared" si="18"/>
        <v>0</v>
      </c>
      <c r="Z134" s="31">
        <f t="shared" si="19"/>
        <v>0.02</v>
      </c>
      <c r="AA134" s="16">
        <f t="shared" si="20"/>
        <v>0</v>
      </c>
      <c r="AB134" s="28">
        <f t="shared" si="53"/>
        <v>837579.29541448189</v>
      </c>
      <c r="AC134" s="28">
        <f>(SUM($AC$91:AC133)+SUM($X$91:X133)+X134)*T134*IF(D134=$A$91,SRP_finalmonthfactor,1)</f>
        <v>0</v>
      </c>
      <c r="AD134" s="16">
        <f t="shared" si="21"/>
        <v>-167.9807751223118</v>
      </c>
      <c r="AE134" s="106"/>
      <c r="AF134" s="16">
        <f t="shared" si="52"/>
        <v>803703.0105134747</v>
      </c>
      <c r="AG134" s="16">
        <f t="shared" si="31"/>
        <v>3502.4549266525933</v>
      </c>
      <c r="AH134" s="16">
        <f t="shared" si="32"/>
        <v>-774.52440832231684</v>
      </c>
      <c r="AJ134" s="13">
        <f t="shared" si="65"/>
        <v>0</v>
      </c>
      <c r="AK134" s="13">
        <f t="shared" si="65"/>
        <v>0</v>
      </c>
      <c r="AL134" s="13">
        <f t="shared" si="65"/>
        <v>0</v>
      </c>
      <c r="AM134" s="13">
        <f t="shared" si="65"/>
        <v>1</v>
      </c>
      <c r="AN134" s="13">
        <f t="shared" si="65"/>
        <v>1</v>
      </c>
      <c r="AO134" s="13">
        <f t="shared" si="65"/>
        <v>1</v>
      </c>
      <c r="AP134" s="13">
        <f t="shared" si="65"/>
        <v>1</v>
      </c>
      <c r="AQ134" s="13">
        <f t="shared" si="65"/>
        <v>1</v>
      </c>
      <c r="AR134" s="13">
        <f t="shared" si="65"/>
        <v>1</v>
      </c>
      <c r="AS134" s="13">
        <f t="shared" si="65"/>
        <v>1</v>
      </c>
      <c r="AT134" s="13">
        <f t="shared" si="65"/>
        <v>1</v>
      </c>
      <c r="AU134" s="13">
        <f t="shared" si="65"/>
        <v>1</v>
      </c>
      <c r="AV134" s="13">
        <f t="shared" si="23"/>
        <v>1</v>
      </c>
      <c r="AW134" s="13">
        <f t="shared" si="33"/>
        <v>1</v>
      </c>
      <c r="AY134" s="17">
        <f t="shared" si="24"/>
        <v>44</v>
      </c>
      <c r="AZ134" s="28">
        <f t="shared" si="34"/>
        <v>0</v>
      </c>
      <c r="BA134" s="13">
        <f t="shared" si="25"/>
        <v>0</v>
      </c>
      <c r="BB134" s="13">
        <f t="shared" si="26"/>
        <v>0</v>
      </c>
      <c r="BC134" s="28">
        <f t="shared" si="35"/>
        <v>0</v>
      </c>
      <c r="BD134" s="28">
        <f t="shared" si="36"/>
        <v>0</v>
      </c>
      <c r="BF134" s="248">
        <f t="shared" si="37"/>
        <v>841081.7503411345</v>
      </c>
      <c r="BG134" s="36">
        <f t="shared" si="54"/>
        <v>0</v>
      </c>
      <c r="BH134" s="36">
        <f t="shared" si="55"/>
        <v>803703.0105134747</v>
      </c>
      <c r="BI134" s="249">
        <f t="shared" si="56"/>
        <v>4.1816398110932074E-3</v>
      </c>
      <c r="BJ134" s="246">
        <f t="shared" si="57"/>
        <v>2.0857243058891584E-4</v>
      </c>
      <c r="BK134" s="246">
        <f t="shared" si="27"/>
        <v>7.531116566323881E-4</v>
      </c>
      <c r="BL134" s="246">
        <f t="shared" si="58"/>
        <v>0</v>
      </c>
      <c r="BM134" s="246">
        <f t="shared" si="59"/>
        <v>9.6168408722130394E-4</v>
      </c>
      <c r="BN134" s="36">
        <f t="shared" si="44"/>
        <v>774.52440832231673</v>
      </c>
      <c r="BO134" s="36">
        <f t="shared" si="60"/>
        <v>3360.7965050586085</v>
      </c>
      <c r="BP134" s="36">
        <f t="shared" si="61"/>
        <v>806289.28261021106</v>
      </c>
    </row>
    <row r="135" spans="1:68">
      <c r="A135" s="32">
        <f t="shared" si="47"/>
        <v>40</v>
      </c>
      <c r="B135" s="32">
        <f t="shared" si="28"/>
        <v>56</v>
      </c>
      <c r="C135" s="32">
        <f t="shared" si="48"/>
        <v>4</v>
      </c>
      <c r="D135" s="32">
        <f t="shared" si="49"/>
        <v>45</v>
      </c>
      <c r="E135" s="74">
        <f>MIN(IF(AV135=0,0,
IF(Investment_Strategy="DIS",VLOOKUP(Investment_Strategy&amp;"_"&amp;Investment_Strategy_Sub1&amp;"_"&amp;$A135,'Investment Strategies'!$AZ:$BP,12,FALSE),
IF(AND(Investment_Strategy="Lifecycle",Investment_Strategy_Sub1="Non-Standard"),VLOOKUP(Investment_Strategy&amp;"_"&amp;Investment_Strategy_Sub2&amp;"_"&amp;$A135,'Investment Strategies'!$C:$P,9,FALSE),
IF(AND(Investment_Strategy="Lifecycle",Investment_Strategy_Sub1="Standard"),VLOOKUP(Investment_Strategy&amp;"_"&amp;Investment_Strategy_Sub2&amp;"_"&amp;$A135,'Investment Strategies'!$AJ:$AV,8,FALSE),
IF(AND(Investment_Strategy="Autopilot",Investment_Strategy_Sub1="Non-Standard"),VLOOKUP(Investment_Strategy&amp;"_"&amp;Investment_Strategy_Sub2&amp;"_"&amp;$A135,'Investment Strategies'!$T:$AF,8,FALSE),
IF(Investment_Strategy ="DIY",DIY_RateOfReturn_CurrentFunds,
"Error")))))),Max_InvReturn)</f>
        <v>4.1816398110932074E-3</v>
      </c>
      <c r="F135" s="62">
        <f>IF(AV135=0,0,
IF(Investment_Strategy="DIS",VLOOKUP(Investment_Strategy&amp;"_"&amp;Investment_Strategy_Sub1&amp;"_"&amp;$A135,'Investment Strategies'!$AZ:$BP,15,FALSE),
IF(AND(Investment_Strategy="Lifecycle",Investment_Strategy_Sub1="Non-Standard"),VLOOKUP(Investment_Strategy&amp;"_"&amp;Investment_Strategy_Sub2&amp;"_"&amp;$A135,'Investment Strategies'!$C:$P,12,FALSE),
IF(AND(Investment_Strategy="Lifecycle",Investment_Strategy_Sub1="Standard"),VLOOKUP(Investment_Strategy&amp;"_"&amp;Investment_Strategy_Sub2&amp;"_"&amp;$A135,'Investment Strategies'!$AJ:$AV,11,FALSE),
IF(AND(Investment_Strategy="Autopilot",Investment_Strategy_Sub1="Non-Standard"),VLOOKUP(Investment_Strategy&amp;"_"&amp;Investment_Strategy_Sub2&amp;"_"&amp;$A135,'Investment Strategies'!$T:$AF,11,FALSE),
IF(Investment_Strategy="DIY",DIY_GteeChrge_CurrentFunds,
"Error"))))))</f>
        <v>5.4328711526985263E-4</v>
      </c>
      <c r="G135" s="33">
        <f>IF(AV135=0,0,
IF(Investment_Strategy="DIS",VLOOKUP(Investment_Strategy&amp;"_"&amp;Investment_Strategy_Sub1&amp;"_"&amp;$A135,'Investment Strategies'!$AZ:$BP,17,FALSE),
IF(AND(Investment_Strategy="Lifecycle",Investment_Strategy_Sub1="Non-Standard"),VLOOKUP(Investment_Strategy&amp;"_"&amp;Investment_Strategy_Sub2&amp;"_"&amp;$A135,'Investment Strategies'!$C:$P,14,FALSE),
IF(AND(Investment_Strategy="Lifecycle",Investment_Strategy_Sub1="Standard"),VLOOKUP(Investment_Strategy&amp;"_"&amp;Investment_Strategy_Sub2&amp;"_"&amp;$A135,'Investment Strategies'!$AJ:$AV,13,FALSE),
IF(AND(Investment_Strategy="Autopilot",Investment_Strategy_Sub1="Non-Standard"),VLOOKUP(Investment_Strategy&amp;"_"&amp;Investment_Strategy_Sub2&amp;"_"&amp;$A135,'Investment Strategies'!$T:$AF,13,FALSE),
IF(Investment_Strategy="DIY",DIY_ExtManChrge_CurrentFunds,
"Error"))))))</f>
        <v>2.0857243058891584E-4</v>
      </c>
      <c r="H135" s="16">
        <f t="shared" si="30"/>
        <v>0</v>
      </c>
      <c r="I135" s="16">
        <f t="shared" si="13"/>
        <v>0</v>
      </c>
      <c r="J135" s="16">
        <f t="shared" si="14"/>
        <v>0</v>
      </c>
      <c r="K135" s="16">
        <f>(Opening_Fund_Value+SUM(K$91:K134))*E135*IF(D135=$A$91,SRP_finalmonthfactor,1)</f>
        <v>0</v>
      </c>
      <c r="L135" s="74">
        <f>MIN(IF($AV135=0,0,
IF(Investment_Strategy="DIS",VLOOKUP(Investment_Strategy&amp;"_"&amp;Investment_Strategy_Sub1&amp;"_"&amp;$A135,'Investment Strategies'!$AZ:$BP,12,FALSE),
IF(AND(Investment_Strategy="Lifecycle",Investment_Strategy_Sub1="Non-Standard"),VLOOKUP(Investment_Strategy&amp;"_"&amp;Investment_Strategy_Sub2&amp;"_"&amp;$A135,'Investment Strategies'!$C:$P,9,FALSE),
IF(AND(Investment_Strategy="Lifecycle",Investment_Strategy_Sub1="Standard"),VLOOKUP(Investment_Strategy&amp;"_"&amp;Investment_Strategy_Sub2&amp;"_"&amp;$A135,'Investment Strategies'!$AJ:$AV,8,FALSE),
IF(AND(Investment_Strategy="Autopilot",Investment_Strategy_Sub1="Non-Standard"),VLOOKUP(Investment_Strategy&amp;"_"&amp;Investment_Strategy_Sub2&amp;"_"&amp;$A135,'Investment Strategies'!$T:$AF,8,FALSE),
IF(Investment_Strategy ="DIY",DIY_RateofReturn_SP,
"Error")))))),Max_InvReturn)</f>
        <v>4.1816398110932074E-3</v>
      </c>
      <c r="M135" s="62">
        <f>IF($AV135=0,0,
IF(Investment_Strategy="DIS",VLOOKUP(Investment_Strategy&amp;"_"&amp;Investment_Strategy_Sub1&amp;"_"&amp;$A135,'Investment Strategies'!$AZ:$BP,15,FALSE),
IF(AND(Investment_Strategy="Lifecycle",Investment_Strategy_Sub1="Non-Standard"),VLOOKUP(Investment_Strategy&amp;"_"&amp;Investment_Strategy_Sub2&amp;"_"&amp;$A135,'Investment Strategies'!$C:$P,12,FALSE),
IF(AND(Investment_Strategy="Lifecycle",Investment_Strategy_Sub1="Standard"),VLOOKUP(Investment_Strategy&amp;"_"&amp;Investment_Strategy_Sub2&amp;"_"&amp;$A135,'Investment Strategies'!$AJ:$AV,11,FALSE),
IF(AND(Investment_Strategy="Autopilot",Investment_Strategy_Sub1="Non-Standard"),VLOOKUP(Investment_Strategy&amp;"_"&amp;Investment_Strategy_Sub2&amp;"_"&amp;$A135,'Investment Strategies'!$T:$AF,11,FALSE),
IF(Investment_Strategy="DIY",DIY_GteeChrge_SP,
"Error"))))))</f>
        <v>0</v>
      </c>
      <c r="N135" s="33">
        <f>IF($AV135=0,0,
IF(Investment_Strategy="DIS",VLOOKUP(Investment_Strategy&amp;"_"&amp;Investment_Strategy_Sub1&amp;"_"&amp;$A135,'Investment Strategies'!$AZ:$BP,17,FALSE),
IF(AND(Investment_Strategy="Lifecycle",Investment_Strategy_Sub1="Non-Standard"),VLOOKUP(Investment_Strategy&amp;"_"&amp;Investment_Strategy_Sub2&amp;"_"&amp;$A135,'Investment Strategies'!$C:$P,14,FALSE),
IF(AND(Investment_Strategy="Lifecycle",Investment_Strategy_Sub1="Standard"),VLOOKUP(Investment_Strategy&amp;"_"&amp;Investment_Strategy_Sub2&amp;"_"&amp;$A135,'Investment Strategies'!$AJ:$AV,13,FALSE),
IF(AND(Investment_Strategy="Autopilot",Investment_Strategy_Sub1="Non-Standard"),VLOOKUP(Investment_Strategy&amp;"_"&amp;Investment_Strategy_Sub2&amp;"_"&amp;$A135,'Investment Strategies'!$T:$AF,13,FALSE),
IF(Investment_Strategy="DIY",DIY_ExtManChrge_SP,
"Error"))))))</f>
        <v>2.0857243058891584E-4</v>
      </c>
      <c r="O135" s="16">
        <f t="shared" si="50"/>
        <v>806289.28261021106</v>
      </c>
      <c r="Q135" s="16">
        <f t="shared" si="15"/>
        <v>3371.6113634206408</v>
      </c>
      <c r="R135" s="16">
        <f t="shared" si="16"/>
        <v>-777.0167852815689</v>
      </c>
      <c r="S135" s="16">
        <f>(SRP_SP+SUM(S$91:S134))*L135*IF(D135=$A$91,SRP_finalmonthfactor,1)</f>
        <v>3517.1009316104432</v>
      </c>
      <c r="T135" s="74">
        <f>MIN(IF($AV135=0,0,
IF(Investment_Strategy="DIS",VLOOKUP(Investment_Strategy&amp;"_"&amp;Investment_Strategy_Sub1&amp;"_"&amp;$A135,'Investment Strategies'!$AZ:$BP,12,FALSE),
IF(AND(Investment_Strategy="Lifecycle",Investment_Strategy_Sub1="Non-Standard"),VLOOKUP(Investment_Strategy&amp;"_"&amp;Investment_Strategy_Sub2&amp;"_"&amp;$A135,'Investment Strategies'!$C:$P,9,FALSE),
IF(AND(Investment_Strategy="Lifecycle",Investment_Strategy_Sub1="Standard"),VLOOKUP(Investment_Strategy&amp;"_"&amp;Investment_Strategy_Sub2&amp;"_"&amp;$A135,'Investment Strategies'!$AJ:$AV,8,FALSE),
IF(AND(Investment_Strategy="Autopilot",Investment_Strategy_Sub1="Non-Standard"),VLOOKUP(Investment_Strategy&amp;"_"&amp;Investment_Strategy_Sub2&amp;"_"&amp;$A135,'Investment Strategies'!$T:$AF,8,FALSE),
IF(Investment_Strategy ="DIY",DIY_RateOfReturn_FuturePremiums,
"Error")))))),Max_InvReturn)</f>
        <v>4.1816398110932074E-3</v>
      </c>
      <c r="U135" s="62">
        <f>IF($AV135=0,0,
IF(Investment_Strategy="DIS",VLOOKUP(Investment_Strategy&amp;"_"&amp;Investment_Strategy_Sub1&amp;"_"&amp;$A135,'Investment Strategies'!$AZ:$BP,15,FALSE),
IF(AND(Investment_Strategy="Lifecycle",Investment_Strategy_Sub1="Non-Standard"),VLOOKUP(Investment_Strategy&amp;"_"&amp;Investment_Strategy_Sub2&amp;"_"&amp;$A135,'Investment Strategies'!$C:$P,12,FALSE),
IF(AND(Investment_Strategy="Lifecycle",Investment_Strategy_Sub1="Standard"),VLOOKUP(Investment_Strategy&amp;"_"&amp;Investment_Strategy_Sub2&amp;"_"&amp;$A135,'Investment Strategies'!$AJ:$AV,11,FALSE),
IF(AND(Investment_Strategy="Autopilot",Investment_Strategy_Sub1="Non-Standard"),VLOOKUP(Investment_Strategy&amp;"_"&amp;Investment_Strategy_Sub2&amp;"_"&amp;$A135,'Investment Strategies'!$T:$AF,11,FALSE),
IF(Investment_Strategy="DIY",DIY_GteeChrge_FuturePremiums,
"Error"))))))</f>
        <v>0</v>
      </c>
      <c r="V135" s="33">
        <f>IF(AV135=0,0,
IF(Investment_Strategy="DIS",VLOOKUP(Investment_Strategy&amp;"_"&amp;Investment_Strategy_Sub1&amp;"_"&amp;$A135,'Investment Strategies'!$AZ:$BP,17,FALSE),
IF(AND(Investment_Strategy="Lifecycle",Investment_Strategy_Sub1="Non-Standard"),VLOOKUP(Investment_Strategy&amp;"_"&amp;Investment_Strategy_Sub2&amp;"_"&amp;$A135,'Investment Strategies'!$C:$P,14,FALSE),
IF(AND(Investment_Strategy="Lifecycle",Investment_Strategy_Sub1="Standard"),VLOOKUP(Investment_Strategy&amp;"_"&amp;Investment_Strategy_Sub2&amp;"_"&amp;$A135,'Investment Strategies'!$AJ:$AV,13,FALSE),
IF(AND(Investment_Strategy="Autopilot",Investment_Strategy_Sub1="Non-Standard"),VLOOKUP(Investment_Strategy&amp;"_"&amp;Investment_Strategy_Sub2&amp;"_"&amp;$A135,'Investment Strategies'!$T:$AF,13,FALSE),
IF(Investment_Strategy="DIY",DIY_ExtManChrge_FuturePremiums,
"Error"))))))</f>
        <v>1.2508601994698498E-4</v>
      </c>
      <c r="W135" s="16">
        <f t="shared" si="51"/>
        <v>0</v>
      </c>
      <c r="X135" s="16">
        <f t="shared" si="17"/>
        <v>0</v>
      </c>
      <c r="Y135" s="16">
        <f t="shared" si="18"/>
        <v>0</v>
      </c>
      <c r="Z135" s="31">
        <f t="shared" si="19"/>
        <v>0.02</v>
      </c>
      <c r="AA135" s="16">
        <f t="shared" si="20"/>
        <v>0</v>
      </c>
      <c r="AB135" s="28">
        <f t="shared" si="53"/>
        <v>841081.7503411345</v>
      </c>
      <c r="AC135" s="28">
        <f>(SUM($AC$91:AC134)+SUM($X$91:X134)+X135)*T135*IF(D135=$A$91,SRP_finalmonthfactor,1)</f>
        <v>0</v>
      </c>
      <c r="AD135" s="16">
        <f t="shared" si="21"/>
        <v>-168.52132802033992</v>
      </c>
      <c r="AE135" s="106"/>
      <c r="AF135" s="16">
        <f t="shared" si="52"/>
        <v>806289.28261021106</v>
      </c>
      <c r="AG135" s="16">
        <f t="shared" si="31"/>
        <v>3517.1009316104432</v>
      </c>
      <c r="AH135" s="16">
        <f t="shared" si="32"/>
        <v>-777.0167852815689</v>
      </c>
      <c r="AJ135" s="13">
        <f t="shared" si="65"/>
        <v>0</v>
      </c>
      <c r="AK135" s="13">
        <f t="shared" si="65"/>
        <v>0</v>
      </c>
      <c r="AL135" s="13">
        <f t="shared" si="65"/>
        <v>0</v>
      </c>
      <c r="AM135" s="13">
        <f t="shared" si="65"/>
        <v>1</v>
      </c>
      <c r="AN135" s="13">
        <f t="shared" si="65"/>
        <v>1</v>
      </c>
      <c r="AO135" s="13">
        <f t="shared" si="65"/>
        <v>1</v>
      </c>
      <c r="AP135" s="13">
        <f t="shared" si="65"/>
        <v>1</v>
      </c>
      <c r="AQ135" s="13">
        <f t="shared" si="65"/>
        <v>1</v>
      </c>
      <c r="AR135" s="13">
        <f t="shared" si="65"/>
        <v>1</v>
      </c>
      <c r="AS135" s="13">
        <f t="shared" si="65"/>
        <v>1</v>
      </c>
      <c r="AT135" s="13">
        <f t="shared" si="65"/>
        <v>1</v>
      </c>
      <c r="AU135" s="13">
        <f t="shared" si="65"/>
        <v>1</v>
      </c>
      <c r="AV135" s="13">
        <f t="shared" si="23"/>
        <v>1</v>
      </c>
      <c r="AW135" s="13">
        <f t="shared" si="33"/>
        <v>1</v>
      </c>
      <c r="AY135" s="17">
        <f t="shared" si="24"/>
        <v>45</v>
      </c>
      <c r="AZ135" s="28">
        <f t="shared" si="34"/>
        <v>0</v>
      </c>
      <c r="BA135" s="13">
        <f t="shared" si="25"/>
        <v>0</v>
      </c>
      <c r="BB135" s="13">
        <f t="shared" si="26"/>
        <v>0</v>
      </c>
      <c r="BC135" s="28">
        <f t="shared" si="35"/>
        <v>0</v>
      </c>
      <c r="BD135" s="28">
        <f t="shared" si="36"/>
        <v>0</v>
      </c>
      <c r="BF135" s="248">
        <f t="shared" si="37"/>
        <v>844598.85127274494</v>
      </c>
      <c r="BG135" s="36">
        <f t="shared" si="54"/>
        <v>0</v>
      </c>
      <c r="BH135" s="36">
        <f t="shared" si="55"/>
        <v>806289.28261021106</v>
      </c>
      <c r="BI135" s="249">
        <f t="shared" si="56"/>
        <v>4.1816398110932074E-3</v>
      </c>
      <c r="BJ135" s="246">
        <f t="shared" si="57"/>
        <v>2.0857243058891584E-4</v>
      </c>
      <c r="BK135" s="246">
        <f t="shared" si="27"/>
        <v>7.531116566323881E-4</v>
      </c>
      <c r="BL135" s="246">
        <f t="shared" si="58"/>
        <v>0</v>
      </c>
      <c r="BM135" s="246">
        <f t="shared" si="59"/>
        <v>9.6168408722130394E-4</v>
      </c>
      <c r="BN135" s="36">
        <f t="shared" si="44"/>
        <v>777.01678528156879</v>
      </c>
      <c r="BO135" s="36">
        <f t="shared" si="60"/>
        <v>3371.6113634206408</v>
      </c>
      <c r="BP135" s="36">
        <f t="shared" si="61"/>
        <v>808883.87718835007</v>
      </c>
    </row>
    <row r="136" spans="1:68">
      <c r="A136" s="32">
        <f t="shared" si="47"/>
        <v>39</v>
      </c>
      <c r="B136" s="32">
        <f t="shared" si="28"/>
        <v>56</v>
      </c>
      <c r="C136" s="32">
        <f t="shared" si="48"/>
        <v>4</v>
      </c>
      <c r="D136" s="32">
        <f t="shared" si="49"/>
        <v>46</v>
      </c>
      <c r="E136" s="74">
        <f>MIN(IF(AV136=0,0,
IF(Investment_Strategy="DIS",VLOOKUP(Investment_Strategy&amp;"_"&amp;Investment_Strategy_Sub1&amp;"_"&amp;$A136,'Investment Strategies'!$AZ:$BP,12,FALSE),
IF(AND(Investment_Strategy="Lifecycle",Investment_Strategy_Sub1="Non-Standard"),VLOOKUP(Investment_Strategy&amp;"_"&amp;Investment_Strategy_Sub2&amp;"_"&amp;$A136,'Investment Strategies'!$C:$P,9,FALSE),
IF(AND(Investment_Strategy="Lifecycle",Investment_Strategy_Sub1="Standard"),VLOOKUP(Investment_Strategy&amp;"_"&amp;Investment_Strategy_Sub2&amp;"_"&amp;$A136,'Investment Strategies'!$AJ:$AV,8,FALSE),
IF(AND(Investment_Strategy="Autopilot",Investment_Strategy_Sub1="Non-Standard"),VLOOKUP(Investment_Strategy&amp;"_"&amp;Investment_Strategy_Sub2&amp;"_"&amp;$A136,'Investment Strategies'!$T:$AF,8,FALSE),
IF(Investment_Strategy ="DIY",DIY_RateOfReturn_CurrentFunds,
"Error")))))),Max_InvReturn)</f>
        <v>4.1816398110932074E-3</v>
      </c>
      <c r="F136" s="62">
        <f>IF(AV136=0,0,
IF(Investment_Strategy="DIS",VLOOKUP(Investment_Strategy&amp;"_"&amp;Investment_Strategy_Sub1&amp;"_"&amp;$A136,'Investment Strategies'!$AZ:$BP,15,FALSE),
IF(AND(Investment_Strategy="Lifecycle",Investment_Strategy_Sub1="Non-Standard"),VLOOKUP(Investment_Strategy&amp;"_"&amp;Investment_Strategy_Sub2&amp;"_"&amp;$A136,'Investment Strategies'!$C:$P,12,FALSE),
IF(AND(Investment_Strategy="Lifecycle",Investment_Strategy_Sub1="Standard"),VLOOKUP(Investment_Strategy&amp;"_"&amp;Investment_Strategy_Sub2&amp;"_"&amp;$A136,'Investment Strategies'!$AJ:$AV,11,FALSE),
IF(AND(Investment_Strategy="Autopilot",Investment_Strategy_Sub1="Non-Standard"),VLOOKUP(Investment_Strategy&amp;"_"&amp;Investment_Strategy_Sub2&amp;"_"&amp;$A136,'Investment Strategies'!$T:$AF,11,FALSE),
IF(Investment_Strategy="DIY",DIY_GteeChrge_CurrentFunds,
"Error"))))))</f>
        <v>5.4328711526985263E-4</v>
      </c>
      <c r="G136" s="33">
        <f>IF(AV136=0,0,
IF(Investment_Strategy="DIS",VLOOKUP(Investment_Strategy&amp;"_"&amp;Investment_Strategy_Sub1&amp;"_"&amp;$A136,'Investment Strategies'!$AZ:$BP,17,FALSE),
IF(AND(Investment_Strategy="Lifecycle",Investment_Strategy_Sub1="Non-Standard"),VLOOKUP(Investment_Strategy&amp;"_"&amp;Investment_Strategy_Sub2&amp;"_"&amp;$A136,'Investment Strategies'!$C:$P,14,FALSE),
IF(AND(Investment_Strategy="Lifecycle",Investment_Strategy_Sub1="Standard"),VLOOKUP(Investment_Strategy&amp;"_"&amp;Investment_Strategy_Sub2&amp;"_"&amp;$A136,'Investment Strategies'!$AJ:$AV,13,FALSE),
IF(AND(Investment_Strategy="Autopilot",Investment_Strategy_Sub1="Non-Standard"),VLOOKUP(Investment_Strategy&amp;"_"&amp;Investment_Strategy_Sub2&amp;"_"&amp;$A136,'Investment Strategies'!$T:$AF,13,FALSE),
IF(Investment_Strategy="DIY",DIY_ExtManChrge_CurrentFunds,
"Error"))))))</f>
        <v>2.0857243058891584E-4</v>
      </c>
      <c r="H136" s="16">
        <f t="shared" si="30"/>
        <v>0</v>
      </c>
      <c r="I136" s="16">
        <f t="shared" si="13"/>
        <v>0</v>
      </c>
      <c r="J136" s="16">
        <f t="shared" si="14"/>
        <v>0</v>
      </c>
      <c r="K136" s="16">
        <f>(Opening_Fund_Value+SUM(K$91:K135))*E136*IF(D136=$A$91,SRP_finalmonthfactor,1)</f>
        <v>0</v>
      </c>
      <c r="L136" s="74">
        <f>MIN(IF($AV136=0,0,
IF(Investment_Strategy="DIS",VLOOKUP(Investment_Strategy&amp;"_"&amp;Investment_Strategy_Sub1&amp;"_"&amp;$A136,'Investment Strategies'!$AZ:$BP,12,FALSE),
IF(AND(Investment_Strategy="Lifecycle",Investment_Strategy_Sub1="Non-Standard"),VLOOKUP(Investment_Strategy&amp;"_"&amp;Investment_Strategy_Sub2&amp;"_"&amp;$A136,'Investment Strategies'!$C:$P,9,FALSE),
IF(AND(Investment_Strategy="Lifecycle",Investment_Strategy_Sub1="Standard"),VLOOKUP(Investment_Strategy&amp;"_"&amp;Investment_Strategy_Sub2&amp;"_"&amp;$A136,'Investment Strategies'!$AJ:$AV,8,FALSE),
IF(AND(Investment_Strategy="Autopilot",Investment_Strategy_Sub1="Non-Standard"),VLOOKUP(Investment_Strategy&amp;"_"&amp;Investment_Strategy_Sub2&amp;"_"&amp;$A136,'Investment Strategies'!$T:$AF,8,FALSE),
IF(Investment_Strategy ="DIY",DIY_RateofReturn_SP,
"Error")))))),Max_InvReturn)</f>
        <v>4.1816398110932074E-3</v>
      </c>
      <c r="M136" s="62">
        <f>IF($AV136=0,0,
IF(Investment_Strategy="DIS",VLOOKUP(Investment_Strategy&amp;"_"&amp;Investment_Strategy_Sub1&amp;"_"&amp;$A136,'Investment Strategies'!$AZ:$BP,15,FALSE),
IF(AND(Investment_Strategy="Lifecycle",Investment_Strategy_Sub1="Non-Standard"),VLOOKUP(Investment_Strategy&amp;"_"&amp;Investment_Strategy_Sub2&amp;"_"&amp;$A136,'Investment Strategies'!$C:$P,12,FALSE),
IF(AND(Investment_Strategy="Lifecycle",Investment_Strategy_Sub1="Standard"),VLOOKUP(Investment_Strategy&amp;"_"&amp;Investment_Strategy_Sub2&amp;"_"&amp;$A136,'Investment Strategies'!$AJ:$AV,11,FALSE),
IF(AND(Investment_Strategy="Autopilot",Investment_Strategy_Sub1="Non-Standard"),VLOOKUP(Investment_Strategy&amp;"_"&amp;Investment_Strategy_Sub2&amp;"_"&amp;$A136,'Investment Strategies'!$T:$AF,11,FALSE),
IF(Investment_Strategy="DIY",DIY_GteeChrge_SP,
"Error"))))))</f>
        <v>0</v>
      </c>
      <c r="N136" s="33">
        <f>IF($AV136=0,0,
IF(Investment_Strategy="DIS",VLOOKUP(Investment_Strategy&amp;"_"&amp;Investment_Strategy_Sub1&amp;"_"&amp;$A136,'Investment Strategies'!$AZ:$BP,17,FALSE),
IF(AND(Investment_Strategy="Lifecycle",Investment_Strategy_Sub1="Non-Standard"),VLOOKUP(Investment_Strategy&amp;"_"&amp;Investment_Strategy_Sub2&amp;"_"&amp;$A136,'Investment Strategies'!$C:$P,14,FALSE),
IF(AND(Investment_Strategy="Lifecycle",Investment_Strategy_Sub1="Standard"),VLOOKUP(Investment_Strategy&amp;"_"&amp;Investment_Strategy_Sub2&amp;"_"&amp;$A136,'Investment Strategies'!$AJ:$AV,13,FALSE),
IF(AND(Investment_Strategy="Autopilot",Investment_Strategy_Sub1="Non-Standard"),VLOOKUP(Investment_Strategy&amp;"_"&amp;Investment_Strategy_Sub2&amp;"_"&amp;$A136,'Investment Strategies'!$T:$AF,13,FALSE),
IF(Investment_Strategy="DIY",DIY_ExtManChrge_SP,
"Error"))))))</f>
        <v>2.0857243058891584E-4</v>
      </c>
      <c r="O136" s="16">
        <f t="shared" si="50"/>
        <v>808883.87718835007</v>
      </c>
      <c r="Q136" s="16">
        <f t="shared" si="15"/>
        <v>3382.4610234022334</v>
      </c>
      <c r="R136" s="16">
        <f t="shared" si="16"/>
        <v>-779.5171825728338</v>
      </c>
      <c r="S136" s="16">
        <f>(SRP_SP+SUM(S$91:S135))*L136*IF(D136=$A$91,SRP_finalmonthfactor,1)</f>
        <v>3531.8081808856987</v>
      </c>
      <c r="T136" s="74">
        <f>MIN(IF($AV136=0,0,
IF(Investment_Strategy="DIS",VLOOKUP(Investment_Strategy&amp;"_"&amp;Investment_Strategy_Sub1&amp;"_"&amp;$A136,'Investment Strategies'!$AZ:$BP,12,FALSE),
IF(AND(Investment_Strategy="Lifecycle",Investment_Strategy_Sub1="Non-Standard"),VLOOKUP(Investment_Strategy&amp;"_"&amp;Investment_Strategy_Sub2&amp;"_"&amp;$A136,'Investment Strategies'!$C:$P,9,FALSE),
IF(AND(Investment_Strategy="Lifecycle",Investment_Strategy_Sub1="Standard"),VLOOKUP(Investment_Strategy&amp;"_"&amp;Investment_Strategy_Sub2&amp;"_"&amp;$A136,'Investment Strategies'!$AJ:$AV,8,FALSE),
IF(AND(Investment_Strategy="Autopilot",Investment_Strategy_Sub1="Non-Standard"),VLOOKUP(Investment_Strategy&amp;"_"&amp;Investment_Strategy_Sub2&amp;"_"&amp;$A136,'Investment Strategies'!$T:$AF,8,FALSE),
IF(Investment_Strategy ="DIY",DIY_RateOfReturn_FuturePremiums,
"Error")))))),Max_InvReturn)</f>
        <v>4.1816398110932074E-3</v>
      </c>
      <c r="U136" s="62">
        <f>IF($AV136=0,0,
IF(Investment_Strategy="DIS",VLOOKUP(Investment_Strategy&amp;"_"&amp;Investment_Strategy_Sub1&amp;"_"&amp;$A136,'Investment Strategies'!$AZ:$BP,15,FALSE),
IF(AND(Investment_Strategy="Lifecycle",Investment_Strategy_Sub1="Non-Standard"),VLOOKUP(Investment_Strategy&amp;"_"&amp;Investment_Strategy_Sub2&amp;"_"&amp;$A136,'Investment Strategies'!$C:$P,12,FALSE),
IF(AND(Investment_Strategy="Lifecycle",Investment_Strategy_Sub1="Standard"),VLOOKUP(Investment_Strategy&amp;"_"&amp;Investment_Strategy_Sub2&amp;"_"&amp;$A136,'Investment Strategies'!$AJ:$AV,11,FALSE),
IF(AND(Investment_Strategy="Autopilot",Investment_Strategy_Sub1="Non-Standard"),VLOOKUP(Investment_Strategy&amp;"_"&amp;Investment_Strategy_Sub2&amp;"_"&amp;$A136,'Investment Strategies'!$T:$AF,11,FALSE),
IF(Investment_Strategy="DIY",DIY_GteeChrge_FuturePremiums,
"Error"))))))</f>
        <v>0</v>
      </c>
      <c r="V136" s="33">
        <f>IF(AV136=0,0,
IF(Investment_Strategy="DIS",VLOOKUP(Investment_Strategy&amp;"_"&amp;Investment_Strategy_Sub1&amp;"_"&amp;$A136,'Investment Strategies'!$AZ:$BP,17,FALSE),
IF(AND(Investment_Strategy="Lifecycle",Investment_Strategy_Sub1="Non-Standard"),VLOOKUP(Investment_Strategy&amp;"_"&amp;Investment_Strategy_Sub2&amp;"_"&amp;$A136,'Investment Strategies'!$C:$P,14,FALSE),
IF(AND(Investment_Strategy="Lifecycle",Investment_Strategy_Sub1="Standard"),VLOOKUP(Investment_Strategy&amp;"_"&amp;Investment_Strategy_Sub2&amp;"_"&amp;$A136,'Investment Strategies'!$AJ:$AV,13,FALSE),
IF(AND(Investment_Strategy="Autopilot",Investment_Strategy_Sub1="Non-Standard"),VLOOKUP(Investment_Strategy&amp;"_"&amp;Investment_Strategy_Sub2&amp;"_"&amp;$A136,'Investment Strategies'!$T:$AF,13,FALSE),
IF(Investment_Strategy="DIY",DIY_ExtManChrge_FuturePremiums,
"Error"))))))</f>
        <v>1.2508601994698498E-4</v>
      </c>
      <c r="W136" s="16">
        <f t="shared" si="51"/>
        <v>0</v>
      </c>
      <c r="X136" s="16">
        <f t="shared" si="17"/>
        <v>0</v>
      </c>
      <c r="Y136" s="16">
        <f t="shared" si="18"/>
        <v>0</v>
      </c>
      <c r="Z136" s="31">
        <f t="shared" si="19"/>
        <v>0.02</v>
      </c>
      <c r="AA136" s="16">
        <f t="shared" si="20"/>
        <v>0</v>
      </c>
      <c r="AB136" s="28">
        <f t="shared" si="53"/>
        <v>844598.85127274494</v>
      </c>
      <c r="AC136" s="28">
        <f>(SUM($AC$91:AC135)+SUM($X$91:X135)+X136)*T136*IF(D136=$A$91,SRP_finalmonthfactor,1)</f>
        <v>0</v>
      </c>
      <c r="AD136" s="16">
        <f t="shared" si="21"/>
        <v>-169.06362038787191</v>
      </c>
      <c r="AE136" s="106"/>
      <c r="AF136" s="16">
        <f t="shared" si="52"/>
        <v>808883.87718835007</v>
      </c>
      <c r="AG136" s="16">
        <f t="shared" si="31"/>
        <v>3531.8081808856987</v>
      </c>
      <c r="AH136" s="16">
        <f t="shared" si="32"/>
        <v>-779.5171825728338</v>
      </c>
      <c r="AJ136" s="13">
        <f t="shared" si="65"/>
        <v>0</v>
      </c>
      <c r="AK136" s="13">
        <f t="shared" si="65"/>
        <v>0</v>
      </c>
      <c r="AL136" s="13">
        <f t="shared" si="65"/>
        <v>0</v>
      </c>
      <c r="AM136" s="13">
        <f t="shared" si="65"/>
        <v>1</v>
      </c>
      <c r="AN136" s="13">
        <f t="shared" si="65"/>
        <v>1</v>
      </c>
      <c r="AO136" s="13">
        <f t="shared" si="65"/>
        <v>1</v>
      </c>
      <c r="AP136" s="13">
        <f t="shared" si="65"/>
        <v>1</v>
      </c>
      <c r="AQ136" s="13">
        <f t="shared" si="65"/>
        <v>1</v>
      </c>
      <c r="AR136" s="13">
        <f t="shared" si="65"/>
        <v>1</v>
      </c>
      <c r="AS136" s="13">
        <f t="shared" si="65"/>
        <v>1</v>
      </c>
      <c r="AT136" s="13">
        <f t="shared" si="65"/>
        <v>1</v>
      </c>
      <c r="AU136" s="13">
        <f t="shared" si="65"/>
        <v>1</v>
      </c>
      <c r="AV136" s="13">
        <f t="shared" si="23"/>
        <v>1</v>
      </c>
      <c r="AW136" s="13">
        <f t="shared" si="33"/>
        <v>1</v>
      </c>
      <c r="AY136" s="17">
        <f t="shared" si="24"/>
        <v>46</v>
      </c>
      <c r="AZ136" s="28">
        <f t="shared" si="34"/>
        <v>0</v>
      </c>
      <c r="BA136" s="13">
        <f t="shared" si="25"/>
        <v>0</v>
      </c>
      <c r="BB136" s="13">
        <f t="shared" si="26"/>
        <v>0</v>
      </c>
      <c r="BC136" s="28">
        <f t="shared" si="35"/>
        <v>0</v>
      </c>
      <c r="BD136" s="28">
        <f t="shared" si="36"/>
        <v>0</v>
      </c>
      <c r="BF136" s="248">
        <f t="shared" si="37"/>
        <v>848130.65945363068</v>
      </c>
      <c r="BG136" s="36">
        <f t="shared" si="54"/>
        <v>0</v>
      </c>
      <c r="BH136" s="36">
        <f t="shared" si="55"/>
        <v>808883.87718835007</v>
      </c>
      <c r="BI136" s="249">
        <f t="shared" si="56"/>
        <v>4.1816398110932074E-3</v>
      </c>
      <c r="BJ136" s="246">
        <f t="shared" si="57"/>
        <v>2.0857243058891584E-4</v>
      </c>
      <c r="BK136" s="246">
        <f t="shared" si="27"/>
        <v>7.531116566323881E-4</v>
      </c>
      <c r="BL136" s="246">
        <f t="shared" si="58"/>
        <v>0</v>
      </c>
      <c r="BM136" s="246">
        <f t="shared" si="59"/>
        <v>9.6168408722130394E-4</v>
      </c>
      <c r="BN136" s="36">
        <f t="shared" si="44"/>
        <v>779.5171825728338</v>
      </c>
      <c r="BO136" s="36">
        <f t="shared" si="60"/>
        <v>3382.4610234022334</v>
      </c>
      <c r="BP136" s="36">
        <f t="shared" si="61"/>
        <v>811486.8210291795</v>
      </c>
    </row>
    <row r="137" spans="1:68">
      <c r="A137" s="32">
        <f t="shared" si="47"/>
        <v>38</v>
      </c>
      <c r="B137" s="32">
        <f t="shared" si="28"/>
        <v>56</v>
      </c>
      <c r="C137" s="32">
        <f t="shared" si="48"/>
        <v>4</v>
      </c>
      <c r="D137" s="32">
        <f t="shared" si="49"/>
        <v>47</v>
      </c>
      <c r="E137" s="74">
        <f>MIN(IF(AV137=0,0,
IF(Investment_Strategy="DIS",VLOOKUP(Investment_Strategy&amp;"_"&amp;Investment_Strategy_Sub1&amp;"_"&amp;$A137,'Investment Strategies'!$AZ:$BP,12,FALSE),
IF(AND(Investment_Strategy="Lifecycle",Investment_Strategy_Sub1="Non-Standard"),VLOOKUP(Investment_Strategy&amp;"_"&amp;Investment_Strategy_Sub2&amp;"_"&amp;$A137,'Investment Strategies'!$C:$P,9,FALSE),
IF(AND(Investment_Strategy="Lifecycle",Investment_Strategy_Sub1="Standard"),VLOOKUP(Investment_Strategy&amp;"_"&amp;Investment_Strategy_Sub2&amp;"_"&amp;$A137,'Investment Strategies'!$AJ:$AV,8,FALSE),
IF(AND(Investment_Strategy="Autopilot",Investment_Strategy_Sub1="Non-Standard"),VLOOKUP(Investment_Strategy&amp;"_"&amp;Investment_Strategy_Sub2&amp;"_"&amp;$A137,'Investment Strategies'!$T:$AF,8,FALSE),
IF(Investment_Strategy ="DIY",DIY_RateOfReturn_CurrentFunds,
"Error")))))),Max_InvReturn)</f>
        <v>4.1816398110932074E-3</v>
      </c>
      <c r="F137" s="62">
        <f>IF(AV137=0,0,
IF(Investment_Strategy="DIS",VLOOKUP(Investment_Strategy&amp;"_"&amp;Investment_Strategy_Sub1&amp;"_"&amp;$A137,'Investment Strategies'!$AZ:$BP,15,FALSE),
IF(AND(Investment_Strategy="Lifecycle",Investment_Strategy_Sub1="Non-Standard"),VLOOKUP(Investment_Strategy&amp;"_"&amp;Investment_Strategy_Sub2&amp;"_"&amp;$A137,'Investment Strategies'!$C:$P,12,FALSE),
IF(AND(Investment_Strategy="Lifecycle",Investment_Strategy_Sub1="Standard"),VLOOKUP(Investment_Strategy&amp;"_"&amp;Investment_Strategy_Sub2&amp;"_"&amp;$A137,'Investment Strategies'!$AJ:$AV,11,FALSE),
IF(AND(Investment_Strategy="Autopilot",Investment_Strategy_Sub1="Non-Standard"),VLOOKUP(Investment_Strategy&amp;"_"&amp;Investment_Strategy_Sub2&amp;"_"&amp;$A137,'Investment Strategies'!$T:$AF,11,FALSE),
IF(Investment_Strategy="DIY",DIY_GteeChrge_CurrentFunds,
"Error"))))))</f>
        <v>5.4328711526985263E-4</v>
      </c>
      <c r="G137" s="33">
        <f>IF(AV137=0,0,
IF(Investment_Strategy="DIS",VLOOKUP(Investment_Strategy&amp;"_"&amp;Investment_Strategy_Sub1&amp;"_"&amp;$A137,'Investment Strategies'!$AZ:$BP,17,FALSE),
IF(AND(Investment_Strategy="Lifecycle",Investment_Strategy_Sub1="Non-Standard"),VLOOKUP(Investment_Strategy&amp;"_"&amp;Investment_Strategy_Sub2&amp;"_"&amp;$A137,'Investment Strategies'!$C:$P,14,FALSE),
IF(AND(Investment_Strategy="Lifecycle",Investment_Strategy_Sub1="Standard"),VLOOKUP(Investment_Strategy&amp;"_"&amp;Investment_Strategy_Sub2&amp;"_"&amp;$A137,'Investment Strategies'!$AJ:$AV,13,FALSE),
IF(AND(Investment_Strategy="Autopilot",Investment_Strategy_Sub1="Non-Standard"),VLOOKUP(Investment_Strategy&amp;"_"&amp;Investment_Strategy_Sub2&amp;"_"&amp;$A137,'Investment Strategies'!$T:$AF,13,FALSE),
IF(Investment_Strategy="DIY",DIY_ExtManChrge_CurrentFunds,
"Error"))))))</f>
        <v>2.0857243058891584E-4</v>
      </c>
      <c r="H137" s="16">
        <f t="shared" si="30"/>
        <v>0</v>
      </c>
      <c r="I137" s="16">
        <f t="shared" si="13"/>
        <v>0</v>
      </c>
      <c r="J137" s="16">
        <f t="shared" si="14"/>
        <v>0</v>
      </c>
      <c r="K137" s="16">
        <f>(Opening_Fund_Value+SUM(K$91:K136))*E137*IF(D137=$A$91,SRP_finalmonthfactor,1)</f>
        <v>0</v>
      </c>
      <c r="L137" s="74">
        <f>MIN(IF($AV137=0,0,
IF(Investment_Strategy="DIS",VLOOKUP(Investment_Strategy&amp;"_"&amp;Investment_Strategy_Sub1&amp;"_"&amp;$A137,'Investment Strategies'!$AZ:$BP,12,FALSE),
IF(AND(Investment_Strategy="Lifecycle",Investment_Strategy_Sub1="Non-Standard"),VLOOKUP(Investment_Strategy&amp;"_"&amp;Investment_Strategy_Sub2&amp;"_"&amp;$A137,'Investment Strategies'!$C:$P,9,FALSE),
IF(AND(Investment_Strategy="Lifecycle",Investment_Strategy_Sub1="Standard"),VLOOKUP(Investment_Strategy&amp;"_"&amp;Investment_Strategy_Sub2&amp;"_"&amp;$A137,'Investment Strategies'!$AJ:$AV,8,FALSE),
IF(AND(Investment_Strategy="Autopilot",Investment_Strategy_Sub1="Non-Standard"),VLOOKUP(Investment_Strategy&amp;"_"&amp;Investment_Strategy_Sub2&amp;"_"&amp;$A137,'Investment Strategies'!$T:$AF,8,FALSE),
IF(Investment_Strategy ="DIY",DIY_RateofReturn_SP,
"Error")))))),Max_InvReturn)</f>
        <v>4.1816398110932074E-3</v>
      </c>
      <c r="M137" s="62">
        <f>IF($AV137=0,0,
IF(Investment_Strategy="DIS",VLOOKUP(Investment_Strategy&amp;"_"&amp;Investment_Strategy_Sub1&amp;"_"&amp;$A137,'Investment Strategies'!$AZ:$BP,15,FALSE),
IF(AND(Investment_Strategy="Lifecycle",Investment_Strategy_Sub1="Non-Standard"),VLOOKUP(Investment_Strategy&amp;"_"&amp;Investment_Strategy_Sub2&amp;"_"&amp;$A137,'Investment Strategies'!$C:$P,12,FALSE),
IF(AND(Investment_Strategy="Lifecycle",Investment_Strategy_Sub1="Standard"),VLOOKUP(Investment_Strategy&amp;"_"&amp;Investment_Strategy_Sub2&amp;"_"&amp;$A137,'Investment Strategies'!$AJ:$AV,11,FALSE),
IF(AND(Investment_Strategy="Autopilot",Investment_Strategy_Sub1="Non-Standard"),VLOOKUP(Investment_Strategy&amp;"_"&amp;Investment_Strategy_Sub2&amp;"_"&amp;$A137,'Investment Strategies'!$T:$AF,11,FALSE),
IF(Investment_Strategy="DIY",DIY_GteeChrge_SP,
"Error"))))))</f>
        <v>0</v>
      </c>
      <c r="N137" s="33">
        <f>IF($AV137=0,0,
IF(Investment_Strategy="DIS",VLOOKUP(Investment_Strategy&amp;"_"&amp;Investment_Strategy_Sub1&amp;"_"&amp;$A137,'Investment Strategies'!$AZ:$BP,17,FALSE),
IF(AND(Investment_Strategy="Lifecycle",Investment_Strategy_Sub1="Non-Standard"),VLOOKUP(Investment_Strategy&amp;"_"&amp;Investment_Strategy_Sub2&amp;"_"&amp;$A137,'Investment Strategies'!$C:$P,14,FALSE),
IF(AND(Investment_Strategy="Lifecycle",Investment_Strategy_Sub1="Standard"),VLOOKUP(Investment_Strategy&amp;"_"&amp;Investment_Strategy_Sub2&amp;"_"&amp;$A137,'Investment Strategies'!$AJ:$AV,13,FALSE),
IF(AND(Investment_Strategy="Autopilot",Investment_Strategy_Sub1="Non-Standard"),VLOOKUP(Investment_Strategy&amp;"_"&amp;Investment_Strategy_Sub2&amp;"_"&amp;$A137,'Investment Strategies'!$T:$AF,13,FALSE),
IF(Investment_Strategy="DIY",DIY_ExtManChrge_SP,
"Error"))))))</f>
        <v>2.0857243058891584E-4</v>
      </c>
      <c r="O137" s="16">
        <f t="shared" si="50"/>
        <v>811486.8210291795</v>
      </c>
      <c r="Q137" s="16">
        <f t="shared" si="15"/>
        <v>3393.3455969930856</v>
      </c>
      <c r="R137" s="16">
        <f t="shared" si="16"/>
        <v>-782.02562600509953</v>
      </c>
      <c r="S137" s="16">
        <f>(SRP_SP+SUM(S$91:S136))*L137*IF(D137=$A$91,SRP_finalmonthfactor,1)</f>
        <v>3546.5769305800345</v>
      </c>
      <c r="T137" s="74">
        <f>MIN(IF($AV137=0,0,
IF(Investment_Strategy="DIS",VLOOKUP(Investment_Strategy&amp;"_"&amp;Investment_Strategy_Sub1&amp;"_"&amp;$A137,'Investment Strategies'!$AZ:$BP,12,FALSE),
IF(AND(Investment_Strategy="Lifecycle",Investment_Strategy_Sub1="Non-Standard"),VLOOKUP(Investment_Strategy&amp;"_"&amp;Investment_Strategy_Sub2&amp;"_"&amp;$A137,'Investment Strategies'!$C:$P,9,FALSE),
IF(AND(Investment_Strategy="Lifecycle",Investment_Strategy_Sub1="Standard"),VLOOKUP(Investment_Strategy&amp;"_"&amp;Investment_Strategy_Sub2&amp;"_"&amp;$A137,'Investment Strategies'!$AJ:$AV,8,FALSE),
IF(AND(Investment_Strategy="Autopilot",Investment_Strategy_Sub1="Non-Standard"),VLOOKUP(Investment_Strategy&amp;"_"&amp;Investment_Strategy_Sub2&amp;"_"&amp;$A137,'Investment Strategies'!$T:$AF,8,FALSE),
IF(Investment_Strategy ="DIY",DIY_RateOfReturn_FuturePremiums,
"Error")))))),Max_InvReturn)</f>
        <v>4.1816398110932074E-3</v>
      </c>
      <c r="U137" s="62">
        <f>IF($AV137=0,0,
IF(Investment_Strategy="DIS",VLOOKUP(Investment_Strategy&amp;"_"&amp;Investment_Strategy_Sub1&amp;"_"&amp;$A137,'Investment Strategies'!$AZ:$BP,15,FALSE),
IF(AND(Investment_Strategy="Lifecycle",Investment_Strategy_Sub1="Non-Standard"),VLOOKUP(Investment_Strategy&amp;"_"&amp;Investment_Strategy_Sub2&amp;"_"&amp;$A137,'Investment Strategies'!$C:$P,12,FALSE),
IF(AND(Investment_Strategy="Lifecycle",Investment_Strategy_Sub1="Standard"),VLOOKUP(Investment_Strategy&amp;"_"&amp;Investment_Strategy_Sub2&amp;"_"&amp;$A137,'Investment Strategies'!$AJ:$AV,11,FALSE),
IF(AND(Investment_Strategy="Autopilot",Investment_Strategy_Sub1="Non-Standard"),VLOOKUP(Investment_Strategy&amp;"_"&amp;Investment_Strategy_Sub2&amp;"_"&amp;$A137,'Investment Strategies'!$T:$AF,11,FALSE),
IF(Investment_Strategy="DIY",DIY_GteeChrge_FuturePremiums,
"Error"))))))</f>
        <v>0</v>
      </c>
      <c r="V137" s="33">
        <f>IF(AV137=0,0,
IF(Investment_Strategy="DIS",VLOOKUP(Investment_Strategy&amp;"_"&amp;Investment_Strategy_Sub1&amp;"_"&amp;$A137,'Investment Strategies'!$AZ:$BP,17,FALSE),
IF(AND(Investment_Strategy="Lifecycle",Investment_Strategy_Sub1="Non-Standard"),VLOOKUP(Investment_Strategy&amp;"_"&amp;Investment_Strategy_Sub2&amp;"_"&amp;$A137,'Investment Strategies'!$C:$P,14,FALSE),
IF(AND(Investment_Strategy="Lifecycle",Investment_Strategy_Sub1="Standard"),VLOOKUP(Investment_Strategy&amp;"_"&amp;Investment_Strategy_Sub2&amp;"_"&amp;$A137,'Investment Strategies'!$AJ:$AV,13,FALSE),
IF(AND(Investment_Strategy="Autopilot",Investment_Strategy_Sub1="Non-Standard"),VLOOKUP(Investment_Strategy&amp;"_"&amp;Investment_Strategy_Sub2&amp;"_"&amp;$A137,'Investment Strategies'!$T:$AF,13,FALSE),
IF(Investment_Strategy="DIY",DIY_ExtManChrge_FuturePremiums,
"Error"))))))</f>
        <v>1.2508601994698498E-4</v>
      </c>
      <c r="W137" s="16">
        <f t="shared" si="51"/>
        <v>0</v>
      </c>
      <c r="X137" s="16">
        <f t="shared" si="17"/>
        <v>0</v>
      </c>
      <c r="Y137" s="16">
        <f t="shared" si="18"/>
        <v>0</v>
      </c>
      <c r="Z137" s="31">
        <f t="shared" si="19"/>
        <v>0.02</v>
      </c>
      <c r="AA137" s="16">
        <f t="shared" si="20"/>
        <v>0</v>
      </c>
      <c r="AB137" s="28">
        <f t="shared" si="53"/>
        <v>848130.65945363068</v>
      </c>
      <c r="AC137" s="28">
        <f>(SUM($AC$91:AC136)+SUM($X$91:X136)+X137)*T137*IF(D137=$A$91,SRP_finalmonthfactor,1)</f>
        <v>0</v>
      </c>
      <c r="AD137" s="16">
        <f t="shared" si="21"/>
        <v>-169.60765782242504</v>
      </c>
      <c r="AE137" s="106"/>
      <c r="AF137" s="16">
        <f t="shared" si="52"/>
        <v>811486.8210291795</v>
      </c>
      <c r="AG137" s="16">
        <f t="shared" si="31"/>
        <v>3546.5769305800345</v>
      </c>
      <c r="AH137" s="16">
        <f t="shared" si="32"/>
        <v>-782.02562600509953</v>
      </c>
      <c r="AJ137" s="13">
        <f t="shared" si="65"/>
        <v>0</v>
      </c>
      <c r="AK137" s="13">
        <f t="shared" si="65"/>
        <v>0</v>
      </c>
      <c r="AL137" s="13">
        <f t="shared" si="65"/>
        <v>0</v>
      </c>
      <c r="AM137" s="13">
        <f t="shared" si="65"/>
        <v>1</v>
      </c>
      <c r="AN137" s="13">
        <f t="shared" si="65"/>
        <v>1</v>
      </c>
      <c r="AO137" s="13">
        <f t="shared" si="65"/>
        <v>1</v>
      </c>
      <c r="AP137" s="13">
        <f t="shared" si="65"/>
        <v>1</v>
      </c>
      <c r="AQ137" s="13">
        <f t="shared" si="65"/>
        <v>1</v>
      </c>
      <c r="AR137" s="13">
        <f t="shared" si="65"/>
        <v>1</v>
      </c>
      <c r="AS137" s="13">
        <f t="shared" si="65"/>
        <v>1</v>
      </c>
      <c r="AT137" s="13">
        <f t="shared" si="65"/>
        <v>1</v>
      </c>
      <c r="AU137" s="13">
        <f t="shared" si="65"/>
        <v>1</v>
      </c>
      <c r="AV137" s="13">
        <f t="shared" si="23"/>
        <v>1</v>
      </c>
      <c r="AW137" s="13">
        <f t="shared" si="33"/>
        <v>1</v>
      </c>
      <c r="AY137" s="17">
        <f t="shared" si="24"/>
        <v>47</v>
      </c>
      <c r="AZ137" s="28">
        <f t="shared" si="34"/>
        <v>0</v>
      </c>
      <c r="BA137" s="13">
        <f t="shared" si="25"/>
        <v>0</v>
      </c>
      <c r="BB137" s="13">
        <f t="shared" si="26"/>
        <v>0</v>
      </c>
      <c r="BC137" s="28">
        <f t="shared" si="35"/>
        <v>0</v>
      </c>
      <c r="BD137" s="28">
        <f t="shared" si="36"/>
        <v>0</v>
      </c>
      <c r="BF137" s="248">
        <f t="shared" si="37"/>
        <v>851677.23638421076</v>
      </c>
      <c r="BG137" s="36">
        <f t="shared" si="54"/>
        <v>0</v>
      </c>
      <c r="BH137" s="36">
        <f t="shared" si="55"/>
        <v>811486.8210291795</v>
      </c>
      <c r="BI137" s="249">
        <f t="shared" si="56"/>
        <v>4.1816398110932074E-3</v>
      </c>
      <c r="BJ137" s="246">
        <f t="shared" si="57"/>
        <v>2.0857243058891584E-4</v>
      </c>
      <c r="BK137" s="246">
        <f t="shared" si="27"/>
        <v>7.531116566323881E-4</v>
      </c>
      <c r="BL137" s="246">
        <f t="shared" si="58"/>
        <v>0</v>
      </c>
      <c r="BM137" s="246">
        <f t="shared" si="59"/>
        <v>9.6168408722130394E-4</v>
      </c>
      <c r="BN137" s="36">
        <f t="shared" si="44"/>
        <v>782.02562600509941</v>
      </c>
      <c r="BO137" s="36">
        <f t="shared" si="60"/>
        <v>3393.3455969930856</v>
      </c>
      <c r="BP137" s="36">
        <f t="shared" si="61"/>
        <v>814098.14100016747</v>
      </c>
    </row>
    <row r="138" spans="1:68">
      <c r="A138" s="32">
        <f t="shared" si="47"/>
        <v>37</v>
      </c>
      <c r="B138" s="32">
        <f t="shared" si="28"/>
        <v>56</v>
      </c>
      <c r="C138" s="32">
        <f t="shared" si="48"/>
        <v>4</v>
      </c>
      <c r="D138" s="32">
        <f t="shared" si="49"/>
        <v>48</v>
      </c>
      <c r="E138" s="74">
        <f>MIN(IF(AV138=0,0,
IF(Investment_Strategy="DIS",VLOOKUP(Investment_Strategy&amp;"_"&amp;Investment_Strategy_Sub1&amp;"_"&amp;$A138,'Investment Strategies'!$AZ:$BP,12,FALSE),
IF(AND(Investment_Strategy="Lifecycle",Investment_Strategy_Sub1="Non-Standard"),VLOOKUP(Investment_Strategy&amp;"_"&amp;Investment_Strategy_Sub2&amp;"_"&amp;$A138,'Investment Strategies'!$C:$P,9,FALSE),
IF(AND(Investment_Strategy="Lifecycle",Investment_Strategy_Sub1="Standard"),VLOOKUP(Investment_Strategy&amp;"_"&amp;Investment_Strategy_Sub2&amp;"_"&amp;$A138,'Investment Strategies'!$AJ:$AV,8,FALSE),
IF(AND(Investment_Strategy="Autopilot",Investment_Strategy_Sub1="Non-Standard"),VLOOKUP(Investment_Strategy&amp;"_"&amp;Investment_Strategy_Sub2&amp;"_"&amp;$A138,'Investment Strategies'!$T:$AF,8,FALSE),
IF(Investment_Strategy ="DIY",DIY_RateOfReturn_CurrentFunds,
"Error")))))),Max_InvReturn)</f>
        <v>4.1816398110932074E-3</v>
      </c>
      <c r="F138" s="62">
        <f>IF(AV138=0,0,
IF(Investment_Strategy="DIS",VLOOKUP(Investment_Strategy&amp;"_"&amp;Investment_Strategy_Sub1&amp;"_"&amp;$A138,'Investment Strategies'!$AZ:$BP,15,FALSE),
IF(AND(Investment_Strategy="Lifecycle",Investment_Strategy_Sub1="Non-Standard"),VLOOKUP(Investment_Strategy&amp;"_"&amp;Investment_Strategy_Sub2&amp;"_"&amp;$A138,'Investment Strategies'!$C:$P,12,FALSE),
IF(AND(Investment_Strategy="Lifecycle",Investment_Strategy_Sub1="Standard"),VLOOKUP(Investment_Strategy&amp;"_"&amp;Investment_Strategy_Sub2&amp;"_"&amp;$A138,'Investment Strategies'!$AJ:$AV,11,FALSE),
IF(AND(Investment_Strategy="Autopilot",Investment_Strategy_Sub1="Non-Standard"),VLOOKUP(Investment_Strategy&amp;"_"&amp;Investment_Strategy_Sub2&amp;"_"&amp;$A138,'Investment Strategies'!$T:$AF,11,FALSE),
IF(Investment_Strategy="DIY",DIY_GteeChrge_CurrentFunds,
"Error"))))))</f>
        <v>5.4328711526985263E-4</v>
      </c>
      <c r="G138" s="33">
        <f>IF(AV138=0,0,
IF(Investment_Strategy="DIS",VLOOKUP(Investment_Strategy&amp;"_"&amp;Investment_Strategy_Sub1&amp;"_"&amp;$A138,'Investment Strategies'!$AZ:$BP,17,FALSE),
IF(AND(Investment_Strategy="Lifecycle",Investment_Strategy_Sub1="Non-Standard"),VLOOKUP(Investment_Strategy&amp;"_"&amp;Investment_Strategy_Sub2&amp;"_"&amp;$A138,'Investment Strategies'!$C:$P,14,FALSE),
IF(AND(Investment_Strategy="Lifecycle",Investment_Strategy_Sub1="Standard"),VLOOKUP(Investment_Strategy&amp;"_"&amp;Investment_Strategy_Sub2&amp;"_"&amp;$A138,'Investment Strategies'!$AJ:$AV,13,FALSE),
IF(AND(Investment_Strategy="Autopilot",Investment_Strategy_Sub1="Non-Standard"),VLOOKUP(Investment_Strategy&amp;"_"&amp;Investment_Strategy_Sub2&amp;"_"&amp;$A138,'Investment Strategies'!$T:$AF,13,FALSE),
IF(Investment_Strategy="DIY",DIY_ExtManChrge_CurrentFunds,
"Error"))))))</f>
        <v>2.0857243058891584E-4</v>
      </c>
      <c r="H138" s="16">
        <f t="shared" si="30"/>
        <v>0</v>
      </c>
      <c r="I138" s="16">
        <f t="shared" si="13"/>
        <v>0</v>
      </c>
      <c r="J138" s="16">
        <f t="shared" si="14"/>
        <v>0</v>
      </c>
      <c r="K138" s="16">
        <f>(Opening_Fund_Value+SUM(K$91:K137))*E138*IF(D138=$A$91,SRP_finalmonthfactor,1)</f>
        <v>0</v>
      </c>
      <c r="L138" s="74">
        <f>MIN(IF($AV138=0,0,
IF(Investment_Strategy="DIS",VLOOKUP(Investment_Strategy&amp;"_"&amp;Investment_Strategy_Sub1&amp;"_"&amp;$A138,'Investment Strategies'!$AZ:$BP,12,FALSE),
IF(AND(Investment_Strategy="Lifecycle",Investment_Strategy_Sub1="Non-Standard"),VLOOKUP(Investment_Strategy&amp;"_"&amp;Investment_Strategy_Sub2&amp;"_"&amp;$A138,'Investment Strategies'!$C:$P,9,FALSE),
IF(AND(Investment_Strategy="Lifecycle",Investment_Strategy_Sub1="Standard"),VLOOKUP(Investment_Strategy&amp;"_"&amp;Investment_Strategy_Sub2&amp;"_"&amp;$A138,'Investment Strategies'!$AJ:$AV,8,FALSE),
IF(AND(Investment_Strategy="Autopilot",Investment_Strategy_Sub1="Non-Standard"),VLOOKUP(Investment_Strategy&amp;"_"&amp;Investment_Strategy_Sub2&amp;"_"&amp;$A138,'Investment Strategies'!$T:$AF,8,FALSE),
IF(Investment_Strategy ="DIY",DIY_RateofReturn_SP,
"Error")))))),Max_InvReturn)</f>
        <v>4.1816398110932074E-3</v>
      </c>
      <c r="M138" s="62">
        <f>IF($AV138=0,0,
IF(Investment_Strategy="DIS",VLOOKUP(Investment_Strategy&amp;"_"&amp;Investment_Strategy_Sub1&amp;"_"&amp;$A138,'Investment Strategies'!$AZ:$BP,15,FALSE),
IF(AND(Investment_Strategy="Lifecycle",Investment_Strategy_Sub1="Non-Standard"),VLOOKUP(Investment_Strategy&amp;"_"&amp;Investment_Strategy_Sub2&amp;"_"&amp;$A138,'Investment Strategies'!$C:$P,12,FALSE),
IF(AND(Investment_Strategy="Lifecycle",Investment_Strategy_Sub1="Standard"),VLOOKUP(Investment_Strategy&amp;"_"&amp;Investment_Strategy_Sub2&amp;"_"&amp;$A138,'Investment Strategies'!$AJ:$AV,11,FALSE),
IF(AND(Investment_Strategy="Autopilot",Investment_Strategy_Sub1="Non-Standard"),VLOOKUP(Investment_Strategy&amp;"_"&amp;Investment_Strategy_Sub2&amp;"_"&amp;$A138,'Investment Strategies'!$T:$AF,11,FALSE),
IF(Investment_Strategy="DIY",DIY_GteeChrge_SP,
"Error"))))))</f>
        <v>0</v>
      </c>
      <c r="N138" s="33">
        <f>IF($AV138=0,0,
IF(Investment_Strategy="DIS",VLOOKUP(Investment_Strategy&amp;"_"&amp;Investment_Strategy_Sub1&amp;"_"&amp;$A138,'Investment Strategies'!$AZ:$BP,17,FALSE),
IF(AND(Investment_Strategy="Lifecycle",Investment_Strategy_Sub1="Non-Standard"),VLOOKUP(Investment_Strategy&amp;"_"&amp;Investment_Strategy_Sub2&amp;"_"&amp;$A138,'Investment Strategies'!$C:$P,14,FALSE),
IF(AND(Investment_Strategy="Lifecycle",Investment_Strategy_Sub1="Standard"),VLOOKUP(Investment_Strategy&amp;"_"&amp;Investment_Strategy_Sub2&amp;"_"&amp;$A138,'Investment Strategies'!$AJ:$AV,13,FALSE),
IF(AND(Investment_Strategy="Autopilot",Investment_Strategy_Sub1="Non-Standard"),VLOOKUP(Investment_Strategy&amp;"_"&amp;Investment_Strategy_Sub2&amp;"_"&amp;$A138,'Investment Strategies'!$T:$AF,13,FALSE),
IF(Investment_Strategy="DIY",DIY_ExtManChrge_SP,
"Error"))))))</f>
        <v>2.0857243058891584E-4</v>
      </c>
      <c r="O138" s="16">
        <f t="shared" si="50"/>
        <v>814098.14100016747</v>
      </c>
      <c r="Q138" s="16">
        <f>(O138+(P138*(1-SRP_Contrib_Chge_SP)))*L138*IF(D138=$A$91,SRP_finalmonthfactor,1)</f>
        <v>3404.2651965432715</v>
      </c>
      <c r="R138" s="16">
        <f t="shared" si="16"/>
        <v>-784.54214147040489</v>
      </c>
      <c r="S138" s="16">
        <f>(SRP_SP+SUM(S$91:S137))*L138*IF(D138=$A$91,SRP_finalmonthfactor,1)</f>
        <v>3561.407437866053</v>
      </c>
      <c r="T138" s="74">
        <f>MIN(IF($AV138=0,0,
IF(Investment_Strategy="DIS",VLOOKUP(Investment_Strategy&amp;"_"&amp;Investment_Strategy_Sub1&amp;"_"&amp;$A138,'Investment Strategies'!$AZ:$BP,12,FALSE),
IF(AND(Investment_Strategy="Lifecycle",Investment_Strategy_Sub1="Non-Standard"),VLOOKUP(Investment_Strategy&amp;"_"&amp;Investment_Strategy_Sub2&amp;"_"&amp;$A138,'Investment Strategies'!$C:$P,9,FALSE),
IF(AND(Investment_Strategy="Lifecycle",Investment_Strategy_Sub1="Standard"),VLOOKUP(Investment_Strategy&amp;"_"&amp;Investment_Strategy_Sub2&amp;"_"&amp;$A138,'Investment Strategies'!$AJ:$AV,8,FALSE),
IF(AND(Investment_Strategy="Autopilot",Investment_Strategy_Sub1="Non-Standard"),VLOOKUP(Investment_Strategy&amp;"_"&amp;Investment_Strategy_Sub2&amp;"_"&amp;$A138,'Investment Strategies'!$T:$AF,8,FALSE),
IF(Investment_Strategy ="DIY",DIY_RateOfReturn_FuturePremiums,
"Error")))))),Max_InvReturn)</f>
        <v>4.1816398110932074E-3</v>
      </c>
      <c r="U138" s="62">
        <f>IF($AV138=0,0,
IF(Investment_Strategy="DIS",VLOOKUP(Investment_Strategy&amp;"_"&amp;Investment_Strategy_Sub1&amp;"_"&amp;$A138,'Investment Strategies'!$AZ:$BP,15,FALSE),
IF(AND(Investment_Strategy="Lifecycle",Investment_Strategy_Sub1="Non-Standard"),VLOOKUP(Investment_Strategy&amp;"_"&amp;Investment_Strategy_Sub2&amp;"_"&amp;$A138,'Investment Strategies'!$C:$P,12,FALSE),
IF(AND(Investment_Strategy="Lifecycle",Investment_Strategy_Sub1="Standard"),VLOOKUP(Investment_Strategy&amp;"_"&amp;Investment_Strategy_Sub2&amp;"_"&amp;$A138,'Investment Strategies'!$AJ:$AV,11,FALSE),
IF(AND(Investment_Strategy="Autopilot",Investment_Strategy_Sub1="Non-Standard"),VLOOKUP(Investment_Strategy&amp;"_"&amp;Investment_Strategy_Sub2&amp;"_"&amp;$A138,'Investment Strategies'!$T:$AF,11,FALSE),
IF(Investment_Strategy="DIY",DIY_GteeChrge_FuturePremiums,
"Error"))))))</f>
        <v>0</v>
      </c>
      <c r="V138" s="33">
        <f>IF(AV138=0,0,
IF(Investment_Strategy="DIS",VLOOKUP(Investment_Strategy&amp;"_"&amp;Investment_Strategy_Sub1&amp;"_"&amp;$A138,'Investment Strategies'!$AZ:$BP,17,FALSE),
IF(AND(Investment_Strategy="Lifecycle",Investment_Strategy_Sub1="Non-Standard"),VLOOKUP(Investment_Strategy&amp;"_"&amp;Investment_Strategy_Sub2&amp;"_"&amp;$A138,'Investment Strategies'!$C:$P,14,FALSE),
IF(AND(Investment_Strategy="Lifecycle",Investment_Strategy_Sub1="Standard"),VLOOKUP(Investment_Strategy&amp;"_"&amp;Investment_Strategy_Sub2&amp;"_"&amp;$A138,'Investment Strategies'!$AJ:$AV,13,FALSE),
IF(AND(Investment_Strategy="Autopilot",Investment_Strategy_Sub1="Non-Standard"),VLOOKUP(Investment_Strategy&amp;"_"&amp;Investment_Strategy_Sub2&amp;"_"&amp;$A138,'Investment Strategies'!$T:$AF,13,FALSE),
IF(Investment_Strategy="DIY",DIY_ExtManChrge_FuturePremiums,
"Error"))))))</f>
        <v>1.2508601994698498E-4</v>
      </c>
      <c r="W138" s="16">
        <f t="shared" si="51"/>
        <v>0</v>
      </c>
      <c r="X138" s="16">
        <f t="shared" si="17"/>
        <v>0</v>
      </c>
      <c r="Y138" s="16">
        <f t="shared" si="18"/>
        <v>0</v>
      </c>
      <c r="Z138" s="31">
        <f t="shared" si="19"/>
        <v>0.02</v>
      </c>
      <c r="AA138" s="16">
        <f t="shared" si="20"/>
        <v>0</v>
      </c>
      <c r="AB138" s="28">
        <f t="shared" si="53"/>
        <v>851677.23638421076</v>
      </c>
      <c r="AC138" s="28">
        <f>(SUM($AC$91:AC137)+SUM($X$91:X137)+X138)*T138*IF(D138=$A$91,SRP_finalmonthfactor,1)</f>
        <v>0</v>
      </c>
      <c r="AD138" s="16">
        <f t="shared" si="21"/>
        <v>-170.15344593952898</v>
      </c>
      <c r="AE138" s="106"/>
      <c r="AF138" s="16">
        <f t="shared" si="52"/>
        <v>814098.14100016747</v>
      </c>
      <c r="AG138" s="16">
        <f t="shared" si="31"/>
        <v>3561.407437866053</v>
      </c>
      <c r="AH138" s="16">
        <f t="shared" si="32"/>
        <v>-784.54214147040489</v>
      </c>
      <c r="AJ138" s="13">
        <f t="shared" si="65"/>
        <v>0</v>
      </c>
      <c r="AK138" s="13">
        <f t="shared" si="65"/>
        <v>0</v>
      </c>
      <c r="AL138" s="13">
        <f t="shared" si="65"/>
        <v>0</v>
      </c>
      <c r="AM138" s="13">
        <f t="shared" si="65"/>
        <v>1</v>
      </c>
      <c r="AN138" s="13">
        <f t="shared" si="65"/>
        <v>1</v>
      </c>
      <c r="AO138" s="13">
        <f t="shared" si="65"/>
        <v>1</v>
      </c>
      <c r="AP138" s="13">
        <f t="shared" si="65"/>
        <v>1</v>
      </c>
      <c r="AQ138" s="13">
        <f t="shared" si="65"/>
        <v>1</v>
      </c>
      <c r="AR138" s="13">
        <f t="shared" si="65"/>
        <v>1</v>
      </c>
      <c r="AS138" s="13">
        <f t="shared" si="65"/>
        <v>1</v>
      </c>
      <c r="AT138" s="13">
        <f t="shared" si="65"/>
        <v>1</v>
      </c>
      <c r="AU138" s="13">
        <f t="shared" si="65"/>
        <v>1</v>
      </c>
      <c r="AV138" s="13">
        <f t="shared" si="23"/>
        <v>1</v>
      </c>
      <c r="AW138" s="13">
        <f t="shared" si="33"/>
        <v>1</v>
      </c>
      <c r="AY138" s="17">
        <f t="shared" si="24"/>
        <v>48</v>
      </c>
      <c r="AZ138" s="28">
        <f t="shared" si="34"/>
        <v>0</v>
      </c>
      <c r="BA138" s="13">
        <f t="shared" si="25"/>
        <v>0</v>
      </c>
      <c r="BB138" s="13">
        <f t="shared" si="26"/>
        <v>0</v>
      </c>
      <c r="BC138" s="28">
        <f t="shared" si="35"/>
        <v>0</v>
      </c>
      <c r="BD138" s="28">
        <f t="shared" si="36"/>
        <v>0</v>
      </c>
      <c r="BF138" s="248">
        <f t="shared" si="37"/>
        <v>855238.64382207685</v>
      </c>
      <c r="BG138" s="36">
        <f t="shared" si="54"/>
        <v>0</v>
      </c>
      <c r="BH138" s="36">
        <f t="shared" si="55"/>
        <v>814098.14100016747</v>
      </c>
      <c r="BI138" s="249">
        <f t="shared" si="56"/>
        <v>4.1816398110932074E-3</v>
      </c>
      <c r="BJ138" s="246">
        <f t="shared" si="57"/>
        <v>2.0857243058891584E-4</v>
      </c>
      <c r="BK138" s="246">
        <f t="shared" si="27"/>
        <v>7.531116566323881E-4</v>
      </c>
      <c r="BL138" s="246">
        <f t="shared" si="58"/>
        <v>0</v>
      </c>
      <c r="BM138" s="246">
        <f t="shared" si="59"/>
        <v>9.6168408722130394E-4</v>
      </c>
      <c r="BN138" s="36">
        <f t="shared" si="44"/>
        <v>784.54214147040489</v>
      </c>
      <c r="BO138" s="36">
        <f t="shared" si="60"/>
        <v>3404.2651965432715</v>
      </c>
      <c r="BP138" s="36">
        <f t="shared" si="61"/>
        <v>816717.86405524041</v>
      </c>
    </row>
    <row r="139" spans="1:68">
      <c r="A139" s="32">
        <f t="shared" si="47"/>
        <v>36</v>
      </c>
      <c r="B139" s="32">
        <f t="shared" si="28"/>
        <v>57</v>
      </c>
      <c r="C139" s="32">
        <f t="shared" si="48"/>
        <v>5</v>
      </c>
      <c r="D139" s="32">
        <f t="shared" si="49"/>
        <v>49</v>
      </c>
      <c r="E139" s="74">
        <f>MIN(IF(AV139=0,0,
IF(Investment_Strategy="DIS",VLOOKUP(Investment_Strategy&amp;"_"&amp;Investment_Strategy_Sub1&amp;"_"&amp;$A139,'Investment Strategies'!$AZ:$BP,12,FALSE),
IF(AND(Investment_Strategy="Lifecycle",Investment_Strategy_Sub1="Non-Standard"),VLOOKUP(Investment_Strategy&amp;"_"&amp;Investment_Strategy_Sub2&amp;"_"&amp;$A139,'Investment Strategies'!$C:$P,9,FALSE),
IF(AND(Investment_Strategy="Lifecycle",Investment_Strategy_Sub1="Standard"),VLOOKUP(Investment_Strategy&amp;"_"&amp;Investment_Strategy_Sub2&amp;"_"&amp;$A139,'Investment Strategies'!$AJ:$AV,8,FALSE),
IF(AND(Investment_Strategy="Autopilot",Investment_Strategy_Sub1="Non-Standard"),VLOOKUP(Investment_Strategy&amp;"_"&amp;Investment_Strategy_Sub2&amp;"_"&amp;$A139,'Investment Strategies'!$T:$AF,8,FALSE),
IF(Investment_Strategy ="DIY",DIY_RateOfReturn_CurrentFunds,
"Error")))))),Max_InvReturn)</f>
        <v>4.1816398110932074E-3</v>
      </c>
      <c r="F139" s="62">
        <f>IF(AV139=0,0,
IF(Investment_Strategy="DIS",VLOOKUP(Investment_Strategy&amp;"_"&amp;Investment_Strategy_Sub1&amp;"_"&amp;$A139,'Investment Strategies'!$AZ:$BP,15,FALSE),
IF(AND(Investment_Strategy="Lifecycle",Investment_Strategy_Sub1="Non-Standard"),VLOOKUP(Investment_Strategy&amp;"_"&amp;Investment_Strategy_Sub2&amp;"_"&amp;$A139,'Investment Strategies'!$C:$P,12,FALSE),
IF(AND(Investment_Strategy="Lifecycle",Investment_Strategy_Sub1="Standard"),VLOOKUP(Investment_Strategy&amp;"_"&amp;Investment_Strategy_Sub2&amp;"_"&amp;$A139,'Investment Strategies'!$AJ:$AV,11,FALSE),
IF(AND(Investment_Strategy="Autopilot",Investment_Strategy_Sub1="Non-Standard"),VLOOKUP(Investment_Strategy&amp;"_"&amp;Investment_Strategy_Sub2&amp;"_"&amp;$A139,'Investment Strategies'!$T:$AF,11,FALSE),
IF(Investment_Strategy="DIY",DIY_GteeChrge_CurrentFunds,
"Error"))))))</f>
        <v>5.4328711526985263E-4</v>
      </c>
      <c r="G139" s="33">
        <f>IF(AV139=0,0,
IF(Investment_Strategy="DIS",VLOOKUP(Investment_Strategy&amp;"_"&amp;Investment_Strategy_Sub1&amp;"_"&amp;$A139,'Investment Strategies'!$AZ:$BP,17,FALSE),
IF(AND(Investment_Strategy="Lifecycle",Investment_Strategy_Sub1="Non-Standard"),VLOOKUP(Investment_Strategy&amp;"_"&amp;Investment_Strategy_Sub2&amp;"_"&amp;$A139,'Investment Strategies'!$C:$P,14,FALSE),
IF(AND(Investment_Strategy="Lifecycle",Investment_Strategy_Sub1="Standard"),VLOOKUP(Investment_Strategy&amp;"_"&amp;Investment_Strategy_Sub2&amp;"_"&amp;$A139,'Investment Strategies'!$AJ:$AV,13,FALSE),
IF(AND(Investment_Strategy="Autopilot",Investment_Strategy_Sub1="Non-Standard"),VLOOKUP(Investment_Strategy&amp;"_"&amp;Investment_Strategy_Sub2&amp;"_"&amp;$A139,'Investment Strategies'!$T:$AF,13,FALSE),
IF(Investment_Strategy="DIY",DIY_ExtManChrge_CurrentFunds,
"Error"))))))</f>
        <v>2.0857243058891584E-4</v>
      </c>
      <c r="H139" s="16">
        <f t="shared" si="30"/>
        <v>0</v>
      </c>
      <c r="I139" s="16">
        <f t="shared" si="13"/>
        <v>0</v>
      </c>
      <c r="J139" s="16">
        <f t="shared" si="14"/>
        <v>0</v>
      </c>
      <c r="K139" s="16">
        <f>(Opening_Fund_Value+SUM(K$91:K138))*E139*IF(D139=$A$91,SRP_finalmonthfactor,1)</f>
        <v>0</v>
      </c>
      <c r="L139" s="74">
        <f>MIN(IF($AV139=0,0,
IF(Investment_Strategy="DIS",VLOOKUP(Investment_Strategy&amp;"_"&amp;Investment_Strategy_Sub1&amp;"_"&amp;$A139,'Investment Strategies'!$AZ:$BP,12,FALSE),
IF(AND(Investment_Strategy="Lifecycle",Investment_Strategy_Sub1="Non-Standard"),VLOOKUP(Investment_Strategy&amp;"_"&amp;Investment_Strategy_Sub2&amp;"_"&amp;$A139,'Investment Strategies'!$C:$P,9,FALSE),
IF(AND(Investment_Strategy="Lifecycle",Investment_Strategy_Sub1="Standard"),VLOOKUP(Investment_Strategy&amp;"_"&amp;Investment_Strategy_Sub2&amp;"_"&amp;$A139,'Investment Strategies'!$AJ:$AV,8,FALSE),
IF(AND(Investment_Strategy="Autopilot",Investment_Strategy_Sub1="Non-Standard"),VLOOKUP(Investment_Strategy&amp;"_"&amp;Investment_Strategy_Sub2&amp;"_"&amp;$A139,'Investment Strategies'!$T:$AF,8,FALSE),
IF(Investment_Strategy ="DIY",DIY_RateofReturn_SP,
"Error")))))),Max_InvReturn)</f>
        <v>4.1816398110932074E-3</v>
      </c>
      <c r="M139" s="62">
        <f>IF($AV139=0,0,
IF(Investment_Strategy="DIS",VLOOKUP(Investment_Strategy&amp;"_"&amp;Investment_Strategy_Sub1&amp;"_"&amp;$A139,'Investment Strategies'!$AZ:$BP,15,FALSE),
IF(AND(Investment_Strategy="Lifecycle",Investment_Strategy_Sub1="Non-Standard"),VLOOKUP(Investment_Strategy&amp;"_"&amp;Investment_Strategy_Sub2&amp;"_"&amp;$A139,'Investment Strategies'!$C:$P,12,FALSE),
IF(AND(Investment_Strategy="Lifecycle",Investment_Strategy_Sub1="Standard"),VLOOKUP(Investment_Strategy&amp;"_"&amp;Investment_Strategy_Sub2&amp;"_"&amp;$A139,'Investment Strategies'!$AJ:$AV,11,FALSE),
IF(AND(Investment_Strategy="Autopilot",Investment_Strategy_Sub1="Non-Standard"),VLOOKUP(Investment_Strategy&amp;"_"&amp;Investment_Strategy_Sub2&amp;"_"&amp;$A139,'Investment Strategies'!$T:$AF,11,FALSE),
IF(Investment_Strategy="DIY",DIY_GteeChrge_SP,
"Error"))))))</f>
        <v>0</v>
      </c>
      <c r="N139" s="33">
        <f>IF($AV139=0,0,
IF(Investment_Strategy="DIS",VLOOKUP(Investment_Strategy&amp;"_"&amp;Investment_Strategy_Sub1&amp;"_"&amp;$A139,'Investment Strategies'!$AZ:$BP,17,FALSE),
IF(AND(Investment_Strategy="Lifecycle",Investment_Strategy_Sub1="Non-Standard"),VLOOKUP(Investment_Strategy&amp;"_"&amp;Investment_Strategy_Sub2&amp;"_"&amp;$A139,'Investment Strategies'!$C:$P,14,FALSE),
IF(AND(Investment_Strategy="Lifecycle",Investment_Strategy_Sub1="Standard"),VLOOKUP(Investment_Strategy&amp;"_"&amp;Investment_Strategy_Sub2&amp;"_"&amp;$A139,'Investment Strategies'!$AJ:$AV,13,FALSE),
IF(AND(Investment_Strategy="Autopilot",Investment_Strategy_Sub1="Non-Standard"),VLOOKUP(Investment_Strategy&amp;"_"&amp;Investment_Strategy_Sub2&amp;"_"&amp;$A139,'Investment Strategies'!$T:$AF,13,FALSE),
IF(Investment_Strategy="DIY",DIY_ExtManChrge_SP,
"Error"))))))</f>
        <v>2.0857243058891584E-4</v>
      </c>
      <c r="O139" s="16">
        <f t="shared" si="50"/>
        <v>816717.86405524041</v>
      </c>
      <c r="Q139" s="16">
        <f t="shared" si="15"/>
        <v>3415.2199347644032</v>
      </c>
      <c r="R139" s="16">
        <f t="shared" si="16"/>
        <v>-787.06675494410877</v>
      </c>
      <c r="S139" s="16">
        <f>(SRP_SP+SUM(S$91:S138))*L139*IF(D139=$A$91,SRP_finalmonthfactor,1)</f>
        <v>3576.2999609917574</v>
      </c>
      <c r="T139" s="74">
        <f>MIN(IF($AV139=0,0,
IF(Investment_Strategy="DIS",VLOOKUP(Investment_Strategy&amp;"_"&amp;Investment_Strategy_Sub1&amp;"_"&amp;$A139,'Investment Strategies'!$AZ:$BP,12,FALSE),
IF(AND(Investment_Strategy="Lifecycle",Investment_Strategy_Sub1="Non-Standard"),VLOOKUP(Investment_Strategy&amp;"_"&amp;Investment_Strategy_Sub2&amp;"_"&amp;$A139,'Investment Strategies'!$C:$P,9,FALSE),
IF(AND(Investment_Strategy="Lifecycle",Investment_Strategy_Sub1="Standard"),VLOOKUP(Investment_Strategy&amp;"_"&amp;Investment_Strategy_Sub2&amp;"_"&amp;$A139,'Investment Strategies'!$AJ:$AV,8,FALSE),
IF(AND(Investment_Strategy="Autopilot",Investment_Strategy_Sub1="Non-Standard"),VLOOKUP(Investment_Strategy&amp;"_"&amp;Investment_Strategy_Sub2&amp;"_"&amp;$A139,'Investment Strategies'!$T:$AF,8,FALSE),
IF(Investment_Strategy ="DIY",DIY_RateOfReturn_FuturePremiums,
"Error")))))),Max_InvReturn)</f>
        <v>4.1816398110932074E-3</v>
      </c>
      <c r="U139" s="62">
        <f>IF($AV139=0,0,
IF(Investment_Strategy="DIS",VLOOKUP(Investment_Strategy&amp;"_"&amp;Investment_Strategy_Sub1&amp;"_"&amp;$A139,'Investment Strategies'!$AZ:$BP,15,FALSE),
IF(AND(Investment_Strategy="Lifecycle",Investment_Strategy_Sub1="Non-Standard"),VLOOKUP(Investment_Strategy&amp;"_"&amp;Investment_Strategy_Sub2&amp;"_"&amp;$A139,'Investment Strategies'!$C:$P,12,FALSE),
IF(AND(Investment_Strategy="Lifecycle",Investment_Strategy_Sub1="Standard"),VLOOKUP(Investment_Strategy&amp;"_"&amp;Investment_Strategy_Sub2&amp;"_"&amp;$A139,'Investment Strategies'!$AJ:$AV,11,FALSE),
IF(AND(Investment_Strategy="Autopilot",Investment_Strategy_Sub1="Non-Standard"),VLOOKUP(Investment_Strategy&amp;"_"&amp;Investment_Strategy_Sub2&amp;"_"&amp;$A139,'Investment Strategies'!$T:$AF,11,FALSE),
IF(Investment_Strategy="DIY",DIY_GteeChrge_FuturePremiums,
"Error"))))))</f>
        <v>0</v>
      </c>
      <c r="V139" s="33">
        <f>IF(AV139=0,0,
IF(Investment_Strategy="DIS",VLOOKUP(Investment_Strategy&amp;"_"&amp;Investment_Strategy_Sub1&amp;"_"&amp;$A139,'Investment Strategies'!$AZ:$BP,17,FALSE),
IF(AND(Investment_Strategy="Lifecycle",Investment_Strategy_Sub1="Non-Standard"),VLOOKUP(Investment_Strategy&amp;"_"&amp;Investment_Strategy_Sub2&amp;"_"&amp;$A139,'Investment Strategies'!$C:$P,14,FALSE),
IF(AND(Investment_Strategy="Lifecycle",Investment_Strategy_Sub1="Standard"),VLOOKUP(Investment_Strategy&amp;"_"&amp;Investment_Strategy_Sub2&amp;"_"&amp;$A139,'Investment Strategies'!$AJ:$AV,13,FALSE),
IF(AND(Investment_Strategy="Autopilot",Investment_Strategy_Sub1="Non-Standard"),VLOOKUP(Investment_Strategy&amp;"_"&amp;Investment_Strategy_Sub2&amp;"_"&amp;$A139,'Investment Strategies'!$T:$AF,13,FALSE),
IF(Investment_Strategy="DIY",DIY_ExtManChrge_FuturePremiums,
"Error"))))))</f>
        <v>1.2508601994698498E-4</v>
      </c>
      <c r="W139" s="16">
        <f t="shared" si="51"/>
        <v>0</v>
      </c>
      <c r="X139" s="16">
        <f t="shared" si="17"/>
        <v>0</v>
      </c>
      <c r="Y139" s="16">
        <f t="shared" si="18"/>
        <v>0</v>
      </c>
      <c r="Z139" s="31">
        <f t="shared" si="19"/>
        <v>0.02</v>
      </c>
      <c r="AA139" s="16">
        <f t="shared" si="20"/>
        <v>0</v>
      </c>
      <c r="AB139" s="28">
        <f t="shared" si="53"/>
        <v>855238.64382207685</v>
      </c>
      <c r="AC139" s="28">
        <f>(SUM($AC$91:AC138)+SUM($X$91:X138)+X139)*T139*IF(D139=$A$91,SRP_finalmonthfactor,1)</f>
        <v>0</v>
      </c>
      <c r="AD139" s="16">
        <f t="shared" si="21"/>
        <v>-170.70099037278399</v>
      </c>
      <c r="AE139" s="106"/>
      <c r="AF139" s="16">
        <f t="shared" si="52"/>
        <v>816717.86405524041</v>
      </c>
      <c r="AG139" s="16">
        <f t="shared" si="31"/>
        <v>3576.2999609917574</v>
      </c>
      <c r="AH139" s="16">
        <f t="shared" si="32"/>
        <v>-787.06675494410877</v>
      </c>
      <c r="AJ139" s="13">
        <f t="shared" si="65"/>
        <v>0</v>
      </c>
      <c r="AK139" s="13">
        <f t="shared" si="65"/>
        <v>0</v>
      </c>
      <c r="AL139" s="13">
        <f t="shared" si="65"/>
        <v>0</v>
      </c>
      <c r="AM139" s="13">
        <f t="shared" si="65"/>
        <v>0</v>
      </c>
      <c r="AN139" s="13">
        <f t="shared" si="65"/>
        <v>1</v>
      </c>
      <c r="AO139" s="13">
        <f t="shared" si="65"/>
        <v>1</v>
      </c>
      <c r="AP139" s="13">
        <f t="shared" si="65"/>
        <v>1</v>
      </c>
      <c r="AQ139" s="13">
        <f t="shared" si="65"/>
        <v>1</v>
      </c>
      <c r="AR139" s="13">
        <f t="shared" si="65"/>
        <v>1</v>
      </c>
      <c r="AS139" s="13">
        <f t="shared" si="65"/>
        <v>1</v>
      </c>
      <c r="AT139" s="13">
        <f t="shared" si="65"/>
        <v>1</v>
      </c>
      <c r="AU139" s="13">
        <f t="shared" si="65"/>
        <v>1</v>
      </c>
      <c r="AV139" s="13">
        <f t="shared" si="23"/>
        <v>1</v>
      </c>
      <c r="AW139" s="13">
        <f t="shared" si="33"/>
        <v>1</v>
      </c>
      <c r="AY139" s="17">
        <f t="shared" si="24"/>
        <v>49</v>
      </c>
      <c r="AZ139" s="28">
        <f t="shared" si="34"/>
        <v>0</v>
      </c>
      <c r="BA139" s="13">
        <f t="shared" si="25"/>
        <v>0</v>
      </c>
      <c r="BB139" s="13">
        <f t="shared" si="26"/>
        <v>0</v>
      </c>
      <c r="BC139" s="28">
        <f t="shared" si="35"/>
        <v>0</v>
      </c>
      <c r="BD139" s="28">
        <f t="shared" si="36"/>
        <v>0</v>
      </c>
      <c r="BF139" s="248">
        <f t="shared" si="37"/>
        <v>858814.94378306856</v>
      </c>
      <c r="BG139" s="36">
        <f t="shared" si="54"/>
        <v>0</v>
      </c>
      <c r="BH139" s="36">
        <f t="shared" si="55"/>
        <v>816717.86405524041</v>
      </c>
      <c r="BI139" s="249">
        <f t="shared" si="56"/>
        <v>4.1816398110932074E-3</v>
      </c>
      <c r="BJ139" s="246">
        <f t="shared" si="57"/>
        <v>2.0857243058891584E-4</v>
      </c>
      <c r="BK139" s="246">
        <f t="shared" si="27"/>
        <v>7.531116566323881E-4</v>
      </c>
      <c r="BL139" s="246">
        <f t="shared" si="58"/>
        <v>0</v>
      </c>
      <c r="BM139" s="246">
        <f t="shared" si="59"/>
        <v>9.6168408722130394E-4</v>
      </c>
      <c r="BN139" s="36">
        <f t="shared" si="44"/>
        <v>787.06675494410877</v>
      </c>
      <c r="BO139" s="36">
        <f t="shared" si="60"/>
        <v>3415.2199347644032</v>
      </c>
      <c r="BP139" s="36">
        <f t="shared" si="61"/>
        <v>819346.01723506069</v>
      </c>
    </row>
    <row r="140" spans="1:68">
      <c r="A140" s="32">
        <f t="shared" si="47"/>
        <v>35</v>
      </c>
      <c r="B140" s="32">
        <f t="shared" si="28"/>
        <v>57</v>
      </c>
      <c r="C140" s="32">
        <f t="shared" si="48"/>
        <v>5</v>
      </c>
      <c r="D140" s="32">
        <f t="shared" si="49"/>
        <v>50</v>
      </c>
      <c r="E140" s="74">
        <f>MIN(IF(AV140=0,0,
IF(Investment_Strategy="DIS",VLOOKUP(Investment_Strategy&amp;"_"&amp;Investment_Strategy_Sub1&amp;"_"&amp;$A140,'Investment Strategies'!$AZ:$BP,12,FALSE),
IF(AND(Investment_Strategy="Lifecycle",Investment_Strategy_Sub1="Non-Standard"),VLOOKUP(Investment_Strategy&amp;"_"&amp;Investment_Strategy_Sub2&amp;"_"&amp;$A140,'Investment Strategies'!$C:$P,9,FALSE),
IF(AND(Investment_Strategy="Lifecycle",Investment_Strategy_Sub1="Standard"),VLOOKUP(Investment_Strategy&amp;"_"&amp;Investment_Strategy_Sub2&amp;"_"&amp;$A140,'Investment Strategies'!$AJ:$AV,8,FALSE),
IF(AND(Investment_Strategy="Autopilot",Investment_Strategy_Sub1="Non-Standard"),VLOOKUP(Investment_Strategy&amp;"_"&amp;Investment_Strategy_Sub2&amp;"_"&amp;$A140,'Investment Strategies'!$T:$AF,8,FALSE),
IF(Investment_Strategy ="DIY",DIY_RateOfReturn_CurrentFunds,
"Error")))))),Max_InvReturn)</f>
        <v>4.1816398110932074E-3</v>
      </c>
      <c r="F140" s="62">
        <f>IF(AV140=0,0,
IF(Investment_Strategy="DIS",VLOOKUP(Investment_Strategy&amp;"_"&amp;Investment_Strategy_Sub1&amp;"_"&amp;$A140,'Investment Strategies'!$AZ:$BP,15,FALSE),
IF(AND(Investment_Strategy="Lifecycle",Investment_Strategy_Sub1="Non-Standard"),VLOOKUP(Investment_Strategy&amp;"_"&amp;Investment_Strategy_Sub2&amp;"_"&amp;$A140,'Investment Strategies'!$C:$P,12,FALSE),
IF(AND(Investment_Strategy="Lifecycle",Investment_Strategy_Sub1="Standard"),VLOOKUP(Investment_Strategy&amp;"_"&amp;Investment_Strategy_Sub2&amp;"_"&amp;$A140,'Investment Strategies'!$AJ:$AV,11,FALSE),
IF(AND(Investment_Strategy="Autopilot",Investment_Strategy_Sub1="Non-Standard"),VLOOKUP(Investment_Strategy&amp;"_"&amp;Investment_Strategy_Sub2&amp;"_"&amp;$A140,'Investment Strategies'!$T:$AF,11,FALSE),
IF(Investment_Strategy="DIY",DIY_GteeChrge_CurrentFunds,
"Error"))))))</f>
        <v>5.4328711526985263E-4</v>
      </c>
      <c r="G140" s="33">
        <f>IF(AV140=0,0,
IF(Investment_Strategy="DIS",VLOOKUP(Investment_Strategy&amp;"_"&amp;Investment_Strategy_Sub1&amp;"_"&amp;$A140,'Investment Strategies'!$AZ:$BP,17,FALSE),
IF(AND(Investment_Strategy="Lifecycle",Investment_Strategy_Sub1="Non-Standard"),VLOOKUP(Investment_Strategy&amp;"_"&amp;Investment_Strategy_Sub2&amp;"_"&amp;$A140,'Investment Strategies'!$C:$P,14,FALSE),
IF(AND(Investment_Strategy="Lifecycle",Investment_Strategy_Sub1="Standard"),VLOOKUP(Investment_Strategy&amp;"_"&amp;Investment_Strategy_Sub2&amp;"_"&amp;$A140,'Investment Strategies'!$AJ:$AV,13,FALSE),
IF(AND(Investment_Strategy="Autopilot",Investment_Strategy_Sub1="Non-Standard"),VLOOKUP(Investment_Strategy&amp;"_"&amp;Investment_Strategy_Sub2&amp;"_"&amp;$A140,'Investment Strategies'!$T:$AF,13,FALSE),
IF(Investment_Strategy="DIY",DIY_ExtManChrge_CurrentFunds,
"Error"))))))</f>
        <v>2.0857243058891584E-4</v>
      </c>
      <c r="H140" s="16">
        <f t="shared" si="30"/>
        <v>0</v>
      </c>
      <c r="I140" s="16">
        <f t="shared" si="13"/>
        <v>0</v>
      </c>
      <c r="J140" s="16">
        <f t="shared" si="14"/>
        <v>0</v>
      </c>
      <c r="K140" s="16">
        <f>(Opening_Fund_Value+SUM(K$91:K139))*E140*IF(D140=$A$91,SRP_finalmonthfactor,1)</f>
        <v>0</v>
      </c>
      <c r="L140" s="74">
        <f>MIN(IF($AV140=0,0,
IF(Investment_Strategy="DIS",VLOOKUP(Investment_Strategy&amp;"_"&amp;Investment_Strategy_Sub1&amp;"_"&amp;$A140,'Investment Strategies'!$AZ:$BP,12,FALSE),
IF(AND(Investment_Strategy="Lifecycle",Investment_Strategy_Sub1="Non-Standard"),VLOOKUP(Investment_Strategy&amp;"_"&amp;Investment_Strategy_Sub2&amp;"_"&amp;$A140,'Investment Strategies'!$C:$P,9,FALSE),
IF(AND(Investment_Strategy="Lifecycle",Investment_Strategy_Sub1="Standard"),VLOOKUP(Investment_Strategy&amp;"_"&amp;Investment_Strategy_Sub2&amp;"_"&amp;$A140,'Investment Strategies'!$AJ:$AV,8,FALSE),
IF(AND(Investment_Strategy="Autopilot",Investment_Strategy_Sub1="Non-Standard"),VLOOKUP(Investment_Strategy&amp;"_"&amp;Investment_Strategy_Sub2&amp;"_"&amp;$A140,'Investment Strategies'!$T:$AF,8,FALSE),
IF(Investment_Strategy ="DIY",DIY_RateofReturn_SP,
"Error")))))),Max_InvReturn)</f>
        <v>4.1816398110932074E-3</v>
      </c>
      <c r="M140" s="62">
        <f>IF($AV140=0,0,
IF(Investment_Strategy="DIS",VLOOKUP(Investment_Strategy&amp;"_"&amp;Investment_Strategy_Sub1&amp;"_"&amp;$A140,'Investment Strategies'!$AZ:$BP,15,FALSE),
IF(AND(Investment_Strategy="Lifecycle",Investment_Strategy_Sub1="Non-Standard"),VLOOKUP(Investment_Strategy&amp;"_"&amp;Investment_Strategy_Sub2&amp;"_"&amp;$A140,'Investment Strategies'!$C:$P,12,FALSE),
IF(AND(Investment_Strategy="Lifecycle",Investment_Strategy_Sub1="Standard"),VLOOKUP(Investment_Strategy&amp;"_"&amp;Investment_Strategy_Sub2&amp;"_"&amp;$A140,'Investment Strategies'!$AJ:$AV,11,FALSE),
IF(AND(Investment_Strategy="Autopilot",Investment_Strategy_Sub1="Non-Standard"),VLOOKUP(Investment_Strategy&amp;"_"&amp;Investment_Strategy_Sub2&amp;"_"&amp;$A140,'Investment Strategies'!$T:$AF,11,FALSE),
IF(Investment_Strategy="DIY",DIY_GteeChrge_SP,
"Error"))))))</f>
        <v>0</v>
      </c>
      <c r="N140" s="33">
        <f>IF($AV140=0,0,
IF(Investment_Strategy="DIS",VLOOKUP(Investment_Strategy&amp;"_"&amp;Investment_Strategy_Sub1&amp;"_"&amp;$A140,'Investment Strategies'!$AZ:$BP,17,FALSE),
IF(AND(Investment_Strategy="Lifecycle",Investment_Strategy_Sub1="Non-Standard"),VLOOKUP(Investment_Strategy&amp;"_"&amp;Investment_Strategy_Sub2&amp;"_"&amp;$A140,'Investment Strategies'!$C:$P,14,FALSE),
IF(AND(Investment_Strategy="Lifecycle",Investment_Strategy_Sub1="Standard"),VLOOKUP(Investment_Strategy&amp;"_"&amp;Investment_Strategy_Sub2&amp;"_"&amp;$A140,'Investment Strategies'!$AJ:$AV,13,FALSE),
IF(AND(Investment_Strategy="Autopilot",Investment_Strategy_Sub1="Non-Standard"),VLOOKUP(Investment_Strategy&amp;"_"&amp;Investment_Strategy_Sub2&amp;"_"&amp;$A140,'Investment Strategies'!$T:$AF,13,FALSE),
IF(Investment_Strategy="DIY",DIY_ExtManChrge_SP,
"Error"))))))</f>
        <v>2.0857243058891584E-4</v>
      </c>
      <c r="O140" s="16">
        <f t="shared" si="50"/>
        <v>819346.01723506069</v>
      </c>
      <c r="Q140" s="16">
        <f t="shared" si="15"/>
        <v>3426.209924730791</v>
      </c>
      <c r="R140" s="16">
        <f t="shared" si="16"/>
        <v>-789.5994924851567</v>
      </c>
      <c r="S140" s="16">
        <f>(SRP_SP+SUM(S$91:S139))*L140*IF(D140=$A$91,SRP_finalmonthfactor,1)</f>
        <v>3591.2547592850515</v>
      </c>
      <c r="T140" s="74">
        <f>MIN(IF($AV140=0,0,
IF(Investment_Strategy="DIS",VLOOKUP(Investment_Strategy&amp;"_"&amp;Investment_Strategy_Sub1&amp;"_"&amp;$A140,'Investment Strategies'!$AZ:$BP,12,FALSE),
IF(AND(Investment_Strategy="Lifecycle",Investment_Strategy_Sub1="Non-Standard"),VLOOKUP(Investment_Strategy&amp;"_"&amp;Investment_Strategy_Sub2&amp;"_"&amp;$A140,'Investment Strategies'!$C:$P,9,FALSE),
IF(AND(Investment_Strategy="Lifecycle",Investment_Strategy_Sub1="Standard"),VLOOKUP(Investment_Strategy&amp;"_"&amp;Investment_Strategy_Sub2&amp;"_"&amp;$A140,'Investment Strategies'!$AJ:$AV,8,FALSE),
IF(AND(Investment_Strategy="Autopilot",Investment_Strategy_Sub1="Non-Standard"),VLOOKUP(Investment_Strategy&amp;"_"&amp;Investment_Strategy_Sub2&amp;"_"&amp;$A140,'Investment Strategies'!$T:$AF,8,FALSE),
IF(Investment_Strategy ="DIY",DIY_RateOfReturn_FuturePremiums,
"Error")))))),Max_InvReturn)</f>
        <v>4.1816398110932074E-3</v>
      </c>
      <c r="U140" s="62">
        <f>IF($AV140=0,0,
IF(Investment_Strategy="DIS",VLOOKUP(Investment_Strategy&amp;"_"&amp;Investment_Strategy_Sub1&amp;"_"&amp;$A140,'Investment Strategies'!$AZ:$BP,15,FALSE),
IF(AND(Investment_Strategy="Lifecycle",Investment_Strategy_Sub1="Non-Standard"),VLOOKUP(Investment_Strategy&amp;"_"&amp;Investment_Strategy_Sub2&amp;"_"&amp;$A140,'Investment Strategies'!$C:$P,12,FALSE),
IF(AND(Investment_Strategy="Lifecycle",Investment_Strategy_Sub1="Standard"),VLOOKUP(Investment_Strategy&amp;"_"&amp;Investment_Strategy_Sub2&amp;"_"&amp;$A140,'Investment Strategies'!$AJ:$AV,11,FALSE),
IF(AND(Investment_Strategy="Autopilot",Investment_Strategy_Sub1="Non-Standard"),VLOOKUP(Investment_Strategy&amp;"_"&amp;Investment_Strategy_Sub2&amp;"_"&amp;$A140,'Investment Strategies'!$T:$AF,11,FALSE),
IF(Investment_Strategy="DIY",DIY_GteeChrge_FuturePremiums,
"Error"))))))</f>
        <v>0</v>
      </c>
      <c r="V140" s="33">
        <f>IF(AV140=0,0,
IF(Investment_Strategy="DIS",VLOOKUP(Investment_Strategy&amp;"_"&amp;Investment_Strategy_Sub1&amp;"_"&amp;$A140,'Investment Strategies'!$AZ:$BP,17,FALSE),
IF(AND(Investment_Strategy="Lifecycle",Investment_Strategy_Sub1="Non-Standard"),VLOOKUP(Investment_Strategy&amp;"_"&amp;Investment_Strategy_Sub2&amp;"_"&amp;$A140,'Investment Strategies'!$C:$P,14,FALSE),
IF(AND(Investment_Strategy="Lifecycle",Investment_Strategy_Sub1="Standard"),VLOOKUP(Investment_Strategy&amp;"_"&amp;Investment_Strategy_Sub2&amp;"_"&amp;$A140,'Investment Strategies'!$AJ:$AV,13,FALSE),
IF(AND(Investment_Strategy="Autopilot",Investment_Strategy_Sub1="Non-Standard"),VLOOKUP(Investment_Strategy&amp;"_"&amp;Investment_Strategy_Sub2&amp;"_"&amp;$A140,'Investment Strategies'!$T:$AF,13,FALSE),
IF(Investment_Strategy="DIY",DIY_ExtManChrge_FuturePremiums,
"Error"))))))</f>
        <v>1.2508601994698498E-4</v>
      </c>
      <c r="W140" s="16">
        <f t="shared" si="51"/>
        <v>0</v>
      </c>
      <c r="X140" s="16">
        <f t="shared" si="17"/>
        <v>0</v>
      </c>
      <c r="Y140" s="16">
        <f t="shared" si="18"/>
        <v>0</v>
      </c>
      <c r="Z140" s="31">
        <f t="shared" si="19"/>
        <v>0.02</v>
      </c>
      <c r="AA140" s="16">
        <f t="shared" si="20"/>
        <v>0</v>
      </c>
      <c r="AB140" s="28">
        <f t="shared" si="53"/>
        <v>858814.94378306856</v>
      </c>
      <c r="AC140" s="28">
        <f>(SUM($AC$91:AC139)+SUM($X$91:X139)+X140)*T140*IF(D140=$A$91,SRP_finalmonthfactor,1)</f>
        <v>0</v>
      </c>
      <c r="AD140" s="16">
        <f t="shared" si="21"/>
        <v>-171.25029677391882</v>
      </c>
      <c r="AE140" s="106"/>
      <c r="AF140" s="16">
        <f t="shared" si="52"/>
        <v>819346.01723506069</v>
      </c>
      <c r="AG140" s="16">
        <f t="shared" si="31"/>
        <v>3591.2547592850515</v>
      </c>
      <c r="AH140" s="16">
        <f t="shared" si="32"/>
        <v>-789.5994924851567</v>
      </c>
      <c r="AJ140" s="13">
        <f t="shared" si="65"/>
        <v>0</v>
      </c>
      <c r="AK140" s="13">
        <f t="shared" si="65"/>
        <v>0</v>
      </c>
      <c r="AL140" s="13">
        <f t="shared" si="65"/>
        <v>0</v>
      </c>
      <c r="AM140" s="13">
        <f t="shared" si="65"/>
        <v>0</v>
      </c>
      <c r="AN140" s="13">
        <f t="shared" si="65"/>
        <v>1</v>
      </c>
      <c r="AO140" s="13">
        <f t="shared" si="65"/>
        <v>1</v>
      </c>
      <c r="AP140" s="13">
        <f t="shared" si="65"/>
        <v>1</v>
      </c>
      <c r="AQ140" s="13">
        <f t="shared" si="65"/>
        <v>1</v>
      </c>
      <c r="AR140" s="13">
        <f t="shared" si="65"/>
        <v>1</v>
      </c>
      <c r="AS140" s="13">
        <f t="shared" si="65"/>
        <v>1</v>
      </c>
      <c r="AT140" s="13">
        <f t="shared" si="65"/>
        <v>1</v>
      </c>
      <c r="AU140" s="13">
        <f t="shared" si="65"/>
        <v>1</v>
      </c>
      <c r="AV140" s="13">
        <f t="shared" si="23"/>
        <v>1</v>
      </c>
      <c r="AW140" s="13">
        <f t="shared" si="33"/>
        <v>1</v>
      </c>
      <c r="AY140" s="17">
        <f t="shared" si="24"/>
        <v>50</v>
      </c>
      <c r="AZ140" s="28">
        <f t="shared" si="34"/>
        <v>0</v>
      </c>
      <c r="BA140" s="13">
        <f t="shared" si="25"/>
        <v>0</v>
      </c>
      <c r="BB140" s="13">
        <f t="shared" si="26"/>
        <v>0</v>
      </c>
      <c r="BC140" s="28">
        <f t="shared" si="35"/>
        <v>0</v>
      </c>
      <c r="BD140" s="28">
        <f t="shared" si="36"/>
        <v>0</v>
      </c>
      <c r="BF140" s="248">
        <f t="shared" si="37"/>
        <v>862406.19854235358</v>
      </c>
      <c r="BG140" s="36">
        <f t="shared" si="54"/>
        <v>0</v>
      </c>
      <c r="BH140" s="36">
        <f t="shared" si="55"/>
        <v>819346.01723506069</v>
      </c>
      <c r="BI140" s="249">
        <f t="shared" si="56"/>
        <v>4.1816398110932074E-3</v>
      </c>
      <c r="BJ140" s="246">
        <f t="shared" si="57"/>
        <v>2.0857243058891584E-4</v>
      </c>
      <c r="BK140" s="246">
        <f t="shared" si="27"/>
        <v>7.531116566323881E-4</v>
      </c>
      <c r="BL140" s="246">
        <f t="shared" si="58"/>
        <v>0</v>
      </c>
      <c r="BM140" s="246">
        <f t="shared" si="59"/>
        <v>9.6168408722130394E-4</v>
      </c>
      <c r="BN140" s="36">
        <f t="shared" si="44"/>
        <v>789.5994924851567</v>
      </c>
      <c r="BO140" s="36">
        <f t="shared" si="60"/>
        <v>3426.209924730791</v>
      </c>
      <c r="BP140" s="36">
        <f t="shared" si="61"/>
        <v>821982.62766730634</v>
      </c>
    </row>
    <row r="141" spans="1:68">
      <c r="A141" s="32">
        <f t="shared" si="47"/>
        <v>34</v>
      </c>
      <c r="B141" s="32">
        <f t="shared" si="28"/>
        <v>57</v>
      </c>
      <c r="C141" s="32">
        <f t="shared" si="48"/>
        <v>5</v>
      </c>
      <c r="D141" s="32">
        <f t="shared" si="49"/>
        <v>51</v>
      </c>
      <c r="E141" s="74">
        <f>MIN(IF(AV141=0,0,
IF(Investment_Strategy="DIS",VLOOKUP(Investment_Strategy&amp;"_"&amp;Investment_Strategy_Sub1&amp;"_"&amp;$A141,'Investment Strategies'!$AZ:$BP,12,FALSE),
IF(AND(Investment_Strategy="Lifecycle",Investment_Strategy_Sub1="Non-Standard"),VLOOKUP(Investment_Strategy&amp;"_"&amp;Investment_Strategy_Sub2&amp;"_"&amp;$A141,'Investment Strategies'!$C:$P,9,FALSE),
IF(AND(Investment_Strategy="Lifecycle",Investment_Strategy_Sub1="Standard"),VLOOKUP(Investment_Strategy&amp;"_"&amp;Investment_Strategy_Sub2&amp;"_"&amp;$A141,'Investment Strategies'!$AJ:$AV,8,FALSE),
IF(AND(Investment_Strategy="Autopilot",Investment_Strategy_Sub1="Non-Standard"),VLOOKUP(Investment_Strategy&amp;"_"&amp;Investment_Strategy_Sub2&amp;"_"&amp;$A141,'Investment Strategies'!$T:$AF,8,FALSE),
IF(Investment_Strategy ="DIY",DIY_RateOfReturn_CurrentFunds,
"Error")))))),Max_InvReturn)</f>
        <v>4.1816398110932074E-3</v>
      </c>
      <c r="F141" s="62">
        <f>IF(AV141=0,0,
IF(Investment_Strategy="DIS",VLOOKUP(Investment_Strategy&amp;"_"&amp;Investment_Strategy_Sub1&amp;"_"&amp;$A141,'Investment Strategies'!$AZ:$BP,15,FALSE),
IF(AND(Investment_Strategy="Lifecycle",Investment_Strategy_Sub1="Non-Standard"),VLOOKUP(Investment_Strategy&amp;"_"&amp;Investment_Strategy_Sub2&amp;"_"&amp;$A141,'Investment Strategies'!$C:$P,12,FALSE),
IF(AND(Investment_Strategy="Lifecycle",Investment_Strategy_Sub1="Standard"),VLOOKUP(Investment_Strategy&amp;"_"&amp;Investment_Strategy_Sub2&amp;"_"&amp;$A141,'Investment Strategies'!$AJ:$AV,11,FALSE),
IF(AND(Investment_Strategy="Autopilot",Investment_Strategy_Sub1="Non-Standard"),VLOOKUP(Investment_Strategy&amp;"_"&amp;Investment_Strategy_Sub2&amp;"_"&amp;$A141,'Investment Strategies'!$T:$AF,11,FALSE),
IF(Investment_Strategy="DIY",DIY_GteeChrge_CurrentFunds,
"Error"))))))</f>
        <v>5.4328711526985263E-4</v>
      </c>
      <c r="G141" s="33">
        <f>IF(AV141=0,0,
IF(Investment_Strategy="DIS",VLOOKUP(Investment_Strategy&amp;"_"&amp;Investment_Strategy_Sub1&amp;"_"&amp;$A141,'Investment Strategies'!$AZ:$BP,17,FALSE),
IF(AND(Investment_Strategy="Lifecycle",Investment_Strategy_Sub1="Non-Standard"),VLOOKUP(Investment_Strategy&amp;"_"&amp;Investment_Strategy_Sub2&amp;"_"&amp;$A141,'Investment Strategies'!$C:$P,14,FALSE),
IF(AND(Investment_Strategy="Lifecycle",Investment_Strategy_Sub1="Standard"),VLOOKUP(Investment_Strategy&amp;"_"&amp;Investment_Strategy_Sub2&amp;"_"&amp;$A141,'Investment Strategies'!$AJ:$AV,13,FALSE),
IF(AND(Investment_Strategy="Autopilot",Investment_Strategy_Sub1="Non-Standard"),VLOOKUP(Investment_Strategy&amp;"_"&amp;Investment_Strategy_Sub2&amp;"_"&amp;$A141,'Investment Strategies'!$T:$AF,13,FALSE),
IF(Investment_Strategy="DIY",DIY_ExtManChrge_CurrentFunds,
"Error"))))))</f>
        <v>2.0857243058891584E-4</v>
      </c>
      <c r="H141" s="16">
        <f t="shared" si="30"/>
        <v>0</v>
      </c>
      <c r="I141" s="16">
        <f t="shared" si="13"/>
        <v>0</v>
      </c>
      <c r="J141" s="16">
        <f t="shared" si="14"/>
        <v>0</v>
      </c>
      <c r="K141" s="16">
        <f>(Opening_Fund_Value+SUM(K$91:K140))*E141*IF(D141=$A$91,SRP_finalmonthfactor,1)</f>
        <v>0</v>
      </c>
      <c r="L141" s="74">
        <f>MIN(IF($AV141=0,0,
IF(Investment_Strategy="DIS",VLOOKUP(Investment_Strategy&amp;"_"&amp;Investment_Strategy_Sub1&amp;"_"&amp;$A141,'Investment Strategies'!$AZ:$BP,12,FALSE),
IF(AND(Investment_Strategy="Lifecycle",Investment_Strategy_Sub1="Non-Standard"),VLOOKUP(Investment_Strategy&amp;"_"&amp;Investment_Strategy_Sub2&amp;"_"&amp;$A141,'Investment Strategies'!$C:$P,9,FALSE),
IF(AND(Investment_Strategy="Lifecycle",Investment_Strategy_Sub1="Standard"),VLOOKUP(Investment_Strategy&amp;"_"&amp;Investment_Strategy_Sub2&amp;"_"&amp;$A141,'Investment Strategies'!$AJ:$AV,8,FALSE),
IF(AND(Investment_Strategy="Autopilot",Investment_Strategy_Sub1="Non-Standard"),VLOOKUP(Investment_Strategy&amp;"_"&amp;Investment_Strategy_Sub2&amp;"_"&amp;$A141,'Investment Strategies'!$T:$AF,8,FALSE),
IF(Investment_Strategy ="DIY",DIY_RateofReturn_SP,
"Error")))))),Max_InvReturn)</f>
        <v>4.1816398110932074E-3</v>
      </c>
      <c r="M141" s="62">
        <f>IF($AV141=0,0,
IF(Investment_Strategy="DIS",VLOOKUP(Investment_Strategy&amp;"_"&amp;Investment_Strategy_Sub1&amp;"_"&amp;$A141,'Investment Strategies'!$AZ:$BP,15,FALSE),
IF(AND(Investment_Strategy="Lifecycle",Investment_Strategy_Sub1="Non-Standard"),VLOOKUP(Investment_Strategy&amp;"_"&amp;Investment_Strategy_Sub2&amp;"_"&amp;$A141,'Investment Strategies'!$C:$P,12,FALSE),
IF(AND(Investment_Strategy="Lifecycle",Investment_Strategy_Sub1="Standard"),VLOOKUP(Investment_Strategy&amp;"_"&amp;Investment_Strategy_Sub2&amp;"_"&amp;$A141,'Investment Strategies'!$AJ:$AV,11,FALSE),
IF(AND(Investment_Strategy="Autopilot",Investment_Strategy_Sub1="Non-Standard"),VLOOKUP(Investment_Strategy&amp;"_"&amp;Investment_Strategy_Sub2&amp;"_"&amp;$A141,'Investment Strategies'!$T:$AF,11,FALSE),
IF(Investment_Strategy="DIY",DIY_GteeChrge_SP,
"Error"))))))</f>
        <v>0</v>
      </c>
      <c r="N141" s="33">
        <f>IF($AV141=0,0,
IF(Investment_Strategy="DIS",VLOOKUP(Investment_Strategy&amp;"_"&amp;Investment_Strategy_Sub1&amp;"_"&amp;$A141,'Investment Strategies'!$AZ:$BP,17,FALSE),
IF(AND(Investment_Strategy="Lifecycle",Investment_Strategy_Sub1="Non-Standard"),VLOOKUP(Investment_Strategy&amp;"_"&amp;Investment_Strategy_Sub2&amp;"_"&amp;$A141,'Investment Strategies'!$C:$P,14,FALSE),
IF(AND(Investment_Strategy="Lifecycle",Investment_Strategy_Sub1="Standard"),VLOOKUP(Investment_Strategy&amp;"_"&amp;Investment_Strategy_Sub2&amp;"_"&amp;$A141,'Investment Strategies'!$AJ:$AV,13,FALSE),
IF(AND(Investment_Strategy="Autopilot",Investment_Strategy_Sub1="Non-Standard"),VLOOKUP(Investment_Strategy&amp;"_"&amp;Investment_Strategy_Sub2&amp;"_"&amp;$A141,'Investment Strategies'!$T:$AF,13,FALSE),
IF(Investment_Strategy="DIY",DIY_ExtManChrge_SP,
"Error"))))))</f>
        <v>2.0857243058891584E-4</v>
      </c>
      <c r="O141" s="16">
        <f t="shared" si="50"/>
        <v>821982.62766730634</v>
      </c>
      <c r="Q141" s="16">
        <f t="shared" si="15"/>
        <v>3437.2352798806132</v>
      </c>
      <c r="R141" s="16">
        <f t="shared" si="16"/>
        <v>-792.14038023635089</v>
      </c>
      <c r="S141" s="16">
        <f>(SRP_SP+SUM(S$91:S140))*L141*IF(D141=$A$91,SRP_finalmonthfactor,1)</f>
        <v>3606.2720931582558</v>
      </c>
      <c r="T141" s="74">
        <f>MIN(IF($AV141=0,0,
IF(Investment_Strategy="DIS",VLOOKUP(Investment_Strategy&amp;"_"&amp;Investment_Strategy_Sub1&amp;"_"&amp;$A141,'Investment Strategies'!$AZ:$BP,12,FALSE),
IF(AND(Investment_Strategy="Lifecycle",Investment_Strategy_Sub1="Non-Standard"),VLOOKUP(Investment_Strategy&amp;"_"&amp;Investment_Strategy_Sub2&amp;"_"&amp;$A141,'Investment Strategies'!$C:$P,9,FALSE),
IF(AND(Investment_Strategy="Lifecycle",Investment_Strategy_Sub1="Standard"),VLOOKUP(Investment_Strategy&amp;"_"&amp;Investment_Strategy_Sub2&amp;"_"&amp;$A141,'Investment Strategies'!$AJ:$AV,8,FALSE),
IF(AND(Investment_Strategy="Autopilot",Investment_Strategy_Sub1="Non-Standard"),VLOOKUP(Investment_Strategy&amp;"_"&amp;Investment_Strategy_Sub2&amp;"_"&amp;$A141,'Investment Strategies'!$T:$AF,8,FALSE),
IF(Investment_Strategy ="DIY",DIY_RateOfReturn_FuturePremiums,
"Error")))))),Max_InvReturn)</f>
        <v>4.1816398110932074E-3</v>
      </c>
      <c r="U141" s="62">
        <f>IF($AV141=0,0,
IF(Investment_Strategy="DIS",VLOOKUP(Investment_Strategy&amp;"_"&amp;Investment_Strategy_Sub1&amp;"_"&amp;$A141,'Investment Strategies'!$AZ:$BP,15,FALSE),
IF(AND(Investment_Strategy="Lifecycle",Investment_Strategy_Sub1="Non-Standard"),VLOOKUP(Investment_Strategy&amp;"_"&amp;Investment_Strategy_Sub2&amp;"_"&amp;$A141,'Investment Strategies'!$C:$P,12,FALSE),
IF(AND(Investment_Strategy="Lifecycle",Investment_Strategy_Sub1="Standard"),VLOOKUP(Investment_Strategy&amp;"_"&amp;Investment_Strategy_Sub2&amp;"_"&amp;$A141,'Investment Strategies'!$AJ:$AV,11,FALSE),
IF(AND(Investment_Strategy="Autopilot",Investment_Strategy_Sub1="Non-Standard"),VLOOKUP(Investment_Strategy&amp;"_"&amp;Investment_Strategy_Sub2&amp;"_"&amp;$A141,'Investment Strategies'!$T:$AF,11,FALSE),
IF(Investment_Strategy="DIY",DIY_GteeChrge_FuturePremiums,
"Error"))))))</f>
        <v>0</v>
      </c>
      <c r="V141" s="33">
        <f>IF(AV141=0,0,
IF(Investment_Strategy="DIS",VLOOKUP(Investment_Strategy&amp;"_"&amp;Investment_Strategy_Sub1&amp;"_"&amp;$A141,'Investment Strategies'!$AZ:$BP,17,FALSE),
IF(AND(Investment_Strategy="Lifecycle",Investment_Strategy_Sub1="Non-Standard"),VLOOKUP(Investment_Strategy&amp;"_"&amp;Investment_Strategy_Sub2&amp;"_"&amp;$A141,'Investment Strategies'!$C:$P,14,FALSE),
IF(AND(Investment_Strategy="Lifecycle",Investment_Strategy_Sub1="Standard"),VLOOKUP(Investment_Strategy&amp;"_"&amp;Investment_Strategy_Sub2&amp;"_"&amp;$A141,'Investment Strategies'!$AJ:$AV,13,FALSE),
IF(AND(Investment_Strategy="Autopilot",Investment_Strategy_Sub1="Non-Standard"),VLOOKUP(Investment_Strategy&amp;"_"&amp;Investment_Strategy_Sub2&amp;"_"&amp;$A141,'Investment Strategies'!$T:$AF,13,FALSE),
IF(Investment_Strategy="DIY",DIY_ExtManChrge_FuturePremiums,
"Error"))))))</f>
        <v>1.2508601994698498E-4</v>
      </c>
      <c r="W141" s="16">
        <f t="shared" si="51"/>
        <v>0</v>
      </c>
      <c r="X141" s="16">
        <f t="shared" si="17"/>
        <v>0</v>
      </c>
      <c r="Y141" s="16">
        <f t="shared" si="18"/>
        <v>0</v>
      </c>
      <c r="Z141" s="31">
        <f t="shared" si="19"/>
        <v>0.02</v>
      </c>
      <c r="AA141" s="16">
        <f t="shared" si="20"/>
        <v>0</v>
      </c>
      <c r="AB141" s="28">
        <f t="shared" si="53"/>
        <v>862406.19854235358</v>
      </c>
      <c r="AC141" s="28">
        <f>(SUM($AC$91:AC140)+SUM($X$91:X140)+X141)*T141*IF(D141=$A$91,SRP_finalmonthfactor,1)</f>
        <v>0</v>
      </c>
      <c r="AD141" s="16">
        <f t="shared" si="21"/>
        <v>-171.80137081284926</v>
      </c>
      <c r="AE141" s="106"/>
      <c r="AF141" s="16">
        <f t="shared" si="52"/>
        <v>821982.62766730634</v>
      </c>
      <c r="AG141" s="16">
        <f t="shared" si="31"/>
        <v>3606.2720931582558</v>
      </c>
      <c r="AH141" s="16">
        <f t="shared" si="32"/>
        <v>-792.14038023635089</v>
      </c>
      <c r="AJ141" s="13">
        <f t="shared" ref="AJ141:AU150" si="66">IF($C141&lt;=AJ$90,1,0)</f>
        <v>0</v>
      </c>
      <c r="AK141" s="13">
        <f t="shared" si="66"/>
        <v>0</v>
      </c>
      <c r="AL141" s="13">
        <f t="shared" si="66"/>
        <v>0</v>
      </c>
      <c r="AM141" s="13">
        <f t="shared" si="66"/>
        <v>0</v>
      </c>
      <c r="AN141" s="13">
        <f t="shared" si="66"/>
        <v>1</v>
      </c>
      <c r="AO141" s="13">
        <f t="shared" si="66"/>
        <v>1</v>
      </c>
      <c r="AP141" s="13">
        <f t="shared" si="66"/>
        <v>1</v>
      </c>
      <c r="AQ141" s="13">
        <f t="shared" si="66"/>
        <v>1</v>
      </c>
      <c r="AR141" s="13">
        <f t="shared" si="66"/>
        <v>1</v>
      </c>
      <c r="AS141" s="13">
        <f t="shared" si="66"/>
        <v>1</v>
      </c>
      <c r="AT141" s="13">
        <f t="shared" si="66"/>
        <v>1</v>
      </c>
      <c r="AU141" s="13">
        <f t="shared" si="66"/>
        <v>1</v>
      </c>
      <c r="AV141" s="13">
        <f t="shared" si="23"/>
        <v>1</v>
      </c>
      <c r="AW141" s="13">
        <f t="shared" si="33"/>
        <v>1</v>
      </c>
      <c r="AY141" s="17">
        <f t="shared" si="24"/>
        <v>51</v>
      </c>
      <c r="AZ141" s="28">
        <f t="shared" si="34"/>
        <v>0</v>
      </c>
      <c r="BA141" s="13">
        <f t="shared" si="25"/>
        <v>0</v>
      </c>
      <c r="BB141" s="13">
        <f t="shared" si="26"/>
        <v>0</v>
      </c>
      <c r="BC141" s="28">
        <f t="shared" si="35"/>
        <v>0</v>
      </c>
      <c r="BD141" s="28">
        <f t="shared" si="36"/>
        <v>0</v>
      </c>
      <c r="BF141" s="248">
        <f t="shared" si="37"/>
        <v>866012.4706355118</v>
      </c>
      <c r="BG141" s="36">
        <f t="shared" si="54"/>
        <v>0</v>
      </c>
      <c r="BH141" s="36">
        <f t="shared" si="55"/>
        <v>821982.62766730634</v>
      </c>
      <c r="BI141" s="249">
        <f t="shared" si="56"/>
        <v>4.1816398110932074E-3</v>
      </c>
      <c r="BJ141" s="246">
        <f t="shared" si="57"/>
        <v>2.0857243058891584E-4</v>
      </c>
      <c r="BK141" s="246">
        <f t="shared" si="27"/>
        <v>7.531116566323881E-4</v>
      </c>
      <c r="BL141" s="246">
        <f t="shared" si="58"/>
        <v>0</v>
      </c>
      <c r="BM141" s="246">
        <f t="shared" si="59"/>
        <v>9.6168408722130394E-4</v>
      </c>
      <c r="BN141" s="36">
        <f t="shared" si="44"/>
        <v>792.14038023635078</v>
      </c>
      <c r="BO141" s="36">
        <f t="shared" si="60"/>
        <v>3437.2352798806132</v>
      </c>
      <c r="BP141" s="36">
        <f t="shared" si="61"/>
        <v>824627.7225669506</v>
      </c>
    </row>
    <row r="142" spans="1:68">
      <c r="A142" s="32">
        <f t="shared" si="47"/>
        <v>33</v>
      </c>
      <c r="B142" s="32">
        <f t="shared" si="28"/>
        <v>57</v>
      </c>
      <c r="C142" s="32">
        <f t="shared" si="48"/>
        <v>5</v>
      </c>
      <c r="D142" s="32">
        <f t="shared" si="49"/>
        <v>52</v>
      </c>
      <c r="E142" s="74">
        <f>MIN(IF(AV142=0,0,
IF(Investment_Strategy="DIS",VLOOKUP(Investment_Strategy&amp;"_"&amp;Investment_Strategy_Sub1&amp;"_"&amp;$A142,'Investment Strategies'!$AZ:$BP,12,FALSE),
IF(AND(Investment_Strategy="Lifecycle",Investment_Strategy_Sub1="Non-Standard"),VLOOKUP(Investment_Strategy&amp;"_"&amp;Investment_Strategy_Sub2&amp;"_"&amp;$A142,'Investment Strategies'!$C:$P,9,FALSE),
IF(AND(Investment_Strategy="Lifecycle",Investment_Strategy_Sub1="Standard"),VLOOKUP(Investment_Strategy&amp;"_"&amp;Investment_Strategy_Sub2&amp;"_"&amp;$A142,'Investment Strategies'!$AJ:$AV,8,FALSE),
IF(AND(Investment_Strategy="Autopilot",Investment_Strategy_Sub1="Non-Standard"),VLOOKUP(Investment_Strategy&amp;"_"&amp;Investment_Strategy_Sub2&amp;"_"&amp;$A142,'Investment Strategies'!$T:$AF,8,FALSE),
IF(Investment_Strategy ="DIY",DIY_RateOfReturn_CurrentFunds,
"Error")))))),Max_InvReturn)</f>
        <v>4.1816398110932074E-3</v>
      </c>
      <c r="F142" s="62">
        <f>IF(AV142=0,0,
IF(Investment_Strategy="DIS",VLOOKUP(Investment_Strategy&amp;"_"&amp;Investment_Strategy_Sub1&amp;"_"&amp;$A142,'Investment Strategies'!$AZ:$BP,15,FALSE),
IF(AND(Investment_Strategy="Lifecycle",Investment_Strategy_Sub1="Non-Standard"),VLOOKUP(Investment_Strategy&amp;"_"&amp;Investment_Strategy_Sub2&amp;"_"&amp;$A142,'Investment Strategies'!$C:$P,12,FALSE),
IF(AND(Investment_Strategy="Lifecycle",Investment_Strategy_Sub1="Standard"),VLOOKUP(Investment_Strategy&amp;"_"&amp;Investment_Strategy_Sub2&amp;"_"&amp;$A142,'Investment Strategies'!$AJ:$AV,11,FALSE),
IF(AND(Investment_Strategy="Autopilot",Investment_Strategy_Sub1="Non-Standard"),VLOOKUP(Investment_Strategy&amp;"_"&amp;Investment_Strategy_Sub2&amp;"_"&amp;$A142,'Investment Strategies'!$T:$AF,11,FALSE),
IF(Investment_Strategy="DIY",DIY_GteeChrge_CurrentFunds,
"Error"))))))</f>
        <v>5.4328711526985263E-4</v>
      </c>
      <c r="G142" s="33">
        <f>IF(AV142=0,0,
IF(Investment_Strategy="DIS",VLOOKUP(Investment_Strategy&amp;"_"&amp;Investment_Strategy_Sub1&amp;"_"&amp;$A142,'Investment Strategies'!$AZ:$BP,17,FALSE),
IF(AND(Investment_Strategy="Lifecycle",Investment_Strategy_Sub1="Non-Standard"),VLOOKUP(Investment_Strategy&amp;"_"&amp;Investment_Strategy_Sub2&amp;"_"&amp;$A142,'Investment Strategies'!$C:$P,14,FALSE),
IF(AND(Investment_Strategy="Lifecycle",Investment_Strategy_Sub1="Standard"),VLOOKUP(Investment_Strategy&amp;"_"&amp;Investment_Strategy_Sub2&amp;"_"&amp;$A142,'Investment Strategies'!$AJ:$AV,13,FALSE),
IF(AND(Investment_Strategy="Autopilot",Investment_Strategy_Sub1="Non-Standard"),VLOOKUP(Investment_Strategy&amp;"_"&amp;Investment_Strategy_Sub2&amp;"_"&amp;$A142,'Investment Strategies'!$T:$AF,13,FALSE),
IF(Investment_Strategy="DIY",DIY_ExtManChrge_CurrentFunds,
"Error"))))))</f>
        <v>2.0857243058891584E-4</v>
      </c>
      <c r="H142" s="16">
        <f t="shared" si="30"/>
        <v>0</v>
      </c>
      <c r="I142" s="16">
        <f t="shared" si="13"/>
        <v>0</v>
      </c>
      <c r="J142" s="16">
        <f t="shared" si="14"/>
        <v>0</v>
      </c>
      <c r="K142" s="16">
        <f>(Opening_Fund_Value+SUM(K$91:K141))*E142*IF(D142=$A$91,SRP_finalmonthfactor,1)</f>
        <v>0</v>
      </c>
      <c r="L142" s="74">
        <f>MIN(IF($AV142=0,0,
IF(Investment_Strategy="DIS",VLOOKUP(Investment_Strategy&amp;"_"&amp;Investment_Strategy_Sub1&amp;"_"&amp;$A142,'Investment Strategies'!$AZ:$BP,12,FALSE),
IF(AND(Investment_Strategy="Lifecycle",Investment_Strategy_Sub1="Non-Standard"),VLOOKUP(Investment_Strategy&amp;"_"&amp;Investment_Strategy_Sub2&amp;"_"&amp;$A142,'Investment Strategies'!$C:$P,9,FALSE),
IF(AND(Investment_Strategy="Lifecycle",Investment_Strategy_Sub1="Standard"),VLOOKUP(Investment_Strategy&amp;"_"&amp;Investment_Strategy_Sub2&amp;"_"&amp;$A142,'Investment Strategies'!$AJ:$AV,8,FALSE),
IF(AND(Investment_Strategy="Autopilot",Investment_Strategy_Sub1="Non-Standard"),VLOOKUP(Investment_Strategy&amp;"_"&amp;Investment_Strategy_Sub2&amp;"_"&amp;$A142,'Investment Strategies'!$T:$AF,8,FALSE),
IF(Investment_Strategy ="DIY",DIY_RateofReturn_SP,
"Error")))))),Max_InvReturn)</f>
        <v>4.1816398110932074E-3</v>
      </c>
      <c r="M142" s="62">
        <f>IF($AV142=0,0,
IF(Investment_Strategy="DIS",VLOOKUP(Investment_Strategy&amp;"_"&amp;Investment_Strategy_Sub1&amp;"_"&amp;$A142,'Investment Strategies'!$AZ:$BP,15,FALSE),
IF(AND(Investment_Strategy="Lifecycle",Investment_Strategy_Sub1="Non-Standard"),VLOOKUP(Investment_Strategy&amp;"_"&amp;Investment_Strategy_Sub2&amp;"_"&amp;$A142,'Investment Strategies'!$C:$P,12,FALSE),
IF(AND(Investment_Strategy="Lifecycle",Investment_Strategy_Sub1="Standard"),VLOOKUP(Investment_Strategy&amp;"_"&amp;Investment_Strategy_Sub2&amp;"_"&amp;$A142,'Investment Strategies'!$AJ:$AV,11,FALSE),
IF(AND(Investment_Strategy="Autopilot",Investment_Strategy_Sub1="Non-Standard"),VLOOKUP(Investment_Strategy&amp;"_"&amp;Investment_Strategy_Sub2&amp;"_"&amp;$A142,'Investment Strategies'!$T:$AF,11,FALSE),
IF(Investment_Strategy="DIY",DIY_GteeChrge_SP,
"Error"))))))</f>
        <v>0</v>
      </c>
      <c r="N142" s="33">
        <f>IF($AV142=0,0,
IF(Investment_Strategy="DIS",VLOOKUP(Investment_Strategy&amp;"_"&amp;Investment_Strategy_Sub1&amp;"_"&amp;$A142,'Investment Strategies'!$AZ:$BP,17,FALSE),
IF(AND(Investment_Strategy="Lifecycle",Investment_Strategy_Sub1="Non-Standard"),VLOOKUP(Investment_Strategy&amp;"_"&amp;Investment_Strategy_Sub2&amp;"_"&amp;$A142,'Investment Strategies'!$C:$P,14,FALSE),
IF(AND(Investment_Strategy="Lifecycle",Investment_Strategy_Sub1="Standard"),VLOOKUP(Investment_Strategy&amp;"_"&amp;Investment_Strategy_Sub2&amp;"_"&amp;$A142,'Investment Strategies'!$AJ:$AV,13,FALSE),
IF(AND(Investment_Strategy="Autopilot",Investment_Strategy_Sub1="Non-Standard"),VLOOKUP(Investment_Strategy&amp;"_"&amp;Investment_Strategy_Sub2&amp;"_"&amp;$A142,'Investment Strategies'!$T:$AF,13,FALSE),
IF(Investment_Strategy="DIY",DIY_ExtManChrge_SP,
"Error"))))))</f>
        <v>2.0857243058891584E-4</v>
      </c>
      <c r="O142" s="16">
        <f t="shared" si="50"/>
        <v>824627.7225669506</v>
      </c>
      <c r="Q142" s="16">
        <f t="shared" si="15"/>
        <v>3448.2961140170851</v>
      </c>
      <c r="R142" s="16">
        <f t="shared" si="16"/>
        <v>-794.68944442461918</v>
      </c>
      <c r="S142" s="16">
        <f>(SRP_SP+SUM(S$91:S141))*L142*IF(D142=$A$91,SRP_finalmonthfactor,1)</f>
        <v>3621.3522241126411</v>
      </c>
      <c r="T142" s="74">
        <f>MIN(IF($AV142=0,0,
IF(Investment_Strategy="DIS",VLOOKUP(Investment_Strategy&amp;"_"&amp;Investment_Strategy_Sub1&amp;"_"&amp;$A142,'Investment Strategies'!$AZ:$BP,12,FALSE),
IF(AND(Investment_Strategy="Lifecycle",Investment_Strategy_Sub1="Non-Standard"),VLOOKUP(Investment_Strategy&amp;"_"&amp;Investment_Strategy_Sub2&amp;"_"&amp;$A142,'Investment Strategies'!$C:$P,9,FALSE),
IF(AND(Investment_Strategy="Lifecycle",Investment_Strategy_Sub1="Standard"),VLOOKUP(Investment_Strategy&amp;"_"&amp;Investment_Strategy_Sub2&amp;"_"&amp;$A142,'Investment Strategies'!$AJ:$AV,8,FALSE),
IF(AND(Investment_Strategy="Autopilot",Investment_Strategy_Sub1="Non-Standard"),VLOOKUP(Investment_Strategy&amp;"_"&amp;Investment_Strategy_Sub2&amp;"_"&amp;$A142,'Investment Strategies'!$T:$AF,8,FALSE),
IF(Investment_Strategy ="DIY",DIY_RateOfReturn_FuturePremiums,
"Error")))))),Max_InvReturn)</f>
        <v>4.1816398110932074E-3</v>
      </c>
      <c r="U142" s="62">
        <f>IF($AV142=0,0,
IF(Investment_Strategy="DIS",VLOOKUP(Investment_Strategy&amp;"_"&amp;Investment_Strategy_Sub1&amp;"_"&amp;$A142,'Investment Strategies'!$AZ:$BP,15,FALSE),
IF(AND(Investment_Strategy="Lifecycle",Investment_Strategy_Sub1="Non-Standard"),VLOOKUP(Investment_Strategy&amp;"_"&amp;Investment_Strategy_Sub2&amp;"_"&amp;$A142,'Investment Strategies'!$C:$P,12,FALSE),
IF(AND(Investment_Strategy="Lifecycle",Investment_Strategy_Sub1="Standard"),VLOOKUP(Investment_Strategy&amp;"_"&amp;Investment_Strategy_Sub2&amp;"_"&amp;$A142,'Investment Strategies'!$AJ:$AV,11,FALSE),
IF(AND(Investment_Strategy="Autopilot",Investment_Strategy_Sub1="Non-Standard"),VLOOKUP(Investment_Strategy&amp;"_"&amp;Investment_Strategy_Sub2&amp;"_"&amp;$A142,'Investment Strategies'!$T:$AF,11,FALSE),
IF(Investment_Strategy="DIY",DIY_GteeChrge_FuturePremiums,
"Error"))))))</f>
        <v>0</v>
      </c>
      <c r="V142" s="33">
        <f>IF(AV142=0,0,
IF(Investment_Strategy="DIS",VLOOKUP(Investment_Strategy&amp;"_"&amp;Investment_Strategy_Sub1&amp;"_"&amp;$A142,'Investment Strategies'!$AZ:$BP,17,FALSE),
IF(AND(Investment_Strategy="Lifecycle",Investment_Strategy_Sub1="Non-Standard"),VLOOKUP(Investment_Strategy&amp;"_"&amp;Investment_Strategy_Sub2&amp;"_"&amp;$A142,'Investment Strategies'!$C:$P,14,FALSE),
IF(AND(Investment_Strategy="Lifecycle",Investment_Strategy_Sub1="Standard"),VLOOKUP(Investment_Strategy&amp;"_"&amp;Investment_Strategy_Sub2&amp;"_"&amp;$A142,'Investment Strategies'!$AJ:$AV,13,FALSE),
IF(AND(Investment_Strategy="Autopilot",Investment_Strategy_Sub1="Non-Standard"),VLOOKUP(Investment_Strategy&amp;"_"&amp;Investment_Strategy_Sub2&amp;"_"&amp;$A142,'Investment Strategies'!$T:$AF,13,FALSE),
IF(Investment_Strategy="DIY",DIY_ExtManChrge_FuturePremiums,
"Error"))))))</f>
        <v>1.2508601994698498E-4</v>
      </c>
      <c r="W142" s="16">
        <f t="shared" si="51"/>
        <v>0</v>
      </c>
      <c r="X142" s="16">
        <f t="shared" si="17"/>
        <v>0</v>
      </c>
      <c r="Y142" s="16">
        <f t="shared" si="18"/>
        <v>0</v>
      </c>
      <c r="Z142" s="31">
        <f t="shared" si="19"/>
        <v>0.02</v>
      </c>
      <c r="AA142" s="16">
        <f t="shared" si="20"/>
        <v>0</v>
      </c>
      <c r="AB142" s="28">
        <f t="shared" si="53"/>
        <v>866012.4706355118</v>
      </c>
      <c r="AC142" s="28">
        <f>(SUM($AC$91:AC141)+SUM($X$91:X141)+X142)*T142*IF(D142=$A$91,SRP_finalmonthfactor,1)</f>
        <v>0</v>
      </c>
      <c r="AD142" s="16">
        <f t="shared" si="21"/>
        <v>-172.35421817773647</v>
      </c>
      <c r="AE142" s="106"/>
      <c r="AF142" s="16">
        <f t="shared" si="52"/>
        <v>824627.7225669506</v>
      </c>
      <c r="AG142" s="16">
        <f t="shared" si="31"/>
        <v>3621.3522241126411</v>
      </c>
      <c r="AH142" s="16">
        <f t="shared" si="32"/>
        <v>-794.68944442461918</v>
      </c>
      <c r="AJ142" s="13">
        <f t="shared" si="66"/>
        <v>0</v>
      </c>
      <c r="AK142" s="13">
        <f t="shared" si="66"/>
        <v>0</v>
      </c>
      <c r="AL142" s="13">
        <f t="shared" si="66"/>
        <v>0</v>
      </c>
      <c r="AM142" s="13">
        <f t="shared" si="66"/>
        <v>0</v>
      </c>
      <c r="AN142" s="13">
        <f t="shared" si="66"/>
        <v>1</v>
      </c>
      <c r="AO142" s="13">
        <f t="shared" si="66"/>
        <v>1</v>
      </c>
      <c r="AP142" s="13">
        <f t="shared" si="66"/>
        <v>1</v>
      </c>
      <c r="AQ142" s="13">
        <f t="shared" si="66"/>
        <v>1</v>
      </c>
      <c r="AR142" s="13">
        <f t="shared" si="66"/>
        <v>1</v>
      </c>
      <c r="AS142" s="13">
        <f t="shared" si="66"/>
        <v>1</v>
      </c>
      <c r="AT142" s="13">
        <f t="shared" si="66"/>
        <v>1</v>
      </c>
      <c r="AU142" s="13">
        <f t="shared" si="66"/>
        <v>1</v>
      </c>
      <c r="AV142" s="13">
        <f t="shared" si="23"/>
        <v>1</v>
      </c>
      <c r="AW142" s="13">
        <f t="shared" si="33"/>
        <v>1</v>
      </c>
      <c r="AY142" s="17">
        <f t="shared" si="24"/>
        <v>52</v>
      </c>
      <c r="AZ142" s="28">
        <f t="shared" si="34"/>
        <v>0</v>
      </c>
      <c r="BA142" s="13">
        <f t="shared" si="25"/>
        <v>0</v>
      </c>
      <c r="BB142" s="13">
        <f t="shared" si="26"/>
        <v>0</v>
      </c>
      <c r="BC142" s="28">
        <f t="shared" si="35"/>
        <v>0</v>
      </c>
      <c r="BD142" s="28">
        <f t="shared" si="36"/>
        <v>0</v>
      </c>
      <c r="BF142" s="248">
        <f t="shared" si="37"/>
        <v>869633.8228596244</v>
      </c>
      <c r="BG142" s="36">
        <f t="shared" si="54"/>
        <v>0</v>
      </c>
      <c r="BH142" s="36">
        <f t="shared" si="55"/>
        <v>824627.7225669506</v>
      </c>
      <c r="BI142" s="249">
        <f t="shared" si="56"/>
        <v>4.1816398110932074E-3</v>
      </c>
      <c r="BJ142" s="246">
        <f t="shared" si="57"/>
        <v>2.0857243058891584E-4</v>
      </c>
      <c r="BK142" s="246">
        <f t="shared" si="27"/>
        <v>7.531116566323881E-4</v>
      </c>
      <c r="BL142" s="246">
        <f t="shared" si="58"/>
        <v>0</v>
      </c>
      <c r="BM142" s="246">
        <f t="shared" si="59"/>
        <v>9.6168408722130394E-4</v>
      </c>
      <c r="BN142" s="36">
        <f t="shared" si="44"/>
        <v>794.68944442461907</v>
      </c>
      <c r="BO142" s="36">
        <f t="shared" si="60"/>
        <v>3448.2961140170851</v>
      </c>
      <c r="BP142" s="36">
        <f t="shared" si="61"/>
        <v>827281.32923654316</v>
      </c>
    </row>
    <row r="143" spans="1:68">
      <c r="A143" s="32">
        <f t="shared" si="47"/>
        <v>32</v>
      </c>
      <c r="B143" s="32">
        <f t="shared" si="28"/>
        <v>57</v>
      </c>
      <c r="C143" s="32">
        <f t="shared" si="48"/>
        <v>5</v>
      </c>
      <c r="D143" s="32">
        <f t="shared" si="49"/>
        <v>53</v>
      </c>
      <c r="E143" s="74">
        <f>MIN(IF(AV143=0,0,
IF(Investment_Strategy="DIS",VLOOKUP(Investment_Strategy&amp;"_"&amp;Investment_Strategy_Sub1&amp;"_"&amp;$A143,'Investment Strategies'!$AZ:$BP,12,FALSE),
IF(AND(Investment_Strategy="Lifecycle",Investment_Strategy_Sub1="Non-Standard"),VLOOKUP(Investment_Strategy&amp;"_"&amp;Investment_Strategy_Sub2&amp;"_"&amp;$A143,'Investment Strategies'!$C:$P,9,FALSE),
IF(AND(Investment_Strategy="Lifecycle",Investment_Strategy_Sub1="Standard"),VLOOKUP(Investment_Strategy&amp;"_"&amp;Investment_Strategy_Sub2&amp;"_"&amp;$A143,'Investment Strategies'!$AJ:$AV,8,FALSE),
IF(AND(Investment_Strategy="Autopilot",Investment_Strategy_Sub1="Non-Standard"),VLOOKUP(Investment_Strategy&amp;"_"&amp;Investment_Strategy_Sub2&amp;"_"&amp;$A143,'Investment Strategies'!$T:$AF,8,FALSE),
IF(Investment_Strategy ="DIY",DIY_RateOfReturn_CurrentFunds,
"Error")))))),Max_InvReturn)</f>
        <v>4.1816398110932074E-3</v>
      </c>
      <c r="F143" s="62">
        <f>IF(AV143=0,0,
IF(Investment_Strategy="DIS",VLOOKUP(Investment_Strategy&amp;"_"&amp;Investment_Strategy_Sub1&amp;"_"&amp;$A143,'Investment Strategies'!$AZ:$BP,15,FALSE),
IF(AND(Investment_Strategy="Lifecycle",Investment_Strategy_Sub1="Non-Standard"),VLOOKUP(Investment_Strategy&amp;"_"&amp;Investment_Strategy_Sub2&amp;"_"&amp;$A143,'Investment Strategies'!$C:$P,12,FALSE),
IF(AND(Investment_Strategy="Lifecycle",Investment_Strategy_Sub1="Standard"),VLOOKUP(Investment_Strategy&amp;"_"&amp;Investment_Strategy_Sub2&amp;"_"&amp;$A143,'Investment Strategies'!$AJ:$AV,11,FALSE),
IF(AND(Investment_Strategy="Autopilot",Investment_Strategy_Sub1="Non-Standard"),VLOOKUP(Investment_Strategy&amp;"_"&amp;Investment_Strategy_Sub2&amp;"_"&amp;$A143,'Investment Strategies'!$T:$AF,11,FALSE),
IF(Investment_Strategy="DIY",DIY_GteeChrge_CurrentFunds,
"Error"))))))</f>
        <v>5.4328711526985263E-4</v>
      </c>
      <c r="G143" s="33">
        <f>IF(AV143=0,0,
IF(Investment_Strategy="DIS",VLOOKUP(Investment_Strategy&amp;"_"&amp;Investment_Strategy_Sub1&amp;"_"&amp;$A143,'Investment Strategies'!$AZ:$BP,17,FALSE),
IF(AND(Investment_Strategy="Lifecycle",Investment_Strategy_Sub1="Non-Standard"),VLOOKUP(Investment_Strategy&amp;"_"&amp;Investment_Strategy_Sub2&amp;"_"&amp;$A143,'Investment Strategies'!$C:$P,14,FALSE),
IF(AND(Investment_Strategy="Lifecycle",Investment_Strategy_Sub1="Standard"),VLOOKUP(Investment_Strategy&amp;"_"&amp;Investment_Strategy_Sub2&amp;"_"&amp;$A143,'Investment Strategies'!$AJ:$AV,13,FALSE),
IF(AND(Investment_Strategy="Autopilot",Investment_Strategy_Sub1="Non-Standard"),VLOOKUP(Investment_Strategy&amp;"_"&amp;Investment_Strategy_Sub2&amp;"_"&amp;$A143,'Investment Strategies'!$T:$AF,13,FALSE),
IF(Investment_Strategy="DIY",DIY_ExtManChrge_CurrentFunds,
"Error"))))))</f>
        <v>2.0857243058891584E-4</v>
      </c>
      <c r="H143" s="16">
        <f t="shared" si="30"/>
        <v>0</v>
      </c>
      <c r="I143" s="16">
        <f t="shared" si="13"/>
        <v>0</v>
      </c>
      <c r="J143" s="16">
        <f t="shared" si="14"/>
        <v>0</v>
      </c>
      <c r="K143" s="16">
        <f>(Opening_Fund_Value+SUM(K$91:K142))*E143*IF(D143=$A$91,SRP_finalmonthfactor,1)</f>
        <v>0</v>
      </c>
      <c r="L143" s="74">
        <f>MIN(IF($AV143=0,0,
IF(Investment_Strategy="DIS",VLOOKUP(Investment_Strategy&amp;"_"&amp;Investment_Strategy_Sub1&amp;"_"&amp;$A143,'Investment Strategies'!$AZ:$BP,12,FALSE),
IF(AND(Investment_Strategy="Lifecycle",Investment_Strategy_Sub1="Non-Standard"),VLOOKUP(Investment_Strategy&amp;"_"&amp;Investment_Strategy_Sub2&amp;"_"&amp;$A143,'Investment Strategies'!$C:$P,9,FALSE),
IF(AND(Investment_Strategy="Lifecycle",Investment_Strategy_Sub1="Standard"),VLOOKUP(Investment_Strategy&amp;"_"&amp;Investment_Strategy_Sub2&amp;"_"&amp;$A143,'Investment Strategies'!$AJ:$AV,8,FALSE),
IF(AND(Investment_Strategy="Autopilot",Investment_Strategy_Sub1="Non-Standard"),VLOOKUP(Investment_Strategy&amp;"_"&amp;Investment_Strategy_Sub2&amp;"_"&amp;$A143,'Investment Strategies'!$T:$AF,8,FALSE),
IF(Investment_Strategy ="DIY",DIY_RateofReturn_SP,
"Error")))))),Max_InvReturn)</f>
        <v>4.1816398110932074E-3</v>
      </c>
      <c r="M143" s="62">
        <f>IF($AV143=0,0,
IF(Investment_Strategy="DIS",VLOOKUP(Investment_Strategy&amp;"_"&amp;Investment_Strategy_Sub1&amp;"_"&amp;$A143,'Investment Strategies'!$AZ:$BP,15,FALSE),
IF(AND(Investment_Strategy="Lifecycle",Investment_Strategy_Sub1="Non-Standard"),VLOOKUP(Investment_Strategy&amp;"_"&amp;Investment_Strategy_Sub2&amp;"_"&amp;$A143,'Investment Strategies'!$C:$P,12,FALSE),
IF(AND(Investment_Strategy="Lifecycle",Investment_Strategy_Sub1="Standard"),VLOOKUP(Investment_Strategy&amp;"_"&amp;Investment_Strategy_Sub2&amp;"_"&amp;$A143,'Investment Strategies'!$AJ:$AV,11,FALSE),
IF(AND(Investment_Strategy="Autopilot",Investment_Strategy_Sub1="Non-Standard"),VLOOKUP(Investment_Strategy&amp;"_"&amp;Investment_Strategy_Sub2&amp;"_"&amp;$A143,'Investment Strategies'!$T:$AF,11,FALSE),
IF(Investment_Strategy="DIY",DIY_GteeChrge_SP,
"Error"))))))</f>
        <v>0</v>
      </c>
      <c r="N143" s="33">
        <f>IF($AV143=0,0,
IF(Investment_Strategy="DIS",VLOOKUP(Investment_Strategy&amp;"_"&amp;Investment_Strategy_Sub1&amp;"_"&amp;$A143,'Investment Strategies'!$AZ:$BP,17,FALSE),
IF(AND(Investment_Strategy="Lifecycle",Investment_Strategy_Sub1="Non-Standard"),VLOOKUP(Investment_Strategy&amp;"_"&amp;Investment_Strategy_Sub2&amp;"_"&amp;$A143,'Investment Strategies'!$C:$P,14,FALSE),
IF(AND(Investment_Strategy="Lifecycle",Investment_Strategy_Sub1="Standard"),VLOOKUP(Investment_Strategy&amp;"_"&amp;Investment_Strategy_Sub2&amp;"_"&amp;$A143,'Investment Strategies'!$AJ:$AV,13,FALSE),
IF(AND(Investment_Strategy="Autopilot",Investment_Strategy_Sub1="Non-Standard"),VLOOKUP(Investment_Strategy&amp;"_"&amp;Investment_Strategy_Sub2&amp;"_"&amp;$A143,'Investment Strategies'!$T:$AF,13,FALSE),
IF(Investment_Strategy="DIY",DIY_ExtManChrge_SP,
"Error"))))))</f>
        <v>2.0857243058891584E-4</v>
      </c>
      <c r="O143" s="16">
        <f t="shared" si="50"/>
        <v>827281.32923654316</v>
      </c>
      <c r="Q143" s="16">
        <f t="shared" si="15"/>
        <v>3459.3925413096358</v>
      </c>
      <c r="R143" s="16">
        <f t="shared" si="16"/>
        <v>-797.24671136128677</v>
      </c>
      <c r="S143" s="16">
        <f>(SRP_SP+SUM(S$91:S142))*L143*IF(D143=$A$91,SRP_finalmonthfactor,1)</f>
        <v>3636.4954147429812</v>
      </c>
      <c r="T143" s="74">
        <f>MIN(IF($AV143=0,0,
IF(Investment_Strategy="DIS",VLOOKUP(Investment_Strategy&amp;"_"&amp;Investment_Strategy_Sub1&amp;"_"&amp;$A143,'Investment Strategies'!$AZ:$BP,12,FALSE),
IF(AND(Investment_Strategy="Lifecycle",Investment_Strategy_Sub1="Non-Standard"),VLOOKUP(Investment_Strategy&amp;"_"&amp;Investment_Strategy_Sub2&amp;"_"&amp;$A143,'Investment Strategies'!$C:$P,9,FALSE),
IF(AND(Investment_Strategy="Lifecycle",Investment_Strategy_Sub1="Standard"),VLOOKUP(Investment_Strategy&amp;"_"&amp;Investment_Strategy_Sub2&amp;"_"&amp;$A143,'Investment Strategies'!$AJ:$AV,8,FALSE),
IF(AND(Investment_Strategy="Autopilot",Investment_Strategy_Sub1="Non-Standard"),VLOOKUP(Investment_Strategy&amp;"_"&amp;Investment_Strategy_Sub2&amp;"_"&amp;$A143,'Investment Strategies'!$T:$AF,8,FALSE),
IF(Investment_Strategy ="DIY",DIY_RateOfReturn_FuturePremiums,
"Error")))))),Max_InvReturn)</f>
        <v>4.1816398110932074E-3</v>
      </c>
      <c r="U143" s="62">
        <f>IF($AV143=0,0,
IF(Investment_Strategy="DIS",VLOOKUP(Investment_Strategy&amp;"_"&amp;Investment_Strategy_Sub1&amp;"_"&amp;$A143,'Investment Strategies'!$AZ:$BP,15,FALSE),
IF(AND(Investment_Strategy="Lifecycle",Investment_Strategy_Sub1="Non-Standard"),VLOOKUP(Investment_Strategy&amp;"_"&amp;Investment_Strategy_Sub2&amp;"_"&amp;$A143,'Investment Strategies'!$C:$P,12,FALSE),
IF(AND(Investment_Strategy="Lifecycle",Investment_Strategy_Sub1="Standard"),VLOOKUP(Investment_Strategy&amp;"_"&amp;Investment_Strategy_Sub2&amp;"_"&amp;$A143,'Investment Strategies'!$AJ:$AV,11,FALSE),
IF(AND(Investment_Strategy="Autopilot",Investment_Strategy_Sub1="Non-Standard"),VLOOKUP(Investment_Strategy&amp;"_"&amp;Investment_Strategy_Sub2&amp;"_"&amp;$A143,'Investment Strategies'!$T:$AF,11,FALSE),
IF(Investment_Strategy="DIY",DIY_GteeChrge_FuturePremiums,
"Error"))))))</f>
        <v>0</v>
      </c>
      <c r="V143" s="33">
        <f>IF(AV143=0,0,
IF(Investment_Strategy="DIS",VLOOKUP(Investment_Strategy&amp;"_"&amp;Investment_Strategy_Sub1&amp;"_"&amp;$A143,'Investment Strategies'!$AZ:$BP,17,FALSE),
IF(AND(Investment_Strategy="Lifecycle",Investment_Strategy_Sub1="Non-Standard"),VLOOKUP(Investment_Strategy&amp;"_"&amp;Investment_Strategy_Sub2&amp;"_"&amp;$A143,'Investment Strategies'!$C:$P,14,FALSE),
IF(AND(Investment_Strategy="Lifecycle",Investment_Strategy_Sub1="Standard"),VLOOKUP(Investment_Strategy&amp;"_"&amp;Investment_Strategy_Sub2&amp;"_"&amp;$A143,'Investment Strategies'!$AJ:$AV,13,FALSE),
IF(AND(Investment_Strategy="Autopilot",Investment_Strategy_Sub1="Non-Standard"),VLOOKUP(Investment_Strategy&amp;"_"&amp;Investment_Strategy_Sub2&amp;"_"&amp;$A143,'Investment Strategies'!$T:$AF,13,FALSE),
IF(Investment_Strategy="DIY",DIY_ExtManChrge_FuturePremiums,
"Error"))))))</f>
        <v>1.2508601994698498E-4</v>
      </c>
      <c r="W143" s="16">
        <f t="shared" si="51"/>
        <v>0</v>
      </c>
      <c r="X143" s="16">
        <f t="shared" si="17"/>
        <v>0</v>
      </c>
      <c r="Y143" s="16">
        <f t="shared" si="18"/>
        <v>0</v>
      </c>
      <c r="Z143" s="31">
        <f t="shared" si="19"/>
        <v>0.02</v>
      </c>
      <c r="AA143" s="16">
        <f t="shared" si="20"/>
        <v>0</v>
      </c>
      <c r="AB143" s="28">
        <f t="shared" si="53"/>
        <v>869633.8228596244</v>
      </c>
      <c r="AC143" s="28">
        <f>(SUM($AC$91:AC142)+SUM($X$91:X142)+X143)*T143*IF(D143=$A$91,SRP_finalmonthfactor,1)</f>
        <v>0</v>
      </c>
      <c r="AD143" s="16">
        <f t="shared" si="21"/>
        <v>-172.90884457504598</v>
      </c>
      <c r="AE143" s="106"/>
      <c r="AF143" s="16">
        <f t="shared" si="52"/>
        <v>827281.32923654316</v>
      </c>
      <c r="AG143" s="16">
        <f t="shared" si="31"/>
        <v>3636.4954147429812</v>
      </c>
      <c r="AH143" s="16">
        <f t="shared" si="32"/>
        <v>-797.24671136128677</v>
      </c>
      <c r="AJ143" s="13">
        <f t="shared" si="66"/>
        <v>0</v>
      </c>
      <c r="AK143" s="13">
        <f t="shared" si="66"/>
        <v>0</v>
      </c>
      <c r="AL143" s="13">
        <f t="shared" si="66"/>
        <v>0</v>
      </c>
      <c r="AM143" s="13">
        <f t="shared" si="66"/>
        <v>0</v>
      </c>
      <c r="AN143" s="13">
        <f t="shared" si="66"/>
        <v>1</v>
      </c>
      <c r="AO143" s="13">
        <f t="shared" si="66"/>
        <v>1</v>
      </c>
      <c r="AP143" s="13">
        <f t="shared" si="66"/>
        <v>1</v>
      </c>
      <c r="AQ143" s="13">
        <f t="shared" si="66"/>
        <v>1</v>
      </c>
      <c r="AR143" s="13">
        <f t="shared" si="66"/>
        <v>1</v>
      </c>
      <c r="AS143" s="13">
        <f t="shared" si="66"/>
        <v>1</v>
      </c>
      <c r="AT143" s="13">
        <f t="shared" si="66"/>
        <v>1</v>
      </c>
      <c r="AU143" s="13">
        <f t="shared" si="66"/>
        <v>1</v>
      </c>
      <c r="AV143" s="13">
        <f t="shared" si="23"/>
        <v>1</v>
      </c>
      <c r="AW143" s="13">
        <f t="shared" si="33"/>
        <v>1</v>
      </c>
      <c r="AY143" s="17">
        <f t="shared" si="24"/>
        <v>53</v>
      </c>
      <c r="AZ143" s="28">
        <f t="shared" si="34"/>
        <v>0</v>
      </c>
      <c r="BA143" s="13">
        <f t="shared" si="25"/>
        <v>0</v>
      </c>
      <c r="BB143" s="13">
        <f t="shared" si="26"/>
        <v>0</v>
      </c>
      <c r="BC143" s="28">
        <f t="shared" si="35"/>
        <v>0</v>
      </c>
      <c r="BD143" s="28">
        <f t="shared" si="36"/>
        <v>0</v>
      </c>
      <c r="BF143" s="248">
        <f t="shared" si="37"/>
        <v>873270.31827436737</v>
      </c>
      <c r="BG143" s="36">
        <f t="shared" si="54"/>
        <v>0</v>
      </c>
      <c r="BH143" s="36">
        <f t="shared" si="55"/>
        <v>827281.32923654316</v>
      </c>
      <c r="BI143" s="249">
        <f t="shared" si="56"/>
        <v>4.1816398110932074E-3</v>
      </c>
      <c r="BJ143" s="246">
        <f t="shared" si="57"/>
        <v>2.0857243058891584E-4</v>
      </c>
      <c r="BK143" s="246">
        <f t="shared" si="27"/>
        <v>7.531116566323881E-4</v>
      </c>
      <c r="BL143" s="246">
        <f t="shared" si="58"/>
        <v>0</v>
      </c>
      <c r="BM143" s="246">
        <f t="shared" si="59"/>
        <v>9.6168408722130394E-4</v>
      </c>
      <c r="BN143" s="36">
        <f t="shared" si="44"/>
        <v>797.24671136128666</v>
      </c>
      <c r="BO143" s="36">
        <f t="shared" si="60"/>
        <v>3459.3925413096358</v>
      </c>
      <c r="BP143" s="36">
        <f t="shared" si="61"/>
        <v>829943.4750664914</v>
      </c>
    </row>
    <row r="144" spans="1:68">
      <c r="A144" s="32">
        <f t="shared" si="47"/>
        <v>31</v>
      </c>
      <c r="B144" s="32">
        <f t="shared" si="28"/>
        <v>57</v>
      </c>
      <c r="C144" s="32">
        <f t="shared" si="48"/>
        <v>5</v>
      </c>
      <c r="D144" s="32">
        <f t="shared" si="49"/>
        <v>54</v>
      </c>
      <c r="E144" s="74">
        <f>MIN(IF(AV144=0,0,
IF(Investment_Strategy="DIS",VLOOKUP(Investment_Strategy&amp;"_"&amp;Investment_Strategy_Sub1&amp;"_"&amp;$A144,'Investment Strategies'!$AZ:$BP,12,FALSE),
IF(AND(Investment_Strategy="Lifecycle",Investment_Strategy_Sub1="Non-Standard"),VLOOKUP(Investment_Strategy&amp;"_"&amp;Investment_Strategy_Sub2&amp;"_"&amp;$A144,'Investment Strategies'!$C:$P,9,FALSE),
IF(AND(Investment_Strategy="Lifecycle",Investment_Strategy_Sub1="Standard"),VLOOKUP(Investment_Strategy&amp;"_"&amp;Investment_Strategy_Sub2&amp;"_"&amp;$A144,'Investment Strategies'!$AJ:$AV,8,FALSE),
IF(AND(Investment_Strategy="Autopilot",Investment_Strategy_Sub1="Non-Standard"),VLOOKUP(Investment_Strategy&amp;"_"&amp;Investment_Strategy_Sub2&amp;"_"&amp;$A144,'Investment Strategies'!$T:$AF,8,FALSE),
IF(Investment_Strategy ="DIY",DIY_RateOfReturn_CurrentFunds,
"Error")))))),Max_InvReturn)</f>
        <v>4.1816398110932074E-3</v>
      </c>
      <c r="F144" s="62">
        <f>IF(AV144=0,0,
IF(Investment_Strategy="DIS",VLOOKUP(Investment_Strategy&amp;"_"&amp;Investment_Strategy_Sub1&amp;"_"&amp;$A144,'Investment Strategies'!$AZ:$BP,15,FALSE),
IF(AND(Investment_Strategy="Lifecycle",Investment_Strategy_Sub1="Non-Standard"),VLOOKUP(Investment_Strategy&amp;"_"&amp;Investment_Strategy_Sub2&amp;"_"&amp;$A144,'Investment Strategies'!$C:$P,12,FALSE),
IF(AND(Investment_Strategy="Lifecycle",Investment_Strategy_Sub1="Standard"),VLOOKUP(Investment_Strategy&amp;"_"&amp;Investment_Strategy_Sub2&amp;"_"&amp;$A144,'Investment Strategies'!$AJ:$AV,11,FALSE),
IF(AND(Investment_Strategy="Autopilot",Investment_Strategy_Sub1="Non-Standard"),VLOOKUP(Investment_Strategy&amp;"_"&amp;Investment_Strategy_Sub2&amp;"_"&amp;$A144,'Investment Strategies'!$T:$AF,11,FALSE),
IF(Investment_Strategy="DIY",DIY_GteeChrge_CurrentFunds,
"Error"))))))</f>
        <v>5.4328711526985263E-4</v>
      </c>
      <c r="G144" s="33">
        <f>IF(AV144=0,0,
IF(Investment_Strategy="DIS",VLOOKUP(Investment_Strategy&amp;"_"&amp;Investment_Strategy_Sub1&amp;"_"&amp;$A144,'Investment Strategies'!$AZ:$BP,17,FALSE),
IF(AND(Investment_Strategy="Lifecycle",Investment_Strategy_Sub1="Non-Standard"),VLOOKUP(Investment_Strategy&amp;"_"&amp;Investment_Strategy_Sub2&amp;"_"&amp;$A144,'Investment Strategies'!$C:$P,14,FALSE),
IF(AND(Investment_Strategy="Lifecycle",Investment_Strategy_Sub1="Standard"),VLOOKUP(Investment_Strategy&amp;"_"&amp;Investment_Strategy_Sub2&amp;"_"&amp;$A144,'Investment Strategies'!$AJ:$AV,13,FALSE),
IF(AND(Investment_Strategy="Autopilot",Investment_Strategy_Sub1="Non-Standard"),VLOOKUP(Investment_Strategy&amp;"_"&amp;Investment_Strategy_Sub2&amp;"_"&amp;$A144,'Investment Strategies'!$T:$AF,13,FALSE),
IF(Investment_Strategy="DIY",DIY_ExtManChrge_CurrentFunds,
"Error"))))))</f>
        <v>2.0857243058891584E-4</v>
      </c>
      <c r="H144" s="16">
        <f t="shared" si="30"/>
        <v>0</v>
      </c>
      <c r="I144" s="16">
        <f t="shared" si="13"/>
        <v>0</v>
      </c>
      <c r="J144" s="16">
        <f t="shared" si="14"/>
        <v>0</v>
      </c>
      <c r="K144" s="16">
        <f>(Opening_Fund_Value+SUM(K$91:K143))*E144*IF(D144=$A$91,SRP_finalmonthfactor,1)</f>
        <v>0</v>
      </c>
      <c r="L144" s="74">
        <f>MIN(IF($AV144=0,0,
IF(Investment_Strategy="DIS",VLOOKUP(Investment_Strategy&amp;"_"&amp;Investment_Strategy_Sub1&amp;"_"&amp;$A144,'Investment Strategies'!$AZ:$BP,12,FALSE),
IF(AND(Investment_Strategy="Lifecycle",Investment_Strategy_Sub1="Non-Standard"),VLOOKUP(Investment_Strategy&amp;"_"&amp;Investment_Strategy_Sub2&amp;"_"&amp;$A144,'Investment Strategies'!$C:$P,9,FALSE),
IF(AND(Investment_Strategy="Lifecycle",Investment_Strategy_Sub1="Standard"),VLOOKUP(Investment_Strategy&amp;"_"&amp;Investment_Strategy_Sub2&amp;"_"&amp;$A144,'Investment Strategies'!$AJ:$AV,8,FALSE),
IF(AND(Investment_Strategy="Autopilot",Investment_Strategy_Sub1="Non-Standard"),VLOOKUP(Investment_Strategy&amp;"_"&amp;Investment_Strategy_Sub2&amp;"_"&amp;$A144,'Investment Strategies'!$T:$AF,8,FALSE),
IF(Investment_Strategy ="DIY",DIY_RateofReturn_SP,
"Error")))))),Max_InvReturn)</f>
        <v>4.1816398110932074E-3</v>
      </c>
      <c r="M144" s="62">
        <f>IF($AV144=0,0,
IF(Investment_Strategy="DIS",VLOOKUP(Investment_Strategy&amp;"_"&amp;Investment_Strategy_Sub1&amp;"_"&amp;$A144,'Investment Strategies'!$AZ:$BP,15,FALSE),
IF(AND(Investment_Strategy="Lifecycle",Investment_Strategy_Sub1="Non-Standard"),VLOOKUP(Investment_Strategy&amp;"_"&amp;Investment_Strategy_Sub2&amp;"_"&amp;$A144,'Investment Strategies'!$C:$P,12,FALSE),
IF(AND(Investment_Strategy="Lifecycle",Investment_Strategy_Sub1="Standard"),VLOOKUP(Investment_Strategy&amp;"_"&amp;Investment_Strategy_Sub2&amp;"_"&amp;$A144,'Investment Strategies'!$AJ:$AV,11,FALSE),
IF(AND(Investment_Strategy="Autopilot",Investment_Strategy_Sub1="Non-Standard"),VLOOKUP(Investment_Strategy&amp;"_"&amp;Investment_Strategy_Sub2&amp;"_"&amp;$A144,'Investment Strategies'!$T:$AF,11,FALSE),
IF(Investment_Strategy="DIY",DIY_GteeChrge_SP,
"Error"))))))</f>
        <v>0</v>
      </c>
      <c r="N144" s="33">
        <f>IF($AV144=0,0,
IF(Investment_Strategy="DIS",VLOOKUP(Investment_Strategy&amp;"_"&amp;Investment_Strategy_Sub1&amp;"_"&amp;$A144,'Investment Strategies'!$AZ:$BP,17,FALSE),
IF(AND(Investment_Strategy="Lifecycle",Investment_Strategy_Sub1="Non-Standard"),VLOOKUP(Investment_Strategy&amp;"_"&amp;Investment_Strategy_Sub2&amp;"_"&amp;$A144,'Investment Strategies'!$C:$P,14,FALSE),
IF(AND(Investment_Strategy="Lifecycle",Investment_Strategy_Sub1="Standard"),VLOOKUP(Investment_Strategy&amp;"_"&amp;Investment_Strategy_Sub2&amp;"_"&amp;$A144,'Investment Strategies'!$AJ:$AV,13,FALSE),
IF(AND(Investment_Strategy="Autopilot",Investment_Strategy_Sub1="Non-Standard"),VLOOKUP(Investment_Strategy&amp;"_"&amp;Investment_Strategy_Sub2&amp;"_"&amp;$A144,'Investment Strategies'!$T:$AF,13,FALSE),
IF(Investment_Strategy="DIY",DIY_ExtManChrge_SP,
"Error"))))))</f>
        <v>2.0857243058891584E-4</v>
      </c>
      <c r="O144" s="16">
        <f t="shared" si="50"/>
        <v>829943.4750664914</v>
      </c>
      <c r="Q144" s="16">
        <f t="shared" si="15"/>
        <v>3470.5246762950833</v>
      </c>
      <c r="R144" s="16">
        <f t="shared" si="16"/>
        <v>-799.81220744234668</v>
      </c>
      <c r="S144" s="16">
        <f>(SRP_SP+SUM(S$91:S143))*L144*IF(D144=$A$91,SRP_finalmonthfactor,1)</f>
        <v>3651.7019287421281</v>
      </c>
      <c r="T144" s="74">
        <f>MIN(IF($AV144=0,0,
IF(Investment_Strategy="DIS",VLOOKUP(Investment_Strategy&amp;"_"&amp;Investment_Strategy_Sub1&amp;"_"&amp;$A144,'Investment Strategies'!$AZ:$BP,12,FALSE),
IF(AND(Investment_Strategy="Lifecycle",Investment_Strategy_Sub1="Non-Standard"),VLOOKUP(Investment_Strategy&amp;"_"&amp;Investment_Strategy_Sub2&amp;"_"&amp;$A144,'Investment Strategies'!$C:$P,9,FALSE),
IF(AND(Investment_Strategy="Lifecycle",Investment_Strategy_Sub1="Standard"),VLOOKUP(Investment_Strategy&amp;"_"&amp;Investment_Strategy_Sub2&amp;"_"&amp;$A144,'Investment Strategies'!$AJ:$AV,8,FALSE),
IF(AND(Investment_Strategy="Autopilot",Investment_Strategy_Sub1="Non-Standard"),VLOOKUP(Investment_Strategy&amp;"_"&amp;Investment_Strategy_Sub2&amp;"_"&amp;$A144,'Investment Strategies'!$T:$AF,8,FALSE),
IF(Investment_Strategy ="DIY",DIY_RateOfReturn_FuturePremiums,
"Error")))))),Max_InvReturn)</f>
        <v>4.1816398110932074E-3</v>
      </c>
      <c r="U144" s="62">
        <f>IF($AV144=0,0,
IF(Investment_Strategy="DIS",VLOOKUP(Investment_Strategy&amp;"_"&amp;Investment_Strategy_Sub1&amp;"_"&amp;$A144,'Investment Strategies'!$AZ:$BP,15,FALSE),
IF(AND(Investment_Strategy="Lifecycle",Investment_Strategy_Sub1="Non-Standard"),VLOOKUP(Investment_Strategy&amp;"_"&amp;Investment_Strategy_Sub2&amp;"_"&amp;$A144,'Investment Strategies'!$C:$P,12,FALSE),
IF(AND(Investment_Strategy="Lifecycle",Investment_Strategy_Sub1="Standard"),VLOOKUP(Investment_Strategy&amp;"_"&amp;Investment_Strategy_Sub2&amp;"_"&amp;$A144,'Investment Strategies'!$AJ:$AV,11,FALSE),
IF(AND(Investment_Strategy="Autopilot",Investment_Strategy_Sub1="Non-Standard"),VLOOKUP(Investment_Strategy&amp;"_"&amp;Investment_Strategy_Sub2&amp;"_"&amp;$A144,'Investment Strategies'!$T:$AF,11,FALSE),
IF(Investment_Strategy="DIY",DIY_GteeChrge_FuturePremiums,
"Error"))))))</f>
        <v>0</v>
      </c>
      <c r="V144" s="33">
        <f>IF(AV144=0,0,
IF(Investment_Strategy="DIS",VLOOKUP(Investment_Strategy&amp;"_"&amp;Investment_Strategy_Sub1&amp;"_"&amp;$A144,'Investment Strategies'!$AZ:$BP,17,FALSE),
IF(AND(Investment_Strategy="Lifecycle",Investment_Strategy_Sub1="Non-Standard"),VLOOKUP(Investment_Strategy&amp;"_"&amp;Investment_Strategy_Sub2&amp;"_"&amp;$A144,'Investment Strategies'!$C:$P,14,FALSE),
IF(AND(Investment_Strategy="Lifecycle",Investment_Strategy_Sub1="Standard"),VLOOKUP(Investment_Strategy&amp;"_"&amp;Investment_Strategy_Sub2&amp;"_"&amp;$A144,'Investment Strategies'!$AJ:$AV,13,FALSE),
IF(AND(Investment_Strategy="Autopilot",Investment_Strategy_Sub1="Non-Standard"),VLOOKUP(Investment_Strategy&amp;"_"&amp;Investment_Strategy_Sub2&amp;"_"&amp;$A144,'Investment Strategies'!$T:$AF,13,FALSE),
IF(Investment_Strategy="DIY",DIY_ExtManChrge_FuturePremiums,
"Error"))))))</f>
        <v>1.2508601994698498E-4</v>
      </c>
      <c r="W144" s="16">
        <f t="shared" si="51"/>
        <v>0</v>
      </c>
      <c r="X144" s="16">
        <f t="shared" si="17"/>
        <v>0</v>
      </c>
      <c r="Y144" s="16">
        <f t="shared" si="18"/>
        <v>0</v>
      </c>
      <c r="Z144" s="31">
        <f t="shared" si="19"/>
        <v>0.02</v>
      </c>
      <c r="AA144" s="16">
        <f t="shared" si="20"/>
        <v>0</v>
      </c>
      <c r="AB144" s="28">
        <f t="shared" si="53"/>
        <v>873270.31827436737</v>
      </c>
      <c r="AC144" s="28">
        <f>(SUM($AC$91:AC143)+SUM($X$91:X143)+X144)*T144*IF(D144=$A$91,SRP_finalmonthfactor,1)</f>
        <v>0</v>
      </c>
      <c r="AD144" s="16">
        <f t="shared" si="21"/>
        <v>-173.46525572960621</v>
      </c>
      <c r="AE144" s="106"/>
      <c r="AF144" s="16">
        <f t="shared" si="52"/>
        <v>829943.4750664914</v>
      </c>
      <c r="AG144" s="16">
        <f t="shared" si="31"/>
        <v>3651.7019287421281</v>
      </c>
      <c r="AH144" s="16">
        <f t="shared" si="32"/>
        <v>-799.81220744234668</v>
      </c>
      <c r="AJ144" s="13">
        <f t="shared" si="66"/>
        <v>0</v>
      </c>
      <c r="AK144" s="13">
        <f t="shared" si="66"/>
        <v>0</v>
      </c>
      <c r="AL144" s="13">
        <f t="shared" si="66"/>
        <v>0</v>
      </c>
      <c r="AM144" s="13">
        <f t="shared" si="66"/>
        <v>0</v>
      </c>
      <c r="AN144" s="13">
        <f t="shared" si="66"/>
        <v>1</v>
      </c>
      <c r="AO144" s="13">
        <f t="shared" si="66"/>
        <v>1</v>
      </c>
      <c r="AP144" s="13">
        <f t="shared" si="66"/>
        <v>1</v>
      </c>
      <c r="AQ144" s="13">
        <f t="shared" si="66"/>
        <v>1</v>
      </c>
      <c r="AR144" s="13">
        <f t="shared" si="66"/>
        <v>1</v>
      </c>
      <c r="AS144" s="13">
        <f t="shared" si="66"/>
        <v>1</v>
      </c>
      <c r="AT144" s="13">
        <f t="shared" si="66"/>
        <v>1</v>
      </c>
      <c r="AU144" s="13">
        <f t="shared" si="66"/>
        <v>1</v>
      </c>
      <c r="AV144" s="13">
        <f t="shared" si="23"/>
        <v>1</v>
      </c>
      <c r="AW144" s="13">
        <f t="shared" si="33"/>
        <v>1</v>
      </c>
      <c r="AY144" s="17">
        <f t="shared" si="24"/>
        <v>54</v>
      </c>
      <c r="AZ144" s="28">
        <f t="shared" si="34"/>
        <v>0</v>
      </c>
      <c r="BA144" s="13">
        <f t="shared" si="25"/>
        <v>0</v>
      </c>
      <c r="BB144" s="13">
        <f t="shared" si="26"/>
        <v>0</v>
      </c>
      <c r="BC144" s="28">
        <f t="shared" si="35"/>
        <v>0</v>
      </c>
      <c r="BD144" s="28">
        <f t="shared" si="36"/>
        <v>0</v>
      </c>
      <c r="BF144" s="248">
        <f t="shared" si="37"/>
        <v>876922.02020310948</v>
      </c>
      <c r="BG144" s="36">
        <f t="shared" si="54"/>
        <v>0</v>
      </c>
      <c r="BH144" s="36">
        <f t="shared" si="55"/>
        <v>829943.4750664914</v>
      </c>
      <c r="BI144" s="249">
        <f t="shared" si="56"/>
        <v>4.1816398110932074E-3</v>
      </c>
      <c r="BJ144" s="246">
        <f t="shared" si="57"/>
        <v>2.0857243058891584E-4</v>
      </c>
      <c r="BK144" s="246">
        <f t="shared" si="27"/>
        <v>7.531116566323881E-4</v>
      </c>
      <c r="BL144" s="246">
        <f t="shared" si="58"/>
        <v>0</v>
      </c>
      <c r="BM144" s="246">
        <f t="shared" si="59"/>
        <v>9.6168408722130394E-4</v>
      </c>
      <c r="BN144" s="36">
        <f t="shared" si="44"/>
        <v>799.81220744234668</v>
      </c>
      <c r="BO144" s="36">
        <f t="shared" si="60"/>
        <v>3470.5246762950833</v>
      </c>
      <c r="BP144" s="36">
        <f t="shared" si="61"/>
        <v>832614.18753534416</v>
      </c>
    </row>
    <row r="145" spans="1:68">
      <c r="A145" s="32">
        <f t="shared" si="47"/>
        <v>30</v>
      </c>
      <c r="B145" s="32">
        <f t="shared" si="28"/>
        <v>57</v>
      </c>
      <c r="C145" s="32">
        <f t="shared" si="48"/>
        <v>5</v>
      </c>
      <c r="D145" s="32">
        <f t="shared" si="49"/>
        <v>55</v>
      </c>
      <c r="E145" s="74">
        <f>MIN(IF(AV145=0,0,
IF(Investment_Strategy="DIS",VLOOKUP(Investment_Strategy&amp;"_"&amp;Investment_Strategy_Sub1&amp;"_"&amp;$A145,'Investment Strategies'!$AZ:$BP,12,FALSE),
IF(AND(Investment_Strategy="Lifecycle",Investment_Strategy_Sub1="Non-Standard"),VLOOKUP(Investment_Strategy&amp;"_"&amp;Investment_Strategy_Sub2&amp;"_"&amp;$A145,'Investment Strategies'!$C:$P,9,FALSE),
IF(AND(Investment_Strategy="Lifecycle",Investment_Strategy_Sub1="Standard"),VLOOKUP(Investment_Strategy&amp;"_"&amp;Investment_Strategy_Sub2&amp;"_"&amp;$A145,'Investment Strategies'!$AJ:$AV,8,FALSE),
IF(AND(Investment_Strategy="Autopilot",Investment_Strategy_Sub1="Non-Standard"),VLOOKUP(Investment_Strategy&amp;"_"&amp;Investment_Strategy_Sub2&amp;"_"&amp;$A145,'Investment Strategies'!$T:$AF,8,FALSE),
IF(Investment_Strategy ="DIY",DIY_RateOfReturn_CurrentFunds,
"Error")))))),Max_InvReturn)</f>
        <v>4.1816398110932074E-3</v>
      </c>
      <c r="F145" s="62">
        <f>IF(AV145=0,0,
IF(Investment_Strategy="DIS",VLOOKUP(Investment_Strategy&amp;"_"&amp;Investment_Strategy_Sub1&amp;"_"&amp;$A145,'Investment Strategies'!$AZ:$BP,15,FALSE),
IF(AND(Investment_Strategy="Lifecycle",Investment_Strategy_Sub1="Non-Standard"),VLOOKUP(Investment_Strategy&amp;"_"&amp;Investment_Strategy_Sub2&amp;"_"&amp;$A145,'Investment Strategies'!$C:$P,12,FALSE),
IF(AND(Investment_Strategy="Lifecycle",Investment_Strategy_Sub1="Standard"),VLOOKUP(Investment_Strategy&amp;"_"&amp;Investment_Strategy_Sub2&amp;"_"&amp;$A145,'Investment Strategies'!$AJ:$AV,11,FALSE),
IF(AND(Investment_Strategy="Autopilot",Investment_Strategy_Sub1="Non-Standard"),VLOOKUP(Investment_Strategy&amp;"_"&amp;Investment_Strategy_Sub2&amp;"_"&amp;$A145,'Investment Strategies'!$T:$AF,11,FALSE),
IF(Investment_Strategy="DIY",DIY_GteeChrge_CurrentFunds,
"Error"))))))</f>
        <v>5.4328711526985263E-4</v>
      </c>
      <c r="G145" s="33">
        <f>IF(AV145=0,0,
IF(Investment_Strategy="DIS",VLOOKUP(Investment_Strategy&amp;"_"&amp;Investment_Strategy_Sub1&amp;"_"&amp;$A145,'Investment Strategies'!$AZ:$BP,17,FALSE),
IF(AND(Investment_Strategy="Lifecycle",Investment_Strategy_Sub1="Non-Standard"),VLOOKUP(Investment_Strategy&amp;"_"&amp;Investment_Strategy_Sub2&amp;"_"&amp;$A145,'Investment Strategies'!$C:$P,14,FALSE),
IF(AND(Investment_Strategy="Lifecycle",Investment_Strategy_Sub1="Standard"),VLOOKUP(Investment_Strategy&amp;"_"&amp;Investment_Strategy_Sub2&amp;"_"&amp;$A145,'Investment Strategies'!$AJ:$AV,13,FALSE),
IF(AND(Investment_Strategy="Autopilot",Investment_Strategy_Sub1="Non-Standard"),VLOOKUP(Investment_Strategy&amp;"_"&amp;Investment_Strategy_Sub2&amp;"_"&amp;$A145,'Investment Strategies'!$T:$AF,13,FALSE),
IF(Investment_Strategy="DIY",DIY_ExtManChrge_CurrentFunds,
"Error"))))))</f>
        <v>2.0857243058891584E-4</v>
      </c>
      <c r="H145" s="16">
        <f t="shared" si="30"/>
        <v>0</v>
      </c>
      <c r="I145" s="16">
        <f t="shared" si="13"/>
        <v>0</v>
      </c>
      <c r="J145" s="16">
        <f t="shared" si="14"/>
        <v>0</v>
      </c>
      <c r="K145" s="16">
        <f>(Opening_Fund_Value+SUM(K$91:K144))*E145*IF(D145=$A$91,SRP_finalmonthfactor,1)</f>
        <v>0</v>
      </c>
      <c r="L145" s="74">
        <f>MIN(IF($AV145=0,0,
IF(Investment_Strategy="DIS",VLOOKUP(Investment_Strategy&amp;"_"&amp;Investment_Strategy_Sub1&amp;"_"&amp;$A145,'Investment Strategies'!$AZ:$BP,12,FALSE),
IF(AND(Investment_Strategy="Lifecycle",Investment_Strategy_Sub1="Non-Standard"),VLOOKUP(Investment_Strategy&amp;"_"&amp;Investment_Strategy_Sub2&amp;"_"&amp;$A145,'Investment Strategies'!$C:$P,9,FALSE),
IF(AND(Investment_Strategy="Lifecycle",Investment_Strategy_Sub1="Standard"),VLOOKUP(Investment_Strategy&amp;"_"&amp;Investment_Strategy_Sub2&amp;"_"&amp;$A145,'Investment Strategies'!$AJ:$AV,8,FALSE),
IF(AND(Investment_Strategy="Autopilot",Investment_Strategy_Sub1="Non-Standard"),VLOOKUP(Investment_Strategy&amp;"_"&amp;Investment_Strategy_Sub2&amp;"_"&amp;$A145,'Investment Strategies'!$T:$AF,8,FALSE),
IF(Investment_Strategy ="DIY",DIY_RateofReturn_SP,
"Error")))))),Max_InvReturn)</f>
        <v>4.1816398110932074E-3</v>
      </c>
      <c r="M145" s="62">
        <f>IF($AV145=0,0,
IF(Investment_Strategy="DIS",VLOOKUP(Investment_Strategy&amp;"_"&amp;Investment_Strategy_Sub1&amp;"_"&amp;$A145,'Investment Strategies'!$AZ:$BP,15,FALSE),
IF(AND(Investment_Strategy="Lifecycle",Investment_Strategy_Sub1="Non-Standard"),VLOOKUP(Investment_Strategy&amp;"_"&amp;Investment_Strategy_Sub2&amp;"_"&amp;$A145,'Investment Strategies'!$C:$P,12,FALSE),
IF(AND(Investment_Strategy="Lifecycle",Investment_Strategy_Sub1="Standard"),VLOOKUP(Investment_Strategy&amp;"_"&amp;Investment_Strategy_Sub2&amp;"_"&amp;$A145,'Investment Strategies'!$AJ:$AV,11,FALSE),
IF(AND(Investment_Strategy="Autopilot",Investment_Strategy_Sub1="Non-Standard"),VLOOKUP(Investment_Strategy&amp;"_"&amp;Investment_Strategy_Sub2&amp;"_"&amp;$A145,'Investment Strategies'!$T:$AF,11,FALSE),
IF(Investment_Strategy="DIY",DIY_GteeChrge_SP,
"Error"))))))</f>
        <v>0</v>
      </c>
      <c r="N145" s="33">
        <f>IF($AV145=0,0,
IF(Investment_Strategy="DIS",VLOOKUP(Investment_Strategy&amp;"_"&amp;Investment_Strategy_Sub1&amp;"_"&amp;$A145,'Investment Strategies'!$AZ:$BP,17,FALSE),
IF(AND(Investment_Strategy="Lifecycle",Investment_Strategy_Sub1="Non-Standard"),VLOOKUP(Investment_Strategy&amp;"_"&amp;Investment_Strategy_Sub2&amp;"_"&amp;$A145,'Investment Strategies'!$C:$P,14,FALSE),
IF(AND(Investment_Strategy="Lifecycle",Investment_Strategy_Sub1="Standard"),VLOOKUP(Investment_Strategy&amp;"_"&amp;Investment_Strategy_Sub2&amp;"_"&amp;$A145,'Investment Strategies'!$AJ:$AV,13,FALSE),
IF(AND(Investment_Strategy="Autopilot",Investment_Strategy_Sub1="Non-Standard"),VLOOKUP(Investment_Strategy&amp;"_"&amp;Investment_Strategy_Sub2&amp;"_"&amp;$A145,'Investment Strategies'!$T:$AF,13,FALSE),
IF(Investment_Strategy="DIY",DIY_ExtManChrge_SP,
"Error"))))))</f>
        <v>2.0857243058891584E-4</v>
      </c>
      <c r="O145" s="16">
        <f t="shared" si="50"/>
        <v>832614.18753534416</v>
      </c>
      <c r="Q145" s="16">
        <f t="shared" si="15"/>
        <v>3481.6926338788207</v>
      </c>
      <c r="R145" s="16">
        <f t="shared" si="16"/>
        <v>-802.38595914873349</v>
      </c>
      <c r="S145" s="16">
        <f>(SRP_SP+SUM(S$91:S144))*L145*IF(D145=$A$91,SRP_finalmonthfactor,1)</f>
        <v>3666.972030905602</v>
      </c>
      <c r="T145" s="74">
        <f>MIN(IF($AV145=0,0,
IF(Investment_Strategy="DIS",VLOOKUP(Investment_Strategy&amp;"_"&amp;Investment_Strategy_Sub1&amp;"_"&amp;$A145,'Investment Strategies'!$AZ:$BP,12,FALSE),
IF(AND(Investment_Strategy="Lifecycle",Investment_Strategy_Sub1="Non-Standard"),VLOOKUP(Investment_Strategy&amp;"_"&amp;Investment_Strategy_Sub2&amp;"_"&amp;$A145,'Investment Strategies'!$C:$P,9,FALSE),
IF(AND(Investment_Strategy="Lifecycle",Investment_Strategy_Sub1="Standard"),VLOOKUP(Investment_Strategy&amp;"_"&amp;Investment_Strategy_Sub2&amp;"_"&amp;$A145,'Investment Strategies'!$AJ:$AV,8,FALSE),
IF(AND(Investment_Strategy="Autopilot",Investment_Strategy_Sub1="Non-Standard"),VLOOKUP(Investment_Strategy&amp;"_"&amp;Investment_Strategy_Sub2&amp;"_"&amp;$A145,'Investment Strategies'!$T:$AF,8,FALSE),
IF(Investment_Strategy ="DIY",DIY_RateOfReturn_FuturePremiums,
"Error")))))),Max_InvReturn)</f>
        <v>4.1816398110932074E-3</v>
      </c>
      <c r="U145" s="62">
        <f>IF($AV145=0,0,
IF(Investment_Strategy="DIS",VLOOKUP(Investment_Strategy&amp;"_"&amp;Investment_Strategy_Sub1&amp;"_"&amp;$A145,'Investment Strategies'!$AZ:$BP,15,FALSE),
IF(AND(Investment_Strategy="Lifecycle",Investment_Strategy_Sub1="Non-Standard"),VLOOKUP(Investment_Strategy&amp;"_"&amp;Investment_Strategy_Sub2&amp;"_"&amp;$A145,'Investment Strategies'!$C:$P,12,FALSE),
IF(AND(Investment_Strategy="Lifecycle",Investment_Strategy_Sub1="Standard"),VLOOKUP(Investment_Strategy&amp;"_"&amp;Investment_Strategy_Sub2&amp;"_"&amp;$A145,'Investment Strategies'!$AJ:$AV,11,FALSE),
IF(AND(Investment_Strategy="Autopilot",Investment_Strategy_Sub1="Non-Standard"),VLOOKUP(Investment_Strategy&amp;"_"&amp;Investment_Strategy_Sub2&amp;"_"&amp;$A145,'Investment Strategies'!$T:$AF,11,FALSE),
IF(Investment_Strategy="DIY",DIY_GteeChrge_FuturePremiums,
"Error"))))))</f>
        <v>0</v>
      </c>
      <c r="V145" s="33">
        <f>IF(AV145=0,0,
IF(Investment_Strategy="DIS",VLOOKUP(Investment_Strategy&amp;"_"&amp;Investment_Strategy_Sub1&amp;"_"&amp;$A145,'Investment Strategies'!$AZ:$BP,17,FALSE),
IF(AND(Investment_Strategy="Lifecycle",Investment_Strategy_Sub1="Non-Standard"),VLOOKUP(Investment_Strategy&amp;"_"&amp;Investment_Strategy_Sub2&amp;"_"&amp;$A145,'Investment Strategies'!$C:$P,14,FALSE),
IF(AND(Investment_Strategy="Lifecycle",Investment_Strategy_Sub1="Standard"),VLOOKUP(Investment_Strategy&amp;"_"&amp;Investment_Strategy_Sub2&amp;"_"&amp;$A145,'Investment Strategies'!$AJ:$AV,13,FALSE),
IF(AND(Investment_Strategy="Autopilot",Investment_Strategy_Sub1="Non-Standard"),VLOOKUP(Investment_Strategy&amp;"_"&amp;Investment_Strategy_Sub2&amp;"_"&amp;$A145,'Investment Strategies'!$T:$AF,13,FALSE),
IF(Investment_Strategy="DIY",DIY_ExtManChrge_FuturePremiums,
"Error"))))))</f>
        <v>1.2508601994698498E-4</v>
      </c>
      <c r="W145" s="16">
        <f t="shared" si="51"/>
        <v>0</v>
      </c>
      <c r="X145" s="16">
        <f t="shared" si="17"/>
        <v>0</v>
      </c>
      <c r="Y145" s="16">
        <f t="shared" si="18"/>
        <v>0</v>
      </c>
      <c r="Z145" s="31">
        <f t="shared" si="19"/>
        <v>0.02</v>
      </c>
      <c r="AA145" s="16">
        <f t="shared" si="20"/>
        <v>0</v>
      </c>
      <c r="AB145" s="28">
        <f t="shared" si="53"/>
        <v>876922.02020310948</v>
      </c>
      <c r="AC145" s="28">
        <f>(SUM($AC$91:AC144)+SUM($X$91:X144)+X145)*T145*IF(D145=$A$91,SRP_finalmonthfactor,1)</f>
        <v>0</v>
      </c>
      <c r="AD145" s="16">
        <f t="shared" si="21"/>
        <v>-174.02345738466795</v>
      </c>
      <c r="AE145" s="106"/>
      <c r="AF145" s="16">
        <f t="shared" si="52"/>
        <v>832614.18753534416</v>
      </c>
      <c r="AG145" s="16">
        <f t="shared" si="31"/>
        <v>3666.972030905602</v>
      </c>
      <c r="AH145" s="16">
        <f t="shared" si="32"/>
        <v>-802.38595914873349</v>
      </c>
      <c r="AJ145" s="13">
        <f t="shared" si="66"/>
        <v>0</v>
      </c>
      <c r="AK145" s="13">
        <f t="shared" si="66"/>
        <v>0</v>
      </c>
      <c r="AL145" s="13">
        <f t="shared" si="66"/>
        <v>0</v>
      </c>
      <c r="AM145" s="13">
        <f t="shared" si="66"/>
        <v>0</v>
      </c>
      <c r="AN145" s="13">
        <f t="shared" si="66"/>
        <v>1</v>
      </c>
      <c r="AO145" s="13">
        <f t="shared" si="66"/>
        <v>1</v>
      </c>
      <c r="AP145" s="13">
        <f t="shared" si="66"/>
        <v>1</v>
      </c>
      <c r="AQ145" s="13">
        <f t="shared" si="66"/>
        <v>1</v>
      </c>
      <c r="AR145" s="13">
        <f t="shared" si="66"/>
        <v>1</v>
      </c>
      <c r="AS145" s="13">
        <f t="shared" si="66"/>
        <v>1</v>
      </c>
      <c r="AT145" s="13">
        <f t="shared" si="66"/>
        <v>1</v>
      </c>
      <c r="AU145" s="13">
        <f t="shared" si="66"/>
        <v>1</v>
      </c>
      <c r="AV145" s="13">
        <f t="shared" si="23"/>
        <v>1</v>
      </c>
      <c r="AW145" s="13">
        <f t="shared" si="33"/>
        <v>1</v>
      </c>
      <c r="AY145" s="17">
        <f t="shared" si="24"/>
        <v>55</v>
      </c>
      <c r="AZ145" s="28">
        <f t="shared" si="34"/>
        <v>0</v>
      </c>
      <c r="BA145" s="13">
        <f t="shared" si="25"/>
        <v>0</v>
      </c>
      <c r="BB145" s="13">
        <f t="shared" si="26"/>
        <v>0</v>
      </c>
      <c r="BC145" s="28">
        <f t="shared" si="35"/>
        <v>0</v>
      </c>
      <c r="BD145" s="28">
        <f t="shared" si="36"/>
        <v>0</v>
      </c>
      <c r="BF145" s="248">
        <f t="shared" si="37"/>
        <v>880588.99223401514</v>
      </c>
      <c r="BG145" s="36">
        <f t="shared" si="54"/>
        <v>0</v>
      </c>
      <c r="BH145" s="36">
        <f t="shared" si="55"/>
        <v>832614.18753534416</v>
      </c>
      <c r="BI145" s="249">
        <f t="shared" si="56"/>
        <v>4.1816398110932074E-3</v>
      </c>
      <c r="BJ145" s="246">
        <f t="shared" si="57"/>
        <v>2.0857243058891584E-4</v>
      </c>
      <c r="BK145" s="246">
        <f t="shared" si="27"/>
        <v>7.531116566323881E-4</v>
      </c>
      <c r="BL145" s="246">
        <f t="shared" si="58"/>
        <v>0</v>
      </c>
      <c r="BM145" s="246">
        <f t="shared" si="59"/>
        <v>9.6168408722130394E-4</v>
      </c>
      <c r="BN145" s="36">
        <f t="shared" si="44"/>
        <v>802.38595914873338</v>
      </c>
      <c r="BO145" s="36">
        <f t="shared" si="60"/>
        <v>3481.6926338788207</v>
      </c>
      <c r="BP145" s="36">
        <f t="shared" si="61"/>
        <v>835293.49421007419</v>
      </c>
    </row>
    <row r="146" spans="1:68">
      <c r="A146" s="32">
        <f t="shared" si="47"/>
        <v>29</v>
      </c>
      <c r="B146" s="32">
        <f t="shared" si="28"/>
        <v>57</v>
      </c>
      <c r="C146" s="32">
        <f t="shared" si="48"/>
        <v>5</v>
      </c>
      <c r="D146" s="32">
        <f t="shared" si="49"/>
        <v>56</v>
      </c>
      <c r="E146" s="74">
        <f>MIN(IF(AV146=0,0,
IF(Investment_Strategy="DIS",VLOOKUP(Investment_Strategy&amp;"_"&amp;Investment_Strategy_Sub1&amp;"_"&amp;$A146,'Investment Strategies'!$AZ:$BP,12,FALSE),
IF(AND(Investment_Strategy="Lifecycle",Investment_Strategy_Sub1="Non-Standard"),VLOOKUP(Investment_Strategy&amp;"_"&amp;Investment_Strategy_Sub2&amp;"_"&amp;$A146,'Investment Strategies'!$C:$P,9,FALSE),
IF(AND(Investment_Strategy="Lifecycle",Investment_Strategy_Sub1="Standard"),VLOOKUP(Investment_Strategy&amp;"_"&amp;Investment_Strategy_Sub2&amp;"_"&amp;$A146,'Investment Strategies'!$AJ:$AV,8,FALSE),
IF(AND(Investment_Strategy="Autopilot",Investment_Strategy_Sub1="Non-Standard"),VLOOKUP(Investment_Strategy&amp;"_"&amp;Investment_Strategy_Sub2&amp;"_"&amp;$A146,'Investment Strategies'!$T:$AF,8,FALSE),
IF(Investment_Strategy ="DIY",DIY_RateOfReturn_CurrentFunds,
"Error")))))),Max_InvReturn)</f>
        <v>4.1816398110932074E-3</v>
      </c>
      <c r="F146" s="62">
        <f>IF(AV146=0,0,
IF(Investment_Strategy="DIS",VLOOKUP(Investment_Strategy&amp;"_"&amp;Investment_Strategy_Sub1&amp;"_"&amp;$A146,'Investment Strategies'!$AZ:$BP,15,FALSE),
IF(AND(Investment_Strategy="Lifecycle",Investment_Strategy_Sub1="Non-Standard"),VLOOKUP(Investment_Strategy&amp;"_"&amp;Investment_Strategy_Sub2&amp;"_"&amp;$A146,'Investment Strategies'!$C:$P,12,FALSE),
IF(AND(Investment_Strategy="Lifecycle",Investment_Strategy_Sub1="Standard"),VLOOKUP(Investment_Strategy&amp;"_"&amp;Investment_Strategy_Sub2&amp;"_"&amp;$A146,'Investment Strategies'!$AJ:$AV,11,FALSE),
IF(AND(Investment_Strategy="Autopilot",Investment_Strategy_Sub1="Non-Standard"),VLOOKUP(Investment_Strategy&amp;"_"&amp;Investment_Strategy_Sub2&amp;"_"&amp;$A146,'Investment Strategies'!$T:$AF,11,FALSE),
IF(Investment_Strategy="DIY",DIY_GteeChrge_CurrentFunds,
"Error"))))))</f>
        <v>5.4328711526985263E-4</v>
      </c>
      <c r="G146" s="33">
        <f>IF(AV146=0,0,
IF(Investment_Strategy="DIS",VLOOKUP(Investment_Strategy&amp;"_"&amp;Investment_Strategy_Sub1&amp;"_"&amp;$A146,'Investment Strategies'!$AZ:$BP,17,FALSE),
IF(AND(Investment_Strategy="Lifecycle",Investment_Strategy_Sub1="Non-Standard"),VLOOKUP(Investment_Strategy&amp;"_"&amp;Investment_Strategy_Sub2&amp;"_"&amp;$A146,'Investment Strategies'!$C:$P,14,FALSE),
IF(AND(Investment_Strategy="Lifecycle",Investment_Strategy_Sub1="Standard"),VLOOKUP(Investment_Strategy&amp;"_"&amp;Investment_Strategy_Sub2&amp;"_"&amp;$A146,'Investment Strategies'!$AJ:$AV,13,FALSE),
IF(AND(Investment_Strategy="Autopilot",Investment_Strategy_Sub1="Non-Standard"),VLOOKUP(Investment_Strategy&amp;"_"&amp;Investment_Strategy_Sub2&amp;"_"&amp;$A146,'Investment Strategies'!$T:$AF,13,FALSE),
IF(Investment_Strategy="DIY",DIY_ExtManChrge_CurrentFunds,
"Error"))))))</f>
        <v>2.0857243058891584E-4</v>
      </c>
      <c r="H146" s="16">
        <f t="shared" si="30"/>
        <v>0</v>
      </c>
      <c r="I146" s="16">
        <f t="shared" si="13"/>
        <v>0</v>
      </c>
      <c r="J146" s="16">
        <f t="shared" si="14"/>
        <v>0</v>
      </c>
      <c r="K146" s="16">
        <f>(Opening_Fund_Value+SUM(K$91:K145))*E146*IF(D146=$A$91,SRP_finalmonthfactor,1)</f>
        <v>0</v>
      </c>
      <c r="L146" s="74">
        <f>MIN(IF($AV146=0,0,
IF(Investment_Strategy="DIS",VLOOKUP(Investment_Strategy&amp;"_"&amp;Investment_Strategy_Sub1&amp;"_"&amp;$A146,'Investment Strategies'!$AZ:$BP,12,FALSE),
IF(AND(Investment_Strategy="Lifecycle",Investment_Strategy_Sub1="Non-Standard"),VLOOKUP(Investment_Strategy&amp;"_"&amp;Investment_Strategy_Sub2&amp;"_"&amp;$A146,'Investment Strategies'!$C:$P,9,FALSE),
IF(AND(Investment_Strategy="Lifecycle",Investment_Strategy_Sub1="Standard"),VLOOKUP(Investment_Strategy&amp;"_"&amp;Investment_Strategy_Sub2&amp;"_"&amp;$A146,'Investment Strategies'!$AJ:$AV,8,FALSE),
IF(AND(Investment_Strategy="Autopilot",Investment_Strategy_Sub1="Non-Standard"),VLOOKUP(Investment_Strategy&amp;"_"&amp;Investment_Strategy_Sub2&amp;"_"&amp;$A146,'Investment Strategies'!$T:$AF,8,FALSE),
IF(Investment_Strategy ="DIY",DIY_RateofReturn_SP,
"Error")))))),Max_InvReturn)</f>
        <v>4.1816398110932074E-3</v>
      </c>
      <c r="M146" s="62">
        <f>IF($AV146=0,0,
IF(Investment_Strategy="DIS",VLOOKUP(Investment_Strategy&amp;"_"&amp;Investment_Strategy_Sub1&amp;"_"&amp;$A146,'Investment Strategies'!$AZ:$BP,15,FALSE),
IF(AND(Investment_Strategy="Lifecycle",Investment_Strategy_Sub1="Non-Standard"),VLOOKUP(Investment_Strategy&amp;"_"&amp;Investment_Strategy_Sub2&amp;"_"&amp;$A146,'Investment Strategies'!$C:$P,12,FALSE),
IF(AND(Investment_Strategy="Lifecycle",Investment_Strategy_Sub1="Standard"),VLOOKUP(Investment_Strategy&amp;"_"&amp;Investment_Strategy_Sub2&amp;"_"&amp;$A146,'Investment Strategies'!$AJ:$AV,11,FALSE),
IF(AND(Investment_Strategy="Autopilot",Investment_Strategy_Sub1="Non-Standard"),VLOOKUP(Investment_Strategy&amp;"_"&amp;Investment_Strategy_Sub2&amp;"_"&amp;$A146,'Investment Strategies'!$T:$AF,11,FALSE),
IF(Investment_Strategy="DIY",DIY_GteeChrge_SP,
"Error"))))))</f>
        <v>0</v>
      </c>
      <c r="N146" s="33">
        <f>IF($AV146=0,0,
IF(Investment_Strategy="DIS",VLOOKUP(Investment_Strategy&amp;"_"&amp;Investment_Strategy_Sub1&amp;"_"&amp;$A146,'Investment Strategies'!$AZ:$BP,17,FALSE),
IF(AND(Investment_Strategy="Lifecycle",Investment_Strategy_Sub1="Non-Standard"),VLOOKUP(Investment_Strategy&amp;"_"&amp;Investment_Strategy_Sub2&amp;"_"&amp;$A146,'Investment Strategies'!$C:$P,14,FALSE),
IF(AND(Investment_Strategy="Lifecycle",Investment_Strategy_Sub1="Standard"),VLOOKUP(Investment_Strategy&amp;"_"&amp;Investment_Strategy_Sub2&amp;"_"&amp;$A146,'Investment Strategies'!$AJ:$AV,13,FALSE),
IF(AND(Investment_Strategy="Autopilot",Investment_Strategy_Sub1="Non-Standard"),VLOOKUP(Investment_Strategy&amp;"_"&amp;Investment_Strategy_Sub2&amp;"_"&amp;$A146,'Investment Strategies'!$T:$AF,13,FALSE),
IF(Investment_Strategy="DIY",DIY_ExtManChrge_SP,
"Error"))))))</f>
        <v>2.0857243058891584E-4</v>
      </c>
      <c r="O146" s="16">
        <f t="shared" si="50"/>
        <v>835293.49421007419</v>
      </c>
      <c r="Q146" s="16">
        <f t="shared" si="15"/>
        <v>3492.8965293359997</v>
      </c>
      <c r="R146" s="16">
        <f t="shared" si="16"/>
        <v>-804.96799304659521</v>
      </c>
      <c r="S146" s="16">
        <f>(SRP_SP+SUM(S$91:S145))*L146*IF(D146=$A$91,SRP_finalmonthfactor,1)</f>
        <v>3682.305987136202</v>
      </c>
      <c r="T146" s="74">
        <f>MIN(IF($AV146=0,0,
IF(Investment_Strategy="DIS",VLOOKUP(Investment_Strategy&amp;"_"&amp;Investment_Strategy_Sub1&amp;"_"&amp;$A146,'Investment Strategies'!$AZ:$BP,12,FALSE),
IF(AND(Investment_Strategy="Lifecycle",Investment_Strategy_Sub1="Non-Standard"),VLOOKUP(Investment_Strategy&amp;"_"&amp;Investment_Strategy_Sub2&amp;"_"&amp;$A146,'Investment Strategies'!$C:$P,9,FALSE),
IF(AND(Investment_Strategy="Lifecycle",Investment_Strategy_Sub1="Standard"),VLOOKUP(Investment_Strategy&amp;"_"&amp;Investment_Strategy_Sub2&amp;"_"&amp;$A146,'Investment Strategies'!$AJ:$AV,8,FALSE),
IF(AND(Investment_Strategy="Autopilot",Investment_Strategy_Sub1="Non-Standard"),VLOOKUP(Investment_Strategy&amp;"_"&amp;Investment_Strategy_Sub2&amp;"_"&amp;$A146,'Investment Strategies'!$T:$AF,8,FALSE),
IF(Investment_Strategy ="DIY",DIY_RateOfReturn_FuturePremiums,
"Error")))))),Max_InvReturn)</f>
        <v>4.1816398110932074E-3</v>
      </c>
      <c r="U146" s="62">
        <f>IF($AV146=0,0,
IF(Investment_Strategy="DIS",VLOOKUP(Investment_Strategy&amp;"_"&amp;Investment_Strategy_Sub1&amp;"_"&amp;$A146,'Investment Strategies'!$AZ:$BP,15,FALSE),
IF(AND(Investment_Strategy="Lifecycle",Investment_Strategy_Sub1="Non-Standard"),VLOOKUP(Investment_Strategy&amp;"_"&amp;Investment_Strategy_Sub2&amp;"_"&amp;$A146,'Investment Strategies'!$C:$P,12,FALSE),
IF(AND(Investment_Strategy="Lifecycle",Investment_Strategy_Sub1="Standard"),VLOOKUP(Investment_Strategy&amp;"_"&amp;Investment_Strategy_Sub2&amp;"_"&amp;$A146,'Investment Strategies'!$AJ:$AV,11,FALSE),
IF(AND(Investment_Strategy="Autopilot",Investment_Strategy_Sub1="Non-Standard"),VLOOKUP(Investment_Strategy&amp;"_"&amp;Investment_Strategy_Sub2&amp;"_"&amp;$A146,'Investment Strategies'!$T:$AF,11,FALSE),
IF(Investment_Strategy="DIY",DIY_GteeChrge_FuturePremiums,
"Error"))))))</f>
        <v>0</v>
      </c>
      <c r="V146" s="33">
        <f>IF(AV146=0,0,
IF(Investment_Strategy="DIS",VLOOKUP(Investment_Strategy&amp;"_"&amp;Investment_Strategy_Sub1&amp;"_"&amp;$A146,'Investment Strategies'!$AZ:$BP,17,FALSE),
IF(AND(Investment_Strategy="Lifecycle",Investment_Strategy_Sub1="Non-Standard"),VLOOKUP(Investment_Strategy&amp;"_"&amp;Investment_Strategy_Sub2&amp;"_"&amp;$A146,'Investment Strategies'!$C:$P,14,FALSE),
IF(AND(Investment_Strategy="Lifecycle",Investment_Strategy_Sub1="Standard"),VLOOKUP(Investment_Strategy&amp;"_"&amp;Investment_Strategy_Sub2&amp;"_"&amp;$A146,'Investment Strategies'!$AJ:$AV,13,FALSE),
IF(AND(Investment_Strategy="Autopilot",Investment_Strategy_Sub1="Non-Standard"),VLOOKUP(Investment_Strategy&amp;"_"&amp;Investment_Strategy_Sub2&amp;"_"&amp;$A146,'Investment Strategies'!$T:$AF,13,FALSE),
IF(Investment_Strategy="DIY",DIY_ExtManChrge_FuturePremiums,
"Error"))))))</f>
        <v>1.2508601994698498E-4</v>
      </c>
      <c r="W146" s="16">
        <f t="shared" si="51"/>
        <v>0</v>
      </c>
      <c r="X146" s="16">
        <f t="shared" si="17"/>
        <v>0</v>
      </c>
      <c r="Y146" s="16">
        <f t="shared" si="18"/>
        <v>0</v>
      </c>
      <c r="Z146" s="31">
        <f t="shared" si="19"/>
        <v>0.02</v>
      </c>
      <c r="AA146" s="16">
        <f t="shared" si="20"/>
        <v>0</v>
      </c>
      <c r="AB146" s="28">
        <f t="shared" si="53"/>
        <v>880588.99223401514</v>
      </c>
      <c r="AC146" s="28">
        <f>(SUM($AC$91:AC145)+SUM($X$91:X145)+X146)*T146*IF(D146=$A$91,SRP_finalmonthfactor,1)</f>
        <v>0</v>
      </c>
      <c r="AD146" s="16">
        <f t="shared" si="21"/>
        <v>-174.58345530196326</v>
      </c>
      <c r="AE146" s="106"/>
      <c r="AF146" s="16">
        <f t="shared" si="52"/>
        <v>835293.49421007419</v>
      </c>
      <c r="AG146" s="16">
        <f t="shared" si="31"/>
        <v>3682.305987136202</v>
      </c>
      <c r="AH146" s="16">
        <f t="shared" si="32"/>
        <v>-804.96799304659521</v>
      </c>
      <c r="AJ146" s="13">
        <f t="shared" si="66"/>
        <v>0</v>
      </c>
      <c r="AK146" s="13">
        <f t="shared" si="66"/>
        <v>0</v>
      </c>
      <c r="AL146" s="13">
        <f t="shared" si="66"/>
        <v>0</v>
      </c>
      <c r="AM146" s="13">
        <f t="shared" si="66"/>
        <v>0</v>
      </c>
      <c r="AN146" s="13">
        <f t="shared" si="66"/>
        <v>1</v>
      </c>
      <c r="AO146" s="13">
        <f t="shared" si="66"/>
        <v>1</v>
      </c>
      <c r="AP146" s="13">
        <f t="shared" si="66"/>
        <v>1</v>
      </c>
      <c r="AQ146" s="13">
        <f t="shared" si="66"/>
        <v>1</v>
      </c>
      <c r="AR146" s="13">
        <f t="shared" si="66"/>
        <v>1</v>
      </c>
      <c r="AS146" s="13">
        <f t="shared" si="66"/>
        <v>1</v>
      </c>
      <c r="AT146" s="13">
        <f t="shared" si="66"/>
        <v>1</v>
      </c>
      <c r="AU146" s="13">
        <f t="shared" si="66"/>
        <v>1</v>
      </c>
      <c r="AV146" s="13">
        <f t="shared" si="23"/>
        <v>1</v>
      </c>
      <c r="AW146" s="13">
        <f t="shared" si="33"/>
        <v>1</v>
      </c>
      <c r="AY146" s="17">
        <f t="shared" si="24"/>
        <v>56</v>
      </c>
      <c r="AZ146" s="28">
        <f t="shared" si="34"/>
        <v>0</v>
      </c>
      <c r="BA146" s="13">
        <f t="shared" si="25"/>
        <v>0</v>
      </c>
      <c r="BB146" s="13">
        <f t="shared" si="26"/>
        <v>0</v>
      </c>
      <c r="BC146" s="28">
        <f t="shared" si="35"/>
        <v>0</v>
      </c>
      <c r="BD146" s="28">
        <f t="shared" si="36"/>
        <v>0</v>
      </c>
      <c r="BF146" s="248">
        <f t="shared" si="37"/>
        <v>884271.29822115134</v>
      </c>
      <c r="BG146" s="36">
        <f t="shared" si="54"/>
        <v>0</v>
      </c>
      <c r="BH146" s="36">
        <f t="shared" si="55"/>
        <v>835293.49421007419</v>
      </c>
      <c r="BI146" s="249">
        <f t="shared" si="56"/>
        <v>4.1816398110932074E-3</v>
      </c>
      <c r="BJ146" s="246">
        <f t="shared" si="57"/>
        <v>2.0857243058891584E-4</v>
      </c>
      <c r="BK146" s="246">
        <f t="shared" si="27"/>
        <v>7.531116566323881E-4</v>
      </c>
      <c r="BL146" s="246">
        <f t="shared" si="58"/>
        <v>0</v>
      </c>
      <c r="BM146" s="246">
        <f t="shared" si="59"/>
        <v>9.6168408722130394E-4</v>
      </c>
      <c r="BN146" s="36">
        <f t="shared" si="44"/>
        <v>804.9679930465951</v>
      </c>
      <c r="BO146" s="36">
        <f t="shared" si="60"/>
        <v>3492.8965293359997</v>
      </c>
      <c r="BP146" s="36">
        <f t="shared" si="61"/>
        <v>837981.42274636356</v>
      </c>
    </row>
    <row r="147" spans="1:68">
      <c r="A147" s="32">
        <f t="shared" si="47"/>
        <v>28</v>
      </c>
      <c r="B147" s="32">
        <f t="shared" si="28"/>
        <v>57</v>
      </c>
      <c r="C147" s="32">
        <f t="shared" si="48"/>
        <v>5</v>
      </c>
      <c r="D147" s="32">
        <f t="shared" si="49"/>
        <v>57</v>
      </c>
      <c r="E147" s="74">
        <f>MIN(IF(AV147=0,0,
IF(Investment_Strategy="DIS",VLOOKUP(Investment_Strategy&amp;"_"&amp;Investment_Strategy_Sub1&amp;"_"&amp;$A147,'Investment Strategies'!$AZ:$BP,12,FALSE),
IF(AND(Investment_Strategy="Lifecycle",Investment_Strategy_Sub1="Non-Standard"),VLOOKUP(Investment_Strategy&amp;"_"&amp;Investment_Strategy_Sub2&amp;"_"&amp;$A147,'Investment Strategies'!$C:$P,9,FALSE),
IF(AND(Investment_Strategy="Lifecycle",Investment_Strategy_Sub1="Standard"),VLOOKUP(Investment_Strategy&amp;"_"&amp;Investment_Strategy_Sub2&amp;"_"&amp;$A147,'Investment Strategies'!$AJ:$AV,8,FALSE),
IF(AND(Investment_Strategy="Autopilot",Investment_Strategy_Sub1="Non-Standard"),VLOOKUP(Investment_Strategy&amp;"_"&amp;Investment_Strategy_Sub2&amp;"_"&amp;$A147,'Investment Strategies'!$T:$AF,8,FALSE),
IF(Investment_Strategy ="DIY",DIY_RateOfReturn_CurrentFunds,
"Error")))))),Max_InvReturn)</f>
        <v>4.1816398110932074E-3</v>
      </c>
      <c r="F147" s="62">
        <f>IF(AV147=0,0,
IF(Investment_Strategy="DIS",VLOOKUP(Investment_Strategy&amp;"_"&amp;Investment_Strategy_Sub1&amp;"_"&amp;$A147,'Investment Strategies'!$AZ:$BP,15,FALSE),
IF(AND(Investment_Strategy="Lifecycle",Investment_Strategy_Sub1="Non-Standard"),VLOOKUP(Investment_Strategy&amp;"_"&amp;Investment_Strategy_Sub2&amp;"_"&amp;$A147,'Investment Strategies'!$C:$P,12,FALSE),
IF(AND(Investment_Strategy="Lifecycle",Investment_Strategy_Sub1="Standard"),VLOOKUP(Investment_Strategy&amp;"_"&amp;Investment_Strategy_Sub2&amp;"_"&amp;$A147,'Investment Strategies'!$AJ:$AV,11,FALSE),
IF(AND(Investment_Strategy="Autopilot",Investment_Strategy_Sub1="Non-Standard"),VLOOKUP(Investment_Strategy&amp;"_"&amp;Investment_Strategy_Sub2&amp;"_"&amp;$A147,'Investment Strategies'!$T:$AF,11,FALSE),
IF(Investment_Strategy="DIY",DIY_GteeChrge_CurrentFunds,
"Error"))))))</f>
        <v>5.4328711526985263E-4</v>
      </c>
      <c r="G147" s="33">
        <f>IF(AV147=0,0,
IF(Investment_Strategy="DIS",VLOOKUP(Investment_Strategy&amp;"_"&amp;Investment_Strategy_Sub1&amp;"_"&amp;$A147,'Investment Strategies'!$AZ:$BP,17,FALSE),
IF(AND(Investment_Strategy="Lifecycle",Investment_Strategy_Sub1="Non-Standard"),VLOOKUP(Investment_Strategy&amp;"_"&amp;Investment_Strategy_Sub2&amp;"_"&amp;$A147,'Investment Strategies'!$C:$P,14,FALSE),
IF(AND(Investment_Strategy="Lifecycle",Investment_Strategy_Sub1="Standard"),VLOOKUP(Investment_Strategy&amp;"_"&amp;Investment_Strategy_Sub2&amp;"_"&amp;$A147,'Investment Strategies'!$AJ:$AV,13,FALSE),
IF(AND(Investment_Strategy="Autopilot",Investment_Strategy_Sub1="Non-Standard"),VLOOKUP(Investment_Strategy&amp;"_"&amp;Investment_Strategy_Sub2&amp;"_"&amp;$A147,'Investment Strategies'!$T:$AF,13,FALSE),
IF(Investment_Strategy="DIY",DIY_ExtManChrge_CurrentFunds,
"Error"))))))</f>
        <v>2.0857243058891584E-4</v>
      </c>
      <c r="H147" s="16">
        <f t="shared" si="30"/>
        <v>0</v>
      </c>
      <c r="I147" s="16">
        <f t="shared" si="13"/>
        <v>0</v>
      </c>
      <c r="J147" s="16">
        <f t="shared" si="14"/>
        <v>0</v>
      </c>
      <c r="K147" s="16">
        <f>(Opening_Fund_Value+SUM(K$91:K146))*E147*IF(D147=$A$91,SRP_finalmonthfactor,1)</f>
        <v>0</v>
      </c>
      <c r="L147" s="74">
        <f>MIN(IF($AV147=0,0,
IF(Investment_Strategy="DIS",VLOOKUP(Investment_Strategy&amp;"_"&amp;Investment_Strategy_Sub1&amp;"_"&amp;$A147,'Investment Strategies'!$AZ:$BP,12,FALSE),
IF(AND(Investment_Strategy="Lifecycle",Investment_Strategy_Sub1="Non-Standard"),VLOOKUP(Investment_Strategy&amp;"_"&amp;Investment_Strategy_Sub2&amp;"_"&amp;$A147,'Investment Strategies'!$C:$P,9,FALSE),
IF(AND(Investment_Strategy="Lifecycle",Investment_Strategy_Sub1="Standard"),VLOOKUP(Investment_Strategy&amp;"_"&amp;Investment_Strategy_Sub2&amp;"_"&amp;$A147,'Investment Strategies'!$AJ:$AV,8,FALSE),
IF(AND(Investment_Strategy="Autopilot",Investment_Strategy_Sub1="Non-Standard"),VLOOKUP(Investment_Strategy&amp;"_"&amp;Investment_Strategy_Sub2&amp;"_"&amp;$A147,'Investment Strategies'!$T:$AF,8,FALSE),
IF(Investment_Strategy ="DIY",DIY_RateofReturn_SP,
"Error")))))),Max_InvReturn)</f>
        <v>4.1816398110932074E-3</v>
      </c>
      <c r="M147" s="62">
        <f>IF($AV147=0,0,
IF(Investment_Strategy="DIS",VLOOKUP(Investment_Strategy&amp;"_"&amp;Investment_Strategy_Sub1&amp;"_"&amp;$A147,'Investment Strategies'!$AZ:$BP,15,FALSE),
IF(AND(Investment_Strategy="Lifecycle",Investment_Strategy_Sub1="Non-Standard"),VLOOKUP(Investment_Strategy&amp;"_"&amp;Investment_Strategy_Sub2&amp;"_"&amp;$A147,'Investment Strategies'!$C:$P,12,FALSE),
IF(AND(Investment_Strategy="Lifecycle",Investment_Strategy_Sub1="Standard"),VLOOKUP(Investment_Strategy&amp;"_"&amp;Investment_Strategy_Sub2&amp;"_"&amp;$A147,'Investment Strategies'!$AJ:$AV,11,FALSE),
IF(AND(Investment_Strategy="Autopilot",Investment_Strategy_Sub1="Non-Standard"),VLOOKUP(Investment_Strategy&amp;"_"&amp;Investment_Strategy_Sub2&amp;"_"&amp;$A147,'Investment Strategies'!$T:$AF,11,FALSE),
IF(Investment_Strategy="DIY",DIY_GteeChrge_SP,
"Error"))))))</f>
        <v>0</v>
      </c>
      <c r="N147" s="33">
        <f>IF($AV147=0,0,
IF(Investment_Strategy="DIS",VLOOKUP(Investment_Strategy&amp;"_"&amp;Investment_Strategy_Sub1&amp;"_"&amp;$A147,'Investment Strategies'!$AZ:$BP,17,FALSE),
IF(AND(Investment_Strategy="Lifecycle",Investment_Strategy_Sub1="Non-Standard"),VLOOKUP(Investment_Strategy&amp;"_"&amp;Investment_Strategy_Sub2&amp;"_"&amp;$A147,'Investment Strategies'!$C:$P,14,FALSE),
IF(AND(Investment_Strategy="Lifecycle",Investment_Strategy_Sub1="Standard"),VLOOKUP(Investment_Strategy&amp;"_"&amp;Investment_Strategy_Sub2&amp;"_"&amp;$A147,'Investment Strategies'!$AJ:$AV,13,FALSE),
IF(AND(Investment_Strategy="Autopilot",Investment_Strategy_Sub1="Non-Standard"),VLOOKUP(Investment_Strategy&amp;"_"&amp;Investment_Strategy_Sub2&amp;"_"&amp;$A147,'Investment Strategies'!$T:$AF,13,FALSE),
IF(Investment_Strategy="DIY",DIY_ExtManChrge_SP,
"Error"))))))</f>
        <v>2.0857243058891584E-4</v>
      </c>
      <c r="O147" s="16">
        <f t="shared" si="50"/>
        <v>837981.42274636356</v>
      </c>
      <c r="Q147" s="16">
        <f t="shared" si="15"/>
        <v>3504.136478312721</v>
      </c>
      <c r="R147" s="16">
        <f t="shared" si="16"/>
        <v>-807.55833578756881</v>
      </c>
      <c r="S147" s="16">
        <f>(SRP_SP+SUM(S$91:S146))*L147*IF(D147=$A$91,SRP_finalmonthfactor,1)</f>
        <v>3697.7040644486378</v>
      </c>
      <c r="T147" s="74">
        <f>MIN(IF($AV147=0,0,
IF(Investment_Strategy="DIS",VLOOKUP(Investment_Strategy&amp;"_"&amp;Investment_Strategy_Sub1&amp;"_"&amp;$A147,'Investment Strategies'!$AZ:$BP,12,FALSE),
IF(AND(Investment_Strategy="Lifecycle",Investment_Strategy_Sub1="Non-Standard"),VLOOKUP(Investment_Strategy&amp;"_"&amp;Investment_Strategy_Sub2&amp;"_"&amp;$A147,'Investment Strategies'!$C:$P,9,FALSE),
IF(AND(Investment_Strategy="Lifecycle",Investment_Strategy_Sub1="Standard"),VLOOKUP(Investment_Strategy&amp;"_"&amp;Investment_Strategy_Sub2&amp;"_"&amp;$A147,'Investment Strategies'!$AJ:$AV,8,FALSE),
IF(AND(Investment_Strategy="Autopilot",Investment_Strategy_Sub1="Non-Standard"),VLOOKUP(Investment_Strategy&amp;"_"&amp;Investment_Strategy_Sub2&amp;"_"&amp;$A147,'Investment Strategies'!$T:$AF,8,FALSE),
IF(Investment_Strategy ="DIY",DIY_RateOfReturn_FuturePremiums,
"Error")))))),Max_InvReturn)</f>
        <v>4.1816398110932074E-3</v>
      </c>
      <c r="U147" s="62">
        <f>IF($AV147=0,0,
IF(Investment_Strategy="DIS",VLOOKUP(Investment_Strategy&amp;"_"&amp;Investment_Strategy_Sub1&amp;"_"&amp;$A147,'Investment Strategies'!$AZ:$BP,15,FALSE),
IF(AND(Investment_Strategy="Lifecycle",Investment_Strategy_Sub1="Non-Standard"),VLOOKUP(Investment_Strategy&amp;"_"&amp;Investment_Strategy_Sub2&amp;"_"&amp;$A147,'Investment Strategies'!$C:$P,12,FALSE),
IF(AND(Investment_Strategy="Lifecycle",Investment_Strategy_Sub1="Standard"),VLOOKUP(Investment_Strategy&amp;"_"&amp;Investment_Strategy_Sub2&amp;"_"&amp;$A147,'Investment Strategies'!$AJ:$AV,11,FALSE),
IF(AND(Investment_Strategy="Autopilot",Investment_Strategy_Sub1="Non-Standard"),VLOOKUP(Investment_Strategy&amp;"_"&amp;Investment_Strategy_Sub2&amp;"_"&amp;$A147,'Investment Strategies'!$T:$AF,11,FALSE),
IF(Investment_Strategy="DIY",DIY_GteeChrge_FuturePremiums,
"Error"))))))</f>
        <v>0</v>
      </c>
      <c r="V147" s="33">
        <f>IF(AV147=0,0,
IF(Investment_Strategy="DIS",VLOOKUP(Investment_Strategy&amp;"_"&amp;Investment_Strategy_Sub1&amp;"_"&amp;$A147,'Investment Strategies'!$AZ:$BP,17,FALSE),
IF(AND(Investment_Strategy="Lifecycle",Investment_Strategy_Sub1="Non-Standard"),VLOOKUP(Investment_Strategy&amp;"_"&amp;Investment_Strategy_Sub2&amp;"_"&amp;$A147,'Investment Strategies'!$C:$P,14,FALSE),
IF(AND(Investment_Strategy="Lifecycle",Investment_Strategy_Sub1="Standard"),VLOOKUP(Investment_Strategy&amp;"_"&amp;Investment_Strategy_Sub2&amp;"_"&amp;$A147,'Investment Strategies'!$AJ:$AV,13,FALSE),
IF(AND(Investment_Strategy="Autopilot",Investment_Strategy_Sub1="Non-Standard"),VLOOKUP(Investment_Strategy&amp;"_"&amp;Investment_Strategy_Sub2&amp;"_"&amp;$A147,'Investment Strategies'!$T:$AF,13,FALSE),
IF(Investment_Strategy="DIY",DIY_ExtManChrge_FuturePremiums,
"Error"))))))</f>
        <v>1.2508601994698498E-4</v>
      </c>
      <c r="W147" s="16">
        <f t="shared" si="51"/>
        <v>0</v>
      </c>
      <c r="X147" s="16">
        <f t="shared" si="17"/>
        <v>0</v>
      </c>
      <c r="Y147" s="16">
        <f t="shared" si="18"/>
        <v>0</v>
      </c>
      <c r="Z147" s="31">
        <f t="shared" si="19"/>
        <v>0.02</v>
      </c>
      <c r="AA147" s="16">
        <f t="shared" si="20"/>
        <v>0</v>
      </c>
      <c r="AB147" s="28">
        <f t="shared" si="53"/>
        <v>884271.29822115134</v>
      </c>
      <c r="AC147" s="28">
        <f>(SUM($AC$91:AC146)+SUM($X$91:X146)+X147)*T147*IF(D147=$A$91,SRP_finalmonthfactor,1)</f>
        <v>0</v>
      </c>
      <c r="AD147" s="16">
        <f t="shared" si="21"/>
        <v>-175.14525526176533</v>
      </c>
      <c r="AE147" s="106"/>
      <c r="AF147" s="16">
        <f t="shared" si="52"/>
        <v>837981.42274636356</v>
      </c>
      <c r="AG147" s="16">
        <f t="shared" si="31"/>
        <v>3697.7040644486378</v>
      </c>
      <c r="AH147" s="16">
        <f t="shared" si="32"/>
        <v>-807.55833578756881</v>
      </c>
      <c r="AJ147" s="13">
        <f t="shared" si="66"/>
        <v>0</v>
      </c>
      <c r="AK147" s="13">
        <f t="shared" si="66"/>
        <v>0</v>
      </c>
      <c r="AL147" s="13">
        <f t="shared" si="66"/>
        <v>0</v>
      </c>
      <c r="AM147" s="13">
        <f t="shared" si="66"/>
        <v>0</v>
      </c>
      <c r="AN147" s="13">
        <f t="shared" si="66"/>
        <v>1</v>
      </c>
      <c r="AO147" s="13">
        <f t="shared" si="66"/>
        <v>1</v>
      </c>
      <c r="AP147" s="13">
        <f t="shared" si="66"/>
        <v>1</v>
      </c>
      <c r="AQ147" s="13">
        <f t="shared" si="66"/>
        <v>1</v>
      </c>
      <c r="AR147" s="13">
        <f t="shared" si="66"/>
        <v>1</v>
      </c>
      <c r="AS147" s="13">
        <f t="shared" si="66"/>
        <v>1</v>
      </c>
      <c r="AT147" s="13">
        <f t="shared" si="66"/>
        <v>1</v>
      </c>
      <c r="AU147" s="13">
        <f t="shared" si="66"/>
        <v>1</v>
      </c>
      <c r="AV147" s="13">
        <f t="shared" si="23"/>
        <v>1</v>
      </c>
      <c r="AW147" s="13">
        <f t="shared" si="33"/>
        <v>1</v>
      </c>
      <c r="AY147" s="17">
        <f t="shared" si="24"/>
        <v>57</v>
      </c>
      <c r="AZ147" s="28">
        <f t="shared" si="34"/>
        <v>0</v>
      </c>
      <c r="BA147" s="13">
        <f t="shared" si="25"/>
        <v>0</v>
      </c>
      <c r="BB147" s="13">
        <f t="shared" si="26"/>
        <v>0</v>
      </c>
      <c r="BC147" s="28">
        <f t="shared" si="35"/>
        <v>0</v>
      </c>
      <c r="BD147" s="28">
        <f t="shared" si="36"/>
        <v>0</v>
      </c>
      <c r="BF147" s="248">
        <f t="shared" si="37"/>
        <v>887969.00228559994</v>
      </c>
      <c r="BG147" s="36">
        <f t="shared" si="54"/>
        <v>0</v>
      </c>
      <c r="BH147" s="36">
        <f t="shared" si="55"/>
        <v>837981.42274636356</v>
      </c>
      <c r="BI147" s="249">
        <f t="shared" si="56"/>
        <v>4.1816398110932074E-3</v>
      </c>
      <c r="BJ147" s="246">
        <f t="shared" si="57"/>
        <v>2.0857243058891584E-4</v>
      </c>
      <c r="BK147" s="246">
        <f t="shared" si="27"/>
        <v>7.531116566323881E-4</v>
      </c>
      <c r="BL147" s="246">
        <f t="shared" si="58"/>
        <v>0</v>
      </c>
      <c r="BM147" s="246">
        <f t="shared" si="59"/>
        <v>9.6168408722130394E-4</v>
      </c>
      <c r="BN147" s="36">
        <f t="shared" si="44"/>
        <v>807.55833578756869</v>
      </c>
      <c r="BO147" s="36">
        <f t="shared" si="60"/>
        <v>3504.136478312721</v>
      </c>
      <c r="BP147" s="36">
        <f t="shared" si="61"/>
        <v>840678.00088888872</v>
      </c>
    </row>
    <row r="148" spans="1:68">
      <c r="A148" s="32">
        <f t="shared" si="47"/>
        <v>27</v>
      </c>
      <c r="B148" s="32">
        <f t="shared" si="28"/>
        <v>57</v>
      </c>
      <c r="C148" s="32">
        <f t="shared" si="48"/>
        <v>5</v>
      </c>
      <c r="D148" s="32">
        <f t="shared" si="49"/>
        <v>58</v>
      </c>
      <c r="E148" s="74">
        <f>MIN(IF(AV148=0,0,
IF(Investment_Strategy="DIS",VLOOKUP(Investment_Strategy&amp;"_"&amp;Investment_Strategy_Sub1&amp;"_"&amp;$A148,'Investment Strategies'!$AZ:$BP,12,FALSE),
IF(AND(Investment_Strategy="Lifecycle",Investment_Strategy_Sub1="Non-Standard"),VLOOKUP(Investment_Strategy&amp;"_"&amp;Investment_Strategy_Sub2&amp;"_"&amp;$A148,'Investment Strategies'!$C:$P,9,FALSE),
IF(AND(Investment_Strategy="Lifecycle",Investment_Strategy_Sub1="Standard"),VLOOKUP(Investment_Strategy&amp;"_"&amp;Investment_Strategy_Sub2&amp;"_"&amp;$A148,'Investment Strategies'!$AJ:$AV,8,FALSE),
IF(AND(Investment_Strategy="Autopilot",Investment_Strategy_Sub1="Non-Standard"),VLOOKUP(Investment_Strategy&amp;"_"&amp;Investment_Strategy_Sub2&amp;"_"&amp;$A148,'Investment Strategies'!$T:$AF,8,FALSE),
IF(Investment_Strategy ="DIY",DIY_RateOfReturn_CurrentFunds,
"Error")))))),Max_InvReturn)</f>
        <v>4.1816398110932074E-3</v>
      </c>
      <c r="F148" s="62">
        <f>IF(AV148=0,0,
IF(Investment_Strategy="DIS",VLOOKUP(Investment_Strategy&amp;"_"&amp;Investment_Strategy_Sub1&amp;"_"&amp;$A148,'Investment Strategies'!$AZ:$BP,15,FALSE),
IF(AND(Investment_Strategy="Lifecycle",Investment_Strategy_Sub1="Non-Standard"),VLOOKUP(Investment_Strategy&amp;"_"&amp;Investment_Strategy_Sub2&amp;"_"&amp;$A148,'Investment Strategies'!$C:$P,12,FALSE),
IF(AND(Investment_Strategy="Lifecycle",Investment_Strategy_Sub1="Standard"),VLOOKUP(Investment_Strategy&amp;"_"&amp;Investment_Strategy_Sub2&amp;"_"&amp;$A148,'Investment Strategies'!$AJ:$AV,11,FALSE),
IF(AND(Investment_Strategy="Autopilot",Investment_Strategy_Sub1="Non-Standard"),VLOOKUP(Investment_Strategy&amp;"_"&amp;Investment_Strategy_Sub2&amp;"_"&amp;$A148,'Investment Strategies'!$T:$AF,11,FALSE),
IF(Investment_Strategy="DIY",DIY_GteeChrge_CurrentFunds,
"Error"))))))</f>
        <v>5.4328711526985263E-4</v>
      </c>
      <c r="G148" s="33">
        <f>IF(AV148=0,0,
IF(Investment_Strategy="DIS",VLOOKUP(Investment_Strategy&amp;"_"&amp;Investment_Strategy_Sub1&amp;"_"&amp;$A148,'Investment Strategies'!$AZ:$BP,17,FALSE),
IF(AND(Investment_Strategy="Lifecycle",Investment_Strategy_Sub1="Non-Standard"),VLOOKUP(Investment_Strategy&amp;"_"&amp;Investment_Strategy_Sub2&amp;"_"&amp;$A148,'Investment Strategies'!$C:$P,14,FALSE),
IF(AND(Investment_Strategy="Lifecycle",Investment_Strategy_Sub1="Standard"),VLOOKUP(Investment_Strategy&amp;"_"&amp;Investment_Strategy_Sub2&amp;"_"&amp;$A148,'Investment Strategies'!$AJ:$AV,13,FALSE),
IF(AND(Investment_Strategy="Autopilot",Investment_Strategy_Sub1="Non-Standard"),VLOOKUP(Investment_Strategy&amp;"_"&amp;Investment_Strategy_Sub2&amp;"_"&amp;$A148,'Investment Strategies'!$T:$AF,13,FALSE),
IF(Investment_Strategy="DIY",DIY_ExtManChrge_CurrentFunds,
"Error"))))))</f>
        <v>2.0857243058891584E-4</v>
      </c>
      <c r="H148" s="16">
        <f t="shared" si="30"/>
        <v>0</v>
      </c>
      <c r="I148" s="16">
        <f t="shared" si="13"/>
        <v>0</v>
      </c>
      <c r="J148" s="16">
        <f t="shared" si="14"/>
        <v>0</v>
      </c>
      <c r="K148" s="16">
        <f>(Opening_Fund_Value+SUM(K$91:K147))*E148*IF(D148=$A$91,SRP_finalmonthfactor,1)</f>
        <v>0</v>
      </c>
      <c r="L148" s="74">
        <f>MIN(IF($AV148=0,0,
IF(Investment_Strategy="DIS",VLOOKUP(Investment_Strategy&amp;"_"&amp;Investment_Strategy_Sub1&amp;"_"&amp;$A148,'Investment Strategies'!$AZ:$BP,12,FALSE),
IF(AND(Investment_Strategy="Lifecycle",Investment_Strategy_Sub1="Non-Standard"),VLOOKUP(Investment_Strategy&amp;"_"&amp;Investment_Strategy_Sub2&amp;"_"&amp;$A148,'Investment Strategies'!$C:$P,9,FALSE),
IF(AND(Investment_Strategy="Lifecycle",Investment_Strategy_Sub1="Standard"),VLOOKUP(Investment_Strategy&amp;"_"&amp;Investment_Strategy_Sub2&amp;"_"&amp;$A148,'Investment Strategies'!$AJ:$AV,8,FALSE),
IF(AND(Investment_Strategy="Autopilot",Investment_Strategy_Sub1="Non-Standard"),VLOOKUP(Investment_Strategy&amp;"_"&amp;Investment_Strategy_Sub2&amp;"_"&amp;$A148,'Investment Strategies'!$T:$AF,8,FALSE),
IF(Investment_Strategy ="DIY",DIY_RateofReturn_SP,
"Error")))))),Max_InvReturn)</f>
        <v>4.1816398110932074E-3</v>
      </c>
      <c r="M148" s="62">
        <f>IF($AV148=0,0,
IF(Investment_Strategy="DIS",VLOOKUP(Investment_Strategy&amp;"_"&amp;Investment_Strategy_Sub1&amp;"_"&amp;$A148,'Investment Strategies'!$AZ:$BP,15,FALSE),
IF(AND(Investment_Strategy="Lifecycle",Investment_Strategy_Sub1="Non-Standard"),VLOOKUP(Investment_Strategy&amp;"_"&amp;Investment_Strategy_Sub2&amp;"_"&amp;$A148,'Investment Strategies'!$C:$P,12,FALSE),
IF(AND(Investment_Strategy="Lifecycle",Investment_Strategy_Sub1="Standard"),VLOOKUP(Investment_Strategy&amp;"_"&amp;Investment_Strategy_Sub2&amp;"_"&amp;$A148,'Investment Strategies'!$AJ:$AV,11,FALSE),
IF(AND(Investment_Strategy="Autopilot",Investment_Strategy_Sub1="Non-Standard"),VLOOKUP(Investment_Strategy&amp;"_"&amp;Investment_Strategy_Sub2&amp;"_"&amp;$A148,'Investment Strategies'!$T:$AF,11,FALSE),
IF(Investment_Strategy="DIY",DIY_GteeChrge_SP,
"Error"))))))</f>
        <v>0</v>
      </c>
      <c r="N148" s="33">
        <f>IF($AV148=0,0,
IF(Investment_Strategy="DIS",VLOOKUP(Investment_Strategy&amp;"_"&amp;Investment_Strategy_Sub1&amp;"_"&amp;$A148,'Investment Strategies'!$AZ:$BP,17,FALSE),
IF(AND(Investment_Strategy="Lifecycle",Investment_Strategy_Sub1="Non-Standard"),VLOOKUP(Investment_Strategy&amp;"_"&amp;Investment_Strategy_Sub2&amp;"_"&amp;$A148,'Investment Strategies'!$C:$P,14,FALSE),
IF(AND(Investment_Strategy="Lifecycle",Investment_Strategy_Sub1="Standard"),VLOOKUP(Investment_Strategy&amp;"_"&amp;Investment_Strategy_Sub2&amp;"_"&amp;$A148,'Investment Strategies'!$AJ:$AV,13,FALSE),
IF(AND(Investment_Strategy="Autopilot",Investment_Strategy_Sub1="Non-Standard"),VLOOKUP(Investment_Strategy&amp;"_"&amp;Investment_Strategy_Sub2&amp;"_"&amp;$A148,'Investment Strategies'!$T:$AF,13,FALSE),
IF(Investment_Strategy="DIY",DIY_ExtManChrge_SP,
"Error"))))))</f>
        <v>2.0857243058891584E-4</v>
      </c>
      <c r="O148" s="16">
        <f t="shared" si="50"/>
        <v>840678.00088888872</v>
      </c>
      <c r="Q148" s="16">
        <f t="shared" si="15"/>
        <v>3515.4125968272278</v>
      </c>
      <c r="R148" s="16">
        <f t="shared" si="16"/>
        <v>-810.15701410905444</v>
      </c>
      <c r="S148" s="16">
        <f>(SRP_SP+SUM(S$91:S147))*L148*IF(D148=$A$91,SRP_finalmonthfactor,1)</f>
        <v>3713.1665309741775</v>
      </c>
      <c r="T148" s="74">
        <f>MIN(IF($AV148=0,0,
IF(Investment_Strategy="DIS",VLOOKUP(Investment_Strategy&amp;"_"&amp;Investment_Strategy_Sub1&amp;"_"&amp;$A148,'Investment Strategies'!$AZ:$BP,12,FALSE),
IF(AND(Investment_Strategy="Lifecycle",Investment_Strategy_Sub1="Non-Standard"),VLOOKUP(Investment_Strategy&amp;"_"&amp;Investment_Strategy_Sub2&amp;"_"&amp;$A148,'Investment Strategies'!$C:$P,9,FALSE),
IF(AND(Investment_Strategy="Lifecycle",Investment_Strategy_Sub1="Standard"),VLOOKUP(Investment_Strategy&amp;"_"&amp;Investment_Strategy_Sub2&amp;"_"&amp;$A148,'Investment Strategies'!$AJ:$AV,8,FALSE),
IF(AND(Investment_Strategy="Autopilot",Investment_Strategy_Sub1="Non-Standard"),VLOOKUP(Investment_Strategy&amp;"_"&amp;Investment_Strategy_Sub2&amp;"_"&amp;$A148,'Investment Strategies'!$T:$AF,8,FALSE),
IF(Investment_Strategy ="DIY",DIY_RateOfReturn_FuturePremiums,
"Error")))))),Max_InvReturn)</f>
        <v>4.1816398110932074E-3</v>
      </c>
      <c r="U148" s="62">
        <f>IF($AV148=0,0,
IF(Investment_Strategy="DIS",VLOOKUP(Investment_Strategy&amp;"_"&amp;Investment_Strategy_Sub1&amp;"_"&amp;$A148,'Investment Strategies'!$AZ:$BP,15,FALSE),
IF(AND(Investment_Strategy="Lifecycle",Investment_Strategy_Sub1="Non-Standard"),VLOOKUP(Investment_Strategy&amp;"_"&amp;Investment_Strategy_Sub2&amp;"_"&amp;$A148,'Investment Strategies'!$C:$P,12,FALSE),
IF(AND(Investment_Strategy="Lifecycle",Investment_Strategy_Sub1="Standard"),VLOOKUP(Investment_Strategy&amp;"_"&amp;Investment_Strategy_Sub2&amp;"_"&amp;$A148,'Investment Strategies'!$AJ:$AV,11,FALSE),
IF(AND(Investment_Strategy="Autopilot",Investment_Strategy_Sub1="Non-Standard"),VLOOKUP(Investment_Strategy&amp;"_"&amp;Investment_Strategy_Sub2&amp;"_"&amp;$A148,'Investment Strategies'!$T:$AF,11,FALSE),
IF(Investment_Strategy="DIY",DIY_GteeChrge_FuturePremiums,
"Error"))))))</f>
        <v>0</v>
      </c>
      <c r="V148" s="33">
        <f>IF(AV148=0,0,
IF(Investment_Strategy="DIS",VLOOKUP(Investment_Strategy&amp;"_"&amp;Investment_Strategy_Sub1&amp;"_"&amp;$A148,'Investment Strategies'!$AZ:$BP,17,FALSE),
IF(AND(Investment_Strategy="Lifecycle",Investment_Strategy_Sub1="Non-Standard"),VLOOKUP(Investment_Strategy&amp;"_"&amp;Investment_Strategy_Sub2&amp;"_"&amp;$A148,'Investment Strategies'!$C:$P,14,FALSE),
IF(AND(Investment_Strategy="Lifecycle",Investment_Strategy_Sub1="Standard"),VLOOKUP(Investment_Strategy&amp;"_"&amp;Investment_Strategy_Sub2&amp;"_"&amp;$A148,'Investment Strategies'!$AJ:$AV,13,FALSE),
IF(AND(Investment_Strategy="Autopilot",Investment_Strategy_Sub1="Non-Standard"),VLOOKUP(Investment_Strategy&amp;"_"&amp;Investment_Strategy_Sub2&amp;"_"&amp;$A148,'Investment Strategies'!$T:$AF,13,FALSE),
IF(Investment_Strategy="DIY",DIY_ExtManChrge_FuturePremiums,
"Error"))))))</f>
        <v>1.2508601994698498E-4</v>
      </c>
      <c r="W148" s="16">
        <f t="shared" si="51"/>
        <v>0</v>
      </c>
      <c r="X148" s="16">
        <f t="shared" si="17"/>
        <v>0</v>
      </c>
      <c r="Y148" s="16">
        <f t="shared" si="18"/>
        <v>0</v>
      </c>
      <c r="Z148" s="31">
        <f t="shared" si="19"/>
        <v>0.02</v>
      </c>
      <c r="AA148" s="16">
        <f t="shared" si="20"/>
        <v>0</v>
      </c>
      <c r="AB148" s="28">
        <f t="shared" si="53"/>
        <v>887969.00228559994</v>
      </c>
      <c r="AC148" s="28">
        <f>(SUM($AC$91:AC147)+SUM($X$91:X147)+X148)*T148*IF(D148=$A$91,SRP_finalmonthfactor,1)</f>
        <v>0</v>
      </c>
      <c r="AD148" s="16">
        <f t="shared" si="21"/>
        <v>-175.70886306294784</v>
      </c>
      <c r="AE148" s="106"/>
      <c r="AF148" s="16">
        <f t="shared" si="52"/>
        <v>840678.00088888872</v>
      </c>
      <c r="AG148" s="16">
        <f t="shared" si="31"/>
        <v>3713.1665309741775</v>
      </c>
      <c r="AH148" s="16">
        <f t="shared" si="32"/>
        <v>-810.15701410905444</v>
      </c>
      <c r="AJ148" s="13">
        <f t="shared" si="66"/>
        <v>0</v>
      </c>
      <c r="AK148" s="13">
        <f t="shared" si="66"/>
        <v>0</v>
      </c>
      <c r="AL148" s="13">
        <f t="shared" si="66"/>
        <v>0</v>
      </c>
      <c r="AM148" s="13">
        <f t="shared" si="66"/>
        <v>0</v>
      </c>
      <c r="AN148" s="13">
        <f t="shared" si="66"/>
        <v>1</v>
      </c>
      <c r="AO148" s="13">
        <f t="shared" si="66"/>
        <v>1</v>
      </c>
      <c r="AP148" s="13">
        <f t="shared" si="66"/>
        <v>1</v>
      </c>
      <c r="AQ148" s="13">
        <f t="shared" si="66"/>
        <v>1</v>
      </c>
      <c r="AR148" s="13">
        <f t="shared" si="66"/>
        <v>1</v>
      </c>
      <c r="AS148" s="13">
        <f t="shared" si="66"/>
        <v>1</v>
      </c>
      <c r="AT148" s="13">
        <f t="shared" si="66"/>
        <v>1</v>
      </c>
      <c r="AU148" s="13">
        <f t="shared" si="66"/>
        <v>1</v>
      </c>
      <c r="AV148" s="13">
        <f t="shared" si="23"/>
        <v>1</v>
      </c>
      <c r="AW148" s="13">
        <f t="shared" si="33"/>
        <v>1</v>
      </c>
      <c r="AY148" s="17">
        <f t="shared" si="24"/>
        <v>58</v>
      </c>
      <c r="AZ148" s="28">
        <f t="shared" si="34"/>
        <v>0</v>
      </c>
      <c r="BA148" s="13">
        <f t="shared" si="25"/>
        <v>0</v>
      </c>
      <c r="BB148" s="13">
        <f t="shared" si="26"/>
        <v>0</v>
      </c>
      <c r="BC148" s="28">
        <f t="shared" si="35"/>
        <v>0</v>
      </c>
      <c r="BD148" s="28">
        <f t="shared" si="36"/>
        <v>0</v>
      </c>
      <c r="BF148" s="248">
        <f t="shared" si="37"/>
        <v>891682.16881657415</v>
      </c>
      <c r="BG148" s="36">
        <f t="shared" si="54"/>
        <v>0</v>
      </c>
      <c r="BH148" s="36">
        <f t="shared" si="55"/>
        <v>840678.00088888872</v>
      </c>
      <c r="BI148" s="249">
        <f t="shared" si="56"/>
        <v>4.1816398110932074E-3</v>
      </c>
      <c r="BJ148" s="246">
        <f t="shared" si="57"/>
        <v>2.0857243058891584E-4</v>
      </c>
      <c r="BK148" s="246">
        <f t="shared" si="27"/>
        <v>7.531116566323881E-4</v>
      </c>
      <c r="BL148" s="246">
        <f t="shared" si="58"/>
        <v>0</v>
      </c>
      <c r="BM148" s="246">
        <f t="shared" si="59"/>
        <v>9.6168408722130394E-4</v>
      </c>
      <c r="BN148" s="36">
        <f t="shared" si="44"/>
        <v>810.15701410905444</v>
      </c>
      <c r="BO148" s="36">
        <f t="shared" si="60"/>
        <v>3515.4125968272278</v>
      </c>
      <c r="BP148" s="36">
        <f t="shared" si="61"/>
        <v>843383.2564716069</v>
      </c>
    </row>
    <row r="149" spans="1:68">
      <c r="A149" s="32">
        <f t="shared" si="47"/>
        <v>26</v>
      </c>
      <c r="B149" s="32">
        <f t="shared" si="28"/>
        <v>57</v>
      </c>
      <c r="C149" s="32">
        <f t="shared" si="48"/>
        <v>5</v>
      </c>
      <c r="D149" s="32">
        <f t="shared" si="49"/>
        <v>59</v>
      </c>
      <c r="E149" s="74">
        <f>MIN(IF(AV149=0,0,
IF(Investment_Strategy="DIS",VLOOKUP(Investment_Strategy&amp;"_"&amp;Investment_Strategy_Sub1&amp;"_"&amp;$A149,'Investment Strategies'!$AZ:$BP,12,FALSE),
IF(AND(Investment_Strategy="Lifecycle",Investment_Strategy_Sub1="Non-Standard"),VLOOKUP(Investment_Strategy&amp;"_"&amp;Investment_Strategy_Sub2&amp;"_"&amp;$A149,'Investment Strategies'!$C:$P,9,FALSE),
IF(AND(Investment_Strategy="Lifecycle",Investment_Strategy_Sub1="Standard"),VLOOKUP(Investment_Strategy&amp;"_"&amp;Investment_Strategy_Sub2&amp;"_"&amp;$A149,'Investment Strategies'!$AJ:$AV,8,FALSE),
IF(AND(Investment_Strategy="Autopilot",Investment_Strategy_Sub1="Non-Standard"),VLOOKUP(Investment_Strategy&amp;"_"&amp;Investment_Strategy_Sub2&amp;"_"&amp;$A149,'Investment Strategies'!$T:$AF,8,FALSE),
IF(Investment_Strategy ="DIY",DIY_RateOfReturn_CurrentFunds,
"Error")))))),Max_InvReturn)</f>
        <v>4.1816398110932074E-3</v>
      </c>
      <c r="F149" s="62">
        <f>IF(AV149=0,0,
IF(Investment_Strategy="DIS",VLOOKUP(Investment_Strategy&amp;"_"&amp;Investment_Strategy_Sub1&amp;"_"&amp;$A149,'Investment Strategies'!$AZ:$BP,15,FALSE),
IF(AND(Investment_Strategy="Lifecycle",Investment_Strategy_Sub1="Non-Standard"),VLOOKUP(Investment_Strategy&amp;"_"&amp;Investment_Strategy_Sub2&amp;"_"&amp;$A149,'Investment Strategies'!$C:$P,12,FALSE),
IF(AND(Investment_Strategy="Lifecycle",Investment_Strategy_Sub1="Standard"),VLOOKUP(Investment_Strategy&amp;"_"&amp;Investment_Strategy_Sub2&amp;"_"&amp;$A149,'Investment Strategies'!$AJ:$AV,11,FALSE),
IF(AND(Investment_Strategy="Autopilot",Investment_Strategy_Sub1="Non-Standard"),VLOOKUP(Investment_Strategy&amp;"_"&amp;Investment_Strategy_Sub2&amp;"_"&amp;$A149,'Investment Strategies'!$T:$AF,11,FALSE),
IF(Investment_Strategy="DIY",DIY_GteeChrge_CurrentFunds,
"Error"))))))</f>
        <v>5.4328711526985263E-4</v>
      </c>
      <c r="G149" s="33">
        <f>IF(AV149=0,0,
IF(Investment_Strategy="DIS",VLOOKUP(Investment_Strategy&amp;"_"&amp;Investment_Strategy_Sub1&amp;"_"&amp;$A149,'Investment Strategies'!$AZ:$BP,17,FALSE),
IF(AND(Investment_Strategy="Lifecycle",Investment_Strategy_Sub1="Non-Standard"),VLOOKUP(Investment_Strategy&amp;"_"&amp;Investment_Strategy_Sub2&amp;"_"&amp;$A149,'Investment Strategies'!$C:$P,14,FALSE),
IF(AND(Investment_Strategy="Lifecycle",Investment_Strategy_Sub1="Standard"),VLOOKUP(Investment_Strategy&amp;"_"&amp;Investment_Strategy_Sub2&amp;"_"&amp;$A149,'Investment Strategies'!$AJ:$AV,13,FALSE),
IF(AND(Investment_Strategy="Autopilot",Investment_Strategy_Sub1="Non-Standard"),VLOOKUP(Investment_Strategy&amp;"_"&amp;Investment_Strategy_Sub2&amp;"_"&amp;$A149,'Investment Strategies'!$T:$AF,13,FALSE),
IF(Investment_Strategy="DIY",DIY_ExtManChrge_CurrentFunds,
"Error"))))))</f>
        <v>2.0857243058891584E-4</v>
      </c>
      <c r="H149" s="16">
        <f t="shared" si="30"/>
        <v>0</v>
      </c>
      <c r="I149" s="16">
        <f t="shared" si="13"/>
        <v>0</v>
      </c>
      <c r="J149" s="16">
        <f t="shared" si="14"/>
        <v>0</v>
      </c>
      <c r="K149" s="16">
        <f>(Opening_Fund_Value+SUM(K$91:K148))*E149*IF(D149=$A$91,SRP_finalmonthfactor,1)</f>
        <v>0</v>
      </c>
      <c r="L149" s="74">
        <f>MIN(IF($AV149=0,0,
IF(Investment_Strategy="DIS",VLOOKUP(Investment_Strategy&amp;"_"&amp;Investment_Strategy_Sub1&amp;"_"&amp;$A149,'Investment Strategies'!$AZ:$BP,12,FALSE),
IF(AND(Investment_Strategy="Lifecycle",Investment_Strategy_Sub1="Non-Standard"),VLOOKUP(Investment_Strategy&amp;"_"&amp;Investment_Strategy_Sub2&amp;"_"&amp;$A149,'Investment Strategies'!$C:$P,9,FALSE),
IF(AND(Investment_Strategy="Lifecycle",Investment_Strategy_Sub1="Standard"),VLOOKUP(Investment_Strategy&amp;"_"&amp;Investment_Strategy_Sub2&amp;"_"&amp;$A149,'Investment Strategies'!$AJ:$AV,8,FALSE),
IF(AND(Investment_Strategy="Autopilot",Investment_Strategy_Sub1="Non-Standard"),VLOOKUP(Investment_Strategy&amp;"_"&amp;Investment_Strategy_Sub2&amp;"_"&amp;$A149,'Investment Strategies'!$T:$AF,8,FALSE),
IF(Investment_Strategy ="DIY",DIY_RateofReturn_SP,
"Error")))))),Max_InvReturn)</f>
        <v>4.1816398110932074E-3</v>
      </c>
      <c r="M149" s="62">
        <f>IF($AV149=0,0,
IF(Investment_Strategy="DIS",VLOOKUP(Investment_Strategy&amp;"_"&amp;Investment_Strategy_Sub1&amp;"_"&amp;$A149,'Investment Strategies'!$AZ:$BP,15,FALSE),
IF(AND(Investment_Strategy="Lifecycle",Investment_Strategy_Sub1="Non-Standard"),VLOOKUP(Investment_Strategy&amp;"_"&amp;Investment_Strategy_Sub2&amp;"_"&amp;$A149,'Investment Strategies'!$C:$P,12,FALSE),
IF(AND(Investment_Strategy="Lifecycle",Investment_Strategy_Sub1="Standard"),VLOOKUP(Investment_Strategy&amp;"_"&amp;Investment_Strategy_Sub2&amp;"_"&amp;$A149,'Investment Strategies'!$AJ:$AV,11,FALSE),
IF(AND(Investment_Strategy="Autopilot",Investment_Strategy_Sub1="Non-Standard"),VLOOKUP(Investment_Strategy&amp;"_"&amp;Investment_Strategy_Sub2&amp;"_"&amp;$A149,'Investment Strategies'!$T:$AF,11,FALSE),
IF(Investment_Strategy="DIY",DIY_GteeChrge_SP,
"Error"))))))</f>
        <v>0</v>
      </c>
      <c r="N149" s="33">
        <f>IF($AV149=0,0,
IF(Investment_Strategy="DIS",VLOOKUP(Investment_Strategy&amp;"_"&amp;Investment_Strategy_Sub1&amp;"_"&amp;$A149,'Investment Strategies'!$AZ:$BP,17,FALSE),
IF(AND(Investment_Strategy="Lifecycle",Investment_Strategy_Sub1="Non-Standard"),VLOOKUP(Investment_Strategy&amp;"_"&amp;Investment_Strategy_Sub2&amp;"_"&amp;$A149,'Investment Strategies'!$C:$P,14,FALSE),
IF(AND(Investment_Strategy="Lifecycle",Investment_Strategy_Sub1="Standard"),VLOOKUP(Investment_Strategy&amp;"_"&amp;Investment_Strategy_Sub2&amp;"_"&amp;$A149,'Investment Strategies'!$AJ:$AV,13,FALSE),
IF(AND(Investment_Strategy="Autopilot",Investment_Strategy_Sub1="Non-Standard"),VLOOKUP(Investment_Strategy&amp;"_"&amp;Investment_Strategy_Sub2&amp;"_"&amp;$A149,'Investment Strategies'!$T:$AF,13,FALSE),
IF(Investment_Strategy="DIY",DIY_ExtManChrge_SP,
"Error"))))))</f>
        <v>2.0857243058891584E-4</v>
      </c>
      <c r="O149" s="16">
        <f t="shared" si="50"/>
        <v>843383.2564716069</v>
      </c>
      <c r="Q149" s="16">
        <f t="shared" si="15"/>
        <v>3526.7250012711042</v>
      </c>
      <c r="R149" s="16">
        <f t="shared" si="16"/>
        <v>-812.76405483449219</v>
      </c>
      <c r="S149" s="16">
        <f>(SRP_SP+SUM(S$91:S148))*L149*IF(D149=$A$91,SRP_finalmonthfactor,1)</f>
        <v>3728.6936559653177</v>
      </c>
      <c r="T149" s="74">
        <f>MIN(IF($AV149=0,0,
IF(Investment_Strategy="DIS",VLOOKUP(Investment_Strategy&amp;"_"&amp;Investment_Strategy_Sub1&amp;"_"&amp;$A149,'Investment Strategies'!$AZ:$BP,12,FALSE),
IF(AND(Investment_Strategy="Lifecycle",Investment_Strategy_Sub1="Non-Standard"),VLOOKUP(Investment_Strategy&amp;"_"&amp;Investment_Strategy_Sub2&amp;"_"&amp;$A149,'Investment Strategies'!$C:$P,9,FALSE),
IF(AND(Investment_Strategy="Lifecycle",Investment_Strategy_Sub1="Standard"),VLOOKUP(Investment_Strategy&amp;"_"&amp;Investment_Strategy_Sub2&amp;"_"&amp;$A149,'Investment Strategies'!$AJ:$AV,8,FALSE),
IF(AND(Investment_Strategy="Autopilot",Investment_Strategy_Sub1="Non-Standard"),VLOOKUP(Investment_Strategy&amp;"_"&amp;Investment_Strategy_Sub2&amp;"_"&amp;$A149,'Investment Strategies'!$T:$AF,8,FALSE),
IF(Investment_Strategy ="DIY",DIY_RateOfReturn_FuturePremiums,
"Error")))))),Max_InvReturn)</f>
        <v>4.1816398110932074E-3</v>
      </c>
      <c r="U149" s="62">
        <f>IF($AV149=0,0,
IF(Investment_Strategy="DIS",VLOOKUP(Investment_Strategy&amp;"_"&amp;Investment_Strategy_Sub1&amp;"_"&amp;$A149,'Investment Strategies'!$AZ:$BP,15,FALSE),
IF(AND(Investment_Strategy="Lifecycle",Investment_Strategy_Sub1="Non-Standard"),VLOOKUP(Investment_Strategy&amp;"_"&amp;Investment_Strategy_Sub2&amp;"_"&amp;$A149,'Investment Strategies'!$C:$P,12,FALSE),
IF(AND(Investment_Strategy="Lifecycle",Investment_Strategy_Sub1="Standard"),VLOOKUP(Investment_Strategy&amp;"_"&amp;Investment_Strategy_Sub2&amp;"_"&amp;$A149,'Investment Strategies'!$AJ:$AV,11,FALSE),
IF(AND(Investment_Strategy="Autopilot",Investment_Strategy_Sub1="Non-Standard"),VLOOKUP(Investment_Strategy&amp;"_"&amp;Investment_Strategy_Sub2&amp;"_"&amp;$A149,'Investment Strategies'!$T:$AF,11,FALSE),
IF(Investment_Strategy="DIY",DIY_GteeChrge_FuturePremiums,
"Error"))))))</f>
        <v>0</v>
      </c>
      <c r="V149" s="33">
        <f>IF(AV149=0,0,
IF(Investment_Strategy="DIS",VLOOKUP(Investment_Strategy&amp;"_"&amp;Investment_Strategy_Sub1&amp;"_"&amp;$A149,'Investment Strategies'!$AZ:$BP,17,FALSE),
IF(AND(Investment_Strategy="Lifecycle",Investment_Strategy_Sub1="Non-Standard"),VLOOKUP(Investment_Strategy&amp;"_"&amp;Investment_Strategy_Sub2&amp;"_"&amp;$A149,'Investment Strategies'!$C:$P,14,FALSE),
IF(AND(Investment_Strategy="Lifecycle",Investment_Strategy_Sub1="Standard"),VLOOKUP(Investment_Strategy&amp;"_"&amp;Investment_Strategy_Sub2&amp;"_"&amp;$A149,'Investment Strategies'!$AJ:$AV,13,FALSE),
IF(AND(Investment_Strategy="Autopilot",Investment_Strategy_Sub1="Non-Standard"),VLOOKUP(Investment_Strategy&amp;"_"&amp;Investment_Strategy_Sub2&amp;"_"&amp;$A149,'Investment Strategies'!$T:$AF,13,FALSE),
IF(Investment_Strategy="DIY",DIY_ExtManChrge_FuturePremiums,
"Error"))))))</f>
        <v>1.2508601994698498E-4</v>
      </c>
      <c r="W149" s="16">
        <f t="shared" si="51"/>
        <v>0</v>
      </c>
      <c r="X149" s="16">
        <f t="shared" si="17"/>
        <v>0</v>
      </c>
      <c r="Y149" s="16">
        <f t="shared" si="18"/>
        <v>0</v>
      </c>
      <c r="Z149" s="31">
        <f t="shared" si="19"/>
        <v>0.02</v>
      </c>
      <c r="AA149" s="16">
        <f t="shared" si="20"/>
        <v>0</v>
      </c>
      <c r="AB149" s="28">
        <f t="shared" si="53"/>
        <v>891682.16881657415</v>
      </c>
      <c r="AC149" s="28">
        <f>(SUM($AC$91:AC148)+SUM($X$91:X148)+X149)*T149*IF(D149=$A$91,SRP_finalmonthfactor,1)</f>
        <v>0</v>
      </c>
      <c r="AD149" s="16">
        <f t="shared" si="21"/>
        <v>-176.27428452304494</v>
      </c>
      <c r="AE149" s="106"/>
      <c r="AF149" s="16">
        <f t="shared" si="52"/>
        <v>843383.2564716069</v>
      </c>
      <c r="AG149" s="16">
        <f t="shared" si="31"/>
        <v>3728.6936559653177</v>
      </c>
      <c r="AH149" s="16">
        <f t="shared" si="32"/>
        <v>-812.76405483449219</v>
      </c>
      <c r="AJ149" s="13">
        <f t="shared" si="66"/>
        <v>0</v>
      </c>
      <c r="AK149" s="13">
        <f t="shared" si="66"/>
        <v>0</v>
      </c>
      <c r="AL149" s="13">
        <f t="shared" si="66"/>
        <v>0</v>
      </c>
      <c r="AM149" s="13">
        <f t="shared" si="66"/>
        <v>0</v>
      </c>
      <c r="AN149" s="13">
        <f t="shared" si="66"/>
        <v>1</v>
      </c>
      <c r="AO149" s="13">
        <f t="shared" si="66"/>
        <v>1</v>
      </c>
      <c r="AP149" s="13">
        <f t="shared" si="66"/>
        <v>1</v>
      </c>
      <c r="AQ149" s="13">
        <f t="shared" si="66"/>
        <v>1</v>
      </c>
      <c r="AR149" s="13">
        <f t="shared" si="66"/>
        <v>1</v>
      </c>
      <c r="AS149" s="13">
        <f t="shared" si="66"/>
        <v>1</v>
      </c>
      <c r="AT149" s="13">
        <f t="shared" si="66"/>
        <v>1</v>
      </c>
      <c r="AU149" s="13">
        <f t="shared" si="66"/>
        <v>1</v>
      </c>
      <c r="AV149" s="13">
        <f t="shared" si="23"/>
        <v>1</v>
      </c>
      <c r="AW149" s="13">
        <f t="shared" si="33"/>
        <v>1</v>
      </c>
      <c r="AY149" s="17">
        <f t="shared" si="24"/>
        <v>59</v>
      </c>
      <c r="AZ149" s="28">
        <f t="shared" si="34"/>
        <v>0</v>
      </c>
      <c r="BA149" s="13">
        <f t="shared" si="25"/>
        <v>0</v>
      </c>
      <c r="BB149" s="13">
        <f t="shared" si="26"/>
        <v>0</v>
      </c>
      <c r="BC149" s="28">
        <f t="shared" si="35"/>
        <v>0</v>
      </c>
      <c r="BD149" s="28">
        <f t="shared" si="36"/>
        <v>0</v>
      </c>
      <c r="BF149" s="248">
        <f t="shared" si="37"/>
        <v>895410.86247253942</v>
      </c>
      <c r="BG149" s="36">
        <f t="shared" si="54"/>
        <v>0</v>
      </c>
      <c r="BH149" s="36">
        <f t="shared" si="55"/>
        <v>843383.2564716069</v>
      </c>
      <c r="BI149" s="249">
        <f t="shared" si="56"/>
        <v>4.1816398110932074E-3</v>
      </c>
      <c r="BJ149" s="246">
        <f t="shared" si="57"/>
        <v>2.0857243058891584E-4</v>
      </c>
      <c r="BK149" s="246">
        <f t="shared" si="27"/>
        <v>7.531116566323881E-4</v>
      </c>
      <c r="BL149" s="246">
        <f t="shared" si="58"/>
        <v>0</v>
      </c>
      <c r="BM149" s="246">
        <f t="shared" si="59"/>
        <v>9.6168408722130394E-4</v>
      </c>
      <c r="BN149" s="36">
        <f t="shared" si="44"/>
        <v>812.76405483449207</v>
      </c>
      <c r="BO149" s="36">
        <f t="shared" si="60"/>
        <v>3526.7250012711042</v>
      </c>
      <c r="BP149" s="36">
        <f t="shared" si="61"/>
        <v>846097.21741804352</v>
      </c>
    </row>
    <row r="150" spans="1:68">
      <c r="A150" s="32">
        <f t="shared" si="47"/>
        <v>25</v>
      </c>
      <c r="B150" s="32">
        <f t="shared" si="28"/>
        <v>57</v>
      </c>
      <c r="C150" s="32">
        <f t="shared" si="48"/>
        <v>5</v>
      </c>
      <c r="D150" s="32">
        <f t="shared" si="49"/>
        <v>60</v>
      </c>
      <c r="E150" s="74">
        <f>MIN(IF(AV150=0,0,
IF(Investment_Strategy="DIS",VLOOKUP(Investment_Strategy&amp;"_"&amp;Investment_Strategy_Sub1&amp;"_"&amp;$A150,'Investment Strategies'!$AZ:$BP,12,FALSE),
IF(AND(Investment_Strategy="Lifecycle",Investment_Strategy_Sub1="Non-Standard"),VLOOKUP(Investment_Strategy&amp;"_"&amp;Investment_Strategy_Sub2&amp;"_"&amp;$A150,'Investment Strategies'!$C:$P,9,FALSE),
IF(AND(Investment_Strategy="Lifecycle",Investment_Strategy_Sub1="Standard"),VLOOKUP(Investment_Strategy&amp;"_"&amp;Investment_Strategy_Sub2&amp;"_"&amp;$A150,'Investment Strategies'!$AJ:$AV,8,FALSE),
IF(AND(Investment_Strategy="Autopilot",Investment_Strategy_Sub1="Non-Standard"),VLOOKUP(Investment_Strategy&amp;"_"&amp;Investment_Strategy_Sub2&amp;"_"&amp;$A150,'Investment Strategies'!$T:$AF,8,FALSE),
IF(Investment_Strategy ="DIY",DIY_RateOfReturn_CurrentFunds,
"Error")))))),Max_InvReturn)</f>
        <v>4.1816398110932074E-3</v>
      </c>
      <c r="F150" s="62">
        <f>IF(AV150=0,0,
IF(Investment_Strategy="DIS",VLOOKUP(Investment_Strategy&amp;"_"&amp;Investment_Strategy_Sub1&amp;"_"&amp;$A150,'Investment Strategies'!$AZ:$BP,15,FALSE),
IF(AND(Investment_Strategy="Lifecycle",Investment_Strategy_Sub1="Non-Standard"),VLOOKUP(Investment_Strategy&amp;"_"&amp;Investment_Strategy_Sub2&amp;"_"&amp;$A150,'Investment Strategies'!$C:$P,12,FALSE),
IF(AND(Investment_Strategy="Lifecycle",Investment_Strategy_Sub1="Standard"),VLOOKUP(Investment_Strategy&amp;"_"&amp;Investment_Strategy_Sub2&amp;"_"&amp;$A150,'Investment Strategies'!$AJ:$AV,11,FALSE),
IF(AND(Investment_Strategy="Autopilot",Investment_Strategy_Sub1="Non-Standard"),VLOOKUP(Investment_Strategy&amp;"_"&amp;Investment_Strategy_Sub2&amp;"_"&amp;$A150,'Investment Strategies'!$T:$AF,11,FALSE),
IF(Investment_Strategy="DIY",DIY_GteeChrge_CurrentFunds,
"Error"))))))</f>
        <v>5.4328711526985263E-4</v>
      </c>
      <c r="G150" s="33">
        <f>IF(AV150=0,0,
IF(Investment_Strategy="DIS",VLOOKUP(Investment_Strategy&amp;"_"&amp;Investment_Strategy_Sub1&amp;"_"&amp;$A150,'Investment Strategies'!$AZ:$BP,17,FALSE),
IF(AND(Investment_Strategy="Lifecycle",Investment_Strategy_Sub1="Non-Standard"),VLOOKUP(Investment_Strategy&amp;"_"&amp;Investment_Strategy_Sub2&amp;"_"&amp;$A150,'Investment Strategies'!$C:$P,14,FALSE),
IF(AND(Investment_Strategy="Lifecycle",Investment_Strategy_Sub1="Standard"),VLOOKUP(Investment_Strategy&amp;"_"&amp;Investment_Strategy_Sub2&amp;"_"&amp;$A150,'Investment Strategies'!$AJ:$AV,13,FALSE),
IF(AND(Investment_Strategy="Autopilot",Investment_Strategy_Sub1="Non-Standard"),VLOOKUP(Investment_Strategy&amp;"_"&amp;Investment_Strategy_Sub2&amp;"_"&amp;$A150,'Investment Strategies'!$T:$AF,13,FALSE),
IF(Investment_Strategy="DIY",DIY_ExtManChrge_CurrentFunds,
"Error"))))))</f>
        <v>2.0857243058891584E-4</v>
      </c>
      <c r="H150" s="16">
        <f t="shared" si="30"/>
        <v>0</v>
      </c>
      <c r="I150" s="16">
        <f t="shared" si="13"/>
        <v>0</v>
      </c>
      <c r="J150" s="16">
        <f t="shared" si="14"/>
        <v>0</v>
      </c>
      <c r="K150" s="16">
        <f>(Opening_Fund_Value+SUM(K$91:K149))*E150*IF(D150=$A$91,SRP_finalmonthfactor,1)</f>
        <v>0</v>
      </c>
      <c r="L150" s="74">
        <f>MIN(IF($AV150=0,0,
IF(Investment_Strategy="DIS",VLOOKUP(Investment_Strategy&amp;"_"&amp;Investment_Strategy_Sub1&amp;"_"&amp;$A150,'Investment Strategies'!$AZ:$BP,12,FALSE),
IF(AND(Investment_Strategy="Lifecycle",Investment_Strategy_Sub1="Non-Standard"),VLOOKUP(Investment_Strategy&amp;"_"&amp;Investment_Strategy_Sub2&amp;"_"&amp;$A150,'Investment Strategies'!$C:$P,9,FALSE),
IF(AND(Investment_Strategy="Lifecycle",Investment_Strategy_Sub1="Standard"),VLOOKUP(Investment_Strategy&amp;"_"&amp;Investment_Strategy_Sub2&amp;"_"&amp;$A150,'Investment Strategies'!$AJ:$AV,8,FALSE),
IF(AND(Investment_Strategy="Autopilot",Investment_Strategy_Sub1="Non-Standard"),VLOOKUP(Investment_Strategy&amp;"_"&amp;Investment_Strategy_Sub2&amp;"_"&amp;$A150,'Investment Strategies'!$T:$AF,8,FALSE),
IF(Investment_Strategy ="DIY",DIY_RateofReturn_SP,
"Error")))))),Max_InvReturn)</f>
        <v>4.1816398110932074E-3</v>
      </c>
      <c r="M150" s="62">
        <f>IF($AV150=0,0,
IF(Investment_Strategy="DIS",VLOOKUP(Investment_Strategy&amp;"_"&amp;Investment_Strategy_Sub1&amp;"_"&amp;$A150,'Investment Strategies'!$AZ:$BP,15,FALSE),
IF(AND(Investment_Strategy="Lifecycle",Investment_Strategy_Sub1="Non-Standard"),VLOOKUP(Investment_Strategy&amp;"_"&amp;Investment_Strategy_Sub2&amp;"_"&amp;$A150,'Investment Strategies'!$C:$P,12,FALSE),
IF(AND(Investment_Strategy="Lifecycle",Investment_Strategy_Sub1="Standard"),VLOOKUP(Investment_Strategy&amp;"_"&amp;Investment_Strategy_Sub2&amp;"_"&amp;$A150,'Investment Strategies'!$AJ:$AV,11,FALSE),
IF(AND(Investment_Strategy="Autopilot",Investment_Strategy_Sub1="Non-Standard"),VLOOKUP(Investment_Strategy&amp;"_"&amp;Investment_Strategy_Sub2&amp;"_"&amp;$A150,'Investment Strategies'!$T:$AF,11,FALSE),
IF(Investment_Strategy="DIY",DIY_GteeChrge_SP,
"Error"))))))</f>
        <v>0</v>
      </c>
      <c r="N150" s="33">
        <f>IF($AV150=0,0,
IF(Investment_Strategy="DIS",VLOOKUP(Investment_Strategy&amp;"_"&amp;Investment_Strategy_Sub1&amp;"_"&amp;$A150,'Investment Strategies'!$AZ:$BP,17,FALSE),
IF(AND(Investment_Strategy="Lifecycle",Investment_Strategy_Sub1="Non-Standard"),VLOOKUP(Investment_Strategy&amp;"_"&amp;Investment_Strategy_Sub2&amp;"_"&amp;$A150,'Investment Strategies'!$C:$P,14,FALSE),
IF(AND(Investment_Strategy="Lifecycle",Investment_Strategy_Sub1="Standard"),VLOOKUP(Investment_Strategy&amp;"_"&amp;Investment_Strategy_Sub2&amp;"_"&amp;$A150,'Investment Strategies'!$AJ:$AV,13,FALSE),
IF(AND(Investment_Strategy="Autopilot",Investment_Strategy_Sub1="Non-Standard"),VLOOKUP(Investment_Strategy&amp;"_"&amp;Investment_Strategy_Sub2&amp;"_"&amp;$A150,'Investment Strategies'!$T:$AF,13,FALSE),
IF(Investment_Strategy="DIY",DIY_ExtManChrge_SP,
"Error"))))))</f>
        <v>2.0857243058891584E-4</v>
      </c>
      <c r="O150" s="16">
        <f t="shared" si="50"/>
        <v>846097.21741804352</v>
      </c>
      <c r="Q150" s="16">
        <f t="shared" si="15"/>
        <v>3538.073808410476</v>
      </c>
      <c r="R150" s="16">
        <f t="shared" si="16"/>
        <v>-815.37948487363769</v>
      </c>
      <c r="S150" s="16">
        <f>(SRP_SP+SUM(S$91:S149))*L150*IF(D150=$A$91,SRP_finalmonthfactor,1)</f>
        <v>3744.2857098004733</v>
      </c>
      <c r="T150" s="74">
        <f>MIN(IF($AV150=0,0,
IF(Investment_Strategy="DIS",VLOOKUP(Investment_Strategy&amp;"_"&amp;Investment_Strategy_Sub1&amp;"_"&amp;$A150,'Investment Strategies'!$AZ:$BP,12,FALSE),
IF(AND(Investment_Strategy="Lifecycle",Investment_Strategy_Sub1="Non-Standard"),VLOOKUP(Investment_Strategy&amp;"_"&amp;Investment_Strategy_Sub2&amp;"_"&amp;$A150,'Investment Strategies'!$C:$P,9,FALSE),
IF(AND(Investment_Strategy="Lifecycle",Investment_Strategy_Sub1="Standard"),VLOOKUP(Investment_Strategy&amp;"_"&amp;Investment_Strategy_Sub2&amp;"_"&amp;$A150,'Investment Strategies'!$AJ:$AV,8,FALSE),
IF(AND(Investment_Strategy="Autopilot",Investment_Strategy_Sub1="Non-Standard"),VLOOKUP(Investment_Strategy&amp;"_"&amp;Investment_Strategy_Sub2&amp;"_"&amp;$A150,'Investment Strategies'!$T:$AF,8,FALSE),
IF(Investment_Strategy ="DIY",DIY_RateOfReturn_FuturePremiums,
"Error")))))),Max_InvReturn)</f>
        <v>4.1816398110932074E-3</v>
      </c>
      <c r="U150" s="62">
        <f>IF($AV150=0,0,
IF(Investment_Strategy="DIS",VLOOKUP(Investment_Strategy&amp;"_"&amp;Investment_Strategy_Sub1&amp;"_"&amp;$A150,'Investment Strategies'!$AZ:$BP,15,FALSE),
IF(AND(Investment_Strategy="Lifecycle",Investment_Strategy_Sub1="Non-Standard"),VLOOKUP(Investment_Strategy&amp;"_"&amp;Investment_Strategy_Sub2&amp;"_"&amp;$A150,'Investment Strategies'!$C:$P,12,FALSE),
IF(AND(Investment_Strategy="Lifecycle",Investment_Strategy_Sub1="Standard"),VLOOKUP(Investment_Strategy&amp;"_"&amp;Investment_Strategy_Sub2&amp;"_"&amp;$A150,'Investment Strategies'!$AJ:$AV,11,FALSE),
IF(AND(Investment_Strategy="Autopilot",Investment_Strategy_Sub1="Non-Standard"),VLOOKUP(Investment_Strategy&amp;"_"&amp;Investment_Strategy_Sub2&amp;"_"&amp;$A150,'Investment Strategies'!$T:$AF,11,FALSE),
IF(Investment_Strategy="DIY",DIY_GteeChrge_FuturePremiums,
"Error"))))))</f>
        <v>0</v>
      </c>
      <c r="V150" s="33">
        <f>IF(AV150=0,0,
IF(Investment_Strategy="DIS",VLOOKUP(Investment_Strategy&amp;"_"&amp;Investment_Strategy_Sub1&amp;"_"&amp;$A150,'Investment Strategies'!$AZ:$BP,17,FALSE),
IF(AND(Investment_Strategy="Lifecycle",Investment_Strategy_Sub1="Non-Standard"),VLOOKUP(Investment_Strategy&amp;"_"&amp;Investment_Strategy_Sub2&amp;"_"&amp;$A150,'Investment Strategies'!$C:$P,14,FALSE),
IF(AND(Investment_Strategy="Lifecycle",Investment_Strategy_Sub1="Standard"),VLOOKUP(Investment_Strategy&amp;"_"&amp;Investment_Strategy_Sub2&amp;"_"&amp;$A150,'Investment Strategies'!$AJ:$AV,13,FALSE),
IF(AND(Investment_Strategy="Autopilot",Investment_Strategy_Sub1="Non-Standard"),VLOOKUP(Investment_Strategy&amp;"_"&amp;Investment_Strategy_Sub2&amp;"_"&amp;$A150,'Investment Strategies'!$T:$AF,13,FALSE),
IF(Investment_Strategy="DIY",DIY_ExtManChrge_FuturePremiums,
"Error"))))))</f>
        <v>1.2508601994698498E-4</v>
      </c>
      <c r="W150" s="16">
        <f t="shared" si="51"/>
        <v>0</v>
      </c>
      <c r="X150" s="16">
        <f t="shared" si="17"/>
        <v>0</v>
      </c>
      <c r="Y150" s="16">
        <f t="shared" si="18"/>
        <v>0</v>
      </c>
      <c r="Z150" s="31">
        <f t="shared" si="19"/>
        <v>0.02</v>
      </c>
      <c r="AA150" s="16">
        <f t="shared" si="20"/>
        <v>0</v>
      </c>
      <c r="AB150" s="28">
        <f t="shared" si="53"/>
        <v>895410.86247253942</v>
      </c>
      <c r="AC150" s="28">
        <f>(SUM($AC$91:AC149)+SUM($X$91:X149)+X150)*T150*IF(D150=$A$91,SRP_finalmonthfactor,1)</f>
        <v>0</v>
      </c>
      <c r="AD150" s="16">
        <f t="shared" si="21"/>
        <v>-176.8415254783113</v>
      </c>
      <c r="AE150" s="106"/>
      <c r="AF150" s="16">
        <f t="shared" si="52"/>
        <v>846097.21741804352</v>
      </c>
      <c r="AG150" s="16">
        <f t="shared" si="31"/>
        <v>3744.2857098004733</v>
      </c>
      <c r="AH150" s="16">
        <f t="shared" si="32"/>
        <v>-815.37948487363769</v>
      </c>
      <c r="AJ150" s="13">
        <f t="shared" si="66"/>
        <v>0</v>
      </c>
      <c r="AK150" s="13">
        <f t="shared" si="66"/>
        <v>0</v>
      </c>
      <c r="AL150" s="13">
        <f t="shared" si="66"/>
        <v>0</v>
      </c>
      <c r="AM150" s="13">
        <f t="shared" si="66"/>
        <v>0</v>
      </c>
      <c r="AN150" s="13">
        <f t="shared" si="66"/>
        <v>1</v>
      </c>
      <c r="AO150" s="13">
        <f t="shared" si="66"/>
        <v>1</v>
      </c>
      <c r="AP150" s="13">
        <f t="shared" si="66"/>
        <v>1</v>
      </c>
      <c r="AQ150" s="13">
        <f t="shared" si="66"/>
        <v>1</v>
      </c>
      <c r="AR150" s="13">
        <f t="shared" si="66"/>
        <v>1</v>
      </c>
      <c r="AS150" s="13">
        <f t="shared" si="66"/>
        <v>1</v>
      </c>
      <c r="AT150" s="13">
        <f t="shared" si="66"/>
        <v>1</v>
      </c>
      <c r="AU150" s="13">
        <f t="shared" si="66"/>
        <v>1</v>
      </c>
      <c r="AV150" s="13">
        <f t="shared" si="23"/>
        <v>1</v>
      </c>
      <c r="AW150" s="13">
        <f t="shared" si="33"/>
        <v>1</v>
      </c>
      <c r="AY150" s="17">
        <f t="shared" si="24"/>
        <v>60</v>
      </c>
      <c r="AZ150" s="28">
        <f t="shared" si="34"/>
        <v>0</v>
      </c>
      <c r="BA150" s="13">
        <f t="shared" si="25"/>
        <v>0</v>
      </c>
      <c r="BB150" s="13">
        <f t="shared" si="26"/>
        <v>0</v>
      </c>
      <c r="BC150" s="28">
        <f t="shared" si="35"/>
        <v>0</v>
      </c>
      <c r="BD150" s="28">
        <f t="shared" si="36"/>
        <v>0</v>
      </c>
      <c r="BF150" s="248">
        <f t="shared" si="37"/>
        <v>899155.14818233985</v>
      </c>
      <c r="BG150" s="36">
        <f t="shared" si="54"/>
        <v>0</v>
      </c>
      <c r="BH150" s="36">
        <f t="shared" si="55"/>
        <v>846097.21741804352</v>
      </c>
      <c r="BI150" s="249">
        <f t="shared" si="56"/>
        <v>4.1816398110932074E-3</v>
      </c>
      <c r="BJ150" s="246">
        <f t="shared" si="57"/>
        <v>2.0857243058891584E-4</v>
      </c>
      <c r="BK150" s="246">
        <f t="shared" si="27"/>
        <v>7.531116566323881E-4</v>
      </c>
      <c r="BL150" s="246">
        <f t="shared" si="58"/>
        <v>0</v>
      </c>
      <c r="BM150" s="246">
        <f t="shared" si="59"/>
        <v>9.6168408722130394E-4</v>
      </c>
      <c r="BN150" s="36">
        <f t="shared" si="44"/>
        <v>815.37948487363758</v>
      </c>
      <c r="BO150" s="36">
        <f t="shared" si="60"/>
        <v>3538.073808410476</v>
      </c>
      <c r="BP150" s="36">
        <f t="shared" si="61"/>
        <v>848819.91174158035</v>
      </c>
    </row>
    <row r="151" spans="1:68">
      <c r="A151" s="32">
        <f t="shared" si="47"/>
        <v>24</v>
      </c>
      <c r="B151" s="32">
        <f t="shared" si="28"/>
        <v>58</v>
      </c>
      <c r="C151" s="32">
        <f t="shared" si="48"/>
        <v>6</v>
      </c>
      <c r="D151" s="32">
        <f t="shared" si="49"/>
        <v>61</v>
      </c>
      <c r="E151" s="74">
        <f>MIN(IF(AV151=0,0,
IF(Investment_Strategy="DIS",VLOOKUP(Investment_Strategy&amp;"_"&amp;Investment_Strategy_Sub1&amp;"_"&amp;$A151,'Investment Strategies'!$AZ:$BP,12,FALSE),
IF(AND(Investment_Strategy="Lifecycle",Investment_Strategy_Sub1="Non-Standard"),VLOOKUP(Investment_Strategy&amp;"_"&amp;Investment_Strategy_Sub2&amp;"_"&amp;$A151,'Investment Strategies'!$C:$P,9,FALSE),
IF(AND(Investment_Strategy="Lifecycle",Investment_Strategy_Sub1="Standard"),VLOOKUP(Investment_Strategy&amp;"_"&amp;Investment_Strategy_Sub2&amp;"_"&amp;$A151,'Investment Strategies'!$AJ:$AV,8,FALSE),
IF(AND(Investment_Strategy="Autopilot",Investment_Strategy_Sub1="Non-Standard"),VLOOKUP(Investment_Strategy&amp;"_"&amp;Investment_Strategy_Sub2&amp;"_"&amp;$A151,'Investment Strategies'!$T:$AF,8,FALSE),
IF(Investment_Strategy ="DIY",DIY_RateOfReturn_CurrentFunds,
"Error")))))),Max_InvReturn)</f>
        <v>4.1816398110932074E-3</v>
      </c>
      <c r="F151" s="62">
        <f>IF(AV151=0,0,
IF(Investment_Strategy="DIS",VLOOKUP(Investment_Strategy&amp;"_"&amp;Investment_Strategy_Sub1&amp;"_"&amp;$A151,'Investment Strategies'!$AZ:$BP,15,FALSE),
IF(AND(Investment_Strategy="Lifecycle",Investment_Strategy_Sub1="Non-Standard"),VLOOKUP(Investment_Strategy&amp;"_"&amp;Investment_Strategy_Sub2&amp;"_"&amp;$A151,'Investment Strategies'!$C:$P,12,FALSE),
IF(AND(Investment_Strategy="Lifecycle",Investment_Strategy_Sub1="Standard"),VLOOKUP(Investment_Strategy&amp;"_"&amp;Investment_Strategy_Sub2&amp;"_"&amp;$A151,'Investment Strategies'!$AJ:$AV,11,FALSE),
IF(AND(Investment_Strategy="Autopilot",Investment_Strategy_Sub1="Non-Standard"),VLOOKUP(Investment_Strategy&amp;"_"&amp;Investment_Strategy_Sub2&amp;"_"&amp;$A151,'Investment Strategies'!$T:$AF,11,FALSE),
IF(Investment_Strategy="DIY",DIY_GteeChrge_CurrentFunds,
"Error"))))))</f>
        <v>5.4328711526985263E-4</v>
      </c>
      <c r="G151" s="33">
        <f>IF(AV151=0,0,
IF(Investment_Strategy="DIS",VLOOKUP(Investment_Strategy&amp;"_"&amp;Investment_Strategy_Sub1&amp;"_"&amp;$A151,'Investment Strategies'!$AZ:$BP,17,FALSE),
IF(AND(Investment_Strategy="Lifecycle",Investment_Strategy_Sub1="Non-Standard"),VLOOKUP(Investment_Strategy&amp;"_"&amp;Investment_Strategy_Sub2&amp;"_"&amp;$A151,'Investment Strategies'!$C:$P,14,FALSE),
IF(AND(Investment_Strategy="Lifecycle",Investment_Strategy_Sub1="Standard"),VLOOKUP(Investment_Strategy&amp;"_"&amp;Investment_Strategy_Sub2&amp;"_"&amp;$A151,'Investment Strategies'!$AJ:$AV,13,FALSE),
IF(AND(Investment_Strategy="Autopilot",Investment_Strategy_Sub1="Non-Standard"),VLOOKUP(Investment_Strategy&amp;"_"&amp;Investment_Strategy_Sub2&amp;"_"&amp;$A151,'Investment Strategies'!$T:$AF,13,FALSE),
IF(Investment_Strategy="DIY",DIY_ExtManChrge_CurrentFunds,
"Error"))))))</f>
        <v>2.0857243058891584E-4</v>
      </c>
      <c r="H151" s="16">
        <f t="shared" si="30"/>
        <v>0</v>
      </c>
      <c r="I151" s="16">
        <f t="shared" si="13"/>
        <v>0</v>
      </c>
      <c r="J151" s="16">
        <f t="shared" si="14"/>
        <v>0</v>
      </c>
      <c r="K151" s="16">
        <f>(Opening_Fund_Value+SUM(K$91:K150))*E151*IF(D151=$A$91,SRP_finalmonthfactor,1)</f>
        <v>0</v>
      </c>
      <c r="L151" s="74">
        <f>MIN(IF($AV151=0,0,
IF(Investment_Strategy="DIS",VLOOKUP(Investment_Strategy&amp;"_"&amp;Investment_Strategy_Sub1&amp;"_"&amp;$A151,'Investment Strategies'!$AZ:$BP,12,FALSE),
IF(AND(Investment_Strategy="Lifecycle",Investment_Strategy_Sub1="Non-Standard"),VLOOKUP(Investment_Strategy&amp;"_"&amp;Investment_Strategy_Sub2&amp;"_"&amp;$A151,'Investment Strategies'!$C:$P,9,FALSE),
IF(AND(Investment_Strategy="Lifecycle",Investment_Strategy_Sub1="Standard"),VLOOKUP(Investment_Strategy&amp;"_"&amp;Investment_Strategy_Sub2&amp;"_"&amp;$A151,'Investment Strategies'!$AJ:$AV,8,FALSE),
IF(AND(Investment_Strategy="Autopilot",Investment_Strategy_Sub1="Non-Standard"),VLOOKUP(Investment_Strategy&amp;"_"&amp;Investment_Strategy_Sub2&amp;"_"&amp;$A151,'Investment Strategies'!$T:$AF,8,FALSE),
IF(Investment_Strategy ="DIY",DIY_RateofReturn_SP,
"Error")))))),Max_InvReturn)</f>
        <v>4.1816398110932074E-3</v>
      </c>
      <c r="M151" s="62">
        <f>IF($AV151=0,0,
IF(Investment_Strategy="DIS",VLOOKUP(Investment_Strategy&amp;"_"&amp;Investment_Strategy_Sub1&amp;"_"&amp;$A151,'Investment Strategies'!$AZ:$BP,15,FALSE),
IF(AND(Investment_Strategy="Lifecycle",Investment_Strategy_Sub1="Non-Standard"),VLOOKUP(Investment_Strategy&amp;"_"&amp;Investment_Strategy_Sub2&amp;"_"&amp;$A151,'Investment Strategies'!$C:$P,12,FALSE),
IF(AND(Investment_Strategy="Lifecycle",Investment_Strategy_Sub1="Standard"),VLOOKUP(Investment_Strategy&amp;"_"&amp;Investment_Strategy_Sub2&amp;"_"&amp;$A151,'Investment Strategies'!$AJ:$AV,11,FALSE),
IF(AND(Investment_Strategy="Autopilot",Investment_Strategy_Sub1="Non-Standard"),VLOOKUP(Investment_Strategy&amp;"_"&amp;Investment_Strategy_Sub2&amp;"_"&amp;$A151,'Investment Strategies'!$T:$AF,11,FALSE),
IF(Investment_Strategy="DIY",DIY_GteeChrge_SP,
"Error"))))))</f>
        <v>0</v>
      </c>
      <c r="N151" s="33">
        <f>IF($AV151=0,0,
IF(Investment_Strategy="DIS",VLOOKUP(Investment_Strategy&amp;"_"&amp;Investment_Strategy_Sub1&amp;"_"&amp;$A151,'Investment Strategies'!$AZ:$BP,17,FALSE),
IF(AND(Investment_Strategy="Lifecycle",Investment_Strategy_Sub1="Non-Standard"),VLOOKUP(Investment_Strategy&amp;"_"&amp;Investment_Strategy_Sub2&amp;"_"&amp;$A151,'Investment Strategies'!$C:$P,14,FALSE),
IF(AND(Investment_Strategy="Lifecycle",Investment_Strategy_Sub1="Standard"),VLOOKUP(Investment_Strategy&amp;"_"&amp;Investment_Strategy_Sub2&amp;"_"&amp;$A151,'Investment Strategies'!$AJ:$AV,13,FALSE),
IF(AND(Investment_Strategy="Autopilot",Investment_Strategy_Sub1="Non-Standard"),VLOOKUP(Investment_Strategy&amp;"_"&amp;Investment_Strategy_Sub2&amp;"_"&amp;$A151,'Investment Strategies'!$T:$AF,13,FALSE),
IF(Investment_Strategy="DIY",DIY_ExtManChrge_SP,
"Error"))))))</f>
        <v>2.0857243058891584E-4</v>
      </c>
      <c r="O151" s="16">
        <f t="shared" si="50"/>
        <v>848819.91174158035</v>
      </c>
      <c r="Q151" s="16">
        <f t="shared" si="15"/>
        <v>3549.4591353872152</v>
      </c>
      <c r="R151" s="16">
        <f t="shared" si="16"/>
        <v>-818.00333122284155</v>
      </c>
      <c r="S151" s="16">
        <f>(SRP_SP+SUM(S$91:S150))*L151*IF(D151=$A$91,SRP_finalmonthfactor,1)</f>
        <v>3759.9429639886821</v>
      </c>
      <c r="T151" s="74">
        <f>MIN(IF($AV151=0,0,
IF(Investment_Strategy="DIS",VLOOKUP(Investment_Strategy&amp;"_"&amp;Investment_Strategy_Sub1&amp;"_"&amp;$A151,'Investment Strategies'!$AZ:$BP,12,FALSE),
IF(AND(Investment_Strategy="Lifecycle",Investment_Strategy_Sub1="Non-Standard"),VLOOKUP(Investment_Strategy&amp;"_"&amp;Investment_Strategy_Sub2&amp;"_"&amp;$A151,'Investment Strategies'!$C:$P,9,FALSE),
IF(AND(Investment_Strategy="Lifecycle",Investment_Strategy_Sub1="Standard"),VLOOKUP(Investment_Strategy&amp;"_"&amp;Investment_Strategy_Sub2&amp;"_"&amp;$A151,'Investment Strategies'!$AJ:$AV,8,FALSE),
IF(AND(Investment_Strategy="Autopilot",Investment_Strategy_Sub1="Non-Standard"),VLOOKUP(Investment_Strategy&amp;"_"&amp;Investment_Strategy_Sub2&amp;"_"&amp;$A151,'Investment Strategies'!$T:$AF,8,FALSE),
IF(Investment_Strategy ="DIY",DIY_RateOfReturn_FuturePremiums,
"Error")))))),Max_InvReturn)</f>
        <v>4.1816398110932074E-3</v>
      </c>
      <c r="U151" s="62">
        <f>IF($AV151=0,0,
IF(Investment_Strategy="DIS",VLOOKUP(Investment_Strategy&amp;"_"&amp;Investment_Strategy_Sub1&amp;"_"&amp;$A151,'Investment Strategies'!$AZ:$BP,15,FALSE),
IF(AND(Investment_Strategy="Lifecycle",Investment_Strategy_Sub1="Non-Standard"),VLOOKUP(Investment_Strategy&amp;"_"&amp;Investment_Strategy_Sub2&amp;"_"&amp;$A151,'Investment Strategies'!$C:$P,12,FALSE),
IF(AND(Investment_Strategy="Lifecycle",Investment_Strategy_Sub1="Standard"),VLOOKUP(Investment_Strategy&amp;"_"&amp;Investment_Strategy_Sub2&amp;"_"&amp;$A151,'Investment Strategies'!$AJ:$AV,11,FALSE),
IF(AND(Investment_Strategy="Autopilot",Investment_Strategy_Sub1="Non-Standard"),VLOOKUP(Investment_Strategy&amp;"_"&amp;Investment_Strategy_Sub2&amp;"_"&amp;$A151,'Investment Strategies'!$T:$AF,11,FALSE),
IF(Investment_Strategy="DIY",DIY_GteeChrge_FuturePremiums,
"Error"))))))</f>
        <v>0</v>
      </c>
      <c r="V151" s="33">
        <f>IF(AV151=0,0,
IF(Investment_Strategy="DIS",VLOOKUP(Investment_Strategy&amp;"_"&amp;Investment_Strategy_Sub1&amp;"_"&amp;$A151,'Investment Strategies'!$AZ:$BP,17,FALSE),
IF(AND(Investment_Strategy="Lifecycle",Investment_Strategy_Sub1="Non-Standard"),VLOOKUP(Investment_Strategy&amp;"_"&amp;Investment_Strategy_Sub2&amp;"_"&amp;$A151,'Investment Strategies'!$C:$P,14,FALSE),
IF(AND(Investment_Strategy="Lifecycle",Investment_Strategy_Sub1="Standard"),VLOOKUP(Investment_Strategy&amp;"_"&amp;Investment_Strategy_Sub2&amp;"_"&amp;$A151,'Investment Strategies'!$AJ:$AV,13,FALSE),
IF(AND(Investment_Strategy="Autopilot",Investment_Strategy_Sub1="Non-Standard"),VLOOKUP(Investment_Strategy&amp;"_"&amp;Investment_Strategy_Sub2&amp;"_"&amp;$A151,'Investment Strategies'!$T:$AF,13,FALSE),
IF(Investment_Strategy="DIY",DIY_ExtManChrge_FuturePremiums,
"Error"))))))</f>
        <v>1.2508601994698498E-4</v>
      </c>
      <c r="W151" s="16">
        <f t="shared" si="51"/>
        <v>0</v>
      </c>
      <c r="X151" s="16">
        <f t="shared" si="17"/>
        <v>0</v>
      </c>
      <c r="Y151" s="16">
        <f t="shared" si="18"/>
        <v>0</v>
      </c>
      <c r="Z151" s="31">
        <f t="shared" si="19"/>
        <v>0.02</v>
      </c>
      <c r="AA151" s="16">
        <f t="shared" si="20"/>
        <v>0</v>
      </c>
      <c r="AB151" s="28">
        <f t="shared" si="53"/>
        <v>899155.14818233985</v>
      </c>
      <c r="AC151" s="28">
        <f>(SUM($AC$91:AC150)+SUM($X$91:X150)+X151)*T151*IF(D151=$A$91,SRP_finalmonthfactor,1)</f>
        <v>0</v>
      </c>
      <c r="AD151" s="16">
        <f t="shared" si="21"/>
        <v>-177.41059178378231</v>
      </c>
      <c r="AE151" s="106"/>
      <c r="AF151" s="16">
        <f t="shared" si="52"/>
        <v>848819.91174158035</v>
      </c>
      <c r="AG151" s="16">
        <f t="shared" si="31"/>
        <v>3759.9429639886821</v>
      </c>
      <c r="AH151" s="16">
        <f t="shared" si="32"/>
        <v>-818.00333122284155</v>
      </c>
      <c r="AJ151" s="13">
        <f t="shared" ref="AJ151:AU160" si="67">IF($C151&lt;=AJ$90,1,0)</f>
        <v>0</v>
      </c>
      <c r="AK151" s="13">
        <f t="shared" si="67"/>
        <v>0</v>
      </c>
      <c r="AL151" s="13">
        <f t="shared" si="67"/>
        <v>0</v>
      </c>
      <c r="AM151" s="13">
        <f t="shared" si="67"/>
        <v>0</v>
      </c>
      <c r="AN151" s="13">
        <f t="shared" si="67"/>
        <v>0</v>
      </c>
      <c r="AO151" s="13">
        <f t="shared" si="67"/>
        <v>1</v>
      </c>
      <c r="AP151" s="13">
        <f t="shared" si="67"/>
        <v>1</v>
      </c>
      <c r="AQ151" s="13">
        <f t="shared" si="67"/>
        <v>1</v>
      </c>
      <c r="AR151" s="13">
        <f t="shared" si="67"/>
        <v>1</v>
      </c>
      <c r="AS151" s="13">
        <f t="shared" si="67"/>
        <v>1</v>
      </c>
      <c r="AT151" s="13">
        <f t="shared" si="67"/>
        <v>1</v>
      </c>
      <c r="AU151" s="13">
        <f t="shared" si="67"/>
        <v>1</v>
      </c>
      <c r="AV151" s="13">
        <f t="shared" si="23"/>
        <v>1</v>
      </c>
      <c r="AW151" s="13">
        <f t="shared" si="33"/>
        <v>1</v>
      </c>
      <c r="AY151" s="17">
        <f t="shared" si="24"/>
        <v>61</v>
      </c>
      <c r="AZ151" s="28">
        <f t="shared" si="34"/>
        <v>0</v>
      </c>
      <c r="BA151" s="13">
        <f t="shared" si="25"/>
        <v>0</v>
      </c>
      <c r="BB151" s="13">
        <f t="shared" si="26"/>
        <v>0</v>
      </c>
      <c r="BC151" s="28">
        <f t="shared" si="35"/>
        <v>0</v>
      </c>
      <c r="BD151" s="28">
        <f t="shared" si="36"/>
        <v>0</v>
      </c>
      <c r="BF151" s="248">
        <f t="shared" si="37"/>
        <v>902915.09114632849</v>
      </c>
      <c r="BG151" s="36">
        <f t="shared" si="54"/>
        <v>0</v>
      </c>
      <c r="BH151" s="36">
        <f t="shared" si="55"/>
        <v>848819.91174158035</v>
      </c>
      <c r="BI151" s="249">
        <f t="shared" si="56"/>
        <v>4.1816398110932074E-3</v>
      </c>
      <c r="BJ151" s="246">
        <f t="shared" si="57"/>
        <v>2.0857243058891584E-4</v>
      </c>
      <c r="BK151" s="246">
        <f t="shared" si="27"/>
        <v>7.531116566323881E-4</v>
      </c>
      <c r="BL151" s="246">
        <f t="shared" si="58"/>
        <v>0</v>
      </c>
      <c r="BM151" s="246">
        <f t="shared" si="59"/>
        <v>9.6168408722130394E-4</v>
      </c>
      <c r="BN151" s="36">
        <f t="shared" si="44"/>
        <v>818.00333122284155</v>
      </c>
      <c r="BO151" s="36">
        <f t="shared" si="60"/>
        <v>3549.4591353872152</v>
      </c>
      <c r="BP151" s="36">
        <f t="shared" si="61"/>
        <v>851551.36754574475</v>
      </c>
    </row>
    <row r="152" spans="1:68">
      <c r="A152" s="32">
        <f t="shared" si="47"/>
        <v>23</v>
      </c>
      <c r="B152" s="32">
        <f t="shared" si="28"/>
        <v>58</v>
      </c>
      <c r="C152" s="32">
        <f t="shared" si="48"/>
        <v>6</v>
      </c>
      <c r="D152" s="32">
        <f t="shared" si="49"/>
        <v>62</v>
      </c>
      <c r="E152" s="74">
        <f>MIN(IF(AV152=0,0,
IF(Investment_Strategy="DIS",VLOOKUP(Investment_Strategy&amp;"_"&amp;Investment_Strategy_Sub1&amp;"_"&amp;$A152,'Investment Strategies'!$AZ:$BP,12,FALSE),
IF(AND(Investment_Strategy="Lifecycle",Investment_Strategy_Sub1="Non-Standard"),VLOOKUP(Investment_Strategy&amp;"_"&amp;Investment_Strategy_Sub2&amp;"_"&amp;$A152,'Investment Strategies'!$C:$P,9,FALSE),
IF(AND(Investment_Strategy="Lifecycle",Investment_Strategy_Sub1="Standard"),VLOOKUP(Investment_Strategy&amp;"_"&amp;Investment_Strategy_Sub2&amp;"_"&amp;$A152,'Investment Strategies'!$AJ:$AV,8,FALSE),
IF(AND(Investment_Strategy="Autopilot",Investment_Strategy_Sub1="Non-Standard"),VLOOKUP(Investment_Strategy&amp;"_"&amp;Investment_Strategy_Sub2&amp;"_"&amp;$A152,'Investment Strategies'!$T:$AF,8,FALSE),
IF(Investment_Strategy ="DIY",DIY_RateOfReturn_CurrentFunds,
"Error")))))),Max_InvReturn)</f>
        <v>4.1816398110932074E-3</v>
      </c>
      <c r="F152" s="62">
        <f>IF(AV152=0,0,
IF(Investment_Strategy="DIS",VLOOKUP(Investment_Strategy&amp;"_"&amp;Investment_Strategy_Sub1&amp;"_"&amp;$A152,'Investment Strategies'!$AZ:$BP,15,FALSE),
IF(AND(Investment_Strategy="Lifecycle",Investment_Strategy_Sub1="Non-Standard"),VLOOKUP(Investment_Strategy&amp;"_"&amp;Investment_Strategy_Sub2&amp;"_"&amp;$A152,'Investment Strategies'!$C:$P,12,FALSE),
IF(AND(Investment_Strategy="Lifecycle",Investment_Strategy_Sub1="Standard"),VLOOKUP(Investment_Strategy&amp;"_"&amp;Investment_Strategy_Sub2&amp;"_"&amp;$A152,'Investment Strategies'!$AJ:$AV,11,FALSE),
IF(AND(Investment_Strategy="Autopilot",Investment_Strategy_Sub1="Non-Standard"),VLOOKUP(Investment_Strategy&amp;"_"&amp;Investment_Strategy_Sub2&amp;"_"&amp;$A152,'Investment Strategies'!$T:$AF,11,FALSE),
IF(Investment_Strategy="DIY",DIY_GteeChrge_CurrentFunds,
"Error"))))))</f>
        <v>5.4328711526985263E-4</v>
      </c>
      <c r="G152" s="33">
        <f>IF(AV152=0,0,
IF(Investment_Strategy="DIS",VLOOKUP(Investment_Strategy&amp;"_"&amp;Investment_Strategy_Sub1&amp;"_"&amp;$A152,'Investment Strategies'!$AZ:$BP,17,FALSE),
IF(AND(Investment_Strategy="Lifecycle",Investment_Strategy_Sub1="Non-Standard"),VLOOKUP(Investment_Strategy&amp;"_"&amp;Investment_Strategy_Sub2&amp;"_"&amp;$A152,'Investment Strategies'!$C:$P,14,FALSE),
IF(AND(Investment_Strategy="Lifecycle",Investment_Strategy_Sub1="Standard"),VLOOKUP(Investment_Strategy&amp;"_"&amp;Investment_Strategy_Sub2&amp;"_"&amp;$A152,'Investment Strategies'!$AJ:$AV,13,FALSE),
IF(AND(Investment_Strategy="Autopilot",Investment_Strategy_Sub1="Non-Standard"),VLOOKUP(Investment_Strategy&amp;"_"&amp;Investment_Strategy_Sub2&amp;"_"&amp;$A152,'Investment Strategies'!$T:$AF,13,FALSE),
IF(Investment_Strategy="DIY",DIY_ExtManChrge_CurrentFunds,
"Error"))))))</f>
        <v>2.0857243058891584E-4</v>
      </c>
      <c r="H152" s="16">
        <f t="shared" si="30"/>
        <v>0</v>
      </c>
      <c r="I152" s="16">
        <f t="shared" si="13"/>
        <v>0</v>
      </c>
      <c r="J152" s="16">
        <f t="shared" si="14"/>
        <v>0</v>
      </c>
      <c r="K152" s="16">
        <f>(Opening_Fund_Value+SUM(K$91:K151))*E152*IF(D152=$A$91,SRP_finalmonthfactor,1)</f>
        <v>0</v>
      </c>
      <c r="L152" s="74">
        <f>MIN(IF($AV152=0,0,
IF(Investment_Strategy="DIS",VLOOKUP(Investment_Strategy&amp;"_"&amp;Investment_Strategy_Sub1&amp;"_"&amp;$A152,'Investment Strategies'!$AZ:$BP,12,FALSE),
IF(AND(Investment_Strategy="Lifecycle",Investment_Strategy_Sub1="Non-Standard"),VLOOKUP(Investment_Strategy&amp;"_"&amp;Investment_Strategy_Sub2&amp;"_"&amp;$A152,'Investment Strategies'!$C:$P,9,FALSE),
IF(AND(Investment_Strategy="Lifecycle",Investment_Strategy_Sub1="Standard"),VLOOKUP(Investment_Strategy&amp;"_"&amp;Investment_Strategy_Sub2&amp;"_"&amp;$A152,'Investment Strategies'!$AJ:$AV,8,FALSE),
IF(AND(Investment_Strategy="Autopilot",Investment_Strategy_Sub1="Non-Standard"),VLOOKUP(Investment_Strategy&amp;"_"&amp;Investment_Strategy_Sub2&amp;"_"&amp;$A152,'Investment Strategies'!$T:$AF,8,FALSE),
IF(Investment_Strategy ="DIY",DIY_RateofReturn_SP,
"Error")))))),Max_InvReturn)</f>
        <v>4.1816398110932074E-3</v>
      </c>
      <c r="M152" s="62">
        <f>IF($AV152=0,0,
IF(Investment_Strategy="DIS",VLOOKUP(Investment_Strategy&amp;"_"&amp;Investment_Strategy_Sub1&amp;"_"&amp;$A152,'Investment Strategies'!$AZ:$BP,15,FALSE),
IF(AND(Investment_Strategy="Lifecycle",Investment_Strategy_Sub1="Non-Standard"),VLOOKUP(Investment_Strategy&amp;"_"&amp;Investment_Strategy_Sub2&amp;"_"&amp;$A152,'Investment Strategies'!$C:$P,12,FALSE),
IF(AND(Investment_Strategy="Lifecycle",Investment_Strategy_Sub1="Standard"),VLOOKUP(Investment_Strategy&amp;"_"&amp;Investment_Strategy_Sub2&amp;"_"&amp;$A152,'Investment Strategies'!$AJ:$AV,11,FALSE),
IF(AND(Investment_Strategy="Autopilot",Investment_Strategy_Sub1="Non-Standard"),VLOOKUP(Investment_Strategy&amp;"_"&amp;Investment_Strategy_Sub2&amp;"_"&amp;$A152,'Investment Strategies'!$T:$AF,11,FALSE),
IF(Investment_Strategy="DIY",DIY_GteeChrge_SP,
"Error"))))))</f>
        <v>0</v>
      </c>
      <c r="N152" s="33">
        <f>IF($AV152=0,0,
IF(Investment_Strategy="DIS",VLOOKUP(Investment_Strategy&amp;"_"&amp;Investment_Strategy_Sub1&amp;"_"&amp;$A152,'Investment Strategies'!$AZ:$BP,17,FALSE),
IF(AND(Investment_Strategy="Lifecycle",Investment_Strategy_Sub1="Non-Standard"),VLOOKUP(Investment_Strategy&amp;"_"&amp;Investment_Strategy_Sub2&amp;"_"&amp;$A152,'Investment Strategies'!$C:$P,14,FALSE),
IF(AND(Investment_Strategy="Lifecycle",Investment_Strategy_Sub1="Standard"),VLOOKUP(Investment_Strategy&amp;"_"&amp;Investment_Strategy_Sub2&amp;"_"&amp;$A152,'Investment Strategies'!$AJ:$AV,13,FALSE),
IF(AND(Investment_Strategy="Autopilot",Investment_Strategy_Sub1="Non-Standard"),VLOOKUP(Investment_Strategy&amp;"_"&amp;Investment_Strategy_Sub2&amp;"_"&amp;$A152,'Investment Strategies'!$T:$AF,13,FALSE),
IF(Investment_Strategy="DIY",DIY_ExtManChrge_SP,
"Error"))))))</f>
        <v>2.0857243058891584E-4</v>
      </c>
      <c r="O152" s="16">
        <f t="shared" si="50"/>
        <v>851551.36754574475</v>
      </c>
      <c r="Q152" s="16">
        <f t="shared" si="15"/>
        <v>3560.8810997201504</v>
      </c>
      <c r="R152" s="16">
        <f t="shared" si="16"/>
        <v>-820.63562096532667</v>
      </c>
      <c r="S152" s="16">
        <f>(SRP_SP+SUM(S$91:S151))*L152*IF(D152=$A$91,SRP_finalmonthfactor,1)</f>
        <v>3775.6656911743371</v>
      </c>
      <c r="T152" s="74">
        <f>MIN(IF($AV152=0,0,
IF(Investment_Strategy="DIS",VLOOKUP(Investment_Strategy&amp;"_"&amp;Investment_Strategy_Sub1&amp;"_"&amp;$A152,'Investment Strategies'!$AZ:$BP,12,FALSE),
IF(AND(Investment_Strategy="Lifecycle",Investment_Strategy_Sub1="Non-Standard"),VLOOKUP(Investment_Strategy&amp;"_"&amp;Investment_Strategy_Sub2&amp;"_"&amp;$A152,'Investment Strategies'!$C:$P,9,FALSE),
IF(AND(Investment_Strategy="Lifecycle",Investment_Strategy_Sub1="Standard"),VLOOKUP(Investment_Strategy&amp;"_"&amp;Investment_Strategy_Sub2&amp;"_"&amp;$A152,'Investment Strategies'!$AJ:$AV,8,FALSE),
IF(AND(Investment_Strategy="Autopilot",Investment_Strategy_Sub1="Non-Standard"),VLOOKUP(Investment_Strategy&amp;"_"&amp;Investment_Strategy_Sub2&amp;"_"&amp;$A152,'Investment Strategies'!$T:$AF,8,FALSE),
IF(Investment_Strategy ="DIY",DIY_RateOfReturn_FuturePremiums,
"Error")))))),Max_InvReturn)</f>
        <v>4.1816398110932074E-3</v>
      </c>
      <c r="U152" s="62">
        <f>IF($AV152=0,0,
IF(Investment_Strategy="DIS",VLOOKUP(Investment_Strategy&amp;"_"&amp;Investment_Strategy_Sub1&amp;"_"&amp;$A152,'Investment Strategies'!$AZ:$BP,15,FALSE),
IF(AND(Investment_Strategy="Lifecycle",Investment_Strategy_Sub1="Non-Standard"),VLOOKUP(Investment_Strategy&amp;"_"&amp;Investment_Strategy_Sub2&amp;"_"&amp;$A152,'Investment Strategies'!$C:$P,12,FALSE),
IF(AND(Investment_Strategy="Lifecycle",Investment_Strategy_Sub1="Standard"),VLOOKUP(Investment_Strategy&amp;"_"&amp;Investment_Strategy_Sub2&amp;"_"&amp;$A152,'Investment Strategies'!$AJ:$AV,11,FALSE),
IF(AND(Investment_Strategy="Autopilot",Investment_Strategy_Sub1="Non-Standard"),VLOOKUP(Investment_Strategy&amp;"_"&amp;Investment_Strategy_Sub2&amp;"_"&amp;$A152,'Investment Strategies'!$T:$AF,11,FALSE),
IF(Investment_Strategy="DIY",DIY_GteeChrge_FuturePremiums,
"Error"))))))</f>
        <v>0</v>
      </c>
      <c r="V152" s="33">
        <f>IF(AV152=0,0,
IF(Investment_Strategy="DIS",VLOOKUP(Investment_Strategy&amp;"_"&amp;Investment_Strategy_Sub1&amp;"_"&amp;$A152,'Investment Strategies'!$AZ:$BP,17,FALSE),
IF(AND(Investment_Strategy="Lifecycle",Investment_Strategy_Sub1="Non-Standard"),VLOOKUP(Investment_Strategy&amp;"_"&amp;Investment_Strategy_Sub2&amp;"_"&amp;$A152,'Investment Strategies'!$C:$P,14,FALSE),
IF(AND(Investment_Strategy="Lifecycle",Investment_Strategy_Sub1="Standard"),VLOOKUP(Investment_Strategy&amp;"_"&amp;Investment_Strategy_Sub2&amp;"_"&amp;$A152,'Investment Strategies'!$AJ:$AV,13,FALSE),
IF(AND(Investment_Strategy="Autopilot",Investment_Strategy_Sub1="Non-Standard"),VLOOKUP(Investment_Strategy&amp;"_"&amp;Investment_Strategy_Sub2&amp;"_"&amp;$A152,'Investment Strategies'!$T:$AF,13,FALSE),
IF(Investment_Strategy="DIY",DIY_ExtManChrge_FuturePremiums,
"Error"))))))</f>
        <v>1.2508601994698498E-4</v>
      </c>
      <c r="W152" s="16">
        <f t="shared" si="51"/>
        <v>0</v>
      </c>
      <c r="X152" s="16">
        <f t="shared" si="17"/>
        <v>0</v>
      </c>
      <c r="Y152" s="16">
        <f t="shared" si="18"/>
        <v>0</v>
      </c>
      <c r="Z152" s="31">
        <f t="shared" si="19"/>
        <v>0.02</v>
      </c>
      <c r="AA152" s="16">
        <f t="shared" si="20"/>
        <v>0</v>
      </c>
      <c r="AB152" s="28">
        <f t="shared" si="53"/>
        <v>902915.09114632849</v>
      </c>
      <c r="AC152" s="28">
        <f>(SUM($AC$91:AC151)+SUM($X$91:X151)+X152)*T152*IF(D152=$A$91,SRP_finalmonthfactor,1)</f>
        <v>0</v>
      </c>
      <c r="AD152" s="16">
        <f t="shared" si="21"/>
        <v>-177.98148931333461</v>
      </c>
      <c r="AE152" s="106"/>
      <c r="AF152" s="16">
        <f t="shared" si="52"/>
        <v>851551.36754574475</v>
      </c>
      <c r="AG152" s="16">
        <f t="shared" si="31"/>
        <v>3775.6656911743371</v>
      </c>
      <c r="AH152" s="16">
        <f t="shared" si="32"/>
        <v>-820.63562096532667</v>
      </c>
      <c r="AJ152" s="13">
        <f t="shared" si="67"/>
        <v>0</v>
      </c>
      <c r="AK152" s="13">
        <f t="shared" si="67"/>
        <v>0</v>
      </c>
      <c r="AL152" s="13">
        <f t="shared" si="67"/>
        <v>0</v>
      </c>
      <c r="AM152" s="13">
        <f t="shared" si="67"/>
        <v>0</v>
      </c>
      <c r="AN152" s="13">
        <f t="shared" si="67"/>
        <v>0</v>
      </c>
      <c r="AO152" s="13">
        <f t="shared" si="67"/>
        <v>1</v>
      </c>
      <c r="AP152" s="13">
        <f t="shared" si="67"/>
        <v>1</v>
      </c>
      <c r="AQ152" s="13">
        <f t="shared" si="67"/>
        <v>1</v>
      </c>
      <c r="AR152" s="13">
        <f t="shared" si="67"/>
        <v>1</v>
      </c>
      <c r="AS152" s="13">
        <f t="shared" si="67"/>
        <v>1</v>
      </c>
      <c r="AT152" s="13">
        <f t="shared" si="67"/>
        <v>1</v>
      </c>
      <c r="AU152" s="13">
        <f t="shared" si="67"/>
        <v>1</v>
      </c>
      <c r="AV152" s="13">
        <f t="shared" si="23"/>
        <v>1</v>
      </c>
      <c r="AW152" s="13">
        <f t="shared" si="33"/>
        <v>1</v>
      </c>
      <c r="AY152" s="17">
        <f t="shared" si="24"/>
        <v>62</v>
      </c>
      <c r="AZ152" s="28">
        <f t="shared" si="34"/>
        <v>0</v>
      </c>
      <c r="BA152" s="13">
        <f t="shared" si="25"/>
        <v>0</v>
      </c>
      <c r="BB152" s="13">
        <f t="shared" si="26"/>
        <v>0</v>
      </c>
      <c r="BC152" s="28">
        <f t="shared" si="35"/>
        <v>0</v>
      </c>
      <c r="BD152" s="28">
        <f t="shared" si="36"/>
        <v>0</v>
      </c>
      <c r="BF152" s="248">
        <f t="shared" si="37"/>
        <v>906690.75683750282</v>
      </c>
      <c r="BG152" s="36">
        <f t="shared" si="54"/>
        <v>0</v>
      </c>
      <c r="BH152" s="36">
        <f t="shared" si="55"/>
        <v>851551.36754574475</v>
      </c>
      <c r="BI152" s="249">
        <f t="shared" si="56"/>
        <v>4.1816398110932074E-3</v>
      </c>
      <c r="BJ152" s="246">
        <f t="shared" si="57"/>
        <v>2.0857243058891584E-4</v>
      </c>
      <c r="BK152" s="246">
        <f t="shared" si="27"/>
        <v>7.531116566323881E-4</v>
      </c>
      <c r="BL152" s="246">
        <f t="shared" si="58"/>
        <v>0</v>
      </c>
      <c r="BM152" s="246">
        <f t="shared" si="59"/>
        <v>9.6168408722130394E-4</v>
      </c>
      <c r="BN152" s="36">
        <f t="shared" si="44"/>
        <v>820.63562096532655</v>
      </c>
      <c r="BO152" s="36">
        <f t="shared" si="60"/>
        <v>3560.8810997201504</v>
      </c>
      <c r="BP152" s="36">
        <f t="shared" si="61"/>
        <v>854291.61302449962</v>
      </c>
    </row>
    <row r="153" spans="1:68">
      <c r="A153" s="32">
        <f t="shared" si="47"/>
        <v>22</v>
      </c>
      <c r="B153" s="32">
        <f t="shared" si="28"/>
        <v>58</v>
      </c>
      <c r="C153" s="32">
        <f t="shared" si="48"/>
        <v>6</v>
      </c>
      <c r="D153" s="32">
        <f t="shared" si="49"/>
        <v>63</v>
      </c>
      <c r="E153" s="74">
        <f>MIN(IF(AV153=0,0,
IF(Investment_Strategy="DIS",VLOOKUP(Investment_Strategy&amp;"_"&amp;Investment_Strategy_Sub1&amp;"_"&amp;$A153,'Investment Strategies'!$AZ:$BP,12,FALSE),
IF(AND(Investment_Strategy="Lifecycle",Investment_Strategy_Sub1="Non-Standard"),VLOOKUP(Investment_Strategy&amp;"_"&amp;Investment_Strategy_Sub2&amp;"_"&amp;$A153,'Investment Strategies'!$C:$P,9,FALSE),
IF(AND(Investment_Strategy="Lifecycle",Investment_Strategy_Sub1="Standard"),VLOOKUP(Investment_Strategy&amp;"_"&amp;Investment_Strategy_Sub2&amp;"_"&amp;$A153,'Investment Strategies'!$AJ:$AV,8,FALSE),
IF(AND(Investment_Strategy="Autopilot",Investment_Strategy_Sub1="Non-Standard"),VLOOKUP(Investment_Strategy&amp;"_"&amp;Investment_Strategy_Sub2&amp;"_"&amp;$A153,'Investment Strategies'!$T:$AF,8,FALSE),
IF(Investment_Strategy ="DIY",DIY_RateOfReturn_CurrentFunds,
"Error")))))),Max_InvReturn)</f>
        <v>4.1816398110932074E-3</v>
      </c>
      <c r="F153" s="62">
        <f>IF(AV153=0,0,
IF(Investment_Strategy="DIS",VLOOKUP(Investment_Strategy&amp;"_"&amp;Investment_Strategy_Sub1&amp;"_"&amp;$A153,'Investment Strategies'!$AZ:$BP,15,FALSE),
IF(AND(Investment_Strategy="Lifecycle",Investment_Strategy_Sub1="Non-Standard"),VLOOKUP(Investment_Strategy&amp;"_"&amp;Investment_Strategy_Sub2&amp;"_"&amp;$A153,'Investment Strategies'!$C:$P,12,FALSE),
IF(AND(Investment_Strategy="Lifecycle",Investment_Strategy_Sub1="Standard"),VLOOKUP(Investment_Strategy&amp;"_"&amp;Investment_Strategy_Sub2&amp;"_"&amp;$A153,'Investment Strategies'!$AJ:$AV,11,FALSE),
IF(AND(Investment_Strategy="Autopilot",Investment_Strategy_Sub1="Non-Standard"),VLOOKUP(Investment_Strategy&amp;"_"&amp;Investment_Strategy_Sub2&amp;"_"&amp;$A153,'Investment Strategies'!$T:$AF,11,FALSE),
IF(Investment_Strategy="DIY",DIY_GteeChrge_CurrentFunds,
"Error"))))))</f>
        <v>5.4328711526985263E-4</v>
      </c>
      <c r="G153" s="33">
        <f>IF(AV153=0,0,
IF(Investment_Strategy="DIS",VLOOKUP(Investment_Strategy&amp;"_"&amp;Investment_Strategy_Sub1&amp;"_"&amp;$A153,'Investment Strategies'!$AZ:$BP,17,FALSE),
IF(AND(Investment_Strategy="Lifecycle",Investment_Strategy_Sub1="Non-Standard"),VLOOKUP(Investment_Strategy&amp;"_"&amp;Investment_Strategy_Sub2&amp;"_"&amp;$A153,'Investment Strategies'!$C:$P,14,FALSE),
IF(AND(Investment_Strategy="Lifecycle",Investment_Strategy_Sub1="Standard"),VLOOKUP(Investment_Strategy&amp;"_"&amp;Investment_Strategy_Sub2&amp;"_"&amp;$A153,'Investment Strategies'!$AJ:$AV,13,FALSE),
IF(AND(Investment_Strategy="Autopilot",Investment_Strategy_Sub1="Non-Standard"),VLOOKUP(Investment_Strategy&amp;"_"&amp;Investment_Strategy_Sub2&amp;"_"&amp;$A153,'Investment Strategies'!$T:$AF,13,FALSE),
IF(Investment_Strategy="DIY",DIY_ExtManChrge_CurrentFunds,
"Error"))))))</f>
        <v>2.0857243058891584E-4</v>
      </c>
      <c r="H153" s="16">
        <f t="shared" si="30"/>
        <v>0</v>
      </c>
      <c r="I153" s="16">
        <f t="shared" si="13"/>
        <v>0</v>
      </c>
      <c r="J153" s="16">
        <f t="shared" si="14"/>
        <v>0</v>
      </c>
      <c r="K153" s="16">
        <f>(Opening_Fund_Value+SUM(K$91:K152))*E153*IF(D153=$A$91,SRP_finalmonthfactor,1)</f>
        <v>0</v>
      </c>
      <c r="L153" s="74">
        <f>MIN(IF($AV153=0,0,
IF(Investment_Strategy="DIS",VLOOKUP(Investment_Strategy&amp;"_"&amp;Investment_Strategy_Sub1&amp;"_"&amp;$A153,'Investment Strategies'!$AZ:$BP,12,FALSE),
IF(AND(Investment_Strategy="Lifecycle",Investment_Strategy_Sub1="Non-Standard"),VLOOKUP(Investment_Strategy&amp;"_"&amp;Investment_Strategy_Sub2&amp;"_"&amp;$A153,'Investment Strategies'!$C:$P,9,FALSE),
IF(AND(Investment_Strategy="Lifecycle",Investment_Strategy_Sub1="Standard"),VLOOKUP(Investment_Strategy&amp;"_"&amp;Investment_Strategy_Sub2&amp;"_"&amp;$A153,'Investment Strategies'!$AJ:$AV,8,FALSE),
IF(AND(Investment_Strategy="Autopilot",Investment_Strategy_Sub1="Non-Standard"),VLOOKUP(Investment_Strategy&amp;"_"&amp;Investment_Strategy_Sub2&amp;"_"&amp;$A153,'Investment Strategies'!$T:$AF,8,FALSE),
IF(Investment_Strategy ="DIY",DIY_RateofReturn_SP,
"Error")))))),Max_InvReturn)</f>
        <v>4.1816398110932074E-3</v>
      </c>
      <c r="M153" s="62">
        <f>IF($AV153=0,0,
IF(Investment_Strategy="DIS",VLOOKUP(Investment_Strategy&amp;"_"&amp;Investment_Strategy_Sub1&amp;"_"&amp;$A153,'Investment Strategies'!$AZ:$BP,15,FALSE),
IF(AND(Investment_Strategy="Lifecycle",Investment_Strategy_Sub1="Non-Standard"),VLOOKUP(Investment_Strategy&amp;"_"&amp;Investment_Strategy_Sub2&amp;"_"&amp;$A153,'Investment Strategies'!$C:$P,12,FALSE),
IF(AND(Investment_Strategy="Lifecycle",Investment_Strategy_Sub1="Standard"),VLOOKUP(Investment_Strategy&amp;"_"&amp;Investment_Strategy_Sub2&amp;"_"&amp;$A153,'Investment Strategies'!$AJ:$AV,11,FALSE),
IF(AND(Investment_Strategy="Autopilot",Investment_Strategy_Sub1="Non-Standard"),VLOOKUP(Investment_Strategy&amp;"_"&amp;Investment_Strategy_Sub2&amp;"_"&amp;$A153,'Investment Strategies'!$T:$AF,11,FALSE),
IF(Investment_Strategy="DIY",DIY_GteeChrge_SP,
"Error"))))))</f>
        <v>0</v>
      </c>
      <c r="N153" s="33">
        <f>IF($AV153=0,0,
IF(Investment_Strategy="DIS",VLOOKUP(Investment_Strategy&amp;"_"&amp;Investment_Strategy_Sub1&amp;"_"&amp;$A153,'Investment Strategies'!$AZ:$BP,17,FALSE),
IF(AND(Investment_Strategy="Lifecycle",Investment_Strategy_Sub1="Non-Standard"),VLOOKUP(Investment_Strategy&amp;"_"&amp;Investment_Strategy_Sub2&amp;"_"&amp;$A153,'Investment Strategies'!$C:$P,14,FALSE),
IF(AND(Investment_Strategy="Lifecycle",Investment_Strategy_Sub1="Standard"),VLOOKUP(Investment_Strategy&amp;"_"&amp;Investment_Strategy_Sub2&amp;"_"&amp;$A153,'Investment Strategies'!$AJ:$AV,13,FALSE),
IF(AND(Investment_Strategy="Autopilot",Investment_Strategy_Sub1="Non-Standard"),VLOOKUP(Investment_Strategy&amp;"_"&amp;Investment_Strategy_Sub2&amp;"_"&amp;$A153,'Investment Strategies'!$T:$AF,13,FALSE),
IF(Investment_Strategy="DIY",DIY_ExtManChrge_SP,
"Error"))))))</f>
        <v>2.0857243058891584E-4</v>
      </c>
      <c r="O153" s="16">
        <f t="shared" si="50"/>
        <v>854291.61302449962</v>
      </c>
      <c r="Q153" s="16">
        <f t="shared" si="15"/>
        <v>3572.3398193062799</v>
      </c>
      <c r="R153" s="16">
        <f t="shared" si="16"/>
        <v>-823.27638127146827</v>
      </c>
      <c r="S153" s="16">
        <f>(SRP_SP+SUM(S$91:S152))*L153*IF(D153=$A$91,SRP_finalmonthfactor,1)</f>
        <v>3791.4541651419304</v>
      </c>
      <c r="T153" s="74">
        <f>MIN(IF($AV153=0,0,
IF(Investment_Strategy="DIS",VLOOKUP(Investment_Strategy&amp;"_"&amp;Investment_Strategy_Sub1&amp;"_"&amp;$A153,'Investment Strategies'!$AZ:$BP,12,FALSE),
IF(AND(Investment_Strategy="Lifecycle",Investment_Strategy_Sub1="Non-Standard"),VLOOKUP(Investment_Strategy&amp;"_"&amp;Investment_Strategy_Sub2&amp;"_"&amp;$A153,'Investment Strategies'!$C:$P,9,FALSE),
IF(AND(Investment_Strategy="Lifecycle",Investment_Strategy_Sub1="Standard"),VLOOKUP(Investment_Strategy&amp;"_"&amp;Investment_Strategy_Sub2&amp;"_"&amp;$A153,'Investment Strategies'!$AJ:$AV,8,FALSE),
IF(AND(Investment_Strategy="Autopilot",Investment_Strategy_Sub1="Non-Standard"),VLOOKUP(Investment_Strategy&amp;"_"&amp;Investment_Strategy_Sub2&amp;"_"&amp;$A153,'Investment Strategies'!$T:$AF,8,FALSE),
IF(Investment_Strategy ="DIY",DIY_RateOfReturn_FuturePremiums,
"Error")))))),Max_InvReturn)</f>
        <v>4.1816398110932074E-3</v>
      </c>
      <c r="U153" s="62">
        <f>IF($AV153=0,0,
IF(Investment_Strategy="DIS",VLOOKUP(Investment_Strategy&amp;"_"&amp;Investment_Strategy_Sub1&amp;"_"&amp;$A153,'Investment Strategies'!$AZ:$BP,15,FALSE),
IF(AND(Investment_Strategy="Lifecycle",Investment_Strategy_Sub1="Non-Standard"),VLOOKUP(Investment_Strategy&amp;"_"&amp;Investment_Strategy_Sub2&amp;"_"&amp;$A153,'Investment Strategies'!$C:$P,12,FALSE),
IF(AND(Investment_Strategy="Lifecycle",Investment_Strategy_Sub1="Standard"),VLOOKUP(Investment_Strategy&amp;"_"&amp;Investment_Strategy_Sub2&amp;"_"&amp;$A153,'Investment Strategies'!$AJ:$AV,11,FALSE),
IF(AND(Investment_Strategy="Autopilot",Investment_Strategy_Sub1="Non-Standard"),VLOOKUP(Investment_Strategy&amp;"_"&amp;Investment_Strategy_Sub2&amp;"_"&amp;$A153,'Investment Strategies'!$T:$AF,11,FALSE),
IF(Investment_Strategy="DIY",DIY_GteeChrge_FuturePremiums,
"Error"))))))</f>
        <v>0</v>
      </c>
      <c r="V153" s="33">
        <f>IF(AV153=0,0,
IF(Investment_Strategy="DIS",VLOOKUP(Investment_Strategy&amp;"_"&amp;Investment_Strategy_Sub1&amp;"_"&amp;$A153,'Investment Strategies'!$AZ:$BP,17,FALSE),
IF(AND(Investment_Strategy="Lifecycle",Investment_Strategy_Sub1="Non-Standard"),VLOOKUP(Investment_Strategy&amp;"_"&amp;Investment_Strategy_Sub2&amp;"_"&amp;$A153,'Investment Strategies'!$C:$P,14,FALSE),
IF(AND(Investment_Strategy="Lifecycle",Investment_Strategy_Sub1="Standard"),VLOOKUP(Investment_Strategy&amp;"_"&amp;Investment_Strategy_Sub2&amp;"_"&amp;$A153,'Investment Strategies'!$AJ:$AV,13,FALSE),
IF(AND(Investment_Strategy="Autopilot",Investment_Strategy_Sub1="Non-Standard"),VLOOKUP(Investment_Strategy&amp;"_"&amp;Investment_Strategy_Sub2&amp;"_"&amp;$A153,'Investment Strategies'!$T:$AF,13,FALSE),
IF(Investment_Strategy="DIY",DIY_ExtManChrge_FuturePremiums,
"Error"))))))</f>
        <v>1.2508601994698498E-4</v>
      </c>
      <c r="W153" s="16">
        <f t="shared" si="51"/>
        <v>0</v>
      </c>
      <c r="X153" s="16">
        <f t="shared" si="17"/>
        <v>0</v>
      </c>
      <c r="Y153" s="16">
        <f t="shared" si="18"/>
        <v>0</v>
      </c>
      <c r="Z153" s="31">
        <f t="shared" si="19"/>
        <v>0.02</v>
      </c>
      <c r="AA153" s="16">
        <f t="shared" si="20"/>
        <v>0</v>
      </c>
      <c r="AB153" s="28">
        <f t="shared" si="53"/>
        <v>906690.75683750282</v>
      </c>
      <c r="AC153" s="28">
        <f>(SUM($AC$91:AC152)+SUM($X$91:X152)+X153)*T153*IF(D153=$A$91,SRP_finalmonthfactor,1)</f>
        <v>0</v>
      </c>
      <c r="AD153" s="16">
        <f t="shared" si="21"/>
        <v>-178.55422395974654</v>
      </c>
      <c r="AE153" s="106"/>
      <c r="AF153" s="16">
        <f t="shared" si="52"/>
        <v>854291.61302449962</v>
      </c>
      <c r="AG153" s="16">
        <f t="shared" si="31"/>
        <v>3791.4541651419304</v>
      </c>
      <c r="AH153" s="16">
        <f t="shared" si="32"/>
        <v>-823.27638127146827</v>
      </c>
      <c r="AJ153" s="13">
        <f t="shared" si="67"/>
        <v>0</v>
      </c>
      <c r="AK153" s="13">
        <f t="shared" si="67"/>
        <v>0</v>
      </c>
      <c r="AL153" s="13">
        <f t="shared" si="67"/>
        <v>0</v>
      </c>
      <c r="AM153" s="13">
        <f t="shared" si="67"/>
        <v>0</v>
      </c>
      <c r="AN153" s="13">
        <f t="shared" si="67"/>
        <v>0</v>
      </c>
      <c r="AO153" s="13">
        <f t="shared" si="67"/>
        <v>1</v>
      </c>
      <c r="AP153" s="13">
        <f t="shared" si="67"/>
        <v>1</v>
      </c>
      <c r="AQ153" s="13">
        <f t="shared" si="67"/>
        <v>1</v>
      </c>
      <c r="AR153" s="13">
        <f t="shared" si="67"/>
        <v>1</v>
      </c>
      <c r="AS153" s="13">
        <f t="shared" si="67"/>
        <v>1</v>
      </c>
      <c r="AT153" s="13">
        <f t="shared" si="67"/>
        <v>1</v>
      </c>
      <c r="AU153" s="13">
        <f t="shared" si="67"/>
        <v>1</v>
      </c>
      <c r="AV153" s="13">
        <f t="shared" si="23"/>
        <v>1</v>
      </c>
      <c r="AW153" s="13">
        <f t="shared" si="33"/>
        <v>1</v>
      </c>
      <c r="AY153" s="17">
        <f t="shared" si="24"/>
        <v>63</v>
      </c>
      <c r="AZ153" s="28">
        <f t="shared" si="34"/>
        <v>0</v>
      </c>
      <c r="BA153" s="13">
        <f t="shared" si="25"/>
        <v>0</v>
      </c>
      <c r="BB153" s="13">
        <f t="shared" si="26"/>
        <v>0</v>
      </c>
      <c r="BC153" s="28">
        <f t="shared" si="35"/>
        <v>0</v>
      </c>
      <c r="BD153" s="28">
        <f t="shared" si="36"/>
        <v>0</v>
      </c>
      <c r="BF153" s="248">
        <f t="shared" si="37"/>
        <v>910482.21100264473</v>
      </c>
      <c r="BG153" s="36">
        <f t="shared" si="54"/>
        <v>0</v>
      </c>
      <c r="BH153" s="36">
        <f t="shared" si="55"/>
        <v>854291.61302449962</v>
      </c>
      <c r="BI153" s="249">
        <f t="shared" si="56"/>
        <v>4.1816398110932074E-3</v>
      </c>
      <c r="BJ153" s="246">
        <f t="shared" si="57"/>
        <v>2.0857243058891584E-4</v>
      </c>
      <c r="BK153" s="246">
        <f t="shared" si="27"/>
        <v>7.531116566323881E-4</v>
      </c>
      <c r="BL153" s="246">
        <f t="shared" si="58"/>
        <v>0</v>
      </c>
      <c r="BM153" s="246">
        <f t="shared" si="59"/>
        <v>9.6168408722130394E-4</v>
      </c>
      <c r="BN153" s="36">
        <f t="shared" si="44"/>
        <v>823.27638127146815</v>
      </c>
      <c r="BO153" s="36">
        <f t="shared" si="60"/>
        <v>3572.3398193062799</v>
      </c>
      <c r="BP153" s="36">
        <f t="shared" si="61"/>
        <v>857040.67646253447</v>
      </c>
    </row>
    <row r="154" spans="1:68">
      <c r="A154" s="32">
        <f t="shared" si="47"/>
        <v>21</v>
      </c>
      <c r="B154" s="32">
        <f t="shared" si="28"/>
        <v>58</v>
      </c>
      <c r="C154" s="32">
        <f t="shared" si="48"/>
        <v>6</v>
      </c>
      <c r="D154" s="32">
        <f t="shared" si="49"/>
        <v>64</v>
      </c>
      <c r="E154" s="74">
        <f>MIN(IF(AV154=0,0,
IF(Investment_Strategy="DIS",VLOOKUP(Investment_Strategy&amp;"_"&amp;Investment_Strategy_Sub1&amp;"_"&amp;$A154,'Investment Strategies'!$AZ:$BP,12,FALSE),
IF(AND(Investment_Strategy="Lifecycle",Investment_Strategy_Sub1="Non-Standard"),VLOOKUP(Investment_Strategy&amp;"_"&amp;Investment_Strategy_Sub2&amp;"_"&amp;$A154,'Investment Strategies'!$C:$P,9,FALSE),
IF(AND(Investment_Strategy="Lifecycle",Investment_Strategy_Sub1="Standard"),VLOOKUP(Investment_Strategy&amp;"_"&amp;Investment_Strategy_Sub2&amp;"_"&amp;$A154,'Investment Strategies'!$AJ:$AV,8,FALSE),
IF(AND(Investment_Strategy="Autopilot",Investment_Strategy_Sub1="Non-Standard"),VLOOKUP(Investment_Strategy&amp;"_"&amp;Investment_Strategy_Sub2&amp;"_"&amp;$A154,'Investment Strategies'!$T:$AF,8,FALSE),
IF(Investment_Strategy ="DIY",DIY_RateOfReturn_CurrentFunds,
"Error")))))),Max_InvReturn)</f>
        <v>4.1816398110932074E-3</v>
      </c>
      <c r="F154" s="62">
        <f>IF(AV154=0,0,
IF(Investment_Strategy="DIS",VLOOKUP(Investment_Strategy&amp;"_"&amp;Investment_Strategy_Sub1&amp;"_"&amp;$A154,'Investment Strategies'!$AZ:$BP,15,FALSE),
IF(AND(Investment_Strategy="Lifecycle",Investment_Strategy_Sub1="Non-Standard"),VLOOKUP(Investment_Strategy&amp;"_"&amp;Investment_Strategy_Sub2&amp;"_"&amp;$A154,'Investment Strategies'!$C:$P,12,FALSE),
IF(AND(Investment_Strategy="Lifecycle",Investment_Strategy_Sub1="Standard"),VLOOKUP(Investment_Strategy&amp;"_"&amp;Investment_Strategy_Sub2&amp;"_"&amp;$A154,'Investment Strategies'!$AJ:$AV,11,FALSE),
IF(AND(Investment_Strategy="Autopilot",Investment_Strategy_Sub1="Non-Standard"),VLOOKUP(Investment_Strategy&amp;"_"&amp;Investment_Strategy_Sub2&amp;"_"&amp;$A154,'Investment Strategies'!$T:$AF,11,FALSE),
IF(Investment_Strategy="DIY",DIY_GteeChrge_CurrentFunds,
"Error"))))))</f>
        <v>5.4328711526985263E-4</v>
      </c>
      <c r="G154" s="33">
        <f>IF(AV154=0,0,
IF(Investment_Strategy="DIS",VLOOKUP(Investment_Strategy&amp;"_"&amp;Investment_Strategy_Sub1&amp;"_"&amp;$A154,'Investment Strategies'!$AZ:$BP,17,FALSE),
IF(AND(Investment_Strategy="Lifecycle",Investment_Strategy_Sub1="Non-Standard"),VLOOKUP(Investment_Strategy&amp;"_"&amp;Investment_Strategy_Sub2&amp;"_"&amp;$A154,'Investment Strategies'!$C:$P,14,FALSE),
IF(AND(Investment_Strategy="Lifecycle",Investment_Strategy_Sub1="Standard"),VLOOKUP(Investment_Strategy&amp;"_"&amp;Investment_Strategy_Sub2&amp;"_"&amp;$A154,'Investment Strategies'!$AJ:$AV,13,FALSE),
IF(AND(Investment_Strategy="Autopilot",Investment_Strategy_Sub1="Non-Standard"),VLOOKUP(Investment_Strategy&amp;"_"&amp;Investment_Strategy_Sub2&amp;"_"&amp;$A154,'Investment Strategies'!$T:$AF,13,FALSE),
IF(Investment_Strategy="DIY",DIY_ExtManChrge_CurrentFunds,
"Error"))))))</f>
        <v>2.0857243058891584E-4</v>
      </c>
      <c r="H154" s="16">
        <f t="shared" si="30"/>
        <v>0</v>
      </c>
      <c r="I154" s="16">
        <f t="shared" si="13"/>
        <v>0</v>
      </c>
      <c r="J154" s="16">
        <f t="shared" si="14"/>
        <v>0</v>
      </c>
      <c r="K154" s="16">
        <f>(Opening_Fund_Value+SUM(K$91:K153))*E154*IF(D154=$A$91,SRP_finalmonthfactor,1)</f>
        <v>0</v>
      </c>
      <c r="L154" s="74">
        <f>MIN(IF($AV154=0,0,
IF(Investment_Strategy="DIS",VLOOKUP(Investment_Strategy&amp;"_"&amp;Investment_Strategy_Sub1&amp;"_"&amp;$A154,'Investment Strategies'!$AZ:$BP,12,FALSE),
IF(AND(Investment_Strategy="Lifecycle",Investment_Strategy_Sub1="Non-Standard"),VLOOKUP(Investment_Strategy&amp;"_"&amp;Investment_Strategy_Sub2&amp;"_"&amp;$A154,'Investment Strategies'!$C:$P,9,FALSE),
IF(AND(Investment_Strategy="Lifecycle",Investment_Strategy_Sub1="Standard"),VLOOKUP(Investment_Strategy&amp;"_"&amp;Investment_Strategy_Sub2&amp;"_"&amp;$A154,'Investment Strategies'!$AJ:$AV,8,FALSE),
IF(AND(Investment_Strategy="Autopilot",Investment_Strategy_Sub1="Non-Standard"),VLOOKUP(Investment_Strategy&amp;"_"&amp;Investment_Strategy_Sub2&amp;"_"&amp;$A154,'Investment Strategies'!$T:$AF,8,FALSE),
IF(Investment_Strategy ="DIY",DIY_RateofReturn_SP,
"Error")))))),Max_InvReturn)</f>
        <v>4.1816398110932074E-3</v>
      </c>
      <c r="M154" s="62">
        <f>IF($AV154=0,0,
IF(Investment_Strategy="DIS",VLOOKUP(Investment_Strategy&amp;"_"&amp;Investment_Strategy_Sub1&amp;"_"&amp;$A154,'Investment Strategies'!$AZ:$BP,15,FALSE),
IF(AND(Investment_Strategy="Lifecycle",Investment_Strategy_Sub1="Non-Standard"),VLOOKUP(Investment_Strategy&amp;"_"&amp;Investment_Strategy_Sub2&amp;"_"&amp;$A154,'Investment Strategies'!$C:$P,12,FALSE),
IF(AND(Investment_Strategy="Lifecycle",Investment_Strategy_Sub1="Standard"),VLOOKUP(Investment_Strategy&amp;"_"&amp;Investment_Strategy_Sub2&amp;"_"&amp;$A154,'Investment Strategies'!$AJ:$AV,11,FALSE),
IF(AND(Investment_Strategy="Autopilot",Investment_Strategy_Sub1="Non-Standard"),VLOOKUP(Investment_Strategy&amp;"_"&amp;Investment_Strategy_Sub2&amp;"_"&amp;$A154,'Investment Strategies'!$T:$AF,11,FALSE),
IF(Investment_Strategy="DIY",DIY_GteeChrge_SP,
"Error"))))))</f>
        <v>0</v>
      </c>
      <c r="N154" s="33">
        <f>IF($AV154=0,0,
IF(Investment_Strategy="DIS",VLOOKUP(Investment_Strategy&amp;"_"&amp;Investment_Strategy_Sub1&amp;"_"&amp;$A154,'Investment Strategies'!$AZ:$BP,17,FALSE),
IF(AND(Investment_Strategy="Lifecycle",Investment_Strategy_Sub1="Non-Standard"),VLOOKUP(Investment_Strategy&amp;"_"&amp;Investment_Strategy_Sub2&amp;"_"&amp;$A154,'Investment Strategies'!$C:$P,14,FALSE),
IF(AND(Investment_Strategy="Lifecycle",Investment_Strategy_Sub1="Standard"),VLOOKUP(Investment_Strategy&amp;"_"&amp;Investment_Strategy_Sub2&amp;"_"&amp;$A154,'Investment Strategies'!$AJ:$AV,13,FALSE),
IF(AND(Investment_Strategy="Autopilot",Investment_Strategy_Sub1="Non-Standard"),VLOOKUP(Investment_Strategy&amp;"_"&amp;Investment_Strategy_Sub2&amp;"_"&amp;$A154,'Investment Strategies'!$T:$AF,13,FALSE),
IF(Investment_Strategy="DIY",DIY_ExtManChrge_SP,
"Error"))))))</f>
        <v>2.0857243058891584E-4</v>
      </c>
      <c r="O154" s="16">
        <f t="shared" si="50"/>
        <v>857040.67646253447</v>
      </c>
      <c r="Q154" s="16">
        <f t="shared" si="15"/>
        <v>3583.8354124219873</v>
      </c>
      <c r="R154" s="16">
        <f t="shared" si="16"/>
        <v>-825.9256393990745</v>
      </c>
      <c r="S154" s="16">
        <f>(SRP_SP+SUM(S$91:S153))*L154*IF(D154=$A$91,SRP_finalmonthfactor,1)</f>
        <v>3807.3086608208232</v>
      </c>
      <c r="T154" s="74">
        <f>MIN(IF($AV154=0,0,
IF(Investment_Strategy="DIS",VLOOKUP(Investment_Strategy&amp;"_"&amp;Investment_Strategy_Sub1&amp;"_"&amp;$A154,'Investment Strategies'!$AZ:$BP,12,FALSE),
IF(AND(Investment_Strategy="Lifecycle",Investment_Strategy_Sub1="Non-Standard"),VLOOKUP(Investment_Strategy&amp;"_"&amp;Investment_Strategy_Sub2&amp;"_"&amp;$A154,'Investment Strategies'!$C:$P,9,FALSE),
IF(AND(Investment_Strategy="Lifecycle",Investment_Strategy_Sub1="Standard"),VLOOKUP(Investment_Strategy&amp;"_"&amp;Investment_Strategy_Sub2&amp;"_"&amp;$A154,'Investment Strategies'!$AJ:$AV,8,FALSE),
IF(AND(Investment_Strategy="Autopilot",Investment_Strategy_Sub1="Non-Standard"),VLOOKUP(Investment_Strategy&amp;"_"&amp;Investment_Strategy_Sub2&amp;"_"&amp;$A154,'Investment Strategies'!$T:$AF,8,FALSE),
IF(Investment_Strategy ="DIY",DIY_RateOfReturn_FuturePremiums,
"Error")))))),Max_InvReturn)</f>
        <v>4.1816398110932074E-3</v>
      </c>
      <c r="U154" s="62">
        <f>IF($AV154=0,0,
IF(Investment_Strategy="DIS",VLOOKUP(Investment_Strategy&amp;"_"&amp;Investment_Strategy_Sub1&amp;"_"&amp;$A154,'Investment Strategies'!$AZ:$BP,15,FALSE),
IF(AND(Investment_Strategy="Lifecycle",Investment_Strategy_Sub1="Non-Standard"),VLOOKUP(Investment_Strategy&amp;"_"&amp;Investment_Strategy_Sub2&amp;"_"&amp;$A154,'Investment Strategies'!$C:$P,12,FALSE),
IF(AND(Investment_Strategy="Lifecycle",Investment_Strategy_Sub1="Standard"),VLOOKUP(Investment_Strategy&amp;"_"&amp;Investment_Strategy_Sub2&amp;"_"&amp;$A154,'Investment Strategies'!$AJ:$AV,11,FALSE),
IF(AND(Investment_Strategy="Autopilot",Investment_Strategy_Sub1="Non-Standard"),VLOOKUP(Investment_Strategy&amp;"_"&amp;Investment_Strategy_Sub2&amp;"_"&amp;$A154,'Investment Strategies'!$T:$AF,11,FALSE),
IF(Investment_Strategy="DIY",DIY_GteeChrge_FuturePremiums,
"Error"))))))</f>
        <v>0</v>
      </c>
      <c r="V154" s="33">
        <f>IF(AV154=0,0,
IF(Investment_Strategy="DIS",VLOOKUP(Investment_Strategy&amp;"_"&amp;Investment_Strategy_Sub1&amp;"_"&amp;$A154,'Investment Strategies'!$AZ:$BP,17,FALSE),
IF(AND(Investment_Strategy="Lifecycle",Investment_Strategy_Sub1="Non-Standard"),VLOOKUP(Investment_Strategy&amp;"_"&amp;Investment_Strategy_Sub2&amp;"_"&amp;$A154,'Investment Strategies'!$C:$P,14,FALSE),
IF(AND(Investment_Strategy="Lifecycle",Investment_Strategy_Sub1="Standard"),VLOOKUP(Investment_Strategy&amp;"_"&amp;Investment_Strategy_Sub2&amp;"_"&amp;$A154,'Investment Strategies'!$AJ:$AV,13,FALSE),
IF(AND(Investment_Strategy="Autopilot",Investment_Strategy_Sub1="Non-Standard"),VLOOKUP(Investment_Strategy&amp;"_"&amp;Investment_Strategy_Sub2&amp;"_"&amp;$A154,'Investment Strategies'!$T:$AF,13,FALSE),
IF(Investment_Strategy="DIY",DIY_ExtManChrge_FuturePremiums,
"Error"))))))</f>
        <v>1.2508601994698498E-4</v>
      </c>
      <c r="W154" s="16">
        <f t="shared" si="51"/>
        <v>0</v>
      </c>
      <c r="X154" s="16">
        <f t="shared" si="17"/>
        <v>0</v>
      </c>
      <c r="Y154" s="16">
        <f t="shared" si="18"/>
        <v>0</v>
      </c>
      <c r="Z154" s="31">
        <f t="shared" si="19"/>
        <v>0.02</v>
      </c>
      <c r="AA154" s="16">
        <f t="shared" si="20"/>
        <v>0</v>
      </c>
      <c r="AB154" s="28">
        <f t="shared" si="53"/>
        <v>910482.21100264473</v>
      </c>
      <c r="AC154" s="28">
        <f>(SUM($AC$91:AC153)+SUM($X$91:X153)+X154)*T154*IF(D154=$A$91,SRP_finalmonthfactor,1)</f>
        <v>0</v>
      </c>
      <c r="AD154" s="16">
        <f t="shared" si="21"/>
        <v>-179.12880163475918</v>
      </c>
      <c r="AE154" s="106"/>
      <c r="AF154" s="16">
        <f t="shared" si="52"/>
        <v>857040.67646253447</v>
      </c>
      <c r="AG154" s="16">
        <f t="shared" si="31"/>
        <v>3807.3086608208232</v>
      </c>
      <c r="AH154" s="16">
        <f t="shared" si="32"/>
        <v>-825.9256393990745</v>
      </c>
      <c r="AJ154" s="13">
        <f t="shared" si="67"/>
        <v>0</v>
      </c>
      <c r="AK154" s="13">
        <f t="shared" si="67"/>
        <v>0</v>
      </c>
      <c r="AL154" s="13">
        <f t="shared" si="67"/>
        <v>0</v>
      </c>
      <c r="AM154" s="13">
        <f t="shared" si="67"/>
        <v>0</v>
      </c>
      <c r="AN154" s="13">
        <f t="shared" si="67"/>
        <v>0</v>
      </c>
      <c r="AO154" s="13">
        <f t="shared" si="67"/>
        <v>1</v>
      </c>
      <c r="AP154" s="13">
        <f t="shared" si="67"/>
        <v>1</v>
      </c>
      <c r="AQ154" s="13">
        <f t="shared" si="67"/>
        <v>1</v>
      </c>
      <c r="AR154" s="13">
        <f t="shared" si="67"/>
        <v>1</v>
      </c>
      <c r="AS154" s="13">
        <f t="shared" si="67"/>
        <v>1</v>
      </c>
      <c r="AT154" s="13">
        <f t="shared" si="67"/>
        <v>1</v>
      </c>
      <c r="AU154" s="13">
        <f t="shared" si="67"/>
        <v>1</v>
      </c>
      <c r="AV154" s="13">
        <f t="shared" si="23"/>
        <v>1</v>
      </c>
      <c r="AW154" s="13">
        <f t="shared" si="33"/>
        <v>1</v>
      </c>
      <c r="AY154" s="17">
        <f t="shared" si="24"/>
        <v>64</v>
      </c>
      <c r="AZ154" s="28">
        <f t="shared" si="34"/>
        <v>0</v>
      </c>
      <c r="BA154" s="13">
        <f t="shared" si="25"/>
        <v>0</v>
      </c>
      <c r="BB154" s="13">
        <f t="shared" si="26"/>
        <v>0</v>
      </c>
      <c r="BC154" s="28">
        <f t="shared" si="35"/>
        <v>0</v>
      </c>
      <c r="BD154" s="28">
        <f t="shared" si="36"/>
        <v>0</v>
      </c>
      <c r="BF154" s="248">
        <f t="shared" si="37"/>
        <v>914289.51966346556</v>
      </c>
      <c r="BG154" s="36">
        <f t="shared" si="54"/>
        <v>0</v>
      </c>
      <c r="BH154" s="36">
        <f t="shared" si="55"/>
        <v>857040.67646253447</v>
      </c>
      <c r="BI154" s="249">
        <f t="shared" si="56"/>
        <v>4.1816398110932074E-3</v>
      </c>
      <c r="BJ154" s="246">
        <f t="shared" si="57"/>
        <v>2.0857243058891584E-4</v>
      </c>
      <c r="BK154" s="246">
        <f t="shared" si="27"/>
        <v>7.531116566323881E-4</v>
      </c>
      <c r="BL154" s="246">
        <f t="shared" si="58"/>
        <v>0</v>
      </c>
      <c r="BM154" s="246">
        <f t="shared" si="59"/>
        <v>9.6168408722130394E-4</v>
      </c>
      <c r="BN154" s="36">
        <f t="shared" si="44"/>
        <v>825.92563939907438</v>
      </c>
      <c r="BO154" s="36">
        <f t="shared" si="60"/>
        <v>3583.8354124219873</v>
      </c>
      <c r="BP154" s="36">
        <f t="shared" si="61"/>
        <v>859798.58623555733</v>
      </c>
    </row>
    <row r="155" spans="1:68">
      <c r="A155" s="32">
        <f t="shared" si="47"/>
        <v>20</v>
      </c>
      <c r="B155" s="32">
        <f t="shared" si="28"/>
        <v>58</v>
      </c>
      <c r="C155" s="32">
        <f t="shared" si="48"/>
        <v>6</v>
      </c>
      <c r="D155" s="32">
        <f t="shared" si="49"/>
        <v>65</v>
      </c>
      <c r="E155" s="74">
        <f>MIN(IF(AV155=0,0,
IF(Investment_Strategy="DIS",VLOOKUP(Investment_Strategy&amp;"_"&amp;Investment_Strategy_Sub1&amp;"_"&amp;$A155,'Investment Strategies'!$AZ:$BP,12,FALSE),
IF(AND(Investment_Strategy="Lifecycle",Investment_Strategy_Sub1="Non-Standard"),VLOOKUP(Investment_Strategy&amp;"_"&amp;Investment_Strategy_Sub2&amp;"_"&amp;$A155,'Investment Strategies'!$C:$P,9,FALSE),
IF(AND(Investment_Strategy="Lifecycle",Investment_Strategy_Sub1="Standard"),VLOOKUP(Investment_Strategy&amp;"_"&amp;Investment_Strategy_Sub2&amp;"_"&amp;$A155,'Investment Strategies'!$AJ:$AV,8,FALSE),
IF(AND(Investment_Strategy="Autopilot",Investment_Strategy_Sub1="Non-Standard"),VLOOKUP(Investment_Strategy&amp;"_"&amp;Investment_Strategy_Sub2&amp;"_"&amp;$A155,'Investment Strategies'!$T:$AF,8,FALSE),
IF(Investment_Strategy ="DIY",DIY_RateOfReturn_CurrentFunds,
"Error")))))),Max_InvReturn)</f>
        <v>4.1816398110932074E-3</v>
      </c>
      <c r="F155" s="62">
        <f>IF(AV155=0,0,
IF(Investment_Strategy="DIS",VLOOKUP(Investment_Strategy&amp;"_"&amp;Investment_Strategy_Sub1&amp;"_"&amp;$A155,'Investment Strategies'!$AZ:$BP,15,FALSE),
IF(AND(Investment_Strategy="Lifecycle",Investment_Strategy_Sub1="Non-Standard"),VLOOKUP(Investment_Strategy&amp;"_"&amp;Investment_Strategy_Sub2&amp;"_"&amp;$A155,'Investment Strategies'!$C:$P,12,FALSE),
IF(AND(Investment_Strategy="Lifecycle",Investment_Strategy_Sub1="Standard"),VLOOKUP(Investment_Strategy&amp;"_"&amp;Investment_Strategy_Sub2&amp;"_"&amp;$A155,'Investment Strategies'!$AJ:$AV,11,FALSE),
IF(AND(Investment_Strategy="Autopilot",Investment_Strategy_Sub1="Non-Standard"),VLOOKUP(Investment_Strategy&amp;"_"&amp;Investment_Strategy_Sub2&amp;"_"&amp;$A155,'Investment Strategies'!$T:$AF,11,FALSE),
IF(Investment_Strategy="DIY",DIY_GteeChrge_CurrentFunds,
"Error"))))))</f>
        <v>5.4328711526985263E-4</v>
      </c>
      <c r="G155" s="33">
        <f>IF(AV155=0,0,
IF(Investment_Strategy="DIS",VLOOKUP(Investment_Strategy&amp;"_"&amp;Investment_Strategy_Sub1&amp;"_"&amp;$A155,'Investment Strategies'!$AZ:$BP,17,FALSE),
IF(AND(Investment_Strategy="Lifecycle",Investment_Strategy_Sub1="Non-Standard"),VLOOKUP(Investment_Strategy&amp;"_"&amp;Investment_Strategy_Sub2&amp;"_"&amp;$A155,'Investment Strategies'!$C:$P,14,FALSE),
IF(AND(Investment_Strategy="Lifecycle",Investment_Strategy_Sub1="Standard"),VLOOKUP(Investment_Strategy&amp;"_"&amp;Investment_Strategy_Sub2&amp;"_"&amp;$A155,'Investment Strategies'!$AJ:$AV,13,FALSE),
IF(AND(Investment_Strategy="Autopilot",Investment_Strategy_Sub1="Non-Standard"),VLOOKUP(Investment_Strategy&amp;"_"&amp;Investment_Strategy_Sub2&amp;"_"&amp;$A155,'Investment Strategies'!$T:$AF,13,FALSE),
IF(Investment_Strategy="DIY",DIY_ExtManChrge_CurrentFunds,
"Error"))))))</f>
        <v>2.0857243058891584E-4</v>
      </c>
      <c r="H155" s="16">
        <f t="shared" si="30"/>
        <v>0</v>
      </c>
      <c r="I155" s="16">
        <f t="shared" ref="I155:I218" si="68">(H155*E155)*IF(D155=$A$91,SRP_finalmonthfactor,1)</f>
        <v>0</v>
      </c>
      <c r="J155" s="16">
        <f t="shared" ref="J155:J218" si="69">IF($AV155=0,0,
-((H155+I155/2)*(SRP_Monthly_Admin_Chge+F155+G155)*IF(D155=$A$91,SRP_finalmonthfactor,1)))</f>
        <v>0</v>
      </c>
      <c r="K155" s="16">
        <f>(Opening_Fund_Value+SUM(K$91:K154))*E155*IF(D155=$A$91,SRP_finalmonthfactor,1)</f>
        <v>0</v>
      </c>
      <c r="L155" s="74">
        <f>MIN(IF($AV155=0,0,
IF(Investment_Strategy="DIS",VLOOKUP(Investment_Strategy&amp;"_"&amp;Investment_Strategy_Sub1&amp;"_"&amp;$A155,'Investment Strategies'!$AZ:$BP,12,FALSE),
IF(AND(Investment_Strategy="Lifecycle",Investment_Strategy_Sub1="Non-Standard"),VLOOKUP(Investment_Strategy&amp;"_"&amp;Investment_Strategy_Sub2&amp;"_"&amp;$A155,'Investment Strategies'!$C:$P,9,FALSE),
IF(AND(Investment_Strategy="Lifecycle",Investment_Strategy_Sub1="Standard"),VLOOKUP(Investment_Strategy&amp;"_"&amp;Investment_Strategy_Sub2&amp;"_"&amp;$A155,'Investment Strategies'!$AJ:$AV,8,FALSE),
IF(AND(Investment_Strategy="Autopilot",Investment_Strategy_Sub1="Non-Standard"),VLOOKUP(Investment_Strategy&amp;"_"&amp;Investment_Strategy_Sub2&amp;"_"&amp;$A155,'Investment Strategies'!$T:$AF,8,FALSE),
IF(Investment_Strategy ="DIY",DIY_RateofReturn_SP,
"Error")))))),Max_InvReturn)</f>
        <v>4.1816398110932074E-3</v>
      </c>
      <c r="M155" s="62">
        <f>IF($AV155=0,0,
IF(Investment_Strategy="DIS",VLOOKUP(Investment_Strategy&amp;"_"&amp;Investment_Strategy_Sub1&amp;"_"&amp;$A155,'Investment Strategies'!$AZ:$BP,15,FALSE),
IF(AND(Investment_Strategy="Lifecycle",Investment_Strategy_Sub1="Non-Standard"),VLOOKUP(Investment_Strategy&amp;"_"&amp;Investment_Strategy_Sub2&amp;"_"&amp;$A155,'Investment Strategies'!$C:$P,12,FALSE),
IF(AND(Investment_Strategy="Lifecycle",Investment_Strategy_Sub1="Standard"),VLOOKUP(Investment_Strategy&amp;"_"&amp;Investment_Strategy_Sub2&amp;"_"&amp;$A155,'Investment Strategies'!$AJ:$AV,11,FALSE),
IF(AND(Investment_Strategy="Autopilot",Investment_Strategy_Sub1="Non-Standard"),VLOOKUP(Investment_Strategy&amp;"_"&amp;Investment_Strategy_Sub2&amp;"_"&amp;$A155,'Investment Strategies'!$T:$AF,11,FALSE),
IF(Investment_Strategy="DIY",DIY_GteeChrge_SP,
"Error"))))))</f>
        <v>0</v>
      </c>
      <c r="N155" s="33">
        <f>IF($AV155=0,0,
IF(Investment_Strategy="DIS",VLOOKUP(Investment_Strategy&amp;"_"&amp;Investment_Strategy_Sub1&amp;"_"&amp;$A155,'Investment Strategies'!$AZ:$BP,17,FALSE),
IF(AND(Investment_Strategy="Lifecycle",Investment_Strategy_Sub1="Non-Standard"),VLOOKUP(Investment_Strategy&amp;"_"&amp;Investment_Strategy_Sub2&amp;"_"&amp;$A155,'Investment Strategies'!$C:$P,14,FALSE),
IF(AND(Investment_Strategy="Lifecycle",Investment_Strategy_Sub1="Standard"),VLOOKUP(Investment_Strategy&amp;"_"&amp;Investment_Strategy_Sub2&amp;"_"&amp;$A155,'Investment Strategies'!$AJ:$AV,13,FALSE),
IF(AND(Investment_Strategy="Autopilot",Investment_Strategy_Sub1="Non-Standard"),VLOOKUP(Investment_Strategy&amp;"_"&amp;Investment_Strategy_Sub2&amp;"_"&amp;$A155,'Investment Strategies'!$T:$AF,13,FALSE),
IF(Investment_Strategy="DIY",DIY_ExtManChrge_SP,
"Error"))))))</f>
        <v>2.0857243058891584E-4</v>
      </c>
      <c r="O155" s="16">
        <f t="shared" si="50"/>
        <v>859798.58623555733</v>
      </c>
      <c r="Q155" s="16">
        <f t="shared" ref="Q155:Q218" si="70">(O155+(P155*(1-SRP_Contrib_Chge_SP)))*L155*IF(D155=$A$91,SRP_finalmonthfactor,1)</f>
        <v>3595.3679977242628</v>
      </c>
      <c r="R155" s="16">
        <f t="shared" ref="R155:R218" si="71">IF($AV155=0,0,
-(($O155+($P155)*(1-SRP_Contrib_Chge_SP)+Q155/2)*(SRP_Monthly_Admin_Chge+$M155+$N155)*IF(D155=$A$91,SRP_finalmonthfactor,1)+
($P155)*SRP_Contrib_Chge_SP))</f>
        <v>-828.58342269366767</v>
      </c>
      <c r="S155" s="16">
        <f>(SRP_SP+SUM(S$91:S154))*L155*IF(D155=$A$91,SRP_finalmonthfactor,1)</f>
        <v>3823.2294542900313</v>
      </c>
      <c r="T155" s="74">
        <f>MIN(IF($AV155=0,0,
IF(Investment_Strategy="DIS",VLOOKUP(Investment_Strategy&amp;"_"&amp;Investment_Strategy_Sub1&amp;"_"&amp;$A155,'Investment Strategies'!$AZ:$BP,12,FALSE),
IF(AND(Investment_Strategy="Lifecycle",Investment_Strategy_Sub1="Non-Standard"),VLOOKUP(Investment_Strategy&amp;"_"&amp;Investment_Strategy_Sub2&amp;"_"&amp;$A155,'Investment Strategies'!$C:$P,9,FALSE),
IF(AND(Investment_Strategy="Lifecycle",Investment_Strategy_Sub1="Standard"),VLOOKUP(Investment_Strategy&amp;"_"&amp;Investment_Strategy_Sub2&amp;"_"&amp;$A155,'Investment Strategies'!$AJ:$AV,8,FALSE),
IF(AND(Investment_Strategy="Autopilot",Investment_Strategy_Sub1="Non-Standard"),VLOOKUP(Investment_Strategy&amp;"_"&amp;Investment_Strategy_Sub2&amp;"_"&amp;$A155,'Investment Strategies'!$T:$AF,8,FALSE),
IF(Investment_Strategy ="DIY",DIY_RateOfReturn_FuturePremiums,
"Error")))))),Max_InvReturn)</f>
        <v>4.1816398110932074E-3</v>
      </c>
      <c r="U155" s="62">
        <f>IF($AV155=0,0,
IF(Investment_Strategy="DIS",VLOOKUP(Investment_Strategy&amp;"_"&amp;Investment_Strategy_Sub1&amp;"_"&amp;$A155,'Investment Strategies'!$AZ:$BP,15,FALSE),
IF(AND(Investment_Strategy="Lifecycle",Investment_Strategy_Sub1="Non-Standard"),VLOOKUP(Investment_Strategy&amp;"_"&amp;Investment_Strategy_Sub2&amp;"_"&amp;$A155,'Investment Strategies'!$C:$P,12,FALSE),
IF(AND(Investment_Strategy="Lifecycle",Investment_Strategy_Sub1="Standard"),VLOOKUP(Investment_Strategy&amp;"_"&amp;Investment_Strategy_Sub2&amp;"_"&amp;$A155,'Investment Strategies'!$AJ:$AV,11,FALSE),
IF(AND(Investment_Strategy="Autopilot",Investment_Strategy_Sub1="Non-Standard"),VLOOKUP(Investment_Strategy&amp;"_"&amp;Investment_Strategy_Sub2&amp;"_"&amp;$A155,'Investment Strategies'!$T:$AF,11,FALSE),
IF(Investment_Strategy="DIY",DIY_GteeChrge_FuturePremiums,
"Error"))))))</f>
        <v>0</v>
      </c>
      <c r="V155" s="33">
        <f>IF(AV155=0,0,
IF(Investment_Strategy="DIS",VLOOKUP(Investment_Strategy&amp;"_"&amp;Investment_Strategy_Sub1&amp;"_"&amp;$A155,'Investment Strategies'!$AZ:$BP,17,FALSE),
IF(AND(Investment_Strategy="Lifecycle",Investment_Strategy_Sub1="Non-Standard"),VLOOKUP(Investment_Strategy&amp;"_"&amp;Investment_Strategy_Sub2&amp;"_"&amp;$A155,'Investment Strategies'!$C:$P,14,FALSE),
IF(AND(Investment_Strategy="Lifecycle",Investment_Strategy_Sub1="Standard"),VLOOKUP(Investment_Strategy&amp;"_"&amp;Investment_Strategy_Sub2&amp;"_"&amp;$A155,'Investment Strategies'!$AJ:$AV,13,FALSE),
IF(AND(Investment_Strategy="Autopilot",Investment_Strategy_Sub1="Non-Standard"),VLOOKUP(Investment_Strategy&amp;"_"&amp;Investment_Strategy_Sub2&amp;"_"&amp;$A155,'Investment Strategies'!$T:$AF,13,FALSE),
IF(Investment_Strategy="DIY",DIY_ExtManChrge_FuturePremiums,
"Error"))))))</f>
        <v>1.2508601994698498E-4</v>
      </c>
      <c r="W155" s="16">
        <f t="shared" si="51"/>
        <v>0</v>
      </c>
      <c r="X155" s="16">
        <f t="shared" ref="X155:X218" si="72">SRP_AP/Contributions_per_year * (1+MIN(Max_Contrib_Escalation,SRP_Contrib_Escalation))^($C155-1) * $AV155 * $AW155</f>
        <v>0</v>
      </c>
      <c r="Y155" s="16">
        <f t="shared" ref="Y155:Y218" si="73">(W155+(X155*(1-Z155)))*T155*IF(D155=$A$91,SRP_finalmonthfactor,1)</f>
        <v>0</v>
      </c>
      <c r="Z155" s="31">
        <f t="shared" ref="Z155:Z218" si="74">IF(X155/(12/Contributions_per_year)&lt;=99.99,2%,0%)*AW155</f>
        <v>0.02</v>
      </c>
      <c r="AA155" s="16">
        <f t="shared" ref="AA155:AA218" si="75">IF($AV155=0,0,
-(($W155+($X155)*(1-Z155)+Y155/2)*(SRP_Monthly_Admin_Chge+$U155+$V155)*IF(D155=$A$91,SRP_finalmonthfactor,1)+
+($X155)*Z155))</f>
        <v>0</v>
      </c>
      <c r="AB155" s="28">
        <f t="shared" si="53"/>
        <v>914289.51966346556</v>
      </c>
      <c r="AC155" s="28">
        <f>(SUM($AC$91:AC154)+SUM($X$91:X154)+X155)*T155*IF(D155=$A$91,SRP_finalmonthfactor,1)</f>
        <v>0</v>
      </c>
      <c r="AD155" s="16">
        <f t="shared" ref="AD155:AD218" si="76">IF($AV155=0,0,
IF((SRP_ValDate-SRP_PolicyStartDate)+(365*(D155-1)/12)&lt;365,-(($H155+$I155/2+$O155+$P155+Q155/2+$W155+$X155+Y155/2)*(SRP_Ren_Com_Mthly)+($P155*SRP_Init_Com_SP)+($X155*SRP_Init_Com_RP)),
-((H$91+$I155/2+$O155+$P155+Q155/2+$W155+$X155+Y155/2)*(SRP_Ren_Com_Mthly))))</f>
        <v>-179.70522826913722</v>
      </c>
      <c r="AE155" s="106"/>
      <c r="AF155" s="16">
        <f t="shared" si="52"/>
        <v>859798.58623555733</v>
      </c>
      <c r="AG155" s="16">
        <f t="shared" si="31"/>
        <v>3823.2294542900313</v>
      </c>
      <c r="AH155" s="16">
        <f t="shared" si="32"/>
        <v>-828.58342269366767</v>
      </c>
      <c r="AJ155" s="13">
        <f t="shared" si="67"/>
        <v>0</v>
      </c>
      <c r="AK155" s="13">
        <f t="shared" si="67"/>
        <v>0</v>
      </c>
      <c r="AL155" s="13">
        <f t="shared" si="67"/>
        <v>0</v>
      </c>
      <c r="AM155" s="13">
        <f t="shared" si="67"/>
        <v>0</v>
      </c>
      <c r="AN155" s="13">
        <f t="shared" si="67"/>
        <v>0</v>
      </c>
      <c r="AO155" s="13">
        <f t="shared" si="67"/>
        <v>1</v>
      </c>
      <c r="AP155" s="13">
        <f t="shared" si="67"/>
        <v>1</v>
      </c>
      <c r="AQ155" s="13">
        <f t="shared" si="67"/>
        <v>1</v>
      </c>
      <c r="AR155" s="13">
        <f t="shared" si="67"/>
        <v>1</v>
      </c>
      <c r="AS155" s="13">
        <f t="shared" si="67"/>
        <v>1</v>
      </c>
      <c r="AT155" s="13">
        <f t="shared" si="67"/>
        <v>1</v>
      </c>
      <c r="AU155" s="13">
        <f t="shared" si="67"/>
        <v>1</v>
      </c>
      <c r="AV155" s="13">
        <f t="shared" ref="AV155:AV218" si="77">IF($B155&lt;SRP_NRA,1,0)</f>
        <v>1</v>
      </c>
      <c r="AW155" s="13">
        <f t="shared" ref="AW155:AW218" si="78">IF($I$60 = "Yes",IF(SRP_PremFreq = "Annual",IF(MOD(D155-1, 12) = 0, 1, 0), IF(SRP_PremFreq = "Half-Yearly", IF(MOD(D155-1, 6) = 0, 1, 0), IF(SRP_PremFreq = "Quarterly", IF(MOD(D155-1, 3) = 0, 1, 0), IF(SRP_PremFreq = "Monthly", IF(MOD(D155-1, 1) = 0, 1, 0), "Error")))),0)</f>
        <v>1</v>
      </c>
      <c r="AY155" s="17">
        <f t="shared" ref="AY155:AY218" si="79">D155</f>
        <v>65</v>
      </c>
      <c r="AZ155" s="28">
        <f t="shared" si="34"/>
        <v>0</v>
      </c>
      <c r="BA155" s="13">
        <f t="shared" ref="BA155:BA218" si="80">-IF(A155=0,$F$32,0)</f>
        <v>0</v>
      </c>
      <c r="BB155" s="13">
        <f t="shared" ref="BB155:BB218" si="81">-IF(A155=0,$G$32,0)</f>
        <v>0</v>
      </c>
      <c r="BC155" s="28">
        <f t="shared" si="35"/>
        <v>0</v>
      </c>
      <c r="BD155" s="28">
        <f t="shared" si="36"/>
        <v>0</v>
      </c>
      <c r="BF155" s="248">
        <f t="shared" si="37"/>
        <v>918112.74911775556</v>
      </c>
      <c r="BG155" s="36">
        <f t="shared" si="54"/>
        <v>0</v>
      </c>
      <c r="BH155" s="36">
        <f t="shared" si="55"/>
        <v>859798.58623555733</v>
      </c>
      <c r="BI155" s="249">
        <f t="shared" si="56"/>
        <v>4.1816398110932074E-3</v>
      </c>
      <c r="BJ155" s="246">
        <f t="shared" si="57"/>
        <v>2.0857243058891584E-4</v>
      </c>
      <c r="BK155" s="246">
        <f t="shared" ref="BK155:BK218" si="82">SRP_Monthly_Admin_Chge+U155</f>
        <v>7.531116566323881E-4</v>
      </c>
      <c r="BL155" s="246">
        <f t="shared" si="58"/>
        <v>0</v>
      </c>
      <c r="BM155" s="246">
        <f t="shared" si="59"/>
        <v>9.6168408722130394E-4</v>
      </c>
      <c r="BN155" s="36">
        <f t="shared" si="44"/>
        <v>828.58342269366756</v>
      </c>
      <c r="BO155" s="36">
        <f t="shared" si="60"/>
        <v>3595.3679977242628</v>
      </c>
      <c r="BP155" s="36">
        <f t="shared" si="61"/>
        <v>862565.37081058789</v>
      </c>
    </row>
    <row r="156" spans="1:68">
      <c r="A156" s="32">
        <f t="shared" si="47"/>
        <v>19</v>
      </c>
      <c r="B156" s="32">
        <f t="shared" ref="B156:B219" si="83">INT(SRP_Current_Age+D155/12)</f>
        <v>58</v>
      </c>
      <c r="C156" s="32">
        <f t="shared" si="48"/>
        <v>6</v>
      </c>
      <c r="D156" s="32">
        <f t="shared" si="49"/>
        <v>66</v>
      </c>
      <c r="E156" s="74">
        <f>MIN(IF(AV156=0,0,
IF(Investment_Strategy="DIS",VLOOKUP(Investment_Strategy&amp;"_"&amp;Investment_Strategy_Sub1&amp;"_"&amp;$A156,'Investment Strategies'!$AZ:$BP,12,FALSE),
IF(AND(Investment_Strategy="Lifecycle",Investment_Strategy_Sub1="Non-Standard"),VLOOKUP(Investment_Strategy&amp;"_"&amp;Investment_Strategy_Sub2&amp;"_"&amp;$A156,'Investment Strategies'!$C:$P,9,FALSE),
IF(AND(Investment_Strategy="Lifecycle",Investment_Strategy_Sub1="Standard"),VLOOKUP(Investment_Strategy&amp;"_"&amp;Investment_Strategy_Sub2&amp;"_"&amp;$A156,'Investment Strategies'!$AJ:$AV,8,FALSE),
IF(AND(Investment_Strategy="Autopilot",Investment_Strategy_Sub1="Non-Standard"),VLOOKUP(Investment_Strategy&amp;"_"&amp;Investment_Strategy_Sub2&amp;"_"&amp;$A156,'Investment Strategies'!$T:$AF,8,FALSE),
IF(Investment_Strategy ="DIY",DIY_RateOfReturn_CurrentFunds,
"Error")))))),Max_InvReturn)</f>
        <v>4.1816398110932074E-3</v>
      </c>
      <c r="F156" s="62">
        <f>IF(AV156=0,0,
IF(Investment_Strategy="DIS",VLOOKUP(Investment_Strategy&amp;"_"&amp;Investment_Strategy_Sub1&amp;"_"&amp;$A156,'Investment Strategies'!$AZ:$BP,15,FALSE),
IF(AND(Investment_Strategy="Lifecycle",Investment_Strategy_Sub1="Non-Standard"),VLOOKUP(Investment_Strategy&amp;"_"&amp;Investment_Strategy_Sub2&amp;"_"&amp;$A156,'Investment Strategies'!$C:$P,12,FALSE),
IF(AND(Investment_Strategy="Lifecycle",Investment_Strategy_Sub1="Standard"),VLOOKUP(Investment_Strategy&amp;"_"&amp;Investment_Strategy_Sub2&amp;"_"&amp;$A156,'Investment Strategies'!$AJ:$AV,11,FALSE),
IF(AND(Investment_Strategy="Autopilot",Investment_Strategy_Sub1="Non-Standard"),VLOOKUP(Investment_Strategy&amp;"_"&amp;Investment_Strategy_Sub2&amp;"_"&amp;$A156,'Investment Strategies'!$T:$AF,11,FALSE),
IF(Investment_Strategy="DIY",DIY_GteeChrge_CurrentFunds,
"Error"))))))</f>
        <v>5.4328711526985263E-4</v>
      </c>
      <c r="G156" s="33">
        <f>IF(AV156=0,0,
IF(Investment_Strategy="DIS",VLOOKUP(Investment_Strategy&amp;"_"&amp;Investment_Strategy_Sub1&amp;"_"&amp;$A156,'Investment Strategies'!$AZ:$BP,17,FALSE),
IF(AND(Investment_Strategy="Lifecycle",Investment_Strategy_Sub1="Non-Standard"),VLOOKUP(Investment_Strategy&amp;"_"&amp;Investment_Strategy_Sub2&amp;"_"&amp;$A156,'Investment Strategies'!$C:$P,14,FALSE),
IF(AND(Investment_Strategy="Lifecycle",Investment_Strategy_Sub1="Standard"),VLOOKUP(Investment_Strategy&amp;"_"&amp;Investment_Strategy_Sub2&amp;"_"&amp;$A156,'Investment Strategies'!$AJ:$AV,13,FALSE),
IF(AND(Investment_Strategy="Autopilot",Investment_Strategy_Sub1="Non-Standard"),VLOOKUP(Investment_Strategy&amp;"_"&amp;Investment_Strategy_Sub2&amp;"_"&amp;$A156,'Investment Strategies'!$T:$AF,13,FALSE),
IF(Investment_Strategy="DIY",DIY_ExtManChrge_CurrentFunds,
"Error"))))))</f>
        <v>2.0857243058891584E-4</v>
      </c>
      <c r="H156" s="16">
        <f t="shared" ref="H156:H219" si="84">IF($AV155=0,0,SUM(H155:J155))</f>
        <v>0</v>
      </c>
      <c r="I156" s="16">
        <f t="shared" si="68"/>
        <v>0</v>
      </c>
      <c r="J156" s="16">
        <f t="shared" si="69"/>
        <v>0</v>
      </c>
      <c r="K156" s="16">
        <f>(Opening_Fund_Value+SUM(K$91:K155))*E156*IF(D156=$A$91,SRP_finalmonthfactor,1)</f>
        <v>0</v>
      </c>
      <c r="L156" s="74">
        <f>MIN(IF($AV156=0,0,
IF(Investment_Strategy="DIS",VLOOKUP(Investment_Strategy&amp;"_"&amp;Investment_Strategy_Sub1&amp;"_"&amp;$A156,'Investment Strategies'!$AZ:$BP,12,FALSE),
IF(AND(Investment_Strategy="Lifecycle",Investment_Strategy_Sub1="Non-Standard"),VLOOKUP(Investment_Strategy&amp;"_"&amp;Investment_Strategy_Sub2&amp;"_"&amp;$A156,'Investment Strategies'!$C:$P,9,FALSE),
IF(AND(Investment_Strategy="Lifecycle",Investment_Strategy_Sub1="Standard"),VLOOKUP(Investment_Strategy&amp;"_"&amp;Investment_Strategy_Sub2&amp;"_"&amp;$A156,'Investment Strategies'!$AJ:$AV,8,FALSE),
IF(AND(Investment_Strategy="Autopilot",Investment_Strategy_Sub1="Non-Standard"),VLOOKUP(Investment_Strategy&amp;"_"&amp;Investment_Strategy_Sub2&amp;"_"&amp;$A156,'Investment Strategies'!$T:$AF,8,FALSE),
IF(Investment_Strategy ="DIY",DIY_RateofReturn_SP,
"Error")))))),Max_InvReturn)</f>
        <v>4.1816398110932074E-3</v>
      </c>
      <c r="M156" s="62">
        <f>IF($AV156=0,0,
IF(Investment_Strategy="DIS",VLOOKUP(Investment_Strategy&amp;"_"&amp;Investment_Strategy_Sub1&amp;"_"&amp;$A156,'Investment Strategies'!$AZ:$BP,15,FALSE),
IF(AND(Investment_Strategy="Lifecycle",Investment_Strategy_Sub1="Non-Standard"),VLOOKUP(Investment_Strategy&amp;"_"&amp;Investment_Strategy_Sub2&amp;"_"&amp;$A156,'Investment Strategies'!$C:$P,12,FALSE),
IF(AND(Investment_Strategy="Lifecycle",Investment_Strategy_Sub1="Standard"),VLOOKUP(Investment_Strategy&amp;"_"&amp;Investment_Strategy_Sub2&amp;"_"&amp;$A156,'Investment Strategies'!$AJ:$AV,11,FALSE),
IF(AND(Investment_Strategy="Autopilot",Investment_Strategy_Sub1="Non-Standard"),VLOOKUP(Investment_Strategy&amp;"_"&amp;Investment_Strategy_Sub2&amp;"_"&amp;$A156,'Investment Strategies'!$T:$AF,11,FALSE),
IF(Investment_Strategy="DIY",DIY_GteeChrge_SP,
"Error"))))))</f>
        <v>0</v>
      </c>
      <c r="N156" s="33">
        <f>IF($AV156=0,0,
IF(Investment_Strategy="DIS",VLOOKUP(Investment_Strategy&amp;"_"&amp;Investment_Strategy_Sub1&amp;"_"&amp;$A156,'Investment Strategies'!$AZ:$BP,17,FALSE),
IF(AND(Investment_Strategy="Lifecycle",Investment_Strategy_Sub1="Non-Standard"),VLOOKUP(Investment_Strategy&amp;"_"&amp;Investment_Strategy_Sub2&amp;"_"&amp;$A156,'Investment Strategies'!$C:$P,14,FALSE),
IF(AND(Investment_Strategy="Lifecycle",Investment_Strategy_Sub1="Standard"),VLOOKUP(Investment_Strategy&amp;"_"&amp;Investment_Strategy_Sub2&amp;"_"&amp;$A156,'Investment Strategies'!$AJ:$AV,13,FALSE),
IF(AND(Investment_Strategy="Autopilot",Investment_Strategy_Sub1="Non-Standard"),VLOOKUP(Investment_Strategy&amp;"_"&amp;Investment_Strategy_Sub2&amp;"_"&amp;$A156,'Investment Strategies'!$T:$AF,13,FALSE),
IF(Investment_Strategy="DIY",DIY_ExtManChrge_SP,
"Error"))))))</f>
        <v>2.0857243058891584E-4</v>
      </c>
      <c r="O156" s="16">
        <f t="shared" si="50"/>
        <v>862565.37081058789</v>
      </c>
      <c r="Q156" s="16">
        <f t="shared" si="70"/>
        <v>3606.9376942519293</v>
      </c>
      <c r="R156" s="16">
        <f t="shared" si="71"/>
        <v>-831.24975858876621</v>
      </c>
      <c r="S156" s="16">
        <f>(SRP_SP+SUM(S$91:S155))*L156*IF(D156=$A$91,SRP_finalmonthfactor,1)</f>
        <v>3839.2168227830348</v>
      </c>
      <c r="T156" s="74">
        <f>MIN(IF($AV156=0,0,
IF(Investment_Strategy="DIS",VLOOKUP(Investment_Strategy&amp;"_"&amp;Investment_Strategy_Sub1&amp;"_"&amp;$A156,'Investment Strategies'!$AZ:$BP,12,FALSE),
IF(AND(Investment_Strategy="Lifecycle",Investment_Strategy_Sub1="Non-Standard"),VLOOKUP(Investment_Strategy&amp;"_"&amp;Investment_Strategy_Sub2&amp;"_"&amp;$A156,'Investment Strategies'!$C:$P,9,FALSE),
IF(AND(Investment_Strategy="Lifecycle",Investment_Strategy_Sub1="Standard"),VLOOKUP(Investment_Strategy&amp;"_"&amp;Investment_Strategy_Sub2&amp;"_"&amp;$A156,'Investment Strategies'!$AJ:$AV,8,FALSE),
IF(AND(Investment_Strategy="Autopilot",Investment_Strategy_Sub1="Non-Standard"),VLOOKUP(Investment_Strategy&amp;"_"&amp;Investment_Strategy_Sub2&amp;"_"&amp;$A156,'Investment Strategies'!$T:$AF,8,FALSE),
IF(Investment_Strategy ="DIY",DIY_RateOfReturn_FuturePremiums,
"Error")))))),Max_InvReturn)</f>
        <v>4.1816398110932074E-3</v>
      </c>
      <c r="U156" s="62">
        <f>IF($AV156=0,0,
IF(Investment_Strategy="DIS",VLOOKUP(Investment_Strategy&amp;"_"&amp;Investment_Strategy_Sub1&amp;"_"&amp;$A156,'Investment Strategies'!$AZ:$BP,15,FALSE),
IF(AND(Investment_Strategy="Lifecycle",Investment_Strategy_Sub1="Non-Standard"),VLOOKUP(Investment_Strategy&amp;"_"&amp;Investment_Strategy_Sub2&amp;"_"&amp;$A156,'Investment Strategies'!$C:$P,12,FALSE),
IF(AND(Investment_Strategy="Lifecycle",Investment_Strategy_Sub1="Standard"),VLOOKUP(Investment_Strategy&amp;"_"&amp;Investment_Strategy_Sub2&amp;"_"&amp;$A156,'Investment Strategies'!$AJ:$AV,11,FALSE),
IF(AND(Investment_Strategy="Autopilot",Investment_Strategy_Sub1="Non-Standard"),VLOOKUP(Investment_Strategy&amp;"_"&amp;Investment_Strategy_Sub2&amp;"_"&amp;$A156,'Investment Strategies'!$T:$AF,11,FALSE),
IF(Investment_Strategy="DIY",DIY_GteeChrge_FuturePremiums,
"Error"))))))</f>
        <v>0</v>
      </c>
      <c r="V156" s="33">
        <f>IF(AV156=0,0,
IF(Investment_Strategy="DIS",VLOOKUP(Investment_Strategy&amp;"_"&amp;Investment_Strategy_Sub1&amp;"_"&amp;$A156,'Investment Strategies'!$AZ:$BP,17,FALSE),
IF(AND(Investment_Strategy="Lifecycle",Investment_Strategy_Sub1="Non-Standard"),VLOOKUP(Investment_Strategy&amp;"_"&amp;Investment_Strategy_Sub2&amp;"_"&amp;$A156,'Investment Strategies'!$C:$P,14,FALSE),
IF(AND(Investment_Strategy="Lifecycle",Investment_Strategy_Sub1="Standard"),VLOOKUP(Investment_Strategy&amp;"_"&amp;Investment_Strategy_Sub2&amp;"_"&amp;$A156,'Investment Strategies'!$AJ:$AV,13,FALSE),
IF(AND(Investment_Strategy="Autopilot",Investment_Strategy_Sub1="Non-Standard"),VLOOKUP(Investment_Strategy&amp;"_"&amp;Investment_Strategy_Sub2&amp;"_"&amp;$A156,'Investment Strategies'!$T:$AF,13,FALSE),
IF(Investment_Strategy="DIY",DIY_ExtManChrge_FuturePremiums,
"Error"))))))</f>
        <v>1.2508601994698498E-4</v>
      </c>
      <c r="W156" s="16">
        <f t="shared" si="51"/>
        <v>0</v>
      </c>
      <c r="X156" s="16">
        <f t="shared" si="72"/>
        <v>0</v>
      </c>
      <c r="Y156" s="16">
        <f t="shared" si="73"/>
        <v>0</v>
      </c>
      <c r="Z156" s="31">
        <f t="shared" si="74"/>
        <v>0.02</v>
      </c>
      <c r="AA156" s="16">
        <f t="shared" si="75"/>
        <v>0</v>
      </c>
      <c r="AB156" s="28">
        <f t="shared" si="53"/>
        <v>918112.74911775556</v>
      </c>
      <c r="AC156" s="28">
        <f>(SUM($AC$91:AC155)+SUM($X$91:X155)+X156)*T156*IF(D156=$A$91,SRP_finalmonthfactor,1)</f>
        <v>0</v>
      </c>
      <c r="AD156" s="16">
        <f t="shared" si="76"/>
        <v>-180.28350981273024</v>
      </c>
      <c r="AE156" s="106"/>
      <c r="AF156" s="16">
        <f t="shared" ref="AF156:AF219" si="85">H156+O156+W156</f>
        <v>862565.37081058789</v>
      </c>
      <c r="AG156" s="16">
        <f t="shared" ref="AG156:AG219" si="86">SUM($K156,$S156,$AC156)</f>
        <v>3839.2168227830348</v>
      </c>
      <c r="AH156" s="16">
        <f t="shared" ref="AH156:AH219" si="87">SUM($J156,$R156,$AA156)</f>
        <v>-831.24975858876621</v>
      </c>
      <c r="AJ156" s="13">
        <f t="shared" si="67"/>
        <v>0</v>
      </c>
      <c r="AK156" s="13">
        <f t="shared" si="67"/>
        <v>0</v>
      </c>
      <c r="AL156" s="13">
        <f t="shared" si="67"/>
        <v>0</v>
      </c>
      <c r="AM156" s="13">
        <f t="shared" si="67"/>
        <v>0</v>
      </c>
      <c r="AN156" s="13">
        <f t="shared" si="67"/>
        <v>0</v>
      </c>
      <c r="AO156" s="13">
        <f t="shared" si="67"/>
        <v>1</v>
      </c>
      <c r="AP156" s="13">
        <f t="shared" si="67"/>
        <v>1</v>
      </c>
      <c r="AQ156" s="13">
        <f t="shared" si="67"/>
        <v>1</v>
      </c>
      <c r="AR156" s="13">
        <f t="shared" si="67"/>
        <v>1</v>
      </c>
      <c r="AS156" s="13">
        <f t="shared" si="67"/>
        <v>1</v>
      </c>
      <c r="AT156" s="13">
        <f t="shared" si="67"/>
        <v>1</v>
      </c>
      <c r="AU156" s="13">
        <f t="shared" si="67"/>
        <v>1</v>
      </c>
      <c r="AV156" s="13">
        <f t="shared" si="77"/>
        <v>1</v>
      </c>
      <c r="AW156" s="13">
        <f t="shared" si="78"/>
        <v>1</v>
      </c>
      <c r="AY156" s="17">
        <f t="shared" si="79"/>
        <v>66</v>
      </c>
      <c r="AZ156" s="28">
        <f t="shared" ref="AZ156:AZ219" si="88">X156+P156</f>
        <v>0</v>
      </c>
      <c r="BA156" s="13">
        <f t="shared" si="80"/>
        <v>0</v>
      </c>
      <c r="BB156" s="13">
        <f t="shared" si="81"/>
        <v>0</v>
      </c>
      <c r="BC156" s="28">
        <f t="shared" ref="BC156:BC219" si="89">SUM(AZ156,BA156)</f>
        <v>0</v>
      </c>
      <c r="BD156" s="28">
        <f t="shared" ref="BD156:BD219" si="90">SUM(AZ156,BB156)</f>
        <v>0</v>
      </c>
      <c r="BF156" s="248">
        <f t="shared" ref="BF156:BF219" si="91">IF(ISNUMBER(BF155), (BF155+X156), (P156+X156))*(1+T156)</f>
        <v>921951.96594053856</v>
      </c>
      <c r="BG156" s="36">
        <f t="shared" si="54"/>
        <v>0</v>
      </c>
      <c r="BH156" s="36">
        <f t="shared" si="55"/>
        <v>862565.37081058789</v>
      </c>
      <c r="BI156" s="249">
        <f t="shared" si="56"/>
        <v>4.1816398110932074E-3</v>
      </c>
      <c r="BJ156" s="246">
        <f t="shared" si="57"/>
        <v>2.0857243058891584E-4</v>
      </c>
      <c r="BK156" s="246">
        <f t="shared" si="82"/>
        <v>7.531116566323881E-4</v>
      </c>
      <c r="BL156" s="246">
        <f t="shared" si="58"/>
        <v>0</v>
      </c>
      <c r="BM156" s="246">
        <f t="shared" si="59"/>
        <v>9.6168408722130394E-4</v>
      </c>
      <c r="BN156" s="36">
        <f t="shared" ref="BN156:BN219" si="92">BH156*(1+BI156/2)*(BM156)</f>
        <v>831.2497585887661</v>
      </c>
      <c r="BO156" s="36">
        <f t="shared" si="60"/>
        <v>3606.9376942519293</v>
      </c>
      <c r="BP156" s="36">
        <f t="shared" si="61"/>
        <v>865341.05874625104</v>
      </c>
    </row>
    <row r="157" spans="1:68">
      <c r="A157" s="32">
        <f t="shared" ref="A157:A220" si="93">A156-1</f>
        <v>18</v>
      </c>
      <c r="B157" s="32">
        <f t="shared" si="83"/>
        <v>58</v>
      </c>
      <c r="C157" s="32">
        <f t="shared" ref="C157:C220" si="94">INT((D157-1)/12)+1</f>
        <v>6</v>
      </c>
      <c r="D157" s="32">
        <f t="shared" ref="D157:D220" si="95">D156+1</f>
        <v>67</v>
      </c>
      <c r="E157" s="74">
        <f>MIN(IF(AV157=0,0,
IF(Investment_Strategy="DIS",VLOOKUP(Investment_Strategy&amp;"_"&amp;Investment_Strategy_Sub1&amp;"_"&amp;$A157,'Investment Strategies'!$AZ:$BP,12,FALSE),
IF(AND(Investment_Strategy="Lifecycle",Investment_Strategy_Sub1="Non-Standard"),VLOOKUP(Investment_Strategy&amp;"_"&amp;Investment_Strategy_Sub2&amp;"_"&amp;$A157,'Investment Strategies'!$C:$P,9,FALSE),
IF(AND(Investment_Strategy="Lifecycle",Investment_Strategy_Sub1="Standard"),VLOOKUP(Investment_Strategy&amp;"_"&amp;Investment_Strategy_Sub2&amp;"_"&amp;$A157,'Investment Strategies'!$AJ:$AV,8,FALSE),
IF(AND(Investment_Strategy="Autopilot",Investment_Strategy_Sub1="Non-Standard"),VLOOKUP(Investment_Strategy&amp;"_"&amp;Investment_Strategy_Sub2&amp;"_"&amp;$A157,'Investment Strategies'!$T:$AF,8,FALSE),
IF(Investment_Strategy ="DIY",DIY_RateOfReturn_CurrentFunds,
"Error")))))),Max_InvReturn)</f>
        <v>4.1816398110932074E-3</v>
      </c>
      <c r="F157" s="62">
        <f>IF(AV157=0,0,
IF(Investment_Strategy="DIS",VLOOKUP(Investment_Strategy&amp;"_"&amp;Investment_Strategy_Sub1&amp;"_"&amp;$A157,'Investment Strategies'!$AZ:$BP,15,FALSE),
IF(AND(Investment_Strategy="Lifecycle",Investment_Strategy_Sub1="Non-Standard"),VLOOKUP(Investment_Strategy&amp;"_"&amp;Investment_Strategy_Sub2&amp;"_"&amp;$A157,'Investment Strategies'!$C:$P,12,FALSE),
IF(AND(Investment_Strategy="Lifecycle",Investment_Strategy_Sub1="Standard"),VLOOKUP(Investment_Strategy&amp;"_"&amp;Investment_Strategy_Sub2&amp;"_"&amp;$A157,'Investment Strategies'!$AJ:$AV,11,FALSE),
IF(AND(Investment_Strategy="Autopilot",Investment_Strategy_Sub1="Non-Standard"),VLOOKUP(Investment_Strategy&amp;"_"&amp;Investment_Strategy_Sub2&amp;"_"&amp;$A157,'Investment Strategies'!$T:$AF,11,FALSE),
IF(Investment_Strategy="DIY",DIY_GteeChrge_CurrentFunds,
"Error"))))))</f>
        <v>5.4328711526985263E-4</v>
      </c>
      <c r="G157" s="33">
        <f>IF(AV157=0,0,
IF(Investment_Strategy="DIS",VLOOKUP(Investment_Strategy&amp;"_"&amp;Investment_Strategy_Sub1&amp;"_"&amp;$A157,'Investment Strategies'!$AZ:$BP,17,FALSE),
IF(AND(Investment_Strategy="Lifecycle",Investment_Strategy_Sub1="Non-Standard"),VLOOKUP(Investment_Strategy&amp;"_"&amp;Investment_Strategy_Sub2&amp;"_"&amp;$A157,'Investment Strategies'!$C:$P,14,FALSE),
IF(AND(Investment_Strategy="Lifecycle",Investment_Strategy_Sub1="Standard"),VLOOKUP(Investment_Strategy&amp;"_"&amp;Investment_Strategy_Sub2&amp;"_"&amp;$A157,'Investment Strategies'!$AJ:$AV,13,FALSE),
IF(AND(Investment_Strategy="Autopilot",Investment_Strategy_Sub1="Non-Standard"),VLOOKUP(Investment_Strategy&amp;"_"&amp;Investment_Strategy_Sub2&amp;"_"&amp;$A157,'Investment Strategies'!$T:$AF,13,FALSE),
IF(Investment_Strategy="DIY",DIY_ExtManChrge_CurrentFunds,
"Error"))))))</f>
        <v>2.0857243058891584E-4</v>
      </c>
      <c r="H157" s="16">
        <f t="shared" si="84"/>
        <v>0</v>
      </c>
      <c r="I157" s="16">
        <f t="shared" si="68"/>
        <v>0</v>
      </c>
      <c r="J157" s="16">
        <f t="shared" si="69"/>
        <v>0</v>
      </c>
      <c r="K157" s="16">
        <f>(Opening_Fund_Value+SUM(K$91:K156))*E157*IF(D157=$A$91,SRP_finalmonthfactor,1)</f>
        <v>0</v>
      </c>
      <c r="L157" s="74">
        <f>MIN(IF($AV157=0,0,
IF(Investment_Strategy="DIS",VLOOKUP(Investment_Strategy&amp;"_"&amp;Investment_Strategy_Sub1&amp;"_"&amp;$A157,'Investment Strategies'!$AZ:$BP,12,FALSE),
IF(AND(Investment_Strategy="Lifecycle",Investment_Strategy_Sub1="Non-Standard"),VLOOKUP(Investment_Strategy&amp;"_"&amp;Investment_Strategy_Sub2&amp;"_"&amp;$A157,'Investment Strategies'!$C:$P,9,FALSE),
IF(AND(Investment_Strategy="Lifecycle",Investment_Strategy_Sub1="Standard"),VLOOKUP(Investment_Strategy&amp;"_"&amp;Investment_Strategy_Sub2&amp;"_"&amp;$A157,'Investment Strategies'!$AJ:$AV,8,FALSE),
IF(AND(Investment_Strategy="Autopilot",Investment_Strategy_Sub1="Non-Standard"),VLOOKUP(Investment_Strategy&amp;"_"&amp;Investment_Strategy_Sub2&amp;"_"&amp;$A157,'Investment Strategies'!$T:$AF,8,FALSE),
IF(Investment_Strategy ="DIY",DIY_RateofReturn_SP,
"Error")))))),Max_InvReturn)</f>
        <v>4.1816398110932074E-3</v>
      </c>
      <c r="M157" s="62">
        <f>IF($AV157=0,0,
IF(Investment_Strategy="DIS",VLOOKUP(Investment_Strategy&amp;"_"&amp;Investment_Strategy_Sub1&amp;"_"&amp;$A157,'Investment Strategies'!$AZ:$BP,15,FALSE),
IF(AND(Investment_Strategy="Lifecycle",Investment_Strategy_Sub1="Non-Standard"),VLOOKUP(Investment_Strategy&amp;"_"&amp;Investment_Strategy_Sub2&amp;"_"&amp;$A157,'Investment Strategies'!$C:$P,12,FALSE),
IF(AND(Investment_Strategy="Lifecycle",Investment_Strategy_Sub1="Standard"),VLOOKUP(Investment_Strategy&amp;"_"&amp;Investment_Strategy_Sub2&amp;"_"&amp;$A157,'Investment Strategies'!$AJ:$AV,11,FALSE),
IF(AND(Investment_Strategy="Autopilot",Investment_Strategy_Sub1="Non-Standard"),VLOOKUP(Investment_Strategy&amp;"_"&amp;Investment_Strategy_Sub2&amp;"_"&amp;$A157,'Investment Strategies'!$T:$AF,11,FALSE),
IF(Investment_Strategy="DIY",DIY_GteeChrge_SP,
"Error"))))))</f>
        <v>0</v>
      </c>
      <c r="N157" s="33">
        <f>IF($AV157=0,0,
IF(Investment_Strategy="DIS",VLOOKUP(Investment_Strategy&amp;"_"&amp;Investment_Strategy_Sub1&amp;"_"&amp;$A157,'Investment Strategies'!$AZ:$BP,17,FALSE),
IF(AND(Investment_Strategy="Lifecycle",Investment_Strategy_Sub1="Non-Standard"),VLOOKUP(Investment_Strategy&amp;"_"&amp;Investment_Strategy_Sub2&amp;"_"&amp;$A157,'Investment Strategies'!$C:$P,14,FALSE),
IF(AND(Investment_Strategy="Lifecycle",Investment_Strategy_Sub1="Standard"),VLOOKUP(Investment_Strategy&amp;"_"&amp;Investment_Strategy_Sub2&amp;"_"&amp;$A157,'Investment Strategies'!$AJ:$AV,13,FALSE),
IF(AND(Investment_Strategy="Autopilot",Investment_Strategy_Sub1="Non-Standard"),VLOOKUP(Investment_Strategy&amp;"_"&amp;Investment_Strategy_Sub2&amp;"_"&amp;$A157,'Investment Strategies'!$T:$AF,13,FALSE),
IF(Investment_Strategy="DIY",DIY_ExtManChrge_SP,
"Error"))))))</f>
        <v>2.0857243058891584E-4</v>
      </c>
      <c r="O157" s="16">
        <f t="shared" ref="O157:O220" si="96">IF($AV156=0,0,SUM(O156:R156))</f>
        <v>865341.05874625104</v>
      </c>
      <c r="Q157" s="16">
        <f t="shared" si="70"/>
        <v>3618.5446214268691</v>
      </c>
      <c r="R157" s="16">
        <f t="shared" si="71"/>
        <v>-833.92467460616842</v>
      </c>
      <c r="S157" s="16">
        <f>(SRP_SP+SUM(S$91:S156))*L157*IF(D157=$A$91,SRP_finalmonthfactor,1)</f>
        <v>3855.271044692603</v>
      </c>
      <c r="T157" s="74">
        <f>MIN(IF($AV157=0,0,
IF(Investment_Strategy="DIS",VLOOKUP(Investment_Strategy&amp;"_"&amp;Investment_Strategy_Sub1&amp;"_"&amp;$A157,'Investment Strategies'!$AZ:$BP,12,FALSE),
IF(AND(Investment_Strategy="Lifecycle",Investment_Strategy_Sub1="Non-Standard"),VLOOKUP(Investment_Strategy&amp;"_"&amp;Investment_Strategy_Sub2&amp;"_"&amp;$A157,'Investment Strategies'!$C:$P,9,FALSE),
IF(AND(Investment_Strategy="Lifecycle",Investment_Strategy_Sub1="Standard"),VLOOKUP(Investment_Strategy&amp;"_"&amp;Investment_Strategy_Sub2&amp;"_"&amp;$A157,'Investment Strategies'!$AJ:$AV,8,FALSE),
IF(AND(Investment_Strategy="Autopilot",Investment_Strategy_Sub1="Non-Standard"),VLOOKUP(Investment_Strategy&amp;"_"&amp;Investment_Strategy_Sub2&amp;"_"&amp;$A157,'Investment Strategies'!$T:$AF,8,FALSE),
IF(Investment_Strategy ="DIY",DIY_RateOfReturn_FuturePremiums,
"Error")))))),Max_InvReturn)</f>
        <v>4.1816398110932074E-3</v>
      </c>
      <c r="U157" s="62">
        <f>IF($AV157=0,0,
IF(Investment_Strategy="DIS",VLOOKUP(Investment_Strategy&amp;"_"&amp;Investment_Strategy_Sub1&amp;"_"&amp;$A157,'Investment Strategies'!$AZ:$BP,15,FALSE),
IF(AND(Investment_Strategy="Lifecycle",Investment_Strategy_Sub1="Non-Standard"),VLOOKUP(Investment_Strategy&amp;"_"&amp;Investment_Strategy_Sub2&amp;"_"&amp;$A157,'Investment Strategies'!$C:$P,12,FALSE),
IF(AND(Investment_Strategy="Lifecycle",Investment_Strategy_Sub1="Standard"),VLOOKUP(Investment_Strategy&amp;"_"&amp;Investment_Strategy_Sub2&amp;"_"&amp;$A157,'Investment Strategies'!$AJ:$AV,11,FALSE),
IF(AND(Investment_Strategy="Autopilot",Investment_Strategy_Sub1="Non-Standard"),VLOOKUP(Investment_Strategy&amp;"_"&amp;Investment_Strategy_Sub2&amp;"_"&amp;$A157,'Investment Strategies'!$T:$AF,11,FALSE),
IF(Investment_Strategy="DIY",DIY_GteeChrge_FuturePremiums,
"Error"))))))</f>
        <v>0</v>
      </c>
      <c r="V157" s="33">
        <f>IF(AV157=0,0,
IF(Investment_Strategy="DIS",VLOOKUP(Investment_Strategy&amp;"_"&amp;Investment_Strategy_Sub1&amp;"_"&amp;$A157,'Investment Strategies'!$AZ:$BP,17,FALSE),
IF(AND(Investment_Strategy="Lifecycle",Investment_Strategy_Sub1="Non-Standard"),VLOOKUP(Investment_Strategy&amp;"_"&amp;Investment_Strategy_Sub2&amp;"_"&amp;$A157,'Investment Strategies'!$C:$P,14,FALSE),
IF(AND(Investment_Strategy="Lifecycle",Investment_Strategy_Sub1="Standard"),VLOOKUP(Investment_Strategy&amp;"_"&amp;Investment_Strategy_Sub2&amp;"_"&amp;$A157,'Investment Strategies'!$AJ:$AV,13,FALSE),
IF(AND(Investment_Strategy="Autopilot",Investment_Strategy_Sub1="Non-Standard"),VLOOKUP(Investment_Strategy&amp;"_"&amp;Investment_Strategy_Sub2&amp;"_"&amp;$A157,'Investment Strategies'!$T:$AF,13,FALSE),
IF(Investment_Strategy="DIY",DIY_ExtManChrge_FuturePremiums,
"Error"))))))</f>
        <v>1.2508601994698498E-4</v>
      </c>
      <c r="W157" s="16">
        <f t="shared" ref="W157:W220" si="97">IF($AV156=0,0,SUM(W156:Y156)+AA156)</f>
        <v>0</v>
      </c>
      <c r="X157" s="16">
        <f t="shared" si="72"/>
        <v>0</v>
      </c>
      <c r="Y157" s="16">
        <f t="shared" si="73"/>
        <v>0</v>
      </c>
      <c r="Z157" s="31">
        <f t="shared" si="74"/>
        <v>0.02</v>
      </c>
      <c r="AA157" s="16">
        <f t="shared" si="75"/>
        <v>0</v>
      </c>
      <c r="AB157" s="28">
        <f t="shared" si="53"/>
        <v>921951.96594053856</v>
      </c>
      <c r="AC157" s="28">
        <f>(SUM($AC$91:AC156)+SUM($X$91:X156)+X157)*T157*IF(D157=$A$91,SRP_finalmonthfactor,1)</f>
        <v>0</v>
      </c>
      <c r="AD157" s="16">
        <f t="shared" si="76"/>
        <v>-180.8636522345341</v>
      </c>
      <c r="AE157" s="106"/>
      <c r="AF157" s="16">
        <f t="shared" si="85"/>
        <v>865341.05874625104</v>
      </c>
      <c r="AG157" s="16">
        <f t="shared" si="86"/>
        <v>3855.271044692603</v>
      </c>
      <c r="AH157" s="16">
        <f t="shared" si="87"/>
        <v>-833.92467460616842</v>
      </c>
      <c r="AJ157" s="13">
        <f t="shared" si="67"/>
        <v>0</v>
      </c>
      <c r="AK157" s="13">
        <f t="shared" si="67"/>
        <v>0</v>
      </c>
      <c r="AL157" s="13">
        <f t="shared" si="67"/>
        <v>0</v>
      </c>
      <c r="AM157" s="13">
        <f t="shared" si="67"/>
        <v>0</v>
      </c>
      <c r="AN157" s="13">
        <f t="shared" si="67"/>
        <v>0</v>
      </c>
      <c r="AO157" s="13">
        <f t="shared" si="67"/>
        <v>1</v>
      </c>
      <c r="AP157" s="13">
        <f t="shared" si="67"/>
        <v>1</v>
      </c>
      <c r="AQ157" s="13">
        <f t="shared" si="67"/>
        <v>1</v>
      </c>
      <c r="AR157" s="13">
        <f t="shared" si="67"/>
        <v>1</v>
      </c>
      <c r="AS157" s="13">
        <f t="shared" si="67"/>
        <v>1</v>
      </c>
      <c r="AT157" s="13">
        <f t="shared" si="67"/>
        <v>1</v>
      </c>
      <c r="AU157" s="13">
        <f t="shared" si="67"/>
        <v>1</v>
      </c>
      <c r="AV157" s="13">
        <f t="shared" si="77"/>
        <v>1</v>
      </c>
      <c r="AW157" s="13">
        <f t="shared" si="78"/>
        <v>1</v>
      </c>
      <c r="AY157" s="17">
        <f t="shared" si="79"/>
        <v>67</v>
      </c>
      <c r="AZ157" s="28">
        <f t="shared" si="88"/>
        <v>0</v>
      </c>
      <c r="BA157" s="13">
        <f t="shared" si="80"/>
        <v>0</v>
      </c>
      <c r="BB157" s="13">
        <f t="shared" si="81"/>
        <v>0</v>
      </c>
      <c r="BC157" s="28">
        <f t="shared" si="89"/>
        <v>0</v>
      </c>
      <c r="BD157" s="28">
        <f t="shared" si="90"/>
        <v>0</v>
      </c>
      <c r="BF157" s="248">
        <f t="shared" si="91"/>
        <v>925807.23698523117</v>
      </c>
      <c r="BG157" s="36">
        <f t="shared" si="54"/>
        <v>0</v>
      </c>
      <c r="BH157" s="36">
        <f t="shared" si="55"/>
        <v>865341.05874625104</v>
      </c>
      <c r="BI157" s="249">
        <f t="shared" si="56"/>
        <v>4.1816398110932074E-3</v>
      </c>
      <c r="BJ157" s="246">
        <f t="shared" si="57"/>
        <v>2.0857243058891584E-4</v>
      </c>
      <c r="BK157" s="246">
        <f t="shared" si="82"/>
        <v>7.531116566323881E-4</v>
      </c>
      <c r="BL157" s="246">
        <f t="shared" si="58"/>
        <v>0</v>
      </c>
      <c r="BM157" s="246">
        <f t="shared" si="59"/>
        <v>9.6168408722130394E-4</v>
      </c>
      <c r="BN157" s="36">
        <f t="shared" si="92"/>
        <v>833.92467460616831</v>
      </c>
      <c r="BO157" s="36">
        <f t="shared" si="60"/>
        <v>3618.5446214268691</v>
      </c>
      <c r="BP157" s="36">
        <f t="shared" si="61"/>
        <v>868125.67869307171</v>
      </c>
    </row>
    <row r="158" spans="1:68">
      <c r="A158" s="32">
        <f t="shared" si="93"/>
        <v>17</v>
      </c>
      <c r="B158" s="32">
        <f t="shared" si="83"/>
        <v>58</v>
      </c>
      <c r="C158" s="32">
        <f t="shared" si="94"/>
        <v>6</v>
      </c>
      <c r="D158" s="32">
        <f t="shared" si="95"/>
        <v>68</v>
      </c>
      <c r="E158" s="74">
        <f>MIN(IF(AV158=0,0,
IF(Investment_Strategy="DIS",VLOOKUP(Investment_Strategy&amp;"_"&amp;Investment_Strategy_Sub1&amp;"_"&amp;$A158,'Investment Strategies'!$AZ:$BP,12,FALSE),
IF(AND(Investment_Strategy="Lifecycle",Investment_Strategy_Sub1="Non-Standard"),VLOOKUP(Investment_Strategy&amp;"_"&amp;Investment_Strategy_Sub2&amp;"_"&amp;$A158,'Investment Strategies'!$C:$P,9,FALSE),
IF(AND(Investment_Strategy="Lifecycle",Investment_Strategy_Sub1="Standard"),VLOOKUP(Investment_Strategy&amp;"_"&amp;Investment_Strategy_Sub2&amp;"_"&amp;$A158,'Investment Strategies'!$AJ:$AV,8,FALSE),
IF(AND(Investment_Strategy="Autopilot",Investment_Strategy_Sub1="Non-Standard"),VLOOKUP(Investment_Strategy&amp;"_"&amp;Investment_Strategy_Sub2&amp;"_"&amp;$A158,'Investment Strategies'!$T:$AF,8,FALSE),
IF(Investment_Strategy ="DIY",DIY_RateOfReturn_CurrentFunds,
"Error")))))),Max_InvReturn)</f>
        <v>4.1816398110932074E-3</v>
      </c>
      <c r="F158" s="62">
        <f>IF(AV158=0,0,
IF(Investment_Strategy="DIS",VLOOKUP(Investment_Strategy&amp;"_"&amp;Investment_Strategy_Sub1&amp;"_"&amp;$A158,'Investment Strategies'!$AZ:$BP,15,FALSE),
IF(AND(Investment_Strategy="Lifecycle",Investment_Strategy_Sub1="Non-Standard"),VLOOKUP(Investment_Strategy&amp;"_"&amp;Investment_Strategy_Sub2&amp;"_"&amp;$A158,'Investment Strategies'!$C:$P,12,FALSE),
IF(AND(Investment_Strategy="Lifecycle",Investment_Strategy_Sub1="Standard"),VLOOKUP(Investment_Strategy&amp;"_"&amp;Investment_Strategy_Sub2&amp;"_"&amp;$A158,'Investment Strategies'!$AJ:$AV,11,FALSE),
IF(AND(Investment_Strategy="Autopilot",Investment_Strategy_Sub1="Non-Standard"),VLOOKUP(Investment_Strategy&amp;"_"&amp;Investment_Strategy_Sub2&amp;"_"&amp;$A158,'Investment Strategies'!$T:$AF,11,FALSE),
IF(Investment_Strategy="DIY",DIY_GteeChrge_CurrentFunds,
"Error"))))))</f>
        <v>5.4328711526985263E-4</v>
      </c>
      <c r="G158" s="33">
        <f>IF(AV158=0,0,
IF(Investment_Strategy="DIS",VLOOKUP(Investment_Strategy&amp;"_"&amp;Investment_Strategy_Sub1&amp;"_"&amp;$A158,'Investment Strategies'!$AZ:$BP,17,FALSE),
IF(AND(Investment_Strategy="Lifecycle",Investment_Strategy_Sub1="Non-Standard"),VLOOKUP(Investment_Strategy&amp;"_"&amp;Investment_Strategy_Sub2&amp;"_"&amp;$A158,'Investment Strategies'!$C:$P,14,FALSE),
IF(AND(Investment_Strategy="Lifecycle",Investment_Strategy_Sub1="Standard"),VLOOKUP(Investment_Strategy&amp;"_"&amp;Investment_Strategy_Sub2&amp;"_"&amp;$A158,'Investment Strategies'!$AJ:$AV,13,FALSE),
IF(AND(Investment_Strategy="Autopilot",Investment_Strategy_Sub1="Non-Standard"),VLOOKUP(Investment_Strategy&amp;"_"&amp;Investment_Strategy_Sub2&amp;"_"&amp;$A158,'Investment Strategies'!$T:$AF,13,FALSE),
IF(Investment_Strategy="DIY",DIY_ExtManChrge_CurrentFunds,
"Error"))))))</f>
        <v>2.0857243058891584E-4</v>
      </c>
      <c r="H158" s="16">
        <f t="shared" si="84"/>
        <v>0</v>
      </c>
      <c r="I158" s="16">
        <f t="shared" si="68"/>
        <v>0</v>
      </c>
      <c r="J158" s="16">
        <f t="shared" si="69"/>
        <v>0</v>
      </c>
      <c r="K158" s="16">
        <f>(Opening_Fund_Value+SUM(K$91:K157))*E158*IF(D158=$A$91,SRP_finalmonthfactor,1)</f>
        <v>0</v>
      </c>
      <c r="L158" s="74">
        <f>MIN(IF($AV158=0,0,
IF(Investment_Strategy="DIS",VLOOKUP(Investment_Strategy&amp;"_"&amp;Investment_Strategy_Sub1&amp;"_"&amp;$A158,'Investment Strategies'!$AZ:$BP,12,FALSE),
IF(AND(Investment_Strategy="Lifecycle",Investment_Strategy_Sub1="Non-Standard"),VLOOKUP(Investment_Strategy&amp;"_"&amp;Investment_Strategy_Sub2&amp;"_"&amp;$A158,'Investment Strategies'!$C:$P,9,FALSE),
IF(AND(Investment_Strategy="Lifecycle",Investment_Strategy_Sub1="Standard"),VLOOKUP(Investment_Strategy&amp;"_"&amp;Investment_Strategy_Sub2&amp;"_"&amp;$A158,'Investment Strategies'!$AJ:$AV,8,FALSE),
IF(AND(Investment_Strategy="Autopilot",Investment_Strategy_Sub1="Non-Standard"),VLOOKUP(Investment_Strategy&amp;"_"&amp;Investment_Strategy_Sub2&amp;"_"&amp;$A158,'Investment Strategies'!$T:$AF,8,FALSE),
IF(Investment_Strategy ="DIY",DIY_RateofReturn_SP,
"Error")))))),Max_InvReturn)</f>
        <v>4.1816398110932074E-3</v>
      </c>
      <c r="M158" s="62">
        <f>IF($AV158=0,0,
IF(Investment_Strategy="DIS",VLOOKUP(Investment_Strategy&amp;"_"&amp;Investment_Strategy_Sub1&amp;"_"&amp;$A158,'Investment Strategies'!$AZ:$BP,15,FALSE),
IF(AND(Investment_Strategy="Lifecycle",Investment_Strategy_Sub1="Non-Standard"),VLOOKUP(Investment_Strategy&amp;"_"&amp;Investment_Strategy_Sub2&amp;"_"&amp;$A158,'Investment Strategies'!$C:$P,12,FALSE),
IF(AND(Investment_Strategy="Lifecycle",Investment_Strategy_Sub1="Standard"),VLOOKUP(Investment_Strategy&amp;"_"&amp;Investment_Strategy_Sub2&amp;"_"&amp;$A158,'Investment Strategies'!$AJ:$AV,11,FALSE),
IF(AND(Investment_Strategy="Autopilot",Investment_Strategy_Sub1="Non-Standard"),VLOOKUP(Investment_Strategy&amp;"_"&amp;Investment_Strategy_Sub2&amp;"_"&amp;$A158,'Investment Strategies'!$T:$AF,11,FALSE),
IF(Investment_Strategy="DIY",DIY_GteeChrge_SP,
"Error"))))))</f>
        <v>0</v>
      </c>
      <c r="N158" s="33">
        <f>IF($AV158=0,0,
IF(Investment_Strategy="DIS",VLOOKUP(Investment_Strategy&amp;"_"&amp;Investment_Strategy_Sub1&amp;"_"&amp;$A158,'Investment Strategies'!$AZ:$BP,17,FALSE),
IF(AND(Investment_Strategy="Lifecycle",Investment_Strategy_Sub1="Non-Standard"),VLOOKUP(Investment_Strategy&amp;"_"&amp;Investment_Strategy_Sub2&amp;"_"&amp;$A158,'Investment Strategies'!$C:$P,14,FALSE),
IF(AND(Investment_Strategy="Lifecycle",Investment_Strategy_Sub1="Standard"),VLOOKUP(Investment_Strategy&amp;"_"&amp;Investment_Strategy_Sub2&amp;"_"&amp;$A158,'Investment Strategies'!$AJ:$AV,13,FALSE),
IF(AND(Investment_Strategy="Autopilot",Investment_Strategy_Sub1="Non-Standard"),VLOOKUP(Investment_Strategy&amp;"_"&amp;Investment_Strategy_Sub2&amp;"_"&amp;$A158,'Investment Strategies'!$T:$AF,13,FALSE),
IF(Investment_Strategy="DIY",DIY_ExtManChrge_SP,
"Error"))))))</f>
        <v>2.0857243058891584E-4</v>
      </c>
      <c r="O158" s="16">
        <f t="shared" si="96"/>
        <v>868125.67869307171</v>
      </c>
      <c r="Q158" s="16">
        <f t="shared" si="70"/>
        <v>3630.1888990552588</v>
      </c>
      <c r="R158" s="16">
        <f t="shared" si="71"/>
        <v>-836.60819835623613</v>
      </c>
      <c r="S158" s="16">
        <f>(SRP_SP+SUM(S$91:S157))*L158*IF(D158=$A$91,SRP_finalmonthfactor,1)</f>
        <v>3871.392399575645</v>
      </c>
      <c r="T158" s="74">
        <f>MIN(IF($AV158=0,0,
IF(Investment_Strategy="DIS",VLOOKUP(Investment_Strategy&amp;"_"&amp;Investment_Strategy_Sub1&amp;"_"&amp;$A158,'Investment Strategies'!$AZ:$BP,12,FALSE),
IF(AND(Investment_Strategy="Lifecycle",Investment_Strategy_Sub1="Non-Standard"),VLOOKUP(Investment_Strategy&amp;"_"&amp;Investment_Strategy_Sub2&amp;"_"&amp;$A158,'Investment Strategies'!$C:$P,9,FALSE),
IF(AND(Investment_Strategy="Lifecycle",Investment_Strategy_Sub1="Standard"),VLOOKUP(Investment_Strategy&amp;"_"&amp;Investment_Strategy_Sub2&amp;"_"&amp;$A158,'Investment Strategies'!$AJ:$AV,8,FALSE),
IF(AND(Investment_Strategy="Autopilot",Investment_Strategy_Sub1="Non-Standard"),VLOOKUP(Investment_Strategy&amp;"_"&amp;Investment_Strategy_Sub2&amp;"_"&amp;$A158,'Investment Strategies'!$T:$AF,8,FALSE),
IF(Investment_Strategy ="DIY",DIY_RateOfReturn_FuturePremiums,
"Error")))))),Max_InvReturn)</f>
        <v>4.1816398110932074E-3</v>
      </c>
      <c r="U158" s="62">
        <f>IF($AV158=0,0,
IF(Investment_Strategy="DIS",VLOOKUP(Investment_Strategy&amp;"_"&amp;Investment_Strategy_Sub1&amp;"_"&amp;$A158,'Investment Strategies'!$AZ:$BP,15,FALSE),
IF(AND(Investment_Strategy="Lifecycle",Investment_Strategy_Sub1="Non-Standard"),VLOOKUP(Investment_Strategy&amp;"_"&amp;Investment_Strategy_Sub2&amp;"_"&amp;$A158,'Investment Strategies'!$C:$P,12,FALSE),
IF(AND(Investment_Strategy="Lifecycle",Investment_Strategy_Sub1="Standard"),VLOOKUP(Investment_Strategy&amp;"_"&amp;Investment_Strategy_Sub2&amp;"_"&amp;$A158,'Investment Strategies'!$AJ:$AV,11,FALSE),
IF(AND(Investment_Strategy="Autopilot",Investment_Strategy_Sub1="Non-Standard"),VLOOKUP(Investment_Strategy&amp;"_"&amp;Investment_Strategy_Sub2&amp;"_"&amp;$A158,'Investment Strategies'!$T:$AF,11,FALSE),
IF(Investment_Strategy="DIY",DIY_GteeChrge_FuturePremiums,
"Error"))))))</f>
        <v>0</v>
      </c>
      <c r="V158" s="33">
        <f>IF(AV158=0,0,
IF(Investment_Strategy="DIS",VLOOKUP(Investment_Strategy&amp;"_"&amp;Investment_Strategy_Sub1&amp;"_"&amp;$A158,'Investment Strategies'!$AZ:$BP,17,FALSE),
IF(AND(Investment_Strategy="Lifecycle",Investment_Strategy_Sub1="Non-Standard"),VLOOKUP(Investment_Strategy&amp;"_"&amp;Investment_Strategy_Sub2&amp;"_"&amp;$A158,'Investment Strategies'!$C:$P,14,FALSE),
IF(AND(Investment_Strategy="Lifecycle",Investment_Strategy_Sub1="Standard"),VLOOKUP(Investment_Strategy&amp;"_"&amp;Investment_Strategy_Sub2&amp;"_"&amp;$A158,'Investment Strategies'!$AJ:$AV,13,FALSE),
IF(AND(Investment_Strategy="Autopilot",Investment_Strategy_Sub1="Non-Standard"),VLOOKUP(Investment_Strategy&amp;"_"&amp;Investment_Strategy_Sub2&amp;"_"&amp;$A158,'Investment Strategies'!$T:$AF,13,FALSE),
IF(Investment_Strategy="DIY",DIY_ExtManChrge_FuturePremiums,
"Error"))))))</f>
        <v>1.2508601994698498E-4</v>
      </c>
      <c r="W158" s="16">
        <f t="shared" si="97"/>
        <v>0</v>
      </c>
      <c r="X158" s="16">
        <f t="shared" si="72"/>
        <v>0</v>
      </c>
      <c r="Y158" s="16">
        <f t="shared" si="73"/>
        <v>0</v>
      </c>
      <c r="Z158" s="31">
        <f t="shared" si="74"/>
        <v>0.02</v>
      </c>
      <c r="AA158" s="16">
        <f t="shared" si="75"/>
        <v>0</v>
      </c>
      <c r="AB158" s="28">
        <f t="shared" ref="AB158:AB221" si="98">IF($AV157=0,0,SUM(K157,S157,AB157:AC157)+X157)</f>
        <v>925807.23698523117</v>
      </c>
      <c r="AC158" s="28">
        <f>(SUM($AC$91:AC157)+SUM($X$91:X157)+X158)*T158*IF(D158=$A$91,SRP_finalmonthfactor,1)</f>
        <v>0</v>
      </c>
      <c r="AD158" s="16">
        <f t="shared" si="76"/>
        <v>-181.4456615227526</v>
      </c>
      <c r="AE158" s="106"/>
      <c r="AF158" s="16">
        <f t="shared" si="85"/>
        <v>868125.67869307171</v>
      </c>
      <c r="AG158" s="16">
        <f t="shared" si="86"/>
        <v>3871.392399575645</v>
      </c>
      <c r="AH158" s="16">
        <f t="shared" si="87"/>
        <v>-836.60819835623613</v>
      </c>
      <c r="AJ158" s="13">
        <f t="shared" si="67"/>
        <v>0</v>
      </c>
      <c r="AK158" s="13">
        <f t="shared" si="67"/>
        <v>0</v>
      </c>
      <c r="AL158" s="13">
        <f t="shared" si="67"/>
        <v>0</v>
      </c>
      <c r="AM158" s="13">
        <f t="shared" si="67"/>
        <v>0</v>
      </c>
      <c r="AN158" s="13">
        <f t="shared" si="67"/>
        <v>0</v>
      </c>
      <c r="AO158" s="13">
        <f t="shared" si="67"/>
        <v>1</v>
      </c>
      <c r="AP158" s="13">
        <f t="shared" si="67"/>
        <v>1</v>
      </c>
      <c r="AQ158" s="13">
        <f t="shared" si="67"/>
        <v>1</v>
      </c>
      <c r="AR158" s="13">
        <f t="shared" si="67"/>
        <v>1</v>
      </c>
      <c r="AS158" s="13">
        <f t="shared" si="67"/>
        <v>1</v>
      </c>
      <c r="AT158" s="13">
        <f t="shared" si="67"/>
        <v>1</v>
      </c>
      <c r="AU158" s="13">
        <f t="shared" si="67"/>
        <v>1</v>
      </c>
      <c r="AV158" s="13">
        <f t="shared" si="77"/>
        <v>1</v>
      </c>
      <c r="AW158" s="13">
        <f t="shared" si="78"/>
        <v>1</v>
      </c>
      <c r="AY158" s="17">
        <f t="shared" si="79"/>
        <v>68</v>
      </c>
      <c r="AZ158" s="28">
        <f t="shared" si="88"/>
        <v>0</v>
      </c>
      <c r="BA158" s="13">
        <f t="shared" si="80"/>
        <v>0</v>
      </c>
      <c r="BB158" s="13">
        <f t="shared" si="81"/>
        <v>0</v>
      </c>
      <c r="BC158" s="28">
        <f t="shared" si="89"/>
        <v>0</v>
      </c>
      <c r="BD158" s="28">
        <f t="shared" si="90"/>
        <v>0</v>
      </c>
      <c r="BF158" s="248">
        <f t="shared" si="91"/>
        <v>929678.62938480685</v>
      </c>
      <c r="BG158" s="36">
        <f t="shared" si="54"/>
        <v>0</v>
      </c>
      <c r="BH158" s="36">
        <f t="shared" si="55"/>
        <v>868125.67869307171</v>
      </c>
      <c r="BI158" s="249">
        <f t="shared" si="56"/>
        <v>4.1816398110932074E-3</v>
      </c>
      <c r="BJ158" s="246">
        <f t="shared" si="57"/>
        <v>2.0857243058891584E-4</v>
      </c>
      <c r="BK158" s="246">
        <f t="shared" si="82"/>
        <v>7.531116566323881E-4</v>
      </c>
      <c r="BL158" s="246">
        <f t="shared" si="58"/>
        <v>0</v>
      </c>
      <c r="BM158" s="246">
        <f t="shared" si="59"/>
        <v>9.6168408722130394E-4</v>
      </c>
      <c r="BN158" s="36">
        <f t="shared" si="92"/>
        <v>836.60819835623602</v>
      </c>
      <c r="BO158" s="36">
        <f t="shared" si="60"/>
        <v>3630.1888990552588</v>
      </c>
      <c r="BP158" s="36">
        <f t="shared" si="61"/>
        <v>870919.25939377071</v>
      </c>
    </row>
    <row r="159" spans="1:68">
      <c r="A159" s="32">
        <f t="shared" si="93"/>
        <v>16</v>
      </c>
      <c r="B159" s="32">
        <f t="shared" si="83"/>
        <v>58</v>
      </c>
      <c r="C159" s="32">
        <f t="shared" si="94"/>
        <v>6</v>
      </c>
      <c r="D159" s="32">
        <f t="shared" si="95"/>
        <v>69</v>
      </c>
      <c r="E159" s="74">
        <f>MIN(IF(AV159=0,0,
IF(Investment_Strategy="DIS",VLOOKUP(Investment_Strategy&amp;"_"&amp;Investment_Strategy_Sub1&amp;"_"&amp;$A159,'Investment Strategies'!$AZ:$BP,12,FALSE),
IF(AND(Investment_Strategy="Lifecycle",Investment_Strategy_Sub1="Non-Standard"),VLOOKUP(Investment_Strategy&amp;"_"&amp;Investment_Strategy_Sub2&amp;"_"&amp;$A159,'Investment Strategies'!$C:$P,9,FALSE),
IF(AND(Investment_Strategy="Lifecycle",Investment_Strategy_Sub1="Standard"),VLOOKUP(Investment_Strategy&amp;"_"&amp;Investment_Strategy_Sub2&amp;"_"&amp;$A159,'Investment Strategies'!$AJ:$AV,8,FALSE),
IF(AND(Investment_Strategy="Autopilot",Investment_Strategy_Sub1="Non-Standard"),VLOOKUP(Investment_Strategy&amp;"_"&amp;Investment_Strategy_Sub2&amp;"_"&amp;$A159,'Investment Strategies'!$T:$AF,8,FALSE),
IF(Investment_Strategy ="DIY",DIY_RateOfReturn_CurrentFunds,
"Error")))))),Max_InvReturn)</f>
        <v>4.1816398110932074E-3</v>
      </c>
      <c r="F159" s="62">
        <f>IF(AV159=0,0,
IF(Investment_Strategy="DIS",VLOOKUP(Investment_Strategy&amp;"_"&amp;Investment_Strategy_Sub1&amp;"_"&amp;$A159,'Investment Strategies'!$AZ:$BP,15,FALSE),
IF(AND(Investment_Strategy="Lifecycle",Investment_Strategy_Sub1="Non-Standard"),VLOOKUP(Investment_Strategy&amp;"_"&amp;Investment_Strategy_Sub2&amp;"_"&amp;$A159,'Investment Strategies'!$C:$P,12,FALSE),
IF(AND(Investment_Strategy="Lifecycle",Investment_Strategy_Sub1="Standard"),VLOOKUP(Investment_Strategy&amp;"_"&amp;Investment_Strategy_Sub2&amp;"_"&amp;$A159,'Investment Strategies'!$AJ:$AV,11,FALSE),
IF(AND(Investment_Strategy="Autopilot",Investment_Strategy_Sub1="Non-Standard"),VLOOKUP(Investment_Strategy&amp;"_"&amp;Investment_Strategy_Sub2&amp;"_"&amp;$A159,'Investment Strategies'!$T:$AF,11,FALSE),
IF(Investment_Strategy="DIY",DIY_GteeChrge_CurrentFunds,
"Error"))))))</f>
        <v>5.4328711526985263E-4</v>
      </c>
      <c r="G159" s="33">
        <f>IF(AV159=0,0,
IF(Investment_Strategy="DIS",VLOOKUP(Investment_Strategy&amp;"_"&amp;Investment_Strategy_Sub1&amp;"_"&amp;$A159,'Investment Strategies'!$AZ:$BP,17,FALSE),
IF(AND(Investment_Strategy="Lifecycle",Investment_Strategy_Sub1="Non-Standard"),VLOOKUP(Investment_Strategy&amp;"_"&amp;Investment_Strategy_Sub2&amp;"_"&amp;$A159,'Investment Strategies'!$C:$P,14,FALSE),
IF(AND(Investment_Strategy="Lifecycle",Investment_Strategy_Sub1="Standard"),VLOOKUP(Investment_Strategy&amp;"_"&amp;Investment_Strategy_Sub2&amp;"_"&amp;$A159,'Investment Strategies'!$AJ:$AV,13,FALSE),
IF(AND(Investment_Strategy="Autopilot",Investment_Strategy_Sub1="Non-Standard"),VLOOKUP(Investment_Strategy&amp;"_"&amp;Investment_Strategy_Sub2&amp;"_"&amp;$A159,'Investment Strategies'!$T:$AF,13,FALSE),
IF(Investment_Strategy="DIY",DIY_ExtManChrge_CurrentFunds,
"Error"))))))</f>
        <v>2.0857243058891584E-4</v>
      </c>
      <c r="H159" s="16">
        <f t="shared" si="84"/>
        <v>0</v>
      </c>
      <c r="I159" s="16">
        <f t="shared" si="68"/>
        <v>0</v>
      </c>
      <c r="J159" s="16">
        <f t="shared" si="69"/>
        <v>0</v>
      </c>
      <c r="K159" s="16">
        <f>(Opening_Fund_Value+SUM(K$91:K158))*E159*IF(D159=$A$91,SRP_finalmonthfactor,1)</f>
        <v>0</v>
      </c>
      <c r="L159" s="74">
        <f>MIN(IF($AV159=0,0,
IF(Investment_Strategy="DIS",VLOOKUP(Investment_Strategy&amp;"_"&amp;Investment_Strategy_Sub1&amp;"_"&amp;$A159,'Investment Strategies'!$AZ:$BP,12,FALSE),
IF(AND(Investment_Strategy="Lifecycle",Investment_Strategy_Sub1="Non-Standard"),VLOOKUP(Investment_Strategy&amp;"_"&amp;Investment_Strategy_Sub2&amp;"_"&amp;$A159,'Investment Strategies'!$C:$P,9,FALSE),
IF(AND(Investment_Strategy="Lifecycle",Investment_Strategy_Sub1="Standard"),VLOOKUP(Investment_Strategy&amp;"_"&amp;Investment_Strategy_Sub2&amp;"_"&amp;$A159,'Investment Strategies'!$AJ:$AV,8,FALSE),
IF(AND(Investment_Strategy="Autopilot",Investment_Strategy_Sub1="Non-Standard"),VLOOKUP(Investment_Strategy&amp;"_"&amp;Investment_Strategy_Sub2&amp;"_"&amp;$A159,'Investment Strategies'!$T:$AF,8,FALSE),
IF(Investment_Strategy ="DIY",DIY_RateofReturn_SP,
"Error")))))),Max_InvReturn)</f>
        <v>4.1816398110932074E-3</v>
      </c>
      <c r="M159" s="62">
        <f>IF($AV159=0,0,
IF(Investment_Strategy="DIS",VLOOKUP(Investment_Strategy&amp;"_"&amp;Investment_Strategy_Sub1&amp;"_"&amp;$A159,'Investment Strategies'!$AZ:$BP,15,FALSE),
IF(AND(Investment_Strategy="Lifecycle",Investment_Strategy_Sub1="Non-Standard"),VLOOKUP(Investment_Strategy&amp;"_"&amp;Investment_Strategy_Sub2&amp;"_"&amp;$A159,'Investment Strategies'!$C:$P,12,FALSE),
IF(AND(Investment_Strategy="Lifecycle",Investment_Strategy_Sub1="Standard"),VLOOKUP(Investment_Strategy&amp;"_"&amp;Investment_Strategy_Sub2&amp;"_"&amp;$A159,'Investment Strategies'!$AJ:$AV,11,FALSE),
IF(AND(Investment_Strategy="Autopilot",Investment_Strategy_Sub1="Non-Standard"),VLOOKUP(Investment_Strategy&amp;"_"&amp;Investment_Strategy_Sub2&amp;"_"&amp;$A159,'Investment Strategies'!$T:$AF,11,FALSE),
IF(Investment_Strategy="DIY",DIY_GteeChrge_SP,
"Error"))))))</f>
        <v>0</v>
      </c>
      <c r="N159" s="33">
        <f>IF($AV159=0,0,
IF(Investment_Strategy="DIS",VLOOKUP(Investment_Strategy&amp;"_"&amp;Investment_Strategy_Sub1&amp;"_"&amp;$A159,'Investment Strategies'!$AZ:$BP,17,FALSE),
IF(AND(Investment_Strategy="Lifecycle",Investment_Strategy_Sub1="Non-Standard"),VLOOKUP(Investment_Strategy&amp;"_"&amp;Investment_Strategy_Sub2&amp;"_"&amp;$A159,'Investment Strategies'!$C:$P,14,FALSE),
IF(AND(Investment_Strategy="Lifecycle",Investment_Strategy_Sub1="Standard"),VLOOKUP(Investment_Strategy&amp;"_"&amp;Investment_Strategy_Sub2&amp;"_"&amp;$A159,'Investment Strategies'!$AJ:$AV,13,FALSE),
IF(AND(Investment_Strategy="Autopilot",Investment_Strategy_Sub1="Non-Standard"),VLOOKUP(Investment_Strategy&amp;"_"&amp;Investment_Strategy_Sub2&amp;"_"&amp;$A159,'Investment Strategies'!$T:$AF,13,FALSE),
IF(Investment_Strategy="DIY",DIY_ExtManChrge_SP,
"Error"))))))</f>
        <v>2.0857243058891584E-4</v>
      </c>
      <c r="O159" s="16">
        <f t="shared" si="96"/>
        <v>870919.25939377071</v>
      </c>
      <c r="Q159" s="16">
        <f t="shared" si="70"/>
        <v>3641.8706473288034</v>
      </c>
      <c r="R159" s="16">
        <f t="shared" si="71"/>
        <v>-839.3003575381797</v>
      </c>
      <c r="S159" s="16">
        <f>(SRP_SP+SUM(S$91:S158))*L159*IF(D159=$A$91,SRP_finalmonthfactor,1)</f>
        <v>3887.5811681580735</v>
      </c>
      <c r="T159" s="74">
        <f>MIN(IF($AV159=0,0,
IF(Investment_Strategy="DIS",VLOOKUP(Investment_Strategy&amp;"_"&amp;Investment_Strategy_Sub1&amp;"_"&amp;$A159,'Investment Strategies'!$AZ:$BP,12,FALSE),
IF(AND(Investment_Strategy="Lifecycle",Investment_Strategy_Sub1="Non-Standard"),VLOOKUP(Investment_Strategy&amp;"_"&amp;Investment_Strategy_Sub2&amp;"_"&amp;$A159,'Investment Strategies'!$C:$P,9,FALSE),
IF(AND(Investment_Strategy="Lifecycle",Investment_Strategy_Sub1="Standard"),VLOOKUP(Investment_Strategy&amp;"_"&amp;Investment_Strategy_Sub2&amp;"_"&amp;$A159,'Investment Strategies'!$AJ:$AV,8,FALSE),
IF(AND(Investment_Strategy="Autopilot",Investment_Strategy_Sub1="Non-Standard"),VLOOKUP(Investment_Strategy&amp;"_"&amp;Investment_Strategy_Sub2&amp;"_"&amp;$A159,'Investment Strategies'!$T:$AF,8,FALSE),
IF(Investment_Strategy ="DIY",DIY_RateOfReturn_FuturePremiums,
"Error")))))),Max_InvReturn)</f>
        <v>4.1816398110932074E-3</v>
      </c>
      <c r="U159" s="62">
        <f>IF($AV159=0,0,
IF(Investment_Strategy="DIS",VLOOKUP(Investment_Strategy&amp;"_"&amp;Investment_Strategy_Sub1&amp;"_"&amp;$A159,'Investment Strategies'!$AZ:$BP,15,FALSE),
IF(AND(Investment_Strategy="Lifecycle",Investment_Strategy_Sub1="Non-Standard"),VLOOKUP(Investment_Strategy&amp;"_"&amp;Investment_Strategy_Sub2&amp;"_"&amp;$A159,'Investment Strategies'!$C:$P,12,FALSE),
IF(AND(Investment_Strategy="Lifecycle",Investment_Strategy_Sub1="Standard"),VLOOKUP(Investment_Strategy&amp;"_"&amp;Investment_Strategy_Sub2&amp;"_"&amp;$A159,'Investment Strategies'!$AJ:$AV,11,FALSE),
IF(AND(Investment_Strategy="Autopilot",Investment_Strategy_Sub1="Non-Standard"),VLOOKUP(Investment_Strategy&amp;"_"&amp;Investment_Strategy_Sub2&amp;"_"&amp;$A159,'Investment Strategies'!$T:$AF,11,FALSE),
IF(Investment_Strategy="DIY",DIY_GteeChrge_FuturePremiums,
"Error"))))))</f>
        <v>0</v>
      </c>
      <c r="V159" s="33">
        <f>IF(AV159=0,0,
IF(Investment_Strategy="DIS",VLOOKUP(Investment_Strategy&amp;"_"&amp;Investment_Strategy_Sub1&amp;"_"&amp;$A159,'Investment Strategies'!$AZ:$BP,17,FALSE),
IF(AND(Investment_Strategy="Lifecycle",Investment_Strategy_Sub1="Non-Standard"),VLOOKUP(Investment_Strategy&amp;"_"&amp;Investment_Strategy_Sub2&amp;"_"&amp;$A159,'Investment Strategies'!$C:$P,14,FALSE),
IF(AND(Investment_Strategy="Lifecycle",Investment_Strategy_Sub1="Standard"),VLOOKUP(Investment_Strategy&amp;"_"&amp;Investment_Strategy_Sub2&amp;"_"&amp;$A159,'Investment Strategies'!$AJ:$AV,13,FALSE),
IF(AND(Investment_Strategy="Autopilot",Investment_Strategy_Sub1="Non-Standard"),VLOOKUP(Investment_Strategy&amp;"_"&amp;Investment_Strategy_Sub2&amp;"_"&amp;$A159,'Investment Strategies'!$T:$AF,13,FALSE),
IF(Investment_Strategy="DIY",DIY_ExtManChrge_FuturePremiums,
"Error"))))))</f>
        <v>1.2508601994698498E-4</v>
      </c>
      <c r="W159" s="16">
        <f t="shared" si="97"/>
        <v>0</v>
      </c>
      <c r="X159" s="16">
        <f t="shared" si="72"/>
        <v>0</v>
      </c>
      <c r="Y159" s="16">
        <f t="shared" si="73"/>
        <v>0</v>
      </c>
      <c r="Z159" s="31">
        <f t="shared" si="74"/>
        <v>0.02</v>
      </c>
      <c r="AA159" s="16">
        <f t="shared" si="75"/>
        <v>0</v>
      </c>
      <c r="AB159" s="28">
        <f t="shared" si="98"/>
        <v>929678.62938480685</v>
      </c>
      <c r="AC159" s="28">
        <f>(SUM($AC$91:AC158)+SUM($X$91:X158)+X159)*T159*IF(D159=$A$91,SRP_finalmonthfactor,1)</f>
        <v>0</v>
      </c>
      <c r="AD159" s="16">
        <f t="shared" si="76"/>
        <v>-182.02954368485914</v>
      </c>
      <c r="AE159" s="106"/>
      <c r="AF159" s="16">
        <f t="shared" si="85"/>
        <v>870919.25939377071</v>
      </c>
      <c r="AG159" s="16">
        <f t="shared" si="86"/>
        <v>3887.5811681580735</v>
      </c>
      <c r="AH159" s="16">
        <f t="shared" si="87"/>
        <v>-839.3003575381797</v>
      </c>
      <c r="AJ159" s="13">
        <f t="shared" si="67"/>
        <v>0</v>
      </c>
      <c r="AK159" s="13">
        <f t="shared" si="67"/>
        <v>0</v>
      </c>
      <c r="AL159" s="13">
        <f t="shared" si="67"/>
        <v>0</v>
      </c>
      <c r="AM159" s="13">
        <f t="shared" si="67"/>
        <v>0</v>
      </c>
      <c r="AN159" s="13">
        <f t="shared" si="67"/>
        <v>0</v>
      </c>
      <c r="AO159" s="13">
        <f t="shared" si="67"/>
        <v>1</v>
      </c>
      <c r="AP159" s="13">
        <f t="shared" si="67"/>
        <v>1</v>
      </c>
      <c r="AQ159" s="13">
        <f t="shared" si="67"/>
        <v>1</v>
      </c>
      <c r="AR159" s="13">
        <f t="shared" si="67"/>
        <v>1</v>
      </c>
      <c r="AS159" s="13">
        <f t="shared" si="67"/>
        <v>1</v>
      </c>
      <c r="AT159" s="13">
        <f t="shared" si="67"/>
        <v>1</v>
      </c>
      <c r="AU159" s="13">
        <f t="shared" si="67"/>
        <v>1</v>
      </c>
      <c r="AV159" s="13">
        <f t="shared" si="77"/>
        <v>1</v>
      </c>
      <c r="AW159" s="13">
        <f t="shared" si="78"/>
        <v>1</v>
      </c>
      <c r="AY159" s="17">
        <f t="shared" si="79"/>
        <v>69</v>
      </c>
      <c r="AZ159" s="28">
        <f t="shared" si="88"/>
        <v>0</v>
      </c>
      <c r="BA159" s="13">
        <f t="shared" si="80"/>
        <v>0</v>
      </c>
      <c r="BB159" s="13">
        <f t="shared" si="81"/>
        <v>0</v>
      </c>
      <c r="BC159" s="28">
        <f t="shared" si="89"/>
        <v>0</v>
      </c>
      <c r="BD159" s="28">
        <f t="shared" si="90"/>
        <v>0</v>
      </c>
      <c r="BF159" s="248">
        <f t="shared" si="91"/>
        <v>933566.21055296494</v>
      </c>
      <c r="BG159" s="36">
        <f t="shared" si="54"/>
        <v>0</v>
      </c>
      <c r="BH159" s="36">
        <f t="shared" si="55"/>
        <v>870919.25939377071</v>
      </c>
      <c r="BI159" s="249">
        <f t="shared" si="56"/>
        <v>4.1816398110932074E-3</v>
      </c>
      <c r="BJ159" s="246">
        <f t="shared" si="57"/>
        <v>2.0857243058891584E-4</v>
      </c>
      <c r="BK159" s="246">
        <f t="shared" si="82"/>
        <v>7.531116566323881E-4</v>
      </c>
      <c r="BL159" s="246">
        <f t="shared" si="58"/>
        <v>0</v>
      </c>
      <c r="BM159" s="246">
        <f t="shared" si="59"/>
        <v>9.6168408722130394E-4</v>
      </c>
      <c r="BN159" s="36">
        <f t="shared" si="92"/>
        <v>839.30035753817958</v>
      </c>
      <c r="BO159" s="36">
        <f t="shared" si="60"/>
        <v>3641.8706473288034</v>
      </c>
      <c r="BP159" s="36">
        <f t="shared" si="61"/>
        <v>873721.82968356134</v>
      </c>
    </row>
    <row r="160" spans="1:68">
      <c r="A160" s="32">
        <f t="shared" si="93"/>
        <v>15</v>
      </c>
      <c r="B160" s="32">
        <f t="shared" si="83"/>
        <v>58</v>
      </c>
      <c r="C160" s="32">
        <f t="shared" si="94"/>
        <v>6</v>
      </c>
      <c r="D160" s="32">
        <f t="shared" si="95"/>
        <v>70</v>
      </c>
      <c r="E160" s="74">
        <f>MIN(IF(AV160=0,0,
IF(Investment_Strategy="DIS",VLOOKUP(Investment_Strategy&amp;"_"&amp;Investment_Strategy_Sub1&amp;"_"&amp;$A160,'Investment Strategies'!$AZ:$BP,12,FALSE),
IF(AND(Investment_Strategy="Lifecycle",Investment_Strategy_Sub1="Non-Standard"),VLOOKUP(Investment_Strategy&amp;"_"&amp;Investment_Strategy_Sub2&amp;"_"&amp;$A160,'Investment Strategies'!$C:$P,9,FALSE),
IF(AND(Investment_Strategy="Lifecycle",Investment_Strategy_Sub1="Standard"),VLOOKUP(Investment_Strategy&amp;"_"&amp;Investment_Strategy_Sub2&amp;"_"&amp;$A160,'Investment Strategies'!$AJ:$AV,8,FALSE),
IF(AND(Investment_Strategy="Autopilot",Investment_Strategy_Sub1="Non-Standard"),VLOOKUP(Investment_Strategy&amp;"_"&amp;Investment_Strategy_Sub2&amp;"_"&amp;$A160,'Investment Strategies'!$T:$AF,8,FALSE),
IF(Investment_Strategy ="DIY",DIY_RateOfReturn_CurrentFunds,
"Error")))))),Max_InvReturn)</f>
        <v>4.1816398110932074E-3</v>
      </c>
      <c r="F160" s="62">
        <f>IF(AV160=0,0,
IF(Investment_Strategy="DIS",VLOOKUP(Investment_Strategy&amp;"_"&amp;Investment_Strategy_Sub1&amp;"_"&amp;$A160,'Investment Strategies'!$AZ:$BP,15,FALSE),
IF(AND(Investment_Strategy="Lifecycle",Investment_Strategy_Sub1="Non-Standard"),VLOOKUP(Investment_Strategy&amp;"_"&amp;Investment_Strategy_Sub2&amp;"_"&amp;$A160,'Investment Strategies'!$C:$P,12,FALSE),
IF(AND(Investment_Strategy="Lifecycle",Investment_Strategy_Sub1="Standard"),VLOOKUP(Investment_Strategy&amp;"_"&amp;Investment_Strategy_Sub2&amp;"_"&amp;$A160,'Investment Strategies'!$AJ:$AV,11,FALSE),
IF(AND(Investment_Strategy="Autopilot",Investment_Strategy_Sub1="Non-Standard"),VLOOKUP(Investment_Strategy&amp;"_"&amp;Investment_Strategy_Sub2&amp;"_"&amp;$A160,'Investment Strategies'!$T:$AF,11,FALSE),
IF(Investment_Strategy="DIY",DIY_GteeChrge_CurrentFunds,
"Error"))))))</f>
        <v>5.4328711526985263E-4</v>
      </c>
      <c r="G160" s="33">
        <f>IF(AV160=0,0,
IF(Investment_Strategy="DIS",VLOOKUP(Investment_Strategy&amp;"_"&amp;Investment_Strategy_Sub1&amp;"_"&amp;$A160,'Investment Strategies'!$AZ:$BP,17,FALSE),
IF(AND(Investment_Strategy="Lifecycle",Investment_Strategy_Sub1="Non-Standard"),VLOOKUP(Investment_Strategy&amp;"_"&amp;Investment_Strategy_Sub2&amp;"_"&amp;$A160,'Investment Strategies'!$C:$P,14,FALSE),
IF(AND(Investment_Strategy="Lifecycle",Investment_Strategy_Sub1="Standard"),VLOOKUP(Investment_Strategy&amp;"_"&amp;Investment_Strategy_Sub2&amp;"_"&amp;$A160,'Investment Strategies'!$AJ:$AV,13,FALSE),
IF(AND(Investment_Strategy="Autopilot",Investment_Strategy_Sub1="Non-Standard"),VLOOKUP(Investment_Strategy&amp;"_"&amp;Investment_Strategy_Sub2&amp;"_"&amp;$A160,'Investment Strategies'!$T:$AF,13,FALSE),
IF(Investment_Strategy="DIY",DIY_ExtManChrge_CurrentFunds,
"Error"))))))</f>
        <v>2.0857243058891584E-4</v>
      </c>
      <c r="H160" s="16">
        <f t="shared" si="84"/>
        <v>0</v>
      </c>
      <c r="I160" s="16">
        <f t="shared" si="68"/>
        <v>0</v>
      </c>
      <c r="J160" s="16">
        <f t="shared" si="69"/>
        <v>0</v>
      </c>
      <c r="K160" s="16">
        <f>(Opening_Fund_Value+SUM(K$91:K159))*E160*IF(D160=$A$91,SRP_finalmonthfactor,1)</f>
        <v>0</v>
      </c>
      <c r="L160" s="74">
        <f>MIN(IF($AV160=0,0,
IF(Investment_Strategy="DIS",VLOOKUP(Investment_Strategy&amp;"_"&amp;Investment_Strategy_Sub1&amp;"_"&amp;$A160,'Investment Strategies'!$AZ:$BP,12,FALSE),
IF(AND(Investment_Strategy="Lifecycle",Investment_Strategy_Sub1="Non-Standard"),VLOOKUP(Investment_Strategy&amp;"_"&amp;Investment_Strategy_Sub2&amp;"_"&amp;$A160,'Investment Strategies'!$C:$P,9,FALSE),
IF(AND(Investment_Strategy="Lifecycle",Investment_Strategy_Sub1="Standard"),VLOOKUP(Investment_Strategy&amp;"_"&amp;Investment_Strategy_Sub2&amp;"_"&amp;$A160,'Investment Strategies'!$AJ:$AV,8,FALSE),
IF(AND(Investment_Strategy="Autopilot",Investment_Strategy_Sub1="Non-Standard"),VLOOKUP(Investment_Strategy&amp;"_"&amp;Investment_Strategy_Sub2&amp;"_"&amp;$A160,'Investment Strategies'!$T:$AF,8,FALSE),
IF(Investment_Strategy ="DIY",DIY_RateofReturn_SP,
"Error")))))),Max_InvReturn)</f>
        <v>4.1816398110932074E-3</v>
      </c>
      <c r="M160" s="62">
        <f>IF($AV160=0,0,
IF(Investment_Strategy="DIS",VLOOKUP(Investment_Strategy&amp;"_"&amp;Investment_Strategy_Sub1&amp;"_"&amp;$A160,'Investment Strategies'!$AZ:$BP,15,FALSE),
IF(AND(Investment_Strategy="Lifecycle",Investment_Strategy_Sub1="Non-Standard"),VLOOKUP(Investment_Strategy&amp;"_"&amp;Investment_Strategy_Sub2&amp;"_"&amp;$A160,'Investment Strategies'!$C:$P,12,FALSE),
IF(AND(Investment_Strategy="Lifecycle",Investment_Strategy_Sub1="Standard"),VLOOKUP(Investment_Strategy&amp;"_"&amp;Investment_Strategy_Sub2&amp;"_"&amp;$A160,'Investment Strategies'!$AJ:$AV,11,FALSE),
IF(AND(Investment_Strategy="Autopilot",Investment_Strategy_Sub1="Non-Standard"),VLOOKUP(Investment_Strategy&amp;"_"&amp;Investment_Strategy_Sub2&amp;"_"&amp;$A160,'Investment Strategies'!$T:$AF,11,FALSE),
IF(Investment_Strategy="DIY",DIY_GteeChrge_SP,
"Error"))))))</f>
        <v>0</v>
      </c>
      <c r="N160" s="33">
        <f>IF($AV160=0,0,
IF(Investment_Strategy="DIS",VLOOKUP(Investment_Strategy&amp;"_"&amp;Investment_Strategy_Sub1&amp;"_"&amp;$A160,'Investment Strategies'!$AZ:$BP,17,FALSE),
IF(AND(Investment_Strategy="Lifecycle",Investment_Strategy_Sub1="Non-Standard"),VLOOKUP(Investment_Strategy&amp;"_"&amp;Investment_Strategy_Sub2&amp;"_"&amp;$A160,'Investment Strategies'!$C:$P,14,FALSE),
IF(AND(Investment_Strategy="Lifecycle",Investment_Strategy_Sub1="Standard"),VLOOKUP(Investment_Strategy&amp;"_"&amp;Investment_Strategy_Sub2&amp;"_"&amp;$A160,'Investment Strategies'!$AJ:$AV,13,FALSE),
IF(AND(Investment_Strategy="Autopilot",Investment_Strategy_Sub1="Non-Standard"),VLOOKUP(Investment_Strategy&amp;"_"&amp;Investment_Strategy_Sub2&amp;"_"&amp;$A160,'Investment Strategies'!$T:$AF,13,FALSE),
IF(Investment_Strategy="DIY",DIY_ExtManChrge_SP,
"Error"))))))</f>
        <v>2.0857243058891584E-4</v>
      </c>
      <c r="O160" s="16">
        <f t="shared" si="96"/>
        <v>873721.82968356134</v>
      </c>
      <c r="Q160" s="16">
        <f t="shared" si="70"/>
        <v>3653.5899868259789</v>
      </c>
      <c r="R160" s="16">
        <f t="shared" si="71"/>
        <v>-842.00117994034417</v>
      </c>
      <c r="S160" s="16">
        <f>(SRP_SP+SUM(S$91:S159))*L160*IF(D160=$A$91,SRP_finalmonthfactor,1)</f>
        <v>3903.8376323396997</v>
      </c>
      <c r="T160" s="74">
        <f>MIN(IF($AV160=0,0,
IF(Investment_Strategy="DIS",VLOOKUP(Investment_Strategy&amp;"_"&amp;Investment_Strategy_Sub1&amp;"_"&amp;$A160,'Investment Strategies'!$AZ:$BP,12,FALSE),
IF(AND(Investment_Strategy="Lifecycle",Investment_Strategy_Sub1="Non-Standard"),VLOOKUP(Investment_Strategy&amp;"_"&amp;Investment_Strategy_Sub2&amp;"_"&amp;$A160,'Investment Strategies'!$C:$P,9,FALSE),
IF(AND(Investment_Strategy="Lifecycle",Investment_Strategy_Sub1="Standard"),VLOOKUP(Investment_Strategy&amp;"_"&amp;Investment_Strategy_Sub2&amp;"_"&amp;$A160,'Investment Strategies'!$AJ:$AV,8,FALSE),
IF(AND(Investment_Strategy="Autopilot",Investment_Strategy_Sub1="Non-Standard"),VLOOKUP(Investment_Strategy&amp;"_"&amp;Investment_Strategy_Sub2&amp;"_"&amp;$A160,'Investment Strategies'!$T:$AF,8,FALSE),
IF(Investment_Strategy ="DIY",DIY_RateOfReturn_FuturePremiums,
"Error")))))),Max_InvReturn)</f>
        <v>4.1816398110932074E-3</v>
      </c>
      <c r="U160" s="62">
        <f>IF($AV160=0,0,
IF(Investment_Strategy="DIS",VLOOKUP(Investment_Strategy&amp;"_"&amp;Investment_Strategy_Sub1&amp;"_"&amp;$A160,'Investment Strategies'!$AZ:$BP,15,FALSE),
IF(AND(Investment_Strategy="Lifecycle",Investment_Strategy_Sub1="Non-Standard"),VLOOKUP(Investment_Strategy&amp;"_"&amp;Investment_Strategy_Sub2&amp;"_"&amp;$A160,'Investment Strategies'!$C:$P,12,FALSE),
IF(AND(Investment_Strategy="Lifecycle",Investment_Strategy_Sub1="Standard"),VLOOKUP(Investment_Strategy&amp;"_"&amp;Investment_Strategy_Sub2&amp;"_"&amp;$A160,'Investment Strategies'!$AJ:$AV,11,FALSE),
IF(AND(Investment_Strategy="Autopilot",Investment_Strategy_Sub1="Non-Standard"),VLOOKUP(Investment_Strategy&amp;"_"&amp;Investment_Strategy_Sub2&amp;"_"&amp;$A160,'Investment Strategies'!$T:$AF,11,FALSE),
IF(Investment_Strategy="DIY",DIY_GteeChrge_FuturePremiums,
"Error"))))))</f>
        <v>0</v>
      </c>
      <c r="V160" s="33">
        <f>IF(AV160=0,0,
IF(Investment_Strategy="DIS",VLOOKUP(Investment_Strategy&amp;"_"&amp;Investment_Strategy_Sub1&amp;"_"&amp;$A160,'Investment Strategies'!$AZ:$BP,17,FALSE),
IF(AND(Investment_Strategy="Lifecycle",Investment_Strategy_Sub1="Non-Standard"),VLOOKUP(Investment_Strategy&amp;"_"&amp;Investment_Strategy_Sub2&amp;"_"&amp;$A160,'Investment Strategies'!$C:$P,14,FALSE),
IF(AND(Investment_Strategy="Lifecycle",Investment_Strategy_Sub1="Standard"),VLOOKUP(Investment_Strategy&amp;"_"&amp;Investment_Strategy_Sub2&amp;"_"&amp;$A160,'Investment Strategies'!$AJ:$AV,13,FALSE),
IF(AND(Investment_Strategy="Autopilot",Investment_Strategy_Sub1="Non-Standard"),VLOOKUP(Investment_Strategy&amp;"_"&amp;Investment_Strategy_Sub2&amp;"_"&amp;$A160,'Investment Strategies'!$T:$AF,13,FALSE),
IF(Investment_Strategy="DIY",DIY_ExtManChrge_FuturePremiums,
"Error"))))))</f>
        <v>1.2508601994698498E-4</v>
      </c>
      <c r="W160" s="16">
        <f t="shared" si="97"/>
        <v>0</v>
      </c>
      <c r="X160" s="16">
        <f t="shared" si="72"/>
        <v>0</v>
      </c>
      <c r="Y160" s="16">
        <f t="shared" si="73"/>
        <v>0</v>
      </c>
      <c r="Z160" s="31">
        <f t="shared" si="74"/>
        <v>0.02</v>
      </c>
      <c r="AA160" s="16">
        <f t="shared" si="75"/>
        <v>0</v>
      </c>
      <c r="AB160" s="28">
        <f t="shared" si="98"/>
        <v>933566.21055296494</v>
      </c>
      <c r="AC160" s="28">
        <f>(SUM($AC$91:AC159)+SUM($X$91:X159)+X160)*T160*IF(D160=$A$91,SRP_finalmonthfactor,1)</f>
        <v>0</v>
      </c>
      <c r="AD160" s="16">
        <f t="shared" si="76"/>
        <v>-182.61530474765897</v>
      </c>
      <c r="AE160" s="106"/>
      <c r="AF160" s="16">
        <f t="shared" si="85"/>
        <v>873721.82968356134</v>
      </c>
      <c r="AG160" s="16">
        <f t="shared" si="86"/>
        <v>3903.8376323396997</v>
      </c>
      <c r="AH160" s="16">
        <f t="shared" si="87"/>
        <v>-842.00117994034417</v>
      </c>
      <c r="AJ160" s="13">
        <f t="shared" si="67"/>
        <v>0</v>
      </c>
      <c r="AK160" s="13">
        <f t="shared" si="67"/>
        <v>0</v>
      </c>
      <c r="AL160" s="13">
        <f t="shared" si="67"/>
        <v>0</v>
      </c>
      <c r="AM160" s="13">
        <f t="shared" si="67"/>
        <v>0</v>
      </c>
      <c r="AN160" s="13">
        <f t="shared" si="67"/>
        <v>0</v>
      </c>
      <c r="AO160" s="13">
        <f t="shared" si="67"/>
        <v>1</v>
      </c>
      <c r="AP160" s="13">
        <f t="shared" si="67"/>
        <v>1</v>
      </c>
      <c r="AQ160" s="13">
        <f t="shared" si="67"/>
        <v>1</v>
      </c>
      <c r="AR160" s="13">
        <f t="shared" si="67"/>
        <v>1</v>
      </c>
      <c r="AS160" s="13">
        <f t="shared" si="67"/>
        <v>1</v>
      </c>
      <c r="AT160" s="13">
        <f t="shared" si="67"/>
        <v>1</v>
      </c>
      <c r="AU160" s="13">
        <f t="shared" si="67"/>
        <v>1</v>
      </c>
      <c r="AV160" s="13">
        <f t="shared" si="77"/>
        <v>1</v>
      </c>
      <c r="AW160" s="13">
        <f t="shared" si="78"/>
        <v>1</v>
      </c>
      <c r="AY160" s="17">
        <f t="shared" si="79"/>
        <v>70</v>
      </c>
      <c r="AZ160" s="28">
        <f t="shared" si="88"/>
        <v>0</v>
      </c>
      <c r="BA160" s="13">
        <f t="shared" si="80"/>
        <v>0</v>
      </c>
      <c r="BB160" s="13">
        <f t="shared" si="81"/>
        <v>0</v>
      </c>
      <c r="BC160" s="28">
        <f t="shared" si="89"/>
        <v>0</v>
      </c>
      <c r="BD160" s="28">
        <f t="shared" si="90"/>
        <v>0</v>
      </c>
      <c r="BF160" s="248">
        <f t="shared" si="91"/>
        <v>937470.04818530462</v>
      </c>
      <c r="BG160" s="36">
        <f t="shared" ref="BG160:BG223" si="99">P160+X160</f>
        <v>0</v>
      </c>
      <c r="BH160" s="36">
        <f t="shared" ref="BH160:BH223" si="100">IF(ISNUMBER(BH159), BG160+BP159, BG160)</f>
        <v>873721.82968356134</v>
      </c>
      <c r="BI160" s="249">
        <f t="shared" ref="BI160:BI223" si="101">E160</f>
        <v>4.1816398110932074E-3</v>
      </c>
      <c r="BJ160" s="246">
        <f t="shared" ref="BJ160:BJ223" si="102">N160</f>
        <v>2.0857243058891584E-4</v>
      </c>
      <c r="BK160" s="246">
        <f t="shared" si="82"/>
        <v>7.531116566323881E-4</v>
      </c>
      <c r="BL160" s="246">
        <f t="shared" ref="BL160:BL223" si="103">U160</f>
        <v>0</v>
      </c>
      <c r="BM160" s="246">
        <f t="shared" ref="BM160:BM223" si="104">BJ160+BK160+BL160</f>
        <v>9.6168408722130394E-4</v>
      </c>
      <c r="BN160" s="36">
        <f t="shared" si="92"/>
        <v>842.00117994034406</v>
      </c>
      <c r="BO160" s="36">
        <f t="shared" ref="BO160:BO223" si="105">BH160*BI160</f>
        <v>3653.5899868259789</v>
      </c>
      <c r="BP160" s="36">
        <f t="shared" ref="BP160:BP223" si="106">BH160+BO160-BN160</f>
        <v>876533.41849044699</v>
      </c>
    </row>
    <row r="161" spans="1:68">
      <c r="A161" s="32">
        <f t="shared" si="93"/>
        <v>14</v>
      </c>
      <c r="B161" s="32">
        <f t="shared" si="83"/>
        <v>58</v>
      </c>
      <c r="C161" s="32">
        <f t="shared" si="94"/>
        <v>6</v>
      </c>
      <c r="D161" s="32">
        <f t="shared" si="95"/>
        <v>71</v>
      </c>
      <c r="E161" s="74">
        <f>MIN(IF(AV161=0,0,
IF(Investment_Strategy="DIS",VLOOKUP(Investment_Strategy&amp;"_"&amp;Investment_Strategy_Sub1&amp;"_"&amp;$A161,'Investment Strategies'!$AZ:$BP,12,FALSE),
IF(AND(Investment_Strategy="Lifecycle",Investment_Strategy_Sub1="Non-Standard"),VLOOKUP(Investment_Strategy&amp;"_"&amp;Investment_Strategy_Sub2&amp;"_"&amp;$A161,'Investment Strategies'!$C:$P,9,FALSE),
IF(AND(Investment_Strategy="Lifecycle",Investment_Strategy_Sub1="Standard"),VLOOKUP(Investment_Strategy&amp;"_"&amp;Investment_Strategy_Sub2&amp;"_"&amp;$A161,'Investment Strategies'!$AJ:$AV,8,FALSE),
IF(AND(Investment_Strategy="Autopilot",Investment_Strategy_Sub1="Non-Standard"),VLOOKUP(Investment_Strategy&amp;"_"&amp;Investment_Strategy_Sub2&amp;"_"&amp;$A161,'Investment Strategies'!$T:$AF,8,FALSE),
IF(Investment_Strategy ="DIY",DIY_RateOfReturn_CurrentFunds,
"Error")))))),Max_InvReturn)</f>
        <v>4.1816398110932074E-3</v>
      </c>
      <c r="F161" s="62">
        <f>IF(AV161=0,0,
IF(Investment_Strategy="DIS",VLOOKUP(Investment_Strategy&amp;"_"&amp;Investment_Strategy_Sub1&amp;"_"&amp;$A161,'Investment Strategies'!$AZ:$BP,15,FALSE),
IF(AND(Investment_Strategy="Lifecycle",Investment_Strategy_Sub1="Non-Standard"),VLOOKUP(Investment_Strategy&amp;"_"&amp;Investment_Strategy_Sub2&amp;"_"&amp;$A161,'Investment Strategies'!$C:$P,12,FALSE),
IF(AND(Investment_Strategy="Lifecycle",Investment_Strategy_Sub1="Standard"),VLOOKUP(Investment_Strategy&amp;"_"&amp;Investment_Strategy_Sub2&amp;"_"&amp;$A161,'Investment Strategies'!$AJ:$AV,11,FALSE),
IF(AND(Investment_Strategy="Autopilot",Investment_Strategy_Sub1="Non-Standard"),VLOOKUP(Investment_Strategy&amp;"_"&amp;Investment_Strategy_Sub2&amp;"_"&amp;$A161,'Investment Strategies'!$T:$AF,11,FALSE),
IF(Investment_Strategy="DIY",DIY_GteeChrge_CurrentFunds,
"Error"))))))</f>
        <v>5.4328711526985263E-4</v>
      </c>
      <c r="G161" s="33">
        <f>IF(AV161=0,0,
IF(Investment_Strategy="DIS",VLOOKUP(Investment_Strategy&amp;"_"&amp;Investment_Strategy_Sub1&amp;"_"&amp;$A161,'Investment Strategies'!$AZ:$BP,17,FALSE),
IF(AND(Investment_Strategy="Lifecycle",Investment_Strategy_Sub1="Non-Standard"),VLOOKUP(Investment_Strategy&amp;"_"&amp;Investment_Strategy_Sub2&amp;"_"&amp;$A161,'Investment Strategies'!$C:$P,14,FALSE),
IF(AND(Investment_Strategy="Lifecycle",Investment_Strategy_Sub1="Standard"),VLOOKUP(Investment_Strategy&amp;"_"&amp;Investment_Strategy_Sub2&amp;"_"&amp;$A161,'Investment Strategies'!$AJ:$AV,13,FALSE),
IF(AND(Investment_Strategy="Autopilot",Investment_Strategy_Sub1="Non-Standard"),VLOOKUP(Investment_Strategy&amp;"_"&amp;Investment_Strategy_Sub2&amp;"_"&amp;$A161,'Investment Strategies'!$T:$AF,13,FALSE),
IF(Investment_Strategy="DIY",DIY_ExtManChrge_CurrentFunds,
"Error"))))))</f>
        <v>2.0857243058891584E-4</v>
      </c>
      <c r="H161" s="16">
        <f t="shared" si="84"/>
        <v>0</v>
      </c>
      <c r="I161" s="16">
        <f t="shared" si="68"/>
        <v>0</v>
      </c>
      <c r="J161" s="16">
        <f t="shared" si="69"/>
        <v>0</v>
      </c>
      <c r="K161" s="16">
        <f>(Opening_Fund_Value+SUM(K$91:K160))*E161*IF(D161=$A$91,SRP_finalmonthfactor,1)</f>
        <v>0</v>
      </c>
      <c r="L161" s="74">
        <f>MIN(IF($AV161=0,0,
IF(Investment_Strategy="DIS",VLOOKUP(Investment_Strategy&amp;"_"&amp;Investment_Strategy_Sub1&amp;"_"&amp;$A161,'Investment Strategies'!$AZ:$BP,12,FALSE),
IF(AND(Investment_Strategy="Lifecycle",Investment_Strategy_Sub1="Non-Standard"),VLOOKUP(Investment_Strategy&amp;"_"&amp;Investment_Strategy_Sub2&amp;"_"&amp;$A161,'Investment Strategies'!$C:$P,9,FALSE),
IF(AND(Investment_Strategy="Lifecycle",Investment_Strategy_Sub1="Standard"),VLOOKUP(Investment_Strategy&amp;"_"&amp;Investment_Strategy_Sub2&amp;"_"&amp;$A161,'Investment Strategies'!$AJ:$AV,8,FALSE),
IF(AND(Investment_Strategy="Autopilot",Investment_Strategy_Sub1="Non-Standard"),VLOOKUP(Investment_Strategy&amp;"_"&amp;Investment_Strategy_Sub2&amp;"_"&amp;$A161,'Investment Strategies'!$T:$AF,8,FALSE),
IF(Investment_Strategy ="DIY",DIY_RateofReturn_SP,
"Error")))))),Max_InvReturn)</f>
        <v>4.1816398110932074E-3</v>
      </c>
      <c r="M161" s="62">
        <f>IF($AV161=0,0,
IF(Investment_Strategy="DIS",VLOOKUP(Investment_Strategy&amp;"_"&amp;Investment_Strategy_Sub1&amp;"_"&amp;$A161,'Investment Strategies'!$AZ:$BP,15,FALSE),
IF(AND(Investment_Strategy="Lifecycle",Investment_Strategy_Sub1="Non-Standard"),VLOOKUP(Investment_Strategy&amp;"_"&amp;Investment_Strategy_Sub2&amp;"_"&amp;$A161,'Investment Strategies'!$C:$P,12,FALSE),
IF(AND(Investment_Strategy="Lifecycle",Investment_Strategy_Sub1="Standard"),VLOOKUP(Investment_Strategy&amp;"_"&amp;Investment_Strategy_Sub2&amp;"_"&amp;$A161,'Investment Strategies'!$AJ:$AV,11,FALSE),
IF(AND(Investment_Strategy="Autopilot",Investment_Strategy_Sub1="Non-Standard"),VLOOKUP(Investment_Strategy&amp;"_"&amp;Investment_Strategy_Sub2&amp;"_"&amp;$A161,'Investment Strategies'!$T:$AF,11,FALSE),
IF(Investment_Strategy="DIY",DIY_GteeChrge_SP,
"Error"))))))</f>
        <v>0</v>
      </c>
      <c r="N161" s="33">
        <f>IF($AV161=0,0,
IF(Investment_Strategy="DIS",VLOOKUP(Investment_Strategy&amp;"_"&amp;Investment_Strategy_Sub1&amp;"_"&amp;$A161,'Investment Strategies'!$AZ:$BP,17,FALSE),
IF(AND(Investment_Strategy="Lifecycle",Investment_Strategy_Sub1="Non-Standard"),VLOOKUP(Investment_Strategy&amp;"_"&amp;Investment_Strategy_Sub2&amp;"_"&amp;$A161,'Investment Strategies'!$C:$P,14,FALSE),
IF(AND(Investment_Strategy="Lifecycle",Investment_Strategy_Sub1="Standard"),VLOOKUP(Investment_Strategy&amp;"_"&amp;Investment_Strategy_Sub2&amp;"_"&amp;$A161,'Investment Strategies'!$AJ:$AV,13,FALSE),
IF(AND(Investment_Strategy="Autopilot",Investment_Strategy_Sub1="Non-Standard"),VLOOKUP(Investment_Strategy&amp;"_"&amp;Investment_Strategy_Sub2&amp;"_"&amp;$A161,'Investment Strategies'!$T:$AF,13,FALSE),
IF(Investment_Strategy="DIY",DIY_ExtManChrge_SP,
"Error"))))))</f>
        <v>2.0857243058891584E-4</v>
      </c>
      <c r="O161" s="16">
        <f t="shared" si="96"/>
        <v>876533.41849044699</v>
      </c>
      <c r="Q161" s="16">
        <f t="shared" si="70"/>
        <v>3665.3470385132759</v>
      </c>
      <c r="R161" s="16">
        <f t="shared" si="71"/>
        <v>-844.71069344049567</v>
      </c>
      <c r="S161" s="16">
        <f>(SRP_SP+SUM(S$91:S160))*L161*IF(D161=$A$91,SRP_finalmonthfactor,1)</f>
        <v>3920.1620751991354</v>
      </c>
      <c r="T161" s="74">
        <f>MIN(IF($AV161=0,0,
IF(Investment_Strategy="DIS",VLOOKUP(Investment_Strategy&amp;"_"&amp;Investment_Strategy_Sub1&amp;"_"&amp;$A161,'Investment Strategies'!$AZ:$BP,12,FALSE),
IF(AND(Investment_Strategy="Lifecycle",Investment_Strategy_Sub1="Non-Standard"),VLOOKUP(Investment_Strategy&amp;"_"&amp;Investment_Strategy_Sub2&amp;"_"&amp;$A161,'Investment Strategies'!$C:$P,9,FALSE),
IF(AND(Investment_Strategy="Lifecycle",Investment_Strategy_Sub1="Standard"),VLOOKUP(Investment_Strategy&amp;"_"&amp;Investment_Strategy_Sub2&amp;"_"&amp;$A161,'Investment Strategies'!$AJ:$AV,8,FALSE),
IF(AND(Investment_Strategy="Autopilot",Investment_Strategy_Sub1="Non-Standard"),VLOOKUP(Investment_Strategy&amp;"_"&amp;Investment_Strategy_Sub2&amp;"_"&amp;$A161,'Investment Strategies'!$T:$AF,8,FALSE),
IF(Investment_Strategy ="DIY",DIY_RateOfReturn_FuturePremiums,
"Error")))))),Max_InvReturn)</f>
        <v>4.1816398110932074E-3</v>
      </c>
      <c r="U161" s="62">
        <f>IF($AV161=0,0,
IF(Investment_Strategy="DIS",VLOOKUP(Investment_Strategy&amp;"_"&amp;Investment_Strategy_Sub1&amp;"_"&amp;$A161,'Investment Strategies'!$AZ:$BP,15,FALSE),
IF(AND(Investment_Strategy="Lifecycle",Investment_Strategy_Sub1="Non-Standard"),VLOOKUP(Investment_Strategy&amp;"_"&amp;Investment_Strategy_Sub2&amp;"_"&amp;$A161,'Investment Strategies'!$C:$P,12,FALSE),
IF(AND(Investment_Strategy="Lifecycle",Investment_Strategy_Sub1="Standard"),VLOOKUP(Investment_Strategy&amp;"_"&amp;Investment_Strategy_Sub2&amp;"_"&amp;$A161,'Investment Strategies'!$AJ:$AV,11,FALSE),
IF(AND(Investment_Strategy="Autopilot",Investment_Strategy_Sub1="Non-Standard"),VLOOKUP(Investment_Strategy&amp;"_"&amp;Investment_Strategy_Sub2&amp;"_"&amp;$A161,'Investment Strategies'!$T:$AF,11,FALSE),
IF(Investment_Strategy="DIY",DIY_GteeChrge_FuturePremiums,
"Error"))))))</f>
        <v>0</v>
      </c>
      <c r="V161" s="33">
        <f>IF(AV161=0,0,
IF(Investment_Strategy="DIS",VLOOKUP(Investment_Strategy&amp;"_"&amp;Investment_Strategy_Sub1&amp;"_"&amp;$A161,'Investment Strategies'!$AZ:$BP,17,FALSE),
IF(AND(Investment_Strategy="Lifecycle",Investment_Strategy_Sub1="Non-Standard"),VLOOKUP(Investment_Strategy&amp;"_"&amp;Investment_Strategy_Sub2&amp;"_"&amp;$A161,'Investment Strategies'!$C:$P,14,FALSE),
IF(AND(Investment_Strategy="Lifecycle",Investment_Strategy_Sub1="Standard"),VLOOKUP(Investment_Strategy&amp;"_"&amp;Investment_Strategy_Sub2&amp;"_"&amp;$A161,'Investment Strategies'!$AJ:$AV,13,FALSE),
IF(AND(Investment_Strategy="Autopilot",Investment_Strategy_Sub1="Non-Standard"),VLOOKUP(Investment_Strategy&amp;"_"&amp;Investment_Strategy_Sub2&amp;"_"&amp;$A161,'Investment Strategies'!$T:$AF,13,FALSE),
IF(Investment_Strategy="DIY",DIY_ExtManChrge_FuturePremiums,
"Error"))))))</f>
        <v>1.2508601994698498E-4</v>
      </c>
      <c r="W161" s="16">
        <f t="shared" si="97"/>
        <v>0</v>
      </c>
      <c r="X161" s="16">
        <f t="shared" si="72"/>
        <v>0</v>
      </c>
      <c r="Y161" s="16">
        <f t="shared" si="73"/>
        <v>0</v>
      </c>
      <c r="Z161" s="31">
        <f t="shared" si="74"/>
        <v>0.02</v>
      </c>
      <c r="AA161" s="16">
        <f t="shared" si="75"/>
        <v>0</v>
      </c>
      <c r="AB161" s="28">
        <f t="shared" si="98"/>
        <v>937470.04818530462</v>
      </c>
      <c r="AC161" s="28">
        <f>(SUM($AC$91:AC160)+SUM($X$91:X160)+X161)*T161*IF(D161=$A$91,SRP_finalmonthfactor,1)</f>
        <v>0</v>
      </c>
      <c r="AD161" s="16">
        <f t="shared" si="76"/>
        <v>-183.20295075735118</v>
      </c>
      <c r="AE161" s="106"/>
      <c r="AF161" s="16">
        <f t="shared" si="85"/>
        <v>876533.41849044699</v>
      </c>
      <c r="AG161" s="16">
        <f t="shared" si="86"/>
        <v>3920.1620751991354</v>
      </c>
      <c r="AH161" s="16">
        <f t="shared" si="87"/>
        <v>-844.71069344049567</v>
      </c>
      <c r="AJ161" s="13">
        <f t="shared" ref="AJ161:AU170" si="107">IF($C161&lt;=AJ$90,1,0)</f>
        <v>0</v>
      </c>
      <c r="AK161" s="13">
        <f t="shared" si="107"/>
        <v>0</v>
      </c>
      <c r="AL161" s="13">
        <f t="shared" si="107"/>
        <v>0</v>
      </c>
      <c r="AM161" s="13">
        <f t="shared" si="107"/>
        <v>0</v>
      </c>
      <c r="AN161" s="13">
        <f t="shared" si="107"/>
        <v>0</v>
      </c>
      <c r="AO161" s="13">
        <f t="shared" si="107"/>
        <v>1</v>
      </c>
      <c r="AP161" s="13">
        <f t="shared" si="107"/>
        <v>1</v>
      </c>
      <c r="AQ161" s="13">
        <f t="shared" si="107"/>
        <v>1</v>
      </c>
      <c r="AR161" s="13">
        <f t="shared" si="107"/>
        <v>1</v>
      </c>
      <c r="AS161" s="13">
        <f t="shared" si="107"/>
        <v>1</v>
      </c>
      <c r="AT161" s="13">
        <f t="shared" si="107"/>
        <v>1</v>
      </c>
      <c r="AU161" s="13">
        <f t="shared" si="107"/>
        <v>1</v>
      </c>
      <c r="AV161" s="13">
        <f t="shared" si="77"/>
        <v>1</v>
      </c>
      <c r="AW161" s="13">
        <f t="shared" si="78"/>
        <v>1</v>
      </c>
      <c r="AY161" s="17">
        <f t="shared" si="79"/>
        <v>71</v>
      </c>
      <c r="AZ161" s="28">
        <f t="shared" si="88"/>
        <v>0</v>
      </c>
      <c r="BA161" s="13">
        <f t="shared" si="80"/>
        <v>0</v>
      </c>
      <c r="BB161" s="13">
        <f t="shared" si="81"/>
        <v>0</v>
      </c>
      <c r="BC161" s="28">
        <f t="shared" si="89"/>
        <v>0</v>
      </c>
      <c r="BD161" s="28">
        <f t="shared" si="90"/>
        <v>0</v>
      </c>
      <c r="BF161" s="248">
        <f t="shared" si="91"/>
        <v>941390.21026050381</v>
      </c>
      <c r="BG161" s="36">
        <f t="shared" si="99"/>
        <v>0</v>
      </c>
      <c r="BH161" s="36">
        <f t="shared" si="100"/>
        <v>876533.41849044699</v>
      </c>
      <c r="BI161" s="249">
        <f t="shared" si="101"/>
        <v>4.1816398110932074E-3</v>
      </c>
      <c r="BJ161" s="246">
        <f t="shared" si="102"/>
        <v>2.0857243058891584E-4</v>
      </c>
      <c r="BK161" s="246">
        <f t="shared" si="82"/>
        <v>7.531116566323881E-4</v>
      </c>
      <c r="BL161" s="246">
        <f t="shared" si="103"/>
        <v>0</v>
      </c>
      <c r="BM161" s="246">
        <f t="shared" si="104"/>
        <v>9.6168408722130394E-4</v>
      </c>
      <c r="BN161" s="36">
        <f t="shared" si="92"/>
        <v>844.71069344049556</v>
      </c>
      <c r="BO161" s="36">
        <f t="shared" si="105"/>
        <v>3665.3470385132759</v>
      </c>
      <c r="BP161" s="36">
        <f t="shared" si="106"/>
        <v>879354.05483551975</v>
      </c>
    </row>
    <row r="162" spans="1:68">
      <c r="A162" s="32">
        <f t="shared" si="93"/>
        <v>13</v>
      </c>
      <c r="B162" s="32">
        <f t="shared" si="83"/>
        <v>58</v>
      </c>
      <c r="C162" s="32">
        <f t="shared" si="94"/>
        <v>6</v>
      </c>
      <c r="D162" s="32">
        <f t="shared" si="95"/>
        <v>72</v>
      </c>
      <c r="E162" s="74">
        <f>MIN(IF(AV162=0,0,
IF(Investment_Strategy="DIS",VLOOKUP(Investment_Strategy&amp;"_"&amp;Investment_Strategy_Sub1&amp;"_"&amp;$A162,'Investment Strategies'!$AZ:$BP,12,FALSE),
IF(AND(Investment_Strategy="Lifecycle",Investment_Strategy_Sub1="Non-Standard"),VLOOKUP(Investment_Strategy&amp;"_"&amp;Investment_Strategy_Sub2&amp;"_"&amp;$A162,'Investment Strategies'!$C:$P,9,FALSE),
IF(AND(Investment_Strategy="Lifecycle",Investment_Strategy_Sub1="Standard"),VLOOKUP(Investment_Strategy&amp;"_"&amp;Investment_Strategy_Sub2&amp;"_"&amp;$A162,'Investment Strategies'!$AJ:$AV,8,FALSE),
IF(AND(Investment_Strategy="Autopilot",Investment_Strategy_Sub1="Non-Standard"),VLOOKUP(Investment_Strategy&amp;"_"&amp;Investment_Strategy_Sub2&amp;"_"&amp;$A162,'Investment Strategies'!$T:$AF,8,FALSE),
IF(Investment_Strategy ="DIY",DIY_RateOfReturn_CurrentFunds,
"Error")))))),Max_InvReturn)</f>
        <v>4.1816398110932074E-3</v>
      </c>
      <c r="F162" s="62">
        <f>IF(AV162=0,0,
IF(Investment_Strategy="DIS",VLOOKUP(Investment_Strategy&amp;"_"&amp;Investment_Strategy_Sub1&amp;"_"&amp;$A162,'Investment Strategies'!$AZ:$BP,15,FALSE),
IF(AND(Investment_Strategy="Lifecycle",Investment_Strategy_Sub1="Non-Standard"),VLOOKUP(Investment_Strategy&amp;"_"&amp;Investment_Strategy_Sub2&amp;"_"&amp;$A162,'Investment Strategies'!$C:$P,12,FALSE),
IF(AND(Investment_Strategy="Lifecycle",Investment_Strategy_Sub1="Standard"),VLOOKUP(Investment_Strategy&amp;"_"&amp;Investment_Strategy_Sub2&amp;"_"&amp;$A162,'Investment Strategies'!$AJ:$AV,11,FALSE),
IF(AND(Investment_Strategy="Autopilot",Investment_Strategy_Sub1="Non-Standard"),VLOOKUP(Investment_Strategy&amp;"_"&amp;Investment_Strategy_Sub2&amp;"_"&amp;$A162,'Investment Strategies'!$T:$AF,11,FALSE),
IF(Investment_Strategy="DIY",DIY_GteeChrge_CurrentFunds,
"Error"))))))</f>
        <v>5.4328711526985263E-4</v>
      </c>
      <c r="G162" s="33">
        <f>IF(AV162=0,0,
IF(Investment_Strategy="DIS",VLOOKUP(Investment_Strategy&amp;"_"&amp;Investment_Strategy_Sub1&amp;"_"&amp;$A162,'Investment Strategies'!$AZ:$BP,17,FALSE),
IF(AND(Investment_Strategy="Lifecycle",Investment_Strategy_Sub1="Non-Standard"),VLOOKUP(Investment_Strategy&amp;"_"&amp;Investment_Strategy_Sub2&amp;"_"&amp;$A162,'Investment Strategies'!$C:$P,14,FALSE),
IF(AND(Investment_Strategy="Lifecycle",Investment_Strategy_Sub1="Standard"),VLOOKUP(Investment_Strategy&amp;"_"&amp;Investment_Strategy_Sub2&amp;"_"&amp;$A162,'Investment Strategies'!$AJ:$AV,13,FALSE),
IF(AND(Investment_Strategy="Autopilot",Investment_Strategy_Sub1="Non-Standard"),VLOOKUP(Investment_Strategy&amp;"_"&amp;Investment_Strategy_Sub2&amp;"_"&amp;$A162,'Investment Strategies'!$T:$AF,13,FALSE),
IF(Investment_Strategy="DIY",DIY_ExtManChrge_CurrentFunds,
"Error"))))))</f>
        <v>2.0857243058891584E-4</v>
      </c>
      <c r="H162" s="16">
        <f t="shared" si="84"/>
        <v>0</v>
      </c>
      <c r="I162" s="16">
        <f t="shared" si="68"/>
        <v>0</v>
      </c>
      <c r="J162" s="16">
        <f t="shared" si="69"/>
        <v>0</v>
      </c>
      <c r="K162" s="16">
        <f>(Opening_Fund_Value+SUM(K$91:K161))*E162*IF(D162=$A$91,SRP_finalmonthfactor,1)</f>
        <v>0</v>
      </c>
      <c r="L162" s="74">
        <f>MIN(IF($AV162=0,0,
IF(Investment_Strategy="DIS",VLOOKUP(Investment_Strategy&amp;"_"&amp;Investment_Strategy_Sub1&amp;"_"&amp;$A162,'Investment Strategies'!$AZ:$BP,12,FALSE),
IF(AND(Investment_Strategy="Lifecycle",Investment_Strategy_Sub1="Non-Standard"),VLOOKUP(Investment_Strategy&amp;"_"&amp;Investment_Strategy_Sub2&amp;"_"&amp;$A162,'Investment Strategies'!$C:$P,9,FALSE),
IF(AND(Investment_Strategy="Lifecycle",Investment_Strategy_Sub1="Standard"),VLOOKUP(Investment_Strategy&amp;"_"&amp;Investment_Strategy_Sub2&amp;"_"&amp;$A162,'Investment Strategies'!$AJ:$AV,8,FALSE),
IF(AND(Investment_Strategy="Autopilot",Investment_Strategy_Sub1="Non-Standard"),VLOOKUP(Investment_Strategy&amp;"_"&amp;Investment_Strategy_Sub2&amp;"_"&amp;$A162,'Investment Strategies'!$T:$AF,8,FALSE),
IF(Investment_Strategy ="DIY",DIY_RateofReturn_SP,
"Error")))))),Max_InvReturn)</f>
        <v>4.1816398110932074E-3</v>
      </c>
      <c r="M162" s="62">
        <f>IF($AV162=0,0,
IF(Investment_Strategy="DIS",VLOOKUP(Investment_Strategy&amp;"_"&amp;Investment_Strategy_Sub1&amp;"_"&amp;$A162,'Investment Strategies'!$AZ:$BP,15,FALSE),
IF(AND(Investment_Strategy="Lifecycle",Investment_Strategy_Sub1="Non-Standard"),VLOOKUP(Investment_Strategy&amp;"_"&amp;Investment_Strategy_Sub2&amp;"_"&amp;$A162,'Investment Strategies'!$C:$P,12,FALSE),
IF(AND(Investment_Strategy="Lifecycle",Investment_Strategy_Sub1="Standard"),VLOOKUP(Investment_Strategy&amp;"_"&amp;Investment_Strategy_Sub2&amp;"_"&amp;$A162,'Investment Strategies'!$AJ:$AV,11,FALSE),
IF(AND(Investment_Strategy="Autopilot",Investment_Strategy_Sub1="Non-Standard"),VLOOKUP(Investment_Strategy&amp;"_"&amp;Investment_Strategy_Sub2&amp;"_"&amp;$A162,'Investment Strategies'!$T:$AF,11,FALSE),
IF(Investment_Strategy="DIY",DIY_GteeChrge_SP,
"Error"))))))</f>
        <v>0</v>
      </c>
      <c r="N162" s="33">
        <f>IF($AV162=0,0,
IF(Investment_Strategy="DIS",VLOOKUP(Investment_Strategy&amp;"_"&amp;Investment_Strategy_Sub1&amp;"_"&amp;$A162,'Investment Strategies'!$AZ:$BP,17,FALSE),
IF(AND(Investment_Strategy="Lifecycle",Investment_Strategy_Sub1="Non-Standard"),VLOOKUP(Investment_Strategy&amp;"_"&amp;Investment_Strategy_Sub2&amp;"_"&amp;$A162,'Investment Strategies'!$C:$P,14,FALSE),
IF(AND(Investment_Strategy="Lifecycle",Investment_Strategy_Sub1="Standard"),VLOOKUP(Investment_Strategy&amp;"_"&amp;Investment_Strategy_Sub2&amp;"_"&amp;$A162,'Investment Strategies'!$AJ:$AV,13,FALSE),
IF(AND(Investment_Strategy="Autopilot",Investment_Strategy_Sub1="Non-Standard"),VLOOKUP(Investment_Strategy&amp;"_"&amp;Investment_Strategy_Sub2&amp;"_"&amp;$A162,'Investment Strategies'!$T:$AF,13,FALSE),
IF(Investment_Strategy="DIY",DIY_ExtManChrge_SP,
"Error"))))))</f>
        <v>2.0857243058891584E-4</v>
      </c>
      <c r="O162" s="16">
        <f t="shared" si="96"/>
        <v>879354.05483551975</v>
      </c>
      <c r="Q162" s="16">
        <f t="shared" si="70"/>
        <v>3677.1419237464488</v>
      </c>
      <c r="R162" s="16">
        <f t="shared" si="71"/>
        <v>-847.42892600610992</v>
      </c>
      <c r="S162" s="16">
        <f>(SRP_SP+SUM(S$91:S161))*L162*IF(D162=$A$91,SRP_finalmonthfactor,1)</f>
        <v>3936.5547809987261</v>
      </c>
      <c r="T162" s="74">
        <f>MIN(IF($AV162=0,0,
IF(Investment_Strategy="DIS",VLOOKUP(Investment_Strategy&amp;"_"&amp;Investment_Strategy_Sub1&amp;"_"&amp;$A162,'Investment Strategies'!$AZ:$BP,12,FALSE),
IF(AND(Investment_Strategy="Lifecycle",Investment_Strategy_Sub1="Non-Standard"),VLOOKUP(Investment_Strategy&amp;"_"&amp;Investment_Strategy_Sub2&amp;"_"&amp;$A162,'Investment Strategies'!$C:$P,9,FALSE),
IF(AND(Investment_Strategy="Lifecycle",Investment_Strategy_Sub1="Standard"),VLOOKUP(Investment_Strategy&amp;"_"&amp;Investment_Strategy_Sub2&amp;"_"&amp;$A162,'Investment Strategies'!$AJ:$AV,8,FALSE),
IF(AND(Investment_Strategy="Autopilot",Investment_Strategy_Sub1="Non-Standard"),VLOOKUP(Investment_Strategy&amp;"_"&amp;Investment_Strategy_Sub2&amp;"_"&amp;$A162,'Investment Strategies'!$T:$AF,8,FALSE),
IF(Investment_Strategy ="DIY",DIY_RateOfReturn_FuturePremiums,
"Error")))))),Max_InvReturn)</f>
        <v>4.1816398110932074E-3</v>
      </c>
      <c r="U162" s="62">
        <f>IF($AV162=0,0,
IF(Investment_Strategy="DIS",VLOOKUP(Investment_Strategy&amp;"_"&amp;Investment_Strategy_Sub1&amp;"_"&amp;$A162,'Investment Strategies'!$AZ:$BP,15,FALSE),
IF(AND(Investment_Strategy="Lifecycle",Investment_Strategy_Sub1="Non-Standard"),VLOOKUP(Investment_Strategy&amp;"_"&amp;Investment_Strategy_Sub2&amp;"_"&amp;$A162,'Investment Strategies'!$C:$P,12,FALSE),
IF(AND(Investment_Strategy="Lifecycle",Investment_Strategy_Sub1="Standard"),VLOOKUP(Investment_Strategy&amp;"_"&amp;Investment_Strategy_Sub2&amp;"_"&amp;$A162,'Investment Strategies'!$AJ:$AV,11,FALSE),
IF(AND(Investment_Strategy="Autopilot",Investment_Strategy_Sub1="Non-Standard"),VLOOKUP(Investment_Strategy&amp;"_"&amp;Investment_Strategy_Sub2&amp;"_"&amp;$A162,'Investment Strategies'!$T:$AF,11,FALSE),
IF(Investment_Strategy="DIY",DIY_GteeChrge_FuturePremiums,
"Error"))))))</f>
        <v>0</v>
      </c>
      <c r="V162" s="33">
        <f>IF(AV162=0,0,
IF(Investment_Strategy="DIS",VLOOKUP(Investment_Strategy&amp;"_"&amp;Investment_Strategy_Sub1&amp;"_"&amp;$A162,'Investment Strategies'!$AZ:$BP,17,FALSE),
IF(AND(Investment_Strategy="Lifecycle",Investment_Strategy_Sub1="Non-Standard"),VLOOKUP(Investment_Strategy&amp;"_"&amp;Investment_Strategy_Sub2&amp;"_"&amp;$A162,'Investment Strategies'!$C:$P,14,FALSE),
IF(AND(Investment_Strategy="Lifecycle",Investment_Strategy_Sub1="Standard"),VLOOKUP(Investment_Strategy&amp;"_"&amp;Investment_Strategy_Sub2&amp;"_"&amp;$A162,'Investment Strategies'!$AJ:$AV,13,FALSE),
IF(AND(Investment_Strategy="Autopilot",Investment_Strategy_Sub1="Non-Standard"),VLOOKUP(Investment_Strategy&amp;"_"&amp;Investment_Strategy_Sub2&amp;"_"&amp;$A162,'Investment Strategies'!$T:$AF,13,FALSE),
IF(Investment_Strategy="DIY",DIY_ExtManChrge_FuturePremiums,
"Error"))))))</f>
        <v>1.2508601994698498E-4</v>
      </c>
      <c r="W162" s="16">
        <f t="shared" si="97"/>
        <v>0</v>
      </c>
      <c r="X162" s="16">
        <f t="shared" si="72"/>
        <v>0</v>
      </c>
      <c r="Y162" s="16">
        <f t="shared" si="73"/>
        <v>0</v>
      </c>
      <c r="Z162" s="31">
        <f t="shared" si="74"/>
        <v>0.02</v>
      </c>
      <c r="AA162" s="16">
        <f t="shared" si="75"/>
        <v>0</v>
      </c>
      <c r="AB162" s="28">
        <f t="shared" si="98"/>
        <v>941390.21026050381</v>
      </c>
      <c r="AC162" s="28">
        <f>(SUM($AC$91:AC161)+SUM($X$91:X161)+X162)*T162*IF(D162=$A$91,SRP_finalmonthfactor,1)</f>
        <v>0</v>
      </c>
      <c r="AD162" s="16">
        <f t="shared" si="76"/>
        <v>-183.79248777959126</v>
      </c>
      <c r="AE162" s="106"/>
      <c r="AF162" s="16">
        <f t="shared" si="85"/>
        <v>879354.05483551975</v>
      </c>
      <c r="AG162" s="16">
        <f t="shared" si="86"/>
        <v>3936.5547809987261</v>
      </c>
      <c r="AH162" s="16">
        <f t="shared" si="87"/>
        <v>-847.42892600610992</v>
      </c>
      <c r="AJ162" s="13">
        <f t="shared" si="107"/>
        <v>0</v>
      </c>
      <c r="AK162" s="13">
        <f t="shared" si="107"/>
        <v>0</v>
      </c>
      <c r="AL162" s="13">
        <f t="shared" si="107"/>
        <v>0</v>
      </c>
      <c r="AM162" s="13">
        <f t="shared" si="107"/>
        <v>0</v>
      </c>
      <c r="AN162" s="13">
        <f t="shared" si="107"/>
        <v>0</v>
      </c>
      <c r="AO162" s="13">
        <f t="shared" si="107"/>
        <v>1</v>
      </c>
      <c r="AP162" s="13">
        <f t="shared" si="107"/>
        <v>1</v>
      </c>
      <c r="AQ162" s="13">
        <f t="shared" si="107"/>
        <v>1</v>
      </c>
      <c r="AR162" s="13">
        <f t="shared" si="107"/>
        <v>1</v>
      </c>
      <c r="AS162" s="13">
        <f t="shared" si="107"/>
        <v>1</v>
      </c>
      <c r="AT162" s="13">
        <f t="shared" si="107"/>
        <v>1</v>
      </c>
      <c r="AU162" s="13">
        <f t="shared" si="107"/>
        <v>1</v>
      </c>
      <c r="AV162" s="13">
        <f t="shared" si="77"/>
        <v>1</v>
      </c>
      <c r="AW162" s="13">
        <f t="shared" si="78"/>
        <v>1</v>
      </c>
      <c r="AY162" s="17">
        <f t="shared" si="79"/>
        <v>72</v>
      </c>
      <c r="AZ162" s="28">
        <f t="shared" si="88"/>
        <v>0</v>
      </c>
      <c r="BA162" s="13">
        <f t="shared" si="80"/>
        <v>0</v>
      </c>
      <c r="BB162" s="13">
        <f t="shared" si="81"/>
        <v>0</v>
      </c>
      <c r="BC162" s="28">
        <f t="shared" si="89"/>
        <v>0</v>
      </c>
      <c r="BD162" s="28">
        <f t="shared" si="90"/>
        <v>0</v>
      </c>
      <c r="BF162" s="248">
        <f t="shared" si="91"/>
        <v>945326.76504150254</v>
      </c>
      <c r="BG162" s="36">
        <f t="shared" si="99"/>
        <v>0</v>
      </c>
      <c r="BH162" s="36">
        <f t="shared" si="100"/>
        <v>879354.05483551975</v>
      </c>
      <c r="BI162" s="249">
        <f t="shared" si="101"/>
        <v>4.1816398110932074E-3</v>
      </c>
      <c r="BJ162" s="246">
        <f t="shared" si="102"/>
        <v>2.0857243058891584E-4</v>
      </c>
      <c r="BK162" s="246">
        <f t="shared" si="82"/>
        <v>7.531116566323881E-4</v>
      </c>
      <c r="BL162" s="246">
        <f t="shared" si="103"/>
        <v>0</v>
      </c>
      <c r="BM162" s="246">
        <f t="shared" si="104"/>
        <v>9.6168408722130394E-4</v>
      </c>
      <c r="BN162" s="36">
        <f t="shared" si="92"/>
        <v>847.4289260061098</v>
      </c>
      <c r="BO162" s="36">
        <f t="shared" si="105"/>
        <v>3677.1419237464488</v>
      </c>
      <c r="BP162" s="36">
        <f t="shared" si="106"/>
        <v>882183.76783326012</v>
      </c>
    </row>
    <row r="163" spans="1:68">
      <c r="A163" s="32">
        <f t="shared" si="93"/>
        <v>12</v>
      </c>
      <c r="B163" s="32">
        <f t="shared" si="83"/>
        <v>59</v>
      </c>
      <c r="C163" s="32">
        <f t="shared" si="94"/>
        <v>7</v>
      </c>
      <c r="D163" s="32">
        <f t="shared" si="95"/>
        <v>73</v>
      </c>
      <c r="E163" s="74">
        <f>MIN(IF(AV163=0,0,
IF(Investment_Strategy="DIS",VLOOKUP(Investment_Strategy&amp;"_"&amp;Investment_Strategy_Sub1&amp;"_"&amp;$A163,'Investment Strategies'!$AZ:$BP,12,FALSE),
IF(AND(Investment_Strategy="Lifecycle",Investment_Strategy_Sub1="Non-Standard"),VLOOKUP(Investment_Strategy&amp;"_"&amp;Investment_Strategy_Sub2&amp;"_"&amp;$A163,'Investment Strategies'!$C:$P,9,FALSE),
IF(AND(Investment_Strategy="Lifecycle",Investment_Strategy_Sub1="Standard"),VLOOKUP(Investment_Strategy&amp;"_"&amp;Investment_Strategy_Sub2&amp;"_"&amp;$A163,'Investment Strategies'!$AJ:$AV,8,FALSE),
IF(AND(Investment_Strategy="Autopilot",Investment_Strategy_Sub1="Non-Standard"),VLOOKUP(Investment_Strategy&amp;"_"&amp;Investment_Strategy_Sub2&amp;"_"&amp;$A163,'Investment Strategies'!$T:$AF,8,FALSE),
IF(Investment_Strategy ="DIY",DIY_RateOfReturn_CurrentFunds,
"Error")))))),Max_InvReturn)</f>
        <v>4.1816398110932074E-3</v>
      </c>
      <c r="F163" s="62">
        <f>IF(AV163=0,0,
IF(Investment_Strategy="DIS",VLOOKUP(Investment_Strategy&amp;"_"&amp;Investment_Strategy_Sub1&amp;"_"&amp;$A163,'Investment Strategies'!$AZ:$BP,15,FALSE),
IF(AND(Investment_Strategy="Lifecycle",Investment_Strategy_Sub1="Non-Standard"),VLOOKUP(Investment_Strategy&amp;"_"&amp;Investment_Strategy_Sub2&amp;"_"&amp;$A163,'Investment Strategies'!$C:$P,12,FALSE),
IF(AND(Investment_Strategy="Lifecycle",Investment_Strategy_Sub1="Standard"),VLOOKUP(Investment_Strategy&amp;"_"&amp;Investment_Strategy_Sub2&amp;"_"&amp;$A163,'Investment Strategies'!$AJ:$AV,11,FALSE),
IF(AND(Investment_Strategy="Autopilot",Investment_Strategy_Sub1="Non-Standard"),VLOOKUP(Investment_Strategy&amp;"_"&amp;Investment_Strategy_Sub2&amp;"_"&amp;$A163,'Investment Strategies'!$T:$AF,11,FALSE),
IF(Investment_Strategy="DIY",DIY_GteeChrge_CurrentFunds,
"Error"))))))</f>
        <v>5.4328711526985263E-4</v>
      </c>
      <c r="G163" s="33">
        <f>IF(AV163=0,0,
IF(Investment_Strategy="DIS",VLOOKUP(Investment_Strategy&amp;"_"&amp;Investment_Strategy_Sub1&amp;"_"&amp;$A163,'Investment Strategies'!$AZ:$BP,17,FALSE),
IF(AND(Investment_Strategy="Lifecycle",Investment_Strategy_Sub1="Non-Standard"),VLOOKUP(Investment_Strategy&amp;"_"&amp;Investment_Strategy_Sub2&amp;"_"&amp;$A163,'Investment Strategies'!$C:$P,14,FALSE),
IF(AND(Investment_Strategy="Lifecycle",Investment_Strategy_Sub1="Standard"),VLOOKUP(Investment_Strategy&amp;"_"&amp;Investment_Strategy_Sub2&amp;"_"&amp;$A163,'Investment Strategies'!$AJ:$AV,13,FALSE),
IF(AND(Investment_Strategy="Autopilot",Investment_Strategy_Sub1="Non-Standard"),VLOOKUP(Investment_Strategy&amp;"_"&amp;Investment_Strategy_Sub2&amp;"_"&amp;$A163,'Investment Strategies'!$T:$AF,13,FALSE),
IF(Investment_Strategy="DIY",DIY_ExtManChrge_CurrentFunds,
"Error"))))))</f>
        <v>2.0857243058891584E-4</v>
      </c>
      <c r="H163" s="16">
        <f t="shared" si="84"/>
        <v>0</v>
      </c>
      <c r="I163" s="16">
        <f t="shared" si="68"/>
        <v>0</v>
      </c>
      <c r="J163" s="16">
        <f t="shared" si="69"/>
        <v>0</v>
      </c>
      <c r="K163" s="16">
        <f>(Opening_Fund_Value+SUM(K$91:K162))*E163*IF(D163=$A$91,SRP_finalmonthfactor,1)</f>
        <v>0</v>
      </c>
      <c r="L163" s="74">
        <f>MIN(IF($AV163=0,0,
IF(Investment_Strategy="DIS",VLOOKUP(Investment_Strategy&amp;"_"&amp;Investment_Strategy_Sub1&amp;"_"&amp;$A163,'Investment Strategies'!$AZ:$BP,12,FALSE),
IF(AND(Investment_Strategy="Lifecycle",Investment_Strategy_Sub1="Non-Standard"),VLOOKUP(Investment_Strategy&amp;"_"&amp;Investment_Strategy_Sub2&amp;"_"&amp;$A163,'Investment Strategies'!$C:$P,9,FALSE),
IF(AND(Investment_Strategy="Lifecycle",Investment_Strategy_Sub1="Standard"),VLOOKUP(Investment_Strategy&amp;"_"&amp;Investment_Strategy_Sub2&amp;"_"&amp;$A163,'Investment Strategies'!$AJ:$AV,8,FALSE),
IF(AND(Investment_Strategy="Autopilot",Investment_Strategy_Sub1="Non-Standard"),VLOOKUP(Investment_Strategy&amp;"_"&amp;Investment_Strategy_Sub2&amp;"_"&amp;$A163,'Investment Strategies'!$T:$AF,8,FALSE),
IF(Investment_Strategy ="DIY",DIY_RateofReturn_SP,
"Error")))))),Max_InvReturn)</f>
        <v>4.1816398110932074E-3</v>
      </c>
      <c r="M163" s="62">
        <f>IF($AV163=0,0,
IF(Investment_Strategy="DIS",VLOOKUP(Investment_Strategy&amp;"_"&amp;Investment_Strategy_Sub1&amp;"_"&amp;$A163,'Investment Strategies'!$AZ:$BP,15,FALSE),
IF(AND(Investment_Strategy="Lifecycle",Investment_Strategy_Sub1="Non-Standard"),VLOOKUP(Investment_Strategy&amp;"_"&amp;Investment_Strategy_Sub2&amp;"_"&amp;$A163,'Investment Strategies'!$C:$P,12,FALSE),
IF(AND(Investment_Strategy="Lifecycle",Investment_Strategy_Sub1="Standard"),VLOOKUP(Investment_Strategy&amp;"_"&amp;Investment_Strategy_Sub2&amp;"_"&amp;$A163,'Investment Strategies'!$AJ:$AV,11,FALSE),
IF(AND(Investment_Strategy="Autopilot",Investment_Strategy_Sub1="Non-Standard"),VLOOKUP(Investment_Strategy&amp;"_"&amp;Investment_Strategy_Sub2&amp;"_"&amp;$A163,'Investment Strategies'!$T:$AF,11,FALSE),
IF(Investment_Strategy="DIY",DIY_GteeChrge_SP,
"Error"))))))</f>
        <v>0</v>
      </c>
      <c r="N163" s="33">
        <f>IF($AV163=0,0,
IF(Investment_Strategy="DIS",VLOOKUP(Investment_Strategy&amp;"_"&amp;Investment_Strategy_Sub1&amp;"_"&amp;$A163,'Investment Strategies'!$AZ:$BP,17,FALSE),
IF(AND(Investment_Strategy="Lifecycle",Investment_Strategy_Sub1="Non-Standard"),VLOOKUP(Investment_Strategy&amp;"_"&amp;Investment_Strategy_Sub2&amp;"_"&amp;$A163,'Investment Strategies'!$C:$P,14,FALSE),
IF(AND(Investment_Strategy="Lifecycle",Investment_Strategy_Sub1="Standard"),VLOOKUP(Investment_Strategy&amp;"_"&amp;Investment_Strategy_Sub2&amp;"_"&amp;$A163,'Investment Strategies'!$AJ:$AV,13,FALSE),
IF(AND(Investment_Strategy="Autopilot",Investment_Strategy_Sub1="Non-Standard"),VLOOKUP(Investment_Strategy&amp;"_"&amp;Investment_Strategy_Sub2&amp;"_"&amp;$A163,'Investment Strategies'!$T:$AF,13,FALSE),
IF(Investment_Strategy="DIY",DIY_ExtManChrge_SP,
"Error"))))))</f>
        <v>2.0857243058891584E-4</v>
      </c>
      <c r="O163" s="16">
        <f t="shared" si="96"/>
        <v>882183.76783326012</v>
      </c>
      <c r="Q163" s="16">
        <f t="shared" si="70"/>
        <v>3688.974764271768</v>
      </c>
      <c r="R163" s="16">
        <f t="shared" si="71"/>
        <v>-850.15590569466008</v>
      </c>
      <c r="S163" s="16">
        <f>(SRP_SP+SUM(S$91:S162))*L163*IF(D163=$A$91,SRP_finalmonthfactor,1)</f>
        <v>3953.0160351894997</v>
      </c>
      <c r="T163" s="74">
        <f>MIN(IF($AV163=0,0,
IF(Investment_Strategy="DIS",VLOOKUP(Investment_Strategy&amp;"_"&amp;Investment_Strategy_Sub1&amp;"_"&amp;$A163,'Investment Strategies'!$AZ:$BP,12,FALSE),
IF(AND(Investment_Strategy="Lifecycle",Investment_Strategy_Sub1="Non-Standard"),VLOOKUP(Investment_Strategy&amp;"_"&amp;Investment_Strategy_Sub2&amp;"_"&amp;$A163,'Investment Strategies'!$C:$P,9,FALSE),
IF(AND(Investment_Strategy="Lifecycle",Investment_Strategy_Sub1="Standard"),VLOOKUP(Investment_Strategy&amp;"_"&amp;Investment_Strategy_Sub2&amp;"_"&amp;$A163,'Investment Strategies'!$AJ:$AV,8,FALSE),
IF(AND(Investment_Strategy="Autopilot",Investment_Strategy_Sub1="Non-Standard"),VLOOKUP(Investment_Strategy&amp;"_"&amp;Investment_Strategy_Sub2&amp;"_"&amp;$A163,'Investment Strategies'!$T:$AF,8,FALSE),
IF(Investment_Strategy ="DIY",DIY_RateOfReturn_FuturePremiums,
"Error")))))),Max_InvReturn)</f>
        <v>4.1816398110932074E-3</v>
      </c>
      <c r="U163" s="62">
        <f>IF($AV163=0,0,
IF(Investment_Strategy="DIS",VLOOKUP(Investment_Strategy&amp;"_"&amp;Investment_Strategy_Sub1&amp;"_"&amp;$A163,'Investment Strategies'!$AZ:$BP,15,FALSE),
IF(AND(Investment_Strategy="Lifecycle",Investment_Strategy_Sub1="Non-Standard"),VLOOKUP(Investment_Strategy&amp;"_"&amp;Investment_Strategy_Sub2&amp;"_"&amp;$A163,'Investment Strategies'!$C:$P,12,FALSE),
IF(AND(Investment_Strategy="Lifecycle",Investment_Strategy_Sub1="Standard"),VLOOKUP(Investment_Strategy&amp;"_"&amp;Investment_Strategy_Sub2&amp;"_"&amp;$A163,'Investment Strategies'!$AJ:$AV,11,FALSE),
IF(AND(Investment_Strategy="Autopilot",Investment_Strategy_Sub1="Non-Standard"),VLOOKUP(Investment_Strategy&amp;"_"&amp;Investment_Strategy_Sub2&amp;"_"&amp;$A163,'Investment Strategies'!$T:$AF,11,FALSE),
IF(Investment_Strategy="DIY",DIY_GteeChrge_FuturePremiums,
"Error"))))))</f>
        <v>0</v>
      </c>
      <c r="V163" s="33">
        <f>IF(AV163=0,0,
IF(Investment_Strategy="DIS",VLOOKUP(Investment_Strategy&amp;"_"&amp;Investment_Strategy_Sub1&amp;"_"&amp;$A163,'Investment Strategies'!$AZ:$BP,17,FALSE),
IF(AND(Investment_Strategy="Lifecycle",Investment_Strategy_Sub1="Non-Standard"),VLOOKUP(Investment_Strategy&amp;"_"&amp;Investment_Strategy_Sub2&amp;"_"&amp;$A163,'Investment Strategies'!$C:$P,14,FALSE),
IF(AND(Investment_Strategy="Lifecycle",Investment_Strategy_Sub1="Standard"),VLOOKUP(Investment_Strategy&amp;"_"&amp;Investment_Strategy_Sub2&amp;"_"&amp;$A163,'Investment Strategies'!$AJ:$AV,13,FALSE),
IF(AND(Investment_Strategy="Autopilot",Investment_Strategy_Sub1="Non-Standard"),VLOOKUP(Investment_Strategy&amp;"_"&amp;Investment_Strategy_Sub2&amp;"_"&amp;$A163,'Investment Strategies'!$T:$AF,13,FALSE),
IF(Investment_Strategy="DIY",DIY_ExtManChrge_FuturePremiums,
"Error"))))))</f>
        <v>1.2508601994698498E-4</v>
      </c>
      <c r="W163" s="16">
        <f t="shared" si="97"/>
        <v>0</v>
      </c>
      <c r="X163" s="16">
        <f t="shared" si="72"/>
        <v>0</v>
      </c>
      <c r="Y163" s="16">
        <f t="shared" si="73"/>
        <v>0</v>
      </c>
      <c r="Z163" s="31">
        <f t="shared" si="74"/>
        <v>0.02</v>
      </c>
      <c r="AA163" s="16">
        <f t="shared" si="75"/>
        <v>0</v>
      </c>
      <c r="AB163" s="28">
        <f t="shared" si="98"/>
        <v>945326.76504150254</v>
      </c>
      <c r="AC163" s="28">
        <f>(SUM($AC$91:AC162)+SUM($X$91:X162)+X163)*T163*IF(D163=$A$91,SRP_finalmonthfactor,1)</f>
        <v>0</v>
      </c>
      <c r="AD163" s="16">
        <f t="shared" si="76"/>
        <v>-184.38392189955357</v>
      </c>
      <c r="AE163" s="106"/>
      <c r="AF163" s="16">
        <f t="shared" si="85"/>
        <v>882183.76783326012</v>
      </c>
      <c r="AG163" s="16">
        <f t="shared" si="86"/>
        <v>3953.0160351894997</v>
      </c>
      <c r="AH163" s="16">
        <f t="shared" si="87"/>
        <v>-850.15590569466008</v>
      </c>
      <c r="AJ163" s="13">
        <f t="shared" si="107"/>
        <v>0</v>
      </c>
      <c r="AK163" s="13">
        <f t="shared" si="107"/>
        <v>0</v>
      </c>
      <c r="AL163" s="13">
        <f t="shared" si="107"/>
        <v>0</v>
      </c>
      <c r="AM163" s="13">
        <f t="shared" si="107"/>
        <v>0</v>
      </c>
      <c r="AN163" s="13">
        <f t="shared" si="107"/>
        <v>0</v>
      </c>
      <c r="AO163" s="13">
        <f t="shared" si="107"/>
        <v>1</v>
      </c>
      <c r="AP163" s="13">
        <f t="shared" si="107"/>
        <v>1</v>
      </c>
      <c r="AQ163" s="13">
        <f t="shared" si="107"/>
        <v>1</v>
      </c>
      <c r="AR163" s="13">
        <f t="shared" si="107"/>
        <v>1</v>
      </c>
      <c r="AS163" s="13">
        <f t="shared" si="107"/>
        <v>1</v>
      </c>
      <c r="AT163" s="13">
        <f t="shared" si="107"/>
        <v>1</v>
      </c>
      <c r="AU163" s="13">
        <f t="shared" si="107"/>
        <v>1</v>
      </c>
      <c r="AV163" s="13">
        <f t="shared" si="77"/>
        <v>1</v>
      </c>
      <c r="AW163" s="13">
        <f t="shared" si="78"/>
        <v>1</v>
      </c>
      <c r="AY163" s="17">
        <f t="shared" si="79"/>
        <v>73</v>
      </c>
      <c r="AZ163" s="28">
        <f t="shared" si="88"/>
        <v>0</v>
      </c>
      <c r="BA163" s="13">
        <f t="shared" si="80"/>
        <v>0</v>
      </c>
      <c r="BB163" s="13">
        <f t="shared" si="81"/>
        <v>0</v>
      </c>
      <c r="BC163" s="28">
        <f t="shared" si="89"/>
        <v>0</v>
      </c>
      <c r="BD163" s="28">
        <f t="shared" si="90"/>
        <v>0</v>
      </c>
      <c r="BF163" s="248">
        <f t="shared" si="91"/>
        <v>949279.78107669204</v>
      </c>
      <c r="BG163" s="36">
        <f t="shared" si="99"/>
        <v>0</v>
      </c>
      <c r="BH163" s="36">
        <f t="shared" si="100"/>
        <v>882183.76783326012</v>
      </c>
      <c r="BI163" s="249">
        <f t="shared" si="101"/>
        <v>4.1816398110932074E-3</v>
      </c>
      <c r="BJ163" s="246">
        <f t="shared" si="102"/>
        <v>2.0857243058891584E-4</v>
      </c>
      <c r="BK163" s="246">
        <f t="shared" si="82"/>
        <v>7.531116566323881E-4</v>
      </c>
      <c r="BL163" s="246">
        <f t="shared" si="103"/>
        <v>0</v>
      </c>
      <c r="BM163" s="246">
        <f t="shared" si="104"/>
        <v>9.6168408722130394E-4</v>
      </c>
      <c r="BN163" s="36">
        <f t="shared" si="92"/>
        <v>850.15590569465996</v>
      </c>
      <c r="BO163" s="36">
        <f t="shared" si="105"/>
        <v>3688.974764271768</v>
      </c>
      <c r="BP163" s="36">
        <f t="shared" si="106"/>
        <v>885022.58669183718</v>
      </c>
    </row>
    <row r="164" spans="1:68">
      <c r="A164" s="32">
        <f t="shared" si="93"/>
        <v>11</v>
      </c>
      <c r="B164" s="32">
        <f t="shared" si="83"/>
        <v>59</v>
      </c>
      <c r="C164" s="32">
        <f t="shared" si="94"/>
        <v>7</v>
      </c>
      <c r="D164" s="32">
        <f t="shared" si="95"/>
        <v>74</v>
      </c>
      <c r="E164" s="74">
        <f>MIN(IF(AV164=0,0,
IF(Investment_Strategy="DIS",VLOOKUP(Investment_Strategy&amp;"_"&amp;Investment_Strategy_Sub1&amp;"_"&amp;$A164,'Investment Strategies'!$AZ:$BP,12,FALSE),
IF(AND(Investment_Strategy="Lifecycle",Investment_Strategy_Sub1="Non-Standard"),VLOOKUP(Investment_Strategy&amp;"_"&amp;Investment_Strategy_Sub2&amp;"_"&amp;$A164,'Investment Strategies'!$C:$P,9,FALSE),
IF(AND(Investment_Strategy="Lifecycle",Investment_Strategy_Sub1="Standard"),VLOOKUP(Investment_Strategy&amp;"_"&amp;Investment_Strategy_Sub2&amp;"_"&amp;$A164,'Investment Strategies'!$AJ:$AV,8,FALSE),
IF(AND(Investment_Strategy="Autopilot",Investment_Strategy_Sub1="Non-Standard"),VLOOKUP(Investment_Strategy&amp;"_"&amp;Investment_Strategy_Sub2&amp;"_"&amp;$A164,'Investment Strategies'!$T:$AF,8,FALSE),
IF(Investment_Strategy ="DIY",DIY_RateOfReturn_CurrentFunds,
"Error")))))),Max_InvReturn)</f>
        <v>4.1816398110932074E-3</v>
      </c>
      <c r="F164" s="62">
        <f>IF(AV164=0,0,
IF(Investment_Strategy="DIS",VLOOKUP(Investment_Strategy&amp;"_"&amp;Investment_Strategy_Sub1&amp;"_"&amp;$A164,'Investment Strategies'!$AZ:$BP,15,FALSE),
IF(AND(Investment_Strategy="Lifecycle",Investment_Strategy_Sub1="Non-Standard"),VLOOKUP(Investment_Strategy&amp;"_"&amp;Investment_Strategy_Sub2&amp;"_"&amp;$A164,'Investment Strategies'!$C:$P,12,FALSE),
IF(AND(Investment_Strategy="Lifecycle",Investment_Strategy_Sub1="Standard"),VLOOKUP(Investment_Strategy&amp;"_"&amp;Investment_Strategy_Sub2&amp;"_"&amp;$A164,'Investment Strategies'!$AJ:$AV,11,FALSE),
IF(AND(Investment_Strategy="Autopilot",Investment_Strategy_Sub1="Non-Standard"),VLOOKUP(Investment_Strategy&amp;"_"&amp;Investment_Strategy_Sub2&amp;"_"&amp;$A164,'Investment Strategies'!$T:$AF,11,FALSE),
IF(Investment_Strategy="DIY",DIY_GteeChrge_CurrentFunds,
"Error"))))))</f>
        <v>5.4328711526985263E-4</v>
      </c>
      <c r="G164" s="33">
        <f>IF(AV164=0,0,
IF(Investment_Strategy="DIS",VLOOKUP(Investment_Strategy&amp;"_"&amp;Investment_Strategy_Sub1&amp;"_"&amp;$A164,'Investment Strategies'!$AZ:$BP,17,FALSE),
IF(AND(Investment_Strategy="Lifecycle",Investment_Strategy_Sub1="Non-Standard"),VLOOKUP(Investment_Strategy&amp;"_"&amp;Investment_Strategy_Sub2&amp;"_"&amp;$A164,'Investment Strategies'!$C:$P,14,FALSE),
IF(AND(Investment_Strategy="Lifecycle",Investment_Strategy_Sub1="Standard"),VLOOKUP(Investment_Strategy&amp;"_"&amp;Investment_Strategy_Sub2&amp;"_"&amp;$A164,'Investment Strategies'!$AJ:$AV,13,FALSE),
IF(AND(Investment_Strategy="Autopilot",Investment_Strategy_Sub1="Non-Standard"),VLOOKUP(Investment_Strategy&amp;"_"&amp;Investment_Strategy_Sub2&amp;"_"&amp;$A164,'Investment Strategies'!$T:$AF,13,FALSE),
IF(Investment_Strategy="DIY",DIY_ExtManChrge_CurrentFunds,
"Error"))))))</f>
        <v>2.0857243058891584E-4</v>
      </c>
      <c r="H164" s="16">
        <f t="shared" si="84"/>
        <v>0</v>
      </c>
      <c r="I164" s="16">
        <f t="shared" si="68"/>
        <v>0</v>
      </c>
      <c r="J164" s="16">
        <f t="shared" si="69"/>
        <v>0</v>
      </c>
      <c r="K164" s="16">
        <f>(Opening_Fund_Value+SUM(K$91:K163))*E164*IF(D164=$A$91,SRP_finalmonthfactor,1)</f>
        <v>0</v>
      </c>
      <c r="L164" s="74">
        <f>MIN(IF($AV164=0,0,
IF(Investment_Strategy="DIS",VLOOKUP(Investment_Strategy&amp;"_"&amp;Investment_Strategy_Sub1&amp;"_"&amp;$A164,'Investment Strategies'!$AZ:$BP,12,FALSE),
IF(AND(Investment_Strategy="Lifecycle",Investment_Strategy_Sub1="Non-Standard"),VLOOKUP(Investment_Strategy&amp;"_"&amp;Investment_Strategy_Sub2&amp;"_"&amp;$A164,'Investment Strategies'!$C:$P,9,FALSE),
IF(AND(Investment_Strategy="Lifecycle",Investment_Strategy_Sub1="Standard"),VLOOKUP(Investment_Strategy&amp;"_"&amp;Investment_Strategy_Sub2&amp;"_"&amp;$A164,'Investment Strategies'!$AJ:$AV,8,FALSE),
IF(AND(Investment_Strategy="Autopilot",Investment_Strategy_Sub1="Non-Standard"),VLOOKUP(Investment_Strategy&amp;"_"&amp;Investment_Strategy_Sub2&amp;"_"&amp;$A164,'Investment Strategies'!$T:$AF,8,FALSE),
IF(Investment_Strategy ="DIY",DIY_RateofReturn_SP,
"Error")))))),Max_InvReturn)</f>
        <v>4.1816398110932074E-3</v>
      </c>
      <c r="M164" s="62">
        <f>IF($AV164=0,0,
IF(Investment_Strategy="DIS",VLOOKUP(Investment_Strategy&amp;"_"&amp;Investment_Strategy_Sub1&amp;"_"&amp;$A164,'Investment Strategies'!$AZ:$BP,15,FALSE),
IF(AND(Investment_Strategy="Lifecycle",Investment_Strategy_Sub1="Non-Standard"),VLOOKUP(Investment_Strategy&amp;"_"&amp;Investment_Strategy_Sub2&amp;"_"&amp;$A164,'Investment Strategies'!$C:$P,12,FALSE),
IF(AND(Investment_Strategy="Lifecycle",Investment_Strategy_Sub1="Standard"),VLOOKUP(Investment_Strategy&amp;"_"&amp;Investment_Strategy_Sub2&amp;"_"&amp;$A164,'Investment Strategies'!$AJ:$AV,11,FALSE),
IF(AND(Investment_Strategy="Autopilot",Investment_Strategy_Sub1="Non-Standard"),VLOOKUP(Investment_Strategy&amp;"_"&amp;Investment_Strategy_Sub2&amp;"_"&amp;$A164,'Investment Strategies'!$T:$AF,11,FALSE),
IF(Investment_Strategy="DIY",DIY_GteeChrge_SP,
"Error"))))))</f>
        <v>0</v>
      </c>
      <c r="N164" s="33">
        <f>IF($AV164=0,0,
IF(Investment_Strategy="DIS",VLOOKUP(Investment_Strategy&amp;"_"&amp;Investment_Strategy_Sub1&amp;"_"&amp;$A164,'Investment Strategies'!$AZ:$BP,17,FALSE),
IF(AND(Investment_Strategy="Lifecycle",Investment_Strategy_Sub1="Non-Standard"),VLOOKUP(Investment_Strategy&amp;"_"&amp;Investment_Strategy_Sub2&amp;"_"&amp;$A164,'Investment Strategies'!$C:$P,14,FALSE),
IF(AND(Investment_Strategy="Lifecycle",Investment_Strategy_Sub1="Standard"),VLOOKUP(Investment_Strategy&amp;"_"&amp;Investment_Strategy_Sub2&amp;"_"&amp;$A164,'Investment Strategies'!$AJ:$AV,13,FALSE),
IF(AND(Investment_Strategy="Autopilot",Investment_Strategy_Sub1="Non-Standard"),VLOOKUP(Investment_Strategy&amp;"_"&amp;Investment_Strategy_Sub2&amp;"_"&amp;$A164,'Investment Strategies'!$T:$AF,13,FALSE),
IF(Investment_Strategy="DIY",DIY_ExtManChrge_SP,
"Error"))))))</f>
        <v>2.0857243058891584E-4</v>
      </c>
      <c r="O164" s="16">
        <f t="shared" si="96"/>
        <v>885022.58669183718</v>
      </c>
      <c r="Q164" s="16">
        <f t="shared" si="70"/>
        <v>3700.8456822272756</v>
      </c>
      <c r="R164" s="16">
        <f t="shared" si="71"/>
        <v>-852.89166065390657</v>
      </c>
      <c r="S164" s="16">
        <f>(SRP_SP+SUM(S$91:S163))*L164*IF(D164=$A$91,SRP_finalmonthfactor,1)</f>
        <v>3969.5461244161379</v>
      </c>
      <c r="T164" s="74">
        <f>MIN(IF($AV164=0,0,
IF(Investment_Strategy="DIS",VLOOKUP(Investment_Strategy&amp;"_"&amp;Investment_Strategy_Sub1&amp;"_"&amp;$A164,'Investment Strategies'!$AZ:$BP,12,FALSE),
IF(AND(Investment_Strategy="Lifecycle",Investment_Strategy_Sub1="Non-Standard"),VLOOKUP(Investment_Strategy&amp;"_"&amp;Investment_Strategy_Sub2&amp;"_"&amp;$A164,'Investment Strategies'!$C:$P,9,FALSE),
IF(AND(Investment_Strategy="Lifecycle",Investment_Strategy_Sub1="Standard"),VLOOKUP(Investment_Strategy&amp;"_"&amp;Investment_Strategy_Sub2&amp;"_"&amp;$A164,'Investment Strategies'!$AJ:$AV,8,FALSE),
IF(AND(Investment_Strategy="Autopilot",Investment_Strategy_Sub1="Non-Standard"),VLOOKUP(Investment_Strategy&amp;"_"&amp;Investment_Strategy_Sub2&amp;"_"&amp;$A164,'Investment Strategies'!$T:$AF,8,FALSE),
IF(Investment_Strategy ="DIY",DIY_RateOfReturn_FuturePremiums,
"Error")))))),Max_InvReturn)</f>
        <v>4.1816398110932074E-3</v>
      </c>
      <c r="U164" s="62">
        <f>IF($AV164=0,0,
IF(Investment_Strategy="DIS",VLOOKUP(Investment_Strategy&amp;"_"&amp;Investment_Strategy_Sub1&amp;"_"&amp;$A164,'Investment Strategies'!$AZ:$BP,15,FALSE),
IF(AND(Investment_Strategy="Lifecycle",Investment_Strategy_Sub1="Non-Standard"),VLOOKUP(Investment_Strategy&amp;"_"&amp;Investment_Strategy_Sub2&amp;"_"&amp;$A164,'Investment Strategies'!$C:$P,12,FALSE),
IF(AND(Investment_Strategy="Lifecycle",Investment_Strategy_Sub1="Standard"),VLOOKUP(Investment_Strategy&amp;"_"&amp;Investment_Strategy_Sub2&amp;"_"&amp;$A164,'Investment Strategies'!$AJ:$AV,11,FALSE),
IF(AND(Investment_Strategy="Autopilot",Investment_Strategy_Sub1="Non-Standard"),VLOOKUP(Investment_Strategy&amp;"_"&amp;Investment_Strategy_Sub2&amp;"_"&amp;$A164,'Investment Strategies'!$T:$AF,11,FALSE),
IF(Investment_Strategy="DIY",DIY_GteeChrge_FuturePremiums,
"Error"))))))</f>
        <v>0</v>
      </c>
      <c r="V164" s="33">
        <f>IF(AV164=0,0,
IF(Investment_Strategy="DIS",VLOOKUP(Investment_Strategy&amp;"_"&amp;Investment_Strategy_Sub1&amp;"_"&amp;$A164,'Investment Strategies'!$AZ:$BP,17,FALSE),
IF(AND(Investment_Strategy="Lifecycle",Investment_Strategy_Sub1="Non-Standard"),VLOOKUP(Investment_Strategy&amp;"_"&amp;Investment_Strategy_Sub2&amp;"_"&amp;$A164,'Investment Strategies'!$C:$P,14,FALSE),
IF(AND(Investment_Strategy="Lifecycle",Investment_Strategy_Sub1="Standard"),VLOOKUP(Investment_Strategy&amp;"_"&amp;Investment_Strategy_Sub2&amp;"_"&amp;$A164,'Investment Strategies'!$AJ:$AV,13,FALSE),
IF(AND(Investment_Strategy="Autopilot",Investment_Strategy_Sub1="Non-Standard"),VLOOKUP(Investment_Strategy&amp;"_"&amp;Investment_Strategy_Sub2&amp;"_"&amp;$A164,'Investment Strategies'!$T:$AF,13,FALSE),
IF(Investment_Strategy="DIY",DIY_ExtManChrge_FuturePremiums,
"Error"))))))</f>
        <v>1.2508601994698498E-4</v>
      </c>
      <c r="W164" s="16">
        <f t="shared" si="97"/>
        <v>0</v>
      </c>
      <c r="X164" s="16">
        <f t="shared" si="72"/>
        <v>0</v>
      </c>
      <c r="Y164" s="16">
        <f t="shared" si="73"/>
        <v>0</v>
      </c>
      <c r="Z164" s="31">
        <f t="shared" si="74"/>
        <v>0.02</v>
      </c>
      <c r="AA164" s="16">
        <f t="shared" si="75"/>
        <v>0</v>
      </c>
      <c r="AB164" s="28">
        <f t="shared" si="98"/>
        <v>949279.78107669204</v>
      </c>
      <c r="AC164" s="28">
        <f>(SUM($AC$91:AC163)+SUM($X$91:X163)+X164)*T164*IF(D164=$A$91,SRP_finalmonthfactor,1)</f>
        <v>0</v>
      </c>
      <c r="AD164" s="16">
        <f t="shared" si="76"/>
        <v>-184.97725922199427</v>
      </c>
      <c r="AE164" s="106"/>
      <c r="AF164" s="16">
        <f t="shared" si="85"/>
        <v>885022.58669183718</v>
      </c>
      <c r="AG164" s="16">
        <f t="shared" si="86"/>
        <v>3969.5461244161379</v>
      </c>
      <c r="AH164" s="16">
        <f t="shared" si="87"/>
        <v>-852.89166065390657</v>
      </c>
      <c r="AJ164" s="13">
        <f t="shared" si="107"/>
        <v>0</v>
      </c>
      <c r="AK164" s="13">
        <f t="shared" si="107"/>
        <v>0</v>
      </c>
      <c r="AL164" s="13">
        <f t="shared" si="107"/>
        <v>0</v>
      </c>
      <c r="AM164" s="13">
        <f t="shared" si="107"/>
        <v>0</v>
      </c>
      <c r="AN164" s="13">
        <f t="shared" si="107"/>
        <v>0</v>
      </c>
      <c r="AO164" s="13">
        <f t="shared" si="107"/>
        <v>1</v>
      </c>
      <c r="AP164" s="13">
        <f t="shared" si="107"/>
        <v>1</v>
      </c>
      <c r="AQ164" s="13">
        <f t="shared" si="107"/>
        <v>1</v>
      </c>
      <c r="AR164" s="13">
        <f t="shared" si="107"/>
        <v>1</v>
      </c>
      <c r="AS164" s="13">
        <f t="shared" si="107"/>
        <v>1</v>
      </c>
      <c r="AT164" s="13">
        <f t="shared" si="107"/>
        <v>1</v>
      </c>
      <c r="AU164" s="13">
        <f t="shared" si="107"/>
        <v>1</v>
      </c>
      <c r="AV164" s="13">
        <f t="shared" si="77"/>
        <v>1</v>
      </c>
      <c r="AW164" s="13">
        <f t="shared" si="78"/>
        <v>1</v>
      </c>
      <c r="AY164" s="17">
        <f t="shared" si="79"/>
        <v>74</v>
      </c>
      <c r="AZ164" s="28">
        <f t="shared" si="88"/>
        <v>0</v>
      </c>
      <c r="BA164" s="13">
        <f t="shared" si="80"/>
        <v>0</v>
      </c>
      <c r="BB164" s="13">
        <f t="shared" si="81"/>
        <v>0</v>
      </c>
      <c r="BC164" s="28">
        <f t="shared" si="89"/>
        <v>0</v>
      </c>
      <c r="BD164" s="28">
        <f t="shared" si="90"/>
        <v>0</v>
      </c>
      <c r="BF164" s="248">
        <f t="shared" si="91"/>
        <v>953249.32720110822</v>
      </c>
      <c r="BG164" s="36">
        <f t="shared" si="99"/>
        <v>0</v>
      </c>
      <c r="BH164" s="36">
        <f t="shared" si="100"/>
        <v>885022.58669183718</v>
      </c>
      <c r="BI164" s="249">
        <f t="shared" si="101"/>
        <v>4.1816398110932074E-3</v>
      </c>
      <c r="BJ164" s="246">
        <f t="shared" si="102"/>
        <v>2.0857243058891584E-4</v>
      </c>
      <c r="BK164" s="246">
        <f t="shared" si="82"/>
        <v>7.531116566323881E-4</v>
      </c>
      <c r="BL164" s="246">
        <f t="shared" si="103"/>
        <v>0</v>
      </c>
      <c r="BM164" s="246">
        <f t="shared" si="104"/>
        <v>9.6168408722130394E-4</v>
      </c>
      <c r="BN164" s="36">
        <f t="shared" si="92"/>
        <v>852.89166065390646</v>
      </c>
      <c r="BO164" s="36">
        <f t="shared" si="105"/>
        <v>3700.8456822272756</v>
      </c>
      <c r="BP164" s="36">
        <f t="shared" si="106"/>
        <v>887870.54071341059</v>
      </c>
    </row>
    <row r="165" spans="1:68">
      <c r="A165" s="32">
        <f t="shared" si="93"/>
        <v>10</v>
      </c>
      <c r="B165" s="32">
        <f t="shared" si="83"/>
        <v>59</v>
      </c>
      <c r="C165" s="32">
        <f t="shared" si="94"/>
        <v>7</v>
      </c>
      <c r="D165" s="32">
        <f t="shared" si="95"/>
        <v>75</v>
      </c>
      <c r="E165" s="74">
        <f>MIN(IF(AV165=0,0,
IF(Investment_Strategy="DIS",VLOOKUP(Investment_Strategy&amp;"_"&amp;Investment_Strategy_Sub1&amp;"_"&amp;$A165,'Investment Strategies'!$AZ:$BP,12,FALSE),
IF(AND(Investment_Strategy="Lifecycle",Investment_Strategy_Sub1="Non-Standard"),VLOOKUP(Investment_Strategy&amp;"_"&amp;Investment_Strategy_Sub2&amp;"_"&amp;$A165,'Investment Strategies'!$C:$P,9,FALSE),
IF(AND(Investment_Strategy="Lifecycle",Investment_Strategy_Sub1="Standard"),VLOOKUP(Investment_Strategy&amp;"_"&amp;Investment_Strategy_Sub2&amp;"_"&amp;$A165,'Investment Strategies'!$AJ:$AV,8,FALSE),
IF(AND(Investment_Strategy="Autopilot",Investment_Strategy_Sub1="Non-Standard"),VLOOKUP(Investment_Strategy&amp;"_"&amp;Investment_Strategy_Sub2&amp;"_"&amp;$A165,'Investment Strategies'!$T:$AF,8,FALSE),
IF(Investment_Strategy ="DIY",DIY_RateOfReturn_CurrentFunds,
"Error")))))),Max_InvReturn)</f>
        <v>4.1816398110932074E-3</v>
      </c>
      <c r="F165" s="62">
        <f>IF(AV165=0,0,
IF(Investment_Strategy="DIS",VLOOKUP(Investment_Strategy&amp;"_"&amp;Investment_Strategy_Sub1&amp;"_"&amp;$A165,'Investment Strategies'!$AZ:$BP,15,FALSE),
IF(AND(Investment_Strategy="Lifecycle",Investment_Strategy_Sub1="Non-Standard"),VLOOKUP(Investment_Strategy&amp;"_"&amp;Investment_Strategy_Sub2&amp;"_"&amp;$A165,'Investment Strategies'!$C:$P,12,FALSE),
IF(AND(Investment_Strategy="Lifecycle",Investment_Strategy_Sub1="Standard"),VLOOKUP(Investment_Strategy&amp;"_"&amp;Investment_Strategy_Sub2&amp;"_"&amp;$A165,'Investment Strategies'!$AJ:$AV,11,FALSE),
IF(AND(Investment_Strategy="Autopilot",Investment_Strategy_Sub1="Non-Standard"),VLOOKUP(Investment_Strategy&amp;"_"&amp;Investment_Strategy_Sub2&amp;"_"&amp;$A165,'Investment Strategies'!$T:$AF,11,FALSE),
IF(Investment_Strategy="DIY",DIY_GteeChrge_CurrentFunds,
"Error"))))))</f>
        <v>5.4328711526985263E-4</v>
      </c>
      <c r="G165" s="33">
        <f>IF(AV165=0,0,
IF(Investment_Strategy="DIS",VLOOKUP(Investment_Strategy&amp;"_"&amp;Investment_Strategy_Sub1&amp;"_"&amp;$A165,'Investment Strategies'!$AZ:$BP,17,FALSE),
IF(AND(Investment_Strategy="Lifecycle",Investment_Strategy_Sub1="Non-Standard"),VLOOKUP(Investment_Strategy&amp;"_"&amp;Investment_Strategy_Sub2&amp;"_"&amp;$A165,'Investment Strategies'!$C:$P,14,FALSE),
IF(AND(Investment_Strategy="Lifecycle",Investment_Strategy_Sub1="Standard"),VLOOKUP(Investment_Strategy&amp;"_"&amp;Investment_Strategy_Sub2&amp;"_"&amp;$A165,'Investment Strategies'!$AJ:$AV,13,FALSE),
IF(AND(Investment_Strategy="Autopilot",Investment_Strategy_Sub1="Non-Standard"),VLOOKUP(Investment_Strategy&amp;"_"&amp;Investment_Strategy_Sub2&amp;"_"&amp;$A165,'Investment Strategies'!$T:$AF,13,FALSE),
IF(Investment_Strategy="DIY",DIY_ExtManChrge_CurrentFunds,
"Error"))))))</f>
        <v>2.0857243058891584E-4</v>
      </c>
      <c r="H165" s="16">
        <f t="shared" si="84"/>
        <v>0</v>
      </c>
      <c r="I165" s="16">
        <f t="shared" si="68"/>
        <v>0</v>
      </c>
      <c r="J165" s="16">
        <f t="shared" si="69"/>
        <v>0</v>
      </c>
      <c r="K165" s="16">
        <f>(Opening_Fund_Value+SUM(K$91:K164))*E165*IF(D165=$A$91,SRP_finalmonthfactor,1)</f>
        <v>0</v>
      </c>
      <c r="L165" s="74">
        <f>MIN(IF($AV165=0,0,
IF(Investment_Strategy="DIS",VLOOKUP(Investment_Strategy&amp;"_"&amp;Investment_Strategy_Sub1&amp;"_"&amp;$A165,'Investment Strategies'!$AZ:$BP,12,FALSE),
IF(AND(Investment_Strategy="Lifecycle",Investment_Strategy_Sub1="Non-Standard"),VLOOKUP(Investment_Strategy&amp;"_"&amp;Investment_Strategy_Sub2&amp;"_"&amp;$A165,'Investment Strategies'!$C:$P,9,FALSE),
IF(AND(Investment_Strategy="Lifecycle",Investment_Strategy_Sub1="Standard"),VLOOKUP(Investment_Strategy&amp;"_"&amp;Investment_Strategy_Sub2&amp;"_"&amp;$A165,'Investment Strategies'!$AJ:$AV,8,FALSE),
IF(AND(Investment_Strategy="Autopilot",Investment_Strategy_Sub1="Non-Standard"),VLOOKUP(Investment_Strategy&amp;"_"&amp;Investment_Strategy_Sub2&amp;"_"&amp;$A165,'Investment Strategies'!$T:$AF,8,FALSE),
IF(Investment_Strategy ="DIY",DIY_RateofReturn_SP,
"Error")))))),Max_InvReturn)</f>
        <v>4.1816398110932074E-3</v>
      </c>
      <c r="M165" s="62">
        <f>IF($AV165=0,0,
IF(Investment_Strategy="DIS",VLOOKUP(Investment_Strategy&amp;"_"&amp;Investment_Strategy_Sub1&amp;"_"&amp;$A165,'Investment Strategies'!$AZ:$BP,15,FALSE),
IF(AND(Investment_Strategy="Lifecycle",Investment_Strategy_Sub1="Non-Standard"),VLOOKUP(Investment_Strategy&amp;"_"&amp;Investment_Strategy_Sub2&amp;"_"&amp;$A165,'Investment Strategies'!$C:$P,12,FALSE),
IF(AND(Investment_Strategy="Lifecycle",Investment_Strategy_Sub1="Standard"),VLOOKUP(Investment_Strategy&amp;"_"&amp;Investment_Strategy_Sub2&amp;"_"&amp;$A165,'Investment Strategies'!$AJ:$AV,11,FALSE),
IF(AND(Investment_Strategy="Autopilot",Investment_Strategy_Sub1="Non-Standard"),VLOOKUP(Investment_Strategy&amp;"_"&amp;Investment_Strategy_Sub2&amp;"_"&amp;$A165,'Investment Strategies'!$T:$AF,11,FALSE),
IF(Investment_Strategy="DIY",DIY_GteeChrge_SP,
"Error"))))))</f>
        <v>0</v>
      </c>
      <c r="N165" s="33">
        <f>IF($AV165=0,0,
IF(Investment_Strategy="DIS",VLOOKUP(Investment_Strategy&amp;"_"&amp;Investment_Strategy_Sub1&amp;"_"&amp;$A165,'Investment Strategies'!$AZ:$BP,17,FALSE),
IF(AND(Investment_Strategy="Lifecycle",Investment_Strategy_Sub1="Non-Standard"),VLOOKUP(Investment_Strategy&amp;"_"&amp;Investment_Strategy_Sub2&amp;"_"&amp;$A165,'Investment Strategies'!$C:$P,14,FALSE),
IF(AND(Investment_Strategy="Lifecycle",Investment_Strategy_Sub1="Standard"),VLOOKUP(Investment_Strategy&amp;"_"&amp;Investment_Strategy_Sub2&amp;"_"&amp;$A165,'Investment Strategies'!$AJ:$AV,13,FALSE),
IF(AND(Investment_Strategy="Autopilot",Investment_Strategy_Sub1="Non-Standard"),VLOOKUP(Investment_Strategy&amp;"_"&amp;Investment_Strategy_Sub2&amp;"_"&amp;$A165,'Investment Strategies'!$T:$AF,13,FALSE),
IF(Investment_Strategy="DIY",DIY_ExtManChrge_SP,
"Error"))))))</f>
        <v>2.0857243058891584E-4</v>
      </c>
      <c r="O165" s="16">
        <f t="shared" si="96"/>
        <v>887870.54071341059</v>
      </c>
      <c r="Q165" s="16">
        <f t="shared" si="70"/>
        <v>3712.75480014405</v>
      </c>
      <c r="R165" s="16">
        <f t="shared" si="71"/>
        <v>-855.63621912218844</v>
      </c>
      <c r="S165" s="16">
        <f>(SRP_SP+SUM(S$91:S164))*L165*IF(D165=$A$91,SRP_finalmonthfactor,1)</f>
        <v>3986.1453365219672</v>
      </c>
      <c r="T165" s="74">
        <f>MIN(IF($AV165=0,0,
IF(Investment_Strategy="DIS",VLOOKUP(Investment_Strategy&amp;"_"&amp;Investment_Strategy_Sub1&amp;"_"&amp;$A165,'Investment Strategies'!$AZ:$BP,12,FALSE),
IF(AND(Investment_Strategy="Lifecycle",Investment_Strategy_Sub1="Non-Standard"),VLOOKUP(Investment_Strategy&amp;"_"&amp;Investment_Strategy_Sub2&amp;"_"&amp;$A165,'Investment Strategies'!$C:$P,9,FALSE),
IF(AND(Investment_Strategy="Lifecycle",Investment_Strategy_Sub1="Standard"),VLOOKUP(Investment_Strategy&amp;"_"&amp;Investment_Strategy_Sub2&amp;"_"&amp;$A165,'Investment Strategies'!$AJ:$AV,8,FALSE),
IF(AND(Investment_Strategy="Autopilot",Investment_Strategy_Sub1="Non-Standard"),VLOOKUP(Investment_Strategy&amp;"_"&amp;Investment_Strategy_Sub2&amp;"_"&amp;$A165,'Investment Strategies'!$T:$AF,8,FALSE),
IF(Investment_Strategy ="DIY",DIY_RateOfReturn_FuturePremiums,
"Error")))))),Max_InvReturn)</f>
        <v>4.1816398110932074E-3</v>
      </c>
      <c r="U165" s="62">
        <f>IF($AV165=0,0,
IF(Investment_Strategy="DIS",VLOOKUP(Investment_Strategy&amp;"_"&amp;Investment_Strategy_Sub1&amp;"_"&amp;$A165,'Investment Strategies'!$AZ:$BP,15,FALSE),
IF(AND(Investment_Strategy="Lifecycle",Investment_Strategy_Sub1="Non-Standard"),VLOOKUP(Investment_Strategy&amp;"_"&amp;Investment_Strategy_Sub2&amp;"_"&amp;$A165,'Investment Strategies'!$C:$P,12,FALSE),
IF(AND(Investment_Strategy="Lifecycle",Investment_Strategy_Sub1="Standard"),VLOOKUP(Investment_Strategy&amp;"_"&amp;Investment_Strategy_Sub2&amp;"_"&amp;$A165,'Investment Strategies'!$AJ:$AV,11,FALSE),
IF(AND(Investment_Strategy="Autopilot",Investment_Strategy_Sub1="Non-Standard"),VLOOKUP(Investment_Strategy&amp;"_"&amp;Investment_Strategy_Sub2&amp;"_"&amp;$A165,'Investment Strategies'!$T:$AF,11,FALSE),
IF(Investment_Strategy="DIY",DIY_GteeChrge_FuturePremiums,
"Error"))))))</f>
        <v>0</v>
      </c>
      <c r="V165" s="33">
        <f>IF(AV165=0,0,
IF(Investment_Strategy="DIS",VLOOKUP(Investment_Strategy&amp;"_"&amp;Investment_Strategy_Sub1&amp;"_"&amp;$A165,'Investment Strategies'!$AZ:$BP,17,FALSE),
IF(AND(Investment_Strategy="Lifecycle",Investment_Strategy_Sub1="Non-Standard"),VLOOKUP(Investment_Strategy&amp;"_"&amp;Investment_Strategy_Sub2&amp;"_"&amp;$A165,'Investment Strategies'!$C:$P,14,FALSE),
IF(AND(Investment_Strategy="Lifecycle",Investment_Strategy_Sub1="Standard"),VLOOKUP(Investment_Strategy&amp;"_"&amp;Investment_Strategy_Sub2&amp;"_"&amp;$A165,'Investment Strategies'!$AJ:$AV,13,FALSE),
IF(AND(Investment_Strategy="Autopilot",Investment_Strategy_Sub1="Non-Standard"),VLOOKUP(Investment_Strategy&amp;"_"&amp;Investment_Strategy_Sub2&amp;"_"&amp;$A165,'Investment Strategies'!$T:$AF,13,FALSE),
IF(Investment_Strategy="DIY",DIY_ExtManChrge_FuturePremiums,
"Error"))))))</f>
        <v>1.2508601994698498E-4</v>
      </c>
      <c r="W165" s="16">
        <f t="shared" si="97"/>
        <v>0</v>
      </c>
      <c r="X165" s="16">
        <f t="shared" si="72"/>
        <v>0</v>
      </c>
      <c r="Y165" s="16">
        <f t="shared" si="73"/>
        <v>0</v>
      </c>
      <c r="Z165" s="31">
        <f t="shared" si="74"/>
        <v>0.02</v>
      </c>
      <c r="AA165" s="16">
        <f t="shared" si="75"/>
        <v>0</v>
      </c>
      <c r="AB165" s="28">
        <f t="shared" si="98"/>
        <v>953249.32720110822</v>
      </c>
      <c r="AC165" s="28">
        <f>(SUM($AC$91:AC164)+SUM($X$91:X164)+X165)*T165*IF(D165=$A$91,SRP_finalmonthfactor,1)</f>
        <v>0</v>
      </c>
      <c r="AD165" s="16">
        <f t="shared" si="76"/>
        <v>-185.57250587131438</v>
      </c>
      <c r="AE165" s="106"/>
      <c r="AF165" s="16">
        <f t="shared" si="85"/>
        <v>887870.54071341059</v>
      </c>
      <c r="AG165" s="16">
        <f t="shared" si="86"/>
        <v>3986.1453365219672</v>
      </c>
      <c r="AH165" s="16">
        <f t="shared" si="87"/>
        <v>-855.63621912218844</v>
      </c>
      <c r="AJ165" s="13">
        <f t="shared" si="107"/>
        <v>0</v>
      </c>
      <c r="AK165" s="13">
        <f t="shared" si="107"/>
        <v>0</v>
      </c>
      <c r="AL165" s="13">
        <f t="shared" si="107"/>
        <v>0</v>
      </c>
      <c r="AM165" s="13">
        <f t="shared" si="107"/>
        <v>0</v>
      </c>
      <c r="AN165" s="13">
        <f t="shared" si="107"/>
        <v>0</v>
      </c>
      <c r="AO165" s="13">
        <f t="shared" si="107"/>
        <v>1</v>
      </c>
      <c r="AP165" s="13">
        <f t="shared" si="107"/>
        <v>1</v>
      </c>
      <c r="AQ165" s="13">
        <f t="shared" si="107"/>
        <v>1</v>
      </c>
      <c r="AR165" s="13">
        <f t="shared" si="107"/>
        <v>1</v>
      </c>
      <c r="AS165" s="13">
        <f t="shared" si="107"/>
        <v>1</v>
      </c>
      <c r="AT165" s="13">
        <f t="shared" si="107"/>
        <v>1</v>
      </c>
      <c r="AU165" s="13">
        <f t="shared" si="107"/>
        <v>1</v>
      </c>
      <c r="AV165" s="13">
        <f t="shared" si="77"/>
        <v>1</v>
      </c>
      <c r="AW165" s="13">
        <f t="shared" si="78"/>
        <v>1</v>
      </c>
      <c r="AY165" s="17">
        <f t="shared" si="79"/>
        <v>75</v>
      </c>
      <c r="AZ165" s="28">
        <f t="shared" si="88"/>
        <v>0</v>
      </c>
      <c r="BA165" s="13">
        <f t="shared" si="80"/>
        <v>0</v>
      </c>
      <c r="BB165" s="13">
        <f t="shared" si="81"/>
        <v>0</v>
      </c>
      <c r="BC165" s="28">
        <f t="shared" si="89"/>
        <v>0</v>
      </c>
      <c r="BD165" s="28">
        <f t="shared" si="90"/>
        <v>0</v>
      </c>
      <c r="BF165" s="248">
        <f t="shared" si="91"/>
        <v>957235.47253763024</v>
      </c>
      <c r="BG165" s="36">
        <f t="shared" si="99"/>
        <v>0</v>
      </c>
      <c r="BH165" s="36">
        <f t="shared" si="100"/>
        <v>887870.54071341059</v>
      </c>
      <c r="BI165" s="249">
        <f t="shared" si="101"/>
        <v>4.1816398110932074E-3</v>
      </c>
      <c r="BJ165" s="246">
        <f t="shared" si="102"/>
        <v>2.0857243058891584E-4</v>
      </c>
      <c r="BK165" s="246">
        <f t="shared" si="82"/>
        <v>7.531116566323881E-4</v>
      </c>
      <c r="BL165" s="246">
        <f t="shared" si="103"/>
        <v>0</v>
      </c>
      <c r="BM165" s="246">
        <f t="shared" si="104"/>
        <v>9.6168408722130394E-4</v>
      </c>
      <c r="BN165" s="36">
        <f t="shared" si="92"/>
        <v>855.63621912218832</v>
      </c>
      <c r="BO165" s="36">
        <f t="shared" si="105"/>
        <v>3712.75480014405</v>
      </c>
      <c r="BP165" s="36">
        <f t="shared" si="106"/>
        <v>890727.65929443238</v>
      </c>
    </row>
    <row r="166" spans="1:68">
      <c r="A166" s="32">
        <f t="shared" si="93"/>
        <v>9</v>
      </c>
      <c r="B166" s="32">
        <f t="shared" si="83"/>
        <v>59</v>
      </c>
      <c r="C166" s="32">
        <f t="shared" si="94"/>
        <v>7</v>
      </c>
      <c r="D166" s="32">
        <f t="shared" si="95"/>
        <v>76</v>
      </c>
      <c r="E166" s="74">
        <f>MIN(IF(AV166=0,0,
IF(Investment_Strategy="DIS",VLOOKUP(Investment_Strategy&amp;"_"&amp;Investment_Strategy_Sub1&amp;"_"&amp;$A166,'Investment Strategies'!$AZ:$BP,12,FALSE),
IF(AND(Investment_Strategy="Lifecycle",Investment_Strategy_Sub1="Non-Standard"),VLOOKUP(Investment_Strategy&amp;"_"&amp;Investment_Strategy_Sub2&amp;"_"&amp;$A166,'Investment Strategies'!$C:$P,9,FALSE),
IF(AND(Investment_Strategy="Lifecycle",Investment_Strategy_Sub1="Standard"),VLOOKUP(Investment_Strategy&amp;"_"&amp;Investment_Strategy_Sub2&amp;"_"&amp;$A166,'Investment Strategies'!$AJ:$AV,8,FALSE),
IF(AND(Investment_Strategy="Autopilot",Investment_Strategy_Sub1="Non-Standard"),VLOOKUP(Investment_Strategy&amp;"_"&amp;Investment_Strategy_Sub2&amp;"_"&amp;$A166,'Investment Strategies'!$T:$AF,8,FALSE),
IF(Investment_Strategy ="DIY",DIY_RateOfReturn_CurrentFunds,
"Error")))))),Max_InvReturn)</f>
        <v>4.1816398110932074E-3</v>
      </c>
      <c r="F166" s="62">
        <f>IF(AV166=0,0,
IF(Investment_Strategy="DIS",VLOOKUP(Investment_Strategy&amp;"_"&amp;Investment_Strategy_Sub1&amp;"_"&amp;$A166,'Investment Strategies'!$AZ:$BP,15,FALSE),
IF(AND(Investment_Strategy="Lifecycle",Investment_Strategy_Sub1="Non-Standard"),VLOOKUP(Investment_Strategy&amp;"_"&amp;Investment_Strategy_Sub2&amp;"_"&amp;$A166,'Investment Strategies'!$C:$P,12,FALSE),
IF(AND(Investment_Strategy="Lifecycle",Investment_Strategy_Sub1="Standard"),VLOOKUP(Investment_Strategy&amp;"_"&amp;Investment_Strategy_Sub2&amp;"_"&amp;$A166,'Investment Strategies'!$AJ:$AV,11,FALSE),
IF(AND(Investment_Strategy="Autopilot",Investment_Strategy_Sub1="Non-Standard"),VLOOKUP(Investment_Strategy&amp;"_"&amp;Investment_Strategy_Sub2&amp;"_"&amp;$A166,'Investment Strategies'!$T:$AF,11,FALSE),
IF(Investment_Strategy="DIY",DIY_GteeChrge_CurrentFunds,
"Error"))))))</f>
        <v>5.4328711526985263E-4</v>
      </c>
      <c r="G166" s="33">
        <f>IF(AV166=0,0,
IF(Investment_Strategy="DIS",VLOOKUP(Investment_Strategy&amp;"_"&amp;Investment_Strategy_Sub1&amp;"_"&amp;$A166,'Investment Strategies'!$AZ:$BP,17,FALSE),
IF(AND(Investment_Strategy="Lifecycle",Investment_Strategy_Sub1="Non-Standard"),VLOOKUP(Investment_Strategy&amp;"_"&amp;Investment_Strategy_Sub2&amp;"_"&amp;$A166,'Investment Strategies'!$C:$P,14,FALSE),
IF(AND(Investment_Strategy="Lifecycle",Investment_Strategy_Sub1="Standard"),VLOOKUP(Investment_Strategy&amp;"_"&amp;Investment_Strategy_Sub2&amp;"_"&amp;$A166,'Investment Strategies'!$AJ:$AV,13,FALSE),
IF(AND(Investment_Strategy="Autopilot",Investment_Strategy_Sub1="Non-Standard"),VLOOKUP(Investment_Strategy&amp;"_"&amp;Investment_Strategy_Sub2&amp;"_"&amp;$A166,'Investment Strategies'!$T:$AF,13,FALSE),
IF(Investment_Strategy="DIY",DIY_ExtManChrge_CurrentFunds,
"Error"))))))</f>
        <v>2.0857243058891584E-4</v>
      </c>
      <c r="H166" s="16">
        <f t="shared" si="84"/>
        <v>0</v>
      </c>
      <c r="I166" s="16">
        <f t="shared" si="68"/>
        <v>0</v>
      </c>
      <c r="J166" s="16">
        <f t="shared" si="69"/>
        <v>0</v>
      </c>
      <c r="K166" s="16">
        <f>(Opening_Fund_Value+SUM(K$91:K165))*E166*IF(D166=$A$91,SRP_finalmonthfactor,1)</f>
        <v>0</v>
      </c>
      <c r="L166" s="74">
        <f>MIN(IF($AV166=0,0,
IF(Investment_Strategy="DIS",VLOOKUP(Investment_Strategy&amp;"_"&amp;Investment_Strategy_Sub1&amp;"_"&amp;$A166,'Investment Strategies'!$AZ:$BP,12,FALSE),
IF(AND(Investment_Strategy="Lifecycle",Investment_Strategy_Sub1="Non-Standard"),VLOOKUP(Investment_Strategy&amp;"_"&amp;Investment_Strategy_Sub2&amp;"_"&amp;$A166,'Investment Strategies'!$C:$P,9,FALSE),
IF(AND(Investment_Strategy="Lifecycle",Investment_Strategy_Sub1="Standard"),VLOOKUP(Investment_Strategy&amp;"_"&amp;Investment_Strategy_Sub2&amp;"_"&amp;$A166,'Investment Strategies'!$AJ:$AV,8,FALSE),
IF(AND(Investment_Strategy="Autopilot",Investment_Strategy_Sub1="Non-Standard"),VLOOKUP(Investment_Strategy&amp;"_"&amp;Investment_Strategy_Sub2&amp;"_"&amp;$A166,'Investment Strategies'!$T:$AF,8,FALSE),
IF(Investment_Strategy ="DIY",DIY_RateofReturn_SP,
"Error")))))),Max_InvReturn)</f>
        <v>4.1816398110932074E-3</v>
      </c>
      <c r="M166" s="62">
        <f>IF($AV166=0,0,
IF(Investment_Strategy="DIS",VLOOKUP(Investment_Strategy&amp;"_"&amp;Investment_Strategy_Sub1&amp;"_"&amp;$A166,'Investment Strategies'!$AZ:$BP,15,FALSE),
IF(AND(Investment_Strategy="Lifecycle",Investment_Strategy_Sub1="Non-Standard"),VLOOKUP(Investment_Strategy&amp;"_"&amp;Investment_Strategy_Sub2&amp;"_"&amp;$A166,'Investment Strategies'!$C:$P,12,FALSE),
IF(AND(Investment_Strategy="Lifecycle",Investment_Strategy_Sub1="Standard"),VLOOKUP(Investment_Strategy&amp;"_"&amp;Investment_Strategy_Sub2&amp;"_"&amp;$A166,'Investment Strategies'!$AJ:$AV,11,FALSE),
IF(AND(Investment_Strategy="Autopilot",Investment_Strategy_Sub1="Non-Standard"),VLOOKUP(Investment_Strategy&amp;"_"&amp;Investment_Strategy_Sub2&amp;"_"&amp;$A166,'Investment Strategies'!$T:$AF,11,FALSE),
IF(Investment_Strategy="DIY",DIY_GteeChrge_SP,
"Error"))))))</f>
        <v>0</v>
      </c>
      <c r="N166" s="33">
        <f>IF($AV166=0,0,
IF(Investment_Strategy="DIS",VLOOKUP(Investment_Strategy&amp;"_"&amp;Investment_Strategy_Sub1&amp;"_"&amp;$A166,'Investment Strategies'!$AZ:$BP,17,FALSE),
IF(AND(Investment_Strategy="Lifecycle",Investment_Strategy_Sub1="Non-Standard"),VLOOKUP(Investment_Strategy&amp;"_"&amp;Investment_Strategy_Sub2&amp;"_"&amp;$A166,'Investment Strategies'!$C:$P,14,FALSE),
IF(AND(Investment_Strategy="Lifecycle",Investment_Strategy_Sub1="Standard"),VLOOKUP(Investment_Strategy&amp;"_"&amp;Investment_Strategy_Sub2&amp;"_"&amp;$A166,'Investment Strategies'!$AJ:$AV,13,FALSE),
IF(AND(Investment_Strategy="Autopilot",Investment_Strategy_Sub1="Non-Standard"),VLOOKUP(Investment_Strategy&amp;"_"&amp;Investment_Strategy_Sub2&amp;"_"&amp;$A166,'Investment Strategies'!$T:$AF,13,FALSE),
IF(Investment_Strategy="DIY",DIY_ExtManChrge_SP,
"Error"))))))</f>
        <v>2.0857243058891584E-4</v>
      </c>
      <c r="O166" s="16">
        <f t="shared" si="96"/>
        <v>890727.65929443238</v>
      </c>
      <c r="Q166" s="16">
        <f t="shared" si="70"/>
        <v>3724.7022409474648</v>
      </c>
      <c r="R166" s="16">
        <f t="shared" si="71"/>
        <v>-858.38960942871313</v>
      </c>
      <c r="S166" s="16">
        <f>(SRP_SP+SUM(S$91:S165))*L166*IF(D166=$A$91,SRP_finalmonthfactor,1)</f>
        <v>4002.8139605539709</v>
      </c>
      <c r="T166" s="74">
        <f>MIN(IF($AV166=0,0,
IF(Investment_Strategy="DIS",VLOOKUP(Investment_Strategy&amp;"_"&amp;Investment_Strategy_Sub1&amp;"_"&amp;$A166,'Investment Strategies'!$AZ:$BP,12,FALSE),
IF(AND(Investment_Strategy="Lifecycle",Investment_Strategy_Sub1="Non-Standard"),VLOOKUP(Investment_Strategy&amp;"_"&amp;Investment_Strategy_Sub2&amp;"_"&amp;$A166,'Investment Strategies'!$C:$P,9,FALSE),
IF(AND(Investment_Strategy="Lifecycle",Investment_Strategy_Sub1="Standard"),VLOOKUP(Investment_Strategy&amp;"_"&amp;Investment_Strategy_Sub2&amp;"_"&amp;$A166,'Investment Strategies'!$AJ:$AV,8,FALSE),
IF(AND(Investment_Strategy="Autopilot",Investment_Strategy_Sub1="Non-Standard"),VLOOKUP(Investment_Strategy&amp;"_"&amp;Investment_Strategy_Sub2&amp;"_"&amp;$A166,'Investment Strategies'!$T:$AF,8,FALSE),
IF(Investment_Strategy ="DIY",DIY_RateOfReturn_FuturePremiums,
"Error")))))),Max_InvReturn)</f>
        <v>4.1816398110932074E-3</v>
      </c>
      <c r="U166" s="62">
        <f>IF($AV166=0,0,
IF(Investment_Strategy="DIS",VLOOKUP(Investment_Strategy&amp;"_"&amp;Investment_Strategy_Sub1&amp;"_"&amp;$A166,'Investment Strategies'!$AZ:$BP,15,FALSE),
IF(AND(Investment_Strategy="Lifecycle",Investment_Strategy_Sub1="Non-Standard"),VLOOKUP(Investment_Strategy&amp;"_"&amp;Investment_Strategy_Sub2&amp;"_"&amp;$A166,'Investment Strategies'!$C:$P,12,FALSE),
IF(AND(Investment_Strategy="Lifecycle",Investment_Strategy_Sub1="Standard"),VLOOKUP(Investment_Strategy&amp;"_"&amp;Investment_Strategy_Sub2&amp;"_"&amp;$A166,'Investment Strategies'!$AJ:$AV,11,FALSE),
IF(AND(Investment_Strategy="Autopilot",Investment_Strategy_Sub1="Non-Standard"),VLOOKUP(Investment_Strategy&amp;"_"&amp;Investment_Strategy_Sub2&amp;"_"&amp;$A166,'Investment Strategies'!$T:$AF,11,FALSE),
IF(Investment_Strategy="DIY",DIY_GteeChrge_FuturePremiums,
"Error"))))))</f>
        <v>0</v>
      </c>
      <c r="V166" s="33">
        <f>IF(AV166=0,0,
IF(Investment_Strategy="DIS",VLOOKUP(Investment_Strategy&amp;"_"&amp;Investment_Strategy_Sub1&amp;"_"&amp;$A166,'Investment Strategies'!$AZ:$BP,17,FALSE),
IF(AND(Investment_Strategy="Lifecycle",Investment_Strategy_Sub1="Non-Standard"),VLOOKUP(Investment_Strategy&amp;"_"&amp;Investment_Strategy_Sub2&amp;"_"&amp;$A166,'Investment Strategies'!$C:$P,14,FALSE),
IF(AND(Investment_Strategy="Lifecycle",Investment_Strategy_Sub1="Standard"),VLOOKUP(Investment_Strategy&amp;"_"&amp;Investment_Strategy_Sub2&amp;"_"&amp;$A166,'Investment Strategies'!$AJ:$AV,13,FALSE),
IF(AND(Investment_Strategy="Autopilot",Investment_Strategy_Sub1="Non-Standard"),VLOOKUP(Investment_Strategy&amp;"_"&amp;Investment_Strategy_Sub2&amp;"_"&amp;$A166,'Investment Strategies'!$T:$AF,13,FALSE),
IF(Investment_Strategy="DIY",DIY_ExtManChrge_FuturePremiums,
"Error"))))))</f>
        <v>1.2508601994698498E-4</v>
      </c>
      <c r="W166" s="16">
        <f t="shared" si="97"/>
        <v>0</v>
      </c>
      <c r="X166" s="16">
        <f t="shared" si="72"/>
        <v>0</v>
      </c>
      <c r="Y166" s="16">
        <f t="shared" si="73"/>
        <v>0</v>
      </c>
      <c r="Z166" s="31">
        <f t="shared" si="74"/>
        <v>0.02</v>
      </c>
      <c r="AA166" s="16">
        <f t="shared" si="75"/>
        <v>0</v>
      </c>
      <c r="AB166" s="28">
        <f t="shared" si="98"/>
        <v>957235.47253763024</v>
      </c>
      <c r="AC166" s="28">
        <f>(SUM($AC$91:AC165)+SUM($X$91:X165)+X166)*T166*IF(D166=$A$91,SRP_finalmonthfactor,1)</f>
        <v>0</v>
      </c>
      <c r="AD166" s="16">
        <f t="shared" si="76"/>
        <v>-186.16966799162267</v>
      </c>
      <c r="AE166" s="106"/>
      <c r="AF166" s="16">
        <f t="shared" si="85"/>
        <v>890727.65929443238</v>
      </c>
      <c r="AG166" s="16">
        <f t="shared" si="86"/>
        <v>4002.8139605539709</v>
      </c>
      <c r="AH166" s="16">
        <f t="shared" si="87"/>
        <v>-858.38960942871313</v>
      </c>
      <c r="AJ166" s="13">
        <f t="shared" si="107"/>
        <v>0</v>
      </c>
      <c r="AK166" s="13">
        <f t="shared" si="107"/>
        <v>0</v>
      </c>
      <c r="AL166" s="13">
        <f t="shared" si="107"/>
        <v>0</v>
      </c>
      <c r="AM166" s="13">
        <f t="shared" si="107"/>
        <v>0</v>
      </c>
      <c r="AN166" s="13">
        <f t="shared" si="107"/>
        <v>0</v>
      </c>
      <c r="AO166" s="13">
        <f t="shared" si="107"/>
        <v>1</v>
      </c>
      <c r="AP166" s="13">
        <f t="shared" si="107"/>
        <v>1</v>
      </c>
      <c r="AQ166" s="13">
        <f t="shared" si="107"/>
        <v>1</v>
      </c>
      <c r="AR166" s="13">
        <f t="shared" si="107"/>
        <v>1</v>
      </c>
      <c r="AS166" s="13">
        <f t="shared" si="107"/>
        <v>1</v>
      </c>
      <c r="AT166" s="13">
        <f t="shared" si="107"/>
        <v>1</v>
      </c>
      <c r="AU166" s="13">
        <f t="shared" si="107"/>
        <v>1</v>
      </c>
      <c r="AV166" s="13">
        <f t="shared" si="77"/>
        <v>1</v>
      </c>
      <c r="AW166" s="13">
        <f t="shared" si="78"/>
        <v>1</v>
      </c>
      <c r="AY166" s="17">
        <f t="shared" si="79"/>
        <v>76</v>
      </c>
      <c r="AZ166" s="28">
        <f t="shared" si="88"/>
        <v>0</v>
      </c>
      <c r="BA166" s="13">
        <f t="shared" si="80"/>
        <v>0</v>
      </c>
      <c r="BB166" s="13">
        <f t="shared" si="81"/>
        <v>0</v>
      </c>
      <c r="BC166" s="28">
        <f t="shared" si="89"/>
        <v>0</v>
      </c>
      <c r="BD166" s="28">
        <f t="shared" si="90"/>
        <v>0</v>
      </c>
      <c r="BF166" s="248">
        <f t="shared" si="91"/>
        <v>961238.2864981842</v>
      </c>
      <c r="BG166" s="36">
        <f t="shared" si="99"/>
        <v>0</v>
      </c>
      <c r="BH166" s="36">
        <f t="shared" si="100"/>
        <v>890727.65929443238</v>
      </c>
      <c r="BI166" s="249">
        <f t="shared" si="101"/>
        <v>4.1816398110932074E-3</v>
      </c>
      <c r="BJ166" s="246">
        <f t="shared" si="102"/>
        <v>2.0857243058891584E-4</v>
      </c>
      <c r="BK166" s="246">
        <f t="shared" si="82"/>
        <v>7.531116566323881E-4</v>
      </c>
      <c r="BL166" s="246">
        <f t="shared" si="103"/>
        <v>0</v>
      </c>
      <c r="BM166" s="246">
        <f t="shared" si="104"/>
        <v>9.6168408722130394E-4</v>
      </c>
      <c r="BN166" s="36">
        <f t="shared" si="92"/>
        <v>858.38960942871302</v>
      </c>
      <c r="BO166" s="36">
        <f t="shared" si="105"/>
        <v>3724.7022409474648</v>
      </c>
      <c r="BP166" s="36">
        <f t="shared" si="106"/>
        <v>893593.97192595119</v>
      </c>
    </row>
    <row r="167" spans="1:68">
      <c r="A167" s="32">
        <f t="shared" si="93"/>
        <v>8</v>
      </c>
      <c r="B167" s="32">
        <f t="shared" si="83"/>
        <v>59</v>
      </c>
      <c r="C167" s="32">
        <f t="shared" si="94"/>
        <v>7</v>
      </c>
      <c r="D167" s="32">
        <f t="shared" si="95"/>
        <v>77</v>
      </c>
      <c r="E167" s="74">
        <f>MIN(IF(AV167=0,0,
IF(Investment_Strategy="DIS",VLOOKUP(Investment_Strategy&amp;"_"&amp;Investment_Strategy_Sub1&amp;"_"&amp;$A167,'Investment Strategies'!$AZ:$BP,12,FALSE),
IF(AND(Investment_Strategy="Lifecycle",Investment_Strategy_Sub1="Non-Standard"),VLOOKUP(Investment_Strategy&amp;"_"&amp;Investment_Strategy_Sub2&amp;"_"&amp;$A167,'Investment Strategies'!$C:$P,9,FALSE),
IF(AND(Investment_Strategy="Lifecycle",Investment_Strategy_Sub1="Standard"),VLOOKUP(Investment_Strategy&amp;"_"&amp;Investment_Strategy_Sub2&amp;"_"&amp;$A167,'Investment Strategies'!$AJ:$AV,8,FALSE),
IF(AND(Investment_Strategy="Autopilot",Investment_Strategy_Sub1="Non-Standard"),VLOOKUP(Investment_Strategy&amp;"_"&amp;Investment_Strategy_Sub2&amp;"_"&amp;$A167,'Investment Strategies'!$T:$AF,8,FALSE),
IF(Investment_Strategy ="DIY",DIY_RateOfReturn_CurrentFunds,
"Error")))))),Max_InvReturn)</f>
        <v>4.1816398110932074E-3</v>
      </c>
      <c r="F167" s="62">
        <f>IF(AV167=0,0,
IF(Investment_Strategy="DIS",VLOOKUP(Investment_Strategy&amp;"_"&amp;Investment_Strategy_Sub1&amp;"_"&amp;$A167,'Investment Strategies'!$AZ:$BP,15,FALSE),
IF(AND(Investment_Strategy="Lifecycle",Investment_Strategy_Sub1="Non-Standard"),VLOOKUP(Investment_Strategy&amp;"_"&amp;Investment_Strategy_Sub2&amp;"_"&amp;$A167,'Investment Strategies'!$C:$P,12,FALSE),
IF(AND(Investment_Strategy="Lifecycle",Investment_Strategy_Sub1="Standard"),VLOOKUP(Investment_Strategy&amp;"_"&amp;Investment_Strategy_Sub2&amp;"_"&amp;$A167,'Investment Strategies'!$AJ:$AV,11,FALSE),
IF(AND(Investment_Strategy="Autopilot",Investment_Strategy_Sub1="Non-Standard"),VLOOKUP(Investment_Strategy&amp;"_"&amp;Investment_Strategy_Sub2&amp;"_"&amp;$A167,'Investment Strategies'!$T:$AF,11,FALSE),
IF(Investment_Strategy="DIY",DIY_GteeChrge_CurrentFunds,
"Error"))))))</f>
        <v>5.4328711526985263E-4</v>
      </c>
      <c r="G167" s="33">
        <f>IF(AV167=0,0,
IF(Investment_Strategy="DIS",VLOOKUP(Investment_Strategy&amp;"_"&amp;Investment_Strategy_Sub1&amp;"_"&amp;$A167,'Investment Strategies'!$AZ:$BP,17,FALSE),
IF(AND(Investment_Strategy="Lifecycle",Investment_Strategy_Sub1="Non-Standard"),VLOOKUP(Investment_Strategy&amp;"_"&amp;Investment_Strategy_Sub2&amp;"_"&amp;$A167,'Investment Strategies'!$C:$P,14,FALSE),
IF(AND(Investment_Strategy="Lifecycle",Investment_Strategy_Sub1="Standard"),VLOOKUP(Investment_Strategy&amp;"_"&amp;Investment_Strategy_Sub2&amp;"_"&amp;$A167,'Investment Strategies'!$AJ:$AV,13,FALSE),
IF(AND(Investment_Strategy="Autopilot",Investment_Strategy_Sub1="Non-Standard"),VLOOKUP(Investment_Strategy&amp;"_"&amp;Investment_Strategy_Sub2&amp;"_"&amp;$A167,'Investment Strategies'!$T:$AF,13,FALSE),
IF(Investment_Strategy="DIY",DIY_ExtManChrge_CurrentFunds,
"Error"))))))</f>
        <v>2.0857243058891584E-4</v>
      </c>
      <c r="H167" s="16">
        <f t="shared" si="84"/>
        <v>0</v>
      </c>
      <c r="I167" s="16">
        <f t="shared" si="68"/>
        <v>0</v>
      </c>
      <c r="J167" s="16">
        <f t="shared" si="69"/>
        <v>0</v>
      </c>
      <c r="K167" s="16">
        <f>(Opening_Fund_Value+SUM(K$91:K166))*E167*IF(D167=$A$91,SRP_finalmonthfactor,1)</f>
        <v>0</v>
      </c>
      <c r="L167" s="74">
        <f>MIN(IF($AV167=0,0,
IF(Investment_Strategy="DIS",VLOOKUP(Investment_Strategy&amp;"_"&amp;Investment_Strategy_Sub1&amp;"_"&amp;$A167,'Investment Strategies'!$AZ:$BP,12,FALSE),
IF(AND(Investment_Strategy="Lifecycle",Investment_Strategy_Sub1="Non-Standard"),VLOOKUP(Investment_Strategy&amp;"_"&amp;Investment_Strategy_Sub2&amp;"_"&amp;$A167,'Investment Strategies'!$C:$P,9,FALSE),
IF(AND(Investment_Strategy="Lifecycle",Investment_Strategy_Sub1="Standard"),VLOOKUP(Investment_Strategy&amp;"_"&amp;Investment_Strategy_Sub2&amp;"_"&amp;$A167,'Investment Strategies'!$AJ:$AV,8,FALSE),
IF(AND(Investment_Strategy="Autopilot",Investment_Strategy_Sub1="Non-Standard"),VLOOKUP(Investment_Strategy&amp;"_"&amp;Investment_Strategy_Sub2&amp;"_"&amp;$A167,'Investment Strategies'!$T:$AF,8,FALSE),
IF(Investment_Strategy ="DIY",DIY_RateofReturn_SP,
"Error")))))),Max_InvReturn)</f>
        <v>4.1816398110932074E-3</v>
      </c>
      <c r="M167" s="62">
        <f>IF($AV167=0,0,
IF(Investment_Strategy="DIS",VLOOKUP(Investment_Strategy&amp;"_"&amp;Investment_Strategy_Sub1&amp;"_"&amp;$A167,'Investment Strategies'!$AZ:$BP,15,FALSE),
IF(AND(Investment_Strategy="Lifecycle",Investment_Strategy_Sub1="Non-Standard"),VLOOKUP(Investment_Strategy&amp;"_"&amp;Investment_Strategy_Sub2&amp;"_"&amp;$A167,'Investment Strategies'!$C:$P,12,FALSE),
IF(AND(Investment_Strategy="Lifecycle",Investment_Strategy_Sub1="Standard"),VLOOKUP(Investment_Strategy&amp;"_"&amp;Investment_Strategy_Sub2&amp;"_"&amp;$A167,'Investment Strategies'!$AJ:$AV,11,FALSE),
IF(AND(Investment_Strategy="Autopilot",Investment_Strategy_Sub1="Non-Standard"),VLOOKUP(Investment_Strategy&amp;"_"&amp;Investment_Strategy_Sub2&amp;"_"&amp;$A167,'Investment Strategies'!$T:$AF,11,FALSE),
IF(Investment_Strategy="DIY",DIY_GteeChrge_SP,
"Error"))))))</f>
        <v>0</v>
      </c>
      <c r="N167" s="33">
        <f>IF($AV167=0,0,
IF(Investment_Strategy="DIS",VLOOKUP(Investment_Strategy&amp;"_"&amp;Investment_Strategy_Sub1&amp;"_"&amp;$A167,'Investment Strategies'!$AZ:$BP,17,FALSE),
IF(AND(Investment_Strategy="Lifecycle",Investment_Strategy_Sub1="Non-Standard"),VLOOKUP(Investment_Strategy&amp;"_"&amp;Investment_Strategy_Sub2&amp;"_"&amp;$A167,'Investment Strategies'!$C:$P,14,FALSE),
IF(AND(Investment_Strategy="Lifecycle",Investment_Strategy_Sub1="Standard"),VLOOKUP(Investment_Strategy&amp;"_"&amp;Investment_Strategy_Sub2&amp;"_"&amp;$A167,'Investment Strategies'!$AJ:$AV,13,FALSE),
IF(AND(Investment_Strategy="Autopilot",Investment_Strategy_Sub1="Non-Standard"),VLOOKUP(Investment_Strategy&amp;"_"&amp;Investment_Strategy_Sub2&amp;"_"&amp;$A167,'Investment Strategies'!$T:$AF,13,FALSE),
IF(Investment_Strategy="DIY",DIY_ExtManChrge_SP,
"Error"))))))</f>
        <v>2.0857243058891584E-4</v>
      </c>
      <c r="O167" s="16">
        <f t="shared" si="96"/>
        <v>893593.97192595119</v>
      </c>
      <c r="Q167" s="16">
        <f t="shared" si="70"/>
        <v>3736.6881279584636</v>
      </c>
      <c r="R167" s="16">
        <f t="shared" si="71"/>
        <v>-861.15185999385108</v>
      </c>
      <c r="S167" s="16">
        <f>(SRP_SP+SUM(S$91:S166))*L167*IF(D167=$A$91,SRP_finalmonthfactor,1)</f>
        <v>4019.5522867678228</v>
      </c>
      <c r="T167" s="74">
        <f>MIN(IF($AV167=0,0,
IF(Investment_Strategy="DIS",VLOOKUP(Investment_Strategy&amp;"_"&amp;Investment_Strategy_Sub1&amp;"_"&amp;$A167,'Investment Strategies'!$AZ:$BP,12,FALSE),
IF(AND(Investment_Strategy="Lifecycle",Investment_Strategy_Sub1="Non-Standard"),VLOOKUP(Investment_Strategy&amp;"_"&amp;Investment_Strategy_Sub2&amp;"_"&amp;$A167,'Investment Strategies'!$C:$P,9,FALSE),
IF(AND(Investment_Strategy="Lifecycle",Investment_Strategy_Sub1="Standard"),VLOOKUP(Investment_Strategy&amp;"_"&amp;Investment_Strategy_Sub2&amp;"_"&amp;$A167,'Investment Strategies'!$AJ:$AV,8,FALSE),
IF(AND(Investment_Strategy="Autopilot",Investment_Strategy_Sub1="Non-Standard"),VLOOKUP(Investment_Strategy&amp;"_"&amp;Investment_Strategy_Sub2&amp;"_"&amp;$A167,'Investment Strategies'!$T:$AF,8,FALSE),
IF(Investment_Strategy ="DIY",DIY_RateOfReturn_FuturePremiums,
"Error")))))),Max_InvReturn)</f>
        <v>4.1816398110932074E-3</v>
      </c>
      <c r="U167" s="62">
        <f>IF($AV167=0,0,
IF(Investment_Strategy="DIS",VLOOKUP(Investment_Strategy&amp;"_"&amp;Investment_Strategy_Sub1&amp;"_"&amp;$A167,'Investment Strategies'!$AZ:$BP,15,FALSE),
IF(AND(Investment_Strategy="Lifecycle",Investment_Strategy_Sub1="Non-Standard"),VLOOKUP(Investment_Strategy&amp;"_"&amp;Investment_Strategy_Sub2&amp;"_"&amp;$A167,'Investment Strategies'!$C:$P,12,FALSE),
IF(AND(Investment_Strategy="Lifecycle",Investment_Strategy_Sub1="Standard"),VLOOKUP(Investment_Strategy&amp;"_"&amp;Investment_Strategy_Sub2&amp;"_"&amp;$A167,'Investment Strategies'!$AJ:$AV,11,FALSE),
IF(AND(Investment_Strategy="Autopilot",Investment_Strategy_Sub1="Non-Standard"),VLOOKUP(Investment_Strategy&amp;"_"&amp;Investment_Strategy_Sub2&amp;"_"&amp;$A167,'Investment Strategies'!$T:$AF,11,FALSE),
IF(Investment_Strategy="DIY",DIY_GteeChrge_FuturePremiums,
"Error"))))))</f>
        <v>0</v>
      </c>
      <c r="V167" s="33">
        <f>IF(AV167=0,0,
IF(Investment_Strategy="DIS",VLOOKUP(Investment_Strategy&amp;"_"&amp;Investment_Strategy_Sub1&amp;"_"&amp;$A167,'Investment Strategies'!$AZ:$BP,17,FALSE),
IF(AND(Investment_Strategy="Lifecycle",Investment_Strategy_Sub1="Non-Standard"),VLOOKUP(Investment_Strategy&amp;"_"&amp;Investment_Strategy_Sub2&amp;"_"&amp;$A167,'Investment Strategies'!$C:$P,14,FALSE),
IF(AND(Investment_Strategy="Lifecycle",Investment_Strategy_Sub1="Standard"),VLOOKUP(Investment_Strategy&amp;"_"&amp;Investment_Strategy_Sub2&amp;"_"&amp;$A167,'Investment Strategies'!$AJ:$AV,13,FALSE),
IF(AND(Investment_Strategy="Autopilot",Investment_Strategy_Sub1="Non-Standard"),VLOOKUP(Investment_Strategy&amp;"_"&amp;Investment_Strategy_Sub2&amp;"_"&amp;$A167,'Investment Strategies'!$T:$AF,13,FALSE),
IF(Investment_Strategy="DIY",DIY_ExtManChrge_FuturePremiums,
"Error"))))))</f>
        <v>1.2508601994698498E-4</v>
      </c>
      <c r="W167" s="16">
        <f t="shared" si="97"/>
        <v>0</v>
      </c>
      <c r="X167" s="16">
        <f t="shared" si="72"/>
        <v>0</v>
      </c>
      <c r="Y167" s="16">
        <f t="shared" si="73"/>
        <v>0</v>
      </c>
      <c r="Z167" s="31">
        <f t="shared" si="74"/>
        <v>0.02</v>
      </c>
      <c r="AA167" s="16">
        <f t="shared" si="75"/>
        <v>0</v>
      </c>
      <c r="AB167" s="28">
        <f t="shared" si="98"/>
        <v>961238.2864981842</v>
      </c>
      <c r="AC167" s="28">
        <f>(SUM($AC$91:AC166)+SUM($X$91:X166)+X167)*T167*IF(D167=$A$91,SRP_finalmonthfactor,1)</f>
        <v>0</v>
      </c>
      <c r="AD167" s="16">
        <f t="shared" si="76"/>
        <v>-186.76875174679958</v>
      </c>
      <c r="AE167" s="106"/>
      <c r="AF167" s="16">
        <f t="shared" si="85"/>
        <v>893593.97192595119</v>
      </c>
      <c r="AG167" s="16">
        <f t="shared" si="86"/>
        <v>4019.5522867678228</v>
      </c>
      <c r="AH167" s="16">
        <f t="shared" si="87"/>
        <v>-861.15185999385108</v>
      </c>
      <c r="AJ167" s="13">
        <f t="shared" si="107"/>
        <v>0</v>
      </c>
      <c r="AK167" s="13">
        <f t="shared" si="107"/>
        <v>0</v>
      </c>
      <c r="AL167" s="13">
        <f t="shared" si="107"/>
        <v>0</v>
      </c>
      <c r="AM167" s="13">
        <f t="shared" si="107"/>
        <v>0</v>
      </c>
      <c r="AN167" s="13">
        <f t="shared" si="107"/>
        <v>0</v>
      </c>
      <c r="AO167" s="13">
        <f t="shared" si="107"/>
        <v>1</v>
      </c>
      <c r="AP167" s="13">
        <f t="shared" si="107"/>
        <v>1</v>
      </c>
      <c r="AQ167" s="13">
        <f t="shared" si="107"/>
        <v>1</v>
      </c>
      <c r="AR167" s="13">
        <f t="shared" si="107"/>
        <v>1</v>
      </c>
      <c r="AS167" s="13">
        <f t="shared" si="107"/>
        <v>1</v>
      </c>
      <c r="AT167" s="13">
        <f t="shared" si="107"/>
        <v>1</v>
      </c>
      <c r="AU167" s="13">
        <f t="shared" si="107"/>
        <v>1</v>
      </c>
      <c r="AV167" s="13">
        <f t="shared" si="77"/>
        <v>1</v>
      </c>
      <c r="AW167" s="13">
        <f t="shared" si="78"/>
        <v>1</v>
      </c>
      <c r="AY167" s="17">
        <f t="shared" si="79"/>
        <v>77</v>
      </c>
      <c r="AZ167" s="28">
        <f t="shared" si="88"/>
        <v>0</v>
      </c>
      <c r="BA167" s="13">
        <f t="shared" si="80"/>
        <v>0</v>
      </c>
      <c r="BB167" s="13">
        <f t="shared" si="81"/>
        <v>0</v>
      </c>
      <c r="BC167" s="28">
        <f t="shared" si="89"/>
        <v>0</v>
      </c>
      <c r="BD167" s="28">
        <f t="shared" si="90"/>
        <v>0</v>
      </c>
      <c r="BF167" s="248">
        <f t="shared" si="91"/>
        <v>965257.83878495207</v>
      </c>
      <c r="BG167" s="36">
        <f t="shared" si="99"/>
        <v>0</v>
      </c>
      <c r="BH167" s="36">
        <f t="shared" si="100"/>
        <v>893593.97192595119</v>
      </c>
      <c r="BI167" s="249">
        <f t="shared" si="101"/>
        <v>4.1816398110932074E-3</v>
      </c>
      <c r="BJ167" s="246">
        <f t="shared" si="102"/>
        <v>2.0857243058891584E-4</v>
      </c>
      <c r="BK167" s="246">
        <f t="shared" si="82"/>
        <v>7.531116566323881E-4</v>
      </c>
      <c r="BL167" s="246">
        <f t="shared" si="103"/>
        <v>0</v>
      </c>
      <c r="BM167" s="246">
        <f t="shared" si="104"/>
        <v>9.6168408722130394E-4</v>
      </c>
      <c r="BN167" s="36">
        <f t="shared" si="92"/>
        <v>861.15185999385096</v>
      </c>
      <c r="BO167" s="36">
        <f t="shared" si="105"/>
        <v>3736.6881279584636</v>
      </c>
      <c r="BP167" s="36">
        <f t="shared" si="106"/>
        <v>896469.50819391583</v>
      </c>
    </row>
    <row r="168" spans="1:68">
      <c r="A168" s="32">
        <f t="shared" si="93"/>
        <v>7</v>
      </c>
      <c r="B168" s="32">
        <f t="shared" si="83"/>
        <v>59</v>
      </c>
      <c r="C168" s="32">
        <f t="shared" si="94"/>
        <v>7</v>
      </c>
      <c r="D168" s="32">
        <f t="shared" si="95"/>
        <v>78</v>
      </c>
      <c r="E168" s="74">
        <f>MIN(IF(AV168=0,0,
IF(Investment_Strategy="DIS",VLOOKUP(Investment_Strategy&amp;"_"&amp;Investment_Strategy_Sub1&amp;"_"&amp;$A168,'Investment Strategies'!$AZ:$BP,12,FALSE),
IF(AND(Investment_Strategy="Lifecycle",Investment_Strategy_Sub1="Non-Standard"),VLOOKUP(Investment_Strategy&amp;"_"&amp;Investment_Strategy_Sub2&amp;"_"&amp;$A168,'Investment Strategies'!$C:$P,9,FALSE),
IF(AND(Investment_Strategy="Lifecycle",Investment_Strategy_Sub1="Standard"),VLOOKUP(Investment_Strategy&amp;"_"&amp;Investment_Strategy_Sub2&amp;"_"&amp;$A168,'Investment Strategies'!$AJ:$AV,8,FALSE),
IF(AND(Investment_Strategy="Autopilot",Investment_Strategy_Sub1="Non-Standard"),VLOOKUP(Investment_Strategy&amp;"_"&amp;Investment_Strategy_Sub2&amp;"_"&amp;$A168,'Investment Strategies'!$T:$AF,8,FALSE),
IF(Investment_Strategy ="DIY",DIY_RateOfReturn_CurrentFunds,
"Error")))))),Max_InvReturn)</f>
        <v>4.1816398110932074E-3</v>
      </c>
      <c r="F168" s="62">
        <f>IF(AV168=0,0,
IF(Investment_Strategy="DIS",VLOOKUP(Investment_Strategy&amp;"_"&amp;Investment_Strategy_Sub1&amp;"_"&amp;$A168,'Investment Strategies'!$AZ:$BP,15,FALSE),
IF(AND(Investment_Strategy="Lifecycle",Investment_Strategy_Sub1="Non-Standard"),VLOOKUP(Investment_Strategy&amp;"_"&amp;Investment_Strategy_Sub2&amp;"_"&amp;$A168,'Investment Strategies'!$C:$P,12,FALSE),
IF(AND(Investment_Strategy="Lifecycle",Investment_Strategy_Sub1="Standard"),VLOOKUP(Investment_Strategy&amp;"_"&amp;Investment_Strategy_Sub2&amp;"_"&amp;$A168,'Investment Strategies'!$AJ:$AV,11,FALSE),
IF(AND(Investment_Strategy="Autopilot",Investment_Strategy_Sub1="Non-Standard"),VLOOKUP(Investment_Strategy&amp;"_"&amp;Investment_Strategy_Sub2&amp;"_"&amp;$A168,'Investment Strategies'!$T:$AF,11,FALSE),
IF(Investment_Strategy="DIY",DIY_GteeChrge_CurrentFunds,
"Error"))))))</f>
        <v>5.4328711526985263E-4</v>
      </c>
      <c r="G168" s="33">
        <f>IF(AV168=0,0,
IF(Investment_Strategy="DIS",VLOOKUP(Investment_Strategy&amp;"_"&amp;Investment_Strategy_Sub1&amp;"_"&amp;$A168,'Investment Strategies'!$AZ:$BP,17,FALSE),
IF(AND(Investment_Strategy="Lifecycle",Investment_Strategy_Sub1="Non-Standard"),VLOOKUP(Investment_Strategy&amp;"_"&amp;Investment_Strategy_Sub2&amp;"_"&amp;$A168,'Investment Strategies'!$C:$P,14,FALSE),
IF(AND(Investment_Strategy="Lifecycle",Investment_Strategy_Sub1="Standard"),VLOOKUP(Investment_Strategy&amp;"_"&amp;Investment_Strategy_Sub2&amp;"_"&amp;$A168,'Investment Strategies'!$AJ:$AV,13,FALSE),
IF(AND(Investment_Strategy="Autopilot",Investment_Strategy_Sub1="Non-Standard"),VLOOKUP(Investment_Strategy&amp;"_"&amp;Investment_Strategy_Sub2&amp;"_"&amp;$A168,'Investment Strategies'!$T:$AF,13,FALSE),
IF(Investment_Strategy="DIY",DIY_ExtManChrge_CurrentFunds,
"Error"))))))</f>
        <v>2.0857243058891584E-4</v>
      </c>
      <c r="H168" s="16">
        <f t="shared" si="84"/>
        <v>0</v>
      </c>
      <c r="I168" s="16">
        <f t="shared" si="68"/>
        <v>0</v>
      </c>
      <c r="J168" s="16">
        <f t="shared" si="69"/>
        <v>0</v>
      </c>
      <c r="K168" s="16">
        <f>(Opening_Fund_Value+SUM(K$91:K167))*E168*IF(D168=$A$91,SRP_finalmonthfactor,1)</f>
        <v>0</v>
      </c>
      <c r="L168" s="74">
        <f>MIN(IF($AV168=0,0,
IF(Investment_Strategy="DIS",VLOOKUP(Investment_Strategy&amp;"_"&amp;Investment_Strategy_Sub1&amp;"_"&amp;$A168,'Investment Strategies'!$AZ:$BP,12,FALSE),
IF(AND(Investment_Strategy="Lifecycle",Investment_Strategy_Sub1="Non-Standard"),VLOOKUP(Investment_Strategy&amp;"_"&amp;Investment_Strategy_Sub2&amp;"_"&amp;$A168,'Investment Strategies'!$C:$P,9,FALSE),
IF(AND(Investment_Strategy="Lifecycle",Investment_Strategy_Sub1="Standard"),VLOOKUP(Investment_Strategy&amp;"_"&amp;Investment_Strategy_Sub2&amp;"_"&amp;$A168,'Investment Strategies'!$AJ:$AV,8,FALSE),
IF(AND(Investment_Strategy="Autopilot",Investment_Strategy_Sub1="Non-Standard"),VLOOKUP(Investment_Strategy&amp;"_"&amp;Investment_Strategy_Sub2&amp;"_"&amp;$A168,'Investment Strategies'!$T:$AF,8,FALSE),
IF(Investment_Strategy ="DIY",DIY_RateofReturn_SP,
"Error")))))),Max_InvReturn)</f>
        <v>4.1816398110932074E-3</v>
      </c>
      <c r="M168" s="62">
        <f>IF($AV168=0,0,
IF(Investment_Strategy="DIS",VLOOKUP(Investment_Strategy&amp;"_"&amp;Investment_Strategy_Sub1&amp;"_"&amp;$A168,'Investment Strategies'!$AZ:$BP,15,FALSE),
IF(AND(Investment_Strategy="Lifecycle",Investment_Strategy_Sub1="Non-Standard"),VLOOKUP(Investment_Strategy&amp;"_"&amp;Investment_Strategy_Sub2&amp;"_"&amp;$A168,'Investment Strategies'!$C:$P,12,FALSE),
IF(AND(Investment_Strategy="Lifecycle",Investment_Strategy_Sub1="Standard"),VLOOKUP(Investment_Strategy&amp;"_"&amp;Investment_Strategy_Sub2&amp;"_"&amp;$A168,'Investment Strategies'!$AJ:$AV,11,FALSE),
IF(AND(Investment_Strategy="Autopilot",Investment_Strategy_Sub1="Non-Standard"),VLOOKUP(Investment_Strategy&amp;"_"&amp;Investment_Strategy_Sub2&amp;"_"&amp;$A168,'Investment Strategies'!$T:$AF,11,FALSE),
IF(Investment_Strategy="DIY",DIY_GteeChrge_SP,
"Error"))))))</f>
        <v>0</v>
      </c>
      <c r="N168" s="33">
        <f>IF($AV168=0,0,
IF(Investment_Strategy="DIS",VLOOKUP(Investment_Strategy&amp;"_"&amp;Investment_Strategy_Sub1&amp;"_"&amp;$A168,'Investment Strategies'!$AZ:$BP,17,FALSE),
IF(AND(Investment_Strategy="Lifecycle",Investment_Strategy_Sub1="Non-Standard"),VLOOKUP(Investment_Strategy&amp;"_"&amp;Investment_Strategy_Sub2&amp;"_"&amp;$A168,'Investment Strategies'!$C:$P,14,FALSE),
IF(AND(Investment_Strategy="Lifecycle",Investment_Strategy_Sub1="Standard"),VLOOKUP(Investment_Strategy&amp;"_"&amp;Investment_Strategy_Sub2&amp;"_"&amp;$A168,'Investment Strategies'!$AJ:$AV,13,FALSE),
IF(AND(Investment_Strategy="Autopilot",Investment_Strategy_Sub1="Non-Standard"),VLOOKUP(Investment_Strategy&amp;"_"&amp;Investment_Strategy_Sub2&amp;"_"&amp;$A168,'Investment Strategies'!$T:$AF,13,FALSE),
IF(Investment_Strategy="DIY",DIY_ExtManChrge_SP,
"Error"))))))</f>
        <v>2.0857243058891584E-4</v>
      </c>
      <c r="O168" s="16">
        <f t="shared" si="96"/>
        <v>896469.50819391583</v>
      </c>
      <c r="Q168" s="16">
        <f t="shared" si="70"/>
        <v>3748.7125848948267</v>
      </c>
      <c r="R168" s="16">
        <f t="shared" si="71"/>
        <v>-863.92299932942706</v>
      </c>
      <c r="S168" s="16">
        <f>(SRP_SP+SUM(S$91:S167))*L168*IF(D168=$A$91,SRP_finalmonthfactor,1)</f>
        <v>4036.3606066329421</v>
      </c>
      <c r="T168" s="74">
        <f>MIN(IF($AV168=0,0,
IF(Investment_Strategy="DIS",VLOOKUP(Investment_Strategy&amp;"_"&amp;Investment_Strategy_Sub1&amp;"_"&amp;$A168,'Investment Strategies'!$AZ:$BP,12,FALSE),
IF(AND(Investment_Strategy="Lifecycle",Investment_Strategy_Sub1="Non-Standard"),VLOOKUP(Investment_Strategy&amp;"_"&amp;Investment_Strategy_Sub2&amp;"_"&amp;$A168,'Investment Strategies'!$C:$P,9,FALSE),
IF(AND(Investment_Strategy="Lifecycle",Investment_Strategy_Sub1="Standard"),VLOOKUP(Investment_Strategy&amp;"_"&amp;Investment_Strategy_Sub2&amp;"_"&amp;$A168,'Investment Strategies'!$AJ:$AV,8,FALSE),
IF(AND(Investment_Strategy="Autopilot",Investment_Strategy_Sub1="Non-Standard"),VLOOKUP(Investment_Strategy&amp;"_"&amp;Investment_Strategy_Sub2&amp;"_"&amp;$A168,'Investment Strategies'!$T:$AF,8,FALSE),
IF(Investment_Strategy ="DIY",DIY_RateOfReturn_FuturePremiums,
"Error")))))),Max_InvReturn)</f>
        <v>4.1816398110932074E-3</v>
      </c>
      <c r="U168" s="62">
        <f>IF($AV168=0,0,
IF(Investment_Strategy="DIS",VLOOKUP(Investment_Strategy&amp;"_"&amp;Investment_Strategy_Sub1&amp;"_"&amp;$A168,'Investment Strategies'!$AZ:$BP,15,FALSE),
IF(AND(Investment_Strategy="Lifecycle",Investment_Strategy_Sub1="Non-Standard"),VLOOKUP(Investment_Strategy&amp;"_"&amp;Investment_Strategy_Sub2&amp;"_"&amp;$A168,'Investment Strategies'!$C:$P,12,FALSE),
IF(AND(Investment_Strategy="Lifecycle",Investment_Strategy_Sub1="Standard"),VLOOKUP(Investment_Strategy&amp;"_"&amp;Investment_Strategy_Sub2&amp;"_"&amp;$A168,'Investment Strategies'!$AJ:$AV,11,FALSE),
IF(AND(Investment_Strategy="Autopilot",Investment_Strategy_Sub1="Non-Standard"),VLOOKUP(Investment_Strategy&amp;"_"&amp;Investment_Strategy_Sub2&amp;"_"&amp;$A168,'Investment Strategies'!$T:$AF,11,FALSE),
IF(Investment_Strategy="DIY",DIY_GteeChrge_FuturePremiums,
"Error"))))))</f>
        <v>0</v>
      </c>
      <c r="V168" s="33">
        <f>IF(AV168=0,0,
IF(Investment_Strategy="DIS",VLOOKUP(Investment_Strategy&amp;"_"&amp;Investment_Strategy_Sub1&amp;"_"&amp;$A168,'Investment Strategies'!$AZ:$BP,17,FALSE),
IF(AND(Investment_Strategy="Lifecycle",Investment_Strategy_Sub1="Non-Standard"),VLOOKUP(Investment_Strategy&amp;"_"&amp;Investment_Strategy_Sub2&amp;"_"&amp;$A168,'Investment Strategies'!$C:$P,14,FALSE),
IF(AND(Investment_Strategy="Lifecycle",Investment_Strategy_Sub1="Standard"),VLOOKUP(Investment_Strategy&amp;"_"&amp;Investment_Strategy_Sub2&amp;"_"&amp;$A168,'Investment Strategies'!$AJ:$AV,13,FALSE),
IF(AND(Investment_Strategy="Autopilot",Investment_Strategy_Sub1="Non-Standard"),VLOOKUP(Investment_Strategy&amp;"_"&amp;Investment_Strategy_Sub2&amp;"_"&amp;$A168,'Investment Strategies'!$T:$AF,13,FALSE),
IF(Investment_Strategy="DIY",DIY_ExtManChrge_FuturePremiums,
"Error"))))))</f>
        <v>1.2508601994698498E-4</v>
      </c>
      <c r="W168" s="16">
        <f t="shared" si="97"/>
        <v>0</v>
      </c>
      <c r="X168" s="16">
        <f t="shared" si="72"/>
        <v>0</v>
      </c>
      <c r="Y168" s="16">
        <f t="shared" si="73"/>
        <v>0</v>
      </c>
      <c r="Z168" s="31">
        <f t="shared" si="74"/>
        <v>0.02</v>
      </c>
      <c r="AA168" s="16">
        <f t="shared" si="75"/>
        <v>0</v>
      </c>
      <c r="AB168" s="28">
        <f t="shared" si="98"/>
        <v>965257.83878495207</v>
      </c>
      <c r="AC168" s="28">
        <f>(SUM($AC$91:AC167)+SUM($X$91:X167)+X168)*T168*IF(D168=$A$91,SRP_finalmonthfactor,1)</f>
        <v>0</v>
      </c>
      <c r="AD168" s="16">
        <f t="shared" si="76"/>
        <v>-187.36976332056042</v>
      </c>
      <c r="AE168" s="106"/>
      <c r="AF168" s="16">
        <f t="shared" si="85"/>
        <v>896469.50819391583</v>
      </c>
      <c r="AG168" s="16">
        <f t="shared" si="86"/>
        <v>4036.3606066329421</v>
      </c>
      <c r="AH168" s="16">
        <f t="shared" si="87"/>
        <v>-863.92299932942706</v>
      </c>
      <c r="AJ168" s="13">
        <f t="shared" si="107"/>
        <v>0</v>
      </c>
      <c r="AK168" s="13">
        <f t="shared" si="107"/>
        <v>0</v>
      </c>
      <c r="AL168" s="13">
        <f t="shared" si="107"/>
        <v>0</v>
      </c>
      <c r="AM168" s="13">
        <f t="shared" si="107"/>
        <v>0</v>
      </c>
      <c r="AN168" s="13">
        <f t="shared" si="107"/>
        <v>0</v>
      </c>
      <c r="AO168" s="13">
        <f t="shared" si="107"/>
        <v>1</v>
      </c>
      <c r="AP168" s="13">
        <f t="shared" si="107"/>
        <v>1</v>
      </c>
      <c r="AQ168" s="13">
        <f t="shared" si="107"/>
        <v>1</v>
      </c>
      <c r="AR168" s="13">
        <f t="shared" si="107"/>
        <v>1</v>
      </c>
      <c r="AS168" s="13">
        <f t="shared" si="107"/>
        <v>1</v>
      </c>
      <c r="AT168" s="13">
        <f t="shared" si="107"/>
        <v>1</v>
      </c>
      <c r="AU168" s="13">
        <f t="shared" si="107"/>
        <v>1</v>
      </c>
      <c r="AV168" s="13">
        <f t="shared" si="77"/>
        <v>1</v>
      </c>
      <c r="AW168" s="13">
        <f t="shared" si="78"/>
        <v>1</v>
      </c>
      <c r="AY168" s="17">
        <f t="shared" si="79"/>
        <v>78</v>
      </c>
      <c r="AZ168" s="28">
        <f t="shared" si="88"/>
        <v>0</v>
      </c>
      <c r="BA168" s="13">
        <f t="shared" si="80"/>
        <v>0</v>
      </c>
      <c r="BB168" s="13">
        <f t="shared" si="81"/>
        <v>0</v>
      </c>
      <c r="BC168" s="28">
        <f t="shared" si="89"/>
        <v>0</v>
      </c>
      <c r="BD168" s="28">
        <f t="shared" si="90"/>
        <v>0</v>
      </c>
      <c r="BF168" s="248">
        <f t="shared" si="91"/>
        <v>969294.19939158496</v>
      </c>
      <c r="BG168" s="36">
        <f t="shared" si="99"/>
        <v>0</v>
      </c>
      <c r="BH168" s="36">
        <f t="shared" si="100"/>
        <v>896469.50819391583</v>
      </c>
      <c r="BI168" s="249">
        <f t="shared" si="101"/>
        <v>4.1816398110932074E-3</v>
      </c>
      <c r="BJ168" s="246">
        <f t="shared" si="102"/>
        <v>2.0857243058891584E-4</v>
      </c>
      <c r="BK168" s="246">
        <f t="shared" si="82"/>
        <v>7.531116566323881E-4</v>
      </c>
      <c r="BL168" s="246">
        <f t="shared" si="103"/>
        <v>0</v>
      </c>
      <c r="BM168" s="246">
        <f t="shared" si="104"/>
        <v>9.6168408722130394E-4</v>
      </c>
      <c r="BN168" s="36">
        <f t="shared" si="92"/>
        <v>863.92299932942694</v>
      </c>
      <c r="BO168" s="36">
        <f t="shared" si="105"/>
        <v>3748.7125848948267</v>
      </c>
      <c r="BP168" s="36">
        <f t="shared" si="106"/>
        <v>899354.29777948128</v>
      </c>
    </row>
    <row r="169" spans="1:68">
      <c r="A169" s="32">
        <f t="shared" si="93"/>
        <v>6</v>
      </c>
      <c r="B169" s="32">
        <f t="shared" si="83"/>
        <v>59</v>
      </c>
      <c r="C169" s="32">
        <f t="shared" si="94"/>
        <v>7</v>
      </c>
      <c r="D169" s="32">
        <f t="shared" si="95"/>
        <v>79</v>
      </c>
      <c r="E169" s="74">
        <f>MIN(IF(AV169=0,0,
IF(Investment_Strategy="DIS",VLOOKUP(Investment_Strategy&amp;"_"&amp;Investment_Strategy_Sub1&amp;"_"&amp;$A169,'Investment Strategies'!$AZ:$BP,12,FALSE),
IF(AND(Investment_Strategy="Lifecycle",Investment_Strategy_Sub1="Non-Standard"),VLOOKUP(Investment_Strategy&amp;"_"&amp;Investment_Strategy_Sub2&amp;"_"&amp;$A169,'Investment Strategies'!$C:$P,9,FALSE),
IF(AND(Investment_Strategy="Lifecycle",Investment_Strategy_Sub1="Standard"),VLOOKUP(Investment_Strategy&amp;"_"&amp;Investment_Strategy_Sub2&amp;"_"&amp;$A169,'Investment Strategies'!$AJ:$AV,8,FALSE),
IF(AND(Investment_Strategy="Autopilot",Investment_Strategy_Sub1="Non-Standard"),VLOOKUP(Investment_Strategy&amp;"_"&amp;Investment_Strategy_Sub2&amp;"_"&amp;$A169,'Investment Strategies'!$T:$AF,8,FALSE),
IF(Investment_Strategy ="DIY",DIY_RateOfReturn_CurrentFunds,
"Error")))))),Max_InvReturn)</f>
        <v>4.1816398110932074E-3</v>
      </c>
      <c r="F169" s="62">
        <f>IF(AV169=0,0,
IF(Investment_Strategy="DIS",VLOOKUP(Investment_Strategy&amp;"_"&amp;Investment_Strategy_Sub1&amp;"_"&amp;$A169,'Investment Strategies'!$AZ:$BP,15,FALSE),
IF(AND(Investment_Strategy="Lifecycle",Investment_Strategy_Sub1="Non-Standard"),VLOOKUP(Investment_Strategy&amp;"_"&amp;Investment_Strategy_Sub2&amp;"_"&amp;$A169,'Investment Strategies'!$C:$P,12,FALSE),
IF(AND(Investment_Strategy="Lifecycle",Investment_Strategy_Sub1="Standard"),VLOOKUP(Investment_Strategy&amp;"_"&amp;Investment_Strategy_Sub2&amp;"_"&amp;$A169,'Investment Strategies'!$AJ:$AV,11,FALSE),
IF(AND(Investment_Strategy="Autopilot",Investment_Strategy_Sub1="Non-Standard"),VLOOKUP(Investment_Strategy&amp;"_"&amp;Investment_Strategy_Sub2&amp;"_"&amp;$A169,'Investment Strategies'!$T:$AF,11,FALSE),
IF(Investment_Strategy="DIY",DIY_GteeChrge_CurrentFunds,
"Error"))))))</f>
        <v>5.4328711526985263E-4</v>
      </c>
      <c r="G169" s="33">
        <f>IF(AV169=0,0,
IF(Investment_Strategy="DIS",VLOOKUP(Investment_Strategy&amp;"_"&amp;Investment_Strategy_Sub1&amp;"_"&amp;$A169,'Investment Strategies'!$AZ:$BP,17,FALSE),
IF(AND(Investment_Strategy="Lifecycle",Investment_Strategy_Sub1="Non-Standard"),VLOOKUP(Investment_Strategy&amp;"_"&amp;Investment_Strategy_Sub2&amp;"_"&amp;$A169,'Investment Strategies'!$C:$P,14,FALSE),
IF(AND(Investment_Strategy="Lifecycle",Investment_Strategy_Sub1="Standard"),VLOOKUP(Investment_Strategy&amp;"_"&amp;Investment_Strategy_Sub2&amp;"_"&amp;$A169,'Investment Strategies'!$AJ:$AV,13,FALSE),
IF(AND(Investment_Strategy="Autopilot",Investment_Strategy_Sub1="Non-Standard"),VLOOKUP(Investment_Strategy&amp;"_"&amp;Investment_Strategy_Sub2&amp;"_"&amp;$A169,'Investment Strategies'!$T:$AF,13,FALSE),
IF(Investment_Strategy="DIY",DIY_ExtManChrge_CurrentFunds,
"Error"))))))</f>
        <v>2.0857243058891584E-4</v>
      </c>
      <c r="H169" s="16">
        <f t="shared" si="84"/>
        <v>0</v>
      </c>
      <c r="I169" s="16">
        <f t="shared" si="68"/>
        <v>0</v>
      </c>
      <c r="J169" s="16">
        <f t="shared" si="69"/>
        <v>0</v>
      </c>
      <c r="K169" s="16">
        <f>(Opening_Fund_Value+SUM(K$91:K168))*E169*IF(D169=$A$91,SRP_finalmonthfactor,1)</f>
        <v>0</v>
      </c>
      <c r="L169" s="74">
        <f>MIN(IF($AV169=0,0,
IF(Investment_Strategy="DIS",VLOOKUP(Investment_Strategy&amp;"_"&amp;Investment_Strategy_Sub1&amp;"_"&amp;$A169,'Investment Strategies'!$AZ:$BP,12,FALSE),
IF(AND(Investment_Strategy="Lifecycle",Investment_Strategy_Sub1="Non-Standard"),VLOOKUP(Investment_Strategy&amp;"_"&amp;Investment_Strategy_Sub2&amp;"_"&amp;$A169,'Investment Strategies'!$C:$P,9,FALSE),
IF(AND(Investment_Strategy="Lifecycle",Investment_Strategy_Sub1="Standard"),VLOOKUP(Investment_Strategy&amp;"_"&amp;Investment_Strategy_Sub2&amp;"_"&amp;$A169,'Investment Strategies'!$AJ:$AV,8,FALSE),
IF(AND(Investment_Strategy="Autopilot",Investment_Strategy_Sub1="Non-Standard"),VLOOKUP(Investment_Strategy&amp;"_"&amp;Investment_Strategy_Sub2&amp;"_"&amp;$A169,'Investment Strategies'!$T:$AF,8,FALSE),
IF(Investment_Strategy ="DIY",DIY_RateofReturn_SP,
"Error")))))),Max_InvReturn)</f>
        <v>4.1816398110932074E-3</v>
      </c>
      <c r="M169" s="62">
        <f>IF($AV169=0,0,
IF(Investment_Strategy="DIS",VLOOKUP(Investment_Strategy&amp;"_"&amp;Investment_Strategy_Sub1&amp;"_"&amp;$A169,'Investment Strategies'!$AZ:$BP,15,FALSE),
IF(AND(Investment_Strategy="Lifecycle",Investment_Strategy_Sub1="Non-Standard"),VLOOKUP(Investment_Strategy&amp;"_"&amp;Investment_Strategy_Sub2&amp;"_"&amp;$A169,'Investment Strategies'!$C:$P,12,FALSE),
IF(AND(Investment_Strategy="Lifecycle",Investment_Strategy_Sub1="Standard"),VLOOKUP(Investment_Strategy&amp;"_"&amp;Investment_Strategy_Sub2&amp;"_"&amp;$A169,'Investment Strategies'!$AJ:$AV,11,FALSE),
IF(AND(Investment_Strategy="Autopilot",Investment_Strategy_Sub1="Non-Standard"),VLOOKUP(Investment_Strategy&amp;"_"&amp;Investment_Strategy_Sub2&amp;"_"&amp;$A169,'Investment Strategies'!$T:$AF,11,FALSE),
IF(Investment_Strategy="DIY",DIY_GteeChrge_SP,
"Error"))))))</f>
        <v>0</v>
      </c>
      <c r="N169" s="33">
        <f>IF($AV169=0,0,
IF(Investment_Strategy="DIS",VLOOKUP(Investment_Strategy&amp;"_"&amp;Investment_Strategy_Sub1&amp;"_"&amp;$A169,'Investment Strategies'!$AZ:$BP,17,FALSE),
IF(AND(Investment_Strategy="Lifecycle",Investment_Strategy_Sub1="Non-Standard"),VLOOKUP(Investment_Strategy&amp;"_"&amp;Investment_Strategy_Sub2&amp;"_"&amp;$A169,'Investment Strategies'!$C:$P,14,FALSE),
IF(AND(Investment_Strategy="Lifecycle",Investment_Strategy_Sub1="Standard"),VLOOKUP(Investment_Strategy&amp;"_"&amp;Investment_Strategy_Sub2&amp;"_"&amp;$A169,'Investment Strategies'!$AJ:$AV,13,FALSE),
IF(AND(Investment_Strategy="Autopilot",Investment_Strategy_Sub1="Non-Standard"),VLOOKUP(Investment_Strategy&amp;"_"&amp;Investment_Strategy_Sub2&amp;"_"&amp;$A169,'Investment Strategies'!$T:$AF,13,FALSE),
IF(Investment_Strategy="DIY",DIY_ExtManChrge_SP,
"Error"))))))</f>
        <v>2.0857243058891584E-4</v>
      </c>
      <c r="O169" s="16">
        <f t="shared" si="96"/>
        <v>899354.29777948128</v>
      </c>
      <c r="Q169" s="16">
        <f t="shared" si="70"/>
        <v>3760.7757358724543</v>
      </c>
      <c r="R169" s="16">
        <f t="shared" si="71"/>
        <v>-866.70305603901556</v>
      </c>
      <c r="S169" s="16">
        <f>(SRP_SP+SUM(S$91:S168))*L169*IF(D169=$A$91,SRP_finalmonthfactor,1)</f>
        <v>4053.2392128375664</v>
      </c>
      <c r="T169" s="74">
        <f>MIN(IF($AV169=0,0,
IF(Investment_Strategy="DIS",VLOOKUP(Investment_Strategy&amp;"_"&amp;Investment_Strategy_Sub1&amp;"_"&amp;$A169,'Investment Strategies'!$AZ:$BP,12,FALSE),
IF(AND(Investment_Strategy="Lifecycle",Investment_Strategy_Sub1="Non-Standard"),VLOOKUP(Investment_Strategy&amp;"_"&amp;Investment_Strategy_Sub2&amp;"_"&amp;$A169,'Investment Strategies'!$C:$P,9,FALSE),
IF(AND(Investment_Strategy="Lifecycle",Investment_Strategy_Sub1="Standard"),VLOOKUP(Investment_Strategy&amp;"_"&amp;Investment_Strategy_Sub2&amp;"_"&amp;$A169,'Investment Strategies'!$AJ:$AV,8,FALSE),
IF(AND(Investment_Strategy="Autopilot",Investment_Strategy_Sub1="Non-Standard"),VLOOKUP(Investment_Strategy&amp;"_"&amp;Investment_Strategy_Sub2&amp;"_"&amp;$A169,'Investment Strategies'!$T:$AF,8,FALSE),
IF(Investment_Strategy ="DIY",DIY_RateOfReturn_FuturePremiums,
"Error")))))),Max_InvReturn)</f>
        <v>4.1816398110932074E-3</v>
      </c>
      <c r="U169" s="62">
        <f>IF($AV169=0,0,
IF(Investment_Strategy="DIS",VLOOKUP(Investment_Strategy&amp;"_"&amp;Investment_Strategy_Sub1&amp;"_"&amp;$A169,'Investment Strategies'!$AZ:$BP,15,FALSE),
IF(AND(Investment_Strategy="Lifecycle",Investment_Strategy_Sub1="Non-Standard"),VLOOKUP(Investment_Strategy&amp;"_"&amp;Investment_Strategy_Sub2&amp;"_"&amp;$A169,'Investment Strategies'!$C:$P,12,FALSE),
IF(AND(Investment_Strategy="Lifecycle",Investment_Strategy_Sub1="Standard"),VLOOKUP(Investment_Strategy&amp;"_"&amp;Investment_Strategy_Sub2&amp;"_"&amp;$A169,'Investment Strategies'!$AJ:$AV,11,FALSE),
IF(AND(Investment_Strategy="Autopilot",Investment_Strategy_Sub1="Non-Standard"),VLOOKUP(Investment_Strategy&amp;"_"&amp;Investment_Strategy_Sub2&amp;"_"&amp;$A169,'Investment Strategies'!$T:$AF,11,FALSE),
IF(Investment_Strategy="DIY",DIY_GteeChrge_FuturePremiums,
"Error"))))))</f>
        <v>0</v>
      </c>
      <c r="V169" s="33">
        <f>IF(AV169=0,0,
IF(Investment_Strategy="DIS",VLOOKUP(Investment_Strategy&amp;"_"&amp;Investment_Strategy_Sub1&amp;"_"&amp;$A169,'Investment Strategies'!$AZ:$BP,17,FALSE),
IF(AND(Investment_Strategy="Lifecycle",Investment_Strategy_Sub1="Non-Standard"),VLOOKUP(Investment_Strategy&amp;"_"&amp;Investment_Strategy_Sub2&amp;"_"&amp;$A169,'Investment Strategies'!$C:$P,14,FALSE),
IF(AND(Investment_Strategy="Lifecycle",Investment_Strategy_Sub1="Standard"),VLOOKUP(Investment_Strategy&amp;"_"&amp;Investment_Strategy_Sub2&amp;"_"&amp;$A169,'Investment Strategies'!$AJ:$AV,13,FALSE),
IF(AND(Investment_Strategy="Autopilot",Investment_Strategy_Sub1="Non-Standard"),VLOOKUP(Investment_Strategy&amp;"_"&amp;Investment_Strategy_Sub2&amp;"_"&amp;$A169,'Investment Strategies'!$T:$AF,13,FALSE),
IF(Investment_Strategy="DIY",DIY_ExtManChrge_FuturePremiums,
"Error"))))))</f>
        <v>1.2508601994698498E-4</v>
      </c>
      <c r="W169" s="16">
        <f t="shared" si="97"/>
        <v>0</v>
      </c>
      <c r="X169" s="16">
        <f t="shared" si="72"/>
        <v>0</v>
      </c>
      <c r="Y169" s="16">
        <f t="shared" si="73"/>
        <v>0</v>
      </c>
      <c r="Z169" s="31">
        <f t="shared" si="74"/>
        <v>0.02</v>
      </c>
      <c r="AA169" s="16">
        <f t="shared" si="75"/>
        <v>0</v>
      </c>
      <c r="AB169" s="28">
        <f t="shared" si="98"/>
        <v>969294.19939158496</v>
      </c>
      <c r="AC169" s="28">
        <f>(SUM($AC$91:AC168)+SUM($X$91:X168)+X169)*T169*IF(D169=$A$91,SRP_finalmonthfactor,1)</f>
        <v>0</v>
      </c>
      <c r="AD169" s="16">
        <f t="shared" si="76"/>
        <v>-187.97270891651939</v>
      </c>
      <c r="AE169" s="106"/>
      <c r="AF169" s="16">
        <f t="shared" si="85"/>
        <v>899354.29777948128</v>
      </c>
      <c r="AG169" s="16">
        <f t="shared" si="86"/>
        <v>4053.2392128375664</v>
      </c>
      <c r="AH169" s="16">
        <f t="shared" si="87"/>
        <v>-866.70305603901556</v>
      </c>
      <c r="AJ169" s="13">
        <f t="shared" si="107"/>
        <v>0</v>
      </c>
      <c r="AK169" s="13">
        <f t="shared" si="107"/>
        <v>0</v>
      </c>
      <c r="AL169" s="13">
        <f t="shared" si="107"/>
        <v>0</v>
      </c>
      <c r="AM169" s="13">
        <f t="shared" si="107"/>
        <v>0</v>
      </c>
      <c r="AN169" s="13">
        <f t="shared" si="107"/>
        <v>0</v>
      </c>
      <c r="AO169" s="13">
        <f t="shared" si="107"/>
        <v>1</v>
      </c>
      <c r="AP169" s="13">
        <f t="shared" si="107"/>
        <v>1</v>
      </c>
      <c r="AQ169" s="13">
        <f t="shared" si="107"/>
        <v>1</v>
      </c>
      <c r="AR169" s="13">
        <f t="shared" si="107"/>
        <v>1</v>
      </c>
      <c r="AS169" s="13">
        <f t="shared" si="107"/>
        <v>1</v>
      </c>
      <c r="AT169" s="13">
        <f t="shared" si="107"/>
        <v>1</v>
      </c>
      <c r="AU169" s="13">
        <f t="shared" si="107"/>
        <v>1</v>
      </c>
      <c r="AV169" s="13">
        <f t="shared" si="77"/>
        <v>1</v>
      </c>
      <c r="AW169" s="13">
        <f t="shared" si="78"/>
        <v>1</v>
      </c>
      <c r="AY169" s="17">
        <f t="shared" si="79"/>
        <v>79</v>
      </c>
      <c r="AZ169" s="28">
        <f t="shared" si="88"/>
        <v>0</v>
      </c>
      <c r="BA169" s="13">
        <f t="shared" si="80"/>
        <v>0</v>
      </c>
      <c r="BB169" s="13">
        <f t="shared" si="81"/>
        <v>0</v>
      </c>
      <c r="BC169" s="28">
        <f t="shared" si="89"/>
        <v>0</v>
      </c>
      <c r="BD169" s="28">
        <f t="shared" si="90"/>
        <v>0</v>
      </c>
      <c r="BF169" s="248">
        <f t="shared" si="91"/>
        <v>973347.4386044225</v>
      </c>
      <c r="BG169" s="36">
        <f t="shared" si="99"/>
        <v>0</v>
      </c>
      <c r="BH169" s="36">
        <f t="shared" si="100"/>
        <v>899354.29777948128</v>
      </c>
      <c r="BI169" s="249">
        <f t="shared" si="101"/>
        <v>4.1816398110932074E-3</v>
      </c>
      <c r="BJ169" s="246">
        <f t="shared" si="102"/>
        <v>2.0857243058891584E-4</v>
      </c>
      <c r="BK169" s="246">
        <f t="shared" si="82"/>
        <v>7.531116566323881E-4</v>
      </c>
      <c r="BL169" s="246">
        <f t="shared" si="103"/>
        <v>0</v>
      </c>
      <c r="BM169" s="246">
        <f t="shared" si="104"/>
        <v>9.6168408722130394E-4</v>
      </c>
      <c r="BN169" s="36">
        <f t="shared" si="92"/>
        <v>866.70305603901545</v>
      </c>
      <c r="BO169" s="36">
        <f t="shared" si="105"/>
        <v>3760.7757358724543</v>
      </c>
      <c r="BP169" s="36">
        <f t="shared" si="106"/>
        <v>902248.37045931467</v>
      </c>
    </row>
    <row r="170" spans="1:68">
      <c r="A170" s="32">
        <f t="shared" si="93"/>
        <v>5</v>
      </c>
      <c r="B170" s="32">
        <f t="shared" si="83"/>
        <v>59</v>
      </c>
      <c r="C170" s="32">
        <f t="shared" si="94"/>
        <v>7</v>
      </c>
      <c r="D170" s="32">
        <f t="shared" si="95"/>
        <v>80</v>
      </c>
      <c r="E170" s="74">
        <f>MIN(IF(AV170=0,0,
IF(Investment_Strategy="DIS",VLOOKUP(Investment_Strategy&amp;"_"&amp;Investment_Strategy_Sub1&amp;"_"&amp;$A170,'Investment Strategies'!$AZ:$BP,12,FALSE),
IF(AND(Investment_Strategy="Lifecycle",Investment_Strategy_Sub1="Non-Standard"),VLOOKUP(Investment_Strategy&amp;"_"&amp;Investment_Strategy_Sub2&amp;"_"&amp;$A170,'Investment Strategies'!$C:$P,9,FALSE),
IF(AND(Investment_Strategy="Lifecycle",Investment_Strategy_Sub1="Standard"),VLOOKUP(Investment_Strategy&amp;"_"&amp;Investment_Strategy_Sub2&amp;"_"&amp;$A170,'Investment Strategies'!$AJ:$AV,8,FALSE),
IF(AND(Investment_Strategy="Autopilot",Investment_Strategy_Sub1="Non-Standard"),VLOOKUP(Investment_Strategy&amp;"_"&amp;Investment_Strategy_Sub2&amp;"_"&amp;$A170,'Investment Strategies'!$T:$AF,8,FALSE),
IF(Investment_Strategy ="DIY",DIY_RateOfReturn_CurrentFunds,
"Error")))))),Max_InvReturn)</f>
        <v>4.1816398110932074E-3</v>
      </c>
      <c r="F170" s="62">
        <f>IF(AV170=0,0,
IF(Investment_Strategy="DIS",VLOOKUP(Investment_Strategy&amp;"_"&amp;Investment_Strategy_Sub1&amp;"_"&amp;$A170,'Investment Strategies'!$AZ:$BP,15,FALSE),
IF(AND(Investment_Strategy="Lifecycle",Investment_Strategy_Sub1="Non-Standard"),VLOOKUP(Investment_Strategy&amp;"_"&amp;Investment_Strategy_Sub2&amp;"_"&amp;$A170,'Investment Strategies'!$C:$P,12,FALSE),
IF(AND(Investment_Strategy="Lifecycle",Investment_Strategy_Sub1="Standard"),VLOOKUP(Investment_Strategy&amp;"_"&amp;Investment_Strategy_Sub2&amp;"_"&amp;$A170,'Investment Strategies'!$AJ:$AV,11,FALSE),
IF(AND(Investment_Strategy="Autopilot",Investment_Strategy_Sub1="Non-Standard"),VLOOKUP(Investment_Strategy&amp;"_"&amp;Investment_Strategy_Sub2&amp;"_"&amp;$A170,'Investment Strategies'!$T:$AF,11,FALSE),
IF(Investment_Strategy="DIY",DIY_GteeChrge_CurrentFunds,
"Error"))))))</f>
        <v>5.4328711526985263E-4</v>
      </c>
      <c r="G170" s="33">
        <f>IF(AV170=0,0,
IF(Investment_Strategy="DIS",VLOOKUP(Investment_Strategy&amp;"_"&amp;Investment_Strategy_Sub1&amp;"_"&amp;$A170,'Investment Strategies'!$AZ:$BP,17,FALSE),
IF(AND(Investment_Strategy="Lifecycle",Investment_Strategy_Sub1="Non-Standard"),VLOOKUP(Investment_Strategy&amp;"_"&amp;Investment_Strategy_Sub2&amp;"_"&amp;$A170,'Investment Strategies'!$C:$P,14,FALSE),
IF(AND(Investment_Strategy="Lifecycle",Investment_Strategy_Sub1="Standard"),VLOOKUP(Investment_Strategy&amp;"_"&amp;Investment_Strategy_Sub2&amp;"_"&amp;$A170,'Investment Strategies'!$AJ:$AV,13,FALSE),
IF(AND(Investment_Strategy="Autopilot",Investment_Strategy_Sub1="Non-Standard"),VLOOKUP(Investment_Strategy&amp;"_"&amp;Investment_Strategy_Sub2&amp;"_"&amp;$A170,'Investment Strategies'!$T:$AF,13,FALSE),
IF(Investment_Strategy="DIY",DIY_ExtManChrge_CurrentFunds,
"Error"))))))</f>
        <v>2.0857243058891584E-4</v>
      </c>
      <c r="H170" s="16">
        <f t="shared" si="84"/>
        <v>0</v>
      </c>
      <c r="I170" s="16">
        <f t="shared" si="68"/>
        <v>0</v>
      </c>
      <c r="J170" s="16">
        <f t="shared" si="69"/>
        <v>0</v>
      </c>
      <c r="K170" s="16">
        <f>(Opening_Fund_Value+SUM(K$91:K169))*E170*IF(D170=$A$91,SRP_finalmonthfactor,1)</f>
        <v>0</v>
      </c>
      <c r="L170" s="74">
        <f>MIN(IF($AV170=0,0,
IF(Investment_Strategy="DIS",VLOOKUP(Investment_Strategy&amp;"_"&amp;Investment_Strategy_Sub1&amp;"_"&amp;$A170,'Investment Strategies'!$AZ:$BP,12,FALSE),
IF(AND(Investment_Strategy="Lifecycle",Investment_Strategy_Sub1="Non-Standard"),VLOOKUP(Investment_Strategy&amp;"_"&amp;Investment_Strategy_Sub2&amp;"_"&amp;$A170,'Investment Strategies'!$C:$P,9,FALSE),
IF(AND(Investment_Strategy="Lifecycle",Investment_Strategy_Sub1="Standard"),VLOOKUP(Investment_Strategy&amp;"_"&amp;Investment_Strategy_Sub2&amp;"_"&amp;$A170,'Investment Strategies'!$AJ:$AV,8,FALSE),
IF(AND(Investment_Strategy="Autopilot",Investment_Strategy_Sub1="Non-Standard"),VLOOKUP(Investment_Strategy&amp;"_"&amp;Investment_Strategy_Sub2&amp;"_"&amp;$A170,'Investment Strategies'!$T:$AF,8,FALSE),
IF(Investment_Strategy ="DIY",DIY_RateofReturn_SP,
"Error")))))),Max_InvReturn)</f>
        <v>4.1816398110932074E-3</v>
      </c>
      <c r="M170" s="62">
        <f>IF($AV170=0,0,
IF(Investment_Strategy="DIS",VLOOKUP(Investment_Strategy&amp;"_"&amp;Investment_Strategy_Sub1&amp;"_"&amp;$A170,'Investment Strategies'!$AZ:$BP,15,FALSE),
IF(AND(Investment_Strategy="Lifecycle",Investment_Strategy_Sub1="Non-Standard"),VLOOKUP(Investment_Strategy&amp;"_"&amp;Investment_Strategy_Sub2&amp;"_"&amp;$A170,'Investment Strategies'!$C:$P,12,FALSE),
IF(AND(Investment_Strategy="Lifecycle",Investment_Strategy_Sub1="Standard"),VLOOKUP(Investment_Strategy&amp;"_"&amp;Investment_Strategy_Sub2&amp;"_"&amp;$A170,'Investment Strategies'!$AJ:$AV,11,FALSE),
IF(AND(Investment_Strategy="Autopilot",Investment_Strategy_Sub1="Non-Standard"),VLOOKUP(Investment_Strategy&amp;"_"&amp;Investment_Strategy_Sub2&amp;"_"&amp;$A170,'Investment Strategies'!$T:$AF,11,FALSE),
IF(Investment_Strategy="DIY",DIY_GteeChrge_SP,
"Error"))))))</f>
        <v>0</v>
      </c>
      <c r="N170" s="33">
        <f>IF($AV170=0,0,
IF(Investment_Strategy="DIS",VLOOKUP(Investment_Strategy&amp;"_"&amp;Investment_Strategy_Sub1&amp;"_"&amp;$A170,'Investment Strategies'!$AZ:$BP,17,FALSE),
IF(AND(Investment_Strategy="Lifecycle",Investment_Strategy_Sub1="Non-Standard"),VLOOKUP(Investment_Strategy&amp;"_"&amp;Investment_Strategy_Sub2&amp;"_"&amp;$A170,'Investment Strategies'!$C:$P,14,FALSE),
IF(AND(Investment_Strategy="Lifecycle",Investment_Strategy_Sub1="Standard"),VLOOKUP(Investment_Strategy&amp;"_"&amp;Investment_Strategy_Sub2&amp;"_"&amp;$A170,'Investment Strategies'!$AJ:$AV,13,FALSE),
IF(AND(Investment_Strategy="Autopilot",Investment_Strategy_Sub1="Non-Standard"),VLOOKUP(Investment_Strategy&amp;"_"&amp;Investment_Strategy_Sub2&amp;"_"&amp;$A170,'Investment Strategies'!$T:$AF,13,FALSE),
IF(Investment_Strategy="DIY",DIY_ExtManChrge_SP,
"Error"))))))</f>
        <v>2.0857243058891584E-4</v>
      </c>
      <c r="O170" s="16">
        <f t="shared" si="96"/>
        <v>902248.37045931467</v>
      </c>
      <c r="Q170" s="16">
        <f t="shared" si="70"/>
        <v>3772.8777054066427</v>
      </c>
      <c r="R170" s="16">
        <f t="shared" si="71"/>
        <v>-869.49205881823571</v>
      </c>
      <c r="S170" s="16">
        <f>(SRP_SP+SUM(S$91:S169))*L170*IF(D170=$A$91,SRP_finalmonthfactor,1)</f>
        <v>4070.1883992938519</v>
      </c>
      <c r="T170" s="74">
        <f>MIN(IF($AV170=0,0,
IF(Investment_Strategy="DIS",VLOOKUP(Investment_Strategy&amp;"_"&amp;Investment_Strategy_Sub1&amp;"_"&amp;$A170,'Investment Strategies'!$AZ:$BP,12,FALSE),
IF(AND(Investment_Strategy="Lifecycle",Investment_Strategy_Sub1="Non-Standard"),VLOOKUP(Investment_Strategy&amp;"_"&amp;Investment_Strategy_Sub2&amp;"_"&amp;$A170,'Investment Strategies'!$C:$P,9,FALSE),
IF(AND(Investment_Strategy="Lifecycle",Investment_Strategy_Sub1="Standard"),VLOOKUP(Investment_Strategy&amp;"_"&amp;Investment_Strategy_Sub2&amp;"_"&amp;$A170,'Investment Strategies'!$AJ:$AV,8,FALSE),
IF(AND(Investment_Strategy="Autopilot",Investment_Strategy_Sub1="Non-Standard"),VLOOKUP(Investment_Strategy&amp;"_"&amp;Investment_Strategy_Sub2&amp;"_"&amp;$A170,'Investment Strategies'!$T:$AF,8,FALSE),
IF(Investment_Strategy ="DIY",DIY_RateOfReturn_FuturePremiums,
"Error")))))),Max_InvReturn)</f>
        <v>4.1816398110932074E-3</v>
      </c>
      <c r="U170" s="62">
        <f>IF($AV170=0,0,
IF(Investment_Strategy="DIS",VLOOKUP(Investment_Strategy&amp;"_"&amp;Investment_Strategy_Sub1&amp;"_"&amp;$A170,'Investment Strategies'!$AZ:$BP,15,FALSE),
IF(AND(Investment_Strategy="Lifecycle",Investment_Strategy_Sub1="Non-Standard"),VLOOKUP(Investment_Strategy&amp;"_"&amp;Investment_Strategy_Sub2&amp;"_"&amp;$A170,'Investment Strategies'!$C:$P,12,FALSE),
IF(AND(Investment_Strategy="Lifecycle",Investment_Strategy_Sub1="Standard"),VLOOKUP(Investment_Strategy&amp;"_"&amp;Investment_Strategy_Sub2&amp;"_"&amp;$A170,'Investment Strategies'!$AJ:$AV,11,FALSE),
IF(AND(Investment_Strategy="Autopilot",Investment_Strategy_Sub1="Non-Standard"),VLOOKUP(Investment_Strategy&amp;"_"&amp;Investment_Strategy_Sub2&amp;"_"&amp;$A170,'Investment Strategies'!$T:$AF,11,FALSE),
IF(Investment_Strategy="DIY",DIY_GteeChrge_FuturePremiums,
"Error"))))))</f>
        <v>0</v>
      </c>
      <c r="V170" s="33">
        <f>IF(AV170=0,0,
IF(Investment_Strategy="DIS",VLOOKUP(Investment_Strategy&amp;"_"&amp;Investment_Strategy_Sub1&amp;"_"&amp;$A170,'Investment Strategies'!$AZ:$BP,17,FALSE),
IF(AND(Investment_Strategy="Lifecycle",Investment_Strategy_Sub1="Non-Standard"),VLOOKUP(Investment_Strategy&amp;"_"&amp;Investment_Strategy_Sub2&amp;"_"&amp;$A170,'Investment Strategies'!$C:$P,14,FALSE),
IF(AND(Investment_Strategy="Lifecycle",Investment_Strategy_Sub1="Standard"),VLOOKUP(Investment_Strategy&amp;"_"&amp;Investment_Strategy_Sub2&amp;"_"&amp;$A170,'Investment Strategies'!$AJ:$AV,13,FALSE),
IF(AND(Investment_Strategy="Autopilot",Investment_Strategy_Sub1="Non-Standard"),VLOOKUP(Investment_Strategy&amp;"_"&amp;Investment_Strategy_Sub2&amp;"_"&amp;$A170,'Investment Strategies'!$T:$AF,13,FALSE),
IF(Investment_Strategy="DIY",DIY_ExtManChrge_FuturePremiums,
"Error"))))))</f>
        <v>1.2508601994698498E-4</v>
      </c>
      <c r="W170" s="16">
        <f t="shared" si="97"/>
        <v>0</v>
      </c>
      <c r="X170" s="16">
        <f t="shared" si="72"/>
        <v>0</v>
      </c>
      <c r="Y170" s="16">
        <f t="shared" si="73"/>
        <v>0</v>
      </c>
      <c r="Z170" s="31">
        <f t="shared" si="74"/>
        <v>0.02</v>
      </c>
      <c r="AA170" s="16">
        <f t="shared" si="75"/>
        <v>0</v>
      </c>
      <c r="AB170" s="28">
        <f t="shared" si="98"/>
        <v>973347.4386044225</v>
      </c>
      <c r="AC170" s="28">
        <f>(SUM($AC$91:AC169)+SUM($X$91:X169)+X170)*T170*IF(D170=$A$91,SRP_finalmonthfactor,1)</f>
        <v>0</v>
      </c>
      <c r="AD170" s="16">
        <f t="shared" si="76"/>
        <v>-188.57759475825353</v>
      </c>
      <c r="AE170" s="106"/>
      <c r="AF170" s="16">
        <f t="shared" si="85"/>
        <v>902248.37045931467</v>
      </c>
      <c r="AG170" s="16">
        <f t="shared" si="86"/>
        <v>4070.1883992938519</v>
      </c>
      <c r="AH170" s="16">
        <f t="shared" si="87"/>
        <v>-869.49205881823571</v>
      </c>
      <c r="AJ170" s="13">
        <f t="shared" si="107"/>
        <v>0</v>
      </c>
      <c r="AK170" s="13">
        <f t="shared" si="107"/>
        <v>0</v>
      </c>
      <c r="AL170" s="13">
        <f t="shared" si="107"/>
        <v>0</v>
      </c>
      <c r="AM170" s="13">
        <f t="shared" si="107"/>
        <v>0</v>
      </c>
      <c r="AN170" s="13">
        <f t="shared" si="107"/>
        <v>0</v>
      </c>
      <c r="AO170" s="13">
        <f t="shared" si="107"/>
        <v>1</v>
      </c>
      <c r="AP170" s="13">
        <f t="shared" si="107"/>
        <v>1</v>
      </c>
      <c r="AQ170" s="13">
        <f t="shared" si="107"/>
        <v>1</v>
      </c>
      <c r="AR170" s="13">
        <f t="shared" si="107"/>
        <v>1</v>
      </c>
      <c r="AS170" s="13">
        <f t="shared" si="107"/>
        <v>1</v>
      </c>
      <c r="AT170" s="13">
        <f t="shared" si="107"/>
        <v>1</v>
      </c>
      <c r="AU170" s="13">
        <f t="shared" si="107"/>
        <v>1</v>
      </c>
      <c r="AV170" s="13">
        <f t="shared" si="77"/>
        <v>1</v>
      </c>
      <c r="AW170" s="13">
        <f t="shared" si="78"/>
        <v>1</v>
      </c>
      <c r="AY170" s="17">
        <f t="shared" si="79"/>
        <v>80</v>
      </c>
      <c r="AZ170" s="28">
        <f t="shared" si="88"/>
        <v>0</v>
      </c>
      <c r="BA170" s="13">
        <f t="shared" si="80"/>
        <v>0</v>
      </c>
      <c r="BB170" s="13">
        <f t="shared" si="81"/>
        <v>0</v>
      </c>
      <c r="BC170" s="28">
        <f t="shared" si="89"/>
        <v>0</v>
      </c>
      <c r="BD170" s="28">
        <f t="shared" si="90"/>
        <v>0</v>
      </c>
      <c r="BF170" s="248">
        <f t="shared" si="91"/>
        <v>977417.6270037163</v>
      </c>
      <c r="BG170" s="36">
        <f t="shared" si="99"/>
        <v>0</v>
      </c>
      <c r="BH170" s="36">
        <f t="shared" si="100"/>
        <v>902248.37045931467</v>
      </c>
      <c r="BI170" s="249">
        <f t="shared" si="101"/>
        <v>4.1816398110932074E-3</v>
      </c>
      <c r="BJ170" s="246">
        <f t="shared" si="102"/>
        <v>2.0857243058891584E-4</v>
      </c>
      <c r="BK170" s="246">
        <f t="shared" si="82"/>
        <v>7.531116566323881E-4</v>
      </c>
      <c r="BL170" s="246">
        <f t="shared" si="103"/>
        <v>0</v>
      </c>
      <c r="BM170" s="246">
        <f t="shared" si="104"/>
        <v>9.6168408722130394E-4</v>
      </c>
      <c r="BN170" s="36">
        <f t="shared" si="92"/>
        <v>869.49205881823559</v>
      </c>
      <c r="BO170" s="36">
        <f t="shared" si="105"/>
        <v>3772.8777054066427</v>
      </c>
      <c r="BP170" s="36">
        <f t="shared" si="106"/>
        <v>905151.75610590307</v>
      </c>
    </row>
    <row r="171" spans="1:68">
      <c r="A171" s="32">
        <f t="shared" si="93"/>
        <v>4</v>
      </c>
      <c r="B171" s="32">
        <f t="shared" si="83"/>
        <v>59</v>
      </c>
      <c r="C171" s="32">
        <f t="shared" si="94"/>
        <v>7</v>
      </c>
      <c r="D171" s="32">
        <f t="shared" si="95"/>
        <v>81</v>
      </c>
      <c r="E171" s="74">
        <f>MIN(IF(AV171=0,0,
IF(Investment_Strategy="DIS",VLOOKUP(Investment_Strategy&amp;"_"&amp;Investment_Strategy_Sub1&amp;"_"&amp;$A171,'Investment Strategies'!$AZ:$BP,12,FALSE),
IF(AND(Investment_Strategy="Lifecycle",Investment_Strategy_Sub1="Non-Standard"),VLOOKUP(Investment_Strategy&amp;"_"&amp;Investment_Strategy_Sub2&amp;"_"&amp;$A171,'Investment Strategies'!$C:$P,9,FALSE),
IF(AND(Investment_Strategy="Lifecycle",Investment_Strategy_Sub1="Standard"),VLOOKUP(Investment_Strategy&amp;"_"&amp;Investment_Strategy_Sub2&amp;"_"&amp;$A171,'Investment Strategies'!$AJ:$AV,8,FALSE),
IF(AND(Investment_Strategy="Autopilot",Investment_Strategy_Sub1="Non-Standard"),VLOOKUP(Investment_Strategy&amp;"_"&amp;Investment_Strategy_Sub2&amp;"_"&amp;$A171,'Investment Strategies'!$T:$AF,8,FALSE),
IF(Investment_Strategy ="DIY",DIY_RateOfReturn_CurrentFunds,
"Error")))))),Max_InvReturn)</f>
        <v>4.1816398110932074E-3</v>
      </c>
      <c r="F171" s="62">
        <f>IF(AV171=0,0,
IF(Investment_Strategy="DIS",VLOOKUP(Investment_Strategy&amp;"_"&amp;Investment_Strategy_Sub1&amp;"_"&amp;$A171,'Investment Strategies'!$AZ:$BP,15,FALSE),
IF(AND(Investment_Strategy="Lifecycle",Investment_Strategy_Sub1="Non-Standard"),VLOOKUP(Investment_Strategy&amp;"_"&amp;Investment_Strategy_Sub2&amp;"_"&amp;$A171,'Investment Strategies'!$C:$P,12,FALSE),
IF(AND(Investment_Strategy="Lifecycle",Investment_Strategy_Sub1="Standard"),VLOOKUP(Investment_Strategy&amp;"_"&amp;Investment_Strategy_Sub2&amp;"_"&amp;$A171,'Investment Strategies'!$AJ:$AV,11,FALSE),
IF(AND(Investment_Strategy="Autopilot",Investment_Strategy_Sub1="Non-Standard"),VLOOKUP(Investment_Strategy&amp;"_"&amp;Investment_Strategy_Sub2&amp;"_"&amp;$A171,'Investment Strategies'!$T:$AF,11,FALSE),
IF(Investment_Strategy="DIY",DIY_GteeChrge_CurrentFunds,
"Error"))))))</f>
        <v>5.4328711526985263E-4</v>
      </c>
      <c r="G171" s="33">
        <f>IF(AV171=0,0,
IF(Investment_Strategy="DIS",VLOOKUP(Investment_Strategy&amp;"_"&amp;Investment_Strategy_Sub1&amp;"_"&amp;$A171,'Investment Strategies'!$AZ:$BP,17,FALSE),
IF(AND(Investment_Strategy="Lifecycle",Investment_Strategy_Sub1="Non-Standard"),VLOOKUP(Investment_Strategy&amp;"_"&amp;Investment_Strategy_Sub2&amp;"_"&amp;$A171,'Investment Strategies'!$C:$P,14,FALSE),
IF(AND(Investment_Strategy="Lifecycle",Investment_Strategy_Sub1="Standard"),VLOOKUP(Investment_Strategy&amp;"_"&amp;Investment_Strategy_Sub2&amp;"_"&amp;$A171,'Investment Strategies'!$AJ:$AV,13,FALSE),
IF(AND(Investment_Strategy="Autopilot",Investment_Strategy_Sub1="Non-Standard"),VLOOKUP(Investment_Strategy&amp;"_"&amp;Investment_Strategy_Sub2&amp;"_"&amp;$A171,'Investment Strategies'!$T:$AF,13,FALSE),
IF(Investment_Strategy="DIY",DIY_ExtManChrge_CurrentFunds,
"Error"))))))</f>
        <v>2.0857243058891584E-4</v>
      </c>
      <c r="H171" s="16">
        <f t="shared" si="84"/>
        <v>0</v>
      </c>
      <c r="I171" s="16">
        <f t="shared" si="68"/>
        <v>0</v>
      </c>
      <c r="J171" s="16">
        <f t="shared" si="69"/>
        <v>0</v>
      </c>
      <c r="K171" s="16">
        <f>(Opening_Fund_Value+SUM(K$91:K170))*E171*IF(D171=$A$91,SRP_finalmonthfactor,1)</f>
        <v>0</v>
      </c>
      <c r="L171" s="74">
        <f>MIN(IF($AV171=0,0,
IF(Investment_Strategy="DIS",VLOOKUP(Investment_Strategy&amp;"_"&amp;Investment_Strategy_Sub1&amp;"_"&amp;$A171,'Investment Strategies'!$AZ:$BP,12,FALSE),
IF(AND(Investment_Strategy="Lifecycle",Investment_Strategy_Sub1="Non-Standard"),VLOOKUP(Investment_Strategy&amp;"_"&amp;Investment_Strategy_Sub2&amp;"_"&amp;$A171,'Investment Strategies'!$C:$P,9,FALSE),
IF(AND(Investment_Strategy="Lifecycle",Investment_Strategy_Sub1="Standard"),VLOOKUP(Investment_Strategy&amp;"_"&amp;Investment_Strategy_Sub2&amp;"_"&amp;$A171,'Investment Strategies'!$AJ:$AV,8,FALSE),
IF(AND(Investment_Strategy="Autopilot",Investment_Strategy_Sub1="Non-Standard"),VLOOKUP(Investment_Strategy&amp;"_"&amp;Investment_Strategy_Sub2&amp;"_"&amp;$A171,'Investment Strategies'!$T:$AF,8,FALSE),
IF(Investment_Strategy ="DIY",DIY_RateofReturn_SP,
"Error")))))),Max_InvReturn)</f>
        <v>4.1816398110932074E-3</v>
      </c>
      <c r="M171" s="62">
        <f>IF($AV171=0,0,
IF(Investment_Strategy="DIS",VLOOKUP(Investment_Strategy&amp;"_"&amp;Investment_Strategy_Sub1&amp;"_"&amp;$A171,'Investment Strategies'!$AZ:$BP,15,FALSE),
IF(AND(Investment_Strategy="Lifecycle",Investment_Strategy_Sub1="Non-Standard"),VLOOKUP(Investment_Strategy&amp;"_"&amp;Investment_Strategy_Sub2&amp;"_"&amp;$A171,'Investment Strategies'!$C:$P,12,FALSE),
IF(AND(Investment_Strategy="Lifecycle",Investment_Strategy_Sub1="Standard"),VLOOKUP(Investment_Strategy&amp;"_"&amp;Investment_Strategy_Sub2&amp;"_"&amp;$A171,'Investment Strategies'!$AJ:$AV,11,FALSE),
IF(AND(Investment_Strategy="Autopilot",Investment_Strategy_Sub1="Non-Standard"),VLOOKUP(Investment_Strategy&amp;"_"&amp;Investment_Strategy_Sub2&amp;"_"&amp;$A171,'Investment Strategies'!$T:$AF,11,FALSE),
IF(Investment_Strategy="DIY",DIY_GteeChrge_SP,
"Error"))))))</f>
        <v>0</v>
      </c>
      <c r="N171" s="33">
        <f>IF($AV171=0,0,
IF(Investment_Strategy="DIS",VLOOKUP(Investment_Strategy&amp;"_"&amp;Investment_Strategy_Sub1&amp;"_"&amp;$A171,'Investment Strategies'!$AZ:$BP,17,FALSE),
IF(AND(Investment_Strategy="Lifecycle",Investment_Strategy_Sub1="Non-Standard"),VLOOKUP(Investment_Strategy&amp;"_"&amp;Investment_Strategy_Sub2&amp;"_"&amp;$A171,'Investment Strategies'!$C:$P,14,FALSE),
IF(AND(Investment_Strategy="Lifecycle",Investment_Strategy_Sub1="Standard"),VLOOKUP(Investment_Strategy&amp;"_"&amp;Investment_Strategy_Sub2&amp;"_"&amp;$A171,'Investment Strategies'!$AJ:$AV,13,FALSE),
IF(AND(Investment_Strategy="Autopilot",Investment_Strategy_Sub1="Non-Standard"),VLOOKUP(Investment_Strategy&amp;"_"&amp;Investment_Strategy_Sub2&amp;"_"&amp;$A171,'Investment Strategies'!$T:$AF,13,FALSE),
IF(Investment_Strategy="DIY",DIY_ExtManChrge_SP,
"Error"))))))</f>
        <v>2.0857243058891584E-4</v>
      </c>
      <c r="O171" s="16">
        <f t="shared" si="96"/>
        <v>905151.75610590307</v>
      </c>
      <c r="Q171" s="16">
        <f t="shared" si="70"/>
        <v>3785.0186184133736</v>
      </c>
      <c r="R171" s="16">
        <f t="shared" si="71"/>
        <v>-872.29003645504804</v>
      </c>
      <c r="S171" s="16">
        <f>(SRP_SP+SUM(S$91:S170))*L171*IF(D171=$A$91,SRP_finalmonthfactor,1)</f>
        <v>4087.2084611429891</v>
      </c>
      <c r="T171" s="74">
        <f>MIN(IF($AV171=0,0,
IF(Investment_Strategy="DIS",VLOOKUP(Investment_Strategy&amp;"_"&amp;Investment_Strategy_Sub1&amp;"_"&amp;$A171,'Investment Strategies'!$AZ:$BP,12,FALSE),
IF(AND(Investment_Strategy="Lifecycle",Investment_Strategy_Sub1="Non-Standard"),VLOOKUP(Investment_Strategy&amp;"_"&amp;Investment_Strategy_Sub2&amp;"_"&amp;$A171,'Investment Strategies'!$C:$P,9,FALSE),
IF(AND(Investment_Strategy="Lifecycle",Investment_Strategy_Sub1="Standard"),VLOOKUP(Investment_Strategy&amp;"_"&amp;Investment_Strategy_Sub2&amp;"_"&amp;$A171,'Investment Strategies'!$AJ:$AV,8,FALSE),
IF(AND(Investment_Strategy="Autopilot",Investment_Strategy_Sub1="Non-Standard"),VLOOKUP(Investment_Strategy&amp;"_"&amp;Investment_Strategy_Sub2&amp;"_"&amp;$A171,'Investment Strategies'!$T:$AF,8,FALSE),
IF(Investment_Strategy ="DIY",DIY_RateOfReturn_FuturePremiums,
"Error")))))),Max_InvReturn)</f>
        <v>4.1816398110932074E-3</v>
      </c>
      <c r="U171" s="62">
        <f>IF($AV171=0,0,
IF(Investment_Strategy="DIS",VLOOKUP(Investment_Strategy&amp;"_"&amp;Investment_Strategy_Sub1&amp;"_"&amp;$A171,'Investment Strategies'!$AZ:$BP,15,FALSE),
IF(AND(Investment_Strategy="Lifecycle",Investment_Strategy_Sub1="Non-Standard"),VLOOKUP(Investment_Strategy&amp;"_"&amp;Investment_Strategy_Sub2&amp;"_"&amp;$A171,'Investment Strategies'!$C:$P,12,FALSE),
IF(AND(Investment_Strategy="Lifecycle",Investment_Strategy_Sub1="Standard"),VLOOKUP(Investment_Strategy&amp;"_"&amp;Investment_Strategy_Sub2&amp;"_"&amp;$A171,'Investment Strategies'!$AJ:$AV,11,FALSE),
IF(AND(Investment_Strategy="Autopilot",Investment_Strategy_Sub1="Non-Standard"),VLOOKUP(Investment_Strategy&amp;"_"&amp;Investment_Strategy_Sub2&amp;"_"&amp;$A171,'Investment Strategies'!$T:$AF,11,FALSE),
IF(Investment_Strategy="DIY",DIY_GteeChrge_FuturePremiums,
"Error"))))))</f>
        <v>0</v>
      </c>
      <c r="V171" s="33">
        <f>IF(AV171=0,0,
IF(Investment_Strategy="DIS",VLOOKUP(Investment_Strategy&amp;"_"&amp;Investment_Strategy_Sub1&amp;"_"&amp;$A171,'Investment Strategies'!$AZ:$BP,17,FALSE),
IF(AND(Investment_Strategy="Lifecycle",Investment_Strategy_Sub1="Non-Standard"),VLOOKUP(Investment_Strategy&amp;"_"&amp;Investment_Strategy_Sub2&amp;"_"&amp;$A171,'Investment Strategies'!$C:$P,14,FALSE),
IF(AND(Investment_Strategy="Lifecycle",Investment_Strategy_Sub1="Standard"),VLOOKUP(Investment_Strategy&amp;"_"&amp;Investment_Strategy_Sub2&amp;"_"&amp;$A171,'Investment Strategies'!$AJ:$AV,13,FALSE),
IF(AND(Investment_Strategy="Autopilot",Investment_Strategy_Sub1="Non-Standard"),VLOOKUP(Investment_Strategy&amp;"_"&amp;Investment_Strategy_Sub2&amp;"_"&amp;$A171,'Investment Strategies'!$T:$AF,13,FALSE),
IF(Investment_Strategy="DIY",DIY_ExtManChrge_FuturePremiums,
"Error"))))))</f>
        <v>1.2508601994698498E-4</v>
      </c>
      <c r="W171" s="16">
        <f t="shared" si="97"/>
        <v>0</v>
      </c>
      <c r="X171" s="16">
        <f t="shared" si="72"/>
        <v>0</v>
      </c>
      <c r="Y171" s="16">
        <f t="shared" si="73"/>
        <v>0</v>
      </c>
      <c r="Z171" s="31">
        <f t="shared" si="74"/>
        <v>0.02</v>
      </c>
      <c r="AA171" s="16">
        <f t="shared" si="75"/>
        <v>0</v>
      </c>
      <c r="AB171" s="28">
        <f t="shared" si="98"/>
        <v>977417.6270037163</v>
      </c>
      <c r="AC171" s="28">
        <f>(SUM($AC$91:AC170)+SUM($X$91:X170)+X171)*T171*IF(D171=$A$91,SRP_finalmonthfactor,1)</f>
        <v>0</v>
      </c>
      <c r="AD171" s="16">
        <f t="shared" si="76"/>
        <v>-189.18442708936715</v>
      </c>
      <c r="AE171" s="106"/>
      <c r="AF171" s="16">
        <f t="shared" si="85"/>
        <v>905151.75610590307</v>
      </c>
      <c r="AG171" s="16">
        <f t="shared" si="86"/>
        <v>4087.2084611429891</v>
      </c>
      <c r="AH171" s="16">
        <f t="shared" si="87"/>
        <v>-872.29003645504804</v>
      </c>
      <c r="AJ171" s="13">
        <f t="shared" ref="AJ171:AU180" si="108">IF($C171&lt;=AJ$90,1,0)</f>
        <v>0</v>
      </c>
      <c r="AK171" s="13">
        <f t="shared" si="108"/>
        <v>0</v>
      </c>
      <c r="AL171" s="13">
        <f t="shared" si="108"/>
        <v>0</v>
      </c>
      <c r="AM171" s="13">
        <f t="shared" si="108"/>
        <v>0</v>
      </c>
      <c r="AN171" s="13">
        <f t="shared" si="108"/>
        <v>0</v>
      </c>
      <c r="AO171" s="13">
        <f t="shared" si="108"/>
        <v>1</v>
      </c>
      <c r="AP171" s="13">
        <f t="shared" si="108"/>
        <v>1</v>
      </c>
      <c r="AQ171" s="13">
        <f t="shared" si="108"/>
        <v>1</v>
      </c>
      <c r="AR171" s="13">
        <f t="shared" si="108"/>
        <v>1</v>
      </c>
      <c r="AS171" s="13">
        <f t="shared" si="108"/>
        <v>1</v>
      </c>
      <c r="AT171" s="13">
        <f t="shared" si="108"/>
        <v>1</v>
      </c>
      <c r="AU171" s="13">
        <f t="shared" si="108"/>
        <v>1</v>
      </c>
      <c r="AV171" s="13">
        <f t="shared" si="77"/>
        <v>1</v>
      </c>
      <c r="AW171" s="13">
        <f t="shared" si="78"/>
        <v>1</v>
      </c>
      <c r="AY171" s="17">
        <f t="shared" si="79"/>
        <v>81</v>
      </c>
      <c r="AZ171" s="28">
        <f t="shared" si="88"/>
        <v>0</v>
      </c>
      <c r="BA171" s="13">
        <f t="shared" si="80"/>
        <v>0</v>
      </c>
      <c r="BB171" s="13">
        <f t="shared" si="81"/>
        <v>0</v>
      </c>
      <c r="BC171" s="28">
        <f t="shared" si="89"/>
        <v>0</v>
      </c>
      <c r="BD171" s="28">
        <f t="shared" si="90"/>
        <v>0</v>
      </c>
      <c r="BF171" s="248">
        <f t="shared" si="91"/>
        <v>981504.83546485926</v>
      </c>
      <c r="BG171" s="36">
        <f t="shared" si="99"/>
        <v>0</v>
      </c>
      <c r="BH171" s="36">
        <f t="shared" si="100"/>
        <v>905151.75610590307</v>
      </c>
      <c r="BI171" s="249">
        <f t="shared" si="101"/>
        <v>4.1816398110932074E-3</v>
      </c>
      <c r="BJ171" s="246">
        <f t="shared" si="102"/>
        <v>2.0857243058891584E-4</v>
      </c>
      <c r="BK171" s="246">
        <f t="shared" si="82"/>
        <v>7.531116566323881E-4</v>
      </c>
      <c r="BL171" s="246">
        <f t="shared" si="103"/>
        <v>0</v>
      </c>
      <c r="BM171" s="246">
        <f t="shared" si="104"/>
        <v>9.6168408722130394E-4</v>
      </c>
      <c r="BN171" s="36">
        <f t="shared" si="92"/>
        <v>872.29003645504793</v>
      </c>
      <c r="BO171" s="36">
        <f t="shared" si="105"/>
        <v>3785.0186184133736</v>
      </c>
      <c r="BP171" s="36">
        <f t="shared" si="106"/>
        <v>908064.4846878614</v>
      </c>
    </row>
    <row r="172" spans="1:68">
      <c r="A172" s="32">
        <f t="shared" si="93"/>
        <v>3</v>
      </c>
      <c r="B172" s="32">
        <f t="shared" si="83"/>
        <v>59</v>
      </c>
      <c r="C172" s="32">
        <f t="shared" si="94"/>
        <v>7</v>
      </c>
      <c r="D172" s="32">
        <f t="shared" si="95"/>
        <v>82</v>
      </c>
      <c r="E172" s="74">
        <f>MIN(IF(AV172=0,0,
IF(Investment_Strategy="DIS",VLOOKUP(Investment_Strategy&amp;"_"&amp;Investment_Strategy_Sub1&amp;"_"&amp;$A172,'Investment Strategies'!$AZ:$BP,12,FALSE),
IF(AND(Investment_Strategy="Lifecycle",Investment_Strategy_Sub1="Non-Standard"),VLOOKUP(Investment_Strategy&amp;"_"&amp;Investment_Strategy_Sub2&amp;"_"&amp;$A172,'Investment Strategies'!$C:$P,9,FALSE),
IF(AND(Investment_Strategy="Lifecycle",Investment_Strategy_Sub1="Standard"),VLOOKUP(Investment_Strategy&amp;"_"&amp;Investment_Strategy_Sub2&amp;"_"&amp;$A172,'Investment Strategies'!$AJ:$AV,8,FALSE),
IF(AND(Investment_Strategy="Autopilot",Investment_Strategy_Sub1="Non-Standard"),VLOOKUP(Investment_Strategy&amp;"_"&amp;Investment_Strategy_Sub2&amp;"_"&amp;$A172,'Investment Strategies'!$T:$AF,8,FALSE),
IF(Investment_Strategy ="DIY",DIY_RateOfReturn_CurrentFunds,
"Error")))))),Max_InvReturn)</f>
        <v>4.1816398110932074E-3</v>
      </c>
      <c r="F172" s="62">
        <f>IF(AV172=0,0,
IF(Investment_Strategy="DIS",VLOOKUP(Investment_Strategy&amp;"_"&amp;Investment_Strategy_Sub1&amp;"_"&amp;$A172,'Investment Strategies'!$AZ:$BP,15,FALSE),
IF(AND(Investment_Strategy="Lifecycle",Investment_Strategy_Sub1="Non-Standard"),VLOOKUP(Investment_Strategy&amp;"_"&amp;Investment_Strategy_Sub2&amp;"_"&amp;$A172,'Investment Strategies'!$C:$P,12,FALSE),
IF(AND(Investment_Strategy="Lifecycle",Investment_Strategy_Sub1="Standard"),VLOOKUP(Investment_Strategy&amp;"_"&amp;Investment_Strategy_Sub2&amp;"_"&amp;$A172,'Investment Strategies'!$AJ:$AV,11,FALSE),
IF(AND(Investment_Strategy="Autopilot",Investment_Strategy_Sub1="Non-Standard"),VLOOKUP(Investment_Strategy&amp;"_"&amp;Investment_Strategy_Sub2&amp;"_"&amp;$A172,'Investment Strategies'!$T:$AF,11,FALSE),
IF(Investment_Strategy="DIY",DIY_GteeChrge_CurrentFunds,
"Error"))))))</f>
        <v>5.4328711526985263E-4</v>
      </c>
      <c r="G172" s="33">
        <f>IF(AV172=0,0,
IF(Investment_Strategy="DIS",VLOOKUP(Investment_Strategy&amp;"_"&amp;Investment_Strategy_Sub1&amp;"_"&amp;$A172,'Investment Strategies'!$AZ:$BP,17,FALSE),
IF(AND(Investment_Strategy="Lifecycle",Investment_Strategy_Sub1="Non-Standard"),VLOOKUP(Investment_Strategy&amp;"_"&amp;Investment_Strategy_Sub2&amp;"_"&amp;$A172,'Investment Strategies'!$C:$P,14,FALSE),
IF(AND(Investment_Strategy="Lifecycle",Investment_Strategy_Sub1="Standard"),VLOOKUP(Investment_Strategy&amp;"_"&amp;Investment_Strategy_Sub2&amp;"_"&amp;$A172,'Investment Strategies'!$AJ:$AV,13,FALSE),
IF(AND(Investment_Strategy="Autopilot",Investment_Strategy_Sub1="Non-Standard"),VLOOKUP(Investment_Strategy&amp;"_"&amp;Investment_Strategy_Sub2&amp;"_"&amp;$A172,'Investment Strategies'!$T:$AF,13,FALSE),
IF(Investment_Strategy="DIY",DIY_ExtManChrge_CurrentFunds,
"Error"))))))</f>
        <v>2.0857243058891584E-4</v>
      </c>
      <c r="H172" s="16">
        <f t="shared" si="84"/>
        <v>0</v>
      </c>
      <c r="I172" s="16">
        <f t="shared" si="68"/>
        <v>0</v>
      </c>
      <c r="J172" s="16">
        <f t="shared" si="69"/>
        <v>0</v>
      </c>
      <c r="K172" s="16">
        <f>(Opening_Fund_Value+SUM(K$91:K171))*E172*IF(D172=$A$91,SRP_finalmonthfactor,1)</f>
        <v>0</v>
      </c>
      <c r="L172" s="74">
        <f>MIN(IF($AV172=0,0,
IF(Investment_Strategy="DIS",VLOOKUP(Investment_Strategy&amp;"_"&amp;Investment_Strategy_Sub1&amp;"_"&amp;$A172,'Investment Strategies'!$AZ:$BP,12,FALSE),
IF(AND(Investment_Strategy="Lifecycle",Investment_Strategy_Sub1="Non-Standard"),VLOOKUP(Investment_Strategy&amp;"_"&amp;Investment_Strategy_Sub2&amp;"_"&amp;$A172,'Investment Strategies'!$C:$P,9,FALSE),
IF(AND(Investment_Strategy="Lifecycle",Investment_Strategy_Sub1="Standard"),VLOOKUP(Investment_Strategy&amp;"_"&amp;Investment_Strategy_Sub2&amp;"_"&amp;$A172,'Investment Strategies'!$AJ:$AV,8,FALSE),
IF(AND(Investment_Strategy="Autopilot",Investment_Strategy_Sub1="Non-Standard"),VLOOKUP(Investment_Strategy&amp;"_"&amp;Investment_Strategy_Sub2&amp;"_"&amp;$A172,'Investment Strategies'!$T:$AF,8,FALSE),
IF(Investment_Strategy ="DIY",DIY_RateofReturn_SP,
"Error")))))),Max_InvReturn)</f>
        <v>4.1816398110932074E-3</v>
      </c>
      <c r="M172" s="62">
        <f>IF($AV172=0,0,
IF(Investment_Strategy="DIS",VLOOKUP(Investment_Strategy&amp;"_"&amp;Investment_Strategy_Sub1&amp;"_"&amp;$A172,'Investment Strategies'!$AZ:$BP,15,FALSE),
IF(AND(Investment_Strategy="Lifecycle",Investment_Strategy_Sub1="Non-Standard"),VLOOKUP(Investment_Strategy&amp;"_"&amp;Investment_Strategy_Sub2&amp;"_"&amp;$A172,'Investment Strategies'!$C:$P,12,FALSE),
IF(AND(Investment_Strategy="Lifecycle",Investment_Strategy_Sub1="Standard"),VLOOKUP(Investment_Strategy&amp;"_"&amp;Investment_Strategy_Sub2&amp;"_"&amp;$A172,'Investment Strategies'!$AJ:$AV,11,FALSE),
IF(AND(Investment_Strategy="Autopilot",Investment_Strategy_Sub1="Non-Standard"),VLOOKUP(Investment_Strategy&amp;"_"&amp;Investment_Strategy_Sub2&amp;"_"&amp;$A172,'Investment Strategies'!$T:$AF,11,FALSE),
IF(Investment_Strategy="DIY",DIY_GteeChrge_SP,
"Error"))))))</f>
        <v>0</v>
      </c>
      <c r="N172" s="33">
        <f>IF($AV172=0,0,
IF(Investment_Strategy="DIS",VLOOKUP(Investment_Strategy&amp;"_"&amp;Investment_Strategy_Sub1&amp;"_"&amp;$A172,'Investment Strategies'!$AZ:$BP,17,FALSE),
IF(AND(Investment_Strategy="Lifecycle",Investment_Strategy_Sub1="Non-Standard"),VLOOKUP(Investment_Strategy&amp;"_"&amp;Investment_Strategy_Sub2&amp;"_"&amp;$A172,'Investment Strategies'!$C:$P,14,FALSE),
IF(AND(Investment_Strategy="Lifecycle",Investment_Strategy_Sub1="Standard"),VLOOKUP(Investment_Strategy&amp;"_"&amp;Investment_Strategy_Sub2&amp;"_"&amp;$A172,'Investment Strategies'!$AJ:$AV,13,FALSE),
IF(AND(Investment_Strategy="Autopilot",Investment_Strategy_Sub1="Non-Standard"),VLOOKUP(Investment_Strategy&amp;"_"&amp;Investment_Strategy_Sub2&amp;"_"&amp;$A172,'Investment Strategies'!$T:$AF,13,FALSE),
IF(Investment_Strategy="DIY",DIY_ExtManChrge_SP,
"Error"))))))</f>
        <v>2.0857243058891584E-4</v>
      </c>
      <c r="O172" s="16">
        <f t="shared" si="96"/>
        <v>908064.4846878614</v>
      </c>
      <c r="Q172" s="16">
        <f t="shared" si="70"/>
        <v>3797.1986002105996</v>
      </c>
      <c r="R172" s="16">
        <f t="shared" si="71"/>
        <v>-875.0970178300505</v>
      </c>
      <c r="S172" s="16">
        <f>(SRP_SP+SUM(S$91:S171))*L172*IF(D172=$A$91,SRP_finalmonthfactor,1)</f>
        <v>4104.2996947603415</v>
      </c>
      <c r="T172" s="74">
        <f>MIN(IF($AV172=0,0,
IF(Investment_Strategy="DIS",VLOOKUP(Investment_Strategy&amp;"_"&amp;Investment_Strategy_Sub1&amp;"_"&amp;$A172,'Investment Strategies'!$AZ:$BP,12,FALSE),
IF(AND(Investment_Strategy="Lifecycle",Investment_Strategy_Sub1="Non-Standard"),VLOOKUP(Investment_Strategy&amp;"_"&amp;Investment_Strategy_Sub2&amp;"_"&amp;$A172,'Investment Strategies'!$C:$P,9,FALSE),
IF(AND(Investment_Strategy="Lifecycle",Investment_Strategy_Sub1="Standard"),VLOOKUP(Investment_Strategy&amp;"_"&amp;Investment_Strategy_Sub2&amp;"_"&amp;$A172,'Investment Strategies'!$AJ:$AV,8,FALSE),
IF(AND(Investment_Strategy="Autopilot",Investment_Strategy_Sub1="Non-Standard"),VLOOKUP(Investment_Strategy&amp;"_"&amp;Investment_Strategy_Sub2&amp;"_"&amp;$A172,'Investment Strategies'!$T:$AF,8,FALSE),
IF(Investment_Strategy ="DIY",DIY_RateOfReturn_FuturePremiums,
"Error")))))),Max_InvReturn)</f>
        <v>4.1816398110932074E-3</v>
      </c>
      <c r="U172" s="62">
        <f>IF($AV172=0,0,
IF(Investment_Strategy="DIS",VLOOKUP(Investment_Strategy&amp;"_"&amp;Investment_Strategy_Sub1&amp;"_"&amp;$A172,'Investment Strategies'!$AZ:$BP,15,FALSE),
IF(AND(Investment_Strategy="Lifecycle",Investment_Strategy_Sub1="Non-Standard"),VLOOKUP(Investment_Strategy&amp;"_"&amp;Investment_Strategy_Sub2&amp;"_"&amp;$A172,'Investment Strategies'!$C:$P,12,FALSE),
IF(AND(Investment_Strategy="Lifecycle",Investment_Strategy_Sub1="Standard"),VLOOKUP(Investment_Strategy&amp;"_"&amp;Investment_Strategy_Sub2&amp;"_"&amp;$A172,'Investment Strategies'!$AJ:$AV,11,FALSE),
IF(AND(Investment_Strategy="Autopilot",Investment_Strategy_Sub1="Non-Standard"),VLOOKUP(Investment_Strategy&amp;"_"&amp;Investment_Strategy_Sub2&amp;"_"&amp;$A172,'Investment Strategies'!$T:$AF,11,FALSE),
IF(Investment_Strategy="DIY",DIY_GteeChrge_FuturePremiums,
"Error"))))))</f>
        <v>0</v>
      </c>
      <c r="V172" s="33">
        <f>IF(AV172=0,0,
IF(Investment_Strategy="DIS",VLOOKUP(Investment_Strategy&amp;"_"&amp;Investment_Strategy_Sub1&amp;"_"&amp;$A172,'Investment Strategies'!$AZ:$BP,17,FALSE),
IF(AND(Investment_Strategy="Lifecycle",Investment_Strategy_Sub1="Non-Standard"),VLOOKUP(Investment_Strategy&amp;"_"&amp;Investment_Strategy_Sub2&amp;"_"&amp;$A172,'Investment Strategies'!$C:$P,14,FALSE),
IF(AND(Investment_Strategy="Lifecycle",Investment_Strategy_Sub1="Standard"),VLOOKUP(Investment_Strategy&amp;"_"&amp;Investment_Strategy_Sub2&amp;"_"&amp;$A172,'Investment Strategies'!$AJ:$AV,13,FALSE),
IF(AND(Investment_Strategy="Autopilot",Investment_Strategy_Sub1="Non-Standard"),VLOOKUP(Investment_Strategy&amp;"_"&amp;Investment_Strategy_Sub2&amp;"_"&amp;$A172,'Investment Strategies'!$T:$AF,13,FALSE),
IF(Investment_Strategy="DIY",DIY_ExtManChrge_FuturePremiums,
"Error"))))))</f>
        <v>1.2508601994698498E-4</v>
      </c>
      <c r="W172" s="16">
        <f t="shared" si="97"/>
        <v>0</v>
      </c>
      <c r="X172" s="16">
        <f t="shared" si="72"/>
        <v>0</v>
      </c>
      <c r="Y172" s="16">
        <f t="shared" si="73"/>
        <v>0</v>
      </c>
      <c r="Z172" s="31">
        <f t="shared" si="74"/>
        <v>0.02</v>
      </c>
      <c r="AA172" s="16">
        <f t="shared" si="75"/>
        <v>0</v>
      </c>
      <c r="AB172" s="28">
        <f t="shared" si="98"/>
        <v>981504.83546485926</v>
      </c>
      <c r="AC172" s="28">
        <f>(SUM($AC$91:AC171)+SUM($X$91:X171)+X172)*T172*IF(D172=$A$91,SRP_finalmonthfactor,1)</f>
        <v>0</v>
      </c>
      <c r="AD172" s="16">
        <f t="shared" si="76"/>
        <v>-189.79321217355599</v>
      </c>
      <c r="AE172" s="106"/>
      <c r="AF172" s="16">
        <f t="shared" si="85"/>
        <v>908064.4846878614</v>
      </c>
      <c r="AG172" s="16">
        <f t="shared" si="86"/>
        <v>4104.2996947603415</v>
      </c>
      <c r="AH172" s="16">
        <f t="shared" si="87"/>
        <v>-875.0970178300505</v>
      </c>
      <c r="AJ172" s="13">
        <f t="shared" si="108"/>
        <v>0</v>
      </c>
      <c r="AK172" s="13">
        <f t="shared" si="108"/>
        <v>0</v>
      </c>
      <c r="AL172" s="13">
        <f t="shared" si="108"/>
        <v>0</v>
      </c>
      <c r="AM172" s="13">
        <f t="shared" si="108"/>
        <v>0</v>
      </c>
      <c r="AN172" s="13">
        <f t="shared" si="108"/>
        <v>0</v>
      </c>
      <c r="AO172" s="13">
        <f t="shared" si="108"/>
        <v>1</v>
      </c>
      <c r="AP172" s="13">
        <f t="shared" si="108"/>
        <v>1</v>
      </c>
      <c r="AQ172" s="13">
        <f t="shared" si="108"/>
        <v>1</v>
      </c>
      <c r="AR172" s="13">
        <f t="shared" si="108"/>
        <v>1</v>
      </c>
      <c r="AS172" s="13">
        <f t="shared" si="108"/>
        <v>1</v>
      </c>
      <c r="AT172" s="13">
        <f t="shared" si="108"/>
        <v>1</v>
      </c>
      <c r="AU172" s="13">
        <f t="shared" si="108"/>
        <v>1</v>
      </c>
      <c r="AV172" s="13">
        <f t="shared" si="77"/>
        <v>1</v>
      </c>
      <c r="AW172" s="13">
        <f t="shared" si="78"/>
        <v>1</v>
      </c>
      <c r="AY172" s="17">
        <f t="shared" si="79"/>
        <v>82</v>
      </c>
      <c r="AZ172" s="28">
        <f t="shared" si="88"/>
        <v>0</v>
      </c>
      <c r="BA172" s="13">
        <f t="shared" si="80"/>
        <v>0</v>
      </c>
      <c r="BB172" s="13">
        <f t="shared" si="81"/>
        <v>0</v>
      </c>
      <c r="BC172" s="28">
        <f t="shared" si="89"/>
        <v>0</v>
      </c>
      <c r="BD172" s="28">
        <f t="shared" si="90"/>
        <v>0</v>
      </c>
      <c r="BF172" s="248">
        <f t="shared" si="91"/>
        <v>985609.13515961962</v>
      </c>
      <c r="BG172" s="36">
        <f t="shared" si="99"/>
        <v>0</v>
      </c>
      <c r="BH172" s="36">
        <f t="shared" si="100"/>
        <v>908064.4846878614</v>
      </c>
      <c r="BI172" s="249">
        <f t="shared" si="101"/>
        <v>4.1816398110932074E-3</v>
      </c>
      <c r="BJ172" s="246">
        <f t="shared" si="102"/>
        <v>2.0857243058891584E-4</v>
      </c>
      <c r="BK172" s="246">
        <f t="shared" si="82"/>
        <v>7.531116566323881E-4</v>
      </c>
      <c r="BL172" s="246">
        <f t="shared" si="103"/>
        <v>0</v>
      </c>
      <c r="BM172" s="246">
        <f t="shared" si="104"/>
        <v>9.6168408722130394E-4</v>
      </c>
      <c r="BN172" s="36">
        <f t="shared" si="92"/>
        <v>875.09701783005039</v>
      </c>
      <c r="BO172" s="36">
        <f t="shared" si="105"/>
        <v>3797.1986002105996</v>
      </c>
      <c r="BP172" s="36">
        <f t="shared" si="106"/>
        <v>910986.586270242</v>
      </c>
    </row>
    <row r="173" spans="1:68">
      <c r="A173" s="32">
        <f t="shared" si="93"/>
        <v>2</v>
      </c>
      <c r="B173" s="32">
        <f t="shared" si="83"/>
        <v>59</v>
      </c>
      <c r="C173" s="32">
        <f t="shared" si="94"/>
        <v>7</v>
      </c>
      <c r="D173" s="32">
        <f t="shared" si="95"/>
        <v>83</v>
      </c>
      <c r="E173" s="74">
        <f>MIN(IF(AV173=0,0,
IF(Investment_Strategy="DIS",VLOOKUP(Investment_Strategy&amp;"_"&amp;Investment_Strategy_Sub1&amp;"_"&amp;$A173,'Investment Strategies'!$AZ:$BP,12,FALSE),
IF(AND(Investment_Strategy="Lifecycle",Investment_Strategy_Sub1="Non-Standard"),VLOOKUP(Investment_Strategy&amp;"_"&amp;Investment_Strategy_Sub2&amp;"_"&amp;$A173,'Investment Strategies'!$C:$P,9,FALSE),
IF(AND(Investment_Strategy="Lifecycle",Investment_Strategy_Sub1="Standard"),VLOOKUP(Investment_Strategy&amp;"_"&amp;Investment_Strategy_Sub2&amp;"_"&amp;$A173,'Investment Strategies'!$AJ:$AV,8,FALSE),
IF(AND(Investment_Strategy="Autopilot",Investment_Strategy_Sub1="Non-Standard"),VLOOKUP(Investment_Strategy&amp;"_"&amp;Investment_Strategy_Sub2&amp;"_"&amp;$A173,'Investment Strategies'!$T:$AF,8,FALSE),
IF(Investment_Strategy ="DIY",DIY_RateOfReturn_CurrentFunds,
"Error")))))),Max_InvReturn)</f>
        <v>4.1816398110932074E-3</v>
      </c>
      <c r="F173" s="62">
        <f>IF(AV173=0,0,
IF(Investment_Strategy="DIS",VLOOKUP(Investment_Strategy&amp;"_"&amp;Investment_Strategy_Sub1&amp;"_"&amp;$A173,'Investment Strategies'!$AZ:$BP,15,FALSE),
IF(AND(Investment_Strategy="Lifecycle",Investment_Strategy_Sub1="Non-Standard"),VLOOKUP(Investment_Strategy&amp;"_"&amp;Investment_Strategy_Sub2&amp;"_"&amp;$A173,'Investment Strategies'!$C:$P,12,FALSE),
IF(AND(Investment_Strategy="Lifecycle",Investment_Strategy_Sub1="Standard"),VLOOKUP(Investment_Strategy&amp;"_"&amp;Investment_Strategy_Sub2&amp;"_"&amp;$A173,'Investment Strategies'!$AJ:$AV,11,FALSE),
IF(AND(Investment_Strategy="Autopilot",Investment_Strategy_Sub1="Non-Standard"),VLOOKUP(Investment_Strategy&amp;"_"&amp;Investment_Strategy_Sub2&amp;"_"&amp;$A173,'Investment Strategies'!$T:$AF,11,FALSE),
IF(Investment_Strategy="DIY",DIY_GteeChrge_CurrentFunds,
"Error"))))))</f>
        <v>5.4328711526985263E-4</v>
      </c>
      <c r="G173" s="33">
        <f>IF(AV173=0,0,
IF(Investment_Strategy="DIS",VLOOKUP(Investment_Strategy&amp;"_"&amp;Investment_Strategy_Sub1&amp;"_"&amp;$A173,'Investment Strategies'!$AZ:$BP,17,FALSE),
IF(AND(Investment_Strategy="Lifecycle",Investment_Strategy_Sub1="Non-Standard"),VLOOKUP(Investment_Strategy&amp;"_"&amp;Investment_Strategy_Sub2&amp;"_"&amp;$A173,'Investment Strategies'!$C:$P,14,FALSE),
IF(AND(Investment_Strategy="Lifecycle",Investment_Strategy_Sub1="Standard"),VLOOKUP(Investment_Strategy&amp;"_"&amp;Investment_Strategy_Sub2&amp;"_"&amp;$A173,'Investment Strategies'!$AJ:$AV,13,FALSE),
IF(AND(Investment_Strategy="Autopilot",Investment_Strategy_Sub1="Non-Standard"),VLOOKUP(Investment_Strategy&amp;"_"&amp;Investment_Strategy_Sub2&amp;"_"&amp;$A173,'Investment Strategies'!$T:$AF,13,FALSE),
IF(Investment_Strategy="DIY",DIY_ExtManChrge_CurrentFunds,
"Error"))))))</f>
        <v>2.0857243058891584E-4</v>
      </c>
      <c r="H173" s="16">
        <f t="shared" si="84"/>
        <v>0</v>
      </c>
      <c r="I173" s="16">
        <f t="shared" si="68"/>
        <v>0</v>
      </c>
      <c r="J173" s="16">
        <f t="shared" si="69"/>
        <v>0</v>
      </c>
      <c r="K173" s="16">
        <f>(Opening_Fund_Value+SUM(K$91:K172))*E173*IF(D173=$A$91,SRP_finalmonthfactor,1)</f>
        <v>0</v>
      </c>
      <c r="L173" s="74">
        <f>MIN(IF($AV173=0,0,
IF(Investment_Strategy="DIS",VLOOKUP(Investment_Strategy&amp;"_"&amp;Investment_Strategy_Sub1&amp;"_"&amp;$A173,'Investment Strategies'!$AZ:$BP,12,FALSE),
IF(AND(Investment_Strategy="Lifecycle",Investment_Strategy_Sub1="Non-Standard"),VLOOKUP(Investment_Strategy&amp;"_"&amp;Investment_Strategy_Sub2&amp;"_"&amp;$A173,'Investment Strategies'!$C:$P,9,FALSE),
IF(AND(Investment_Strategy="Lifecycle",Investment_Strategy_Sub1="Standard"),VLOOKUP(Investment_Strategy&amp;"_"&amp;Investment_Strategy_Sub2&amp;"_"&amp;$A173,'Investment Strategies'!$AJ:$AV,8,FALSE),
IF(AND(Investment_Strategy="Autopilot",Investment_Strategy_Sub1="Non-Standard"),VLOOKUP(Investment_Strategy&amp;"_"&amp;Investment_Strategy_Sub2&amp;"_"&amp;$A173,'Investment Strategies'!$T:$AF,8,FALSE),
IF(Investment_Strategy ="DIY",DIY_RateofReturn_SP,
"Error")))))),Max_InvReturn)</f>
        <v>4.1816398110932074E-3</v>
      </c>
      <c r="M173" s="62">
        <f>IF($AV173=0,0,
IF(Investment_Strategy="DIS",VLOOKUP(Investment_Strategy&amp;"_"&amp;Investment_Strategy_Sub1&amp;"_"&amp;$A173,'Investment Strategies'!$AZ:$BP,15,FALSE),
IF(AND(Investment_Strategy="Lifecycle",Investment_Strategy_Sub1="Non-Standard"),VLOOKUP(Investment_Strategy&amp;"_"&amp;Investment_Strategy_Sub2&amp;"_"&amp;$A173,'Investment Strategies'!$C:$P,12,FALSE),
IF(AND(Investment_Strategy="Lifecycle",Investment_Strategy_Sub1="Standard"),VLOOKUP(Investment_Strategy&amp;"_"&amp;Investment_Strategy_Sub2&amp;"_"&amp;$A173,'Investment Strategies'!$AJ:$AV,11,FALSE),
IF(AND(Investment_Strategy="Autopilot",Investment_Strategy_Sub1="Non-Standard"),VLOOKUP(Investment_Strategy&amp;"_"&amp;Investment_Strategy_Sub2&amp;"_"&amp;$A173,'Investment Strategies'!$T:$AF,11,FALSE),
IF(Investment_Strategy="DIY",DIY_GteeChrge_SP,
"Error"))))))</f>
        <v>0</v>
      </c>
      <c r="N173" s="33">
        <f>IF($AV173=0,0,
IF(Investment_Strategy="DIS",VLOOKUP(Investment_Strategy&amp;"_"&amp;Investment_Strategy_Sub1&amp;"_"&amp;$A173,'Investment Strategies'!$AZ:$BP,17,FALSE),
IF(AND(Investment_Strategy="Lifecycle",Investment_Strategy_Sub1="Non-Standard"),VLOOKUP(Investment_Strategy&amp;"_"&amp;Investment_Strategy_Sub2&amp;"_"&amp;$A173,'Investment Strategies'!$C:$P,14,FALSE),
IF(AND(Investment_Strategy="Lifecycle",Investment_Strategy_Sub1="Standard"),VLOOKUP(Investment_Strategy&amp;"_"&amp;Investment_Strategy_Sub2&amp;"_"&amp;$A173,'Investment Strategies'!$AJ:$AV,13,FALSE),
IF(AND(Investment_Strategy="Autopilot",Investment_Strategy_Sub1="Non-Standard"),VLOOKUP(Investment_Strategy&amp;"_"&amp;Investment_Strategy_Sub2&amp;"_"&amp;$A173,'Investment Strategies'!$T:$AF,13,FALSE),
IF(Investment_Strategy="DIY",DIY_ExtManChrge_SP,
"Error"))))))</f>
        <v>2.0857243058891584E-4</v>
      </c>
      <c r="O173" s="16">
        <f t="shared" si="96"/>
        <v>910986.586270242</v>
      </c>
      <c r="Q173" s="16">
        <f t="shared" si="70"/>
        <v>3809.4177765195404</v>
      </c>
      <c r="R173" s="16">
        <f t="shared" si="71"/>
        <v>-877.91303191677764</v>
      </c>
      <c r="S173" s="16">
        <f>(SRP_SP+SUM(S$91:S172))*L173*IF(D173=$A$91,SRP_finalmonthfactor,1)</f>
        <v>4121.4623977606097</v>
      </c>
      <c r="T173" s="74">
        <f>MIN(IF($AV173=0,0,
IF(Investment_Strategy="DIS",VLOOKUP(Investment_Strategy&amp;"_"&amp;Investment_Strategy_Sub1&amp;"_"&amp;$A173,'Investment Strategies'!$AZ:$BP,12,FALSE),
IF(AND(Investment_Strategy="Lifecycle",Investment_Strategy_Sub1="Non-Standard"),VLOOKUP(Investment_Strategy&amp;"_"&amp;Investment_Strategy_Sub2&amp;"_"&amp;$A173,'Investment Strategies'!$C:$P,9,FALSE),
IF(AND(Investment_Strategy="Lifecycle",Investment_Strategy_Sub1="Standard"),VLOOKUP(Investment_Strategy&amp;"_"&amp;Investment_Strategy_Sub2&amp;"_"&amp;$A173,'Investment Strategies'!$AJ:$AV,8,FALSE),
IF(AND(Investment_Strategy="Autopilot",Investment_Strategy_Sub1="Non-Standard"),VLOOKUP(Investment_Strategy&amp;"_"&amp;Investment_Strategy_Sub2&amp;"_"&amp;$A173,'Investment Strategies'!$T:$AF,8,FALSE),
IF(Investment_Strategy ="DIY",DIY_RateOfReturn_FuturePremiums,
"Error")))))),Max_InvReturn)</f>
        <v>4.1816398110932074E-3</v>
      </c>
      <c r="U173" s="62">
        <f>IF($AV173=0,0,
IF(Investment_Strategy="DIS",VLOOKUP(Investment_Strategy&amp;"_"&amp;Investment_Strategy_Sub1&amp;"_"&amp;$A173,'Investment Strategies'!$AZ:$BP,15,FALSE),
IF(AND(Investment_Strategy="Lifecycle",Investment_Strategy_Sub1="Non-Standard"),VLOOKUP(Investment_Strategy&amp;"_"&amp;Investment_Strategy_Sub2&amp;"_"&amp;$A173,'Investment Strategies'!$C:$P,12,FALSE),
IF(AND(Investment_Strategy="Lifecycle",Investment_Strategy_Sub1="Standard"),VLOOKUP(Investment_Strategy&amp;"_"&amp;Investment_Strategy_Sub2&amp;"_"&amp;$A173,'Investment Strategies'!$AJ:$AV,11,FALSE),
IF(AND(Investment_Strategy="Autopilot",Investment_Strategy_Sub1="Non-Standard"),VLOOKUP(Investment_Strategy&amp;"_"&amp;Investment_Strategy_Sub2&amp;"_"&amp;$A173,'Investment Strategies'!$T:$AF,11,FALSE),
IF(Investment_Strategy="DIY",DIY_GteeChrge_FuturePremiums,
"Error"))))))</f>
        <v>0</v>
      </c>
      <c r="V173" s="33">
        <f>IF(AV173=0,0,
IF(Investment_Strategy="DIS",VLOOKUP(Investment_Strategy&amp;"_"&amp;Investment_Strategy_Sub1&amp;"_"&amp;$A173,'Investment Strategies'!$AZ:$BP,17,FALSE),
IF(AND(Investment_Strategy="Lifecycle",Investment_Strategy_Sub1="Non-Standard"),VLOOKUP(Investment_Strategy&amp;"_"&amp;Investment_Strategy_Sub2&amp;"_"&amp;$A173,'Investment Strategies'!$C:$P,14,FALSE),
IF(AND(Investment_Strategy="Lifecycle",Investment_Strategy_Sub1="Standard"),VLOOKUP(Investment_Strategy&amp;"_"&amp;Investment_Strategy_Sub2&amp;"_"&amp;$A173,'Investment Strategies'!$AJ:$AV,13,FALSE),
IF(AND(Investment_Strategy="Autopilot",Investment_Strategy_Sub1="Non-Standard"),VLOOKUP(Investment_Strategy&amp;"_"&amp;Investment_Strategy_Sub2&amp;"_"&amp;$A173,'Investment Strategies'!$T:$AF,13,FALSE),
IF(Investment_Strategy="DIY",DIY_ExtManChrge_FuturePremiums,
"Error"))))))</f>
        <v>1.2508601994698498E-4</v>
      </c>
      <c r="W173" s="16">
        <f t="shared" si="97"/>
        <v>0</v>
      </c>
      <c r="X173" s="16">
        <f t="shared" si="72"/>
        <v>0</v>
      </c>
      <c r="Y173" s="16">
        <f t="shared" si="73"/>
        <v>0</v>
      </c>
      <c r="Z173" s="31">
        <f t="shared" si="74"/>
        <v>0.02</v>
      </c>
      <c r="AA173" s="16">
        <f t="shared" si="75"/>
        <v>0</v>
      </c>
      <c r="AB173" s="28">
        <f t="shared" si="98"/>
        <v>985609.13515961962</v>
      </c>
      <c r="AC173" s="28">
        <f>(SUM($AC$91:AC172)+SUM($X$91:X172)+X173)*T173*IF(D173=$A$91,SRP_finalmonthfactor,1)</f>
        <v>0</v>
      </c>
      <c r="AD173" s="16">
        <f t="shared" si="76"/>
        <v>-190.40395629467207</v>
      </c>
      <c r="AE173" s="106"/>
      <c r="AF173" s="16">
        <f t="shared" si="85"/>
        <v>910986.586270242</v>
      </c>
      <c r="AG173" s="16">
        <f t="shared" si="86"/>
        <v>4121.4623977606097</v>
      </c>
      <c r="AH173" s="16">
        <f t="shared" si="87"/>
        <v>-877.91303191677764</v>
      </c>
      <c r="AI173" s="246"/>
      <c r="AJ173" s="13">
        <f t="shared" si="108"/>
        <v>0</v>
      </c>
      <c r="AK173" s="13">
        <f t="shared" si="108"/>
        <v>0</v>
      </c>
      <c r="AL173" s="13">
        <f t="shared" si="108"/>
        <v>0</v>
      </c>
      <c r="AM173" s="13">
        <f t="shared" si="108"/>
        <v>0</v>
      </c>
      <c r="AN173" s="13">
        <f t="shared" si="108"/>
        <v>0</v>
      </c>
      <c r="AO173" s="13">
        <f t="shared" si="108"/>
        <v>1</v>
      </c>
      <c r="AP173" s="13">
        <f t="shared" si="108"/>
        <v>1</v>
      </c>
      <c r="AQ173" s="13">
        <f t="shared" si="108"/>
        <v>1</v>
      </c>
      <c r="AR173" s="13">
        <f t="shared" si="108"/>
        <v>1</v>
      </c>
      <c r="AS173" s="13">
        <f t="shared" si="108"/>
        <v>1</v>
      </c>
      <c r="AT173" s="13">
        <f t="shared" si="108"/>
        <v>1</v>
      </c>
      <c r="AU173" s="13">
        <f t="shared" si="108"/>
        <v>1</v>
      </c>
      <c r="AV173" s="13">
        <f t="shared" si="77"/>
        <v>1</v>
      </c>
      <c r="AW173" s="13">
        <f t="shared" si="78"/>
        <v>1</v>
      </c>
      <c r="AY173" s="17">
        <f t="shared" si="79"/>
        <v>83</v>
      </c>
      <c r="AZ173" s="28">
        <f t="shared" si="88"/>
        <v>0</v>
      </c>
      <c r="BA173" s="13">
        <f t="shared" si="80"/>
        <v>0</v>
      </c>
      <c r="BB173" s="13">
        <f t="shared" si="81"/>
        <v>0</v>
      </c>
      <c r="BC173" s="28">
        <f t="shared" si="89"/>
        <v>0</v>
      </c>
      <c r="BD173" s="28">
        <f t="shared" si="90"/>
        <v>0</v>
      </c>
      <c r="BF173" s="248">
        <f t="shared" si="91"/>
        <v>989730.59755738021</v>
      </c>
      <c r="BG173" s="36">
        <f t="shared" si="99"/>
        <v>0</v>
      </c>
      <c r="BH173" s="36">
        <f t="shared" si="100"/>
        <v>910986.586270242</v>
      </c>
      <c r="BI173" s="249">
        <f t="shared" si="101"/>
        <v>4.1816398110932074E-3</v>
      </c>
      <c r="BJ173" s="246">
        <f t="shared" si="102"/>
        <v>2.0857243058891584E-4</v>
      </c>
      <c r="BK173" s="246">
        <f t="shared" si="82"/>
        <v>7.531116566323881E-4</v>
      </c>
      <c r="BL173" s="246">
        <f t="shared" si="103"/>
        <v>0</v>
      </c>
      <c r="BM173" s="246">
        <f t="shared" si="104"/>
        <v>9.6168408722130394E-4</v>
      </c>
      <c r="BN173" s="36">
        <f t="shared" si="92"/>
        <v>877.91303191677764</v>
      </c>
      <c r="BO173" s="36">
        <f t="shared" si="105"/>
        <v>3809.4177765195404</v>
      </c>
      <c r="BP173" s="36">
        <f t="shared" si="106"/>
        <v>913918.09101484471</v>
      </c>
    </row>
    <row r="174" spans="1:68">
      <c r="A174" s="32">
        <f t="shared" si="93"/>
        <v>1</v>
      </c>
      <c r="B174" s="32">
        <f t="shared" si="83"/>
        <v>59</v>
      </c>
      <c r="C174" s="32">
        <f t="shared" si="94"/>
        <v>7</v>
      </c>
      <c r="D174" s="32">
        <f t="shared" si="95"/>
        <v>84</v>
      </c>
      <c r="E174" s="74">
        <f>MIN(IF(AV174=0,0,
IF(Investment_Strategy="DIS",VLOOKUP(Investment_Strategy&amp;"_"&amp;Investment_Strategy_Sub1&amp;"_"&amp;$A174,'Investment Strategies'!$AZ:$BP,12,FALSE),
IF(AND(Investment_Strategy="Lifecycle",Investment_Strategy_Sub1="Non-Standard"),VLOOKUP(Investment_Strategy&amp;"_"&amp;Investment_Strategy_Sub2&amp;"_"&amp;$A174,'Investment Strategies'!$C:$P,9,FALSE),
IF(AND(Investment_Strategy="Lifecycle",Investment_Strategy_Sub1="Standard"),VLOOKUP(Investment_Strategy&amp;"_"&amp;Investment_Strategy_Sub2&amp;"_"&amp;$A174,'Investment Strategies'!$AJ:$AV,8,FALSE),
IF(AND(Investment_Strategy="Autopilot",Investment_Strategy_Sub1="Non-Standard"),VLOOKUP(Investment_Strategy&amp;"_"&amp;Investment_Strategy_Sub2&amp;"_"&amp;$A174,'Investment Strategies'!$T:$AF,8,FALSE),
IF(Investment_Strategy ="DIY",DIY_RateOfReturn_CurrentFunds,
"Error")))))),Max_InvReturn)</f>
        <v>4.1816398110932074E-3</v>
      </c>
      <c r="F174" s="62">
        <f>IF(AV174=0,0,
IF(Investment_Strategy="DIS",VLOOKUP(Investment_Strategy&amp;"_"&amp;Investment_Strategy_Sub1&amp;"_"&amp;$A174,'Investment Strategies'!$AZ:$BP,15,FALSE),
IF(AND(Investment_Strategy="Lifecycle",Investment_Strategy_Sub1="Non-Standard"),VLOOKUP(Investment_Strategy&amp;"_"&amp;Investment_Strategy_Sub2&amp;"_"&amp;$A174,'Investment Strategies'!$C:$P,12,FALSE),
IF(AND(Investment_Strategy="Lifecycle",Investment_Strategy_Sub1="Standard"),VLOOKUP(Investment_Strategy&amp;"_"&amp;Investment_Strategy_Sub2&amp;"_"&amp;$A174,'Investment Strategies'!$AJ:$AV,11,FALSE),
IF(AND(Investment_Strategy="Autopilot",Investment_Strategy_Sub1="Non-Standard"),VLOOKUP(Investment_Strategy&amp;"_"&amp;Investment_Strategy_Sub2&amp;"_"&amp;$A174,'Investment Strategies'!$T:$AF,11,FALSE),
IF(Investment_Strategy="DIY",DIY_GteeChrge_CurrentFunds,
"Error"))))))</f>
        <v>5.4328711526985263E-4</v>
      </c>
      <c r="G174" s="33">
        <f>IF(AV174=0,0,
IF(Investment_Strategy="DIS",VLOOKUP(Investment_Strategy&amp;"_"&amp;Investment_Strategy_Sub1&amp;"_"&amp;$A174,'Investment Strategies'!$AZ:$BP,17,FALSE),
IF(AND(Investment_Strategy="Lifecycle",Investment_Strategy_Sub1="Non-Standard"),VLOOKUP(Investment_Strategy&amp;"_"&amp;Investment_Strategy_Sub2&amp;"_"&amp;$A174,'Investment Strategies'!$C:$P,14,FALSE),
IF(AND(Investment_Strategy="Lifecycle",Investment_Strategy_Sub1="Standard"),VLOOKUP(Investment_Strategy&amp;"_"&amp;Investment_Strategy_Sub2&amp;"_"&amp;$A174,'Investment Strategies'!$AJ:$AV,13,FALSE),
IF(AND(Investment_Strategy="Autopilot",Investment_Strategy_Sub1="Non-Standard"),VLOOKUP(Investment_Strategy&amp;"_"&amp;Investment_Strategy_Sub2&amp;"_"&amp;$A174,'Investment Strategies'!$T:$AF,13,FALSE),
IF(Investment_Strategy="DIY",DIY_ExtManChrge_CurrentFunds,
"Error"))))))</f>
        <v>2.0857243058891584E-4</v>
      </c>
      <c r="H174" s="16">
        <f t="shared" si="84"/>
        <v>0</v>
      </c>
      <c r="I174" s="16">
        <f t="shared" si="68"/>
        <v>0</v>
      </c>
      <c r="J174" s="16">
        <f t="shared" si="69"/>
        <v>0</v>
      </c>
      <c r="K174" s="16">
        <f>(Opening_Fund_Value+SUM(K$91:K173))*E174*IF(D174=$A$91,SRP_finalmonthfactor,1)</f>
        <v>0</v>
      </c>
      <c r="L174" s="74">
        <f>MIN(IF($AV174=0,0,
IF(Investment_Strategy="DIS",VLOOKUP(Investment_Strategy&amp;"_"&amp;Investment_Strategy_Sub1&amp;"_"&amp;$A174,'Investment Strategies'!$AZ:$BP,12,FALSE),
IF(AND(Investment_Strategy="Lifecycle",Investment_Strategy_Sub1="Non-Standard"),VLOOKUP(Investment_Strategy&amp;"_"&amp;Investment_Strategy_Sub2&amp;"_"&amp;$A174,'Investment Strategies'!$C:$P,9,FALSE),
IF(AND(Investment_Strategy="Lifecycle",Investment_Strategy_Sub1="Standard"),VLOOKUP(Investment_Strategy&amp;"_"&amp;Investment_Strategy_Sub2&amp;"_"&amp;$A174,'Investment Strategies'!$AJ:$AV,8,FALSE),
IF(AND(Investment_Strategy="Autopilot",Investment_Strategy_Sub1="Non-Standard"),VLOOKUP(Investment_Strategy&amp;"_"&amp;Investment_Strategy_Sub2&amp;"_"&amp;$A174,'Investment Strategies'!$T:$AF,8,FALSE),
IF(Investment_Strategy ="DIY",DIY_RateofReturn_SP,
"Error")))))),Max_InvReturn)</f>
        <v>4.1816398110932074E-3</v>
      </c>
      <c r="M174" s="62">
        <f>IF($AV174=0,0,
IF(Investment_Strategy="DIS",VLOOKUP(Investment_Strategy&amp;"_"&amp;Investment_Strategy_Sub1&amp;"_"&amp;$A174,'Investment Strategies'!$AZ:$BP,15,FALSE),
IF(AND(Investment_Strategy="Lifecycle",Investment_Strategy_Sub1="Non-Standard"),VLOOKUP(Investment_Strategy&amp;"_"&amp;Investment_Strategy_Sub2&amp;"_"&amp;$A174,'Investment Strategies'!$C:$P,12,FALSE),
IF(AND(Investment_Strategy="Lifecycle",Investment_Strategy_Sub1="Standard"),VLOOKUP(Investment_Strategy&amp;"_"&amp;Investment_Strategy_Sub2&amp;"_"&amp;$A174,'Investment Strategies'!$AJ:$AV,11,FALSE),
IF(AND(Investment_Strategy="Autopilot",Investment_Strategy_Sub1="Non-Standard"),VLOOKUP(Investment_Strategy&amp;"_"&amp;Investment_Strategy_Sub2&amp;"_"&amp;$A174,'Investment Strategies'!$T:$AF,11,FALSE),
IF(Investment_Strategy="DIY",DIY_GteeChrge_SP,
"Error"))))))</f>
        <v>0</v>
      </c>
      <c r="N174" s="33">
        <f>IF($AV174=0,0,
IF(Investment_Strategy="DIS",VLOOKUP(Investment_Strategy&amp;"_"&amp;Investment_Strategy_Sub1&amp;"_"&amp;$A174,'Investment Strategies'!$AZ:$BP,17,FALSE),
IF(AND(Investment_Strategy="Lifecycle",Investment_Strategy_Sub1="Non-Standard"),VLOOKUP(Investment_Strategy&amp;"_"&amp;Investment_Strategy_Sub2&amp;"_"&amp;$A174,'Investment Strategies'!$C:$P,14,FALSE),
IF(AND(Investment_Strategy="Lifecycle",Investment_Strategy_Sub1="Standard"),VLOOKUP(Investment_Strategy&amp;"_"&amp;Investment_Strategy_Sub2&amp;"_"&amp;$A174,'Investment Strategies'!$AJ:$AV,13,FALSE),
IF(AND(Investment_Strategy="Autopilot",Investment_Strategy_Sub1="Non-Standard"),VLOOKUP(Investment_Strategy&amp;"_"&amp;Investment_Strategy_Sub2&amp;"_"&amp;$A174,'Investment Strategies'!$T:$AF,13,FALSE),
IF(Investment_Strategy="DIY",DIY_ExtManChrge_SP,
"Error"))))))</f>
        <v>2.0857243058891584E-4</v>
      </c>
      <c r="O174" s="16">
        <f t="shared" si="96"/>
        <v>913918.09101484471</v>
      </c>
      <c r="Q174" s="16">
        <f t="shared" si="70"/>
        <v>3727.5076589248779</v>
      </c>
      <c r="R174" s="16">
        <f t="shared" si="71"/>
        <v>-858.99197759273807</v>
      </c>
      <c r="S174" s="16">
        <f>(SRP_SP+SUM(S$91:S173))*L174*IF(D174=$A$91,SRP_finalmonthfactor,1)</f>
        <v>4036.7166586786661</v>
      </c>
      <c r="T174" s="74">
        <f>MIN(IF($AV174=0,0,
IF(Investment_Strategy="DIS",VLOOKUP(Investment_Strategy&amp;"_"&amp;Investment_Strategy_Sub1&amp;"_"&amp;$A174,'Investment Strategies'!$AZ:$BP,12,FALSE),
IF(AND(Investment_Strategy="Lifecycle",Investment_Strategy_Sub1="Non-Standard"),VLOOKUP(Investment_Strategy&amp;"_"&amp;Investment_Strategy_Sub2&amp;"_"&amp;$A174,'Investment Strategies'!$C:$P,9,FALSE),
IF(AND(Investment_Strategy="Lifecycle",Investment_Strategy_Sub1="Standard"),VLOOKUP(Investment_Strategy&amp;"_"&amp;Investment_Strategy_Sub2&amp;"_"&amp;$A174,'Investment Strategies'!$AJ:$AV,8,FALSE),
IF(AND(Investment_Strategy="Autopilot",Investment_Strategy_Sub1="Non-Standard"),VLOOKUP(Investment_Strategy&amp;"_"&amp;Investment_Strategy_Sub2&amp;"_"&amp;$A174,'Investment Strategies'!$T:$AF,8,FALSE),
IF(Investment_Strategy ="DIY",DIY_RateOfReturn_FuturePremiums,
"Error")))))),Max_InvReturn)</f>
        <v>4.1816398110932074E-3</v>
      </c>
      <c r="U174" s="62">
        <f>IF($AV174=0,0,
IF(Investment_Strategy="DIS",VLOOKUP(Investment_Strategy&amp;"_"&amp;Investment_Strategy_Sub1&amp;"_"&amp;$A174,'Investment Strategies'!$AZ:$BP,15,FALSE),
IF(AND(Investment_Strategy="Lifecycle",Investment_Strategy_Sub1="Non-Standard"),VLOOKUP(Investment_Strategy&amp;"_"&amp;Investment_Strategy_Sub2&amp;"_"&amp;$A174,'Investment Strategies'!$C:$P,12,FALSE),
IF(AND(Investment_Strategy="Lifecycle",Investment_Strategy_Sub1="Standard"),VLOOKUP(Investment_Strategy&amp;"_"&amp;Investment_Strategy_Sub2&amp;"_"&amp;$A174,'Investment Strategies'!$AJ:$AV,11,FALSE),
IF(AND(Investment_Strategy="Autopilot",Investment_Strategy_Sub1="Non-Standard"),VLOOKUP(Investment_Strategy&amp;"_"&amp;Investment_Strategy_Sub2&amp;"_"&amp;$A174,'Investment Strategies'!$T:$AF,11,FALSE),
IF(Investment_Strategy="DIY",DIY_GteeChrge_FuturePremiums,
"Error"))))))</f>
        <v>0</v>
      </c>
      <c r="V174" s="33">
        <f>IF(AV174=0,0,
IF(Investment_Strategy="DIS",VLOOKUP(Investment_Strategy&amp;"_"&amp;Investment_Strategy_Sub1&amp;"_"&amp;$A174,'Investment Strategies'!$AZ:$BP,17,FALSE),
IF(AND(Investment_Strategy="Lifecycle",Investment_Strategy_Sub1="Non-Standard"),VLOOKUP(Investment_Strategy&amp;"_"&amp;Investment_Strategy_Sub2&amp;"_"&amp;$A174,'Investment Strategies'!$C:$P,14,FALSE),
IF(AND(Investment_Strategy="Lifecycle",Investment_Strategy_Sub1="Standard"),VLOOKUP(Investment_Strategy&amp;"_"&amp;Investment_Strategy_Sub2&amp;"_"&amp;$A174,'Investment Strategies'!$AJ:$AV,13,FALSE),
IF(AND(Investment_Strategy="Autopilot",Investment_Strategy_Sub1="Non-Standard"),VLOOKUP(Investment_Strategy&amp;"_"&amp;Investment_Strategy_Sub2&amp;"_"&amp;$A174,'Investment Strategies'!$T:$AF,13,FALSE),
IF(Investment_Strategy="DIY",DIY_ExtManChrge_FuturePremiums,
"Error"))))))</f>
        <v>1.2508601994698498E-4</v>
      </c>
      <c r="W174" s="16">
        <f t="shared" si="97"/>
        <v>0</v>
      </c>
      <c r="X174" s="16">
        <f t="shared" si="72"/>
        <v>0</v>
      </c>
      <c r="Y174" s="16">
        <f t="shared" si="73"/>
        <v>0</v>
      </c>
      <c r="Z174" s="31">
        <f t="shared" si="74"/>
        <v>0.02</v>
      </c>
      <c r="AA174" s="16">
        <f t="shared" si="75"/>
        <v>0</v>
      </c>
      <c r="AB174" s="28">
        <f t="shared" si="98"/>
        <v>989730.59755738021</v>
      </c>
      <c r="AC174" s="28">
        <f>(SUM($AC$91:AC173)+SUM($X$91:X173)+X174)*T174*IF(D174=$A$91,SRP_finalmonthfactor,1)</f>
        <v>0</v>
      </c>
      <c r="AD174" s="16">
        <f t="shared" si="76"/>
        <v>-191.00684526837856</v>
      </c>
      <c r="AE174" s="106"/>
      <c r="AF174" s="16">
        <f t="shared" si="85"/>
        <v>913918.09101484471</v>
      </c>
      <c r="AG174" s="16">
        <f t="shared" si="86"/>
        <v>4036.7166586786661</v>
      </c>
      <c r="AH174" s="16">
        <f t="shared" si="87"/>
        <v>-858.99197759273807</v>
      </c>
      <c r="AJ174" s="13">
        <f t="shared" si="108"/>
        <v>0</v>
      </c>
      <c r="AK174" s="13">
        <f t="shared" si="108"/>
        <v>0</v>
      </c>
      <c r="AL174" s="13">
        <f t="shared" si="108"/>
        <v>0</v>
      </c>
      <c r="AM174" s="13">
        <f t="shared" si="108"/>
        <v>0</v>
      </c>
      <c r="AN174" s="13">
        <f t="shared" si="108"/>
        <v>0</v>
      </c>
      <c r="AO174" s="13">
        <f t="shared" si="108"/>
        <v>1</v>
      </c>
      <c r="AP174" s="13">
        <f t="shared" si="108"/>
        <v>1</v>
      </c>
      <c r="AQ174" s="13">
        <f t="shared" si="108"/>
        <v>1</v>
      </c>
      <c r="AR174" s="13">
        <f t="shared" si="108"/>
        <v>1</v>
      </c>
      <c r="AS174" s="13">
        <f t="shared" si="108"/>
        <v>1</v>
      </c>
      <c r="AT174" s="13">
        <f t="shared" si="108"/>
        <v>1</v>
      </c>
      <c r="AU174" s="13">
        <f t="shared" si="108"/>
        <v>1</v>
      </c>
      <c r="AV174" s="13">
        <f t="shared" si="77"/>
        <v>1</v>
      </c>
      <c r="AW174" s="13">
        <f t="shared" si="78"/>
        <v>1</v>
      </c>
      <c r="AY174" s="17">
        <f t="shared" si="79"/>
        <v>84</v>
      </c>
      <c r="AZ174" s="28">
        <f t="shared" si="88"/>
        <v>0</v>
      </c>
      <c r="BA174" s="13">
        <f t="shared" si="80"/>
        <v>0</v>
      </c>
      <c r="BB174" s="13">
        <f t="shared" si="81"/>
        <v>0</v>
      </c>
      <c r="BC174" s="28">
        <f t="shared" si="89"/>
        <v>0</v>
      </c>
      <c r="BD174" s="28">
        <f t="shared" si="90"/>
        <v>0</v>
      </c>
      <c r="BF174" s="248">
        <f t="shared" si="91"/>
        <v>993869.29442638322</v>
      </c>
      <c r="BG174" s="36">
        <f t="shared" si="99"/>
        <v>0</v>
      </c>
      <c r="BH174" s="36">
        <f t="shared" si="100"/>
        <v>913918.09101484471</v>
      </c>
      <c r="BI174" s="249">
        <f t="shared" si="101"/>
        <v>4.1816398110932074E-3</v>
      </c>
      <c r="BJ174" s="246">
        <f t="shared" si="102"/>
        <v>2.0857243058891584E-4</v>
      </c>
      <c r="BK174" s="246">
        <f t="shared" si="82"/>
        <v>7.531116566323881E-4</v>
      </c>
      <c r="BL174" s="246">
        <f t="shared" si="103"/>
        <v>0</v>
      </c>
      <c r="BM174" s="246">
        <f t="shared" si="104"/>
        <v>9.6168408722130394E-4</v>
      </c>
      <c r="BN174" s="36">
        <f t="shared" si="92"/>
        <v>880.73810778199913</v>
      </c>
      <c r="BO174" s="36">
        <f t="shared" si="105"/>
        <v>3821.6762734659801</v>
      </c>
      <c r="BP174" s="36">
        <f t="shared" si="106"/>
        <v>916859.02918052871</v>
      </c>
    </row>
    <row r="175" spans="1:68">
      <c r="A175" s="32">
        <f t="shared" si="93"/>
        <v>0</v>
      </c>
      <c r="B175" s="32">
        <f t="shared" si="83"/>
        <v>60</v>
      </c>
      <c r="C175" s="32">
        <f t="shared" si="94"/>
        <v>8</v>
      </c>
      <c r="D175" s="32">
        <f t="shared" si="95"/>
        <v>85</v>
      </c>
      <c r="E175" s="74">
        <f>MIN(IF(AV175=0,0,
IF(Investment_Strategy="DIS",VLOOKUP(Investment_Strategy&amp;"_"&amp;Investment_Strategy_Sub1&amp;"_"&amp;$A175,'Investment Strategies'!$AZ:$BP,12,FALSE),
IF(AND(Investment_Strategy="Lifecycle",Investment_Strategy_Sub1="Non-Standard"),VLOOKUP(Investment_Strategy&amp;"_"&amp;Investment_Strategy_Sub2&amp;"_"&amp;$A175,'Investment Strategies'!$C:$P,9,FALSE),
IF(AND(Investment_Strategy="Lifecycle",Investment_Strategy_Sub1="Standard"),VLOOKUP(Investment_Strategy&amp;"_"&amp;Investment_Strategy_Sub2&amp;"_"&amp;$A175,'Investment Strategies'!$AJ:$AV,8,FALSE),
IF(AND(Investment_Strategy="Autopilot",Investment_Strategy_Sub1="Non-Standard"),VLOOKUP(Investment_Strategy&amp;"_"&amp;Investment_Strategy_Sub2&amp;"_"&amp;$A175,'Investment Strategies'!$T:$AF,8,FALSE),
IF(Investment_Strategy ="DIY",DIY_RateOfReturn_CurrentFunds,
"Error")))))),Max_InvReturn)</f>
        <v>0</v>
      </c>
      <c r="F175" s="62">
        <f>IF(AV175=0,0,
IF(Investment_Strategy="DIS",VLOOKUP(Investment_Strategy&amp;"_"&amp;Investment_Strategy_Sub1&amp;"_"&amp;$A175,'Investment Strategies'!$AZ:$BP,15,FALSE),
IF(AND(Investment_Strategy="Lifecycle",Investment_Strategy_Sub1="Non-Standard"),VLOOKUP(Investment_Strategy&amp;"_"&amp;Investment_Strategy_Sub2&amp;"_"&amp;$A175,'Investment Strategies'!$C:$P,12,FALSE),
IF(AND(Investment_Strategy="Lifecycle",Investment_Strategy_Sub1="Standard"),VLOOKUP(Investment_Strategy&amp;"_"&amp;Investment_Strategy_Sub2&amp;"_"&amp;$A175,'Investment Strategies'!$AJ:$AV,11,FALSE),
IF(AND(Investment_Strategy="Autopilot",Investment_Strategy_Sub1="Non-Standard"),VLOOKUP(Investment_Strategy&amp;"_"&amp;Investment_Strategy_Sub2&amp;"_"&amp;$A175,'Investment Strategies'!$T:$AF,11,FALSE),
IF(Investment_Strategy="DIY",DIY_GteeChrge_CurrentFunds,
"Error"))))))</f>
        <v>0</v>
      </c>
      <c r="G175" s="33">
        <f>IF(AV175=0,0,
IF(Investment_Strategy="DIS",VLOOKUP(Investment_Strategy&amp;"_"&amp;Investment_Strategy_Sub1&amp;"_"&amp;$A175,'Investment Strategies'!$AZ:$BP,17,FALSE),
IF(AND(Investment_Strategy="Lifecycle",Investment_Strategy_Sub1="Non-Standard"),VLOOKUP(Investment_Strategy&amp;"_"&amp;Investment_Strategy_Sub2&amp;"_"&amp;$A175,'Investment Strategies'!$C:$P,14,FALSE),
IF(AND(Investment_Strategy="Lifecycle",Investment_Strategy_Sub1="Standard"),VLOOKUP(Investment_Strategy&amp;"_"&amp;Investment_Strategy_Sub2&amp;"_"&amp;$A175,'Investment Strategies'!$AJ:$AV,13,FALSE),
IF(AND(Investment_Strategy="Autopilot",Investment_Strategy_Sub1="Non-Standard"),VLOOKUP(Investment_Strategy&amp;"_"&amp;Investment_Strategy_Sub2&amp;"_"&amp;$A175,'Investment Strategies'!$T:$AF,13,FALSE),
IF(Investment_Strategy="DIY",DIY_ExtManChrge_CurrentFunds,
"Error"))))))</f>
        <v>0</v>
      </c>
      <c r="H175" s="16">
        <f t="shared" si="84"/>
        <v>0</v>
      </c>
      <c r="I175" s="16">
        <f t="shared" si="68"/>
        <v>0</v>
      </c>
      <c r="J175" s="16">
        <f t="shared" si="69"/>
        <v>0</v>
      </c>
      <c r="K175" s="16">
        <f>(Opening_Fund_Value+SUM(K$91:K174))*E175*IF(D175=$A$91,SRP_finalmonthfactor,1)</f>
        <v>0</v>
      </c>
      <c r="L175" s="74">
        <f>MIN(IF($AV175=0,0,
IF(Investment_Strategy="DIS",VLOOKUP(Investment_Strategy&amp;"_"&amp;Investment_Strategy_Sub1&amp;"_"&amp;$A175,'Investment Strategies'!$AZ:$BP,12,FALSE),
IF(AND(Investment_Strategy="Lifecycle",Investment_Strategy_Sub1="Non-Standard"),VLOOKUP(Investment_Strategy&amp;"_"&amp;Investment_Strategy_Sub2&amp;"_"&amp;$A175,'Investment Strategies'!$C:$P,9,FALSE),
IF(AND(Investment_Strategy="Lifecycle",Investment_Strategy_Sub1="Standard"),VLOOKUP(Investment_Strategy&amp;"_"&amp;Investment_Strategy_Sub2&amp;"_"&amp;$A175,'Investment Strategies'!$AJ:$AV,8,FALSE),
IF(AND(Investment_Strategy="Autopilot",Investment_Strategy_Sub1="Non-Standard"),VLOOKUP(Investment_Strategy&amp;"_"&amp;Investment_Strategy_Sub2&amp;"_"&amp;$A175,'Investment Strategies'!$T:$AF,8,FALSE),
IF(Investment_Strategy ="DIY",DIY_RateofReturn_SP,
"Error")))))),Max_InvReturn)</f>
        <v>0</v>
      </c>
      <c r="M175" s="62">
        <f>IF($AV175=0,0,
IF(Investment_Strategy="DIS",VLOOKUP(Investment_Strategy&amp;"_"&amp;Investment_Strategy_Sub1&amp;"_"&amp;$A175,'Investment Strategies'!$AZ:$BP,15,FALSE),
IF(AND(Investment_Strategy="Lifecycle",Investment_Strategy_Sub1="Non-Standard"),VLOOKUP(Investment_Strategy&amp;"_"&amp;Investment_Strategy_Sub2&amp;"_"&amp;$A175,'Investment Strategies'!$C:$P,12,FALSE),
IF(AND(Investment_Strategy="Lifecycle",Investment_Strategy_Sub1="Standard"),VLOOKUP(Investment_Strategy&amp;"_"&amp;Investment_Strategy_Sub2&amp;"_"&amp;$A175,'Investment Strategies'!$AJ:$AV,11,FALSE),
IF(AND(Investment_Strategy="Autopilot",Investment_Strategy_Sub1="Non-Standard"),VLOOKUP(Investment_Strategy&amp;"_"&amp;Investment_Strategy_Sub2&amp;"_"&amp;$A175,'Investment Strategies'!$T:$AF,11,FALSE),
IF(Investment_Strategy="DIY",DIY_GteeChrge_SP,
"Error"))))))</f>
        <v>0</v>
      </c>
      <c r="N175" s="33">
        <f>IF($AV175=0,0,
IF(Investment_Strategy="DIS",VLOOKUP(Investment_Strategy&amp;"_"&amp;Investment_Strategy_Sub1&amp;"_"&amp;$A175,'Investment Strategies'!$AZ:$BP,17,FALSE),
IF(AND(Investment_Strategy="Lifecycle",Investment_Strategy_Sub1="Non-Standard"),VLOOKUP(Investment_Strategy&amp;"_"&amp;Investment_Strategy_Sub2&amp;"_"&amp;$A175,'Investment Strategies'!$C:$P,14,FALSE),
IF(AND(Investment_Strategy="Lifecycle",Investment_Strategy_Sub1="Standard"),VLOOKUP(Investment_Strategy&amp;"_"&amp;Investment_Strategy_Sub2&amp;"_"&amp;$A175,'Investment Strategies'!$AJ:$AV,13,FALSE),
IF(AND(Investment_Strategy="Autopilot",Investment_Strategy_Sub1="Non-Standard"),VLOOKUP(Investment_Strategy&amp;"_"&amp;Investment_Strategy_Sub2&amp;"_"&amp;$A175,'Investment Strategies'!$T:$AF,13,FALSE),
IF(Investment_Strategy="DIY",DIY_ExtManChrge_SP,
"Error"))))))</f>
        <v>0</v>
      </c>
      <c r="O175" s="16">
        <f t="shared" si="96"/>
        <v>916786.60669617692</v>
      </c>
      <c r="Q175" s="16">
        <f t="shared" si="70"/>
        <v>0</v>
      </c>
      <c r="R175" s="16">
        <f t="shared" si="71"/>
        <v>0</v>
      </c>
      <c r="S175" s="16">
        <f>(SRP_SP+SUM(S$91:S174))*L175*IF(D175=$A$91,SRP_finalmonthfactor,1)</f>
        <v>0</v>
      </c>
      <c r="T175" s="74">
        <f>MIN(IF($AV175=0,0,
IF(Investment_Strategy="DIS",VLOOKUP(Investment_Strategy&amp;"_"&amp;Investment_Strategy_Sub1&amp;"_"&amp;$A175,'Investment Strategies'!$AZ:$BP,12,FALSE),
IF(AND(Investment_Strategy="Lifecycle",Investment_Strategy_Sub1="Non-Standard"),VLOOKUP(Investment_Strategy&amp;"_"&amp;Investment_Strategy_Sub2&amp;"_"&amp;$A175,'Investment Strategies'!$C:$P,9,FALSE),
IF(AND(Investment_Strategy="Lifecycle",Investment_Strategy_Sub1="Standard"),VLOOKUP(Investment_Strategy&amp;"_"&amp;Investment_Strategy_Sub2&amp;"_"&amp;$A175,'Investment Strategies'!$AJ:$AV,8,FALSE),
IF(AND(Investment_Strategy="Autopilot",Investment_Strategy_Sub1="Non-Standard"),VLOOKUP(Investment_Strategy&amp;"_"&amp;Investment_Strategy_Sub2&amp;"_"&amp;$A175,'Investment Strategies'!$T:$AF,8,FALSE),
IF(Investment_Strategy ="DIY",DIY_RateOfReturn_FuturePremiums,
"Error")))))),Max_InvReturn)</f>
        <v>0</v>
      </c>
      <c r="U175" s="62">
        <f>IF($AV175=0,0,
IF(Investment_Strategy="DIS",VLOOKUP(Investment_Strategy&amp;"_"&amp;Investment_Strategy_Sub1&amp;"_"&amp;$A175,'Investment Strategies'!$AZ:$BP,15,FALSE),
IF(AND(Investment_Strategy="Lifecycle",Investment_Strategy_Sub1="Non-Standard"),VLOOKUP(Investment_Strategy&amp;"_"&amp;Investment_Strategy_Sub2&amp;"_"&amp;$A175,'Investment Strategies'!$C:$P,12,FALSE),
IF(AND(Investment_Strategy="Lifecycle",Investment_Strategy_Sub1="Standard"),VLOOKUP(Investment_Strategy&amp;"_"&amp;Investment_Strategy_Sub2&amp;"_"&amp;$A175,'Investment Strategies'!$AJ:$AV,11,FALSE),
IF(AND(Investment_Strategy="Autopilot",Investment_Strategy_Sub1="Non-Standard"),VLOOKUP(Investment_Strategy&amp;"_"&amp;Investment_Strategy_Sub2&amp;"_"&amp;$A175,'Investment Strategies'!$T:$AF,11,FALSE),
IF(Investment_Strategy="DIY",DIY_GteeChrge_FuturePremiums,
"Error"))))))</f>
        <v>0</v>
      </c>
      <c r="V175" s="33">
        <f>IF(AV175=0,0,
IF(Investment_Strategy="DIS",VLOOKUP(Investment_Strategy&amp;"_"&amp;Investment_Strategy_Sub1&amp;"_"&amp;$A175,'Investment Strategies'!$AZ:$BP,17,FALSE),
IF(AND(Investment_Strategy="Lifecycle",Investment_Strategy_Sub1="Non-Standard"),VLOOKUP(Investment_Strategy&amp;"_"&amp;Investment_Strategy_Sub2&amp;"_"&amp;$A175,'Investment Strategies'!$C:$P,14,FALSE),
IF(AND(Investment_Strategy="Lifecycle",Investment_Strategy_Sub1="Standard"),VLOOKUP(Investment_Strategy&amp;"_"&amp;Investment_Strategy_Sub2&amp;"_"&amp;$A175,'Investment Strategies'!$AJ:$AV,13,FALSE),
IF(AND(Investment_Strategy="Autopilot",Investment_Strategy_Sub1="Non-Standard"),VLOOKUP(Investment_Strategy&amp;"_"&amp;Investment_Strategy_Sub2&amp;"_"&amp;$A175,'Investment Strategies'!$T:$AF,13,FALSE),
IF(Investment_Strategy="DIY",DIY_ExtManChrge_FuturePremiums,
"Error"))))))</f>
        <v>0</v>
      </c>
      <c r="W175" s="16">
        <f t="shared" si="97"/>
        <v>0</v>
      </c>
      <c r="X175" s="16">
        <f t="shared" si="72"/>
        <v>0</v>
      </c>
      <c r="Y175" s="16">
        <f t="shared" si="73"/>
        <v>0</v>
      </c>
      <c r="Z175" s="31">
        <f t="shared" si="74"/>
        <v>0.02</v>
      </c>
      <c r="AA175" s="16">
        <f t="shared" si="75"/>
        <v>0</v>
      </c>
      <c r="AB175" s="28">
        <f t="shared" si="98"/>
        <v>993767.31421605893</v>
      </c>
      <c r="AC175" s="28">
        <f>(SUM($AC$91:AC174)+SUM($X$91:X174)+X175)*T175*IF(D175=$A$91,SRP_finalmonthfactor,1)</f>
        <v>0</v>
      </c>
      <c r="AD175" s="16">
        <f t="shared" si="76"/>
        <v>0</v>
      </c>
      <c r="AE175" s="106"/>
      <c r="AF175" s="16">
        <f t="shared" si="85"/>
        <v>916786.60669617692</v>
      </c>
      <c r="AG175" s="16">
        <f t="shared" si="86"/>
        <v>0</v>
      </c>
      <c r="AH175" s="16">
        <f t="shared" si="87"/>
        <v>0</v>
      </c>
      <c r="AJ175" s="13">
        <f t="shared" si="108"/>
        <v>0</v>
      </c>
      <c r="AK175" s="13">
        <f t="shared" si="108"/>
        <v>0</v>
      </c>
      <c r="AL175" s="13">
        <f t="shared" si="108"/>
        <v>0</v>
      </c>
      <c r="AM175" s="13">
        <f t="shared" si="108"/>
        <v>0</v>
      </c>
      <c r="AN175" s="13">
        <f t="shared" si="108"/>
        <v>0</v>
      </c>
      <c r="AO175" s="13">
        <f t="shared" si="108"/>
        <v>1</v>
      </c>
      <c r="AP175" s="13">
        <f t="shared" si="108"/>
        <v>1</v>
      </c>
      <c r="AQ175" s="13">
        <f t="shared" si="108"/>
        <v>1</v>
      </c>
      <c r="AR175" s="13">
        <f t="shared" si="108"/>
        <v>1</v>
      </c>
      <c r="AS175" s="13">
        <f t="shared" si="108"/>
        <v>1</v>
      </c>
      <c r="AT175" s="13">
        <f t="shared" si="108"/>
        <v>1</v>
      </c>
      <c r="AU175" s="13">
        <f t="shared" si="108"/>
        <v>1</v>
      </c>
      <c r="AV175" s="13">
        <f t="shared" si="77"/>
        <v>0</v>
      </c>
      <c r="AW175" s="13">
        <f t="shared" si="78"/>
        <v>1</v>
      </c>
      <c r="AY175" s="17">
        <f t="shared" si="79"/>
        <v>85</v>
      </c>
      <c r="AZ175" s="28">
        <f t="shared" si="88"/>
        <v>0</v>
      </c>
      <c r="BA175" s="13">
        <f t="shared" si="80"/>
        <v>-993767.31421605847</v>
      </c>
      <c r="BB175" s="13">
        <f t="shared" si="81"/>
        <v>-916786.60669617692</v>
      </c>
      <c r="BC175" s="28">
        <f t="shared" si="89"/>
        <v>-993767.31421605847</v>
      </c>
      <c r="BD175" s="28">
        <f t="shared" si="90"/>
        <v>-916786.60669617692</v>
      </c>
      <c r="BF175" s="248">
        <f t="shared" si="91"/>
        <v>993869.29442638322</v>
      </c>
      <c r="BG175" s="36">
        <f t="shared" si="99"/>
        <v>0</v>
      </c>
      <c r="BH175" s="36">
        <f t="shared" si="100"/>
        <v>916859.02918052871</v>
      </c>
      <c r="BI175" s="249">
        <f t="shared" si="101"/>
        <v>0</v>
      </c>
      <c r="BJ175" s="246">
        <f t="shared" si="102"/>
        <v>0</v>
      </c>
      <c r="BK175" s="246">
        <f t="shared" si="82"/>
        <v>7.531116566323881E-4</v>
      </c>
      <c r="BL175" s="246">
        <f t="shared" si="103"/>
        <v>0</v>
      </c>
      <c r="BM175" s="246">
        <f t="shared" si="104"/>
        <v>7.531116566323881E-4</v>
      </c>
      <c r="BN175" s="36">
        <f t="shared" si="92"/>
        <v>690.497222364511</v>
      </c>
      <c r="BO175" s="36">
        <f t="shared" si="105"/>
        <v>0</v>
      </c>
      <c r="BP175" s="36">
        <f t="shared" si="106"/>
        <v>916168.53195816418</v>
      </c>
    </row>
    <row r="176" spans="1:68">
      <c r="A176" s="32">
        <f t="shared" si="93"/>
        <v>-1</v>
      </c>
      <c r="B176" s="32">
        <f t="shared" si="83"/>
        <v>60</v>
      </c>
      <c r="C176" s="32">
        <f t="shared" si="94"/>
        <v>8</v>
      </c>
      <c r="D176" s="32">
        <f t="shared" si="95"/>
        <v>86</v>
      </c>
      <c r="E176" s="74">
        <f>MIN(IF(AV176=0,0,
IF(Investment_Strategy="DIS",VLOOKUP(Investment_Strategy&amp;"_"&amp;Investment_Strategy_Sub1&amp;"_"&amp;$A176,'Investment Strategies'!$AZ:$BP,12,FALSE),
IF(AND(Investment_Strategy="Lifecycle",Investment_Strategy_Sub1="Non-Standard"),VLOOKUP(Investment_Strategy&amp;"_"&amp;Investment_Strategy_Sub2&amp;"_"&amp;$A176,'Investment Strategies'!$C:$P,9,FALSE),
IF(AND(Investment_Strategy="Lifecycle",Investment_Strategy_Sub1="Standard"),VLOOKUP(Investment_Strategy&amp;"_"&amp;Investment_Strategy_Sub2&amp;"_"&amp;$A176,'Investment Strategies'!$AJ:$AV,8,FALSE),
IF(AND(Investment_Strategy="Autopilot",Investment_Strategy_Sub1="Non-Standard"),VLOOKUP(Investment_Strategy&amp;"_"&amp;Investment_Strategy_Sub2&amp;"_"&amp;$A176,'Investment Strategies'!$T:$AF,8,FALSE),
IF(Investment_Strategy ="DIY",DIY_RateOfReturn_CurrentFunds,
"Error")))))),Max_InvReturn)</f>
        <v>0</v>
      </c>
      <c r="F176" s="62">
        <f>IF(AV176=0,0,
IF(Investment_Strategy="DIS",VLOOKUP(Investment_Strategy&amp;"_"&amp;Investment_Strategy_Sub1&amp;"_"&amp;$A176,'Investment Strategies'!$AZ:$BP,15,FALSE),
IF(AND(Investment_Strategy="Lifecycle",Investment_Strategy_Sub1="Non-Standard"),VLOOKUP(Investment_Strategy&amp;"_"&amp;Investment_Strategy_Sub2&amp;"_"&amp;$A176,'Investment Strategies'!$C:$P,12,FALSE),
IF(AND(Investment_Strategy="Lifecycle",Investment_Strategy_Sub1="Standard"),VLOOKUP(Investment_Strategy&amp;"_"&amp;Investment_Strategy_Sub2&amp;"_"&amp;$A176,'Investment Strategies'!$AJ:$AV,11,FALSE),
IF(AND(Investment_Strategy="Autopilot",Investment_Strategy_Sub1="Non-Standard"),VLOOKUP(Investment_Strategy&amp;"_"&amp;Investment_Strategy_Sub2&amp;"_"&amp;$A176,'Investment Strategies'!$T:$AF,11,FALSE),
IF(Investment_Strategy="DIY",DIY_GteeChrge_CurrentFunds,
"Error"))))))</f>
        <v>0</v>
      </c>
      <c r="G176" s="33">
        <f>IF(AV176=0,0,
IF(Investment_Strategy="DIS",VLOOKUP(Investment_Strategy&amp;"_"&amp;Investment_Strategy_Sub1&amp;"_"&amp;$A176,'Investment Strategies'!$AZ:$BP,17,FALSE),
IF(AND(Investment_Strategy="Lifecycle",Investment_Strategy_Sub1="Non-Standard"),VLOOKUP(Investment_Strategy&amp;"_"&amp;Investment_Strategy_Sub2&amp;"_"&amp;$A176,'Investment Strategies'!$C:$P,14,FALSE),
IF(AND(Investment_Strategy="Lifecycle",Investment_Strategy_Sub1="Standard"),VLOOKUP(Investment_Strategy&amp;"_"&amp;Investment_Strategy_Sub2&amp;"_"&amp;$A176,'Investment Strategies'!$AJ:$AV,13,FALSE),
IF(AND(Investment_Strategy="Autopilot",Investment_Strategy_Sub1="Non-Standard"),VLOOKUP(Investment_Strategy&amp;"_"&amp;Investment_Strategy_Sub2&amp;"_"&amp;$A176,'Investment Strategies'!$T:$AF,13,FALSE),
IF(Investment_Strategy="DIY",DIY_ExtManChrge_CurrentFunds,
"Error"))))))</f>
        <v>0</v>
      </c>
      <c r="H176" s="16">
        <f t="shared" si="84"/>
        <v>0</v>
      </c>
      <c r="I176" s="16">
        <f t="shared" si="68"/>
        <v>0</v>
      </c>
      <c r="J176" s="16">
        <f t="shared" si="69"/>
        <v>0</v>
      </c>
      <c r="K176" s="16">
        <f>(Opening_Fund_Value+SUM(K$91:K175))*E176*IF(D176=$A$91,SRP_finalmonthfactor,1)</f>
        <v>0</v>
      </c>
      <c r="L176" s="74">
        <f>MIN(IF($AV176=0,0,
IF(Investment_Strategy="DIS",VLOOKUP(Investment_Strategy&amp;"_"&amp;Investment_Strategy_Sub1&amp;"_"&amp;$A176,'Investment Strategies'!$AZ:$BP,12,FALSE),
IF(AND(Investment_Strategy="Lifecycle",Investment_Strategy_Sub1="Non-Standard"),VLOOKUP(Investment_Strategy&amp;"_"&amp;Investment_Strategy_Sub2&amp;"_"&amp;$A176,'Investment Strategies'!$C:$P,9,FALSE),
IF(AND(Investment_Strategy="Lifecycle",Investment_Strategy_Sub1="Standard"),VLOOKUP(Investment_Strategy&amp;"_"&amp;Investment_Strategy_Sub2&amp;"_"&amp;$A176,'Investment Strategies'!$AJ:$AV,8,FALSE),
IF(AND(Investment_Strategy="Autopilot",Investment_Strategy_Sub1="Non-Standard"),VLOOKUP(Investment_Strategy&amp;"_"&amp;Investment_Strategy_Sub2&amp;"_"&amp;$A176,'Investment Strategies'!$T:$AF,8,FALSE),
IF(Investment_Strategy ="DIY",DIY_RateofReturn_SP,
"Error")))))),Max_InvReturn)</f>
        <v>0</v>
      </c>
      <c r="M176" s="62">
        <f>IF($AV176=0,0,
IF(Investment_Strategy="DIS",VLOOKUP(Investment_Strategy&amp;"_"&amp;Investment_Strategy_Sub1&amp;"_"&amp;$A176,'Investment Strategies'!$AZ:$BP,15,FALSE),
IF(AND(Investment_Strategy="Lifecycle",Investment_Strategy_Sub1="Non-Standard"),VLOOKUP(Investment_Strategy&amp;"_"&amp;Investment_Strategy_Sub2&amp;"_"&amp;$A176,'Investment Strategies'!$C:$P,12,FALSE),
IF(AND(Investment_Strategy="Lifecycle",Investment_Strategy_Sub1="Standard"),VLOOKUP(Investment_Strategy&amp;"_"&amp;Investment_Strategy_Sub2&amp;"_"&amp;$A176,'Investment Strategies'!$AJ:$AV,11,FALSE),
IF(AND(Investment_Strategy="Autopilot",Investment_Strategy_Sub1="Non-Standard"),VLOOKUP(Investment_Strategy&amp;"_"&amp;Investment_Strategy_Sub2&amp;"_"&amp;$A176,'Investment Strategies'!$T:$AF,11,FALSE),
IF(Investment_Strategy="DIY",DIY_GteeChrge_SP,
"Error"))))))</f>
        <v>0</v>
      </c>
      <c r="N176" s="33">
        <f>IF($AV176=0,0,
IF(Investment_Strategy="DIS",VLOOKUP(Investment_Strategy&amp;"_"&amp;Investment_Strategy_Sub1&amp;"_"&amp;$A176,'Investment Strategies'!$AZ:$BP,17,FALSE),
IF(AND(Investment_Strategy="Lifecycle",Investment_Strategy_Sub1="Non-Standard"),VLOOKUP(Investment_Strategy&amp;"_"&amp;Investment_Strategy_Sub2&amp;"_"&amp;$A176,'Investment Strategies'!$C:$P,14,FALSE),
IF(AND(Investment_Strategy="Lifecycle",Investment_Strategy_Sub1="Standard"),VLOOKUP(Investment_Strategy&amp;"_"&amp;Investment_Strategy_Sub2&amp;"_"&amp;$A176,'Investment Strategies'!$AJ:$AV,13,FALSE),
IF(AND(Investment_Strategy="Autopilot",Investment_Strategy_Sub1="Non-Standard"),VLOOKUP(Investment_Strategy&amp;"_"&amp;Investment_Strategy_Sub2&amp;"_"&amp;$A176,'Investment Strategies'!$T:$AF,13,FALSE),
IF(Investment_Strategy="DIY",DIY_ExtManChrge_SP,
"Error"))))))</f>
        <v>0</v>
      </c>
      <c r="O176" s="16">
        <f t="shared" si="96"/>
        <v>0</v>
      </c>
      <c r="Q176" s="16">
        <f t="shared" si="70"/>
        <v>0</v>
      </c>
      <c r="R176" s="16">
        <f t="shared" si="71"/>
        <v>0</v>
      </c>
      <c r="S176" s="16">
        <f>(SRP_SP+SUM(S$91:S175))*L176*IF(D176=$A$91,SRP_finalmonthfactor,1)</f>
        <v>0</v>
      </c>
      <c r="T176" s="74">
        <f>MIN(IF($AV176=0,0,
IF(Investment_Strategy="DIS",VLOOKUP(Investment_Strategy&amp;"_"&amp;Investment_Strategy_Sub1&amp;"_"&amp;$A176,'Investment Strategies'!$AZ:$BP,12,FALSE),
IF(AND(Investment_Strategy="Lifecycle",Investment_Strategy_Sub1="Non-Standard"),VLOOKUP(Investment_Strategy&amp;"_"&amp;Investment_Strategy_Sub2&amp;"_"&amp;$A176,'Investment Strategies'!$C:$P,9,FALSE),
IF(AND(Investment_Strategy="Lifecycle",Investment_Strategy_Sub1="Standard"),VLOOKUP(Investment_Strategy&amp;"_"&amp;Investment_Strategy_Sub2&amp;"_"&amp;$A176,'Investment Strategies'!$AJ:$AV,8,FALSE),
IF(AND(Investment_Strategy="Autopilot",Investment_Strategy_Sub1="Non-Standard"),VLOOKUP(Investment_Strategy&amp;"_"&amp;Investment_Strategy_Sub2&amp;"_"&amp;$A176,'Investment Strategies'!$T:$AF,8,FALSE),
IF(Investment_Strategy ="DIY",DIY_RateOfReturn_FuturePremiums,
"Error")))))),Max_InvReturn)</f>
        <v>0</v>
      </c>
      <c r="U176" s="62">
        <f>IF($AV176=0,0,
IF(Investment_Strategy="DIS",VLOOKUP(Investment_Strategy&amp;"_"&amp;Investment_Strategy_Sub1&amp;"_"&amp;$A176,'Investment Strategies'!$AZ:$BP,15,FALSE),
IF(AND(Investment_Strategy="Lifecycle",Investment_Strategy_Sub1="Non-Standard"),VLOOKUP(Investment_Strategy&amp;"_"&amp;Investment_Strategy_Sub2&amp;"_"&amp;$A176,'Investment Strategies'!$C:$P,12,FALSE),
IF(AND(Investment_Strategy="Lifecycle",Investment_Strategy_Sub1="Standard"),VLOOKUP(Investment_Strategy&amp;"_"&amp;Investment_Strategy_Sub2&amp;"_"&amp;$A176,'Investment Strategies'!$AJ:$AV,11,FALSE),
IF(AND(Investment_Strategy="Autopilot",Investment_Strategy_Sub1="Non-Standard"),VLOOKUP(Investment_Strategy&amp;"_"&amp;Investment_Strategy_Sub2&amp;"_"&amp;$A176,'Investment Strategies'!$T:$AF,11,FALSE),
IF(Investment_Strategy="DIY",DIY_GteeChrge_FuturePremiums,
"Error"))))))</f>
        <v>0</v>
      </c>
      <c r="V176" s="33">
        <f>IF(AV176=0,0,
IF(Investment_Strategy="DIS",VLOOKUP(Investment_Strategy&amp;"_"&amp;Investment_Strategy_Sub1&amp;"_"&amp;$A176,'Investment Strategies'!$AZ:$BP,17,FALSE),
IF(AND(Investment_Strategy="Lifecycle",Investment_Strategy_Sub1="Non-Standard"),VLOOKUP(Investment_Strategy&amp;"_"&amp;Investment_Strategy_Sub2&amp;"_"&amp;$A176,'Investment Strategies'!$C:$P,14,FALSE),
IF(AND(Investment_Strategy="Lifecycle",Investment_Strategy_Sub1="Standard"),VLOOKUP(Investment_Strategy&amp;"_"&amp;Investment_Strategy_Sub2&amp;"_"&amp;$A176,'Investment Strategies'!$AJ:$AV,13,FALSE),
IF(AND(Investment_Strategy="Autopilot",Investment_Strategy_Sub1="Non-Standard"),VLOOKUP(Investment_Strategy&amp;"_"&amp;Investment_Strategy_Sub2&amp;"_"&amp;$A176,'Investment Strategies'!$T:$AF,13,FALSE),
IF(Investment_Strategy="DIY",DIY_ExtManChrge_FuturePremiums,
"Error"))))))</f>
        <v>0</v>
      </c>
      <c r="W176" s="16">
        <f t="shared" si="97"/>
        <v>0</v>
      </c>
      <c r="X176" s="16">
        <f t="shared" si="72"/>
        <v>0</v>
      </c>
      <c r="Y176" s="16">
        <f t="shared" si="73"/>
        <v>0</v>
      </c>
      <c r="Z176" s="31">
        <f t="shared" si="74"/>
        <v>0.02</v>
      </c>
      <c r="AA176" s="16">
        <f t="shared" si="75"/>
        <v>0</v>
      </c>
      <c r="AB176" s="28">
        <f t="shared" si="98"/>
        <v>0</v>
      </c>
      <c r="AC176" s="28">
        <f>(SUM($AC$91:AC175)+SUM($X$91:X175)+X176)*T176*IF(D176=$A$91,SRP_finalmonthfactor,1)</f>
        <v>0</v>
      </c>
      <c r="AD176" s="16">
        <f t="shared" si="76"/>
        <v>0</v>
      </c>
      <c r="AE176" s="106"/>
      <c r="AF176" s="16">
        <f t="shared" si="85"/>
        <v>0</v>
      </c>
      <c r="AG176" s="16">
        <f t="shared" si="86"/>
        <v>0</v>
      </c>
      <c r="AH176" s="16">
        <f t="shared" si="87"/>
        <v>0</v>
      </c>
      <c r="AJ176" s="13">
        <f t="shared" si="108"/>
        <v>0</v>
      </c>
      <c r="AK176" s="13">
        <f t="shared" si="108"/>
        <v>0</v>
      </c>
      <c r="AL176" s="13">
        <f t="shared" si="108"/>
        <v>0</v>
      </c>
      <c r="AM176" s="13">
        <f t="shared" si="108"/>
        <v>0</v>
      </c>
      <c r="AN176" s="13">
        <f t="shared" si="108"/>
        <v>0</v>
      </c>
      <c r="AO176" s="13">
        <f t="shared" si="108"/>
        <v>1</v>
      </c>
      <c r="AP176" s="13">
        <f t="shared" si="108"/>
        <v>1</v>
      </c>
      <c r="AQ176" s="13">
        <f t="shared" si="108"/>
        <v>1</v>
      </c>
      <c r="AR176" s="13">
        <f t="shared" si="108"/>
        <v>1</v>
      </c>
      <c r="AS176" s="13">
        <f t="shared" si="108"/>
        <v>1</v>
      </c>
      <c r="AT176" s="13">
        <f t="shared" si="108"/>
        <v>1</v>
      </c>
      <c r="AU176" s="13">
        <f t="shared" si="108"/>
        <v>1</v>
      </c>
      <c r="AV176" s="13">
        <f t="shared" si="77"/>
        <v>0</v>
      </c>
      <c r="AW176" s="13">
        <f t="shared" si="78"/>
        <v>1</v>
      </c>
      <c r="AY176" s="17">
        <f t="shared" si="79"/>
        <v>86</v>
      </c>
      <c r="AZ176" s="28">
        <f t="shared" si="88"/>
        <v>0</v>
      </c>
      <c r="BA176" s="13">
        <f t="shared" si="80"/>
        <v>0</v>
      </c>
      <c r="BB176" s="13">
        <f t="shared" si="81"/>
        <v>0</v>
      </c>
      <c r="BC176" s="28">
        <f t="shared" si="89"/>
        <v>0</v>
      </c>
      <c r="BD176" s="28">
        <f t="shared" si="90"/>
        <v>0</v>
      </c>
      <c r="BF176" s="248">
        <f t="shared" si="91"/>
        <v>993869.29442638322</v>
      </c>
      <c r="BG176" s="36">
        <f t="shared" si="99"/>
        <v>0</v>
      </c>
      <c r="BH176" s="36">
        <f t="shared" si="100"/>
        <v>916168.53195816418</v>
      </c>
      <c r="BI176" s="249">
        <f t="shared" si="101"/>
        <v>0</v>
      </c>
      <c r="BJ176" s="246">
        <f t="shared" si="102"/>
        <v>0</v>
      </c>
      <c r="BK176" s="246">
        <f t="shared" si="82"/>
        <v>7.531116566323881E-4</v>
      </c>
      <c r="BL176" s="246">
        <f t="shared" si="103"/>
        <v>0</v>
      </c>
      <c r="BM176" s="246">
        <f t="shared" si="104"/>
        <v>7.531116566323881E-4</v>
      </c>
      <c r="BN176" s="36">
        <f t="shared" si="92"/>
        <v>689.97720085747608</v>
      </c>
      <c r="BO176" s="36">
        <f t="shared" si="105"/>
        <v>0</v>
      </c>
      <c r="BP176" s="36">
        <f t="shared" si="106"/>
        <v>915478.5547573067</v>
      </c>
    </row>
    <row r="177" spans="1:68">
      <c r="A177" s="32">
        <f t="shared" si="93"/>
        <v>-2</v>
      </c>
      <c r="B177" s="32">
        <f t="shared" si="83"/>
        <v>60</v>
      </c>
      <c r="C177" s="32">
        <f t="shared" si="94"/>
        <v>8</v>
      </c>
      <c r="D177" s="32">
        <f t="shared" si="95"/>
        <v>87</v>
      </c>
      <c r="E177" s="74">
        <f>MIN(IF(AV177=0,0,
IF(Investment_Strategy="DIS",VLOOKUP(Investment_Strategy&amp;"_"&amp;Investment_Strategy_Sub1&amp;"_"&amp;$A177,'Investment Strategies'!$AZ:$BP,12,FALSE),
IF(AND(Investment_Strategy="Lifecycle",Investment_Strategy_Sub1="Non-Standard"),VLOOKUP(Investment_Strategy&amp;"_"&amp;Investment_Strategy_Sub2&amp;"_"&amp;$A177,'Investment Strategies'!$C:$P,9,FALSE),
IF(AND(Investment_Strategy="Lifecycle",Investment_Strategy_Sub1="Standard"),VLOOKUP(Investment_Strategy&amp;"_"&amp;Investment_Strategy_Sub2&amp;"_"&amp;$A177,'Investment Strategies'!$AJ:$AV,8,FALSE),
IF(AND(Investment_Strategy="Autopilot",Investment_Strategy_Sub1="Non-Standard"),VLOOKUP(Investment_Strategy&amp;"_"&amp;Investment_Strategy_Sub2&amp;"_"&amp;$A177,'Investment Strategies'!$T:$AF,8,FALSE),
IF(Investment_Strategy ="DIY",DIY_RateOfReturn_CurrentFunds,
"Error")))))),Max_InvReturn)</f>
        <v>0</v>
      </c>
      <c r="F177" s="62">
        <f>IF(AV177=0,0,
IF(Investment_Strategy="DIS",VLOOKUP(Investment_Strategy&amp;"_"&amp;Investment_Strategy_Sub1&amp;"_"&amp;$A177,'Investment Strategies'!$AZ:$BP,15,FALSE),
IF(AND(Investment_Strategy="Lifecycle",Investment_Strategy_Sub1="Non-Standard"),VLOOKUP(Investment_Strategy&amp;"_"&amp;Investment_Strategy_Sub2&amp;"_"&amp;$A177,'Investment Strategies'!$C:$P,12,FALSE),
IF(AND(Investment_Strategy="Lifecycle",Investment_Strategy_Sub1="Standard"),VLOOKUP(Investment_Strategy&amp;"_"&amp;Investment_Strategy_Sub2&amp;"_"&amp;$A177,'Investment Strategies'!$AJ:$AV,11,FALSE),
IF(AND(Investment_Strategy="Autopilot",Investment_Strategy_Sub1="Non-Standard"),VLOOKUP(Investment_Strategy&amp;"_"&amp;Investment_Strategy_Sub2&amp;"_"&amp;$A177,'Investment Strategies'!$T:$AF,11,FALSE),
IF(Investment_Strategy="DIY",DIY_GteeChrge_CurrentFunds,
"Error"))))))</f>
        <v>0</v>
      </c>
      <c r="G177" s="33">
        <f>IF(AV177=0,0,
IF(Investment_Strategy="DIS",VLOOKUP(Investment_Strategy&amp;"_"&amp;Investment_Strategy_Sub1&amp;"_"&amp;$A177,'Investment Strategies'!$AZ:$BP,17,FALSE),
IF(AND(Investment_Strategy="Lifecycle",Investment_Strategy_Sub1="Non-Standard"),VLOOKUP(Investment_Strategy&amp;"_"&amp;Investment_Strategy_Sub2&amp;"_"&amp;$A177,'Investment Strategies'!$C:$P,14,FALSE),
IF(AND(Investment_Strategy="Lifecycle",Investment_Strategy_Sub1="Standard"),VLOOKUP(Investment_Strategy&amp;"_"&amp;Investment_Strategy_Sub2&amp;"_"&amp;$A177,'Investment Strategies'!$AJ:$AV,13,FALSE),
IF(AND(Investment_Strategy="Autopilot",Investment_Strategy_Sub1="Non-Standard"),VLOOKUP(Investment_Strategy&amp;"_"&amp;Investment_Strategy_Sub2&amp;"_"&amp;$A177,'Investment Strategies'!$T:$AF,13,FALSE),
IF(Investment_Strategy="DIY",DIY_ExtManChrge_CurrentFunds,
"Error"))))))</f>
        <v>0</v>
      </c>
      <c r="H177" s="16">
        <f t="shared" si="84"/>
        <v>0</v>
      </c>
      <c r="I177" s="16">
        <f t="shared" si="68"/>
        <v>0</v>
      </c>
      <c r="J177" s="16">
        <f t="shared" si="69"/>
        <v>0</v>
      </c>
      <c r="K177" s="16">
        <f>(Opening_Fund_Value+SUM(K$91:K176))*E177*IF(D177=$A$91,SRP_finalmonthfactor,1)</f>
        <v>0</v>
      </c>
      <c r="L177" s="74">
        <f>MIN(IF($AV177=0,0,
IF(Investment_Strategy="DIS",VLOOKUP(Investment_Strategy&amp;"_"&amp;Investment_Strategy_Sub1&amp;"_"&amp;$A177,'Investment Strategies'!$AZ:$BP,12,FALSE),
IF(AND(Investment_Strategy="Lifecycle",Investment_Strategy_Sub1="Non-Standard"),VLOOKUP(Investment_Strategy&amp;"_"&amp;Investment_Strategy_Sub2&amp;"_"&amp;$A177,'Investment Strategies'!$C:$P,9,FALSE),
IF(AND(Investment_Strategy="Lifecycle",Investment_Strategy_Sub1="Standard"),VLOOKUP(Investment_Strategy&amp;"_"&amp;Investment_Strategy_Sub2&amp;"_"&amp;$A177,'Investment Strategies'!$AJ:$AV,8,FALSE),
IF(AND(Investment_Strategy="Autopilot",Investment_Strategy_Sub1="Non-Standard"),VLOOKUP(Investment_Strategy&amp;"_"&amp;Investment_Strategy_Sub2&amp;"_"&amp;$A177,'Investment Strategies'!$T:$AF,8,FALSE),
IF(Investment_Strategy ="DIY",DIY_RateofReturn_SP,
"Error")))))),Max_InvReturn)</f>
        <v>0</v>
      </c>
      <c r="M177" s="62">
        <f>IF($AV177=0,0,
IF(Investment_Strategy="DIS",VLOOKUP(Investment_Strategy&amp;"_"&amp;Investment_Strategy_Sub1&amp;"_"&amp;$A177,'Investment Strategies'!$AZ:$BP,15,FALSE),
IF(AND(Investment_Strategy="Lifecycle",Investment_Strategy_Sub1="Non-Standard"),VLOOKUP(Investment_Strategy&amp;"_"&amp;Investment_Strategy_Sub2&amp;"_"&amp;$A177,'Investment Strategies'!$C:$P,12,FALSE),
IF(AND(Investment_Strategy="Lifecycle",Investment_Strategy_Sub1="Standard"),VLOOKUP(Investment_Strategy&amp;"_"&amp;Investment_Strategy_Sub2&amp;"_"&amp;$A177,'Investment Strategies'!$AJ:$AV,11,FALSE),
IF(AND(Investment_Strategy="Autopilot",Investment_Strategy_Sub1="Non-Standard"),VLOOKUP(Investment_Strategy&amp;"_"&amp;Investment_Strategy_Sub2&amp;"_"&amp;$A177,'Investment Strategies'!$T:$AF,11,FALSE),
IF(Investment_Strategy="DIY",DIY_GteeChrge_SP,
"Error"))))))</f>
        <v>0</v>
      </c>
      <c r="N177" s="33">
        <f>IF($AV177=0,0,
IF(Investment_Strategy="DIS",VLOOKUP(Investment_Strategy&amp;"_"&amp;Investment_Strategy_Sub1&amp;"_"&amp;$A177,'Investment Strategies'!$AZ:$BP,17,FALSE),
IF(AND(Investment_Strategy="Lifecycle",Investment_Strategy_Sub1="Non-Standard"),VLOOKUP(Investment_Strategy&amp;"_"&amp;Investment_Strategy_Sub2&amp;"_"&amp;$A177,'Investment Strategies'!$C:$P,14,FALSE),
IF(AND(Investment_Strategy="Lifecycle",Investment_Strategy_Sub1="Standard"),VLOOKUP(Investment_Strategy&amp;"_"&amp;Investment_Strategy_Sub2&amp;"_"&amp;$A177,'Investment Strategies'!$AJ:$AV,13,FALSE),
IF(AND(Investment_Strategy="Autopilot",Investment_Strategy_Sub1="Non-Standard"),VLOOKUP(Investment_Strategy&amp;"_"&amp;Investment_Strategy_Sub2&amp;"_"&amp;$A177,'Investment Strategies'!$T:$AF,13,FALSE),
IF(Investment_Strategy="DIY",DIY_ExtManChrge_SP,
"Error"))))))</f>
        <v>0</v>
      </c>
      <c r="O177" s="16">
        <f t="shared" si="96"/>
        <v>0</v>
      </c>
      <c r="Q177" s="16">
        <f t="shared" si="70"/>
        <v>0</v>
      </c>
      <c r="R177" s="16">
        <f t="shared" si="71"/>
        <v>0</v>
      </c>
      <c r="S177" s="16">
        <f>(SRP_SP+SUM(S$91:S176))*L177*IF(D177=$A$91,SRP_finalmonthfactor,1)</f>
        <v>0</v>
      </c>
      <c r="T177" s="74">
        <f>MIN(IF($AV177=0,0,
IF(Investment_Strategy="DIS",VLOOKUP(Investment_Strategy&amp;"_"&amp;Investment_Strategy_Sub1&amp;"_"&amp;$A177,'Investment Strategies'!$AZ:$BP,12,FALSE),
IF(AND(Investment_Strategy="Lifecycle",Investment_Strategy_Sub1="Non-Standard"),VLOOKUP(Investment_Strategy&amp;"_"&amp;Investment_Strategy_Sub2&amp;"_"&amp;$A177,'Investment Strategies'!$C:$P,9,FALSE),
IF(AND(Investment_Strategy="Lifecycle",Investment_Strategy_Sub1="Standard"),VLOOKUP(Investment_Strategy&amp;"_"&amp;Investment_Strategy_Sub2&amp;"_"&amp;$A177,'Investment Strategies'!$AJ:$AV,8,FALSE),
IF(AND(Investment_Strategy="Autopilot",Investment_Strategy_Sub1="Non-Standard"),VLOOKUP(Investment_Strategy&amp;"_"&amp;Investment_Strategy_Sub2&amp;"_"&amp;$A177,'Investment Strategies'!$T:$AF,8,FALSE),
IF(Investment_Strategy ="DIY",DIY_RateOfReturn_FuturePremiums,
"Error")))))),Max_InvReturn)</f>
        <v>0</v>
      </c>
      <c r="U177" s="62">
        <f>IF($AV177=0,0,
IF(Investment_Strategy="DIS",VLOOKUP(Investment_Strategy&amp;"_"&amp;Investment_Strategy_Sub1&amp;"_"&amp;$A177,'Investment Strategies'!$AZ:$BP,15,FALSE),
IF(AND(Investment_Strategy="Lifecycle",Investment_Strategy_Sub1="Non-Standard"),VLOOKUP(Investment_Strategy&amp;"_"&amp;Investment_Strategy_Sub2&amp;"_"&amp;$A177,'Investment Strategies'!$C:$P,12,FALSE),
IF(AND(Investment_Strategy="Lifecycle",Investment_Strategy_Sub1="Standard"),VLOOKUP(Investment_Strategy&amp;"_"&amp;Investment_Strategy_Sub2&amp;"_"&amp;$A177,'Investment Strategies'!$AJ:$AV,11,FALSE),
IF(AND(Investment_Strategy="Autopilot",Investment_Strategy_Sub1="Non-Standard"),VLOOKUP(Investment_Strategy&amp;"_"&amp;Investment_Strategy_Sub2&amp;"_"&amp;$A177,'Investment Strategies'!$T:$AF,11,FALSE),
IF(Investment_Strategy="DIY",DIY_GteeChrge_FuturePremiums,
"Error"))))))</f>
        <v>0</v>
      </c>
      <c r="V177" s="33">
        <f>IF(AV177=0,0,
IF(Investment_Strategy="DIS",VLOOKUP(Investment_Strategy&amp;"_"&amp;Investment_Strategy_Sub1&amp;"_"&amp;$A177,'Investment Strategies'!$AZ:$BP,17,FALSE),
IF(AND(Investment_Strategy="Lifecycle",Investment_Strategy_Sub1="Non-Standard"),VLOOKUP(Investment_Strategy&amp;"_"&amp;Investment_Strategy_Sub2&amp;"_"&amp;$A177,'Investment Strategies'!$C:$P,14,FALSE),
IF(AND(Investment_Strategy="Lifecycle",Investment_Strategy_Sub1="Standard"),VLOOKUP(Investment_Strategy&amp;"_"&amp;Investment_Strategy_Sub2&amp;"_"&amp;$A177,'Investment Strategies'!$AJ:$AV,13,FALSE),
IF(AND(Investment_Strategy="Autopilot",Investment_Strategy_Sub1="Non-Standard"),VLOOKUP(Investment_Strategy&amp;"_"&amp;Investment_Strategy_Sub2&amp;"_"&amp;$A177,'Investment Strategies'!$T:$AF,13,FALSE),
IF(Investment_Strategy="DIY",DIY_ExtManChrge_FuturePremiums,
"Error"))))))</f>
        <v>0</v>
      </c>
      <c r="W177" s="16">
        <f t="shared" si="97"/>
        <v>0</v>
      </c>
      <c r="X177" s="16">
        <f t="shared" si="72"/>
        <v>0</v>
      </c>
      <c r="Y177" s="16">
        <f t="shared" si="73"/>
        <v>0</v>
      </c>
      <c r="Z177" s="31">
        <f t="shared" si="74"/>
        <v>0.02</v>
      </c>
      <c r="AA177" s="16">
        <f t="shared" si="75"/>
        <v>0</v>
      </c>
      <c r="AB177" s="28">
        <f t="shared" si="98"/>
        <v>0</v>
      </c>
      <c r="AC177" s="28">
        <f>(SUM($AC$91:AC176)+SUM($X$91:X176)+X177)*T177*IF(D177=$A$91,SRP_finalmonthfactor,1)</f>
        <v>0</v>
      </c>
      <c r="AD177" s="16">
        <f t="shared" si="76"/>
        <v>0</v>
      </c>
      <c r="AE177" s="106"/>
      <c r="AF177" s="16">
        <f t="shared" si="85"/>
        <v>0</v>
      </c>
      <c r="AG177" s="16">
        <f t="shared" si="86"/>
        <v>0</v>
      </c>
      <c r="AH177" s="16">
        <f t="shared" si="87"/>
        <v>0</v>
      </c>
      <c r="AJ177" s="13">
        <f t="shared" si="108"/>
        <v>0</v>
      </c>
      <c r="AK177" s="13">
        <f t="shared" si="108"/>
        <v>0</v>
      </c>
      <c r="AL177" s="13">
        <f t="shared" si="108"/>
        <v>0</v>
      </c>
      <c r="AM177" s="13">
        <f t="shared" si="108"/>
        <v>0</v>
      </c>
      <c r="AN177" s="13">
        <f t="shared" si="108"/>
        <v>0</v>
      </c>
      <c r="AO177" s="13">
        <f t="shared" si="108"/>
        <v>1</v>
      </c>
      <c r="AP177" s="13">
        <f t="shared" si="108"/>
        <v>1</v>
      </c>
      <c r="AQ177" s="13">
        <f t="shared" si="108"/>
        <v>1</v>
      </c>
      <c r="AR177" s="13">
        <f t="shared" si="108"/>
        <v>1</v>
      </c>
      <c r="AS177" s="13">
        <f t="shared" si="108"/>
        <v>1</v>
      </c>
      <c r="AT177" s="13">
        <f t="shared" si="108"/>
        <v>1</v>
      </c>
      <c r="AU177" s="13">
        <f t="shared" si="108"/>
        <v>1</v>
      </c>
      <c r="AV177" s="13">
        <f t="shared" si="77"/>
        <v>0</v>
      </c>
      <c r="AW177" s="13">
        <f t="shared" si="78"/>
        <v>1</v>
      </c>
      <c r="AY177" s="17">
        <f t="shared" si="79"/>
        <v>87</v>
      </c>
      <c r="AZ177" s="28">
        <f t="shared" si="88"/>
        <v>0</v>
      </c>
      <c r="BA177" s="13">
        <f t="shared" si="80"/>
        <v>0</v>
      </c>
      <c r="BB177" s="13">
        <f t="shared" si="81"/>
        <v>0</v>
      </c>
      <c r="BC177" s="28">
        <f t="shared" si="89"/>
        <v>0</v>
      </c>
      <c r="BD177" s="28">
        <f t="shared" si="90"/>
        <v>0</v>
      </c>
      <c r="BF177" s="248">
        <f t="shared" si="91"/>
        <v>993869.29442638322</v>
      </c>
      <c r="BG177" s="36">
        <f t="shared" si="99"/>
        <v>0</v>
      </c>
      <c r="BH177" s="36">
        <f t="shared" si="100"/>
        <v>915478.5547573067</v>
      </c>
      <c r="BI177" s="249">
        <f t="shared" si="101"/>
        <v>0</v>
      </c>
      <c r="BJ177" s="246">
        <f t="shared" si="102"/>
        <v>0</v>
      </c>
      <c r="BK177" s="246">
        <f t="shared" si="82"/>
        <v>7.531116566323881E-4</v>
      </c>
      <c r="BL177" s="246">
        <f t="shared" si="103"/>
        <v>0</v>
      </c>
      <c r="BM177" s="246">
        <f t="shared" si="104"/>
        <v>7.531116566323881E-4</v>
      </c>
      <c r="BN177" s="36">
        <f t="shared" si="92"/>
        <v>689.45757098469971</v>
      </c>
      <c r="BO177" s="36">
        <f t="shared" si="105"/>
        <v>0</v>
      </c>
      <c r="BP177" s="36">
        <f t="shared" si="106"/>
        <v>914789.09718632197</v>
      </c>
    </row>
    <row r="178" spans="1:68">
      <c r="A178" s="32">
        <f t="shared" si="93"/>
        <v>-3</v>
      </c>
      <c r="B178" s="32">
        <f t="shared" si="83"/>
        <v>60</v>
      </c>
      <c r="C178" s="32">
        <f t="shared" si="94"/>
        <v>8</v>
      </c>
      <c r="D178" s="32">
        <f t="shared" si="95"/>
        <v>88</v>
      </c>
      <c r="E178" s="74">
        <f>MIN(IF(AV178=0,0,
IF(Investment_Strategy="DIS",VLOOKUP(Investment_Strategy&amp;"_"&amp;Investment_Strategy_Sub1&amp;"_"&amp;$A178,'Investment Strategies'!$AZ:$BP,12,FALSE),
IF(AND(Investment_Strategy="Lifecycle",Investment_Strategy_Sub1="Non-Standard"),VLOOKUP(Investment_Strategy&amp;"_"&amp;Investment_Strategy_Sub2&amp;"_"&amp;$A178,'Investment Strategies'!$C:$P,9,FALSE),
IF(AND(Investment_Strategy="Lifecycle",Investment_Strategy_Sub1="Standard"),VLOOKUP(Investment_Strategy&amp;"_"&amp;Investment_Strategy_Sub2&amp;"_"&amp;$A178,'Investment Strategies'!$AJ:$AV,8,FALSE),
IF(AND(Investment_Strategy="Autopilot",Investment_Strategy_Sub1="Non-Standard"),VLOOKUP(Investment_Strategy&amp;"_"&amp;Investment_Strategy_Sub2&amp;"_"&amp;$A178,'Investment Strategies'!$T:$AF,8,FALSE),
IF(Investment_Strategy ="DIY",DIY_RateOfReturn_CurrentFunds,
"Error")))))),Max_InvReturn)</f>
        <v>0</v>
      </c>
      <c r="F178" s="62">
        <f>IF(AV178=0,0,
IF(Investment_Strategy="DIS",VLOOKUP(Investment_Strategy&amp;"_"&amp;Investment_Strategy_Sub1&amp;"_"&amp;$A178,'Investment Strategies'!$AZ:$BP,15,FALSE),
IF(AND(Investment_Strategy="Lifecycle",Investment_Strategy_Sub1="Non-Standard"),VLOOKUP(Investment_Strategy&amp;"_"&amp;Investment_Strategy_Sub2&amp;"_"&amp;$A178,'Investment Strategies'!$C:$P,12,FALSE),
IF(AND(Investment_Strategy="Lifecycle",Investment_Strategy_Sub1="Standard"),VLOOKUP(Investment_Strategy&amp;"_"&amp;Investment_Strategy_Sub2&amp;"_"&amp;$A178,'Investment Strategies'!$AJ:$AV,11,FALSE),
IF(AND(Investment_Strategy="Autopilot",Investment_Strategy_Sub1="Non-Standard"),VLOOKUP(Investment_Strategy&amp;"_"&amp;Investment_Strategy_Sub2&amp;"_"&amp;$A178,'Investment Strategies'!$T:$AF,11,FALSE),
IF(Investment_Strategy="DIY",DIY_GteeChrge_CurrentFunds,
"Error"))))))</f>
        <v>0</v>
      </c>
      <c r="G178" s="33">
        <f>IF(AV178=0,0,
IF(Investment_Strategy="DIS",VLOOKUP(Investment_Strategy&amp;"_"&amp;Investment_Strategy_Sub1&amp;"_"&amp;$A178,'Investment Strategies'!$AZ:$BP,17,FALSE),
IF(AND(Investment_Strategy="Lifecycle",Investment_Strategy_Sub1="Non-Standard"),VLOOKUP(Investment_Strategy&amp;"_"&amp;Investment_Strategy_Sub2&amp;"_"&amp;$A178,'Investment Strategies'!$C:$P,14,FALSE),
IF(AND(Investment_Strategy="Lifecycle",Investment_Strategy_Sub1="Standard"),VLOOKUP(Investment_Strategy&amp;"_"&amp;Investment_Strategy_Sub2&amp;"_"&amp;$A178,'Investment Strategies'!$AJ:$AV,13,FALSE),
IF(AND(Investment_Strategy="Autopilot",Investment_Strategy_Sub1="Non-Standard"),VLOOKUP(Investment_Strategy&amp;"_"&amp;Investment_Strategy_Sub2&amp;"_"&amp;$A178,'Investment Strategies'!$T:$AF,13,FALSE),
IF(Investment_Strategy="DIY",DIY_ExtManChrge_CurrentFunds,
"Error"))))))</f>
        <v>0</v>
      </c>
      <c r="H178" s="16">
        <f t="shared" si="84"/>
        <v>0</v>
      </c>
      <c r="I178" s="16">
        <f t="shared" si="68"/>
        <v>0</v>
      </c>
      <c r="J178" s="16">
        <f t="shared" si="69"/>
        <v>0</v>
      </c>
      <c r="K178" s="16">
        <f>(Opening_Fund_Value+SUM(K$91:K177))*E178*IF(D178=$A$91,SRP_finalmonthfactor,1)</f>
        <v>0</v>
      </c>
      <c r="L178" s="74">
        <f>MIN(IF($AV178=0,0,
IF(Investment_Strategy="DIS",VLOOKUP(Investment_Strategy&amp;"_"&amp;Investment_Strategy_Sub1&amp;"_"&amp;$A178,'Investment Strategies'!$AZ:$BP,12,FALSE),
IF(AND(Investment_Strategy="Lifecycle",Investment_Strategy_Sub1="Non-Standard"),VLOOKUP(Investment_Strategy&amp;"_"&amp;Investment_Strategy_Sub2&amp;"_"&amp;$A178,'Investment Strategies'!$C:$P,9,FALSE),
IF(AND(Investment_Strategy="Lifecycle",Investment_Strategy_Sub1="Standard"),VLOOKUP(Investment_Strategy&amp;"_"&amp;Investment_Strategy_Sub2&amp;"_"&amp;$A178,'Investment Strategies'!$AJ:$AV,8,FALSE),
IF(AND(Investment_Strategy="Autopilot",Investment_Strategy_Sub1="Non-Standard"),VLOOKUP(Investment_Strategy&amp;"_"&amp;Investment_Strategy_Sub2&amp;"_"&amp;$A178,'Investment Strategies'!$T:$AF,8,FALSE),
IF(Investment_Strategy ="DIY",DIY_RateofReturn_SP,
"Error")))))),Max_InvReturn)</f>
        <v>0</v>
      </c>
      <c r="M178" s="62">
        <f>IF($AV178=0,0,
IF(Investment_Strategy="DIS",VLOOKUP(Investment_Strategy&amp;"_"&amp;Investment_Strategy_Sub1&amp;"_"&amp;$A178,'Investment Strategies'!$AZ:$BP,15,FALSE),
IF(AND(Investment_Strategy="Lifecycle",Investment_Strategy_Sub1="Non-Standard"),VLOOKUP(Investment_Strategy&amp;"_"&amp;Investment_Strategy_Sub2&amp;"_"&amp;$A178,'Investment Strategies'!$C:$P,12,FALSE),
IF(AND(Investment_Strategy="Lifecycle",Investment_Strategy_Sub1="Standard"),VLOOKUP(Investment_Strategy&amp;"_"&amp;Investment_Strategy_Sub2&amp;"_"&amp;$A178,'Investment Strategies'!$AJ:$AV,11,FALSE),
IF(AND(Investment_Strategy="Autopilot",Investment_Strategy_Sub1="Non-Standard"),VLOOKUP(Investment_Strategy&amp;"_"&amp;Investment_Strategy_Sub2&amp;"_"&amp;$A178,'Investment Strategies'!$T:$AF,11,FALSE),
IF(Investment_Strategy="DIY",DIY_GteeChrge_SP,
"Error"))))))</f>
        <v>0</v>
      </c>
      <c r="N178" s="33">
        <f>IF($AV178=0,0,
IF(Investment_Strategy="DIS",VLOOKUP(Investment_Strategy&amp;"_"&amp;Investment_Strategy_Sub1&amp;"_"&amp;$A178,'Investment Strategies'!$AZ:$BP,17,FALSE),
IF(AND(Investment_Strategy="Lifecycle",Investment_Strategy_Sub1="Non-Standard"),VLOOKUP(Investment_Strategy&amp;"_"&amp;Investment_Strategy_Sub2&amp;"_"&amp;$A178,'Investment Strategies'!$C:$P,14,FALSE),
IF(AND(Investment_Strategy="Lifecycle",Investment_Strategy_Sub1="Standard"),VLOOKUP(Investment_Strategy&amp;"_"&amp;Investment_Strategy_Sub2&amp;"_"&amp;$A178,'Investment Strategies'!$AJ:$AV,13,FALSE),
IF(AND(Investment_Strategy="Autopilot",Investment_Strategy_Sub1="Non-Standard"),VLOOKUP(Investment_Strategy&amp;"_"&amp;Investment_Strategy_Sub2&amp;"_"&amp;$A178,'Investment Strategies'!$T:$AF,13,FALSE),
IF(Investment_Strategy="DIY",DIY_ExtManChrge_SP,
"Error"))))))</f>
        <v>0</v>
      </c>
      <c r="O178" s="16">
        <f t="shared" si="96"/>
        <v>0</v>
      </c>
      <c r="Q178" s="16">
        <f t="shared" si="70"/>
        <v>0</v>
      </c>
      <c r="R178" s="16">
        <f t="shared" si="71"/>
        <v>0</v>
      </c>
      <c r="S178" s="16">
        <f>(SRP_SP+SUM(S$91:S177))*L178*IF(D178=$A$91,SRP_finalmonthfactor,1)</f>
        <v>0</v>
      </c>
      <c r="T178" s="74">
        <f>MIN(IF($AV178=0,0,
IF(Investment_Strategy="DIS",VLOOKUP(Investment_Strategy&amp;"_"&amp;Investment_Strategy_Sub1&amp;"_"&amp;$A178,'Investment Strategies'!$AZ:$BP,12,FALSE),
IF(AND(Investment_Strategy="Lifecycle",Investment_Strategy_Sub1="Non-Standard"),VLOOKUP(Investment_Strategy&amp;"_"&amp;Investment_Strategy_Sub2&amp;"_"&amp;$A178,'Investment Strategies'!$C:$P,9,FALSE),
IF(AND(Investment_Strategy="Lifecycle",Investment_Strategy_Sub1="Standard"),VLOOKUP(Investment_Strategy&amp;"_"&amp;Investment_Strategy_Sub2&amp;"_"&amp;$A178,'Investment Strategies'!$AJ:$AV,8,FALSE),
IF(AND(Investment_Strategy="Autopilot",Investment_Strategy_Sub1="Non-Standard"),VLOOKUP(Investment_Strategy&amp;"_"&amp;Investment_Strategy_Sub2&amp;"_"&amp;$A178,'Investment Strategies'!$T:$AF,8,FALSE),
IF(Investment_Strategy ="DIY",DIY_RateOfReturn_FuturePremiums,
"Error")))))),Max_InvReturn)</f>
        <v>0</v>
      </c>
      <c r="U178" s="62">
        <f>IF($AV178=0,0,
IF(Investment_Strategy="DIS",VLOOKUP(Investment_Strategy&amp;"_"&amp;Investment_Strategy_Sub1&amp;"_"&amp;$A178,'Investment Strategies'!$AZ:$BP,15,FALSE),
IF(AND(Investment_Strategy="Lifecycle",Investment_Strategy_Sub1="Non-Standard"),VLOOKUP(Investment_Strategy&amp;"_"&amp;Investment_Strategy_Sub2&amp;"_"&amp;$A178,'Investment Strategies'!$C:$P,12,FALSE),
IF(AND(Investment_Strategy="Lifecycle",Investment_Strategy_Sub1="Standard"),VLOOKUP(Investment_Strategy&amp;"_"&amp;Investment_Strategy_Sub2&amp;"_"&amp;$A178,'Investment Strategies'!$AJ:$AV,11,FALSE),
IF(AND(Investment_Strategy="Autopilot",Investment_Strategy_Sub1="Non-Standard"),VLOOKUP(Investment_Strategy&amp;"_"&amp;Investment_Strategy_Sub2&amp;"_"&amp;$A178,'Investment Strategies'!$T:$AF,11,FALSE),
IF(Investment_Strategy="DIY",DIY_GteeChrge_FuturePremiums,
"Error"))))))</f>
        <v>0</v>
      </c>
      <c r="V178" s="33">
        <f>IF(AV178=0,0,
IF(Investment_Strategy="DIS",VLOOKUP(Investment_Strategy&amp;"_"&amp;Investment_Strategy_Sub1&amp;"_"&amp;$A178,'Investment Strategies'!$AZ:$BP,17,FALSE),
IF(AND(Investment_Strategy="Lifecycle",Investment_Strategy_Sub1="Non-Standard"),VLOOKUP(Investment_Strategy&amp;"_"&amp;Investment_Strategy_Sub2&amp;"_"&amp;$A178,'Investment Strategies'!$C:$P,14,FALSE),
IF(AND(Investment_Strategy="Lifecycle",Investment_Strategy_Sub1="Standard"),VLOOKUP(Investment_Strategy&amp;"_"&amp;Investment_Strategy_Sub2&amp;"_"&amp;$A178,'Investment Strategies'!$AJ:$AV,13,FALSE),
IF(AND(Investment_Strategy="Autopilot",Investment_Strategy_Sub1="Non-Standard"),VLOOKUP(Investment_Strategy&amp;"_"&amp;Investment_Strategy_Sub2&amp;"_"&amp;$A178,'Investment Strategies'!$T:$AF,13,FALSE),
IF(Investment_Strategy="DIY",DIY_ExtManChrge_FuturePremiums,
"Error"))))))</f>
        <v>0</v>
      </c>
      <c r="W178" s="16">
        <f t="shared" si="97"/>
        <v>0</v>
      </c>
      <c r="X178" s="16">
        <f t="shared" si="72"/>
        <v>0</v>
      </c>
      <c r="Y178" s="16">
        <f t="shared" si="73"/>
        <v>0</v>
      </c>
      <c r="Z178" s="31">
        <f t="shared" si="74"/>
        <v>0.02</v>
      </c>
      <c r="AA178" s="16">
        <f t="shared" si="75"/>
        <v>0</v>
      </c>
      <c r="AB178" s="28">
        <f t="shared" si="98"/>
        <v>0</v>
      </c>
      <c r="AC178" s="28">
        <f>(SUM($AC$91:AC177)+SUM($X$91:X177)+X178)*T178*IF(D178=$A$91,SRP_finalmonthfactor,1)</f>
        <v>0</v>
      </c>
      <c r="AD178" s="16">
        <f t="shared" si="76"/>
        <v>0</v>
      </c>
      <c r="AE178" s="106"/>
      <c r="AF178" s="16">
        <f t="shared" si="85"/>
        <v>0</v>
      </c>
      <c r="AG178" s="16">
        <f t="shared" si="86"/>
        <v>0</v>
      </c>
      <c r="AH178" s="16">
        <f t="shared" si="87"/>
        <v>0</v>
      </c>
      <c r="AJ178" s="13">
        <f t="shared" si="108"/>
        <v>0</v>
      </c>
      <c r="AK178" s="13">
        <f t="shared" si="108"/>
        <v>0</v>
      </c>
      <c r="AL178" s="13">
        <f t="shared" si="108"/>
        <v>0</v>
      </c>
      <c r="AM178" s="13">
        <f t="shared" si="108"/>
        <v>0</v>
      </c>
      <c r="AN178" s="13">
        <f t="shared" si="108"/>
        <v>0</v>
      </c>
      <c r="AO178" s="13">
        <f t="shared" si="108"/>
        <v>1</v>
      </c>
      <c r="AP178" s="13">
        <f t="shared" si="108"/>
        <v>1</v>
      </c>
      <c r="AQ178" s="13">
        <f t="shared" si="108"/>
        <v>1</v>
      </c>
      <c r="AR178" s="13">
        <f t="shared" si="108"/>
        <v>1</v>
      </c>
      <c r="AS178" s="13">
        <f t="shared" si="108"/>
        <v>1</v>
      </c>
      <c r="AT178" s="13">
        <f t="shared" si="108"/>
        <v>1</v>
      </c>
      <c r="AU178" s="13">
        <f t="shared" si="108"/>
        <v>1</v>
      </c>
      <c r="AV178" s="13">
        <f t="shared" si="77"/>
        <v>0</v>
      </c>
      <c r="AW178" s="13">
        <f t="shared" si="78"/>
        <v>1</v>
      </c>
      <c r="AY178" s="17">
        <f t="shared" si="79"/>
        <v>88</v>
      </c>
      <c r="AZ178" s="28">
        <f t="shared" si="88"/>
        <v>0</v>
      </c>
      <c r="BA178" s="13">
        <f t="shared" si="80"/>
        <v>0</v>
      </c>
      <c r="BB178" s="13">
        <f t="shared" si="81"/>
        <v>0</v>
      </c>
      <c r="BC178" s="28">
        <f t="shared" si="89"/>
        <v>0</v>
      </c>
      <c r="BD178" s="28">
        <f t="shared" si="90"/>
        <v>0</v>
      </c>
      <c r="BF178" s="248">
        <f t="shared" si="91"/>
        <v>993869.29442638322</v>
      </c>
      <c r="BG178" s="36">
        <f t="shared" si="99"/>
        <v>0</v>
      </c>
      <c r="BH178" s="36">
        <f t="shared" si="100"/>
        <v>914789.09718632197</v>
      </c>
      <c r="BI178" s="249">
        <f t="shared" si="101"/>
        <v>0</v>
      </c>
      <c r="BJ178" s="246">
        <f t="shared" si="102"/>
        <v>0</v>
      </c>
      <c r="BK178" s="246">
        <f t="shared" si="82"/>
        <v>7.531116566323881E-4</v>
      </c>
      <c r="BL178" s="246">
        <f t="shared" si="103"/>
        <v>0</v>
      </c>
      <c r="BM178" s="246">
        <f t="shared" si="104"/>
        <v>7.531116566323881E-4</v>
      </c>
      <c r="BN178" s="36">
        <f t="shared" si="92"/>
        <v>688.93833245123767</v>
      </c>
      <c r="BO178" s="36">
        <f t="shared" si="105"/>
        <v>0</v>
      </c>
      <c r="BP178" s="36">
        <f t="shared" si="106"/>
        <v>914100.1588538707</v>
      </c>
    </row>
    <row r="179" spans="1:68">
      <c r="A179" s="32">
        <f t="shared" si="93"/>
        <v>-4</v>
      </c>
      <c r="B179" s="32">
        <f t="shared" si="83"/>
        <v>60</v>
      </c>
      <c r="C179" s="32">
        <f t="shared" si="94"/>
        <v>8</v>
      </c>
      <c r="D179" s="32">
        <f t="shared" si="95"/>
        <v>89</v>
      </c>
      <c r="E179" s="74">
        <f>MIN(IF(AV179=0,0,
IF(Investment_Strategy="DIS",VLOOKUP(Investment_Strategy&amp;"_"&amp;Investment_Strategy_Sub1&amp;"_"&amp;$A179,'Investment Strategies'!$AZ:$BP,12,FALSE),
IF(AND(Investment_Strategy="Lifecycle",Investment_Strategy_Sub1="Non-Standard"),VLOOKUP(Investment_Strategy&amp;"_"&amp;Investment_Strategy_Sub2&amp;"_"&amp;$A179,'Investment Strategies'!$C:$P,9,FALSE),
IF(AND(Investment_Strategy="Lifecycle",Investment_Strategy_Sub1="Standard"),VLOOKUP(Investment_Strategy&amp;"_"&amp;Investment_Strategy_Sub2&amp;"_"&amp;$A179,'Investment Strategies'!$AJ:$AV,8,FALSE),
IF(AND(Investment_Strategy="Autopilot",Investment_Strategy_Sub1="Non-Standard"),VLOOKUP(Investment_Strategy&amp;"_"&amp;Investment_Strategy_Sub2&amp;"_"&amp;$A179,'Investment Strategies'!$T:$AF,8,FALSE),
IF(Investment_Strategy ="DIY",DIY_RateOfReturn_CurrentFunds,
"Error")))))),Max_InvReturn)</f>
        <v>0</v>
      </c>
      <c r="F179" s="62">
        <f>IF(AV179=0,0,
IF(Investment_Strategy="DIS",VLOOKUP(Investment_Strategy&amp;"_"&amp;Investment_Strategy_Sub1&amp;"_"&amp;$A179,'Investment Strategies'!$AZ:$BP,15,FALSE),
IF(AND(Investment_Strategy="Lifecycle",Investment_Strategy_Sub1="Non-Standard"),VLOOKUP(Investment_Strategy&amp;"_"&amp;Investment_Strategy_Sub2&amp;"_"&amp;$A179,'Investment Strategies'!$C:$P,12,FALSE),
IF(AND(Investment_Strategy="Lifecycle",Investment_Strategy_Sub1="Standard"),VLOOKUP(Investment_Strategy&amp;"_"&amp;Investment_Strategy_Sub2&amp;"_"&amp;$A179,'Investment Strategies'!$AJ:$AV,11,FALSE),
IF(AND(Investment_Strategy="Autopilot",Investment_Strategy_Sub1="Non-Standard"),VLOOKUP(Investment_Strategy&amp;"_"&amp;Investment_Strategy_Sub2&amp;"_"&amp;$A179,'Investment Strategies'!$T:$AF,11,FALSE),
IF(Investment_Strategy="DIY",DIY_GteeChrge_CurrentFunds,
"Error"))))))</f>
        <v>0</v>
      </c>
      <c r="G179" s="33">
        <f>IF(AV179=0,0,
IF(Investment_Strategy="DIS",VLOOKUP(Investment_Strategy&amp;"_"&amp;Investment_Strategy_Sub1&amp;"_"&amp;$A179,'Investment Strategies'!$AZ:$BP,17,FALSE),
IF(AND(Investment_Strategy="Lifecycle",Investment_Strategy_Sub1="Non-Standard"),VLOOKUP(Investment_Strategy&amp;"_"&amp;Investment_Strategy_Sub2&amp;"_"&amp;$A179,'Investment Strategies'!$C:$P,14,FALSE),
IF(AND(Investment_Strategy="Lifecycle",Investment_Strategy_Sub1="Standard"),VLOOKUP(Investment_Strategy&amp;"_"&amp;Investment_Strategy_Sub2&amp;"_"&amp;$A179,'Investment Strategies'!$AJ:$AV,13,FALSE),
IF(AND(Investment_Strategy="Autopilot",Investment_Strategy_Sub1="Non-Standard"),VLOOKUP(Investment_Strategy&amp;"_"&amp;Investment_Strategy_Sub2&amp;"_"&amp;$A179,'Investment Strategies'!$T:$AF,13,FALSE),
IF(Investment_Strategy="DIY",DIY_ExtManChrge_CurrentFunds,
"Error"))))))</f>
        <v>0</v>
      </c>
      <c r="H179" s="16">
        <f t="shared" si="84"/>
        <v>0</v>
      </c>
      <c r="I179" s="16">
        <f t="shared" si="68"/>
        <v>0</v>
      </c>
      <c r="J179" s="16">
        <f t="shared" si="69"/>
        <v>0</v>
      </c>
      <c r="K179" s="16">
        <f>(Opening_Fund_Value+SUM(K$91:K178))*E179*IF(D179=$A$91,SRP_finalmonthfactor,1)</f>
        <v>0</v>
      </c>
      <c r="L179" s="74">
        <f>MIN(IF($AV179=0,0,
IF(Investment_Strategy="DIS",VLOOKUP(Investment_Strategy&amp;"_"&amp;Investment_Strategy_Sub1&amp;"_"&amp;$A179,'Investment Strategies'!$AZ:$BP,12,FALSE),
IF(AND(Investment_Strategy="Lifecycle",Investment_Strategy_Sub1="Non-Standard"),VLOOKUP(Investment_Strategy&amp;"_"&amp;Investment_Strategy_Sub2&amp;"_"&amp;$A179,'Investment Strategies'!$C:$P,9,FALSE),
IF(AND(Investment_Strategy="Lifecycle",Investment_Strategy_Sub1="Standard"),VLOOKUP(Investment_Strategy&amp;"_"&amp;Investment_Strategy_Sub2&amp;"_"&amp;$A179,'Investment Strategies'!$AJ:$AV,8,FALSE),
IF(AND(Investment_Strategy="Autopilot",Investment_Strategy_Sub1="Non-Standard"),VLOOKUP(Investment_Strategy&amp;"_"&amp;Investment_Strategy_Sub2&amp;"_"&amp;$A179,'Investment Strategies'!$T:$AF,8,FALSE),
IF(Investment_Strategy ="DIY",DIY_RateofReturn_SP,
"Error")))))),Max_InvReturn)</f>
        <v>0</v>
      </c>
      <c r="M179" s="62">
        <f>IF($AV179=0,0,
IF(Investment_Strategy="DIS",VLOOKUP(Investment_Strategy&amp;"_"&amp;Investment_Strategy_Sub1&amp;"_"&amp;$A179,'Investment Strategies'!$AZ:$BP,15,FALSE),
IF(AND(Investment_Strategy="Lifecycle",Investment_Strategy_Sub1="Non-Standard"),VLOOKUP(Investment_Strategy&amp;"_"&amp;Investment_Strategy_Sub2&amp;"_"&amp;$A179,'Investment Strategies'!$C:$P,12,FALSE),
IF(AND(Investment_Strategy="Lifecycle",Investment_Strategy_Sub1="Standard"),VLOOKUP(Investment_Strategy&amp;"_"&amp;Investment_Strategy_Sub2&amp;"_"&amp;$A179,'Investment Strategies'!$AJ:$AV,11,FALSE),
IF(AND(Investment_Strategy="Autopilot",Investment_Strategy_Sub1="Non-Standard"),VLOOKUP(Investment_Strategy&amp;"_"&amp;Investment_Strategy_Sub2&amp;"_"&amp;$A179,'Investment Strategies'!$T:$AF,11,FALSE),
IF(Investment_Strategy="DIY",DIY_GteeChrge_SP,
"Error"))))))</f>
        <v>0</v>
      </c>
      <c r="N179" s="33">
        <f>IF($AV179=0,0,
IF(Investment_Strategy="DIS",VLOOKUP(Investment_Strategy&amp;"_"&amp;Investment_Strategy_Sub1&amp;"_"&amp;$A179,'Investment Strategies'!$AZ:$BP,17,FALSE),
IF(AND(Investment_Strategy="Lifecycle",Investment_Strategy_Sub1="Non-Standard"),VLOOKUP(Investment_Strategy&amp;"_"&amp;Investment_Strategy_Sub2&amp;"_"&amp;$A179,'Investment Strategies'!$C:$P,14,FALSE),
IF(AND(Investment_Strategy="Lifecycle",Investment_Strategy_Sub1="Standard"),VLOOKUP(Investment_Strategy&amp;"_"&amp;Investment_Strategy_Sub2&amp;"_"&amp;$A179,'Investment Strategies'!$AJ:$AV,13,FALSE),
IF(AND(Investment_Strategy="Autopilot",Investment_Strategy_Sub1="Non-Standard"),VLOOKUP(Investment_Strategy&amp;"_"&amp;Investment_Strategy_Sub2&amp;"_"&amp;$A179,'Investment Strategies'!$T:$AF,13,FALSE),
IF(Investment_Strategy="DIY",DIY_ExtManChrge_SP,
"Error"))))))</f>
        <v>0</v>
      </c>
      <c r="O179" s="16">
        <f t="shared" si="96"/>
        <v>0</v>
      </c>
      <c r="Q179" s="16">
        <f t="shared" si="70"/>
        <v>0</v>
      </c>
      <c r="R179" s="16">
        <f t="shared" si="71"/>
        <v>0</v>
      </c>
      <c r="S179" s="16">
        <f>(SRP_SP+SUM(S$91:S178))*L179*IF(D179=$A$91,SRP_finalmonthfactor,1)</f>
        <v>0</v>
      </c>
      <c r="T179" s="74">
        <f>MIN(IF($AV179=0,0,
IF(Investment_Strategy="DIS",VLOOKUP(Investment_Strategy&amp;"_"&amp;Investment_Strategy_Sub1&amp;"_"&amp;$A179,'Investment Strategies'!$AZ:$BP,12,FALSE),
IF(AND(Investment_Strategy="Lifecycle",Investment_Strategy_Sub1="Non-Standard"),VLOOKUP(Investment_Strategy&amp;"_"&amp;Investment_Strategy_Sub2&amp;"_"&amp;$A179,'Investment Strategies'!$C:$P,9,FALSE),
IF(AND(Investment_Strategy="Lifecycle",Investment_Strategy_Sub1="Standard"),VLOOKUP(Investment_Strategy&amp;"_"&amp;Investment_Strategy_Sub2&amp;"_"&amp;$A179,'Investment Strategies'!$AJ:$AV,8,FALSE),
IF(AND(Investment_Strategy="Autopilot",Investment_Strategy_Sub1="Non-Standard"),VLOOKUP(Investment_Strategy&amp;"_"&amp;Investment_Strategy_Sub2&amp;"_"&amp;$A179,'Investment Strategies'!$T:$AF,8,FALSE),
IF(Investment_Strategy ="DIY",DIY_RateOfReturn_FuturePremiums,
"Error")))))),Max_InvReturn)</f>
        <v>0</v>
      </c>
      <c r="U179" s="62">
        <f>IF($AV179=0,0,
IF(Investment_Strategy="DIS",VLOOKUP(Investment_Strategy&amp;"_"&amp;Investment_Strategy_Sub1&amp;"_"&amp;$A179,'Investment Strategies'!$AZ:$BP,15,FALSE),
IF(AND(Investment_Strategy="Lifecycle",Investment_Strategy_Sub1="Non-Standard"),VLOOKUP(Investment_Strategy&amp;"_"&amp;Investment_Strategy_Sub2&amp;"_"&amp;$A179,'Investment Strategies'!$C:$P,12,FALSE),
IF(AND(Investment_Strategy="Lifecycle",Investment_Strategy_Sub1="Standard"),VLOOKUP(Investment_Strategy&amp;"_"&amp;Investment_Strategy_Sub2&amp;"_"&amp;$A179,'Investment Strategies'!$AJ:$AV,11,FALSE),
IF(AND(Investment_Strategy="Autopilot",Investment_Strategy_Sub1="Non-Standard"),VLOOKUP(Investment_Strategy&amp;"_"&amp;Investment_Strategy_Sub2&amp;"_"&amp;$A179,'Investment Strategies'!$T:$AF,11,FALSE),
IF(Investment_Strategy="DIY",DIY_GteeChrge_FuturePremiums,
"Error"))))))</f>
        <v>0</v>
      </c>
      <c r="V179" s="33">
        <f>IF(AV179=0,0,
IF(Investment_Strategy="DIS",VLOOKUP(Investment_Strategy&amp;"_"&amp;Investment_Strategy_Sub1&amp;"_"&amp;$A179,'Investment Strategies'!$AZ:$BP,17,FALSE),
IF(AND(Investment_Strategy="Lifecycle",Investment_Strategy_Sub1="Non-Standard"),VLOOKUP(Investment_Strategy&amp;"_"&amp;Investment_Strategy_Sub2&amp;"_"&amp;$A179,'Investment Strategies'!$C:$P,14,FALSE),
IF(AND(Investment_Strategy="Lifecycle",Investment_Strategy_Sub1="Standard"),VLOOKUP(Investment_Strategy&amp;"_"&amp;Investment_Strategy_Sub2&amp;"_"&amp;$A179,'Investment Strategies'!$AJ:$AV,13,FALSE),
IF(AND(Investment_Strategy="Autopilot",Investment_Strategy_Sub1="Non-Standard"),VLOOKUP(Investment_Strategy&amp;"_"&amp;Investment_Strategy_Sub2&amp;"_"&amp;$A179,'Investment Strategies'!$T:$AF,13,FALSE),
IF(Investment_Strategy="DIY",DIY_ExtManChrge_FuturePremiums,
"Error"))))))</f>
        <v>0</v>
      </c>
      <c r="W179" s="16">
        <f t="shared" si="97"/>
        <v>0</v>
      </c>
      <c r="X179" s="16">
        <f t="shared" si="72"/>
        <v>0</v>
      </c>
      <c r="Y179" s="16">
        <f t="shared" si="73"/>
        <v>0</v>
      </c>
      <c r="Z179" s="31">
        <f t="shared" si="74"/>
        <v>0.02</v>
      </c>
      <c r="AA179" s="16">
        <f t="shared" si="75"/>
        <v>0</v>
      </c>
      <c r="AB179" s="28">
        <f t="shared" si="98"/>
        <v>0</v>
      </c>
      <c r="AC179" s="28">
        <f>(SUM($AC$91:AC178)+SUM($X$91:X178)+X179)*T179*IF(D179=$A$91,SRP_finalmonthfactor,1)</f>
        <v>0</v>
      </c>
      <c r="AD179" s="16">
        <f t="shared" si="76"/>
        <v>0</v>
      </c>
      <c r="AE179" s="106"/>
      <c r="AF179" s="16">
        <f t="shared" si="85"/>
        <v>0</v>
      </c>
      <c r="AG179" s="16">
        <f t="shared" si="86"/>
        <v>0</v>
      </c>
      <c r="AH179" s="16">
        <f t="shared" si="87"/>
        <v>0</v>
      </c>
      <c r="AJ179" s="13">
        <f t="shared" si="108"/>
        <v>0</v>
      </c>
      <c r="AK179" s="13">
        <f t="shared" si="108"/>
        <v>0</v>
      </c>
      <c r="AL179" s="13">
        <f t="shared" si="108"/>
        <v>0</v>
      </c>
      <c r="AM179" s="13">
        <f t="shared" si="108"/>
        <v>0</v>
      </c>
      <c r="AN179" s="13">
        <f t="shared" si="108"/>
        <v>0</v>
      </c>
      <c r="AO179" s="13">
        <f t="shared" si="108"/>
        <v>1</v>
      </c>
      <c r="AP179" s="13">
        <f t="shared" si="108"/>
        <v>1</v>
      </c>
      <c r="AQ179" s="13">
        <f t="shared" si="108"/>
        <v>1</v>
      </c>
      <c r="AR179" s="13">
        <f t="shared" si="108"/>
        <v>1</v>
      </c>
      <c r="AS179" s="13">
        <f t="shared" si="108"/>
        <v>1</v>
      </c>
      <c r="AT179" s="13">
        <f t="shared" si="108"/>
        <v>1</v>
      </c>
      <c r="AU179" s="13">
        <f t="shared" si="108"/>
        <v>1</v>
      </c>
      <c r="AV179" s="13">
        <f t="shared" si="77"/>
        <v>0</v>
      </c>
      <c r="AW179" s="13">
        <f t="shared" si="78"/>
        <v>1</v>
      </c>
      <c r="AY179" s="17">
        <f t="shared" si="79"/>
        <v>89</v>
      </c>
      <c r="AZ179" s="28">
        <f t="shared" si="88"/>
        <v>0</v>
      </c>
      <c r="BA179" s="13">
        <f t="shared" si="80"/>
        <v>0</v>
      </c>
      <c r="BB179" s="13">
        <f t="shared" si="81"/>
        <v>0</v>
      </c>
      <c r="BC179" s="28">
        <f t="shared" si="89"/>
        <v>0</v>
      </c>
      <c r="BD179" s="28">
        <f t="shared" si="90"/>
        <v>0</v>
      </c>
      <c r="BF179" s="248">
        <f t="shared" si="91"/>
        <v>993869.29442638322</v>
      </c>
      <c r="BG179" s="36">
        <f t="shared" si="99"/>
        <v>0</v>
      </c>
      <c r="BH179" s="36">
        <f t="shared" si="100"/>
        <v>914100.1588538707</v>
      </c>
      <c r="BI179" s="249">
        <f t="shared" si="101"/>
        <v>0</v>
      </c>
      <c r="BJ179" s="246">
        <f t="shared" si="102"/>
        <v>0</v>
      </c>
      <c r="BK179" s="246">
        <f t="shared" si="82"/>
        <v>7.531116566323881E-4</v>
      </c>
      <c r="BL179" s="246">
        <f t="shared" si="103"/>
        <v>0</v>
      </c>
      <c r="BM179" s="246">
        <f t="shared" si="104"/>
        <v>7.531116566323881E-4</v>
      </c>
      <c r="BN179" s="36">
        <f t="shared" si="92"/>
        <v>688.41948496236773</v>
      </c>
      <c r="BO179" s="36">
        <f t="shared" si="105"/>
        <v>0</v>
      </c>
      <c r="BP179" s="36">
        <f t="shared" si="106"/>
        <v>913411.73936890834</v>
      </c>
    </row>
    <row r="180" spans="1:68">
      <c r="A180" s="32">
        <f t="shared" si="93"/>
        <v>-5</v>
      </c>
      <c r="B180" s="32">
        <f t="shared" si="83"/>
        <v>60</v>
      </c>
      <c r="C180" s="32">
        <f t="shared" si="94"/>
        <v>8</v>
      </c>
      <c r="D180" s="32">
        <f t="shared" si="95"/>
        <v>90</v>
      </c>
      <c r="E180" s="74">
        <f>MIN(IF(AV180=0,0,
IF(Investment_Strategy="DIS",VLOOKUP(Investment_Strategy&amp;"_"&amp;Investment_Strategy_Sub1&amp;"_"&amp;$A180,'Investment Strategies'!$AZ:$BP,12,FALSE),
IF(AND(Investment_Strategy="Lifecycle",Investment_Strategy_Sub1="Non-Standard"),VLOOKUP(Investment_Strategy&amp;"_"&amp;Investment_Strategy_Sub2&amp;"_"&amp;$A180,'Investment Strategies'!$C:$P,9,FALSE),
IF(AND(Investment_Strategy="Lifecycle",Investment_Strategy_Sub1="Standard"),VLOOKUP(Investment_Strategy&amp;"_"&amp;Investment_Strategy_Sub2&amp;"_"&amp;$A180,'Investment Strategies'!$AJ:$AV,8,FALSE),
IF(AND(Investment_Strategy="Autopilot",Investment_Strategy_Sub1="Non-Standard"),VLOOKUP(Investment_Strategy&amp;"_"&amp;Investment_Strategy_Sub2&amp;"_"&amp;$A180,'Investment Strategies'!$T:$AF,8,FALSE),
IF(Investment_Strategy ="DIY",DIY_RateOfReturn_CurrentFunds,
"Error")))))),Max_InvReturn)</f>
        <v>0</v>
      </c>
      <c r="F180" s="62">
        <f>IF(AV180=0,0,
IF(Investment_Strategy="DIS",VLOOKUP(Investment_Strategy&amp;"_"&amp;Investment_Strategy_Sub1&amp;"_"&amp;$A180,'Investment Strategies'!$AZ:$BP,15,FALSE),
IF(AND(Investment_Strategy="Lifecycle",Investment_Strategy_Sub1="Non-Standard"),VLOOKUP(Investment_Strategy&amp;"_"&amp;Investment_Strategy_Sub2&amp;"_"&amp;$A180,'Investment Strategies'!$C:$P,12,FALSE),
IF(AND(Investment_Strategy="Lifecycle",Investment_Strategy_Sub1="Standard"),VLOOKUP(Investment_Strategy&amp;"_"&amp;Investment_Strategy_Sub2&amp;"_"&amp;$A180,'Investment Strategies'!$AJ:$AV,11,FALSE),
IF(AND(Investment_Strategy="Autopilot",Investment_Strategy_Sub1="Non-Standard"),VLOOKUP(Investment_Strategy&amp;"_"&amp;Investment_Strategy_Sub2&amp;"_"&amp;$A180,'Investment Strategies'!$T:$AF,11,FALSE),
IF(Investment_Strategy="DIY",DIY_GteeChrge_CurrentFunds,
"Error"))))))</f>
        <v>0</v>
      </c>
      <c r="G180" s="33">
        <f>IF(AV180=0,0,
IF(Investment_Strategy="DIS",VLOOKUP(Investment_Strategy&amp;"_"&amp;Investment_Strategy_Sub1&amp;"_"&amp;$A180,'Investment Strategies'!$AZ:$BP,17,FALSE),
IF(AND(Investment_Strategy="Lifecycle",Investment_Strategy_Sub1="Non-Standard"),VLOOKUP(Investment_Strategy&amp;"_"&amp;Investment_Strategy_Sub2&amp;"_"&amp;$A180,'Investment Strategies'!$C:$P,14,FALSE),
IF(AND(Investment_Strategy="Lifecycle",Investment_Strategy_Sub1="Standard"),VLOOKUP(Investment_Strategy&amp;"_"&amp;Investment_Strategy_Sub2&amp;"_"&amp;$A180,'Investment Strategies'!$AJ:$AV,13,FALSE),
IF(AND(Investment_Strategy="Autopilot",Investment_Strategy_Sub1="Non-Standard"),VLOOKUP(Investment_Strategy&amp;"_"&amp;Investment_Strategy_Sub2&amp;"_"&amp;$A180,'Investment Strategies'!$T:$AF,13,FALSE),
IF(Investment_Strategy="DIY",DIY_ExtManChrge_CurrentFunds,
"Error"))))))</f>
        <v>0</v>
      </c>
      <c r="H180" s="16">
        <f t="shared" si="84"/>
        <v>0</v>
      </c>
      <c r="I180" s="16">
        <f t="shared" si="68"/>
        <v>0</v>
      </c>
      <c r="J180" s="16">
        <f t="shared" si="69"/>
        <v>0</v>
      </c>
      <c r="K180" s="16">
        <f>(Opening_Fund_Value+SUM(K$91:K179))*E180*IF(D180=$A$91,SRP_finalmonthfactor,1)</f>
        <v>0</v>
      </c>
      <c r="L180" s="74">
        <f>MIN(IF($AV180=0,0,
IF(Investment_Strategy="DIS",VLOOKUP(Investment_Strategy&amp;"_"&amp;Investment_Strategy_Sub1&amp;"_"&amp;$A180,'Investment Strategies'!$AZ:$BP,12,FALSE),
IF(AND(Investment_Strategy="Lifecycle",Investment_Strategy_Sub1="Non-Standard"),VLOOKUP(Investment_Strategy&amp;"_"&amp;Investment_Strategy_Sub2&amp;"_"&amp;$A180,'Investment Strategies'!$C:$P,9,FALSE),
IF(AND(Investment_Strategy="Lifecycle",Investment_Strategy_Sub1="Standard"),VLOOKUP(Investment_Strategy&amp;"_"&amp;Investment_Strategy_Sub2&amp;"_"&amp;$A180,'Investment Strategies'!$AJ:$AV,8,FALSE),
IF(AND(Investment_Strategy="Autopilot",Investment_Strategy_Sub1="Non-Standard"),VLOOKUP(Investment_Strategy&amp;"_"&amp;Investment_Strategy_Sub2&amp;"_"&amp;$A180,'Investment Strategies'!$T:$AF,8,FALSE),
IF(Investment_Strategy ="DIY",DIY_RateofReturn_SP,
"Error")))))),Max_InvReturn)</f>
        <v>0</v>
      </c>
      <c r="M180" s="62">
        <f>IF($AV180=0,0,
IF(Investment_Strategy="DIS",VLOOKUP(Investment_Strategy&amp;"_"&amp;Investment_Strategy_Sub1&amp;"_"&amp;$A180,'Investment Strategies'!$AZ:$BP,15,FALSE),
IF(AND(Investment_Strategy="Lifecycle",Investment_Strategy_Sub1="Non-Standard"),VLOOKUP(Investment_Strategy&amp;"_"&amp;Investment_Strategy_Sub2&amp;"_"&amp;$A180,'Investment Strategies'!$C:$P,12,FALSE),
IF(AND(Investment_Strategy="Lifecycle",Investment_Strategy_Sub1="Standard"),VLOOKUP(Investment_Strategy&amp;"_"&amp;Investment_Strategy_Sub2&amp;"_"&amp;$A180,'Investment Strategies'!$AJ:$AV,11,FALSE),
IF(AND(Investment_Strategy="Autopilot",Investment_Strategy_Sub1="Non-Standard"),VLOOKUP(Investment_Strategy&amp;"_"&amp;Investment_Strategy_Sub2&amp;"_"&amp;$A180,'Investment Strategies'!$T:$AF,11,FALSE),
IF(Investment_Strategy="DIY",DIY_GteeChrge_SP,
"Error"))))))</f>
        <v>0</v>
      </c>
      <c r="N180" s="33">
        <f>IF($AV180=0,0,
IF(Investment_Strategy="DIS",VLOOKUP(Investment_Strategy&amp;"_"&amp;Investment_Strategy_Sub1&amp;"_"&amp;$A180,'Investment Strategies'!$AZ:$BP,17,FALSE),
IF(AND(Investment_Strategy="Lifecycle",Investment_Strategy_Sub1="Non-Standard"),VLOOKUP(Investment_Strategy&amp;"_"&amp;Investment_Strategy_Sub2&amp;"_"&amp;$A180,'Investment Strategies'!$C:$P,14,FALSE),
IF(AND(Investment_Strategy="Lifecycle",Investment_Strategy_Sub1="Standard"),VLOOKUP(Investment_Strategy&amp;"_"&amp;Investment_Strategy_Sub2&amp;"_"&amp;$A180,'Investment Strategies'!$AJ:$AV,13,FALSE),
IF(AND(Investment_Strategy="Autopilot",Investment_Strategy_Sub1="Non-Standard"),VLOOKUP(Investment_Strategy&amp;"_"&amp;Investment_Strategy_Sub2&amp;"_"&amp;$A180,'Investment Strategies'!$T:$AF,13,FALSE),
IF(Investment_Strategy="DIY",DIY_ExtManChrge_SP,
"Error"))))))</f>
        <v>0</v>
      </c>
      <c r="O180" s="16">
        <f t="shared" si="96"/>
        <v>0</v>
      </c>
      <c r="Q180" s="16">
        <f t="shared" si="70"/>
        <v>0</v>
      </c>
      <c r="R180" s="16">
        <f t="shared" si="71"/>
        <v>0</v>
      </c>
      <c r="S180" s="16">
        <f>(SRP_SP+SUM(S$91:S179))*L180*IF(D180=$A$91,SRP_finalmonthfactor,1)</f>
        <v>0</v>
      </c>
      <c r="T180" s="74">
        <f>MIN(IF($AV180=0,0,
IF(Investment_Strategy="DIS",VLOOKUP(Investment_Strategy&amp;"_"&amp;Investment_Strategy_Sub1&amp;"_"&amp;$A180,'Investment Strategies'!$AZ:$BP,12,FALSE),
IF(AND(Investment_Strategy="Lifecycle",Investment_Strategy_Sub1="Non-Standard"),VLOOKUP(Investment_Strategy&amp;"_"&amp;Investment_Strategy_Sub2&amp;"_"&amp;$A180,'Investment Strategies'!$C:$P,9,FALSE),
IF(AND(Investment_Strategy="Lifecycle",Investment_Strategy_Sub1="Standard"),VLOOKUP(Investment_Strategy&amp;"_"&amp;Investment_Strategy_Sub2&amp;"_"&amp;$A180,'Investment Strategies'!$AJ:$AV,8,FALSE),
IF(AND(Investment_Strategy="Autopilot",Investment_Strategy_Sub1="Non-Standard"),VLOOKUP(Investment_Strategy&amp;"_"&amp;Investment_Strategy_Sub2&amp;"_"&amp;$A180,'Investment Strategies'!$T:$AF,8,FALSE),
IF(Investment_Strategy ="DIY",DIY_RateOfReturn_FuturePremiums,
"Error")))))),Max_InvReturn)</f>
        <v>0</v>
      </c>
      <c r="U180" s="62">
        <f>IF($AV180=0,0,
IF(Investment_Strategy="DIS",VLOOKUP(Investment_Strategy&amp;"_"&amp;Investment_Strategy_Sub1&amp;"_"&amp;$A180,'Investment Strategies'!$AZ:$BP,15,FALSE),
IF(AND(Investment_Strategy="Lifecycle",Investment_Strategy_Sub1="Non-Standard"),VLOOKUP(Investment_Strategy&amp;"_"&amp;Investment_Strategy_Sub2&amp;"_"&amp;$A180,'Investment Strategies'!$C:$P,12,FALSE),
IF(AND(Investment_Strategy="Lifecycle",Investment_Strategy_Sub1="Standard"),VLOOKUP(Investment_Strategy&amp;"_"&amp;Investment_Strategy_Sub2&amp;"_"&amp;$A180,'Investment Strategies'!$AJ:$AV,11,FALSE),
IF(AND(Investment_Strategy="Autopilot",Investment_Strategy_Sub1="Non-Standard"),VLOOKUP(Investment_Strategy&amp;"_"&amp;Investment_Strategy_Sub2&amp;"_"&amp;$A180,'Investment Strategies'!$T:$AF,11,FALSE),
IF(Investment_Strategy="DIY",DIY_GteeChrge_FuturePremiums,
"Error"))))))</f>
        <v>0</v>
      </c>
      <c r="V180" s="33">
        <f>IF(AV180=0,0,
IF(Investment_Strategy="DIS",VLOOKUP(Investment_Strategy&amp;"_"&amp;Investment_Strategy_Sub1&amp;"_"&amp;$A180,'Investment Strategies'!$AZ:$BP,17,FALSE),
IF(AND(Investment_Strategy="Lifecycle",Investment_Strategy_Sub1="Non-Standard"),VLOOKUP(Investment_Strategy&amp;"_"&amp;Investment_Strategy_Sub2&amp;"_"&amp;$A180,'Investment Strategies'!$C:$P,14,FALSE),
IF(AND(Investment_Strategy="Lifecycle",Investment_Strategy_Sub1="Standard"),VLOOKUP(Investment_Strategy&amp;"_"&amp;Investment_Strategy_Sub2&amp;"_"&amp;$A180,'Investment Strategies'!$AJ:$AV,13,FALSE),
IF(AND(Investment_Strategy="Autopilot",Investment_Strategy_Sub1="Non-Standard"),VLOOKUP(Investment_Strategy&amp;"_"&amp;Investment_Strategy_Sub2&amp;"_"&amp;$A180,'Investment Strategies'!$T:$AF,13,FALSE),
IF(Investment_Strategy="DIY",DIY_ExtManChrge_FuturePremiums,
"Error"))))))</f>
        <v>0</v>
      </c>
      <c r="W180" s="16">
        <f t="shared" si="97"/>
        <v>0</v>
      </c>
      <c r="X180" s="16">
        <f t="shared" si="72"/>
        <v>0</v>
      </c>
      <c r="Y180" s="16">
        <f t="shared" si="73"/>
        <v>0</v>
      </c>
      <c r="Z180" s="31">
        <f t="shared" si="74"/>
        <v>0.02</v>
      </c>
      <c r="AA180" s="16">
        <f t="shared" si="75"/>
        <v>0</v>
      </c>
      <c r="AB180" s="28">
        <f t="shared" si="98"/>
        <v>0</v>
      </c>
      <c r="AC180" s="28">
        <f>(SUM($AC$91:AC179)+SUM($X$91:X179)+X180)*T180*IF(D180=$A$91,SRP_finalmonthfactor,1)</f>
        <v>0</v>
      </c>
      <c r="AD180" s="16">
        <f t="shared" si="76"/>
        <v>0</v>
      </c>
      <c r="AE180" s="106"/>
      <c r="AF180" s="16">
        <f t="shared" si="85"/>
        <v>0</v>
      </c>
      <c r="AG180" s="16">
        <f t="shared" si="86"/>
        <v>0</v>
      </c>
      <c r="AH180" s="16">
        <f t="shared" si="87"/>
        <v>0</v>
      </c>
      <c r="AJ180" s="13">
        <f t="shared" si="108"/>
        <v>0</v>
      </c>
      <c r="AK180" s="13">
        <f t="shared" si="108"/>
        <v>0</v>
      </c>
      <c r="AL180" s="13">
        <f t="shared" si="108"/>
        <v>0</v>
      </c>
      <c r="AM180" s="13">
        <f t="shared" si="108"/>
        <v>0</v>
      </c>
      <c r="AN180" s="13">
        <f t="shared" si="108"/>
        <v>0</v>
      </c>
      <c r="AO180" s="13">
        <f t="shared" si="108"/>
        <v>1</v>
      </c>
      <c r="AP180" s="13">
        <f t="shared" si="108"/>
        <v>1</v>
      </c>
      <c r="AQ180" s="13">
        <f t="shared" si="108"/>
        <v>1</v>
      </c>
      <c r="AR180" s="13">
        <f t="shared" si="108"/>
        <v>1</v>
      </c>
      <c r="AS180" s="13">
        <f t="shared" si="108"/>
        <v>1</v>
      </c>
      <c r="AT180" s="13">
        <f t="shared" si="108"/>
        <v>1</v>
      </c>
      <c r="AU180" s="13">
        <f t="shared" si="108"/>
        <v>1</v>
      </c>
      <c r="AV180" s="13">
        <f t="shared" si="77"/>
        <v>0</v>
      </c>
      <c r="AW180" s="13">
        <f t="shared" si="78"/>
        <v>1</v>
      </c>
      <c r="AY180" s="17">
        <f t="shared" si="79"/>
        <v>90</v>
      </c>
      <c r="AZ180" s="28">
        <f t="shared" si="88"/>
        <v>0</v>
      </c>
      <c r="BA180" s="13">
        <f t="shared" si="80"/>
        <v>0</v>
      </c>
      <c r="BB180" s="13">
        <f t="shared" si="81"/>
        <v>0</v>
      </c>
      <c r="BC180" s="28">
        <f t="shared" si="89"/>
        <v>0</v>
      </c>
      <c r="BD180" s="28">
        <f t="shared" si="90"/>
        <v>0</v>
      </c>
      <c r="BF180" s="248">
        <f t="shared" si="91"/>
        <v>993869.29442638322</v>
      </c>
      <c r="BG180" s="36">
        <f t="shared" si="99"/>
        <v>0</v>
      </c>
      <c r="BH180" s="36">
        <f t="shared" si="100"/>
        <v>913411.73936890834</v>
      </c>
      <c r="BI180" s="249">
        <f t="shared" si="101"/>
        <v>0</v>
      </c>
      <c r="BJ180" s="246">
        <f t="shared" si="102"/>
        <v>0</v>
      </c>
      <c r="BK180" s="246">
        <f t="shared" si="82"/>
        <v>7.531116566323881E-4</v>
      </c>
      <c r="BL180" s="246">
        <f t="shared" si="103"/>
        <v>0</v>
      </c>
      <c r="BM180" s="246">
        <f t="shared" si="104"/>
        <v>7.531116566323881E-4</v>
      </c>
      <c r="BN180" s="36">
        <f t="shared" si="92"/>
        <v>687.90102822358972</v>
      </c>
      <c r="BO180" s="36">
        <f t="shared" si="105"/>
        <v>0</v>
      </c>
      <c r="BP180" s="36">
        <f t="shared" si="106"/>
        <v>912723.83834068477</v>
      </c>
    </row>
    <row r="181" spans="1:68">
      <c r="A181" s="32">
        <f t="shared" si="93"/>
        <v>-6</v>
      </c>
      <c r="B181" s="32">
        <f t="shared" si="83"/>
        <v>60</v>
      </c>
      <c r="C181" s="32">
        <f t="shared" si="94"/>
        <v>8</v>
      </c>
      <c r="D181" s="32">
        <f t="shared" si="95"/>
        <v>91</v>
      </c>
      <c r="E181" s="74">
        <f>MIN(IF(AV181=0,0,
IF(Investment_Strategy="DIS",VLOOKUP(Investment_Strategy&amp;"_"&amp;Investment_Strategy_Sub1&amp;"_"&amp;$A181,'Investment Strategies'!$AZ:$BP,12,FALSE),
IF(AND(Investment_Strategy="Lifecycle",Investment_Strategy_Sub1="Non-Standard"),VLOOKUP(Investment_Strategy&amp;"_"&amp;Investment_Strategy_Sub2&amp;"_"&amp;$A181,'Investment Strategies'!$C:$P,9,FALSE),
IF(AND(Investment_Strategy="Lifecycle",Investment_Strategy_Sub1="Standard"),VLOOKUP(Investment_Strategy&amp;"_"&amp;Investment_Strategy_Sub2&amp;"_"&amp;$A181,'Investment Strategies'!$AJ:$AV,8,FALSE),
IF(AND(Investment_Strategy="Autopilot",Investment_Strategy_Sub1="Non-Standard"),VLOOKUP(Investment_Strategy&amp;"_"&amp;Investment_Strategy_Sub2&amp;"_"&amp;$A181,'Investment Strategies'!$T:$AF,8,FALSE),
IF(Investment_Strategy ="DIY",DIY_RateOfReturn_CurrentFunds,
"Error")))))),Max_InvReturn)</f>
        <v>0</v>
      </c>
      <c r="F181" s="62">
        <f>IF(AV181=0,0,
IF(Investment_Strategy="DIS",VLOOKUP(Investment_Strategy&amp;"_"&amp;Investment_Strategy_Sub1&amp;"_"&amp;$A181,'Investment Strategies'!$AZ:$BP,15,FALSE),
IF(AND(Investment_Strategy="Lifecycle",Investment_Strategy_Sub1="Non-Standard"),VLOOKUP(Investment_Strategy&amp;"_"&amp;Investment_Strategy_Sub2&amp;"_"&amp;$A181,'Investment Strategies'!$C:$P,12,FALSE),
IF(AND(Investment_Strategy="Lifecycle",Investment_Strategy_Sub1="Standard"),VLOOKUP(Investment_Strategy&amp;"_"&amp;Investment_Strategy_Sub2&amp;"_"&amp;$A181,'Investment Strategies'!$AJ:$AV,11,FALSE),
IF(AND(Investment_Strategy="Autopilot",Investment_Strategy_Sub1="Non-Standard"),VLOOKUP(Investment_Strategy&amp;"_"&amp;Investment_Strategy_Sub2&amp;"_"&amp;$A181,'Investment Strategies'!$T:$AF,11,FALSE),
IF(Investment_Strategy="DIY",DIY_GteeChrge_CurrentFunds,
"Error"))))))</f>
        <v>0</v>
      </c>
      <c r="G181" s="33">
        <f>IF(AV181=0,0,
IF(Investment_Strategy="DIS",VLOOKUP(Investment_Strategy&amp;"_"&amp;Investment_Strategy_Sub1&amp;"_"&amp;$A181,'Investment Strategies'!$AZ:$BP,17,FALSE),
IF(AND(Investment_Strategy="Lifecycle",Investment_Strategy_Sub1="Non-Standard"),VLOOKUP(Investment_Strategy&amp;"_"&amp;Investment_Strategy_Sub2&amp;"_"&amp;$A181,'Investment Strategies'!$C:$P,14,FALSE),
IF(AND(Investment_Strategy="Lifecycle",Investment_Strategy_Sub1="Standard"),VLOOKUP(Investment_Strategy&amp;"_"&amp;Investment_Strategy_Sub2&amp;"_"&amp;$A181,'Investment Strategies'!$AJ:$AV,13,FALSE),
IF(AND(Investment_Strategy="Autopilot",Investment_Strategy_Sub1="Non-Standard"),VLOOKUP(Investment_Strategy&amp;"_"&amp;Investment_Strategy_Sub2&amp;"_"&amp;$A181,'Investment Strategies'!$T:$AF,13,FALSE),
IF(Investment_Strategy="DIY",DIY_ExtManChrge_CurrentFunds,
"Error"))))))</f>
        <v>0</v>
      </c>
      <c r="H181" s="16">
        <f t="shared" si="84"/>
        <v>0</v>
      </c>
      <c r="I181" s="16">
        <f t="shared" si="68"/>
        <v>0</v>
      </c>
      <c r="J181" s="16">
        <f t="shared" si="69"/>
        <v>0</v>
      </c>
      <c r="K181" s="16">
        <f>(Opening_Fund_Value+SUM(K$91:K180))*E181*IF(D181=$A$91,SRP_finalmonthfactor,1)</f>
        <v>0</v>
      </c>
      <c r="L181" s="74">
        <f>MIN(IF($AV181=0,0,
IF(Investment_Strategy="DIS",VLOOKUP(Investment_Strategy&amp;"_"&amp;Investment_Strategy_Sub1&amp;"_"&amp;$A181,'Investment Strategies'!$AZ:$BP,12,FALSE),
IF(AND(Investment_Strategy="Lifecycle",Investment_Strategy_Sub1="Non-Standard"),VLOOKUP(Investment_Strategy&amp;"_"&amp;Investment_Strategy_Sub2&amp;"_"&amp;$A181,'Investment Strategies'!$C:$P,9,FALSE),
IF(AND(Investment_Strategy="Lifecycle",Investment_Strategy_Sub1="Standard"),VLOOKUP(Investment_Strategy&amp;"_"&amp;Investment_Strategy_Sub2&amp;"_"&amp;$A181,'Investment Strategies'!$AJ:$AV,8,FALSE),
IF(AND(Investment_Strategy="Autopilot",Investment_Strategy_Sub1="Non-Standard"),VLOOKUP(Investment_Strategy&amp;"_"&amp;Investment_Strategy_Sub2&amp;"_"&amp;$A181,'Investment Strategies'!$T:$AF,8,FALSE),
IF(Investment_Strategy ="DIY",DIY_RateofReturn_SP,
"Error")))))),Max_InvReturn)</f>
        <v>0</v>
      </c>
      <c r="M181" s="62">
        <f>IF($AV181=0,0,
IF(Investment_Strategy="DIS",VLOOKUP(Investment_Strategy&amp;"_"&amp;Investment_Strategy_Sub1&amp;"_"&amp;$A181,'Investment Strategies'!$AZ:$BP,15,FALSE),
IF(AND(Investment_Strategy="Lifecycle",Investment_Strategy_Sub1="Non-Standard"),VLOOKUP(Investment_Strategy&amp;"_"&amp;Investment_Strategy_Sub2&amp;"_"&amp;$A181,'Investment Strategies'!$C:$P,12,FALSE),
IF(AND(Investment_Strategy="Lifecycle",Investment_Strategy_Sub1="Standard"),VLOOKUP(Investment_Strategy&amp;"_"&amp;Investment_Strategy_Sub2&amp;"_"&amp;$A181,'Investment Strategies'!$AJ:$AV,11,FALSE),
IF(AND(Investment_Strategy="Autopilot",Investment_Strategy_Sub1="Non-Standard"),VLOOKUP(Investment_Strategy&amp;"_"&amp;Investment_Strategy_Sub2&amp;"_"&amp;$A181,'Investment Strategies'!$T:$AF,11,FALSE),
IF(Investment_Strategy="DIY",DIY_GteeChrge_SP,
"Error"))))))</f>
        <v>0</v>
      </c>
      <c r="N181" s="33">
        <f>IF($AV181=0,0,
IF(Investment_Strategy="DIS",VLOOKUP(Investment_Strategy&amp;"_"&amp;Investment_Strategy_Sub1&amp;"_"&amp;$A181,'Investment Strategies'!$AZ:$BP,17,FALSE),
IF(AND(Investment_Strategy="Lifecycle",Investment_Strategy_Sub1="Non-Standard"),VLOOKUP(Investment_Strategy&amp;"_"&amp;Investment_Strategy_Sub2&amp;"_"&amp;$A181,'Investment Strategies'!$C:$P,14,FALSE),
IF(AND(Investment_Strategy="Lifecycle",Investment_Strategy_Sub1="Standard"),VLOOKUP(Investment_Strategy&amp;"_"&amp;Investment_Strategy_Sub2&amp;"_"&amp;$A181,'Investment Strategies'!$AJ:$AV,13,FALSE),
IF(AND(Investment_Strategy="Autopilot",Investment_Strategy_Sub1="Non-Standard"),VLOOKUP(Investment_Strategy&amp;"_"&amp;Investment_Strategy_Sub2&amp;"_"&amp;$A181,'Investment Strategies'!$T:$AF,13,FALSE),
IF(Investment_Strategy="DIY",DIY_ExtManChrge_SP,
"Error"))))))</f>
        <v>0</v>
      </c>
      <c r="O181" s="16">
        <f t="shared" si="96"/>
        <v>0</v>
      </c>
      <c r="Q181" s="16">
        <f t="shared" si="70"/>
        <v>0</v>
      </c>
      <c r="R181" s="16">
        <f t="shared" si="71"/>
        <v>0</v>
      </c>
      <c r="S181" s="16">
        <f>(SRP_SP+SUM(S$91:S180))*L181*IF(D181=$A$91,SRP_finalmonthfactor,1)</f>
        <v>0</v>
      </c>
      <c r="T181" s="74">
        <f>MIN(IF($AV181=0,0,
IF(Investment_Strategy="DIS",VLOOKUP(Investment_Strategy&amp;"_"&amp;Investment_Strategy_Sub1&amp;"_"&amp;$A181,'Investment Strategies'!$AZ:$BP,12,FALSE),
IF(AND(Investment_Strategy="Lifecycle",Investment_Strategy_Sub1="Non-Standard"),VLOOKUP(Investment_Strategy&amp;"_"&amp;Investment_Strategy_Sub2&amp;"_"&amp;$A181,'Investment Strategies'!$C:$P,9,FALSE),
IF(AND(Investment_Strategy="Lifecycle",Investment_Strategy_Sub1="Standard"),VLOOKUP(Investment_Strategy&amp;"_"&amp;Investment_Strategy_Sub2&amp;"_"&amp;$A181,'Investment Strategies'!$AJ:$AV,8,FALSE),
IF(AND(Investment_Strategy="Autopilot",Investment_Strategy_Sub1="Non-Standard"),VLOOKUP(Investment_Strategy&amp;"_"&amp;Investment_Strategy_Sub2&amp;"_"&amp;$A181,'Investment Strategies'!$T:$AF,8,FALSE),
IF(Investment_Strategy ="DIY",DIY_RateOfReturn_FuturePremiums,
"Error")))))),Max_InvReturn)</f>
        <v>0</v>
      </c>
      <c r="U181" s="62">
        <f>IF($AV181=0,0,
IF(Investment_Strategy="DIS",VLOOKUP(Investment_Strategy&amp;"_"&amp;Investment_Strategy_Sub1&amp;"_"&amp;$A181,'Investment Strategies'!$AZ:$BP,15,FALSE),
IF(AND(Investment_Strategy="Lifecycle",Investment_Strategy_Sub1="Non-Standard"),VLOOKUP(Investment_Strategy&amp;"_"&amp;Investment_Strategy_Sub2&amp;"_"&amp;$A181,'Investment Strategies'!$C:$P,12,FALSE),
IF(AND(Investment_Strategy="Lifecycle",Investment_Strategy_Sub1="Standard"),VLOOKUP(Investment_Strategy&amp;"_"&amp;Investment_Strategy_Sub2&amp;"_"&amp;$A181,'Investment Strategies'!$AJ:$AV,11,FALSE),
IF(AND(Investment_Strategy="Autopilot",Investment_Strategy_Sub1="Non-Standard"),VLOOKUP(Investment_Strategy&amp;"_"&amp;Investment_Strategy_Sub2&amp;"_"&amp;$A181,'Investment Strategies'!$T:$AF,11,FALSE),
IF(Investment_Strategy="DIY",DIY_GteeChrge_FuturePremiums,
"Error"))))))</f>
        <v>0</v>
      </c>
      <c r="V181" s="33">
        <f>IF(AV181=0,0,
IF(Investment_Strategy="DIS",VLOOKUP(Investment_Strategy&amp;"_"&amp;Investment_Strategy_Sub1&amp;"_"&amp;$A181,'Investment Strategies'!$AZ:$BP,17,FALSE),
IF(AND(Investment_Strategy="Lifecycle",Investment_Strategy_Sub1="Non-Standard"),VLOOKUP(Investment_Strategy&amp;"_"&amp;Investment_Strategy_Sub2&amp;"_"&amp;$A181,'Investment Strategies'!$C:$P,14,FALSE),
IF(AND(Investment_Strategy="Lifecycle",Investment_Strategy_Sub1="Standard"),VLOOKUP(Investment_Strategy&amp;"_"&amp;Investment_Strategy_Sub2&amp;"_"&amp;$A181,'Investment Strategies'!$AJ:$AV,13,FALSE),
IF(AND(Investment_Strategy="Autopilot",Investment_Strategy_Sub1="Non-Standard"),VLOOKUP(Investment_Strategy&amp;"_"&amp;Investment_Strategy_Sub2&amp;"_"&amp;$A181,'Investment Strategies'!$T:$AF,13,FALSE),
IF(Investment_Strategy="DIY",DIY_ExtManChrge_FuturePremiums,
"Error"))))))</f>
        <v>0</v>
      </c>
      <c r="W181" s="16">
        <f t="shared" si="97"/>
        <v>0</v>
      </c>
      <c r="X181" s="16">
        <f t="shared" si="72"/>
        <v>0</v>
      </c>
      <c r="Y181" s="16">
        <f t="shared" si="73"/>
        <v>0</v>
      </c>
      <c r="Z181" s="31">
        <f t="shared" si="74"/>
        <v>0.02</v>
      </c>
      <c r="AA181" s="16">
        <f t="shared" si="75"/>
        <v>0</v>
      </c>
      <c r="AB181" s="28">
        <f t="shared" si="98"/>
        <v>0</v>
      </c>
      <c r="AC181" s="28">
        <f>(SUM($AC$91:AC180)+SUM($X$91:X180)+X181)*T181*IF(D181=$A$91,SRP_finalmonthfactor,1)</f>
        <v>0</v>
      </c>
      <c r="AD181" s="16">
        <f t="shared" si="76"/>
        <v>0</v>
      </c>
      <c r="AE181" s="106"/>
      <c r="AF181" s="16">
        <f t="shared" si="85"/>
        <v>0</v>
      </c>
      <c r="AG181" s="16">
        <f t="shared" si="86"/>
        <v>0</v>
      </c>
      <c r="AH181" s="16">
        <f t="shared" si="87"/>
        <v>0</v>
      </c>
      <c r="AJ181" s="13">
        <f t="shared" ref="AJ181:AU190" si="109">IF($C181&lt;=AJ$90,1,0)</f>
        <v>0</v>
      </c>
      <c r="AK181" s="13">
        <f t="shared" si="109"/>
        <v>0</v>
      </c>
      <c r="AL181" s="13">
        <f t="shared" si="109"/>
        <v>0</v>
      </c>
      <c r="AM181" s="13">
        <f t="shared" si="109"/>
        <v>0</v>
      </c>
      <c r="AN181" s="13">
        <f t="shared" si="109"/>
        <v>0</v>
      </c>
      <c r="AO181" s="13">
        <f t="shared" si="109"/>
        <v>1</v>
      </c>
      <c r="AP181" s="13">
        <f t="shared" si="109"/>
        <v>1</v>
      </c>
      <c r="AQ181" s="13">
        <f t="shared" si="109"/>
        <v>1</v>
      </c>
      <c r="AR181" s="13">
        <f t="shared" si="109"/>
        <v>1</v>
      </c>
      <c r="AS181" s="13">
        <f t="shared" si="109"/>
        <v>1</v>
      </c>
      <c r="AT181" s="13">
        <f t="shared" si="109"/>
        <v>1</v>
      </c>
      <c r="AU181" s="13">
        <f t="shared" si="109"/>
        <v>1</v>
      </c>
      <c r="AV181" s="13">
        <f t="shared" si="77"/>
        <v>0</v>
      </c>
      <c r="AW181" s="13">
        <f t="shared" si="78"/>
        <v>1</v>
      </c>
      <c r="AY181" s="17">
        <f t="shared" si="79"/>
        <v>91</v>
      </c>
      <c r="AZ181" s="28">
        <f t="shared" si="88"/>
        <v>0</v>
      </c>
      <c r="BA181" s="13">
        <f t="shared" si="80"/>
        <v>0</v>
      </c>
      <c r="BB181" s="13">
        <f t="shared" si="81"/>
        <v>0</v>
      </c>
      <c r="BC181" s="28">
        <f t="shared" si="89"/>
        <v>0</v>
      </c>
      <c r="BD181" s="28">
        <f t="shared" si="90"/>
        <v>0</v>
      </c>
      <c r="BF181" s="248">
        <f t="shared" si="91"/>
        <v>993869.29442638322</v>
      </c>
      <c r="BG181" s="36">
        <f t="shared" si="99"/>
        <v>0</v>
      </c>
      <c r="BH181" s="36">
        <f t="shared" si="100"/>
        <v>912723.83834068477</v>
      </c>
      <c r="BI181" s="249">
        <f t="shared" si="101"/>
        <v>0</v>
      </c>
      <c r="BJ181" s="246">
        <f t="shared" si="102"/>
        <v>0</v>
      </c>
      <c r="BK181" s="246">
        <f t="shared" si="82"/>
        <v>7.531116566323881E-4</v>
      </c>
      <c r="BL181" s="246">
        <f t="shared" si="103"/>
        <v>0</v>
      </c>
      <c r="BM181" s="246">
        <f t="shared" si="104"/>
        <v>7.531116566323881E-4</v>
      </c>
      <c r="BN181" s="36">
        <f t="shared" si="92"/>
        <v>687.38296194062514</v>
      </c>
      <c r="BO181" s="36">
        <f t="shared" si="105"/>
        <v>0</v>
      </c>
      <c r="BP181" s="36">
        <f t="shared" si="106"/>
        <v>912036.45537874417</v>
      </c>
    </row>
    <row r="182" spans="1:68">
      <c r="A182" s="32">
        <f t="shared" si="93"/>
        <v>-7</v>
      </c>
      <c r="B182" s="32">
        <f t="shared" si="83"/>
        <v>60</v>
      </c>
      <c r="C182" s="32">
        <f t="shared" si="94"/>
        <v>8</v>
      </c>
      <c r="D182" s="32">
        <f t="shared" si="95"/>
        <v>92</v>
      </c>
      <c r="E182" s="74">
        <f>MIN(IF(AV182=0,0,
IF(Investment_Strategy="DIS",VLOOKUP(Investment_Strategy&amp;"_"&amp;Investment_Strategy_Sub1&amp;"_"&amp;$A182,'Investment Strategies'!$AZ:$BP,12,FALSE),
IF(AND(Investment_Strategy="Lifecycle",Investment_Strategy_Sub1="Non-Standard"),VLOOKUP(Investment_Strategy&amp;"_"&amp;Investment_Strategy_Sub2&amp;"_"&amp;$A182,'Investment Strategies'!$C:$P,9,FALSE),
IF(AND(Investment_Strategy="Lifecycle",Investment_Strategy_Sub1="Standard"),VLOOKUP(Investment_Strategy&amp;"_"&amp;Investment_Strategy_Sub2&amp;"_"&amp;$A182,'Investment Strategies'!$AJ:$AV,8,FALSE),
IF(AND(Investment_Strategy="Autopilot",Investment_Strategy_Sub1="Non-Standard"),VLOOKUP(Investment_Strategy&amp;"_"&amp;Investment_Strategy_Sub2&amp;"_"&amp;$A182,'Investment Strategies'!$T:$AF,8,FALSE),
IF(Investment_Strategy ="DIY",DIY_RateOfReturn_CurrentFunds,
"Error")))))),Max_InvReturn)</f>
        <v>0</v>
      </c>
      <c r="F182" s="62">
        <f>IF(AV182=0,0,
IF(Investment_Strategy="DIS",VLOOKUP(Investment_Strategy&amp;"_"&amp;Investment_Strategy_Sub1&amp;"_"&amp;$A182,'Investment Strategies'!$AZ:$BP,15,FALSE),
IF(AND(Investment_Strategy="Lifecycle",Investment_Strategy_Sub1="Non-Standard"),VLOOKUP(Investment_Strategy&amp;"_"&amp;Investment_Strategy_Sub2&amp;"_"&amp;$A182,'Investment Strategies'!$C:$P,12,FALSE),
IF(AND(Investment_Strategy="Lifecycle",Investment_Strategy_Sub1="Standard"),VLOOKUP(Investment_Strategy&amp;"_"&amp;Investment_Strategy_Sub2&amp;"_"&amp;$A182,'Investment Strategies'!$AJ:$AV,11,FALSE),
IF(AND(Investment_Strategy="Autopilot",Investment_Strategy_Sub1="Non-Standard"),VLOOKUP(Investment_Strategy&amp;"_"&amp;Investment_Strategy_Sub2&amp;"_"&amp;$A182,'Investment Strategies'!$T:$AF,11,FALSE),
IF(Investment_Strategy="DIY",DIY_GteeChrge_CurrentFunds,
"Error"))))))</f>
        <v>0</v>
      </c>
      <c r="G182" s="33">
        <f>IF(AV182=0,0,
IF(Investment_Strategy="DIS",VLOOKUP(Investment_Strategy&amp;"_"&amp;Investment_Strategy_Sub1&amp;"_"&amp;$A182,'Investment Strategies'!$AZ:$BP,17,FALSE),
IF(AND(Investment_Strategy="Lifecycle",Investment_Strategy_Sub1="Non-Standard"),VLOOKUP(Investment_Strategy&amp;"_"&amp;Investment_Strategy_Sub2&amp;"_"&amp;$A182,'Investment Strategies'!$C:$P,14,FALSE),
IF(AND(Investment_Strategy="Lifecycle",Investment_Strategy_Sub1="Standard"),VLOOKUP(Investment_Strategy&amp;"_"&amp;Investment_Strategy_Sub2&amp;"_"&amp;$A182,'Investment Strategies'!$AJ:$AV,13,FALSE),
IF(AND(Investment_Strategy="Autopilot",Investment_Strategy_Sub1="Non-Standard"),VLOOKUP(Investment_Strategy&amp;"_"&amp;Investment_Strategy_Sub2&amp;"_"&amp;$A182,'Investment Strategies'!$T:$AF,13,FALSE),
IF(Investment_Strategy="DIY",DIY_ExtManChrge_CurrentFunds,
"Error"))))))</f>
        <v>0</v>
      </c>
      <c r="H182" s="16">
        <f t="shared" si="84"/>
        <v>0</v>
      </c>
      <c r="I182" s="16">
        <f t="shared" si="68"/>
        <v>0</v>
      </c>
      <c r="J182" s="16">
        <f t="shared" si="69"/>
        <v>0</v>
      </c>
      <c r="K182" s="16">
        <f>(Opening_Fund_Value+SUM(K$91:K181))*E182*IF(D182=$A$91,SRP_finalmonthfactor,1)</f>
        <v>0</v>
      </c>
      <c r="L182" s="74">
        <f>MIN(IF($AV182=0,0,
IF(Investment_Strategy="DIS",VLOOKUP(Investment_Strategy&amp;"_"&amp;Investment_Strategy_Sub1&amp;"_"&amp;$A182,'Investment Strategies'!$AZ:$BP,12,FALSE),
IF(AND(Investment_Strategy="Lifecycle",Investment_Strategy_Sub1="Non-Standard"),VLOOKUP(Investment_Strategy&amp;"_"&amp;Investment_Strategy_Sub2&amp;"_"&amp;$A182,'Investment Strategies'!$C:$P,9,FALSE),
IF(AND(Investment_Strategy="Lifecycle",Investment_Strategy_Sub1="Standard"),VLOOKUP(Investment_Strategy&amp;"_"&amp;Investment_Strategy_Sub2&amp;"_"&amp;$A182,'Investment Strategies'!$AJ:$AV,8,FALSE),
IF(AND(Investment_Strategy="Autopilot",Investment_Strategy_Sub1="Non-Standard"),VLOOKUP(Investment_Strategy&amp;"_"&amp;Investment_Strategy_Sub2&amp;"_"&amp;$A182,'Investment Strategies'!$T:$AF,8,FALSE),
IF(Investment_Strategy ="DIY",DIY_RateofReturn_SP,
"Error")))))),Max_InvReturn)</f>
        <v>0</v>
      </c>
      <c r="M182" s="62">
        <f>IF($AV182=0,0,
IF(Investment_Strategy="DIS",VLOOKUP(Investment_Strategy&amp;"_"&amp;Investment_Strategy_Sub1&amp;"_"&amp;$A182,'Investment Strategies'!$AZ:$BP,15,FALSE),
IF(AND(Investment_Strategy="Lifecycle",Investment_Strategy_Sub1="Non-Standard"),VLOOKUP(Investment_Strategy&amp;"_"&amp;Investment_Strategy_Sub2&amp;"_"&amp;$A182,'Investment Strategies'!$C:$P,12,FALSE),
IF(AND(Investment_Strategy="Lifecycle",Investment_Strategy_Sub1="Standard"),VLOOKUP(Investment_Strategy&amp;"_"&amp;Investment_Strategy_Sub2&amp;"_"&amp;$A182,'Investment Strategies'!$AJ:$AV,11,FALSE),
IF(AND(Investment_Strategy="Autopilot",Investment_Strategy_Sub1="Non-Standard"),VLOOKUP(Investment_Strategy&amp;"_"&amp;Investment_Strategy_Sub2&amp;"_"&amp;$A182,'Investment Strategies'!$T:$AF,11,FALSE),
IF(Investment_Strategy="DIY",DIY_GteeChrge_SP,
"Error"))))))</f>
        <v>0</v>
      </c>
      <c r="N182" s="33">
        <f>IF($AV182=0,0,
IF(Investment_Strategy="DIS",VLOOKUP(Investment_Strategy&amp;"_"&amp;Investment_Strategy_Sub1&amp;"_"&amp;$A182,'Investment Strategies'!$AZ:$BP,17,FALSE),
IF(AND(Investment_Strategy="Lifecycle",Investment_Strategy_Sub1="Non-Standard"),VLOOKUP(Investment_Strategy&amp;"_"&amp;Investment_Strategy_Sub2&amp;"_"&amp;$A182,'Investment Strategies'!$C:$P,14,FALSE),
IF(AND(Investment_Strategy="Lifecycle",Investment_Strategy_Sub1="Standard"),VLOOKUP(Investment_Strategy&amp;"_"&amp;Investment_Strategy_Sub2&amp;"_"&amp;$A182,'Investment Strategies'!$AJ:$AV,13,FALSE),
IF(AND(Investment_Strategy="Autopilot",Investment_Strategy_Sub1="Non-Standard"),VLOOKUP(Investment_Strategy&amp;"_"&amp;Investment_Strategy_Sub2&amp;"_"&amp;$A182,'Investment Strategies'!$T:$AF,13,FALSE),
IF(Investment_Strategy="DIY",DIY_ExtManChrge_SP,
"Error"))))))</f>
        <v>0</v>
      </c>
      <c r="O182" s="16">
        <f t="shared" si="96"/>
        <v>0</v>
      </c>
      <c r="Q182" s="16">
        <f t="shared" si="70"/>
        <v>0</v>
      </c>
      <c r="R182" s="16">
        <f t="shared" si="71"/>
        <v>0</v>
      </c>
      <c r="S182" s="16">
        <f>(SRP_SP+SUM(S$91:S181))*L182*IF(D182=$A$91,SRP_finalmonthfactor,1)</f>
        <v>0</v>
      </c>
      <c r="T182" s="74">
        <f>MIN(IF($AV182=0,0,
IF(Investment_Strategy="DIS",VLOOKUP(Investment_Strategy&amp;"_"&amp;Investment_Strategy_Sub1&amp;"_"&amp;$A182,'Investment Strategies'!$AZ:$BP,12,FALSE),
IF(AND(Investment_Strategy="Lifecycle",Investment_Strategy_Sub1="Non-Standard"),VLOOKUP(Investment_Strategy&amp;"_"&amp;Investment_Strategy_Sub2&amp;"_"&amp;$A182,'Investment Strategies'!$C:$P,9,FALSE),
IF(AND(Investment_Strategy="Lifecycle",Investment_Strategy_Sub1="Standard"),VLOOKUP(Investment_Strategy&amp;"_"&amp;Investment_Strategy_Sub2&amp;"_"&amp;$A182,'Investment Strategies'!$AJ:$AV,8,FALSE),
IF(AND(Investment_Strategy="Autopilot",Investment_Strategy_Sub1="Non-Standard"),VLOOKUP(Investment_Strategy&amp;"_"&amp;Investment_Strategy_Sub2&amp;"_"&amp;$A182,'Investment Strategies'!$T:$AF,8,FALSE),
IF(Investment_Strategy ="DIY",DIY_RateOfReturn_FuturePremiums,
"Error")))))),Max_InvReturn)</f>
        <v>0</v>
      </c>
      <c r="U182" s="62">
        <f>IF($AV182=0,0,
IF(Investment_Strategy="DIS",VLOOKUP(Investment_Strategy&amp;"_"&amp;Investment_Strategy_Sub1&amp;"_"&amp;$A182,'Investment Strategies'!$AZ:$BP,15,FALSE),
IF(AND(Investment_Strategy="Lifecycle",Investment_Strategy_Sub1="Non-Standard"),VLOOKUP(Investment_Strategy&amp;"_"&amp;Investment_Strategy_Sub2&amp;"_"&amp;$A182,'Investment Strategies'!$C:$P,12,FALSE),
IF(AND(Investment_Strategy="Lifecycle",Investment_Strategy_Sub1="Standard"),VLOOKUP(Investment_Strategy&amp;"_"&amp;Investment_Strategy_Sub2&amp;"_"&amp;$A182,'Investment Strategies'!$AJ:$AV,11,FALSE),
IF(AND(Investment_Strategy="Autopilot",Investment_Strategy_Sub1="Non-Standard"),VLOOKUP(Investment_Strategy&amp;"_"&amp;Investment_Strategy_Sub2&amp;"_"&amp;$A182,'Investment Strategies'!$T:$AF,11,FALSE),
IF(Investment_Strategy="DIY",DIY_GteeChrge_FuturePremiums,
"Error"))))))</f>
        <v>0</v>
      </c>
      <c r="V182" s="33">
        <f>IF(AV182=0,0,
IF(Investment_Strategy="DIS",VLOOKUP(Investment_Strategy&amp;"_"&amp;Investment_Strategy_Sub1&amp;"_"&amp;$A182,'Investment Strategies'!$AZ:$BP,17,FALSE),
IF(AND(Investment_Strategy="Lifecycle",Investment_Strategy_Sub1="Non-Standard"),VLOOKUP(Investment_Strategy&amp;"_"&amp;Investment_Strategy_Sub2&amp;"_"&amp;$A182,'Investment Strategies'!$C:$P,14,FALSE),
IF(AND(Investment_Strategy="Lifecycle",Investment_Strategy_Sub1="Standard"),VLOOKUP(Investment_Strategy&amp;"_"&amp;Investment_Strategy_Sub2&amp;"_"&amp;$A182,'Investment Strategies'!$AJ:$AV,13,FALSE),
IF(AND(Investment_Strategy="Autopilot",Investment_Strategy_Sub1="Non-Standard"),VLOOKUP(Investment_Strategy&amp;"_"&amp;Investment_Strategy_Sub2&amp;"_"&amp;$A182,'Investment Strategies'!$T:$AF,13,FALSE),
IF(Investment_Strategy="DIY",DIY_ExtManChrge_FuturePremiums,
"Error"))))))</f>
        <v>0</v>
      </c>
      <c r="W182" s="16">
        <f t="shared" si="97"/>
        <v>0</v>
      </c>
      <c r="X182" s="16">
        <f t="shared" si="72"/>
        <v>0</v>
      </c>
      <c r="Y182" s="16">
        <f t="shared" si="73"/>
        <v>0</v>
      </c>
      <c r="Z182" s="31">
        <f t="shared" si="74"/>
        <v>0.02</v>
      </c>
      <c r="AA182" s="16">
        <f t="shared" si="75"/>
        <v>0</v>
      </c>
      <c r="AB182" s="28">
        <f t="shared" si="98"/>
        <v>0</v>
      </c>
      <c r="AC182" s="28">
        <f>(SUM($AC$91:AC181)+SUM($X$91:X181)+X182)*T182*IF(D182=$A$91,SRP_finalmonthfactor,1)</f>
        <v>0</v>
      </c>
      <c r="AD182" s="16">
        <f t="shared" si="76"/>
        <v>0</v>
      </c>
      <c r="AE182" s="106"/>
      <c r="AF182" s="16">
        <f t="shared" si="85"/>
        <v>0</v>
      </c>
      <c r="AG182" s="16">
        <f t="shared" si="86"/>
        <v>0</v>
      </c>
      <c r="AH182" s="16">
        <f t="shared" si="87"/>
        <v>0</v>
      </c>
      <c r="AJ182" s="13">
        <f t="shared" si="109"/>
        <v>0</v>
      </c>
      <c r="AK182" s="13">
        <f t="shared" si="109"/>
        <v>0</v>
      </c>
      <c r="AL182" s="13">
        <f t="shared" si="109"/>
        <v>0</v>
      </c>
      <c r="AM182" s="13">
        <f t="shared" si="109"/>
        <v>0</v>
      </c>
      <c r="AN182" s="13">
        <f t="shared" si="109"/>
        <v>0</v>
      </c>
      <c r="AO182" s="13">
        <f t="shared" si="109"/>
        <v>1</v>
      </c>
      <c r="AP182" s="13">
        <f t="shared" si="109"/>
        <v>1</v>
      </c>
      <c r="AQ182" s="13">
        <f t="shared" si="109"/>
        <v>1</v>
      </c>
      <c r="AR182" s="13">
        <f t="shared" si="109"/>
        <v>1</v>
      </c>
      <c r="AS182" s="13">
        <f t="shared" si="109"/>
        <v>1</v>
      </c>
      <c r="AT182" s="13">
        <f t="shared" si="109"/>
        <v>1</v>
      </c>
      <c r="AU182" s="13">
        <f t="shared" si="109"/>
        <v>1</v>
      </c>
      <c r="AV182" s="13">
        <f t="shared" si="77"/>
        <v>0</v>
      </c>
      <c r="AW182" s="13">
        <f t="shared" si="78"/>
        <v>1</v>
      </c>
      <c r="AY182" s="17">
        <f t="shared" si="79"/>
        <v>92</v>
      </c>
      <c r="AZ182" s="28">
        <f t="shared" si="88"/>
        <v>0</v>
      </c>
      <c r="BA182" s="13">
        <f t="shared" si="80"/>
        <v>0</v>
      </c>
      <c r="BB182" s="13">
        <f t="shared" si="81"/>
        <v>0</v>
      </c>
      <c r="BC182" s="28">
        <f t="shared" si="89"/>
        <v>0</v>
      </c>
      <c r="BD182" s="28">
        <f t="shared" si="90"/>
        <v>0</v>
      </c>
      <c r="BF182" s="248">
        <f t="shared" si="91"/>
        <v>993869.29442638322</v>
      </c>
      <c r="BG182" s="36">
        <f t="shared" si="99"/>
        <v>0</v>
      </c>
      <c r="BH182" s="36">
        <f t="shared" si="100"/>
        <v>912036.45537874417</v>
      </c>
      <c r="BI182" s="249">
        <f t="shared" si="101"/>
        <v>0</v>
      </c>
      <c r="BJ182" s="246">
        <f t="shared" si="102"/>
        <v>0</v>
      </c>
      <c r="BK182" s="246">
        <f t="shared" si="82"/>
        <v>7.531116566323881E-4</v>
      </c>
      <c r="BL182" s="246">
        <f t="shared" si="103"/>
        <v>0</v>
      </c>
      <c r="BM182" s="246">
        <f t="shared" si="104"/>
        <v>7.531116566323881E-4</v>
      </c>
      <c r="BN182" s="36">
        <f t="shared" si="92"/>
        <v>686.86528581941718</v>
      </c>
      <c r="BO182" s="36">
        <f t="shared" si="105"/>
        <v>0</v>
      </c>
      <c r="BP182" s="36">
        <f t="shared" si="106"/>
        <v>911349.59009292477</v>
      </c>
    </row>
    <row r="183" spans="1:68">
      <c r="A183" s="32">
        <f t="shared" si="93"/>
        <v>-8</v>
      </c>
      <c r="B183" s="32">
        <f t="shared" si="83"/>
        <v>60</v>
      </c>
      <c r="C183" s="32">
        <f t="shared" si="94"/>
        <v>8</v>
      </c>
      <c r="D183" s="32">
        <f t="shared" si="95"/>
        <v>93</v>
      </c>
      <c r="E183" s="74">
        <f>MIN(IF(AV183=0,0,
IF(Investment_Strategy="DIS",VLOOKUP(Investment_Strategy&amp;"_"&amp;Investment_Strategy_Sub1&amp;"_"&amp;$A183,'Investment Strategies'!$AZ:$BP,12,FALSE),
IF(AND(Investment_Strategy="Lifecycle",Investment_Strategy_Sub1="Non-Standard"),VLOOKUP(Investment_Strategy&amp;"_"&amp;Investment_Strategy_Sub2&amp;"_"&amp;$A183,'Investment Strategies'!$C:$P,9,FALSE),
IF(AND(Investment_Strategy="Lifecycle",Investment_Strategy_Sub1="Standard"),VLOOKUP(Investment_Strategy&amp;"_"&amp;Investment_Strategy_Sub2&amp;"_"&amp;$A183,'Investment Strategies'!$AJ:$AV,8,FALSE),
IF(AND(Investment_Strategy="Autopilot",Investment_Strategy_Sub1="Non-Standard"),VLOOKUP(Investment_Strategy&amp;"_"&amp;Investment_Strategy_Sub2&amp;"_"&amp;$A183,'Investment Strategies'!$T:$AF,8,FALSE),
IF(Investment_Strategy ="DIY",DIY_RateOfReturn_CurrentFunds,
"Error")))))),Max_InvReturn)</f>
        <v>0</v>
      </c>
      <c r="F183" s="62">
        <f>IF(AV183=0,0,
IF(Investment_Strategy="DIS",VLOOKUP(Investment_Strategy&amp;"_"&amp;Investment_Strategy_Sub1&amp;"_"&amp;$A183,'Investment Strategies'!$AZ:$BP,15,FALSE),
IF(AND(Investment_Strategy="Lifecycle",Investment_Strategy_Sub1="Non-Standard"),VLOOKUP(Investment_Strategy&amp;"_"&amp;Investment_Strategy_Sub2&amp;"_"&amp;$A183,'Investment Strategies'!$C:$P,12,FALSE),
IF(AND(Investment_Strategy="Lifecycle",Investment_Strategy_Sub1="Standard"),VLOOKUP(Investment_Strategy&amp;"_"&amp;Investment_Strategy_Sub2&amp;"_"&amp;$A183,'Investment Strategies'!$AJ:$AV,11,FALSE),
IF(AND(Investment_Strategy="Autopilot",Investment_Strategy_Sub1="Non-Standard"),VLOOKUP(Investment_Strategy&amp;"_"&amp;Investment_Strategy_Sub2&amp;"_"&amp;$A183,'Investment Strategies'!$T:$AF,11,FALSE),
IF(Investment_Strategy="DIY",DIY_GteeChrge_CurrentFunds,
"Error"))))))</f>
        <v>0</v>
      </c>
      <c r="G183" s="33">
        <f>IF(AV183=0,0,
IF(Investment_Strategy="DIS",VLOOKUP(Investment_Strategy&amp;"_"&amp;Investment_Strategy_Sub1&amp;"_"&amp;$A183,'Investment Strategies'!$AZ:$BP,17,FALSE),
IF(AND(Investment_Strategy="Lifecycle",Investment_Strategy_Sub1="Non-Standard"),VLOOKUP(Investment_Strategy&amp;"_"&amp;Investment_Strategy_Sub2&amp;"_"&amp;$A183,'Investment Strategies'!$C:$P,14,FALSE),
IF(AND(Investment_Strategy="Lifecycle",Investment_Strategy_Sub1="Standard"),VLOOKUP(Investment_Strategy&amp;"_"&amp;Investment_Strategy_Sub2&amp;"_"&amp;$A183,'Investment Strategies'!$AJ:$AV,13,FALSE),
IF(AND(Investment_Strategy="Autopilot",Investment_Strategy_Sub1="Non-Standard"),VLOOKUP(Investment_Strategy&amp;"_"&amp;Investment_Strategy_Sub2&amp;"_"&amp;$A183,'Investment Strategies'!$T:$AF,13,FALSE),
IF(Investment_Strategy="DIY",DIY_ExtManChrge_CurrentFunds,
"Error"))))))</f>
        <v>0</v>
      </c>
      <c r="H183" s="16">
        <f t="shared" si="84"/>
        <v>0</v>
      </c>
      <c r="I183" s="16">
        <f t="shared" si="68"/>
        <v>0</v>
      </c>
      <c r="J183" s="16">
        <f t="shared" si="69"/>
        <v>0</v>
      </c>
      <c r="K183" s="16">
        <f>(Opening_Fund_Value+SUM(K$91:K182))*E183*IF(D183=$A$91,SRP_finalmonthfactor,1)</f>
        <v>0</v>
      </c>
      <c r="L183" s="74">
        <f>MIN(IF($AV183=0,0,
IF(Investment_Strategy="DIS",VLOOKUP(Investment_Strategy&amp;"_"&amp;Investment_Strategy_Sub1&amp;"_"&amp;$A183,'Investment Strategies'!$AZ:$BP,12,FALSE),
IF(AND(Investment_Strategy="Lifecycle",Investment_Strategy_Sub1="Non-Standard"),VLOOKUP(Investment_Strategy&amp;"_"&amp;Investment_Strategy_Sub2&amp;"_"&amp;$A183,'Investment Strategies'!$C:$P,9,FALSE),
IF(AND(Investment_Strategy="Lifecycle",Investment_Strategy_Sub1="Standard"),VLOOKUP(Investment_Strategy&amp;"_"&amp;Investment_Strategy_Sub2&amp;"_"&amp;$A183,'Investment Strategies'!$AJ:$AV,8,FALSE),
IF(AND(Investment_Strategy="Autopilot",Investment_Strategy_Sub1="Non-Standard"),VLOOKUP(Investment_Strategy&amp;"_"&amp;Investment_Strategy_Sub2&amp;"_"&amp;$A183,'Investment Strategies'!$T:$AF,8,FALSE),
IF(Investment_Strategy ="DIY",DIY_RateofReturn_SP,
"Error")))))),Max_InvReturn)</f>
        <v>0</v>
      </c>
      <c r="M183" s="62">
        <f>IF($AV183=0,0,
IF(Investment_Strategy="DIS",VLOOKUP(Investment_Strategy&amp;"_"&amp;Investment_Strategy_Sub1&amp;"_"&amp;$A183,'Investment Strategies'!$AZ:$BP,15,FALSE),
IF(AND(Investment_Strategy="Lifecycle",Investment_Strategy_Sub1="Non-Standard"),VLOOKUP(Investment_Strategy&amp;"_"&amp;Investment_Strategy_Sub2&amp;"_"&amp;$A183,'Investment Strategies'!$C:$P,12,FALSE),
IF(AND(Investment_Strategy="Lifecycle",Investment_Strategy_Sub1="Standard"),VLOOKUP(Investment_Strategy&amp;"_"&amp;Investment_Strategy_Sub2&amp;"_"&amp;$A183,'Investment Strategies'!$AJ:$AV,11,FALSE),
IF(AND(Investment_Strategy="Autopilot",Investment_Strategy_Sub1="Non-Standard"),VLOOKUP(Investment_Strategy&amp;"_"&amp;Investment_Strategy_Sub2&amp;"_"&amp;$A183,'Investment Strategies'!$T:$AF,11,FALSE),
IF(Investment_Strategy="DIY",DIY_GteeChrge_SP,
"Error"))))))</f>
        <v>0</v>
      </c>
      <c r="N183" s="33">
        <f>IF($AV183=0,0,
IF(Investment_Strategy="DIS",VLOOKUP(Investment_Strategy&amp;"_"&amp;Investment_Strategy_Sub1&amp;"_"&amp;$A183,'Investment Strategies'!$AZ:$BP,17,FALSE),
IF(AND(Investment_Strategy="Lifecycle",Investment_Strategy_Sub1="Non-Standard"),VLOOKUP(Investment_Strategy&amp;"_"&amp;Investment_Strategy_Sub2&amp;"_"&amp;$A183,'Investment Strategies'!$C:$P,14,FALSE),
IF(AND(Investment_Strategy="Lifecycle",Investment_Strategy_Sub1="Standard"),VLOOKUP(Investment_Strategy&amp;"_"&amp;Investment_Strategy_Sub2&amp;"_"&amp;$A183,'Investment Strategies'!$AJ:$AV,13,FALSE),
IF(AND(Investment_Strategy="Autopilot",Investment_Strategy_Sub1="Non-Standard"),VLOOKUP(Investment_Strategy&amp;"_"&amp;Investment_Strategy_Sub2&amp;"_"&amp;$A183,'Investment Strategies'!$T:$AF,13,FALSE),
IF(Investment_Strategy="DIY",DIY_ExtManChrge_SP,
"Error"))))))</f>
        <v>0</v>
      </c>
      <c r="O183" s="16">
        <f t="shared" si="96"/>
        <v>0</v>
      </c>
      <c r="Q183" s="16">
        <f t="shared" si="70"/>
        <v>0</v>
      </c>
      <c r="R183" s="16">
        <f t="shared" si="71"/>
        <v>0</v>
      </c>
      <c r="S183" s="16">
        <f>(SRP_SP+SUM(S$91:S182))*L183*IF(D183=$A$91,SRP_finalmonthfactor,1)</f>
        <v>0</v>
      </c>
      <c r="T183" s="74">
        <f>MIN(IF($AV183=0,0,
IF(Investment_Strategy="DIS",VLOOKUP(Investment_Strategy&amp;"_"&amp;Investment_Strategy_Sub1&amp;"_"&amp;$A183,'Investment Strategies'!$AZ:$BP,12,FALSE),
IF(AND(Investment_Strategy="Lifecycle",Investment_Strategy_Sub1="Non-Standard"),VLOOKUP(Investment_Strategy&amp;"_"&amp;Investment_Strategy_Sub2&amp;"_"&amp;$A183,'Investment Strategies'!$C:$P,9,FALSE),
IF(AND(Investment_Strategy="Lifecycle",Investment_Strategy_Sub1="Standard"),VLOOKUP(Investment_Strategy&amp;"_"&amp;Investment_Strategy_Sub2&amp;"_"&amp;$A183,'Investment Strategies'!$AJ:$AV,8,FALSE),
IF(AND(Investment_Strategy="Autopilot",Investment_Strategy_Sub1="Non-Standard"),VLOOKUP(Investment_Strategy&amp;"_"&amp;Investment_Strategy_Sub2&amp;"_"&amp;$A183,'Investment Strategies'!$T:$AF,8,FALSE),
IF(Investment_Strategy ="DIY",DIY_RateOfReturn_FuturePremiums,
"Error")))))),Max_InvReturn)</f>
        <v>0</v>
      </c>
      <c r="U183" s="62">
        <f>IF($AV183=0,0,
IF(Investment_Strategy="DIS",VLOOKUP(Investment_Strategy&amp;"_"&amp;Investment_Strategy_Sub1&amp;"_"&amp;$A183,'Investment Strategies'!$AZ:$BP,15,FALSE),
IF(AND(Investment_Strategy="Lifecycle",Investment_Strategy_Sub1="Non-Standard"),VLOOKUP(Investment_Strategy&amp;"_"&amp;Investment_Strategy_Sub2&amp;"_"&amp;$A183,'Investment Strategies'!$C:$P,12,FALSE),
IF(AND(Investment_Strategy="Lifecycle",Investment_Strategy_Sub1="Standard"),VLOOKUP(Investment_Strategy&amp;"_"&amp;Investment_Strategy_Sub2&amp;"_"&amp;$A183,'Investment Strategies'!$AJ:$AV,11,FALSE),
IF(AND(Investment_Strategy="Autopilot",Investment_Strategy_Sub1="Non-Standard"),VLOOKUP(Investment_Strategy&amp;"_"&amp;Investment_Strategy_Sub2&amp;"_"&amp;$A183,'Investment Strategies'!$T:$AF,11,FALSE),
IF(Investment_Strategy="DIY",DIY_GteeChrge_FuturePremiums,
"Error"))))))</f>
        <v>0</v>
      </c>
      <c r="V183" s="33">
        <f>IF(AV183=0,0,
IF(Investment_Strategy="DIS",VLOOKUP(Investment_Strategy&amp;"_"&amp;Investment_Strategy_Sub1&amp;"_"&amp;$A183,'Investment Strategies'!$AZ:$BP,17,FALSE),
IF(AND(Investment_Strategy="Lifecycle",Investment_Strategy_Sub1="Non-Standard"),VLOOKUP(Investment_Strategy&amp;"_"&amp;Investment_Strategy_Sub2&amp;"_"&amp;$A183,'Investment Strategies'!$C:$P,14,FALSE),
IF(AND(Investment_Strategy="Lifecycle",Investment_Strategy_Sub1="Standard"),VLOOKUP(Investment_Strategy&amp;"_"&amp;Investment_Strategy_Sub2&amp;"_"&amp;$A183,'Investment Strategies'!$AJ:$AV,13,FALSE),
IF(AND(Investment_Strategy="Autopilot",Investment_Strategy_Sub1="Non-Standard"),VLOOKUP(Investment_Strategy&amp;"_"&amp;Investment_Strategy_Sub2&amp;"_"&amp;$A183,'Investment Strategies'!$T:$AF,13,FALSE),
IF(Investment_Strategy="DIY",DIY_ExtManChrge_FuturePremiums,
"Error"))))))</f>
        <v>0</v>
      </c>
      <c r="W183" s="16">
        <f t="shared" si="97"/>
        <v>0</v>
      </c>
      <c r="X183" s="16">
        <f t="shared" si="72"/>
        <v>0</v>
      </c>
      <c r="Y183" s="16">
        <f t="shared" si="73"/>
        <v>0</v>
      </c>
      <c r="Z183" s="31">
        <f t="shared" si="74"/>
        <v>0.02</v>
      </c>
      <c r="AA183" s="16">
        <f t="shared" si="75"/>
        <v>0</v>
      </c>
      <c r="AB183" s="28">
        <f t="shared" si="98"/>
        <v>0</v>
      </c>
      <c r="AC183" s="28">
        <f>(SUM($AC$91:AC182)+SUM($X$91:X182)+X183)*T183*IF(D183=$A$91,SRP_finalmonthfactor,1)</f>
        <v>0</v>
      </c>
      <c r="AD183" s="16">
        <f t="shared" si="76"/>
        <v>0</v>
      </c>
      <c r="AE183" s="106"/>
      <c r="AF183" s="16">
        <f t="shared" si="85"/>
        <v>0</v>
      </c>
      <c r="AG183" s="16">
        <f t="shared" si="86"/>
        <v>0</v>
      </c>
      <c r="AH183" s="16">
        <f t="shared" si="87"/>
        <v>0</v>
      </c>
      <c r="AJ183" s="13">
        <f t="shared" si="109"/>
        <v>0</v>
      </c>
      <c r="AK183" s="13">
        <f t="shared" si="109"/>
        <v>0</v>
      </c>
      <c r="AL183" s="13">
        <f t="shared" si="109"/>
        <v>0</v>
      </c>
      <c r="AM183" s="13">
        <f t="shared" si="109"/>
        <v>0</v>
      </c>
      <c r="AN183" s="13">
        <f t="shared" si="109"/>
        <v>0</v>
      </c>
      <c r="AO183" s="13">
        <f t="shared" si="109"/>
        <v>1</v>
      </c>
      <c r="AP183" s="13">
        <f t="shared" si="109"/>
        <v>1</v>
      </c>
      <c r="AQ183" s="13">
        <f t="shared" si="109"/>
        <v>1</v>
      </c>
      <c r="AR183" s="13">
        <f t="shared" si="109"/>
        <v>1</v>
      </c>
      <c r="AS183" s="13">
        <f t="shared" si="109"/>
        <v>1</v>
      </c>
      <c r="AT183" s="13">
        <f t="shared" si="109"/>
        <v>1</v>
      </c>
      <c r="AU183" s="13">
        <f t="shared" si="109"/>
        <v>1</v>
      </c>
      <c r="AV183" s="13">
        <f t="shared" si="77"/>
        <v>0</v>
      </c>
      <c r="AW183" s="13">
        <f t="shared" si="78"/>
        <v>1</v>
      </c>
      <c r="AY183" s="17">
        <f t="shared" si="79"/>
        <v>93</v>
      </c>
      <c r="AZ183" s="28">
        <f t="shared" si="88"/>
        <v>0</v>
      </c>
      <c r="BA183" s="13">
        <f t="shared" si="80"/>
        <v>0</v>
      </c>
      <c r="BB183" s="13">
        <f t="shared" si="81"/>
        <v>0</v>
      </c>
      <c r="BC183" s="28">
        <f t="shared" si="89"/>
        <v>0</v>
      </c>
      <c r="BD183" s="28">
        <f t="shared" si="90"/>
        <v>0</v>
      </c>
      <c r="BF183" s="248">
        <f t="shared" si="91"/>
        <v>993869.29442638322</v>
      </c>
      <c r="BG183" s="36">
        <f t="shared" si="99"/>
        <v>0</v>
      </c>
      <c r="BH183" s="36">
        <f t="shared" si="100"/>
        <v>911349.59009292477</v>
      </c>
      <c r="BI183" s="249">
        <f t="shared" si="101"/>
        <v>0</v>
      </c>
      <c r="BJ183" s="246">
        <f t="shared" si="102"/>
        <v>0</v>
      </c>
      <c r="BK183" s="246">
        <f t="shared" si="82"/>
        <v>7.531116566323881E-4</v>
      </c>
      <c r="BL183" s="246">
        <f t="shared" si="103"/>
        <v>0</v>
      </c>
      <c r="BM183" s="246">
        <f t="shared" si="104"/>
        <v>7.531116566323881E-4</v>
      </c>
      <c r="BN183" s="36">
        <f t="shared" si="92"/>
        <v>686.3479995661304</v>
      </c>
      <c r="BO183" s="36">
        <f t="shared" si="105"/>
        <v>0</v>
      </c>
      <c r="BP183" s="36">
        <f t="shared" si="106"/>
        <v>910663.24209335865</v>
      </c>
    </row>
    <row r="184" spans="1:68">
      <c r="A184" s="32">
        <f t="shared" si="93"/>
        <v>-9</v>
      </c>
      <c r="B184" s="32">
        <f t="shared" si="83"/>
        <v>60</v>
      </c>
      <c r="C184" s="32">
        <f t="shared" si="94"/>
        <v>8</v>
      </c>
      <c r="D184" s="32">
        <f t="shared" si="95"/>
        <v>94</v>
      </c>
      <c r="E184" s="74">
        <f>MIN(IF(AV184=0,0,
IF(Investment_Strategy="DIS",VLOOKUP(Investment_Strategy&amp;"_"&amp;Investment_Strategy_Sub1&amp;"_"&amp;$A184,'Investment Strategies'!$AZ:$BP,12,FALSE),
IF(AND(Investment_Strategy="Lifecycle",Investment_Strategy_Sub1="Non-Standard"),VLOOKUP(Investment_Strategy&amp;"_"&amp;Investment_Strategy_Sub2&amp;"_"&amp;$A184,'Investment Strategies'!$C:$P,9,FALSE),
IF(AND(Investment_Strategy="Lifecycle",Investment_Strategy_Sub1="Standard"),VLOOKUP(Investment_Strategy&amp;"_"&amp;Investment_Strategy_Sub2&amp;"_"&amp;$A184,'Investment Strategies'!$AJ:$AV,8,FALSE),
IF(AND(Investment_Strategy="Autopilot",Investment_Strategy_Sub1="Non-Standard"),VLOOKUP(Investment_Strategy&amp;"_"&amp;Investment_Strategy_Sub2&amp;"_"&amp;$A184,'Investment Strategies'!$T:$AF,8,FALSE),
IF(Investment_Strategy ="DIY",DIY_RateOfReturn_CurrentFunds,
"Error")))))),Max_InvReturn)</f>
        <v>0</v>
      </c>
      <c r="F184" s="62">
        <f>IF(AV184=0,0,
IF(Investment_Strategy="DIS",VLOOKUP(Investment_Strategy&amp;"_"&amp;Investment_Strategy_Sub1&amp;"_"&amp;$A184,'Investment Strategies'!$AZ:$BP,15,FALSE),
IF(AND(Investment_Strategy="Lifecycle",Investment_Strategy_Sub1="Non-Standard"),VLOOKUP(Investment_Strategy&amp;"_"&amp;Investment_Strategy_Sub2&amp;"_"&amp;$A184,'Investment Strategies'!$C:$P,12,FALSE),
IF(AND(Investment_Strategy="Lifecycle",Investment_Strategy_Sub1="Standard"),VLOOKUP(Investment_Strategy&amp;"_"&amp;Investment_Strategy_Sub2&amp;"_"&amp;$A184,'Investment Strategies'!$AJ:$AV,11,FALSE),
IF(AND(Investment_Strategy="Autopilot",Investment_Strategy_Sub1="Non-Standard"),VLOOKUP(Investment_Strategy&amp;"_"&amp;Investment_Strategy_Sub2&amp;"_"&amp;$A184,'Investment Strategies'!$T:$AF,11,FALSE),
IF(Investment_Strategy="DIY",DIY_GteeChrge_CurrentFunds,
"Error"))))))</f>
        <v>0</v>
      </c>
      <c r="G184" s="33">
        <f>IF(AV184=0,0,
IF(Investment_Strategy="DIS",VLOOKUP(Investment_Strategy&amp;"_"&amp;Investment_Strategy_Sub1&amp;"_"&amp;$A184,'Investment Strategies'!$AZ:$BP,17,FALSE),
IF(AND(Investment_Strategy="Lifecycle",Investment_Strategy_Sub1="Non-Standard"),VLOOKUP(Investment_Strategy&amp;"_"&amp;Investment_Strategy_Sub2&amp;"_"&amp;$A184,'Investment Strategies'!$C:$P,14,FALSE),
IF(AND(Investment_Strategy="Lifecycle",Investment_Strategy_Sub1="Standard"),VLOOKUP(Investment_Strategy&amp;"_"&amp;Investment_Strategy_Sub2&amp;"_"&amp;$A184,'Investment Strategies'!$AJ:$AV,13,FALSE),
IF(AND(Investment_Strategy="Autopilot",Investment_Strategy_Sub1="Non-Standard"),VLOOKUP(Investment_Strategy&amp;"_"&amp;Investment_Strategy_Sub2&amp;"_"&amp;$A184,'Investment Strategies'!$T:$AF,13,FALSE),
IF(Investment_Strategy="DIY",DIY_ExtManChrge_CurrentFunds,
"Error"))))))</f>
        <v>0</v>
      </c>
      <c r="H184" s="16">
        <f t="shared" si="84"/>
        <v>0</v>
      </c>
      <c r="I184" s="16">
        <f t="shared" si="68"/>
        <v>0</v>
      </c>
      <c r="J184" s="16">
        <f t="shared" si="69"/>
        <v>0</v>
      </c>
      <c r="K184" s="16">
        <f>(Opening_Fund_Value+SUM(K$91:K183))*E184*IF(D184=$A$91,SRP_finalmonthfactor,1)</f>
        <v>0</v>
      </c>
      <c r="L184" s="74">
        <f>MIN(IF($AV184=0,0,
IF(Investment_Strategy="DIS",VLOOKUP(Investment_Strategy&amp;"_"&amp;Investment_Strategy_Sub1&amp;"_"&amp;$A184,'Investment Strategies'!$AZ:$BP,12,FALSE),
IF(AND(Investment_Strategy="Lifecycle",Investment_Strategy_Sub1="Non-Standard"),VLOOKUP(Investment_Strategy&amp;"_"&amp;Investment_Strategy_Sub2&amp;"_"&amp;$A184,'Investment Strategies'!$C:$P,9,FALSE),
IF(AND(Investment_Strategy="Lifecycle",Investment_Strategy_Sub1="Standard"),VLOOKUP(Investment_Strategy&amp;"_"&amp;Investment_Strategy_Sub2&amp;"_"&amp;$A184,'Investment Strategies'!$AJ:$AV,8,FALSE),
IF(AND(Investment_Strategy="Autopilot",Investment_Strategy_Sub1="Non-Standard"),VLOOKUP(Investment_Strategy&amp;"_"&amp;Investment_Strategy_Sub2&amp;"_"&amp;$A184,'Investment Strategies'!$T:$AF,8,FALSE),
IF(Investment_Strategy ="DIY",DIY_RateofReturn_SP,
"Error")))))),Max_InvReturn)</f>
        <v>0</v>
      </c>
      <c r="M184" s="62">
        <f>IF($AV184=0,0,
IF(Investment_Strategy="DIS",VLOOKUP(Investment_Strategy&amp;"_"&amp;Investment_Strategy_Sub1&amp;"_"&amp;$A184,'Investment Strategies'!$AZ:$BP,15,FALSE),
IF(AND(Investment_Strategy="Lifecycle",Investment_Strategy_Sub1="Non-Standard"),VLOOKUP(Investment_Strategy&amp;"_"&amp;Investment_Strategy_Sub2&amp;"_"&amp;$A184,'Investment Strategies'!$C:$P,12,FALSE),
IF(AND(Investment_Strategy="Lifecycle",Investment_Strategy_Sub1="Standard"),VLOOKUP(Investment_Strategy&amp;"_"&amp;Investment_Strategy_Sub2&amp;"_"&amp;$A184,'Investment Strategies'!$AJ:$AV,11,FALSE),
IF(AND(Investment_Strategy="Autopilot",Investment_Strategy_Sub1="Non-Standard"),VLOOKUP(Investment_Strategy&amp;"_"&amp;Investment_Strategy_Sub2&amp;"_"&amp;$A184,'Investment Strategies'!$T:$AF,11,FALSE),
IF(Investment_Strategy="DIY",DIY_GteeChrge_SP,
"Error"))))))</f>
        <v>0</v>
      </c>
      <c r="N184" s="33">
        <f>IF($AV184=0,0,
IF(Investment_Strategy="DIS",VLOOKUP(Investment_Strategy&amp;"_"&amp;Investment_Strategy_Sub1&amp;"_"&amp;$A184,'Investment Strategies'!$AZ:$BP,17,FALSE),
IF(AND(Investment_Strategy="Lifecycle",Investment_Strategy_Sub1="Non-Standard"),VLOOKUP(Investment_Strategy&amp;"_"&amp;Investment_Strategy_Sub2&amp;"_"&amp;$A184,'Investment Strategies'!$C:$P,14,FALSE),
IF(AND(Investment_Strategy="Lifecycle",Investment_Strategy_Sub1="Standard"),VLOOKUP(Investment_Strategy&amp;"_"&amp;Investment_Strategy_Sub2&amp;"_"&amp;$A184,'Investment Strategies'!$AJ:$AV,13,FALSE),
IF(AND(Investment_Strategy="Autopilot",Investment_Strategy_Sub1="Non-Standard"),VLOOKUP(Investment_Strategy&amp;"_"&amp;Investment_Strategy_Sub2&amp;"_"&amp;$A184,'Investment Strategies'!$T:$AF,13,FALSE),
IF(Investment_Strategy="DIY",DIY_ExtManChrge_SP,
"Error"))))))</f>
        <v>0</v>
      </c>
      <c r="O184" s="16">
        <f t="shared" si="96"/>
        <v>0</v>
      </c>
      <c r="Q184" s="16">
        <f t="shared" si="70"/>
        <v>0</v>
      </c>
      <c r="R184" s="16">
        <f t="shared" si="71"/>
        <v>0</v>
      </c>
      <c r="S184" s="16">
        <f>(SRP_SP+SUM(S$91:S183))*L184*IF(D184=$A$91,SRP_finalmonthfactor,1)</f>
        <v>0</v>
      </c>
      <c r="T184" s="74">
        <f>MIN(IF($AV184=0,0,
IF(Investment_Strategy="DIS",VLOOKUP(Investment_Strategy&amp;"_"&amp;Investment_Strategy_Sub1&amp;"_"&amp;$A184,'Investment Strategies'!$AZ:$BP,12,FALSE),
IF(AND(Investment_Strategy="Lifecycle",Investment_Strategy_Sub1="Non-Standard"),VLOOKUP(Investment_Strategy&amp;"_"&amp;Investment_Strategy_Sub2&amp;"_"&amp;$A184,'Investment Strategies'!$C:$P,9,FALSE),
IF(AND(Investment_Strategy="Lifecycle",Investment_Strategy_Sub1="Standard"),VLOOKUP(Investment_Strategy&amp;"_"&amp;Investment_Strategy_Sub2&amp;"_"&amp;$A184,'Investment Strategies'!$AJ:$AV,8,FALSE),
IF(AND(Investment_Strategy="Autopilot",Investment_Strategy_Sub1="Non-Standard"),VLOOKUP(Investment_Strategy&amp;"_"&amp;Investment_Strategy_Sub2&amp;"_"&amp;$A184,'Investment Strategies'!$T:$AF,8,FALSE),
IF(Investment_Strategy ="DIY",DIY_RateOfReturn_FuturePremiums,
"Error")))))),Max_InvReturn)</f>
        <v>0</v>
      </c>
      <c r="U184" s="62">
        <f>IF($AV184=0,0,
IF(Investment_Strategy="DIS",VLOOKUP(Investment_Strategy&amp;"_"&amp;Investment_Strategy_Sub1&amp;"_"&amp;$A184,'Investment Strategies'!$AZ:$BP,15,FALSE),
IF(AND(Investment_Strategy="Lifecycle",Investment_Strategy_Sub1="Non-Standard"),VLOOKUP(Investment_Strategy&amp;"_"&amp;Investment_Strategy_Sub2&amp;"_"&amp;$A184,'Investment Strategies'!$C:$P,12,FALSE),
IF(AND(Investment_Strategy="Lifecycle",Investment_Strategy_Sub1="Standard"),VLOOKUP(Investment_Strategy&amp;"_"&amp;Investment_Strategy_Sub2&amp;"_"&amp;$A184,'Investment Strategies'!$AJ:$AV,11,FALSE),
IF(AND(Investment_Strategy="Autopilot",Investment_Strategy_Sub1="Non-Standard"),VLOOKUP(Investment_Strategy&amp;"_"&amp;Investment_Strategy_Sub2&amp;"_"&amp;$A184,'Investment Strategies'!$T:$AF,11,FALSE),
IF(Investment_Strategy="DIY",DIY_GteeChrge_FuturePremiums,
"Error"))))))</f>
        <v>0</v>
      </c>
      <c r="V184" s="33">
        <f>IF(AV184=0,0,
IF(Investment_Strategy="DIS",VLOOKUP(Investment_Strategy&amp;"_"&amp;Investment_Strategy_Sub1&amp;"_"&amp;$A184,'Investment Strategies'!$AZ:$BP,17,FALSE),
IF(AND(Investment_Strategy="Lifecycle",Investment_Strategy_Sub1="Non-Standard"),VLOOKUP(Investment_Strategy&amp;"_"&amp;Investment_Strategy_Sub2&amp;"_"&amp;$A184,'Investment Strategies'!$C:$P,14,FALSE),
IF(AND(Investment_Strategy="Lifecycle",Investment_Strategy_Sub1="Standard"),VLOOKUP(Investment_Strategy&amp;"_"&amp;Investment_Strategy_Sub2&amp;"_"&amp;$A184,'Investment Strategies'!$AJ:$AV,13,FALSE),
IF(AND(Investment_Strategy="Autopilot",Investment_Strategy_Sub1="Non-Standard"),VLOOKUP(Investment_Strategy&amp;"_"&amp;Investment_Strategy_Sub2&amp;"_"&amp;$A184,'Investment Strategies'!$T:$AF,13,FALSE),
IF(Investment_Strategy="DIY",DIY_ExtManChrge_FuturePremiums,
"Error"))))))</f>
        <v>0</v>
      </c>
      <c r="W184" s="16">
        <f t="shared" si="97"/>
        <v>0</v>
      </c>
      <c r="X184" s="16">
        <f t="shared" si="72"/>
        <v>0</v>
      </c>
      <c r="Y184" s="16">
        <f t="shared" si="73"/>
        <v>0</v>
      </c>
      <c r="Z184" s="31">
        <f t="shared" si="74"/>
        <v>0.02</v>
      </c>
      <c r="AA184" s="16">
        <f t="shared" si="75"/>
        <v>0</v>
      </c>
      <c r="AB184" s="28">
        <f t="shared" si="98"/>
        <v>0</v>
      </c>
      <c r="AC184" s="28">
        <f>(SUM($AC$91:AC183)+SUM($X$91:X183)+X184)*T184*IF(D184=$A$91,SRP_finalmonthfactor,1)</f>
        <v>0</v>
      </c>
      <c r="AD184" s="16">
        <f t="shared" si="76"/>
        <v>0</v>
      </c>
      <c r="AE184" s="106"/>
      <c r="AF184" s="16">
        <f t="shared" si="85"/>
        <v>0</v>
      </c>
      <c r="AG184" s="16">
        <f t="shared" si="86"/>
        <v>0</v>
      </c>
      <c r="AH184" s="16">
        <f t="shared" si="87"/>
        <v>0</v>
      </c>
      <c r="AJ184" s="13">
        <f t="shared" si="109"/>
        <v>0</v>
      </c>
      <c r="AK184" s="13">
        <f t="shared" si="109"/>
        <v>0</v>
      </c>
      <c r="AL184" s="13">
        <f t="shared" si="109"/>
        <v>0</v>
      </c>
      <c r="AM184" s="13">
        <f t="shared" si="109"/>
        <v>0</v>
      </c>
      <c r="AN184" s="13">
        <f t="shared" si="109"/>
        <v>0</v>
      </c>
      <c r="AO184" s="13">
        <f t="shared" si="109"/>
        <v>1</v>
      </c>
      <c r="AP184" s="13">
        <f t="shared" si="109"/>
        <v>1</v>
      </c>
      <c r="AQ184" s="13">
        <f t="shared" si="109"/>
        <v>1</v>
      </c>
      <c r="AR184" s="13">
        <f t="shared" si="109"/>
        <v>1</v>
      </c>
      <c r="AS184" s="13">
        <f t="shared" si="109"/>
        <v>1</v>
      </c>
      <c r="AT184" s="13">
        <f t="shared" si="109"/>
        <v>1</v>
      </c>
      <c r="AU184" s="13">
        <f t="shared" si="109"/>
        <v>1</v>
      </c>
      <c r="AV184" s="13">
        <f t="shared" si="77"/>
        <v>0</v>
      </c>
      <c r="AW184" s="13">
        <f t="shared" si="78"/>
        <v>1</v>
      </c>
      <c r="AY184" s="17">
        <f t="shared" si="79"/>
        <v>94</v>
      </c>
      <c r="AZ184" s="28">
        <f t="shared" si="88"/>
        <v>0</v>
      </c>
      <c r="BA184" s="13">
        <f t="shared" si="80"/>
        <v>0</v>
      </c>
      <c r="BB184" s="13">
        <f t="shared" si="81"/>
        <v>0</v>
      </c>
      <c r="BC184" s="28">
        <f t="shared" si="89"/>
        <v>0</v>
      </c>
      <c r="BD184" s="28">
        <f t="shared" si="90"/>
        <v>0</v>
      </c>
      <c r="BF184" s="248">
        <f t="shared" si="91"/>
        <v>993869.29442638322</v>
      </c>
      <c r="BG184" s="36">
        <f t="shared" si="99"/>
        <v>0</v>
      </c>
      <c r="BH184" s="36">
        <f t="shared" si="100"/>
        <v>910663.24209335865</v>
      </c>
      <c r="BI184" s="249">
        <f t="shared" si="101"/>
        <v>0</v>
      </c>
      <c r="BJ184" s="246">
        <f t="shared" si="102"/>
        <v>0</v>
      </c>
      <c r="BK184" s="246">
        <f t="shared" si="82"/>
        <v>7.531116566323881E-4</v>
      </c>
      <c r="BL184" s="246">
        <f t="shared" si="103"/>
        <v>0</v>
      </c>
      <c r="BM184" s="246">
        <f t="shared" si="104"/>
        <v>7.531116566323881E-4</v>
      </c>
      <c r="BN184" s="36">
        <f t="shared" si="92"/>
        <v>685.83110288715079</v>
      </c>
      <c r="BO184" s="36">
        <f t="shared" si="105"/>
        <v>0</v>
      </c>
      <c r="BP184" s="36">
        <f t="shared" si="106"/>
        <v>909977.41099047149</v>
      </c>
    </row>
    <row r="185" spans="1:68">
      <c r="A185" s="32">
        <f t="shared" si="93"/>
        <v>-10</v>
      </c>
      <c r="B185" s="32">
        <f t="shared" si="83"/>
        <v>60</v>
      </c>
      <c r="C185" s="32">
        <f t="shared" si="94"/>
        <v>8</v>
      </c>
      <c r="D185" s="32">
        <f t="shared" si="95"/>
        <v>95</v>
      </c>
      <c r="E185" s="74">
        <f>MIN(IF(AV185=0,0,
IF(Investment_Strategy="DIS",VLOOKUP(Investment_Strategy&amp;"_"&amp;Investment_Strategy_Sub1&amp;"_"&amp;$A185,'Investment Strategies'!$AZ:$BP,12,FALSE),
IF(AND(Investment_Strategy="Lifecycle",Investment_Strategy_Sub1="Non-Standard"),VLOOKUP(Investment_Strategy&amp;"_"&amp;Investment_Strategy_Sub2&amp;"_"&amp;$A185,'Investment Strategies'!$C:$P,9,FALSE),
IF(AND(Investment_Strategy="Lifecycle",Investment_Strategy_Sub1="Standard"),VLOOKUP(Investment_Strategy&amp;"_"&amp;Investment_Strategy_Sub2&amp;"_"&amp;$A185,'Investment Strategies'!$AJ:$AV,8,FALSE),
IF(AND(Investment_Strategy="Autopilot",Investment_Strategy_Sub1="Non-Standard"),VLOOKUP(Investment_Strategy&amp;"_"&amp;Investment_Strategy_Sub2&amp;"_"&amp;$A185,'Investment Strategies'!$T:$AF,8,FALSE),
IF(Investment_Strategy ="DIY",DIY_RateOfReturn_CurrentFunds,
"Error")))))),Max_InvReturn)</f>
        <v>0</v>
      </c>
      <c r="F185" s="62">
        <f>IF(AV185=0,0,
IF(Investment_Strategy="DIS",VLOOKUP(Investment_Strategy&amp;"_"&amp;Investment_Strategy_Sub1&amp;"_"&amp;$A185,'Investment Strategies'!$AZ:$BP,15,FALSE),
IF(AND(Investment_Strategy="Lifecycle",Investment_Strategy_Sub1="Non-Standard"),VLOOKUP(Investment_Strategy&amp;"_"&amp;Investment_Strategy_Sub2&amp;"_"&amp;$A185,'Investment Strategies'!$C:$P,12,FALSE),
IF(AND(Investment_Strategy="Lifecycle",Investment_Strategy_Sub1="Standard"),VLOOKUP(Investment_Strategy&amp;"_"&amp;Investment_Strategy_Sub2&amp;"_"&amp;$A185,'Investment Strategies'!$AJ:$AV,11,FALSE),
IF(AND(Investment_Strategy="Autopilot",Investment_Strategy_Sub1="Non-Standard"),VLOOKUP(Investment_Strategy&amp;"_"&amp;Investment_Strategy_Sub2&amp;"_"&amp;$A185,'Investment Strategies'!$T:$AF,11,FALSE),
IF(Investment_Strategy="DIY",DIY_GteeChrge_CurrentFunds,
"Error"))))))</f>
        <v>0</v>
      </c>
      <c r="G185" s="33">
        <f>IF(AV185=0,0,
IF(Investment_Strategy="DIS",VLOOKUP(Investment_Strategy&amp;"_"&amp;Investment_Strategy_Sub1&amp;"_"&amp;$A185,'Investment Strategies'!$AZ:$BP,17,FALSE),
IF(AND(Investment_Strategy="Lifecycle",Investment_Strategy_Sub1="Non-Standard"),VLOOKUP(Investment_Strategy&amp;"_"&amp;Investment_Strategy_Sub2&amp;"_"&amp;$A185,'Investment Strategies'!$C:$P,14,FALSE),
IF(AND(Investment_Strategy="Lifecycle",Investment_Strategy_Sub1="Standard"),VLOOKUP(Investment_Strategy&amp;"_"&amp;Investment_Strategy_Sub2&amp;"_"&amp;$A185,'Investment Strategies'!$AJ:$AV,13,FALSE),
IF(AND(Investment_Strategy="Autopilot",Investment_Strategy_Sub1="Non-Standard"),VLOOKUP(Investment_Strategy&amp;"_"&amp;Investment_Strategy_Sub2&amp;"_"&amp;$A185,'Investment Strategies'!$T:$AF,13,FALSE),
IF(Investment_Strategy="DIY",DIY_ExtManChrge_CurrentFunds,
"Error"))))))</f>
        <v>0</v>
      </c>
      <c r="H185" s="16">
        <f t="shared" si="84"/>
        <v>0</v>
      </c>
      <c r="I185" s="16">
        <f t="shared" si="68"/>
        <v>0</v>
      </c>
      <c r="J185" s="16">
        <f t="shared" si="69"/>
        <v>0</v>
      </c>
      <c r="K185" s="16">
        <f>(Opening_Fund_Value+SUM(K$91:K184))*E185*IF(D185=$A$91,SRP_finalmonthfactor,1)</f>
        <v>0</v>
      </c>
      <c r="L185" s="74">
        <f>MIN(IF($AV185=0,0,
IF(Investment_Strategy="DIS",VLOOKUP(Investment_Strategy&amp;"_"&amp;Investment_Strategy_Sub1&amp;"_"&amp;$A185,'Investment Strategies'!$AZ:$BP,12,FALSE),
IF(AND(Investment_Strategy="Lifecycle",Investment_Strategy_Sub1="Non-Standard"),VLOOKUP(Investment_Strategy&amp;"_"&amp;Investment_Strategy_Sub2&amp;"_"&amp;$A185,'Investment Strategies'!$C:$P,9,FALSE),
IF(AND(Investment_Strategy="Lifecycle",Investment_Strategy_Sub1="Standard"),VLOOKUP(Investment_Strategy&amp;"_"&amp;Investment_Strategy_Sub2&amp;"_"&amp;$A185,'Investment Strategies'!$AJ:$AV,8,FALSE),
IF(AND(Investment_Strategy="Autopilot",Investment_Strategy_Sub1="Non-Standard"),VLOOKUP(Investment_Strategy&amp;"_"&amp;Investment_Strategy_Sub2&amp;"_"&amp;$A185,'Investment Strategies'!$T:$AF,8,FALSE),
IF(Investment_Strategy ="DIY",DIY_RateofReturn_SP,
"Error")))))),Max_InvReturn)</f>
        <v>0</v>
      </c>
      <c r="M185" s="62">
        <f>IF($AV185=0,0,
IF(Investment_Strategy="DIS",VLOOKUP(Investment_Strategy&amp;"_"&amp;Investment_Strategy_Sub1&amp;"_"&amp;$A185,'Investment Strategies'!$AZ:$BP,15,FALSE),
IF(AND(Investment_Strategy="Lifecycle",Investment_Strategy_Sub1="Non-Standard"),VLOOKUP(Investment_Strategy&amp;"_"&amp;Investment_Strategy_Sub2&amp;"_"&amp;$A185,'Investment Strategies'!$C:$P,12,FALSE),
IF(AND(Investment_Strategy="Lifecycle",Investment_Strategy_Sub1="Standard"),VLOOKUP(Investment_Strategy&amp;"_"&amp;Investment_Strategy_Sub2&amp;"_"&amp;$A185,'Investment Strategies'!$AJ:$AV,11,FALSE),
IF(AND(Investment_Strategy="Autopilot",Investment_Strategy_Sub1="Non-Standard"),VLOOKUP(Investment_Strategy&amp;"_"&amp;Investment_Strategy_Sub2&amp;"_"&amp;$A185,'Investment Strategies'!$T:$AF,11,FALSE),
IF(Investment_Strategy="DIY",DIY_GteeChrge_SP,
"Error"))))))</f>
        <v>0</v>
      </c>
      <c r="N185" s="33">
        <f>IF($AV185=0,0,
IF(Investment_Strategy="DIS",VLOOKUP(Investment_Strategy&amp;"_"&amp;Investment_Strategy_Sub1&amp;"_"&amp;$A185,'Investment Strategies'!$AZ:$BP,17,FALSE),
IF(AND(Investment_Strategy="Lifecycle",Investment_Strategy_Sub1="Non-Standard"),VLOOKUP(Investment_Strategy&amp;"_"&amp;Investment_Strategy_Sub2&amp;"_"&amp;$A185,'Investment Strategies'!$C:$P,14,FALSE),
IF(AND(Investment_Strategy="Lifecycle",Investment_Strategy_Sub1="Standard"),VLOOKUP(Investment_Strategy&amp;"_"&amp;Investment_Strategy_Sub2&amp;"_"&amp;$A185,'Investment Strategies'!$AJ:$AV,13,FALSE),
IF(AND(Investment_Strategy="Autopilot",Investment_Strategy_Sub1="Non-Standard"),VLOOKUP(Investment_Strategy&amp;"_"&amp;Investment_Strategy_Sub2&amp;"_"&amp;$A185,'Investment Strategies'!$T:$AF,13,FALSE),
IF(Investment_Strategy="DIY",DIY_ExtManChrge_SP,
"Error"))))))</f>
        <v>0</v>
      </c>
      <c r="O185" s="16">
        <f t="shared" si="96"/>
        <v>0</v>
      </c>
      <c r="Q185" s="16">
        <f t="shared" si="70"/>
        <v>0</v>
      </c>
      <c r="R185" s="16">
        <f t="shared" si="71"/>
        <v>0</v>
      </c>
      <c r="S185" s="16">
        <f>(SRP_SP+SUM(S$91:S184))*L185*IF(D185=$A$91,SRP_finalmonthfactor,1)</f>
        <v>0</v>
      </c>
      <c r="T185" s="74">
        <f>MIN(IF($AV185=0,0,
IF(Investment_Strategy="DIS",VLOOKUP(Investment_Strategy&amp;"_"&amp;Investment_Strategy_Sub1&amp;"_"&amp;$A185,'Investment Strategies'!$AZ:$BP,12,FALSE),
IF(AND(Investment_Strategy="Lifecycle",Investment_Strategy_Sub1="Non-Standard"),VLOOKUP(Investment_Strategy&amp;"_"&amp;Investment_Strategy_Sub2&amp;"_"&amp;$A185,'Investment Strategies'!$C:$P,9,FALSE),
IF(AND(Investment_Strategy="Lifecycle",Investment_Strategy_Sub1="Standard"),VLOOKUP(Investment_Strategy&amp;"_"&amp;Investment_Strategy_Sub2&amp;"_"&amp;$A185,'Investment Strategies'!$AJ:$AV,8,FALSE),
IF(AND(Investment_Strategy="Autopilot",Investment_Strategy_Sub1="Non-Standard"),VLOOKUP(Investment_Strategy&amp;"_"&amp;Investment_Strategy_Sub2&amp;"_"&amp;$A185,'Investment Strategies'!$T:$AF,8,FALSE),
IF(Investment_Strategy ="DIY",DIY_RateOfReturn_FuturePremiums,
"Error")))))),Max_InvReturn)</f>
        <v>0</v>
      </c>
      <c r="U185" s="62">
        <f>IF($AV185=0,0,
IF(Investment_Strategy="DIS",VLOOKUP(Investment_Strategy&amp;"_"&amp;Investment_Strategy_Sub1&amp;"_"&amp;$A185,'Investment Strategies'!$AZ:$BP,15,FALSE),
IF(AND(Investment_Strategy="Lifecycle",Investment_Strategy_Sub1="Non-Standard"),VLOOKUP(Investment_Strategy&amp;"_"&amp;Investment_Strategy_Sub2&amp;"_"&amp;$A185,'Investment Strategies'!$C:$P,12,FALSE),
IF(AND(Investment_Strategy="Lifecycle",Investment_Strategy_Sub1="Standard"),VLOOKUP(Investment_Strategy&amp;"_"&amp;Investment_Strategy_Sub2&amp;"_"&amp;$A185,'Investment Strategies'!$AJ:$AV,11,FALSE),
IF(AND(Investment_Strategy="Autopilot",Investment_Strategy_Sub1="Non-Standard"),VLOOKUP(Investment_Strategy&amp;"_"&amp;Investment_Strategy_Sub2&amp;"_"&amp;$A185,'Investment Strategies'!$T:$AF,11,FALSE),
IF(Investment_Strategy="DIY",DIY_GteeChrge_FuturePremiums,
"Error"))))))</f>
        <v>0</v>
      </c>
      <c r="V185" s="33">
        <f>IF(AV185=0,0,
IF(Investment_Strategy="DIS",VLOOKUP(Investment_Strategy&amp;"_"&amp;Investment_Strategy_Sub1&amp;"_"&amp;$A185,'Investment Strategies'!$AZ:$BP,17,FALSE),
IF(AND(Investment_Strategy="Lifecycle",Investment_Strategy_Sub1="Non-Standard"),VLOOKUP(Investment_Strategy&amp;"_"&amp;Investment_Strategy_Sub2&amp;"_"&amp;$A185,'Investment Strategies'!$C:$P,14,FALSE),
IF(AND(Investment_Strategy="Lifecycle",Investment_Strategy_Sub1="Standard"),VLOOKUP(Investment_Strategy&amp;"_"&amp;Investment_Strategy_Sub2&amp;"_"&amp;$A185,'Investment Strategies'!$AJ:$AV,13,FALSE),
IF(AND(Investment_Strategy="Autopilot",Investment_Strategy_Sub1="Non-Standard"),VLOOKUP(Investment_Strategy&amp;"_"&amp;Investment_Strategy_Sub2&amp;"_"&amp;$A185,'Investment Strategies'!$T:$AF,13,FALSE),
IF(Investment_Strategy="DIY",DIY_ExtManChrge_FuturePremiums,
"Error"))))))</f>
        <v>0</v>
      </c>
      <c r="W185" s="16">
        <f t="shared" si="97"/>
        <v>0</v>
      </c>
      <c r="X185" s="16">
        <f t="shared" si="72"/>
        <v>0</v>
      </c>
      <c r="Y185" s="16">
        <f t="shared" si="73"/>
        <v>0</v>
      </c>
      <c r="Z185" s="31">
        <f t="shared" si="74"/>
        <v>0.02</v>
      </c>
      <c r="AA185" s="16">
        <f t="shared" si="75"/>
        <v>0</v>
      </c>
      <c r="AB185" s="28">
        <f t="shared" si="98"/>
        <v>0</v>
      </c>
      <c r="AC185" s="28">
        <f>(SUM($AC$91:AC184)+SUM($X$91:X184)+X185)*T185*IF(D185=$A$91,SRP_finalmonthfactor,1)</f>
        <v>0</v>
      </c>
      <c r="AD185" s="16">
        <f t="shared" si="76"/>
        <v>0</v>
      </c>
      <c r="AE185" s="106"/>
      <c r="AF185" s="16">
        <f t="shared" si="85"/>
        <v>0</v>
      </c>
      <c r="AG185" s="16">
        <f t="shared" si="86"/>
        <v>0</v>
      </c>
      <c r="AH185" s="16">
        <f t="shared" si="87"/>
        <v>0</v>
      </c>
      <c r="AJ185" s="13">
        <f t="shared" si="109"/>
        <v>0</v>
      </c>
      <c r="AK185" s="13">
        <f t="shared" si="109"/>
        <v>0</v>
      </c>
      <c r="AL185" s="13">
        <f t="shared" si="109"/>
        <v>0</v>
      </c>
      <c r="AM185" s="13">
        <f t="shared" si="109"/>
        <v>0</v>
      </c>
      <c r="AN185" s="13">
        <f t="shared" si="109"/>
        <v>0</v>
      </c>
      <c r="AO185" s="13">
        <f t="shared" si="109"/>
        <v>1</v>
      </c>
      <c r="AP185" s="13">
        <f t="shared" si="109"/>
        <v>1</v>
      </c>
      <c r="AQ185" s="13">
        <f t="shared" si="109"/>
        <v>1</v>
      </c>
      <c r="AR185" s="13">
        <f t="shared" si="109"/>
        <v>1</v>
      </c>
      <c r="AS185" s="13">
        <f t="shared" si="109"/>
        <v>1</v>
      </c>
      <c r="AT185" s="13">
        <f t="shared" si="109"/>
        <v>1</v>
      </c>
      <c r="AU185" s="13">
        <f t="shared" si="109"/>
        <v>1</v>
      </c>
      <c r="AV185" s="13">
        <f t="shared" si="77"/>
        <v>0</v>
      </c>
      <c r="AW185" s="13">
        <f t="shared" si="78"/>
        <v>1</v>
      </c>
      <c r="AY185" s="17">
        <f t="shared" si="79"/>
        <v>95</v>
      </c>
      <c r="AZ185" s="28">
        <f t="shared" si="88"/>
        <v>0</v>
      </c>
      <c r="BA185" s="13">
        <f t="shared" si="80"/>
        <v>0</v>
      </c>
      <c r="BB185" s="13">
        <f t="shared" si="81"/>
        <v>0</v>
      </c>
      <c r="BC185" s="28">
        <f t="shared" si="89"/>
        <v>0</v>
      </c>
      <c r="BD185" s="28">
        <f t="shared" si="90"/>
        <v>0</v>
      </c>
      <c r="BF185" s="248">
        <f t="shared" si="91"/>
        <v>993869.29442638322</v>
      </c>
      <c r="BG185" s="36">
        <f t="shared" si="99"/>
        <v>0</v>
      </c>
      <c r="BH185" s="36">
        <f t="shared" si="100"/>
        <v>909977.41099047149</v>
      </c>
      <c r="BI185" s="249">
        <f t="shared" si="101"/>
        <v>0</v>
      </c>
      <c r="BJ185" s="246">
        <f t="shared" si="102"/>
        <v>0</v>
      </c>
      <c r="BK185" s="246">
        <f t="shared" si="82"/>
        <v>7.531116566323881E-4</v>
      </c>
      <c r="BL185" s="246">
        <f t="shared" si="103"/>
        <v>0</v>
      </c>
      <c r="BM185" s="246">
        <f t="shared" si="104"/>
        <v>7.531116566323881E-4</v>
      </c>
      <c r="BN185" s="36">
        <f t="shared" si="92"/>
        <v>685.31459548908549</v>
      </c>
      <c r="BO185" s="36">
        <f t="shared" si="105"/>
        <v>0</v>
      </c>
      <c r="BP185" s="36">
        <f t="shared" si="106"/>
        <v>909292.09639498242</v>
      </c>
    </row>
    <row r="186" spans="1:68">
      <c r="A186" s="32">
        <f t="shared" si="93"/>
        <v>-11</v>
      </c>
      <c r="B186" s="32">
        <f t="shared" si="83"/>
        <v>60</v>
      </c>
      <c r="C186" s="32">
        <f t="shared" si="94"/>
        <v>8</v>
      </c>
      <c r="D186" s="32">
        <f t="shared" si="95"/>
        <v>96</v>
      </c>
      <c r="E186" s="74">
        <f>MIN(IF(AV186=0,0,
IF(Investment_Strategy="DIS",VLOOKUP(Investment_Strategy&amp;"_"&amp;Investment_Strategy_Sub1&amp;"_"&amp;$A186,'Investment Strategies'!$AZ:$BP,12,FALSE),
IF(AND(Investment_Strategy="Lifecycle",Investment_Strategy_Sub1="Non-Standard"),VLOOKUP(Investment_Strategy&amp;"_"&amp;Investment_Strategy_Sub2&amp;"_"&amp;$A186,'Investment Strategies'!$C:$P,9,FALSE),
IF(AND(Investment_Strategy="Lifecycle",Investment_Strategy_Sub1="Standard"),VLOOKUP(Investment_Strategy&amp;"_"&amp;Investment_Strategy_Sub2&amp;"_"&amp;$A186,'Investment Strategies'!$AJ:$AV,8,FALSE),
IF(AND(Investment_Strategy="Autopilot",Investment_Strategy_Sub1="Non-Standard"),VLOOKUP(Investment_Strategy&amp;"_"&amp;Investment_Strategy_Sub2&amp;"_"&amp;$A186,'Investment Strategies'!$T:$AF,8,FALSE),
IF(Investment_Strategy ="DIY",DIY_RateOfReturn_CurrentFunds,
"Error")))))),Max_InvReturn)</f>
        <v>0</v>
      </c>
      <c r="F186" s="62">
        <f>IF(AV186=0,0,
IF(Investment_Strategy="DIS",VLOOKUP(Investment_Strategy&amp;"_"&amp;Investment_Strategy_Sub1&amp;"_"&amp;$A186,'Investment Strategies'!$AZ:$BP,15,FALSE),
IF(AND(Investment_Strategy="Lifecycle",Investment_Strategy_Sub1="Non-Standard"),VLOOKUP(Investment_Strategy&amp;"_"&amp;Investment_Strategy_Sub2&amp;"_"&amp;$A186,'Investment Strategies'!$C:$P,12,FALSE),
IF(AND(Investment_Strategy="Lifecycle",Investment_Strategy_Sub1="Standard"),VLOOKUP(Investment_Strategy&amp;"_"&amp;Investment_Strategy_Sub2&amp;"_"&amp;$A186,'Investment Strategies'!$AJ:$AV,11,FALSE),
IF(AND(Investment_Strategy="Autopilot",Investment_Strategy_Sub1="Non-Standard"),VLOOKUP(Investment_Strategy&amp;"_"&amp;Investment_Strategy_Sub2&amp;"_"&amp;$A186,'Investment Strategies'!$T:$AF,11,FALSE),
IF(Investment_Strategy="DIY",DIY_GteeChrge_CurrentFunds,
"Error"))))))</f>
        <v>0</v>
      </c>
      <c r="G186" s="33">
        <f>IF(AV186=0,0,
IF(Investment_Strategy="DIS",VLOOKUP(Investment_Strategy&amp;"_"&amp;Investment_Strategy_Sub1&amp;"_"&amp;$A186,'Investment Strategies'!$AZ:$BP,17,FALSE),
IF(AND(Investment_Strategy="Lifecycle",Investment_Strategy_Sub1="Non-Standard"),VLOOKUP(Investment_Strategy&amp;"_"&amp;Investment_Strategy_Sub2&amp;"_"&amp;$A186,'Investment Strategies'!$C:$P,14,FALSE),
IF(AND(Investment_Strategy="Lifecycle",Investment_Strategy_Sub1="Standard"),VLOOKUP(Investment_Strategy&amp;"_"&amp;Investment_Strategy_Sub2&amp;"_"&amp;$A186,'Investment Strategies'!$AJ:$AV,13,FALSE),
IF(AND(Investment_Strategy="Autopilot",Investment_Strategy_Sub1="Non-Standard"),VLOOKUP(Investment_Strategy&amp;"_"&amp;Investment_Strategy_Sub2&amp;"_"&amp;$A186,'Investment Strategies'!$T:$AF,13,FALSE),
IF(Investment_Strategy="DIY",DIY_ExtManChrge_CurrentFunds,
"Error"))))))</f>
        <v>0</v>
      </c>
      <c r="H186" s="16">
        <f t="shared" si="84"/>
        <v>0</v>
      </c>
      <c r="I186" s="16">
        <f t="shared" si="68"/>
        <v>0</v>
      </c>
      <c r="J186" s="16">
        <f t="shared" si="69"/>
        <v>0</v>
      </c>
      <c r="K186" s="16">
        <f>(Opening_Fund_Value+SUM(K$91:K185))*E186*IF(D186=$A$91,SRP_finalmonthfactor,1)</f>
        <v>0</v>
      </c>
      <c r="L186" s="74">
        <f>MIN(IF($AV186=0,0,
IF(Investment_Strategy="DIS",VLOOKUP(Investment_Strategy&amp;"_"&amp;Investment_Strategy_Sub1&amp;"_"&amp;$A186,'Investment Strategies'!$AZ:$BP,12,FALSE),
IF(AND(Investment_Strategy="Lifecycle",Investment_Strategy_Sub1="Non-Standard"),VLOOKUP(Investment_Strategy&amp;"_"&amp;Investment_Strategy_Sub2&amp;"_"&amp;$A186,'Investment Strategies'!$C:$P,9,FALSE),
IF(AND(Investment_Strategy="Lifecycle",Investment_Strategy_Sub1="Standard"),VLOOKUP(Investment_Strategy&amp;"_"&amp;Investment_Strategy_Sub2&amp;"_"&amp;$A186,'Investment Strategies'!$AJ:$AV,8,FALSE),
IF(AND(Investment_Strategy="Autopilot",Investment_Strategy_Sub1="Non-Standard"),VLOOKUP(Investment_Strategy&amp;"_"&amp;Investment_Strategy_Sub2&amp;"_"&amp;$A186,'Investment Strategies'!$T:$AF,8,FALSE),
IF(Investment_Strategy ="DIY",DIY_RateofReturn_SP,
"Error")))))),Max_InvReturn)</f>
        <v>0</v>
      </c>
      <c r="M186" s="62">
        <f>IF($AV186=0,0,
IF(Investment_Strategy="DIS",VLOOKUP(Investment_Strategy&amp;"_"&amp;Investment_Strategy_Sub1&amp;"_"&amp;$A186,'Investment Strategies'!$AZ:$BP,15,FALSE),
IF(AND(Investment_Strategy="Lifecycle",Investment_Strategy_Sub1="Non-Standard"),VLOOKUP(Investment_Strategy&amp;"_"&amp;Investment_Strategy_Sub2&amp;"_"&amp;$A186,'Investment Strategies'!$C:$P,12,FALSE),
IF(AND(Investment_Strategy="Lifecycle",Investment_Strategy_Sub1="Standard"),VLOOKUP(Investment_Strategy&amp;"_"&amp;Investment_Strategy_Sub2&amp;"_"&amp;$A186,'Investment Strategies'!$AJ:$AV,11,FALSE),
IF(AND(Investment_Strategy="Autopilot",Investment_Strategy_Sub1="Non-Standard"),VLOOKUP(Investment_Strategy&amp;"_"&amp;Investment_Strategy_Sub2&amp;"_"&amp;$A186,'Investment Strategies'!$T:$AF,11,FALSE),
IF(Investment_Strategy="DIY",DIY_GteeChrge_SP,
"Error"))))))</f>
        <v>0</v>
      </c>
      <c r="N186" s="33">
        <f>IF($AV186=0,0,
IF(Investment_Strategy="DIS",VLOOKUP(Investment_Strategy&amp;"_"&amp;Investment_Strategy_Sub1&amp;"_"&amp;$A186,'Investment Strategies'!$AZ:$BP,17,FALSE),
IF(AND(Investment_Strategy="Lifecycle",Investment_Strategy_Sub1="Non-Standard"),VLOOKUP(Investment_Strategy&amp;"_"&amp;Investment_Strategy_Sub2&amp;"_"&amp;$A186,'Investment Strategies'!$C:$P,14,FALSE),
IF(AND(Investment_Strategy="Lifecycle",Investment_Strategy_Sub1="Standard"),VLOOKUP(Investment_Strategy&amp;"_"&amp;Investment_Strategy_Sub2&amp;"_"&amp;$A186,'Investment Strategies'!$AJ:$AV,13,FALSE),
IF(AND(Investment_Strategy="Autopilot",Investment_Strategy_Sub1="Non-Standard"),VLOOKUP(Investment_Strategy&amp;"_"&amp;Investment_Strategy_Sub2&amp;"_"&amp;$A186,'Investment Strategies'!$T:$AF,13,FALSE),
IF(Investment_Strategy="DIY",DIY_ExtManChrge_SP,
"Error"))))))</f>
        <v>0</v>
      </c>
      <c r="O186" s="16">
        <f t="shared" si="96"/>
        <v>0</v>
      </c>
      <c r="Q186" s="16">
        <f t="shared" si="70"/>
        <v>0</v>
      </c>
      <c r="R186" s="16">
        <f t="shared" si="71"/>
        <v>0</v>
      </c>
      <c r="S186" s="16">
        <f>(SRP_SP+SUM(S$91:S185))*L186*IF(D186=$A$91,SRP_finalmonthfactor,1)</f>
        <v>0</v>
      </c>
      <c r="T186" s="74">
        <f>MIN(IF($AV186=0,0,
IF(Investment_Strategy="DIS",VLOOKUP(Investment_Strategy&amp;"_"&amp;Investment_Strategy_Sub1&amp;"_"&amp;$A186,'Investment Strategies'!$AZ:$BP,12,FALSE),
IF(AND(Investment_Strategy="Lifecycle",Investment_Strategy_Sub1="Non-Standard"),VLOOKUP(Investment_Strategy&amp;"_"&amp;Investment_Strategy_Sub2&amp;"_"&amp;$A186,'Investment Strategies'!$C:$P,9,FALSE),
IF(AND(Investment_Strategy="Lifecycle",Investment_Strategy_Sub1="Standard"),VLOOKUP(Investment_Strategy&amp;"_"&amp;Investment_Strategy_Sub2&amp;"_"&amp;$A186,'Investment Strategies'!$AJ:$AV,8,FALSE),
IF(AND(Investment_Strategy="Autopilot",Investment_Strategy_Sub1="Non-Standard"),VLOOKUP(Investment_Strategy&amp;"_"&amp;Investment_Strategy_Sub2&amp;"_"&amp;$A186,'Investment Strategies'!$T:$AF,8,FALSE),
IF(Investment_Strategy ="DIY",DIY_RateOfReturn_FuturePremiums,
"Error")))))),Max_InvReturn)</f>
        <v>0</v>
      </c>
      <c r="U186" s="62">
        <f>IF($AV186=0,0,
IF(Investment_Strategy="DIS",VLOOKUP(Investment_Strategy&amp;"_"&amp;Investment_Strategy_Sub1&amp;"_"&amp;$A186,'Investment Strategies'!$AZ:$BP,15,FALSE),
IF(AND(Investment_Strategy="Lifecycle",Investment_Strategy_Sub1="Non-Standard"),VLOOKUP(Investment_Strategy&amp;"_"&amp;Investment_Strategy_Sub2&amp;"_"&amp;$A186,'Investment Strategies'!$C:$P,12,FALSE),
IF(AND(Investment_Strategy="Lifecycle",Investment_Strategy_Sub1="Standard"),VLOOKUP(Investment_Strategy&amp;"_"&amp;Investment_Strategy_Sub2&amp;"_"&amp;$A186,'Investment Strategies'!$AJ:$AV,11,FALSE),
IF(AND(Investment_Strategy="Autopilot",Investment_Strategy_Sub1="Non-Standard"),VLOOKUP(Investment_Strategy&amp;"_"&amp;Investment_Strategy_Sub2&amp;"_"&amp;$A186,'Investment Strategies'!$T:$AF,11,FALSE),
IF(Investment_Strategy="DIY",DIY_GteeChrge_FuturePremiums,
"Error"))))))</f>
        <v>0</v>
      </c>
      <c r="V186" s="33">
        <f>IF(AV186=0,0,
IF(Investment_Strategy="DIS",VLOOKUP(Investment_Strategy&amp;"_"&amp;Investment_Strategy_Sub1&amp;"_"&amp;$A186,'Investment Strategies'!$AZ:$BP,17,FALSE),
IF(AND(Investment_Strategy="Lifecycle",Investment_Strategy_Sub1="Non-Standard"),VLOOKUP(Investment_Strategy&amp;"_"&amp;Investment_Strategy_Sub2&amp;"_"&amp;$A186,'Investment Strategies'!$C:$P,14,FALSE),
IF(AND(Investment_Strategy="Lifecycle",Investment_Strategy_Sub1="Standard"),VLOOKUP(Investment_Strategy&amp;"_"&amp;Investment_Strategy_Sub2&amp;"_"&amp;$A186,'Investment Strategies'!$AJ:$AV,13,FALSE),
IF(AND(Investment_Strategy="Autopilot",Investment_Strategy_Sub1="Non-Standard"),VLOOKUP(Investment_Strategy&amp;"_"&amp;Investment_Strategy_Sub2&amp;"_"&amp;$A186,'Investment Strategies'!$T:$AF,13,FALSE),
IF(Investment_Strategy="DIY",DIY_ExtManChrge_FuturePremiums,
"Error"))))))</f>
        <v>0</v>
      </c>
      <c r="W186" s="16">
        <f t="shared" si="97"/>
        <v>0</v>
      </c>
      <c r="X186" s="16">
        <f t="shared" si="72"/>
        <v>0</v>
      </c>
      <c r="Y186" s="16">
        <f t="shared" si="73"/>
        <v>0</v>
      </c>
      <c r="Z186" s="31">
        <f t="shared" si="74"/>
        <v>0.02</v>
      </c>
      <c r="AA186" s="16">
        <f t="shared" si="75"/>
        <v>0</v>
      </c>
      <c r="AB186" s="28">
        <f t="shared" si="98"/>
        <v>0</v>
      </c>
      <c r="AC186" s="28">
        <f>(SUM($AC$91:AC185)+SUM($X$91:X185)+X186)*T186*IF(D186=$A$91,SRP_finalmonthfactor,1)</f>
        <v>0</v>
      </c>
      <c r="AD186" s="16">
        <f t="shared" si="76"/>
        <v>0</v>
      </c>
      <c r="AE186" s="106"/>
      <c r="AF186" s="16">
        <f t="shared" si="85"/>
        <v>0</v>
      </c>
      <c r="AG186" s="16">
        <f t="shared" si="86"/>
        <v>0</v>
      </c>
      <c r="AH186" s="16">
        <f t="shared" si="87"/>
        <v>0</v>
      </c>
      <c r="AJ186" s="13">
        <f t="shared" si="109"/>
        <v>0</v>
      </c>
      <c r="AK186" s="13">
        <f t="shared" si="109"/>
        <v>0</v>
      </c>
      <c r="AL186" s="13">
        <f t="shared" si="109"/>
        <v>0</v>
      </c>
      <c r="AM186" s="13">
        <f t="shared" si="109"/>
        <v>0</v>
      </c>
      <c r="AN186" s="13">
        <f t="shared" si="109"/>
        <v>0</v>
      </c>
      <c r="AO186" s="13">
        <f t="shared" si="109"/>
        <v>1</v>
      </c>
      <c r="AP186" s="13">
        <f t="shared" si="109"/>
        <v>1</v>
      </c>
      <c r="AQ186" s="13">
        <f t="shared" si="109"/>
        <v>1</v>
      </c>
      <c r="AR186" s="13">
        <f t="shared" si="109"/>
        <v>1</v>
      </c>
      <c r="AS186" s="13">
        <f t="shared" si="109"/>
        <v>1</v>
      </c>
      <c r="AT186" s="13">
        <f t="shared" si="109"/>
        <v>1</v>
      </c>
      <c r="AU186" s="13">
        <f t="shared" si="109"/>
        <v>1</v>
      </c>
      <c r="AV186" s="13">
        <f t="shared" si="77"/>
        <v>0</v>
      </c>
      <c r="AW186" s="13">
        <f t="shared" si="78"/>
        <v>1</v>
      </c>
      <c r="AY186" s="17">
        <f t="shared" si="79"/>
        <v>96</v>
      </c>
      <c r="AZ186" s="28">
        <f t="shared" si="88"/>
        <v>0</v>
      </c>
      <c r="BA186" s="13">
        <f t="shared" si="80"/>
        <v>0</v>
      </c>
      <c r="BB186" s="13">
        <f t="shared" si="81"/>
        <v>0</v>
      </c>
      <c r="BC186" s="28">
        <f t="shared" si="89"/>
        <v>0</v>
      </c>
      <c r="BD186" s="28">
        <f t="shared" si="90"/>
        <v>0</v>
      </c>
      <c r="BF186" s="248">
        <f t="shared" si="91"/>
        <v>993869.29442638322</v>
      </c>
      <c r="BG186" s="36">
        <f t="shared" si="99"/>
        <v>0</v>
      </c>
      <c r="BH186" s="36">
        <f t="shared" si="100"/>
        <v>909292.09639498242</v>
      </c>
      <c r="BI186" s="249">
        <f t="shared" si="101"/>
        <v>0</v>
      </c>
      <c r="BJ186" s="246">
        <f t="shared" si="102"/>
        <v>0</v>
      </c>
      <c r="BK186" s="246">
        <f t="shared" si="82"/>
        <v>7.531116566323881E-4</v>
      </c>
      <c r="BL186" s="246">
        <f t="shared" si="103"/>
        <v>0</v>
      </c>
      <c r="BM186" s="246">
        <f t="shared" si="104"/>
        <v>7.531116566323881E-4</v>
      </c>
      <c r="BN186" s="36">
        <f t="shared" si="92"/>
        <v>684.7984770787624</v>
      </c>
      <c r="BO186" s="36">
        <f t="shared" si="105"/>
        <v>0</v>
      </c>
      <c r="BP186" s="36">
        <f t="shared" si="106"/>
        <v>908607.29791790363</v>
      </c>
    </row>
    <row r="187" spans="1:68">
      <c r="A187" s="32">
        <f t="shared" si="93"/>
        <v>-12</v>
      </c>
      <c r="B187" s="32">
        <f t="shared" si="83"/>
        <v>61</v>
      </c>
      <c r="C187" s="32">
        <f t="shared" si="94"/>
        <v>9</v>
      </c>
      <c r="D187" s="32">
        <f t="shared" si="95"/>
        <v>97</v>
      </c>
      <c r="E187" s="74">
        <f>MIN(IF(AV187=0,0,
IF(Investment_Strategy="DIS",VLOOKUP(Investment_Strategy&amp;"_"&amp;Investment_Strategy_Sub1&amp;"_"&amp;$A187,'Investment Strategies'!$AZ:$BP,12,FALSE),
IF(AND(Investment_Strategy="Lifecycle",Investment_Strategy_Sub1="Non-Standard"),VLOOKUP(Investment_Strategy&amp;"_"&amp;Investment_Strategy_Sub2&amp;"_"&amp;$A187,'Investment Strategies'!$C:$P,9,FALSE),
IF(AND(Investment_Strategy="Lifecycle",Investment_Strategy_Sub1="Standard"),VLOOKUP(Investment_Strategy&amp;"_"&amp;Investment_Strategy_Sub2&amp;"_"&amp;$A187,'Investment Strategies'!$AJ:$AV,8,FALSE),
IF(AND(Investment_Strategy="Autopilot",Investment_Strategy_Sub1="Non-Standard"),VLOOKUP(Investment_Strategy&amp;"_"&amp;Investment_Strategy_Sub2&amp;"_"&amp;$A187,'Investment Strategies'!$T:$AF,8,FALSE),
IF(Investment_Strategy ="DIY",DIY_RateOfReturn_CurrentFunds,
"Error")))))),Max_InvReturn)</f>
        <v>0</v>
      </c>
      <c r="F187" s="62">
        <f>IF(AV187=0,0,
IF(Investment_Strategy="DIS",VLOOKUP(Investment_Strategy&amp;"_"&amp;Investment_Strategy_Sub1&amp;"_"&amp;$A187,'Investment Strategies'!$AZ:$BP,15,FALSE),
IF(AND(Investment_Strategy="Lifecycle",Investment_Strategy_Sub1="Non-Standard"),VLOOKUP(Investment_Strategy&amp;"_"&amp;Investment_Strategy_Sub2&amp;"_"&amp;$A187,'Investment Strategies'!$C:$P,12,FALSE),
IF(AND(Investment_Strategy="Lifecycle",Investment_Strategy_Sub1="Standard"),VLOOKUP(Investment_Strategy&amp;"_"&amp;Investment_Strategy_Sub2&amp;"_"&amp;$A187,'Investment Strategies'!$AJ:$AV,11,FALSE),
IF(AND(Investment_Strategy="Autopilot",Investment_Strategy_Sub1="Non-Standard"),VLOOKUP(Investment_Strategy&amp;"_"&amp;Investment_Strategy_Sub2&amp;"_"&amp;$A187,'Investment Strategies'!$T:$AF,11,FALSE),
IF(Investment_Strategy="DIY",DIY_GteeChrge_CurrentFunds,
"Error"))))))</f>
        <v>0</v>
      </c>
      <c r="G187" s="33">
        <f>IF(AV187=0,0,
IF(Investment_Strategy="DIS",VLOOKUP(Investment_Strategy&amp;"_"&amp;Investment_Strategy_Sub1&amp;"_"&amp;$A187,'Investment Strategies'!$AZ:$BP,17,FALSE),
IF(AND(Investment_Strategy="Lifecycle",Investment_Strategy_Sub1="Non-Standard"),VLOOKUP(Investment_Strategy&amp;"_"&amp;Investment_Strategy_Sub2&amp;"_"&amp;$A187,'Investment Strategies'!$C:$P,14,FALSE),
IF(AND(Investment_Strategy="Lifecycle",Investment_Strategy_Sub1="Standard"),VLOOKUP(Investment_Strategy&amp;"_"&amp;Investment_Strategy_Sub2&amp;"_"&amp;$A187,'Investment Strategies'!$AJ:$AV,13,FALSE),
IF(AND(Investment_Strategy="Autopilot",Investment_Strategy_Sub1="Non-Standard"),VLOOKUP(Investment_Strategy&amp;"_"&amp;Investment_Strategy_Sub2&amp;"_"&amp;$A187,'Investment Strategies'!$T:$AF,13,FALSE),
IF(Investment_Strategy="DIY",DIY_ExtManChrge_CurrentFunds,
"Error"))))))</f>
        <v>0</v>
      </c>
      <c r="H187" s="16">
        <f t="shared" si="84"/>
        <v>0</v>
      </c>
      <c r="I187" s="16">
        <f t="shared" si="68"/>
        <v>0</v>
      </c>
      <c r="J187" s="16">
        <f t="shared" si="69"/>
        <v>0</v>
      </c>
      <c r="K187" s="16">
        <f>(Opening_Fund_Value+SUM(K$91:K186))*E187*IF(D187=$A$91,SRP_finalmonthfactor,1)</f>
        <v>0</v>
      </c>
      <c r="L187" s="74">
        <f>MIN(IF($AV187=0,0,
IF(Investment_Strategy="DIS",VLOOKUP(Investment_Strategy&amp;"_"&amp;Investment_Strategy_Sub1&amp;"_"&amp;$A187,'Investment Strategies'!$AZ:$BP,12,FALSE),
IF(AND(Investment_Strategy="Lifecycle",Investment_Strategy_Sub1="Non-Standard"),VLOOKUP(Investment_Strategy&amp;"_"&amp;Investment_Strategy_Sub2&amp;"_"&amp;$A187,'Investment Strategies'!$C:$P,9,FALSE),
IF(AND(Investment_Strategy="Lifecycle",Investment_Strategy_Sub1="Standard"),VLOOKUP(Investment_Strategy&amp;"_"&amp;Investment_Strategy_Sub2&amp;"_"&amp;$A187,'Investment Strategies'!$AJ:$AV,8,FALSE),
IF(AND(Investment_Strategy="Autopilot",Investment_Strategy_Sub1="Non-Standard"),VLOOKUP(Investment_Strategy&amp;"_"&amp;Investment_Strategy_Sub2&amp;"_"&amp;$A187,'Investment Strategies'!$T:$AF,8,FALSE),
IF(Investment_Strategy ="DIY",DIY_RateofReturn_SP,
"Error")))))),Max_InvReturn)</f>
        <v>0</v>
      </c>
      <c r="M187" s="62">
        <f>IF($AV187=0,0,
IF(Investment_Strategy="DIS",VLOOKUP(Investment_Strategy&amp;"_"&amp;Investment_Strategy_Sub1&amp;"_"&amp;$A187,'Investment Strategies'!$AZ:$BP,15,FALSE),
IF(AND(Investment_Strategy="Lifecycle",Investment_Strategy_Sub1="Non-Standard"),VLOOKUP(Investment_Strategy&amp;"_"&amp;Investment_Strategy_Sub2&amp;"_"&amp;$A187,'Investment Strategies'!$C:$P,12,FALSE),
IF(AND(Investment_Strategy="Lifecycle",Investment_Strategy_Sub1="Standard"),VLOOKUP(Investment_Strategy&amp;"_"&amp;Investment_Strategy_Sub2&amp;"_"&amp;$A187,'Investment Strategies'!$AJ:$AV,11,FALSE),
IF(AND(Investment_Strategy="Autopilot",Investment_Strategy_Sub1="Non-Standard"),VLOOKUP(Investment_Strategy&amp;"_"&amp;Investment_Strategy_Sub2&amp;"_"&amp;$A187,'Investment Strategies'!$T:$AF,11,FALSE),
IF(Investment_Strategy="DIY",DIY_GteeChrge_SP,
"Error"))))))</f>
        <v>0</v>
      </c>
      <c r="N187" s="33">
        <f>IF($AV187=0,0,
IF(Investment_Strategy="DIS",VLOOKUP(Investment_Strategy&amp;"_"&amp;Investment_Strategy_Sub1&amp;"_"&amp;$A187,'Investment Strategies'!$AZ:$BP,17,FALSE),
IF(AND(Investment_Strategy="Lifecycle",Investment_Strategy_Sub1="Non-Standard"),VLOOKUP(Investment_Strategy&amp;"_"&amp;Investment_Strategy_Sub2&amp;"_"&amp;$A187,'Investment Strategies'!$C:$P,14,FALSE),
IF(AND(Investment_Strategy="Lifecycle",Investment_Strategy_Sub1="Standard"),VLOOKUP(Investment_Strategy&amp;"_"&amp;Investment_Strategy_Sub2&amp;"_"&amp;$A187,'Investment Strategies'!$AJ:$AV,13,FALSE),
IF(AND(Investment_Strategy="Autopilot",Investment_Strategy_Sub1="Non-Standard"),VLOOKUP(Investment_Strategy&amp;"_"&amp;Investment_Strategy_Sub2&amp;"_"&amp;$A187,'Investment Strategies'!$T:$AF,13,FALSE),
IF(Investment_Strategy="DIY",DIY_ExtManChrge_SP,
"Error"))))))</f>
        <v>0</v>
      </c>
      <c r="O187" s="16">
        <f t="shared" si="96"/>
        <v>0</v>
      </c>
      <c r="Q187" s="16">
        <f t="shared" si="70"/>
        <v>0</v>
      </c>
      <c r="R187" s="16">
        <f t="shared" si="71"/>
        <v>0</v>
      </c>
      <c r="S187" s="16">
        <f>(SRP_SP+SUM(S$91:S186))*L187*IF(D187=$A$91,SRP_finalmonthfactor,1)</f>
        <v>0</v>
      </c>
      <c r="T187" s="74">
        <f>MIN(IF($AV187=0,0,
IF(Investment_Strategy="DIS",VLOOKUP(Investment_Strategy&amp;"_"&amp;Investment_Strategy_Sub1&amp;"_"&amp;$A187,'Investment Strategies'!$AZ:$BP,12,FALSE),
IF(AND(Investment_Strategy="Lifecycle",Investment_Strategy_Sub1="Non-Standard"),VLOOKUP(Investment_Strategy&amp;"_"&amp;Investment_Strategy_Sub2&amp;"_"&amp;$A187,'Investment Strategies'!$C:$P,9,FALSE),
IF(AND(Investment_Strategy="Lifecycle",Investment_Strategy_Sub1="Standard"),VLOOKUP(Investment_Strategy&amp;"_"&amp;Investment_Strategy_Sub2&amp;"_"&amp;$A187,'Investment Strategies'!$AJ:$AV,8,FALSE),
IF(AND(Investment_Strategy="Autopilot",Investment_Strategy_Sub1="Non-Standard"),VLOOKUP(Investment_Strategy&amp;"_"&amp;Investment_Strategy_Sub2&amp;"_"&amp;$A187,'Investment Strategies'!$T:$AF,8,FALSE),
IF(Investment_Strategy ="DIY",DIY_RateOfReturn_FuturePremiums,
"Error")))))),Max_InvReturn)</f>
        <v>0</v>
      </c>
      <c r="U187" s="62">
        <f>IF($AV187=0,0,
IF(Investment_Strategy="DIS",VLOOKUP(Investment_Strategy&amp;"_"&amp;Investment_Strategy_Sub1&amp;"_"&amp;$A187,'Investment Strategies'!$AZ:$BP,15,FALSE),
IF(AND(Investment_Strategy="Lifecycle",Investment_Strategy_Sub1="Non-Standard"),VLOOKUP(Investment_Strategy&amp;"_"&amp;Investment_Strategy_Sub2&amp;"_"&amp;$A187,'Investment Strategies'!$C:$P,12,FALSE),
IF(AND(Investment_Strategy="Lifecycle",Investment_Strategy_Sub1="Standard"),VLOOKUP(Investment_Strategy&amp;"_"&amp;Investment_Strategy_Sub2&amp;"_"&amp;$A187,'Investment Strategies'!$AJ:$AV,11,FALSE),
IF(AND(Investment_Strategy="Autopilot",Investment_Strategy_Sub1="Non-Standard"),VLOOKUP(Investment_Strategy&amp;"_"&amp;Investment_Strategy_Sub2&amp;"_"&amp;$A187,'Investment Strategies'!$T:$AF,11,FALSE),
IF(Investment_Strategy="DIY",DIY_GteeChrge_FuturePremiums,
"Error"))))))</f>
        <v>0</v>
      </c>
      <c r="V187" s="33">
        <f>IF(AV187=0,0,
IF(Investment_Strategy="DIS",VLOOKUP(Investment_Strategy&amp;"_"&amp;Investment_Strategy_Sub1&amp;"_"&amp;$A187,'Investment Strategies'!$AZ:$BP,17,FALSE),
IF(AND(Investment_Strategy="Lifecycle",Investment_Strategy_Sub1="Non-Standard"),VLOOKUP(Investment_Strategy&amp;"_"&amp;Investment_Strategy_Sub2&amp;"_"&amp;$A187,'Investment Strategies'!$C:$P,14,FALSE),
IF(AND(Investment_Strategy="Lifecycle",Investment_Strategy_Sub1="Standard"),VLOOKUP(Investment_Strategy&amp;"_"&amp;Investment_Strategy_Sub2&amp;"_"&amp;$A187,'Investment Strategies'!$AJ:$AV,13,FALSE),
IF(AND(Investment_Strategy="Autopilot",Investment_Strategy_Sub1="Non-Standard"),VLOOKUP(Investment_Strategy&amp;"_"&amp;Investment_Strategy_Sub2&amp;"_"&amp;$A187,'Investment Strategies'!$T:$AF,13,FALSE),
IF(Investment_Strategy="DIY",DIY_ExtManChrge_FuturePremiums,
"Error"))))))</f>
        <v>0</v>
      </c>
      <c r="W187" s="16">
        <f t="shared" si="97"/>
        <v>0</v>
      </c>
      <c r="X187" s="16">
        <f t="shared" si="72"/>
        <v>0</v>
      </c>
      <c r="Y187" s="16">
        <f t="shared" si="73"/>
        <v>0</v>
      </c>
      <c r="Z187" s="31">
        <f t="shared" si="74"/>
        <v>0.02</v>
      </c>
      <c r="AA187" s="16">
        <f t="shared" si="75"/>
        <v>0</v>
      </c>
      <c r="AB187" s="28">
        <f t="shared" si="98"/>
        <v>0</v>
      </c>
      <c r="AC187" s="28">
        <f>(SUM($AC$91:AC186)+SUM($X$91:X186)+X187)*T187*IF(D187=$A$91,SRP_finalmonthfactor,1)</f>
        <v>0</v>
      </c>
      <c r="AD187" s="16">
        <f t="shared" si="76"/>
        <v>0</v>
      </c>
      <c r="AE187" s="106"/>
      <c r="AF187" s="16">
        <f t="shared" si="85"/>
        <v>0</v>
      </c>
      <c r="AG187" s="16">
        <f t="shared" si="86"/>
        <v>0</v>
      </c>
      <c r="AH187" s="16">
        <f t="shared" si="87"/>
        <v>0</v>
      </c>
      <c r="AJ187" s="13">
        <f t="shared" si="109"/>
        <v>0</v>
      </c>
      <c r="AK187" s="13">
        <f t="shared" si="109"/>
        <v>0</v>
      </c>
      <c r="AL187" s="13">
        <f t="shared" si="109"/>
        <v>0</v>
      </c>
      <c r="AM187" s="13">
        <f t="shared" si="109"/>
        <v>0</v>
      </c>
      <c r="AN187" s="13">
        <f t="shared" si="109"/>
        <v>0</v>
      </c>
      <c r="AO187" s="13">
        <f t="shared" si="109"/>
        <v>1</v>
      </c>
      <c r="AP187" s="13">
        <f t="shared" si="109"/>
        <v>1</v>
      </c>
      <c r="AQ187" s="13">
        <f t="shared" si="109"/>
        <v>1</v>
      </c>
      <c r="AR187" s="13">
        <f t="shared" si="109"/>
        <v>1</v>
      </c>
      <c r="AS187" s="13">
        <f t="shared" si="109"/>
        <v>1</v>
      </c>
      <c r="AT187" s="13">
        <f t="shared" si="109"/>
        <v>1</v>
      </c>
      <c r="AU187" s="13">
        <f t="shared" si="109"/>
        <v>1</v>
      </c>
      <c r="AV187" s="13">
        <f t="shared" si="77"/>
        <v>0</v>
      </c>
      <c r="AW187" s="13">
        <f t="shared" si="78"/>
        <v>1</v>
      </c>
      <c r="AY187" s="17">
        <f t="shared" si="79"/>
        <v>97</v>
      </c>
      <c r="AZ187" s="28">
        <f t="shared" si="88"/>
        <v>0</v>
      </c>
      <c r="BA187" s="13">
        <f t="shared" si="80"/>
        <v>0</v>
      </c>
      <c r="BB187" s="13">
        <f t="shared" si="81"/>
        <v>0</v>
      </c>
      <c r="BC187" s="28">
        <f t="shared" si="89"/>
        <v>0</v>
      </c>
      <c r="BD187" s="28">
        <f t="shared" si="90"/>
        <v>0</v>
      </c>
      <c r="BF187" s="248">
        <f t="shared" si="91"/>
        <v>993869.29442638322</v>
      </c>
      <c r="BG187" s="36">
        <f t="shared" si="99"/>
        <v>0</v>
      </c>
      <c r="BH187" s="36">
        <f t="shared" si="100"/>
        <v>908607.29791790363</v>
      </c>
      <c r="BI187" s="249">
        <f t="shared" si="101"/>
        <v>0</v>
      </c>
      <c r="BJ187" s="246">
        <f t="shared" si="102"/>
        <v>0</v>
      </c>
      <c r="BK187" s="246">
        <f t="shared" si="82"/>
        <v>7.531116566323881E-4</v>
      </c>
      <c r="BL187" s="246">
        <f t="shared" si="103"/>
        <v>0</v>
      </c>
      <c r="BM187" s="246">
        <f t="shared" si="104"/>
        <v>7.531116566323881E-4</v>
      </c>
      <c r="BN187" s="36">
        <f t="shared" si="92"/>
        <v>684.28274736323021</v>
      </c>
      <c r="BO187" s="36">
        <f t="shared" si="105"/>
        <v>0</v>
      </c>
      <c r="BP187" s="36">
        <f t="shared" si="106"/>
        <v>907923.01517054043</v>
      </c>
    </row>
    <row r="188" spans="1:68">
      <c r="A188" s="32">
        <f t="shared" si="93"/>
        <v>-13</v>
      </c>
      <c r="B188" s="32">
        <f t="shared" si="83"/>
        <v>61</v>
      </c>
      <c r="C188" s="32">
        <f t="shared" si="94"/>
        <v>9</v>
      </c>
      <c r="D188" s="32">
        <f t="shared" si="95"/>
        <v>98</v>
      </c>
      <c r="E188" s="74">
        <f>MIN(IF(AV188=0,0,
IF(Investment_Strategy="DIS",VLOOKUP(Investment_Strategy&amp;"_"&amp;Investment_Strategy_Sub1&amp;"_"&amp;$A188,'Investment Strategies'!$AZ:$BP,12,FALSE),
IF(AND(Investment_Strategy="Lifecycle",Investment_Strategy_Sub1="Non-Standard"),VLOOKUP(Investment_Strategy&amp;"_"&amp;Investment_Strategy_Sub2&amp;"_"&amp;$A188,'Investment Strategies'!$C:$P,9,FALSE),
IF(AND(Investment_Strategy="Lifecycle",Investment_Strategy_Sub1="Standard"),VLOOKUP(Investment_Strategy&amp;"_"&amp;Investment_Strategy_Sub2&amp;"_"&amp;$A188,'Investment Strategies'!$AJ:$AV,8,FALSE),
IF(AND(Investment_Strategy="Autopilot",Investment_Strategy_Sub1="Non-Standard"),VLOOKUP(Investment_Strategy&amp;"_"&amp;Investment_Strategy_Sub2&amp;"_"&amp;$A188,'Investment Strategies'!$T:$AF,8,FALSE),
IF(Investment_Strategy ="DIY",DIY_RateOfReturn_CurrentFunds,
"Error")))))),Max_InvReturn)</f>
        <v>0</v>
      </c>
      <c r="F188" s="62">
        <f>IF(AV188=0,0,
IF(Investment_Strategy="DIS",VLOOKUP(Investment_Strategy&amp;"_"&amp;Investment_Strategy_Sub1&amp;"_"&amp;$A188,'Investment Strategies'!$AZ:$BP,15,FALSE),
IF(AND(Investment_Strategy="Lifecycle",Investment_Strategy_Sub1="Non-Standard"),VLOOKUP(Investment_Strategy&amp;"_"&amp;Investment_Strategy_Sub2&amp;"_"&amp;$A188,'Investment Strategies'!$C:$P,12,FALSE),
IF(AND(Investment_Strategy="Lifecycle",Investment_Strategy_Sub1="Standard"),VLOOKUP(Investment_Strategy&amp;"_"&amp;Investment_Strategy_Sub2&amp;"_"&amp;$A188,'Investment Strategies'!$AJ:$AV,11,FALSE),
IF(AND(Investment_Strategy="Autopilot",Investment_Strategy_Sub1="Non-Standard"),VLOOKUP(Investment_Strategy&amp;"_"&amp;Investment_Strategy_Sub2&amp;"_"&amp;$A188,'Investment Strategies'!$T:$AF,11,FALSE),
IF(Investment_Strategy="DIY",DIY_GteeChrge_CurrentFunds,
"Error"))))))</f>
        <v>0</v>
      </c>
      <c r="G188" s="33">
        <f>IF(AV188=0,0,
IF(Investment_Strategy="DIS",VLOOKUP(Investment_Strategy&amp;"_"&amp;Investment_Strategy_Sub1&amp;"_"&amp;$A188,'Investment Strategies'!$AZ:$BP,17,FALSE),
IF(AND(Investment_Strategy="Lifecycle",Investment_Strategy_Sub1="Non-Standard"),VLOOKUP(Investment_Strategy&amp;"_"&amp;Investment_Strategy_Sub2&amp;"_"&amp;$A188,'Investment Strategies'!$C:$P,14,FALSE),
IF(AND(Investment_Strategy="Lifecycle",Investment_Strategy_Sub1="Standard"),VLOOKUP(Investment_Strategy&amp;"_"&amp;Investment_Strategy_Sub2&amp;"_"&amp;$A188,'Investment Strategies'!$AJ:$AV,13,FALSE),
IF(AND(Investment_Strategy="Autopilot",Investment_Strategy_Sub1="Non-Standard"),VLOOKUP(Investment_Strategy&amp;"_"&amp;Investment_Strategy_Sub2&amp;"_"&amp;$A188,'Investment Strategies'!$T:$AF,13,FALSE),
IF(Investment_Strategy="DIY",DIY_ExtManChrge_CurrentFunds,
"Error"))))))</f>
        <v>0</v>
      </c>
      <c r="H188" s="16">
        <f t="shared" si="84"/>
        <v>0</v>
      </c>
      <c r="I188" s="16">
        <f t="shared" si="68"/>
        <v>0</v>
      </c>
      <c r="J188" s="16">
        <f t="shared" si="69"/>
        <v>0</v>
      </c>
      <c r="K188" s="16">
        <f>(Opening_Fund_Value+SUM(K$91:K187))*E188*IF(D188=$A$91,SRP_finalmonthfactor,1)</f>
        <v>0</v>
      </c>
      <c r="L188" s="74">
        <f>MIN(IF($AV188=0,0,
IF(Investment_Strategy="DIS",VLOOKUP(Investment_Strategy&amp;"_"&amp;Investment_Strategy_Sub1&amp;"_"&amp;$A188,'Investment Strategies'!$AZ:$BP,12,FALSE),
IF(AND(Investment_Strategy="Lifecycle",Investment_Strategy_Sub1="Non-Standard"),VLOOKUP(Investment_Strategy&amp;"_"&amp;Investment_Strategy_Sub2&amp;"_"&amp;$A188,'Investment Strategies'!$C:$P,9,FALSE),
IF(AND(Investment_Strategy="Lifecycle",Investment_Strategy_Sub1="Standard"),VLOOKUP(Investment_Strategy&amp;"_"&amp;Investment_Strategy_Sub2&amp;"_"&amp;$A188,'Investment Strategies'!$AJ:$AV,8,FALSE),
IF(AND(Investment_Strategy="Autopilot",Investment_Strategy_Sub1="Non-Standard"),VLOOKUP(Investment_Strategy&amp;"_"&amp;Investment_Strategy_Sub2&amp;"_"&amp;$A188,'Investment Strategies'!$T:$AF,8,FALSE),
IF(Investment_Strategy ="DIY",DIY_RateofReturn_SP,
"Error")))))),Max_InvReturn)</f>
        <v>0</v>
      </c>
      <c r="M188" s="62">
        <f>IF($AV188=0,0,
IF(Investment_Strategy="DIS",VLOOKUP(Investment_Strategy&amp;"_"&amp;Investment_Strategy_Sub1&amp;"_"&amp;$A188,'Investment Strategies'!$AZ:$BP,15,FALSE),
IF(AND(Investment_Strategy="Lifecycle",Investment_Strategy_Sub1="Non-Standard"),VLOOKUP(Investment_Strategy&amp;"_"&amp;Investment_Strategy_Sub2&amp;"_"&amp;$A188,'Investment Strategies'!$C:$P,12,FALSE),
IF(AND(Investment_Strategy="Lifecycle",Investment_Strategy_Sub1="Standard"),VLOOKUP(Investment_Strategy&amp;"_"&amp;Investment_Strategy_Sub2&amp;"_"&amp;$A188,'Investment Strategies'!$AJ:$AV,11,FALSE),
IF(AND(Investment_Strategy="Autopilot",Investment_Strategy_Sub1="Non-Standard"),VLOOKUP(Investment_Strategy&amp;"_"&amp;Investment_Strategy_Sub2&amp;"_"&amp;$A188,'Investment Strategies'!$T:$AF,11,FALSE),
IF(Investment_Strategy="DIY",DIY_GteeChrge_SP,
"Error"))))))</f>
        <v>0</v>
      </c>
      <c r="N188" s="33">
        <f>IF($AV188=0,0,
IF(Investment_Strategy="DIS",VLOOKUP(Investment_Strategy&amp;"_"&amp;Investment_Strategy_Sub1&amp;"_"&amp;$A188,'Investment Strategies'!$AZ:$BP,17,FALSE),
IF(AND(Investment_Strategy="Lifecycle",Investment_Strategy_Sub1="Non-Standard"),VLOOKUP(Investment_Strategy&amp;"_"&amp;Investment_Strategy_Sub2&amp;"_"&amp;$A188,'Investment Strategies'!$C:$P,14,FALSE),
IF(AND(Investment_Strategy="Lifecycle",Investment_Strategy_Sub1="Standard"),VLOOKUP(Investment_Strategy&amp;"_"&amp;Investment_Strategy_Sub2&amp;"_"&amp;$A188,'Investment Strategies'!$AJ:$AV,13,FALSE),
IF(AND(Investment_Strategy="Autopilot",Investment_Strategy_Sub1="Non-Standard"),VLOOKUP(Investment_Strategy&amp;"_"&amp;Investment_Strategy_Sub2&amp;"_"&amp;$A188,'Investment Strategies'!$T:$AF,13,FALSE),
IF(Investment_Strategy="DIY",DIY_ExtManChrge_SP,
"Error"))))))</f>
        <v>0</v>
      </c>
      <c r="O188" s="16">
        <f t="shared" si="96"/>
        <v>0</v>
      </c>
      <c r="Q188" s="16">
        <f t="shared" si="70"/>
        <v>0</v>
      </c>
      <c r="R188" s="16">
        <f t="shared" si="71"/>
        <v>0</v>
      </c>
      <c r="S188" s="16">
        <f>(SRP_SP+SUM(S$91:S187))*L188*IF(D188=$A$91,SRP_finalmonthfactor,1)</f>
        <v>0</v>
      </c>
      <c r="T188" s="74">
        <f>MIN(IF($AV188=0,0,
IF(Investment_Strategy="DIS",VLOOKUP(Investment_Strategy&amp;"_"&amp;Investment_Strategy_Sub1&amp;"_"&amp;$A188,'Investment Strategies'!$AZ:$BP,12,FALSE),
IF(AND(Investment_Strategy="Lifecycle",Investment_Strategy_Sub1="Non-Standard"),VLOOKUP(Investment_Strategy&amp;"_"&amp;Investment_Strategy_Sub2&amp;"_"&amp;$A188,'Investment Strategies'!$C:$P,9,FALSE),
IF(AND(Investment_Strategy="Lifecycle",Investment_Strategy_Sub1="Standard"),VLOOKUP(Investment_Strategy&amp;"_"&amp;Investment_Strategy_Sub2&amp;"_"&amp;$A188,'Investment Strategies'!$AJ:$AV,8,FALSE),
IF(AND(Investment_Strategy="Autopilot",Investment_Strategy_Sub1="Non-Standard"),VLOOKUP(Investment_Strategy&amp;"_"&amp;Investment_Strategy_Sub2&amp;"_"&amp;$A188,'Investment Strategies'!$T:$AF,8,FALSE),
IF(Investment_Strategy ="DIY",DIY_RateOfReturn_FuturePremiums,
"Error")))))),Max_InvReturn)</f>
        <v>0</v>
      </c>
      <c r="U188" s="62">
        <f>IF($AV188=0,0,
IF(Investment_Strategy="DIS",VLOOKUP(Investment_Strategy&amp;"_"&amp;Investment_Strategy_Sub1&amp;"_"&amp;$A188,'Investment Strategies'!$AZ:$BP,15,FALSE),
IF(AND(Investment_Strategy="Lifecycle",Investment_Strategy_Sub1="Non-Standard"),VLOOKUP(Investment_Strategy&amp;"_"&amp;Investment_Strategy_Sub2&amp;"_"&amp;$A188,'Investment Strategies'!$C:$P,12,FALSE),
IF(AND(Investment_Strategy="Lifecycle",Investment_Strategy_Sub1="Standard"),VLOOKUP(Investment_Strategy&amp;"_"&amp;Investment_Strategy_Sub2&amp;"_"&amp;$A188,'Investment Strategies'!$AJ:$AV,11,FALSE),
IF(AND(Investment_Strategy="Autopilot",Investment_Strategy_Sub1="Non-Standard"),VLOOKUP(Investment_Strategy&amp;"_"&amp;Investment_Strategy_Sub2&amp;"_"&amp;$A188,'Investment Strategies'!$T:$AF,11,FALSE),
IF(Investment_Strategy="DIY",DIY_GteeChrge_FuturePremiums,
"Error"))))))</f>
        <v>0</v>
      </c>
      <c r="V188" s="33">
        <f>IF(AV188=0,0,
IF(Investment_Strategy="DIS",VLOOKUP(Investment_Strategy&amp;"_"&amp;Investment_Strategy_Sub1&amp;"_"&amp;$A188,'Investment Strategies'!$AZ:$BP,17,FALSE),
IF(AND(Investment_Strategy="Lifecycle",Investment_Strategy_Sub1="Non-Standard"),VLOOKUP(Investment_Strategy&amp;"_"&amp;Investment_Strategy_Sub2&amp;"_"&amp;$A188,'Investment Strategies'!$C:$P,14,FALSE),
IF(AND(Investment_Strategy="Lifecycle",Investment_Strategy_Sub1="Standard"),VLOOKUP(Investment_Strategy&amp;"_"&amp;Investment_Strategy_Sub2&amp;"_"&amp;$A188,'Investment Strategies'!$AJ:$AV,13,FALSE),
IF(AND(Investment_Strategy="Autopilot",Investment_Strategy_Sub1="Non-Standard"),VLOOKUP(Investment_Strategy&amp;"_"&amp;Investment_Strategy_Sub2&amp;"_"&amp;$A188,'Investment Strategies'!$T:$AF,13,FALSE),
IF(Investment_Strategy="DIY",DIY_ExtManChrge_FuturePremiums,
"Error"))))))</f>
        <v>0</v>
      </c>
      <c r="W188" s="16">
        <f t="shared" si="97"/>
        <v>0</v>
      </c>
      <c r="X188" s="16">
        <f t="shared" si="72"/>
        <v>0</v>
      </c>
      <c r="Y188" s="16">
        <f t="shared" si="73"/>
        <v>0</v>
      </c>
      <c r="Z188" s="31">
        <f t="shared" si="74"/>
        <v>0.02</v>
      </c>
      <c r="AA188" s="16">
        <f t="shared" si="75"/>
        <v>0</v>
      </c>
      <c r="AB188" s="28">
        <f t="shared" si="98"/>
        <v>0</v>
      </c>
      <c r="AC188" s="28">
        <f>(SUM($AC$91:AC187)+SUM($X$91:X187)+X188)*T188*IF(D188=$A$91,SRP_finalmonthfactor,1)</f>
        <v>0</v>
      </c>
      <c r="AD188" s="16">
        <f t="shared" si="76"/>
        <v>0</v>
      </c>
      <c r="AE188" s="106"/>
      <c r="AF188" s="16">
        <f t="shared" si="85"/>
        <v>0</v>
      </c>
      <c r="AG188" s="16">
        <f t="shared" si="86"/>
        <v>0</v>
      </c>
      <c r="AH188" s="16">
        <f t="shared" si="87"/>
        <v>0</v>
      </c>
      <c r="AJ188" s="13">
        <f t="shared" si="109"/>
        <v>0</v>
      </c>
      <c r="AK188" s="13">
        <f t="shared" si="109"/>
        <v>0</v>
      </c>
      <c r="AL188" s="13">
        <f t="shared" si="109"/>
        <v>0</v>
      </c>
      <c r="AM188" s="13">
        <f t="shared" si="109"/>
        <v>0</v>
      </c>
      <c r="AN188" s="13">
        <f t="shared" si="109"/>
        <v>0</v>
      </c>
      <c r="AO188" s="13">
        <f t="shared" si="109"/>
        <v>1</v>
      </c>
      <c r="AP188" s="13">
        <f t="shared" si="109"/>
        <v>1</v>
      </c>
      <c r="AQ188" s="13">
        <f t="shared" si="109"/>
        <v>1</v>
      </c>
      <c r="AR188" s="13">
        <f t="shared" si="109"/>
        <v>1</v>
      </c>
      <c r="AS188" s="13">
        <f t="shared" si="109"/>
        <v>1</v>
      </c>
      <c r="AT188" s="13">
        <f t="shared" si="109"/>
        <v>1</v>
      </c>
      <c r="AU188" s="13">
        <f t="shared" si="109"/>
        <v>1</v>
      </c>
      <c r="AV188" s="13">
        <f t="shared" si="77"/>
        <v>0</v>
      </c>
      <c r="AW188" s="13">
        <f t="shared" si="78"/>
        <v>1</v>
      </c>
      <c r="AY188" s="17">
        <f t="shared" si="79"/>
        <v>98</v>
      </c>
      <c r="AZ188" s="28">
        <f t="shared" si="88"/>
        <v>0</v>
      </c>
      <c r="BA188" s="13">
        <f t="shared" si="80"/>
        <v>0</v>
      </c>
      <c r="BB188" s="13">
        <f t="shared" si="81"/>
        <v>0</v>
      </c>
      <c r="BC188" s="28">
        <f t="shared" si="89"/>
        <v>0</v>
      </c>
      <c r="BD188" s="28">
        <f t="shared" si="90"/>
        <v>0</v>
      </c>
      <c r="BF188" s="248">
        <f t="shared" si="91"/>
        <v>993869.29442638322</v>
      </c>
      <c r="BG188" s="36">
        <f t="shared" si="99"/>
        <v>0</v>
      </c>
      <c r="BH188" s="36">
        <f t="shared" si="100"/>
        <v>907923.01517054043</v>
      </c>
      <c r="BI188" s="249">
        <f t="shared" si="101"/>
        <v>0</v>
      </c>
      <c r="BJ188" s="246">
        <f t="shared" si="102"/>
        <v>0</v>
      </c>
      <c r="BK188" s="246">
        <f t="shared" si="82"/>
        <v>7.531116566323881E-4</v>
      </c>
      <c r="BL188" s="246">
        <f t="shared" si="103"/>
        <v>0</v>
      </c>
      <c r="BM188" s="246">
        <f t="shared" si="104"/>
        <v>7.531116566323881E-4</v>
      </c>
      <c r="BN188" s="36">
        <f t="shared" si="92"/>
        <v>683.76740604975851</v>
      </c>
      <c r="BO188" s="36">
        <f t="shared" si="105"/>
        <v>0</v>
      </c>
      <c r="BP188" s="36">
        <f t="shared" si="106"/>
        <v>907239.24776449066</v>
      </c>
    </row>
    <row r="189" spans="1:68">
      <c r="A189" s="32">
        <f t="shared" si="93"/>
        <v>-14</v>
      </c>
      <c r="B189" s="32">
        <f t="shared" si="83"/>
        <v>61</v>
      </c>
      <c r="C189" s="32">
        <f t="shared" si="94"/>
        <v>9</v>
      </c>
      <c r="D189" s="32">
        <f t="shared" si="95"/>
        <v>99</v>
      </c>
      <c r="E189" s="74">
        <f>MIN(IF(AV189=0,0,
IF(Investment_Strategy="DIS",VLOOKUP(Investment_Strategy&amp;"_"&amp;Investment_Strategy_Sub1&amp;"_"&amp;$A189,'Investment Strategies'!$AZ:$BP,12,FALSE),
IF(AND(Investment_Strategy="Lifecycle",Investment_Strategy_Sub1="Non-Standard"),VLOOKUP(Investment_Strategy&amp;"_"&amp;Investment_Strategy_Sub2&amp;"_"&amp;$A189,'Investment Strategies'!$C:$P,9,FALSE),
IF(AND(Investment_Strategy="Lifecycle",Investment_Strategy_Sub1="Standard"),VLOOKUP(Investment_Strategy&amp;"_"&amp;Investment_Strategy_Sub2&amp;"_"&amp;$A189,'Investment Strategies'!$AJ:$AV,8,FALSE),
IF(AND(Investment_Strategy="Autopilot",Investment_Strategy_Sub1="Non-Standard"),VLOOKUP(Investment_Strategy&amp;"_"&amp;Investment_Strategy_Sub2&amp;"_"&amp;$A189,'Investment Strategies'!$T:$AF,8,FALSE),
IF(Investment_Strategy ="DIY",DIY_RateOfReturn_CurrentFunds,
"Error")))))),Max_InvReturn)</f>
        <v>0</v>
      </c>
      <c r="F189" s="62">
        <f>IF(AV189=0,0,
IF(Investment_Strategy="DIS",VLOOKUP(Investment_Strategy&amp;"_"&amp;Investment_Strategy_Sub1&amp;"_"&amp;$A189,'Investment Strategies'!$AZ:$BP,15,FALSE),
IF(AND(Investment_Strategy="Lifecycle",Investment_Strategy_Sub1="Non-Standard"),VLOOKUP(Investment_Strategy&amp;"_"&amp;Investment_Strategy_Sub2&amp;"_"&amp;$A189,'Investment Strategies'!$C:$P,12,FALSE),
IF(AND(Investment_Strategy="Lifecycle",Investment_Strategy_Sub1="Standard"),VLOOKUP(Investment_Strategy&amp;"_"&amp;Investment_Strategy_Sub2&amp;"_"&amp;$A189,'Investment Strategies'!$AJ:$AV,11,FALSE),
IF(AND(Investment_Strategy="Autopilot",Investment_Strategy_Sub1="Non-Standard"),VLOOKUP(Investment_Strategy&amp;"_"&amp;Investment_Strategy_Sub2&amp;"_"&amp;$A189,'Investment Strategies'!$T:$AF,11,FALSE),
IF(Investment_Strategy="DIY",DIY_GteeChrge_CurrentFunds,
"Error"))))))</f>
        <v>0</v>
      </c>
      <c r="G189" s="33">
        <f>IF(AV189=0,0,
IF(Investment_Strategy="DIS",VLOOKUP(Investment_Strategy&amp;"_"&amp;Investment_Strategy_Sub1&amp;"_"&amp;$A189,'Investment Strategies'!$AZ:$BP,17,FALSE),
IF(AND(Investment_Strategy="Lifecycle",Investment_Strategy_Sub1="Non-Standard"),VLOOKUP(Investment_Strategy&amp;"_"&amp;Investment_Strategy_Sub2&amp;"_"&amp;$A189,'Investment Strategies'!$C:$P,14,FALSE),
IF(AND(Investment_Strategy="Lifecycle",Investment_Strategy_Sub1="Standard"),VLOOKUP(Investment_Strategy&amp;"_"&amp;Investment_Strategy_Sub2&amp;"_"&amp;$A189,'Investment Strategies'!$AJ:$AV,13,FALSE),
IF(AND(Investment_Strategy="Autopilot",Investment_Strategy_Sub1="Non-Standard"),VLOOKUP(Investment_Strategy&amp;"_"&amp;Investment_Strategy_Sub2&amp;"_"&amp;$A189,'Investment Strategies'!$T:$AF,13,FALSE),
IF(Investment_Strategy="DIY",DIY_ExtManChrge_CurrentFunds,
"Error"))))))</f>
        <v>0</v>
      </c>
      <c r="H189" s="16">
        <f t="shared" si="84"/>
        <v>0</v>
      </c>
      <c r="I189" s="16">
        <f t="shared" si="68"/>
        <v>0</v>
      </c>
      <c r="J189" s="16">
        <f t="shared" si="69"/>
        <v>0</v>
      </c>
      <c r="K189" s="16">
        <f>(Opening_Fund_Value+SUM(K$91:K188))*E189*IF(D189=$A$91,SRP_finalmonthfactor,1)</f>
        <v>0</v>
      </c>
      <c r="L189" s="74">
        <f>MIN(IF($AV189=0,0,
IF(Investment_Strategy="DIS",VLOOKUP(Investment_Strategy&amp;"_"&amp;Investment_Strategy_Sub1&amp;"_"&amp;$A189,'Investment Strategies'!$AZ:$BP,12,FALSE),
IF(AND(Investment_Strategy="Lifecycle",Investment_Strategy_Sub1="Non-Standard"),VLOOKUP(Investment_Strategy&amp;"_"&amp;Investment_Strategy_Sub2&amp;"_"&amp;$A189,'Investment Strategies'!$C:$P,9,FALSE),
IF(AND(Investment_Strategy="Lifecycle",Investment_Strategy_Sub1="Standard"),VLOOKUP(Investment_Strategy&amp;"_"&amp;Investment_Strategy_Sub2&amp;"_"&amp;$A189,'Investment Strategies'!$AJ:$AV,8,FALSE),
IF(AND(Investment_Strategy="Autopilot",Investment_Strategy_Sub1="Non-Standard"),VLOOKUP(Investment_Strategy&amp;"_"&amp;Investment_Strategy_Sub2&amp;"_"&amp;$A189,'Investment Strategies'!$T:$AF,8,FALSE),
IF(Investment_Strategy ="DIY",DIY_RateofReturn_SP,
"Error")))))),Max_InvReturn)</f>
        <v>0</v>
      </c>
      <c r="M189" s="62">
        <f>IF($AV189=0,0,
IF(Investment_Strategy="DIS",VLOOKUP(Investment_Strategy&amp;"_"&amp;Investment_Strategy_Sub1&amp;"_"&amp;$A189,'Investment Strategies'!$AZ:$BP,15,FALSE),
IF(AND(Investment_Strategy="Lifecycle",Investment_Strategy_Sub1="Non-Standard"),VLOOKUP(Investment_Strategy&amp;"_"&amp;Investment_Strategy_Sub2&amp;"_"&amp;$A189,'Investment Strategies'!$C:$P,12,FALSE),
IF(AND(Investment_Strategy="Lifecycle",Investment_Strategy_Sub1="Standard"),VLOOKUP(Investment_Strategy&amp;"_"&amp;Investment_Strategy_Sub2&amp;"_"&amp;$A189,'Investment Strategies'!$AJ:$AV,11,FALSE),
IF(AND(Investment_Strategy="Autopilot",Investment_Strategy_Sub1="Non-Standard"),VLOOKUP(Investment_Strategy&amp;"_"&amp;Investment_Strategy_Sub2&amp;"_"&amp;$A189,'Investment Strategies'!$T:$AF,11,FALSE),
IF(Investment_Strategy="DIY",DIY_GteeChrge_SP,
"Error"))))))</f>
        <v>0</v>
      </c>
      <c r="N189" s="33">
        <f>IF($AV189=0,0,
IF(Investment_Strategy="DIS",VLOOKUP(Investment_Strategy&amp;"_"&amp;Investment_Strategy_Sub1&amp;"_"&amp;$A189,'Investment Strategies'!$AZ:$BP,17,FALSE),
IF(AND(Investment_Strategy="Lifecycle",Investment_Strategy_Sub1="Non-Standard"),VLOOKUP(Investment_Strategy&amp;"_"&amp;Investment_Strategy_Sub2&amp;"_"&amp;$A189,'Investment Strategies'!$C:$P,14,FALSE),
IF(AND(Investment_Strategy="Lifecycle",Investment_Strategy_Sub1="Standard"),VLOOKUP(Investment_Strategy&amp;"_"&amp;Investment_Strategy_Sub2&amp;"_"&amp;$A189,'Investment Strategies'!$AJ:$AV,13,FALSE),
IF(AND(Investment_Strategy="Autopilot",Investment_Strategy_Sub1="Non-Standard"),VLOOKUP(Investment_Strategy&amp;"_"&amp;Investment_Strategy_Sub2&amp;"_"&amp;$A189,'Investment Strategies'!$T:$AF,13,FALSE),
IF(Investment_Strategy="DIY",DIY_ExtManChrge_SP,
"Error"))))))</f>
        <v>0</v>
      </c>
      <c r="O189" s="16">
        <f t="shared" si="96"/>
        <v>0</v>
      </c>
      <c r="Q189" s="16">
        <f t="shared" si="70"/>
        <v>0</v>
      </c>
      <c r="R189" s="16">
        <f t="shared" si="71"/>
        <v>0</v>
      </c>
      <c r="S189" s="16">
        <f>(SRP_SP+SUM(S$91:S188))*L189*IF(D189=$A$91,SRP_finalmonthfactor,1)</f>
        <v>0</v>
      </c>
      <c r="T189" s="74">
        <f>MIN(IF($AV189=0,0,
IF(Investment_Strategy="DIS",VLOOKUP(Investment_Strategy&amp;"_"&amp;Investment_Strategy_Sub1&amp;"_"&amp;$A189,'Investment Strategies'!$AZ:$BP,12,FALSE),
IF(AND(Investment_Strategy="Lifecycle",Investment_Strategy_Sub1="Non-Standard"),VLOOKUP(Investment_Strategy&amp;"_"&amp;Investment_Strategy_Sub2&amp;"_"&amp;$A189,'Investment Strategies'!$C:$P,9,FALSE),
IF(AND(Investment_Strategy="Lifecycle",Investment_Strategy_Sub1="Standard"),VLOOKUP(Investment_Strategy&amp;"_"&amp;Investment_Strategy_Sub2&amp;"_"&amp;$A189,'Investment Strategies'!$AJ:$AV,8,FALSE),
IF(AND(Investment_Strategy="Autopilot",Investment_Strategy_Sub1="Non-Standard"),VLOOKUP(Investment_Strategy&amp;"_"&amp;Investment_Strategy_Sub2&amp;"_"&amp;$A189,'Investment Strategies'!$T:$AF,8,FALSE),
IF(Investment_Strategy ="DIY",DIY_RateOfReturn_FuturePremiums,
"Error")))))),Max_InvReturn)</f>
        <v>0</v>
      </c>
      <c r="U189" s="62">
        <f>IF($AV189=0,0,
IF(Investment_Strategy="DIS",VLOOKUP(Investment_Strategy&amp;"_"&amp;Investment_Strategy_Sub1&amp;"_"&amp;$A189,'Investment Strategies'!$AZ:$BP,15,FALSE),
IF(AND(Investment_Strategy="Lifecycle",Investment_Strategy_Sub1="Non-Standard"),VLOOKUP(Investment_Strategy&amp;"_"&amp;Investment_Strategy_Sub2&amp;"_"&amp;$A189,'Investment Strategies'!$C:$P,12,FALSE),
IF(AND(Investment_Strategy="Lifecycle",Investment_Strategy_Sub1="Standard"),VLOOKUP(Investment_Strategy&amp;"_"&amp;Investment_Strategy_Sub2&amp;"_"&amp;$A189,'Investment Strategies'!$AJ:$AV,11,FALSE),
IF(AND(Investment_Strategy="Autopilot",Investment_Strategy_Sub1="Non-Standard"),VLOOKUP(Investment_Strategy&amp;"_"&amp;Investment_Strategy_Sub2&amp;"_"&amp;$A189,'Investment Strategies'!$T:$AF,11,FALSE),
IF(Investment_Strategy="DIY",DIY_GteeChrge_FuturePremiums,
"Error"))))))</f>
        <v>0</v>
      </c>
      <c r="V189" s="33">
        <f>IF(AV189=0,0,
IF(Investment_Strategy="DIS",VLOOKUP(Investment_Strategy&amp;"_"&amp;Investment_Strategy_Sub1&amp;"_"&amp;$A189,'Investment Strategies'!$AZ:$BP,17,FALSE),
IF(AND(Investment_Strategy="Lifecycle",Investment_Strategy_Sub1="Non-Standard"),VLOOKUP(Investment_Strategy&amp;"_"&amp;Investment_Strategy_Sub2&amp;"_"&amp;$A189,'Investment Strategies'!$C:$P,14,FALSE),
IF(AND(Investment_Strategy="Lifecycle",Investment_Strategy_Sub1="Standard"),VLOOKUP(Investment_Strategy&amp;"_"&amp;Investment_Strategy_Sub2&amp;"_"&amp;$A189,'Investment Strategies'!$AJ:$AV,13,FALSE),
IF(AND(Investment_Strategy="Autopilot",Investment_Strategy_Sub1="Non-Standard"),VLOOKUP(Investment_Strategy&amp;"_"&amp;Investment_Strategy_Sub2&amp;"_"&amp;$A189,'Investment Strategies'!$T:$AF,13,FALSE),
IF(Investment_Strategy="DIY",DIY_ExtManChrge_FuturePremiums,
"Error"))))))</f>
        <v>0</v>
      </c>
      <c r="W189" s="16">
        <f t="shared" si="97"/>
        <v>0</v>
      </c>
      <c r="X189" s="16">
        <f t="shared" si="72"/>
        <v>0</v>
      </c>
      <c r="Y189" s="16">
        <f t="shared" si="73"/>
        <v>0</v>
      </c>
      <c r="Z189" s="31">
        <f t="shared" si="74"/>
        <v>0.02</v>
      </c>
      <c r="AA189" s="16">
        <f t="shared" si="75"/>
        <v>0</v>
      </c>
      <c r="AB189" s="28">
        <f t="shared" si="98"/>
        <v>0</v>
      </c>
      <c r="AC189" s="28">
        <f>(SUM($AC$91:AC188)+SUM($X$91:X188)+X189)*T189*IF(D189=$A$91,SRP_finalmonthfactor,1)</f>
        <v>0</v>
      </c>
      <c r="AD189" s="16">
        <f t="shared" si="76"/>
        <v>0</v>
      </c>
      <c r="AE189" s="106"/>
      <c r="AF189" s="16">
        <f t="shared" si="85"/>
        <v>0</v>
      </c>
      <c r="AG189" s="16">
        <f t="shared" si="86"/>
        <v>0</v>
      </c>
      <c r="AH189" s="16">
        <f t="shared" si="87"/>
        <v>0</v>
      </c>
      <c r="AJ189" s="13">
        <f t="shared" si="109"/>
        <v>0</v>
      </c>
      <c r="AK189" s="13">
        <f t="shared" si="109"/>
        <v>0</v>
      </c>
      <c r="AL189" s="13">
        <f t="shared" si="109"/>
        <v>0</v>
      </c>
      <c r="AM189" s="13">
        <f t="shared" si="109"/>
        <v>0</v>
      </c>
      <c r="AN189" s="13">
        <f t="shared" si="109"/>
        <v>0</v>
      </c>
      <c r="AO189" s="13">
        <f t="shared" si="109"/>
        <v>1</v>
      </c>
      <c r="AP189" s="13">
        <f t="shared" si="109"/>
        <v>1</v>
      </c>
      <c r="AQ189" s="13">
        <f t="shared" si="109"/>
        <v>1</v>
      </c>
      <c r="AR189" s="13">
        <f t="shared" si="109"/>
        <v>1</v>
      </c>
      <c r="AS189" s="13">
        <f t="shared" si="109"/>
        <v>1</v>
      </c>
      <c r="AT189" s="13">
        <f t="shared" si="109"/>
        <v>1</v>
      </c>
      <c r="AU189" s="13">
        <f t="shared" si="109"/>
        <v>1</v>
      </c>
      <c r="AV189" s="13">
        <f t="shared" si="77"/>
        <v>0</v>
      </c>
      <c r="AW189" s="13">
        <f t="shared" si="78"/>
        <v>1</v>
      </c>
      <c r="AY189" s="17">
        <f t="shared" si="79"/>
        <v>99</v>
      </c>
      <c r="AZ189" s="28">
        <f t="shared" si="88"/>
        <v>0</v>
      </c>
      <c r="BA189" s="13">
        <f t="shared" si="80"/>
        <v>0</v>
      </c>
      <c r="BB189" s="13">
        <f t="shared" si="81"/>
        <v>0</v>
      </c>
      <c r="BC189" s="28">
        <f t="shared" si="89"/>
        <v>0</v>
      </c>
      <c r="BD189" s="28">
        <f t="shared" si="90"/>
        <v>0</v>
      </c>
      <c r="BF189" s="248">
        <f t="shared" si="91"/>
        <v>993869.29442638322</v>
      </c>
      <c r="BG189" s="36">
        <f t="shared" si="99"/>
        <v>0</v>
      </c>
      <c r="BH189" s="36">
        <f t="shared" si="100"/>
        <v>907239.24776449066</v>
      </c>
      <c r="BI189" s="249">
        <f t="shared" si="101"/>
        <v>0</v>
      </c>
      <c r="BJ189" s="246">
        <f t="shared" si="102"/>
        <v>0</v>
      </c>
      <c r="BK189" s="246">
        <f t="shared" si="82"/>
        <v>7.531116566323881E-4</v>
      </c>
      <c r="BL189" s="246">
        <f t="shared" si="103"/>
        <v>0</v>
      </c>
      <c r="BM189" s="246">
        <f t="shared" si="104"/>
        <v>7.531116566323881E-4</v>
      </c>
      <c r="BN189" s="36">
        <f t="shared" si="92"/>
        <v>683.25245284583718</v>
      </c>
      <c r="BO189" s="36">
        <f t="shared" si="105"/>
        <v>0</v>
      </c>
      <c r="BP189" s="36">
        <f t="shared" si="106"/>
        <v>906555.99531164486</v>
      </c>
    </row>
    <row r="190" spans="1:68">
      <c r="A190" s="32">
        <f t="shared" si="93"/>
        <v>-15</v>
      </c>
      <c r="B190" s="32">
        <f t="shared" si="83"/>
        <v>61</v>
      </c>
      <c r="C190" s="32">
        <f t="shared" si="94"/>
        <v>9</v>
      </c>
      <c r="D190" s="32">
        <f t="shared" si="95"/>
        <v>100</v>
      </c>
      <c r="E190" s="74">
        <f>MIN(IF(AV190=0,0,
IF(Investment_Strategy="DIS",VLOOKUP(Investment_Strategy&amp;"_"&amp;Investment_Strategy_Sub1&amp;"_"&amp;$A190,'Investment Strategies'!$AZ:$BP,12,FALSE),
IF(AND(Investment_Strategy="Lifecycle",Investment_Strategy_Sub1="Non-Standard"),VLOOKUP(Investment_Strategy&amp;"_"&amp;Investment_Strategy_Sub2&amp;"_"&amp;$A190,'Investment Strategies'!$C:$P,9,FALSE),
IF(AND(Investment_Strategy="Lifecycle",Investment_Strategy_Sub1="Standard"),VLOOKUP(Investment_Strategy&amp;"_"&amp;Investment_Strategy_Sub2&amp;"_"&amp;$A190,'Investment Strategies'!$AJ:$AV,8,FALSE),
IF(AND(Investment_Strategy="Autopilot",Investment_Strategy_Sub1="Non-Standard"),VLOOKUP(Investment_Strategy&amp;"_"&amp;Investment_Strategy_Sub2&amp;"_"&amp;$A190,'Investment Strategies'!$T:$AF,8,FALSE),
IF(Investment_Strategy ="DIY",DIY_RateOfReturn_CurrentFunds,
"Error")))))),Max_InvReturn)</f>
        <v>0</v>
      </c>
      <c r="F190" s="62">
        <f>IF(AV190=0,0,
IF(Investment_Strategy="DIS",VLOOKUP(Investment_Strategy&amp;"_"&amp;Investment_Strategy_Sub1&amp;"_"&amp;$A190,'Investment Strategies'!$AZ:$BP,15,FALSE),
IF(AND(Investment_Strategy="Lifecycle",Investment_Strategy_Sub1="Non-Standard"),VLOOKUP(Investment_Strategy&amp;"_"&amp;Investment_Strategy_Sub2&amp;"_"&amp;$A190,'Investment Strategies'!$C:$P,12,FALSE),
IF(AND(Investment_Strategy="Lifecycle",Investment_Strategy_Sub1="Standard"),VLOOKUP(Investment_Strategy&amp;"_"&amp;Investment_Strategy_Sub2&amp;"_"&amp;$A190,'Investment Strategies'!$AJ:$AV,11,FALSE),
IF(AND(Investment_Strategy="Autopilot",Investment_Strategy_Sub1="Non-Standard"),VLOOKUP(Investment_Strategy&amp;"_"&amp;Investment_Strategy_Sub2&amp;"_"&amp;$A190,'Investment Strategies'!$T:$AF,11,FALSE),
IF(Investment_Strategy="DIY",DIY_GteeChrge_CurrentFunds,
"Error"))))))</f>
        <v>0</v>
      </c>
      <c r="G190" s="33">
        <f>IF(AV190=0,0,
IF(Investment_Strategy="DIS",VLOOKUP(Investment_Strategy&amp;"_"&amp;Investment_Strategy_Sub1&amp;"_"&amp;$A190,'Investment Strategies'!$AZ:$BP,17,FALSE),
IF(AND(Investment_Strategy="Lifecycle",Investment_Strategy_Sub1="Non-Standard"),VLOOKUP(Investment_Strategy&amp;"_"&amp;Investment_Strategy_Sub2&amp;"_"&amp;$A190,'Investment Strategies'!$C:$P,14,FALSE),
IF(AND(Investment_Strategy="Lifecycle",Investment_Strategy_Sub1="Standard"),VLOOKUP(Investment_Strategy&amp;"_"&amp;Investment_Strategy_Sub2&amp;"_"&amp;$A190,'Investment Strategies'!$AJ:$AV,13,FALSE),
IF(AND(Investment_Strategy="Autopilot",Investment_Strategy_Sub1="Non-Standard"),VLOOKUP(Investment_Strategy&amp;"_"&amp;Investment_Strategy_Sub2&amp;"_"&amp;$A190,'Investment Strategies'!$T:$AF,13,FALSE),
IF(Investment_Strategy="DIY",DIY_ExtManChrge_CurrentFunds,
"Error"))))))</f>
        <v>0</v>
      </c>
      <c r="H190" s="16">
        <f t="shared" si="84"/>
        <v>0</v>
      </c>
      <c r="I190" s="16">
        <f t="shared" si="68"/>
        <v>0</v>
      </c>
      <c r="J190" s="16">
        <f t="shared" si="69"/>
        <v>0</v>
      </c>
      <c r="K190" s="16">
        <f>(Opening_Fund_Value+SUM(K$91:K189))*E190*IF(D190=$A$91,SRP_finalmonthfactor,1)</f>
        <v>0</v>
      </c>
      <c r="L190" s="74">
        <f>MIN(IF($AV190=0,0,
IF(Investment_Strategy="DIS",VLOOKUP(Investment_Strategy&amp;"_"&amp;Investment_Strategy_Sub1&amp;"_"&amp;$A190,'Investment Strategies'!$AZ:$BP,12,FALSE),
IF(AND(Investment_Strategy="Lifecycle",Investment_Strategy_Sub1="Non-Standard"),VLOOKUP(Investment_Strategy&amp;"_"&amp;Investment_Strategy_Sub2&amp;"_"&amp;$A190,'Investment Strategies'!$C:$P,9,FALSE),
IF(AND(Investment_Strategy="Lifecycle",Investment_Strategy_Sub1="Standard"),VLOOKUP(Investment_Strategy&amp;"_"&amp;Investment_Strategy_Sub2&amp;"_"&amp;$A190,'Investment Strategies'!$AJ:$AV,8,FALSE),
IF(AND(Investment_Strategy="Autopilot",Investment_Strategy_Sub1="Non-Standard"),VLOOKUP(Investment_Strategy&amp;"_"&amp;Investment_Strategy_Sub2&amp;"_"&amp;$A190,'Investment Strategies'!$T:$AF,8,FALSE),
IF(Investment_Strategy ="DIY",DIY_RateofReturn_SP,
"Error")))))),Max_InvReturn)</f>
        <v>0</v>
      </c>
      <c r="M190" s="62">
        <f>IF($AV190=0,0,
IF(Investment_Strategy="DIS",VLOOKUP(Investment_Strategy&amp;"_"&amp;Investment_Strategy_Sub1&amp;"_"&amp;$A190,'Investment Strategies'!$AZ:$BP,15,FALSE),
IF(AND(Investment_Strategy="Lifecycle",Investment_Strategy_Sub1="Non-Standard"),VLOOKUP(Investment_Strategy&amp;"_"&amp;Investment_Strategy_Sub2&amp;"_"&amp;$A190,'Investment Strategies'!$C:$P,12,FALSE),
IF(AND(Investment_Strategy="Lifecycle",Investment_Strategy_Sub1="Standard"),VLOOKUP(Investment_Strategy&amp;"_"&amp;Investment_Strategy_Sub2&amp;"_"&amp;$A190,'Investment Strategies'!$AJ:$AV,11,FALSE),
IF(AND(Investment_Strategy="Autopilot",Investment_Strategy_Sub1="Non-Standard"),VLOOKUP(Investment_Strategy&amp;"_"&amp;Investment_Strategy_Sub2&amp;"_"&amp;$A190,'Investment Strategies'!$T:$AF,11,FALSE),
IF(Investment_Strategy="DIY",DIY_GteeChrge_SP,
"Error"))))))</f>
        <v>0</v>
      </c>
      <c r="N190" s="33">
        <f>IF($AV190=0,0,
IF(Investment_Strategy="DIS",VLOOKUP(Investment_Strategy&amp;"_"&amp;Investment_Strategy_Sub1&amp;"_"&amp;$A190,'Investment Strategies'!$AZ:$BP,17,FALSE),
IF(AND(Investment_Strategy="Lifecycle",Investment_Strategy_Sub1="Non-Standard"),VLOOKUP(Investment_Strategy&amp;"_"&amp;Investment_Strategy_Sub2&amp;"_"&amp;$A190,'Investment Strategies'!$C:$P,14,FALSE),
IF(AND(Investment_Strategy="Lifecycle",Investment_Strategy_Sub1="Standard"),VLOOKUP(Investment_Strategy&amp;"_"&amp;Investment_Strategy_Sub2&amp;"_"&amp;$A190,'Investment Strategies'!$AJ:$AV,13,FALSE),
IF(AND(Investment_Strategy="Autopilot",Investment_Strategy_Sub1="Non-Standard"),VLOOKUP(Investment_Strategy&amp;"_"&amp;Investment_Strategy_Sub2&amp;"_"&amp;$A190,'Investment Strategies'!$T:$AF,13,FALSE),
IF(Investment_Strategy="DIY",DIY_ExtManChrge_SP,
"Error"))))))</f>
        <v>0</v>
      </c>
      <c r="O190" s="16">
        <f t="shared" si="96"/>
        <v>0</v>
      </c>
      <c r="Q190" s="16">
        <f t="shared" si="70"/>
        <v>0</v>
      </c>
      <c r="R190" s="16">
        <f t="shared" si="71"/>
        <v>0</v>
      </c>
      <c r="S190" s="16">
        <f>(SRP_SP+SUM(S$91:S189))*L190*IF(D190=$A$91,SRP_finalmonthfactor,1)</f>
        <v>0</v>
      </c>
      <c r="T190" s="74">
        <f>MIN(IF($AV190=0,0,
IF(Investment_Strategy="DIS",VLOOKUP(Investment_Strategy&amp;"_"&amp;Investment_Strategy_Sub1&amp;"_"&amp;$A190,'Investment Strategies'!$AZ:$BP,12,FALSE),
IF(AND(Investment_Strategy="Lifecycle",Investment_Strategy_Sub1="Non-Standard"),VLOOKUP(Investment_Strategy&amp;"_"&amp;Investment_Strategy_Sub2&amp;"_"&amp;$A190,'Investment Strategies'!$C:$P,9,FALSE),
IF(AND(Investment_Strategy="Lifecycle",Investment_Strategy_Sub1="Standard"),VLOOKUP(Investment_Strategy&amp;"_"&amp;Investment_Strategy_Sub2&amp;"_"&amp;$A190,'Investment Strategies'!$AJ:$AV,8,FALSE),
IF(AND(Investment_Strategy="Autopilot",Investment_Strategy_Sub1="Non-Standard"),VLOOKUP(Investment_Strategy&amp;"_"&amp;Investment_Strategy_Sub2&amp;"_"&amp;$A190,'Investment Strategies'!$T:$AF,8,FALSE),
IF(Investment_Strategy ="DIY",DIY_RateOfReturn_FuturePremiums,
"Error")))))),Max_InvReturn)</f>
        <v>0</v>
      </c>
      <c r="U190" s="62">
        <f>IF($AV190=0,0,
IF(Investment_Strategy="DIS",VLOOKUP(Investment_Strategy&amp;"_"&amp;Investment_Strategy_Sub1&amp;"_"&amp;$A190,'Investment Strategies'!$AZ:$BP,15,FALSE),
IF(AND(Investment_Strategy="Lifecycle",Investment_Strategy_Sub1="Non-Standard"),VLOOKUP(Investment_Strategy&amp;"_"&amp;Investment_Strategy_Sub2&amp;"_"&amp;$A190,'Investment Strategies'!$C:$P,12,FALSE),
IF(AND(Investment_Strategy="Lifecycle",Investment_Strategy_Sub1="Standard"),VLOOKUP(Investment_Strategy&amp;"_"&amp;Investment_Strategy_Sub2&amp;"_"&amp;$A190,'Investment Strategies'!$AJ:$AV,11,FALSE),
IF(AND(Investment_Strategy="Autopilot",Investment_Strategy_Sub1="Non-Standard"),VLOOKUP(Investment_Strategy&amp;"_"&amp;Investment_Strategy_Sub2&amp;"_"&amp;$A190,'Investment Strategies'!$T:$AF,11,FALSE),
IF(Investment_Strategy="DIY",DIY_GteeChrge_FuturePremiums,
"Error"))))))</f>
        <v>0</v>
      </c>
      <c r="V190" s="33">
        <f>IF(AV190=0,0,
IF(Investment_Strategy="DIS",VLOOKUP(Investment_Strategy&amp;"_"&amp;Investment_Strategy_Sub1&amp;"_"&amp;$A190,'Investment Strategies'!$AZ:$BP,17,FALSE),
IF(AND(Investment_Strategy="Lifecycle",Investment_Strategy_Sub1="Non-Standard"),VLOOKUP(Investment_Strategy&amp;"_"&amp;Investment_Strategy_Sub2&amp;"_"&amp;$A190,'Investment Strategies'!$C:$P,14,FALSE),
IF(AND(Investment_Strategy="Lifecycle",Investment_Strategy_Sub1="Standard"),VLOOKUP(Investment_Strategy&amp;"_"&amp;Investment_Strategy_Sub2&amp;"_"&amp;$A190,'Investment Strategies'!$AJ:$AV,13,FALSE),
IF(AND(Investment_Strategy="Autopilot",Investment_Strategy_Sub1="Non-Standard"),VLOOKUP(Investment_Strategy&amp;"_"&amp;Investment_Strategy_Sub2&amp;"_"&amp;$A190,'Investment Strategies'!$T:$AF,13,FALSE),
IF(Investment_Strategy="DIY",DIY_ExtManChrge_FuturePremiums,
"Error"))))))</f>
        <v>0</v>
      </c>
      <c r="W190" s="16">
        <f t="shared" si="97"/>
        <v>0</v>
      </c>
      <c r="X190" s="16">
        <f t="shared" si="72"/>
        <v>0</v>
      </c>
      <c r="Y190" s="16">
        <f t="shared" si="73"/>
        <v>0</v>
      </c>
      <c r="Z190" s="31">
        <f t="shared" si="74"/>
        <v>0.02</v>
      </c>
      <c r="AA190" s="16">
        <f t="shared" si="75"/>
        <v>0</v>
      </c>
      <c r="AB190" s="28">
        <f t="shared" si="98"/>
        <v>0</v>
      </c>
      <c r="AC190" s="28">
        <f>(SUM($AC$91:AC189)+SUM($X$91:X189)+X190)*T190*IF(D190=$A$91,SRP_finalmonthfactor,1)</f>
        <v>0</v>
      </c>
      <c r="AD190" s="16">
        <f t="shared" si="76"/>
        <v>0</v>
      </c>
      <c r="AE190" s="106"/>
      <c r="AF190" s="16">
        <f t="shared" si="85"/>
        <v>0</v>
      </c>
      <c r="AG190" s="16">
        <f t="shared" si="86"/>
        <v>0</v>
      </c>
      <c r="AH190" s="16">
        <f t="shared" si="87"/>
        <v>0</v>
      </c>
      <c r="AJ190" s="13">
        <f t="shared" si="109"/>
        <v>0</v>
      </c>
      <c r="AK190" s="13">
        <f t="shared" si="109"/>
        <v>0</v>
      </c>
      <c r="AL190" s="13">
        <f t="shared" si="109"/>
        <v>0</v>
      </c>
      <c r="AM190" s="13">
        <f t="shared" si="109"/>
        <v>0</v>
      </c>
      <c r="AN190" s="13">
        <f t="shared" si="109"/>
        <v>0</v>
      </c>
      <c r="AO190" s="13">
        <f t="shared" si="109"/>
        <v>1</v>
      </c>
      <c r="AP190" s="13">
        <f t="shared" si="109"/>
        <v>1</v>
      </c>
      <c r="AQ190" s="13">
        <f t="shared" si="109"/>
        <v>1</v>
      </c>
      <c r="AR190" s="13">
        <f t="shared" si="109"/>
        <v>1</v>
      </c>
      <c r="AS190" s="13">
        <f t="shared" si="109"/>
        <v>1</v>
      </c>
      <c r="AT190" s="13">
        <f t="shared" si="109"/>
        <v>1</v>
      </c>
      <c r="AU190" s="13">
        <f t="shared" si="109"/>
        <v>1</v>
      </c>
      <c r="AV190" s="13">
        <f t="shared" si="77"/>
        <v>0</v>
      </c>
      <c r="AW190" s="13">
        <f t="shared" si="78"/>
        <v>1</v>
      </c>
      <c r="AY190" s="17">
        <f t="shared" si="79"/>
        <v>100</v>
      </c>
      <c r="AZ190" s="28">
        <f t="shared" si="88"/>
        <v>0</v>
      </c>
      <c r="BA190" s="13">
        <f t="shared" si="80"/>
        <v>0</v>
      </c>
      <c r="BB190" s="13">
        <f t="shared" si="81"/>
        <v>0</v>
      </c>
      <c r="BC190" s="28">
        <f t="shared" si="89"/>
        <v>0</v>
      </c>
      <c r="BD190" s="28">
        <f t="shared" si="90"/>
        <v>0</v>
      </c>
      <c r="BF190" s="248">
        <f t="shared" si="91"/>
        <v>993869.29442638322</v>
      </c>
      <c r="BG190" s="36">
        <f t="shared" si="99"/>
        <v>0</v>
      </c>
      <c r="BH190" s="36">
        <f t="shared" si="100"/>
        <v>906555.99531164486</v>
      </c>
      <c r="BI190" s="249">
        <f t="shared" si="101"/>
        <v>0</v>
      </c>
      <c r="BJ190" s="246">
        <f t="shared" si="102"/>
        <v>0</v>
      </c>
      <c r="BK190" s="246">
        <f t="shared" si="82"/>
        <v>7.531116566323881E-4</v>
      </c>
      <c r="BL190" s="246">
        <f t="shared" si="103"/>
        <v>0</v>
      </c>
      <c r="BM190" s="246">
        <f t="shared" si="104"/>
        <v>7.531116566323881E-4</v>
      </c>
      <c r="BN190" s="36">
        <f t="shared" si="92"/>
        <v>682.73788745917636</v>
      </c>
      <c r="BO190" s="36">
        <f t="shared" si="105"/>
        <v>0</v>
      </c>
      <c r="BP190" s="36">
        <f t="shared" si="106"/>
        <v>905873.25742418563</v>
      </c>
    </row>
    <row r="191" spans="1:68">
      <c r="A191" s="32">
        <f t="shared" si="93"/>
        <v>-16</v>
      </c>
      <c r="B191" s="32">
        <f t="shared" si="83"/>
        <v>61</v>
      </c>
      <c r="C191" s="32">
        <f t="shared" si="94"/>
        <v>9</v>
      </c>
      <c r="D191" s="32">
        <f t="shared" si="95"/>
        <v>101</v>
      </c>
      <c r="E191" s="74">
        <f>MIN(IF(AV191=0,0,
IF(Investment_Strategy="DIS",VLOOKUP(Investment_Strategy&amp;"_"&amp;Investment_Strategy_Sub1&amp;"_"&amp;$A191,'Investment Strategies'!$AZ:$BP,12,FALSE),
IF(AND(Investment_Strategy="Lifecycle",Investment_Strategy_Sub1="Non-Standard"),VLOOKUP(Investment_Strategy&amp;"_"&amp;Investment_Strategy_Sub2&amp;"_"&amp;$A191,'Investment Strategies'!$C:$P,9,FALSE),
IF(AND(Investment_Strategy="Lifecycle",Investment_Strategy_Sub1="Standard"),VLOOKUP(Investment_Strategy&amp;"_"&amp;Investment_Strategy_Sub2&amp;"_"&amp;$A191,'Investment Strategies'!$AJ:$AV,8,FALSE),
IF(AND(Investment_Strategy="Autopilot",Investment_Strategy_Sub1="Non-Standard"),VLOOKUP(Investment_Strategy&amp;"_"&amp;Investment_Strategy_Sub2&amp;"_"&amp;$A191,'Investment Strategies'!$T:$AF,8,FALSE),
IF(Investment_Strategy ="DIY",DIY_RateOfReturn_CurrentFunds,
"Error")))))),Max_InvReturn)</f>
        <v>0</v>
      </c>
      <c r="F191" s="62">
        <f>IF(AV191=0,0,
IF(Investment_Strategy="DIS",VLOOKUP(Investment_Strategy&amp;"_"&amp;Investment_Strategy_Sub1&amp;"_"&amp;$A191,'Investment Strategies'!$AZ:$BP,15,FALSE),
IF(AND(Investment_Strategy="Lifecycle",Investment_Strategy_Sub1="Non-Standard"),VLOOKUP(Investment_Strategy&amp;"_"&amp;Investment_Strategy_Sub2&amp;"_"&amp;$A191,'Investment Strategies'!$C:$P,12,FALSE),
IF(AND(Investment_Strategy="Lifecycle",Investment_Strategy_Sub1="Standard"),VLOOKUP(Investment_Strategy&amp;"_"&amp;Investment_Strategy_Sub2&amp;"_"&amp;$A191,'Investment Strategies'!$AJ:$AV,11,FALSE),
IF(AND(Investment_Strategy="Autopilot",Investment_Strategy_Sub1="Non-Standard"),VLOOKUP(Investment_Strategy&amp;"_"&amp;Investment_Strategy_Sub2&amp;"_"&amp;$A191,'Investment Strategies'!$T:$AF,11,FALSE),
IF(Investment_Strategy="DIY",DIY_GteeChrge_CurrentFunds,
"Error"))))))</f>
        <v>0</v>
      </c>
      <c r="G191" s="33">
        <f>IF(AV191=0,0,
IF(Investment_Strategy="DIS",VLOOKUP(Investment_Strategy&amp;"_"&amp;Investment_Strategy_Sub1&amp;"_"&amp;$A191,'Investment Strategies'!$AZ:$BP,17,FALSE),
IF(AND(Investment_Strategy="Lifecycle",Investment_Strategy_Sub1="Non-Standard"),VLOOKUP(Investment_Strategy&amp;"_"&amp;Investment_Strategy_Sub2&amp;"_"&amp;$A191,'Investment Strategies'!$C:$P,14,FALSE),
IF(AND(Investment_Strategy="Lifecycle",Investment_Strategy_Sub1="Standard"),VLOOKUP(Investment_Strategy&amp;"_"&amp;Investment_Strategy_Sub2&amp;"_"&amp;$A191,'Investment Strategies'!$AJ:$AV,13,FALSE),
IF(AND(Investment_Strategy="Autopilot",Investment_Strategy_Sub1="Non-Standard"),VLOOKUP(Investment_Strategy&amp;"_"&amp;Investment_Strategy_Sub2&amp;"_"&amp;$A191,'Investment Strategies'!$T:$AF,13,FALSE),
IF(Investment_Strategy="DIY",DIY_ExtManChrge_CurrentFunds,
"Error"))))))</f>
        <v>0</v>
      </c>
      <c r="H191" s="16">
        <f t="shared" si="84"/>
        <v>0</v>
      </c>
      <c r="I191" s="16">
        <f t="shared" si="68"/>
        <v>0</v>
      </c>
      <c r="J191" s="16">
        <f t="shared" si="69"/>
        <v>0</v>
      </c>
      <c r="K191" s="16">
        <f>(Opening_Fund_Value+SUM(K$91:K190))*E191*IF(D191=$A$91,SRP_finalmonthfactor,1)</f>
        <v>0</v>
      </c>
      <c r="L191" s="74">
        <f>MIN(IF($AV191=0,0,
IF(Investment_Strategy="DIS",VLOOKUP(Investment_Strategy&amp;"_"&amp;Investment_Strategy_Sub1&amp;"_"&amp;$A191,'Investment Strategies'!$AZ:$BP,12,FALSE),
IF(AND(Investment_Strategy="Lifecycle",Investment_Strategy_Sub1="Non-Standard"),VLOOKUP(Investment_Strategy&amp;"_"&amp;Investment_Strategy_Sub2&amp;"_"&amp;$A191,'Investment Strategies'!$C:$P,9,FALSE),
IF(AND(Investment_Strategy="Lifecycle",Investment_Strategy_Sub1="Standard"),VLOOKUP(Investment_Strategy&amp;"_"&amp;Investment_Strategy_Sub2&amp;"_"&amp;$A191,'Investment Strategies'!$AJ:$AV,8,FALSE),
IF(AND(Investment_Strategy="Autopilot",Investment_Strategy_Sub1="Non-Standard"),VLOOKUP(Investment_Strategy&amp;"_"&amp;Investment_Strategy_Sub2&amp;"_"&amp;$A191,'Investment Strategies'!$T:$AF,8,FALSE),
IF(Investment_Strategy ="DIY",DIY_RateofReturn_SP,
"Error")))))),Max_InvReturn)</f>
        <v>0</v>
      </c>
      <c r="M191" s="62">
        <f>IF($AV191=0,0,
IF(Investment_Strategy="DIS",VLOOKUP(Investment_Strategy&amp;"_"&amp;Investment_Strategy_Sub1&amp;"_"&amp;$A191,'Investment Strategies'!$AZ:$BP,15,FALSE),
IF(AND(Investment_Strategy="Lifecycle",Investment_Strategy_Sub1="Non-Standard"),VLOOKUP(Investment_Strategy&amp;"_"&amp;Investment_Strategy_Sub2&amp;"_"&amp;$A191,'Investment Strategies'!$C:$P,12,FALSE),
IF(AND(Investment_Strategy="Lifecycle",Investment_Strategy_Sub1="Standard"),VLOOKUP(Investment_Strategy&amp;"_"&amp;Investment_Strategy_Sub2&amp;"_"&amp;$A191,'Investment Strategies'!$AJ:$AV,11,FALSE),
IF(AND(Investment_Strategy="Autopilot",Investment_Strategy_Sub1="Non-Standard"),VLOOKUP(Investment_Strategy&amp;"_"&amp;Investment_Strategy_Sub2&amp;"_"&amp;$A191,'Investment Strategies'!$T:$AF,11,FALSE),
IF(Investment_Strategy="DIY",DIY_GteeChrge_SP,
"Error"))))))</f>
        <v>0</v>
      </c>
      <c r="N191" s="33">
        <f>IF($AV191=0,0,
IF(Investment_Strategy="DIS",VLOOKUP(Investment_Strategy&amp;"_"&amp;Investment_Strategy_Sub1&amp;"_"&amp;$A191,'Investment Strategies'!$AZ:$BP,17,FALSE),
IF(AND(Investment_Strategy="Lifecycle",Investment_Strategy_Sub1="Non-Standard"),VLOOKUP(Investment_Strategy&amp;"_"&amp;Investment_Strategy_Sub2&amp;"_"&amp;$A191,'Investment Strategies'!$C:$P,14,FALSE),
IF(AND(Investment_Strategy="Lifecycle",Investment_Strategy_Sub1="Standard"),VLOOKUP(Investment_Strategy&amp;"_"&amp;Investment_Strategy_Sub2&amp;"_"&amp;$A191,'Investment Strategies'!$AJ:$AV,13,FALSE),
IF(AND(Investment_Strategy="Autopilot",Investment_Strategy_Sub1="Non-Standard"),VLOOKUP(Investment_Strategy&amp;"_"&amp;Investment_Strategy_Sub2&amp;"_"&amp;$A191,'Investment Strategies'!$T:$AF,13,FALSE),
IF(Investment_Strategy="DIY",DIY_ExtManChrge_SP,
"Error"))))))</f>
        <v>0</v>
      </c>
      <c r="O191" s="16">
        <f t="shared" si="96"/>
        <v>0</v>
      </c>
      <c r="Q191" s="16">
        <f t="shared" si="70"/>
        <v>0</v>
      </c>
      <c r="R191" s="16">
        <f t="shared" si="71"/>
        <v>0</v>
      </c>
      <c r="S191" s="16">
        <f>(SRP_SP+SUM(S$91:S190))*L191*IF(D191=$A$91,SRP_finalmonthfactor,1)</f>
        <v>0</v>
      </c>
      <c r="T191" s="74">
        <f>MIN(IF($AV191=0,0,
IF(Investment_Strategy="DIS",VLOOKUP(Investment_Strategy&amp;"_"&amp;Investment_Strategy_Sub1&amp;"_"&amp;$A191,'Investment Strategies'!$AZ:$BP,12,FALSE),
IF(AND(Investment_Strategy="Lifecycle",Investment_Strategy_Sub1="Non-Standard"),VLOOKUP(Investment_Strategy&amp;"_"&amp;Investment_Strategy_Sub2&amp;"_"&amp;$A191,'Investment Strategies'!$C:$P,9,FALSE),
IF(AND(Investment_Strategy="Lifecycle",Investment_Strategy_Sub1="Standard"),VLOOKUP(Investment_Strategy&amp;"_"&amp;Investment_Strategy_Sub2&amp;"_"&amp;$A191,'Investment Strategies'!$AJ:$AV,8,FALSE),
IF(AND(Investment_Strategy="Autopilot",Investment_Strategy_Sub1="Non-Standard"),VLOOKUP(Investment_Strategy&amp;"_"&amp;Investment_Strategy_Sub2&amp;"_"&amp;$A191,'Investment Strategies'!$T:$AF,8,FALSE),
IF(Investment_Strategy ="DIY",DIY_RateOfReturn_FuturePremiums,
"Error")))))),Max_InvReturn)</f>
        <v>0</v>
      </c>
      <c r="U191" s="62">
        <f>IF($AV191=0,0,
IF(Investment_Strategy="DIS",VLOOKUP(Investment_Strategy&amp;"_"&amp;Investment_Strategy_Sub1&amp;"_"&amp;$A191,'Investment Strategies'!$AZ:$BP,15,FALSE),
IF(AND(Investment_Strategy="Lifecycle",Investment_Strategy_Sub1="Non-Standard"),VLOOKUP(Investment_Strategy&amp;"_"&amp;Investment_Strategy_Sub2&amp;"_"&amp;$A191,'Investment Strategies'!$C:$P,12,FALSE),
IF(AND(Investment_Strategy="Lifecycle",Investment_Strategy_Sub1="Standard"),VLOOKUP(Investment_Strategy&amp;"_"&amp;Investment_Strategy_Sub2&amp;"_"&amp;$A191,'Investment Strategies'!$AJ:$AV,11,FALSE),
IF(AND(Investment_Strategy="Autopilot",Investment_Strategy_Sub1="Non-Standard"),VLOOKUP(Investment_Strategy&amp;"_"&amp;Investment_Strategy_Sub2&amp;"_"&amp;$A191,'Investment Strategies'!$T:$AF,11,FALSE),
IF(Investment_Strategy="DIY",DIY_GteeChrge_FuturePremiums,
"Error"))))))</f>
        <v>0</v>
      </c>
      <c r="V191" s="33">
        <f>IF(AV191=0,0,
IF(Investment_Strategy="DIS",VLOOKUP(Investment_Strategy&amp;"_"&amp;Investment_Strategy_Sub1&amp;"_"&amp;$A191,'Investment Strategies'!$AZ:$BP,17,FALSE),
IF(AND(Investment_Strategy="Lifecycle",Investment_Strategy_Sub1="Non-Standard"),VLOOKUP(Investment_Strategy&amp;"_"&amp;Investment_Strategy_Sub2&amp;"_"&amp;$A191,'Investment Strategies'!$C:$P,14,FALSE),
IF(AND(Investment_Strategy="Lifecycle",Investment_Strategy_Sub1="Standard"),VLOOKUP(Investment_Strategy&amp;"_"&amp;Investment_Strategy_Sub2&amp;"_"&amp;$A191,'Investment Strategies'!$AJ:$AV,13,FALSE),
IF(AND(Investment_Strategy="Autopilot",Investment_Strategy_Sub1="Non-Standard"),VLOOKUP(Investment_Strategy&amp;"_"&amp;Investment_Strategy_Sub2&amp;"_"&amp;$A191,'Investment Strategies'!$T:$AF,13,FALSE),
IF(Investment_Strategy="DIY",DIY_ExtManChrge_FuturePremiums,
"Error"))))))</f>
        <v>0</v>
      </c>
      <c r="W191" s="16">
        <f t="shared" si="97"/>
        <v>0</v>
      </c>
      <c r="X191" s="16">
        <f t="shared" si="72"/>
        <v>0</v>
      </c>
      <c r="Y191" s="16">
        <f t="shared" si="73"/>
        <v>0</v>
      </c>
      <c r="Z191" s="31">
        <f t="shared" si="74"/>
        <v>0.02</v>
      </c>
      <c r="AA191" s="16">
        <f t="shared" si="75"/>
        <v>0</v>
      </c>
      <c r="AB191" s="28">
        <f t="shared" si="98"/>
        <v>0</v>
      </c>
      <c r="AC191" s="28">
        <f>(SUM($AC$91:AC190)+SUM($X$91:X190)+X191)*T191*IF(D191=$A$91,SRP_finalmonthfactor,1)</f>
        <v>0</v>
      </c>
      <c r="AD191" s="16">
        <f t="shared" si="76"/>
        <v>0</v>
      </c>
      <c r="AE191" s="106"/>
      <c r="AF191" s="16">
        <f t="shared" si="85"/>
        <v>0</v>
      </c>
      <c r="AG191" s="16">
        <f t="shared" si="86"/>
        <v>0</v>
      </c>
      <c r="AH191" s="16">
        <f t="shared" si="87"/>
        <v>0</v>
      </c>
      <c r="AJ191" s="13">
        <f t="shared" ref="AJ191:AU200" si="110">IF($C191&lt;=AJ$90,1,0)</f>
        <v>0</v>
      </c>
      <c r="AK191" s="13">
        <f t="shared" si="110"/>
        <v>0</v>
      </c>
      <c r="AL191" s="13">
        <f t="shared" si="110"/>
        <v>0</v>
      </c>
      <c r="AM191" s="13">
        <f t="shared" si="110"/>
        <v>0</v>
      </c>
      <c r="AN191" s="13">
        <f t="shared" si="110"/>
        <v>0</v>
      </c>
      <c r="AO191" s="13">
        <f t="shared" si="110"/>
        <v>1</v>
      </c>
      <c r="AP191" s="13">
        <f t="shared" si="110"/>
        <v>1</v>
      </c>
      <c r="AQ191" s="13">
        <f t="shared" si="110"/>
        <v>1</v>
      </c>
      <c r="AR191" s="13">
        <f t="shared" si="110"/>
        <v>1</v>
      </c>
      <c r="AS191" s="13">
        <f t="shared" si="110"/>
        <v>1</v>
      </c>
      <c r="AT191" s="13">
        <f t="shared" si="110"/>
        <v>1</v>
      </c>
      <c r="AU191" s="13">
        <f t="shared" si="110"/>
        <v>1</v>
      </c>
      <c r="AV191" s="13">
        <f t="shared" si="77"/>
        <v>0</v>
      </c>
      <c r="AW191" s="13">
        <f t="shared" si="78"/>
        <v>1</v>
      </c>
      <c r="AY191" s="17">
        <f t="shared" si="79"/>
        <v>101</v>
      </c>
      <c r="AZ191" s="28">
        <f t="shared" si="88"/>
        <v>0</v>
      </c>
      <c r="BA191" s="13">
        <f t="shared" si="80"/>
        <v>0</v>
      </c>
      <c r="BB191" s="13">
        <f t="shared" si="81"/>
        <v>0</v>
      </c>
      <c r="BC191" s="28">
        <f t="shared" si="89"/>
        <v>0</v>
      </c>
      <c r="BD191" s="28">
        <f t="shared" si="90"/>
        <v>0</v>
      </c>
      <c r="BF191" s="248">
        <f t="shared" si="91"/>
        <v>993869.29442638322</v>
      </c>
      <c r="BG191" s="36">
        <f t="shared" si="99"/>
        <v>0</v>
      </c>
      <c r="BH191" s="36">
        <f t="shared" si="100"/>
        <v>905873.25742418563</v>
      </c>
      <c r="BI191" s="249">
        <f t="shared" si="101"/>
        <v>0</v>
      </c>
      <c r="BJ191" s="246">
        <f t="shared" si="102"/>
        <v>0</v>
      </c>
      <c r="BK191" s="246">
        <f t="shared" si="82"/>
        <v>7.531116566323881E-4</v>
      </c>
      <c r="BL191" s="246">
        <f t="shared" si="103"/>
        <v>0</v>
      </c>
      <c r="BM191" s="246">
        <f t="shared" si="104"/>
        <v>7.531116566323881E-4</v>
      </c>
      <c r="BN191" s="36">
        <f t="shared" si="92"/>
        <v>682.22370959770626</v>
      </c>
      <c r="BO191" s="36">
        <f t="shared" si="105"/>
        <v>0</v>
      </c>
      <c r="BP191" s="36">
        <f t="shared" si="106"/>
        <v>905191.03371458792</v>
      </c>
    </row>
    <row r="192" spans="1:68">
      <c r="A192" s="32">
        <f t="shared" si="93"/>
        <v>-17</v>
      </c>
      <c r="B192" s="32">
        <f t="shared" si="83"/>
        <v>61</v>
      </c>
      <c r="C192" s="32">
        <f t="shared" si="94"/>
        <v>9</v>
      </c>
      <c r="D192" s="32">
        <f t="shared" si="95"/>
        <v>102</v>
      </c>
      <c r="E192" s="74">
        <f>MIN(IF(AV192=0,0,
IF(Investment_Strategy="DIS",VLOOKUP(Investment_Strategy&amp;"_"&amp;Investment_Strategy_Sub1&amp;"_"&amp;$A192,'Investment Strategies'!$AZ:$BP,12,FALSE),
IF(AND(Investment_Strategy="Lifecycle",Investment_Strategy_Sub1="Non-Standard"),VLOOKUP(Investment_Strategy&amp;"_"&amp;Investment_Strategy_Sub2&amp;"_"&amp;$A192,'Investment Strategies'!$C:$P,9,FALSE),
IF(AND(Investment_Strategy="Lifecycle",Investment_Strategy_Sub1="Standard"),VLOOKUP(Investment_Strategy&amp;"_"&amp;Investment_Strategy_Sub2&amp;"_"&amp;$A192,'Investment Strategies'!$AJ:$AV,8,FALSE),
IF(AND(Investment_Strategy="Autopilot",Investment_Strategy_Sub1="Non-Standard"),VLOOKUP(Investment_Strategy&amp;"_"&amp;Investment_Strategy_Sub2&amp;"_"&amp;$A192,'Investment Strategies'!$T:$AF,8,FALSE),
IF(Investment_Strategy ="DIY",DIY_RateOfReturn_CurrentFunds,
"Error")))))),Max_InvReturn)</f>
        <v>0</v>
      </c>
      <c r="F192" s="62">
        <f>IF(AV192=0,0,
IF(Investment_Strategy="DIS",VLOOKUP(Investment_Strategy&amp;"_"&amp;Investment_Strategy_Sub1&amp;"_"&amp;$A192,'Investment Strategies'!$AZ:$BP,15,FALSE),
IF(AND(Investment_Strategy="Lifecycle",Investment_Strategy_Sub1="Non-Standard"),VLOOKUP(Investment_Strategy&amp;"_"&amp;Investment_Strategy_Sub2&amp;"_"&amp;$A192,'Investment Strategies'!$C:$P,12,FALSE),
IF(AND(Investment_Strategy="Lifecycle",Investment_Strategy_Sub1="Standard"),VLOOKUP(Investment_Strategy&amp;"_"&amp;Investment_Strategy_Sub2&amp;"_"&amp;$A192,'Investment Strategies'!$AJ:$AV,11,FALSE),
IF(AND(Investment_Strategy="Autopilot",Investment_Strategy_Sub1="Non-Standard"),VLOOKUP(Investment_Strategy&amp;"_"&amp;Investment_Strategy_Sub2&amp;"_"&amp;$A192,'Investment Strategies'!$T:$AF,11,FALSE),
IF(Investment_Strategy="DIY",DIY_GteeChrge_CurrentFunds,
"Error"))))))</f>
        <v>0</v>
      </c>
      <c r="G192" s="33">
        <f>IF(AV192=0,0,
IF(Investment_Strategy="DIS",VLOOKUP(Investment_Strategy&amp;"_"&amp;Investment_Strategy_Sub1&amp;"_"&amp;$A192,'Investment Strategies'!$AZ:$BP,17,FALSE),
IF(AND(Investment_Strategy="Lifecycle",Investment_Strategy_Sub1="Non-Standard"),VLOOKUP(Investment_Strategy&amp;"_"&amp;Investment_Strategy_Sub2&amp;"_"&amp;$A192,'Investment Strategies'!$C:$P,14,FALSE),
IF(AND(Investment_Strategy="Lifecycle",Investment_Strategy_Sub1="Standard"),VLOOKUP(Investment_Strategy&amp;"_"&amp;Investment_Strategy_Sub2&amp;"_"&amp;$A192,'Investment Strategies'!$AJ:$AV,13,FALSE),
IF(AND(Investment_Strategy="Autopilot",Investment_Strategy_Sub1="Non-Standard"),VLOOKUP(Investment_Strategy&amp;"_"&amp;Investment_Strategy_Sub2&amp;"_"&amp;$A192,'Investment Strategies'!$T:$AF,13,FALSE),
IF(Investment_Strategy="DIY",DIY_ExtManChrge_CurrentFunds,
"Error"))))))</f>
        <v>0</v>
      </c>
      <c r="H192" s="16">
        <f t="shared" si="84"/>
        <v>0</v>
      </c>
      <c r="I192" s="16">
        <f t="shared" si="68"/>
        <v>0</v>
      </c>
      <c r="J192" s="16">
        <f t="shared" si="69"/>
        <v>0</v>
      </c>
      <c r="K192" s="16">
        <f>(Opening_Fund_Value+SUM(K$91:K191))*E192*IF(D192=$A$91,SRP_finalmonthfactor,1)</f>
        <v>0</v>
      </c>
      <c r="L192" s="74">
        <f>MIN(IF($AV192=0,0,
IF(Investment_Strategy="DIS",VLOOKUP(Investment_Strategy&amp;"_"&amp;Investment_Strategy_Sub1&amp;"_"&amp;$A192,'Investment Strategies'!$AZ:$BP,12,FALSE),
IF(AND(Investment_Strategy="Lifecycle",Investment_Strategy_Sub1="Non-Standard"),VLOOKUP(Investment_Strategy&amp;"_"&amp;Investment_Strategy_Sub2&amp;"_"&amp;$A192,'Investment Strategies'!$C:$P,9,FALSE),
IF(AND(Investment_Strategy="Lifecycle",Investment_Strategy_Sub1="Standard"),VLOOKUP(Investment_Strategy&amp;"_"&amp;Investment_Strategy_Sub2&amp;"_"&amp;$A192,'Investment Strategies'!$AJ:$AV,8,FALSE),
IF(AND(Investment_Strategy="Autopilot",Investment_Strategy_Sub1="Non-Standard"),VLOOKUP(Investment_Strategy&amp;"_"&amp;Investment_Strategy_Sub2&amp;"_"&amp;$A192,'Investment Strategies'!$T:$AF,8,FALSE),
IF(Investment_Strategy ="DIY",DIY_RateofReturn_SP,
"Error")))))),Max_InvReturn)</f>
        <v>0</v>
      </c>
      <c r="M192" s="62">
        <f>IF($AV192=0,0,
IF(Investment_Strategy="DIS",VLOOKUP(Investment_Strategy&amp;"_"&amp;Investment_Strategy_Sub1&amp;"_"&amp;$A192,'Investment Strategies'!$AZ:$BP,15,FALSE),
IF(AND(Investment_Strategy="Lifecycle",Investment_Strategy_Sub1="Non-Standard"),VLOOKUP(Investment_Strategy&amp;"_"&amp;Investment_Strategy_Sub2&amp;"_"&amp;$A192,'Investment Strategies'!$C:$P,12,FALSE),
IF(AND(Investment_Strategy="Lifecycle",Investment_Strategy_Sub1="Standard"),VLOOKUP(Investment_Strategy&amp;"_"&amp;Investment_Strategy_Sub2&amp;"_"&amp;$A192,'Investment Strategies'!$AJ:$AV,11,FALSE),
IF(AND(Investment_Strategy="Autopilot",Investment_Strategy_Sub1="Non-Standard"),VLOOKUP(Investment_Strategy&amp;"_"&amp;Investment_Strategy_Sub2&amp;"_"&amp;$A192,'Investment Strategies'!$T:$AF,11,FALSE),
IF(Investment_Strategy="DIY",DIY_GteeChrge_SP,
"Error"))))))</f>
        <v>0</v>
      </c>
      <c r="N192" s="33">
        <f>IF($AV192=0,0,
IF(Investment_Strategy="DIS",VLOOKUP(Investment_Strategy&amp;"_"&amp;Investment_Strategy_Sub1&amp;"_"&amp;$A192,'Investment Strategies'!$AZ:$BP,17,FALSE),
IF(AND(Investment_Strategy="Lifecycle",Investment_Strategy_Sub1="Non-Standard"),VLOOKUP(Investment_Strategy&amp;"_"&amp;Investment_Strategy_Sub2&amp;"_"&amp;$A192,'Investment Strategies'!$C:$P,14,FALSE),
IF(AND(Investment_Strategy="Lifecycle",Investment_Strategy_Sub1="Standard"),VLOOKUP(Investment_Strategy&amp;"_"&amp;Investment_Strategy_Sub2&amp;"_"&amp;$A192,'Investment Strategies'!$AJ:$AV,13,FALSE),
IF(AND(Investment_Strategy="Autopilot",Investment_Strategy_Sub1="Non-Standard"),VLOOKUP(Investment_Strategy&amp;"_"&amp;Investment_Strategy_Sub2&amp;"_"&amp;$A192,'Investment Strategies'!$T:$AF,13,FALSE),
IF(Investment_Strategy="DIY",DIY_ExtManChrge_SP,
"Error"))))))</f>
        <v>0</v>
      </c>
      <c r="O192" s="16">
        <f t="shared" si="96"/>
        <v>0</v>
      </c>
      <c r="Q192" s="16">
        <f t="shared" si="70"/>
        <v>0</v>
      </c>
      <c r="R192" s="16">
        <f t="shared" si="71"/>
        <v>0</v>
      </c>
      <c r="S192" s="16">
        <f>(SRP_SP+SUM(S$91:S191))*L192*IF(D192=$A$91,SRP_finalmonthfactor,1)</f>
        <v>0</v>
      </c>
      <c r="T192" s="74">
        <f>MIN(IF($AV192=0,0,
IF(Investment_Strategy="DIS",VLOOKUP(Investment_Strategy&amp;"_"&amp;Investment_Strategy_Sub1&amp;"_"&amp;$A192,'Investment Strategies'!$AZ:$BP,12,FALSE),
IF(AND(Investment_Strategy="Lifecycle",Investment_Strategy_Sub1="Non-Standard"),VLOOKUP(Investment_Strategy&amp;"_"&amp;Investment_Strategy_Sub2&amp;"_"&amp;$A192,'Investment Strategies'!$C:$P,9,FALSE),
IF(AND(Investment_Strategy="Lifecycle",Investment_Strategy_Sub1="Standard"),VLOOKUP(Investment_Strategy&amp;"_"&amp;Investment_Strategy_Sub2&amp;"_"&amp;$A192,'Investment Strategies'!$AJ:$AV,8,FALSE),
IF(AND(Investment_Strategy="Autopilot",Investment_Strategy_Sub1="Non-Standard"),VLOOKUP(Investment_Strategy&amp;"_"&amp;Investment_Strategy_Sub2&amp;"_"&amp;$A192,'Investment Strategies'!$T:$AF,8,FALSE),
IF(Investment_Strategy ="DIY",DIY_RateOfReturn_FuturePremiums,
"Error")))))),Max_InvReturn)</f>
        <v>0</v>
      </c>
      <c r="U192" s="62">
        <f>IF($AV192=0,0,
IF(Investment_Strategy="DIS",VLOOKUP(Investment_Strategy&amp;"_"&amp;Investment_Strategy_Sub1&amp;"_"&amp;$A192,'Investment Strategies'!$AZ:$BP,15,FALSE),
IF(AND(Investment_Strategy="Lifecycle",Investment_Strategy_Sub1="Non-Standard"),VLOOKUP(Investment_Strategy&amp;"_"&amp;Investment_Strategy_Sub2&amp;"_"&amp;$A192,'Investment Strategies'!$C:$P,12,FALSE),
IF(AND(Investment_Strategy="Lifecycle",Investment_Strategy_Sub1="Standard"),VLOOKUP(Investment_Strategy&amp;"_"&amp;Investment_Strategy_Sub2&amp;"_"&amp;$A192,'Investment Strategies'!$AJ:$AV,11,FALSE),
IF(AND(Investment_Strategy="Autopilot",Investment_Strategy_Sub1="Non-Standard"),VLOOKUP(Investment_Strategy&amp;"_"&amp;Investment_Strategy_Sub2&amp;"_"&amp;$A192,'Investment Strategies'!$T:$AF,11,FALSE),
IF(Investment_Strategy="DIY",DIY_GteeChrge_FuturePremiums,
"Error"))))))</f>
        <v>0</v>
      </c>
      <c r="V192" s="33">
        <f>IF(AV192=0,0,
IF(Investment_Strategy="DIS",VLOOKUP(Investment_Strategy&amp;"_"&amp;Investment_Strategy_Sub1&amp;"_"&amp;$A192,'Investment Strategies'!$AZ:$BP,17,FALSE),
IF(AND(Investment_Strategy="Lifecycle",Investment_Strategy_Sub1="Non-Standard"),VLOOKUP(Investment_Strategy&amp;"_"&amp;Investment_Strategy_Sub2&amp;"_"&amp;$A192,'Investment Strategies'!$C:$P,14,FALSE),
IF(AND(Investment_Strategy="Lifecycle",Investment_Strategy_Sub1="Standard"),VLOOKUP(Investment_Strategy&amp;"_"&amp;Investment_Strategy_Sub2&amp;"_"&amp;$A192,'Investment Strategies'!$AJ:$AV,13,FALSE),
IF(AND(Investment_Strategy="Autopilot",Investment_Strategy_Sub1="Non-Standard"),VLOOKUP(Investment_Strategy&amp;"_"&amp;Investment_Strategy_Sub2&amp;"_"&amp;$A192,'Investment Strategies'!$T:$AF,13,FALSE),
IF(Investment_Strategy="DIY",DIY_ExtManChrge_FuturePremiums,
"Error"))))))</f>
        <v>0</v>
      </c>
      <c r="W192" s="16">
        <f t="shared" si="97"/>
        <v>0</v>
      </c>
      <c r="X192" s="16">
        <f t="shared" si="72"/>
        <v>0</v>
      </c>
      <c r="Y192" s="16">
        <f t="shared" si="73"/>
        <v>0</v>
      </c>
      <c r="Z192" s="31">
        <f t="shared" si="74"/>
        <v>0.02</v>
      </c>
      <c r="AA192" s="16">
        <f t="shared" si="75"/>
        <v>0</v>
      </c>
      <c r="AB192" s="28">
        <f t="shared" si="98"/>
        <v>0</v>
      </c>
      <c r="AC192" s="28">
        <f>(SUM($AC$91:AC191)+SUM($X$91:X191)+X192)*T192*IF(D192=$A$91,SRP_finalmonthfactor,1)</f>
        <v>0</v>
      </c>
      <c r="AD192" s="16">
        <f t="shared" si="76"/>
        <v>0</v>
      </c>
      <c r="AE192" s="106"/>
      <c r="AF192" s="16">
        <f t="shared" si="85"/>
        <v>0</v>
      </c>
      <c r="AG192" s="16">
        <f t="shared" si="86"/>
        <v>0</v>
      </c>
      <c r="AH192" s="16">
        <f t="shared" si="87"/>
        <v>0</v>
      </c>
      <c r="AJ192" s="13">
        <f t="shared" si="110"/>
        <v>0</v>
      </c>
      <c r="AK192" s="13">
        <f t="shared" si="110"/>
        <v>0</v>
      </c>
      <c r="AL192" s="13">
        <f t="shared" si="110"/>
        <v>0</v>
      </c>
      <c r="AM192" s="13">
        <f t="shared" si="110"/>
        <v>0</v>
      </c>
      <c r="AN192" s="13">
        <f t="shared" si="110"/>
        <v>0</v>
      </c>
      <c r="AO192" s="13">
        <f t="shared" si="110"/>
        <v>1</v>
      </c>
      <c r="AP192" s="13">
        <f t="shared" si="110"/>
        <v>1</v>
      </c>
      <c r="AQ192" s="13">
        <f t="shared" si="110"/>
        <v>1</v>
      </c>
      <c r="AR192" s="13">
        <f t="shared" si="110"/>
        <v>1</v>
      </c>
      <c r="AS192" s="13">
        <f t="shared" si="110"/>
        <v>1</v>
      </c>
      <c r="AT192" s="13">
        <f t="shared" si="110"/>
        <v>1</v>
      </c>
      <c r="AU192" s="13">
        <f t="shared" si="110"/>
        <v>1</v>
      </c>
      <c r="AV192" s="13">
        <f t="shared" si="77"/>
        <v>0</v>
      </c>
      <c r="AW192" s="13">
        <f t="shared" si="78"/>
        <v>1</v>
      </c>
      <c r="AY192" s="17">
        <f t="shared" si="79"/>
        <v>102</v>
      </c>
      <c r="AZ192" s="28">
        <f t="shared" si="88"/>
        <v>0</v>
      </c>
      <c r="BA192" s="13">
        <f t="shared" si="80"/>
        <v>0</v>
      </c>
      <c r="BB192" s="13">
        <f t="shared" si="81"/>
        <v>0</v>
      </c>
      <c r="BC192" s="28">
        <f t="shared" si="89"/>
        <v>0</v>
      </c>
      <c r="BD192" s="28">
        <f t="shared" si="90"/>
        <v>0</v>
      </c>
      <c r="BF192" s="248">
        <f t="shared" si="91"/>
        <v>993869.29442638322</v>
      </c>
      <c r="BG192" s="36">
        <f t="shared" si="99"/>
        <v>0</v>
      </c>
      <c r="BH192" s="36">
        <f t="shared" si="100"/>
        <v>905191.03371458792</v>
      </c>
      <c r="BI192" s="249">
        <f t="shared" si="101"/>
        <v>0</v>
      </c>
      <c r="BJ192" s="246">
        <f t="shared" si="102"/>
        <v>0</v>
      </c>
      <c r="BK192" s="246">
        <f t="shared" si="82"/>
        <v>7.531116566323881E-4</v>
      </c>
      <c r="BL192" s="246">
        <f t="shared" si="103"/>
        <v>0</v>
      </c>
      <c r="BM192" s="246">
        <f t="shared" si="104"/>
        <v>7.531116566323881E-4</v>
      </c>
      <c r="BN192" s="36">
        <f t="shared" si="92"/>
        <v>681.70991896957719</v>
      </c>
      <c r="BO192" s="36">
        <f t="shared" si="105"/>
        <v>0</v>
      </c>
      <c r="BP192" s="36">
        <f t="shared" si="106"/>
        <v>904509.32379561837</v>
      </c>
    </row>
    <row r="193" spans="1:68">
      <c r="A193" s="32">
        <f t="shared" si="93"/>
        <v>-18</v>
      </c>
      <c r="B193" s="32">
        <f t="shared" si="83"/>
        <v>61</v>
      </c>
      <c r="C193" s="32">
        <f t="shared" si="94"/>
        <v>9</v>
      </c>
      <c r="D193" s="32">
        <f t="shared" si="95"/>
        <v>103</v>
      </c>
      <c r="E193" s="74">
        <f>MIN(IF(AV193=0,0,
IF(Investment_Strategy="DIS",VLOOKUP(Investment_Strategy&amp;"_"&amp;Investment_Strategy_Sub1&amp;"_"&amp;$A193,'Investment Strategies'!$AZ:$BP,12,FALSE),
IF(AND(Investment_Strategy="Lifecycle",Investment_Strategy_Sub1="Non-Standard"),VLOOKUP(Investment_Strategy&amp;"_"&amp;Investment_Strategy_Sub2&amp;"_"&amp;$A193,'Investment Strategies'!$C:$P,9,FALSE),
IF(AND(Investment_Strategy="Lifecycle",Investment_Strategy_Sub1="Standard"),VLOOKUP(Investment_Strategy&amp;"_"&amp;Investment_Strategy_Sub2&amp;"_"&amp;$A193,'Investment Strategies'!$AJ:$AV,8,FALSE),
IF(AND(Investment_Strategy="Autopilot",Investment_Strategy_Sub1="Non-Standard"),VLOOKUP(Investment_Strategy&amp;"_"&amp;Investment_Strategy_Sub2&amp;"_"&amp;$A193,'Investment Strategies'!$T:$AF,8,FALSE),
IF(Investment_Strategy ="DIY",DIY_RateOfReturn_CurrentFunds,
"Error")))))),Max_InvReturn)</f>
        <v>0</v>
      </c>
      <c r="F193" s="62">
        <f>IF(AV193=0,0,
IF(Investment_Strategy="DIS",VLOOKUP(Investment_Strategy&amp;"_"&amp;Investment_Strategy_Sub1&amp;"_"&amp;$A193,'Investment Strategies'!$AZ:$BP,15,FALSE),
IF(AND(Investment_Strategy="Lifecycle",Investment_Strategy_Sub1="Non-Standard"),VLOOKUP(Investment_Strategy&amp;"_"&amp;Investment_Strategy_Sub2&amp;"_"&amp;$A193,'Investment Strategies'!$C:$P,12,FALSE),
IF(AND(Investment_Strategy="Lifecycle",Investment_Strategy_Sub1="Standard"),VLOOKUP(Investment_Strategy&amp;"_"&amp;Investment_Strategy_Sub2&amp;"_"&amp;$A193,'Investment Strategies'!$AJ:$AV,11,FALSE),
IF(AND(Investment_Strategy="Autopilot",Investment_Strategy_Sub1="Non-Standard"),VLOOKUP(Investment_Strategy&amp;"_"&amp;Investment_Strategy_Sub2&amp;"_"&amp;$A193,'Investment Strategies'!$T:$AF,11,FALSE),
IF(Investment_Strategy="DIY",DIY_GteeChrge_CurrentFunds,
"Error"))))))</f>
        <v>0</v>
      </c>
      <c r="G193" s="33">
        <f>IF(AV193=0,0,
IF(Investment_Strategy="DIS",VLOOKUP(Investment_Strategy&amp;"_"&amp;Investment_Strategy_Sub1&amp;"_"&amp;$A193,'Investment Strategies'!$AZ:$BP,17,FALSE),
IF(AND(Investment_Strategy="Lifecycle",Investment_Strategy_Sub1="Non-Standard"),VLOOKUP(Investment_Strategy&amp;"_"&amp;Investment_Strategy_Sub2&amp;"_"&amp;$A193,'Investment Strategies'!$C:$P,14,FALSE),
IF(AND(Investment_Strategy="Lifecycle",Investment_Strategy_Sub1="Standard"),VLOOKUP(Investment_Strategy&amp;"_"&amp;Investment_Strategy_Sub2&amp;"_"&amp;$A193,'Investment Strategies'!$AJ:$AV,13,FALSE),
IF(AND(Investment_Strategy="Autopilot",Investment_Strategy_Sub1="Non-Standard"),VLOOKUP(Investment_Strategy&amp;"_"&amp;Investment_Strategy_Sub2&amp;"_"&amp;$A193,'Investment Strategies'!$T:$AF,13,FALSE),
IF(Investment_Strategy="DIY",DIY_ExtManChrge_CurrentFunds,
"Error"))))))</f>
        <v>0</v>
      </c>
      <c r="H193" s="16">
        <f t="shared" si="84"/>
        <v>0</v>
      </c>
      <c r="I193" s="16">
        <f t="shared" si="68"/>
        <v>0</v>
      </c>
      <c r="J193" s="16">
        <f t="shared" si="69"/>
        <v>0</v>
      </c>
      <c r="K193" s="16">
        <f>(Opening_Fund_Value+SUM(K$91:K192))*E193*IF(D193=$A$91,SRP_finalmonthfactor,1)</f>
        <v>0</v>
      </c>
      <c r="L193" s="74">
        <f>MIN(IF($AV193=0,0,
IF(Investment_Strategy="DIS",VLOOKUP(Investment_Strategy&amp;"_"&amp;Investment_Strategy_Sub1&amp;"_"&amp;$A193,'Investment Strategies'!$AZ:$BP,12,FALSE),
IF(AND(Investment_Strategy="Lifecycle",Investment_Strategy_Sub1="Non-Standard"),VLOOKUP(Investment_Strategy&amp;"_"&amp;Investment_Strategy_Sub2&amp;"_"&amp;$A193,'Investment Strategies'!$C:$P,9,FALSE),
IF(AND(Investment_Strategy="Lifecycle",Investment_Strategy_Sub1="Standard"),VLOOKUP(Investment_Strategy&amp;"_"&amp;Investment_Strategy_Sub2&amp;"_"&amp;$A193,'Investment Strategies'!$AJ:$AV,8,FALSE),
IF(AND(Investment_Strategy="Autopilot",Investment_Strategy_Sub1="Non-Standard"),VLOOKUP(Investment_Strategy&amp;"_"&amp;Investment_Strategy_Sub2&amp;"_"&amp;$A193,'Investment Strategies'!$T:$AF,8,FALSE),
IF(Investment_Strategy ="DIY",DIY_RateofReturn_SP,
"Error")))))),Max_InvReturn)</f>
        <v>0</v>
      </c>
      <c r="M193" s="62">
        <f>IF($AV193=0,0,
IF(Investment_Strategy="DIS",VLOOKUP(Investment_Strategy&amp;"_"&amp;Investment_Strategy_Sub1&amp;"_"&amp;$A193,'Investment Strategies'!$AZ:$BP,15,FALSE),
IF(AND(Investment_Strategy="Lifecycle",Investment_Strategy_Sub1="Non-Standard"),VLOOKUP(Investment_Strategy&amp;"_"&amp;Investment_Strategy_Sub2&amp;"_"&amp;$A193,'Investment Strategies'!$C:$P,12,FALSE),
IF(AND(Investment_Strategy="Lifecycle",Investment_Strategy_Sub1="Standard"),VLOOKUP(Investment_Strategy&amp;"_"&amp;Investment_Strategy_Sub2&amp;"_"&amp;$A193,'Investment Strategies'!$AJ:$AV,11,FALSE),
IF(AND(Investment_Strategy="Autopilot",Investment_Strategy_Sub1="Non-Standard"),VLOOKUP(Investment_Strategy&amp;"_"&amp;Investment_Strategy_Sub2&amp;"_"&amp;$A193,'Investment Strategies'!$T:$AF,11,FALSE),
IF(Investment_Strategy="DIY",DIY_GteeChrge_SP,
"Error"))))))</f>
        <v>0</v>
      </c>
      <c r="N193" s="33">
        <f>IF($AV193=0,0,
IF(Investment_Strategy="DIS",VLOOKUP(Investment_Strategy&amp;"_"&amp;Investment_Strategy_Sub1&amp;"_"&amp;$A193,'Investment Strategies'!$AZ:$BP,17,FALSE),
IF(AND(Investment_Strategy="Lifecycle",Investment_Strategy_Sub1="Non-Standard"),VLOOKUP(Investment_Strategy&amp;"_"&amp;Investment_Strategy_Sub2&amp;"_"&amp;$A193,'Investment Strategies'!$C:$P,14,FALSE),
IF(AND(Investment_Strategy="Lifecycle",Investment_Strategy_Sub1="Standard"),VLOOKUP(Investment_Strategy&amp;"_"&amp;Investment_Strategy_Sub2&amp;"_"&amp;$A193,'Investment Strategies'!$AJ:$AV,13,FALSE),
IF(AND(Investment_Strategy="Autopilot",Investment_Strategy_Sub1="Non-Standard"),VLOOKUP(Investment_Strategy&amp;"_"&amp;Investment_Strategy_Sub2&amp;"_"&amp;$A193,'Investment Strategies'!$T:$AF,13,FALSE),
IF(Investment_Strategy="DIY",DIY_ExtManChrge_SP,
"Error"))))))</f>
        <v>0</v>
      </c>
      <c r="O193" s="16">
        <f t="shared" si="96"/>
        <v>0</v>
      </c>
      <c r="Q193" s="16">
        <f t="shared" si="70"/>
        <v>0</v>
      </c>
      <c r="R193" s="16">
        <f t="shared" si="71"/>
        <v>0</v>
      </c>
      <c r="S193" s="16">
        <f>(SRP_SP+SUM(S$91:S192))*L193*IF(D193=$A$91,SRP_finalmonthfactor,1)</f>
        <v>0</v>
      </c>
      <c r="T193" s="74">
        <f>MIN(IF($AV193=0,0,
IF(Investment_Strategy="DIS",VLOOKUP(Investment_Strategy&amp;"_"&amp;Investment_Strategy_Sub1&amp;"_"&amp;$A193,'Investment Strategies'!$AZ:$BP,12,FALSE),
IF(AND(Investment_Strategy="Lifecycle",Investment_Strategy_Sub1="Non-Standard"),VLOOKUP(Investment_Strategy&amp;"_"&amp;Investment_Strategy_Sub2&amp;"_"&amp;$A193,'Investment Strategies'!$C:$P,9,FALSE),
IF(AND(Investment_Strategy="Lifecycle",Investment_Strategy_Sub1="Standard"),VLOOKUP(Investment_Strategy&amp;"_"&amp;Investment_Strategy_Sub2&amp;"_"&amp;$A193,'Investment Strategies'!$AJ:$AV,8,FALSE),
IF(AND(Investment_Strategy="Autopilot",Investment_Strategy_Sub1="Non-Standard"),VLOOKUP(Investment_Strategy&amp;"_"&amp;Investment_Strategy_Sub2&amp;"_"&amp;$A193,'Investment Strategies'!$T:$AF,8,FALSE),
IF(Investment_Strategy ="DIY",DIY_RateOfReturn_FuturePremiums,
"Error")))))),Max_InvReturn)</f>
        <v>0</v>
      </c>
      <c r="U193" s="62">
        <f>IF($AV193=0,0,
IF(Investment_Strategy="DIS",VLOOKUP(Investment_Strategy&amp;"_"&amp;Investment_Strategy_Sub1&amp;"_"&amp;$A193,'Investment Strategies'!$AZ:$BP,15,FALSE),
IF(AND(Investment_Strategy="Lifecycle",Investment_Strategy_Sub1="Non-Standard"),VLOOKUP(Investment_Strategy&amp;"_"&amp;Investment_Strategy_Sub2&amp;"_"&amp;$A193,'Investment Strategies'!$C:$P,12,FALSE),
IF(AND(Investment_Strategy="Lifecycle",Investment_Strategy_Sub1="Standard"),VLOOKUP(Investment_Strategy&amp;"_"&amp;Investment_Strategy_Sub2&amp;"_"&amp;$A193,'Investment Strategies'!$AJ:$AV,11,FALSE),
IF(AND(Investment_Strategy="Autopilot",Investment_Strategy_Sub1="Non-Standard"),VLOOKUP(Investment_Strategy&amp;"_"&amp;Investment_Strategy_Sub2&amp;"_"&amp;$A193,'Investment Strategies'!$T:$AF,11,FALSE),
IF(Investment_Strategy="DIY",DIY_GteeChrge_FuturePremiums,
"Error"))))))</f>
        <v>0</v>
      </c>
      <c r="V193" s="33">
        <f>IF(AV193=0,0,
IF(Investment_Strategy="DIS",VLOOKUP(Investment_Strategy&amp;"_"&amp;Investment_Strategy_Sub1&amp;"_"&amp;$A193,'Investment Strategies'!$AZ:$BP,17,FALSE),
IF(AND(Investment_Strategy="Lifecycle",Investment_Strategy_Sub1="Non-Standard"),VLOOKUP(Investment_Strategy&amp;"_"&amp;Investment_Strategy_Sub2&amp;"_"&amp;$A193,'Investment Strategies'!$C:$P,14,FALSE),
IF(AND(Investment_Strategy="Lifecycle",Investment_Strategy_Sub1="Standard"),VLOOKUP(Investment_Strategy&amp;"_"&amp;Investment_Strategy_Sub2&amp;"_"&amp;$A193,'Investment Strategies'!$AJ:$AV,13,FALSE),
IF(AND(Investment_Strategy="Autopilot",Investment_Strategy_Sub1="Non-Standard"),VLOOKUP(Investment_Strategy&amp;"_"&amp;Investment_Strategy_Sub2&amp;"_"&amp;$A193,'Investment Strategies'!$T:$AF,13,FALSE),
IF(Investment_Strategy="DIY",DIY_ExtManChrge_FuturePremiums,
"Error"))))))</f>
        <v>0</v>
      </c>
      <c r="W193" s="16">
        <f t="shared" si="97"/>
        <v>0</v>
      </c>
      <c r="X193" s="16">
        <f t="shared" si="72"/>
        <v>0</v>
      </c>
      <c r="Y193" s="16">
        <f t="shared" si="73"/>
        <v>0</v>
      </c>
      <c r="Z193" s="31">
        <f t="shared" si="74"/>
        <v>0.02</v>
      </c>
      <c r="AA193" s="16">
        <f t="shared" si="75"/>
        <v>0</v>
      </c>
      <c r="AB193" s="28">
        <f t="shared" si="98"/>
        <v>0</v>
      </c>
      <c r="AC193" s="28">
        <f>(SUM($AC$91:AC192)+SUM($X$91:X192)+X193)*T193*IF(D193=$A$91,SRP_finalmonthfactor,1)</f>
        <v>0</v>
      </c>
      <c r="AD193" s="16">
        <f t="shared" si="76"/>
        <v>0</v>
      </c>
      <c r="AE193" s="106"/>
      <c r="AF193" s="16">
        <f t="shared" si="85"/>
        <v>0</v>
      </c>
      <c r="AG193" s="16">
        <f t="shared" si="86"/>
        <v>0</v>
      </c>
      <c r="AH193" s="16">
        <f t="shared" si="87"/>
        <v>0</v>
      </c>
      <c r="AJ193" s="13">
        <f t="shared" si="110"/>
        <v>0</v>
      </c>
      <c r="AK193" s="13">
        <f t="shared" si="110"/>
        <v>0</v>
      </c>
      <c r="AL193" s="13">
        <f t="shared" si="110"/>
        <v>0</v>
      </c>
      <c r="AM193" s="13">
        <f t="shared" si="110"/>
        <v>0</v>
      </c>
      <c r="AN193" s="13">
        <f t="shared" si="110"/>
        <v>0</v>
      </c>
      <c r="AO193" s="13">
        <f t="shared" si="110"/>
        <v>1</v>
      </c>
      <c r="AP193" s="13">
        <f t="shared" si="110"/>
        <v>1</v>
      </c>
      <c r="AQ193" s="13">
        <f t="shared" si="110"/>
        <v>1</v>
      </c>
      <c r="AR193" s="13">
        <f t="shared" si="110"/>
        <v>1</v>
      </c>
      <c r="AS193" s="13">
        <f t="shared" si="110"/>
        <v>1</v>
      </c>
      <c r="AT193" s="13">
        <f t="shared" si="110"/>
        <v>1</v>
      </c>
      <c r="AU193" s="13">
        <f t="shared" si="110"/>
        <v>1</v>
      </c>
      <c r="AV193" s="13">
        <f t="shared" si="77"/>
        <v>0</v>
      </c>
      <c r="AW193" s="13">
        <f t="shared" si="78"/>
        <v>1</v>
      </c>
      <c r="AY193" s="17">
        <f t="shared" si="79"/>
        <v>103</v>
      </c>
      <c r="AZ193" s="28">
        <f t="shared" si="88"/>
        <v>0</v>
      </c>
      <c r="BA193" s="13">
        <f t="shared" si="80"/>
        <v>0</v>
      </c>
      <c r="BB193" s="13">
        <f t="shared" si="81"/>
        <v>0</v>
      </c>
      <c r="BC193" s="28">
        <f t="shared" si="89"/>
        <v>0</v>
      </c>
      <c r="BD193" s="28">
        <f t="shared" si="90"/>
        <v>0</v>
      </c>
      <c r="BF193" s="248">
        <f t="shared" si="91"/>
        <v>993869.29442638322</v>
      </c>
      <c r="BG193" s="36">
        <f t="shared" si="99"/>
        <v>0</v>
      </c>
      <c r="BH193" s="36">
        <f t="shared" si="100"/>
        <v>904509.32379561837</v>
      </c>
      <c r="BI193" s="249">
        <f t="shared" si="101"/>
        <v>0</v>
      </c>
      <c r="BJ193" s="246">
        <f t="shared" si="102"/>
        <v>0</v>
      </c>
      <c r="BK193" s="246">
        <f t="shared" si="82"/>
        <v>7.531116566323881E-4</v>
      </c>
      <c r="BL193" s="246">
        <f t="shared" si="103"/>
        <v>0</v>
      </c>
      <c r="BM193" s="246">
        <f t="shared" si="104"/>
        <v>7.531116566323881E-4</v>
      </c>
      <c r="BN193" s="36">
        <f t="shared" si="92"/>
        <v>681.19651528315933</v>
      </c>
      <c r="BO193" s="36">
        <f t="shared" si="105"/>
        <v>0</v>
      </c>
      <c r="BP193" s="36">
        <f t="shared" si="106"/>
        <v>903828.12728033517</v>
      </c>
    </row>
    <row r="194" spans="1:68">
      <c r="A194" s="32">
        <f t="shared" si="93"/>
        <v>-19</v>
      </c>
      <c r="B194" s="32">
        <f t="shared" si="83"/>
        <v>61</v>
      </c>
      <c r="C194" s="32">
        <f t="shared" si="94"/>
        <v>9</v>
      </c>
      <c r="D194" s="32">
        <f t="shared" si="95"/>
        <v>104</v>
      </c>
      <c r="E194" s="74">
        <f>MIN(IF(AV194=0,0,
IF(Investment_Strategy="DIS",VLOOKUP(Investment_Strategy&amp;"_"&amp;Investment_Strategy_Sub1&amp;"_"&amp;$A194,'Investment Strategies'!$AZ:$BP,12,FALSE),
IF(AND(Investment_Strategy="Lifecycle",Investment_Strategy_Sub1="Non-Standard"),VLOOKUP(Investment_Strategy&amp;"_"&amp;Investment_Strategy_Sub2&amp;"_"&amp;$A194,'Investment Strategies'!$C:$P,9,FALSE),
IF(AND(Investment_Strategy="Lifecycle",Investment_Strategy_Sub1="Standard"),VLOOKUP(Investment_Strategy&amp;"_"&amp;Investment_Strategy_Sub2&amp;"_"&amp;$A194,'Investment Strategies'!$AJ:$AV,8,FALSE),
IF(AND(Investment_Strategy="Autopilot",Investment_Strategy_Sub1="Non-Standard"),VLOOKUP(Investment_Strategy&amp;"_"&amp;Investment_Strategy_Sub2&amp;"_"&amp;$A194,'Investment Strategies'!$T:$AF,8,FALSE),
IF(Investment_Strategy ="DIY",DIY_RateOfReturn_CurrentFunds,
"Error")))))),Max_InvReturn)</f>
        <v>0</v>
      </c>
      <c r="F194" s="62">
        <f>IF(AV194=0,0,
IF(Investment_Strategy="DIS",VLOOKUP(Investment_Strategy&amp;"_"&amp;Investment_Strategy_Sub1&amp;"_"&amp;$A194,'Investment Strategies'!$AZ:$BP,15,FALSE),
IF(AND(Investment_Strategy="Lifecycle",Investment_Strategy_Sub1="Non-Standard"),VLOOKUP(Investment_Strategy&amp;"_"&amp;Investment_Strategy_Sub2&amp;"_"&amp;$A194,'Investment Strategies'!$C:$P,12,FALSE),
IF(AND(Investment_Strategy="Lifecycle",Investment_Strategy_Sub1="Standard"),VLOOKUP(Investment_Strategy&amp;"_"&amp;Investment_Strategy_Sub2&amp;"_"&amp;$A194,'Investment Strategies'!$AJ:$AV,11,FALSE),
IF(AND(Investment_Strategy="Autopilot",Investment_Strategy_Sub1="Non-Standard"),VLOOKUP(Investment_Strategy&amp;"_"&amp;Investment_Strategy_Sub2&amp;"_"&amp;$A194,'Investment Strategies'!$T:$AF,11,FALSE),
IF(Investment_Strategy="DIY",DIY_GteeChrge_CurrentFunds,
"Error"))))))</f>
        <v>0</v>
      </c>
      <c r="G194" s="33">
        <f>IF(AV194=0,0,
IF(Investment_Strategy="DIS",VLOOKUP(Investment_Strategy&amp;"_"&amp;Investment_Strategy_Sub1&amp;"_"&amp;$A194,'Investment Strategies'!$AZ:$BP,17,FALSE),
IF(AND(Investment_Strategy="Lifecycle",Investment_Strategy_Sub1="Non-Standard"),VLOOKUP(Investment_Strategy&amp;"_"&amp;Investment_Strategy_Sub2&amp;"_"&amp;$A194,'Investment Strategies'!$C:$P,14,FALSE),
IF(AND(Investment_Strategy="Lifecycle",Investment_Strategy_Sub1="Standard"),VLOOKUP(Investment_Strategy&amp;"_"&amp;Investment_Strategy_Sub2&amp;"_"&amp;$A194,'Investment Strategies'!$AJ:$AV,13,FALSE),
IF(AND(Investment_Strategy="Autopilot",Investment_Strategy_Sub1="Non-Standard"),VLOOKUP(Investment_Strategy&amp;"_"&amp;Investment_Strategy_Sub2&amp;"_"&amp;$A194,'Investment Strategies'!$T:$AF,13,FALSE),
IF(Investment_Strategy="DIY",DIY_ExtManChrge_CurrentFunds,
"Error"))))))</f>
        <v>0</v>
      </c>
      <c r="H194" s="16">
        <f t="shared" si="84"/>
        <v>0</v>
      </c>
      <c r="I194" s="16">
        <f t="shared" si="68"/>
        <v>0</v>
      </c>
      <c r="J194" s="16">
        <f t="shared" si="69"/>
        <v>0</v>
      </c>
      <c r="K194" s="16">
        <f>(Opening_Fund_Value+SUM(K$91:K193))*E194*IF(D194=$A$91,SRP_finalmonthfactor,1)</f>
        <v>0</v>
      </c>
      <c r="L194" s="74">
        <f>MIN(IF($AV194=0,0,
IF(Investment_Strategy="DIS",VLOOKUP(Investment_Strategy&amp;"_"&amp;Investment_Strategy_Sub1&amp;"_"&amp;$A194,'Investment Strategies'!$AZ:$BP,12,FALSE),
IF(AND(Investment_Strategy="Lifecycle",Investment_Strategy_Sub1="Non-Standard"),VLOOKUP(Investment_Strategy&amp;"_"&amp;Investment_Strategy_Sub2&amp;"_"&amp;$A194,'Investment Strategies'!$C:$P,9,FALSE),
IF(AND(Investment_Strategy="Lifecycle",Investment_Strategy_Sub1="Standard"),VLOOKUP(Investment_Strategy&amp;"_"&amp;Investment_Strategy_Sub2&amp;"_"&amp;$A194,'Investment Strategies'!$AJ:$AV,8,FALSE),
IF(AND(Investment_Strategy="Autopilot",Investment_Strategy_Sub1="Non-Standard"),VLOOKUP(Investment_Strategy&amp;"_"&amp;Investment_Strategy_Sub2&amp;"_"&amp;$A194,'Investment Strategies'!$T:$AF,8,FALSE),
IF(Investment_Strategy ="DIY",DIY_RateofReturn_SP,
"Error")))))),Max_InvReturn)</f>
        <v>0</v>
      </c>
      <c r="M194" s="62">
        <f>IF($AV194=0,0,
IF(Investment_Strategy="DIS",VLOOKUP(Investment_Strategy&amp;"_"&amp;Investment_Strategy_Sub1&amp;"_"&amp;$A194,'Investment Strategies'!$AZ:$BP,15,FALSE),
IF(AND(Investment_Strategy="Lifecycle",Investment_Strategy_Sub1="Non-Standard"),VLOOKUP(Investment_Strategy&amp;"_"&amp;Investment_Strategy_Sub2&amp;"_"&amp;$A194,'Investment Strategies'!$C:$P,12,FALSE),
IF(AND(Investment_Strategy="Lifecycle",Investment_Strategy_Sub1="Standard"),VLOOKUP(Investment_Strategy&amp;"_"&amp;Investment_Strategy_Sub2&amp;"_"&amp;$A194,'Investment Strategies'!$AJ:$AV,11,FALSE),
IF(AND(Investment_Strategy="Autopilot",Investment_Strategy_Sub1="Non-Standard"),VLOOKUP(Investment_Strategy&amp;"_"&amp;Investment_Strategy_Sub2&amp;"_"&amp;$A194,'Investment Strategies'!$T:$AF,11,FALSE),
IF(Investment_Strategy="DIY",DIY_GteeChrge_SP,
"Error"))))))</f>
        <v>0</v>
      </c>
      <c r="N194" s="33">
        <f>IF($AV194=0,0,
IF(Investment_Strategy="DIS",VLOOKUP(Investment_Strategy&amp;"_"&amp;Investment_Strategy_Sub1&amp;"_"&amp;$A194,'Investment Strategies'!$AZ:$BP,17,FALSE),
IF(AND(Investment_Strategy="Lifecycle",Investment_Strategy_Sub1="Non-Standard"),VLOOKUP(Investment_Strategy&amp;"_"&amp;Investment_Strategy_Sub2&amp;"_"&amp;$A194,'Investment Strategies'!$C:$P,14,FALSE),
IF(AND(Investment_Strategy="Lifecycle",Investment_Strategy_Sub1="Standard"),VLOOKUP(Investment_Strategy&amp;"_"&amp;Investment_Strategy_Sub2&amp;"_"&amp;$A194,'Investment Strategies'!$AJ:$AV,13,FALSE),
IF(AND(Investment_Strategy="Autopilot",Investment_Strategy_Sub1="Non-Standard"),VLOOKUP(Investment_Strategy&amp;"_"&amp;Investment_Strategy_Sub2&amp;"_"&amp;$A194,'Investment Strategies'!$T:$AF,13,FALSE),
IF(Investment_Strategy="DIY",DIY_ExtManChrge_SP,
"Error"))))))</f>
        <v>0</v>
      </c>
      <c r="O194" s="16">
        <f t="shared" si="96"/>
        <v>0</v>
      </c>
      <c r="Q194" s="16">
        <f t="shared" si="70"/>
        <v>0</v>
      </c>
      <c r="R194" s="16">
        <f t="shared" si="71"/>
        <v>0</v>
      </c>
      <c r="S194" s="16">
        <f>(SRP_SP+SUM(S$91:S193))*L194*IF(D194=$A$91,SRP_finalmonthfactor,1)</f>
        <v>0</v>
      </c>
      <c r="T194" s="74">
        <f>MIN(IF($AV194=0,0,
IF(Investment_Strategy="DIS",VLOOKUP(Investment_Strategy&amp;"_"&amp;Investment_Strategy_Sub1&amp;"_"&amp;$A194,'Investment Strategies'!$AZ:$BP,12,FALSE),
IF(AND(Investment_Strategy="Lifecycle",Investment_Strategy_Sub1="Non-Standard"),VLOOKUP(Investment_Strategy&amp;"_"&amp;Investment_Strategy_Sub2&amp;"_"&amp;$A194,'Investment Strategies'!$C:$P,9,FALSE),
IF(AND(Investment_Strategy="Lifecycle",Investment_Strategy_Sub1="Standard"),VLOOKUP(Investment_Strategy&amp;"_"&amp;Investment_Strategy_Sub2&amp;"_"&amp;$A194,'Investment Strategies'!$AJ:$AV,8,FALSE),
IF(AND(Investment_Strategy="Autopilot",Investment_Strategy_Sub1="Non-Standard"),VLOOKUP(Investment_Strategy&amp;"_"&amp;Investment_Strategy_Sub2&amp;"_"&amp;$A194,'Investment Strategies'!$T:$AF,8,FALSE),
IF(Investment_Strategy ="DIY",DIY_RateOfReturn_FuturePremiums,
"Error")))))),Max_InvReturn)</f>
        <v>0</v>
      </c>
      <c r="U194" s="62">
        <f>IF($AV194=0,0,
IF(Investment_Strategy="DIS",VLOOKUP(Investment_Strategy&amp;"_"&amp;Investment_Strategy_Sub1&amp;"_"&amp;$A194,'Investment Strategies'!$AZ:$BP,15,FALSE),
IF(AND(Investment_Strategy="Lifecycle",Investment_Strategy_Sub1="Non-Standard"),VLOOKUP(Investment_Strategy&amp;"_"&amp;Investment_Strategy_Sub2&amp;"_"&amp;$A194,'Investment Strategies'!$C:$P,12,FALSE),
IF(AND(Investment_Strategy="Lifecycle",Investment_Strategy_Sub1="Standard"),VLOOKUP(Investment_Strategy&amp;"_"&amp;Investment_Strategy_Sub2&amp;"_"&amp;$A194,'Investment Strategies'!$AJ:$AV,11,FALSE),
IF(AND(Investment_Strategy="Autopilot",Investment_Strategy_Sub1="Non-Standard"),VLOOKUP(Investment_Strategy&amp;"_"&amp;Investment_Strategy_Sub2&amp;"_"&amp;$A194,'Investment Strategies'!$T:$AF,11,FALSE),
IF(Investment_Strategy="DIY",DIY_GteeChrge_FuturePremiums,
"Error"))))))</f>
        <v>0</v>
      </c>
      <c r="V194" s="33">
        <f>IF(AV194=0,0,
IF(Investment_Strategy="DIS",VLOOKUP(Investment_Strategy&amp;"_"&amp;Investment_Strategy_Sub1&amp;"_"&amp;$A194,'Investment Strategies'!$AZ:$BP,17,FALSE),
IF(AND(Investment_Strategy="Lifecycle",Investment_Strategy_Sub1="Non-Standard"),VLOOKUP(Investment_Strategy&amp;"_"&amp;Investment_Strategy_Sub2&amp;"_"&amp;$A194,'Investment Strategies'!$C:$P,14,FALSE),
IF(AND(Investment_Strategy="Lifecycle",Investment_Strategy_Sub1="Standard"),VLOOKUP(Investment_Strategy&amp;"_"&amp;Investment_Strategy_Sub2&amp;"_"&amp;$A194,'Investment Strategies'!$AJ:$AV,13,FALSE),
IF(AND(Investment_Strategy="Autopilot",Investment_Strategy_Sub1="Non-Standard"),VLOOKUP(Investment_Strategy&amp;"_"&amp;Investment_Strategy_Sub2&amp;"_"&amp;$A194,'Investment Strategies'!$T:$AF,13,FALSE),
IF(Investment_Strategy="DIY",DIY_ExtManChrge_FuturePremiums,
"Error"))))))</f>
        <v>0</v>
      </c>
      <c r="W194" s="16">
        <f t="shared" si="97"/>
        <v>0</v>
      </c>
      <c r="X194" s="16">
        <f t="shared" si="72"/>
        <v>0</v>
      </c>
      <c r="Y194" s="16">
        <f t="shared" si="73"/>
        <v>0</v>
      </c>
      <c r="Z194" s="31">
        <f t="shared" si="74"/>
        <v>0.02</v>
      </c>
      <c r="AA194" s="16">
        <f t="shared" si="75"/>
        <v>0</v>
      </c>
      <c r="AB194" s="28">
        <f t="shared" si="98"/>
        <v>0</v>
      </c>
      <c r="AC194" s="28">
        <f>(SUM($AC$91:AC193)+SUM($X$91:X193)+X194)*T194*IF(D194=$A$91,SRP_finalmonthfactor,1)</f>
        <v>0</v>
      </c>
      <c r="AD194" s="16">
        <f t="shared" si="76"/>
        <v>0</v>
      </c>
      <c r="AE194" s="106"/>
      <c r="AF194" s="16">
        <f t="shared" si="85"/>
        <v>0</v>
      </c>
      <c r="AG194" s="16">
        <f t="shared" si="86"/>
        <v>0</v>
      </c>
      <c r="AH194" s="16">
        <f t="shared" si="87"/>
        <v>0</v>
      </c>
      <c r="AJ194" s="13">
        <f t="shared" si="110"/>
        <v>0</v>
      </c>
      <c r="AK194" s="13">
        <f t="shared" si="110"/>
        <v>0</v>
      </c>
      <c r="AL194" s="13">
        <f t="shared" si="110"/>
        <v>0</v>
      </c>
      <c r="AM194" s="13">
        <f t="shared" si="110"/>
        <v>0</v>
      </c>
      <c r="AN194" s="13">
        <f t="shared" si="110"/>
        <v>0</v>
      </c>
      <c r="AO194" s="13">
        <f t="shared" si="110"/>
        <v>1</v>
      </c>
      <c r="AP194" s="13">
        <f t="shared" si="110"/>
        <v>1</v>
      </c>
      <c r="AQ194" s="13">
        <f t="shared" si="110"/>
        <v>1</v>
      </c>
      <c r="AR194" s="13">
        <f t="shared" si="110"/>
        <v>1</v>
      </c>
      <c r="AS194" s="13">
        <f t="shared" si="110"/>
        <v>1</v>
      </c>
      <c r="AT194" s="13">
        <f t="shared" si="110"/>
        <v>1</v>
      </c>
      <c r="AU194" s="13">
        <f t="shared" si="110"/>
        <v>1</v>
      </c>
      <c r="AV194" s="13">
        <f t="shared" si="77"/>
        <v>0</v>
      </c>
      <c r="AW194" s="13">
        <f t="shared" si="78"/>
        <v>1</v>
      </c>
      <c r="AY194" s="17">
        <f t="shared" si="79"/>
        <v>104</v>
      </c>
      <c r="AZ194" s="28">
        <f t="shared" si="88"/>
        <v>0</v>
      </c>
      <c r="BA194" s="13">
        <f t="shared" si="80"/>
        <v>0</v>
      </c>
      <c r="BB194" s="13">
        <f t="shared" si="81"/>
        <v>0</v>
      </c>
      <c r="BC194" s="28">
        <f t="shared" si="89"/>
        <v>0</v>
      </c>
      <c r="BD194" s="28">
        <f t="shared" si="90"/>
        <v>0</v>
      </c>
      <c r="BF194" s="248">
        <f t="shared" si="91"/>
        <v>993869.29442638322</v>
      </c>
      <c r="BG194" s="36">
        <f t="shared" si="99"/>
        <v>0</v>
      </c>
      <c r="BH194" s="36">
        <f t="shared" si="100"/>
        <v>903828.12728033517</v>
      </c>
      <c r="BI194" s="249">
        <f t="shared" si="101"/>
        <v>0</v>
      </c>
      <c r="BJ194" s="246">
        <f t="shared" si="102"/>
        <v>0</v>
      </c>
      <c r="BK194" s="246">
        <f t="shared" si="82"/>
        <v>7.531116566323881E-4</v>
      </c>
      <c r="BL194" s="246">
        <f t="shared" si="103"/>
        <v>0</v>
      </c>
      <c r="BM194" s="246">
        <f t="shared" si="104"/>
        <v>7.531116566323881E-4</v>
      </c>
      <c r="BN194" s="36">
        <f t="shared" si="92"/>
        <v>680.68349824704217</v>
      </c>
      <c r="BO194" s="36">
        <f t="shared" si="105"/>
        <v>0</v>
      </c>
      <c r="BP194" s="36">
        <f t="shared" si="106"/>
        <v>903147.44378208811</v>
      </c>
    </row>
    <row r="195" spans="1:68">
      <c r="A195" s="32">
        <f t="shared" si="93"/>
        <v>-20</v>
      </c>
      <c r="B195" s="32">
        <f t="shared" si="83"/>
        <v>61</v>
      </c>
      <c r="C195" s="32">
        <f t="shared" si="94"/>
        <v>9</v>
      </c>
      <c r="D195" s="32">
        <f t="shared" si="95"/>
        <v>105</v>
      </c>
      <c r="E195" s="74">
        <f>MIN(IF(AV195=0,0,
IF(Investment_Strategy="DIS",VLOOKUP(Investment_Strategy&amp;"_"&amp;Investment_Strategy_Sub1&amp;"_"&amp;$A195,'Investment Strategies'!$AZ:$BP,12,FALSE),
IF(AND(Investment_Strategy="Lifecycle",Investment_Strategy_Sub1="Non-Standard"),VLOOKUP(Investment_Strategy&amp;"_"&amp;Investment_Strategy_Sub2&amp;"_"&amp;$A195,'Investment Strategies'!$C:$P,9,FALSE),
IF(AND(Investment_Strategy="Lifecycle",Investment_Strategy_Sub1="Standard"),VLOOKUP(Investment_Strategy&amp;"_"&amp;Investment_Strategy_Sub2&amp;"_"&amp;$A195,'Investment Strategies'!$AJ:$AV,8,FALSE),
IF(AND(Investment_Strategy="Autopilot",Investment_Strategy_Sub1="Non-Standard"),VLOOKUP(Investment_Strategy&amp;"_"&amp;Investment_Strategy_Sub2&amp;"_"&amp;$A195,'Investment Strategies'!$T:$AF,8,FALSE),
IF(Investment_Strategy ="DIY",DIY_RateOfReturn_CurrentFunds,
"Error")))))),Max_InvReturn)</f>
        <v>0</v>
      </c>
      <c r="F195" s="62">
        <f>IF(AV195=0,0,
IF(Investment_Strategy="DIS",VLOOKUP(Investment_Strategy&amp;"_"&amp;Investment_Strategy_Sub1&amp;"_"&amp;$A195,'Investment Strategies'!$AZ:$BP,15,FALSE),
IF(AND(Investment_Strategy="Lifecycle",Investment_Strategy_Sub1="Non-Standard"),VLOOKUP(Investment_Strategy&amp;"_"&amp;Investment_Strategy_Sub2&amp;"_"&amp;$A195,'Investment Strategies'!$C:$P,12,FALSE),
IF(AND(Investment_Strategy="Lifecycle",Investment_Strategy_Sub1="Standard"),VLOOKUP(Investment_Strategy&amp;"_"&amp;Investment_Strategy_Sub2&amp;"_"&amp;$A195,'Investment Strategies'!$AJ:$AV,11,FALSE),
IF(AND(Investment_Strategy="Autopilot",Investment_Strategy_Sub1="Non-Standard"),VLOOKUP(Investment_Strategy&amp;"_"&amp;Investment_Strategy_Sub2&amp;"_"&amp;$A195,'Investment Strategies'!$T:$AF,11,FALSE),
IF(Investment_Strategy="DIY",DIY_GteeChrge_CurrentFunds,
"Error"))))))</f>
        <v>0</v>
      </c>
      <c r="G195" s="33">
        <f>IF(AV195=0,0,
IF(Investment_Strategy="DIS",VLOOKUP(Investment_Strategy&amp;"_"&amp;Investment_Strategy_Sub1&amp;"_"&amp;$A195,'Investment Strategies'!$AZ:$BP,17,FALSE),
IF(AND(Investment_Strategy="Lifecycle",Investment_Strategy_Sub1="Non-Standard"),VLOOKUP(Investment_Strategy&amp;"_"&amp;Investment_Strategy_Sub2&amp;"_"&amp;$A195,'Investment Strategies'!$C:$P,14,FALSE),
IF(AND(Investment_Strategy="Lifecycle",Investment_Strategy_Sub1="Standard"),VLOOKUP(Investment_Strategy&amp;"_"&amp;Investment_Strategy_Sub2&amp;"_"&amp;$A195,'Investment Strategies'!$AJ:$AV,13,FALSE),
IF(AND(Investment_Strategy="Autopilot",Investment_Strategy_Sub1="Non-Standard"),VLOOKUP(Investment_Strategy&amp;"_"&amp;Investment_Strategy_Sub2&amp;"_"&amp;$A195,'Investment Strategies'!$T:$AF,13,FALSE),
IF(Investment_Strategy="DIY",DIY_ExtManChrge_CurrentFunds,
"Error"))))))</f>
        <v>0</v>
      </c>
      <c r="H195" s="16">
        <f t="shared" si="84"/>
        <v>0</v>
      </c>
      <c r="I195" s="16">
        <f t="shared" si="68"/>
        <v>0</v>
      </c>
      <c r="J195" s="16">
        <f t="shared" si="69"/>
        <v>0</v>
      </c>
      <c r="K195" s="16">
        <f>(Opening_Fund_Value+SUM(K$91:K194))*E195*IF(D195=$A$91,SRP_finalmonthfactor,1)</f>
        <v>0</v>
      </c>
      <c r="L195" s="74">
        <f>MIN(IF($AV195=0,0,
IF(Investment_Strategy="DIS",VLOOKUP(Investment_Strategy&amp;"_"&amp;Investment_Strategy_Sub1&amp;"_"&amp;$A195,'Investment Strategies'!$AZ:$BP,12,FALSE),
IF(AND(Investment_Strategy="Lifecycle",Investment_Strategy_Sub1="Non-Standard"),VLOOKUP(Investment_Strategy&amp;"_"&amp;Investment_Strategy_Sub2&amp;"_"&amp;$A195,'Investment Strategies'!$C:$P,9,FALSE),
IF(AND(Investment_Strategy="Lifecycle",Investment_Strategy_Sub1="Standard"),VLOOKUP(Investment_Strategy&amp;"_"&amp;Investment_Strategy_Sub2&amp;"_"&amp;$A195,'Investment Strategies'!$AJ:$AV,8,FALSE),
IF(AND(Investment_Strategy="Autopilot",Investment_Strategy_Sub1="Non-Standard"),VLOOKUP(Investment_Strategy&amp;"_"&amp;Investment_Strategy_Sub2&amp;"_"&amp;$A195,'Investment Strategies'!$T:$AF,8,FALSE),
IF(Investment_Strategy ="DIY",DIY_RateofReturn_SP,
"Error")))))),Max_InvReturn)</f>
        <v>0</v>
      </c>
      <c r="M195" s="62">
        <f>IF($AV195=0,0,
IF(Investment_Strategy="DIS",VLOOKUP(Investment_Strategy&amp;"_"&amp;Investment_Strategy_Sub1&amp;"_"&amp;$A195,'Investment Strategies'!$AZ:$BP,15,FALSE),
IF(AND(Investment_Strategy="Lifecycle",Investment_Strategy_Sub1="Non-Standard"),VLOOKUP(Investment_Strategy&amp;"_"&amp;Investment_Strategy_Sub2&amp;"_"&amp;$A195,'Investment Strategies'!$C:$P,12,FALSE),
IF(AND(Investment_Strategy="Lifecycle",Investment_Strategy_Sub1="Standard"),VLOOKUP(Investment_Strategy&amp;"_"&amp;Investment_Strategy_Sub2&amp;"_"&amp;$A195,'Investment Strategies'!$AJ:$AV,11,FALSE),
IF(AND(Investment_Strategy="Autopilot",Investment_Strategy_Sub1="Non-Standard"),VLOOKUP(Investment_Strategy&amp;"_"&amp;Investment_Strategy_Sub2&amp;"_"&amp;$A195,'Investment Strategies'!$T:$AF,11,FALSE),
IF(Investment_Strategy="DIY",DIY_GteeChrge_SP,
"Error"))))))</f>
        <v>0</v>
      </c>
      <c r="N195" s="33">
        <f>IF($AV195=0,0,
IF(Investment_Strategy="DIS",VLOOKUP(Investment_Strategy&amp;"_"&amp;Investment_Strategy_Sub1&amp;"_"&amp;$A195,'Investment Strategies'!$AZ:$BP,17,FALSE),
IF(AND(Investment_Strategy="Lifecycle",Investment_Strategy_Sub1="Non-Standard"),VLOOKUP(Investment_Strategy&amp;"_"&amp;Investment_Strategy_Sub2&amp;"_"&amp;$A195,'Investment Strategies'!$C:$P,14,FALSE),
IF(AND(Investment_Strategy="Lifecycle",Investment_Strategy_Sub1="Standard"),VLOOKUP(Investment_Strategy&amp;"_"&amp;Investment_Strategy_Sub2&amp;"_"&amp;$A195,'Investment Strategies'!$AJ:$AV,13,FALSE),
IF(AND(Investment_Strategy="Autopilot",Investment_Strategy_Sub1="Non-Standard"),VLOOKUP(Investment_Strategy&amp;"_"&amp;Investment_Strategy_Sub2&amp;"_"&amp;$A195,'Investment Strategies'!$T:$AF,13,FALSE),
IF(Investment_Strategy="DIY",DIY_ExtManChrge_SP,
"Error"))))))</f>
        <v>0</v>
      </c>
      <c r="O195" s="16">
        <f t="shared" si="96"/>
        <v>0</v>
      </c>
      <c r="Q195" s="16">
        <f t="shared" si="70"/>
        <v>0</v>
      </c>
      <c r="R195" s="16">
        <f t="shared" si="71"/>
        <v>0</v>
      </c>
      <c r="S195" s="16">
        <f>(SRP_SP+SUM(S$91:S194))*L195*IF(D195=$A$91,SRP_finalmonthfactor,1)</f>
        <v>0</v>
      </c>
      <c r="T195" s="74">
        <f>MIN(IF($AV195=0,0,
IF(Investment_Strategy="DIS",VLOOKUP(Investment_Strategy&amp;"_"&amp;Investment_Strategy_Sub1&amp;"_"&amp;$A195,'Investment Strategies'!$AZ:$BP,12,FALSE),
IF(AND(Investment_Strategy="Lifecycle",Investment_Strategy_Sub1="Non-Standard"),VLOOKUP(Investment_Strategy&amp;"_"&amp;Investment_Strategy_Sub2&amp;"_"&amp;$A195,'Investment Strategies'!$C:$P,9,FALSE),
IF(AND(Investment_Strategy="Lifecycle",Investment_Strategy_Sub1="Standard"),VLOOKUP(Investment_Strategy&amp;"_"&amp;Investment_Strategy_Sub2&amp;"_"&amp;$A195,'Investment Strategies'!$AJ:$AV,8,FALSE),
IF(AND(Investment_Strategy="Autopilot",Investment_Strategy_Sub1="Non-Standard"),VLOOKUP(Investment_Strategy&amp;"_"&amp;Investment_Strategy_Sub2&amp;"_"&amp;$A195,'Investment Strategies'!$T:$AF,8,FALSE),
IF(Investment_Strategy ="DIY",DIY_RateOfReturn_FuturePremiums,
"Error")))))),Max_InvReturn)</f>
        <v>0</v>
      </c>
      <c r="U195" s="62">
        <f>IF($AV195=0,0,
IF(Investment_Strategy="DIS",VLOOKUP(Investment_Strategy&amp;"_"&amp;Investment_Strategy_Sub1&amp;"_"&amp;$A195,'Investment Strategies'!$AZ:$BP,15,FALSE),
IF(AND(Investment_Strategy="Lifecycle",Investment_Strategy_Sub1="Non-Standard"),VLOOKUP(Investment_Strategy&amp;"_"&amp;Investment_Strategy_Sub2&amp;"_"&amp;$A195,'Investment Strategies'!$C:$P,12,FALSE),
IF(AND(Investment_Strategy="Lifecycle",Investment_Strategy_Sub1="Standard"),VLOOKUP(Investment_Strategy&amp;"_"&amp;Investment_Strategy_Sub2&amp;"_"&amp;$A195,'Investment Strategies'!$AJ:$AV,11,FALSE),
IF(AND(Investment_Strategy="Autopilot",Investment_Strategy_Sub1="Non-Standard"),VLOOKUP(Investment_Strategy&amp;"_"&amp;Investment_Strategy_Sub2&amp;"_"&amp;$A195,'Investment Strategies'!$T:$AF,11,FALSE),
IF(Investment_Strategy="DIY",DIY_GteeChrge_FuturePremiums,
"Error"))))))</f>
        <v>0</v>
      </c>
      <c r="V195" s="33">
        <f>IF(AV195=0,0,
IF(Investment_Strategy="DIS",VLOOKUP(Investment_Strategy&amp;"_"&amp;Investment_Strategy_Sub1&amp;"_"&amp;$A195,'Investment Strategies'!$AZ:$BP,17,FALSE),
IF(AND(Investment_Strategy="Lifecycle",Investment_Strategy_Sub1="Non-Standard"),VLOOKUP(Investment_Strategy&amp;"_"&amp;Investment_Strategy_Sub2&amp;"_"&amp;$A195,'Investment Strategies'!$C:$P,14,FALSE),
IF(AND(Investment_Strategy="Lifecycle",Investment_Strategy_Sub1="Standard"),VLOOKUP(Investment_Strategy&amp;"_"&amp;Investment_Strategy_Sub2&amp;"_"&amp;$A195,'Investment Strategies'!$AJ:$AV,13,FALSE),
IF(AND(Investment_Strategy="Autopilot",Investment_Strategy_Sub1="Non-Standard"),VLOOKUP(Investment_Strategy&amp;"_"&amp;Investment_Strategy_Sub2&amp;"_"&amp;$A195,'Investment Strategies'!$T:$AF,13,FALSE),
IF(Investment_Strategy="DIY",DIY_ExtManChrge_FuturePremiums,
"Error"))))))</f>
        <v>0</v>
      </c>
      <c r="W195" s="16">
        <f t="shared" si="97"/>
        <v>0</v>
      </c>
      <c r="X195" s="16">
        <f t="shared" si="72"/>
        <v>0</v>
      </c>
      <c r="Y195" s="16">
        <f t="shared" si="73"/>
        <v>0</v>
      </c>
      <c r="Z195" s="31">
        <f t="shared" si="74"/>
        <v>0.02</v>
      </c>
      <c r="AA195" s="16">
        <f t="shared" si="75"/>
        <v>0</v>
      </c>
      <c r="AB195" s="28">
        <f t="shared" si="98"/>
        <v>0</v>
      </c>
      <c r="AC195" s="28">
        <f>(SUM($AC$91:AC194)+SUM($X$91:X194)+X195)*T195*IF(D195=$A$91,SRP_finalmonthfactor,1)</f>
        <v>0</v>
      </c>
      <c r="AD195" s="16">
        <f t="shared" si="76"/>
        <v>0</v>
      </c>
      <c r="AE195" s="106"/>
      <c r="AF195" s="16">
        <f t="shared" si="85"/>
        <v>0</v>
      </c>
      <c r="AG195" s="16">
        <f t="shared" si="86"/>
        <v>0</v>
      </c>
      <c r="AH195" s="16">
        <f t="shared" si="87"/>
        <v>0</v>
      </c>
      <c r="AJ195" s="13">
        <f t="shared" si="110"/>
        <v>0</v>
      </c>
      <c r="AK195" s="13">
        <f t="shared" si="110"/>
        <v>0</v>
      </c>
      <c r="AL195" s="13">
        <f t="shared" si="110"/>
        <v>0</v>
      </c>
      <c r="AM195" s="13">
        <f t="shared" si="110"/>
        <v>0</v>
      </c>
      <c r="AN195" s="13">
        <f t="shared" si="110"/>
        <v>0</v>
      </c>
      <c r="AO195" s="13">
        <f t="shared" si="110"/>
        <v>1</v>
      </c>
      <c r="AP195" s="13">
        <f t="shared" si="110"/>
        <v>1</v>
      </c>
      <c r="AQ195" s="13">
        <f t="shared" si="110"/>
        <v>1</v>
      </c>
      <c r="AR195" s="13">
        <f t="shared" si="110"/>
        <v>1</v>
      </c>
      <c r="AS195" s="13">
        <f t="shared" si="110"/>
        <v>1</v>
      </c>
      <c r="AT195" s="13">
        <f t="shared" si="110"/>
        <v>1</v>
      </c>
      <c r="AU195" s="13">
        <f t="shared" si="110"/>
        <v>1</v>
      </c>
      <c r="AV195" s="13">
        <f t="shared" si="77"/>
        <v>0</v>
      </c>
      <c r="AW195" s="13">
        <f t="shared" si="78"/>
        <v>1</v>
      </c>
      <c r="AY195" s="17">
        <f t="shared" si="79"/>
        <v>105</v>
      </c>
      <c r="AZ195" s="28">
        <f t="shared" si="88"/>
        <v>0</v>
      </c>
      <c r="BA195" s="13">
        <f t="shared" si="80"/>
        <v>0</v>
      </c>
      <c r="BB195" s="13">
        <f t="shared" si="81"/>
        <v>0</v>
      </c>
      <c r="BC195" s="28">
        <f t="shared" si="89"/>
        <v>0</v>
      </c>
      <c r="BD195" s="28">
        <f t="shared" si="90"/>
        <v>0</v>
      </c>
      <c r="BF195" s="248">
        <f t="shared" si="91"/>
        <v>993869.29442638322</v>
      </c>
      <c r="BG195" s="36">
        <f t="shared" si="99"/>
        <v>0</v>
      </c>
      <c r="BH195" s="36">
        <f t="shared" si="100"/>
        <v>903147.44378208811</v>
      </c>
      <c r="BI195" s="249">
        <f t="shared" si="101"/>
        <v>0</v>
      </c>
      <c r="BJ195" s="246">
        <f t="shared" si="102"/>
        <v>0</v>
      </c>
      <c r="BK195" s="246">
        <f t="shared" si="82"/>
        <v>7.531116566323881E-4</v>
      </c>
      <c r="BL195" s="246">
        <f t="shared" si="103"/>
        <v>0</v>
      </c>
      <c r="BM195" s="246">
        <f t="shared" si="104"/>
        <v>7.531116566323881E-4</v>
      </c>
      <c r="BN195" s="36">
        <f t="shared" si="92"/>
        <v>680.17086757003494</v>
      </c>
      <c r="BO195" s="36">
        <f t="shared" si="105"/>
        <v>0</v>
      </c>
      <c r="BP195" s="36">
        <f t="shared" si="106"/>
        <v>902467.27291451814</v>
      </c>
    </row>
    <row r="196" spans="1:68">
      <c r="A196" s="32">
        <f t="shared" si="93"/>
        <v>-21</v>
      </c>
      <c r="B196" s="32">
        <f t="shared" si="83"/>
        <v>61</v>
      </c>
      <c r="C196" s="32">
        <f t="shared" si="94"/>
        <v>9</v>
      </c>
      <c r="D196" s="32">
        <f t="shared" si="95"/>
        <v>106</v>
      </c>
      <c r="E196" s="74">
        <f>MIN(IF(AV196=0,0,
IF(Investment_Strategy="DIS",VLOOKUP(Investment_Strategy&amp;"_"&amp;Investment_Strategy_Sub1&amp;"_"&amp;$A196,'Investment Strategies'!$AZ:$BP,12,FALSE),
IF(AND(Investment_Strategy="Lifecycle",Investment_Strategy_Sub1="Non-Standard"),VLOOKUP(Investment_Strategy&amp;"_"&amp;Investment_Strategy_Sub2&amp;"_"&amp;$A196,'Investment Strategies'!$C:$P,9,FALSE),
IF(AND(Investment_Strategy="Lifecycle",Investment_Strategy_Sub1="Standard"),VLOOKUP(Investment_Strategy&amp;"_"&amp;Investment_Strategy_Sub2&amp;"_"&amp;$A196,'Investment Strategies'!$AJ:$AV,8,FALSE),
IF(AND(Investment_Strategy="Autopilot",Investment_Strategy_Sub1="Non-Standard"),VLOOKUP(Investment_Strategy&amp;"_"&amp;Investment_Strategy_Sub2&amp;"_"&amp;$A196,'Investment Strategies'!$T:$AF,8,FALSE),
IF(Investment_Strategy ="DIY",DIY_RateOfReturn_CurrentFunds,
"Error")))))),Max_InvReturn)</f>
        <v>0</v>
      </c>
      <c r="F196" s="62">
        <f>IF(AV196=0,0,
IF(Investment_Strategy="DIS",VLOOKUP(Investment_Strategy&amp;"_"&amp;Investment_Strategy_Sub1&amp;"_"&amp;$A196,'Investment Strategies'!$AZ:$BP,15,FALSE),
IF(AND(Investment_Strategy="Lifecycle",Investment_Strategy_Sub1="Non-Standard"),VLOOKUP(Investment_Strategy&amp;"_"&amp;Investment_Strategy_Sub2&amp;"_"&amp;$A196,'Investment Strategies'!$C:$P,12,FALSE),
IF(AND(Investment_Strategy="Lifecycle",Investment_Strategy_Sub1="Standard"),VLOOKUP(Investment_Strategy&amp;"_"&amp;Investment_Strategy_Sub2&amp;"_"&amp;$A196,'Investment Strategies'!$AJ:$AV,11,FALSE),
IF(AND(Investment_Strategy="Autopilot",Investment_Strategy_Sub1="Non-Standard"),VLOOKUP(Investment_Strategy&amp;"_"&amp;Investment_Strategy_Sub2&amp;"_"&amp;$A196,'Investment Strategies'!$T:$AF,11,FALSE),
IF(Investment_Strategy="DIY",DIY_GteeChrge_CurrentFunds,
"Error"))))))</f>
        <v>0</v>
      </c>
      <c r="G196" s="33">
        <f>IF(AV196=0,0,
IF(Investment_Strategy="DIS",VLOOKUP(Investment_Strategy&amp;"_"&amp;Investment_Strategy_Sub1&amp;"_"&amp;$A196,'Investment Strategies'!$AZ:$BP,17,FALSE),
IF(AND(Investment_Strategy="Lifecycle",Investment_Strategy_Sub1="Non-Standard"),VLOOKUP(Investment_Strategy&amp;"_"&amp;Investment_Strategy_Sub2&amp;"_"&amp;$A196,'Investment Strategies'!$C:$P,14,FALSE),
IF(AND(Investment_Strategy="Lifecycle",Investment_Strategy_Sub1="Standard"),VLOOKUP(Investment_Strategy&amp;"_"&amp;Investment_Strategy_Sub2&amp;"_"&amp;$A196,'Investment Strategies'!$AJ:$AV,13,FALSE),
IF(AND(Investment_Strategy="Autopilot",Investment_Strategy_Sub1="Non-Standard"),VLOOKUP(Investment_Strategy&amp;"_"&amp;Investment_Strategy_Sub2&amp;"_"&amp;$A196,'Investment Strategies'!$T:$AF,13,FALSE),
IF(Investment_Strategy="DIY",DIY_ExtManChrge_CurrentFunds,
"Error"))))))</f>
        <v>0</v>
      </c>
      <c r="H196" s="16">
        <f t="shared" si="84"/>
        <v>0</v>
      </c>
      <c r="I196" s="16">
        <f t="shared" si="68"/>
        <v>0</v>
      </c>
      <c r="J196" s="16">
        <f t="shared" si="69"/>
        <v>0</v>
      </c>
      <c r="K196" s="16">
        <f>(Opening_Fund_Value+SUM(K$91:K195))*E196*IF(D196=$A$91,SRP_finalmonthfactor,1)</f>
        <v>0</v>
      </c>
      <c r="L196" s="74">
        <f>MIN(IF($AV196=0,0,
IF(Investment_Strategy="DIS",VLOOKUP(Investment_Strategy&amp;"_"&amp;Investment_Strategy_Sub1&amp;"_"&amp;$A196,'Investment Strategies'!$AZ:$BP,12,FALSE),
IF(AND(Investment_Strategy="Lifecycle",Investment_Strategy_Sub1="Non-Standard"),VLOOKUP(Investment_Strategy&amp;"_"&amp;Investment_Strategy_Sub2&amp;"_"&amp;$A196,'Investment Strategies'!$C:$P,9,FALSE),
IF(AND(Investment_Strategy="Lifecycle",Investment_Strategy_Sub1="Standard"),VLOOKUP(Investment_Strategy&amp;"_"&amp;Investment_Strategy_Sub2&amp;"_"&amp;$A196,'Investment Strategies'!$AJ:$AV,8,FALSE),
IF(AND(Investment_Strategy="Autopilot",Investment_Strategy_Sub1="Non-Standard"),VLOOKUP(Investment_Strategy&amp;"_"&amp;Investment_Strategy_Sub2&amp;"_"&amp;$A196,'Investment Strategies'!$T:$AF,8,FALSE),
IF(Investment_Strategy ="DIY",DIY_RateofReturn_SP,
"Error")))))),Max_InvReturn)</f>
        <v>0</v>
      </c>
      <c r="M196" s="62">
        <f>IF($AV196=0,0,
IF(Investment_Strategy="DIS",VLOOKUP(Investment_Strategy&amp;"_"&amp;Investment_Strategy_Sub1&amp;"_"&amp;$A196,'Investment Strategies'!$AZ:$BP,15,FALSE),
IF(AND(Investment_Strategy="Lifecycle",Investment_Strategy_Sub1="Non-Standard"),VLOOKUP(Investment_Strategy&amp;"_"&amp;Investment_Strategy_Sub2&amp;"_"&amp;$A196,'Investment Strategies'!$C:$P,12,FALSE),
IF(AND(Investment_Strategy="Lifecycle",Investment_Strategy_Sub1="Standard"),VLOOKUP(Investment_Strategy&amp;"_"&amp;Investment_Strategy_Sub2&amp;"_"&amp;$A196,'Investment Strategies'!$AJ:$AV,11,FALSE),
IF(AND(Investment_Strategy="Autopilot",Investment_Strategy_Sub1="Non-Standard"),VLOOKUP(Investment_Strategy&amp;"_"&amp;Investment_Strategy_Sub2&amp;"_"&amp;$A196,'Investment Strategies'!$T:$AF,11,FALSE),
IF(Investment_Strategy="DIY",DIY_GteeChrge_SP,
"Error"))))))</f>
        <v>0</v>
      </c>
      <c r="N196" s="33">
        <f>IF($AV196=0,0,
IF(Investment_Strategy="DIS",VLOOKUP(Investment_Strategy&amp;"_"&amp;Investment_Strategy_Sub1&amp;"_"&amp;$A196,'Investment Strategies'!$AZ:$BP,17,FALSE),
IF(AND(Investment_Strategy="Lifecycle",Investment_Strategy_Sub1="Non-Standard"),VLOOKUP(Investment_Strategy&amp;"_"&amp;Investment_Strategy_Sub2&amp;"_"&amp;$A196,'Investment Strategies'!$C:$P,14,FALSE),
IF(AND(Investment_Strategy="Lifecycle",Investment_Strategy_Sub1="Standard"),VLOOKUP(Investment_Strategy&amp;"_"&amp;Investment_Strategy_Sub2&amp;"_"&amp;$A196,'Investment Strategies'!$AJ:$AV,13,FALSE),
IF(AND(Investment_Strategy="Autopilot",Investment_Strategy_Sub1="Non-Standard"),VLOOKUP(Investment_Strategy&amp;"_"&amp;Investment_Strategy_Sub2&amp;"_"&amp;$A196,'Investment Strategies'!$T:$AF,13,FALSE),
IF(Investment_Strategy="DIY",DIY_ExtManChrge_SP,
"Error"))))))</f>
        <v>0</v>
      </c>
      <c r="O196" s="16">
        <f t="shared" si="96"/>
        <v>0</v>
      </c>
      <c r="Q196" s="16">
        <f t="shared" si="70"/>
        <v>0</v>
      </c>
      <c r="R196" s="16">
        <f t="shared" si="71"/>
        <v>0</v>
      </c>
      <c r="S196" s="16">
        <f>(SRP_SP+SUM(S$91:S195))*L196*IF(D196=$A$91,SRP_finalmonthfactor,1)</f>
        <v>0</v>
      </c>
      <c r="T196" s="74">
        <f>MIN(IF($AV196=0,0,
IF(Investment_Strategy="DIS",VLOOKUP(Investment_Strategy&amp;"_"&amp;Investment_Strategy_Sub1&amp;"_"&amp;$A196,'Investment Strategies'!$AZ:$BP,12,FALSE),
IF(AND(Investment_Strategy="Lifecycle",Investment_Strategy_Sub1="Non-Standard"),VLOOKUP(Investment_Strategy&amp;"_"&amp;Investment_Strategy_Sub2&amp;"_"&amp;$A196,'Investment Strategies'!$C:$P,9,FALSE),
IF(AND(Investment_Strategy="Lifecycle",Investment_Strategy_Sub1="Standard"),VLOOKUP(Investment_Strategy&amp;"_"&amp;Investment_Strategy_Sub2&amp;"_"&amp;$A196,'Investment Strategies'!$AJ:$AV,8,FALSE),
IF(AND(Investment_Strategy="Autopilot",Investment_Strategy_Sub1="Non-Standard"),VLOOKUP(Investment_Strategy&amp;"_"&amp;Investment_Strategy_Sub2&amp;"_"&amp;$A196,'Investment Strategies'!$T:$AF,8,FALSE),
IF(Investment_Strategy ="DIY",DIY_RateOfReturn_FuturePremiums,
"Error")))))),Max_InvReturn)</f>
        <v>0</v>
      </c>
      <c r="U196" s="62">
        <f>IF($AV196=0,0,
IF(Investment_Strategy="DIS",VLOOKUP(Investment_Strategy&amp;"_"&amp;Investment_Strategy_Sub1&amp;"_"&amp;$A196,'Investment Strategies'!$AZ:$BP,15,FALSE),
IF(AND(Investment_Strategy="Lifecycle",Investment_Strategy_Sub1="Non-Standard"),VLOOKUP(Investment_Strategy&amp;"_"&amp;Investment_Strategy_Sub2&amp;"_"&amp;$A196,'Investment Strategies'!$C:$P,12,FALSE),
IF(AND(Investment_Strategy="Lifecycle",Investment_Strategy_Sub1="Standard"),VLOOKUP(Investment_Strategy&amp;"_"&amp;Investment_Strategy_Sub2&amp;"_"&amp;$A196,'Investment Strategies'!$AJ:$AV,11,FALSE),
IF(AND(Investment_Strategy="Autopilot",Investment_Strategy_Sub1="Non-Standard"),VLOOKUP(Investment_Strategy&amp;"_"&amp;Investment_Strategy_Sub2&amp;"_"&amp;$A196,'Investment Strategies'!$T:$AF,11,FALSE),
IF(Investment_Strategy="DIY",DIY_GteeChrge_FuturePremiums,
"Error"))))))</f>
        <v>0</v>
      </c>
      <c r="V196" s="33">
        <f>IF(AV196=0,0,
IF(Investment_Strategy="DIS",VLOOKUP(Investment_Strategy&amp;"_"&amp;Investment_Strategy_Sub1&amp;"_"&amp;$A196,'Investment Strategies'!$AZ:$BP,17,FALSE),
IF(AND(Investment_Strategy="Lifecycle",Investment_Strategy_Sub1="Non-Standard"),VLOOKUP(Investment_Strategy&amp;"_"&amp;Investment_Strategy_Sub2&amp;"_"&amp;$A196,'Investment Strategies'!$C:$P,14,FALSE),
IF(AND(Investment_Strategy="Lifecycle",Investment_Strategy_Sub1="Standard"),VLOOKUP(Investment_Strategy&amp;"_"&amp;Investment_Strategy_Sub2&amp;"_"&amp;$A196,'Investment Strategies'!$AJ:$AV,13,FALSE),
IF(AND(Investment_Strategy="Autopilot",Investment_Strategy_Sub1="Non-Standard"),VLOOKUP(Investment_Strategy&amp;"_"&amp;Investment_Strategy_Sub2&amp;"_"&amp;$A196,'Investment Strategies'!$T:$AF,13,FALSE),
IF(Investment_Strategy="DIY",DIY_ExtManChrge_FuturePremiums,
"Error"))))))</f>
        <v>0</v>
      </c>
      <c r="W196" s="16">
        <f t="shared" si="97"/>
        <v>0</v>
      </c>
      <c r="X196" s="16">
        <f t="shared" si="72"/>
        <v>0</v>
      </c>
      <c r="Y196" s="16">
        <f t="shared" si="73"/>
        <v>0</v>
      </c>
      <c r="Z196" s="31">
        <f t="shared" si="74"/>
        <v>0.02</v>
      </c>
      <c r="AA196" s="16">
        <f t="shared" si="75"/>
        <v>0</v>
      </c>
      <c r="AB196" s="28">
        <f t="shared" si="98"/>
        <v>0</v>
      </c>
      <c r="AC196" s="28">
        <f>(SUM($AC$91:AC195)+SUM($X$91:X195)+X196)*T196*IF(D196=$A$91,SRP_finalmonthfactor,1)</f>
        <v>0</v>
      </c>
      <c r="AD196" s="16">
        <f t="shared" si="76"/>
        <v>0</v>
      </c>
      <c r="AE196" s="106"/>
      <c r="AF196" s="16">
        <f t="shared" si="85"/>
        <v>0</v>
      </c>
      <c r="AG196" s="16">
        <f t="shared" si="86"/>
        <v>0</v>
      </c>
      <c r="AH196" s="16">
        <f t="shared" si="87"/>
        <v>0</v>
      </c>
      <c r="AJ196" s="13">
        <f t="shared" si="110"/>
        <v>0</v>
      </c>
      <c r="AK196" s="13">
        <f t="shared" si="110"/>
        <v>0</v>
      </c>
      <c r="AL196" s="13">
        <f t="shared" si="110"/>
        <v>0</v>
      </c>
      <c r="AM196" s="13">
        <f t="shared" si="110"/>
        <v>0</v>
      </c>
      <c r="AN196" s="13">
        <f t="shared" si="110"/>
        <v>0</v>
      </c>
      <c r="AO196" s="13">
        <f t="shared" si="110"/>
        <v>1</v>
      </c>
      <c r="AP196" s="13">
        <f t="shared" si="110"/>
        <v>1</v>
      </c>
      <c r="AQ196" s="13">
        <f t="shared" si="110"/>
        <v>1</v>
      </c>
      <c r="AR196" s="13">
        <f t="shared" si="110"/>
        <v>1</v>
      </c>
      <c r="AS196" s="13">
        <f t="shared" si="110"/>
        <v>1</v>
      </c>
      <c r="AT196" s="13">
        <f t="shared" si="110"/>
        <v>1</v>
      </c>
      <c r="AU196" s="13">
        <f t="shared" si="110"/>
        <v>1</v>
      </c>
      <c r="AV196" s="13">
        <f t="shared" si="77"/>
        <v>0</v>
      </c>
      <c r="AW196" s="13">
        <f t="shared" si="78"/>
        <v>1</v>
      </c>
      <c r="AY196" s="17">
        <f t="shared" si="79"/>
        <v>106</v>
      </c>
      <c r="AZ196" s="28">
        <f t="shared" si="88"/>
        <v>0</v>
      </c>
      <c r="BA196" s="13">
        <f t="shared" si="80"/>
        <v>0</v>
      </c>
      <c r="BB196" s="13">
        <f t="shared" si="81"/>
        <v>0</v>
      </c>
      <c r="BC196" s="28">
        <f t="shared" si="89"/>
        <v>0</v>
      </c>
      <c r="BD196" s="28">
        <f t="shared" si="90"/>
        <v>0</v>
      </c>
      <c r="BF196" s="248">
        <f t="shared" si="91"/>
        <v>993869.29442638322</v>
      </c>
      <c r="BG196" s="36">
        <f t="shared" si="99"/>
        <v>0</v>
      </c>
      <c r="BH196" s="36">
        <f t="shared" si="100"/>
        <v>902467.27291451814</v>
      </c>
      <c r="BI196" s="249">
        <f t="shared" si="101"/>
        <v>0</v>
      </c>
      <c r="BJ196" s="246">
        <f t="shared" si="102"/>
        <v>0</v>
      </c>
      <c r="BK196" s="246">
        <f t="shared" si="82"/>
        <v>7.531116566323881E-4</v>
      </c>
      <c r="BL196" s="246">
        <f t="shared" si="103"/>
        <v>0</v>
      </c>
      <c r="BM196" s="246">
        <f t="shared" si="104"/>
        <v>7.531116566323881E-4</v>
      </c>
      <c r="BN196" s="36">
        <f t="shared" si="92"/>
        <v>679.65862296116632</v>
      </c>
      <c r="BO196" s="36">
        <f t="shared" si="105"/>
        <v>0</v>
      </c>
      <c r="BP196" s="36">
        <f t="shared" si="106"/>
        <v>901787.61429155699</v>
      </c>
    </row>
    <row r="197" spans="1:68">
      <c r="A197" s="32">
        <f t="shared" si="93"/>
        <v>-22</v>
      </c>
      <c r="B197" s="32">
        <f t="shared" si="83"/>
        <v>61</v>
      </c>
      <c r="C197" s="32">
        <f t="shared" si="94"/>
        <v>9</v>
      </c>
      <c r="D197" s="32">
        <f t="shared" si="95"/>
        <v>107</v>
      </c>
      <c r="E197" s="74">
        <f>MIN(IF(AV197=0,0,
IF(Investment_Strategy="DIS",VLOOKUP(Investment_Strategy&amp;"_"&amp;Investment_Strategy_Sub1&amp;"_"&amp;$A197,'Investment Strategies'!$AZ:$BP,12,FALSE),
IF(AND(Investment_Strategy="Lifecycle",Investment_Strategy_Sub1="Non-Standard"),VLOOKUP(Investment_Strategy&amp;"_"&amp;Investment_Strategy_Sub2&amp;"_"&amp;$A197,'Investment Strategies'!$C:$P,9,FALSE),
IF(AND(Investment_Strategy="Lifecycle",Investment_Strategy_Sub1="Standard"),VLOOKUP(Investment_Strategy&amp;"_"&amp;Investment_Strategy_Sub2&amp;"_"&amp;$A197,'Investment Strategies'!$AJ:$AV,8,FALSE),
IF(AND(Investment_Strategy="Autopilot",Investment_Strategy_Sub1="Non-Standard"),VLOOKUP(Investment_Strategy&amp;"_"&amp;Investment_Strategy_Sub2&amp;"_"&amp;$A197,'Investment Strategies'!$T:$AF,8,FALSE),
IF(Investment_Strategy ="DIY",DIY_RateOfReturn_CurrentFunds,
"Error")))))),Max_InvReturn)</f>
        <v>0</v>
      </c>
      <c r="F197" s="62">
        <f>IF(AV197=0,0,
IF(Investment_Strategy="DIS",VLOOKUP(Investment_Strategy&amp;"_"&amp;Investment_Strategy_Sub1&amp;"_"&amp;$A197,'Investment Strategies'!$AZ:$BP,15,FALSE),
IF(AND(Investment_Strategy="Lifecycle",Investment_Strategy_Sub1="Non-Standard"),VLOOKUP(Investment_Strategy&amp;"_"&amp;Investment_Strategy_Sub2&amp;"_"&amp;$A197,'Investment Strategies'!$C:$P,12,FALSE),
IF(AND(Investment_Strategy="Lifecycle",Investment_Strategy_Sub1="Standard"),VLOOKUP(Investment_Strategy&amp;"_"&amp;Investment_Strategy_Sub2&amp;"_"&amp;$A197,'Investment Strategies'!$AJ:$AV,11,FALSE),
IF(AND(Investment_Strategy="Autopilot",Investment_Strategy_Sub1="Non-Standard"),VLOOKUP(Investment_Strategy&amp;"_"&amp;Investment_Strategy_Sub2&amp;"_"&amp;$A197,'Investment Strategies'!$T:$AF,11,FALSE),
IF(Investment_Strategy="DIY",DIY_GteeChrge_CurrentFunds,
"Error"))))))</f>
        <v>0</v>
      </c>
      <c r="G197" s="33">
        <f>IF(AV197=0,0,
IF(Investment_Strategy="DIS",VLOOKUP(Investment_Strategy&amp;"_"&amp;Investment_Strategy_Sub1&amp;"_"&amp;$A197,'Investment Strategies'!$AZ:$BP,17,FALSE),
IF(AND(Investment_Strategy="Lifecycle",Investment_Strategy_Sub1="Non-Standard"),VLOOKUP(Investment_Strategy&amp;"_"&amp;Investment_Strategy_Sub2&amp;"_"&amp;$A197,'Investment Strategies'!$C:$P,14,FALSE),
IF(AND(Investment_Strategy="Lifecycle",Investment_Strategy_Sub1="Standard"),VLOOKUP(Investment_Strategy&amp;"_"&amp;Investment_Strategy_Sub2&amp;"_"&amp;$A197,'Investment Strategies'!$AJ:$AV,13,FALSE),
IF(AND(Investment_Strategy="Autopilot",Investment_Strategy_Sub1="Non-Standard"),VLOOKUP(Investment_Strategy&amp;"_"&amp;Investment_Strategy_Sub2&amp;"_"&amp;$A197,'Investment Strategies'!$T:$AF,13,FALSE),
IF(Investment_Strategy="DIY",DIY_ExtManChrge_CurrentFunds,
"Error"))))))</f>
        <v>0</v>
      </c>
      <c r="H197" s="16">
        <f t="shared" si="84"/>
        <v>0</v>
      </c>
      <c r="I197" s="16">
        <f t="shared" si="68"/>
        <v>0</v>
      </c>
      <c r="J197" s="16">
        <f t="shared" si="69"/>
        <v>0</v>
      </c>
      <c r="K197" s="16">
        <f>(Opening_Fund_Value+SUM(K$91:K196))*E197*IF(D197=$A$91,SRP_finalmonthfactor,1)</f>
        <v>0</v>
      </c>
      <c r="L197" s="74">
        <f>MIN(IF($AV197=0,0,
IF(Investment_Strategy="DIS",VLOOKUP(Investment_Strategy&amp;"_"&amp;Investment_Strategy_Sub1&amp;"_"&amp;$A197,'Investment Strategies'!$AZ:$BP,12,FALSE),
IF(AND(Investment_Strategy="Lifecycle",Investment_Strategy_Sub1="Non-Standard"),VLOOKUP(Investment_Strategy&amp;"_"&amp;Investment_Strategy_Sub2&amp;"_"&amp;$A197,'Investment Strategies'!$C:$P,9,FALSE),
IF(AND(Investment_Strategy="Lifecycle",Investment_Strategy_Sub1="Standard"),VLOOKUP(Investment_Strategy&amp;"_"&amp;Investment_Strategy_Sub2&amp;"_"&amp;$A197,'Investment Strategies'!$AJ:$AV,8,FALSE),
IF(AND(Investment_Strategy="Autopilot",Investment_Strategy_Sub1="Non-Standard"),VLOOKUP(Investment_Strategy&amp;"_"&amp;Investment_Strategy_Sub2&amp;"_"&amp;$A197,'Investment Strategies'!$T:$AF,8,FALSE),
IF(Investment_Strategy ="DIY",DIY_RateofReturn_SP,
"Error")))))),Max_InvReturn)</f>
        <v>0</v>
      </c>
      <c r="M197" s="62">
        <f>IF($AV197=0,0,
IF(Investment_Strategy="DIS",VLOOKUP(Investment_Strategy&amp;"_"&amp;Investment_Strategy_Sub1&amp;"_"&amp;$A197,'Investment Strategies'!$AZ:$BP,15,FALSE),
IF(AND(Investment_Strategy="Lifecycle",Investment_Strategy_Sub1="Non-Standard"),VLOOKUP(Investment_Strategy&amp;"_"&amp;Investment_Strategy_Sub2&amp;"_"&amp;$A197,'Investment Strategies'!$C:$P,12,FALSE),
IF(AND(Investment_Strategy="Lifecycle",Investment_Strategy_Sub1="Standard"),VLOOKUP(Investment_Strategy&amp;"_"&amp;Investment_Strategy_Sub2&amp;"_"&amp;$A197,'Investment Strategies'!$AJ:$AV,11,FALSE),
IF(AND(Investment_Strategy="Autopilot",Investment_Strategy_Sub1="Non-Standard"),VLOOKUP(Investment_Strategy&amp;"_"&amp;Investment_Strategy_Sub2&amp;"_"&amp;$A197,'Investment Strategies'!$T:$AF,11,FALSE),
IF(Investment_Strategy="DIY",DIY_GteeChrge_SP,
"Error"))))))</f>
        <v>0</v>
      </c>
      <c r="N197" s="33">
        <f>IF($AV197=0,0,
IF(Investment_Strategy="DIS",VLOOKUP(Investment_Strategy&amp;"_"&amp;Investment_Strategy_Sub1&amp;"_"&amp;$A197,'Investment Strategies'!$AZ:$BP,17,FALSE),
IF(AND(Investment_Strategy="Lifecycle",Investment_Strategy_Sub1="Non-Standard"),VLOOKUP(Investment_Strategy&amp;"_"&amp;Investment_Strategy_Sub2&amp;"_"&amp;$A197,'Investment Strategies'!$C:$P,14,FALSE),
IF(AND(Investment_Strategy="Lifecycle",Investment_Strategy_Sub1="Standard"),VLOOKUP(Investment_Strategy&amp;"_"&amp;Investment_Strategy_Sub2&amp;"_"&amp;$A197,'Investment Strategies'!$AJ:$AV,13,FALSE),
IF(AND(Investment_Strategy="Autopilot",Investment_Strategy_Sub1="Non-Standard"),VLOOKUP(Investment_Strategy&amp;"_"&amp;Investment_Strategy_Sub2&amp;"_"&amp;$A197,'Investment Strategies'!$T:$AF,13,FALSE),
IF(Investment_Strategy="DIY",DIY_ExtManChrge_SP,
"Error"))))))</f>
        <v>0</v>
      </c>
      <c r="O197" s="16">
        <f t="shared" si="96"/>
        <v>0</v>
      </c>
      <c r="Q197" s="16">
        <f t="shared" si="70"/>
        <v>0</v>
      </c>
      <c r="R197" s="16">
        <f t="shared" si="71"/>
        <v>0</v>
      </c>
      <c r="S197" s="16">
        <f>(SRP_SP+SUM(S$91:S196))*L197*IF(D197=$A$91,SRP_finalmonthfactor,1)</f>
        <v>0</v>
      </c>
      <c r="T197" s="74">
        <f>MIN(IF($AV197=0,0,
IF(Investment_Strategy="DIS",VLOOKUP(Investment_Strategy&amp;"_"&amp;Investment_Strategy_Sub1&amp;"_"&amp;$A197,'Investment Strategies'!$AZ:$BP,12,FALSE),
IF(AND(Investment_Strategy="Lifecycle",Investment_Strategy_Sub1="Non-Standard"),VLOOKUP(Investment_Strategy&amp;"_"&amp;Investment_Strategy_Sub2&amp;"_"&amp;$A197,'Investment Strategies'!$C:$P,9,FALSE),
IF(AND(Investment_Strategy="Lifecycle",Investment_Strategy_Sub1="Standard"),VLOOKUP(Investment_Strategy&amp;"_"&amp;Investment_Strategy_Sub2&amp;"_"&amp;$A197,'Investment Strategies'!$AJ:$AV,8,FALSE),
IF(AND(Investment_Strategy="Autopilot",Investment_Strategy_Sub1="Non-Standard"),VLOOKUP(Investment_Strategy&amp;"_"&amp;Investment_Strategy_Sub2&amp;"_"&amp;$A197,'Investment Strategies'!$T:$AF,8,FALSE),
IF(Investment_Strategy ="DIY",DIY_RateOfReturn_FuturePremiums,
"Error")))))),Max_InvReturn)</f>
        <v>0</v>
      </c>
      <c r="U197" s="62">
        <f>IF($AV197=0,0,
IF(Investment_Strategy="DIS",VLOOKUP(Investment_Strategy&amp;"_"&amp;Investment_Strategy_Sub1&amp;"_"&amp;$A197,'Investment Strategies'!$AZ:$BP,15,FALSE),
IF(AND(Investment_Strategy="Lifecycle",Investment_Strategy_Sub1="Non-Standard"),VLOOKUP(Investment_Strategy&amp;"_"&amp;Investment_Strategy_Sub2&amp;"_"&amp;$A197,'Investment Strategies'!$C:$P,12,FALSE),
IF(AND(Investment_Strategy="Lifecycle",Investment_Strategy_Sub1="Standard"),VLOOKUP(Investment_Strategy&amp;"_"&amp;Investment_Strategy_Sub2&amp;"_"&amp;$A197,'Investment Strategies'!$AJ:$AV,11,FALSE),
IF(AND(Investment_Strategy="Autopilot",Investment_Strategy_Sub1="Non-Standard"),VLOOKUP(Investment_Strategy&amp;"_"&amp;Investment_Strategy_Sub2&amp;"_"&amp;$A197,'Investment Strategies'!$T:$AF,11,FALSE),
IF(Investment_Strategy="DIY",DIY_GteeChrge_FuturePremiums,
"Error"))))))</f>
        <v>0</v>
      </c>
      <c r="V197" s="33">
        <f>IF(AV197=0,0,
IF(Investment_Strategy="DIS",VLOOKUP(Investment_Strategy&amp;"_"&amp;Investment_Strategy_Sub1&amp;"_"&amp;$A197,'Investment Strategies'!$AZ:$BP,17,FALSE),
IF(AND(Investment_Strategy="Lifecycle",Investment_Strategy_Sub1="Non-Standard"),VLOOKUP(Investment_Strategy&amp;"_"&amp;Investment_Strategy_Sub2&amp;"_"&amp;$A197,'Investment Strategies'!$C:$P,14,FALSE),
IF(AND(Investment_Strategy="Lifecycle",Investment_Strategy_Sub1="Standard"),VLOOKUP(Investment_Strategy&amp;"_"&amp;Investment_Strategy_Sub2&amp;"_"&amp;$A197,'Investment Strategies'!$AJ:$AV,13,FALSE),
IF(AND(Investment_Strategy="Autopilot",Investment_Strategy_Sub1="Non-Standard"),VLOOKUP(Investment_Strategy&amp;"_"&amp;Investment_Strategy_Sub2&amp;"_"&amp;$A197,'Investment Strategies'!$T:$AF,13,FALSE),
IF(Investment_Strategy="DIY",DIY_ExtManChrge_FuturePremiums,
"Error"))))))</f>
        <v>0</v>
      </c>
      <c r="W197" s="16">
        <f t="shared" si="97"/>
        <v>0</v>
      </c>
      <c r="X197" s="16">
        <f t="shared" si="72"/>
        <v>0</v>
      </c>
      <c r="Y197" s="16">
        <f t="shared" si="73"/>
        <v>0</v>
      </c>
      <c r="Z197" s="31">
        <f t="shared" si="74"/>
        <v>0.02</v>
      </c>
      <c r="AA197" s="16">
        <f t="shared" si="75"/>
        <v>0</v>
      </c>
      <c r="AB197" s="28">
        <f t="shared" si="98"/>
        <v>0</v>
      </c>
      <c r="AC197" s="28">
        <f>(SUM($AC$91:AC196)+SUM($X$91:X196)+X197)*T197*IF(D197=$A$91,SRP_finalmonthfactor,1)</f>
        <v>0</v>
      </c>
      <c r="AD197" s="16">
        <f t="shared" si="76"/>
        <v>0</v>
      </c>
      <c r="AE197" s="106"/>
      <c r="AF197" s="16">
        <f t="shared" si="85"/>
        <v>0</v>
      </c>
      <c r="AG197" s="16">
        <f t="shared" si="86"/>
        <v>0</v>
      </c>
      <c r="AH197" s="16">
        <f t="shared" si="87"/>
        <v>0</v>
      </c>
      <c r="AJ197" s="13">
        <f t="shared" si="110"/>
        <v>0</v>
      </c>
      <c r="AK197" s="13">
        <f t="shared" si="110"/>
        <v>0</v>
      </c>
      <c r="AL197" s="13">
        <f t="shared" si="110"/>
        <v>0</v>
      </c>
      <c r="AM197" s="13">
        <f t="shared" si="110"/>
        <v>0</v>
      </c>
      <c r="AN197" s="13">
        <f t="shared" si="110"/>
        <v>0</v>
      </c>
      <c r="AO197" s="13">
        <f t="shared" si="110"/>
        <v>1</v>
      </c>
      <c r="AP197" s="13">
        <f t="shared" si="110"/>
        <v>1</v>
      </c>
      <c r="AQ197" s="13">
        <f t="shared" si="110"/>
        <v>1</v>
      </c>
      <c r="AR197" s="13">
        <f t="shared" si="110"/>
        <v>1</v>
      </c>
      <c r="AS197" s="13">
        <f t="shared" si="110"/>
        <v>1</v>
      </c>
      <c r="AT197" s="13">
        <f t="shared" si="110"/>
        <v>1</v>
      </c>
      <c r="AU197" s="13">
        <f t="shared" si="110"/>
        <v>1</v>
      </c>
      <c r="AV197" s="13">
        <f t="shared" si="77"/>
        <v>0</v>
      </c>
      <c r="AW197" s="13">
        <f t="shared" si="78"/>
        <v>1</v>
      </c>
      <c r="AY197" s="17">
        <f t="shared" si="79"/>
        <v>107</v>
      </c>
      <c r="AZ197" s="28">
        <f t="shared" si="88"/>
        <v>0</v>
      </c>
      <c r="BA197" s="13">
        <f t="shared" si="80"/>
        <v>0</v>
      </c>
      <c r="BB197" s="13">
        <f t="shared" si="81"/>
        <v>0</v>
      </c>
      <c r="BC197" s="28">
        <f t="shared" si="89"/>
        <v>0</v>
      </c>
      <c r="BD197" s="28">
        <f t="shared" si="90"/>
        <v>0</v>
      </c>
      <c r="BF197" s="248">
        <f t="shared" si="91"/>
        <v>993869.29442638322</v>
      </c>
      <c r="BG197" s="36">
        <f t="shared" si="99"/>
        <v>0</v>
      </c>
      <c r="BH197" s="36">
        <f t="shared" si="100"/>
        <v>901787.61429155699</v>
      </c>
      <c r="BI197" s="249">
        <f t="shared" si="101"/>
        <v>0</v>
      </c>
      <c r="BJ197" s="246">
        <f t="shared" si="102"/>
        <v>0</v>
      </c>
      <c r="BK197" s="246">
        <f t="shared" si="82"/>
        <v>7.531116566323881E-4</v>
      </c>
      <c r="BL197" s="246">
        <f t="shared" si="103"/>
        <v>0</v>
      </c>
      <c r="BM197" s="246">
        <f t="shared" si="104"/>
        <v>7.531116566323881E-4</v>
      </c>
      <c r="BN197" s="36">
        <f t="shared" si="92"/>
        <v>679.14676412968356</v>
      </c>
      <c r="BO197" s="36">
        <f t="shared" si="105"/>
        <v>0</v>
      </c>
      <c r="BP197" s="36">
        <f t="shared" si="106"/>
        <v>901108.46752742736</v>
      </c>
    </row>
    <row r="198" spans="1:68">
      <c r="A198" s="32">
        <f t="shared" si="93"/>
        <v>-23</v>
      </c>
      <c r="B198" s="32">
        <f t="shared" si="83"/>
        <v>61</v>
      </c>
      <c r="C198" s="32">
        <f t="shared" si="94"/>
        <v>9</v>
      </c>
      <c r="D198" s="32">
        <f t="shared" si="95"/>
        <v>108</v>
      </c>
      <c r="E198" s="74">
        <f>MIN(IF(AV198=0,0,
IF(Investment_Strategy="DIS",VLOOKUP(Investment_Strategy&amp;"_"&amp;Investment_Strategy_Sub1&amp;"_"&amp;$A198,'Investment Strategies'!$AZ:$BP,12,FALSE),
IF(AND(Investment_Strategy="Lifecycle",Investment_Strategy_Sub1="Non-Standard"),VLOOKUP(Investment_Strategy&amp;"_"&amp;Investment_Strategy_Sub2&amp;"_"&amp;$A198,'Investment Strategies'!$C:$P,9,FALSE),
IF(AND(Investment_Strategy="Lifecycle",Investment_Strategy_Sub1="Standard"),VLOOKUP(Investment_Strategy&amp;"_"&amp;Investment_Strategy_Sub2&amp;"_"&amp;$A198,'Investment Strategies'!$AJ:$AV,8,FALSE),
IF(AND(Investment_Strategy="Autopilot",Investment_Strategy_Sub1="Non-Standard"),VLOOKUP(Investment_Strategy&amp;"_"&amp;Investment_Strategy_Sub2&amp;"_"&amp;$A198,'Investment Strategies'!$T:$AF,8,FALSE),
IF(Investment_Strategy ="DIY",DIY_RateOfReturn_CurrentFunds,
"Error")))))),Max_InvReturn)</f>
        <v>0</v>
      </c>
      <c r="F198" s="62">
        <f>IF(AV198=0,0,
IF(Investment_Strategy="DIS",VLOOKUP(Investment_Strategy&amp;"_"&amp;Investment_Strategy_Sub1&amp;"_"&amp;$A198,'Investment Strategies'!$AZ:$BP,15,FALSE),
IF(AND(Investment_Strategy="Lifecycle",Investment_Strategy_Sub1="Non-Standard"),VLOOKUP(Investment_Strategy&amp;"_"&amp;Investment_Strategy_Sub2&amp;"_"&amp;$A198,'Investment Strategies'!$C:$P,12,FALSE),
IF(AND(Investment_Strategy="Lifecycle",Investment_Strategy_Sub1="Standard"),VLOOKUP(Investment_Strategy&amp;"_"&amp;Investment_Strategy_Sub2&amp;"_"&amp;$A198,'Investment Strategies'!$AJ:$AV,11,FALSE),
IF(AND(Investment_Strategy="Autopilot",Investment_Strategy_Sub1="Non-Standard"),VLOOKUP(Investment_Strategy&amp;"_"&amp;Investment_Strategy_Sub2&amp;"_"&amp;$A198,'Investment Strategies'!$T:$AF,11,FALSE),
IF(Investment_Strategy="DIY",DIY_GteeChrge_CurrentFunds,
"Error"))))))</f>
        <v>0</v>
      </c>
      <c r="G198" s="33">
        <f>IF(AV198=0,0,
IF(Investment_Strategy="DIS",VLOOKUP(Investment_Strategy&amp;"_"&amp;Investment_Strategy_Sub1&amp;"_"&amp;$A198,'Investment Strategies'!$AZ:$BP,17,FALSE),
IF(AND(Investment_Strategy="Lifecycle",Investment_Strategy_Sub1="Non-Standard"),VLOOKUP(Investment_Strategy&amp;"_"&amp;Investment_Strategy_Sub2&amp;"_"&amp;$A198,'Investment Strategies'!$C:$P,14,FALSE),
IF(AND(Investment_Strategy="Lifecycle",Investment_Strategy_Sub1="Standard"),VLOOKUP(Investment_Strategy&amp;"_"&amp;Investment_Strategy_Sub2&amp;"_"&amp;$A198,'Investment Strategies'!$AJ:$AV,13,FALSE),
IF(AND(Investment_Strategy="Autopilot",Investment_Strategy_Sub1="Non-Standard"),VLOOKUP(Investment_Strategy&amp;"_"&amp;Investment_Strategy_Sub2&amp;"_"&amp;$A198,'Investment Strategies'!$T:$AF,13,FALSE),
IF(Investment_Strategy="DIY",DIY_ExtManChrge_CurrentFunds,
"Error"))))))</f>
        <v>0</v>
      </c>
      <c r="H198" s="16">
        <f t="shared" si="84"/>
        <v>0</v>
      </c>
      <c r="I198" s="16">
        <f t="shared" si="68"/>
        <v>0</v>
      </c>
      <c r="J198" s="16">
        <f t="shared" si="69"/>
        <v>0</v>
      </c>
      <c r="K198" s="16">
        <f>(Opening_Fund_Value+SUM(K$91:K197))*E198*IF(D198=$A$91,SRP_finalmonthfactor,1)</f>
        <v>0</v>
      </c>
      <c r="L198" s="74">
        <f>MIN(IF($AV198=0,0,
IF(Investment_Strategy="DIS",VLOOKUP(Investment_Strategy&amp;"_"&amp;Investment_Strategy_Sub1&amp;"_"&amp;$A198,'Investment Strategies'!$AZ:$BP,12,FALSE),
IF(AND(Investment_Strategy="Lifecycle",Investment_Strategy_Sub1="Non-Standard"),VLOOKUP(Investment_Strategy&amp;"_"&amp;Investment_Strategy_Sub2&amp;"_"&amp;$A198,'Investment Strategies'!$C:$P,9,FALSE),
IF(AND(Investment_Strategy="Lifecycle",Investment_Strategy_Sub1="Standard"),VLOOKUP(Investment_Strategy&amp;"_"&amp;Investment_Strategy_Sub2&amp;"_"&amp;$A198,'Investment Strategies'!$AJ:$AV,8,FALSE),
IF(AND(Investment_Strategy="Autopilot",Investment_Strategy_Sub1="Non-Standard"),VLOOKUP(Investment_Strategy&amp;"_"&amp;Investment_Strategy_Sub2&amp;"_"&amp;$A198,'Investment Strategies'!$T:$AF,8,FALSE),
IF(Investment_Strategy ="DIY",DIY_RateofReturn_SP,
"Error")))))),Max_InvReturn)</f>
        <v>0</v>
      </c>
      <c r="M198" s="62">
        <f>IF($AV198=0,0,
IF(Investment_Strategy="DIS",VLOOKUP(Investment_Strategy&amp;"_"&amp;Investment_Strategy_Sub1&amp;"_"&amp;$A198,'Investment Strategies'!$AZ:$BP,15,FALSE),
IF(AND(Investment_Strategy="Lifecycle",Investment_Strategy_Sub1="Non-Standard"),VLOOKUP(Investment_Strategy&amp;"_"&amp;Investment_Strategy_Sub2&amp;"_"&amp;$A198,'Investment Strategies'!$C:$P,12,FALSE),
IF(AND(Investment_Strategy="Lifecycle",Investment_Strategy_Sub1="Standard"),VLOOKUP(Investment_Strategy&amp;"_"&amp;Investment_Strategy_Sub2&amp;"_"&amp;$A198,'Investment Strategies'!$AJ:$AV,11,FALSE),
IF(AND(Investment_Strategy="Autopilot",Investment_Strategy_Sub1="Non-Standard"),VLOOKUP(Investment_Strategy&amp;"_"&amp;Investment_Strategy_Sub2&amp;"_"&amp;$A198,'Investment Strategies'!$T:$AF,11,FALSE),
IF(Investment_Strategy="DIY",DIY_GteeChrge_SP,
"Error"))))))</f>
        <v>0</v>
      </c>
      <c r="N198" s="33">
        <f>IF($AV198=0,0,
IF(Investment_Strategy="DIS",VLOOKUP(Investment_Strategy&amp;"_"&amp;Investment_Strategy_Sub1&amp;"_"&amp;$A198,'Investment Strategies'!$AZ:$BP,17,FALSE),
IF(AND(Investment_Strategy="Lifecycle",Investment_Strategy_Sub1="Non-Standard"),VLOOKUP(Investment_Strategy&amp;"_"&amp;Investment_Strategy_Sub2&amp;"_"&amp;$A198,'Investment Strategies'!$C:$P,14,FALSE),
IF(AND(Investment_Strategy="Lifecycle",Investment_Strategy_Sub1="Standard"),VLOOKUP(Investment_Strategy&amp;"_"&amp;Investment_Strategy_Sub2&amp;"_"&amp;$A198,'Investment Strategies'!$AJ:$AV,13,FALSE),
IF(AND(Investment_Strategy="Autopilot",Investment_Strategy_Sub1="Non-Standard"),VLOOKUP(Investment_Strategy&amp;"_"&amp;Investment_Strategy_Sub2&amp;"_"&amp;$A198,'Investment Strategies'!$T:$AF,13,FALSE),
IF(Investment_Strategy="DIY",DIY_ExtManChrge_SP,
"Error"))))))</f>
        <v>0</v>
      </c>
      <c r="O198" s="16">
        <f t="shared" si="96"/>
        <v>0</v>
      </c>
      <c r="Q198" s="16">
        <f t="shared" si="70"/>
        <v>0</v>
      </c>
      <c r="R198" s="16">
        <f t="shared" si="71"/>
        <v>0</v>
      </c>
      <c r="S198" s="16">
        <f>(SRP_SP+SUM(S$91:S197))*L198*IF(D198=$A$91,SRP_finalmonthfactor,1)</f>
        <v>0</v>
      </c>
      <c r="T198" s="74">
        <f>MIN(IF($AV198=0,0,
IF(Investment_Strategy="DIS",VLOOKUP(Investment_Strategy&amp;"_"&amp;Investment_Strategy_Sub1&amp;"_"&amp;$A198,'Investment Strategies'!$AZ:$BP,12,FALSE),
IF(AND(Investment_Strategy="Lifecycle",Investment_Strategy_Sub1="Non-Standard"),VLOOKUP(Investment_Strategy&amp;"_"&amp;Investment_Strategy_Sub2&amp;"_"&amp;$A198,'Investment Strategies'!$C:$P,9,FALSE),
IF(AND(Investment_Strategy="Lifecycle",Investment_Strategy_Sub1="Standard"),VLOOKUP(Investment_Strategy&amp;"_"&amp;Investment_Strategy_Sub2&amp;"_"&amp;$A198,'Investment Strategies'!$AJ:$AV,8,FALSE),
IF(AND(Investment_Strategy="Autopilot",Investment_Strategy_Sub1="Non-Standard"),VLOOKUP(Investment_Strategy&amp;"_"&amp;Investment_Strategy_Sub2&amp;"_"&amp;$A198,'Investment Strategies'!$T:$AF,8,FALSE),
IF(Investment_Strategy ="DIY",DIY_RateOfReturn_FuturePremiums,
"Error")))))),Max_InvReturn)</f>
        <v>0</v>
      </c>
      <c r="U198" s="62">
        <f>IF($AV198=0,0,
IF(Investment_Strategy="DIS",VLOOKUP(Investment_Strategy&amp;"_"&amp;Investment_Strategy_Sub1&amp;"_"&amp;$A198,'Investment Strategies'!$AZ:$BP,15,FALSE),
IF(AND(Investment_Strategy="Lifecycle",Investment_Strategy_Sub1="Non-Standard"),VLOOKUP(Investment_Strategy&amp;"_"&amp;Investment_Strategy_Sub2&amp;"_"&amp;$A198,'Investment Strategies'!$C:$P,12,FALSE),
IF(AND(Investment_Strategy="Lifecycle",Investment_Strategy_Sub1="Standard"),VLOOKUP(Investment_Strategy&amp;"_"&amp;Investment_Strategy_Sub2&amp;"_"&amp;$A198,'Investment Strategies'!$AJ:$AV,11,FALSE),
IF(AND(Investment_Strategy="Autopilot",Investment_Strategy_Sub1="Non-Standard"),VLOOKUP(Investment_Strategy&amp;"_"&amp;Investment_Strategy_Sub2&amp;"_"&amp;$A198,'Investment Strategies'!$T:$AF,11,FALSE),
IF(Investment_Strategy="DIY",DIY_GteeChrge_FuturePremiums,
"Error"))))))</f>
        <v>0</v>
      </c>
      <c r="V198" s="33">
        <f>IF(AV198=0,0,
IF(Investment_Strategy="DIS",VLOOKUP(Investment_Strategy&amp;"_"&amp;Investment_Strategy_Sub1&amp;"_"&amp;$A198,'Investment Strategies'!$AZ:$BP,17,FALSE),
IF(AND(Investment_Strategy="Lifecycle",Investment_Strategy_Sub1="Non-Standard"),VLOOKUP(Investment_Strategy&amp;"_"&amp;Investment_Strategy_Sub2&amp;"_"&amp;$A198,'Investment Strategies'!$C:$P,14,FALSE),
IF(AND(Investment_Strategy="Lifecycle",Investment_Strategy_Sub1="Standard"),VLOOKUP(Investment_Strategy&amp;"_"&amp;Investment_Strategy_Sub2&amp;"_"&amp;$A198,'Investment Strategies'!$AJ:$AV,13,FALSE),
IF(AND(Investment_Strategy="Autopilot",Investment_Strategy_Sub1="Non-Standard"),VLOOKUP(Investment_Strategy&amp;"_"&amp;Investment_Strategy_Sub2&amp;"_"&amp;$A198,'Investment Strategies'!$T:$AF,13,FALSE),
IF(Investment_Strategy="DIY",DIY_ExtManChrge_FuturePremiums,
"Error"))))))</f>
        <v>0</v>
      </c>
      <c r="W198" s="16">
        <f t="shared" si="97"/>
        <v>0</v>
      </c>
      <c r="X198" s="16">
        <f t="shared" si="72"/>
        <v>0</v>
      </c>
      <c r="Y198" s="16">
        <f t="shared" si="73"/>
        <v>0</v>
      </c>
      <c r="Z198" s="31">
        <f t="shared" si="74"/>
        <v>0.02</v>
      </c>
      <c r="AA198" s="16">
        <f t="shared" si="75"/>
        <v>0</v>
      </c>
      <c r="AB198" s="28">
        <f t="shared" si="98"/>
        <v>0</v>
      </c>
      <c r="AC198" s="28">
        <f>(SUM($AC$91:AC197)+SUM($X$91:X197)+X198)*T198*IF(D198=$A$91,SRP_finalmonthfactor,1)</f>
        <v>0</v>
      </c>
      <c r="AD198" s="16">
        <f t="shared" si="76"/>
        <v>0</v>
      </c>
      <c r="AE198" s="106"/>
      <c r="AF198" s="16">
        <f t="shared" si="85"/>
        <v>0</v>
      </c>
      <c r="AG198" s="16">
        <f t="shared" si="86"/>
        <v>0</v>
      </c>
      <c r="AH198" s="16">
        <f t="shared" si="87"/>
        <v>0</v>
      </c>
      <c r="AJ198" s="13">
        <f t="shared" si="110"/>
        <v>0</v>
      </c>
      <c r="AK198" s="13">
        <f t="shared" si="110"/>
        <v>0</v>
      </c>
      <c r="AL198" s="13">
        <f t="shared" si="110"/>
        <v>0</v>
      </c>
      <c r="AM198" s="13">
        <f t="shared" si="110"/>
        <v>0</v>
      </c>
      <c r="AN198" s="13">
        <f t="shared" si="110"/>
        <v>0</v>
      </c>
      <c r="AO198" s="13">
        <f t="shared" si="110"/>
        <v>1</v>
      </c>
      <c r="AP198" s="13">
        <f t="shared" si="110"/>
        <v>1</v>
      </c>
      <c r="AQ198" s="13">
        <f t="shared" si="110"/>
        <v>1</v>
      </c>
      <c r="AR198" s="13">
        <f t="shared" si="110"/>
        <v>1</v>
      </c>
      <c r="AS198" s="13">
        <f t="shared" si="110"/>
        <v>1</v>
      </c>
      <c r="AT198" s="13">
        <f t="shared" si="110"/>
        <v>1</v>
      </c>
      <c r="AU198" s="13">
        <f t="shared" si="110"/>
        <v>1</v>
      </c>
      <c r="AV198" s="13">
        <f t="shared" si="77"/>
        <v>0</v>
      </c>
      <c r="AW198" s="13">
        <f t="shared" si="78"/>
        <v>1</v>
      </c>
      <c r="AY198" s="17">
        <f t="shared" si="79"/>
        <v>108</v>
      </c>
      <c r="AZ198" s="28">
        <f t="shared" si="88"/>
        <v>0</v>
      </c>
      <c r="BA198" s="13">
        <f t="shared" si="80"/>
        <v>0</v>
      </c>
      <c r="BB198" s="13">
        <f t="shared" si="81"/>
        <v>0</v>
      </c>
      <c r="BC198" s="28">
        <f t="shared" si="89"/>
        <v>0</v>
      </c>
      <c r="BD198" s="28">
        <f t="shared" si="90"/>
        <v>0</v>
      </c>
      <c r="BF198" s="248">
        <f t="shared" si="91"/>
        <v>993869.29442638322</v>
      </c>
      <c r="BG198" s="36">
        <f t="shared" si="99"/>
        <v>0</v>
      </c>
      <c r="BH198" s="36">
        <f t="shared" si="100"/>
        <v>901108.46752742736</v>
      </c>
      <c r="BI198" s="249">
        <f t="shared" si="101"/>
        <v>0</v>
      </c>
      <c r="BJ198" s="246">
        <f t="shared" si="102"/>
        <v>0</v>
      </c>
      <c r="BK198" s="246">
        <f t="shared" si="82"/>
        <v>7.531116566323881E-4</v>
      </c>
      <c r="BL198" s="246">
        <f t="shared" si="103"/>
        <v>0</v>
      </c>
      <c r="BM198" s="246">
        <f t="shared" si="104"/>
        <v>7.531116566323881E-4</v>
      </c>
      <c r="BN198" s="36">
        <f t="shared" si="92"/>
        <v>678.63529078505337</v>
      </c>
      <c r="BO198" s="36">
        <f t="shared" si="105"/>
        <v>0</v>
      </c>
      <c r="BP198" s="36">
        <f t="shared" si="106"/>
        <v>900429.83223664225</v>
      </c>
    </row>
    <row r="199" spans="1:68">
      <c r="A199" s="32">
        <f t="shared" si="93"/>
        <v>-24</v>
      </c>
      <c r="B199" s="32">
        <f t="shared" si="83"/>
        <v>62</v>
      </c>
      <c r="C199" s="32">
        <f t="shared" si="94"/>
        <v>10</v>
      </c>
      <c r="D199" s="32">
        <f t="shared" si="95"/>
        <v>109</v>
      </c>
      <c r="E199" s="74">
        <f>MIN(IF(AV199=0,0,
IF(Investment_Strategy="DIS",VLOOKUP(Investment_Strategy&amp;"_"&amp;Investment_Strategy_Sub1&amp;"_"&amp;$A199,'Investment Strategies'!$AZ:$BP,12,FALSE),
IF(AND(Investment_Strategy="Lifecycle",Investment_Strategy_Sub1="Non-Standard"),VLOOKUP(Investment_Strategy&amp;"_"&amp;Investment_Strategy_Sub2&amp;"_"&amp;$A199,'Investment Strategies'!$C:$P,9,FALSE),
IF(AND(Investment_Strategy="Lifecycle",Investment_Strategy_Sub1="Standard"),VLOOKUP(Investment_Strategy&amp;"_"&amp;Investment_Strategy_Sub2&amp;"_"&amp;$A199,'Investment Strategies'!$AJ:$AV,8,FALSE),
IF(AND(Investment_Strategy="Autopilot",Investment_Strategy_Sub1="Non-Standard"),VLOOKUP(Investment_Strategy&amp;"_"&amp;Investment_Strategy_Sub2&amp;"_"&amp;$A199,'Investment Strategies'!$T:$AF,8,FALSE),
IF(Investment_Strategy ="DIY",DIY_RateOfReturn_CurrentFunds,
"Error")))))),Max_InvReturn)</f>
        <v>0</v>
      </c>
      <c r="F199" s="62">
        <f>IF(AV199=0,0,
IF(Investment_Strategy="DIS",VLOOKUP(Investment_Strategy&amp;"_"&amp;Investment_Strategy_Sub1&amp;"_"&amp;$A199,'Investment Strategies'!$AZ:$BP,15,FALSE),
IF(AND(Investment_Strategy="Lifecycle",Investment_Strategy_Sub1="Non-Standard"),VLOOKUP(Investment_Strategy&amp;"_"&amp;Investment_Strategy_Sub2&amp;"_"&amp;$A199,'Investment Strategies'!$C:$P,12,FALSE),
IF(AND(Investment_Strategy="Lifecycle",Investment_Strategy_Sub1="Standard"),VLOOKUP(Investment_Strategy&amp;"_"&amp;Investment_Strategy_Sub2&amp;"_"&amp;$A199,'Investment Strategies'!$AJ:$AV,11,FALSE),
IF(AND(Investment_Strategy="Autopilot",Investment_Strategy_Sub1="Non-Standard"),VLOOKUP(Investment_Strategy&amp;"_"&amp;Investment_Strategy_Sub2&amp;"_"&amp;$A199,'Investment Strategies'!$T:$AF,11,FALSE),
IF(Investment_Strategy="DIY",DIY_GteeChrge_CurrentFunds,
"Error"))))))</f>
        <v>0</v>
      </c>
      <c r="G199" s="33">
        <f>IF(AV199=0,0,
IF(Investment_Strategy="DIS",VLOOKUP(Investment_Strategy&amp;"_"&amp;Investment_Strategy_Sub1&amp;"_"&amp;$A199,'Investment Strategies'!$AZ:$BP,17,FALSE),
IF(AND(Investment_Strategy="Lifecycle",Investment_Strategy_Sub1="Non-Standard"),VLOOKUP(Investment_Strategy&amp;"_"&amp;Investment_Strategy_Sub2&amp;"_"&amp;$A199,'Investment Strategies'!$C:$P,14,FALSE),
IF(AND(Investment_Strategy="Lifecycle",Investment_Strategy_Sub1="Standard"),VLOOKUP(Investment_Strategy&amp;"_"&amp;Investment_Strategy_Sub2&amp;"_"&amp;$A199,'Investment Strategies'!$AJ:$AV,13,FALSE),
IF(AND(Investment_Strategy="Autopilot",Investment_Strategy_Sub1="Non-Standard"),VLOOKUP(Investment_Strategy&amp;"_"&amp;Investment_Strategy_Sub2&amp;"_"&amp;$A199,'Investment Strategies'!$T:$AF,13,FALSE),
IF(Investment_Strategy="DIY",DIY_ExtManChrge_CurrentFunds,
"Error"))))))</f>
        <v>0</v>
      </c>
      <c r="H199" s="16">
        <f t="shared" si="84"/>
        <v>0</v>
      </c>
      <c r="I199" s="16">
        <f t="shared" si="68"/>
        <v>0</v>
      </c>
      <c r="J199" s="16">
        <f t="shared" si="69"/>
        <v>0</v>
      </c>
      <c r="K199" s="16">
        <f>(Opening_Fund_Value+SUM(K$91:K198))*E199*IF(D199=$A$91,SRP_finalmonthfactor,1)</f>
        <v>0</v>
      </c>
      <c r="L199" s="74">
        <f>MIN(IF($AV199=0,0,
IF(Investment_Strategy="DIS",VLOOKUP(Investment_Strategy&amp;"_"&amp;Investment_Strategy_Sub1&amp;"_"&amp;$A199,'Investment Strategies'!$AZ:$BP,12,FALSE),
IF(AND(Investment_Strategy="Lifecycle",Investment_Strategy_Sub1="Non-Standard"),VLOOKUP(Investment_Strategy&amp;"_"&amp;Investment_Strategy_Sub2&amp;"_"&amp;$A199,'Investment Strategies'!$C:$P,9,FALSE),
IF(AND(Investment_Strategy="Lifecycle",Investment_Strategy_Sub1="Standard"),VLOOKUP(Investment_Strategy&amp;"_"&amp;Investment_Strategy_Sub2&amp;"_"&amp;$A199,'Investment Strategies'!$AJ:$AV,8,FALSE),
IF(AND(Investment_Strategy="Autopilot",Investment_Strategy_Sub1="Non-Standard"),VLOOKUP(Investment_Strategy&amp;"_"&amp;Investment_Strategy_Sub2&amp;"_"&amp;$A199,'Investment Strategies'!$T:$AF,8,FALSE),
IF(Investment_Strategy ="DIY",DIY_RateofReturn_SP,
"Error")))))),Max_InvReturn)</f>
        <v>0</v>
      </c>
      <c r="M199" s="62">
        <f>IF($AV199=0,0,
IF(Investment_Strategy="DIS",VLOOKUP(Investment_Strategy&amp;"_"&amp;Investment_Strategy_Sub1&amp;"_"&amp;$A199,'Investment Strategies'!$AZ:$BP,15,FALSE),
IF(AND(Investment_Strategy="Lifecycle",Investment_Strategy_Sub1="Non-Standard"),VLOOKUP(Investment_Strategy&amp;"_"&amp;Investment_Strategy_Sub2&amp;"_"&amp;$A199,'Investment Strategies'!$C:$P,12,FALSE),
IF(AND(Investment_Strategy="Lifecycle",Investment_Strategy_Sub1="Standard"),VLOOKUP(Investment_Strategy&amp;"_"&amp;Investment_Strategy_Sub2&amp;"_"&amp;$A199,'Investment Strategies'!$AJ:$AV,11,FALSE),
IF(AND(Investment_Strategy="Autopilot",Investment_Strategy_Sub1="Non-Standard"),VLOOKUP(Investment_Strategy&amp;"_"&amp;Investment_Strategy_Sub2&amp;"_"&amp;$A199,'Investment Strategies'!$T:$AF,11,FALSE),
IF(Investment_Strategy="DIY",DIY_GteeChrge_SP,
"Error"))))))</f>
        <v>0</v>
      </c>
      <c r="N199" s="33">
        <f>IF($AV199=0,0,
IF(Investment_Strategy="DIS",VLOOKUP(Investment_Strategy&amp;"_"&amp;Investment_Strategy_Sub1&amp;"_"&amp;$A199,'Investment Strategies'!$AZ:$BP,17,FALSE),
IF(AND(Investment_Strategy="Lifecycle",Investment_Strategy_Sub1="Non-Standard"),VLOOKUP(Investment_Strategy&amp;"_"&amp;Investment_Strategy_Sub2&amp;"_"&amp;$A199,'Investment Strategies'!$C:$P,14,FALSE),
IF(AND(Investment_Strategy="Lifecycle",Investment_Strategy_Sub1="Standard"),VLOOKUP(Investment_Strategy&amp;"_"&amp;Investment_Strategy_Sub2&amp;"_"&amp;$A199,'Investment Strategies'!$AJ:$AV,13,FALSE),
IF(AND(Investment_Strategy="Autopilot",Investment_Strategy_Sub1="Non-Standard"),VLOOKUP(Investment_Strategy&amp;"_"&amp;Investment_Strategy_Sub2&amp;"_"&amp;$A199,'Investment Strategies'!$T:$AF,13,FALSE),
IF(Investment_Strategy="DIY",DIY_ExtManChrge_SP,
"Error"))))))</f>
        <v>0</v>
      </c>
      <c r="O199" s="16">
        <f t="shared" si="96"/>
        <v>0</v>
      </c>
      <c r="Q199" s="16">
        <f t="shared" si="70"/>
        <v>0</v>
      </c>
      <c r="R199" s="16">
        <f t="shared" si="71"/>
        <v>0</v>
      </c>
      <c r="S199" s="16">
        <f>(SRP_SP+SUM(S$91:S198))*L199*IF(D199=$A$91,SRP_finalmonthfactor,1)</f>
        <v>0</v>
      </c>
      <c r="T199" s="74">
        <f>MIN(IF($AV199=0,0,
IF(Investment_Strategy="DIS",VLOOKUP(Investment_Strategy&amp;"_"&amp;Investment_Strategy_Sub1&amp;"_"&amp;$A199,'Investment Strategies'!$AZ:$BP,12,FALSE),
IF(AND(Investment_Strategy="Lifecycle",Investment_Strategy_Sub1="Non-Standard"),VLOOKUP(Investment_Strategy&amp;"_"&amp;Investment_Strategy_Sub2&amp;"_"&amp;$A199,'Investment Strategies'!$C:$P,9,FALSE),
IF(AND(Investment_Strategy="Lifecycle",Investment_Strategy_Sub1="Standard"),VLOOKUP(Investment_Strategy&amp;"_"&amp;Investment_Strategy_Sub2&amp;"_"&amp;$A199,'Investment Strategies'!$AJ:$AV,8,FALSE),
IF(AND(Investment_Strategy="Autopilot",Investment_Strategy_Sub1="Non-Standard"),VLOOKUP(Investment_Strategy&amp;"_"&amp;Investment_Strategy_Sub2&amp;"_"&amp;$A199,'Investment Strategies'!$T:$AF,8,FALSE),
IF(Investment_Strategy ="DIY",DIY_RateOfReturn_FuturePremiums,
"Error")))))),Max_InvReturn)</f>
        <v>0</v>
      </c>
      <c r="U199" s="62">
        <f>IF($AV199=0,0,
IF(Investment_Strategy="DIS",VLOOKUP(Investment_Strategy&amp;"_"&amp;Investment_Strategy_Sub1&amp;"_"&amp;$A199,'Investment Strategies'!$AZ:$BP,15,FALSE),
IF(AND(Investment_Strategy="Lifecycle",Investment_Strategy_Sub1="Non-Standard"),VLOOKUP(Investment_Strategy&amp;"_"&amp;Investment_Strategy_Sub2&amp;"_"&amp;$A199,'Investment Strategies'!$C:$P,12,FALSE),
IF(AND(Investment_Strategy="Lifecycle",Investment_Strategy_Sub1="Standard"),VLOOKUP(Investment_Strategy&amp;"_"&amp;Investment_Strategy_Sub2&amp;"_"&amp;$A199,'Investment Strategies'!$AJ:$AV,11,FALSE),
IF(AND(Investment_Strategy="Autopilot",Investment_Strategy_Sub1="Non-Standard"),VLOOKUP(Investment_Strategy&amp;"_"&amp;Investment_Strategy_Sub2&amp;"_"&amp;$A199,'Investment Strategies'!$T:$AF,11,FALSE),
IF(Investment_Strategy="DIY",DIY_GteeChrge_FuturePremiums,
"Error"))))))</f>
        <v>0</v>
      </c>
      <c r="V199" s="33">
        <f>IF(AV199=0,0,
IF(Investment_Strategy="DIS",VLOOKUP(Investment_Strategy&amp;"_"&amp;Investment_Strategy_Sub1&amp;"_"&amp;$A199,'Investment Strategies'!$AZ:$BP,17,FALSE),
IF(AND(Investment_Strategy="Lifecycle",Investment_Strategy_Sub1="Non-Standard"),VLOOKUP(Investment_Strategy&amp;"_"&amp;Investment_Strategy_Sub2&amp;"_"&amp;$A199,'Investment Strategies'!$C:$P,14,FALSE),
IF(AND(Investment_Strategy="Lifecycle",Investment_Strategy_Sub1="Standard"),VLOOKUP(Investment_Strategy&amp;"_"&amp;Investment_Strategy_Sub2&amp;"_"&amp;$A199,'Investment Strategies'!$AJ:$AV,13,FALSE),
IF(AND(Investment_Strategy="Autopilot",Investment_Strategy_Sub1="Non-Standard"),VLOOKUP(Investment_Strategy&amp;"_"&amp;Investment_Strategy_Sub2&amp;"_"&amp;$A199,'Investment Strategies'!$T:$AF,13,FALSE),
IF(Investment_Strategy="DIY",DIY_ExtManChrge_FuturePremiums,
"Error"))))))</f>
        <v>0</v>
      </c>
      <c r="W199" s="16">
        <f t="shared" si="97"/>
        <v>0</v>
      </c>
      <c r="X199" s="16">
        <f t="shared" si="72"/>
        <v>0</v>
      </c>
      <c r="Y199" s="16">
        <f t="shared" si="73"/>
        <v>0</v>
      </c>
      <c r="Z199" s="31">
        <f t="shared" si="74"/>
        <v>0.02</v>
      </c>
      <c r="AA199" s="16">
        <f t="shared" si="75"/>
        <v>0</v>
      </c>
      <c r="AB199" s="28">
        <f t="shared" si="98"/>
        <v>0</v>
      </c>
      <c r="AC199" s="28">
        <f>(SUM($AC$91:AC198)+SUM($X$91:X198)+X199)*T199*IF(D199=$A$91,SRP_finalmonthfactor,1)</f>
        <v>0</v>
      </c>
      <c r="AD199" s="16">
        <f t="shared" si="76"/>
        <v>0</v>
      </c>
      <c r="AE199" s="106"/>
      <c r="AF199" s="16">
        <f t="shared" si="85"/>
        <v>0</v>
      </c>
      <c r="AG199" s="16">
        <f t="shared" si="86"/>
        <v>0</v>
      </c>
      <c r="AH199" s="16">
        <f t="shared" si="87"/>
        <v>0</v>
      </c>
      <c r="AJ199" s="13">
        <f t="shared" si="110"/>
        <v>0</v>
      </c>
      <c r="AK199" s="13">
        <f t="shared" si="110"/>
        <v>0</v>
      </c>
      <c r="AL199" s="13">
        <f t="shared" si="110"/>
        <v>0</v>
      </c>
      <c r="AM199" s="13">
        <f t="shared" si="110"/>
        <v>0</v>
      </c>
      <c r="AN199" s="13">
        <f t="shared" si="110"/>
        <v>0</v>
      </c>
      <c r="AO199" s="13">
        <f t="shared" si="110"/>
        <v>1</v>
      </c>
      <c r="AP199" s="13">
        <f t="shared" si="110"/>
        <v>1</v>
      </c>
      <c r="AQ199" s="13">
        <f t="shared" si="110"/>
        <v>1</v>
      </c>
      <c r="AR199" s="13">
        <f t="shared" si="110"/>
        <v>1</v>
      </c>
      <c r="AS199" s="13">
        <f t="shared" si="110"/>
        <v>1</v>
      </c>
      <c r="AT199" s="13">
        <f t="shared" si="110"/>
        <v>1</v>
      </c>
      <c r="AU199" s="13">
        <f t="shared" si="110"/>
        <v>1</v>
      </c>
      <c r="AV199" s="13">
        <f t="shared" si="77"/>
        <v>0</v>
      </c>
      <c r="AW199" s="13">
        <f t="shared" si="78"/>
        <v>1</v>
      </c>
      <c r="AY199" s="17">
        <f t="shared" si="79"/>
        <v>109</v>
      </c>
      <c r="AZ199" s="28">
        <f t="shared" si="88"/>
        <v>0</v>
      </c>
      <c r="BA199" s="13">
        <f t="shared" si="80"/>
        <v>0</v>
      </c>
      <c r="BB199" s="13">
        <f t="shared" si="81"/>
        <v>0</v>
      </c>
      <c r="BC199" s="28">
        <f t="shared" si="89"/>
        <v>0</v>
      </c>
      <c r="BD199" s="28">
        <f t="shared" si="90"/>
        <v>0</v>
      </c>
      <c r="BF199" s="248">
        <f t="shared" si="91"/>
        <v>993869.29442638322</v>
      </c>
      <c r="BG199" s="36">
        <f t="shared" si="99"/>
        <v>0</v>
      </c>
      <c r="BH199" s="36">
        <f t="shared" si="100"/>
        <v>900429.83223664225</v>
      </c>
      <c r="BI199" s="249">
        <f t="shared" si="101"/>
        <v>0</v>
      </c>
      <c r="BJ199" s="246">
        <f t="shared" si="102"/>
        <v>0</v>
      </c>
      <c r="BK199" s="246">
        <f t="shared" si="82"/>
        <v>7.531116566323881E-4</v>
      </c>
      <c r="BL199" s="246">
        <f t="shared" si="103"/>
        <v>0</v>
      </c>
      <c r="BM199" s="246">
        <f t="shared" si="104"/>
        <v>7.531116566323881E-4</v>
      </c>
      <c r="BN199" s="36">
        <f t="shared" si="92"/>
        <v>678.12420263696094</v>
      </c>
      <c r="BO199" s="36">
        <f t="shared" si="105"/>
        <v>0</v>
      </c>
      <c r="BP199" s="36">
        <f t="shared" si="106"/>
        <v>899751.70803400525</v>
      </c>
    </row>
    <row r="200" spans="1:68">
      <c r="A200" s="32">
        <f t="shared" si="93"/>
        <v>-25</v>
      </c>
      <c r="B200" s="32">
        <f t="shared" si="83"/>
        <v>62</v>
      </c>
      <c r="C200" s="32">
        <f t="shared" si="94"/>
        <v>10</v>
      </c>
      <c r="D200" s="32">
        <f t="shared" si="95"/>
        <v>110</v>
      </c>
      <c r="E200" s="74">
        <f>MIN(IF(AV200=0,0,
IF(Investment_Strategy="DIS",VLOOKUP(Investment_Strategy&amp;"_"&amp;Investment_Strategy_Sub1&amp;"_"&amp;$A200,'Investment Strategies'!$AZ:$BP,12,FALSE),
IF(AND(Investment_Strategy="Lifecycle",Investment_Strategy_Sub1="Non-Standard"),VLOOKUP(Investment_Strategy&amp;"_"&amp;Investment_Strategy_Sub2&amp;"_"&amp;$A200,'Investment Strategies'!$C:$P,9,FALSE),
IF(AND(Investment_Strategy="Lifecycle",Investment_Strategy_Sub1="Standard"),VLOOKUP(Investment_Strategy&amp;"_"&amp;Investment_Strategy_Sub2&amp;"_"&amp;$A200,'Investment Strategies'!$AJ:$AV,8,FALSE),
IF(AND(Investment_Strategy="Autopilot",Investment_Strategy_Sub1="Non-Standard"),VLOOKUP(Investment_Strategy&amp;"_"&amp;Investment_Strategy_Sub2&amp;"_"&amp;$A200,'Investment Strategies'!$T:$AF,8,FALSE),
IF(Investment_Strategy ="DIY",DIY_RateOfReturn_CurrentFunds,
"Error")))))),Max_InvReturn)</f>
        <v>0</v>
      </c>
      <c r="F200" s="62">
        <f>IF(AV200=0,0,
IF(Investment_Strategy="DIS",VLOOKUP(Investment_Strategy&amp;"_"&amp;Investment_Strategy_Sub1&amp;"_"&amp;$A200,'Investment Strategies'!$AZ:$BP,15,FALSE),
IF(AND(Investment_Strategy="Lifecycle",Investment_Strategy_Sub1="Non-Standard"),VLOOKUP(Investment_Strategy&amp;"_"&amp;Investment_Strategy_Sub2&amp;"_"&amp;$A200,'Investment Strategies'!$C:$P,12,FALSE),
IF(AND(Investment_Strategy="Lifecycle",Investment_Strategy_Sub1="Standard"),VLOOKUP(Investment_Strategy&amp;"_"&amp;Investment_Strategy_Sub2&amp;"_"&amp;$A200,'Investment Strategies'!$AJ:$AV,11,FALSE),
IF(AND(Investment_Strategy="Autopilot",Investment_Strategy_Sub1="Non-Standard"),VLOOKUP(Investment_Strategy&amp;"_"&amp;Investment_Strategy_Sub2&amp;"_"&amp;$A200,'Investment Strategies'!$T:$AF,11,FALSE),
IF(Investment_Strategy="DIY",DIY_GteeChrge_CurrentFunds,
"Error"))))))</f>
        <v>0</v>
      </c>
      <c r="G200" s="33">
        <f>IF(AV200=0,0,
IF(Investment_Strategy="DIS",VLOOKUP(Investment_Strategy&amp;"_"&amp;Investment_Strategy_Sub1&amp;"_"&amp;$A200,'Investment Strategies'!$AZ:$BP,17,FALSE),
IF(AND(Investment_Strategy="Lifecycle",Investment_Strategy_Sub1="Non-Standard"),VLOOKUP(Investment_Strategy&amp;"_"&amp;Investment_Strategy_Sub2&amp;"_"&amp;$A200,'Investment Strategies'!$C:$P,14,FALSE),
IF(AND(Investment_Strategy="Lifecycle",Investment_Strategy_Sub1="Standard"),VLOOKUP(Investment_Strategy&amp;"_"&amp;Investment_Strategy_Sub2&amp;"_"&amp;$A200,'Investment Strategies'!$AJ:$AV,13,FALSE),
IF(AND(Investment_Strategy="Autopilot",Investment_Strategy_Sub1="Non-Standard"),VLOOKUP(Investment_Strategy&amp;"_"&amp;Investment_Strategy_Sub2&amp;"_"&amp;$A200,'Investment Strategies'!$T:$AF,13,FALSE),
IF(Investment_Strategy="DIY",DIY_ExtManChrge_CurrentFunds,
"Error"))))))</f>
        <v>0</v>
      </c>
      <c r="H200" s="16">
        <f t="shared" si="84"/>
        <v>0</v>
      </c>
      <c r="I200" s="16">
        <f t="shared" si="68"/>
        <v>0</v>
      </c>
      <c r="J200" s="16">
        <f t="shared" si="69"/>
        <v>0</v>
      </c>
      <c r="K200" s="16">
        <f>(Opening_Fund_Value+SUM(K$91:K199))*E200*IF(D200=$A$91,SRP_finalmonthfactor,1)</f>
        <v>0</v>
      </c>
      <c r="L200" s="74">
        <f>MIN(IF($AV200=0,0,
IF(Investment_Strategy="DIS",VLOOKUP(Investment_Strategy&amp;"_"&amp;Investment_Strategy_Sub1&amp;"_"&amp;$A200,'Investment Strategies'!$AZ:$BP,12,FALSE),
IF(AND(Investment_Strategy="Lifecycle",Investment_Strategy_Sub1="Non-Standard"),VLOOKUP(Investment_Strategy&amp;"_"&amp;Investment_Strategy_Sub2&amp;"_"&amp;$A200,'Investment Strategies'!$C:$P,9,FALSE),
IF(AND(Investment_Strategy="Lifecycle",Investment_Strategy_Sub1="Standard"),VLOOKUP(Investment_Strategy&amp;"_"&amp;Investment_Strategy_Sub2&amp;"_"&amp;$A200,'Investment Strategies'!$AJ:$AV,8,FALSE),
IF(AND(Investment_Strategy="Autopilot",Investment_Strategy_Sub1="Non-Standard"),VLOOKUP(Investment_Strategy&amp;"_"&amp;Investment_Strategy_Sub2&amp;"_"&amp;$A200,'Investment Strategies'!$T:$AF,8,FALSE),
IF(Investment_Strategy ="DIY",DIY_RateofReturn_SP,
"Error")))))),Max_InvReturn)</f>
        <v>0</v>
      </c>
      <c r="M200" s="62">
        <f>IF($AV200=0,0,
IF(Investment_Strategy="DIS",VLOOKUP(Investment_Strategy&amp;"_"&amp;Investment_Strategy_Sub1&amp;"_"&amp;$A200,'Investment Strategies'!$AZ:$BP,15,FALSE),
IF(AND(Investment_Strategy="Lifecycle",Investment_Strategy_Sub1="Non-Standard"),VLOOKUP(Investment_Strategy&amp;"_"&amp;Investment_Strategy_Sub2&amp;"_"&amp;$A200,'Investment Strategies'!$C:$P,12,FALSE),
IF(AND(Investment_Strategy="Lifecycle",Investment_Strategy_Sub1="Standard"),VLOOKUP(Investment_Strategy&amp;"_"&amp;Investment_Strategy_Sub2&amp;"_"&amp;$A200,'Investment Strategies'!$AJ:$AV,11,FALSE),
IF(AND(Investment_Strategy="Autopilot",Investment_Strategy_Sub1="Non-Standard"),VLOOKUP(Investment_Strategy&amp;"_"&amp;Investment_Strategy_Sub2&amp;"_"&amp;$A200,'Investment Strategies'!$T:$AF,11,FALSE),
IF(Investment_Strategy="DIY",DIY_GteeChrge_SP,
"Error"))))))</f>
        <v>0</v>
      </c>
      <c r="N200" s="33">
        <f>IF($AV200=0,0,
IF(Investment_Strategy="DIS",VLOOKUP(Investment_Strategy&amp;"_"&amp;Investment_Strategy_Sub1&amp;"_"&amp;$A200,'Investment Strategies'!$AZ:$BP,17,FALSE),
IF(AND(Investment_Strategy="Lifecycle",Investment_Strategy_Sub1="Non-Standard"),VLOOKUP(Investment_Strategy&amp;"_"&amp;Investment_Strategy_Sub2&amp;"_"&amp;$A200,'Investment Strategies'!$C:$P,14,FALSE),
IF(AND(Investment_Strategy="Lifecycle",Investment_Strategy_Sub1="Standard"),VLOOKUP(Investment_Strategy&amp;"_"&amp;Investment_Strategy_Sub2&amp;"_"&amp;$A200,'Investment Strategies'!$AJ:$AV,13,FALSE),
IF(AND(Investment_Strategy="Autopilot",Investment_Strategy_Sub1="Non-Standard"),VLOOKUP(Investment_Strategy&amp;"_"&amp;Investment_Strategy_Sub2&amp;"_"&amp;$A200,'Investment Strategies'!$T:$AF,13,FALSE),
IF(Investment_Strategy="DIY",DIY_ExtManChrge_SP,
"Error"))))))</f>
        <v>0</v>
      </c>
      <c r="O200" s="16">
        <f t="shared" si="96"/>
        <v>0</v>
      </c>
      <c r="Q200" s="16">
        <f t="shared" si="70"/>
        <v>0</v>
      </c>
      <c r="R200" s="16">
        <f t="shared" si="71"/>
        <v>0</v>
      </c>
      <c r="S200" s="16">
        <f>(SRP_SP+SUM(S$91:S199))*L200*IF(D200=$A$91,SRP_finalmonthfactor,1)</f>
        <v>0</v>
      </c>
      <c r="T200" s="74">
        <f>MIN(IF($AV200=0,0,
IF(Investment_Strategy="DIS",VLOOKUP(Investment_Strategy&amp;"_"&amp;Investment_Strategy_Sub1&amp;"_"&amp;$A200,'Investment Strategies'!$AZ:$BP,12,FALSE),
IF(AND(Investment_Strategy="Lifecycle",Investment_Strategy_Sub1="Non-Standard"),VLOOKUP(Investment_Strategy&amp;"_"&amp;Investment_Strategy_Sub2&amp;"_"&amp;$A200,'Investment Strategies'!$C:$P,9,FALSE),
IF(AND(Investment_Strategy="Lifecycle",Investment_Strategy_Sub1="Standard"),VLOOKUP(Investment_Strategy&amp;"_"&amp;Investment_Strategy_Sub2&amp;"_"&amp;$A200,'Investment Strategies'!$AJ:$AV,8,FALSE),
IF(AND(Investment_Strategy="Autopilot",Investment_Strategy_Sub1="Non-Standard"),VLOOKUP(Investment_Strategy&amp;"_"&amp;Investment_Strategy_Sub2&amp;"_"&amp;$A200,'Investment Strategies'!$T:$AF,8,FALSE),
IF(Investment_Strategy ="DIY",DIY_RateOfReturn_FuturePremiums,
"Error")))))),Max_InvReturn)</f>
        <v>0</v>
      </c>
      <c r="U200" s="62">
        <f>IF($AV200=0,0,
IF(Investment_Strategy="DIS",VLOOKUP(Investment_Strategy&amp;"_"&amp;Investment_Strategy_Sub1&amp;"_"&amp;$A200,'Investment Strategies'!$AZ:$BP,15,FALSE),
IF(AND(Investment_Strategy="Lifecycle",Investment_Strategy_Sub1="Non-Standard"),VLOOKUP(Investment_Strategy&amp;"_"&amp;Investment_Strategy_Sub2&amp;"_"&amp;$A200,'Investment Strategies'!$C:$P,12,FALSE),
IF(AND(Investment_Strategy="Lifecycle",Investment_Strategy_Sub1="Standard"),VLOOKUP(Investment_Strategy&amp;"_"&amp;Investment_Strategy_Sub2&amp;"_"&amp;$A200,'Investment Strategies'!$AJ:$AV,11,FALSE),
IF(AND(Investment_Strategy="Autopilot",Investment_Strategy_Sub1="Non-Standard"),VLOOKUP(Investment_Strategy&amp;"_"&amp;Investment_Strategy_Sub2&amp;"_"&amp;$A200,'Investment Strategies'!$T:$AF,11,FALSE),
IF(Investment_Strategy="DIY",DIY_GteeChrge_FuturePremiums,
"Error"))))))</f>
        <v>0</v>
      </c>
      <c r="V200" s="33">
        <f>IF(AV200=0,0,
IF(Investment_Strategy="DIS",VLOOKUP(Investment_Strategy&amp;"_"&amp;Investment_Strategy_Sub1&amp;"_"&amp;$A200,'Investment Strategies'!$AZ:$BP,17,FALSE),
IF(AND(Investment_Strategy="Lifecycle",Investment_Strategy_Sub1="Non-Standard"),VLOOKUP(Investment_Strategy&amp;"_"&amp;Investment_Strategy_Sub2&amp;"_"&amp;$A200,'Investment Strategies'!$C:$P,14,FALSE),
IF(AND(Investment_Strategy="Lifecycle",Investment_Strategy_Sub1="Standard"),VLOOKUP(Investment_Strategy&amp;"_"&amp;Investment_Strategy_Sub2&amp;"_"&amp;$A200,'Investment Strategies'!$AJ:$AV,13,FALSE),
IF(AND(Investment_Strategy="Autopilot",Investment_Strategy_Sub1="Non-Standard"),VLOOKUP(Investment_Strategy&amp;"_"&amp;Investment_Strategy_Sub2&amp;"_"&amp;$A200,'Investment Strategies'!$T:$AF,13,FALSE),
IF(Investment_Strategy="DIY",DIY_ExtManChrge_FuturePremiums,
"Error"))))))</f>
        <v>0</v>
      </c>
      <c r="W200" s="16">
        <f t="shared" si="97"/>
        <v>0</v>
      </c>
      <c r="X200" s="16">
        <f t="shared" si="72"/>
        <v>0</v>
      </c>
      <c r="Y200" s="16">
        <f t="shared" si="73"/>
        <v>0</v>
      </c>
      <c r="Z200" s="31">
        <f t="shared" si="74"/>
        <v>0.02</v>
      </c>
      <c r="AA200" s="16">
        <f t="shared" si="75"/>
        <v>0</v>
      </c>
      <c r="AB200" s="28">
        <f t="shared" si="98"/>
        <v>0</v>
      </c>
      <c r="AC200" s="28">
        <f>(SUM($AC$91:AC199)+SUM($X$91:X199)+X200)*T200*IF(D200=$A$91,SRP_finalmonthfactor,1)</f>
        <v>0</v>
      </c>
      <c r="AD200" s="16">
        <f t="shared" si="76"/>
        <v>0</v>
      </c>
      <c r="AE200" s="106"/>
      <c r="AF200" s="16">
        <f t="shared" si="85"/>
        <v>0</v>
      </c>
      <c r="AG200" s="16">
        <f t="shared" si="86"/>
        <v>0</v>
      </c>
      <c r="AH200" s="16">
        <f t="shared" si="87"/>
        <v>0</v>
      </c>
      <c r="AJ200" s="13">
        <f t="shared" si="110"/>
        <v>0</v>
      </c>
      <c r="AK200" s="13">
        <f t="shared" si="110"/>
        <v>0</v>
      </c>
      <c r="AL200" s="13">
        <f t="shared" si="110"/>
        <v>0</v>
      </c>
      <c r="AM200" s="13">
        <f t="shared" si="110"/>
        <v>0</v>
      </c>
      <c r="AN200" s="13">
        <f t="shared" si="110"/>
        <v>0</v>
      </c>
      <c r="AO200" s="13">
        <f t="shared" si="110"/>
        <v>1</v>
      </c>
      <c r="AP200" s="13">
        <f t="shared" si="110"/>
        <v>1</v>
      </c>
      <c r="AQ200" s="13">
        <f t="shared" si="110"/>
        <v>1</v>
      </c>
      <c r="AR200" s="13">
        <f t="shared" si="110"/>
        <v>1</v>
      </c>
      <c r="AS200" s="13">
        <f t="shared" si="110"/>
        <v>1</v>
      </c>
      <c r="AT200" s="13">
        <f t="shared" si="110"/>
        <v>1</v>
      </c>
      <c r="AU200" s="13">
        <f t="shared" si="110"/>
        <v>1</v>
      </c>
      <c r="AV200" s="13">
        <f t="shared" si="77"/>
        <v>0</v>
      </c>
      <c r="AW200" s="13">
        <f t="shared" si="78"/>
        <v>1</v>
      </c>
      <c r="AY200" s="17">
        <f t="shared" si="79"/>
        <v>110</v>
      </c>
      <c r="AZ200" s="28">
        <f t="shared" si="88"/>
        <v>0</v>
      </c>
      <c r="BA200" s="13">
        <f t="shared" si="80"/>
        <v>0</v>
      </c>
      <c r="BB200" s="13">
        <f t="shared" si="81"/>
        <v>0</v>
      </c>
      <c r="BC200" s="28">
        <f t="shared" si="89"/>
        <v>0</v>
      </c>
      <c r="BD200" s="28">
        <f t="shared" si="90"/>
        <v>0</v>
      </c>
      <c r="BF200" s="248">
        <f t="shared" si="91"/>
        <v>993869.29442638322</v>
      </c>
      <c r="BG200" s="36">
        <f t="shared" si="99"/>
        <v>0</v>
      </c>
      <c r="BH200" s="36">
        <f t="shared" si="100"/>
        <v>899751.70803400525</v>
      </c>
      <c r="BI200" s="249">
        <f t="shared" si="101"/>
        <v>0</v>
      </c>
      <c r="BJ200" s="246">
        <f t="shared" si="102"/>
        <v>0</v>
      </c>
      <c r="BK200" s="246">
        <f t="shared" si="82"/>
        <v>7.531116566323881E-4</v>
      </c>
      <c r="BL200" s="246">
        <f t="shared" si="103"/>
        <v>0</v>
      </c>
      <c r="BM200" s="246">
        <f t="shared" si="104"/>
        <v>7.531116566323881E-4</v>
      </c>
      <c r="BN200" s="36">
        <f t="shared" si="92"/>
        <v>677.61349939531044</v>
      </c>
      <c r="BO200" s="36">
        <f t="shared" si="105"/>
        <v>0</v>
      </c>
      <c r="BP200" s="36">
        <f t="shared" si="106"/>
        <v>899074.09453460993</v>
      </c>
    </row>
    <row r="201" spans="1:68">
      <c r="A201" s="32">
        <f t="shared" si="93"/>
        <v>-26</v>
      </c>
      <c r="B201" s="32">
        <f t="shared" si="83"/>
        <v>62</v>
      </c>
      <c r="C201" s="32">
        <f t="shared" si="94"/>
        <v>10</v>
      </c>
      <c r="D201" s="32">
        <f t="shared" si="95"/>
        <v>111</v>
      </c>
      <c r="E201" s="74">
        <f>MIN(IF(AV201=0,0,
IF(Investment_Strategy="DIS",VLOOKUP(Investment_Strategy&amp;"_"&amp;Investment_Strategy_Sub1&amp;"_"&amp;$A201,'Investment Strategies'!$AZ:$BP,12,FALSE),
IF(AND(Investment_Strategy="Lifecycle",Investment_Strategy_Sub1="Non-Standard"),VLOOKUP(Investment_Strategy&amp;"_"&amp;Investment_Strategy_Sub2&amp;"_"&amp;$A201,'Investment Strategies'!$C:$P,9,FALSE),
IF(AND(Investment_Strategy="Lifecycle",Investment_Strategy_Sub1="Standard"),VLOOKUP(Investment_Strategy&amp;"_"&amp;Investment_Strategy_Sub2&amp;"_"&amp;$A201,'Investment Strategies'!$AJ:$AV,8,FALSE),
IF(AND(Investment_Strategy="Autopilot",Investment_Strategy_Sub1="Non-Standard"),VLOOKUP(Investment_Strategy&amp;"_"&amp;Investment_Strategy_Sub2&amp;"_"&amp;$A201,'Investment Strategies'!$T:$AF,8,FALSE),
IF(Investment_Strategy ="DIY",DIY_RateOfReturn_CurrentFunds,
"Error")))))),Max_InvReturn)</f>
        <v>0</v>
      </c>
      <c r="F201" s="62">
        <f>IF(AV201=0,0,
IF(Investment_Strategy="DIS",VLOOKUP(Investment_Strategy&amp;"_"&amp;Investment_Strategy_Sub1&amp;"_"&amp;$A201,'Investment Strategies'!$AZ:$BP,15,FALSE),
IF(AND(Investment_Strategy="Lifecycle",Investment_Strategy_Sub1="Non-Standard"),VLOOKUP(Investment_Strategy&amp;"_"&amp;Investment_Strategy_Sub2&amp;"_"&amp;$A201,'Investment Strategies'!$C:$P,12,FALSE),
IF(AND(Investment_Strategy="Lifecycle",Investment_Strategy_Sub1="Standard"),VLOOKUP(Investment_Strategy&amp;"_"&amp;Investment_Strategy_Sub2&amp;"_"&amp;$A201,'Investment Strategies'!$AJ:$AV,11,FALSE),
IF(AND(Investment_Strategy="Autopilot",Investment_Strategy_Sub1="Non-Standard"),VLOOKUP(Investment_Strategy&amp;"_"&amp;Investment_Strategy_Sub2&amp;"_"&amp;$A201,'Investment Strategies'!$T:$AF,11,FALSE),
IF(Investment_Strategy="DIY",DIY_GteeChrge_CurrentFunds,
"Error"))))))</f>
        <v>0</v>
      </c>
      <c r="G201" s="33">
        <f>IF(AV201=0,0,
IF(Investment_Strategy="DIS",VLOOKUP(Investment_Strategy&amp;"_"&amp;Investment_Strategy_Sub1&amp;"_"&amp;$A201,'Investment Strategies'!$AZ:$BP,17,FALSE),
IF(AND(Investment_Strategy="Lifecycle",Investment_Strategy_Sub1="Non-Standard"),VLOOKUP(Investment_Strategy&amp;"_"&amp;Investment_Strategy_Sub2&amp;"_"&amp;$A201,'Investment Strategies'!$C:$P,14,FALSE),
IF(AND(Investment_Strategy="Lifecycle",Investment_Strategy_Sub1="Standard"),VLOOKUP(Investment_Strategy&amp;"_"&amp;Investment_Strategy_Sub2&amp;"_"&amp;$A201,'Investment Strategies'!$AJ:$AV,13,FALSE),
IF(AND(Investment_Strategy="Autopilot",Investment_Strategy_Sub1="Non-Standard"),VLOOKUP(Investment_Strategy&amp;"_"&amp;Investment_Strategy_Sub2&amp;"_"&amp;$A201,'Investment Strategies'!$T:$AF,13,FALSE),
IF(Investment_Strategy="DIY",DIY_ExtManChrge_CurrentFunds,
"Error"))))))</f>
        <v>0</v>
      </c>
      <c r="H201" s="16">
        <f t="shared" si="84"/>
        <v>0</v>
      </c>
      <c r="I201" s="16">
        <f t="shared" si="68"/>
        <v>0</v>
      </c>
      <c r="J201" s="16">
        <f t="shared" si="69"/>
        <v>0</v>
      </c>
      <c r="K201" s="16">
        <f>(Opening_Fund_Value+SUM(K$91:K200))*E201*IF(D201=$A$91,SRP_finalmonthfactor,1)</f>
        <v>0</v>
      </c>
      <c r="L201" s="74">
        <f>MIN(IF($AV201=0,0,
IF(Investment_Strategy="DIS",VLOOKUP(Investment_Strategy&amp;"_"&amp;Investment_Strategy_Sub1&amp;"_"&amp;$A201,'Investment Strategies'!$AZ:$BP,12,FALSE),
IF(AND(Investment_Strategy="Lifecycle",Investment_Strategy_Sub1="Non-Standard"),VLOOKUP(Investment_Strategy&amp;"_"&amp;Investment_Strategy_Sub2&amp;"_"&amp;$A201,'Investment Strategies'!$C:$P,9,FALSE),
IF(AND(Investment_Strategy="Lifecycle",Investment_Strategy_Sub1="Standard"),VLOOKUP(Investment_Strategy&amp;"_"&amp;Investment_Strategy_Sub2&amp;"_"&amp;$A201,'Investment Strategies'!$AJ:$AV,8,FALSE),
IF(AND(Investment_Strategy="Autopilot",Investment_Strategy_Sub1="Non-Standard"),VLOOKUP(Investment_Strategy&amp;"_"&amp;Investment_Strategy_Sub2&amp;"_"&amp;$A201,'Investment Strategies'!$T:$AF,8,FALSE),
IF(Investment_Strategy ="DIY",DIY_RateofReturn_SP,
"Error")))))),Max_InvReturn)</f>
        <v>0</v>
      </c>
      <c r="M201" s="62">
        <f>IF($AV201=0,0,
IF(Investment_Strategy="DIS",VLOOKUP(Investment_Strategy&amp;"_"&amp;Investment_Strategy_Sub1&amp;"_"&amp;$A201,'Investment Strategies'!$AZ:$BP,15,FALSE),
IF(AND(Investment_Strategy="Lifecycle",Investment_Strategy_Sub1="Non-Standard"),VLOOKUP(Investment_Strategy&amp;"_"&amp;Investment_Strategy_Sub2&amp;"_"&amp;$A201,'Investment Strategies'!$C:$P,12,FALSE),
IF(AND(Investment_Strategy="Lifecycle",Investment_Strategy_Sub1="Standard"),VLOOKUP(Investment_Strategy&amp;"_"&amp;Investment_Strategy_Sub2&amp;"_"&amp;$A201,'Investment Strategies'!$AJ:$AV,11,FALSE),
IF(AND(Investment_Strategy="Autopilot",Investment_Strategy_Sub1="Non-Standard"),VLOOKUP(Investment_Strategy&amp;"_"&amp;Investment_Strategy_Sub2&amp;"_"&amp;$A201,'Investment Strategies'!$T:$AF,11,FALSE),
IF(Investment_Strategy="DIY",DIY_GteeChrge_SP,
"Error"))))))</f>
        <v>0</v>
      </c>
      <c r="N201" s="33">
        <f>IF($AV201=0,0,
IF(Investment_Strategy="DIS",VLOOKUP(Investment_Strategy&amp;"_"&amp;Investment_Strategy_Sub1&amp;"_"&amp;$A201,'Investment Strategies'!$AZ:$BP,17,FALSE),
IF(AND(Investment_Strategy="Lifecycle",Investment_Strategy_Sub1="Non-Standard"),VLOOKUP(Investment_Strategy&amp;"_"&amp;Investment_Strategy_Sub2&amp;"_"&amp;$A201,'Investment Strategies'!$C:$P,14,FALSE),
IF(AND(Investment_Strategy="Lifecycle",Investment_Strategy_Sub1="Standard"),VLOOKUP(Investment_Strategy&amp;"_"&amp;Investment_Strategy_Sub2&amp;"_"&amp;$A201,'Investment Strategies'!$AJ:$AV,13,FALSE),
IF(AND(Investment_Strategy="Autopilot",Investment_Strategy_Sub1="Non-Standard"),VLOOKUP(Investment_Strategy&amp;"_"&amp;Investment_Strategy_Sub2&amp;"_"&amp;$A201,'Investment Strategies'!$T:$AF,13,FALSE),
IF(Investment_Strategy="DIY",DIY_ExtManChrge_SP,
"Error"))))))</f>
        <v>0</v>
      </c>
      <c r="O201" s="16">
        <f t="shared" si="96"/>
        <v>0</v>
      </c>
      <c r="Q201" s="16">
        <f t="shared" si="70"/>
        <v>0</v>
      </c>
      <c r="R201" s="16">
        <f t="shared" si="71"/>
        <v>0</v>
      </c>
      <c r="S201" s="16">
        <f>(SRP_SP+SUM(S$91:S200))*L201*IF(D201=$A$91,SRP_finalmonthfactor,1)</f>
        <v>0</v>
      </c>
      <c r="T201" s="74">
        <f>MIN(IF($AV201=0,0,
IF(Investment_Strategy="DIS",VLOOKUP(Investment_Strategy&amp;"_"&amp;Investment_Strategy_Sub1&amp;"_"&amp;$A201,'Investment Strategies'!$AZ:$BP,12,FALSE),
IF(AND(Investment_Strategy="Lifecycle",Investment_Strategy_Sub1="Non-Standard"),VLOOKUP(Investment_Strategy&amp;"_"&amp;Investment_Strategy_Sub2&amp;"_"&amp;$A201,'Investment Strategies'!$C:$P,9,FALSE),
IF(AND(Investment_Strategy="Lifecycle",Investment_Strategy_Sub1="Standard"),VLOOKUP(Investment_Strategy&amp;"_"&amp;Investment_Strategy_Sub2&amp;"_"&amp;$A201,'Investment Strategies'!$AJ:$AV,8,FALSE),
IF(AND(Investment_Strategy="Autopilot",Investment_Strategy_Sub1="Non-Standard"),VLOOKUP(Investment_Strategy&amp;"_"&amp;Investment_Strategy_Sub2&amp;"_"&amp;$A201,'Investment Strategies'!$T:$AF,8,FALSE),
IF(Investment_Strategy ="DIY",DIY_RateOfReturn_FuturePremiums,
"Error")))))),Max_InvReturn)</f>
        <v>0</v>
      </c>
      <c r="U201" s="62">
        <f>IF($AV201=0,0,
IF(Investment_Strategy="DIS",VLOOKUP(Investment_Strategy&amp;"_"&amp;Investment_Strategy_Sub1&amp;"_"&amp;$A201,'Investment Strategies'!$AZ:$BP,15,FALSE),
IF(AND(Investment_Strategy="Lifecycle",Investment_Strategy_Sub1="Non-Standard"),VLOOKUP(Investment_Strategy&amp;"_"&amp;Investment_Strategy_Sub2&amp;"_"&amp;$A201,'Investment Strategies'!$C:$P,12,FALSE),
IF(AND(Investment_Strategy="Lifecycle",Investment_Strategy_Sub1="Standard"),VLOOKUP(Investment_Strategy&amp;"_"&amp;Investment_Strategy_Sub2&amp;"_"&amp;$A201,'Investment Strategies'!$AJ:$AV,11,FALSE),
IF(AND(Investment_Strategy="Autopilot",Investment_Strategy_Sub1="Non-Standard"),VLOOKUP(Investment_Strategy&amp;"_"&amp;Investment_Strategy_Sub2&amp;"_"&amp;$A201,'Investment Strategies'!$T:$AF,11,FALSE),
IF(Investment_Strategy="DIY",DIY_GteeChrge_FuturePremiums,
"Error"))))))</f>
        <v>0</v>
      </c>
      <c r="V201" s="33">
        <f>IF(AV201=0,0,
IF(Investment_Strategy="DIS",VLOOKUP(Investment_Strategy&amp;"_"&amp;Investment_Strategy_Sub1&amp;"_"&amp;$A201,'Investment Strategies'!$AZ:$BP,17,FALSE),
IF(AND(Investment_Strategy="Lifecycle",Investment_Strategy_Sub1="Non-Standard"),VLOOKUP(Investment_Strategy&amp;"_"&amp;Investment_Strategy_Sub2&amp;"_"&amp;$A201,'Investment Strategies'!$C:$P,14,FALSE),
IF(AND(Investment_Strategy="Lifecycle",Investment_Strategy_Sub1="Standard"),VLOOKUP(Investment_Strategy&amp;"_"&amp;Investment_Strategy_Sub2&amp;"_"&amp;$A201,'Investment Strategies'!$AJ:$AV,13,FALSE),
IF(AND(Investment_Strategy="Autopilot",Investment_Strategy_Sub1="Non-Standard"),VLOOKUP(Investment_Strategy&amp;"_"&amp;Investment_Strategy_Sub2&amp;"_"&amp;$A201,'Investment Strategies'!$T:$AF,13,FALSE),
IF(Investment_Strategy="DIY",DIY_ExtManChrge_FuturePremiums,
"Error"))))))</f>
        <v>0</v>
      </c>
      <c r="W201" s="16">
        <f t="shared" si="97"/>
        <v>0</v>
      </c>
      <c r="X201" s="16">
        <f t="shared" si="72"/>
        <v>0</v>
      </c>
      <c r="Y201" s="16">
        <f t="shared" si="73"/>
        <v>0</v>
      </c>
      <c r="Z201" s="31">
        <f t="shared" si="74"/>
        <v>0.02</v>
      </c>
      <c r="AA201" s="16">
        <f t="shared" si="75"/>
        <v>0</v>
      </c>
      <c r="AB201" s="28">
        <f t="shared" si="98"/>
        <v>0</v>
      </c>
      <c r="AC201" s="28">
        <f>(SUM($AC$91:AC200)+SUM($X$91:X200)+X201)*T201*IF(D201=$A$91,SRP_finalmonthfactor,1)</f>
        <v>0</v>
      </c>
      <c r="AD201" s="16">
        <f t="shared" si="76"/>
        <v>0</v>
      </c>
      <c r="AE201" s="106"/>
      <c r="AF201" s="16">
        <f t="shared" si="85"/>
        <v>0</v>
      </c>
      <c r="AG201" s="16">
        <f t="shared" si="86"/>
        <v>0</v>
      </c>
      <c r="AH201" s="16">
        <f t="shared" si="87"/>
        <v>0</v>
      </c>
      <c r="AJ201" s="13">
        <f t="shared" ref="AJ201:AU210" si="111">IF($C201&lt;=AJ$90,1,0)</f>
        <v>0</v>
      </c>
      <c r="AK201" s="13">
        <f t="shared" si="111"/>
        <v>0</v>
      </c>
      <c r="AL201" s="13">
        <f t="shared" si="111"/>
        <v>0</v>
      </c>
      <c r="AM201" s="13">
        <f t="shared" si="111"/>
        <v>0</v>
      </c>
      <c r="AN201" s="13">
        <f t="shared" si="111"/>
        <v>0</v>
      </c>
      <c r="AO201" s="13">
        <f t="shared" si="111"/>
        <v>1</v>
      </c>
      <c r="AP201" s="13">
        <f t="shared" si="111"/>
        <v>1</v>
      </c>
      <c r="AQ201" s="13">
        <f t="shared" si="111"/>
        <v>1</v>
      </c>
      <c r="AR201" s="13">
        <f t="shared" si="111"/>
        <v>1</v>
      </c>
      <c r="AS201" s="13">
        <f t="shared" si="111"/>
        <v>1</v>
      </c>
      <c r="AT201" s="13">
        <f t="shared" si="111"/>
        <v>1</v>
      </c>
      <c r="AU201" s="13">
        <f t="shared" si="111"/>
        <v>1</v>
      </c>
      <c r="AV201" s="13">
        <f t="shared" si="77"/>
        <v>0</v>
      </c>
      <c r="AW201" s="13">
        <f t="shared" si="78"/>
        <v>1</v>
      </c>
      <c r="AY201" s="17">
        <f t="shared" si="79"/>
        <v>111</v>
      </c>
      <c r="AZ201" s="28">
        <f t="shared" si="88"/>
        <v>0</v>
      </c>
      <c r="BA201" s="13">
        <f t="shared" si="80"/>
        <v>0</v>
      </c>
      <c r="BB201" s="13">
        <f t="shared" si="81"/>
        <v>0</v>
      </c>
      <c r="BC201" s="28">
        <f t="shared" si="89"/>
        <v>0</v>
      </c>
      <c r="BD201" s="28">
        <f t="shared" si="90"/>
        <v>0</v>
      </c>
      <c r="BF201" s="248">
        <f t="shared" si="91"/>
        <v>993869.29442638322</v>
      </c>
      <c r="BG201" s="36">
        <f t="shared" si="99"/>
        <v>0</v>
      </c>
      <c r="BH201" s="36">
        <f t="shared" si="100"/>
        <v>899074.09453460993</v>
      </c>
      <c r="BI201" s="249">
        <f t="shared" si="101"/>
        <v>0</v>
      </c>
      <c r="BJ201" s="246">
        <f t="shared" si="102"/>
        <v>0</v>
      </c>
      <c r="BK201" s="246">
        <f t="shared" si="82"/>
        <v>7.531116566323881E-4</v>
      </c>
      <c r="BL201" s="246">
        <f t="shared" si="103"/>
        <v>0</v>
      </c>
      <c r="BM201" s="246">
        <f t="shared" si="104"/>
        <v>7.531116566323881E-4</v>
      </c>
      <c r="BN201" s="36">
        <f t="shared" si="92"/>
        <v>677.10318077022441</v>
      </c>
      <c r="BO201" s="36">
        <f t="shared" si="105"/>
        <v>0</v>
      </c>
      <c r="BP201" s="36">
        <f t="shared" si="106"/>
        <v>898396.99135383975</v>
      </c>
    </row>
    <row r="202" spans="1:68">
      <c r="A202" s="32">
        <f t="shared" si="93"/>
        <v>-27</v>
      </c>
      <c r="B202" s="32">
        <f t="shared" si="83"/>
        <v>62</v>
      </c>
      <c r="C202" s="32">
        <f t="shared" si="94"/>
        <v>10</v>
      </c>
      <c r="D202" s="32">
        <f t="shared" si="95"/>
        <v>112</v>
      </c>
      <c r="E202" s="74">
        <f>MIN(IF(AV202=0,0,
IF(Investment_Strategy="DIS",VLOOKUP(Investment_Strategy&amp;"_"&amp;Investment_Strategy_Sub1&amp;"_"&amp;$A202,'Investment Strategies'!$AZ:$BP,12,FALSE),
IF(AND(Investment_Strategy="Lifecycle",Investment_Strategy_Sub1="Non-Standard"),VLOOKUP(Investment_Strategy&amp;"_"&amp;Investment_Strategy_Sub2&amp;"_"&amp;$A202,'Investment Strategies'!$C:$P,9,FALSE),
IF(AND(Investment_Strategy="Lifecycle",Investment_Strategy_Sub1="Standard"),VLOOKUP(Investment_Strategy&amp;"_"&amp;Investment_Strategy_Sub2&amp;"_"&amp;$A202,'Investment Strategies'!$AJ:$AV,8,FALSE),
IF(AND(Investment_Strategy="Autopilot",Investment_Strategy_Sub1="Non-Standard"),VLOOKUP(Investment_Strategy&amp;"_"&amp;Investment_Strategy_Sub2&amp;"_"&amp;$A202,'Investment Strategies'!$T:$AF,8,FALSE),
IF(Investment_Strategy ="DIY",DIY_RateOfReturn_CurrentFunds,
"Error")))))),Max_InvReturn)</f>
        <v>0</v>
      </c>
      <c r="F202" s="62">
        <f>IF(AV202=0,0,
IF(Investment_Strategy="DIS",VLOOKUP(Investment_Strategy&amp;"_"&amp;Investment_Strategy_Sub1&amp;"_"&amp;$A202,'Investment Strategies'!$AZ:$BP,15,FALSE),
IF(AND(Investment_Strategy="Lifecycle",Investment_Strategy_Sub1="Non-Standard"),VLOOKUP(Investment_Strategy&amp;"_"&amp;Investment_Strategy_Sub2&amp;"_"&amp;$A202,'Investment Strategies'!$C:$P,12,FALSE),
IF(AND(Investment_Strategy="Lifecycle",Investment_Strategy_Sub1="Standard"),VLOOKUP(Investment_Strategy&amp;"_"&amp;Investment_Strategy_Sub2&amp;"_"&amp;$A202,'Investment Strategies'!$AJ:$AV,11,FALSE),
IF(AND(Investment_Strategy="Autopilot",Investment_Strategy_Sub1="Non-Standard"),VLOOKUP(Investment_Strategy&amp;"_"&amp;Investment_Strategy_Sub2&amp;"_"&amp;$A202,'Investment Strategies'!$T:$AF,11,FALSE),
IF(Investment_Strategy="DIY",DIY_GteeChrge_CurrentFunds,
"Error"))))))</f>
        <v>0</v>
      </c>
      <c r="G202" s="33">
        <f>IF(AV202=0,0,
IF(Investment_Strategy="DIS",VLOOKUP(Investment_Strategy&amp;"_"&amp;Investment_Strategy_Sub1&amp;"_"&amp;$A202,'Investment Strategies'!$AZ:$BP,17,FALSE),
IF(AND(Investment_Strategy="Lifecycle",Investment_Strategy_Sub1="Non-Standard"),VLOOKUP(Investment_Strategy&amp;"_"&amp;Investment_Strategy_Sub2&amp;"_"&amp;$A202,'Investment Strategies'!$C:$P,14,FALSE),
IF(AND(Investment_Strategy="Lifecycle",Investment_Strategy_Sub1="Standard"),VLOOKUP(Investment_Strategy&amp;"_"&amp;Investment_Strategy_Sub2&amp;"_"&amp;$A202,'Investment Strategies'!$AJ:$AV,13,FALSE),
IF(AND(Investment_Strategy="Autopilot",Investment_Strategy_Sub1="Non-Standard"),VLOOKUP(Investment_Strategy&amp;"_"&amp;Investment_Strategy_Sub2&amp;"_"&amp;$A202,'Investment Strategies'!$T:$AF,13,FALSE),
IF(Investment_Strategy="DIY",DIY_ExtManChrge_CurrentFunds,
"Error"))))))</f>
        <v>0</v>
      </c>
      <c r="H202" s="16">
        <f t="shared" si="84"/>
        <v>0</v>
      </c>
      <c r="I202" s="16">
        <f t="shared" si="68"/>
        <v>0</v>
      </c>
      <c r="J202" s="16">
        <f t="shared" si="69"/>
        <v>0</v>
      </c>
      <c r="K202" s="16">
        <f>(Opening_Fund_Value+SUM(K$91:K201))*E202*IF(D202=$A$91,SRP_finalmonthfactor,1)</f>
        <v>0</v>
      </c>
      <c r="L202" s="74">
        <f>MIN(IF($AV202=0,0,
IF(Investment_Strategy="DIS",VLOOKUP(Investment_Strategy&amp;"_"&amp;Investment_Strategy_Sub1&amp;"_"&amp;$A202,'Investment Strategies'!$AZ:$BP,12,FALSE),
IF(AND(Investment_Strategy="Lifecycle",Investment_Strategy_Sub1="Non-Standard"),VLOOKUP(Investment_Strategy&amp;"_"&amp;Investment_Strategy_Sub2&amp;"_"&amp;$A202,'Investment Strategies'!$C:$P,9,FALSE),
IF(AND(Investment_Strategy="Lifecycle",Investment_Strategy_Sub1="Standard"),VLOOKUP(Investment_Strategy&amp;"_"&amp;Investment_Strategy_Sub2&amp;"_"&amp;$A202,'Investment Strategies'!$AJ:$AV,8,FALSE),
IF(AND(Investment_Strategy="Autopilot",Investment_Strategy_Sub1="Non-Standard"),VLOOKUP(Investment_Strategy&amp;"_"&amp;Investment_Strategy_Sub2&amp;"_"&amp;$A202,'Investment Strategies'!$T:$AF,8,FALSE),
IF(Investment_Strategy ="DIY",DIY_RateofReturn_SP,
"Error")))))),Max_InvReturn)</f>
        <v>0</v>
      </c>
      <c r="M202" s="62">
        <f>IF($AV202=0,0,
IF(Investment_Strategy="DIS",VLOOKUP(Investment_Strategy&amp;"_"&amp;Investment_Strategy_Sub1&amp;"_"&amp;$A202,'Investment Strategies'!$AZ:$BP,15,FALSE),
IF(AND(Investment_Strategy="Lifecycle",Investment_Strategy_Sub1="Non-Standard"),VLOOKUP(Investment_Strategy&amp;"_"&amp;Investment_Strategy_Sub2&amp;"_"&amp;$A202,'Investment Strategies'!$C:$P,12,FALSE),
IF(AND(Investment_Strategy="Lifecycle",Investment_Strategy_Sub1="Standard"),VLOOKUP(Investment_Strategy&amp;"_"&amp;Investment_Strategy_Sub2&amp;"_"&amp;$A202,'Investment Strategies'!$AJ:$AV,11,FALSE),
IF(AND(Investment_Strategy="Autopilot",Investment_Strategy_Sub1="Non-Standard"),VLOOKUP(Investment_Strategy&amp;"_"&amp;Investment_Strategy_Sub2&amp;"_"&amp;$A202,'Investment Strategies'!$T:$AF,11,FALSE),
IF(Investment_Strategy="DIY",DIY_GteeChrge_SP,
"Error"))))))</f>
        <v>0</v>
      </c>
      <c r="N202" s="33">
        <f>IF($AV202=0,0,
IF(Investment_Strategy="DIS",VLOOKUP(Investment_Strategy&amp;"_"&amp;Investment_Strategy_Sub1&amp;"_"&amp;$A202,'Investment Strategies'!$AZ:$BP,17,FALSE),
IF(AND(Investment_Strategy="Lifecycle",Investment_Strategy_Sub1="Non-Standard"),VLOOKUP(Investment_Strategy&amp;"_"&amp;Investment_Strategy_Sub2&amp;"_"&amp;$A202,'Investment Strategies'!$C:$P,14,FALSE),
IF(AND(Investment_Strategy="Lifecycle",Investment_Strategy_Sub1="Standard"),VLOOKUP(Investment_Strategy&amp;"_"&amp;Investment_Strategy_Sub2&amp;"_"&amp;$A202,'Investment Strategies'!$AJ:$AV,13,FALSE),
IF(AND(Investment_Strategy="Autopilot",Investment_Strategy_Sub1="Non-Standard"),VLOOKUP(Investment_Strategy&amp;"_"&amp;Investment_Strategy_Sub2&amp;"_"&amp;$A202,'Investment Strategies'!$T:$AF,13,FALSE),
IF(Investment_Strategy="DIY",DIY_ExtManChrge_SP,
"Error"))))))</f>
        <v>0</v>
      </c>
      <c r="O202" s="16">
        <f t="shared" si="96"/>
        <v>0</v>
      </c>
      <c r="Q202" s="16">
        <f t="shared" si="70"/>
        <v>0</v>
      </c>
      <c r="R202" s="16">
        <f t="shared" si="71"/>
        <v>0</v>
      </c>
      <c r="S202" s="16">
        <f>(SRP_SP+SUM(S$91:S201))*L202*IF(D202=$A$91,SRP_finalmonthfactor,1)</f>
        <v>0</v>
      </c>
      <c r="T202" s="74">
        <f>MIN(IF($AV202=0,0,
IF(Investment_Strategy="DIS",VLOOKUP(Investment_Strategy&amp;"_"&amp;Investment_Strategy_Sub1&amp;"_"&amp;$A202,'Investment Strategies'!$AZ:$BP,12,FALSE),
IF(AND(Investment_Strategy="Lifecycle",Investment_Strategy_Sub1="Non-Standard"),VLOOKUP(Investment_Strategy&amp;"_"&amp;Investment_Strategy_Sub2&amp;"_"&amp;$A202,'Investment Strategies'!$C:$P,9,FALSE),
IF(AND(Investment_Strategy="Lifecycle",Investment_Strategy_Sub1="Standard"),VLOOKUP(Investment_Strategy&amp;"_"&amp;Investment_Strategy_Sub2&amp;"_"&amp;$A202,'Investment Strategies'!$AJ:$AV,8,FALSE),
IF(AND(Investment_Strategy="Autopilot",Investment_Strategy_Sub1="Non-Standard"),VLOOKUP(Investment_Strategy&amp;"_"&amp;Investment_Strategy_Sub2&amp;"_"&amp;$A202,'Investment Strategies'!$T:$AF,8,FALSE),
IF(Investment_Strategy ="DIY",DIY_RateOfReturn_FuturePremiums,
"Error")))))),Max_InvReturn)</f>
        <v>0</v>
      </c>
      <c r="U202" s="62">
        <f>IF($AV202=0,0,
IF(Investment_Strategy="DIS",VLOOKUP(Investment_Strategy&amp;"_"&amp;Investment_Strategy_Sub1&amp;"_"&amp;$A202,'Investment Strategies'!$AZ:$BP,15,FALSE),
IF(AND(Investment_Strategy="Lifecycle",Investment_Strategy_Sub1="Non-Standard"),VLOOKUP(Investment_Strategy&amp;"_"&amp;Investment_Strategy_Sub2&amp;"_"&amp;$A202,'Investment Strategies'!$C:$P,12,FALSE),
IF(AND(Investment_Strategy="Lifecycle",Investment_Strategy_Sub1="Standard"),VLOOKUP(Investment_Strategy&amp;"_"&amp;Investment_Strategy_Sub2&amp;"_"&amp;$A202,'Investment Strategies'!$AJ:$AV,11,FALSE),
IF(AND(Investment_Strategy="Autopilot",Investment_Strategy_Sub1="Non-Standard"),VLOOKUP(Investment_Strategy&amp;"_"&amp;Investment_Strategy_Sub2&amp;"_"&amp;$A202,'Investment Strategies'!$T:$AF,11,FALSE),
IF(Investment_Strategy="DIY",DIY_GteeChrge_FuturePremiums,
"Error"))))))</f>
        <v>0</v>
      </c>
      <c r="V202" s="33">
        <f>IF(AV202=0,0,
IF(Investment_Strategy="DIS",VLOOKUP(Investment_Strategy&amp;"_"&amp;Investment_Strategy_Sub1&amp;"_"&amp;$A202,'Investment Strategies'!$AZ:$BP,17,FALSE),
IF(AND(Investment_Strategy="Lifecycle",Investment_Strategy_Sub1="Non-Standard"),VLOOKUP(Investment_Strategy&amp;"_"&amp;Investment_Strategy_Sub2&amp;"_"&amp;$A202,'Investment Strategies'!$C:$P,14,FALSE),
IF(AND(Investment_Strategy="Lifecycle",Investment_Strategy_Sub1="Standard"),VLOOKUP(Investment_Strategy&amp;"_"&amp;Investment_Strategy_Sub2&amp;"_"&amp;$A202,'Investment Strategies'!$AJ:$AV,13,FALSE),
IF(AND(Investment_Strategy="Autopilot",Investment_Strategy_Sub1="Non-Standard"),VLOOKUP(Investment_Strategy&amp;"_"&amp;Investment_Strategy_Sub2&amp;"_"&amp;$A202,'Investment Strategies'!$T:$AF,13,FALSE),
IF(Investment_Strategy="DIY",DIY_ExtManChrge_FuturePremiums,
"Error"))))))</f>
        <v>0</v>
      </c>
      <c r="W202" s="16">
        <f t="shared" si="97"/>
        <v>0</v>
      </c>
      <c r="X202" s="16">
        <f t="shared" si="72"/>
        <v>0</v>
      </c>
      <c r="Y202" s="16">
        <f t="shared" si="73"/>
        <v>0</v>
      </c>
      <c r="Z202" s="31">
        <f t="shared" si="74"/>
        <v>0.02</v>
      </c>
      <c r="AA202" s="16">
        <f t="shared" si="75"/>
        <v>0</v>
      </c>
      <c r="AB202" s="28">
        <f t="shared" si="98"/>
        <v>0</v>
      </c>
      <c r="AC202" s="28">
        <f>(SUM($AC$91:AC201)+SUM($X$91:X201)+X202)*T202*IF(D202=$A$91,SRP_finalmonthfactor,1)</f>
        <v>0</v>
      </c>
      <c r="AD202" s="16">
        <f t="shared" si="76"/>
        <v>0</v>
      </c>
      <c r="AE202" s="106"/>
      <c r="AF202" s="16">
        <f t="shared" si="85"/>
        <v>0</v>
      </c>
      <c r="AG202" s="16">
        <f t="shared" si="86"/>
        <v>0</v>
      </c>
      <c r="AH202" s="16">
        <f t="shared" si="87"/>
        <v>0</v>
      </c>
      <c r="AJ202" s="13">
        <f t="shared" si="111"/>
        <v>0</v>
      </c>
      <c r="AK202" s="13">
        <f t="shared" si="111"/>
        <v>0</v>
      </c>
      <c r="AL202" s="13">
        <f t="shared" si="111"/>
        <v>0</v>
      </c>
      <c r="AM202" s="13">
        <f t="shared" si="111"/>
        <v>0</v>
      </c>
      <c r="AN202" s="13">
        <f t="shared" si="111"/>
        <v>0</v>
      </c>
      <c r="AO202" s="13">
        <f t="shared" si="111"/>
        <v>1</v>
      </c>
      <c r="AP202" s="13">
        <f t="shared" si="111"/>
        <v>1</v>
      </c>
      <c r="AQ202" s="13">
        <f t="shared" si="111"/>
        <v>1</v>
      </c>
      <c r="AR202" s="13">
        <f t="shared" si="111"/>
        <v>1</v>
      </c>
      <c r="AS202" s="13">
        <f t="shared" si="111"/>
        <v>1</v>
      </c>
      <c r="AT202" s="13">
        <f t="shared" si="111"/>
        <v>1</v>
      </c>
      <c r="AU202" s="13">
        <f t="shared" si="111"/>
        <v>1</v>
      </c>
      <c r="AV202" s="13">
        <f t="shared" si="77"/>
        <v>0</v>
      </c>
      <c r="AW202" s="13">
        <f t="shared" si="78"/>
        <v>1</v>
      </c>
      <c r="AY202" s="17">
        <f t="shared" si="79"/>
        <v>112</v>
      </c>
      <c r="AZ202" s="28">
        <f t="shared" si="88"/>
        <v>0</v>
      </c>
      <c r="BA202" s="13">
        <f t="shared" si="80"/>
        <v>0</v>
      </c>
      <c r="BB202" s="13">
        <f t="shared" si="81"/>
        <v>0</v>
      </c>
      <c r="BC202" s="28">
        <f t="shared" si="89"/>
        <v>0</v>
      </c>
      <c r="BD202" s="28">
        <f t="shared" si="90"/>
        <v>0</v>
      </c>
      <c r="BF202" s="248">
        <f t="shared" si="91"/>
        <v>993869.29442638322</v>
      </c>
      <c r="BG202" s="36">
        <f t="shared" si="99"/>
        <v>0</v>
      </c>
      <c r="BH202" s="36">
        <f t="shared" si="100"/>
        <v>898396.99135383975</v>
      </c>
      <c r="BI202" s="249">
        <f t="shared" si="101"/>
        <v>0</v>
      </c>
      <c r="BJ202" s="246">
        <f t="shared" si="102"/>
        <v>0</v>
      </c>
      <c r="BK202" s="246">
        <f t="shared" si="82"/>
        <v>7.531116566323881E-4</v>
      </c>
      <c r="BL202" s="246">
        <f t="shared" si="103"/>
        <v>0</v>
      </c>
      <c r="BM202" s="246">
        <f t="shared" si="104"/>
        <v>7.531116566323881E-4</v>
      </c>
      <c r="BN202" s="36">
        <f t="shared" si="92"/>
        <v>676.59324647204346</v>
      </c>
      <c r="BO202" s="36">
        <f t="shared" si="105"/>
        <v>0</v>
      </c>
      <c r="BP202" s="36">
        <f t="shared" si="106"/>
        <v>897720.39810736768</v>
      </c>
    </row>
    <row r="203" spans="1:68">
      <c r="A203" s="32">
        <f t="shared" si="93"/>
        <v>-28</v>
      </c>
      <c r="B203" s="32">
        <f t="shared" si="83"/>
        <v>62</v>
      </c>
      <c r="C203" s="32">
        <f t="shared" si="94"/>
        <v>10</v>
      </c>
      <c r="D203" s="32">
        <f t="shared" si="95"/>
        <v>113</v>
      </c>
      <c r="E203" s="74">
        <f>MIN(IF(AV203=0,0,
IF(Investment_Strategy="DIS",VLOOKUP(Investment_Strategy&amp;"_"&amp;Investment_Strategy_Sub1&amp;"_"&amp;$A203,'Investment Strategies'!$AZ:$BP,12,FALSE),
IF(AND(Investment_Strategy="Lifecycle",Investment_Strategy_Sub1="Non-Standard"),VLOOKUP(Investment_Strategy&amp;"_"&amp;Investment_Strategy_Sub2&amp;"_"&amp;$A203,'Investment Strategies'!$C:$P,9,FALSE),
IF(AND(Investment_Strategy="Lifecycle",Investment_Strategy_Sub1="Standard"),VLOOKUP(Investment_Strategy&amp;"_"&amp;Investment_Strategy_Sub2&amp;"_"&amp;$A203,'Investment Strategies'!$AJ:$AV,8,FALSE),
IF(AND(Investment_Strategy="Autopilot",Investment_Strategy_Sub1="Non-Standard"),VLOOKUP(Investment_Strategy&amp;"_"&amp;Investment_Strategy_Sub2&amp;"_"&amp;$A203,'Investment Strategies'!$T:$AF,8,FALSE),
IF(Investment_Strategy ="DIY",DIY_RateOfReturn_CurrentFunds,
"Error")))))),Max_InvReturn)</f>
        <v>0</v>
      </c>
      <c r="F203" s="62">
        <f>IF(AV203=0,0,
IF(Investment_Strategy="DIS",VLOOKUP(Investment_Strategy&amp;"_"&amp;Investment_Strategy_Sub1&amp;"_"&amp;$A203,'Investment Strategies'!$AZ:$BP,15,FALSE),
IF(AND(Investment_Strategy="Lifecycle",Investment_Strategy_Sub1="Non-Standard"),VLOOKUP(Investment_Strategy&amp;"_"&amp;Investment_Strategy_Sub2&amp;"_"&amp;$A203,'Investment Strategies'!$C:$P,12,FALSE),
IF(AND(Investment_Strategy="Lifecycle",Investment_Strategy_Sub1="Standard"),VLOOKUP(Investment_Strategy&amp;"_"&amp;Investment_Strategy_Sub2&amp;"_"&amp;$A203,'Investment Strategies'!$AJ:$AV,11,FALSE),
IF(AND(Investment_Strategy="Autopilot",Investment_Strategy_Sub1="Non-Standard"),VLOOKUP(Investment_Strategy&amp;"_"&amp;Investment_Strategy_Sub2&amp;"_"&amp;$A203,'Investment Strategies'!$T:$AF,11,FALSE),
IF(Investment_Strategy="DIY",DIY_GteeChrge_CurrentFunds,
"Error"))))))</f>
        <v>0</v>
      </c>
      <c r="G203" s="33">
        <f>IF(AV203=0,0,
IF(Investment_Strategy="DIS",VLOOKUP(Investment_Strategy&amp;"_"&amp;Investment_Strategy_Sub1&amp;"_"&amp;$A203,'Investment Strategies'!$AZ:$BP,17,FALSE),
IF(AND(Investment_Strategy="Lifecycle",Investment_Strategy_Sub1="Non-Standard"),VLOOKUP(Investment_Strategy&amp;"_"&amp;Investment_Strategy_Sub2&amp;"_"&amp;$A203,'Investment Strategies'!$C:$P,14,FALSE),
IF(AND(Investment_Strategy="Lifecycle",Investment_Strategy_Sub1="Standard"),VLOOKUP(Investment_Strategy&amp;"_"&amp;Investment_Strategy_Sub2&amp;"_"&amp;$A203,'Investment Strategies'!$AJ:$AV,13,FALSE),
IF(AND(Investment_Strategy="Autopilot",Investment_Strategy_Sub1="Non-Standard"),VLOOKUP(Investment_Strategy&amp;"_"&amp;Investment_Strategy_Sub2&amp;"_"&amp;$A203,'Investment Strategies'!$T:$AF,13,FALSE),
IF(Investment_Strategy="DIY",DIY_ExtManChrge_CurrentFunds,
"Error"))))))</f>
        <v>0</v>
      </c>
      <c r="H203" s="16">
        <f t="shared" si="84"/>
        <v>0</v>
      </c>
      <c r="I203" s="16">
        <f t="shared" si="68"/>
        <v>0</v>
      </c>
      <c r="J203" s="16">
        <f t="shared" si="69"/>
        <v>0</v>
      </c>
      <c r="K203" s="16">
        <f>(Opening_Fund_Value+SUM(K$91:K202))*E203*IF(D203=$A$91,SRP_finalmonthfactor,1)</f>
        <v>0</v>
      </c>
      <c r="L203" s="74">
        <f>MIN(IF($AV203=0,0,
IF(Investment_Strategy="DIS",VLOOKUP(Investment_Strategy&amp;"_"&amp;Investment_Strategy_Sub1&amp;"_"&amp;$A203,'Investment Strategies'!$AZ:$BP,12,FALSE),
IF(AND(Investment_Strategy="Lifecycle",Investment_Strategy_Sub1="Non-Standard"),VLOOKUP(Investment_Strategy&amp;"_"&amp;Investment_Strategy_Sub2&amp;"_"&amp;$A203,'Investment Strategies'!$C:$P,9,FALSE),
IF(AND(Investment_Strategy="Lifecycle",Investment_Strategy_Sub1="Standard"),VLOOKUP(Investment_Strategy&amp;"_"&amp;Investment_Strategy_Sub2&amp;"_"&amp;$A203,'Investment Strategies'!$AJ:$AV,8,FALSE),
IF(AND(Investment_Strategy="Autopilot",Investment_Strategy_Sub1="Non-Standard"),VLOOKUP(Investment_Strategy&amp;"_"&amp;Investment_Strategy_Sub2&amp;"_"&amp;$A203,'Investment Strategies'!$T:$AF,8,FALSE),
IF(Investment_Strategy ="DIY",DIY_RateofReturn_SP,
"Error")))))),Max_InvReturn)</f>
        <v>0</v>
      </c>
      <c r="M203" s="62">
        <f>IF($AV203=0,0,
IF(Investment_Strategy="DIS",VLOOKUP(Investment_Strategy&amp;"_"&amp;Investment_Strategy_Sub1&amp;"_"&amp;$A203,'Investment Strategies'!$AZ:$BP,15,FALSE),
IF(AND(Investment_Strategy="Lifecycle",Investment_Strategy_Sub1="Non-Standard"),VLOOKUP(Investment_Strategy&amp;"_"&amp;Investment_Strategy_Sub2&amp;"_"&amp;$A203,'Investment Strategies'!$C:$P,12,FALSE),
IF(AND(Investment_Strategy="Lifecycle",Investment_Strategy_Sub1="Standard"),VLOOKUP(Investment_Strategy&amp;"_"&amp;Investment_Strategy_Sub2&amp;"_"&amp;$A203,'Investment Strategies'!$AJ:$AV,11,FALSE),
IF(AND(Investment_Strategy="Autopilot",Investment_Strategy_Sub1="Non-Standard"),VLOOKUP(Investment_Strategy&amp;"_"&amp;Investment_Strategy_Sub2&amp;"_"&amp;$A203,'Investment Strategies'!$T:$AF,11,FALSE),
IF(Investment_Strategy="DIY",DIY_GteeChrge_SP,
"Error"))))))</f>
        <v>0</v>
      </c>
      <c r="N203" s="33">
        <f>IF($AV203=0,0,
IF(Investment_Strategy="DIS",VLOOKUP(Investment_Strategy&amp;"_"&amp;Investment_Strategy_Sub1&amp;"_"&amp;$A203,'Investment Strategies'!$AZ:$BP,17,FALSE),
IF(AND(Investment_Strategy="Lifecycle",Investment_Strategy_Sub1="Non-Standard"),VLOOKUP(Investment_Strategy&amp;"_"&amp;Investment_Strategy_Sub2&amp;"_"&amp;$A203,'Investment Strategies'!$C:$P,14,FALSE),
IF(AND(Investment_Strategy="Lifecycle",Investment_Strategy_Sub1="Standard"),VLOOKUP(Investment_Strategy&amp;"_"&amp;Investment_Strategy_Sub2&amp;"_"&amp;$A203,'Investment Strategies'!$AJ:$AV,13,FALSE),
IF(AND(Investment_Strategy="Autopilot",Investment_Strategy_Sub1="Non-Standard"),VLOOKUP(Investment_Strategy&amp;"_"&amp;Investment_Strategy_Sub2&amp;"_"&amp;$A203,'Investment Strategies'!$T:$AF,13,FALSE),
IF(Investment_Strategy="DIY",DIY_ExtManChrge_SP,
"Error"))))))</f>
        <v>0</v>
      </c>
      <c r="O203" s="16">
        <f t="shared" si="96"/>
        <v>0</v>
      </c>
      <c r="Q203" s="16">
        <f t="shared" si="70"/>
        <v>0</v>
      </c>
      <c r="R203" s="16">
        <f t="shared" si="71"/>
        <v>0</v>
      </c>
      <c r="S203" s="16">
        <f>(SRP_SP+SUM(S$91:S202))*L203*IF(D203=$A$91,SRP_finalmonthfactor,1)</f>
        <v>0</v>
      </c>
      <c r="T203" s="74">
        <f>MIN(IF($AV203=0,0,
IF(Investment_Strategy="DIS",VLOOKUP(Investment_Strategy&amp;"_"&amp;Investment_Strategy_Sub1&amp;"_"&amp;$A203,'Investment Strategies'!$AZ:$BP,12,FALSE),
IF(AND(Investment_Strategy="Lifecycle",Investment_Strategy_Sub1="Non-Standard"),VLOOKUP(Investment_Strategy&amp;"_"&amp;Investment_Strategy_Sub2&amp;"_"&amp;$A203,'Investment Strategies'!$C:$P,9,FALSE),
IF(AND(Investment_Strategy="Lifecycle",Investment_Strategy_Sub1="Standard"),VLOOKUP(Investment_Strategy&amp;"_"&amp;Investment_Strategy_Sub2&amp;"_"&amp;$A203,'Investment Strategies'!$AJ:$AV,8,FALSE),
IF(AND(Investment_Strategy="Autopilot",Investment_Strategy_Sub1="Non-Standard"),VLOOKUP(Investment_Strategy&amp;"_"&amp;Investment_Strategy_Sub2&amp;"_"&amp;$A203,'Investment Strategies'!$T:$AF,8,FALSE),
IF(Investment_Strategy ="DIY",DIY_RateOfReturn_FuturePremiums,
"Error")))))),Max_InvReturn)</f>
        <v>0</v>
      </c>
      <c r="U203" s="62">
        <f>IF($AV203=0,0,
IF(Investment_Strategy="DIS",VLOOKUP(Investment_Strategy&amp;"_"&amp;Investment_Strategy_Sub1&amp;"_"&amp;$A203,'Investment Strategies'!$AZ:$BP,15,FALSE),
IF(AND(Investment_Strategy="Lifecycle",Investment_Strategy_Sub1="Non-Standard"),VLOOKUP(Investment_Strategy&amp;"_"&amp;Investment_Strategy_Sub2&amp;"_"&amp;$A203,'Investment Strategies'!$C:$P,12,FALSE),
IF(AND(Investment_Strategy="Lifecycle",Investment_Strategy_Sub1="Standard"),VLOOKUP(Investment_Strategy&amp;"_"&amp;Investment_Strategy_Sub2&amp;"_"&amp;$A203,'Investment Strategies'!$AJ:$AV,11,FALSE),
IF(AND(Investment_Strategy="Autopilot",Investment_Strategy_Sub1="Non-Standard"),VLOOKUP(Investment_Strategy&amp;"_"&amp;Investment_Strategy_Sub2&amp;"_"&amp;$A203,'Investment Strategies'!$T:$AF,11,FALSE),
IF(Investment_Strategy="DIY",DIY_GteeChrge_FuturePremiums,
"Error"))))))</f>
        <v>0</v>
      </c>
      <c r="V203" s="33">
        <f>IF(AV203=0,0,
IF(Investment_Strategy="DIS",VLOOKUP(Investment_Strategy&amp;"_"&amp;Investment_Strategy_Sub1&amp;"_"&amp;$A203,'Investment Strategies'!$AZ:$BP,17,FALSE),
IF(AND(Investment_Strategy="Lifecycle",Investment_Strategy_Sub1="Non-Standard"),VLOOKUP(Investment_Strategy&amp;"_"&amp;Investment_Strategy_Sub2&amp;"_"&amp;$A203,'Investment Strategies'!$C:$P,14,FALSE),
IF(AND(Investment_Strategy="Lifecycle",Investment_Strategy_Sub1="Standard"),VLOOKUP(Investment_Strategy&amp;"_"&amp;Investment_Strategy_Sub2&amp;"_"&amp;$A203,'Investment Strategies'!$AJ:$AV,13,FALSE),
IF(AND(Investment_Strategy="Autopilot",Investment_Strategy_Sub1="Non-Standard"),VLOOKUP(Investment_Strategy&amp;"_"&amp;Investment_Strategy_Sub2&amp;"_"&amp;$A203,'Investment Strategies'!$T:$AF,13,FALSE),
IF(Investment_Strategy="DIY",DIY_ExtManChrge_FuturePremiums,
"Error"))))))</f>
        <v>0</v>
      </c>
      <c r="W203" s="16">
        <f t="shared" si="97"/>
        <v>0</v>
      </c>
      <c r="X203" s="16">
        <f t="shared" si="72"/>
        <v>0</v>
      </c>
      <c r="Y203" s="16">
        <f t="shared" si="73"/>
        <v>0</v>
      </c>
      <c r="Z203" s="31">
        <f t="shared" si="74"/>
        <v>0.02</v>
      </c>
      <c r="AA203" s="16">
        <f t="shared" si="75"/>
        <v>0</v>
      </c>
      <c r="AB203" s="28">
        <f t="shared" si="98"/>
        <v>0</v>
      </c>
      <c r="AC203" s="28">
        <f>(SUM($AC$91:AC202)+SUM($X$91:X202)+X203)*T203*IF(D203=$A$91,SRP_finalmonthfactor,1)</f>
        <v>0</v>
      </c>
      <c r="AD203" s="16">
        <f t="shared" si="76"/>
        <v>0</v>
      </c>
      <c r="AE203" s="106"/>
      <c r="AF203" s="16">
        <f t="shared" si="85"/>
        <v>0</v>
      </c>
      <c r="AG203" s="16">
        <f t="shared" si="86"/>
        <v>0</v>
      </c>
      <c r="AH203" s="16">
        <f t="shared" si="87"/>
        <v>0</v>
      </c>
      <c r="AJ203" s="13">
        <f t="shared" si="111"/>
        <v>0</v>
      </c>
      <c r="AK203" s="13">
        <f t="shared" si="111"/>
        <v>0</v>
      </c>
      <c r="AL203" s="13">
        <f t="shared" si="111"/>
        <v>0</v>
      </c>
      <c r="AM203" s="13">
        <f t="shared" si="111"/>
        <v>0</v>
      </c>
      <c r="AN203" s="13">
        <f t="shared" si="111"/>
        <v>0</v>
      </c>
      <c r="AO203" s="13">
        <f t="shared" si="111"/>
        <v>1</v>
      </c>
      <c r="AP203" s="13">
        <f t="shared" si="111"/>
        <v>1</v>
      </c>
      <c r="AQ203" s="13">
        <f t="shared" si="111"/>
        <v>1</v>
      </c>
      <c r="AR203" s="13">
        <f t="shared" si="111"/>
        <v>1</v>
      </c>
      <c r="AS203" s="13">
        <f t="shared" si="111"/>
        <v>1</v>
      </c>
      <c r="AT203" s="13">
        <f t="shared" si="111"/>
        <v>1</v>
      </c>
      <c r="AU203" s="13">
        <f t="shared" si="111"/>
        <v>1</v>
      </c>
      <c r="AV203" s="13">
        <f t="shared" si="77"/>
        <v>0</v>
      </c>
      <c r="AW203" s="13">
        <f t="shared" si="78"/>
        <v>1</v>
      </c>
      <c r="AY203" s="17">
        <f t="shared" si="79"/>
        <v>113</v>
      </c>
      <c r="AZ203" s="28">
        <f t="shared" si="88"/>
        <v>0</v>
      </c>
      <c r="BA203" s="13">
        <f t="shared" si="80"/>
        <v>0</v>
      </c>
      <c r="BB203" s="13">
        <f t="shared" si="81"/>
        <v>0</v>
      </c>
      <c r="BC203" s="28">
        <f t="shared" si="89"/>
        <v>0</v>
      </c>
      <c r="BD203" s="28">
        <f t="shared" si="90"/>
        <v>0</v>
      </c>
      <c r="BF203" s="248">
        <f t="shared" si="91"/>
        <v>993869.29442638322</v>
      </c>
      <c r="BG203" s="36">
        <f t="shared" si="99"/>
        <v>0</v>
      </c>
      <c r="BH203" s="36">
        <f t="shared" si="100"/>
        <v>897720.39810736768</v>
      </c>
      <c r="BI203" s="249">
        <f t="shared" si="101"/>
        <v>0</v>
      </c>
      <c r="BJ203" s="246">
        <f t="shared" si="102"/>
        <v>0</v>
      </c>
      <c r="BK203" s="246">
        <f t="shared" si="82"/>
        <v>7.531116566323881E-4</v>
      </c>
      <c r="BL203" s="246">
        <f t="shared" si="103"/>
        <v>0</v>
      </c>
      <c r="BM203" s="246">
        <f t="shared" si="104"/>
        <v>7.531116566323881E-4</v>
      </c>
      <c r="BN203" s="36">
        <f t="shared" si="92"/>
        <v>676.0836962113267</v>
      </c>
      <c r="BO203" s="36">
        <f t="shared" si="105"/>
        <v>0</v>
      </c>
      <c r="BP203" s="36">
        <f t="shared" si="106"/>
        <v>897044.31441115635</v>
      </c>
    </row>
    <row r="204" spans="1:68">
      <c r="A204" s="32">
        <f t="shared" si="93"/>
        <v>-29</v>
      </c>
      <c r="B204" s="32">
        <f t="shared" si="83"/>
        <v>62</v>
      </c>
      <c r="C204" s="32">
        <f t="shared" si="94"/>
        <v>10</v>
      </c>
      <c r="D204" s="32">
        <f t="shared" si="95"/>
        <v>114</v>
      </c>
      <c r="E204" s="74">
        <f>MIN(IF(AV204=0,0,
IF(Investment_Strategy="DIS",VLOOKUP(Investment_Strategy&amp;"_"&amp;Investment_Strategy_Sub1&amp;"_"&amp;$A204,'Investment Strategies'!$AZ:$BP,12,FALSE),
IF(AND(Investment_Strategy="Lifecycle",Investment_Strategy_Sub1="Non-Standard"),VLOOKUP(Investment_Strategy&amp;"_"&amp;Investment_Strategy_Sub2&amp;"_"&amp;$A204,'Investment Strategies'!$C:$P,9,FALSE),
IF(AND(Investment_Strategy="Lifecycle",Investment_Strategy_Sub1="Standard"),VLOOKUP(Investment_Strategy&amp;"_"&amp;Investment_Strategy_Sub2&amp;"_"&amp;$A204,'Investment Strategies'!$AJ:$AV,8,FALSE),
IF(AND(Investment_Strategy="Autopilot",Investment_Strategy_Sub1="Non-Standard"),VLOOKUP(Investment_Strategy&amp;"_"&amp;Investment_Strategy_Sub2&amp;"_"&amp;$A204,'Investment Strategies'!$T:$AF,8,FALSE),
IF(Investment_Strategy ="DIY",DIY_RateOfReturn_CurrentFunds,
"Error")))))),Max_InvReturn)</f>
        <v>0</v>
      </c>
      <c r="F204" s="62">
        <f>IF(AV204=0,0,
IF(Investment_Strategy="DIS",VLOOKUP(Investment_Strategy&amp;"_"&amp;Investment_Strategy_Sub1&amp;"_"&amp;$A204,'Investment Strategies'!$AZ:$BP,15,FALSE),
IF(AND(Investment_Strategy="Lifecycle",Investment_Strategy_Sub1="Non-Standard"),VLOOKUP(Investment_Strategy&amp;"_"&amp;Investment_Strategy_Sub2&amp;"_"&amp;$A204,'Investment Strategies'!$C:$P,12,FALSE),
IF(AND(Investment_Strategy="Lifecycle",Investment_Strategy_Sub1="Standard"),VLOOKUP(Investment_Strategy&amp;"_"&amp;Investment_Strategy_Sub2&amp;"_"&amp;$A204,'Investment Strategies'!$AJ:$AV,11,FALSE),
IF(AND(Investment_Strategy="Autopilot",Investment_Strategy_Sub1="Non-Standard"),VLOOKUP(Investment_Strategy&amp;"_"&amp;Investment_Strategy_Sub2&amp;"_"&amp;$A204,'Investment Strategies'!$T:$AF,11,FALSE),
IF(Investment_Strategy="DIY",DIY_GteeChrge_CurrentFunds,
"Error"))))))</f>
        <v>0</v>
      </c>
      <c r="G204" s="33">
        <f>IF(AV204=0,0,
IF(Investment_Strategy="DIS",VLOOKUP(Investment_Strategy&amp;"_"&amp;Investment_Strategy_Sub1&amp;"_"&amp;$A204,'Investment Strategies'!$AZ:$BP,17,FALSE),
IF(AND(Investment_Strategy="Lifecycle",Investment_Strategy_Sub1="Non-Standard"),VLOOKUP(Investment_Strategy&amp;"_"&amp;Investment_Strategy_Sub2&amp;"_"&amp;$A204,'Investment Strategies'!$C:$P,14,FALSE),
IF(AND(Investment_Strategy="Lifecycle",Investment_Strategy_Sub1="Standard"),VLOOKUP(Investment_Strategy&amp;"_"&amp;Investment_Strategy_Sub2&amp;"_"&amp;$A204,'Investment Strategies'!$AJ:$AV,13,FALSE),
IF(AND(Investment_Strategy="Autopilot",Investment_Strategy_Sub1="Non-Standard"),VLOOKUP(Investment_Strategy&amp;"_"&amp;Investment_Strategy_Sub2&amp;"_"&amp;$A204,'Investment Strategies'!$T:$AF,13,FALSE),
IF(Investment_Strategy="DIY",DIY_ExtManChrge_CurrentFunds,
"Error"))))))</f>
        <v>0</v>
      </c>
      <c r="H204" s="16">
        <f t="shared" si="84"/>
        <v>0</v>
      </c>
      <c r="I204" s="16">
        <f t="shared" si="68"/>
        <v>0</v>
      </c>
      <c r="J204" s="16">
        <f t="shared" si="69"/>
        <v>0</v>
      </c>
      <c r="K204" s="16">
        <f>(Opening_Fund_Value+SUM(K$91:K203))*E204*IF(D204=$A$91,SRP_finalmonthfactor,1)</f>
        <v>0</v>
      </c>
      <c r="L204" s="74">
        <f>MIN(IF($AV204=0,0,
IF(Investment_Strategy="DIS",VLOOKUP(Investment_Strategy&amp;"_"&amp;Investment_Strategy_Sub1&amp;"_"&amp;$A204,'Investment Strategies'!$AZ:$BP,12,FALSE),
IF(AND(Investment_Strategy="Lifecycle",Investment_Strategy_Sub1="Non-Standard"),VLOOKUP(Investment_Strategy&amp;"_"&amp;Investment_Strategy_Sub2&amp;"_"&amp;$A204,'Investment Strategies'!$C:$P,9,FALSE),
IF(AND(Investment_Strategy="Lifecycle",Investment_Strategy_Sub1="Standard"),VLOOKUP(Investment_Strategy&amp;"_"&amp;Investment_Strategy_Sub2&amp;"_"&amp;$A204,'Investment Strategies'!$AJ:$AV,8,FALSE),
IF(AND(Investment_Strategy="Autopilot",Investment_Strategy_Sub1="Non-Standard"),VLOOKUP(Investment_Strategy&amp;"_"&amp;Investment_Strategy_Sub2&amp;"_"&amp;$A204,'Investment Strategies'!$T:$AF,8,FALSE),
IF(Investment_Strategy ="DIY",DIY_RateofReturn_SP,
"Error")))))),Max_InvReturn)</f>
        <v>0</v>
      </c>
      <c r="M204" s="62">
        <f>IF($AV204=0,0,
IF(Investment_Strategy="DIS",VLOOKUP(Investment_Strategy&amp;"_"&amp;Investment_Strategy_Sub1&amp;"_"&amp;$A204,'Investment Strategies'!$AZ:$BP,15,FALSE),
IF(AND(Investment_Strategy="Lifecycle",Investment_Strategy_Sub1="Non-Standard"),VLOOKUP(Investment_Strategy&amp;"_"&amp;Investment_Strategy_Sub2&amp;"_"&amp;$A204,'Investment Strategies'!$C:$P,12,FALSE),
IF(AND(Investment_Strategy="Lifecycle",Investment_Strategy_Sub1="Standard"),VLOOKUP(Investment_Strategy&amp;"_"&amp;Investment_Strategy_Sub2&amp;"_"&amp;$A204,'Investment Strategies'!$AJ:$AV,11,FALSE),
IF(AND(Investment_Strategy="Autopilot",Investment_Strategy_Sub1="Non-Standard"),VLOOKUP(Investment_Strategy&amp;"_"&amp;Investment_Strategy_Sub2&amp;"_"&amp;$A204,'Investment Strategies'!$T:$AF,11,FALSE),
IF(Investment_Strategy="DIY",DIY_GteeChrge_SP,
"Error"))))))</f>
        <v>0</v>
      </c>
      <c r="N204" s="33">
        <f>IF($AV204=0,0,
IF(Investment_Strategy="DIS",VLOOKUP(Investment_Strategy&amp;"_"&amp;Investment_Strategy_Sub1&amp;"_"&amp;$A204,'Investment Strategies'!$AZ:$BP,17,FALSE),
IF(AND(Investment_Strategy="Lifecycle",Investment_Strategy_Sub1="Non-Standard"),VLOOKUP(Investment_Strategy&amp;"_"&amp;Investment_Strategy_Sub2&amp;"_"&amp;$A204,'Investment Strategies'!$C:$P,14,FALSE),
IF(AND(Investment_Strategy="Lifecycle",Investment_Strategy_Sub1="Standard"),VLOOKUP(Investment_Strategy&amp;"_"&amp;Investment_Strategy_Sub2&amp;"_"&amp;$A204,'Investment Strategies'!$AJ:$AV,13,FALSE),
IF(AND(Investment_Strategy="Autopilot",Investment_Strategy_Sub1="Non-Standard"),VLOOKUP(Investment_Strategy&amp;"_"&amp;Investment_Strategy_Sub2&amp;"_"&amp;$A204,'Investment Strategies'!$T:$AF,13,FALSE),
IF(Investment_Strategy="DIY",DIY_ExtManChrge_SP,
"Error"))))))</f>
        <v>0</v>
      </c>
      <c r="O204" s="16">
        <f t="shared" si="96"/>
        <v>0</v>
      </c>
      <c r="Q204" s="16">
        <f t="shared" si="70"/>
        <v>0</v>
      </c>
      <c r="R204" s="16">
        <f t="shared" si="71"/>
        <v>0</v>
      </c>
      <c r="S204" s="16">
        <f>(SRP_SP+SUM(S$91:S203))*L204*IF(D204=$A$91,SRP_finalmonthfactor,1)</f>
        <v>0</v>
      </c>
      <c r="T204" s="74">
        <f>MIN(IF($AV204=0,0,
IF(Investment_Strategy="DIS",VLOOKUP(Investment_Strategy&amp;"_"&amp;Investment_Strategy_Sub1&amp;"_"&amp;$A204,'Investment Strategies'!$AZ:$BP,12,FALSE),
IF(AND(Investment_Strategy="Lifecycle",Investment_Strategy_Sub1="Non-Standard"),VLOOKUP(Investment_Strategy&amp;"_"&amp;Investment_Strategy_Sub2&amp;"_"&amp;$A204,'Investment Strategies'!$C:$P,9,FALSE),
IF(AND(Investment_Strategy="Lifecycle",Investment_Strategy_Sub1="Standard"),VLOOKUP(Investment_Strategy&amp;"_"&amp;Investment_Strategy_Sub2&amp;"_"&amp;$A204,'Investment Strategies'!$AJ:$AV,8,FALSE),
IF(AND(Investment_Strategy="Autopilot",Investment_Strategy_Sub1="Non-Standard"),VLOOKUP(Investment_Strategy&amp;"_"&amp;Investment_Strategy_Sub2&amp;"_"&amp;$A204,'Investment Strategies'!$T:$AF,8,FALSE),
IF(Investment_Strategy ="DIY",DIY_RateOfReturn_FuturePremiums,
"Error")))))),Max_InvReturn)</f>
        <v>0</v>
      </c>
      <c r="U204" s="62">
        <f>IF($AV204=0,0,
IF(Investment_Strategy="DIS",VLOOKUP(Investment_Strategy&amp;"_"&amp;Investment_Strategy_Sub1&amp;"_"&amp;$A204,'Investment Strategies'!$AZ:$BP,15,FALSE),
IF(AND(Investment_Strategy="Lifecycle",Investment_Strategy_Sub1="Non-Standard"),VLOOKUP(Investment_Strategy&amp;"_"&amp;Investment_Strategy_Sub2&amp;"_"&amp;$A204,'Investment Strategies'!$C:$P,12,FALSE),
IF(AND(Investment_Strategy="Lifecycle",Investment_Strategy_Sub1="Standard"),VLOOKUP(Investment_Strategy&amp;"_"&amp;Investment_Strategy_Sub2&amp;"_"&amp;$A204,'Investment Strategies'!$AJ:$AV,11,FALSE),
IF(AND(Investment_Strategy="Autopilot",Investment_Strategy_Sub1="Non-Standard"),VLOOKUP(Investment_Strategy&amp;"_"&amp;Investment_Strategy_Sub2&amp;"_"&amp;$A204,'Investment Strategies'!$T:$AF,11,FALSE),
IF(Investment_Strategy="DIY",DIY_GteeChrge_FuturePremiums,
"Error"))))))</f>
        <v>0</v>
      </c>
      <c r="V204" s="33">
        <f>IF(AV204=0,0,
IF(Investment_Strategy="DIS",VLOOKUP(Investment_Strategy&amp;"_"&amp;Investment_Strategy_Sub1&amp;"_"&amp;$A204,'Investment Strategies'!$AZ:$BP,17,FALSE),
IF(AND(Investment_Strategy="Lifecycle",Investment_Strategy_Sub1="Non-Standard"),VLOOKUP(Investment_Strategy&amp;"_"&amp;Investment_Strategy_Sub2&amp;"_"&amp;$A204,'Investment Strategies'!$C:$P,14,FALSE),
IF(AND(Investment_Strategy="Lifecycle",Investment_Strategy_Sub1="Standard"),VLOOKUP(Investment_Strategy&amp;"_"&amp;Investment_Strategy_Sub2&amp;"_"&amp;$A204,'Investment Strategies'!$AJ:$AV,13,FALSE),
IF(AND(Investment_Strategy="Autopilot",Investment_Strategy_Sub1="Non-Standard"),VLOOKUP(Investment_Strategy&amp;"_"&amp;Investment_Strategy_Sub2&amp;"_"&amp;$A204,'Investment Strategies'!$T:$AF,13,FALSE),
IF(Investment_Strategy="DIY",DIY_ExtManChrge_FuturePremiums,
"Error"))))))</f>
        <v>0</v>
      </c>
      <c r="W204" s="16">
        <f t="shared" si="97"/>
        <v>0</v>
      </c>
      <c r="X204" s="16">
        <f t="shared" si="72"/>
        <v>0</v>
      </c>
      <c r="Y204" s="16">
        <f t="shared" si="73"/>
        <v>0</v>
      </c>
      <c r="Z204" s="31">
        <f t="shared" si="74"/>
        <v>0.02</v>
      </c>
      <c r="AA204" s="16">
        <f t="shared" si="75"/>
        <v>0</v>
      </c>
      <c r="AB204" s="28">
        <f t="shared" si="98"/>
        <v>0</v>
      </c>
      <c r="AC204" s="28">
        <f>(SUM($AC$91:AC203)+SUM($X$91:X203)+X204)*T204*IF(D204=$A$91,SRP_finalmonthfactor,1)</f>
        <v>0</v>
      </c>
      <c r="AD204" s="16">
        <f t="shared" si="76"/>
        <v>0</v>
      </c>
      <c r="AE204" s="106"/>
      <c r="AF204" s="16">
        <f t="shared" si="85"/>
        <v>0</v>
      </c>
      <c r="AG204" s="16">
        <f t="shared" si="86"/>
        <v>0</v>
      </c>
      <c r="AH204" s="16">
        <f t="shared" si="87"/>
        <v>0</v>
      </c>
      <c r="AJ204" s="13">
        <f t="shared" si="111"/>
        <v>0</v>
      </c>
      <c r="AK204" s="13">
        <f t="shared" si="111"/>
        <v>0</v>
      </c>
      <c r="AL204" s="13">
        <f t="shared" si="111"/>
        <v>0</v>
      </c>
      <c r="AM204" s="13">
        <f t="shared" si="111"/>
        <v>0</v>
      </c>
      <c r="AN204" s="13">
        <f t="shared" si="111"/>
        <v>0</v>
      </c>
      <c r="AO204" s="13">
        <f t="shared" si="111"/>
        <v>1</v>
      </c>
      <c r="AP204" s="13">
        <f t="shared" si="111"/>
        <v>1</v>
      </c>
      <c r="AQ204" s="13">
        <f t="shared" si="111"/>
        <v>1</v>
      </c>
      <c r="AR204" s="13">
        <f t="shared" si="111"/>
        <v>1</v>
      </c>
      <c r="AS204" s="13">
        <f t="shared" si="111"/>
        <v>1</v>
      </c>
      <c r="AT204" s="13">
        <f t="shared" si="111"/>
        <v>1</v>
      </c>
      <c r="AU204" s="13">
        <f t="shared" si="111"/>
        <v>1</v>
      </c>
      <c r="AV204" s="13">
        <f t="shared" si="77"/>
        <v>0</v>
      </c>
      <c r="AW204" s="13">
        <f t="shared" si="78"/>
        <v>1</v>
      </c>
      <c r="AY204" s="17">
        <f t="shared" si="79"/>
        <v>114</v>
      </c>
      <c r="AZ204" s="28">
        <f t="shared" si="88"/>
        <v>0</v>
      </c>
      <c r="BA204" s="13">
        <f t="shared" si="80"/>
        <v>0</v>
      </c>
      <c r="BB204" s="13">
        <f t="shared" si="81"/>
        <v>0</v>
      </c>
      <c r="BC204" s="28">
        <f t="shared" si="89"/>
        <v>0</v>
      </c>
      <c r="BD204" s="28">
        <f t="shared" si="90"/>
        <v>0</v>
      </c>
      <c r="BF204" s="248">
        <f t="shared" si="91"/>
        <v>993869.29442638322</v>
      </c>
      <c r="BG204" s="36">
        <f t="shared" si="99"/>
        <v>0</v>
      </c>
      <c r="BH204" s="36">
        <f t="shared" si="100"/>
        <v>897044.31441115635</v>
      </c>
      <c r="BI204" s="249">
        <f t="shared" si="101"/>
        <v>0</v>
      </c>
      <c r="BJ204" s="246">
        <f t="shared" si="102"/>
        <v>0</v>
      </c>
      <c r="BK204" s="246">
        <f t="shared" si="82"/>
        <v>7.531116566323881E-4</v>
      </c>
      <c r="BL204" s="246">
        <f t="shared" si="103"/>
        <v>0</v>
      </c>
      <c r="BM204" s="246">
        <f t="shared" si="104"/>
        <v>7.531116566323881E-4</v>
      </c>
      <c r="BN204" s="36">
        <f t="shared" si="92"/>
        <v>675.57452969885082</v>
      </c>
      <c r="BO204" s="36">
        <f t="shared" si="105"/>
        <v>0</v>
      </c>
      <c r="BP204" s="36">
        <f t="shared" si="106"/>
        <v>896368.73988145753</v>
      </c>
    </row>
    <row r="205" spans="1:68">
      <c r="A205" s="32">
        <f t="shared" si="93"/>
        <v>-30</v>
      </c>
      <c r="B205" s="32">
        <f t="shared" si="83"/>
        <v>62</v>
      </c>
      <c r="C205" s="32">
        <f t="shared" si="94"/>
        <v>10</v>
      </c>
      <c r="D205" s="32">
        <f t="shared" si="95"/>
        <v>115</v>
      </c>
      <c r="E205" s="74">
        <f>MIN(IF(AV205=0,0,
IF(Investment_Strategy="DIS",VLOOKUP(Investment_Strategy&amp;"_"&amp;Investment_Strategy_Sub1&amp;"_"&amp;$A205,'Investment Strategies'!$AZ:$BP,12,FALSE),
IF(AND(Investment_Strategy="Lifecycle",Investment_Strategy_Sub1="Non-Standard"),VLOOKUP(Investment_Strategy&amp;"_"&amp;Investment_Strategy_Sub2&amp;"_"&amp;$A205,'Investment Strategies'!$C:$P,9,FALSE),
IF(AND(Investment_Strategy="Lifecycle",Investment_Strategy_Sub1="Standard"),VLOOKUP(Investment_Strategy&amp;"_"&amp;Investment_Strategy_Sub2&amp;"_"&amp;$A205,'Investment Strategies'!$AJ:$AV,8,FALSE),
IF(AND(Investment_Strategy="Autopilot",Investment_Strategy_Sub1="Non-Standard"),VLOOKUP(Investment_Strategy&amp;"_"&amp;Investment_Strategy_Sub2&amp;"_"&amp;$A205,'Investment Strategies'!$T:$AF,8,FALSE),
IF(Investment_Strategy ="DIY",DIY_RateOfReturn_CurrentFunds,
"Error")))))),Max_InvReturn)</f>
        <v>0</v>
      </c>
      <c r="F205" s="62">
        <f>IF(AV205=0,0,
IF(Investment_Strategy="DIS",VLOOKUP(Investment_Strategy&amp;"_"&amp;Investment_Strategy_Sub1&amp;"_"&amp;$A205,'Investment Strategies'!$AZ:$BP,15,FALSE),
IF(AND(Investment_Strategy="Lifecycle",Investment_Strategy_Sub1="Non-Standard"),VLOOKUP(Investment_Strategy&amp;"_"&amp;Investment_Strategy_Sub2&amp;"_"&amp;$A205,'Investment Strategies'!$C:$P,12,FALSE),
IF(AND(Investment_Strategy="Lifecycle",Investment_Strategy_Sub1="Standard"),VLOOKUP(Investment_Strategy&amp;"_"&amp;Investment_Strategy_Sub2&amp;"_"&amp;$A205,'Investment Strategies'!$AJ:$AV,11,FALSE),
IF(AND(Investment_Strategy="Autopilot",Investment_Strategy_Sub1="Non-Standard"),VLOOKUP(Investment_Strategy&amp;"_"&amp;Investment_Strategy_Sub2&amp;"_"&amp;$A205,'Investment Strategies'!$T:$AF,11,FALSE),
IF(Investment_Strategy="DIY",DIY_GteeChrge_CurrentFunds,
"Error"))))))</f>
        <v>0</v>
      </c>
      <c r="G205" s="33">
        <f>IF(AV205=0,0,
IF(Investment_Strategy="DIS",VLOOKUP(Investment_Strategy&amp;"_"&amp;Investment_Strategy_Sub1&amp;"_"&amp;$A205,'Investment Strategies'!$AZ:$BP,17,FALSE),
IF(AND(Investment_Strategy="Lifecycle",Investment_Strategy_Sub1="Non-Standard"),VLOOKUP(Investment_Strategy&amp;"_"&amp;Investment_Strategy_Sub2&amp;"_"&amp;$A205,'Investment Strategies'!$C:$P,14,FALSE),
IF(AND(Investment_Strategy="Lifecycle",Investment_Strategy_Sub1="Standard"),VLOOKUP(Investment_Strategy&amp;"_"&amp;Investment_Strategy_Sub2&amp;"_"&amp;$A205,'Investment Strategies'!$AJ:$AV,13,FALSE),
IF(AND(Investment_Strategy="Autopilot",Investment_Strategy_Sub1="Non-Standard"),VLOOKUP(Investment_Strategy&amp;"_"&amp;Investment_Strategy_Sub2&amp;"_"&amp;$A205,'Investment Strategies'!$T:$AF,13,FALSE),
IF(Investment_Strategy="DIY",DIY_ExtManChrge_CurrentFunds,
"Error"))))))</f>
        <v>0</v>
      </c>
      <c r="H205" s="16">
        <f t="shared" si="84"/>
        <v>0</v>
      </c>
      <c r="I205" s="16">
        <f t="shared" si="68"/>
        <v>0</v>
      </c>
      <c r="J205" s="16">
        <f t="shared" si="69"/>
        <v>0</v>
      </c>
      <c r="K205" s="16">
        <f>(Opening_Fund_Value+SUM(K$91:K204))*E205*IF(D205=$A$91,SRP_finalmonthfactor,1)</f>
        <v>0</v>
      </c>
      <c r="L205" s="74">
        <f>MIN(IF($AV205=0,0,
IF(Investment_Strategy="DIS",VLOOKUP(Investment_Strategy&amp;"_"&amp;Investment_Strategy_Sub1&amp;"_"&amp;$A205,'Investment Strategies'!$AZ:$BP,12,FALSE),
IF(AND(Investment_Strategy="Lifecycle",Investment_Strategy_Sub1="Non-Standard"),VLOOKUP(Investment_Strategy&amp;"_"&amp;Investment_Strategy_Sub2&amp;"_"&amp;$A205,'Investment Strategies'!$C:$P,9,FALSE),
IF(AND(Investment_Strategy="Lifecycle",Investment_Strategy_Sub1="Standard"),VLOOKUP(Investment_Strategy&amp;"_"&amp;Investment_Strategy_Sub2&amp;"_"&amp;$A205,'Investment Strategies'!$AJ:$AV,8,FALSE),
IF(AND(Investment_Strategy="Autopilot",Investment_Strategy_Sub1="Non-Standard"),VLOOKUP(Investment_Strategy&amp;"_"&amp;Investment_Strategy_Sub2&amp;"_"&amp;$A205,'Investment Strategies'!$T:$AF,8,FALSE),
IF(Investment_Strategy ="DIY",DIY_RateofReturn_SP,
"Error")))))),Max_InvReturn)</f>
        <v>0</v>
      </c>
      <c r="M205" s="62">
        <f>IF($AV205=0,0,
IF(Investment_Strategy="DIS",VLOOKUP(Investment_Strategy&amp;"_"&amp;Investment_Strategy_Sub1&amp;"_"&amp;$A205,'Investment Strategies'!$AZ:$BP,15,FALSE),
IF(AND(Investment_Strategy="Lifecycle",Investment_Strategy_Sub1="Non-Standard"),VLOOKUP(Investment_Strategy&amp;"_"&amp;Investment_Strategy_Sub2&amp;"_"&amp;$A205,'Investment Strategies'!$C:$P,12,FALSE),
IF(AND(Investment_Strategy="Lifecycle",Investment_Strategy_Sub1="Standard"),VLOOKUP(Investment_Strategy&amp;"_"&amp;Investment_Strategy_Sub2&amp;"_"&amp;$A205,'Investment Strategies'!$AJ:$AV,11,FALSE),
IF(AND(Investment_Strategy="Autopilot",Investment_Strategy_Sub1="Non-Standard"),VLOOKUP(Investment_Strategy&amp;"_"&amp;Investment_Strategy_Sub2&amp;"_"&amp;$A205,'Investment Strategies'!$T:$AF,11,FALSE),
IF(Investment_Strategy="DIY",DIY_GteeChrge_SP,
"Error"))))))</f>
        <v>0</v>
      </c>
      <c r="N205" s="33">
        <f>IF($AV205=0,0,
IF(Investment_Strategy="DIS",VLOOKUP(Investment_Strategy&amp;"_"&amp;Investment_Strategy_Sub1&amp;"_"&amp;$A205,'Investment Strategies'!$AZ:$BP,17,FALSE),
IF(AND(Investment_Strategy="Lifecycle",Investment_Strategy_Sub1="Non-Standard"),VLOOKUP(Investment_Strategy&amp;"_"&amp;Investment_Strategy_Sub2&amp;"_"&amp;$A205,'Investment Strategies'!$C:$P,14,FALSE),
IF(AND(Investment_Strategy="Lifecycle",Investment_Strategy_Sub1="Standard"),VLOOKUP(Investment_Strategy&amp;"_"&amp;Investment_Strategy_Sub2&amp;"_"&amp;$A205,'Investment Strategies'!$AJ:$AV,13,FALSE),
IF(AND(Investment_Strategy="Autopilot",Investment_Strategy_Sub1="Non-Standard"),VLOOKUP(Investment_Strategy&amp;"_"&amp;Investment_Strategy_Sub2&amp;"_"&amp;$A205,'Investment Strategies'!$T:$AF,13,FALSE),
IF(Investment_Strategy="DIY",DIY_ExtManChrge_SP,
"Error"))))))</f>
        <v>0</v>
      </c>
      <c r="O205" s="16">
        <f t="shared" si="96"/>
        <v>0</v>
      </c>
      <c r="Q205" s="16">
        <f t="shared" si="70"/>
        <v>0</v>
      </c>
      <c r="R205" s="16">
        <f t="shared" si="71"/>
        <v>0</v>
      </c>
      <c r="S205" s="16">
        <f>(SRP_SP+SUM(S$91:S204))*L205*IF(D205=$A$91,SRP_finalmonthfactor,1)</f>
        <v>0</v>
      </c>
      <c r="T205" s="74">
        <f>MIN(IF($AV205=0,0,
IF(Investment_Strategy="DIS",VLOOKUP(Investment_Strategy&amp;"_"&amp;Investment_Strategy_Sub1&amp;"_"&amp;$A205,'Investment Strategies'!$AZ:$BP,12,FALSE),
IF(AND(Investment_Strategy="Lifecycle",Investment_Strategy_Sub1="Non-Standard"),VLOOKUP(Investment_Strategy&amp;"_"&amp;Investment_Strategy_Sub2&amp;"_"&amp;$A205,'Investment Strategies'!$C:$P,9,FALSE),
IF(AND(Investment_Strategy="Lifecycle",Investment_Strategy_Sub1="Standard"),VLOOKUP(Investment_Strategy&amp;"_"&amp;Investment_Strategy_Sub2&amp;"_"&amp;$A205,'Investment Strategies'!$AJ:$AV,8,FALSE),
IF(AND(Investment_Strategy="Autopilot",Investment_Strategy_Sub1="Non-Standard"),VLOOKUP(Investment_Strategy&amp;"_"&amp;Investment_Strategy_Sub2&amp;"_"&amp;$A205,'Investment Strategies'!$T:$AF,8,FALSE),
IF(Investment_Strategy ="DIY",DIY_RateOfReturn_FuturePremiums,
"Error")))))),Max_InvReturn)</f>
        <v>0</v>
      </c>
      <c r="U205" s="62">
        <f>IF($AV205=0,0,
IF(Investment_Strategy="DIS",VLOOKUP(Investment_Strategy&amp;"_"&amp;Investment_Strategy_Sub1&amp;"_"&amp;$A205,'Investment Strategies'!$AZ:$BP,15,FALSE),
IF(AND(Investment_Strategy="Lifecycle",Investment_Strategy_Sub1="Non-Standard"),VLOOKUP(Investment_Strategy&amp;"_"&amp;Investment_Strategy_Sub2&amp;"_"&amp;$A205,'Investment Strategies'!$C:$P,12,FALSE),
IF(AND(Investment_Strategy="Lifecycle",Investment_Strategy_Sub1="Standard"),VLOOKUP(Investment_Strategy&amp;"_"&amp;Investment_Strategy_Sub2&amp;"_"&amp;$A205,'Investment Strategies'!$AJ:$AV,11,FALSE),
IF(AND(Investment_Strategy="Autopilot",Investment_Strategy_Sub1="Non-Standard"),VLOOKUP(Investment_Strategy&amp;"_"&amp;Investment_Strategy_Sub2&amp;"_"&amp;$A205,'Investment Strategies'!$T:$AF,11,FALSE),
IF(Investment_Strategy="DIY",DIY_GteeChrge_FuturePremiums,
"Error"))))))</f>
        <v>0</v>
      </c>
      <c r="V205" s="33">
        <f>IF(AV205=0,0,
IF(Investment_Strategy="DIS",VLOOKUP(Investment_Strategy&amp;"_"&amp;Investment_Strategy_Sub1&amp;"_"&amp;$A205,'Investment Strategies'!$AZ:$BP,17,FALSE),
IF(AND(Investment_Strategy="Lifecycle",Investment_Strategy_Sub1="Non-Standard"),VLOOKUP(Investment_Strategy&amp;"_"&amp;Investment_Strategy_Sub2&amp;"_"&amp;$A205,'Investment Strategies'!$C:$P,14,FALSE),
IF(AND(Investment_Strategy="Lifecycle",Investment_Strategy_Sub1="Standard"),VLOOKUP(Investment_Strategy&amp;"_"&amp;Investment_Strategy_Sub2&amp;"_"&amp;$A205,'Investment Strategies'!$AJ:$AV,13,FALSE),
IF(AND(Investment_Strategy="Autopilot",Investment_Strategy_Sub1="Non-Standard"),VLOOKUP(Investment_Strategy&amp;"_"&amp;Investment_Strategy_Sub2&amp;"_"&amp;$A205,'Investment Strategies'!$T:$AF,13,FALSE),
IF(Investment_Strategy="DIY",DIY_ExtManChrge_FuturePremiums,
"Error"))))))</f>
        <v>0</v>
      </c>
      <c r="W205" s="16">
        <f t="shared" si="97"/>
        <v>0</v>
      </c>
      <c r="X205" s="16">
        <f t="shared" si="72"/>
        <v>0</v>
      </c>
      <c r="Y205" s="16">
        <f t="shared" si="73"/>
        <v>0</v>
      </c>
      <c r="Z205" s="31">
        <f t="shared" si="74"/>
        <v>0.02</v>
      </c>
      <c r="AA205" s="16">
        <f t="shared" si="75"/>
        <v>0</v>
      </c>
      <c r="AB205" s="28">
        <f t="shared" si="98"/>
        <v>0</v>
      </c>
      <c r="AC205" s="28">
        <f>(SUM($AC$91:AC204)+SUM($X$91:X204)+X205)*T205*IF(D205=$A$91,SRP_finalmonthfactor,1)</f>
        <v>0</v>
      </c>
      <c r="AD205" s="16">
        <f t="shared" si="76"/>
        <v>0</v>
      </c>
      <c r="AE205" s="106"/>
      <c r="AF205" s="16">
        <f t="shared" si="85"/>
        <v>0</v>
      </c>
      <c r="AG205" s="16">
        <f t="shared" si="86"/>
        <v>0</v>
      </c>
      <c r="AH205" s="16">
        <f t="shared" si="87"/>
        <v>0</v>
      </c>
      <c r="AJ205" s="13">
        <f t="shared" si="111"/>
        <v>0</v>
      </c>
      <c r="AK205" s="13">
        <f t="shared" si="111"/>
        <v>0</v>
      </c>
      <c r="AL205" s="13">
        <f t="shared" si="111"/>
        <v>0</v>
      </c>
      <c r="AM205" s="13">
        <f t="shared" si="111"/>
        <v>0</v>
      </c>
      <c r="AN205" s="13">
        <f t="shared" si="111"/>
        <v>0</v>
      </c>
      <c r="AO205" s="13">
        <f t="shared" si="111"/>
        <v>1</v>
      </c>
      <c r="AP205" s="13">
        <f t="shared" si="111"/>
        <v>1</v>
      </c>
      <c r="AQ205" s="13">
        <f t="shared" si="111"/>
        <v>1</v>
      </c>
      <c r="AR205" s="13">
        <f t="shared" si="111"/>
        <v>1</v>
      </c>
      <c r="AS205" s="13">
        <f t="shared" si="111"/>
        <v>1</v>
      </c>
      <c r="AT205" s="13">
        <f t="shared" si="111"/>
        <v>1</v>
      </c>
      <c r="AU205" s="13">
        <f t="shared" si="111"/>
        <v>1</v>
      </c>
      <c r="AV205" s="13">
        <f t="shared" si="77"/>
        <v>0</v>
      </c>
      <c r="AW205" s="13">
        <f t="shared" si="78"/>
        <v>1</v>
      </c>
      <c r="AY205" s="17">
        <f t="shared" si="79"/>
        <v>115</v>
      </c>
      <c r="AZ205" s="28">
        <f t="shared" si="88"/>
        <v>0</v>
      </c>
      <c r="BA205" s="13">
        <f t="shared" si="80"/>
        <v>0</v>
      </c>
      <c r="BB205" s="13">
        <f t="shared" si="81"/>
        <v>0</v>
      </c>
      <c r="BC205" s="28">
        <f t="shared" si="89"/>
        <v>0</v>
      </c>
      <c r="BD205" s="28">
        <f t="shared" si="90"/>
        <v>0</v>
      </c>
      <c r="BF205" s="248">
        <f t="shared" si="91"/>
        <v>993869.29442638322</v>
      </c>
      <c r="BG205" s="36">
        <f t="shared" si="99"/>
        <v>0</v>
      </c>
      <c r="BH205" s="36">
        <f t="shared" si="100"/>
        <v>896368.73988145753</v>
      </c>
      <c r="BI205" s="249">
        <f t="shared" si="101"/>
        <v>0</v>
      </c>
      <c r="BJ205" s="246">
        <f t="shared" si="102"/>
        <v>0</v>
      </c>
      <c r="BK205" s="246">
        <f t="shared" si="82"/>
        <v>7.531116566323881E-4</v>
      </c>
      <c r="BL205" s="246">
        <f t="shared" si="103"/>
        <v>0</v>
      </c>
      <c r="BM205" s="246">
        <f t="shared" si="104"/>
        <v>7.531116566323881E-4</v>
      </c>
      <c r="BN205" s="36">
        <f t="shared" si="92"/>
        <v>675.0657466456106</v>
      </c>
      <c r="BO205" s="36">
        <f t="shared" si="105"/>
        <v>0</v>
      </c>
      <c r="BP205" s="36">
        <f t="shared" si="106"/>
        <v>895693.67413481197</v>
      </c>
    </row>
    <row r="206" spans="1:68">
      <c r="A206" s="32">
        <f t="shared" si="93"/>
        <v>-31</v>
      </c>
      <c r="B206" s="32">
        <f t="shared" si="83"/>
        <v>62</v>
      </c>
      <c r="C206" s="32">
        <f t="shared" si="94"/>
        <v>10</v>
      </c>
      <c r="D206" s="32">
        <f t="shared" si="95"/>
        <v>116</v>
      </c>
      <c r="E206" s="74">
        <f>MIN(IF(AV206=0,0,
IF(Investment_Strategy="DIS",VLOOKUP(Investment_Strategy&amp;"_"&amp;Investment_Strategy_Sub1&amp;"_"&amp;$A206,'Investment Strategies'!$AZ:$BP,12,FALSE),
IF(AND(Investment_Strategy="Lifecycle",Investment_Strategy_Sub1="Non-Standard"),VLOOKUP(Investment_Strategy&amp;"_"&amp;Investment_Strategy_Sub2&amp;"_"&amp;$A206,'Investment Strategies'!$C:$P,9,FALSE),
IF(AND(Investment_Strategy="Lifecycle",Investment_Strategy_Sub1="Standard"),VLOOKUP(Investment_Strategy&amp;"_"&amp;Investment_Strategy_Sub2&amp;"_"&amp;$A206,'Investment Strategies'!$AJ:$AV,8,FALSE),
IF(AND(Investment_Strategy="Autopilot",Investment_Strategy_Sub1="Non-Standard"),VLOOKUP(Investment_Strategy&amp;"_"&amp;Investment_Strategy_Sub2&amp;"_"&amp;$A206,'Investment Strategies'!$T:$AF,8,FALSE),
IF(Investment_Strategy ="DIY",DIY_RateOfReturn_CurrentFunds,
"Error")))))),Max_InvReturn)</f>
        <v>0</v>
      </c>
      <c r="F206" s="62">
        <f>IF(AV206=0,0,
IF(Investment_Strategy="DIS",VLOOKUP(Investment_Strategy&amp;"_"&amp;Investment_Strategy_Sub1&amp;"_"&amp;$A206,'Investment Strategies'!$AZ:$BP,15,FALSE),
IF(AND(Investment_Strategy="Lifecycle",Investment_Strategy_Sub1="Non-Standard"),VLOOKUP(Investment_Strategy&amp;"_"&amp;Investment_Strategy_Sub2&amp;"_"&amp;$A206,'Investment Strategies'!$C:$P,12,FALSE),
IF(AND(Investment_Strategy="Lifecycle",Investment_Strategy_Sub1="Standard"),VLOOKUP(Investment_Strategy&amp;"_"&amp;Investment_Strategy_Sub2&amp;"_"&amp;$A206,'Investment Strategies'!$AJ:$AV,11,FALSE),
IF(AND(Investment_Strategy="Autopilot",Investment_Strategy_Sub1="Non-Standard"),VLOOKUP(Investment_Strategy&amp;"_"&amp;Investment_Strategy_Sub2&amp;"_"&amp;$A206,'Investment Strategies'!$T:$AF,11,FALSE),
IF(Investment_Strategy="DIY",DIY_GteeChrge_CurrentFunds,
"Error"))))))</f>
        <v>0</v>
      </c>
      <c r="G206" s="33">
        <f>IF(AV206=0,0,
IF(Investment_Strategy="DIS",VLOOKUP(Investment_Strategy&amp;"_"&amp;Investment_Strategy_Sub1&amp;"_"&amp;$A206,'Investment Strategies'!$AZ:$BP,17,FALSE),
IF(AND(Investment_Strategy="Lifecycle",Investment_Strategy_Sub1="Non-Standard"),VLOOKUP(Investment_Strategy&amp;"_"&amp;Investment_Strategy_Sub2&amp;"_"&amp;$A206,'Investment Strategies'!$C:$P,14,FALSE),
IF(AND(Investment_Strategy="Lifecycle",Investment_Strategy_Sub1="Standard"),VLOOKUP(Investment_Strategy&amp;"_"&amp;Investment_Strategy_Sub2&amp;"_"&amp;$A206,'Investment Strategies'!$AJ:$AV,13,FALSE),
IF(AND(Investment_Strategy="Autopilot",Investment_Strategy_Sub1="Non-Standard"),VLOOKUP(Investment_Strategy&amp;"_"&amp;Investment_Strategy_Sub2&amp;"_"&amp;$A206,'Investment Strategies'!$T:$AF,13,FALSE),
IF(Investment_Strategy="DIY",DIY_ExtManChrge_CurrentFunds,
"Error"))))))</f>
        <v>0</v>
      </c>
      <c r="H206" s="16">
        <f t="shared" si="84"/>
        <v>0</v>
      </c>
      <c r="I206" s="16">
        <f t="shared" si="68"/>
        <v>0</v>
      </c>
      <c r="J206" s="16">
        <f t="shared" si="69"/>
        <v>0</v>
      </c>
      <c r="K206" s="16">
        <f>(Opening_Fund_Value+SUM(K$91:K205))*E206*IF(D206=$A$91,SRP_finalmonthfactor,1)</f>
        <v>0</v>
      </c>
      <c r="L206" s="74">
        <f>MIN(IF($AV206=0,0,
IF(Investment_Strategy="DIS",VLOOKUP(Investment_Strategy&amp;"_"&amp;Investment_Strategy_Sub1&amp;"_"&amp;$A206,'Investment Strategies'!$AZ:$BP,12,FALSE),
IF(AND(Investment_Strategy="Lifecycle",Investment_Strategy_Sub1="Non-Standard"),VLOOKUP(Investment_Strategy&amp;"_"&amp;Investment_Strategy_Sub2&amp;"_"&amp;$A206,'Investment Strategies'!$C:$P,9,FALSE),
IF(AND(Investment_Strategy="Lifecycle",Investment_Strategy_Sub1="Standard"),VLOOKUP(Investment_Strategy&amp;"_"&amp;Investment_Strategy_Sub2&amp;"_"&amp;$A206,'Investment Strategies'!$AJ:$AV,8,FALSE),
IF(AND(Investment_Strategy="Autopilot",Investment_Strategy_Sub1="Non-Standard"),VLOOKUP(Investment_Strategy&amp;"_"&amp;Investment_Strategy_Sub2&amp;"_"&amp;$A206,'Investment Strategies'!$T:$AF,8,FALSE),
IF(Investment_Strategy ="DIY",DIY_RateofReturn_SP,
"Error")))))),Max_InvReturn)</f>
        <v>0</v>
      </c>
      <c r="M206" s="62">
        <f>IF($AV206=0,0,
IF(Investment_Strategy="DIS",VLOOKUP(Investment_Strategy&amp;"_"&amp;Investment_Strategy_Sub1&amp;"_"&amp;$A206,'Investment Strategies'!$AZ:$BP,15,FALSE),
IF(AND(Investment_Strategy="Lifecycle",Investment_Strategy_Sub1="Non-Standard"),VLOOKUP(Investment_Strategy&amp;"_"&amp;Investment_Strategy_Sub2&amp;"_"&amp;$A206,'Investment Strategies'!$C:$P,12,FALSE),
IF(AND(Investment_Strategy="Lifecycle",Investment_Strategy_Sub1="Standard"),VLOOKUP(Investment_Strategy&amp;"_"&amp;Investment_Strategy_Sub2&amp;"_"&amp;$A206,'Investment Strategies'!$AJ:$AV,11,FALSE),
IF(AND(Investment_Strategy="Autopilot",Investment_Strategy_Sub1="Non-Standard"),VLOOKUP(Investment_Strategy&amp;"_"&amp;Investment_Strategy_Sub2&amp;"_"&amp;$A206,'Investment Strategies'!$T:$AF,11,FALSE),
IF(Investment_Strategy="DIY",DIY_GteeChrge_SP,
"Error"))))))</f>
        <v>0</v>
      </c>
      <c r="N206" s="33">
        <f>IF($AV206=0,0,
IF(Investment_Strategy="DIS",VLOOKUP(Investment_Strategy&amp;"_"&amp;Investment_Strategy_Sub1&amp;"_"&amp;$A206,'Investment Strategies'!$AZ:$BP,17,FALSE),
IF(AND(Investment_Strategy="Lifecycle",Investment_Strategy_Sub1="Non-Standard"),VLOOKUP(Investment_Strategy&amp;"_"&amp;Investment_Strategy_Sub2&amp;"_"&amp;$A206,'Investment Strategies'!$C:$P,14,FALSE),
IF(AND(Investment_Strategy="Lifecycle",Investment_Strategy_Sub1="Standard"),VLOOKUP(Investment_Strategy&amp;"_"&amp;Investment_Strategy_Sub2&amp;"_"&amp;$A206,'Investment Strategies'!$AJ:$AV,13,FALSE),
IF(AND(Investment_Strategy="Autopilot",Investment_Strategy_Sub1="Non-Standard"),VLOOKUP(Investment_Strategy&amp;"_"&amp;Investment_Strategy_Sub2&amp;"_"&amp;$A206,'Investment Strategies'!$T:$AF,13,FALSE),
IF(Investment_Strategy="DIY",DIY_ExtManChrge_SP,
"Error"))))))</f>
        <v>0</v>
      </c>
      <c r="O206" s="16">
        <f t="shared" si="96"/>
        <v>0</v>
      </c>
      <c r="Q206" s="16">
        <f t="shared" si="70"/>
        <v>0</v>
      </c>
      <c r="R206" s="16">
        <f t="shared" si="71"/>
        <v>0</v>
      </c>
      <c r="S206" s="16">
        <f>(SRP_SP+SUM(S$91:S205))*L206*IF(D206=$A$91,SRP_finalmonthfactor,1)</f>
        <v>0</v>
      </c>
      <c r="T206" s="74">
        <f>MIN(IF($AV206=0,0,
IF(Investment_Strategy="DIS",VLOOKUP(Investment_Strategy&amp;"_"&amp;Investment_Strategy_Sub1&amp;"_"&amp;$A206,'Investment Strategies'!$AZ:$BP,12,FALSE),
IF(AND(Investment_Strategy="Lifecycle",Investment_Strategy_Sub1="Non-Standard"),VLOOKUP(Investment_Strategy&amp;"_"&amp;Investment_Strategy_Sub2&amp;"_"&amp;$A206,'Investment Strategies'!$C:$P,9,FALSE),
IF(AND(Investment_Strategy="Lifecycle",Investment_Strategy_Sub1="Standard"),VLOOKUP(Investment_Strategy&amp;"_"&amp;Investment_Strategy_Sub2&amp;"_"&amp;$A206,'Investment Strategies'!$AJ:$AV,8,FALSE),
IF(AND(Investment_Strategy="Autopilot",Investment_Strategy_Sub1="Non-Standard"),VLOOKUP(Investment_Strategy&amp;"_"&amp;Investment_Strategy_Sub2&amp;"_"&amp;$A206,'Investment Strategies'!$T:$AF,8,FALSE),
IF(Investment_Strategy ="DIY",DIY_RateOfReturn_FuturePremiums,
"Error")))))),Max_InvReturn)</f>
        <v>0</v>
      </c>
      <c r="U206" s="62">
        <f>IF($AV206=0,0,
IF(Investment_Strategy="DIS",VLOOKUP(Investment_Strategy&amp;"_"&amp;Investment_Strategy_Sub1&amp;"_"&amp;$A206,'Investment Strategies'!$AZ:$BP,15,FALSE),
IF(AND(Investment_Strategy="Lifecycle",Investment_Strategy_Sub1="Non-Standard"),VLOOKUP(Investment_Strategy&amp;"_"&amp;Investment_Strategy_Sub2&amp;"_"&amp;$A206,'Investment Strategies'!$C:$P,12,FALSE),
IF(AND(Investment_Strategy="Lifecycle",Investment_Strategy_Sub1="Standard"),VLOOKUP(Investment_Strategy&amp;"_"&amp;Investment_Strategy_Sub2&amp;"_"&amp;$A206,'Investment Strategies'!$AJ:$AV,11,FALSE),
IF(AND(Investment_Strategy="Autopilot",Investment_Strategy_Sub1="Non-Standard"),VLOOKUP(Investment_Strategy&amp;"_"&amp;Investment_Strategy_Sub2&amp;"_"&amp;$A206,'Investment Strategies'!$T:$AF,11,FALSE),
IF(Investment_Strategy="DIY",DIY_GteeChrge_FuturePremiums,
"Error"))))))</f>
        <v>0</v>
      </c>
      <c r="V206" s="33">
        <f>IF(AV206=0,0,
IF(Investment_Strategy="DIS",VLOOKUP(Investment_Strategy&amp;"_"&amp;Investment_Strategy_Sub1&amp;"_"&amp;$A206,'Investment Strategies'!$AZ:$BP,17,FALSE),
IF(AND(Investment_Strategy="Lifecycle",Investment_Strategy_Sub1="Non-Standard"),VLOOKUP(Investment_Strategy&amp;"_"&amp;Investment_Strategy_Sub2&amp;"_"&amp;$A206,'Investment Strategies'!$C:$P,14,FALSE),
IF(AND(Investment_Strategy="Lifecycle",Investment_Strategy_Sub1="Standard"),VLOOKUP(Investment_Strategy&amp;"_"&amp;Investment_Strategy_Sub2&amp;"_"&amp;$A206,'Investment Strategies'!$AJ:$AV,13,FALSE),
IF(AND(Investment_Strategy="Autopilot",Investment_Strategy_Sub1="Non-Standard"),VLOOKUP(Investment_Strategy&amp;"_"&amp;Investment_Strategy_Sub2&amp;"_"&amp;$A206,'Investment Strategies'!$T:$AF,13,FALSE),
IF(Investment_Strategy="DIY",DIY_ExtManChrge_FuturePremiums,
"Error"))))))</f>
        <v>0</v>
      </c>
      <c r="W206" s="16">
        <f t="shared" si="97"/>
        <v>0</v>
      </c>
      <c r="X206" s="16">
        <f t="shared" si="72"/>
        <v>0</v>
      </c>
      <c r="Y206" s="16">
        <f t="shared" si="73"/>
        <v>0</v>
      </c>
      <c r="Z206" s="31">
        <f t="shared" si="74"/>
        <v>0.02</v>
      </c>
      <c r="AA206" s="16">
        <f t="shared" si="75"/>
        <v>0</v>
      </c>
      <c r="AB206" s="28">
        <f t="shared" si="98"/>
        <v>0</v>
      </c>
      <c r="AC206" s="28">
        <f>(SUM($AC$91:AC205)+SUM($X$91:X205)+X206)*T206*IF(D206=$A$91,SRP_finalmonthfactor,1)</f>
        <v>0</v>
      </c>
      <c r="AD206" s="16">
        <f t="shared" si="76"/>
        <v>0</v>
      </c>
      <c r="AE206" s="106"/>
      <c r="AF206" s="16">
        <f t="shared" si="85"/>
        <v>0</v>
      </c>
      <c r="AG206" s="16">
        <f t="shared" si="86"/>
        <v>0</v>
      </c>
      <c r="AH206" s="16">
        <f t="shared" si="87"/>
        <v>0</v>
      </c>
      <c r="AJ206" s="13">
        <f t="shared" si="111"/>
        <v>0</v>
      </c>
      <c r="AK206" s="13">
        <f t="shared" si="111"/>
        <v>0</v>
      </c>
      <c r="AL206" s="13">
        <f t="shared" si="111"/>
        <v>0</v>
      </c>
      <c r="AM206" s="13">
        <f t="shared" si="111"/>
        <v>0</v>
      </c>
      <c r="AN206" s="13">
        <f t="shared" si="111"/>
        <v>0</v>
      </c>
      <c r="AO206" s="13">
        <f t="shared" si="111"/>
        <v>1</v>
      </c>
      <c r="AP206" s="13">
        <f t="shared" si="111"/>
        <v>1</v>
      </c>
      <c r="AQ206" s="13">
        <f t="shared" si="111"/>
        <v>1</v>
      </c>
      <c r="AR206" s="13">
        <f t="shared" si="111"/>
        <v>1</v>
      </c>
      <c r="AS206" s="13">
        <f t="shared" si="111"/>
        <v>1</v>
      </c>
      <c r="AT206" s="13">
        <f t="shared" si="111"/>
        <v>1</v>
      </c>
      <c r="AU206" s="13">
        <f t="shared" si="111"/>
        <v>1</v>
      </c>
      <c r="AV206" s="13">
        <f t="shared" si="77"/>
        <v>0</v>
      </c>
      <c r="AW206" s="13">
        <f t="shared" si="78"/>
        <v>1</v>
      </c>
      <c r="AY206" s="17">
        <f t="shared" si="79"/>
        <v>116</v>
      </c>
      <c r="AZ206" s="28">
        <f t="shared" si="88"/>
        <v>0</v>
      </c>
      <c r="BA206" s="13">
        <f t="shared" si="80"/>
        <v>0</v>
      </c>
      <c r="BB206" s="13">
        <f t="shared" si="81"/>
        <v>0</v>
      </c>
      <c r="BC206" s="28">
        <f t="shared" si="89"/>
        <v>0</v>
      </c>
      <c r="BD206" s="28">
        <f t="shared" si="90"/>
        <v>0</v>
      </c>
      <c r="BF206" s="248">
        <f t="shared" si="91"/>
        <v>993869.29442638322</v>
      </c>
      <c r="BG206" s="36">
        <f t="shared" si="99"/>
        <v>0</v>
      </c>
      <c r="BH206" s="36">
        <f t="shared" si="100"/>
        <v>895693.67413481197</v>
      </c>
      <c r="BI206" s="249">
        <f t="shared" si="101"/>
        <v>0</v>
      </c>
      <c r="BJ206" s="246">
        <f t="shared" si="102"/>
        <v>0</v>
      </c>
      <c r="BK206" s="246">
        <f t="shared" si="82"/>
        <v>7.531116566323881E-4</v>
      </c>
      <c r="BL206" s="246">
        <f t="shared" si="103"/>
        <v>0</v>
      </c>
      <c r="BM206" s="246">
        <f t="shared" si="104"/>
        <v>7.531116566323881E-4</v>
      </c>
      <c r="BN206" s="36">
        <f t="shared" si="92"/>
        <v>674.55734676281861</v>
      </c>
      <c r="BO206" s="36">
        <f t="shared" si="105"/>
        <v>0</v>
      </c>
      <c r="BP206" s="36">
        <f t="shared" si="106"/>
        <v>895019.11678804911</v>
      </c>
    </row>
    <row r="207" spans="1:68">
      <c r="A207" s="32">
        <f t="shared" si="93"/>
        <v>-32</v>
      </c>
      <c r="B207" s="32">
        <f t="shared" si="83"/>
        <v>62</v>
      </c>
      <c r="C207" s="32">
        <f t="shared" si="94"/>
        <v>10</v>
      </c>
      <c r="D207" s="32">
        <f t="shared" si="95"/>
        <v>117</v>
      </c>
      <c r="E207" s="74">
        <f>MIN(IF(AV207=0,0,
IF(Investment_Strategy="DIS",VLOOKUP(Investment_Strategy&amp;"_"&amp;Investment_Strategy_Sub1&amp;"_"&amp;$A207,'Investment Strategies'!$AZ:$BP,12,FALSE),
IF(AND(Investment_Strategy="Lifecycle",Investment_Strategy_Sub1="Non-Standard"),VLOOKUP(Investment_Strategy&amp;"_"&amp;Investment_Strategy_Sub2&amp;"_"&amp;$A207,'Investment Strategies'!$C:$P,9,FALSE),
IF(AND(Investment_Strategy="Lifecycle",Investment_Strategy_Sub1="Standard"),VLOOKUP(Investment_Strategy&amp;"_"&amp;Investment_Strategy_Sub2&amp;"_"&amp;$A207,'Investment Strategies'!$AJ:$AV,8,FALSE),
IF(AND(Investment_Strategy="Autopilot",Investment_Strategy_Sub1="Non-Standard"),VLOOKUP(Investment_Strategy&amp;"_"&amp;Investment_Strategy_Sub2&amp;"_"&amp;$A207,'Investment Strategies'!$T:$AF,8,FALSE),
IF(Investment_Strategy ="DIY",DIY_RateOfReturn_CurrentFunds,
"Error")))))),Max_InvReturn)</f>
        <v>0</v>
      </c>
      <c r="F207" s="62">
        <f>IF(AV207=0,0,
IF(Investment_Strategy="DIS",VLOOKUP(Investment_Strategy&amp;"_"&amp;Investment_Strategy_Sub1&amp;"_"&amp;$A207,'Investment Strategies'!$AZ:$BP,15,FALSE),
IF(AND(Investment_Strategy="Lifecycle",Investment_Strategy_Sub1="Non-Standard"),VLOOKUP(Investment_Strategy&amp;"_"&amp;Investment_Strategy_Sub2&amp;"_"&amp;$A207,'Investment Strategies'!$C:$P,12,FALSE),
IF(AND(Investment_Strategy="Lifecycle",Investment_Strategy_Sub1="Standard"),VLOOKUP(Investment_Strategy&amp;"_"&amp;Investment_Strategy_Sub2&amp;"_"&amp;$A207,'Investment Strategies'!$AJ:$AV,11,FALSE),
IF(AND(Investment_Strategy="Autopilot",Investment_Strategy_Sub1="Non-Standard"),VLOOKUP(Investment_Strategy&amp;"_"&amp;Investment_Strategy_Sub2&amp;"_"&amp;$A207,'Investment Strategies'!$T:$AF,11,FALSE),
IF(Investment_Strategy="DIY",DIY_GteeChrge_CurrentFunds,
"Error"))))))</f>
        <v>0</v>
      </c>
      <c r="G207" s="33">
        <f>IF(AV207=0,0,
IF(Investment_Strategy="DIS",VLOOKUP(Investment_Strategy&amp;"_"&amp;Investment_Strategy_Sub1&amp;"_"&amp;$A207,'Investment Strategies'!$AZ:$BP,17,FALSE),
IF(AND(Investment_Strategy="Lifecycle",Investment_Strategy_Sub1="Non-Standard"),VLOOKUP(Investment_Strategy&amp;"_"&amp;Investment_Strategy_Sub2&amp;"_"&amp;$A207,'Investment Strategies'!$C:$P,14,FALSE),
IF(AND(Investment_Strategy="Lifecycle",Investment_Strategy_Sub1="Standard"),VLOOKUP(Investment_Strategy&amp;"_"&amp;Investment_Strategy_Sub2&amp;"_"&amp;$A207,'Investment Strategies'!$AJ:$AV,13,FALSE),
IF(AND(Investment_Strategy="Autopilot",Investment_Strategy_Sub1="Non-Standard"),VLOOKUP(Investment_Strategy&amp;"_"&amp;Investment_Strategy_Sub2&amp;"_"&amp;$A207,'Investment Strategies'!$T:$AF,13,FALSE),
IF(Investment_Strategy="DIY",DIY_ExtManChrge_CurrentFunds,
"Error"))))))</f>
        <v>0</v>
      </c>
      <c r="H207" s="16">
        <f t="shared" si="84"/>
        <v>0</v>
      </c>
      <c r="I207" s="16">
        <f t="shared" si="68"/>
        <v>0</v>
      </c>
      <c r="J207" s="16">
        <f t="shared" si="69"/>
        <v>0</v>
      </c>
      <c r="K207" s="16">
        <f>(Opening_Fund_Value+SUM(K$91:K206))*E207*IF(D207=$A$91,SRP_finalmonthfactor,1)</f>
        <v>0</v>
      </c>
      <c r="L207" s="74">
        <f>MIN(IF($AV207=0,0,
IF(Investment_Strategy="DIS",VLOOKUP(Investment_Strategy&amp;"_"&amp;Investment_Strategy_Sub1&amp;"_"&amp;$A207,'Investment Strategies'!$AZ:$BP,12,FALSE),
IF(AND(Investment_Strategy="Lifecycle",Investment_Strategy_Sub1="Non-Standard"),VLOOKUP(Investment_Strategy&amp;"_"&amp;Investment_Strategy_Sub2&amp;"_"&amp;$A207,'Investment Strategies'!$C:$P,9,FALSE),
IF(AND(Investment_Strategy="Lifecycle",Investment_Strategy_Sub1="Standard"),VLOOKUP(Investment_Strategy&amp;"_"&amp;Investment_Strategy_Sub2&amp;"_"&amp;$A207,'Investment Strategies'!$AJ:$AV,8,FALSE),
IF(AND(Investment_Strategy="Autopilot",Investment_Strategy_Sub1="Non-Standard"),VLOOKUP(Investment_Strategy&amp;"_"&amp;Investment_Strategy_Sub2&amp;"_"&amp;$A207,'Investment Strategies'!$T:$AF,8,FALSE),
IF(Investment_Strategy ="DIY",DIY_RateofReturn_SP,
"Error")))))),Max_InvReturn)</f>
        <v>0</v>
      </c>
      <c r="M207" s="62">
        <f>IF($AV207=0,0,
IF(Investment_Strategy="DIS",VLOOKUP(Investment_Strategy&amp;"_"&amp;Investment_Strategy_Sub1&amp;"_"&amp;$A207,'Investment Strategies'!$AZ:$BP,15,FALSE),
IF(AND(Investment_Strategy="Lifecycle",Investment_Strategy_Sub1="Non-Standard"),VLOOKUP(Investment_Strategy&amp;"_"&amp;Investment_Strategy_Sub2&amp;"_"&amp;$A207,'Investment Strategies'!$C:$P,12,FALSE),
IF(AND(Investment_Strategy="Lifecycle",Investment_Strategy_Sub1="Standard"),VLOOKUP(Investment_Strategy&amp;"_"&amp;Investment_Strategy_Sub2&amp;"_"&amp;$A207,'Investment Strategies'!$AJ:$AV,11,FALSE),
IF(AND(Investment_Strategy="Autopilot",Investment_Strategy_Sub1="Non-Standard"),VLOOKUP(Investment_Strategy&amp;"_"&amp;Investment_Strategy_Sub2&amp;"_"&amp;$A207,'Investment Strategies'!$T:$AF,11,FALSE),
IF(Investment_Strategy="DIY",DIY_GteeChrge_SP,
"Error"))))))</f>
        <v>0</v>
      </c>
      <c r="N207" s="33">
        <f>IF($AV207=0,0,
IF(Investment_Strategy="DIS",VLOOKUP(Investment_Strategy&amp;"_"&amp;Investment_Strategy_Sub1&amp;"_"&amp;$A207,'Investment Strategies'!$AZ:$BP,17,FALSE),
IF(AND(Investment_Strategy="Lifecycle",Investment_Strategy_Sub1="Non-Standard"),VLOOKUP(Investment_Strategy&amp;"_"&amp;Investment_Strategy_Sub2&amp;"_"&amp;$A207,'Investment Strategies'!$C:$P,14,FALSE),
IF(AND(Investment_Strategy="Lifecycle",Investment_Strategy_Sub1="Standard"),VLOOKUP(Investment_Strategy&amp;"_"&amp;Investment_Strategy_Sub2&amp;"_"&amp;$A207,'Investment Strategies'!$AJ:$AV,13,FALSE),
IF(AND(Investment_Strategy="Autopilot",Investment_Strategy_Sub1="Non-Standard"),VLOOKUP(Investment_Strategy&amp;"_"&amp;Investment_Strategy_Sub2&amp;"_"&amp;$A207,'Investment Strategies'!$T:$AF,13,FALSE),
IF(Investment_Strategy="DIY",DIY_ExtManChrge_SP,
"Error"))))))</f>
        <v>0</v>
      </c>
      <c r="O207" s="16">
        <f t="shared" si="96"/>
        <v>0</v>
      </c>
      <c r="Q207" s="16">
        <f t="shared" si="70"/>
        <v>0</v>
      </c>
      <c r="R207" s="16">
        <f t="shared" si="71"/>
        <v>0</v>
      </c>
      <c r="S207" s="16">
        <f>(SRP_SP+SUM(S$91:S206))*L207*IF(D207=$A$91,SRP_finalmonthfactor,1)</f>
        <v>0</v>
      </c>
      <c r="T207" s="74">
        <f>MIN(IF($AV207=0,0,
IF(Investment_Strategy="DIS",VLOOKUP(Investment_Strategy&amp;"_"&amp;Investment_Strategy_Sub1&amp;"_"&amp;$A207,'Investment Strategies'!$AZ:$BP,12,FALSE),
IF(AND(Investment_Strategy="Lifecycle",Investment_Strategy_Sub1="Non-Standard"),VLOOKUP(Investment_Strategy&amp;"_"&amp;Investment_Strategy_Sub2&amp;"_"&amp;$A207,'Investment Strategies'!$C:$P,9,FALSE),
IF(AND(Investment_Strategy="Lifecycle",Investment_Strategy_Sub1="Standard"),VLOOKUP(Investment_Strategy&amp;"_"&amp;Investment_Strategy_Sub2&amp;"_"&amp;$A207,'Investment Strategies'!$AJ:$AV,8,FALSE),
IF(AND(Investment_Strategy="Autopilot",Investment_Strategy_Sub1="Non-Standard"),VLOOKUP(Investment_Strategy&amp;"_"&amp;Investment_Strategy_Sub2&amp;"_"&amp;$A207,'Investment Strategies'!$T:$AF,8,FALSE),
IF(Investment_Strategy ="DIY",DIY_RateOfReturn_FuturePremiums,
"Error")))))),Max_InvReturn)</f>
        <v>0</v>
      </c>
      <c r="U207" s="62">
        <f>IF($AV207=0,0,
IF(Investment_Strategy="DIS",VLOOKUP(Investment_Strategy&amp;"_"&amp;Investment_Strategy_Sub1&amp;"_"&amp;$A207,'Investment Strategies'!$AZ:$BP,15,FALSE),
IF(AND(Investment_Strategy="Lifecycle",Investment_Strategy_Sub1="Non-Standard"),VLOOKUP(Investment_Strategy&amp;"_"&amp;Investment_Strategy_Sub2&amp;"_"&amp;$A207,'Investment Strategies'!$C:$P,12,FALSE),
IF(AND(Investment_Strategy="Lifecycle",Investment_Strategy_Sub1="Standard"),VLOOKUP(Investment_Strategy&amp;"_"&amp;Investment_Strategy_Sub2&amp;"_"&amp;$A207,'Investment Strategies'!$AJ:$AV,11,FALSE),
IF(AND(Investment_Strategy="Autopilot",Investment_Strategy_Sub1="Non-Standard"),VLOOKUP(Investment_Strategy&amp;"_"&amp;Investment_Strategy_Sub2&amp;"_"&amp;$A207,'Investment Strategies'!$T:$AF,11,FALSE),
IF(Investment_Strategy="DIY",DIY_GteeChrge_FuturePremiums,
"Error"))))))</f>
        <v>0</v>
      </c>
      <c r="V207" s="33">
        <f>IF(AV207=0,0,
IF(Investment_Strategy="DIS",VLOOKUP(Investment_Strategy&amp;"_"&amp;Investment_Strategy_Sub1&amp;"_"&amp;$A207,'Investment Strategies'!$AZ:$BP,17,FALSE),
IF(AND(Investment_Strategy="Lifecycle",Investment_Strategy_Sub1="Non-Standard"),VLOOKUP(Investment_Strategy&amp;"_"&amp;Investment_Strategy_Sub2&amp;"_"&amp;$A207,'Investment Strategies'!$C:$P,14,FALSE),
IF(AND(Investment_Strategy="Lifecycle",Investment_Strategy_Sub1="Standard"),VLOOKUP(Investment_Strategy&amp;"_"&amp;Investment_Strategy_Sub2&amp;"_"&amp;$A207,'Investment Strategies'!$AJ:$AV,13,FALSE),
IF(AND(Investment_Strategy="Autopilot",Investment_Strategy_Sub1="Non-Standard"),VLOOKUP(Investment_Strategy&amp;"_"&amp;Investment_Strategy_Sub2&amp;"_"&amp;$A207,'Investment Strategies'!$T:$AF,13,FALSE),
IF(Investment_Strategy="DIY",DIY_ExtManChrge_FuturePremiums,
"Error"))))))</f>
        <v>0</v>
      </c>
      <c r="W207" s="16">
        <f t="shared" si="97"/>
        <v>0</v>
      </c>
      <c r="X207" s="16">
        <f t="shared" si="72"/>
        <v>0</v>
      </c>
      <c r="Y207" s="16">
        <f t="shared" si="73"/>
        <v>0</v>
      </c>
      <c r="Z207" s="31">
        <f t="shared" si="74"/>
        <v>0.02</v>
      </c>
      <c r="AA207" s="16">
        <f t="shared" si="75"/>
        <v>0</v>
      </c>
      <c r="AB207" s="28">
        <f t="shared" si="98"/>
        <v>0</v>
      </c>
      <c r="AC207" s="28">
        <f>(SUM($AC$91:AC206)+SUM($X$91:X206)+X207)*T207*IF(D207=$A$91,SRP_finalmonthfactor,1)</f>
        <v>0</v>
      </c>
      <c r="AD207" s="16">
        <f t="shared" si="76"/>
        <v>0</v>
      </c>
      <c r="AE207" s="106"/>
      <c r="AF207" s="16">
        <f t="shared" si="85"/>
        <v>0</v>
      </c>
      <c r="AG207" s="16">
        <f t="shared" si="86"/>
        <v>0</v>
      </c>
      <c r="AH207" s="16">
        <f t="shared" si="87"/>
        <v>0</v>
      </c>
      <c r="AJ207" s="13">
        <f t="shared" si="111"/>
        <v>0</v>
      </c>
      <c r="AK207" s="13">
        <f t="shared" si="111"/>
        <v>0</v>
      </c>
      <c r="AL207" s="13">
        <f t="shared" si="111"/>
        <v>0</v>
      </c>
      <c r="AM207" s="13">
        <f t="shared" si="111"/>
        <v>0</v>
      </c>
      <c r="AN207" s="13">
        <f t="shared" si="111"/>
        <v>0</v>
      </c>
      <c r="AO207" s="13">
        <f t="shared" si="111"/>
        <v>1</v>
      </c>
      <c r="AP207" s="13">
        <f t="shared" si="111"/>
        <v>1</v>
      </c>
      <c r="AQ207" s="13">
        <f t="shared" si="111"/>
        <v>1</v>
      </c>
      <c r="AR207" s="13">
        <f t="shared" si="111"/>
        <v>1</v>
      </c>
      <c r="AS207" s="13">
        <f t="shared" si="111"/>
        <v>1</v>
      </c>
      <c r="AT207" s="13">
        <f t="shared" si="111"/>
        <v>1</v>
      </c>
      <c r="AU207" s="13">
        <f t="shared" si="111"/>
        <v>1</v>
      </c>
      <c r="AV207" s="13">
        <f t="shared" si="77"/>
        <v>0</v>
      </c>
      <c r="AW207" s="13">
        <f t="shared" si="78"/>
        <v>1</v>
      </c>
      <c r="AY207" s="17">
        <f t="shared" si="79"/>
        <v>117</v>
      </c>
      <c r="AZ207" s="28">
        <f t="shared" si="88"/>
        <v>0</v>
      </c>
      <c r="BA207" s="13">
        <f t="shared" si="80"/>
        <v>0</v>
      </c>
      <c r="BB207" s="13">
        <f t="shared" si="81"/>
        <v>0</v>
      </c>
      <c r="BC207" s="28">
        <f t="shared" si="89"/>
        <v>0</v>
      </c>
      <c r="BD207" s="28">
        <f t="shared" si="90"/>
        <v>0</v>
      </c>
      <c r="BF207" s="248">
        <f t="shared" si="91"/>
        <v>993869.29442638322</v>
      </c>
      <c r="BG207" s="36">
        <f t="shared" si="99"/>
        <v>0</v>
      </c>
      <c r="BH207" s="36">
        <f t="shared" si="100"/>
        <v>895019.11678804911</v>
      </c>
      <c r="BI207" s="249">
        <f t="shared" si="101"/>
        <v>0</v>
      </c>
      <c r="BJ207" s="246">
        <f t="shared" si="102"/>
        <v>0</v>
      </c>
      <c r="BK207" s="246">
        <f t="shared" si="82"/>
        <v>7.531116566323881E-4</v>
      </c>
      <c r="BL207" s="246">
        <f t="shared" si="103"/>
        <v>0</v>
      </c>
      <c r="BM207" s="246">
        <f t="shared" si="104"/>
        <v>7.531116566323881E-4</v>
      </c>
      <c r="BN207" s="36">
        <f t="shared" si="92"/>
        <v>674.04932976190446</v>
      </c>
      <c r="BO207" s="36">
        <f t="shared" si="105"/>
        <v>0</v>
      </c>
      <c r="BP207" s="36">
        <f t="shared" si="106"/>
        <v>894345.06745828723</v>
      </c>
    </row>
    <row r="208" spans="1:68">
      <c r="A208" s="32">
        <f t="shared" si="93"/>
        <v>-33</v>
      </c>
      <c r="B208" s="32">
        <f t="shared" si="83"/>
        <v>62</v>
      </c>
      <c r="C208" s="32">
        <f t="shared" si="94"/>
        <v>10</v>
      </c>
      <c r="D208" s="32">
        <f t="shared" si="95"/>
        <v>118</v>
      </c>
      <c r="E208" s="74">
        <f>MIN(IF(AV208=0,0,
IF(Investment_Strategy="DIS",VLOOKUP(Investment_Strategy&amp;"_"&amp;Investment_Strategy_Sub1&amp;"_"&amp;$A208,'Investment Strategies'!$AZ:$BP,12,FALSE),
IF(AND(Investment_Strategy="Lifecycle",Investment_Strategy_Sub1="Non-Standard"),VLOOKUP(Investment_Strategy&amp;"_"&amp;Investment_Strategy_Sub2&amp;"_"&amp;$A208,'Investment Strategies'!$C:$P,9,FALSE),
IF(AND(Investment_Strategy="Lifecycle",Investment_Strategy_Sub1="Standard"),VLOOKUP(Investment_Strategy&amp;"_"&amp;Investment_Strategy_Sub2&amp;"_"&amp;$A208,'Investment Strategies'!$AJ:$AV,8,FALSE),
IF(AND(Investment_Strategy="Autopilot",Investment_Strategy_Sub1="Non-Standard"),VLOOKUP(Investment_Strategy&amp;"_"&amp;Investment_Strategy_Sub2&amp;"_"&amp;$A208,'Investment Strategies'!$T:$AF,8,FALSE),
IF(Investment_Strategy ="DIY",DIY_RateOfReturn_CurrentFunds,
"Error")))))),Max_InvReturn)</f>
        <v>0</v>
      </c>
      <c r="F208" s="62">
        <f>IF(AV208=0,0,
IF(Investment_Strategy="DIS",VLOOKUP(Investment_Strategy&amp;"_"&amp;Investment_Strategy_Sub1&amp;"_"&amp;$A208,'Investment Strategies'!$AZ:$BP,15,FALSE),
IF(AND(Investment_Strategy="Lifecycle",Investment_Strategy_Sub1="Non-Standard"),VLOOKUP(Investment_Strategy&amp;"_"&amp;Investment_Strategy_Sub2&amp;"_"&amp;$A208,'Investment Strategies'!$C:$P,12,FALSE),
IF(AND(Investment_Strategy="Lifecycle",Investment_Strategy_Sub1="Standard"),VLOOKUP(Investment_Strategy&amp;"_"&amp;Investment_Strategy_Sub2&amp;"_"&amp;$A208,'Investment Strategies'!$AJ:$AV,11,FALSE),
IF(AND(Investment_Strategy="Autopilot",Investment_Strategy_Sub1="Non-Standard"),VLOOKUP(Investment_Strategy&amp;"_"&amp;Investment_Strategy_Sub2&amp;"_"&amp;$A208,'Investment Strategies'!$T:$AF,11,FALSE),
IF(Investment_Strategy="DIY",DIY_GteeChrge_CurrentFunds,
"Error"))))))</f>
        <v>0</v>
      </c>
      <c r="G208" s="33">
        <f>IF(AV208=0,0,
IF(Investment_Strategy="DIS",VLOOKUP(Investment_Strategy&amp;"_"&amp;Investment_Strategy_Sub1&amp;"_"&amp;$A208,'Investment Strategies'!$AZ:$BP,17,FALSE),
IF(AND(Investment_Strategy="Lifecycle",Investment_Strategy_Sub1="Non-Standard"),VLOOKUP(Investment_Strategy&amp;"_"&amp;Investment_Strategy_Sub2&amp;"_"&amp;$A208,'Investment Strategies'!$C:$P,14,FALSE),
IF(AND(Investment_Strategy="Lifecycle",Investment_Strategy_Sub1="Standard"),VLOOKUP(Investment_Strategy&amp;"_"&amp;Investment_Strategy_Sub2&amp;"_"&amp;$A208,'Investment Strategies'!$AJ:$AV,13,FALSE),
IF(AND(Investment_Strategy="Autopilot",Investment_Strategy_Sub1="Non-Standard"),VLOOKUP(Investment_Strategy&amp;"_"&amp;Investment_Strategy_Sub2&amp;"_"&amp;$A208,'Investment Strategies'!$T:$AF,13,FALSE),
IF(Investment_Strategy="DIY",DIY_ExtManChrge_CurrentFunds,
"Error"))))))</f>
        <v>0</v>
      </c>
      <c r="H208" s="16">
        <f t="shared" si="84"/>
        <v>0</v>
      </c>
      <c r="I208" s="16">
        <f t="shared" si="68"/>
        <v>0</v>
      </c>
      <c r="J208" s="16">
        <f t="shared" si="69"/>
        <v>0</v>
      </c>
      <c r="K208" s="16">
        <f>(Opening_Fund_Value+SUM(K$91:K207))*E208*IF(D208=$A$91,SRP_finalmonthfactor,1)</f>
        <v>0</v>
      </c>
      <c r="L208" s="74">
        <f>MIN(IF($AV208=0,0,
IF(Investment_Strategy="DIS",VLOOKUP(Investment_Strategy&amp;"_"&amp;Investment_Strategy_Sub1&amp;"_"&amp;$A208,'Investment Strategies'!$AZ:$BP,12,FALSE),
IF(AND(Investment_Strategy="Lifecycle",Investment_Strategy_Sub1="Non-Standard"),VLOOKUP(Investment_Strategy&amp;"_"&amp;Investment_Strategy_Sub2&amp;"_"&amp;$A208,'Investment Strategies'!$C:$P,9,FALSE),
IF(AND(Investment_Strategy="Lifecycle",Investment_Strategy_Sub1="Standard"),VLOOKUP(Investment_Strategy&amp;"_"&amp;Investment_Strategy_Sub2&amp;"_"&amp;$A208,'Investment Strategies'!$AJ:$AV,8,FALSE),
IF(AND(Investment_Strategy="Autopilot",Investment_Strategy_Sub1="Non-Standard"),VLOOKUP(Investment_Strategy&amp;"_"&amp;Investment_Strategy_Sub2&amp;"_"&amp;$A208,'Investment Strategies'!$T:$AF,8,FALSE),
IF(Investment_Strategy ="DIY",DIY_RateofReturn_SP,
"Error")))))),Max_InvReturn)</f>
        <v>0</v>
      </c>
      <c r="M208" s="62">
        <f>IF($AV208=0,0,
IF(Investment_Strategy="DIS",VLOOKUP(Investment_Strategy&amp;"_"&amp;Investment_Strategy_Sub1&amp;"_"&amp;$A208,'Investment Strategies'!$AZ:$BP,15,FALSE),
IF(AND(Investment_Strategy="Lifecycle",Investment_Strategy_Sub1="Non-Standard"),VLOOKUP(Investment_Strategy&amp;"_"&amp;Investment_Strategy_Sub2&amp;"_"&amp;$A208,'Investment Strategies'!$C:$P,12,FALSE),
IF(AND(Investment_Strategy="Lifecycle",Investment_Strategy_Sub1="Standard"),VLOOKUP(Investment_Strategy&amp;"_"&amp;Investment_Strategy_Sub2&amp;"_"&amp;$A208,'Investment Strategies'!$AJ:$AV,11,FALSE),
IF(AND(Investment_Strategy="Autopilot",Investment_Strategy_Sub1="Non-Standard"),VLOOKUP(Investment_Strategy&amp;"_"&amp;Investment_Strategy_Sub2&amp;"_"&amp;$A208,'Investment Strategies'!$T:$AF,11,FALSE),
IF(Investment_Strategy="DIY",DIY_GteeChrge_SP,
"Error"))))))</f>
        <v>0</v>
      </c>
      <c r="N208" s="33">
        <f>IF($AV208=0,0,
IF(Investment_Strategy="DIS",VLOOKUP(Investment_Strategy&amp;"_"&amp;Investment_Strategy_Sub1&amp;"_"&amp;$A208,'Investment Strategies'!$AZ:$BP,17,FALSE),
IF(AND(Investment_Strategy="Lifecycle",Investment_Strategy_Sub1="Non-Standard"),VLOOKUP(Investment_Strategy&amp;"_"&amp;Investment_Strategy_Sub2&amp;"_"&amp;$A208,'Investment Strategies'!$C:$P,14,FALSE),
IF(AND(Investment_Strategy="Lifecycle",Investment_Strategy_Sub1="Standard"),VLOOKUP(Investment_Strategy&amp;"_"&amp;Investment_Strategy_Sub2&amp;"_"&amp;$A208,'Investment Strategies'!$AJ:$AV,13,FALSE),
IF(AND(Investment_Strategy="Autopilot",Investment_Strategy_Sub1="Non-Standard"),VLOOKUP(Investment_Strategy&amp;"_"&amp;Investment_Strategy_Sub2&amp;"_"&amp;$A208,'Investment Strategies'!$T:$AF,13,FALSE),
IF(Investment_Strategy="DIY",DIY_ExtManChrge_SP,
"Error"))))))</f>
        <v>0</v>
      </c>
      <c r="O208" s="16">
        <f t="shared" si="96"/>
        <v>0</v>
      </c>
      <c r="Q208" s="16">
        <f t="shared" si="70"/>
        <v>0</v>
      </c>
      <c r="R208" s="16">
        <f t="shared" si="71"/>
        <v>0</v>
      </c>
      <c r="S208" s="16">
        <f>(SRP_SP+SUM(S$91:S207))*L208*IF(D208=$A$91,SRP_finalmonthfactor,1)</f>
        <v>0</v>
      </c>
      <c r="T208" s="74">
        <f>MIN(IF($AV208=0,0,
IF(Investment_Strategy="DIS",VLOOKUP(Investment_Strategy&amp;"_"&amp;Investment_Strategy_Sub1&amp;"_"&amp;$A208,'Investment Strategies'!$AZ:$BP,12,FALSE),
IF(AND(Investment_Strategy="Lifecycle",Investment_Strategy_Sub1="Non-Standard"),VLOOKUP(Investment_Strategy&amp;"_"&amp;Investment_Strategy_Sub2&amp;"_"&amp;$A208,'Investment Strategies'!$C:$P,9,FALSE),
IF(AND(Investment_Strategy="Lifecycle",Investment_Strategy_Sub1="Standard"),VLOOKUP(Investment_Strategy&amp;"_"&amp;Investment_Strategy_Sub2&amp;"_"&amp;$A208,'Investment Strategies'!$AJ:$AV,8,FALSE),
IF(AND(Investment_Strategy="Autopilot",Investment_Strategy_Sub1="Non-Standard"),VLOOKUP(Investment_Strategy&amp;"_"&amp;Investment_Strategy_Sub2&amp;"_"&amp;$A208,'Investment Strategies'!$T:$AF,8,FALSE),
IF(Investment_Strategy ="DIY",DIY_RateOfReturn_FuturePremiums,
"Error")))))),Max_InvReturn)</f>
        <v>0</v>
      </c>
      <c r="U208" s="62">
        <f>IF($AV208=0,0,
IF(Investment_Strategy="DIS",VLOOKUP(Investment_Strategy&amp;"_"&amp;Investment_Strategy_Sub1&amp;"_"&amp;$A208,'Investment Strategies'!$AZ:$BP,15,FALSE),
IF(AND(Investment_Strategy="Lifecycle",Investment_Strategy_Sub1="Non-Standard"),VLOOKUP(Investment_Strategy&amp;"_"&amp;Investment_Strategy_Sub2&amp;"_"&amp;$A208,'Investment Strategies'!$C:$P,12,FALSE),
IF(AND(Investment_Strategy="Lifecycle",Investment_Strategy_Sub1="Standard"),VLOOKUP(Investment_Strategy&amp;"_"&amp;Investment_Strategy_Sub2&amp;"_"&amp;$A208,'Investment Strategies'!$AJ:$AV,11,FALSE),
IF(AND(Investment_Strategy="Autopilot",Investment_Strategy_Sub1="Non-Standard"),VLOOKUP(Investment_Strategy&amp;"_"&amp;Investment_Strategy_Sub2&amp;"_"&amp;$A208,'Investment Strategies'!$T:$AF,11,FALSE),
IF(Investment_Strategy="DIY",DIY_GteeChrge_FuturePremiums,
"Error"))))))</f>
        <v>0</v>
      </c>
      <c r="V208" s="33">
        <f>IF(AV208=0,0,
IF(Investment_Strategy="DIS",VLOOKUP(Investment_Strategy&amp;"_"&amp;Investment_Strategy_Sub1&amp;"_"&amp;$A208,'Investment Strategies'!$AZ:$BP,17,FALSE),
IF(AND(Investment_Strategy="Lifecycle",Investment_Strategy_Sub1="Non-Standard"),VLOOKUP(Investment_Strategy&amp;"_"&amp;Investment_Strategy_Sub2&amp;"_"&amp;$A208,'Investment Strategies'!$C:$P,14,FALSE),
IF(AND(Investment_Strategy="Lifecycle",Investment_Strategy_Sub1="Standard"),VLOOKUP(Investment_Strategy&amp;"_"&amp;Investment_Strategy_Sub2&amp;"_"&amp;$A208,'Investment Strategies'!$AJ:$AV,13,FALSE),
IF(AND(Investment_Strategy="Autopilot",Investment_Strategy_Sub1="Non-Standard"),VLOOKUP(Investment_Strategy&amp;"_"&amp;Investment_Strategy_Sub2&amp;"_"&amp;$A208,'Investment Strategies'!$T:$AF,13,FALSE),
IF(Investment_Strategy="DIY",DIY_ExtManChrge_FuturePremiums,
"Error"))))))</f>
        <v>0</v>
      </c>
      <c r="W208" s="16">
        <f t="shared" si="97"/>
        <v>0</v>
      </c>
      <c r="X208" s="16">
        <f t="shared" si="72"/>
        <v>0</v>
      </c>
      <c r="Y208" s="16">
        <f t="shared" si="73"/>
        <v>0</v>
      </c>
      <c r="Z208" s="31">
        <f t="shared" si="74"/>
        <v>0.02</v>
      </c>
      <c r="AA208" s="16">
        <f t="shared" si="75"/>
        <v>0</v>
      </c>
      <c r="AB208" s="28">
        <f t="shared" si="98"/>
        <v>0</v>
      </c>
      <c r="AC208" s="28">
        <f>(SUM($AC$91:AC207)+SUM($X$91:X207)+X208)*T208*IF(D208=$A$91,SRP_finalmonthfactor,1)</f>
        <v>0</v>
      </c>
      <c r="AD208" s="16">
        <f t="shared" si="76"/>
        <v>0</v>
      </c>
      <c r="AE208" s="106"/>
      <c r="AF208" s="16">
        <f t="shared" si="85"/>
        <v>0</v>
      </c>
      <c r="AG208" s="16">
        <f t="shared" si="86"/>
        <v>0</v>
      </c>
      <c r="AH208" s="16">
        <f t="shared" si="87"/>
        <v>0</v>
      </c>
      <c r="AJ208" s="13">
        <f t="shared" si="111"/>
        <v>0</v>
      </c>
      <c r="AK208" s="13">
        <f t="shared" si="111"/>
        <v>0</v>
      </c>
      <c r="AL208" s="13">
        <f t="shared" si="111"/>
        <v>0</v>
      </c>
      <c r="AM208" s="13">
        <f t="shared" si="111"/>
        <v>0</v>
      </c>
      <c r="AN208" s="13">
        <f t="shared" si="111"/>
        <v>0</v>
      </c>
      <c r="AO208" s="13">
        <f t="shared" si="111"/>
        <v>1</v>
      </c>
      <c r="AP208" s="13">
        <f t="shared" si="111"/>
        <v>1</v>
      </c>
      <c r="AQ208" s="13">
        <f t="shared" si="111"/>
        <v>1</v>
      </c>
      <c r="AR208" s="13">
        <f t="shared" si="111"/>
        <v>1</v>
      </c>
      <c r="AS208" s="13">
        <f t="shared" si="111"/>
        <v>1</v>
      </c>
      <c r="AT208" s="13">
        <f t="shared" si="111"/>
        <v>1</v>
      </c>
      <c r="AU208" s="13">
        <f t="shared" si="111"/>
        <v>1</v>
      </c>
      <c r="AV208" s="13">
        <f t="shared" si="77"/>
        <v>0</v>
      </c>
      <c r="AW208" s="13">
        <f t="shared" si="78"/>
        <v>1</v>
      </c>
      <c r="AY208" s="17">
        <f t="shared" si="79"/>
        <v>118</v>
      </c>
      <c r="AZ208" s="28">
        <f t="shared" si="88"/>
        <v>0</v>
      </c>
      <c r="BA208" s="13">
        <f t="shared" si="80"/>
        <v>0</v>
      </c>
      <c r="BB208" s="13">
        <f t="shared" si="81"/>
        <v>0</v>
      </c>
      <c r="BC208" s="28">
        <f t="shared" si="89"/>
        <v>0</v>
      </c>
      <c r="BD208" s="28">
        <f t="shared" si="90"/>
        <v>0</v>
      </c>
      <c r="BF208" s="248">
        <f t="shared" si="91"/>
        <v>993869.29442638322</v>
      </c>
      <c r="BG208" s="36">
        <f t="shared" si="99"/>
        <v>0</v>
      </c>
      <c r="BH208" s="36">
        <f t="shared" si="100"/>
        <v>894345.06745828723</v>
      </c>
      <c r="BI208" s="249">
        <f t="shared" si="101"/>
        <v>0</v>
      </c>
      <c r="BJ208" s="246">
        <f t="shared" si="102"/>
        <v>0</v>
      </c>
      <c r="BK208" s="246">
        <f t="shared" si="82"/>
        <v>7.531116566323881E-4</v>
      </c>
      <c r="BL208" s="246">
        <f t="shared" si="103"/>
        <v>0</v>
      </c>
      <c r="BM208" s="246">
        <f t="shared" si="104"/>
        <v>7.531116566323881E-4</v>
      </c>
      <c r="BN208" s="36">
        <f t="shared" si="92"/>
        <v>673.54169535451558</v>
      </c>
      <c r="BO208" s="36">
        <f t="shared" si="105"/>
        <v>0</v>
      </c>
      <c r="BP208" s="36">
        <f t="shared" si="106"/>
        <v>893671.52576293272</v>
      </c>
    </row>
    <row r="209" spans="1:68">
      <c r="A209" s="32">
        <f t="shared" si="93"/>
        <v>-34</v>
      </c>
      <c r="B209" s="32">
        <f t="shared" si="83"/>
        <v>62</v>
      </c>
      <c r="C209" s="32">
        <f t="shared" si="94"/>
        <v>10</v>
      </c>
      <c r="D209" s="32">
        <f t="shared" si="95"/>
        <v>119</v>
      </c>
      <c r="E209" s="74">
        <f>MIN(IF(AV209=0,0,
IF(Investment_Strategy="DIS",VLOOKUP(Investment_Strategy&amp;"_"&amp;Investment_Strategy_Sub1&amp;"_"&amp;$A209,'Investment Strategies'!$AZ:$BP,12,FALSE),
IF(AND(Investment_Strategy="Lifecycle",Investment_Strategy_Sub1="Non-Standard"),VLOOKUP(Investment_Strategy&amp;"_"&amp;Investment_Strategy_Sub2&amp;"_"&amp;$A209,'Investment Strategies'!$C:$P,9,FALSE),
IF(AND(Investment_Strategy="Lifecycle",Investment_Strategy_Sub1="Standard"),VLOOKUP(Investment_Strategy&amp;"_"&amp;Investment_Strategy_Sub2&amp;"_"&amp;$A209,'Investment Strategies'!$AJ:$AV,8,FALSE),
IF(AND(Investment_Strategy="Autopilot",Investment_Strategy_Sub1="Non-Standard"),VLOOKUP(Investment_Strategy&amp;"_"&amp;Investment_Strategy_Sub2&amp;"_"&amp;$A209,'Investment Strategies'!$T:$AF,8,FALSE),
IF(Investment_Strategy ="DIY",DIY_RateOfReturn_CurrentFunds,
"Error")))))),Max_InvReturn)</f>
        <v>0</v>
      </c>
      <c r="F209" s="62">
        <f>IF(AV209=0,0,
IF(Investment_Strategy="DIS",VLOOKUP(Investment_Strategy&amp;"_"&amp;Investment_Strategy_Sub1&amp;"_"&amp;$A209,'Investment Strategies'!$AZ:$BP,15,FALSE),
IF(AND(Investment_Strategy="Lifecycle",Investment_Strategy_Sub1="Non-Standard"),VLOOKUP(Investment_Strategy&amp;"_"&amp;Investment_Strategy_Sub2&amp;"_"&amp;$A209,'Investment Strategies'!$C:$P,12,FALSE),
IF(AND(Investment_Strategy="Lifecycle",Investment_Strategy_Sub1="Standard"),VLOOKUP(Investment_Strategy&amp;"_"&amp;Investment_Strategy_Sub2&amp;"_"&amp;$A209,'Investment Strategies'!$AJ:$AV,11,FALSE),
IF(AND(Investment_Strategy="Autopilot",Investment_Strategy_Sub1="Non-Standard"),VLOOKUP(Investment_Strategy&amp;"_"&amp;Investment_Strategy_Sub2&amp;"_"&amp;$A209,'Investment Strategies'!$T:$AF,11,FALSE),
IF(Investment_Strategy="DIY",DIY_GteeChrge_CurrentFunds,
"Error"))))))</f>
        <v>0</v>
      </c>
      <c r="G209" s="33">
        <f>IF(AV209=0,0,
IF(Investment_Strategy="DIS",VLOOKUP(Investment_Strategy&amp;"_"&amp;Investment_Strategy_Sub1&amp;"_"&amp;$A209,'Investment Strategies'!$AZ:$BP,17,FALSE),
IF(AND(Investment_Strategy="Lifecycle",Investment_Strategy_Sub1="Non-Standard"),VLOOKUP(Investment_Strategy&amp;"_"&amp;Investment_Strategy_Sub2&amp;"_"&amp;$A209,'Investment Strategies'!$C:$P,14,FALSE),
IF(AND(Investment_Strategy="Lifecycle",Investment_Strategy_Sub1="Standard"),VLOOKUP(Investment_Strategy&amp;"_"&amp;Investment_Strategy_Sub2&amp;"_"&amp;$A209,'Investment Strategies'!$AJ:$AV,13,FALSE),
IF(AND(Investment_Strategy="Autopilot",Investment_Strategy_Sub1="Non-Standard"),VLOOKUP(Investment_Strategy&amp;"_"&amp;Investment_Strategy_Sub2&amp;"_"&amp;$A209,'Investment Strategies'!$T:$AF,13,FALSE),
IF(Investment_Strategy="DIY",DIY_ExtManChrge_CurrentFunds,
"Error"))))))</f>
        <v>0</v>
      </c>
      <c r="H209" s="16">
        <f t="shared" si="84"/>
        <v>0</v>
      </c>
      <c r="I209" s="16">
        <f t="shared" si="68"/>
        <v>0</v>
      </c>
      <c r="J209" s="16">
        <f t="shared" si="69"/>
        <v>0</v>
      </c>
      <c r="K209" s="16">
        <f>(Opening_Fund_Value+SUM(K$91:K208))*E209*IF(D209=$A$91,SRP_finalmonthfactor,1)</f>
        <v>0</v>
      </c>
      <c r="L209" s="74">
        <f>MIN(IF($AV209=0,0,
IF(Investment_Strategy="DIS",VLOOKUP(Investment_Strategy&amp;"_"&amp;Investment_Strategy_Sub1&amp;"_"&amp;$A209,'Investment Strategies'!$AZ:$BP,12,FALSE),
IF(AND(Investment_Strategy="Lifecycle",Investment_Strategy_Sub1="Non-Standard"),VLOOKUP(Investment_Strategy&amp;"_"&amp;Investment_Strategy_Sub2&amp;"_"&amp;$A209,'Investment Strategies'!$C:$P,9,FALSE),
IF(AND(Investment_Strategy="Lifecycle",Investment_Strategy_Sub1="Standard"),VLOOKUP(Investment_Strategy&amp;"_"&amp;Investment_Strategy_Sub2&amp;"_"&amp;$A209,'Investment Strategies'!$AJ:$AV,8,FALSE),
IF(AND(Investment_Strategy="Autopilot",Investment_Strategy_Sub1="Non-Standard"),VLOOKUP(Investment_Strategy&amp;"_"&amp;Investment_Strategy_Sub2&amp;"_"&amp;$A209,'Investment Strategies'!$T:$AF,8,FALSE),
IF(Investment_Strategy ="DIY",DIY_RateofReturn_SP,
"Error")))))),Max_InvReturn)</f>
        <v>0</v>
      </c>
      <c r="M209" s="62">
        <f>IF($AV209=0,0,
IF(Investment_Strategy="DIS",VLOOKUP(Investment_Strategy&amp;"_"&amp;Investment_Strategy_Sub1&amp;"_"&amp;$A209,'Investment Strategies'!$AZ:$BP,15,FALSE),
IF(AND(Investment_Strategy="Lifecycle",Investment_Strategy_Sub1="Non-Standard"),VLOOKUP(Investment_Strategy&amp;"_"&amp;Investment_Strategy_Sub2&amp;"_"&amp;$A209,'Investment Strategies'!$C:$P,12,FALSE),
IF(AND(Investment_Strategy="Lifecycle",Investment_Strategy_Sub1="Standard"),VLOOKUP(Investment_Strategy&amp;"_"&amp;Investment_Strategy_Sub2&amp;"_"&amp;$A209,'Investment Strategies'!$AJ:$AV,11,FALSE),
IF(AND(Investment_Strategy="Autopilot",Investment_Strategy_Sub1="Non-Standard"),VLOOKUP(Investment_Strategy&amp;"_"&amp;Investment_Strategy_Sub2&amp;"_"&amp;$A209,'Investment Strategies'!$T:$AF,11,FALSE),
IF(Investment_Strategy="DIY",DIY_GteeChrge_SP,
"Error"))))))</f>
        <v>0</v>
      </c>
      <c r="N209" s="33">
        <f>IF($AV209=0,0,
IF(Investment_Strategy="DIS",VLOOKUP(Investment_Strategy&amp;"_"&amp;Investment_Strategy_Sub1&amp;"_"&amp;$A209,'Investment Strategies'!$AZ:$BP,17,FALSE),
IF(AND(Investment_Strategy="Lifecycle",Investment_Strategy_Sub1="Non-Standard"),VLOOKUP(Investment_Strategy&amp;"_"&amp;Investment_Strategy_Sub2&amp;"_"&amp;$A209,'Investment Strategies'!$C:$P,14,FALSE),
IF(AND(Investment_Strategy="Lifecycle",Investment_Strategy_Sub1="Standard"),VLOOKUP(Investment_Strategy&amp;"_"&amp;Investment_Strategy_Sub2&amp;"_"&amp;$A209,'Investment Strategies'!$AJ:$AV,13,FALSE),
IF(AND(Investment_Strategy="Autopilot",Investment_Strategy_Sub1="Non-Standard"),VLOOKUP(Investment_Strategy&amp;"_"&amp;Investment_Strategy_Sub2&amp;"_"&amp;$A209,'Investment Strategies'!$T:$AF,13,FALSE),
IF(Investment_Strategy="DIY",DIY_ExtManChrge_SP,
"Error"))))))</f>
        <v>0</v>
      </c>
      <c r="O209" s="16">
        <f t="shared" si="96"/>
        <v>0</v>
      </c>
      <c r="Q209" s="16">
        <f t="shared" si="70"/>
        <v>0</v>
      </c>
      <c r="R209" s="16">
        <f t="shared" si="71"/>
        <v>0</v>
      </c>
      <c r="S209" s="16">
        <f>(SRP_SP+SUM(S$91:S208))*L209*IF(D209=$A$91,SRP_finalmonthfactor,1)</f>
        <v>0</v>
      </c>
      <c r="T209" s="74">
        <f>MIN(IF($AV209=0,0,
IF(Investment_Strategy="DIS",VLOOKUP(Investment_Strategy&amp;"_"&amp;Investment_Strategy_Sub1&amp;"_"&amp;$A209,'Investment Strategies'!$AZ:$BP,12,FALSE),
IF(AND(Investment_Strategy="Lifecycle",Investment_Strategy_Sub1="Non-Standard"),VLOOKUP(Investment_Strategy&amp;"_"&amp;Investment_Strategy_Sub2&amp;"_"&amp;$A209,'Investment Strategies'!$C:$P,9,FALSE),
IF(AND(Investment_Strategy="Lifecycle",Investment_Strategy_Sub1="Standard"),VLOOKUP(Investment_Strategy&amp;"_"&amp;Investment_Strategy_Sub2&amp;"_"&amp;$A209,'Investment Strategies'!$AJ:$AV,8,FALSE),
IF(AND(Investment_Strategy="Autopilot",Investment_Strategy_Sub1="Non-Standard"),VLOOKUP(Investment_Strategy&amp;"_"&amp;Investment_Strategy_Sub2&amp;"_"&amp;$A209,'Investment Strategies'!$T:$AF,8,FALSE),
IF(Investment_Strategy ="DIY",DIY_RateOfReturn_FuturePremiums,
"Error")))))),Max_InvReturn)</f>
        <v>0</v>
      </c>
      <c r="U209" s="62">
        <f>IF($AV209=0,0,
IF(Investment_Strategy="DIS",VLOOKUP(Investment_Strategy&amp;"_"&amp;Investment_Strategy_Sub1&amp;"_"&amp;$A209,'Investment Strategies'!$AZ:$BP,15,FALSE),
IF(AND(Investment_Strategy="Lifecycle",Investment_Strategy_Sub1="Non-Standard"),VLOOKUP(Investment_Strategy&amp;"_"&amp;Investment_Strategy_Sub2&amp;"_"&amp;$A209,'Investment Strategies'!$C:$P,12,FALSE),
IF(AND(Investment_Strategy="Lifecycle",Investment_Strategy_Sub1="Standard"),VLOOKUP(Investment_Strategy&amp;"_"&amp;Investment_Strategy_Sub2&amp;"_"&amp;$A209,'Investment Strategies'!$AJ:$AV,11,FALSE),
IF(AND(Investment_Strategy="Autopilot",Investment_Strategy_Sub1="Non-Standard"),VLOOKUP(Investment_Strategy&amp;"_"&amp;Investment_Strategy_Sub2&amp;"_"&amp;$A209,'Investment Strategies'!$T:$AF,11,FALSE),
IF(Investment_Strategy="DIY",DIY_GteeChrge_FuturePremiums,
"Error"))))))</f>
        <v>0</v>
      </c>
      <c r="V209" s="33">
        <f>IF(AV209=0,0,
IF(Investment_Strategy="DIS",VLOOKUP(Investment_Strategy&amp;"_"&amp;Investment_Strategy_Sub1&amp;"_"&amp;$A209,'Investment Strategies'!$AZ:$BP,17,FALSE),
IF(AND(Investment_Strategy="Lifecycle",Investment_Strategy_Sub1="Non-Standard"),VLOOKUP(Investment_Strategy&amp;"_"&amp;Investment_Strategy_Sub2&amp;"_"&amp;$A209,'Investment Strategies'!$C:$P,14,FALSE),
IF(AND(Investment_Strategy="Lifecycle",Investment_Strategy_Sub1="Standard"),VLOOKUP(Investment_Strategy&amp;"_"&amp;Investment_Strategy_Sub2&amp;"_"&amp;$A209,'Investment Strategies'!$AJ:$AV,13,FALSE),
IF(AND(Investment_Strategy="Autopilot",Investment_Strategy_Sub1="Non-Standard"),VLOOKUP(Investment_Strategy&amp;"_"&amp;Investment_Strategy_Sub2&amp;"_"&amp;$A209,'Investment Strategies'!$T:$AF,13,FALSE),
IF(Investment_Strategy="DIY",DIY_ExtManChrge_FuturePremiums,
"Error"))))))</f>
        <v>0</v>
      </c>
      <c r="W209" s="16">
        <f t="shared" si="97"/>
        <v>0</v>
      </c>
      <c r="X209" s="16">
        <f t="shared" si="72"/>
        <v>0</v>
      </c>
      <c r="Y209" s="16">
        <f t="shared" si="73"/>
        <v>0</v>
      </c>
      <c r="Z209" s="31">
        <f t="shared" si="74"/>
        <v>0.02</v>
      </c>
      <c r="AA209" s="16">
        <f t="shared" si="75"/>
        <v>0</v>
      </c>
      <c r="AB209" s="28">
        <f t="shared" si="98"/>
        <v>0</v>
      </c>
      <c r="AC209" s="28">
        <f>(SUM($AC$91:AC208)+SUM($X$91:X208)+X209)*T209*IF(D209=$A$91,SRP_finalmonthfactor,1)</f>
        <v>0</v>
      </c>
      <c r="AD209" s="16">
        <f t="shared" si="76"/>
        <v>0</v>
      </c>
      <c r="AE209" s="106"/>
      <c r="AF209" s="16">
        <f t="shared" si="85"/>
        <v>0</v>
      </c>
      <c r="AG209" s="16">
        <f t="shared" si="86"/>
        <v>0</v>
      </c>
      <c r="AH209" s="16">
        <f t="shared" si="87"/>
        <v>0</v>
      </c>
      <c r="AJ209" s="13">
        <f t="shared" si="111"/>
        <v>0</v>
      </c>
      <c r="AK209" s="13">
        <f t="shared" si="111"/>
        <v>0</v>
      </c>
      <c r="AL209" s="13">
        <f t="shared" si="111"/>
        <v>0</v>
      </c>
      <c r="AM209" s="13">
        <f t="shared" si="111"/>
        <v>0</v>
      </c>
      <c r="AN209" s="13">
        <f t="shared" si="111"/>
        <v>0</v>
      </c>
      <c r="AO209" s="13">
        <f t="shared" si="111"/>
        <v>1</v>
      </c>
      <c r="AP209" s="13">
        <f t="shared" si="111"/>
        <v>1</v>
      </c>
      <c r="AQ209" s="13">
        <f t="shared" si="111"/>
        <v>1</v>
      </c>
      <c r="AR209" s="13">
        <f t="shared" si="111"/>
        <v>1</v>
      </c>
      <c r="AS209" s="13">
        <f t="shared" si="111"/>
        <v>1</v>
      </c>
      <c r="AT209" s="13">
        <f t="shared" si="111"/>
        <v>1</v>
      </c>
      <c r="AU209" s="13">
        <f t="shared" si="111"/>
        <v>1</v>
      </c>
      <c r="AV209" s="13">
        <f t="shared" si="77"/>
        <v>0</v>
      </c>
      <c r="AW209" s="13">
        <f t="shared" si="78"/>
        <v>1</v>
      </c>
      <c r="AY209" s="17">
        <f t="shared" si="79"/>
        <v>119</v>
      </c>
      <c r="AZ209" s="28">
        <f t="shared" si="88"/>
        <v>0</v>
      </c>
      <c r="BA209" s="13">
        <f t="shared" si="80"/>
        <v>0</v>
      </c>
      <c r="BB209" s="13">
        <f t="shared" si="81"/>
        <v>0</v>
      </c>
      <c r="BC209" s="28">
        <f t="shared" si="89"/>
        <v>0</v>
      </c>
      <c r="BD209" s="28">
        <f t="shared" si="90"/>
        <v>0</v>
      </c>
      <c r="BF209" s="248">
        <f t="shared" si="91"/>
        <v>993869.29442638322</v>
      </c>
      <c r="BG209" s="36">
        <f t="shared" si="99"/>
        <v>0</v>
      </c>
      <c r="BH209" s="36">
        <f t="shared" si="100"/>
        <v>893671.52576293272</v>
      </c>
      <c r="BI209" s="249">
        <f t="shared" si="101"/>
        <v>0</v>
      </c>
      <c r="BJ209" s="246">
        <f t="shared" si="102"/>
        <v>0</v>
      </c>
      <c r="BK209" s="246">
        <f t="shared" si="82"/>
        <v>7.531116566323881E-4</v>
      </c>
      <c r="BL209" s="246">
        <f t="shared" si="103"/>
        <v>0</v>
      </c>
      <c r="BM209" s="246">
        <f t="shared" si="104"/>
        <v>7.531116566323881E-4</v>
      </c>
      <c r="BN209" s="36">
        <f t="shared" si="92"/>
        <v>673.03444325251621</v>
      </c>
      <c r="BO209" s="36">
        <f t="shared" si="105"/>
        <v>0</v>
      </c>
      <c r="BP209" s="36">
        <f t="shared" si="106"/>
        <v>892998.49131968024</v>
      </c>
    </row>
    <row r="210" spans="1:68">
      <c r="A210" s="32">
        <f t="shared" si="93"/>
        <v>-35</v>
      </c>
      <c r="B210" s="32">
        <f t="shared" si="83"/>
        <v>62</v>
      </c>
      <c r="C210" s="32">
        <f t="shared" si="94"/>
        <v>10</v>
      </c>
      <c r="D210" s="32">
        <f t="shared" si="95"/>
        <v>120</v>
      </c>
      <c r="E210" s="74">
        <f>MIN(IF(AV210=0,0,
IF(Investment_Strategy="DIS",VLOOKUP(Investment_Strategy&amp;"_"&amp;Investment_Strategy_Sub1&amp;"_"&amp;$A210,'Investment Strategies'!$AZ:$BP,12,FALSE),
IF(AND(Investment_Strategy="Lifecycle",Investment_Strategy_Sub1="Non-Standard"),VLOOKUP(Investment_Strategy&amp;"_"&amp;Investment_Strategy_Sub2&amp;"_"&amp;$A210,'Investment Strategies'!$C:$P,9,FALSE),
IF(AND(Investment_Strategy="Lifecycle",Investment_Strategy_Sub1="Standard"),VLOOKUP(Investment_Strategy&amp;"_"&amp;Investment_Strategy_Sub2&amp;"_"&amp;$A210,'Investment Strategies'!$AJ:$AV,8,FALSE),
IF(AND(Investment_Strategy="Autopilot",Investment_Strategy_Sub1="Non-Standard"),VLOOKUP(Investment_Strategy&amp;"_"&amp;Investment_Strategy_Sub2&amp;"_"&amp;$A210,'Investment Strategies'!$T:$AF,8,FALSE),
IF(Investment_Strategy ="DIY",DIY_RateOfReturn_CurrentFunds,
"Error")))))),Max_InvReturn)</f>
        <v>0</v>
      </c>
      <c r="F210" s="62">
        <f>IF(AV210=0,0,
IF(Investment_Strategy="DIS",VLOOKUP(Investment_Strategy&amp;"_"&amp;Investment_Strategy_Sub1&amp;"_"&amp;$A210,'Investment Strategies'!$AZ:$BP,15,FALSE),
IF(AND(Investment_Strategy="Lifecycle",Investment_Strategy_Sub1="Non-Standard"),VLOOKUP(Investment_Strategy&amp;"_"&amp;Investment_Strategy_Sub2&amp;"_"&amp;$A210,'Investment Strategies'!$C:$P,12,FALSE),
IF(AND(Investment_Strategy="Lifecycle",Investment_Strategy_Sub1="Standard"),VLOOKUP(Investment_Strategy&amp;"_"&amp;Investment_Strategy_Sub2&amp;"_"&amp;$A210,'Investment Strategies'!$AJ:$AV,11,FALSE),
IF(AND(Investment_Strategy="Autopilot",Investment_Strategy_Sub1="Non-Standard"),VLOOKUP(Investment_Strategy&amp;"_"&amp;Investment_Strategy_Sub2&amp;"_"&amp;$A210,'Investment Strategies'!$T:$AF,11,FALSE),
IF(Investment_Strategy="DIY",DIY_GteeChrge_CurrentFunds,
"Error"))))))</f>
        <v>0</v>
      </c>
      <c r="G210" s="33">
        <f>IF(AV210=0,0,
IF(Investment_Strategy="DIS",VLOOKUP(Investment_Strategy&amp;"_"&amp;Investment_Strategy_Sub1&amp;"_"&amp;$A210,'Investment Strategies'!$AZ:$BP,17,FALSE),
IF(AND(Investment_Strategy="Lifecycle",Investment_Strategy_Sub1="Non-Standard"),VLOOKUP(Investment_Strategy&amp;"_"&amp;Investment_Strategy_Sub2&amp;"_"&amp;$A210,'Investment Strategies'!$C:$P,14,FALSE),
IF(AND(Investment_Strategy="Lifecycle",Investment_Strategy_Sub1="Standard"),VLOOKUP(Investment_Strategy&amp;"_"&amp;Investment_Strategy_Sub2&amp;"_"&amp;$A210,'Investment Strategies'!$AJ:$AV,13,FALSE),
IF(AND(Investment_Strategy="Autopilot",Investment_Strategy_Sub1="Non-Standard"),VLOOKUP(Investment_Strategy&amp;"_"&amp;Investment_Strategy_Sub2&amp;"_"&amp;$A210,'Investment Strategies'!$T:$AF,13,FALSE),
IF(Investment_Strategy="DIY",DIY_ExtManChrge_CurrentFunds,
"Error"))))))</f>
        <v>0</v>
      </c>
      <c r="H210" s="16">
        <f t="shared" si="84"/>
        <v>0</v>
      </c>
      <c r="I210" s="16">
        <f t="shared" si="68"/>
        <v>0</v>
      </c>
      <c r="J210" s="16">
        <f t="shared" si="69"/>
        <v>0</v>
      </c>
      <c r="K210" s="16">
        <f>(Opening_Fund_Value+SUM(K$91:K209))*E210*IF(D210=$A$91,SRP_finalmonthfactor,1)</f>
        <v>0</v>
      </c>
      <c r="L210" s="74">
        <f>MIN(IF($AV210=0,0,
IF(Investment_Strategy="DIS",VLOOKUP(Investment_Strategy&amp;"_"&amp;Investment_Strategy_Sub1&amp;"_"&amp;$A210,'Investment Strategies'!$AZ:$BP,12,FALSE),
IF(AND(Investment_Strategy="Lifecycle",Investment_Strategy_Sub1="Non-Standard"),VLOOKUP(Investment_Strategy&amp;"_"&amp;Investment_Strategy_Sub2&amp;"_"&amp;$A210,'Investment Strategies'!$C:$P,9,FALSE),
IF(AND(Investment_Strategy="Lifecycle",Investment_Strategy_Sub1="Standard"),VLOOKUP(Investment_Strategy&amp;"_"&amp;Investment_Strategy_Sub2&amp;"_"&amp;$A210,'Investment Strategies'!$AJ:$AV,8,FALSE),
IF(AND(Investment_Strategy="Autopilot",Investment_Strategy_Sub1="Non-Standard"),VLOOKUP(Investment_Strategy&amp;"_"&amp;Investment_Strategy_Sub2&amp;"_"&amp;$A210,'Investment Strategies'!$T:$AF,8,FALSE),
IF(Investment_Strategy ="DIY",DIY_RateofReturn_SP,
"Error")))))),Max_InvReturn)</f>
        <v>0</v>
      </c>
      <c r="M210" s="62">
        <f>IF($AV210=0,0,
IF(Investment_Strategy="DIS",VLOOKUP(Investment_Strategy&amp;"_"&amp;Investment_Strategy_Sub1&amp;"_"&amp;$A210,'Investment Strategies'!$AZ:$BP,15,FALSE),
IF(AND(Investment_Strategy="Lifecycle",Investment_Strategy_Sub1="Non-Standard"),VLOOKUP(Investment_Strategy&amp;"_"&amp;Investment_Strategy_Sub2&amp;"_"&amp;$A210,'Investment Strategies'!$C:$P,12,FALSE),
IF(AND(Investment_Strategy="Lifecycle",Investment_Strategy_Sub1="Standard"),VLOOKUP(Investment_Strategy&amp;"_"&amp;Investment_Strategy_Sub2&amp;"_"&amp;$A210,'Investment Strategies'!$AJ:$AV,11,FALSE),
IF(AND(Investment_Strategy="Autopilot",Investment_Strategy_Sub1="Non-Standard"),VLOOKUP(Investment_Strategy&amp;"_"&amp;Investment_Strategy_Sub2&amp;"_"&amp;$A210,'Investment Strategies'!$T:$AF,11,FALSE),
IF(Investment_Strategy="DIY",DIY_GteeChrge_SP,
"Error"))))))</f>
        <v>0</v>
      </c>
      <c r="N210" s="33">
        <f>IF($AV210=0,0,
IF(Investment_Strategy="DIS",VLOOKUP(Investment_Strategy&amp;"_"&amp;Investment_Strategy_Sub1&amp;"_"&amp;$A210,'Investment Strategies'!$AZ:$BP,17,FALSE),
IF(AND(Investment_Strategy="Lifecycle",Investment_Strategy_Sub1="Non-Standard"),VLOOKUP(Investment_Strategy&amp;"_"&amp;Investment_Strategy_Sub2&amp;"_"&amp;$A210,'Investment Strategies'!$C:$P,14,FALSE),
IF(AND(Investment_Strategy="Lifecycle",Investment_Strategy_Sub1="Standard"),VLOOKUP(Investment_Strategy&amp;"_"&amp;Investment_Strategy_Sub2&amp;"_"&amp;$A210,'Investment Strategies'!$AJ:$AV,13,FALSE),
IF(AND(Investment_Strategy="Autopilot",Investment_Strategy_Sub1="Non-Standard"),VLOOKUP(Investment_Strategy&amp;"_"&amp;Investment_Strategy_Sub2&amp;"_"&amp;$A210,'Investment Strategies'!$T:$AF,13,FALSE),
IF(Investment_Strategy="DIY",DIY_ExtManChrge_SP,
"Error"))))))</f>
        <v>0</v>
      </c>
      <c r="O210" s="16">
        <f t="shared" si="96"/>
        <v>0</v>
      </c>
      <c r="Q210" s="16">
        <f t="shared" si="70"/>
        <v>0</v>
      </c>
      <c r="R210" s="16">
        <f t="shared" si="71"/>
        <v>0</v>
      </c>
      <c r="S210" s="16">
        <f>(SRP_SP+SUM(S$91:S209))*L210*IF(D210=$A$91,SRP_finalmonthfactor,1)</f>
        <v>0</v>
      </c>
      <c r="T210" s="74">
        <f>MIN(IF($AV210=0,0,
IF(Investment_Strategy="DIS",VLOOKUP(Investment_Strategy&amp;"_"&amp;Investment_Strategy_Sub1&amp;"_"&amp;$A210,'Investment Strategies'!$AZ:$BP,12,FALSE),
IF(AND(Investment_Strategy="Lifecycle",Investment_Strategy_Sub1="Non-Standard"),VLOOKUP(Investment_Strategy&amp;"_"&amp;Investment_Strategy_Sub2&amp;"_"&amp;$A210,'Investment Strategies'!$C:$P,9,FALSE),
IF(AND(Investment_Strategy="Lifecycle",Investment_Strategy_Sub1="Standard"),VLOOKUP(Investment_Strategy&amp;"_"&amp;Investment_Strategy_Sub2&amp;"_"&amp;$A210,'Investment Strategies'!$AJ:$AV,8,FALSE),
IF(AND(Investment_Strategy="Autopilot",Investment_Strategy_Sub1="Non-Standard"),VLOOKUP(Investment_Strategy&amp;"_"&amp;Investment_Strategy_Sub2&amp;"_"&amp;$A210,'Investment Strategies'!$T:$AF,8,FALSE),
IF(Investment_Strategy ="DIY",DIY_RateOfReturn_FuturePremiums,
"Error")))))),Max_InvReturn)</f>
        <v>0</v>
      </c>
      <c r="U210" s="62">
        <f>IF($AV210=0,0,
IF(Investment_Strategy="DIS",VLOOKUP(Investment_Strategy&amp;"_"&amp;Investment_Strategy_Sub1&amp;"_"&amp;$A210,'Investment Strategies'!$AZ:$BP,15,FALSE),
IF(AND(Investment_Strategy="Lifecycle",Investment_Strategy_Sub1="Non-Standard"),VLOOKUP(Investment_Strategy&amp;"_"&amp;Investment_Strategy_Sub2&amp;"_"&amp;$A210,'Investment Strategies'!$C:$P,12,FALSE),
IF(AND(Investment_Strategy="Lifecycle",Investment_Strategy_Sub1="Standard"),VLOOKUP(Investment_Strategy&amp;"_"&amp;Investment_Strategy_Sub2&amp;"_"&amp;$A210,'Investment Strategies'!$AJ:$AV,11,FALSE),
IF(AND(Investment_Strategy="Autopilot",Investment_Strategy_Sub1="Non-Standard"),VLOOKUP(Investment_Strategy&amp;"_"&amp;Investment_Strategy_Sub2&amp;"_"&amp;$A210,'Investment Strategies'!$T:$AF,11,FALSE),
IF(Investment_Strategy="DIY",DIY_GteeChrge_FuturePremiums,
"Error"))))))</f>
        <v>0</v>
      </c>
      <c r="V210" s="33">
        <f>IF(AV210=0,0,
IF(Investment_Strategy="DIS",VLOOKUP(Investment_Strategy&amp;"_"&amp;Investment_Strategy_Sub1&amp;"_"&amp;$A210,'Investment Strategies'!$AZ:$BP,17,FALSE),
IF(AND(Investment_Strategy="Lifecycle",Investment_Strategy_Sub1="Non-Standard"),VLOOKUP(Investment_Strategy&amp;"_"&amp;Investment_Strategy_Sub2&amp;"_"&amp;$A210,'Investment Strategies'!$C:$P,14,FALSE),
IF(AND(Investment_Strategy="Lifecycle",Investment_Strategy_Sub1="Standard"),VLOOKUP(Investment_Strategy&amp;"_"&amp;Investment_Strategy_Sub2&amp;"_"&amp;$A210,'Investment Strategies'!$AJ:$AV,13,FALSE),
IF(AND(Investment_Strategy="Autopilot",Investment_Strategy_Sub1="Non-Standard"),VLOOKUP(Investment_Strategy&amp;"_"&amp;Investment_Strategy_Sub2&amp;"_"&amp;$A210,'Investment Strategies'!$T:$AF,13,FALSE),
IF(Investment_Strategy="DIY",DIY_ExtManChrge_FuturePremiums,
"Error"))))))</f>
        <v>0</v>
      </c>
      <c r="W210" s="16">
        <f t="shared" si="97"/>
        <v>0</v>
      </c>
      <c r="X210" s="16">
        <f t="shared" si="72"/>
        <v>0</v>
      </c>
      <c r="Y210" s="16">
        <f t="shared" si="73"/>
        <v>0</v>
      </c>
      <c r="Z210" s="31">
        <f t="shared" si="74"/>
        <v>0.02</v>
      </c>
      <c r="AA210" s="16">
        <f t="shared" si="75"/>
        <v>0</v>
      </c>
      <c r="AB210" s="28">
        <f t="shared" si="98"/>
        <v>0</v>
      </c>
      <c r="AC210" s="28">
        <f>(SUM($AC$91:AC209)+SUM($X$91:X209)+X210)*T210*IF(D210=$A$91,SRP_finalmonthfactor,1)</f>
        <v>0</v>
      </c>
      <c r="AD210" s="16">
        <f t="shared" si="76"/>
        <v>0</v>
      </c>
      <c r="AE210" s="106"/>
      <c r="AF210" s="16">
        <f t="shared" si="85"/>
        <v>0</v>
      </c>
      <c r="AG210" s="16">
        <f t="shared" si="86"/>
        <v>0</v>
      </c>
      <c r="AH210" s="16">
        <f t="shared" si="87"/>
        <v>0</v>
      </c>
      <c r="AJ210" s="13">
        <f t="shared" si="111"/>
        <v>0</v>
      </c>
      <c r="AK210" s="13">
        <f t="shared" si="111"/>
        <v>0</v>
      </c>
      <c r="AL210" s="13">
        <f t="shared" si="111"/>
        <v>0</v>
      </c>
      <c r="AM210" s="13">
        <f t="shared" si="111"/>
        <v>0</v>
      </c>
      <c r="AN210" s="13">
        <f t="shared" si="111"/>
        <v>0</v>
      </c>
      <c r="AO210" s="13">
        <f t="shared" si="111"/>
        <v>1</v>
      </c>
      <c r="AP210" s="13">
        <f t="shared" si="111"/>
        <v>1</v>
      </c>
      <c r="AQ210" s="13">
        <f t="shared" si="111"/>
        <v>1</v>
      </c>
      <c r="AR210" s="13">
        <f t="shared" si="111"/>
        <v>1</v>
      </c>
      <c r="AS210" s="13">
        <f t="shared" si="111"/>
        <v>1</v>
      </c>
      <c r="AT210" s="13">
        <f t="shared" si="111"/>
        <v>1</v>
      </c>
      <c r="AU210" s="13">
        <f t="shared" si="111"/>
        <v>1</v>
      </c>
      <c r="AV210" s="13">
        <f t="shared" si="77"/>
        <v>0</v>
      </c>
      <c r="AW210" s="13">
        <f t="shared" si="78"/>
        <v>1</v>
      </c>
      <c r="AY210" s="17">
        <f t="shared" si="79"/>
        <v>120</v>
      </c>
      <c r="AZ210" s="28">
        <f t="shared" si="88"/>
        <v>0</v>
      </c>
      <c r="BA210" s="13">
        <f t="shared" si="80"/>
        <v>0</v>
      </c>
      <c r="BB210" s="13">
        <f t="shared" si="81"/>
        <v>0</v>
      </c>
      <c r="BC210" s="28">
        <f t="shared" si="89"/>
        <v>0</v>
      </c>
      <c r="BD210" s="28">
        <f t="shared" si="90"/>
        <v>0</v>
      </c>
      <c r="BF210" s="248">
        <f t="shared" si="91"/>
        <v>993869.29442638322</v>
      </c>
      <c r="BG210" s="36">
        <f t="shared" si="99"/>
        <v>0</v>
      </c>
      <c r="BH210" s="36">
        <f t="shared" si="100"/>
        <v>892998.49131968024</v>
      </c>
      <c r="BI210" s="249">
        <f t="shared" si="101"/>
        <v>0</v>
      </c>
      <c r="BJ210" s="246">
        <f t="shared" si="102"/>
        <v>0</v>
      </c>
      <c r="BK210" s="246">
        <f t="shared" si="82"/>
        <v>7.531116566323881E-4</v>
      </c>
      <c r="BL210" s="246">
        <f t="shared" si="103"/>
        <v>0</v>
      </c>
      <c r="BM210" s="246">
        <f t="shared" si="104"/>
        <v>7.531116566323881E-4</v>
      </c>
      <c r="BN210" s="36">
        <f t="shared" si="92"/>
        <v>672.52757316798761</v>
      </c>
      <c r="BO210" s="36">
        <f t="shared" si="105"/>
        <v>0</v>
      </c>
      <c r="BP210" s="36">
        <f t="shared" si="106"/>
        <v>892325.96374651219</v>
      </c>
    </row>
    <row r="211" spans="1:68">
      <c r="A211" s="32">
        <f t="shared" si="93"/>
        <v>-36</v>
      </c>
      <c r="B211" s="32">
        <f t="shared" si="83"/>
        <v>63</v>
      </c>
      <c r="C211" s="32">
        <f t="shared" si="94"/>
        <v>11</v>
      </c>
      <c r="D211" s="32">
        <f t="shared" si="95"/>
        <v>121</v>
      </c>
      <c r="E211" s="74">
        <f>MIN(IF(AV211=0,0,
IF(Investment_Strategy="DIS",VLOOKUP(Investment_Strategy&amp;"_"&amp;Investment_Strategy_Sub1&amp;"_"&amp;$A211,'Investment Strategies'!$AZ:$BP,12,FALSE),
IF(AND(Investment_Strategy="Lifecycle",Investment_Strategy_Sub1="Non-Standard"),VLOOKUP(Investment_Strategy&amp;"_"&amp;Investment_Strategy_Sub2&amp;"_"&amp;$A211,'Investment Strategies'!$C:$P,9,FALSE),
IF(AND(Investment_Strategy="Lifecycle",Investment_Strategy_Sub1="Standard"),VLOOKUP(Investment_Strategy&amp;"_"&amp;Investment_Strategy_Sub2&amp;"_"&amp;$A211,'Investment Strategies'!$AJ:$AV,8,FALSE),
IF(AND(Investment_Strategy="Autopilot",Investment_Strategy_Sub1="Non-Standard"),VLOOKUP(Investment_Strategy&amp;"_"&amp;Investment_Strategy_Sub2&amp;"_"&amp;$A211,'Investment Strategies'!$T:$AF,8,FALSE),
IF(Investment_Strategy ="DIY",DIY_RateOfReturn_CurrentFunds,
"Error")))))),Max_InvReturn)</f>
        <v>0</v>
      </c>
      <c r="F211" s="62">
        <f>IF(AV211=0,0,
IF(Investment_Strategy="DIS",VLOOKUP(Investment_Strategy&amp;"_"&amp;Investment_Strategy_Sub1&amp;"_"&amp;$A211,'Investment Strategies'!$AZ:$BP,15,FALSE),
IF(AND(Investment_Strategy="Lifecycle",Investment_Strategy_Sub1="Non-Standard"),VLOOKUP(Investment_Strategy&amp;"_"&amp;Investment_Strategy_Sub2&amp;"_"&amp;$A211,'Investment Strategies'!$C:$P,12,FALSE),
IF(AND(Investment_Strategy="Lifecycle",Investment_Strategy_Sub1="Standard"),VLOOKUP(Investment_Strategy&amp;"_"&amp;Investment_Strategy_Sub2&amp;"_"&amp;$A211,'Investment Strategies'!$AJ:$AV,11,FALSE),
IF(AND(Investment_Strategy="Autopilot",Investment_Strategy_Sub1="Non-Standard"),VLOOKUP(Investment_Strategy&amp;"_"&amp;Investment_Strategy_Sub2&amp;"_"&amp;$A211,'Investment Strategies'!$T:$AF,11,FALSE),
IF(Investment_Strategy="DIY",DIY_GteeChrge_CurrentFunds,
"Error"))))))</f>
        <v>0</v>
      </c>
      <c r="G211" s="33">
        <f>IF(AV211=0,0,
IF(Investment_Strategy="DIS",VLOOKUP(Investment_Strategy&amp;"_"&amp;Investment_Strategy_Sub1&amp;"_"&amp;$A211,'Investment Strategies'!$AZ:$BP,17,FALSE),
IF(AND(Investment_Strategy="Lifecycle",Investment_Strategy_Sub1="Non-Standard"),VLOOKUP(Investment_Strategy&amp;"_"&amp;Investment_Strategy_Sub2&amp;"_"&amp;$A211,'Investment Strategies'!$C:$P,14,FALSE),
IF(AND(Investment_Strategy="Lifecycle",Investment_Strategy_Sub1="Standard"),VLOOKUP(Investment_Strategy&amp;"_"&amp;Investment_Strategy_Sub2&amp;"_"&amp;$A211,'Investment Strategies'!$AJ:$AV,13,FALSE),
IF(AND(Investment_Strategy="Autopilot",Investment_Strategy_Sub1="Non-Standard"),VLOOKUP(Investment_Strategy&amp;"_"&amp;Investment_Strategy_Sub2&amp;"_"&amp;$A211,'Investment Strategies'!$T:$AF,13,FALSE),
IF(Investment_Strategy="DIY",DIY_ExtManChrge_CurrentFunds,
"Error"))))))</f>
        <v>0</v>
      </c>
      <c r="H211" s="16">
        <f t="shared" si="84"/>
        <v>0</v>
      </c>
      <c r="I211" s="16">
        <f t="shared" si="68"/>
        <v>0</v>
      </c>
      <c r="J211" s="16">
        <f t="shared" si="69"/>
        <v>0</v>
      </c>
      <c r="K211" s="16">
        <f>(Opening_Fund_Value+SUM(K$91:K210))*E211*IF(D211=$A$91,SRP_finalmonthfactor,1)</f>
        <v>0</v>
      </c>
      <c r="L211" s="74">
        <f>MIN(IF($AV211=0,0,
IF(Investment_Strategy="DIS",VLOOKUP(Investment_Strategy&amp;"_"&amp;Investment_Strategy_Sub1&amp;"_"&amp;$A211,'Investment Strategies'!$AZ:$BP,12,FALSE),
IF(AND(Investment_Strategy="Lifecycle",Investment_Strategy_Sub1="Non-Standard"),VLOOKUP(Investment_Strategy&amp;"_"&amp;Investment_Strategy_Sub2&amp;"_"&amp;$A211,'Investment Strategies'!$C:$P,9,FALSE),
IF(AND(Investment_Strategy="Lifecycle",Investment_Strategy_Sub1="Standard"),VLOOKUP(Investment_Strategy&amp;"_"&amp;Investment_Strategy_Sub2&amp;"_"&amp;$A211,'Investment Strategies'!$AJ:$AV,8,FALSE),
IF(AND(Investment_Strategy="Autopilot",Investment_Strategy_Sub1="Non-Standard"),VLOOKUP(Investment_Strategy&amp;"_"&amp;Investment_Strategy_Sub2&amp;"_"&amp;$A211,'Investment Strategies'!$T:$AF,8,FALSE),
IF(Investment_Strategy ="DIY",DIY_RateofReturn_SP,
"Error")))))),Max_InvReturn)</f>
        <v>0</v>
      </c>
      <c r="M211" s="62">
        <f>IF($AV211=0,0,
IF(Investment_Strategy="DIS",VLOOKUP(Investment_Strategy&amp;"_"&amp;Investment_Strategy_Sub1&amp;"_"&amp;$A211,'Investment Strategies'!$AZ:$BP,15,FALSE),
IF(AND(Investment_Strategy="Lifecycle",Investment_Strategy_Sub1="Non-Standard"),VLOOKUP(Investment_Strategy&amp;"_"&amp;Investment_Strategy_Sub2&amp;"_"&amp;$A211,'Investment Strategies'!$C:$P,12,FALSE),
IF(AND(Investment_Strategy="Lifecycle",Investment_Strategy_Sub1="Standard"),VLOOKUP(Investment_Strategy&amp;"_"&amp;Investment_Strategy_Sub2&amp;"_"&amp;$A211,'Investment Strategies'!$AJ:$AV,11,FALSE),
IF(AND(Investment_Strategy="Autopilot",Investment_Strategy_Sub1="Non-Standard"),VLOOKUP(Investment_Strategy&amp;"_"&amp;Investment_Strategy_Sub2&amp;"_"&amp;$A211,'Investment Strategies'!$T:$AF,11,FALSE),
IF(Investment_Strategy="DIY",DIY_GteeChrge_SP,
"Error"))))))</f>
        <v>0</v>
      </c>
      <c r="N211" s="33">
        <f>IF($AV211=0,0,
IF(Investment_Strategy="DIS",VLOOKUP(Investment_Strategy&amp;"_"&amp;Investment_Strategy_Sub1&amp;"_"&amp;$A211,'Investment Strategies'!$AZ:$BP,17,FALSE),
IF(AND(Investment_Strategy="Lifecycle",Investment_Strategy_Sub1="Non-Standard"),VLOOKUP(Investment_Strategy&amp;"_"&amp;Investment_Strategy_Sub2&amp;"_"&amp;$A211,'Investment Strategies'!$C:$P,14,FALSE),
IF(AND(Investment_Strategy="Lifecycle",Investment_Strategy_Sub1="Standard"),VLOOKUP(Investment_Strategy&amp;"_"&amp;Investment_Strategy_Sub2&amp;"_"&amp;$A211,'Investment Strategies'!$AJ:$AV,13,FALSE),
IF(AND(Investment_Strategy="Autopilot",Investment_Strategy_Sub1="Non-Standard"),VLOOKUP(Investment_Strategy&amp;"_"&amp;Investment_Strategy_Sub2&amp;"_"&amp;$A211,'Investment Strategies'!$T:$AF,13,FALSE),
IF(Investment_Strategy="DIY",DIY_ExtManChrge_SP,
"Error"))))))</f>
        <v>0</v>
      </c>
      <c r="O211" s="16">
        <f t="shared" si="96"/>
        <v>0</v>
      </c>
      <c r="Q211" s="16">
        <f t="shared" si="70"/>
        <v>0</v>
      </c>
      <c r="R211" s="16">
        <f t="shared" si="71"/>
        <v>0</v>
      </c>
      <c r="S211" s="16">
        <f>(SRP_SP+SUM(S$91:S210))*L211*IF(D211=$A$91,SRP_finalmonthfactor,1)</f>
        <v>0</v>
      </c>
      <c r="T211" s="74">
        <f>MIN(IF($AV211=0,0,
IF(Investment_Strategy="DIS",VLOOKUP(Investment_Strategy&amp;"_"&amp;Investment_Strategy_Sub1&amp;"_"&amp;$A211,'Investment Strategies'!$AZ:$BP,12,FALSE),
IF(AND(Investment_Strategy="Lifecycle",Investment_Strategy_Sub1="Non-Standard"),VLOOKUP(Investment_Strategy&amp;"_"&amp;Investment_Strategy_Sub2&amp;"_"&amp;$A211,'Investment Strategies'!$C:$P,9,FALSE),
IF(AND(Investment_Strategy="Lifecycle",Investment_Strategy_Sub1="Standard"),VLOOKUP(Investment_Strategy&amp;"_"&amp;Investment_Strategy_Sub2&amp;"_"&amp;$A211,'Investment Strategies'!$AJ:$AV,8,FALSE),
IF(AND(Investment_Strategy="Autopilot",Investment_Strategy_Sub1="Non-Standard"),VLOOKUP(Investment_Strategy&amp;"_"&amp;Investment_Strategy_Sub2&amp;"_"&amp;$A211,'Investment Strategies'!$T:$AF,8,FALSE),
IF(Investment_Strategy ="DIY",DIY_RateOfReturn_FuturePremiums,
"Error")))))),Max_InvReturn)</f>
        <v>0</v>
      </c>
      <c r="U211" s="62">
        <f>IF($AV211=0,0,
IF(Investment_Strategy="DIS",VLOOKUP(Investment_Strategy&amp;"_"&amp;Investment_Strategy_Sub1&amp;"_"&amp;$A211,'Investment Strategies'!$AZ:$BP,15,FALSE),
IF(AND(Investment_Strategy="Lifecycle",Investment_Strategy_Sub1="Non-Standard"),VLOOKUP(Investment_Strategy&amp;"_"&amp;Investment_Strategy_Sub2&amp;"_"&amp;$A211,'Investment Strategies'!$C:$P,12,FALSE),
IF(AND(Investment_Strategy="Lifecycle",Investment_Strategy_Sub1="Standard"),VLOOKUP(Investment_Strategy&amp;"_"&amp;Investment_Strategy_Sub2&amp;"_"&amp;$A211,'Investment Strategies'!$AJ:$AV,11,FALSE),
IF(AND(Investment_Strategy="Autopilot",Investment_Strategy_Sub1="Non-Standard"),VLOOKUP(Investment_Strategy&amp;"_"&amp;Investment_Strategy_Sub2&amp;"_"&amp;$A211,'Investment Strategies'!$T:$AF,11,FALSE),
IF(Investment_Strategy="DIY",DIY_GteeChrge_FuturePremiums,
"Error"))))))</f>
        <v>0</v>
      </c>
      <c r="V211" s="33">
        <f>IF(AV211=0,0,
IF(Investment_Strategy="DIS",VLOOKUP(Investment_Strategy&amp;"_"&amp;Investment_Strategy_Sub1&amp;"_"&amp;$A211,'Investment Strategies'!$AZ:$BP,17,FALSE),
IF(AND(Investment_Strategy="Lifecycle",Investment_Strategy_Sub1="Non-Standard"),VLOOKUP(Investment_Strategy&amp;"_"&amp;Investment_Strategy_Sub2&amp;"_"&amp;$A211,'Investment Strategies'!$C:$P,14,FALSE),
IF(AND(Investment_Strategy="Lifecycle",Investment_Strategy_Sub1="Standard"),VLOOKUP(Investment_Strategy&amp;"_"&amp;Investment_Strategy_Sub2&amp;"_"&amp;$A211,'Investment Strategies'!$AJ:$AV,13,FALSE),
IF(AND(Investment_Strategy="Autopilot",Investment_Strategy_Sub1="Non-Standard"),VLOOKUP(Investment_Strategy&amp;"_"&amp;Investment_Strategy_Sub2&amp;"_"&amp;$A211,'Investment Strategies'!$T:$AF,13,FALSE),
IF(Investment_Strategy="DIY",DIY_ExtManChrge_FuturePremiums,
"Error"))))))</f>
        <v>0</v>
      </c>
      <c r="W211" s="16">
        <f t="shared" si="97"/>
        <v>0</v>
      </c>
      <c r="X211" s="16">
        <f t="shared" si="72"/>
        <v>0</v>
      </c>
      <c r="Y211" s="16">
        <f t="shared" si="73"/>
        <v>0</v>
      </c>
      <c r="Z211" s="31">
        <f t="shared" si="74"/>
        <v>0.02</v>
      </c>
      <c r="AA211" s="16">
        <f t="shared" si="75"/>
        <v>0</v>
      </c>
      <c r="AB211" s="28">
        <f t="shared" si="98"/>
        <v>0</v>
      </c>
      <c r="AC211" s="28">
        <f>(SUM($AC$91:AC210)+SUM($X$91:X210)+X211)*T211*IF(D211=$A$91,SRP_finalmonthfactor,1)</f>
        <v>0</v>
      </c>
      <c r="AD211" s="16">
        <f t="shared" si="76"/>
        <v>0</v>
      </c>
      <c r="AE211" s="106"/>
      <c r="AF211" s="16">
        <f t="shared" si="85"/>
        <v>0</v>
      </c>
      <c r="AG211" s="16">
        <f t="shared" si="86"/>
        <v>0</v>
      </c>
      <c r="AH211" s="16">
        <f t="shared" si="87"/>
        <v>0</v>
      </c>
      <c r="AJ211" s="13">
        <f t="shared" ref="AJ211:AU220" si="112">IF($C211&lt;=AJ$90,1,0)</f>
        <v>0</v>
      </c>
      <c r="AK211" s="13">
        <f t="shared" si="112"/>
        <v>0</v>
      </c>
      <c r="AL211" s="13">
        <f t="shared" si="112"/>
        <v>0</v>
      </c>
      <c r="AM211" s="13">
        <f t="shared" si="112"/>
        <v>0</v>
      </c>
      <c r="AN211" s="13">
        <f t="shared" si="112"/>
        <v>0</v>
      </c>
      <c r="AO211" s="13">
        <f t="shared" si="112"/>
        <v>1</v>
      </c>
      <c r="AP211" s="13">
        <f t="shared" si="112"/>
        <v>1</v>
      </c>
      <c r="AQ211" s="13">
        <f t="shared" si="112"/>
        <v>1</v>
      </c>
      <c r="AR211" s="13">
        <f t="shared" si="112"/>
        <v>1</v>
      </c>
      <c r="AS211" s="13">
        <f t="shared" si="112"/>
        <v>1</v>
      </c>
      <c r="AT211" s="13">
        <f t="shared" si="112"/>
        <v>1</v>
      </c>
      <c r="AU211" s="13">
        <f t="shared" si="112"/>
        <v>1</v>
      </c>
      <c r="AV211" s="13">
        <f t="shared" si="77"/>
        <v>0</v>
      </c>
      <c r="AW211" s="13">
        <f t="shared" si="78"/>
        <v>1</v>
      </c>
      <c r="AY211" s="17">
        <f t="shared" si="79"/>
        <v>121</v>
      </c>
      <c r="AZ211" s="28">
        <f t="shared" si="88"/>
        <v>0</v>
      </c>
      <c r="BA211" s="13">
        <f t="shared" si="80"/>
        <v>0</v>
      </c>
      <c r="BB211" s="13">
        <f t="shared" si="81"/>
        <v>0</v>
      </c>
      <c r="BC211" s="28">
        <f t="shared" si="89"/>
        <v>0</v>
      </c>
      <c r="BD211" s="28">
        <f t="shared" si="90"/>
        <v>0</v>
      </c>
      <c r="BF211" s="248">
        <f t="shared" si="91"/>
        <v>993869.29442638322</v>
      </c>
      <c r="BG211" s="36">
        <f t="shared" si="99"/>
        <v>0</v>
      </c>
      <c r="BH211" s="36">
        <f t="shared" si="100"/>
        <v>892325.96374651219</v>
      </c>
      <c r="BI211" s="249">
        <f t="shared" si="101"/>
        <v>0</v>
      </c>
      <c r="BJ211" s="246">
        <f t="shared" si="102"/>
        <v>0</v>
      </c>
      <c r="BK211" s="246">
        <f t="shared" si="82"/>
        <v>7.531116566323881E-4</v>
      </c>
      <c r="BL211" s="246">
        <f t="shared" si="103"/>
        <v>0</v>
      </c>
      <c r="BM211" s="246">
        <f t="shared" si="104"/>
        <v>7.531116566323881E-4</v>
      </c>
      <c r="BN211" s="36">
        <f t="shared" si="92"/>
        <v>672.02108481322807</v>
      </c>
      <c r="BO211" s="36">
        <f t="shared" si="105"/>
        <v>0</v>
      </c>
      <c r="BP211" s="36">
        <f t="shared" si="106"/>
        <v>891653.94266169891</v>
      </c>
    </row>
    <row r="212" spans="1:68">
      <c r="A212" s="32">
        <f t="shared" si="93"/>
        <v>-37</v>
      </c>
      <c r="B212" s="32">
        <f t="shared" si="83"/>
        <v>63</v>
      </c>
      <c r="C212" s="32">
        <f t="shared" si="94"/>
        <v>11</v>
      </c>
      <c r="D212" s="32">
        <f t="shared" si="95"/>
        <v>122</v>
      </c>
      <c r="E212" s="74">
        <f>MIN(IF(AV212=0,0,
IF(Investment_Strategy="DIS",VLOOKUP(Investment_Strategy&amp;"_"&amp;Investment_Strategy_Sub1&amp;"_"&amp;$A212,'Investment Strategies'!$AZ:$BP,12,FALSE),
IF(AND(Investment_Strategy="Lifecycle",Investment_Strategy_Sub1="Non-Standard"),VLOOKUP(Investment_Strategy&amp;"_"&amp;Investment_Strategy_Sub2&amp;"_"&amp;$A212,'Investment Strategies'!$C:$P,9,FALSE),
IF(AND(Investment_Strategy="Lifecycle",Investment_Strategy_Sub1="Standard"),VLOOKUP(Investment_Strategy&amp;"_"&amp;Investment_Strategy_Sub2&amp;"_"&amp;$A212,'Investment Strategies'!$AJ:$AV,8,FALSE),
IF(AND(Investment_Strategy="Autopilot",Investment_Strategy_Sub1="Non-Standard"),VLOOKUP(Investment_Strategy&amp;"_"&amp;Investment_Strategy_Sub2&amp;"_"&amp;$A212,'Investment Strategies'!$T:$AF,8,FALSE),
IF(Investment_Strategy ="DIY",DIY_RateOfReturn_CurrentFunds,
"Error")))))),Max_InvReturn)</f>
        <v>0</v>
      </c>
      <c r="F212" s="62">
        <f>IF(AV212=0,0,
IF(Investment_Strategy="DIS",VLOOKUP(Investment_Strategy&amp;"_"&amp;Investment_Strategy_Sub1&amp;"_"&amp;$A212,'Investment Strategies'!$AZ:$BP,15,FALSE),
IF(AND(Investment_Strategy="Lifecycle",Investment_Strategy_Sub1="Non-Standard"),VLOOKUP(Investment_Strategy&amp;"_"&amp;Investment_Strategy_Sub2&amp;"_"&amp;$A212,'Investment Strategies'!$C:$P,12,FALSE),
IF(AND(Investment_Strategy="Lifecycle",Investment_Strategy_Sub1="Standard"),VLOOKUP(Investment_Strategy&amp;"_"&amp;Investment_Strategy_Sub2&amp;"_"&amp;$A212,'Investment Strategies'!$AJ:$AV,11,FALSE),
IF(AND(Investment_Strategy="Autopilot",Investment_Strategy_Sub1="Non-Standard"),VLOOKUP(Investment_Strategy&amp;"_"&amp;Investment_Strategy_Sub2&amp;"_"&amp;$A212,'Investment Strategies'!$T:$AF,11,FALSE),
IF(Investment_Strategy="DIY",DIY_GteeChrge_CurrentFunds,
"Error"))))))</f>
        <v>0</v>
      </c>
      <c r="G212" s="33">
        <f>IF(AV212=0,0,
IF(Investment_Strategy="DIS",VLOOKUP(Investment_Strategy&amp;"_"&amp;Investment_Strategy_Sub1&amp;"_"&amp;$A212,'Investment Strategies'!$AZ:$BP,17,FALSE),
IF(AND(Investment_Strategy="Lifecycle",Investment_Strategy_Sub1="Non-Standard"),VLOOKUP(Investment_Strategy&amp;"_"&amp;Investment_Strategy_Sub2&amp;"_"&amp;$A212,'Investment Strategies'!$C:$P,14,FALSE),
IF(AND(Investment_Strategy="Lifecycle",Investment_Strategy_Sub1="Standard"),VLOOKUP(Investment_Strategy&amp;"_"&amp;Investment_Strategy_Sub2&amp;"_"&amp;$A212,'Investment Strategies'!$AJ:$AV,13,FALSE),
IF(AND(Investment_Strategy="Autopilot",Investment_Strategy_Sub1="Non-Standard"),VLOOKUP(Investment_Strategy&amp;"_"&amp;Investment_Strategy_Sub2&amp;"_"&amp;$A212,'Investment Strategies'!$T:$AF,13,FALSE),
IF(Investment_Strategy="DIY",DIY_ExtManChrge_CurrentFunds,
"Error"))))))</f>
        <v>0</v>
      </c>
      <c r="H212" s="16">
        <f t="shared" si="84"/>
        <v>0</v>
      </c>
      <c r="I212" s="16">
        <f t="shared" si="68"/>
        <v>0</v>
      </c>
      <c r="J212" s="16">
        <f t="shared" si="69"/>
        <v>0</v>
      </c>
      <c r="K212" s="16">
        <f>(Opening_Fund_Value+SUM(K$91:K211))*E212*IF(D212=$A$91,SRP_finalmonthfactor,1)</f>
        <v>0</v>
      </c>
      <c r="L212" s="74">
        <f>MIN(IF($AV212=0,0,
IF(Investment_Strategy="DIS",VLOOKUP(Investment_Strategy&amp;"_"&amp;Investment_Strategy_Sub1&amp;"_"&amp;$A212,'Investment Strategies'!$AZ:$BP,12,FALSE),
IF(AND(Investment_Strategy="Lifecycle",Investment_Strategy_Sub1="Non-Standard"),VLOOKUP(Investment_Strategy&amp;"_"&amp;Investment_Strategy_Sub2&amp;"_"&amp;$A212,'Investment Strategies'!$C:$P,9,FALSE),
IF(AND(Investment_Strategy="Lifecycle",Investment_Strategy_Sub1="Standard"),VLOOKUP(Investment_Strategy&amp;"_"&amp;Investment_Strategy_Sub2&amp;"_"&amp;$A212,'Investment Strategies'!$AJ:$AV,8,FALSE),
IF(AND(Investment_Strategy="Autopilot",Investment_Strategy_Sub1="Non-Standard"),VLOOKUP(Investment_Strategy&amp;"_"&amp;Investment_Strategy_Sub2&amp;"_"&amp;$A212,'Investment Strategies'!$T:$AF,8,FALSE),
IF(Investment_Strategy ="DIY",DIY_RateofReturn_SP,
"Error")))))),Max_InvReturn)</f>
        <v>0</v>
      </c>
      <c r="M212" s="62">
        <f>IF($AV212=0,0,
IF(Investment_Strategy="DIS",VLOOKUP(Investment_Strategy&amp;"_"&amp;Investment_Strategy_Sub1&amp;"_"&amp;$A212,'Investment Strategies'!$AZ:$BP,15,FALSE),
IF(AND(Investment_Strategy="Lifecycle",Investment_Strategy_Sub1="Non-Standard"),VLOOKUP(Investment_Strategy&amp;"_"&amp;Investment_Strategy_Sub2&amp;"_"&amp;$A212,'Investment Strategies'!$C:$P,12,FALSE),
IF(AND(Investment_Strategy="Lifecycle",Investment_Strategy_Sub1="Standard"),VLOOKUP(Investment_Strategy&amp;"_"&amp;Investment_Strategy_Sub2&amp;"_"&amp;$A212,'Investment Strategies'!$AJ:$AV,11,FALSE),
IF(AND(Investment_Strategy="Autopilot",Investment_Strategy_Sub1="Non-Standard"),VLOOKUP(Investment_Strategy&amp;"_"&amp;Investment_Strategy_Sub2&amp;"_"&amp;$A212,'Investment Strategies'!$T:$AF,11,FALSE),
IF(Investment_Strategy="DIY",DIY_GteeChrge_SP,
"Error"))))))</f>
        <v>0</v>
      </c>
      <c r="N212" s="33">
        <f>IF($AV212=0,0,
IF(Investment_Strategy="DIS",VLOOKUP(Investment_Strategy&amp;"_"&amp;Investment_Strategy_Sub1&amp;"_"&amp;$A212,'Investment Strategies'!$AZ:$BP,17,FALSE),
IF(AND(Investment_Strategy="Lifecycle",Investment_Strategy_Sub1="Non-Standard"),VLOOKUP(Investment_Strategy&amp;"_"&amp;Investment_Strategy_Sub2&amp;"_"&amp;$A212,'Investment Strategies'!$C:$P,14,FALSE),
IF(AND(Investment_Strategy="Lifecycle",Investment_Strategy_Sub1="Standard"),VLOOKUP(Investment_Strategy&amp;"_"&amp;Investment_Strategy_Sub2&amp;"_"&amp;$A212,'Investment Strategies'!$AJ:$AV,13,FALSE),
IF(AND(Investment_Strategy="Autopilot",Investment_Strategy_Sub1="Non-Standard"),VLOOKUP(Investment_Strategy&amp;"_"&amp;Investment_Strategy_Sub2&amp;"_"&amp;$A212,'Investment Strategies'!$T:$AF,13,FALSE),
IF(Investment_Strategy="DIY",DIY_ExtManChrge_SP,
"Error"))))))</f>
        <v>0</v>
      </c>
      <c r="O212" s="16">
        <f t="shared" si="96"/>
        <v>0</v>
      </c>
      <c r="Q212" s="16">
        <f t="shared" si="70"/>
        <v>0</v>
      </c>
      <c r="R212" s="16">
        <f t="shared" si="71"/>
        <v>0</v>
      </c>
      <c r="S212" s="16">
        <f>(SRP_SP+SUM(S$91:S211))*L212*IF(D212=$A$91,SRP_finalmonthfactor,1)</f>
        <v>0</v>
      </c>
      <c r="T212" s="74">
        <f>MIN(IF($AV212=0,0,
IF(Investment_Strategy="DIS",VLOOKUP(Investment_Strategy&amp;"_"&amp;Investment_Strategy_Sub1&amp;"_"&amp;$A212,'Investment Strategies'!$AZ:$BP,12,FALSE),
IF(AND(Investment_Strategy="Lifecycle",Investment_Strategy_Sub1="Non-Standard"),VLOOKUP(Investment_Strategy&amp;"_"&amp;Investment_Strategy_Sub2&amp;"_"&amp;$A212,'Investment Strategies'!$C:$P,9,FALSE),
IF(AND(Investment_Strategy="Lifecycle",Investment_Strategy_Sub1="Standard"),VLOOKUP(Investment_Strategy&amp;"_"&amp;Investment_Strategy_Sub2&amp;"_"&amp;$A212,'Investment Strategies'!$AJ:$AV,8,FALSE),
IF(AND(Investment_Strategy="Autopilot",Investment_Strategy_Sub1="Non-Standard"),VLOOKUP(Investment_Strategy&amp;"_"&amp;Investment_Strategy_Sub2&amp;"_"&amp;$A212,'Investment Strategies'!$T:$AF,8,FALSE),
IF(Investment_Strategy ="DIY",DIY_RateOfReturn_FuturePremiums,
"Error")))))),Max_InvReturn)</f>
        <v>0</v>
      </c>
      <c r="U212" s="62">
        <f>IF($AV212=0,0,
IF(Investment_Strategy="DIS",VLOOKUP(Investment_Strategy&amp;"_"&amp;Investment_Strategy_Sub1&amp;"_"&amp;$A212,'Investment Strategies'!$AZ:$BP,15,FALSE),
IF(AND(Investment_Strategy="Lifecycle",Investment_Strategy_Sub1="Non-Standard"),VLOOKUP(Investment_Strategy&amp;"_"&amp;Investment_Strategy_Sub2&amp;"_"&amp;$A212,'Investment Strategies'!$C:$P,12,FALSE),
IF(AND(Investment_Strategy="Lifecycle",Investment_Strategy_Sub1="Standard"),VLOOKUP(Investment_Strategy&amp;"_"&amp;Investment_Strategy_Sub2&amp;"_"&amp;$A212,'Investment Strategies'!$AJ:$AV,11,FALSE),
IF(AND(Investment_Strategy="Autopilot",Investment_Strategy_Sub1="Non-Standard"),VLOOKUP(Investment_Strategy&amp;"_"&amp;Investment_Strategy_Sub2&amp;"_"&amp;$A212,'Investment Strategies'!$T:$AF,11,FALSE),
IF(Investment_Strategy="DIY",DIY_GteeChrge_FuturePremiums,
"Error"))))))</f>
        <v>0</v>
      </c>
      <c r="V212" s="33">
        <f>IF(AV212=0,0,
IF(Investment_Strategy="DIS",VLOOKUP(Investment_Strategy&amp;"_"&amp;Investment_Strategy_Sub1&amp;"_"&amp;$A212,'Investment Strategies'!$AZ:$BP,17,FALSE),
IF(AND(Investment_Strategy="Lifecycle",Investment_Strategy_Sub1="Non-Standard"),VLOOKUP(Investment_Strategy&amp;"_"&amp;Investment_Strategy_Sub2&amp;"_"&amp;$A212,'Investment Strategies'!$C:$P,14,FALSE),
IF(AND(Investment_Strategy="Lifecycle",Investment_Strategy_Sub1="Standard"),VLOOKUP(Investment_Strategy&amp;"_"&amp;Investment_Strategy_Sub2&amp;"_"&amp;$A212,'Investment Strategies'!$AJ:$AV,13,FALSE),
IF(AND(Investment_Strategy="Autopilot",Investment_Strategy_Sub1="Non-Standard"),VLOOKUP(Investment_Strategy&amp;"_"&amp;Investment_Strategy_Sub2&amp;"_"&amp;$A212,'Investment Strategies'!$T:$AF,13,FALSE),
IF(Investment_Strategy="DIY",DIY_ExtManChrge_FuturePremiums,
"Error"))))))</f>
        <v>0</v>
      </c>
      <c r="W212" s="16">
        <f t="shared" si="97"/>
        <v>0</v>
      </c>
      <c r="X212" s="16">
        <f t="shared" si="72"/>
        <v>0</v>
      </c>
      <c r="Y212" s="16">
        <f t="shared" si="73"/>
        <v>0</v>
      </c>
      <c r="Z212" s="31">
        <f t="shared" si="74"/>
        <v>0.02</v>
      </c>
      <c r="AA212" s="16">
        <f t="shared" si="75"/>
        <v>0</v>
      </c>
      <c r="AB212" s="28">
        <f t="shared" si="98"/>
        <v>0</v>
      </c>
      <c r="AC212" s="28">
        <f>(SUM($AC$91:AC211)+SUM($X$91:X211)+X212)*T212*IF(D212=$A$91,SRP_finalmonthfactor,1)</f>
        <v>0</v>
      </c>
      <c r="AD212" s="16">
        <f t="shared" si="76"/>
        <v>0</v>
      </c>
      <c r="AE212" s="106"/>
      <c r="AF212" s="16">
        <f t="shared" si="85"/>
        <v>0</v>
      </c>
      <c r="AG212" s="16">
        <f t="shared" si="86"/>
        <v>0</v>
      </c>
      <c r="AH212" s="16">
        <f t="shared" si="87"/>
        <v>0</v>
      </c>
      <c r="AJ212" s="13">
        <f t="shared" si="112"/>
        <v>0</v>
      </c>
      <c r="AK212" s="13">
        <f t="shared" si="112"/>
        <v>0</v>
      </c>
      <c r="AL212" s="13">
        <f t="shared" si="112"/>
        <v>0</v>
      </c>
      <c r="AM212" s="13">
        <f t="shared" si="112"/>
        <v>0</v>
      </c>
      <c r="AN212" s="13">
        <f t="shared" si="112"/>
        <v>0</v>
      </c>
      <c r="AO212" s="13">
        <f t="shared" si="112"/>
        <v>1</v>
      </c>
      <c r="AP212" s="13">
        <f t="shared" si="112"/>
        <v>1</v>
      </c>
      <c r="AQ212" s="13">
        <f t="shared" si="112"/>
        <v>1</v>
      </c>
      <c r="AR212" s="13">
        <f t="shared" si="112"/>
        <v>1</v>
      </c>
      <c r="AS212" s="13">
        <f t="shared" si="112"/>
        <v>1</v>
      </c>
      <c r="AT212" s="13">
        <f t="shared" si="112"/>
        <v>1</v>
      </c>
      <c r="AU212" s="13">
        <f t="shared" si="112"/>
        <v>1</v>
      </c>
      <c r="AV212" s="13">
        <f t="shared" si="77"/>
        <v>0</v>
      </c>
      <c r="AW212" s="13">
        <f t="shared" si="78"/>
        <v>1</v>
      </c>
      <c r="AY212" s="17">
        <f t="shared" si="79"/>
        <v>122</v>
      </c>
      <c r="AZ212" s="28">
        <f t="shared" si="88"/>
        <v>0</v>
      </c>
      <c r="BA212" s="13">
        <f t="shared" si="80"/>
        <v>0</v>
      </c>
      <c r="BB212" s="13">
        <f t="shared" si="81"/>
        <v>0</v>
      </c>
      <c r="BC212" s="28">
        <f t="shared" si="89"/>
        <v>0</v>
      </c>
      <c r="BD212" s="28">
        <f t="shared" si="90"/>
        <v>0</v>
      </c>
      <c r="BF212" s="248">
        <f t="shared" si="91"/>
        <v>993869.29442638322</v>
      </c>
      <c r="BG212" s="36">
        <f t="shared" si="99"/>
        <v>0</v>
      </c>
      <c r="BH212" s="36">
        <f t="shared" si="100"/>
        <v>891653.94266169891</v>
      </c>
      <c r="BI212" s="249">
        <f t="shared" si="101"/>
        <v>0</v>
      </c>
      <c r="BJ212" s="246">
        <f t="shared" si="102"/>
        <v>0</v>
      </c>
      <c r="BK212" s="246">
        <f t="shared" si="82"/>
        <v>7.531116566323881E-4</v>
      </c>
      <c r="BL212" s="246">
        <f t="shared" si="103"/>
        <v>0</v>
      </c>
      <c r="BM212" s="246">
        <f t="shared" si="104"/>
        <v>7.531116566323881E-4</v>
      </c>
      <c r="BN212" s="36">
        <f t="shared" si="92"/>
        <v>671.51497790075246</v>
      </c>
      <c r="BO212" s="36">
        <f t="shared" si="105"/>
        <v>0</v>
      </c>
      <c r="BP212" s="36">
        <f t="shared" si="106"/>
        <v>890982.42768379813</v>
      </c>
    </row>
    <row r="213" spans="1:68">
      <c r="A213" s="32">
        <f t="shared" si="93"/>
        <v>-38</v>
      </c>
      <c r="B213" s="32">
        <f t="shared" si="83"/>
        <v>63</v>
      </c>
      <c r="C213" s="32">
        <f t="shared" si="94"/>
        <v>11</v>
      </c>
      <c r="D213" s="32">
        <f t="shared" si="95"/>
        <v>123</v>
      </c>
      <c r="E213" s="74">
        <f>MIN(IF(AV213=0,0,
IF(Investment_Strategy="DIS",VLOOKUP(Investment_Strategy&amp;"_"&amp;Investment_Strategy_Sub1&amp;"_"&amp;$A213,'Investment Strategies'!$AZ:$BP,12,FALSE),
IF(AND(Investment_Strategy="Lifecycle",Investment_Strategy_Sub1="Non-Standard"),VLOOKUP(Investment_Strategy&amp;"_"&amp;Investment_Strategy_Sub2&amp;"_"&amp;$A213,'Investment Strategies'!$C:$P,9,FALSE),
IF(AND(Investment_Strategy="Lifecycle",Investment_Strategy_Sub1="Standard"),VLOOKUP(Investment_Strategy&amp;"_"&amp;Investment_Strategy_Sub2&amp;"_"&amp;$A213,'Investment Strategies'!$AJ:$AV,8,FALSE),
IF(AND(Investment_Strategy="Autopilot",Investment_Strategy_Sub1="Non-Standard"),VLOOKUP(Investment_Strategy&amp;"_"&amp;Investment_Strategy_Sub2&amp;"_"&amp;$A213,'Investment Strategies'!$T:$AF,8,FALSE),
IF(Investment_Strategy ="DIY",DIY_RateOfReturn_CurrentFunds,
"Error")))))),Max_InvReturn)</f>
        <v>0</v>
      </c>
      <c r="F213" s="62">
        <f>IF(AV213=0,0,
IF(Investment_Strategy="DIS",VLOOKUP(Investment_Strategy&amp;"_"&amp;Investment_Strategy_Sub1&amp;"_"&amp;$A213,'Investment Strategies'!$AZ:$BP,15,FALSE),
IF(AND(Investment_Strategy="Lifecycle",Investment_Strategy_Sub1="Non-Standard"),VLOOKUP(Investment_Strategy&amp;"_"&amp;Investment_Strategy_Sub2&amp;"_"&amp;$A213,'Investment Strategies'!$C:$P,12,FALSE),
IF(AND(Investment_Strategy="Lifecycle",Investment_Strategy_Sub1="Standard"),VLOOKUP(Investment_Strategy&amp;"_"&amp;Investment_Strategy_Sub2&amp;"_"&amp;$A213,'Investment Strategies'!$AJ:$AV,11,FALSE),
IF(AND(Investment_Strategy="Autopilot",Investment_Strategy_Sub1="Non-Standard"),VLOOKUP(Investment_Strategy&amp;"_"&amp;Investment_Strategy_Sub2&amp;"_"&amp;$A213,'Investment Strategies'!$T:$AF,11,FALSE),
IF(Investment_Strategy="DIY",DIY_GteeChrge_CurrentFunds,
"Error"))))))</f>
        <v>0</v>
      </c>
      <c r="G213" s="33">
        <f>IF(AV213=0,0,
IF(Investment_Strategy="DIS",VLOOKUP(Investment_Strategy&amp;"_"&amp;Investment_Strategy_Sub1&amp;"_"&amp;$A213,'Investment Strategies'!$AZ:$BP,17,FALSE),
IF(AND(Investment_Strategy="Lifecycle",Investment_Strategy_Sub1="Non-Standard"),VLOOKUP(Investment_Strategy&amp;"_"&amp;Investment_Strategy_Sub2&amp;"_"&amp;$A213,'Investment Strategies'!$C:$P,14,FALSE),
IF(AND(Investment_Strategy="Lifecycle",Investment_Strategy_Sub1="Standard"),VLOOKUP(Investment_Strategy&amp;"_"&amp;Investment_Strategy_Sub2&amp;"_"&amp;$A213,'Investment Strategies'!$AJ:$AV,13,FALSE),
IF(AND(Investment_Strategy="Autopilot",Investment_Strategy_Sub1="Non-Standard"),VLOOKUP(Investment_Strategy&amp;"_"&amp;Investment_Strategy_Sub2&amp;"_"&amp;$A213,'Investment Strategies'!$T:$AF,13,FALSE),
IF(Investment_Strategy="DIY",DIY_ExtManChrge_CurrentFunds,
"Error"))))))</f>
        <v>0</v>
      </c>
      <c r="H213" s="16">
        <f t="shared" si="84"/>
        <v>0</v>
      </c>
      <c r="I213" s="16">
        <f t="shared" si="68"/>
        <v>0</v>
      </c>
      <c r="J213" s="16">
        <f t="shared" si="69"/>
        <v>0</v>
      </c>
      <c r="K213" s="16">
        <f>(Opening_Fund_Value+SUM(K$91:K212))*E213*IF(D213=$A$91,SRP_finalmonthfactor,1)</f>
        <v>0</v>
      </c>
      <c r="L213" s="74">
        <f>MIN(IF($AV213=0,0,
IF(Investment_Strategy="DIS",VLOOKUP(Investment_Strategy&amp;"_"&amp;Investment_Strategy_Sub1&amp;"_"&amp;$A213,'Investment Strategies'!$AZ:$BP,12,FALSE),
IF(AND(Investment_Strategy="Lifecycle",Investment_Strategy_Sub1="Non-Standard"),VLOOKUP(Investment_Strategy&amp;"_"&amp;Investment_Strategy_Sub2&amp;"_"&amp;$A213,'Investment Strategies'!$C:$P,9,FALSE),
IF(AND(Investment_Strategy="Lifecycle",Investment_Strategy_Sub1="Standard"),VLOOKUP(Investment_Strategy&amp;"_"&amp;Investment_Strategy_Sub2&amp;"_"&amp;$A213,'Investment Strategies'!$AJ:$AV,8,FALSE),
IF(AND(Investment_Strategy="Autopilot",Investment_Strategy_Sub1="Non-Standard"),VLOOKUP(Investment_Strategy&amp;"_"&amp;Investment_Strategy_Sub2&amp;"_"&amp;$A213,'Investment Strategies'!$T:$AF,8,FALSE),
IF(Investment_Strategy ="DIY",DIY_RateofReturn_SP,
"Error")))))),Max_InvReturn)</f>
        <v>0</v>
      </c>
      <c r="M213" s="62">
        <f>IF($AV213=0,0,
IF(Investment_Strategy="DIS",VLOOKUP(Investment_Strategy&amp;"_"&amp;Investment_Strategy_Sub1&amp;"_"&amp;$A213,'Investment Strategies'!$AZ:$BP,15,FALSE),
IF(AND(Investment_Strategy="Lifecycle",Investment_Strategy_Sub1="Non-Standard"),VLOOKUP(Investment_Strategy&amp;"_"&amp;Investment_Strategy_Sub2&amp;"_"&amp;$A213,'Investment Strategies'!$C:$P,12,FALSE),
IF(AND(Investment_Strategy="Lifecycle",Investment_Strategy_Sub1="Standard"),VLOOKUP(Investment_Strategy&amp;"_"&amp;Investment_Strategy_Sub2&amp;"_"&amp;$A213,'Investment Strategies'!$AJ:$AV,11,FALSE),
IF(AND(Investment_Strategy="Autopilot",Investment_Strategy_Sub1="Non-Standard"),VLOOKUP(Investment_Strategy&amp;"_"&amp;Investment_Strategy_Sub2&amp;"_"&amp;$A213,'Investment Strategies'!$T:$AF,11,FALSE),
IF(Investment_Strategy="DIY",DIY_GteeChrge_SP,
"Error"))))))</f>
        <v>0</v>
      </c>
      <c r="N213" s="33">
        <f>IF($AV213=0,0,
IF(Investment_Strategy="DIS",VLOOKUP(Investment_Strategy&amp;"_"&amp;Investment_Strategy_Sub1&amp;"_"&amp;$A213,'Investment Strategies'!$AZ:$BP,17,FALSE),
IF(AND(Investment_Strategy="Lifecycle",Investment_Strategy_Sub1="Non-Standard"),VLOOKUP(Investment_Strategy&amp;"_"&amp;Investment_Strategy_Sub2&amp;"_"&amp;$A213,'Investment Strategies'!$C:$P,14,FALSE),
IF(AND(Investment_Strategy="Lifecycle",Investment_Strategy_Sub1="Standard"),VLOOKUP(Investment_Strategy&amp;"_"&amp;Investment_Strategy_Sub2&amp;"_"&amp;$A213,'Investment Strategies'!$AJ:$AV,13,FALSE),
IF(AND(Investment_Strategy="Autopilot",Investment_Strategy_Sub1="Non-Standard"),VLOOKUP(Investment_Strategy&amp;"_"&amp;Investment_Strategy_Sub2&amp;"_"&amp;$A213,'Investment Strategies'!$T:$AF,13,FALSE),
IF(Investment_Strategy="DIY",DIY_ExtManChrge_SP,
"Error"))))))</f>
        <v>0</v>
      </c>
      <c r="O213" s="16">
        <f t="shared" si="96"/>
        <v>0</v>
      </c>
      <c r="Q213" s="16">
        <f t="shared" si="70"/>
        <v>0</v>
      </c>
      <c r="R213" s="16">
        <f t="shared" si="71"/>
        <v>0</v>
      </c>
      <c r="S213" s="16">
        <f>(SRP_SP+SUM(S$91:S212))*L213*IF(D213=$A$91,SRP_finalmonthfactor,1)</f>
        <v>0</v>
      </c>
      <c r="T213" s="74">
        <f>MIN(IF($AV213=0,0,
IF(Investment_Strategy="DIS",VLOOKUP(Investment_Strategy&amp;"_"&amp;Investment_Strategy_Sub1&amp;"_"&amp;$A213,'Investment Strategies'!$AZ:$BP,12,FALSE),
IF(AND(Investment_Strategy="Lifecycle",Investment_Strategy_Sub1="Non-Standard"),VLOOKUP(Investment_Strategy&amp;"_"&amp;Investment_Strategy_Sub2&amp;"_"&amp;$A213,'Investment Strategies'!$C:$P,9,FALSE),
IF(AND(Investment_Strategy="Lifecycle",Investment_Strategy_Sub1="Standard"),VLOOKUP(Investment_Strategy&amp;"_"&amp;Investment_Strategy_Sub2&amp;"_"&amp;$A213,'Investment Strategies'!$AJ:$AV,8,FALSE),
IF(AND(Investment_Strategy="Autopilot",Investment_Strategy_Sub1="Non-Standard"),VLOOKUP(Investment_Strategy&amp;"_"&amp;Investment_Strategy_Sub2&amp;"_"&amp;$A213,'Investment Strategies'!$T:$AF,8,FALSE),
IF(Investment_Strategy ="DIY",DIY_RateOfReturn_FuturePremiums,
"Error")))))),Max_InvReturn)</f>
        <v>0</v>
      </c>
      <c r="U213" s="62">
        <f>IF($AV213=0,0,
IF(Investment_Strategy="DIS",VLOOKUP(Investment_Strategy&amp;"_"&amp;Investment_Strategy_Sub1&amp;"_"&amp;$A213,'Investment Strategies'!$AZ:$BP,15,FALSE),
IF(AND(Investment_Strategy="Lifecycle",Investment_Strategy_Sub1="Non-Standard"),VLOOKUP(Investment_Strategy&amp;"_"&amp;Investment_Strategy_Sub2&amp;"_"&amp;$A213,'Investment Strategies'!$C:$P,12,FALSE),
IF(AND(Investment_Strategy="Lifecycle",Investment_Strategy_Sub1="Standard"),VLOOKUP(Investment_Strategy&amp;"_"&amp;Investment_Strategy_Sub2&amp;"_"&amp;$A213,'Investment Strategies'!$AJ:$AV,11,FALSE),
IF(AND(Investment_Strategy="Autopilot",Investment_Strategy_Sub1="Non-Standard"),VLOOKUP(Investment_Strategy&amp;"_"&amp;Investment_Strategy_Sub2&amp;"_"&amp;$A213,'Investment Strategies'!$T:$AF,11,FALSE),
IF(Investment_Strategy="DIY",DIY_GteeChrge_FuturePremiums,
"Error"))))))</f>
        <v>0</v>
      </c>
      <c r="V213" s="33">
        <f>IF(AV213=0,0,
IF(Investment_Strategy="DIS",VLOOKUP(Investment_Strategy&amp;"_"&amp;Investment_Strategy_Sub1&amp;"_"&amp;$A213,'Investment Strategies'!$AZ:$BP,17,FALSE),
IF(AND(Investment_Strategy="Lifecycle",Investment_Strategy_Sub1="Non-Standard"),VLOOKUP(Investment_Strategy&amp;"_"&amp;Investment_Strategy_Sub2&amp;"_"&amp;$A213,'Investment Strategies'!$C:$P,14,FALSE),
IF(AND(Investment_Strategy="Lifecycle",Investment_Strategy_Sub1="Standard"),VLOOKUP(Investment_Strategy&amp;"_"&amp;Investment_Strategy_Sub2&amp;"_"&amp;$A213,'Investment Strategies'!$AJ:$AV,13,FALSE),
IF(AND(Investment_Strategy="Autopilot",Investment_Strategy_Sub1="Non-Standard"),VLOOKUP(Investment_Strategy&amp;"_"&amp;Investment_Strategy_Sub2&amp;"_"&amp;$A213,'Investment Strategies'!$T:$AF,13,FALSE),
IF(Investment_Strategy="DIY",DIY_ExtManChrge_FuturePremiums,
"Error"))))))</f>
        <v>0</v>
      </c>
      <c r="W213" s="16">
        <f t="shared" si="97"/>
        <v>0</v>
      </c>
      <c r="X213" s="16">
        <f t="shared" si="72"/>
        <v>0</v>
      </c>
      <c r="Y213" s="16">
        <f t="shared" si="73"/>
        <v>0</v>
      </c>
      <c r="Z213" s="31">
        <f t="shared" si="74"/>
        <v>0.02</v>
      </c>
      <c r="AA213" s="16">
        <f t="shared" si="75"/>
        <v>0</v>
      </c>
      <c r="AB213" s="28">
        <f t="shared" si="98"/>
        <v>0</v>
      </c>
      <c r="AC213" s="28">
        <f>(SUM($AC$91:AC212)+SUM($X$91:X212)+X213)*T213*IF(D213=$A$91,SRP_finalmonthfactor,1)</f>
        <v>0</v>
      </c>
      <c r="AD213" s="16">
        <f t="shared" si="76"/>
        <v>0</v>
      </c>
      <c r="AE213" s="106"/>
      <c r="AF213" s="16">
        <f t="shared" si="85"/>
        <v>0</v>
      </c>
      <c r="AG213" s="16">
        <f t="shared" si="86"/>
        <v>0</v>
      </c>
      <c r="AH213" s="16">
        <f t="shared" si="87"/>
        <v>0</v>
      </c>
      <c r="AJ213" s="13">
        <f t="shared" si="112"/>
        <v>0</v>
      </c>
      <c r="AK213" s="13">
        <f t="shared" si="112"/>
        <v>0</v>
      </c>
      <c r="AL213" s="13">
        <f t="shared" si="112"/>
        <v>0</v>
      </c>
      <c r="AM213" s="13">
        <f t="shared" si="112"/>
        <v>0</v>
      </c>
      <c r="AN213" s="13">
        <f t="shared" si="112"/>
        <v>0</v>
      </c>
      <c r="AO213" s="13">
        <f t="shared" si="112"/>
        <v>1</v>
      </c>
      <c r="AP213" s="13">
        <f t="shared" si="112"/>
        <v>1</v>
      </c>
      <c r="AQ213" s="13">
        <f t="shared" si="112"/>
        <v>1</v>
      </c>
      <c r="AR213" s="13">
        <f t="shared" si="112"/>
        <v>1</v>
      </c>
      <c r="AS213" s="13">
        <f t="shared" si="112"/>
        <v>1</v>
      </c>
      <c r="AT213" s="13">
        <f t="shared" si="112"/>
        <v>1</v>
      </c>
      <c r="AU213" s="13">
        <f t="shared" si="112"/>
        <v>1</v>
      </c>
      <c r="AV213" s="13">
        <f t="shared" si="77"/>
        <v>0</v>
      </c>
      <c r="AW213" s="13">
        <f t="shared" si="78"/>
        <v>1</v>
      </c>
      <c r="AY213" s="17">
        <f t="shared" si="79"/>
        <v>123</v>
      </c>
      <c r="AZ213" s="28">
        <f t="shared" si="88"/>
        <v>0</v>
      </c>
      <c r="BA213" s="13">
        <f t="shared" si="80"/>
        <v>0</v>
      </c>
      <c r="BB213" s="13">
        <f t="shared" si="81"/>
        <v>0</v>
      </c>
      <c r="BC213" s="28">
        <f t="shared" si="89"/>
        <v>0</v>
      </c>
      <c r="BD213" s="28">
        <f t="shared" si="90"/>
        <v>0</v>
      </c>
      <c r="BF213" s="248">
        <f t="shared" si="91"/>
        <v>993869.29442638322</v>
      </c>
      <c r="BG213" s="36">
        <f t="shared" si="99"/>
        <v>0</v>
      </c>
      <c r="BH213" s="36">
        <f t="shared" si="100"/>
        <v>890982.42768379813</v>
      </c>
      <c r="BI213" s="249">
        <f t="shared" si="101"/>
        <v>0</v>
      </c>
      <c r="BJ213" s="246">
        <f t="shared" si="102"/>
        <v>0</v>
      </c>
      <c r="BK213" s="246">
        <f t="shared" si="82"/>
        <v>7.531116566323881E-4</v>
      </c>
      <c r="BL213" s="246">
        <f t="shared" si="103"/>
        <v>0</v>
      </c>
      <c r="BM213" s="246">
        <f t="shared" si="104"/>
        <v>7.531116566323881E-4</v>
      </c>
      <c r="BN213" s="36">
        <f t="shared" si="92"/>
        <v>671.00925214329209</v>
      </c>
      <c r="BO213" s="36">
        <f t="shared" si="105"/>
        <v>0</v>
      </c>
      <c r="BP213" s="36">
        <f t="shared" si="106"/>
        <v>890311.41843165481</v>
      </c>
    </row>
    <row r="214" spans="1:68">
      <c r="A214" s="32">
        <f t="shared" si="93"/>
        <v>-39</v>
      </c>
      <c r="B214" s="32">
        <f t="shared" si="83"/>
        <v>63</v>
      </c>
      <c r="C214" s="32">
        <f t="shared" si="94"/>
        <v>11</v>
      </c>
      <c r="D214" s="32">
        <f t="shared" si="95"/>
        <v>124</v>
      </c>
      <c r="E214" s="74">
        <f>MIN(IF(AV214=0,0,
IF(Investment_Strategy="DIS",VLOOKUP(Investment_Strategy&amp;"_"&amp;Investment_Strategy_Sub1&amp;"_"&amp;$A214,'Investment Strategies'!$AZ:$BP,12,FALSE),
IF(AND(Investment_Strategy="Lifecycle",Investment_Strategy_Sub1="Non-Standard"),VLOOKUP(Investment_Strategy&amp;"_"&amp;Investment_Strategy_Sub2&amp;"_"&amp;$A214,'Investment Strategies'!$C:$P,9,FALSE),
IF(AND(Investment_Strategy="Lifecycle",Investment_Strategy_Sub1="Standard"),VLOOKUP(Investment_Strategy&amp;"_"&amp;Investment_Strategy_Sub2&amp;"_"&amp;$A214,'Investment Strategies'!$AJ:$AV,8,FALSE),
IF(AND(Investment_Strategy="Autopilot",Investment_Strategy_Sub1="Non-Standard"),VLOOKUP(Investment_Strategy&amp;"_"&amp;Investment_Strategy_Sub2&amp;"_"&amp;$A214,'Investment Strategies'!$T:$AF,8,FALSE),
IF(Investment_Strategy ="DIY",DIY_RateOfReturn_CurrentFunds,
"Error")))))),Max_InvReturn)</f>
        <v>0</v>
      </c>
      <c r="F214" s="62">
        <f>IF(AV214=0,0,
IF(Investment_Strategy="DIS",VLOOKUP(Investment_Strategy&amp;"_"&amp;Investment_Strategy_Sub1&amp;"_"&amp;$A214,'Investment Strategies'!$AZ:$BP,15,FALSE),
IF(AND(Investment_Strategy="Lifecycle",Investment_Strategy_Sub1="Non-Standard"),VLOOKUP(Investment_Strategy&amp;"_"&amp;Investment_Strategy_Sub2&amp;"_"&amp;$A214,'Investment Strategies'!$C:$P,12,FALSE),
IF(AND(Investment_Strategy="Lifecycle",Investment_Strategy_Sub1="Standard"),VLOOKUP(Investment_Strategy&amp;"_"&amp;Investment_Strategy_Sub2&amp;"_"&amp;$A214,'Investment Strategies'!$AJ:$AV,11,FALSE),
IF(AND(Investment_Strategy="Autopilot",Investment_Strategy_Sub1="Non-Standard"),VLOOKUP(Investment_Strategy&amp;"_"&amp;Investment_Strategy_Sub2&amp;"_"&amp;$A214,'Investment Strategies'!$T:$AF,11,FALSE),
IF(Investment_Strategy="DIY",DIY_GteeChrge_CurrentFunds,
"Error"))))))</f>
        <v>0</v>
      </c>
      <c r="G214" s="33">
        <f>IF(AV214=0,0,
IF(Investment_Strategy="DIS",VLOOKUP(Investment_Strategy&amp;"_"&amp;Investment_Strategy_Sub1&amp;"_"&amp;$A214,'Investment Strategies'!$AZ:$BP,17,FALSE),
IF(AND(Investment_Strategy="Lifecycle",Investment_Strategy_Sub1="Non-Standard"),VLOOKUP(Investment_Strategy&amp;"_"&amp;Investment_Strategy_Sub2&amp;"_"&amp;$A214,'Investment Strategies'!$C:$P,14,FALSE),
IF(AND(Investment_Strategy="Lifecycle",Investment_Strategy_Sub1="Standard"),VLOOKUP(Investment_Strategy&amp;"_"&amp;Investment_Strategy_Sub2&amp;"_"&amp;$A214,'Investment Strategies'!$AJ:$AV,13,FALSE),
IF(AND(Investment_Strategy="Autopilot",Investment_Strategy_Sub1="Non-Standard"),VLOOKUP(Investment_Strategy&amp;"_"&amp;Investment_Strategy_Sub2&amp;"_"&amp;$A214,'Investment Strategies'!$T:$AF,13,FALSE),
IF(Investment_Strategy="DIY",DIY_ExtManChrge_CurrentFunds,
"Error"))))))</f>
        <v>0</v>
      </c>
      <c r="H214" s="16">
        <f t="shared" si="84"/>
        <v>0</v>
      </c>
      <c r="I214" s="16">
        <f t="shared" si="68"/>
        <v>0</v>
      </c>
      <c r="J214" s="16">
        <f t="shared" si="69"/>
        <v>0</v>
      </c>
      <c r="K214" s="16">
        <f>(Opening_Fund_Value+SUM(K$91:K213))*E214*IF(D214=$A$91,SRP_finalmonthfactor,1)</f>
        <v>0</v>
      </c>
      <c r="L214" s="74">
        <f>MIN(IF($AV214=0,0,
IF(Investment_Strategy="DIS",VLOOKUP(Investment_Strategy&amp;"_"&amp;Investment_Strategy_Sub1&amp;"_"&amp;$A214,'Investment Strategies'!$AZ:$BP,12,FALSE),
IF(AND(Investment_Strategy="Lifecycle",Investment_Strategy_Sub1="Non-Standard"),VLOOKUP(Investment_Strategy&amp;"_"&amp;Investment_Strategy_Sub2&amp;"_"&amp;$A214,'Investment Strategies'!$C:$P,9,FALSE),
IF(AND(Investment_Strategy="Lifecycle",Investment_Strategy_Sub1="Standard"),VLOOKUP(Investment_Strategy&amp;"_"&amp;Investment_Strategy_Sub2&amp;"_"&amp;$A214,'Investment Strategies'!$AJ:$AV,8,FALSE),
IF(AND(Investment_Strategy="Autopilot",Investment_Strategy_Sub1="Non-Standard"),VLOOKUP(Investment_Strategy&amp;"_"&amp;Investment_Strategy_Sub2&amp;"_"&amp;$A214,'Investment Strategies'!$T:$AF,8,FALSE),
IF(Investment_Strategy ="DIY",DIY_RateofReturn_SP,
"Error")))))),Max_InvReturn)</f>
        <v>0</v>
      </c>
      <c r="M214" s="62">
        <f>IF($AV214=0,0,
IF(Investment_Strategy="DIS",VLOOKUP(Investment_Strategy&amp;"_"&amp;Investment_Strategy_Sub1&amp;"_"&amp;$A214,'Investment Strategies'!$AZ:$BP,15,FALSE),
IF(AND(Investment_Strategy="Lifecycle",Investment_Strategy_Sub1="Non-Standard"),VLOOKUP(Investment_Strategy&amp;"_"&amp;Investment_Strategy_Sub2&amp;"_"&amp;$A214,'Investment Strategies'!$C:$P,12,FALSE),
IF(AND(Investment_Strategy="Lifecycle",Investment_Strategy_Sub1="Standard"),VLOOKUP(Investment_Strategy&amp;"_"&amp;Investment_Strategy_Sub2&amp;"_"&amp;$A214,'Investment Strategies'!$AJ:$AV,11,FALSE),
IF(AND(Investment_Strategy="Autopilot",Investment_Strategy_Sub1="Non-Standard"),VLOOKUP(Investment_Strategy&amp;"_"&amp;Investment_Strategy_Sub2&amp;"_"&amp;$A214,'Investment Strategies'!$T:$AF,11,FALSE),
IF(Investment_Strategy="DIY",DIY_GteeChrge_SP,
"Error"))))))</f>
        <v>0</v>
      </c>
      <c r="N214" s="33">
        <f>IF($AV214=0,0,
IF(Investment_Strategy="DIS",VLOOKUP(Investment_Strategy&amp;"_"&amp;Investment_Strategy_Sub1&amp;"_"&amp;$A214,'Investment Strategies'!$AZ:$BP,17,FALSE),
IF(AND(Investment_Strategy="Lifecycle",Investment_Strategy_Sub1="Non-Standard"),VLOOKUP(Investment_Strategy&amp;"_"&amp;Investment_Strategy_Sub2&amp;"_"&amp;$A214,'Investment Strategies'!$C:$P,14,FALSE),
IF(AND(Investment_Strategy="Lifecycle",Investment_Strategy_Sub1="Standard"),VLOOKUP(Investment_Strategy&amp;"_"&amp;Investment_Strategy_Sub2&amp;"_"&amp;$A214,'Investment Strategies'!$AJ:$AV,13,FALSE),
IF(AND(Investment_Strategy="Autopilot",Investment_Strategy_Sub1="Non-Standard"),VLOOKUP(Investment_Strategy&amp;"_"&amp;Investment_Strategy_Sub2&amp;"_"&amp;$A214,'Investment Strategies'!$T:$AF,13,FALSE),
IF(Investment_Strategy="DIY",DIY_ExtManChrge_SP,
"Error"))))))</f>
        <v>0</v>
      </c>
      <c r="O214" s="16">
        <f t="shared" si="96"/>
        <v>0</v>
      </c>
      <c r="Q214" s="16">
        <f t="shared" si="70"/>
        <v>0</v>
      </c>
      <c r="R214" s="16">
        <f t="shared" si="71"/>
        <v>0</v>
      </c>
      <c r="S214" s="16">
        <f>(SRP_SP+SUM(S$91:S213))*L214*IF(D214=$A$91,SRP_finalmonthfactor,1)</f>
        <v>0</v>
      </c>
      <c r="T214" s="74">
        <f>MIN(IF($AV214=0,0,
IF(Investment_Strategy="DIS",VLOOKUP(Investment_Strategy&amp;"_"&amp;Investment_Strategy_Sub1&amp;"_"&amp;$A214,'Investment Strategies'!$AZ:$BP,12,FALSE),
IF(AND(Investment_Strategy="Lifecycle",Investment_Strategy_Sub1="Non-Standard"),VLOOKUP(Investment_Strategy&amp;"_"&amp;Investment_Strategy_Sub2&amp;"_"&amp;$A214,'Investment Strategies'!$C:$P,9,FALSE),
IF(AND(Investment_Strategy="Lifecycle",Investment_Strategy_Sub1="Standard"),VLOOKUP(Investment_Strategy&amp;"_"&amp;Investment_Strategy_Sub2&amp;"_"&amp;$A214,'Investment Strategies'!$AJ:$AV,8,FALSE),
IF(AND(Investment_Strategy="Autopilot",Investment_Strategy_Sub1="Non-Standard"),VLOOKUP(Investment_Strategy&amp;"_"&amp;Investment_Strategy_Sub2&amp;"_"&amp;$A214,'Investment Strategies'!$T:$AF,8,FALSE),
IF(Investment_Strategy ="DIY",DIY_RateOfReturn_FuturePremiums,
"Error")))))),Max_InvReturn)</f>
        <v>0</v>
      </c>
      <c r="U214" s="62">
        <f>IF($AV214=0,0,
IF(Investment_Strategy="DIS",VLOOKUP(Investment_Strategy&amp;"_"&amp;Investment_Strategy_Sub1&amp;"_"&amp;$A214,'Investment Strategies'!$AZ:$BP,15,FALSE),
IF(AND(Investment_Strategy="Lifecycle",Investment_Strategy_Sub1="Non-Standard"),VLOOKUP(Investment_Strategy&amp;"_"&amp;Investment_Strategy_Sub2&amp;"_"&amp;$A214,'Investment Strategies'!$C:$P,12,FALSE),
IF(AND(Investment_Strategy="Lifecycle",Investment_Strategy_Sub1="Standard"),VLOOKUP(Investment_Strategy&amp;"_"&amp;Investment_Strategy_Sub2&amp;"_"&amp;$A214,'Investment Strategies'!$AJ:$AV,11,FALSE),
IF(AND(Investment_Strategy="Autopilot",Investment_Strategy_Sub1="Non-Standard"),VLOOKUP(Investment_Strategy&amp;"_"&amp;Investment_Strategy_Sub2&amp;"_"&amp;$A214,'Investment Strategies'!$T:$AF,11,FALSE),
IF(Investment_Strategy="DIY",DIY_GteeChrge_FuturePremiums,
"Error"))))))</f>
        <v>0</v>
      </c>
      <c r="V214" s="33">
        <f>IF(AV214=0,0,
IF(Investment_Strategy="DIS",VLOOKUP(Investment_Strategy&amp;"_"&amp;Investment_Strategy_Sub1&amp;"_"&amp;$A214,'Investment Strategies'!$AZ:$BP,17,FALSE),
IF(AND(Investment_Strategy="Lifecycle",Investment_Strategy_Sub1="Non-Standard"),VLOOKUP(Investment_Strategy&amp;"_"&amp;Investment_Strategy_Sub2&amp;"_"&amp;$A214,'Investment Strategies'!$C:$P,14,FALSE),
IF(AND(Investment_Strategy="Lifecycle",Investment_Strategy_Sub1="Standard"),VLOOKUP(Investment_Strategy&amp;"_"&amp;Investment_Strategy_Sub2&amp;"_"&amp;$A214,'Investment Strategies'!$AJ:$AV,13,FALSE),
IF(AND(Investment_Strategy="Autopilot",Investment_Strategy_Sub1="Non-Standard"),VLOOKUP(Investment_Strategy&amp;"_"&amp;Investment_Strategy_Sub2&amp;"_"&amp;$A214,'Investment Strategies'!$T:$AF,13,FALSE),
IF(Investment_Strategy="DIY",DIY_ExtManChrge_FuturePremiums,
"Error"))))))</f>
        <v>0</v>
      </c>
      <c r="W214" s="16">
        <f t="shared" si="97"/>
        <v>0</v>
      </c>
      <c r="X214" s="16">
        <f t="shared" si="72"/>
        <v>0</v>
      </c>
      <c r="Y214" s="16">
        <f t="shared" si="73"/>
        <v>0</v>
      </c>
      <c r="Z214" s="31">
        <f t="shared" si="74"/>
        <v>0.02</v>
      </c>
      <c r="AA214" s="16">
        <f t="shared" si="75"/>
        <v>0</v>
      </c>
      <c r="AB214" s="28">
        <f t="shared" si="98"/>
        <v>0</v>
      </c>
      <c r="AC214" s="28">
        <f>(SUM($AC$91:AC213)+SUM($X$91:X213)+X214)*T214*IF(D214=$A$91,SRP_finalmonthfactor,1)</f>
        <v>0</v>
      </c>
      <c r="AD214" s="16">
        <f t="shared" si="76"/>
        <v>0</v>
      </c>
      <c r="AE214" s="106"/>
      <c r="AF214" s="16">
        <f t="shared" si="85"/>
        <v>0</v>
      </c>
      <c r="AG214" s="16">
        <f t="shared" si="86"/>
        <v>0</v>
      </c>
      <c r="AH214" s="16">
        <f t="shared" si="87"/>
        <v>0</v>
      </c>
      <c r="AJ214" s="13">
        <f t="shared" si="112"/>
        <v>0</v>
      </c>
      <c r="AK214" s="13">
        <f t="shared" si="112"/>
        <v>0</v>
      </c>
      <c r="AL214" s="13">
        <f t="shared" si="112"/>
        <v>0</v>
      </c>
      <c r="AM214" s="13">
        <f t="shared" si="112"/>
        <v>0</v>
      </c>
      <c r="AN214" s="13">
        <f t="shared" si="112"/>
        <v>0</v>
      </c>
      <c r="AO214" s="13">
        <f t="shared" si="112"/>
        <v>1</v>
      </c>
      <c r="AP214" s="13">
        <f t="shared" si="112"/>
        <v>1</v>
      </c>
      <c r="AQ214" s="13">
        <f t="shared" si="112"/>
        <v>1</v>
      </c>
      <c r="AR214" s="13">
        <f t="shared" si="112"/>
        <v>1</v>
      </c>
      <c r="AS214" s="13">
        <f t="shared" si="112"/>
        <v>1</v>
      </c>
      <c r="AT214" s="13">
        <f t="shared" si="112"/>
        <v>1</v>
      </c>
      <c r="AU214" s="13">
        <f t="shared" si="112"/>
        <v>1</v>
      </c>
      <c r="AV214" s="13">
        <f t="shared" si="77"/>
        <v>0</v>
      </c>
      <c r="AW214" s="13">
        <f t="shared" si="78"/>
        <v>1</v>
      </c>
      <c r="AY214" s="17">
        <f t="shared" si="79"/>
        <v>124</v>
      </c>
      <c r="AZ214" s="28">
        <f t="shared" si="88"/>
        <v>0</v>
      </c>
      <c r="BA214" s="13">
        <f t="shared" si="80"/>
        <v>0</v>
      </c>
      <c r="BB214" s="13">
        <f t="shared" si="81"/>
        <v>0</v>
      </c>
      <c r="BC214" s="28">
        <f t="shared" si="89"/>
        <v>0</v>
      </c>
      <c r="BD214" s="28">
        <f t="shared" si="90"/>
        <v>0</v>
      </c>
      <c r="BF214" s="248">
        <f t="shared" si="91"/>
        <v>993869.29442638322</v>
      </c>
      <c r="BG214" s="36">
        <f t="shared" si="99"/>
        <v>0</v>
      </c>
      <c r="BH214" s="36">
        <f t="shared" si="100"/>
        <v>890311.41843165481</v>
      </c>
      <c r="BI214" s="249">
        <f t="shared" si="101"/>
        <v>0</v>
      </c>
      <c r="BJ214" s="246">
        <f t="shared" si="102"/>
        <v>0</v>
      </c>
      <c r="BK214" s="246">
        <f t="shared" si="82"/>
        <v>7.531116566323881E-4</v>
      </c>
      <c r="BL214" s="246">
        <f t="shared" si="103"/>
        <v>0</v>
      </c>
      <c r="BM214" s="246">
        <f t="shared" si="104"/>
        <v>7.531116566323881E-4</v>
      </c>
      <c r="BN214" s="36">
        <f t="shared" si="92"/>
        <v>670.50390725379486</v>
      </c>
      <c r="BO214" s="36">
        <f t="shared" si="105"/>
        <v>0</v>
      </c>
      <c r="BP214" s="36">
        <f t="shared" si="106"/>
        <v>889640.91452440096</v>
      </c>
    </row>
    <row r="215" spans="1:68">
      <c r="A215" s="32">
        <f t="shared" si="93"/>
        <v>-40</v>
      </c>
      <c r="B215" s="32">
        <f t="shared" si="83"/>
        <v>63</v>
      </c>
      <c r="C215" s="32">
        <f t="shared" si="94"/>
        <v>11</v>
      </c>
      <c r="D215" s="32">
        <f t="shared" si="95"/>
        <v>125</v>
      </c>
      <c r="E215" s="74">
        <f>MIN(IF(AV215=0,0,
IF(Investment_Strategy="DIS",VLOOKUP(Investment_Strategy&amp;"_"&amp;Investment_Strategy_Sub1&amp;"_"&amp;$A215,'Investment Strategies'!$AZ:$BP,12,FALSE),
IF(AND(Investment_Strategy="Lifecycle",Investment_Strategy_Sub1="Non-Standard"),VLOOKUP(Investment_Strategy&amp;"_"&amp;Investment_Strategy_Sub2&amp;"_"&amp;$A215,'Investment Strategies'!$C:$P,9,FALSE),
IF(AND(Investment_Strategy="Lifecycle",Investment_Strategy_Sub1="Standard"),VLOOKUP(Investment_Strategy&amp;"_"&amp;Investment_Strategy_Sub2&amp;"_"&amp;$A215,'Investment Strategies'!$AJ:$AV,8,FALSE),
IF(AND(Investment_Strategy="Autopilot",Investment_Strategy_Sub1="Non-Standard"),VLOOKUP(Investment_Strategy&amp;"_"&amp;Investment_Strategy_Sub2&amp;"_"&amp;$A215,'Investment Strategies'!$T:$AF,8,FALSE),
IF(Investment_Strategy ="DIY",DIY_RateOfReturn_CurrentFunds,
"Error")))))),Max_InvReturn)</f>
        <v>0</v>
      </c>
      <c r="F215" s="62">
        <f>IF(AV215=0,0,
IF(Investment_Strategy="DIS",VLOOKUP(Investment_Strategy&amp;"_"&amp;Investment_Strategy_Sub1&amp;"_"&amp;$A215,'Investment Strategies'!$AZ:$BP,15,FALSE),
IF(AND(Investment_Strategy="Lifecycle",Investment_Strategy_Sub1="Non-Standard"),VLOOKUP(Investment_Strategy&amp;"_"&amp;Investment_Strategy_Sub2&amp;"_"&amp;$A215,'Investment Strategies'!$C:$P,12,FALSE),
IF(AND(Investment_Strategy="Lifecycle",Investment_Strategy_Sub1="Standard"),VLOOKUP(Investment_Strategy&amp;"_"&amp;Investment_Strategy_Sub2&amp;"_"&amp;$A215,'Investment Strategies'!$AJ:$AV,11,FALSE),
IF(AND(Investment_Strategy="Autopilot",Investment_Strategy_Sub1="Non-Standard"),VLOOKUP(Investment_Strategy&amp;"_"&amp;Investment_Strategy_Sub2&amp;"_"&amp;$A215,'Investment Strategies'!$T:$AF,11,FALSE),
IF(Investment_Strategy="DIY",DIY_GteeChrge_CurrentFunds,
"Error"))))))</f>
        <v>0</v>
      </c>
      <c r="G215" s="33">
        <f>IF(AV215=0,0,
IF(Investment_Strategy="DIS",VLOOKUP(Investment_Strategy&amp;"_"&amp;Investment_Strategy_Sub1&amp;"_"&amp;$A215,'Investment Strategies'!$AZ:$BP,17,FALSE),
IF(AND(Investment_Strategy="Lifecycle",Investment_Strategy_Sub1="Non-Standard"),VLOOKUP(Investment_Strategy&amp;"_"&amp;Investment_Strategy_Sub2&amp;"_"&amp;$A215,'Investment Strategies'!$C:$P,14,FALSE),
IF(AND(Investment_Strategy="Lifecycle",Investment_Strategy_Sub1="Standard"),VLOOKUP(Investment_Strategy&amp;"_"&amp;Investment_Strategy_Sub2&amp;"_"&amp;$A215,'Investment Strategies'!$AJ:$AV,13,FALSE),
IF(AND(Investment_Strategy="Autopilot",Investment_Strategy_Sub1="Non-Standard"),VLOOKUP(Investment_Strategy&amp;"_"&amp;Investment_Strategy_Sub2&amp;"_"&amp;$A215,'Investment Strategies'!$T:$AF,13,FALSE),
IF(Investment_Strategy="DIY",DIY_ExtManChrge_CurrentFunds,
"Error"))))))</f>
        <v>0</v>
      </c>
      <c r="H215" s="16">
        <f t="shared" si="84"/>
        <v>0</v>
      </c>
      <c r="I215" s="16">
        <f t="shared" si="68"/>
        <v>0</v>
      </c>
      <c r="J215" s="16">
        <f t="shared" si="69"/>
        <v>0</v>
      </c>
      <c r="K215" s="16">
        <f>(Opening_Fund_Value+SUM(K$91:K214))*E215*IF(D215=$A$91,SRP_finalmonthfactor,1)</f>
        <v>0</v>
      </c>
      <c r="L215" s="74">
        <f>MIN(IF($AV215=0,0,
IF(Investment_Strategy="DIS",VLOOKUP(Investment_Strategy&amp;"_"&amp;Investment_Strategy_Sub1&amp;"_"&amp;$A215,'Investment Strategies'!$AZ:$BP,12,FALSE),
IF(AND(Investment_Strategy="Lifecycle",Investment_Strategy_Sub1="Non-Standard"),VLOOKUP(Investment_Strategy&amp;"_"&amp;Investment_Strategy_Sub2&amp;"_"&amp;$A215,'Investment Strategies'!$C:$P,9,FALSE),
IF(AND(Investment_Strategy="Lifecycle",Investment_Strategy_Sub1="Standard"),VLOOKUP(Investment_Strategy&amp;"_"&amp;Investment_Strategy_Sub2&amp;"_"&amp;$A215,'Investment Strategies'!$AJ:$AV,8,FALSE),
IF(AND(Investment_Strategy="Autopilot",Investment_Strategy_Sub1="Non-Standard"),VLOOKUP(Investment_Strategy&amp;"_"&amp;Investment_Strategy_Sub2&amp;"_"&amp;$A215,'Investment Strategies'!$T:$AF,8,FALSE),
IF(Investment_Strategy ="DIY",DIY_RateofReturn_SP,
"Error")))))),Max_InvReturn)</f>
        <v>0</v>
      </c>
      <c r="M215" s="62">
        <f>IF($AV215=0,0,
IF(Investment_Strategy="DIS",VLOOKUP(Investment_Strategy&amp;"_"&amp;Investment_Strategy_Sub1&amp;"_"&amp;$A215,'Investment Strategies'!$AZ:$BP,15,FALSE),
IF(AND(Investment_Strategy="Lifecycle",Investment_Strategy_Sub1="Non-Standard"),VLOOKUP(Investment_Strategy&amp;"_"&amp;Investment_Strategy_Sub2&amp;"_"&amp;$A215,'Investment Strategies'!$C:$P,12,FALSE),
IF(AND(Investment_Strategy="Lifecycle",Investment_Strategy_Sub1="Standard"),VLOOKUP(Investment_Strategy&amp;"_"&amp;Investment_Strategy_Sub2&amp;"_"&amp;$A215,'Investment Strategies'!$AJ:$AV,11,FALSE),
IF(AND(Investment_Strategy="Autopilot",Investment_Strategy_Sub1="Non-Standard"),VLOOKUP(Investment_Strategy&amp;"_"&amp;Investment_Strategy_Sub2&amp;"_"&amp;$A215,'Investment Strategies'!$T:$AF,11,FALSE),
IF(Investment_Strategy="DIY",DIY_GteeChrge_SP,
"Error"))))))</f>
        <v>0</v>
      </c>
      <c r="N215" s="33">
        <f>IF($AV215=0,0,
IF(Investment_Strategy="DIS",VLOOKUP(Investment_Strategy&amp;"_"&amp;Investment_Strategy_Sub1&amp;"_"&amp;$A215,'Investment Strategies'!$AZ:$BP,17,FALSE),
IF(AND(Investment_Strategy="Lifecycle",Investment_Strategy_Sub1="Non-Standard"),VLOOKUP(Investment_Strategy&amp;"_"&amp;Investment_Strategy_Sub2&amp;"_"&amp;$A215,'Investment Strategies'!$C:$P,14,FALSE),
IF(AND(Investment_Strategy="Lifecycle",Investment_Strategy_Sub1="Standard"),VLOOKUP(Investment_Strategy&amp;"_"&amp;Investment_Strategy_Sub2&amp;"_"&amp;$A215,'Investment Strategies'!$AJ:$AV,13,FALSE),
IF(AND(Investment_Strategy="Autopilot",Investment_Strategy_Sub1="Non-Standard"),VLOOKUP(Investment_Strategy&amp;"_"&amp;Investment_Strategy_Sub2&amp;"_"&amp;$A215,'Investment Strategies'!$T:$AF,13,FALSE),
IF(Investment_Strategy="DIY",DIY_ExtManChrge_SP,
"Error"))))))</f>
        <v>0</v>
      </c>
      <c r="O215" s="16">
        <f t="shared" si="96"/>
        <v>0</v>
      </c>
      <c r="Q215" s="16">
        <f t="shared" si="70"/>
        <v>0</v>
      </c>
      <c r="R215" s="16">
        <f t="shared" si="71"/>
        <v>0</v>
      </c>
      <c r="S215" s="16">
        <f>(SRP_SP+SUM(S$91:S214))*L215*IF(D215=$A$91,SRP_finalmonthfactor,1)</f>
        <v>0</v>
      </c>
      <c r="T215" s="74">
        <f>MIN(IF($AV215=0,0,
IF(Investment_Strategy="DIS",VLOOKUP(Investment_Strategy&amp;"_"&amp;Investment_Strategy_Sub1&amp;"_"&amp;$A215,'Investment Strategies'!$AZ:$BP,12,FALSE),
IF(AND(Investment_Strategy="Lifecycle",Investment_Strategy_Sub1="Non-Standard"),VLOOKUP(Investment_Strategy&amp;"_"&amp;Investment_Strategy_Sub2&amp;"_"&amp;$A215,'Investment Strategies'!$C:$P,9,FALSE),
IF(AND(Investment_Strategy="Lifecycle",Investment_Strategy_Sub1="Standard"),VLOOKUP(Investment_Strategy&amp;"_"&amp;Investment_Strategy_Sub2&amp;"_"&amp;$A215,'Investment Strategies'!$AJ:$AV,8,FALSE),
IF(AND(Investment_Strategy="Autopilot",Investment_Strategy_Sub1="Non-Standard"),VLOOKUP(Investment_Strategy&amp;"_"&amp;Investment_Strategy_Sub2&amp;"_"&amp;$A215,'Investment Strategies'!$T:$AF,8,FALSE),
IF(Investment_Strategy ="DIY",DIY_RateOfReturn_FuturePremiums,
"Error")))))),Max_InvReturn)</f>
        <v>0</v>
      </c>
      <c r="U215" s="62">
        <f>IF($AV215=0,0,
IF(Investment_Strategy="DIS",VLOOKUP(Investment_Strategy&amp;"_"&amp;Investment_Strategy_Sub1&amp;"_"&amp;$A215,'Investment Strategies'!$AZ:$BP,15,FALSE),
IF(AND(Investment_Strategy="Lifecycle",Investment_Strategy_Sub1="Non-Standard"),VLOOKUP(Investment_Strategy&amp;"_"&amp;Investment_Strategy_Sub2&amp;"_"&amp;$A215,'Investment Strategies'!$C:$P,12,FALSE),
IF(AND(Investment_Strategy="Lifecycle",Investment_Strategy_Sub1="Standard"),VLOOKUP(Investment_Strategy&amp;"_"&amp;Investment_Strategy_Sub2&amp;"_"&amp;$A215,'Investment Strategies'!$AJ:$AV,11,FALSE),
IF(AND(Investment_Strategy="Autopilot",Investment_Strategy_Sub1="Non-Standard"),VLOOKUP(Investment_Strategy&amp;"_"&amp;Investment_Strategy_Sub2&amp;"_"&amp;$A215,'Investment Strategies'!$T:$AF,11,FALSE),
IF(Investment_Strategy="DIY",DIY_GteeChrge_FuturePremiums,
"Error"))))))</f>
        <v>0</v>
      </c>
      <c r="V215" s="33">
        <f>IF(AV215=0,0,
IF(Investment_Strategy="DIS",VLOOKUP(Investment_Strategy&amp;"_"&amp;Investment_Strategy_Sub1&amp;"_"&amp;$A215,'Investment Strategies'!$AZ:$BP,17,FALSE),
IF(AND(Investment_Strategy="Lifecycle",Investment_Strategy_Sub1="Non-Standard"),VLOOKUP(Investment_Strategy&amp;"_"&amp;Investment_Strategy_Sub2&amp;"_"&amp;$A215,'Investment Strategies'!$C:$P,14,FALSE),
IF(AND(Investment_Strategy="Lifecycle",Investment_Strategy_Sub1="Standard"),VLOOKUP(Investment_Strategy&amp;"_"&amp;Investment_Strategy_Sub2&amp;"_"&amp;$A215,'Investment Strategies'!$AJ:$AV,13,FALSE),
IF(AND(Investment_Strategy="Autopilot",Investment_Strategy_Sub1="Non-Standard"),VLOOKUP(Investment_Strategy&amp;"_"&amp;Investment_Strategy_Sub2&amp;"_"&amp;$A215,'Investment Strategies'!$T:$AF,13,FALSE),
IF(Investment_Strategy="DIY",DIY_ExtManChrge_FuturePremiums,
"Error"))))))</f>
        <v>0</v>
      </c>
      <c r="W215" s="16">
        <f t="shared" si="97"/>
        <v>0</v>
      </c>
      <c r="X215" s="16">
        <f t="shared" si="72"/>
        <v>0</v>
      </c>
      <c r="Y215" s="16">
        <f t="shared" si="73"/>
        <v>0</v>
      </c>
      <c r="Z215" s="31">
        <f t="shared" si="74"/>
        <v>0.02</v>
      </c>
      <c r="AA215" s="16">
        <f t="shared" si="75"/>
        <v>0</v>
      </c>
      <c r="AB215" s="28">
        <f t="shared" si="98"/>
        <v>0</v>
      </c>
      <c r="AC215" s="28">
        <f>(SUM($AC$91:AC214)+SUM($X$91:X214)+X215)*T215*IF(D215=$A$91,SRP_finalmonthfactor,1)</f>
        <v>0</v>
      </c>
      <c r="AD215" s="16">
        <f t="shared" si="76"/>
        <v>0</v>
      </c>
      <c r="AE215" s="106"/>
      <c r="AF215" s="16">
        <f t="shared" si="85"/>
        <v>0</v>
      </c>
      <c r="AG215" s="16">
        <f t="shared" si="86"/>
        <v>0</v>
      </c>
      <c r="AH215" s="16">
        <f t="shared" si="87"/>
        <v>0</v>
      </c>
      <c r="AJ215" s="13">
        <f t="shared" si="112"/>
        <v>0</v>
      </c>
      <c r="AK215" s="13">
        <f t="shared" si="112"/>
        <v>0</v>
      </c>
      <c r="AL215" s="13">
        <f t="shared" si="112"/>
        <v>0</v>
      </c>
      <c r="AM215" s="13">
        <f t="shared" si="112"/>
        <v>0</v>
      </c>
      <c r="AN215" s="13">
        <f t="shared" si="112"/>
        <v>0</v>
      </c>
      <c r="AO215" s="13">
        <f t="shared" si="112"/>
        <v>1</v>
      </c>
      <c r="AP215" s="13">
        <f t="shared" si="112"/>
        <v>1</v>
      </c>
      <c r="AQ215" s="13">
        <f t="shared" si="112"/>
        <v>1</v>
      </c>
      <c r="AR215" s="13">
        <f t="shared" si="112"/>
        <v>1</v>
      </c>
      <c r="AS215" s="13">
        <f t="shared" si="112"/>
        <v>1</v>
      </c>
      <c r="AT215" s="13">
        <f t="shared" si="112"/>
        <v>1</v>
      </c>
      <c r="AU215" s="13">
        <f t="shared" si="112"/>
        <v>1</v>
      </c>
      <c r="AV215" s="13">
        <f t="shared" si="77"/>
        <v>0</v>
      </c>
      <c r="AW215" s="13">
        <f t="shared" si="78"/>
        <v>1</v>
      </c>
      <c r="AY215" s="17">
        <f t="shared" si="79"/>
        <v>125</v>
      </c>
      <c r="AZ215" s="28">
        <f t="shared" si="88"/>
        <v>0</v>
      </c>
      <c r="BA215" s="13">
        <f t="shared" si="80"/>
        <v>0</v>
      </c>
      <c r="BB215" s="13">
        <f t="shared" si="81"/>
        <v>0</v>
      </c>
      <c r="BC215" s="28">
        <f t="shared" si="89"/>
        <v>0</v>
      </c>
      <c r="BD215" s="28">
        <f t="shared" si="90"/>
        <v>0</v>
      </c>
      <c r="BF215" s="248">
        <f t="shared" si="91"/>
        <v>993869.29442638322</v>
      </c>
      <c r="BG215" s="36">
        <f t="shared" si="99"/>
        <v>0</v>
      </c>
      <c r="BH215" s="36">
        <f t="shared" si="100"/>
        <v>889640.91452440096</v>
      </c>
      <c r="BI215" s="249">
        <f t="shared" si="101"/>
        <v>0</v>
      </c>
      <c r="BJ215" s="246">
        <f t="shared" si="102"/>
        <v>0</v>
      </c>
      <c r="BK215" s="246">
        <f t="shared" si="82"/>
        <v>7.531116566323881E-4</v>
      </c>
      <c r="BL215" s="246">
        <f t="shared" si="103"/>
        <v>0</v>
      </c>
      <c r="BM215" s="246">
        <f t="shared" si="104"/>
        <v>7.531116566323881E-4</v>
      </c>
      <c r="BN215" s="36">
        <f t="shared" si="92"/>
        <v>669.99894294542435</v>
      </c>
      <c r="BO215" s="36">
        <f t="shared" si="105"/>
        <v>0</v>
      </c>
      <c r="BP215" s="36">
        <f t="shared" si="106"/>
        <v>888970.91558145557</v>
      </c>
    </row>
    <row r="216" spans="1:68">
      <c r="A216" s="32">
        <f t="shared" si="93"/>
        <v>-41</v>
      </c>
      <c r="B216" s="32">
        <f t="shared" si="83"/>
        <v>63</v>
      </c>
      <c r="C216" s="32">
        <f t="shared" si="94"/>
        <v>11</v>
      </c>
      <c r="D216" s="32">
        <f t="shared" si="95"/>
        <v>126</v>
      </c>
      <c r="E216" s="74">
        <f>MIN(IF(AV216=0,0,
IF(Investment_Strategy="DIS",VLOOKUP(Investment_Strategy&amp;"_"&amp;Investment_Strategy_Sub1&amp;"_"&amp;$A216,'Investment Strategies'!$AZ:$BP,12,FALSE),
IF(AND(Investment_Strategy="Lifecycle",Investment_Strategy_Sub1="Non-Standard"),VLOOKUP(Investment_Strategy&amp;"_"&amp;Investment_Strategy_Sub2&amp;"_"&amp;$A216,'Investment Strategies'!$C:$P,9,FALSE),
IF(AND(Investment_Strategy="Lifecycle",Investment_Strategy_Sub1="Standard"),VLOOKUP(Investment_Strategy&amp;"_"&amp;Investment_Strategy_Sub2&amp;"_"&amp;$A216,'Investment Strategies'!$AJ:$AV,8,FALSE),
IF(AND(Investment_Strategy="Autopilot",Investment_Strategy_Sub1="Non-Standard"),VLOOKUP(Investment_Strategy&amp;"_"&amp;Investment_Strategy_Sub2&amp;"_"&amp;$A216,'Investment Strategies'!$T:$AF,8,FALSE),
IF(Investment_Strategy ="DIY",DIY_RateOfReturn_CurrentFunds,
"Error")))))),Max_InvReturn)</f>
        <v>0</v>
      </c>
      <c r="F216" s="62">
        <f>IF(AV216=0,0,
IF(Investment_Strategy="DIS",VLOOKUP(Investment_Strategy&amp;"_"&amp;Investment_Strategy_Sub1&amp;"_"&amp;$A216,'Investment Strategies'!$AZ:$BP,15,FALSE),
IF(AND(Investment_Strategy="Lifecycle",Investment_Strategy_Sub1="Non-Standard"),VLOOKUP(Investment_Strategy&amp;"_"&amp;Investment_Strategy_Sub2&amp;"_"&amp;$A216,'Investment Strategies'!$C:$P,12,FALSE),
IF(AND(Investment_Strategy="Lifecycle",Investment_Strategy_Sub1="Standard"),VLOOKUP(Investment_Strategy&amp;"_"&amp;Investment_Strategy_Sub2&amp;"_"&amp;$A216,'Investment Strategies'!$AJ:$AV,11,FALSE),
IF(AND(Investment_Strategy="Autopilot",Investment_Strategy_Sub1="Non-Standard"),VLOOKUP(Investment_Strategy&amp;"_"&amp;Investment_Strategy_Sub2&amp;"_"&amp;$A216,'Investment Strategies'!$T:$AF,11,FALSE),
IF(Investment_Strategy="DIY",DIY_GteeChrge_CurrentFunds,
"Error"))))))</f>
        <v>0</v>
      </c>
      <c r="G216" s="33">
        <f>IF(AV216=0,0,
IF(Investment_Strategy="DIS",VLOOKUP(Investment_Strategy&amp;"_"&amp;Investment_Strategy_Sub1&amp;"_"&amp;$A216,'Investment Strategies'!$AZ:$BP,17,FALSE),
IF(AND(Investment_Strategy="Lifecycle",Investment_Strategy_Sub1="Non-Standard"),VLOOKUP(Investment_Strategy&amp;"_"&amp;Investment_Strategy_Sub2&amp;"_"&amp;$A216,'Investment Strategies'!$C:$P,14,FALSE),
IF(AND(Investment_Strategy="Lifecycle",Investment_Strategy_Sub1="Standard"),VLOOKUP(Investment_Strategy&amp;"_"&amp;Investment_Strategy_Sub2&amp;"_"&amp;$A216,'Investment Strategies'!$AJ:$AV,13,FALSE),
IF(AND(Investment_Strategy="Autopilot",Investment_Strategy_Sub1="Non-Standard"),VLOOKUP(Investment_Strategy&amp;"_"&amp;Investment_Strategy_Sub2&amp;"_"&amp;$A216,'Investment Strategies'!$T:$AF,13,FALSE),
IF(Investment_Strategy="DIY",DIY_ExtManChrge_CurrentFunds,
"Error"))))))</f>
        <v>0</v>
      </c>
      <c r="H216" s="16">
        <f t="shared" si="84"/>
        <v>0</v>
      </c>
      <c r="I216" s="16">
        <f t="shared" si="68"/>
        <v>0</v>
      </c>
      <c r="J216" s="16">
        <f t="shared" si="69"/>
        <v>0</v>
      </c>
      <c r="K216" s="16">
        <f>(Opening_Fund_Value+SUM(K$91:K215))*E216*IF(D216=$A$91,SRP_finalmonthfactor,1)</f>
        <v>0</v>
      </c>
      <c r="L216" s="74">
        <f>MIN(IF($AV216=0,0,
IF(Investment_Strategy="DIS",VLOOKUP(Investment_Strategy&amp;"_"&amp;Investment_Strategy_Sub1&amp;"_"&amp;$A216,'Investment Strategies'!$AZ:$BP,12,FALSE),
IF(AND(Investment_Strategy="Lifecycle",Investment_Strategy_Sub1="Non-Standard"),VLOOKUP(Investment_Strategy&amp;"_"&amp;Investment_Strategy_Sub2&amp;"_"&amp;$A216,'Investment Strategies'!$C:$P,9,FALSE),
IF(AND(Investment_Strategy="Lifecycle",Investment_Strategy_Sub1="Standard"),VLOOKUP(Investment_Strategy&amp;"_"&amp;Investment_Strategy_Sub2&amp;"_"&amp;$A216,'Investment Strategies'!$AJ:$AV,8,FALSE),
IF(AND(Investment_Strategy="Autopilot",Investment_Strategy_Sub1="Non-Standard"),VLOOKUP(Investment_Strategy&amp;"_"&amp;Investment_Strategy_Sub2&amp;"_"&amp;$A216,'Investment Strategies'!$T:$AF,8,FALSE),
IF(Investment_Strategy ="DIY",DIY_RateofReturn_SP,
"Error")))))),Max_InvReturn)</f>
        <v>0</v>
      </c>
      <c r="M216" s="62">
        <f>IF($AV216=0,0,
IF(Investment_Strategy="DIS",VLOOKUP(Investment_Strategy&amp;"_"&amp;Investment_Strategy_Sub1&amp;"_"&amp;$A216,'Investment Strategies'!$AZ:$BP,15,FALSE),
IF(AND(Investment_Strategy="Lifecycle",Investment_Strategy_Sub1="Non-Standard"),VLOOKUP(Investment_Strategy&amp;"_"&amp;Investment_Strategy_Sub2&amp;"_"&amp;$A216,'Investment Strategies'!$C:$P,12,FALSE),
IF(AND(Investment_Strategy="Lifecycle",Investment_Strategy_Sub1="Standard"),VLOOKUP(Investment_Strategy&amp;"_"&amp;Investment_Strategy_Sub2&amp;"_"&amp;$A216,'Investment Strategies'!$AJ:$AV,11,FALSE),
IF(AND(Investment_Strategy="Autopilot",Investment_Strategy_Sub1="Non-Standard"),VLOOKUP(Investment_Strategy&amp;"_"&amp;Investment_Strategy_Sub2&amp;"_"&amp;$A216,'Investment Strategies'!$T:$AF,11,FALSE),
IF(Investment_Strategy="DIY",DIY_GteeChrge_SP,
"Error"))))))</f>
        <v>0</v>
      </c>
      <c r="N216" s="33">
        <f>IF($AV216=0,0,
IF(Investment_Strategy="DIS",VLOOKUP(Investment_Strategy&amp;"_"&amp;Investment_Strategy_Sub1&amp;"_"&amp;$A216,'Investment Strategies'!$AZ:$BP,17,FALSE),
IF(AND(Investment_Strategy="Lifecycle",Investment_Strategy_Sub1="Non-Standard"),VLOOKUP(Investment_Strategy&amp;"_"&amp;Investment_Strategy_Sub2&amp;"_"&amp;$A216,'Investment Strategies'!$C:$P,14,FALSE),
IF(AND(Investment_Strategy="Lifecycle",Investment_Strategy_Sub1="Standard"),VLOOKUP(Investment_Strategy&amp;"_"&amp;Investment_Strategy_Sub2&amp;"_"&amp;$A216,'Investment Strategies'!$AJ:$AV,13,FALSE),
IF(AND(Investment_Strategy="Autopilot",Investment_Strategy_Sub1="Non-Standard"),VLOOKUP(Investment_Strategy&amp;"_"&amp;Investment_Strategy_Sub2&amp;"_"&amp;$A216,'Investment Strategies'!$T:$AF,13,FALSE),
IF(Investment_Strategy="DIY",DIY_ExtManChrge_SP,
"Error"))))))</f>
        <v>0</v>
      </c>
      <c r="O216" s="16">
        <f t="shared" si="96"/>
        <v>0</v>
      </c>
      <c r="Q216" s="16">
        <f t="shared" si="70"/>
        <v>0</v>
      </c>
      <c r="R216" s="16">
        <f t="shared" si="71"/>
        <v>0</v>
      </c>
      <c r="S216" s="16">
        <f>(SRP_SP+SUM(S$91:S215))*L216*IF(D216=$A$91,SRP_finalmonthfactor,1)</f>
        <v>0</v>
      </c>
      <c r="T216" s="74">
        <f>MIN(IF($AV216=0,0,
IF(Investment_Strategy="DIS",VLOOKUP(Investment_Strategy&amp;"_"&amp;Investment_Strategy_Sub1&amp;"_"&amp;$A216,'Investment Strategies'!$AZ:$BP,12,FALSE),
IF(AND(Investment_Strategy="Lifecycle",Investment_Strategy_Sub1="Non-Standard"),VLOOKUP(Investment_Strategy&amp;"_"&amp;Investment_Strategy_Sub2&amp;"_"&amp;$A216,'Investment Strategies'!$C:$P,9,FALSE),
IF(AND(Investment_Strategy="Lifecycle",Investment_Strategy_Sub1="Standard"),VLOOKUP(Investment_Strategy&amp;"_"&amp;Investment_Strategy_Sub2&amp;"_"&amp;$A216,'Investment Strategies'!$AJ:$AV,8,FALSE),
IF(AND(Investment_Strategy="Autopilot",Investment_Strategy_Sub1="Non-Standard"),VLOOKUP(Investment_Strategy&amp;"_"&amp;Investment_Strategy_Sub2&amp;"_"&amp;$A216,'Investment Strategies'!$T:$AF,8,FALSE),
IF(Investment_Strategy ="DIY",DIY_RateOfReturn_FuturePremiums,
"Error")))))),Max_InvReturn)</f>
        <v>0</v>
      </c>
      <c r="U216" s="62">
        <f>IF($AV216=0,0,
IF(Investment_Strategy="DIS",VLOOKUP(Investment_Strategy&amp;"_"&amp;Investment_Strategy_Sub1&amp;"_"&amp;$A216,'Investment Strategies'!$AZ:$BP,15,FALSE),
IF(AND(Investment_Strategy="Lifecycle",Investment_Strategy_Sub1="Non-Standard"),VLOOKUP(Investment_Strategy&amp;"_"&amp;Investment_Strategy_Sub2&amp;"_"&amp;$A216,'Investment Strategies'!$C:$P,12,FALSE),
IF(AND(Investment_Strategy="Lifecycle",Investment_Strategy_Sub1="Standard"),VLOOKUP(Investment_Strategy&amp;"_"&amp;Investment_Strategy_Sub2&amp;"_"&amp;$A216,'Investment Strategies'!$AJ:$AV,11,FALSE),
IF(AND(Investment_Strategy="Autopilot",Investment_Strategy_Sub1="Non-Standard"),VLOOKUP(Investment_Strategy&amp;"_"&amp;Investment_Strategy_Sub2&amp;"_"&amp;$A216,'Investment Strategies'!$T:$AF,11,FALSE),
IF(Investment_Strategy="DIY",DIY_GteeChrge_FuturePremiums,
"Error"))))))</f>
        <v>0</v>
      </c>
      <c r="V216" s="33">
        <f>IF(AV216=0,0,
IF(Investment_Strategy="DIS",VLOOKUP(Investment_Strategy&amp;"_"&amp;Investment_Strategy_Sub1&amp;"_"&amp;$A216,'Investment Strategies'!$AZ:$BP,17,FALSE),
IF(AND(Investment_Strategy="Lifecycle",Investment_Strategy_Sub1="Non-Standard"),VLOOKUP(Investment_Strategy&amp;"_"&amp;Investment_Strategy_Sub2&amp;"_"&amp;$A216,'Investment Strategies'!$C:$P,14,FALSE),
IF(AND(Investment_Strategy="Lifecycle",Investment_Strategy_Sub1="Standard"),VLOOKUP(Investment_Strategy&amp;"_"&amp;Investment_Strategy_Sub2&amp;"_"&amp;$A216,'Investment Strategies'!$AJ:$AV,13,FALSE),
IF(AND(Investment_Strategy="Autopilot",Investment_Strategy_Sub1="Non-Standard"),VLOOKUP(Investment_Strategy&amp;"_"&amp;Investment_Strategy_Sub2&amp;"_"&amp;$A216,'Investment Strategies'!$T:$AF,13,FALSE),
IF(Investment_Strategy="DIY",DIY_ExtManChrge_FuturePremiums,
"Error"))))))</f>
        <v>0</v>
      </c>
      <c r="W216" s="16">
        <f t="shared" si="97"/>
        <v>0</v>
      </c>
      <c r="X216" s="16">
        <f t="shared" si="72"/>
        <v>0</v>
      </c>
      <c r="Y216" s="16">
        <f t="shared" si="73"/>
        <v>0</v>
      </c>
      <c r="Z216" s="31">
        <f t="shared" si="74"/>
        <v>0.02</v>
      </c>
      <c r="AA216" s="16">
        <f t="shared" si="75"/>
        <v>0</v>
      </c>
      <c r="AB216" s="28">
        <f t="shared" si="98"/>
        <v>0</v>
      </c>
      <c r="AC216" s="28">
        <f>(SUM($AC$91:AC215)+SUM($X$91:X215)+X216)*T216*IF(D216=$A$91,SRP_finalmonthfactor,1)</f>
        <v>0</v>
      </c>
      <c r="AD216" s="16">
        <f t="shared" si="76"/>
        <v>0</v>
      </c>
      <c r="AE216" s="106"/>
      <c r="AF216" s="16">
        <f t="shared" si="85"/>
        <v>0</v>
      </c>
      <c r="AG216" s="16">
        <f t="shared" si="86"/>
        <v>0</v>
      </c>
      <c r="AH216" s="16">
        <f t="shared" si="87"/>
        <v>0</v>
      </c>
      <c r="AJ216" s="13">
        <f t="shared" si="112"/>
        <v>0</v>
      </c>
      <c r="AK216" s="13">
        <f t="shared" si="112"/>
        <v>0</v>
      </c>
      <c r="AL216" s="13">
        <f t="shared" si="112"/>
        <v>0</v>
      </c>
      <c r="AM216" s="13">
        <f t="shared" si="112"/>
        <v>0</v>
      </c>
      <c r="AN216" s="13">
        <f t="shared" si="112"/>
        <v>0</v>
      </c>
      <c r="AO216" s="13">
        <f t="shared" si="112"/>
        <v>1</v>
      </c>
      <c r="AP216" s="13">
        <f t="shared" si="112"/>
        <v>1</v>
      </c>
      <c r="AQ216" s="13">
        <f t="shared" si="112"/>
        <v>1</v>
      </c>
      <c r="AR216" s="13">
        <f t="shared" si="112"/>
        <v>1</v>
      </c>
      <c r="AS216" s="13">
        <f t="shared" si="112"/>
        <v>1</v>
      </c>
      <c r="AT216" s="13">
        <f t="shared" si="112"/>
        <v>1</v>
      </c>
      <c r="AU216" s="13">
        <f t="shared" si="112"/>
        <v>1</v>
      </c>
      <c r="AV216" s="13">
        <f t="shared" si="77"/>
        <v>0</v>
      </c>
      <c r="AW216" s="13">
        <f t="shared" si="78"/>
        <v>1</v>
      </c>
      <c r="AY216" s="17">
        <f t="shared" si="79"/>
        <v>126</v>
      </c>
      <c r="AZ216" s="28">
        <f t="shared" si="88"/>
        <v>0</v>
      </c>
      <c r="BA216" s="13">
        <f t="shared" si="80"/>
        <v>0</v>
      </c>
      <c r="BB216" s="13">
        <f t="shared" si="81"/>
        <v>0</v>
      </c>
      <c r="BC216" s="28">
        <f t="shared" si="89"/>
        <v>0</v>
      </c>
      <c r="BD216" s="28">
        <f t="shared" si="90"/>
        <v>0</v>
      </c>
      <c r="BF216" s="248">
        <f t="shared" si="91"/>
        <v>993869.29442638322</v>
      </c>
      <c r="BG216" s="36">
        <f t="shared" si="99"/>
        <v>0</v>
      </c>
      <c r="BH216" s="36">
        <f t="shared" si="100"/>
        <v>888970.91558145557</v>
      </c>
      <c r="BI216" s="249">
        <f t="shared" si="101"/>
        <v>0</v>
      </c>
      <c r="BJ216" s="246">
        <f t="shared" si="102"/>
        <v>0</v>
      </c>
      <c r="BK216" s="246">
        <f t="shared" si="82"/>
        <v>7.531116566323881E-4</v>
      </c>
      <c r="BL216" s="246">
        <f t="shared" si="103"/>
        <v>0</v>
      </c>
      <c r="BM216" s="246">
        <f t="shared" si="104"/>
        <v>7.531116566323881E-4</v>
      </c>
      <c r="BN216" s="36">
        <f t="shared" si="92"/>
        <v>669.4943589315609</v>
      </c>
      <c r="BO216" s="36">
        <f t="shared" si="105"/>
        <v>0</v>
      </c>
      <c r="BP216" s="36">
        <f t="shared" si="106"/>
        <v>888301.42122252402</v>
      </c>
    </row>
    <row r="217" spans="1:68">
      <c r="A217" s="32">
        <f t="shared" si="93"/>
        <v>-42</v>
      </c>
      <c r="B217" s="32">
        <f t="shared" si="83"/>
        <v>63</v>
      </c>
      <c r="C217" s="32">
        <f t="shared" si="94"/>
        <v>11</v>
      </c>
      <c r="D217" s="32">
        <f t="shared" si="95"/>
        <v>127</v>
      </c>
      <c r="E217" s="74">
        <f>MIN(IF(AV217=0,0,
IF(Investment_Strategy="DIS",VLOOKUP(Investment_Strategy&amp;"_"&amp;Investment_Strategy_Sub1&amp;"_"&amp;$A217,'Investment Strategies'!$AZ:$BP,12,FALSE),
IF(AND(Investment_Strategy="Lifecycle",Investment_Strategy_Sub1="Non-Standard"),VLOOKUP(Investment_Strategy&amp;"_"&amp;Investment_Strategy_Sub2&amp;"_"&amp;$A217,'Investment Strategies'!$C:$P,9,FALSE),
IF(AND(Investment_Strategy="Lifecycle",Investment_Strategy_Sub1="Standard"),VLOOKUP(Investment_Strategy&amp;"_"&amp;Investment_Strategy_Sub2&amp;"_"&amp;$A217,'Investment Strategies'!$AJ:$AV,8,FALSE),
IF(AND(Investment_Strategy="Autopilot",Investment_Strategy_Sub1="Non-Standard"),VLOOKUP(Investment_Strategy&amp;"_"&amp;Investment_Strategy_Sub2&amp;"_"&amp;$A217,'Investment Strategies'!$T:$AF,8,FALSE),
IF(Investment_Strategy ="DIY",DIY_RateOfReturn_CurrentFunds,
"Error")))))),Max_InvReturn)</f>
        <v>0</v>
      </c>
      <c r="F217" s="62">
        <f>IF(AV217=0,0,
IF(Investment_Strategy="DIS",VLOOKUP(Investment_Strategy&amp;"_"&amp;Investment_Strategy_Sub1&amp;"_"&amp;$A217,'Investment Strategies'!$AZ:$BP,15,FALSE),
IF(AND(Investment_Strategy="Lifecycle",Investment_Strategy_Sub1="Non-Standard"),VLOOKUP(Investment_Strategy&amp;"_"&amp;Investment_Strategy_Sub2&amp;"_"&amp;$A217,'Investment Strategies'!$C:$P,12,FALSE),
IF(AND(Investment_Strategy="Lifecycle",Investment_Strategy_Sub1="Standard"),VLOOKUP(Investment_Strategy&amp;"_"&amp;Investment_Strategy_Sub2&amp;"_"&amp;$A217,'Investment Strategies'!$AJ:$AV,11,FALSE),
IF(AND(Investment_Strategy="Autopilot",Investment_Strategy_Sub1="Non-Standard"),VLOOKUP(Investment_Strategy&amp;"_"&amp;Investment_Strategy_Sub2&amp;"_"&amp;$A217,'Investment Strategies'!$T:$AF,11,FALSE),
IF(Investment_Strategy="DIY",DIY_GteeChrge_CurrentFunds,
"Error"))))))</f>
        <v>0</v>
      </c>
      <c r="G217" s="33">
        <f>IF(AV217=0,0,
IF(Investment_Strategy="DIS",VLOOKUP(Investment_Strategy&amp;"_"&amp;Investment_Strategy_Sub1&amp;"_"&amp;$A217,'Investment Strategies'!$AZ:$BP,17,FALSE),
IF(AND(Investment_Strategy="Lifecycle",Investment_Strategy_Sub1="Non-Standard"),VLOOKUP(Investment_Strategy&amp;"_"&amp;Investment_Strategy_Sub2&amp;"_"&amp;$A217,'Investment Strategies'!$C:$P,14,FALSE),
IF(AND(Investment_Strategy="Lifecycle",Investment_Strategy_Sub1="Standard"),VLOOKUP(Investment_Strategy&amp;"_"&amp;Investment_Strategy_Sub2&amp;"_"&amp;$A217,'Investment Strategies'!$AJ:$AV,13,FALSE),
IF(AND(Investment_Strategy="Autopilot",Investment_Strategy_Sub1="Non-Standard"),VLOOKUP(Investment_Strategy&amp;"_"&amp;Investment_Strategy_Sub2&amp;"_"&amp;$A217,'Investment Strategies'!$T:$AF,13,FALSE),
IF(Investment_Strategy="DIY",DIY_ExtManChrge_CurrentFunds,
"Error"))))))</f>
        <v>0</v>
      </c>
      <c r="H217" s="16">
        <f t="shared" si="84"/>
        <v>0</v>
      </c>
      <c r="I217" s="16">
        <f t="shared" si="68"/>
        <v>0</v>
      </c>
      <c r="J217" s="16">
        <f t="shared" si="69"/>
        <v>0</v>
      </c>
      <c r="K217" s="16">
        <f>(Opening_Fund_Value+SUM(K$91:K216))*E217*IF(D217=$A$91,SRP_finalmonthfactor,1)</f>
        <v>0</v>
      </c>
      <c r="L217" s="74">
        <f>MIN(IF($AV217=0,0,
IF(Investment_Strategy="DIS",VLOOKUP(Investment_Strategy&amp;"_"&amp;Investment_Strategy_Sub1&amp;"_"&amp;$A217,'Investment Strategies'!$AZ:$BP,12,FALSE),
IF(AND(Investment_Strategy="Lifecycle",Investment_Strategy_Sub1="Non-Standard"),VLOOKUP(Investment_Strategy&amp;"_"&amp;Investment_Strategy_Sub2&amp;"_"&amp;$A217,'Investment Strategies'!$C:$P,9,FALSE),
IF(AND(Investment_Strategy="Lifecycle",Investment_Strategy_Sub1="Standard"),VLOOKUP(Investment_Strategy&amp;"_"&amp;Investment_Strategy_Sub2&amp;"_"&amp;$A217,'Investment Strategies'!$AJ:$AV,8,FALSE),
IF(AND(Investment_Strategy="Autopilot",Investment_Strategy_Sub1="Non-Standard"),VLOOKUP(Investment_Strategy&amp;"_"&amp;Investment_Strategy_Sub2&amp;"_"&amp;$A217,'Investment Strategies'!$T:$AF,8,FALSE),
IF(Investment_Strategy ="DIY",DIY_RateofReturn_SP,
"Error")))))),Max_InvReturn)</f>
        <v>0</v>
      </c>
      <c r="M217" s="62">
        <f>IF($AV217=0,0,
IF(Investment_Strategy="DIS",VLOOKUP(Investment_Strategy&amp;"_"&amp;Investment_Strategy_Sub1&amp;"_"&amp;$A217,'Investment Strategies'!$AZ:$BP,15,FALSE),
IF(AND(Investment_Strategy="Lifecycle",Investment_Strategy_Sub1="Non-Standard"),VLOOKUP(Investment_Strategy&amp;"_"&amp;Investment_Strategy_Sub2&amp;"_"&amp;$A217,'Investment Strategies'!$C:$P,12,FALSE),
IF(AND(Investment_Strategy="Lifecycle",Investment_Strategy_Sub1="Standard"),VLOOKUP(Investment_Strategy&amp;"_"&amp;Investment_Strategy_Sub2&amp;"_"&amp;$A217,'Investment Strategies'!$AJ:$AV,11,FALSE),
IF(AND(Investment_Strategy="Autopilot",Investment_Strategy_Sub1="Non-Standard"),VLOOKUP(Investment_Strategy&amp;"_"&amp;Investment_Strategy_Sub2&amp;"_"&amp;$A217,'Investment Strategies'!$T:$AF,11,FALSE),
IF(Investment_Strategy="DIY",DIY_GteeChrge_SP,
"Error"))))))</f>
        <v>0</v>
      </c>
      <c r="N217" s="33">
        <f>IF($AV217=0,0,
IF(Investment_Strategy="DIS",VLOOKUP(Investment_Strategy&amp;"_"&amp;Investment_Strategy_Sub1&amp;"_"&amp;$A217,'Investment Strategies'!$AZ:$BP,17,FALSE),
IF(AND(Investment_Strategy="Lifecycle",Investment_Strategy_Sub1="Non-Standard"),VLOOKUP(Investment_Strategy&amp;"_"&amp;Investment_Strategy_Sub2&amp;"_"&amp;$A217,'Investment Strategies'!$C:$P,14,FALSE),
IF(AND(Investment_Strategy="Lifecycle",Investment_Strategy_Sub1="Standard"),VLOOKUP(Investment_Strategy&amp;"_"&amp;Investment_Strategy_Sub2&amp;"_"&amp;$A217,'Investment Strategies'!$AJ:$AV,13,FALSE),
IF(AND(Investment_Strategy="Autopilot",Investment_Strategy_Sub1="Non-Standard"),VLOOKUP(Investment_Strategy&amp;"_"&amp;Investment_Strategy_Sub2&amp;"_"&amp;$A217,'Investment Strategies'!$T:$AF,13,FALSE),
IF(Investment_Strategy="DIY",DIY_ExtManChrge_SP,
"Error"))))))</f>
        <v>0</v>
      </c>
      <c r="O217" s="16">
        <f t="shared" si="96"/>
        <v>0</v>
      </c>
      <c r="Q217" s="16">
        <f t="shared" si="70"/>
        <v>0</v>
      </c>
      <c r="R217" s="16">
        <f t="shared" si="71"/>
        <v>0</v>
      </c>
      <c r="S217" s="16">
        <f>(SRP_SP+SUM(S$91:S216))*L217*IF(D217=$A$91,SRP_finalmonthfactor,1)</f>
        <v>0</v>
      </c>
      <c r="T217" s="74">
        <f>MIN(IF($AV217=0,0,
IF(Investment_Strategy="DIS",VLOOKUP(Investment_Strategy&amp;"_"&amp;Investment_Strategy_Sub1&amp;"_"&amp;$A217,'Investment Strategies'!$AZ:$BP,12,FALSE),
IF(AND(Investment_Strategy="Lifecycle",Investment_Strategy_Sub1="Non-Standard"),VLOOKUP(Investment_Strategy&amp;"_"&amp;Investment_Strategy_Sub2&amp;"_"&amp;$A217,'Investment Strategies'!$C:$P,9,FALSE),
IF(AND(Investment_Strategy="Lifecycle",Investment_Strategy_Sub1="Standard"),VLOOKUP(Investment_Strategy&amp;"_"&amp;Investment_Strategy_Sub2&amp;"_"&amp;$A217,'Investment Strategies'!$AJ:$AV,8,FALSE),
IF(AND(Investment_Strategy="Autopilot",Investment_Strategy_Sub1="Non-Standard"),VLOOKUP(Investment_Strategy&amp;"_"&amp;Investment_Strategy_Sub2&amp;"_"&amp;$A217,'Investment Strategies'!$T:$AF,8,FALSE),
IF(Investment_Strategy ="DIY",DIY_RateOfReturn_FuturePremiums,
"Error")))))),Max_InvReturn)</f>
        <v>0</v>
      </c>
      <c r="U217" s="62">
        <f>IF($AV217=0,0,
IF(Investment_Strategy="DIS",VLOOKUP(Investment_Strategy&amp;"_"&amp;Investment_Strategy_Sub1&amp;"_"&amp;$A217,'Investment Strategies'!$AZ:$BP,15,FALSE),
IF(AND(Investment_Strategy="Lifecycle",Investment_Strategy_Sub1="Non-Standard"),VLOOKUP(Investment_Strategy&amp;"_"&amp;Investment_Strategy_Sub2&amp;"_"&amp;$A217,'Investment Strategies'!$C:$P,12,FALSE),
IF(AND(Investment_Strategy="Lifecycle",Investment_Strategy_Sub1="Standard"),VLOOKUP(Investment_Strategy&amp;"_"&amp;Investment_Strategy_Sub2&amp;"_"&amp;$A217,'Investment Strategies'!$AJ:$AV,11,FALSE),
IF(AND(Investment_Strategy="Autopilot",Investment_Strategy_Sub1="Non-Standard"),VLOOKUP(Investment_Strategy&amp;"_"&amp;Investment_Strategy_Sub2&amp;"_"&amp;$A217,'Investment Strategies'!$T:$AF,11,FALSE),
IF(Investment_Strategy="DIY",DIY_GteeChrge_FuturePremiums,
"Error"))))))</f>
        <v>0</v>
      </c>
      <c r="V217" s="33">
        <f>IF(AV217=0,0,
IF(Investment_Strategy="DIS",VLOOKUP(Investment_Strategy&amp;"_"&amp;Investment_Strategy_Sub1&amp;"_"&amp;$A217,'Investment Strategies'!$AZ:$BP,17,FALSE),
IF(AND(Investment_Strategy="Lifecycle",Investment_Strategy_Sub1="Non-Standard"),VLOOKUP(Investment_Strategy&amp;"_"&amp;Investment_Strategy_Sub2&amp;"_"&amp;$A217,'Investment Strategies'!$C:$P,14,FALSE),
IF(AND(Investment_Strategy="Lifecycle",Investment_Strategy_Sub1="Standard"),VLOOKUP(Investment_Strategy&amp;"_"&amp;Investment_Strategy_Sub2&amp;"_"&amp;$A217,'Investment Strategies'!$AJ:$AV,13,FALSE),
IF(AND(Investment_Strategy="Autopilot",Investment_Strategy_Sub1="Non-Standard"),VLOOKUP(Investment_Strategy&amp;"_"&amp;Investment_Strategy_Sub2&amp;"_"&amp;$A217,'Investment Strategies'!$T:$AF,13,FALSE),
IF(Investment_Strategy="DIY",DIY_ExtManChrge_FuturePremiums,
"Error"))))))</f>
        <v>0</v>
      </c>
      <c r="W217" s="16">
        <f t="shared" si="97"/>
        <v>0</v>
      </c>
      <c r="X217" s="16">
        <f t="shared" si="72"/>
        <v>0</v>
      </c>
      <c r="Y217" s="16">
        <f t="shared" si="73"/>
        <v>0</v>
      </c>
      <c r="Z217" s="31">
        <f t="shared" si="74"/>
        <v>0.02</v>
      </c>
      <c r="AA217" s="16">
        <f t="shared" si="75"/>
        <v>0</v>
      </c>
      <c r="AB217" s="28">
        <f t="shared" si="98"/>
        <v>0</v>
      </c>
      <c r="AC217" s="28">
        <f>(SUM($AC$91:AC216)+SUM($X$91:X216)+X217)*T217*IF(D217=$A$91,SRP_finalmonthfactor,1)</f>
        <v>0</v>
      </c>
      <c r="AD217" s="16">
        <f t="shared" si="76"/>
        <v>0</v>
      </c>
      <c r="AE217" s="106"/>
      <c r="AF217" s="16">
        <f t="shared" si="85"/>
        <v>0</v>
      </c>
      <c r="AG217" s="16">
        <f t="shared" si="86"/>
        <v>0</v>
      </c>
      <c r="AH217" s="16">
        <f t="shared" si="87"/>
        <v>0</v>
      </c>
      <c r="AJ217" s="13">
        <f t="shared" si="112"/>
        <v>0</v>
      </c>
      <c r="AK217" s="13">
        <f t="shared" si="112"/>
        <v>0</v>
      </c>
      <c r="AL217" s="13">
        <f t="shared" si="112"/>
        <v>0</v>
      </c>
      <c r="AM217" s="13">
        <f t="shared" si="112"/>
        <v>0</v>
      </c>
      <c r="AN217" s="13">
        <f t="shared" si="112"/>
        <v>0</v>
      </c>
      <c r="AO217" s="13">
        <f t="shared" si="112"/>
        <v>1</v>
      </c>
      <c r="AP217" s="13">
        <f t="shared" si="112"/>
        <v>1</v>
      </c>
      <c r="AQ217" s="13">
        <f t="shared" si="112"/>
        <v>1</v>
      </c>
      <c r="AR217" s="13">
        <f t="shared" si="112"/>
        <v>1</v>
      </c>
      <c r="AS217" s="13">
        <f t="shared" si="112"/>
        <v>1</v>
      </c>
      <c r="AT217" s="13">
        <f t="shared" si="112"/>
        <v>1</v>
      </c>
      <c r="AU217" s="13">
        <f t="shared" si="112"/>
        <v>1</v>
      </c>
      <c r="AV217" s="13">
        <f t="shared" si="77"/>
        <v>0</v>
      </c>
      <c r="AW217" s="13">
        <f t="shared" si="78"/>
        <v>1</v>
      </c>
      <c r="AY217" s="17">
        <f t="shared" si="79"/>
        <v>127</v>
      </c>
      <c r="AZ217" s="28">
        <f t="shared" si="88"/>
        <v>0</v>
      </c>
      <c r="BA217" s="13">
        <f t="shared" si="80"/>
        <v>0</v>
      </c>
      <c r="BB217" s="13">
        <f t="shared" si="81"/>
        <v>0</v>
      </c>
      <c r="BC217" s="28">
        <f t="shared" si="89"/>
        <v>0</v>
      </c>
      <c r="BD217" s="28">
        <f t="shared" si="90"/>
        <v>0</v>
      </c>
      <c r="BF217" s="248">
        <f t="shared" si="91"/>
        <v>993869.29442638322</v>
      </c>
      <c r="BG217" s="36">
        <f t="shared" si="99"/>
        <v>0</v>
      </c>
      <c r="BH217" s="36">
        <f t="shared" si="100"/>
        <v>888301.42122252402</v>
      </c>
      <c r="BI217" s="249">
        <f t="shared" si="101"/>
        <v>0</v>
      </c>
      <c r="BJ217" s="246">
        <f t="shared" si="102"/>
        <v>0</v>
      </c>
      <c r="BK217" s="246">
        <f t="shared" si="82"/>
        <v>7.531116566323881E-4</v>
      </c>
      <c r="BL217" s="246">
        <f t="shared" si="103"/>
        <v>0</v>
      </c>
      <c r="BM217" s="246">
        <f t="shared" si="104"/>
        <v>7.531116566323881E-4</v>
      </c>
      <c r="BN217" s="36">
        <f t="shared" si="92"/>
        <v>668.99015492579986</v>
      </c>
      <c r="BO217" s="36">
        <f t="shared" si="105"/>
        <v>0</v>
      </c>
      <c r="BP217" s="36">
        <f t="shared" si="106"/>
        <v>887632.43106759817</v>
      </c>
    </row>
    <row r="218" spans="1:68">
      <c r="A218" s="32">
        <f t="shared" si="93"/>
        <v>-43</v>
      </c>
      <c r="B218" s="32">
        <f t="shared" si="83"/>
        <v>63</v>
      </c>
      <c r="C218" s="32">
        <f t="shared" si="94"/>
        <v>11</v>
      </c>
      <c r="D218" s="32">
        <f t="shared" si="95"/>
        <v>128</v>
      </c>
      <c r="E218" s="74">
        <f>MIN(IF(AV218=0,0,
IF(Investment_Strategy="DIS",VLOOKUP(Investment_Strategy&amp;"_"&amp;Investment_Strategy_Sub1&amp;"_"&amp;$A218,'Investment Strategies'!$AZ:$BP,12,FALSE),
IF(AND(Investment_Strategy="Lifecycle",Investment_Strategy_Sub1="Non-Standard"),VLOOKUP(Investment_Strategy&amp;"_"&amp;Investment_Strategy_Sub2&amp;"_"&amp;$A218,'Investment Strategies'!$C:$P,9,FALSE),
IF(AND(Investment_Strategy="Lifecycle",Investment_Strategy_Sub1="Standard"),VLOOKUP(Investment_Strategy&amp;"_"&amp;Investment_Strategy_Sub2&amp;"_"&amp;$A218,'Investment Strategies'!$AJ:$AV,8,FALSE),
IF(AND(Investment_Strategy="Autopilot",Investment_Strategy_Sub1="Non-Standard"),VLOOKUP(Investment_Strategy&amp;"_"&amp;Investment_Strategy_Sub2&amp;"_"&amp;$A218,'Investment Strategies'!$T:$AF,8,FALSE),
IF(Investment_Strategy ="DIY",DIY_RateOfReturn_CurrentFunds,
"Error")))))),Max_InvReturn)</f>
        <v>0</v>
      </c>
      <c r="F218" s="62">
        <f>IF(AV218=0,0,
IF(Investment_Strategy="DIS",VLOOKUP(Investment_Strategy&amp;"_"&amp;Investment_Strategy_Sub1&amp;"_"&amp;$A218,'Investment Strategies'!$AZ:$BP,15,FALSE),
IF(AND(Investment_Strategy="Lifecycle",Investment_Strategy_Sub1="Non-Standard"),VLOOKUP(Investment_Strategy&amp;"_"&amp;Investment_Strategy_Sub2&amp;"_"&amp;$A218,'Investment Strategies'!$C:$P,12,FALSE),
IF(AND(Investment_Strategy="Lifecycle",Investment_Strategy_Sub1="Standard"),VLOOKUP(Investment_Strategy&amp;"_"&amp;Investment_Strategy_Sub2&amp;"_"&amp;$A218,'Investment Strategies'!$AJ:$AV,11,FALSE),
IF(AND(Investment_Strategy="Autopilot",Investment_Strategy_Sub1="Non-Standard"),VLOOKUP(Investment_Strategy&amp;"_"&amp;Investment_Strategy_Sub2&amp;"_"&amp;$A218,'Investment Strategies'!$T:$AF,11,FALSE),
IF(Investment_Strategy="DIY",DIY_GteeChrge_CurrentFunds,
"Error"))))))</f>
        <v>0</v>
      </c>
      <c r="G218" s="33">
        <f>IF(AV218=0,0,
IF(Investment_Strategy="DIS",VLOOKUP(Investment_Strategy&amp;"_"&amp;Investment_Strategy_Sub1&amp;"_"&amp;$A218,'Investment Strategies'!$AZ:$BP,17,FALSE),
IF(AND(Investment_Strategy="Lifecycle",Investment_Strategy_Sub1="Non-Standard"),VLOOKUP(Investment_Strategy&amp;"_"&amp;Investment_Strategy_Sub2&amp;"_"&amp;$A218,'Investment Strategies'!$C:$P,14,FALSE),
IF(AND(Investment_Strategy="Lifecycle",Investment_Strategy_Sub1="Standard"),VLOOKUP(Investment_Strategy&amp;"_"&amp;Investment_Strategy_Sub2&amp;"_"&amp;$A218,'Investment Strategies'!$AJ:$AV,13,FALSE),
IF(AND(Investment_Strategy="Autopilot",Investment_Strategy_Sub1="Non-Standard"),VLOOKUP(Investment_Strategy&amp;"_"&amp;Investment_Strategy_Sub2&amp;"_"&amp;$A218,'Investment Strategies'!$T:$AF,13,FALSE),
IF(Investment_Strategy="DIY",DIY_ExtManChrge_CurrentFunds,
"Error"))))))</f>
        <v>0</v>
      </c>
      <c r="H218" s="16">
        <f t="shared" si="84"/>
        <v>0</v>
      </c>
      <c r="I218" s="16">
        <f t="shared" si="68"/>
        <v>0</v>
      </c>
      <c r="J218" s="16">
        <f t="shared" si="69"/>
        <v>0</v>
      </c>
      <c r="K218" s="16">
        <f>(Opening_Fund_Value+SUM(K$91:K217))*E218*IF(D218=$A$91,SRP_finalmonthfactor,1)</f>
        <v>0</v>
      </c>
      <c r="L218" s="74">
        <f>MIN(IF($AV218=0,0,
IF(Investment_Strategy="DIS",VLOOKUP(Investment_Strategy&amp;"_"&amp;Investment_Strategy_Sub1&amp;"_"&amp;$A218,'Investment Strategies'!$AZ:$BP,12,FALSE),
IF(AND(Investment_Strategy="Lifecycle",Investment_Strategy_Sub1="Non-Standard"),VLOOKUP(Investment_Strategy&amp;"_"&amp;Investment_Strategy_Sub2&amp;"_"&amp;$A218,'Investment Strategies'!$C:$P,9,FALSE),
IF(AND(Investment_Strategy="Lifecycle",Investment_Strategy_Sub1="Standard"),VLOOKUP(Investment_Strategy&amp;"_"&amp;Investment_Strategy_Sub2&amp;"_"&amp;$A218,'Investment Strategies'!$AJ:$AV,8,FALSE),
IF(AND(Investment_Strategy="Autopilot",Investment_Strategy_Sub1="Non-Standard"),VLOOKUP(Investment_Strategy&amp;"_"&amp;Investment_Strategy_Sub2&amp;"_"&amp;$A218,'Investment Strategies'!$T:$AF,8,FALSE),
IF(Investment_Strategy ="DIY",DIY_RateofReturn_SP,
"Error")))))),Max_InvReturn)</f>
        <v>0</v>
      </c>
      <c r="M218" s="62">
        <f>IF($AV218=0,0,
IF(Investment_Strategy="DIS",VLOOKUP(Investment_Strategy&amp;"_"&amp;Investment_Strategy_Sub1&amp;"_"&amp;$A218,'Investment Strategies'!$AZ:$BP,15,FALSE),
IF(AND(Investment_Strategy="Lifecycle",Investment_Strategy_Sub1="Non-Standard"),VLOOKUP(Investment_Strategy&amp;"_"&amp;Investment_Strategy_Sub2&amp;"_"&amp;$A218,'Investment Strategies'!$C:$P,12,FALSE),
IF(AND(Investment_Strategy="Lifecycle",Investment_Strategy_Sub1="Standard"),VLOOKUP(Investment_Strategy&amp;"_"&amp;Investment_Strategy_Sub2&amp;"_"&amp;$A218,'Investment Strategies'!$AJ:$AV,11,FALSE),
IF(AND(Investment_Strategy="Autopilot",Investment_Strategy_Sub1="Non-Standard"),VLOOKUP(Investment_Strategy&amp;"_"&amp;Investment_Strategy_Sub2&amp;"_"&amp;$A218,'Investment Strategies'!$T:$AF,11,FALSE),
IF(Investment_Strategy="DIY",DIY_GteeChrge_SP,
"Error"))))))</f>
        <v>0</v>
      </c>
      <c r="N218" s="33">
        <f>IF($AV218=0,0,
IF(Investment_Strategy="DIS",VLOOKUP(Investment_Strategy&amp;"_"&amp;Investment_Strategy_Sub1&amp;"_"&amp;$A218,'Investment Strategies'!$AZ:$BP,17,FALSE),
IF(AND(Investment_Strategy="Lifecycle",Investment_Strategy_Sub1="Non-Standard"),VLOOKUP(Investment_Strategy&amp;"_"&amp;Investment_Strategy_Sub2&amp;"_"&amp;$A218,'Investment Strategies'!$C:$P,14,FALSE),
IF(AND(Investment_Strategy="Lifecycle",Investment_Strategy_Sub1="Standard"),VLOOKUP(Investment_Strategy&amp;"_"&amp;Investment_Strategy_Sub2&amp;"_"&amp;$A218,'Investment Strategies'!$AJ:$AV,13,FALSE),
IF(AND(Investment_Strategy="Autopilot",Investment_Strategy_Sub1="Non-Standard"),VLOOKUP(Investment_Strategy&amp;"_"&amp;Investment_Strategy_Sub2&amp;"_"&amp;$A218,'Investment Strategies'!$T:$AF,13,FALSE),
IF(Investment_Strategy="DIY",DIY_ExtManChrge_SP,
"Error"))))))</f>
        <v>0</v>
      </c>
      <c r="O218" s="16">
        <f t="shared" si="96"/>
        <v>0</v>
      </c>
      <c r="Q218" s="16">
        <f t="shared" si="70"/>
        <v>0</v>
      </c>
      <c r="R218" s="16">
        <f t="shared" si="71"/>
        <v>0</v>
      </c>
      <c r="S218" s="16">
        <f>(SRP_SP+SUM(S$91:S217))*L218*IF(D218=$A$91,SRP_finalmonthfactor,1)</f>
        <v>0</v>
      </c>
      <c r="T218" s="74">
        <f>MIN(IF($AV218=0,0,
IF(Investment_Strategy="DIS",VLOOKUP(Investment_Strategy&amp;"_"&amp;Investment_Strategy_Sub1&amp;"_"&amp;$A218,'Investment Strategies'!$AZ:$BP,12,FALSE),
IF(AND(Investment_Strategy="Lifecycle",Investment_Strategy_Sub1="Non-Standard"),VLOOKUP(Investment_Strategy&amp;"_"&amp;Investment_Strategy_Sub2&amp;"_"&amp;$A218,'Investment Strategies'!$C:$P,9,FALSE),
IF(AND(Investment_Strategy="Lifecycle",Investment_Strategy_Sub1="Standard"),VLOOKUP(Investment_Strategy&amp;"_"&amp;Investment_Strategy_Sub2&amp;"_"&amp;$A218,'Investment Strategies'!$AJ:$AV,8,FALSE),
IF(AND(Investment_Strategy="Autopilot",Investment_Strategy_Sub1="Non-Standard"),VLOOKUP(Investment_Strategy&amp;"_"&amp;Investment_Strategy_Sub2&amp;"_"&amp;$A218,'Investment Strategies'!$T:$AF,8,FALSE),
IF(Investment_Strategy ="DIY",DIY_RateOfReturn_FuturePremiums,
"Error")))))),Max_InvReturn)</f>
        <v>0</v>
      </c>
      <c r="U218" s="62">
        <f>IF($AV218=0,0,
IF(Investment_Strategy="DIS",VLOOKUP(Investment_Strategy&amp;"_"&amp;Investment_Strategy_Sub1&amp;"_"&amp;$A218,'Investment Strategies'!$AZ:$BP,15,FALSE),
IF(AND(Investment_Strategy="Lifecycle",Investment_Strategy_Sub1="Non-Standard"),VLOOKUP(Investment_Strategy&amp;"_"&amp;Investment_Strategy_Sub2&amp;"_"&amp;$A218,'Investment Strategies'!$C:$P,12,FALSE),
IF(AND(Investment_Strategy="Lifecycle",Investment_Strategy_Sub1="Standard"),VLOOKUP(Investment_Strategy&amp;"_"&amp;Investment_Strategy_Sub2&amp;"_"&amp;$A218,'Investment Strategies'!$AJ:$AV,11,FALSE),
IF(AND(Investment_Strategy="Autopilot",Investment_Strategy_Sub1="Non-Standard"),VLOOKUP(Investment_Strategy&amp;"_"&amp;Investment_Strategy_Sub2&amp;"_"&amp;$A218,'Investment Strategies'!$T:$AF,11,FALSE),
IF(Investment_Strategy="DIY",DIY_GteeChrge_FuturePremiums,
"Error"))))))</f>
        <v>0</v>
      </c>
      <c r="V218" s="33">
        <f>IF(AV218=0,0,
IF(Investment_Strategy="DIS",VLOOKUP(Investment_Strategy&amp;"_"&amp;Investment_Strategy_Sub1&amp;"_"&amp;$A218,'Investment Strategies'!$AZ:$BP,17,FALSE),
IF(AND(Investment_Strategy="Lifecycle",Investment_Strategy_Sub1="Non-Standard"),VLOOKUP(Investment_Strategy&amp;"_"&amp;Investment_Strategy_Sub2&amp;"_"&amp;$A218,'Investment Strategies'!$C:$P,14,FALSE),
IF(AND(Investment_Strategy="Lifecycle",Investment_Strategy_Sub1="Standard"),VLOOKUP(Investment_Strategy&amp;"_"&amp;Investment_Strategy_Sub2&amp;"_"&amp;$A218,'Investment Strategies'!$AJ:$AV,13,FALSE),
IF(AND(Investment_Strategy="Autopilot",Investment_Strategy_Sub1="Non-Standard"),VLOOKUP(Investment_Strategy&amp;"_"&amp;Investment_Strategy_Sub2&amp;"_"&amp;$A218,'Investment Strategies'!$T:$AF,13,FALSE),
IF(Investment_Strategy="DIY",DIY_ExtManChrge_FuturePremiums,
"Error"))))))</f>
        <v>0</v>
      </c>
      <c r="W218" s="16">
        <f t="shared" si="97"/>
        <v>0</v>
      </c>
      <c r="X218" s="16">
        <f t="shared" si="72"/>
        <v>0</v>
      </c>
      <c r="Y218" s="16">
        <f t="shared" si="73"/>
        <v>0</v>
      </c>
      <c r="Z218" s="31">
        <f t="shared" si="74"/>
        <v>0.02</v>
      </c>
      <c r="AA218" s="16">
        <f t="shared" si="75"/>
        <v>0</v>
      </c>
      <c r="AB218" s="28">
        <f t="shared" si="98"/>
        <v>0</v>
      </c>
      <c r="AC218" s="28">
        <f>(SUM($AC$91:AC217)+SUM($X$91:X217)+X218)*T218*IF(D218=$A$91,SRP_finalmonthfactor,1)</f>
        <v>0</v>
      </c>
      <c r="AD218" s="16">
        <f t="shared" si="76"/>
        <v>0</v>
      </c>
      <c r="AE218" s="106"/>
      <c r="AF218" s="16">
        <f t="shared" si="85"/>
        <v>0</v>
      </c>
      <c r="AG218" s="16">
        <f t="shared" si="86"/>
        <v>0</v>
      </c>
      <c r="AH218" s="16">
        <f t="shared" si="87"/>
        <v>0</v>
      </c>
      <c r="AJ218" s="13">
        <f t="shared" si="112"/>
        <v>0</v>
      </c>
      <c r="AK218" s="13">
        <f t="shared" si="112"/>
        <v>0</v>
      </c>
      <c r="AL218" s="13">
        <f t="shared" si="112"/>
        <v>0</v>
      </c>
      <c r="AM218" s="13">
        <f t="shared" si="112"/>
        <v>0</v>
      </c>
      <c r="AN218" s="13">
        <f t="shared" si="112"/>
        <v>0</v>
      </c>
      <c r="AO218" s="13">
        <f t="shared" si="112"/>
        <v>1</v>
      </c>
      <c r="AP218" s="13">
        <f t="shared" si="112"/>
        <v>1</v>
      </c>
      <c r="AQ218" s="13">
        <f t="shared" si="112"/>
        <v>1</v>
      </c>
      <c r="AR218" s="13">
        <f t="shared" si="112"/>
        <v>1</v>
      </c>
      <c r="AS218" s="13">
        <f t="shared" si="112"/>
        <v>1</v>
      </c>
      <c r="AT218" s="13">
        <f t="shared" si="112"/>
        <v>1</v>
      </c>
      <c r="AU218" s="13">
        <f t="shared" si="112"/>
        <v>1</v>
      </c>
      <c r="AV218" s="13">
        <f t="shared" si="77"/>
        <v>0</v>
      </c>
      <c r="AW218" s="13">
        <f t="shared" si="78"/>
        <v>1</v>
      </c>
      <c r="AY218" s="17">
        <f t="shared" si="79"/>
        <v>128</v>
      </c>
      <c r="AZ218" s="28">
        <f t="shared" si="88"/>
        <v>0</v>
      </c>
      <c r="BA218" s="13">
        <f t="shared" si="80"/>
        <v>0</v>
      </c>
      <c r="BB218" s="13">
        <f t="shared" si="81"/>
        <v>0</v>
      </c>
      <c r="BC218" s="28">
        <f t="shared" si="89"/>
        <v>0</v>
      </c>
      <c r="BD218" s="28">
        <f t="shared" si="90"/>
        <v>0</v>
      </c>
      <c r="BF218" s="248">
        <f t="shared" si="91"/>
        <v>993869.29442638322</v>
      </c>
      <c r="BG218" s="36">
        <f t="shared" si="99"/>
        <v>0</v>
      </c>
      <c r="BH218" s="36">
        <f t="shared" si="100"/>
        <v>887632.43106759817</v>
      </c>
      <c r="BI218" s="249">
        <f t="shared" si="101"/>
        <v>0</v>
      </c>
      <c r="BJ218" s="246">
        <f t="shared" si="102"/>
        <v>0</v>
      </c>
      <c r="BK218" s="246">
        <f t="shared" si="82"/>
        <v>7.531116566323881E-4</v>
      </c>
      <c r="BL218" s="246">
        <f t="shared" si="103"/>
        <v>0</v>
      </c>
      <c r="BM218" s="246">
        <f t="shared" si="104"/>
        <v>7.531116566323881E-4</v>
      </c>
      <c r="BN218" s="36">
        <f t="shared" si="92"/>
        <v>668.48633064195292</v>
      </c>
      <c r="BO218" s="36">
        <f t="shared" si="105"/>
        <v>0</v>
      </c>
      <c r="BP218" s="36">
        <f t="shared" si="106"/>
        <v>886963.94473695627</v>
      </c>
    </row>
    <row r="219" spans="1:68">
      <c r="A219" s="32">
        <f t="shared" si="93"/>
        <v>-44</v>
      </c>
      <c r="B219" s="32">
        <f t="shared" si="83"/>
        <v>63</v>
      </c>
      <c r="C219" s="32">
        <f t="shared" si="94"/>
        <v>11</v>
      </c>
      <c r="D219" s="32">
        <f t="shared" si="95"/>
        <v>129</v>
      </c>
      <c r="E219" s="74">
        <f>MIN(IF(AV219=0,0,
IF(Investment_Strategy="DIS",VLOOKUP(Investment_Strategy&amp;"_"&amp;Investment_Strategy_Sub1&amp;"_"&amp;$A219,'Investment Strategies'!$AZ:$BP,12,FALSE),
IF(AND(Investment_Strategy="Lifecycle",Investment_Strategy_Sub1="Non-Standard"),VLOOKUP(Investment_Strategy&amp;"_"&amp;Investment_Strategy_Sub2&amp;"_"&amp;$A219,'Investment Strategies'!$C:$P,9,FALSE),
IF(AND(Investment_Strategy="Lifecycle",Investment_Strategy_Sub1="Standard"),VLOOKUP(Investment_Strategy&amp;"_"&amp;Investment_Strategy_Sub2&amp;"_"&amp;$A219,'Investment Strategies'!$AJ:$AV,8,FALSE),
IF(AND(Investment_Strategy="Autopilot",Investment_Strategy_Sub1="Non-Standard"),VLOOKUP(Investment_Strategy&amp;"_"&amp;Investment_Strategy_Sub2&amp;"_"&amp;$A219,'Investment Strategies'!$T:$AF,8,FALSE),
IF(Investment_Strategy ="DIY",DIY_RateOfReturn_CurrentFunds,
"Error")))))),Max_InvReturn)</f>
        <v>0</v>
      </c>
      <c r="F219" s="62">
        <f>IF(AV219=0,0,
IF(Investment_Strategy="DIS",VLOOKUP(Investment_Strategy&amp;"_"&amp;Investment_Strategy_Sub1&amp;"_"&amp;$A219,'Investment Strategies'!$AZ:$BP,15,FALSE),
IF(AND(Investment_Strategy="Lifecycle",Investment_Strategy_Sub1="Non-Standard"),VLOOKUP(Investment_Strategy&amp;"_"&amp;Investment_Strategy_Sub2&amp;"_"&amp;$A219,'Investment Strategies'!$C:$P,12,FALSE),
IF(AND(Investment_Strategy="Lifecycle",Investment_Strategy_Sub1="Standard"),VLOOKUP(Investment_Strategy&amp;"_"&amp;Investment_Strategy_Sub2&amp;"_"&amp;$A219,'Investment Strategies'!$AJ:$AV,11,FALSE),
IF(AND(Investment_Strategy="Autopilot",Investment_Strategy_Sub1="Non-Standard"),VLOOKUP(Investment_Strategy&amp;"_"&amp;Investment_Strategy_Sub2&amp;"_"&amp;$A219,'Investment Strategies'!$T:$AF,11,FALSE),
IF(Investment_Strategy="DIY",DIY_GteeChrge_CurrentFunds,
"Error"))))))</f>
        <v>0</v>
      </c>
      <c r="G219" s="33">
        <f>IF(AV219=0,0,
IF(Investment_Strategy="DIS",VLOOKUP(Investment_Strategy&amp;"_"&amp;Investment_Strategy_Sub1&amp;"_"&amp;$A219,'Investment Strategies'!$AZ:$BP,17,FALSE),
IF(AND(Investment_Strategy="Lifecycle",Investment_Strategy_Sub1="Non-Standard"),VLOOKUP(Investment_Strategy&amp;"_"&amp;Investment_Strategy_Sub2&amp;"_"&amp;$A219,'Investment Strategies'!$C:$P,14,FALSE),
IF(AND(Investment_Strategy="Lifecycle",Investment_Strategy_Sub1="Standard"),VLOOKUP(Investment_Strategy&amp;"_"&amp;Investment_Strategy_Sub2&amp;"_"&amp;$A219,'Investment Strategies'!$AJ:$AV,13,FALSE),
IF(AND(Investment_Strategy="Autopilot",Investment_Strategy_Sub1="Non-Standard"),VLOOKUP(Investment_Strategy&amp;"_"&amp;Investment_Strategy_Sub2&amp;"_"&amp;$A219,'Investment Strategies'!$T:$AF,13,FALSE),
IF(Investment_Strategy="DIY",DIY_ExtManChrge_CurrentFunds,
"Error"))))))</f>
        <v>0</v>
      </c>
      <c r="H219" s="16">
        <f t="shared" si="84"/>
        <v>0</v>
      </c>
      <c r="I219" s="16">
        <f t="shared" ref="I219:I282" si="113">(H219*E219)*IF(D219=$A$91,SRP_finalmonthfactor,1)</f>
        <v>0</v>
      </c>
      <c r="J219" s="16">
        <f t="shared" ref="J219:J282" si="114">IF($AV219=0,0,
-((H219+I219/2)*(SRP_Monthly_Admin_Chge+F219+G219)*IF(D219=$A$91,SRP_finalmonthfactor,1)))</f>
        <v>0</v>
      </c>
      <c r="K219" s="16">
        <f>(Opening_Fund_Value+SUM(K$91:K218))*E219*IF(D219=$A$91,SRP_finalmonthfactor,1)</f>
        <v>0</v>
      </c>
      <c r="L219" s="74">
        <f>MIN(IF($AV219=0,0,
IF(Investment_Strategy="DIS",VLOOKUP(Investment_Strategy&amp;"_"&amp;Investment_Strategy_Sub1&amp;"_"&amp;$A219,'Investment Strategies'!$AZ:$BP,12,FALSE),
IF(AND(Investment_Strategy="Lifecycle",Investment_Strategy_Sub1="Non-Standard"),VLOOKUP(Investment_Strategy&amp;"_"&amp;Investment_Strategy_Sub2&amp;"_"&amp;$A219,'Investment Strategies'!$C:$P,9,FALSE),
IF(AND(Investment_Strategy="Lifecycle",Investment_Strategy_Sub1="Standard"),VLOOKUP(Investment_Strategy&amp;"_"&amp;Investment_Strategy_Sub2&amp;"_"&amp;$A219,'Investment Strategies'!$AJ:$AV,8,FALSE),
IF(AND(Investment_Strategy="Autopilot",Investment_Strategy_Sub1="Non-Standard"),VLOOKUP(Investment_Strategy&amp;"_"&amp;Investment_Strategy_Sub2&amp;"_"&amp;$A219,'Investment Strategies'!$T:$AF,8,FALSE),
IF(Investment_Strategy ="DIY",DIY_RateofReturn_SP,
"Error")))))),Max_InvReturn)</f>
        <v>0</v>
      </c>
      <c r="M219" s="62">
        <f>IF($AV219=0,0,
IF(Investment_Strategy="DIS",VLOOKUP(Investment_Strategy&amp;"_"&amp;Investment_Strategy_Sub1&amp;"_"&amp;$A219,'Investment Strategies'!$AZ:$BP,15,FALSE),
IF(AND(Investment_Strategy="Lifecycle",Investment_Strategy_Sub1="Non-Standard"),VLOOKUP(Investment_Strategy&amp;"_"&amp;Investment_Strategy_Sub2&amp;"_"&amp;$A219,'Investment Strategies'!$C:$P,12,FALSE),
IF(AND(Investment_Strategy="Lifecycle",Investment_Strategy_Sub1="Standard"),VLOOKUP(Investment_Strategy&amp;"_"&amp;Investment_Strategy_Sub2&amp;"_"&amp;$A219,'Investment Strategies'!$AJ:$AV,11,FALSE),
IF(AND(Investment_Strategy="Autopilot",Investment_Strategy_Sub1="Non-Standard"),VLOOKUP(Investment_Strategy&amp;"_"&amp;Investment_Strategy_Sub2&amp;"_"&amp;$A219,'Investment Strategies'!$T:$AF,11,FALSE),
IF(Investment_Strategy="DIY",DIY_GteeChrge_SP,
"Error"))))))</f>
        <v>0</v>
      </c>
      <c r="N219" s="33">
        <f>IF($AV219=0,0,
IF(Investment_Strategy="DIS",VLOOKUP(Investment_Strategy&amp;"_"&amp;Investment_Strategy_Sub1&amp;"_"&amp;$A219,'Investment Strategies'!$AZ:$BP,17,FALSE),
IF(AND(Investment_Strategy="Lifecycle",Investment_Strategy_Sub1="Non-Standard"),VLOOKUP(Investment_Strategy&amp;"_"&amp;Investment_Strategy_Sub2&amp;"_"&amp;$A219,'Investment Strategies'!$C:$P,14,FALSE),
IF(AND(Investment_Strategy="Lifecycle",Investment_Strategy_Sub1="Standard"),VLOOKUP(Investment_Strategy&amp;"_"&amp;Investment_Strategy_Sub2&amp;"_"&amp;$A219,'Investment Strategies'!$AJ:$AV,13,FALSE),
IF(AND(Investment_Strategy="Autopilot",Investment_Strategy_Sub1="Non-Standard"),VLOOKUP(Investment_Strategy&amp;"_"&amp;Investment_Strategy_Sub2&amp;"_"&amp;$A219,'Investment Strategies'!$T:$AF,13,FALSE),
IF(Investment_Strategy="DIY",DIY_ExtManChrge_SP,
"Error"))))))</f>
        <v>0</v>
      </c>
      <c r="O219" s="16">
        <f t="shared" si="96"/>
        <v>0</v>
      </c>
      <c r="Q219" s="16">
        <f t="shared" ref="Q219:Q282" si="115">(O219+(P219*(1-SRP_Contrib_Chge_SP)))*L219*IF(D219=$A$91,SRP_finalmonthfactor,1)</f>
        <v>0</v>
      </c>
      <c r="R219" s="16">
        <f t="shared" ref="R219:R282" si="116">IF($AV219=0,0,
-(($O219+($P219)*(1-SRP_Contrib_Chge_SP)+Q219/2)*(SRP_Monthly_Admin_Chge+$M219+$N219)*IF(D219=$A$91,SRP_finalmonthfactor,1)+
($P219)*SRP_Contrib_Chge_SP))</f>
        <v>0</v>
      </c>
      <c r="S219" s="16">
        <f>(SRP_SP+SUM(S$91:S218))*L219*IF(D219=$A$91,SRP_finalmonthfactor,1)</f>
        <v>0</v>
      </c>
      <c r="T219" s="74">
        <f>MIN(IF($AV219=0,0,
IF(Investment_Strategy="DIS",VLOOKUP(Investment_Strategy&amp;"_"&amp;Investment_Strategy_Sub1&amp;"_"&amp;$A219,'Investment Strategies'!$AZ:$BP,12,FALSE),
IF(AND(Investment_Strategy="Lifecycle",Investment_Strategy_Sub1="Non-Standard"),VLOOKUP(Investment_Strategy&amp;"_"&amp;Investment_Strategy_Sub2&amp;"_"&amp;$A219,'Investment Strategies'!$C:$P,9,FALSE),
IF(AND(Investment_Strategy="Lifecycle",Investment_Strategy_Sub1="Standard"),VLOOKUP(Investment_Strategy&amp;"_"&amp;Investment_Strategy_Sub2&amp;"_"&amp;$A219,'Investment Strategies'!$AJ:$AV,8,FALSE),
IF(AND(Investment_Strategy="Autopilot",Investment_Strategy_Sub1="Non-Standard"),VLOOKUP(Investment_Strategy&amp;"_"&amp;Investment_Strategy_Sub2&amp;"_"&amp;$A219,'Investment Strategies'!$T:$AF,8,FALSE),
IF(Investment_Strategy ="DIY",DIY_RateOfReturn_FuturePremiums,
"Error")))))),Max_InvReturn)</f>
        <v>0</v>
      </c>
      <c r="U219" s="62">
        <f>IF($AV219=0,0,
IF(Investment_Strategy="DIS",VLOOKUP(Investment_Strategy&amp;"_"&amp;Investment_Strategy_Sub1&amp;"_"&amp;$A219,'Investment Strategies'!$AZ:$BP,15,FALSE),
IF(AND(Investment_Strategy="Lifecycle",Investment_Strategy_Sub1="Non-Standard"),VLOOKUP(Investment_Strategy&amp;"_"&amp;Investment_Strategy_Sub2&amp;"_"&amp;$A219,'Investment Strategies'!$C:$P,12,FALSE),
IF(AND(Investment_Strategy="Lifecycle",Investment_Strategy_Sub1="Standard"),VLOOKUP(Investment_Strategy&amp;"_"&amp;Investment_Strategy_Sub2&amp;"_"&amp;$A219,'Investment Strategies'!$AJ:$AV,11,FALSE),
IF(AND(Investment_Strategy="Autopilot",Investment_Strategy_Sub1="Non-Standard"),VLOOKUP(Investment_Strategy&amp;"_"&amp;Investment_Strategy_Sub2&amp;"_"&amp;$A219,'Investment Strategies'!$T:$AF,11,FALSE),
IF(Investment_Strategy="DIY",DIY_GteeChrge_FuturePremiums,
"Error"))))))</f>
        <v>0</v>
      </c>
      <c r="V219" s="33">
        <f>IF(AV219=0,0,
IF(Investment_Strategy="DIS",VLOOKUP(Investment_Strategy&amp;"_"&amp;Investment_Strategy_Sub1&amp;"_"&amp;$A219,'Investment Strategies'!$AZ:$BP,17,FALSE),
IF(AND(Investment_Strategy="Lifecycle",Investment_Strategy_Sub1="Non-Standard"),VLOOKUP(Investment_Strategy&amp;"_"&amp;Investment_Strategy_Sub2&amp;"_"&amp;$A219,'Investment Strategies'!$C:$P,14,FALSE),
IF(AND(Investment_Strategy="Lifecycle",Investment_Strategy_Sub1="Standard"),VLOOKUP(Investment_Strategy&amp;"_"&amp;Investment_Strategy_Sub2&amp;"_"&amp;$A219,'Investment Strategies'!$AJ:$AV,13,FALSE),
IF(AND(Investment_Strategy="Autopilot",Investment_Strategy_Sub1="Non-Standard"),VLOOKUP(Investment_Strategy&amp;"_"&amp;Investment_Strategy_Sub2&amp;"_"&amp;$A219,'Investment Strategies'!$T:$AF,13,FALSE),
IF(Investment_Strategy="DIY",DIY_ExtManChrge_FuturePremiums,
"Error"))))))</f>
        <v>0</v>
      </c>
      <c r="W219" s="16">
        <f t="shared" si="97"/>
        <v>0</v>
      </c>
      <c r="X219" s="16">
        <f t="shared" ref="X219:X282" si="117">SRP_AP/Contributions_per_year * (1+MIN(Max_Contrib_Escalation,SRP_Contrib_Escalation))^($C219-1) * $AV219 * $AW219</f>
        <v>0</v>
      </c>
      <c r="Y219" s="16">
        <f t="shared" ref="Y219:Y282" si="118">(W219+(X219*(1-Z219)))*T219*IF(D219=$A$91,SRP_finalmonthfactor,1)</f>
        <v>0</v>
      </c>
      <c r="Z219" s="31">
        <f t="shared" ref="Z219:Z282" si="119">IF(X219/(12/Contributions_per_year)&lt;=99.99,2%,0%)*AW219</f>
        <v>0.02</v>
      </c>
      <c r="AA219" s="16">
        <f t="shared" ref="AA219:AA282" si="120">IF($AV219=0,0,
-(($W219+($X219)*(1-Z219)+Y219/2)*(SRP_Monthly_Admin_Chge+$U219+$V219)*IF(D219=$A$91,SRP_finalmonthfactor,1)+
+($X219)*Z219))</f>
        <v>0</v>
      </c>
      <c r="AB219" s="28">
        <f t="shared" si="98"/>
        <v>0</v>
      </c>
      <c r="AC219" s="28">
        <f>(SUM($AC$91:AC218)+SUM($X$91:X218)+X219)*T219*IF(D219=$A$91,SRP_finalmonthfactor,1)</f>
        <v>0</v>
      </c>
      <c r="AD219" s="16">
        <f t="shared" ref="AD219:AD282" si="121">IF($AV219=0,0,
IF((SRP_ValDate-SRP_PolicyStartDate)+(365*(D219-1)/12)&lt;365,-(($H219+$I219/2+$O219+$P219+Q219/2+$W219+$X219+Y219/2)*(SRP_Ren_Com_Mthly)+($P219*SRP_Init_Com_SP)+($X219*SRP_Init_Com_RP)),
-((H$91+$I219/2+$O219+$P219+Q219/2+$W219+$X219+Y219/2)*(SRP_Ren_Com_Mthly))))</f>
        <v>0</v>
      </c>
      <c r="AE219" s="106"/>
      <c r="AF219" s="16">
        <f t="shared" si="85"/>
        <v>0</v>
      </c>
      <c r="AG219" s="16">
        <f t="shared" si="86"/>
        <v>0</v>
      </c>
      <c r="AH219" s="16">
        <f t="shared" si="87"/>
        <v>0</v>
      </c>
      <c r="AJ219" s="13">
        <f t="shared" si="112"/>
        <v>0</v>
      </c>
      <c r="AK219" s="13">
        <f t="shared" si="112"/>
        <v>0</v>
      </c>
      <c r="AL219" s="13">
        <f t="shared" si="112"/>
        <v>0</v>
      </c>
      <c r="AM219" s="13">
        <f t="shared" si="112"/>
        <v>0</v>
      </c>
      <c r="AN219" s="13">
        <f t="shared" si="112"/>
        <v>0</v>
      </c>
      <c r="AO219" s="13">
        <f t="shared" si="112"/>
        <v>1</v>
      </c>
      <c r="AP219" s="13">
        <f t="shared" si="112"/>
        <v>1</v>
      </c>
      <c r="AQ219" s="13">
        <f t="shared" si="112"/>
        <v>1</v>
      </c>
      <c r="AR219" s="13">
        <f t="shared" si="112"/>
        <v>1</v>
      </c>
      <c r="AS219" s="13">
        <f t="shared" si="112"/>
        <v>1</v>
      </c>
      <c r="AT219" s="13">
        <f t="shared" si="112"/>
        <v>1</v>
      </c>
      <c r="AU219" s="13">
        <f t="shared" si="112"/>
        <v>1</v>
      </c>
      <c r="AV219" s="13">
        <f t="shared" ref="AV219:AV282" si="122">IF($B219&lt;SRP_NRA,1,0)</f>
        <v>0</v>
      </c>
      <c r="AW219" s="13">
        <f t="shared" ref="AW219:AW282" si="123">IF($I$60 = "Yes",IF(SRP_PremFreq = "Annual",IF(MOD(D219-1, 12) = 0, 1, 0), IF(SRP_PremFreq = "Half-Yearly", IF(MOD(D219-1, 6) = 0, 1, 0), IF(SRP_PremFreq = "Quarterly", IF(MOD(D219-1, 3) = 0, 1, 0), IF(SRP_PremFreq = "Monthly", IF(MOD(D219-1, 1) = 0, 1, 0), "Error")))),0)</f>
        <v>1</v>
      </c>
      <c r="AY219" s="17">
        <f t="shared" ref="AY219:AY282" si="124">D219</f>
        <v>129</v>
      </c>
      <c r="AZ219" s="28">
        <f t="shared" si="88"/>
        <v>0</v>
      </c>
      <c r="BA219" s="13">
        <f t="shared" ref="BA219:BA282" si="125">-IF(A219=0,$F$32,0)</f>
        <v>0</v>
      </c>
      <c r="BB219" s="13">
        <f t="shared" ref="BB219:BB282" si="126">-IF(A219=0,$G$32,0)</f>
        <v>0</v>
      </c>
      <c r="BC219" s="28">
        <f t="shared" si="89"/>
        <v>0</v>
      </c>
      <c r="BD219" s="28">
        <f t="shared" si="90"/>
        <v>0</v>
      </c>
      <c r="BF219" s="248">
        <f t="shared" si="91"/>
        <v>993869.29442638322</v>
      </c>
      <c r="BG219" s="36">
        <f t="shared" si="99"/>
        <v>0</v>
      </c>
      <c r="BH219" s="36">
        <f t="shared" si="100"/>
        <v>886963.94473695627</v>
      </c>
      <c r="BI219" s="249">
        <f t="shared" si="101"/>
        <v>0</v>
      </c>
      <c r="BJ219" s="246">
        <f t="shared" si="102"/>
        <v>0</v>
      </c>
      <c r="BK219" s="246">
        <f t="shared" ref="BK219:BK282" si="127">SRP_Monthly_Admin_Chge+U219</f>
        <v>7.531116566323881E-4</v>
      </c>
      <c r="BL219" s="246">
        <f t="shared" si="103"/>
        <v>0</v>
      </c>
      <c r="BM219" s="246">
        <f t="shared" si="104"/>
        <v>7.531116566323881E-4</v>
      </c>
      <c r="BN219" s="36">
        <f t="shared" si="92"/>
        <v>667.98288579404709</v>
      </c>
      <c r="BO219" s="36">
        <f t="shared" si="105"/>
        <v>0</v>
      </c>
      <c r="BP219" s="36">
        <f t="shared" si="106"/>
        <v>886295.96185116225</v>
      </c>
    </row>
    <row r="220" spans="1:68">
      <c r="A220" s="32">
        <f t="shared" si="93"/>
        <v>-45</v>
      </c>
      <c r="B220" s="32">
        <f t="shared" ref="B220:B283" si="128">INT(SRP_Current_Age+D219/12)</f>
        <v>63</v>
      </c>
      <c r="C220" s="32">
        <f t="shared" si="94"/>
        <v>11</v>
      </c>
      <c r="D220" s="32">
        <f t="shared" si="95"/>
        <v>130</v>
      </c>
      <c r="E220" s="74">
        <f>MIN(IF(AV220=0,0,
IF(Investment_Strategy="DIS",VLOOKUP(Investment_Strategy&amp;"_"&amp;Investment_Strategy_Sub1&amp;"_"&amp;$A220,'Investment Strategies'!$AZ:$BP,12,FALSE),
IF(AND(Investment_Strategy="Lifecycle",Investment_Strategy_Sub1="Non-Standard"),VLOOKUP(Investment_Strategy&amp;"_"&amp;Investment_Strategy_Sub2&amp;"_"&amp;$A220,'Investment Strategies'!$C:$P,9,FALSE),
IF(AND(Investment_Strategy="Lifecycle",Investment_Strategy_Sub1="Standard"),VLOOKUP(Investment_Strategy&amp;"_"&amp;Investment_Strategy_Sub2&amp;"_"&amp;$A220,'Investment Strategies'!$AJ:$AV,8,FALSE),
IF(AND(Investment_Strategy="Autopilot",Investment_Strategy_Sub1="Non-Standard"),VLOOKUP(Investment_Strategy&amp;"_"&amp;Investment_Strategy_Sub2&amp;"_"&amp;$A220,'Investment Strategies'!$T:$AF,8,FALSE),
IF(Investment_Strategy ="DIY",DIY_RateOfReturn_CurrentFunds,
"Error")))))),Max_InvReturn)</f>
        <v>0</v>
      </c>
      <c r="F220" s="62">
        <f>IF(AV220=0,0,
IF(Investment_Strategy="DIS",VLOOKUP(Investment_Strategy&amp;"_"&amp;Investment_Strategy_Sub1&amp;"_"&amp;$A220,'Investment Strategies'!$AZ:$BP,15,FALSE),
IF(AND(Investment_Strategy="Lifecycle",Investment_Strategy_Sub1="Non-Standard"),VLOOKUP(Investment_Strategy&amp;"_"&amp;Investment_Strategy_Sub2&amp;"_"&amp;$A220,'Investment Strategies'!$C:$P,12,FALSE),
IF(AND(Investment_Strategy="Lifecycle",Investment_Strategy_Sub1="Standard"),VLOOKUP(Investment_Strategy&amp;"_"&amp;Investment_Strategy_Sub2&amp;"_"&amp;$A220,'Investment Strategies'!$AJ:$AV,11,FALSE),
IF(AND(Investment_Strategy="Autopilot",Investment_Strategy_Sub1="Non-Standard"),VLOOKUP(Investment_Strategy&amp;"_"&amp;Investment_Strategy_Sub2&amp;"_"&amp;$A220,'Investment Strategies'!$T:$AF,11,FALSE),
IF(Investment_Strategy="DIY",DIY_GteeChrge_CurrentFunds,
"Error"))))))</f>
        <v>0</v>
      </c>
      <c r="G220" s="33">
        <f>IF(AV220=0,0,
IF(Investment_Strategy="DIS",VLOOKUP(Investment_Strategy&amp;"_"&amp;Investment_Strategy_Sub1&amp;"_"&amp;$A220,'Investment Strategies'!$AZ:$BP,17,FALSE),
IF(AND(Investment_Strategy="Lifecycle",Investment_Strategy_Sub1="Non-Standard"),VLOOKUP(Investment_Strategy&amp;"_"&amp;Investment_Strategy_Sub2&amp;"_"&amp;$A220,'Investment Strategies'!$C:$P,14,FALSE),
IF(AND(Investment_Strategy="Lifecycle",Investment_Strategy_Sub1="Standard"),VLOOKUP(Investment_Strategy&amp;"_"&amp;Investment_Strategy_Sub2&amp;"_"&amp;$A220,'Investment Strategies'!$AJ:$AV,13,FALSE),
IF(AND(Investment_Strategy="Autopilot",Investment_Strategy_Sub1="Non-Standard"),VLOOKUP(Investment_Strategy&amp;"_"&amp;Investment_Strategy_Sub2&amp;"_"&amp;$A220,'Investment Strategies'!$T:$AF,13,FALSE),
IF(Investment_Strategy="DIY",DIY_ExtManChrge_CurrentFunds,
"Error"))))))</f>
        <v>0</v>
      </c>
      <c r="H220" s="16">
        <f t="shared" ref="H220:H283" si="129">IF($AV219=0,0,SUM(H219:J219))</f>
        <v>0</v>
      </c>
      <c r="I220" s="16">
        <f t="shared" si="113"/>
        <v>0</v>
      </c>
      <c r="J220" s="16">
        <f t="shared" si="114"/>
        <v>0</v>
      </c>
      <c r="K220" s="16">
        <f>(Opening_Fund_Value+SUM(K$91:K219))*E220*IF(D220=$A$91,SRP_finalmonthfactor,1)</f>
        <v>0</v>
      </c>
      <c r="L220" s="74">
        <f>MIN(IF($AV220=0,0,
IF(Investment_Strategy="DIS",VLOOKUP(Investment_Strategy&amp;"_"&amp;Investment_Strategy_Sub1&amp;"_"&amp;$A220,'Investment Strategies'!$AZ:$BP,12,FALSE),
IF(AND(Investment_Strategy="Lifecycle",Investment_Strategy_Sub1="Non-Standard"),VLOOKUP(Investment_Strategy&amp;"_"&amp;Investment_Strategy_Sub2&amp;"_"&amp;$A220,'Investment Strategies'!$C:$P,9,FALSE),
IF(AND(Investment_Strategy="Lifecycle",Investment_Strategy_Sub1="Standard"),VLOOKUP(Investment_Strategy&amp;"_"&amp;Investment_Strategy_Sub2&amp;"_"&amp;$A220,'Investment Strategies'!$AJ:$AV,8,FALSE),
IF(AND(Investment_Strategy="Autopilot",Investment_Strategy_Sub1="Non-Standard"),VLOOKUP(Investment_Strategy&amp;"_"&amp;Investment_Strategy_Sub2&amp;"_"&amp;$A220,'Investment Strategies'!$T:$AF,8,FALSE),
IF(Investment_Strategy ="DIY",DIY_RateofReturn_SP,
"Error")))))),Max_InvReturn)</f>
        <v>0</v>
      </c>
      <c r="M220" s="62">
        <f>IF($AV220=0,0,
IF(Investment_Strategy="DIS",VLOOKUP(Investment_Strategy&amp;"_"&amp;Investment_Strategy_Sub1&amp;"_"&amp;$A220,'Investment Strategies'!$AZ:$BP,15,FALSE),
IF(AND(Investment_Strategy="Lifecycle",Investment_Strategy_Sub1="Non-Standard"),VLOOKUP(Investment_Strategy&amp;"_"&amp;Investment_Strategy_Sub2&amp;"_"&amp;$A220,'Investment Strategies'!$C:$P,12,FALSE),
IF(AND(Investment_Strategy="Lifecycle",Investment_Strategy_Sub1="Standard"),VLOOKUP(Investment_Strategy&amp;"_"&amp;Investment_Strategy_Sub2&amp;"_"&amp;$A220,'Investment Strategies'!$AJ:$AV,11,FALSE),
IF(AND(Investment_Strategy="Autopilot",Investment_Strategy_Sub1="Non-Standard"),VLOOKUP(Investment_Strategy&amp;"_"&amp;Investment_Strategy_Sub2&amp;"_"&amp;$A220,'Investment Strategies'!$T:$AF,11,FALSE),
IF(Investment_Strategy="DIY",DIY_GteeChrge_SP,
"Error"))))))</f>
        <v>0</v>
      </c>
      <c r="N220" s="33">
        <f>IF($AV220=0,0,
IF(Investment_Strategy="DIS",VLOOKUP(Investment_Strategy&amp;"_"&amp;Investment_Strategy_Sub1&amp;"_"&amp;$A220,'Investment Strategies'!$AZ:$BP,17,FALSE),
IF(AND(Investment_Strategy="Lifecycle",Investment_Strategy_Sub1="Non-Standard"),VLOOKUP(Investment_Strategy&amp;"_"&amp;Investment_Strategy_Sub2&amp;"_"&amp;$A220,'Investment Strategies'!$C:$P,14,FALSE),
IF(AND(Investment_Strategy="Lifecycle",Investment_Strategy_Sub1="Standard"),VLOOKUP(Investment_Strategy&amp;"_"&amp;Investment_Strategy_Sub2&amp;"_"&amp;$A220,'Investment Strategies'!$AJ:$AV,13,FALSE),
IF(AND(Investment_Strategy="Autopilot",Investment_Strategy_Sub1="Non-Standard"),VLOOKUP(Investment_Strategy&amp;"_"&amp;Investment_Strategy_Sub2&amp;"_"&amp;$A220,'Investment Strategies'!$T:$AF,13,FALSE),
IF(Investment_Strategy="DIY",DIY_ExtManChrge_SP,
"Error"))))))</f>
        <v>0</v>
      </c>
      <c r="O220" s="16">
        <f t="shared" si="96"/>
        <v>0</v>
      </c>
      <c r="Q220" s="16">
        <f t="shared" si="115"/>
        <v>0</v>
      </c>
      <c r="R220" s="16">
        <f t="shared" si="116"/>
        <v>0</v>
      </c>
      <c r="S220" s="16">
        <f>(SRP_SP+SUM(S$91:S219))*L220*IF(D220=$A$91,SRP_finalmonthfactor,1)</f>
        <v>0</v>
      </c>
      <c r="T220" s="74">
        <f>MIN(IF($AV220=0,0,
IF(Investment_Strategy="DIS",VLOOKUP(Investment_Strategy&amp;"_"&amp;Investment_Strategy_Sub1&amp;"_"&amp;$A220,'Investment Strategies'!$AZ:$BP,12,FALSE),
IF(AND(Investment_Strategy="Lifecycle",Investment_Strategy_Sub1="Non-Standard"),VLOOKUP(Investment_Strategy&amp;"_"&amp;Investment_Strategy_Sub2&amp;"_"&amp;$A220,'Investment Strategies'!$C:$P,9,FALSE),
IF(AND(Investment_Strategy="Lifecycle",Investment_Strategy_Sub1="Standard"),VLOOKUP(Investment_Strategy&amp;"_"&amp;Investment_Strategy_Sub2&amp;"_"&amp;$A220,'Investment Strategies'!$AJ:$AV,8,FALSE),
IF(AND(Investment_Strategy="Autopilot",Investment_Strategy_Sub1="Non-Standard"),VLOOKUP(Investment_Strategy&amp;"_"&amp;Investment_Strategy_Sub2&amp;"_"&amp;$A220,'Investment Strategies'!$T:$AF,8,FALSE),
IF(Investment_Strategy ="DIY",DIY_RateOfReturn_FuturePremiums,
"Error")))))),Max_InvReturn)</f>
        <v>0</v>
      </c>
      <c r="U220" s="62">
        <f>IF($AV220=0,0,
IF(Investment_Strategy="DIS",VLOOKUP(Investment_Strategy&amp;"_"&amp;Investment_Strategy_Sub1&amp;"_"&amp;$A220,'Investment Strategies'!$AZ:$BP,15,FALSE),
IF(AND(Investment_Strategy="Lifecycle",Investment_Strategy_Sub1="Non-Standard"),VLOOKUP(Investment_Strategy&amp;"_"&amp;Investment_Strategy_Sub2&amp;"_"&amp;$A220,'Investment Strategies'!$C:$P,12,FALSE),
IF(AND(Investment_Strategy="Lifecycle",Investment_Strategy_Sub1="Standard"),VLOOKUP(Investment_Strategy&amp;"_"&amp;Investment_Strategy_Sub2&amp;"_"&amp;$A220,'Investment Strategies'!$AJ:$AV,11,FALSE),
IF(AND(Investment_Strategy="Autopilot",Investment_Strategy_Sub1="Non-Standard"),VLOOKUP(Investment_Strategy&amp;"_"&amp;Investment_Strategy_Sub2&amp;"_"&amp;$A220,'Investment Strategies'!$T:$AF,11,FALSE),
IF(Investment_Strategy="DIY",DIY_GteeChrge_FuturePremiums,
"Error"))))))</f>
        <v>0</v>
      </c>
      <c r="V220" s="33">
        <f>IF(AV220=0,0,
IF(Investment_Strategy="DIS",VLOOKUP(Investment_Strategy&amp;"_"&amp;Investment_Strategy_Sub1&amp;"_"&amp;$A220,'Investment Strategies'!$AZ:$BP,17,FALSE),
IF(AND(Investment_Strategy="Lifecycle",Investment_Strategy_Sub1="Non-Standard"),VLOOKUP(Investment_Strategy&amp;"_"&amp;Investment_Strategy_Sub2&amp;"_"&amp;$A220,'Investment Strategies'!$C:$P,14,FALSE),
IF(AND(Investment_Strategy="Lifecycle",Investment_Strategy_Sub1="Standard"),VLOOKUP(Investment_Strategy&amp;"_"&amp;Investment_Strategy_Sub2&amp;"_"&amp;$A220,'Investment Strategies'!$AJ:$AV,13,FALSE),
IF(AND(Investment_Strategy="Autopilot",Investment_Strategy_Sub1="Non-Standard"),VLOOKUP(Investment_Strategy&amp;"_"&amp;Investment_Strategy_Sub2&amp;"_"&amp;$A220,'Investment Strategies'!$T:$AF,13,FALSE),
IF(Investment_Strategy="DIY",DIY_ExtManChrge_FuturePremiums,
"Error"))))))</f>
        <v>0</v>
      </c>
      <c r="W220" s="16">
        <f t="shared" si="97"/>
        <v>0</v>
      </c>
      <c r="X220" s="16">
        <f t="shared" si="117"/>
        <v>0</v>
      </c>
      <c r="Y220" s="16">
        <f t="shared" si="118"/>
        <v>0</v>
      </c>
      <c r="Z220" s="31">
        <f t="shared" si="119"/>
        <v>0.02</v>
      </c>
      <c r="AA220" s="16">
        <f t="shared" si="120"/>
        <v>0</v>
      </c>
      <c r="AB220" s="28">
        <f t="shared" si="98"/>
        <v>0</v>
      </c>
      <c r="AC220" s="28">
        <f>(SUM($AC$91:AC219)+SUM($X$91:X219)+X220)*T220*IF(D220=$A$91,SRP_finalmonthfactor,1)</f>
        <v>0</v>
      </c>
      <c r="AD220" s="16">
        <f t="shared" si="121"/>
        <v>0</v>
      </c>
      <c r="AE220" s="106"/>
      <c r="AF220" s="16">
        <f t="shared" ref="AF220:AF283" si="130">H220+O220+W220</f>
        <v>0</v>
      </c>
      <c r="AG220" s="16">
        <f t="shared" ref="AG220:AG283" si="131">SUM($K220,$S220,$AC220)</f>
        <v>0</v>
      </c>
      <c r="AH220" s="16">
        <f t="shared" ref="AH220:AH283" si="132">SUM($J220,$R220,$AA220)</f>
        <v>0</v>
      </c>
      <c r="AJ220" s="13">
        <f t="shared" si="112"/>
        <v>0</v>
      </c>
      <c r="AK220" s="13">
        <f t="shared" si="112"/>
        <v>0</v>
      </c>
      <c r="AL220" s="13">
        <f t="shared" si="112"/>
        <v>0</v>
      </c>
      <c r="AM220" s="13">
        <f t="shared" si="112"/>
        <v>0</v>
      </c>
      <c r="AN220" s="13">
        <f t="shared" si="112"/>
        <v>0</v>
      </c>
      <c r="AO220" s="13">
        <f t="shared" si="112"/>
        <v>1</v>
      </c>
      <c r="AP220" s="13">
        <f t="shared" si="112"/>
        <v>1</v>
      </c>
      <c r="AQ220" s="13">
        <f t="shared" si="112"/>
        <v>1</v>
      </c>
      <c r="AR220" s="13">
        <f t="shared" si="112"/>
        <v>1</v>
      </c>
      <c r="AS220" s="13">
        <f t="shared" si="112"/>
        <v>1</v>
      </c>
      <c r="AT220" s="13">
        <f t="shared" si="112"/>
        <v>1</v>
      </c>
      <c r="AU220" s="13">
        <f t="shared" si="112"/>
        <v>1</v>
      </c>
      <c r="AV220" s="13">
        <f t="shared" si="122"/>
        <v>0</v>
      </c>
      <c r="AW220" s="13">
        <f t="shared" si="123"/>
        <v>1</v>
      </c>
      <c r="AY220" s="17">
        <f t="shared" si="124"/>
        <v>130</v>
      </c>
      <c r="AZ220" s="28">
        <f t="shared" ref="AZ220:AZ283" si="133">X220+P220</f>
        <v>0</v>
      </c>
      <c r="BA220" s="13">
        <f t="shared" si="125"/>
        <v>0</v>
      </c>
      <c r="BB220" s="13">
        <f t="shared" si="126"/>
        <v>0</v>
      </c>
      <c r="BC220" s="28">
        <f t="shared" ref="BC220:BC283" si="134">SUM(AZ220,BA220)</f>
        <v>0</v>
      </c>
      <c r="BD220" s="28">
        <f t="shared" ref="BD220:BD283" si="135">SUM(AZ220,BB220)</f>
        <v>0</v>
      </c>
      <c r="BF220" s="248">
        <f t="shared" ref="BF220:BF283" si="136">IF(ISNUMBER(BF219), (BF219+X220), (P220+X220))*(1+T220)</f>
        <v>993869.29442638322</v>
      </c>
      <c r="BG220" s="36">
        <f t="shared" si="99"/>
        <v>0</v>
      </c>
      <c r="BH220" s="36">
        <f t="shared" si="100"/>
        <v>886295.96185116225</v>
      </c>
      <c r="BI220" s="249">
        <f t="shared" si="101"/>
        <v>0</v>
      </c>
      <c r="BJ220" s="246">
        <f t="shared" si="102"/>
        <v>0</v>
      </c>
      <c r="BK220" s="246">
        <f t="shared" si="127"/>
        <v>7.531116566323881E-4</v>
      </c>
      <c r="BL220" s="246">
        <f t="shared" si="103"/>
        <v>0</v>
      </c>
      <c r="BM220" s="246">
        <f t="shared" si="104"/>
        <v>7.531116566323881E-4</v>
      </c>
      <c r="BN220" s="36">
        <f t="shared" ref="BN220:BN283" si="137">BH220*(1+BI220/2)*(BM220)</f>
        <v>667.4798200963246</v>
      </c>
      <c r="BO220" s="36">
        <f t="shared" si="105"/>
        <v>0</v>
      </c>
      <c r="BP220" s="36">
        <f t="shared" si="106"/>
        <v>885628.48203106597</v>
      </c>
    </row>
    <row r="221" spans="1:68">
      <c r="A221" s="32">
        <f t="shared" ref="A221:A284" si="138">A220-1</f>
        <v>-46</v>
      </c>
      <c r="B221" s="32">
        <f t="shared" si="128"/>
        <v>63</v>
      </c>
      <c r="C221" s="32">
        <f t="shared" ref="C221:C284" si="139">INT((D221-1)/12)+1</f>
        <v>11</v>
      </c>
      <c r="D221" s="32">
        <f t="shared" ref="D221:D284" si="140">D220+1</f>
        <v>131</v>
      </c>
      <c r="E221" s="74">
        <f>MIN(IF(AV221=0,0,
IF(Investment_Strategy="DIS",VLOOKUP(Investment_Strategy&amp;"_"&amp;Investment_Strategy_Sub1&amp;"_"&amp;$A221,'Investment Strategies'!$AZ:$BP,12,FALSE),
IF(AND(Investment_Strategy="Lifecycle",Investment_Strategy_Sub1="Non-Standard"),VLOOKUP(Investment_Strategy&amp;"_"&amp;Investment_Strategy_Sub2&amp;"_"&amp;$A221,'Investment Strategies'!$C:$P,9,FALSE),
IF(AND(Investment_Strategy="Lifecycle",Investment_Strategy_Sub1="Standard"),VLOOKUP(Investment_Strategy&amp;"_"&amp;Investment_Strategy_Sub2&amp;"_"&amp;$A221,'Investment Strategies'!$AJ:$AV,8,FALSE),
IF(AND(Investment_Strategy="Autopilot",Investment_Strategy_Sub1="Non-Standard"),VLOOKUP(Investment_Strategy&amp;"_"&amp;Investment_Strategy_Sub2&amp;"_"&amp;$A221,'Investment Strategies'!$T:$AF,8,FALSE),
IF(Investment_Strategy ="DIY",DIY_RateOfReturn_CurrentFunds,
"Error")))))),Max_InvReturn)</f>
        <v>0</v>
      </c>
      <c r="F221" s="62">
        <f>IF(AV221=0,0,
IF(Investment_Strategy="DIS",VLOOKUP(Investment_Strategy&amp;"_"&amp;Investment_Strategy_Sub1&amp;"_"&amp;$A221,'Investment Strategies'!$AZ:$BP,15,FALSE),
IF(AND(Investment_Strategy="Lifecycle",Investment_Strategy_Sub1="Non-Standard"),VLOOKUP(Investment_Strategy&amp;"_"&amp;Investment_Strategy_Sub2&amp;"_"&amp;$A221,'Investment Strategies'!$C:$P,12,FALSE),
IF(AND(Investment_Strategy="Lifecycle",Investment_Strategy_Sub1="Standard"),VLOOKUP(Investment_Strategy&amp;"_"&amp;Investment_Strategy_Sub2&amp;"_"&amp;$A221,'Investment Strategies'!$AJ:$AV,11,FALSE),
IF(AND(Investment_Strategy="Autopilot",Investment_Strategy_Sub1="Non-Standard"),VLOOKUP(Investment_Strategy&amp;"_"&amp;Investment_Strategy_Sub2&amp;"_"&amp;$A221,'Investment Strategies'!$T:$AF,11,FALSE),
IF(Investment_Strategy="DIY",DIY_GteeChrge_CurrentFunds,
"Error"))))))</f>
        <v>0</v>
      </c>
      <c r="G221" s="33">
        <f>IF(AV221=0,0,
IF(Investment_Strategy="DIS",VLOOKUP(Investment_Strategy&amp;"_"&amp;Investment_Strategy_Sub1&amp;"_"&amp;$A221,'Investment Strategies'!$AZ:$BP,17,FALSE),
IF(AND(Investment_Strategy="Lifecycle",Investment_Strategy_Sub1="Non-Standard"),VLOOKUP(Investment_Strategy&amp;"_"&amp;Investment_Strategy_Sub2&amp;"_"&amp;$A221,'Investment Strategies'!$C:$P,14,FALSE),
IF(AND(Investment_Strategy="Lifecycle",Investment_Strategy_Sub1="Standard"),VLOOKUP(Investment_Strategy&amp;"_"&amp;Investment_Strategy_Sub2&amp;"_"&amp;$A221,'Investment Strategies'!$AJ:$AV,13,FALSE),
IF(AND(Investment_Strategy="Autopilot",Investment_Strategy_Sub1="Non-Standard"),VLOOKUP(Investment_Strategy&amp;"_"&amp;Investment_Strategy_Sub2&amp;"_"&amp;$A221,'Investment Strategies'!$T:$AF,13,FALSE),
IF(Investment_Strategy="DIY",DIY_ExtManChrge_CurrentFunds,
"Error"))))))</f>
        <v>0</v>
      </c>
      <c r="H221" s="16">
        <f t="shared" si="129"/>
        <v>0</v>
      </c>
      <c r="I221" s="16">
        <f t="shared" si="113"/>
        <v>0</v>
      </c>
      <c r="J221" s="16">
        <f t="shared" si="114"/>
        <v>0</v>
      </c>
      <c r="K221" s="16">
        <f>(Opening_Fund_Value+SUM(K$91:K220))*E221*IF(D221=$A$91,SRP_finalmonthfactor,1)</f>
        <v>0</v>
      </c>
      <c r="L221" s="74">
        <f>MIN(IF($AV221=0,0,
IF(Investment_Strategy="DIS",VLOOKUP(Investment_Strategy&amp;"_"&amp;Investment_Strategy_Sub1&amp;"_"&amp;$A221,'Investment Strategies'!$AZ:$BP,12,FALSE),
IF(AND(Investment_Strategy="Lifecycle",Investment_Strategy_Sub1="Non-Standard"),VLOOKUP(Investment_Strategy&amp;"_"&amp;Investment_Strategy_Sub2&amp;"_"&amp;$A221,'Investment Strategies'!$C:$P,9,FALSE),
IF(AND(Investment_Strategy="Lifecycle",Investment_Strategy_Sub1="Standard"),VLOOKUP(Investment_Strategy&amp;"_"&amp;Investment_Strategy_Sub2&amp;"_"&amp;$A221,'Investment Strategies'!$AJ:$AV,8,FALSE),
IF(AND(Investment_Strategy="Autopilot",Investment_Strategy_Sub1="Non-Standard"),VLOOKUP(Investment_Strategy&amp;"_"&amp;Investment_Strategy_Sub2&amp;"_"&amp;$A221,'Investment Strategies'!$T:$AF,8,FALSE),
IF(Investment_Strategy ="DIY",DIY_RateofReturn_SP,
"Error")))))),Max_InvReturn)</f>
        <v>0</v>
      </c>
      <c r="M221" s="62">
        <f>IF($AV221=0,0,
IF(Investment_Strategy="DIS",VLOOKUP(Investment_Strategy&amp;"_"&amp;Investment_Strategy_Sub1&amp;"_"&amp;$A221,'Investment Strategies'!$AZ:$BP,15,FALSE),
IF(AND(Investment_Strategy="Lifecycle",Investment_Strategy_Sub1="Non-Standard"),VLOOKUP(Investment_Strategy&amp;"_"&amp;Investment_Strategy_Sub2&amp;"_"&amp;$A221,'Investment Strategies'!$C:$P,12,FALSE),
IF(AND(Investment_Strategy="Lifecycle",Investment_Strategy_Sub1="Standard"),VLOOKUP(Investment_Strategy&amp;"_"&amp;Investment_Strategy_Sub2&amp;"_"&amp;$A221,'Investment Strategies'!$AJ:$AV,11,FALSE),
IF(AND(Investment_Strategy="Autopilot",Investment_Strategy_Sub1="Non-Standard"),VLOOKUP(Investment_Strategy&amp;"_"&amp;Investment_Strategy_Sub2&amp;"_"&amp;$A221,'Investment Strategies'!$T:$AF,11,FALSE),
IF(Investment_Strategy="DIY",DIY_GteeChrge_SP,
"Error"))))))</f>
        <v>0</v>
      </c>
      <c r="N221" s="33">
        <f>IF($AV221=0,0,
IF(Investment_Strategy="DIS",VLOOKUP(Investment_Strategy&amp;"_"&amp;Investment_Strategy_Sub1&amp;"_"&amp;$A221,'Investment Strategies'!$AZ:$BP,17,FALSE),
IF(AND(Investment_Strategy="Lifecycle",Investment_Strategy_Sub1="Non-Standard"),VLOOKUP(Investment_Strategy&amp;"_"&amp;Investment_Strategy_Sub2&amp;"_"&amp;$A221,'Investment Strategies'!$C:$P,14,FALSE),
IF(AND(Investment_Strategy="Lifecycle",Investment_Strategy_Sub1="Standard"),VLOOKUP(Investment_Strategy&amp;"_"&amp;Investment_Strategy_Sub2&amp;"_"&amp;$A221,'Investment Strategies'!$AJ:$AV,13,FALSE),
IF(AND(Investment_Strategy="Autopilot",Investment_Strategy_Sub1="Non-Standard"),VLOOKUP(Investment_Strategy&amp;"_"&amp;Investment_Strategy_Sub2&amp;"_"&amp;$A221,'Investment Strategies'!$T:$AF,13,FALSE),
IF(Investment_Strategy="DIY",DIY_ExtManChrge_SP,
"Error"))))))</f>
        <v>0</v>
      </c>
      <c r="O221" s="16">
        <f t="shared" ref="O221:O284" si="141">IF($AV220=0,0,SUM(O220:R220))</f>
        <v>0</v>
      </c>
      <c r="Q221" s="16">
        <f t="shared" si="115"/>
        <v>0</v>
      </c>
      <c r="R221" s="16">
        <f t="shared" si="116"/>
        <v>0</v>
      </c>
      <c r="S221" s="16">
        <f>(SRP_SP+SUM(S$91:S220))*L221*IF(D221=$A$91,SRP_finalmonthfactor,1)</f>
        <v>0</v>
      </c>
      <c r="T221" s="74">
        <f>MIN(IF($AV221=0,0,
IF(Investment_Strategy="DIS",VLOOKUP(Investment_Strategy&amp;"_"&amp;Investment_Strategy_Sub1&amp;"_"&amp;$A221,'Investment Strategies'!$AZ:$BP,12,FALSE),
IF(AND(Investment_Strategy="Lifecycle",Investment_Strategy_Sub1="Non-Standard"),VLOOKUP(Investment_Strategy&amp;"_"&amp;Investment_Strategy_Sub2&amp;"_"&amp;$A221,'Investment Strategies'!$C:$P,9,FALSE),
IF(AND(Investment_Strategy="Lifecycle",Investment_Strategy_Sub1="Standard"),VLOOKUP(Investment_Strategy&amp;"_"&amp;Investment_Strategy_Sub2&amp;"_"&amp;$A221,'Investment Strategies'!$AJ:$AV,8,FALSE),
IF(AND(Investment_Strategy="Autopilot",Investment_Strategy_Sub1="Non-Standard"),VLOOKUP(Investment_Strategy&amp;"_"&amp;Investment_Strategy_Sub2&amp;"_"&amp;$A221,'Investment Strategies'!$T:$AF,8,FALSE),
IF(Investment_Strategy ="DIY",DIY_RateOfReturn_FuturePremiums,
"Error")))))),Max_InvReturn)</f>
        <v>0</v>
      </c>
      <c r="U221" s="62">
        <f>IF($AV221=0,0,
IF(Investment_Strategy="DIS",VLOOKUP(Investment_Strategy&amp;"_"&amp;Investment_Strategy_Sub1&amp;"_"&amp;$A221,'Investment Strategies'!$AZ:$BP,15,FALSE),
IF(AND(Investment_Strategy="Lifecycle",Investment_Strategy_Sub1="Non-Standard"),VLOOKUP(Investment_Strategy&amp;"_"&amp;Investment_Strategy_Sub2&amp;"_"&amp;$A221,'Investment Strategies'!$C:$P,12,FALSE),
IF(AND(Investment_Strategy="Lifecycle",Investment_Strategy_Sub1="Standard"),VLOOKUP(Investment_Strategy&amp;"_"&amp;Investment_Strategy_Sub2&amp;"_"&amp;$A221,'Investment Strategies'!$AJ:$AV,11,FALSE),
IF(AND(Investment_Strategy="Autopilot",Investment_Strategy_Sub1="Non-Standard"),VLOOKUP(Investment_Strategy&amp;"_"&amp;Investment_Strategy_Sub2&amp;"_"&amp;$A221,'Investment Strategies'!$T:$AF,11,FALSE),
IF(Investment_Strategy="DIY",DIY_GteeChrge_FuturePremiums,
"Error"))))))</f>
        <v>0</v>
      </c>
      <c r="V221" s="33">
        <f>IF(AV221=0,0,
IF(Investment_Strategy="DIS",VLOOKUP(Investment_Strategy&amp;"_"&amp;Investment_Strategy_Sub1&amp;"_"&amp;$A221,'Investment Strategies'!$AZ:$BP,17,FALSE),
IF(AND(Investment_Strategy="Lifecycle",Investment_Strategy_Sub1="Non-Standard"),VLOOKUP(Investment_Strategy&amp;"_"&amp;Investment_Strategy_Sub2&amp;"_"&amp;$A221,'Investment Strategies'!$C:$P,14,FALSE),
IF(AND(Investment_Strategy="Lifecycle",Investment_Strategy_Sub1="Standard"),VLOOKUP(Investment_Strategy&amp;"_"&amp;Investment_Strategy_Sub2&amp;"_"&amp;$A221,'Investment Strategies'!$AJ:$AV,13,FALSE),
IF(AND(Investment_Strategy="Autopilot",Investment_Strategy_Sub1="Non-Standard"),VLOOKUP(Investment_Strategy&amp;"_"&amp;Investment_Strategy_Sub2&amp;"_"&amp;$A221,'Investment Strategies'!$T:$AF,13,FALSE),
IF(Investment_Strategy="DIY",DIY_ExtManChrge_FuturePremiums,
"Error"))))))</f>
        <v>0</v>
      </c>
      <c r="W221" s="16">
        <f t="shared" ref="W221:W284" si="142">IF($AV220=0,0,SUM(W220:Y220)+AA220)</f>
        <v>0</v>
      </c>
      <c r="X221" s="16">
        <f t="shared" si="117"/>
        <v>0</v>
      </c>
      <c r="Y221" s="16">
        <f t="shared" si="118"/>
        <v>0</v>
      </c>
      <c r="Z221" s="31">
        <f t="shared" si="119"/>
        <v>0.02</v>
      </c>
      <c r="AA221" s="16">
        <f t="shared" si="120"/>
        <v>0</v>
      </c>
      <c r="AB221" s="28">
        <f t="shared" si="98"/>
        <v>0</v>
      </c>
      <c r="AC221" s="28">
        <f>(SUM($AC$91:AC220)+SUM($X$91:X220)+X221)*T221*IF(D221=$A$91,SRP_finalmonthfactor,1)</f>
        <v>0</v>
      </c>
      <c r="AD221" s="16">
        <f t="shared" si="121"/>
        <v>0</v>
      </c>
      <c r="AE221" s="106"/>
      <c r="AF221" s="16">
        <f t="shared" si="130"/>
        <v>0</v>
      </c>
      <c r="AG221" s="16">
        <f t="shared" si="131"/>
        <v>0</v>
      </c>
      <c r="AH221" s="16">
        <f t="shared" si="132"/>
        <v>0</v>
      </c>
      <c r="AJ221" s="13">
        <f t="shared" ref="AJ221:AU230" si="143">IF($C221&lt;=AJ$90,1,0)</f>
        <v>0</v>
      </c>
      <c r="AK221" s="13">
        <f t="shared" si="143"/>
        <v>0</v>
      </c>
      <c r="AL221" s="13">
        <f t="shared" si="143"/>
        <v>0</v>
      </c>
      <c r="AM221" s="13">
        <f t="shared" si="143"/>
        <v>0</v>
      </c>
      <c r="AN221" s="13">
        <f t="shared" si="143"/>
        <v>0</v>
      </c>
      <c r="AO221" s="13">
        <f t="shared" si="143"/>
        <v>1</v>
      </c>
      <c r="AP221" s="13">
        <f t="shared" si="143"/>
        <v>1</v>
      </c>
      <c r="AQ221" s="13">
        <f t="shared" si="143"/>
        <v>1</v>
      </c>
      <c r="AR221" s="13">
        <f t="shared" si="143"/>
        <v>1</v>
      </c>
      <c r="AS221" s="13">
        <f t="shared" si="143"/>
        <v>1</v>
      </c>
      <c r="AT221" s="13">
        <f t="shared" si="143"/>
        <v>1</v>
      </c>
      <c r="AU221" s="13">
        <f t="shared" si="143"/>
        <v>1</v>
      </c>
      <c r="AV221" s="13">
        <f t="shared" si="122"/>
        <v>0</v>
      </c>
      <c r="AW221" s="13">
        <f t="shared" si="123"/>
        <v>1</v>
      </c>
      <c r="AY221" s="17">
        <f t="shared" si="124"/>
        <v>131</v>
      </c>
      <c r="AZ221" s="28">
        <f t="shared" si="133"/>
        <v>0</v>
      </c>
      <c r="BA221" s="13">
        <f t="shared" si="125"/>
        <v>0</v>
      </c>
      <c r="BB221" s="13">
        <f t="shared" si="126"/>
        <v>0</v>
      </c>
      <c r="BC221" s="28">
        <f t="shared" si="134"/>
        <v>0</v>
      </c>
      <c r="BD221" s="28">
        <f t="shared" si="135"/>
        <v>0</v>
      </c>
      <c r="BF221" s="248">
        <f t="shared" si="136"/>
        <v>993869.29442638322</v>
      </c>
      <c r="BG221" s="36">
        <f t="shared" si="99"/>
        <v>0</v>
      </c>
      <c r="BH221" s="36">
        <f t="shared" si="100"/>
        <v>885628.48203106597</v>
      </c>
      <c r="BI221" s="249">
        <f t="shared" si="101"/>
        <v>0</v>
      </c>
      <c r="BJ221" s="246">
        <f t="shared" si="102"/>
        <v>0</v>
      </c>
      <c r="BK221" s="246">
        <f t="shared" si="127"/>
        <v>7.531116566323881E-4</v>
      </c>
      <c r="BL221" s="246">
        <f t="shared" si="103"/>
        <v>0</v>
      </c>
      <c r="BM221" s="246">
        <f t="shared" si="104"/>
        <v>7.531116566323881E-4</v>
      </c>
      <c r="BN221" s="36">
        <f t="shared" si="137"/>
        <v>666.97713326324322</v>
      </c>
      <c r="BO221" s="36">
        <f t="shared" si="105"/>
        <v>0</v>
      </c>
      <c r="BP221" s="36">
        <f t="shared" si="106"/>
        <v>884961.50489780272</v>
      </c>
    </row>
    <row r="222" spans="1:68">
      <c r="A222" s="32">
        <f t="shared" si="138"/>
        <v>-47</v>
      </c>
      <c r="B222" s="32">
        <f t="shared" si="128"/>
        <v>63</v>
      </c>
      <c r="C222" s="32">
        <f t="shared" si="139"/>
        <v>11</v>
      </c>
      <c r="D222" s="32">
        <f t="shared" si="140"/>
        <v>132</v>
      </c>
      <c r="E222" s="74">
        <f>MIN(IF(AV222=0,0,
IF(Investment_Strategy="DIS",VLOOKUP(Investment_Strategy&amp;"_"&amp;Investment_Strategy_Sub1&amp;"_"&amp;$A222,'Investment Strategies'!$AZ:$BP,12,FALSE),
IF(AND(Investment_Strategy="Lifecycle",Investment_Strategy_Sub1="Non-Standard"),VLOOKUP(Investment_Strategy&amp;"_"&amp;Investment_Strategy_Sub2&amp;"_"&amp;$A222,'Investment Strategies'!$C:$P,9,FALSE),
IF(AND(Investment_Strategy="Lifecycle",Investment_Strategy_Sub1="Standard"),VLOOKUP(Investment_Strategy&amp;"_"&amp;Investment_Strategy_Sub2&amp;"_"&amp;$A222,'Investment Strategies'!$AJ:$AV,8,FALSE),
IF(AND(Investment_Strategy="Autopilot",Investment_Strategy_Sub1="Non-Standard"),VLOOKUP(Investment_Strategy&amp;"_"&amp;Investment_Strategy_Sub2&amp;"_"&amp;$A222,'Investment Strategies'!$T:$AF,8,FALSE),
IF(Investment_Strategy ="DIY",DIY_RateOfReturn_CurrentFunds,
"Error")))))),Max_InvReturn)</f>
        <v>0</v>
      </c>
      <c r="F222" s="62">
        <f>IF(AV222=0,0,
IF(Investment_Strategy="DIS",VLOOKUP(Investment_Strategy&amp;"_"&amp;Investment_Strategy_Sub1&amp;"_"&amp;$A222,'Investment Strategies'!$AZ:$BP,15,FALSE),
IF(AND(Investment_Strategy="Lifecycle",Investment_Strategy_Sub1="Non-Standard"),VLOOKUP(Investment_Strategy&amp;"_"&amp;Investment_Strategy_Sub2&amp;"_"&amp;$A222,'Investment Strategies'!$C:$P,12,FALSE),
IF(AND(Investment_Strategy="Lifecycle",Investment_Strategy_Sub1="Standard"),VLOOKUP(Investment_Strategy&amp;"_"&amp;Investment_Strategy_Sub2&amp;"_"&amp;$A222,'Investment Strategies'!$AJ:$AV,11,FALSE),
IF(AND(Investment_Strategy="Autopilot",Investment_Strategy_Sub1="Non-Standard"),VLOOKUP(Investment_Strategy&amp;"_"&amp;Investment_Strategy_Sub2&amp;"_"&amp;$A222,'Investment Strategies'!$T:$AF,11,FALSE),
IF(Investment_Strategy="DIY",DIY_GteeChrge_CurrentFunds,
"Error"))))))</f>
        <v>0</v>
      </c>
      <c r="G222" s="33">
        <f>IF(AV222=0,0,
IF(Investment_Strategy="DIS",VLOOKUP(Investment_Strategy&amp;"_"&amp;Investment_Strategy_Sub1&amp;"_"&amp;$A222,'Investment Strategies'!$AZ:$BP,17,FALSE),
IF(AND(Investment_Strategy="Lifecycle",Investment_Strategy_Sub1="Non-Standard"),VLOOKUP(Investment_Strategy&amp;"_"&amp;Investment_Strategy_Sub2&amp;"_"&amp;$A222,'Investment Strategies'!$C:$P,14,FALSE),
IF(AND(Investment_Strategy="Lifecycle",Investment_Strategy_Sub1="Standard"),VLOOKUP(Investment_Strategy&amp;"_"&amp;Investment_Strategy_Sub2&amp;"_"&amp;$A222,'Investment Strategies'!$AJ:$AV,13,FALSE),
IF(AND(Investment_Strategy="Autopilot",Investment_Strategy_Sub1="Non-Standard"),VLOOKUP(Investment_Strategy&amp;"_"&amp;Investment_Strategy_Sub2&amp;"_"&amp;$A222,'Investment Strategies'!$T:$AF,13,FALSE),
IF(Investment_Strategy="DIY",DIY_ExtManChrge_CurrentFunds,
"Error"))))))</f>
        <v>0</v>
      </c>
      <c r="H222" s="16">
        <f t="shared" si="129"/>
        <v>0</v>
      </c>
      <c r="I222" s="16">
        <f t="shared" si="113"/>
        <v>0</v>
      </c>
      <c r="J222" s="16">
        <f t="shared" si="114"/>
        <v>0</v>
      </c>
      <c r="K222" s="16">
        <f>(Opening_Fund_Value+SUM(K$91:K221))*E222*IF(D222=$A$91,SRP_finalmonthfactor,1)</f>
        <v>0</v>
      </c>
      <c r="L222" s="74">
        <f>MIN(IF($AV222=0,0,
IF(Investment_Strategy="DIS",VLOOKUP(Investment_Strategy&amp;"_"&amp;Investment_Strategy_Sub1&amp;"_"&amp;$A222,'Investment Strategies'!$AZ:$BP,12,FALSE),
IF(AND(Investment_Strategy="Lifecycle",Investment_Strategy_Sub1="Non-Standard"),VLOOKUP(Investment_Strategy&amp;"_"&amp;Investment_Strategy_Sub2&amp;"_"&amp;$A222,'Investment Strategies'!$C:$P,9,FALSE),
IF(AND(Investment_Strategy="Lifecycle",Investment_Strategy_Sub1="Standard"),VLOOKUP(Investment_Strategy&amp;"_"&amp;Investment_Strategy_Sub2&amp;"_"&amp;$A222,'Investment Strategies'!$AJ:$AV,8,FALSE),
IF(AND(Investment_Strategy="Autopilot",Investment_Strategy_Sub1="Non-Standard"),VLOOKUP(Investment_Strategy&amp;"_"&amp;Investment_Strategy_Sub2&amp;"_"&amp;$A222,'Investment Strategies'!$T:$AF,8,FALSE),
IF(Investment_Strategy ="DIY",DIY_RateofReturn_SP,
"Error")))))),Max_InvReturn)</f>
        <v>0</v>
      </c>
      <c r="M222" s="62">
        <f>IF($AV222=0,0,
IF(Investment_Strategy="DIS",VLOOKUP(Investment_Strategy&amp;"_"&amp;Investment_Strategy_Sub1&amp;"_"&amp;$A222,'Investment Strategies'!$AZ:$BP,15,FALSE),
IF(AND(Investment_Strategy="Lifecycle",Investment_Strategy_Sub1="Non-Standard"),VLOOKUP(Investment_Strategy&amp;"_"&amp;Investment_Strategy_Sub2&amp;"_"&amp;$A222,'Investment Strategies'!$C:$P,12,FALSE),
IF(AND(Investment_Strategy="Lifecycle",Investment_Strategy_Sub1="Standard"),VLOOKUP(Investment_Strategy&amp;"_"&amp;Investment_Strategy_Sub2&amp;"_"&amp;$A222,'Investment Strategies'!$AJ:$AV,11,FALSE),
IF(AND(Investment_Strategy="Autopilot",Investment_Strategy_Sub1="Non-Standard"),VLOOKUP(Investment_Strategy&amp;"_"&amp;Investment_Strategy_Sub2&amp;"_"&amp;$A222,'Investment Strategies'!$T:$AF,11,FALSE),
IF(Investment_Strategy="DIY",DIY_GteeChrge_SP,
"Error"))))))</f>
        <v>0</v>
      </c>
      <c r="N222" s="33">
        <f>IF($AV222=0,0,
IF(Investment_Strategy="DIS",VLOOKUP(Investment_Strategy&amp;"_"&amp;Investment_Strategy_Sub1&amp;"_"&amp;$A222,'Investment Strategies'!$AZ:$BP,17,FALSE),
IF(AND(Investment_Strategy="Lifecycle",Investment_Strategy_Sub1="Non-Standard"),VLOOKUP(Investment_Strategy&amp;"_"&amp;Investment_Strategy_Sub2&amp;"_"&amp;$A222,'Investment Strategies'!$C:$P,14,FALSE),
IF(AND(Investment_Strategy="Lifecycle",Investment_Strategy_Sub1="Standard"),VLOOKUP(Investment_Strategy&amp;"_"&amp;Investment_Strategy_Sub2&amp;"_"&amp;$A222,'Investment Strategies'!$AJ:$AV,13,FALSE),
IF(AND(Investment_Strategy="Autopilot",Investment_Strategy_Sub1="Non-Standard"),VLOOKUP(Investment_Strategy&amp;"_"&amp;Investment_Strategy_Sub2&amp;"_"&amp;$A222,'Investment Strategies'!$T:$AF,13,FALSE),
IF(Investment_Strategy="DIY",DIY_ExtManChrge_SP,
"Error"))))))</f>
        <v>0</v>
      </c>
      <c r="O222" s="16">
        <f t="shared" si="141"/>
        <v>0</v>
      </c>
      <c r="Q222" s="16">
        <f t="shared" si="115"/>
        <v>0</v>
      </c>
      <c r="R222" s="16">
        <f t="shared" si="116"/>
        <v>0</v>
      </c>
      <c r="S222" s="16">
        <f>(SRP_SP+SUM(S$91:S221))*L222*IF(D222=$A$91,SRP_finalmonthfactor,1)</f>
        <v>0</v>
      </c>
      <c r="T222" s="74">
        <f>MIN(IF($AV222=0,0,
IF(Investment_Strategy="DIS",VLOOKUP(Investment_Strategy&amp;"_"&amp;Investment_Strategy_Sub1&amp;"_"&amp;$A222,'Investment Strategies'!$AZ:$BP,12,FALSE),
IF(AND(Investment_Strategy="Lifecycle",Investment_Strategy_Sub1="Non-Standard"),VLOOKUP(Investment_Strategy&amp;"_"&amp;Investment_Strategy_Sub2&amp;"_"&amp;$A222,'Investment Strategies'!$C:$P,9,FALSE),
IF(AND(Investment_Strategy="Lifecycle",Investment_Strategy_Sub1="Standard"),VLOOKUP(Investment_Strategy&amp;"_"&amp;Investment_Strategy_Sub2&amp;"_"&amp;$A222,'Investment Strategies'!$AJ:$AV,8,FALSE),
IF(AND(Investment_Strategy="Autopilot",Investment_Strategy_Sub1="Non-Standard"),VLOOKUP(Investment_Strategy&amp;"_"&amp;Investment_Strategy_Sub2&amp;"_"&amp;$A222,'Investment Strategies'!$T:$AF,8,FALSE),
IF(Investment_Strategy ="DIY",DIY_RateOfReturn_FuturePremiums,
"Error")))))),Max_InvReturn)</f>
        <v>0</v>
      </c>
      <c r="U222" s="62">
        <f>IF($AV222=0,0,
IF(Investment_Strategy="DIS",VLOOKUP(Investment_Strategy&amp;"_"&amp;Investment_Strategy_Sub1&amp;"_"&amp;$A222,'Investment Strategies'!$AZ:$BP,15,FALSE),
IF(AND(Investment_Strategy="Lifecycle",Investment_Strategy_Sub1="Non-Standard"),VLOOKUP(Investment_Strategy&amp;"_"&amp;Investment_Strategy_Sub2&amp;"_"&amp;$A222,'Investment Strategies'!$C:$P,12,FALSE),
IF(AND(Investment_Strategy="Lifecycle",Investment_Strategy_Sub1="Standard"),VLOOKUP(Investment_Strategy&amp;"_"&amp;Investment_Strategy_Sub2&amp;"_"&amp;$A222,'Investment Strategies'!$AJ:$AV,11,FALSE),
IF(AND(Investment_Strategy="Autopilot",Investment_Strategy_Sub1="Non-Standard"),VLOOKUP(Investment_Strategy&amp;"_"&amp;Investment_Strategy_Sub2&amp;"_"&amp;$A222,'Investment Strategies'!$T:$AF,11,FALSE),
IF(Investment_Strategy="DIY",DIY_GteeChrge_FuturePremiums,
"Error"))))))</f>
        <v>0</v>
      </c>
      <c r="V222" s="33">
        <f>IF(AV222=0,0,
IF(Investment_Strategy="DIS",VLOOKUP(Investment_Strategy&amp;"_"&amp;Investment_Strategy_Sub1&amp;"_"&amp;$A222,'Investment Strategies'!$AZ:$BP,17,FALSE),
IF(AND(Investment_Strategy="Lifecycle",Investment_Strategy_Sub1="Non-Standard"),VLOOKUP(Investment_Strategy&amp;"_"&amp;Investment_Strategy_Sub2&amp;"_"&amp;$A222,'Investment Strategies'!$C:$P,14,FALSE),
IF(AND(Investment_Strategy="Lifecycle",Investment_Strategy_Sub1="Standard"),VLOOKUP(Investment_Strategy&amp;"_"&amp;Investment_Strategy_Sub2&amp;"_"&amp;$A222,'Investment Strategies'!$AJ:$AV,13,FALSE),
IF(AND(Investment_Strategy="Autopilot",Investment_Strategy_Sub1="Non-Standard"),VLOOKUP(Investment_Strategy&amp;"_"&amp;Investment_Strategy_Sub2&amp;"_"&amp;$A222,'Investment Strategies'!$T:$AF,13,FALSE),
IF(Investment_Strategy="DIY",DIY_ExtManChrge_FuturePremiums,
"Error"))))))</f>
        <v>0</v>
      </c>
      <c r="W222" s="16">
        <f t="shared" si="142"/>
        <v>0</v>
      </c>
      <c r="X222" s="16">
        <f t="shared" si="117"/>
        <v>0</v>
      </c>
      <c r="Y222" s="16">
        <f t="shared" si="118"/>
        <v>0</v>
      </c>
      <c r="Z222" s="31">
        <f t="shared" si="119"/>
        <v>0.02</v>
      </c>
      <c r="AA222" s="16">
        <f t="shared" si="120"/>
        <v>0</v>
      </c>
      <c r="AB222" s="28">
        <f t="shared" ref="AB222:AB285" si="144">IF($AV221=0,0,SUM(K221,S221,AB221:AC221)+X221)</f>
        <v>0</v>
      </c>
      <c r="AC222" s="28">
        <f>(SUM($AC$91:AC221)+SUM($X$91:X221)+X222)*T222*IF(D222=$A$91,SRP_finalmonthfactor,1)</f>
        <v>0</v>
      </c>
      <c r="AD222" s="16">
        <f t="shared" si="121"/>
        <v>0</v>
      </c>
      <c r="AE222" s="106"/>
      <c r="AF222" s="16">
        <f t="shared" si="130"/>
        <v>0</v>
      </c>
      <c r="AG222" s="16">
        <f t="shared" si="131"/>
        <v>0</v>
      </c>
      <c r="AH222" s="16">
        <f t="shared" si="132"/>
        <v>0</v>
      </c>
      <c r="AJ222" s="13">
        <f t="shared" si="143"/>
        <v>0</v>
      </c>
      <c r="AK222" s="13">
        <f t="shared" si="143"/>
        <v>0</v>
      </c>
      <c r="AL222" s="13">
        <f t="shared" si="143"/>
        <v>0</v>
      </c>
      <c r="AM222" s="13">
        <f t="shared" si="143"/>
        <v>0</v>
      </c>
      <c r="AN222" s="13">
        <f t="shared" si="143"/>
        <v>0</v>
      </c>
      <c r="AO222" s="13">
        <f t="shared" si="143"/>
        <v>1</v>
      </c>
      <c r="AP222" s="13">
        <f t="shared" si="143"/>
        <v>1</v>
      </c>
      <c r="AQ222" s="13">
        <f t="shared" si="143"/>
        <v>1</v>
      </c>
      <c r="AR222" s="13">
        <f t="shared" si="143"/>
        <v>1</v>
      </c>
      <c r="AS222" s="13">
        <f t="shared" si="143"/>
        <v>1</v>
      </c>
      <c r="AT222" s="13">
        <f t="shared" si="143"/>
        <v>1</v>
      </c>
      <c r="AU222" s="13">
        <f t="shared" si="143"/>
        <v>1</v>
      </c>
      <c r="AV222" s="13">
        <f t="shared" si="122"/>
        <v>0</v>
      </c>
      <c r="AW222" s="13">
        <f t="shared" si="123"/>
        <v>1</v>
      </c>
      <c r="AY222" s="17">
        <f t="shared" si="124"/>
        <v>132</v>
      </c>
      <c r="AZ222" s="28">
        <f t="shared" si="133"/>
        <v>0</v>
      </c>
      <c r="BA222" s="13">
        <f t="shared" si="125"/>
        <v>0</v>
      </c>
      <c r="BB222" s="13">
        <f t="shared" si="126"/>
        <v>0</v>
      </c>
      <c r="BC222" s="28">
        <f t="shared" si="134"/>
        <v>0</v>
      </c>
      <c r="BD222" s="28">
        <f t="shared" si="135"/>
        <v>0</v>
      </c>
      <c r="BF222" s="248">
        <f t="shared" si="136"/>
        <v>993869.29442638322</v>
      </c>
      <c r="BG222" s="36">
        <f t="shared" si="99"/>
        <v>0</v>
      </c>
      <c r="BH222" s="36">
        <f t="shared" si="100"/>
        <v>884961.50489780272</v>
      </c>
      <c r="BI222" s="249">
        <f t="shared" si="101"/>
        <v>0</v>
      </c>
      <c r="BJ222" s="246">
        <f t="shared" si="102"/>
        <v>0</v>
      </c>
      <c r="BK222" s="246">
        <f t="shared" si="127"/>
        <v>7.531116566323881E-4</v>
      </c>
      <c r="BL222" s="246">
        <f t="shared" si="103"/>
        <v>0</v>
      </c>
      <c r="BM222" s="246">
        <f t="shared" si="104"/>
        <v>7.531116566323881E-4</v>
      </c>
      <c r="BN222" s="36">
        <f t="shared" si="137"/>
        <v>666.47482500947547</v>
      </c>
      <c r="BO222" s="36">
        <f t="shared" si="105"/>
        <v>0</v>
      </c>
      <c r="BP222" s="36">
        <f t="shared" si="106"/>
        <v>884295.03007279325</v>
      </c>
    </row>
    <row r="223" spans="1:68">
      <c r="A223" s="32">
        <f t="shared" si="138"/>
        <v>-48</v>
      </c>
      <c r="B223" s="32">
        <f t="shared" si="128"/>
        <v>64</v>
      </c>
      <c r="C223" s="32">
        <f t="shared" si="139"/>
        <v>12</v>
      </c>
      <c r="D223" s="32">
        <f t="shared" si="140"/>
        <v>133</v>
      </c>
      <c r="E223" s="74">
        <f>MIN(IF(AV223=0,0,
IF(Investment_Strategy="DIS",VLOOKUP(Investment_Strategy&amp;"_"&amp;Investment_Strategy_Sub1&amp;"_"&amp;$A223,'Investment Strategies'!$AZ:$BP,12,FALSE),
IF(AND(Investment_Strategy="Lifecycle",Investment_Strategy_Sub1="Non-Standard"),VLOOKUP(Investment_Strategy&amp;"_"&amp;Investment_Strategy_Sub2&amp;"_"&amp;$A223,'Investment Strategies'!$C:$P,9,FALSE),
IF(AND(Investment_Strategy="Lifecycle",Investment_Strategy_Sub1="Standard"),VLOOKUP(Investment_Strategy&amp;"_"&amp;Investment_Strategy_Sub2&amp;"_"&amp;$A223,'Investment Strategies'!$AJ:$AV,8,FALSE),
IF(AND(Investment_Strategy="Autopilot",Investment_Strategy_Sub1="Non-Standard"),VLOOKUP(Investment_Strategy&amp;"_"&amp;Investment_Strategy_Sub2&amp;"_"&amp;$A223,'Investment Strategies'!$T:$AF,8,FALSE),
IF(Investment_Strategy ="DIY",DIY_RateOfReturn_CurrentFunds,
"Error")))))),Max_InvReturn)</f>
        <v>0</v>
      </c>
      <c r="F223" s="62">
        <f>IF(AV223=0,0,
IF(Investment_Strategy="DIS",VLOOKUP(Investment_Strategy&amp;"_"&amp;Investment_Strategy_Sub1&amp;"_"&amp;$A223,'Investment Strategies'!$AZ:$BP,15,FALSE),
IF(AND(Investment_Strategy="Lifecycle",Investment_Strategy_Sub1="Non-Standard"),VLOOKUP(Investment_Strategy&amp;"_"&amp;Investment_Strategy_Sub2&amp;"_"&amp;$A223,'Investment Strategies'!$C:$P,12,FALSE),
IF(AND(Investment_Strategy="Lifecycle",Investment_Strategy_Sub1="Standard"),VLOOKUP(Investment_Strategy&amp;"_"&amp;Investment_Strategy_Sub2&amp;"_"&amp;$A223,'Investment Strategies'!$AJ:$AV,11,FALSE),
IF(AND(Investment_Strategy="Autopilot",Investment_Strategy_Sub1="Non-Standard"),VLOOKUP(Investment_Strategy&amp;"_"&amp;Investment_Strategy_Sub2&amp;"_"&amp;$A223,'Investment Strategies'!$T:$AF,11,FALSE),
IF(Investment_Strategy="DIY",DIY_GteeChrge_CurrentFunds,
"Error"))))))</f>
        <v>0</v>
      </c>
      <c r="G223" s="33">
        <f>IF(AV223=0,0,
IF(Investment_Strategy="DIS",VLOOKUP(Investment_Strategy&amp;"_"&amp;Investment_Strategy_Sub1&amp;"_"&amp;$A223,'Investment Strategies'!$AZ:$BP,17,FALSE),
IF(AND(Investment_Strategy="Lifecycle",Investment_Strategy_Sub1="Non-Standard"),VLOOKUP(Investment_Strategy&amp;"_"&amp;Investment_Strategy_Sub2&amp;"_"&amp;$A223,'Investment Strategies'!$C:$P,14,FALSE),
IF(AND(Investment_Strategy="Lifecycle",Investment_Strategy_Sub1="Standard"),VLOOKUP(Investment_Strategy&amp;"_"&amp;Investment_Strategy_Sub2&amp;"_"&amp;$A223,'Investment Strategies'!$AJ:$AV,13,FALSE),
IF(AND(Investment_Strategy="Autopilot",Investment_Strategy_Sub1="Non-Standard"),VLOOKUP(Investment_Strategy&amp;"_"&amp;Investment_Strategy_Sub2&amp;"_"&amp;$A223,'Investment Strategies'!$T:$AF,13,FALSE),
IF(Investment_Strategy="DIY",DIY_ExtManChrge_CurrentFunds,
"Error"))))))</f>
        <v>0</v>
      </c>
      <c r="H223" s="16">
        <f t="shared" si="129"/>
        <v>0</v>
      </c>
      <c r="I223" s="16">
        <f t="shared" si="113"/>
        <v>0</v>
      </c>
      <c r="J223" s="16">
        <f t="shared" si="114"/>
        <v>0</v>
      </c>
      <c r="K223" s="16">
        <f>(Opening_Fund_Value+SUM(K$91:K222))*E223*IF(D223=$A$91,SRP_finalmonthfactor,1)</f>
        <v>0</v>
      </c>
      <c r="L223" s="74">
        <f>MIN(IF($AV223=0,0,
IF(Investment_Strategy="DIS",VLOOKUP(Investment_Strategy&amp;"_"&amp;Investment_Strategy_Sub1&amp;"_"&amp;$A223,'Investment Strategies'!$AZ:$BP,12,FALSE),
IF(AND(Investment_Strategy="Lifecycle",Investment_Strategy_Sub1="Non-Standard"),VLOOKUP(Investment_Strategy&amp;"_"&amp;Investment_Strategy_Sub2&amp;"_"&amp;$A223,'Investment Strategies'!$C:$P,9,FALSE),
IF(AND(Investment_Strategy="Lifecycle",Investment_Strategy_Sub1="Standard"),VLOOKUP(Investment_Strategy&amp;"_"&amp;Investment_Strategy_Sub2&amp;"_"&amp;$A223,'Investment Strategies'!$AJ:$AV,8,FALSE),
IF(AND(Investment_Strategy="Autopilot",Investment_Strategy_Sub1="Non-Standard"),VLOOKUP(Investment_Strategy&amp;"_"&amp;Investment_Strategy_Sub2&amp;"_"&amp;$A223,'Investment Strategies'!$T:$AF,8,FALSE),
IF(Investment_Strategy ="DIY",DIY_RateofReturn_SP,
"Error")))))),Max_InvReturn)</f>
        <v>0</v>
      </c>
      <c r="M223" s="62">
        <f>IF($AV223=0,0,
IF(Investment_Strategy="DIS",VLOOKUP(Investment_Strategy&amp;"_"&amp;Investment_Strategy_Sub1&amp;"_"&amp;$A223,'Investment Strategies'!$AZ:$BP,15,FALSE),
IF(AND(Investment_Strategy="Lifecycle",Investment_Strategy_Sub1="Non-Standard"),VLOOKUP(Investment_Strategy&amp;"_"&amp;Investment_Strategy_Sub2&amp;"_"&amp;$A223,'Investment Strategies'!$C:$P,12,FALSE),
IF(AND(Investment_Strategy="Lifecycle",Investment_Strategy_Sub1="Standard"),VLOOKUP(Investment_Strategy&amp;"_"&amp;Investment_Strategy_Sub2&amp;"_"&amp;$A223,'Investment Strategies'!$AJ:$AV,11,FALSE),
IF(AND(Investment_Strategy="Autopilot",Investment_Strategy_Sub1="Non-Standard"),VLOOKUP(Investment_Strategy&amp;"_"&amp;Investment_Strategy_Sub2&amp;"_"&amp;$A223,'Investment Strategies'!$T:$AF,11,FALSE),
IF(Investment_Strategy="DIY",DIY_GteeChrge_SP,
"Error"))))))</f>
        <v>0</v>
      </c>
      <c r="N223" s="33">
        <f>IF($AV223=0,0,
IF(Investment_Strategy="DIS",VLOOKUP(Investment_Strategy&amp;"_"&amp;Investment_Strategy_Sub1&amp;"_"&amp;$A223,'Investment Strategies'!$AZ:$BP,17,FALSE),
IF(AND(Investment_Strategy="Lifecycle",Investment_Strategy_Sub1="Non-Standard"),VLOOKUP(Investment_Strategy&amp;"_"&amp;Investment_Strategy_Sub2&amp;"_"&amp;$A223,'Investment Strategies'!$C:$P,14,FALSE),
IF(AND(Investment_Strategy="Lifecycle",Investment_Strategy_Sub1="Standard"),VLOOKUP(Investment_Strategy&amp;"_"&amp;Investment_Strategy_Sub2&amp;"_"&amp;$A223,'Investment Strategies'!$AJ:$AV,13,FALSE),
IF(AND(Investment_Strategy="Autopilot",Investment_Strategy_Sub1="Non-Standard"),VLOOKUP(Investment_Strategy&amp;"_"&amp;Investment_Strategy_Sub2&amp;"_"&amp;$A223,'Investment Strategies'!$T:$AF,13,FALSE),
IF(Investment_Strategy="DIY",DIY_ExtManChrge_SP,
"Error"))))))</f>
        <v>0</v>
      </c>
      <c r="O223" s="16">
        <f t="shared" si="141"/>
        <v>0</v>
      </c>
      <c r="Q223" s="16">
        <f t="shared" si="115"/>
        <v>0</v>
      </c>
      <c r="R223" s="16">
        <f t="shared" si="116"/>
        <v>0</v>
      </c>
      <c r="S223" s="16">
        <f>(SRP_SP+SUM(S$91:S222))*L223*IF(D223=$A$91,SRP_finalmonthfactor,1)</f>
        <v>0</v>
      </c>
      <c r="T223" s="74">
        <f>MIN(IF($AV223=0,0,
IF(Investment_Strategy="DIS",VLOOKUP(Investment_Strategy&amp;"_"&amp;Investment_Strategy_Sub1&amp;"_"&amp;$A223,'Investment Strategies'!$AZ:$BP,12,FALSE),
IF(AND(Investment_Strategy="Lifecycle",Investment_Strategy_Sub1="Non-Standard"),VLOOKUP(Investment_Strategy&amp;"_"&amp;Investment_Strategy_Sub2&amp;"_"&amp;$A223,'Investment Strategies'!$C:$P,9,FALSE),
IF(AND(Investment_Strategy="Lifecycle",Investment_Strategy_Sub1="Standard"),VLOOKUP(Investment_Strategy&amp;"_"&amp;Investment_Strategy_Sub2&amp;"_"&amp;$A223,'Investment Strategies'!$AJ:$AV,8,FALSE),
IF(AND(Investment_Strategy="Autopilot",Investment_Strategy_Sub1="Non-Standard"),VLOOKUP(Investment_Strategy&amp;"_"&amp;Investment_Strategy_Sub2&amp;"_"&amp;$A223,'Investment Strategies'!$T:$AF,8,FALSE),
IF(Investment_Strategy ="DIY",DIY_RateOfReturn_FuturePremiums,
"Error")))))),Max_InvReturn)</f>
        <v>0</v>
      </c>
      <c r="U223" s="62">
        <f>IF($AV223=0,0,
IF(Investment_Strategy="DIS",VLOOKUP(Investment_Strategy&amp;"_"&amp;Investment_Strategy_Sub1&amp;"_"&amp;$A223,'Investment Strategies'!$AZ:$BP,15,FALSE),
IF(AND(Investment_Strategy="Lifecycle",Investment_Strategy_Sub1="Non-Standard"),VLOOKUP(Investment_Strategy&amp;"_"&amp;Investment_Strategy_Sub2&amp;"_"&amp;$A223,'Investment Strategies'!$C:$P,12,FALSE),
IF(AND(Investment_Strategy="Lifecycle",Investment_Strategy_Sub1="Standard"),VLOOKUP(Investment_Strategy&amp;"_"&amp;Investment_Strategy_Sub2&amp;"_"&amp;$A223,'Investment Strategies'!$AJ:$AV,11,FALSE),
IF(AND(Investment_Strategy="Autopilot",Investment_Strategy_Sub1="Non-Standard"),VLOOKUP(Investment_Strategy&amp;"_"&amp;Investment_Strategy_Sub2&amp;"_"&amp;$A223,'Investment Strategies'!$T:$AF,11,FALSE),
IF(Investment_Strategy="DIY",DIY_GteeChrge_FuturePremiums,
"Error"))))))</f>
        <v>0</v>
      </c>
      <c r="V223" s="33">
        <f>IF(AV223=0,0,
IF(Investment_Strategy="DIS",VLOOKUP(Investment_Strategy&amp;"_"&amp;Investment_Strategy_Sub1&amp;"_"&amp;$A223,'Investment Strategies'!$AZ:$BP,17,FALSE),
IF(AND(Investment_Strategy="Lifecycle",Investment_Strategy_Sub1="Non-Standard"),VLOOKUP(Investment_Strategy&amp;"_"&amp;Investment_Strategy_Sub2&amp;"_"&amp;$A223,'Investment Strategies'!$C:$P,14,FALSE),
IF(AND(Investment_Strategy="Lifecycle",Investment_Strategy_Sub1="Standard"),VLOOKUP(Investment_Strategy&amp;"_"&amp;Investment_Strategy_Sub2&amp;"_"&amp;$A223,'Investment Strategies'!$AJ:$AV,13,FALSE),
IF(AND(Investment_Strategy="Autopilot",Investment_Strategy_Sub1="Non-Standard"),VLOOKUP(Investment_Strategy&amp;"_"&amp;Investment_Strategy_Sub2&amp;"_"&amp;$A223,'Investment Strategies'!$T:$AF,13,FALSE),
IF(Investment_Strategy="DIY",DIY_ExtManChrge_FuturePremiums,
"Error"))))))</f>
        <v>0</v>
      </c>
      <c r="W223" s="16">
        <f t="shared" si="142"/>
        <v>0</v>
      </c>
      <c r="X223" s="16">
        <f t="shared" si="117"/>
        <v>0</v>
      </c>
      <c r="Y223" s="16">
        <f t="shared" si="118"/>
        <v>0</v>
      </c>
      <c r="Z223" s="31">
        <f t="shared" si="119"/>
        <v>0.02</v>
      </c>
      <c r="AA223" s="16">
        <f t="shared" si="120"/>
        <v>0</v>
      </c>
      <c r="AB223" s="28">
        <f t="shared" si="144"/>
        <v>0</v>
      </c>
      <c r="AC223" s="28">
        <f>(SUM($AC$91:AC222)+SUM($X$91:X222)+X223)*T223*IF(D223=$A$91,SRP_finalmonthfactor,1)</f>
        <v>0</v>
      </c>
      <c r="AD223" s="16">
        <f t="shared" si="121"/>
        <v>0</v>
      </c>
      <c r="AE223" s="106"/>
      <c r="AF223" s="16">
        <f t="shared" si="130"/>
        <v>0</v>
      </c>
      <c r="AG223" s="16">
        <f t="shared" si="131"/>
        <v>0</v>
      </c>
      <c r="AH223" s="16">
        <f t="shared" si="132"/>
        <v>0</v>
      </c>
      <c r="AJ223" s="13">
        <f t="shared" si="143"/>
        <v>0</v>
      </c>
      <c r="AK223" s="13">
        <f t="shared" si="143"/>
        <v>0</v>
      </c>
      <c r="AL223" s="13">
        <f t="shared" si="143"/>
        <v>0</v>
      </c>
      <c r="AM223" s="13">
        <f t="shared" si="143"/>
        <v>0</v>
      </c>
      <c r="AN223" s="13">
        <f t="shared" si="143"/>
        <v>0</v>
      </c>
      <c r="AO223" s="13">
        <f t="shared" si="143"/>
        <v>1</v>
      </c>
      <c r="AP223" s="13">
        <f t="shared" si="143"/>
        <v>1</v>
      </c>
      <c r="AQ223" s="13">
        <f t="shared" si="143"/>
        <v>1</v>
      </c>
      <c r="AR223" s="13">
        <f t="shared" si="143"/>
        <v>1</v>
      </c>
      <c r="AS223" s="13">
        <f t="shared" si="143"/>
        <v>1</v>
      </c>
      <c r="AT223" s="13">
        <f t="shared" si="143"/>
        <v>1</v>
      </c>
      <c r="AU223" s="13">
        <f t="shared" si="143"/>
        <v>1</v>
      </c>
      <c r="AV223" s="13">
        <f t="shared" si="122"/>
        <v>0</v>
      </c>
      <c r="AW223" s="13">
        <f t="shared" si="123"/>
        <v>1</v>
      </c>
      <c r="AY223" s="17">
        <f t="shared" si="124"/>
        <v>133</v>
      </c>
      <c r="AZ223" s="28">
        <f t="shared" si="133"/>
        <v>0</v>
      </c>
      <c r="BA223" s="13">
        <f t="shared" si="125"/>
        <v>0</v>
      </c>
      <c r="BB223" s="13">
        <f t="shared" si="126"/>
        <v>0</v>
      </c>
      <c r="BC223" s="28">
        <f t="shared" si="134"/>
        <v>0</v>
      </c>
      <c r="BD223" s="28">
        <f t="shared" si="135"/>
        <v>0</v>
      </c>
      <c r="BF223" s="248">
        <f t="shared" si="136"/>
        <v>993869.29442638322</v>
      </c>
      <c r="BG223" s="36">
        <f t="shared" si="99"/>
        <v>0</v>
      </c>
      <c r="BH223" s="36">
        <f t="shared" si="100"/>
        <v>884295.03007279325</v>
      </c>
      <c r="BI223" s="249">
        <f t="shared" si="101"/>
        <v>0</v>
      </c>
      <c r="BJ223" s="246">
        <f t="shared" si="102"/>
        <v>0</v>
      </c>
      <c r="BK223" s="246">
        <f t="shared" si="127"/>
        <v>7.531116566323881E-4</v>
      </c>
      <c r="BL223" s="246">
        <f t="shared" si="103"/>
        <v>0</v>
      </c>
      <c r="BM223" s="246">
        <f t="shared" si="104"/>
        <v>7.531116566323881E-4</v>
      </c>
      <c r="BN223" s="36">
        <f t="shared" si="137"/>
        <v>665.97289504990874</v>
      </c>
      <c r="BO223" s="36">
        <f t="shared" si="105"/>
        <v>0</v>
      </c>
      <c r="BP223" s="36">
        <f t="shared" si="106"/>
        <v>883629.05717774329</v>
      </c>
    </row>
    <row r="224" spans="1:68">
      <c r="A224" s="32">
        <f t="shared" si="138"/>
        <v>-49</v>
      </c>
      <c r="B224" s="32">
        <f t="shared" si="128"/>
        <v>64</v>
      </c>
      <c r="C224" s="32">
        <f t="shared" si="139"/>
        <v>12</v>
      </c>
      <c r="D224" s="32">
        <f t="shared" si="140"/>
        <v>134</v>
      </c>
      <c r="E224" s="74">
        <f>MIN(IF(AV224=0,0,
IF(Investment_Strategy="DIS",VLOOKUP(Investment_Strategy&amp;"_"&amp;Investment_Strategy_Sub1&amp;"_"&amp;$A224,'Investment Strategies'!$AZ:$BP,12,FALSE),
IF(AND(Investment_Strategy="Lifecycle",Investment_Strategy_Sub1="Non-Standard"),VLOOKUP(Investment_Strategy&amp;"_"&amp;Investment_Strategy_Sub2&amp;"_"&amp;$A224,'Investment Strategies'!$C:$P,9,FALSE),
IF(AND(Investment_Strategy="Lifecycle",Investment_Strategy_Sub1="Standard"),VLOOKUP(Investment_Strategy&amp;"_"&amp;Investment_Strategy_Sub2&amp;"_"&amp;$A224,'Investment Strategies'!$AJ:$AV,8,FALSE),
IF(AND(Investment_Strategy="Autopilot",Investment_Strategy_Sub1="Non-Standard"),VLOOKUP(Investment_Strategy&amp;"_"&amp;Investment_Strategy_Sub2&amp;"_"&amp;$A224,'Investment Strategies'!$T:$AF,8,FALSE),
IF(Investment_Strategy ="DIY",DIY_RateOfReturn_CurrentFunds,
"Error")))))),Max_InvReturn)</f>
        <v>0</v>
      </c>
      <c r="F224" s="62">
        <f>IF(AV224=0,0,
IF(Investment_Strategy="DIS",VLOOKUP(Investment_Strategy&amp;"_"&amp;Investment_Strategy_Sub1&amp;"_"&amp;$A224,'Investment Strategies'!$AZ:$BP,15,FALSE),
IF(AND(Investment_Strategy="Lifecycle",Investment_Strategy_Sub1="Non-Standard"),VLOOKUP(Investment_Strategy&amp;"_"&amp;Investment_Strategy_Sub2&amp;"_"&amp;$A224,'Investment Strategies'!$C:$P,12,FALSE),
IF(AND(Investment_Strategy="Lifecycle",Investment_Strategy_Sub1="Standard"),VLOOKUP(Investment_Strategy&amp;"_"&amp;Investment_Strategy_Sub2&amp;"_"&amp;$A224,'Investment Strategies'!$AJ:$AV,11,FALSE),
IF(AND(Investment_Strategy="Autopilot",Investment_Strategy_Sub1="Non-Standard"),VLOOKUP(Investment_Strategy&amp;"_"&amp;Investment_Strategy_Sub2&amp;"_"&amp;$A224,'Investment Strategies'!$T:$AF,11,FALSE),
IF(Investment_Strategy="DIY",DIY_GteeChrge_CurrentFunds,
"Error"))))))</f>
        <v>0</v>
      </c>
      <c r="G224" s="33">
        <f>IF(AV224=0,0,
IF(Investment_Strategy="DIS",VLOOKUP(Investment_Strategy&amp;"_"&amp;Investment_Strategy_Sub1&amp;"_"&amp;$A224,'Investment Strategies'!$AZ:$BP,17,FALSE),
IF(AND(Investment_Strategy="Lifecycle",Investment_Strategy_Sub1="Non-Standard"),VLOOKUP(Investment_Strategy&amp;"_"&amp;Investment_Strategy_Sub2&amp;"_"&amp;$A224,'Investment Strategies'!$C:$P,14,FALSE),
IF(AND(Investment_Strategy="Lifecycle",Investment_Strategy_Sub1="Standard"),VLOOKUP(Investment_Strategy&amp;"_"&amp;Investment_Strategy_Sub2&amp;"_"&amp;$A224,'Investment Strategies'!$AJ:$AV,13,FALSE),
IF(AND(Investment_Strategy="Autopilot",Investment_Strategy_Sub1="Non-Standard"),VLOOKUP(Investment_Strategy&amp;"_"&amp;Investment_Strategy_Sub2&amp;"_"&amp;$A224,'Investment Strategies'!$T:$AF,13,FALSE),
IF(Investment_Strategy="DIY",DIY_ExtManChrge_CurrentFunds,
"Error"))))))</f>
        <v>0</v>
      </c>
      <c r="H224" s="16">
        <f t="shared" si="129"/>
        <v>0</v>
      </c>
      <c r="I224" s="16">
        <f t="shared" si="113"/>
        <v>0</v>
      </c>
      <c r="J224" s="16">
        <f t="shared" si="114"/>
        <v>0</v>
      </c>
      <c r="K224" s="16">
        <f>(Opening_Fund_Value+SUM(K$91:K223))*E224*IF(D224=$A$91,SRP_finalmonthfactor,1)</f>
        <v>0</v>
      </c>
      <c r="L224" s="74">
        <f>MIN(IF($AV224=0,0,
IF(Investment_Strategy="DIS",VLOOKUP(Investment_Strategy&amp;"_"&amp;Investment_Strategy_Sub1&amp;"_"&amp;$A224,'Investment Strategies'!$AZ:$BP,12,FALSE),
IF(AND(Investment_Strategy="Lifecycle",Investment_Strategy_Sub1="Non-Standard"),VLOOKUP(Investment_Strategy&amp;"_"&amp;Investment_Strategy_Sub2&amp;"_"&amp;$A224,'Investment Strategies'!$C:$P,9,FALSE),
IF(AND(Investment_Strategy="Lifecycle",Investment_Strategy_Sub1="Standard"),VLOOKUP(Investment_Strategy&amp;"_"&amp;Investment_Strategy_Sub2&amp;"_"&amp;$A224,'Investment Strategies'!$AJ:$AV,8,FALSE),
IF(AND(Investment_Strategy="Autopilot",Investment_Strategy_Sub1="Non-Standard"),VLOOKUP(Investment_Strategy&amp;"_"&amp;Investment_Strategy_Sub2&amp;"_"&amp;$A224,'Investment Strategies'!$T:$AF,8,FALSE),
IF(Investment_Strategy ="DIY",DIY_RateofReturn_SP,
"Error")))))),Max_InvReturn)</f>
        <v>0</v>
      </c>
      <c r="M224" s="62">
        <f>IF($AV224=0,0,
IF(Investment_Strategy="DIS",VLOOKUP(Investment_Strategy&amp;"_"&amp;Investment_Strategy_Sub1&amp;"_"&amp;$A224,'Investment Strategies'!$AZ:$BP,15,FALSE),
IF(AND(Investment_Strategy="Lifecycle",Investment_Strategy_Sub1="Non-Standard"),VLOOKUP(Investment_Strategy&amp;"_"&amp;Investment_Strategy_Sub2&amp;"_"&amp;$A224,'Investment Strategies'!$C:$P,12,FALSE),
IF(AND(Investment_Strategy="Lifecycle",Investment_Strategy_Sub1="Standard"),VLOOKUP(Investment_Strategy&amp;"_"&amp;Investment_Strategy_Sub2&amp;"_"&amp;$A224,'Investment Strategies'!$AJ:$AV,11,FALSE),
IF(AND(Investment_Strategy="Autopilot",Investment_Strategy_Sub1="Non-Standard"),VLOOKUP(Investment_Strategy&amp;"_"&amp;Investment_Strategy_Sub2&amp;"_"&amp;$A224,'Investment Strategies'!$T:$AF,11,FALSE),
IF(Investment_Strategy="DIY",DIY_GteeChrge_SP,
"Error"))))))</f>
        <v>0</v>
      </c>
      <c r="N224" s="33">
        <f>IF($AV224=0,0,
IF(Investment_Strategy="DIS",VLOOKUP(Investment_Strategy&amp;"_"&amp;Investment_Strategy_Sub1&amp;"_"&amp;$A224,'Investment Strategies'!$AZ:$BP,17,FALSE),
IF(AND(Investment_Strategy="Lifecycle",Investment_Strategy_Sub1="Non-Standard"),VLOOKUP(Investment_Strategy&amp;"_"&amp;Investment_Strategy_Sub2&amp;"_"&amp;$A224,'Investment Strategies'!$C:$P,14,FALSE),
IF(AND(Investment_Strategy="Lifecycle",Investment_Strategy_Sub1="Standard"),VLOOKUP(Investment_Strategy&amp;"_"&amp;Investment_Strategy_Sub2&amp;"_"&amp;$A224,'Investment Strategies'!$AJ:$AV,13,FALSE),
IF(AND(Investment_Strategy="Autopilot",Investment_Strategy_Sub1="Non-Standard"),VLOOKUP(Investment_Strategy&amp;"_"&amp;Investment_Strategy_Sub2&amp;"_"&amp;$A224,'Investment Strategies'!$T:$AF,13,FALSE),
IF(Investment_Strategy="DIY",DIY_ExtManChrge_SP,
"Error"))))))</f>
        <v>0</v>
      </c>
      <c r="O224" s="16">
        <f t="shared" si="141"/>
        <v>0</v>
      </c>
      <c r="Q224" s="16">
        <f t="shared" si="115"/>
        <v>0</v>
      </c>
      <c r="R224" s="16">
        <f t="shared" si="116"/>
        <v>0</v>
      </c>
      <c r="S224" s="16">
        <f>(SRP_SP+SUM(S$91:S223))*L224*IF(D224=$A$91,SRP_finalmonthfactor,1)</f>
        <v>0</v>
      </c>
      <c r="T224" s="74">
        <f>MIN(IF($AV224=0,0,
IF(Investment_Strategy="DIS",VLOOKUP(Investment_Strategy&amp;"_"&amp;Investment_Strategy_Sub1&amp;"_"&amp;$A224,'Investment Strategies'!$AZ:$BP,12,FALSE),
IF(AND(Investment_Strategy="Lifecycle",Investment_Strategy_Sub1="Non-Standard"),VLOOKUP(Investment_Strategy&amp;"_"&amp;Investment_Strategy_Sub2&amp;"_"&amp;$A224,'Investment Strategies'!$C:$P,9,FALSE),
IF(AND(Investment_Strategy="Lifecycle",Investment_Strategy_Sub1="Standard"),VLOOKUP(Investment_Strategy&amp;"_"&amp;Investment_Strategy_Sub2&amp;"_"&amp;$A224,'Investment Strategies'!$AJ:$AV,8,FALSE),
IF(AND(Investment_Strategy="Autopilot",Investment_Strategy_Sub1="Non-Standard"),VLOOKUP(Investment_Strategy&amp;"_"&amp;Investment_Strategy_Sub2&amp;"_"&amp;$A224,'Investment Strategies'!$T:$AF,8,FALSE),
IF(Investment_Strategy ="DIY",DIY_RateOfReturn_FuturePremiums,
"Error")))))),Max_InvReturn)</f>
        <v>0</v>
      </c>
      <c r="U224" s="62">
        <f>IF($AV224=0,0,
IF(Investment_Strategy="DIS",VLOOKUP(Investment_Strategy&amp;"_"&amp;Investment_Strategy_Sub1&amp;"_"&amp;$A224,'Investment Strategies'!$AZ:$BP,15,FALSE),
IF(AND(Investment_Strategy="Lifecycle",Investment_Strategy_Sub1="Non-Standard"),VLOOKUP(Investment_Strategy&amp;"_"&amp;Investment_Strategy_Sub2&amp;"_"&amp;$A224,'Investment Strategies'!$C:$P,12,FALSE),
IF(AND(Investment_Strategy="Lifecycle",Investment_Strategy_Sub1="Standard"),VLOOKUP(Investment_Strategy&amp;"_"&amp;Investment_Strategy_Sub2&amp;"_"&amp;$A224,'Investment Strategies'!$AJ:$AV,11,FALSE),
IF(AND(Investment_Strategy="Autopilot",Investment_Strategy_Sub1="Non-Standard"),VLOOKUP(Investment_Strategy&amp;"_"&amp;Investment_Strategy_Sub2&amp;"_"&amp;$A224,'Investment Strategies'!$T:$AF,11,FALSE),
IF(Investment_Strategy="DIY",DIY_GteeChrge_FuturePremiums,
"Error"))))))</f>
        <v>0</v>
      </c>
      <c r="V224" s="33">
        <f>IF(AV224=0,0,
IF(Investment_Strategy="DIS",VLOOKUP(Investment_Strategy&amp;"_"&amp;Investment_Strategy_Sub1&amp;"_"&amp;$A224,'Investment Strategies'!$AZ:$BP,17,FALSE),
IF(AND(Investment_Strategy="Lifecycle",Investment_Strategy_Sub1="Non-Standard"),VLOOKUP(Investment_Strategy&amp;"_"&amp;Investment_Strategy_Sub2&amp;"_"&amp;$A224,'Investment Strategies'!$C:$P,14,FALSE),
IF(AND(Investment_Strategy="Lifecycle",Investment_Strategy_Sub1="Standard"),VLOOKUP(Investment_Strategy&amp;"_"&amp;Investment_Strategy_Sub2&amp;"_"&amp;$A224,'Investment Strategies'!$AJ:$AV,13,FALSE),
IF(AND(Investment_Strategy="Autopilot",Investment_Strategy_Sub1="Non-Standard"),VLOOKUP(Investment_Strategy&amp;"_"&amp;Investment_Strategy_Sub2&amp;"_"&amp;$A224,'Investment Strategies'!$T:$AF,13,FALSE),
IF(Investment_Strategy="DIY",DIY_ExtManChrge_FuturePremiums,
"Error"))))))</f>
        <v>0</v>
      </c>
      <c r="W224" s="16">
        <f t="shared" si="142"/>
        <v>0</v>
      </c>
      <c r="X224" s="16">
        <f t="shared" si="117"/>
        <v>0</v>
      </c>
      <c r="Y224" s="16">
        <f t="shared" si="118"/>
        <v>0</v>
      </c>
      <c r="Z224" s="31">
        <f t="shared" si="119"/>
        <v>0.02</v>
      </c>
      <c r="AA224" s="16">
        <f t="shared" si="120"/>
        <v>0</v>
      </c>
      <c r="AB224" s="28">
        <f t="shared" si="144"/>
        <v>0</v>
      </c>
      <c r="AC224" s="28">
        <f>(SUM($AC$91:AC223)+SUM($X$91:X223)+X224)*T224*IF(D224=$A$91,SRP_finalmonthfactor,1)</f>
        <v>0</v>
      </c>
      <c r="AD224" s="16">
        <f t="shared" si="121"/>
        <v>0</v>
      </c>
      <c r="AE224" s="106"/>
      <c r="AF224" s="16">
        <f t="shared" si="130"/>
        <v>0</v>
      </c>
      <c r="AG224" s="16">
        <f t="shared" si="131"/>
        <v>0</v>
      </c>
      <c r="AH224" s="16">
        <f t="shared" si="132"/>
        <v>0</v>
      </c>
      <c r="AJ224" s="13">
        <f t="shared" si="143"/>
        <v>0</v>
      </c>
      <c r="AK224" s="13">
        <f t="shared" si="143"/>
        <v>0</v>
      </c>
      <c r="AL224" s="13">
        <f t="shared" si="143"/>
        <v>0</v>
      </c>
      <c r="AM224" s="13">
        <f t="shared" si="143"/>
        <v>0</v>
      </c>
      <c r="AN224" s="13">
        <f t="shared" si="143"/>
        <v>0</v>
      </c>
      <c r="AO224" s="13">
        <f t="shared" si="143"/>
        <v>1</v>
      </c>
      <c r="AP224" s="13">
        <f t="shared" si="143"/>
        <v>1</v>
      </c>
      <c r="AQ224" s="13">
        <f t="shared" si="143"/>
        <v>1</v>
      </c>
      <c r="AR224" s="13">
        <f t="shared" si="143"/>
        <v>1</v>
      </c>
      <c r="AS224" s="13">
        <f t="shared" si="143"/>
        <v>1</v>
      </c>
      <c r="AT224" s="13">
        <f t="shared" si="143"/>
        <v>1</v>
      </c>
      <c r="AU224" s="13">
        <f t="shared" si="143"/>
        <v>1</v>
      </c>
      <c r="AV224" s="13">
        <f t="shared" si="122"/>
        <v>0</v>
      </c>
      <c r="AW224" s="13">
        <f t="shared" si="123"/>
        <v>1</v>
      </c>
      <c r="AY224" s="17">
        <f t="shared" si="124"/>
        <v>134</v>
      </c>
      <c r="AZ224" s="28">
        <f t="shared" si="133"/>
        <v>0</v>
      </c>
      <c r="BA224" s="13">
        <f t="shared" si="125"/>
        <v>0</v>
      </c>
      <c r="BB224" s="13">
        <f t="shared" si="126"/>
        <v>0</v>
      </c>
      <c r="BC224" s="28">
        <f t="shared" si="134"/>
        <v>0</v>
      </c>
      <c r="BD224" s="28">
        <f t="shared" si="135"/>
        <v>0</v>
      </c>
      <c r="BF224" s="248">
        <f t="shared" si="136"/>
        <v>993869.29442638322</v>
      </c>
      <c r="BG224" s="36">
        <f t="shared" ref="BG224:BG287" si="145">P224+X224</f>
        <v>0</v>
      </c>
      <c r="BH224" s="36">
        <f t="shared" ref="BH224:BH287" si="146">IF(ISNUMBER(BH223), BG224+BP223, BG224)</f>
        <v>883629.05717774329</v>
      </c>
      <c r="BI224" s="249">
        <f t="shared" ref="BI224:BI287" si="147">E224</f>
        <v>0</v>
      </c>
      <c r="BJ224" s="246">
        <f t="shared" ref="BJ224:BJ287" si="148">N224</f>
        <v>0</v>
      </c>
      <c r="BK224" s="246">
        <f t="shared" si="127"/>
        <v>7.531116566323881E-4</v>
      </c>
      <c r="BL224" s="246">
        <f t="shared" ref="BL224:BL287" si="149">U224</f>
        <v>0</v>
      </c>
      <c r="BM224" s="246">
        <f t="shared" ref="BM224:BM287" si="150">BJ224+BK224+BL224</f>
        <v>7.531116566323881E-4</v>
      </c>
      <c r="BN224" s="36">
        <f t="shared" si="137"/>
        <v>665.47134309964542</v>
      </c>
      <c r="BO224" s="36">
        <f t="shared" ref="BO224:BO287" si="151">BH224*BI224</f>
        <v>0</v>
      </c>
      <c r="BP224" s="36">
        <f t="shared" ref="BP224:BP287" si="152">BH224+BO224-BN224</f>
        <v>882963.58583464369</v>
      </c>
    </row>
    <row r="225" spans="1:68">
      <c r="A225" s="32">
        <f t="shared" si="138"/>
        <v>-50</v>
      </c>
      <c r="B225" s="32">
        <f t="shared" si="128"/>
        <v>64</v>
      </c>
      <c r="C225" s="32">
        <f t="shared" si="139"/>
        <v>12</v>
      </c>
      <c r="D225" s="32">
        <f t="shared" si="140"/>
        <v>135</v>
      </c>
      <c r="E225" s="74">
        <f>MIN(IF(AV225=0,0,
IF(Investment_Strategy="DIS",VLOOKUP(Investment_Strategy&amp;"_"&amp;Investment_Strategy_Sub1&amp;"_"&amp;$A225,'Investment Strategies'!$AZ:$BP,12,FALSE),
IF(AND(Investment_Strategy="Lifecycle",Investment_Strategy_Sub1="Non-Standard"),VLOOKUP(Investment_Strategy&amp;"_"&amp;Investment_Strategy_Sub2&amp;"_"&amp;$A225,'Investment Strategies'!$C:$P,9,FALSE),
IF(AND(Investment_Strategy="Lifecycle",Investment_Strategy_Sub1="Standard"),VLOOKUP(Investment_Strategy&amp;"_"&amp;Investment_Strategy_Sub2&amp;"_"&amp;$A225,'Investment Strategies'!$AJ:$AV,8,FALSE),
IF(AND(Investment_Strategy="Autopilot",Investment_Strategy_Sub1="Non-Standard"),VLOOKUP(Investment_Strategy&amp;"_"&amp;Investment_Strategy_Sub2&amp;"_"&amp;$A225,'Investment Strategies'!$T:$AF,8,FALSE),
IF(Investment_Strategy ="DIY",DIY_RateOfReturn_CurrentFunds,
"Error")))))),Max_InvReturn)</f>
        <v>0</v>
      </c>
      <c r="F225" s="62">
        <f>IF(AV225=0,0,
IF(Investment_Strategy="DIS",VLOOKUP(Investment_Strategy&amp;"_"&amp;Investment_Strategy_Sub1&amp;"_"&amp;$A225,'Investment Strategies'!$AZ:$BP,15,FALSE),
IF(AND(Investment_Strategy="Lifecycle",Investment_Strategy_Sub1="Non-Standard"),VLOOKUP(Investment_Strategy&amp;"_"&amp;Investment_Strategy_Sub2&amp;"_"&amp;$A225,'Investment Strategies'!$C:$P,12,FALSE),
IF(AND(Investment_Strategy="Lifecycle",Investment_Strategy_Sub1="Standard"),VLOOKUP(Investment_Strategy&amp;"_"&amp;Investment_Strategy_Sub2&amp;"_"&amp;$A225,'Investment Strategies'!$AJ:$AV,11,FALSE),
IF(AND(Investment_Strategy="Autopilot",Investment_Strategy_Sub1="Non-Standard"),VLOOKUP(Investment_Strategy&amp;"_"&amp;Investment_Strategy_Sub2&amp;"_"&amp;$A225,'Investment Strategies'!$T:$AF,11,FALSE),
IF(Investment_Strategy="DIY",DIY_GteeChrge_CurrentFunds,
"Error"))))))</f>
        <v>0</v>
      </c>
      <c r="G225" s="33">
        <f>IF(AV225=0,0,
IF(Investment_Strategy="DIS",VLOOKUP(Investment_Strategy&amp;"_"&amp;Investment_Strategy_Sub1&amp;"_"&amp;$A225,'Investment Strategies'!$AZ:$BP,17,FALSE),
IF(AND(Investment_Strategy="Lifecycle",Investment_Strategy_Sub1="Non-Standard"),VLOOKUP(Investment_Strategy&amp;"_"&amp;Investment_Strategy_Sub2&amp;"_"&amp;$A225,'Investment Strategies'!$C:$P,14,FALSE),
IF(AND(Investment_Strategy="Lifecycle",Investment_Strategy_Sub1="Standard"),VLOOKUP(Investment_Strategy&amp;"_"&amp;Investment_Strategy_Sub2&amp;"_"&amp;$A225,'Investment Strategies'!$AJ:$AV,13,FALSE),
IF(AND(Investment_Strategy="Autopilot",Investment_Strategy_Sub1="Non-Standard"),VLOOKUP(Investment_Strategy&amp;"_"&amp;Investment_Strategy_Sub2&amp;"_"&amp;$A225,'Investment Strategies'!$T:$AF,13,FALSE),
IF(Investment_Strategy="DIY",DIY_ExtManChrge_CurrentFunds,
"Error"))))))</f>
        <v>0</v>
      </c>
      <c r="H225" s="16">
        <f t="shared" si="129"/>
        <v>0</v>
      </c>
      <c r="I225" s="16">
        <f t="shared" si="113"/>
        <v>0</v>
      </c>
      <c r="J225" s="16">
        <f t="shared" si="114"/>
        <v>0</v>
      </c>
      <c r="K225" s="16">
        <f>(Opening_Fund_Value+SUM(K$91:K224))*E225*IF(D225=$A$91,SRP_finalmonthfactor,1)</f>
        <v>0</v>
      </c>
      <c r="L225" s="74">
        <f>MIN(IF($AV225=0,0,
IF(Investment_Strategy="DIS",VLOOKUP(Investment_Strategy&amp;"_"&amp;Investment_Strategy_Sub1&amp;"_"&amp;$A225,'Investment Strategies'!$AZ:$BP,12,FALSE),
IF(AND(Investment_Strategy="Lifecycle",Investment_Strategy_Sub1="Non-Standard"),VLOOKUP(Investment_Strategy&amp;"_"&amp;Investment_Strategy_Sub2&amp;"_"&amp;$A225,'Investment Strategies'!$C:$P,9,FALSE),
IF(AND(Investment_Strategy="Lifecycle",Investment_Strategy_Sub1="Standard"),VLOOKUP(Investment_Strategy&amp;"_"&amp;Investment_Strategy_Sub2&amp;"_"&amp;$A225,'Investment Strategies'!$AJ:$AV,8,FALSE),
IF(AND(Investment_Strategy="Autopilot",Investment_Strategy_Sub1="Non-Standard"),VLOOKUP(Investment_Strategy&amp;"_"&amp;Investment_Strategy_Sub2&amp;"_"&amp;$A225,'Investment Strategies'!$T:$AF,8,FALSE),
IF(Investment_Strategy ="DIY",DIY_RateofReturn_SP,
"Error")))))),Max_InvReturn)</f>
        <v>0</v>
      </c>
      <c r="M225" s="62">
        <f>IF($AV225=0,0,
IF(Investment_Strategy="DIS",VLOOKUP(Investment_Strategy&amp;"_"&amp;Investment_Strategy_Sub1&amp;"_"&amp;$A225,'Investment Strategies'!$AZ:$BP,15,FALSE),
IF(AND(Investment_Strategy="Lifecycle",Investment_Strategy_Sub1="Non-Standard"),VLOOKUP(Investment_Strategy&amp;"_"&amp;Investment_Strategy_Sub2&amp;"_"&amp;$A225,'Investment Strategies'!$C:$P,12,FALSE),
IF(AND(Investment_Strategy="Lifecycle",Investment_Strategy_Sub1="Standard"),VLOOKUP(Investment_Strategy&amp;"_"&amp;Investment_Strategy_Sub2&amp;"_"&amp;$A225,'Investment Strategies'!$AJ:$AV,11,FALSE),
IF(AND(Investment_Strategy="Autopilot",Investment_Strategy_Sub1="Non-Standard"),VLOOKUP(Investment_Strategy&amp;"_"&amp;Investment_Strategy_Sub2&amp;"_"&amp;$A225,'Investment Strategies'!$T:$AF,11,FALSE),
IF(Investment_Strategy="DIY",DIY_GteeChrge_SP,
"Error"))))))</f>
        <v>0</v>
      </c>
      <c r="N225" s="33">
        <f>IF($AV225=0,0,
IF(Investment_Strategy="DIS",VLOOKUP(Investment_Strategy&amp;"_"&amp;Investment_Strategy_Sub1&amp;"_"&amp;$A225,'Investment Strategies'!$AZ:$BP,17,FALSE),
IF(AND(Investment_Strategy="Lifecycle",Investment_Strategy_Sub1="Non-Standard"),VLOOKUP(Investment_Strategy&amp;"_"&amp;Investment_Strategy_Sub2&amp;"_"&amp;$A225,'Investment Strategies'!$C:$P,14,FALSE),
IF(AND(Investment_Strategy="Lifecycle",Investment_Strategy_Sub1="Standard"),VLOOKUP(Investment_Strategy&amp;"_"&amp;Investment_Strategy_Sub2&amp;"_"&amp;$A225,'Investment Strategies'!$AJ:$AV,13,FALSE),
IF(AND(Investment_Strategy="Autopilot",Investment_Strategy_Sub1="Non-Standard"),VLOOKUP(Investment_Strategy&amp;"_"&amp;Investment_Strategy_Sub2&amp;"_"&amp;$A225,'Investment Strategies'!$T:$AF,13,FALSE),
IF(Investment_Strategy="DIY",DIY_ExtManChrge_SP,
"Error"))))))</f>
        <v>0</v>
      </c>
      <c r="O225" s="16">
        <f t="shared" si="141"/>
        <v>0</v>
      </c>
      <c r="Q225" s="16">
        <f t="shared" si="115"/>
        <v>0</v>
      </c>
      <c r="R225" s="16">
        <f t="shared" si="116"/>
        <v>0</v>
      </c>
      <c r="S225" s="16">
        <f>(SRP_SP+SUM(S$91:S224))*L225*IF(D225=$A$91,SRP_finalmonthfactor,1)</f>
        <v>0</v>
      </c>
      <c r="T225" s="74">
        <f>MIN(IF($AV225=0,0,
IF(Investment_Strategy="DIS",VLOOKUP(Investment_Strategy&amp;"_"&amp;Investment_Strategy_Sub1&amp;"_"&amp;$A225,'Investment Strategies'!$AZ:$BP,12,FALSE),
IF(AND(Investment_Strategy="Lifecycle",Investment_Strategy_Sub1="Non-Standard"),VLOOKUP(Investment_Strategy&amp;"_"&amp;Investment_Strategy_Sub2&amp;"_"&amp;$A225,'Investment Strategies'!$C:$P,9,FALSE),
IF(AND(Investment_Strategy="Lifecycle",Investment_Strategy_Sub1="Standard"),VLOOKUP(Investment_Strategy&amp;"_"&amp;Investment_Strategy_Sub2&amp;"_"&amp;$A225,'Investment Strategies'!$AJ:$AV,8,FALSE),
IF(AND(Investment_Strategy="Autopilot",Investment_Strategy_Sub1="Non-Standard"),VLOOKUP(Investment_Strategy&amp;"_"&amp;Investment_Strategy_Sub2&amp;"_"&amp;$A225,'Investment Strategies'!$T:$AF,8,FALSE),
IF(Investment_Strategy ="DIY",DIY_RateOfReturn_FuturePremiums,
"Error")))))),Max_InvReturn)</f>
        <v>0</v>
      </c>
      <c r="U225" s="62">
        <f>IF($AV225=0,0,
IF(Investment_Strategy="DIS",VLOOKUP(Investment_Strategy&amp;"_"&amp;Investment_Strategy_Sub1&amp;"_"&amp;$A225,'Investment Strategies'!$AZ:$BP,15,FALSE),
IF(AND(Investment_Strategy="Lifecycle",Investment_Strategy_Sub1="Non-Standard"),VLOOKUP(Investment_Strategy&amp;"_"&amp;Investment_Strategy_Sub2&amp;"_"&amp;$A225,'Investment Strategies'!$C:$P,12,FALSE),
IF(AND(Investment_Strategy="Lifecycle",Investment_Strategy_Sub1="Standard"),VLOOKUP(Investment_Strategy&amp;"_"&amp;Investment_Strategy_Sub2&amp;"_"&amp;$A225,'Investment Strategies'!$AJ:$AV,11,FALSE),
IF(AND(Investment_Strategy="Autopilot",Investment_Strategy_Sub1="Non-Standard"),VLOOKUP(Investment_Strategy&amp;"_"&amp;Investment_Strategy_Sub2&amp;"_"&amp;$A225,'Investment Strategies'!$T:$AF,11,FALSE),
IF(Investment_Strategy="DIY",DIY_GteeChrge_FuturePremiums,
"Error"))))))</f>
        <v>0</v>
      </c>
      <c r="V225" s="33">
        <f>IF(AV225=0,0,
IF(Investment_Strategy="DIS",VLOOKUP(Investment_Strategy&amp;"_"&amp;Investment_Strategy_Sub1&amp;"_"&amp;$A225,'Investment Strategies'!$AZ:$BP,17,FALSE),
IF(AND(Investment_Strategy="Lifecycle",Investment_Strategy_Sub1="Non-Standard"),VLOOKUP(Investment_Strategy&amp;"_"&amp;Investment_Strategy_Sub2&amp;"_"&amp;$A225,'Investment Strategies'!$C:$P,14,FALSE),
IF(AND(Investment_Strategy="Lifecycle",Investment_Strategy_Sub1="Standard"),VLOOKUP(Investment_Strategy&amp;"_"&amp;Investment_Strategy_Sub2&amp;"_"&amp;$A225,'Investment Strategies'!$AJ:$AV,13,FALSE),
IF(AND(Investment_Strategy="Autopilot",Investment_Strategy_Sub1="Non-Standard"),VLOOKUP(Investment_Strategy&amp;"_"&amp;Investment_Strategy_Sub2&amp;"_"&amp;$A225,'Investment Strategies'!$T:$AF,13,FALSE),
IF(Investment_Strategy="DIY",DIY_ExtManChrge_FuturePremiums,
"Error"))))))</f>
        <v>0</v>
      </c>
      <c r="W225" s="16">
        <f t="shared" si="142"/>
        <v>0</v>
      </c>
      <c r="X225" s="16">
        <f t="shared" si="117"/>
        <v>0</v>
      </c>
      <c r="Y225" s="16">
        <f t="shared" si="118"/>
        <v>0</v>
      </c>
      <c r="Z225" s="31">
        <f t="shared" si="119"/>
        <v>0.02</v>
      </c>
      <c r="AA225" s="16">
        <f t="shared" si="120"/>
        <v>0</v>
      </c>
      <c r="AB225" s="28">
        <f t="shared" si="144"/>
        <v>0</v>
      </c>
      <c r="AC225" s="28">
        <f>(SUM($AC$91:AC224)+SUM($X$91:X224)+X225)*T225*IF(D225=$A$91,SRP_finalmonthfactor,1)</f>
        <v>0</v>
      </c>
      <c r="AD225" s="16">
        <f t="shared" si="121"/>
        <v>0</v>
      </c>
      <c r="AE225" s="106"/>
      <c r="AF225" s="16">
        <f t="shared" si="130"/>
        <v>0</v>
      </c>
      <c r="AG225" s="16">
        <f t="shared" si="131"/>
        <v>0</v>
      </c>
      <c r="AH225" s="16">
        <f t="shared" si="132"/>
        <v>0</v>
      </c>
      <c r="AJ225" s="13">
        <f t="shared" si="143"/>
        <v>0</v>
      </c>
      <c r="AK225" s="13">
        <f t="shared" si="143"/>
        <v>0</v>
      </c>
      <c r="AL225" s="13">
        <f t="shared" si="143"/>
        <v>0</v>
      </c>
      <c r="AM225" s="13">
        <f t="shared" si="143"/>
        <v>0</v>
      </c>
      <c r="AN225" s="13">
        <f t="shared" si="143"/>
        <v>0</v>
      </c>
      <c r="AO225" s="13">
        <f t="shared" si="143"/>
        <v>1</v>
      </c>
      <c r="AP225" s="13">
        <f t="shared" si="143"/>
        <v>1</v>
      </c>
      <c r="AQ225" s="13">
        <f t="shared" si="143"/>
        <v>1</v>
      </c>
      <c r="AR225" s="13">
        <f t="shared" si="143"/>
        <v>1</v>
      </c>
      <c r="AS225" s="13">
        <f t="shared" si="143"/>
        <v>1</v>
      </c>
      <c r="AT225" s="13">
        <f t="shared" si="143"/>
        <v>1</v>
      </c>
      <c r="AU225" s="13">
        <f t="shared" si="143"/>
        <v>1</v>
      </c>
      <c r="AV225" s="13">
        <f t="shared" si="122"/>
        <v>0</v>
      </c>
      <c r="AW225" s="13">
        <f t="shared" si="123"/>
        <v>1</v>
      </c>
      <c r="AY225" s="17">
        <f t="shared" si="124"/>
        <v>135</v>
      </c>
      <c r="AZ225" s="28">
        <f t="shared" si="133"/>
        <v>0</v>
      </c>
      <c r="BA225" s="13">
        <f t="shared" si="125"/>
        <v>0</v>
      </c>
      <c r="BB225" s="13">
        <f t="shared" si="126"/>
        <v>0</v>
      </c>
      <c r="BC225" s="28">
        <f t="shared" si="134"/>
        <v>0</v>
      </c>
      <c r="BD225" s="28">
        <f t="shared" si="135"/>
        <v>0</v>
      </c>
      <c r="BF225" s="248">
        <f t="shared" si="136"/>
        <v>993869.29442638322</v>
      </c>
      <c r="BG225" s="36">
        <f t="shared" si="145"/>
        <v>0</v>
      </c>
      <c r="BH225" s="36">
        <f t="shared" si="146"/>
        <v>882963.58583464369</v>
      </c>
      <c r="BI225" s="249">
        <f t="shared" si="147"/>
        <v>0</v>
      </c>
      <c r="BJ225" s="246">
        <f t="shared" si="148"/>
        <v>0</v>
      </c>
      <c r="BK225" s="246">
        <f t="shared" si="127"/>
        <v>7.531116566323881E-4</v>
      </c>
      <c r="BL225" s="246">
        <f t="shared" si="149"/>
        <v>0</v>
      </c>
      <c r="BM225" s="246">
        <f t="shared" si="150"/>
        <v>7.531116566323881E-4</v>
      </c>
      <c r="BN225" s="36">
        <f t="shared" si="137"/>
        <v>664.9701688740023</v>
      </c>
      <c r="BO225" s="36">
        <f t="shared" si="151"/>
        <v>0</v>
      </c>
      <c r="BP225" s="36">
        <f t="shared" si="152"/>
        <v>882298.61566576967</v>
      </c>
    </row>
    <row r="226" spans="1:68">
      <c r="A226" s="32">
        <f t="shared" si="138"/>
        <v>-51</v>
      </c>
      <c r="B226" s="32">
        <f t="shared" si="128"/>
        <v>64</v>
      </c>
      <c r="C226" s="32">
        <f t="shared" si="139"/>
        <v>12</v>
      </c>
      <c r="D226" s="32">
        <f t="shared" si="140"/>
        <v>136</v>
      </c>
      <c r="E226" s="74">
        <f>MIN(IF(AV226=0,0,
IF(Investment_Strategy="DIS",VLOOKUP(Investment_Strategy&amp;"_"&amp;Investment_Strategy_Sub1&amp;"_"&amp;$A226,'Investment Strategies'!$AZ:$BP,12,FALSE),
IF(AND(Investment_Strategy="Lifecycle",Investment_Strategy_Sub1="Non-Standard"),VLOOKUP(Investment_Strategy&amp;"_"&amp;Investment_Strategy_Sub2&amp;"_"&amp;$A226,'Investment Strategies'!$C:$P,9,FALSE),
IF(AND(Investment_Strategy="Lifecycle",Investment_Strategy_Sub1="Standard"),VLOOKUP(Investment_Strategy&amp;"_"&amp;Investment_Strategy_Sub2&amp;"_"&amp;$A226,'Investment Strategies'!$AJ:$AV,8,FALSE),
IF(AND(Investment_Strategy="Autopilot",Investment_Strategy_Sub1="Non-Standard"),VLOOKUP(Investment_Strategy&amp;"_"&amp;Investment_Strategy_Sub2&amp;"_"&amp;$A226,'Investment Strategies'!$T:$AF,8,FALSE),
IF(Investment_Strategy ="DIY",DIY_RateOfReturn_CurrentFunds,
"Error")))))),Max_InvReturn)</f>
        <v>0</v>
      </c>
      <c r="F226" s="62">
        <f>IF(AV226=0,0,
IF(Investment_Strategy="DIS",VLOOKUP(Investment_Strategy&amp;"_"&amp;Investment_Strategy_Sub1&amp;"_"&amp;$A226,'Investment Strategies'!$AZ:$BP,15,FALSE),
IF(AND(Investment_Strategy="Lifecycle",Investment_Strategy_Sub1="Non-Standard"),VLOOKUP(Investment_Strategy&amp;"_"&amp;Investment_Strategy_Sub2&amp;"_"&amp;$A226,'Investment Strategies'!$C:$P,12,FALSE),
IF(AND(Investment_Strategy="Lifecycle",Investment_Strategy_Sub1="Standard"),VLOOKUP(Investment_Strategy&amp;"_"&amp;Investment_Strategy_Sub2&amp;"_"&amp;$A226,'Investment Strategies'!$AJ:$AV,11,FALSE),
IF(AND(Investment_Strategy="Autopilot",Investment_Strategy_Sub1="Non-Standard"),VLOOKUP(Investment_Strategy&amp;"_"&amp;Investment_Strategy_Sub2&amp;"_"&amp;$A226,'Investment Strategies'!$T:$AF,11,FALSE),
IF(Investment_Strategy="DIY",DIY_GteeChrge_CurrentFunds,
"Error"))))))</f>
        <v>0</v>
      </c>
      <c r="G226" s="33">
        <f>IF(AV226=0,0,
IF(Investment_Strategy="DIS",VLOOKUP(Investment_Strategy&amp;"_"&amp;Investment_Strategy_Sub1&amp;"_"&amp;$A226,'Investment Strategies'!$AZ:$BP,17,FALSE),
IF(AND(Investment_Strategy="Lifecycle",Investment_Strategy_Sub1="Non-Standard"),VLOOKUP(Investment_Strategy&amp;"_"&amp;Investment_Strategy_Sub2&amp;"_"&amp;$A226,'Investment Strategies'!$C:$P,14,FALSE),
IF(AND(Investment_Strategy="Lifecycle",Investment_Strategy_Sub1="Standard"),VLOOKUP(Investment_Strategy&amp;"_"&amp;Investment_Strategy_Sub2&amp;"_"&amp;$A226,'Investment Strategies'!$AJ:$AV,13,FALSE),
IF(AND(Investment_Strategy="Autopilot",Investment_Strategy_Sub1="Non-Standard"),VLOOKUP(Investment_Strategy&amp;"_"&amp;Investment_Strategy_Sub2&amp;"_"&amp;$A226,'Investment Strategies'!$T:$AF,13,FALSE),
IF(Investment_Strategy="DIY",DIY_ExtManChrge_CurrentFunds,
"Error"))))))</f>
        <v>0</v>
      </c>
      <c r="H226" s="16">
        <f t="shared" si="129"/>
        <v>0</v>
      </c>
      <c r="I226" s="16">
        <f t="shared" si="113"/>
        <v>0</v>
      </c>
      <c r="J226" s="16">
        <f t="shared" si="114"/>
        <v>0</v>
      </c>
      <c r="K226" s="16">
        <f>(Opening_Fund_Value+SUM(K$91:K225))*E226*IF(D226=$A$91,SRP_finalmonthfactor,1)</f>
        <v>0</v>
      </c>
      <c r="L226" s="74">
        <f>MIN(IF($AV226=0,0,
IF(Investment_Strategy="DIS",VLOOKUP(Investment_Strategy&amp;"_"&amp;Investment_Strategy_Sub1&amp;"_"&amp;$A226,'Investment Strategies'!$AZ:$BP,12,FALSE),
IF(AND(Investment_Strategy="Lifecycle",Investment_Strategy_Sub1="Non-Standard"),VLOOKUP(Investment_Strategy&amp;"_"&amp;Investment_Strategy_Sub2&amp;"_"&amp;$A226,'Investment Strategies'!$C:$P,9,FALSE),
IF(AND(Investment_Strategy="Lifecycle",Investment_Strategy_Sub1="Standard"),VLOOKUP(Investment_Strategy&amp;"_"&amp;Investment_Strategy_Sub2&amp;"_"&amp;$A226,'Investment Strategies'!$AJ:$AV,8,FALSE),
IF(AND(Investment_Strategy="Autopilot",Investment_Strategy_Sub1="Non-Standard"),VLOOKUP(Investment_Strategy&amp;"_"&amp;Investment_Strategy_Sub2&amp;"_"&amp;$A226,'Investment Strategies'!$T:$AF,8,FALSE),
IF(Investment_Strategy ="DIY",DIY_RateofReturn_SP,
"Error")))))),Max_InvReturn)</f>
        <v>0</v>
      </c>
      <c r="M226" s="62">
        <f>IF($AV226=0,0,
IF(Investment_Strategy="DIS",VLOOKUP(Investment_Strategy&amp;"_"&amp;Investment_Strategy_Sub1&amp;"_"&amp;$A226,'Investment Strategies'!$AZ:$BP,15,FALSE),
IF(AND(Investment_Strategy="Lifecycle",Investment_Strategy_Sub1="Non-Standard"),VLOOKUP(Investment_Strategy&amp;"_"&amp;Investment_Strategy_Sub2&amp;"_"&amp;$A226,'Investment Strategies'!$C:$P,12,FALSE),
IF(AND(Investment_Strategy="Lifecycle",Investment_Strategy_Sub1="Standard"),VLOOKUP(Investment_Strategy&amp;"_"&amp;Investment_Strategy_Sub2&amp;"_"&amp;$A226,'Investment Strategies'!$AJ:$AV,11,FALSE),
IF(AND(Investment_Strategy="Autopilot",Investment_Strategy_Sub1="Non-Standard"),VLOOKUP(Investment_Strategy&amp;"_"&amp;Investment_Strategy_Sub2&amp;"_"&amp;$A226,'Investment Strategies'!$T:$AF,11,FALSE),
IF(Investment_Strategy="DIY",DIY_GteeChrge_SP,
"Error"))))))</f>
        <v>0</v>
      </c>
      <c r="N226" s="33">
        <f>IF($AV226=0,0,
IF(Investment_Strategy="DIS",VLOOKUP(Investment_Strategy&amp;"_"&amp;Investment_Strategy_Sub1&amp;"_"&amp;$A226,'Investment Strategies'!$AZ:$BP,17,FALSE),
IF(AND(Investment_Strategy="Lifecycle",Investment_Strategy_Sub1="Non-Standard"),VLOOKUP(Investment_Strategy&amp;"_"&amp;Investment_Strategy_Sub2&amp;"_"&amp;$A226,'Investment Strategies'!$C:$P,14,FALSE),
IF(AND(Investment_Strategy="Lifecycle",Investment_Strategy_Sub1="Standard"),VLOOKUP(Investment_Strategy&amp;"_"&amp;Investment_Strategy_Sub2&amp;"_"&amp;$A226,'Investment Strategies'!$AJ:$AV,13,FALSE),
IF(AND(Investment_Strategy="Autopilot",Investment_Strategy_Sub1="Non-Standard"),VLOOKUP(Investment_Strategy&amp;"_"&amp;Investment_Strategy_Sub2&amp;"_"&amp;$A226,'Investment Strategies'!$T:$AF,13,FALSE),
IF(Investment_Strategy="DIY",DIY_ExtManChrge_SP,
"Error"))))))</f>
        <v>0</v>
      </c>
      <c r="O226" s="16">
        <f t="shared" si="141"/>
        <v>0</v>
      </c>
      <c r="Q226" s="16">
        <f t="shared" si="115"/>
        <v>0</v>
      </c>
      <c r="R226" s="16">
        <f t="shared" si="116"/>
        <v>0</v>
      </c>
      <c r="S226" s="16">
        <f>(SRP_SP+SUM(S$91:S225))*L226*IF(D226=$A$91,SRP_finalmonthfactor,1)</f>
        <v>0</v>
      </c>
      <c r="T226" s="74">
        <f>MIN(IF($AV226=0,0,
IF(Investment_Strategy="DIS",VLOOKUP(Investment_Strategy&amp;"_"&amp;Investment_Strategy_Sub1&amp;"_"&amp;$A226,'Investment Strategies'!$AZ:$BP,12,FALSE),
IF(AND(Investment_Strategy="Lifecycle",Investment_Strategy_Sub1="Non-Standard"),VLOOKUP(Investment_Strategy&amp;"_"&amp;Investment_Strategy_Sub2&amp;"_"&amp;$A226,'Investment Strategies'!$C:$P,9,FALSE),
IF(AND(Investment_Strategy="Lifecycle",Investment_Strategy_Sub1="Standard"),VLOOKUP(Investment_Strategy&amp;"_"&amp;Investment_Strategy_Sub2&amp;"_"&amp;$A226,'Investment Strategies'!$AJ:$AV,8,FALSE),
IF(AND(Investment_Strategy="Autopilot",Investment_Strategy_Sub1="Non-Standard"),VLOOKUP(Investment_Strategy&amp;"_"&amp;Investment_Strategy_Sub2&amp;"_"&amp;$A226,'Investment Strategies'!$T:$AF,8,FALSE),
IF(Investment_Strategy ="DIY",DIY_RateOfReturn_FuturePremiums,
"Error")))))),Max_InvReturn)</f>
        <v>0</v>
      </c>
      <c r="U226" s="62">
        <f>IF($AV226=0,0,
IF(Investment_Strategy="DIS",VLOOKUP(Investment_Strategy&amp;"_"&amp;Investment_Strategy_Sub1&amp;"_"&amp;$A226,'Investment Strategies'!$AZ:$BP,15,FALSE),
IF(AND(Investment_Strategy="Lifecycle",Investment_Strategy_Sub1="Non-Standard"),VLOOKUP(Investment_Strategy&amp;"_"&amp;Investment_Strategy_Sub2&amp;"_"&amp;$A226,'Investment Strategies'!$C:$P,12,FALSE),
IF(AND(Investment_Strategy="Lifecycle",Investment_Strategy_Sub1="Standard"),VLOOKUP(Investment_Strategy&amp;"_"&amp;Investment_Strategy_Sub2&amp;"_"&amp;$A226,'Investment Strategies'!$AJ:$AV,11,FALSE),
IF(AND(Investment_Strategy="Autopilot",Investment_Strategy_Sub1="Non-Standard"),VLOOKUP(Investment_Strategy&amp;"_"&amp;Investment_Strategy_Sub2&amp;"_"&amp;$A226,'Investment Strategies'!$T:$AF,11,FALSE),
IF(Investment_Strategy="DIY",DIY_GteeChrge_FuturePremiums,
"Error"))))))</f>
        <v>0</v>
      </c>
      <c r="V226" s="33">
        <f>IF(AV226=0,0,
IF(Investment_Strategy="DIS",VLOOKUP(Investment_Strategy&amp;"_"&amp;Investment_Strategy_Sub1&amp;"_"&amp;$A226,'Investment Strategies'!$AZ:$BP,17,FALSE),
IF(AND(Investment_Strategy="Lifecycle",Investment_Strategy_Sub1="Non-Standard"),VLOOKUP(Investment_Strategy&amp;"_"&amp;Investment_Strategy_Sub2&amp;"_"&amp;$A226,'Investment Strategies'!$C:$P,14,FALSE),
IF(AND(Investment_Strategy="Lifecycle",Investment_Strategy_Sub1="Standard"),VLOOKUP(Investment_Strategy&amp;"_"&amp;Investment_Strategy_Sub2&amp;"_"&amp;$A226,'Investment Strategies'!$AJ:$AV,13,FALSE),
IF(AND(Investment_Strategy="Autopilot",Investment_Strategy_Sub1="Non-Standard"),VLOOKUP(Investment_Strategy&amp;"_"&amp;Investment_Strategy_Sub2&amp;"_"&amp;$A226,'Investment Strategies'!$T:$AF,13,FALSE),
IF(Investment_Strategy="DIY",DIY_ExtManChrge_FuturePremiums,
"Error"))))))</f>
        <v>0</v>
      </c>
      <c r="W226" s="16">
        <f t="shared" si="142"/>
        <v>0</v>
      </c>
      <c r="X226" s="16">
        <f t="shared" si="117"/>
        <v>0</v>
      </c>
      <c r="Y226" s="16">
        <f t="shared" si="118"/>
        <v>0</v>
      </c>
      <c r="Z226" s="31">
        <f t="shared" si="119"/>
        <v>0.02</v>
      </c>
      <c r="AA226" s="16">
        <f t="shared" si="120"/>
        <v>0</v>
      </c>
      <c r="AB226" s="28">
        <f t="shared" si="144"/>
        <v>0</v>
      </c>
      <c r="AC226" s="28">
        <f>(SUM($AC$91:AC225)+SUM($X$91:X225)+X226)*T226*IF(D226=$A$91,SRP_finalmonthfactor,1)</f>
        <v>0</v>
      </c>
      <c r="AD226" s="16">
        <f t="shared" si="121"/>
        <v>0</v>
      </c>
      <c r="AE226" s="106"/>
      <c r="AF226" s="16">
        <f t="shared" si="130"/>
        <v>0</v>
      </c>
      <c r="AG226" s="16">
        <f t="shared" si="131"/>
        <v>0</v>
      </c>
      <c r="AH226" s="16">
        <f t="shared" si="132"/>
        <v>0</v>
      </c>
      <c r="AJ226" s="13">
        <f t="shared" si="143"/>
        <v>0</v>
      </c>
      <c r="AK226" s="13">
        <f t="shared" si="143"/>
        <v>0</v>
      </c>
      <c r="AL226" s="13">
        <f t="shared" si="143"/>
        <v>0</v>
      </c>
      <c r="AM226" s="13">
        <f t="shared" si="143"/>
        <v>0</v>
      </c>
      <c r="AN226" s="13">
        <f t="shared" si="143"/>
        <v>0</v>
      </c>
      <c r="AO226" s="13">
        <f t="shared" si="143"/>
        <v>1</v>
      </c>
      <c r="AP226" s="13">
        <f t="shared" si="143"/>
        <v>1</v>
      </c>
      <c r="AQ226" s="13">
        <f t="shared" si="143"/>
        <v>1</v>
      </c>
      <c r="AR226" s="13">
        <f t="shared" si="143"/>
        <v>1</v>
      </c>
      <c r="AS226" s="13">
        <f t="shared" si="143"/>
        <v>1</v>
      </c>
      <c r="AT226" s="13">
        <f t="shared" si="143"/>
        <v>1</v>
      </c>
      <c r="AU226" s="13">
        <f t="shared" si="143"/>
        <v>1</v>
      </c>
      <c r="AV226" s="13">
        <f t="shared" si="122"/>
        <v>0</v>
      </c>
      <c r="AW226" s="13">
        <f t="shared" si="123"/>
        <v>1</v>
      </c>
      <c r="AY226" s="17">
        <f t="shared" si="124"/>
        <v>136</v>
      </c>
      <c r="AZ226" s="28">
        <f t="shared" si="133"/>
        <v>0</v>
      </c>
      <c r="BA226" s="13">
        <f t="shared" si="125"/>
        <v>0</v>
      </c>
      <c r="BB226" s="13">
        <f t="shared" si="126"/>
        <v>0</v>
      </c>
      <c r="BC226" s="28">
        <f t="shared" si="134"/>
        <v>0</v>
      </c>
      <c r="BD226" s="28">
        <f t="shared" si="135"/>
        <v>0</v>
      </c>
      <c r="BF226" s="248">
        <f t="shared" si="136"/>
        <v>993869.29442638322</v>
      </c>
      <c r="BG226" s="36">
        <f t="shared" si="145"/>
        <v>0</v>
      </c>
      <c r="BH226" s="36">
        <f t="shared" si="146"/>
        <v>882298.61566576967</v>
      </c>
      <c r="BI226" s="249">
        <f t="shared" si="147"/>
        <v>0</v>
      </c>
      <c r="BJ226" s="246">
        <f t="shared" si="148"/>
        <v>0</v>
      </c>
      <c r="BK226" s="246">
        <f t="shared" si="127"/>
        <v>7.531116566323881E-4</v>
      </c>
      <c r="BL226" s="246">
        <f t="shared" si="149"/>
        <v>0</v>
      </c>
      <c r="BM226" s="246">
        <f t="shared" si="150"/>
        <v>7.531116566323881E-4</v>
      </c>
      <c r="BN226" s="36">
        <f t="shared" si="137"/>
        <v>664.46937208851045</v>
      </c>
      <c r="BO226" s="36">
        <f t="shared" si="151"/>
        <v>0</v>
      </c>
      <c r="BP226" s="36">
        <f t="shared" si="152"/>
        <v>881634.14629368111</v>
      </c>
    </row>
    <row r="227" spans="1:68">
      <c r="A227" s="32">
        <f t="shared" si="138"/>
        <v>-52</v>
      </c>
      <c r="B227" s="32">
        <f t="shared" si="128"/>
        <v>64</v>
      </c>
      <c r="C227" s="32">
        <f t="shared" si="139"/>
        <v>12</v>
      </c>
      <c r="D227" s="32">
        <f t="shared" si="140"/>
        <v>137</v>
      </c>
      <c r="E227" s="74">
        <f>MIN(IF(AV227=0,0,
IF(Investment_Strategy="DIS",VLOOKUP(Investment_Strategy&amp;"_"&amp;Investment_Strategy_Sub1&amp;"_"&amp;$A227,'Investment Strategies'!$AZ:$BP,12,FALSE),
IF(AND(Investment_Strategy="Lifecycle",Investment_Strategy_Sub1="Non-Standard"),VLOOKUP(Investment_Strategy&amp;"_"&amp;Investment_Strategy_Sub2&amp;"_"&amp;$A227,'Investment Strategies'!$C:$P,9,FALSE),
IF(AND(Investment_Strategy="Lifecycle",Investment_Strategy_Sub1="Standard"),VLOOKUP(Investment_Strategy&amp;"_"&amp;Investment_Strategy_Sub2&amp;"_"&amp;$A227,'Investment Strategies'!$AJ:$AV,8,FALSE),
IF(AND(Investment_Strategy="Autopilot",Investment_Strategy_Sub1="Non-Standard"),VLOOKUP(Investment_Strategy&amp;"_"&amp;Investment_Strategy_Sub2&amp;"_"&amp;$A227,'Investment Strategies'!$T:$AF,8,FALSE),
IF(Investment_Strategy ="DIY",DIY_RateOfReturn_CurrentFunds,
"Error")))))),Max_InvReturn)</f>
        <v>0</v>
      </c>
      <c r="F227" s="62">
        <f>IF(AV227=0,0,
IF(Investment_Strategy="DIS",VLOOKUP(Investment_Strategy&amp;"_"&amp;Investment_Strategy_Sub1&amp;"_"&amp;$A227,'Investment Strategies'!$AZ:$BP,15,FALSE),
IF(AND(Investment_Strategy="Lifecycle",Investment_Strategy_Sub1="Non-Standard"),VLOOKUP(Investment_Strategy&amp;"_"&amp;Investment_Strategy_Sub2&amp;"_"&amp;$A227,'Investment Strategies'!$C:$P,12,FALSE),
IF(AND(Investment_Strategy="Lifecycle",Investment_Strategy_Sub1="Standard"),VLOOKUP(Investment_Strategy&amp;"_"&amp;Investment_Strategy_Sub2&amp;"_"&amp;$A227,'Investment Strategies'!$AJ:$AV,11,FALSE),
IF(AND(Investment_Strategy="Autopilot",Investment_Strategy_Sub1="Non-Standard"),VLOOKUP(Investment_Strategy&amp;"_"&amp;Investment_Strategy_Sub2&amp;"_"&amp;$A227,'Investment Strategies'!$T:$AF,11,FALSE),
IF(Investment_Strategy="DIY",DIY_GteeChrge_CurrentFunds,
"Error"))))))</f>
        <v>0</v>
      </c>
      <c r="G227" s="33">
        <f>IF(AV227=0,0,
IF(Investment_Strategy="DIS",VLOOKUP(Investment_Strategy&amp;"_"&amp;Investment_Strategy_Sub1&amp;"_"&amp;$A227,'Investment Strategies'!$AZ:$BP,17,FALSE),
IF(AND(Investment_Strategy="Lifecycle",Investment_Strategy_Sub1="Non-Standard"),VLOOKUP(Investment_Strategy&amp;"_"&amp;Investment_Strategy_Sub2&amp;"_"&amp;$A227,'Investment Strategies'!$C:$P,14,FALSE),
IF(AND(Investment_Strategy="Lifecycle",Investment_Strategy_Sub1="Standard"),VLOOKUP(Investment_Strategy&amp;"_"&amp;Investment_Strategy_Sub2&amp;"_"&amp;$A227,'Investment Strategies'!$AJ:$AV,13,FALSE),
IF(AND(Investment_Strategy="Autopilot",Investment_Strategy_Sub1="Non-Standard"),VLOOKUP(Investment_Strategy&amp;"_"&amp;Investment_Strategy_Sub2&amp;"_"&amp;$A227,'Investment Strategies'!$T:$AF,13,FALSE),
IF(Investment_Strategy="DIY",DIY_ExtManChrge_CurrentFunds,
"Error"))))))</f>
        <v>0</v>
      </c>
      <c r="H227" s="16">
        <f t="shared" si="129"/>
        <v>0</v>
      </c>
      <c r="I227" s="16">
        <f t="shared" si="113"/>
        <v>0</v>
      </c>
      <c r="J227" s="16">
        <f t="shared" si="114"/>
        <v>0</v>
      </c>
      <c r="K227" s="16">
        <f>(Opening_Fund_Value+SUM(K$91:K226))*E227*IF(D227=$A$91,SRP_finalmonthfactor,1)</f>
        <v>0</v>
      </c>
      <c r="L227" s="74">
        <f>MIN(IF($AV227=0,0,
IF(Investment_Strategy="DIS",VLOOKUP(Investment_Strategy&amp;"_"&amp;Investment_Strategy_Sub1&amp;"_"&amp;$A227,'Investment Strategies'!$AZ:$BP,12,FALSE),
IF(AND(Investment_Strategy="Lifecycle",Investment_Strategy_Sub1="Non-Standard"),VLOOKUP(Investment_Strategy&amp;"_"&amp;Investment_Strategy_Sub2&amp;"_"&amp;$A227,'Investment Strategies'!$C:$P,9,FALSE),
IF(AND(Investment_Strategy="Lifecycle",Investment_Strategy_Sub1="Standard"),VLOOKUP(Investment_Strategy&amp;"_"&amp;Investment_Strategy_Sub2&amp;"_"&amp;$A227,'Investment Strategies'!$AJ:$AV,8,FALSE),
IF(AND(Investment_Strategy="Autopilot",Investment_Strategy_Sub1="Non-Standard"),VLOOKUP(Investment_Strategy&amp;"_"&amp;Investment_Strategy_Sub2&amp;"_"&amp;$A227,'Investment Strategies'!$T:$AF,8,FALSE),
IF(Investment_Strategy ="DIY",DIY_RateofReturn_SP,
"Error")))))),Max_InvReturn)</f>
        <v>0</v>
      </c>
      <c r="M227" s="62">
        <f>IF($AV227=0,0,
IF(Investment_Strategy="DIS",VLOOKUP(Investment_Strategy&amp;"_"&amp;Investment_Strategy_Sub1&amp;"_"&amp;$A227,'Investment Strategies'!$AZ:$BP,15,FALSE),
IF(AND(Investment_Strategy="Lifecycle",Investment_Strategy_Sub1="Non-Standard"),VLOOKUP(Investment_Strategy&amp;"_"&amp;Investment_Strategy_Sub2&amp;"_"&amp;$A227,'Investment Strategies'!$C:$P,12,FALSE),
IF(AND(Investment_Strategy="Lifecycle",Investment_Strategy_Sub1="Standard"),VLOOKUP(Investment_Strategy&amp;"_"&amp;Investment_Strategy_Sub2&amp;"_"&amp;$A227,'Investment Strategies'!$AJ:$AV,11,FALSE),
IF(AND(Investment_Strategy="Autopilot",Investment_Strategy_Sub1="Non-Standard"),VLOOKUP(Investment_Strategy&amp;"_"&amp;Investment_Strategy_Sub2&amp;"_"&amp;$A227,'Investment Strategies'!$T:$AF,11,FALSE),
IF(Investment_Strategy="DIY",DIY_GteeChrge_SP,
"Error"))))))</f>
        <v>0</v>
      </c>
      <c r="N227" s="33">
        <f>IF($AV227=0,0,
IF(Investment_Strategy="DIS",VLOOKUP(Investment_Strategy&amp;"_"&amp;Investment_Strategy_Sub1&amp;"_"&amp;$A227,'Investment Strategies'!$AZ:$BP,17,FALSE),
IF(AND(Investment_Strategy="Lifecycle",Investment_Strategy_Sub1="Non-Standard"),VLOOKUP(Investment_Strategy&amp;"_"&amp;Investment_Strategy_Sub2&amp;"_"&amp;$A227,'Investment Strategies'!$C:$P,14,FALSE),
IF(AND(Investment_Strategy="Lifecycle",Investment_Strategy_Sub1="Standard"),VLOOKUP(Investment_Strategy&amp;"_"&amp;Investment_Strategy_Sub2&amp;"_"&amp;$A227,'Investment Strategies'!$AJ:$AV,13,FALSE),
IF(AND(Investment_Strategy="Autopilot",Investment_Strategy_Sub1="Non-Standard"),VLOOKUP(Investment_Strategy&amp;"_"&amp;Investment_Strategy_Sub2&amp;"_"&amp;$A227,'Investment Strategies'!$T:$AF,13,FALSE),
IF(Investment_Strategy="DIY",DIY_ExtManChrge_SP,
"Error"))))))</f>
        <v>0</v>
      </c>
      <c r="O227" s="16">
        <f t="shared" si="141"/>
        <v>0</v>
      </c>
      <c r="Q227" s="16">
        <f t="shared" si="115"/>
        <v>0</v>
      </c>
      <c r="R227" s="16">
        <f t="shared" si="116"/>
        <v>0</v>
      </c>
      <c r="S227" s="16">
        <f>(SRP_SP+SUM(S$91:S226))*L227*IF(D227=$A$91,SRP_finalmonthfactor,1)</f>
        <v>0</v>
      </c>
      <c r="T227" s="74">
        <f>MIN(IF($AV227=0,0,
IF(Investment_Strategy="DIS",VLOOKUP(Investment_Strategy&amp;"_"&amp;Investment_Strategy_Sub1&amp;"_"&amp;$A227,'Investment Strategies'!$AZ:$BP,12,FALSE),
IF(AND(Investment_Strategy="Lifecycle",Investment_Strategy_Sub1="Non-Standard"),VLOOKUP(Investment_Strategy&amp;"_"&amp;Investment_Strategy_Sub2&amp;"_"&amp;$A227,'Investment Strategies'!$C:$P,9,FALSE),
IF(AND(Investment_Strategy="Lifecycle",Investment_Strategy_Sub1="Standard"),VLOOKUP(Investment_Strategy&amp;"_"&amp;Investment_Strategy_Sub2&amp;"_"&amp;$A227,'Investment Strategies'!$AJ:$AV,8,FALSE),
IF(AND(Investment_Strategy="Autopilot",Investment_Strategy_Sub1="Non-Standard"),VLOOKUP(Investment_Strategy&amp;"_"&amp;Investment_Strategy_Sub2&amp;"_"&amp;$A227,'Investment Strategies'!$T:$AF,8,FALSE),
IF(Investment_Strategy ="DIY",DIY_RateOfReturn_FuturePremiums,
"Error")))))),Max_InvReturn)</f>
        <v>0</v>
      </c>
      <c r="U227" s="62">
        <f>IF($AV227=0,0,
IF(Investment_Strategy="DIS",VLOOKUP(Investment_Strategy&amp;"_"&amp;Investment_Strategy_Sub1&amp;"_"&amp;$A227,'Investment Strategies'!$AZ:$BP,15,FALSE),
IF(AND(Investment_Strategy="Lifecycle",Investment_Strategy_Sub1="Non-Standard"),VLOOKUP(Investment_Strategy&amp;"_"&amp;Investment_Strategy_Sub2&amp;"_"&amp;$A227,'Investment Strategies'!$C:$P,12,FALSE),
IF(AND(Investment_Strategy="Lifecycle",Investment_Strategy_Sub1="Standard"),VLOOKUP(Investment_Strategy&amp;"_"&amp;Investment_Strategy_Sub2&amp;"_"&amp;$A227,'Investment Strategies'!$AJ:$AV,11,FALSE),
IF(AND(Investment_Strategy="Autopilot",Investment_Strategy_Sub1="Non-Standard"),VLOOKUP(Investment_Strategy&amp;"_"&amp;Investment_Strategy_Sub2&amp;"_"&amp;$A227,'Investment Strategies'!$T:$AF,11,FALSE),
IF(Investment_Strategy="DIY",DIY_GteeChrge_FuturePremiums,
"Error"))))))</f>
        <v>0</v>
      </c>
      <c r="V227" s="33">
        <f>IF(AV227=0,0,
IF(Investment_Strategy="DIS",VLOOKUP(Investment_Strategy&amp;"_"&amp;Investment_Strategy_Sub1&amp;"_"&amp;$A227,'Investment Strategies'!$AZ:$BP,17,FALSE),
IF(AND(Investment_Strategy="Lifecycle",Investment_Strategy_Sub1="Non-Standard"),VLOOKUP(Investment_Strategy&amp;"_"&amp;Investment_Strategy_Sub2&amp;"_"&amp;$A227,'Investment Strategies'!$C:$P,14,FALSE),
IF(AND(Investment_Strategy="Lifecycle",Investment_Strategy_Sub1="Standard"),VLOOKUP(Investment_Strategy&amp;"_"&amp;Investment_Strategy_Sub2&amp;"_"&amp;$A227,'Investment Strategies'!$AJ:$AV,13,FALSE),
IF(AND(Investment_Strategy="Autopilot",Investment_Strategy_Sub1="Non-Standard"),VLOOKUP(Investment_Strategy&amp;"_"&amp;Investment_Strategy_Sub2&amp;"_"&amp;$A227,'Investment Strategies'!$T:$AF,13,FALSE),
IF(Investment_Strategy="DIY",DIY_ExtManChrge_FuturePremiums,
"Error"))))))</f>
        <v>0</v>
      </c>
      <c r="W227" s="16">
        <f t="shared" si="142"/>
        <v>0</v>
      </c>
      <c r="X227" s="16">
        <f t="shared" si="117"/>
        <v>0</v>
      </c>
      <c r="Y227" s="16">
        <f t="shared" si="118"/>
        <v>0</v>
      </c>
      <c r="Z227" s="31">
        <f t="shared" si="119"/>
        <v>0.02</v>
      </c>
      <c r="AA227" s="16">
        <f t="shared" si="120"/>
        <v>0</v>
      </c>
      <c r="AB227" s="28">
        <f t="shared" si="144"/>
        <v>0</v>
      </c>
      <c r="AC227" s="28">
        <f>(SUM($AC$91:AC226)+SUM($X$91:X226)+X227)*T227*IF(D227=$A$91,SRP_finalmonthfactor,1)</f>
        <v>0</v>
      </c>
      <c r="AD227" s="16">
        <f t="shared" si="121"/>
        <v>0</v>
      </c>
      <c r="AE227" s="106"/>
      <c r="AF227" s="16">
        <f t="shared" si="130"/>
        <v>0</v>
      </c>
      <c r="AG227" s="16">
        <f t="shared" si="131"/>
        <v>0</v>
      </c>
      <c r="AH227" s="16">
        <f t="shared" si="132"/>
        <v>0</v>
      </c>
      <c r="AJ227" s="13">
        <f t="shared" si="143"/>
        <v>0</v>
      </c>
      <c r="AK227" s="13">
        <f t="shared" si="143"/>
        <v>0</v>
      </c>
      <c r="AL227" s="13">
        <f t="shared" si="143"/>
        <v>0</v>
      </c>
      <c r="AM227" s="13">
        <f t="shared" si="143"/>
        <v>0</v>
      </c>
      <c r="AN227" s="13">
        <f t="shared" si="143"/>
        <v>0</v>
      </c>
      <c r="AO227" s="13">
        <f t="shared" si="143"/>
        <v>1</v>
      </c>
      <c r="AP227" s="13">
        <f t="shared" si="143"/>
        <v>1</v>
      </c>
      <c r="AQ227" s="13">
        <f t="shared" si="143"/>
        <v>1</v>
      </c>
      <c r="AR227" s="13">
        <f t="shared" si="143"/>
        <v>1</v>
      </c>
      <c r="AS227" s="13">
        <f t="shared" si="143"/>
        <v>1</v>
      </c>
      <c r="AT227" s="13">
        <f t="shared" si="143"/>
        <v>1</v>
      </c>
      <c r="AU227" s="13">
        <f t="shared" si="143"/>
        <v>1</v>
      </c>
      <c r="AV227" s="13">
        <f t="shared" si="122"/>
        <v>0</v>
      </c>
      <c r="AW227" s="13">
        <f t="shared" si="123"/>
        <v>1</v>
      </c>
      <c r="AY227" s="17">
        <f t="shared" si="124"/>
        <v>137</v>
      </c>
      <c r="AZ227" s="28">
        <f t="shared" si="133"/>
        <v>0</v>
      </c>
      <c r="BA227" s="13">
        <f t="shared" si="125"/>
        <v>0</v>
      </c>
      <c r="BB227" s="13">
        <f t="shared" si="126"/>
        <v>0</v>
      </c>
      <c r="BC227" s="28">
        <f t="shared" si="134"/>
        <v>0</v>
      </c>
      <c r="BD227" s="28">
        <f t="shared" si="135"/>
        <v>0</v>
      </c>
      <c r="BF227" s="248">
        <f t="shared" si="136"/>
        <v>993869.29442638322</v>
      </c>
      <c r="BG227" s="36">
        <f t="shared" si="145"/>
        <v>0</v>
      </c>
      <c r="BH227" s="36">
        <f t="shared" si="146"/>
        <v>881634.14629368111</v>
      </c>
      <c r="BI227" s="249">
        <f t="shared" si="147"/>
        <v>0</v>
      </c>
      <c r="BJ227" s="246">
        <f t="shared" si="148"/>
        <v>0</v>
      </c>
      <c r="BK227" s="246">
        <f t="shared" si="127"/>
        <v>7.531116566323881E-4</v>
      </c>
      <c r="BL227" s="246">
        <f t="shared" si="149"/>
        <v>0</v>
      </c>
      <c r="BM227" s="246">
        <f t="shared" si="150"/>
        <v>7.531116566323881E-4</v>
      </c>
      <c r="BN227" s="36">
        <f t="shared" si="137"/>
        <v>663.9689524589154</v>
      </c>
      <c r="BO227" s="36">
        <f t="shared" si="151"/>
        <v>0</v>
      </c>
      <c r="BP227" s="36">
        <f t="shared" si="152"/>
        <v>880970.17734122218</v>
      </c>
    </row>
    <row r="228" spans="1:68">
      <c r="A228" s="32">
        <f t="shared" si="138"/>
        <v>-53</v>
      </c>
      <c r="B228" s="32">
        <f t="shared" si="128"/>
        <v>64</v>
      </c>
      <c r="C228" s="32">
        <f t="shared" si="139"/>
        <v>12</v>
      </c>
      <c r="D228" s="32">
        <f t="shared" si="140"/>
        <v>138</v>
      </c>
      <c r="E228" s="74">
        <f>MIN(IF(AV228=0,0,
IF(Investment_Strategy="DIS",VLOOKUP(Investment_Strategy&amp;"_"&amp;Investment_Strategy_Sub1&amp;"_"&amp;$A228,'Investment Strategies'!$AZ:$BP,12,FALSE),
IF(AND(Investment_Strategy="Lifecycle",Investment_Strategy_Sub1="Non-Standard"),VLOOKUP(Investment_Strategy&amp;"_"&amp;Investment_Strategy_Sub2&amp;"_"&amp;$A228,'Investment Strategies'!$C:$P,9,FALSE),
IF(AND(Investment_Strategy="Lifecycle",Investment_Strategy_Sub1="Standard"),VLOOKUP(Investment_Strategy&amp;"_"&amp;Investment_Strategy_Sub2&amp;"_"&amp;$A228,'Investment Strategies'!$AJ:$AV,8,FALSE),
IF(AND(Investment_Strategy="Autopilot",Investment_Strategy_Sub1="Non-Standard"),VLOOKUP(Investment_Strategy&amp;"_"&amp;Investment_Strategy_Sub2&amp;"_"&amp;$A228,'Investment Strategies'!$T:$AF,8,FALSE),
IF(Investment_Strategy ="DIY",DIY_RateOfReturn_CurrentFunds,
"Error")))))),Max_InvReturn)</f>
        <v>0</v>
      </c>
      <c r="F228" s="62">
        <f>IF(AV228=0,0,
IF(Investment_Strategy="DIS",VLOOKUP(Investment_Strategy&amp;"_"&amp;Investment_Strategy_Sub1&amp;"_"&amp;$A228,'Investment Strategies'!$AZ:$BP,15,FALSE),
IF(AND(Investment_Strategy="Lifecycle",Investment_Strategy_Sub1="Non-Standard"),VLOOKUP(Investment_Strategy&amp;"_"&amp;Investment_Strategy_Sub2&amp;"_"&amp;$A228,'Investment Strategies'!$C:$P,12,FALSE),
IF(AND(Investment_Strategy="Lifecycle",Investment_Strategy_Sub1="Standard"),VLOOKUP(Investment_Strategy&amp;"_"&amp;Investment_Strategy_Sub2&amp;"_"&amp;$A228,'Investment Strategies'!$AJ:$AV,11,FALSE),
IF(AND(Investment_Strategy="Autopilot",Investment_Strategy_Sub1="Non-Standard"),VLOOKUP(Investment_Strategy&amp;"_"&amp;Investment_Strategy_Sub2&amp;"_"&amp;$A228,'Investment Strategies'!$T:$AF,11,FALSE),
IF(Investment_Strategy="DIY",DIY_GteeChrge_CurrentFunds,
"Error"))))))</f>
        <v>0</v>
      </c>
      <c r="G228" s="33">
        <f>IF(AV228=0,0,
IF(Investment_Strategy="DIS",VLOOKUP(Investment_Strategy&amp;"_"&amp;Investment_Strategy_Sub1&amp;"_"&amp;$A228,'Investment Strategies'!$AZ:$BP,17,FALSE),
IF(AND(Investment_Strategy="Lifecycle",Investment_Strategy_Sub1="Non-Standard"),VLOOKUP(Investment_Strategy&amp;"_"&amp;Investment_Strategy_Sub2&amp;"_"&amp;$A228,'Investment Strategies'!$C:$P,14,FALSE),
IF(AND(Investment_Strategy="Lifecycle",Investment_Strategy_Sub1="Standard"),VLOOKUP(Investment_Strategy&amp;"_"&amp;Investment_Strategy_Sub2&amp;"_"&amp;$A228,'Investment Strategies'!$AJ:$AV,13,FALSE),
IF(AND(Investment_Strategy="Autopilot",Investment_Strategy_Sub1="Non-Standard"),VLOOKUP(Investment_Strategy&amp;"_"&amp;Investment_Strategy_Sub2&amp;"_"&amp;$A228,'Investment Strategies'!$T:$AF,13,FALSE),
IF(Investment_Strategy="DIY",DIY_ExtManChrge_CurrentFunds,
"Error"))))))</f>
        <v>0</v>
      </c>
      <c r="H228" s="16">
        <f t="shared" si="129"/>
        <v>0</v>
      </c>
      <c r="I228" s="16">
        <f t="shared" si="113"/>
        <v>0</v>
      </c>
      <c r="J228" s="16">
        <f t="shared" si="114"/>
        <v>0</v>
      </c>
      <c r="K228" s="16">
        <f>(Opening_Fund_Value+SUM(K$91:K227))*E228*IF(D228=$A$91,SRP_finalmonthfactor,1)</f>
        <v>0</v>
      </c>
      <c r="L228" s="74">
        <f>MIN(IF($AV228=0,0,
IF(Investment_Strategy="DIS",VLOOKUP(Investment_Strategy&amp;"_"&amp;Investment_Strategy_Sub1&amp;"_"&amp;$A228,'Investment Strategies'!$AZ:$BP,12,FALSE),
IF(AND(Investment_Strategy="Lifecycle",Investment_Strategy_Sub1="Non-Standard"),VLOOKUP(Investment_Strategy&amp;"_"&amp;Investment_Strategy_Sub2&amp;"_"&amp;$A228,'Investment Strategies'!$C:$P,9,FALSE),
IF(AND(Investment_Strategy="Lifecycle",Investment_Strategy_Sub1="Standard"),VLOOKUP(Investment_Strategy&amp;"_"&amp;Investment_Strategy_Sub2&amp;"_"&amp;$A228,'Investment Strategies'!$AJ:$AV,8,FALSE),
IF(AND(Investment_Strategy="Autopilot",Investment_Strategy_Sub1="Non-Standard"),VLOOKUP(Investment_Strategy&amp;"_"&amp;Investment_Strategy_Sub2&amp;"_"&amp;$A228,'Investment Strategies'!$T:$AF,8,FALSE),
IF(Investment_Strategy ="DIY",DIY_RateofReturn_SP,
"Error")))))),Max_InvReturn)</f>
        <v>0</v>
      </c>
      <c r="M228" s="62">
        <f>IF($AV228=0,0,
IF(Investment_Strategy="DIS",VLOOKUP(Investment_Strategy&amp;"_"&amp;Investment_Strategy_Sub1&amp;"_"&amp;$A228,'Investment Strategies'!$AZ:$BP,15,FALSE),
IF(AND(Investment_Strategy="Lifecycle",Investment_Strategy_Sub1="Non-Standard"),VLOOKUP(Investment_Strategy&amp;"_"&amp;Investment_Strategy_Sub2&amp;"_"&amp;$A228,'Investment Strategies'!$C:$P,12,FALSE),
IF(AND(Investment_Strategy="Lifecycle",Investment_Strategy_Sub1="Standard"),VLOOKUP(Investment_Strategy&amp;"_"&amp;Investment_Strategy_Sub2&amp;"_"&amp;$A228,'Investment Strategies'!$AJ:$AV,11,FALSE),
IF(AND(Investment_Strategy="Autopilot",Investment_Strategy_Sub1="Non-Standard"),VLOOKUP(Investment_Strategy&amp;"_"&amp;Investment_Strategy_Sub2&amp;"_"&amp;$A228,'Investment Strategies'!$T:$AF,11,FALSE),
IF(Investment_Strategy="DIY",DIY_GteeChrge_SP,
"Error"))))))</f>
        <v>0</v>
      </c>
      <c r="N228" s="33">
        <f>IF($AV228=0,0,
IF(Investment_Strategy="DIS",VLOOKUP(Investment_Strategy&amp;"_"&amp;Investment_Strategy_Sub1&amp;"_"&amp;$A228,'Investment Strategies'!$AZ:$BP,17,FALSE),
IF(AND(Investment_Strategy="Lifecycle",Investment_Strategy_Sub1="Non-Standard"),VLOOKUP(Investment_Strategy&amp;"_"&amp;Investment_Strategy_Sub2&amp;"_"&amp;$A228,'Investment Strategies'!$C:$P,14,FALSE),
IF(AND(Investment_Strategy="Lifecycle",Investment_Strategy_Sub1="Standard"),VLOOKUP(Investment_Strategy&amp;"_"&amp;Investment_Strategy_Sub2&amp;"_"&amp;$A228,'Investment Strategies'!$AJ:$AV,13,FALSE),
IF(AND(Investment_Strategy="Autopilot",Investment_Strategy_Sub1="Non-Standard"),VLOOKUP(Investment_Strategy&amp;"_"&amp;Investment_Strategy_Sub2&amp;"_"&amp;$A228,'Investment Strategies'!$T:$AF,13,FALSE),
IF(Investment_Strategy="DIY",DIY_ExtManChrge_SP,
"Error"))))))</f>
        <v>0</v>
      </c>
      <c r="O228" s="16">
        <f t="shared" si="141"/>
        <v>0</v>
      </c>
      <c r="Q228" s="16">
        <f t="shared" si="115"/>
        <v>0</v>
      </c>
      <c r="R228" s="16">
        <f t="shared" si="116"/>
        <v>0</v>
      </c>
      <c r="S228" s="16">
        <f>(SRP_SP+SUM(S$91:S227))*L228*IF(D228=$A$91,SRP_finalmonthfactor,1)</f>
        <v>0</v>
      </c>
      <c r="T228" s="74">
        <f>MIN(IF($AV228=0,0,
IF(Investment_Strategy="DIS",VLOOKUP(Investment_Strategy&amp;"_"&amp;Investment_Strategy_Sub1&amp;"_"&amp;$A228,'Investment Strategies'!$AZ:$BP,12,FALSE),
IF(AND(Investment_Strategy="Lifecycle",Investment_Strategy_Sub1="Non-Standard"),VLOOKUP(Investment_Strategy&amp;"_"&amp;Investment_Strategy_Sub2&amp;"_"&amp;$A228,'Investment Strategies'!$C:$P,9,FALSE),
IF(AND(Investment_Strategy="Lifecycle",Investment_Strategy_Sub1="Standard"),VLOOKUP(Investment_Strategy&amp;"_"&amp;Investment_Strategy_Sub2&amp;"_"&amp;$A228,'Investment Strategies'!$AJ:$AV,8,FALSE),
IF(AND(Investment_Strategy="Autopilot",Investment_Strategy_Sub1="Non-Standard"),VLOOKUP(Investment_Strategy&amp;"_"&amp;Investment_Strategy_Sub2&amp;"_"&amp;$A228,'Investment Strategies'!$T:$AF,8,FALSE),
IF(Investment_Strategy ="DIY",DIY_RateOfReturn_FuturePremiums,
"Error")))))),Max_InvReturn)</f>
        <v>0</v>
      </c>
      <c r="U228" s="62">
        <f>IF($AV228=0,0,
IF(Investment_Strategy="DIS",VLOOKUP(Investment_Strategy&amp;"_"&amp;Investment_Strategy_Sub1&amp;"_"&amp;$A228,'Investment Strategies'!$AZ:$BP,15,FALSE),
IF(AND(Investment_Strategy="Lifecycle",Investment_Strategy_Sub1="Non-Standard"),VLOOKUP(Investment_Strategy&amp;"_"&amp;Investment_Strategy_Sub2&amp;"_"&amp;$A228,'Investment Strategies'!$C:$P,12,FALSE),
IF(AND(Investment_Strategy="Lifecycle",Investment_Strategy_Sub1="Standard"),VLOOKUP(Investment_Strategy&amp;"_"&amp;Investment_Strategy_Sub2&amp;"_"&amp;$A228,'Investment Strategies'!$AJ:$AV,11,FALSE),
IF(AND(Investment_Strategy="Autopilot",Investment_Strategy_Sub1="Non-Standard"),VLOOKUP(Investment_Strategy&amp;"_"&amp;Investment_Strategy_Sub2&amp;"_"&amp;$A228,'Investment Strategies'!$T:$AF,11,FALSE),
IF(Investment_Strategy="DIY",DIY_GteeChrge_FuturePremiums,
"Error"))))))</f>
        <v>0</v>
      </c>
      <c r="V228" s="33">
        <f>IF(AV228=0,0,
IF(Investment_Strategy="DIS",VLOOKUP(Investment_Strategy&amp;"_"&amp;Investment_Strategy_Sub1&amp;"_"&amp;$A228,'Investment Strategies'!$AZ:$BP,17,FALSE),
IF(AND(Investment_Strategy="Lifecycle",Investment_Strategy_Sub1="Non-Standard"),VLOOKUP(Investment_Strategy&amp;"_"&amp;Investment_Strategy_Sub2&amp;"_"&amp;$A228,'Investment Strategies'!$C:$P,14,FALSE),
IF(AND(Investment_Strategy="Lifecycle",Investment_Strategy_Sub1="Standard"),VLOOKUP(Investment_Strategy&amp;"_"&amp;Investment_Strategy_Sub2&amp;"_"&amp;$A228,'Investment Strategies'!$AJ:$AV,13,FALSE),
IF(AND(Investment_Strategy="Autopilot",Investment_Strategy_Sub1="Non-Standard"),VLOOKUP(Investment_Strategy&amp;"_"&amp;Investment_Strategy_Sub2&amp;"_"&amp;$A228,'Investment Strategies'!$T:$AF,13,FALSE),
IF(Investment_Strategy="DIY",DIY_ExtManChrge_FuturePremiums,
"Error"))))))</f>
        <v>0</v>
      </c>
      <c r="W228" s="16">
        <f t="shared" si="142"/>
        <v>0</v>
      </c>
      <c r="X228" s="16">
        <f t="shared" si="117"/>
        <v>0</v>
      </c>
      <c r="Y228" s="16">
        <f t="shared" si="118"/>
        <v>0</v>
      </c>
      <c r="Z228" s="31">
        <f t="shared" si="119"/>
        <v>0.02</v>
      </c>
      <c r="AA228" s="16">
        <f t="shared" si="120"/>
        <v>0</v>
      </c>
      <c r="AB228" s="28">
        <f t="shared" si="144"/>
        <v>0</v>
      </c>
      <c r="AC228" s="28">
        <f>(SUM($AC$91:AC227)+SUM($X$91:X227)+X228)*T228*IF(D228=$A$91,SRP_finalmonthfactor,1)</f>
        <v>0</v>
      </c>
      <c r="AD228" s="16">
        <f t="shared" si="121"/>
        <v>0</v>
      </c>
      <c r="AE228" s="106"/>
      <c r="AF228" s="16">
        <f t="shared" si="130"/>
        <v>0</v>
      </c>
      <c r="AG228" s="16">
        <f t="shared" si="131"/>
        <v>0</v>
      </c>
      <c r="AH228" s="16">
        <f t="shared" si="132"/>
        <v>0</v>
      </c>
      <c r="AJ228" s="13">
        <f t="shared" si="143"/>
        <v>0</v>
      </c>
      <c r="AK228" s="13">
        <f t="shared" si="143"/>
        <v>0</v>
      </c>
      <c r="AL228" s="13">
        <f t="shared" si="143"/>
        <v>0</v>
      </c>
      <c r="AM228" s="13">
        <f t="shared" si="143"/>
        <v>0</v>
      </c>
      <c r="AN228" s="13">
        <f t="shared" si="143"/>
        <v>0</v>
      </c>
      <c r="AO228" s="13">
        <f t="shared" si="143"/>
        <v>1</v>
      </c>
      <c r="AP228" s="13">
        <f t="shared" si="143"/>
        <v>1</v>
      </c>
      <c r="AQ228" s="13">
        <f t="shared" si="143"/>
        <v>1</v>
      </c>
      <c r="AR228" s="13">
        <f t="shared" si="143"/>
        <v>1</v>
      </c>
      <c r="AS228" s="13">
        <f t="shared" si="143"/>
        <v>1</v>
      </c>
      <c r="AT228" s="13">
        <f t="shared" si="143"/>
        <v>1</v>
      </c>
      <c r="AU228" s="13">
        <f t="shared" si="143"/>
        <v>1</v>
      </c>
      <c r="AV228" s="13">
        <f t="shared" si="122"/>
        <v>0</v>
      </c>
      <c r="AW228" s="13">
        <f t="shared" si="123"/>
        <v>1</v>
      </c>
      <c r="AY228" s="17">
        <f t="shared" si="124"/>
        <v>138</v>
      </c>
      <c r="AZ228" s="28">
        <f t="shared" si="133"/>
        <v>0</v>
      </c>
      <c r="BA228" s="13">
        <f t="shared" si="125"/>
        <v>0</v>
      </c>
      <c r="BB228" s="13">
        <f t="shared" si="126"/>
        <v>0</v>
      </c>
      <c r="BC228" s="28">
        <f t="shared" si="134"/>
        <v>0</v>
      </c>
      <c r="BD228" s="28">
        <f t="shared" si="135"/>
        <v>0</v>
      </c>
      <c r="BF228" s="248">
        <f t="shared" si="136"/>
        <v>993869.29442638322</v>
      </c>
      <c r="BG228" s="36">
        <f t="shared" si="145"/>
        <v>0</v>
      </c>
      <c r="BH228" s="36">
        <f t="shared" si="146"/>
        <v>880970.17734122218</v>
      </c>
      <c r="BI228" s="249">
        <f t="shared" si="147"/>
        <v>0</v>
      </c>
      <c r="BJ228" s="246">
        <f t="shared" si="148"/>
        <v>0</v>
      </c>
      <c r="BK228" s="246">
        <f t="shared" si="127"/>
        <v>7.531116566323881E-4</v>
      </c>
      <c r="BL228" s="246">
        <f t="shared" si="149"/>
        <v>0</v>
      </c>
      <c r="BM228" s="246">
        <f t="shared" si="150"/>
        <v>7.531116566323881E-4</v>
      </c>
      <c r="BN228" s="36">
        <f t="shared" si="137"/>
        <v>663.46890970117659</v>
      </c>
      <c r="BO228" s="36">
        <f t="shared" si="151"/>
        <v>0</v>
      </c>
      <c r="BP228" s="36">
        <f t="shared" si="152"/>
        <v>880306.70843152096</v>
      </c>
    </row>
    <row r="229" spans="1:68">
      <c r="A229" s="32">
        <f t="shared" si="138"/>
        <v>-54</v>
      </c>
      <c r="B229" s="32">
        <f t="shared" si="128"/>
        <v>64</v>
      </c>
      <c r="C229" s="32">
        <f t="shared" si="139"/>
        <v>12</v>
      </c>
      <c r="D229" s="32">
        <f t="shared" si="140"/>
        <v>139</v>
      </c>
      <c r="E229" s="74">
        <f>MIN(IF(AV229=0,0,
IF(Investment_Strategy="DIS",VLOOKUP(Investment_Strategy&amp;"_"&amp;Investment_Strategy_Sub1&amp;"_"&amp;$A229,'Investment Strategies'!$AZ:$BP,12,FALSE),
IF(AND(Investment_Strategy="Lifecycle",Investment_Strategy_Sub1="Non-Standard"),VLOOKUP(Investment_Strategy&amp;"_"&amp;Investment_Strategy_Sub2&amp;"_"&amp;$A229,'Investment Strategies'!$C:$P,9,FALSE),
IF(AND(Investment_Strategy="Lifecycle",Investment_Strategy_Sub1="Standard"),VLOOKUP(Investment_Strategy&amp;"_"&amp;Investment_Strategy_Sub2&amp;"_"&amp;$A229,'Investment Strategies'!$AJ:$AV,8,FALSE),
IF(AND(Investment_Strategy="Autopilot",Investment_Strategy_Sub1="Non-Standard"),VLOOKUP(Investment_Strategy&amp;"_"&amp;Investment_Strategy_Sub2&amp;"_"&amp;$A229,'Investment Strategies'!$T:$AF,8,FALSE),
IF(Investment_Strategy ="DIY",DIY_RateOfReturn_CurrentFunds,
"Error")))))),Max_InvReturn)</f>
        <v>0</v>
      </c>
      <c r="F229" s="62">
        <f>IF(AV229=0,0,
IF(Investment_Strategy="DIS",VLOOKUP(Investment_Strategy&amp;"_"&amp;Investment_Strategy_Sub1&amp;"_"&amp;$A229,'Investment Strategies'!$AZ:$BP,15,FALSE),
IF(AND(Investment_Strategy="Lifecycle",Investment_Strategy_Sub1="Non-Standard"),VLOOKUP(Investment_Strategy&amp;"_"&amp;Investment_Strategy_Sub2&amp;"_"&amp;$A229,'Investment Strategies'!$C:$P,12,FALSE),
IF(AND(Investment_Strategy="Lifecycle",Investment_Strategy_Sub1="Standard"),VLOOKUP(Investment_Strategy&amp;"_"&amp;Investment_Strategy_Sub2&amp;"_"&amp;$A229,'Investment Strategies'!$AJ:$AV,11,FALSE),
IF(AND(Investment_Strategy="Autopilot",Investment_Strategy_Sub1="Non-Standard"),VLOOKUP(Investment_Strategy&amp;"_"&amp;Investment_Strategy_Sub2&amp;"_"&amp;$A229,'Investment Strategies'!$T:$AF,11,FALSE),
IF(Investment_Strategy="DIY",DIY_GteeChrge_CurrentFunds,
"Error"))))))</f>
        <v>0</v>
      </c>
      <c r="G229" s="33">
        <f>IF(AV229=0,0,
IF(Investment_Strategy="DIS",VLOOKUP(Investment_Strategy&amp;"_"&amp;Investment_Strategy_Sub1&amp;"_"&amp;$A229,'Investment Strategies'!$AZ:$BP,17,FALSE),
IF(AND(Investment_Strategy="Lifecycle",Investment_Strategy_Sub1="Non-Standard"),VLOOKUP(Investment_Strategy&amp;"_"&amp;Investment_Strategy_Sub2&amp;"_"&amp;$A229,'Investment Strategies'!$C:$P,14,FALSE),
IF(AND(Investment_Strategy="Lifecycle",Investment_Strategy_Sub1="Standard"),VLOOKUP(Investment_Strategy&amp;"_"&amp;Investment_Strategy_Sub2&amp;"_"&amp;$A229,'Investment Strategies'!$AJ:$AV,13,FALSE),
IF(AND(Investment_Strategy="Autopilot",Investment_Strategy_Sub1="Non-Standard"),VLOOKUP(Investment_Strategy&amp;"_"&amp;Investment_Strategy_Sub2&amp;"_"&amp;$A229,'Investment Strategies'!$T:$AF,13,FALSE),
IF(Investment_Strategy="DIY",DIY_ExtManChrge_CurrentFunds,
"Error"))))))</f>
        <v>0</v>
      </c>
      <c r="H229" s="16">
        <f t="shared" si="129"/>
        <v>0</v>
      </c>
      <c r="I229" s="16">
        <f t="shared" si="113"/>
        <v>0</v>
      </c>
      <c r="J229" s="16">
        <f t="shared" si="114"/>
        <v>0</v>
      </c>
      <c r="K229" s="16">
        <f>(Opening_Fund_Value+SUM(K$91:K228))*E229*IF(D229=$A$91,SRP_finalmonthfactor,1)</f>
        <v>0</v>
      </c>
      <c r="L229" s="74">
        <f>MIN(IF($AV229=0,0,
IF(Investment_Strategy="DIS",VLOOKUP(Investment_Strategy&amp;"_"&amp;Investment_Strategy_Sub1&amp;"_"&amp;$A229,'Investment Strategies'!$AZ:$BP,12,FALSE),
IF(AND(Investment_Strategy="Lifecycle",Investment_Strategy_Sub1="Non-Standard"),VLOOKUP(Investment_Strategy&amp;"_"&amp;Investment_Strategy_Sub2&amp;"_"&amp;$A229,'Investment Strategies'!$C:$P,9,FALSE),
IF(AND(Investment_Strategy="Lifecycle",Investment_Strategy_Sub1="Standard"),VLOOKUP(Investment_Strategy&amp;"_"&amp;Investment_Strategy_Sub2&amp;"_"&amp;$A229,'Investment Strategies'!$AJ:$AV,8,FALSE),
IF(AND(Investment_Strategy="Autopilot",Investment_Strategy_Sub1="Non-Standard"),VLOOKUP(Investment_Strategy&amp;"_"&amp;Investment_Strategy_Sub2&amp;"_"&amp;$A229,'Investment Strategies'!$T:$AF,8,FALSE),
IF(Investment_Strategy ="DIY",DIY_RateofReturn_SP,
"Error")))))),Max_InvReturn)</f>
        <v>0</v>
      </c>
      <c r="M229" s="62">
        <f>IF($AV229=0,0,
IF(Investment_Strategy="DIS",VLOOKUP(Investment_Strategy&amp;"_"&amp;Investment_Strategy_Sub1&amp;"_"&amp;$A229,'Investment Strategies'!$AZ:$BP,15,FALSE),
IF(AND(Investment_Strategy="Lifecycle",Investment_Strategy_Sub1="Non-Standard"),VLOOKUP(Investment_Strategy&amp;"_"&amp;Investment_Strategy_Sub2&amp;"_"&amp;$A229,'Investment Strategies'!$C:$P,12,FALSE),
IF(AND(Investment_Strategy="Lifecycle",Investment_Strategy_Sub1="Standard"),VLOOKUP(Investment_Strategy&amp;"_"&amp;Investment_Strategy_Sub2&amp;"_"&amp;$A229,'Investment Strategies'!$AJ:$AV,11,FALSE),
IF(AND(Investment_Strategy="Autopilot",Investment_Strategy_Sub1="Non-Standard"),VLOOKUP(Investment_Strategy&amp;"_"&amp;Investment_Strategy_Sub2&amp;"_"&amp;$A229,'Investment Strategies'!$T:$AF,11,FALSE),
IF(Investment_Strategy="DIY",DIY_GteeChrge_SP,
"Error"))))))</f>
        <v>0</v>
      </c>
      <c r="N229" s="33">
        <f>IF($AV229=0,0,
IF(Investment_Strategy="DIS",VLOOKUP(Investment_Strategy&amp;"_"&amp;Investment_Strategy_Sub1&amp;"_"&amp;$A229,'Investment Strategies'!$AZ:$BP,17,FALSE),
IF(AND(Investment_Strategy="Lifecycle",Investment_Strategy_Sub1="Non-Standard"),VLOOKUP(Investment_Strategy&amp;"_"&amp;Investment_Strategy_Sub2&amp;"_"&amp;$A229,'Investment Strategies'!$C:$P,14,FALSE),
IF(AND(Investment_Strategy="Lifecycle",Investment_Strategy_Sub1="Standard"),VLOOKUP(Investment_Strategy&amp;"_"&amp;Investment_Strategy_Sub2&amp;"_"&amp;$A229,'Investment Strategies'!$AJ:$AV,13,FALSE),
IF(AND(Investment_Strategy="Autopilot",Investment_Strategy_Sub1="Non-Standard"),VLOOKUP(Investment_Strategy&amp;"_"&amp;Investment_Strategy_Sub2&amp;"_"&amp;$A229,'Investment Strategies'!$T:$AF,13,FALSE),
IF(Investment_Strategy="DIY",DIY_ExtManChrge_SP,
"Error"))))))</f>
        <v>0</v>
      </c>
      <c r="O229" s="16">
        <f t="shared" si="141"/>
        <v>0</v>
      </c>
      <c r="Q229" s="16">
        <f t="shared" si="115"/>
        <v>0</v>
      </c>
      <c r="R229" s="16">
        <f t="shared" si="116"/>
        <v>0</v>
      </c>
      <c r="S229" s="16">
        <f>(SRP_SP+SUM(S$91:S228))*L229*IF(D229=$A$91,SRP_finalmonthfactor,1)</f>
        <v>0</v>
      </c>
      <c r="T229" s="74">
        <f>MIN(IF($AV229=0,0,
IF(Investment_Strategy="DIS",VLOOKUP(Investment_Strategy&amp;"_"&amp;Investment_Strategy_Sub1&amp;"_"&amp;$A229,'Investment Strategies'!$AZ:$BP,12,FALSE),
IF(AND(Investment_Strategy="Lifecycle",Investment_Strategy_Sub1="Non-Standard"),VLOOKUP(Investment_Strategy&amp;"_"&amp;Investment_Strategy_Sub2&amp;"_"&amp;$A229,'Investment Strategies'!$C:$P,9,FALSE),
IF(AND(Investment_Strategy="Lifecycle",Investment_Strategy_Sub1="Standard"),VLOOKUP(Investment_Strategy&amp;"_"&amp;Investment_Strategy_Sub2&amp;"_"&amp;$A229,'Investment Strategies'!$AJ:$AV,8,FALSE),
IF(AND(Investment_Strategy="Autopilot",Investment_Strategy_Sub1="Non-Standard"),VLOOKUP(Investment_Strategy&amp;"_"&amp;Investment_Strategy_Sub2&amp;"_"&amp;$A229,'Investment Strategies'!$T:$AF,8,FALSE),
IF(Investment_Strategy ="DIY",DIY_RateOfReturn_FuturePremiums,
"Error")))))),Max_InvReturn)</f>
        <v>0</v>
      </c>
      <c r="U229" s="62">
        <f>IF($AV229=0,0,
IF(Investment_Strategy="DIS",VLOOKUP(Investment_Strategy&amp;"_"&amp;Investment_Strategy_Sub1&amp;"_"&amp;$A229,'Investment Strategies'!$AZ:$BP,15,FALSE),
IF(AND(Investment_Strategy="Lifecycle",Investment_Strategy_Sub1="Non-Standard"),VLOOKUP(Investment_Strategy&amp;"_"&amp;Investment_Strategy_Sub2&amp;"_"&amp;$A229,'Investment Strategies'!$C:$P,12,FALSE),
IF(AND(Investment_Strategy="Lifecycle",Investment_Strategy_Sub1="Standard"),VLOOKUP(Investment_Strategy&amp;"_"&amp;Investment_Strategy_Sub2&amp;"_"&amp;$A229,'Investment Strategies'!$AJ:$AV,11,FALSE),
IF(AND(Investment_Strategy="Autopilot",Investment_Strategy_Sub1="Non-Standard"),VLOOKUP(Investment_Strategy&amp;"_"&amp;Investment_Strategy_Sub2&amp;"_"&amp;$A229,'Investment Strategies'!$T:$AF,11,FALSE),
IF(Investment_Strategy="DIY",DIY_GteeChrge_FuturePremiums,
"Error"))))))</f>
        <v>0</v>
      </c>
      <c r="V229" s="33">
        <f>IF(AV229=0,0,
IF(Investment_Strategy="DIS",VLOOKUP(Investment_Strategy&amp;"_"&amp;Investment_Strategy_Sub1&amp;"_"&amp;$A229,'Investment Strategies'!$AZ:$BP,17,FALSE),
IF(AND(Investment_Strategy="Lifecycle",Investment_Strategy_Sub1="Non-Standard"),VLOOKUP(Investment_Strategy&amp;"_"&amp;Investment_Strategy_Sub2&amp;"_"&amp;$A229,'Investment Strategies'!$C:$P,14,FALSE),
IF(AND(Investment_Strategy="Lifecycle",Investment_Strategy_Sub1="Standard"),VLOOKUP(Investment_Strategy&amp;"_"&amp;Investment_Strategy_Sub2&amp;"_"&amp;$A229,'Investment Strategies'!$AJ:$AV,13,FALSE),
IF(AND(Investment_Strategy="Autopilot",Investment_Strategy_Sub1="Non-Standard"),VLOOKUP(Investment_Strategy&amp;"_"&amp;Investment_Strategy_Sub2&amp;"_"&amp;$A229,'Investment Strategies'!$T:$AF,13,FALSE),
IF(Investment_Strategy="DIY",DIY_ExtManChrge_FuturePremiums,
"Error"))))))</f>
        <v>0</v>
      </c>
      <c r="W229" s="16">
        <f t="shared" si="142"/>
        <v>0</v>
      </c>
      <c r="X229" s="16">
        <f t="shared" si="117"/>
        <v>0</v>
      </c>
      <c r="Y229" s="16">
        <f t="shared" si="118"/>
        <v>0</v>
      </c>
      <c r="Z229" s="31">
        <f t="shared" si="119"/>
        <v>0.02</v>
      </c>
      <c r="AA229" s="16">
        <f t="shared" si="120"/>
        <v>0</v>
      </c>
      <c r="AB229" s="28">
        <f t="shared" si="144"/>
        <v>0</v>
      </c>
      <c r="AC229" s="28">
        <f>(SUM($AC$91:AC228)+SUM($X$91:X228)+X229)*T229*IF(D229=$A$91,SRP_finalmonthfactor,1)</f>
        <v>0</v>
      </c>
      <c r="AD229" s="16">
        <f t="shared" si="121"/>
        <v>0</v>
      </c>
      <c r="AE229" s="106"/>
      <c r="AF229" s="16">
        <f t="shared" si="130"/>
        <v>0</v>
      </c>
      <c r="AG229" s="16">
        <f t="shared" si="131"/>
        <v>0</v>
      </c>
      <c r="AH229" s="16">
        <f t="shared" si="132"/>
        <v>0</v>
      </c>
      <c r="AJ229" s="13">
        <f t="shared" si="143"/>
        <v>0</v>
      </c>
      <c r="AK229" s="13">
        <f t="shared" si="143"/>
        <v>0</v>
      </c>
      <c r="AL229" s="13">
        <f t="shared" si="143"/>
        <v>0</v>
      </c>
      <c r="AM229" s="13">
        <f t="shared" si="143"/>
        <v>0</v>
      </c>
      <c r="AN229" s="13">
        <f t="shared" si="143"/>
        <v>0</v>
      </c>
      <c r="AO229" s="13">
        <f t="shared" si="143"/>
        <v>1</v>
      </c>
      <c r="AP229" s="13">
        <f t="shared" si="143"/>
        <v>1</v>
      </c>
      <c r="AQ229" s="13">
        <f t="shared" si="143"/>
        <v>1</v>
      </c>
      <c r="AR229" s="13">
        <f t="shared" si="143"/>
        <v>1</v>
      </c>
      <c r="AS229" s="13">
        <f t="shared" si="143"/>
        <v>1</v>
      </c>
      <c r="AT229" s="13">
        <f t="shared" si="143"/>
        <v>1</v>
      </c>
      <c r="AU229" s="13">
        <f t="shared" si="143"/>
        <v>1</v>
      </c>
      <c r="AV229" s="13">
        <f t="shared" si="122"/>
        <v>0</v>
      </c>
      <c r="AW229" s="13">
        <f t="shared" si="123"/>
        <v>1</v>
      </c>
      <c r="AY229" s="17">
        <f t="shared" si="124"/>
        <v>139</v>
      </c>
      <c r="AZ229" s="28">
        <f t="shared" si="133"/>
        <v>0</v>
      </c>
      <c r="BA229" s="13">
        <f t="shared" si="125"/>
        <v>0</v>
      </c>
      <c r="BB229" s="13">
        <f t="shared" si="126"/>
        <v>0</v>
      </c>
      <c r="BC229" s="28">
        <f t="shared" si="134"/>
        <v>0</v>
      </c>
      <c r="BD229" s="28">
        <f t="shared" si="135"/>
        <v>0</v>
      </c>
      <c r="BF229" s="248">
        <f t="shared" si="136"/>
        <v>993869.29442638322</v>
      </c>
      <c r="BG229" s="36">
        <f t="shared" si="145"/>
        <v>0</v>
      </c>
      <c r="BH229" s="36">
        <f t="shared" si="146"/>
        <v>880306.70843152096</v>
      </c>
      <c r="BI229" s="249">
        <f t="shared" si="147"/>
        <v>0</v>
      </c>
      <c r="BJ229" s="246">
        <f t="shared" si="148"/>
        <v>0</v>
      </c>
      <c r="BK229" s="246">
        <f t="shared" si="127"/>
        <v>7.531116566323881E-4</v>
      </c>
      <c r="BL229" s="246">
        <f t="shared" si="149"/>
        <v>0</v>
      </c>
      <c r="BM229" s="246">
        <f t="shared" si="150"/>
        <v>7.531116566323881E-4</v>
      </c>
      <c r="BN229" s="36">
        <f t="shared" si="137"/>
        <v>662.96924353146744</v>
      </c>
      <c r="BO229" s="36">
        <f t="shared" si="151"/>
        <v>0</v>
      </c>
      <c r="BP229" s="36">
        <f t="shared" si="152"/>
        <v>879643.7391879895</v>
      </c>
    </row>
    <row r="230" spans="1:68">
      <c r="A230" s="32">
        <f t="shared" si="138"/>
        <v>-55</v>
      </c>
      <c r="B230" s="32">
        <f t="shared" si="128"/>
        <v>64</v>
      </c>
      <c r="C230" s="32">
        <f t="shared" si="139"/>
        <v>12</v>
      </c>
      <c r="D230" s="32">
        <f t="shared" si="140"/>
        <v>140</v>
      </c>
      <c r="E230" s="74">
        <f>MIN(IF(AV230=0,0,
IF(Investment_Strategy="DIS",VLOOKUP(Investment_Strategy&amp;"_"&amp;Investment_Strategy_Sub1&amp;"_"&amp;$A230,'Investment Strategies'!$AZ:$BP,12,FALSE),
IF(AND(Investment_Strategy="Lifecycle",Investment_Strategy_Sub1="Non-Standard"),VLOOKUP(Investment_Strategy&amp;"_"&amp;Investment_Strategy_Sub2&amp;"_"&amp;$A230,'Investment Strategies'!$C:$P,9,FALSE),
IF(AND(Investment_Strategy="Lifecycle",Investment_Strategy_Sub1="Standard"),VLOOKUP(Investment_Strategy&amp;"_"&amp;Investment_Strategy_Sub2&amp;"_"&amp;$A230,'Investment Strategies'!$AJ:$AV,8,FALSE),
IF(AND(Investment_Strategy="Autopilot",Investment_Strategy_Sub1="Non-Standard"),VLOOKUP(Investment_Strategy&amp;"_"&amp;Investment_Strategy_Sub2&amp;"_"&amp;$A230,'Investment Strategies'!$T:$AF,8,FALSE),
IF(Investment_Strategy ="DIY",DIY_RateOfReturn_CurrentFunds,
"Error")))))),Max_InvReturn)</f>
        <v>0</v>
      </c>
      <c r="F230" s="62">
        <f>IF(AV230=0,0,
IF(Investment_Strategy="DIS",VLOOKUP(Investment_Strategy&amp;"_"&amp;Investment_Strategy_Sub1&amp;"_"&amp;$A230,'Investment Strategies'!$AZ:$BP,15,FALSE),
IF(AND(Investment_Strategy="Lifecycle",Investment_Strategy_Sub1="Non-Standard"),VLOOKUP(Investment_Strategy&amp;"_"&amp;Investment_Strategy_Sub2&amp;"_"&amp;$A230,'Investment Strategies'!$C:$P,12,FALSE),
IF(AND(Investment_Strategy="Lifecycle",Investment_Strategy_Sub1="Standard"),VLOOKUP(Investment_Strategy&amp;"_"&amp;Investment_Strategy_Sub2&amp;"_"&amp;$A230,'Investment Strategies'!$AJ:$AV,11,FALSE),
IF(AND(Investment_Strategy="Autopilot",Investment_Strategy_Sub1="Non-Standard"),VLOOKUP(Investment_Strategy&amp;"_"&amp;Investment_Strategy_Sub2&amp;"_"&amp;$A230,'Investment Strategies'!$T:$AF,11,FALSE),
IF(Investment_Strategy="DIY",DIY_GteeChrge_CurrentFunds,
"Error"))))))</f>
        <v>0</v>
      </c>
      <c r="G230" s="33">
        <f>IF(AV230=0,0,
IF(Investment_Strategy="DIS",VLOOKUP(Investment_Strategy&amp;"_"&amp;Investment_Strategy_Sub1&amp;"_"&amp;$A230,'Investment Strategies'!$AZ:$BP,17,FALSE),
IF(AND(Investment_Strategy="Lifecycle",Investment_Strategy_Sub1="Non-Standard"),VLOOKUP(Investment_Strategy&amp;"_"&amp;Investment_Strategy_Sub2&amp;"_"&amp;$A230,'Investment Strategies'!$C:$P,14,FALSE),
IF(AND(Investment_Strategy="Lifecycle",Investment_Strategy_Sub1="Standard"),VLOOKUP(Investment_Strategy&amp;"_"&amp;Investment_Strategy_Sub2&amp;"_"&amp;$A230,'Investment Strategies'!$AJ:$AV,13,FALSE),
IF(AND(Investment_Strategy="Autopilot",Investment_Strategy_Sub1="Non-Standard"),VLOOKUP(Investment_Strategy&amp;"_"&amp;Investment_Strategy_Sub2&amp;"_"&amp;$A230,'Investment Strategies'!$T:$AF,13,FALSE),
IF(Investment_Strategy="DIY",DIY_ExtManChrge_CurrentFunds,
"Error"))))))</f>
        <v>0</v>
      </c>
      <c r="H230" s="16">
        <f t="shared" si="129"/>
        <v>0</v>
      </c>
      <c r="I230" s="16">
        <f t="shared" si="113"/>
        <v>0</v>
      </c>
      <c r="J230" s="16">
        <f t="shared" si="114"/>
        <v>0</v>
      </c>
      <c r="K230" s="16">
        <f>(Opening_Fund_Value+SUM(K$91:K229))*E230*IF(D230=$A$91,SRP_finalmonthfactor,1)</f>
        <v>0</v>
      </c>
      <c r="L230" s="74">
        <f>MIN(IF($AV230=0,0,
IF(Investment_Strategy="DIS",VLOOKUP(Investment_Strategy&amp;"_"&amp;Investment_Strategy_Sub1&amp;"_"&amp;$A230,'Investment Strategies'!$AZ:$BP,12,FALSE),
IF(AND(Investment_Strategy="Lifecycle",Investment_Strategy_Sub1="Non-Standard"),VLOOKUP(Investment_Strategy&amp;"_"&amp;Investment_Strategy_Sub2&amp;"_"&amp;$A230,'Investment Strategies'!$C:$P,9,FALSE),
IF(AND(Investment_Strategy="Lifecycle",Investment_Strategy_Sub1="Standard"),VLOOKUP(Investment_Strategy&amp;"_"&amp;Investment_Strategy_Sub2&amp;"_"&amp;$A230,'Investment Strategies'!$AJ:$AV,8,FALSE),
IF(AND(Investment_Strategy="Autopilot",Investment_Strategy_Sub1="Non-Standard"),VLOOKUP(Investment_Strategy&amp;"_"&amp;Investment_Strategy_Sub2&amp;"_"&amp;$A230,'Investment Strategies'!$T:$AF,8,FALSE),
IF(Investment_Strategy ="DIY",DIY_RateofReturn_SP,
"Error")))))),Max_InvReturn)</f>
        <v>0</v>
      </c>
      <c r="M230" s="62">
        <f>IF($AV230=0,0,
IF(Investment_Strategy="DIS",VLOOKUP(Investment_Strategy&amp;"_"&amp;Investment_Strategy_Sub1&amp;"_"&amp;$A230,'Investment Strategies'!$AZ:$BP,15,FALSE),
IF(AND(Investment_Strategy="Lifecycle",Investment_Strategy_Sub1="Non-Standard"),VLOOKUP(Investment_Strategy&amp;"_"&amp;Investment_Strategy_Sub2&amp;"_"&amp;$A230,'Investment Strategies'!$C:$P,12,FALSE),
IF(AND(Investment_Strategy="Lifecycle",Investment_Strategy_Sub1="Standard"),VLOOKUP(Investment_Strategy&amp;"_"&amp;Investment_Strategy_Sub2&amp;"_"&amp;$A230,'Investment Strategies'!$AJ:$AV,11,FALSE),
IF(AND(Investment_Strategy="Autopilot",Investment_Strategy_Sub1="Non-Standard"),VLOOKUP(Investment_Strategy&amp;"_"&amp;Investment_Strategy_Sub2&amp;"_"&amp;$A230,'Investment Strategies'!$T:$AF,11,FALSE),
IF(Investment_Strategy="DIY",DIY_GteeChrge_SP,
"Error"))))))</f>
        <v>0</v>
      </c>
      <c r="N230" s="33">
        <f>IF($AV230=0,0,
IF(Investment_Strategy="DIS",VLOOKUP(Investment_Strategy&amp;"_"&amp;Investment_Strategy_Sub1&amp;"_"&amp;$A230,'Investment Strategies'!$AZ:$BP,17,FALSE),
IF(AND(Investment_Strategy="Lifecycle",Investment_Strategy_Sub1="Non-Standard"),VLOOKUP(Investment_Strategy&amp;"_"&amp;Investment_Strategy_Sub2&amp;"_"&amp;$A230,'Investment Strategies'!$C:$P,14,FALSE),
IF(AND(Investment_Strategy="Lifecycle",Investment_Strategy_Sub1="Standard"),VLOOKUP(Investment_Strategy&amp;"_"&amp;Investment_Strategy_Sub2&amp;"_"&amp;$A230,'Investment Strategies'!$AJ:$AV,13,FALSE),
IF(AND(Investment_Strategy="Autopilot",Investment_Strategy_Sub1="Non-Standard"),VLOOKUP(Investment_Strategy&amp;"_"&amp;Investment_Strategy_Sub2&amp;"_"&amp;$A230,'Investment Strategies'!$T:$AF,13,FALSE),
IF(Investment_Strategy="DIY",DIY_ExtManChrge_SP,
"Error"))))))</f>
        <v>0</v>
      </c>
      <c r="O230" s="16">
        <f t="shared" si="141"/>
        <v>0</v>
      </c>
      <c r="Q230" s="16">
        <f t="shared" si="115"/>
        <v>0</v>
      </c>
      <c r="R230" s="16">
        <f t="shared" si="116"/>
        <v>0</v>
      </c>
      <c r="S230" s="16">
        <f>(SRP_SP+SUM(S$91:S229))*L230*IF(D230=$A$91,SRP_finalmonthfactor,1)</f>
        <v>0</v>
      </c>
      <c r="T230" s="74">
        <f>MIN(IF($AV230=0,0,
IF(Investment_Strategy="DIS",VLOOKUP(Investment_Strategy&amp;"_"&amp;Investment_Strategy_Sub1&amp;"_"&amp;$A230,'Investment Strategies'!$AZ:$BP,12,FALSE),
IF(AND(Investment_Strategy="Lifecycle",Investment_Strategy_Sub1="Non-Standard"),VLOOKUP(Investment_Strategy&amp;"_"&amp;Investment_Strategy_Sub2&amp;"_"&amp;$A230,'Investment Strategies'!$C:$P,9,FALSE),
IF(AND(Investment_Strategy="Lifecycle",Investment_Strategy_Sub1="Standard"),VLOOKUP(Investment_Strategy&amp;"_"&amp;Investment_Strategy_Sub2&amp;"_"&amp;$A230,'Investment Strategies'!$AJ:$AV,8,FALSE),
IF(AND(Investment_Strategy="Autopilot",Investment_Strategy_Sub1="Non-Standard"),VLOOKUP(Investment_Strategy&amp;"_"&amp;Investment_Strategy_Sub2&amp;"_"&amp;$A230,'Investment Strategies'!$T:$AF,8,FALSE),
IF(Investment_Strategy ="DIY",DIY_RateOfReturn_FuturePremiums,
"Error")))))),Max_InvReturn)</f>
        <v>0</v>
      </c>
      <c r="U230" s="62">
        <f>IF($AV230=0,0,
IF(Investment_Strategy="DIS",VLOOKUP(Investment_Strategy&amp;"_"&amp;Investment_Strategy_Sub1&amp;"_"&amp;$A230,'Investment Strategies'!$AZ:$BP,15,FALSE),
IF(AND(Investment_Strategy="Lifecycle",Investment_Strategy_Sub1="Non-Standard"),VLOOKUP(Investment_Strategy&amp;"_"&amp;Investment_Strategy_Sub2&amp;"_"&amp;$A230,'Investment Strategies'!$C:$P,12,FALSE),
IF(AND(Investment_Strategy="Lifecycle",Investment_Strategy_Sub1="Standard"),VLOOKUP(Investment_Strategy&amp;"_"&amp;Investment_Strategy_Sub2&amp;"_"&amp;$A230,'Investment Strategies'!$AJ:$AV,11,FALSE),
IF(AND(Investment_Strategy="Autopilot",Investment_Strategy_Sub1="Non-Standard"),VLOOKUP(Investment_Strategy&amp;"_"&amp;Investment_Strategy_Sub2&amp;"_"&amp;$A230,'Investment Strategies'!$T:$AF,11,FALSE),
IF(Investment_Strategy="DIY",DIY_GteeChrge_FuturePremiums,
"Error"))))))</f>
        <v>0</v>
      </c>
      <c r="V230" s="33">
        <f>IF(AV230=0,0,
IF(Investment_Strategy="DIS",VLOOKUP(Investment_Strategy&amp;"_"&amp;Investment_Strategy_Sub1&amp;"_"&amp;$A230,'Investment Strategies'!$AZ:$BP,17,FALSE),
IF(AND(Investment_Strategy="Lifecycle",Investment_Strategy_Sub1="Non-Standard"),VLOOKUP(Investment_Strategy&amp;"_"&amp;Investment_Strategy_Sub2&amp;"_"&amp;$A230,'Investment Strategies'!$C:$P,14,FALSE),
IF(AND(Investment_Strategy="Lifecycle",Investment_Strategy_Sub1="Standard"),VLOOKUP(Investment_Strategy&amp;"_"&amp;Investment_Strategy_Sub2&amp;"_"&amp;$A230,'Investment Strategies'!$AJ:$AV,13,FALSE),
IF(AND(Investment_Strategy="Autopilot",Investment_Strategy_Sub1="Non-Standard"),VLOOKUP(Investment_Strategy&amp;"_"&amp;Investment_Strategy_Sub2&amp;"_"&amp;$A230,'Investment Strategies'!$T:$AF,13,FALSE),
IF(Investment_Strategy="DIY",DIY_ExtManChrge_FuturePremiums,
"Error"))))))</f>
        <v>0</v>
      </c>
      <c r="W230" s="16">
        <f t="shared" si="142"/>
        <v>0</v>
      </c>
      <c r="X230" s="16">
        <f t="shared" si="117"/>
        <v>0</v>
      </c>
      <c r="Y230" s="16">
        <f t="shared" si="118"/>
        <v>0</v>
      </c>
      <c r="Z230" s="31">
        <f t="shared" si="119"/>
        <v>0.02</v>
      </c>
      <c r="AA230" s="16">
        <f t="shared" si="120"/>
        <v>0</v>
      </c>
      <c r="AB230" s="28">
        <f t="shared" si="144"/>
        <v>0</v>
      </c>
      <c r="AC230" s="28">
        <f>(SUM($AC$91:AC229)+SUM($X$91:X229)+X230)*T230*IF(D230=$A$91,SRP_finalmonthfactor,1)</f>
        <v>0</v>
      </c>
      <c r="AD230" s="16">
        <f t="shared" si="121"/>
        <v>0</v>
      </c>
      <c r="AE230" s="106"/>
      <c r="AF230" s="16">
        <f t="shared" si="130"/>
        <v>0</v>
      </c>
      <c r="AG230" s="16">
        <f t="shared" si="131"/>
        <v>0</v>
      </c>
      <c r="AH230" s="16">
        <f t="shared" si="132"/>
        <v>0</v>
      </c>
      <c r="AJ230" s="13">
        <f t="shared" si="143"/>
        <v>0</v>
      </c>
      <c r="AK230" s="13">
        <f t="shared" si="143"/>
        <v>0</v>
      </c>
      <c r="AL230" s="13">
        <f t="shared" si="143"/>
        <v>0</v>
      </c>
      <c r="AM230" s="13">
        <f t="shared" si="143"/>
        <v>0</v>
      </c>
      <c r="AN230" s="13">
        <f t="shared" si="143"/>
        <v>0</v>
      </c>
      <c r="AO230" s="13">
        <f t="shared" si="143"/>
        <v>1</v>
      </c>
      <c r="AP230" s="13">
        <f t="shared" si="143"/>
        <v>1</v>
      </c>
      <c r="AQ230" s="13">
        <f t="shared" si="143"/>
        <v>1</v>
      </c>
      <c r="AR230" s="13">
        <f t="shared" si="143"/>
        <v>1</v>
      </c>
      <c r="AS230" s="13">
        <f t="shared" si="143"/>
        <v>1</v>
      </c>
      <c r="AT230" s="13">
        <f t="shared" si="143"/>
        <v>1</v>
      </c>
      <c r="AU230" s="13">
        <f t="shared" si="143"/>
        <v>1</v>
      </c>
      <c r="AV230" s="13">
        <f t="shared" si="122"/>
        <v>0</v>
      </c>
      <c r="AW230" s="13">
        <f t="shared" si="123"/>
        <v>1</v>
      </c>
      <c r="AY230" s="17">
        <f t="shared" si="124"/>
        <v>140</v>
      </c>
      <c r="AZ230" s="28">
        <f t="shared" si="133"/>
        <v>0</v>
      </c>
      <c r="BA230" s="13">
        <f t="shared" si="125"/>
        <v>0</v>
      </c>
      <c r="BB230" s="13">
        <f t="shared" si="126"/>
        <v>0</v>
      </c>
      <c r="BC230" s="28">
        <f t="shared" si="134"/>
        <v>0</v>
      </c>
      <c r="BD230" s="28">
        <f t="shared" si="135"/>
        <v>0</v>
      </c>
      <c r="BF230" s="248">
        <f t="shared" si="136"/>
        <v>993869.29442638322</v>
      </c>
      <c r="BG230" s="36">
        <f t="shared" si="145"/>
        <v>0</v>
      </c>
      <c r="BH230" s="36">
        <f t="shared" si="146"/>
        <v>879643.7391879895</v>
      </c>
      <c r="BI230" s="249">
        <f t="shared" si="147"/>
        <v>0</v>
      </c>
      <c r="BJ230" s="246">
        <f t="shared" si="148"/>
        <v>0</v>
      </c>
      <c r="BK230" s="246">
        <f t="shared" si="127"/>
        <v>7.531116566323881E-4</v>
      </c>
      <c r="BL230" s="246">
        <f t="shared" si="149"/>
        <v>0</v>
      </c>
      <c r="BM230" s="246">
        <f t="shared" si="150"/>
        <v>7.531116566323881E-4</v>
      </c>
      <c r="BN230" s="36">
        <f t="shared" si="137"/>
        <v>662.46995366617512</v>
      </c>
      <c r="BO230" s="36">
        <f t="shared" si="151"/>
        <v>0</v>
      </c>
      <c r="BP230" s="36">
        <f t="shared" si="152"/>
        <v>878981.26923432329</v>
      </c>
    </row>
    <row r="231" spans="1:68">
      <c r="A231" s="32">
        <f t="shared" si="138"/>
        <v>-56</v>
      </c>
      <c r="B231" s="32">
        <f t="shared" si="128"/>
        <v>64</v>
      </c>
      <c r="C231" s="32">
        <f t="shared" si="139"/>
        <v>12</v>
      </c>
      <c r="D231" s="32">
        <f t="shared" si="140"/>
        <v>141</v>
      </c>
      <c r="E231" s="74">
        <f>MIN(IF(AV231=0,0,
IF(Investment_Strategy="DIS",VLOOKUP(Investment_Strategy&amp;"_"&amp;Investment_Strategy_Sub1&amp;"_"&amp;$A231,'Investment Strategies'!$AZ:$BP,12,FALSE),
IF(AND(Investment_Strategy="Lifecycle",Investment_Strategy_Sub1="Non-Standard"),VLOOKUP(Investment_Strategy&amp;"_"&amp;Investment_Strategy_Sub2&amp;"_"&amp;$A231,'Investment Strategies'!$C:$P,9,FALSE),
IF(AND(Investment_Strategy="Lifecycle",Investment_Strategy_Sub1="Standard"),VLOOKUP(Investment_Strategy&amp;"_"&amp;Investment_Strategy_Sub2&amp;"_"&amp;$A231,'Investment Strategies'!$AJ:$AV,8,FALSE),
IF(AND(Investment_Strategy="Autopilot",Investment_Strategy_Sub1="Non-Standard"),VLOOKUP(Investment_Strategy&amp;"_"&amp;Investment_Strategy_Sub2&amp;"_"&amp;$A231,'Investment Strategies'!$T:$AF,8,FALSE),
IF(Investment_Strategy ="DIY",DIY_RateOfReturn_CurrentFunds,
"Error")))))),Max_InvReturn)</f>
        <v>0</v>
      </c>
      <c r="F231" s="62">
        <f>IF(AV231=0,0,
IF(Investment_Strategy="DIS",VLOOKUP(Investment_Strategy&amp;"_"&amp;Investment_Strategy_Sub1&amp;"_"&amp;$A231,'Investment Strategies'!$AZ:$BP,15,FALSE),
IF(AND(Investment_Strategy="Lifecycle",Investment_Strategy_Sub1="Non-Standard"),VLOOKUP(Investment_Strategy&amp;"_"&amp;Investment_Strategy_Sub2&amp;"_"&amp;$A231,'Investment Strategies'!$C:$P,12,FALSE),
IF(AND(Investment_Strategy="Lifecycle",Investment_Strategy_Sub1="Standard"),VLOOKUP(Investment_Strategy&amp;"_"&amp;Investment_Strategy_Sub2&amp;"_"&amp;$A231,'Investment Strategies'!$AJ:$AV,11,FALSE),
IF(AND(Investment_Strategy="Autopilot",Investment_Strategy_Sub1="Non-Standard"),VLOOKUP(Investment_Strategy&amp;"_"&amp;Investment_Strategy_Sub2&amp;"_"&amp;$A231,'Investment Strategies'!$T:$AF,11,FALSE),
IF(Investment_Strategy="DIY",DIY_GteeChrge_CurrentFunds,
"Error"))))))</f>
        <v>0</v>
      </c>
      <c r="G231" s="33">
        <f>IF(AV231=0,0,
IF(Investment_Strategy="DIS",VLOOKUP(Investment_Strategy&amp;"_"&amp;Investment_Strategy_Sub1&amp;"_"&amp;$A231,'Investment Strategies'!$AZ:$BP,17,FALSE),
IF(AND(Investment_Strategy="Lifecycle",Investment_Strategy_Sub1="Non-Standard"),VLOOKUP(Investment_Strategy&amp;"_"&amp;Investment_Strategy_Sub2&amp;"_"&amp;$A231,'Investment Strategies'!$C:$P,14,FALSE),
IF(AND(Investment_Strategy="Lifecycle",Investment_Strategy_Sub1="Standard"),VLOOKUP(Investment_Strategy&amp;"_"&amp;Investment_Strategy_Sub2&amp;"_"&amp;$A231,'Investment Strategies'!$AJ:$AV,13,FALSE),
IF(AND(Investment_Strategy="Autopilot",Investment_Strategy_Sub1="Non-Standard"),VLOOKUP(Investment_Strategy&amp;"_"&amp;Investment_Strategy_Sub2&amp;"_"&amp;$A231,'Investment Strategies'!$T:$AF,13,FALSE),
IF(Investment_Strategy="DIY",DIY_ExtManChrge_CurrentFunds,
"Error"))))))</f>
        <v>0</v>
      </c>
      <c r="H231" s="16">
        <f t="shared" si="129"/>
        <v>0</v>
      </c>
      <c r="I231" s="16">
        <f t="shared" si="113"/>
        <v>0</v>
      </c>
      <c r="J231" s="16">
        <f t="shared" si="114"/>
        <v>0</v>
      </c>
      <c r="K231" s="16">
        <f>(Opening_Fund_Value+SUM(K$91:K230))*E231*IF(D231=$A$91,SRP_finalmonthfactor,1)</f>
        <v>0</v>
      </c>
      <c r="L231" s="74">
        <f>MIN(IF($AV231=0,0,
IF(Investment_Strategy="DIS",VLOOKUP(Investment_Strategy&amp;"_"&amp;Investment_Strategy_Sub1&amp;"_"&amp;$A231,'Investment Strategies'!$AZ:$BP,12,FALSE),
IF(AND(Investment_Strategy="Lifecycle",Investment_Strategy_Sub1="Non-Standard"),VLOOKUP(Investment_Strategy&amp;"_"&amp;Investment_Strategy_Sub2&amp;"_"&amp;$A231,'Investment Strategies'!$C:$P,9,FALSE),
IF(AND(Investment_Strategy="Lifecycle",Investment_Strategy_Sub1="Standard"),VLOOKUP(Investment_Strategy&amp;"_"&amp;Investment_Strategy_Sub2&amp;"_"&amp;$A231,'Investment Strategies'!$AJ:$AV,8,FALSE),
IF(AND(Investment_Strategy="Autopilot",Investment_Strategy_Sub1="Non-Standard"),VLOOKUP(Investment_Strategy&amp;"_"&amp;Investment_Strategy_Sub2&amp;"_"&amp;$A231,'Investment Strategies'!$T:$AF,8,FALSE),
IF(Investment_Strategy ="DIY",DIY_RateofReturn_SP,
"Error")))))),Max_InvReturn)</f>
        <v>0</v>
      </c>
      <c r="M231" s="62">
        <f>IF($AV231=0,0,
IF(Investment_Strategy="DIS",VLOOKUP(Investment_Strategy&amp;"_"&amp;Investment_Strategy_Sub1&amp;"_"&amp;$A231,'Investment Strategies'!$AZ:$BP,15,FALSE),
IF(AND(Investment_Strategy="Lifecycle",Investment_Strategy_Sub1="Non-Standard"),VLOOKUP(Investment_Strategy&amp;"_"&amp;Investment_Strategy_Sub2&amp;"_"&amp;$A231,'Investment Strategies'!$C:$P,12,FALSE),
IF(AND(Investment_Strategy="Lifecycle",Investment_Strategy_Sub1="Standard"),VLOOKUP(Investment_Strategy&amp;"_"&amp;Investment_Strategy_Sub2&amp;"_"&amp;$A231,'Investment Strategies'!$AJ:$AV,11,FALSE),
IF(AND(Investment_Strategy="Autopilot",Investment_Strategy_Sub1="Non-Standard"),VLOOKUP(Investment_Strategy&amp;"_"&amp;Investment_Strategy_Sub2&amp;"_"&amp;$A231,'Investment Strategies'!$T:$AF,11,FALSE),
IF(Investment_Strategy="DIY",DIY_GteeChrge_SP,
"Error"))))))</f>
        <v>0</v>
      </c>
      <c r="N231" s="33">
        <f>IF($AV231=0,0,
IF(Investment_Strategy="DIS",VLOOKUP(Investment_Strategy&amp;"_"&amp;Investment_Strategy_Sub1&amp;"_"&amp;$A231,'Investment Strategies'!$AZ:$BP,17,FALSE),
IF(AND(Investment_Strategy="Lifecycle",Investment_Strategy_Sub1="Non-Standard"),VLOOKUP(Investment_Strategy&amp;"_"&amp;Investment_Strategy_Sub2&amp;"_"&amp;$A231,'Investment Strategies'!$C:$P,14,FALSE),
IF(AND(Investment_Strategy="Lifecycle",Investment_Strategy_Sub1="Standard"),VLOOKUP(Investment_Strategy&amp;"_"&amp;Investment_Strategy_Sub2&amp;"_"&amp;$A231,'Investment Strategies'!$AJ:$AV,13,FALSE),
IF(AND(Investment_Strategy="Autopilot",Investment_Strategy_Sub1="Non-Standard"),VLOOKUP(Investment_Strategy&amp;"_"&amp;Investment_Strategy_Sub2&amp;"_"&amp;$A231,'Investment Strategies'!$T:$AF,13,FALSE),
IF(Investment_Strategy="DIY",DIY_ExtManChrge_SP,
"Error"))))))</f>
        <v>0</v>
      </c>
      <c r="O231" s="16">
        <f t="shared" si="141"/>
        <v>0</v>
      </c>
      <c r="Q231" s="16">
        <f t="shared" si="115"/>
        <v>0</v>
      </c>
      <c r="R231" s="16">
        <f t="shared" si="116"/>
        <v>0</v>
      </c>
      <c r="S231" s="16">
        <f>(SRP_SP+SUM(S$91:S230))*L231*IF(D231=$A$91,SRP_finalmonthfactor,1)</f>
        <v>0</v>
      </c>
      <c r="T231" s="74">
        <f>MIN(IF($AV231=0,0,
IF(Investment_Strategy="DIS",VLOOKUP(Investment_Strategy&amp;"_"&amp;Investment_Strategy_Sub1&amp;"_"&amp;$A231,'Investment Strategies'!$AZ:$BP,12,FALSE),
IF(AND(Investment_Strategy="Lifecycle",Investment_Strategy_Sub1="Non-Standard"),VLOOKUP(Investment_Strategy&amp;"_"&amp;Investment_Strategy_Sub2&amp;"_"&amp;$A231,'Investment Strategies'!$C:$P,9,FALSE),
IF(AND(Investment_Strategy="Lifecycle",Investment_Strategy_Sub1="Standard"),VLOOKUP(Investment_Strategy&amp;"_"&amp;Investment_Strategy_Sub2&amp;"_"&amp;$A231,'Investment Strategies'!$AJ:$AV,8,FALSE),
IF(AND(Investment_Strategy="Autopilot",Investment_Strategy_Sub1="Non-Standard"),VLOOKUP(Investment_Strategy&amp;"_"&amp;Investment_Strategy_Sub2&amp;"_"&amp;$A231,'Investment Strategies'!$T:$AF,8,FALSE),
IF(Investment_Strategy ="DIY",DIY_RateOfReturn_FuturePremiums,
"Error")))))),Max_InvReturn)</f>
        <v>0</v>
      </c>
      <c r="U231" s="62">
        <f>IF($AV231=0,0,
IF(Investment_Strategy="DIS",VLOOKUP(Investment_Strategy&amp;"_"&amp;Investment_Strategy_Sub1&amp;"_"&amp;$A231,'Investment Strategies'!$AZ:$BP,15,FALSE),
IF(AND(Investment_Strategy="Lifecycle",Investment_Strategy_Sub1="Non-Standard"),VLOOKUP(Investment_Strategy&amp;"_"&amp;Investment_Strategy_Sub2&amp;"_"&amp;$A231,'Investment Strategies'!$C:$P,12,FALSE),
IF(AND(Investment_Strategy="Lifecycle",Investment_Strategy_Sub1="Standard"),VLOOKUP(Investment_Strategy&amp;"_"&amp;Investment_Strategy_Sub2&amp;"_"&amp;$A231,'Investment Strategies'!$AJ:$AV,11,FALSE),
IF(AND(Investment_Strategy="Autopilot",Investment_Strategy_Sub1="Non-Standard"),VLOOKUP(Investment_Strategy&amp;"_"&amp;Investment_Strategy_Sub2&amp;"_"&amp;$A231,'Investment Strategies'!$T:$AF,11,FALSE),
IF(Investment_Strategy="DIY",DIY_GteeChrge_FuturePremiums,
"Error"))))))</f>
        <v>0</v>
      </c>
      <c r="V231" s="33">
        <f>IF(AV231=0,0,
IF(Investment_Strategy="DIS",VLOOKUP(Investment_Strategy&amp;"_"&amp;Investment_Strategy_Sub1&amp;"_"&amp;$A231,'Investment Strategies'!$AZ:$BP,17,FALSE),
IF(AND(Investment_Strategy="Lifecycle",Investment_Strategy_Sub1="Non-Standard"),VLOOKUP(Investment_Strategy&amp;"_"&amp;Investment_Strategy_Sub2&amp;"_"&amp;$A231,'Investment Strategies'!$C:$P,14,FALSE),
IF(AND(Investment_Strategy="Lifecycle",Investment_Strategy_Sub1="Standard"),VLOOKUP(Investment_Strategy&amp;"_"&amp;Investment_Strategy_Sub2&amp;"_"&amp;$A231,'Investment Strategies'!$AJ:$AV,13,FALSE),
IF(AND(Investment_Strategy="Autopilot",Investment_Strategy_Sub1="Non-Standard"),VLOOKUP(Investment_Strategy&amp;"_"&amp;Investment_Strategy_Sub2&amp;"_"&amp;$A231,'Investment Strategies'!$T:$AF,13,FALSE),
IF(Investment_Strategy="DIY",DIY_ExtManChrge_FuturePremiums,
"Error"))))))</f>
        <v>0</v>
      </c>
      <c r="W231" s="16">
        <f t="shared" si="142"/>
        <v>0</v>
      </c>
      <c r="X231" s="16">
        <f t="shared" si="117"/>
        <v>0</v>
      </c>
      <c r="Y231" s="16">
        <f t="shared" si="118"/>
        <v>0</v>
      </c>
      <c r="Z231" s="31">
        <f t="shared" si="119"/>
        <v>0.02</v>
      </c>
      <c r="AA231" s="16">
        <f t="shared" si="120"/>
        <v>0</v>
      </c>
      <c r="AB231" s="28">
        <f t="shared" si="144"/>
        <v>0</v>
      </c>
      <c r="AC231" s="28">
        <f>(SUM($AC$91:AC230)+SUM($X$91:X230)+X231)*T231*IF(D231=$A$91,SRP_finalmonthfactor,1)</f>
        <v>0</v>
      </c>
      <c r="AD231" s="16">
        <f t="shared" si="121"/>
        <v>0</v>
      </c>
      <c r="AE231" s="106"/>
      <c r="AF231" s="16">
        <f t="shared" si="130"/>
        <v>0</v>
      </c>
      <c r="AG231" s="16">
        <f t="shared" si="131"/>
        <v>0</v>
      </c>
      <c r="AH231" s="16">
        <f t="shared" si="132"/>
        <v>0</v>
      </c>
      <c r="AJ231" s="13">
        <f t="shared" ref="AJ231:AU240" si="153">IF($C231&lt;=AJ$90,1,0)</f>
        <v>0</v>
      </c>
      <c r="AK231" s="13">
        <f t="shared" si="153"/>
        <v>0</v>
      </c>
      <c r="AL231" s="13">
        <f t="shared" si="153"/>
        <v>0</v>
      </c>
      <c r="AM231" s="13">
        <f t="shared" si="153"/>
        <v>0</v>
      </c>
      <c r="AN231" s="13">
        <f t="shared" si="153"/>
        <v>0</v>
      </c>
      <c r="AO231" s="13">
        <f t="shared" si="153"/>
        <v>1</v>
      </c>
      <c r="AP231" s="13">
        <f t="shared" si="153"/>
        <v>1</v>
      </c>
      <c r="AQ231" s="13">
        <f t="shared" si="153"/>
        <v>1</v>
      </c>
      <c r="AR231" s="13">
        <f t="shared" si="153"/>
        <v>1</v>
      </c>
      <c r="AS231" s="13">
        <f t="shared" si="153"/>
        <v>1</v>
      </c>
      <c r="AT231" s="13">
        <f t="shared" si="153"/>
        <v>1</v>
      </c>
      <c r="AU231" s="13">
        <f t="shared" si="153"/>
        <v>1</v>
      </c>
      <c r="AV231" s="13">
        <f t="shared" si="122"/>
        <v>0</v>
      </c>
      <c r="AW231" s="13">
        <f t="shared" si="123"/>
        <v>1</v>
      </c>
      <c r="AY231" s="17">
        <f t="shared" si="124"/>
        <v>141</v>
      </c>
      <c r="AZ231" s="28">
        <f t="shared" si="133"/>
        <v>0</v>
      </c>
      <c r="BA231" s="13">
        <f t="shared" si="125"/>
        <v>0</v>
      </c>
      <c r="BB231" s="13">
        <f t="shared" si="126"/>
        <v>0</v>
      </c>
      <c r="BC231" s="28">
        <f t="shared" si="134"/>
        <v>0</v>
      </c>
      <c r="BD231" s="28">
        <f t="shared" si="135"/>
        <v>0</v>
      </c>
      <c r="BF231" s="248">
        <f t="shared" si="136"/>
        <v>993869.29442638322</v>
      </c>
      <c r="BG231" s="36">
        <f t="shared" si="145"/>
        <v>0</v>
      </c>
      <c r="BH231" s="36">
        <f t="shared" si="146"/>
        <v>878981.26923432329</v>
      </c>
      <c r="BI231" s="249">
        <f t="shared" si="147"/>
        <v>0</v>
      </c>
      <c r="BJ231" s="246">
        <f t="shared" si="148"/>
        <v>0</v>
      </c>
      <c r="BK231" s="246">
        <f t="shared" si="127"/>
        <v>7.531116566323881E-4</v>
      </c>
      <c r="BL231" s="246">
        <f t="shared" si="149"/>
        <v>0</v>
      </c>
      <c r="BM231" s="246">
        <f t="shared" si="150"/>
        <v>7.531116566323881E-4</v>
      </c>
      <c r="BN231" s="36">
        <f t="shared" si="137"/>
        <v>661.97103982190038</v>
      </c>
      <c r="BO231" s="36">
        <f t="shared" si="151"/>
        <v>0</v>
      </c>
      <c r="BP231" s="36">
        <f t="shared" si="152"/>
        <v>878319.29819450143</v>
      </c>
    </row>
    <row r="232" spans="1:68">
      <c r="A232" s="32">
        <f t="shared" si="138"/>
        <v>-57</v>
      </c>
      <c r="B232" s="32">
        <f t="shared" si="128"/>
        <v>64</v>
      </c>
      <c r="C232" s="32">
        <f t="shared" si="139"/>
        <v>12</v>
      </c>
      <c r="D232" s="32">
        <f t="shared" si="140"/>
        <v>142</v>
      </c>
      <c r="E232" s="74">
        <f>MIN(IF(AV232=0,0,
IF(Investment_Strategy="DIS",VLOOKUP(Investment_Strategy&amp;"_"&amp;Investment_Strategy_Sub1&amp;"_"&amp;$A232,'Investment Strategies'!$AZ:$BP,12,FALSE),
IF(AND(Investment_Strategy="Lifecycle",Investment_Strategy_Sub1="Non-Standard"),VLOOKUP(Investment_Strategy&amp;"_"&amp;Investment_Strategy_Sub2&amp;"_"&amp;$A232,'Investment Strategies'!$C:$P,9,FALSE),
IF(AND(Investment_Strategy="Lifecycle",Investment_Strategy_Sub1="Standard"),VLOOKUP(Investment_Strategy&amp;"_"&amp;Investment_Strategy_Sub2&amp;"_"&amp;$A232,'Investment Strategies'!$AJ:$AV,8,FALSE),
IF(AND(Investment_Strategy="Autopilot",Investment_Strategy_Sub1="Non-Standard"),VLOOKUP(Investment_Strategy&amp;"_"&amp;Investment_Strategy_Sub2&amp;"_"&amp;$A232,'Investment Strategies'!$T:$AF,8,FALSE),
IF(Investment_Strategy ="DIY",DIY_RateOfReturn_CurrentFunds,
"Error")))))),Max_InvReturn)</f>
        <v>0</v>
      </c>
      <c r="F232" s="62">
        <f>IF(AV232=0,0,
IF(Investment_Strategy="DIS",VLOOKUP(Investment_Strategy&amp;"_"&amp;Investment_Strategy_Sub1&amp;"_"&amp;$A232,'Investment Strategies'!$AZ:$BP,15,FALSE),
IF(AND(Investment_Strategy="Lifecycle",Investment_Strategy_Sub1="Non-Standard"),VLOOKUP(Investment_Strategy&amp;"_"&amp;Investment_Strategy_Sub2&amp;"_"&amp;$A232,'Investment Strategies'!$C:$P,12,FALSE),
IF(AND(Investment_Strategy="Lifecycle",Investment_Strategy_Sub1="Standard"),VLOOKUP(Investment_Strategy&amp;"_"&amp;Investment_Strategy_Sub2&amp;"_"&amp;$A232,'Investment Strategies'!$AJ:$AV,11,FALSE),
IF(AND(Investment_Strategy="Autopilot",Investment_Strategy_Sub1="Non-Standard"),VLOOKUP(Investment_Strategy&amp;"_"&amp;Investment_Strategy_Sub2&amp;"_"&amp;$A232,'Investment Strategies'!$T:$AF,11,FALSE),
IF(Investment_Strategy="DIY",DIY_GteeChrge_CurrentFunds,
"Error"))))))</f>
        <v>0</v>
      </c>
      <c r="G232" s="33">
        <f>IF(AV232=0,0,
IF(Investment_Strategy="DIS",VLOOKUP(Investment_Strategy&amp;"_"&amp;Investment_Strategy_Sub1&amp;"_"&amp;$A232,'Investment Strategies'!$AZ:$BP,17,FALSE),
IF(AND(Investment_Strategy="Lifecycle",Investment_Strategy_Sub1="Non-Standard"),VLOOKUP(Investment_Strategy&amp;"_"&amp;Investment_Strategy_Sub2&amp;"_"&amp;$A232,'Investment Strategies'!$C:$P,14,FALSE),
IF(AND(Investment_Strategy="Lifecycle",Investment_Strategy_Sub1="Standard"),VLOOKUP(Investment_Strategy&amp;"_"&amp;Investment_Strategy_Sub2&amp;"_"&amp;$A232,'Investment Strategies'!$AJ:$AV,13,FALSE),
IF(AND(Investment_Strategy="Autopilot",Investment_Strategy_Sub1="Non-Standard"),VLOOKUP(Investment_Strategy&amp;"_"&amp;Investment_Strategy_Sub2&amp;"_"&amp;$A232,'Investment Strategies'!$T:$AF,13,FALSE),
IF(Investment_Strategy="DIY",DIY_ExtManChrge_CurrentFunds,
"Error"))))))</f>
        <v>0</v>
      </c>
      <c r="H232" s="16">
        <f t="shared" si="129"/>
        <v>0</v>
      </c>
      <c r="I232" s="16">
        <f t="shared" si="113"/>
        <v>0</v>
      </c>
      <c r="J232" s="16">
        <f t="shared" si="114"/>
        <v>0</v>
      </c>
      <c r="K232" s="16">
        <f>(Opening_Fund_Value+SUM(K$91:K231))*E232*IF(D232=$A$91,SRP_finalmonthfactor,1)</f>
        <v>0</v>
      </c>
      <c r="L232" s="74">
        <f>MIN(IF($AV232=0,0,
IF(Investment_Strategy="DIS",VLOOKUP(Investment_Strategy&amp;"_"&amp;Investment_Strategy_Sub1&amp;"_"&amp;$A232,'Investment Strategies'!$AZ:$BP,12,FALSE),
IF(AND(Investment_Strategy="Lifecycle",Investment_Strategy_Sub1="Non-Standard"),VLOOKUP(Investment_Strategy&amp;"_"&amp;Investment_Strategy_Sub2&amp;"_"&amp;$A232,'Investment Strategies'!$C:$P,9,FALSE),
IF(AND(Investment_Strategy="Lifecycle",Investment_Strategy_Sub1="Standard"),VLOOKUP(Investment_Strategy&amp;"_"&amp;Investment_Strategy_Sub2&amp;"_"&amp;$A232,'Investment Strategies'!$AJ:$AV,8,FALSE),
IF(AND(Investment_Strategy="Autopilot",Investment_Strategy_Sub1="Non-Standard"),VLOOKUP(Investment_Strategy&amp;"_"&amp;Investment_Strategy_Sub2&amp;"_"&amp;$A232,'Investment Strategies'!$T:$AF,8,FALSE),
IF(Investment_Strategy ="DIY",DIY_RateofReturn_SP,
"Error")))))),Max_InvReturn)</f>
        <v>0</v>
      </c>
      <c r="M232" s="62">
        <f>IF($AV232=0,0,
IF(Investment_Strategy="DIS",VLOOKUP(Investment_Strategy&amp;"_"&amp;Investment_Strategy_Sub1&amp;"_"&amp;$A232,'Investment Strategies'!$AZ:$BP,15,FALSE),
IF(AND(Investment_Strategy="Lifecycle",Investment_Strategy_Sub1="Non-Standard"),VLOOKUP(Investment_Strategy&amp;"_"&amp;Investment_Strategy_Sub2&amp;"_"&amp;$A232,'Investment Strategies'!$C:$P,12,FALSE),
IF(AND(Investment_Strategy="Lifecycle",Investment_Strategy_Sub1="Standard"),VLOOKUP(Investment_Strategy&amp;"_"&amp;Investment_Strategy_Sub2&amp;"_"&amp;$A232,'Investment Strategies'!$AJ:$AV,11,FALSE),
IF(AND(Investment_Strategy="Autopilot",Investment_Strategy_Sub1="Non-Standard"),VLOOKUP(Investment_Strategy&amp;"_"&amp;Investment_Strategy_Sub2&amp;"_"&amp;$A232,'Investment Strategies'!$T:$AF,11,FALSE),
IF(Investment_Strategy="DIY",DIY_GteeChrge_SP,
"Error"))))))</f>
        <v>0</v>
      </c>
      <c r="N232" s="33">
        <f>IF($AV232=0,0,
IF(Investment_Strategy="DIS",VLOOKUP(Investment_Strategy&amp;"_"&amp;Investment_Strategy_Sub1&amp;"_"&amp;$A232,'Investment Strategies'!$AZ:$BP,17,FALSE),
IF(AND(Investment_Strategy="Lifecycle",Investment_Strategy_Sub1="Non-Standard"),VLOOKUP(Investment_Strategy&amp;"_"&amp;Investment_Strategy_Sub2&amp;"_"&amp;$A232,'Investment Strategies'!$C:$P,14,FALSE),
IF(AND(Investment_Strategy="Lifecycle",Investment_Strategy_Sub1="Standard"),VLOOKUP(Investment_Strategy&amp;"_"&amp;Investment_Strategy_Sub2&amp;"_"&amp;$A232,'Investment Strategies'!$AJ:$AV,13,FALSE),
IF(AND(Investment_Strategy="Autopilot",Investment_Strategy_Sub1="Non-Standard"),VLOOKUP(Investment_Strategy&amp;"_"&amp;Investment_Strategy_Sub2&amp;"_"&amp;$A232,'Investment Strategies'!$T:$AF,13,FALSE),
IF(Investment_Strategy="DIY",DIY_ExtManChrge_SP,
"Error"))))))</f>
        <v>0</v>
      </c>
      <c r="O232" s="16">
        <f t="shared" si="141"/>
        <v>0</v>
      </c>
      <c r="Q232" s="16">
        <f t="shared" si="115"/>
        <v>0</v>
      </c>
      <c r="R232" s="16">
        <f t="shared" si="116"/>
        <v>0</v>
      </c>
      <c r="S232" s="16">
        <f>(SRP_SP+SUM(S$91:S231))*L232*IF(D232=$A$91,SRP_finalmonthfactor,1)</f>
        <v>0</v>
      </c>
      <c r="T232" s="74">
        <f>MIN(IF($AV232=0,0,
IF(Investment_Strategy="DIS",VLOOKUP(Investment_Strategy&amp;"_"&amp;Investment_Strategy_Sub1&amp;"_"&amp;$A232,'Investment Strategies'!$AZ:$BP,12,FALSE),
IF(AND(Investment_Strategy="Lifecycle",Investment_Strategy_Sub1="Non-Standard"),VLOOKUP(Investment_Strategy&amp;"_"&amp;Investment_Strategy_Sub2&amp;"_"&amp;$A232,'Investment Strategies'!$C:$P,9,FALSE),
IF(AND(Investment_Strategy="Lifecycle",Investment_Strategy_Sub1="Standard"),VLOOKUP(Investment_Strategy&amp;"_"&amp;Investment_Strategy_Sub2&amp;"_"&amp;$A232,'Investment Strategies'!$AJ:$AV,8,FALSE),
IF(AND(Investment_Strategy="Autopilot",Investment_Strategy_Sub1="Non-Standard"),VLOOKUP(Investment_Strategy&amp;"_"&amp;Investment_Strategy_Sub2&amp;"_"&amp;$A232,'Investment Strategies'!$T:$AF,8,FALSE),
IF(Investment_Strategy ="DIY",DIY_RateOfReturn_FuturePremiums,
"Error")))))),Max_InvReturn)</f>
        <v>0</v>
      </c>
      <c r="U232" s="62">
        <f>IF($AV232=0,0,
IF(Investment_Strategy="DIS",VLOOKUP(Investment_Strategy&amp;"_"&amp;Investment_Strategy_Sub1&amp;"_"&amp;$A232,'Investment Strategies'!$AZ:$BP,15,FALSE),
IF(AND(Investment_Strategy="Lifecycle",Investment_Strategy_Sub1="Non-Standard"),VLOOKUP(Investment_Strategy&amp;"_"&amp;Investment_Strategy_Sub2&amp;"_"&amp;$A232,'Investment Strategies'!$C:$P,12,FALSE),
IF(AND(Investment_Strategy="Lifecycle",Investment_Strategy_Sub1="Standard"),VLOOKUP(Investment_Strategy&amp;"_"&amp;Investment_Strategy_Sub2&amp;"_"&amp;$A232,'Investment Strategies'!$AJ:$AV,11,FALSE),
IF(AND(Investment_Strategy="Autopilot",Investment_Strategy_Sub1="Non-Standard"),VLOOKUP(Investment_Strategy&amp;"_"&amp;Investment_Strategy_Sub2&amp;"_"&amp;$A232,'Investment Strategies'!$T:$AF,11,FALSE),
IF(Investment_Strategy="DIY",DIY_GteeChrge_FuturePremiums,
"Error"))))))</f>
        <v>0</v>
      </c>
      <c r="V232" s="33">
        <f>IF(AV232=0,0,
IF(Investment_Strategy="DIS",VLOOKUP(Investment_Strategy&amp;"_"&amp;Investment_Strategy_Sub1&amp;"_"&amp;$A232,'Investment Strategies'!$AZ:$BP,17,FALSE),
IF(AND(Investment_Strategy="Lifecycle",Investment_Strategy_Sub1="Non-Standard"),VLOOKUP(Investment_Strategy&amp;"_"&amp;Investment_Strategy_Sub2&amp;"_"&amp;$A232,'Investment Strategies'!$C:$P,14,FALSE),
IF(AND(Investment_Strategy="Lifecycle",Investment_Strategy_Sub1="Standard"),VLOOKUP(Investment_Strategy&amp;"_"&amp;Investment_Strategy_Sub2&amp;"_"&amp;$A232,'Investment Strategies'!$AJ:$AV,13,FALSE),
IF(AND(Investment_Strategy="Autopilot",Investment_Strategy_Sub1="Non-Standard"),VLOOKUP(Investment_Strategy&amp;"_"&amp;Investment_Strategy_Sub2&amp;"_"&amp;$A232,'Investment Strategies'!$T:$AF,13,FALSE),
IF(Investment_Strategy="DIY",DIY_ExtManChrge_FuturePremiums,
"Error"))))))</f>
        <v>0</v>
      </c>
      <c r="W232" s="16">
        <f t="shared" si="142"/>
        <v>0</v>
      </c>
      <c r="X232" s="16">
        <f t="shared" si="117"/>
        <v>0</v>
      </c>
      <c r="Y232" s="16">
        <f t="shared" si="118"/>
        <v>0</v>
      </c>
      <c r="Z232" s="31">
        <f t="shared" si="119"/>
        <v>0.02</v>
      </c>
      <c r="AA232" s="16">
        <f t="shared" si="120"/>
        <v>0</v>
      </c>
      <c r="AB232" s="28">
        <f t="shared" si="144"/>
        <v>0</v>
      </c>
      <c r="AC232" s="28">
        <f>(SUM($AC$91:AC231)+SUM($X$91:X231)+X232)*T232*IF(D232=$A$91,SRP_finalmonthfactor,1)</f>
        <v>0</v>
      </c>
      <c r="AD232" s="16">
        <f t="shared" si="121"/>
        <v>0</v>
      </c>
      <c r="AE232" s="106"/>
      <c r="AF232" s="16">
        <f t="shared" si="130"/>
        <v>0</v>
      </c>
      <c r="AG232" s="16">
        <f t="shared" si="131"/>
        <v>0</v>
      </c>
      <c r="AH232" s="16">
        <f t="shared" si="132"/>
        <v>0</v>
      </c>
      <c r="AJ232" s="13">
        <f t="shared" si="153"/>
        <v>0</v>
      </c>
      <c r="AK232" s="13">
        <f t="shared" si="153"/>
        <v>0</v>
      </c>
      <c r="AL232" s="13">
        <f t="shared" si="153"/>
        <v>0</v>
      </c>
      <c r="AM232" s="13">
        <f t="shared" si="153"/>
        <v>0</v>
      </c>
      <c r="AN232" s="13">
        <f t="shared" si="153"/>
        <v>0</v>
      </c>
      <c r="AO232" s="13">
        <f t="shared" si="153"/>
        <v>1</v>
      </c>
      <c r="AP232" s="13">
        <f t="shared" si="153"/>
        <v>1</v>
      </c>
      <c r="AQ232" s="13">
        <f t="shared" si="153"/>
        <v>1</v>
      </c>
      <c r="AR232" s="13">
        <f t="shared" si="153"/>
        <v>1</v>
      </c>
      <c r="AS232" s="13">
        <f t="shared" si="153"/>
        <v>1</v>
      </c>
      <c r="AT232" s="13">
        <f t="shared" si="153"/>
        <v>1</v>
      </c>
      <c r="AU232" s="13">
        <f t="shared" si="153"/>
        <v>1</v>
      </c>
      <c r="AV232" s="13">
        <f t="shared" si="122"/>
        <v>0</v>
      </c>
      <c r="AW232" s="13">
        <f t="shared" si="123"/>
        <v>1</v>
      </c>
      <c r="AY232" s="17">
        <f t="shared" si="124"/>
        <v>142</v>
      </c>
      <c r="AZ232" s="28">
        <f t="shared" si="133"/>
        <v>0</v>
      </c>
      <c r="BA232" s="13">
        <f t="shared" si="125"/>
        <v>0</v>
      </c>
      <c r="BB232" s="13">
        <f t="shared" si="126"/>
        <v>0</v>
      </c>
      <c r="BC232" s="28">
        <f t="shared" si="134"/>
        <v>0</v>
      </c>
      <c r="BD232" s="28">
        <f t="shared" si="135"/>
        <v>0</v>
      </c>
      <c r="BF232" s="248">
        <f t="shared" si="136"/>
        <v>993869.29442638322</v>
      </c>
      <c r="BG232" s="36">
        <f t="shared" si="145"/>
        <v>0</v>
      </c>
      <c r="BH232" s="36">
        <f t="shared" si="146"/>
        <v>878319.29819450143</v>
      </c>
      <c r="BI232" s="249">
        <f t="shared" si="147"/>
        <v>0</v>
      </c>
      <c r="BJ232" s="246">
        <f t="shared" si="148"/>
        <v>0</v>
      </c>
      <c r="BK232" s="246">
        <f t="shared" si="127"/>
        <v>7.531116566323881E-4</v>
      </c>
      <c r="BL232" s="246">
        <f t="shared" si="149"/>
        <v>0</v>
      </c>
      <c r="BM232" s="246">
        <f t="shared" si="150"/>
        <v>7.531116566323881E-4</v>
      </c>
      <c r="BN232" s="36">
        <f t="shared" si="137"/>
        <v>661.4725017154575</v>
      </c>
      <c r="BO232" s="36">
        <f t="shared" si="151"/>
        <v>0</v>
      </c>
      <c r="BP232" s="36">
        <f t="shared" si="152"/>
        <v>877657.82569278602</v>
      </c>
    </row>
    <row r="233" spans="1:68">
      <c r="A233" s="32">
        <f t="shared" si="138"/>
        <v>-58</v>
      </c>
      <c r="B233" s="32">
        <f t="shared" si="128"/>
        <v>64</v>
      </c>
      <c r="C233" s="32">
        <f t="shared" si="139"/>
        <v>12</v>
      </c>
      <c r="D233" s="32">
        <f t="shared" si="140"/>
        <v>143</v>
      </c>
      <c r="E233" s="74">
        <f>MIN(IF(AV233=0,0,
IF(Investment_Strategy="DIS",VLOOKUP(Investment_Strategy&amp;"_"&amp;Investment_Strategy_Sub1&amp;"_"&amp;$A233,'Investment Strategies'!$AZ:$BP,12,FALSE),
IF(AND(Investment_Strategy="Lifecycle",Investment_Strategy_Sub1="Non-Standard"),VLOOKUP(Investment_Strategy&amp;"_"&amp;Investment_Strategy_Sub2&amp;"_"&amp;$A233,'Investment Strategies'!$C:$P,9,FALSE),
IF(AND(Investment_Strategy="Lifecycle",Investment_Strategy_Sub1="Standard"),VLOOKUP(Investment_Strategy&amp;"_"&amp;Investment_Strategy_Sub2&amp;"_"&amp;$A233,'Investment Strategies'!$AJ:$AV,8,FALSE),
IF(AND(Investment_Strategy="Autopilot",Investment_Strategy_Sub1="Non-Standard"),VLOOKUP(Investment_Strategy&amp;"_"&amp;Investment_Strategy_Sub2&amp;"_"&amp;$A233,'Investment Strategies'!$T:$AF,8,FALSE),
IF(Investment_Strategy ="DIY",DIY_RateOfReturn_CurrentFunds,
"Error")))))),Max_InvReturn)</f>
        <v>0</v>
      </c>
      <c r="F233" s="62">
        <f>IF(AV233=0,0,
IF(Investment_Strategy="DIS",VLOOKUP(Investment_Strategy&amp;"_"&amp;Investment_Strategy_Sub1&amp;"_"&amp;$A233,'Investment Strategies'!$AZ:$BP,15,FALSE),
IF(AND(Investment_Strategy="Lifecycle",Investment_Strategy_Sub1="Non-Standard"),VLOOKUP(Investment_Strategy&amp;"_"&amp;Investment_Strategy_Sub2&amp;"_"&amp;$A233,'Investment Strategies'!$C:$P,12,FALSE),
IF(AND(Investment_Strategy="Lifecycle",Investment_Strategy_Sub1="Standard"),VLOOKUP(Investment_Strategy&amp;"_"&amp;Investment_Strategy_Sub2&amp;"_"&amp;$A233,'Investment Strategies'!$AJ:$AV,11,FALSE),
IF(AND(Investment_Strategy="Autopilot",Investment_Strategy_Sub1="Non-Standard"),VLOOKUP(Investment_Strategy&amp;"_"&amp;Investment_Strategy_Sub2&amp;"_"&amp;$A233,'Investment Strategies'!$T:$AF,11,FALSE),
IF(Investment_Strategy="DIY",DIY_GteeChrge_CurrentFunds,
"Error"))))))</f>
        <v>0</v>
      </c>
      <c r="G233" s="33">
        <f>IF(AV233=0,0,
IF(Investment_Strategy="DIS",VLOOKUP(Investment_Strategy&amp;"_"&amp;Investment_Strategy_Sub1&amp;"_"&amp;$A233,'Investment Strategies'!$AZ:$BP,17,FALSE),
IF(AND(Investment_Strategy="Lifecycle",Investment_Strategy_Sub1="Non-Standard"),VLOOKUP(Investment_Strategy&amp;"_"&amp;Investment_Strategy_Sub2&amp;"_"&amp;$A233,'Investment Strategies'!$C:$P,14,FALSE),
IF(AND(Investment_Strategy="Lifecycle",Investment_Strategy_Sub1="Standard"),VLOOKUP(Investment_Strategy&amp;"_"&amp;Investment_Strategy_Sub2&amp;"_"&amp;$A233,'Investment Strategies'!$AJ:$AV,13,FALSE),
IF(AND(Investment_Strategy="Autopilot",Investment_Strategy_Sub1="Non-Standard"),VLOOKUP(Investment_Strategy&amp;"_"&amp;Investment_Strategy_Sub2&amp;"_"&amp;$A233,'Investment Strategies'!$T:$AF,13,FALSE),
IF(Investment_Strategy="DIY",DIY_ExtManChrge_CurrentFunds,
"Error"))))))</f>
        <v>0</v>
      </c>
      <c r="H233" s="16">
        <f t="shared" si="129"/>
        <v>0</v>
      </c>
      <c r="I233" s="16">
        <f t="shared" si="113"/>
        <v>0</v>
      </c>
      <c r="J233" s="16">
        <f t="shared" si="114"/>
        <v>0</v>
      </c>
      <c r="K233" s="16">
        <f>(Opening_Fund_Value+SUM(K$91:K232))*E233*IF(D233=$A$91,SRP_finalmonthfactor,1)</f>
        <v>0</v>
      </c>
      <c r="L233" s="74">
        <f>MIN(IF($AV233=0,0,
IF(Investment_Strategy="DIS",VLOOKUP(Investment_Strategy&amp;"_"&amp;Investment_Strategy_Sub1&amp;"_"&amp;$A233,'Investment Strategies'!$AZ:$BP,12,FALSE),
IF(AND(Investment_Strategy="Lifecycle",Investment_Strategy_Sub1="Non-Standard"),VLOOKUP(Investment_Strategy&amp;"_"&amp;Investment_Strategy_Sub2&amp;"_"&amp;$A233,'Investment Strategies'!$C:$P,9,FALSE),
IF(AND(Investment_Strategy="Lifecycle",Investment_Strategy_Sub1="Standard"),VLOOKUP(Investment_Strategy&amp;"_"&amp;Investment_Strategy_Sub2&amp;"_"&amp;$A233,'Investment Strategies'!$AJ:$AV,8,FALSE),
IF(AND(Investment_Strategy="Autopilot",Investment_Strategy_Sub1="Non-Standard"),VLOOKUP(Investment_Strategy&amp;"_"&amp;Investment_Strategy_Sub2&amp;"_"&amp;$A233,'Investment Strategies'!$T:$AF,8,FALSE),
IF(Investment_Strategy ="DIY",DIY_RateofReturn_SP,
"Error")))))),Max_InvReturn)</f>
        <v>0</v>
      </c>
      <c r="M233" s="62">
        <f>IF($AV233=0,0,
IF(Investment_Strategy="DIS",VLOOKUP(Investment_Strategy&amp;"_"&amp;Investment_Strategy_Sub1&amp;"_"&amp;$A233,'Investment Strategies'!$AZ:$BP,15,FALSE),
IF(AND(Investment_Strategy="Lifecycle",Investment_Strategy_Sub1="Non-Standard"),VLOOKUP(Investment_Strategy&amp;"_"&amp;Investment_Strategy_Sub2&amp;"_"&amp;$A233,'Investment Strategies'!$C:$P,12,FALSE),
IF(AND(Investment_Strategy="Lifecycle",Investment_Strategy_Sub1="Standard"),VLOOKUP(Investment_Strategy&amp;"_"&amp;Investment_Strategy_Sub2&amp;"_"&amp;$A233,'Investment Strategies'!$AJ:$AV,11,FALSE),
IF(AND(Investment_Strategy="Autopilot",Investment_Strategy_Sub1="Non-Standard"),VLOOKUP(Investment_Strategy&amp;"_"&amp;Investment_Strategy_Sub2&amp;"_"&amp;$A233,'Investment Strategies'!$T:$AF,11,FALSE),
IF(Investment_Strategy="DIY",DIY_GteeChrge_SP,
"Error"))))))</f>
        <v>0</v>
      </c>
      <c r="N233" s="33">
        <f>IF($AV233=0,0,
IF(Investment_Strategy="DIS",VLOOKUP(Investment_Strategy&amp;"_"&amp;Investment_Strategy_Sub1&amp;"_"&amp;$A233,'Investment Strategies'!$AZ:$BP,17,FALSE),
IF(AND(Investment_Strategy="Lifecycle",Investment_Strategy_Sub1="Non-Standard"),VLOOKUP(Investment_Strategy&amp;"_"&amp;Investment_Strategy_Sub2&amp;"_"&amp;$A233,'Investment Strategies'!$C:$P,14,FALSE),
IF(AND(Investment_Strategy="Lifecycle",Investment_Strategy_Sub1="Standard"),VLOOKUP(Investment_Strategy&amp;"_"&amp;Investment_Strategy_Sub2&amp;"_"&amp;$A233,'Investment Strategies'!$AJ:$AV,13,FALSE),
IF(AND(Investment_Strategy="Autopilot",Investment_Strategy_Sub1="Non-Standard"),VLOOKUP(Investment_Strategy&amp;"_"&amp;Investment_Strategy_Sub2&amp;"_"&amp;$A233,'Investment Strategies'!$T:$AF,13,FALSE),
IF(Investment_Strategy="DIY",DIY_ExtManChrge_SP,
"Error"))))))</f>
        <v>0</v>
      </c>
      <c r="O233" s="16">
        <f t="shared" si="141"/>
        <v>0</v>
      </c>
      <c r="Q233" s="16">
        <f t="shared" si="115"/>
        <v>0</v>
      </c>
      <c r="R233" s="16">
        <f t="shared" si="116"/>
        <v>0</v>
      </c>
      <c r="S233" s="16">
        <f>(SRP_SP+SUM(S$91:S232))*L233*IF(D233=$A$91,SRP_finalmonthfactor,1)</f>
        <v>0</v>
      </c>
      <c r="T233" s="74">
        <f>MIN(IF($AV233=0,0,
IF(Investment_Strategy="DIS",VLOOKUP(Investment_Strategy&amp;"_"&amp;Investment_Strategy_Sub1&amp;"_"&amp;$A233,'Investment Strategies'!$AZ:$BP,12,FALSE),
IF(AND(Investment_Strategy="Lifecycle",Investment_Strategy_Sub1="Non-Standard"),VLOOKUP(Investment_Strategy&amp;"_"&amp;Investment_Strategy_Sub2&amp;"_"&amp;$A233,'Investment Strategies'!$C:$P,9,FALSE),
IF(AND(Investment_Strategy="Lifecycle",Investment_Strategy_Sub1="Standard"),VLOOKUP(Investment_Strategy&amp;"_"&amp;Investment_Strategy_Sub2&amp;"_"&amp;$A233,'Investment Strategies'!$AJ:$AV,8,FALSE),
IF(AND(Investment_Strategy="Autopilot",Investment_Strategy_Sub1="Non-Standard"),VLOOKUP(Investment_Strategy&amp;"_"&amp;Investment_Strategy_Sub2&amp;"_"&amp;$A233,'Investment Strategies'!$T:$AF,8,FALSE),
IF(Investment_Strategy ="DIY",DIY_RateOfReturn_FuturePremiums,
"Error")))))),Max_InvReturn)</f>
        <v>0</v>
      </c>
      <c r="U233" s="62">
        <f>IF($AV233=0,0,
IF(Investment_Strategy="DIS",VLOOKUP(Investment_Strategy&amp;"_"&amp;Investment_Strategy_Sub1&amp;"_"&amp;$A233,'Investment Strategies'!$AZ:$BP,15,FALSE),
IF(AND(Investment_Strategy="Lifecycle",Investment_Strategy_Sub1="Non-Standard"),VLOOKUP(Investment_Strategy&amp;"_"&amp;Investment_Strategy_Sub2&amp;"_"&amp;$A233,'Investment Strategies'!$C:$P,12,FALSE),
IF(AND(Investment_Strategy="Lifecycle",Investment_Strategy_Sub1="Standard"),VLOOKUP(Investment_Strategy&amp;"_"&amp;Investment_Strategy_Sub2&amp;"_"&amp;$A233,'Investment Strategies'!$AJ:$AV,11,FALSE),
IF(AND(Investment_Strategy="Autopilot",Investment_Strategy_Sub1="Non-Standard"),VLOOKUP(Investment_Strategy&amp;"_"&amp;Investment_Strategy_Sub2&amp;"_"&amp;$A233,'Investment Strategies'!$T:$AF,11,FALSE),
IF(Investment_Strategy="DIY",DIY_GteeChrge_FuturePremiums,
"Error"))))))</f>
        <v>0</v>
      </c>
      <c r="V233" s="33">
        <f>IF(AV233=0,0,
IF(Investment_Strategy="DIS",VLOOKUP(Investment_Strategy&amp;"_"&amp;Investment_Strategy_Sub1&amp;"_"&amp;$A233,'Investment Strategies'!$AZ:$BP,17,FALSE),
IF(AND(Investment_Strategy="Lifecycle",Investment_Strategy_Sub1="Non-Standard"),VLOOKUP(Investment_Strategy&amp;"_"&amp;Investment_Strategy_Sub2&amp;"_"&amp;$A233,'Investment Strategies'!$C:$P,14,FALSE),
IF(AND(Investment_Strategy="Lifecycle",Investment_Strategy_Sub1="Standard"),VLOOKUP(Investment_Strategy&amp;"_"&amp;Investment_Strategy_Sub2&amp;"_"&amp;$A233,'Investment Strategies'!$AJ:$AV,13,FALSE),
IF(AND(Investment_Strategy="Autopilot",Investment_Strategy_Sub1="Non-Standard"),VLOOKUP(Investment_Strategy&amp;"_"&amp;Investment_Strategy_Sub2&amp;"_"&amp;$A233,'Investment Strategies'!$T:$AF,13,FALSE),
IF(Investment_Strategy="DIY",DIY_ExtManChrge_FuturePremiums,
"Error"))))))</f>
        <v>0</v>
      </c>
      <c r="W233" s="16">
        <f t="shared" si="142"/>
        <v>0</v>
      </c>
      <c r="X233" s="16">
        <f t="shared" si="117"/>
        <v>0</v>
      </c>
      <c r="Y233" s="16">
        <f t="shared" si="118"/>
        <v>0</v>
      </c>
      <c r="Z233" s="31">
        <f t="shared" si="119"/>
        <v>0.02</v>
      </c>
      <c r="AA233" s="16">
        <f t="shared" si="120"/>
        <v>0</v>
      </c>
      <c r="AB233" s="28">
        <f t="shared" si="144"/>
        <v>0</v>
      </c>
      <c r="AC233" s="28">
        <f>(SUM($AC$91:AC232)+SUM($X$91:X232)+X233)*T233*IF(D233=$A$91,SRP_finalmonthfactor,1)</f>
        <v>0</v>
      </c>
      <c r="AD233" s="16">
        <f t="shared" si="121"/>
        <v>0</v>
      </c>
      <c r="AE233" s="106"/>
      <c r="AF233" s="16">
        <f t="shared" si="130"/>
        <v>0</v>
      </c>
      <c r="AG233" s="16">
        <f t="shared" si="131"/>
        <v>0</v>
      </c>
      <c r="AH233" s="16">
        <f t="shared" si="132"/>
        <v>0</v>
      </c>
      <c r="AJ233" s="13">
        <f t="shared" si="153"/>
        <v>0</v>
      </c>
      <c r="AK233" s="13">
        <f t="shared" si="153"/>
        <v>0</v>
      </c>
      <c r="AL233" s="13">
        <f t="shared" si="153"/>
        <v>0</v>
      </c>
      <c r="AM233" s="13">
        <f t="shared" si="153"/>
        <v>0</v>
      </c>
      <c r="AN233" s="13">
        <f t="shared" si="153"/>
        <v>0</v>
      </c>
      <c r="AO233" s="13">
        <f t="shared" si="153"/>
        <v>1</v>
      </c>
      <c r="AP233" s="13">
        <f t="shared" si="153"/>
        <v>1</v>
      </c>
      <c r="AQ233" s="13">
        <f t="shared" si="153"/>
        <v>1</v>
      </c>
      <c r="AR233" s="13">
        <f t="shared" si="153"/>
        <v>1</v>
      </c>
      <c r="AS233" s="13">
        <f t="shared" si="153"/>
        <v>1</v>
      </c>
      <c r="AT233" s="13">
        <f t="shared" si="153"/>
        <v>1</v>
      </c>
      <c r="AU233" s="13">
        <f t="shared" si="153"/>
        <v>1</v>
      </c>
      <c r="AV233" s="13">
        <f t="shared" si="122"/>
        <v>0</v>
      </c>
      <c r="AW233" s="13">
        <f t="shared" si="123"/>
        <v>1</v>
      </c>
      <c r="AY233" s="17">
        <f t="shared" si="124"/>
        <v>143</v>
      </c>
      <c r="AZ233" s="28">
        <f t="shared" si="133"/>
        <v>0</v>
      </c>
      <c r="BA233" s="13">
        <f t="shared" si="125"/>
        <v>0</v>
      </c>
      <c r="BB233" s="13">
        <f t="shared" si="126"/>
        <v>0</v>
      </c>
      <c r="BC233" s="28">
        <f t="shared" si="134"/>
        <v>0</v>
      </c>
      <c r="BD233" s="28">
        <f t="shared" si="135"/>
        <v>0</v>
      </c>
      <c r="BF233" s="248">
        <f t="shared" si="136"/>
        <v>993869.29442638322</v>
      </c>
      <c r="BG233" s="36">
        <f t="shared" si="145"/>
        <v>0</v>
      </c>
      <c r="BH233" s="36">
        <f t="shared" si="146"/>
        <v>877657.82569278602</v>
      </c>
      <c r="BI233" s="249">
        <f t="shared" si="147"/>
        <v>0</v>
      </c>
      <c r="BJ233" s="246">
        <f t="shared" si="148"/>
        <v>0</v>
      </c>
      <c r="BK233" s="246">
        <f t="shared" si="127"/>
        <v>7.531116566323881E-4</v>
      </c>
      <c r="BL233" s="246">
        <f t="shared" si="149"/>
        <v>0</v>
      </c>
      <c r="BM233" s="246">
        <f t="shared" si="150"/>
        <v>7.531116566323881E-4</v>
      </c>
      <c r="BN233" s="36">
        <f t="shared" si="137"/>
        <v>660.9743390638738</v>
      </c>
      <c r="BO233" s="36">
        <f t="shared" si="151"/>
        <v>0</v>
      </c>
      <c r="BP233" s="36">
        <f t="shared" si="152"/>
        <v>876996.85135372216</v>
      </c>
    </row>
    <row r="234" spans="1:68">
      <c r="A234" s="32">
        <f t="shared" si="138"/>
        <v>-59</v>
      </c>
      <c r="B234" s="32">
        <f t="shared" si="128"/>
        <v>64</v>
      </c>
      <c r="C234" s="32">
        <f t="shared" si="139"/>
        <v>12</v>
      </c>
      <c r="D234" s="32">
        <f t="shared" si="140"/>
        <v>144</v>
      </c>
      <c r="E234" s="74">
        <f>MIN(IF(AV234=0,0,
IF(Investment_Strategy="DIS",VLOOKUP(Investment_Strategy&amp;"_"&amp;Investment_Strategy_Sub1&amp;"_"&amp;$A234,'Investment Strategies'!$AZ:$BP,12,FALSE),
IF(AND(Investment_Strategy="Lifecycle",Investment_Strategy_Sub1="Non-Standard"),VLOOKUP(Investment_Strategy&amp;"_"&amp;Investment_Strategy_Sub2&amp;"_"&amp;$A234,'Investment Strategies'!$C:$P,9,FALSE),
IF(AND(Investment_Strategy="Lifecycle",Investment_Strategy_Sub1="Standard"),VLOOKUP(Investment_Strategy&amp;"_"&amp;Investment_Strategy_Sub2&amp;"_"&amp;$A234,'Investment Strategies'!$AJ:$AV,8,FALSE),
IF(AND(Investment_Strategy="Autopilot",Investment_Strategy_Sub1="Non-Standard"),VLOOKUP(Investment_Strategy&amp;"_"&amp;Investment_Strategy_Sub2&amp;"_"&amp;$A234,'Investment Strategies'!$T:$AF,8,FALSE),
IF(Investment_Strategy ="DIY",DIY_RateOfReturn_CurrentFunds,
"Error")))))),Max_InvReturn)</f>
        <v>0</v>
      </c>
      <c r="F234" s="62">
        <f>IF(AV234=0,0,
IF(Investment_Strategy="DIS",VLOOKUP(Investment_Strategy&amp;"_"&amp;Investment_Strategy_Sub1&amp;"_"&amp;$A234,'Investment Strategies'!$AZ:$BP,15,FALSE),
IF(AND(Investment_Strategy="Lifecycle",Investment_Strategy_Sub1="Non-Standard"),VLOOKUP(Investment_Strategy&amp;"_"&amp;Investment_Strategy_Sub2&amp;"_"&amp;$A234,'Investment Strategies'!$C:$P,12,FALSE),
IF(AND(Investment_Strategy="Lifecycle",Investment_Strategy_Sub1="Standard"),VLOOKUP(Investment_Strategy&amp;"_"&amp;Investment_Strategy_Sub2&amp;"_"&amp;$A234,'Investment Strategies'!$AJ:$AV,11,FALSE),
IF(AND(Investment_Strategy="Autopilot",Investment_Strategy_Sub1="Non-Standard"),VLOOKUP(Investment_Strategy&amp;"_"&amp;Investment_Strategy_Sub2&amp;"_"&amp;$A234,'Investment Strategies'!$T:$AF,11,FALSE),
IF(Investment_Strategy="DIY",DIY_GteeChrge_CurrentFunds,
"Error"))))))</f>
        <v>0</v>
      </c>
      <c r="G234" s="33">
        <f>IF(AV234=0,0,
IF(Investment_Strategy="DIS",VLOOKUP(Investment_Strategy&amp;"_"&amp;Investment_Strategy_Sub1&amp;"_"&amp;$A234,'Investment Strategies'!$AZ:$BP,17,FALSE),
IF(AND(Investment_Strategy="Lifecycle",Investment_Strategy_Sub1="Non-Standard"),VLOOKUP(Investment_Strategy&amp;"_"&amp;Investment_Strategy_Sub2&amp;"_"&amp;$A234,'Investment Strategies'!$C:$P,14,FALSE),
IF(AND(Investment_Strategy="Lifecycle",Investment_Strategy_Sub1="Standard"),VLOOKUP(Investment_Strategy&amp;"_"&amp;Investment_Strategy_Sub2&amp;"_"&amp;$A234,'Investment Strategies'!$AJ:$AV,13,FALSE),
IF(AND(Investment_Strategy="Autopilot",Investment_Strategy_Sub1="Non-Standard"),VLOOKUP(Investment_Strategy&amp;"_"&amp;Investment_Strategy_Sub2&amp;"_"&amp;$A234,'Investment Strategies'!$T:$AF,13,FALSE),
IF(Investment_Strategy="DIY",DIY_ExtManChrge_CurrentFunds,
"Error"))))))</f>
        <v>0</v>
      </c>
      <c r="H234" s="16">
        <f t="shared" si="129"/>
        <v>0</v>
      </c>
      <c r="I234" s="16">
        <f t="shared" si="113"/>
        <v>0</v>
      </c>
      <c r="J234" s="16">
        <f t="shared" si="114"/>
        <v>0</v>
      </c>
      <c r="K234" s="16">
        <f>(Opening_Fund_Value+SUM(K$91:K233))*E234*IF(D234=$A$91,SRP_finalmonthfactor,1)</f>
        <v>0</v>
      </c>
      <c r="L234" s="74">
        <f>MIN(IF($AV234=0,0,
IF(Investment_Strategy="DIS",VLOOKUP(Investment_Strategy&amp;"_"&amp;Investment_Strategy_Sub1&amp;"_"&amp;$A234,'Investment Strategies'!$AZ:$BP,12,FALSE),
IF(AND(Investment_Strategy="Lifecycle",Investment_Strategy_Sub1="Non-Standard"),VLOOKUP(Investment_Strategy&amp;"_"&amp;Investment_Strategy_Sub2&amp;"_"&amp;$A234,'Investment Strategies'!$C:$P,9,FALSE),
IF(AND(Investment_Strategy="Lifecycle",Investment_Strategy_Sub1="Standard"),VLOOKUP(Investment_Strategy&amp;"_"&amp;Investment_Strategy_Sub2&amp;"_"&amp;$A234,'Investment Strategies'!$AJ:$AV,8,FALSE),
IF(AND(Investment_Strategy="Autopilot",Investment_Strategy_Sub1="Non-Standard"),VLOOKUP(Investment_Strategy&amp;"_"&amp;Investment_Strategy_Sub2&amp;"_"&amp;$A234,'Investment Strategies'!$T:$AF,8,FALSE),
IF(Investment_Strategy ="DIY",DIY_RateofReturn_SP,
"Error")))))),Max_InvReturn)</f>
        <v>0</v>
      </c>
      <c r="M234" s="62">
        <f>IF($AV234=0,0,
IF(Investment_Strategy="DIS",VLOOKUP(Investment_Strategy&amp;"_"&amp;Investment_Strategy_Sub1&amp;"_"&amp;$A234,'Investment Strategies'!$AZ:$BP,15,FALSE),
IF(AND(Investment_Strategy="Lifecycle",Investment_Strategy_Sub1="Non-Standard"),VLOOKUP(Investment_Strategy&amp;"_"&amp;Investment_Strategy_Sub2&amp;"_"&amp;$A234,'Investment Strategies'!$C:$P,12,FALSE),
IF(AND(Investment_Strategy="Lifecycle",Investment_Strategy_Sub1="Standard"),VLOOKUP(Investment_Strategy&amp;"_"&amp;Investment_Strategy_Sub2&amp;"_"&amp;$A234,'Investment Strategies'!$AJ:$AV,11,FALSE),
IF(AND(Investment_Strategy="Autopilot",Investment_Strategy_Sub1="Non-Standard"),VLOOKUP(Investment_Strategy&amp;"_"&amp;Investment_Strategy_Sub2&amp;"_"&amp;$A234,'Investment Strategies'!$T:$AF,11,FALSE),
IF(Investment_Strategy="DIY",DIY_GteeChrge_SP,
"Error"))))))</f>
        <v>0</v>
      </c>
      <c r="N234" s="33">
        <f>IF($AV234=0,0,
IF(Investment_Strategy="DIS",VLOOKUP(Investment_Strategy&amp;"_"&amp;Investment_Strategy_Sub1&amp;"_"&amp;$A234,'Investment Strategies'!$AZ:$BP,17,FALSE),
IF(AND(Investment_Strategy="Lifecycle",Investment_Strategy_Sub1="Non-Standard"),VLOOKUP(Investment_Strategy&amp;"_"&amp;Investment_Strategy_Sub2&amp;"_"&amp;$A234,'Investment Strategies'!$C:$P,14,FALSE),
IF(AND(Investment_Strategy="Lifecycle",Investment_Strategy_Sub1="Standard"),VLOOKUP(Investment_Strategy&amp;"_"&amp;Investment_Strategy_Sub2&amp;"_"&amp;$A234,'Investment Strategies'!$AJ:$AV,13,FALSE),
IF(AND(Investment_Strategy="Autopilot",Investment_Strategy_Sub1="Non-Standard"),VLOOKUP(Investment_Strategy&amp;"_"&amp;Investment_Strategy_Sub2&amp;"_"&amp;$A234,'Investment Strategies'!$T:$AF,13,FALSE),
IF(Investment_Strategy="DIY",DIY_ExtManChrge_SP,
"Error"))))))</f>
        <v>0</v>
      </c>
      <c r="O234" s="16">
        <f t="shared" si="141"/>
        <v>0</v>
      </c>
      <c r="Q234" s="16">
        <f t="shared" si="115"/>
        <v>0</v>
      </c>
      <c r="R234" s="16">
        <f t="shared" si="116"/>
        <v>0</v>
      </c>
      <c r="S234" s="16">
        <f>(SRP_SP+SUM(S$91:S233))*L234*IF(D234=$A$91,SRP_finalmonthfactor,1)</f>
        <v>0</v>
      </c>
      <c r="T234" s="74">
        <f>MIN(IF($AV234=0,0,
IF(Investment_Strategy="DIS",VLOOKUP(Investment_Strategy&amp;"_"&amp;Investment_Strategy_Sub1&amp;"_"&amp;$A234,'Investment Strategies'!$AZ:$BP,12,FALSE),
IF(AND(Investment_Strategy="Lifecycle",Investment_Strategy_Sub1="Non-Standard"),VLOOKUP(Investment_Strategy&amp;"_"&amp;Investment_Strategy_Sub2&amp;"_"&amp;$A234,'Investment Strategies'!$C:$P,9,FALSE),
IF(AND(Investment_Strategy="Lifecycle",Investment_Strategy_Sub1="Standard"),VLOOKUP(Investment_Strategy&amp;"_"&amp;Investment_Strategy_Sub2&amp;"_"&amp;$A234,'Investment Strategies'!$AJ:$AV,8,FALSE),
IF(AND(Investment_Strategy="Autopilot",Investment_Strategy_Sub1="Non-Standard"),VLOOKUP(Investment_Strategy&amp;"_"&amp;Investment_Strategy_Sub2&amp;"_"&amp;$A234,'Investment Strategies'!$T:$AF,8,FALSE),
IF(Investment_Strategy ="DIY",DIY_RateOfReturn_FuturePremiums,
"Error")))))),Max_InvReturn)</f>
        <v>0</v>
      </c>
      <c r="U234" s="62">
        <f>IF($AV234=0,0,
IF(Investment_Strategy="DIS",VLOOKUP(Investment_Strategy&amp;"_"&amp;Investment_Strategy_Sub1&amp;"_"&amp;$A234,'Investment Strategies'!$AZ:$BP,15,FALSE),
IF(AND(Investment_Strategy="Lifecycle",Investment_Strategy_Sub1="Non-Standard"),VLOOKUP(Investment_Strategy&amp;"_"&amp;Investment_Strategy_Sub2&amp;"_"&amp;$A234,'Investment Strategies'!$C:$P,12,FALSE),
IF(AND(Investment_Strategy="Lifecycle",Investment_Strategy_Sub1="Standard"),VLOOKUP(Investment_Strategy&amp;"_"&amp;Investment_Strategy_Sub2&amp;"_"&amp;$A234,'Investment Strategies'!$AJ:$AV,11,FALSE),
IF(AND(Investment_Strategy="Autopilot",Investment_Strategy_Sub1="Non-Standard"),VLOOKUP(Investment_Strategy&amp;"_"&amp;Investment_Strategy_Sub2&amp;"_"&amp;$A234,'Investment Strategies'!$T:$AF,11,FALSE),
IF(Investment_Strategy="DIY",DIY_GteeChrge_FuturePremiums,
"Error"))))))</f>
        <v>0</v>
      </c>
      <c r="V234" s="33">
        <f>IF(AV234=0,0,
IF(Investment_Strategy="DIS",VLOOKUP(Investment_Strategy&amp;"_"&amp;Investment_Strategy_Sub1&amp;"_"&amp;$A234,'Investment Strategies'!$AZ:$BP,17,FALSE),
IF(AND(Investment_Strategy="Lifecycle",Investment_Strategy_Sub1="Non-Standard"),VLOOKUP(Investment_Strategy&amp;"_"&amp;Investment_Strategy_Sub2&amp;"_"&amp;$A234,'Investment Strategies'!$C:$P,14,FALSE),
IF(AND(Investment_Strategy="Lifecycle",Investment_Strategy_Sub1="Standard"),VLOOKUP(Investment_Strategy&amp;"_"&amp;Investment_Strategy_Sub2&amp;"_"&amp;$A234,'Investment Strategies'!$AJ:$AV,13,FALSE),
IF(AND(Investment_Strategy="Autopilot",Investment_Strategy_Sub1="Non-Standard"),VLOOKUP(Investment_Strategy&amp;"_"&amp;Investment_Strategy_Sub2&amp;"_"&amp;$A234,'Investment Strategies'!$T:$AF,13,FALSE),
IF(Investment_Strategy="DIY",DIY_ExtManChrge_FuturePremiums,
"Error"))))))</f>
        <v>0</v>
      </c>
      <c r="W234" s="16">
        <f t="shared" si="142"/>
        <v>0</v>
      </c>
      <c r="X234" s="16">
        <f t="shared" si="117"/>
        <v>0</v>
      </c>
      <c r="Y234" s="16">
        <f t="shared" si="118"/>
        <v>0</v>
      </c>
      <c r="Z234" s="31">
        <f t="shared" si="119"/>
        <v>0.02</v>
      </c>
      <c r="AA234" s="16">
        <f t="shared" si="120"/>
        <v>0</v>
      </c>
      <c r="AB234" s="28">
        <f t="shared" si="144"/>
        <v>0</v>
      </c>
      <c r="AC234" s="28">
        <f>(SUM($AC$91:AC233)+SUM($X$91:X233)+X234)*T234*IF(D234=$A$91,SRP_finalmonthfactor,1)</f>
        <v>0</v>
      </c>
      <c r="AD234" s="16">
        <f t="shared" si="121"/>
        <v>0</v>
      </c>
      <c r="AE234" s="106"/>
      <c r="AF234" s="16">
        <f t="shared" si="130"/>
        <v>0</v>
      </c>
      <c r="AG234" s="16">
        <f t="shared" si="131"/>
        <v>0</v>
      </c>
      <c r="AH234" s="16">
        <f t="shared" si="132"/>
        <v>0</v>
      </c>
      <c r="AJ234" s="13">
        <f t="shared" si="153"/>
        <v>0</v>
      </c>
      <c r="AK234" s="13">
        <f t="shared" si="153"/>
        <v>0</v>
      </c>
      <c r="AL234" s="13">
        <f t="shared" si="153"/>
        <v>0</v>
      </c>
      <c r="AM234" s="13">
        <f t="shared" si="153"/>
        <v>0</v>
      </c>
      <c r="AN234" s="13">
        <f t="shared" si="153"/>
        <v>0</v>
      </c>
      <c r="AO234" s="13">
        <f t="shared" si="153"/>
        <v>1</v>
      </c>
      <c r="AP234" s="13">
        <f t="shared" si="153"/>
        <v>1</v>
      </c>
      <c r="AQ234" s="13">
        <f t="shared" si="153"/>
        <v>1</v>
      </c>
      <c r="AR234" s="13">
        <f t="shared" si="153"/>
        <v>1</v>
      </c>
      <c r="AS234" s="13">
        <f t="shared" si="153"/>
        <v>1</v>
      </c>
      <c r="AT234" s="13">
        <f t="shared" si="153"/>
        <v>1</v>
      </c>
      <c r="AU234" s="13">
        <f t="shared" si="153"/>
        <v>1</v>
      </c>
      <c r="AV234" s="13">
        <f t="shared" si="122"/>
        <v>0</v>
      </c>
      <c r="AW234" s="13">
        <f t="shared" si="123"/>
        <v>1</v>
      </c>
      <c r="AY234" s="17">
        <f t="shared" si="124"/>
        <v>144</v>
      </c>
      <c r="AZ234" s="28">
        <f t="shared" si="133"/>
        <v>0</v>
      </c>
      <c r="BA234" s="13">
        <f t="shared" si="125"/>
        <v>0</v>
      </c>
      <c r="BB234" s="13">
        <f t="shared" si="126"/>
        <v>0</v>
      </c>
      <c r="BC234" s="28">
        <f t="shared" si="134"/>
        <v>0</v>
      </c>
      <c r="BD234" s="28">
        <f t="shared" si="135"/>
        <v>0</v>
      </c>
      <c r="BF234" s="248">
        <f t="shared" si="136"/>
        <v>993869.29442638322</v>
      </c>
      <c r="BG234" s="36">
        <f t="shared" si="145"/>
        <v>0</v>
      </c>
      <c r="BH234" s="36">
        <f t="shared" si="146"/>
        <v>876996.85135372216</v>
      </c>
      <c r="BI234" s="249">
        <f t="shared" si="147"/>
        <v>0</v>
      </c>
      <c r="BJ234" s="246">
        <f t="shared" si="148"/>
        <v>0</v>
      </c>
      <c r="BK234" s="246">
        <f t="shared" si="127"/>
        <v>7.531116566323881E-4</v>
      </c>
      <c r="BL234" s="246">
        <f t="shared" si="149"/>
        <v>0</v>
      </c>
      <c r="BM234" s="246">
        <f t="shared" si="150"/>
        <v>7.531116566323881E-4</v>
      </c>
      <c r="BN234" s="36">
        <f t="shared" si="137"/>
        <v>660.47655158438988</v>
      </c>
      <c r="BO234" s="36">
        <f t="shared" si="151"/>
        <v>0</v>
      </c>
      <c r="BP234" s="36">
        <f t="shared" si="152"/>
        <v>876336.37480213773</v>
      </c>
    </row>
    <row r="235" spans="1:68">
      <c r="A235" s="32">
        <f t="shared" si="138"/>
        <v>-60</v>
      </c>
      <c r="B235" s="32">
        <f t="shared" si="128"/>
        <v>65</v>
      </c>
      <c r="C235" s="32">
        <f t="shared" si="139"/>
        <v>13</v>
      </c>
      <c r="D235" s="32">
        <f t="shared" si="140"/>
        <v>145</v>
      </c>
      <c r="E235" s="74">
        <f>MIN(IF(AV235=0,0,
IF(Investment_Strategy="DIS",VLOOKUP(Investment_Strategy&amp;"_"&amp;Investment_Strategy_Sub1&amp;"_"&amp;$A235,'Investment Strategies'!$AZ:$BP,12,FALSE),
IF(AND(Investment_Strategy="Lifecycle",Investment_Strategy_Sub1="Non-Standard"),VLOOKUP(Investment_Strategy&amp;"_"&amp;Investment_Strategy_Sub2&amp;"_"&amp;$A235,'Investment Strategies'!$C:$P,9,FALSE),
IF(AND(Investment_Strategy="Lifecycle",Investment_Strategy_Sub1="Standard"),VLOOKUP(Investment_Strategy&amp;"_"&amp;Investment_Strategy_Sub2&amp;"_"&amp;$A235,'Investment Strategies'!$AJ:$AV,8,FALSE),
IF(AND(Investment_Strategy="Autopilot",Investment_Strategy_Sub1="Non-Standard"),VLOOKUP(Investment_Strategy&amp;"_"&amp;Investment_Strategy_Sub2&amp;"_"&amp;$A235,'Investment Strategies'!$T:$AF,8,FALSE),
IF(Investment_Strategy ="DIY",DIY_RateOfReturn_CurrentFunds,
"Error")))))),Max_InvReturn)</f>
        <v>0</v>
      </c>
      <c r="F235" s="62">
        <f>IF(AV235=0,0,
IF(Investment_Strategy="DIS",VLOOKUP(Investment_Strategy&amp;"_"&amp;Investment_Strategy_Sub1&amp;"_"&amp;$A235,'Investment Strategies'!$AZ:$BP,15,FALSE),
IF(AND(Investment_Strategy="Lifecycle",Investment_Strategy_Sub1="Non-Standard"),VLOOKUP(Investment_Strategy&amp;"_"&amp;Investment_Strategy_Sub2&amp;"_"&amp;$A235,'Investment Strategies'!$C:$P,12,FALSE),
IF(AND(Investment_Strategy="Lifecycle",Investment_Strategy_Sub1="Standard"),VLOOKUP(Investment_Strategy&amp;"_"&amp;Investment_Strategy_Sub2&amp;"_"&amp;$A235,'Investment Strategies'!$AJ:$AV,11,FALSE),
IF(AND(Investment_Strategy="Autopilot",Investment_Strategy_Sub1="Non-Standard"),VLOOKUP(Investment_Strategy&amp;"_"&amp;Investment_Strategy_Sub2&amp;"_"&amp;$A235,'Investment Strategies'!$T:$AF,11,FALSE),
IF(Investment_Strategy="DIY",DIY_GteeChrge_CurrentFunds,
"Error"))))))</f>
        <v>0</v>
      </c>
      <c r="G235" s="33">
        <f>IF(AV235=0,0,
IF(Investment_Strategy="DIS",VLOOKUP(Investment_Strategy&amp;"_"&amp;Investment_Strategy_Sub1&amp;"_"&amp;$A235,'Investment Strategies'!$AZ:$BP,17,FALSE),
IF(AND(Investment_Strategy="Lifecycle",Investment_Strategy_Sub1="Non-Standard"),VLOOKUP(Investment_Strategy&amp;"_"&amp;Investment_Strategy_Sub2&amp;"_"&amp;$A235,'Investment Strategies'!$C:$P,14,FALSE),
IF(AND(Investment_Strategy="Lifecycle",Investment_Strategy_Sub1="Standard"),VLOOKUP(Investment_Strategy&amp;"_"&amp;Investment_Strategy_Sub2&amp;"_"&amp;$A235,'Investment Strategies'!$AJ:$AV,13,FALSE),
IF(AND(Investment_Strategy="Autopilot",Investment_Strategy_Sub1="Non-Standard"),VLOOKUP(Investment_Strategy&amp;"_"&amp;Investment_Strategy_Sub2&amp;"_"&amp;$A235,'Investment Strategies'!$T:$AF,13,FALSE),
IF(Investment_Strategy="DIY",DIY_ExtManChrge_CurrentFunds,
"Error"))))))</f>
        <v>0</v>
      </c>
      <c r="H235" s="16">
        <f t="shared" si="129"/>
        <v>0</v>
      </c>
      <c r="I235" s="16">
        <f t="shared" si="113"/>
        <v>0</v>
      </c>
      <c r="J235" s="16">
        <f t="shared" si="114"/>
        <v>0</v>
      </c>
      <c r="K235" s="16">
        <f>(Opening_Fund_Value+SUM(K$91:K234))*E235*IF(D235=$A$91,SRP_finalmonthfactor,1)</f>
        <v>0</v>
      </c>
      <c r="L235" s="74">
        <f>MIN(IF($AV235=0,0,
IF(Investment_Strategy="DIS",VLOOKUP(Investment_Strategy&amp;"_"&amp;Investment_Strategy_Sub1&amp;"_"&amp;$A235,'Investment Strategies'!$AZ:$BP,12,FALSE),
IF(AND(Investment_Strategy="Lifecycle",Investment_Strategy_Sub1="Non-Standard"),VLOOKUP(Investment_Strategy&amp;"_"&amp;Investment_Strategy_Sub2&amp;"_"&amp;$A235,'Investment Strategies'!$C:$P,9,FALSE),
IF(AND(Investment_Strategy="Lifecycle",Investment_Strategy_Sub1="Standard"),VLOOKUP(Investment_Strategy&amp;"_"&amp;Investment_Strategy_Sub2&amp;"_"&amp;$A235,'Investment Strategies'!$AJ:$AV,8,FALSE),
IF(AND(Investment_Strategy="Autopilot",Investment_Strategy_Sub1="Non-Standard"),VLOOKUP(Investment_Strategy&amp;"_"&amp;Investment_Strategy_Sub2&amp;"_"&amp;$A235,'Investment Strategies'!$T:$AF,8,FALSE),
IF(Investment_Strategy ="DIY",DIY_RateofReturn_SP,
"Error")))))),Max_InvReturn)</f>
        <v>0</v>
      </c>
      <c r="M235" s="62">
        <f>IF($AV235=0,0,
IF(Investment_Strategy="DIS",VLOOKUP(Investment_Strategy&amp;"_"&amp;Investment_Strategy_Sub1&amp;"_"&amp;$A235,'Investment Strategies'!$AZ:$BP,15,FALSE),
IF(AND(Investment_Strategy="Lifecycle",Investment_Strategy_Sub1="Non-Standard"),VLOOKUP(Investment_Strategy&amp;"_"&amp;Investment_Strategy_Sub2&amp;"_"&amp;$A235,'Investment Strategies'!$C:$P,12,FALSE),
IF(AND(Investment_Strategy="Lifecycle",Investment_Strategy_Sub1="Standard"),VLOOKUP(Investment_Strategy&amp;"_"&amp;Investment_Strategy_Sub2&amp;"_"&amp;$A235,'Investment Strategies'!$AJ:$AV,11,FALSE),
IF(AND(Investment_Strategy="Autopilot",Investment_Strategy_Sub1="Non-Standard"),VLOOKUP(Investment_Strategy&amp;"_"&amp;Investment_Strategy_Sub2&amp;"_"&amp;$A235,'Investment Strategies'!$T:$AF,11,FALSE),
IF(Investment_Strategy="DIY",DIY_GteeChrge_SP,
"Error"))))))</f>
        <v>0</v>
      </c>
      <c r="N235" s="33">
        <f>IF($AV235=0,0,
IF(Investment_Strategy="DIS",VLOOKUP(Investment_Strategy&amp;"_"&amp;Investment_Strategy_Sub1&amp;"_"&amp;$A235,'Investment Strategies'!$AZ:$BP,17,FALSE),
IF(AND(Investment_Strategy="Lifecycle",Investment_Strategy_Sub1="Non-Standard"),VLOOKUP(Investment_Strategy&amp;"_"&amp;Investment_Strategy_Sub2&amp;"_"&amp;$A235,'Investment Strategies'!$C:$P,14,FALSE),
IF(AND(Investment_Strategy="Lifecycle",Investment_Strategy_Sub1="Standard"),VLOOKUP(Investment_Strategy&amp;"_"&amp;Investment_Strategy_Sub2&amp;"_"&amp;$A235,'Investment Strategies'!$AJ:$AV,13,FALSE),
IF(AND(Investment_Strategy="Autopilot",Investment_Strategy_Sub1="Non-Standard"),VLOOKUP(Investment_Strategy&amp;"_"&amp;Investment_Strategy_Sub2&amp;"_"&amp;$A235,'Investment Strategies'!$T:$AF,13,FALSE),
IF(Investment_Strategy="DIY",DIY_ExtManChrge_SP,
"Error"))))))</f>
        <v>0</v>
      </c>
      <c r="O235" s="16">
        <f t="shared" si="141"/>
        <v>0</v>
      </c>
      <c r="Q235" s="16">
        <f t="shared" si="115"/>
        <v>0</v>
      </c>
      <c r="R235" s="16">
        <f t="shared" si="116"/>
        <v>0</v>
      </c>
      <c r="S235" s="16">
        <f>(SRP_SP+SUM(S$91:S234))*L235*IF(D235=$A$91,SRP_finalmonthfactor,1)</f>
        <v>0</v>
      </c>
      <c r="T235" s="74">
        <f>MIN(IF($AV235=0,0,
IF(Investment_Strategy="DIS",VLOOKUP(Investment_Strategy&amp;"_"&amp;Investment_Strategy_Sub1&amp;"_"&amp;$A235,'Investment Strategies'!$AZ:$BP,12,FALSE),
IF(AND(Investment_Strategy="Lifecycle",Investment_Strategy_Sub1="Non-Standard"),VLOOKUP(Investment_Strategy&amp;"_"&amp;Investment_Strategy_Sub2&amp;"_"&amp;$A235,'Investment Strategies'!$C:$P,9,FALSE),
IF(AND(Investment_Strategy="Lifecycle",Investment_Strategy_Sub1="Standard"),VLOOKUP(Investment_Strategy&amp;"_"&amp;Investment_Strategy_Sub2&amp;"_"&amp;$A235,'Investment Strategies'!$AJ:$AV,8,FALSE),
IF(AND(Investment_Strategy="Autopilot",Investment_Strategy_Sub1="Non-Standard"),VLOOKUP(Investment_Strategy&amp;"_"&amp;Investment_Strategy_Sub2&amp;"_"&amp;$A235,'Investment Strategies'!$T:$AF,8,FALSE),
IF(Investment_Strategy ="DIY",DIY_RateOfReturn_FuturePremiums,
"Error")))))),Max_InvReturn)</f>
        <v>0</v>
      </c>
      <c r="U235" s="62">
        <f>IF($AV235=0,0,
IF(Investment_Strategy="DIS",VLOOKUP(Investment_Strategy&amp;"_"&amp;Investment_Strategy_Sub1&amp;"_"&amp;$A235,'Investment Strategies'!$AZ:$BP,15,FALSE),
IF(AND(Investment_Strategy="Lifecycle",Investment_Strategy_Sub1="Non-Standard"),VLOOKUP(Investment_Strategy&amp;"_"&amp;Investment_Strategy_Sub2&amp;"_"&amp;$A235,'Investment Strategies'!$C:$P,12,FALSE),
IF(AND(Investment_Strategy="Lifecycle",Investment_Strategy_Sub1="Standard"),VLOOKUP(Investment_Strategy&amp;"_"&amp;Investment_Strategy_Sub2&amp;"_"&amp;$A235,'Investment Strategies'!$AJ:$AV,11,FALSE),
IF(AND(Investment_Strategy="Autopilot",Investment_Strategy_Sub1="Non-Standard"),VLOOKUP(Investment_Strategy&amp;"_"&amp;Investment_Strategy_Sub2&amp;"_"&amp;$A235,'Investment Strategies'!$T:$AF,11,FALSE),
IF(Investment_Strategy="DIY",DIY_GteeChrge_FuturePremiums,
"Error"))))))</f>
        <v>0</v>
      </c>
      <c r="V235" s="33">
        <f>IF(AV235=0,0,
IF(Investment_Strategy="DIS",VLOOKUP(Investment_Strategy&amp;"_"&amp;Investment_Strategy_Sub1&amp;"_"&amp;$A235,'Investment Strategies'!$AZ:$BP,17,FALSE),
IF(AND(Investment_Strategy="Lifecycle",Investment_Strategy_Sub1="Non-Standard"),VLOOKUP(Investment_Strategy&amp;"_"&amp;Investment_Strategy_Sub2&amp;"_"&amp;$A235,'Investment Strategies'!$C:$P,14,FALSE),
IF(AND(Investment_Strategy="Lifecycle",Investment_Strategy_Sub1="Standard"),VLOOKUP(Investment_Strategy&amp;"_"&amp;Investment_Strategy_Sub2&amp;"_"&amp;$A235,'Investment Strategies'!$AJ:$AV,13,FALSE),
IF(AND(Investment_Strategy="Autopilot",Investment_Strategy_Sub1="Non-Standard"),VLOOKUP(Investment_Strategy&amp;"_"&amp;Investment_Strategy_Sub2&amp;"_"&amp;$A235,'Investment Strategies'!$T:$AF,13,FALSE),
IF(Investment_Strategy="DIY",DIY_ExtManChrge_FuturePremiums,
"Error"))))))</f>
        <v>0</v>
      </c>
      <c r="W235" s="16">
        <f t="shared" si="142"/>
        <v>0</v>
      </c>
      <c r="X235" s="16">
        <f t="shared" si="117"/>
        <v>0</v>
      </c>
      <c r="Y235" s="16">
        <f t="shared" si="118"/>
        <v>0</v>
      </c>
      <c r="Z235" s="31">
        <f t="shared" si="119"/>
        <v>0.02</v>
      </c>
      <c r="AA235" s="16">
        <f t="shared" si="120"/>
        <v>0</v>
      </c>
      <c r="AB235" s="28">
        <f t="shared" si="144"/>
        <v>0</v>
      </c>
      <c r="AC235" s="28">
        <f>(SUM($AC$91:AC234)+SUM($X$91:X234)+X235)*T235*IF(D235=$A$91,SRP_finalmonthfactor,1)</f>
        <v>0</v>
      </c>
      <c r="AD235" s="16">
        <f t="shared" si="121"/>
        <v>0</v>
      </c>
      <c r="AE235" s="106"/>
      <c r="AF235" s="16">
        <f t="shared" si="130"/>
        <v>0</v>
      </c>
      <c r="AG235" s="16">
        <f t="shared" si="131"/>
        <v>0</v>
      </c>
      <c r="AH235" s="16">
        <f t="shared" si="132"/>
        <v>0</v>
      </c>
      <c r="AJ235" s="13">
        <f t="shared" si="153"/>
        <v>0</v>
      </c>
      <c r="AK235" s="13">
        <f t="shared" si="153"/>
        <v>0</v>
      </c>
      <c r="AL235" s="13">
        <f t="shared" si="153"/>
        <v>0</v>
      </c>
      <c r="AM235" s="13">
        <f t="shared" si="153"/>
        <v>0</v>
      </c>
      <c r="AN235" s="13">
        <f t="shared" si="153"/>
        <v>0</v>
      </c>
      <c r="AO235" s="13">
        <f t="shared" si="153"/>
        <v>1</v>
      </c>
      <c r="AP235" s="13">
        <f t="shared" si="153"/>
        <v>1</v>
      </c>
      <c r="AQ235" s="13">
        <f t="shared" si="153"/>
        <v>1</v>
      </c>
      <c r="AR235" s="13">
        <f t="shared" si="153"/>
        <v>1</v>
      </c>
      <c r="AS235" s="13">
        <f t="shared" si="153"/>
        <v>1</v>
      </c>
      <c r="AT235" s="13">
        <f t="shared" si="153"/>
        <v>1</v>
      </c>
      <c r="AU235" s="13">
        <f t="shared" si="153"/>
        <v>1</v>
      </c>
      <c r="AV235" s="13">
        <f t="shared" si="122"/>
        <v>0</v>
      </c>
      <c r="AW235" s="13">
        <f t="shared" si="123"/>
        <v>1</v>
      </c>
      <c r="AY235" s="17">
        <f t="shared" si="124"/>
        <v>145</v>
      </c>
      <c r="AZ235" s="28">
        <f t="shared" si="133"/>
        <v>0</v>
      </c>
      <c r="BA235" s="13">
        <f t="shared" si="125"/>
        <v>0</v>
      </c>
      <c r="BB235" s="13">
        <f t="shared" si="126"/>
        <v>0</v>
      </c>
      <c r="BC235" s="28">
        <f t="shared" si="134"/>
        <v>0</v>
      </c>
      <c r="BD235" s="28">
        <f t="shared" si="135"/>
        <v>0</v>
      </c>
      <c r="BF235" s="248">
        <f t="shared" si="136"/>
        <v>993869.29442638322</v>
      </c>
      <c r="BG235" s="36">
        <f t="shared" si="145"/>
        <v>0</v>
      </c>
      <c r="BH235" s="36">
        <f t="shared" si="146"/>
        <v>876336.37480213773</v>
      </c>
      <c r="BI235" s="249">
        <f t="shared" si="147"/>
        <v>0</v>
      </c>
      <c r="BJ235" s="246">
        <f t="shared" si="148"/>
        <v>0</v>
      </c>
      <c r="BK235" s="246">
        <f t="shared" si="127"/>
        <v>7.531116566323881E-4</v>
      </c>
      <c r="BL235" s="246">
        <f t="shared" si="149"/>
        <v>0</v>
      </c>
      <c r="BM235" s="246">
        <f t="shared" si="150"/>
        <v>7.531116566323881E-4</v>
      </c>
      <c r="BN235" s="36">
        <f t="shared" si="137"/>
        <v>659.97913899445928</v>
      </c>
      <c r="BO235" s="36">
        <f t="shared" si="151"/>
        <v>0</v>
      </c>
      <c r="BP235" s="36">
        <f t="shared" si="152"/>
        <v>875676.39566314325</v>
      </c>
    </row>
    <row r="236" spans="1:68">
      <c r="A236" s="32">
        <f t="shared" si="138"/>
        <v>-61</v>
      </c>
      <c r="B236" s="32">
        <f t="shared" si="128"/>
        <v>65</v>
      </c>
      <c r="C236" s="32">
        <f t="shared" si="139"/>
        <v>13</v>
      </c>
      <c r="D236" s="32">
        <f t="shared" si="140"/>
        <v>146</v>
      </c>
      <c r="E236" s="74">
        <f>MIN(IF(AV236=0,0,
IF(Investment_Strategy="DIS",VLOOKUP(Investment_Strategy&amp;"_"&amp;Investment_Strategy_Sub1&amp;"_"&amp;$A236,'Investment Strategies'!$AZ:$BP,12,FALSE),
IF(AND(Investment_Strategy="Lifecycle",Investment_Strategy_Sub1="Non-Standard"),VLOOKUP(Investment_Strategy&amp;"_"&amp;Investment_Strategy_Sub2&amp;"_"&amp;$A236,'Investment Strategies'!$C:$P,9,FALSE),
IF(AND(Investment_Strategy="Lifecycle",Investment_Strategy_Sub1="Standard"),VLOOKUP(Investment_Strategy&amp;"_"&amp;Investment_Strategy_Sub2&amp;"_"&amp;$A236,'Investment Strategies'!$AJ:$AV,8,FALSE),
IF(AND(Investment_Strategy="Autopilot",Investment_Strategy_Sub1="Non-Standard"),VLOOKUP(Investment_Strategy&amp;"_"&amp;Investment_Strategy_Sub2&amp;"_"&amp;$A236,'Investment Strategies'!$T:$AF,8,FALSE),
IF(Investment_Strategy ="DIY",DIY_RateOfReturn_CurrentFunds,
"Error")))))),Max_InvReturn)</f>
        <v>0</v>
      </c>
      <c r="F236" s="62">
        <f>IF(AV236=0,0,
IF(Investment_Strategy="DIS",VLOOKUP(Investment_Strategy&amp;"_"&amp;Investment_Strategy_Sub1&amp;"_"&amp;$A236,'Investment Strategies'!$AZ:$BP,15,FALSE),
IF(AND(Investment_Strategy="Lifecycle",Investment_Strategy_Sub1="Non-Standard"),VLOOKUP(Investment_Strategy&amp;"_"&amp;Investment_Strategy_Sub2&amp;"_"&amp;$A236,'Investment Strategies'!$C:$P,12,FALSE),
IF(AND(Investment_Strategy="Lifecycle",Investment_Strategy_Sub1="Standard"),VLOOKUP(Investment_Strategy&amp;"_"&amp;Investment_Strategy_Sub2&amp;"_"&amp;$A236,'Investment Strategies'!$AJ:$AV,11,FALSE),
IF(AND(Investment_Strategy="Autopilot",Investment_Strategy_Sub1="Non-Standard"),VLOOKUP(Investment_Strategy&amp;"_"&amp;Investment_Strategy_Sub2&amp;"_"&amp;$A236,'Investment Strategies'!$T:$AF,11,FALSE),
IF(Investment_Strategy="DIY",DIY_GteeChrge_CurrentFunds,
"Error"))))))</f>
        <v>0</v>
      </c>
      <c r="G236" s="33">
        <f>IF(AV236=0,0,
IF(Investment_Strategy="DIS",VLOOKUP(Investment_Strategy&amp;"_"&amp;Investment_Strategy_Sub1&amp;"_"&amp;$A236,'Investment Strategies'!$AZ:$BP,17,FALSE),
IF(AND(Investment_Strategy="Lifecycle",Investment_Strategy_Sub1="Non-Standard"),VLOOKUP(Investment_Strategy&amp;"_"&amp;Investment_Strategy_Sub2&amp;"_"&amp;$A236,'Investment Strategies'!$C:$P,14,FALSE),
IF(AND(Investment_Strategy="Lifecycle",Investment_Strategy_Sub1="Standard"),VLOOKUP(Investment_Strategy&amp;"_"&amp;Investment_Strategy_Sub2&amp;"_"&amp;$A236,'Investment Strategies'!$AJ:$AV,13,FALSE),
IF(AND(Investment_Strategy="Autopilot",Investment_Strategy_Sub1="Non-Standard"),VLOOKUP(Investment_Strategy&amp;"_"&amp;Investment_Strategy_Sub2&amp;"_"&amp;$A236,'Investment Strategies'!$T:$AF,13,FALSE),
IF(Investment_Strategy="DIY",DIY_ExtManChrge_CurrentFunds,
"Error"))))))</f>
        <v>0</v>
      </c>
      <c r="H236" s="16">
        <f t="shared" si="129"/>
        <v>0</v>
      </c>
      <c r="I236" s="16">
        <f t="shared" si="113"/>
        <v>0</v>
      </c>
      <c r="J236" s="16">
        <f t="shared" si="114"/>
        <v>0</v>
      </c>
      <c r="K236" s="16">
        <f>(Opening_Fund_Value+SUM(K$91:K235))*E236*IF(D236=$A$91,SRP_finalmonthfactor,1)</f>
        <v>0</v>
      </c>
      <c r="L236" s="74">
        <f>MIN(IF($AV236=0,0,
IF(Investment_Strategy="DIS",VLOOKUP(Investment_Strategy&amp;"_"&amp;Investment_Strategy_Sub1&amp;"_"&amp;$A236,'Investment Strategies'!$AZ:$BP,12,FALSE),
IF(AND(Investment_Strategy="Lifecycle",Investment_Strategy_Sub1="Non-Standard"),VLOOKUP(Investment_Strategy&amp;"_"&amp;Investment_Strategy_Sub2&amp;"_"&amp;$A236,'Investment Strategies'!$C:$P,9,FALSE),
IF(AND(Investment_Strategy="Lifecycle",Investment_Strategy_Sub1="Standard"),VLOOKUP(Investment_Strategy&amp;"_"&amp;Investment_Strategy_Sub2&amp;"_"&amp;$A236,'Investment Strategies'!$AJ:$AV,8,FALSE),
IF(AND(Investment_Strategy="Autopilot",Investment_Strategy_Sub1="Non-Standard"),VLOOKUP(Investment_Strategy&amp;"_"&amp;Investment_Strategy_Sub2&amp;"_"&amp;$A236,'Investment Strategies'!$T:$AF,8,FALSE),
IF(Investment_Strategy ="DIY",DIY_RateofReturn_SP,
"Error")))))),Max_InvReturn)</f>
        <v>0</v>
      </c>
      <c r="M236" s="62">
        <f>IF($AV236=0,0,
IF(Investment_Strategy="DIS",VLOOKUP(Investment_Strategy&amp;"_"&amp;Investment_Strategy_Sub1&amp;"_"&amp;$A236,'Investment Strategies'!$AZ:$BP,15,FALSE),
IF(AND(Investment_Strategy="Lifecycle",Investment_Strategy_Sub1="Non-Standard"),VLOOKUP(Investment_Strategy&amp;"_"&amp;Investment_Strategy_Sub2&amp;"_"&amp;$A236,'Investment Strategies'!$C:$P,12,FALSE),
IF(AND(Investment_Strategy="Lifecycle",Investment_Strategy_Sub1="Standard"),VLOOKUP(Investment_Strategy&amp;"_"&amp;Investment_Strategy_Sub2&amp;"_"&amp;$A236,'Investment Strategies'!$AJ:$AV,11,FALSE),
IF(AND(Investment_Strategy="Autopilot",Investment_Strategy_Sub1="Non-Standard"),VLOOKUP(Investment_Strategy&amp;"_"&amp;Investment_Strategy_Sub2&amp;"_"&amp;$A236,'Investment Strategies'!$T:$AF,11,FALSE),
IF(Investment_Strategy="DIY",DIY_GteeChrge_SP,
"Error"))))))</f>
        <v>0</v>
      </c>
      <c r="N236" s="33">
        <f>IF($AV236=0,0,
IF(Investment_Strategy="DIS",VLOOKUP(Investment_Strategy&amp;"_"&amp;Investment_Strategy_Sub1&amp;"_"&amp;$A236,'Investment Strategies'!$AZ:$BP,17,FALSE),
IF(AND(Investment_Strategy="Lifecycle",Investment_Strategy_Sub1="Non-Standard"),VLOOKUP(Investment_Strategy&amp;"_"&amp;Investment_Strategy_Sub2&amp;"_"&amp;$A236,'Investment Strategies'!$C:$P,14,FALSE),
IF(AND(Investment_Strategy="Lifecycle",Investment_Strategy_Sub1="Standard"),VLOOKUP(Investment_Strategy&amp;"_"&amp;Investment_Strategy_Sub2&amp;"_"&amp;$A236,'Investment Strategies'!$AJ:$AV,13,FALSE),
IF(AND(Investment_Strategy="Autopilot",Investment_Strategy_Sub1="Non-Standard"),VLOOKUP(Investment_Strategy&amp;"_"&amp;Investment_Strategy_Sub2&amp;"_"&amp;$A236,'Investment Strategies'!$T:$AF,13,FALSE),
IF(Investment_Strategy="DIY",DIY_ExtManChrge_SP,
"Error"))))))</f>
        <v>0</v>
      </c>
      <c r="O236" s="16">
        <f t="shared" si="141"/>
        <v>0</v>
      </c>
      <c r="Q236" s="16">
        <f t="shared" si="115"/>
        <v>0</v>
      </c>
      <c r="R236" s="16">
        <f t="shared" si="116"/>
        <v>0</v>
      </c>
      <c r="S236" s="16">
        <f>(SRP_SP+SUM(S$91:S235))*L236*IF(D236=$A$91,SRP_finalmonthfactor,1)</f>
        <v>0</v>
      </c>
      <c r="T236" s="74">
        <f>MIN(IF($AV236=0,0,
IF(Investment_Strategy="DIS",VLOOKUP(Investment_Strategy&amp;"_"&amp;Investment_Strategy_Sub1&amp;"_"&amp;$A236,'Investment Strategies'!$AZ:$BP,12,FALSE),
IF(AND(Investment_Strategy="Lifecycle",Investment_Strategy_Sub1="Non-Standard"),VLOOKUP(Investment_Strategy&amp;"_"&amp;Investment_Strategy_Sub2&amp;"_"&amp;$A236,'Investment Strategies'!$C:$P,9,FALSE),
IF(AND(Investment_Strategy="Lifecycle",Investment_Strategy_Sub1="Standard"),VLOOKUP(Investment_Strategy&amp;"_"&amp;Investment_Strategy_Sub2&amp;"_"&amp;$A236,'Investment Strategies'!$AJ:$AV,8,FALSE),
IF(AND(Investment_Strategy="Autopilot",Investment_Strategy_Sub1="Non-Standard"),VLOOKUP(Investment_Strategy&amp;"_"&amp;Investment_Strategy_Sub2&amp;"_"&amp;$A236,'Investment Strategies'!$T:$AF,8,FALSE),
IF(Investment_Strategy ="DIY",DIY_RateOfReturn_FuturePremiums,
"Error")))))),Max_InvReturn)</f>
        <v>0</v>
      </c>
      <c r="U236" s="62">
        <f>IF($AV236=0,0,
IF(Investment_Strategy="DIS",VLOOKUP(Investment_Strategy&amp;"_"&amp;Investment_Strategy_Sub1&amp;"_"&amp;$A236,'Investment Strategies'!$AZ:$BP,15,FALSE),
IF(AND(Investment_Strategy="Lifecycle",Investment_Strategy_Sub1="Non-Standard"),VLOOKUP(Investment_Strategy&amp;"_"&amp;Investment_Strategy_Sub2&amp;"_"&amp;$A236,'Investment Strategies'!$C:$P,12,FALSE),
IF(AND(Investment_Strategy="Lifecycle",Investment_Strategy_Sub1="Standard"),VLOOKUP(Investment_Strategy&amp;"_"&amp;Investment_Strategy_Sub2&amp;"_"&amp;$A236,'Investment Strategies'!$AJ:$AV,11,FALSE),
IF(AND(Investment_Strategy="Autopilot",Investment_Strategy_Sub1="Non-Standard"),VLOOKUP(Investment_Strategy&amp;"_"&amp;Investment_Strategy_Sub2&amp;"_"&amp;$A236,'Investment Strategies'!$T:$AF,11,FALSE),
IF(Investment_Strategy="DIY",DIY_GteeChrge_FuturePremiums,
"Error"))))))</f>
        <v>0</v>
      </c>
      <c r="V236" s="33">
        <f>IF(AV236=0,0,
IF(Investment_Strategy="DIS",VLOOKUP(Investment_Strategy&amp;"_"&amp;Investment_Strategy_Sub1&amp;"_"&amp;$A236,'Investment Strategies'!$AZ:$BP,17,FALSE),
IF(AND(Investment_Strategy="Lifecycle",Investment_Strategy_Sub1="Non-Standard"),VLOOKUP(Investment_Strategy&amp;"_"&amp;Investment_Strategy_Sub2&amp;"_"&amp;$A236,'Investment Strategies'!$C:$P,14,FALSE),
IF(AND(Investment_Strategy="Lifecycle",Investment_Strategy_Sub1="Standard"),VLOOKUP(Investment_Strategy&amp;"_"&amp;Investment_Strategy_Sub2&amp;"_"&amp;$A236,'Investment Strategies'!$AJ:$AV,13,FALSE),
IF(AND(Investment_Strategy="Autopilot",Investment_Strategy_Sub1="Non-Standard"),VLOOKUP(Investment_Strategy&amp;"_"&amp;Investment_Strategy_Sub2&amp;"_"&amp;$A236,'Investment Strategies'!$T:$AF,13,FALSE),
IF(Investment_Strategy="DIY",DIY_ExtManChrge_FuturePremiums,
"Error"))))))</f>
        <v>0</v>
      </c>
      <c r="W236" s="16">
        <f t="shared" si="142"/>
        <v>0</v>
      </c>
      <c r="X236" s="16">
        <f t="shared" si="117"/>
        <v>0</v>
      </c>
      <c r="Y236" s="16">
        <f t="shared" si="118"/>
        <v>0</v>
      </c>
      <c r="Z236" s="31">
        <f t="shared" si="119"/>
        <v>0.02</v>
      </c>
      <c r="AA236" s="16">
        <f t="shared" si="120"/>
        <v>0</v>
      </c>
      <c r="AB236" s="28">
        <f t="shared" si="144"/>
        <v>0</v>
      </c>
      <c r="AC236" s="28">
        <f>(SUM($AC$91:AC235)+SUM($X$91:X235)+X236)*T236*IF(D236=$A$91,SRP_finalmonthfactor,1)</f>
        <v>0</v>
      </c>
      <c r="AD236" s="16">
        <f t="shared" si="121"/>
        <v>0</v>
      </c>
      <c r="AE236" s="106"/>
      <c r="AF236" s="16">
        <f t="shared" si="130"/>
        <v>0</v>
      </c>
      <c r="AG236" s="16">
        <f t="shared" si="131"/>
        <v>0</v>
      </c>
      <c r="AH236" s="16">
        <f t="shared" si="132"/>
        <v>0</v>
      </c>
      <c r="AJ236" s="13">
        <f t="shared" si="153"/>
        <v>0</v>
      </c>
      <c r="AK236" s="13">
        <f t="shared" si="153"/>
        <v>0</v>
      </c>
      <c r="AL236" s="13">
        <f t="shared" si="153"/>
        <v>0</v>
      </c>
      <c r="AM236" s="13">
        <f t="shared" si="153"/>
        <v>0</v>
      </c>
      <c r="AN236" s="13">
        <f t="shared" si="153"/>
        <v>0</v>
      </c>
      <c r="AO236" s="13">
        <f t="shared" si="153"/>
        <v>1</v>
      </c>
      <c r="AP236" s="13">
        <f t="shared" si="153"/>
        <v>1</v>
      </c>
      <c r="AQ236" s="13">
        <f t="shared" si="153"/>
        <v>1</v>
      </c>
      <c r="AR236" s="13">
        <f t="shared" si="153"/>
        <v>1</v>
      </c>
      <c r="AS236" s="13">
        <f t="shared" si="153"/>
        <v>1</v>
      </c>
      <c r="AT236" s="13">
        <f t="shared" si="153"/>
        <v>1</v>
      </c>
      <c r="AU236" s="13">
        <f t="shared" si="153"/>
        <v>1</v>
      </c>
      <c r="AV236" s="13">
        <f t="shared" si="122"/>
        <v>0</v>
      </c>
      <c r="AW236" s="13">
        <f t="shared" si="123"/>
        <v>1</v>
      </c>
      <c r="AY236" s="17">
        <f t="shared" si="124"/>
        <v>146</v>
      </c>
      <c r="AZ236" s="28">
        <f t="shared" si="133"/>
        <v>0</v>
      </c>
      <c r="BA236" s="13">
        <f t="shared" si="125"/>
        <v>0</v>
      </c>
      <c r="BB236" s="13">
        <f t="shared" si="126"/>
        <v>0</v>
      </c>
      <c r="BC236" s="28">
        <f t="shared" si="134"/>
        <v>0</v>
      </c>
      <c r="BD236" s="28">
        <f t="shared" si="135"/>
        <v>0</v>
      </c>
      <c r="BF236" s="248">
        <f t="shared" si="136"/>
        <v>993869.29442638322</v>
      </c>
      <c r="BG236" s="36">
        <f t="shared" si="145"/>
        <v>0</v>
      </c>
      <c r="BH236" s="36">
        <f t="shared" si="146"/>
        <v>875676.39566314325</v>
      </c>
      <c r="BI236" s="249">
        <f t="shared" si="147"/>
        <v>0</v>
      </c>
      <c r="BJ236" s="246">
        <f t="shared" si="148"/>
        <v>0</v>
      </c>
      <c r="BK236" s="246">
        <f t="shared" si="127"/>
        <v>7.531116566323881E-4</v>
      </c>
      <c r="BL236" s="246">
        <f t="shared" si="149"/>
        <v>0</v>
      </c>
      <c r="BM236" s="246">
        <f t="shared" si="150"/>
        <v>7.531116566323881E-4</v>
      </c>
      <c r="BN236" s="36">
        <f t="shared" si="137"/>
        <v>659.48210101174834</v>
      </c>
      <c r="BO236" s="36">
        <f t="shared" si="151"/>
        <v>0</v>
      </c>
      <c r="BP236" s="36">
        <f t="shared" si="152"/>
        <v>875016.91356213146</v>
      </c>
    </row>
    <row r="237" spans="1:68">
      <c r="A237" s="32">
        <f t="shared" si="138"/>
        <v>-62</v>
      </c>
      <c r="B237" s="32">
        <f t="shared" si="128"/>
        <v>65</v>
      </c>
      <c r="C237" s="32">
        <f t="shared" si="139"/>
        <v>13</v>
      </c>
      <c r="D237" s="32">
        <f t="shared" si="140"/>
        <v>147</v>
      </c>
      <c r="E237" s="74">
        <f>MIN(IF(AV237=0,0,
IF(Investment_Strategy="DIS",VLOOKUP(Investment_Strategy&amp;"_"&amp;Investment_Strategy_Sub1&amp;"_"&amp;$A237,'Investment Strategies'!$AZ:$BP,12,FALSE),
IF(AND(Investment_Strategy="Lifecycle",Investment_Strategy_Sub1="Non-Standard"),VLOOKUP(Investment_Strategy&amp;"_"&amp;Investment_Strategy_Sub2&amp;"_"&amp;$A237,'Investment Strategies'!$C:$P,9,FALSE),
IF(AND(Investment_Strategy="Lifecycle",Investment_Strategy_Sub1="Standard"),VLOOKUP(Investment_Strategy&amp;"_"&amp;Investment_Strategy_Sub2&amp;"_"&amp;$A237,'Investment Strategies'!$AJ:$AV,8,FALSE),
IF(AND(Investment_Strategy="Autopilot",Investment_Strategy_Sub1="Non-Standard"),VLOOKUP(Investment_Strategy&amp;"_"&amp;Investment_Strategy_Sub2&amp;"_"&amp;$A237,'Investment Strategies'!$T:$AF,8,FALSE),
IF(Investment_Strategy ="DIY",DIY_RateOfReturn_CurrentFunds,
"Error")))))),Max_InvReturn)</f>
        <v>0</v>
      </c>
      <c r="F237" s="62">
        <f>IF(AV237=0,0,
IF(Investment_Strategy="DIS",VLOOKUP(Investment_Strategy&amp;"_"&amp;Investment_Strategy_Sub1&amp;"_"&amp;$A237,'Investment Strategies'!$AZ:$BP,15,FALSE),
IF(AND(Investment_Strategy="Lifecycle",Investment_Strategy_Sub1="Non-Standard"),VLOOKUP(Investment_Strategy&amp;"_"&amp;Investment_Strategy_Sub2&amp;"_"&amp;$A237,'Investment Strategies'!$C:$P,12,FALSE),
IF(AND(Investment_Strategy="Lifecycle",Investment_Strategy_Sub1="Standard"),VLOOKUP(Investment_Strategy&amp;"_"&amp;Investment_Strategy_Sub2&amp;"_"&amp;$A237,'Investment Strategies'!$AJ:$AV,11,FALSE),
IF(AND(Investment_Strategy="Autopilot",Investment_Strategy_Sub1="Non-Standard"),VLOOKUP(Investment_Strategy&amp;"_"&amp;Investment_Strategy_Sub2&amp;"_"&amp;$A237,'Investment Strategies'!$T:$AF,11,FALSE),
IF(Investment_Strategy="DIY",DIY_GteeChrge_CurrentFunds,
"Error"))))))</f>
        <v>0</v>
      </c>
      <c r="G237" s="33">
        <f>IF(AV237=0,0,
IF(Investment_Strategy="DIS",VLOOKUP(Investment_Strategy&amp;"_"&amp;Investment_Strategy_Sub1&amp;"_"&amp;$A237,'Investment Strategies'!$AZ:$BP,17,FALSE),
IF(AND(Investment_Strategy="Lifecycle",Investment_Strategy_Sub1="Non-Standard"),VLOOKUP(Investment_Strategy&amp;"_"&amp;Investment_Strategy_Sub2&amp;"_"&amp;$A237,'Investment Strategies'!$C:$P,14,FALSE),
IF(AND(Investment_Strategy="Lifecycle",Investment_Strategy_Sub1="Standard"),VLOOKUP(Investment_Strategy&amp;"_"&amp;Investment_Strategy_Sub2&amp;"_"&amp;$A237,'Investment Strategies'!$AJ:$AV,13,FALSE),
IF(AND(Investment_Strategy="Autopilot",Investment_Strategy_Sub1="Non-Standard"),VLOOKUP(Investment_Strategy&amp;"_"&amp;Investment_Strategy_Sub2&amp;"_"&amp;$A237,'Investment Strategies'!$T:$AF,13,FALSE),
IF(Investment_Strategy="DIY",DIY_ExtManChrge_CurrentFunds,
"Error"))))))</f>
        <v>0</v>
      </c>
      <c r="H237" s="16">
        <f t="shared" si="129"/>
        <v>0</v>
      </c>
      <c r="I237" s="16">
        <f t="shared" si="113"/>
        <v>0</v>
      </c>
      <c r="J237" s="16">
        <f t="shared" si="114"/>
        <v>0</v>
      </c>
      <c r="K237" s="16">
        <f>(Opening_Fund_Value+SUM(K$91:K236))*E237*IF(D237=$A$91,SRP_finalmonthfactor,1)</f>
        <v>0</v>
      </c>
      <c r="L237" s="74">
        <f>MIN(IF($AV237=0,0,
IF(Investment_Strategy="DIS",VLOOKUP(Investment_Strategy&amp;"_"&amp;Investment_Strategy_Sub1&amp;"_"&amp;$A237,'Investment Strategies'!$AZ:$BP,12,FALSE),
IF(AND(Investment_Strategy="Lifecycle",Investment_Strategy_Sub1="Non-Standard"),VLOOKUP(Investment_Strategy&amp;"_"&amp;Investment_Strategy_Sub2&amp;"_"&amp;$A237,'Investment Strategies'!$C:$P,9,FALSE),
IF(AND(Investment_Strategy="Lifecycle",Investment_Strategy_Sub1="Standard"),VLOOKUP(Investment_Strategy&amp;"_"&amp;Investment_Strategy_Sub2&amp;"_"&amp;$A237,'Investment Strategies'!$AJ:$AV,8,FALSE),
IF(AND(Investment_Strategy="Autopilot",Investment_Strategy_Sub1="Non-Standard"),VLOOKUP(Investment_Strategy&amp;"_"&amp;Investment_Strategy_Sub2&amp;"_"&amp;$A237,'Investment Strategies'!$T:$AF,8,FALSE),
IF(Investment_Strategy ="DIY",DIY_RateofReturn_SP,
"Error")))))),Max_InvReturn)</f>
        <v>0</v>
      </c>
      <c r="M237" s="62">
        <f>IF($AV237=0,0,
IF(Investment_Strategy="DIS",VLOOKUP(Investment_Strategy&amp;"_"&amp;Investment_Strategy_Sub1&amp;"_"&amp;$A237,'Investment Strategies'!$AZ:$BP,15,FALSE),
IF(AND(Investment_Strategy="Lifecycle",Investment_Strategy_Sub1="Non-Standard"),VLOOKUP(Investment_Strategy&amp;"_"&amp;Investment_Strategy_Sub2&amp;"_"&amp;$A237,'Investment Strategies'!$C:$P,12,FALSE),
IF(AND(Investment_Strategy="Lifecycle",Investment_Strategy_Sub1="Standard"),VLOOKUP(Investment_Strategy&amp;"_"&amp;Investment_Strategy_Sub2&amp;"_"&amp;$A237,'Investment Strategies'!$AJ:$AV,11,FALSE),
IF(AND(Investment_Strategy="Autopilot",Investment_Strategy_Sub1="Non-Standard"),VLOOKUP(Investment_Strategy&amp;"_"&amp;Investment_Strategy_Sub2&amp;"_"&amp;$A237,'Investment Strategies'!$T:$AF,11,FALSE),
IF(Investment_Strategy="DIY",DIY_GteeChrge_SP,
"Error"))))))</f>
        <v>0</v>
      </c>
      <c r="N237" s="33">
        <f>IF($AV237=0,0,
IF(Investment_Strategy="DIS",VLOOKUP(Investment_Strategy&amp;"_"&amp;Investment_Strategy_Sub1&amp;"_"&amp;$A237,'Investment Strategies'!$AZ:$BP,17,FALSE),
IF(AND(Investment_Strategy="Lifecycle",Investment_Strategy_Sub1="Non-Standard"),VLOOKUP(Investment_Strategy&amp;"_"&amp;Investment_Strategy_Sub2&amp;"_"&amp;$A237,'Investment Strategies'!$C:$P,14,FALSE),
IF(AND(Investment_Strategy="Lifecycle",Investment_Strategy_Sub1="Standard"),VLOOKUP(Investment_Strategy&amp;"_"&amp;Investment_Strategy_Sub2&amp;"_"&amp;$A237,'Investment Strategies'!$AJ:$AV,13,FALSE),
IF(AND(Investment_Strategy="Autopilot",Investment_Strategy_Sub1="Non-Standard"),VLOOKUP(Investment_Strategy&amp;"_"&amp;Investment_Strategy_Sub2&amp;"_"&amp;$A237,'Investment Strategies'!$T:$AF,13,FALSE),
IF(Investment_Strategy="DIY",DIY_ExtManChrge_SP,
"Error"))))))</f>
        <v>0</v>
      </c>
      <c r="O237" s="16">
        <f t="shared" si="141"/>
        <v>0</v>
      </c>
      <c r="Q237" s="16">
        <f t="shared" si="115"/>
        <v>0</v>
      </c>
      <c r="R237" s="16">
        <f t="shared" si="116"/>
        <v>0</v>
      </c>
      <c r="S237" s="16">
        <f>(SRP_SP+SUM(S$91:S236))*L237*IF(D237=$A$91,SRP_finalmonthfactor,1)</f>
        <v>0</v>
      </c>
      <c r="T237" s="74">
        <f>MIN(IF($AV237=0,0,
IF(Investment_Strategy="DIS",VLOOKUP(Investment_Strategy&amp;"_"&amp;Investment_Strategy_Sub1&amp;"_"&amp;$A237,'Investment Strategies'!$AZ:$BP,12,FALSE),
IF(AND(Investment_Strategy="Lifecycle",Investment_Strategy_Sub1="Non-Standard"),VLOOKUP(Investment_Strategy&amp;"_"&amp;Investment_Strategy_Sub2&amp;"_"&amp;$A237,'Investment Strategies'!$C:$P,9,FALSE),
IF(AND(Investment_Strategy="Lifecycle",Investment_Strategy_Sub1="Standard"),VLOOKUP(Investment_Strategy&amp;"_"&amp;Investment_Strategy_Sub2&amp;"_"&amp;$A237,'Investment Strategies'!$AJ:$AV,8,FALSE),
IF(AND(Investment_Strategy="Autopilot",Investment_Strategy_Sub1="Non-Standard"),VLOOKUP(Investment_Strategy&amp;"_"&amp;Investment_Strategy_Sub2&amp;"_"&amp;$A237,'Investment Strategies'!$T:$AF,8,FALSE),
IF(Investment_Strategy ="DIY",DIY_RateOfReturn_FuturePremiums,
"Error")))))),Max_InvReturn)</f>
        <v>0</v>
      </c>
      <c r="U237" s="62">
        <f>IF($AV237=0,0,
IF(Investment_Strategy="DIS",VLOOKUP(Investment_Strategy&amp;"_"&amp;Investment_Strategy_Sub1&amp;"_"&amp;$A237,'Investment Strategies'!$AZ:$BP,15,FALSE),
IF(AND(Investment_Strategy="Lifecycle",Investment_Strategy_Sub1="Non-Standard"),VLOOKUP(Investment_Strategy&amp;"_"&amp;Investment_Strategy_Sub2&amp;"_"&amp;$A237,'Investment Strategies'!$C:$P,12,FALSE),
IF(AND(Investment_Strategy="Lifecycle",Investment_Strategy_Sub1="Standard"),VLOOKUP(Investment_Strategy&amp;"_"&amp;Investment_Strategy_Sub2&amp;"_"&amp;$A237,'Investment Strategies'!$AJ:$AV,11,FALSE),
IF(AND(Investment_Strategy="Autopilot",Investment_Strategy_Sub1="Non-Standard"),VLOOKUP(Investment_Strategy&amp;"_"&amp;Investment_Strategy_Sub2&amp;"_"&amp;$A237,'Investment Strategies'!$T:$AF,11,FALSE),
IF(Investment_Strategy="DIY",DIY_GteeChrge_FuturePremiums,
"Error"))))))</f>
        <v>0</v>
      </c>
      <c r="V237" s="33">
        <f>IF(AV237=0,0,
IF(Investment_Strategy="DIS",VLOOKUP(Investment_Strategy&amp;"_"&amp;Investment_Strategy_Sub1&amp;"_"&amp;$A237,'Investment Strategies'!$AZ:$BP,17,FALSE),
IF(AND(Investment_Strategy="Lifecycle",Investment_Strategy_Sub1="Non-Standard"),VLOOKUP(Investment_Strategy&amp;"_"&amp;Investment_Strategy_Sub2&amp;"_"&amp;$A237,'Investment Strategies'!$C:$P,14,FALSE),
IF(AND(Investment_Strategy="Lifecycle",Investment_Strategy_Sub1="Standard"),VLOOKUP(Investment_Strategy&amp;"_"&amp;Investment_Strategy_Sub2&amp;"_"&amp;$A237,'Investment Strategies'!$AJ:$AV,13,FALSE),
IF(AND(Investment_Strategy="Autopilot",Investment_Strategy_Sub1="Non-Standard"),VLOOKUP(Investment_Strategy&amp;"_"&amp;Investment_Strategy_Sub2&amp;"_"&amp;$A237,'Investment Strategies'!$T:$AF,13,FALSE),
IF(Investment_Strategy="DIY",DIY_ExtManChrge_FuturePremiums,
"Error"))))))</f>
        <v>0</v>
      </c>
      <c r="W237" s="16">
        <f t="shared" si="142"/>
        <v>0</v>
      </c>
      <c r="X237" s="16">
        <f t="shared" si="117"/>
        <v>0</v>
      </c>
      <c r="Y237" s="16">
        <f t="shared" si="118"/>
        <v>0</v>
      </c>
      <c r="Z237" s="31">
        <f t="shared" si="119"/>
        <v>0.02</v>
      </c>
      <c r="AA237" s="16">
        <f t="shared" si="120"/>
        <v>0</v>
      </c>
      <c r="AB237" s="28">
        <f t="shared" si="144"/>
        <v>0</v>
      </c>
      <c r="AC237" s="28">
        <f>(SUM($AC$91:AC236)+SUM($X$91:X236)+X237)*T237*IF(D237=$A$91,SRP_finalmonthfactor,1)</f>
        <v>0</v>
      </c>
      <c r="AD237" s="16">
        <f t="shared" si="121"/>
        <v>0</v>
      </c>
      <c r="AE237" s="106"/>
      <c r="AF237" s="16">
        <f t="shared" si="130"/>
        <v>0</v>
      </c>
      <c r="AG237" s="16">
        <f t="shared" si="131"/>
        <v>0</v>
      </c>
      <c r="AH237" s="16">
        <f t="shared" si="132"/>
        <v>0</v>
      </c>
      <c r="AJ237" s="13">
        <f t="shared" si="153"/>
        <v>0</v>
      </c>
      <c r="AK237" s="13">
        <f t="shared" si="153"/>
        <v>0</v>
      </c>
      <c r="AL237" s="13">
        <f t="shared" si="153"/>
        <v>0</v>
      </c>
      <c r="AM237" s="13">
        <f t="shared" si="153"/>
        <v>0</v>
      </c>
      <c r="AN237" s="13">
        <f t="shared" si="153"/>
        <v>0</v>
      </c>
      <c r="AO237" s="13">
        <f t="shared" si="153"/>
        <v>1</v>
      </c>
      <c r="AP237" s="13">
        <f t="shared" si="153"/>
        <v>1</v>
      </c>
      <c r="AQ237" s="13">
        <f t="shared" si="153"/>
        <v>1</v>
      </c>
      <c r="AR237" s="13">
        <f t="shared" si="153"/>
        <v>1</v>
      </c>
      <c r="AS237" s="13">
        <f t="shared" si="153"/>
        <v>1</v>
      </c>
      <c r="AT237" s="13">
        <f t="shared" si="153"/>
        <v>1</v>
      </c>
      <c r="AU237" s="13">
        <f t="shared" si="153"/>
        <v>1</v>
      </c>
      <c r="AV237" s="13">
        <f t="shared" si="122"/>
        <v>0</v>
      </c>
      <c r="AW237" s="13">
        <f t="shared" si="123"/>
        <v>1</v>
      </c>
      <c r="AY237" s="17">
        <f t="shared" si="124"/>
        <v>147</v>
      </c>
      <c r="AZ237" s="28">
        <f t="shared" si="133"/>
        <v>0</v>
      </c>
      <c r="BA237" s="13">
        <f t="shared" si="125"/>
        <v>0</v>
      </c>
      <c r="BB237" s="13">
        <f t="shared" si="126"/>
        <v>0</v>
      </c>
      <c r="BC237" s="28">
        <f t="shared" si="134"/>
        <v>0</v>
      </c>
      <c r="BD237" s="28">
        <f t="shared" si="135"/>
        <v>0</v>
      </c>
      <c r="BF237" s="248">
        <f t="shared" si="136"/>
        <v>993869.29442638322</v>
      </c>
      <c r="BG237" s="36">
        <f t="shared" si="145"/>
        <v>0</v>
      </c>
      <c r="BH237" s="36">
        <f t="shared" si="146"/>
        <v>875016.91356213146</v>
      </c>
      <c r="BI237" s="249">
        <f t="shared" si="147"/>
        <v>0</v>
      </c>
      <c r="BJ237" s="246">
        <f t="shared" si="148"/>
        <v>0</v>
      </c>
      <c r="BK237" s="246">
        <f t="shared" si="127"/>
        <v>7.531116566323881E-4</v>
      </c>
      <c r="BL237" s="246">
        <f t="shared" si="149"/>
        <v>0</v>
      </c>
      <c r="BM237" s="246">
        <f t="shared" si="150"/>
        <v>7.531116566323881E-4</v>
      </c>
      <c r="BN237" s="36">
        <f t="shared" si="137"/>
        <v>658.98543735413602</v>
      </c>
      <c r="BO237" s="36">
        <f t="shared" si="151"/>
        <v>0</v>
      </c>
      <c r="BP237" s="36">
        <f t="shared" si="152"/>
        <v>874357.92812477727</v>
      </c>
    </row>
    <row r="238" spans="1:68">
      <c r="A238" s="32">
        <f t="shared" si="138"/>
        <v>-63</v>
      </c>
      <c r="B238" s="32">
        <f t="shared" si="128"/>
        <v>65</v>
      </c>
      <c r="C238" s="32">
        <f t="shared" si="139"/>
        <v>13</v>
      </c>
      <c r="D238" s="32">
        <f t="shared" si="140"/>
        <v>148</v>
      </c>
      <c r="E238" s="74">
        <f>MIN(IF(AV238=0,0,
IF(Investment_Strategy="DIS",VLOOKUP(Investment_Strategy&amp;"_"&amp;Investment_Strategy_Sub1&amp;"_"&amp;$A238,'Investment Strategies'!$AZ:$BP,12,FALSE),
IF(AND(Investment_Strategy="Lifecycle",Investment_Strategy_Sub1="Non-Standard"),VLOOKUP(Investment_Strategy&amp;"_"&amp;Investment_Strategy_Sub2&amp;"_"&amp;$A238,'Investment Strategies'!$C:$P,9,FALSE),
IF(AND(Investment_Strategy="Lifecycle",Investment_Strategy_Sub1="Standard"),VLOOKUP(Investment_Strategy&amp;"_"&amp;Investment_Strategy_Sub2&amp;"_"&amp;$A238,'Investment Strategies'!$AJ:$AV,8,FALSE),
IF(AND(Investment_Strategy="Autopilot",Investment_Strategy_Sub1="Non-Standard"),VLOOKUP(Investment_Strategy&amp;"_"&amp;Investment_Strategy_Sub2&amp;"_"&amp;$A238,'Investment Strategies'!$T:$AF,8,FALSE),
IF(Investment_Strategy ="DIY",DIY_RateOfReturn_CurrentFunds,
"Error")))))),Max_InvReturn)</f>
        <v>0</v>
      </c>
      <c r="F238" s="62">
        <f>IF(AV238=0,0,
IF(Investment_Strategy="DIS",VLOOKUP(Investment_Strategy&amp;"_"&amp;Investment_Strategy_Sub1&amp;"_"&amp;$A238,'Investment Strategies'!$AZ:$BP,15,FALSE),
IF(AND(Investment_Strategy="Lifecycle",Investment_Strategy_Sub1="Non-Standard"),VLOOKUP(Investment_Strategy&amp;"_"&amp;Investment_Strategy_Sub2&amp;"_"&amp;$A238,'Investment Strategies'!$C:$P,12,FALSE),
IF(AND(Investment_Strategy="Lifecycle",Investment_Strategy_Sub1="Standard"),VLOOKUP(Investment_Strategy&amp;"_"&amp;Investment_Strategy_Sub2&amp;"_"&amp;$A238,'Investment Strategies'!$AJ:$AV,11,FALSE),
IF(AND(Investment_Strategy="Autopilot",Investment_Strategy_Sub1="Non-Standard"),VLOOKUP(Investment_Strategy&amp;"_"&amp;Investment_Strategy_Sub2&amp;"_"&amp;$A238,'Investment Strategies'!$T:$AF,11,FALSE),
IF(Investment_Strategy="DIY",DIY_GteeChrge_CurrentFunds,
"Error"))))))</f>
        <v>0</v>
      </c>
      <c r="G238" s="33">
        <f>IF(AV238=0,0,
IF(Investment_Strategy="DIS",VLOOKUP(Investment_Strategy&amp;"_"&amp;Investment_Strategy_Sub1&amp;"_"&amp;$A238,'Investment Strategies'!$AZ:$BP,17,FALSE),
IF(AND(Investment_Strategy="Lifecycle",Investment_Strategy_Sub1="Non-Standard"),VLOOKUP(Investment_Strategy&amp;"_"&amp;Investment_Strategy_Sub2&amp;"_"&amp;$A238,'Investment Strategies'!$C:$P,14,FALSE),
IF(AND(Investment_Strategy="Lifecycle",Investment_Strategy_Sub1="Standard"),VLOOKUP(Investment_Strategy&amp;"_"&amp;Investment_Strategy_Sub2&amp;"_"&amp;$A238,'Investment Strategies'!$AJ:$AV,13,FALSE),
IF(AND(Investment_Strategy="Autopilot",Investment_Strategy_Sub1="Non-Standard"),VLOOKUP(Investment_Strategy&amp;"_"&amp;Investment_Strategy_Sub2&amp;"_"&amp;$A238,'Investment Strategies'!$T:$AF,13,FALSE),
IF(Investment_Strategy="DIY",DIY_ExtManChrge_CurrentFunds,
"Error"))))))</f>
        <v>0</v>
      </c>
      <c r="H238" s="16">
        <f t="shared" si="129"/>
        <v>0</v>
      </c>
      <c r="I238" s="16">
        <f t="shared" si="113"/>
        <v>0</v>
      </c>
      <c r="J238" s="16">
        <f t="shared" si="114"/>
        <v>0</v>
      </c>
      <c r="K238" s="16">
        <f>(Opening_Fund_Value+SUM(K$91:K237))*E238*IF(D238=$A$91,SRP_finalmonthfactor,1)</f>
        <v>0</v>
      </c>
      <c r="L238" s="74">
        <f>MIN(IF($AV238=0,0,
IF(Investment_Strategy="DIS",VLOOKUP(Investment_Strategy&amp;"_"&amp;Investment_Strategy_Sub1&amp;"_"&amp;$A238,'Investment Strategies'!$AZ:$BP,12,FALSE),
IF(AND(Investment_Strategy="Lifecycle",Investment_Strategy_Sub1="Non-Standard"),VLOOKUP(Investment_Strategy&amp;"_"&amp;Investment_Strategy_Sub2&amp;"_"&amp;$A238,'Investment Strategies'!$C:$P,9,FALSE),
IF(AND(Investment_Strategy="Lifecycle",Investment_Strategy_Sub1="Standard"),VLOOKUP(Investment_Strategy&amp;"_"&amp;Investment_Strategy_Sub2&amp;"_"&amp;$A238,'Investment Strategies'!$AJ:$AV,8,FALSE),
IF(AND(Investment_Strategy="Autopilot",Investment_Strategy_Sub1="Non-Standard"),VLOOKUP(Investment_Strategy&amp;"_"&amp;Investment_Strategy_Sub2&amp;"_"&amp;$A238,'Investment Strategies'!$T:$AF,8,FALSE),
IF(Investment_Strategy ="DIY",DIY_RateofReturn_SP,
"Error")))))),Max_InvReturn)</f>
        <v>0</v>
      </c>
      <c r="M238" s="62">
        <f>IF($AV238=0,0,
IF(Investment_Strategy="DIS",VLOOKUP(Investment_Strategy&amp;"_"&amp;Investment_Strategy_Sub1&amp;"_"&amp;$A238,'Investment Strategies'!$AZ:$BP,15,FALSE),
IF(AND(Investment_Strategy="Lifecycle",Investment_Strategy_Sub1="Non-Standard"),VLOOKUP(Investment_Strategy&amp;"_"&amp;Investment_Strategy_Sub2&amp;"_"&amp;$A238,'Investment Strategies'!$C:$P,12,FALSE),
IF(AND(Investment_Strategy="Lifecycle",Investment_Strategy_Sub1="Standard"),VLOOKUP(Investment_Strategy&amp;"_"&amp;Investment_Strategy_Sub2&amp;"_"&amp;$A238,'Investment Strategies'!$AJ:$AV,11,FALSE),
IF(AND(Investment_Strategy="Autopilot",Investment_Strategy_Sub1="Non-Standard"),VLOOKUP(Investment_Strategy&amp;"_"&amp;Investment_Strategy_Sub2&amp;"_"&amp;$A238,'Investment Strategies'!$T:$AF,11,FALSE),
IF(Investment_Strategy="DIY",DIY_GteeChrge_SP,
"Error"))))))</f>
        <v>0</v>
      </c>
      <c r="N238" s="33">
        <f>IF($AV238=0,0,
IF(Investment_Strategy="DIS",VLOOKUP(Investment_Strategy&amp;"_"&amp;Investment_Strategy_Sub1&amp;"_"&amp;$A238,'Investment Strategies'!$AZ:$BP,17,FALSE),
IF(AND(Investment_Strategy="Lifecycle",Investment_Strategy_Sub1="Non-Standard"),VLOOKUP(Investment_Strategy&amp;"_"&amp;Investment_Strategy_Sub2&amp;"_"&amp;$A238,'Investment Strategies'!$C:$P,14,FALSE),
IF(AND(Investment_Strategy="Lifecycle",Investment_Strategy_Sub1="Standard"),VLOOKUP(Investment_Strategy&amp;"_"&amp;Investment_Strategy_Sub2&amp;"_"&amp;$A238,'Investment Strategies'!$AJ:$AV,13,FALSE),
IF(AND(Investment_Strategy="Autopilot",Investment_Strategy_Sub1="Non-Standard"),VLOOKUP(Investment_Strategy&amp;"_"&amp;Investment_Strategy_Sub2&amp;"_"&amp;$A238,'Investment Strategies'!$T:$AF,13,FALSE),
IF(Investment_Strategy="DIY",DIY_ExtManChrge_SP,
"Error"))))))</f>
        <v>0</v>
      </c>
      <c r="O238" s="16">
        <f t="shared" si="141"/>
        <v>0</v>
      </c>
      <c r="Q238" s="16">
        <f t="shared" si="115"/>
        <v>0</v>
      </c>
      <c r="R238" s="16">
        <f t="shared" si="116"/>
        <v>0</v>
      </c>
      <c r="S238" s="16">
        <f>(SRP_SP+SUM(S$91:S237))*L238*IF(D238=$A$91,SRP_finalmonthfactor,1)</f>
        <v>0</v>
      </c>
      <c r="T238" s="74">
        <f>MIN(IF($AV238=0,0,
IF(Investment_Strategy="DIS",VLOOKUP(Investment_Strategy&amp;"_"&amp;Investment_Strategy_Sub1&amp;"_"&amp;$A238,'Investment Strategies'!$AZ:$BP,12,FALSE),
IF(AND(Investment_Strategy="Lifecycle",Investment_Strategy_Sub1="Non-Standard"),VLOOKUP(Investment_Strategy&amp;"_"&amp;Investment_Strategy_Sub2&amp;"_"&amp;$A238,'Investment Strategies'!$C:$P,9,FALSE),
IF(AND(Investment_Strategy="Lifecycle",Investment_Strategy_Sub1="Standard"),VLOOKUP(Investment_Strategy&amp;"_"&amp;Investment_Strategy_Sub2&amp;"_"&amp;$A238,'Investment Strategies'!$AJ:$AV,8,FALSE),
IF(AND(Investment_Strategy="Autopilot",Investment_Strategy_Sub1="Non-Standard"),VLOOKUP(Investment_Strategy&amp;"_"&amp;Investment_Strategy_Sub2&amp;"_"&amp;$A238,'Investment Strategies'!$T:$AF,8,FALSE),
IF(Investment_Strategy ="DIY",DIY_RateOfReturn_FuturePremiums,
"Error")))))),Max_InvReturn)</f>
        <v>0</v>
      </c>
      <c r="U238" s="62">
        <f>IF($AV238=0,0,
IF(Investment_Strategy="DIS",VLOOKUP(Investment_Strategy&amp;"_"&amp;Investment_Strategy_Sub1&amp;"_"&amp;$A238,'Investment Strategies'!$AZ:$BP,15,FALSE),
IF(AND(Investment_Strategy="Lifecycle",Investment_Strategy_Sub1="Non-Standard"),VLOOKUP(Investment_Strategy&amp;"_"&amp;Investment_Strategy_Sub2&amp;"_"&amp;$A238,'Investment Strategies'!$C:$P,12,FALSE),
IF(AND(Investment_Strategy="Lifecycle",Investment_Strategy_Sub1="Standard"),VLOOKUP(Investment_Strategy&amp;"_"&amp;Investment_Strategy_Sub2&amp;"_"&amp;$A238,'Investment Strategies'!$AJ:$AV,11,FALSE),
IF(AND(Investment_Strategy="Autopilot",Investment_Strategy_Sub1="Non-Standard"),VLOOKUP(Investment_Strategy&amp;"_"&amp;Investment_Strategy_Sub2&amp;"_"&amp;$A238,'Investment Strategies'!$T:$AF,11,FALSE),
IF(Investment_Strategy="DIY",DIY_GteeChrge_FuturePremiums,
"Error"))))))</f>
        <v>0</v>
      </c>
      <c r="V238" s="33">
        <f>IF(AV238=0,0,
IF(Investment_Strategy="DIS",VLOOKUP(Investment_Strategy&amp;"_"&amp;Investment_Strategy_Sub1&amp;"_"&amp;$A238,'Investment Strategies'!$AZ:$BP,17,FALSE),
IF(AND(Investment_Strategy="Lifecycle",Investment_Strategy_Sub1="Non-Standard"),VLOOKUP(Investment_Strategy&amp;"_"&amp;Investment_Strategy_Sub2&amp;"_"&amp;$A238,'Investment Strategies'!$C:$P,14,FALSE),
IF(AND(Investment_Strategy="Lifecycle",Investment_Strategy_Sub1="Standard"),VLOOKUP(Investment_Strategy&amp;"_"&amp;Investment_Strategy_Sub2&amp;"_"&amp;$A238,'Investment Strategies'!$AJ:$AV,13,FALSE),
IF(AND(Investment_Strategy="Autopilot",Investment_Strategy_Sub1="Non-Standard"),VLOOKUP(Investment_Strategy&amp;"_"&amp;Investment_Strategy_Sub2&amp;"_"&amp;$A238,'Investment Strategies'!$T:$AF,13,FALSE),
IF(Investment_Strategy="DIY",DIY_ExtManChrge_FuturePremiums,
"Error"))))))</f>
        <v>0</v>
      </c>
      <c r="W238" s="16">
        <f t="shared" si="142"/>
        <v>0</v>
      </c>
      <c r="X238" s="16">
        <f t="shared" si="117"/>
        <v>0</v>
      </c>
      <c r="Y238" s="16">
        <f t="shared" si="118"/>
        <v>0</v>
      </c>
      <c r="Z238" s="31">
        <f t="shared" si="119"/>
        <v>0.02</v>
      </c>
      <c r="AA238" s="16">
        <f t="shared" si="120"/>
        <v>0</v>
      </c>
      <c r="AB238" s="28">
        <f t="shared" si="144"/>
        <v>0</v>
      </c>
      <c r="AC238" s="28">
        <f>(SUM($AC$91:AC237)+SUM($X$91:X237)+X238)*T238*IF(D238=$A$91,SRP_finalmonthfactor,1)</f>
        <v>0</v>
      </c>
      <c r="AD238" s="16">
        <f t="shared" si="121"/>
        <v>0</v>
      </c>
      <c r="AE238" s="106"/>
      <c r="AF238" s="16">
        <f t="shared" si="130"/>
        <v>0</v>
      </c>
      <c r="AG238" s="16">
        <f t="shared" si="131"/>
        <v>0</v>
      </c>
      <c r="AH238" s="16">
        <f t="shared" si="132"/>
        <v>0</v>
      </c>
      <c r="AJ238" s="13">
        <f t="shared" si="153"/>
        <v>0</v>
      </c>
      <c r="AK238" s="13">
        <f t="shared" si="153"/>
        <v>0</v>
      </c>
      <c r="AL238" s="13">
        <f t="shared" si="153"/>
        <v>0</v>
      </c>
      <c r="AM238" s="13">
        <f t="shared" si="153"/>
        <v>0</v>
      </c>
      <c r="AN238" s="13">
        <f t="shared" si="153"/>
        <v>0</v>
      </c>
      <c r="AO238" s="13">
        <f t="shared" si="153"/>
        <v>1</v>
      </c>
      <c r="AP238" s="13">
        <f t="shared" si="153"/>
        <v>1</v>
      </c>
      <c r="AQ238" s="13">
        <f t="shared" si="153"/>
        <v>1</v>
      </c>
      <c r="AR238" s="13">
        <f t="shared" si="153"/>
        <v>1</v>
      </c>
      <c r="AS238" s="13">
        <f t="shared" si="153"/>
        <v>1</v>
      </c>
      <c r="AT238" s="13">
        <f t="shared" si="153"/>
        <v>1</v>
      </c>
      <c r="AU238" s="13">
        <f t="shared" si="153"/>
        <v>1</v>
      </c>
      <c r="AV238" s="13">
        <f t="shared" si="122"/>
        <v>0</v>
      </c>
      <c r="AW238" s="13">
        <f t="shared" si="123"/>
        <v>1</v>
      </c>
      <c r="AY238" s="17">
        <f t="shared" si="124"/>
        <v>148</v>
      </c>
      <c r="AZ238" s="28">
        <f t="shared" si="133"/>
        <v>0</v>
      </c>
      <c r="BA238" s="13">
        <f t="shared" si="125"/>
        <v>0</v>
      </c>
      <c r="BB238" s="13">
        <f t="shared" si="126"/>
        <v>0</v>
      </c>
      <c r="BC238" s="28">
        <f t="shared" si="134"/>
        <v>0</v>
      </c>
      <c r="BD238" s="28">
        <f t="shared" si="135"/>
        <v>0</v>
      </c>
      <c r="BF238" s="248">
        <f t="shared" si="136"/>
        <v>993869.29442638322</v>
      </c>
      <c r="BG238" s="36">
        <f t="shared" si="145"/>
        <v>0</v>
      </c>
      <c r="BH238" s="36">
        <f t="shared" si="146"/>
        <v>874357.92812477727</v>
      </c>
      <c r="BI238" s="249">
        <f t="shared" si="147"/>
        <v>0</v>
      </c>
      <c r="BJ238" s="246">
        <f t="shared" si="148"/>
        <v>0</v>
      </c>
      <c r="BK238" s="246">
        <f t="shared" si="127"/>
        <v>7.531116566323881E-4</v>
      </c>
      <c r="BL238" s="246">
        <f t="shared" si="149"/>
        <v>0</v>
      </c>
      <c r="BM238" s="246">
        <f t="shared" si="150"/>
        <v>7.531116566323881E-4</v>
      </c>
      <c r="BN238" s="36">
        <f t="shared" si="137"/>
        <v>658.48914773971353</v>
      </c>
      <c r="BO238" s="36">
        <f t="shared" si="151"/>
        <v>0</v>
      </c>
      <c r="BP238" s="36">
        <f t="shared" si="152"/>
        <v>873699.43897703756</v>
      </c>
    </row>
    <row r="239" spans="1:68">
      <c r="A239" s="32">
        <f t="shared" si="138"/>
        <v>-64</v>
      </c>
      <c r="B239" s="32">
        <f t="shared" si="128"/>
        <v>65</v>
      </c>
      <c r="C239" s="32">
        <f t="shared" si="139"/>
        <v>13</v>
      </c>
      <c r="D239" s="32">
        <f t="shared" si="140"/>
        <v>149</v>
      </c>
      <c r="E239" s="74">
        <f>MIN(IF(AV239=0,0,
IF(Investment_Strategy="DIS",VLOOKUP(Investment_Strategy&amp;"_"&amp;Investment_Strategy_Sub1&amp;"_"&amp;$A239,'Investment Strategies'!$AZ:$BP,12,FALSE),
IF(AND(Investment_Strategy="Lifecycle",Investment_Strategy_Sub1="Non-Standard"),VLOOKUP(Investment_Strategy&amp;"_"&amp;Investment_Strategy_Sub2&amp;"_"&amp;$A239,'Investment Strategies'!$C:$P,9,FALSE),
IF(AND(Investment_Strategy="Lifecycle",Investment_Strategy_Sub1="Standard"),VLOOKUP(Investment_Strategy&amp;"_"&amp;Investment_Strategy_Sub2&amp;"_"&amp;$A239,'Investment Strategies'!$AJ:$AV,8,FALSE),
IF(AND(Investment_Strategy="Autopilot",Investment_Strategy_Sub1="Non-Standard"),VLOOKUP(Investment_Strategy&amp;"_"&amp;Investment_Strategy_Sub2&amp;"_"&amp;$A239,'Investment Strategies'!$T:$AF,8,FALSE),
IF(Investment_Strategy ="DIY",DIY_RateOfReturn_CurrentFunds,
"Error")))))),Max_InvReturn)</f>
        <v>0</v>
      </c>
      <c r="F239" s="62">
        <f>IF(AV239=0,0,
IF(Investment_Strategy="DIS",VLOOKUP(Investment_Strategy&amp;"_"&amp;Investment_Strategy_Sub1&amp;"_"&amp;$A239,'Investment Strategies'!$AZ:$BP,15,FALSE),
IF(AND(Investment_Strategy="Lifecycle",Investment_Strategy_Sub1="Non-Standard"),VLOOKUP(Investment_Strategy&amp;"_"&amp;Investment_Strategy_Sub2&amp;"_"&amp;$A239,'Investment Strategies'!$C:$P,12,FALSE),
IF(AND(Investment_Strategy="Lifecycle",Investment_Strategy_Sub1="Standard"),VLOOKUP(Investment_Strategy&amp;"_"&amp;Investment_Strategy_Sub2&amp;"_"&amp;$A239,'Investment Strategies'!$AJ:$AV,11,FALSE),
IF(AND(Investment_Strategy="Autopilot",Investment_Strategy_Sub1="Non-Standard"),VLOOKUP(Investment_Strategy&amp;"_"&amp;Investment_Strategy_Sub2&amp;"_"&amp;$A239,'Investment Strategies'!$T:$AF,11,FALSE),
IF(Investment_Strategy="DIY",DIY_GteeChrge_CurrentFunds,
"Error"))))))</f>
        <v>0</v>
      </c>
      <c r="G239" s="33">
        <f>IF(AV239=0,0,
IF(Investment_Strategy="DIS",VLOOKUP(Investment_Strategy&amp;"_"&amp;Investment_Strategy_Sub1&amp;"_"&amp;$A239,'Investment Strategies'!$AZ:$BP,17,FALSE),
IF(AND(Investment_Strategy="Lifecycle",Investment_Strategy_Sub1="Non-Standard"),VLOOKUP(Investment_Strategy&amp;"_"&amp;Investment_Strategy_Sub2&amp;"_"&amp;$A239,'Investment Strategies'!$C:$P,14,FALSE),
IF(AND(Investment_Strategy="Lifecycle",Investment_Strategy_Sub1="Standard"),VLOOKUP(Investment_Strategy&amp;"_"&amp;Investment_Strategy_Sub2&amp;"_"&amp;$A239,'Investment Strategies'!$AJ:$AV,13,FALSE),
IF(AND(Investment_Strategy="Autopilot",Investment_Strategy_Sub1="Non-Standard"),VLOOKUP(Investment_Strategy&amp;"_"&amp;Investment_Strategy_Sub2&amp;"_"&amp;$A239,'Investment Strategies'!$T:$AF,13,FALSE),
IF(Investment_Strategy="DIY",DIY_ExtManChrge_CurrentFunds,
"Error"))))))</f>
        <v>0</v>
      </c>
      <c r="H239" s="16">
        <f t="shared" si="129"/>
        <v>0</v>
      </c>
      <c r="I239" s="16">
        <f t="shared" si="113"/>
        <v>0</v>
      </c>
      <c r="J239" s="16">
        <f t="shared" si="114"/>
        <v>0</v>
      </c>
      <c r="K239" s="16">
        <f>(Opening_Fund_Value+SUM(K$91:K238))*E239*IF(D239=$A$91,SRP_finalmonthfactor,1)</f>
        <v>0</v>
      </c>
      <c r="L239" s="74">
        <f>MIN(IF($AV239=0,0,
IF(Investment_Strategy="DIS",VLOOKUP(Investment_Strategy&amp;"_"&amp;Investment_Strategy_Sub1&amp;"_"&amp;$A239,'Investment Strategies'!$AZ:$BP,12,FALSE),
IF(AND(Investment_Strategy="Lifecycle",Investment_Strategy_Sub1="Non-Standard"),VLOOKUP(Investment_Strategy&amp;"_"&amp;Investment_Strategy_Sub2&amp;"_"&amp;$A239,'Investment Strategies'!$C:$P,9,FALSE),
IF(AND(Investment_Strategy="Lifecycle",Investment_Strategy_Sub1="Standard"),VLOOKUP(Investment_Strategy&amp;"_"&amp;Investment_Strategy_Sub2&amp;"_"&amp;$A239,'Investment Strategies'!$AJ:$AV,8,FALSE),
IF(AND(Investment_Strategy="Autopilot",Investment_Strategy_Sub1="Non-Standard"),VLOOKUP(Investment_Strategy&amp;"_"&amp;Investment_Strategy_Sub2&amp;"_"&amp;$A239,'Investment Strategies'!$T:$AF,8,FALSE),
IF(Investment_Strategy ="DIY",DIY_RateofReturn_SP,
"Error")))))),Max_InvReturn)</f>
        <v>0</v>
      </c>
      <c r="M239" s="62">
        <f>IF($AV239=0,0,
IF(Investment_Strategy="DIS",VLOOKUP(Investment_Strategy&amp;"_"&amp;Investment_Strategy_Sub1&amp;"_"&amp;$A239,'Investment Strategies'!$AZ:$BP,15,FALSE),
IF(AND(Investment_Strategy="Lifecycle",Investment_Strategy_Sub1="Non-Standard"),VLOOKUP(Investment_Strategy&amp;"_"&amp;Investment_Strategy_Sub2&amp;"_"&amp;$A239,'Investment Strategies'!$C:$P,12,FALSE),
IF(AND(Investment_Strategy="Lifecycle",Investment_Strategy_Sub1="Standard"),VLOOKUP(Investment_Strategy&amp;"_"&amp;Investment_Strategy_Sub2&amp;"_"&amp;$A239,'Investment Strategies'!$AJ:$AV,11,FALSE),
IF(AND(Investment_Strategy="Autopilot",Investment_Strategy_Sub1="Non-Standard"),VLOOKUP(Investment_Strategy&amp;"_"&amp;Investment_Strategy_Sub2&amp;"_"&amp;$A239,'Investment Strategies'!$T:$AF,11,FALSE),
IF(Investment_Strategy="DIY",DIY_GteeChrge_SP,
"Error"))))))</f>
        <v>0</v>
      </c>
      <c r="N239" s="33">
        <f>IF($AV239=0,0,
IF(Investment_Strategy="DIS",VLOOKUP(Investment_Strategy&amp;"_"&amp;Investment_Strategy_Sub1&amp;"_"&amp;$A239,'Investment Strategies'!$AZ:$BP,17,FALSE),
IF(AND(Investment_Strategy="Lifecycle",Investment_Strategy_Sub1="Non-Standard"),VLOOKUP(Investment_Strategy&amp;"_"&amp;Investment_Strategy_Sub2&amp;"_"&amp;$A239,'Investment Strategies'!$C:$P,14,FALSE),
IF(AND(Investment_Strategy="Lifecycle",Investment_Strategy_Sub1="Standard"),VLOOKUP(Investment_Strategy&amp;"_"&amp;Investment_Strategy_Sub2&amp;"_"&amp;$A239,'Investment Strategies'!$AJ:$AV,13,FALSE),
IF(AND(Investment_Strategy="Autopilot",Investment_Strategy_Sub1="Non-Standard"),VLOOKUP(Investment_Strategy&amp;"_"&amp;Investment_Strategy_Sub2&amp;"_"&amp;$A239,'Investment Strategies'!$T:$AF,13,FALSE),
IF(Investment_Strategy="DIY",DIY_ExtManChrge_SP,
"Error"))))))</f>
        <v>0</v>
      </c>
      <c r="O239" s="16">
        <f t="shared" si="141"/>
        <v>0</v>
      </c>
      <c r="Q239" s="16">
        <f t="shared" si="115"/>
        <v>0</v>
      </c>
      <c r="R239" s="16">
        <f t="shared" si="116"/>
        <v>0</v>
      </c>
      <c r="S239" s="16">
        <f>(SRP_SP+SUM(S$91:S238))*L239*IF(D239=$A$91,SRP_finalmonthfactor,1)</f>
        <v>0</v>
      </c>
      <c r="T239" s="74">
        <f>MIN(IF($AV239=0,0,
IF(Investment_Strategy="DIS",VLOOKUP(Investment_Strategy&amp;"_"&amp;Investment_Strategy_Sub1&amp;"_"&amp;$A239,'Investment Strategies'!$AZ:$BP,12,FALSE),
IF(AND(Investment_Strategy="Lifecycle",Investment_Strategy_Sub1="Non-Standard"),VLOOKUP(Investment_Strategy&amp;"_"&amp;Investment_Strategy_Sub2&amp;"_"&amp;$A239,'Investment Strategies'!$C:$P,9,FALSE),
IF(AND(Investment_Strategy="Lifecycle",Investment_Strategy_Sub1="Standard"),VLOOKUP(Investment_Strategy&amp;"_"&amp;Investment_Strategy_Sub2&amp;"_"&amp;$A239,'Investment Strategies'!$AJ:$AV,8,FALSE),
IF(AND(Investment_Strategy="Autopilot",Investment_Strategy_Sub1="Non-Standard"),VLOOKUP(Investment_Strategy&amp;"_"&amp;Investment_Strategy_Sub2&amp;"_"&amp;$A239,'Investment Strategies'!$T:$AF,8,FALSE),
IF(Investment_Strategy ="DIY",DIY_RateOfReturn_FuturePremiums,
"Error")))))),Max_InvReturn)</f>
        <v>0</v>
      </c>
      <c r="U239" s="62">
        <f>IF($AV239=0,0,
IF(Investment_Strategy="DIS",VLOOKUP(Investment_Strategy&amp;"_"&amp;Investment_Strategy_Sub1&amp;"_"&amp;$A239,'Investment Strategies'!$AZ:$BP,15,FALSE),
IF(AND(Investment_Strategy="Lifecycle",Investment_Strategy_Sub1="Non-Standard"),VLOOKUP(Investment_Strategy&amp;"_"&amp;Investment_Strategy_Sub2&amp;"_"&amp;$A239,'Investment Strategies'!$C:$P,12,FALSE),
IF(AND(Investment_Strategy="Lifecycle",Investment_Strategy_Sub1="Standard"),VLOOKUP(Investment_Strategy&amp;"_"&amp;Investment_Strategy_Sub2&amp;"_"&amp;$A239,'Investment Strategies'!$AJ:$AV,11,FALSE),
IF(AND(Investment_Strategy="Autopilot",Investment_Strategy_Sub1="Non-Standard"),VLOOKUP(Investment_Strategy&amp;"_"&amp;Investment_Strategy_Sub2&amp;"_"&amp;$A239,'Investment Strategies'!$T:$AF,11,FALSE),
IF(Investment_Strategy="DIY",DIY_GteeChrge_FuturePremiums,
"Error"))))))</f>
        <v>0</v>
      </c>
      <c r="V239" s="33">
        <f>IF(AV239=0,0,
IF(Investment_Strategy="DIS",VLOOKUP(Investment_Strategy&amp;"_"&amp;Investment_Strategy_Sub1&amp;"_"&amp;$A239,'Investment Strategies'!$AZ:$BP,17,FALSE),
IF(AND(Investment_Strategy="Lifecycle",Investment_Strategy_Sub1="Non-Standard"),VLOOKUP(Investment_Strategy&amp;"_"&amp;Investment_Strategy_Sub2&amp;"_"&amp;$A239,'Investment Strategies'!$C:$P,14,FALSE),
IF(AND(Investment_Strategy="Lifecycle",Investment_Strategy_Sub1="Standard"),VLOOKUP(Investment_Strategy&amp;"_"&amp;Investment_Strategy_Sub2&amp;"_"&amp;$A239,'Investment Strategies'!$AJ:$AV,13,FALSE),
IF(AND(Investment_Strategy="Autopilot",Investment_Strategy_Sub1="Non-Standard"),VLOOKUP(Investment_Strategy&amp;"_"&amp;Investment_Strategy_Sub2&amp;"_"&amp;$A239,'Investment Strategies'!$T:$AF,13,FALSE),
IF(Investment_Strategy="DIY",DIY_ExtManChrge_FuturePremiums,
"Error"))))))</f>
        <v>0</v>
      </c>
      <c r="W239" s="16">
        <f t="shared" si="142"/>
        <v>0</v>
      </c>
      <c r="X239" s="16">
        <f t="shared" si="117"/>
        <v>0</v>
      </c>
      <c r="Y239" s="16">
        <f t="shared" si="118"/>
        <v>0</v>
      </c>
      <c r="Z239" s="31">
        <f t="shared" si="119"/>
        <v>0.02</v>
      </c>
      <c r="AA239" s="16">
        <f t="shared" si="120"/>
        <v>0</v>
      </c>
      <c r="AB239" s="28">
        <f t="shared" si="144"/>
        <v>0</v>
      </c>
      <c r="AC239" s="28">
        <f>(SUM($AC$91:AC238)+SUM($X$91:X238)+X239)*T239*IF(D239=$A$91,SRP_finalmonthfactor,1)</f>
        <v>0</v>
      </c>
      <c r="AD239" s="16">
        <f t="shared" si="121"/>
        <v>0</v>
      </c>
      <c r="AE239" s="106"/>
      <c r="AF239" s="16">
        <f t="shared" si="130"/>
        <v>0</v>
      </c>
      <c r="AG239" s="16">
        <f t="shared" si="131"/>
        <v>0</v>
      </c>
      <c r="AH239" s="16">
        <f t="shared" si="132"/>
        <v>0</v>
      </c>
      <c r="AJ239" s="13">
        <f t="shared" si="153"/>
        <v>0</v>
      </c>
      <c r="AK239" s="13">
        <f t="shared" si="153"/>
        <v>0</v>
      </c>
      <c r="AL239" s="13">
        <f t="shared" si="153"/>
        <v>0</v>
      </c>
      <c r="AM239" s="13">
        <f t="shared" si="153"/>
        <v>0</v>
      </c>
      <c r="AN239" s="13">
        <f t="shared" si="153"/>
        <v>0</v>
      </c>
      <c r="AO239" s="13">
        <f t="shared" si="153"/>
        <v>1</v>
      </c>
      <c r="AP239" s="13">
        <f t="shared" si="153"/>
        <v>1</v>
      </c>
      <c r="AQ239" s="13">
        <f t="shared" si="153"/>
        <v>1</v>
      </c>
      <c r="AR239" s="13">
        <f t="shared" si="153"/>
        <v>1</v>
      </c>
      <c r="AS239" s="13">
        <f t="shared" si="153"/>
        <v>1</v>
      </c>
      <c r="AT239" s="13">
        <f t="shared" si="153"/>
        <v>1</v>
      </c>
      <c r="AU239" s="13">
        <f t="shared" si="153"/>
        <v>1</v>
      </c>
      <c r="AV239" s="13">
        <f t="shared" si="122"/>
        <v>0</v>
      </c>
      <c r="AW239" s="13">
        <f t="shared" si="123"/>
        <v>1</v>
      </c>
      <c r="AY239" s="17">
        <f t="shared" si="124"/>
        <v>149</v>
      </c>
      <c r="AZ239" s="28">
        <f t="shared" si="133"/>
        <v>0</v>
      </c>
      <c r="BA239" s="13">
        <f t="shared" si="125"/>
        <v>0</v>
      </c>
      <c r="BB239" s="13">
        <f t="shared" si="126"/>
        <v>0</v>
      </c>
      <c r="BC239" s="28">
        <f t="shared" si="134"/>
        <v>0</v>
      </c>
      <c r="BD239" s="28">
        <f t="shared" si="135"/>
        <v>0</v>
      </c>
      <c r="BF239" s="248">
        <f t="shared" si="136"/>
        <v>993869.29442638322</v>
      </c>
      <c r="BG239" s="36">
        <f t="shared" si="145"/>
        <v>0</v>
      </c>
      <c r="BH239" s="36">
        <f t="shared" si="146"/>
        <v>873699.43897703756</v>
      </c>
      <c r="BI239" s="249">
        <f t="shared" si="147"/>
        <v>0</v>
      </c>
      <c r="BJ239" s="246">
        <f t="shared" si="148"/>
        <v>0</v>
      </c>
      <c r="BK239" s="246">
        <f t="shared" si="127"/>
        <v>7.531116566323881E-4</v>
      </c>
      <c r="BL239" s="246">
        <f t="shared" si="149"/>
        <v>0</v>
      </c>
      <c r="BM239" s="246">
        <f t="shared" si="150"/>
        <v>7.531116566323881E-4</v>
      </c>
      <c r="BN239" s="36">
        <f t="shared" si="137"/>
        <v>657.99323188678488</v>
      </c>
      <c r="BO239" s="36">
        <f t="shared" si="151"/>
        <v>0</v>
      </c>
      <c r="BP239" s="36">
        <f t="shared" si="152"/>
        <v>873041.44574515079</v>
      </c>
    </row>
    <row r="240" spans="1:68">
      <c r="A240" s="32">
        <f t="shared" si="138"/>
        <v>-65</v>
      </c>
      <c r="B240" s="32">
        <f t="shared" si="128"/>
        <v>65</v>
      </c>
      <c r="C240" s="32">
        <f t="shared" si="139"/>
        <v>13</v>
      </c>
      <c r="D240" s="32">
        <f t="shared" si="140"/>
        <v>150</v>
      </c>
      <c r="E240" s="74">
        <f>MIN(IF(AV240=0,0,
IF(Investment_Strategy="DIS",VLOOKUP(Investment_Strategy&amp;"_"&amp;Investment_Strategy_Sub1&amp;"_"&amp;$A240,'Investment Strategies'!$AZ:$BP,12,FALSE),
IF(AND(Investment_Strategy="Lifecycle",Investment_Strategy_Sub1="Non-Standard"),VLOOKUP(Investment_Strategy&amp;"_"&amp;Investment_Strategy_Sub2&amp;"_"&amp;$A240,'Investment Strategies'!$C:$P,9,FALSE),
IF(AND(Investment_Strategy="Lifecycle",Investment_Strategy_Sub1="Standard"),VLOOKUP(Investment_Strategy&amp;"_"&amp;Investment_Strategy_Sub2&amp;"_"&amp;$A240,'Investment Strategies'!$AJ:$AV,8,FALSE),
IF(AND(Investment_Strategy="Autopilot",Investment_Strategy_Sub1="Non-Standard"),VLOOKUP(Investment_Strategy&amp;"_"&amp;Investment_Strategy_Sub2&amp;"_"&amp;$A240,'Investment Strategies'!$T:$AF,8,FALSE),
IF(Investment_Strategy ="DIY",DIY_RateOfReturn_CurrentFunds,
"Error")))))),Max_InvReturn)</f>
        <v>0</v>
      </c>
      <c r="F240" s="62">
        <f>IF(AV240=0,0,
IF(Investment_Strategy="DIS",VLOOKUP(Investment_Strategy&amp;"_"&amp;Investment_Strategy_Sub1&amp;"_"&amp;$A240,'Investment Strategies'!$AZ:$BP,15,FALSE),
IF(AND(Investment_Strategy="Lifecycle",Investment_Strategy_Sub1="Non-Standard"),VLOOKUP(Investment_Strategy&amp;"_"&amp;Investment_Strategy_Sub2&amp;"_"&amp;$A240,'Investment Strategies'!$C:$P,12,FALSE),
IF(AND(Investment_Strategy="Lifecycle",Investment_Strategy_Sub1="Standard"),VLOOKUP(Investment_Strategy&amp;"_"&amp;Investment_Strategy_Sub2&amp;"_"&amp;$A240,'Investment Strategies'!$AJ:$AV,11,FALSE),
IF(AND(Investment_Strategy="Autopilot",Investment_Strategy_Sub1="Non-Standard"),VLOOKUP(Investment_Strategy&amp;"_"&amp;Investment_Strategy_Sub2&amp;"_"&amp;$A240,'Investment Strategies'!$T:$AF,11,FALSE),
IF(Investment_Strategy="DIY",DIY_GteeChrge_CurrentFunds,
"Error"))))))</f>
        <v>0</v>
      </c>
      <c r="G240" s="33">
        <f>IF(AV240=0,0,
IF(Investment_Strategy="DIS",VLOOKUP(Investment_Strategy&amp;"_"&amp;Investment_Strategy_Sub1&amp;"_"&amp;$A240,'Investment Strategies'!$AZ:$BP,17,FALSE),
IF(AND(Investment_Strategy="Lifecycle",Investment_Strategy_Sub1="Non-Standard"),VLOOKUP(Investment_Strategy&amp;"_"&amp;Investment_Strategy_Sub2&amp;"_"&amp;$A240,'Investment Strategies'!$C:$P,14,FALSE),
IF(AND(Investment_Strategy="Lifecycle",Investment_Strategy_Sub1="Standard"),VLOOKUP(Investment_Strategy&amp;"_"&amp;Investment_Strategy_Sub2&amp;"_"&amp;$A240,'Investment Strategies'!$AJ:$AV,13,FALSE),
IF(AND(Investment_Strategy="Autopilot",Investment_Strategy_Sub1="Non-Standard"),VLOOKUP(Investment_Strategy&amp;"_"&amp;Investment_Strategy_Sub2&amp;"_"&amp;$A240,'Investment Strategies'!$T:$AF,13,FALSE),
IF(Investment_Strategy="DIY",DIY_ExtManChrge_CurrentFunds,
"Error"))))))</f>
        <v>0</v>
      </c>
      <c r="H240" s="16">
        <f t="shared" si="129"/>
        <v>0</v>
      </c>
      <c r="I240" s="16">
        <f t="shared" si="113"/>
        <v>0</v>
      </c>
      <c r="J240" s="16">
        <f t="shared" si="114"/>
        <v>0</v>
      </c>
      <c r="K240" s="16">
        <f>(Opening_Fund_Value+SUM(K$91:K239))*E240*IF(D240=$A$91,SRP_finalmonthfactor,1)</f>
        <v>0</v>
      </c>
      <c r="L240" s="74">
        <f>MIN(IF($AV240=0,0,
IF(Investment_Strategy="DIS",VLOOKUP(Investment_Strategy&amp;"_"&amp;Investment_Strategy_Sub1&amp;"_"&amp;$A240,'Investment Strategies'!$AZ:$BP,12,FALSE),
IF(AND(Investment_Strategy="Lifecycle",Investment_Strategy_Sub1="Non-Standard"),VLOOKUP(Investment_Strategy&amp;"_"&amp;Investment_Strategy_Sub2&amp;"_"&amp;$A240,'Investment Strategies'!$C:$P,9,FALSE),
IF(AND(Investment_Strategy="Lifecycle",Investment_Strategy_Sub1="Standard"),VLOOKUP(Investment_Strategy&amp;"_"&amp;Investment_Strategy_Sub2&amp;"_"&amp;$A240,'Investment Strategies'!$AJ:$AV,8,FALSE),
IF(AND(Investment_Strategy="Autopilot",Investment_Strategy_Sub1="Non-Standard"),VLOOKUP(Investment_Strategy&amp;"_"&amp;Investment_Strategy_Sub2&amp;"_"&amp;$A240,'Investment Strategies'!$T:$AF,8,FALSE),
IF(Investment_Strategy ="DIY",DIY_RateofReturn_SP,
"Error")))))),Max_InvReturn)</f>
        <v>0</v>
      </c>
      <c r="M240" s="62">
        <f>IF($AV240=0,0,
IF(Investment_Strategy="DIS",VLOOKUP(Investment_Strategy&amp;"_"&amp;Investment_Strategy_Sub1&amp;"_"&amp;$A240,'Investment Strategies'!$AZ:$BP,15,FALSE),
IF(AND(Investment_Strategy="Lifecycle",Investment_Strategy_Sub1="Non-Standard"),VLOOKUP(Investment_Strategy&amp;"_"&amp;Investment_Strategy_Sub2&amp;"_"&amp;$A240,'Investment Strategies'!$C:$P,12,FALSE),
IF(AND(Investment_Strategy="Lifecycle",Investment_Strategy_Sub1="Standard"),VLOOKUP(Investment_Strategy&amp;"_"&amp;Investment_Strategy_Sub2&amp;"_"&amp;$A240,'Investment Strategies'!$AJ:$AV,11,FALSE),
IF(AND(Investment_Strategy="Autopilot",Investment_Strategy_Sub1="Non-Standard"),VLOOKUP(Investment_Strategy&amp;"_"&amp;Investment_Strategy_Sub2&amp;"_"&amp;$A240,'Investment Strategies'!$T:$AF,11,FALSE),
IF(Investment_Strategy="DIY",DIY_GteeChrge_SP,
"Error"))))))</f>
        <v>0</v>
      </c>
      <c r="N240" s="33">
        <f>IF($AV240=0,0,
IF(Investment_Strategy="DIS",VLOOKUP(Investment_Strategy&amp;"_"&amp;Investment_Strategy_Sub1&amp;"_"&amp;$A240,'Investment Strategies'!$AZ:$BP,17,FALSE),
IF(AND(Investment_Strategy="Lifecycle",Investment_Strategy_Sub1="Non-Standard"),VLOOKUP(Investment_Strategy&amp;"_"&amp;Investment_Strategy_Sub2&amp;"_"&amp;$A240,'Investment Strategies'!$C:$P,14,FALSE),
IF(AND(Investment_Strategy="Lifecycle",Investment_Strategy_Sub1="Standard"),VLOOKUP(Investment_Strategy&amp;"_"&amp;Investment_Strategy_Sub2&amp;"_"&amp;$A240,'Investment Strategies'!$AJ:$AV,13,FALSE),
IF(AND(Investment_Strategy="Autopilot",Investment_Strategy_Sub1="Non-Standard"),VLOOKUP(Investment_Strategy&amp;"_"&amp;Investment_Strategy_Sub2&amp;"_"&amp;$A240,'Investment Strategies'!$T:$AF,13,FALSE),
IF(Investment_Strategy="DIY",DIY_ExtManChrge_SP,
"Error"))))))</f>
        <v>0</v>
      </c>
      <c r="O240" s="16">
        <f t="shared" si="141"/>
        <v>0</v>
      </c>
      <c r="Q240" s="16">
        <f t="shared" si="115"/>
        <v>0</v>
      </c>
      <c r="R240" s="16">
        <f t="shared" si="116"/>
        <v>0</v>
      </c>
      <c r="S240" s="16">
        <f>(SRP_SP+SUM(S$91:S239))*L240*IF(D240=$A$91,SRP_finalmonthfactor,1)</f>
        <v>0</v>
      </c>
      <c r="T240" s="74">
        <f>MIN(IF($AV240=0,0,
IF(Investment_Strategy="DIS",VLOOKUP(Investment_Strategy&amp;"_"&amp;Investment_Strategy_Sub1&amp;"_"&amp;$A240,'Investment Strategies'!$AZ:$BP,12,FALSE),
IF(AND(Investment_Strategy="Lifecycle",Investment_Strategy_Sub1="Non-Standard"),VLOOKUP(Investment_Strategy&amp;"_"&amp;Investment_Strategy_Sub2&amp;"_"&amp;$A240,'Investment Strategies'!$C:$P,9,FALSE),
IF(AND(Investment_Strategy="Lifecycle",Investment_Strategy_Sub1="Standard"),VLOOKUP(Investment_Strategy&amp;"_"&amp;Investment_Strategy_Sub2&amp;"_"&amp;$A240,'Investment Strategies'!$AJ:$AV,8,FALSE),
IF(AND(Investment_Strategy="Autopilot",Investment_Strategy_Sub1="Non-Standard"),VLOOKUP(Investment_Strategy&amp;"_"&amp;Investment_Strategy_Sub2&amp;"_"&amp;$A240,'Investment Strategies'!$T:$AF,8,FALSE),
IF(Investment_Strategy ="DIY",DIY_RateOfReturn_FuturePremiums,
"Error")))))),Max_InvReturn)</f>
        <v>0</v>
      </c>
      <c r="U240" s="62">
        <f>IF($AV240=0,0,
IF(Investment_Strategy="DIS",VLOOKUP(Investment_Strategy&amp;"_"&amp;Investment_Strategy_Sub1&amp;"_"&amp;$A240,'Investment Strategies'!$AZ:$BP,15,FALSE),
IF(AND(Investment_Strategy="Lifecycle",Investment_Strategy_Sub1="Non-Standard"),VLOOKUP(Investment_Strategy&amp;"_"&amp;Investment_Strategy_Sub2&amp;"_"&amp;$A240,'Investment Strategies'!$C:$P,12,FALSE),
IF(AND(Investment_Strategy="Lifecycle",Investment_Strategy_Sub1="Standard"),VLOOKUP(Investment_Strategy&amp;"_"&amp;Investment_Strategy_Sub2&amp;"_"&amp;$A240,'Investment Strategies'!$AJ:$AV,11,FALSE),
IF(AND(Investment_Strategy="Autopilot",Investment_Strategy_Sub1="Non-Standard"),VLOOKUP(Investment_Strategy&amp;"_"&amp;Investment_Strategy_Sub2&amp;"_"&amp;$A240,'Investment Strategies'!$T:$AF,11,FALSE),
IF(Investment_Strategy="DIY",DIY_GteeChrge_FuturePremiums,
"Error"))))))</f>
        <v>0</v>
      </c>
      <c r="V240" s="33">
        <f>IF(AV240=0,0,
IF(Investment_Strategy="DIS",VLOOKUP(Investment_Strategy&amp;"_"&amp;Investment_Strategy_Sub1&amp;"_"&amp;$A240,'Investment Strategies'!$AZ:$BP,17,FALSE),
IF(AND(Investment_Strategy="Lifecycle",Investment_Strategy_Sub1="Non-Standard"),VLOOKUP(Investment_Strategy&amp;"_"&amp;Investment_Strategy_Sub2&amp;"_"&amp;$A240,'Investment Strategies'!$C:$P,14,FALSE),
IF(AND(Investment_Strategy="Lifecycle",Investment_Strategy_Sub1="Standard"),VLOOKUP(Investment_Strategy&amp;"_"&amp;Investment_Strategy_Sub2&amp;"_"&amp;$A240,'Investment Strategies'!$AJ:$AV,13,FALSE),
IF(AND(Investment_Strategy="Autopilot",Investment_Strategy_Sub1="Non-Standard"),VLOOKUP(Investment_Strategy&amp;"_"&amp;Investment_Strategy_Sub2&amp;"_"&amp;$A240,'Investment Strategies'!$T:$AF,13,FALSE),
IF(Investment_Strategy="DIY",DIY_ExtManChrge_FuturePremiums,
"Error"))))))</f>
        <v>0</v>
      </c>
      <c r="W240" s="16">
        <f t="shared" si="142"/>
        <v>0</v>
      </c>
      <c r="X240" s="16">
        <f t="shared" si="117"/>
        <v>0</v>
      </c>
      <c r="Y240" s="16">
        <f t="shared" si="118"/>
        <v>0</v>
      </c>
      <c r="Z240" s="31">
        <f t="shared" si="119"/>
        <v>0.02</v>
      </c>
      <c r="AA240" s="16">
        <f t="shared" si="120"/>
        <v>0</v>
      </c>
      <c r="AB240" s="28">
        <f t="shared" si="144"/>
        <v>0</v>
      </c>
      <c r="AC240" s="28">
        <f>(SUM($AC$91:AC239)+SUM($X$91:X239)+X240)*T240*IF(D240=$A$91,SRP_finalmonthfactor,1)</f>
        <v>0</v>
      </c>
      <c r="AD240" s="16">
        <f t="shared" si="121"/>
        <v>0</v>
      </c>
      <c r="AE240" s="106"/>
      <c r="AF240" s="16">
        <f t="shared" si="130"/>
        <v>0</v>
      </c>
      <c r="AG240" s="16">
        <f t="shared" si="131"/>
        <v>0</v>
      </c>
      <c r="AH240" s="16">
        <f t="shared" si="132"/>
        <v>0</v>
      </c>
      <c r="AJ240" s="13">
        <f t="shared" si="153"/>
        <v>0</v>
      </c>
      <c r="AK240" s="13">
        <f t="shared" si="153"/>
        <v>0</v>
      </c>
      <c r="AL240" s="13">
        <f t="shared" si="153"/>
        <v>0</v>
      </c>
      <c r="AM240" s="13">
        <f t="shared" si="153"/>
        <v>0</v>
      </c>
      <c r="AN240" s="13">
        <f t="shared" si="153"/>
        <v>0</v>
      </c>
      <c r="AO240" s="13">
        <f t="shared" si="153"/>
        <v>1</v>
      </c>
      <c r="AP240" s="13">
        <f t="shared" si="153"/>
        <v>1</v>
      </c>
      <c r="AQ240" s="13">
        <f t="shared" si="153"/>
        <v>1</v>
      </c>
      <c r="AR240" s="13">
        <f t="shared" si="153"/>
        <v>1</v>
      </c>
      <c r="AS240" s="13">
        <f t="shared" si="153"/>
        <v>1</v>
      </c>
      <c r="AT240" s="13">
        <f t="shared" si="153"/>
        <v>1</v>
      </c>
      <c r="AU240" s="13">
        <f t="shared" si="153"/>
        <v>1</v>
      </c>
      <c r="AV240" s="13">
        <f t="shared" si="122"/>
        <v>0</v>
      </c>
      <c r="AW240" s="13">
        <f t="shared" si="123"/>
        <v>1</v>
      </c>
      <c r="AY240" s="17">
        <f t="shared" si="124"/>
        <v>150</v>
      </c>
      <c r="AZ240" s="28">
        <f t="shared" si="133"/>
        <v>0</v>
      </c>
      <c r="BA240" s="13">
        <f t="shared" si="125"/>
        <v>0</v>
      </c>
      <c r="BB240" s="13">
        <f t="shared" si="126"/>
        <v>0</v>
      </c>
      <c r="BC240" s="28">
        <f t="shared" si="134"/>
        <v>0</v>
      </c>
      <c r="BD240" s="28">
        <f t="shared" si="135"/>
        <v>0</v>
      </c>
      <c r="BF240" s="248">
        <f t="shared" si="136"/>
        <v>993869.29442638322</v>
      </c>
      <c r="BG240" s="36">
        <f t="shared" si="145"/>
        <v>0</v>
      </c>
      <c r="BH240" s="36">
        <f t="shared" si="146"/>
        <v>873041.44574515079</v>
      </c>
      <c r="BI240" s="249">
        <f t="shared" si="147"/>
        <v>0</v>
      </c>
      <c r="BJ240" s="246">
        <f t="shared" si="148"/>
        <v>0</v>
      </c>
      <c r="BK240" s="246">
        <f t="shared" si="127"/>
        <v>7.531116566323881E-4</v>
      </c>
      <c r="BL240" s="246">
        <f t="shared" si="149"/>
        <v>0</v>
      </c>
      <c r="BM240" s="246">
        <f t="shared" si="150"/>
        <v>7.531116566323881E-4</v>
      </c>
      <c r="BN240" s="36">
        <f t="shared" si="137"/>
        <v>657.49768951386568</v>
      </c>
      <c r="BO240" s="36">
        <f t="shared" si="151"/>
        <v>0</v>
      </c>
      <c r="BP240" s="36">
        <f t="shared" si="152"/>
        <v>872383.94805563695</v>
      </c>
    </row>
    <row r="241" spans="1:68">
      <c r="A241" s="32">
        <f t="shared" si="138"/>
        <v>-66</v>
      </c>
      <c r="B241" s="32">
        <f t="shared" si="128"/>
        <v>65</v>
      </c>
      <c r="C241" s="32">
        <f t="shared" si="139"/>
        <v>13</v>
      </c>
      <c r="D241" s="32">
        <f t="shared" si="140"/>
        <v>151</v>
      </c>
      <c r="E241" s="74">
        <f>MIN(IF(AV241=0,0,
IF(Investment_Strategy="DIS",VLOOKUP(Investment_Strategy&amp;"_"&amp;Investment_Strategy_Sub1&amp;"_"&amp;$A241,'Investment Strategies'!$AZ:$BP,12,FALSE),
IF(AND(Investment_Strategy="Lifecycle",Investment_Strategy_Sub1="Non-Standard"),VLOOKUP(Investment_Strategy&amp;"_"&amp;Investment_Strategy_Sub2&amp;"_"&amp;$A241,'Investment Strategies'!$C:$P,9,FALSE),
IF(AND(Investment_Strategy="Lifecycle",Investment_Strategy_Sub1="Standard"),VLOOKUP(Investment_Strategy&amp;"_"&amp;Investment_Strategy_Sub2&amp;"_"&amp;$A241,'Investment Strategies'!$AJ:$AV,8,FALSE),
IF(AND(Investment_Strategy="Autopilot",Investment_Strategy_Sub1="Non-Standard"),VLOOKUP(Investment_Strategy&amp;"_"&amp;Investment_Strategy_Sub2&amp;"_"&amp;$A241,'Investment Strategies'!$T:$AF,8,FALSE),
IF(Investment_Strategy ="DIY",DIY_RateOfReturn_CurrentFunds,
"Error")))))),Max_InvReturn)</f>
        <v>0</v>
      </c>
      <c r="F241" s="62">
        <f>IF(AV241=0,0,
IF(Investment_Strategy="DIS",VLOOKUP(Investment_Strategy&amp;"_"&amp;Investment_Strategy_Sub1&amp;"_"&amp;$A241,'Investment Strategies'!$AZ:$BP,15,FALSE),
IF(AND(Investment_Strategy="Lifecycle",Investment_Strategy_Sub1="Non-Standard"),VLOOKUP(Investment_Strategy&amp;"_"&amp;Investment_Strategy_Sub2&amp;"_"&amp;$A241,'Investment Strategies'!$C:$P,12,FALSE),
IF(AND(Investment_Strategy="Lifecycle",Investment_Strategy_Sub1="Standard"),VLOOKUP(Investment_Strategy&amp;"_"&amp;Investment_Strategy_Sub2&amp;"_"&amp;$A241,'Investment Strategies'!$AJ:$AV,11,FALSE),
IF(AND(Investment_Strategy="Autopilot",Investment_Strategy_Sub1="Non-Standard"),VLOOKUP(Investment_Strategy&amp;"_"&amp;Investment_Strategy_Sub2&amp;"_"&amp;$A241,'Investment Strategies'!$T:$AF,11,FALSE),
IF(Investment_Strategy="DIY",DIY_GteeChrge_CurrentFunds,
"Error"))))))</f>
        <v>0</v>
      </c>
      <c r="G241" s="33">
        <f>IF(AV241=0,0,
IF(Investment_Strategy="DIS",VLOOKUP(Investment_Strategy&amp;"_"&amp;Investment_Strategy_Sub1&amp;"_"&amp;$A241,'Investment Strategies'!$AZ:$BP,17,FALSE),
IF(AND(Investment_Strategy="Lifecycle",Investment_Strategy_Sub1="Non-Standard"),VLOOKUP(Investment_Strategy&amp;"_"&amp;Investment_Strategy_Sub2&amp;"_"&amp;$A241,'Investment Strategies'!$C:$P,14,FALSE),
IF(AND(Investment_Strategy="Lifecycle",Investment_Strategy_Sub1="Standard"),VLOOKUP(Investment_Strategy&amp;"_"&amp;Investment_Strategy_Sub2&amp;"_"&amp;$A241,'Investment Strategies'!$AJ:$AV,13,FALSE),
IF(AND(Investment_Strategy="Autopilot",Investment_Strategy_Sub1="Non-Standard"),VLOOKUP(Investment_Strategy&amp;"_"&amp;Investment_Strategy_Sub2&amp;"_"&amp;$A241,'Investment Strategies'!$T:$AF,13,FALSE),
IF(Investment_Strategy="DIY",DIY_ExtManChrge_CurrentFunds,
"Error"))))))</f>
        <v>0</v>
      </c>
      <c r="H241" s="16">
        <f t="shared" si="129"/>
        <v>0</v>
      </c>
      <c r="I241" s="16">
        <f t="shared" si="113"/>
        <v>0</v>
      </c>
      <c r="J241" s="16">
        <f t="shared" si="114"/>
        <v>0</v>
      </c>
      <c r="K241" s="16">
        <f>(Opening_Fund_Value+SUM(K$91:K240))*E241*IF(D241=$A$91,SRP_finalmonthfactor,1)</f>
        <v>0</v>
      </c>
      <c r="L241" s="74">
        <f>MIN(IF($AV241=0,0,
IF(Investment_Strategy="DIS",VLOOKUP(Investment_Strategy&amp;"_"&amp;Investment_Strategy_Sub1&amp;"_"&amp;$A241,'Investment Strategies'!$AZ:$BP,12,FALSE),
IF(AND(Investment_Strategy="Lifecycle",Investment_Strategy_Sub1="Non-Standard"),VLOOKUP(Investment_Strategy&amp;"_"&amp;Investment_Strategy_Sub2&amp;"_"&amp;$A241,'Investment Strategies'!$C:$P,9,FALSE),
IF(AND(Investment_Strategy="Lifecycle",Investment_Strategy_Sub1="Standard"),VLOOKUP(Investment_Strategy&amp;"_"&amp;Investment_Strategy_Sub2&amp;"_"&amp;$A241,'Investment Strategies'!$AJ:$AV,8,FALSE),
IF(AND(Investment_Strategy="Autopilot",Investment_Strategy_Sub1="Non-Standard"),VLOOKUP(Investment_Strategy&amp;"_"&amp;Investment_Strategy_Sub2&amp;"_"&amp;$A241,'Investment Strategies'!$T:$AF,8,FALSE),
IF(Investment_Strategy ="DIY",DIY_RateofReturn_SP,
"Error")))))),Max_InvReturn)</f>
        <v>0</v>
      </c>
      <c r="M241" s="62">
        <f>IF($AV241=0,0,
IF(Investment_Strategy="DIS",VLOOKUP(Investment_Strategy&amp;"_"&amp;Investment_Strategy_Sub1&amp;"_"&amp;$A241,'Investment Strategies'!$AZ:$BP,15,FALSE),
IF(AND(Investment_Strategy="Lifecycle",Investment_Strategy_Sub1="Non-Standard"),VLOOKUP(Investment_Strategy&amp;"_"&amp;Investment_Strategy_Sub2&amp;"_"&amp;$A241,'Investment Strategies'!$C:$P,12,FALSE),
IF(AND(Investment_Strategy="Lifecycle",Investment_Strategy_Sub1="Standard"),VLOOKUP(Investment_Strategy&amp;"_"&amp;Investment_Strategy_Sub2&amp;"_"&amp;$A241,'Investment Strategies'!$AJ:$AV,11,FALSE),
IF(AND(Investment_Strategy="Autopilot",Investment_Strategy_Sub1="Non-Standard"),VLOOKUP(Investment_Strategy&amp;"_"&amp;Investment_Strategy_Sub2&amp;"_"&amp;$A241,'Investment Strategies'!$T:$AF,11,FALSE),
IF(Investment_Strategy="DIY",DIY_GteeChrge_SP,
"Error"))))))</f>
        <v>0</v>
      </c>
      <c r="N241" s="33">
        <f>IF($AV241=0,0,
IF(Investment_Strategy="DIS",VLOOKUP(Investment_Strategy&amp;"_"&amp;Investment_Strategy_Sub1&amp;"_"&amp;$A241,'Investment Strategies'!$AZ:$BP,17,FALSE),
IF(AND(Investment_Strategy="Lifecycle",Investment_Strategy_Sub1="Non-Standard"),VLOOKUP(Investment_Strategy&amp;"_"&amp;Investment_Strategy_Sub2&amp;"_"&amp;$A241,'Investment Strategies'!$C:$P,14,FALSE),
IF(AND(Investment_Strategy="Lifecycle",Investment_Strategy_Sub1="Standard"),VLOOKUP(Investment_Strategy&amp;"_"&amp;Investment_Strategy_Sub2&amp;"_"&amp;$A241,'Investment Strategies'!$AJ:$AV,13,FALSE),
IF(AND(Investment_Strategy="Autopilot",Investment_Strategy_Sub1="Non-Standard"),VLOOKUP(Investment_Strategy&amp;"_"&amp;Investment_Strategy_Sub2&amp;"_"&amp;$A241,'Investment Strategies'!$T:$AF,13,FALSE),
IF(Investment_Strategy="DIY",DIY_ExtManChrge_SP,
"Error"))))))</f>
        <v>0</v>
      </c>
      <c r="O241" s="16">
        <f t="shared" si="141"/>
        <v>0</v>
      </c>
      <c r="Q241" s="16">
        <f t="shared" si="115"/>
        <v>0</v>
      </c>
      <c r="R241" s="16">
        <f t="shared" si="116"/>
        <v>0</v>
      </c>
      <c r="S241" s="16">
        <f>(SRP_SP+SUM(S$91:S240))*L241*IF(D241=$A$91,SRP_finalmonthfactor,1)</f>
        <v>0</v>
      </c>
      <c r="T241" s="74">
        <f>MIN(IF($AV241=0,0,
IF(Investment_Strategy="DIS",VLOOKUP(Investment_Strategy&amp;"_"&amp;Investment_Strategy_Sub1&amp;"_"&amp;$A241,'Investment Strategies'!$AZ:$BP,12,FALSE),
IF(AND(Investment_Strategy="Lifecycle",Investment_Strategy_Sub1="Non-Standard"),VLOOKUP(Investment_Strategy&amp;"_"&amp;Investment_Strategy_Sub2&amp;"_"&amp;$A241,'Investment Strategies'!$C:$P,9,FALSE),
IF(AND(Investment_Strategy="Lifecycle",Investment_Strategy_Sub1="Standard"),VLOOKUP(Investment_Strategy&amp;"_"&amp;Investment_Strategy_Sub2&amp;"_"&amp;$A241,'Investment Strategies'!$AJ:$AV,8,FALSE),
IF(AND(Investment_Strategy="Autopilot",Investment_Strategy_Sub1="Non-Standard"),VLOOKUP(Investment_Strategy&amp;"_"&amp;Investment_Strategy_Sub2&amp;"_"&amp;$A241,'Investment Strategies'!$T:$AF,8,FALSE),
IF(Investment_Strategy ="DIY",DIY_RateOfReturn_FuturePremiums,
"Error")))))),Max_InvReturn)</f>
        <v>0</v>
      </c>
      <c r="U241" s="62">
        <f>IF($AV241=0,0,
IF(Investment_Strategy="DIS",VLOOKUP(Investment_Strategy&amp;"_"&amp;Investment_Strategy_Sub1&amp;"_"&amp;$A241,'Investment Strategies'!$AZ:$BP,15,FALSE),
IF(AND(Investment_Strategy="Lifecycle",Investment_Strategy_Sub1="Non-Standard"),VLOOKUP(Investment_Strategy&amp;"_"&amp;Investment_Strategy_Sub2&amp;"_"&amp;$A241,'Investment Strategies'!$C:$P,12,FALSE),
IF(AND(Investment_Strategy="Lifecycle",Investment_Strategy_Sub1="Standard"),VLOOKUP(Investment_Strategy&amp;"_"&amp;Investment_Strategy_Sub2&amp;"_"&amp;$A241,'Investment Strategies'!$AJ:$AV,11,FALSE),
IF(AND(Investment_Strategy="Autopilot",Investment_Strategy_Sub1="Non-Standard"),VLOOKUP(Investment_Strategy&amp;"_"&amp;Investment_Strategy_Sub2&amp;"_"&amp;$A241,'Investment Strategies'!$T:$AF,11,FALSE),
IF(Investment_Strategy="DIY",DIY_GteeChrge_FuturePremiums,
"Error"))))))</f>
        <v>0</v>
      </c>
      <c r="V241" s="33">
        <f>IF(AV241=0,0,
IF(Investment_Strategy="DIS",VLOOKUP(Investment_Strategy&amp;"_"&amp;Investment_Strategy_Sub1&amp;"_"&amp;$A241,'Investment Strategies'!$AZ:$BP,17,FALSE),
IF(AND(Investment_Strategy="Lifecycle",Investment_Strategy_Sub1="Non-Standard"),VLOOKUP(Investment_Strategy&amp;"_"&amp;Investment_Strategy_Sub2&amp;"_"&amp;$A241,'Investment Strategies'!$C:$P,14,FALSE),
IF(AND(Investment_Strategy="Lifecycle",Investment_Strategy_Sub1="Standard"),VLOOKUP(Investment_Strategy&amp;"_"&amp;Investment_Strategy_Sub2&amp;"_"&amp;$A241,'Investment Strategies'!$AJ:$AV,13,FALSE),
IF(AND(Investment_Strategy="Autopilot",Investment_Strategy_Sub1="Non-Standard"),VLOOKUP(Investment_Strategy&amp;"_"&amp;Investment_Strategy_Sub2&amp;"_"&amp;$A241,'Investment Strategies'!$T:$AF,13,FALSE),
IF(Investment_Strategy="DIY",DIY_ExtManChrge_FuturePremiums,
"Error"))))))</f>
        <v>0</v>
      </c>
      <c r="W241" s="16">
        <f t="shared" si="142"/>
        <v>0</v>
      </c>
      <c r="X241" s="16">
        <f t="shared" si="117"/>
        <v>0</v>
      </c>
      <c r="Y241" s="16">
        <f t="shared" si="118"/>
        <v>0</v>
      </c>
      <c r="Z241" s="31">
        <f t="shared" si="119"/>
        <v>0.02</v>
      </c>
      <c r="AA241" s="16">
        <f t="shared" si="120"/>
        <v>0</v>
      </c>
      <c r="AB241" s="28">
        <f t="shared" si="144"/>
        <v>0</v>
      </c>
      <c r="AC241" s="28">
        <f>(SUM($AC$91:AC240)+SUM($X$91:X240)+X241)*T241*IF(D241=$A$91,SRP_finalmonthfactor,1)</f>
        <v>0</v>
      </c>
      <c r="AD241" s="16">
        <f t="shared" si="121"/>
        <v>0</v>
      </c>
      <c r="AE241" s="106"/>
      <c r="AF241" s="16">
        <f t="shared" si="130"/>
        <v>0</v>
      </c>
      <c r="AG241" s="16">
        <f t="shared" si="131"/>
        <v>0</v>
      </c>
      <c r="AH241" s="16">
        <f t="shared" si="132"/>
        <v>0</v>
      </c>
      <c r="AJ241" s="13">
        <f t="shared" ref="AJ241:AU250" si="154">IF($C241&lt;=AJ$90,1,0)</f>
        <v>0</v>
      </c>
      <c r="AK241" s="13">
        <f t="shared" si="154"/>
        <v>0</v>
      </c>
      <c r="AL241" s="13">
        <f t="shared" si="154"/>
        <v>0</v>
      </c>
      <c r="AM241" s="13">
        <f t="shared" si="154"/>
        <v>0</v>
      </c>
      <c r="AN241" s="13">
        <f t="shared" si="154"/>
        <v>0</v>
      </c>
      <c r="AO241" s="13">
        <f t="shared" si="154"/>
        <v>1</v>
      </c>
      <c r="AP241" s="13">
        <f t="shared" si="154"/>
        <v>1</v>
      </c>
      <c r="AQ241" s="13">
        <f t="shared" si="154"/>
        <v>1</v>
      </c>
      <c r="AR241" s="13">
        <f t="shared" si="154"/>
        <v>1</v>
      </c>
      <c r="AS241" s="13">
        <f t="shared" si="154"/>
        <v>1</v>
      </c>
      <c r="AT241" s="13">
        <f t="shared" si="154"/>
        <v>1</v>
      </c>
      <c r="AU241" s="13">
        <f t="shared" si="154"/>
        <v>1</v>
      </c>
      <c r="AV241" s="13">
        <f t="shared" si="122"/>
        <v>0</v>
      </c>
      <c r="AW241" s="13">
        <f t="shared" si="123"/>
        <v>1</v>
      </c>
      <c r="AY241" s="17">
        <f t="shared" si="124"/>
        <v>151</v>
      </c>
      <c r="AZ241" s="28">
        <f t="shared" si="133"/>
        <v>0</v>
      </c>
      <c r="BA241" s="13">
        <f t="shared" si="125"/>
        <v>0</v>
      </c>
      <c r="BB241" s="13">
        <f t="shared" si="126"/>
        <v>0</v>
      </c>
      <c r="BC241" s="28">
        <f t="shared" si="134"/>
        <v>0</v>
      </c>
      <c r="BD241" s="28">
        <f t="shared" si="135"/>
        <v>0</v>
      </c>
      <c r="BF241" s="248">
        <f t="shared" si="136"/>
        <v>993869.29442638322</v>
      </c>
      <c r="BG241" s="36">
        <f t="shared" si="145"/>
        <v>0</v>
      </c>
      <c r="BH241" s="36">
        <f t="shared" si="146"/>
        <v>872383.94805563695</v>
      </c>
      <c r="BI241" s="249">
        <f t="shared" si="147"/>
        <v>0</v>
      </c>
      <c r="BJ241" s="246">
        <f t="shared" si="148"/>
        <v>0</v>
      </c>
      <c r="BK241" s="246">
        <f t="shared" si="127"/>
        <v>7.531116566323881E-4</v>
      </c>
      <c r="BL241" s="246">
        <f t="shared" si="149"/>
        <v>0</v>
      </c>
      <c r="BM241" s="246">
        <f t="shared" si="150"/>
        <v>7.531116566323881E-4</v>
      </c>
      <c r="BN241" s="36">
        <f t="shared" si="137"/>
        <v>657.002520339684</v>
      </c>
      <c r="BO241" s="36">
        <f t="shared" si="151"/>
        <v>0</v>
      </c>
      <c r="BP241" s="36">
        <f t="shared" si="152"/>
        <v>871726.94553529727</v>
      </c>
    </row>
    <row r="242" spans="1:68">
      <c r="A242" s="32">
        <f t="shared" si="138"/>
        <v>-67</v>
      </c>
      <c r="B242" s="32">
        <f t="shared" si="128"/>
        <v>65</v>
      </c>
      <c r="C242" s="32">
        <f t="shared" si="139"/>
        <v>13</v>
      </c>
      <c r="D242" s="32">
        <f t="shared" si="140"/>
        <v>152</v>
      </c>
      <c r="E242" s="74">
        <f>MIN(IF(AV242=0,0,
IF(Investment_Strategy="DIS",VLOOKUP(Investment_Strategy&amp;"_"&amp;Investment_Strategy_Sub1&amp;"_"&amp;$A242,'Investment Strategies'!$AZ:$BP,12,FALSE),
IF(AND(Investment_Strategy="Lifecycle",Investment_Strategy_Sub1="Non-Standard"),VLOOKUP(Investment_Strategy&amp;"_"&amp;Investment_Strategy_Sub2&amp;"_"&amp;$A242,'Investment Strategies'!$C:$P,9,FALSE),
IF(AND(Investment_Strategy="Lifecycle",Investment_Strategy_Sub1="Standard"),VLOOKUP(Investment_Strategy&amp;"_"&amp;Investment_Strategy_Sub2&amp;"_"&amp;$A242,'Investment Strategies'!$AJ:$AV,8,FALSE),
IF(AND(Investment_Strategy="Autopilot",Investment_Strategy_Sub1="Non-Standard"),VLOOKUP(Investment_Strategy&amp;"_"&amp;Investment_Strategy_Sub2&amp;"_"&amp;$A242,'Investment Strategies'!$T:$AF,8,FALSE),
IF(Investment_Strategy ="DIY",DIY_RateOfReturn_CurrentFunds,
"Error")))))),Max_InvReturn)</f>
        <v>0</v>
      </c>
      <c r="F242" s="62">
        <f>IF(AV242=0,0,
IF(Investment_Strategy="DIS",VLOOKUP(Investment_Strategy&amp;"_"&amp;Investment_Strategy_Sub1&amp;"_"&amp;$A242,'Investment Strategies'!$AZ:$BP,15,FALSE),
IF(AND(Investment_Strategy="Lifecycle",Investment_Strategy_Sub1="Non-Standard"),VLOOKUP(Investment_Strategy&amp;"_"&amp;Investment_Strategy_Sub2&amp;"_"&amp;$A242,'Investment Strategies'!$C:$P,12,FALSE),
IF(AND(Investment_Strategy="Lifecycle",Investment_Strategy_Sub1="Standard"),VLOOKUP(Investment_Strategy&amp;"_"&amp;Investment_Strategy_Sub2&amp;"_"&amp;$A242,'Investment Strategies'!$AJ:$AV,11,FALSE),
IF(AND(Investment_Strategy="Autopilot",Investment_Strategy_Sub1="Non-Standard"),VLOOKUP(Investment_Strategy&amp;"_"&amp;Investment_Strategy_Sub2&amp;"_"&amp;$A242,'Investment Strategies'!$T:$AF,11,FALSE),
IF(Investment_Strategy="DIY",DIY_GteeChrge_CurrentFunds,
"Error"))))))</f>
        <v>0</v>
      </c>
      <c r="G242" s="33">
        <f>IF(AV242=0,0,
IF(Investment_Strategy="DIS",VLOOKUP(Investment_Strategy&amp;"_"&amp;Investment_Strategy_Sub1&amp;"_"&amp;$A242,'Investment Strategies'!$AZ:$BP,17,FALSE),
IF(AND(Investment_Strategy="Lifecycle",Investment_Strategy_Sub1="Non-Standard"),VLOOKUP(Investment_Strategy&amp;"_"&amp;Investment_Strategy_Sub2&amp;"_"&amp;$A242,'Investment Strategies'!$C:$P,14,FALSE),
IF(AND(Investment_Strategy="Lifecycle",Investment_Strategy_Sub1="Standard"),VLOOKUP(Investment_Strategy&amp;"_"&amp;Investment_Strategy_Sub2&amp;"_"&amp;$A242,'Investment Strategies'!$AJ:$AV,13,FALSE),
IF(AND(Investment_Strategy="Autopilot",Investment_Strategy_Sub1="Non-Standard"),VLOOKUP(Investment_Strategy&amp;"_"&amp;Investment_Strategy_Sub2&amp;"_"&amp;$A242,'Investment Strategies'!$T:$AF,13,FALSE),
IF(Investment_Strategy="DIY",DIY_ExtManChrge_CurrentFunds,
"Error"))))))</f>
        <v>0</v>
      </c>
      <c r="H242" s="16">
        <f t="shared" si="129"/>
        <v>0</v>
      </c>
      <c r="I242" s="16">
        <f t="shared" si="113"/>
        <v>0</v>
      </c>
      <c r="J242" s="16">
        <f t="shared" si="114"/>
        <v>0</v>
      </c>
      <c r="K242" s="16">
        <f>(Opening_Fund_Value+SUM(K$91:K241))*E242*IF(D242=$A$91,SRP_finalmonthfactor,1)</f>
        <v>0</v>
      </c>
      <c r="L242" s="74">
        <f>MIN(IF($AV242=0,0,
IF(Investment_Strategy="DIS",VLOOKUP(Investment_Strategy&amp;"_"&amp;Investment_Strategy_Sub1&amp;"_"&amp;$A242,'Investment Strategies'!$AZ:$BP,12,FALSE),
IF(AND(Investment_Strategy="Lifecycle",Investment_Strategy_Sub1="Non-Standard"),VLOOKUP(Investment_Strategy&amp;"_"&amp;Investment_Strategy_Sub2&amp;"_"&amp;$A242,'Investment Strategies'!$C:$P,9,FALSE),
IF(AND(Investment_Strategy="Lifecycle",Investment_Strategy_Sub1="Standard"),VLOOKUP(Investment_Strategy&amp;"_"&amp;Investment_Strategy_Sub2&amp;"_"&amp;$A242,'Investment Strategies'!$AJ:$AV,8,FALSE),
IF(AND(Investment_Strategy="Autopilot",Investment_Strategy_Sub1="Non-Standard"),VLOOKUP(Investment_Strategy&amp;"_"&amp;Investment_Strategy_Sub2&amp;"_"&amp;$A242,'Investment Strategies'!$T:$AF,8,FALSE),
IF(Investment_Strategy ="DIY",DIY_RateofReturn_SP,
"Error")))))),Max_InvReturn)</f>
        <v>0</v>
      </c>
      <c r="M242" s="62">
        <f>IF($AV242=0,0,
IF(Investment_Strategy="DIS",VLOOKUP(Investment_Strategy&amp;"_"&amp;Investment_Strategy_Sub1&amp;"_"&amp;$A242,'Investment Strategies'!$AZ:$BP,15,FALSE),
IF(AND(Investment_Strategy="Lifecycle",Investment_Strategy_Sub1="Non-Standard"),VLOOKUP(Investment_Strategy&amp;"_"&amp;Investment_Strategy_Sub2&amp;"_"&amp;$A242,'Investment Strategies'!$C:$P,12,FALSE),
IF(AND(Investment_Strategy="Lifecycle",Investment_Strategy_Sub1="Standard"),VLOOKUP(Investment_Strategy&amp;"_"&amp;Investment_Strategy_Sub2&amp;"_"&amp;$A242,'Investment Strategies'!$AJ:$AV,11,FALSE),
IF(AND(Investment_Strategy="Autopilot",Investment_Strategy_Sub1="Non-Standard"),VLOOKUP(Investment_Strategy&amp;"_"&amp;Investment_Strategy_Sub2&amp;"_"&amp;$A242,'Investment Strategies'!$T:$AF,11,FALSE),
IF(Investment_Strategy="DIY",DIY_GteeChrge_SP,
"Error"))))))</f>
        <v>0</v>
      </c>
      <c r="N242" s="33">
        <f>IF($AV242=0,0,
IF(Investment_Strategy="DIS",VLOOKUP(Investment_Strategy&amp;"_"&amp;Investment_Strategy_Sub1&amp;"_"&amp;$A242,'Investment Strategies'!$AZ:$BP,17,FALSE),
IF(AND(Investment_Strategy="Lifecycle",Investment_Strategy_Sub1="Non-Standard"),VLOOKUP(Investment_Strategy&amp;"_"&amp;Investment_Strategy_Sub2&amp;"_"&amp;$A242,'Investment Strategies'!$C:$P,14,FALSE),
IF(AND(Investment_Strategy="Lifecycle",Investment_Strategy_Sub1="Standard"),VLOOKUP(Investment_Strategy&amp;"_"&amp;Investment_Strategy_Sub2&amp;"_"&amp;$A242,'Investment Strategies'!$AJ:$AV,13,FALSE),
IF(AND(Investment_Strategy="Autopilot",Investment_Strategy_Sub1="Non-Standard"),VLOOKUP(Investment_Strategy&amp;"_"&amp;Investment_Strategy_Sub2&amp;"_"&amp;$A242,'Investment Strategies'!$T:$AF,13,FALSE),
IF(Investment_Strategy="DIY",DIY_ExtManChrge_SP,
"Error"))))))</f>
        <v>0</v>
      </c>
      <c r="O242" s="16">
        <f t="shared" si="141"/>
        <v>0</v>
      </c>
      <c r="Q242" s="16">
        <f t="shared" si="115"/>
        <v>0</v>
      </c>
      <c r="R242" s="16">
        <f t="shared" si="116"/>
        <v>0</v>
      </c>
      <c r="S242" s="16">
        <f>(SRP_SP+SUM(S$91:S241))*L242*IF(D242=$A$91,SRP_finalmonthfactor,1)</f>
        <v>0</v>
      </c>
      <c r="T242" s="74">
        <f>MIN(IF($AV242=0,0,
IF(Investment_Strategy="DIS",VLOOKUP(Investment_Strategy&amp;"_"&amp;Investment_Strategy_Sub1&amp;"_"&amp;$A242,'Investment Strategies'!$AZ:$BP,12,FALSE),
IF(AND(Investment_Strategy="Lifecycle",Investment_Strategy_Sub1="Non-Standard"),VLOOKUP(Investment_Strategy&amp;"_"&amp;Investment_Strategy_Sub2&amp;"_"&amp;$A242,'Investment Strategies'!$C:$P,9,FALSE),
IF(AND(Investment_Strategy="Lifecycle",Investment_Strategy_Sub1="Standard"),VLOOKUP(Investment_Strategy&amp;"_"&amp;Investment_Strategy_Sub2&amp;"_"&amp;$A242,'Investment Strategies'!$AJ:$AV,8,FALSE),
IF(AND(Investment_Strategy="Autopilot",Investment_Strategy_Sub1="Non-Standard"),VLOOKUP(Investment_Strategy&amp;"_"&amp;Investment_Strategy_Sub2&amp;"_"&amp;$A242,'Investment Strategies'!$T:$AF,8,FALSE),
IF(Investment_Strategy ="DIY",DIY_RateOfReturn_FuturePremiums,
"Error")))))),Max_InvReturn)</f>
        <v>0</v>
      </c>
      <c r="U242" s="62">
        <f>IF($AV242=0,0,
IF(Investment_Strategy="DIS",VLOOKUP(Investment_Strategy&amp;"_"&amp;Investment_Strategy_Sub1&amp;"_"&amp;$A242,'Investment Strategies'!$AZ:$BP,15,FALSE),
IF(AND(Investment_Strategy="Lifecycle",Investment_Strategy_Sub1="Non-Standard"),VLOOKUP(Investment_Strategy&amp;"_"&amp;Investment_Strategy_Sub2&amp;"_"&amp;$A242,'Investment Strategies'!$C:$P,12,FALSE),
IF(AND(Investment_Strategy="Lifecycle",Investment_Strategy_Sub1="Standard"),VLOOKUP(Investment_Strategy&amp;"_"&amp;Investment_Strategy_Sub2&amp;"_"&amp;$A242,'Investment Strategies'!$AJ:$AV,11,FALSE),
IF(AND(Investment_Strategy="Autopilot",Investment_Strategy_Sub1="Non-Standard"),VLOOKUP(Investment_Strategy&amp;"_"&amp;Investment_Strategy_Sub2&amp;"_"&amp;$A242,'Investment Strategies'!$T:$AF,11,FALSE),
IF(Investment_Strategy="DIY",DIY_GteeChrge_FuturePremiums,
"Error"))))))</f>
        <v>0</v>
      </c>
      <c r="V242" s="33">
        <f>IF(AV242=0,0,
IF(Investment_Strategy="DIS",VLOOKUP(Investment_Strategy&amp;"_"&amp;Investment_Strategy_Sub1&amp;"_"&amp;$A242,'Investment Strategies'!$AZ:$BP,17,FALSE),
IF(AND(Investment_Strategy="Lifecycle",Investment_Strategy_Sub1="Non-Standard"),VLOOKUP(Investment_Strategy&amp;"_"&amp;Investment_Strategy_Sub2&amp;"_"&amp;$A242,'Investment Strategies'!$C:$P,14,FALSE),
IF(AND(Investment_Strategy="Lifecycle",Investment_Strategy_Sub1="Standard"),VLOOKUP(Investment_Strategy&amp;"_"&amp;Investment_Strategy_Sub2&amp;"_"&amp;$A242,'Investment Strategies'!$AJ:$AV,13,FALSE),
IF(AND(Investment_Strategy="Autopilot",Investment_Strategy_Sub1="Non-Standard"),VLOOKUP(Investment_Strategy&amp;"_"&amp;Investment_Strategy_Sub2&amp;"_"&amp;$A242,'Investment Strategies'!$T:$AF,13,FALSE),
IF(Investment_Strategy="DIY",DIY_ExtManChrge_FuturePremiums,
"Error"))))))</f>
        <v>0</v>
      </c>
      <c r="W242" s="16">
        <f t="shared" si="142"/>
        <v>0</v>
      </c>
      <c r="X242" s="16">
        <f t="shared" si="117"/>
        <v>0</v>
      </c>
      <c r="Y242" s="16">
        <f t="shared" si="118"/>
        <v>0</v>
      </c>
      <c r="Z242" s="31">
        <f t="shared" si="119"/>
        <v>0.02</v>
      </c>
      <c r="AA242" s="16">
        <f t="shared" si="120"/>
        <v>0</v>
      </c>
      <c r="AB242" s="28">
        <f t="shared" si="144"/>
        <v>0</v>
      </c>
      <c r="AC242" s="28">
        <f>(SUM($AC$91:AC241)+SUM($X$91:X241)+X242)*T242*IF(D242=$A$91,SRP_finalmonthfactor,1)</f>
        <v>0</v>
      </c>
      <c r="AD242" s="16">
        <f t="shared" si="121"/>
        <v>0</v>
      </c>
      <c r="AE242" s="106"/>
      <c r="AF242" s="16">
        <f t="shared" si="130"/>
        <v>0</v>
      </c>
      <c r="AG242" s="16">
        <f t="shared" si="131"/>
        <v>0</v>
      </c>
      <c r="AH242" s="16">
        <f t="shared" si="132"/>
        <v>0</v>
      </c>
      <c r="AJ242" s="13">
        <f t="shared" si="154"/>
        <v>0</v>
      </c>
      <c r="AK242" s="13">
        <f t="shared" si="154"/>
        <v>0</v>
      </c>
      <c r="AL242" s="13">
        <f t="shared" si="154"/>
        <v>0</v>
      </c>
      <c r="AM242" s="13">
        <f t="shared" si="154"/>
        <v>0</v>
      </c>
      <c r="AN242" s="13">
        <f t="shared" si="154"/>
        <v>0</v>
      </c>
      <c r="AO242" s="13">
        <f t="shared" si="154"/>
        <v>1</v>
      </c>
      <c r="AP242" s="13">
        <f t="shared" si="154"/>
        <v>1</v>
      </c>
      <c r="AQ242" s="13">
        <f t="shared" si="154"/>
        <v>1</v>
      </c>
      <c r="AR242" s="13">
        <f t="shared" si="154"/>
        <v>1</v>
      </c>
      <c r="AS242" s="13">
        <f t="shared" si="154"/>
        <v>1</v>
      </c>
      <c r="AT242" s="13">
        <f t="shared" si="154"/>
        <v>1</v>
      </c>
      <c r="AU242" s="13">
        <f t="shared" si="154"/>
        <v>1</v>
      </c>
      <c r="AV242" s="13">
        <f t="shared" si="122"/>
        <v>0</v>
      </c>
      <c r="AW242" s="13">
        <f t="shared" si="123"/>
        <v>1</v>
      </c>
      <c r="AY242" s="17">
        <f t="shared" si="124"/>
        <v>152</v>
      </c>
      <c r="AZ242" s="28">
        <f t="shared" si="133"/>
        <v>0</v>
      </c>
      <c r="BA242" s="13">
        <f t="shared" si="125"/>
        <v>0</v>
      </c>
      <c r="BB242" s="13">
        <f t="shared" si="126"/>
        <v>0</v>
      </c>
      <c r="BC242" s="28">
        <f t="shared" si="134"/>
        <v>0</v>
      </c>
      <c r="BD242" s="28">
        <f t="shared" si="135"/>
        <v>0</v>
      </c>
      <c r="BF242" s="248">
        <f t="shared" si="136"/>
        <v>993869.29442638322</v>
      </c>
      <c r="BG242" s="36">
        <f t="shared" si="145"/>
        <v>0</v>
      </c>
      <c r="BH242" s="36">
        <f t="shared" si="146"/>
        <v>871726.94553529727</v>
      </c>
      <c r="BI242" s="249">
        <f t="shared" si="147"/>
        <v>0</v>
      </c>
      <c r="BJ242" s="246">
        <f t="shared" si="148"/>
        <v>0</v>
      </c>
      <c r="BK242" s="246">
        <f t="shared" si="127"/>
        <v>7.531116566323881E-4</v>
      </c>
      <c r="BL242" s="246">
        <f t="shared" si="149"/>
        <v>0</v>
      </c>
      <c r="BM242" s="246">
        <f t="shared" si="150"/>
        <v>7.531116566323881E-4</v>
      </c>
      <c r="BN242" s="36">
        <f t="shared" si="137"/>
        <v>656.50772408317926</v>
      </c>
      <c r="BO242" s="36">
        <f t="shared" si="151"/>
        <v>0</v>
      </c>
      <c r="BP242" s="36">
        <f t="shared" si="152"/>
        <v>871070.43781121413</v>
      </c>
    </row>
    <row r="243" spans="1:68">
      <c r="A243" s="32">
        <f t="shared" si="138"/>
        <v>-68</v>
      </c>
      <c r="B243" s="32">
        <f t="shared" si="128"/>
        <v>65</v>
      </c>
      <c r="C243" s="32">
        <f t="shared" si="139"/>
        <v>13</v>
      </c>
      <c r="D243" s="32">
        <f t="shared" si="140"/>
        <v>153</v>
      </c>
      <c r="E243" s="74">
        <f>MIN(IF(AV243=0,0,
IF(Investment_Strategy="DIS",VLOOKUP(Investment_Strategy&amp;"_"&amp;Investment_Strategy_Sub1&amp;"_"&amp;$A243,'Investment Strategies'!$AZ:$BP,12,FALSE),
IF(AND(Investment_Strategy="Lifecycle",Investment_Strategy_Sub1="Non-Standard"),VLOOKUP(Investment_Strategy&amp;"_"&amp;Investment_Strategy_Sub2&amp;"_"&amp;$A243,'Investment Strategies'!$C:$P,9,FALSE),
IF(AND(Investment_Strategy="Lifecycle",Investment_Strategy_Sub1="Standard"),VLOOKUP(Investment_Strategy&amp;"_"&amp;Investment_Strategy_Sub2&amp;"_"&amp;$A243,'Investment Strategies'!$AJ:$AV,8,FALSE),
IF(AND(Investment_Strategy="Autopilot",Investment_Strategy_Sub1="Non-Standard"),VLOOKUP(Investment_Strategy&amp;"_"&amp;Investment_Strategy_Sub2&amp;"_"&amp;$A243,'Investment Strategies'!$T:$AF,8,FALSE),
IF(Investment_Strategy ="DIY",DIY_RateOfReturn_CurrentFunds,
"Error")))))),Max_InvReturn)</f>
        <v>0</v>
      </c>
      <c r="F243" s="62">
        <f>IF(AV243=0,0,
IF(Investment_Strategy="DIS",VLOOKUP(Investment_Strategy&amp;"_"&amp;Investment_Strategy_Sub1&amp;"_"&amp;$A243,'Investment Strategies'!$AZ:$BP,15,FALSE),
IF(AND(Investment_Strategy="Lifecycle",Investment_Strategy_Sub1="Non-Standard"),VLOOKUP(Investment_Strategy&amp;"_"&amp;Investment_Strategy_Sub2&amp;"_"&amp;$A243,'Investment Strategies'!$C:$P,12,FALSE),
IF(AND(Investment_Strategy="Lifecycle",Investment_Strategy_Sub1="Standard"),VLOOKUP(Investment_Strategy&amp;"_"&amp;Investment_Strategy_Sub2&amp;"_"&amp;$A243,'Investment Strategies'!$AJ:$AV,11,FALSE),
IF(AND(Investment_Strategy="Autopilot",Investment_Strategy_Sub1="Non-Standard"),VLOOKUP(Investment_Strategy&amp;"_"&amp;Investment_Strategy_Sub2&amp;"_"&amp;$A243,'Investment Strategies'!$T:$AF,11,FALSE),
IF(Investment_Strategy="DIY",DIY_GteeChrge_CurrentFunds,
"Error"))))))</f>
        <v>0</v>
      </c>
      <c r="G243" s="33">
        <f>IF(AV243=0,0,
IF(Investment_Strategy="DIS",VLOOKUP(Investment_Strategy&amp;"_"&amp;Investment_Strategy_Sub1&amp;"_"&amp;$A243,'Investment Strategies'!$AZ:$BP,17,FALSE),
IF(AND(Investment_Strategy="Lifecycle",Investment_Strategy_Sub1="Non-Standard"),VLOOKUP(Investment_Strategy&amp;"_"&amp;Investment_Strategy_Sub2&amp;"_"&amp;$A243,'Investment Strategies'!$C:$P,14,FALSE),
IF(AND(Investment_Strategy="Lifecycle",Investment_Strategy_Sub1="Standard"),VLOOKUP(Investment_Strategy&amp;"_"&amp;Investment_Strategy_Sub2&amp;"_"&amp;$A243,'Investment Strategies'!$AJ:$AV,13,FALSE),
IF(AND(Investment_Strategy="Autopilot",Investment_Strategy_Sub1="Non-Standard"),VLOOKUP(Investment_Strategy&amp;"_"&amp;Investment_Strategy_Sub2&amp;"_"&amp;$A243,'Investment Strategies'!$T:$AF,13,FALSE),
IF(Investment_Strategy="DIY",DIY_ExtManChrge_CurrentFunds,
"Error"))))))</f>
        <v>0</v>
      </c>
      <c r="H243" s="16">
        <f t="shared" si="129"/>
        <v>0</v>
      </c>
      <c r="I243" s="16">
        <f t="shared" si="113"/>
        <v>0</v>
      </c>
      <c r="J243" s="16">
        <f t="shared" si="114"/>
        <v>0</v>
      </c>
      <c r="K243" s="16">
        <f>(Opening_Fund_Value+SUM(K$91:K242))*E243*IF(D243=$A$91,SRP_finalmonthfactor,1)</f>
        <v>0</v>
      </c>
      <c r="L243" s="74">
        <f>MIN(IF($AV243=0,0,
IF(Investment_Strategy="DIS",VLOOKUP(Investment_Strategy&amp;"_"&amp;Investment_Strategy_Sub1&amp;"_"&amp;$A243,'Investment Strategies'!$AZ:$BP,12,FALSE),
IF(AND(Investment_Strategy="Lifecycle",Investment_Strategy_Sub1="Non-Standard"),VLOOKUP(Investment_Strategy&amp;"_"&amp;Investment_Strategy_Sub2&amp;"_"&amp;$A243,'Investment Strategies'!$C:$P,9,FALSE),
IF(AND(Investment_Strategy="Lifecycle",Investment_Strategy_Sub1="Standard"),VLOOKUP(Investment_Strategy&amp;"_"&amp;Investment_Strategy_Sub2&amp;"_"&amp;$A243,'Investment Strategies'!$AJ:$AV,8,FALSE),
IF(AND(Investment_Strategy="Autopilot",Investment_Strategy_Sub1="Non-Standard"),VLOOKUP(Investment_Strategy&amp;"_"&amp;Investment_Strategy_Sub2&amp;"_"&amp;$A243,'Investment Strategies'!$T:$AF,8,FALSE),
IF(Investment_Strategy ="DIY",DIY_RateofReturn_SP,
"Error")))))),Max_InvReturn)</f>
        <v>0</v>
      </c>
      <c r="M243" s="62">
        <f>IF($AV243=0,0,
IF(Investment_Strategy="DIS",VLOOKUP(Investment_Strategy&amp;"_"&amp;Investment_Strategy_Sub1&amp;"_"&amp;$A243,'Investment Strategies'!$AZ:$BP,15,FALSE),
IF(AND(Investment_Strategy="Lifecycle",Investment_Strategy_Sub1="Non-Standard"),VLOOKUP(Investment_Strategy&amp;"_"&amp;Investment_Strategy_Sub2&amp;"_"&amp;$A243,'Investment Strategies'!$C:$P,12,FALSE),
IF(AND(Investment_Strategy="Lifecycle",Investment_Strategy_Sub1="Standard"),VLOOKUP(Investment_Strategy&amp;"_"&amp;Investment_Strategy_Sub2&amp;"_"&amp;$A243,'Investment Strategies'!$AJ:$AV,11,FALSE),
IF(AND(Investment_Strategy="Autopilot",Investment_Strategy_Sub1="Non-Standard"),VLOOKUP(Investment_Strategy&amp;"_"&amp;Investment_Strategy_Sub2&amp;"_"&amp;$A243,'Investment Strategies'!$T:$AF,11,FALSE),
IF(Investment_Strategy="DIY",DIY_GteeChrge_SP,
"Error"))))))</f>
        <v>0</v>
      </c>
      <c r="N243" s="33">
        <f>IF($AV243=0,0,
IF(Investment_Strategy="DIS",VLOOKUP(Investment_Strategy&amp;"_"&amp;Investment_Strategy_Sub1&amp;"_"&amp;$A243,'Investment Strategies'!$AZ:$BP,17,FALSE),
IF(AND(Investment_Strategy="Lifecycle",Investment_Strategy_Sub1="Non-Standard"),VLOOKUP(Investment_Strategy&amp;"_"&amp;Investment_Strategy_Sub2&amp;"_"&amp;$A243,'Investment Strategies'!$C:$P,14,FALSE),
IF(AND(Investment_Strategy="Lifecycle",Investment_Strategy_Sub1="Standard"),VLOOKUP(Investment_Strategy&amp;"_"&amp;Investment_Strategy_Sub2&amp;"_"&amp;$A243,'Investment Strategies'!$AJ:$AV,13,FALSE),
IF(AND(Investment_Strategy="Autopilot",Investment_Strategy_Sub1="Non-Standard"),VLOOKUP(Investment_Strategy&amp;"_"&amp;Investment_Strategy_Sub2&amp;"_"&amp;$A243,'Investment Strategies'!$T:$AF,13,FALSE),
IF(Investment_Strategy="DIY",DIY_ExtManChrge_SP,
"Error"))))))</f>
        <v>0</v>
      </c>
      <c r="O243" s="16">
        <f t="shared" si="141"/>
        <v>0</v>
      </c>
      <c r="Q243" s="16">
        <f t="shared" si="115"/>
        <v>0</v>
      </c>
      <c r="R243" s="16">
        <f t="shared" si="116"/>
        <v>0</v>
      </c>
      <c r="S243" s="16">
        <f>(SRP_SP+SUM(S$91:S242))*L243*IF(D243=$A$91,SRP_finalmonthfactor,1)</f>
        <v>0</v>
      </c>
      <c r="T243" s="74">
        <f>MIN(IF($AV243=0,0,
IF(Investment_Strategy="DIS",VLOOKUP(Investment_Strategy&amp;"_"&amp;Investment_Strategy_Sub1&amp;"_"&amp;$A243,'Investment Strategies'!$AZ:$BP,12,FALSE),
IF(AND(Investment_Strategy="Lifecycle",Investment_Strategy_Sub1="Non-Standard"),VLOOKUP(Investment_Strategy&amp;"_"&amp;Investment_Strategy_Sub2&amp;"_"&amp;$A243,'Investment Strategies'!$C:$P,9,FALSE),
IF(AND(Investment_Strategy="Lifecycle",Investment_Strategy_Sub1="Standard"),VLOOKUP(Investment_Strategy&amp;"_"&amp;Investment_Strategy_Sub2&amp;"_"&amp;$A243,'Investment Strategies'!$AJ:$AV,8,FALSE),
IF(AND(Investment_Strategy="Autopilot",Investment_Strategy_Sub1="Non-Standard"),VLOOKUP(Investment_Strategy&amp;"_"&amp;Investment_Strategy_Sub2&amp;"_"&amp;$A243,'Investment Strategies'!$T:$AF,8,FALSE),
IF(Investment_Strategy ="DIY",DIY_RateOfReturn_FuturePremiums,
"Error")))))),Max_InvReturn)</f>
        <v>0</v>
      </c>
      <c r="U243" s="62">
        <f>IF($AV243=0,0,
IF(Investment_Strategy="DIS",VLOOKUP(Investment_Strategy&amp;"_"&amp;Investment_Strategy_Sub1&amp;"_"&amp;$A243,'Investment Strategies'!$AZ:$BP,15,FALSE),
IF(AND(Investment_Strategy="Lifecycle",Investment_Strategy_Sub1="Non-Standard"),VLOOKUP(Investment_Strategy&amp;"_"&amp;Investment_Strategy_Sub2&amp;"_"&amp;$A243,'Investment Strategies'!$C:$P,12,FALSE),
IF(AND(Investment_Strategy="Lifecycle",Investment_Strategy_Sub1="Standard"),VLOOKUP(Investment_Strategy&amp;"_"&amp;Investment_Strategy_Sub2&amp;"_"&amp;$A243,'Investment Strategies'!$AJ:$AV,11,FALSE),
IF(AND(Investment_Strategy="Autopilot",Investment_Strategy_Sub1="Non-Standard"),VLOOKUP(Investment_Strategy&amp;"_"&amp;Investment_Strategy_Sub2&amp;"_"&amp;$A243,'Investment Strategies'!$T:$AF,11,FALSE),
IF(Investment_Strategy="DIY",DIY_GteeChrge_FuturePremiums,
"Error"))))))</f>
        <v>0</v>
      </c>
      <c r="V243" s="33">
        <f>IF(AV243=0,0,
IF(Investment_Strategy="DIS",VLOOKUP(Investment_Strategy&amp;"_"&amp;Investment_Strategy_Sub1&amp;"_"&amp;$A243,'Investment Strategies'!$AZ:$BP,17,FALSE),
IF(AND(Investment_Strategy="Lifecycle",Investment_Strategy_Sub1="Non-Standard"),VLOOKUP(Investment_Strategy&amp;"_"&amp;Investment_Strategy_Sub2&amp;"_"&amp;$A243,'Investment Strategies'!$C:$P,14,FALSE),
IF(AND(Investment_Strategy="Lifecycle",Investment_Strategy_Sub1="Standard"),VLOOKUP(Investment_Strategy&amp;"_"&amp;Investment_Strategy_Sub2&amp;"_"&amp;$A243,'Investment Strategies'!$AJ:$AV,13,FALSE),
IF(AND(Investment_Strategy="Autopilot",Investment_Strategy_Sub1="Non-Standard"),VLOOKUP(Investment_Strategy&amp;"_"&amp;Investment_Strategy_Sub2&amp;"_"&amp;$A243,'Investment Strategies'!$T:$AF,13,FALSE),
IF(Investment_Strategy="DIY",DIY_ExtManChrge_FuturePremiums,
"Error"))))))</f>
        <v>0</v>
      </c>
      <c r="W243" s="16">
        <f t="shared" si="142"/>
        <v>0</v>
      </c>
      <c r="X243" s="16">
        <f t="shared" si="117"/>
        <v>0</v>
      </c>
      <c r="Y243" s="16">
        <f t="shared" si="118"/>
        <v>0</v>
      </c>
      <c r="Z243" s="31">
        <f t="shared" si="119"/>
        <v>0.02</v>
      </c>
      <c r="AA243" s="16">
        <f t="shared" si="120"/>
        <v>0</v>
      </c>
      <c r="AB243" s="28">
        <f t="shared" si="144"/>
        <v>0</v>
      </c>
      <c r="AC243" s="28">
        <f>(SUM($AC$91:AC242)+SUM($X$91:X242)+X243)*T243*IF(D243=$A$91,SRP_finalmonthfactor,1)</f>
        <v>0</v>
      </c>
      <c r="AD243" s="16">
        <f t="shared" si="121"/>
        <v>0</v>
      </c>
      <c r="AE243" s="106"/>
      <c r="AF243" s="16">
        <f t="shared" si="130"/>
        <v>0</v>
      </c>
      <c r="AG243" s="16">
        <f t="shared" si="131"/>
        <v>0</v>
      </c>
      <c r="AH243" s="16">
        <f t="shared" si="132"/>
        <v>0</v>
      </c>
      <c r="AJ243" s="13">
        <f t="shared" si="154"/>
        <v>0</v>
      </c>
      <c r="AK243" s="13">
        <f t="shared" si="154"/>
        <v>0</v>
      </c>
      <c r="AL243" s="13">
        <f t="shared" si="154"/>
        <v>0</v>
      </c>
      <c r="AM243" s="13">
        <f t="shared" si="154"/>
        <v>0</v>
      </c>
      <c r="AN243" s="13">
        <f t="shared" si="154"/>
        <v>0</v>
      </c>
      <c r="AO243" s="13">
        <f t="shared" si="154"/>
        <v>1</v>
      </c>
      <c r="AP243" s="13">
        <f t="shared" si="154"/>
        <v>1</v>
      </c>
      <c r="AQ243" s="13">
        <f t="shared" si="154"/>
        <v>1</v>
      </c>
      <c r="AR243" s="13">
        <f t="shared" si="154"/>
        <v>1</v>
      </c>
      <c r="AS243" s="13">
        <f t="shared" si="154"/>
        <v>1</v>
      </c>
      <c r="AT243" s="13">
        <f t="shared" si="154"/>
        <v>1</v>
      </c>
      <c r="AU243" s="13">
        <f t="shared" si="154"/>
        <v>1</v>
      </c>
      <c r="AV243" s="13">
        <f t="shared" si="122"/>
        <v>0</v>
      </c>
      <c r="AW243" s="13">
        <f t="shared" si="123"/>
        <v>1</v>
      </c>
      <c r="AY243" s="17">
        <f t="shared" si="124"/>
        <v>153</v>
      </c>
      <c r="AZ243" s="28">
        <f t="shared" si="133"/>
        <v>0</v>
      </c>
      <c r="BA243" s="13">
        <f t="shared" si="125"/>
        <v>0</v>
      </c>
      <c r="BB243" s="13">
        <f t="shared" si="126"/>
        <v>0</v>
      </c>
      <c r="BC243" s="28">
        <f t="shared" si="134"/>
        <v>0</v>
      </c>
      <c r="BD243" s="28">
        <f t="shared" si="135"/>
        <v>0</v>
      </c>
      <c r="BF243" s="248">
        <f t="shared" si="136"/>
        <v>993869.29442638322</v>
      </c>
      <c r="BG243" s="36">
        <f t="shared" si="145"/>
        <v>0</v>
      </c>
      <c r="BH243" s="36">
        <f t="shared" si="146"/>
        <v>871070.43781121413</v>
      </c>
      <c r="BI243" s="249">
        <f t="shared" si="147"/>
        <v>0</v>
      </c>
      <c r="BJ243" s="246">
        <f t="shared" si="148"/>
        <v>0</v>
      </c>
      <c r="BK243" s="246">
        <f t="shared" si="127"/>
        <v>7.531116566323881E-4</v>
      </c>
      <c r="BL243" s="246">
        <f t="shared" si="149"/>
        <v>0</v>
      </c>
      <c r="BM243" s="246">
        <f t="shared" si="150"/>
        <v>7.531116566323881E-4</v>
      </c>
      <c r="BN243" s="36">
        <f t="shared" si="137"/>
        <v>656.01330046350301</v>
      </c>
      <c r="BO243" s="36">
        <f t="shared" si="151"/>
        <v>0</v>
      </c>
      <c r="BP243" s="36">
        <f t="shared" si="152"/>
        <v>870414.42451075057</v>
      </c>
    </row>
    <row r="244" spans="1:68">
      <c r="A244" s="32">
        <f t="shared" si="138"/>
        <v>-69</v>
      </c>
      <c r="B244" s="32">
        <f t="shared" si="128"/>
        <v>65</v>
      </c>
      <c r="C244" s="32">
        <f t="shared" si="139"/>
        <v>13</v>
      </c>
      <c r="D244" s="32">
        <f t="shared" si="140"/>
        <v>154</v>
      </c>
      <c r="E244" s="74">
        <f>MIN(IF(AV244=0,0,
IF(Investment_Strategy="DIS",VLOOKUP(Investment_Strategy&amp;"_"&amp;Investment_Strategy_Sub1&amp;"_"&amp;$A244,'Investment Strategies'!$AZ:$BP,12,FALSE),
IF(AND(Investment_Strategy="Lifecycle",Investment_Strategy_Sub1="Non-Standard"),VLOOKUP(Investment_Strategy&amp;"_"&amp;Investment_Strategy_Sub2&amp;"_"&amp;$A244,'Investment Strategies'!$C:$P,9,FALSE),
IF(AND(Investment_Strategy="Lifecycle",Investment_Strategy_Sub1="Standard"),VLOOKUP(Investment_Strategy&amp;"_"&amp;Investment_Strategy_Sub2&amp;"_"&amp;$A244,'Investment Strategies'!$AJ:$AV,8,FALSE),
IF(AND(Investment_Strategy="Autopilot",Investment_Strategy_Sub1="Non-Standard"),VLOOKUP(Investment_Strategy&amp;"_"&amp;Investment_Strategy_Sub2&amp;"_"&amp;$A244,'Investment Strategies'!$T:$AF,8,FALSE),
IF(Investment_Strategy ="DIY",DIY_RateOfReturn_CurrentFunds,
"Error")))))),Max_InvReturn)</f>
        <v>0</v>
      </c>
      <c r="F244" s="62">
        <f>IF(AV244=0,0,
IF(Investment_Strategy="DIS",VLOOKUP(Investment_Strategy&amp;"_"&amp;Investment_Strategy_Sub1&amp;"_"&amp;$A244,'Investment Strategies'!$AZ:$BP,15,FALSE),
IF(AND(Investment_Strategy="Lifecycle",Investment_Strategy_Sub1="Non-Standard"),VLOOKUP(Investment_Strategy&amp;"_"&amp;Investment_Strategy_Sub2&amp;"_"&amp;$A244,'Investment Strategies'!$C:$P,12,FALSE),
IF(AND(Investment_Strategy="Lifecycle",Investment_Strategy_Sub1="Standard"),VLOOKUP(Investment_Strategy&amp;"_"&amp;Investment_Strategy_Sub2&amp;"_"&amp;$A244,'Investment Strategies'!$AJ:$AV,11,FALSE),
IF(AND(Investment_Strategy="Autopilot",Investment_Strategy_Sub1="Non-Standard"),VLOOKUP(Investment_Strategy&amp;"_"&amp;Investment_Strategy_Sub2&amp;"_"&amp;$A244,'Investment Strategies'!$T:$AF,11,FALSE),
IF(Investment_Strategy="DIY",DIY_GteeChrge_CurrentFunds,
"Error"))))))</f>
        <v>0</v>
      </c>
      <c r="G244" s="33">
        <f>IF(AV244=0,0,
IF(Investment_Strategy="DIS",VLOOKUP(Investment_Strategy&amp;"_"&amp;Investment_Strategy_Sub1&amp;"_"&amp;$A244,'Investment Strategies'!$AZ:$BP,17,FALSE),
IF(AND(Investment_Strategy="Lifecycle",Investment_Strategy_Sub1="Non-Standard"),VLOOKUP(Investment_Strategy&amp;"_"&amp;Investment_Strategy_Sub2&amp;"_"&amp;$A244,'Investment Strategies'!$C:$P,14,FALSE),
IF(AND(Investment_Strategy="Lifecycle",Investment_Strategy_Sub1="Standard"),VLOOKUP(Investment_Strategy&amp;"_"&amp;Investment_Strategy_Sub2&amp;"_"&amp;$A244,'Investment Strategies'!$AJ:$AV,13,FALSE),
IF(AND(Investment_Strategy="Autopilot",Investment_Strategy_Sub1="Non-Standard"),VLOOKUP(Investment_Strategy&amp;"_"&amp;Investment_Strategy_Sub2&amp;"_"&amp;$A244,'Investment Strategies'!$T:$AF,13,FALSE),
IF(Investment_Strategy="DIY",DIY_ExtManChrge_CurrentFunds,
"Error"))))))</f>
        <v>0</v>
      </c>
      <c r="H244" s="16">
        <f t="shared" si="129"/>
        <v>0</v>
      </c>
      <c r="I244" s="16">
        <f t="shared" si="113"/>
        <v>0</v>
      </c>
      <c r="J244" s="16">
        <f t="shared" si="114"/>
        <v>0</v>
      </c>
      <c r="K244" s="16">
        <f>(Opening_Fund_Value+SUM(K$91:K243))*E244*IF(D244=$A$91,SRP_finalmonthfactor,1)</f>
        <v>0</v>
      </c>
      <c r="L244" s="74">
        <f>MIN(IF($AV244=0,0,
IF(Investment_Strategy="DIS",VLOOKUP(Investment_Strategy&amp;"_"&amp;Investment_Strategy_Sub1&amp;"_"&amp;$A244,'Investment Strategies'!$AZ:$BP,12,FALSE),
IF(AND(Investment_Strategy="Lifecycle",Investment_Strategy_Sub1="Non-Standard"),VLOOKUP(Investment_Strategy&amp;"_"&amp;Investment_Strategy_Sub2&amp;"_"&amp;$A244,'Investment Strategies'!$C:$P,9,FALSE),
IF(AND(Investment_Strategy="Lifecycle",Investment_Strategy_Sub1="Standard"),VLOOKUP(Investment_Strategy&amp;"_"&amp;Investment_Strategy_Sub2&amp;"_"&amp;$A244,'Investment Strategies'!$AJ:$AV,8,FALSE),
IF(AND(Investment_Strategy="Autopilot",Investment_Strategy_Sub1="Non-Standard"),VLOOKUP(Investment_Strategy&amp;"_"&amp;Investment_Strategy_Sub2&amp;"_"&amp;$A244,'Investment Strategies'!$T:$AF,8,FALSE),
IF(Investment_Strategy ="DIY",DIY_RateofReturn_SP,
"Error")))))),Max_InvReturn)</f>
        <v>0</v>
      </c>
      <c r="M244" s="62">
        <f>IF($AV244=0,0,
IF(Investment_Strategy="DIS",VLOOKUP(Investment_Strategy&amp;"_"&amp;Investment_Strategy_Sub1&amp;"_"&amp;$A244,'Investment Strategies'!$AZ:$BP,15,FALSE),
IF(AND(Investment_Strategy="Lifecycle",Investment_Strategy_Sub1="Non-Standard"),VLOOKUP(Investment_Strategy&amp;"_"&amp;Investment_Strategy_Sub2&amp;"_"&amp;$A244,'Investment Strategies'!$C:$P,12,FALSE),
IF(AND(Investment_Strategy="Lifecycle",Investment_Strategy_Sub1="Standard"),VLOOKUP(Investment_Strategy&amp;"_"&amp;Investment_Strategy_Sub2&amp;"_"&amp;$A244,'Investment Strategies'!$AJ:$AV,11,FALSE),
IF(AND(Investment_Strategy="Autopilot",Investment_Strategy_Sub1="Non-Standard"),VLOOKUP(Investment_Strategy&amp;"_"&amp;Investment_Strategy_Sub2&amp;"_"&amp;$A244,'Investment Strategies'!$T:$AF,11,FALSE),
IF(Investment_Strategy="DIY",DIY_GteeChrge_SP,
"Error"))))))</f>
        <v>0</v>
      </c>
      <c r="N244" s="33">
        <f>IF($AV244=0,0,
IF(Investment_Strategy="DIS",VLOOKUP(Investment_Strategy&amp;"_"&amp;Investment_Strategy_Sub1&amp;"_"&amp;$A244,'Investment Strategies'!$AZ:$BP,17,FALSE),
IF(AND(Investment_Strategy="Lifecycle",Investment_Strategy_Sub1="Non-Standard"),VLOOKUP(Investment_Strategy&amp;"_"&amp;Investment_Strategy_Sub2&amp;"_"&amp;$A244,'Investment Strategies'!$C:$P,14,FALSE),
IF(AND(Investment_Strategy="Lifecycle",Investment_Strategy_Sub1="Standard"),VLOOKUP(Investment_Strategy&amp;"_"&amp;Investment_Strategy_Sub2&amp;"_"&amp;$A244,'Investment Strategies'!$AJ:$AV,13,FALSE),
IF(AND(Investment_Strategy="Autopilot",Investment_Strategy_Sub1="Non-Standard"),VLOOKUP(Investment_Strategy&amp;"_"&amp;Investment_Strategy_Sub2&amp;"_"&amp;$A244,'Investment Strategies'!$T:$AF,13,FALSE),
IF(Investment_Strategy="DIY",DIY_ExtManChrge_SP,
"Error"))))))</f>
        <v>0</v>
      </c>
      <c r="O244" s="16">
        <f t="shared" si="141"/>
        <v>0</v>
      </c>
      <c r="Q244" s="16">
        <f t="shared" si="115"/>
        <v>0</v>
      </c>
      <c r="R244" s="16">
        <f t="shared" si="116"/>
        <v>0</v>
      </c>
      <c r="S244" s="16">
        <f>(SRP_SP+SUM(S$91:S243))*L244*IF(D244=$A$91,SRP_finalmonthfactor,1)</f>
        <v>0</v>
      </c>
      <c r="T244" s="74">
        <f>MIN(IF($AV244=0,0,
IF(Investment_Strategy="DIS",VLOOKUP(Investment_Strategy&amp;"_"&amp;Investment_Strategy_Sub1&amp;"_"&amp;$A244,'Investment Strategies'!$AZ:$BP,12,FALSE),
IF(AND(Investment_Strategy="Lifecycle",Investment_Strategy_Sub1="Non-Standard"),VLOOKUP(Investment_Strategy&amp;"_"&amp;Investment_Strategy_Sub2&amp;"_"&amp;$A244,'Investment Strategies'!$C:$P,9,FALSE),
IF(AND(Investment_Strategy="Lifecycle",Investment_Strategy_Sub1="Standard"),VLOOKUP(Investment_Strategy&amp;"_"&amp;Investment_Strategy_Sub2&amp;"_"&amp;$A244,'Investment Strategies'!$AJ:$AV,8,FALSE),
IF(AND(Investment_Strategy="Autopilot",Investment_Strategy_Sub1="Non-Standard"),VLOOKUP(Investment_Strategy&amp;"_"&amp;Investment_Strategy_Sub2&amp;"_"&amp;$A244,'Investment Strategies'!$T:$AF,8,FALSE),
IF(Investment_Strategy ="DIY",DIY_RateOfReturn_FuturePremiums,
"Error")))))),Max_InvReturn)</f>
        <v>0</v>
      </c>
      <c r="U244" s="62">
        <f>IF($AV244=0,0,
IF(Investment_Strategy="DIS",VLOOKUP(Investment_Strategy&amp;"_"&amp;Investment_Strategy_Sub1&amp;"_"&amp;$A244,'Investment Strategies'!$AZ:$BP,15,FALSE),
IF(AND(Investment_Strategy="Lifecycle",Investment_Strategy_Sub1="Non-Standard"),VLOOKUP(Investment_Strategy&amp;"_"&amp;Investment_Strategy_Sub2&amp;"_"&amp;$A244,'Investment Strategies'!$C:$P,12,FALSE),
IF(AND(Investment_Strategy="Lifecycle",Investment_Strategy_Sub1="Standard"),VLOOKUP(Investment_Strategy&amp;"_"&amp;Investment_Strategy_Sub2&amp;"_"&amp;$A244,'Investment Strategies'!$AJ:$AV,11,FALSE),
IF(AND(Investment_Strategy="Autopilot",Investment_Strategy_Sub1="Non-Standard"),VLOOKUP(Investment_Strategy&amp;"_"&amp;Investment_Strategy_Sub2&amp;"_"&amp;$A244,'Investment Strategies'!$T:$AF,11,FALSE),
IF(Investment_Strategy="DIY",DIY_GteeChrge_FuturePremiums,
"Error"))))))</f>
        <v>0</v>
      </c>
      <c r="V244" s="33">
        <f>IF(AV244=0,0,
IF(Investment_Strategy="DIS",VLOOKUP(Investment_Strategy&amp;"_"&amp;Investment_Strategy_Sub1&amp;"_"&amp;$A244,'Investment Strategies'!$AZ:$BP,17,FALSE),
IF(AND(Investment_Strategy="Lifecycle",Investment_Strategy_Sub1="Non-Standard"),VLOOKUP(Investment_Strategy&amp;"_"&amp;Investment_Strategy_Sub2&amp;"_"&amp;$A244,'Investment Strategies'!$C:$P,14,FALSE),
IF(AND(Investment_Strategy="Lifecycle",Investment_Strategy_Sub1="Standard"),VLOOKUP(Investment_Strategy&amp;"_"&amp;Investment_Strategy_Sub2&amp;"_"&amp;$A244,'Investment Strategies'!$AJ:$AV,13,FALSE),
IF(AND(Investment_Strategy="Autopilot",Investment_Strategy_Sub1="Non-Standard"),VLOOKUP(Investment_Strategy&amp;"_"&amp;Investment_Strategy_Sub2&amp;"_"&amp;$A244,'Investment Strategies'!$T:$AF,13,FALSE),
IF(Investment_Strategy="DIY",DIY_ExtManChrge_FuturePremiums,
"Error"))))))</f>
        <v>0</v>
      </c>
      <c r="W244" s="16">
        <f t="shared" si="142"/>
        <v>0</v>
      </c>
      <c r="X244" s="16">
        <f t="shared" si="117"/>
        <v>0</v>
      </c>
      <c r="Y244" s="16">
        <f t="shared" si="118"/>
        <v>0</v>
      </c>
      <c r="Z244" s="31">
        <f t="shared" si="119"/>
        <v>0.02</v>
      </c>
      <c r="AA244" s="16">
        <f t="shared" si="120"/>
        <v>0</v>
      </c>
      <c r="AB244" s="28">
        <f t="shared" si="144"/>
        <v>0</v>
      </c>
      <c r="AC244" s="28">
        <f>(SUM($AC$91:AC243)+SUM($X$91:X243)+X244)*T244*IF(D244=$A$91,SRP_finalmonthfactor,1)</f>
        <v>0</v>
      </c>
      <c r="AD244" s="16">
        <f t="shared" si="121"/>
        <v>0</v>
      </c>
      <c r="AE244" s="106"/>
      <c r="AF244" s="16">
        <f t="shared" si="130"/>
        <v>0</v>
      </c>
      <c r="AG244" s="16">
        <f t="shared" si="131"/>
        <v>0</v>
      </c>
      <c r="AH244" s="16">
        <f t="shared" si="132"/>
        <v>0</v>
      </c>
      <c r="AJ244" s="13">
        <f t="shared" si="154"/>
        <v>0</v>
      </c>
      <c r="AK244" s="13">
        <f t="shared" si="154"/>
        <v>0</v>
      </c>
      <c r="AL244" s="13">
        <f t="shared" si="154"/>
        <v>0</v>
      </c>
      <c r="AM244" s="13">
        <f t="shared" si="154"/>
        <v>0</v>
      </c>
      <c r="AN244" s="13">
        <f t="shared" si="154"/>
        <v>0</v>
      </c>
      <c r="AO244" s="13">
        <f t="shared" si="154"/>
        <v>1</v>
      </c>
      <c r="AP244" s="13">
        <f t="shared" si="154"/>
        <v>1</v>
      </c>
      <c r="AQ244" s="13">
        <f t="shared" si="154"/>
        <v>1</v>
      </c>
      <c r="AR244" s="13">
        <f t="shared" si="154"/>
        <v>1</v>
      </c>
      <c r="AS244" s="13">
        <f t="shared" si="154"/>
        <v>1</v>
      </c>
      <c r="AT244" s="13">
        <f t="shared" si="154"/>
        <v>1</v>
      </c>
      <c r="AU244" s="13">
        <f t="shared" si="154"/>
        <v>1</v>
      </c>
      <c r="AV244" s="13">
        <f t="shared" si="122"/>
        <v>0</v>
      </c>
      <c r="AW244" s="13">
        <f t="shared" si="123"/>
        <v>1</v>
      </c>
      <c r="AY244" s="17">
        <f t="shared" si="124"/>
        <v>154</v>
      </c>
      <c r="AZ244" s="28">
        <f t="shared" si="133"/>
        <v>0</v>
      </c>
      <c r="BA244" s="13">
        <f t="shared" si="125"/>
        <v>0</v>
      </c>
      <c r="BB244" s="13">
        <f t="shared" si="126"/>
        <v>0</v>
      </c>
      <c r="BC244" s="28">
        <f t="shared" si="134"/>
        <v>0</v>
      </c>
      <c r="BD244" s="28">
        <f t="shared" si="135"/>
        <v>0</v>
      </c>
      <c r="BF244" s="248">
        <f t="shared" si="136"/>
        <v>993869.29442638322</v>
      </c>
      <c r="BG244" s="36">
        <f t="shared" si="145"/>
        <v>0</v>
      </c>
      <c r="BH244" s="36">
        <f t="shared" si="146"/>
        <v>870414.42451075057</v>
      </c>
      <c r="BI244" s="249">
        <f t="shared" si="147"/>
        <v>0</v>
      </c>
      <c r="BJ244" s="246">
        <f t="shared" si="148"/>
        <v>0</v>
      </c>
      <c r="BK244" s="246">
        <f t="shared" si="127"/>
        <v>7.531116566323881E-4</v>
      </c>
      <c r="BL244" s="246">
        <f t="shared" si="149"/>
        <v>0</v>
      </c>
      <c r="BM244" s="246">
        <f t="shared" si="150"/>
        <v>7.531116566323881E-4</v>
      </c>
      <c r="BN244" s="36">
        <f t="shared" si="137"/>
        <v>655.51924920001807</v>
      </c>
      <c r="BO244" s="36">
        <f t="shared" si="151"/>
        <v>0</v>
      </c>
      <c r="BP244" s="36">
        <f t="shared" si="152"/>
        <v>869758.90526155056</v>
      </c>
    </row>
    <row r="245" spans="1:68">
      <c r="A245" s="32">
        <f t="shared" si="138"/>
        <v>-70</v>
      </c>
      <c r="B245" s="32">
        <f t="shared" si="128"/>
        <v>65</v>
      </c>
      <c r="C245" s="32">
        <f t="shared" si="139"/>
        <v>13</v>
      </c>
      <c r="D245" s="32">
        <f t="shared" si="140"/>
        <v>155</v>
      </c>
      <c r="E245" s="74">
        <f>MIN(IF(AV245=0,0,
IF(Investment_Strategy="DIS",VLOOKUP(Investment_Strategy&amp;"_"&amp;Investment_Strategy_Sub1&amp;"_"&amp;$A245,'Investment Strategies'!$AZ:$BP,12,FALSE),
IF(AND(Investment_Strategy="Lifecycle",Investment_Strategy_Sub1="Non-Standard"),VLOOKUP(Investment_Strategy&amp;"_"&amp;Investment_Strategy_Sub2&amp;"_"&amp;$A245,'Investment Strategies'!$C:$P,9,FALSE),
IF(AND(Investment_Strategy="Lifecycle",Investment_Strategy_Sub1="Standard"),VLOOKUP(Investment_Strategy&amp;"_"&amp;Investment_Strategy_Sub2&amp;"_"&amp;$A245,'Investment Strategies'!$AJ:$AV,8,FALSE),
IF(AND(Investment_Strategy="Autopilot",Investment_Strategy_Sub1="Non-Standard"),VLOOKUP(Investment_Strategy&amp;"_"&amp;Investment_Strategy_Sub2&amp;"_"&amp;$A245,'Investment Strategies'!$T:$AF,8,FALSE),
IF(Investment_Strategy ="DIY",DIY_RateOfReturn_CurrentFunds,
"Error")))))),Max_InvReturn)</f>
        <v>0</v>
      </c>
      <c r="F245" s="62">
        <f>IF(AV245=0,0,
IF(Investment_Strategy="DIS",VLOOKUP(Investment_Strategy&amp;"_"&amp;Investment_Strategy_Sub1&amp;"_"&amp;$A245,'Investment Strategies'!$AZ:$BP,15,FALSE),
IF(AND(Investment_Strategy="Lifecycle",Investment_Strategy_Sub1="Non-Standard"),VLOOKUP(Investment_Strategy&amp;"_"&amp;Investment_Strategy_Sub2&amp;"_"&amp;$A245,'Investment Strategies'!$C:$P,12,FALSE),
IF(AND(Investment_Strategy="Lifecycle",Investment_Strategy_Sub1="Standard"),VLOOKUP(Investment_Strategy&amp;"_"&amp;Investment_Strategy_Sub2&amp;"_"&amp;$A245,'Investment Strategies'!$AJ:$AV,11,FALSE),
IF(AND(Investment_Strategy="Autopilot",Investment_Strategy_Sub1="Non-Standard"),VLOOKUP(Investment_Strategy&amp;"_"&amp;Investment_Strategy_Sub2&amp;"_"&amp;$A245,'Investment Strategies'!$T:$AF,11,FALSE),
IF(Investment_Strategy="DIY",DIY_GteeChrge_CurrentFunds,
"Error"))))))</f>
        <v>0</v>
      </c>
      <c r="G245" s="33">
        <f>IF(AV245=0,0,
IF(Investment_Strategy="DIS",VLOOKUP(Investment_Strategy&amp;"_"&amp;Investment_Strategy_Sub1&amp;"_"&amp;$A245,'Investment Strategies'!$AZ:$BP,17,FALSE),
IF(AND(Investment_Strategy="Lifecycle",Investment_Strategy_Sub1="Non-Standard"),VLOOKUP(Investment_Strategy&amp;"_"&amp;Investment_Strategy_Sub2&amp;"_"&amp;$A245,'Investment Strategies'!$C:$P,14,FALSE),
IF(AND(Investment_Strategy="Lifecycle",Investment_Strategy_Sub1="Standard"),VLOOKUP(Investment_Strategy&amp;"_"&amp;Investment_Strategy_Sub2&amp;"_"&amp;$A245,'Investment Strategies'!$AJ:$AV,13,FALSE),
IF(AND(Investment_Strategy="Autopilot",Investment_Strategy_Sub1="Non-Standard"),VLOOKUP(Investment_Strategy&amp;"_"&amp;Investment_Strategy_Sub2&amp;"_"&amp;$A245,'Investment Strategies'!$T:$AF,13,FALSE),
IF(Investment_Strategy="DIY",DIY_ExtManChrge_CurrentFunds,
"Error"))))))</f>
        <v>0</v>
      </c>
      <c r="H245" s="16">
        <f t="shared" si="129"/>
        <v>0</v>
      </c>
      <c r="I245" s="16">
        <f t="shared" si="113"/>
        <v>0</v>
      </c>
      <c r="J245" s="16">
        <f t="shared" si="114"/>
        <v>0</v>
      </c>
      <c r="K245" s="16">
        <f>(Opening_Fund_Value+SUM(K$91:K244))*E245*IF(D245=$A$91,SRP_finalmonthfactor,1)</f>
        <v>0</v>
      </c>
      <c r="L245" s="74">
        <f>MIN(IF($AV245=0,0,
IF(Investment_Strategy="DIS",VLOOKUP(Investment_Strategy&amp;"_"&amp;Investment_Strategy_Sub1&amp;"_"&amp;$A245,'Investment Strategies'!$AZ:$BP,12,FALSE),
IF(AND(Investment_Strategy="Lifecycle",Investment_Strategy_Sub1="Non-Standard"),VLOOKUP(Investment_Strategy&amp;"_"&amp;Investment_Strategy_Sub2&amp;"_"&amp;$A245,'Investment Strategies'!$C:$P,9,FALSE),
IF(AND(Investment_Strategy="Lifecycle",Investment_Strategy_Sub1="Standard"),VLOOKUP(Investment_Strategy&amp;"_"&amp;Investment_Strategy_Sub2&amp;"_"&amp;$A245,'Investment Strategies'!$AJ:$AV,8,FALSE),
IF(AND(Investment_Strategy="Autopilot",Investment_Strategy_Sub1="Non-Standard"),VLOOKUP(Investment_Strategy&amp;"_"&amp;Investment_Strategy_Sub2&amp;"_"&amp;$A245,'Investment Strategies'!$T:$AF,8,FALSE),
IF(Investment_Strategy ="DIY",DIY_RateofReturn_SP,
"Error")))))),Max_InvReturn)</f>
        <v>0</v>
      </c>
      <c r="M245" s="62">
        <f>IF($AV245=0,0,
IF(Investment_Strategy="DIS",VLOOKUP(Investment_Strategy&amp;"_"&amp;Investment_Strategy_Sub1&amp;"_"&amp;$A245,'Investment Strategies'!$AZ:$BP,15,FALSE),
IF(AND(Investment_Strategy="Lifecycle",Investment_Strategy_Sub1="Non-Standard"),VLOOKUP(Investment_Strategy&amp;"_"&amp;Investment_Strategy_Sub2&amp;"_"&amp;$A245,'Investment Strategies'!$C:$P,12,FALSE),
IF(AND(Investment_Strategy="Lifecycle",Investment_Strategy_Sub1="Standard"),VLOOKUP(Investment_Strategy&amp;"_"&amp;Investment_Strategy_Sub2&amp;"_"&amp;$A245,'Investment Strategies'!$AJ:$AV,11,FALSE),
IF(AND(Investment_Strategy="Autopilot",Investment_Strategy_Sub1="Non-Standard"),VLOOKUP(Investment_Strategy&amp;"_"&amp;Investment_Strategy_Sub2&amp;"_"&amp;$A245,'Investment Strategies'!$T:$AF,11,FALSE),
IF(Investment_Strategy="DIY",DIY_GteeChrge_SP,
"Error"))))))</f>
        <v>0</v>
      </c>
      <c r="N245" s="33">
        <f>IF($AV245=0,0,
IF(Investment_Strategy="DIS",VLOOKUP(Investment_Strategy&amp;"_"&amp;Investment_Strategy_Sub1&amp;"_"&amp;$A245,'Investment Strategies'!$AZ:$BP,17,FALSE),
IF(AND(Investment_Strategy="Lifecycle",Investment_Strategy_Sub1="Non-Standard"),VLOOKUP(Investment_Strategy&amp;"_"&amp;Investment_Strategy_Sub2&amp;"_"&amp;$A245,'Investment Strategies'!$C:$P,14,FALSE),
IF(AND(Investment_Strategy="Lifecycle",Investment_Strategy_Sub1="Standard"),VLOOKUP(Investment_Strategy&amp;"_"&amp;Investment_Strategy_Sub2&amp;"_"&amp;$A245,'Investment Strategies'!$AJ:$AV,13,FALSE),
IF(AND(Investment_Strategy="Autopilot",Investment_Strategy_Sub1="Non-Standard"),VLOOKUP(Investment_Strategy&amp;"_"&amp;Investment_Strategy_Sub2&amp;"_"&amp;$A245,'Investment Strategies'!$T:$AF,13,FALSE),
IF(Investment_Strategy="DIY",DIY_ExtManChrge_SP,
"Error"))))))</f>
        <v>0</v>
      </c>
      <c r="O245" s="16">
        <f t="shared" si="141"/>
        <v>0</v>
      </c>
      <c r="Q245" s="16">
        <f t="shared" si="115"/>
        <v>0</v>
      </c>
      <c r="R245" s="16">
        <f t="shared" si="116"/>
        <v>0</v>
      </c>
      <c r="S245" s="16">
        <f>(SRP_SP+SUM(S$91:S244))*L245*IF(D245=$A$91,SRP_finalmonthfactor,1)</f>
        <v>0</v>
      </c>
      <c r="T245" s="74">
        <f>MIN(IF($AV245=0,0,
IF(Investment_Strategy="DIS",VLOOKUP(Investment_Strategy&amp;"_"&amp;Investment_Strategy_Sub1&amp;"_"&amp;$A245,'Investment Strategies'!$AZ:$BP,12,FALSE),
IF(AND(Investment_Strategy="Lifecycle",Investment_Strategy_Sub1="Non-Standard"),VLOOKUP(Investment_Strategy&amp;"_"&amp;Investment_Strategy_Sub2&amp;"_"&amp;$A245,'Investment Strategies'!$C:$P,9,FALSE),
IF(AND(Investment_Strategy="Lifecycle",Investment_Strategy_Sub1="Standard"),VLOOKUP(Investment_Strategy&amp;"_"&amp;Investment_Strategy_Sub2&amp;"_"&amp;$A245,'Investment Strategies'!$AJ:$AV,8,FALSE),
IF(AND(Investment_Strategy="Autopilot",Investment_Strategy_Sub1="Non-Standard"),VLOOKUP(Investment_Strategy&amp;"_"&amp;Investment_Strategy_Sub2&amp;"_"&amp;$A245,'Investment Strategies'!$T:$AF,8,FALSE),
IF(Investment_Strategy ="DIY",DIY_RateOfReturn_FuturePremiums,
"Error")))))),Max_InvReturn)</f>
        <v>0</v>
      </c>
      <c r="U245" s="62">
        <f>IF($AV245=0,0,
IF(Investment_Strategy="DIS",VLOOKUP(Investment_Strategy&amp;"_"&amp;Investment_Strategy_Sub1&amp;"_"&amp;$A245,'Investment Strategies'!$AZ:$BP,15,FALSE),
IF(AND(Investment_Strategy="Lifecycle",Investment_Strategy_Sub1="Non-Standard"),VLOOKUP(Investment_Strategy&amp;"_"&amp;Investment_Strategy_Sub2&amp;"_"&amp;$A245,'Investment Strategies'!$C:$P,12,FALSE),
IF(AND(Investment_Strategy="Lifecycle",Investment_Strategy_Sub1="Standard"),VLOOKUP(Investment_Strategy&amp;"_"&amp;Investment_Strategy_Sub2&amp;"_"&amp;$A245,'Investment Strategies'!$AJ:$AV,11,FALSE),
IF(AND(Investment_Strategy="Autopilot",Investment_Strategy_Sub1="Non-Standard"),VLOOKUP(Investment_Strategy&amp;"_"&amp;Investment_Strategy_Sub2&amp;"_"&amp;$A245,'Investment Strategies'!$T:$AF,11,FALSE),
IF(Investment_Strategy="DIY",DIY_GteeChrge_FuturePremiums,
"Error"))))))</f>
        <v>0</v>
      </c>
      <c r="V245" s="33">
        <f>IF(AV245=0,0,
IF(Investment_Strategy="DIS",VLOOKUP(Investment_Strategy&amp;"_"&amp;Investment_Strategy_Sub1&amp;"_"&amp;$A245,'Investment Strategies'!$AZ:$BP,17,FALSE),
IF(AND(Investment_Strategy="Lifecycle",Investment_Strategy_Sub1="Non-Standard"),VLOOKUP(Investment_Strategy&amp;"_"&amp;Investment_Strategy_Sub2&amp;"_"&amp;$A245,'Investment Strategies'!$C:$P,14,FALSE),
IF(AND(Investment_Strategy="Lifecycle",Investment_Strategy_Sub1="Standard"),VLOOKUP(Investment_Strategy&amp;"_"&amp;Investment_Strategy_Sub2&amp;"_"&amp;$A245,'Investment Strategies'!$AJ:$AV,13,FALSE),
IF(AND(Investment_Strategy="Autopilot",Investment_Strategy_Sub1="Non-Standard"),VLOOKUP(Investment_Strategy&amp;"_"&amp;Investment_Strategy_Sub2&amp;"_"&amp;$A245,'Investment Strategies'!$T:$AF,13,FALSE),
IF(Investment_Strategy="DIY",DIY_ExtManChrge_FuturePremiums,
"Error"))))))</f>
        <v>0</v>
      </c>
      <c r="W245" s="16">
        <f t="shared" si="142"/>
        <v>0</v>
      </c>
      <c r="X245" s="16">
        <f t="shared" si="117"/>
        <v>0</v>
      </c>
      <c r="Y245" s="16">
        <f t="shared" si="118"/>
        <v>0</v>
      </c>
      <c r="Z245" s="31">
        <f t="shared" si="119"/>
        <v>0.02</v>
      </c>
      <c r="AA245" s="16">
        <f t="shared" si="120"/>
        <v>0</v>
      </c>
      <c r="AB245" s="28">
        <f t="shared" si="144"/>
        <v>0</v>
      </c>
      <c r="AC245" s="28">
        <f>(SUM($AC$91:AC244)+SUM($X$91:X244)+X245)*T245*IF(D245=$A$91,SRP_finalmonthfactor,1)</f>
        <v>0</v>
      </c>
      <c r="AD245" s="16">
        <f t="shared" si="121"/>
        <v>0</v>
      </c>
      <c r="AE245" s="106"/>
      <c r="AF245" s="16">
        <f t="shared" si="130"/>
        <v>0</v>
      </c>
      <c r="AG245" s="16">
        <f t="shared" si="131"/>
        <v>0</v>
      </c>
      <c r="AH245" s="16">
        <f t="shared" si="132"/>
        <v>0</v>
      </c>
      <c r="AJ245" s="13">
        <f t="shared" si="154"/>
        <v>0</v>
      </c>
      <c r="AK245" s="13">
        <f t="shared" si="154"/>
        <v>0</v>
      </c>
      <c r="AL245" s="13">
        <f t="shared" si="154"/>
        <v>0</v>
      </c>
      <c r="AM245" s="13">
        <f t="shared" si="154"/>
        <v>0</v>
      </c>
      <c r="AN245" s="13">
        <f t="shared" si="154"/>
        <v>0</v>
      </c>
      <c r="AO245" s="13">
        <f t="shared" si="154"/>
        <v>1</v>
      </c>
      <c r="AP245" s="13">
        <f t="shared" si="154"/>
        <v>1</v>
      </c>
      <c r="AQ245" s="13">
        <f t="shared" si="154"/>
        <v>1</v>
      </c>
      <c r="AR245" s="13">
        <f t="shared" si="154"/>
        <v>1</v>
      </c>
      <c r="AS245" s="13">
        <f t="shared" si="154"/>
        <v>1</v>
      </c>
      <c r="AT245" s="13">
        <f t="shared" si="154"/>
        <v>1</v>
      </c>
      <c r="AU245" s="13">
        <f t="shared" si="154"/>
        <v>1</v>
      </c>
      <c r="AV245" s="13">
        <f t="shared" si="122"/>
        <v>0</v>
      </c>
      <c r="AW245" s="13">
        <f t="shared" si="123"/>
        <v>1</v>
      </c>
      <c r="AY245" s="17">
        <f t="shared" si="124"/>
        <v>155</v>
      </c>
      <c r="AZ245" s="28">
        <f t="shared" si="133"/>
        <v>0</v>
      </c>
      <c r="BA245" s="13">
        <f t="shared" si="125"/>
        <v>0</v>
      </c>
      <c r="BB245" s="13">
        <f t="shared" si="126"/>
        <v>0</v>
      </c>
      <c r="BC245" s="28">
        <f t="shared" si="134"/>
        <v>0</v>
      </c>
      <c r="BD245" s="28">
        <f t="shared" si="135"/>
        <v>0</v>
      </c>
      <c r="BF245" s="248">
        <f t="shared" si="136"/>
        <v>993869.29442638322</v>
      </c>
      <c r="BG245" s="36">
        <f t="shared" si="145"/>
        <v>0</v>
      </c>
      <c r="BH245" s="36">
        <f t="shared" si="146"/>
        <v>869758.90526155056</v>
      </c>
      <c r="BI245" s="249">
        <f t="shared" si="147"/>
        <v>0</v>
      </c>
      <c r="BJ245" s="246">
        <f t="shared" si="148"/>
        <v>0</v>
      </c>
      <c r="BK245" s="246">
        <f t="shared" si="127"/>
        <v>7.531116566323881E-4</v>
      </c>
      <c r="BL245" s="246">
        <f t="shared" si="149"/>
        <v>0</v>
      </c>
      <c r="BM245" s="246">
        <f t="shared" si="150"/>
        <v>7.531116566323881E-4</v>
      </c>
      <c r="BN245" s="36">
        <f t="shared" si="137"/>
        <v>655.02557001229866</v>
      </c>
      <c r="BO245" s="36">
        <f t="shared" si="151"/>
        <v>0</v>
      </c>
      <c r="BP245" s="36">
        <f t="shared" si="152"/>
        <v>869103.87969153828</v>
      </c>
    </row>
    <row r="246" spans="1:68">
      <c r="A246" s="32">
        <f t="shared" si="138"/>
        <v>-71</v>
      </c>
      <c r="B246" s="32">
        <f t="shared" si="128"/>
        <v>65</v>
      </c>
      <c r="C246" s="32">
        <f t="shared" si="139"/>
        <v>13</v>
      </c>
      <c r="D246" s="32">
        <f t="shared" si="140"/>
        <v>156</v>
      </c>
      <c r="E246" s="74">
        <f>MIN(IF(AV246=0,0,
IF(Investment_Strategy="DIS",VLOOKUP(Investment_Strategy&amp;"_"&amp;Investment_Strategy_Sub1&amp;"_"&amp;$A246,'Investment Strategies'!$AZ:$BP,12,FALSE),
IF(AND(Investment_Strategy="Lifecycle",Investment_Strategy_Sub1="Non-Standard"),VLOOKUP(Investment_Strategy&amp;"_"&amp;Investment_Strategy_Sub2&amp;"_"&amp;$A246,'Investment Strategies'!$C:$P,9,FALSE),
IF(AND(Investment_Strategy="Lifecycle",Investment_Strategy_Sub1="Standard"),VLOOKUP(Investment_Strategy&amp;"_"&amp;Investment_Strategy_Sub2&amp;"_"&amp;$A246,'Investment Strategies'!$AJ:$AV,8,FALSE),
IF(AND(Investment_Strategy="Autopilot",Investment_Strategy_Sub1="Non-Standard"),VLOOKUP(Investment_Strategy&amp;"_"&amp;Investment_Strategy_Sub2&amp;"_"&amp;$A246,'Investment Strategies'!$T:$AF,8,FALSE),
IF(Investment_Strategy ="DIY",DIY_RateOfReturn_CurrentFunds,
"Error")))))),Max_InvReturn)</f>
        <v>0</v>
      </c>
      <c r="F246" s="62">
        <f>IF(AV246=0,0,
IF(Investment_Strategy="DIS",VLOOKUP(Investment_Strategy&amp;"_"&amp;Investment_Strategy_Sub1&amp;"_"&amp;$A246,'Investment Strategies'!$AZ:$BP,15,FALSE),
IF(AND(Investment_Strategy="Lifecycle",Investment_Strategy_Sub1="Non-Standard"),VLOOKUP(Investment_Strategy&amp;"_"&amp;Investment_Strategy_Sub2&amp;"_"&amp;$A246,'Investment Strategies'!$C:$P,12,FALSE),
IF(AND(Investment_Strategy="Lifecycle",Investment_Strategy_Sub1="Standard"),VLOOKUP(Investment_Strategy&amp;"_"&amp;Investment_Strategy_Sub2&amp;"_"&amp;$A246,'Investment Strategies'!$AJ:$AV,11,FALSE),
IF(AND(Investment_Strategy="Autopilot",Investment_Strategy_Sub1="Non-Standard"),VLOOKUP(Investment_Strategy&amp;"_"&amp;Investment_Strategy_Sub2&amp;"_"&amp;$A246,'Investment Strategies'!$T:$AF,11,FALSE),
IF(Investment_Strategy="DIY",DIY_GteeChrge_CurrentFunds,
"Error"))))))</f>
        <v>0</v>
      </c>
      <c r="G246" s="33">
        <f>IF(AV246=0,0,
IF(Investment_Strategy="DIS",VLOOKUP(Investment_Strategy&amp;"_"&amp;Investment_Strategy_Sub1&amp;"_"&amp;$A246,'Investment Strategies'!$AZ:$BP,17,FALSE),
IF(AND(Investment_Strategy="Lifecycle",Investment_Strategy_Sub1="Non-Standard"),VLOOKUP(Investment_Strategy&amp;"_"&amp;Investment_Strategy_Sub2&amp;"_"&amp;$A246,'Investment Strategies'!$C:$P,14,FALSE),
IF(AND(Investment_Strategy="Lifecycle",Investment_Strategy_Sub1="Standard"),VLOOKUP(Investment_Strategy&amp;"_"&amp;Investment_Strategy_Sub2&amp;"_"&amp;$A246,'Investment Strategies'!$AJ:$AV,13,FALSE),
IF(AND(Investment_Strategy="Autopilot",Investment_Strategy_Sub1="Non-Standard"),VLOOKUP(Investment_Strategy&amp;"_"&amp;Investment_Strategy_Sub2&amp;"_"&amp;$A246,'Investment Strategies'!$T:$AF,13,FALSE),
IF(Investment_Strategy="DIY",DIY_ExtManChrge_CurrentFunds,
"Error"))))))</f>
        <v>0</v>
      </c>
      <c r="H246" s="16">
        <f t="shared" si="129"/>
        <v>0</v>
      </c>
      <c r="I246" s="16">
        <f t="shared" si="113"/>
        <v>0</v>
      </c>
      <c r="J246" s="16">
        <f t="shared" si="114"/>
        <v>0</v>
      </c>
      <c r="K246" s="16">
        <f>(Opening_Fund_Value+SUM(K$91:K245))*E246*IF(D246=$A$91,SRP_finalmonthfactor,1)</f>
        <v>0</v>
      </c>
      <c r="L246" s="74">
        <f>MIN(IF($AV246=0,0,
IF(Investment_Strategy="DIS",VLOOKUP(Investment_Strategy&amp;"_"&amp;Investment_Strategy_Sub1&amp;"_"&amp;$A246,'Investment Strategies'!$AZ:$BP,12,FALSE),
IF(AND(Investment_Strategy="Lifecycle",Investment_Strategy_Sub1="Non-Standard"),VLOOKUP(Investment_Strategy&amp;"_"&amp;Investment_Strategy_Sub2&amp;"_"&amp;$A246,'Investment Strategies'!$C:$P,9,FALSE),
IF(AND(Investment_Strategy="Lifecycle",Investment_Strategy_Sub1="Standard"),VLOOKUP(Investment_Strategy&amp;"_"&amp;Investment_Strategy_Sub2&amp;"_"&amp;$A246,'Investment Strategies'!$AJ:$AV,8,FALSE),
IF(AND(Investment_Strategy="Autopilot",Investment_Strategy_Sub1="Non-Standard"),VLOOKUP(Investment_Strategy&amp;"_"&amp;Investment_Strategy_Sub2&amp;"_"&amp;$A246,'Investment Strategies'!$T:$AF,8,FALSE),
IF(Investment_Strategy ="DIY",DIY_RateofReturn_SP,
"Error")))))),Max_InvReturn)</f>
        <v>0</v>
      </c>
      <c r="M246" s="62">
        <f>IF($AV246=0,0,
IF(Investment_Strategy="DIS",VLOOKUP(Investment_Strategy&amp;"_"&amp;Investment_Strategy_Sub1&amp;"_"&amp;$A246,'Investment Strategies'!$AZ:$BP,15,FALSE),
IF(AND(Investment_Strategy="Lifecycle",Investment_Strategy_Sub1="Non-Standard"),VLOOKUP(Investment_Strategy&amp;"_"&amp;Investment_Strategy_Sub2&amp;"_"&amp;$A246,'Investment Strategies'!$C:$P,12,FALSE),
IF(AND(Investment_Strategy="Lifecycle",Investment_Strategy_Sub1="Standard"),VLOOKUP(Investment_Strategy&amp;"_"&amp;Investment_Strategy_Sub2&amp;"_"&amp;$A246,'Investment Strategies'!$AJ:$AV,11,FALSE),
IF(AND(Investment_Strategy="Autopilot",Investment_Strategy_Sub1="Non-Standard"),VLOOKUP(Investment_Strategy&amp;"_"&amp;Investment_Strategy_Sub2&amp;"_"&amp;$A246,'Investment Strategies'!$T:$AF,11,FALSE),
IF(Investment_Strategy="DIY",DIY_GteeChrge_SP,
"Error"))))))</f>
        <v>0</v>
      </c>
      <c r="N246" s="33">
        <f>IF($AV246=0,0,
IF(Investment_Strategy="DIS",VLOOKUP(Investment_Strategy&amp;"_"&amp;Investment_Strategy_Sub1&amp;"_"&amp;$A246,'Investment Strategies'!$AZ:$BP,17,FALSE),
IF(AND(Investment_Strategy="Lifecycle",Investment_Strategy_Sub1="Non-Standard"),VLOOKUP(Investment_Strategy&amp;"_"&amp;Investment_Strategy_Sub2&amp;"_"&amp;$A246,'Investment Strategies'!$C:$P,14,FALSE),
IF(AND(Investment_Strategy="Lifecycle",Investment_Strategy_Sub1="Standard"),VLOOKUP(Investment_Strategy&amp;"_"&amp;Investment_Strategy_Sub2&amp;"_"&amp;$A246,'Investment Strategies'!$AJ:$AV,13,FALSE),
IF(AND(Investment_Strategy="Autopilot",Investment_Strategy_Sub1="Non-Standard"),VLOOKUP(Investment_Strategy&amp;"_"&amp;Investment_Strategy_Sub2&amp;"_"&amp;$A246,'Investment Strategies'!$T:$AF,13,FALSE),
IF(Investment_Strategy="DIY",DIY_ExtManChrge_SP,
"Error"))))))</f>
        <v>0</v>
      </c>
      <c r="O246" s="16">
        <f t="shared" si="141"/>
        <v>0</v>
      </c>
      <c r="Q246" s="16">
        <f t="shared" si="115"/>
        <v>0</v>
      </c>
      <c r="R246" s="16">
        <f t="shared" si="116"/>
        <v>0</v>
      </c>
      <c r="S246" s="16">
        <f>(SRP_SP+SUM(S$91:S245))*L246*IF(D246=$A$91,SRP_finalmonthfactor,1)</f>
        <v>0</v>
      </c>
      <c r="T246" s="74">
        <f>MIN(IF($AV246=0,0,
IF(Investment_Strategy="DIS",VLOOKUP(Investment_Strategy&amp;"_"&amp;Investment_Strategy_Sub1&amp;"_"&amp;$A246,'Investment Strategies'!$AZ:$BP,12,FALSE),
IF(AND(Investment_Strategy="Lifecycle",Investment_Strategy_Sub1="Non-Standard"),VLOOKUP(Investment_Strategy&amp;"_"&amp;Investment_Strategy_Sub2&amp;"_"&amp;$A246,'Investment Strategies'!$C:$P,9,FALSE),
IF(AND(Investment_Strategy="Lifecycle",Investment_Strategy_Sub1="Standard"),VLOOKUP(Investment_Strategy&amp;"_"&amp;Investment_Strategy_Sub2&amp;"_"&amp;$A246,'Investment Strategies'!$AJ:$AV,8,FALSE),
IF(AND(Investment_Strategy="Autopilot",Investment_Strategy_Sub1="Non-Standard"),VLOOKUP(Investment_Strategy&amp;"_"&amp;Investment_Strategy_Sub2&amp;"_"&amp;$A246,'Investment Strategies'!$T:$AF,8,FALSE),
IF(Investment_Strategy ="DIY",DIY_RateOfReturn_FuturePremiums,
"Error")))))),Max_InvReturn)</f>
        <v>0</v>
      </c>
      <c r="U246" s="62">
        <f>IF($AV246=0,0,
IF(Investment_Strategy="DIS",VLOOKUP(Investment_Strategy&amp;"_"&amp;Investment_Strategy_Sub1&amp;"_"&amp;$A246,'Investment Strategies'!$AZ:$BP,15,FALSE),
IF(AND(Investment_Strategy="Lifecycle",Investment_Strategy_Sub1="Non-Standard"),VLOOKUP(Investment_Strategy&amp;"_"&amp;Investment_Strategy_Sub2&amp;"_"&amp;$A246,'Investment Strategies'!$C:$P,12,FALSE),
IF(AND(Investment_Strategy="Lifecycle",Investment_Strategy_Sub1="Standard"),VLOOKUP(Investment_Strategy&amp;"_"&amp;Investment_Strategy_Sub2&amp;"_"&amp;$A246,'Investment Strategies'!$AJ:$AV,11,FALSE),
IF(AND(Investment_Strategy="Autopilot",Investment_Strategy_Sub1="Non-Standard"),VLOOKUP(Investment_Strategy&amp;"_"&amp;Investment_Strategy_Sub2&amp;"_"&amp;$A246,'Investment Strategies'!$T:$AF,11,FALSE),
IF(Investment_Strategy="DIY",DIY_GteeChrge_FuturePremiums,
"Error"))))))</f>
        <v>0</v>
      </c>
      <c r="V246" s="33">
        <f>IF(AV246=0,0,
IF(Investment_Strategy="DIS",VLOOKUP(Investment_Strategy&amp;"_"&amp;Investment_Strategy_Sub1&amp;"_"&amp;$A246,'Investment Strategies'!$AZ:$BP,17,FALSE),
IF(AND(Investment_Strategy="Lifecycle",Investment_Strategy_Sub1="Non-Standard"),VLOOKUP(Investment_Strategy&amp;"_"&amp;Investment_Strategy_Sub2&amp;"_"&amp;$A246,'Investment Strategies'!$C:$P,14,FALSE),
IF(AND(Investment_Strategy="Lifecycle",Investment_Strategy_Sub1="Standard"),VLOOKUP(Investment_Strategy&amp;"_"&amp;Investment_Strategy_Sub2&amp;"_"&amp;$A246,'Investment Strategies'!$AJ:$AV,13,FALSE),
IF(AND(Investment_Strategy="Autopilot",Investment_Strategy_Sub1="Non-Standard"),VLOOKUP(Investment_Strategy&amp;"_"&amp;Investment_Strategy_Sub2&amp;"_"&amp;$A246,'Investment Strategies'!$T:$AF,13,FALSE),
IF(Investment_Strategy="DIY",DIY_ExtManChrge_FuturePremiums,
"Error"))))))</f>
        <v>0</v>
      </c>
      <c r="W246" s="16">
        <f t="shared" si="142"/>
        <v>0</v>
      </c>
      <c r="X246" s="16">
        <f t="shared" si="117"/>
        <v>0</v>
      </c>
      <c r="Y246" s="16">
        <f t="shared" si="118"/>
        <v>0</v>
      </c>
      <c r="Z246" s="31">
        <f t="shared" si="119"/>
        <v>0.02</v>
      </c>
      <c r="AA246" s="16">
        <f t="shared" si="120"/>
        <v>0</v>
      </c>
      <c r="AB246" s="28">
        <f t="shared" si="144"/>
        <v>0</v>
      </c>
      <c r="AC246" s="28">
        <f>(SUM($AC$91:AC245)+SUM($X$91:X245)+X246)*T246*IF(D246=$A$91,SRP_finalmonthfactor,1)</f>
        <v>0</v>
      </c>
      <c r="AD246" s="16">
        <f t="shared" si="121"/>
        <v>0</v>
      </c>
      <c r="AE246" s="106"/>
      <c r="AF246" s="16">
        <f t="shared" si="130"/>
        <v>0</v>
      </c>
      <c r="AG246" s="16">
        <f t="shared" si="131"/>
        <v>0</v>
      </c>
      <c r="AH246" s="16">
        <f t="shared" si="132"/>
        <v>0</v>
      </c>
      <c r="AJ246" s="13">
        <f t="shared" si="154"/>
        <v>0</v>
      </c>
      <c r="AK246" s="13">
        <f t="shared" si="154"/>
        <v>0</v>
      </c>
      <c r="AL246" s="13">
        <f t="shared" si="154"/>
        <v>0</v>
      </c>
      <c r="AM246" s="13">
        <f t="shared" si="154"/>
        <v>0</v>
      </c>
      <c r="AN246" s="13">
        <f t="shared" si="154"/>
        <v>0</v>
      </c>
      <c r="AO246" s="13">
        <f t="shared" si="154"/>
        <v>1</v>
      </c>
      <c r="AP246" s="13">
        <f t="shared" si="154"/>
        <v>1</v>
      </c>
      <c r="AQ246" s="13">
        <f t="shared" si="154"/>
        <v>1</v>
      </c>
      <c r="AR246" s="13">
        <f t="shared" si="154"/>
        <v>1</v>
      </c>
      <c r="AS246" s="13">
        <f t="shared" si="154"/>
        <v>1</v>
      </c>
      <c r="AT246" s="13">
        <f t="shared" si="154"/>
        <v>1</v>
      </c>
      <c r="AU246" s="13">
        <f t="shared" si="154"/>
        <v>1</v>
      </c>
      <c r="AV246" s="13">
        <f t="shared" si="122"/>
        <v>0</v>
      </c>
      <c r="AW246" s="13">
        <f t="shared" si="123"/>
        <v>1</v>
      </c>
      <c r="AY246" s="17">
        <f t="shared" si="124"/>
        <v>156</v>
      </c>
      <c r="AZ246" s="28">
        <f t="shared" si="133"/>
        <v>0</v>
      </c>
      <c r="BA246" s="13">
        <f t="shared" si="125"/>
        <v>0</v>
      </c>
      <c r="BB246" s="13">
        <f t="shared" si="126"/>
        <v>0</v>
      </c>
      <c r="BC246" s="28">
        <f t="shared" si="134"/>
        <v>0</v>
      </c>
      <c r="BD246" s="28">
        <f t="shared" si="135"/>
        <v>0</v>
      </c>
      <c r="BF246" s="248">
        <f t="shared" si="136"/>
        <v>993869.29442638322</v>
      </c>
      <c r="BG246" s="36">
        <f t="shared" si="145"/>
        <v>0</v>
      </c>
      <c r="BH246" s="36">
        <f t="shared" si="146"/>
        <v>869103.87969153828</v>
      </c>
      <c r="BI246" s="249">
        <f t="shared" si="147"/>
        <v>0</v>
      </c>
      <c r="BJ246" s="246">
        <f t="shared" si="148"/>
        <v>0</v>
      </c>
      <c r="BK246" s="246">
        <f t="shared" si="127"/>
        <v>7.531116566323881E-4</v>
      </c>
      <c r="BL246" s="246">
        <f t="shared" si="149"/>
        <v>0</v>
      </c>
      <c r="BM246" s="246">
        <f t="shared" si="150"/>
        <v>7.531116566323881E-4</v>
      </c>
      <c r="BN246" s="36">
        <f t="shared" si="137"/>
        <v>654.53226262013015</v>
      </c>
      <c r="BO246" s="36">
        <f t="shared" si="151"/>
        <v>0</v>
      </c>
      <c r="BP246" s="36">
        <f t="shared" si="152"/>
        <v>868449.34742891812</v>
      </c>
    </row>
    <row r="247" spans="1:68">
      <c r="A247" s="32">
        <f t="shared" si="138"/>
        <v>-72</v>
      </c>
      <c r="B247" s="32">
        <f t="shared" si="128"/>
        <v>66</v>
      </c>
      <c r="C247" s="32">
        <f t="shared" si="139"/>
        <v>14</v>
      </c>
      <c r="D247" s="32">
        <f t="shared" si="140"/>
        <v>157</v>
      </c>
      <c r="E247" s="74">
        <f>MIN(IF(AV247=0,0,
IF(Investment_Strategy="DIS",VLOOKUP(Investment_Strategy&amp;"_"&amp;Investment_Strategy_Sub1&amp;"_"&amp;$A247,'Investment Strategies'!$AZ:$BP,12,FALSE),
IF(AND(Investment_Strategy="Lifecycle",Investment_Strategy_Sub1="Non-Standard"),VLOOKUP(Investment_Strategy&amp;"_"&amp;Investment_Strategy_Sub2&amp;"_"&amp;$A247,'Investment Strategies'!$C:$P,9,FALSE),
IF(AND(Investment_Strategy="Lifecycle",Investment_Strategy_Sub1="Standard"),VLOOKUP(Investment_Strategy&amp;"_"&amp;Investment_Strategy_Sub2&amp;"_"&amp;$A247,'Investment Strategies'!$AJ:$AV,8,FALSE),
IF(AND(Investment_Strategy="Autopilot",Investment_Strategy_Sub1="Non-Standard"),VLOOKUP(Investment_Strategy&amp;"_"&amp;Investment_Strategy_Sub2&amp;"_"&amp;$A247,'Investment Strategies'!$T:$AF,8,FALSE),
IF(Investment_Strategy ="DIY",DIY_RateOfReturn_CurrentFunds,
"Error")))))),Max_InvReturn)</f>
        <v>0</v>
      </c>
      <c r="F247" s="62">
        <f>IF(AV247=0,0,
IF(Investment_Strategy="DIS",VLOOKUP(Investment_Strategy&amp;"_"&amp;Investment_Strategy_Sub1&amp;"_"&amp;$A247,'Investment Strategies'!$AZ:$BP,15,FALSE),
IF(AND(Investment_Strategy="Lifecycle",Investment_Strategy_Sub1="Non-Standard"),VLOOKUP(Investment_Strategy&amp;"_"&amp;Investment_Strategy_Sub2&amp;"_"&amp;$A247,'Investment Strategies'!$C:$P,12,FALSE),
IF(AND(Investment_Strategy="Lifecycle",Investment_Strategy_Sub1="Standard"),VLOOKUP(Investment_Strategy&amp;"_"&amp;Investment_Strategy_Sub2&amp;"_"&amp;$A247,'Investment Strategies'!$AJ:$AV,11,FALSE),
IF(AND(Investment_Strategy="Autopilot",Investment_Strategy_Sub1="Non-Standard"),VLOOKUP(Investment_Strategy&amp;"_"&amp;Investment_Strategy_Sub2&amp;"_"&amp;$A247,'Investment Strategies'!$T:$AF,11,FALSE),
IF(Investment_Strategy="DIY",DIY_GteeChrge_CurrentFunds,
"Error"))))))</f>
        <v>0</v>
      </c>
      <c r="G247" s="33">
        <f>IF(AV247=0,0,
IF(Investment_Strategy="DIS",VLOOKUP(Investment_Strategy&amp;"_"&amp;Investment_Strategy_Sub1&amp;"_"&amp;$A247,'Investment Strategies'!$AZ:$BP,17,FALSE),
IF(AND(Investment_Strategy="Lifecycle",Investment_Strategy_Sub1="Non-Standard"),VLOOKUP(Investment_Strategy&amp;"_"&amp;Investment_Strategy_Sub2&amp;"_"&amp;$A247,'Investment Strategies'!$C:$P,14,FALSE),
IF(AND(Investment_Strategy="Lifecycle",Investment_Strategy_Sub1="Standard"),VLOOKUP(Investment_Strategy&amp;"_"&amp;Investment_Strategy_Sub2&amp;"_"&amp;$A247,'Investment Strategies'!$AJ:$AV,13,FALSE),
IF(AND(Investment_Strategy="Autopilot",Investment_Strategy_Sub1="Non-Standard"),VLOOKUP(Investment_Strategy&amp;"_"&amp;Investment_Strategy_Sub2&amp;"_"&amp;$A247,'Investment Strategies'!$T:$AF,13,FALSE),
IF(Investment_Strategy="DIY",DIY_ExtManChrge_CurrentFunds,
"Error"))))))</f>
        <v>0</v>
      </c>
      <c r="H247" s="16">
        <f t="shared" si="129"/>
        <v>0</v>
      </c>
      <c r="I247" s="16">
        <f t="shared" si="113"/>
        <v>0</v>
      </c>
      <c r="J247" s="16">
        <f t="shared" si="114"/>
        <v>0</v>
      </c>
      <c r="K247" s="16">
        <f>(Opening_Fund_Value+SUM(K$91:K246))*E247*IF(D247=$A$91,SRP_finalmonthfactor,1)</f>
        <v>0</v>
      </c>
      <c r="L247" s="74">
        <f>MIN(IF($AV247=0,0,
IF(Investment_Strategy="DIS",VLOOKUP(Investment_Strategy&amp;"_"&amp;Investment_Strategy_Sub1&amp;"_"&amp;$A247,'Investment Strategies'!$AZ:$BP,12,FALSE),
IF(AND(Investment_Strategy="Lifecycle",Investment_Strategy_Sub1="Non-Standard"),VLOOKUP(Investment_Strategy&amp;"_"&amp;Investment_Strategy_Sub2&amp;"_"&amp;$A247,'Investment Strategies'!$C:$P,9,FALSE),
IF(AND(Investment_Strategy="Lifecycle",Investment_Strategy_Sub1="Standard"),VLOOKUP(Investment_Strategy&amp;"_"&amp;Investment_Strategy_Sub2&amp;"_"&amp;$A247,'Investment Strategies'!$AJ:$AV,8,FALSE),
IF(AND(Investment_Strategy="Autopilot",Investment_Strategy_Sub1="Non-Standard"),VLOOKUP(Investment_Strategy&amp;"_"&amp;Investment_Strategy_Sub2&amp;"_"&amp;$A247,'Investment Strategies'!$T:$AF,8,FALSE),
IF(Investment_Strategy ="DIY",DIY_RateofReturn_SP,
"Error")))))),Max_InvReturn)</f>
        <v>0</v>
      </c>
      <c r="M247" s="62">
        <f>IF($AV247=0,0,
IF(Investment_Strategy="DIS",VLOOKUP(Investment_Strategy&amp;"_"&amp;Investment_Strategy_Sub1&amp;"_"&amp;$A247,'Investment Strategies'!$AZ:$BP,15,FALSE),
IF(AND(Investment_Strategy="Lifecycle",Investment_Strategy_Sub1="Non-Standard"),VLOOKUP(Investment_Strategy&amp;"_"&amp;Investment_Strategy_Sub2&amp;"_"&amp;$A247,'Investment Strategies'!$C:$P,12,FALSE),
IF(AND(Investment_Strategy="Lifecycle",Investment_Strategy_Sub1="Standard"),VLOOKUP(Investment_Strategy&amp;"_"&amp;Investment_Strategy_Sub2&amp;"_"&amp;$A247,'Investment Strategies'!$AJ:$AV,11,FALSE),
IF(AND(Investment_Strategy="Autopilot",Investment_Strategy_Sub1="Non-Standard"),VLOOKUP(Investment_Strategy&amp;"_"&amp;Investment_Strategy_Sub2&amp;"_"&amp;$A247,'Investment Strategies'!$T:$AF,11,FALSE),
IF(Investment_Strategy="DIY",DIY_GteeChrge_SP,
"Error"))))))</f>
        <v>0</v>
      </c>
      <c r="N247" s="33">
        <f>IF($AV247=0,0,
IF(Investment_Strategy="DIS",VLOOKUP(Investment_Strategy&amp;"_"&amp;Investment_Strategy_Sub1&amp;"_"&amp;$A247,'Investment Strategies'!$AZ:$BP,17,FALSE),
IF(AND(Investment_Strategy="Lifecycle",Investment_Strategy_Sub1="Non-Standard"),VLOOKUP(Investment_Strategy&amp;"_"&amp;Investment_Strategy_Sub2&amp;"_"&amp;$A247,'Investment Strategies'!$C:$P,14,FALSE),
IF(AND(Investment_Strategy="Lifecycle",Investment_Strategy_Sub1="Standard"),VLOOKUP(Investment_Strategy&amp;"_"&amp;Investment_Strategy_Sub2&amp;"_"&amp;$A247,'Investment Strategies'!$AJ:$AV,13,FALSE),
IF(AND(Investment_Strategy="Autopilot",Investment_Strategy_Sub1="Non-Standard"),VLOOKUP(Investment_Strategy&amp;"_"&amp;Investment_Strategy_Sub2&amp;"_"&amp;$A247,'Investment Strategies'!$T:$AF,13,FALSE),
IF(Investment_Strategy="DIY",DIY_ExtManChrge_SP,
"Error"))))))</f>
        <v>0</v>
      </c>
      <c r="O247" s="16">
        <f t="shared" si="141"/>
        <v>0</v>
      </c>
      <c r="Q247" s="16">
        <f t="shared" si="115"/>
        <v>0</v>
      </c>
      <c r="R247" s="16">
        <f t="shared" si="116"/>
        <v>0</v>
      </c>
      <c r="S247" s="16">
        <f>(SRP_SP+SUM(S$91:S246))*L247*IF(D247=$A$91,SRP_finalmonthfactor,1)</f>
        <v>0</v>
      </c>
      <c r="T247" s="74">
        <f>MIN(IF($AV247=0,0,
IF(Investment_Strategy="DIS",VLOOKUP(Investment_Strategy&amp;"_"&amp;Investment_Strategy_Sub1&amp;"_"&amp;$A247,'Investment Strategies'!$AZ:$BP,12,FALSE),
IF(AND(Investment_Strategy="Lifecycle",Investment_Strategy_Sub1="Non-Standard"),VLOOKUP(Investment_Strategy&amp;"_"&amp;Investment_Strategy_Sub2&amp;"_"&amp;$A247,'Investment Strategies'!$C:$P,9,FALSE),
IF(AND(Investment_Strategy="Lifecycle",Investment_Strategy_Sub1="Standard"),VLOOKUP(Investment_Strategy&amp;"_"&amp;Investment_Strategy_Sub2&amp;"_"&amp;$A247,'Investment Strategies'!$AJ:$AV,8,FALSE),
IF(AND(Investment_Strategy="Autopilot",Investment_Strategy_Sub1="Non-Standard"),VLOOKUP(Investment_Strategy&amp;"_"&amp;Investment_Strategy_Sub2&amp;"_"&amp;$A247,'Investment Strategies'!$T:$AF,8,FALSE),
IF(Investment_Strategy ="DIY",DIY_RateOfReturn_FuturePremiums,
"Error")))))),Max_InvReturn)</f>
        <v>0</v>
      </c>
      <c r="U247" s="62">
        <f>IF($AV247=0,0,
IF(Investment_Strategy="DIS",VLOOKUP(Investment_Strategy&amp;"_"&amp;Investment_Strategy_Sub1&amp;"_"&amp;$A247,'Investment Strategies'!$AZ:$BP,15,FALSE),
IF(AND(Investment_Strategy="Lifecycle",Investment_Strategy_Sub1="Non-Standard"),VLOOKUP(Investment_Strategy&amp;"_"&amp;Investment_Strategy_Sub2&amp;"_"&amp;$A247,'Investment Strategies'!$C:$P,12,FALSE),
IF(AND(Investment_Strategy="Lifecycle",Investment_Strategy_Sub1="Standard"),VLOOKUP(Investment_Strategy&amp;"_"&amp;Investment_Strategy_Sub2&amp;"_"&amp;$A247,'Investment Strategies'!$AJ:$AV,11,FALSE),
IF(AND(Investment_Strategy="Autopilot",Investment_Strategy_Sub1="Non-Standard"),VLOOKUP(Investment_Strategy&amp;"_"&amp;Investment_Strategy_Sub2&amp;"_"&amp;$A247,'Investment Strategies'!$T:$AF,11,FALSE),
IF(Investment_Strategy="DIY",DIY_GteeChrge_FuturePremiums,
"Error"))))))</f>
        <v>0</v>
      </c>
      <c r="V247" s="33">
        <f>IF(AV247=0,0,
IF(Investment_Strategy="DIS",VLOOKUP(Investment_Strategy&amp;"_"&amp;Investment_Strategy_Sub1&amp;"_"&amp;$A247,'Investment Strategies'!$AZ:$BP,17,FALSE),
IF(AND(Investment_Strategy="Lifecycle",Investment_Strategy_Sub1="Non-Standard"),VLOOKUP(Investment_Strategy&amp;"_"&amp;Investment_Strategy_Sub2&amp;"_"&amp;$A247,'Investment Strategies'!$C:$P,14,FALSE),
IF(AND(Investment_Strategy="Lifecycle",Investment_Strategy_Sub1="Standard"),VLOOKUP(Investment_Strategy&amp;"_"&amp;Investment_Strategy_Sub2&amp;"_"&amp;$A247,'Investment Strategies'!$AJ:$AV,13,FALSE),
IF(AND(Investment_Strategy="Autopilot",Investment_Strategy_Sub1="Non-Standard"),VLOOKUP(Investment_Strategy&amp;"_"&amp;Investment_Strategy_Sub2&amp;"_"&amp;$A247,'Investment Strategies'!$T:$AF,13,FALSE),
IF(Investment_Strategy="DIY",DIY_ExtManChrge_FuturePremiums,
"Error"))))))</f>
        <v>0</v>
      </c>
      <c r="W247" s="16">
        <f t="shared" si="142"/>
        <v>0</v>
      </c>
      <c r="X247" s="16">
        <f t="shared" si="117"/>
        <v>0</v>
      </c>
      <c r="Y247" s="16">
        <f t="shared" si="118"/>
        <v>0</v>
      </c>
      <c r="Z247" s="31">
        <f t="shared" si="119"/>
        <v>0.02</v>
      </c>
      <c r="AA247" s="16">
        <f t="shared" si="120"/>
        <v>0</v>
      </c>
      <c r="AB247" s="28">
        <f t="shared" si="144"/>
        <v>0</v>
      </c>
      <c r="AC247" s="28">
        <f>(SUM($AC$91:AC246)+SUM($X$91:X246)+X247)*T247*IF(D247=$A$91,SRP_finalmonthfactor,1)</f>
        <v>0</v>
      </c>
      <c r="AD247" s="16">
        <f t="shared" si="121"/>
        <v>0</v>
      </c>
      <c r="AE247" s="106"/>
      <c r="AF247" s="16">
        <f t="shared" si="130"/>
        <v>0</v>
      </c>
      <c r="AG247" s="16">
        <f t="shared" si="131"/>
        <v>0</v>
      </c>
      <c r="AH247" s="16">
        <f t="shared" si="132"/>
        <v>0</v>
      </c>
      <c r="AJ247" s="13">
        <f t="shared" si="154"/>
        <v>0</v>
      </c>
      <c r="AK247" s="13">
        <f t="shared" si="154"/>
        <v>0</v>
      </c>
      <c r="AL247" s="13">
        <f t="shared" si="154"/>
        <v>0</v>
      </c>
      <c r="AM247" s="13">
        <f t="shared" si="154"/>
        <v>0</v>
      </c>
      <c r="AN247" s="13">
        <f t="shared" si="154"/>
        <v>0</v>
      </c>
      <c r="AO247" s="13">
        <f t="shared" si="154"/>
        <v>1</v>
      </c>
      <c r="AP247" s="13">
        <f t="shared" si="154"/>
        <v>1</v>
      </c>
      <c r="AQ247" s="13">
        <f t="shared" si="154"/>
        <v>1</v>
      </c>
      <c r="AR247" s="13">
        <f t="shared" si="154"/>
        <v>1</v>
      </c>
      <c r="AS247" s="13">
        <f t="shared" si="154"/>
        <v>1</v>
      </c>
      <c r="AT247" s="13">
        <f t="shared" si="154"/>
        <v>1</v>
      </c>
      <c r="AU247" s="13">
        <f t="shared" si="154"/>
        <v>1</v>
      </c>
      <c r="AV247" s="13">
        <f t="shared" si="122"/>
        <v>0</v>
      </c>
      <c r="AW247" s="13">
        <f t="shared" si="123"/>
        <v>1</v>
      </c>
      <c r="AY247" s="17">
        <f t="shared" si="124"/>
        <v>157</v>
      </c>
      <c r="AZ247" s="28">
        <f t="shared" si="133"/>
        <v>0</v>
      </c>
      <c r="BA247" s="13">
        <f t="shared" si="125"/>
        <v>0</v>
      </c>
      <c r="BB247" s="13">
        <f t="shared" si="126"/>
        <v>0</v>
      </c>
      <c r="BC247" s="28">
        <f t="shared" si="134"/>
        <v>0</v>
      </c>
      <c r="BD247" s="28">
        <f t="shared" si="135"/>
        <v>0</v>
      </c>
      <c r="BF247" s="248">
        <f t="shared" si="136"/>
        <v>993869.29442638322</v>
      </c>
      <c r="BG247" s="36">
        <f t="shared" si="145"/>
        <v>0</v>
      </c>
      <c r="BH247" s="36">
        <f t="shared" si="146"/>
        <v>868449.34742891812</v>
      </c>
      <c r="BI247" s="249">
        <f t="shared" si="147"/>
        <v>0</v>
      </c>
      <c r="BJ247" s="246">
        <f t="shared" si="148"/>
        <v>0</v>
      </c>
      <c r="BK247" s="246">
        <f t="shared" si="127"/>
        <v>7.531116566323881E-4</v>
      </c>
      <c r="BL247" s="246">
        <f t="shared" si="149"/>
        <v>0</v>
      </c>
      <c r="BM247" s="246">
        <f t="shared" si="150"/>
        <v>7.531116566323881E-4</v>
      </c>
      <c r="BN247" s="36">
        <f t="shared" si="137"/>
        <v>654.03932674350892</v>
      </c>
      <c r="BO247" s="36">
        <f t="shared" si="151"/>
        <v>0</v>
      </c>
      <c r="BP247" s="36">
        <f t="shared" si="152"/>
        <v>867795.30810217466</v>
      </c>
    </row>
    <row r="248" spans="1:68">
      <c r="A248" s="32">
        <f t="shared" si="138"/>
        <v>-73</v>
      </c>
      <c r="B248" s="32">
        <f t="shared" si="128"/>
        <v>66</v>
      </c>
      <c r="C248" s="32">
        <f t="shared" si="139"/>
        <v>14</v>
      </c>
      <c r="D248" s="32">
        <f t="shared" si="140"/>
        <v>158</v>
      </c>
      <c r="E248" s="74">
        <f>MIN(IF(AV248=0,0,
IF(Investment_Strategy="DIS",VLOOKUP(Investment_Strategy&amp;"_"&amp;Investment_Strategy_Sub1&amp;"_"&amp;$A248,'Investment Strategies'!$AZ:$BP,12,FALSE),
IF(AND(Investment_Strategy="Lifecycle",Investment_Strategy_Sub1="Non-Standard"),VLOOKUP(Investment_Strategy&amp;"_"&amp;Investment_Strategy_Sub2&amp;"_"&amp;$A248,'Investment Strategies'!$C:$P,9,FALSE),
IF(AND(Investment_Strategy="Lifecycle",Investment_Strategy_Sub1="Standard"),VLOOKUP(Investment_Strategy&amp;"_"&amp;Investment_Strategy_Sub2&amp;"_"&amp;$A248,'Investment Strategies'!$AJ:$AV,8,FALSE),
IF(AND(Investment_Strategy="Autopilot",Investment_Strategy_Sub1="Non-Standard"),VLOOKUP(Investment_Strategy&amp;"_"&amp;Investment_Strategy_Sub2&amp;"_"&amp;$A248,'Investment Strategies'!$T:$AF,8,FALSE),
IF(Investment_Strategy ="DIY",DIY_RateOfReturn_CurrentFunds,
"Error")))))),Max_InvReturn)</f>
        <v>0</v>
      </c>
      <c r="F248" s="62">
        <f>IF(AV248=0,0,
IF(Investment_Strategy="DIS",VLOOKUP(Investment_Strategy&amp;"_"&amp;Investment_Strategy_Sub1&amp;"_"&amp;$A248,'Investment Strategies'!$AZ:$BP,15,FALSE),
IF(AND(Investment_Strategy="Lifecycle",Investment_Strategy_Sub1="Non-Standard"),VLOOKUP(Investment_Strategy&amp;"_"&amp;Investment_Strategy_Sub2&amp;"_"&amp;$A248,'Investment Strategies'!$C:$P,12,FALSE),
IF(AND(Investment_Strategy="Lifecycle",Investment_Strategy_Sub1="Standard"),VLOOKUP(Investment_Strategy&amp;"_"&amp;Investment_Strategy_Sub2&amp;"_"&amp;$A248,'Investment Strategies'!$AJ:$AV,11,FALSE),
IF(AND(Investment_Strategy="Autopilot",Investment_Strategy_Sub1="Non-Standard"),VLOOKUP(Investment_Strategy&amp;"_"&amp;Investment_Strategy_Sub2&amp;"_"&amp;$A248,'Investment Strategies'!$T:$AF,11,FALSE),
IF(Investment_Strategy="DIY",DIY_GteeChrge_CurrentFunds,
"Error"))))))</f>
        <v>0</v>
      </c>
      <c r="G248" s="33">
        <f>IF(AV248=0,0,
IF(Investment_Strategy="DIS",VLOOKUP(Investment_Strategy&amp;"_"&amp;Investment_Strategy_Sub1&amp;"_"&amp;$A248,'Investment Strategies'!$AZ:$BP,17,FALSE),
IF(AND(Investment_Strategy="Lifecycle",Investment_Strategy_Sub1="Non-Standard"),VLOOKUP(Investment_Strategy&amp;"_"&amp;Investment_Strategy_Sub2&amp;"_"&amp;$A248,'Investment Strategies'!$C:$P,14,FALSE),
IF(AND(Investment_Strategy="Lifecycle",Investment_Strategy_Sub1="Standard"),VLOOKUP(Investment_Strategy&amp;"_"&amp;Investment_Strategy_Sub2&amp;"_"&amp;$A248,'Investment Strategies'!$AJ:$AV,13,FALSE),
IF(AND(Investment_Strategy="Autopilot",Investment_Strategy_Sub1="Non-Standard"),VLOOKUP(Investment_Strategy&amp;"_"&amp;Investment_Strategy_Sub2&amp;"_"&amp;$A248,'Investment Strategies'!$T:$AF,13,FALSE),
IF(Investment_Strategy="DIY",DIY_ExtManChrge_CurrentFunds,
"Error"))))))</f>
        <v>0</v>
      </c>
      <c r="H248" s="16">
        <f t="shared" si="129"/>
        <v>0</v>
      </c>
      <c r="I248" s="16">
        <f t="shared" si="113"/>
        <v>0</v>
      </c>
      <c r="J248" s="16">
        <f t="shared" si="114"/>
        <v>0</v>
      </c>
      <c r="K248" s="16">
        <f>(Opening_Fund_Value+SUM(K$91:K247))*E248*IF(D248=$A$91,SRP_finalmonthfactor,1)</f>
        <v>0</v>
      </c>
      <c r="L248" s="74">
        <f>MIN(IF($AV248=0,0,
IF(Investment_Strategy="DIS",VLOOKUP(Investment_Strategy&amp;"_"&amp;Investment_Strategy_Sub1&amp;"_"&amp;$A248,'Investment Strategies'!$AZ:$BP,12,FALSE),
IF(AND(Investment_Strategy="Lifecycle",Investment_Strategy_Sub1="Non-Standard"),VLOOKUP(Investment_Strategy&amp;"_"&amp;Investment_Strategy_Sub2&amp;"_"&amp;$A248,'Investment Strategies'!$C:$P,9,FALSE),
IF(AND(Investment_Strategy="Lifecycle",Investment_Strategy_Sub1="Standard"),VLOOKUP(Investment_Strategy&amp;"_"&amp;Investment_Strategy_Sub2&amp;"_"&amp;$A248,'Investment Strategies'!$AJ:$AV,8,FALSE),
IF(AND(Investment_Strategy="Autopilot",Investment_Strategy_Sub1="Non-Standard"),VLOOKUP(Investment_Strategy&amp;"_"&amp;Investment_Strategy_Sub2&amp;"_"&amp;$A248,'Investment Strategies'!$T:$AF,8,FALSE),
IF(Investment_Strategy ="DIY",DIY_RateofReturn_SP,
"Error")))))),Max_InvReturn)</f>
        <v>0</v>
      </c>
      <c r="M248" s="62">
        <f>IF($AV248=0,0,
IF(Investment_Strategy="DIS",VLOOKUP(Investment_Strategy&amp;"_"&amp;Investment_Strategy_Sub1&amp;"_"&amp;$A248,'Investment Strategies'!$AZ:$BP,15,FALSE),
IF(AND(Investment_Strategy="Lifecycle",Investment_Strategy_Sub1="Non-Standard"),VLOOKUP(Investment_Strategy&amp;"_"&amp;Investment_Strategy_Sub2&amp;"_"&amp;$A248,'Investment Strategies'!$C:$P,12,FALSE),
IF(AND(Investment_Strategy="Lifecycle",Investment_Strategy_Sub1="Standard"),VLOOKUP(Investment_Strategy&amp;"_"&amp;Investment_Strategy_Sub2&amp;"_"&amp;$A248,'Investment Strategies'!$AJ:$AV,11,FALSE),
IF(AND(Investment_Strategy="Autopilot",Investment_Strategy_Sub1="Non-Standard"),VLOOKUP(Investment_Strategy&amp;"_"&amp;Investment_Strategy_Sub2&amp;"_"&amp;$A248,'Investment Strategies'!$T:$AF,11,FALSE),
IF(Investment_Strategy="DIY",DIY_GteeChrge_SP,
"Error"))))))</f>
        <v>0</v>
      </c>
      <c r="N248" s="33">
        <f>IF($AV248=0,0,
IF(Investment_Strategy="DIS",VLOOKUP(Investment_Strategy&amp;"_"&amp;Investment_Strategy_Sub1&amp;"_"&amp;$A248,'Investment Strategies'!$AZ:$BP,17,FALSE),
IF(AND(Investment_Strategy="Lifecycle",Investment_Strategy_Sub1="Non-Standard"),VLOOKUP(Investment_Strategy&amp;"_"&amp;Investment_Strategy_Sub2&amp;"_"&amp;$A248,'Investment Strategies'!$C:$P,14,FALSE),
IF(AND(Investment_Strategy="Lifecycle",Investment_Strategy_Sub1="Standard"),VLOOKUP(Investment_Strategy&amp;"_"&amp;Investment_Strategy_Sub2&amp;"_"&amp;$A248,'Investment Strategies'!$AJ:$AV,13,FALSE),
IF(AND(Investment_Strategy="Autopilot",Investment_Strategy_Sub1="Non-Standard"),VLOOKUP(Investment_Strategy&amp;"_"&amp;Investment_Strategy_Sub2&amp;"_"&amp;$A248,'Investment Strategies'!$T:$AF,13,FALSE),
IF(Investment_Strategy="DIY",DIY_ExtManChrge_SP,
"Error"))))))</f>
        <v>0</v>
      </c>
      <c r="O248" s="16">
        <f t="shared" si="141"/>
        <v>0</v>
      </c>
      <c r="Q248" s="16">
        <f t="shared" si="115"/>
        <v>0</v>
      </c>
      <c r="R248" s="16">
        <f t="shared" si="116"/>
        <v>0</v>
      </c>
      <c r="S248" s="16">
        <f>(SRP_SP+SUM(S$91:S247))*L248*IF(D248=$A$91,SRP_finalmonthfactor,1)</f>
        <v>0</v>
      </c>
      <c r="T248" s="74">
        <f>MIN(IF($AV248=0,0,
IF(Investment_Strategy="DIS",VLOOKUP(Investment_Strategy&amp;"_"&amp;Investment_Strategy_Sub1&amp;"_"&amp;$A248,'Investment Strategies'!$AZ:$BP,12,FALSE),
IF(AND(Investment_Strategy="Lifecycle",Investment_Strategy_Sub1="Non-Standard"),VLOOKUP(Investment_Strategy&amp;"_"&amp;Investment_Strategy_Sub2&amp;"_"&amp;$A248,'Investment Strategies'!$C:$P,9,FALSE),
IF(AND(Investment_Strategy="Lifecycle",Investment_Strategy_Sub1="Standard"),VLOOKUP(Investment_Strategy&amp;"_"&amp;Investment_Strategy_Sub2&amp;"_"&amp;$A248,'Investment Strategies'!$AJ:$AV,8,FALSE),
IF(AND(Investment_Strategy="Autopilot",Investment_Strategy_Sub1="Non-Standard"),VLOOKUP(Investment_Strategy&amp;"_"&amp;Investment_Strategy_Sub2&amp;"_"&amp;$A248,'Investment Strategies'!$T:$AF,8,FALSE),
IF(Investment_Strategy ="DIY",DIY_RateOfReturn_FuturePremiums,
"Error")))))),Max_InvReturn)</f>
        <v>0</v>
      </c>
      <c r="U248" s="62">
        <f>IF($AV248=0,0,
IF(Investment_Strategy="DIS",VLOOKUP(Investment_Strategy&amp;"_"&amp;Investment_Strategy_Sub1&amp;"_"&amp;$A248,'Investment Strategies'!$AZ:$BP,15,FALSE),
IF(AND(Investment_Strategy="Lifecycle",Investment_Strategy_Sub1="Non-Standard"),VLOOKUP(Investment_Strategy&amp;"_"&amp;Investment_Strategy_Sub2&amp;"_"&amp;$A248,'Investment Strategies'!$C:$P,12,FALSE),
IF(AND(Investment_Strategy="Lifecycle",Investment_Strategy_Sub1="Standard"),VLOOKUP(Investment_Strategy&amp;"_"&amp;Investment_Strategy_Sub2&amp;"_"&amp;$A248,'Investment Strategies'!$AJ:$AV,11,FALSE),
IF(AND(Investment_Strategy="Autopilot",Investment_Strategy_Sub1="Non-Standard"),VLOOKUP(Investment_Strategy&amp;"_"&amp;Investment_Strategy_Sub2&amp;"_"&amp;$A248,'Investment Strategies'!$T:$AF,11,FALSE),
IF(Investment_Strategy="DIY",DIY_GteeChrge_FuturePremiums,
"Error"))))))</f>
        <v>0</v>
      </c>
      <c r="V248" s="33">
        <f>IF(AV248=0,0,
IF(Investment_Strategy="DIS",VLOOKUP(Investment_Strategy&amp;"_"&amp;Investment_Strategy_Sub1&amp;"_"&amp;$A248,'Investment Strategies'!$AZ:$BP,17,FALSE),
IF(AND(Investment_Strategy="Lifecycle",Investment_Strategy_Sub1="Non-Standard"),VLOOKUP(Investment_Strategy&amp;"_"&amp;Investment_Strategy_Sub2&amp;"_"&amp;$A248,'Investment Strategies'!$C:$P,14,FALSE),
IF(AND(Investment_Strategy="Lifecycle",Investment_Strategy_Sub1="Standard"),VLOOKUP(Investment_Strategy&amp;"_"&amp;Investment_Strategy_Sub2&amp;"_"&amp;$A248,'Investment Strategies'!$AJ:$AV,13,FALSE),
IF(AND(Investment_Strategy="Autopilot",Investment_Strategy_Sub1="Non-Standard"),VLOOKUP(Investment_Strategy&amp;"_"&amp;Investment_Strategy_Sub2&amp;"_"&amp;$A248,'Investment Strategies'!$T:$AF,13,FALSE),
IF(Investment_Strategy="DIY",DIY_ExtManChrge_FuturePremiums,
"Error"))))))</f>
        <v>0</v>
      </c>
      <c r="W248" s="16">
        <f t="shared" si="142"/>
        <v>0</v>
      </c>
      <c r="X248" s="16">
        <f t="shared" si="117"/>
        <v>0</v>
      </c>
      <c r="Y248" s="16">
        <f t="shared" si="118"/>
        <v>0</v>
      </c>
      <c r="Z248" s="31">
        <f t="shared" si="119"/>
        <v>0.02</v>
      </c>
      <c r="AA248" s="16">
        <f t="shared" si="120"/>
        <v>0</v>
      </c>
      <c r="AB248" s="28">
        <f t="shared" si="144"/>
        <v>0</v>
      </c>
      <c r="AC248" s="28">
        <f>(SUM($AC$91:AC247)+SUM($X$91:X247)+X248)*T248*IF(D248=$A$91,SRP_finalmonthfactor,1)</f>
        <v>0</v>
      </c>
      <c r="AD248" s="16">
        <f t="shared" si="121"/>
        <v>0</v>
      </c>
      <c r="AE248" s="106"/>
      <c r="AF248" s="16">
        <f t="shared" si="130"/>
        <v>0</v>
      </c>
      <c r="AG248" s="16">
        <f t="shared" si="131"/>
        <v>0</v>
      </c>
      <c r="AH248" s="16">
        <f t="shared" si="132"/>
        <v>0</v>
      </c>
      <c r="AJ248" s="13">
        <f t="shared" si="154"/>
        <v>0</v>
      </c>
      <c r="AK248" s="13">
        <f t="shared" si="154"/>
        <v>0</v>
      </c>
      <c r="AL248" s="13">
        <f t="shared" si="154"/>
        <v>0</v>
      </c>
      <c r="AM248" s="13">
        <f t="shared" si="154"/>
        <v>0</v>
      </c>
      <c r="AN248" s="13">
        <f t="shared" si="154"/>
        <v>0</v>
      </c>
      <c r="AO248" s="13">
        <f t="shared" si="154"/>
        <v>1</v>
      </c>
      <c r="AP248" s="13">
        <f t="shared" si="154"/>
        <v>1</v>
      </c>
      <c r="AQ248" s="13">
        <f t="shared" si="154"/>
        <v>1</v>
      </c>
      <c r="AR248" s="13">
        <f t="shared" si="154"/>
        <v>1</v>
      </c>
      <c r="AS248" s="13">
        <f t="shared" si="154"/>
        <v>1</v>
      </c>
      <c r="AT248" s="13">
        <f t="shared" si="154"/>
        <v>1</v>
      </c>
      <c r="AU248" s="13">
        <f t="shared" si="154"/>
        <v>1</v>
      </c>
      <c r="AV248" s="13">
        <f t="shared" si="122"/>
        <v>0</v>
      </c>
      <c r="AW248" s="13">
        <f t="shared" si="123"/>
        <v>1</v>
      </c>
      <c r="AY248" s="17">
        <f t="shared" si="124"/>
        <v>158</v>
      </c>
      <c r="AZ248" s="28">
        <f t="shared" si="133"/>
        <v>0</v>
      </c>
      <c r="BA248" s="13">
        <f t="shared" si="125"/>
        <v>0</v>
      </c>
      <c r="BB248" s="13">
        <f t="shared" si="126"/>
        <v>0</v>
      </c>
      <c r="BC248" s="28">
        <f t="shared" si="134"/>
        <v>0</v>
      </c>
      <c r="BD248" s="28">
        <f t="shared" si="135"/>
        <v>0</v>
      </c>
      <c r="BF248" s="248">
        <f t="shared" si="136"/>
        <v>993869.29442638322</v>
      </c>
      <c r="BG248" s="36">
        <f t="shared" si="145"/>
        <v>0</v>
      </c>
      <c r="BH248" s="36">
        <f t="shared" si="146"/>
        <v>867795.30810217466</v>
      </c>
      <c r="BI248" s="249">
        <f t="shared" si="147"/>
        <v>0</v>
      </c>
      <c r="BJ248" s="246">
        <f t="shared" si="148"/>
        <v>0</v>
      </c>
      <c r="BK248" s="246">
        <f t="shared" si="127"/>
        <v>7.531116566323881E-4</v>
      </c>
      <c r="BL248" s="246">
        <f t="shared" si="149"/>
        <v>0</v>
      </c>
      <c r="BM248" s="246">
        <f t="shared" si="150"/>
        <v>7.531116566323881E-4</v>
      </c>
      <c r="BN248" s="36">
        <f t="shared" si="137"/>
        <v>653.54676210264245</v>
      </c>
      <c r="BO248" s="36">
        <f t="shared" si="151"/>
        <v>0</v>
      </c>
      <c r="BP248" s="36">
        <f t="shared" si="152"/>
        <v>867141.76134007203</v>
      </c>
    </row>
    <row r="249" spans="1:68">
      <c r="A249" s="32">
        <f t="shared" si="138"/>
        <v>-74</v>
      </c>
      <c r="B249" s="32">
        <f t="shared" si="128"/>
        <v>66</v>
      </c>
      <c r="C249" s="32">
        <f t="shared" si="139"/>
        <v>14</v>
      </c>
      <c r="D249" s="32">
        <f t="shared" si="140"/>
        <v>159</v>
      </c>
      <c r="E249" s="74">
        <f>MIN(IF(AV249=0,0,
IF(Investment_Strategy="DIS",VLOOKUP(Investment_Strategy&amp;"_"&amp;Investment_Strategy_Sub1&amp;"_"&amp;$A249,'Investment Strategies'!$AZ:$BP,12,FALSE),
IF(AND(Investment_Strategy="Lifecycle",Investment_Strategy_Sub1="Non-Standard"),VLOOKUP(Investment_Strategy&amp;"_"&amp;Investment_Strategy_Sub2&amp;"_"&amp;$A249,'Investment Strategies'!$C:$P,9,FALSE),
IF(AND(Investment_Strategy="Lifecycle",Investment_Strategy_Sub1="Standard"),VLOOKUP(Investment_Strategy&amp;"_"&amp;Investment_Strategy_Sub2&amp;"_"&amp;$A249,'Investment Strategies'!$AJ:$AV,8,FALSE),
IF(AND(Investment_Strategy="Autopilot",Investment_Strategy_Sub1="Non-Standard"),VLOOKUP(Investment_Strategy&amp;"_"&amp;Investment_Strategy_Sub2&amp;"_"&amp;$A249,'Investment Strategies'!$T:$AF,8,FALSE),
IF(Investment_Strategy ="DIY",DIY_RateOfReturn_CurrentFunds,
"Error")))))),Max_InvReturn)</f>
        <v>0</v>
      </c>
      <c r="F249" s="62">
        <f>IF(AV249=0,0,
IF(Investment_Strategy="DIS",VLOOKUP(Investment_Strategy&amp;"_"&amp;Investment_Strategy_Sub1&amp;"_"&amp;$A249,'Investment Strategies'!$AZ:$BP,15,FALSE),
IF(AND(Investment_Strategy="Lifecycle",Investment_Strategy_Sub1="Non-Standard"),VLOOKUP(Investment_Strategy&amp;"_"&amp;Investment_Strategy_Sub2&amp;"_"&amp;$A249,'Investment Strategies'!$C:$P,12,FALSE),
IF(AND(Investment_Strategy="Lifecycle",Investment_Strategy_Sub1="Standard"),VLOOKUP(Investment_Strategy&amp;"_"&amp;Investment_Strategy_Sub2&amp;"_"&amp;$A249,'Investment Strategies'!$AJ:$AV,11,FALSE),
IF(AND(Investment_Strategy="Autopilot",Investment_Strategy_Sub1="Non-Standard"),VLOOKUP(Investment_Strategy&amp;"_"&amp;Investment_Strategy_Sub2&amp;"_"&amp;$A249,'Investment Strategies'!$T:$AF,11,FALSE),
IF(Investment_Strategy="DIY",DIY_GteeChrge_CurrentFunds,
"Error"))))))</f>
        <v>0</v>
      </c>
      <c r="G249" s="33">
        <f>IF(AV249=0,0,
IF(Investment_Strategy="DIS",VLOOKUP(Investment_Strategy&amp;"_"&amp;Investment_Strategy_Sub1&amp;"_"&amp;$A249,'Investment Strategies'!$AZ:$BP,17,FALSE),
IF(AND(Investment_Strategy="Lifecycle",Investment_Strategy_Sub1="Non-Standard"),VLOOKUP(Investment_Strategy&amp;"_"&amp;Investment_Strategy_Sub2&amp;"_"&amp;$A249,'Investment Strategies'!$C:$P,14,FALSE),
IF(AND(Investment_Strategy="Lifecycle",Investment_Strategy_Sub1="Standard"),VLOOKUP(Investment_Strategy&amp;"_"&amp;Investment_Strategy_Sub2&amp;"_"&amp;$A249,'Investment Strategies'!$AJ:$AV,13,FALSE),
IF(AND(Investment_Strategy="Autopilot",Investment_Strategy_Sub1="Non-Standard"),VLOOKUP(Investment_Strategy&amp;"_"&amp;Investment_Strategy_Sub2&amp;"_"&amp;$A249,'Investment Strategies'!$T:$AF,13,FALSE),
IF(Investment_Strategy="DIY",DIY_ExtManChrge_CurrentFunds,
"Error"))))))</f>
        <v>0</v>
      </c>
      <c r="H249" s="16">
        <f t="shared" si="129"/>
        <v>0</v>
      </c>
      <c r="I249" s="16">
        <f t="shared" si="113"/>
        <v>0</v>
      </c>
      <c r="J249" s="16">
        <f t="shared" si="114"/>
        <v>0</v>
      </c>
      <c r="K249" s="16">
        <f>(Opening_Fund_Value+SUM(K$91:K248))*E249*IF(D249=$A$91,SRP_finalmonthfactor,1)</f>
        <v>0</v>
      </c>
      <c r="L249" s="74">
        <f>MIN(IF($AV249=0,0,
IF(Investment_Strategy="DIS",VLOOKUP(Investment_Strategy&amp;"_"&amp;Investment_Strategy_Sub1&amp;"_"&amp;$A249,'Investment Strategies'!$AZ:$BP,12,FALSE),
IF(AND(Investment_Strategy="Lifecycle",Investment_Strategy_Sub1="Non-Standard"),VLOOKUP(Investment_Strategy&amp;"_"&amp;Investment_Strategy_Sub2&amp;"_"&amp;$A249,'Investment Strategies'!$C:$P,9,FALSE),
IF(AND(Investment_Strategy="Lifecycle",Investment_Strategy_Sub1="Standard"),VLOOKUP(Investment_Strategy&amp;"_"&amp;Investment_Strategy_Sub2&amp;"_"&amp;$A249,'Investment Strategies'!$AJ:$AV,8,FALSE),
IF(AND(Investment_Strategy="Autopilot",Investment_Strategy_Sub1="Non-Standard"),VLOOKUP(Investment_Strategy&amp;"_"&amp;Investment_Strategy_Sub2&amp;"_"&amp;$A249,'Investment Strategies'!$T:$AF,8,FALSE),
IF(Investment_Strategy ="DIY",DIY_RateofReturn_SP,
"Error")))))),Max_InvReturn)</f>
        <v>0</v>
      </c>
      <c r="M249" s="62">
        <f>IF($AV249=0,0,
IF(Investment_Strategy="DIS",VLOOKUP(Investment_Strategy&amp;"_"&amp;Investment_Strategy_Sub1&amp;"_"&amp;$A249,'Investment Strategies'!$AZ:$BP,15,FALSE),
IF(AND(Investment_Strategy="Lifecycle",Investment_Strategy_Sub1="Non-Standard"),VLOOKUP(Investment_Strategy&amp;"_"&amp;Investment_Strategy_Sub2&amp;"_"&amp;$A249,'Investment Strategies'!$C:$P,12,FALSE),
IF(AND(Investment_Strategy="Lifecycle",Investment_Strategy_Sub1="Standard"),VLOOKUP(Investment_Strategy&amp;"_"&amp;Investment_Strategy_Sub2&amp;"_"&amp;$A249,'Investment Strategies'!$AJ:$AV,11,FALSE),
IF(AND(Investment_Strategy="Autopilot",Investment_Strategy_Sub1="Non-Standard"),VLOOKUP(Investment_Strategy&amp;"_"&amp;Investment_Strategy_Sub2&amp;"_"&amp;$A249,'Investment Strategies'!$T:$AF,11,FALSE),
IF(Investment_Strategy="DIY",DIY_GteeChrge_SP,
"Error"))))))</f>
        <v>0</v>
      </c>
      <c r="N249" s="33">
        <f>IF($AV249=0,0,
IF(Investment_Strategy="DIS",VLOOKUP(Investment_Strategy&amp;"_"&amp;Investment_Strategy_Sub1&amp;"_"&amp;$A249,'Investment Strategies'!$AZ:$BP,17,FALSE),
IF(AND(Investment_Strategy="Lifecycle",Investment_Strategy_Sub1="Non-Standard"),VLOOKUP(Investment_Strategy&amp;"_"&amp;Investment_Strategy_Sub2&amp;"_"&amp;$A249,'Investment Strategies'!$C:$P,14,FALSE),
IF(AND(Investment_Strategy="Lifecycle",Investment_Strategy_Sub1="Standard"),VLOOKUP(Investment_Strategy&amp;"_"&amp;Investment_Strategy_Sub2&amp;"_"&amp;$A249,'Investment Strategies'!$AJ:$AV,13,FALSE),
IF(AND(Investment_Strategy="Autopilot",Investment_Strategy_Sub1="Non-Standard"),VLOOKUP(Investment_Strategy&amp;"_"&amp;Investment_Strategy_Sub2&amp;"_"&amp;$A249,'Investment Strategies'!$T:$AF,13,FALSE),
IF(Investment_Strategy="DIY",DIY_ExtManChrge_SP,
"Error"))))))</f>
        <v>0</v>
      </c>
      <c r="O249" s="16">
        <f t="shared" si="141"/>
        <v>0</v>
      </c>
      <c r="Q249" s="16">
        <f t="shared" si="115"/>
        <v>0</v>
      </c>
      <c r="R249" s="16">
        <f t="shared" si="116"/>
        <v>0</v>
      </c>
      <c r="S249" s="16">
        <f>(SRP_SP+SUM(S$91:S248))*L249*IF(D249=$A$91,SRP_finalmonthfactor,1)</f>
        <v>0</v>
      </c>
      <c r="T249" s="74">
        <f>MIN(IF($AV249=0,0,
IF(Investment_Strategy="DIS",VLOOKUP(Investment_Strategy&amp;"_"&amp;Investment_Strategy_Sub1&amp;"_"&amp;$A249,'Investment Strategies'!$AZ:$BP,12,FALSE),
IF(AND(Investment_Strategy="Lifecycle",Investment_Strategy_Sub1="Non-Standard"),VLOOKUP(Investment_Strategy&amp;"_"&amp;Investment_Strategy_Sub2&amp;"_"&amp;$A249,'Investment Strategies'!$C:$P,9,FALSE),
IF(AND(Investment_Strategy="Lifecycle",Investment_Strategy_Sub1="Standard"),VLOOKUP(Investment_Strategy&amp;"_"&amp;Investment_Strategy_Sub2&amp;"_"&amp;$A249,'Investment Strategies'!$AJ:$AV,8,FALSE),
IF(AND(Investment_Strategy="Autopilot",Investment_Strategy_Sub1="Non-Standard"),VLOOKUP(Investment_Strategy&amp;"_"&amp;Investment_Strategy_Sub2&amp;"_"&amp;$A249,'Investment Strategies'!$T:$AF,8,FALSE),
IF(Investment_Strategy ="DIY",DIY_RateOfReturn_FuturePremiums,
"Error")))))),Max_InvReturn)</f>
        <v>0</v>
      </c>
      <c r="U249" s="62">
        <f>IF($AV249=0,0,
IF(Investment_Strategy="DIS",VLOOKUP(Investment_Strategy&amp;"_"&amp;Investment_Strategy_Sub1&amp;"_"&amp;$A249,'Investment Strategies'!$AZ:$BP,15,FALSE),
IF(AND(Investment_Strategy="Lifecycle",Investment_Strategy_Sub1="Non-Standard"),VLOOKUP(Investment_Strategy&amp;"_"&amp;Investment_Strategy_Sub2&amp;"_"&amp;$A249,'Investment Strategies'!$C:$P,12,FALSE),
IF(AND(Investment_Strategy="Lifecycle",Investment_Strategy_Sub1="Standard"),VLOOKUP(Investment_Strategy&amp;"_"&amp;Investment_Strategy_Sub2&amp;"_"&amp;$A249,'Investment Strategies'!$AJ:$AV,11,FALSE),
IF(AND(Investment_Strategy="Autopilot",Investment_Strategy_Sub1="Non-Standard"),VLOOKUP(Investment_Strategy&amp;"_"&amp;Investment_Strategy_Sub2&amp;"_"&amp;$A249,'Investment Strategies'!$T:$AF,11,FALSE),
IF(Investment_Strategy="DIY",DIY_GteeChrge_FuturePremiums,
"Error"))))))</f>
        <v>0</v>
      </c>
      <c r="V249" s="33">
        <f>IF(AV249=0,0,
IF(Investment_Strategy="DIS",VLOOKUP(Investment_Strategy&amp;"_"&amp;Investment_Strategy_Sub1&amp;"_"&amp;$A249,'Investment Strategies'!$AZ:$BP,17,FALSE),
IF(AND(Investment_Strategy="Lifecycle",Investment_Strategy_Sub1="Non-Standard"),VLOOKUP(Investment_Strategy&amp;"_"&amp;Investment_Strategy_Sub2&amp;"_"&amp;$A249,'Investment Strategies'!$C:$P,14,FALSE),
IF(AND(Investment_Strategy="Lifecycle",Investment_Strategy_Sub1="Standard"),VLOOKUP(Investment_Strategy&amp;"_"&amp;Investment_Strategy_Sub2&amp;"_"&amp;$A249,'Investment Strategies'!$AJ:$AV,13,FALSE),
IF(AND(Investment_Strategy="Autopilot",Investment_Strategy_Sub1="Non-Standard"),VLOOKUP(Investment_Strategy&amp;"_"&amp;Investment_Strategy_Sub2&amp;"_"&amp;$A249,'Investment Strategies'!$T:$AF,13,FALSE),
IF(Investment_Strategy="DIY",DIY_ExtManChrge_FuturePremiums,
"Error"))))))</f>
        <v>0</v>
      </c>
      <c r="W249" s="16">
        <f t="shared" si="142"/>
        <v>0</v>
      </c>
      <c r="X249" s="16">
        <f t="shared" si="117"/>
        <v>0</v>
      </c>
      <c r="Y249" s="16">
        <f t="shared" si="118"/>
        <v>0</v>
      </c>
      <c r="Z249" s="31">
        <f t="shared" si="119"/>
        <v>0.02</v>
      </c>
      <c r="AA249" s="16">
        <f t="shared" si="120"/>
        <v>0</v>
      </c>
      <c r="AB249" s="28">
        <f t="shared" si="144"/>
        <v>0</v>
      </c>
      <c r="AC249" s="28">
        <f>(SUM($AC$91:AC248)+SUM($X$91:X248)+X249)*T249*IF(D249=$A$91,SRP_finalmonthfactor,1)</f>
        <v>0</v>
      </c>
      <c r="AD249" s="16">
        <f t="shared" si="121"/>
        <v>0</v>
      </c>
      <c r="AE249" s="106"/>
      <c r="AF249" s="16">
        <f t="shared" si="130"/>
        <v>0</v>
      </c>
      <c r="AG249" s="16">
        <f t="shared" si="131"/>
        <v>0</v>
      </c>
      <c r="AH249" s="16">
        <f t="shared" si="132"/>
        <v>0</v>
      </c>
      <c r="AJ249" s="13">
        <f t="shared" si="154"/>
        <v>0</v>
      </c>
      <c r="AK249" s="13">
        <f t="shared" si="154"/>
        <v>0</v>
      </c>
      <c r="AL249" s="13">
        <f t="shared" si="154"/>
        <v>0</v>
      </c>
      <c r="AM249" s="13">
        <f t="shared" si="154"/>
        <v>0</v>
      </c>
      <c r="AN249" s="13">
        <f t="shared" si="154"/>
        <v>0</v>
      </c>
      <c r="AO249" s="13">
        <f t="shared" si="154"/>
        <v>1</v>
      </c>
      <c r="AP249" s="13">
        <f t="shared" si="154"/>
        <v>1</v>
      </c>
      <c r="AQ249" s="13">
        <f t="shared" si="154"/>
        <v>1</v>
      </c>
      <c r="AR249" s="13">
        <f t="shared" si="154"/>
        <v>1</v>
      </c>
      <c r="AS249" s="13">
        <f t="shared" si="154"/>
        <v>1</v>
      </c>
      <c r="AT249" s="13">
        <f t="shared" si="154"/>
        <v>1</v>
      </c>
      <c r="AU249" s="13">
        <f t="shared" si="154"/>
        <v>1</v>
      </c>
      <c r="AV249" s="13">
        <f t="shared" si="122"/>
        <v>0</v>
      </c>
      <c r="AW249" s="13">
        <f t="shared" si="123"/>
        <v>1</v>
      </c>
      <c r="AY249" s="17">
        <f t="shared" si="124"/>
        <v>159</v>
      </c>
      <c r="AZ249" s="28">
        <f t="shared" si="133"/>
        <v>0</v>
      </c>
      <c r="BA249" s="13">
        <f t="shared" si="125"/>
        <v>0</v>
      </c>
      <c r="BB249" s="13">
        <f t="shared" si="126"/>
        <v>0</v>
      </c>
      <c r="BC249" s="28">
        <f t="shared" si="134"/>
        <v>0</v>
      </c>
      <c r="BD249" s="28">
        <f t="shared" si="135"/>
        <v>0</v>
      </c>
      <c r="BF249" s="248">
        <f t="shared" si="136"/>
        <v>993869.29442638322</v>
      </c>
      <c r="BG249" s="36">
        <f t="shared" si="145"/>
        <v>0</v>
      </c>
      <c r="BH249" s="36">
        <f t="shared" si="146"/>
        <v>867141.76134007203</v>
      </c>
      <c r="BI249" s="249">
        <f t="shared" si="147"/>
        <v>0</v>
      </c>
      <c r="BJ249" s="246">
        <f t="shared" si="148"/>
        <v>0</v>
      </c>
      <c r="BK249" s="246">
        <f t="shared" si="127"/>
        <v>7.531116566323881E-4</v>
      </c>
      <c r="BL249" s="246">
        <f t="shared" si="149"/>
        <v>0</v>
      </c>
      <c r="BM249" s="246">
        <f t="shared" si="150"/>
        <v>7.531116566323881E-4</v>
      </c>
      <c r="BN249" s="36">
        <f t="shared" si="137"/>
        <v>653.05456841794853</v>
      </c>
      <c r="BO249" s="36">
        <f t="shared" si="151"/>
        <v>0</v>
      </c>
      <c r="BP249" s="36">
        <f t="shared" si="152"/>
        <v>866488.70677165408</v>
      </c>
    </row>
    <row r="250" spans="1:68">
      <c r="A250" s="32">
        <f t="shared" si="138"/>
        <v>-75</v>
      </c>
      <c r="B250" s="32">
        <f t="shared" si="128"/>
        <v>66</v>
      </c>
      <c r="C250" s="32">
        <f t="shared" si="139"/>
        <v>14</v>
      </c>
      <c r="D250" s="32">
        <f t="shared" si="140"/>
        <v>160</v>
      </c>
      <c r="E250" s="74">
        <f>MIN(IF(AV250=0,0,
IF(Investment_Strategy="DIS",VLOOKUP(Investment_Strategy&amp;"_"&amp;Investment_Strategy_Sub1&amp;"_"&amp;$A250,'Investment Strategies'!$AZ:$BP,12,FALSE),
IF(AND(Investment_Strategy="Lifecycle",Investment_Strategy_Sub1="Non-Standard"),VLOOKUP(Investment_Strategy&amp;"_"&amp;Investment_Strategy_Sub2&amp;"_"&amp;$A250,'Investment Strategies'!$C:$P,9,FALSE),
IF(AND(Investment_Strategy="Lifecycle",Investment_Strategy_Sub1="Standard"),VLOOKUP(Investment_Strategy&amp;"_"&amp;Investment_Strategy_Sub2&amp;"_"&amp;$A250,'Investment Strategies'!$AJ:$AV,8,FALSE),
IF(AND(Investment_Strategy="Autopilot",Investment_Strategy_Sub1="Non-Standard"),VLOOKUP(Investment_Strategy&amp;"_"&amp;Investment_Strategy_Sub2&amp;"_"&amp;$A250,'Investment Strategies'!$T:$AF,8,FALSE),
IF(Investment_Strategy ="DIY",DIY_RateOfReturn_CurrentFunds,
"Error")))))),Max_InvReturn)</f>
        <v>0</v>
      </c>
      <c r="F250" s="62">
        <f>IF(AV250=0,0,
IF(Investment_Strategy="DIS",VLOOKUP(Investment_Strategy&amp;"_"&amp;Investment_Strategy_Sub1&amp;"_"&amp;$A250,'Investment Strategies'!$AZ:$BP,15,FALSE),
IF(AND(Investment_Strategy="Lifecycle",Investment_Strategy_Sub1="Non-Standard"),VLOOKUP(Investment_Strategy&amp;"_"&amp;Investment_Strategy_Sub2&amp;"_"&amp;$A250,'Investment Strategies'!$C:$P,12,FALSE),
IF(AND(Investment_Strategy="Lifecycle",Investment_Strategy_Sub1="Standard"),VLOOKUP(Investment_Strategy&amp;"_"&amp;Investment_Strategy_Sub2&amp;"_"&amp;$A250,'Investment Strategies'!$AJ:$AV,11,FALSE),
IF(AND(Investment_Strategy="Autopilot",Investment_Strategy_Sub1="Non-Standard"),VLOOKUP(Investment_Strategy&amp;"_"&amp;Investment_Strategy_Sub2&amp;"_"&amp;$A250,'Investment Strategies'!$T:$AF,11,FALSE),
IF(Investment_Strategy="DIY",DIY_GteeChrge_CurrentFunds,
"Error"))))))</f>
        <v>0</v>
      </c>
      <c r="G250" s="33">
        <f>IF(AV250=0,0,
IF(Investment_Strategy="DIS",VLOOKUP(Investment_Strategy&amp;"_"&amp;Investment_Strategy_Sub1&amp;"_"&amp;$A250,'Investment Strategies'!$AZ:$BP,17,FALSE),
IF(AND(Investment_Strategy="Lifecycle",Investment_Strategy_Sub1="Non-Standard"),VLOOKUP(Investment_Strategy&amp;"_"&amp;Investment_Strategy_Sub2&amp;"_"&amp;$A250,'Investment Strategies'!$C:$P,14,FALSE),
IF(AND(Investment_Strategy="Lifecycle",Investment_Strategy_Sub1="Standard"),VLOOKUP(Investment_Strategy&amp;"_"&amp;Investment_Strategy_Sub2&amp;"_"&amp;$A250,'Investment Strategies'!$AJ:$AV,13,FALSE),
IF(AND(Investment_Strategy="Autopilot",Investment_Strategy_Sub1="Non-Standard"),VLOOKUP(Investment_Strategy&amp;"_"&amp;Investment_Strategy_Sub2&amp;"_"&amp;$A250,'Investment Strategies'!$T:$AF,13,FALSE),
IF(Investment_Strategy="DIY",DIY_ExtManChrge_CurrentFunds,
"Error"))))))</f>
        <v>0</v>
      </c>
      <c r="H250" s="16">
        <f t="shared" si="129"/>
        <v>0</v>
      </c>
      <c r="I250" s="16">
        <f t="shared" si="113"/>
        <v>0</v>
      </c>
      <c r="J250" s="16">
        <f t="shared" si="114"/>
        <v>0</v>
      </c>
      <c r="K250" s="16">
        <f>(Opening_Fund_Value+SUM(K$91:K249))*E250*IF(D250=$A$91,SRP_finalmonthfactor,1)</f>
        <v>0</v>
      </c>
      <c r="L250" s="74">
        <f>MIN(IF($AV250=0,0,
IF(Investment_Strategy="DIS",VLOOKUP(Investment_Strategy&amp;"_"&amp;Investment_Strategy_Sub1&amp;"_"&amp;$A250,'Investment Strategies'!$AZ:$BP,12,FALSE),
IF(AND(Investment_Strategy="Lifecycle",Investment_Strategy_Sub1="Non-Standard"),VLOOKUP(Investment_Strategy&amp;"_"&amp;Investment_Strategy_Sub2&amp;"_"&amp;$A250,'Investment Strategies'!$C:$P,9,FALSE),
IF(AND(Investment_Strategy="Lifecycle",Investment_Strategy_Sub1="Standard"),VLOOKUP(Investment_Strategy&amp;"_"&amp;Investment_Strategy_Sub2&amp;"_"&amp;$A250,'Investment Strategies'!$AJ:$AV,8,FALSE),
IF(AND(Investment_Strategy="Autopilot",Investment_Strategy_Sub1="Non-Standard"),VLOOKUP(Investment_Strategy&amp;"_"&amp;Investment_Strategy_Sub2&amp;"_"&amp;$A250,'Investment Strategies'!$T:$AF,8,FALSE),
IF(Investment_Strategy ="DIY",DIY_RateofReturn_SP,
"Error")))))),Max_InvReturn)</f>
        <v>0</v>
      </c>
      <c r="M250" s="62">
        <f>IF($AV250=0,0,
IF(Investment_Strategy="DIS",VLOOKUP(Investment_Strategy&amp;"_"&amp;Investment_Strategy_Sub1&amp;"_"&amp;$A250,'Investment Strategies'!$AZ:$BP,15,FALSE),
IF(AND(Investment_Strategy="Lifecycle",Investment_Strategy_Sub1="Non-Standard"),VLOOKUP(Investment_Strategy&amp;"_"&amp;Investment_Strategy_Sub2&amp;"_"&amp;$A250,'Investment Strategies'!$C:$P,12,FALSE),
IF(AND(Investment_Strategy="Lifecycle",Investment_Strategy_Sub1="Standard"),VLOOKUP(Investment_Strategy&amp;"_"&amp;Investment_Strategy_Sub2&amp;"_"&amp;$A250,'Investment Strategies'!$AJ:$AV,11,FALSE),
IF(AND(Investment_Strategy="Autopilot",Investment_Strategy_Sub1="Non-Standard"),VLOOKUP(Investment_Strategy&amp;"_"&amp;Investment_Strategy_Sub2&amp;"_"&amp;$A250,'Investment Strategies'!$T:$AF,11,FALSE),
IF(Investment_Strategy="DIY",DIY_GteeChrge_SP,
"Error"))))))</f>
        <v>0</v>
      </c>
      <c r="N250" s="33">
        <f>IF($AV250=0,0,
IF(Investment_Strategy="DIS",VLOOKUP(Investment_Strategy&amp;"_"&amp;Investment_Strategy_Sub1&amp;"_"&amp;$A250,'Investment Strategies'!$AZ:$BP,17,FALSE),
IF(AND(Investment_Strategy="Lifecycle",Investment_Strategy_Sub1="Non-Standard"),VLOOKUP(Investment_Strategy&amp;"_"&amp;Investment_Strategy_Sub2&amp;"_"&amp;$A250,'Investment Strategies'!$C:$P,14,FALSE),
IF(AND(Investment_Strategy="Lifecycle",Investment_Strategy_Sub1="Standard"),VLOOKUP(Investment_Strategy&amp;"_"&amp;Investment_Strategy_Sub2&amp;"_"&amp;$A250,'Investment Strategies'!$AJ:$AV,13,FALSE),
IF(AND(Investment_Strategy="Autopilot",Investment_Strategy_Sub1="Non-Standard"),VLOOKUP(Investment_Strategy&amp;"_"&amp;Investment_Strategy_Sub2&amp;"_"&amp;$A250,'Investment Strategies'!$T:$AF,13,FALSE),
IF(Investment_Strategy="DIY",DIY_ExtManChrge_SP,
"Error"))))))</f>
        <v>0</v>
      </c>
      <c r="O250" s="16">
        <f t="shared" si="141"/>
        <v>0</v>
      </c>
      <c r="Q250" s="16">
        <f t="shared" si="115"/>
        <v>0</v>
      </c>
      <c r="R250" s="16">
        <f t="shared" si="116"/>
        <v>0</v>
      </c>
      <c r="S250" s="16">
        <f>(SRP_SP+SUM(S$91:S249))*L250*IF(D250=$A$91,SRP_finalmonthfactor,1)</f>
        <v>0</v>
      </c>
      <c r="T250" s="74">
        <f>MIN(IF($AV250=0,0,
IF(Investment_Strategy="DIS",VLOOKUP(Investment_Strategy&amp;"_"&amp;Investment_Strategy_Sub1&amp;"_"&amp;$A250,'Investment Strategies'!$AZ:$BP,12,FALSE),
IF(AND(Investment_Strategy="Lifecycle",Investment_Strategy_Sub1="Non-Standard"),VLOOKUP(Investment_Strategy&amp;"_"&amp;Investment_Strategy_Sub2&amp;"_"&amp;$A250,'Investment Strategies'!$C:$P,9,FALSE),
IF(AND(Investment_Strategy="Lifecycle",Investment_Strategy_Sub1="Standard"),VLOOKUP(Investment_Strategy&amp;"_"&amp;Investment_Strategy_Sub2&amp;"_"&amp;$A250,'Investment Strategies'!$AJ:$AV,8,FALSE),
IF(AND(Investment_Strategy="Autopilot",Investment_Strategy_Sub1="Non-Standard"),VLOOKUP(Investment_Strategy&amp;"_"&amp;Investment_Strategy_Sub2&amp;"_"&amp;$A250,'Investment Strategies'!$T:$AF,8,FALSE),
IF(Investment_Strategy ="DIY",DIY_RateOfReturn_FuturePremiums,
"Error")))))),Max_InvReturn)</f>
        <v>0</v>
      </c>
      <c r="U250" s="62">
        <f>IF($AV250=0,0,
IF(Investment_Strategy="DIS",VLOOKUP(Investment_Strategy&amp;"_"&amp;Investment_Strategy_Sub1&amp;"_"&amp;$A250,'Investment Strategies'!$AZ:$BP,15,FALSE),
IF(AND(Investment_Strategy="Lifecycle",Investment_Strategy_Sub1="Non-Standard"),VLOOKUP(Investment_Strategy&amp;"_"&amp;Investment_Strategy_Sub2&amp;"_"&amp;$A250,'Investment Strategies'!$C:$P,12,FALSE),
IF(AND(Investment_Strategy="Lifecycle",Investment_Strategy_Sub1="Standard"),VLOOKUP(Investment_Strategy&amp;"_"&amp;Investment_Strategy_Sub2&amp;"_"&amp;$A250,'Investment Strategies'!$AJ:$AV,11,FALSE),
IF(AND(Investment_Strategy="Autopilot",Investment_Strategy_Sub1="Non-Standard"),VLOOKUP(Investment_Strategy&amp;"_"&amp;Investment_Strategy_Sub2&amp;"_"&amp;$A250,'Investment Strategies'!$T:$AF,11,FALSE),
IF(Investment_Strategy="DIY",DIY_GteeChrge_FuturePremiums,
"Error"))))))</f>
        <v>0</v>
      </c>
      <c r="V250" s="33">
        <f>IF(AV250=0,0,
IF(Investment_Strategy="DIS",VLOOKUP(Investment_Strategy&amp;"_"&amp;Investment_Strategy_Sub1&amp;"_"&amp;$A250,'Investment Strategies'!$AZ:$BP,17,FALSE),
IF(AND(Investment_Strategy="Lifecycle",Investment_Strategy_Sub1="Non-Standard"),VLOOKUP(Investment_Strategy&amp;"_"&amp;Investment_Strategy_Sub2&amp;"_"&amp;$A250,'Investment Strategies'!$C:$P,14,FALSE),
IF(AND(Investment_Strategy="Lifecycle",Investment_Strategy_Sub1="Standard"),VLOOKUP(Investment_Strategy&amp;"_"&amp;Investment_Strategy_Sub2&amp;"_"&amp;$A250,'Investment Strategies'!$AJ:$AV,13,FALSE),
IF(AND(Investment_Strategy="Autopilot",Investment_Strategy_Sub1="Non-Standard"),VLOOKUP(Investment_Strategy&amp;"_"&amp;Investment_Strategy_Sub2&amp;"_"&amp;$A250,'Investment Strategies'!$T:$AF,13,FALSE),
IF(Investment_Strategy="DIY",DIY_ExtManChrge_FuturePremiums,
"Error"))))))</f>
        <v>0</v>
      </c>
      <c r="W250" s="16">
        <f t="shared" si="142"/>
        <v>0</v>
      </c>
      <c r="X250" s="16">
        <f t="shared" si="117"/>
        <v>0</v>
      </c>
      <c r="Y250" s="16">
        <f t="shared" si="118"/>
        <v>0</v>
      </c>
      <c r="Z250" s="31">
        <f t="shared" si="119"/>
        <v>0.02</v>
      </c>
      <c r="AA250" s="16">
        <f t="shared" si="120"/>
        <v>0</v>
      </c>
      <c r="AB250" s="28">
        <f t="shared" si="144"/>
        <v>0</v>
      </c>
      <c r="AC250" s="28">
        <f>(SUM($AC$91:AC249)+SUM($X$91:X249)+X250)*T250*IF(D250=$A$91,SRP_finalmonthfactor,1)</f>
        <v>0</v>
      </c>
      <c r="AD250" s="16">
        <f t="shared" si="121"/>
        <v>0</v>
      </c>
      <c r="AE250" s="106"/>
      <c r="AF250" s="16">
        <f t="shared" si="130"/>
        <v>0</v>
      </c>
      <c r="AG250" s="16">
        <f t="shared" si="131"/>
        <v>0</v>
      </c>
      <c r="AH250" s="16">
        <f t="shared" si="132"/>
        <v>0</v>
      </c>
      <c r="AJ250" s="13">
        <f t="shared" si="154"/>
        <v>0</v>
      </c>
      <c r="AK250" s="13">
        <f t="shared" si="154"/>
        <v>0</v>
      </c>
      <c r="AL250" s="13">
        <f t="shared" si="154"/>
        <v>0</v>
      </c>
      <c r="AM250" s="13">
        <f t="shared" si="154"/>
        <v>0</v>
      </c>
      <c r="AN250" s="13">
        <f t="shared" si="154"/>
        <v>0</v>
      </c>
      <c r="AO250" s="13">
        <f t="shared" si="154"/>
        <v>1</v>
      </c>
      <c r="AP250" s="13">
        <f t="shared" si="154"/>
        <v>1</v>
      </c>
      <c r="AQ250" s="13">
        <f t="shared" si="154"/>
        <v>1</v>
      </c>
      <c r="AR250" s="13">
        <f t="shared" si="154"/>
        <v>1</v>
      </c>
      <c r="AS250" s="13">
        <f t="shared" si="154"/>
        <v>1</v>
      </c>
      <c r="AT250" s="13">
        <f t="shared" si="154"/>
        <v>1</v>
      </c>
      <c r="AU250" s="13">
        <f t="shared" si="154"/>
        <v>1</v>
      </c>
      <c r="AV250" s="13">
        <f t="shared" si="122"/>
        <v>0</v>
      </c>
      <c r="AW250" s="13">
        <f t="shared" si="123"/>
        <v>1</v>
      </c>
      <c r="AY250" s="17">
        <f t="shared" si="124"/>
        <v>160</v>
      </c>
      <c r="AZ250" s="28">
        <f t="shared" si="133"/>
        <v>0</v>
      </c>
      <c r="BA250" s="13">
        <f t="shared" si="125"/>
        <v>0</v>
      </c>
      <c r="BB250" s="13">
        <f t="shared" si="126"/>
        <v>0</v>
      </c>
      <c r="BC250" s="28">
        <f t="shared" si="134"/>
        <v>0</v>
      </c>
      <c r="BD250" s="28">
        <f t="shared" si="135"/>
        <v>0</v>
      </c>
      <c r="BF250" s="248">
        <f t="shared" si="136"/>
        <v>993869.29442638322</v>
      </c>
      <c r="BG250" s="36">
        <f t="shared" si="145"/>
        <v>0</v>
      </c>
      <c r="BH250" s="36">
        <f t="shared" si="146"/>
        <v>866488.70677165408</v>
      </c>
      <c r="BI250" s="249">
        <f t="shared" si="147"/>
        <v>0</v>
      </c>
      <c r="BJ250" s="246">
        <f t="shared" si="148"/>
        <v>0</v>
      </c>
      <c r="BK250" s="246">
        <f t="shared" si="127"/>
        <v>7.531116566323881E-4</v>
      </c>
      <c r="BL250" s="246">
        <f t="shared" si="149"/>
        <v>0</v>
      </c>
      <c r="BM250" s="246">
        <f t="shared" si="150"/>
        <v>7.531116566323881E-4</v>
      </c>
      <c r="BN250" s="36">
        <f t="shared" si="137"/>
        <v>652.56274541005598</v>
      </c>
      <c r="BO250" s="36">
        <f t="shared" si="151"/>
        <v>0</v>
      </c>
      <c r="BP250" s="36">
        <f t="shared" si="152"/>
        <v>865836.14402624406</v>
      </c>
    </row>
    <row r="251" spans="1:68">
      <c r="A251" s="32">
        <f t="shared" si="138"/>
        <v>-76</v>
      </c>
      <c r="B251" s="32">
        <f t="shared" si="128"/>
        <v>66</v>
      </c>
      <c r="C251" s="32">
        <f t="shared" si="139"/>
        <v>14</v>
      </c>
      <c r="D251" s="32">
        <f t="shared" si="140"/>
        <v>161</v>
      </c>
      <c r="E251" s="74">
        <f>MIN(IF(AV251=0,0,
IF(Investment_Strategy="DIS",VLOOKUP(Investment_Strategy&amp;"_"&amp;Investment_Strategy_Sub1&amp;"_"&amp;$A251,'Investment Strategies'!$AZ:$BP,12,FALSE),
IF(AND(Investment_Strategy="Lifecycle",Investment_Strategy_Sub1="Non-Standard"),VLOOKUP(Investment_Strategy&amp;"_"&amp;Investment_Strategy_Sub2&amp;"_"&amp;$A251,'Investment Strategies'!$C:$P,9,FALSE),
IF(AND(Investment_Strategy="Lifecycle",Investment_Strategy_Sub1="Standard"),VLOOKUP(Investment_Strategy&amp;"_"&amp;Investment_Strategy_Sub2&amp;"_"&amp;$A251,'Investment Strategies'!$AJ:$AV,8,FALSE),
IF(AND(Investment_Strategy="Autopilot",Investment_Strategy_Sub1="Non-Standard"),VLOOKUP(Investment_Strategy&amp;"_"&amp;Investment_Strategy_Sub2&amp;"_"&amp;$A251,'Investment Strategies'!$T:$AF,8,FALSE),
IF(Investment_Strategy ="DIY",DIY_RateOfReturn_CurrentFunds,
"Error")))))),Max_InvReturn)</f>
        <v>0</v>
      </c>
      <c r="F251" s="62">
        <f>IF(AV251=0,0,
IF(Investment_Strategy="DIS",VLOOKUP(Investment_Strategy&amp;"_"&amp;Investment_Strategy_Sub1&amp;"_"&amp;$A251,'Investment Strategies'!$AZ:$BP,15,FALSE),
IF(AND(Investment_Strategy="Lifecycle",Investment_Strategy_Sub1="Non-Standard"),VLOOKUP(Investment_Strategy&amp;"_"&amp;Investment_Strategy_Sub2&amp;"_"&amp;$A251,'Investment Strategies'!$C:$P,12,FALSE),
IF(AND(Investment_Strategy="Lifecycle",Investment_Strategy_Sub1="Standard"),VLOOKUP(Investment_Strategy&amp;"_"&amp;Investment_Strategy_Sub2&amp;"_"&amp;$A251,'Investment Strategies'!$AJ:$AV,11,FALSE),
IF(AND(Investment_Strategy="Autopilot",Investment_Strategy_Sub1="Non-Standard"),VLOOKUP(Investment_Strategy&amp;"_"&amp;Investment_Strategy_Sub2&amp;"_"&amp;$A251,'Investment Strategies'!$T:$AF,11,FALSE),
IF(Investment_Strategy="DIY",DIY_GteeChrge_CurrentFunds,
"Error"))))))</f>
        <v>0</v>
      </c>
      <c r="G251" s="33">
        <f>IF(AV251=0,0,
IF(Investment_Strategy="DIS",VLOOKUP(Investment_Strategy&amp;"_"&amp;Investment_Strategy_Sub1&amp;"_"&amp;$A251,'Investment Strategies'!$AZ:$BP,17,FALSE),
IF(AND(Investment_Strategy="Lifecycle",Investment_Strategy_Sub1="Non-Standard"),VLOOKUP(Investment_Strategy&amp;"_"&amp;Investment_Strategy_Sub2&amp;"_"&amp;$A251,'Investment Strategies'!$C:$P,14,FALSE),
IF(AND(Investment_Strategy="Lifecycle",Investment_Strategy_Sub1="Standard"),VLOOKUP(Investment_Strategy&amp;"_"&amp;Investment_Strategy_Sub2&amp;"_"&amp;$A251,'Investment Strategies'!$AJ:$AV,13,FALSE),
IF(AND(Investment_Strategy="Autopilot",Investment_Strategy_Sub1="Non-Standard"),VLOOKUP(Investment_Strategy&amp;"_"&amp;Investment_Strategy_Sub2&amp;"_"&amp;$A251,'Investment Strategies'!$T:$AF,13,FALSE),
IF(Investment_Strategy="DIY",DIY_ExtManChrge_CurrentFunds,
"Error"))))))</f>
        <v>0</v>
      </c>
      <c r="H251" s="16">
        <f t="shared" si="129"/>
        <v>0</v>
      </c>
      <c r="I251" s="16">
        <f t="shared" si="113"/>
        <v>0</v>
      </c>
      <c r="J251" s="16">
        <f t="shared" si="114"/>
        <v>0</v>
      </c>
      <c r="K251" s="16">
        <f>(Opening_Fund_Value+SUM(K$91:K250))*E251*IF(D251=$A$91,SRP_finalmonthfactor,1)</f>
        <v>0</v>
      </c>
      <c r="L251" s="74">
        <f>MIN(IF($AV251=0,0,
IF(Investment_Strategy="DIS",VLOOKUP(Investment_Strategy&amp;"_"&amp;Investment_Strategy_Sub1&amp;"_"&amp;$A251,'Investment Strategies'!$AZ:$BP,12,FALSE),
IF(AND(Investment_Strategy="Lifecycle",Investment_Strategy_Sub1="Non-Standard"),VLOOKUP(Investment_Strategy&amp;"_"&amp;Investment_Strategy_Sub2&amp;"_"&amp;$A251,'Investment Strategies'!$C:$P,9,FALSE),
IF(AND(Investment_Strategy="Lifecycle",Investment_Strategy_Sub1="Standard"),VLOOKUP(Investment_Strategy&amp;"_"&amp;Investment_Strategy_Sub2&amp;"_"&amp;$A251,'Investment Strategies'!$AJ:$AV,8,FALSE),
IF(AND(Investment_Strategy="Autopilot",Investment_Strategy_Sub1="Non-Standard"),VLOOKUP(Investment_Strategy&amp;"_"&amp;Investment_Strategy_Sub2&amp;"_"&amp;$A251,'Investment Strategies'!$T:$AF,8,FALSE),
IF(Investment_Strategy ="DIY",DIY_RateofReturn_SP,
"Error")))))),Max_InvReturn)</f>
        <v>0</v>
      </c>
      <c r="M251" s="62">
        <f>IF($AV251=0,0,
IF(Investment_Strategy="DIS",VLOOKUP(Investment_Strategy&amp;"_"&amp;Investment_Strategy_Sub1&amp;"_"&amp;$A251,'Investment Strategies'!$AZ:$BP,15,FALSE),
IF(AND(Investment_Strategy="Lifecycle",Investment_Strategy_Sub1="Non-Standard"),VLOOKUP(Investment_Strategy&amp;"_"&amp;Investment_Strategy_Sub2&amp;"_"&amp;$A251,'Investment Strategies'!$C:$P,12,FALSE),
IF(AND(Investment_Strategy="Lifecycle",Investment_Strategy_Sub1="Standard"),VLOOKUP(Investment_Strategy&amp;"_"&amp;Investment_Strategy_Sub2&amp;"_"&amp;$A251,'Investment Strategies'!$AJ:$AV,11,FALSE),
IF(AND(Investment_Strategy="Autopilot",Investment_Strategy_Sub1="Non-Standard"),VLOOKUP(Investment_Strategy&amp;"_"&amp;Investment_Strategy_Sub2&amp;"_"&amp;$A251,'Investment Strategies'!$T:$AF,11,FALSE),
IF(Investment_Strategy="DIY",DIY_GteeChrge_SP,
"Error"))))))</f>
        <v>0</v>
      </c>
      <c r="N251" s="33">
        <f>IF($AV251=0,0,
IF(Investment_Strategy="DIS",VLOOKUP(Investment_Strategy&amp;"_"&amp;Investment_Strategy_Sub1&amp;"_"&amp;$A251,'Investment Strategies'!$AZ:$BP,17,FALSE),
IF(AND(Investment_Strategy="Lifecycle",Investment_Strategy_Sub1="Non-Standard"),VLOOKUP(Investment_Strategy&amp;"_"&amp;Investment_Strategy_Sub2&amp;"_"&amp;$A251,'Investment Strategies'!$C:$P,14,FALSE),
IF(AND(Investment_Strategy="Lifecycle",Investment_Strategy_Sub1="Standard"),VLOOKUP(Investment_Strategy&amp;"_"&amp;Investment_Strategy_Sub2&amp;"_"&amp;$A251,'Investment Strategies'!$AJ:$AV,13,FALSE),
IF(AND(Investment_Strategy="Autopilot",Investment_Strategy_Sub1="Non-Standard"),VLOOKUP(Investment_Strategy&amp;"_"&amp;Investment_Strategy_Sub2&amp;"_"&amp;$A251,'Investment Strategies'!$T:$AF,13,FALSE),
IF(Investment_Strategy="DIY",DIY_ExtManChrge_SP,
"Error"))))))</f>
        <v>0</v>
      </c>
      <c r="O251" s="16">
        <f t="shared" si="141"/>
        <v>0</v>
      </c>
      <c r="Q251" s="16">
        <f t="shared" si="115"/>
        <v>0</v>
      </c>
      <c r="R251" s="16">
        <f t="shared" si="116"/>
        <v>0</v>
      </c>
      <c r="S251" s="16">
        <f>(SRP_SP+SUM(S$91:S250))*L251*IF(D251=$A$91,SRP_finalmonthfactor,1)</f>
        <v>0</v>
      </c>
      <c r="T251" s="74">
        <f>MIN(IF($AV251=0,0,
IF(Investment_Strategy="DIS",VLOOKUP(Investment_Strategy&amp;"_"&amp;Investment_Strategy_Sub1&amp;"_"&amp;$A251,'Investment Strategies'!$AZ:$BP,12,FALSE),
IF(AND(Investment_Strategy="Lifecycle",Investment_Strategy_Sub1="Non-Standard"),VLOOKUP(Investment_Strategy&amp;"_"&amp;Investment_Strategy_Sub2&amp;"_"&amp;$A251,'Investment Strategies'!$C:$P,9,FALSE),
IF(AND(Investment_Strategy="Lifecycle",Investment_Strategy_Sub1="Standard"),VLOOKUP(Investment_Strategy&amp;"_"&amp;Investment_Strategy_Sub2&amp;"_"&amp;$A251,'Investment Strategies'!$AJ:$AV,8,FALSE),
IF(AND(Investment_Strategy="Autopilot",Investment_Strategy_Sub1="Non-Standard"),VLOOKUP(Investment_Strategy&amp;"_"&amp;Investment_Strategy_Sub2&amp;"_"&amp;$A251,'Investment Strategies'!$T:$AF,8,FALSE),
IF(Investment_Strategy ="DIY",DIY_RateOfReturn_FuturePremiums,
"Error")))))),Max_InvReturn)</f>
        <v>0</v>
      </c>
      <c r="U251" s="62">
        <f>IF($AV251=0,0,
IF(Investment_Strategy="DIS",VLOOKUP(Investment_Strategy&amp;"_"&amp;Investment_Strategy_Sub1&amp;"_"&amp;$A251,'Investment Strategies'!$AZ:$BP,15,FALSE),
IF(AND(Investment_Strategy="Lifecycle",Investment_Strategy_Sub1="Non-Standard"),VLOOKUP(Investment_Strategy&amp;"_"&amp;Investment_Strategy_Sub2&amp;"_"&amp;$A251,'Investment Strategies'!$C:$P,12,FALSE),
IF(AND(Investment_Strategy="Lifecycle",Investment_Strategy_Sub1="Standard"),VLOOKUP(Investment_Strategy&amp;"_"&amp;Investment_Strategy_Sub2&amp;"_"&amp;$A251,'Investment Strategies'!$AJ:$AV,11,FALSE),
IF(AND(Investment_Strategy="Autopilot",Investment_Strategy_Sub1="Non-Standard"),VLOOKUP(Investment_Strategy&amp;"_"&amp;Investment_Strategy_Sub2&amp;"_"&amp;$A251,'Investment Strategies'!$T:$AF,11,FALSE),
IF(Investment_Strategy="DIY",DIY_GteeChrge_FuturePremiums,
"Error"))))))</f>
        <v>0</v>
      </c>
      <c r="V251" s="33">
        <f>IF(AV251=0,0,
IF(Investment_Strategy="DIS",VLOOKUP(Investment_Strategy&amp;"_"&amp;Investment_Strategy_Sub1&amp;"_"&amp;$A251,'Investment Strategies'!$AZ:$BP,17,FALSE),
IF(AND(Investment_Strategy="Lifecycle",Investment_Strategy_Sub1="Non-Standard"),VLOOKUP(Investment_Strategy&amp;"_"&amp;Investment_Strategy_Sub2&amp;"_"&amp;$A251,'Investment Strategies'!$C:$P,14,FALSE),
IF(AND(Investment_Strategy="Lifecycle",Investment_Strategy_Sub1="Standard"),VLOOKUP(Investment_Strategy&amp;"_"&amp;Investment_Strategy_Sub2&amp;"_"&amp;$A251,'Investment Strategies'!$AJ:$AV,13,FALSE),
IF(AND(Investment_Strategy="Autopilot",Investment_Strategy_Sub1="Non-Standard"),VLOOKUP(Investment_Strategy&amp;"_"&amp;Investment_Strategy_Sub2&amp;"_"&amp;$A251,'Investment Strategies'!$T:$AF,13,FALSE),
IF(Investment_Strategy="DIY",DIY_ExtManChrge_FuturePremiums,
"Error"))))))</f>
        <v>0</v>
      </c>
      <c r="W251" s="16">
        <f t="shared" si="142"/>
        <v>0</v>
      </c>
      <c r="X251" s="16">
        <f t="shared" si="117"/>
        <v>0</v>
      </c>
      <c r="Y251" s="16">
        <f t="shared" si="118"/>
        <v>0</v>
      </c>
      <c r="Z251" s="31">
        <f t="shared" si="119"/>
        <v>0.02</v>
      </c>
      <c r="AA251" s="16">
        <f t="shared" si="120"/>
        <v>0</v>
      </c>
      <c r="AB251" s="28">
        <f t="shared" si="144"/>
        <v>0</v>
      </c>
      <c r="AC251" s="28">
        <f>(SUM($AC$91:AC250)+SUM($X$91:X250)+X251)*T251*IF(D251=$A$91,SRP_finalmonthfactor,1)</f>
        <v>0</v>
      </c>
      <c r="AD251" s="16">
        <f t="shared" si="121"/>
        <v>0</v>
      </c>
      <c r="AE251" s="106"/>
      <c r="AF251" s="16">
        <f t="shared" si="130"/>
        <v>0</v>
      </c>
      <c r="AG251" s="16">
        <f t="shared" si="131"/>
        <v>0</v>
      </c>
      <c r="AH251" s="16">
        <f t="shared" si="132"/>
        <v>0</v>
      </c>
      <c r="AJ251" s="13">
        <f t="shared" ref="AJ251:AU260" si="155">IF($C251&lt;=AJ$90,1,0)</f>
        <v>0</v>
      </c>
      <c r="AK251" s="13">
        <f t="shared" si="155"/>
        <v>0</v>
      </c>
      <c r="AL251" s="13">
        <f t="shared" si="155"/>
        <v>0</v>
      </c>
      <c r="AM251" s="13">
        <f t="shared" si="155"/>
        <v>0</v>
      </c>
      <c r="AN251" s="13">
        <f t="shared" si="155"/>
        <v>0</v>
      </c>
      <c r="AO251" s="13">
        <f t="shared" si="155"/>
        <v>1</v>
      </c>
      <c r="AP251" s="13">
        <f t="shared" si="155"/>
        <v>1</v>
      </c>
      <c r="AQ251" s="13">
        <f t="shared" si="155"/>
        <v>1</v>
      </c>
      <c r="AR251" s="13">
        <f t="shared" si="155"/>
        <v>1</v>
      </c>
      <c r="AS251" s="13">
        <f t="shared" si="155"/>
        <v>1</v>
      </c>
      <c r="AT251" s="13">
        <f t="shared" si="155"/>
        <v>1</v>
      </c>
      <c r="AU251" s="13">
        <f t="shared" si="155"/>
        <v>1</v>
      </c>
      <c r="AV251" s="13">
        <f t="shared" si="122"/>
        <v>0</v>
      </c>
      <c r="AW251" s="13">
        <f t="shared" si="123"/>
        <v>1</v>
      </c>
      <c r="AY251" s="17">
        <f t="shared" si="124"/>
        <v>161</v>
      </c>
      <c r="AZ251" s="28">
        <f t="shared" si="133"/>
        <v>0</v>
      </c>
      <c r="BA251" s="13">
        <f t="shared" si="125"/>
        <v>0</v>
      </c>
      <c r="BB251" s="13">
        <f t="shared" si="126"/>
        <v>0</v>
      </c>
      <c r="BC251" s="28">
        <f t="shared" si="134"/>
        <v>0</v>
      </c>
      <c r="BD251" s="28">
        <f t="shared" si="135"/>
        <v>0</v>
      </c>
      <c r="BF251" s="248">
        <f t="shared" si="136"/>
        <v>993869.29442638322</v>
      </c>
      <c r="BG251" s="36">
        <f t="shared" si="145"/>
        <v>0</v>
      </c>
      <c r="BH251" s="36">
        <f t="shared" si="146"/>
        <v>865836.14402624406</v>
      </c>
      <c r="BI251" s="249">
        <f t="shared" si="147"/>
        <v>0</v>
      </c>
      <c r="BJ251" s="246">
        <f t="shared" si="148"/>
        <v>0</v>
      </c>
      <c r="BK251" s="246">
        <f t="shared" si="127"/>
        <v>7.531116566323881E-4</v>
      </c>
      <c r="BL251" s="246">
        <f t="shared" si="149"/>
        <v>0</v>
      </c>
      <c r="BM251" s="246">
        <f t="shared" si="150"/>
        <v>7.531116566323881E-4</v>
      </c>
      <c r="BN251" s="36">
        <f t="shared" si="137"/>
        <v>652.0712927998037</v>
      </c>
      <c r="BO251" s="36">
        <f t="shared" si="151"/>
        <v>0</v>
      </c>
      <c r="BP251" s="36">
        <f t="shared" si="152"/>
        <v>865184.07273344428</v>
      </c>
    </row>
    <row r="252" spans="1:68">
      <c r="A252" s="32">
        <f t="shared" si="138"/>
        <v>-77</v>
      </c>
      <c r="B252" s="32">
        <f t="shared" si="128"/>
        <v>66</v>
      </c>
      <c r="C252" s="32">
        <f t="shared" si="139"/>
        <v>14</v>
      </c>
      <c r="D252" s="32">
        <f t="shared" si="140"/>
        <v>162</v>
      </c>
      <c r="E252" s="74">
        <f>MIN(IF(AV252=0,0,
IF(Investment_Strategy="DIS",VLOOKUP(Investment_Strategy&amp;"_"&amp;Investment_Strategy_Sub1&amp;"_"&amp;$A252,'Investment Strategies'!$AZ:$BP,12,FALSE),
IF(AND(Investment_Strategy="Lifecycle",Investment_Strategy_Sub1="Non-Standard"),VLOOKUP(Investment_Strategy&amp;"_"&amp;Investment_Strategy_Sub2&amp;"_"&amp;$A252,'Investment Strategies'!$C:$P,9,FALSE),
IF(AND(Investment_Strategy="Lifecycle",Investment_Strategy_Sub1="Standard"),VLOOKUP(Investment_Strategy&amp;"_"&amp;Investment_Strategy_Sub2&amp;"_"&amp;$A252,'Investment Strategies'!$AJ:$AV,8,FALSE),
IF(AND(Investment_Strategy="Autopilot",Investment_Strategy_Sub1="Non-Standard"),VLOOKUP(Investment_Strategy&amp;"_"&amp;Investment_Strategy_Sub2&amp;"_"&amp;$A252,'Investment Strategies'!$T:$AF,8,FALSE),
IF(Investment_Strategy ="DIY",DIY_RateOfReturn_CurrentFunds,
"Error")))))),Max_InvReturn)</f>
        <v>0</v>
      </c>
      <c r="F252" s="62">
        <f>IF(AV252=0,0,
IF(Investment_Strategy="DIS",VLOOKUP(Investment_Strategy&amp;"_"&amp;Investment_Strategy_Sub1&amp;"_"&amp;$A252,'Investment Strategies'!$AZ:$BP,15,FALSE),
IF(AND(Investment_Strategy="Lifecycle",Investment_Strategy_Sub1="Non-Standard"),VLOOKUP(Investment_Strategy&amp;"_"&amp;Investment_Strategy_Sub2&amp;"_"&amp;$A252,'Investment Strategies'!$C:$P,12,FALSE),
IF(AND(Investment_Strategy="Lifecycle",Investment_Strategy_Sub1="Standard"),VLOOKUP(Investment_Strategy&amp;"_"&amp;Investment_Strategy_Sub2&amp;"_"&amp;$A252,'Investment Strategies'!$AJ:$AV,11,FALSE),
IF(AND(Investment_Strategy="Autopilot",Investment_Strategy_Sub1="Non-Standard"),VLOOKUP(Investment_Strategy&amp;"_"&amp;Investment_Strategy_Sub2&amp;"_"&amp;$A252,'Investment Strategies'!$T:$AF,11,FALSE),
IF(Investment_Strategy="DIY",DIY_GteeChrge_CurrentFunds,
"Error"))))))</f>
        <v>0</v>
      </c>
      <c r="G252" s="33">
        <f>IF(AV252=0,0,
IF(Investment_Strategy="DIS",VLOOKUP(Investment_Strategy&amp;"_"&amp;Investment_Strategy_Sub1&amp;"_"&amp;$A252,'Investment Strategies'!$AZ:$BP,17,FALSE),
IF(AND(Investment_Strategy="Lifecycle",Investment_Strategy_Sub1="Non-Standard"),VLOOKUP(Investment_Strategy&amp;"_"&amp;Investment_Strategy_Sub2&amp;"_"&amp;$A252,'Investment Strategies'!$C:$P,14,FALSE),
IF(AND(Investment_Strategy="Lifecycle",Investment_Strategy_Sub1="Standard"),VLOOKUP(Investment_Strategy&amp;"_"&amp;Investment_Strategy_Sub2&amp;"_"&amp;$A252,'Investment Strategies'!$AJ:$AV,13,FALSE),
IF(AND(Investment_Strategy="Autopilot",Investment_Strategy_Sub1="Non-Standard"),VLOOKUP(Investment_Strategy&amp;"_"&amp;Investment_Strategy_Sub2&amp;"_"&amp;$A252,'Investment Strategies'!$T:$AF,13,FALSE),
IF(Investment_Strategy="DIY",DIY_ExtManChrge_CurrentFunds,
"Error"))))))</f>
        <v>0</v>
      </c>
      <c r="H252" s="16">
        <f t="shared" si="129"/>
        <v>0</v>
      </c>
      <c r="I252" s="16">
        <f t="shared" si="113"/>
        <v>0</v>
      </c>
      <c r="J252" s="16">
        <f t="shared" si="114"/>
        <v>0</v>
      </c>
      <c r="K252" s="16">
        <f>(Opening_Fund_Value+SUM(K$91:K251))*E252*IF(D252=$A$91,SRP_finalmonthfactor,1)</f>
        <v>0</v>
      </c>
      <c r="L252" s="74">
        <f>MIN(IF($AV252=0,0,
IF(Investment_Strategy="DIS",VLOOKUP(Investment_Strategy&amp;"_"&amp;Investment_Strategy_Sub1&amp;"_"&amp;$A252,'Investment Strategies'!$AZ:$BP,12,FALSE),
IF(AND(Investment_Strategy="Lifecycle",Investment_Strategy_Sub1="Non-Standard"),VLOOKUP(Investment_Strategy&amp;"_"&amp;Investment_Strategy_Sub2&amp;"_"&amp;$A252,'Investment Strategies'!$C:$P,9,FALSE),
IF(AND(Investment_Strategy="Lifecycle",Investment_Strategy_Sub1="Standard"),VLOOKUP(Investment_Strategy&amp;"_"&amp;Investment_Strategy_Sub2&amp;"_"&amp;$A252,'Investment Strategies'!$AJ:$AV,8,FALSE),
IF(AND(Investment_Strategy="Autopilot",Investment_Strategy_Sub1="Non-Standard"),VLOOKUP(Investment_Strategy&amp;"_"&amp;Investment_Strategy_Sub2&amp;"_"&amp;$A252,'Investment Strategies'!$T:$AF,8,FALSE),
IF(Investment_Strategy ="DIY",DIY_RateofReturn_SP,
"Error")))))),Max_InvReturn)</f>
        <v>0</v>
      </c>
      <c r="M252" s="62">
        <f>IF($AV252=0,0,
IF(Investment_Strategy="DIS",VLOOKUP(Investment_Strategy&amp;"_"&amp;Investment_Strategy_Sub1&amp;"_"&amp;$A252,'Investment Strategies'!$AZ:$BP,15,FALSE),
IF(AND(Investment_Strategy="Lifecycle",Investment_Strategy_Sub1="Non-Standard"),VLOOKUP(Investment_Strategy&amp;"_"&amp;Investment_Strategy_Sub2&amp;"_"&amp;$A252,'Investment Strategies'!$C:$P,12,FALSE),
IF(AND(Investment_Strategy="Lifecycle",Investment_Strategy_Sub1="Standard"),VLOOKUP(Investment_Strategy&amp;"_"&amp;Investment_Strategy_Sub2&amp;"_"&amp;$A252,'Investment Strategies'!$AJ:$AV,11,FALSE),
IF(AND(Investment_Strategy="Autopilot",Investment_Strategy_Sub1="Non-Standard"),VLOOKUP(Investment_Strategy&amp;"_"&amp;Investment_Strategy_Sub2&amp;"_"&amp;$A252,'Investment Strategies'!$T:$AF,11,FALSE),
IF(Investment_Strategy="DIY",DIY_GteeChrge_SP,
"Error"))))))</f>
        <v>0</v>
      </c>
      <c r="N252" s="33">
        <f>IF($AV252=0,0,
IF(Investment_Strategy="DIS",VLOOKUP(Investment_Strategy&amp;"_"&amp;Investment_Strategy_Sub1&amp;"_"&amp;$A252,'Investment Strategies'!$AZ:$BP,17,FALSE),
IF(AND(Investment_Strategy="Lifecycle",Investment_Strategy_Sub1="Non-Standard"),VLOOKUP(Investment_Strategy&amp;"_"&amp;Investment_Strategy_Sub2&amp;"_"&amp;$A252,'Investment Strategies'!$C:$P,14,FALSE),
IF(AND(Investment_Strategy="Lifecycle",Investment_Strategy_Sub1="Standard"),VLOOKUP(Investment_Strategy&amp;"_"&amp;Investment_Strategy_Sub2&amp;"_"&amp;$A252,'Investment Strategies'!$AJ:$AV,13,FALSE),
IF(AND(Investment_Strategy="Autopilot",Investment_Strategy_Sub1="Non-Standard"),VLOOKUP(Investment_Strategy&amp;"_"&amp;Investment_Strategy_Sub2&amp;"_"&amp;$A252,'Investment Strategies'!$T:$AF,13,FALSE),
IF(Investment_Strategy="DIY",DIY_ExtManChrge_SP,
"Error"))))))</f>
        <v>0</v>
      </c>
      <c r="O252" s="16">
        <f t="shared" si="141"/>
        <v>0</v>
      </c>
      <c r="Q252" s="16">
        <f t="shared" si="115"/>
        <v>0</v>
      </c>
      <c r="R252" s="16">
        <f t="shared" si="116"/>
        <v>0</v>
      </c>
      <c r="S252" s="16">
        <f>(SRP_SP+SUM(S$91:S251))*L252*IF(D252=$A$91,SRP_finalmonthfactor,1)</f>
        <v>0</v>
      </c>
      <c r="T252" s="74">
        <f>MIN(IF($AV252=0,0,
IF(Investment_Strategy="DIS",VLOOKUP(Investment_Strategy&amp;"_"&amp;Investment_Strategy_Sub1&amp;"_"&amp;$A252,'Investment Strategies'!$AZ:$BP,12,FALSE),
IF(AND(Investment_Strategy="Lifecycle",Investment_Strategy_Sub1="Non-Standard"),VLOOKUP(Investment_Strategy&amp;"_"&amp;Investment_Strategy_Sub2&amp;"_"&amp;$A252,'Investment Strategies'!$C:$P,9,FALSE),
IF(AND(Investment_Strategy="Lifecycle",Investment_Strategy_Sub1="Standard"),VLOOKUP(Investment_Strategy&amp;"_"&amp;Investment_Strategy_Sub2&amp;"_"&amp;$A252,'Investment Strategies'!$AJ:$AV,8,FALSE),
IF(AND(Investment_Strategy="Autopilot",Investment_Strategy_Sub1="Non-Standard"),VLOOKUP(Investment_Strategy&amp;"_"&amp;Investment_Strategy_Sub2&amp;"_"&amp;$A252,'Investment Strategies'!$T:$AF,8,FALSE),
IF(Investment_Strategy ="DIY",DIY_RateOfReturn_FuturePremiums,
"Error")))))),Max_InvReturn)</f>
        <v>0</v>
      </c>
      <c r="U252" s="62">
        <f>IF($AV252=0,0,
IF(Investment_Strategy="DIS",VLOOKUP(Investment_Strategy&amp;"_"&amp;Investment_Strategy_Sub1&amp;"_"&amp;$A252,'Investment Strategies'!$AZ:$BP,15,FALSE),
IF(AND(Investment_Strategy="Lifecycle",Investment_Strategy_Sub1="Non-Standard"),VLOOKUP(Investment_Strategy&amp;"_"&amp;Investment_Strategy_Sub2&amp;"_"&amp;$A252,'Investment Strategies'!$C:$P,12,FALSE),
IF(AND(Investment_Strategy="Lifecycle",Investment_Strategy_Sub1="Standard"),VLOOKUP(Investment_Strategy&amp;"_"&amp;Investment_Strategy_Sub2&amp;"_"&amp;$A252,'Investment Strategies'!$AJ:$AV,11,FALSE),
IF(AND(Investment_Strategy="Autopilot",Investment_Strategy_Sub1="Non-Standard"),VLOOKUP(Investment_Strategy&amp;"_"&amp;Investment_Strategy_Sub2&amp;"_"&amp;$A252,'Investment Strategies'!$T:$AF,11,FALSE),
IF(Investment_Strategy="DIY",DIY_GteeChrge_FuturePremiums,
"Error"))))))</f>
        <v>0</v>
      </c>
      <c r="V252" s="33">
        <f>IF(AV252=0,0,
IF(Investment_Strategy="DIS",VLOOKUP(Investment_Strategy&amp;"_"&amp;Investment_Strategy_Sub1&amp;"_"&amp;$A252,'Investment Strategies'!$AZ:$BP,17,FALSE),
IF(AND(Investment_Strategy="Lifecycle",Investment_Strategy_Sub1="Non-Standard"),VLOOKUP(Investment_Strategy&amp;"_"&amp;Investment_Strategy_Sub2&amp;"_"&amp;$A252,'Investment Strategies'!$C:$P,14,FALSE),
IF(AND(Investment_Strategy="Lifecycle",Investment_Strategy_Sub1="Standard"),VLOOKUP(Investment_Strategy&amp;"_"&amp;Investment_Strategy_Sub2&amp;"_"&amp;$A252,'Investment Strategies'!$AJ:$AV,13,FALSE),
IF(AND(Investment_Strategy="Autopilot",Investment_Strategy_Sub1="Non-Standard"),VLOOKUP(Investment_Strategy&amp;"_"&amp;Investment_Strategy_Sub2&amp;"_"&amp;$A252,'Investment Strategies'!$T:$AF,13,FALSE),
IF(Investment_Strategy="DIY",DIY_ExtManChrge_FuturePremiums,
"Error"))))))</f>
        <v>0</v>
      </c>
      <c r="W252" s="16">
        <f t="shared" si="142"/>
        <v>0</v>
      </c>
      <c r="X252" s="16">
        <f t="shared" si="117"/>
        <v>0</v>
      </c>
      <c r="Y252" s="16">
        <f t="shared" si="118"/>
        <v>0</v>
      </c>
      <c r="Z252" s="31">
        <f t="shared" si="119"/>
        <v>0.02</v>
      </c>
      <c r="AA252" s="16">
        <f t="shared" si="120"/>
        <v>0</v>
      </c>
      <c r="AB252" s="28">
        <f t="shared" si="144"/>
        <v>0</v>
      </c>
      <c r="AC252" s="28">
        <f>(SUM($AC$91:AC251)+SUM($X$91:X251)+X252)*T252*IF(D252=$A$91,SRP_finalmonthfactor,1)</f>
        <v>0</v>
      </c>
      <c r="AD252" s="16">
        <f t="shared" si="121"/>
        <v>0</v>
      </c>
      <c r="AE252" s="106"/>
      <c r="AF252" s="16">
        <f t="shared" si="130"/>
        <v>0</v>
      </c>
      <c r="AG252" s="16">
        <f t="shared" si="131"/>
        <v>0</v>
      </c>
      <c r="AH252" s="16">
        <f t="shared" si="132"/>
        <v>0</v>
      </c>
      <c r="AJ252" s="13">
        <f t="shared" si="155"/>
        <v>0</v>
      </c>
      <c r="AK252" s="13">
        <f t="shared" si="155"/>
        <v>0</v>
      </c>
      <c r="AL252" s="13">
        <f t="shared" si="155"/>
        <v>0</v>
      </c>
      <c r="AM252" s="13">
        <f t="shared" si="155"/>
        <v>0</v>
      </c>
      <c r="AN252" s="13">
        <f t="shared" si="155"/>
        <v>0</v>
      </c>
      <c r="AO252" s="13">
        <f t="shared" si="155"/>
        <v>1</v>
      </c>
      <c r="AP252" s="13">
        <f t="shared" si="155"/>
        <v>1</v>
      </c>
      <c r="AQ252" s="13">
        <f t="shared" si="155"/>
        <v>1</v>
      </c>
      <c r="AR252" s="13">
        <f t="shared" si="155"/>
        <v>1</v>
      </c>
      <c r="AS252" s="13">
        <f t="shared" si="155"/>
        <v>1</v>
      </c>
      <c r="AT252" s="13">
        <f t="shared" si="155"/>
        <v>1</v>
      </c>
      <c r="AU252" s="13">
        <f t="shared" si="155"/>
        <v>1</v>
      </c>
      <c r="AV252" s="13">
        <f t="shared" si="122"/>
        <v>0</v>
      </c>
      <c r="AW252" s="13">
        <f t="shared" si="123"/>
        <v>1</v>
      </c>
      <c r="AY252" s="17">
        <f t="shared" si="124"/>
        <v>162</v>
      </c>
      <c r="AZ252" s="28">
        <f t="shared" si="133"/>
        <v>0</v>
      </c>
      <c r="BA252" s="13">
        <f t="shared" si="125"/>
        <v>0</v>
      </c>
      <c r="BB252" s="13">
        <f t="shared" si="126"/>
        <v>0</v>
      </c>
      <c r="BC252" s="28">
        <f t="shared" si="134"/>
        <v>0</v>
      </c>
      <c r="BD252" s="28">
        <f t="shared" si="135"/>
        <v>0</v>
      </c>
      <c r="BF252" s="248">
        <f t="shared" si="136"/>
        <v>993869.29442638322</v>
      </c>
      <c r="BG252" s="36">
        <f t="shared" si="145"/>
        <v>0</v>
      </c>
      <c r="BH252" s="36">
        <f t="shared" si="146"/>
        <v>865184.07273344428</v>
      </c>
      <c r="BI252" s="249">
        <f t="shared" si="147"/>
        <v>0</v>
      </c>
      <c r="BJ252" s="246">
        <f t="shared" si="148"/>
        <v>0</v>
      </c>
      <c r="BK252" s="246">
        <f t="shared" si="127"/>
        <v>7.531116566323881E-4</v>
      </c>
      <c r="BL252" s="246">
        <f t="shared" si="149"/>
        <v>0</v>
      </c>
      <c r="BM252" s="246">
        <f t="shared" si="150"/>
        <v>7.531116566323881E-4</v>
      </c>
      <c r="BN252" s="36">
        <f t="shared" si="137"/>
        <v>651.58021030824079</v>
      </c>
      <c r="BO252" s="36">
        <f t="shared" si="151"/>
        <v>0</v>
      </c>
      <c r="BP252" s="36">
        <f t="shared" si="152"/>
        <v>864532.49252313608</v>
      </c>
    </row>
    <row r="253" spans="1:68">
      <c r="A253" s="32">
        <f t="shared" si="138"/>
        <v>-78</v>
      </c>
      <c r="B253" s="32">
        <f t="shared" si="128"/>
        <v>66</v>
      </c>
      <c r="C253" s="32">
        <f t="shared" si="139"/>
        <v>14</v>
      </c>
      <c r="D253" s="32">
        <f t="shared" si="140"/>
        <v>163</v>
      </c>
      <c r="E253" s="74">
        <f>MIN(IF(AV253=0,0,
IF(Investment_Strategy="DIS",VLOOKUP(Investment_Strategy&amp;"_"&amp;Investment_Strategy_Sub1&amp;"_"&amp;$A253,'Investment Strategies'!$AZ:$BP,12,FALSE),
IF(AND(Investment_Strategy="Lifecycle",Investment_Strategy_Sub1="Non-Standard"),VLOOKUP(Investment_Strategy&amp;"_"&amp;Investment_Strategy_Sub2&amp;"_"&amp;$A253,'Investment Strategies'!$C:$P,9,FALSE),
IF(AND(Investment_Strategy="Lifecycle",Investment_Strategy_Sub1="Standard"),VLOOKUP(Investment_Strategy&amp;"_"&amp;Investment_Strategy_Sub2&amp;"_"&amp;$A253,'Investment Strategies'!$AJ:$AV,8,FALSE),
IF(AND(Investment_Strategy="Autopilot",Investment_Strategy_Sub1="Non-Standard"),VLOOKUP(Investment_Strategy&amp;"_"&amp;Investment_Strategy_Sub2&amp;"_"&amp;$A253,'Investment Strategies'!$T:$AF,8,FALSE),
IF(Investment_Strategy ="DIY",DIY_RateOfReturn_CurrentFunds,
"Error")))))),Max_InvReturn)</f>
        <v>0</v>
      </c>
      <c r="F253" s="62">
        <f>IF(AV253=0,0,
IF(Investment_Strategy="DIS",VLOOKUP(Investment_Strategy&amp;"_"&amp;Investment_Strategy_Sub1&amp;"_"&amp;$A253,'Investment Strategies'!$AZ:$BP,15,FALSE),
IF(AND(Investment_Strategy="Lifecycle",Investment_Strategy_Sub1="Non-Standard"),VLOOKUP(Investment_Strategy&amp;"_"&amp;Investment_Strategy_Sub2&amp;"_"&amp;$A253,'Investment Strategies'!$C:$P,12,FALSE),
IF(AND(Investment_Strategy="Lifecycle",Investment_Strategy_Sub1="Standard"),VLOOKUP(Investment_Strategy&amp;"_"&amp;Investment_Strategy_Sub2&amp;"_"&amp;$A253,'Investment Strategies'!$AJ:$AV,11,FALSE),
IF(AND(Investment_Strategy="Autopilot",Investment_Strategy_Sub1="Non-Standard"),VLOOKUP(Investment_Strategy&amp;"_"&amp;Investment_Strategy_Sub2&amp;"_"&amp;$A253,'Investment Strategies'!$T:$AF,11,FALSE),
IF(Investment_Strategy="DIY",DIY_GteeChrge_CurrentFunds,
"Error"))))))</f>
        <v>0</v>
      </c>
      <c r="G253" s="33">
        <f>IF(AV253=0,0,
IF(Investment_Strategy="DIS",VLOOKUP(Investment_Strategy&amp;"_"&amp;Investment_Strategy_Sub1&amp;"_"&amp;$A253,'Investment Strategies'!$AZ:$BP,17,FALSE),
IF(AND(Investment_Strategy="Lifecycle",Investment_Strategy_Sub1="Non-Standard"),VLOOKUP(Investment_Strategy&amp;"_"&amp;Investment_Strategy_Sub2&amp;"_"&amp;$A253,'Investment Strategies'!$C:$P,14,FALSE),
IF(AND(Investment_Strategy="Lifecycle",Investment_Strategy_Sub1="Standard"),VLOOKUP(Investment_Strategy&amp;"_"&amp;Investment_Strategy_Sub2&amp;"_"&amp;$A253,'Investment Strategies'!$AJ:$AV,13,FALSE),
IF(AND(Investment_Strategy="Autopilot",Investment_Strategy_Sub1="Non-Standard"),VLOOKUP(Investment_Strategy&amp;"_"&amp;Investment_Strategy_Sub2&amp;"_"&amp;$A253,'Investment Strategies'!$T:$AF,13,FALSE),
IF(Investment_Strategy="DIY",DIY_ExtManChrge_CurrentFunds,
"Error"))))))</f>
        <v>0</v>
      </c>
      <c r="H253" s="16">
        <f t="shared" si="129"/>
        <v>0</v>
      </c>
      <c r="I253" s="16">
        <f t="shared" si="113"/>
        <v>0</v>
      </c>
      <c r="J253" s="16">
        <f t="shared" si="114"/>
        <v>0</v>
      </c>
      <c r="K253" s="16">
        <f>(Opening_Fund_Value+SUM(K$91:K252))*E253*IF(D253=$A$91,SRP_finalmonthfactor,1)</f>
        <v>0</v>
      </c>
      <c r="L253" s="74">
        <f>MIN(IF($AV253=0,0,
IF(Investment_Strategy="DIS",VLOOKUP(Investment_Strategy&amp;"_"&amp;Investment_Strategy_Sub1&amp;"_"&amp;$A253,'Investment Strategies'!$AZ:$BP,12,FALSE),
IF(AND(Investment_Strategy="Lifecycle",Investment_Strategy_Sub1="Non-Standard"),VLOOKUP(Investment_Strategy&amp;"_"&amp;Investment_Strategy_Sub2&amp;"_"&amp;$A253,'Investment Strategies'!$C:$P,9,FALSE),
IF(AND(Investment_Strategy="Lifecycle",Investment_Strategy_Sub1="Standard"),VLOOKUP(Investment_Strategy&amp;"_"&amp;Investment_Strategy_Sub2&amp;"_"&amp;$A253,'Investment Strategies'!$AJ:$AV,8,FALSE),
IF(AND(Investment_Strategy="Autopilot",Investment_Strategy_Sub1="Non-Standard"),VLOOKUP(Investment_Strategy&amp;"_"&amp;Investment_Strategy_Sub2&amp;"_"&amp;$A253,'Investment Strategies'!$T:$AF,8,FALSE),
IF(Investment_Strategy ="DIY",DIY_RateofReturn_SP,
"Error")))))),Max_InvReturn)</f>
        <v>0</v>
      </c>
      <c r="M253" s="62">
        <f>IF($AV253=0,0,
IF(Investment_Strategy="DIS",VLOOKUP(Investment_Strategy&amp;"_"&amp;Investment_Strategy_Sub1&amp;"_"&amp;$A253,'Investment Strategies'!$AZ:$BP,15,FALSE),
IF(AND(Investment_Strategy="Lifecycle",Investment_Strategy_Sub1="Non-Standard"),VLOOKUP(Investment_Strategy&amp;"_"&amp;Investment_Strategy_Sub2&amp;"_"&amp;$A253,'Investment Strategies'!$C:$P,12,FALSE),
IF(AND(Investment_Strategy="Lifecycle",Investment_Strategy_Sub1="Standard"),VLOOKUP(Investment_Strategy&amp;"_"&amp;Investment_Strategy_Sub2&amp;"_"&amp;$A253,'Investment Strategies'!$AJ:$AV,11,FALSE),
IF(AND(Investment_Strategy="Autopilot",Investment_Strategy_Sub1="Non-Standard"),VLOOKUP(Investment_Strategy&amp;"_"&amp;Investment_Strategy_Sub2&amp;"_"&amp;$A253,'Investment Strategies'!$T:$AF,11,FALSE),
IF(Investment_Strategy="DIY",DIY_GteeChrge_SP,
"Error"))))))</f>
        <v>0</v>
      </c>
      <c r="N253" s="33">
        <f>IF($AV253=0,0,
IF(Investment_Strategy="DIS",VLOOKUP(Investment_Strategy&amp;"_"&amp;Investment_Strategy_Sub1&amp;"_"&amp;$A253,'Investment Strategies'!$AZ:$BP,17,FALSE),
IF(AND(Investment_Strategy="Lifecycle",Investment_Strategy_Sub1="Non-Standard"),VLOOKUP(Investment_Strategy&amp;"_"&amp;Investment_Strategy_Sub2&amp;"_"&amp;$A253,'Investment Strategies'!$C:$P,14,FALSE),
IF(AND(Investment_Strategy="Lifecycle",Investment_Strategy_Sub1="Standard"),VLOOKUP(Investment_Strategy&amp;"_"&amp;Investment_Strategy_Sub2&amp;"_"&amp;$A253,'Investment Strategies'!$AJ:$AV,13,FALSE),
IF(AND(Investment_Strategy="Autopilot",Investment_Strategy_Sub1="Non-Standard"),VLOOKUP(Investment_Strategy&amp;"_"&amp;Investment_Strategy_Sub2&amp;"_"&amp;$A253,'Investment Strategies'!$T:$AF,13,FALSE),
IF(Investment_Strategy="DIY",DIY_ExtManChrge_SP,
"Error"))))))</f>
        <v>0</v>
      </c>
      <c r="O253" s="16">
        <f t="shared" si="141"/>
        <v>0</v>
      </c>
      <c r="Q253" s="16">
        <f t="shared" si="115"/>
        <v>0</v>
      </c>
      <c r="R253" s="16">
        <f t="shared" si="116"/>
        <v>0</v>
      </c>
      <c r="S253" s="16">
        <f>(SRP_SP+SUM(S$91:S252))*L253*IF(D253=$A$91,SRP_finalmonthfactor,1)</f>
        <v>0</v>
      </c>
      <c r="T253" s="74">
        <f>MIN(IF($AV253=0,0,
IF(Investment_Strategy="DIS",VLOOKUP(Investment_Strategy&amp;"_"&amp;Investment_Strategy_Sub1&amp;"_"&amp;$A253,'Investment Strategies'!$AZ:$BP,12,FALSE),
IF(AND(Investment_Strategy="Lifecycle",Investment_Strategy_Sub1="Non-Standard"),VLOOKUP(Investment_Strategy&amp;"_"&amp;Investment_Strategy_Sub2&amp;"_"&amp;$A253,'Investment Strategies'!$C:$P,9,FALSE),
IF(AND(Investment_Strategy="Lifecycle",Investment_Strategy_Sub1="Standard"),VLOOKUP(Investment_Strategy&amp;"_"&amp;Investment_Strategy_Sub2&amp;"_"&amp;$A253,'Investment Strategies'!$AJ:$AV,8,FALSE),
IF(AND(Investment_Strategy="Autopilot",Investment_Strategy_Sub1="Non-Standard"),VLOOKUP(Investment_Strategy&amp;"_"&amp;Investment_Strategy_Sub2&amp;"_"&amp;$A253,'Investment Strategies'!$T:$AF,8,FALSE),
IF(Investment_Strategy ="DIY",DIY_RateOfReturn_FuturePremiums,
"Error")))))),Max_InvReturn)</f>
        <v>0</v>
      </c>
      <c r="U253" s="62">
        <f>IF($AV253=0,0,
IF(Investment_Strategy="DIS",VLOOKUP(Investment_Strategy&amp;"_"&amp;Investment_Strategy_Sub1&amp;"_"&amp;$A253,'Investment Strategies'!$AZ:$BP,15,FALSE),
IF(AND(Investment_Strategy="Lifecycle",Investment_Strategy_Sub1="Non-Standard"),VLOOKUP(Investment_Strategy&amp;"_"&amp;Investment_Strategy_Sub2&amp;"_"&amp;$A253,'Investment Strategies'!$C:$P,12,FALSE),
IF(AND(Investment_Strategy="Lifecycle",Investment_Strategy_Sub1="Standard"),VLOOKUP(Investment_Strategy&amp;"_"&amp;Investment_Strategy_Sub2&amp;"_"&amp;$A253,'Investment Strategies'!$AJ:$AV,11,FALSE),
IF(AND(Investment_Strategy="Autopilot",Investment_Strategy_Sub1="Non-Standard"),VLOOKUP(Investment_Strategy&amp;"_"&amp;Investment_Strategy_Sub2&amp;"_"&amp;$A253,'Investment Strategies'!$T:$AF,11,FALSE),
IF(Investment_Strategy="DIY",DIY_GteeChrge_FuturePremiums,
"Error"))))))</f>
        <v>0</v>
      </c>
      <c r="V253" s="33">
        <f>IF(AV253=0,0,
IF(Investment_Strategy="DIS",VLOOKUP(Investment_Strategy&amp;"_"&amp;Investment_Strategy_Sub1&amp;"_"&amp;$A253,'Investment Strategies'!$AZ:$BP,17,FALSE),
IF(AND(Investment_Strategy="Lifecycle",Investment_Strategy_Sub1="Non-Standard"),VLOOKUP(Investment_Strategy&amp;"_"&amp;Investment_Strategy_Sub2&amp;"_"&amp;$A253,'Investment Strategies'!$C:$P,14,FALSE),
IF(AND(Investment_Strategy="Lifecycle",Investment_Strategy_Sub1="Standard"),VLOOKUP(Investment_Strategy&amp;"_"&amp;Investment_Strategy_Sub2&amp;"_"&amp;$A253,'Investment Strategies'!$AJ:$AV,13,FALSE),
IF(AND(Investment_Strategy="Autopilot",Investment_Strategy_Sub1="Non-Standard"),VLOOKUP(Investment_Strategy&amp;"_"&amp;Investment_Strategy_Sub2&amp;"_"&amp;$A253,'Investment Strategies'!$T:$AF,13,FALSE),
IF(Investment_Strategy="DIY",DIY_ExtManChrge_FuturePremiums,
"Error"))))))</f>
        <v>0</v>
      </c>
      <c r="W253" s="16">
        <f t="shared" si="142"/>
        <v>0</v>
      </c>
      <c r="X253" s="16">
        <f t="shared" si="117"/>
        <v>0</v>
      </c>
      <c r="Y253" s="16">
        <f t="shared" si="118"/>
        <v>0</v>
      </c>
      <c r="Z253" s="31">
        <f t="shared" si="119"/>
        <v>0.02</v>
      </c>
      <c r="AA253" s="16">
        <f t="shared" si="120"/>
        <v>0</v>
      </c>
      <c r="AB253" s="28">
        <f t="shared" si="144"/>
        <v>0</v>
      </c>
      <c r="AC253" s="28">
        <f>(SUM($AC$91:AC252)+SUM($X$91:X252)+X253)*T253*IF(D253=$A$91,SRP_finalmonthfactor,1)</f>
        <v>0</v>
      </c>
      <c r="AD253" s="16">
        <f t="shared" si="121"/>
        <v>0</v>
      </c>
      <c r="AE253" s="106"/>
      <c r="AF253" s="16">
        <f t="shared" si="130"/>
        <v>0</v>
      </c>
      <c r="AG253" s="16">
        <f t="shared" si="131"/>
        <v>0</v>
      </c>
      <c r="AH253" s="16">
        <f t="shared" si="132"/>
        <v>0</v>
      </c>
      <c r="AJ253" s="13">
        <f t="shared" si="155"/>
        <v>0</v>
      </c>
      <c r="AK253" s="13">
        <f t="shared" si="155"/>
        <v>0</v>
      </c>
      <c r="AL253" s="13">
        <f t="shared" si="155"/>
        <v>0</v>
      </c>
      <c r="AM253" s="13">
        <f t="shared" si="155"/>
        <v>0</v>
      </c>
      <c r="AN253" s="13">
        <f t="shared" si="155"/>
        <v>0</v>
      </c>
      <c r="AO253" s="13">
        <f t="shared" si="155"/>
        <v>1</v>
      </c>
      <c r="AP253" s="13">
        <f t="shared" si="155"/>
        <v>1</v>
      </c>
      <c r="AQ253" s="13">
        <f t="shared" si="155"/>
        <v>1</v>
      </c>
      <c r="AR253" s="13">
        <f t="shared" si="155"/>
        <v>1</v>
      </c>
      <c r="AS253" s="13">
        <f t="shared" si="155"/>
        <v>1</v>
      </c>
      <c r="AT253" s="13">
        <f t="shared" si="155"/>
        <v>1</v>
      </c>
      <c r="AU253" s="13">
        <f t="shared" si="155"/>
        <v>1</v>
      </c>
      <c r="AV253" s="13">
        <f t="shared" si="122"/>
        <v>0</v>
      </c>
      <c r="AW253" s="13">
        <f t="shared" si="123"/>
        <v>1</v>
      </c>
      <c r="AY253" s="17">
        <f t="shared" si="124"/>
        <v>163</v>
      </c>
      <c r="AZ253" s="28">
        <f t="shared" si="133"/>
        <v>0</v>
      </c>
      <c r="BA253" s="13">
        <f t="shared" si="125"/>
        <v>0</v>
      </c>
      <c r="BB253" s="13">
        <f t="shared" si="126"/>
        <v>0</v>
      </c>
      <c r="BC253" s="28">
        <f t="shared" si="134"/>
        <v>0</v>
      </c>
      <c r="BD253" s="28">
        <f t="shared" si="135"/>
        <v>0</v>
      </c>
      <c r="BF253" s="248">
        <f t="shared" si="136"/>
        <v>993869.29442638322</v>
      </c>
      <c r="BG253" s="36">
        <f t="shared" si="145"/>
        <v>0</v>
      </c>
      <c r="BH253" s="36">
        <f t="shared" si="146"/>
        <v>864532.49252313608</v>
      </c>
      <c r="BI253" s="249">
        <f t="shared" si="147"/>
        <v>0</v>
      </c>
      <c r="BJ253" s="246">
        <f t="shared" si="148"/>
        <v>0</v>
      </c>
      <c r="BK253" s="246">
        <f t="shared" si="127"/>
        <v>7.531116566323881E-4</v>
      </c>
      <c r="BL253" s="246">
        <f t="shared" si="149"/>
        <v>0</v>
      </c>
      <c r="BM253" s="246">
        <f t="shared" si="150"/>
        <v>7.531116566323881E-4</v>
      </c>
      <c r="BN253" s="36">
        <f t="shared" si="137"/>
        <v>651.08949765662669</v>
      </c>
      <c r="BO253" s="36">
        <f t="shared" si="151"/>
        <v>0</v>
      </c>
      <c r="BP253" s="36">
        <f t="shared" si="152"/>
        <v>863881.40302547941</v>
      </c>
    </row>
    <row r="254" spans="1:68">
      <c r="A254" s="32">
        <f t="shared" si="138"/>
        <v>-79</v>
      </c>
      <c r="B254" s="32">
        <f t="shared" si="128"/>
        <v>66</v>
      </c>
      <c r="C254" s="32">
        <f t="shared" si="139"/>
        <v>14</v>
      </c>
      <c r="D254" s="32">
        <f t="shared" si="140"/>
        <v>164</v>
      </c>
      <c r="E254" s="74">
        <f>MIN(IF(AV254=0,0,
IF(Investment_Strategy="DIS",VLOOKUP(Investment_Strategy&amp;"_"&amp;Investment_Strategy_Sub1&amp;"_"&amp;$A254,'Investment Strategies'!$AZ:$BP,12,FALSE),
IF(AND(Investment_Strategy="Lifecycle",Investment_Strategy_Sub1="Non-Standard"),VLOOKUP(Investment_Strategy&amp;"_"&amp;Investment_Strategy_Sub2&amp;"_"&amp;$A254,'Investment Strategies'!$C:$P,9,FALSE),
IF(AND(Investment_Strategy="Lifecycle",Investment_Strategy_Sub1="Standard"),VLOOKUP(Investment_Strategy&amp;"_"&amp;Investment_Strategy_Sub2&amp;"_"&amp;$A254,'Investment Strategies'!$AJ:$AV,8,FALSE),
IF(AND(Investment_Strategy="Autopilot",Investment_Strategy_Sub1="Non-Standard"),VLOOKUP(Investment_Strategy&amp;"_"&amp;Investment_Strategy_Sub2&amp;"_"&amp;$A254,'Investment Strategies'!$T:$AF,8,FALSE),
IF(Investment_Strategy ="DIY",DIY_RateOfReturn_CurrentFunds,
"Error")))))),Max_InvReturn)</f>
        <v>0</v>
      </c>
      <c r="F254" s="62">
        <f>IF(AV254=0,0,
IF(Investment_Strategy="DIS",VLOOKUP(Investment_Strategy&amp;"_"&amp;Investment_Strategy_Sub1&amp;"_"&amp;$A254,'Investment Strategies'!$AZ:$BP,15,FALSE),
IF(AND(Investment_Strategy="Lifecycle",Investment_Strategy_Sub1="Non-Standard"),VLOOKUP(Investment_Strategy&amp;"_"&amp;Investment_Strategy_Sub2&amp;"_"&amp;$A254,'Investment Strategies'!$C:$P,12,FALSE),
IF(AND(Investment_Strategy="Lifecycle",Investment_Strategy_Sub1="Standard"),VLOOKUP(Investment_Strategy&amp;"_"&amp;Investment_Strategy_Sub2&amp;"_"&amp;$A254,'Investment Strategies'!$AJ:$AV,11,FALSE),
IF(AND(Investment_Strategy="Autopilot",Investment_Strategy_Sub1="Non-Standard"),VLOOKUP(Investment_Strategy&amp;"_"&amp;Investment_Strategy_Sub2&amp;"_"&amp;$A254,'Investment Strategies'!$T:$AF,11,FALSE),
IF(Investment_Strategy="DIY",DIY_GteeChrge_CurrentFunds,
"Error"))))))</f>
        <v>0</v>
      </c>
      <c r="G254" s="33">
        <f>IF(AV254=0,0,
IF(Investment_Strategy="DIS",VLOOKUP(Investment_Strategy&amp;"_"&amp;Investment_Strategy_Sub1&amp;"_"&amp;$A254,'Investment Strategies'!$AZ:$BP,17,FALSE),
IF(AND(Investment_Strategy="Lifecycle",Investment_Strategy_Sub1="Non-Standard"),VLOOKUP(Investment_Strategy&amp;"_"&amp;Investment_Strategy_Sub2&amp;"_"&amp;$A254,'Investment Strategies'!$C:$P,14,FALSE),
IF(AND(Investment_Strategy="Lifecycle",Investment_Strategy_Sub1="Standard"),VLOOKUP(Investment_Strategy&amp;"_"&amp;Investment_Strategy_Sub2&amp;"_"&amp;$A254,'Investment Strategies'!$AJ:$AV,13,FALSE),
IF(AND(Investment_Strategy="Autopilot",Investment_Strategy_Sub1="Non-Standard"),VLOOKUP(Investment_Strategy&amp;"_"&amp;Investment_Strategy_Sub2&amp;"_"&amp;$A254,'Investment Strategies'!$T:$AF,13,FALSE),
IF(Investment_Strategy="DIY",DIY_ExtManChrge_CurrentFunds,
"Error"))))))</f>
        <v>0</v>
      </c>
      <c r="H254" s="16">
        <f t="shared" si="129"/>
        <v>0</v>
      </c>
      <c r="I254" s="16">
        <f t="shared" si="113"/>
        <v>0</v>
      </c>
      <c r="J254" s="16">
        <f t="shared" si="114"/>
        <v>0</v>
      </c>
      <c r="K254" s="16">
        <f>(Opening_Fund_Value+SUM(K$91:K253))*E254*IF(D254=$A$91,SRP_finalmonthfactor,1)</f>
        <v>0</v>
      </c>
      <c r="L254" s="74">
        <f>MIN(IF($AV254=0,0,
IF(Investment_Strategy="DIS",VLOOKUP(Investment_Strategy&amp;"_"&amp;Investment_Strategy_Sub1&amp;"_"&amp;$A254,'Investment Strategies'!$AZ:$BP,12,FALSE),
IF(AND(Investment_Strategy="Lifecycle",Investment_Strategy_Sub1="Non-Standard"),VLOOKUP(Investment_Strategy&amp;"_"&amp;Investment_Strategy_Sub2&amp;"_"&amp;$A254,'Investment Strategies'!$C:$P,9,FALSE),
IF(AND(Investment_Strategy="Lifecycle",Investment_Strategy_Sub1="Standard"),VLOOKUP(Investment_Strategy&amp;"_"&amp;Investment_Strategy_Sub2&amp;"_"&amp;$A254,'Investment Strategies'!$AJ:$AV,8,FALSE),
IF(AND(Investment_Strategy="Autopilot",Investment_Strategy_Sub1="Non-Standard"),VLOOKUP(Investment_Strategy&amp;"_"&amp;Investment_Strategy_Sub2&amp;"_"&amp;$A254,'Investment Strategies'!$T:$AF,8,FALSE),
IF(Investment_Strategy ="DIY",DIY_RateofReturn_SP,
"Error")))))),Max_InvReturn)</f>
        <v>0</v>
      </c>
      <c r="M254" s="62">
        <f>IF($AV254=0,0,
IF(Investment_Strategy="DIS",VLOOKUP(Investment_Strategy&amp;"_"&amp;Investment_Strategy_Sub1&amp;"_"&amp;$A254,'Investment Strategies'!$AZ:$BP,15,FALSE),
IF(AND(Investment_Strategy="Lifecycle",Investment_Strategy_Sub1="Non-Standard"),VLOOKUP(Investment_Strategy&amp;"_"&amp;Investment_Strategy_Sub2&amp;"_"&amp;$A254,'Investment Strategies'!$C:$P,12,FALSE),
IF(AND(Investment_Strategy="Lifecycle",Investment_Strategy_Sub1="Standard"),VLOOKUP(Investment_Strategy&amp;"_"&amp;Investment_Strategy_Sub2&amp;"_"&amp;$A254,'Investment Strategies'!$AJ:$AV,11,FALSE),
IF(AND(Investment_Strategy="Autopilot",Investment_Strategy_Sub1="Non-Standard"),VLOOKUP(Investment_Strategy&amp;"_"&amp;Investment_Strategy_Sub2&amp;"_"&amp;$A254,'Investment Strategies'!$T:$AF,11,FALSE),
IF(Investment_Strategy="DIY",DIY_GteeChrge_SP,
"Error"))))))</f>
        <v>0</v>
      </c>
      <c r="N254" s="33">
        <f>IF($AV254=0,0,
IF(Investment_Strategy="DIS",VLOOKUP(Investment_Strategy&amp;"_"&amp;Investment_Strategy_Sub1&amp;"_"&amp;$A254,'Investment Strategies'!$AZ:$BP,17,FALSE),
IF(AND(Investment_Strategy="Lifecycle",Investment_Strategy_Sub1="Non-Standard"),VLOOKUP(Investment_Strategy&amp;"_"&amp;Investment_Strategy_Sub2&amp;"_"&amp;$A254,'Investment Strategies'!$C:$P,14,FALSE),
IF(AND(Investment_Strategy="Lifecycle",Investment_Strategy_Sub1="Standard"),VLOOKUP(Investment_Strategy&amp;"_"&amp;Investment_Strategy_Sub2&amp;"_"&amp;$A254,'Investment Strategies'!$AJ:$AV,13,FALSE),
IF(AND(Investment_Strategy="Autopilot",Investment_Strategy_Sub1="Non-Standard"),VLOOKUP(Investment_Strategy&amp;"_"&amp;Investment_Strategy_Sub2&amp;"_"&amp;$A254,'Investment Strategies'!$T:$AF,13,FALSE),
IF(Investment_Strategy="DIY",DIY_ExtManChrge_SP,
"Error"))))))</f>
        <v>0</v>
      </c>
      <c r="O254" s="16">
        <f t="shared" si="141"/>
        <v>0</v>
      </c>
      <c r="Q254" s="16">
        <f t="shared" si="115"/>
        <v>0</v>
      </c>
      <c r="R254" s="16">
        <f t="shared" si="116"/>
        <v>0</v>
      </c>
      <c r="S254" s="16">
        <f>(SRP_SP+SUM(S$91:S253))*L254*IF(D254=$A$91,SRP_finalmonthfactor,1)</f>
        <v>0</v>
      </c>
      <c r="T254" s="74">
        <f>MIN(IF($AV254=0,0,
IF(Investment_Strategy="DIS",VLOOKUP(Investment_Strategy&amp;"_"&amp;Investment_Strategy_Sub1&amp;"_"&amp;$A254,'Investment Strategies'!$AZ:$BP,12,FALSE),
IF(AND(Investment_Strategy="Lifecycle",Investment_Strategy_Sub1="Non-Standard"),VLOOKUP(Investment_Strategy&amp;"_"&amp;Investment_Strategy_Sub2&amp;"_"&amp;$A254,'Investment Strategies'!$C:$P,9,FALSE),
IF(AND(Investment_Strategy="Lifecycle",Investment_Strategy_Sub1="Standard"),VLOOKUP(Investment_Strategy&amp;"_"&amp;Investment_Strategy_Sub2&amp;"_"&amp;$A254,'Investment Strategies'!$AJ:$AV,8,FALSE),
IF(AND(Investment_Strategy="Autopilot",Investment_Strategy_Sub1="Non-Standard"),VLOOKUP(Investment_Strategy&amp;"_"&amp;Investment_Strategy_Sub2&amp;"_"&amp;$A254,'Investment Strategies'!$T:$AF,8,FALSE),
IF(Investment_Strategy ="DIY",DIY_RateOfReturn_FuturePremiums,
"Error")))))),Max_InvReturn)</f>
        <v>0</v>
      </c>
      <c r="U254" s="62">
        <f>IF($AV254=0,0,
IF(Investment_Strategy="DIS",VLOOKUP(Investment_Strategy&amp;"_"&amp;Investment_Strategy_Sub1&amp;"_"&amp;$A254,'Investment Strategies'!$AZ:$BP,15,FALSE),
IF(AND(Investment_Strategy="Lifecycle",Investment_Strategy_Sub1="Non-Standard"),VLOOKUP(Investment_Strategy&amp;"_"&amp;Investment_Strategy_Sub2&amp;"_"&amp;$A254,'Investment Strategies'!$C:$P,12,FALSE),
IF(AND(Investment_Strategy="Lifecycle",Investment_Strategy_Sub1="Standard"),VLOOKUP(Investment_Strategy&amp;"_"&amp;Investment_Strategy_Sub2&amp;"_"&amp;$A254,'Investment Strategies'!$AJ:$AV,11,FALSE),
IF(AND(Investment_Strategy="Autopilot",Investment_Strategy_Sub1="Non-Standard"),VLOOKUP(Investment_Strategy&amp;"_"&amp;Investment_Strategy_Sub2&amp;"_"&amp;$A254,'Investment Strategies'!$T:$AF,11,FALSE),
IF(Investment_Strategy="DIY",DIY_GteeChrge_FuturePremiums,
"Error"))))))</f>
        <v>0</v>
      </c>
      <c r="V254" s="33">
        <f>IF(AV254=0,0,
IF(Investment_Strategy="DIS",VLOOKUP(Investment_Strategy&amp;"_"&amp;Investment_Strategy_Sub1&amp;"_"&amp;$A254,'Investment Strategies'!$AZ:$BP,17,FALSE),
IF(AND(Investment_Strategy="Lifecycle",Investment_Strategy_Sub1="Non-Standard"),VLOOKUP(Investment_Strategy&amp;"_"&amp;Investment_Strategy_Sub2&amp;"_"&amp;$A254,'Investment Strategies'!$C:$P,14,FALSE),
IF(AND(Investment_Strategy="Lifecycle",Investment_Strategy_Sub1="Standard"),VLOOKUP(Investment_Strategy&amp;"_"&amp;Investment_Strategy_Sub2&amp;"_"&amp;$A254,'Investment Strategies'!$AJ:$AV,13,FALSE),
IF(AND(Investment_Strategy="Autopilot",Investment_Strategy_Sub1="Non-Standard"),VLOOKUP(Investment_Strategy&amp;"_"&amp;Investment_Strategy_Sub2&amp;"_"&amp;$A254,'Investment Strategies'!$T:$AF,13,FALSE),
IF(Investment_Strategy="DIY",DIY_ExtManChrge_FuturePremiums,
"Error"))))))</f>
        <v>0</v>
      </c>
      <c r="W254" s="16">
        <f t="shared" si="142"/>
        <v>0</v>
      </c>
      <c r="X254" s="16">
        <f t="shared" si="117"/>
        <v>0</v>
      </c>
      <c r="Y254" s="16">
        <f t="shared" si="118"/>
        <v>0</v>
      </c>
      <c r="Z254" s="31">
        <f t="shared" si="119"/>
        <v>0.02</v>
      </c>
      <c r="AA254" s="16">
        <f t="shared" si="120"/>
        <v>0</v>
      </c>
      <c r="AB254" s="28">
        <f t="shared" si="144"/>
        <v>0</v>
      </c>
      <c r="AC254" s="28">
        <f>(SUM($AC$91:AC253)+SUM($X$91:X253)+X254)*T254*IF(D254=$A$91,SRP_finalmonthfactor,1)</f>
        <v>0</v>
      </c>
      <c r="AD254" s="16">
        <f t="shared" si="121"/>
        <v>0</v>
      </c>
      <c r="AE254" s="106"/>
      <c r="AF254" s="16">
        <f t="shared" si="130"/>
        <v>0</v>
      </c>
      <c r="AG254" s="16">
        <f t="shared" si="131"/>
        <v>0</v>
      </c>
      <c r="AH254" s="16">
        <f t="shared" si="132"/>
        <v>0</v>
      </c>
      <c r="AJ254" s="13">
        <f t="shared" si="155"/>
        <v>0</v>
      </c>
      <c r="AK254" s="13">
        <f t="shared" si="155"/>
        <v>0</v>
      </c>
      <c r="AL254" s="13">
        <f t="shared" si="155"/>
        <v>0</v>
      </c>
      <c r="AM254" s="13">
        <f t="shared" si="155"/>
        <v>0</v>
      </c>
      <c r="AN254" s="13">
        <f t="shared" si="155"/>
        <v>0</v>
      </c>
      <c r="AO254" s="13">
        <f t="shared" si="155"/>
        <v>1</v>
      </c>
      <c r="AP254" s="13">
        <f t="shared" si="155"/>
        <v>1</v>
      </c>
      <c r="AQ254" s="13">
        <f t="shared" si="155"/>
        <v>1</v>
      </c>
      <c r="AR254" s="13">
        <f t="shared" si="155"/>
        <v>1</v>
      </c>
      <c r="AS254" s="13">
        <f t="shared" si="155"/>
        <v>1</v>
      </c>
      <c r="AT254" s="13">
        <f t="shared" si="155"/>
        <v>1</v>
      </c>
      <c r="AU254" s="13">
        <f t="shared" si="155"/>
        <v>1</v>
      </c>
      <c r="AV254" s="13">
        <f t="shared" si="122"/>
        <v>0</v>
      </c>
      <c r="AW254" s="13">
        <f t="shared" si="123"/>
        <v>1</v>
      </c>
      <c r="AY254" s="17">
        <f t="shared" si="124"/>
        <v>164</v>
      </c>
      <c r="AZ254" s="28">
        <f t="shared" si="133"/>
        <v>0</v>
      </c>
      <c r="BA254" s="13">
        <f t="shared" si="125"/>
        <v>0</v>
      </c>
      <c r="BB254" s="13">
        <f t="shared" si="126"/>
        <v>0</v>
      </c>
      <c r="BC254" s="28">
        <f t="shared" si="134"/>
        <v>0</v>
      </c>
      <c r="BD254" s="28">
        <f t="shared" si="135"/>
        <v>0</v>
      </c>
      <c r="BF254" s="248">
        <f t="shared" si="136"/>
        <v>993869.29442638322</v>
      </c>
      <c r="BG254" s="36">
        <f t="shared" si="145"/>
        <v>0</v>
      </c>
      <c r="BH254" s="36">
        <f t="shared" si="146"/>
        <v>863881.40302547941</v>
      </c>
      <c r="BI254" s="249">
        <f t="shared" si="147"/>
        <v>0</v>
      </c>
      <c r="BJ254" s="246">
        <f t="shared" si="148"/>
        <v>0</v>
      </c>
      <c r="BK254" s="246">
        <f t="shared" si="127"/>
        <v>7.531116566323881E-4</v>
      </c>
      <c r="BL254" s="246">
        <f t="shared" si="149"/>
        <v>0</v>
      </c>
      <c r="BM254" s="246">
        <f t="shared" si="150"/>
        <v>7.531116566323881E-4</v>
      </c>
      <c r="BN254" s="36">
        <f t="shared" si="137"/>
        <v>650.59915456643057</v>
      </c>
      <c r="BO254" s="36">
        <f t="shared" si="151"/>
        <v>0</v>
      </c>
      <c r="BP254" s="36">
        <f t="shared" si="152"/>
        <v>863230.80387091299</v>
      </c>
    </row>
    <row r="255" spans="1:68">
      <c r="A255" s="32">
        <f t="shared" si="138"/>
        <v>-80</v>
      </c>
      <c r="B255" s="32">
        <f t="shared" si="128"/>
        <v>66</v>
      </c>
      <c r="C255" s="32">
        <f t="shared" si="139"/>
        <v>14</v>
      </c>
      <c r="D255" s="32">
        <f t="shared" si="140"/>
        <v>165</v>
      </c>
      <c r="E255" s="74">
        <f>MIN(IF(AV255=0,0,
IF(Investment_Strategy="DIS",VLOOKUP(Investment_Strategy&amp;"_"&amp;Investment_Strategy_Sub1&amp;"_"&amp;$A255,'Investment Strategies'!$AZ:$BP,12,FALSE),
IF(AND(Investment_Strategy="Lifecycle",Investment_Strategy_Sub1="Non-Standard"),VLOOKUP(Investment_Strategy&amp;"_"&amp;Investment_Strategy_Sub2&amp;"_"&amp;$A255,'Investment Strategies'!$C:$P,9,FALSE),
IF(AND(Investment_Strategy="Lifecycle",Investment_Strategy_Sub1="Standard"),VLOOKUP(Investment_Strategy&amp;"_"&amp;Investment_Strategy_Sub2&amp;"_"&amp;$A255,'Investment Strategies'!$AJ:$AV,8,FALSE),
IF(AND(Investment_Strategy="Autopilot",Investment_Strategy_Sub1="Non-Standard"),VLOOKUP(Investment_Strategy&amp;"_"&amp;Investment_Strategy_Sub2&amp;"_"&amp;$A255,'Investment Strategies'!$T:$AF,8,FALSE),
IF(Investment_Strategy ="DIY",DIY_RateOfReturn_CurrentFunds,
"Error")))))),Max_InvReturn)</f>
        <v>0</v>
      </c>
      <c r="F255" s="62">
        <f>IF(AV255=0,0,
IF(Investment_Strategy="DIS",VLOOKUP(Investment_Strategy&amp;"_"&amp;Investment_Strategy_Sub1&amp;"_"&amp;$A255,'Investment Strategies'!$AZ:$BP,15,FALSE),
IF(AND(Investment_Strategy="Lifecycle",Investment_Strategy_Sub1="Non-Standard"),VLOOKUP(Investment_Strategy&amp;"_"&amp;Investment_Strategy_Sub2&amp;"_"&amp;$A255,'Investment Strategies'!$C:$P,12,FALSE),
IF(AND(Investment_Strategy="Lifecycle",Investment_Strategy_Sub1="Standard"),VLOOKUP(Investment_Strategy&amp;"_"&amp;Investment_Strategy_Sub2&amp;"_"&amp;$A255,'Investment Strategies'!$AJ:$AV,11,FALSE),
IF(AND(Investment_Strategy="Autopilot",Investment_Strategy_Sub1="Non-Standard"),VLOOKUP(Investment_Strategy&amp;"_"&amp;Investment_Strategy_Sub2&amp;"_"&amp;$A255,'Investment Strategies'!$T:$AF,11,FALSE),
IF(Investment_Strategy="DIY",DIY_GteeChrge_CurrentFunds,
"Error"))))))</f>
        <v>0</v>
      </c>
      <c r="G255" s="33">
        <f>IF(AV255=0,0,
IF(Investment_Strategy="DIS",VLOOKUP(Investment_Strategy&amp;"_"&amp;Investment_Strategy_Sub1&amp;"_"&amp;$A255,'Investment Strategies'!$AZ:$BP,17,FALSE),
IF(AND(Investment_Strategy="Lifecycle",Investment_Strategy_Sub1="Non-Standard"),VLOOKUP(Investment_Strategy&amp;"_"&amp;Investment_Strategy_Sub2&amp;"_"&amp;$A255,'Investment Strategies'!$C:$P,14,FALSE),
IF(AND(Investment_Strategy="Lifecycle",Investment_Strategy_Sub1="Standard"),VLOOKUP(Investment_Strategy&amp;"_"&amp;Investment_Strategy_Sub2&amp;"_"&amp;$A255,'Investment Strategies'!$AJ:$AV,13,FALSE),
IF(AND(Investment_Strategy="Autopilot",Investment_Strategy_Sub1="Non-Standard"),VLOOKUP(Investment_Strategy&amp;"_"&amp;Investment_Strategy_Sub2&amp;"_"&amp;$A255,'Investment Strategies'!$T:$AF,13,FALSE),
IF(Investment_Strategy="DIY",DIY_ExtManChrge_CurrentFunds,
"Error"))))))</f>
        <v>0</v>
      </c>
      <c r="H255" s="16">
        <f t="shared" si="129"/>
        <v>0</v>
      </c>
      <c r="I255" s="16">
        <f t="shared" si="113"/>
        <v>0</v>
      </c>
      <c r="J255" s="16">
        <f t="shared" si="114"/>
        <v>0</v>
      </c>
      <c r="K255" s="16">
        <f>(Opening_Fund_Value+SUM(K$91:K254))*E255*IF(D255=$A$91,SRP_finalmonthfactor,1)</f>
        <v>0</v>
      </c>
      <c r="L255" s="74">
        <f>MIN(IF($AV255=0,0,
IF(Investment_Strategy="DIS",VLOOKUP(Investment_Strategy&amp;"_"&amp;Investment_Strategy_Sub1&amp;"_"&amp;$A255,'Investment Strategies'!$AZ:$BP,12,FALSE),
IF(AND(Investment_Strategy="Lifecycle",Investment_Strategy_Sub1="Non-Standard"),VLOOKUP(Investment_Strategy&amp;"_"&amp;Investment_Strategy_Sub2&amp;"_"&amp;$A255,'Investment Strategies'!$C:$P,9,FALSE),
IF(AND(Investment_Strategy="Lifecycle",Investment_Strategy_Sub1="Standard"),VLOOKUP(Investment_Strategy&amp;"_"&amp;Investment_Strategy_Sub2&amp;"_"&amp;$A255,'Investment Strategies'!$AJ:$AV,8,FALSE),
IF(AND(Investment_Strategy="Autopilot",Investment_Strategy_Sub1="Non-Standard"),VLOOKUP(Investment_Strategy&amp;"_"&amp;Investment_Strategy_Sub2&amp;"_"&amp;$A255,'Investment Strategies'!$T:$AF,8,FALSE),
IF(Investment_Strategy ="DIY",DIY_RateofReturn_SP,
"Error")))))),Max_InvReturn)</f>
        <v>0</v>
      </c>
      <c r="M255" s="62">
        <f>IF($AV255=0,0,
IF(Investment_Strategy="DIS",VLOOKUP(Investment_Strategy&amp;"_"&amp;Investment_Strategy_Sub1&amp;"_"&amp;$A255,'Investment Strategies'!$AZ:$BP,15,FALSE),
IF(AND(Investment_Strategy="Lifecycle",Investment_Strategy_Sub1="Non-Standard"),VLOOKUP(Investment_Strategy&amp;"_"&amp;Investment_Strategy_Sub2&amp;"_"&amp;$A255,'Investment Strategies'!$C:$P,12,FALSE),
IF(AND(Investment_Strategy="Lifecycle",Investment_Strategy_Sub1="Standard"),VLOOKUP(Investment_Strategy&amp;"_"&amp;Investment_Strategy_Sub2&amp;"_"&amp;$A255,'Investment Strategies'!$AJ:$AV,11,FALSE),
IF(AND(Investment_Strategy="Autopilot",Investment_Strategy_Sub1="Non-Standard"),VLOOKUP(Investment_Strategy&amp;"_"&amp;Investment_Strategy_Sub2&amp;"_"&amp;$A255,'Investment Strategies'!$T:$AF,11,FALSE),
IF(Investment_Strategy="DIY",DIY_GteeChrge_SP,
"Error"))))))</f>
        <v>0</v>
      </c>
      <c r="N255" s="33">
        <f>IF($AV255=0,0,
IF(Investment_Strategy="DIS",VLOOKUP(Investment_Strategy&amp;"_"&amp;Investment_Strategy_Sub1&amp;"_"&amp;$A255,'Investment Strategies'!$AZ:$BP,17,FALSE),
IF(AND(Investment_Strategy="Lifecycle",Investment_Strategy_Sub1="Non-Standard"),VLOOKUP(Investment_Strategy&amp;"_"&amp;Investment_Strategy_Sub2&amp;"_"&amp;$A255,'Investment Strategies'!$C:$P,14,FALSE),
IF(AND(Investment_Strategy="Lifecycle",Investment_Strategy_Sub1="Standard"),VLOOKUP(Investment_Strategy&amp;"_"&amp;Investment_Strategy_Sub2&amp;"_"&amp;$A255,'Investment Strategies'!$AJ:$AV,13,FALSE),
IF(AND(Investment_Strategy="Autopilot",Investment_Strategy_Sub1="Non-Standard"),VLOOKUP(Investment_Strategy&amp;"_"&amp;Investment_Strategy_Sub2&amp;"_"&amp;$A255,'Investment Strategies'!$T:$AF,13,FALSE),
IF(Investment_Strategy="DIY",DIY_ExtManChrge_SP,
"Error"))))))</f>
        <v>0</v>
      </c>
      <c r="O255" s="16">
        <f t="shared" si="141"/>
        <v>0</v>
      </c>
      <c r="Q255" s="16">
        <f t="shared" si="115"/>
        <v>0</v>
      </c>
      <c r="R255" s="16">
        <f t="shared" si="116"/>
        <v>0</v>
      </c>
      <c r="S255" s="16">
        <f>(SRP_SP+SUM(S$91:S254))*L255*IF(D255=$A$91,SRP_finalmonthfactor,1)</f>
        <v>0</v>
      </c>
      <c r="T255" s="74">
        <f>MIN(IF($AV255=0,0,
IF(Investment_Strategy="DIS",VLOOKUP(Investment_Strategy&amp;"_"&amp;Investment_Strategy_Sub1&amp;"_"&amp;$A255,'Investment Strategies'!$AZ:$BP,12,FALSE),
IF(AND(Investment_Strategy="Lifecycle",Investment_Strategy_Sub1="Non-Standard"),VLOOKUP(Investment_Strategy&amp;"_"&amp;Investment_Strategy_Sub2&amp;"_"&amp;$A255,'Investment Strategies'!$C:$P,9,FALSE),
IF(AND(Investment_Strategy="Lifecycle",Investment_Strategy_Sub1="Standard"),VLOOKUP(Investment_Strategy&amp;"_"&amp;Investment_Strategy_Sub2&amp;"_"&amp;$A255,'Investment Strategies'!$AJ:$AV,8,FALSE),
IF(AND(Investment_Strategy="Autopilot",Investment_Strategy_Sub1="Non-Standard"),VLOOKUP(Investment_Strategy&amp;"_"&amp;Investment_Strategy_Sub2&amp;"_"&amp;$A255,'Investment Strategies'!$T:$AF,8,FALSE),
IF(Investment_Strategy ="DIY",DIY_RateOfReturn_FuturePremiums,
"Error")))))),Max_InvReturn)</f>
        <v>0</v>
      </c>
      <c r="U255" s="62">
        <f>IF($AV255=0,0,
IF(Investment_Strategy="DIS",VLOOKUP(Investment_Strategy&amp;"_"&amp;Investment_Strategy_Sub1&amp;"_"&amp;$A255,'Investment Strategies'!$AZ:$BP,15,FALSE),
IF(AND(Investment_Strategy="Lifecycle",Investment_Strategy_Sub1="Non-Standard"),VLOOKUP(Investment_Strategy&amp;"_"&amp;Investment_Strategy_Sub2&amp;"_"&amp;$A255,'Investment Strategies'!$C:$P,12,FALSE),
IF(AND(Investment_Strategy="Lifecycle",Investment_Strategy_Sub1="Standard"),VLOOKUP(Investment_Strategy&amp;"_"&amp;Investment_Strategy_Sub2&amp;"_"&amp;$A255,'Investment Strategies'!$AJ:$AV,11,FALSE),
IF(AND(Investment_Strategy="Autopilot",Investment_Strategy_Sub1="Non-Standard"),VLOOKUP(Investment_Strategy&amp;"_"&amp;Investment_Strategy_Sub2&amp;"_"&amp;$A255,'Investment Strategies'!$T:$AF,11,FALSE),
IF(Investment_Strategy="DIY",DIY_GteeChrge_FuturePremiums,
"Error"))))))</f>
        <v>0</v>
      </c>
      <c r="V255" s="33">
        <f>IF(AV255=0,0,
IF(Investment_Strategy="DIS",VLOOKUP(Investment_Strategy&amp;"_"&amp;Investment_Strategy_Sub1&amp;"_"&amp;$A255,'Investment Strategies'!$AZ:$BP,17,FALSE),
IF(AND(Investment_Strategy="Lifecycle",Investment_Strategy_Sub1="Non-Standard"),VLOOKUP(Investment_Strategy&amp;"_"&amp;Investment_Strategy_Sub2&amp;"_"&amp;$A255,'Investment Strategies'!$C:$P,14,FALSE),
IF(AND(Investment_Strategy="Lifecycle",Investment_Strategy_Sub1="Standard"),VLOOKUP(Investment_Strategy&amp;"_"&amp;Investment_Strategy_Sub2&amp;"_"&amp;$A255,'Investment Strategies'!$AJ:$AV,13,FALSE),
IF(AND(Investment_Strategy="Autopilot",Investment_Strategy_Sub1="Non-Standard"),VLOOKUP(Investment_Strategy&amp;"_"&amp;Investment_Strategy_Sub2&amp;"_"&amp;$A255,'Investment Strategies'!$T:$AF,13,FALSE),
IF(Investment_Strategy="DIY",DIY_ExtManChrge_FuturePremiums,
"Error"))))))</f>
        <v>0</v>
      </c>
      <c r="W255" s="16">
        <f t="shared" si="142"/>
        <v>0</v>
      </c>
      <c r="X255" s="16">
        <f t="shared" si="117"/>
        <v>0</v>
      </c>
      <c r="Y255" s="16">
        <f t="shared" si="118"/>
        <v>0</v>
      </c>
      <c r="Z255" s="31">
        <f t="shared" si="119"/>
        <v>0.02</v>
      </c>
      <c r="AA255" s="16">
        <f t="shared" si="120"/>
        <v>0</v>
      </c>
      <c r="AB255" s="28">
        <f t="shared" si="144"/>
        <v>0</v>
      </c>
      <c r="AC255" s="28">
        <f>(SUM($AC$91:AC254)+SUM($X$91:X254)+X255)*T255*IF(D255=$A$91,SRP_finalmonthfactor,1)</f>
        <v>0</v>
      </c>
      <c r="AD255" s="16">
        <f t="shared" si="121"/>
        <v>0</v>
      </c>
      <c r="AE255" s="106"/>
      <c r="AF255" s="16">
        <f t="shared" si="130"/>
        <v>0</v>
      </c>
      <c r="AG255" s="16">
        <f t="shared" si="131"/>
        <v>0</v>
      </c>
      <c r="AH255" s="16">
        <f t="shared" si="132"/>
        <v>0</v>
      </c>
      <c r="AJ255" s="13">
        <f t="shared" si="155"/>
        <v>0</v>
      </c>
      <c r="AK255" s="13">
        <f t="shared" si="155"/>
        <v>0</v>
      </c>
      <c r="AL255" s="13">
        <f t="shared" si="155"/>
        <v>0</v>
      </c>
      <c r="AM255" s="13">
        <f t="shared" si="155"/>
        <v>0</v>
      </c>
      <c r="AN255" s="13">
        <f t="shared" si="155"/>
        <v>0</v>
      </c>
      <c r="AO255" s="13">
        <f t="shared" si="155"/>
        <v>1</v>
      </c>
      <c r="AP255" s="13">
        <f t="shared" si="155"/>
        <v>1</v>
      </c>
      <c r="AQ255" s="13">
        <f t="shared" si="155"/>
        <v>1</v>
      </c>
      <c r="AR255" s="13">
        <f t="shared" si="155"/>
        <v>1</v>
      </c>
      <c r="AS255" s="13">
        <f t="shared" si="155"/>
        <v>1</v>
      </c>
      <c r="AT255" s="13">
        <f t="shared" si="155"/>
        <v>1</v>
      </c>
      <c r="AU255" s="13">
        <f t="shared" si="155"/>
        <v>1</v>
      </c>
      <c r="AV255" s="13">
        <f t="shared" si="122"/>
        <v>0</v>
      </c>
      <c r="AW255" s="13">
        <f t="shared" si="123"/>
        <v>1</v>
      </c>
      <c r="AY255" s="17">
        <f t="shared" si="124"/>
        <v>165</v>
      </c>
      <c r="AZ255" s="28">
        <f t="shared" si="133"/>
        <v>0</v>
      </c>
      <c r="BA255" s="13">
        <f t="shared" si="125"/>
        <v>0</v>
      </c>
      <c r="BB255" s="13">
        <f t="shared" si="126"/>
        <v>0</v>
      </c>
      <c r="BC255" s="28">
        <f t="shared" si="134"/>
        <v>0</v>
      </c>
      <c r="BD255" s="28">
        <f t="shared" si="135"/>
        <v>0</v>
      </c>
      <c r="BF255" s="248">
        <f t="shared" si="136"/>
        <v>993869.29442638322</v>
      </c>
      <c r="BG255" s="36">
        <f t="shared" si="145"/>
        <v>0</v>
      </c>
      <c r="BH255" s="36">
        <f t="shared" si="146"/>
        <v>863230.80387091299</v>
      </c>
      <c r="BI255" s="249">
        <f t="shared" si="147"/>
        <v>0</v>
      </c>
      <c r="BJ255" s="246">
        <f t="shared" si="148"/>
        <v>0</v>
      </c>
      <c r="BK255" s="246">
        <f t="shared" si="127"/>
        <v>7.531116566323881E-4</v>
      </c>
      <c r="BL255" s="246">
        <f t="shared" si="149"/>
        <v>0</v>
      </c>
      <c r="BM255" s="246">
        <f t="shared" si="150"/>
        <v>7.531116566323881E-4</v>
      </c>
      <c r="BN255" s="36">
        <f t="shared" si="137"/>
        <v>650.10918075933137</v>
      </c>
      <c r="BO255" s="36">
        <f t="shared" si="151"/>
        <v>0</v>
      </c>
      <c r="BP255" s="36">
        <f t="shared" si="152"/>
        <v>862580.6946901537</v>
      </c>
    </row>
    <row r="256" spans="1:68">
      <c r="A256" s="32">
        <f t="shared" si="138"/>
        <v>-81</v>
      </c>
      <c r="B256" s="32">
        <f t="shared" si="128"/>
        <v>66</v>
      </c>
      <c r="C256" s="32">
        <f t="shared" si="139"/>
        <v>14</v>
      </c>
      <c r="D256" s="32">
        <f t="shared" si="140"/>
        <v>166</v>
      </c>
      <c r="E256" s="74">
        <f>MIN(IF(AV256=0,0,
IF(Investment_Strategy="DIS",VLOOKUP(Investment_Strategy&amp;"_"&amp;Investment_Strategy_Sub1&amp;"_"&amp;$A256,'Investment Strategies'!$AZ:$BP,12,FALSE),
IF(AND(Investment_Strategy="Lifecycle",Investment_Strategy_Sub1="Non-Standard"),VLOOKUP(Investment_Strategy&amp;"_"&amp;Investment_Strategy_Sub2&amp;"_"&amp;$A256,'Investment Strategies'!$C:$P,9,FALSE),
IF(AND(Investment_Strategy="Lifecycle",Investment_Strategy_Sub1="Standard"),VLOOKUP(Investment_Strategy&amp;"_"&amp;Investment_Strategy_Sub2&amp;"_"&amp;$A256,'Investment Strategies'!$AJ:$AV,8,FALSE),
IF(AND(Investment_Strategy="Autopilot",Investment_Strategy_Sub1="Non-Standard"),VLOOKUP(Investment_Strategy&amp;"_"&amp;Investment_Strategy_Sub2&amp;"_"&amp;$A256,'Investment Strategies'!$T:$AF,8,FALSE),
IF(Investment_Strategy ="DIY",DIY_RateOfReturn_CurrentFunds,
"Error")))))),Max_InvReturn)</f>
        <v>0</v>
      </c>
      <c r="F256" s="62">
        <f>IF(AV256=0,0,
IF(Investment_Strategy="DIS",VLOOKUP(Investment_Strategy&amp;"_"&amp;Investment_Strategy_Sub1&amp;"_"&amp;$A256,'Investment Strategies'!$AZ:$BP,15,FALSE),
IF(AND(Investment_Strategy="Lifecycle",Investment_Strategy_Sub1="Non-Standard"),VLOOKUP(Investment_Strategy&amp;"_"&amp;Investment_Strategy_Sub2&amp;"_"&amp;$A256,'Investment Strategies'!$C:$P,12,FALSE),
IF(AND(Investment_Strategy="Lifecycle",Investment_Strategy_Sub1="Standard"),VLOOKUP(Investment_Strategy&amp;"_"&amp;Investment_Strategy_Sub2&amp;"_"&amp;$A256,'Investment Strategies'!$AJ:$AV,11,FALSE),
IF(AND(Investment_Strategy="Autopilot",Investment_Strategy_Sub1="Non-Standard"),VLOOKUP(Investment_Strategy&amp;"_"&amp;Investment_Strategy_Sub2&amp;"_"&amp;$A256,'Investment Strategies'!$T:$AF,11,FALSE),
IF(Investment_Strategy="DIY",DIY_GteeChrge_CurrentFunds,
"Error"))))))</f>
        <v>0</v>
      </c>
      <c r="G256" s="33">
        <f>IF(AV256=0,0,
IF(Investment_Strategy="DIS",VLOOKUP(Investment_Strategy&amp;"_"&amp;Investment_Strategy_Sub1&amp;"_"&amp;$A256,'Investment Strategies'!$AZ:$BP,17,FALSE),
IF(AND(Investment_Strategy="Lifecycle",Investment_Strategy_Sub1="Non-Standard"),VLOOKUP(Investment_Strategy&amp;"_"&amp;Investment_Strategy_Sub2&amp;"_"&amp;$A256,'Investment Strategies'!$C:$P,14,FALSE),
IF(AND(Investment_Strategy="Lifecycle",Investment_Strategy_Sub1="Standard"),VLOOKUP(Investment_Strategy&amp;"_"&amp;Investment_Strategy_Sub2&amp;"_"&amp;$A256,'Investment Strategies'!$AJ:$AV,13,FALSE),
IF(AND(Investment_Strategy="Autopilot",Investment_Strategy_Sub1="Non-Standard"),VLOOKUP(Investment_Strategy&amp;"_"&amp;Investment_Strategy_Sub2&amp;"_"&amp;$A256,'Investment Strategies'!$T:$AF,13,FALSE),
IF(Investment_Strategy="DIY",DIY_ExtManChrge_CurrentFunds,
"Error"))))))</f>
        <v>0</v>
      </c>
      <c r="H256" s="16">
        <f t="shared" si="129"/>
        <v>0</v>
      </c>
      <c r="I256" s="16">
        <f t="shared" si="113"/>
        <v>0</v>
      </c>
      <c r="J256" s="16">
        <f t="shared" si="114"/>
        <v>0</v>
      </c>
      <c r="K256" s="16">
        <f>(Opening_Fund_Value+SUM(K$91:K255))*E256*IF(D256=$A$91,SRP_finalmonthfactor,1)</f>
        <v>0</v>
      </c>
      <c r="L256" s="74">
        <f>MIN(IF($AV256=0,0,
IF(Investment_Strategy="DIS",VLOOKUP(Investment_Strategy&amp;"_"&amp;Investment_Strategy_Sub1&amp;"_"&amp;$A256,'Investment Strategies'!$AZ:$BP,12,FALSE),
IF(AND(Investment_Strategy="Lifecycle",Investment_Strategy_Sub1="Non-Standard"),VLOOKUP(Investment_Strategy&amp;"_"&amp;Investment_Strategy_Sub2&amp;"_"&amp;$A256,'Investment Strategies'!$C:$P,9,FALSE),
IF(AND(Investment_Strategy="Lifecycle",Investment_Strategy_Sub1="Standard"),VLOOKUP(Investment_Strategy&amp;"_"&amp;Investment_Strategy_Sub2&amp;"_"&amp;$A256,'Investment Strategies'!$AJ:$AV,8,FALSE),
IF(AND(Investment_Strategy="Autopilot",Investment_Strategy_Sub1="Non-Standard"),VLOOKUP(Investment_Strategy&amp;"_"&amp;Investment_Strategy_Sub2&amp;"_"&amp;$A256,'Investment Strategies'!$T:$AF,8,FALSE),
IF(Investment_Strategy ="DIY",DIY_RateofReturn_SP,
"Error")))))),Max_InvReturn)</f>
        <v>0</v>
      </c>
      <c r="M256" s="62">
        <f>IF($AV256=0,0,
IF(Investment_Strategy="DIS",VLOOKUP(Investment_Strategy&amp;"_"&amp;Investment_Strategy_Sub1&amp;"_"&amp;$A256,'Investment Strategies'!$AZ:$BP,15,FALSE),
IF(AND(Investment_Strategy="Lifecycle",Investment_Strategy_Sub1="Non-Standard"),VLOOKUP(Investment_Strategy&amp;"_"&amp;Investment_Strategy_Sub2&amp;"_"&amp;$A256,'Investment Strategies'!$C:$P,12,FALSE),
IF(AND(Investment_Strategy="Lifecycle",Investment_Strategy_Sub1="Standard"),VLOOKUP(Investment_Strategy&amp;"_"&amp;Investment_Strategy_Sub2&amp;"_"&amp;$A256,'Investment Strategies'!$AJ:$AV,11,FALSE),
IF(AND(Investment_Strategy="Autopilot",Investment_Strategy_Sub1="Non-Standard"),VLOOKUP(Investment_Strategy&amp;"_"&amp;Investment_Strategy_Sub2&amp;"_"&amp;$A256,'Investment Strategies'!$T:$AF,11,FALSE),
IF(Investment_Strategy="DIY",DIY_GteeChrge_SP,
"Error"))))))</f>
        <v>0</v>
      </c>
      <c r="N256" s="33">
        <f>IF($AV256=0,0,
IF(Investment_Strategy="DIS",VLOOKUP(Investment_Strategy&amp;"_"&amp;Investment_Strategy_Sub1&amp;"_"&amp;$A256,'Investment Strategies'!$AZ:$BP,17,FALSE),
IF(AND(Investment_Strategy="Lifecycle",Investment_Strategy_Sub1="Non-Standard"),VLOOKUP(Investment_Strategy&amp;"_"&amp;Investment_Strategy_Sub2&amp;"_"&amp;$A256,'Investment Strategies'!$C:$P,14,FALSE),
IF(AND(Investment_Strategy="Lifecycle",Investment_Strategy_Sub1="Standard"),VLOOKUP(Investment_Strategy&amp;"_"&amp;Investment_Strategy_Sub2&amp;"_"&amp;$A256,'Investment Strategies'!$AJ:$AV,13,FALSE),
IF(AND(Investment_Strategy="Autopilot",Investment_Strategy_Sub1="Non-Standard"),VLOOKUP(Investment_Strategy&amp;"_"&amp;Investment_Strategy_Sub2&amp;"_"&amp;$A256,'Investment Strategies'!$T:$AF,13,FALSE),
IF(Investment_Strategy="DIY",DIY_ExtManChrge_SP,
"Error"))))))</f>
        <v>0</v>
      </c>
      <c r="O256" s="16">
        <f t="shared" si="141"/>
        <v>0</v>
      </c>
      <c r="Q256" s="16">
        <f t="shared" si="115"/>
        <v>0</v>
      </c>
      <c r="R256" s="16">
        <f t="shared" si="116"/>
        <v>0</v>
      </c>
      <c r="S256" s="16">
        <f>(SRP_SP+SUM(S$91:S255))*L256*IF(D256=$A$91,SRP_finalmonthfactor,1)</f>
        <v>0</v>
      </c>
      <c r="T256" s="74">
        <f>MIN(IF($AV256=0,0,
IF(Investment_Strategy="DIS",VLOOKUP(Investment_Strategy&amp;"_"&amp;Investment_Strategy_Sub1&amp;"_"&amp;$A256,'Investment Strategies'!$AZ:$BP,12,FALSE),
IF(AND(Investment_Strategy="Lifecycle",Investment_Strategy_Sub1="Non-Standard"),VLOOKUP(Investment_Strategy&amp;"_"&amp;Investment_Strategy_Sub2&amp;"_"&amp;$A256,'Investment Strategies'!$C:$P,9,FALSE),
IF(AND(Investment_Strategy="Lifecycle",Investment_Strategy_Sub1="Standard"),VLOOKUP(Investment_Strategy&amp;"_"&amp;Investment_Strategy_Sub2&amp;"_"&amp;$A256,'Investment Strategies'!$AJ:$AV,8,FALSE),
IF(AND(Investment_Strategy="Autopilot",Investment_Strategy_Sub1="Non-Standard"),VLOOKUP(Investment_Strategy&amp;"_"&amp;Investment_Strategy_Sub2&amp;"_"&amp;$A256,'Investment Strategies'!$T:$AF,8,FALSE),
IF(Investment_Strategy ="DIY",DIY_RateOfReturn_FuturePremiums,
"Error")))))),Max_InvReturn)</f>
        <v>0</v>
      </c>
      <c r="U256" s="62">
        <f>IF($AV256=0,0,
IF(Investment_Strategy="DIS",VLOOKUP(Investment_Strategy&amp;"_"&amp;Investment_Strategy_Sub1&amp;"_"&amp;$A256,'Investment Strategies'!$AZ:$BP,15,FALSE),
IF(AND(Investment_Strategy="Lifecycle",Investment_Strategy_Sub1="Non-Standard"),VLOOKUP(Investment_Strategy&amp;"_"&amp;Investment_Strategy_Sub2&amp;"_"&amp;$A256,'Investment Strategies'!$C:$P,12,FALSE),
IF(AND(Investment_Strategy="Lifecycle",Investment_Strategy_Sub1="Standard"),VLOOKUP(Investment_Strategy&amp;"_"&amp;Investment_Strategy_Sub2&amp;"_"&amp;$A256,'Investment Strategies'!$AJ:$AV,11,FALSE),
IF(AND(Investment_Strategy="Autopilot",Investment_Strategy_Sub1="Non-Standard"),VLOOKUP(Investment_Strategy&amp;"_"&amp;Investment_Strategy_Sub2&amp;"_"&amp;$A256,'Investment Strategies'!$T:$AF,11,FALSE),
IF(Investment_Strategy="DIY",DIY_GteeChrge_FuturePremiums,
"Error"))))))</f>
        <v>0</v>
      </c>
      <c r="V256" s="33">
        <f>IF(AV256=0,0,
IF(Investment_Strategy="DIS",VLOOKUP(Investment_Strategy&amp;"_"&amp;Investment_Strategy_Sub1&amp;"_"&amp;$A256,'Investment Strategies'!$AZ:$BP,17,FALSE),
IF(AND(Investment_Strategy="Lifecycle",Investment_Strategy_Sub1="Non-Standard"),VLOOKUP(Investment_Strategy&amp;"_"&amp;Investment_Strategy_Sub2&amp;"_"&amp;$A256,'Investment Strategies'!$C:$P,14,FALSE),
IF(AND(Investment_Strategy="Lifecycle",Investment_Strategy_Sub1="Standard"),VLOOKUP(Investment_Strategy&amp;"_"&amp;Investment_Strategy_Sub2&amp;"_"&amp;$A256,'Investment Strategies'!$AJ:$AV,13,FALSE),
IF(AND(Investment_Strategy="Autopilot",Investment_Strategy_Sub1="Non-Standard"),VLOOKUP(Investment_Strategy&amp;"_"&amp;Investment_Strategy_Sub2&amp;"_"&amp;$A256,'Investment Strategies'!$T:$AF,13,FALSE),
IF(Investment_Strategy="DIY",DIY_ExtManChrge_FuturePremiums,
"Error"))))))</f>
        <v>0</v>
      </c>
      <c r="W256" s="16">
        <f t="shared" si="142"/>
        <v>0</v>
      </c>
      <c r="X256" s="16">
        <f t="shared" si="117"/>
        <v>0</v>
      </c>
      <c r="Y256" s="16">
        <f t="shared" si="118"/>
        <v>0</v>
      </c>
      <c r="Z256" s="31">
        <f t="shared" si="119"/>
        <v>0.02</v>
      </c>
      <c r="AA256" s="16">
        <f t="shared" si="120"/>
        <v>0</v>
      </c>
      <c r="AB256" s="28">
        <f t="shared" si="144"/>
        <v>0</v>
      </c>
      <c r="AC256" s="28">
        <f>(SUM($AC$91:AC255)+SUM($X$91:X255)+X256)*T256*IF(D256=$A$91,SRP_finalmonthfactor,1)</f>
        <v>0</v>
      </c>
      <c r="AD256" s="16">
        <f t="shared" si="121"/>
        <v>0</v>
      </c>
      <c r="AE256" s="106"/>
      <c r="AF256" s="16">
        <f t="shared" si="130"/>
        <v>0</v>
      </c>
      <c r="AG256" s="16">
        <f t="shared" si="131"/>
        <v>0</v>
      </c>
      <c r="AH256" s="16">
        <f t="shared" si="132"/>
        <v>0</v>
      </c>
      <c r="AJ256" s="13">
        <f t="shared" si="155"/>
        <v>0</v>
      </c>
      <c r="AK256" s="13">
        <f t="shared" si="155"/>
        <v>0</v>
      </c>
      <c r="AL256" s="13">
        <f t="shared" si="155"/>
        <v>0</v>
      </c>
      <c r="AM256" s="13">
        <f t="shared" si="155"/>
        <v>0</v>
      </c>
      <c r="AN256" s="13">
        <f t="shared" si="155"/>
        <v>0</v>
      </c>
      <c r="AO256" s="13">
        <f t="shared" si="155"/>
        <v>1</v>
      </c>
      <c r="AP256" s="13">
        <f t="shared" si="155"/>
        <v>1</v>
      </c>
      <c r="AQ256" s="13">
        <f t="shared" si="155"/>
        <v>1</v>
      </c>
      <c r="AR256" s="13">
        <f t="shared" si="155"/>
        <v>1</v>
      </c>
      <c r="AS256" s="13">
        <f t="shared" si="155"/>
        <v>1</v>
      </c>
      <c r="AT256" s="13">
        <f t="shared" si="155"/>
        <v>1</v>
      </c>
      <c r="AU256" s="13">
        <f t="shared" si="155"/>
        <v>1</v>
      </c>
      <c r="AV256" s="13">
        <f t="shared" si="122"/>
        <v>0</v>
      </c>
      <c r="AW256" s="13">
        <f t="shared" si="123"/>
        <v>1</v>
      </c>
      <c r="AY256" s="17">
        <f t="shared" si="124"/>
        <v>166</v>
      </c>
      <c r="AZ256" s="28">
        <f t="shared" si="133"/>
        <v>0</v>
      </c>
      <c r="BA256" s="13">
        <f t="shared" si="125"/>
        <v>0</v>
      </c>
      <c r="BB256" s="13">
        <f t="shared" si="126"/>
        <v>0</v>
      </c>
      <c r="BC256" s="28">
        <f t="shared" si="134"/>
        <v>0</v>
      </c>
      <c r="BD256" s="28">
        <f t="shared" si="135"/>
        <v>0</v>
      </c>
      <c r="BF256" s="248">
        <f t="shared" si="136"/>
        <v>993869.29442638322</v>
      </c>
      <c r="BG256" s="36">
        <f t="shared" si="145"/>
        <v>0</v>
      </c>
      <c r="BH256" s="36">
        <f t="shared" si="146"/>
        <v>862580.6946901537</v>
      </c>
      <c r="BI256" s="249">
        <f t="shared" si="147"/>
        <v>0</v>
      </c>
      <c r="BJ256" s="246">
        <f t="shared" si="148"/>
        <v>0</v>
      </c>
      <c r="BK256" s="246">
        <f t="shared" si="127"/>
        <v>7.531116566323881E-4</v>
      </c>
      <c r="BL256" s="246">
        <f t="shared" si="149"/>
        <v>0</v>
      </c>
      <c r="BM256" s="246">
        <f t="shared" si="150"/>
        <v>7.531116566323881E-4</v>
      </c>
      <c r="BN256" s="36">
        <f t="shared" si="137"/>
        <v>649.61957595721788</v>
      </c>
      <c r="BO256" s="36">
        <f t="shared" si="151"/>
        <v>0</v>
      </c>
      <c r="BP256" s="36">
        <f t="shared" si="152"/>
        <v>861931.07511419652</v>
      </c>
    </row>
    <row r="257" spans="1:68">
      <c r="A257" s="32">
        <f t="shared" si="138"/>
        <v>-82</v>
      </c>
      <c r="B257" s="32">
        <f t="shared" si="128"/>
        <v>66</v>
      </c>
      <c r="C257" s="32">
        <f t="shared" si="139"/>
        <v>14</v>
      </c>
      <c r="D257" s="32">
        <f t="shared" si="140"/>
        <v>167</v>
      </c>
      <c r="E257" s="74">
        <f>MIN(IF(AV257=0,0,
IF(Investment_Strategy="DIS",VLOOKUP(Investment_Strategy&amp;"_"&amp;Investment_Strategy_Sub1&amp;"_"&amp;$A257,'Investment Strategies'!$AZ:$BP,12,FALSE),
IF(AND(Investment_Strategy="Lifecycle",Investment_Strategy_Sub1="Non-Standard"),VLOOKUP(Investment_Strategy&amp;"_"&amp;Investment_Strategy_Sub2&amp;"_"&amp;$A257,'Investment Strategies'!$C:$P,9,FALSE),
IF(AND(Investment_Strategy="Lifecycle",Investment_Strategy_Sub1="Standard"),VLOOKUP(Investment_Strategy&amp;"_"&amp;Investment_Strategy_Sub2&amp;"_"&amp;$A257,'Investment Strategies'!$AJ:$AV,8,FALSE),
IF(AND(Investment_Strategy="Autopilot",Investment_Strategy_Sub1="Non-Standard"),VLOOKUP(Investment_Strategy&amp;"_"&amp;Investment_Strategy_Sub2&amp;"_"&amp;$A257,'Investment Strategies'!$T:$AF,8,FALSE),
IF(Investment_Strategy ="DIY",DIY_RateOfReturn_CurrentFunds,
"Error")))))),Max_InvReturn)</f>
        <v>0</v>
      </c>
      <c r="F257" s="62">
        <f>IF(AV257=0,0,
IF(Investment_Strategy="DIS",VLOOKUP(Investment_Strategy&amp;"_"&amp;Investment_Strategy_Sub1&amp;"_"&amp;$A257,'Investment Strategies'!$AZ:$BP,15,FALSE),
IF(AND(Investment_Strategy="Lifecycle",Investment_Strategy_Sub1="Non-Standard"),VLOOKUP(Investment_Strategy&amp;"_"&amp;Investment_Strategy_Sub2&amp;"_"&amp;$A257,'Investment Strategies'!$C:$P,12,FALSE),
IF(AND(Investment_Strategy="Lifecycle",Investment_Strategy_Sub1="Standard"),VLOOKUP(Investment_Strategy&amp;"_"&amp;Investment_Strategy_Sub2&amp;"_"&amp;$A257,'Investment Strategies'!$AJ:$AV,11,FALSE),
IF(AND(Investment_Strategy="Autopilot",Investment_Strategy_Sub1="Non-Standard"),VLOOKUP(Investment_Strategy&amp;"_"&amp;Investment_Strategy_Sub2&amp;"_"&amp;$A257,'Investment Strategies'!$T:$AF,11,FALSE),
IF(Investment_Strategy="DIY",DIY_GteeChrge_CurrentFunds,
"Error"))))))</f>
        <v>0</v>
      </c>
      <c r="G257" s="33">
        <f>IF(AV257=0,0,
IF(Investment_Strategy="DIS",VLOOKUP(Investment_Strategy&amp;"_"&amp;Investment_Strategy_Sub1&amp;"_"&amp;$A257,'Investment Strategies'!$AZ:$BP,17,FALSE),
IF(AND(Investment_Strategy="Lifecycle",Investment_Strategy_Sub1="Non-Standard"),VLOOKUP(Investment_Strategy&amp;"_"&amp;Investment_Strategy_Sub2&amp;"_"&amp;$A257,'Investment Strategies'!$C:$P,14,FALSE),
IF(AND(Investment_Strategy="Lifecycle",Investment_Strategy_Sub1="Standard"),VLOOKUP(Investment_Strategy&amp;"_"&amp;Investment_Strategy_Sub2&amp;"_"&amp;$A257,'Investment Strategies'!$AJ:$AV,13,FALSE),
IF(AND(Investment_Strategy="Autopilot",Investment_Strategy_Sub1="Non-Standard"),VLOOKUP(Investment_Strategy&amp;"_"&amp;Investment_Strategy_Sub2&amp;"_"&amp;$A257,'Investment Strategies'!$T:$AF,13,FALSE),
IF(Investment_Strategy="DIY",DIY_ExtManChrge_CurrentFunds,
"Error"))))))</f>
        <v>0</v>
      </c>
      <c r="H257" s="16">
        <f t="shared" si="129"/>
        <v>0</v>
      </c>
      <c r="I257" s="16">
        <f t="shared" si="113"/>
        <v>0</v>
      </c>
      <c r="J257" s="16">
        <f t="shared" si="114"/>
        <v>0</v>
      </c>
      <c r="K257" s="16">
        <f>(Opening_Fund_Value+SUM(K$91:K256))*E257*IF(D257=$A$91,SRP_finalmonthfactor,1)</f>
        <v>0</v>
      </c>
      <c r="L257" s="74">
        <f>MIN(IF($AV257=0,0,
IF(Investment_Strategy="DIS",VLOOKUP(Investment_Strategy&amp;"_"&amp;Investment_Strategy_Sub1&amp;"_"&amp;$A257,'Investment Strategies'!$AZ:$BP,12,FALSE),
IF(AND(Investment_Strategy="Lifecycle",Investment_Strategy_Sub1="Non-Standard"),VLOOKUP(Investment_Strategy&amp;"_"&amp;Investment_Strategy_Sub2&amp;"_"&amp;$A257,'Investment Strategies'!$C:$P,9,FALSE),
IF(AND(Investment_Strategy="Lifecycle",Investment_Strategy_Sub1="Standard"),VLOOKUP(Investment_Strategy&amp;"_"&amp;Investment_Strategy_Sub2&amp;"_"&amp;$A257,'Investment Strategies'!$AJ:$AV,8,FALSE),
IF(AND(Investment_Strategy="Autopilot",Investment_Strategy_Sub1="Non-Standard"),VLOOKUP(Investment_Strategy&amp;"_"&amp;Investment_Strategy_Sub2&amp;"_"&amp;$A257,'Investment Strategies'!$T:$AF,8,FALSE),
IF(Investment_Strategy ="DIY",DIY_RateofReturn_SP,
"Error")))))),Max_InvReturn)</f>
        <v>0</v>
      </c>
      <c r="M257" s="62">
        <f>IF($AV257=0,0,
IF(Investment_Strategy="DIS",VLOOKUP(Investment_Strategy&amp;"_"&amp;Investment_Strategy_Sub1&amp;"_"&amp;$A257,'Investment Strategies'!$AZ:$BP,15,FALSE),
IF(AND(Investment_Strategy="Lifecycle",Investment_Strategy_Sub1="Non-Standard"),VLOOKUP(Investment_Strategy&amp;"_"&amp;Investment_Strategy_Sub2&amp;"_"&amp;$A257,'Investment Strategies'!$C:$P,12,FALSE),
IF(AND(Investment_Strategy="Lifecycle",Investment_Strategy_Sub1="Standard"),VLOOKUP(Investment_Strategy&amp;"_"&amp;Investment_Strategy_Sub2&amp;"_"&amp;$A257,'Investment Strategies'!$AJ:$AV,11,FALSE),
IF(AND(Investment_Strategy="Autopilot",Investment_Strategy_Sub1="Non-Standard"),VLOOKUP(Investment_Strategy&amp;"_"&amp;Investment_Strategy_Sub2&amp;"_"&amp;$A257,'Investment Strategies'!$T:$AF,11,FALSE),
IF(Investment_Strategy="DIY",DIY_GteeChrge_SP,
"Error"))))))</f>
        <v>0</v>
      </c>
      <c r="N257" s="33">
        <f>IF($AV257=0,0,
IF(Investment_Strategy="DIS",VLOOKUP(Investment_Strategy&amp;"_"&amp;Investment_Strategy_Sub1&amp;"_"&amp;$A257,'Investment Strategies'!$AZ:$BP,17,FALSE),
IF(AND(Investment_Strategy="Lifecycle",Investment_Strategy_Sub1="Non-Standard"),VLOOKUP(Investment_Strategy&amp;"_"&amp;Investment_Strategy_Sub2&amp;"_"&amp;$A257,'Investment Strategies'!$C:$P,14,FALSE),
IF(AND(Investment_Strategy="Lifecycle",Investment_Strategy_Sub1="Standard"),VLOOKUP(Investment_Strategy&amp;"_"&amp;Investment_Strategy_Sub2&amp;"_"&amp;$A257,'Investment Strategies'!$AJ:$AV,13,FALSE),
IF(AND(Investment_Strategy="Autopilot",Investment_Strategy_Sub1="Non-Standard"),VLOOKUP(Investment_Strategy&amp;"_"&amp;Investment_Strategy_Sub2&amp;"_"&amp;$A257,'Investment Strategies'!$T:$AF,13,FALSE),
IF(Investment_Strategy="DIY",DIY_ExtManChrge_SP,
"Error"))))))</f>
        <v>0</v>
      </c>
      <c r="O257" s="16">
        <f t="shared" si="141"/>
        <v>0</v>
      </c>
      <c r="Q257" s="16">
        <f t="shared" si="115"/>
        <v>0</v>
      </c>
      <c r="R257" s="16">
        <f t="shared" si="116"/>
        <v>0</v>
      </c>
      <c r="S257" s="16">
        <f>(SRP_SP+SUM(S$91:S256))*L257*IF(D257=$A$91,SRP_finalmonthfactor,1)</f>
        <v>0</v>
      </c>
      <c r="T257" s="74">
        <f>MIN(IF($AV257=0,0,
IF(Investment_Strategy="DIS",VLOOKUP(Investment_Strategy&amp;"_"&amp;Investment_Strategy_Sub1&amp;"_"&amp;$A257,'Investment Strategies'!$AZ:$BP,12,FALSE),
IF(AND(Investment_Strategy="Lifecycle",Investment_Strategy_Sub1="Non-Standard"),VLOOKUP(Investment_Strategy&amp;"_"&amp;Investment_Strategy_Sub2&amp;"_"&amp;$A257,'Investment Strategies'!$C:$P,9,FALSE),
IF(AND(Investment_Strategy="Lifecycle",Investment_Strategy_Sub1="Standard"),VLOOKUP(Investment_Strategy&amp;"_"&amp;Investment_Strategy_Sub2&amp;"_"&amp;$A257,'Investment Strategies'!$AJ:$AV,8,FALSE),
IF(AND(Investment_Strategy="Autopilot",Investment_Strategy_Sub1="Non-Standard"),VLOOKUP(Investment_Strategy&amp;"_"&amp;Investment_Strategy_Sub2&amp;"_"&amp;$A257,'Investment Strategies'!$T:$AF,8,FALSE),
IF(Investment_Strategy ="DIY",DIY_RateOfReturn_FuturePremiums,
"Error")))))),Max_InvReturn)</f>
        <v>0</v>
      </c>
      <c r="U257" s="62">
        <f>IF($AV257=0,0,
IF(Investment_Strategy="DIS",VLOOKUP(Investment_Strategy&amp;"_"&amp;Investment_Strategy_Sub1&amp;"_"&amp;$A257,'Investment Strategies'!$AZ:$BP,15,FALSE),
IF(AND(Investment_Strategy="Lifecycle",Investment_Strategy_Sub1="Non-Standard"),VLOOKUP(Investment_Strategy&amp;"_"&amp;Investment_Strategy_Sub2&amp;"_"&amp;$A257,'Investment Strategies'!$C:$P,12,FALSE),
IF(AND(Investment_Strategy="Lifecycle",Investment_Strategy_Sub1="Standard"),VLOOKUP(Investment_Strategy&amp;"_"&amp;Investment_Strategy_Sub2&amp;"_"&amp;$A257,'Investment Strategies'!$AJ:$AV,11,FALSE),
IF(AND(Investment_Strategy="Autopilot",Investment_Strategy_Sub1="Non-Standard"),VLOOKUP(Investment_Strategy&amp;"_"&amp;Investment_Strategy_Sub2&amp;"_"&amp;$A257,'Investment Strategies'!$T:$AF,11,FALSE),
IF(Investment_Strategy="DIY",DIY_GteeChrge_FuturePremiums,
"Error"))))))</f>
        <v>0</v>
      </c>
      <c r="V257" s="33">
        <f>IF(AV257=0,0,
IF(Investment_Strategy="DIS",VLOOKUP(Investment_Strategy&amp;"_"&amp;Investment_Strategy_Sub1&amp;"_"&amp;$A257,'Investment Strategies'!$AZ:$BP,17,FALSE),
IF(AND(Investment_Strategy="Lifecycle",Investment_Strategy_Sub1="Non-Standard"),VLOOKUP(Investment_Strategy&amp;"_"&amp;Investment_Strategy_Sub2&amp;"_"&amp;$A257,'Investment Strategies'!$C:$P,14,FALSE),
IF(AND(Investment_Strategy="Lifecycle",Investment_Strategy_Sub1="Standard"),VLOOKUP(Investment_Strategy&amp;"_"&amp;Investment_Strategy_Sub2&amp;"_"&amp;$A257,'Investment Strategies'!$AJ:$AV,13,FALSE),
IF(AND(Investment_Strategy="Autopilot",Investment_Strategy_Sub1="Non-Standard"),VLOOKUP(Investment_Strategy&amp;"_"&amp;Investment_Strategy_Sub2&amp;"_"&amp;$A257,'Investment Strategies'!$T:$AF,13,FALSE),
IF(Investment_Strategy="DIY",DIY_ExtManChrge_FuturePremiums,
"Error"))))))</f>
        <v>0</v>
      </c>
      <c r="W257" s="16">
        <f t="shared" si="142"/>
        <v>0</v>
      </c>
      <c r="X257" s="16">
        <f t="shared" si="117"/>
        <v>0</v>
      </c>
      <c r="Y257" s="16">
        <f t="shared" si="118"/>
        <v>0</v>
      </c>
      <c r="Z257" s="31">
        <f t="shared" si="119"/>
        <v>0.02</v>
      </c>
      <c r="AA257" s="16">
        <f t="shared" si="120"/>
        <v>0</v>
      </c>
      <c r="AB257" s="28">
        <f t="shared" si="144"/>
        <v>0</v>
      </c>
      <c r="AC257" s="28">
        <f>(SUM($AC$91:AC256)+SUM($X$91:X256)+X257)*T257*IF(D257=$A$91,SRP_finalmonthfactor,1)</f>
        <v>0</v>
      </c>
      <c r="AD257" s="16">
        <f t="shared" si="121"/>
        <v>0</v>
      </c>
      <c r="AE257" s="106"/>
      <c r="AF257" s="16">
        <f t="shared" si="130"/>
        <v>0</v>
      </c>
      <c r="AG257" s="16">
        <f t="shared" si="131"/>
        <v>0</v>
      </c>
      <c r="AH257" s="16">
        <f t="shared" si="132"/>
        <v>0</v>
      </c>
      <c r="AJ257" s="13">
        <f t="shared" si="155"/>
        <v>0</v>
      </c>
      <c r="AK257" s="13">
        <f t="shared" si="155"/>
        <v>0</v>
      </c>
      <c r="AL257" s="13">
        <f t="shared" si="155"/>
        <v>0</v>
      </c>
      <c r="AM257" s="13">
        <f t="shared" si="155"/>
        <v>0</v>
      </c>
      <c r="AN257" s="13">
        <f t="shared" si="155"/>
        <v>0</v>
      </c>
      <c r="AO257" s="13">
        <f t="shared" si="155"/>
        <v>1</v>
      </c>
      <c r="AP257" s="13">
        <f t="shared" si="155"/>
        <v>1</v>
      </c>
      <c r="AQ257" s="13">
        <f t="shared" si="155"/>
        <v>1</v>
      </c>
      <c r="AR257" s="13">
        <f t="shared" si="155"/>
        <v>1</v>
      </c>
      <c r="AS257" s="13">
        <f t="shared" si="155"/>
        <v>1</v>
      </c>
      <c r="AT257" s="13">
        <f t="shared" si="155"/>
        <v>1</v>
      </c>
      <c r="AU257" s="13">
        <f t="shared" si="155"/>
        <v>1</v>
      </c>
      <c r="AV257" s="13">
        <f t="shared" si="122"/>
        <v>0</v>
      </c>
      <c r="AW257" s="13">
        <f t="shared" si="123"/>
        <v>1</v>
      </c>
      <c r="AY257" s="17">
        <f t="shared" si="124"/>
        <v>167</v>
      </c>
      <c r="AZ257" s="28">
        <f t="shared" si="133"/>
        <v>0</v>
      </c>
      <c r="BA257" s="13">
        <f t="shared" si="125"/>
        <v>0</v>
      </c>
      <c r="BB257" s="13">
        <f t="shared" si="126"/>
        <v>0</v>
      </c>
      <c r="BC257" s="28">
        <f t="shared" si="134"/>
        <v>0</v>
      </c>
      <c r="BD257" s="28">
        <f t="shared" si="135"/>
        <v>0</v>
      </c>
      <c r="BF257" s="248">
        <f t="shared" si="136"/>
        <v>993869.29442638322</v>
      </c>
      <c r="BG257" s="36">
        <f t="shared" si="145"/>
        <v>0</v>
      </c>
      <c r="BH257" s="36">
        <f t="shared" si="146"/>
        <v>861931.07511419652</v>
      </c>
      <c r="BI257" s="249">
        <f t="shared" si="147"/>
        <v>0</v>
      </c>
      <c r="BJ257" s="246">
        <f t="shared" si="148"/>
        <v>0</v>
      </c>
      <c r="BK257" s="246">
        <f t="shared" si="127"/>
        <v>7.531116566323881E-4</v>
      </c>
      <c r="BL257" s="246">
        <f t="shared" si="149"/>
        <v>0</v>
      </c>
      <c r="BM257" s="246">
        <f t="shared" si="150"/>
        <v>7.531116566323881E-4</v>
      </c>
      <c r="BN257" s="36">
        <f t="shared" si="137"/>
        <v>649.13033988218785</v>
      </c>
      <c r="BO257" s="36">
        <f t="shared" si="151"/>
        <v>0</v>
      </c>
      <c r="BP257" s="36">
        <f t="shared" si="152"/>
        <v>861281.9447743143</v>
      </c>
    </row>
    <row r="258" spans="1:68">
      <c r="A258" s="32">
        <f t="shared" si="138"/>
        <v>-83</v>
      </c>
      <c r="B258" s="32">
        <f t="shared" si="128"/>
        <v>66</v>
      </c>
      <c r="C258" s="32">
        <f t="shared" si="139"/>
        <v>14</v>
      </c>
      <c r="D258" s="32">
        <f t="shared" si="140"/>
        <v>168</v>
      </c>
      <c r="E258" s="74">
        <f>MIN(IF(AV258=0,0,
IF(Investment_Strategy="DIS",VLOOKUP(Investment_Strategy&amp;"_"&amp;Investment_Strategy_Sub1&amp;"_"&amp;$A258,'Investment Strategies'!$AZ:$BP,12,FALSE),
IF(AND(Investment_Strategy="Lifecycle",Investment_Strategy_Sub1="Non-Standard"),VLOOKUP(Investment_Strategy&amp;"_"&amp;Investment_Strategy_Sub2&amp;"_"&amp;$A258,'Investment Strategies'!$C:$P,9,FALSE),
IF(AND(Investment_Strategy="Lifecycle",Investment_Strategy_Sub1="Standard"),VLOOKUP(Investment_Strategy&amp;"_"&amp;Investment_Strategy_Sub2&amp;"_"&amp;$A258,'Investment Strategies'!$AJ:$AV,8,FALSE),
IF(AND(Investment_Strategy="Autopilot",Investment_Strategy_Sub1="Non-Standard"),VLOOKUP(Investment_Strategy&amp;"_"&amp;Investment_Strategy_Sub2&amp;"_"&amp;$A258,'Investment Strategies'!$T:$AF,8,FALSE),
IF(Investment_Strategy ="DIY",DIY_RateOfReturn_CurrentFunds,
"Error")))))),Max_InvReturn)</f>
        <v>0</v>
      </c>
      <c r="F258" s="62">
        <f>IF(AV258=0,0,
IF(Investment_Strategy="DIS",VLOOKUP(Investment_Strategy&amp;"_"&amp;Investment_Strategy_Sub1&amp;"_"&amp;$A258,'Investment Strategies'!$AZ:$BP,15,FALSE),
IF(AND(Investment_Strategy="Lifecycle",Investment_Strategy_Sub1="Non-Standard"),VLOOKUP(Investment_Strategy&amp;"_"&amp;Investment_Strategy_Sub2&amp;"_"&amp;$A258,'Investment Strategies'!$C:$P,12,FALSE),
IF(AND(Investment_Strategy="Lifecycle",Investment_Strategy_Sub1="Standard"),VLOOKUP(Investment_Strategy&amp;"_"&amp;Investment_Strategy_Sub2&amp;"_"&amp;$A258,'Investment Strategies'!$AJ:$AV,11,FALSE),
IF(AND(Investment_Strategy="Autopilot",Investment_Strategy_Sub1="Non-Standard"),VLOOKUP(Investment_Strategy&amp;"_"&amp;Investment_Strategy_Sub2&amp;"_"&amp;$A258,'Investment Strategies'!$T:$AF,11,FALSE),
IF(Investment_Strategy="DIY",DIY_GteeChrge_CurrentFunds,
"Error"))))))</f>
        <v>0</v>
      </c>
      <c r="G258" s="33">
        <f>IF(AV258=0,0,
IF(Investment_Strategy="DIS",VLOOKUP(Investment_Strategy&amp;"_"&amp;Investment_Strategy_Sub1&amp;"_"&amp;$A258,'Investment Strategies'!$AZ:$BP,17,FALSE),
IF(AND(Investment_Strategy="Lifecycle",Investment_Strategy_Sub1="Non-Standard"),VLOOKUP(Investment_Strategy&amp;"_"&amp;Investment_Strategy_Sub2&amp;"_"&amp;$A258,'Investment Strategies'!$C:$P,14,FALSE),
IF(AND(Investment_Strategy="Lifecycle",Investment_Strategy_Sub1="Standard"),VLOOKUP(Investment_Strategy&amp;"_"&amp;Investment_Strategy_Sub2&amp;"_"&amp;$A258,'Investment Strategies'!$AJ:$AV,13,FALSE),
IF(AND(Investment_Strategy="Autopilot",Investment_Strategy_Sub1="Non-Standard"),VLOOKUP(Investment_Strategy&amp;"_"&amp;Investment_Strategy_Sub2&amp;"_"&amp;$A258,'Investment Strategies'!$T:$AF,13,FALSE),
IF(Investment_Strategy="DIY",DIY_ExtManChrge_CurrentFunds,
"Error"))))))</f>
        <v>0</v>
      </c>
      <c r="H258" s="16">
        <f t="shared" si="129"/>
        <v>0</v>
      </c>
      <c r="I258" s="16">
        <f t="shared" si="113"/>
        <v>0</v>
      </c>
      <c r="J258" s="16">
        <f t="shared" si="114"/>
        <v>0</v>
      </c>
      <c r="K258" s="16">
        <f>(Opening_Fund_Value+SUM(K$91:K257))*E258*IF(D258=$A$91,SRP_finalmonthfactor,1)</f>
        <v>0</v>
      </c>
      <c r="L258" s="74">
        <f>MIN(IF($AV258=0,0,
IF(Investment_Strategy="DIS",VLOOKUP(Investment_Strategy&amp;"_"&amp;Investment_Strategy_Sub1&amp;"_"&amp;$A258,'Investment Strategies'!$AZ:$BP,12,FALSE),
IF(AND(Investment_Strategy="Lifecycle",Investment_Strategy_Sub1="Non-Standard"),VLOOKUP(Investment_Strategy&amp;"_"&amp;Investment_Strategy_Sub2&amp;"_"&amp;$A258,'Investment Strategies'!$C:$P,9,FALSE),
IF(AND(Investment_Strategy="Lifecycle",Investment_Strategy_Sub1="Standard"),VLOOKUP(Investment_Strategy&amp;"_"&amp;Investment_Strategy_Sub2&amp;"_"&amp;$A258,'Investment Strategies'!$AJ:$AV,8,FALSE),
IF(AND(Investment_Strategy="Autopilot",Investment_Strategy_Sub1="Non-Standard"),VLOOKUP(Investment_Strategy&amp;"_"&amp;Investment_Strategy_Sub2&amp;"_"&amp;$A258,'Investment Strategies'!$T:$AF,8,FALSE),
IF(Investment_Strategy ="DIY",DIY_RateofReturn_SP,
"Error")))))),Max_InvReturn)</f>
        <v>0</v>
      </c>
      <c r="M258" s="62">
        <f>IF($AV258=0,0,
IF(Investment_Strategy="DIS",VLOOKUP(Investment_Strategy&amp;"_"&amp;Investment_Strategy_Sub1&amp;"_"&amp;$A258,'Investment Strategies'!$AZ:$BP,15,FALSE),
IF(AND(Investment_Strategy="Lifecycle",Investment_Strategy_Sub1="Non-Standard"),VLOOKUP(Investment_Strategy&amp;"_"&amp;Investment_Strategy_Sub2&amp;"_"&amp;$A258,'Investment Strategies'!$C:$P,12,FALSE),
IF(AND(Investment_Strategy="Lifecycle",Investment_Strategy_Sub1="Standard"),VLOOKUP(Investment_Strategy&amp;"_"&amp;Investment_Strategy_Sub2&amp;"_"&amp;$A258,'Investment Strategies'!$AJ:$AV,11,FALSE),
IF(AND(Investment_Strategy="Autopilot",Investment_Strategy_Sub1="Non-Standard"),VLOOKUP(Investment_Strategy&amp;"_"&amp;Investment_Strategy_Sub2&amp;"_"&amp;$A258,'Investment Strategies'!$T:$AF,11,FALSE),
IF(Investment_Strategy="DIY",DIY_GteeChrge_SP,
"Error"))))))</f>
        <v>0</v>
      </c>
      <c r="N258" s="33">
        <f>IF($AV258=0,0,
IF(Investment_Strategy="DIS",VLOOKUP(Investment_Strategy&amp;"_"&amp;Investment_Strategy_Sub1&amp;"_"&amp;$A258,'Investment Strategies'!$AZ:$BP,17,FALSE),
IF(AND(Investment_Strategy="Lifecycle",Investment_Strategy_Sub1="Non-Standard"),VLOOKUP(Investment_Strategy&amp;"_"&amp;Investment_Strategy_Sub2&amp;"_"&amp;$A258,'Investment Strategies'!$C:$P,14,FALSE),
IF(AND(Investment_Strategy="Lifecycle",Investment_Strategy_Sub1="Standard"),VLOOKUP(Investment_Strategy&amp;"_"&amp;Investment_Strategy_Sub2&amp;"_"&amp;$A258,'Investment Strategies'!$AJ:$AV,13,FALSE),
IF(AND(Investment_Strategy="Autopilot",Investment_Strategy_Sub1="Non-Standard"),VLOOKUP(Investment_Strategy&amp;"_"&amp;Investment_Strategy_Sub2&amp;"_"&amp;$A258,'Investment Strategies'!$T:$AF,13,FALSE),
IF(Investment_Strategy="DIY",DIY_ExtManChrge_SP,
"Error"))))))</f>
        <v>0</v>
      </c>
      <c r="O258" s="16">
        <f t="shared" si="141"/>
        <v>0</v>
      </c>
      <c r="Q258" s="16">
        <f t="shared" si="115"/>
        <v>0</v>
      </c>
      <c r="R258" s="16">
        <f t="shared" si="116"/>
        <v>0</v>
      </c>
      <c r="S258" s="16">
        <f>(SRP_SP+SUM(S$91:S257))*L258*IF(D258=$A$91,SRP_finalmonthfactor,1)</f>
        <v>0</v>
      </c>
      <c r="T258" s="74">
        <f>MIN(IF($AV258=0,0,
IF(Investment_Strategy="DIS",VLOOKUP(Investment_Strategy&amp;"_"&amp;Investment_Strategy_Sub1&amp;"_"&amp;$A258,'Investment Strategies'!$AZ:$BP,12,FALSE),
IF(AND(Investment_Strategy="Lifecycle",Investment_Strategy_Sub1="Non-Standard"),VLOOKUP(Investment_Strategy&amp;"_"&amp;Investment_Strategy_Sub2&amp;"_"&amp;$A258,'Investment Strategies'!$C:$P,9,FALSE),
IF(AND(Investment_Strategy="Lifecycle",Investment_Strategy_Sub1="Standard"),VLOOKUP(Investment_Strategy&amp;"_"&amp;Investment_Strategy_Sub2&amp;"_"&amp;$A258,'Investment Strategies'!$AJ:$AV,8,FALSE),
IF(AND(Investment_Strategy="Autopilot",Investment_Strategy_Sub1="Non-Standard"),VLOOKUP(Investment_Strategy&amp;"_"&amp;Investment_Strategy_Sub2&amp;"_"&amp;$A258,'Investment Strategies'!$T:$AF,8,FALSE),
IF(Investment_Strategy ="DIY",DIY_RateOfReturn_FuturePremiums,
"Error")))))),Max_InvReturn)</f>
        <v>0</v>
      </c>
      <c r="U258" s="62">
        <f>IF($AV258=0,0,
IF(Investment_Strategy="DIS",VLOOKUP(Investment_Strategy&amp;"_"&amp;Investment_Strategy_Sub1&amp;"_"&amp;$A258,'Investment Strategies'!$AZ:$BP,15,FALSE),
IF(AND(Investment_Strategy="Lifecycle",Investment_Strategy_Sub1="Non-Standard"),VLOOKUP(Investment_Strategy&amp;"_"&amp;Investment_Strategy_Sub2&amp;"_"&amp;$A258,'Investment Strategies'!$C:$P,12,FALSE),
IF(AND(Investment_Strategy="Lifecycle",Investment_Strategy_Sub1="Standard"),VLOOKUP(Investment_Strategy&amp;"_"&amp;Investment_Strategy_Sub2&amp;"_"&amp;$A258,'Investment Strategies'!$AJ:$AV,11,FALSE),
IF(AND(Investment_Strategy="Autopilot",Investment_Strategy_Sub1="Non-Standard"),VLOOKUP(Investment_Strategy&amp;"_"&amp;Investment_Strategy_Sub2&amp;"_"&amp;$A258,'Investment Strategies'!$T:$AF,11,FALSE),
IF(Investment_Strategy="DIY",DIY_GteeChrge_FuturePremiums,
"Error"))))))</f>
        <v>0</v>
      </c>
      <c r="V258" s="33">
        <f>IF(AV258=0,0,
IF(Investment_Strategy="DIS",VLOOKUP(Investment_Strategy&amp;"_"&amp;Investment_Strategy_Sub1&amp;"_"&amp;$A258,'Investment Strategies'!$AZ:$BP,17,FALSE),
IF(AND(Investment_Strategy="Lifecycle",Investment_Strategy_Sub1="Non-Standard"),VLOOKUP(Investment_Strategy&amp;"_"&amp;Investment_Strategy_Sub2&amp;"_"&amp;$A258,'Investment Strategies'!$C:$P,14,FALSE),
IF(AND(Investment_Strategy="Lifecycle",Investment_Strategy_Sub1="Standard"),VLOOKUP(Investment_Strategy&amp;"_"&amp;Investment_Strategy_Sub2&amp;"_"&amp;$A258,'Investment Strategies'!$AJ:$AV,13,FALSE),
IF(AND(Investment_Strategy="Autopilot",Investment_Strategy_Sub1="Non-Standard"),VLOOKUP(Investment_Strategy&amp;"_"&amp;Investment_Strategy_Sub2&amp;"_"&amp;$A258,'Investment Strategies'!$T:$AF,13,FALSE),
IF(Investment_Strategy="DIY",DIY_ExtManChrge_FuturePremiums,
"Error"))))))</f>
        <v>0</v>
      </c>
      <c r="W258" s="16">
        <f t="shared" si="142"/>
        <v>0</v>
      </c>
      <c r="X258" s="16">
        <f t="shared" si="117"/>
        <v>0</v>
      </c>
      <c r="Y258" s="16">
        <f t="shared" si="118"/>
        <v>0</v>
      </c>
      <c r="Z258" s="31">
        <f t="shared" si="119"/>
        <v>0.02</v>
      </c>
      <c r="AA258" s="16">
        <f t="shared" si="120"/>
        <v>0</v>
      </c>
      <c r="AB258" s="28">
        <f t="shared" si="144"/>
        <v>0</v>
      </c>
      <c r="AC258" s="28">
        <f>(SUM($AC$91:AC257)+SUM($X$91:X257)+X258)*T258*IF(D258=$A$91,SRP_finalmonthfactor,1)</f>
        <v>0</v>
      </c>
      <c r="AD258" s="16">
        <f t="shared" si="121"/>
        <v>0</v>
      </c>
      <c r="AE258" s="106"/>
      <c r="AF258" s="16">
        <f t="shared" si="130"/>
        <v>0</v>
      </c>
      <c r="AG258" s="16">
        <f t="shared" si="131"/>
        <v>0</v>
      </c>
      <c r="AH258" s="16">
        <f t="shared" si="132"/>
        <v>0</v>
      </c>
      <c r="AJ258" s="13">
        <f t="shared" si="155"/>
        <v>0</v>
      </c>
      <c r="AK258" s="13">
        <f t="shared" si="155"/>
        <v>0</v>
      </c>
      <c r="AL258" s="13">
        <f t="shared" si="155"/>
        <v>0</v>
      </c>
      <c r="AM258" s="13">
        <f t="shared" si="155"/>
        <v>0</v>
      </c>
      <c r="AN258" s="13">
        <f t="shared" si="155"/>
        <v>0</v>
      </c>
      <c r="AO258" s="13">
        <f t="shared" si="155"/>
        <v>1</v>
      </c>
      <c r="AP258" s="13">
        <f t="shared" si="155"/>
        <v>1</v>
      </c>
      <c r="AQ258" s="13">
        <f t="shared" si="155"/>
        <v>1</v>
      </c>
      <c r="AR258" s="13">
        <f t="shared" si="155"/>
        <v>1</v>
      </c>
      <c r="AS258" s="13">
        <f t="shared" si="155"/>
        <v>1</v>
      </c>
      <c r="AT258" s="13">
        <f t="shared" si="155"/>
        <v>1</v>
      </c>
      <c r="AU258" s="13">
        <f t="shared" si="155"/>
        <v>1</v>
      </c>
      <c r="AV258" s="13">
        <f t="shared" si="122"/>
        <v>0</v>
      </c>
      <c r="AW258" s="13">
        <f t="shared" si="123"/>
        <v>1</v>
      </c>
      <c r="AY258" s="17">
        <f t="shared" si="124"/>
        <v>168</v>
      </c>
      <c r="AZ258" s="28">
        <f t="shared" si="133"/>
        <v>0</v>
      </c>
      <c r="BA258" s="13">
        <f t="shared" si="125"/>
        <v>0</v>
      </c>
      <c r="BB258" s="13">
        <f t="shared" si="126"/>
        <v>0</v>
      </c>
      <c r="BC258" s="28">
        <f t="shared" si="134"/>
        <v>0</v>
      </c>
      <c r="BD258" s="28">
        <f t="shared" si="135"/>
        <v>0</v>
      </c>
      <c r="BF258" s="248">
        <f t="shared" si="136"/>
        <v>993869.29442638322</v>
      </c>
      <c r="BG258" s="36">
        <f t="shared" si="145"/>
        <v>0</v>
      </c>
      <c r="BH258" s="36">
        <f t="shared" si="146"/>
        <v>861281.9447743143</v>
      </c>
      <c r="BI258" s="249">
        <f t="shared" si="147"/>
        <v>0</v>
      </c>
      <c r="BJ258" s="246">
        <f t="shared" si="148"/>
        <v>0</v>
      </c>
      <c r="BK258" s="246">
        <f t="shared" si="127"/>
        <v>7.531116566323881E-4</v>
      </c>
      <c r="BL258" s="246">
        <f t="shared" si="149"/>
        <v>0</v>
      </c>
      <c r="BM258" s="246">
        <f t="shared" si="150"/>
        <v>7.531116566323881E-4</v>
      </c>
      <c r="BN258" s="36">
        <f t="shared" si="137"/>
        <v>648.64147225654881</v>
      </c>
      <c r="BO258" s="36">
        <f t="shared" si="151"/>
        <v>0</v>
      </c>
      <c r="BP258" s="36">
        <f t="shared" si="152"/>
        <v>860633.30330205779</v>
      </c>
    </row>
    <row r="259" spans="1:68">
      <c r="A259" s="32">
        <f t="shared" si="138"/>
        <v>-84</v>
      </c>
      <c r="B259" s="32">
        <f t="shared" si="128"/>
        <v>67</v>
      </c>
      <c r="C259" s="32">
        <f t="shared" si="139"/>
        <v>15</v>
      </c>
      <c r="D259" s="32">
        <f t="shared" si="140"/>
        <v>169</v>
      </c>
      <c r="E259" s="74">
        <f>MIN(IF(AV259=0,0,
IF(Investment_Strategy="DIS",VLOOKUP(Investment_Strategy&amp;"_"&amp;Investment_Strategy_Sub1&amp;"_"&amp;$A259,'Investment Strategies'!$AZ:$BP,12,FALSE),
IF(AND(Investment_Strategy="Lifecycle",Investment_Strategy_Sub1="Non-Standard"),VLOOKUP(Investment_Strategy&amp;"_"&amp;Investment_Strategy_Sub2&amp;"_"&amp;$A259,'Investment Strategies'!$C:$P,9,FALSE),
IF(AND(Investment_Strategy="Lifecycle",Investment_Strategy_Sub1="Standard"),VLOOKUP(Investment_Strategy&amp;"_"&amp;Investment_Strategy_Sub2&amp;"_"&amp;$A259,'Investment Strategies'!$AJ:$AV,8,FALSE),
IF(AND(Investment_Strategy="Autopilot",Investment_Strategy_Sub1="Non-Standard"),VLOOKUP(Investment_Strategy&amp;"_"&amp;Investment_Strategy_Sub2&amp;"_"&amp;$A259,'Investment Strategies'!$T:$AF,8,FALSE),
IF(Investment_Strategy ="DIY",DIY_RateOfReturn_CurrentFunds,
"Error")))))),Max_InvReturn)</f>
        <v>0</v>
      </c>
      <c r="F259" s="62">
        <f>IF(AV259=0,0,
IF(Investment_Strategy="DIS",VLOOKUP(Investment_Strategy&amp;"_"&amp;Investment_Strategy_Sub1&amp;"_"&amp;$A259,'Investment Strategies'!$AZ:$BP,15,FALSE),
IF(AND(Investment_Strategy="Lifecycle",Investment_Strategy_Sub1="Non-Standard"),VLOOKUP(Investment_Strategy&amp;"_"&amp;Investment_Strategy_Sub2&amp;"_"&amp;$A259,'Investment Strategies'!$C:$P,12,FALSE),
IF(AND(Investment_Strategy="Lifecycle",Investment_Strategy_Sub1="Standard"),VLOOKUP(Investment_Strategy&amp;"_"&amp;Investment_Strategy_Sub2&amp;"_"&amp;$A259,'Investment Strategies'!$AJ:$AV,11,FALSE),
IF(AND(Investment_Strategy="Autopilot",Investment_Strategy_Sub1="Non-Standard"),VLOOKUP(Investment_Strategy&amp;"_"&amp;Investment_Strategy_Sub2&amp;"_"&amp;$A259,'Investment Strategies'!$T:$AF,11,FALSE),
IF(Investment_Strategy="DIY",DIY_GteeChrge_CurrentFunds,
"Error"))))))</f>
        <v>0</v>
      </c>
      <c r="G259" s="33">
        <f>IF(AV259=0,0,
IF(Investment_Strategy="DIS",VLOOKUP(Investment_Strategy&amp;"_"&amp;Investment_Strategy_Sub1&amp;"_"&amp;$A259,'Investment Strategies'!$AZ:$BP,17,FALSE),
IF(AND(Investment_Strategy="Lifecycle",Investment_Strategy_Sub1="Non-Standard"),VLOOKUP(Investment_Strategy&amp;"_"&amp;Investment_Strategy_Sub2&amp;"_"&amp;$A259,'Investment Strategies'!$C:$P,14,FALSE),
IF(AND(Investment_Strategy="Lifecycle",Investment_Strategy_Sub1="Standard"),VLOOKUP(Investment_Strategy&amp;"_"&amp;Investment_Strategy_Sub2&amp;"_"&amp;$A259,'Investment Strategies'!$AJ:$AV,13,FALSE),
IF(AND(Investment_Strategy="Autopilot",Investment_Strategy_Sub1="Non-Standard"),VLOOKUP(Investment_Strategy&amp;"_"&amp;Investment_Strategy_Sub2&amp;"_"&amp;$A259,'Investment Strategies'!$T:$AF,13,FALSE),
IF(Investment_Strategy="DIY",DIY_ExtManChrge_CurrentFunds,
"Error"))))))</f>
        <v>0</v>
      </c>
      <c r="H259" s="16">
        <f t="shared" si="129"/>
        <v>0</v>
      </c>
      <c r="I259" s="16">
        <f t="shared" si="113"/>
        <v>0</v>
      </c>
      <c r="J259" s="16">
        <f t="shared" si="114"/>
        <v>0</v>
      </c>
      <c r="K259" s="16">
        <f>(Opening_Fund_Value+SUM(K$91:K258))*E259*IF(D259=$A$91,SRP_finalmonthfactor,1)</f>
        <v>0</v>
      </c>
      <c r="L259" s="74">
        <f>MIN(IF($AV259=0,0,
IF(Investment_Strategy="DIS",VLOOKUP(Investment_Strategy&amp;"_"&amp;Investment_Strategy_Sub1&amp;"_"&amp;$A259,'Investment Strategies'!$AZ:$BP,12,FALSE),
IF(AND(Investment_Strategy="Lifecycle",Investment_Strategy_Sub1="Non-Standard"),VLOOKUP(Investment_Strategy&amp;"_"&amp;Investment_Strategy_Sub2&amp;"_"&amp;$A259,'Investment Strategies'!$C:$P,9,FALSE),
IF(AND(Investment_Strategy="Lifecycle",Investment_Strategy_Sub1="Standard"),VLOOKUP(Investment_Strategy&amp;"_"&amp;Investment_Strategy_Sub2&amp;"_"&amp;$A259,'Investment Strategies'!$AJ:$AV,8,FALSE),
IF(AND(Investment_Strategy="Autopilot",Investment_Strategy_Sub1="Non-Standard"),VLOOKUP(Investment_Strategy&amp;"_"&amp;Investment_Strategy_Sub2&amp;"_"&amp;$A259,'Investment Strategies'!$T:$AF,8,FALSE),
IF(Investment_Strategy ="DIY",DIY_RateofReturn_SP,
"Error")))))),Max_InvReturn)</f>
        <v>0</v>
      </c>
      <c r="M259" s="62">
        <f>IF($AV259=0,0,
IF(Investment_Strategy="DIS",VLOOKUP(Investment_Strategy&amp;"_"&amp;Investment_Strategy_Sub1&amp;"_"&amp;$A259,'Investment Strategies'!$AZ:$BP,15,FALSE),
IF(AND(Investment_Strategy="Lifecycle",Investment_Strategy_Sub1="Non-Standard"),VLOOKUP(Investment_Strategy&amp;"_"&amp;Investment_Strategy_Sub2&amp;"_"&amp;$A259,'Investment Strategies'!$C:$P,12,FALSE),
IF(AND(Investment_Strategy="Lifecycle",Investment_Strategy_Sub1="Standard"),VLOOKUP(Investment_Strategy&amp;"_"&amp;Investment_Strategy_Sub2&amp;"_"&amp;$A259,'Investment Strategies'!$AJ:$AV,11,FALSE),
IF(AND(Investment_Strategy="Autopilot",Investment_Strategy_Sub1="Non-Standard"),VLOOKUP(Investment_Strategy&amp;"_"&amp;Investment_Strategy_Sub2&amp;"_"&amp;$A259,'Investment Strategies'!$T:$AF,11,FALSE),
IF(Investment_Strategy="DIY",DIY_GteeChrge_SP,
"Error"))))))</f>
        <v>0</v>
      </c>
      <c r="N259" s="33">
        <f>IF($AV259=0,0,
IF(Investment_Strategy="DIS",VLOOKUP(Investment_Strategy&amp;"_"&amp;Investment_Strategy_Sub1&amp;"_"&amp;$A259,'Investment Strategies'!$AZ:$BP,17,FALSE),
IF(AND(Investment_Strategy="Lifecycle",Investment_Strategy_Sub1="Non-Standard"),VLOOKUP(Investment_Strategy&amp;"_"&amp;Investment_Strategy_Sub2&amp;"_"&amp;$A259,'Investment Strategies'!$C:$P,14,FALSE),
IF(AND(Investment_Strategy="Lifecycle",Investment_Strategy_Sub1="Standard"),VLOOKUP(Investment_Strategy&amp;"_"&amp;Investment_Strategy_Sub2&amp;"_"&amp;$A259,'Investment Strategies'!$AJ:$AV,13,FALSE),
IF(AND(Investment_Strategy="Autopilot",Investment_Strategy_Sub1="Non-Standard"),VLOOKUP(Investment_Strategy&amp;"_"&amp;Investment_Strategy_Sub2&amp;"_"&amp;$A259,'Investment Strategies'!$T:$AF,13,FALSE),
IF(Investment_Strategy="DIY",DIY_ExtManChrge_SP,
"Error"))))))</f>
        <v>0</v>
      </c>
      <c r="O259" s="16">
        <f t="shared" si="141"/>
        <v>0</v>
      </c>
      <c r="Q259" s="16">
        <f t="shared" si="115"/>
        <v>0</v>
      </c>
      <c r="R259" s="16">
        <f t="shared" si="116"/>
        <v>0</v>
      </c>
      <c r="S259" s="16">
        <f>(SRP_SP+SUM(S$91:S258))*L259*IF(D259=$A$91,SRP_finalmonthfactor,1)</f>
        <v>0</v>
      </c>
      <c r="T259" s="74">
        <f>MIN(IF($AV259=0,0,
IF(Investment_Strategy="DIS",VLOOKUP(Investment_Strategy&amp;"_"&amp;Investment_Strategy_Sub1&amp;"_"&amp;$A259,'Investment Strategies'!$AZ:$BP,12,FALSE),
IF(AND(Investment_Strategy="Lifecycle",Investment_Strategy_Sub1="Non-Standard"),VLOOKUP(Investment_Strategy&amp;"_"&amp;Investment_Strategy_Sub2&amp;"_"&amp;$A259,'Investment Strategies'!$C:$P,9,FALSE),
IF(AND(Investment_Strategy="Lifecycle",Investment_Strategy_Sub1="Standard"),VLOOKUP(Investment_Strategy&amp;"_"&amp;Investment_Strategy_Sub2&amp;"_"&amp;$A259,'Investment Strategies'!$AJ:$AV,8,FALSE),
IF(AND(Investment_Strategy="Autopilot",Investment_Strategy_Sub1="Non-Standard"),VLOOKUP(Investment_Strategy&amp;"_"&amp;Investment_Strategy_Sub2&amp;"_"&amp;$A259,'Investment Strategies'!$T:$AF,8,FALSE),
IF(Investment_Strategy ="DIY",DIY_RateOfReturn_FuturePremiums,
"Error")))))),Max_InvReturn)</f>
        <v>0</v>
      </c>
      <c r="U259" s="62">
        <f>IF($AV259=0,0,
IF(Investment_Strategy="DIS",VLOOKUP(Investment_Strategy&amp;"_"&amp;Investment_Strategy_Sub1&amp;"_"&amp;$A259,'Investment Strategies'!$AZ:$BP,15,FALSE),
IF(AND(Investment_Strategy="Lifecycle",Investment_Strategy_Sub1="Non-Standard"),VLOOKUP(Investment_Strategy&amp;"_"&amp;Investment_Strategy_Sub2&amp;"_"&amp;$A259,'Investment Strategies'!$C:$P,12,FALSE),
IF(AND(Investment_Strategy="Lifecycle",Investment_Strategy_Sub1="Standard"),VLOOKUP(Investment_Strategy&amp;"_"&amp;Investment_Strategy_Sub2&amp;"_"&amp;$A259,'Investment Strategies'!$AJ:$AV,11,FALSE),
IF(AND(Investment_Strategy="Autopilot",Investment_Strategy_Sub1="Non-Standard"),VLOOKUP(Investment_Strategy&amp;"_"&amp;Investment_Strategy_Sub2&amp;"_"&amp;$A259,'Investment Strategies'!$T:$AF,11,FALSE),
IF(Investment_Strategy="DIY",DIY_GteeChrge_FuturePremiums,
"Error"))))))</f>
        <v>0</v>
      </c>
      <c r="V259" s="33">
        <f>IF(AV259=0,0,
IF(Investment_Strategy="DIS",VLOOKUP(Investment_Strategy&amp;"_"&amp;Investment_Strategy_Sub1&amp;"_"&amp;$A259,'Investment Strategies'!$AZ:$BP,17,FALSE),
IF(AND(Investment_Strategy="Lifecycle",Investment_Strategy_Sub1="Non-Standard"),VLOOKUP(Investment_Strategy&amp;"_"&amp;Investment_Strategy_Sub2&amp;"_"&amp;$A259,'Investment Strategies'!$C:$P,14,FALSE),
IF(AND(Investment_Strategy="Lifecycle",Investment_Strategy_Sub1="Standard"),VLOOKUP(Investment_Strategy&amp;"_"&amp;Investment_Strategy_Sub2&amp;"_"&amp;$A259,'Investment Strategies'!$AJ:$AV,13,FALSE),
IF(AND(Investment_Strategy="Autopilot",Investment_Strategy_Sub1="Non-Standard"),VLOOKUP(Investment_Strategy&amp;"_"&amp;Investment_Strategy_Sub2&amp;"_"&amp;$A259,'Investment Strategies'!$T:$AF,13,FALSE),
IF(Investment_Strategy="DIY",DIY_ExtManChrge_FuturePremiums,
"Error"))))))</f>
        <v>0</v>
      </c>
      <c r="W259" s="16">
        <f t="shared" si="142"/>
        <v>0</v>
      </c>
      <c r="X259" s="16">
        <f t="shared" si="117"/>
        <v>0</v>
      </c>
      <c r="Y259" s="16">
        <f t="shared" si="118"/>
        <v>0</v>
      </c>
      <c r="Z259" s="31">
        <f t="shared" si="119"/>
        <v>0.02</v>
      </c>
      <c r="AA259" s="16">
        <f t="shared" si="120"/>
        <v>0</v>
      </c>
      <c r="AB259" s="28">
        <f t="shared" si="144"/>
        <v>0</v>
      </c>
      <c r="AC259" s="28">
        <f>(SUM($AC$91:AC258)+SUM($X$91:X258)+X259)*T259*IF(D259=$A$91,SRP_finalmonthfactor,1)</f>
        <v>0</v>
      </c>
      <c r="AD259" s="16">
        <f t="shared" si="121"/>
        <v>0</v>
      </c>
      <c r="AE259" s="106"/>
      <c r="AF259" s="16">
        <f t="shared" si="130"/>
        <v>0</v>
      </c>
      <c r="AG259" s="16">
        <f t="shared" si="131"/>
        <v>0</v>
      </c>
      <c r="AH259" s="16">
        <f t="shared" si="132"/>
        <v>0</v>
      </c>
      <c r="AJ259" s="13">
        <f t="shared" si="155"/>
        <v>0</v>
      </c>
      <c r="AK259" s="13">
        <f t="shared" si="155"/>
        <v>0</v>
      </c>
      <c r="AL259" s="13">
        <f t="shared" si="155"/>
        <v>0</v>
      </c>
      <c r="AM259" s="13">
        <f t="shared" si="155"/>
        <v>0</v>
      </c>
      <c r="AN259" s="13">
        <f t="shared" si="155"/>
        <v>0</v>
      </c>
      <c r="AO259" s="13">
        <f t="shared" si="155"/>
        <v>1</v>
      </c>
      <c r="AP259" s="13">
        <f t="shared" si="155"/>
        <v>1</v>
      </c>
      <c r="AQ259" s="13">
        <f t="shared" si="155"/>
        <v>1</v>
      </c>
      <c r="AR259" s="13">
        <f t="shared" si="155"/>
        <v>1</v>
      </c>
      <c r="AS259" s="13">
        <f t="shared" si="155"/>
        <v>1</v>
      </c>
      <c r="AT259" s="13">
        <f t="shared" si="155"/>
        <v>1</v>
      </c>
      <c r="AU259" s="13">
        <f t="shared" si="155"/>
        <v>1</v>
      </c>
      <c r="AV259" s="13">
        <f t="shared" si="122"/>
        <v>0</v>
      </c>
      <c r="AW259" s="13">
        <f t="shared" si="123"/>
        <v>1</v>
      </c>
      <c r="AY259" s="17">
        <f t="shared" si="124"/>
        <v>169</v>
      </c>
      <c r="AZ259" s="28">
        <f t="shared" si="133"/>
        <v>0</v>
      </c>
      <c r="BA259" s="13">
        <f t="shared" si="125"/>
        <v>0</v>
      </c>
      <c r="BB259" s="13">
        <f t="shared" si="126"/>
        <v>0</v>
      </c>
      <c r="BC259" s="28">
        <f t="shared" si="134"/>
        <v>0</v>
      </c>
      <c r="BD259" s="28">
        <f t="shared" si="135"/>
        <v>0</v>
      </c>
      <c r="BF259" s="248">
        <f t="shared" si="136"/>
        <v>993869.29442638322</v>
      </c>
      <c r="BG259" s="36">
        <f t="shared" si="145"/>
        <v>0</v>
      </c>
      <c r="BH259" s="36">
        <f t="shared" si="146"/>
        <v>860633.30330205779</v>
      </c>
      <c r="BI259" s="249">
        <f t="shared" si="147"/>
        <v>0</v>
      </c>
      <c r="BJ259" s="246">
        <f t="shared" si="148"/>
        <v>0</v>
      </c>
      <c r="BK259" s="246">
        <f t="shared" si="127"/>
        <v>7.531116566323881E-4</v>
      </c>
      <c r="BL259" s="246">
        <f t="shared" si="149"/>
        <v>0</v>
      </c>
      <c r="BM259" s="246">
        <f t="shared" si="150"/>
        <v>7.531116566323881E-4</v>
      </c>
      <c r="BN259" s="36">
        <f t="shared" si="137"/>
        <v>648.15297280281732</v>
      </c>
      <c r="BO259" s="36">
        <f t="shared" si="151"/>
        <v>0</v>
      </c>
      <c r="BP259" s="36">
        <f t="shared" si="152"/>
        <v>859985.15032925492</v>
      </c>
    </row>
    <row r="260" spans="1:68">
      <c r="A260" s="32">
        <f t="shared" si="138"/>
        <v>-85</v>
      </c>
      <c r="B260" s="32">
        <f t="shared" si="128"/>
        <v>67</v>
      </c>
      <c r="C260" s="32">
        <f t="shared" si="139"/>
        <v>15</v>
      </c>
      <c r="D260" s="32">
        <f t="shared" si="140"/>
        <v>170</v>
      </c>
      <c r="E260" s="74">
        <f>MIN(IF(AV260=0,0,
IF(Investment_Strategy="DIS",VLOOKUP(Investment_Strategy&amp;"_"&amp;Investment_Strategy_Sub1&amp;"_"&amp;$A260,'Investment Strategies'!$AZ:$BP,12,FALSE),
IF(AND(Investment_Strategy="Lifecycle",Investment_Strategy_Sub1="Non-Standard"),VLOOKUP(Investment_Strategy&amp;"_"&amp;Investment_Strategy_Sub2&amp;"_"&amp;$A260,'Investment Strategies'!$C:$P,9,FALSE),
IF(AND(Investment_Strategy="Lifecycle",Investment_Strategy_Sub1="Standard"),VLOOKUP(Investment_Strategy&amp;"_"&amp;Investment_Strategy_Sub2&amp;"_"&amp;$A260,'Investment Strategies'!$AJ:$AV,8,FALSE),
IF(AND(Investment_Strategy="Autopilot",Investment_Strategy_Sub1="Non-Standard"),VLOOKUP(Investment_Strategy&amp;"_"&amp;Investment_Strategy_Sub2&amp;"_"&amp;$A260,'Investment Strategies'!$T:$AF,8,FALSE),
IF(Investment_Strategy ="DIY",DIY_RateOfReturn_CurrentFunds,
"Error")))))),Max_InvReturn)</f>
        <v>0</v>
      </c>
      <c r="F260" s="62">
        <f>IF(AV260=0,0,
IF(Investment_Strategy="DIS",VLOOKUP(Investment_Strategy&amp;"_"&amp;Investment_Strategy_Sub1&amp;"_"&amp;$A260,'Investment Strategies'!$AZ:$BP,15,FALSE),
IF(AND(Investment_Strategy="Lifecycle",Investment_Strategy_Sub1="Non-Standard"),VLOOKUP(Investment_Strategy&amp;"_"&amp;Investment_Strategy_Sub2&amp;"_"&amp;$A260,'Investment Strategies'!$C:$P,12,FALSE),
IF(AND(Investment_Strategy="Lifecycle",Investment_Strategy_Sub1="Standard"),VLOOKUP(Investment_Strategy&amp;"_"&amp;Investment_Strategy_Sub2&amp;"_"&amp;$A260,'Investment Strategies'!$AJ:$AV,11,FALSE),
IF(AND(Investment_Strategy="Autopilot",Investment_Strategy_Sub1="Non-Standard"),VLOOKUP(Investment_Strategy&amp;"_"&amp;Investment_Strategy_Sub2&amp;"_"&amp;$A260,'Investment Strategies'!$T:$AF,11,FALSE),
IF(Investment_Strategy="DIY",DIY_GteeChrge_CurrentFunds,
"Error"))))))</f>
        <v>0</v>
      </c>
      <c r="G260" s="33">
        <f>IF(AV260=0,0,
IF(Investment_Strategy="DIS",VLOOKUP(Investment_Strategy&amp;"_"&amp;Investment_Strategy_Sub1&amp;"_"&amp;$A260,'Investment Strategies'!$AZ:$BP,17,FALSE),
IF(AND(Investment_Strategy="Lifecycle",Investment_Strategy_Sub1="Non-Standard"),VLOOKUP(Investment_Strategy&amp;"_"&amp;Investment_Strategy_Sub2&amp;"_"&amp;$A260,'Investment Strategies'!$C:$P,14,FALSE),
IF(AND(Investment_Strategy="Lifecycle",Investment_Strategy_Sub1="Standard"),VLOOKUP(Investment_Strategy&amp;"_"&amp;Investment_Strategy_Sub2&amp;"_"&amp;$A260,'Investment Strategies'!$AJ:$AV,13,FALSE),
IF(AND(Investment_Strategy="Autopilot",Investment_Strategy_Sub1="Non-Standard"),VLOOKUP(Investment_Strategy&amp;"_"&amp;Investment_Strategy_Sub2&amp;"_"&amp;$A260,'Investment Strategies'!$T:$AF,13,FALSE),
IF(Investment_Strategy="DIY",DIY_ExtManChrge_CurrentFunds,
"Error"))))))</f>
        <v>0</v>
      </c>
      <c r="H260" s="16">
        <f t="shared" si="129"/>
        <v>0</v>
      </c>
      <c r="I260" s="16">
        <f t="shared" si="113"/>
        <v>0</v>
      </c>
      <c r="J260" s="16">
        <f t="shared" si="114"/>
        <v>0</v>
      </c>
      <c r="K260" s="16">
        <f>(Opening_Fund_Value+SUM(K$91:K259))*E260*IF(D260=$A$91,SRP_finalmonthfactor,1)</f>
        <v>0</v>
      </c>
      <c r="L260" s="74">
        <f>MIN(IF($AV260=0,0,
IF(Investment_Strategy="DIS",VLOOKUP(Investment_Strategy&amp;"_"&amp;Investment_Strategy_Sub1&amp;"_"&amp;$A260,'Investment Strategies'!$AZ:$BP,12,FALSE),
IF(AND(Investment_Strategy="Lifecycle",Investment_Strategy_Sub1="Non-Standard"),VLOOKUP(Investment_Strategy&amp;"_"&amp;Investment_Strategy_Sub2&amp;"_"&amp;$A260,'Investment Strategies'!$C:$P,9,FALSE),
IF(AND(Investment_Strategy="Lifecycle",Investment_Strategy_Sub1="Standard"),VLOOKUP(Investment_Strategy&amp;"_"&amp;Investment_Strategy_Sub2&amp;"_"&amp;$A260,'Investment Strategies'!$AJ:$AV,8,FALSE),
IF(AND(Investment_Strategy="Autopilot",Investment_Strategy_Sub1="Non-Standard"),VLOOKUP(Investment_Strategy&amp;"_"&amp;Investment_Strategy_Sub2&amp;"_"&amp;$A260,'Investment Strategies'!$T:$AF,8,FALSE),
IF(Investment_Strategy ="DIY",DIY_RateofReturn_SP,
"Error")))))),Max_InvReturn)</f>
        <v>0</v>
      </c>
      <c r="M260" s="62">
        <f>IF($AV260=0,0,
IF(Investment_Strategy="DIS",VLOOKUP(Investment_Strategy&amp;"_"&amp;Investment_Strategy_Sub1&amp;"_"&amp;$A260,'Investment Strategies'!$AZ:$BP,15,FALSE),
IF(AND(Investment_Strategy="Lifecycle",Investment_Strategy_Sub1="Non-Standard"),VLOOKUP(Investment_Strategy&amp;"_"&amp;Investment_Strategy_Sub2&amp;"_"&amp;$A260,'Investment Strategies'!$C:$P,12,FALSE),
IF(AND(Investment_Strategy="Lifecycle",Investment_Strategy_Sub1="Standard"),VLOOKUP(Investment_Strategy&amp;"_"&amp;Investment_Strategy_Sub2&amp;"_"&amp;$A260,'Investment Strategies'!$AJ:$AV,11,FALSE),
IF(AND(Investment_Strategy="Autopilot",Investment_Strategy_Sub1="Non-Standard"),VLOOKUP(Investment_Strategy&amp;"_"&amp;Investment_Strategy_Sub2&amp;"_"&amp;$A260,'Investment Strategies'!$T:$AF,11,FALSE),
IF(Investment_Strategy="DIY",DIY_GteeChrge_SP,
"Error"))))))</f>
        <v>0</v>
      </c>
      <c r="N260" s="33">
        <f>IF($AV260=0,0,
IF(Investment_Strategy="DIS",VLOOKUP(Investment_Strategy&amp;"_"&amp;Investment_Strategy_Sub1&amp;"_"&amp;$A260,'Investment Strategies'!$AZ:$BP,17,FALSE),
IF(AND(Investment_Strategy="Lifecycle",Investment_Strategy_Sub1="Non-Standard"),VLOOKUP(Investment_Strategy&amp;"_"&amp;Investment_Strategy_Sub2&amp;"_"&amp;$A260,'Investment Strategies'!$C:$P,14,FALSE),
IF(AND(Investment_Strategy="Lifecycle",Investment_Strategy_Sub1="Standard"),VLOOKUP(Investment_Strategy&amp;"_"&amp;Investment_Strategy_Sub2&amp;"_"&amp;$A260,'Investment Strategies'!$AJ:$AV,13,FALSE),
IF(AND(Investment_Strategy="Autopilot",Investment_Strategy_Sub1="Non-Standard"),VLOOKUP(Investment_Strategy&amp;"_"&amp;Investment_Strategy_Sub2&amp;"_"&amp;$A260,'Investment Strategies'!$T:$AF,13,FALSE),
IF(Investment_Strategy="DIY",DIY_ExtManChrge_SP,
"Error"))))))</f>
        <v>0</v>
      </c>
      <c r="O260" s="16">
        <f t="shared" si="141"/>
        <v>0</v>
      </c>
      <c r="Q260" s="16">
        <f t="shared" si="115"/>
        <v>0</v>
      </c>
      <c r="R260" s="16">
        <f t="shared" si="116"/>
        <v>0</v>
      </c>
      <c r="S260" s="16">
        <f>(SRP_SP+SUM(S$91:S259))*L260*IF(D260=$A$91,SRP_finalmonthfactor,1)</f>
        <v>0</v>
      </c>
      <c r="T260" s="74">
        <f>MIN(IF($AV260=0,0,
IF(Investment_Strategy="DIS",VLOOKUP(Investment_Strategy&amp;"_"&amp;Investment_Strategy_Sub1&amp;"_"&amp;$A260,'Investment Strategies'!$AZ:$BP,12,FALSE),
IF(AND(Investment_Strategy="Lifecycle",Investment_Strategy_Sub1="Non-Standard"),VLOOKUP(Investment_Strategy&amp;"_"&amp;Investment_Strategy_Sub2&amp;"_"&amp;$A260,'Investment Strategies'!$C:$P,9,FALSE),
IF(AND(Investment_Strategy="Lifecycle",Investment_Strategy_Sub1="Standard"),VLOOKUP(Investment_Strategy&amp;"_"&amp;Investment_Strategy_Sub2&amp;"_"&amp;$A260,'Investment Strategies'!$AJ:$AV,8,FALSE),
IF(AND(Investment_Strategy="Autopilot",Investment_Strategy_Sub1="Non-Standard"),VLOOKUP(Investment_Strategy&amp;"_"&amp;Investment_Strategy_Sub2&amp;"_"&amp;$A260,'Investment Strategies'!$T:$AF,8,FALSE),
IF(Investment_Strategy ="DIY",DIY_RateOfReturn_FuturePremiums,
"Error")))))),Max_InvReturn)</f>
        <v>0</v>
      </c>
      <c r="U260" s="62">
        <f>IF($AV260=0,0,
IF(Investment_Strategy="DIS",VLOOKUP(Investment_Strategy&amp;"_"&amp;Investment_Strategy_Sub1&amp;"_"&amp;$A260,'Investment Strategies'!$AZ:$BP,15,FALSE),
IF(AND(Investment_Strategy="Lifecycle",Investment_Strategy_Sub1="Non-Standard"),VLOOKUP(Investment_Strategy&amp;"_"&amp;Investment_Strategy_Sub2&amp;"_"&amp;$A260,'Investment Strategies'!$C:$P,12,FALSE),
IF(AND(Investment_Strategy="Lifecycle",Investment_Strategy_Sub1="Standard"),VLOOKUP(Investment_Strategy&amp;"_"&amp;Investment_Strategy_Sub2&amp;"_"&amp;$A260,'Investment Strategies'!$AJ:$AV,11,FALSE),
IF(AND(Investment_Strategy="Autopilot",Investment_Strategy_Sub1="Non-Standard"),VLOOKUP(Investment_Strategy&amp;"_"&amp;Investment_Strategy_Sub2&amp;"_"&amp;$A260,'Investment Strategies'!$T:$AF,11,FALSE),
IF(Investment_Strategy="DIY",DIY_GteeChrge_FuturePremiums,
"Error"))))))</f>
        <v>0</v>
      </c>
      <c r="V260" s="33">
        <f>IF(AV260=0,0,
IF(Investment_Strategy="DIS",VLOOKUP(Investment_Strategy&amp;"_"&amp;Investment_Strategy_Sub1&amp;"_"&amp;$A260,'Investment Strategies'!$AZ:$BP,17,FALSE),
IF(AND(Investment_Strategy="Lifecycle",Investment_Strategy_Sub1="Non-Standard"),VLOOKUP(Investment_Strategy&amp;"_"&amp;Investment_Strategy_Sub2&amp;"_"&amp;$A260,'Investment Strategies'!$C:$P,14,FALSE),
IF(AND(Investment_Strategy="Lifecycle",Investment_Strategy_Sub1="Standard"),VLOOKUP(Investment_Strategy&amp;"_"&amp;Investment_Strategy_Sub2&amp;"_"&amp;$A260,'Investment Strategies'!$AJ:$AV,13,FALSE),
IF(AND(Investment_Strategy="Autopilot",Investment_Strategy_Sub1="Non-Standard"),VLOOKUP(Investment_Strategy&amp;"_"&amp;Investment_Strategy_Sub2&amp;"_"&amp;$A260,'Investment Strategies'!$T:$AF,13,FALSE),
IF(Investment_Strategy="DIY",DIY_ExtManChrge_FuturePremiums,
"Error"))))))</f>
        <v>0</v>
      </c>
      <c r="W260" s="16">
        <f t="shared" si="142"/>
        <v>0</v>
      </c>
      <c r="X260" s="16">
        <f t="shared" si="117"/>
        <v>0</v>
      </c>
      <c r="Y260" s="16">
        <f t="shared" si="118"/>
        <v>0</v>
      </c>
      <c r="Z260" s="31">
        <f t="shared" si="119"/>
        <v>0.02</v>
      </c>
      <c r="AA260" s="16">
        <f t="shared" si="120"/>
        <v>0</v>
      </c>
      <c r="AB260" s="28">
        <f t="shared" si="144"/>
        <v>0</v>
      </c>
      <c r="AC260" s="28">
        <f>(SUM($AC$91:AC259)+SUM($X$91:X259)+X260)*T260*IF(D260=$A$91,SRP_finalmonthfactor,1)</f>
        <v>0</v>
      </c>
      <c r="AD260" s="16">
        <f t="shared" si="121"/>
        <v>0</v>
      </c>
      <c r="AE260" s="106"/>
      <c r="AF260" s="16">
        <f t="shared" si="130"/>
        <v>0</v>
      </c>
      <c r="AG260" s="16">
        <f t="shared" si="131"/>
        <v>0</v>
      </c>
      <c r="AH260" s="16">
        <f t="shared" si="132"/>
        <v>0</v>
      </c>
      <c r="AJ260" s="13">
        <f t="shared" si="155"/>
        <v>0</v>
      </c>
      <c r="AK260" s="13">
        <f t="shared" si="155"/>
        <v>0</v>
      </c>
      <c r="AL260" s="13">
        <f t="shared" si="155"/>
        <v>0</v>
      </c>
      <c r="AM260" s="13">
        <f t="shared" si="155"/>
        <v>0</v>
      </c>
      <c r="AN260" s="13">
        <f t="shared" si="155"/>
        <v>0</v>
      </c>
      <c r="AO260" s="13">
        <f t="shared" si="155"/>
        <v>1</v>
      </c>
      <c r="AP260" s="13">
        <f t="shared" si="155"/>
        <v>1</v>
      </c>
      <c r="AQ260" s="13">
        <f t="shared" si="155"/>
        <v>1</v>
      </c>
      <c r="AR260" s="13">
        <f t="shared" si="155"/>
        <v>1</v>
      </c>
      <c r="AS260" s="13">
        <f t="shared" si="155"/>
        <v>1</v>
      </c>
      <c r="AT260" s="13">
        <f t="shared" si="155"/>
        <v>1</v>
      </c>
      <c r="AU260" s="13">
        <f t="shared" si="155"/>
        <v>1</v>
      </c>
      <c r="AV260" s="13">
        <f t="shared" si="122"/>
        <v>0</v>
      </c>
      <c r="AW260" s="13">
        <f t="shared" si="123"/>
        <v>1</v>
      </c>
      <c r="AY260" s="17">
        <f t="shared" si="124"/>
        <v>170</v>
      </c>
      <c r="AZ260" s="28">
        <f t="shared" si="133"/>
        <v>0</v>
      </c>
      <c r="BA260" s="13">
        <f t="shared" si="125"/>
        <v>0</v>
      </c>
      <c r="BB260" s="13">
        <f t="shared" si="126"/>
        <v>0</v>
      </c>
      <c r="BC260" s="28">
        <f t="shared" si="134"/>
        <v>0</v>
      </c>
      <c r="BD260" s="28">
        <f t="shared" si="135"/>
        <v>0</v>
      </c>
      <c r="BF260" s="248">
        <f t="shared" si="136"/>
        <v>993869.29442638322</v>
      </c>
      <c r="BG260" s="36">
        <f t="shared" si="145"/>
        <v>0</v>
      </c>
      <c r="BH260" s="36">
        <f t="shared" si="146"/>
        <v>859985.15032925492</v>
      </c>
      <c r="BI260" s="249">
        <f t="shared" si="147"/>
        <v>0</v>
      </c>
      <c r="BJ260" s="246">
        <f t="shared" si="148"/>
        <v>0</v>
      </c>
      <c r="BK260" s="246">
        <f t="shared" si="127"/>
        <v>7.531116566323881E-4</v>
      </c>
      <c r="BL260" s="246">
        <f t="shared" si="149"/>
        <v>0</v>
      </c>
      <c r="BM260" s="246">
        <f t="shared" si="150"/>
        <v>7.531116566323881E-4</v>
      </c>
      <c r="BN260" s="36">
        <f t="shared" si="137"/>
        <v>647.66484124371846</v>
      </c>
      <c r="BO260" s="36">
        <f t="shared" si="151"/>
        <v>0</v>
      </c>
      <c r="BP260" s="36">
        <f t="shared" si="152"/>
        <v>859337.48548801115</v>
      </c>
    </row>
    <row r="261" spans="1:68">
      <c r="A261" s="32">
        <f t="shared" si="138"/>
        <v>-86</v>
      </c>
      <c r="B261" s="32">
        <f t="shared" si="128"/>
        <v>67</v>
      </c>
      <c r="C261" s="32">
        <f t="shared" si="139"/>
        <v>15</v>
      </c>
      <c r="D261" s="32">
        <f t="shared" si="140"/>
        <v>171</v>
      </c>
      <c r="E261" s="74">
        <f>MIN(IF(AV261=0,0,
IF(Investment_Strategy="DIS",VLOOKUP(Investment_Strategy&amp;"_"&amp;Investment_Strategy_Sub1&amp;"_"&amp;$A261,'Investment Strategies'!$AZ:$BP,12,FALSE),
IF(AND(Investment_Strategy="Lifecycle",Investment_Strategy_Sub1="Non-Standard"),VLOOKUP(Investment_Strategy&amp;"_"&amp;Investment_Strategy_Sub2&amp;"_"&amp;$A261,'Investment Strategies'!$C:$P,9,FALSE),
IF(AND(Investment_Strategy="Lifecycle",Investment_Strategy_Sub1="Standard"),VLOOKUP(Investment_Strategy&amp;"_"&amp;Investment_Strategy_Sub2&amp;"_"&amp;$A261,'Investment Strategies'!$AJ:$AV,8,FALSE),
IF(AND(Investment_Strategy="Autopilot",Investment_Strategy_Sub1="Non-Standard"),VLOOKUP(Investment_Strategy&amp;"_"&amp;Investment_Strategy_Sub2&amp;"_"&amp;$A261,'Investment Strategies'!$T:$AF,8,FALSE),
IF(Investment_Strategy ="DIY",DIY_RateOfReturn_CurrentFunds,
"Error")))))),Max_InvReturn)</f>
        <v>0</v>
      </c>
      <c r="F261" s="62">
        <f>IF(AV261=0,0,
IF(Investment_Strategy="DIS",VLOOKUP(Investment_Strategy&amp;"_"&amp;Investment_Strategy_Sub1&amp;"_"&amp;$A261,'Investment Strategies'!$AZ:$BP,15,FALSE),
IF(AND(Investment_Strategy="Lifecycle",Investment_Strategy_Sub1="Non-Standard"),VLOOKUP(Investment_Strategy&amp;"_"&amp;Investment_Strategy_Sub2&amp;"_"&amp;$A261,'Investment Strategies'!$C:$P,12,FALSE),
IF(AND(Investment_Strategy="Lifecycle",Investment_Strategy_Sub1="Standard"),VLOOKUP(Investment_Strategy&amp;"_"&amp;Investment_Strategy_Sub2&amp;"_"&amp;$A261,'Investment Strategies'!$AJ:$AV,11,FALSE),
IF(AND(Investment_Strategy="Autopilot",Investment_Strategy_Sub1="Non-Standard"),VLOOKUP(Investment_Strategy&amp;"_"&amp;Investment_Strategy_Sub2&amp;"_"&amp;$A261,'Investment Strategies'!$T:$AF,11,FALSE),
IF(Investment_Strategy="DIY",DIY_GteeChrge_CurrentFunds,
"Error"))))))</f>
        <v>0</v>
      </c>
      <c r="G261" s="33">
        <f>IF(AV261=0,0,
IF(Investment_Strategy="DIS",VLOOKUP(Investment_Strategy&amp;"_"&amp;Investment_Strategy_Sub1&amp;"_"&amp;$A261,'Investment Strategies'!$AZ:$BP,17,FALSE),
IF(AND(Investment_Strategy="Lifecycle",Investment_Strategy_Sub1="Non-Standard"),VLOOKUP(Investment_Strategy&amp;"_"&amp;Investment_Strategy_Sub2&amp;"_"&amp;$A261,'Investment Strategies'!$C:$P,14,FALSE),
IF(AND(Investment_Strategy="Lifecycle",Investment_Strategy_Sub1="Standard"),VLOOKUP(Investment_Strategy&amp;"_"&amp;Investment_Strategy_Sub2&amp;"_"&amp;$A261,'Investment Strategies'!$AJ:$AV,13,FALSE),
IF(AND(Investment_Strategy="Autopilot",Investment_Strategy_Sub1="Non-Standard"),VLOOKUP(Investment_Strategy&amp;"_"&amp;Investment_Strategy_Sub2&amp;"_"&amp;$A261,'Investment Strategies'!$T:$AF,13,FALSE),
IF(Investment_Strategy="DIY",DIY_ExtManChrge_CurrentFunds,
"Error"))))))</f>
        <v>0</v>
      </c>
      <c r="H261" s="16">
        <f t="shared" si="129"/>
        <v>0</v>
      </c>
      <c r="I261" s="16">
        <f t="shared" si="113"/>
        <v>0</v>
      </c>
      <c r="J261" s="16">
        <f t="shared" si="114"/>
        <v>0</v>
      </c>
      <c r="K261" s="16">
        <f>(Opening_Fund_Value+SUM(K$91:K260))*E261*IF(D261=$A$91,SRP_finalmonthfactor,1)</f>
        <v>0</v>
      </c>
      <c r="L261" s="74">
        <f>MIN(IF($AV261=0,0,
IF(Investment_Strategy="DIS",VLOOKUP(Investment_Strategy&amp;"_"&amp;Investment_Strategy_Sub1&amp;"_"&amp;$A261,'Investment Strategies'!$AZ:$BP,12,FALSE),
IF(AND(Investment_Strategy="Lifecycle",Investment_Strategy_Sub1="Non-Standard"),VLOOKUP(Investment_Strategy&amp;"_"&amp;Investment_Strategy_Sub2&amp;"_"&amp;$A261,'Investment Strategies'!$C:$P,9,FALSE),
IF(AND(Investment_Strategy="Lifecycle",Investment_Strategy_Sub1="Standard"),VLOOKUP(Investment_Strategy&amp;"_"&amp;Investment_Strategy_Sub2&amp;"_"&amp;$A261,'Investment Strategies'!$AJ:$AV,8,FALSE),
IF(AND(Investment_Strategy="Autopilot",Investment_Strategy_Sub1="Non-Standard"),VLOOKUP(Investment_Strategy&amp;"_"&amp;Investment_Strategy_Sub2&amp;"_"&amp;$A261,'Investment Strategies'!$T:$AF,8,FALSE),
IF(Investment_Strategy ="DIY",DIY_RateofReturn_SP,
"Error")))))),Max_InvReturn)</f>
        <v>0</v>
      </c>
      <c r="M261" s="62">
        <f>IF($AV261=0,0,
IF(Investment_Strategy="DIS",VLOOKUP(Investment_Strategy&amp;"_"&amp;Investment_Strategy_Sub1&amp;"_"&amp;$A261,'Investment Strategies'!$AZ:$BP,15,FALSE),
IF(AND(Investment_Strategy="Lifecycle",Investment_Strategy_Sub1="Non-Standard"),VLOOKUP(Investment_Strategy&amp;"_"&amp;Investment_Strategy_Sub2&amp;"_"&amp;$A261,'Investment Strategies'!$C:$P,12,FALSE),
IF(AND(Investment_Strategy="Lifecycle",Investment_Strategy_Sub1="Standard"),VLOOKUP(Investment_Strategy&amp;"_"&amp;Investment_Strategy_Sub2&amp;"_"&amp;$A261,'Investment Strategies'!$AJ:$AV,11,FALSE),
IF(AND(Investment_Strategy="Autopilot",Investment_Strategy_Sub1="Non-Standard"),VLOOKUP(Investment_Strategy&amp;"_"&amp;Investment_Strategy_Sub2&amp;"_"&amp;$A261,'Investment Strategies'!$T:$AF,11,FALSE),
IF(Investment_Strategy="DIY",DIY_GteeChrge_SP,
"Error"))))))</f>
        <v>0</v>
      </c>
      <c r="N261" s="33">
        <f>IF($AV261=0,0,
IF(Investment_Strategy="DIS",VLOOKUP(Investment_Strategy&amp;"_"&amp;Investment_Strategy_Sub1&amp;"_"&amp;$A261,'Investment Strategies'!$AZ:$BP,17,FALSE),
IF(AND(Investment_Strategy="Lifecycle",Investment_Strategy_Sub1="Non-Standard"),VLOOKUP(Investment_Strategy&amp;"_"&amp;Investment_Strategy_Sub2&amp;"_"&amp;$A261,'Investment Strategies'!$C:$P,14,FALSE),
IF(AND(Investment_Strategy="Lifecycle",Investment_Strategy_Sub1="Standard"),VLOOKUP(Investment_Strategy&amp;"_"&amp;Investment_Strategy_Sub2&amp;"_"&amp;$A261,'Investment Strategies'!$AJ:$AV,13,FALSE),
IF(AND(Investment_Strategy="Autopilot",Investment_Strategy_Sub1="Non-Standard"),VLOOKUP(Investment_Strategy&amp;"_"&amp;Investment_Strategy_Sub2&amp;"_"&amp;$A261,'Investment Strategies'!$T:$AF,13,FALSE),
IF(Investment_Strategy="DIY",DIY_ExtManChrge_SP,
"Error"))))))</f>
        <v>0</v>
      </c>
      <c r="O261" s="16">
        <f t="shared" si="141"/>
        <v>0</v>
      </c>
      <c r="Q261" s="16">
        <f t="shared" si="115"/>
        <v>0</v>
      </c>
      <c r="R261" s="16">
        <f t="shared" si="116"/>
        <v>0</v>
      </c>
      <c r="S261" s="16">
        <f>(SRP_SP+SUM(S$91:S260))*L261*IF(D261=$A$91,SRP_finalmonthfactor,1)</f>
        <v>0</v>
      </c>
      <c r="T261" s="74">
        <f>MIN(IF($AV261=0,0,
IF(Investment_Strategy="DIS",VLOOKUP(Investment_Strategy&amp;"_"&amp;Investment_Strategy_Sub1&amp;"_"&amp;$A261,'Investment Strategies'!$AZ:$BP,12,FALSE),
IF(AND(Investment_Strategy="Lifecycle",Investment_Strategy_Sub1="Non-Standard"),VLOOKUP(Investment_Strategy&amp;"_"&amp;Investment_Strategy_Sub2&amp;"_"&amp;$A261,'Investment Strategies'!$C:$P,9,FALSE),
IF(AND(Investment_Strategy="Lifecycle",Investment_Strategy_Sub1="Standard"),VLOOKUP(Investment_Strategy&amp;"_"&amp;Investment_Strategy_Sub2&amp;"_"&amp;$A261,'Investment Strategies'!$AJ:$AV,8,FALSE),
IF(AND(Investment_Strategy="Autopilot",Investment_Strategy_Sub1="Non-Standard"),VLOOKUP(Investment_Strategy&amp;"_"&amp;Investment_Strategy_Sub2&amp;"_"&amp;$A261,'Investment Strategies'!$T:$AF,8,FALSE),
IF(Investment_Strategy ="DIY",DIY_RateOfReturn_FuturePremiums,
"Error")))))),Max_InvReturn)</f>
        <v>0</v>
      </c>
      <c r="U261" s="62">
        <f>IF($AV261=0,0,
IF(Investment_Strategy="DIS",VLOOKUP(Investment_Strategy&amp;"_"&amp;Investment_Strategy_Sub1&amp;"_"&amp;$A261,'Investment Strategies'!$AZ:$BP,15,FALSE),
IF(AND(Investment_Strategy="Lifecycle",Investment_Strategy_Sub1="Non-Standard"),VLOOKUP(Investment_Strategy&amp;"_"&amp;Investment_Strategy_Sub2&amp;"_"&amp;$A261,'Investment Strategies'!$C:$P,12,FALSE),
IF(AND(Investment_Strategy="Lifecycle",Investment_Strategy_Sub1="Standard"),VLOOKUP(Investment_Strategy&amp;"_"&amp;Investment_Strategy_Sub2&amp;"_"&amp;$A261,'Investment Strategies'!$AJ:$AV,11,FALSE),
IF(AND(Investment_Strategy="Autopilot",Investment_Strategy_Sub1="Non-Standard"),VLOOKUP(Investment_Strategy&amp;"_"&amp;Investment_Strategy_Sub2&amp;"_"&amp;$A261,'Investment Strategies'!$T:$AF,11,FALSE),
IF(Investment_Strategy="DIY",DIY_GteeChrge_FuturePremiums,
"Error"))))))</f>
        <v>0</v>
      </c>
      <c r="V261" s="33">
        <f>IF(AV261=0,0,
IF(Investment_Strategy="DIS",VLOOKUP(Investment_Strategy&amp;"_"&amp;Investment_Strategy_Sub1&amp;"_"&amp;$A261,'Investment Strategies'!$AZ:$BP,17,FALSE),
IF(AND(Investment_Strategy="Lifecycle",Investment_Strategy_Sub1="Non-Standard"),VLOOKUP(Investment_Strategy&amp;"_"&amp;Investment_Strategy_Sub2&amp;"_"&amp;$A261,'Investment Strategies'!$C:$P,14,FALSE),
IF(AND(Investment_Strategy="Lifecycle",Investment_Strategy_Sub1="Standard"),VLOOKUP(Investment_Strategy&amp;"_"&amp;Investment_Strategy_Sub2&amp;"_"&amp;$A261,'Investment Strategies'!$AJ:$AV,13,FALSE),
IF(AND(Investment_Strategy="Autopilot",Investment_Strategy_Sub1="Non-Standard"),VLOOKUP(Investment_Strategy&amp;"_"&amp;Investment_Strategy_Sub2&amp;"_"&amp;$A261,'Investment Strategies'!$T:$AF,13,FALSE),
IF(Investment_Strategy="DIY",DIY_ExtManChrge_FuturePremiums,
"Error"))))))</f>
        <v>0</v>
      </c>
      <c r="W261" s="16">
        <f t="shared" si="142"/>
        <v>0</v>
      </c>
      <c r="X261" s="16">
        <f t="shared" si="117"/>
        <v>0</v>
      </c>
      <c r="Y261" s="16">
        <f t="shared" si="118"/>
        <v>0</v>
      </c>
      <c r="Z261" s="31">
        <f t="shared" si="119"/>
        <v>0.02</v>
      </c>
      <c r="AA261" s="16">
        <f t="shared" si="120"/>
        <v>0</v>
      </c>
      <c r="AB261" s="28">
        <f t="shared" si="144"/>
        <v>0</v>
      </c>
      <c r="AC261" s="28">
        <f>(SUM($AC$91:AC260)+SUM($X$91:X260)+X261)*T261*IF(D261=$A$91,SRP_finalmonthfactor,1)</f>
        <v>0</v>
      </c>
      <c r="AD261" s="16">
        <f t="shared" si="121"/>
        <v>0</v>
      </c>
      <c r="AE261" s="106"/>
      <c r="AF261" s="16">
        <f t="shared" si="130"/>
        <v>0</v>
      </c>
      <c r="AG261" s="16">
        <f t="shared" si="131"/>
        <v>0</v>
      </c>
      <c r="AH261" s="16">
        <f t="shared" si="132"/>
        <v>0</v>
      </c>
      <c r="AJ261" s="13">
        <f t="shared" ref="AJ261:AU270" si="156">IF($C261&lt;=AJ$90,1,0)</f>
        <v>0</v>
      </c>
      <c r="AK261" s="13">
        <f t="shared" si="156"/>
        <v>0</v>
      </c>
      <c r="AL261" s="13">
        <f t="shared" si="156"/>
        <v>0</v>
      </c>
      <c r="AM261" s="13">
        <f t="shared" si="156"/>
        <v>0</v>
      </c>
      <c r="AN261" s="13">
        <f t="shared" si="156"/>
        <v>0</v>
      </c>
      <c r="AO261" s="13">
        <f t="shared" si="156"/>
        <v>1</v>
      </c>
      <c r="AP261" s="13">
        <f t="shared" si="156"/>
        <v>1</v>
      </c>
      <c r="AQ261" s="13">
        <f t="shared" si="156"/>
        <v>1</v>
      </c>
      <c r="AR261" s="13">
        <f t="shared" si="156"/>
        <v>1</v>
      </c>
      <c r="AS261" s="13">
        <f t="shared" si="156"/>
        <v>1</v>
      </c>
      <c r="AT261" s="13">
        <f t="shared" si="156"/>
        <v>1</v>
      </c>
      <c r="AU261" s="13">
        <f t="shared" si="156"/>
        <v>1</v>
      </c>
      <c r="AV261" s="13">
        <f t="shared" si="122"/>
        <v>0</v>
      </c>
      <c r="AW261" s="13">
        <f t="shared" si="123"/>
        <v>1</v>
      </c>
      <c r="AY261" s="17">
        <f t="shared" si="124"/>
        <v>171</v>
      </c>
      <c r="AZ261" s="28">
        <f t="shared" si="133"/>
        <v>0</v>
      </c>
      <c r="BA261" s="13">
        <f t="shared" si="125"/>
        <v>0</v>
      </c>
      <c r="BB261" s="13">
        <f t="shared" si="126"/>
        <v>0</v>
      </c>
      <c r="BC261" s="28">
        <f t="shared" si="134"/>
        <v>0</v>
      </c>
      <c r="BD261" s="28">
        <f t="shared" si="135"/>
        <v>0</v>
      </c>
      <c r="BF261" s="248">
        <f t="shared" si="136"/>
        <v>993869.29442638322</v>
      </c>
      <c r="BG261" s="36">
        <f t="shared" si="145"/>
        <v>0</v>
      </c>
      <c r="BH261" s="36">
        <f t="shared" si="146"/>
        <v>859337.48548801115</v>
      </c>
      <c r="BI261" s="249">
        <f t="shared" si="147"/>
        <v>0</v>
      </c>
      <c r="BJ261" s="246">
        <f t="shared" si="148"/>
        <v>0</v>
      </c>
      <c r="BK261" s="246">
        <f t="shared" si="127"/>
        <v>7.531116566323881E-4</v>
      </c>
      <c r="BL261" s="246">
        <f t="shared" si="149"/>
        <v>0</v>
      </c>
      <c r="BM261" s="246">
        <f t="shared" si="150"/>
        <v>7.531116566323881E-4</v>
      </c>
      <c r="BN261" s="36">
        <f t="shared" si="137"/>
        <v>647.17707730218683</v>
      </c>
      <c r="BO261" s="36">
        <f t="shared" si="151"/>
        <v>0</v>
      </c>
      <c r="BP261" s="36">
        <f t="shared" si="152"/>
        <v>858690.30841070891</v>
      </c>
    </row>
    <row r="262" spans="1:68">
      <c r="A262" s="32">
        <f t="shared" si="138"/>
        <v>-87</v>
      </c>
      <c r="B262" s="32">
        <f t="shared" si="128"/>
        <v>67</v>
      </c>
      <c r="C262" s="32">
        <f t="shared" si="139"/>
        <v>15</v>
      </c>
      <c r="D262" s="32">
        <f t="shared" si="140"/>
        <v>172</v>
      </c>
      <c r="E262" s="74">
        <f>MIN(IF(AV262=0,0,
IF(Investment_Strategy="DIS",VLOOKUP(Investment_Strategy&amp;"_"&amp;Investment_Strategy_Sub1&amp;"_"&amp;$A262,'Investment Strategies'!$AZ:$BP,12,FALSE),
IF(AND(Investment_Strategy="Lifecycle",Investment_Strategy_Sub1="Non-Standard"),VLOOKUP(Investment_Strategy&amp;"_"&amp;Investment_Strategy_Sub2&amp;"_"&amp;$A262,'Investment Strategies'!$C:$P,9,FALSE),
IF(AND(Investment_Strategy="Lifecycle",Investment_Strategy_Sub1="Standard"),VLOOKUP(Investment_Strategy&amp;"_"&amp;Investment_Strategy_Sub2&amp;"_"&amp;$A262,'Investment Strategies'!$AJ:$AV,8,FALSE),
IF(AND(Investment_Strategy="Autopilot",Investment_Strategy_Sub1="Non-Standard"),VLOOKUP(Investment_Strategy&amp;"_"&amp;Investment_Strategy_Sub2&amp;"_"&amp;$A262,'Investment Strategies'!$T:$AF,8,FALSE),
IF(Investment_Strategy ="DIY",DIY_RateOfReturn_CurrentFunds,
"Error")))))),Max_InvReturn)</f>
        <v>0</v>
      </c>
      <c r="F262" s="62">
        <f>IF(AV262=0,0,
IF(Investment_Strategy="DIS",VLOOKUP(Investment_Strategy&amp;"_"&amp;Investment_Strategy_Sub1&amp;"_"&amp;$A262,'Investment Strategies'!$AZ:$BP,15,FALSE),
IF(AND(Investment_Strategy="Lifecycle",Investment_Strategy_Sub1="Non-Standard"),VLOOKUP(Investment_Strategy&amp;"_"&amp;Investment_Strategy_Sub2&amp;"_"&amp;$A262,'Investment Strategies'!$C:$P,12,FALSE),
IF(AND(Investment_Strategy="Lifecycle",Investment_Strategy_Sub1="Standard"),VLOOKUP(Investment_Strategy&amp;"_"&amp;Investment_Strategy_Sub2&amp;"_"&amp;$A262,'Investment Strategies'!$AJ:$AV,11,FALSE),
IF(AND(Investment_Strategy="Autopilot",Investment_Strategy_Sub1="Non-Standard"),VLOOKUP(Investment_Strategy&amp;"_"&amp;Investment_Strategy_Sub2&amp;"_"&amp;$A262,'Investment Strategies'!$T:$AF,11,FALSE),
IF(Investment_Strategy="DIY",DIY_GteeChrge_CurrentFunds,
"Error"))))))</f>
        <v>0</v>
      </c>
      <c r="G262" s="33">
        <f>IF(AV262=0,0,
IF(Investment_Strategy="DIS",VLOOKUP(Investment_Strategy&amp;"_"&amp;Investment_Strategy_Sub1&amp;"_"&amp;$A262,'Investment Strategies'!$AZ:$BP,17,FALSE),
IF(AND(Investment_Strategy="Lifecycle",Investment_Strategy_Sub1="Non-Standard"),VLOOKUP(Investment_Strategy&amp;"_"&amp;Investment_Strategy_Sub2&amp;"_"&amp;$A262,'Investment Strategies'!$C:$P,14,FALSE),
IF(AND(Investment_Strategy="Lifecycle",Investment_Strategy_Sub1="Standard"),VLOOKUP(Investment_Strategy&amp;"_"&amp;Investment_Strategy_Sub2&amp;"_"&amp;$A262,'Investment Strategies'!$AJ:$AV,13,FALSE),
IF(AND(Investment_Strategy="Autopilot",Investment_Strategy_Sub1="Non-Standard"),VLOOKUP(Investment_Strategy&amp;"_"&amp;Investment_Strategy_Sub2&amp;"_"&amp;$A262,'Investment Strategies'!$T:$AF,13,FALSE),
IF(Investment_Strategy="DIY",DIY_ExtManChrge_CurrentFunds,
"Error"))))))</f>
        <v>0</v>
      </c>
      <c r="H262" s="16">
        <f t="shared" si="129"/>
        <v>0</v>
      </c>
      <c r="I262" s="16">
        <f t="shared" si="113"/>
        <v>0</v>
      </c>
      <c r="J262" s="16">
        <f t="shared" si="114"/>
        <v>0</v>
      </c>
      <c r="K262" s="16">
        <f>(Opening_Fund_Value+SUM(K$91:K261))*E262*IF(D262=$A$91,SRP_finalmonthfactor,1)</f>
        <v>0</v>
      </c>
      <c r="L262" s="74">
        <f>MIN(IF($AV262=0,0,
IF(Investment_Strategy="DIS",VLOOKUP(Investment_Strategy&amp;"_"&amp;Investment_Strategy_Sub1&amp;"_"&amp;$A262,'Investment Strategies'!$AZ:$BP,12,FALSE),
IF(AND(Investment_Strategy="Lifecycle",Investment_Strategy_Sub1="Non-Standard"),VLOOKUP(Investment_Strategy&amp;"_"&amp;Investment_Strategy_Sub2&amp;"_"&amp;$A262,'Investment Strategies'!$C:$P,9,FALSE),
IF(AND(Investment_Strategy="Lifecycle",Investment_Strategy_Sub1="Standard"),VLOOKUP(Investment_Strategy&amp;"_"&amp;Investment_Strategy_Sub2&amp;"_"&amp;$A262,'Investment Strategies'!$AJ:$AV,8,FALSE),
IF(AND(Investment_Strategy="Autopilot",Investment_Strategy_Sub1="Non-Standard"),VLOOKUP(Investment_Strategy&amp;"_"&amp;Investment_Strategy_Sub2&amp;"_"&amp;$A262,'Investment Strategies'!$T:$AF,8,FALSE),
IF(Investment_Strategy ="DIY",DIY_RateofReturn_SP,
"Error")))))),Max_InvReturn)</f>
        <v>0</v>
      </c>
      <c r="M262" s="62">
        <f>IF($AV262=0,0,
IF(Investment_Strategy="DIS",VLOOKUP(Investment_Strategy&amp;"_"&amp;Investment_Strategy_Sub1&amp;"_"&amp;$A262,'Investment Strategies'!$AZ:$BP,15,FALSE),
IF(AND(Investment_Strategy="Lifecycle",Investment_Strategy_Sub1="Non-Standard"),VLOOKUP(Investment_Strategy&amp;"_"&amp;Investment_Strategy_Sub2&amp;"_"&amp;$A262,'Investment Strategies'!$C:$P,12,FALSE),
IF(AND(Investment_Strategy="Lifecycle",Investment_Strategy_Sub1="Standard"),VLOOKUP(Investment_Strategy&amp;"_"&amp;Investment_Strategy_Sub2&amp;"_"&amp;$A262,'Investment Strategies'!$AJ:$AV,11,FALSE),
IF(AND(Investment_Strategy="Autopilot",Investment_Strategy_Sub1="Non-Standard"),VLOOKUP(Investment_Strategy&amp;"_"&amp;Investment_Strategy_Sub2&amp;"_"&amp;$A262,'Investment Strategies'!$T:$AF,11,FALSE),
IF(Investment_Strategy="DIY",DIY_GteeChrge_SP,
"Error"))))))</f>
        <v>0</v>
      </c>
      <c r="N262" s="33">
        <f>IF($AV262=0,0,
IF(Investment_Strategy="DIS",VLOOKUP(Investment_Strategy&amp;"_"&amp;Investment_Strategy_Sub1&amp;"_"&amp;$A262,'Investment Strategies'!$AZ:$BP,17,FALSE),
IF(AND(Investment_Strategy="Lifecycle",Investment_Strategy_Sub1="Non-Standard"),VLOOKUP(Investment_Strategy&amp;"_"&amp;Investment_Strategy_Sub2&amp;"_"&amp;$A262,'Investment Strategies'!$C:$P,14,FALSE),
IF(AND(Investment_Strategy="Lifecycle",Investment_Strategy_Sub1="Standard"),VLOOKUP(Investment_Strategy&amp;"_"&amp;Investment_Strategy_Sub2&amp;"_"&amp;$A262,'Investment Strategies'!$AJ:$AV,13,FALSE),
IF(AND(Investment_Strategy="Autopilot",Investment_Strategy_Sub1="Non-Standard"),VLOOKUP(Investment_Strategy&amp;"_"&amp;Investment_Strategy_Sub2&amp;"_"&amp;$A262,'Investment Strategies'!$T:$AF,13,FALSE),
IF(Investment_Strategy="DIY",DIY_ExtManChrge_SP,
"Error"))))))</f>
        <v>0</v>
      </c>
      <c r="O262" s="16">
        <f t="shared" si="141"/>
        <v>0</v>
      </c>
      <c r="Q262" s="16">
        <f t="shared" si="115"/>
        <v>0</v>
      </c>
      <c r="R262" s="16">
        <f t="shared" si="116"/>
        <v>0</v>
      </c>
      <c r="S262" s="16">
        <f>(SRP_SP+SUM(S$91:S261))*L262*IF(D262=$A$91,SRP_finalmonthfactor,1)</f>
        <v>0</v>
      </c>
      <c r="T262" s="74">
        <f>MIN(IF($AV262=0,0,
IF(Investment_Strategy="DIS",VLOOKUP(Investment_Strategy&amp;"_"&amp;Investment_Strategy_Sub1&amp;"_"&amp;$A262,'Investment Strategies'!$AZ:$BP,12,FALSE),
IF(AND(Investment_Strategy="Lifecycle",Investment_Strategy_Sub1="Non-Standard"),VLOOKUP(Investment_Strategy&amp;"_"&amp;Investment_Strategy_Sub2&amp;"_"&amp;$A262,'Investment Strategies'!$C:$P,9,FALSE),
IF(AND(Investment_Strategy="Lifecycle",Investment_Strategy_Sub1="Standard"),VLOOKUP(Investment_Strategy&amp;"_"&amp;Investment_Strategy_Sub2&amp;"_"&amp;$A262,'Investment Strategies'!$AJ:$AV,8,FALSE),
IF(AND(Investment_Strategy="Autopilot",Investment_Strategy_Sub1="Non-Standard"),VLOOKUP(Investment_Strategy&amp;"_"&amp;Investment_Strategy_Sub2&amp;"_"&amp;$A262,'Investment Strategies'!$T:$AF,8,FALSE),
IF(Investment_Strategy ="DIY",DIY_RateOfReturn_FuturePremiums,
"Error")))))),Max_InvReturn)</f>
        <v>0</v>
      </c>
      <c r="U262" s="62">
        <f>IF($AV262=0,0,
IF(Investment_Strategy="DIS",VLOOKUP(Investment_Strategy&amp;"_"&amp;Investment_Strategy_Sub1&amp;"_"&amp;$A262,'Investment Strategies'!$AZ:$BP,15,FALSE),
IF(AND(Investment_Strategy="Lifecycle",Investment_Strategy_Sub1="Non-Standard"),VLOOKUP(Investment_Strategy&amp;"_"&amp;Investment_Strategy_Sub2&amp;"_"&amp;$A262,'Investment Strategies'!$C:$P,12,FALSE),
IF(AND(Investment_Strategy="Lifecycle",Investment_Strategy_Sub1="Standard"),VLOOKUP(Investment_Strategy&amp;"_"&amp;Investment_Strategy_Sub2&amp;"_"&amp;$A262,'Investment Strategies'!$AJ:$AV,11,FALSE),
IF(AND(Investment_Strategy="Autopilot",Investment_Strategy_Sub1="Non-Standard"),VLOOKUP(Investment_Strategy&amp;"_"&amp;Investment_Strategy_Sub2&amp;"_"&amp;$A262,'Investment Strategies'!$T:$AF,11,FALSE),
IF(Investment_Strategy="DIY",DIY_GteeChrge_FuturePremiums,
"Error"))))))</f>
        <v>0</v>
      </c>
      <c r="V262" s="33">
        <f>IF(AV262=0,0,
IF(Investment_Strategy="DIS",VLOOKUP(Investment_Strategy&amp;"_"&amp;Investment_Strategy_Sub1&amp;"_"&amp;$A262,'Investment Strategies'!$AZ:$BP,17,FALSE),
IF(AND(Investment_Strategy="Lifecycle",Investment_Strategy_Sub1="Non-Standard"),VLOOKUP(Investment_Strategy&amp;"_"&amp;Investment_Strategy_Sub2&amp;"_"&amp;$A262,'Investment Strategies'!$C:$P,14,FALSE),
IF(AND(Investment_Strategy="Lifecycle",Investment_Strategy_Sub1="Standard"),VLOOKUP(Investment_Strategy&amp;"_"&amp;Investment_Strategy_Sub2&amp;"_"&amp;$A262,'Investment Strategies'!$AJ:$AV,13,FALSE),
IF(AND(Investment_Strategy="Autopilot",Investment_Strategy_Sub1="Non-Standard"),VLOOKUP(Investment_Strategy&amp;"_"&amp;Investment_Strategy_Sub2&amp;"_"&amp;$A262,'Investment Strategies'!$T:$AF,13,FALSE),
IF(Investment_Strategy="DIY",DIY_ExtManChrge_FuturePremiums,
"Error"))))))</f>
        <v>0</v>
      </c>
      <c r="W262" s="16">
        <f t="shared" si="142"/>
        <v>0</v>
      </c>
      <c r="X262" s="16">
        <f t="shared" si="117"/>
        <v>0</v>
      </c>
      <c r="Y262" s="16">
        <f t="shared" si="118"/>
        <v>0</v>
      </c>
      <c r="Z262" s="31">
        <f t="shared" si="119"/>
        <v>0.02</v>
      </c>
      <c r="AA262" s="16">
        <f t="shared" si="120"/>
        <v>0</v>
      </c>
      <c r="AB262" s="28">
        <f t="shared" si="144"/>
        <v>0</v>
      </c>
      <c r="AC262" s="28">
        <f>(SUM($AC$91:AC261)+SUM($X$91:X261)+X262)*T262*IF(D262=$A$91,SRP_finalmonthfactor,1)</f>
        <v>0</v>
      </c>
      <c r="AD262" s="16">
        <f t="shared" si="121"/>
        <v>0</v>
      </c>
      <c r="AE262" s="106"/>
      <c r="AF262" s="16">
        <f t="shared" si="130"/>
        <v>0</v>
      </c>
      <c r="AG262" s="16">
        <f t="shared" si="131"/>
        <v>0</v>
      </c>
      <c r="AH262" s="16">
        <f t="shared" si="132"/>
        <v>0</v>
      </c>
      <c r="AJ262" s="13">
        <f t="shared" si="156"/>
        <v>0</v>
      </c>
      <c r="AK262" s="13">
        <f t="shared" si="156"/>
        <v>0</v>
      </c>
      <c r="AL262" s="13">
        <f t="shared" si="156"/>
        <v>0</v>
      </c>
      <c r="AM262" s="13">
        <f t="shared" si="156"/>
        <v>0</v>
      </c>
      <c r="AN262" s="13">
        <f t="shared" si="156"/>
        <v>0</v>
      </c>
      <c r="AO262" s="13">
        <f t="shared" si="156"/>
        <v>1</v>
      </c>
      <c r="AP262" s="13">
        <f t="shared" si="156"/>
        <v>1</v>
      </c>
      <c r="AQ262" s="13">
        <f t="shared" si="156"/>
        <v>1</v>
      </c>
      <c r="AR262" s="13">
        <f t="shared" si="156"/>
        <v>1</v>
      </c>
      <c r="AS262" s="13">
        <f t="shared" si="156"/>
        <v>1</v>
      </c>
      <c r="AT262" s="13">
        <f t="shared" si="156"/>
        <v>1</v>
      </c>
      <c r="AU262" s="13">
        <f t="shared" si="156"/>
        <v>1</v>
      </c>
      <c r="AV262" s="13">
        <f t="shared" si="122"/>
        <v>0</v>
      </c>
      <c r="AW262" s="13">
        <f t="shared" si="123"/>
        <v>1</v>
      </c>
      <c r="AY262" s="17">
        <f t="shared" si="124"/>
        <v>172</v>
      </c>
      <c r="AZ262" s="28">
        <f t="shared" si="133"/>
        <v>0</v>
      </c>
      <c r="BA262" s="13">
        <f t="shared" si="125"/>
        <v>0</v>
      </c>
      <c r="BB262" s="13">
        <f t="shared" si="126"/>
        <v>0</v>
      </c>
      <c r="BC262" s="28">
        <f t="shared" si="134"/>
        <v>0</v>
      </c>
      <c r="BD262" s="28">
        <f t="shared" si="135"/>
        <v>0</v>
      </c>
      <c r="BF262" s="248">
        <f t="shared" si="136"/>
        <v>993869.29442638322</v>
      </c>
      <c r="BG262" s="36">
        <f t="shared" si="145"/>
        <v>0</v>
      </c>
      <c r="BH262" s="36">
        <f t="shared" si="146"/>
        <v>858690.30841070891</v>
      </c>
      <c r="BI262" s="249">
        <f t="shared" si="147"/>
        <v>0</v>
      </c>
      <c r="BJ262" s="246">
        <f t="shared" si="148"/>
        <v>0</v>
      </c>
      <c r="BK262" s="246">
        <f t="shared" si="127"/>
        <v>7.531116566323881E-4</v>
      </c>
      <c r="BL262" s="246">
        <f t="shared" si="149"/>
        <v>0</v>
      </c>
      <c r="BM262" s="246">
        <f t="shared" si="150"/>
        <v>7.531116566323881E-4</v>
      </c>
      <c r="BN262" s="36">
        <f t="shared" si="137"/>
        <v>646.68968070136521</v>
      </c>
      <c r="BO262" s="36">
        <f t="shared" si="151"/>
        <v>0</v>
      </c>
      <c r="BP262" s="36">
        <f t="shared" si="152"/>
        <v>858043.61873000755</v>
      </c>
    </row>
    <row r="263" spans="1:68">
      <c r="A263" s="32">
        <f t="shared" si="138"/>
        <v>-88</v>
      </c>
      <c r="B263" s="32">
        <f t="shared" si="128"/>
        <v>67</v>
      </c>
      <c r="C263" s="32">
        <f t="shared" si="139"/>
        <v>15</v>
      </c>
      <c r="D263" s="32">
        <f t="shared" si="140"/>
        <v>173</v>
      </c>
      <c r="E263" s="74">
        <f>MIN(IF(AV263=0,0,
IF(Investment_Strategy="DIS",VLOOKUP(Investment_Strategy&amp;"_"&amp;Investment_Strategy_Sub1&amp;"_"&amp;$A263,'Investment Strategies'!$AZ:$BP,12,FALSE),
IF(AND(Investment_Strategy="Lifecycle",Investment_Strategy_Sub1="Non-Standard"),VLOOKUP(Investment_Strategy&amp;"_"&amp;Investment_Strategy_Sub2&amp;"_"&amp;$A263,'Investment Strategies'!$C:$P,9,FALSE),
IF(AND(Investment_Strategy="Lifecycle",Investment_Strategy_Sub1="Standard"),VLOOKUP(Investment_Strategy&amp;"_"&amp;Investment_Strategy_Sub2&amp;"_"&amp;$A263,'Investment Strategies'!$AJ:$AV,8,FALSE),
IF(AND(Investment_Strategy="Autopilot",Investment_Strategy_Sub1="Non-Standard"),VLOOKUP(Investment_Strategy&amp;"_"&amp;Investment_Strategy_Sub2&amp;"_"&amp;$A263,'Investment Strategies'!$T:$AF,8,FALSE),
IF(Investment_Strategy ="DIY",DIY_RateOfReturn_CurrentFunds,
"Error")))))),Max_InvReturn)</f>
        <v>0</v>
      </c>
      <c r="F263" s="62">
        <f>IF(AV263=0,0,
IF(Investment_Strategy="DIS",VLOOKUP(Investment_Strategy&amp;"_"&amp;Investment_Strategy_Sub1&amp;"_"&amp;$A263,'Investment Strategies'!$AZ:$BP,15,FALSE),
IF(AND(Investment_Strategy="Lifecycle",Investment_Strategy_Sub1="Non-Standard"),VLOOKUP(Investment_Strategy&amp;"_"&amp;Investment_Strategy_Sub2&amp;"_"&amp;$A263,'Investment Strategies'!$C:$P,12,FALSE),
IF(AND(Investment_Strategy="Lifecycle",Investment_Strategy_Sub1="Standard"),VLOOKUP(Investment_Strategy&amp;"_"&amp;Investment_Strategy_Sub2&amp;"_"&amp;$A263,'Investment Strategies'!$AJ:$AV,11,FALSE),
IF(AND(Investment_Strategy="Autopilot",Investment_Strategy_Sub1="Non-Standard"),VLOOKUP(Investment_Strategy&amp;"_"&amp;Investment_Strategy_Sub2&amp;"_"&amp;$A263,'Investment Strategies'!$T:$AF,11,FALSE),
IF(Investment_Strategy="DIY",DIY_GteeChrge_CurrentFunds,
"Error"))))))</f>
        <v>0</v>
      </c>
      <c r="G263" s="33">
        <f>IF(AV263=0,0,
IF(Investment_Strategy="DIS",VLOOKUP(Investment_Strategy&amp;"_"&amp;Investment_Strategy_Sub1&amp;"_"&amp;$A263,'Investment Strategies'!$AZ:$BP,17,FALSE),
IF(AND(Investment_Strategy="Lifecycle",Investment_Strategy_Sub1="Non-Standard"),VLOOKUP(Investment_Strategy&amp;"_"&amp;Investment_Strategy_Sub2&amp;"_"&amp;$A263,'Investment Strategies'!$C:$P,14,FALSE),
IF(AND(Investment_Strategy="Lifecycle",Investment_Strategy_Sub1="Standard"),VLOOKUP(Investment_Strategy&amp;"_"&amp;Investment_Strategy_Sub2&amp;"_"&amp;$A263,'Investment Strategies'!$AJ:$AV,13,FALSE),
IF(AND(Investment_Strategy="Autopilot",Investment_Strategy_Sub1="Non-Standard"),VLOOKUP(Investment_Strategy&amp;"_"&amp;Investment_Strategy_Sub2&amp;"_"&amp;$A263,'Investment Strategies'!$T:$AF,13,FALSE),
IF(Investment_Strategy="DIY",DIY_ExtManChrge_CurrentFunds,
"Error"))))))</f>
        <v>0</v>
      </c>
      <c r="H263" s="16">
        <f t="shared" si="129"/>
        <v>0</v>
      </c>
      <c r="I263" s="16">
        <f t="shared" si="113"/>
        <v>0</v>
      </c>
      <c r="J263" s="16">
        <f t="shared" si="114"/>
        <v>0</v>
      </c>
      <c r="K263" s="16">
        <f>(Opening_Fund_Value+SUM(K$91:K262))*E263*IF(D263=$A$91,SRP_finalmonthfactor,1)</f>
        <v>0</v>
      </c>
      <c r="L263" s="74">
        <f>MIN(IF($AV263=0,0,
IF(Investment_Strategy="DIS",VLOOKUP(Investment_Strategy&amp;"_"&amp;Investment_Strategy_Sub1&amp;"_"&amp;$A263,'Investment Strategies'!$AZ:$BP,12,FALSE),
IF(AND(Investment_Strategy="Lifecycle",Investment_Strategy_Sub1="Non-Standard"),VLOOKUP(Investment_Strategy&amp;"_"&amp;Investment_Strategy_Sub2&amp;"_"&amp;$A263,'Investment Strategies'!$C:$P,9,FALSE),
IF(AND(Investment_Strategy="Lifecycle",Investment_Strategy_Sub1="Standard"),VLOOKUP(Investment_Strategy&amp;"_"&amp;Investment_Strategy_Sub2&amp;"_"&amp;$A263,'Investment Strategies'!$AJ:$AV,8,FALSE),
IF(AND(Investment_Strategy="Autopilot",Investment_Strategy_Sub1="Non-Standard"),VLOOKUP(Investment_Strategy&amp;"_"&amp;Investment_Strategy_Sub2&amp;"_"&amp;$A263,'Investment Strategies'!$T:$AF,8,FALSE),
IF(Investment_Strategy ="DIY",DIY_RateofReturn_SP,
"Error")))))),Max_InvReturn)</f>
        <v>0</v>
      </c>
      <c r="M263" s="62">
        <f>IF($AV263=0,0,
IF(Investment_Strategy="DIS",VLOOKUP(Investment_Strategy&amp;"_"&amp;Investment_Strategy_Sub1&amp;"_"&amp;$A263,'Investment Strategies'!$AZ:$BP,15,FALSE),
IF(AND(Investment_Strategy="Lifecycle",Investment_Strategy_Sub1="Non-Standard"),VLOOKUP(Investment_Strategy&amp;"_"&amp;Investment_Strategy_Sub2&amp;"_"&amp;$A263,'Investment Strategies'!$C:$P,12,FALSE),
IF(AND(Investment_Strategy="Lifecycle",Investment_Strategy_Sub1="Standard"),VLOOKUP(Investment_Strategy&amp;"_"&amp;Investment_Strategy_Sub2&amp;"_"&amp;$A263,'Investment Strategies'!$AJ:$AV,11,FALSE),
IF(AND(Investment_Strategy="Autopilot",Investment_Strategy_Sub1="Non-Standard"),VLOOKUP(Investment_Strategy&amp;"_"&amp;Investment_Strategy_Sub2&amp;"_"&amp;$A263,'Investment Strategies'!$T:$AF,11,FALSE),
IF(Investment_Strategy="DIY",DIY_GteeChrge_SP,
"Error"))))))</f>
        <v>0</v>
      </c>
      <c r="N263" s="33">
        <f>IF($AV263=0,0,
IF(Investment_Strategy="DIS",VLOOKUP(Investment_Strategy&amp;"_"&amp;Investment_Strategy_Sub1&amp;"_"&amp;$A263,'Investment Strategies'!$AZ:$BP,17,FALSE),
IF(AND(Investment_Strategy="Lifecycle",Investment_Strategy_Sub1="Non-Standard"),VLOOKUP(Investment_Strategy&amp;"_"&amp;Investment_Strategy_Sub2&amp;"_"&amp;$A263,'Investment Strategies'!$C:$P,14,FALSE),
IF(AND(Investment_Strategy="Lifecycle",Investment_Strategy_Sub1="Standard"),VLOOKUP(Investment_Strategy&amp;"_"&amp;Investment_Strategy_Sub2&amp;"_"&amp;$A263,'Investment Strategies'!$AJ:$AV,13,FALSE),
IF(AND(Investment_Strategy="Autopilot",Investment_Strategy_Sub1="Non-Standard"),VLOOKUP(Investment_Strategy&amp;"_"&amp;Investment_Strategy_Sub2&amp;"_"&amp;$A263,'Investment Strategies'!$T:$AF,13,FALSE),
IF(Investment_Strategy="DIY",DIY_ExtManChrge_SP,
"Error"))))))</f>
        <v>0</v>
      </c>
      <c r="O263" s="16">
        <f t="shared" si="141"/>
        <v>0</v>
      </c>
      <c r="Q263" s="16">
        <f t="shared" si="115"/>
        <v>0</v>
      </c>
      <c r="R263" s="16">
        <f t="shared" si="116"/>
        <v>0</v>
      </c>
      <c r="S263" s="16">
        <f>(SRP_SP+SUM(S$91:S262))*L263*IF(D263=$A$91,SRP_finalmonthfactor,1)</f>
        <v>0</v>
      </c>
      <c r="T263" s="74">
        <f>MIN(IF($AV263=0,0,
IF(Investment_Strategy="DIS",VLOOKUP(Investment_Strategy&amp;"_"&amp;Investment_Strategy_Sub1&amp;"_"&amp;$A263,'Investment Strategies'!$AZ:$BP,12,FALSE),
IF(AND(Investment_Strategy="Lifecycle",Investment_Strategy_Sub1="Non-Standard"),VLOOKUP(Investment_Strategy&amp;"_"&amp;Investment_Strategy_Sub2&amp;"_"&amp;$A263,'Investment Strategies'!$C:$P,9,FALSE),
IF(AND(Investment_Strategy="Lifecycle",Investment_Strategy_Sub1="Standard"),VLOOKUP(Investment_Strategy&amp;"_"&amp;Investment_Strategy_Sub2&amp;"_"&amp;$A263,'Investment Strategies'!$AJ:$AV,8,FALSE),
IF(AND(Investment_Strategy="Autopilot",Investment_Strategy_Sub1="Non-Standard"),VLOOKUP(Investment_Strategy&amp;"_"&amp;Investment_Strategy_Sub2&amp;"_"&amp;$A263,'Investment Strategies'!$T:$AF,8,FALSE),
IF(Investment_Strategy ="DIY",DIY_RateOfReturn_FuturePremiums,
"Error")))))),Max_InvReturn)</f>
        <v>0</v>
      </c>
      <c r="U263" s="62">
        <f>IF($AV263=0,0,
IF(Investment_Strategy="DIS",VLOOKUP(Investment_Strategy&amp;"_"&amp;Investment_Strategy_Sub1&amp;"_"&amp;$A263,'Investment Strategies'!$AZ:$BP,15,FALSE),
IF(AND(Investment_Strategy="Lifecycle",Investment_Strategy_Sub1="Non-Standard"),VLOOKUP(Investment_Strategy&amp;"_"&amp;Investment_Strategy_Sub2&amp;"_"&amp;$A263,'Investment Strategies'!$C:$P,12,FALSE),
IF(AND(Investment_Strategy="Lifecycle",Investment_Strategy_Sub1="Standard"),VLOOKUP(Investment_Strategy&amp;"_"&amp;Investment_Strategy_Sub2&amp;"_"&amp;$A263,'Investment Strategies'!$AJ:$AV,11,FALSE),
IF(AND(Investment_Strategy="Autopilot",Investment_Strategy_Sub1="Non-Standard"),VLOOKUP(Investment_Strategy&amp;"_"&amp;Investment_Strategy_Sub2&amp;"_"&amp;$A263,'Investment Strategies'!$T:$AF,11,FALSE),
IF(Investment_Strategy="DIY",DIY_GteeChrge_FuturePremiums,
"Error"))))))</f>
        <v>0</v>
      </c>
      <c r="V263" s="33">
        <f>IF(AV263=0,0,
IF(Investment_Strategy="DIS",VLOOKUP(Investment_Strategy&amp;"_"&amp;Investment_Strategy_Sub1&amp;"_"&amp;$A263,'Investment Strategies'!$AZ:$BP,17,FALSE),
IF(AND(Investment_Strategy="Lifecycle",Investment_Strategy_Sub1="Non-Standard"),VLOOKUP(Investment_Strategy&amp;"_"&amp;Investment_Strategy_Sub2&amp;"_"&amp;$A263,'Investment Strategies'!$C:$P,14,FALSE),
IF(AND(Investment_Strategy="Lifecycle",Investment_Strategy_Sub1="Standard"),VLOOKUP(Investment_Strategy&amp;"_"&amp;Investment_Strategy_Sub2&amp;"_"&amp;$A263,'Investment Strategies'!$AJ:$AV,13,FALSE),
IF(AND(Investment_Strategy="Autopilot",Investment_Strategy_Sub1="Non-Standard"),VLOOKUP(Investment_Strategy&amp;"_"&amp;Investment_Strategy_Sub2&amp;"_"&amp;$A263,'Investment Strategies'!$T:$AF,13,FALSE),
IF(Investment_Strategy="DIY",DIY_ExtManChrge_FuturePremiums,
"Error"))))))</f>
        <v>0</v>
      </c>
      <c r="W263" s="16">
        <f t="shared" si="142"/>
        <v>0</v>
      </c>
      <c r="X263" s="16">
        <f t="shared" si="117"/>
        <v>0</v>
      </c>
      <c r="Y263" s="16">
        <f t="shared" si="118"/>
        <v>0</v>
      </c>
      <c r="Z263" s="31">
        <f t="shared" si="119"/>
        <v>0.02</v>
      </c>
      <c r="AA263" s="16">
        <f t="shared" si="120"/>
        <v>0</v>
      </c>
      <c r="AB263" s="28">
        <f t="shared" si="144"/>
        <v>0</v>
      </c>
      <c r="AC263" s="28">
        <f>(SUM($AC$91:AC262)+SUM($X$91:X262)+X263)*T263*IF(D263=$A$91,SRP_finalmonthfactor,1)</f>
        <v>0</v>
      </c>
      <c r="AD263" s="16">
        <f t="shared" si="121"/>
        <v>0</v>
      </c>
      <c r="AE263" s="106"/>
      <c r="AF263" s="16">
        <f t="shared" si="130"/>
        <v>0</v>
      </c>
      <c r="AG263" s="16">
        <f t="shared" si="131"/>
        <v>0</v>
      </c>
      <c r="AH263" s="16">
        <f t="shared" si="132"/>
        <v>0</v>
      </c>
      <c r="AJ263" s="13">
        <f t="shared" si="156"/>
        <v>0</v>
      </c>
      <c r="AK263" s="13">
        <f t="shared" si="156"/>
        <v>0</v>
      </c>
      <c r="AL263" s="13">
        <f t="shared" si="156"/>
        <v>0</v>
      </c>
      <c r="AM263" s="13">
        <f t="shared" si="156"/>
        <v>0</v>
      </c>
      <c r="AN263" s="13">
        <f t="shared" si="156"/>
        <v>0</v>
      </c>
      <c r="AO263" s="13">
        <f t="shared" si="156"/>
        <v>1</v>
      </c>
      <c r="AP263" s="13">
        <f t="shared" si="156"/>
        <v>1</v>
      </c>
      <c r="AQ263" s="13">
        <f t="shared" si="156"/>
        <v>1</v>
      </c>
      <c r="AR263" s="13">
        <f t="shared" si="156"/>
        <v>1</v>
      </c>
      <c r="AS263" s="13">
        <f t="shared" si="156"/>
        <v>1</v>
      </c>
      <c r="AT263" s="13">
        <f t="shared" si="156"/>
        <v>1</v>
      </c>
      <c r="AU263" s="13">
        <f t="shared" si="156"/>
        <v>1</v>
      </c>
      <c r="AV263" s="13">
        <f t="shared" si="122"/>
        <v>0</v>
      </c>
      <c r="AW263" s="13">
        <f t="shared" si="123"/>
        <v>1</v>
      </c>
      <c r="AY263" s="17">
        <f t="shared" si="124"/>
        <v>173</v>
      </c>
      <c r="AZ263" s="28">
        <f t="shared" si="133"/>
        <v>0</v>
      </c>
      <c r="BA263" s="13">
        <f t="shared" si="125"/>
        <v>0</v>
      </c>
      <c r="BB263" s="13">
        <f t="shared" si="126"/>
        <v>0</v>
      </c>
      <c r="BC263" s="28">
        <f t="shared" si="134"/>
        <v>0</v>
      </c>
      <c r="BD263" s="28">
        <f t="shared" si="135"/>
        <v>0</v>
      </c>
      <c r="BF263" s="248">
        <f t="shared" si="136"/>
        <v>993869.29442638322</v>
      </c>
      <c r="BG263" s="36">
        <f t="shared" si="145"/>
        <v>0</v>
      </c>
      <c r="BH263" s="36">
        <f t="shared" si="146"/>
        <v>858043.61873000755</v>
      </c>
      <c r="BI263" s="249">
        <f t="shared" si="147"/>
        <v>0</v>
      </c>
      <c r="BJ263" s="246">
        <f t="shared" si="148"/>
        <v>0</v>
      </c>
      <c r="BK263" s="246">
        <f t="shared" si="127"/>
        <v>7.531116566323881E-4</v>
      </c>
      <c r="BL263" s="246">
        <f t="shared" si="149"/>
        <v>0</v>
      </c>
      <c r="BM263" s="246">
        <f t="shared" si="150"/>
        <v>7.531116566323881E-4</v>
      </c>
      <c r="BN263" s="36">
        <f t="shared" si="137"/>
        <v>646.20265116460519</v>
      </c>
      <c r="BO263" s="36">
        <f t="shared" si="151"/>
        <v>0</v>
      </c>
      <c r="BP263" s="36">
        <f t="shared" si="152"/>
        <v>857397.41607884294</v>
      </c>
    </row>
    <row r="264" spans="1:68">
      <c r="A264" s="32">
        <f t="shared" si="138"/>
        <v>-89</v>
      </c>
      <c r="B264" s="32">
        <f t="shared" si="128"/>
        <v>67</v>
      </c>
      <c r="C264" s="32">
        <f t="shared" si="139"/>
        <v>15</v>
      </c>
      <c r="D264" s="32">
        <f t="shared" si="140"/>
        <v>174</v>
      </c>
      <c r="E264" s="74">
        <f>MIN(IF(AV264=0,0,
IF(Investment_Strategy="DIS",VLOOKUP(Investment_Strategy&amp;"_"&amp;Investment_Strategy_Sub1&amp;"_"&amp;$A264,'Investment Strategies'!$AZ:$BP,12,FALSE),
IF(AND(Investment_Strategy="Lifecycle",Investment_Strategy_Sub1="Non-Standard"),VLOOKUP(Investment_Strategy&amp;"_"&amp;Investment_Strategy_Sub2&amp;"_"&amp;$A264,'Investment Strategies'!$C:$P,9,FALSE),
IF(AND(Investment_Strategy="Lifecycle",Investment_Strategy_Sub1="Standard"),VLOOKUP(Investment_Strategy&amp;"_"&amp;Investment_Strategy_Sub2&amp;"_"&amp;$A264,'Investment Strategies'!$AJ:$AV,8,FALSE),
IF(AND(Investment_Strategy="Autopilot",Investment_Strategy_Sub1="Non-Standard"),VLOOKUP(Investment_Strategy&amp;"_"&amp;Investment_Strategy_Sub2&amp;"_"&amp;$A264,'Investment Strategies'!$T:$AF,8,FALSE),
IF(Investment_Strategy ="DIY",DIY_RateOfReturn_CurrentFunds,
"Error")))))),Max_InvReturn)</f>
        <v>0</v>
      </c>
      <c r="F264" s="62">
        <f>IF(AV264=0,0,
IF(Investment_Strategy="DIS",VLOOKUP(Investment_Strategy&amp;"_"&amp;Investment_Strategy_Sub1&amp;"_"&amp;$A264,'Investment Strategies'!$AZ:$BP,15,FALSE),
IF(AND(Investment_Strategy="Lifecycle",Investment_Strategy_Sub1="Non-Standard"),VLOOKUP(Investment_Strategy&amp;"_"&amp;Investment_Strategy_Sub2&amp;"_"&amp;$A264,'Investment Strategies'!$C:$P,12,FALSE),
IF(AND(Investment_Strategy="Lifecycle",Investment_Strategy_Sub1="Standard"),VLOOKUP(Investment_Strategy&amp;"_"&amp;Investment_Strategy_Sub2&amp;"_"&amp;$A264,'Investment Strategies'!$AJ:$AV,11,FALSE),
IF(AND(Investment_Strategy="Autopilot",Investment_Strategy_Sub1="Non-Standard"),VLOOKUP(Investment_Strategy&amp;"_"&amp;Investment_Strategy_Sub2&amp;"_"&amp;$A264,'Investment Strategies'!$T:$AF,11,FALSE),
IF(Investment_Strategy="DIY",DIY_GteeChrge_CurrentFunds,
"Error"))))))</f>
        <v>0</v>
      </c>
      <c r="G264" s="33">
        <f>IF(AV264=0,0,
IF(Investment_Strategy="DIS",VLOOKUP(Investment_Strategy&amp;"_"&amp;Investment_Strategy_Sub1&amp;"_"&amp;$A264,'Investment Strategies'!$AZ:$BP,17,FALSE),
IF(AND(Investment_Strategy="Lifecycle",Investment_Strategy_Sub1="Non-Standard"),VLOOKUP(Investment_Strategy&amp;"_"&amp;Investment_Strategy_Sub2&amp;"_"&amp;$A264,'Investment Strategies'!$C:$P,14,FALSE),
IF(AND(Investment_Strategy="Lifecycle",Investment_Strategy_Sub1="Standard"),VLOOKUP(Investment_Strategy&amp;"_"&amp;Investment_Strategy_Sub2&amp;"_"&amp;$A264,'Investment Strategies'!$AJ:$AV,13,FALSE),
IF(AND(Investment_Strategy="Autopilot",Investment_Strategy_Sub1="Non-Standard"),VLOOKUP(Investment_Strategy&amp;"_"&amp;Investment_Strategy_Sub2&amp;"_"&amp;$A264,'Investment Strategies'!$T:$AF,13,FALSE),
IF(Investment_Strategy="DIY",DIY_ExtManChrge_CurrentFunds,
"Error"))))))</f>
        <v>0</v>
      </c>
      <c r="H264" s="16">
        <f t="shared" si="129"/>
        <v>0</v>
      </c>
      <c r="I264" s="16">
        <f t="shared" si="113"/>
        <v>0</v>
      </c>
      <c r="J264" s="16">
        <f t="shared" si="114"/>
        <v>0</v>
      </c>
      <c r="K264" s="16">
        <f>(Opening_Fund_Value+SUM(K$91:K263))*E264*IF(D264=$A$91,SRP_finalmonthfactor,1)</f>
        <v>0</v>
      </c>
      <c r="L264" s="74">
        <f>MIN(IF($AV264=0,0,
IF(Investment_Strategy="DIS",VLOOKUP(Investment_Strategy&amp;"_"&amp;Investment_Strategy_Sub1&amp;"_"&amp;$A264,'Investment Strategies'!$AZ:$BP,12,FALSE),
IF(AND(Investment_Strategy="Lifecycle",Investment_Strategy_Sub1="Non-Standard"),VLOOKUP(Investment_Strategy&amp;"_"&amp;Investment_Strategy_Sub2&amp;"_"&amp;$A264,'Investment Strategies'!$C:$P,9,FALSE),
IF(AND(Investment_Strategy="Lifecycle",Investment_Strategy_Sub1="Standard"),VLOOKUP(Investment_Strategy&amp;"_"&amp;Investment_Strategy_Sub2&amp;"_"&amp;$A264,'Investment Strategies'!$AJ:$AV,8,FALSE),
IF(AND(Investment_Strategy="Autopilot",Investment_Strategy_Sub1="Non-Standard"),VLOOKUP(Investment_Strategy&amp;"_"&amp;Investment_Strategy_Sub2&amp;"_"&amp;$A264,'Investment Strategies'!$T:$AF,8,FALSE),
IF(Investment_Strategy ="DIY",DIY_RateofReturn_SP,
"Error")))))),Max_InvReturn)</f>
        <v>0</v>
      </c>
      <c r="M264" s="62">
        <f>IF($AV264=0,0,
IF(Investment_Strategy="DIS",VLOOKUP(Investment_Strategy&amp;"_"&amp;Investment_Strategy_Sub1&amp;"_"&amp;$A264,'Investment Strategies'!$AZ:$BP,15,FALSE),
IF(AND(Investment_Strategy="Lifecycle",Investment_Strategy_Sub1="Non-Standard"),VLOOKUP(Investment_Strategy&amp;"_"&amp;Investment_Strategy_Sub2&amp;"_"&amp;$A264,'Investment Strategies'!$C:$P,12,FALSE),
IF(AND(Investment_Strategy="Lifecycle",Investment_Strategy_Sub1="Standard"),VLOOKUP(Investment_Strategy&amp;"_"&amp;Investment_Strategy_Sub2&amp;"_"&amp;$A264,'Investment Strategies'!$AJ:$AV,11,FALSE),
IF(AND(Investment_Strategy="Autopilot",Investment_Strategy_Sub1="Non-Standard"),VLOOKUP(Investment_Strategy&amp;"_"&amp;Investment_Strategy_Sub2&amp;"_"&amp;$A264,'Investment Strategies'!$T:$AF,11,FALSE),
IF(Investment_Strategy="DIY",DIY_GteeChrge_SP,
"Error"))))))</f>
        <v>0</v>
      </c>
      <c r="N264" s="33">
        <f>IF($AV264=0,0,
IF(Investment_Strategy="DIS",VLOOKUP(Investment_Strategy&amp;"_"&amp;Investment_Strategy_Sub1&amp;"_"&amp;$A264,'Investment Strategies'!$AZ:$BP,17,FALSE),
IF(AND(Investment_Strategy="Lifecycle",Investment_Strategy_Sub1="Non-Standard"),VLOOKUP(Investment_Strategy&amp;"_"&amp;Investment_Strategy_Sub2&amp;"_"&amp;$A264,'Investment Strategies'!$C:$P,14,FALSE),
IF(AND(Investment_Strategy="Lifecycle",Investment_Strategy_Sub1="Standard"),VLOOKUP(Investment_Strategy&amp;"_"&amp;Investment_Strategy_Sub2&amp;"_"&amp;$A264,'Investment Strategies'!$AJ:$AV,13,FALSE),
IF(AND(Investment_Strategy="Autopilot",Investment_Strategy_Sub1="Non-Standard"),VLOOKUP(Investment_Strategy&amp;"_"&amp;Investment_Strategy_Sub2&amp;"_"&amp;$A264,'Investment Strategies'!$T:$AF,13,FALSE),
IF(Investment_Strategy="DIY",DIY_ExtManChrge_SP,
"Error"))))))</f>
        <v>0</v>
      </c>
      <c r="O264" s="16">
        <f t="shared" si="141"/>
        <v>0</v>
      </c>
      <c r="Q264" s="16">
        <f t="shared" si="115"/>
        <v>0</v>
      </c>
      <c r="R264" s="16">
        <f t="shared" si="116"/>
        <v>0</v>
      </c>
      <c r="S264" s="16">
        <f>(SRP_SP+SUM(S$91:S263))*L264*IF(D264=$A$91,SRP_finalmonthfactor,1)</f>
        <v>0</v>
      </c>
      <c r="T264" s="74">
        <f>MIN(IF($AV264=0,0,
IF(Investment_Strategy="DIS",VLOOKUP(Investment_Strategy&amp;"_"&amp;Investment_Strategy_Sub1&amp;"_"&amp;$A264,'Investment Strategies'!$AZ:$BP,12,FALSE),
IF(AND(Investment_Strategy="Lifecycle",Investment_Strategy_Sub1="Non-Standard"),VLOOKUP(Investment_Strategy&amp;"_"&amp;Investment_Strategy_Sub2&amp;"_"&amp;$A264,'Investment Strategies'!$C:$P,9,FALSE),
IF(AND(Investment_Strategy="Lifecycle",Investment_Strategy_Sub1="Standard"),VLOOKUP(Investment_Strategy&amp;"_"&amp;Investment_Strategy_Sub2&amp;"_"&amp;$A264,'Investment Strategies'!$AJ:$AV,8,FALSE),
IF(AND(Investment_Strategy="Autopilot",Investment_Strategy_Sub1="Non-Standard"),VLOOKUP(Investment_Strategy&amp;"_"&amp;Investment_Strategy_Sub2&amp;"_"&amp;$A264,'Investment Strategies'!$T:$AF,8,FALSE),
IF(Investment_Strategy ="DIY",DIY_RateOfReturn_FuturePremiums,
"Error")))))),Max_InvReturn)</f>
        <v>0</v>
      </c>
      <c r="U264" s="62">
        <f>IF($AV264=0,0,
IF(Investment_Strategy="DIS",VLOOKUP(Investment_Strategy&amp;"_"&amp;Investment_Strategy_Sub1&amp;"_"&amp;$A264,'Investment Strategies'!$AZ:$BP,15,FALSE),
IF(AND(Investment_Strategy="Lifecycle",Investment_Strategy_Sub1="Non-Standard"),VLOOKUP(Investment_Strategy&amp;"_"&amp;Investment_Strategy_Sub2&amp;"_"&amp;$A264,'Investment Strategies'!$C:$P,12,FALSE),
IF(AND(Investment_Strategy="Lifecycle",Investment_Strategy_Sub1="Standard"),VLOOKUP(Investment_Strategy&amp;"_"&amp;Investment_Strategy_Sub2&amp;"_"&amp;$A264,'Investment Strategies'!$AJ:$AV,11,FALSE),
IF(AND(Investment_Strategy="Autopilot",Investment_Strategy_Sub1="Non-Standard"),VLOOKUP(Investment_Strategy&amp;"_"&amp;Investment_Strategy_Sub2&amp;"_"&amp;$A264,'Investment Strategies'!$T:$AF,11,FALSE),
IF(Investment_Strategy="DIY",DIY_GteeChrge_FuturePremiums,
"Error"))))))</f>
        <v>0</v>
      </c>
      <c r="V264" s="33">
        <f>IF(AV264=0,0,
IF(Investment_Strategy="DIS",VLOOKUP(Investment_Strategy&amp;"_"&amp;Investment_Strategy_Sub1&amp;"_"&amp;$A264,'Investment Strategies'!$AZ:$BP,17,FALSE),
IF(AND(Investment_Strategy="Lifecycle",Investment_Strategy_Sub1="Non-Standard"),VLOOKUP(Investment_Strategy&amp;"_"&amp;Investment_Strategy_Sub2&amp;"_"&amp;$A264,'Investment Strategies'!$C:$P,14,FALSE),
IF(AND(Investment_Strategy="Lifecycle",Investment_Strategy_Sub1="Standard"),VLOOKUP(Investment_Strategy&amp;"_"&amp;Investment_Strategy_Sub2&amp;"_"&amp;$A264,'Investment Strategies'!$AJ:$AV,13,FALSE),
IF(AND(Investment_Strategy="Autopilot",Investment_Strategy_Sub1="Non-Standard"),VLOOKUP(Investment_Strategy&amp;"_"&amp;Investment_Strategy_Sub2&amp;"_"&amp;$A264,'Investment Strategies'!$T:$AF,13,FALSE),
IF(Investment_Strategy="DIY",DIY_ExtManChrge_FuturePremiums,
"Error"))))))</f>
        <v>0</v>
      </c>
      <c r="W264" s="16">
        <f t="shared" si="142"/>
        <v>0</v>
      </c>
      <c r="X264" s="16">
        <f t="shared" si="117"/>
        <v>0</v>
      </c>
      <c r="Y264" s="16">
        <f t="shared" si="118"/>
        <v>0</v>
      </c>
      <c r="Z264" s="31">
        <f t="shared" si="119"/>
        <v>0.02</v>
      </c>
      <c r="AA264" s="16">
        <f t="shared" si="120"/>
        <v>0</v>
      </c>
      <c r="AB264" s="28">
        <f t="shared" si="144"/>
        <v>0</v>
      </c>
      <c r="AC264" s="28">
        <f>(SUM($AC$91:AC263)+SUM($X$91:X263)+X264)*T264*IF(D264=$A$91,SRP_finalmonthfactor,1)</f>
        <v>0</v>
      </c>
      <c r="AD264" s="16">
        <f t="shared" si="121"/>
        <v>0</v>
      </c>
      <c r="AE264" s="106"/>
      <c r="AF264" s="16">
        <f t="shared" si="130"/>
        <v>0</v>
      </c>
      <c r="AG264" s="16">
        <f t="shared" si="131"/>
        <v>0</v>
      </c>
      <c r="AH264" s="16">
        <f t="shared" si="132"/>
        <v>0</v>
      </c>
      <c r="AJ264" s="13">
        <f t="shared" si="156"/>
        <v>0</v>
      </c>
      <c r="AK264" s="13">
        <f t="shared" si="156"/>
        <v>0</v>
      </c>
      <c r="AL264" s="13">
        <f t="shared" si="156"/>
        <v>0</v>
      </c>
      <c r="AM264" s="13">
        <f t="shared" si="156"/>
        <v>0</v>
      </c>
      <c r="AN264" s="13">
        <f t="shared" si="156"/>
        <v>0</v>
      </c>
      <c r="AO264" s="13">
        <f t="shared" si="156"/>
        <v>1</v>
      </c>
      <c r="AP264" s="13">
        <f t="shared" si="156"/>
        <v>1</v>
      </c>
      <c r="AQ264" s="13">
        <f t="shared" si="156"/>
        <v>1</v>
      </c>
      <c r="AR264" s="13">
        <f t="shared" si="156"/>
        <v>1</v>
      </c>
      <c r="AS264" s="13">
        <f t="shared" si="156"/>
        <v>1</v>
      </c>
      <c r="AT264" s="13">
        <f t="shared" si="156"/>
        <v>1</v>
      </c>
      <c r="AU264" s="13">
        <f t="shared" si="156"/>
        <v>1</v>
      </c>
      <c r="AV264" s="13">
        <f t="shared" si="122"/>
        <v>0</v>
      </c>
      <c r="AW264" s="13">
        <f t="shared" si="123"/>
        <v>1</v>
      </c>
      <c r="AY264" s="17">
        <f t="shared" si="124"/>
        <v>174</v>
      </c>
      <c r="AZ264" s="28">
        <f t="shared" si="133"/>
        <v>0</v>
      </c>
      <c r="BA264" s="13">
        <f t="shared" si="125"/>
        <v>0</v>
      </c>
      <c r="BB264" s="13">
        <f t="shared" si="126"/>
        <v>0</v>
      </c>
      <c r="BC264" s="28">
        <f t="shared" si="134"/>
        <v>0</v>
      </c>
      <c r="BD264" s="28">
        <f t="shared" si="135"/>
        <v>0</v>
      </c>
      <c r="BF264" s="248">
        <f t="shared" si="136"/>
        <v>993869.29442638322</v>
      </c>
      <c r="BG264" s="36">
        <f t="shared" si="145"/>
        <v>0</v>
      </c>
      <c r="BH264" s="36">
        <f t="shared" si="146"/>
        <v>857397.41607884294</v>
      </c>
      <c r="BI264" s="249">
        <f t="shared" si="147"/>
        <v>0</v>
      </c>
      <c r="BJ264" s="246">
        <f t="shared" si="148"/>
        <v>0</v>
      </c>
      <c r="BK264" s="246">
        <f t="shared" si="127"/>
        <v>7.531116566323881E-4</v>
      </c>
      <c r="BL264" s="246">
        <f t="shared" si="149"/>
        <v>0</v>
      </c>
      <c r="BM264" s="246">
        <f t="shared" si="150"/>
        <v>7.531116566323881E-4</v>
      </c>
      <c r="BN264" s="36">
        <f t="shared" si="137"/>
        <v>645.71598841546631</v>
      </c>
      <c r="BO264" s="36">
        <f t="shared" si="151"/>
        <v>0</v>
      </c>
      <c r="BP264" s="36">
        <f t="shared" si="152"/>
        <v>856751.70009042753</v>
      </c>
    </row>
    <row r="265" spans="1:68">
      <c r="A265" s="32">
        <f t="shared" si="138"/>
        <v>-90</v>
      </c>
      <c r="B265" s="32">
        <f t="shared" si="128"/>
        <v>67</v>
      </c>
      <c r="C265" s="32">
        <f t="shared" si="139"/>
        <v>15</v>
      </c>
      <c r="D265" s="32">
        <f t="shared" si="140"/>
        <v>175</v>
      </c>
      <c r="E265" s="74">
        <f>MIN(IF(AV265=0,0,
IF(Investment_Strategy="DIS",VLOOKUP(Investment_Strategy&amp;"_"&amp;Investment_Strategy_Sub1&amp;"_"&amp;$A265,'Investment Strategies'!$AZ:$BP,12,FALSE),
IF(AND(Investment_Strategy="Lifecycle",Investment_Strategy_Sub1="Non-Standard"),VLOOKUP(Investment_Strategy&amp;"_"&amp;Investment_Strategy_Sub2&amp;"_"&amp;$A265,'Investment Strategies'!$C:$P,9,FALSE),
IF(AND(Investment_Strategy="Lifecycle",Investment_Strategy_Sub1="Standard"),VLOOKUP(Investment_Strategy&amp;"_"&amp;Investment_Strategy_Sub2&amp;"_"&amp;$A265,'Investment Strategies'!$AJ:$AV,8,FALSE),
IF(AND(Investment_Strategy="Autopilot",Investment_Strategy_Sub1="Non-Standard"),VLOOKUP(Investment_Strategy&amp;"_"&amp;Investment_Strategy_Sub2&amp;"_"&amp;$A265,'Investment Strategies'!$T:$AF,8,FALSE),
IF(Investment_Strategy ="DIY",DIY_RateOfReturn_CurrentFunds,
"Error")))))),Max_InvReturn)</f>
        <v>0</v>
      </c>
      <c r="F265" s="62">
        <f>IF(AV265=0,0,
IF(Investment_Strategy="DIS",VLOOKUP(Investment_Strategy&amp;"_"&amp;Investment_Strategy_Sub1&amp;"_"&amp;$A265,'Investment Strategies'!$AZ:$BP,15,FALSE),
IF(AND(Investment_Strategy="Lifecycle",Investment_Strategy_Sub1="Non-Standard"),VLOOKUP(Investment_Strategy&amp;"_"&amp;Investment_Strategy_Sub2&amp;"_"&amp;$A265,'Investment Strategies'!$C:$P,12,FALSE),
IF(AND(Investment_Strategy="Lifecycle",Investment_Strategy_Sub1="Standard"),VLOOKUP(Investment_Strategy&amp;"_"&amp;Investment_Strategy_Sub2&amp;"_"&amp;$A265,'Investment Strategies'!$AJ:$AV,11,FALSE),
IF(AND(Investment_Strategy="Autopilot",Investment_Strategy_Sub1="Non-Standard"),VLOOKUP(Investment_Strategy&amp;"_"&amp;Investment_Strategy_Sub2&amp;"_"&amp;$A265,'Investment Strategies'!$T:$AF,11,FALSE),
IF(Investment_Strategy="DIY",DIY_GteeChrge_CurrentFunds,
"Error"))))))</f>
        <v>0</v>
      </c>
      <c r="G265" s="33">
        <f>IF(AV265=0,0,
IF(Investment_Strategy="DIS",VLOOKUP(Investment_Strategy&amp;"_"&amp;Investment_Strategy_Sub1&amp;"_"&amp;$A265,'Investment Strategies'!$AZ:$BP,17,FALSE),
IF(AND(Investment_Strategy="Lifecycle",Investment_Strategy_Sub1="Non-Standard"),VLOOKUP(Investment_Strategy&amp;"_"&amp;Investment_Strategy_Sub2&amp;"_"&amp;$A265,'Investment Strategies'!$C:$P,14,FALSE),
IF(AND(Investment_Strategy="Lifecycle",Investment_Strategy_Sub1="Standard"),VLOOKUP(Investment_Strategy&amp;"_"&amp;Investment_Strategy_Sub2&amp;"_"&amp;$A265,'Investment Strategies'!$AJ:$AV,13,FALSE),
IF(AND(Investment_Strategy="Autopilot",Investment_Strategy_Sub1="Non-Standard"),VLOOKUP(Investment_Strategy&amp;"_"&amp;Investment_Strategy_Sub2&amp;"_"&amp;$A265,'Investment Strategies'!$T:$AF,13,FALSE),
IF(Investment_Strategy="DIY",DIY_ExtManChrge_CurrentFunds,
"Error"))))))</f>
        <v>0</v>
      </c>
      <c r="H265" s="16">
        <f t="shared" si="129"/>
        <v>0</v>
      </c>
      <c r="I265" s="16">
        <f t="shared" si="113"/>
        <v>0</v>
      </c>
      <c r="J265" s="16">
        <f t="shared" si="114"/>
        <v>0</v>
      </c>
      <c r="K265" s="16">
        <f>(Opening_Fund_Value+SUM(K$91:K264))*E265*IF(D265=$A$91,SRP_finalmonthfactor,1)</f>
        <v>0</v>
      </c>
      <c r="L265" s="74">
        <f>MIN(IF($AV265=0,0,
IF(Investment_Strategy="DIS",VLOOKUP(Investment_Strategy&amp;"_"&amp;Investment_Strategy_Sub1&amp;"_"&amp;$A265,'Investment Strategies'!$AZ:$BP,12,FALSE),
IF(AND(Investment_Strategy="Lifecycle",Investment_Strategy_Sub1="Non-Standard"),VLOOKUP(Investment_Strategy&amp;"_"&amp;Investment_Strategy_Sub2&amp;"_"&amp;$A265,'Investment Strategies'!$C:$P,9,FALSE),
IF(AND(Investment_Strategy="Lifecycle",Investment_Strategy_Sub1="Standard"),VLOOKUP(Investment_Strategy&amp;"_"&amp;Investment_Strategy_Sub2&amp;"_"&amp;$A265,'Investment Strategies'!$AJ:$AV,8,FALSE),
IF(AND(Investment_Strategy="Autopilot",Investment_Strategy_Sub1="Non-Standard"),VLOOKUP(Investment_Strategy&amp;"_"&amp;Investment_Strategy_Sub2&amp;"_"&amp;$A265,'Investment Strategies'!$T:$AF,8,FALSE),
IF(Investment_Strategy ="DIY",DIY_RateofReturn_SP,
"Error")))))),Max_InvReturn)</f>
        <v>0</v>
      </c>
      <c r="M265" s="62">
        <f>IF($AV265=0,0,
IF(Investment_Strategy="DIS",VLOOKUP(Investment_Strategy&amp;"_"&amp;Investment_Strategy_Sub1&amp;"_"&amp;$A265,'Investment Strategies'!$AZ:$BP,15,FALSE),
IF(AND(Investment_Strategy="Lifecycle",Investment_Strategy_Sub1="Non-Standard"),VLOOKUP(Investment_Strategy&amp;"_"&amp;Investment_Strategy_Sub2&amp;"_"&amp;$A265,'Investment Strategies'!$C:$P,12,FALSE),
IF(AND(Investment_Strategy="Lifecycle",Investment_Strategy_Sub1="Standard"),VLOOKUP(Investment_Strategy&amp;"_"&amp;Investment_Strategy_Sub2&amp;"_"&amp;$A265,'Investment Strategies'!$AJ:$AV,11,FALSE),
IF(AND(Investment_Strategy="Autopilot",Investment_Strategy_Sub1="Non-Standard"),VLOOKUP(Investment_Strategy&amp;"_"&amp;Investment_Strategy_Sub2&amp;"_"&amp;$A265,'Investment Strategies'!$T:$AF,11,FALSE),
IF(Investment_Strategy="DIY",DIY_GteeChrge_SP,
"Error"))))))</f>
        <v>0</v>
      </c>
      <c r="N265" s="33">
        <f>IF($AV265=0,0,
IF(Investment_Strategy="DIS",VLOOKUP(Investment_Strategy&amp;"_"&amp;Investment_Strategy_Sub1&amp;"_"&amp;$A265,'Investment Strategies'!$AZ:$BP,17,FALSE),
IF(AND(Investment_Strategy="Lifecycle",Investment_Strategy_Sub1="Non-Standard"),VLOOKUP(Investment_Strategy&amp;"_"&amp;Investment_Strategy_Sub2&amp;"_"&amp;$A265,'Investment Strategies'!$C:$P,14,FALSE),
IF(AND(Investment_Strategy="Lifecycle",Investment_Strategy_Sub1="Standard"),VLOOKUP(Investment_Strategy&amp;"_"&amp;Investment_Strategy_Sub2&amp;"_"&amp;$A265,'Investment Strategies'!$AJ:$AV,13,FALSE),
IF(AND(Investment_Strategy="Autopilot",Investment_Strategy_Sub1="Non-Standard"),VLOOKUP(Investment_Strategy&amp;"_"&amp;Investment_Strategy_Sub2&amp;"_"&amp;$A265,'Investment Strategies'!$T:$AF,13,FALSE),
IF(Investment_Strategy="DIY",DIY_ExtManChrge_SP,
"Error"))))))</f>
        <v>0</v>
      </c>
      <c r="O265" s="16">
        <f t="shared" si="141"/>
        <v>0</v>
      </c>
      <c r="Q265" s="16">
        <f t="shared" si="115"/>
        <v>0</v>
      </c>
      <c r="R265" s="16">
        <f t="shared" si="116"/>
        <v>0</v>
      </c>
      <c r="S265" s="16">
        <f>(SRP_SP+SUM(S$91:S264))*L265*IF(D265=$A$91,SRP_finalmonthfactor,1)</f>
        <v>0</v>
      </c>
      <c r="T265" s="74">
        <f>MIN(IF($AV265=0,0,
IF(Investment_Strategy="DIS",VLOOKUP(Investment_Strategy&amp;"_"&amp;Investment_Strategy_Sub1&amp;"_"&amp;$A265,'Investment Strategies'!$AZ:$BP,12,FALSE),
IF(AND(Investment_Strategy="Lifecycle",Investment_Strategy_Sub1="Non-Standard"),VLOOKUP(Investment_Strategy&amp;"_"&amp;Investment_Strategy_Sub2&amp;"_"&amp;$A265,'Investment Strategies'!$C:$P,9,FALSE),
IF(AND(Investment_Strategy="Lifecycle",Investment_Strategy_Sub1="Standard"),VLOOKUP(Investment_Strategy&amp;"_"&amp;Investment_Strategy_Sub2&amp;"_"&amp;$A265,'Investment Strategies'!$AJ:$AV,8,FALSE),
IF(AND(Investment_Strategy="Autopilot",Investment_Strategy_Sub1="Non-Standard"),VLOOKUP(Investment_Strategy&amp;"_"&amp;Investment_Strategy_Sub2&amp;"_"&amp;$A265,'Investment Strategies'!$T:$AF,8,FALSE),
IF(Investment_Strategy ="DIY",DIY_RateOfReturn_FuturePremiums,
"Error")))))),Max_InvReturn)</f>
        <v>0</v>
      </c>
      <c r="U265" s="62">
        <f>IF($AV265=0,0,
IF(Investment_Strategy="DIS",VLOOKUP(Investment_Strategy&amp;"_"&amp;Investment_Strategy_Sub1&amp;"_"&amp;$A265,'Investment Strategies'!$AZ:$BP,15,FALSE),
IF(AND(Investment_Strategy="Lifecycle",Investment_Strategy_Sub1="Non-Standard"),VLOOKUP(Investment_Strategy&amp;"_"&amp;Investment_Strategy_Sub2&amp;"_"&amp;$A265,'Investment Strategies'!$C:$P,12,FALSE),
IF(AND(Investment_Strategy="Lifecycle",Investment_Strategy_Sub1="Standard"),VLOOKUP(Investment_Strategy&amp;"_"&amp;Investment_Strategy_Sub2&amp;"_"&amp;$A265,'Investment Strategies'!$AJ:$AV,11,FALSE),
IF(AND(Investment_Strategy="Autopilot",Investment_Strategy_Sub1="Non-Standard"),VLOOKUP(Investment_Strategy&amp;"_"&amp;Investment_Strategy_Sub2&amp;"_"&amp;$A265,'Investment Strategies'!$T:$AF,11,FALSE),
IF(Investment_Strategy="DIY",DIY_GteeChrge_FuturePremiums,
"Error"))))))</f>
        <v>0</v>
      </c>
      <c r="V265" s="33">
        <f>IF(AV265=0,0,
IF(Investment_Strategy="DIS",VLOOKUP(Investment_Strategy&amp;"_"&amp;Investment_Strategy_Sub1&amp;"_"&amp;$A265,'Investment Strategies'!$AZ:$BP,17,FALSE),
IF(AND(Investment_Strategy="Lifecycle",Investment_Strategy_Sub1="Non-Standard"),VLOOKUP(Investment_Strategy&amp;"_"&amp;Investment_Strategy_Sub2&amp;"_"&amp;$A265,'Investment Strategies'!$C:$P,14,FALSE),
IF(AND(Investment_Strategy="Lifecycle",Investment_Strategy_Sub1="Standard"),VLOOKUP(Investment_Strategy&amp;"_"&amp;Investment_Strategy_Sub2&amp;"_"&amp;$A265,'Investment Strategies'!$AJ:$AV,13,FALSE),
IF(AND(Investment_Strategy="Autopilot",Investment_Strategy_Sub1="Non-Standard"),VLOOKUP(Investment_Strategy&amp;"_"&amp;Investment_Strategy_Sub2&amp;"_"&amp;$A265,'Investment Strategies'!$T:$AF,13,FALSE),
IF(Investment_Strategy="DIY",DIY_ExtManChrge_FuturePremiums,
"Error"))))))</f>
        <v>0</v>
      </c>
      <c r="W265" s="16">
        <f t="shared" si="142"/>
        <v>0</v>
      </c>
      <c r="X265" s="16">
        <f t="shared" si="117"/>
        <v>0</v>
      </c>
      <c r="Y265" s="16">
        <f t="shared" si="118"/>
        <v>0</v>
      </c>
      <c r="Z265" s="31">
        <f t="shared" si="119"/>
        <v>0.02</v>
      </c>
      <c r="AA265" s="16">
        <f t="shared" si="120"/>
        <v>0</v>
      </c>
      <c r="AB265" s="28">
        <f t="shared" si="144"/>
        <v>0</v>
      </c>
      <c r="AC265" s="28">
        <f>(SUM($AC$91:AC264)+SUM($X$91:X264)+X265)*T265*IF(D265=$A$91,SRP_finalmonthfactor,1)</f>
        <v>0</v>
      </c>
      <c r="AD265" s="16">
        <f t="shared" si="121"/>
        <v>0</v>
      </c>
      <c r="AE265" s="106"/>
      <c r="AF265" s="16">
        <f t="shared" si="130"/>
        <v>0</v>
      </c>
      <c r="AG265" s="16">
        <f t="shared" si="131"/>
        <v>0</v>
      </c>
      <c r="AH265" s="16">
        <f t="shared" si="132"/>
        <v>0</v>
      </c>
      <c r="AJ265" s="13">
        <f t="shared" si="156"/>
        <v>0</v>
      </c>
      <c r="AK265" s="13">
        <f t="shared" si="156"/>
        <v>0</v>
      </c>
      <c r="AL265" s="13">
        <f t="shared" si="156"/>
        <v>0</v>
      </c>
      <c r="AM265" s="13">
        <f t="shared" si="156"/>
        <v>0</v>
      </c>
      <c r="AN265" s="13">
        <f t="shared" si="156"/>
        <v>0</v>
      </c>
      <c r="AO265" s="13">
        <f t="shared" si="156"/>
        <v>1</v>
      </c>
      <c r="AP265" s="13">
        <f t="shared" si="156"/>
        <v>1</v>
      </c>
      <c r="AQ265" s="13">
        <f t="shared" si="156"/>
        <v>1</v>
      </c>
      <c r="AR265" s="13">
        <f t="shared" si="156"/>
        <v>1</v>
      </c>
      <c r="AS265" s="13">
        <f t="shared" si="156"/>
        <v>1</v>
      </c>
      <c r="AT265" s="13">
        <f t="shared" si="156"/>
        <v>1</v>
      </c>
      <c r="AU265" s="13">
        <f t="shared" si="156"/>
        <v>1</v>
      </c>
      <c r="AV265" s="13">
        <f t="shared" si="122"/>
        <v>0</v>
      </c>
      <c r="AW265" s="13">
        <f t="shared" si="123"/>
        <v>1</v>
      </c>
      <c r="AY265" s="17">
        <f t="shared" si="124"/>
        <v>175</v>
      </c>
      <c r="AZ265" s="28">
        <f t="shared" si="133"/>
        <v>0</v>
      </c>
      <c r="BA265" s="13">
        <f t="shared" si="125"/>
        <v>0</v>
      </c>
      <c r="BB265" s="13">
        <f t="shared" si="126"/>
        <v>0</v>
      </c>
      <c r="BC265" s="28">
        <f t="shared" si="134"/>
        <v>0</v>
      </c>
      <c r="BD265" s="28">
        <f t="shared" si="135"/>
        <v>0</v>
      </c>
      <c r="BF265" s="248">
        <f t="shared" si="136"/>
        <v>993869.29442638322</v>
      </c>
      <c r="BG265" s="36">
        <f t="shared" si="145"/>
        <v>0</v>
      </c>
      <c r="BH265" s="36">
        <f t="shared" si="146"/>
        <v>856751.70009042753</v>
      </c>
      <c r="BI265" s="249">
        <f t="shared" si="147"/>
        <v>0</v>
      </c>
      <c r="BJ265" s="246">
        <f t="shared" si="148"/>
        <v>0</v>
      </c>
      <c r="BK265" s="246">
        <f t="shared" si="127"/>
        <v>7.531116566323881E-4</v>
      </c>
      <c r="BL265" s="246">
        <f t="shared" si="149"/>
        <v>0</v>
      </c>
      <c r="BM265" s="246">
        <f t="shared" si="150"/>
        <v>7.531116566323881E-4</v>
      </c>
      <c r="BN265" s="36">
        <f t="shared" si="137"/>
        <v>645.22969217771686</v>
      </c>
      <c r="BO265" s="36">
        <f t="shared" si="151"/>
        <v>0</v>
      </c>
      <c r="BP265" s="36">
        <f t="shared" si="152"/>
        <v>856106.4703982498</v>
      </c>
    </row>
    <row r="266" spans="1:68">
      <c r="A266" s="32">
        <f t="shared" si="138"/>
        <v>-91</v>
      </c>
      <c r="B266" s="32">
        <f t="shared" si="128"/>
        <v>67</v>
      </c>
      <c r="C266" s="32">
        <f t="shared" si="139"/>
        <v>15</v>
      </c>
      <c r="D266" s="32">
        <f t="shared" si="140"/>
        <v>176</v>
      </c>
      <c r="E266" s="74">
        <f>MIN(IF(AV266=0,0,
IF(Investment_Strategy="DIS",VLOOKUP(Investment_Strategy&amp;"_"&amp;Investment_Strategy_Sub1&amp;"_"&amp;$A266,'Investment Strategies'!$AZ:$BP,12,FALSE),
IF(AND(Investment_Strategy="Lifecycle",Investment_Strategy_Sub1="Non-Standard"),VLOOKUP(Investment_Strategy&amp;"_"&amp;Investment_Strategy_Sub2&amp;"_"&amp;$A266,'Investment Strategies'!$C:$P,9,FALSE),
IF(AND(Investment_Strategy="Lifecycle",Investment_Strategy_Sub1="Standard"),VLOOKUP(Investment_Strategy&amp;"_"&amp;Investment_Strategy_Sub2&amp;"_"&amp;$A266,'Investment Strategies'!$AJ:$AV,8,FALSE),
IF(AND(Investment_Strategy="Autopilot",Investment_Strategy_Sub1="Non-Standard"),VLOOKUP(Investment_Strategy&amp;"_"&amp;Investment_Strategy_Sub2&amp;"_"&amp;$A266,'Investment Strategies'!$T:$AF,8,FALSE),
IF(Investment_Strategy ="DIY",DIY_RateOfReturn_CurrentFunds,
"Error")))))),Max_InvReturn)</f>
        <v>0</v>
      </c>
      <c r="F266" s="62">
        <f>IF(AV266=0,0,
IF(Investment_Strategy="DIS",VLOOKUP(Investment_Strategy&amp;"_"&amp;Investment_Strategy_Sub1&amp;"_"&amp;$A266,'Investment Strategies'!$AZ:$BP,15,FALSE),
IF(AND(Investment_Strategy="Lifecycle",Investment_Strategy_Sub1="Non-Standard"),VLOOKUP(Investment_Strategy&amp;"_"&amp;Investment_Strategy_Sub2&amp;"_"&amp;$A266,'Investment Strategies'!$C:$P,12,FALSE),
IF(AND(Investment_Strategy="Lifecycle",Investment_Strategy_Sub1="Standard"),VLOOKUP(Investment_Strategy&amp;"_"&amp;Investment_Strategy_Sub2&amp;"_"&amp;$A266,'Investment Strategies'!$AJ:$AV,11,FALSE),
IF(AND(Investment_Strategy="Autopilot",Investment_Strategy_Sub1="Non-Standard"),VLOOKUP(Investment_Strategy&amp;"_"&amp;Investment_Strategy_Sub2&amp;"_"&amp;$A266,'Investment Strategies'!$T:$AF,11,FALSE),
IF(Investment_Strategy="DIY",DIY_GteeChrge_CurrentFunds,
"Error"))))))</f>
        <v>0</v>
      </c>
      <c r="G266" s="33">
        <f>IF(AV266=0,0,
IF(Investment_Strategy="DIS",VLOOKUP(Investment_Strategy&amp;"_"&amp;Investment_Strategy_Sub1&amp;"_"&amp;$A266,'Investment Strategies'!$AZ:$BP,17,FALSE),
IF(AND(Investment_Strategy="Lifecycle",Investment_Strategy_Sub1="Non-Standard"),VLOOKUP(Investment_Strategy&amp;"_"&amp;Investment_Strategy_Sub2&amp;"_"&amp;$A266,'Investment Strategies'!$C:$P,14,FALSE),
IF(AND(Investment_Strategy="Lifecycle",Investment_Strategy_Sub1="Standard"),VLOOKUP(Investment_Strategy&amp;"_"&amp;Investment_Strategy_Sub2&amp;"_"&amp;$A266,'Investment Strategies'!$AJ:$AV,13,FALSE),
IF(AND(Investment_Strategy="Autopilot",Investment_Strategy_Sub1="Non-Standard"),VLOOKUP(Investment_Strategy&amp;"_"&amp;Investment_Strategy_Sub2&amp;"_"&amp;$A266,'Investment Strategies'!$T:$AF,13,FALSE),
IF(Investment_Strategy="DIY",DIY_ExtManChrge_CurrentFunds,
"Error"))))))</f>
        <v>0</v>
      </c>
      <c r="H266" s="16">
        <f t="shared" si="129"/>
        <v>0</v>
      </c>
      <c r="I266" s="16">
        <f t="shared" si="113"/>
        <v>0</v>
      </c>
      <c r="J266" s="16">
        <f t="shared" si="114"/>
        <v>0</v>
      </c>
      <c r="K266" s="16">
        <f>(Opening_Fund_Value+SUM(K$91:K265))*E266*IF(D266=$A$91,SRP_finalmonthfactor,1)</f>
        <v>0</v>
      </c>
      <c r="L266" s="74">
        <f>MIN(IF($AV266=0,0,
IF(Investment_Strategy="DIS",VLOOKUP(Investment_Strategy&amp;"_"&amp;Investment_Strategy_Sub1&amp;"_"&amp;$A266,'Investment Strategies'!$AZ:$BP,12,FALSE),
IF(AND(Investment_Strategy="Lifecycle",Investment_Strategy_Sub1="Non-Standard"),VLOOKUP(Investment_Strategy&amp;"_"&amp;Investment_Strategy_Sub2&amp;"_"&amp;$A266,'Investment Strategies'!$C:$P,9,FALSE),
IF(AND(Investment_Strategy="Lifecycle",Investment_Strategy_Sub1="Standard"),VLOOKUP(Investment_Strategy&amp;"_"&amp;Investment_Strategy_Sub2&amp;"_"&amp;$A266,'Investment Strategies'!$AJ:$AV,8,FALSE),
IF(AND(Investment_Strategy="Autopilot",Investment_Strategy_Sub1="Non-Standard"),VLOOKUP(Investment_Strategy&amp;"_"&amp;Investment_Strategy_Sub2&amp;"_"&amp;$A266,'Investment Strategies'!$T:$AF,8,FALSE),
IF(Investment_Strategy ="DIY",DIY_RateofReturn_SP,
"Error")))))),Max_InvReturn)</f>
        <v>0</v>
      </c>
      <c r="M266" s="62">
        <f>IF($AV266=0,0,
IF(Investment_Strategy="DIS",VLOOKUP(Investment_Strategy&amp;"_"&amp;Investment_Strategy_Sub1&amp;"_"&amp;$A266,'Investment Strategies'!$AZ:$BP,15,FALSE),
IF(AND(Investment_Strategy="Lifecycle",Investment_Strategy_Sub1="Non-Standard"),VLOOKUP(Investment_Strategy&amp;"_"&amp;Investment_Strategy_Sub2&amp;"_"&amp;$A266,'Investment Strategies'!$C:$P,12,FALSE),
IF(AND(Investment_Strategy="Lifecycle",Investment_Strategy_Sub1="Standard"),VLOOKUP(Investment_Strategy&amp;"_"&amp;Investment_Strategy_Sub2&amp;"_"&amp;$A266,'Investment Strategies'!$AJ:$AV,11,FALSE),
IF(AND(Investment_Strategy="Autopilot",Investment_Strategy_Sub1="Non-Standard"),VLOOKUP(Investment_Strategy&amp;"_"&amp;Investment_Strategy_Sub2&amp;"_"&amp;$A266,'Investment Strategies'!$T:$AF,11,FALSE),
IF(Investment_Strategy="DIY",DIY_GteeChrge_SP,
"Error"))))))</f>
        <v>0</v>
      </c>
      <c r="N266" s="33">
        <f>IF($AV266=0,0,
IF(Investment_Strategy="DIS",VLOOKUP(Investment_Strategy&amp;"_"&amp;Investment_Strategy_Sub1&amp;"_"&amp;$A266,'Investment Strategies'!$AZ:$BP,17,FALSE),
IF(AND(Investment_Strategy="Lifecycle",Investment_Strategy_Sub1="Non-Standard"),VLOOKUP(Investment_Strategy&amp;"_"&amp;Investment_Strategy_Sub2&amp;"_"&amp;$A266,'Investment Strategies'!$C:$P,14,FALSE),
IF(AND(Investment_Strategy="Lifecycle",Investment_Strategy_Sub1="Standard"),VLOOKUP(Investment_Strategy&amp;"_"&amp;Investment_Strategy_Sub2&amp;"_"&amp;$A266,'Investment Strategies'!$AJ:$AV,13,FALSE),
IF(AND(Investment_Strategy="Autopilot",Investment_Strategy_Sub1="Non-Standard"),VLOOKUP(Investment_Strategy&amp;"_"&amp;Investment_Strategy_Sub2&amp;"_"&amp;$A266,'Investment Strategies'!$T:$AF,13,FALSE),
IF(Investment_Strategy="DIY",DIY_ExtManChrge_SP,
"Error"))))))</f>
        <v>0</v>
      </c>
      <c r="O266" s="16">
        <f t="shared" si="141"/>
        <v>0</v>
      </c>
      <c r="Q266" s="16">
        <f t="shared" si="115"/>
        <v>0</v>
      </c>
      <c r="R266" s="16">
        <f t="shared" si="116"/>
        <v>0</v>
      </c>
      <c r="S266" s="16">
        <f>(SRP_SP+SUM(S$91:S265))*L266*IF(D266=$A$91,SRP_finalmonthfactor,1)</f>
        <v>0</v>
      </c>
      <c r="T266" s="74">
        <f>MIN(IF($AV266=0,0,
IF(Investment_Strategy="DIS",VLOOKUP(Investment_Strategy&amp;"_"&amp;Investment_Strategy_Sub1&amp;"_"&amp;$A266,'Investment Strategies'!$AZ:$BP,12,FALSE),
IF(AND(Investment_Strategy="Lifecycle",Investment_Strategy_Sub1="Non-Standard"),VLOOKUP(Investment_Strategy&amp;"_"&amp;Investment_Strategy_Sub2&amp;"_"&amp;$A266,'Investment Strategies'!$C:$P,9,FALSE),
IF(AND(Investment_Strategy="Lifecycle",Investment_Strategy_Sub1="Standard"),VLOOKUP(Investment_Strategy&amp;"_"&amp;Investment_Strategy_Sub2&amp;"_"&amp;$A266,'Investment Strategies'!$AJ:$AV,8,FALSE),
IF(AND(Investment_Strategy="Autopilot",Investment_Strategy_Sub1="Non-Standard"),VLOOKUP(Investment_Strategy&amp;"_"&amp;Investment_Strategy_Sub2&amp;"_"&amp;$A266,'Investment Strategies'!$T:$AF,8,FALSE),
IF(Investment_Strategy ="DIY",DIY_RateOfReturn_FuturePremiums,
"Error")))))),Max_InvReturn)</f>
        <v>0</v>
      </c>
      <c r="U266" s="62">
        <f>IF($AV266=0,0,
IF(Investment_Strategy="DIS",VLOOKUP(Investment_Strategy&amp;"_"&amp;Investment_Strategy_Sub1&amp;"_"&amp;$A266,'Investment Strategies'!$AZ:$BP,15,FALSE),
IF(AND(Investment_Strategy="Lifecycle",Investment_Strategy_Sub1="Non-Standard"),VLOOKUP(Investment_Strategy&amp;"_"&amp;Investment_Strategy_Sub2&amp;"_"&amp;$A266,'Investment Strategies'!$C:$P,12,FALSE),
IF(AND(Investment_Strategy="Lifecycle",Investment_Strategy_Sub1="Standard"),VLOOKUP(Investment_Strategy&amp;"_"&amp;Investment_Strategy_Sub2&amp;"_"&amp;$A266,'Investment Strategies'!$AJ:$AV,11,FALSE),
IF(AND(Investment_Strategy="Autopilot",Investment_Strategy_Sub1="Non-Standard"),VLOOKUP(Investment_Strategy&amp;"_"&amp;Investment_Strategy_Sub2&amp;"_"&amp;$A266,'Investment Strategies'!$T:$AF,11,FALSE),
IF(Investment_Strategy="DIY",DIY_GteeChrge_FuturePremiums,
"Error"))))))</f>
        <v>0</v>
      </c>
      <c r="V266" s="33">
        <f>IF(AV266=0,0,
IF(Investment_Strategy="DIS",VLOOKUP(Investment_Strategy&amp;"_"&amp;Investment_Strategy_Sub1&amp;"_"&amp;$A266,'Investment Strategies'!$AZ:$BP,17,FALSE),
IF(AND(Investment_Strategy="Lifecycle",Investment_Strategy_Sub1="Non-Standard"),VLOOKUP(Investment_Strategy&amp;"_"&amp;Investment_Strategy_Sub2&amp;"_"&amp;$A266,'Investment Strategies'!$C:$P,14,FALSE),
IF(AND(Investment_Strategy="Lifecycle",Investment_Strategy_Sub1="Standard"),VLOOKUP(Investment_Strategy&amp;"_"&amp;Investment_Strategy_Sub2&amp;"_"&amp;$A266,'Investment Strategies'!$AJ:$AV,13,FALSE),
IF(AND(Investment_Strategy="Autopilot",Investment_Strategy_Sub1="Non-Standard"),VLOOKUP(Investment_Strategy&amp;"_"&amp;Investment_Strategy_Sub2&amp;"_"&amp;$A266,'Investment Strategies'!$T:$AF,13,FALSE),
IF(Investment_Strategy="DIY",DIY_ExtManChrge_FuturePremiums,
"Error"))))))</f>
        <v>0</v>
      </c>
      <c r="W266" s="16">
        <f t="shared" si="142"/>
        <v>0</v>
      </c>
      <c r="X266" s="16">
        <f t="shared" si="117"/>
        <v>0</v>
      </c>
      <c r="Y266" s="16">
        <f t="shared" si="118"/>
        <v>0</v>
      </c>
      <c r="Z266" s="31">
        <f t="shared" si="119"/>
        <v>0.02</v>
      </c>
      <c r="AA266" s="16">
        <f t="shared" si="120"/>
        <v>0</v>
      </c>
      <c r="AB266" s="28">
        <f t="shared" si="144"/>
        <v>0</v>
      </c>
      <c r="AC266" s="28">
        <f>(SUM($AC$91:AC265)+SUM($X$91:X265)+X266)*T266*IF(D266=$A$91,SRP_finalmonthfactor,1)</f>
        <v>0</v>
      </c>
      <c r="AD266" s="16">
        <f t="shared" si="121"/>
        <v>0</v>
      </c>
      <c r="AE266" s="106"/>
      <c r="AF266" s="16">
        <f t="shared" si="130"/>
        <v>0</v>
      </c>
      <c r="AG266" s="16">
        <f t="shared" si="131"/>
        <v>0</v>
      </c>
      <c r="AH266" s="16">
        <f t="shared" si="132"/>
        <v>0</v>
      </c>
      <c r="AJ266" s="13">
        <f t="shared" si="156"/>
        <v>0</v>
      </c>
      <c r="AK266" s="13">
        <f t="shared" si="156"/>
        <v>0</v>
      </c>
      <c r="AL266" s="13">
        <f t="shared" si="156"/>
        <v>0</v>
      </c>
      <c r="AM266" s="13">
        <f t="shared" si="156"/>
        <v>0</v>
      </c>
      <c r="AN266" s="13">
        <f t="shared" si="156"/>
        <v>0</v>
      </c>
      <c r="AO266" s="13">
        <f t="shared" si="156"/>
        <v>1</v>
      </c>
      <c r="AP266" s="13">
        <f t="shared" si="156"/>
        <v>1</v>
      </c>
      <c r="AQ266" s="13">
        <f t="shared" si="156"/>
        <v>1</v>
      </c>
      <c r="AR266" s="13">
        <f t="shared" si="156"/>
        <v>1</v>
      </c>
      <c r="AS266" s="13">
        <f t="shared" si="156"/>
        <v>1</v>
      </c>
      <c r="AT266" s="13">
        <f t="shared" si="156"/>
        <v>1</v>
      </c>
      <c r="AU266" s="13">
        <f t="shared" si="156"/>
        <v>1</v>
      </c>
      <c r="AV266" s="13">
        <f t="shared" si="122"/>
        <v>0</v>
      </c>
      <c r="AW266" s="13">
        <f t="shared" si="123"/>
        <v>1</v>
      </c>
      <c r="AY266" s="17">
        <f t="shared" si="124"/>
        <v>176</v>
      </c>
      <c r="AZ266" s="28">
        <f t="shared" si="133"/>
        <v>0</v>
      </c>
      <c r="BA266" s="13">
        <f t="shared" si="125"/>
        <v>0</v>
      </c>
      <c r="BB266" s="13">
        <f t="shared" si="126"/>
        <v>0</v>
      </c>
      <c r="BC266" s="28">
        <f t="shared" si="134"/>
        <v>0</v>
      </c>
      <c r="BD266" s="28">
        <f t="shared" si="135"/>
        <v>0</v>
      </c>
      <c r="BF266" s="248">
        <f t="shared" si="136"/>
        <v>993869.29442638322</v>
      </c>
      <c r="BG266" s="36">
        <f t="shared" si="145"/>
        <v>0</v>
      </c>
      <c r="BH266" s="36">
        <f t="shared" si="146"/>
        <v>856106.4703982498</v>
      </c>
      <c r="BI266" s="249">
        <f t="shared" si="147"/>
        <v>0</v>
      </c>
      <c r="BJ266" s="246">
        <f t="shared" si="148"/>
        <v>0</v>
      </c>
      <c r="BK266" s="246">
        <f t="shared" si="127"/>
        <v>7.531116566323881E-4</v>
      </c>
      <c r="BL266" s="246">
        <f t="shared" si="149"/>
        <v>0</v>
      </c>
      <c r="BM266" s="246">
        <f t="shared" si="150"/>
        <v>7.531116566323881E-4</v>
      </c>
      <c r="BN266" s="36">
        <f t="shared" si="137"/>
        <v>644.74376217533245</v>
      </c>
      <c r="BO266" s="36">
        <f t="shared" si="151"/>
        <v>0</v>
      </c>
      <c r="BP266" s="36">
        <f t="shared" si="152"/>
        <v>855461.72663607448</v>
      </c>
    </row>
    <row r="267" spans="1:68">
      <c r="A267" s="32">
        <f t="shared" si="138"/>
        <v>-92</v>
      </c>
      <c r="B267" s="32">
        <f t="shared" si="128"/>
        <v>67</v>
      </c>
      <c r="C267" s="32">
        <f t="shared" si="139"/>
        <v>15</v>
      </c>
      <c r="D267" s="32">
        <f t="shared" si="140"/>
        <v>177</v>
      </c>
      <c r="E267" s="74">
        <f>MIN(IF(AV267=0,0,
IF(Investment_Strategy="DIS",VLOOKUP(Investment_Strategy&amp;"_"&amp;Investment_Strategy_Sub1&amp;"_"&amp;$A267,'Investment Strategies'!$AZ:$BP,12,FALSE),
IF(AND(Investment_Strategy="Lifecycle",Investment_Strategy_Sub1="Non-Standard"),VLOOKUP(Investment_Strategy&amp;"_"&amp;Investment_Strategy_Sub2&amp;"_"&amp;$A267,'Investment Strategies'!$C:$P,9,FALSE),
IF(AND(Investment_Strategy="Lifecycle",Investment_Strategy_Sub1="Standard"),VLOOKUP(Investment_Strategy&amp;"_"&amp;Investment_Strategy_Sub2&amp;"_"&amp;$A267,'Investment Strategies'!$AJ:$AV,8,FALSE),
IF(AND(Investment_Strategy="Autopilot",Investment_Strategy_Sub1="Non-Standard"),VLOOKUP(Investment_Strategy&amp;"_"&amp;Investment_Strategy_Sub2&amp;"_"&amp;$A267,'Investment Strategies'!$T:$AF,8,FALSE),
IF(Investment_Strategy ="DIY",DIY_RateOfReturn_CurrentFunds,
"Error")))))),Max_InvReturn)</f>
        <v>0</v>
      </c>
      <c r="F267" s="62">
        <f>IF(AV267=0,0,
IF(Investment_Strategy="DIS",VLOOKUP(Investment_Strategy&amp;"_"&amp;Investment_Strategy_Sub1&amp;"_"&amp;$A267,'Investment Strategies'!$AZ:$BP,15,FALSE),
IF(AND(Investment_Strategy="Lifecycle",Investment_Strategy_Sub1="Non-Standard"),VLOOKUP(Investment_Strategy&amp;"_"&amp;Investment_Strategy_Sub2&amp;"_"&amp;$A267,'Investment Strategies'!$C:$P,12,FALSE),
IF(AND(Investment_Strategy="Lifecycle",Investment_Strategy_Sub1="Standard"),VLOOKUP(Investment_Strategy&amp;"_"&amp;Investment_Strategy_Sub2&amp;"_"&amp;$A267,'Investment Strategies'!$AJ:$AV,11,FALSE),
IF(AND(Investment_Strategy="Autopilot",Investment_Strategy_Sub1="Non-Standard"),VLOOKUP(Investment_Strategy&amp;"_"&amp;Investment_Strategy_Sub2&amp;"_"&amp;$A267,'Investment Strategies'!$T:$AF,11,FALSE),
IF(Investment_Strategy="DIY",DIY_GteeChrge_CurrentFunds,
"Error"))))))</f>
        <v>0</v>
      </c>
      <c r="G267" s="33">
        <f>IF(AV267=0,0,
IF(Investment_Strategy="DIS",VLOOKUP(Investment_Strategy&amp;"_"&amp;Investment_Strategy_Sub1&amp;"_"&amp;$A267,'Investment Strategies'!$AZ:$BP,17,FALSE),
IF(AND(Investment_Strategy="Lifecycle",Investment_Strategy_Sub1="Non-Standard"),VLOOKUP(Investment_Strategy&amp;"_"&amp;Investment_Strategy_Sub2&amp;"_"&amp;$A267,'Investment Strategies'!$C:$P,14,FALSE),
IF(AND(Investment_Strategy="Lifecycle",Investment_Strategy_Sub1="Standard"),VLOOKUP(Investment_Strategy&amp;"_"&amp;Investment_Strategy_Sub2&amp;"_"&amp;$A267,'Investment Strategies'!$AJ:$AV,13,FALSE),
IF(AND(Investment_Strategy="Autopilot",Investment_Strategy_Sub1="Non-Standard"),VLOOKUP(Investment_Strategy&amp;"_"&amp;Investment_Strategy_Sub2&amp;"_"&amp;$A267,'Investment Strategies'!$T:$AF,13,FALSE),
IF(Investment_Strategy="DIY",DIY_ExtManChrge_CurrentFunds,
"Error"))))))</f>
        <v>0</v>
      </c>
      <c r="H267" s="16">
        <f t="shared" si="129"/>
        <v>0</v>
      </c>
      <c r="I267" s="16">
        <f t="shared" si="113"/>
        <v>0</v>
      </c>
      <c r="J267" s="16">
        <f t="shared" si="114"/>
        <v>0</v>
      </c>
      <c r="K267" s="16">
        <f>(Opening_Fund_Value+SUM(K$91:K266))*E267*IF(D267=$A$91,SRP_finalmonthfactor,1)</f>
        <v>0</v>
      </c>
      <c r="L267" s="74">
        <f>MIN(IF($AV267=0,0,
IF(Investment_Strategy="DIS",VLOOKUP(Investment_Strategy&amp;"_"&amp;Investment_Strategy_Sub1&amp;"_"&amp;$A267,'Investment Strategies'!$AZ:$BP,12,FALSE),
IF(AND(Investment_Strategy="Lifecycle",Investment_Strategy_Sub1="Non-Standard"),VLOOKUP(Investment_Strategy&amp;"_"&amp;Investment_Strategy_Sub2&amp;"_"&amp;$A267,'Investment Strategies'!$C:$P,9,FALSE),
IF(AND(Investment_Strategy="Lifecycle",Investment_Strategy_Sub1="Standard"),VLOOKUP(Investment_Strategy&amp;"_"&amp;Investment_Strategy_Sub2&amp;"_"&amp;$A267,'Investment Strategies'!$AJ:$AV,8,FALSE),
IF(AND(Investment_Strategy="Autopilot",Investment_Strategy_Sub1="Non-Standard"),VLOOKUP(Investment_Strategy&amp;"_"&amp;Investment_Strategy_Sub2&amp;"_"&amp;$A267,'Investment Strategies'!$T:$AF,8,FALSE),
IF(Investment_Strategy ="DIY",DIY_RateofReturn_SP,
"Error")))))),Max_InvReturn)</f>
        <v>0</v>
      </c>
      <c r="M267" s="62">
        <f>IF($AV267=0,0,
IF(Investment_Strategy="DIS",VLOOKUP(Investment_Strategy&amp;"_"&amp;Investment_Strategy_Sub1&amp;"_"&amp;$A267,'Investment Strategies'!$AZ:$BP,15,FALSE),
IF(AND(Investment_Strategy="Lifecycle",Investment_Strategy_Sub1="Non-Standard"),VLOOKUP(Investment_Strategy&amp;"_"&amp;Investment_Strategy_Sub2&amp;"_"&amp;$A267,'Investment Strategies'!$C:$P,12,FALSE),
IF(AND(Investment_Strategy="Lifecycle",Investment_Strategy_Sub1="Standard"),VLOOKUP(Investment_Strategy&amp;"_"&amp;Investment_Strategy_Sub2&amp;"_"&amp;$A267,'Investment Strategies'!$AJ:$AV,11,FALSE),
IF(AND(Investment_Strategy="Autopilot",Investment_Strategy_Sub1="Non-Standard"),VLOOKUP(Investment_Strategy&amp;"_"&amp;Investment_Strategy_Sub2&amp;"_"&amp;$A267,'Investment Strategies'!$T:$AF,11,FALSE),
IF(Investment_Strategy="DIY",DIY_GteeChrge_SP,
"Error"))))))</f>
        <v>0</v>
      </c>
      <c r="N267" s="33">
        <f>IF($AV267=0,0,
IF(Investment_Strategy="DIS",VLOOKUP(Investment_Strategy&amp;"_"&amp;Investment_Strategy_Sub1&amp;"_"&amp;$A267,'Investment Strategies'!$AZ:$BP,17,FALSE),
IF(AND(Investment_Strategy="Lifecycle",Investment_Strategy_Sub1="Non-Standard"),VLOOKUP(Investment_Strategy&amp;"_"&amp;Investment_Strategy_Sub2&amp;"_"&amp;$A267,'Investment Strategies'!$C:$P,14,FALSE),
IF(AND(Investment_Strategy="Lifecycle",Investment_Strategy_Sub1="Standard"),VLOOKUP(Investment_Strategy&amp;"_"&amp;Investment_Strategy_Sub2&amp;"_"&amp;$A267,'Investment Strategies'!$AJ:$AV,13,FALSE),
IF(AND(Investment_Strategy="Autopilot",Investment_Strategy_Sub1="Non-Standard"),VLOOKUP(Investment_Strategy&amp;"_"&amp;Investment_Strategy_Sub2&amp;"_"&amp;$A267,'Investment Strategies'!$T:$AF,13,FALSE),
IF(Investment_Strategy="DIY",DIY_ExtManChrge_SP,
"Error"))))))</f>
        <v>0</v>
      </c>
      <c r="O267" s="16">
        <f t="shared" si="141"/>
        <v>0</v>
      </c>
      <c r="Q267" s="16">
        <f t="shared" si="115"/>
        <v>0</v>
      </c>
      <c r="R267" s="16">
        <f t="shared" si="116"/>
        <v>0</v>
      </c>
      <c r="S267" s="16">
        <f>(SRP_SP+SUM(S$91:S266))*L267*IF(D267=$A$91,SRP_finalmonthfactor,1)</f>
        <v>0</v>
      </c>
      <c r="T267" s="74">
        <f>MIN(IF($AV267=0,0,
IF(Investment_Strategy="DIS",VLOOKUP(Investment_Strategy&amp;"_"&amp;Investment_Strategy_Sub1&amp;"_"&amp;$A267,'Investment Strategies'!$AZ:$BP,12,FALSE),
IF(AND(Investment_Strategy="Lifecycle",Investment_Strategy_Sub1="Non-Standard"),VLOOKUP(Investment_Strategy&amp;"_"&amp;Investment_Strategy_Sub2&amp;"_"&amp;$A267,'Investment Strategies'!$C:$P,9,FALSE),
IF(AND(Investment_Strategy="Lifecycle",Investment_Strategy_Sub1="Standard"),VLOOKUP(Investment_Strategy&amp;"_"&amp;Investment_Strategy_Sub2&amp;"_"&amp;$A267,'Investment Strategies'!$AJ:$AV,8,FALSE),
IF(AND(Investment_Strategy="Autopilot",Investment_Strategy_Sub1="Non-Standard"),VLOOKUP(Investment_Strategy&amp;"_"&amp;Investment_Strategy_Sub2&amp;"_"&amp;$A267,'Investment Strategies'!$T:$AF,8,FALSE),
IF(Investment_Strategy ="DIY",DIY_RateOfReturn_FuturePremiums,
"Error")))))),Max_InvReturn)</f>
        <v>0</v>
      </c>
      <c r="U267" s="62">
        <f>IF($AV267=0,0,
IF(Investment_Strategy="DIS",VLOOKUP(Investment_Strategy&amp;"_"&amp;Investment_Strategy_Sub1&amp;"_"&amp;$A267,'Investment Strategies'!$AZ:$BP,15,FALSE),
IF(AND(Investment_Strategy="Lifecycle",Investment_Strategy_Sub1="Non-Standard"),VLOOKUP(Investment_Strategy&amp;"_"&amp;Investment_Strategy_Sub2&amp;"_"&amp;$A267,'Investment Strategies'!$C:$P,12,FALSE),
IF(AND(Investment_Strategy="Lifecycle",Investment_Strategy_Sub1="Standard"),VLOOKUP(Investment_Strategy&amp;"_"&amp;Investment_Strategy_Sub2&amp;"_"&amp;$A267,'Investment Strategies'!$AJ:$AV,11,FALSE),
IF(AND(Investment_Strategy="Autopilot",Investment_Strategy_Sub1="Non-Standard"),VLOOKUP(Investment_Strategy&amp;"_"&amp;Investment_Strategy_Sub2&amp;"_"&amp;$A267,'Investment Strategies'!$T:$AF,11,FALSE),
IF(Investment_Strategy="DIY",DIY_GteeChrge_FuturePremiums,
"Error"))))))</f>
        <v>0</v>
      </c>
      <c r="V267" s="33">
        <f>IF(AV267=0,0,
IF(Investment_Strategy="DIS",VLOOKUP(Investment_Strategy&amp;"_"&amp;Investment_Strategy_Sub1&amp;"_"&amp;$A267,'Investment Strategies'!$AZ:$BP,17,FALSE),
IF(AND(Investment_Strategy="Lifecycle",Investment_Strategy_Sub1="Non-Standard"),VLOOKUP(Investment_Strategy&amp;"_"&amp;Investment_Strategy_Sub2&amp;"_"&amp;$A267,'Investment Strategies'!$C:$P,14,FALSE),
IF(AND(Investment_Strategy="Lifecycle",Investment_Strategy_Sub1="Standard"),VLOOKUP(Investment_Strategy&amp;"_"&amp;Investment_Strategy_Sub2&amp;"_"&amp;$A267,'Investment Strategies'!$AJ:$AV,13,FALSE),
IF(AND(Investment_Strategy="Autopilot",Investment_Strategy_Sub1="Non-Standard"),VLOOKUP(Investment_Strategy&amp;"_"&amp;Investment_Strategy_Sub2&amp;"_"&amp;$A267,'Investment Strategies'!$T:$AF,13,FALSE),
IF(Investment_Strategy="DIY",DIY_ExtManChrge_FuturePremiums,
"Error"))))))</f>
        <v>0</v>
      </c>
      <c r="W267" s="16">
        <f t="shared" si="142"/>
        <v>0</v>
      </c>
      <c r="X267" s="16">
        <f t="shared" si="117"/>
        <v>0</v>
      </c>
      <c r="Y267" s="16">
        <f t="shared" si="118"/>
        <v>0</v>
      </c>
      <c r="Z267" s="31">
        <f t="shared" si="119"/>
        <v>0.02</v>
      </c>
      <c r="AA267" s="16">
        <f t="shared" si="120"/>
        <v>0</v>
      </c>
      <c r="AB267" s="28">
        <f t="shared" si="144"/>
        <v>0</v>
      </c>
      <c r="AC267" s="28">
        <f>(SUM($AC$91:AC266)+SUM($X$91:X266)+X267)*T267*IF(D267=$A$91,SRP_finalmonthfactor,1)</f>
        <v>0</v>
      </c>
      <c r="AD267" s="16">
        <f t="shared" si="121"/>
        <v>0</v>
      </c>
      <c r="AE267" s="106"/>
      <c r="AF267" s="16">
        <f t="shared" si="130"/>
        <v>0</v>
      </c>
      <c r="AG267" s="16">
        <f t="shared" si="131"/>
        <v>0</v>
      </c>
      <c r="AH267" s="16">
        <f t="shared" si="132"/>
        <v>0</v>
      </c>
      <c r="AJ267" s="13">
        <f t="shared" si="156"/>
        <v>0</v>
      </c>
      <c r="AK267" s="13">
        <f t="shared" si="156"/>
        <v>0</v>
      </c>
      <c r="AL267" s="13">
        <f t="shared" si="156"/>
        <v>0</v>
      </c>
      <c r="AM267" s="13">
        <f t="shared" si="156"/>
        <v>0</v>
      </c>
      <c r="AN267" s="13">
        <f t="shared" si="156"/>
        <v>0</v>
      </c>
      <c r="AO267" s="13">
        <f t="shared" si="156"/>
        <v>1</v>
      </c>
      <c r="AP267" s="13">
        <f t="shared" si="156"/>
        <v>1</v>
      </c>
      <c r="AQ267" s="13">
        <f t="shared" si="156"/>
        <v>1</v>
      </c>
      <c r="AR267" s="13">
        <f t="shared" si="156"/>
        <v>1</v>
      </c>
      <c r="AS267" s="13">
        <f t="shared" si="156"/>
        <v>1</v>
      </c>
      <c r="AT267" s="13">
        <f t="shared" si="156"/>
        <v>1</v>
      </c>
      <c r="AU267" s="13">
        <f t="shared" si="156"/>
        <v>1</v>
      </c>
      <c r="AV267" s="13">
        <f t="shared" si="122"/>
        <v>0</v>
      </c>
      <c r="AW267" s="13">
        <f t="shared" si="123"/>
        <v>1</v>
      </c>
      <c r="AY267" s="17">
        <f t="shared" si="124"/>
        <v>177</v>
      </c>
      <c r="AZ267" s="28">
        <f t="shared" si="133"/>
        <v>0</v>
      </c>
      <c r="BA267" s="13">
        <f t="shared" si="125"/>
        <v>0</v>
      </c>
      <c r="BB267" s="13">
        <f t="shared" si="126"/>
        <v>0</v>
      </c>
      <c r="BC267" s="28">
        <f t="shared" si="134"/>
        <v>0</v>
      </c>
      <c r="BD267" s="28">
        <f t="shared" si="135"/>
        <v>0</v>
      </c>
      <c r="BF267" s="248">
        <f t="shared" si="136"/>
        <v>993869.29442638322</v>
      </c>
      <c r="BG267" s="36">
        <f t="shared" si="145"/>
        <v>0</v>
      </c>
      <c r="BH267" s="36">
        <f t="shared" si="146"/>
        <v>855461.72663607448</v>
      </c>
      <c r="BI267" s="249">
        <f t="shared" si="147"/>
        <v>0</v>
      </c>
      <c r="BJ267" s="246">
        <f t="shared" si="148"/>
        <v>0</v>
      </c>
      <c r="BK267" s="246">
        <f t="shared" si="127"/>
        <v>7.531116566323881E-4</v>
      </c>
      <c r="BL267" s="246">
        <f t="shared" si="149"/>
        <v>0</v>
      </c>
      <c r="BM267" s="246">
        <f t="shared" si="150"/>
        <v>7.531116566323881E-4</v>
      </c>
      <c r="BN267" s="36">
        <f t="shared" si="137"/>
        <v>644.25819813249723</v>
      </c>
      <c r="BO267" s="36">
        <f t="shared" si="151"/>
        <v>0</v>
      </c>
      <c r="BP267" s="36">
        <f t="shared" si="152"/>
        <v>854817.46843794198</v>
      </c>
    </row>
    <row r="268" spans="1:68">
      <c r="A268" s="32">
        <f t="shared" si="138"/>
        <v>-93</v>
      </c>
      <c r="B268" s="32">
        <f t="shared" si="128"/>
        <v>67</v>
      </c>
      <c r="C268" s="32">
        <f t="shared" si="139"/>
        <v>15</v>
      </c>
      <c r="D268" s="32">
        <f t="shared" si="140"/>
        <v>178</v>
      </c>
      <c r="E268" s="74">
        <f>MIN(IF(AV268=0,0,
IF(Investment_Strategy="DIS",VLOOKUP(Investment_Strategy&amp;"_"&amp;Investment_Strategy_Sub1&amp;"_"&amp;$A268,'Investment Strategies'!$AZ:$BP,12,FALSE),
IF(AND(Investment_Strategy="Lifecycle",Investment_Strategy_Sub1="Non-Standard"),VLOOKUP(Investment_Strategy&amp;"_"&amp;Investment_Strategy_Sub2&amp;"_"&amp;$A268,'Investment Strategies'!$C:$P,9,FALSE),
IF(AND(Investment_Strategy="Lifecycle",Investment_Strategy_Sub1="Standard"),VLOOKUP(Investment_Strategy&amp;"_"&amp;Investment_Strategy_Sub2&amp;"_"&amp;$A268,'Investment Strategies'!$AJ:$AV,8,FALSE),
IF(AND(Investment_Strategy="Autopilot",Investment_Strategy_Sub1="Non-Standard"),VLOOKUP(Investment_Strategy&amp;"_"&amp;Investment_Strategy_Sub2&amp;"_"&amp;$A268,'Investment Strategies'!$T:$AF,8,FALSE),
IF(Investment_Strategy ="DIY",DIY_RateOfReturn_CurrentFunds,
"Error")))))),Max_InvReturn)</f>
        <v>0</v>
      </c>
      <c r="F268" s="62">
        <f>IF(AV268=0,0,
IF(Investment_Strategy="DIS",VLOOKUP(Investment_Strategy&amp;"_"&amp;Investment_Strategy_Sub1&amp;"_"&amp;$A268,'Investment Strategies'!$AZ:$BP,15,FALSE),
IF(AND(Investment_Strategy="Lifecycle",Investment_Strategy_Sub1="Non-Standard"),VLOOKUP(Investment_Strategy&amp;"_"&amp;Investment_Strategy_Sub2&amp;"_"&amp;$A268,'Investment Strategies'!$C:$P,12,FALSE),
IF(AND(Investment_Strategy="Lifecycle",Investment_Strategy_Sub1="Standard"),VLOOKUP(Investment_Strategy&amp;"_"&amp;Investment_Strategy_Sub2&amp;"_"&amp;$A268,'Investment Strategies'!$AJ:$AV,11,FALSE),
IF(AND(Investment_Strategy="Autopilot",Investment_Strategy_Sub1="Non-Standard"),VLOOKUP(Investment_Strategy&amp;"_"&amp;Investment_Strategy_Sub2&amp;"_"&amp;$A268,'Investment Strategies'!$T:$AF,11,FALSE),
IF(Investment_Strategy="DIY",DIY_GteeChrge_CurrentFunds,
"Error"))))))</f>
        <v>0</v>
      </c>
      <c r="G268" s="33">
        <f>IF(AV268=0,0,
IF(Investment_Strategy="DIS",VLOOKUP(Investment_Strategy&amp;"_"&amp;Investment_Strategy_Sub1&amp;"_"&amp;$A268,'Investment Strategies'!$AZ:$BP,17,FALSE),
IF(AND(Investment_Strategy="Lifecycle",Investment_Strategy_Sub1="Non-Standard"),VLOOKUP(Investment_Strategy&amp;"_"&amp;Investment_Strategy_Sub2&amp;"_"&amp;$A268,'Investment Strategies'!$C:$P,14,FALSE),
IF(AND(Investment_Strategy="Lifecycle",Investment_Strategy_Sub1="Standard"),VLOOKUP(Investment_Strategy&amp;"_"&amp;Investment_Strategy_Sub2&amp;"_"&amp;$A268,'Investment Strategies'!$AJ:$AV,13,FALSE),
IF(AND(Investment_Strategy="Autopilot",Investment_Strategy_Sub1="Non-Standard"),VLOOKUP(Investment_Strategy&amp;"_"&amp;Investment_Strategy_Sub2&amp;"_"&amp;$A268,'Investment Strategies'!$T:$AF,13,FALSE),
IF(Investment_Strategy="DIY",DIY_ExtManChrge_CurrentFunds,
"Error"))))))</f>
        <v>0</v>
      </c>
      <c r="H268" s="16">
        <f t="shared" si="129"/>
        <v>0</v>
      </c>
      <c r="I268" s="16">
        <f t="shared" si="113"/>
        <v>0</v>
      </c>
      <c r="J268" s="16">
        <f t="shared" si="114"/>
        <v>0</v>
      </c>
      <c r="K268" s="16">
        <f>(Opening_Fund_Value+SUM(K$91:K267))*E268*IF(D268=$A$91,SRP_finalmonthfactor,1)</f>
        <v>0</v>
      </c>
      <c r="L268" s="74">
        <f>MIN(IF($AV268=0,0,
IF(Investment_Strategy="DIS",VLOOKUP(Investment_Strategy&amp;"_"&amp;Investment_Strategy_Sub1&amp;"_"&amp;$A268,'Investment Strategies'!$AZ:$BP,12,FALSE),
IF(AND(Investment_Strategy="Lifecycle",Investment_Strategy_Sub1="Non-Standard"),VLOOKUP(Investment_Strategy&amp;"_"&amp;Investment_Strategy_Sub2&amp;"_"&amp;$A268,'Investment Strategies'!$C:$P,9,FALSE),
IF(AND(Investment_Strategy="Lifecycle",Investment_Strategy_Sub1="Standard"),VLOOKUP(Investment_Strategy&amp;"_"&amp;Investment_Strategy_Sub2&amp;"_"&amp;$A268,'Investment Strategies'!$AJ:$AV,8,FALSE),
IF(AND(Investment_Strategy="Autopilot",Investment_Strategy_Sub1="Non-Standard"),VLOOKUP(Investment_Strategy&amp;"_"&amp;Investment_Strategy_Sub2&amp;"_"&amp;$A268,'Investment Strategies'!$T:$AF,8,FALSE),
IF(Investment_Strategy ="DIY",DIY_RateofReturn_SP,
"Error")))))),Max_InvReturn)</f>
        <v>0</v>
      </c>
      <c r="M268" s="62">
        <f>IF($AV268=0,0,
IF(Investment_Strategy="DIS",VLOOKUP(Investment_Strategy&amp;"_"&amp;Investment_Strategy_Sub1&amp;"_"&amp;$A268,'Investment Strategies'!$AZ:$BP,15,FALSE),
IF(AND(Investment_Strategy="Lifecycle",Investment_Strategy_Sub1="Non-Standard"),VLOOKUP(Investment_Strategy&amp;"_"&amp;Investment_Strategy_Sub2&amp;"_"&amp;$A268,'Investment Strategies'!$C:$P,12,FALSE),
IF(AND(Investment_Strategy="Lifecycle",Investment_Strategy_Sub1="Standard"),VLOOKUP(Investment_Strategy&amp;"_"&amp;Investment_Strategy_Sub2&amp;"_"&amp;$A268,'Investment Strategies'!$AJ:$AV,11,FALSE),
IF(AND(Investment_Strategy="Autopilot",Investment_Strategy_Sub1="Non-Standard"),VLOOKUP(Investment_Strategy&amp;"_"&amp;Investment_Strategy_Sub2&amp;"_"&amp;$A268,'Investment Strategies'!$T:$AF,11,FALSE),
IF(Investment_Strategy="DIY",DIY_GteeChrge_SP,
"Error"))))))</f>
        <v>0</v>
      </c>
      <c r="N268" s="33">
        <f>IF($AV268=0,0,
IF(Investment_Strategy="DIS",VLOOKUP(Investment_Strategy&amp;"_"&amp;Investment_Strategy_Sub1&amp;"_"&amp;$A268,'Investment Strategies'!$AZ:$BP,17,FALSE),
IF(AND(Investment_Strategy="Lifecycle",Investment_Strategy_Sub1="Non-Standard"),VLOOKUP(Investment_Strategy&amp;"_"&amp;Investment_Strategy_Sub2&amp;"_"&amp;$A268,'Investment Strategies'!$C:$P,14,FALSE),
IF(AND(Investment_Strategy="Lifecycle",Investment_Strategy_Sub1="Standard"),VLOOKUP(Investment_Strategy&amp;"_"&amp;Investment_Strategy_Sub2&amp;"_"&amp;$A268,'Investment Strategies'!$AJ:$AV,13,FALSE),
IF(AND(Investment_Strategy="Autopilot",Investment_Strategy_Sub1="Non-Standard"),VLOOKUP(Investment_Strategy&amp;"_"&amp;Investment_Strategy_Sub2&amp;"_"&amp;$A268,'Investment Strategies'!$T:$AF,13,FALSE),
IF(Investment_Strategy="DIY",DIY_ExtManChrge_SP,
"Error"))))))</f>
        <v>0</v>
      </c>
      <c r="O268" s="16">
        <f t="shared" si="141"/>
        <v>0</v>
      </c>
      <c r="Q268" s="16">
        <f t="shared" si="115"/>
        <v>0</v>
      </c>
      <c r="R268" s="16">
        <f t="shared" si="116"/>
        <v>0</v>
      </c>
      <c r="S268" s="16">
        <f>(SRP_SP+SUM(S$91:S267))*L268*IF(D268=$A$91,SRP_finalmonthfactor,1)</f>
        <v>0</v>
      </c>
      <c r="T268" s="74">
        <f>MIN(IF($AV268=0,0,
IF(Investment_Strategy="DIS",VLOOKUP(Investment_Strategy&amp;"_"&amp;Investment_Strategy_Sub1&amp;"_"&amp;$A268,'Investment Strategies'!$AZ:$BP,12,FALSE),
IF(AND(Investment_Strategy="Lifecycle",Investment_Strategy_Sub1="Non-Standard"),VLOOKUP(Investment_Strategy&amp;"_"&amp;Investment_Strategy_Sub2&amp;"_"&amp;$A268,'Investment Strategies'!$C:$P,9,FALSE),
IF(AND(Investment_Strategy="Lifecycle",Investment_Strategy_Sub1="Standard"),VLOOKUP(Investment_Strategy&amp;"_"&amp;Investment_Strategy_Sub2&amp;"_"&amp;$A268,'Investment Strategies'!$AJ:$AV,8,FALSE),
IF(AND(Investment_Strategy="Autopilot",Investment_Strategy_Sub1="Non-Standard"),VLOOKUP(Investment_Strategy&amp;"_"&amp;Investment_Strategy_Sub2&amp;"_"&amp;$A268,'Investment Strategies'!$T:$AF,8,FALSE),
IF(Investment_Strategy ="DIY",DIY_RateOfReturn_FuturePremiums,
"Error")))))),Max_InvReturn)</f>
        <v>0</v>
      </c>
      <c r="U268" s="62">
        <f>IF($AV268=0,0,
IF(Investment_Strategy="DIS",VLOOKUP(Investment_Strategy&amp;"_"&amp;Investment_Strategy_Sub1&amp;"_"&amp;$A268,'Investment Strategies'!$AZ:$BP,15,FALSE),
IF(AND(Investment_Strategy="Lifecycle",Investment_Strategy_Sub1="Non-Standard"),VLOOKUP(Investment_Strategy&amp;"_"&amp;Investment_Strategy_Sub2&amp;"_"&amp;$A268,'Investment Strategies'!$C:$P,12,FALSE),
IF(AND(Investment_Strategy="Lifecycle",Investment_Strategy_Sub1="Standard"),VLOOKUP(Investment_Strategy&amp;"_"&amp;Investment_Strategy_Sub2&amp;"_"&amp;$A268,'Investment Strategies'!$AJ:$AV,11,FALSE),
IF(AND(Investment_Strategy="Autopilot",Investment_Strategy_Sub1="Non-Standard"),VLOOKUP(Investment_Strategy&amp;"_"&amp;Investment_Strategy_Sub2&amp;"_"&amp;$A268,'Investment Strategies'!$T:$AF,11,FALSE),
IF(Investment_Strategy="DIY",DIY_GteeChrge_FuturePremiums,
"Error"))))))</f>
        <v>0</v>
      </c>
      <c r="V268" s="33">
        <f>IF(AV268=0,0,
IF(Investment_Strategy="DIS",VLOOKUP(Investment_Strategy&amp;"_"&amp;Investment_Strategy_Sub1&amp;"_"&amp;$A268,'Investment Strategies'!$AZ:$BP,17,FALSE),
IF(AND(Investment_Strategy="Lifecycle",Investment_Strategy_Sub1="Non-Standard"),VLOOKUP(Investment_Strategy&amp;"_"&amp;Investment_Strategy_Sub2&amp;"_"&amp;$A268,'Investment Strategies'!$C:$P,14,FALSE),
IF(AND(Investment_Strategy="Lifecycle",Investment_Strategy_Sub1="Standard"),VLOOKUP(Investment_Strategy&amp;"_"&amp;Investment_Strategy_Sub2&amp;"_"&amp;$A268,'Investment Strategies'!$AJ:$AV,13,FALSE),
IF(AND(Investment_Strategy="Autopilot",Investment_Strategy_Sub1="Non-Standard"),VLOOKUP(Investment_Strategy&amp;"_"&amp;Investment_Strategy_Sub2&amp;"_"&amp;$A268,'Investment Strategies'!$T:$AF,13,FALSE),
IF(Investment_Strategy="DIY",DIY_ExtManChrge_FuturePremiums,
"Error"))))))</f>
        <v>0</v>
      </c>
      <c r="W268" s="16">
        <f t="shared" si="142"/>
        <v>0</v>
      </c>
      <c r="X268" s="16">
        <f t="shared" si="117"/>
        <v>0</v>
      </c>
      <c r="Y268" s="16">
        <f t="shared" si="118"/>
        <v>0</v>
      </c>
      <c r="Z268" s="31">
        <f t="shared" si="119"/>
        <v>0.02</v>
      </c>
      <c r="AA268" s="16">
        <f t="shared" si="120"/>
        <v>0</v>
      </c>
      <c r="AB268" s="28">
        <f t="shared" si="144"/>
        <v>0</v>
      </c>
      <c r="AC268" s="28">
        <f>(SUM($AC$91:AC267)+SUM($X$91:X267)+X268)*T268*IF(D268=$A$91,SRP_finalmonthfactor,1)</f>
        <v>0</v>
      </c>
      <c r="AD268" s="16">
        <f t="shared" si="121"/>
        <v>0</v>
      </c>
      <c r="AE268" s="106"/>
      <c r="AF268" s="16">
        <f t="shared" si="130"/>
        <v>0</v>
      </c>
      <c r="AG268" s="16">
        <f t="shared" si="131"/>
        <v>0</v>
      </c>
      <c r="AH268" s="16">
        <f t="shared" si="132"/>
        <v>0</v>
      </c>
      <c r="AJ268" s="13">
        <f t="shared" si="156"/>
        <v>0</v>
      </c>
      <c r="AK268" s="13">
        <f t="shared" si="156"/>
        <v>0</v>
      </c>
      <c r="AL268" s="13">
        <f t="shared" si="156"/>
        <v>0</v>
      </c>
      <c r="AM268" s="13">
        <f t="shared" si="156"/>
        <v>0</v>
      </c>
      <c r="AN268" s="13">
        <f t="shared" si="156"/>
        <v>0</v>
      </c>
      <c r="AO268" s="13">
        <f t="shared" si="156"/>
        <v>1</v>
      </c>
      <c r="AP268" s="13">
        <f t="shared" si="156"/>
        <v>1</v>
      </c>
      <c r="AQ268" s="13">
        <f t="shared" si="156"/>
        <v>1</v>
      </c>
      <c r="AR268" s="13">
        <f t="shared" si="156"/>
        <v>1</v>
      </c>
      <c r="AS268" s="13">
        <f t="shared" si="156"/>
        <v>1</v>
      </c>
      <c r="AT268" s="13">
        <f t="shared" si="156"/>
        <v>1</v>
      </c>
      <c r="AU268" s="13">
        <f t="shared" si="156"/>
        <v>1</v>
      </c>
      <c r="AV268" s="13">
        <f t="shared" si="122"/>
        <v>0</v>
      </c>
      <c r="AW268" s="13">
        <f t="shared" si="123"/>
        <v>1</v>
      </c>
      <c r="AY268" s="17">
        <f t="shared" si="124"/>
        <v>178</v>
      </c>
      <c r="AZ268" s="28">
        <f t="shared" si="133"/>
        <v>0</v>
      </c>
      <c r="BA268" s="13">
        <f t="shared" si="125"/>
        <v>0</v>
      </c>
      <c r="BB268" s="13">
        <f t="shared" si="126"/>
        <v>0</v>
      </c>
      <c r="BC268" s="28">
        <f t="shared" si="134"/>
        <v>0</v>
      </c>
      <c r="BD268" s="28">
        <f t="shared" si="135"/>
        <v>0</v>
      </c>
      <c r="BF268" s="248">
        <f t="shared" si="136"/>
        <v>993869.29442638322</v>
      </c>
      <c r="BG268" s="36">
        <f t="shared" si="145"/>
        <v>0</v>
      </c>
      <c r="BH268" s="36">
        <f t="shared" si="146"/>
        <v>854817.46843794198</v>
      </c>
      <c r="BI268" s="249">
        <f t="shared" si="147"/>
        <v>0</v>
      </c>
      <c r="BJ268" s="246">
        <f t="shared" si="148"/>
        <v>0</v>
      </c>
      <c r="BK268" s="246">
        <f t="shared" si="127"/>
        <v>7.531116566323881E-4</v>
      </c>
      <c r="BL268" s="246">
        <f t="shared" si="149"/>
        <v>0</v>
      </c>
      <c r="BM268" s="246">
        <f t="shared" si="150"/>
        <v>7.531116566323881E-4</v>
      </c>
      <c r="BN268" s="36">
        <f t="shared" si="137"/>
        <v>643.77299977360258</v>
      </c>
      <c r="BO268" s="36">
        <f t="shared" si="151"/>
        <v>0</v>
      </c>
      <c r="BP268" s="36">
        <f t="shared" si="152"/>
        <v>854173.69543816836</v>
      </c>
    </row>
    <row r="269" spans="1:68">
      <c r="A269" s="32">
        <f t="shared" si="138"/>
        <v>-94</v>
      </c>
      <c r="B269" s="32">
        <f t="shared" si="128"/>
        <v>67</v>
      </c>
      <c r="C269" s="32">
        <f t="shared" si="139"/>
        <v>15</v>
      </c>
      <c r="D269" s="32">
        <f t="shared" si="140"/>
        <v>179</v>
      </c>
      <c r="E269" s="74">
        <f>MIN(IF(AV269=0,0,
IF(Investment_Strategy="DIS",VLOOKUP(Investment_Strategy&amp;"_"&amp;Investment_Strategy_Sub1&amp;"_"&amp;$A269,'Investment Strategies'!$AZ:$BP,12,FALSE),
IF(AND(Investment_Strategy="Lifecycle",Investment_Strategy_Sub1="Non-Standard"),VLOOKUP(Investment_Strategy&amp;"_"&amp;Investment_Strategy_Sub2&amp;"_"&amp;$A269,'Investment Strategies'!$C:$P,9,FALSE),
IF(AND(Investment_Strategy="Lifecycle",Investment_Strategy_Sub1="Standard"),VLOOKUP(Investment_Strategy&amp;"_"&amp;Investment_Strategy_Sub2&amp;"_"&amp;$A269,'Investment Strategies'!$AJ:$AV,8,FALSE),
IF(AND(Investment_Strategy="Autopilot",Investment_Strategy_Sub1="Non-Standard"),VLOOKUP(Investment_Strategy&amp;"_"&amp;Investment_Strategy_Sub2&amp;"_"&amp;$A269,'Investment Strategies'!$T:$AF,8,FALSE),
IF(Investment_Strategy ="DIY",DIY_RateOfReturn_CurrentFunds,
"Error")))))),Max_InvReturn)</f>
        <v>0</v>
      </c>
      <c r="F269" s="62">
        <f>IF(AV269=0,0,
IF(Investment_Strategy="DIS",VLOOKUP(Investment_Strategy&amp;"_"&amp;Investment_Strategy_Sub1&amp;"_"&amp;$A269,'Investment Strategies'!$AZ:$BP,15,FALSE),
IF(AND(Investment_Strategy="Lifecycle",Investment_Strategy_Sub1="Non-Standard"),VLOOKUP(Investment_Strategy&amp;"_"&amp;Investment_Strategy_Sub2&amp;"_"&amp;$A269,'Investment Strategies'!$C:$P,12,FALSE),
IF(AND(Investment_Strategy="Lifecycle",Investment_Strategy_Sub1="Standard"),VLOOKUP(Investment_Strategy&amp;"_"&amp;Investment_Strategy_Sub2&amp;"_"&amp;$A269,'Investment Strategies'!$AJ:$AV,11,FALSE),
IF(AND(Investment_Strategy="Autopilot",Investment_Strategy_Sub1="Non-Standard"),VLOOKUP(Investment_Strategy&amp;"_"&amp;Investment_Strategy_Sub2&amp;"_"&amp;$A269,'Investment Strategies'!$T:$AF,11,FALSE),
IF(Investment_Strategy="DIY",DIY_GteeChrge_CurrentFunds,
"Error"))))))</f>
        <v>0</v>
      </c>
      <c r="G269" s="33">
        <f>IF(AV269=0,0,
IF(Investment_Strategy="DIS",VLOOKUP(Investment_Strategy&amp;"_"&amp;Investment_Strategy_Sub1&amp;"_"&amp;$A269,'Investment Strategies'!$AZ:$BP,17,FALSE),
IF(AND(Investment_Strategy="Lifecycle",Investment_Strategy_Sub1="Non-Standard"),VLOOKUP(Investment_Strategy&amp;"_"&amp;Investment_Strategy_Sub2&amp;"_"&amp;$A269,'Investment Strategies'!$C:$P,14,FALSE),
IF(AND(Investment_Strategy="Lifecycle",Investment_Strategy_Sub1="Standard"),VLOOKUP(Investment_Strategy&amp;"_"&amp;Investment_Strategy_Sub2&amp;"_"&amp;$A269,'Investment Strategies'!$AJ:$AV,13,FALSE),
IF(AND(Investment_Strategy="Autopilot",Investment_Strategy_Sub1="Non-Standard"),VLOOKUP(Investment_Strategy&amp;"_"&amp;Investment_Strategy_Sub2&amp;"_"&amp;$A269,'Investment Strategies'!$T:$AF,13,FALSE),
IF(Investment_Strategy="DIY",DIY_ExtManChrge_CurrentFunds,
"Error"))))))</f>
        <v>0</v>
      </c>
      <c r="H269" s="16">
        <f t="shared" si="129"/>
        <v>0</v>
      </c>
      <c r="I269" s="16">
        <f t="shared" si="113"/>
        <v>0</v>
      </c>
      <c r="J269" s="16">
        <f t="shared" si="114"/>
        <v>0</v>
      </c>
      <c r="K269" s="16">
        <f>(Opening_Fund_Value+SUM(K$91:K268))*E269*IF(D269=$A$91,SRP_finalmonthfactor,1)</f>
        <v>0</v>
      </c>
      <c r="L269" s="74">
        <f>MIN(IF($AV269=0,0,
IF(Investment_Strategy="DIS",VLOOKUP(Investment_Strategy&amp;"_"&amp;Investment_Strategy_Sub1&amp;"_"&amp;$A269,'Investment Strategies'!$AZ:$BP,12,FALSE),
IF(AND(Investment_Strategy="Lifecycle",Investment_Strategy_Sub1="Non-Standard"),VLOOKUP(Investment_Strategy&amp;"_"&amp;Investment_Strategy_Sub2&amp;"_"&amp;$A269,'Investment Strategies'!$C:$P,9,FALSE),
IF(AND(Investment_Strategy="Lifecycle",Investment_Strategy_Sub1="Standard"),VLOOKUP(Investment_Strategy&amp;"_"&amp;Investment_Strategy_Sub2&amp;"_"&amp;$A269,'Investment Strategies'!$AJ:$AV,8,FALSE),
IF(AND(Investment_Strategy="Autopilot",Investment_Strategy_Sub1="Non-Standard"),VLOOKUP(Investment_Strategy&amp;"_"&amp;Investment_Strategy_Sub2&amp;"_"&amp;$A269,'Investment Strategies'!$T:$AF,8,FALSE),
IF(Investment_Strategy ="DIY",DIY_RateofReturn_SP,
"Error")))))),Max_InvReturn)</f>
        <v>0</v>
      </c>
      <c r="M269" s="62">
        <f>IF($AV269=0,0,
IF(Investment_Strategy="DIS",VLOOKUP(Investment_Strategy&amp;"_"&amp;Investment_Strategy_Sub1&amp;"_"&amp;$A269,'Investment Strategies'!$AZ:$BP,15,FALSE),
IF(AND(Investment_Strategy="Lifecycle",Investment_Strategy_Sub1="Non-Standard"),VLOOKUP(Investment_Strategy&amp;"_"&amp;Investment_Strategy_Sub2&amp;"_"&amp;$A269,'Investment Strategies'!$C:$P,12,FALSE),
IF(AND(Investment_Strategy="Lifecycle",Investment_Strategy_Sub1="Standard"),VLOOKUP(Investment_Strategy&amp;"_"&amp;Investment_Strategy_Sub2&amp;"_"&amp;$A269,'Investment Strategies'!$AJ:$AV,11,FALSE),
IF(AND(Investment_Strategy="Autopilot",Investment_Strategy_Sub1="Non-Standard"),VLOOKUP(Investment_Strategy&amp;"_"&amp;Investment_Strategy_Sub2&amp;"_"&amp;$A269,'Investment Strategies'!$T:$AF,11,FALSE),
IF(Investment_Strategy="DIY",DIY_GteeChrge_SP,
"Error"))))))</f>
        <v>0</v>
      </c>
      <c r="N269" s="33">
        <f>IF($AV269=0,0,
IF(Investment_Strategy="DIS",VLOOKUP(Investment_Strategy&amp;"_"&amp;Investment_Strategy_Sub1&amp;"_"&amp;$A269,'Investment Strategies'!$AZ:$BP,17,FALSE),
IF(AND(Investment_Strategy="Lifecycle",Investment_Strategy_Sub1="Non-Standard"),VLOOKUP(Investment_Strategy&amp;"_"&amp;Investment_Strategy_Sub2&amp;"_"&amp;$A269,'Investment Strategies'!$C:$P,14,FALSE),
IF(AND(Investment_Strategy="Lifecycle",Investment_Strategy_Sub1="Standard"),VLOOKUP(Investment_Strategy&amp;"_"&amp;Investment_Strategy_Sub2&amp;"_"&amp;$A269,'Investment Strategies'!$AJ:$AV,13,FALSE),
IF(AND(Investment_Strategy="Autopilot",Investment_Strategy_Sub1="Non-Standard"),VLOOKUP(Investment_Strategy&amp;"_"&amp;Investment_Strategy_Sub2&amp;"_"&amp;$A269,'Investment Strategies'!$T:$AF,13,FALSE),
IF(Investment_Strategy="DIY",DIY_ExtManChrge_SP,
"Error"))))))</f>
        <v>0</v>
      </c>
      <c r="O269" s="16">
        <f t="shared" si="141"/>
        <v>0</v>
      </c>
      <c r="Q269" s="16">
        <f t="shared" si="115"/>
        <v>0</v>
      </c>
      <c r="R269" s="16">
        <f t="shared" si="116"/>
        <v>0</v>
      </c>
      <c r="S269" s="16">
        <f>(SRP_SP+SUM(S$91:S268))*L269*IF(D269=$A$91,SRP_finalmonthfactor,1)</f>
        <v>0</v>
      </c>
      <c r="T269" s="74">
        <f>MIN(IF($AV269=0,0,
IF(Investment_Strategy="DIS",VLOOKUP(Investment_Strategy&amp;"_"&amp;Investment_Strategy_Sub1&amp;"_"&amp;$A269,'Investment Strategies'!$AZ:$BP,12,FALSE),
IF(AND(Investment_Strategy="Lifecycle",Investment_Strategy_Sub1="Non-Standard"),VLOOKUP(Investment_Strategy&amp;"_"&amp;Investment_Strategy_Sub2&amp;"_"&amp;$A269,'Investment Strategies'!$C:$P,9,FALSE),
IF(AND(Investment_Strategy="Lifecycle",Investment_Strategy_Sub1="Standard"),VLOOKUP(Investment_Strategy&amp;"_"&amp;Investment_Strategy_Sub2&amp;"_"&amp;$A269,'Investment Strategies'!$AJ:$AV,8,FALSE),
IF(AND(Investment_Strategy="Autopilot",Investment_Strategy_Sub1="Non-Standard"),VLOOKUP(Investment_Strategy&amp;"_"&amp;Investment_Strategy_Sub2&amp;"_"&amp;$A269,'Investment Strategies'!$T:$AF,8,FALSE),
IF(Investment_Strategy ="DIY",DIY_RateOfReturn_FuturePremiums,
"Error")))))),Max_InvReturn)</f>
        <v>0</v>
      </c>
      <c r="U269" s="62">
        <f>IF($AV269=0,0,
IF(Investment_Strategy="DIS",VLOOKUP(Investment_Strategy&amp;"_"&amp;Investment_Strategy_Sub1&amp;"_"&amp;$A269,'Investment Strategies'!$AZ:$BP,15,FALSE),
IF(AND(Investment_Strategy="Lifecycle",Investment_Strategy_Sub1="Non-Standard"),VLOOKUP(Investment_Strategy&amp;"_"&amp;Investment_Strategy_Sub2&amp;"_"&amp;$A269,'Investment Strategies'!$C:$P,12,FALSE),
IF(AND(Investment_Strategy="Lifecycle",Investment_Strategy_Sub1="Standard"),VLOOKUP(Investment_Strategy&amp;"_"&amp;Investment_Strategy_Sub2&amp;"_"&amp;$A269,'Investment Strategies'!$AJ:$AV,11,FALSE),
IF(AND(Investment_Strategy="Autopilot",Investment_Strategy_Sub1="Non-Standard"),VLOOKUP(Investment_Strategy&amp;"_"&amp;Investment_Strategy_Sub2&amp;"_"&amp;$A269,'Investment Strategies'!$T:$AF,11,FALSE),
IF(Investment_Strategy="DIY",DIY_GteeChrge_FuturePremiums,
"Error"))))))</f>
        <v>0</v>
      </c>
      <c r="V269" s="33">
        <f>IF(AV269=0,0,
IF(Investment_Strategy="DIS",VLOOKUP(Investment_Strategy&amp;"_"&amp;Investment_Strategy_Sub1&amp;"_"&amp;$A269,'Investment Strategies'!$AZ:$BP,17,FALSE),
IF(AND(Investment_Strategy="Lifecycle",Investment_Strategy_Sub1="Non-Standard"),VLOOKUP(Investment_Strategy&amp;"_"&amp;Investment_Strategy_Sub2&amp;"_"&amp;$A269,'Investment Strategies'!$C:$P,14,FALSE),
IF(AND(Investment_Strategy="Lifecycle",Investment_Strategy_Sub1="Standard"),VLOOKUP(Investment_Strategy&amp;"_"&amp;Investment_Strategy_Sub2&amp;"_"&amp;$A269,'Investment Strategies'!$AJ:$AV,13,FALSE),
IF(AND(Investment_Strategy="Autopilot",Investment_Strategy_Sub1="Non-Standard"),VLOOKUP(Investment_Strategy&amp;"_"&amp;Investment_Strategy_Sub2&amp;"_"&amp;$A269,'Investment Strategies'!$T:$AF,13,FALSE),
IF(Investment_Strategy="DIY",DIY_ExtManChrge_FuturePremiums,
"Error"))))))</f>
        <v>0</v>
      </c>
      <c r="W269" s="16">
        <f t="shared" si="142"/>
        <v>0</v>
      </c>
      <c r="X269" s="16">
        <f t="shared" si="117"/>
        <v>0</v>
      </c>
      <c r="Y269" s="16">
        <f t="shared" si="118"/>
        <v>0</v>
      </c>
      <c r="Z269" s="31">
        <f t="shared" si="119"/>
        <v>0.02</v>
      </c>
      <c r="AA269" s="16">
        <f t="shared" si="120"/>
        <v>0</v>
      </c>
      <c r="AB269" s="28">
        <f t="shared" si="144"/>
        <v>0</v>
      </c>
      <c r="AC269" s="28">
        <f>(SUM($AC$91:AC268)+SUM($X$91:X268)+X269)*T269*IF(D269=$A$91,SRP_finalmonthfactor,1)</f>
        <v>0</v>
      </c>
      <c r="AD269" s="16">
        <f t="shared" si="121"/>
        <v>0</v>
      </c>
      <c r="AE269" s="106"/>
      <c r="AF269" s="16">
        <f t="shared" si="130"/>
        <v>0</v>
      </c>
      <c r="AG269" s="16">
        <f t="shared" si="131"/>
        <v>0</v>
      </c>
      <c r="AH269" s="16">
        <f t="shared" si="132"/>
        <v>0</v>
      </c>
      <c r="AJ269" s="13">
        <f t="shared" si="156"/>
        <v>0</v>
      </c>
      <c r="AK269" s="13">
        <f t="shared" si="156"/>
        <v>0</v>
      </c>
      <c r="AL269" s="13">
        <f t="shared" si="156"/>
        <v>0</v>
      </c>
      <c r="AM269" s="13">
        <f t="shared" si="156"/>
        <v>0</v>
      </c>
      <c r="AN269" s="13">
        <f t="shared" si="156"/>
        <v>0</v>
      </c>
      <c r="AO269" s="13">
        <f t="shared" si="156"/>
        <v>1</v>
      </c>
      <c r="AP269" s="13">
        <f t="shared" si="156"/>
        <v>1</v>
      </c>
      <c r="AQ269" s="13">
        <f t="shared" si="156"/>
        <v>1</v>
      </c>
      <c r="AR269" s="13">
        <f t="shared" si="156"/>
        <v>1</v>
      </c>
      <c r="AS269" s="13">
        <f t="shared" si="156"/>
        <v>1</v>
      </c>
      <c r="AT269" s="13">
        <f t="shared" si="156"/>
        <v>1</v>
      </c>
      <c r="AU269" s="13">
        <f t="shared" si="156"/>
        <v>1</v>
      </c>
      <c r="AV269" s="13">
        <f t="shared" si="122"/>
        <v>0</v>
      </c>
      <c r="AW269" s="13">
        <f t="shared" si="123"/>
        <v>1</v>
      </c>
      <c r="AY269" s="17">
        <f t="shared" si="124"/>
        <v>179</v>
      </c>
      <c r="AZ269" s="28">
        <f t="shared" si="133"/>
        <v>0</v>
      </c>
      <c r="BA269" s="13">
        <f t="shared" si="125"/>
        <v>0</v>
      </c>
      <c r="BB269" s="13">
        <f t="shared" si="126"/>
        <v>0</v>
      </c>
      <c r="BC269" s="28">
        <f t="shared" si="134"/>
        <v>0</v>
      </c>
      <c r="BD269" s="28">
        <f t="shared" si="135"/>
        <v>0</v>
      </c>
      <c r="BF269" s="248">
        <f t="shared" si="136"/>
        <v>993869.29442638322</v>
      </c>
      <c r="BG269" s="36">
        <f t="shared" si="145"/>
        <v>0</v>
      </c>
      <c r="BH269" s="36">
        <f t="shared" si="146"/>
        <v>854173.69543816836</v>
      </c>
      <c r="BI269" s="249">
        <f t="shared" si="147"/>
        <v>0</v>
      </c>
      <c r="BJ269" s="246">
        <f t="shared" si="148"/>
        <v>0</v>
      </c>
      <c r="BK269" s="246">
        <f t="shared" si="127"/>
        <v>7.531116566323881E-4</v>
      </c>
      <c r="BL269" s="246">
        <f t="shared" si="149"/>
        <v>0</v>
      </c>
      <c r="BM269" s="246">
        <f t="shared" si="150"/>
        <v>7.531116566323881E-4</v>
      </c>
      <c r="BN269" s="36">
        <f t="shared" si="137"/>
        <v>643.28816682324793</v>
      </c>
      <c r="BO269" s="36">
        <f t="shared" si="151"/>
        <v>0</v>
      </c>
      <c r="BP269" s="36">
        <f t="shared" si="152"/>
        <v>853530.40727134515</v>
      </c>
    </row>
    <row r="270" spans="1:68">
      <c r="A270" s="32">
        <f t="shared" si="138"/>
        <v>-95</v>
      </c>
      <c r="B270" s="32">
        <f t="shared" si="128"/>
        <v>67</v>
      </c>
      <c r="C270" s="32">
        <f t="shared" si="139"/>
        <v>15</v>
      </c>
      <c r="D270" s="32">
        <f t="shared" si="140"/>
        <v>180</v>
      </c>
      <c r="E270" s="74">
        <f>MIN(IF(AV270=0,0,
IF(Investment_Strategy="DIS",VLOOKUP(Investment_Strategy&amp;"_"&amp;Investment_Strategy_Sub1&amp;"_"&amp;$A270,'Investment Strategies'!$AZ:$BP,12,FALSE),
IF(AND(Investment_Strategy="Lifecycle",Investment_Strategy_Sub1="Non-Standard"),VLOOKUP(Investment_Strategy&amp;"_"&amp;Investment_Strategy_Sub2&amp;"_"&amp;$A270,'Investment Strategies'!$C:$P,9,FALSE),
IF(AND(Investment_Strategy="Lifecycle",Investment_Strategy_Sub1="Standard"),VLOOKUP(Investment_Strategy&amp;"_"&amp;Investment_Strategy_Sub2&amp;"_"&amp;$A270,'Investment Strategies'!$AJ:$AV,8,FALSE),
IF(AND(Investment_Strategy="Autopilot",Investment_Strategy_Sub1="Non-Standard"),VLOOKUP(Investment_Strategy&amp;"_"&amp;Investment_Strategy_Sub2&amp;"_"&amp;$A270,'Investment Strategies'!$T:$AF,8,FALSE),
IF(Investment_Strategy ="DIY",DIY_RateOfReturn_CurrentFunds,
"Error")))))),Max_InvReturn)</f>
        <v>0</v>
      </c>
      <c r="F270" s="62">
        <f>IF(AV270=0,0,
IF(Investment_Strategy="DIS",VLOOKUP(Investment_Strategy&amp;"_"&amp;Investment_Strategy_Sub1&amp;"_"&amp;$A270,'Investment Strategies'!$AZ:$BP,15,FALSE),
IF(AND(Investment_Strategy="Lifecycle",Investment_Strategy_Sub1="Non-Standard"),VLOOKUP(Investment_Strategy&amp;"_"&amp;Investment_Strategy_Sub2&amp;"_"&amp;$A270,'Investment Strategies'!$C:$P,12,FALSE),
IF(AND(Investment_Strategy="Lifecycle",Investment_Strategy_Sub1="Standard"),VLOOKUP(Investment_Strategy&amp;"_"&amp;Investment_Strategy_Sub2&amp;"_"&amp;$A270,'Investment Strategies'!$AJ:$AV,11,FALSE),
IF(AND(Investment_Strategy="Autopilot",Investment_Strategy_Sub1="Non-Standard"),VLOOKUP(Investment_Strategy&amp;"_"&amp;Investment_Strategy_Sub2&amp;"_"&amp;$A270,'Investment Strategies'!$T:$AF,11,FALSE),
IF(Investment_Strategy="DIY",DIY_GteeChrge_CurrentFunds,
"Error"))))))</f>
        <v>0</v>
      </c>
      <c r="G270" s="33">
        <f>IF(AV270=0,0,
IF(Investment_Strategy="DIS",VLOOKUP(Investment_Strategy&amp;"_"&amp;Investment_Strategy_Sub1&amp;"_"&amp;$A270,'Investment Strategies'!$AZ:$BP,17,FALSE),
IF(AND(Investment_Strategy="Lifecycle",Investment_Strategy_Sub1="Non-Standard"),VLOOKUP(Investment_Strategy&amp;"_"&amp;Investment_Strategy_Sub2&amp;"_"&amp;$A270,'Investment Strategies'!$C:$P,14,FALSE),
IF(AND(Investment_Strategy="Lifecycle",Investment_Strategy_Sub1="Standard"),VLOOKUP(Investment_Strategy&amp;"_"&amp;Investment_Strategy_Sub2&amp;"_"&amp;$A270,'Investment Strategies'!$AJ:$AV,13,FALSE),
IF(AND(Investment_Strategy="Autopilot",Investment_Strategy_Sub1="Non-Standard"),VLOOKUP(Investment_Strategy&amp;"_"&amp;Investment_Strategy_Sub2&amp;"_"&amp;$A270,'Investment Strategies'!$T:$AF,13,FALSE),
IF(Investment_Strategy="DIY",DIY_ExtManChrge_CurrentFunds,
"Error"))))))</f>
        <v>0</v>
      </c>
      <c r="H270" s="16">
        <f t="shared" si="129"/>
        <v>0</v>
      </c>
      <c r="I270" s="16">
        <f t="shared" si="113"/>
        <v>0</v>
      </c>
      <c r="J270" s="16">
        <f t="shared" si="114"/>
        <v>0</v>
      </c>
      <c r="K270" s="16">
        <f>(Opening_Fund_Value+SUM(K$91:K269))*E270*IF(D270=$A$91,SRP_finalmonthfactor,1)</f>
        <v>0</v>
      </c>
      <c r="L270" s="74">
        <f>MIN(IF($AV270=0,0,
IF(Investment_Strategy="DIS",VLOOKUP(Investment_Strategy&amp;"_"&amp;Investment_Strategy_Sub1&amp;"_"&amp;$A270,'Investment Strategies'!$AZ:$BP,12,FALSE),
IF(AND(Investment_Strategy="Lifecycle",Investment_Strategy_Sub1="Non-Standard"),VLOOKUP(Investment_Strategy&amp;"_"&amp;Investment_Strategy_Sub2&amp;"_"&amp;$A270,'Investment Strategies'!$C:$P,9,FALSE),
IF(AND(Investment_Strategy="Lifecycle",Investment_Strategy_Sub1="Standard"),VLOOKUP(Investment_Strategy&amp;"_"&amp;Investment_Strategy_Sub2&amp;"_"&amp;$A270,'Investment Strategies'!$AJ:$AV,8,FALSE),
IF(AND(Investment_Strategy="Autopilot",Investment_Strategy_Sub1="Non-Standard"),VLOOKUP(Investment_Strategy&amp;"_"&amp;Investment_Strategy_Sub2&amp;"_"&amp;$A270,'Investment Strategies'!$T:$AF,8,FALSE),
IF(Investment_Strategy ="DIY",DIY_RateofReturn_SP,
"Error")))))),Max_InvReturn)</f>
        <v>0</v>
      </c>
      <c r="M270" s="62">
        <f>IF($AV270=0,0,
IF(Investment_Strategy="DIS",VLOOKUP(Investment_Strategy&amp;"_"&amp;Investment_Strategy_Sub1&amp;"_"&amp;$A270,'Investment Strategies'!$AZ:$BP,15,FALSE),
IF(AND(Investment_Strategy="Lifecycle",Investment_Strategy_Sub1="Non-Standard"),VLOOKUP(Investment_Strategy&amp;"_"&amp;Investment_Strategy_Sub2&amp;"_"&amp;$A270,'Investment Strategies'!$C:$P,12,FALSE),
IF(AND(Investment_Strategy="Lifecycle",Investment_Strategy_Sub1="Standard"),VLOOKUP(Investment_Strategy&amp;"_"&amp;Investment_Strategy_Sub2&amp;"_"&amp;$A270,'Investment Strategies'!$AJ:$AV,11,FALSE),
IF(AND(Investment_Strategy="Autopilot",Investment_Strategy_Sub1="Non-Standard"),VLOOKUP(Investment_Strategy&amp;"_"&amp;Investment_Strategy_Sub2&amp;"_"&amp;$A270,'Investment Strategies'!$T:$AF,11,FALSE),
IF(Investment_Strategy="DIY",DIY_GteeChrge_SP,
"Error"))))))</f>
        <v>0</v>
      </c>
      <c r="N270" s="33">
        <f>IF($AV270=0,0,
IF(Investment_Strategy="DIS",VLOOKUP(Investment_Strategy&amp;"_"&amp;Investment_Strategy_Sub1&amp;"_"&amp;$A270,'Investment Strategies'!$AZ:$BP,17,FALSE),
IF(AND(Investment_Strategy="Lifecycle",Investment_Strategy_Sub1="Non-Standard"),VLOOKUP(Investment_Strategy&amp;"_"&amp;Investment_Strategy_Sub2&amp;"_"&amp;$A270,'Investment Strategies'!$C:$P,14,FALSE),
IF(AND(Investment_Strategy="Lifecycle",Investment_Strategy_Sub1="Standard"),VLOOKUP(Investment_Strategy&amp;"_"&amp;Investment_Strategy_Sub2&amp;"_"&amp;$A270,'Investment Strategies'!$AJ:$AV,13,FALSE),
IF(AND(Investment_Strategy="Autopilot",Investment_Strategy_Sub1="Non-Standard"),VLOOKUP(Investment_Strategy&amp;"_"&amp;Investment_Strategy_Sub2&amp;"_"&amp;$A270,'Investment Strategies'!$T:$AF,13,FALSE),
IF(Investment_Strategy="DIY",DIY_ExtManChrge_SP,
"Error"))))))</f>
        <v>0</v>
      </c>
      <c r="O270" s="16">
        <f t="shared" si="141"/>
        <v>0</v>
      </c>
      <c r="Q270" s="16">
        <f t="shared" si="115"/>
        <v>0</v>
      </c>
      <c r="R270" s="16">
        <f t="shared" si="116"/>
        <v>0</v>
      </c>
      <c r="S270" s="16">
        <f>(SRP_SP+SUM(S$91:S269))*L270*IF(D270=$A$91,SRP_finalmonthfactor,1)</f>
        <v>0</v>
      </c>
      <c r="T270" s="74">
        <f>MIN(IF($AV270=0,0,
IF(Investment_Strategy="DIS",VLOOKUP(Investment_Strategy&amp;"_"&amp;Investment_Strategy_Sub1&amp;"_"&amp;$A270,'Investment Strategies'!$AZ:$BP,12,FALSE),
IF(AND(Investment_Strategy="Lifecycle",Investment_Strategy_Sub1="Non-Standard"),VLOOKUP(Investment_Strategy&amp;"_"&amp;Investment_Strategy_Sub2&amp;"_"&amp;$A270,'Investment Strategies'!$C:$P,9,FALSE),
IF(AND(Investment_Strategy="Lifecycle",Investment_Strategy_Sub1="Standard"),VLOOKUP(Investment_Strategy&amp;"_"&amp;Investment_Strategy_Sub2&amp;"_"&amp;$A270,'Investment Strategies'!$AJ:$AV,8,FALSE),
IF(AND(Investment_Strategy="Autopilot",Investment_Strategy_Sub1="Non-Standard"),VLOOKUP(Investment_Strategy&amp;"_"&amp;Investment_Strategy_Sub2&amp;"_"&amp;$A270,'Investment Strategies'!$T:$AF,8,FALSE),
IF(Investment_Strategy ="DIY",DIY_RateOfReturn_FuturePremiums,
"Error")))))),Max_InvReturn)</f>
        <v>0</v>
      </c>
      <c r="U270" s="62">
        <f>IF($AV270=0,0,
IF(Investment_Strategy="DIS",VLOOKUP(Investment_Strategy&amp;"_"&amp;Investment_Strategy_Sub1&amp;"_"&amp;$A270,'Investment Strategies'!$AZ:$BP,15,FALSE),
IF(AND(Investment_Strategy="Lifecycle",Investment_Strategy_Sub1="Non-Standard"),VLOOKUP(Investment_Strategy&amp;"_"&amp;Investment_Strategy_Sub2&amp;"_"&amp;$A270,'Investment Strategies'!$C:$P,12,FALSE),
IF(AND(Investment_Strategy="Lifecycle",Investment_Strategy_Sub1="Standard"),VLOOKUP(Investment_Strategy&amp;"_"&amp;Investment_Strategy_Sub2&amp;"_"&amp;$A270,'Investment Strategies'!$AJ:$AV,11,FALSE),
IF(AND(Investment_Strategy="Autopilot",Investment_Strategy_Sub1="Non-Standard"),VLOOKUP(Investment_Strategy&amp;"_"&amp;Investment_Strategy_Sub2&amp;"_"&amp;$A270,'Investment Strategies'!$T:$AF,11,FALSE),
IF(Investment_Strategy="DIY",DIY_GteeChrge_FuturePremiums,
"Error"))))))</f>
        <v>0</v>
      </c>
      <c r="V270" s="33">
        <f>IF(AV270=0,0,
IF(Investment_Strategy="DIS",VLOOKUP(Investment_Strategy&amp;"_"&amp;Investment_Strategy_Sub1&amp;"_"&amp;$A270,'Investment Strategies'!$AZ:$BP,17,FALSE),
IF(AND(Investment_Strategy="Lifecycle",Investment_Strategy_Sub1="Non-Standard"),VLOOKUP(Investment_Strategy&amp;"_"&amp;Investment_Strategy_Sub2&amp;"_"&amp;$A270,'Investment Strategies'!$C:$P,14,FALSE),
IF(AND(Investment_Strategy="Lifecycle",Investment_Strategy_Sub1="Standard"),VLOOKUP(Investment_Strategy&amp;"_"&amp;Investment_Strategy_Sub2&amp;"_"&amp;$A270,'Investment Strategies'!$AJ:$AV,13,FALSE),
IF(AND(Investment_Strategy="Autopilot",Investment_Strategy_Sub1="Non-Standard"),VLOOKUP(Investment_Strategy&amp;"_"&amp;Investment_Strategy_Sub2&amp;"_"&amp;$A270,'Investment Strategies'!$T:$AF,13,FALSE),
IF(Investment_Strategy="DIY",DIY_ExtManChrge_FuturePremiums,
"Error"))))))</f>
        <v>0</v>
      </c>
      <c r="W270" s="16">
        <f t="shared" si="142"/>
        <v>0</v>
      </c>
      <c r="X270" s="16">
        <f t="shared" si="117"/>
        <v>0</v>
      </c>
      <c r="Y270" s="16">
        <f t="shared" si="118"/>
        <v>0</v>
      </c>
      <c r="Z270" s="31">
        <f t="shared" si="119"/>
        <v>0.02</v>
      </c>
      <c r="AA270" s="16">
        <f t="shared" si="120"/>
        <v>0</v>
      </c>
      <c r="AB270" s="28">
        <f t="shared" si="144"/>
        <v>0</v>
      </c>
      <c r="AC270" s="28">
        <f>(SUM($AC$91:AC269)+SUM($X$91:X269)+X270)*T270*IF(D270=$A$91,SRP_finalmonthfactor,1)</f>
        <v>0</v>
      </c>
      <c r="AD270" s="16">
        <f t="shared" si="121"/>
        <v>0</v>
      </c>
      <c r="AE270" s="106"/>
      <c r="AF270" s="16">
        <f t="shared" si="130"/>
        <v>0</v>
      </c>
      <c r="AG270" s="16">
        <f t="shared" si="131"/>
        <v>0</v>
      </c>
      <c r="AH270" s="16">
        <f t="shared" si="132"/>
        <v>0</v>
      </c>
      <c r="AJ270" s="13">
        <f t="shared" si="156"/>
        <v>0</v>
      </c>
      <c r="AK270" s="13">
        <f t="shared" si="156"/>
        <v>0</v>
      </c>
      <c r="AL270" s="13">
        <f t="shared" si="156"/>
        <v>0</v>
      </c>
      <c r="AM270" s="13">
        <f t="shared" si="156"/>
        <v>0</v>
      </c>
      <c r="AN270" s="13">
        <f t="shared" si="156"/>
        <v>0</v>
      </c>
      <c r="AO270" s="13">
        <f t="shared" si="156"/>
        <v>1</v>
      </c>
      <c r="AP270" s="13">
        <f t="shared" si="156"/>
        <v>1</v>
      </c>
      <c r="AQ270" s="13">
        <f t="shared" si="156"/>
        <v>1</v>
      </c>
      <c r="AR270" s="13">
        <f t="shared" si="156"/>
        <v>1</v>
      </c>
      <c r="AS270" s="13">
        <f t="shared" si="156"/>
        <v>1</v>
      </c>
      <c r="AT270" s="13">
        <f t="shared" si="156"/>
        <v>1</v>
      </c>
      <c r="AU270" s="13">
        <f t="shared" si="156"/>
        <v>1</v>
      </c>
      <c r="AV270" s="13">
        <f t="shared" si="122"/>
        <v>0</v>
      </c>
      <c r="AW270" s="13">
        <f t="shared" si="123"/>
        <v>1</v>
      </c>
      <c r="AY270" s="17">
        <f t="shared" si="124"/>
        <v>180</v>
      </c>
      <c r="AZ270" s="28">
        <f t="shared" si="133"/>
        <v>0</v>
      </c>
      <c r="BA270" s="13">
        <f t="shared" si="125"/>
        <v>0</v>
      </c>
      <c r="BB270" s="13">
        <f t="shared" si="126"/>
        <v>0</v>
      </c>
      <c r="BC270" s="28">
        <f t="shared" si="134"/>
        <v>0</v>
      </c>
      <c r="BD270" s="28">
        <f t="shared" si="135"/>
        <v>0</v>
      </c>
      <c r="BF270" s="248">
        <f t="shared" si="136"/>
        <v>993869.29442638322</v>
      </c>
      <c r="BG270" s="36">
        <f t="shared" si="145"/>
        <v>0</v>
      </c>
      <c r="BH270" s="36">
        <f t="shared" si="146"/>
        <v>853530.40727134515</v>
      </c>
      <c r="BI270" s="249">
        <f t="shared" si="147"/>
        <v>0</v>
      </c>
      <c r="BJ270" s="246">
        <f t="shared" si="148"/>
        <v>0</v>
      </c>
      <c r="BK270" s="246">
        <f t="shared" si="127"/>
        <v>7.531116566323881E-4</v>
      </c>
      <c r="BL270" s="246">
        <f t="shared" si="149"/>
        <v>0</v>
      </c>
      <c r="BM270" s="246">
        <f t="shared" si="150"/>
        <v>7.531116566323881E-4</v>
      </c>
      <c r="BN270" s="36">
        <f t="shared" si="137"/>
        <v>642.80369900623964</v>
      </c>
      <c r="BO270" s="36">
        <f t="shared" si="151"/>
        <v>0</v>
      </c>
      <c r="BP270" s="36">
        <f t="shared" si="152"/>
        <v>852887.60357233894</v>
      </c>
    </row>
    <row r="271" spans="1:68">
      <c r="A271" s="32">
        <f t="shared" si="138"/>
        <v>-96</v>
      </c>
      <c r="B271" s="32">
        <f t="shared" si="128"/>
        <v>68</v>
      </c>
      <c r="C271" s="32">
        <f t="shared" si="139"/>
        <v>16</v>
      </c>
      <c r="D271" s="32">
        <f t="shared" si="140"/>
        <v>181</v>
      </c>
      <c r="E271" s="74">
        <f>MIN(IF(AV271=0,0,
IF(Investment_Strategy="DIS",VLOOKUP(Investment_Strategy&amp;"_"&amp;Investment_Strategy_Sub1&amp;"_"&amp;$A271,'Investment Strategies'!$AZ:$BP,12,FALSE),
IF(AND(Investment_Strategy="Lifecycle",Investment_Strategy_Sub1="Non-Standard"),VLOOKUP(Investment_Strategy&amp;"_"&amp;Investment_Strategy_Sub2&amp;"_"&amp;$A271,'Investment Strategies'!$C:$P,9,FALSE),
IF(AND(Investment_Strategy="Lifecycle",Investment_Strategy_Sub1="Standard"),VLOOKUP(Investment_Strategy&amp;"_"&amp;Investment_Strategy_Sub2&amp;"_"&amp;$A271,'Investment Strategies'!$AJ:$AV,8,FALSE),
IF(AND(Investment_Strategy="Autopilot",Investment_Strategy_Sub1="Non-Standard"),VLOOKUP(Investment_Strategy&amp;"_"&amp;Investment_Strategy_Sub2&amp;"_"&amp;$A271,'Investment Strategies'!$T:$AF,8,FALSE),
IF(Investment_Strategy ="DIY",DIY_RateOfReturn_CurrentFunds,
"Error")))))),Max_InvReturn)</f>
        <v>0</v>
      </c>
      <c r="F271" s="62">
        <f>IF(AV271=0,0,
IF(Investment_Strategy="DIS",VLOOKUP(Investment_Strategy&amp;"_"&amp;Investment_Strategy_Sub1&amp;"_"&amp;$A271,'Investment Strategies'!$AZ:$BP,15,FALSE),
IF(AND(Investment_Strategy="Lifecycle",Investment_Strategy_Sub1="Non-Standard"),VLOOKUP(Investment_Strategy&amp;"_"&amp;Investment_Strategy_Sub2&amp;"_"&amp;$A271,'Investment Strategies'!$C:$P,12,FALSE),
IF(AND(Investment_Strategy="Lifecycle",Investment_Strategy_Sub1="Standard"),VLOOKUP(Investment_Strategy&amp;"_"&amp;Investment_Strategy_Sub2&amp;"_"&amp;$A271,'Investment Strategies'!$AJ:$AV,11,FALSE),
IF(AND(Investment_Strategy="Autopilot",Investment_Strategy_Sub1="Non-Standard"),VLOOKUP(Investment_Strategy&amp;"_"&amp;Investment_Strategy_Sub2&amp;"_"&amp;$A271,'Investment Strategies'!$T:$AF,11,FALSE),
IF(Investment_Strategy="DIY",DIY_GteeChrge_CurrentFunds,
"Error"))))))</f>
        <v>0</v>
      </c>
      <c r="G271" s="33">
        <f>IF(AV271=0,0,
IF(Investment_Strategy="DIS",VLOOKUP(Investment_Strategy&amp;"_"&amp;Investment_Strategy_Sub1&amp;"_"&amp;$A271,'Investment Strategies'!$AZ:$BP,17,FALSE),
IF(AND(Investment_Strategy="Lifecycle",Investment_Strategy_Sub1="Non-Standard"),VLOOKUP(Investment_Strategy&amp;"_"&amp;Investment_Strategy_Sub2&amp;"_"&amp;$A271,'Investment Strategies'!$C:$P,14,FALSE),
IF(AND(Investment_Strategy="Lifecycle",Investment_Strategy_Sub1="Standard"),VLOOKUP(Investment_Strategy&amp;"_"&amp;Investment_Strategy_Sub2&amp;"_"&amp;$A271,'Investment Strategies'!$AJ:$AV,13,FALSE),
IF(AND(Investment_Strategy="Autopilot",Investment_Strategy_Sub1="Non-Standard"),VLOOKUP(Investment_Strategy&amp;"_"&amp;Investment_Strategy_Sub2&amp;"_"&amp;$A271,'Investment Strategies'!$T:$AF,13,FALSE),
IF(Investment_Strategy="DIY",DIY_ExtManChrge_CurrentFunds,
"Error"))))))</f>
        <v>0</v>
      </c>
      <c r="H271" s="16">
        <f t="shared" si="129"/>
        <v>0</v>
      </c>
      <c r="I271" s="16">
        <f t="shared" si="113"/>
        <v>0</v>
      </c>
      <c r="J271" s="16">
        <f t="shared" si="114"/>
        <v>0</v>
      </c>
      <c r="K271" s="16">
        <f>(Opening_Fund_Value+SUM(K$91:K270))*E271*IF(D271=$A$91,SRP_finalmonthfactor,1)</f>
        <v>0</v>
      </c>
      <c r="L271" s="74">
        <f>MIN(IF($AV271=0,0,
IF(Investment_Strategy="DIS",VLOOKUP(Investment_Strategy&amp;"_"&amp;Investment_Strategy_Sub1&amp;"_"&amp;$A271,'Investment Strategies'!$AZ:$BP,12,FALSE),
IF(AND(Investment_Strategy="Lifecycle",Investment_Strategy_Sub1="Non-Standard"),VLOOKUP(Investment_Strategy&amp;"_"&amp;Investment_Strategy_Sub2&amp;"_"&amp;$A271,'Investment Strategies'!$C:$P,9,FALSE),
IF(AND(Investment_Strategy="Lifecycle",Investment_Strategy_Sub1="Standard"),VLOOKUP(Investment_Strategy&amp;"_"&amp;Investment_Strategy_Sub2&amp;"_"&amp;$A271,'Investment Strategies'!$AJ:$AV,8,FALSE),
IF(AND(Investment_Strategy="Autopilot",Investment_Strategy_Sub1="Non-Standard"),VLOOKUP(Investment_Strategy&amp;"_"&amp;Investment_Strategy_Sub2&amp;"_"&amp;$A271,'Investment Strategies'!$T:$AF,8,FALSE),
IF(Investment_Strategy ="DIY",DIY_RateofReturn_SP,
"Error")))))),Max_InvReturn)</f>
        <v>0</v>
      </c>
      <c r="M271" s="62">
        <f>IF($AV271=0,0,
IF(Investment_Strategy="DIS",VLOOKUP(Investment_Strategy&amp;"_"&amp;Investment_Strategy_Sub1&amp;"_"&amp;$A271,'Investment Strategies'!$AZ:$BP,15,FALSE),
IF(AND(Investment_Strategy="Lifecycle",Investment_Strategy_Sub1="Non-Standard"),VLOOKUP(Investment_Strategy&amp;"_"&amp;Investment_Strategy_Sub2&amp;"_"&amp;$A271,'Investment Strategies'!$C:$P,12,FALSE),
IF(AND(Investment_Strategy="Lifecycle",Investment_Strategy_Sub1="Standard"),VLOOKUP(Investment_Strategy&amp;"_"&amp;Investment_Strategy_Sub2&amp;"_"&amp;$A271,'Investment Strategies'!$AJ:$AV,11,FALSE),
IF(AND(Investment_Strategy="Autopilot",Investment_Strategy_Sub1="Non-Standard"),VLOOKUP(Investment_Strategy&amp;"_"&amp;Investment_Strategy_Sub2&amp;"_"&amp;$A271,'Investment Strategies'!$T:$AF,11,FALSE),
IF(Investment_Strategy="DIY",DIY_GteeChrge_SP,
"Error"))))))</f>
        <v>0</v>
      </c>
      <c r="N271" s="33">
        <f>IF($AV271=0,0,
IF(Investment_Strategy="DIS",VLOOKUP(Investment_Strategy&amp;"_"&amp;Investment_Strategy_Sub1&amp;"_"&amp;$A271,'Investment Strategies'!$AZ:$BP,17,FALSE),
IF(AND(Investment_Strategy="Lifecycle",Investment_Strategy_Sub1="Non-Standard"),VLOOKUP(Investment_Strategy&amp;"_"&amp;Investment_Strategy_Sub2&amp;"_"&amp;$A271,'Investment Strategies'!$C:$P,14,FALSE),
IF(AND(Investment_Strategy="Lifecycle",Investment_Strategy_Sub1="Standard"),VLOOKUP(Investment_Strategy&amp;"_"&amp;Investment_Strategy_Sub2&amp;"_"&amp;$A271,'Investment Strategies'!$AJ:$AV,13,FALSE),
IF(AND(Investment_Strategy="Autopilot",Investment_Strategy_Sub1="Non-Standard"),VLOOKUP(Investment_Strategy&amp;"_"&amp;Investment_Strategy_Sub2&amp;"_"&amp;$A271,'Investment Strategies'!$T:$AF,13,FALSE),
IF(Investment_Strategy="DIY",DIY_ExtManChrge_SP,
"Error"))))))</f>
        <v>0</v>
      </c>
      <c r="O271" s="16">
        <f t="shared" si="141"/>
        <v>0</v>
      </c>
      <c r="Q271" s="16">
        <f t="shared" si="115"/>
        <v>0</v>
      </c>
      <c r="R271" s="16">
        <f t="shared" si="116"/>
        <v>0</v>
      </c>
      <c r="S271" s="16">
        <f>(SRP_SP+SUM(S$91:S270))*L271*IF(D271=$A$91,SRP_finalmonthfactor,1)</f>
        <v>0</v>
      </c>
      <c r="T271" s="74">
        <f>MIN(IF($AV271=0,0,
IF(Investment_Strategy="DIS",VLOOKUP(Investment_Strategy&amp;"_"&amp;Investment_Strategy_Sub1&amp;"_"&amp;$A271,'Investment Strategies'!$AZ:$BP,12,FALSE),
IF(AND(Investment_Strategy="Lifecycle",Investment_Strategy_Sub1="Non-Standard"),VLOOKUP(Investment_Strategy&amp;"_"&amp;Investment_Strategy_Sub2&amp;"_"&amp;$A271,'Investment Strategies'!$C:$P,9,FALSE),
IF(AND(Investment_Strategy="Lifecycle",Investment_Strategy_Sub1="Standard"),VLOOKUP(Investment_Strategy&amp;"_"&amp;Investment_Strategy_Sub2&amp;"_"&amp;$A271,'Investment Strategies'!$AJ:$AV,8,FALSE),
IF(AND(Investment_Strategy="Autopilot",Investment_Strategy_Sub1="Non-Standard"),VLOOKUP(Investment_Strategy&amp;"_"&amp;Investment_Strategy_Sub2&amp;"_"&amp;$A271,'Investment Strategies'!$T:$AF,8,FALSE),
IF(Investment_Strategy ="DIY",DIY_RateOfReturn_FuturePremiums,
"Error")))))),Max_InvReturn)</f>
        <v>0</v>
      </c>
      <c r="U271" s="62">
        <f>IF($AV271=0,0,
IF(Investment_Strategy="DIS",VLOOKUP(Investment_Strategy&amp;"_"&amp;Investment_Strategy_Sub1&amp;"_"&amp;$A271,'Investment Strategies'!$AZ:$BP,15,FALSE),
IF(AND(Investment_Strategy="Lifecycle",Investment_Strategy_Sub1="Non-Standard"),VLOOKUP(Investment_Strategy&amp;"_"&amp;Investment_Strategy_Sub2&amp;"_"&amp;$A271,'Investment Strategies'!$C:$P,12,FALSE),
IF(AND(Investment_Strategy="Lifecycle",Investment_Strategy_Sub1="Standard"),VLOOKUP(Investment_Strategy&amp;"_"&amp;Investment_Strategy_Sub2&amp;"_"&amp;$A271,'Investment Strategies'!$AJ:$AV,11,FALSE),
IF(AND(Investment_Strategy="Autopilot",Investment_Strategy_Sub1="Non-Standard"),VLOOKUP(Investment_Strategy&amp;"_"&amp;Investment_Strategy_Sub2&amp;"_"&amp;$A271,'Investment Strategies'!$T:$AF,11,FALSE),
IF(Investment_Strategy="DIY",DIY_GteeChrge_FuturePremiums,
"Error"))))))</f>
        <v>0</v>
      </c>
      <c r="V271" s="33">
        <f>IF(AV271=0,0,
IF(Investment_Strategy="DIS",VLOOKUP(Investment_Strategy&amp;"_"&amp;Investment_Strategy_Sub1&amp;"_"&amp;$A271,'Investment Strategies'!$AZ:$BP,17,FALSE),
IF(AND(Investment_Strategy="Lifecycle",Investment_Strategy_Sub1="Non-Standard"),VLOOKUP(Investment_Strategy&amp;"_"&amp;Investment_Strategy_Sub2&amp;"_"&amp;$A271,'Investment Strategies'!$C:$P,14,FALSE),
IF(AND(Investment_Strategy="Lifecycle",Investment_Strategy_Sub1="Standard"),VLOOKUP(Investment_Strategy&amp;"_"&amp;Investment_Strategy_Sub2&amp;"_"&amp;$A271,'Investment Strategies'!$AJ:$AV,13,FALSE),
IF(AND(Investment_Strategy="Autopilot",Investment_Strategy_Sub1="Non-Standard"),VLOOKUP(Investment_Strategy&amp;"_"&amp;Investment_Strategy_Sub2&amp;"_"&amp;$A271,'Investment Strategies'!$T:$AF,13,FALSE),
IF(Investment_Strategy="DIY",DIY_ExtManChrge_FuturePremiums,
"Error"))))))</f>
        <v>0</v>
      </c>
      <c r="W271" s="16">
        <f t="shared" si="142"/>
        <v>0</v>
      </c>
      <c r="X271" s="16">
        <f t="shared" si="117"/>
        <v>0</v>
      </c>
      <c r="Y271" s="16">
        <f t="shared" si="118"/>
        <v>0</v>
      </c>
      <c r="Z271" s="31">
        <f t="shared" si="119"/>
        <v>0.02</v>
      </c>
      <c r="AA271" s="16">
        <f t="shared" si="120"/>
        <v>0</v>
      </c>
      <c r="AB271" s="28">
        <f t="shared" si="144"/>
        <v>0</v>
      </c>
      <c r="AC271" s="28">
        <f>(SUM($AC$91:AC270)+SUM($X$91:X270)+X271)*T271*IF(D271=$A$91,SRP_finalmonthfactor,1)</f>
        <v>0</v>
      </c>
      <c r="AD271" s="16">
        <f t="shared" si="121"/>
        <v>0</v>
      </c>
      <c r="AE271" s="106"/>
      <c r="AF271" s="16">
        <f t="shared" si="130"/>
        <v>0</v>
      </c>
      <c r="AG271" s="16">
        <f t="shared" si="131"/>
        <v>0</v>
      </c>
      <c r="AH271" s="16">
        <f t="shared" si="132"/>
        <v>0</v>
      </c>
      <c r="AJ271" s="13">
        <f t="shared" ref="AJ271:AU280" si="157">IF($C271&lt;=AJ$90,1,0)</f>
        <v>0</v>
      </c>
      <c r="AK271" s="13">
        <f t="shared" si="157"/>
        <v>0</v>
      </c>
      <c r="AL271" s="13">
        <f t="shared" si="157"/>
        <v>0</v>
      </c>
      <c r="AM271" s="13">
        <f t="shared" si="157"/>
        <v>0</v>
      </c>
      <c r="AN271" s="13">
        <f t="shared" si="157"/>
        <v>0</v>
      </c>
      <c r="AO271" s="13">
        <f t="shared" si="157"/>
        <v>1</v>
      </c>
      <c r="AP271" s="13">
        <f t="shared" si="157"/>
        <v>1</v>
      </c>
      <c r="AQ271" s="13">
        <f t="shared" si="157"/>
        <v>1</v>
      </c>
      <c r="AR271" s="13">
        <f t="shared" si="157"/>
        <v>1</v>
      </c>
      <c r="AS271" s="13">
        <f t="shared" si="157"/>
        <v>1</v>
      </c>
      <c r="AT271" s="13">
        <f t="shared" si="157"/>
        <v>1</v>
      </c>
      <c r="AU271" s="13">
        <f t="shared" si="157"/>
        <v>1</v>
      </c>
      <c r="AV271" s="13">
        <f t="shared" si="122"/>
        <v>0</v>
      </c>
      <c r="AW271" s="13">
        <f t="shared" si="123"/>
        <v>1</v>
      </c>
      <c r="AY271" s="17">
        <f t="shared" si="124"/>
        <v>181</v>
      </c>
      <c r="AZ271" s="28">
        <f t="shared" si="133"/>
        <v>0</v>
      </c>
      <c r="BA271" s="13">
        <f t="shared" si="125"/>
        <v>0</v>
      </c>
      <c r="BB271" s="13">
        <f t="shared" si="126"/>
        <v>0</v>
      </c>
      <c r="BC271" s="28">
        <f t="shared" si="134"/>
        <v>0</v>
      </c>
      <c r="BD271" s="28">
        <f t="shared" si="135"/>
        <v>0</v>
      </c>
      <c r="BF271" s="248">
        <f t="shared" si="136"/>
        <v>993869.29442638322</v>
      </c>
      <c r="BG271" s="36">
        <f t="shared" si="145"/>
        <v>0</v>
      </c>
      <c r="BH271" s="36">
        <f t="shared" si="146"/>
        <v>852887.60357233894</v>
      </c>
      <c r="BI271" s="249">
        <f t="shared" si="147"/>
        <v>0</v>
      </c>
      <c r="BJ271" s="246">
        <f t="shared" si="148"/>
        <v>0</v>
      </c>
      <c r="BK271" s="246">
        <f t="shared" si="127"/>
        <v>7.531116566323881E-4</v>
      </c>
      <c r="BL271" s="246">
        <f t="shared" si="149"/>
        <v>0</v>
      </c>
      <c r="BM271" s="246">
        <f t="shared" si="150"/>
        <v>7.531116566323881E-4</v>
      </c>
      <c r="BN271" s="36">
        <f t="shared" si="137"/>
        <v>642.31959604759163</v>
      </c>
      <c r="BO271" s="36">
        <f t="shared" si="151"/>
        <v>0</v>
      </c>
      <c r="BP271" s="36">
        <f t="shared" si="152"/>
        <v>852245.28397629131</v>
      </c>
    </row>
    <row r="272" spans="1:68">
      <c r="A272" s="32">
        <f t="shared" si="138"/>
        <v>-97</v>
      </c>
      <c r="B272" s="32">
        <f t="shared" si="128"/>
        <v>68</v>
      </c>
      <c r="C272" s="32">
        <f t="shared" si="139"/>
        <v>16</v>
      </c>
      <c r="D272" s="32">
        <f t="shared" si="140"/>
        <v>182</v>
      </c>
      <c r="E272" s="74">
        <f>MIN(IF(AV272=0,0,
IF(Investment_Strategy="DIS",VLOOKUP(Investment_Strategy&amp;"_"&amp;Investment_Strategy_Sub1&amp;"_"&amp;$A272,'Investment Strategies'!$AZ:$BP,12,FALSE),
IF(AND(Investment_Strategy="Lifecycle",Investment_Strategy_Sub1="Non-Standard"),VLOOKUP(Investment_Strategy&amp;"_"&amp;Investment_Strategy_Sub2&amp;"_"&amp;$A272,'Investment Strategies'!$C:$P,9,FALSE),
IF(AND(Investment_Strategy="Lifecycle",Investment_Strategy_Sub1="Standard"),VLOOKUP(Investment_Strategy&amp;"_"&amp;Investment_Strategy_Sub2&amp;"_"&amp;$A272,'Investment Strategies'!$AJ:$AV,8,FALSE),
IF(AND(Investment_Strategy="Autopilot",Investment_Strategy_Sub1="Non-Standard"),VLOOKUP(Investment_Strategy&amp;"_"&amp;Investment_Strategy_Sub2&amp;"_"&amp;$A272,'Investment Strategies'!$T:$AF,8,FALSE),
IF(Investment_Strategy ="DIY",DIY_RateOfReturn_CurrentFunds,
"Error")))))),Max_InvReturn)</f>
        <v>0</v>
      </c>
      <c r="F272" s="62">
        <f>IF(AV272=0,0,
IF(Investment_Strategy="DIS",VLOOKUP(Investment_Strategy&amp;"_"&amp;Investment_Strategy_Sub1&amp;"_"&amp;$A272,'Investment Strategies'!$AZ:$BP,15,FALSE),
IF(AND(Investment_Strategy="Lifecycle",Investment_Strategy_Sub1="Non-Standard"),VLOOKUP(Investment_Strategy&amp;"_"&amp;Investment_Strategy_Sub2&amp;"_"&amp;$A272,'Investment Strategies'!$C:$P,12,FALSE),
IF(AND(Investment_Strategy="Lifecycle",Investment_Strategy_Sub1="Standard"),VLOOKUP(Investment_Strategy&amp;"_"&amp;Investment_Strategy_Sub2&amp;"_"&amp;$A272,'Investment Strategies'!$AJ:$AV,11,FALSE),
IF(AND(Investment_Strategy="Autopilot",Investment_Strategy_Sub1="Non-Standard"),VLOOKUP(Investment_Strategy&amp;"_"&amp;Investment_Strategy_Sub2&amp;"_"&amp;$A272,'Investment Strategies'!$T:$AF,11,FALSE),
IF(Investment_Strategy="DIY",DIY_GteeChrge_CurrentFunds,
"Error"))))))</f>
        <v>0</v>
      </c>
      <c r="G272" s="33">
        <f>IF(AV272=0,0,
IF(Investment_Strategy="DIS",VLOOKUP(Investment_Strategy&amp;"_"&amp;Investment_Strategy_Sub1&amp;"_"&amp;$A272,'Investment Strategies'!$AZ:$BP,17,FALSE),
IF(AND(Investment_Strategy="Lifecycle",Investment_Strategy_Sub1="Non-Standard"),VLOOKUP(Investment_Strategy&amp;"_"&amp;Investment_Strategy_Sub2&amp;"_"&amp;$A272,'Investment Strategies'!$C:$P,14,FALSE),
IF(AND(Investment_Strategy="Lifecycle",Investment_Strategy_Sub1="Standard"),VLOOKUP(Investment_Strategy&amp;"_"&amp;Investment_Strategy_Sub2&amp;"_"&amp;$A272,'Investment Strategies'!$AJ:$AV,13,FALSE),
IF(AND(Investment_Strategy="Autopilot",Investment_Strategy_Sub1="Non-Standard"),VLOOKUP(Investment_Strategy&amp;"_"&amp;Investment_Strategy_Sub2&amp;"_"&amp;$A272,'Investment Strategies'!$T:$AF,13,FALSE),
IF(Investment_Strategy="DIY",DIY_ExtManChrge_CurrentFunds,
"Error"))))))</f>
        <v>0</v>
      </c>
      <c r="H272" s="16">
        <f t="shared" si="129"/>
        <v>0</v>
      </c>
      <c r="I272" s="16">
        <f t="shared" si="113"/>
        <v>0</v>
      </c>
      <c r="J272" s="16">
        <f t="shared" si="114"/>
        <v>0</v>
      </c>
      <c r="K272" s="16">
        <f>(Opening_Fund_Value+SUM(K$91:K271))*E272*IF(D272=$A$91,SRP_finalmonthfactor,1)</f>
        <v>0</v>
      </c>
      <c r="L272" s="74">
        <f>MIN(IF($AV272=0,0,
IF(Investment_Strategy="DIS",VLOOKUP(Investment_Strategy&amp;"_"&amp;Investment_Strategy_Sub1&amp;"_"&amp;$A272,'Investment Strategies'!$AZ:$BP,12,FALSE),
IF(AND(Investment_Strategy="Lifecycle",Investment_Strategy_Sub1="Non-Standard"),VLOOKUP(Investment_Strategy&amp;"_"&amp;Investment_Strategy_Sub2&amp;"_"&amp;$A272,'Investment Strategies'!$C:$P,9,FALSE),
IF(AND(Investment_Strategy="Lifecycle",Investment_Strategy_Sub1="Standard"),VLOOKUP(Investment_Strategy&amp;"_"&amp;Investment_Strategy_Sub2&amp;"_"&amp;$A272,'Investment Strategies'!$AJ:$AV,8,FALSE),
IF(AND(Investment_Strategy="Autopilot",Investment_Strategy_Sub1="Non-Standard"),VLOOKUP(Investment_Strategy&amp;"_"&amp;Investment_Strategy_Sub2&amp;"_"&amp;$A272,'Investment Strategies'!$T:$AF,8,FALSE),
IF(Investment_Strategy ="DIY",DIY_RateofReturn_SP,
"Error")))))),Max_InvReturn)</f>
        <v>0</v>
      </c>
      <c r="M272" s="62">
        <f>IF($AV272=0,0,
IF(Investment_Strategy="DIS",VLOOKUP(Investment_Strategy&amp;"_"&amp;Investment_Strategy_Sub1&amp;"_"&amp;$A272,'Investment Strategies'!$AZ:$BP,15,FALSE),
IF(AND(Investment_Strategy="Lifecycle",Investment_Strategy_Sub1="Non-Standard"),VLOOKUP(Investment_Strategy&amp;"_"&amp;Investment_Strategy_Sub2&amp;"_"&amp;$A272,'Investment Strategies'!$C:$P,12,FALSE),
IF(AND(Investment_Strategy="Lifecycle",Investment_Strategy_Sub1="Standard"),VLOOKUP(Investment_Strategy&amp;"_"&amp;Investment_Strategy_Sub2&amp;"_"&amp;$A272,'Investment Strategies'!$AJ:$AV,11,FALSE),
IF(AND(Investment_Strategy="Autopilot",Investment_Strategy_Sub1="Non-Standard"),VLOOKUP(Investment_Strategy&amp;"_"&amp;Investment_Strategy_Sub2&amp;"_"&amp;$A272,'Investment Strategies'!$T:$AF,11,FALSE),
IF(Investment_Strategy="DIY",DIY_GteeChrge_SP,
"Error"))))))</f>
        <v>0</v>
      </c>
      <c r="N272" s="33">
        <f>IF($AV272=0,0,
IF(Investment_Strategy="DIS",VLOOKUP(Investment_Strategy&amp;"_"&amp;Investment_Strategy_Sub1&amp;"_"&amp;$A272,'Investment Strategies'!$AZ:$BP,17,FALSE),
IF(AND(Investment_Strategy="Lifecycle",Investment_Strategy_Sub1="Non-Standard"),VLOOKUP(Investment_Strategy&amp;"_"&amp;Investment_Strategy_Sub2&amp;"_"&amp;$A272,'Investment Strategies'!$C:$P,14,FALSE),
IF(AND(Investment_Strategy="Lifecycle",Investment_Strategy_Sub1="Standard"),VLOOKUP(Investment_Strategy&amp;"_"&amp;Investment_Strategy_Sub2&amp;"_"&amp;$A272,'Investment Strategies'!$AJ:$AV,13,FALSE),
IF(AND(Investment_Strategy="Autopilot",Investment_Strategy_Sub1="Non-Standard"),VLOOKUP(Investment_Strategy&amp;"_"&amp;Investment_Strategy_Sub2&amp;"_"&amp;$A272,'Investment Strategies'!$T:$AF,13,FALSE),
IF(Investment_Strategy="DIY",DIY_ExtManChrge_SP,
"Error"))))))</f>
        <v>0</v>
      </c>
      <c r="O272" s="16">
        <f t="shared" si="141"/>
        <v>0</v>
      </c>
      <c r="Q272" s="16">
        <f t="shared" si="115"/>
        <v>0</v>
      </c>
      <c r="R272" s="16">
        <f t="shared" si="116"/>
        <v>0</v>
      </c>
      <c r="S272" s="16">
        <f>(SRP_SP+SUM(S$91:S271))*L272*IF(D272=$A$91,SRP_finalmonthfactor,1)</f>
        <v>0</v>
      </c>
      <c r="T272" s="74">
        <f>MIN(IF($AV272=0,0,
IF(Investment_Strategy="DIS",VLOOKUP(Investment_Strategy&amp;"_"&amp;Investment_Strategy_Sub1&amp;"_"&amp;$A272,'Investment Strategies'!$AZ:$BP,12,FALSE),
IF(AND(Investment_Strategy="Lifecycle",Investment_Strategy_Sub1="Non-Standard"),VLOOKUP(Investment_Strategy&amp;"_"&amp;Investment_Strategy_Sub2&amp;"_"&amp;$A272,'Investment Strategies'!$C:$P,9,FALSE),
IF(AND(Investment_Strategy="Lifecycle",Investment_Strategy_Sub1="Standard"),VLOOKUP(Investment_Strategy&amp;"_"&amp;Investment_Strategy_Sub2&amp;"_"&amp;$A272,'Investment Strategies'!$AJ:$AV,8,FALSE),
IF(AND(Investment_Strategy="Autopilot",Investment_Strategy_Sub1="Non-Standard"),VLOOKUP(Investment_Strategy&amp;"_"&amp;Investment_Strategy_Sub2&amp;"_"&amp;$A272,'Investment Strategies'!$T:$AF,8,FALSE),
IF(Investment_Strategy ="DIY",DIY_RateOfReturn_FuturePremiums,
"Error")))))),Max_InvReturn)</f>
        <v>0</v>
      </c>
      <c r="U272" s="62">
        <f>IF($AV272=0,0,
IF(Investment_Strategy="DIS",VLOOKUP(Investment_Strategy&amp;"_"&amp;Investment_Strategy_Sub1&amp;"_"&amp;$A272,'Investment Strategies'!$AZ:$BP,15,FALSE),
IF(AND(Investment_Strategy="Lifecycle",Investment_Strategy_Sub1="Non-Standard"),VLOOKUP(Investment_Strategy&amp;"_"&amp;Investment_Strategy_Sub2&amp;"_"&amp;$A272,'Investment Strategies'!$C:$P,12,FALSE),
IF(AND(Investment_Strategy="Lifecycle",Investment_Strategy_Sub1="Standard"),VLOOKUP(Investment_Strategy&amp;"_"&amp;Investment_Strategy_Sub2&amp;"_"&amp;$A272,'Investment Strategies'!$AJ:$AV,11,FALSE),
IF(AND(Investment_Strategy="Autopilot",Investment_Strategy_Sub1="Non-Standard"),VLOOKUP(Investment_Strategy&amp;"_"&amp;Investment_Strategy_Sub2&amp;"_"&amp;$A272,'Investment Strategies'!$T:$AF,11,FALSE),
IF(Investment_Strategy="DIY",DIY_GteeChrge_FuturePremiums,
"Error"))))))</f>
        <v>0</v>
      </c>
      <c r="V272" s="33">
        <f>IF(AV272=0,0,
IF(Investment_Strategy="DIS",VLOOKUP(Investment_Strategy&amp;"_"&amp;Investment_Strategy_Sub1&amp;"_"&amp;$A272,'Investment Strategies'!$AZ:$BP,17,FALSE),
IF(AND(Investment_Strategy="Lifecycle",Investment_Strategy_Sub1="Non-Standard"),VLOOKUP(Investment_Strategy&amp;"_"&amp;Investment_Strategy_Sub2&amp;"_"&amp;$A272,'Investment Strategies'!$C:$P,14,FALSE),
IF(AND(Investment_Strategy="Lifecycle",Investment_Strategy_Sub1="Standard"),VLOOKUP(Investment_Strategy&amp;"_"&amp;Investment_Strategy_Sub2&amp;"_"&amp;$A272,'Investment Strategies'!$AJ:$AV,13,FALSE),
IF(AND(Investment_Strategy="Autopilot",Investment_Strategy_Sub1="Non-Standard"),VLOOKUP(Investment_Strategy&amp;"_"&amp;Investment_Strategy_Sub2&amp;"_"&amp;$A272,'Investment Strategies'!$T:$AF,13,FALSE),
IF(Investment_Strategy="DIY",DIY_ExtManChrge_FuturePremiums,
"Error"))))))</f>
        <v>0</v>
      </c>
      <c r="W272" s="16">
        <f t="shared" si="142"/>
        <v>0</v>
      </c>
      <c r="X272" s="16">
        <f t="shared" si="117"/>
        <v>0</v>
      </c>
      <c r="Y272" s="16">
        <f t="shared" si="118"/>
        <v>0</v>
      </c>
      <c r="Z272" s="31">
        <f t="shared" si="119"/>
        <v>0.02</v>
      </c>
      <c r="AA272" s="16">
        <f t="shared" si="120"/>
        <v>0</v>
      </c>
      <c r="AB272" s="28">
        <f t="shared" si="144"/>
        <v>0</v>
      </c>
      <c r="AC272" s="28">
        <f>(SUM($AC$91:AC271)+SUM($X$91:X271)+X272)*T272*IF(D272=$A$91,SRP_finalmonthfactor,1)</f>
        <v>0</v>
      </c>
      <c r="AD272" s="16">
        <f t="shared" si="121"/>
        <v>0</v>
      </c>
      <c r="AE272" s="106"/>
      <c r="AF272" s="16">
        <f t="shared" si="130"/>
        <v>0</v>
      </c>
      <c r="AG272" s="16">
        <f t="shared" si="131"/>
        <v>0</v>
      </c>
      <c r="AH272" s="16">
        <f t="shared" si="132"/>
        <v>0</v>
      </c>
      <c r="AJ272" s="13">
        <f t="shared" si="157"/>
        <v>0</v>
      </c>
      <c r="AK272" s="13">
        <f t="shared" si="157"/>
        <v>0</v>
      </c>
      <c r="AL272" s="13">
        <f t="shared" si="157"/>
        <v>0</v>
      </c>
      <c r="AM272" s="13">
        <f t="shared" si="157"/>
        <v>0</v>
      </c>
      <c r="AN272" s="13">
        <f t="shared" si="157"/>
        <v>0</v>
      </c>
      <c r="AO272" s="13">
        <f t="shared" si="157"/>
        <v>1</v>
      </c>
      <c r="AP272" s="13">
        <f t="shared" si="157"/>
        <v>1</v>
      </c>
      <c r="AQ272" s="13">
        <f t="shared" si="157"/>
        <v>1</v>
      </c>
      <c r="AR272" s="13">
        <f t="shared" si="157"/>
        <v>1</v>
      </c>
      <c r="AS272" s="13">
        <f t="shared" si="157"/>
        <v>1</v>
      </c>
      <c r="AT272" s="13">
        <f t="shared" si="157"/>
        <v>1</v>
      </c>
      <c r="AU272" s="13">
        <f t="shared" si="157"/>
        <v>1</v>
      </c>
      <c r="AV272" s="13">
        <f t="shared" si="122"/>
        <v>0</v>
      </c>
      <c r="AW272" s="13">
        <f t="shared" si="123"/>
        <v>1</v>
      </c>
      <c r="AY272" s="17">
        <f t="shared" si="124"/>
        <v>182</v>
      </c>
      <c r="AZ272" s="28">
        <f t="shared" si="133"/>
        <v>0</v>
      </c>
      <c r="BA272" s="13">
        <f t="shared" si="125"/>
        <v>0</v>
      </c>
      <c r="BB272" s="13">
        <f t="shared" si="126"/>
        <v>0</v>
      </c>
      <c r="BC272" s="28">
        <f t="shared" si="134"/>
        <v>0</v>
      </c>
      <c r="BD272" s="28">
        <f t="shared" si="135"/>
        <v>0</v>
      </c>
      <c r="BF272" s="248">
        <f t="shared" si="136"/>
        <v>993869.29442638322</v>
      </c>
      <c r="BG272" s="36">
        <f t="shared" si="145"/>
        <v>0</v>
      </c>
      <c r="BH272" s="36">
        <f t="shared" si="146"/>
        <v>852245.28397629131</v>
      </c>
      <c r="BI272" s="249">
        <f t="shared" si="147"/>
        <v>0</v>
      </c>
      <c r="BJ272" s="246">
        <f t="shared" si="148"/>
        <v>0</v>
      </c>
      <c r="BK272" s="246">
        <f t="shared" si="127"/>
        <v>7.531116566323881E-4</v>
      </c>
      <c r="BL272" s="246">
        <f t="shared" si="149"/>
        <v>0</v>
      </c>
      <c r="BM272" s="246">
        <f t="shared" si="150"/>
        <v>7.531116566323881E-4</v>
      </c>
      <c r="BN272" s="36">
        <f t="shared" si="137"/>
        <v>641.83585767252475</v>
      </c>
      <c r="BO272" s="36">
        <f t="shared" si="151"/>
        <v>0</v>
      </c>
      <c r="BP272" s="36">
        <f t="shared" si="152"/>
        <v>851603.44811861881</v>
      </c>
    </row>
    <row r="273" spans="1:68">
      <c r="A273" s="32">
        <f t="shared" si="138"/>
        <v>-98</v>
      </c>
      <c r="B273" s="32">
        <f t="shared" si="128"/>
        <v>68</v>
      </c>
      <c r="C273" s="32">
        <f t="shared" si="139"/>
        <v>16</v>
      </c>
      <c r="D273" s="32">
        <f t="shared" si="140"/>
        <v>183</v>
      </c>
      <c r="E273" s="74">
        <f>MIN(IF(AV273=0,0,
IF(Investment_Strategy="DIS",VLOOKUP(Investment_Strategy&amp;"_"&amp;Investment_Strategy_Sub1&amp;"_"&amp;$A273,'Investment Strategies'!$AZ:$BP,12,FALSE),
IF(AND(Investment_Strategy="Lifecycle",Investment_Strategy_Sub1="Non-Standard"),VLOOKUP(Investment_Strategy&amp;"_"&amp;Investment_Strategy_Sub2&amp;"_"&amp;$A273,'Investment Strategies'!$C:$P,9,FALSE),
IF(AND(Investment_Strategy="Lifecycle",Investment_Strategy_Sub1="Standard"),VLOOKUP(Investment_Strategy&amp;"_"&amp;Investment_Strategy_Sub2&amp;"_"&amp;$A273,'Investment Strategies'!$AJ:$AV,8,FALSE),
IF(AND(Investment_Strategy="Autopilot",Investment_Strategy_Sub1="Non-Standard"),VLOOKUP(Investment_Strategy&amp;"_"&amp;Investment_Strategy_Sub2&amp;"_"&amp;$A273,'Investment Strategies'!$T:$AF,8,FALSE),
IF(Investment_Strategy ="DIY",DIY_RateOfReturn_CurrentFunds,
"Error")))))),Max_InvReturn)</f>
        <v>0</v>
      </c>
      <c r="F273" s="62">
        <f>IF(AV273=0,0,
IF(Investment_Strategy="DIS",VLOOKUP(Investment_Strategy&amp;"_"&amp;Investment_Strategy_Sub1&amp;"_"&amp;$A273,'Investment Strategies'!$AZ:$BP,15,FALSE),
IF(AND(Investment_Strategy="Lifecycle",Investment_Strategy_Sub1="Non-Standard"),VLOOKUP(Investment_Strategy&amp;"_"&amp;Investment_Strategy_Sub2&amp;"_"&amp;$A273,'Investment Strategies'!$C:$P,12,FALSE),
IF(AND(Investment_Strategy="Lifecycle",Investment_Strategy_Sub1="Standard"),VLOOKUP(Investment_Strategy&amp;"_"&amp;Investment_Strategy_Sub2&amp;"_"&amp;$A273,'Investment Strategies'!$AJ:$AV,11,FALSE),
IF(AND(Investment_Strategy="Autopilot",Investment_Strategy_Sub1="Non-Standard"),VLOOKUP(Investment_Strategy&amp;"_"&amp;Investment_Strategy_Sub2&amp;"_"&amp;$A273,'Investment Strategies'!$T:$AF,11,FALSE),
IF(Investment_Strategy="DIY",DIY_GteeChrge_CurrentFunds,
"Error"))))))</f>
        <v>0</v>
      </c>
      <c r="G273" s="33">
        <f>IF(AV273=0,0,
IF(Investment_Strategy="DIS",VLOOKUP(Investment_Strategy&amp;"_"&amp;Investment_Strategy_Sub1&amp;"_"&amp;$A273,'Investment Strategies'!$AZ:$BP,17,FALSE),
IF(AND(Investment_Strategy="Lifecycle",Investment_Strategy_Sub1="Non-Standard"),VLOOKUP(Investment_Strategy&amp;"_"&amp;Investment_Strategy_Sub2&amp;"_"&amp;$A273,'Investment Strategies'!$C:$P,14,FALSE),
IF(AND(Investment_Strategy="Lifecycle",Investment_Strategy_Sub1="Standard"),VLOOKUP(Investment_Strategy&amp;"_"&amp;Investment_Strategy_Sub2&amp;"_"&amp;$A273,'Investment Strategies'!$AJ:$AV,13,FALSE),
IF(AND(Investment_Strategy="Autopilot",Investment_Strategy_Sub1="Non-Standard"),VLOOKUP(Investment_Strategy&amp;"_"&amp;Investment_Strategy_Sub2&amp;"_"&amp;$A273,'Investment Strategies'!$T:$AF,13,FALSE),
IF(Investment_Strategy="DIY",DIY_ExtManChrge_CurrentFunds,
"Error"))))))</f>
        <v>0</v>
      </c>
      <c r="H273" s="16">
        <f t="shared" si="129"/>
        <v>0</v>
      </c>
      <c r="I273" s="16">
        <f t="shared" si="113"/>
        <v>0</v>
      </c>
      <c r="J273" s="16">
        <f t="shared" si="114"/>
        <v>0</v>
      </c>
      <c r="K273" s="16">
        <f>(Opening_Fund_Value+SUM(K$91:K272))*E273*IF(D273=$A$91,SRP_finalmonthfactor,1)</f>
        <v>0</v>
      </c>
      <c r="L273" s="74">
        <f>MIN(IF($AV273=0,0,
IF(Investment_Strategy="DIS",VLOOKUP(Investment_Strategy&amp;"_"&amp;Investment_Strategy_Sub1&amp;"_"&amp;$A273,'Investment Strategies'!$AZ:$BP,12,FALSE),
IF(AND(Investment_Strategy="Lifecycle",Investment_Strategy_Sub1="Non-Standard"),VLOOKUP(Investment_Strategy&amp;"_"&amp;Investment_Strategy_Sub2&amp;"_"&amp;$A273,'Investment Strategies'!$C:$P,9,FALSE),
IF(AND(Investment_Strategy="Lifecycle",Investment_Strategy_Sub1="Standard"),VLOOKUP(Investment_Strategy&amp;"_"&amp;Investment_Strategy_Sub2&amp;"_"&amp;$A273,'Investment Strategies'!$AJ:$AV,8,FALSE),
IF(AND(Investment_Strategy="Autopilot",Investment_Strategy_Sub1="Non-Standard"),VLOOKUP(Investment_Strategy&amp;"_"&amp;Investment_Strategy_Sub2&amp;"_"&amp;$A273,'Investment Strategies'!$T:$AF,8,FALSE),
IF(Investment_Strategy ="DIY",DIY_RateofReturn_SP,
"Error")))))),Max_InvReturn)</f>
        <v>0</v>
      </c>
      <c r="M273" s="62">
        <f>IF($AV273=0,0,
IF(Investment_Strategy="DIS",VLOOKUP(Investment_Strategy&amp;"_"&amp;Investment_Strategy_Sub1&amp;"_"&amp;$A273,'Investment Strategies'!$AZ:$BP,15,FALSE),
IF(AND(Investment_Strategy="Lifecycle",Investment_Strategy_Sub1="Non-Standard"),VLOOKUP(Investment_Strategy&amp;"_"&amp;Investment_Strategy_Sub2&amp;"_"&amp;$A273,'Investment Strategies'!$C:$P,12,FALSE),
IF(AND(Investment_Strategy="Lifecycle",Investment_Strategy_Sub1="Standard"),VLOOKUP(Investment_Strategy&amp;"_"&amp;Investment_Strategy_Sub2&amp;"_"&amp;$A273,'Investment Strategies'!$AJ:$AV,11,FALSE),
IF(AND(Investment_Strategy="Autopilot",Investment_Strategy_Sub1="Non-Standard"),VLOOKUP(Investment_Strategy&amp;"_"&amp;Investment_Strategy_Sub2&amp;"_"&amp;$A273,'Investment Strategies'!$T:$AF,11,FALSE),
IF(Investment_Strategy="DIY",DIY_GteeChrge_SP,
"Error"))))))</f>
        <v>0</v>
      </c>
      <c r="N273" s="33">
        <f>IF($AV273=0,0,
IF(Investment_Strategy="DIS",VLOOKUP(Investment_Strategy&amp;"_"&amp;Investment_Strategy_Sub1&amp;"_"&amp;$A273,'Investment Strategies'!$AZ:$BP,17,FALSE),
IF(AND(Investment_Strategy="Lifecycle",Investment_Strategy_Sub1="Non-Standard"),VLOOKUP(Investment_Strategy&amp;"_"&amp;Investment_Strategy_Sub2&amp;"_"&amp;$A273,'Investment Strategies'!$C:$P,14,FALSE),
IF(AND(Investment_Strategy="Lifecycle",Investment_Strategy_Sub1="Standard"),VLOOKUP(Investment_Strategy&amp;"_"&amp;Investment_Strategy_Sub2&amp;"_"&amp;$A273,'Investment Strategies'!$AJ:$AV,13,FALSE),
IF(AND(Investment_Strategy="Autopilot",Investment_Strategy_Sub1="Non-Standard"),VLOOKUP(Investment_Strategy&amp;"_"&amp;Investment_Strategy_Sub2&amp;"_"&amp;$A273,'Investment Strategies'!$T:$AF,13,FALSE),
IF(Investment_Strategy="DIY",DIY_ExtManChrge_SP,
"Error"))))))</f>
        <v>0</v>
      </c>
      <c r="O273" s="16">
        <f t="shared" si="141"/>
        <v>0</v>
      </c>
      <c r="Q273" s="16">
        <f t="shared" si="115"/>
        <v>0</v>
      </c>
      <c r="R273" s="16">
        <f t="shared" si="116"/>
        <v>0</v>
      </c>
      <c r="S273" s="16">
        <f>(SRP_SP+SUM(S$91:S272))*L273*IF(D273=$A$91,SRP_finalmonthfactor,1)</f>
        <v>0</v>
      </c>
      <c r="T273" s="74">
        <f>MIN(IF($AV273=0,0,
IF(Investment_Strategy="DIS",VLOOKUP(Investment_Strategy&amp;"_"&amp;Investment_Strategy_Sub1&amp;"_"&amp;$A273,'Investment Strategies'!$AZ:$BP,12,FALSE),
IF(AND(Investment_Strategy="Lifecycle",Investment_Strategy_Sub1="Non-Standard"),VLOOKUP(Investment_Strategy&amp;"_"&amp;Investment_Strategy_Sub2&amp;"_"&amp;$A273,'Investment Strategies'!$C:$P,9,FALSE),
IF(AND(Investment_Strategy="Lifecycle",Investment_Strategy_Sub1="Standard"),VLOOKUP(Investment_Strategy&amp;"_"&amp;Investment_Strategy_Sub2&amp;"_"&amp;$A273,'Investment Strategies'!$AJ:$AV,8,FALSE),
IF(AND(Investment_Strategy="Autopilot",Investment_Strategy_Sub1="Non-Standard"),VLOOKUP(Investment_Strategy&amp;"_"&amp;Investment_Strategy_Sub2&amp;"_"&amp;$A273,'Investment Strategies'!$T:$AF,8,FALSE),
IF(Investment_Strategy ="DIY",DIY_RateOfReturn_FuturePremiums,
"Error")))))),Max_InvReturn)</f>
        <v>0</v>
      </c>
      <c r="U273" s="62">
        <f>IF($AV273=0,0,
IF(Investment_Strategy="DIS",VLOOKUP(Investment_Strategy&amp;"_"&amp;Investment_Strategy_Sub1&amp;"_"&amp;$A273,'Investment Strategies'!$AZ:$BP,15,FALSE),
IF(AND(Investment_Strategy="Lifecycle",Investment_Strategy_Sub1="Non-Standard"),VLOOKUP(Investment_Strategy&amp;"_"&amp;Investment_Strategy_Sub2&amp;"_"&amp;$A273,'Investment Strategies'!$C:$P,12,FALSE),
IF(AND(Investment_Strategy="Lifecycle",Investment_Strategy_Sub1="Standard"),VLOOKUP(Investment_Strategy&amp;"_"&amp;Investment_Strategy_Sub2&amp;"_"&amp;$A273,'Investment Strategies'!$AJ:$AV,11,FALSE),
IF(AND(Investment_Strategy="Autopilot",Investment_Strategy_Sub1="Non-Standard"),VLOOKUP(Investment_Strategy&amp;"_"&amp;Investment_Strategy_Sub2&amp;"_"&amp;$A273,'Investment Strategies'!$T:$AF,11,FALSE),
IF(Investment_Strategy="DIY",DIY_GteeChrge_FuturePremiums,
"Error"))))))</f>
        <v>0</v>
      </c>
      <c r="V273" s="33">
        <f>IF(AV273=0,0,
IF(Investment_Strategy="DIS",VLOOKUP(Investment_Strategy&amp;"_"&amp;Investment_Strategy_Sub1&amp;"_"&amp;$A273,'Investment Strategies'!$AZ:$BP,17,FALSE),
IF(AND(Investment_Strategy="Lifecycle",Investment_Strategy_Sub1="Non-Standard"),VLOOKUP(Investment_Strategy&amp;"_"&amp;Investment_Strategy_Sub2&amp;"_"&amp;$A273,'Investment Strategies'!$C:$P,14,FALSE),
IF(AND(Investment_Strategy="Lifecycle",Investment_Strategy_Sub1="Standard"),VLOOKUP(Investment_Strategy&amp;"_"&amp;Investment_Strategy_Sub2&amp;"_"&amp;$A273,'Investment Strategies'!$AJ:$AV,13,FALSE),
IF(AND(Investment_Strategy="Autopilot",Investment_Strategy_Sub1="Non-Standard"),VLOOKUP(Investment_Strategy&amp;"_"&amp;Investment_Strategy_Sub2&amp;"_"&amp;$A273,'Investment Strategies'!$T:$AF,13,FALSE),
IF(Investment_Strategy="DIY",DIY_ExtManChrge_FuturePremiums,
"Error"))))))</f>
        <v>0</v>
      </c>
      <c r="W273" s="16">
        <f t="shared" si="142"/>
        <v>0</v>
      </c>
      <c r="X273" s="16">
        <f t="shared" si="117"/>
        <v>0</v>
      </c>
      <c r="Y273" s="16">
        <f t="shared" si="118"/>
        <v>0</v>
      </c>
      <c r="Z273" s="31">
        <f t="shared" si="119"/>
        <v>0.02</v>
      </c>
      <c r="AA273" s="16">
        <f t="shared" si="120"/>
        <v>0</v>
      </c>
      <c r="AB273" s="28">
        <f t="shared" si="144"/>
        <v>0</v>
      </c>
      <c r="AC273" s="28">
        <f>(SUM($AC$91:AC272)+SUM($X$91:X272)+X273)*T273*IF(D273=$A$91,SRP_finalmonthfactor,1)</f>
        <v>0</v>
      </c>
      <c r="AD273" s="16">
        <f t="shared" si="121"/>
        <v>0</v>
      </c>
      <c r="AE273" s="106"/>
      <c r="AF273" s="16">
        <f t="shared" si="130"/>
        <v>0</v>
      </c>
      <c r="AG273" s="16">
        <f t="shared" si="131"/>
        <v>0</v>
      </c>
      <c r="AH273" s="16">
        <f t="shared" si="132"/>
        <v>0</v>
      </c>
      <c r="AJ273" s="13">
        <f t="shared" si="157"/>
        <v>0</v>
      </c>
      <c r="AK273" s="13">
        <f t="shared" si="157"/>
        <v>0</v>
      </c>
      <c r="AL273" s="13">
        <f t="shared" si="157"/>
        <v>0</v>
      </c>
      <c r="AM273" s="13">
        <f t="shared" si="157"/>
        <v>0</v>
      </c>
      <c r="AN273" s="13">
        <f t="shared" si="157"/>
        <v>0</v>
      </c>
      <c r="AO273" s="13">
        <f t="shared" si="157"/>
        <v>1</v>
      </c>
      <c r="AP273" s="13">
        <f t="shared" si="157"/>
        <v>1</v>
      </c>
      <c r="AQ273" s="13">
        <f t="shared" si="157"/>
        <v>1</v>
      </c>
      <c r="AR273" s="13">
        <f t="shared" si="157"/>
        <v>1</v>
      </c>
      <c r="AS273" s="13">
        <f t="shared" si="157"/>
        <v>1</v>
      </c>
      <c r="AT273" s="13">
        <f t="shared" si="157"/>
        <v>1</v>
      </c>
      <c r="AU273" s="13">
        <f t="shared" si="157"/>
        <v>1</v>
      </c>
      <c r="AV273" s="13">
        <f t="shared" si="122"/>
        <v>0</v>
      </c>
      <c r="AW273" s="13">
        <f t="shared" si="123"/>
        <v>1</v>
      </c>
      <c r="AY273" s="17">
        <f t="shared" si="124"/>
        <v>183</v>
      </c>
      <c r="AZ273" s="28">
        <f t="shared" si="133"/>
        <v>0</v>
      </c>
      <c r="BA273" s="13">
        <f t="shared" si="125"/>
        <v>0</v>
      </c>
      <c r="BB273" s="13">
        <f t="shared" si="126"/>
        <v>0</v>
      </c>
      <c r="BC273" s="28">
        <f t="shared" si="134"/>
        <v>0</v>
      </c>
      <c r="BD273" s="28">
        <f t="shared" si="135"/>
        <v>0</v>
      </c>
      <c r="BF273" s="248">
        <f t="shared" si="136"/>
        <v>993869.29442638322</v>
      </c>
      <c r="BG273" s="36">
        <f t="shared" si="145"/>
        <v>0</v>
      </c>
      <c r="BH273" s="36">
        <f t="shared" si="146"/>
        <v>851603.44811861881</v>
      </c>
      <c r="BI273" s="249">
        <f t="shared" si="147"/>
        <v>0</v>
      </c>
      <c r="BJ273" s="246">
        <f t="shared" si="148"/>
        <v>0</v>
      </c>
      <c r="BK273" s="246">
        <f t="shared" si="127"/>
        <v>7.531116566323881E-4</v>
      </c>
      <c r="BL273" s="246">
        <f t="shared" si="149"/>
        <v>0</v>
      </c>
      <c r="BM273" s="246">
        <f t="shared" si="150"/>
        <v>7.531116566323881E-4</v>
      </c>
      <c r="BN273" s="36">
        <f t="shared" si="137"/>
        <v>641.35248360646699</v>
      </c>
      <c r="BO273" s="36">
        <f t="shared" si="151"/>
        <v>0</v>
      </c>
      <c r="BP273" s="36">
        <f t="shared" si="152"/>
        <v>850962.09563501237</v>
      </c>
    </row>
    <row r="274" spans="1:68">
      <c r="A274" s="32">
        <f t="shared" si="138"/>
        <v>-99</v>
      </c>
      <c r="B274" s="32">
        <f t="shared" si="128"/>
        <v>68</v>
      </c>
      <c r="C274" s="32">
        <f t="shared" si="139"/>
        <v>16</v>
      </c>
      <c r="D274" s="32">
        <f t="shared" si="140"/>
        <v>184</v>
      </c>
      <c r="E274" s="74">
        <f>MIN(IF(AV274=0,0,
IF(Investment_Strategy="DIS",VLOOKUP(Investment_Strategy&amp;"_"&amp;Investment_Strategy_Sub1&amp;"_"&amp;$A274,'Investment Strategies'!$AZ:$BP,12,FALSE),
IF(AND(Investment_Strategy="Lifecycle",Investment_Strategy_Sub1="Non-Standard"),VLOOKUP(Investment_Strategy&amp;"_"&amp;Investment_Strategy_Sub2&amp;"_"&amp;$A274,'Investment Strategies'!$C:$P,9,FALSE),
IF(AND(Investment_Strategy="Lifecycle",Investment_Strategy_Sub1="Standard"),VLOOKUP(Investment_Strategy&amp;"_"&amp;Investment_Strategy_Sub2&amp;"_"&amp;$A274,'Investment Strategies'!$AJ:$AV,8,FALSE),
IF(AND(Investment_Strategy="Autopilot",Investment_Strategy_Sub1="Non-Standard"),VLOOKUP(Investment_Strategy&amp;"_"&amp;Investment_Strategy_Sub2&amp;"_"&amp;$A274,'Investment Strategies'!$T:$AF,8,FALSE),
IF(Investment_Strategy ="DIY",DIY_RateOfReturn_CurrentFunds,
"Error")))))),Max_InvReturn)</f>
        <v>0</v>
      </c>
      <c r="F274" s="62">
        <f>IF(AV274=0,0,
IF(Investment_Strategy="DIS",VLOOKUP(Investment_Strategy&amp;"_"&amp;Investment_Strategy_Sub1&amp;"_"&amp;$A274,'Investment Strategies'!$AZ:$BP,15,FALSE),
IF(AND(Investment_Strategy="Lifecycle",Investment_Strategy_Sub1="Non-Standard"),VLOOKUP(Investment_Strategy&amp;"_"&amp;Investment_Strategy_Sub2&amp;"_"&amp;$A274,'Investment Strategies'!$C:$P,12,FALSE),
IF(AND(Investment_Strategy="Lifecycle",Investment_Strategy_Sub1="Standard"),VLOOKUP(Investment_Strategy&amp;"_"&amp;Investment_Strategy_Sub2&amp;"_"&amp;$A274,'Investment Strategies'!$AJ:$AV,11,FALSE),
IF(AND(Investment_Strategy="Autopilot",Investment_Strategy_Sub1="Non-Standard"),VLOOKUP(Investment_Strategy&amp;"_"&amp;Investment_Strategy_Sub2&amp;"_"&amp;$A274,'Investment Strategies'!$T:$AF,11,FALSE),
IF(Investment_Strategy="DIY",DIY_GteeChrge_CurrentFunds,
"Error"))))))</f>
        <v>0</v>
      </c>
      <c r="G274" s="33">
        <f>IF(AV274=0,0,
IF(Investment_Strategy="DIS",VLOOKUP(Investment_Strategy&amp;"_"&amp;Investment_Strategy_Sub1&amp;"_"&amp;$A274,'Investment Strategies'!$AZ:$BP,17,FALSE),
IF(AND(Investment_Strategy="Lifecycle",Investment_Strategy_Sub1="Non-Standard"),VLOOKUP(Investment_Strategy&amp;"_"&amp;Investment_Strategy_Sub2&amp;"_"&amp;$A274,'Investment Strategies'!$C:$P,14,FALSE),
IF(AND(Investment_Strategy="Lifecycle",Investment_Strategy_Sub1="Standard"),VLOOKUP(Investment_Strategy&amp;"_"&amp;Investment_Strategy_Sub2&amp;"_"&amp;$A274,'Investment Strategies'!$AJ:$AV,13,FALSE),
IF(AND(Investment_Strategy="Autopilot",Investment_Strategy_Sub1="Non-Standard"),VLOOKUP(Investment_Strategy&amp;"_"&amp;Investment_Strategy_Sub2&amp;"_"&amp;$A274,'Investment Strategies'!$T:$AF,13,FALSE),
IF(Investment_Strategy="DIY",DIY_ExtManChrge_CurrentFunds,
"Error"))))))</f>
        <v>0</v>
      </c>
      <c r="H274" s="16">
        <f t="shared" si="129"/>
        <v>0</v>
      </c>
      <c r="I274" s="16">
        <f t="shared" si="113"/>
        <v>0</v>
      </c>
      <c r="J274" s="16">
        <f t="shared" si="114"/>
        <v>0</v>
      </c>
      <c r="K274" s="16">
        <f>(Opening_Fund_Value+SUM(K$91:K273))*E274*IF(D274=$A$91,SRP_finalmonthfactor,1)</f>
        <v>0</v>
      </c>
      <c r="L274" s="74">
        <f>MIN(IF($AV274=0,0,
IF(Investment_Strategy="DIS",VLOOKUP(Investment_Strategy&amp;"_"&amp;Investment_Strategy_Sub1&amp;"_"&amp;$A274,'Investment Strategies'!$AZ:$BP,12,FALSE),
IF(AND(Investment_Strategy="Lifecycle",Investment_Strategy_Sub1="Non-Standard"),VLOOKUP(Investment_Strategy&amp;"_"&amp;Investment_Strategy_Sub2&amp;"_"&amp;$A274,'Investment Strategies'!$C:$P,9,FALSE),
IF(AND(Investment_Strategy="Lifecycle",Investment_Strategy_Sub1="Standard"),VLOOKUP(Investment_Strategy&amp;"_"&amp;Investment_Strategy_Sub2&amp;"_"&amp;$A274,'Investment Strategies'!$AJ:$AV,8,FALSE),
IF(AND(Investment_Strategy="Autopilot",Investment_Strategy_Sub1="Non-Standard"),VLOOKUP(Investment_Strategy&amp;"_"&amp;Investment_Strategy_Sub2&amp;"_"&amp;$A274,'Investment Strategies'!$T:$AF,8,FALSE),
IF(Investment_Strategy ="DIY",DIY_RateofReturn_SP,
"Error")))))),Max_InvReturn)</f>
        <v>0</v>
      </c>
      <c r="M274" s="62">
        <f>IF($AV274=0,0,
IF(Investment_Strategy="DIS",VLOOKUP(Investment_Strategy&amp;"_"&amp;Investment_Strategy_Sub1&amp;"_"&amp;$A274,'Investment Strategies'!$AZ:$BP,15,FALSE),
IF(AND(Investment_Strategy="Lifecycle",Investment_Strategy_Sub1="Non-Standard"),VLOOKUP(Investment_Strategy&amp;"_"&amp;Investment_Strategy_Sub2&amp;"_"&amp;$A274,'Investment Strategies'!$C:$P,12,FALSE),
IF(AND(Investment_Strategy="Lifecycle",Investment_Strategy_Sub1="Standard"),VLOOKUP(Investment_Strategy&amp;"_"&amp;Investment_Strategy_Sub2&amp;"_"&amp;$A274,'Investment Strategies'!$AJ:$AV,11,FALSE),
IF(AND(Investment_Strategy="Autopilot",Investment_Strategy_Sub1="Non-Standard"),VLOOKUP(Investment_Strategy&amp;"_"&amp;Investment_Strategy_Sub2&amp;"_"&amp;$A274,'Investment Strategies'!$T:$AF,11,FALSE),
IF(Investment_Strategy="DIY",DIY_GteeChrge_SP,
"Error"))))))</f>
        <v>0</v>
      </c>
      <c r="N274" s="33">
        <f>IF($AV274=0,0,
IF(Investment_Strategy="DIS",VLOOKUP(Investment_Strategy&amp;"_"&amp;Investment_Strategy_Sub1&amp;"_"&amp;$A274,'Investment Strategies'!$AZ:$BP,17,FALSE),
IF(AND(Investment_Strategy="Lifecycle",Investment_Strategy_Sub1="Non-Standard"),VLOOKUP(Investment_Strategy&amp;"_"&amp;Investment_Strategy_Sub2&amp;"_"&amp;$A274,'Investment Strategies'!$C:$P,14,FALSE),
IF(AND(Investment_Strategy="Lifecycle",Investment_Strategy_Sub1="Standard"),VLOOKUP(Investment_Strategy&amp;"_"&amp;Investment_Strategy_Sub2&amp;"_"&amp;$A274,'Investment Strategies'!$AJ:$AV,13,FALSE),
IF(AND(Investment_Strategy="Autopilot",Investment_Strategy_Sub1="Non-Standard"),VLOOKUP(Investment_Strategy&amp;"_"&amp;Investment_Strategy_Sub2&amp;"_"&amp;$A274,'Investment Strategies'!$T:$AF,13,FALSE),
IF(Investment_Strategy="DIY",DIY_ExtManChrge_SP,
"Error"))))))</f>
        <v>0</v>
      </c>
      <c r="O274" s="16">
        <f t="shared" si="141"/>
        <v>0</v>
      </c>
      <c r="Q274" s="16">
        <f t="shared" si="115"/>
        <v>0</v>
      </c>
      <c r="R274" s="16">
        <f t="shared" si="116"/>
        <v>0</v>
      </c>
      <c r="S274" s="16">
        <f>(SRP_SP+SUM(S$91:S273))*L274*IF(D274=$A$91,SRP_finalmonthfactor,1)</f>
        <v>0</v>
      </c>
      <c r="T274" s="74">
        <f>MIN(IF($AV274=0,0,
IF(Investment_Strategy="DIS",VLOOKUP(Investment_Strategy&amp;"_"&amp;Investment_Strategy_Sub1&amp;"_"&amp;$A274,'Investment Strategies'!$AZ:$BP,12,FALSE),
IF(AND(Investment_Strategy="Lifecycle",Investment_Strategy_Sub1="Non-Standard"),VLOOKUP(Investment_Strategy&amp;"_"&amp;Investment_Strategy_Sub2&amp;"_"&amp;$A274,'Investment Strategies'!$C:$P,9,FALSE),
IF(AND(Investment_Strategy="Lifecycle",Investment_Strategy_Sub1="Standard"),VLOOKUP(Investment_Strategy&amp;"_"&amp;Investment_Strategy_Sub2&amp;"_"&amp;$A274,'Investment Strategies'!$AJ:$AV,8,FALSE),
IF(AND(Investment_Strategy="Autopilot",Investment_Strategy_Sub1="Non-Standard"),VLOOKUP(Investment_Strategy&amp;"_"&amp;Investment_Strategy_Sub2&amp;"_"&amp;$A274,'Investment Strategies'!$T:$AF,8,FALSE),
IF(Investment_Strategy ="DIY",DIY_RateOfReturn_FuturePremiums,
"Error")))))),Max_InvReturn)</f>
        <v>0</v>
      </c>
      <c r="U274" s="62">
        <f>IF($AV274=0,0,
IF(Investment_Strategy="DIS",VLOOKUP(Investment_Strategy&amp;"_"&amp;Investment_Strategy_Sub1&amp;"_"&amp;$A274,'Investment Strategies'!$AZ:$BP,15,FALSE),
IF(AND(Investment_Strategy="Lifecycle",Investment_Strategy_Sub1="Non-Standard"),VLOOKUP(Investment_Strategy&amp;"_"&amp;Investment_Strategy_Sub2&amp;"_"&amp;$A274,'Investment Strategies'!$C:$P,12,FALSE),
IF(AND(Investment_Strategy="Lifecycle",Investment_Strategy_Sub1="Standard"),VLOOKUP(Investment_Strategy&amp;"_"&amp;Investment_Strategy_Sub2&amp;"_"&amp;$A274,'Investment Strategies'!$AJ:$AV,11,FALSE),
IF(AND(Investment_Strategy="Autopilot",Investment_Strategy_Sub1="Non-Standard"),VLOOKUP(Investment_Strategy&amp;"_"&amp;Investment_Strategy_Sub2&amp;"_"&amp;$A274,'Investment Strategies'!$T:$AF,11,FALSE),
IF(Investment_Strategy="DIY",DIY_GteeChrge_FuturePremiums,
"Error"))))))</f>
        <v>0</v>
      </c>
      <c r="V274" s="33">
        <f>IF(AV274=0,0,
IF(Investment_Strategy="DIS",VLOOKUP(Investment_Strategy&amp;"_"&amp;Investment_Strategy_Sub1&amp;"_"&amp;$A274,'Investment Strategies'!$AZ:$BP,17,FALSE),
IF(AND(Investment_Strategy="Lifecycle",Investment_Strategy_Sub1="Non-Standard"),VLOOKUP(Investment_Strategy&amp;"_"&amp;Investment_Strategy_Sub2&amp;"_"&amp;$A274,'Investment Strategies'!$C:$P,14,FALSE),
IF(AND(Investment_Strategy="Lifecycle",Investment_Strategy_Sub1="Standard"),VLOOKUP(Investment_Strategy&amp;"_"&amp;Investment_Strategy_Sub2&amp;"_"&amp;$A274,'Investment Strategies'!$AJ:$AV,13,FALSE),
IF(AND(Investment_Strategy="Autopilot",Investment_Strategy_Sub1="Non-Standard"),VLOOKUP(Investment_Strategy&amp;"_"&amp;Investment_Strategy_Sub2&amp;"_"&amp;$A274,'Investment Strategies'!$T:$AF,13,FALSE),
IF(Investment_Strategy="DIY",DIY_ExtManChrge_FuturePremiums,
"Error"))))))</f>
        <v>0</v>
      </c>
      <c r="W274" s="16">
        <f t="shared" si="142"/>
        <v>0</v>
      </c>
      <c r="X274" s="16">
        <f t="shared" si="117"/>
        <v>0</v>
      </c>
      <c r="Y274" s="16">
        <f t="shared" si="118"/>
        <v>0</v>
      </c>
      <c r="Z274" s="31">
        <f t="shared" si="119"/>
        <v>0.02</v>
      </c>
      <c r="AA274" s="16">
        <f t="shared" si="120"/>
        <v>0</v>
      </c>
      <c r="AB274" s="28">
        <f t="shared" si="144"/>
        <v>0</v>
      </c>
      <c r="AC274" s="28">
        <f>(SUM($AC$91:AC273)+SUM($X$91:X273)+X274)*T274*IF(D274=$A$91,SRP_finalmonthfactor,1)</f>
        <v>0</v>
      </c>
      <c r="AD274" s="16">
        <f t="shared" si="121"/>
        <v>0</v>
      </c>
      <c r="AE274" s="106"/>
      <c r="AF274" s="16">
        <f t="shared" si="130"/>
        <v>0</v>
      </c>
      <c r="AG274" s="16">
        <f t="shared" si="131"/>
        <v>0</v>
      </c>
      <c r="AH274" s="16">
        <f t="shared" si="132"/>
        <v>0</v>
      </c>
      <c r="AJ274" s="13">
        <f t="shared" si="157"/>
        <v>0</v>
      </c>
      <c r="AK274" s="13">
        <f t="shared" si="157"/>
        <v>0</v>
      </c>
      <c r="AL274" s="13">
        <f t="shared" si="157"/>
        <v>0</v>
      </c>
      <c r="AM274" s="13">
        <f t="shared" si="157"/>
        <v>0</v>
      </c>
      <c r="AN274" s="13">
        <f t="shared" si="157"/>
        <v>0</v>
      </c>
      <c r="AO274" s="13">
        <f t="shared" si="157"/>
        <v>1</v>
      </c>
      <c r="AP274" s="13">
        <f t="shared" si="157"/>
        <v>1</v>
      </c>
      <c r="AQ274" s="13">
        <f t="shared" si="157"/>
        <v>1</v>
      </c>
      <c r="AR274" s="13">
        <f t="shared" si="157"/>
        <v>1</v>
      </c>
      <c r="AS274" s="13">
        <f t="shared" si="157"/>
        <v>1</v>
      </c>
      <c r="AT274" s="13">
        <f t="shared" si="157"/>
        <v>1</v>
      </c>
      <c r="AU274" s="13">
        <f t="shared" si="157"/>
        <v>1</v>
      </c>
      <c r="AV274" s="13">
        <f t="shared" si="122"/>
        <v>0</v>
      </c>
      <c r="AW274" s="13">
        <f t="shared" si="123"/>
        <v>1</v>
      </c>
      <c r="AY274" s="17">
        <f t="shared" si="124"/>
        <v>184</v>
      </c>
      <c r="AZ274" s="28">
        <f t="shared" si="133"/>
        <v>0</v>
      </c>
      <c r="BA274" s="13">
        <f t="shared" si="125"/>
        <v>0</v>
      </c>
      <c r="BB274" s="13">
        <f t="shared" si="126"/>
        <v>0</v>
      </c>
      <c r="BC274" s="28">
        <f t="shared" si="134"/>
        <v>0</v>
      </c>
      <c r="BD274" s="28">
        <f t="shared" si="135"/>
        <v>0</v>
      </c>
      <c r="BF274" s="248">
        <f t="shared" si="136"/>
        <v>993869.29442638322</v>
      </c>
      <c r="BG274" s="36">
        <f t="shared" si="145"/>
        <v>0</v>
      </c>
      <c r="BH274" s="36">
        <f t="shared" si="146"/>
        <v>850962.09563501237</v>
      </c>
      <c r="BI274" s="249">
        <f t="shared" si="147"/>
        <v>0</v>
      </c>
      <c r="BJ274" s="246">
        <f t="shared" si="148"/>
        <v>0</v>
      </c>
      <c r="BK274" s="246">
        <f t="shared" si="127"/>
        <v>7.531116566323881E-4</v>
      </c>
      <c r="BL274" s="246">
        <f t="shared" si="149"/>
        <v>0</v>
      </c>
      <c r="BM274" s="246">
        <f t="shared" si="150"/>
        <v>7.531116566323881E-4</v>
      </c>
      <c r="BN274" s="36">
        <f t="shared" si="137"/>
        <v>640.86947357505289</v>
      </c>
      <c r="BO274" s="36">
        <f t="shared" si="151"/>
        <v>0</v>
      </c>
      <c r="BP274" s="36">
        <f t="shared" si="152"/>
        <v>850321.22616143734</v>
      </c>
    </row>
    <row r="275" spans="1:68">
      <c r="A275" s="32">
        <f t="shared" si="138"/>
        <v>-100</v>
      </c>
      <c r="B275" s="32">
        <f t="shared" si="128"/>
        <v>68</v>
      </c>
      <c r="C275" s="32">
        <f t="shared" si="139"/>
        <v>16</v>
      </c>
      <c r="D275" s="32">
        <f t="shared" si="140"/>
        <v>185</v>
      </c>
      <c r="E275" s="74">
        <f>MIN(IF(AV275=0,0,
IF(Investment_Strategy="DIS",VLOOKUP(Investment_Strategy&amp;"_"&amp;Investment_Strategy_Sub1&amp;"_"&amp;$A275,'Investment Strategies'!$AZ:$BP,12,FALSE),
IF(AND(Investment_Strategy="Lifecycle",Investment_Strategy_Sub1="Non-Standard"),VLOOKUP(Investment_Strategy&amp;"_"&amp;Investment_Strategy_Sub2&amp;"_"&amp;$A275,'Investment Strategies'!$C:$P,9,FALSE),
IF(AND(Investment_Strategy="Lifecycle",Investment_Strategy_Sub1="Standard"),VLOOKUP(Investment_Strategy&amp;"_"&amp;Investment_Strategy_Sub2&amp;"_"&amp;$A275,'Investment Strategies'!$AJ:$AV,8,FALSE),
IF(AND(Investment_Strategy="Autopilot",Investment_Strategy_Sub1="Non-Standard"),VLOOKUP(Investment_Strategy&amp;"_"&amp;Investment_Strategy_Sub2&amp;"_"&amp;$A275,'Investment Strategies'!$T:$AF,8,FALSE),
IF(Investment_Strategy ="DIY",DIY_RateOfReturn_CurrentFunds,
"Error")))))),Max_InvReturn)</f>
        <v>0</v>
      </c>
      <c r="F275" s="62">
        <f>IF(AV275=0,0,
IF(Investment_Strategy="DIS",VLOOKUP(Investment_Strategy&amp;"_"&amp;Investment_Strategy_Sub1&amp;"_"&amp;$A275,'Investment Strategies'!$AZ:$BP,15,FALSE),
IF(AND(Investment_Strategy="Lifecycle",Investment_Strategy_Sub1="Non-Standard"),VLOOKUP(Investment_Strategy&amp;"_"&amp;Investment_Strategy_Sub2&amp;"_"&amp;$A275,'Investment Strategies'!$C:$P,12,FALSE),
IF(AND(Investment_Strategy="Lifecycle",Investment_Strategy_Sub1="Standard"),VLOOKUP(Investment_Strategy&amp;"_"&amp;Investment_Strategy_Sub2&amp;"_"&amp;$A275,'Investment Strategies'!$AJ:$AV,11,FALSE),
IF(AND(Investment_Strategy="Autopilot",Investment_Strategy_Sub1="Non-Standard"),VLOOKUP(Investment_Strategy&amp;"_"&amp;Investment_Strategy_Sub2&amp;"_"&amp;$A275,'Investment Strategies'!$T:$AF,11,FALSE),
IF(Investment_Strategy="DIY",DIY_GteeChrge_CurrentFunds,
"Error"))))))</f>
        <v>0</v>
      </c>
      <c r="G275" s="33">
        <f>IF(AV275=0,0,
IF(Investment_Strategy="DIS",VLOOKUP(Investment_Strategy&amp;"_"&amp;Investment_Strategy_Sub1&amp;"_"&amp;$A275,'Investment Strategies'!$AZ:$BP,17,FALSE),
IF(AND(Investment_Strategy="Lifecycle",Investment_Strategy_Sub1="Non-Standard"),VLOOKUP(Investment_Strategy&amp;"_"&amp;Investment_Strategy_Sub2&amp;"_"&amp;$A275,'Investment Strategies'!$C:$P,14,FALSE),
IF(AND(Investment_Strategy="Lifecycle",Investment_Strategy_Sub1="Standard"),VLOOKUP(Investment_Strategy&amp;"_"&amp;Investment_Strategy_Sub2&amp;"_"&amp;$A275,'Investment Strategies'!$AJ:$AV,13,FALSE),
IF(AND(Investment_Strategy="Autopilot",Investment_Strategy_Sub1="Non-Standard"),VLOOKUP(Investment_Strategy&amp;"_"&amp;Investment_Strategy_Sub2&amp;"_"&amp;$A275,'Investment Strategies'!$T:$AF,13,FALSE),
IF(Investment_Strategy="DIY",DIY_ExtManChrge_CurrentFunds,
"Error"))))))</f>
        <v>0</v>
      </c>
      <c r="H275" s="16">
        <f t="shared" si="129"/>
        <v>0</v>
      </c>
      <c r="I275" s="16">
        <f t="shared" si="113"/>
        <v>0</v>
      </c>
      <c r="J275" s="16">
        <f t="shared" si="114"/>
        <v>0</v>
      </c>
      <c r="K275" s="16">
        <f>(Opening_Fund_Value+SUM(K$91:K274))*E275*IF(D275=$A$91,SRP_finalmonthfactor,1)</f>
        <v>0</v>
      </c>
      <c r="L275" s="74">
        <f>MIN(IF($AV275=0,0,
IF(Investment_Strategy="DIS",VLOOKUP(Investment_Strategy&amp;"_"&amp;Investment_Strategy_Sub1&amp;"_"&amp;$A275,'Investment Strategies'!$AZ:$BP,12,FALSE),
IF(AND(Investment_Strategy="Lifecycle",Investment_Strategy_Sub1="Non-Standard"),VLOOKUP(Investment_Strategy&amp;"_"&amp;Investment_Strategy_Sub2&amp;"_"&amp;$A275,'Investment Strategies'!$C:$P,9,FALSE),
IF(AND(Investment_Strategy="Lifecycle",Investment_Strategy_Sub1="Standard"),VLOOKUP(Investment_Strategy&amp;"_"&amp;Investment_Strategy_Sub2&amp;"_"&amp;$A275,'Investment Strategies'!$AJ:$AV,8,FALSE),
IF(AND(Investment_Strategy="Autopilot",Investment_Strategy_Sub1="Non-Standard"),VLOOKUP(Investment_Strategy&amp;"_"&amp;Investment_Strategy_Sub2&amp;"_"&amp;$A275,'Investment Strategies'!$T:$AF,8,FALSE),
IF(Investment_Strategy ="DIY",DIY_RateofReturn_SP,
"Error")))))),Max_InvReturn)</f>
        <v>0</v>
      </c>
      <c r="M275" s="62">
        <f>IF($AV275=0,0,
IF(Investment_Strategy="DIS",VLOOKUP(Investment_Strategy&amp;"_"&amp;Investment_Strategy_Sub1&amp;"_"&amp;$A275,'Investment Strategies'!$AZ:$BP,15,FALSE),
IF(AND(Investment_Strategy="Lifecycle",Investment_Strategy_Sub1="Non-Standard"),VLOOKUP(Investment_Strategy&amp;"_"&amp;Investment_Strategy_Sub2&amp;"_"&amp;$A275,'Investment Strategies'!$C:$P,12,FALSE),
IF(AND(Investment_Strategy="Lifecycle",Investment_Strategy_Sub1="Standard"),VLOOKUP(Investment_Strategy&amp;"_"&amp;Investment_Strategy_Sub2&amp;"_"&amp;$A275,'Investment Strategies'!$AJ:$AV,11,FALSE),
IF(AND(Investment_Strategy="Autopilot",Investment_Strategy_Sub1="Non-Standard"),VLOOKUP(Investment_Strategy&amp;"_"&amp;Investment_Strategy_Sub2&amp;"_"&amp;$A275,'Investment Strategies'!$T:$AF,11,FALSE),
IF(Investment_Strategy="DIY",DIY_GteeChrge_SP,
"Error"))))))</f>
        <v>0</v>
      </c>
      <c r="N275" s="33">
        <f>IF($AV275=0,0,
IF(Investment_Strategy="DIS",VLOOKUP(Investment_Strategy&amp;"_"&amp;Investment_Strategy_Sub1&amp;"_"&amp;$A275,'Investment Strategies'!$AZ:$BP,17,FALSE),
IF(AND(Investment_Strategy="Lifecycle",Investment_Strategy_Sub1="Non-Standard"),VLOOKUP(Investment_Strategy&amp;"_"&amp;Investment_Strategy_Sub2&amp;"_"&amp;$A275,'Investment Strategies'!$C:$P,14,FALSE),
IF(AND(Investment_Strategy="Lifecycle",Investment_Strategy_Sub1="Standard"),VLOOKUP(Investment_Strategy&amp;"_"&amp;Investment_Strategy_Sub2&amp;"_"&amp;$A275,'Investment Strategies'!$AJ:$AV,13,FALSE),
IF(AND(Investment_Strategy="Autopilot",Investment_Strategy_Sub1="Non-Standard"),VLOOKUP(Investment_Strategy&amp;"_"&amp;Investment_Strategy_Sub2&amp;"_"&amp;$A275,'Investment Strategies'!$T:$AF,13,FALSE),
IF(Investment_Strategy="DIY",DIY_ExtManChrge_SP,
"Error"))))))</f>
        <v>0</v>
      </c>
      <c r="O275" s="16">
        <f t="shared" si="141"/>
        <v>0</v>
      </c>
      <c r="Q275" s="16">
        <f t="shared" si="115"/>
        <v>0</v>
      </c>
      <c r="R275" s="16">
        <f t="shared" si="116"/>
        <v>0</v>
      </c>
      <c r="S275" s="16">
        <f>(SRP_SP+SUM(S$91:S274))*L275*IF(D275=$A$91,SRP_finalmonthfactor,1)</f>
        <v>0</v>
      </c>
      <c r="T275" s="74">
        <f>MIN(IF($AV275=0,0,
IF(Investment_Strategy="DIS",VLOOKUP(Investment_Strategy&amp;"_"&amp;Investment_Strategy_Sub1&amp;"_"&amp;$A275,'Investment Strategies'!$AZ:$BP,12,FALSE),
IF(AND(Investment_Strategy="Lifecycle",Investment_Strategy_Sub1="Non-Standard"),VLOOKUP(Investment_Strategy&amp;"_"&amp;Investment_Strategy_Sub2&amp;"_"&amp;$A275,'Investment Strategies'!$C:$P,9,FALSE),
IF(AND(Investment_Strategy="Lifecycle",Investment_Strategy_Sub1="Standard"),VLOOKUP(Investment_Strategy&amp;"_"&amp;Investment_Strategy_Sub2&amp;"_"&amp;$A275,'Investment Strategies'!$AJ:$AV,8,FALSE),
IF(AND(Investment_Strategy="Autopilot",Investment_Strategy_Sub1="Non-Standard"),VLOOKUP(Investment_Strategy&amp;"_"&amp;Investment_Strategy_Sub2&amp;"_"&amp;$A275,'Investment Strategies'!$T:$AF,8,FALSE),
IF(Investment_Strategy ="DIY",DIY_RateOfReturn_FuturePremiums,
"Error")))))),Max_InvReturn)</f>
        <v>0</v>
      </c>
      <c r="U275" s="62">
        <f>IF($AV275=0,0,
IF(Investment_Strategy="DIS",VLOOKUP(Investment_Strategy&amp;"_"&amp;Investment_Strategy_Sub1&amp;"_"&amp;$A275,'Investment Strategies'!$AZ:$BP,15,FALSE),
IF(AND(Investment_Strategy="Lifecycle",Investment_Strategy_Sub1="Non-Standard"),VLOOKUP(Investment_Strategy&amp;"_"&amp;Investment_Strategy_Sub2&amp;"_"&amp;$A275,'Investment Strategies'!$C:$P,12,FALSE),
IF(AND(Investment_Strategy="Lifecycle",Investment_Strategy_Sub1="Standard"),VLOOKUP(Investment_Strategy&amp;"_"&amp;Investment_Strategy_Sub2&amp;"_"&amp;$A275,'Investment Strategies'!$AJ:$AV,11,FALSE),
IF(AND(Investment_Strategy="Autopilot",Investment_Strategy_Sub1="Non-Standard"),VLOOKUP(Investment_Strategy&amp;"_"&amp;Investment_Strategy_Sub2&amp;"_"&amp;$A275,'Investment Strategies'!$T:$AF,11,FALSE),
IF(Investment_Strategy="DIY",DIY_GteeChrge_FuturePremiums,
"Error"))))))</f>
        <v>0</v>
      </c>
      <c r="V275" s="33">
        <f>IF(AV275=0,0,
IF(Investment_Strategy="DIS",VLOOKUP(Investment_Strategy&amp;"_"&amp;Investment_Strategy_Sub1&amp;"_"&amp;$A275,'Investment Strategies'!$AZ:$BP,17,FALSE),
IF(AND(Investment_Strategy="Lifecycle",Investment_Strategy_Sub1="Non-Standard"),VLOOKUP(Investment_Strategy&amp;"_"&amp;Investment_Strategy_Sub2&amp;"_"&amp;$A275,'Investment Strategies'!$C:$P,14,FALSE),
IF(AND(Investment_Strategy="Lifecycle",Investment_Strategy_Sub1="Standard"),VLOOKUP(Investment_Strategy&amp;"_"&amp;Investment_Strategy_Sub2&amp;"_"&amp;$A275,'Investment Strategies'!$AJ:$AV,13,FALSE),
IF(AND(Investment_Strategy="Autopilot",Investment_Strategy_Sub1="Non-Standard"),VLOOKUP(Investment_Strategy&amp;"_"&amp;Investment_Strategy_Sub2&amp;"_"&amp;$A275,'Investment Strategies'!$T:$AF,13,FALSE),
IF(Investment_Strategy="DIY",DIY_ExtManChrge_FuturePremiums,
"Error"))))))</f>
        <v>0</v>
      </c>
      <c r="W275" s="16">
        <f t="shared" si="142"/>
        <v>0</v>
      </c>
      <c r="X275" s="16">
        <f t="shared" si="117"/>
        <v>0</v>
      </c>
      <c r="Y275" s="16">
        <f t="shared" si="118"/>
        <v>0</v>
      </c>
      <c r="Z275" s="31">
        <f t="shared" si="119"/>
        <v>0.02</v>
      </c>
      <c r="AA275" s="16">
        <f t="shared" si="120"/>
        <v>0</v>
      </c>
      <c r="AB275" s="28">
        <f t="shared" si="144"/>
        <v>0</v>
      </c>
      <c r="AC275" s="28">
        <f>(SUM($AC$91:AC274)+SUM($X$91:X274)+X275)*T275*IF(D275=$A$91,SRP_finalmonthfactor,1)</f>
        <v>0</v>
      </c>
      <c r="AD275" s="16">
        <f t="shared" si="121"/>
        <v>0</v>
      </c>
      <c r="AE275" s="106"/>
      <c r="AF275" s="16">
        <f t="shared" si="130"/>
        <v>0</v>
      </c>
      <c r="AG275" s="16">
        <f t="shared" si="131"/>
        <v>0</v>
      </c>
      <c r="AH275" s="16">
        <f t="shared" si="132"/>
        <v>0</v>
      </c>
      <c r="AJ275" s="13">
        <f t="shared" si="157"/>
        <v>0</v>
      </c>
      <c r="AK275" s="13">
        <f t="shared" si="157"/>
        <v>0</v>
      </c>
      <c r="AL275" s="13">
        <f t="shared" si="157"/>
        <v>0</v>
      </c>
      <c r="AM275" s="13">
        <f t="shared" si="157"/>
        <v>0</v>
      </c>
      <c r="AN275" s="13">
        <f t="shared" si="157"/>
        <v>0</v>
      </c>
      <c r="AO275" s="13">
        <f t="shared" si="157"/>
        <v>1</v>
      </c>
      <c r="AP275" s="13">
        <f t="shared" si="157"/>
        <v>1</v>
      </c>
      <c r="AQ275" s="13">
        <f t="shared" si="157"/>
        <v>1</v>
      </c>
      <c r="AR275" s="13">
        <f t="shared" si="157"/>
        <v>1</v>
      </c>
      <c r="AS275" s="13">
        <f t="shared" si="157"/>
        <v>1</v>
      </c>
      <c r="AT275" s="13">
        <f t="shared" si="157"/>
        <v>1</v>
      </c>
      <c r="AU275" s="13">
        <f t="shared" si="157"/>
        <v>1</v>
      </c>
      <c r="AV275" s="13">
        <f t="shared" si="122"/>
        <v>0</v>
      </c>
      <c r="AW275" s="13">
        <f t="shared" si="123"/>
        <v>1</v>
      </c>
      <c r="AY275" s="17">
        <f t="shared" si="124"/>
        <v>185</v>
      </c>
      <c r="AZ275" s="28">
        <f t="shared" si="133"/>
        <v>0</v>
      </c>
      <c r="BA275" s="13">
        <f t="shared" si="125"/>
        <v>0</v>
      </c>
      <c r="BB275" s="13">
        <f t="shared" si="126"/>
        <v>0</v>
      </c>
      <c r="BC275" s="28">
        <f t="shared" si="134"/>
        <v>0</v>
      </c>
      <c r="BD275" s="28">
        <f t="shared" si="135"/>
        <v>0</v>
      </c>
      <c r="BF275" s="248">
        <f t="shared" si="136"/>
        <v>993869.29442638322</v>
      </c>
      <c r="BG275" s="36">
        <f t="shared" si="145"/>
        <v>0</v>
      </c>
      <c r="BH275" s="36">
        <f t="shared" si="146"/>
        <v>850321.22616143734</v>
      </c>
      <c r="BI275" s="249">
        <f t="shared" si="147"/>
        <v>0</v>
      </c>
      <c r="BJ275" s="246">
        <f t="shared" si="148"/>
        <v>0</v>
      </c>
      <c r="BK275" s="246">
        <f t="shared" si="127"/>
        <v>7.531116566323881E-4</v>
      </c>
      <c r="BL275" s="246">
        <f t="shared" si="149"/>
        <v>0</v>
      </c>
      <c r="BM275" s="246">
        <f t="shared" si="150"/>
        <v>7.531116566323881E-4</v>
      </c>
      <c r="BN275" s="36">
        <f t="shared" si="137"/>
        <v>640.38682730412359</v>
      </c>
      <c r="BO275" s="36">
        <f t="shared" si="151"/>
        <v>0</v>
      </c>
      <c r="BP275" s="36">
        <f t="shared" si="152"/>
        <v>849680.8393341332</v>
      </c>
    </row>
    <row r="276" spans="1:68">
      <c r="A276" s="32">
        <f t="shared" si="138"/>
        <v>-101</v>
      </c>
      <c r="B276" s="32">
        <f t="shared" si="128"/>
        <v>68</v>
      </c>
      <c r="C276" s="32">
        <f t="shared" si="139"/>
        <v>16</v>
      </c>
      <c r="D276" s="32">
        <f t="shared" si="140"/>
        <v>186</v>
      </c>
      <c r="E276" s="74">
        <f>MIN(IF(AV276=0,0,
IF(Investment_Strategy="DIS",VLOOKUP(Investment_Strategy&amp;"_"&amp;Investment_Strategy_Sub1&amp;"_"&amp;$A276,'Investment Strategies'!$AZ:$BP,12,FALSE),
IF(AND(Investment_Strategy="Lifecycle",Investment_Strategy_Sub1="Non-Standard"),VLOOKUP(Investment_Strategy&amp;"_"&amp;Investment_Strategy_Sub2&amp;"_"&amp;$A276,'Investment Strategies'!$C:$P,9,FALSE),
IF(AND(Investment_Strategy="Lifecycle",Investment_Strategy_Sub1="Standard"),VLOOKUP(Investment_Strategy&amp;"_"&amp;Investment_Strategy_Sub2&amp;"_"&amp;$A276,'Investment Strategies'!$AJ:$AV,8,FALSE),
IF(AND(Investment_Strategy="Autopilot",Investment_Strategy_Sub1="Non-Standard"),VLOOKUP(Investment_Strategy&amp;"_"&amp;Investment_Strategy_Sub2&amp;"_"&amp;$A276,'Investment Strategies'!$T:$AF,8,FALSE),
IF(Investment_Strategy ="DIY",DIY_RateOfReturn_CurrentFunds,
"Error")))))),Max_InvReturn)</f>
        <v>0</v>
      </c>
      <c r="F276" s="62">
        <f>IF(AV276=0,0,
IF(Investment_Strategy="DIS",VLOOKUP(Investment_Strategy&amp;"_"&amp;Investment_Strategy_Sub1&amp;"_"&amp;$A276,'Investment Strategies'!$AZ:$BP,15,FALSE),
IF(AND(Investment_Strategy="Lifecycle",Investment_Strategy_Sub1="Non-Standard"),VLOOKUP(Investment_Strategy&amp;"_"&amp;Investment_Strategy_Sub2&amp;"_"&amp;$A276,'Investment Strategies'!$C:$P,12,FALSE),
IF(AND(Investment_Strategy="Lifecycle",Investment_Strategy_Sub1="Standard"),VLOOKUP(Investment_Strategy&amp;"_"&amp;Investment_Strategy_Sub2&amp;"_"&amp;$A276,'Investment Strategies'!$AJ:$AV,11,FALSE),
IF(AND(Investment_Strategy="Autopilot",Investment_Strategy_Sub1="Non-Standard"),VLOOKUP(Investment_Strategy&amp;"_"&amp;Investment_Strategy_Sub2&amp;"_"&amp;$A276,'Investment Strategies'!$T:$AF,11,FALSE),
IF(Investment_Strategy="DIY",DIY_GteeChrge_CurrentFunds,
"Error"))))))</f>
        <v>0</v>
      </c>
      <c r="G276" s="33">
        <f>IF(AV276=0,0,
IF(Investment_Strategy="DIS",VLOOKUP(Investment_Strategy&amp;"_"&amp;Investment_Strategy_Sub1&amp;"_"&amp;$A276,'Investment Strategies'!$AZ:$BP,17,FALSE),
IF(AND(Investment_Strategy="Lifecycle",Investment_Strategy_Sub1="Non-Standard"),VLOOKUP(Investment_Strategy&amp;"_"&amp;Investment_Strategy_Sub2&amp;"_"&amp;$A276,'Investment Strategies'!$C:$P,14,FALSE),
IF(AND(Investment_Strategy="Lifecycle",Investment_Strategy_Sub1="Standard"),VLOOKUP(Investment_Strategy&amp;"_"&amp;Investment_Strategy_Sub2&amp;"_"&amp;$A276,'Investment Strategies'!$AJ:$AV,13,FALSE),
IF(AND(Investment_Strategy="Autopilot",Investment_Strategy_Sub1="Non-Standard"),VLOOKUP(Investment_Strategy&amp;"_"&amp;Investment_Strategy_Sub2&amp;"_"&amp;$A276,'Investment Strategies'!$T:$AF,13,FALSE),
IF(Investment_Strategy="DIY",DIY_ExtManChrge_CurrentFunds,
"Error"))))))</f>
        <v>0</v>
      </c>
      <c r="H276" s="16">
        <f t="shared" si="129"/>
        <v>0</v>
      </c>
      <c r="I276" s="16">
        <f t="shared" si="113"/>
        <v>0</v>
      </c>
      <c r="J276" s="16">
        <f t="shared" si="114"/>
        <v>0</v>
      </c>
      <c r="K276" s="16">
        <f>(Opening_Fund_Value+SUM(K$91:K275))*E276*IF(D276=$A$91,SRP_finalmonthfactor,1)</f>
        <v>0</v>
      </c>
      <c r="L276" s="74">
        <f>MIN(IF($AV276=0,0,
IF(Investment_Strategy="DIS",VLOOKUP(Investment_Strategy&amp;"_"&amp;Investment_Strategy_Sub1&amp;"_"&amp;$A276,'Investment Strategies'!$AZ:$BP,12,FALSE),
IF(AND(Investment_Strategy="Lifecycle",Investment_Strategy_Sub1="Non-Standard"),VLOOKUP(Investment_Strategy&amp;"_"&amp;Investment_Strategy_Sub2&amp;"_"&amp;$A276,'Investment Strategies'!$C:$P,9,FALSE),
IF(AND(Investment_Strategy="Lifecycle",Investment_Strategy_Sub1="Standard"),VLOOKUP(Investment_Strategy&amp;"_"&amp;Investment_Strategy_Sub2&amp;"_"&amp;$A276,'Investment Strategies'!$AJ:$AV,8,FALSE),
IF(AND(Investment_Strategy="Autopilot",Investment_Strategy_Sub1="Non-Standard"),VLOOKUP(Investment_Strategy&amp;"_"&amp;Investment_Strategy_Sub2&amp;"_"&amp;$A276,'Investment Strategies'!$T:$AF,8,FALSE),
IF(Investment_Strategy ="DIY",DIY_RateofReturn_SP,
"Error")))))),Max_InvReturn)</f>
        <v>0</v>
      </c>
      <c r="M276" s="62">
        <f>IF($AV276=0,0,
IF(Investment_Strategy="DIS",VLOOKUP(Investment_Strategy&amp;"_"&amp;Investment_Strategy_Sub1&amp;"_"&amp;$A276,'Investment Strategies'!$AZ:$BP,15,FALSE),
IF(AND(Investment_Strategy="Lifecycle",Investment_Strategy_Sub1="Non-Standard"),VLOOKUP(Investment_Strategy&amp;"_"&amp;Investment_Strategy_Sub2&amp;"_"&amp;$A276,'Investment Strategies'!$C:$P,12,FALSE),
IF(AND(Investment_Strategy="Lifecycle",Investment_Strategy_Sub1="Standard"),VLOOKUP(Investment_Strategy&amp;"_"&amp;Investment_Strategy_Sub2&amp;"_"&amp;$A276,'Investment Strategies'!$AJ:$AV,11,FALSE),
IF(AND(Investment_Strategy="Autopilot",Investment_Strategy_Sub1="Non-Standard"),VLOOKUP(Investment_Strategy&amp;"_"&amp;Investment_Strategy_Sub2&amp;"_"&amp;$A276,'Investment Strategies'!$T:$AF,11,FALSE),
IF(Investment_Strategy="DIY",DIY_GteeChrge_SP,
"Error"))))))</f>
        <v>0</v>
      </c>
      <c r="N276" s="33">
        <f>IF($AV276=0,0,
IF(Investment_Strategy="DIS",VLOOKUP(Investment_Strategy&amp;"_"&amp;Investment_Strategy_Sub1&amp;"_"&amp;$A276,'Investment Strategies'!$AZ:$BP,17,FALSE),
IF(AND(Investment_Strategy="Lifecycle",Investment_Strategy_Sub1="Non-Standard"),VLOOKUP(Investment_Strategy&amp;"_"&amp;Investment_Strategy_Sub2&amp;"_"&amp;$A276,'Investment Strategies'!$C:$P,14,FALSE),
IF(AND(Investment_Strategy="Lifecycle",Investment_Strategy_Sub1="Standard"),VLOOKUP(Investment_Strategy&amp;"_"&amp;Investment_Strategy_Sub2&amp;"_"&amp;$A276,'Investment Strategies'!$AJ:$AV,13,FALSE),
IF(AND(Investment_Strategy="Autopilot",Investment_Strategy_Sub1="Non-Standard"),VLOOKUP(Investment_Strategy&amp;"_"&amp;Investment_Strategy_Sub2&amp;"_"&amp;$A276,'Investment Strategies'!$T:$AF,13,FALSE),
IF(Investment_Strategy="DIY",DIY_ExtManChrge_SP,
"Error"))))))</f>
        <v>0</v>
      </c>
      <c r="O276" s="16">
        <f t="shared" si="141"/>
        <v>0</v>
      </c>
      <c r="Q276" s="16">
        <f t="shared" si="115"/>
        <v>0</v>
      </c>
      <c r="R276" s="16">
        <f t="shared" si="116"/>
        <v>0</v>
      </c>
      <c r="S276" s="16">
        <f>(SRP_SP+SUM(S$91:S275))*L276*IF(D276=$A$91,SRP_finalmonthfactor,1)</f>
        <v>0</v>
      </c>
      <c r="T276" s="74">
        <f>MIN(IF($AV276=0,0,
IF(Investment_Strategy="DIS",VLOOKUP(Investment_Strategy&amp;"_"&amp;Investment_Strategy_Sub1&amp;"_"&amp;$A276,'Investment Strategies'!$AZ:$BP,12,FALSE),
IF(AND(Investment_Strategy="Lifecycle",Investment_Strategy_Sub1="Non-Standard"),VLOOKUP(Investment_Strategy&amp;"_"&amp;Investment_Strategy_Sub2&amp;"_"&amp;$A276,'Investment Strategies'!$C:$P,9,FALSE),
IF(AND(Investment_Strategy="Lifecycle",Investment_Strategy_Sub1="Standard"),VLOOKUP(Investment_Strategy&amp;"_"&amp;Investment_Strategy_Sub2&amp;"_"&amp;$A276,'Investment Strategies'!$AJ:$AV,8,FALSE),
IF(AND(Investment_Strategy="Autopilot",Investment_Strategy_Sub1="Non-Standard"),VLOOKUP(Investment_Strategy&amp;"_"&amp;Investment_Strategy_Sub2&amp;"_"&amp;$A276,'Investment Strategies'!$T:$AF,8,FALSE),
IF(Investment_Strategy ="DIY",DIY_RateOfReturn_FuturePremiums,
"Error")))))),Max_InvReturn)</f>
        <v>0</v>
      </c>
      <c r="U276" s="62">
        <f>IF($AV276=0,0,
IF(Investment_Strategy="DIS",VLOOKUP(Investment_Strategy&amp;"_"&amp;Investment_Strategy_Sub1&amp;"_"&amp;$A276,'Investment Strategies'!$AZ:$BP,15,FALSE),
IF(AND(Investment_Strategy="Lifecycle",Investment_Strategy_Sub1="Non-Standard"),VLOOKUP(Investment_Strategy&amp;"_"&amp;Investment_Strategy_Sub2&amp;"_"&amp;$A276,'Investment Strategies'!$C:$P,12,FALSE),
IF(AND(Investment_Strategy="Lifecycle",Investment_Strategy_Sub1="Standard"),VLOOKUP(Investment_Strategy&amp;"_"&amp;Investment_Strategy_Sub2&amp;"_"&amp;$A276,'Investment Strategies'!$AJ:$AV,11,FALSE),
IF(AND(Investment_Strategy="Autopilot",Investment_Strategy_Sub1="Non-Standard"),VLOOKUP(Investment_Strategy&amp;"_"&amp;Investment_Strategy_Sub2&amp;"_"&amp;$A276,'Investment Strategies'!$T:$AF,11,FALSE),
IF(Investment_Strategy="DIY",DIY_GteeChrge_FuturePremiums,
"Error"))))))</f>
        <v>0</v>
      </c>
      <c r="V276" s="33">
        <f>IF(AV276=0,0,
IF(Investment_Strategy="DIS",VLOOKUP(Investment_Strategy&amp;"_"&amp;Investment_Strategy_Sub1&amp;"_"&amp;$A276,'Investment Strategies'!$AZ:$BP,17,FALSE),
IF(AND(Investment_Strategy="Lifecycle",Investment_Strategy_Sub1="Non-Standard"),VLOOKUP(Investment_Strategy&amp;"_"&amp;Investment_Strategy_Sub2&amp;"_"&amp;$A276,'Investment Strategies'!$C:$P,14,FALSE),
IF(AND(Investment_Strategy="Lifecycle",Investment_Strategy_Sub1="Standard"),VLOOKUP(Investment_Strategy&amp;"_"&amp;Investment_Strategy_Sub2&amp;"_"&amp;$A276,'Investment Strategies'!$AJ:$AV,13,FALSE),
IF(AND(Investment_Strategy="Autopilot",Investment_Strategy_Sub1="Non-Standard"),VLOOKUP(Investment_Strategy&amp;"_"&amp;Investment_Strategy_Sub2&amp;"_"&amp;$A276,'Investment Strategies'!$T:$AF,13,FALSE),
IF(Investment_Strategy="DIY",DIY_ExtManChrge_FuturePremiums,
"Error"))))))</f>
        <v>0</v>
      </c>
      <c r="W276" s="16">
        <f t="shared" si="142"/>
        <v>0</v>
      </c>
      <c r="X276" s="16">
        <f t="shared" si="117"/>
        <v>0</v>
      </c>
      <c r="Y276" s="16">
        <f t="shared" si="118"/>
        <v>0</v>
      </c>
      <c r="Z276" s="31">
        <f t="shared" si="119"/>
        <v>0.02</v>
      </c>
      <c r="AA276" s="16">
        <f t="shared" si="120"/>
        <v>0</v>
      </c>
      <c r="AB276" s="28">
        <f t="shared" si="144"/>
        <v>0</v>
      </c>
      <c r="AC276" s="28">
        <f>(SUM($AC$91:AC275)+SUM($X$91:X275)+X276)*T276*IF(D276=$A$91,SRP_finalmonthfactor,1)</f>
        <v>0</v>
      </c>
      <c r="AD276" s="16">
        <f t="shared" si="121"/>
        <v>0</v>
      </c>
      <c r="AE276" s="106"/>
      <c r="AF276" s="16">
        <f t="shared" si="130"/>
        <v>0</v>
      </c>
      <c r="AG276" s="16">
        <f t="shared" si="131"/>
        <v>0</v>
      </c>
      <c r="AH276" s="16">
        <f t="shared" si="132"/>
        <v>0</v>
      </c>
      <c r="AJ276" s="13">
        <f t="shared" si="157"/>
        <v>0</v>
      </c>
      <c r="AK276" s="13">
        <f t="shared" si="157"/>
        <v>0</v>
      </c>
      <c r="AL276" s="13">
        <f t="shared" si="157"/>
        <v>0</v>
      </c>
      <c r="AM276" s="13">
        <f t="shared" si="157"/>
        <v>0</v>
      </c>
      <c r="AN276" s="13">
        <f t="shared" si="157"/>
        <v>0</v>
      </c>
      <c r="AO276" s="13">
        <f t="shared" si="157"/>
        <v>1</v>
      </c>
      <c r="AP276" s="13">
        <f t="shared" si="157"/>
        <v>1</v>
      </c>
      <c r="AQ276" s="13">
        <f t="shared" si="157"/>
        <v>1</v>
      </c>
      <c r="AR276" s="13">
        <f t="shared" si="157"/>
        <v>1</v>
      </c>
      <c r="AS276" s="13">
        <f t="shared" si="157"/>
        <v>1</v>
      </c>
      <c r="AT276" s="13">
        <f t="shared" si="157"/>
        <v>1</v>
      </c>
      <c r="AU276" s="13">
        <f t="shared" si="157"/>
        <v>1</v>
      </c>
      <c r="AV276" s="13">
        <f t="shared" si="122"/>
        <v>0</v>
      </c>
      <c r="AW276" s="13">
        <f t="shared" si="123"/>
        <v>1</v>
      </c>
      <c r="AY276" s="17">
        <f t="shared" si="124"/>
        <v>186</v>
      </c>
      <c r="AZ276" s="28">
        <f t="shared" si="133"/>
        <v>0</v>
      </c>
      <c r="BA276" s="13">
        <f t="shared" si="125"/>
        <v>0</v>
      </c>
      <c r="BB276" s="13">
        <f t="shared" si="126"/>
        <v>0</v>
      </c>
      <c r="BC276" s="28">
        <f t="shared" si="134"/>
        <v>0</v>
      </c>
      <c r="BD276" s="28">
        <f t="shared" si="135"/>
        <v>0</v>
      </c>
      <c r="BF276" s="248">
        <f t="shared" si="136"/>
        <v>993869.29442638322</v>
      </c>
      <c r="BG276" s="36">
        <f t="shared" si="145"/>
        <v>0</v>
      </c>
      <c r="BH276" s="36">
        <f t="shared" si="146"/>
        <v>849680.8393341332</v>
      </c>
      <c r="BI276" s="249">
        <f t="shared" si="147"/>
        <v>0</v>
      </c>
      <c r="BJ276" s="246">
        <f t="shared" si="148"/>
        <v>0</v>
      </c>
      <c r="BK276" s="246">
        <f t="shared" si="127"/>
        <v>7.531116566323881E-4</v>
      </c>
      <c r="BL276" s="246">
        <f t="shared" si="149"/>
        <v>0</v>
      </c>
      <c r="BM276" s="246">
        <f t="shared" si="150"/>
        <v>7.531116566323881E-4</v>
      </c>
      <c r="BN276" s="36">
        <f t="shared" si="137"/>
        <v>639.9045445197271</v>
      </c>
      <c r="BO276" s="36">
        <f t="shared" si="151"/>
        <v>0</v>
      </c>
      <c r="BP276" s="36">
        <f t="shared" si="152"/>
        <v>849040.93478961347</v>
      </c>
    </row>
    <row r="277" spans="1:68">
      <c r="A277" s="32">
        <f t="shared" si="138"/>
        <v>-102</v>
      </c>
      <c r="B277" s="32">
        <f t="shared" si="128"/>
        <v>68</v>
      </c>
      <c r="C277" s="32">
        <f t="shared" si="139"/>
        <v>16</v>
      </c>
      <c r="D277" s="32">
        <f t="shared" si="140"/>
        <v>187</v>
      </c>
      <c r="E277" s="74">
        <f>MIN(IF(AV277=0,0,
IF(Investment_Strategy="DIS",VLOOKUP(Investment_Strategy&amp;"_"&amp;Investment_Strategy_Sub1&amp;"_"&amp;$A277,'Investment Strategies'!$AZ:$BP,12,FALSE),
IF(AND(Investment_Strategy="Lifecycle",Investment_Strategy_Sub1="Non-Standard"),VLOOKUP(Investment_Strategy&amp;"_"&amp;Investment_Strategy_Sub2&amp;"_"&amp;$A277,'Investment Strategies'!$C:$P,9,FALSE),
IF(AND(Investment_Strategy="Lifecycle",Investment_Strategy_Sub1="Standard"),VLOOKUP(Investment_Strategy&amp;"_"&amp;Investment_Strategy_Sub2&amp;"_"&amp;$A277,'Investment Strategies'!$AJ:$AV,8,FALSE),
IF(AND(Investment_Strategy="Autopilot",Investment_Strategy_Sub1="Non-Standard"),VLOOKUP(Investment_Strategy&amp;"_"&amp;Investment_Strategy_Sub2&amp;"_"&amp;$A277,'Investment Strategies'!$T:$AF,8,FALSE),
IF(Investment_Strategy ="DIY",DIY_RateOfReturn_CurrentFunds,
"Error")))))),Max_InvReturn)</f>
        <v>0</v>
      </c>
      <c r="F277" s="62">
        <f>IF(AV277=0,0,
IF(Investment_Strategy="DIS",VLOOKUP(Investment_Strategy&amp;"_"&amp;Investment_Strategy_Sub1&amp;"_"&amp;$A277,'Investment Strategies'!$AZ:$BP,15,FALSE),
IF(AND(Investment_Strategy="Lifecycle",Investment_Strategy_Sub1="Non-Standard"),VLOOKUP(Investment_Strategy&amp;"_"&amp;Investment_Strategy_Sub2&amp;"_"&amp;$A277,'Investment Strategies'!$C:$P,12,FALSE),
IF(AND(Investment_Strategy="Lifecycle",Investment_Strategy_Sub1="Standard"),VLOOKUP(Investment_Strategy&amp;"_"&amp;Investment_Strategy_Sub2&amp;"_"&amp;$A277,'Investment Strategies'!$AJ:$AV,11,FALSE),
IF(AND(Investment_Strategy="Autopilot",Investment_Strategy_Sub1="Non-Standard"),VLOOKUP(Investment_Strategy&amp;"_"&amp;Investment_Strategy_Sub2&amp;"_"&amp;$A277,'Investment Strategies'!$T:$AF,11,FALSE),
IF(Investment_Strategy="DIY",DIY_GteeChrge_CurrentFunds,
"Error"))))))</f>
        <v>0</v>
      </c>
      <c r="G277" s="33">
        <f>IF(AV277=0,0,
IF(Investment_Strategy="DIS",VLOOKUP(Investment_Strategy&amp;"_"&amp;Investment_Strategy_Sub1&amp;"_"&amp;$A277,'Investment Strategies'!$AZ:$BP,17,FALSE),
IF(AND(Investment_Strategy="Lifecycle",Investment_Strategy_Sub1="Non-Standard"),VLOOKUP(Investment_Strategy&amp;"_"&amp;Investment_Strategy_Sub2&amp;"_"&amp;$A277,'Investment Strategies'!$C:$P,14,FALSE),
IF(AND(Investment_Strategy="Lifecycle",Investment_Strategy_Sub1="Standard"),VLOOKUP(Investment_Strategy&amp;"_"&amp;Investment_Strategy_Sub2&amp;"_"&amp;$A277,'Investment Strategies'!$AJ:$AV,13,FALSE),
IF(AND(Investment_Strategy="Autopilot",Investment_Strategy_Sub1="Non-Standard"),VLOOKUP(Investment_Strategy&amp;"_"&amp;Investment_Strategy_Sub2&amp;"_"&amp;$A277,'Investment Strategies'!$T:$AF,13,FALSE),
IF(Investment_Strategy="DIY",DIY_ExtManChrge_CurrentFunds,
"Error"))))))</f>
        <v>0</v>
      </c>
      <c r="H277" s="16">
        <f t="shared" si="129"/>
        <v>0</v>
      </c>
      <c r="I277" s="16">
        <f t="shared" si="113"/>
        <v>0</v>
      </c>
      <c r="J277" s="16">
        <f t="shared" si="114"/>
        <v>0</v>
      </c>
      <c r="K277" s="16">
        <f>(Opening_Fund_Value+SUM(K$91:K276))*E277*IF(D277=$A$91,SRP_finalmonthfactor,1)</f>
        <v>0</v>
      </c>
      <c r="L277" s="74">
        <f>MIN(IF($AV277=0,0,
IF(Investment_Strategy="DIS",VLOOKUP(Investment_Strategy&amp;"_"&amp;Investment_Strategy_Sub1&amp;"_"&amp;$A277,'Investment Strategies'!$AZ:$BP,12,FALSE),
IF(AND(Investment_Strategy="Lifecycle",Investment_Strategy_Sub1="Non-Standard"),VLOOKUP(Investment_Strategy&amp;"_"&amp;Investment_Strategy_Sub2&amp;"_"&amp;$A277,'Investment Strategies'!$C:$P,9,FALSE),
IF(AND(Investment_Strategy="Lifecycle",Investment_Strategy_Sub1="Standard"),VLOOKUP(Investment_Strategy&amp;"_"&amp;Investment_Strategy_Sub2&amp;"_"&amp;$A277,'Investment Strategies'!$AJ:$AV,8,FALSE),
IF(AND(Investment_Strategy="Autopilot",Investment_Strategy_Sub1="Non-Standard"),VLOOKUP(Investment_Strategy&amp;"_"&amp;Investment_Strategy_Sub2&amp;"_"&amp;$A277,'Investment Strategies'!$T:$AF,8,FALSE),
IF(Investment_Strategy ="DIY",DIY_RateofReturn_SP,
"Error")))))),Max_InvReturn)</f>
        <v>0</v>
      </c>
      <c r="M277" s="62">
        <f>IF($AV277=0,0,
IF(Investment_Strategy="DIS",VLOOKUP(Investment_Strategy&amp;"_"&amp;Investment_Strategy_Sub1&amp;"_"&amp;$A277,'Investment Strategies'!$AZ:$BP,15,FALSE),
IF(AND(Investment_Strategy="Lifecycle",Investment_Strategy_Sub1="Non-Standard"),VLOOKUP(Investment_Strategy&amp;"_"&amp;Investment_Strategy_Sub2&amp;"_"&amp;$A277,'Investment Strategies'!$C:$P,12,FALSE),
IF(AND(Investment_Strategy="Lifecycle",Investment_Strategy_Sub1="Standard"),VLOOKUP(Investment_Strategy&amp;"_"&amp;Investment_Strategy_Sub2&amp;"_"&amp;$A277,'Investment Strategies'!$AJ:$AV,11,FALSE),
IF(AND(Investment_Strategy="Autopilot",Investment_Strategy_Sub1="Non-Standard"),VLOOKUP(Investment_Strategy&amp;"_"&amp;Investment_Strategy_Sub2&amp;"_"&amp;$A277,'Investment Strategies'!$T:$AF,11,FALSE),
IF(Investment_Strategy="DIY",DIY_GteeChrge_SP,
"Error"))))))</f>
        <v>0</v>
      </c>
      <c r="N277" s="33">
        <f>IF($AV277=0,0,
IF(Investment_Strategy="DIS",VLOOKUP(Investment_Strategy&amp;"_"&amp;Investment_Strategy_Sub1&amp;"_"&amp;$A277,'Investment Strategies'!$AZ:$BP,17,FALSE),
IF(AND(Investment_Strategy="Lifecycle",Investment_Strategy_Sub1="Non-Standard"),VLOOKUP(Investment_Strategy&amp;"_"&amp;Investment_Strategy_Sub2&amp;"_"&amp;$A277,'Investment Strategies'!$C:$P,14,FALSE),
IF(AND(Investment_Strategy="Lifecycle",Investment_Strategy_Sub1="Standard"),VLOOKUP(Investment_Strategy&amp;"_"&amp;Investment_Strategy_Sub2&amp;"_"&amp;$A277,'Investment Strategies'!$AJ:$AV,13,FALSE),
IF(AND(Investment_Strategy="Autopilot",Investment_Strategy_Sub1="Non-Standard"),VLOOKUP(Investment_Strategy&amp;"_"&amp;Investment_Strategy_Sub2&amp;"_"&amp;$A277,'Investment Strategies'!$T:$AF,13,FALSE),
IF(Investment_Strategy="DIY",DIY_ExtManChrge_SP,
"Error"))))))</f>
        <v>0</v>
      </c>
      <c r="O277" s="16">
        <f t="shared" si="141"/>
        <v>0</v>
      </c>
      <c r="Q277" s="16">
        <f t="shared" si="115"/>
        <v>0</v>
      </c>
      <c r="R277" s="16">
        <f t="shared" si="116"/>
        <v>0</v>
      </c>
      <c r="S277" s="16">
        <f>(SRP_SP+SUM(S$91:S276))*L277*IF(D277=$A$91,SRP_finalmonthfactor,1)</f>
        <v>0</v>
      </c>
      <c r="T277" s="74">
        <f>MIN(IF($AV277=0,0,
IF(Investment_Strategy="DIS",VLOOKUP(Investment_Strategy&amp;"_"&amp;Investment_Strategy_Sub1&amp;"_"&amp;$A277,'Investment Strategies'!$AZ:$BP,12,FALSE),
IF(AND(Investment_Strategy="Lifecycle",Investment_Strategy_Sub1="Non-Standard"),VLOOKUP(Investment_Strategy&amp;"_"&amp;Investment_Strategy_Sub2&amp;"_"&amp;$A277,'Investment Strategies'!$C:$P,9,FALSE),
IF(AND(Investment_Strategy="Lifecycle",Investment_Strategy_Sub1="Standard"),VLOOKUP(Investment_Strategy&amp;"_"&amp;Investment_Strategy_Sub2&amp;"_"&amp;$A277,'Investment Strategies'!$AJ:$AV,8,FALSE),
IF(AND(Investment_Strategy="Autopilot",Investment_Strategy_Sub1="Non-Standard"),VLOOKUP(Investment_Strategy&amp;"_"&amp;Investment_Strategy_Sub2&amp;"_"&amp;$A277,'Investment Strategies'!$T:$AF,8,FALSE),
IF(Investment_Strategy ="DIY",DIY_RateOfReturn_FuturePremiums,
"Error")))))),Max_InvReturn)</f>
        <v>0</v>
      </c>
      <c r="U277" s="62">
        <f>IF($AV277=0,0,
IF(Investment_Strategy="DIS",VLOOKUP(Investment_Strategy&amp;"_"&amp;Investment_Strategy_Sub1&amp;"_"&amp;$A277,'Investment Strategies'!$AZ:$BP,15,FALSE),
IF(AND(Investment_Strategy="Lifecycle",Investment_Strategy_Sub1="Non-Standard"),VLOOKUP(Investment_Strategy&amp;"_"&amp;Investment_Strategy_Sub2&amp;"_"&amp;$A277,'Investment Strategies'!$C:$P,12,FALSE),
IF(AND(Investment_Strategy="Lifecycle",Investment_Strategy_Sub1="Standard"),VLOOKUP(Investment_Strategy&amp;"_"&amp;Investment_Strategy_Sub2&amp;"_"&amp;$A277,'Investment Strategies'!$AJ:$AV,11,FALSE),
IF(AND(Investment_Strategy="Autopilot",Investment_Strategy_Sub1="Non-Standard"),VLOOKUP(Investment_Strategy&amp;"_"&amp;Investment_Strategy_Sub2&amp;"_"&amp;$A277,'Investment Strategies'!$T:$AF,11,FALSE),
IF(Investment_Strategy="DIY",DIY_GteeChrge_FuturePremiums,
"Error"))))))</f>
        <v>0</v>
      </c>
      <c r="V277" s="33">
        <f>IF(AV277=0,0,
IF(Investment_Strategy="DIS",VLOOKUP(Investment_Strategy&amp;"_"&amp;Investment_Strategy_Sub1&amp;"_"&amp;$A277,'Investment Strategies'!$AZ:$BP,17,FALSE),
IF(AND(Investment_Strategy="Lifecycle",Investment_Strategy_Sub1="Non-Standard"),VLOOKUP(Investment_Strategy&amp;"_"&amp;Investment_Strategy_Sub2&amp;"_"&amp;$A277,'Investment Strategies'!$C:$P,14,FALSE),
IF(AND(Investment_Strategy="Lifecycle",Investment_Strategy_Sub1="Standard"),VLOOKUP(Investment_Strategy&amp;"_"&amp;Investment_Strategy_Sub2&amp;"_"&amp;$A277,'Investment Strategies'!$AJ:$AV,13,FALSE),
IF(AND(Investment_Strategy="Autopilot",Investment_Strategy_Sub1="Non-Standard"),VLOOKUP(Investment_Strategy&amp;"_"&amp;Investment_Strategy_Sub2&amp;"_"&amp;$A277,'Investment Strategies'!$T:$AF,13,FALSE),
IF(Investment_Strategy="DIY",DIY_ExtManChrge_FuturePremiums,
"Error"))))))</f>
        <v>0</v>
      </c>
      <c r="W277" s="16">
        <f t="shared" si="142"/>
        <v>0</v>
      </c>
      <c r="X277" s="16">
        <f t="shared" si="117"/>
        <v>0</v>
      </c>
      <c r="Y277" s="16">
        <f t="shared" si="118"/>
        <v>0</v>
      </c>
      <c r="Z277" s="31">
        <f t="shared" si="119"/>
        <v>0.02</v>
      </c>
      <c r="AA277" s="16">
        <f t="shared" si="120"/>
        <v>0</v>
      </c>
      <c r="AB277" s="28">
        <f t="shared" si="144"/>
        <v>0</v>
      </c>
      <c r="AC277" s="28">
        <f>(SUM($AC$91:AC276)+SUM($X$91:X276)+X277)*T277*IF(D277=$A$91,SRP_finalmonthfactor,1)</f>
        <v>0</v>
      </c>
      <c r="AD277" s="16">
        <f t="shared" si="121"/>
        <v>0</v>
      </c>
      <c r="AE277" s="106"/>
      <c r="AF277" s="16">
        <f t="shared" si="130"/>
        <v>0</v>
      </c>
      <c r="AG277" s="16">
        <f t="shared" si="131"/>
        <v>0</v>
      </c>
      <c r="AH277" s="16">
        <f t="shared" si="132"/>
        <v>0</v>
      </c>
      <c r="AJ277" s="13">
        <f t="shared" si="157"/>
        <v>0</v>
      </c>
      <c r="AK277" s="13">
        <f t="shared" si="157"/>
        <v>0</v>
      </c>
      <c r="AL277" s="13">
        <f t="shared" si="157"/>
        <v>0</v>
      </c>
      <c r="AM277" s="13">
        <f t="shared" si="157"/>
        <v>0</v>
      </c>
      <c r="AN277" s="13">
        <f t="shared" si="157"/>
        <v>0</v>
      </c>
      <c r="AO277" s="13">
        <f t="shared" si="157"/>
        <v>1</v>
      </c>
      <c r="AP277" s="13">
        <f t="shared" si="157"/>
        <v>1</v>
      </c>
      <c r="AQ277" s="13">
        <f t="shared" si="157"/>
        <v>1</v>
      </c>
      <c r="AR277" s="13">
        <f t="shared" si="157"/>
        <v>1</v>
      </c>
      <c r="AS277" s="13">
        <f t="shared" si="157"/>
        <v>1</v>
      </c>
      <c r="AT277" s="13">
        <f t="shared" si="157"/>
        <v>1</v>
      </c>
      <c r="AU277" s="13">
        <f t="shared" si="157"/>
        <v>1</v>
      </c>
      <c r="AV277" s="13">
        <f t="shared" si="122"/>
        <v>0</v>
      </c>
      <c r="AW277" s="13">
        <f t="shared" si="123"/>
        <v>1</v>
      </c>
      <c r="AY277" s="17">
        <f t="shared" si="124"/>
        <v>187</v>
      </c>
      <c r="AZ277" s="28">
        <f t="shared" si="133"/>
        <v>0</v>
      </c>
      <c r="BA277" s="13">
        <f t="shared" si="125"/>
        <v>0</v>
      </c>
      <c r="BB277" s="13">
        <f t="shared" si="126"/>
        <v>0</v>
      </c>
      <c r="BC277" s="28">
        <f t="shared" si="134"/>
        <v>0</v>
      </c>
      <c r="BD277" s="28">
        <f t="shared" si="135"/>
        <v>0</v>
      </c>
      <c r="BF277" s="248">
        <f t="shared" si="136"/>
        <v>993869.29442638322</v>
      </c>
      <c r="BG277" s="36">
        <f t="shared" si="145"/>
        <v>0</v>
      </c>
      <c r="BH277" s="36">
        <f t="shared" si="146"/>
        <v>849040.93478961347</v>
      </c>
      <c r="BI277" s="249">
        <f t="shared" si="147"/>
        <v>0</v>
      </c>
      <c r="BJ277" s="246">
        <f t="shared" si="148"/>
        <v>0</v>
      </c>
      <c r="BK277" s="246">
        <f t="shared" si="127"/>
        <v>7.531116566323881E-4</v>
      </c>
      <c r="BL277" s="246">
        <f t="shared" si="149"/>
        <v>0</v>
      </c>
      <c r="BM277" s="246">
        <f t="shared" si="150"/>
        <v>7.531116566323881E-4</v>
      </c>
      <c r="BN277" s="36">
        <f t="shared" si="137"/>
        <v>639.42262494811723</v>
      </c>
      <c r="BO277" s="36">
        <f t="shared" si="151"/>
        <v>0</v>
      </c>
      <c r="BP277" s="36">
        <f t="shared" si="152"/>
        <v>848401.51216466539</v>
      </c>
    </row>
    <row r="278" spans="1:68">
      <c r="A278" s="32">
        <f t="shared" si="138"/>
        <v>-103</v>
      </c>
      <c r="B278" s="32">
        <f t="shared" si="128"/>
        <v>68</v>
      </c>
      <c r="C278" s="32">
        <f t="shared" si="139"/>
        <v>16</v>
      </c>
      <c r="D278" s="32">
        <f t="shared" si="140"/>
        <v>188</v>
      </c>
      <c r="E278" s="74">
        <f>MIN(IF(AV278=0,0,
IF(Investment_Strategy="DIS",VLOOKUP(Investment_Strategy&amp;"_"&amp;Investment_Strategy_Sub1&amp;"_"&amp;$A278,'Investment Strategies'!$AZ:$BP,12,FALSE),
IF(AND(Investment_Strategy="Lifecycle",Investment_Strategy_Sub1="Non-Standard"),VLOOKUP(Investment_Strategy&amp;"_"&amp;Investment_Strategy_Sub2&amp;"_"&amp;$A278,'Investment Strategies'!$C:$P,9,FALSE),
IF(AND(Investment_Strategy="Lifecycle",Investment_Strategy_Sub1="Standard"),VLOOKUP(Investment_Strategy&amp;"_"&amp;Investment_Strategy_Sub2&amp;"_"&amp;$A278,'Investment Strategies'!$AJ:$AV,8,FALSE),
IF(AND(Investment_Strategy="Autopilot",Investment_Strategy_Sub1="Non-Standard"),VLOOKUP(Investment_Strategy&amp;"_"&amp;Investment_Strategy_Sub2&amp;"_"&amp;$A278,'Investment Strategies'!$T:$AF,8,FALSE),
IF(Investment_Strategy ="DIY",DIY_RateOfReturn_CurrentFunds,
"Error")))))),Max_InvReturn)</f>
        <v>0</v>
      </c>
      <c r="F278" s="62">
        <f>IF(AV278=0,0,
IF(Investment_Strategy="DIS",VLOOKUP(Investment_Strategy&amp;"_"&amp;Investment_Strategy_Sub1&amp;"_"&amp;$A278,'Investment Strategies'!$AZ:$BP,15,FALSE),
IF(AND(Investment_Strategy="Lifecycle",Investment_Strategy_Sub1="Non-Standard"),VLOOKUP(Investment_Strategy&amp;"_"&amp;Investment_Strategy_Sub2&amp;"_"&amp;$A278,'Investment Strategies'!$C:$P,12,FALSE),
IF(AND(Investment_Strategy="Lifecycle",Investment_Strategy_Sub1="Standard"),VLOOKUP(Investment_Strategy&amp;"_"&amp;Investment_Strategy_Sub2&amp;"_"&amp;$A278,'Investment Strategies'!$AJ:$AV,11,FALSE),
IF(AND(Investment_Strategy="Autopilot",Investment_Strategy_Sub1="Non-Standard"),VLOOKUP(Investment_Strategy&amp;"_"&amp;Investment_Strategy_Sub2&amp;"_"&amp;$A278,'Investment Strategies'!$T:$AF,11,FALSE),
IF(Investment_Strategy="DIY",DIY_GteeChrge_CurrentFunds,
"Error"))))))</f>
        <v>0</v>
      </c>
      <c r="G278" s="33">
        <f>IF(AV278=0,0,
IF(Investment_Strategy="DIS",VLOOKUP(Investment_Strategy&amp;"_"&amp;Investment_Strategy_Sub1&amp;"_"&amp;$A278,'Investment Strategies'!$AZ:$BP,17,FALSE),
IF(AND(Investment_Strategy="Lifecycle",Investment_Strategy_Sub1="Non-Standard"),VLOOKUP(Investment_Strategy&amp;"_"&amp;Investment_Strategy_Sub2&amp;"_"&amp;$A278,'Investment Strategies'!$C:$P,14,FALSE),
IF(AND(Investment_Strategy="Lifecycle",Investment_Strategy_Sub1="Standard"),VLOOKUP(Investment_Strategy&amp;"_"&amp;Investment_Strategy_Sub2&amp;"_"&amp;$A278,'Investment Strategies'!$AJ:$AV,13,FALSE),
IF(AND(Investment_Strategy="Autopilot",Investment_Strategy_Sub1="Non-Standard"),VLOOKUP(Investment_Strategy&amp;"_"&amp;Investment_Strategy_Sub2&amp;"_"&amp;$A278,'Investment Strategies'!$T:$AF,13,FALSE),
IF(Investment_Strategy="DIY",DIY_ExtManChrge_CurrentFunds,
"Error"))))))</f>
        <v>0</v>
      </c>
      <c r="H278" s="16">
        <f t="shared" si="129"/>
        <v>0</v>
      </c>
      <c r="I278" s="16">
        <f t="shared" si="113"/>
        <v>0</v>
      </c>
      <c r="J278" s="16">
        <f t="shared" si="114"/>
        <v>0</v>
      </c>
      <c r="K278" s="16">
        <f>(Opening_Fund_Value+SUM(K$91:K277))*E278*IF(D278=$A$91,SRP_finalmonthfactor,1)</f>
        <v>0</v>
      </c>
      <c r="L278" s="74">
        <f>MIN(IF($AV278=0,0,
IF(Investment_Strategy="DIS",VLOOKUP(Investment_Strategy&amp;"_"&amp;Investment_Strategy_Sub1&amp;"_"&amp;$A278,'Investment Strategies'!$AZ:$BP,12,FALSE),
IF(AND(Investment_Strategy="Lifecycle",Investment_Strategy_Sub1="Non-Standard"),VLOOKUP(Investment_Strategy&amp;"_"&amp;Investment_Strategy_Sub2&amp;"_"&amp;$A278,'Investment Strategies'!$C:$P,9,FALSE),
IF(AND(Investment_Strategy="Lifecycle",Investment_Strategy_Sub1="Standard"),VLOOKUP(Investment_Strategy&amp;"_"&amp;Investment_Strategy_Sub2&amp;"_"&amp;$A278,'Investment Strategies'!$AJ:$AV,8,FALSE),
IF(AND(Investment_Strategy="Autopilot",Investment_Strategy_Sub1="Non-Standard"),VLOOKUP(Investment_Strategy&amp;"_"&amp;Investment_Strategy_Sub2&amp;"_"&amp;$A278,'Investment Strategies'!$T:$AF,8,FALSE),
IF(Investment_Strategy ="DIY",DIY_RateofReturn_SP,
"Error")))))),Max_InvReturn)</f>
        <v>0</v>
      </c>
      <c r="M278" s="62">
        <f>IF($AV278=0,0,
IF(Investment_Strategy="DIS",VLOOKUP(Investment_Strategy&amp;"_"&amp;Investment_Strategy_Sub1&amp;"_"&amp;$A278,'Investment Strategies'!$AZ:$BP,15,FALSE),
IF(AND(Investment_Strategy="Lifecycle",Investment_Strategy_Sub1="Non-Standard"),VLOOKUP(Investment_Strategy&amp;"_"&amp;Investment_Strategy_Sub2&amp;"_"&amp;$A278,'Investment Strategies'!$C:$P,12,FALSE),
IF(AND(Investment_Strategy="Lifecycle",Investment_Strategy_Sub1="Standard"),VLOOKUP(Investment_Strategy&amp;"_"&amp;Investment_Strategy_Sub2&amp;"_"&amp;$A278,'Investment Strategies'!$AJ:$AV,11,FALSE),
IF(AND(Investment_Strategy="Autopilot",Investment_Strategy_Sub1="Non-Standard"),VLOOKUP(Investment_Strategy&amp;"_"&amp;Investment_Strategy_Sub2&amp;"_"&amp;$A278,'Investment Strategies'!$T:$AF,11,FALSE),
IF(Investment_Strategy="DIY",DIY_GteeChrge_SP,
"Error"))))))</f>
        <v>0</v>
      </c>
      <c r="N278" s="33">
        <f>IF($AV278=0,0,
IF(Investment_Strategy="DIS",VLOOKUP(Investment_Strategy&amp;"_"&amp;Investment_Strategy_Sub1&amp;"_"&amp;$A278,'Investment Strategies'!$AZ:$BP,17,FALSE),
IF(AND(Investment_Strategy="Lifecycle",Investment_Strategy_Sub1="Non-Standard"),VLOOKUP(Investment_Strategy&amp;"_"&amp;Investment_Strategy_Sub2&amp;"_"&amp;$A278,'Investment Strategies'!$C:$P,14,FALSE),
IF(AND(Investment_Strategy="Lifecycle",Investment_Strategy_Sub1="Standard"),VLOOKUP(Investment_Strategy&amp;"_"&amp;Investment_Strategy_Sub2&amp;"_"&amp;$A278,'Investment Strategies'!$AJ:$AV,13,FALSE),
IF(AND(Investment_Strategy="Autopilot",Investment_Strategy_Sub1="Non-Standard"),VLOOKUP(Investment_Strategy&amp;"_"&amp;Investment_Strategy_Sub2&amp;"_"&amp;$A278,'Investment Strategies'!$T:$AF,13,FALSE),
IF(Investment_Strategy="DIY",DIY_ExtManChrge_SP,
"Error"))))))</f>
        <v>0</v>
      </c>
      <c r="O278" s="16">
        <f t="shared" si="141"/>
        <v>0</v>
      </c>
      <c r="Q278" s="16">
        <f t="shared" si="115"/>
        <v>0</v>
      </c>
      <c r="R278" s="16">
        <f t="shared" si="116"/>
        <v>0</v>
      </c>
      <c r="S278" s="16">
        <f>(SRP_SP+SUM(S$91:S277))*L278*IF(D278=$A$91,SRP_finalmonthfactor,1)</f>
        <v>0</v>
      </c>
      <c r="T278" s="74">
        <f>MIN(IF($AV278=0,0,
IF(Investment_Strategy="DIS",VLOOKUP(Investment_Strategy&amp;"_"&amp;Investment_Strategy_Sub1&amp;"_"&amp;$A278,'Investment Strategies'!$AZ:$BP,12,FALSE),
IF(AND(Investment_Strategy="Lifecycle",Investment_Strategy_Sub1="Non-Standard"),VLOOKUP(Investment_Strategy&amp;"_"&amp;Investment_Strategy_Sub2&amp;"_"&amp;$A278,'Investment Strategies'!$C:$P,9,FALSE),
IF(AND(Investment_Strategy="Lifecycle",Investment_Strategy_Sub1="Standard"),VLOOKUP(Investment_Strategy&amp;"_"&amp;Investment_Strategy_Sub2&amp;"_"&amp;$A278,'Investment Strategies'!$AJ:$AV,8,FALSE),
IF(AND(Investment_Strategy="Autopilot",Investment_Strategy_Sub1="Non-Standard"),VLOOKUP(Investment_Strategy&amp;"_"&amp;Investment_Strategy_Sub2&amp;"_"&amp;$A278,'Investment Strategies'!$T:$AF,8,FALSE),
IF(Investment_Strategy ="DIY",DIY_RateOfReturn_FuturePremiums,
"Error")))))),Max_InvReturn)</f>
        <v>0</v>
      </c>
      <c r="U278" s="62">
        <f>IF($AV278=0,0,
IF(Investment_Strategy="DIS",VLOOKUP(Investment_Strategy&amp;"_"&amp;Investment_Strategy_Sub1&amp;"_"&amp;$A278,'Investment Strategies'!$AZ:$BP,15,FALSE),
IF(AND(Investment_Strategy="Lifecycle",Investment_Strategy_Sub1="Non-Standard"),VLOOKUP(Investment_Strategy&amp;"_"&amp;Investment_Strategy_Sub2&amp;"_"&amp;$A278,'Investment Strategies'!$C:$P,12,FALSE),
IF(AND(Investment_Strategy="Lifecycle",Investment_Strategy_Sub1="Standard"),VLOOKUP(Investment_Strategy&amp;"_"&amp;Investment_Strategy_Sub2&amp;"_"&amp;$A278,'Investment Strategies'!$AJ:$AV,11,FALSE),
IF(AND(Investment_Strategy="Autopilot",Investment_Strategy_Sub1="Non-Standard"),VLOOKUP(Investment_Strategy&amp;"_"&amp;Investment_Strategy_Sub2&amp;"_"&amp;$A278,'Investment Strategies'!$T:$AF,11,FALSE),
IF(Investment_Strategy="DIY",DIY_GteeChrge_FuturePremiums,
"Error"))))))</f>
        <v>0</v>
      </c>
      <c r="V278" s="33">
        <f>IF(AV278=0,0,
IF(Investment_Strategy="DIS",VLOOKUP(Investment_Strategy&amp;"_"&amp;Investment_Strategy_Sub1&amp;"_"&amp;$A278,'Investment Strategies'!$AZ:$BP,17,FALSE),
IF(AND(Investment_Strategy="Lifecycle",Investment_Strategy_Sub1="Non-Standard"),VLOOKUP(Investment_Strategy&amp;"_"&amp;Investment_Strategy_Sub2&amp;"_"&amp;$A278,'Investment Strategies'!$C:$P,14,FALSE),
IF(AND(Investment_Strategy="Lifecycle",Investment_Strategy_Sub1="Standard"),VLOOKUP(Investment_Strategy&amp;"_"&amp;Investment_Strategy_Sub2&amp;"_"&amp;$A278,'Investment Strategies'!$AJ:$AV,13,FALSE),
IF(AND(Investment_Strategy="Autopilot",Investment_Strategy_Sub1="Non-Standard"),VLOOKUP(Investment_Strategy&amp;"_"&amp;Investment_Strategy_Sub2&amp;"_"&amp;$A278,'Investment Strategies'!$T:$AF,13,FALSE),
IF(Investment_Strategy="DIY",DIY_ExtManChrge_FuturePremiums,
"Error"))))))</f>
        <v>0</v>
      </c>
      <c r="W278" s="16">
        <f t="shared" si="142"/>
        <v>0</v>
      </c>
      <c r="X278" s="16">
        <f t="shared" si="117"/>
        <v>0</v>
      </c>
      <c r="Y278" s="16">
        <f t="shared" si="118"/>
        <v>0</v>
      </c>
      <c r="Z278" s="31">
        <f t="shared" si="119"/>
        <v>0.02</v>
      </c>
      <c r="AA278" s="16">
        <f t="shared" si="120"/>
        <v>0</v>
      </c>
      <c r="AB278" s="28">
        <f t="shared" si="144"/>
        <v>0</v>
      </c>
      <c r="AC278" s="28">
        <f>(SUM($AC$91:AC277)+SUM($X$91:X277)+X278)*T278*IF(D278=$A$91,SRP_finalmonthfactor,1)</f>
        <v>0</v>
      </c>
      <c r="AD278" s="16">
        <f t="shared" si="121"/>
        <v>0</v>
      </c>
      <c r="AE278" s="106"/>
      <c r="AF278" s="16">
        <f t="shared" si="130"/>
        <v>0</v>
      </c>
      <c r="AG278" s="16">
        <f t="shared" si="131"/>
        <v>0</v>
      </c>
      <c r="AH278" s="16">
        <f t="shared" si="132"/>
        <v>0</v>
      </c>
      <c r="AJ278" s="13">
        <f t="shared" si="157"/>
        <v>0</v>
      </c>
      <c r="AK278" s="13">
        <f t="shared" si="157"/>
        <v>0</v>
      </c>
      <c r="AL278" s="13">
        <f t="shared" si="157"/>
        <v>0</v>
      </c>
      <c r="AM278" s="13">
        <f t="shared" si="157"/>
        <v>0</v>
      </c>
      <c r="AN278" s="13">
        <f t="shared" si="157"/>
        <v>0</v>
      </c>
      <c r="AO278" s="13">
        <f t="shared" si="157"/>
        <v>1</v>
      </c>
      <c r="AP278" s="13">
        <f t="shared" si="157"/>
        <v>1</v>
      </c>
      <c r="AQ278" s="13">
        <f t="shared" si="157"/>
        <v>1</v>
      </c>
      <c r="AR278" s="13">
        <f t="shared" si="157"/>
        <v>1</v>
      </c>
      <c r="AS278" s="13">
        <f t="shared" si="157"/>
        <v>1</v>
      </c>
      <c r="AT278" s="13">
        <f t="shared" si="157"/>
        <v>1</v>
      </c>
      <c r="AU278" s="13">
        <f t="shared" si="157"/>
        <v>1</v>
      </c>
      <c r="AV278" s="13">
        <f t="shared" si="122"/>
        <v>0</v>
      </c>
      <c r="AW278" s="13">
        <f t="shared" si="123"/>
        <v>1</v>
      </c>
      <c r="AY278" s="17">
        <f t="shared" si="124"/>
        <v>188</v>
      </c>
      <c r="AZ278" s="28">
        <f t="shared" si="133"/>
        <v>0</v>
      </c>
      <c r="BA278" s="13">
        <f t="shared" si="125"/>
        <v>0</v>
      </c>
      <c r="BB278" s="13">
        <f t="shared" si="126"/>
        <v>0</v>
      </c>
      <c r="BC278" s="28">
        <f t="shared" si="134"/>
        <v>0</v>
      </c>
      <c r="BD278" s="28">
        <f t="shared" si="135"/>
        <v>0</v>
      </c>
      <c r="BF278" s="248">
        <f t="shared" si="136"/>
        <v>993869.29442638322</v>
      </c>
      <c r="BG278" s="36">
        <f t="shared" si="145"/>
        <v>0</v>
      </c>
      <c r="BH278" s="36">
        <f t="shared" si="146"/>
        <v>848401.51216466539</v>
      </c>
      <c r="BI278" s="249">
        <f t="shared" si="147"/>
        <v>0</v>
      </c>
      <c r="BJ278" s="246">
        <f t="shared" si="148"/>
        <v>0</v>
      </c>
      <c r="BK278" s="246">
        <f t="shared" si="127"/>
        <v>7.531116566323881E-4</v>
      </c>
      <c r="BL278" s="246">
        <f t="shared" si="149"/>
        <v>0</v>
      </c>
      <c r="BM278" s="246">
        <f t="shared" si="150"/>
        <v>7.531116566323881E-4</v>
      </c>
      <c r="BN278" s="36">
        <f t="shared" si="137"/>
        <v>638.94106831575436</v>
      </c>
      <c r="BO278" s="36">
        <f t="shared" si="151"/>
        <v>0</v>
      </c>
      <c r="BP278" s="36">
        <f t="shared" si="152"/>
        <v>847762.57109634962</v>
      </c>
    </row>
    <row r="279" spans="1:68">
      <c r="A279" s="32">
        <f t="shared" si="138"/>
        <v>-104</v>
      </c>
      <c r="B279" s="32">
        <f t="shared" si="128"/>
        <v>68</v>
      </c>
      <c r="C279" s="32">
        <f t="shared" si="139"/>
        <v>16</v>
      </c>
      <c r="D279" s="32">
        <f t="shared" si="140"/>
        <v>189</v>
      </c>
      <c r="E279" s="74">
        <f>MIN(IF(AV279=0,0,
IF(Investment_Strategy="DIS",VLOOKUP(Investment_Strategy&amp;"_"&amp;Investment_Strategy_Sub1&amp;"_"&amp;$A279,'Investment Strategies'!$AZ:$BP,12,FALSE),
IF(AND(Investment_Strategy="Lifecycle",Investment_Strategy_Sub1="Non-Standard"),VLOOKUP(Investment_Strategy&amp;"_"&amp;Investment_Strategy_Sub2&amp;"_"&amp;$A279,'Investment Strategies'!$C:$P,9,FALSE),
IF(AND(Investment_Strategy="Lifecycle",Investment_Strategy_Sub1="Standard"),VLOOKUP(Investment_Strategy&amp;"_"&amp;Investment_Strategy_Sub2&amp;"_"&amp;$A279,'Investment Strategies'!$AJ:$AV,8,FALSE),
IF(AND(Investment_Strategy="Autopilot",Investment_Strategy_Sub1="Non-Standard"),VLOOKUP(Investment_Strategy&amp;"_"&amp;Investment_Strategy_Sub2&amp;"_"&amp;$A279,'Investment Strategies'!$T:$AF,8,FALSE),
IF(Investment_Strategy ="DIY",DIY_RateOfReturn_CurrentFunds,
"Error")))))),Max_InvReturn)</f>
        <v>0</v>
      </c>
      <c r="F279" s="62">
        <f>IF(AV279=0,0,
IF(Investment_Strategy="DIS",VLOOKUP(Investment_Strategy&amp;"_"&amp;Investment_Strategy_Sub1&amp;"_"&amp;$A279,'Investment Strategies'!$AZ:$BP,15,FALSE),
IF(AND(Investment_Strategy="Lifecycle",Investment_Strategy_Sub1="Non-Standard"),VLOOKUP(Investment_Strategy&amp;"_"&amp;Investment_Strategy_Sub2&amp;"_"&amp;$A279,'Investment Strategies'!$C:$P,12,FALSE),
IF(AND(Investment_Strategy="Lifecycle",Investment_Strategy_Sub1="Standard"),VLOOKUP(Investment_Strategy&amp;"_"&amp;Investment_Strategy_Sub2&amp;"_"&amp;$A279,'Investment Strategies'!$AJ:$AV,11,FALSE),
IF(AND(Investment_Strategy="Autopilot",Investment_Strategy_Sub1="Non-Standard"),VLOOKUP(Investment_Strategy&amp;"_"&amp;Investment_Strategy_Sub2&amp;"_"&amp;$A279,'Investment Strategies'!$T:$AF,11,FALSE),
IF(Investment_Strategy="DIY",DIY_GteeChrge_CurrentFunds,
"Error"))))))</f>
        <v>0</v>
      </c>
      <c r="G279" s="33">
        <f>IF(AV279=0,0,
IF(Investment_Strategy="DIS",VLOOKUP(Investment_Strategy&amp;"_"&amp;Investment_Strategy_Sub1&amp;"_"&amp;$A279,'Investment Strategies'!$AZ:$BP,17,FALSE),
IF(AND(Investment_Strategy="Lifecycle",Investment_Strategy_Sub1="Non-Standard"),VLOOKUP(Investment_Strategy&amp;"_"&amp;Investment_Strategy_Sub2&amp;"_"&amp;$A279,'Investment Strategies'!$C:$P,14,FALSE),
IF(AND(Investment_Strategy="Lifecycle",Investment_Strategy_Sub1="Standard"),VLOOKUP(Investment_Strategy&amp;"_"&amp;Investment_Strategy_Sub2&amp;"_"&amp;$A279,'Investment Strategies'!$AJ:$AV,13,FALSE),
IF(AND(Investment_Strategy="Autopilot",Investment_Strategy_Sub1="Non-Standard"),VLOOKUP(Investment_Strategy&amp;"_"&amp;Investment_Strategy_Sub2&amp;"_"&amp;$A279,'Investment Strategies'!$T:$AF,13,FALSE),
IF(Investment_Strategy="DIY",DIY_ExtManChrge_CurrentFunds,
"Error"))))))</f>
        <v>0</v>
      </c>
      <c r="H279" s="16">
        <f t="shared" si="129"/>
        <v>0</v>
      </c>
      <c r="I279" s="16">
        <f t="shared" si="113"/>
        <v>0</v>
      </c>
      <c r="J279" s="16">
        <f t="shared" si="114"/>
        <v>0</v>
      </c>
      <c r="K279" s="16">
        <f>(Opening_Fund_Value+SUM(K$91:K278))*E279*IF(D279=$A$91,SRP_finalmonthfactor,1)</f>
        <v>0</v>
      </c>
      <c r="L279" s="74">
        <f>MIN(IF($AV279=0,0,
IF(Investment_Strategy="DIS",VLOOKUP(Investment_Strategy&amp;"_"&amp;Investment_Strategy_Sub1&amp;"_"&amp;$A279,'Investment Strategies'!$AZ:$BP,12,FALSE),
IF(AND(Investment_Strategy="Lifecycle",Investment_Strategy_Sub1="Non-Standard"),VLOOKUP(Investment_Strategy&amp;"_"&amp;Investment_Strategy_Sub2&amp;"_"&amp;$A279,'Investment Strategies'!$C:$P,9,FALSE),
IF(AND(Investment_Strategy="Lifecycle",Investment_Strategy_Sub1="Standard"),VLOOKUP(Investment_Strategy&amp;"_"&amp;Investment_Strategy_Sub2&amp;"_"&amp;$A279,'Investment Strategies'!$AJ:$AV,8,FALSE),
IF(AND(Investment_Strategy="Autopilot",Investment_Strategy_Sub1="Non-Standard"),VLOOKUP(Investment_Strategy&amp;"_"&amp;Investment_Strategy_Sub2&amp;"_"&amp;$A279,'Investment Strategies'!$T:$AF,8,FALSE),
IF(Investment_Strategy ="DIY",DIY_RateofReturn_SP,
"Error")))))),Max_InvReturn)</f>
        <v>0</v>
      </c>
      <c r="M279" s="62">
        <f>IF($AV279=0,0,
IF(Investment_Strategy="DIS",VLOOKUP(Investment_Strategy&amp;"_"&amp;Investment_Strategy_Sub1&amp;"_"&amp;$A279,'Investment Strategies'!$AZ:$BP,15,FALSE),
IF(AND(Investment_Strategy="Lifecycle",Investment_Strategy_Sub1="Non-Standard"),VLOOKUP(Investment_Strategy&amp;"_"&amp;Investment_Strategy_Sub2&amp;"_"&amp;$A279,'Investment Strategies'!$C:$P,12,FALSE),
IF(AND(Investment_Strategy="Lifecycle",Investment_Strategy_Sub1="Standard"),VLOOKUP(Investment_Strategy&amp;"_"&amp;Investment_Strategy_Sub2&amp;"_"&amp;$A279,'Investment Strategies'!$AJ:$AV,11,FALSE),
IF(AND(Investment_Strategy="Autopilot",Investment_Strategy_Sub1="Non-Standard"),VLOOKUP(Investment_Strategy&amp;"_"&amp;Investment_Strategy_Sub2&amp;"_"&amp;$A279,'Investment Strategies'!$T:$AF,11,FALSE),
IF(Investment_Strategy="DIY",DIY_GteeChrge_SP,
"Error"))))))</f>
        <v>0</v>
      </c>
      <c r="N279" s="33">
        <f>IF($AV279=0,0,
IF(Investment_Strategy="DIS",VLOOKUP(Investment_Strategy&amp;"_"&amp;Investment_Strategy_Sub1&amp;"_"&amp;$A279,'Investment Strategies'!$AZ:$BP,17,FALSE),
IF(AND(Investment_Strategy="Lifecycle",Investment_Strategy_Sub1="Non-Standard"),VLOOKUP(Investment_Strategy&amp;"_"&amp;Investment_Strategy_Sub2&amp;"_"&amp;$A279,'Investment Strategies'!$C:$P,14,FALSE),
IF(AND(Investment_Strategy="Lifecycle",Investment_Strategy_Sub1="Standard"),VLOOKUP(Investment_Strategy&amp;"_"&amp;Investment_Strategy_Sub2&amp;"_"&amp;$A279,'Investment Strategies'!$AJ:$AV,13,FALSE),
IF(AND(Investment_Strategy="Autopilot",Investment_Strategy_Sub1="Non-Standard"),VLOOKUP(Investment_Strategy&amp;"_"&amp;Investment_Strategy_Sub2&amp;"_"&amp;$A279,'Investment Strategies'!$T:$AF,13,FALSE),
IF(Investment_Strategy="DIY",DIY_ExtManChrge_SP,
"Error"))))))</f>
        <v>0</v>
      </c>
      <c r="O279" s="16">
        <f t="shared" si="141"/>
        <v>0</v>
      </c>
      <c r="Q279" s="16">
        <f t="shared" si="115"/>
        <v>0</v>
      </c>
      <c r="R279" s="16">
        <f t="shared" si="116"/>
        <v>0</v>
      </c>
      <c r="S279" s="16">
        <f>(SRP_SP+SUM(S$91:S278))*L279*IF(D279=$A$91,SRP_finalmonthfactor,1)</f>
        <v>0</v>
      </c>
      <c r="T279" s="74">
        <f>MIN(IF($AV279=0,0,
IF(Investment_Strategy="DIS",VLOOKUP(Investment_Strategy&amp;"_"&amp;Investment_Strategy_Sub1&amp;"_"&amp;$A279,'Investment Strategies'!$AZ:$BP,12,FALSE),
IF(AND(Investment_Strategy="Lifecycle",Investment_Strategy_Sub1="Non-Standard"),VLOOKUP(Investment_Strategy&amp;"_"&amp;Investment_Strategy_Sub2&amp;"_"&amp;$A279,'Investment Strategies'!$C:$P,9,FALSE),
IF(AND(Investment_Strategy="Lifecycle",Investment_Strategy_Sub1="Standard"),VLOOKUP(Investment_Strategy&amp;"_"&amp;Investment_Strategy_Sub2&amp;"_"&amp;$A279,'Investment Strategies'!$AJ:$AV,8,FALSE),
IF(AND(Investment_Strategy="Autopilot",Investment_Strategy_Sub1="Non-Standard"),VLOOKUP(Investment_Strategy&amp;"_"&amp;Investment_Strategy_Sub2&amp;"_"&amp;$A279,'Investment Strategies'!$T:$AF,8,FALSE),
IF(Investment_Strategy ="DIY",DIY_RateOfReturn_FuturePremiums,
"Error")))))),Max_InvReturn)</f>
        <v>0</v>
      </c>
      <c r="U279" s="62">
        <f>IF($AV279=0,0,
IF(Investment_Strategy="DIS",VLOOKUP(Investment_Strategy&amp;"_"&amp;Investment_Strategy_Sub1&amp;"_"&amp;$A279,'Investment Strategies'!$AZ:$BP,15,FALSE),
IF(AND(Investment_Strategy="Lifecycle",Investment_Strategy_Sub1="Non-Standard"),VLOOKUP(Investment_Strategy&amp;"_"&amp;Investment_Strategy_Sub2&amp;"_"&amp;$A279,'Investment Strategies'!$C:$P,12,FALSE),
IF(AND(Investment_Strategy="Lifecycle",Investment_Strategy_Sub1="Standard"),VLOOKUP(Investment_Strategy&amp;"_"&amp;Investment_Strategy_Sub2&amp;"_"&amp;$A279,'Investment Strategies'!$AJ:$AV,11,FALSE),
IF(AND(Investment_Strategy="Autopilot",Investment_Strategy_Sub1="Non-Standard"),VLOOKUP(Investment_Strategy&amp;"_"&amp;Investment_Strategy_Sub2&amp;"_"&amp;$A279,'Investment Strategies'!$T:$AF,11,FALSE),
IF(Investment_Strategy="DIY",DIY_GteeChrge_FuturePremiums,
"Error"))))))</f>
        <v>0</v>
      </c>
      <c r="V279" s="33">
        <f>IF(AV279=0,0,
IF(Investment_Strategy="DIS",VLOOKUP(Investment_Strategy&amp;"_"&amp;Investment_Strategy_Sub1&amp;"_"&amp;$A279,'Investment Strategies'!$AZ:$BP,17,FALSE),
IF(AND(Investment_Strategy="Lifecycle",Investment_Strategy_Sub1="Non-Standard"),VLOOKUP(Investment_Strategy&amp;"_"&amp;Investment_Strategy_Sub2&amp;"_"&amp;$A279,'Investment Strategies'!$C:$P,14,FALSE),
IF(AND(Investment_Strategy="Lifecycle",Investment_Strategy_Sub1="Standard"),VLOOKUP(Investment_Strategy&amp;"_"&amp;Investment_Strategy_Sub2&amp;"_"&amp;$A279,'Investment Strategies'!$AJ:$AV,13,FALSE),
IF(AND(Investment_Strategy="Autopilot",Investment_Strategy_Sub1="Non-Standard"),VLOOKUP(Investment_Strategy&amp;"_"&amp;Investment_Strategy_Sub2&amp;"_"&amp;$A279,'Investment Strategies'!$T:$AF,13,FALSE),
IF(Investment_Strategy="DIY",DIY_ExtManChrge_FuturePremiums,
"Error"))))))</f>
        <v>0</v>
      </c>
      <c r="W279" s="16">
        <f t="shared" si="142"/>
        <v>0</v>
      </c>
      <c r="X279" s="16">
        <f t="shared" si="117"/>
        <v>0</v>
      </c>
      <c r="Y279" s="16">
        <f t="shared" si="118"/>
        <v>0</v>
      </c>
      <c r="Z279" s="31">
        <f t="shared" si="119"/>
        <v>0.02</v>
      </c>
      <c r="AA279" s="16">
        <f t="shared" si="120"/>
        <v>0</v>
      </c>
      <c r="AB279" s="28">
        <f t="shared" si="144"/>
        <v>0</v>
      </c>
      <c r="AC279" s="28">
        <f>(SUM($AC$91:AC278)+SUM($X$91:X278)+X279)*T279*IF(D279=$A$91,SRP_finalmonthfactor,1)</f>
        <v>0</v>
      </c>
      <c r="AD279" s="16">
        <f t="shared" si="121"/>
        <v>0</v>
      </c>
      <c r="AE279" s="106"/>
      <c r="AF279" s="16">
        <f t="shared" si="130"/>
        <v>0</v>
      </c>
      <c r="AG279" s="16">
        <f t="shared" si="131"/>
        <v>0</v>
      </c>
      <c r="AH279" s="16">
        <f t="shared" si="132"/>
        <v>0</v>
      </c>
      <c r="AJ279" s="13">
        <f t="shared" si="157"/>
        <v>0</v>
      </c>
      <c r="AK279" s="13">
        <f t="shared" si="157"/>
        <v>0</v>
      </c>
      <c r="AL279" s="13">
        <f t="shared" si="157"/>
        <v>0</v>
      </c>
      <c r="AM279" s="13">
        <f t="shared" si="157"/>
        <v>0</v>
      </c>
      <c r="AN279" s="13">
        <f t="shared" si="157"/>
        <v>0</v>
      </c>
      <c r="AO279" s="13">
        <f t="shared" si="157"/>
        <v>1</v>
      </c>
      <c r="AP279" s="13">
        <f t="shared" si="157"/>
        <v>1</v>
      </c>
      <c r="AQ279" s="13">
        <f t="shared" si="157"/>
        <v>1</v>
      </c>
      <c r="AR279" s="13">
        <f t="shared" si="157"/>
        <v>1</v>
      </c>
      <c r="AS279" s="13">
        <f t="shared" si="157"/>
        <v>1</v>
      </c>
      <c r="AT279" s="13">
        <f t="shared" si="157"/>
        <v>1</v>
      </c>
      <c r="AU279" s="13">
        <f t="shared" si="157"/>
        <v>1</v>
      </c>
      <c r="AV279" s="13">
        <f t="shared" si="122"/>
        <v>0</v>
      </c>
      <c r="AW279" s="13">
        <f t="shared" si="123"/>
        <v>1</v>
      </c>
      <c r="AY279" s="17">
        <f t="shared" si="124"/>
        <v>189</v>
      </c>
      <c r="AZ279" s="28">
        <f t="shared" si="133"/>
        <v>0</v>
      </c>
      <c r="BA279" s="13">
        <f t="shared" si="125"/>
        <v>0</v>
      </c>
      <c r="BB279" s="13">
        <f t="shared" si="126"/>
        <v>0</v>
      </c>
      <c r="BC279" s="28">
        <f t="shared" si="134"/>
        <v>0</v>
      </c>
      <c r="BD279" s="28">
        <f t="shared" si="135"/>
        <v>0</v>
      </c>
      <c r="BF279" s="248">
        <f t="shared" si="136"/>
        <v>993869.29442638322</v>
      </c>
      <c r="BG279" s="36">
        <f t="shared" si="145"/>
        <v>0</v>
      </c>
      <c r="BH279" s="36">
        <f t="shared" si="146"/>
        <v>847762.57109634962</v>
      </c>
      <c r="BI279" s="249">
        <f t="shared" si="147"/>
        <v>0</v>
      </c>
      <c r="BJ279" s="246">
        <f t="shared" si="148"/>
        <v>0</v>
      </c>
      <c r="BK279" s="246">
        <f t="shared" si="127"/>
        <v>7.531116566323881E-4</v>
      </c>
      <c r="BL279" s="246">
        <f t="shared" si="149"/>
        <v>0</v>
      </c>
      <c r="BM279" s="246">
        <f t="shared" si="150"/>
        <v>7.531116566323881E-4</v>
      </c>
      <c r="BN279" s="36">
        <f t="shared" si="137"/>
        <v>638.45987434930453</v>
      </c>
      <c r="BO279" s="36">
        <f t="shared" si="151"/>
        <v>0</v>
      </c>
      <c r="BP279" s="36">
        <f t="shared" si="152"/>
        <v>847124.11122200033</v>
      </c>
    </row>
    <row r="280" spans="1:68">
      <c r="A280" s="32">
        <f t="shared" si="138"/>
        <v>-105</v>
      </c>
      <c r="B280" s="32">
        <f t="shared" si="128"/>
        <v>68</v>
      </c>
      <c r="C280" s="32">
        <f t="shared" si="139"/>
        <v>16</v>
      </c>
      <c r="D280" s="32">
        <f t="shared" si="140"/>
        <v>190</v>
      </c>
      <c r="E280" s="74">
        <f>MIN(IF(AV280=0,0,
IF(Investment_Strategy="DIS",VLOOKUP(Investment_Strategy&amp;"_"&amp;Investment_Strategy_Sub1&amp;"_"&amp;$A280,'Investment Strategies'!$AZ:$BP,12,FALSE),
IF(AND(Investment_Strategy="Lifecycle",Investment_Strategy_Sub1="Non-Standard"),VLOOKUP(Investment_Strategy&amp;"_"&amp;Investment_Strategy_Sub2&amp;"_"&amp;$A280,'Investment Strategies'!$C:$P,9,FALSE),
IF(AND(Investment_Strategy="Lifecycle",Investment_Strategy_Sub1="Standard"),VLOOKUP(Investment_Strategy&amp;"_"&amp;Investment_Strategy_Sub2&amp;"_"&amp;$A280,'Investment Strategies'!$AJ:$AV,8,FALSE),
IF(AND(Investment_Strategy="Autopilot",Investment_Strategy_Sub1="Non-Standard"),VLOOKUP(Investment_Strategy&amp;"_"&amp;Investment_Strategy_Sub2&amp;"_"&amp;$A280,'Investment Strategies'!$T:$AF,8,FALSE),
IF(Investment_Strategy ="DIY",DIY_RateOfReturn_CurrentFunds,
"Error")))))),Max_InvReturn)</f>
        <v>0</v>
      </c>
      <c r="F280" s="62">
        <f>IF(AV280=0,0,
IF(Investment_Strategy="DIS",VLOOKUP(Investment_Strategy&amp;"_"&amp;Investment_Strategy_Sub1&amp;"_"&amp;$A280,'Investment Strategies'!$AZ:$BP,15,FALSE),
IF(AND(Investment_Strategy="Lifecycle",Investment_Strategy_Sub1="Non-Standard"),VLOOKUP(Investment_Strategy&amp;"_"&amp;Investment_Strategy_Sub2&amp;"_"&amp;$A280,'Investment Strategies'!$C:$P,12,FALSE),
IF(AND(Investment_Strategy="Lifecycle",Investment_Strategy_Sub1="Standard"),VLOOKUP(Investment_Strategy&amp;"_"&amp;Investment_Strategy_Sub2&amp;"_"&amp;$A280,'Investment Strategies'!$AJ:$AV,11,FALSE),
IF(AND(Investment_Strategy="Autopilot",Investment_Strategy_Sub1="Non-Standard"),VLOOKUP(Investment_Strategy&amp;"_"&amp;Investment_Strategy_Sub2&amp;"_"&amp;$A280,'Investment Strategies'!$T:$AF,11,FALSE),
IF(Investment_Strategy="DIY",DIY_GteeChrge_CurrentFunds,
"Error"))))))</f>
        <v>0</v>
      </c>
      <c r="G280" s="33">
        <f>IF(AV280=0,0,
IF(Investment_Strategy="DIS",VLOOKUP(Investment_Strategy&amp;"_"&amp;Investment_Strategy_Sub1&amp;"_"&amp;$A280,'Investment Strategies'!$AZ:$BP,17,FALSE),
IF(AND(Investment_Strategy="Lifecycle",Investment_Strategy_Sub1="Non-Standard"),VLOOKUP(Investment_Strategy&amp;"_"&amp;Investment_Strategy_Sub2&amp;"_"&amp;$A280,'Investment Strategies'!$C:$P,14,FALSE),
IF(AND(Investment_Strategy="Lifecycle",Investment_Strategy_Sub1="Standard"),VLOOKUP(Investment_Strategy&amp;"_"&amp;Investment_Strategy_Sub2&amp;"_"&amp;$A280,'Investment Strategies'!$AJ:$AV,13,FALSE),
IF(AND(Investment_Strategy="Autopilot",Investment_Strategy_Sub1="Non-Standard"),VLOOKUP(Investment_Strategy&amp;"_"&amp;Investment_Strategy_Sub2&amp;"_"&amp;$A280,'Investment Strategies'!$T:$AF,13,FALSE),
IF(Investment_Strategy="DIY",DIY_ExtManChrge_CurrentFunds,
"Error"))))))</f>
        <v>0</v>
      </c>
      <c r="H280" s="16">
        <f t="shared" si="129"/>
        <v>0</v>
      </c>
      <c r="I280" s="16">
        <f t="shared" si="113"/>
        <v>0</v>
      </c>
      <c r="J280" s="16">
        <f t="shared" si="114"/>
        <v>0</v>
      </c>
      <c r="K280" s="16">
        <f>(Opening_Fund_Value+SUM(K$91:K279))*E280*IF(D280=$A$91,SRP_finalmonthfactor,1)</f>
        <v>0</v>
      </c>
      <c r="L280" s="74">
        <f>MIN(IF($AV280=0,0,
IF(Investment_Strategy="DIS",VLOOKUP(Investment_Strategy&amp;"_"&amp;Investment_Strategy_Sub1&amp;"_"&amp;$A280,'Investment Strategies'!$AZ:$BP,12,FALSE),
IF(AND(Investment_Strategy="Lifecycle",Investment_Strategy_Sub1="Non-Standard"),VLOOKUP(Investment_Strategy&amp;"_"&amp;Investment_Strategy_Sub2&amp;"_"&amp;$A280,'Investment Strategies'!$C:$P,9,FALSE),
IF(AND(Investment_Strategy="Lifecycle",Investment_Strategy_Sub1="Standard"),VLOOKUP(Investment_Strategy&amp;"_"&amp;Investment_Strategy_Sub2&amp;"_"&amp;$A280,'Investment Strategies'!$AJ:$AV,8,FALSE),
IF(AND(Investment_Strategy="Autopilot",Investment_Strategy_Sub1="Non-Standard"),VLOOKUP(Investment_Strategy&amp;"_"&amp;Investment_Strategy_Sub2&amp;"_"&amp;$A280,'Investment Strategies'!$T:$AF,8,FALSE),
IF(Investment_Strategy ="DIY",DIY_RateofReturn_SP,
"Error")))))),Max_InvReturn)</f>
        <v>0</v>
      </c>
      <c r="M280" s="62">
        <f>IF($AV280=0,0,
IF(Investment_Strategy="DIS",VLOOKUP(Investment_Strategy&amp;"_"&amp;Investment_Strategy_Sub1&amp;"_"&amp;$A280,'Investment Strategies'!$AZ:$BP,15,FALSE),
IF(AND(Investment_Strategy="Lifecycle",Investment_Strategy_Sub1="Non-Standard"),VLOOKUP(Investment_Strategy&amp;"_"&amp;Investment_Strategy_Sub2&amp;"_"&amp;$A280,'Investment Strategies'!$C:$P,12,FALSE),
IF(AND(Investment_Strategy="Lifecycle",Investment_Strategy_Sub1="Standard"),VLOOKUP(Investment_Strategy&amp;"_"&amp;Investment_Strategy_Sub2&amp;"_"&amp;$A280,'Investment Strategies'!$AJ:$AV,11,FALSE),
IF(AND(Investment_Strategy="Autopilot",Investment_Strategy_Sub1="Non-Standard"),VLOOKUP(Investment_Strategy&amp;"_"&amp;Investment_Strategy_Sub2&amp;"_"&amp;$A280,'Investment Strategies'!$T:$AF,11,FALSE),
IF(Investment_Strategy="DIY",DIY_GteeChrge_SP,
"Error"))))))</f>
        <v>0</v>
      </c>
      <c r="N280" s="33">
        <f>IF($AV280=0,0,
IF(Investment_Strategy="DIS",VLOOKUP(Investment_Strategy&amp;"_"&amp;Investment_Strategy_Sub1&amp;"_"&amp;$A280,'Investment Strategies'!$AZ:$BP,17,FALSE),
IF(AND(Investment_Strategy="Lifecycle",Investment_Strategy_Sub1="Non-Standard"),VLOOKUP(Investment_Strategy&amp;"_"&amp;Investment_Strategy_Sub2&amp;"_"&amp;$A280,'Investment Strategies'!$C:$P,14,FALSE),
IF(AND(Investment_Strategy="Lifecycle",Investment_Strategy_Sub1="Standard"),VLOOKUP(Investment_Strategy&amp;"_"&amp;Investment_Strategy_Sub2&amp;"_"&amp;$A280,'Investment Strategies'!$AJ:$AV,13,FALSE),
IF(AND(Investment_Strategy="Autopilot",Investment_Strategy_Sub1="Non-Standard"),VLOOKUP(Investment_Strategy&amp;"_"&amp;Investment_Strategy_Sub2&amp;"_"&amp;$A280,'Investment Strategies'!$T:$AF,13,FALSE),
IF(Investment_Strategy="DIY",DIY_ExtManChrge_SP,
"Error"))))))</f>
        <v>0</v>
      </c>
      <c r="O280" s="16">
        <f t="shared" si="141"/>
        <v>0</v>
      </c>
      <c r="Q280" s="16">
        <f t="shared" si="115"/>
        <v>0</v>
      </c>
      <c r="R280" s="16">
        <f t="shared" si="116"/>
        <v>0</v>
      </c>
      <c r="S280" s="16">
        <f>(SRP_SP+SUM(S$91:S279))*L280*IF(D280=$A$91,SRP_finalmonthfactor,1)</f>
        <v>0</v>
      </c>
      <c r="T280" s="74">
        <f>MIN(IF($AV280=0,0,
IF(Investment_Strategy="DIS",VLOOKUP(Investment_Strategy&amp;"_"&amp;Investment_Strategy_Sub1&amp;"_"&amp;$A280,'Investment Strategies'!$AZ:$BP,12,FALSE),
IF(AND(Investment_Strategy="Lifecycle",Investment_Strategy_Sub1="Non-Standard"),VLOOKUP(Investment_Strategy&amp;"_"&amp;Investment_Strategy_Sub2&amp;"_"&amp;$A280,'Investment Strategies'!$C:$P,9,FALSE),
IF(AND(Investment_Strategy="Lifecycle",Investment_Strategy_Sub1="Standard"),VLOOKUP(Investment_Strategy&amp;"_"&amp;Investment_Strategy_Sub2&amp;"_"&amp;$A280,'Investment Strategies'!$AJ:$AV,8,FALSE),
IF(AND(Investment_Strategy="Autopilot",Investment_Strategy_Sub1="Non-Standard"),VLOOKUP(Investment_Strategy&amp;"_"&amp;Investment_Strategy_Sub2&amp;"_"&amp;$A280,'Investment Strategies'!$T:$AF,8,FALSE),
IF(Investment_Strategy ="DIY",DIY_RateOfReturn_FuturePremiums,
"Error")))))),Max_InvReturn)</f>
        <v>0</v>
      </c>
      <c r="U280" s="62">
        <f>IF($AV280=0,0,
IF(Investment_Strategy="DIS",VLOOKUP(Investment_Strategy&amp;"_"&amp;Investment_Strategy_Sub1&amp;"_"&amp;$A280,'Investment Strategies'!$AZ:$BP,15,FALSE),
IF(AND(Investment_Strategy="Lifecycle",Investment_Strategy_Sub1="Non-Standard"),VLOOKUP(Investment_Strategy&amp;"_"&amp;Investment_Strategy_Sub2&amp;"_"&amp;$A280,'Investment Strategies'!$C:$P,12,FALSE),
IF(AND(Investment_Strategy="Lifecycle",Investment_Strategy_Sub1="Standard"),VLOOKUP(Investment_Strategy&amp;"_"&amp;Investment_Strategy_Sub2&amp;"_"&amp;$A280,'Investment Strategies'!$AJ:$AV,11,FALSE),
IF(AND(Investment_Strategy="Autopilot",Investment_Strategy_Sub1="Non-Standard"),VLOOKUP(Investment_Strategy&amp;"_"&amp;Investment_Strategy_Sub2&amp;"_"&amp;$A280,'Investment Strategies'!$T:$AF,11,FALSE),
IF(Investment_Strategy="DIY",DIY_GteeChrge_FuturePremiums,
"Error"))))))</f>
        <v>0</v>
      </c>
      <c r="V280" s="33">
        <f>IF(AV280=0,0,
IF(Investment_Strategy="DIS",VLOOKUP(Investment_Strategy&amp;"_"&amp;Investment_Strategy_Sub1&amp;"_"&amp;$A280,'Investment Strategies'!$AZ:$BP,17,FALSE),
IF(AND(Investment_Strategy="Lifecycle",Investment_Strategy_Sub1="Non-Standard"),VLOOKUP(Investment_Strategy&amp;"_"&amp;Investment_Strategy_Sub2&amp;"_"&amp;$A280,'Investment Strategies'!$C:$P,14,FALSE),
IF(AND(Investment_Strategy="Lifecycle",Investment_Strategy_Sub1="Standard"),VLOOKUP(Investment_Strategy&amp;"_"&amp;Investment_Strategy_Sub2&amp;"_"&amp;$A280,'Investment Strategies'!$AJ:$AV,13,FALSE),
IF(AND(Investment_Strategy="Autopilot",Investment_Strategy_Sub1="Non-Standard"),VLOOKUP(Investment_Strategy&amp;"_"&amp;Investment_Strategy_Sub2&amp;"_"&amp;$A280,'Investment Strategies'!$T:$AF,13,FALSE),
IF(Investment_Strategy="DIY",DIY_ExtManChrge_FuturePremiums,
"Error"))))))</f>
        <v>0</v>
      </c>
      <c r="W280" s="16">
        <f t="shared" si="142"/>
        <v>0</v>
      </c>
      <c r="X280" s="16">
        <f t="shared" si="117"/>
        <v>0</v>
      </c>
      <c r="Y280" s="16">
        <f t="shared" si="118"/>
        <v>0</v>
      </c>
      <c r="Z280" s="31">
        <f t="shared" si="119"/>
        <v>0.02</v>
      </c>
      <c r="AA280" s="16">
        <f t="shared" si="120"/>
        <v>0</v>
      </c>
      <c r="AB280" s="28">
        <f t="shared" si="144"/>
        <v>0</v>
      </c>
      <c r="AC280" s="28">
        <f>(SUM($AC$91:AC279)+SUM($X$91:X279)+X280)*T280*IF(D280=$A$91,SRP_finalmonthfactor,1)</f>
        <v>0</v>
      </c>
      <c r="AD280" s="16">
        <f t="shared" si="121"/>
        <v>0</v>
      </c>
      <c r="AE280" s="106"/>
      <c r="AF280" s="16">
        <f t="shared" si="130"/>
        <v>0</v>
      </c>
      <c r="AG280" s="16">
        <f t="shared" si="131"/>
        <v>0</v>
      </c>
      <c r="AH280" s="16">
        <f t="shared" si="132"/>
        <v>0</v>
      </c>
      <c r="AJ280" s="13">
        <f t="shared" si="157"/>
        <v>0</v>
      </c>
      <c r="AK280" s="13">
        <f t="shared" si="157"/>
        <v>0</v>
      </c>
      <c r="AL280" s="13">
        <f t="shared" si="157"/>
        <v>0</v>
      </c>
      <c r="AM280" s="13">
        <f t="shared" si="157"/>
        <v>0</v>
      </c>
      <c r="AN280" s="13">
        <f t="shared" si="157"/>
        <v>0</v>
      </c>
      <c r="AO280" s="13">
        <f t="shared" si="157"/>
        <v>1</v>
      </c>
      <c r="AP280" s="13">
        <f t="shared" si="157"/>
        <v>1</v>
      </c>
      <c r="AQ280" s="13">
        <f t="shared" si="157"/>
        <v>1</v>
      </c>
      <c r="AR280" s="13">
        <f t="shared" si="157"/>
        <v>1</v>
      </c>
      <c r="AS280" s="13">
        <f t="shared" si="157"/>
        <v>1</v>
      </c>
      <c r="AT280" s="13">
        <f t="shared" si="157"/>
        <v>1</v>
      </c>
      <c r="AU280" s="13">
        <f t="shared" si="157"/>
        <v>1</v>
      </c>
      <c r="AV280" s="13">
        <f t="shared" si="122"/>
        <v>0</v>
      </c>
      <c r="AW280" s="13">
        <f t="shared" si="123"/>
        <v>1</v>
      </c>
      <c r="AY280" s="17">
        <f t="shared" si="124"/>
        <v>190</v>
      </c>
      <c r="AZ280" s="28">
        <f t="shared" si="133"/>
        <v>0</v>
      </c>
      <c r="BA280" s="13">
        <f t="shared" si="125"/>
        <v>0</v>
      </c>
      <c r="BB280" s="13">
        <f t="shared" si="126"/>
        <v>0</v>
      </c>
      <c r="BC280" s="28">
        <f t="shared" si="134"/>
        <v>0</v>
      </c>
      <c r="BD280" s="28">
        <f t="shared" si="135"/>
        <v>0</v>
      </c>
      <c r="BF280" s="248">
        <f t="shared" si="136"/>
        <v>993869.29442638322</v>
      </c>
      <c r="BG280" s="36">
        <f t="shared" si="145"/>
        <v>0</v>
      </c>
      <c r="BH280" s="36">
        <f t="shared" si="146"/>
        <v>847124.11122200033</v>
      </c>
      <c r="BI280" s="249">
        <f t="shared" si="147"/>
        <v>0</v>
      </c>
      <c r="BJ280" s="246">
        <f t="shared" si="148"/>
        <v>0</v>
      </c>
      <c r="BK280" s="246">
        <f t="shared" si="127"/>
        <v>7.531116566323881E-4</v>
      </c>
      <c r="BL280" s="246">
        <f t="shared" si="149"/>
        <v>0</v>
      </c>
      <c r="BM280" s="246">
        <f t="shared" si="150"/>
        <v>7.531116566323881E-4</v>
      </c>
      <c r="BN280" s="36">
        <f t="shared" si="137"/>
        <v>637.9790427756401</v>
      </c>
      <c r="BO280" s="36">
        <f t="shared" si="151"/>
        <v>0</v>
      </c>
      <c r="BP280" s="36">
        <f t="shared" si="152"/>
        <v>846486.13217922463</v>
      </c>
    </row>
    <row r="281" spans="1:68">
      <c r="A281" s="32">
        <f t="shared" si="138"/>
        <v>-106</v>
      </c>
      <c r="B281" s="32">
        <f t="shared" si="128"/>
        <v>68</v>
      </c>
      <c r="C281" s="32">
        <f t="shared" si="139"/>
        <v>16</v>
      </c>
      <c r="D281" s="32">
        <f t="shared" si="140"/>
        <v>191</v>
      </c>
      <c r="E281" s="74">
        <f>MIN(IF(AV281=0,0,
IF(Investment_Strategy="DIS",VLOOKUP(Investment_Strategy&amp;"_"&amp;Investment_Strategy_Sub1&amp;"_"&amp;$A281,'Investment Strategies'!$AZ:$BP,12,FALSE),
IF(AND(Investment_Strategy="Lifecycle",Investment_Strategy_Sub1="Non-Standard"),VLOOKUP(Investment_Strategy&amp;"_"&amp;Investment_Strategy_Sub2&amp;"_"&amp;$A281,'Investment Strategies'!$C:$P,9,FALSE),
IF(AND(Investment_Strategy="Lifecycle",Investment_Strategy_Sub1="Standard"),VLOOKUP(Investment_Strategy&amp;"_"&amp;Investment_Strategy_Sub2&amp;"_"&amp;$A281,'Investment Strategies'!$AJ:$AV,8,FALSE),
IF(AND(Investment_Strategy="Autopilot",Investment_Strategy_Sub1="Non-Standard"),VLOOKUP(Investment_Strategy&amp;"_"&amp;Investment_Strategy_Sub2&amp;"_"&amp;$A281,'Investment Strategies'!$T:$AF,8,FALSE),
IF(Investment_Strategy ="DIY",DIY_RateOfReturn_CurrentFunds,
"Error")))))),Max_InvReturn)</f>
        <v>0</v>
      </c>
      <c r="F281" s="62">
        <f>IF(AV281=0,0,
IF(Investment_Strategy="DIS",VLOOKUP(Investment_Strategy&amp;"_"&amp;Investment_Strategy_Sub1&amp;"_"&amp;$A281,'Investment Strategies'!$AZ:$BP,15,FALSE),
IF(AND(Investment_Strategy="Lifecycle",Investment_Strategy_Sub1="Non-Standard"),VLOOKUP(Investment_Strategy&amp;"_"&amp;Investment_Strategy_Sub2&amp;"_"&amp;$A281,'Investment Strategies'!$C:$P,12,FALSE),
IF(AND(Investment_Strategy="Lifecycle",Investment_Strategy_Sub1="Standard"),VLOOKUP(Investment_Strategy&amp;"_"&amp;Investment_Strategy_Sub2&amp;"_"&amp;$A281,'Investment Strategies'!$AJ:$AV,11,FALSE),
IF(AND(Investment_Strategy="Autopilot",Investment_Strategy_Sub1="Non-Standard"),VLOOKUP(Investment_Strategy&amp;"_"&amp;Investment_Strategy_Sub2&amp;"_"&amp;$A281,'Investment Strategies'!$T:$AF,11,FALSE),
IF(Investment_Strategy="DIY",DIY_GteeChrge_CurrentFunds,
"Error"))))))</f>
        <v>0</v>
      </c>
      <c r="G281" s="33">
        <f>IF(AV281=0,0,
IF(Investment_Strategy="DIS",VLOOKUP(Investment_Strategy&amp;"_"&amp;Investment_Strategy_Sub1&amp;"_"&amp;$A281,'Investment Strategies'!$AZ:$BP,17,FALSE),
IF(AND(Investment_Strategy="Lifecycle",Investment_Strategy_Sub1="Non-Standard"),VLOOKUP(Investment_Strategy&amp;"_"&amp;Investment_Strategy_Sub2&amp;"_"&amp;$A281,'Investment Strategies'!$C:$P,14,FALSE),
IF(AND(Investment_Strategy="Lifecycle",Investment_Strategy_Sub1="Standard"),VLOOKUP(Investment_Strategy&amp;"_"&amp;Investment_Strategy_Sub2&amp;"_"&amp;$A281,'Investment Strategies'!$AJ:$AV,13,FALSE),
IF(AND(Investment_Strategy="Autopilot",Investment_Strategy_Sub1="Non-Standard"),VLOOKUP(Investment_Strategy&amp;"_"&amp;Investment_Strategy_Sub2&amp;"_"&amp;$A281,'Investment Strategies'!$T:$AF,13,FALSE),
IF(Investment_Strategy="DIY",DIY_ExtManChrge_CurrentFunds,
"Error"))))))</f>
        <v>0</v>
      </c>
      <c r="H281" s="16">
        <f t="shared" si="129"/>
        <v>0</v>
      </c>
      <c r="I281" s="16">
        <f t="shared" si="113"/>
        <v>0</v>
      </c>
      <c r="J281" s="16">
        <f t="shared" si="114"/>
        <v>0</v>
      </c>
      <c r="K281" s="16">
        <f>(Opening_Fund_Value+SUM(K$91:K280))*E281*IF(D281=$A$91,SRP_finalmonthfactor,1)</f>
        <v>0</v>
      </c>
      <c r="L281" s="74">
        <f>MIN(IF($AV281=0,0,
IF(Investment_Strategy="DIS",VLOOKUP(Investment_Strategy&amp;"_"&amp;Investment_Strategy_Sub1&amp;"_"&amp;$A281,'Investment Strategies'!$AZ:$BP,12,FALSE),
IF(AND(Investment_Strategy="Lifecycle",Investment_Strategy_Sub1="Non-Standard"),VLOOKUP(Investment_Strategy&amp;"_"&amp;Investment_Strategy_Sub2&amp;"_"&amp;$A281,'Investment Strategies'!$C:$P,9,FALSE),
IF(AND(Investment_Strategy="Lifecycle",Investment_Strategy_Sub1="Standard"),VLOOKUP(Investment_Strategy&amp;"_"&amp;Investment_Strategy_Sub2&amp;"_"&amp;$A281,'Investment Strategies'!$AJ:$AV,8,FALSE),
IF(AND(Investment_Strategy="Autopilot",Investment_Strategy_Sub1="Non-Standard"),VLOOKUP(Investment_Strategy&amp;"_"&amp;Investment_Strategy_Sub2&amp;"_"&amp;$A281,'Investment Strategies'!$T:$AF,8,FALSE),
IF(Investment_Strategy ="DIY",DIY_RateofReturn_SP,
"Error")))))),Max_InvReturn)</f>
        <v>0</v>
      </c>
      <c r="M281" s="62">
        <f>IF($AV281=0,0,
IF(Investment_Strategy="DIS",VLOOKUP(Investment_Strategy&amp;"_"&amp;Investment_Strategy_Sub1&amp;"_"&amp;$A281,'Investment Strategies'!$AZ:$BP,15,FALSE),
IF(AND(Investment_Strategy="Lifecycle",Investment_Strategy_Sub1="Non-Standard"),VLOOKUP(Investment_Strategy&amp;"_"&amp;Investment_Strategy_Sub2&amp;"_"&amp;$A281,'Investment Strategies'!$C:$P,12,FALSE),
IF(AND(Investment_Strategy="Lifecycle",Investment_Strategy_Sub1="Standard"),VLOOKUP(Investment_Strategy&amp;"_"&amp;Investment_Strategy_Sub2&amp;"_"&amp;$A281,'Investment Strategies'!$AJ:$AV,11,FALSE),
IF(AND(Investment_Strategy="Autopilot",Investment_Strategy_Sub1="Non-Standard"),VLOOKUP(Investment_Strategy&amp;"_"&amp;Investment_Strategy_Sub2&amp;"_"&amp;$A281,'Investment Strategies'!$T:$AF,11,FALSE),
IF(Investment_Strategy="DIY",DIY_GteeChrge_SP,
"Error"))))))</f>
        <v>0</v>
      </c>
      <c r="N281" s="33">
        <f>IF($AV281=0,0,
IF(Investment_Strategy="DIS",VLOOKUP(Investment_Strategy&amp;"_"&amp;Investment_Strategy_Sub1&amp;"_"&amp;$A281,'Investment Strategies'!$AZ:$BP,17,FALSE),
IF(AND(Investment_Strategy="Lifecycle",Investment_Strategy_Sub1="Non-Standard"),VLOOKUP(Investment_Strategy&amp;"_"&amp;Investment_Strategy_Sub2&amp;"_"&amp;$A281,'Investment Strategies'!$C:$P,14,FALSE),
IF(AND(Investment_Strategy="Lifecycle",Investment_Strategy_Sub1="Standard"),VLOOKUP(Investment_Strategy&amp;"_"&amp;Investment_Strategy_Sub2&amp;"_"&amp;$A281,'Investment Strategies'!$AJ:$AV,13,FALSE),
IF(AND(Investment_Strategy="Autopilot",Investment_Strategy_Sub1="Non-Standard"),VLOOKUP(Investment_Strategy&amp;"_"&amp;Investment_Strategy_Sub2&amp;"_"&amp;$A281,'Investment Strategies'!$T:$AF,13,FALSE),
IF(Investment_Strategy="DIY",DIY_ExtManChrge_SP,
"Error"))))))</f>
        <v>0</v>
      </c>
      <c r="O281" s="16">
        <f t="shared" si="141"/>
        <v>0</v>
      </c>
      <c r="Q281" s="16">
        <f t="shared" si="115"/>
        <v>0</v>
      </c>
      <c r="R281" s="16">
        <f t="shared" si="116"/>
        <v>0</v>
      </c>
      <c r="S281" s="16">
        <f>(SRP_SP+SUM(S$91:S280))*L281*IF(D281=$A$91,SRP_finalmonthfactor,1)</f>
        <v>0</v>
      </c>
      <c r="T281" s="74">
        <f>MIN(IF($AV281=0,0,
IF(Investment_Strategy="DIS",VLOOKUP(Investment_Strategy&amp;"_"&amp;Investment_Strategy_Sub1&amp;"_"&amp;$A281,'Investment Strategies'!$AZ:$BP,12,FALSE),
IF(AND(Investment_Strategy="Lifecycle",Investment_Strategy_Sub1="Non-Standard"),VLOOKUP(Investment_Strategy&amp;"_"&amp;Investment_Strategy_Sub2&amp;"_"&amp;$A281,'Investment Strategies'!$C:$P,9,FALSE),
IF(AND(Investment_Strategy="Lifecycle",Investment_Strategy_Sub1="Standard"),VLOOKUP(Investment_Strategy&amp;"_"&amp;Investment_Strategy_Sub2&amp;"_"&amp;$A281,'Investment Strategies'!$AJ:$AV,8,FALSE),
IF(AND(Investment_Strategy="Autopilot",Investment_Strategy_Sub1="Non-Standard"),VLOOKUP(Investment_Strategy&amp;"_"&amp;Investment_Strategy_Sub2&amp;"_"&amp;$A281,'Investment Strategies'!$T:$AF,8,FALSE),
IF(Investment_Strategy ="DIY",DIY_RateOfReturn_FuturePremiums,
"Error")))))),Max_InvReturn)</f>
        <v>0</v>
      </c>
      <c r="U281" s="62">
        <f>IF($AV281=0,0,
IF(Investment_Strategy="DIS",VLOOKUP(Investment_Strategy&amp;"_"&amp;Investment_Strategy_Sub1&amp;"_"&amp;$A281,'Investment Strategies'!$AZ:$BP,15,FALSE),
IF(AND(Investment_Strategy="Lifecycle",Investment_Strategy_Sub1="Non-Standard"),VLOOKUP(Investment_Strategy&amp;"_"&amp;Investment_Strategy_Sub2&amp;"_"&amp;$A281,'Investment Strategies'!$C:$P,12,FALSE),
IF(AND(Investment_Strategy="Lifecycle",Investment_Strategy_Sub1="Standard"),VLOOKUP(Investment_Strategy&amp;"_"&amp;Investment_Strategy_Sub2&amp;"_"&amp;$A281,'Investment Strategies'!$AJ:$AV,11,FALSE),
IF(AND(Investment_Strategy="Autopilot",Investment_Strategy_Sub1="Non-Standard"),VLOOKUP(Investment_Strategy&amp;"_"&amp;Investment_Strategy_Sub2&amp;"_"&amp;$A281,'Investment Strategies'!$T:$AF,11,FALSE),
IF(Investment_Strategy="DIY",DIY_GteeChrge_FuturePremiums,
"Error"))))))</f>
        <v>0</v>
      </c>
      <c r="V281" s="33">
        <f>IF(AV281=0,0,
IF(Investment_Strategy="DIS",VLOOKUP(Investment_Strategy&amp;"_"&amp;Investment_Strategy_Sub1&amp;"_"&amp;$A281,'Investment Strategies'!$AZ:$BP,17,FALSE),
IF(AND(Investment_Strategy="Lifecycle",Investment_Strategy_Sub1="Non-Standard"),VLOOKUP(Investment_Strategy&amp;"_"&amp;Investment_Strategy_Sub2&amp;"_"&amp;$A281,'Investment Strategies'!$C:$P,14,FALSE),
IF(AND(Investment_Strategy="Lifecycle",Investment_Strategy_Sub1="Standard"),VLOOKUP(Investment_Strategy&amp;"_"&amp;Investment_Strategy_Sub2&amp;"_"&amp;$A281,'Investment Strategies'!$AJ:$AV,13,FALSE),
IF(AND(Investment_Strategy="Autopilot",Investment_Strategy_Sub1="Non-Standard"),VLOOKUP(Investment_Strategy&amp;"_"&amp;Investment_Strategy_Sub2&amp;"_"&amp;$A281,'Investment Strategies'!$T:$AF,13,FALSE),
IF(Investment_Strategy="DIY",DIY_ExtManChrge_FuturePremiums,
"Error"))))))</f>
        <v>0</v>
      </c>
      <c r="W281" s="16">
        <f t="shared" si="142"/>
        <v>0</v>
      </c>
      <c r="X281" s="16">
        <f t="shared" si="117"/>
        <v>0</v>
      </c>
      <c r="Y281" s="16">
        <f t="shared" si="118"/>
        <v>0</v>
      </c>
      <c r="Z281" s="31">
        <f t="shared" si="119"/>
        <v>0.02</v>
      </c>
      <c r="AA281" s="16">
        <f t="shared" si="120"/>
        <v>0</v>
      </c>
      <c r="AB281" s="28">
        <f t="shared" si="144"/>
        <v>0</v>
      </c>
      <c r="AC281" s="28">
        <f>(SUM($AC$91:AC280)+SUM($X$91:X280)+X281)*T281*IF(D281=$A$91,SRP_finalmonthfactor,1)</f>
        <v>0</v>
      </c>
      <c r="AD281" s="16">
        <f t="shared" si="121"/>
        <v>0</v>
      </c>
      <c r="AE281" s="106"/>
      <c r="AF281" s="16">
        <f t="shared" si="130"/>
        <v>0</v>
      </c>
      <c r="AG281" s="16">
        <f t="shared" si="131"/>
        <v>0</v>
      </c>
      <c r="AH281" s="16">
        <f t="shared" si="132"/>
        <v>0</v>
      </c>
      <c r="AJ281" s="13">
        <f t="shared" ref="AJ281:AU290" si="158">IF($C281&lt;=AJ$90,1,0)</f>
        <v>0</v>
      </c>
      <c r="AK281" s="13">
        <f t="shared" si="158"/>
        <v>0</v>
      </c>
      <c r="AL281" s="13">
        <f t="shared" si="158"/>
        <v>0</v>
      </c>
      <c r="AM281" s="13">
        <f t="shared" si="158"/>
        <v>0</v>
      </c>
      <c r="AN281" s="13">
        <f t="shared" si="158"/>
        <v>0</v>
      </c>
      <c r="AO281" s="13">
        <f t="shared" si="158"/>
        <v>1</v>
      </c>
      <c r="AP281" s="13">
        <f t="shared" si="158"/>
        <v>1</v>
      </c>
      <c r="AQ281" s="13">
        <f t="shared" si="158"/>
        <v>1</v>
      </c>
      <c r="AR281" s="13">
        <f t="shared" si="158"/>
        <v>1</v>
      </c>
      <c r="AS281" s="13">
        <f t="shared" si="158"/>
        <v>1</v>
      </c>
      <c r="AT281" s="13">
        <f t="shared" si="158"/>
        <v>1</v>
      </c>
      <c r="AU281" s="13">
        <f t="shared" si="158"/>
        <v>1</v>
      </c>
      <c r="AV281" s="13">
        <f t="shared" si="122"/>
        <v>0</v>
      </c>
      <c r="AW281" s="13">
        <f t="shared" si="123"/>
        <v>1</v>
      </c>
      <c r="AY281" s="17">
        <f t="shared" si="124"/>
        <v>191</v>
      </c>
      <c r="AZ281" s="28">
        <f t="shared" si="133"/>
        <v>0</v>
      </c>
      <c r="BA281" s="13">
        <f t="shared" si="125"/>
        <v>0</v>
      </c>
      <c r="BB281" s="13">
        <f t="shared" si="126"/>
        <v>0</v>
      </c>
      <c r="BC281" s="28">
        <f t="shared" si="134"/>
        <v>0</v>
      </c>
      <c r="BD281" s="28">
        <f t="shared" si="135"/>
        <v>0</v>
      </c>
      <c r="BF281" s="248">
        <f t="shared" si="136"/>
        <v>993869.29442638322</v>
      </c>
      <c r="BG281" s="36">
        <f t="shared" si="145"/>
        <v>0</v>
      </c>
      <c r="BH281" s="36">
        <f t="shared" si="146"/>
        <v>846486.13217922463</v>
      </c>
      <c r="BI281" s="249">
        <f t="shared" si="147"/>
        <v>0</v>
      </c>
      <c r="BJ281" s="246">
        <f t="shared" si="148"/>
        <v>0</v>
      </c>
      <c r="BK281" s="246">
        <f t="shared" si="127"/>
        <v>7.531116566323881E-4</v>
      </c>
      <c r="BL281" s="246">
        <f t="shared" si="149"/>
        <v>0</v>
      </c>
      <c r="BM281" s="246">
        <f t="shared" si="150"/>
        <v>7.531116566323881E-4</v>
      </c>
      <c r="BN281" s="36">
        <f t="shared" si="137"/>
        <v>637.49857332183853</v>
      </c>
      <c r="BO281" s="36">
        <f t="shared" si="151"/>
        <v>0</v>
      </c>
      <c r="BP281" s="36">
        <f t="shared" si="152"/>
        <v>845848.63360590278</v>
      </c>
    </row>
    <row r="282" spans="1:68">
      <c r="A282" s="32">
        <f t="shared" si="138"/>
        <v>-107</v>
      </c>
      <c r="B282" s="32">
        <f t="shared" si="128"/>
        <v>68</v>
      </c>
      <c r="C282" s="32">
        <f t="shared" si="139"/>
        <v>16</v>
      </c>
      <c r="D282" s="32">
        <f t="shared" si="140"/>
        <v>192</v>
      </c>
      <c r="E282" s="74">
        <f>MIN(IF(AV282=0,0,
IF(Investment_Strategy="DIS",VLOOKUP(Investment_Strategy&amp;"_"&amp;Investment_Strategy_Sub1&amp;"_"&amp;$A282,'Investment Strategies'!$AZ:$BP,12,FALSE),
IF(AND(Investment_Strategy="Lifecycle",Investment_Strategy_Sub1="Non-Standard"),VLOOKUP(Investment_Strategy&amp;"_"&amp;Investment_Strategy_Sub2&amp;"_"&amp;$A282,'Investment Strategies'!$C:$P,9,FALSE),
IF(AND(Investment_Strategy="Lifecycle",Investment_Strategy_Sub1="Standard"),VLOOKUP(Investment_Strategy&amp;"_"&amp;Investment_Strategy_Sub2&amp;"_"&amp;$A282,'Investment Strategies'!$AJ:$AV,8,FALSE),
IF(AND(Investment_Strategy="Autopilot",Investment_Strategy_Sub1="Non-Standard"),VLOOKUP(Investment_Strategy&amp;"_"&amp;Investment_Strategy_Sub2&amp;"_"&amp;$A282,'Investment Strategies'!$T:$AF,8,FALSE),
IF(Investment_Strategy ="DIY",DIY_RateOfReturn_CurrentFunds,
"Error")))))),Max_InvReturn)</f>
        <v>0</v>
      </c>
      <c r="F282" s="62">
        <f>IF(AV282=0,0,
IF(Investment_Strategy="DIS",VLOOKUP(Investment_Strategy&amp;"_"&amp;Investment_Strategy_Sub1&amp;"_"&amp;$A282,'Investment Strategies'!$AZ:$BP,15,FALSE),
IF(AND(Investment_Strategy="Lifecycle",Investment_Strategy_Sub1="Non-Standard"),VLOOKUP(Investment_Strategy&amp;"_"&amp;Investment_Strategy_Sub2&amp;"_"&amp;$A282,'Investment Strategies'!$C:$P,12,FALSE),
IF(AND(Investment_Strategy="Lifecycle",Investment_Strategy_Sub1="Standard"),VLOOKUP(Investment_Strategy&amp;"_"&amp;Investment_Strategy_Sub2&amp;"_"&amp;$A282,'Investment Strategies'!$AJ:$AV,11,FALSE),
IF(AND(Investment_Strategy="Autopilot",Investment_Strategy_Sub1="Non-Standard"),VLOOKUP(Investment_Strategy&amp;"_"&amp;Investment_Strategy_Sub2&amp;"_"&amp;$A282,'Investment Strategies'!$T:$AF,11,FALSE),
IF(Investment_Strategy="DIY",DIY_GteeChrge_CurrentFunds,
"Error"))))))</f>
        <v>0</v>
      </c>
      <c r="G282" s="33">
        <f>IF(AV282=0,0,
IF(Investment_Strategy="DIS",VLOOKUP(Investment_Strategy&amp;"_"&amp;Investment_Strategy_Sub1&amp;"_"&amp;$A282,'Investment Strategies'!$AZ:$BP,17,FALSE),
IF(AND(Investment_Strategy="Lifecycle",Investment_Strategy_Sub1="Non-Standard"),VLOOKUP(Investment_Strategy&amp;"_"&amp;Investment_Strategy_Sub2&amp;"_"&amp;$A282,'Investment Strategies'!$C:$P,14,FALSE),
IF(AND(Investment_Strategy="Lifecycle",Investment_Strategy_Sub1="Standard"),VLOOKUP(Investment_Strategy&amp;"_"&amp;Investment_Strategy_Sub2&amp;"_"&amp;$A282,'Investment Strategies'!$AJ:$AV,13,FALSE),
IF(AND(Investment_Strategy="Autopilot",Investment_Strategy_Sub1="Non-Standard"),VLOOKUP(Investment_Strategy&amp;"_"&amp;Investment_Strategy_Sub2&amp;"_"&amp;$A282,'Investment Strategies'!$T:$AF,13,FALSE),
IF(Investment_Strategy="DIY",DIY_ExtManChrge_CurrentFunds,
"Error"))))))</f>
        <v>0</v>
      </c>
      <c r="H282" s="16">
        <f t="shared" si="129"/>
        <v>0</v>
      </c>
      <c r="I282" s="16">
        <f t="shared" si="113"/>
        <v>0</v>
      </c>
      <c r="J282" s="16">
        <f t="shared" si="114"/>
        <v>0</v>
      </c>
      <c r="K282" s="16">
        <f>(Opening_Fund_Value+SUM(K$91:K281))*E282*IF(D282=$A$91,SRP_finalmonthfactor,1)</f>
        <v>0</v>
      </c>
      <c r="L282" s="74">
        <f>MIN(IF($AV282=0,0,
IF(Investment_Strategy="DIS",VLOOKUP(Investment_Strategy&amp;"_"&amp;Investment_Strategy_Sub1&amp;"_"&amp;$A282,'Investment Strategies'!$AZ:$BP,12,FALSE),
IF(AND(Investment_Strategy="Lifecycle",Investment_Strategy_Sub1="Non-Standard"),VLOOKUP(Investment_Strategy&amp;"_"&amp;Investment_Strategy_Sub2&amp;"_"&amp;$A282,'Investment Strategies'!$C:$P,9,FALSE),
IF(AND(Investment_Strategy="Lifecycle",Investment_Strategy_Sub1="Standard"),VLOOKUP(Investment_Strategy&amp;"_"&amp;Investment_Strategy_Sub2&amp;"_"&amp;$A282,'Investment Strategies'!$AJ:$AV,8,FALSE),
IF(AND(Investment_Strategy="Autopilot",Investment_Strategy_Sub1="Non-Standard"),VLOOKUP(Investment_Strategy&amp;"_"&amp;Investment_Strategy_Sub2&amp;"_"&amp;$A282,'Investment Strategies'!$T:$AF,8,FALSE),
IF(Investment_Strategy ="DIY",DIY_RateofReturn_SP,
"Error")))))),Max_InvReturn)</f>
        <v>0</v>
      </c>
      <c r="M282" s="62">
        <f>IF($AV282=0,0,
IF(Investment_Strategy="DIS",VLOOKUP(Investment_Strategy&amp;"_"&amp;Investment_Strategy_Sub1&amp;"_"&amp;$A282,'Investment Strategies'!$AZ:$BP,15,FALSE),
IF(AND(Investment_Strategy="Lifecycle",Investment_Strategy_Sub1="Non-Standard"),VLOOKUP(Investment_Strategy&amp;"_"&amp;Investment_Strategy_Sub2&amp;"_"&amp;$A282,'Investment Strategies'!$C:$P,12,FALSE),
IF(AND(Investment_Strategy="Lifecycle",Investment_Strategy_Sub1="Standard"),VLOOKUP(Investment_Strategy&amp;"_"&amp;Investment_Strategy_Sub2&amp;"_"&amp;$A282,'Investment Strategies'!$AJ:$AV,11,FALSE),
IF(AND(Investment_Strategy="Autopilot",Investment_Strategy_Sub1="Non-Standard"),VLOOKUP(Investment_Strategy&amp;"_"&amp;Investment_Strategy_Sub2&amp;"_"&amp;$A282,'Investment Strategies'!$T:$AF,11,FALSE),
IF(Investment_Strategy="DIY",DIY_GteeChrge_SP,
"Error"))))))</f>
        <v>0</v>
      </c>
      <c r="N282" s="33">
        <f>IF($AV282=0,0,
IF(Investment_Strategy="DIS",VLOOKUP(Investment_Strategy&amp;"_"&amp;Investment_Strategy_Sub1&amp;"_"&amp;$A282,'Investment Strategies'!$AZ:$BP,17,FALSE),
IF(AND(Investment_Strategy="Lifecycle",Investment_Strategy_Sub1="Non-Standard"),VLOOKUP(Investment_Strategy&amp;"_"&amp;Investment_Strategy_Sub2&amp;"_"&amp;$A282,'Investment Strategies'!$C:$P,14,FALSE),
IF(AND(Investment_Strategy="Lifecycle",Investment_Strategy_Sub1="Standard"),VLOOKUP(Investment_Strategy&amp;"_"&amp;Investment_Strategy_Sub2&amp;"_"&amp;$A282,'Investment Strategies'!$AJ:$AV,13,FALSE),
IF(AND(Investment_Strategy="Autopilot",Investment_Strategy_Sub1="Non-Standard"),VLOOKUP(Investment_Strategy&amp;"_"&amp;Investment_Strategy_Sub2&amp;"_"&amp;$A282,'Investment Strategies'!$T:$AF,13,FALSE),
IF(Investment_Strategy="DIY",DIY_ExtManChrge_SP,
"Error"))))))</f>
        <v>0</v>
      </c>
      <c r="O282" s="16">
        <f t="shared" si="141"/>
        <v>0</v>
      </c>
      <c r="Q282" s="16">
        <f t="shared" si="115"/>
        <v>0</v>
      </c>
      <c r="R282" s="16">
        <f t="shared" si="116"/>
        <v>0</v>
      </c>
      <c r="S282" s="16">
        <f>(SRP_SP+SUM(S$91:S281))*L282*IF(D282=$A$91,SRP_finalmonthfactor,1)</f>
        <v>0</v>
      </c>
      <c r="T282" s="74">
        <f>MIN(IF($AV282=0,0,
IF(Investment_Strategy="DIS",VLOOKUP(Investment_Strategy&amp;"_"&amp;Investment_Strategy_Sub1&amp;"_"&amp;$A282,'Investment Strategies'!$AZ:$BP,12,FALSE),
IF(AND(Investment_Strategy="Lifecycle",Investment_Strategy_Sub1="Non-Standard"),VLOOKUP(Investment_Strategy&amp;"_"&amp;Investment_Strategy_Sub2&amp;"_"&amp;$A282,'Investment Strategies'!$C:$P,9,FALSE),
IF(AND(Investment_Strategy="Lifecycle",Investment_Strategy_Sub1="Standard"),VLOOKUP(Investment_Strategy&amp;"_"&amp;Investment_Strategy_Sub2&amp;"_"&amp;$A282,'Investment Strategies'!$AJ:$AV,8,FALSE),
IF(AND(Investment_Strategy="Autopilot",Investment_Strategy_Sub1="Non-Standard"),VLOOKUP(Investment_Strategy&amp;"_"&amp;Investment_Strategy_Sub2&amp;"_"&amp;$A282,'Investment Strategies'!$T:$AF,8,FALSE),
IF(Investment_Strategy ="DIY",DIY_RateOfReturn_FuturePremiums,
"Error")))))),Max_InvReturn)</f>
        <v>0</v>
      </c>
      <c r="U282" s="62">
        <f>IF($AV282=0,0,
IF(Investment_Strategy="DIS",VLOOKUP(Investment_Strategy&amp;"_"&amp;Investment_Strategy_Sub1&amp;"_"&amp;$A282,'Investment Strategies'!$AZ:$BP,15,FALSE),
IF(AND(Investment_Strategy="Lifecycle",Investment_Strategy_Sub1="Non-Standard"),VLOOKUP(Investment_Strategy&amp;"_"&amp;Investment_Strategy_Sub2&amp;"_"&amp;$A282,'Investment Strategies'!$C:$P,12,FALSE),
IF(AND(Investment_Strategy="Lifecycle",Investment_Strategy_Sub1="Standard"),VLOOKUP(Investment_Strategy&amp;"_"&amp;Investment_Strategy_Sub2&amp;"_"&amp;$A282,'Investment Strategies'!$AJ:$AV,11,FALSE),
IF(AND(Investment_Strategy="Autopilot",Investment_Strategy_Sub1="Non-Standard"),VLOOKUP(Investment_Strategy&amp;"_"&amp;Investment_Strategy_Sub2&amp;"_"&amp;$A282,'Investment Strategies'!$T:$AF,11,FALSE),
IF(Investment_Strategy="DIY",DIY_GteeChrge_FuturePremiums,
"Error"))))))</f>
        <v>0</v>
      </c>
      <c r="V282" s="33">
        <f>IF(AV282=0,0,
IF(Investment_Strategy="DIS",VLOOKUP(Investment_Strategy&amp;"_"&amp;Investment_Strategy_Sub1&amp;"_"&amp;$A282,'Investment Strategies'!$AZ:$BP,17,FALSE),
IF(AND(Investment_Strategy="Lifecycle",Investment_Strategy_Sub1="Non-Standard"),VLOOKUP(Investment_Strategy&amp;"_"&amp;Investment_Strategy_Sub2&amp;"_"&amp;$A282,'Investment Strategies'!$C:$P,14,FALSE),
IF(AND(Investment_Strategy="Lifecycle",Investment_Strategy_Sub1="Standard"),VLOOKUP(Investment_Strategy&amp;"_"&amp;Investment_Strategy_Sub2&amp;"_"&amp;$A282,'Investment Strategies'!$AJ:$AV,13,FALSE),
IF(AND(Investment_Strategy="Autopilot",Investment_Strategy_Sub1="Non-Standard"),VLOOKUP(Investment_Strategy&amp;"_"&amp;Investment_Strategy_Sub2&amp;"_"&amp;$A282,'Investment Strategies'!$T:$AF,13,FALSE),
IF(Investment_Strategy="DIY",DIY_ExtManChrge_FuturePremiums,
"Error"))))))</f>
        <v>0</v>
      </c>
      <c r="W282" s="16">
        <f t="shared" si="142"/>
        <v>0</v>
      </c>
      <c r="X282" s="16">
        <f t="shared" si="117"/>
        <v>0</v>
      </c>
      <c r="Y282" s="16">
        <f t="shared" si="118"/>
        <v>0</v>
      </c>
      <c r="Z282" s="31">
        <f t="shared" si="119"/>
        <v>0.02</v>
      </c>
      <c r="AA282" s="16">
        <f t="shared" si="120"/>
        <v>0</v>
      </c>
      <c r="AB282" s="28">
        <f t="shared" si="144"/>
        <v>0</v>
      </c>
      <c r="AC282" s="28">
        <f>(SUM($AC$91:AC281)+SUM($X$91:X281)+X282)*T282*IF(D282=$A$91,SRP_finalmonthfactor,1)</f>
        <v>0</v>
      </c>
      <c r="AD282" s="16">
        <f t="shared" si="121"/>
        <v>0</v>
      </c>
      <c r="AE282" s="106"/>
      <c r="AF282" s="16">
        <f t="shared" si="130"/>
        <v>0</v>
      </c>
      <c r="AG282" s="16">
        <f t="shared" si="131"/>
        <v>0</v>
      </c>
      <c r="AH282" s="16">
        <f t="shared" si="132"/>
        <v>0</v>
      </c>
      <c r="AJ282" s="13">
        <f t="shared" si="158"/>
        <v>0</v>
      </c>
      <c r="AK282" s="13">
        <f t="shared" si="158"/>
        <v>0</v>
      </c>
      <c r="AL282" s="13">
        <f t="shared" si="158"/>
        <v>0</v>
      </c>
      <c r="AM282" s="13">
        <f t="shared" si="158"/>
        <v>0</v>
      </c>
      <c r="AN282" s="13">
        <f t="shared" si="158"/>
        <v>0</v>
      </c>
      <c r="AO282" s="13">
        <f t="shared" si="158"/>
        <v>1</v>
      </c>
      <c r="AP282" s="13">
        <f t="shared" si="158"/>
        <v>1</v>
      </c>
      <c r="AQ282" s="13">
        <f t="shared" si="158"/>
        <v>1</v>
      </c>
      <c r="AR282" s="13">
        <f t="shared" si="158"/>
        <v>1</v>
      </c>
      <c r="AS282" s="13">
        <f t="shared" si="158"/>
        <v>1</v>
      </c>
      <c r="AT282" s="13">
        <f t="shared" si="158"/>
        <v>1</v>
      </c>
      <c r="AU282" s="13">
        <f t="shared" si="158"/>
        <v>1</v>
      </c>
      <c r="AV282" s="13">
        <f t="shared" si="122"/>
        <v>0</v>
      </c>
      <c r="AW282" s="13">
        <f t="shared" si="123"/>
        <v>1</v>
      </c>
      <c r="AY282" s="17">
        <f t="shared" si="124"/>
        <v>192</v>
      </c>
      <c r="AZ282" s="28">
        <f t="shared" si="133"/>
        <v>0</v>
      </c>
      <c r="BA282" s="13">
        <f t="shared" si="125"/>
        <v>0</v>
      </c>
      <c r="BB282" s="13">
        <f t="shared" si="126"/>
        <v>0</v>
      </c>
      <c r="BC282" s="28">
        <f t="shared" si="134"/>
        <v>0</v>
      </c>
      <c r="BD282" s="28">
        <f t="shared" si="135"/>
        <v>0</v>
      </c>
      <c r="BF282" s="248">
        <f t="shared" si="136"/>
        <v>993869.29442638322</v>
      </c>
      <c r="BG282" s="36">
        <f t="shared" si="145"/>
        <v>0</v>
      </c>
      <c r="BH282" s="36">
        <f t="shared" si="146"/>
        <v>845848.63360590278</v>
      </c>
      <c r="BI282" s="249">
        <f t="shared" si="147"/>
        <v>0</v>
      </c>
      <c r="BJ282" s="246">
        <f t="shared" si="148"/>
        <v>0</v>
      </c>
      <c r="BK282" s="246">
        <f t="shared" si="127"/>
        <v>7.531116566323881E-4</v>
      </c>
      <c r="BL282" s="246">
        <f t="shared" si="149"/>
        <v>0</v>
      </c>
      <c r="BM282" s="246">
        <f t="shared" si="150"/>
        <v>7.531116566323881E-4</v>
      </c>
      <c r="BN282" s="36">
        <f t="shared" si="137"/>
        <v>637.01846571518331</v>
      </c>
      <c r="BO282" s="36">
        <f t="shared" si="151"/>
        <v>0</v>
      </c>
      <c r="BP282" s="36">
        <f t="shared" si="152"/>
        <v>845211.61514018755</v>
      </c>
    </row>
    <row r="283" spans="1:68">
      <c r="A283" s="32">
        <f t="shared" si="138"/>
        <v>-108</v>
      </c>
      <c r="B283" s="32">
        <f t="shared" si="128"/>
        <v>69</v>
      </c>
      <c r="C283" s="32">
        <f t="shared" si="139"/>
        <v>17</v>
      </c>
      <c r="D283" s="32">
        <f t="shared" si="140"/>
        <v>193</v>
      </c>
      <c r="E283" s="74">
        <f>MIN(IF(AV283=0,0,
IF(Investment_Strategy="DIS",VLOOKUP(Investment_Strategy&amp;"_"&amp;Investment_Strategy_Sub1&amp;"_"&amp;$A283,'Investment Strategies'!$AZ:$BP,12,FALSE),
IF(AND(Investment_Strategy="Lifecycle",Investment_Strategy_Sub1="Non-Standard"),VLOOKUP(Investment_Strategy&amp;"_"&amp;Investment_Strategy_Sub2&amp;"_"&amp;$A283,'Investment Strategies'!$C:$P,9,FALSE),
IF(AND(Investment_Strategy="Lifecycle",Investment_Strategy_Sub1="Standard"),VLOOKUP(Investment_Strategy&amp;"_"&amp;Investment_Strategy_Sub2&amp;"_"&amp;$A283,'Investment Strategies'!$AJ:$AV,8,FALSE),
IF(AND(Investment_Strategy="Autopilot",Investment_Strategy_Sub1="Non-Standard"),VLOOKUP(Investment_Strategy&amp;"_"&amp;Investment_Strategy_Sub2&amp;"_"&amp;$A283,'Investment Strategies'!$T:$AF,8,FALSE),
IF(Investment_Strategy ="DIY",DIY_RateOfReturn_CurrentFunds,
"Error")))))),Max_InvReturn)</f>
        <v>0</v>
      </c>
      <c r="F283" s="62">
        <f>IF(AV283=0,0,
IF(Investment_Strategy="DIS",VLOOKUP(Investment_Strategy&amp;"_"&amp;Investment_Strategy_Sub1&amp;"_"&amp;$A283,'Investment Strategies'!$AZ:$BP,15,FALSE),
IF(AND(Investment_Strategy="Lifecycle",Investment_Strategy_Sub1="Non-Standard"),VLOOKUP(Investment_Strategy&amp;"_"&amp;Investment_Strategy_Sub2&amp;"_"&amp;$A283,'Investment Strategies'!$C:$P,12,FALSE),
IF(AND(Investment_Strategy="Lifecycle",Investment_Strategy_Sub1="Standard"),VLOOKUP(Investment_Strategy&amp;"_"&amp;Investment_Strategy_Sub2&amp;"_"&amp;$A283,'Investment Strategies'!$AJ:$AV,11,FALSE),
IF(AND(Investment_Strategy="Autopilot",Investment_Strategy_Sub1="Non-Standard"),VLOOKUP(Investment_Strategy&amp;"_"&amp;Investment_Strategy_Sub2&amp;"_"&amp;$A283,'Investment Strategies'!$T:$AF,11,FALSE),
IF(Investment_Strategy="DIY",DIY_GteeChrge_CurrentFunds,
"Error"))))))</f>
        <v>0</v>
      </c>
      <c r="G283" s="33">
        <f>IF(AV283=0,0,
IF(Investment_Strategy="DIS",VLOOKUP(Investment_Strategy&amp;"_"&amp;Investment_Strategy_Sub1&amp;"_"&amp;$A283,'Investment Strategies'!$AZ:$BP,17,FALSE),
IF(AND(Investment_Strategy="Lifecycle",Investment_Strategy_Sub1="Non-Standard"),VLOOKUP(Investment_Strategy&amp;"_"&amp;Investment_Strategy_Sub2&amp;"_"&amp;$A283,'Investment Strategies'!$C:$P,14,FALSE),
IF(AND(Investment_Strategy="Lifecycle",Investment_Strategy_Sub1="Standard"),VLOOKUP(Investment_Strategy&amp;"_"&amp;Investment_Strategy_Sub2&amp;"_"&amp;$A283,'Investment Strategies'!$AJ:$AV,13,FALSE),
IF(AND(Investment_Strategy="Autopilot",Investment_Strategy_Sub1="Non-Standard"),VLOOKUP(Investment_Strategy&amp;"_"&amp;Investment_Strategy_Sub2&amp;"_"&amp;$A283,'Investment Strategies'!$T:$AF,13,FALSE),
IF(Investment_Strategy="DIY",DIY_ExtManChrge_CurrentFunds,
"Error"))))))</f>
        <v>0</v>
      </c>
      <c r="H283" s="16">
        <f t="shared" si="129"/>
        <v>0</v>
      </c>
      <c r="I283" s="16">
        <f t="shared" ref="I283:I346" si="159">(H283*E283)*IF(D283=$A$91,SRP_finalmonthfactor,1)</f>
        <v>0</v>
      </c>
      <c r="J283" s="16">
        <f t="shared" ref="J283:J346" si="160">IF($AV283=0,0,
-((H283+I283/2)*(SRP_Monthly_Admin_Chge+F283+G283)*IF(D283=$A$91,SRP_finalmonthfactor,1)))</f>
        <v>0</v>
      </c>
      <c r="K283" s="16">
        <f>(Opening_Fund_Value+SUM(K$91:K282))*E283*IF(D283=$A$91,SRP_finalmonthfactor,1)</f>
        <v>0</v>
      </c>
      <c r="L283" s="74">
        <f>MIN(IF($AV283=0,0,
IF(Investment_Strategy="DIS",VLOOKUP(Investment_Strategy&amp;"_"&amp;Investment_Strategy_Sub1&amp;"_"&amp;$A283,'Investment Strategies'!$AZ:$BP,12,FALSE),
IF(AND(Investment_Strategy="Lifecycle",Investment_Strategy_Sub1="Non-Standard"),VLOOKUP(Investment_Strategy&amp;"_"&amp;Investment_Strategy_Sub2&amp;"_"&amp;$A283,'Investment Strategies'!$C:$P,9,FALSE),
IF(AND(Investment_Strategy="Lifecycle",Investment_Strategy_Sub1="Standard"),VLOOKUP(Investment_Strategy&amp;"_"&amp;Investment_Strategy_Sub2&amp;"_"&amp;$A283,'Investment Strategies'!$AJ:$AV,8,FALSE),
IF(AND(Investment_Strategy="Autopilot",Investment_Strategy_Sub1="Non-Standard"),VLOOKUP(Investment_Strategy&amp;"_"&amp;Investment_Strategy_Sub2&amp;"_"&amp;$A283,'Investment Strategies'!$T:$AF,8,FALSE),
IF(Investment_Strategy ="DIY",DIY_RateofReturn_SP,
"Error")))))),Max_InvReturn)</f>
        <v>0</v>
      </c>
      <c r="M283" s="62">
        <f>IF($AV283=0,0,
IF(Investment_Strategy="DIS",VLOOKUP(Investment_Strategy&amp;"_"&amp;Investment_Strategy_Sub1&amp;"_"&amp;$A283,'Investment Strategies'!$AZ:$BP,15,FALSE),
IF(AND(Investment_Strategy="Lifecycle",Investment_Strategy_Sub1="Non-Standard"),VLOOKUP(Investment_Strategy&amp;"_"&amp;Investment_Strategy_Sub2&amp;"_"&amp;$A283,'Investment Strategies'!$C:$P,12,FALSE),
IF(AND(Investment_Strategy="Lifecycle",Investment_Strategy_Sub1="Standard"),VLOOKUP(Investment_Strategy&amp;"_"&amp;Investment_Strategy_Sub2&amp;"_"&amp;$A283,'Investment Strategies'!$AJ:$AV,11,FALSE),
IF(AND(Investment_Strategy="Autopilot",Investment_Strategy_Sub1="Non-Standard"),VLOOKUP(Investment_Strategy&amp;"_"&amp;Investment_Strategy_Sub2&amp;"_"&amp;$A283,'Investment Strategies'!$T:$AF,11,FALSE),
IF(Investment_Strategy="DIY",DIY_GteeChrge_SP,
"Error"))))))</f>
        <v>0</v>
      </c>
      <c r="N283" s="33">
        <f>IF($AV283=0,0,
IF(Investment_Strategy="DIS",VLOOKUP(Investment_Strategy&amp;"_"&amp;Investment_Strategy_Sub1&amp;"_"&amp;$A283,'Investment Strategies'!$AZ:$BP,17,FALSE),
IF(AND(Investment_Strategy="Lifecycle",Investment_Strategy_Sub1="Non-Standard"),VLOOKUP(Investment_Strategy&amp;"_"&amp;Investment_Strategy_Sub2&amp;"_"&amp;$A283,'Investment Strategies'!$C:$P,14,FALSE),
IF(AND(Investment_Strategy="Lifecycle",Investment_Strategy_Sub1="Standard"),VLOOKUP(Investment_Strategy&amp;"_"&amp;Investment_Strategy_Sub2&amp;"_"&amp;$A283,'Investment Strategies'!$AJ:$AV,13,FALSE),
IF(AND(Investment_Strategy="Autopilot",Investment_Strategy_Sub1="Non-Standard"),VLOOKUP(Investment_Strategy&amp;"_"&amp;Investment_Strategy_Sub2&amp;"_"&amp;$A283,'Investment Strategies'!$T:$AF,13,FALSE),
IF(Investment_Strategy="DIY",DIY_ExtManChrge_SP,
"Error"))))))</f>
        <v>0</v>
      </c>
      <c r="O283" s="16">
        <f t="shared" si="141"/>
        <v>0</v>
      </c>
      <c r="Q283" s="16">
        <f t="shared" ref="Q283:Q346" si="161">(O283+(P283*(1-SRP_Contrib_Chge_SP)))*L283*IF(D283=$A$91,SRP_finalmonthfactor,1)</f>
        <v>0</v>
      </c>
      <c r="R283" s="16">
        <f t="shared" ref="R283:R339" si="162">IF($AV283=0,0,
-(($O283+($P283)*(1-SRP_Contrib_Chge_SP)+Q283/2)*(SRP_Monthly_Admin_Chge+$M283+$N283)*IF(D283=$A$91,SRP_finalmonthfactor,1)+
($P283)*SRP_Contrib_Chge_SP))</f>
        <v>0</v>
      </c>
      <c r="S283" s="16">
        <f>(SRP_SP+SUM(S$91:S282))*L283*IF(D283=$A$91,SRP_finalmonthfactor,1)</f>
        <v>0</v>
      </c>
      <c r="T283" s="74">
        <f>MIN(IF($AV283=0,0,
IF(Investment_Strategy="DIS",VLOOKUP(Investment_Strategy&amp;"_"&amp;Investment_Strategy_Sub1&amp;"_"&amp;$A283,'Investment Strategies'!$AZ:$BP,12,FALSE),
IF(AND(Investment_Strategy="Lifecycle",Investment_Strategy_Sub1="Non-Standard"),VLOOKUP(Investment_Strategy&amp;"_"&amp;Investment_Strategy_Sub2&amp;"_"&amp;$A283,'Investment Strategies'!$C:$P,9,FALSE),
IF(AND(Investment_Strategy="Lifecycle",Investment_Strategy_Sub1="Standard"),VLOOKUP(Investment_Strategy&amp;"_"&amp;Investment_Strategy_Sub2&amp;"_"&amp;$A283,'Investment Strategies'!$AJ:$AV,8,FALSE),
IF(AND(Investment_Strategy="Autopilot",Investment_Strategy_Sub1="Non-Standard"),VLOOKUP(Investment_Strategy&amp;"_"&amp;Investment_Strategy_Sub2&amp;"_"&amp;$A283,'Investment Strategies'!$T:$AF,8,FALSE),
IF(Investment_Strategy ="DIY",DIY_RateOfReturn_FuturePremiums,
"Error")))))),Max_InvReturn)</f>
        <v>0</v>
      </c>
      <c r="U283" s="62">
        <f>IF($AV283=0,0,
IF(Investment_Strategy="DIS",VLOOKUP(Investment_Strategy&amp;"_"&amp;Investment_Strategy_Sub1&amp;"_"&amp;$A283,'Investment Strategies'!$AZ:$BP,15,FALSE),
IF(AND(Investment_Strategy="Lifecycle",Investment_Strategy_Sub1="Non-Standard"),VLOOKUP(Investment_Strategy&amp;"_"&amp;Investment_Strategy_Sub2&amp;"_"&amp;$A283,'Investment Strategies'!$C:$P,12,FALSE),
IF(AND(Investment_Strategy="Lifecycle",Investment_Strategy_Sub1="Standard"),VLOOKUP(Investment_Strategy&amp;"_"&amp;Investment_Strategy_Sub2&amp;"_"&amp;$A283,'Investment Strategies'!$AJ:$AV,11,FALSE),
IF(AND(Investment_Strategy="Autopilot",Investment_Strategy_Sub1="Non-Standard"),VLOOKUP(Investment_Strategy&amp;"_"&amp;Investment_Strategy_Sub2&amp;"_"&amp;$A283,'Investment Strategies'!$T:$AF,11,FALSE),
IF(Investment_Strategy="DIY",DIY_GteeChrge_FuturePremiums,
"Error"))))))</f>
        <v>0</v>
      </c>
      <c r="V283" s="33">
        <f>IF(AV283=0,0,
IF(Investment_Strategy="DIS",VLOOKUP(Investment_Strategy&amp;"_"&amp;Investment_Strategy_Sub1&amp;"_"&amp;$A283,'Investment Strategies'!$AZ:$BP,17,FALSE),
IF(AND(Investment_Strategy="Lifecycle",Investment_Strategy_Sub1="Non-Standard"),VLOOKUP(Investment_Strategy&amp;"_"&amp;Investment_Strategy_Sub2&amp;"_"&amp;$A283,'Investment Strategies'!$C:$P,14,FALSE),
IF(AND(Investment_Strategy="Lifecycle",Investment_Strategy_Sub1="Standard"),VLOOKUP(Investment_Strategy&amp;"_"&amp;Investment_Strategy_Sub2&amp;"_"&amp;$A283,'Investment Strategies'!$AJ:$AV,13,FALSE),
IF(AND(Investment_Strategy="Autopilot",Investment_Strategy_Sub1="Non-Standard"),VLOOKUP(Investment_Strategy&amp;"_"&amp;Investment_Strategy_Sub2&amp;"_"&amp;$A283,'Investment Strategies'!$T:$AF,13,FALSE),
IF(Investment_Strategy="DIY",DIY_ExtManChrge_FuturePremiums,
"Error"))))))</f>
        <v>0</v>
      </c>
      <c r="W283" s="16">
        <f t="shared" si="142"/>
        <v>0</v>
      </c>
      <c r="X283" s="16">
        <f t="shared" ref="X283:X346" si="163">SRP_AP/Contributions_per_year * (1+MIN(Max_Contrib_Escalation,SRP_Contrib_Escalation))^($C283-1) * $AV283 * $AW283</f>
        <v>0</v>
      </c>
      <c r="Y283" s="16">
        <f t="shared" ref="Y283:Y346" si="164">(W283+(X283*(1-Z283)))*T283*IF(D283=$A$91,SRP_finalmonthfactor,1)</f>
        <v>0</v>
      </c>
      <c r="Z283" s="31">
        <f t="shared" ref="Z283:Z346" si="165">IF(X283/(12/Contributions_per_year)&lt;=99.99,2%,0%)*AW283</f>
        <v>0.02</v>
      </c>
      <c r="AA283" s="16">
        <f t="shared" ref="AA283:AA346" si="166">IF($AV283=0,0,
-(($W283+($X283)*(1-Z283)+Y283/2)*(SRP_Monthly_Admin_Chge+$U283+$V283)*IF(D283=$A$91,SRP_finalmonthfactor,1)+
+($X283)*Z283))</f>
        <v>0</v>
      </c>
      <c r="AB283" s="28">
        <f t="shared" si="144"/>
        <v>0</v>
      </c>
      <c r="AC283" s="28">
        <f>(SUM($AC$91:AC282)+SUM($X$91:X282)+X283)*T283*IF(D283=$A$91,SRP_finalmonthfactor,1)</f>
        <v>0</v>
      </c>
      <c r="AD283" s="16">
        <f t="shared" ref="AD283:AD346" si="167">IF($AV283=0,0,
IF((SRP_ValDate-SRP_PolicyStartDate)+(365*(D283-1)/12)&lt;365,-(($H283+$I283/2+$O283+$P283+Q283/2+$W283+$X283+Y283/2)*(SRP_Ren_Com_Mthly)+($P283*SRP_Init_Com_SP)+($X283*SRP_Init_Com_RP)),
-((H$91+$I283/2+$O283+$P283+Q283/2+$W283+$X283+Y283/2)*(SRP_Ren_Com_Mthly))))</f>
        <v>0</v>
      </c>
      <c r="AE283" s="106"/>
      <c r="AF283" s="16">
        <f t="shared" si="130"/>
        <v>0</v>
      </c>
      <c r="AG283" s="16">
        <f t="shared" si="131"/>
        <v>0</v>
      </c>
      <c r="AH283" s="16">
        <f t="shared" si="132"/>
        <v>0</v>
      </c>
      <c r="AJ283" s="13">
        <f t="shared" si="158"/>
        <v>0</v>
      </c>
      <c r="AK283" s="13">
        <f t="shared" si="158"/>
        <v>0</v>
      </c>
      <c r="AL283" s="13">
        <f t="shared" si="158"/>
        <v>0</v>
      </c>
      <c r="AM283" s="13">
        <f t="shared" si="158"/>
        <v>0</v>
      </c>
      <c r="AN283" s="13">
        <f t="shared" si="158"/>
        <v>0</v>
      </c>
      <c r="AO283" s="13">
        <f t="shared" si="158"/>
        <v>1</v>
      </c>
      <c r="AP283" s="13">
        <f t="shared" si="158"/>
        <v>1</v>
      </c>
      <c r="AQ283" s="13">
        <f t="shared" si="158"/>
        <v>1</v>
      </c>
      <c r="AR283" s="13">
        <f t="shared" si="158"/>
        <v>1</v>
      </c>
      <c r="AS283" s="13">
        <f t="shared" si="158"/>
        <v>1</v>
      </c>
      <c r="AT283" s="13">
        <f t="shared" si="158"/>
        <v>1</v>
      </c>
      <c r="AU283" s="13">
        <f t="shared" si="158"/>
        <v>1</v>
      </c>
      <c r="AV283" s="13">
        <f t="shared" ref="AV283:AV346" si="168">IF($B283&lt;SRP_NRA,1,0)</f>
        <v>0</v>
      </c>
      <c r="AW283" s="13">
        <f t="shared" ref="AW283:AW346" si="169">IF($I$60 = "Yes",IF(SRP_PremFreq = "Annual",IF(MOD(D283-1, 12) = 0, 1, 0), IF(SRP_PremFreq = "Half-Yearly", IF(MOD(D283-1, 6) = 0, 1, 0), IF(SRP_PremFreq = "Quarterly", IF(MOD(D283-1, 3) = 0, 1, 0), IF(SRP_PremFreq = "Monthly", IF(MOD(D283-1, 1) = 0, 1, 0), "Error")))),0)</f>
        <v>1</v>
      </c>
      <c r="AY283" s="17">
        <f t="shared" ref="AY283:AY346" si="170">D283</f>
        <v>193</v>
      </c>
      <c r="AZ283" s="28">
        <f t="shared" si="133"/>
        <v>0</v>
      </c>
      <c r="BA283" s="13">
        <f t="shared" ref="BA283:BA346" si="171">-IF(A283=0,$F$32,0)</f>
        <v>0</v>
      </c>
      <c r="BB283" s="13">
        <f t="shared" ref="BB283:BB346" si="172">-IF(A283=0,$G$32,0)</f>
        <v>0</v>
      </c>
      <c r="BC283" s="28">
        <f t="shared" si="134"/>
        <v>0</v>
      </c>
      <c r="BD283" s="28">
        <f t="shared" si="135"/>
        <v>0</v>
      </c>
      <c r="BF283" s="248">
        <f t="shared" si="136"/>
        <v>993869.29442638322</v>
      </c>
      <c r="BG283" s="36">
        <f t="shared" si="145"/>
        <v>0</v>
      </c>
      <c r="BH283" s="36">
        <f t="shared" si="146"/>
        <v>845211.61514018755</v>
      </c>
      <c r="BI283" s="249">
        <f t="shared" si="147"/>
        <v>0</v>
      </c>
      <c r="BJ283" s="246">
        <f t="shared" si="148"/>
        <v>0</v>
      </c>
      <c r="BK283" s="246">
        <f t="shared" ref="BK283:BK331" si="173">SRP_Monthly_Admin_Chge+U283</f>
        <v>7.531116566323881E-4</v>
      </c>
      <c r="BL283" s="246">
        <f t="shared" si="149"/>
        <v>0</v>
      </c>
      <c r="BM283" s="246">
        <f t="shared" si="150"/>
        <v>7.531116566323881E-4</v>
      </c>
      <c r="BN283" s="36">
        <f t="shared" si="137"/>
        <v>636.53871968316309</v>
      </c>
      <c r="BO283" s="36">
        <f t="shared" si="151"/>
        <v>0</v>
      </c>
      <c r="BP283" s="36">
        <f t="shared" si="152"/>
        <v>844575.07642050437</v>
      </c>
    </row>
    <row r="284" spans="1:68">
      <c r="A284" s="32">
        <f t="shared" si="138"/>
        <v>-109</v>
      </c>
      <c r="B284" s="32">
        <f t="shared" ref="B284:B347" si="174">INT(SRP_Current_Age+D283/12)</f>
        <v>69</v>
      </c>
      <c r="C284" s="32">
        <f t="shared" si="139"/>
        <v>17</v>
      </c>
      <c r="D284" s="32">
        <f t="shared" si="140"/>
        <v>194</v>
      </c>
      <c r="E284" s="74">
        <f>MIN(IF(AV284=0,0,
IF(Investment_Strategy="DIS",VLOOKUP(Investment_Strategy&amp;"_"&amp;Investment_Strategy_Sub1&amp;"_"&amp;$A284,'Investment Strategies'!$AZ:$BP,12,FALSE),
IF(AND(Investment_Strategy="Lifecycle",Investment_Strategy_Sub1="Non-Standard"),VLOOKUP(Investment_Strategy&amp;"_"&amp;Investment_Strategy_Sub2&amp;"_"&amp;$A284,'Investment Strategies'!$C:$P,9,FALSE),
IF(AND(Investment_Strategy="Lifecycle",Investment_Strategy_Sub1="Standard"),VLOOKUP(Investment_Strategy&amp;"_"&amp;Investment_Strategy_Sub2&amp;"_"&amp;$A284,'Investment Strategies'!$AJ:$AV,8,FALSE),
IF(AND(Investment_Strategy="Autopilot",Investment_Strategy_Sub1="Non-Standard"),VLOOKUP(Investment_Strategy&amp;"_"&amp;Investment_Strategy_Sub2&amp;"_"&amp;$A284,'Investment Strategies'!$T:$AF,8,FALSE),
IF(Investment_Strategy ="DIY",DIY_RateOfReturn_CurrentFunds,
"Error")))))),Max_InvReturn)</f>
        <v>0</v>
      </c>
      <c r="F284" s="62">
        <f>IF(AV284=0,0,
IF(Investment_Strategy="DIS",VLOOKUP(Investment_Strategy&amp;"_"&amp;Investment_Strategy_Sub1&amp;"_"&amp;$A284,'Investment Strategies'!$AZ:$BP,15,FALSE),
IF(AND(Investment_Strategy="Lifecycle",Investment_Strategy_Sub1="Non-Standard"),VLOOKUP(Investment_Strategy&amp;"_"&amp;Investment_Strategy_Sub2&amp;"_"&amp;$A284,'Investment Strategies'!$C:$P,12,FALSE),
IF(AND(Investment_Strategy="Lifecycle",Investment_Strategy_Sub1="Standard"),VLOOKUP(Investment_Strategy&amp;"_"&amp;Investment_Strategy_Sub2&amp;"_"&amp;$A284,'Investment Strategies'!$AJ:$AV,11,FALSE),
IF(AND(Investment_Strategy="Autopilot",Investment_Strategy_Sub1="Non-Standard"),VLOOKUP(Investment_Strategy&amp;"_"&amp;Investment_Strategy_Sub2&amp;"_"&amp;$A284,'Investment Strategies'!$T:$AF,11,FALSE),
IF(Investment_Strategy="DIY",DIY_GteeChrge_CurrentFunds,
"Error"))))))</f>
        <v>0</v>
      </c>
      <c r="G284" s="33">
        <f>IF(AV284=0,0,
IF(Investment_Strategy="DIS",VLOOKUP(Investment_Strategy&amp;"_"&amp;Investment_Strategy_Sub1&amp;"_"&amp;$A284,'Investment Strategies'!$AZ:$BP,17,FALSE),
IF(AND(Investment_Strategy="Lifecycle",Investment_Strategy_Sub1="Non-Standard"),VLOOKUP(Investment_Strategy&amp;"_"&amp;Investment_Strategy_Sub2&amp;"_"&amp;$A284,'Investment Strategies'!$C:$P,14,FALSE),
IF(AND(Investment_Strategy="Lifecycle",Investment_Strategy_Sub1="Standard"),VLOOKUP(Investment_Strategy&amp;"_"&amp;Investment_Strategy_Sub2&amp;"_"&amp;$A284,'Investment Strategies'!$AJ:$AV,13,FALSE),
IF(AND(Investment_Strategy="Autopilot",Investment_Strategy_Sub1="Non-Standard"),VLOOKUP(Investment_Strategy&amp;"_"&amp;Investment_Strategy_Sub2&amp;"_"&amp;$A284,'Investment Strategies'!$T:$AF,13,FALSE),
IF(Investment_Strategy="DIY",DIY_ExtManChrge_CurrentFunds,
"Error"))))))</f>
        <v>0</v>
      </c>
      <c r="H284" s="16">
        <f t="shared" ref="H284:H347" si="175">IF($AV283=0,0,SUM(H283:J283))</f>
        <v>0</v>
      </c>
      <c r="I284" s="16">
        <f t="shared" si="159"/>
        <v>0</v>
      </c>
      <c r="J284" s="16">
        <f t="shared" si="160"/>
        <v>0</v>
      </c>
      <c r="K284" s="16">
        <f>(Opening_Fund_Value+SUM(K$91:K283))*E284*IF(D284=$A$91,SRP_finalmonthfactor,1)</f>
        <v>0</v>
      </c>
      <c r="L284" s="74">
        <f>MIN(IF($AV284=0,0,
IF(Investment_Strategy="DIS",VLOOKUP(Investment_Strategy&amp;"_"&amp;Investment_Strategy_Sub1&amp;"_"&amp;$A284,'Investment Strategies'!$AZ:$BP,12,FALSE),
IF(AND(Investment_Strategy="Lifecycle",Investment_Strategy_Sub1="Non-Standard"),VLOOKUP(Investment_Strategy&amp;"_"&amp;Investment_Strategy_Sub2&amp;"_"&amp;$A284,'Investment Strategies'!$C:$P,9,FALSE),
IF(AND(Investment_Strategy="Lifecycle",Investment_Strategy_Sub1="Standard"),VLOOKUP(Investment_Strategy&amp;"_"&amp;Investment_Strategy_Sub2&amp;"_"&amp;$A284,'Investment Strategies'!$AJ:$AV,8,FALSE),
IF(AND(Investment_Strategy="Autopilot",Investment_Strategy_Sub1="Non-Standard"),VLOOKUP(Investment_Strategy&amp;"_"&amp;Investment_Strategy_Sub2&amp;"_"&amp;$A284,'Investment Strategies'!$T:$AF,8,FALSE),
IF(Investment_Strategy ="DIY",DIY_RateofReturn_SP,
"Error")))))),Max_InvReturn)</f>
        <v>0</v>
      </c>
      <c r="M284" s="62">
        <f>IF($AV284=0,0,
IF(Investment_Strategy="DIS",VLOOKUP(Investment_Strategy&amp;"_"&amp;Investment_Strategy_Sub1&amp;"_"&amp;$A284,'Investment Strategies'!$AZ:$BP,15,FALSE),
IF(AND(Investment_Strategy="Lifecycle",Investment_Strategy_Sub1="Non-Standard"),VLOOKUP(Investment_Strategy&amp;"_"&amp;Investment_Strategy_Sub2&amp;"_"&amp;$A284,'Investment Strategies'!$C:$P,12,FALSE),
IF(AND(Investment_Strategy="Lifecycle",Investment_Strategy_Sub1="Standard"),VLOOKUP(Investment_Strategy&amp;"_"&amp;Investment_Strategy_Sub2&amp;"_"&amp;$A284,'Investment Strategies'!$AJ:$AV,11,FALSE),
IF(AND(Investment_Strategy="Autopilot",Investment_Strategy_Sub1="Non-Standard"),VLOOKUP(Investment_Strategy&amp;"_"&amp;Investment_Strategy_Sub2&amp;"_"&amp;$A284,'Investment Strategies'!$T:$AF,11,FALSE),
IF(Investment_Strategy="DIY",DIY_GteeChrge_SP,
"Error"))))))</f>
        <v>0</v>
      </c>
      <c r="N284" s="33">
        <f>IF($AV284=0,0,
IF(Investment_Strategy="DIS",VLOOKUP(Investment_Strategy&amp;"_"&amp;Investment_Strategy_Sub1&amp;"_"&amp;$A284,'Investment Strategies'!$AZ:$BP,17,FALSE),
IF(AND(Investment_Strategy="Lifecycle",Investment_Strategy_Sub1="Non-Standard"),VLOOKUP(Investment_Strategy&amp;"_"&amp;Investment_Strategy_Sub2&amp;"_"&amp;$A284,'Investment Strategies'!$C:$P,14,FALSE),
IF(AND(Investment_Strategy="Lifecycle",Investment_Strategy_Sub1="Standard"),VLOOKUP(Investment_Strategy&amp;"_"&amp;Investment_Strategy_Sub2&amp;"_"&amp;$A284,'Investment Strategies'!$AJ:$AV,13,FALSE),
IF(AND(Investment_Strategy="Autopilot",Investment_Strategy_Sub1="Non-Standard"),VLOOKUP(Investment_Strategy&amp;"_"&amp;Investment_Strategy_Sub2&amp;"_"&amp;$A284,'Investment Strategies'!$T:$AF,13,FALSE),
IF(Investment_Strategy="DIY",DIY_ExtManChrge_SP,
"Error"))))))</f>
        <v>0</v>
      </c>
      <c r="O284" s="16">
        <f t="shared" si="141"/>
        <v>0</v>
      </c>
      <c r="Q284" s="16">
        <f t="shared" si="161"/>
        <v>0</v>
      </c>
      <c r="R284" s="16">
        <f t="shared" si="162"/>
        <v>0</v>
      </c>
      <c r="S284" s="16">
        <f>(SRP_SP+SUM(S$91:S283))*L284*IF(D284=$A$91,SRP_finalmonthfactor,1)</f>
        <v>0</v>
      </c>
      <c r="T284" s="74">
        <f>MIN(IF($AV284=0,0,
IF(Investment_Strategy="DIS",VLOOKUP(Investment_Strategy&amp;"_"&amp;Investment_Strategy_Sub1&amp;"_"&amp;$A284,'Investment Strategies'!$AZ:$BP,12,FALSE),
IF(AND(Investment_Strategy="Lifecycle",Investment_Strategy_Sub1="Non-Standard"),VLOOKUP(Investment_Strategy&amp;"_"&amp;Investment_Strategy_Sub2&amp;"_"&amp;$A284,'Investment Strategies'!$C:$P,9,FALSE),
IF(AND(Investment_Strategy="Lifecycle",Investment_Strategy_Sub1="Standard"),VLOOKUP(Investment_Strategy&amp;"_"&amp;Investment_Strategy_Sub2&amp;"_"&amp;$A284,'Investment Strategies'!$AJ:$AV,8,FALSE),
IF(AND(Investment_Strategy="Autopilot",Investment_Strategy_Sub1="Non-Standard"),VLOOKUP(Investment_Strategy&amp;"_"&amp;Investment_Strategy_Sub2&amp;"_"&amp;$A284,'Investment Strategies'!$T:$AF,8,FALSE),
IF(Investment_Strategy ="DIY",DIY_RateOfReturn_FuturePremiums,
"Error")))))),Max_InvReturn)</f>
        <v>0</v>
      </c>
      <c r="U284" s="62">
        <f>IF($AV284=0,0,
IF(Investment_Strategy="DIS",VLOOKUP(Investment_Strategy&amp;"_"&amp;Investment_Strategy_Sub1&amp;"_"&amp;$A284,'Investment Strategies'!$AZ:$BP,15,FALSE),
IF(AND(Investment_Strategy="Lifecycle",Investment_Strategy_Sub1="Non-Standard"),VLOOKUP(Investment_Strategy&amp;"_"&amp;Investment_Strategy_Sub2&amp;"_"&amp;$A284,'Investment Strategies'!$C:$P,12,FALSE),
IF(AND(Investment_Strategy="Lifecycle",Investment_Strategy_Sub1="Standard"),VLOOKUP(Investment_Strategy&amp;"_"&amp;Investment_Strategy_Sub2&amp;"_"&amp;$A284,'Investment Strategies'!$AJ:$AV,11,FALSE),
IF(AND(Investment_Strategy="Autopilot",Investment_Strategy_Sub1="Non-Standard"),VLOOKUP(Investment_Strategy&amp;"_"&amp;Investment_Strategy_Sub2&amp;"_"&amp;$A284,'Investment Strategies'!$T:$AF,11,FALSE),
IF(Investment_Strategy="DIY",DIY_GteeChrge_FuturePremiums,
"Error"))))))</f>
        <v>0</v>
      </c>
      <c r="V284" s="33">
        <f>IF(AV284=0,0,
IF(Investment_Strategy="DIS",VLOOKUP(Investment_Strategy&amp;"_"&amp;Investment_Strategy_Sub1&amp;"_"&amp;$A284,'Investment Strategies'!$AZ:$BP,17,FALSE),
IF(AND(Investment_Strategy="Lifecycle",Investment_Strategy_Sub1="Non-Standard"),VLOOKUP(Investment_Strategy&amp;"_"&amp;Investment_Strategy_Sub2&amp;"_"&amp;$A284,'Investment Strategies'!$C:$P,14,FALSE),
IF(AND(Investment_Strategy="Lifecycle",Investment_Strategy_Sub1="Standard"),VLOOKUP(Investment_Strategy&amp;"_"&amp;Investment_Strategy_Sub2&amp;"_"&amp;$A284,'Investment Strategies'!$AJ:$AV,13,FALSE),
IF(AND(Investment_Strategy="Autopilot",Investment_Strategy_Sub1="Non-Standard"),VLOOKUP(Investment_Strategy&amp;"_"&amp;Investment_Strategy_Sub2&amp;"_"&amp;$A284,'Investment Strategies'!$T:$AF,13,FALSE),
IF(Investment_Strategy="DIY",DIY_ExtManChrge_FuturePremiums,
"Error"))))))</f>
        <v>0</v>
      </c>
      <c r="W284" s="16">
        <f t="shared" si="142"/>
        <v>0</v>
      </c>
      <c r="X284" s="16">
        <f t="shared" si="163"/>
        <v>0</v>
      </c>
      <c r="Y284" s="16">
        <f t="shared" si="164"/>
        <v>0</v>
      </c>
      <c r="Z284" s="31">
        <f t="shared" si="165"/>
        <v>0.02</v>
      </c>
      <c r="AA284" s="16">
        <f t="shared" si="166"/>
        <v>0</v>
      </c>
      <c r="AB284" s="28">
        <f t="shared" si="144"/>
        <v>0</v>
      </c>
      <c r="AC284" s="28">
        <f>(SUM($AC$91:AC283)+SUM($X$91:X283)+X284)*T284*IF(D284=$A$91,SRP_finalmonthfactor,1)</f>
        <v>0</v>
      </c>
      <c r="AD284" s="16">
        <f t="shared" si="167"/>
        <v>0</v>
      </c>
      <c r="AE284" s="106"/>
      <c r="AF284" s="16">
        <f t="shared" ref="AF284:AF347" si="176">H284+O284+W284</f>
        <v>0</v>
      </c>
      <c r="AG284" s="16">
        <f t="shared" ref="AG284:AG347" si="177">SUM($K284,$S284,$AC284)</f>
        <v>0</v>
      </c>
      <c r="AH284" s="16">
        <f t="shared" ref="AH284:AH347" si="178">SUM($J284,$R284,$AA284)</f>
        <v>0</v>
      </c>
      <c r="AJ284" s="13">
        <f t="shared" si="158"/>
        <v>0</v>
      </c>
      <c r="AK284" s="13">
        <f t="shared" si="158"/>
        <v>0</v>
      </c>
      <c r="AL284" s="13">
        <f t="shared" si="158"/>
        <v>0</v>
      </c>
      <c r="AM284" s="13">
        <f t="shared" si="158"/>
        <v>0</v>
      </c>
      <c r="AN284" s="13">
        <f t="shared" si="158"/>
        <v>0</v>
      </c>
      <c r="AO284" s="13">
        <f t="shared" si="158"/>
        <v>1</v>
      </c>
      <c r="AP284" s="13">
        <f t="shared" si="158"/>
        <v>1</v>
      </c>
      <c r="AQ284" s="13">
        <f t="shared" si="158"/>
        <v>1</v>
      </c>
      <c r="AR284" s="13">
        <f t="shared" si="158"/>
        <v>1</v>
      </c>
      <c r="AS284" s="13">
        <f t="shared" si="158"/>
        <v>1</v>
      </c>
      <c r="AT284" s="13">
        <f t="shared" si="158"/>
        <v>1</v>
      </c>
      <c r="AU284" s="13">
        <f t="shared" si="158"/>
        <v>1</v>
      </c>
      <c r="AV284" s="13">
        <f t="shared" si="168"/>
        <v>0</v>
      </c>
      <c r="AW284" s="13">
        <f t="shared" si="169"/>
        <v>1</v>
      </c>
      <c r="AY284" s="17">
        <f t="shared" si="170"/>
        <v>194</v>
      </c>
      <c r="AZ284" s="28">
        <f t="shared" ref="AZ284:AZ347" si="179">X284+P284</f>
        <v>0</v>
      </c>
      <c r="BA284" s="13">
        <f t="shared" si="171"/>
        <v>0</v>
      </c>
      <c r="BB284" s="13">
        <f t="shared" si="172"/>
        <v>0</v>
      </c>
      <c r="BC284" s="28">
        <f t="shared" ref="BC284:BC347" si="180">SUM(AZ284,BA284)</f>
        <v>0</v>
      </c>
      <c r="BD284" s="28">
        <f t="shared" ref="BD284:BD347" si="181">SUM(AZ284,BB284)</f>
        <v>0</v>
      </c>
      <c r="BF284" s="248">
        <f t="shared" ref="BF284:BF347" si="182">IF(ISNUMBER(BF283), (BF283+X284), (P284+X284))*(1+T284)</f>
        <v>993869.29442638322</v>
      </c>
      <c r="BG284" s="36">
        <f t="shared" si="145"/>
        <v>0</v>
      </c>
      <c r="BH284" s="36">
        <f t="shared" si="146"/>
        <v>844575.07642050437</v>
      </c>
      <c r="BI284" s="249">
        <f t="shared" si="147"/>
        <v>0</v>
      </c>
      <c r="BJ284" s="246">
        <f t="shared" si="148"/>
        <v>0</v>
      </c>
      <c r="BK284" s="246">
        <f t="shared" si="173"/>
        <v>7.531116566323881E-4</v>
      </c>
      <c r="BL284" s="246">
        <f t="shared" si="149"/>
        <v>0</v>
      </c>
      <c r="BM284" s="246">
        <f t="shared" si="150"/>
        <v>7.531116566323881E-4</v>
      </c>
      <c r="BN284" s="36">
        <f t="shared" ref="BN284:BN331" si="183">BH284*(1+BI284/2)*(BM284)</f>
        <v>636.05933495347188</v>
      </c>
      <c r="BO284" s="36">
        <f t="shared" si="151"/>
        <v>0</v>
      </c>
      <c r="BP284" s="36">
        <f t="shared" si="152"/>
        <v>843939.01708555094</v>
      </c>
    </row>
    <row r="285" spans="1:68">
      <c r="A285" s="32">
        <f t="shared" ref="A285:A348" si="184">A284-1</f>
        <v>-110</v>
      </c>
      <c r="B285" s="32">
        <f t="shared" si="174"/>
        <v>69</v>
      </c>
      <c r="C285" s="32">
        <f t="shared" ref="C285:C348" si="185">INT((D285-1)/12)+1</f>
        <v>17</v>
      </c>
      <c r="D285" s="32">
        <f t="shared" ref="D285:D348" si="186">D284+1</f>
        <v>195</v>
      </c>
      <c r="E285" s="74">
        <f>MIN(IF(AV285=0,0,
IF(Investment_Strategy="DIS",VLOOKUP(Investment_Strategy&amp;"_"&amp;Investment_Strategy_Sub1&amp;"_"&amp;$A285,'Investment Strategies'!$AZ:$BP,12,FALSE),
IF(AND(Investment_Strategy="Lifecycle",Investment_Strategy_Sub1="Non-Standard"),VLOOKUP(Investment_Strategy&amp;"_"&amp;Investment_Strategy_Sub2&amp;"_"&amp;$A285,'Investment Strategies'!$C:$P,9,FALSE),
IF(AND(Investment_Strategy="Lifecycle",Investment_Strategy_Sub1="Standard"),VLOOKUP(Investment_Strategy&amp;"_"&amp;Investment_Strategy_Sub2&amp;"_"&amp;$A285,'Investment Strategies'!$AJ:$AV,8,FALSE),
IF(AND(Investment_Strategy="Autopilot",Investment_Strategy_Sub1="Non-Standard"),VLOOKUP(Investment_Strategy&amp;"_"&amp;Investment_Strategy_Sub2&amp;"_"&amp;$A285,'Investment Strategies'!$T:$AF,8,FALSE),
IF(Investment_Strategy ="DIY",DIY_RateOfReturn_CurrentFunds,
"Error")))))),Max_InvReturn)</f>
        <v>0</v>
      </c>
      <c r="F285" s="62">
        <f>IF(AV285=0,0,
IF(Investment_Strategy="DIS",VLOOKUP(Investment_Strategy&amp;"_"&amp;Investment_Strategy_Sub1&amp;"_"&amp;$A285,'Investment Strategies'!$AZ:$BP,15,FALSE),
IF(AND(Investment_Strategy="Lifecycle",Investment_Strategy_Sub1="Non-Standard"),VLOOKUP(Investment_Strategy&amp;"_"&amp;Investment_Strategy_Sub2&amp;"_"&amp;$A285,'Investment Strategies'!$C:$P,12,FALSE),
IF(AND(Investment_Strategy="Lifecycle",Investment_Strategy_Sub1="Standard"),VLOOKUP(Investment_Strategy&amp;"_"&amp;Investment_Strategy_Sub2&amp;"_"&amp;$A285,'Investment Strategies'!$AJ:$AV,11,FALSE),
IF(AND(Investment_Strategy="Autopilot",Investment_Strategy_Sub1="Non-Standard"),VLOOKUP(Investment_Strategy&amp;"_"&amp;Investment_Strategy_Sub2&amp;"_"&amp;$A285,'Investment Strategies'!$T:$AF,11,FALSE),
IF(Investment_Strategy="DIY",DIY_GteeChrge_CurrentFunds,
"Error"))))))</f>
        <v>0</v>
      </c>
      <c r="G285" s="33">
        <f>IF(AV285=0,0,
IF(Investment_Strategy="DIS",VLOOKUP(Investment_Strategy&amp;"_"&amp;Investment_Strategy_Sub1&amp;"_"&amp;$A285,'Investment Strategies'!$AZ:$BP,17,FALSE),
IF(AND(Investment_Strategy="Lifecycle",Investment_Strategy_Sub1="Non-Standard"),VLOOKUP(Investment_Strategy&amp;"_"&amp;Investment_Strategy_Sub2&amp;"_"&amp;$A285,'Investment Strategies'!$C:$P,14,FALSE),
IF(AND(Investment_Strategy="Lifecycle",Investment_Strategy_Sub1="Standard"),VLOOKUP(Investment_Strategy&amp;"_"&amp;Investment_Strategy_Sub2&amp;"_"&amp;$A285,'Investment Strategies'!$AJ:$AV,13,FALSE),
IF(AND(Investment_Strategy="Autopilot",Investment_Strategy_Sub1="Non-Standard"),VLOOKUP(Investment_Strategy&amp;"_"&amp;Investment_Strategy_Sub2&amp;"_"&amp;$A285,'Investment Strategies'!$T:$AF,13,FALSE),
IF(Investment_Strategy="DIY",DIY_ExtManChrge_CurrentFunds,
"Error"))))))</f>
        <v>0</v>
      </c>
      <c r="H285" s="16">
        <f t="shared" si="175"/>
        <v>0</v>
      </c>
      <c r="I285" s="16">
        <f t="shared" si="159"/>
        <v>0</v>
      </c>
      <c r="J285" s="16">
        <f t="shared" si="160"/>
        <v>0</v>
      </c>
      <c r="K285" s="16">
        <f>(Opening_Fund_Value+SUM(K$91:K284))*E285*IF(D285=$A$91,SRP_finalmonthfactor,1)</f>
        <v>0</v>
      </c>
      <c r="L285" s="74">
        <f>MIN(IF($AV285=0,0,
IF(Investment_Strategy="DIS",VLOOKUP(Investment_Strategy&amp;"_"&amp;Investment_Strategy_Sub1&amp;"_"&amp;$A285,'Investment Strategies'!$AZ:$BP,12,FALSE),
IF(AND(Investment_Strategy="Lifecycle",Investment_Strategy_Sub1="Non-Standard"),VLOOKUP(Investment_Strategy&amp;"_"&amp;Investment_Strategy_Sub2&amp;"_"&amp;$A285,'Investment Strategies'!$C:$P,9,FALSE),
IF(AND(Investment_Strategy="Lifecycle",Investment_Strategy_Sub1="Standard"),VLOOKUP(Investment_Strategy&amp;"_"&amp;Investment_Strategy_Sub2&amp;"_"&amp;$A285,'Investment Strategies'!$AJ:$AV,8,FALSE),
IF(AND(Investment_Strategy="Autopilot",Investment_Strategy_Sub1="Non-Standard"),VLOOKUP(Investment_Strategy&amp;"_"&amp;Investment_Strategy_Sub2&amp;"_"&amp;$A285,'Investment Strategies'!$T:$AF,8,FALSE),
IF(Investment_Strategy ="DIY",DIY_RateofReturn_SP,
"Error")))))),Max_InvReturn)</f>
        <v>0</v>
      </c>
      <c r="M285" s="62">
        <f>IF($AV285=0,0,
IF(Investment_Strategy="DIS",VLOOKUP(Investment_Strategy&amp;"_"&amp;Investment_Strategy_Sub1&amp;"_"&amp;$A285,'Investment Strategies'!$AZ:$BP,15,FALSE),
IF(AND(Investment_Strategy="Lifecycle",Investment_Strategy_Sub1="Non-Standard"),VLOOKUP(Investment_Strategy&amp;"_"&amp;Investment_Strategy_Sub2&amp;"_"&amp;$A285,'Investment Strategies'!$C:$P,12,FALSE),
IF(AND(Investment_Strategy="Lifecycle",Investment_Strategy_Sub1="Standard"),VLOOKUP(Investment_Strategy&amp;"_"&amp;Investment_Strategy_Sub2&amp;"_"&amp;$A285,'Investment Strategies'!$AJ:$AV,11,FALSE),
IF(AND(Investment_Strategy="Autopilot",Investment_Strategy_Sub1="Non-Standard"),VLOOKUP(Investment_Strategy&amp;"_"&amp;Investment_Strategy_Sub2&amp;"_"&amp;$A285,'Investment Strategies'!$T:$AF,11,FALSE),
IF(Investment_Strategy="DIY",DIY_GteeChrge_SP,
"Error"))))))</f>
        <v>0</v>
      </c>
      <c r="N285" s="33">
        <f>IF($AV285=0,0,
IF(Investment_Strategy="DIS",VLOOKUP(Investment_Strategy&amp;"_"&amp;Investment_Strategy_Sub1&amp;"_"&amp;$A285,'Investment Strategies'!$AZ:$BP,17,FALSE),
IF(AND(Investment_Strategy="Lifecycle",Investment_Strategy_Sub1="Non-Standard"),VLOOKUP(Investment_Strategy&amp;"_"&amp;Investment_Strategy_Sub2&amp;"_"&amp;$A285,'Investment Strategies'!$C:$P,14,FALSE),
IF(AND(Investment_Strategy="Lifecycle",Investment_Strategy_Sub1="Standard"),VLOOKUP(Investment_Strategy&amp;"_"&amp;Investment_Strategy_Sub2&amp;"_"&amp;$A285,'Investment Strategies'!$AJ:$AV,13,FALSE),
IF(AND(Investment_Strategy="Autopilot",Investment_Strategy_Sub1="Non-Standard"),VLOOKUP(Investment_Strategy&amp;"_"&amp;Investment_Strategy_Sub2&amp;"_"&amp;$A285,'Investment Strategies'!$T:$AF,13,FALSE),
IF(Investment_Strategy="DIY",DIY_ExtManChrge_SP,
"Error"))))))</f>
        <v>0</v>
      </c>
      <c r="O285" s="16">
        <f t="shared" ref="O285:O348" si="187">IF($AV284=0,0,SUM(O284:R284))</f>
        <v>0</v>
      </c>
      <c r="Q285" s="16">
        <f t="shared" si="161"/>
        <v>0</v>
      </c>
      <c r="R285" s="16">
        <f t="shared" si="162"/>
        <v>0</v>
      </c>
      <c r="S285" s="16">
        <f>(SRP_SP+SUM(S$91:S284))*L285*IF(D285=$A$91,SRP_finalmonthfactor,1)</f>
        <v>0</v>
      </c>
      <c r="T285" s="74">
        <f>MIN(IF($AV285=0,0,
IF(Investment_Strategy="DIS",VLOOKUP(Investment_Strategy&amp;"_"&amp;Investment_Strategy_Sub1&amp;"_"&amp;$A285,'Investment Strategies'!$AZ:$BP,12,FALSE),
IF(AND(Investment_Strategy="Lifecycle",Investment_Strategy_Sub1="Non-Standard"),VLOOKUP(Investment_Strategy&amp;"_"&amp;Investment_Strategy_Sub2&amp;"_"&amp;$A285,'Investment Strategies'!$C:$P,9,FALSE),
IF(AND(Investment_Strategy="Lifecycle",Investment_Strategy_Sub1="Standard"),VLOOKUP(Investment_Strategy&amp;"_"&amp;Investment_Strategy_Sub2&amp;"_"&amp;$A285,'Investment Strategies'!$AJ:$AV,8,FALSE),
IF(AND(Investment_Strategy="Autopilot",Investment_Strategy_Sub1="Non-Standard"),VLOOKUP(Investment_Strategy&amp;"_"&amp;Investment_Strategy_Sub2&amp;"_"&amp;$A285,'Investment Strategies'!$T:$AF,8,FALSE),
IF(Investment_Strategy ="DIY",DIY_RateOfReturn_FuturePremiums,
"Error")))))),Max_InvReturn)</f>
        <v>0</v>
      </c>
      <c r="U285" s="62">
        <f>IF($AV285=0,0,
IF(Investment_Strategy="DIS",VLOOKUP(Investment_Strategy&amp;"_"&amp;Investment_Strategy_Sub1&amp;"_"&amp;$A285,'Investment Strategies'!$AZ:$BP,15,FALSE),
IF(AND(Investment_Strategy="Lifecycle",Investment_Strategy_Sub1="Non-Standard"),VLOOKUP(Investment_Strategy&amp;"_"&amp;Investment_Strategy_Sub2&amp;"_"&amp;$A285,'Investment Strategies'!$C:$P,12,FALSE),
IF(AND(Investment_Strategy="Lifecycle",Investment_Strategy_Sub1="Standard"),VLOOKUP(Investment_Strategy&amp;"_"&amp;Investment_Strategy_Sub2&amp;"_"&amp;$A285,'Investment Strategies'!$AJ:$AV,11,FALSE),
IF(AND(Investment_Strategy="Autopilot",Investment_Strategy_Sub1="Non-Standard"),VLOOKUP(Investment_Strategy&amp;"_"&amp;Investment_Strategy_Sub2&amp;"_"&amp;$A285,'Investment Strategies'!$T:$AF,11,FALSE),
IF(Investment_Strategy="DIY",DIY_GteeChrge_FuturePremiums,
"Error"))))))</f>
        <v>0</v>
      </c>
      <c r="V285" s="33">
        <f>IF(AV285=0,0,
IF(Investment_Strategy="DIS",VLOOKUP(Investment_Strategy&amp;"_"&amp;Investment_Strategy_Sub1&amp;"_"&amp;$A285,'Investment Strategies'!$AZ:$BP,17,FALSE),
IF(AND(Investment_Strategy="Lifecycle",Investment_Strategy_Sub1="Non-Standard"),VLOOKUP(Investment_Strategy&amp;"_"&amp;Investment_Strategy_Sub2&amp;"_"&amp;$A285,'Investment Strategies'!$C:$P,14,FALSE),
IF(AND(Investment_Strategy="Lifecycle",Investment_Strategy_Sub1="Standard"),VLOOKUP(Investment_Strategy&amp;"_"&amp;Investment_Strategy_Sub2&amp;"_"&amp;$A285,'Investment Strategies'!$AJ:$AV,13,FALSE),
IF(AND(Investment_Strategy="Autopilot",Investment_Strategy_Sub1="Non-Standard"),VLOOKUP(Investment_Strategy&amp;"_"&amp;Investment_Strategy_Sub2&amp;"_"&amp;$A285,'Investment Strategies'!$T:$AF,13,FALSE),
IF(Investment_Strategy="DIY",DIY_ExtManChrge_FuturePremiums,
"Error"))))))</f>
        <v>0</v>
      </c>
      <c r="W285" s="16">
        <f t="shared" ref="W285:W348" si="188">IF($AV284=0,0,SUM(W284:Y284)+AA284)</f>
        <v>0</v>
      </c>
      <c r="X285" s="16">
        <f t="shared" si="163"/>
        <v>0</v>
      </c>
      <c r="Y285" s="16">
        <f t="shared" si="164"/>
        <v>0</v>
      </c>
      <c r="Z285" s="31">
        <f t="shared" si="165"/>
        <v>0.02</v>
      </c>
      <c r="AA285" s="16">
        <f t="shared" si="166"/>
        <v>0</v>
      </c>
      <c r="AB285" s="28">
        <f t="shared" si="144"/>
        <v>0</v>
      </c>
      <c r="AC285" s="28">
        <f>(SUM($AC$91:AC284)+SUM($X$91:X284)+X285)*T285*IF(D285=$A$91,SRP_finalmonthfactor,1)</f>
        <v>0</v>
      </c>
      <c r="AD285" s="16">
        <f t="shared" si="167"/>
        <v>0</v>
      </c>
      <c r="AE285" s="106"/>
      <c r="AF285" s="16">
        <f t="shared" si="176"/>
        <v>0</v>
      </c>
      <c r="AG285" s="16">
        <f t="shared" si="177"/>
        <v>0</v>
      </c>
      <c r="AH285" s="16">
        <f t="shared" si="178"/>
        <v>0</v>
      </c>
      <c r="AJ285" s="13">
        <f t="shared" si="158"/>
        <v>0</v>
      </c>
      <c r="AK285" s="13">
        <f t="shared" si="158"/>
        <v>0</v>
      </c>
      <c r="AL285" s="13">
        <f t="shared" si="158"/>
        <v>0</v>
      </c>
      <c r="AM285" s="13">
        <f t="shared" si="158"/>
        <v>0</v>
      </c>
      <c r="AN285" s="13">
        <f t="shared" si="158"/>
        <v>0</v>
      </c>
      <c r="AO285" s="13">
        <f t="shared" si="158"/>
        <v>1</v>
      </c>
      <c r="AP285" s="13">
        <f t="shared" si="158"/>
        <v>1</v>
      </c>
      <c r="AQ285" s="13">
        <f t="shared" si="158"/>
        <v>1</v>
      </c>
      <c r="AR285" s="13">
        <f t="shared" si="158"/>
        <v>1</v>
      </c>
      <c r="AS285" s="13">
        <f t="shared" si="158"/>
        <v>1</v>
      </c>
      <c r="AT285" s="13">
        <f t="shared" si="158"/>
        <v>1</v>
      </c>
      <c r="AU285" s="13">
        <f t="shared" si="158"/>
        <v>1</v>
      </c>
      <c r="AV285" s="13">
        <f t="shared" si="168"/>
        <v>0</v>
      </c>
      <c r="AW285" s="13">
        <f t="shared" si="169"/>
        <v>1</v>
      </c>
      <c r="AY285" s="17">
        <f t="shared" si="170"/>
        <v>195</v>
      </c>
      <c r="AZ285" s="28">
        <f t="shared" si="179"/>
        <v>0</v>
      </c>
      <c r="BA285" s="13">
        <f t="shared" si="171"/>
        <v>0</v>
      </c>
      <c r="BB285" s="13">
        <f t="shared" si="172"/>
        <v>0</v>
      </c>
      <c r="BC285" s="28">
        <f t="shared" si="180"/>
        <v>0</v>
      </c>
      <c r="BD285" s="28">
        <f t="shared" si="181"/>
        <v>0</v>
      </c>
      <c r="BF285" s="248">
        <f t="shared" si="182"/>
        <v>993869.29442638322</v>
      </c>
      <c r="BG285" s="36">
        <f t="shared" si="145"/>
        <v>0</v>
      </c>
      <c r="BH285" s="36">
        <f t="shared" si="146"/>
        <v>843939.01708555094</v>
      </c>
      <c r="BI285" s="249">
        <f t="shared" si="147"/>
        <v>0</v>
      </c>
      <c r="BJ285" s="246">
        <f t="shared" si="148"/>
        <v>0</v>
      </c>
      <c r="BK285" s="246">
        <f t="shared" si="173"/>
        <v>7.531116566323881E-4</v>
      </c>
      <c r="BL285" s="246">
        <f t="shared" si="149"/>
        <v>0</v>
      </c>
      <c r="BM285" s="246">
        <f t="shared" si="150"/>
        <v>7.531116566323881E-4</v>
      </c>
      <c r="BN285" s="36">
        <f t="shared" si="183"/>
        <v>635.58031125400851</v>
      </c>
      <c r="BO285" s="36">
        <f t="shared" si="151"/>
        <v>0</v>
      </c>
      <c r="BP285" s="36">
        <f t="shared" si="152"/>
        <v>843303.43677429692</v>
      </c>
    </row>
    <row r="286" spans="1:68">
      <c r="A286" s="32">
        <f t="shared" si="184"/>
        <v>-111</v>
      </c>
      <c r="B286" s="32">
        <f t="shared" si="174"/>
        <v>69</v>
      </c>
      <c r="C286" s="32">
        <f t="shared" si="185"/>
        <v>17</v>
      </c>
      <c r="D286" s="32">
        <f t="shared" si="186"/>
        <v>196</v>
      </c>
      <c r="E286" s="74">
        <f>MIN(IF(AV286=0,0,
IF(Investment_Strategy="DIS",VLOOKUP(Investment_Strategy&amp;"_"&amp;Investment_Strategy_Sub1&amp;"_"&amp;$A286,'Investment Strategies'!$AZ:$BP,12,FALSE),
IF(AND(Investment_Strategy="Lifecycle",Investment_Strategy_Sub1="Non-Standard"),VLOOKUP(Investment_Strategy&amp;"_"&amp;Investment_Strategy_Sub2&amp;"_"&amp;$A286,'Investment Strategies'!$C:$P,9,FALSE),
IF(AND(Investment_Strategy="Lifecycle",Investment_Strategy_Sub1="Standard"),VLOOKUP(Investment_Strategy&amp;"_"&amp;Investment_Strategy_Sub2&amp;"_"&amp;$A286,'Investment Strategies'!$AJ:$AV,8,FALSE),
IF(AND(Investment_Strategy="Autopilot",Investment_Strategy_Sub1="Non-Standard"),VLOOKUP(Investment_Strategy&amp;"_"&amp;Investment_Strategy_Sub2&amp;"_"&amp;$A286,'Investment Strategies'!$T:$AF,8,FALSE),
IF(Investment_Strategy ="DIY",DIY_RateOfReturn_CurrentFunds,
"Error")))))),Max_InvReturn)</f>
        <v>0</v>
      </c>
      <c r="F286" s="62">
        <f>IF(AV286=0,0,
IF(Investment_Strategy="DIS",VLOOKUP(Investment_Strategy&amp;"_"&amp;Investment_Strategy_Sub1&amp;"_"&amp;$A286,'Investment Strategies'!$AZ:$BP,15,FALSE),
IF(AND(Investment_Strategy="Lifecycle",Investment_Strategy_Sub1="Non-Standard"),VLOOKUP(Investment_Strategy&amp;"_"&amp;Investment_Strategy_Sub2&amp;"_"&amp;$A286,'Investment Strategies'!$C:$P,12,FALSE),
IF(AND(Investment_Strategy="Lifecycle",Investment_Strategy_Sub1="Standard"),VLOOKUP(Investment_Strategy&amp;"_"&amp;Investment_Strategy_Sub2&amp;"_"&amp;$A286,'Investment Strategies'!$AJ:$AV,11,FALSE),
IF(AND(Investment_Strategy="Autopilot",Investment_Strategy_Sub1="Non-Standard"),VLOOKUP(Investment_Strategy&amp;"_"&amp;Investment_Strategy_Sub2&amp;"_"&amp;$A286,'Investment Strategies'!$T:$AF,11,FALSE),
IF(Investment_Strategy="DIY",DIY_GteeChrge_CurrentFunds,
"Error"))))))</f>
        <v>0</v>
      </c>
      <c r="G286" s="33">
        <f>IF(AV286=0,0,
IF(Investment_Strategy="DIS",VLOOKUP(Investment_Strategy&amp;"_"&amp;Investment_Strategy_Sub1&amp;"_"&amp;$A286,'Investment Strategies'!$AZ:$BP,17,FALSE),
IF(AND(Investment_Strategy="Lifecycle",Investment_Strategy_Sub1="Non-Standard"),VLOOKUP(Investment_Strategy&amp;"_"&amp;Investment_Strategy_Sub2&amp;"_"&amp;$A286,'Investment Strategies'!$C:$P,14,FALSE),
IF(AND(Investment_Strategy="Lifecycle",Investment_Strategy_Sub1="Standard"),VLOOKUP(Investment_Strategy&amp;"_"&amp;Investment_Strategy_Sub2&amp;"_"&amp;$A286,'Investment Strategies'!$AJ:$AV,13,FALSE),
IF(AND(Investment_Strategy="Autopilot",Investment_Strategy_Sub1="Non-Standard"),VLOOKUP(Investment_Strategy&amp;"_"&amp;Investment_Strategy_Sub2&amp;"_"&amp;$A286,'Investment Strategies'!$T:$AF,13,FALSE),
IF(Investment_Strategy="DIY",DIY_ExtManChrge_CurrentFunds,
"Error"))))))</f>
        <v>0</v>
      </c>
      <c r="H286" s="16">
        <f t="shared" si="175"/>
        <v>0</v>
      </c>
      <c r="I286" s="16">
        <f t="shared" si="159"/>
        <v>0</v>
      </c>
      <c r="J286" s="16">
        <f t="shared" si="160"/>
        <v>0</v>
      </c>
      <c r="K286" s="16">
        <f>(Opening_Fund_Value+SUM(K$91:K285))*E286*IF(D286=$A$91,SRP_finalmonthfactor,1)</f>
        <v>0</v>
      </c>
      <c r="L286" s="74">
        <f>MIN(IF($AV286=0,0,
IF(Investment_Strategy="DIS",VLOOKUP(Investment_Strategy&amp;"_"&amp;Investment_Strategy_Sub1&amp;"_"&amp;$A286,'Investment Strategies'!$AZ:$BP,12,FALSE),
IF(AND(Investment_Strategy="Lifecycle",Investment_Strategy_Sub1="Non-Standard"),VLOOKUP(Investment_Strategy&amp;"_"&amp;Investment_Strategy_Sub2&amp;"_"&amp;$A286,'Investment Strategies'!$C:$P,9,FALSE),
IF(AND(Investment_Strategy="Lifecycle",Investment_Strategy_Sub1="Standard"),VLOOKUP(Investment_Strategy&amp;"_"&amp;Investment_Strategy_Sub2&amp;"_"&amp;$A286,'Investment Strategies'!$AJ:$AV,8,FALSE),
IF(AND(Investment_Strategy="Autopilot",Investment_Strategy_Sub1="Non-Standard"),VLOOKUP(Investment_Strategy&amp;"_"&amp;Investment_Strategy_Sub2&amp;"_"&amp;$A286,'Investment Strategies'!$T:$AF,8,FALSE),
IF(Investment_Strategy ="DIY",DIY_RateofReturn_SP,
"Error")))))),Max_InvReturn)</f>
        <v>0</v>
      </c>
      <c r="M286" s="62">
        <f>IF($AV286=0,0,
IF(Investment_Strategy="DIS",VLOOKUP(Investment_Strategy&amp;"_"&amp;Investment_Strategy_Sub1&amp;"_"&amp;$A286,'Investment Strategies'!$AZ:$BP,15,FALSE),
IF(AND(Investment_Strategy="Lifecycle",Investment_Strategy_Sub1="Non-Standard"),VLOOKUP(Investment_Strategy&amp;"_"&amp;Investment_Strategy_Sub2&amp;"_"&amp;$A286,'Investment Strategies'!$C:$P,12,FALSE),
IF(AND(Investment_Strategy="Lifecycle",Investment_Strategy_Sub1="Standard"),VLOOKUP(Investment_Strategy&amp;"_"&amp;Investment_Strategy_Sub2&amp;"_"&amp;$A286,'Investment Strategies'!$AJ:$AV,11,FALSE),
IF(AND(Investment_Strategy="Autopilot",Investment_Strategy_Sub1="Non-Standard"),VLOOKUP(Investment_Strategy&amp;"_"&amp;Investment_Strategy_Sub2&amp;"_"&amp;$A286,'Investment Strategies'!$T:$AF,11,FALSE),
IF(Investment_Strategy="DIY",DIY_GteeChrge_SP,
"Error"))))))</f>
        <v>0</v>
      </c>
      <c r="N286" s="33">
        <f>IF($AV286=0,0,
IF(Investment_Strategy="DIS",VLOOKUP(Investment_Strategy&amp;"_"&amp;Investment_Strategy_Sub1&amp;"_"&amp;$A286,'Investment Strategies'!$AZ:$BP,17,FALSE),
IF(AND(Investment_Strategy="Lifecycle",Investment_Strategy_Sub1="Non-Standard"),VLOOKUP(Investment_Strategy&amp;"_"&amp;Investment_Strategy_Sub2&amp;"_"&amp;$A286,'Investment Strategies'!$C:$P,14,FALSE),
IF(AND(Investment_Strategy="Lifecycle",Investment_Strategy_Sub1="Standard"),VLOOKUP(Investment_Strategy&amp;"_"&amp;Investment_Strategy_Sub2&amp;"_"&amp;$A286,'Investment Strategies'!$AJ:$AV,13,FALSE),
IF(AND(Investment_Strategy="Autopilot",Investment_Strategy_Sub1="Non-Standard"),VLOOKUP(Investment_Strategy&amp;"_"&amp;Investment_Strategy_Sub2&amp;"_"&amp;$A286,'Investment Strategies'!$T:$AF,13,FALSE),
IF(Investment_Strategy="DIY",DIY_ExtManChrge_SP,
"Error"))))))</f>
        <v>0</v>
      </c>
      <c r="O286" s="16">
        <f t="shared" si="187"/>
        <v>0</v>
      </c>
      <c r="Q286" s="16">
        <f t="shared" si="161"/>
        <v>0</v>
      </c>
      <c r="R286" s="16">
        <f t="shared" si="162"/>
        <v>0</v>
      </c>
      <c r="S286" s="16">
        <f>(SRP_SP+SUM(S$91:S285))*L286*IF(D286=$A$91,SRP_finalmonthfactor,1)</f>
        <v>0</v>
      </c>
      <c r="T286" s="74">
        <f>MIN(IF($AV286=0,0,
IF(Investment_Strategy="DIS",VLOOKUP(Investment_Strategy&amp;"_"&amp;Investment_Strategy_Sub1&amp;"_"&amp;$A286,'Investment Strategies'!$AZ:$BP,12,FALSE),
IF(AND(Investment_Strategy="Lifecycle",Investment_Strategy_Sub1="Non-Standard"),VLOOKUP(Investment_Strategy&amp;"_"&amp;Investment_Strategy_Sub2&amp;"_"&amp;$A286,'Investment Strategies'!$C:$P,9,FALSE),
IF(AND(Investment_Strategy="Lifecycle",Investment_Strategy_Sub1="Standard"),VLOOKUP(Investment_Strategy&amp;"_"&amp;Investment_Strategy_Sub2&amp;"_"&amp;$A286,'Investment Strategies'!$AJ:$AV,8,FALSE),
IF(AND(Investment_Strategy="Autopilot",Investment_Strategy_Sub1="Non-Standard"),VLOOKUP(Investment_Strategy&amp;"_"&amp;Investment_Strategy_Sub2&amp;"_"&amp;$A286,'Investment Strategies'!$T:$AF,8,FALSE),
IF(Investment_Strategy ="DIY",DIY_RateOfReturn_FuturePremiums,
"Error")))))),Max_InvReturn)</f>
        <v>0</v>
      </c>
      <c r="U286" s="62">
        <f>IF($AV286=0,0,
IF(Investment_Strategy="DIS",VLOOKUP(Investment_Strategy&amp;"_"&amp;Investment_Strategy_Sub1&amp;"_"&amp;$A286,'Investment Strategies'!$AZ:$BP,15,FALSE),
IF(AND(Investment_Strategy="Lifecycle",Investment_Strategy_Sub1="Non-Standard"),VLOOKUP(Investment_Strategy&amp;"_"&amp;Investment_Strategy_Sub2&amp;"_"&amp;$A286,'Investment Strategies'!$C:$P,12,FALSE),
IF(AND(Investment_Strategy="Lifecycle",Investment_Strategy_Sub1="Standard"),VLOOKUP(Investment_Strategy&amp;"_"&amp;Investment_Strategy_Sub2&amp;"_"&amp;$A286,'Investment Strategies'!$AJ:$AV,11,FALSE),
IF(AND(Investment_Strategy="Autopilot",Investment_Strategy_Sub1="Non-Standard"),VLOOKUP(Investment_Strategy&amp;"_"&amp;Investment_Strategy_Sub2&amp;"_"&amp;$A286,'Investment Strategies'!$T:$AF,11,FALSE),
IF(Investment_Strategy="DIY",DIY_GteeChrge_FuturePremiums,
"Error"))))))</f>
        <v>0</v>
      </c>
      <c r="V286" s="33">
        <f>IF(AV286=0,0,
IF(Investment_Strategy="DIS",VLOOKUP(Investment_Strategy&amp;"_"&amp;Investment_Strategy_Sub1&amp;"_"&amp;$A286,'Investment Strategies'!$AZ:$BP,17,FALSE),
IF(AND(Investment_Strategy="Lifecycle",Investment_Strategy_Sub1="Non-Standard"),VLOOKUP(Investment_Strategy&amp;"_"&amp;Investment_Strategy_Sub2&amp;"_"&amp;$A286,'Investment Strategies'!$C:$P,14,FALSE),
IF(AND(Investment_Strategy="Lifecycle",Investment_Strategy_Sub1="Standard"),VLOOKUP(Investment_Strategy&amp;"_"&amp;Investment_Strategy_Sub2&amp;"_"&amp;$A286,'Investment Strategies'!$AJ:$AV,13,FALSE),
IF(AND(Investment_Strategy="Autopilot",Investment_Strategy_Sub1="Non-Standard"),VLOOKUP(Investment_Strategy&amp;"_"&amp;Investment_Strategy_Sub2&amp;"_"&amp;$A286,'Investment Strategies'!$T:$AF,13,FALSE),
IF(Investment_Strategy="DIY",DIY_ExtManChrge_FuturePremiums,
"Error"))))))</f>
        <v>0</v>
      </c>
      <c r="W286" s="16">
        <f t="shared" si="188"/>
        <v>0</v>
      </c>
      <c r="X286" s="16">
        <f t="shared" si="163"/>
        <v>0</v>
      </c>
      <c r="Y286" s="16">
        <f t="shared" si="164"/>
        <v>0</v>
      </c>
      <c r="Z286" s="31">
        <f t="shared" si="165"/>
        <v>0.02</v>
      </c>
      <c r="AA286" s="16">
        <f t="shared" si="166"/>
        <v>0</v>
      </c>
      <c r="AB286" s="28">
        <f t="shared" ref="AB286:AB349" si="189">IF($AV285=0,0,SUM(K285,S285,AB285:AC285)+X285)</f>
        <v>0</v>
      </c>
      <c r="AC286" s="28">
        <f>(SUM($AC$91:AC285)+SUM($X$91:X285)+X286)*T286*IF(D286=$A$91,SRP_finalmonthfactor,1)</f>
        <v>0</v>
      </c>
      <c r="AD286" s="16">
        <f t="shared" si="167"/>
        <v>0</v>
      </c>
      <c r="AE286" s="106"/>
      <c r="AF286" s="16">
        <f t="shared" si="176"/>
        <v>0</v>
      </c>
      <c r="AG286" s="16">
        <f t="shared" si="177"/>
        <v>0</v>
      </c>
      <c r="AH286" s="16">
        <f t="shared" si="178"/>
        <v>0</v>
      </c>
      <c r="AJ286" s="13">
        <f t="shared" si="158"/>
        <v>0</v>
      </c>
      <c r="AK286" s="13">
        <f t="shared" si="158"/>
        <v>0</v>
      </c>
      <c r="AL286" s="13">
        <f t="shared" si="158"/>
        <v>0</v>
      </c>
      <c r="AM286" s="13">
        <f t="shared" si="158"/>
        <v>0</v>
      </c>
      <c r="AN286" s="13">
        <f t="shared" si="158"/>
        <v>0</v>
      </c>
      <c r="AO286" s="13">
        <f t="shared" si="158"/>
        <v>1</v>
      </c>
      <c r="AP286" s="13">
        <f t="shared" si="158"/>
        <v>1</v>
      </c>
      <c r="AQ286" s="13">
        <f t="shared" si="158"/>
        <v>1</v>
      </c>
      <c r="AR286" s="13">
        <f t="shared" si="158"/>
        <v>1</v>
      </c>
      <c r="AS286" s="13">
        <f t="shared" si="158"/>
        <v>1</v>
      </c>
      <c r="AT286" s="13">
        <f t="shared" si="158"/>
        <v>1</v>
      </c>
      <c r="AU286" s="13">
        <f t="shared" si="158"/>
        <v>1</v>
      </c>
      <c r="AV286" s="13">
        <f t="shared" si="168"/>
        <v>0</v>
      </c>
      <c r="AW286" s="13">
        <f t="shared" si="169"/>
        <v>1</v>
      </c>
      <c r="AY286" s="17">
        <f t="shared" si="170"/>
        <v>196</v>
      </c>
      <c r="AZ286" s="28">
        <f t="shared" si="179"/>
        <v>0</v>
      </c>
      <c r="BA286" s="13">
        <f t="shared" si="171"/>
        <v>0</v>
      </c>
      <c r="BB286" s="13">
        <f t="shared" si="172"/>
        <v>0</v>
      </c>
      <c r="BC286" s="28">
        <f t="shared" si="180"/>
        <v>0</v>
      </c>
      <c r="BD286" s="28">
        <f t="shared" si="181"/>
        <v>0</v>
      </c>
      <c r="BF286" s="248">
        <f t="shared" si="182"/>
        <v>993869.29442638322</v>
      </c>
      <c r="BG286" s="36">
        <f t="shared" si="145"/>
        <v>0</v>
      </c>
      <c r="BH286" s="36">
        <f t="shared" si="146"/>
        <v>843303.43677429692</v>
      </c>
      <c r="BI286" s="249">
        <f t="shared" si="147"/>
        <v>0</v>
      </c>
      <c r="BJ286" s="246">
        <f t="shared" si="148"/>
        <v>0</v>
      </c>
      <c r="BK286" s="246">
        <f t="shared" si="173"/>
        <v>7.531116566323881E-4</v>
      </c>
      <c r="BL286" s="246">
        <f t="shared" si="149"/>
        <v>0</v>
      </c>
      <c r="BM286" s="246">
        <f t="shared" si="150"/>
        <v>7.531116566323881E-4</v>
      </c>
      <c r="BN286" s="36">
        <f t="shared" si="183"/>
        <v>635.10164831287716</v>
      </c>
      <c r="BO286" s="36">
        <f t="shared" si="151"/>
        <v>0</v>
      </c>
      <c r="BP286" s="36">
        <f t="shared" si="152"/>
        <v>842668.33512598404</v>
      </c>
    </row>
    <row r="287" spans="1:68">
      <c r="A287" s="32">
        <f t="shared" si="184"/>
        <v>-112</v>
      </c>
      <c r="B287" s="32">
        <f t="shared" si="174"/>
        <v>69</v>
      </c>
      <c r="C287" s="32">
        <f t="shared" si="185"/>
        <v>17</v>
      </c>
      <c r="D287" s="32">
        <f t="shared" si="186"/>
        <v>197</v>
      </c>
      <c r="E287" s="74">
        <f>MIN(IF(AV287=0,0,
IF(Investment_Strategy="DIS",VLOOKUP(Investment_Strategy&amp;"_"&amp;Investment_Strategy_Sub1&amp;"_"&amp;$A287,'Investment Strategies'!$AZ:$BP,12,FALSE),
IF(AND(Investment_Strategy="Lifecycle",Investment_Strategy_Sub1="Non-Standard"),VLOOKUP(Investment_Strategy&amp;"_"&amp;Investment_Strategy_Sub2&amp;"_"&amp;$A287,'Investment Strategies'!$C:$P,9,FALSE),
IF(AND(Investment_Strategy="Lifecycle",Investment_Strategy_Sub1="Standard"),VLOOKUP(Investment_Strategy&amp;"_"&amp;Investment_Strategy_Sub2&amp;"_"&amp;$A287,'Investment Strategies'!$AJ:$AV,8,FALSE),
IF(AND(Investment_Strategy="Autopilot",Investment_Strategy_Sub1="Non-Standard"),VLOOKUP(Investment_Strategy&amp;"_"&amp;Investment_Strategy_Sub2&amp;"_"&amp;$A287,'Investment Strategies'!$T:$AF,8,FALSE),
IF(Investment_Strategy ="DIY",DIY_RateOfReturn_CurrentFunds,
"Error")))))),Max_InvReturn)</f>
        <v>0</v>
      </c>
      <c r="F287" s="62">
        <f>IF(AV287=0,0,
IF(Investment_Strategy="DIS",VLOOKUP(Investment_Strategy&amp;"_"&amp;Investment_Strategy_Sub1&amp;"_"&amp;$A287,'Investment Strategies'!$AZ:$BP,15,FALSE),
IF(AND(Investment_Strategy="Lifecycle",Investment_Strategy_Sub1="Non-Standard"),VLOOKUP(Investment_Strategy&amp;"_"&amp;Investment_Strategy_Sub2&amp;"_"&amp;$A287,'Investment Strategies'!$C:$P,12,FALSE),
IF(AND(Investment_Strategy="Lifecycle",Investment_Strategy_Sub1="Standard"),VLOOKUP(Investment_Strategy&amp;"_"&amp;Investment_Strategy_Sub2&amp;"_"&amp;$A287,'Investment Strategies'!$AJ:$AV,11,FALSE),
IF(AND(Investment_Strategy="Autopilot",Investment_Strategy_Sub1="Non-Standard"),VLOOKUP(Investment_Strategy&amp;"_"&amp;Investment_Strategy_Sub2&amp;"_"&amp;$A287,'Investment Strategies'!$T:$AF,11,FALSE),
IF(Investment_Strategy="DIY",DIY_GteeChrge_CurrentFunds,
"Error"))))))</f>
        <v>0</v>
      </c>
      <c r="G287" s="33">
        <f>IF(AV287=0,0,
IF(Investment_Strategy="DIS",VLOOKUP(Investment_Strategy&amp;"_"&amp;Investment_Strategy_Sub1&amp;"_"&amp;$A287,'Investment Strategies'!$AZ:$BP,17,FALSE),
IF(AND(Investment_Strategy="Lifecycle",Investment_Strategy_Sub1="Non-Standard"),VLOOKUP(Investment_Strategy&amp;"_"&amp;Investment_Strategy_Sub2&amp;"_"&amp;$A287,'Investment Strategies'!$C:$P,14,FALSE),
IF(AND(Investment_Strategy="Lifecycle",Investment_Strategy_Sub1="Standard"),VLOOKUP(Investment_Strategy&amp;"_"&amp;Investment_Strategy_Sub2&amp;"_"&amp;$A287,'Investment Strategies'!$AJ:$AV,13,FALSE),
IF(AND(Investment_Strategy="Autopilot",Investment_Strategy_Sub1="Non-Standard"),VLOOKUP(Investment_Strategy&amp;"_"&amp;Investment_Strategy_Sub2&amp;"_"&amp;$A287,'Investment Strategies'!$T:$AF,13,FALSE),
IF(Investment_Strategy="DIY",DIY_ExtManChrge_CurrentFunds,
"Error"))))))</f>
        <v>0</v>
      </c>
      <c r="H287" s="16">
        <f t="shared" si="175"/>
        <v>0</v>
      </c>
      <c r="I287" s="16">
        <f t="shared" si="159"/>
        <v>0</v>
      </c>
      <c r="J287" s="16">
        <f t="shared" si="160"/>
        <v>0</v>
      </c>
      <c r="K287" s="16">
        <f>(Opening_Fund_Value+SUM(K$91:K286))*E287*IF(D287=$A$91,SRP_finalmonthfactor,1)</f>
        <v>0</v>
      </c>
      <c r="L287" s="74">
        <f>MIN(IF($AV287=0,0,
IF(Investment_Strategy="DIS",VLOOKUP(Investment_Strategy&amp;"_"&amp;Investment_Strategy_Sub1&amp;"_"&amp;$A287,'Investment Strategies'!$AZ:$BP,12,FALSE),
IF(AND(Investment_Strategy="Lifecycle",Investment_Strategy_Sub1="Non-Standard"),VLOOKUP(Investment_Strategy&amp;"_"&amp;Investment_Strategy_Sub2&amp;"_"&amp;$A287,'Investment Strategies'!$C:$P,9,FALSE),
IF(AND(Investment_Strategy="Lifecycle",Investment_Strategy_Sub1="Standard"),VLOOKUP(Investment_Strategy&amp;"_"&amp;Investment_Strategy_Sub2&amp;"_"&amp;$A287,'Investment Strategies'!$AJ:$AV,8,FALSE),
IF(AND(Investment_Strategy="Autopilot",Investment_Strategy_Sub1="Non-Standard"),VLOOKUP(Investment_Strategy&amp;"_"&amp;Investment_Strategy_Sub2&amp;"_"&amp;$A287,'Investment Strategies'!$T:$AF,8,FALSE),
IF(Investment_Strategy ="DIY",DIY_RateofReturn_SP,
"Error")))))),Max_InvReturn)</f>
        <v>0</v>
      </c>
      <c r="M287" s="62">
        <f>IF($AV287=0,0,
IF(Investment_Strategy="DIS",VLOOKUP(Investment_Strategy&amp;"_"&amp;Investment_Strategy_Sub1&amp;"_"&amp;$A287,'Investment Strategies'!$AZ:$BP,15,FALSE),
IF(AND(Investment_Strategy="Lifecycle",Investment_Strategy_Sub1="Non-Standard"),VLOOKUP(Investment_Strategy&amp;"_"&amp;Investment_Strategy_Sub2&amp;"_"&amp;$A287,'Investment Strategies'!$C:$P,12,FALSE),
IF(AND(Investment_Strategy="Lifecycle",Investment_Strategy_Sub1="Standard"),VLOOKUP(Investment_Strategy&amp;"_"&amp;Investment_Strategy_Sub2&amp;"_"&amp;$A287,'Investment Strategies'!$AJ:$AV,11,FALSE),
IF(AND(Investment_Strategy="Autopilot",Investment_Strategy_Sub1="Non-Standard"),VLOOKUP(Investment_Strategy&amp;"_"&amp;Investment_Strategy_Sub2&amp;"_"&amp;$A287,'Investment Strategies'!$T:$AF,11,FALSE),
IF(Investment_Strategy="DIY",DIY_GteeChrge_SP,
"Error"))))))</f>
        <v>0</v>
      </c>
      <c r="N287" s="33">
        <f>IF($AV287=0,0,
IF(Investment_Strategy="DIS",VLOOKUP(Investment_Strategy&amp;"_"&amp;Investment_Strategy_Sub1&amp;"_"&amp;$A287,'Investment Strategies'!$AZ:$BP,17,FALSE),
IF(AND(Investment_Strategy="Lifecycle",Investment_Strategy_Sub1="Non-Standard"),VLOOKUP(Investment_Strategy&amp;"_"&amp;Investment_Strategy_Sub2&amp;"_"&amp;$A287,'Investment Strategies'!$C:$P,14,FALSE),
IF(AND(Investment_Strategy="Lifecycle",Investment_Strategy_Sub1="Standard"),VLOOKUP(Investment_Strategy&amp;"_"&amp;Investment_Strategy_Sub2&amp;"_"&amp;$A287,'Investment Strategies'!$AJ:$AV,13,FALSE),
IF(AND(Investment_Strategy="Autopilot",Investment_Strategy_Sub1="Non-Standard"),VLOOKUP(Investment_Strategy&amp;"_"&amp;Investment_Strategy_Sub2&amp;"_"&amp;$A287,'Investment Strategies'!$T:$AF,13,FALSE),
IF(Investment_Strategy="DIY",DIY_ExtManChrge_SP,
"Error"))))))</f>
        <v>0</v>
      </c>
      <c r="O287" s="16">
        <f t="shared" si="187"/>
        <v>0</v>
      </c>
      <c r="Q287" s="16">
        <f t="shared" si="161"/>
        <v>0</v>
      </c>
      <c r="R287" s="16">
        <f t="shared" si="162"/>
        <v>0</v>
      </c>
      <c r="S287" s="16">
        <f>(SRP_SP+SUM(S$91:S286))*L287*IF(D287=$A$91,SRP_finalmonthfactor,1)</f>
        <v>0</v>
      </c>
      <c r="T287" s="74">
        <f>MIN(IF($AV287=0,0,
IF(Investment_Strategy="DIS",VLOOKUP(Investment_Strategy&amp;"_"&amp;Investment_Strategy_Sub1&amp;"_"&amp;$A287,'Investment Strategies'!$AZ:$BP,12,FALSE),
IF(AND(Investment_Strategy="Lifecycle",Investment_Strategy_Sub1="Non-Standard"),VLOOKUP(Investment_Strategy&amp;"_"&amp;Investment_Strategy_Sub2&amp;"_"&amp;$A287,'Investment Strategies'!$C:$P,9,FALSE),
IF(AND(Investment_Strategy="Lifecycle",Investment_Strategy_Sub1="Standard"),VLOOKUP(Investment_Strategy&amp;"_"&amp;Investment_Strategy_Sub2&amp;"_"&amp;$A287,'Investment Strategies'!$AJ:$AV,8,FALSE),
IF(AND(Investment_Strategy="Autopilot",Investment_Strategy_Sub1="Non-Standard"),VLOOKUP(Investment_Strategy&amp;"_"&amp;Investment_Strategy_Sub2&amp;"_"&amp;$A287,'Investment Strategies'!$T:$AF,8,FALSE),
IF(Investment_Strategy ="DIY",DIY_RateOfReturn_FuturePremiums,
"Error")))))),Max_InvReturn)</f>
        <v>0</v>
      </c>
      <c r="U287" s="62">
        <f>IF($AV287=0,0,
IF(Investment_Strategy="DIS",VLOOKUP(Investment_Strategy&amp;"_"&amp;Investment_Strategy_Sub1&amp;"_"&amp;$A287,'Investment Strategies'!$AZ:$BP,15,FALSE),
IF(AND(Investment_Strategy="Lifecycle",Investment_Strategy_Sub1="Non-Standard"),VLOOKUP(Investment_Strategy&amp;"_"&amp;Investment_Strategy_Sub2&amp;"_"&amp;$A287,'Investment Strategies'!$C:$P,12,FALSE),
IF(AND(Investment_Strategy="Lifecycle",Investment_Strategy_Sub1="Standard"),VLOOKUP(Investment_Strategy&amp;"_"&amp;Investment_Strategy_Sub2&amp;"_"&amp;$A287,'Investment Strategies'!$AJ:$AV,11,FALSE),
IF(AND(Investment_Strategy="Autopilot",Investment_Strategy_Sub1="Non-Standard"),VLOOKUP(Investment_Strategy&amp;"_"&amp;Investment_Strategy_Sub2&amp;"_"&amp;$A287,'Investment Strategies'!$T:$AF,11,FALSE),
IF(Investment_Strategy="DIY",DIY_GteeChrge_FuturePremiums,
"Error"))))))</f>
        <v>0</v>
      </c>
      <c r="V287" s="33">
        <f>IF(AV287=0,0,
IF(Investment_Strategy="DIS",VLOOKUP(Investment_Strategy&amp;"_"&amp;Investment_Strategy_Sub1&amp;"_"&amp;$A287,'Investment Strategies'!$AZ:$BP,17,FALSE),
IF(AND(Investment_Strategy="Lifecycle",Investment_Strategy_Sub1="Non-Standard"),VLOOKUP(Investment_Strategy&amp;"_"&amp;Investment_Strategy_Sub2&amp;"_"&amp;$A287,'Investment Strategies'!$C:$P,14,FALSE),
IF(AND(Investment_Strategy="Lifecycle",Investment_Strategy_Sub1="Standard"),VLOOKUP(Investment_Strategy&amp;"_"&amp;Investment_Strategy_Sub2&amp;"_"&amp;$A287,'Investment Strategies'!$AJ:$AV,13,FALSE),
IF(AND(Investment_Strategy="Autopilot",Investment_Strategy_Sub1="Non-Standard"),VLOOKUP(Investment_Strategy&amp;"_"&amp;Investment_Strategy_Sub2&amp;"_"&amp;$A287,'Investment Strategies'!$T:$AF,13,FALSE),
IF(Investment_Strategy="DIY",DIY_ExtManChrge_FuturePremiums,
"Error"))))))</f>
        <v>0</v>
      </c>
      <c r="W287" s="16">
        <f t="shared" si="188"/>
        <v>0</v>
      </c>
      <c r="X287" s="16">
        <f t="shared" si="163"/>
        <v>0</v>
      </c>
      <c r="Y287" s="16">
        <f t="shared" si="164"/>
        <v>0</v>
      </c>
      <c r="Z287" s="31">
        <f t="shared" si="165"/>
        <v>0.02</v>
      </c>
      <c r="AA287" s="16">
        <f t="shared" si="166"/>
        <v>0</v>
      </c>
      <c r="AB287" s="28">
        <f t="shared" si="189"/>
        <v>0</v>
      </c>
      <c r="AC287" s="28">
        <f>(SUM($AC$91:AC286)+SUM($X$91:X286)+X287)*T287*IF(D287=$A$91,SRP_finalmonthfactor,1)</f>
        <v>0</v>
      </c>
      <c r="AD287" s="16">
        <f t="shared" si="167"/>
        <v>0</v>
      </c>
      <c r="AE287" s="106"/>
      <c r="AF287" s="16">
        <f t="shared" si="176"/>
        <v>0</v>
      </c>
      <c r="AG287" s="16">
        <f t="shared" si="177"/>
        <v>0</v>
      </c>
      <c r="AH287" s="16">
        <f t="shared" si="178"/>
        <v>0</v>
      </c>
      <c r="AJ287" s="13">
        <f t="shared" si="158"/>
        <v>0</v>
      </c>
      <c r="AK287" s="13">
        <f t="shared" si="158"/>
        <v>0</v>
      </c>
      <c r="AL287" s="13">
        <f t="shared" si="158"/>
        <v>0</v>
      </c>
      <c r="AM287" s="13">
        <f t="shared" si="158"/>
        <v>0</v>
      </c>
      <c r="AN287" s="13">
        <f t="shared" si="158"/>
        <v>0</v>
      </c>
      <c r="AO287" s="13">
        <f t="shared" si="158"/>
        <v>1</v>
      </c>
      <c r="AP287" s="13">
        <f t="shared" si="158"/>
        <v>1</v>
      </c>
      <c r="AQ287" s="13">
        <f t="shared" si="158"/>
        <v>1</v>
      </c>
      <c r="AR287" s="13">
        <f t="shared" si="158"/>
        <v>1</v>
      </c>
      <c r="AS287" s="13">
        <f t="shared" si="158"/>
        <v>1</v>
      </c>
      <c r="AT287" s="13">
        <f t="shared" si="158"/>
        <v>1</v>
      </c>
      <c r="AU287" s="13">
        <f t="shared" si="158"/>
        <v>1</v>
      </c>
      <c r="AV287" s="13">
        <f t="shared" si="168"/>
        <v>0</v>
      </c>
      <c r="AW287" s="13">
        <f t="shared" si="169"/>
        <v>1</v>
      </c>
      <c r="AY287" s="17">
        <f t="shared" si="170"/>
        <v>197</v>
      </c>
      <c r="AZ287" s="28">
        <f t="shared" si="179"/>
        <v>0</v>
      </c>
      <c r="BA287" s="13">
        <f t="shared" si="171"/>
        <v>0</v>
      </c>
      <c r="BB287" s="13">
        <f t="shared" si="172"/>
        <v>0</v>
      </c>
      <c r="BC287" s="28">
        <f t="shared" si="180"/>
        <v>0</v>
      </c>
      <c r="BD287" s="28">
        <f t="shared" si="181"/>
        <v>0</v>
      </c>
      <c r="BF287" s="248">
        <f t="shared" si="182"/>
        <v>993869.29442638322</v>
      </c>
      <c r="BG287" s="36">
        <f t="shared" si="145"/>
        <v>0</v>
      </c>
      <c r="BH287" s="36">
        <f t="shared" si="146"/>
        <v>842668.33512598404</v>
      </c>
      <c r="BI287" s="249">
        <f t="shared" si="147"/>
        <v>0</v>
      </c>
      <c r="BJ287" s="246">
        <f t="shared" si="148"/>
        <v>0</v>
      </c>
      <c r="BK287" s="246">
        <f t="shared" si="173"/>
        <v>7.531116566323881E-4</v>
      </c>
      <c r="BL287" s="246">
        <f t="shared" si="149"/>
        <v>0</v>
      </c>
      <c r="BM287" s="246">
        <f t="shared" si="150"/>
        <v>7.531116566323881E-4</v>
      </c>
      <c r="BN287" s="36">
        <f t="shared" si="183"/>
        <v>634.62334585838619</v>
      </c>
      <c r="BO287" s="36">
        <f t="shared" si="151"/>
        <v>0</v>
      </c>
      <c r="BP287" s="36">
        <f t="shared" si="152"/>
        <v>842033.71178012562</v>
      </c>
    </row>
    <row r="288" spans="1:68">
      <c r="A288" s="32">
        <f t="shared" si="184"/>
        <v>-113</v>
      </c>
      <c r="B288" s="32">
        <f t="shared" si="174"/>
        <v>69</v>
      </c>
      <c r="C288" s="32">
        <f t="shared" si="185"/>
        <v>17</v>
      </c>
      <c r="D288" s="32">
        <f t="shared" si="186"/>
        <v>198</v>
      </c>
      <c r="E288" s="74">
        <f>MIN(IF(AV288=0,0,
IF(Investment_Strategy="DIS",VLOOKUP(Investment_Strategy&amp;"_"&amp;Investment_Strategy_Sub1&amp;"_"&amp;$A288,'Investment Strategies'!$AZ:$BP,12,FALSE),
IF(AND(Investment_Strategy="Lifecycle",Investment_Strategy_Sub1="Non-Standard"),VLOOKUP(Investment_Strategy&amp;"_"&amp;Investment_Strategy_Sub2&amp;"_"&amp;$A288,'Investment Strategies'!$C:$P,9,FALSE),
IF(AND(Investment_Strategy="Lifecycle",Investment_Strategy_Sub1="Standard"),VLOOKUP(Investment_Strategy&amp;"_"&amp;Investment_Strategy_Sub2&amp;"_"&amp;$A288,'Investment Strategies'!$AJ:$AV,8,FALSE),
IF(AND(Investment_Strategy="Autopilot",Investment_Strategy_Sub1="Non-Standard"),VLOOKUP(Investment_Strategy&amp;"_"&amp;Investment_Strategy_Sub2&amp;"_"&amp;$A288,'Investment Strategies'!$T:$AF,8,FALSE),
IF(Investment_Strategy ="DIY",DIY_RateOfReturn_CurrentFunds,
"Error")))))),Max_InvReturn)</f>
        <v>0</v>
      </c>
      <c r="F288" s="62">
        <f>IF(AV288=0,0,
IF(Investment_Strategy="DIS",VLOOKUP(Investment_Strategy&amp;"_"&amp;Investment_Strategy_Sub1&amp;"_"&amp;$A288,'Investment Strategies'!$AZ:$BP,15,FALSE),
IF(AND(Investment_Strategy="Lifecycle",Investment_Strategy_Sub1="Non-Standard"),VLOOKUP(Investment_Strategy&amp;"_"&amp;Investment_Strategy_Sub2&amp;"_"&amp;$A288,'Investment Strategies'!$C:$P,12,FALSE),
IF(AND(Investment_Strategy="Lifecycle",Investment_Strategy_Sub1="Standard"),VLOOKUP(Investment_Strategy&amp;"_"&amp;Investment_Strategy_Sub2&amp;"_"&amp;$A288,'Investment Strategies'!$AJ:$AV,11,FALSE),
IF(AND(Investment_Strategy="Autopilot",Investment_Strategy_Sub1="Non-Standard"),VLOOKUP(Investment_Strategy&amp;"_"&amp;Investment_Strategy_Sub2&amp;"_"&amp;$A288,'Investment Strategies'!$T:$AF,11,FALSE),
IF(Investment_Strategy="DIY",DIY_GteeChrge_CurrentFunds,
"Error"))))))</f>
        <v>0</v>
      </c>
      <c r="G288" s="33">
        <f>IF(AV288=0,0,
IF(Investment_Strategy="DIS",VLOOKUP(Investment_Strategy&amp;"_"&amp;Investment_Strategy_Sub1&amp;"_"&amp;$A288,'Investment Strategies'!$AZ:$BP,17,FALSE),
IF(AND(Investment_Strategy="Lifecycle",Investment_Strategy_Sub1="Non-Standard"),VLOOKUP(Investment_Strategy&amp;"_"&amp;Investment_Strategy_Sub2&amp;"_"&amp;$A288,'Investment Strategies'!$C:$P,14,FALSE),
IF(AND(Investment_Strategy="Lifecycle",Investment_Strategy_Sub1="Standard"),VLOOKUP(Investment_Strategy&amp;"_"&amp;Investment_Strategy_Sub2&amp;"_"&amp;$A288,'Investment Strategies'!$AJ:$AV,13,FALSE),
IF(AND(Investment_Strategy="Autopilot",Investment_Strategy_Sub1="Non-Standard"),VLOOKUP(Investment_Strategy&amp;"_"&amp;Investment_Strategy_Sub2&amp;"_"&amp;$A288,'Investment Strategies'!$T:$AF,13,FALSE),
IF(Investment_Strategy="DIY",DIY_ExtManChrge_CurrentFunds,
"Error"))))))</f>
        <v>0</v>
      </c>
      <c r="H288" s="16">
        <f t="shared" si="175"/>
        <v>0</v>
      </c>
      <c r="I288" s="16">
        <f t="shared" si="159"/>
        <v>0</v>
      </c>
      <c r="J288" s="16">
        <f t="shared" si="160"/>
        <v>0</v>
      </c>
      <c r="K288" s="16">
        <f>(Opening_Fund_Value+SUM(K$91:K287))*E288*IF(D288=$A$91,SRP_finalmonthfactor,1)</f>
        <v>0</v>
      </c>
      <c r="L288" s="74">
        <f>MIN(IF($AV288=0,0,
IF(Investment_Strategy="DIS",VLOOKUP(Investment_Strategy&amp;"_"&amp;Investment_Strategy_Sub1&amp;"_"&amp;$A288,'Investment Strategies'!$AZ:$BP,12,FALSE),
IF(AND(Investment_Strategy="Lifecycle",Investment_Strategy_Sub1="Non-Standard"),VLOOKUP(Investment_Strategy&amp;"_"&amp;Investment_Strategy_Sub2&amp;"_"&amp;$A288,'Investment Strategies'!$C:$P,9,FALSE),
IF(AND(Investment_Strategy="Lifecycle",Investment_Strategy_Sub1="Standard"),VLOOKUP(Investment_Strategy&amp;"_"&amp;Investment_Strategy_Sub2&amp;"_"&amp;$A288,'Investment Strategies'!$AJ:$AV,8,FALSE),
IF(AND(Investment_Strategy="Autopilot",Investment_Strategy_Sub1="Non-Standard"),VLOOKUP(Investment_Strategy&amp;"_"&amp;Investment_Strategy_Sub2&amp;"_"&amp;$A288,'Investment Strategies'!$T:$AF,8,FALSE),
IF(Investment_Strategy ="DIY",DIY_RateofReturn_SP,
"Error")))))),Max_InvReturn)</f>
        <v>0</v>
      </c>
      <c r="M288" s="62">
        <f>IF($AV288=0,0,
IF(Investment_Strategy="DIS",VLOOKUP(Investment_Strategy&amp;"_"&amp;Investment_Strategy_Sub1&amp;"_"&amp;$A288,'Investment Strategies'!$AZ:$BP,15,FALSE),
IF(AND(Investment_Strategy="Lifecycle",Investment_Strategy_Sub1="Non-Standard"),VLOOKUP(Investment_Strategy&amp;"_"&amp;Investment_Strategy_Sub2&amp;"_"&amp;$A288,'Investment Strategies'!$C:$P,12,FALSE),
IF(AND(Investment_Strategy="Lifecycle",Investment_Strategy_Sub1="Standard"),VLOOKUP(Investment_Strategy&amp;"_"&amp;Investment_Strategy_Sub2&amp;"_"&amp;$A288,'Investment Strategies'!$AJ:$AV,11,FALSE),
IF(AND(Investment_Strategy="Autopilot",Investment_Strategy_Sub1="Non-Standard"),VLOOKUP(Investment_Strategy&amp;"_"&amp;Investment_Strategy_Sub2&amp;"_"&amp;$A288,'Investment Strategies'!$T:$AF,11,FALSE),
IF(Investment_Strategy="DIY",DIY_GteeChrge_SP,
"Error"))))))</f>
        <v>0</v>
      </c>
      <c r="N288" s="33">
        <f>IF($AV288=0,0,
IF(Investment_Strategy="DIS",VLOOKUP(Investment_Strategy&amp;"_"&amp;Investment_Strategy_Sub1&amp;"_"&amp;$A288,'Investment Strategies'!$AZ:$BP,17,FALSE),
IF(AND(Investment_Strategy="Lifecycle",Investment_Strategy_Sub1="Non-Standard"),VLOOKUP(Investment_Strategy&amp;"_"&amp;Investment_Strategy_Sub2&amp;"_"&amp;$A288,'Investment Strategies'!$C:$P,14,FALSE),
IF(AND(Investment_Strategy="Lifecycle",Investment_Strategy_Sub1="Standard"),VLOOKUP(Investment_Strategy&amp;"_"&amp;Investment_Strategy_Sub2&amp;"_"&amp;$A288,'Investment Strategies'!$AJ:$AV,13,FALSE),
IF(AND(Investment_Strategy="Autopilot",Investment_Strategy_Sub1="Non-Standard"),VLOOKUP(Investment_Strategy&amp;"_"&amp;Investment_Strategy_Sub2&amp;"_"&amp;$A288,'Investment Strategies'!$T:$AF,13,FALSE),
IF(Investment_Strategy="DIY",DIY_ExtManChrge_SP,
"Error"))))))</f>
        <v>0</v>
      </c>
      <c r="O288" s="16">
        <f t="shared" si="187"/>
        <v>0</v>
      </c>
      <c r="Q288" s="16">
        <f t="shared" si="161"/>
        <v>0</v>
      </c>
      <c r="R288" s="16">
        <f t="shared" si="162"/>
        <v>0</v>
      </c>
      <c r="S288" s="16">
        <f>(SRP_SP+SUM(S$91:S287))*L288*IF(D288=$A$91,SRP_finalmonthfactor,1)</f>
        <v>0</v>
      </c>
      <c r="T288" s="74">
        <f>MIN(IF($AV288=0,0,
IF(Investment_Strategy="DIS",VLOOKUP(Investment_Strategy&amp;"_"&amp;Investment_Strategy_Sub1&amp;"_"&amp;$A288,'Investment Strategies'!$AZ:$BP,12,FALSE),
IF(AND(Investment_Strategy="Lifecycle",Investment_Strategy_Sub1="Non-Standard"),VLOOKUP(Investment_Strategy&amp;"_"&amp;Investment_Strategy_Sub2&amp;"_"&amp;$A288,'Investment Strategies'!$C:$P,9,FALSE),
IF(AND(Investment_Strategy="Lifecycle",Investment_Strategy_Sub1="Standard"),VLOOKUP(Investment_Strategy&amp;"_"&amp;Investment_Strategy_Sub2&amp;"_"&amp;$A288,'Investment Strategies'!$AJ:$AV,8,FALSE),
IF(AND(Investment_Strategy="Autopilot",Investment_Strategy_Sub1="Non-Standard"),VLOOKUP(Investment_Strategy&amp;"_"&amp;Investment_Strategy_Sub2&amp;"_"&amp;$A288,'Investment Strategies'!$T:$AF,8,FALSE),
IF(Investment_Strategy ="DIY",DIY_RateOfReturn_FuturePremiums,
"Error")))))),Max_InvReturn)</f>
        <v>0</v>
      </c>
      <c r="U288" s="62">
        <f>IF($AV288=0,0,
IF(Investment_Strategy="DIS",VLOOKUP(Investment_Strategy&amp;"_"&amp;Investment_Strategy_Sub1&amp;"_"&amp;$A288,'Investment Strategies'!$AZ:$BP,15,FALSE),
IF(AND(Investment_Strategy="Lifecycle",Investment_Strategy_Sub1="Non-Standard"),VLOOKUP(Investment_Strategy&amp;"_"&amp;Investment_Strategy_Sub2&amp;"_"&amp;$A288,'Investment Strategies'!$C:$P,12,FALSE),
IF(AND(Investment_Strategy="Lifecycle",Investment_Strategy_Sub1="Standard"),VLOOKUP(Investment_Strategy&amp;"_"&amp;Investment_Strategy_Sub2&amp;"_"&amp;$A288,'Investment Strategies'!$AJ:$AV,11,FALSE),
IF(AND(Investment_Strategy="Autopilot",Investment_Strategy_Sub1="Non-Standard"),VLOOKUP(Investment_Strategy&amp;"_"&amp;Investment_Strategy_Sub2&amp;"_"&amp;$A288,'Investment Strategies'!$T:$AF,11,FALSE),
IF(Investment_Strategy="DIY",DIY_GteeChrge_FuturePremiums,
"Error"))))))</f>
        <v>0</v>
      </c>
      <c r="V288" s="33">
        <f>IF(AV288=0,0,
IF(Investment_Strategy="DIS",VLOOKUP(Investment_Strategy&amp;"_"&amp;Investment_Strategy_Sub1&amp;"_"&amp;$A288,'Investment Strategies'!$AZ:$BP,17,FALSE),
IF(AND(Investment_Strategy="Lifecycle",Investment_Strategy_Sub1="Non-Standard"),VLOOKUP(Investment_Strategy&amp;"_"&amp;Investment_Strategy_Sub2&amp;"_"&amp;$A288,'Investment Strategies'!$C:$P,14,FALSE),
IF(AND(Investment_Strategy="Lifecycle",Investment_Strategy_Sub1="Standard"),VLOOKUP(Investment_Strategy&amp;"_"&amp;Investment_Strategy_Sub2&amp;"_"&amp;$A288,'Investment Strategies'!$AJ:$AV,13,FALSE),
IF(AND(Investment_Strategy="Autopilot",Investment_Strategy_Sub1="Non-Standard"),VLOOKUP(Investment_Strategy&amp;"_"&amp;Investment_Strategy_Sub2&amp;"_"&amp;$A288,'Investment Strategies'!$T:$AF,13,FALSE),
IF(Investment_Strategy="DIY",DIY_ExtManChrge_FuturePremiums,
"Error"))))))</f>
        <v>0</v>
      </c>
      <c r="W288" s="16">
        <f t="shared" si="188"/>
        <v>0</v>
      </c>
      <c r="X288" s="16">
        <f t="shared" si="163"/>
        <v>0</v>
      </c>
      <c r="Y288" s="16">
        <f t="shared" si="164"/>
        <v>0</v>
      </c>
      <c r="Z288" s="31">
        <f t="shared" si="165"/>
        <v>0.02</v>
      </c>
      <c r="AA288" s="16">
        <f t="shared" si="166"/>
        <v>0</v>
      </c>
      <c r="AB288" s="28">
        <f t="shared" si="189"/>
        <v>0</v>
      </c>
      <c r="AC288" s="28">
        <f>(SUM($AC$91:AC287)+SUM($X$91:X287)+X288)*T288*IF(D288=$A$91,SRP_finalmonthfactor,1)</f>
        <v>0</v>
      </c>
      <c r="AD288" s="16">
        <f t="shared" si="167"/>
        <v>0</v>
      </c>
      <c r="AE288" s="106"/>
      <c r="AF288" s="16">
        <f t="shared" si="176"/>
        <v>0</v>
      </c>
      <c r="AG288" s="16">
        <f t="shared" si="177"/>
        <v>0</v>
      </c>
      <c r="AH288" s="16">
        <f t="shared" si="178"/>
        <v>0</v>
      </c>
      <c r="AJ288" s="13">
        <f t="shared" si="158"/>
        <v>0</v>
      </c>
      <c r="AK288" s="13">
        <f t="shared" si="158"/>
        <v>0</v>
      </c>
      <c r="AL288" s="13">
        <f t="shared" si="158"/>
        <v>0</v>
      </c>
      <c r="AM288" s="13">
        <f t="shared" si="158"/>
        <v>0</v>
      </c>
      <c r="AN288" s="13">
        <f t="shared" si="158"/>
        <v>0</v>
      </c>
      <c r="AO288" s="13">
        <f t="shared" si="158"/>
        <v>1</v>
      </c>
      <c r="AP288" s="13">
        <f t="shared" si="158"/>
        <v>1</v>
      </c>
      <c r="AQ288" s="13">
        <f t="shared" si="158"/>
        <v>1</v>
      </c>
      <c r="AR288" s="13">
        <f t="shared" si="158"/>
        <v>1</v>
      </c>
      <c r="AS288" s="13">
        <f t="shared" si="158"/>
        <v>1</v>
      </c>
      <c r="AT288" s="13">
        <f t="shared" si="158"/>
        <v>1</v>
      </c>
      <c r="AU288" s="13">
        <f t="shared" si="158"/>
        <v>1</v>
      </c>
      <c r="AV288" s="13">
        <f t="shared" si="168"/>
        <v>0</v>
      </c>
      <c r="AW288" s="13">
        <f t="shared" si="169"/>
        <v>1</v>
      </c>
      <c r="AY288" s="17">
        <f t="shared" si="170"/>
        <v>198</v>
      </c>
      <c r="AZ288" s="28">
        <f t="shared" si="179"/>
        <v>0</v>
      </c>
      <c r="BA288" s="13">
        <f t="shared" si="171"/>
        <v>0</v>
      </c>
      <c r="BB288" s="13">
        <f t="shared" si="172"/>
        <v>0</v>
      </c>
      <c r="BC288" s="28">
        <f t="shared" si="180"/>
        <v>0</v>
      </c>
      <c r="BD288" s="28">
        <f t="shared" si="181"/>
        <v>0</v>
      </c>
      <c r="BF288" s="248">
        <f t="shared" si="182"/>
        <v>993869.29442638322</v>
      </c>
      <c r="BG288" s="36">
        <f t="shared" ref="BG288:BG331" si="190">P288+X288</f>
        <v>0</v>
      </c>
      <c r="BH288" s="36">
        <f t="shared" ref="BH288:BH331" si="191">IF(ISNUMBER(BH287), BG288+BP287, BG288)</f>
        <v>842033.71178012562</v>
      </c>
      <c r="BI288" s="249">
        <f t="shared" ref="BI288:BI331" si="192">E288</f>
        <v>0</v>
      </c>
      <c r="BJ288" s="246">
        <f t="shared" ref="BJ288:BJ331" si="193">N288</f>
        <v>0</v>
      </c>
      <c r="BK288" s="246">
        <f t="shared" si="173"/>
        <v>7.531116566323881E-4</v>
      </c>
      <c r="BL288" s="246">
        <f t="shared" ref="BL288:BL331" si="194">U288</f>
        <v>0</v>
      </c>
      <c r="BM288" s="246">
        <f t="shared" ref="BM288:BM331" si="195">BJ288+BK288+BL288</f>
        <v>7.531116566323881E-4</v>
      </c>
      <c r="BN288" s="36">
        <f t="shared" si="183"/>
        <v>634.14540361904926</v>
      </c>
      <c r="BO288" s="36">
        <f t="shared" ref="BO288:BO331" si="196">BH288*BI288</f>
        <v>0</v>
      </c>
      <c r="BP288" s="36">
        <f t="shared" ref="BP288:BP331" si="197">BH288+BO288-BN288</f>
        <v>841399.56637650658</v>
      </c>
    </row>
    <row r="289" spans="1:68">
      <c r="A289" s="32">
        <f t="shared" si="184"/>
        <v>-114</v>
      </c>
      <c r="B289" s="32">
        <f t="shared" si="174"/>
        <v>69</v>
      </c>
      <c r="C289" s="32">
        <f t="shared" si="185"/>
        <v>17</v>
      </c>
      <c r="D289" s="32">
        <f t="shared" si="186"/>
        <v>199</v>
      </c>
      <c r="E289" s="74">
        <f>MIN(IF(AV289=0,0,
IF(Investment_Strategy="DIS",VLOOKUP(Investment_Strategy&amp;"_"&amp;Investment_Strategy_Sub1&amp;"_"&amp;$A289,'Investment Strategies'!$AZ:$BP,12,FALSE),
IF(AND(Investment_Strategy="Lifecycle",Investment_Strategy_Sub1="Non-Standard"),VLOOKUP(Investment_Strategy&amp;"_"&amp;Investment_Strategy_Sub2&amp;"_"&amp;$A289,'Investment Strategies'!$C:$P,9,FALSE),
IF(AND(Investment_Strategy="Lifecycle",Investment_Strategy_Sub1="Standard"),VLOOKUP(Investment_Strategy&amp;"_"&amp;Investment_Strategy_Sub2&amp;"_"&amp;$A289,'Investment Strategies'!$AJ:$AV,8,FALSE),
IF(AND(Investment_Strategy="Autopilot",Investment_Strategy_Sub1="Non-Standard"),VLOOKUP(Investment_Strategy&amp;"_"&amp;Investment_Strategy_Sub2&amp;"_"&amp;$A289,'Investment Strategies'!$T:$AF,8,FALSE),
IF(Investment_Strategy ="DIY",DIY_RateOfReturn_CurrentFunds,
"Error")))))),Max_InvReturn)</f>
        <v>0</v>
      </c>
      <c r="F289" s="62">
        <f>IF(AV289=0,0,
IF(Investment_Strategy="DIS",VLOOKUP(Investment_Strategy&amp;"_"&amp;Investment_Strategy_Sub1&amp;"_"&amp;$A289,'Investment Strategies'!$AZ:$BP,15,FALSE),
IF(AND(Investment_Strategy="Lifecycle",Investment_Strategy_Sub1="Non-Standard"),VLOOKUP(Investment_Strategy&amp;"_"&amp;Investment_Strategy_Sub2&amp;"_"&amp;$A289,'Investment Strategies'!$C:$P,12,FALSE),
IF(AND(Investment_Strategy="Lifecycle",Investment_Strategy_Sub1="Standard"),VLOOKUP(Investment_Strategy&amp;"_"&amp;Investment_Strategy_Sub2&amp;"_"&amp;$A289,'Investment Strategies'!$AJ:$AV,11,FALSE),
IF(AND(Investment_Strategy="Autopilot",Investment_Strategy_Sub1="Non-Standard"),VLOOKUP(Investment_Strategy&amp;"_"&amp;Investment_Strategy_Sub2&amp;"_"&amp;$A289,'Investment Strategies'!$T:$AF,11,FALSE),
IF(Investment_Strategy="DIY",DIY_GteeChrge_CurrentFunds,
"Error"))))))</f>
        <v>0</v>
      </c>
      <c r="G289" s="33">
        <f>IF(AV289=0,0,
IF(Investment_Strategy="DIS",VLOOKUP(Investment_Strategy&amp;"_"&amp;Investment_Strategy_Sub1&amp;"_"&amp;$A289,'Investment Strategies'!$AZ:$BP,17,FALSE),
IF(AND(Investment_Strategy="Lifecycle",Investment_Strategy_Sub1="Non-Standard"),VLOOKUP(Investment_Strategy&amp;"_"&amp;Investment_Strategy_Sub2&amp;"_"&amp;$A289,'Investment Strategies'!$C:$P,14,FALSE),
IF(AND(Investment_Strategy="Lifecycle",Investment_Strategy_Sub1="Standard"),VLOOKUP(Investment_Strategy&amp;"_"&amp;Investment_Strategy_Sub2&amp;"_"&amp;$A289,'Investment Strategies'!$AJ:$AV,13,FALSE),
IF(AND(Investment_Strategy="Autopilot",Investment_Strategy_Sub1="Non-Standard"),VLOOKUP(Investment_Strategy&amp;"_"&amp;Investment_Strategy_Sub2&amp;"_"&amp;$A289,'Investment Strategies'!$T:$AF,13,FALSE),
IF(Investment_Strategy="DIY",DIY_ExtManChrge_CurrentFunds,
"Error"))))))</f>
        <v>0</v>
      </c>
      <c r="H289" s="16">
        <f t="shared" si="175"/>
        <v>0</v>
      </c>
      <c r="I289" s="16">
        <f t="shared" si="159"/>
        <v>0</v>
      </c>
      <c r="J289" s="16">
        <f t="shared" si="160"/>
        <v>0</v>
      </c>
      <c r="K289" s="16">
        <f>(Opening_Fund_Value+SUM(K$91:K288))*E289*IF(D289=$A$91,SRP_finalmonthfactor,1)</f>
        <v>0</v>
      </c>
      <c r="L289" s="74">
        <f>MIN(IF($AV289=0,0,
IF(Investment_Strategy="DIS",VLOOKUP(Investment_Strategy&amp;"_"&amp;Investment_Strategy_Sub1&amp;"_"&amp;$A289,'Investment Strategies'!$AZ:$BP,12,FALSE),
IF(AND(Investment_Strategy="Lifecycle",Investment_Strategy_Sub1="Non-Standard"),VLOOKUP(Investment_Strategy&amp;"_"&amp;Investment_Strategy_Sub2&amp;"_"&amp;$A289,'Investment Strategies'!$C:$P,9,FALSE),
IF(AND(Investment_Strategy="Lifecycle",Investment_Strategy_Sub1="Standard"),VLOOKUP(Investment_Strategy&amp;"_"&amp;Investment_Strategy_Sub2&amp;"_"&amp;$A289,'Investment Strategies'!$AJ:$AV,8,FALSE),
IF(AND(Investment_Strategy="Autopilot",Investment_Strategy_Sub1="Non-Standard"),VLOOKUP(Investment_Strategy&amp;"_"&amp;Investment_Strategy_Sub2&amp;"_"&amp;$A289,'Investment Strategies'!$T:$AF,8,FALSE),
IF(Investment_Strategy ="DIY",DIY_RateofReturn_SP,
"Error")))))),Max_InvReturn)</f>
        <v>0</v>
      </c>
      <c r="M289" s="62">
        <f>IF($AV289=0,0,
IF(Investment_Strategy="DIS",VLOOKUP(Investment_Strategy&amp;"_"&amp;Investment_Strategy_Sub1&amp;"_"&amp;$A289,'Investment Strategies'!$AZ:$BP,15,FALSE),
IF(AND(Investment_Strategy="Lifecycle",Investment_Strategy_Sub1="Non-Standard"),VLOOKUP(Investment_Strategy&amp;"_"&amp;Investment_Strategy_Sub2&amp;"_"&amp;$A289,'Investment Strategies'!$C:$P,12,FALSE),
IF(AND(Investment_Strategy="Lifecycle",Investment_Strategy_Sub1="Standard"),VLOOKUP(Investment_Strategy&amp;"_"&amp;Investment_Strategy_Sub2&amp;"_"&amp;$A289,'Investment Strategies'!$AJ:$AV,11,FALSE),
IF(AND(Investment_Strategy="Autopilot",Investment_Strategy_Sub1="Non-Standard"),VLOOKUP(Investment_Strategy&amp;"_"&amp;Investment_Strategy_Sub2&amp;"_"&amp;$A289,'Investment Strategies'!$T:$AF,11,FALSE),
IF(Investment_Strategy="DIY",DIY_GteeChrge_SP,
"Error"))))))</f>
        <v>0</v>
      </c>
      <c r="N289" s="33">
        <f>IF($AV289=0,0,
IF(Investment_Strategy="DIS",VLOOKUP(Investment_Strategy&amp;"_"&amp;Investment_Strategy_Sub1&amp;"_"&amp;$A289,'Investment Strategies'!$AZ:$BP,17,FALSE),
IF(AND(Investment_Strategy="Lifecycle",Investment_Strategy_Sub1="Non-Standard"),VLOOKUP(Investment_Strategy&amp;"_"&amp;Investment_Strategy_Sub2&amp;"_"&amp;$A289,'Investment Strategies'!$C:$P,14,FALSE),
IF(AND(Investment_Strategy="Lifecycle",Investment_Strategy_Sub1="Standard"),VLOOKUP(Investment_Strategy&amp;"_"&amp;Investment_Strategy_Sub2&amp;"_"&amp;$A289,'Investment Strategies'!$AJ:$AV,13,FALSE),
IF(AND(Investment_Strategy="Autopilot",Investment_Strategy_Sub1="Non-Standard"),VLOOKUP(Investment_Strategy&amp;"_"&amp;Investment_Strategy_Sub2&amp;"_"&amp;$A289,'Investment Strategies'!$T:$AF,13,FALSE),
IF(Investment_Strategy="DIY",DIY_ExtManChrge_SP,
"Error"))))))</f>
        <v>0</v>
      </c>
      <c r="O289" s="16">
        <f t="shared" si="187"/>
        <v>0</v>
      </c>
      <c r="Q289" s="16">
        <f t="shared" si="161"/>
        <v>0</v>
      </c>
      <c r="R289" s="16">
        <f t="shared" si="162"/>
        <v>0</v>
      </c>
      <c r="S289" s="16">
        <f>(SRP_SP+SUM(S$91:S288))*L289*IF(D289=$A$91,SRP_finalmonthfactor,1)</f>
        <v>0</v>
      </c>
      <c r="T289" s="74">
        <f>MIN(IF($AV289=0,0,
IF(Investment_Strategy="DIS",VLOOKUP(Investment_Strategy&amp;"_"&amp;Investment_Strategy_Sub1&amp;"_"&amp;$A289,'Investment Strategies'!$AZ:$BP,12,FALSE),
IF(AND(Investment_Strategy="Lifecycle",Investment_Strategy_Sub1="Non-Standard"),VLOOKUP(Investment_Strategy&amp;"_"&amp;Investment_Strategy_Sub2&amp;"_"&amp;$A289,'Investment Strategies'!$C:$P,9,FALSE),
IF(AND(Investment_Strategy="Lifecycle",Investment_Strategy_Sub1="Standard"),VLOOKUP(Investment_Strategy&amp;"_"&amp;Investment_Strategy_Sub2&amp;"_"&amp;$A289,'Investment Strategies'!$AJ:$AV,8,FALSE),
IF(AND(Investment_Strategy="Autopilot",Investment_Strategy_Sub1="Non-Standard"),VLOOKUP(Investment_Strategy&amp;"_"&amp;Investment_Strategy_Sub2&amp;"_"&amp;$A289,'Investment Strategies'!$T:$AF,8,FALSE),
IF(Investment_Strategy ="DIY",DIY_RateOfReturn_FuturePremiums,
"Error")))))),Max_InvReturn)</f>
        <v>0</v>
      </c>
      <c r="U289" s="62">
        <f>IF($AV289=0,0,
IF(Investment_Strategy="DIS",VLOOKUP(Investment_Strategy&amp;"_"&amp;Investment_Strategy_Sub1&amp;"_"&amp;$A289,'Investment Strategies'!$AZ:$BP,15,FALSE),
IF(AND(Investment_Strategy="Lifecycle",Investment_Strategy_Sub1="Non-Standard"),VLOOKUP(Investment_Strategy&amp;"_"&amp;Investment_Strategy_Sub2&amp;"_"&amp;$A289,'Investment Strategies'!$C:$P,12,FALSE),
IF(AND(Investment_Strategy="Lifecycle",Investment_Strategy_Sub1="Standard"),VLOOKUP(Investment_Strategy&amp;"_"&amp;Investment_Strategy_Sub2&amp;"_"&amp;$A289,'Investment Strategies'!$AJ:$AV,11,FALSE),
IF(AND(Investment_Strategy="Autopilot",Investment_Strategy_Sub1="Non-Standard"),VLOOKUP(Investment_Strategy&amp;"_"&amp;Investment_Strategy_Sub2&amp;"_"&amp;$A289,'Investment Strategies'!$T:$AF,11,FALSE),
IF(Investment_Strategy="DIY",DIY_GteeChrge_FuturePremiums,
"Error"))))))</f>
        <v>0</v>
      </c>
      <c r="V289" s="33">
        <f>IF(AV289=0,0,
IF(Investment_Strategy="DIS",VLOOKUP(Investment_Strategy&amp;"_"&amp;Investment_Strategy_Sub1&amp;"_"&amp;$A289,'Investment Strategies'!$AZ:$BP,17,FALSE),
IF(AND(Investment_Strategy="Lifecycle",Investment_Strategy_Sub1="Non-Standard"),VLOOKUP(Investment_Strategy&amp;"_"&amp;Investment_Strategy_Sub2&amp;"_"&amp;$A289,'Investment Strategies'!$C:$P,14,FALSE),
IF(AND(Investment_Strategy="Lifecycle",Investment_Strategy_Sub1="Standard"),VLOOKUP(Investment_Strategy&amp;"_"&amp;Investment_Strategy_Sub2&amp;"_"&amp;$A289,'Investment Strategies'!$AJ:$AV,13,FALSE),
IF(AND(Investment_Strategy="Autopilot",Investment_Strategy_Sub1="Non-Standard"),VLOOKUP(Investment_Strategy&amp;"_"&amp;Investment_Strategy_Sub2&amp;"_"&amp;$A289,'Investment Strategies'!$T:$AF,13,FALSE),
IF(Investment_Strategy="DIY",DIY_ExtManChrge_FuturePremiums,
"Error"))))))</f>
        <v>0</v>
      </c>
      <c r="W289" s="16">
        <f t="shared" si="188"/>
        <v>0</v>
      </c>
      <c r="X289" s="16">
        <f t="shared" si="163"/>
        <v>0</v>
      </c>
      <c r="Y289" s="16">
        <f t="shared" si="164"/>
        <v>0</v>
      </c>
      <c r="Z289" s="31">
        <f t="shared" si="165"/>
        <v>0.02</v>
      </c>
      <c r="AA289" s="16">
        <f t="shared" si="166"/>
        <v>0</v>
      </c>
      <c r="AB289" s="28">
        <f t="shared" si="189"/>
        <v>0</v>
      </c>
      <c r="AC289" s="28">
        <f>(SUM($AC$91:AC288)+SUM($X$91:X288)+X289)*T289*IF(D289=$A$91,SRP_finalmonthfactor,1)</f>
        <v>0</v>
      </c>
      <c r="AD289" s="16">
        <f t="shared" si="167"/>
        <v>0</v>
      </c>
      <c r="AE289" s="106"/>
      <c r="AF289" s="16">
        <f t="shared" si="176"/>
        <v>0</v>
      </c>
      <c r="AG289" s="16">
        <f t="shared" si="177"/>
        <v>0</v>
      </c>
      <c r="AH289" s="16">
        <f t="shared" si="178"/>
        <v>0</v>
      </c>
      <c r="AJ289" s="13">
        <f t="shared" si="158"/>
        <v>0</v>
      </c>
      <c r="AK289" s="13">
        <f t="shared" si="158"/>
        <v>0</v>
      </c>
      <c r="AL289" s="13">
        <f t="shared" si="158"/>
        <v>0</v>
      </c>
      <c r="AM289" s="13">
        <f t="shared" si="158"/>
        <v>0</v>
      </c>
      <c r="AN289" s="13">
        <f t="shared" si="158"/>
        <v>0</v>
      </c>
      <c r="AO289" s="13">
        <f t="shared" si="158"/>
        <v>1</v>
      </c>
      <c r="AP289" s="13">
        <f t="shared" si="158"/>
        <v>1</v>
      </c>
      <c r="AQ289" s="13">
        <f t="shared" si="158"/>
        <v>1</v>
      </c>
      <c r="AR289" s="13">
        <f t="shared" si="158"/>
        <v>1</v>
      </c>
      <c r="AS289" s="13">
        <f t="shared" si="158"/>
        <v>1</v>
      </c>
      <c r="AT289" s="13">
        <f t="shared" si="158"/>
        <v>1</v>
      </c>
      <c r="AU289" s="13">
        <f t="shared" si="158"/>
        <v>1</v>
      </c>
      <c r="AV289" s="13">
        <f t="shared" si="168"/>
        <v>0</v>
      </c>
      <c r="AW289" s="13">
        <f t="shared" si="169"/>
        <v>1</v>
      </c>
      <c r="AY289" s="17">
        <f t="shared" si="170"/>
        <v>199</v>
      </c>
      <c r="AZ289" s="28">
        <f t="shared" si="179"/>
        <v>0</v>
      </c>
      <c r="BA289" s="13">
        <f t="shared" si="171"/>
        <v>0</v>
      </c>
      <c r="BB289" s="13">
        <f t="shared" si="172"/>
        <v>0</v>
      </c>
      <c r="BC289" s="28">
        <f t="shared" si="180"/>
        <v>0</v>
      </c>
      <c r="BD289" s="28">
        <f t="shared" si="181"/>
        <v>0</v>
      </c>
      <c r="BF289" s="248">
        <f t="shared" si="182"/>
        <v>993869.29442638322</v>
      </c>
      <c r="BG289" s="36">
        <f t="shared" si="190"/>
        <v>0</v>
      </c>
      <c r="BH289" s="36">
        <f t="shared" si="191"/>
        <v>841399.56637650658</v>
      </c>
      <c r="BI289" s="249">
        <f t="shared" si="192"/>
        <v>0</v>
      </c>
      <c r="BJ289" s="246">
        <f t="shared" si="193"/>
        <v>0</v>
      </c>
      <c r="BK289" s="246">
        <f t="shared" si="173"/>
        <v>7.531116566323881E-4</v>
      </c>
      <c r="BL289" s="246">
        <f t="shared" si="194"/>
        <v>0</v>
      </c>
      <c r="BM289" s="246">
        <f t="shared" si="195"/>
        <v>7.531116566323881E-4</v>
      </c>
      <c r="BN289" s="36">
        <f t="shared" si="183"/>
        <v>633.66782132358389</v>
      </c>
      <c r="BO289" s="36">
        <f t="shared" si="196"/>
        <v>0</v>
      </c>
      <c r="BP289" s="36">
        <f t="shared" si="197"/>
        <v>840765.89855518297</v>
      </c>
    </row>
    <row r="290" spans="1:68">
      <c r="A290" s="32">
        <f t="shared" si="184"/>
        <v>-115</v>
      </c>
      <c r="B290" s="32">
        <f t="shared" si="174"/>
        <v>69</v>
      </c>
      <c r="C290" s="32">
        <f t="shared" si="185"/>
        <v>17</v>
      </c>
      <c r="D290" s="32">
        <f t="shared" si="186"/>
        <v>200</v>
      </c>
      <c r="E290" s="74">
        <f>MIN(IF(AV290=0,0,
IF(Investment_Strategy="DIS",VLOOKUP(Investment_Strategy&amp;"_"&amp;Investment_Strategy_Sub1&amp;"_"&amp;$A290,'Investment Strategies'!$AZ:$BP,12,FALSE),
IF(AND(Investment_Strategy="Lifecycle",Investment_Strategy_Sub1="Non-Standard"),VLOOKUP(Investment_Strategy&amp;"_"&amp;Investment_Strategy_Sub2&amp;"_"&amp;$A290,'Investment Strategies'!$C:$P,9,FALSE),
IF(AND(Investment_Strategy="Lifecycle",Investment_Strategy_Sub1="Standard"),VLOOKUP(Investment_Strategy&amp;"_"&amp;Investment_Strategy_Sub2&amp;"_"&amp;$A290,'Investment Strategies'!$AJ:$AV,8,FALSE),
IF(AND(Investment_Strategy="Autopilot",Investment_Strategy_Sub1="Non-Standard"),VLOOKUP(Investment_Strategy&amp;"_"&amp;Investment_Strategy_Sub2&amp;"_"&amp;$A290,'Investment Strategies'!$T:$AF,8,FALSE),
IF(Investment_Strategy ="DIY",DIY_RateOfReturn_CurrentFunds,
"Error")))))),Max_InvReturn)</f>
        <v>0</v>
      </c>
      <c r="F290" s="62">
        <f>IF(AV290=0,0,
IF(Investment_Strategy="DIS",VLOOKUP(Investment_Strategy&amp;"_"&amp;Investment_Strategy_Sub1&amp;"_"&amp;$A290,'Investment Strategies'!$AZ:$BP,15,FALSE),
IF(AND(Investment_Strategy="Lifecycle",Investment_Strategy_Sub1="Non-Standard"),VLOOKUP(Investment_Strategy&amp;"_"&amp;Investment_Strategy_Sub2&amp;"_"&amp;$A290,'Investment Strategies'!$C:$P,12,FALSE),
IF(AND(Investment_Strategy="Lifecycle",Investment_Strategy_Sub1="Standard"),VLOOKUP(Investment_Strategy&amp;"_"&amp;Investment_Strategy_Sub2&amp;"_"&amp;$A290,'Investment Strategies'!$AJ:$AV,11,FALSE),
IF(AND(Investment_Strategy="Autopilot",Investment_Strategy_Sub1="Non-Standard"),VLOOKUP(Investment_Strategy&amp;"_"&amp;Investment_Strategy_Sub2&amp;"_"&amp;$A290,'Investment Strategies'!$T:$AF,11,FALSE),
IF(Investment_Strategy="DIY",DIY_GteeChrge_CurrentFunds,
"Error"))))))</f>
        <v>0</v>
      </c>
      <c r="G290" s="33">
        <f>IF(AV290=0,0,
IF(Investment_Strategy="DIS",VLOOKUP(Investment_Strategy&amp;"_"&amp;Investment_Strategy_Sub1&amp;"_"&amp;$A290,'Investment Strategies'!$AZ:$BP,17,FALSE),
IF(AND(Investment_Strategy="Lifecycle",Investment_Strategy_Sub1="Non-Standard"),VLOOKUP(Investment_Strategy&amp;"_"&amp;Investment_Strategy_Sub2&amp;"_"&amp;$A290,'Investment Strategies'!$C:$P,14,FALSE),
IF(AND(Investment_Strategy="Lifecycle",Investment_Strategy_Sub1="Standard"),VLOOKUP(Investment_Strategy&amp;"_"&amp;Investment_Strategy_Sub2&amp;"_"&amp;$A290,'Investment Strategies'!$AJ:$AV,13,FALSE),
IF(AND(Investment_Strategy="Autopilot",Investment_Strategy_Sub1="Non-Standard"),VLOOKUP(Investment_Strategy&amp;"_"&amp;Investment_Strategy_Sub2&amp;"_"&amp;$A290,'Investment Strategies'!$T:$AF,13,FALSE),
IF(Investment_Strategy="DIY",DIY_ExtManChrge_CurrentFunds,
"Error"))))))</f>
        <v>0</v>
      </c>
      <c r="H290" s="16">
        <f t="shared" si="175"/>
        <v>0</v>
      </c>
      <c r="I290" s="16">
        <f t="shared" si="159"/>
        <v>0</v>
      </c>
      <c r="J290" s="16">
        <f t="shared" si="160"/>
        <v>0</v>
      </c>
      <c r="K290" s="16">
        <f>(Opening_Fund_Value+SUM(K$91:K289))*E290*IF(D290=$A$91,SRP_finalmonthfactor,1)</f>
        <v>0</v>
      </c>
      <c r="L290" s="74">
        <f>MIN(IF($AV290=0,0,
IF(Investment_Strategy="DIS",VLOOKUP(Investment_Strategy&amp;"_"&amp;Investment_Strategy_Sub1&amp;"_"&amp;$A290,'Investment Strategies'!$AZ:$BP,12,FALSE),
IF(AND(Investment_Strategy="Lifecycle",Investment_Strategy_Sub1="Non-Standard"),VLOOKUP(Investment_Strategy&amp;"_"&amp;Investment_Strategy_Sub2&amp;"_"&amp;$A290,'Investment Strategies'!$C:$P,9,FALSE),
IF(AND(Investment_Strategy="Lifecycle",Investment_Strategy_Sub1="Standard"),VLOOKUP(Investment_Strategy&amp;"_"&amp;Investment_Strategy_Sub2&amp;"_"&amp;$A290,'Investment Strategies'!$AJ:$AV,8,FALSE),
IF(AND(Investment_Strategy="Autopilot",Investment_Strategy_Sub1="Non-Standard"),VLOOKUP(Investment_Strategy&amp;"_"&amp;Investment_Strategy_Sub2&amp;"_"&amp;$A290,'Investment Strategies'!$T:$AF,8,FALSE),
IF(Investment_Strategy ="DIY",DIY_RateofReturn_SP,
"Error")))))),Max_InvReturn)</f>
        <v>0</v>
      </c>
      <c r="M290" s="62">
        <f>IF($AV290=0,0,
IF(Investment_Strategy="DIS",VLOOKUP(Investment_Strategy&amp;"_"&amp;Investment_Strategy_Sub1&amp;"_"&amp;$A290,'Investment Strategies'!$AZ:$BP,15,FALSE),
IF(AND(Investment_Strategy="Lifecycle",Investment_Strategy_Sub1="Non-Standard"),VLOOKUP(Investment_Strategy&amp;"_"&amp;Investment_Strategy_Sub2&amp;"_"&amp;$A290,'Investment Strategies'!$C:$P,12,FALSE),
IF(AND(Investment_Strategy="Lifecycle",Investment_Strategy_Sub1="Standard"),VLOOKUP(Investment_Strategy&amp;"_"&amp;Investment_Strategy_Sub2&amp;"_"&amp;$A290,'Investment Strategies'!$AJ:$AV,11,FALSE),
IF(AND(Investment_Strategy="Autopilot",Investment_Strategy_Sub1="Non-Standard"),VLOOKUP(Investment_Strategy&amp;"_"&amp;Investment_Strategy_Sub2&amp;"_"&amp;$A290,'Investment Strategies'!$T:$AF,11,FALSE),
IF(Investment_Strategy="DIY",DIY_GteeChrge_SP,
"Error"))))))</f>
        <v>0</v>
      </c>
      <c r="N290" s="33">
        <f>IF($AV290=0,0,
IF(Investment_Strategy="DIS",VLOOKUP(Investment_Strategy&amp;"_"&amp;Investment_Strategy_Sub1&amp;"_"&amp;$A290,'Investment Strategies'!$AZ:$BP,17,FALSE),
IF(AND(Investment_Strategy="Lifecycle",Investment_Strategy_Sub1="Non-Standard"),VLOOKUP(Investment_Strategy&amp;"_"&amp;Investment_Strategy_Sub2&amp;"_"&amp;$A290,'Investment Strategies'!$C:$P,14,FALSE),
IF(AND(Investment_Strategy="Lifecycle",Investment_Strategy_Sub1="Standard"),VLOOKUP(Investment_Strategy&amp;"_"&amp;Investment_Strategy_Sub2&amp;"_"&amp;$A290,'Investment Strategies'!$AJ:$AV,13,FALSE),
IF(AND(Investment_Strategy="Autopilot",Investment_Strategy_Sub1="Non-Standard"),VLOOKUP(Investment_Strategy&amp;"_"&amp;Investment_Strategy_Sub2&amp;"_"&amp;$A290,'Investment Strategies'!$T:$AF,13,FALSE),
IF(Investment_Strategy="DIY",DIY_ExtManChrge_SP,
"Error"))))))</f>
        <v>0</v>
      </c>
      <c r="O290" s="16">
        <f t="shared" si="187"/>
        <v>0</v>
      </c>
      <c r="Q290" s="16">
        <f t="shared" si="161"/>
        <v>0</v>
      </c>
      <c r="R290" s="16">
        <f t="shared" si="162"/>
        <v>0</v>
      </c>
      <c r="S290" s="16">
        <f>(SRP_SP+SUM(S$91:S289))*L290*IF(D290=$A$91,SRP_finalmonthfactor,1)</f>
        <v>0</v>
      </c>
      <c r="T290" s="74">
        <f>MIN(IF($AV290=0,0,
IF(Investment_Strategy="DIS",VLOOKUP(Investment_Strategy&amp;"_"&amp;Investment_Strategy_Sub1&amp;"_"&amp;$A290,'Investment Strategies'!$AZ:$BP,12,FALSE),
IF(AND(Investment_Strategy="Lifecycle",Investment_Strategy_Sub1="Non-Standard"),VLOOKUP(Investment_Strategy&amp;"_"&amp;Investment_Strategy_Sub2&amp;"_"&amp;$A290,'Investment Strategies'!$C:$P,9,FALSE),
IF(AND(Investment_Strategy="Lifecycle",Investment_Strategy_Sub1="Standard"),VLOOKUP(Investment_Strategy&amp;"_"&amp;Investment_Strategy_Sub2&amp;"_"&amp;$A290,'Investment Strategies'!$AJ:$AV,8,FALSE),
IF(AND(Investment_Strategy="Autopilot",Investment_Strategy_Sub1="Non-Standard"),VLOOKUP(Investment_Strategy&amp;"_"&amp;Investment_Strategy_Sub2&amp;"_"&amp;$A290,'Investment Strategies'!$T:$AF,8,FALSE),
IF(Investment_Strategy ="DIY",DIY_RateOfReturn_FuturePremiums,
"Error")))))),Max_InvReturn)</f>
        <v>0</v>
      </c>
      <c r="U290" s="62">
        <f>IF($AV290=0,0,
IF(Investment_Strategy="DIS",VLOOKUP(Investment_Strategy&amp;"_"&amp;Investment_Strategy_Sub1&amp;"_"&amp;$A290,'Investment Strategies'!$AZ:$BP,15,FALSE),
IF(AND(Investment_Strategy="Lifecycle",Investment_Strategy_Sub1="Non-Standard"),VLOOKUP(Investment_Strategy&amp;"_"&amp;Investment_Strategy_Sub2&amp;"_"&amp;$A290,'Investment Strategies'!$C:$P,12,FALSE),
IF(AND(Investment_Strategy="Lifecycle",Investment_Strategy_Sub1="Standard"),VLOOKUP(Investment_Strategy&amp;"_"&amp;Investment_Strategy_Sub2&amp;"_"&amp;$A290,'Investment Strategies'!$AJ:$AV,11,FALSE),
IF(AND(Investment_Strategy="Autopilot",Investment_Strategy_Sub1="Non-Standard"),VLOOKUP(Investment_Strategy&amp;"_"&amp;Investment_Strategy_Sub2&amp;"_"&amp;$A290,'Investment Strategies'!$T:$AF,11,FALSE),
IF(Investment_Strategy="DIY",DIY_GteeChrge_FuturePremiums,
"Error"))))))</f>
        <v>0</v>
      </c>
      <c r="V290" s="33">
        <f>IF(AV290=0,0,
IF(Investment_Strategy="DIS",VLOOKUP(Investment_Strategy&amp;"_"&amp;Investment_Strategy_Sub1&amp;"_"&amp;$A290,'Investment Strategies'!$AZ:$BP,17,FALSE),
IF(AND(Investment_Strategy="Lifecycle",Investment_Strategy_Sub1="Non-Standard"),VLOOKUP(Investment_Strategy&amp;"_"&amp;Investment_Strategy_Sub2&amp;"_"&amp;$A290,'Investment Strategies'!$C:$P,14,FALSE),
IF(AND(Investment_Strategy="Lifecycle",Investment_Strategy_Sub1="Standard"),VLOOKUP(Investment_Strategy&amp;"_"&amp;Investment_Strategy_Sub2&amp;"_"&amp;$A290,'Investment Strategies'!$AJ:$AV,13,FALSE),
IF(AND(Investment_Strategy="Autopilot",Investment_Strategy_Sub1="Non-Standard"),VLOOKUP(Investment_Strategy&amp;"_"&amp;Investment_Strategy_Sub2&amp;"_"&amp;$A290,'Investment Strategies'!$T:$AF,13,FALSE),
IF(Investment_Strategy="DIY",DIY_ExtManChrge_FuturePremiums,
"Error"))))))</f>
        <v>0</v>
      </c>
      <c r="W290" s="16">
        <f t="shared" si="188"/>
        <v>0</v>
      </c>
      <c r="X290" s="16">
        <f t="shared" si="163"/>
        <v>0</v>
      </c>
      <c r="Y290" s="16">
        <f t="shared" si="164"/>
        <v>0</v>
      </c>
      <c r="Z290" s="31">
        <f t="shared" si="165"/>
        <v>0.02</v>
      </c>
      <c r="AA290" s="16">
        <f t="shared" si="166"/>
        <v>0</v>
      </c>
      <c r="AB290" s="28">
        <f t="shared" si="189"/>
        <v>0</v>
      </c>
      <c r="AC290" s="28">
        <f>(SUM($AC$91:AC289)+SUM($X$91:X289)+X290)*T290*IF(D290=$A$91,SRP_finalmonthfactor,1)</f>
        <v>0</v>
      </c>
      <c r="AD290" s="16">
        <f t="shared" si="167"/>
        <v>0</v>
      </c>
      <c r="AE290" s="106"/>
      <c r="AF290" s="16">
        <f t="shared" si="176"/>
        <v>0</v>
      </c>
      <c r="AG290" s="16">
        <f t="shared" si="177"/>
        <v>0</v>
      </c>
      <c r="AH290" s="16">
        <f t="shared" si="178"/>
        <v>0</v>
      </c>
      <c r="AJ290" s="13">
        <f t="shared" si="158"/>
        <v>0</v>
      </c>
      <c r="AK290" s="13">
        <f t="shared" si="158"/>
        <v>0</v>
      </c>
      <c r="AL290" s="13">
        <f t="shared" si="158"/>
        <v>0</v>
      </c>
      <c r="AM290" s="13">
        <f t="shared" si="158"/>
        <v>0</v>
      </c>
      <c r="AN290" s="13">
        <f t="shared" si="158"/>
        <v>0</v>
      </c>
      <c r="AO290" s="13">
        <f t="shared" si="158"/>
        <v>1</v>
      </c>
      <c r="AP290" s="13">
        <f t="shared" si="158"/>
        <v>1</v>
      </c>
      <c r="AQ290" s="13">
        <f t="shared" si="158"/>
        <v>1</v>
      </c>
      <c r="AR290" s="13">
        <f t="shared" si="158"/>
        <v>1</v>
      </c>
      <c r="AS290" s="13">
        <f t="shared" si="158"/>
        <v>1</v>
      </c>
      <c r="AT290" s="13">
        <f t="shared" si="158"/>
        <v>1</v>
      </c>
      <c r="AU290" s="13">
        <f t="shared" si="158"/>
        <v>1</v>
      </c>
      <c r="AV290" s="13">
        <f t="shared" si="168"/>
        <v>0</v>
      </c>
      <c r="AW290" s="13">
        <f t="shared" si="169"/>
        <v>1</v>
      </c>
      <c r="AY290" s="17">
        <f t="shared" si="170"/>
        <v>200</v>
      </c>
      <c r="AZ290" s="28">
        <f t="shared" si="179"/>
        <v>0</v>
      </c>
      <c r="BA290" s="13">
        <f t="shared" si="171"/>
        <v>0</v>
      </c>
      <c r="BB290" s="13">
        <f t="shared" si="172"/>
        <v>0</v>
      </c>
      <c r="BC290" s="28">
        <f t="shared" si="180"/>
        <v>0</v>
      </c>
      <c r="BD290" s="28">
        <f t="shared" si="181"/>
        <v>0</v>
      </c>
      <c r="BF290" s="248">
        <f t="shared" si="182"/>
        <v>993869.29442638322</v>
      </c>
      <c r="BG290" s="36">
        <f t="shared" si="190"/>
        <v>0</v>
      </c>
      <c r="BH290" s="36">
        <f t="shared" si="191"/>
        <v>840765.89855518297</v>
      </c>
      <c r="BI290" s="249">
        <f t="shared" si="192"/>
        <v>0</v>
      </c>
      <c r="BJ290" s="246">
        <f t="shared" si="193"/>
        <v>0</v>
      </c>
      <c r="BK290" s="246">
        <f t="shared" si="173"/>
        <v>7.531116566323881E-4</v>
      </c>
      <c r="BL290" s="246">
        <f t="shared" si="194"/>
        <v>0</v>
      </c>
      <c r="BM290" s="246">
        <f t="shared" si="195"/>
        <v>7.531116566323881E-4</v>
      </c>
      <c r="BN290" s="36">
        <f t="shared" si="183"/>
        <v>633.19059870091223</v>
      </c>
      <c r="BO290" s="36">
        <f t="shared" si="196"/>
        <v>0</v>
      </c>
      <c r="BP290" s="36">
        <f t="shared" si="197"/>
        <v>840132.70795648207</v>
      </c>
    </row>
    <row r="291" spans="1:68">
      <c r="A291" s="32">
        <f t="shared" si="184"/>
        <v>-116</v>
      </c>
      <c r="B291" s="32">
        <f t="shared" si="174"/>
        <v>69</v>
      </c>
      <c r="C291" s="32">
        <f t="shared" si="185"/>
        <v>17</v>
      </c>
      <c r="D291" s="32">
        <f t="shared" si="186"/>
        <v>201</v>
      </c>
      <c r="E291" s="74">
        <f>MIN(IF(AV291=0,0,
IF(Investment_Strategy="DIS",VLOOKUP(Investment_Strategy&amp;"_"&amp;Investment_Strategy_Sub1&amp;"_"&amp;$A291,'Investment Strategies'!$AZ:$BP,12,FALSE),
IF(AND(Investment_Strategy="Lifecycle",Investment_Strategy_Sub1="Non-Standard"),VLOOKUP(Investment_Strategy&amp;"_"&amp;Investment_Strategy_Sub2&amp;"_"&amp;$A291,'Investment Strategies'!$C:$P,9,FALSE),
IF(AND(Investment_Strategy="Lifecycle",Investment_Strategy_Sub1="Standard"),VLOOKUP(Investment_Strategy&amp;"_"&amp;Investment_Strategy_Sub2&amp;"_"&amp;$A291,'Investment Strategies'!$AJ:$AV,8,FALSE),
IF(AND(Investment_Strategy="Autopilot",Investment_Strategy_Sub1="Non-Standard"),VLOOKUP(Investment_Strategy&amp;"_"&amp;Investment_Strategy_Sub2&amp;"_"&amp;$A291,'Investment Strategies'!$T:$AF,8,FALSE),
IF(Investment_Strategy ="DIY",DIY_RateOfReturn_CurrentFunds,
"Error")))))),Max_InvReturn)</f>
        <v>0</v>
      </c>
      <c r="F291" s="62">
        <f>IF(AV291=0,0,
IF(Investment_Strategy="DIS",VLOOKUP(Investment_Strategy&amp;"_"&amp;Investment_Strategy_Sub1&amp;"_"&amp;$A291,'Investment Strategies'!$AZ:$BP,15,FALSE),
IF(AND(Investment_Strategy="Lifecycle",Investment_Strategy_Sub1="Non-Standard"),VLOOKUP(Investment_Strategy&amp;"_"&amp;Investment_Strategy_Sub2&amp;"_"&amp;$A291,'Investment Strategies'!$C:$P,12,FALSE),
IF(AND(Investment_Strategy="Lifecycle",Investment_Strategy_Sub1="Standard"),VLOOKUP(Investment_Strategy&amp;"_"&amp;Investment_Strategy_Sub2&amp;"_"&amp;$A291,'Investment Strategies'!$AJ:$AV,11,FALSE),
IF(AND(Investment_Strategy="Autopilot",Investment_Strategy_Sub1="Non-Standard"),VLOOKUP(Investment_Strategy&amp;"_"&amp;Investment_Strategy_Sub2&amp;"_"&amp;$A291,'Investment Strategies'!$T:$AF,11,FALSE),
IF(Investment_Strategy="DIY",DIY_GteeChrge_CurrentFunds,
"Error"))))))</f>
        <v>0</v>
      </c>
      <c r="G291" s="33">
        <f>IF(AV291=0,0,
IF(Investment_Strategy="DIS",VLOOKUP(Investment_Strategy&amp;"_"&amp;Investment_Strategy_Sub1&amp;"_"&amp;$A291,'Investment Strategies'!$AZ:$BP,17,FALSE),
IF(AND(Investment_Strategy="Lifecycle",Investment_Strategy_Sub1="Non-Standard"),VLOOKUP(Investment_Strategy&amp;"_"&amp;Investment_Strategy_Sub2&amp;"_"&amp;$A291,'Investment Strategies'!$C:$P,14,FALSE),
IF(AND(Investment_Strategy="Lifecycle",Investment_Strategy_Sub1="Standard"),VLOOKUP(Investment_Strategy&amp;"_"&amp;Investment_Strategy_Sub2&amp;"_"&amp;$A291,'Investment Strategies'!$AJ:$AV,13,FALSE),
IF(AND(Investment_Strategy="Autopilot",Investment_Strategy_Sub1="Non-Standard"),VLOOKUP(Investment_Strategy&amp;"_"&amp;Investment_Strategy_Sub2&amp;"_"&amp;$A291,'Investment Strategies'!$T:$AF,13,FALSE),
IF(Investment_Strategy="DIY",DIY_ExtManChrge_CurrentFunds,
"Error"))))))</f>
        <v>0</v>
      </c>
      <c r="H291" s="16">
        <f t="shared" si="175"/>
        <v>0</v>
      </c>
      <c r="I291" s="16">
        <f t="shared" si="159"/>
        <v>0</v>
      </c>
      <c r="J291" s="16">
        <f t="shared" si="160"/>
        <v>0</v>
      </c>
      <c r="K291" s="16">
        <f>(Opening_Fund_Value+SUM(K$91:K290))*E291*IF(D291=$A$91,SRP_finalmonthfactor,1)</f>
        <v>0</v>
      </c>
      <c r="L291" s="74">
        <f>MIN(IF($AV291=0,0,
IF(Investment_Strategy="DIS",VLOOKUP(Investment_Strategy&amp;"_"&amp;Investment_Strategy_Sub1&amp;"_"&amp;$A291,'Investment Strategies'!$AZ:$BP,12,FALSE),
IF(AND(Investment_Strategy="Lifecycle",Investment_Strategy_Sub1="Non-Standard"),VLOOKUP(Investment_Strategy&amp;"_"&amp;Investment_Strategy_Sub2&amp;"_"&amp;$A291,'Investment Strategies'!$C:$P,9,FALSE),
IF(AND(Investment_Strategy="Lifecycle",Investment_Strategy_Sub1="Standard"),VLOOKUP(Investment_Strategy&amp;"_"&amp;Investment_Strategy_Sub2&amp;"_"&amp;$A291,'Investment Strategies'!$AJ:$AV,8,FALSE),
IF(AND(Investment_Strategy="Autopilot",Investment_Strategy_Sub1="Non-Standard"),VLOOKUP(Investment_Strategy&amp;"_"&amp;Investment_Strategy_Sub2&amp;"_"&amp;$A291,'Investment Strategies'!$T:$AF,8,FALSE),
IF(Investment_Strategy ="DIY",DIY_RateofReturn_SP,
"Error")))))),Max_InvReturn)</f>
        <v>0</v>
      </c>
      <c r="M291" s="62">
        <f>IF($AV291=0,0,
IF(Investment_Strategy="DIS",VLOOKUP(Investment_Strategy&amp;"_"&amp;Investment_Strategy_Sub1&amp;"_"&amp;$A291,'Investment Strategies'!$AZ:$BP,15,FALSE),
IF(AND(Investment_Strategy="Lifecycle",Investment_Strategy_Sub1="Non-Standard"),VLOOKUP(Investment_Strategy&amp;"_"&amp;Investment_Strategy_Sub2&amp;"_"&amp;$A291,'Investment Strategies'!$C:$P,12,FALSE),
IF(AND(Investment_Strategy="Lifecycle",Investment_Strategy_Sub1="Standard"),VLOOKUP(Investment_Strategy&amp;"_"&amp;Investment_Strategy_Sub2&amp;"_"&amp;$A291,'Investment Strategies'!$AJ:$AV,11,FALSE),
IF(AND(Investment_Strategy="Autopilot",Investment_Strategy_Sub1="Non-Standard"),VLOOKUP(Investment_Strategy&amp;"_"&amp;Investment_Strategy_Sub2&amp;"_"&amp;$A291,'Investment Strategies'!$T:$AF,11,FALSE),
IF(Investment_Strategy="DIY",DIY_GteeChrge_SP,
"Error"))))))</f>
        <v>0</v>
      </c>
      <c r="N291" s="33">
        <f>IF($AV291=0,0,
IF(Investment_Strategy="DIS",VLOOKUP(Investment_Strategy&amp;"_"&amp;Investment_Strategy_Sub1&amp;"_"&amp;$A291,'Investment Strategies'!$AZ:$BP,17,FALSE),
IF(AND(Investment_Strategy="Lifecycle",Investment_Strategy_Sub1="Non-Standard"),VLOOKUP(Investment_Strategy&amp;"_"&amp;Investment_Strategy_Sub2&amp;"_"&amp;$A291,'Investment Strategies'!$C:$P,14,FALSE),
IF(AND(Investment_Strategy="Lifecycle",Investment_Strategy_Sub1="Standard"),VLOOKUP(Investment_Strategy&amp;"_"&amp;Investment_Strategy_Sub2&amp;"_"&amp;$A291,'Investment Strategies'!$AJ:$AV,13,FALSE),
IF(AND(Investment_Strategy="Autopilot",Investment_Strategy_Sub1="Non-Standard"),VLOOKUP(Investment_Strategy&amp;"_"&amp;Investment_Strategy_Sub2&amp;"_"&amp;$A291,'Investment Strategies'!$T:$AF,13,FALSE),
IF(Investment_Strategy="DIY",DIY_ExtManChrge_SP,
"Error"))))))</f>
        <v>0</v>
      </c>
      <c r="O291" s="16">
        <f t="shared" si="187"/>
        <v>0</v>
      </c>
      <c r="Q291" s="16">
        <f t="shared" si="161"/>
        <v>0</v>
      </c>
      <c r="R291" s="16">
        <f t="shared" si="162"/>
        <v>0</v>
      </c>
      <c r="S291" s="16">
        <f>(SRP_SP+SUM(S$91:S290))*L291*IF(D291=$A$91,SRP_finalmonthfactor,1)</f>
        <v>0</v>
      </c>
      <c r="T291" s="74">
        <f>MIN(IF($AV291=0,0,
IF(Investment_Strategy="DIS",VLOOKUP(Investment_Strategy&amp;"_"&amp;Investment_Strategy_Sub1&amp;"_"&amp;$A291,'Investment Strategies'!$AZ:$BP,12,FALSE),
IF(AND(Investment_Strategy="Lifecycle",Investment_Strategy_Sub1="Non-Standard"),VLOOKUP(Investment_Strategy&amp;"_"&amp;Investment_Strategy_Sub2&amp;"_"&amp;$A291,'Investment Strategies'!$C:$P,9,FALSE),
IF(AND(Investment_Strategy="Lifecycle",Investment_Strategy_Sub1="Standard"),VLOOKUP(Investment_Strategy&amp;"_"&amp;Investment_Strategy_Sub2&amp;"_"&amp;$A291,'Investment Strategies'!$AJ:$AV,8,FALSE),
IF(AND(Investment_Strategy="Autopilot",Investment_Strategy_Sub1="Non-Standard"),VLOOKUP(Investment_Strategy&amp;"_"&amp;Investment_Strategy_Sub2&amp;"_"&amp;$A291,'Investment Strategies'!$T:$AF,8,FALSE),
IF(Investment_Strategy ="DIY",DIY_RateOfReturn_FuturePremiums,
"Error")))))),Max_InvReturn)</f>
        <v>0</v>
      </c>
      <c r="U291" s="62">
        <f>IF($AV291=0,0,
IF(Investment_Strategy="DIS",VLOOKUP(Investment_Strategy&amp;"_"&amp;Investment_Strategy_Sub1&amp;"_"&amp;$A291,'Investment Strategies'!$AZ:$BP,15,FALSE),
IF(AND(Investment_Strategy="Lifecycle",Investment_Strategy_Sub1="Non-Standard"),VLOOKUP(Investment_Strategy&amp;"_"&amp;Investment_Strategy_Sub2&amp;"_"&amp;$A291,'Investment Strategies'!$C:$P,12,FALSE),
IF(AND(Investment_Strategy="Lifecycle",Investment_Strategy_Sub1="Standard"),VLOOKUP(Investment_Strategy&amp;"_"&amp;Investment_Strategy_Sub2&amp;"_"&amp;$A291,'Investment Strategies'!$AJ:$AV,11,FALSE),
IF(AND(Investment_Strategy="Autopilot",Investment_Strategy_Sub1="Non-Standard"),VLOOKUP(Investment_Strategy&amp;"_"&amp;Investment_Strategy_Sub2&amp;"_"&amp;$A291,'Investment Strategies'!$T:$AF,11,FALSE),
IF(Investment_Strategy="DIY",DIY_GteeChrge_FuturePremiums,
"Error"))))))</f>
        <v>0</v>
      </c>
      <c r="V291" s="33">
        <f>IF(AV291=0,0,
IF(Investment_Strategy="DIS",VLOOKUP(Investment_Strategy&amp;"_"&amp;Investment_Strategy_Sub1&amp;"_"&amp;$A291,'Investment Strategies'!$AZ:$BP,17,FALSE),
IF(AND(Investment_Strategy="Lifecycle",Investment_Strategy_Sub1="Non-Standard"),VLOOKUP(Investment_Strategy&amp;"_"&amp;Investment_Strategy_Sub2&amp;"_"&amp;$A291,'Investment Strategies'!$C:$P,14,FALSE),
IF(AND(Investment_Strategy="Lifecycle",Investment_Strategy_Sub1="Standard"),VLOOKUP(Investment_Strategy&amp;"_"&amp;Investment_Strategy_Sub2&amp;"_"&amp;$A291,'Investment Strategies'!$AJ:$AV,13,FALSE),
IF(AND(Investment_Strategy="Autopilot",Investment_Strategy_Sub1="Non-Standard"),VLOOKUP(Investment_Strategy&amp;"_"&amp;Investment_Strategy_Sub2&amp;"_"&amp;$A291,'Investment Strategies'!$T:$AF,13,FALSE),
IF(Investment_Strategy="DIY",DIY_ExtManChrge_FuturePremiums,
"Error"))))))</f>
        <v>0</v>
      </c>
      <c r="W291" s="16">
        <f t="shared" si="188"/>
        <v>0</v>
      </c>
      <c r="X291" s="16">
        <f t="shared" si="163"/>
        <v>0</v>
      </c>
      <c r="Y291" s="16">
        <f t="shared" si="164"/>
        <v>0</v>
      </c>
      <c r="Z291" s="31">
        <f t="shared" si="165"/>
        <v>0.02</v>
      </c>
      <c r="AA291" s="16">
        <f t="shared" si="166"/>
        <v>0</v>
      </c>
      <c r="AB291" s="28">
        <f t="shared" si="189"/>
        <v>0</v>
      </c>
      <c r="AC291" s="28">
        <f>(SUM($AC$91:AC290)+SUM($X$91:X290)+X291)*T291*IF(D291=$A$91,SRP_finalmonthfactor,1)</f>
        <v>0</v>
      </c>
      <c r="AD291" s="16">
        <f t="shared" si="167"/>
        <v>0</v>
      </c>
      <c r="AE291" s="106"/>
      <c r="AF291" s="16">
        <f t="shared" si="176"/>
        <v>0</v>
      </c>
      <c r="AG291" s="16">
        <f t="shared" si="177"/>
        <v>0</v>
      </c>
      <c r="AH291" s="16">
        <f t="shared" si="178"/>
        <v>0</v>
      </c>
      <c r="AJ291" s="13">
        <f t="shared" ref="AJ291:AU300" si="198">IF($C291&lt;=AJ$90,1,0)</f>
        <v>0</v>
      </c>
      <c r="AK291" s="13">
        <f t="shared" si="198"/>
        <v>0</v>
      </c>
      <c r="AL291" s="13">
        <f t="shared" si="198"/>
        <v>0</v>
      </c>
      <c r="AM291" s="13">
        <f t="shared" si="198"/>
        <v>0</v>
      </c>
      <c r="AN291" s="13">
        <f t="shared" si="198"/>
        <v>0</v>
      </c>
      <c r="AO291" s="13">
        <f t="shared" si="198"/>
        <v>1</v>
      </c>
      <c r="AP291" s="13">
        <f t="shared" si="198"/>
        <v>1</v>
      </c>
      <c r="AQ291" s="13">
        <f t="shared" si="198"/>
        <v>1</v>
      </c>
      <c r="AR291" s="13">
        <f t="shared" si="198"/>
        <v>1</v>
      </c>
      <c r="AS291" s="13">
        <f t="shared" si="198"/>
        <v>1</v>
      </c>
      <c r="AT291" s="13">
        <f t="shared" si="198"/>
        <v>1</v>
      </c>
      <c r="AU291" s="13">
        <f t="shared" si="198"/>
        <v>1</v>
      </c>
      <c r="AV291" s="13">
        <f t="shared" si="168"/>
        <v>0</v>
      </c>
      <c r="AW291" s="13">
        <f t="shared" si="169"/>
        <v>1</v>
      </c>
      <c r="AY291" s="17">
        <f t="shared" si="170"/>
        <v>201</v>
      </c>
      <c r="AZ291" s="28">
        <f t="shared" si="179"/>
        <v>0</v>
      </c>
      <c r="BA291" s="13">
        <f t="shared" si="171"/>
        <v>0</v>
      </c>
      <c r="BB291" s="13">
        <f t="shared" si="172"/>
        <v>0</v>
      </c>
      <c r="BC291" s="28">
        <f t="shared" si="180"/>
        <v>0</v>
      </c>
      <c r="BD291" s="28">
        <f t="shared" si="181"/>
        <v>0</v>
      </c>
      <c r="BF291" s="248">
        <f t="shared" si="182"/>
        <v>993869.29442638322</v>
      </c>
      <c r="BG291" s="36">
        <f t="shared" si="190"/>
        <v>0</v>
      </c>
      <c r="BH291" s="36">
        <f t="shared" si="191"/>
        <v>840132.70795648207</v>
      </c>
      <c r="BI291" s="249">
        <f t="shared" si="192"/>
        <v>0</v>
      </c>
      <c r="BJ291" s="246">
        <f t="shared" si="193"/>
        <v>0</v>
      </c>
      <c r="BK291" s="246">
        <f t="shared" si="173"/>
        <v>7.531116566323881E-4</v>
      </c>
      <c r="BL291" s="246">
        <f t="shared" si="194"/>
        <v>0</v>
      </c>
      <c r="BM291" s="246">
        <f t="shared" si="195"/>
        <v>7.531116566323881E-4</v>
      </c>
      <c r="BN291" s="36">
        <f t="shared" si="183"/>
        <v>632.71373548016049</v>
      </c>
      <c r="BO291" s="36">
        <f t="shared" si="196"/>
        <v>0</v>
      </c>
      <c r="BP291" s="36">
        <f t="shared" si="197"/>
        <v>839499.99422100186</v>
      </c>
    </row>
    <row r="292" spans="1:68">
      <c r="A292" s="32">
        <f t="shared" si="184"/>
        <v>-117</v>
      </c>
      <c r="B292" s="32">
        <f t="shared" si="174"/>
        <v>69</v>
      </c>
      <c r="C292" s="32">
        <f t="shared" si="185"/>
        <v>17</v>
      </c>
      <c r="D292" s="32">
        <f t="shared" si="186"/>
        <v>202</v>
      </c>
      <c r="E292" s="74">
        <f>MIN(IF(AV292=0,0,
IF(Investment_Strategy="DIS",VLOOKUP(Investment_Strategy&amp;"_"&amp;Investment_Strategy_Sub1&amp;"_"&amp;$A292,'Investment Strategies'!$AZ:$BP,12,FALSE),
IF(AND(Investment_Strategy="Lifecycle",Investment_Strategy_Sub1="Non-Standard"),VLOOKUP(Investment_Strategy&amp;"_"&amp;Investment_Strategy_Sub2&amp;"_"&amp;$A292,'Investment Strategies'!$C:$P,9,FALSE),
IF(AND(Investment_Strategy="Lifecycle",Investment_Strategy_Sub1="Standard"),VLOOKUP(Investment_Strategy&amp;"_"&amp;Investment_Strategy_Sub2&amp;"_"&amp;$A292,'Investment Strategies'!$AJ:$AV,8,FALSE),
IF(AND(Investment_Strategy="Autopilot",Investment_Strategy_Sub1="Non-Standard"),VLOOKUP(Investment_Strategy&amp;"_"&amp;Investment_Strategy_Sub2&amp;"_"&amp;$A292,'Investment Strategies'!$T:$AF,8,FALSE),
IF(Investment_Strategy ="DIY",DIY_RateOfReturn_CurrentFunds,
"Error")))))),Max_InvReturn)</f>
        <v>0</v>
      </c>
      <c r="F292" s="62">
        <f>IF(AV292=0,0,
IF(Investment_Strategy="DIS",VLOOKUP(Investment_Strategy&amp;"_"&amp;Investment_Strategy_Sub1&amp;"_"&amp;$A292,'Investment Strategies'!$AZ:$BP,15,FALSE),
IF(AND(Investment_Strategy="Lifecycle",Investment_Strategy_Sub1="Non-Standard"),VLOOKUP(Investment_Strategy&amp;"_"&amp;Investment_Strategy_Sub2&amp;"_"&amp;$A292,'Investment Strategies'!$C:$P,12,FALSE),
IF(AND(Investment_Strategy="Lifecycle",Investment_Strategy_Sub1="Standard"),VLOOKUP(Investment_Strategy&amp;"_"&amp;Investment_Strategy_Sub2&amp;"_"&amp;$A292,'Investment Strategies'!$AJ:$AV,11,FALSE),
IF(AND(Investment_Strategy="Autopilot",Investment_Strategy_Sub1="Non-Standard"),VLOOKUP(Investment_Strategy&amp;"_"&amp;Investment_Strategy_Sub2&amp;"_"&amp;$A292,'Investment Strategies'!$T:$AF,11,FALSE),
IF(Investment_Strategy="DIY",DIY_GteeChrge_CurrentFunds,
"Error"))))))</f>
        <v>0</v>
      </c>
      <c r="G292" s="33">
        <f>IF(AV292=0,0,
IF(Investment_Strategy="DIS",VLOOKUP(Investment_Strategy&amp;"_"&amp;Investment_Strategy_Sub1&amp;"_"&amp;$A292,'Investment Strategies'!$AZ:$BP,17,FALSE),
IF(AND(Investment_Strategy="Lifecycle",Investment_Strategy_Sub1="Non-Standard"),VLOOKUP(Investment_Strategy&amp;"_"&amp;Investment_Strategy_Sub2&amp;"_"&amp;$A292,'Investment Strategies'!$C:$P,14,FALSE),
IF(AND(Investment_Strategy="Lifecycle",Investment_Strategy_Sub1="Standard"),VLOOKUP(Investment_Strategy&amp;"_"&amp;Investment_Strategy_Sub2&amp;"_"&amp;$A292,'Investment Strategies'!$AJ:$AV,13,FALSE),
IF(AND(Investment_Strategy="Autopilot",Investment_Strategy_Sub1="Non-Standard"),VLOOKUP(Investment_Strategy&amp;"_"&amp;Investment_Strategy_Sub2&amp;"_"&amp;$A292,'Investment Strategies'!$T:$AF,13,FALSE),
IF(Investment_Strategy="DIY",DIY_ExtManChrge_CurrentFunds,
"Error"))))))</f>
        <v>0</v>
      </c>
      <c r="H292" s="16">
        <f t="shared" si="175"/>
        <v>0</v>
      </c>
      <c r="I292" s="16">
        <f t="shared" si="159"/>
        <v>0</v>
      </c>
      <c r="J292" s="16">
        <f t="shared" si="160"/>
        <v>0</v>
      </c>
      <c r="K292" s="16">
        <f>(Opening_Fund_Value+SUM(K$91:K291))*E292*IF(D292=$A$91,SRP_finalmonthfactor,1)</f>
        <v>0</v>
      </c>
      <c r="L292" s="74">
        <f>MIN(IF($AV292=0,0,
IF(Investment_Strategy="DIS",VLOOKUP(Investment_Strategy&amp;"_"&amp;Investment_Strategy_Sub1&amp;"_"&amp;$A292,'Investment Strategies'!$AZ:$BP,12,FALSE),
IF(AND(Investment_Strategy="Lifecycle",Investment_Strategy_Sub1="Non-Standard"),VLOOKUP(Investment_Strategy&amp;"_"&amp;Investment_Strategy_Sub2&amp;"_"&amp;$A292,'Investment Strategies'!$C:$P,9,FALSE),
IF(AND(Investment_Strategy="Lifecycle",Investment_Strategy_Sub1="Standard"),VLOOKUP(Investment_Strategy&amp;"_"&amp;Investment_Strategy_Sub2&amp;"_"&amp;$A292,'Investment Strategies'!$AJ:$AV,8,FALSE),
IF(AND(Investment_Strategy="Autopilot",Investment_Strategy_Sub1="Non-Standard"),VLOOKUP(Investment_Strategy&amp;"_"&amp;Investment_Strategy_Sub2&amp;"_"&amp;$A292,'Investment Strategies'!$T:$AF,8,FALSE),
IF(Investment_Strategy ="DIY",DIY_RateofReturn_SP,
"Error")))))),Max_InvReturn)</f>
        <v>0</v>
      </c>
      <c r="M292" s="62">
        <f>IF($AV292=0,0,
IF(Investment_Strategy="DIS",VLOOKUP(Investment_Strategy&amp;"_"&amp;Investment_Strategy_Sub1&amp;"_"&amp;$A292,'Investment Strategies'!$AZ:$BP,15,FALSE),
IF(AND(Investment_Strategy="Lifecycle",Investment_Strategy_Sub1="Non-Standard"),VLOOKUP(Investment_Strategy&amp;"_"&amp;Investment_Strategy_Sub2&amp;"_"&amp;$A292,'Investment Strategies'!$C:$P,12,FALSE),
IF(AND(Investment_Strategy="Lifecycle",Investment_Strategy_Sub1="Standard"),VLOOKUP(Investment_Strategy&amp;"_"&amp;Investment_Strategy_Sub2&amp;"_"&amp;$A292,'Investment Strategies'!$AJ:$AV,11,FALSE),
IF(AND(Investment_Strategy="Autopilot",Investment_Strategy_Sub1="Non-Standard"),VLOOKUP(Investment_Strategy&amp;"_"&amp;Investment_Strategy_Sub2&amp;"_"&amp;$A292,'Investment Strategies'!$T:$AF,11,FALSE),
IF(Investment_Strategy="DIY",DIY_GteeChrge_SP,
"Error"))))))</f>
        <v>0</v>
      </c>
      <c r="N292" s="33">
        <f>IF($AV292=0,0,
IF(Investment_Strategy="DIS",VLOOKUP(Investment_Strategy&amp;"_"&amp;Investment_Strategy_Sub1&amp;"_"&amp;$A292,'Investment Strategies'!$AZ:$BP,17,FALSE),
IF(AND(Investment_Strategy="Lifecycle",Investment_Strategy_Sub1="Non-Standard"),VLOOKUP(Investment_Strategy&amp;"_"&amp;Investment_Strategy_Sub2&amp;"_"&amp;$A292,'Investment Strategies'!$C:$P,14,FALSE),
IF(AND(Investment_Strategy="Lifecycle",Investment_Strategy_Sub1="Standard"),VLOOKUP(Investment_Strategy&amp;"_"&amp;Investment_Strategy_Sub2&amp;"_"&amp;$A292,'Investment Strategies'!$AJ:$AV,13,FALSE),
IF(AND(Investment_Strategy="Autopilot",Investment_Strategy_Sub1="Non-Standard"),VLOOKUP(Investment_Strategy&amp;"_"&amp;Investment_Strategy_Sub2&amp;"_"&amp;$A292,'Investment Strategies'!$T:$AF,13,FALSE),
IF(Investment_Strategy="DIY",DIY_ExtManChrge_SP,
"Error"))))))</f>
        <v>0</v>
      </c>
      <c r="O292" s="16">
        <f t="shared" si="187"/>
        <v>0</v>
      </c>
      <c r="Q292" s="16">
        <f t="shared" si="161"/>
        <v>0</v>
      </c>
      <c r="R292" s="16">
        <f t="shared" si="162"/>
        <v>0</v>
      </c>
      <c r="S292" s="16">
        <f>(SRP_SP+SUM(S$91:S291))*L292*IF(D292=$A$91,SRP_finalmonthfactor,1)</f>
        <v>0</v>
      </c>
      <c r="T292" s="74">
        <f>MIN(IF($AV292=0,0,
IF(Investment_Strategy="DIS",VLOOKUP(Investment_Strategy&amp;"_"&amp;Investment_Strategy_Sub1&amp;"_"&amp;$A292,'Investment Strategies'!$AZ:$BP,12,FALSE),
IF(AND(Investment_Strategy="Lifecycle",Investment_Strategy_Sub1="Non-Standard"),VLOOKUP(Investment_Strategy&amp;"_"&amp;Investment_Strategy_Sub2&amp;"_"&amp;$A292,'Investment Strategies'!$C:$P,9,FALSE),
IF(AND(Investment_Strategy="Lifecycle",Investment_Strategy_Sub1="Standard"),VLOOKUP(Investment_Strategy&amp;"_"&amp;Investment_Strategy_Sub2&amp;"_"&amp;$A292,'Investment Strategies'!$AJ:$AV,8,FALSE),
IF(AND(Investment_Strategy="Autopilot",Investment_Strategy_Sub1="Non-Standard"),VLOOKUP(Investment_Strategy&amp;"_"&amp;Investment_Strategy_Sub2&amp;"_"&amp;$A292,'Investment Strategies'!$T:$AF,8,FALSE),
IF(Investment_Strategy ="DIY",DIY_RateOfReturn_FuturePremiums,
"Error")))))),Max_InvReturn)</f>
        <v>0</v>
      </c>
      <c r="U292" s="62">
        <f>IF($AV292=0,0,
IF(Investment_Strategy="DIS",VLOOKUP(Investment_Strategy&amp;"_"&amp;Investment_Strategy_Sub1&amp;"_"&amp;$A292,'Investment Strategies'!$AZ:$BP,15,FALSE),
IF(AND(Investment_Strategy="Lifecycle",Investment_Strategy_Sub1="Non-Standard"),VLOOKUP(Investment_Strategy&amp;"_"&amp;Investment_Strategy_Sub2&amp;"_"&amp;$A292,'Investment Strategies'!$C:$P,12,FALSE),
IF(AND(Investment_Strategy="Lifecycle",Investment_Strategy_Sub1="Standard"),VLOOKUP(Investment_Strategy&amp;"_"&amp;Investment_Strategy_Sub2&amp;"_"&amp;$A292,'Investment Strategies'!$AJ:$AV,11,FALSE),
IF(AND(Investment_Strategy="Autopilot",Investment_Strategy_Sub1="Non-Standard"),VLOOKUP(Investment_Strategy&amp;"_"&amp;Investment_Strategy_Sub2&amp;"_"&amp;$A292,'Investment Strategies'!$T:$AF,11,FALSE),
IF(Investment_Strategy="DIY",DIY_GteeChrge_FuturePremiums,
"Error"))))))</f>
        <v>0</v>
      </c>
      <c r="V292" s="33">
        <f>IF(AV292=0,0,
IF(Investment_Strategy="DIS",VLOOKUP(Investment_Strategy&amp;"_"&amp;Investment_Strategy_Sub1&amp;"_"&amp;$A292,'Investment Strategies'!$AZ:$BP,17,FALSE),
IF(AND(Investment_Strategy="Lifecycle",Investment_Strategy_Sub1="Non-Standard"),VLOOKUP(Investment_Strategy&amp;"_"&amp;Investment_Strategy_Sub2&amp;"_"&amp;$A292,'Investment Strategies'!$C:$P,14,FALSE),
IF(AND(Investment_Strategy="Lifecycle",Investment_Strategy_Sub1="Standard"),VLOOKUP(Investment_Strategy&amp;"_"&amp;Investment_Strategy_Sub2&amp;"_"&amp;$A292,'Investment Strategies'!$AJ:$AV,13,FALSE),
IF(AND(Investment_Strategy="Autopilot",Investment_Strategy_Sub1="Non-Standard"),VLOOKUP(Investment_Strategy&amp;"_"&amp;Investment_Strategy_Sub2&amp;"_"&amp;$A292,'Investment Strategies'!$T:$AF,13,FALSE),
IF(Investment_Strategy="DIY",DIY_ExtManChrge_FuturePremiums,
"Error"))))))</f>
        <v>0</v>
      </c>
      <c r="W292" s="16">
        <f t="shared" si="188"/>
        <v>0</v>
      </c>
      <c r="X292" s="16">
        <f t="shared" si="163"/>
        <v>0</v>
      </c>
      <c r="Y292" s="16">
        <f t="shared" si="164"/>
        <v>0</v>
      </c>
      <c r="Z292" s="31">
        <f t="shared" si="165"/>
        <v>0.02</v>
      </c>
      <c r="AA292" s="16">
        <f t="shared" si="166"/>
        <v>0</v>
      </c>
      <c r="AB292" s="28">
        <f t="shared" si="189"/>
        <v>0</v>
      </c>
      <c r="AC292" s="28">
        <f>(SUM($AC$91:AC291)+SUM($X$91:X291)+X292)*T292*IF(D292=$A$91,SRP_finalmonthfactor,1)</f>
        <v>0</v>
      </c>
      <c r="AD292" s="16">
        <f t="shared" si="167"/>
        <v>0</v>
      </c>
      <c r="AE292" s="106"/>
      <c r="AF292" s="16">
        <f t="shared" si="176"/>
        <v>0</v>
      </c>
      <c r="AG292" s="16">
        <f t="shared" si="177"/>
        <v>0</v>
      </c>
      <c r="AH292" s="16">
        <f t="shared" si="178"/>
        <v>0</v>
      </c>
      <c r="AJ292" s="13">
        <f t="shared" si="198"/>
        <v>0</v>
      </c>
      <c r="AK292" s="13">
        <f t="shared" si="198"/>
        <v>0</v>
      </c>
      <c r="AL292" s="13">
        <f t="shared" si="198"/>
        <v>0</v>
      </c>
      <c r="AM292" s="13">
        <f t="shared" si="198"/>
        <v>0</v>
      </c>
      <c r="AN292" s="13">
        <f t="shared" si="198"/>
        <v>0</v>
      </c>
      <c r="AO292" s="13">
        <f t="shared" si="198"/>
        <v>1</v>
      </c>
      <c r="AP292" s="13">
        <f t="shared" si="198"/>
        <v>1</v>
      </c>
      <c r="AQ292" s="13">
        <f t="shared" si="198"/>
        <v>1</v>
      </c>
      <c r="AR292" s="13">
        <f t="shared" si="198"/>
        <v>1</v>
      </c>
      <c r="AS292" s="13">
        <f t="shared" si="198"/>
        <v>1</v>
      </c>
      <c r="AT292" s="13">
        <f t="shared" si="198"/>
        <v>1</v>
      </c>
      <c r="AU292" s="13">
        <f t="shared" si="198"/>
        <v>1</v>
      </c>
      <c r="AV292" s="13">
        <f t="shared" si="168"/>
        <v>0</v>
      </c>
      <c r="AW292" s="13">
        <f t="shared" si="169"/>
        <v>1</v>
      </c>
      <c r="AY292" s="17">
        <f t="shared" si="170"/>
        <v>202</v>
      </c>
      <c r="AZ292" s="28">
        <f t="shared" si="179"/>
        <v>0</v>
      </c>
      <c r="BA292" s="13">
        <f t="shared" si="171"/>
        <v>0</v>
      </c>
      <c r="BB292" s="13">
        <f t="shared" si="172"/>
        <v>0</v>
      </c>
      <c r="BC292" s="28">
        <f t="shared" si="180"/>
        <v>0</v>
      </c>
      <c r="BD292" s="28">
        <f t="shared" si="181"/>
        <v>0</v>
      </c>
      <c r="BF292" s="248">
        <f t="shared" si="182"/>
        <v>993869.29442638322</v>
      </c>
      <c r="BG292" s="36">
        <f t="shared" si="190"/>
        <v>0</v>
      </c>
      <c r="BH292" s="36">
        <f t="shared" si="191"/>
        <v>839499.99422100186</v>
      </c>
      <c r="BI292" s="249">
        <f t="shared" si="192"/>
        <v>0</v>
      </c>
      <c r="BJ292" s="246">
        <f t="shared" si="193"/>
        <v>0</v>
      </c>
      <c r="BK292" s="246">
        <f t="shared" si="173"/>
        <v>7.531116566323881E-4</v>
      </c>
      <c r="BL292" s="246">
        <f t="shared" si="194"/>
        <v>0</v>
      </c>
      <c r="BM292" s="246">
        <f t="shared" si="195"/>
        <v>7.531116566323881E-4</v>
      </c>
      <c r="BN292" s="36">
        <f t="shared" si="183"/>
        <v>632.23723139065896</v>
      </c>
      <c r="BO292" s="36">
        <f t="shared" si="196"/>
        <v>0</v>
      </c>
      <c r="BP292" s="36">
        <f t="shared" si="197"/>
        <v>838867.7569896112</v>
      </c>
    </row>
    <row r="293" spans="1:68">
      <c r="A293" s="32">
        <f t="shared" si="184"/>
        <v>-118</v>
      </c>
      <c r="B293" s="32">
        <f t="shared" si="174"/>
        <v>69</v>
      </c>
      <c r="C293" s="32">
        <f t="shared" si="185"/>
        <v>17</v>
      </c>
      <c r="D293" s="32">
        <f t="shared" si="186"/>
        <v>203</v>
      </c>
      <c r="E293" s="74">
        <f>MIN(IF(AV293=0,0,
IF(Investment_Strategy="DIS",VLOOKUP(Investment_Strategy&amp;"_"&amp;Investment_Strategy_Sub1&amp;"_"&amp;$A293,'Investment Strategies'!$AZ:$BP,12,FALSE),
IF(AND(Investment_Strategy="Lifecycle",Investment_Strategy_Sub1="Non-Standard"),VLOOKUP(Investment_Strategy&amp;"_"&amp;Investment_Strategy_Sub2&amp;"_"&amp;$A293,'Investment Strategies'!$C:$P,9,FALSE),
IF(AND(Investment_Strategy="Lifecycle",Investment_Strategy_Sub1="Standard"),VLOOKUP(Investment_Strategy&amp;"_"&amp;Investment_Strategy_Sub2&amp;"_"&amp;$A293,'Investment Strategies'!$AJ:$AV,8,FALSE),
IF(AND(Investment_Strategy="Autopilot",Investment_Strategy_Sub1="Non-Standard"),VLOOKUP(Investment_Strategy&amp;"_"&amp;Investment_Strategy_Sub2&amp;"_"&amp;$A293,'Investment Strategies'!$T:$AF,8,FALSE),
IF(Investment_Strategy ="DIY",DIY_RateOfReturn_CurrentFunds,
"Error")))))),Max_InvReturn)</f>
        <v>0</v>
      </c>
      <c r="F293" s="62">
        <f>IF(AV293=0,0,
IF(Investment_Strategy="DIS",VLOOKUP(Investment_Strategy&amp;"_"&amp;Investment_Strategy_Sub1&amp;"_"&amp;$A293,'Investment Strategies'!$AZ:$BP,15,FALSE),
IF(AND(Investment_Strategy="Lifecycle",Investment_Strategy_Sub1="Non-Standard"),VLOOKUP(Investment_Strategy&amp;"_"&amp;Investment_Strategy_Sub2&amp;"_"&amp;$A293,'Investment Strategies'!$C:$P,12,FALSE),
IF(AND(Investment_Strategy="Lifecycle",Investment_Strategy_Sub1="Standard"),VLOOKUP(Investment_Strategy&amp;"_"&amp;Investment_Strategy_Sub2&amp;"_"&amp;$A293,'Investment Strategies'!$AJ:$AV,11,FALSE),
IF(AND(Investment_Strategy="Autopilot",Investment_Strategy_Sub1="Non-Standard"),VLOOKUP(Investment_Strategy&amp;"_"&amp;Investment_Strategy_Sub2&amp;"_"&amp;$A293,'Investment Strategies'!$T:$AF,11,FALSE),
IF(Investment_Strategy="DIY",DIY_GteeChrge_CurrentFunds,
"Error"))))))</f>
        <v>0</v>
      </c>
      <c r="G293" s="33">
        <f>IF(AV293=0,0,
IF(Investment_Strategy="DIS",VLOOKUP(Investment_Strategy&amp;"_"&amp;Investment_Strategy_Sub1&amp;"_"&amp;$A293,'Investment Strategies'!$AZ:$BP,17,FALSE),
IF(AND(Investment_Strategy="Lifecycle",Investment_Strategy_Sub1="Non-Standard"),VLOOKUP(Investment_Strategy&amp;"_"&amp;Investment_Strategy_Sub2&amp;"_"&amp;$A293,'Investment Strategies'!$C:$P,14,FALSE),
IF(AND(Investment_Strategy="Lifecycle",Investment_Strategy_Sub1="Standard"),VLOOKUP(Investment_Strategy&amp;"_"&amp;Investment_Strategy_Sub2&amp;"_"&amp;$A293,'Investment Strategies'!$AJ:$AV,13,FALSE),
IF(AND(Investment_Strategy="Autopilot",Investment_Strategy_Sub1="Non-Standard"),VLOOKUP(Investment_Strategy&amp;"_"&amp;Investment_Strategy_Sub2&amp;"_"&amp;$A293,'Investment Strategies'!$T:$AF,13,FALSE),
IF(Investment_Strategy="DIY",DIY_ExtManChrge_CurrentFunds,
"Error"))))))</f>
        <v>0</v>
      </c>
      <c r="H293" s="16">
        <f t="shared" si="175"/>
        <v>0</v>
      </c>
      <c r="I293" s="16">
        <f t="shared" si="159"/>
        <v>0</v>
      </c>
      <c r="J293" s="16">
        <f t="shared" si="160"/>
        <v>0</v>
      </c>
      <c r="K293" s="16">
        <f>(Opening_Fund_Value+SUM(K$91:K292))*E293*IF(D293=$A$91,SRP_finalmonthfactor,1)</f>
        <v>0</v>
      </c>
      <c r="L293" s="74">
        <f>MIN(IF($AV293=0,0,
IF(Investment_Strategy="DIS",VLOOKUP(Investment_Strategy&amp;"_"&amp;Investment_Strategy_Sub1&amp;"_"&amp;$A293,'Investment Strategies'!$AZ:$BP,12,FALSE),
IF(AND(Investment_Strategy="Lifecycle",Investment_Strategy_Sub1="Non-Standard"),VLOOKUP(Investment_Strategy&amp;"_"&amp;Investment_Strategy_Sub2&amp;"_"&amp;$A293,'Investment Strategies'!$C:$P,9,FALSE),
IF(AND(Investment_Strategy="Lifecycle",Investment_Strategy_Sub1="Standard"),VLOOKUP(Investment_Strategy&amp;"_"&amp;Investment_Strategy_Sub2&amp;"_"&amp;$A293,'Investment Strategies'!$AJ:$AV,8,FALSE),
IF(AND(Investment_Strategy="Autopilot",Investment_Strategy_Sub1="Non-Standard"),VLOOKUP(Investment_Strategy&amp;"_"&amp;Investment_Strategy_Sub2&amp;"_"&amp;$A293,'Investment Strategies'!$T:$AF,8,FALSE),
IF(Investment_Strategy ="DIY",DIY_RateofReturn_SP,
"Error")))))),Max_InvReturn)</f>
        <v>0</v>
      </c>
      <c r="M293" s="62">
        <f>IF($AV293=0,0,
IF(Investment_Strategy="DIS",VLOOKUP(Investment_Strategy&amp;"_"&amp;Investment_Strategy_Sub1&amp;"_"&amp;$A293,'Investment Strategies'!$AZ:$BP,15,FALSE),
IF(AND(Investment_Strategy="Lifecycle",Investment_Strategy_Sub1="Non-Standard"),VLOOKUP(Investment_Strategy&amp;"_"&amp;Investment_Strategy_Sub2&amp;"_"&amp;$A293,'Investment Strategies'!$C:$P,12,FALSE),
IF(AND(Investment_Strategy="Lifecycle",Investment_Strategy_Sub1="Standard"),VLOOKUP(Investment_Strategy&amp;"_"&amp;Investment_Strategy_Sub2&amp;"_"&amp;$A293,'Investment Strategies'!$AJ:$AV,11,FALSE),
IF(AND(Investment_Strategy="Autopilot",Investment_Strategy_Sub1="Non-Standard"),VLOOKUP(Investment_Strategy&amp;"_"&amp;Investment_Strategy_Sub2&amp;"_"&amp;$A293,'Investment Strategies'!$T:$AF,11,FALSE),
IF(Investment_Strategy="DIY",DIY_GteeChrge_SP,
"Error"))))))</f>
        <v>0</v>
      </c>
      <c r="N293" s="33">
        <f>IF($AV293=0,0,
IF(Investment_Strategy="DIS",VLOOKUP(Investment_Strategy&amp;"_"&amp;Investment_Strategy_Sub1&amp;"_"&amp;$A293,'Investment Strategies'!$AZ:$BP,17,FALSE),
IF(AND(Investment_Strategy="Lifecycle",Investment_Strategy_Sub1="Non-Standard"),VLOOKUP(Investment_Strategy&amp;"_"&amp;Investment_Strategy_Sub2&amp;"_"&amp;$A293,'Investment Strategies'!$C:$P,14,FALSE),
IF(AND(Investment_Strategy="Lifecycle",Investment_Strategy_Sub1="Standard"),VLOOKUP(Investment_Strategy&amp;"_"&amp;Investment_Strategy_Sub2&amp;"_"&amp;$A293,'Investment Strategies'!$AJ:$AV,13,FALSE),
IF(AND(Investment_Strategy="Autopilot",Investment_Strategy_Sub1="Non-Standard"),VLOOKUP(Investment_Strategy&amp;"_"&amp;Investment_Strategy_Sub2&amp;"_"&amp;$A293,'Investment Strategies'!$T:$AF,13,FALSE),
IF(Investment_Strategy="DIY",DIY_ExtManChrge_SP,
"Error"))))))</f>
        <v>0</v>
      </c>
      <c r="O293" s="16">
        <f t="shared" si="187"/>
        <v>0</v>
      </c>
      <c r="Q293" s="16">
        <f t="shared" si="161"/>
        <v>0</v>
      </c>
      <c r="R293" s="16">
        <f t="shared" si="162"/>
        <v>0</v>
      </c>
      <c r="S293" s="16">
        <f>(SRP_SP+SUM(S$91:S292))*L293*IF(D293=$A$91,SRP_finalmonthfactor,1)</f>
        <v>0</v>
      </c>
      <c r="T293" s="74">
        <f>MIN(IF($AV293=0,0,
IF(Investment_Strategy="DIS",VLOOKUP(Investment_Strategy&amp;"_"&amp;Investment_Strategy_Sub1&amp;"_"&amp;$A293,'Investment Strategies'!$AZ:$BP,12,FALSE),
IF(AND(Investment_Strategy="Lifecycle",Investment_Strategy_Sub1="Non-Standard"),VLOOKUP(Investment_Strategy&amp;"_"&amp;Investment_Strategy_Sub2&amp;"_"&amp;$A293,'Investment Strategies'!$C:$P,9,FALSE),
IF(AND(Investment_Strategy="Lifecycle",Investment_Strategy_Sub1="Standard"),VLOOKUP(Investment_Strategy&amp;"_"&amp;Investment_Strategy_Sub2&amp;"_"&amp;$A293,'Investment Strategies'!$AJ:$AV,8,FALSE),
IF(AND(Investment_Strategy="Autopilot",Investment_Strategy_Sub1="Non-Standard"),VLOOKUP(Investment_Strategy&amp;"_"&amp;Investment_Strategy_Sub2&amp;"_"&amp;$A293,'Investment Strategies'!$T:$AF,8,FALSE),
IF(Investment_Strategy ="DIY",DIY_RateOfReturn_FuturePremiums,
"Error")))))),Max_InvReturn)</f>
        <v>0</v>
      </c>
      <c r="U293" s="62">
        <f>IF($AV293=0,0,
IF(Investment_Strategy="DIS",VLOOKUP(Investment_Strategy&amp;"_"&amp;Investment_Strategy_Sub1&amp;"_"&amp;$A293,'Investment Strategies'!$AZ:$BP,15,FALSE),
IF(AND(Investment_Strategy="Lifecycle",Investment_Strategy_Sub1="Non-Standard"),VLOOKUP(Investment_Strategy&amp;"_"&amp;Investment_Strategy_Sub2&amp;"_"&amp;$A293,'Investment Strategies'!$C:$P,12,FALSE),
IF(AND(Investment_Strategy="Lifecycle",Investment_Strategy_Sub1="Standard"),VLOOKUP(Investment_Strategy&amp;"_"&amp;Investment_Strategy_Sub2&amp;"_"&amp;$A293,'Investment Strategies'!$AJ:$AV,11,FALSE),
IF(AND(Investment_Strategy="Autopilot",Investment_Strategy_Sub1="Non-Standard"),VLOOKUP(Investment_Strategy&amp;"_"&amp;Investment_Strategy_Sub2&amp;"_"&amp;$A293,'Investment Strategies'!$T:$AF,11,FALSE),
IF(Investment_Strategy="DIY",DIY_GteeChrge_FuturePremiums,
"Error"))))))</f>
        <v>0</v>
      </c>
      <c r="V293" s="33">
        <f>IF(AV293=0,0,
IF(Investment_Strategy="DIS",VLOOKUP(Investment_Strategy&amp;"_"&amp;Investment_Strategy_Sub1&amp;"_"&amp;$A293,'Investment Strategies'!$AZ:$BP,17,FALSE),
IF(AND(Investment_Strategy="Lifecycle",Investment_Strategy_Sub1="Non-Standard"),VLOOKUP(Investment_Strategy&amp;"_"&amp;Investment_Strategy_Sub2&amp;"_"&amp;$A293,'Investment Strategies'!$C:$P,14,FALSE),
IF(AND(Investment_Strategy="Lifecycle",Investment_Strategy_Sub1="Standard"),VLOOKUP(Investment_Strategy&amp;"_"&amp;Investment_Strategy_Sub2&amp;"_"&amp;$A293,'Investment Strategies'!$AJ:$AV,13,FALSE),
IF(AND(Investment_Strategy="Autopilot",Investment_Strategy_Sub1="Non-Standard"),VLOOKUP(Investment_Strategy&amp;"_"&amp;Investment_Strategy_Sub2&amp;"_"&amp;$A293,'Investment Strategies'!$T:$AF,13,FALSE),
IF(Investment_Strategy="DIY",DIY_ExtManChrge_FuturePremiums,
"Error"))))))</f>
        <v>0</v>
      </c>
      <c r="W293" s="16">
        <f t="shared" si="188"/>
        <v>0</v>
      </c>
      <c r="X293" s="16">
        <f t="shared" si="163"/>
        <v>0</v>
      </c>
      <c r="Y293" s="16">
        <f t="shared" si="164"/>
        <v>0</v>
      </c>
      <c r="Z293" s="31">
        <f t="shared" si="165"/>
        <v>0.02</v>
      </c>
      <c r="AA293" s="16">
        <f t="shared" si="166"/>
        <v>0</v>
      </c>
      <c r="AB293" s="28">
        <f t="shared" si="189"/>
        <v>0</v>
      </c>
      <c r="AC293" s="28">
        <f>(SUM($AC$91:AC292)+SUM($X$91:X292)+X293)*T293*IF(D293=$A$91,SRP_finalmonthfactor,1)</f>
        <v>0</v>
      </c>
      <c r="AD293" s="16">
        <f t="shared" si="167"/>
        <v>0</v>
      </c>
      <c r="AE293" s="106"/>
      <c r="AF293" s="16">
        <f t="shared" si="176"/>
        <v>0</v>
      </c>
      <c r="AG293" s="16">
        <f t="shared" si="177"/>
        <v>0</v>
      </c>
      <c r="AH293" s="16">
        <f t="shared" si="178"/>
        <v>0</v>
      </c>
      <c r="AJ293" s="13">
        <f t="shared" si="198"/>
        <v>0</v>
      </c>
      <c r="AK293" s="13">
        <f t="shared" si="198"/>
        <v>0</v>
      </c>
      <c r="AL293" s="13">
        <f t="shared" si="198"/>
        <v>0</v>
      </c>
      <c r="AM293" s="13">
        <f t="shared" si="198"/>
        <v>0</v>
      </c>
      <c r="AN293" s="13">
        <f t="shared" si="198"/>
        <v>0</v>
      </c>
      <c r="AO293" s="13">
        <f t="shared" si="198"/>
        <v>1</v>
      </c>
      <c r="AP293" s="13">
        <f t="shared" si="198"/>
        <v>1</v>
      </c>
      <c r="AQ293" s="13">
        <f t="shared" si="198"/>
        <v>1</v>
      </c>
      <c r="AR293" s="13">
        <f t="shared" si="198"/>
        <v>1</v>
      </c>
      <c r="AS293" s="13">
        <f t="shared" si="198"/>
        <v>1</v>
      </c>
      <c r="AT293" s="13">
        <f t="shared" si="198"/>
        <v>1</v>
      </c>
      <c r="AU293" s="13">
        <f t="shared" si="198"/>
        <v>1</v>
      </c>
      <c r="AV293" s="13">
        <f t="shared" si="168"/>
        <v>0</v>
      </c>
      <c r="AW293" s="13">
        <f t="shared" si="169"/>
        <v>1</v>
      </c>
      <c r="AY293" s="17">
        <f t="shared" si="170"/>
        <v>203</v>
      </c>
      <c r="AZ293" s="28">
        <f t="shared" si="179"/>
        <v>0</v>
      </c>
      <c r="BA293" s="13">
        <f t="shared" si="171"/>
        <v>0</v>
      </c>
      <c r="BB293" s="13">
        <f t="shared" si="172"/>
        <v>0</v>
      </c>
      <c r="BC293" s="28">
        <f t="shared" si="180"/>
        <v>0</v>
      </c>
      <c r="BD293" s="28">
        <f t="shared" si="181"/>
        <v>0</v>
      </c>
      <c r="BF293" s="248">
        <f t="shared" si="182"/>
        <v>993869.29442638322</v>
      </c>
      <c r="BG293" s="36">
        <f t="shared" si="190"/>
        <v>0</v>
      </c>
      <c r="BH293" s="36">
        <f t="shared" si="191"/>
        <v>838867.7569896112</v>
      </c>
      <c r="BI293" s="249">
        <f t="shared" si="192"/>
        <v>0</v>
      </c>
      <c r="BJ293" s="246">
        <f t="shared" si="193"/>
        <v>0</v>
      </c>
      <c r="BK293" s="246">
        <f t="shared" si="173"/>
        <v>7.531116566323881E-4</v>
      </c>
      <c r="BL293" s="246">
        <f t="shared" si="194"/>
        <v>0</v>
      </c>
      <c r="BM293" s="246">
        <f t="shared" si="195"/>
        <v>7.531116566323881E-4</v>
      </c>
      <c r="BN293" s="36">
        <f t="shared" si="183"/>
        <v>631.76108616194165</v>
      </c>
      <c r="BO293" s="36">
        <f t="shared" si="196"/>
        <v>0</v>
      </c>
      <c r="BP293" s="36">
        <f t="shared" si="197"/>
        <v>838235.99590344925</v>
      </c>
    </row>
    <row r="294" spans="1:68">
      <c r="A294" s="32">
        <f t="shared" si="184"/>
        <v>-119</v>
      </c>
      <c r="B294" s="32">
        <f t="shared" si="174"/>
        <v>69</v>
      </c>
      <c r="C294" s="32">
        <f t="shared" si="185"/>
        <v>17</v>
      </c>
      <c r="D294" s="32">
        <f t="shared" si="186"/>
        <v>204</v>
      </c>
      <c r="E294" s="74">
        <f>MIN(IF(AV294=0,0,
IF(Investment_Strategy="DIS",VLOOKUP(Investment_Strategy&amp;"_"&amp;Investment_Strategy_Sub1&amp;"_"&amp;$A294,'Investment Strategies'!$AZ:$BP,12,FALSE),
IF(AND(Investment_Strategy="Lifecycle",Investment_Strategy_Sub1="Non-Standard"),VLOOKUP(Investment_Strategy&amp;"_"&amp;Investment_Strategy_Sub2&amp;"_"&amp;$A294,'Investment Strategies'!$C:$P,9,FALSE),
IF(AND(Investment_Strategy="Lifecycle",Investment_Strategy_Sub1="Standard"),VLOOKUP(Investment_Strategy&amp;"_"&amp;Investment_Strategy_Sub2&amp;"_"&amp;$A294,'Investment Strategies'!$AJ:$AV,8,FALSE),
IF(AND(Investment_Strategy="Autopilot",Investment_Strategy_Sub1="Non-Standard"),VLOOKUP(Investment_Strategy&amp;"_"&amp;Investment_Strategy_Sub2&amp;"_"&amp;$A294,'Investment Strategies'!$T:$AF,8,FALSE),
IF(Investment_Strategy ="DIY",DIY_RateOfReturn_CurrentFunds,
"Error")))))),Max_InvReturn)</f>
        <v>0</v>
      </c>
      <c r="F294" s="62">
        <f>IF(AV294=0,0,
IF(Investment_Strategy="DIS",VLOOKUP(Investment_Strategy&amp;"_"&amp;Investment_Strategy_Sub1&amp;"_"&amp;$A294,'Investment Strategies'!$AZ:$BP,15,FALSE),
IF(AND(Investment_Strategy="Lifecycle",Investment_Strategy_Sub1="Non-Standard"),VLOOKUP(Investment_Strategy&amp;"_"&amp;Investment_Strategy_Sub2&amp;"_"&amp;$A294,'Investment Strategies'!$C:$P,12,FALSE),
IF(AND(Investment_Strategy="Lifecycle",Investment_Strategy_Sub1="Standard"),VLOOKUP(Investment_Strategy&amp;"_"&amp;Investment_Strategy_Sub2&amp;"_"&amp;$A294,'Investment Strategies'!$AJ:$AV,11,FALSE),
IF(AND(Investment_Strategy="Autopilot",Investment_Strategy_Sub1="Non-Standard"),VLOOKUP(Investment_Strategy&amp;"_"&amp;Investment_Strategy_Sub2&amp;"_"&amp;$A294,'Investment Strategies'!$T:$AF,11,FALSE),
IF(Investment_Strategy="DIY",DIY_GteeChrge_CurrentFunds,
"Error"))))))</f>
        <v>0</v>
      </c>
      <c r="G294" s="33">
        <f>IF(AV294=0,0,
IF(Investment_Strategy="DIS",VLOOKUP(Investment_Strategy&amp;"_"&amp;Investment_Strategy_Sub1&amp;"_"&amp;$A294,'Investment Strategies'!$AZ:$BP,17,FALSE),
IF(AND(Investment_Strategy="Lifecycle",Investment_Strategy_Sub1="Non-Standard"),VLOOKUP(Investment_Strategy&amp;"_"&amp;Investment_Strategy_Sub2&amp;"_"&amp;$A294,'Investment Strategies'!$C:$P,14,FALSE),
IF(AND(Investment_Strategy="Lifecycle",Investment_Strategy_Sub1="Standard"),VLOOKUP(Investment_Strategy&amp;"_"&amp;Investment_Strategy_Sub2&amp;"_"&amp;$A294,'Investment Strategies'!$AJ:$AV,13,FALSE),
IF(AND(Investment_Strategy="Autopilot",Investment_Strategy_Sub1="Non-Standard"),VLOOKUP(Investment_Strategy&amp;"_"&amp;Investment_Strategy_Sub2&amp;"_"&amp;$A294,'Investment Strategies'!$T:$AF,13,FALSE),
IF(Investment_Strategy="DIY",DIY_ExtManChrge_CurrentFunds,
"Error"))))))</f>
        <v>0</v>
      </c>
      <c r="H294" s="16">
        <f t="shared" si="175"/>
        <v>0</v>
      </c>
      <c r="I294" s="16">
        <f t="shared" si="159"/>
        <v>0</v>
      </c>
      <c r="J294" s="16">
        <f t="shared" si="160"/>
        <v>0</v>
      </c>
      <c r="K294" s="16">
        <f>(Opening_Fund_Value+SUM(K$91:K293))*E294*IF(D294=$A$91,SRP_finalmonthfactor,1)</f>
        <v>0</v>
      </c>
      <c r="L294" s="74">
        <f>MIN(IF($AV294=0,0,
IF(Investment_Strategy="DIS",VLOOKUP(Investment_Strategy&amp;"_"&amp;Investment_Strategy_Sub1&amp;"_"&amp;$A294,'Investment Strategies'!$AZ:$BP,12,FALSE),
IF(AND(Investment_Strategy="Lifecycle",Investment_Strategy_Sub1="Non-Standard"),VLOOKUP(Investment_Strategy&amp;"_"&amp;Investment_Strategy_Sub2&amp;"_"&amp;$A294,'Investment Strategies'!$C:$P,9,FALSE),
IF(AND(Investment_Strategy="Lifecycle",Investment_Strategy_Sub1="Standard"),VLOOKUP(Investment_Strategy&amp;"_"&amp;Investment_Strategy_Sub2&amp;"_"&amp;$A294,'Investment Strategies'!$AJ:$AV,8,FALSE),
IF(AND(Investment_Strategy="Autopilot",Investment_Strategy_Sub1="Non-Standard"),VLOOKUP(Investment_Strategy&amp;"_"&amp;Investment_Strategy_Sub2&amp;"_"&amp;$A294,'Investment Strategies'!$T:$AF,8,FALSE),
IF(Investment_Strategy ="DIY",DIY_RateofReturn_SP,
"Error")))))),Max_InvReturn)</f>
        <v>0</v>
      </c>
      <c r="M294" s="62">
        <f>IF($AV294=0,0,
IF(Investment_Strategy="DIS",VLOOKUP(Investment_Strategy&amp;"_"&amp;Investment_Strategy_Sub1&amp;"_"&amp;$A294,'Investment Strategies'!$AZ:$BP,15,FALSE),
IF(AND(Investment_Strategy="Lifecycle",Investment_Strategy_Sub1="Non-Standard"),VLOOKUP(Investment_Strategy&amp;"_"&amp;Investment_Strategy_Sub2&amp;"_"&amp;$A294,'Investment Strategies'!$C:$P,12,FALSE),
IF(AND(Investment_Strategy="Lifecycle",Investment_Strategy_Sub1="Standard"),VLOOKUP(Investment_Strategy&amp;"_"&amp;Investment_Strategy_Sub2&amp;"_"&amp;$A294,'Investment Strategies'!$AJ:$AV,11,FALSE),
IF(AND(Investment_Strategy="Autopilot",Investment_Strategy_Sub1="Non-Standard"),VLOOKUP(Investment_Strategy&amp;"_"&amp;Investment_Strategy_Sub2&amp;"_"&amp;$A294,'Investment Strategies'!$T:$AF,11,FALSE),
IF(Investment_Strategy="DIY",DIY_GteeChrge_SP,
"Error"))))))</f>
        <v>0</v>
      </c>
      <c r="N294" s="33">
        <f>IF($AV294=0,0,
IF(Investment_Strategy="DIS",VLOOKUP(Investment_Strategy&amp;"_"&amp;Investment_Strategy_Sub1&amp;"_"&amp;$A294,'Investment Strategies'!$AZ:$BP,17,FALSE),
IF(AND(Investment_Strategy="Lifecycle",Investment_Strategy_Sub1="Non-Standard"),VLOOKUP(Investment_Strategy&amp;"_"&amp;Investment_Strategy_Sub2&amp;"_"&amp;$A294,'Investment Strategies'!$C:$P,14,FALSE),
IF(AND(Investment_Strategy="Lifecycle",Investment_Strategy_Sub1="Standard"),VLOOKUP(Investment_Strategy&amp;"_"&amp;Investment_Strategy_Sub2&amp;"_"&amp;$A294,'Investment Strategies'!$AJ:$AV,13,FALSE),
IF(AND(Investment_Strategy="Autopilot",Investment_Strategy_Sub1="Non-Standard"),VLOOKUP(Investment_Strategy&amp;"_"&amp;Investment_Strategy_Sub2&amp;"_"&amp;$A294,'Investment Strategies'!$T:$AF,13,FALSE),
IF(Investment_Strategy="DIY",DIY_ExtManChrge_SP,
"Error"))))))</f>
        <v>0</v>
      </c>
      <c r="O294" s="16">
        <f t="shared" si="187"/>
        <v>0</v>
      </c>
      <c r="Q294" s="16">
        <f t="shared" si="161"/>
        <v>0</v>
      </c>
      <c r="R294" s="16">
        <f t="shared" si="162"/>
        <v>0</v>
      </c>
      <c r="S294" s="16">
        <f>(SRP_SP+SUM(S$91:S293))*L294*IF(D294=$A$91,SRP_finalmonthfactor,1)</f>
        <v>0</v>
      </c>
      <c r="T294" s="74">
        <f>MIN(IF($AV294=0,0,
IF(Investment_Strategy="DIS",VLOOKUP(Investment_Strategy&amp;"_"&amp;Investment_Strategy_Sub1&amp;"_"&amp;$A294,'Investment Strategies'!$AZ:$BP,12,FALSE),
IF(AND(Investment_Strategy="Lifecycle",Investment_Strategy_Sub1="Non-Standard"),VLOOKUP(Investment_Strategy&amp;"_"&amp;Investment_Strategy_Sub2&amp;"_"&amp;$A294,'Investment Strategies'!$C:$P,9,FALSE),
IF(AND(Investment_Strategy="Lifecycle",Investment_Strategy_Sub1="Standard"),VLOOKUP(Investment_Strategy&amp;"_"&amp;Investment_Strategy_Sub2&amp;"_"&amp;$A294,'Investment Strategies'!$AJ:$AV,8,FALSE),
IF(AND(Investment_Strategy="Autopilot",Investment_Strategy_Sub1="Non-Standard"),VLOOKUP(Investment_Strategy&amp;"_"&amp;Investment_Strategy_Sub2&amp;"_"&amp;$A294,'Investment Strategies'!$T:$AF,8,FALSE),
IF(Investment_Strategy ="DIY",DIY_RateOfReturn_FuturePremiums,
"Error")))))),Max_InvReturn)</f>
        <v>0</v>
      </c>
      <c r="U294" s="62">
        <f>IF($AV294=0,0,
IF(Investment_Strategy="DIS",VLOOKUP(Investment_Strategy&amp;"_"&amp;Investment_Strategy_Sub1&amp;"_"&amp;$A294,'Investment Strategies'!$AZ:$BP,15,FALSE),
IF(AND(Investment_Strategy="Lifecycle",Investment_Strategy_Sub1="Non-Standard"),VLOOKUP(Investment_Strategy&amp;"_"&amp;Investment_Strategy_Sub2&amp;"_"&amp;$A294,'Investment Strategies'!$C:$P,12,FALSE),
IF(AND(Investment_Strategy="Lifecycle",Investment_Strategy_Sub1="Standard"),VLOOKUP(Investment_Strategy&amp;"_"&amp;Investment_Strategy_Sub2&amp;"_"&amp;$A294,'Investment Strategies'!$AJ:$AV,11,FALSE),
IF(AND(Investment_Strategy="Autopilot",Investment_Strategy_Sub1="Non-Standard"),VLOOKUP(Investment_Strategy&amp;"_"&amp;Investment_Strategy_Sub2&amp;"_"&amp;$A294,'Investment Strategies'!$T:$AF,11,FALSE),
IF(Investment_Strategy="DIY",DIY_GteeChrge_FuturePremiums,
"Error"))))))</f>
        <v>0</v>
      </c>
      <c r="V294" s="33">
        <f>IF(AV294=0,0,
IF(Investment_Strategy="DIS",VLOOKUP(Investment_Strategy&amp;"_"&amp;Investment_Strategy_Sub1&amp;"_"&amp;$A294,'Investment Strategies'!$AZ:$BP,17,FALSE),
IF(AND(Investment_Strategy="Lifecycle",Investment_Strategy_Sub1="Non-Standard"),VLOOKUP(Investment_Strategy&amp;"_"&amp;Investment_Strategy_Sub2&amp;"_"&amp;$A294,'Investment Strategies'!$C:$P,14,FALSE),
IF(AND(Investment_Strategy="Lifecycle",Investment_Strategy_Sub1="Standard"),VLOOKUP(Investment_Strategy&amp;"_"&amp;Investment_Strategy_Sub2&amp;"_"&amp;$A294,'Investment Strategies'!$AJ:$AV,13,FALSE),
IF(AND(Investment_Strategy="Autopilot",Investment_Strategy_Sub1="Non-Standard"),VLOOKUP(Investment_Strategy&amp;"_"&amp;Investment_Strategy_Sub2&amp;"_"&amp;$A294,'Investment Strategies'!$T:$AF,13,FALSE),
IF(Investment_Strategy="DIY",DIY_ExtManChrge_FuturePremiums,
"Error"))))))</f>
        <v>0</v>
      </c>
      <c r="W294" s="16">
        <f t="shared" si="188"/>
        <v>0</v>
      </c>
      <c r="X294" s="16">
        <f t="shared" si="163"/>
        <v>0</v>
      </c>
      <c r="Y294" s="16">
        <f t="shared" si="164"/>
        <v>0</v>
      </c>
      <c r="Z294" s="31">
        <f t="shared" si="165"/>
        <v>0.02</v>
      </c>
      <c r="AA294" s="16">
        <f t="shared" si="166"/>
        <v>0</v>
      </c>
      <c r="AB294" s="28">
        <f t="shared" si="189"/>
        <v>0</v>
      </c>
      <c r="AC294" s="28">
        <f>(SUM($AC$91:AC293)+SUM($X$91:X293)+X294)*T294*IF(D294=$A$91,SRP_finalmonthfactor,1)</f>
        <v>0</v>
      </c>
      <c r="AD294" s="16">
        <f t="shared" si="167"/>
        <v>0</v>
      </c>
      <c r="AE294" s="106"/>
      <c r="AF294" s="16">
        <f t="shared" si="176"/>
        <v>0</v>
      </c>
      <c r="AG294" s="16">
        <f t="shared" si="177"/>
        <v>0</v>
      </c>
      <c r="AH294" s="16">
        <f t="shared" si="178"/>
        <v>0</v>
      </c>
      <c r="AJ294" s="13">
        <f t="shared" si="198"/>
        <v>0</v>
      </c>
      <c r="AK294" s="13">
        <f t="shared" si="198"/>
        <v>0</v>
      </c>
      <c r="AL294" s="13">
        <f t="shared" si="198"/>
        <v>0</v>
      </c>
      <c r="AM294" s="13">
        <f t="shared" si="198"/>
        <v>0</v>
      </c>
      <c r="AN294" s="13">
        <f t="shared" si="198"/>
        <v>0</v>
      </c>
      <c r="AO294" s="13">
        <f t="shared" si="198"/>
        <v>1</v>
      </c>
      <c r="AP294" s="13">
        <f t="shared" si="198"/>
        <v>1</v>
      </c>
      <c r="AQ294" s="13">
        <f t="shared" si="198"/>
        <v>1</v>
      </c>
      <c r="AR294" s="13">
        <f t="shared" si="198"/>
        <v>1</v>
      </c>
      <c r="AS294" s="13">
        <f t="shared" si="198"/>
        <v>1</v>
      </c>
      <c r="AT294" s="13">
        <f t="shared" si="198"/>
        <v>1</v>
      </c>
      <c r="AU294" s="13">
        <f t="shared" si="198"/>
        <v>1</v>
      </c>
      <c r="AV294" s="13">
        <f t="shared" si="168"/>
        <v>0</v>
      </c>
      <c r="AW294" s="13">
        <f t="shared" si="169"/>
        <v>1</v>
      </c>
      <c r="AY294" s="17">
        <f t="shared" si="170"/>
        <v>204</v>
      </c>
      <c r="AZ294" s="28">
        <f t="shared" si="179"/>
        <v>0</v>
      </c>
      <c r="BA294" s="13">
        <f t="shared" si="171"/>
        <v>0</v>
      </c>
      <c r="BB294" s="13">
        <f t="shared" si="172"/>
        <v>0</v>
      </c>
      <c r="BC294" s="28">
        <f t="shared" si="180"/>
        <v>0</v>
      </c>
      <c r="BD294" s="28">
        <f t="shared" si="181"/>
        <v>0</v>
      </c>
      <c r="BF294" s="248">
        <f t="shared" si="182"/>
        <v>993869.29442638322</v>
      </c>
      <c r="BG294" s="36">
        <f t="shared" si="190"/>
        <v>0</v>
      </c>
      <c r="BH294" s="36">
        <f t="shared" si="191"/>
        <v>838235.99590344925</v>
      </c>
      <c r="BI294" s="249">
        <f t="shared" si="192"/>
        <v>0</v>
      </c>
      <c r="BJ294" s="246">
        <f t="shared" si="193"/>
        <v>0</v>
      </c>
      <c r="BK294" s="246">
        <f t="shared" si="173"/>
        <v>7.531116566323881E-4</v>
      </c>
      <c r="BL294" s="246">
        <f t="shared" si="194"/>
        <v>0</v>
      </c>
      <c r="BM294" s="246">
        <f t="shared" si="195"/>
        <v>7.531116566323881E-4</v>
      </c>
      <c r="BN294" s="36">
        <f t="shared" si="183"/>
        <v>631.2852995237464</v>
      </c>
      <c r="BO294" s="36">
        <f t="shared" si="196"/>
        <v>0</v>
      </c>
      <c r="BP294" s="36">
        <f t="shared" si="197"/>
        <v>837604.71060392552</v>
      </c>
    </row>
    <row r="295" spans="1:68">
      <c r="A295" s="32">
        <f t="shared" si="184"/>
        <v>-120</v>
      </c>
      <c r="B295" s="32">
        <f t="shared" si="174"/>
        <v>70</v>
      </c>
      <c r="C295" s="32">
        <f t="shared" si="185"/>
        <v>18</v>
      </c>
      <c r="D295" s="32">
        <f t="shared" si="186"/>
        <v>205</v>
      </c>
      <c r="E295" s="74">
        <f>MIN(IF(AV295=0,0,
IF(Investment_Strategy="DIS",VLOOKUP(Investment_Strategy&amp;"_"&amp;Investment_Strategy_Sub1&amp;"_"&amp;$A295,'Investment Strategies'!$AZ:$BP,12,FALSE),
IF(AND(Investment_Strategy="Lifecycle",Investment_Strategy_Sub1="Non-Standard"),VLOOKUP(Investment_Strategy&amp;"_"&amp;Investment_Strategy_Sub2&amp;"_"&amp;$A295,'Investment Strategies'!$C:$P,9,FALSE),
IF(AND(Investment_Strategy="Lifecycle",Investment_Strategy_Sub1="Standard"),VLOOKUP(Investment_Strategy&amp;"_"&amp;Investment_Strategy_Sub2&amp;"_"&amp;$A295,'Investment Strategies'!$AJ:$AV,8,FALSE),
IF(AND(Investment_Strategy="Autopilot",Investment_Strategy_Sub1="Non-Standard"),VLOOKUP(Investment_Strategy&amp;"_"&amp;Investment_Strategy_Sub2&amp;"_"&amp;$A295,'Investment Strategies'!$T:$AF,8,FALSE),
IF(Investment_Strategy ="DIY",DIY_RateOfReturn_CurrentFunds,
"Error")))))),Max_InvReturn)</f>
        <v>0</v>
      </c>
      <c r="F295" s="62">
        <f>IF(AV295=0,0,
IF(Investment_Strategy="DIS",VLOOKUP(Investment_Strategy&amp;"_"&amp;Investment_Strategy_Sub1&amp;"_"&amp;$A295,'Investment Strategies'!$AZ:$BP,15,FALSE),
IF(AND(Investment_Strategy="Lifecycle",Investment_Strategy_Sub1="Non-Standard"),VLOOKUP(Investment_Strategy&amp;"_"&amp;Investment_Strategy_Sub2&amp;"_"&amp;$A295,'Investment Strategies'!$C:$P,12,FALSE),
IF(AND(Investment_Strategy="Lifecycle",Investment_Strategy_Sub1="Standard"),VLOOKUP(Investment_Strategy&amp;"_"&amp;Investment_Strategy_Sub2&amp;"_"&amp;$A295,'Investment Strategies'!$AJ:$AV,11,FALSE),
IF(AND(Investment_Strategy="Autopilot",Investment_Strategy_Sub1="Non-Standard"),VLOOKUP(Investment_Strategy&amp;"_"&amp;Investment_Strategy_Sub2&amp;"_"&amp;$A295,'Investment Strategies'!$T:$AF,11,FALSE),
IF(Investment_Strategy="DIY",DIY_GteeChrge_CurrentFunds,
"Error"))))))</f>
        <v>0</v>
      </c>
      <c r="G295" s="33">
        <f>IF(AV295=0,0,
IF(Investment_Strategy="DIS",VLOOKUP(Investment_Strategy&amp;"_"&amp;Investment_Strategy_Sub1&amp;"_"&amp;$A295,'Investment Strategies'!$AZ:$BP,17,FALSE),
IF(AND(Investment_Strategy="Lifecycle",Investment_Strategy_Sub1="Non-Standard"),VLOOKUP(Investment_Strategy&amp;"_"&amp;Investment_Strategy_Sub2&amp;"_"&amp;$A295,'Investment Strategies'!$C:$P,14,FALSE),
IF(AND(Investment_Strategy="Lifecycle",Investment_Strategy_Sub1="Standard"),VLOOKUP(Investment_Strategy&amp;"_"&amp;Investment_Strategy_Sub2&amp;"_"&amp;$A295,'Investment Strategies'!$AJ:$AV,13,FALSE),
IF(AND(Investment_Strategy="Autopilot",Investment_Strategy_Sub1="Non-Standard"),VLOOKUP(Investment_Strategy&amp;"_"&amp;Investment_Strategy_Sub2&amp;"_"&amp;$A295,'Investment Strategies'!$T:$AF,13,FALSE),
IF(Investment_Strategy="DIY",DIY_ExtManChrge_CurrentFunds,
"Error"))))))</f>
        <v>0</v>
      </c>
      <c r="H295" s="16">
        <f t="shared" si="175"/>
        <v>0</v>
      </c>
      <c r="I295" s="16">
        <f t="shared" si="159"/>
        <v>0</v>
      </c>
      <c r="J295" s="16">
        <f t="shared" si="160"/>
        <v>0</v>
      </c>
      <c r="K295" s="16">
        <f>(Opening_Fund_Value+SUM(K$91:K294))*E295*IF(D295=$A$91,SRP_finalmonthfactor,1)</f>
        <v>0</v>
      </c>
      <c r="L295" s="74">
        <f>MIN(IF($AV295=0,0,
IF(Investment_Strategy="DIS",VLOOKUP(Investment_Strategy&amp;"_"&amp;Investment_Strategy_Sub1&amp;"_"&amp;$A295,'Investment Strategies'!$AZ:$BP,12,FALSE),
IF(AND(Investment_Strategy="Lifecycle",Investment_Strategy_Sub1="Non-Standard"),VLOOKUP(Investment_Strategy&amp;"_"&amp;Investment_Strategy_Sub2&amp;"_"&amp;$A295,'Investment Strategies'!$C:$P,9,FALSE),
IF(AND(Investment_Strategy="Lifecycle",Investment_Strategy_Sub1="Standard"),VLOOKUP(Investment_Strategy&amp;"_"&amp;Investment_Strategy_Sub2&amp;"_"&amp;$A295,'Investment Strategies'!$AJ:$AV,8,FALSE),
IF(AND(Investment_Strategy="Autopilot",Investment_Strategy_Sub1="Non-Standard"),VLOOKUP(Investment_Strategy&amp;"_"&amp;Investment_Strategy_Sub2&amp;"_"&amp;$A295,'Investment Strategies'!$T:$AF,8,FALSE),
IF(Investment_Strategy ="DIY",DIY_RateofReturn_SP,
"Error")))))),Max_InvReturn)</f>
        <v>0</v>
      </c>
      <c r="M295" s="62">
        <f>IF($AV295=0,0,
IF(Investment_Strategy="DIS",VLOOKUP(Investment_Strategy&amp;"_"&amp;Investment_Strategy_Sub1&amp;"_"&amp;$A295,'Investment Strategies'!$AZ:$BP,15,FALSE),
IF(AND(Investment_Strategy="Lifecycle",Investment_Strategy_Sub1="Non-Standard"),VLOOKUP(Investment_Strategy&amp;"_"&amp;Investment_Strategy_Sub2&amp;"_"&amp;$A295,'Investment Strategies'!$C:$P,12,FALSE),
IF(AND(Investment_Strategy="Lifecycle",Investment_Strategy_Sub1="Standard"),VLOOKUP(Investment_Strategy&amp;"_"&amp;Investment_Strategy_Sub2&amp;"_"&amp;$A295,'Investment Strategies'!$AJ:$AV,11,FALSE),
IF(AND(Investment_Strategy="Autopilot",Investment_Strategy_Sub1="Non-Standard"),VLOOKUP(Investment_Strategy&amp;"_"&amp;Investment_Strategy_Sub2&amp;"_"&amp;$A295,'Investment Strategies'!$T:$AF,11,FALSE),
IF(Investment_Strategy="DIY",DIY_GteeChrge_SP,
"Error"))))))</f>
        <v>0</v>
      </c>
      <c r="N295" s="33">
        <f>IF($AV295=0,0,
IF(Investment_Strategy="DIS",VLOOKUP(Investment_Strategy&amp;"_"&amp;Investment_Strategy_Sub1&amp;"_"&amp;$A295,'Investment Strategies'!$AZ:$BP,17,FALSE),
IF(AND(Investment_Strategy="Lifecycle",Investment_Strategy_Sub1="Non-Standard"),VLOOKUP(Investment_Strategy&amp;"_"&amp;Investment_Strategy_Sub2&amp;"_"&amp;$A295,'Investment Strategies'!$C:$P,14,FALSE),
IF(AND(Investment_Strategy="Lifecycle",Investment_Strategy_Sub1="Standard"),VLOOKUP(Investment_Strategy&amp;"_"&amp;Investment_Strategy_Sub2&amp;"_"&amp;$A295,'Investment Strategies'!$AJ:$AV,13,FALSE),
IF(AND(Investment_Strategy="Autopilot",Investment_Strategy_Sub1="Non-Standard"),VLOOKUP(Investment_Strategy&amp;"_"&amp;Investment_Strategy_Sub2&amp;"_"&amp;$A295,'Investment Strategies'!$T:$AF,13,FALSE),
IF(Investment_Strategy="DIY",DIY_ExtManChrge_SP,
"Error"))))))</f>
        <v>0</v>
      </c>
      <c r="O295" s="16">
        <f t="shared" si="187"/>
        <v>0</v>
      </c>
      <c r="Q295" s="16">
        <f t="shared" si="161"/>
        <v>0</v>
      </c>
      <c r="R295" s="16">
        <f t="shared" si="162"/>
        <v>0</v>
      </c>
      <c r="S295" s="16">
        <f>(SRP_SP+SUM(S$91:S294))*L295*IF(D295=$A$91,SRP_finalmonthfactor,1)</f>
        <v>0</v>
      </c>
      <c r="T295" s="74">
        <f>MIN(IF($AV295=0,0,
IF(Investment_Strategy="DIS",VLOOKUP(Investment_Strategy&amp;"_"&amp;Investment_Strategy_Sub1&amp;"_"&amp;$A295,'Investment Strategies'!$AZ:$BP,12,FALSE),
IF(AND(Investment_Strategy="Lifecycle",Investment_Strategy_Sub1="Non-Standard"),VLOOKUP(Investment_Strategy&amp;"_"&amp;Investment_Strategy_Sub2&amp;"_"&amp;$A295,'Investment Strategies'!$C:$P,9,FALSE),
IF(AND(Investment_Strategy="Lifecycle",Investment_Strategy_Sub1="Standard"),VLOOKUP(Investment_Strategy&amp;"_"&amp;Investment_Strategy_Sub2&amp;"_"&amp;$A295,'Investment Strategies'!$AJ:$AV,8,FALSE),
IF(AND(Investment_Strategy="Autopilot",Investment_Strategy_Sub1="Non-Standard"),VLOOKUP(Investment_Strategy&amp;"_"&amp;Investment_Strategy_Sub2&amp;"_"&amp;$A295,'Investment Strategies'!$T:$AF,8,FALSE),
IF(Investment_Strategy ="DIY",DIY_RateOfReturn_FuturePremiums,
"Error")))))),Max_InvReturn)</f>
        <v>0</v>
      </c>
      <c r="U295" s="62">
        <f>IF($AV295=0,0,
IF(Investment_Strategy="DIS",VLOOKUP(Investment_Strategy&amp;"_"&amp;Investment_Strategy_Sub1&amp;"_"&amp;$A295,'Investment Strategies'!$AZ:$BP,15,FALSE),
IF(AND(Investment_Strategy="Lifecycle",Investment_Strategy_Sub1="Non-Standard"),VLOOKUP(Investment_Strategy&amp;"_"&amp;Investment_Strategy_Sub2&amp;"_"&amp;$A295,'Investment Strategies'!$C:$P,12,FALSE),
IF(AND(Investment_Strategy="Lifecycle",Investment_Strategy_Sub1="Standard"),VLOOKUP(Investment_Strategy&amp;"_"&amp;Investment_Strategy_Sub2&amp;"_"&amp;$A295,'Investment Strategies'!$AJ:$AV,11,FALSE),
IF(AND(Investment_Strategy="Autopilot",Investment_Strategy_Sub1="Non-Standard"),VLOOKUP(Investment_Strategy&amp;"_"&amp;Investment_Strategy_Sub2&amp;"_"&amp;$A295,'Investment Strategies'!$T:$AF,11,FALSE),
IF(Investment_Strategy="DIY",DIY_GteeChrge_FuturePremiums,
"Error"))))))</f>
        <v>0</v>
      </c>
      <c r="V295" s="33">
        <f>IF(AV295=0,0,
IF(Investment_Strategy="DIS",VLOOKUP(Investment_Strategy&amp;"_"&amp;Investment_Strategy_Sub1&amp;"_"&amp;$A295,'Investment Strategies'!$AZ:$BP,17,FALSE),
IF(AND(Investment_Strategy="Lifecycle",Investment_Strategy_Sub1="Non-Standard"),VLOOKUP(Investment_Strategy&amp;"_"&amp;Investment_Strategy_Sub2&amp;"_"&amp;$A295,'Investment Strategies'!$C:$P,14,FALSE),
IF(AND(Investment_Strategy="Lifecycle",Investment_Strategy_Sub1="Standard"),VLOOKUP(Investment_Strategy&amp;"_"&amp;Investment_Strategy_Sub2&amp;"_"&amp;$A295,'Investment Strategies'!$AJ:$AV,13,FALSE),
IF(AND(Investment_Strategy="Autopilot",Investment_Strategy_Sub1="Non-Standard"),VLOOKUP(Investment_Strategy&amp;"_"&amp;Investment_Strategy_Sub2&amp;"_"&amp;$A295,'Investment Strategies'!$T:$AF,13,FALSE),
IF(Investment_Strategy="DIY",DIY_ExtManChrge_FuturePremiums,
"Error"))))))</f>
        <v>0</v>
      </c>
      <c r="W295" s="16">
        <f t="shared" si="188"/>
        <v>0</v>
      </c>
      <c r="X295" s="16">
        <f t="shared" si="163"/>
        <v>0</v>
      </c>
      <c r="Y295" s="16">
        <f t="shared" si="164"/>
        <v>0</v>
      </c>
      <c r="Z295" s="31">
        <f t="shared" si="165"/>
        <v>0.02</v>
      </c>
      <c r="AA295" s="16">
        <f t="shared" si="166"/>
        <v>0</v>
      </c>
      <c r="AB295" s="28">
        <f t="shared" si="189"/>
        <v>0</v>
      </c>
      <c r="AC295" s="28">
        <f>(SUM($AC$91:AC294)+SUM($X$91:X294)+X295)*T295*IF(D295=$A$91,SRP_finalmonthfactor,1)</f>
        <v>0</v>
      </c>
      <c r="AD295" s="16">
        <f t="shared" si="167"/>
        <v>0</v>
      </c>
      <c r="AE295" s="106"/>
      <c r="AF295" s="16">
        <f t="shared" si="176"/>
        <v>0</v>
      </c>
      <c r="AG295" s="16">
        <f t="shared" si="177"/>
        <v>0</v>
      </c>
      <c r="AH295" s="16">
        <f t="shared" si="178"/>
        <v>0</v>
      </c>
      <c r="AJ295" s="13">
        <f t="shared" si="198"/>
        <v>0</v>
      </c>
      <c r="AK295" s="13">
        <f t="shared" si="198"/>
        <v>0</v>
      </c>
      <c r="AL295" s="13">
        <f t="shared" si="198"/>
        <v>0</v>
      </c>
      <c r="AM295" s="13">
        <f t="shared" si="198"/>
        <v>0</v>
      </c>
      <c r="AN295" s="13">
        <f t="shared" si="198"/>
        <v>0</v>
      </c>
      <c r="AO295" s="13">
        <f t="shared" si="198"/>
        <v>1</v>
      </c>
      <c r="AP295" s="13">
        <f t="shared" si="198"/>
        <v>1</v>
      </c>
      <c r="AQ295" s="13">
        <f t="shared" si="198"/>
        <v>1</v>
      </c>
      <c r="AR295" s="13">
        <f t="shared" si="198"/>
        <v>1</v>
      </c>
      <c r="AS295" s="13">
        <f t="shared" si="198"/>
        <v>1</v>
      </c>
      <c r="AT295" s="13">
        <f t="shared" si="198"/>
        <v>1</v>
      </c>
      <c r="AU295" s="13">
        <f t="shared" si="198"/>
        <v>1</v>
      </c>
      <c r="AV295" s="13">
        <f t="shared" si="168"/>
        <v>0</v>
      </c>
      <c r="AW295" s="13">
        <f t="shared" si="169"/>
        <v>1</v>
      </c>
      <c r="AY295" s="17">
        <f t="shared" si="170"/>
        <v>205</v>
      </c>
      <c r="AZ295" s="28">
        <f t="shared" si="179"/>
        <v>0</v>
      </c>
      <c r="BA295" s="13">
        <f t="shared" si="171"/>
        <v>0</v>
      </c>
      <c r="BB295" s="13">
        <f t="shared" si="172"/>
        <v>0</v>
      </c>
      <c r="BC295" s="28">
        <f t="shared" si="180"/>
        <v>0</v>
      </c>
      <c r="BD295" s="28">
        <f t="shared" si="181"/>
        <v>0</v>
      </c>
      <c r="BF295" s="248">
        <f t="shared" si="182"/>
        <v>993869.29442638322</v>
      </c>
      <c r="BG295" s="36">
        <f t="shared" si="190"/>
        <v>0</v>
      </c>
      <c r="BH295" s="36">
        <f t="shared" si="191"/>
        <v>837604.71060392552</v>
      </c>
      <c r="BI295" s="249">
        <f t="shared" si="192"/>
        <v>0</v>
      </c>
      <c r="BJ295" s="246">
        <f t="shared" si="193"/>
        <v>0</v>
      </c>
      <c r="BK295" s="246">
        <f t="shared" si="173"/>
        <v>7.531116566323881E-4</v>
      </c>
      <c r="BL295" s="246">
        <f t="shared" si="194"/>
        <v>0</v>
      </c>
      <c r="BM295" s="246">
        <f t="shared" si="195"/>
        <v>7.531116566323881E-4</v>
      </c>
      <c r="BN295" s="36">
        <f t="shared" si="183"/>
        <v>630.80987120601435</v>
      </c>
      <c r="BO295" s="36">
        <f t="shared" si="196"/>
        <v>0</v>
      </c>
      <c r="BP295" s="36">
        <f t="shared" si="197"/>
        <v>836973.90073271946</v>
      </c>
    </row>
    <row r="296" spans="1:68">
      <c r="A296" s="32">
        <f t="shared" si="184"/>
        <v>-121</v>
      </c>
      <c r="B296" s="32">
        <f t="shared" si="174"/>
        <v>70</v>
      </c>
      <c r="C296" s="32">
        <f t="shared" si="185"/>
        <v>18</v>
      </c>
      <c r="D296" s="32">
        <f t="shared" si="186"/>
        <v>206</v>
      </c>
      <c r="E296" s="74">
        <f>MIN(IF(AV296=0,0,
IF(Investment_Strategy="DIS",VLOOKUP(Investment_Strategy&amp;"_"&amp;Investment_Strategy_Sub1&amp;"_"&amp;$A296,'Investment Strategies'!$AZ:$BP,12,FALSE),
IF(AND(Investment_Strategy="Lifecycle",Investment_Strategy_Sub1="Non-Standard"),VLOOKUP(Investment_Strategy&amp;"_"&amp;Investment_Strategy_Sub2&amp;"_"&amp;$A296,'Investment Strategies'!$C:$P,9,FALSE),
IF(AND(Investment_Strategy="Lifecycle",Investment_Strategy_Sub1="Standard"),VLOOKUP(Investment_Strategy&amp;"_"&amp;Investment_Strategy_Sub2&amp;"_"&amp;$A296,'Investment Strategies'!$AJ:$AV,8,FALSE),
IF(AND(Investment_Strategy="Autopilot",Investment_Strategy_Sub1="Non-Standard"),VLOOKUP(Investment_Strategy&amp;"_"&amp;Investment_Strategy_Sub2&amp;"_"&amp;$A296,'Investment Strategies'!$T:$AF,8,FALSE),
IF(Investment_Strategy ="DIY",DIY_RateOfReturn_CurrentFunds,
"Error")))))),Max_InvReturn)</f>
        <v>0</v>
      </c>
      <c r="F296" s="62">
        <f>IF(AV296=0,0,
IF(Investment_Strategy="DIS",VLOOKUP(Investment_Strategy&amp;"_"&amp;Investment_Strategy_Sub1&amp;"_"&amp;$A296,'Investment Strategies'!$AZ:$BP,15,FALSE),
IF(AND(Investment_Strategy="Lifecycle",Investment_Strategy_Sub1="Non-Standard"),VLOOKUP(Investment_Strategy&amp;"_"&amp;Investment_Strategy_Sub2&amp;"_"&amp;$A296,'Investment Strategies'!$C:$P,12,FALSE),
IF(AND(Investment_Strategy="Lifecycle",Investment_Strategy_Sub1="Standard"),VLOOKUP(Investment_Strategy&amp;"_"&amp;Investment_Strategy_Sub2&amp;"_"&amp;$A296,'Investment Strategies'!$AJ:$AV,11,FALSE),
IF(AND(Investment_Strategy="Autopilot",Investment_Strategy_Sub1="Non-Standard"),VLOOKUP(Investment_Strategy&amp;"_"&amp;Investment_Strategy_Sub2&amp;"_"&amp;$A296,'Investment Strategies'!$T:$AF,11,FALSE),
IF(Investment_Strategy="DIY",DIY_GteeChrge_CurrentFunds,
"Error"))))))</f>
        <v>0</v>
      </c>
      <c r="G296" s="33">
        <f>IF(AV296=0,0,
IF(Investment_Strategy="DIS",VLOOKUP(Investment_Strategy&amp;"_"&amp;Investment_Strategy_Sub1&amp;"_"&amp;$A296,'Investment Strategies'!$AZ:$BP,17,FALSE),
IF(AND(Investment_Strategy="Lifecycle",Investment_Strategy_Sub1="Non-Standard"),VLOOKUP(Investment_Strategy&amp;"_"&amp;Investment_Strategy_Sub2&amp;"_"&amp;$A296,'Investment Strategies'!$C:$P,14,FALSE),
IF(AND(Investment_Strategy="Lifecycle",Investment_Strategy_Sub1="Standard"),VLOOKUP(Investment_Strategy&amp;"_"&amp;Investment_Strategy_Sub2&amp;"_"&amp;$A296,'Investment Strategies'!$AJ:$AV,13,FALSE),
IF(AND(Investment_Strategy="Autopilot",Investment_Strategy_Sub1="Non-Standard"),VLOOKUP(Investment_Strategy&amp;"_"&amp;Investment_Strategy_Sub2&amp;"_"&amp;$A296,'Investment Strategies'!$T:$AF,13,FALSE),
IF(Investment_Strategy="DIY",DIY_ExtManChrge_CurrentFunds,
"Error"))))))</f>
        <v>0</v>
      </c>
      <c r="H296" s="16">
        <f t="shared" si="175"/>
        <v>0</v>
      </c>
      <c r="I296" s="16">
        <f t="shared" si="159"/>
        <v>0</v>
      </c>
      <c r="J296" s="16">
        <f t="shared" si="160"/>
        <v>0</v>
      </c>
      <c r="K296" s="16">
        <f>(Opening_Fund_Value+SUM(K$91:K295))*E296*IF(D296=$A$91,SRP_finalmonthfactor,1)</f>
        <v>0</v>
      </c>
      <c r="L296" s="74">
        <f>MIN(IF($AV296=0,0,
IF(Investment_Strategy="DIS",VLOOKUP(Investment_Strategy&amp;"_"&amp;Investment_Strategy_Sub1&amp;"_"&amp;$A296,'Investment Strategies'!$AZ:$BP,12,FALSE),
IF(AND(Investment_Strategy="Lifecycle",Investment_Strategy_Sub1="Non-Standard"),VLOOKUP(Investment_Strategy&amp;"_"&amp;Investment_Strategy_Sub2&amp;"_"&amp;$A296,'Investment Strategies'!$C:$P,9,FALSE),
IF(AND(Investment_Strategy="Lifecycle",Investment_Strategy_Sub1="Standard"),VLOOKUP(Investment_Strategy&amp;"_"&amp;Investment_Strategy_Sub2&amp;"_"&amp;$A296,'Investment Strategies'!$AJ:$AV,8,FALSE),
IF(AND(Investment_Strategy="Autopilot",Investment_Strategy_Sub1="Non-Standard"),VLOOKUP(Investment_Strategy&amp;"_"&amp;Investment_Strategy_Sub2&amp;"_"&amp;$A296,'Investment Strategies'!$T:$AF,8,FALSE),
IF(Investment_Strategy ="DIY",DIY_RateofReturn_SP,
"Error")))))),Max_InvReturn)</f>
        <v>0</v>
      </c>
      <c r="M296" s="62">
        <f>IF($AV296=0,0,
IF(Investment_Strategy="DIS",VLOOKUP(Investment_Strategy&amp;"_"&amp;Investment_Strategy_Sub1&amp;"_"&amp;$A296,'Investment Strategies'!$AZ:$BP,15,FALSE),
IF(AND(Investment_Strategy="Lifecycle",Investment_Strategy_Sub1="Non-Standard"),VLOOKUP(Investment_Strategy&amp;"_"&amp;Investment_Strategy_Sub2&amp;"_"&amp;$A296,'Investment Strategies'!$C:$P,12,FALSE),
IF(AND(Investment_Strategy="Lifecycle",Investment_Strategy_Sub1="Standard"),VLOOKUP(Investment_Strategy&amp;"_"&amp;Investment_Strategy_Sub2&amp;"_"&amp;$A296,'Investment Strategies'!$AJ:$AV,11,FALSE),
IF(AND(Investment_Strategy="Autopilot",Investment_Strategy_Sub1="Non-Standard"),VLOOKUP(Investment_Strategy&amp;"_"&amp;Investment_Strategy_Sub2&amp;"_"&amp;$A296,'Investment Strategies'!$T:$AF,11,FALSE),
IF(Investment_Strategy="DIY",DIY_GteeChrge_SP,
"Error"))))))</f>
        <v>0</v>
      </c>
      <c r="N296" s="33">
        <f>IF($AV296=0,0,
IF(Investment_Strategy="DIS",VLOOKUP(Investment_Strategy&amp;"_"&amp;Investment_Strategy_Sub1&amp;"_"&amp;$A296,'Investment Strategies'!$AZ:$BP,17,FALSE),
IF(AND(Investment_Strategy="Lifecycle",Investment_Strategy_Sub1="Non-Standard"),VLOOKUP(Investment_Strategy&amp;"_"&amp;Investment_Strategy_Sub2&amp;"_"&amp;$A296,'Investment Strategies'!$C:$P,14,FALSE),
IF(AND(Investment_Strategy="Lifecycle",Investment_Strategy_Sub1="Standard"),VLOOKUP(Investment_Strategy&amp;"_"&amp;Investment_Strategy_Sub2&amp;"_"&amp;$A296,'Investment Strategies'!$AJ:$AV,13,FALSE),
IF(AND(Investment_Strategy="Autopilot",Investment_Strategy_Sub1="Non-Standard"),VLOOKUP(Investment_Strategy&amp;"_"&amp;Investment_Strategy_Sub2&amp;"_"&amp;$A296,'Investment Strategies'!$T:$AF,13,FALSE),
IF(Investment_Strategy="DIY",DIY_ExtManChrge_SP,
"Error"))))))</f>
        <v>0</v>
      </c>
      <c r="O296" s="16">
        <f t="shared" si="187"/>
        <v>0</v>
      </c>
      <c r="Q296" s="16">
        <f t="shared" si="161"/>
        <v>0</v>
      </c>
      <c r="R296" s="16">
        <f t="shared" si="162"/>
        <v>0</v>
      </c>
      <c r="S296" s="16">
        <f>(SRP_SP+SUM(S$91:S295))*L296*IF(D296=$A$91,SRP_finalmonthfactor,1)</f>
        <v>0</v>
      </c>
      <c r="T296" s="74">
        <f>MIN(IF($AV296=0,0,
IF(Investment_Strategy="DIS",VLOOKUP(Investment_Strategy&amp;"_"&amp;Investment_Strategy_Sub1&amp;"_"&amp;$A296,'Investment Strategies'!$AZ:$BP,12,FALSE),
IF(AND(Investment_Strategy="Lifecycle",Investment_Strategy_Sub1="Non-Standard"),VLOOKUP(Investment_Strategy&amp;"_"&amp;Investment_Strategy_Sub2&amp;"_"&amp;$A296,'Investment Strategies'!$C:$P,9,FALSE),
IF(AND(Investment_Strategy="Lifecycle",Investment_Strategy_Sub1="Standard"),VLOOKUP(Investment_Strategy&amp;"_"&amp;Investment_Strategy_Sub2&amp;"_"&amp;$A296,'Investment Strategies'!$AJ:$AV,8,FALSE),
IF(AND(Investment_Strategy="Autopilot",Investment_Strategy_Sub1="Non-Standard"),VLOOKUP(Investment_Strategy&amp;"_"&amp;Investment_Strategy_Sub2&amp;"_"&amp;$A296,'Investment Strategies'!$T:$AF,8,FALSE),
IF(Investment_Strategy ="DIY",DIY_RateOfReturn_FuturePremiums,
"Error")))))),Max_InvReturn)</f>
        <v>0</v>
      </c>
      <c r="U296" s="62">
        <f>IF($AV296=0,0,
IF(Investment_Strategy="DIS",VLOOKUP(Investment_Strategy&amp;"_"&amp;Investment_Strategy_Sub1&amp;"_"&amp;$A296,'Investment Strategies'!$AZ:$BP,15,FALSE),
IF(AND(Investment_Strategy="Lifecycle",Investment_Strategy_Sub1="Non-Standard"),VLOOKUP(Investment_Strategy&amp;"_"&amp;Investment_Strategy_Sub2&amp;"_"&amp;$A296,'Investment Strategies'!$C:$P,12,FALSE),
IF(AND(Investment_Strategy="Lifecycle",Investment_Strategy_Sub1="Standard"),VLOOKUP(Investment_Strategy&amp;"_"&amp;Investment_Strategy_Sub2&amp;"_"&amp;$A296,'Investment Strategies'!$AJ:$AV,11,FALSE),
IF(AND(Investment_Strategy="Autopilot",Investment_Strategy_Sub1="Non-Standard"),VLOOKUP(Investment_Strategy&amp;"_"&amp;Investment_Strategy_Sub2&amp;"_"&amp;$A296,'Investment Strategies'!$T:$AF,11,FALSE),
IF(Investment_Strategy="DIY",DIY_GteeChrge_FuturePremiums,
"Error"))))))</f>
        <v>0</v>
      </c>
      <c r="V296" s="33">
        <f>IF(AV296=0,0,
IF(Investment_Strategy="DIS",VLOOKUP(Investment_Strategy&amp;"_"&amp;Investment_Strategy_Sub1&amp;"_"&amp;$A296,'Investment Strategies'!$AZ:$BP,17,FALSE),
IF(AND(Investment_Strategy="Lifecycle",Investment_Strategy_Sub1="Non-Standard"),VLOOKUP(Investment_Strategy&amp;"_"&amp;Investment_Strategy_Sub2&amp;"_"&amp;$A296,'Investment Strategies'!$C:$P,14,FALSE),
IF(AND(Investment_Strategy="Lifecycle",Investment_Strategy_Sub1="Standard"),VLOOKUP(Investment_Strategy&amp;"_"&amp;Investment_Strategy_Sub2&amp;"_"&amp;$A296,'Investment Strategies'!$AJ:$AV,13,FALSE),
IF(AND(Investment_Strategy="Autopilot",Investment_Strategy_Sub1="Non-Standard"),VLOOKUP(Investment_Strategy&amp;"_"&amp;Investment_Strategy_Sub2&amp;"_"&amp;$A296,'Investment Strategies'!$T:$AF,13,FALSE),
IF(Investment_Strategy="DIY",DIY_ExtManChrge_FuturePremiums,
"Error"))))))</f>
        <v>0</v>
      </c>
      <c r="W296" s="16">
        <f t="shared" si="188"/>
        <v>0</v>
      </c>
      <c r="X296" s="16">
        <f t="shared" si="163"/>
        <v>0</v>
      </c>
      <c r="Y296" s="16">
        <f t="shared" si="164"/>
        <v>0</v>
      </c>
      <c r="Z296" s="31">
        <f t="shared" si="165"/>
        <v>0.02</v>
      </c>
      <c r="AA296" s="16">
        <f t="shared" si="166"/>
        <v>0</v>
      </c>
      <c r="AB296" s="28">
        <f t="shared" si="189"/>
        <v>0</v>
      </c>
      <c r="AC296" s="28">
        <f>(SUM($AC$91:AC295)+SUM($X$91:X295)+X296)*T296*IF(D296=$A$91,SRP_finalmonthfactor,1)</f>
        <v>0</v>
      </c>
      <c r="AD296" s="16">
        <f t="shared" si="167"/>
        <v>0</v>
      </c>
      <c r="AE296" s="106"/>
      <c r="AF296" s="16">
        <f t="shared" si="176"/>
        <v>0</v>
      </c>
      <c r="AG296" s="16">
        <f t="shared" si="177"/>
        <v>0</v>
      </c>
      <c r="AH296" s="16">
        <f t="shared" si="178"/>
        <v>0</v>
      </c>
      <c r="AJ296" s="13">
        <f t="shared" si="198"/>
        <v>0</v>
      </c>
      <c r="AK296" s="13">
        <f t="shared" si="198"/>
        <v>0</v>
      </c>
      <c r="AL296" s="13">
        <f t="shared" si="198"/>
        <v>0</v>
      </c>
      <c r="AM296" s="13">
        <f t="shared" si="198"/>
        <v>0</v>
      </c>
      <c r="AN296" s="13">
        <f t="shared" si="198"/>
        <v>0</v>
      </c>
      <c r="AO296" s="13">
        <f t="shared" si="198"/>
        <v>1</v>
      </c>
      <c r="AP296" s="13">
        <f t="shared" si="198"/>
        <v>1</v>
      </c>
      <c r="AQ296" s="13">
        <f t="shared" si="198"/>
        <v>1</v>
      </c>
      <c r="AR296" s="13">
        <f t="shared" si="198"/>
        <v>1</v>
      </c>
      <c r="AS296" s="13">
        <f t="shared" si="198"/>
        <v>1</v>
      </c>
      <c r="AT296" s="13">
        <f t="shared" si="198"/>
        <v>1</v>
      </c>
      <c r="AU296" s="13">
        <f t="shared" si="198"/>
        <v>1</v>
      </c>
      <c r="AV296" s="13">
        <f t="shared" si="168"/>
        <v>0</v>
      </c>
      <c r="AW296" s="13">
        <f t="shared" si="169"/>
        <v>1</v>
      </c>
      <c r="AY296" s="17">
        <f t="shared" si="170"/>
        <v>206</v>
      </c>
      <c r="AZ296" s="28">
        <f t="shared" si="179"/>
        <v>0</v>
      </c>
      <c r="BA296" s="13">
        <f t="shared" si="171"/>
        <v>0</v>
      </c>
      <c r="BB296" s="13">
        <f t="shared" si="172"/>
        <v>0</v>
      </c>
      <c r="BC296" s="28">
        <f t="shared" si="180"/>
        <v>0</v>
      </c>
      <c r="BD296" s="28">
        <f t="shared" si="181"/>
        <v>0</v>
      </c>
      <c r="BF296" s="248">
        <f t="shared" si="182"/>
        <v>993869.29442638322</v>
      </c>
      <c r="BG296" s="36">
        <f t="shared" si="190"/>
        <v>0</v>
      </c>
      <c r="BH296" s="36">
        <f t="shared" si="191"/>
        <v>836973.90073271946</v>
      </c>
      <c r="BI296" s="249">
        <f t="shared" si="192"/>
        <v>0</v>
      </c>
      <c r="BJ296" s="246">
        <f t="shared" si="193"/>
        <v>0</v>
      </c>
      <c r="BK296" s="246">
        <f t="shared" si="173"/>
        <v>7.531116566323881E-4</v>
      </c>
      <c r="BL296" s="246">
        <f t="shared" si="194"/>
        <v>0</v>
      </c>
      <c r="BM296" s="246">
        <f t="shared" si="195"/>
        <v>7.531116566323881E-4</v>
      </c>
      <c r="BN296" s="36">
        <f t="shared" si="183"/>
        <v>630.33480093889034</v>
      </c>
      <c r="BO296" s="36">
        <f t="shared" si="196"/>
        <v>0</v>
      </c>
      <c r="BP296" s="36">
        <f t="shared" si="197"/>
        <v>836343.56593178061</v>
      </c>
    </row>
    <row r="297" spans="1:68">
      <c r="A297" s="32">
        <f t="shared" si="184"/>
        <v>-122</v>
      </c>
      <c r="B297" s="32">
        <f t="shared" si="174"/>
        <v>70</v>
      </c>
      <c r="C297" s="32">
        <f t="shared" si="185"/>
        <v>18</v>
      </c>
      <c r="D297" s="32">
        <f t="shared" si="186"/>
        <v>207</v>
      </c>
      <c r="E297" s="74">
        <f>MIN(IF(AV297=0,0,
IF(Investment_Strategy="DIS",VLOOKUP(Investment_Strategy&amp;"_"&amp;Investment_Strategy_Sub1&amp;"_"&amp;$A297,'Investment Strategies'!$AZ:$BP,12,FALSE),
IF(AND(Investment_Strategy="Lifecycle",Investment_Strategy_Sub1="Non-Standard"),VLOOKUP(Investment_Strategy&amp;"_"&amp;Investment_Strategy_Sub2&amp;"_"&amp;$A297,'Investment Strategies'!$C:$P,9,FALSE),
IF(AND(Investment_Strategy="Lifecycle",Investment_Strategy_Sub1="Standard"),VLOOKUP(Investment_Strategy&amp;"_"&amp;Investment_Strategy_Sub2&amp;"_"&amp;$A297,'Investment Strategies'!$AJ:$AV,8,FALSE),
IF(AND(Investment_Strategy="Autopilot",Investment_Strategy_Sub1="Non-Standard"),VLOOKUP(Investment_Strategy&amp;"_"&amp;Investment_Strategy_Sub2&amp;"_"&amp;$A297,'Investment Strategies'!$T:$AF,8,FALSE),
IF(Investment_Strategy ="DIY",DIY_RateOfReturn_CurrentFunds,
"Error")))))),Max_InvReturn)</f>
        <v>0</v>
      </c>
      <c r="F297" s="62">
        <f>IF(AV297=0,0,
IF(Investment_Strategy="DIS",VLOOKUP(Investment_Strategy&amp;"_"&amp;Investment_Strategy_Sub1&amp;"_"&amp;$A297,'Investment Strategies'!$AZ:$BP,15,FALSE),
IF(AND(Investment_Strategy="Lifecycle",Investment_Strategy_Sub1="Non-Standard"),VLOOKUP(Investment_Strategy&amp;"_"&amp;Investment_Strategy_Sub2&amp;"_"&amp;$A297,'Investment Strategies'!$C:$P,12,FALSE),
IF(AND(Investment_Strategy="Lifecycle",Investment_Strategy_Sub1="Standard"),VLOOKUP(Investment_Strategy&amp;"_"&amp;Investment_Strategy_Sub2&amp;"_"&amp;$A297,'Investment Strategies'!$AJ:$AV,11,FALSE),
IF(AND(Investment_Strategy="Autopilot",Investment_Strategy_Sub1="Non-Standard"),VLOOKUP(Investment_Strategy&amp;"_"&amp;Investment_Strategy_Sub2&amp;"_"&amp;$A297,'Investment Strategies'!$T:$AF,11,FALSE),
IF(Investment_Strategy="DIY",DIY_GteeChrge_CurrentFunds,
"Error"))))))</f>
        <v>0</v>
      </c>
      <c r="G297" s="33">
        <f>IF(AV297=0,0,
IF(Investment_Strategy="DIS",VLOOKUP(Investment_Strategy&amp;"_"&amp;Investment_Strategy_Sub1&amp;"_"&amp;$A297,'Investment Strategies'!$AZ:$BP,17,FALSE),
IF(AND(Investment_Strategy="Lifecycle",Investment_Strategy_Sub1="Non-Standard"),VLOOKUP(Investment_Strategy&amp;"_"&amp;Investment_Strategy_Sub2&amp;"_"&amp;$A297,'Investment Strategies'!$C:$P,14,FALSE),
IF(AND(Investment_Strategy="Lifecycle",Investment_Strategy_Sub1="Standard"),VLOOKUP(Investment_Strategy&amp;"_"&amp;Investment_Strategy_Sub2&amp;"_"&amp;$A297,'Investment Strategies'!$AJ:$AV,13,FALSE),
IF(AND(Investment_Strategy="Autopilot",Investment_Strategy_Sub1="Non-Standard"),VLOOKUP(Investment_Strategy&amp;"_"&amp;Investment_Strategy_Sub2&amp;"_"&amp;$A297,'Investment Strategies'!$T:$AF,13,FALSE),
IF(Investment_Strategy="DIY",DIY_ExtManChrge_CurrentFunds,
"Error"))))))</f>
        <v>0</v>
      </c>
      <c r="H297" s="16">
        <f t="shared" si="175"/>
        <v>0</v>
      </c>
      <c r="I297" s="16">
        <f t="shared" si="159"/>
        <v>0</v>
      </c>
      <c r="J297" s="16">
        <f t="shared" si="160"/>
        <v>0</v>
      </c>
      <c r="K297" s="16">
        <f>(Opening_Fund_Value+SUM(K$91:K296))*E297*IF(D297=$A$91,SRP_finalmonthfactor,1)</f>
        <v>0</v>
      </c>
      <c r="L297" s="74">
        <f>MIN(IF($AV297=0,0,
IF(Investment_Strategy="DIS",VLOOKUP(Investment_Strategy&amp;"_"&amp;Investment_Strategy_Sub1&amp;"_"&amp;$A297,'Investment Strategies'!$AZ:$BP,12,FALSE),
IF(AND(Investment_Strategy="Lifecycle",Investment_Strategy_Sub1="Non-Standard"),VLOOKUP(Investment_Strategy&amp;"_"&amp;Investment_Strategy_Sub2&amp;"_"&amp;$A297,'Investment Strategies'!$C:$P,9,FALSE),
IF(AND(Investment_Strategy="Lifecycle",Investment_Strategy_Sub1="Standard"),VLOOKUP(Investment_Strategy&amp;"_"&amp;Investment_Strategy_Sub2&amp;"_"&amp;$A297,'Investment Strategies'!$AJ:$AV,8,FALSE),
IF(AND(Investment_Strategy="Autopilot",Investment_Strategy_Sub1="Non-Standard"),VLOOKUP(Investment_Strategy&amp;"_"&amp;Investment_Strategy_Sub2&amp;"_"&amp;$A297,'Investment Strategies'!$T:$AF,8,FALSE),
IF(Investment_Strategy ="DIY",DIY_RateofReturn_SP,
"Error")))))),Max_InvReturn)</f>
        <v>0</v>
      </c>
      <c r="M297" s="62">
        <f>IF($AV297=0,0,
IF(Investment_Strategy="DIS",VLOOKUP(Investment_Strategy&amp;"_"&amp;Investment_Strategy_Sub1&amp;"_"&amp;$A297,'Investment Strategies'!$AZ:$BP,15,FALSE),
IF(AND(Investment_Strategy="Lifecycle",Investment_Strategy_Sub1="Non-Standard"),VLOOKUP(Investment_Strategy&amp;"_"&amp;Investment_Strategy_Sub2&amp;"_"&amp;$A297,'Investment Strategies'!$C:$P,12,FALSE),
IF(AND(Investment_Strategy="Lifecycle",Investment_Strategy_Sub1="Standard"),VLOOKUP(Investment_Strategy&amp;"_"&amp;Investment_Strategy_Sub2&amp;"_"&amp;$A297,'Investment Strategies'!$AJ:$AV,11,FALSE),
IF(AND(Investment_Strategy="Autopilot",Investment_Strategy_Sub1="Non-Standard"),VLOOKUP(Investment_Strategy&amp;"_"&amp;Investment_Strategy_Sub2&amp;"_"&amp;$A297,'Investment Strategies'!$T:$AF,11,FALSE),
IF(Investment_Strategy="DIY",DIY_GteeChrge_SP,
"Error"))))))</f>
        <v>0</v>
      </c>
      <c r="N297" s="33">
        <f>IF($AV297=0,0,
IF(Investment_Strategy="DIS",VLOOKUP(Investment_Strategy&amp;"_"&amp;Investment_Strategy_Sub1&amp;"_"&amp;$A297,'Investment Strategies'!$AZ:$BP,17,FALSE),
IF(AND(Investment_Strategy="Lifecycle",Investment_Strategy_Sub1="Non-Standard"),VLOOKUP(Investment_Strategy&amp;"_"&amp;Investment_Strategy_Sub2&amp;"_"&amp;$A297,'Investment Strategies'!$C:$P,14,FALSE),
IF(AND(Investment_Strategy="Lifecycle",Investment_Strategy_Sub1="Standard"),VLOOKUP(Investment_Strategy&amp;"_"&amp;Investment_Strategy_Sub2&amp;"_"&amp;$A297,'Investment Strategies'!$AJ:$AV,13,FALSE),
IF(AND(Investment_Strategy="Autopilot",Investment_Strategy_Sub1="Non-Standard"),VLOOKUP(Investment_Strategy&amp;"_"&amp;Investment_Strategy_Sub2&amp;"_"&amp;$A297,'Investment Strategies'!$T:$AF,13,FALSE),
IF(Investment_Strategy="DIY",DIY_ExtManChrge_SP,
"Error"))))))</f>
        <v>0</v>
      </c>
      <c r="O297" s="16">
        <f t="shared" si="187"/>
        <v>0</v>
      </c>
      <c r="Q297" s="16">
        <f t="shared" si="161"/>
        <v>0</v>
      </c>
      <c r="R297" s="16">
        <f t="shared" si="162"/>
        <v>0</v>
      </c>
      <c r="S297" s="16">
        <f>(SRP_SP+SUM(S$91:S296))*L297*IF(D297=$A$91,SRP_finalmonthfactor,1)</f>
        <v>0</v>
      </c>
      <c r="T297" s="74">
        <f>MIN(IF($AV297=0,0,
IF(Investment_Strategy="DIS",VLOOKUP(Investment_Strategy&amp;"_"&amp;Investment_Strategy_Sub1&amp;"_"&amp;$A297,'Investment Strategies'!$AZ:$BP,12,FALSE),
IF(AND(Investment_Strategy="Lifecycle",Investment_Strategy_Sub1="Non-Standard"),VLOOKUP(Investment_Strategy&amp;"_"&amp;Investment_Strategy_Sub2&amp;"_"&amp;$A297,'Investment Strategies'!$C:$P,9,FALSE),
IF(AND(Investment_Strategy="Lifecycle",Investment_Strategy_Sub1="Standard"),VLOOKUP(Investment_Strategy&amp;"_"&amp;Investment_Strategy_Sub2&amp;"_"&amp;$A297,'Investment Strategies'!$AJ:$AV,8,FALSE),
IF(AND(Investment_Strategy="Autopilot",Investment_Strategy_Sub1="Non-Standard"),VLOOKUP(Investment_Strategy&amp;"_"&amp;Investment_Strategy_Sub2&amp;"_"&amp;$A297,'Investment Strategies'!$T:$AF,8,FALSE),
IF(Investment_Strategy ="DIY",DIY_RateOfReturn_FuturePremiums,
"Error")))))),Max_InvReturn)</f>
        <v>0</v>
      </c>
      <c r="U297" s="62">
        <f>IF($AV297=0,0,
IF(Investment_Strategy="DIS",VLOOKUP(Investment_Strategy&amp;"_"&amp;Investment_Strategy_Sub1&amp;"_"&amp;$A297,'Investment Strategies'!$AZ:$BP,15,FALSE),
IF(AND(Investment_Strategy="Lifecycle",Investment_Strategy_Sub1="Non-Standard"),VLOOKUP(Investment_Strategy&amp;"_"&amp;Investment_Strategy_Sub2&amp;"_"&amp;$A297,'Investment Strategies'!$C:$P,12,FALSE),
IF(AND(Investment_Strategy="Lifecycle",Investment_Strategy_Sub1="Standard"),VLOOKUP(Investment_Strategy&amp;"_"&amp;Investment_Strategy_Sub2&amp;"_"&amp;$A297,'Investment Strategies'!$AJ:$AV,11,FALSE),
IF(AND(Investment_Strategy="Autopilot",Investment_Strategy_Sub1="Non-Standard"),VLOOKUP(Investment_Strategy&amp;"_"&amp;Investment_Strategy_Sub2&amp;"_"&amp;$A297,'Investment Strategies'!$T:$AF,11,FALSE),
IF(Investment_Strategy="DIY",DIY_GteeChrge_FuturePremiums,
"Error"))))))</f>
        <v>0</v>
      </c>
      <c r="V297" s="33">
        <f>IF(AV297=0,0,
IF(Investment_Strategy="DIS",VLOOKUP(Investment_Strategy&amp;"_"&amp;Investment_Strategy_Sub1&amp;"_"&amp;$A297,'Investment Strategies'!$AZ:$BP,17,FALSE),
IF(AND(Investment_Strategy="Lifecycle",Investment_Strategy_Sub1="Non-Standard"),VLOOKUP(Investment_Strategy&amp;"_"&amp;Investment_Strategy_Sub2&amp;"_"&amp;$A297,'Investment Strategies'!$C:$P,14,FALSE),
IF(AND(Investment_Strategy="Lifecycle",Investment_Strategy_Sub1="Standard"),VLOOKUP(Investment_Strategy&amp;"_"&amp;Investment_Strategy_Sub2&amp;"_"&amp;$A297,'Investment Strategies'!$AJ:$AV,13,FALSE),
IF(AND(Investment_Strategy="Autopilot",Investment_Strategy_Sub1="Non-Standard"),VLOOKUP(Investment_Strategy&amp;"_"&amp;Investment_Strategy_Sub2&amp;"_"&amp;$A297,'Investment Strategies'!$T:$AF,13,FALSE),
IF(Investment_Strategy="DIY",DIY_ExtManChrge_FuturePremiums,
"Error"))))))</f>
        <v>0</v>
      </c>
      <c r="W297" s="16">
        <f t="shared" si="188"/>
        <v>0</v>
      </c>
      <c r="X297" s="16">
        <f t="shared" si="163"/>
        <v>0</v>
      </c>
      <c r="Y297" s="16">
        <f t="shared" si="164"/>
        <v>0</v>
      </c>
      <c r="Z297" s="31">
        <f t="shared" si="165"/>
        <v>0.02</v>
      </c>
      <c r="AA297" s="16">
        <f t="shared" si="166"/>
        <v>0</v>
      </c>
      <c r="AB297" s="28">
        <f t="shared" si="189"/>
        <v>0</v>
      </c>
      <c r="AC297" s="28">
        <f>(SUM($AC$91:AC296)+SUM($X$91:X296)+X297)*T297*IF(D297=$A$91,SRP_finalmonthfactor,1)</f>
        <v>0</v>
      </c>
      <c r="AD297" s="16">
        <f t="shared" si="167"/>
        <v>0</v>
      </c>
      <c r="AE297" s="106"/>
      <c r="AF297" s="16">
        <f t="shared" si="176"/>
        <v>0</v>
      </c>
      <c r="AG297" s="16">
        <f t="shared" si="177"/>
        <v>0</v>
      </c>
      <c r="AH297" s="16">
        <f t="shared" si="178"/>
        <v>0</v>
      </c>
      <c r="AJ297" s="13">
        <f t="shared" si="198"/>
        <v>0</v>
      </c>
      <c r="AK297" s="13">
        <f t="shared" si="198"/>
        <v>0</v>
      </c>
      <c r="AL297" s="13">
        <f t="shared" si="198"/>
        <v>0</v>
      </c>
      <c r="AM297" s="13">
        <f t="shared" si="198"/>
        <v>0</v>
      </c>
      <c r="AN297" s="13">
        <f t="shared" si="198"/>
        <v>0</v>
      </c>
      <c r="AO297" s="13">
        <f t="shared" si="198"/>
        <v>1</v>
      </c>
      <c r="AP297" s="13">
        <f t="shared" si="198"/>
        <v>1</v>
      </c>
      <c r="AQ297" s="13">
        <f t="shared" si="198"/>
        <v>1</v>
      </c>
      <c r="AR297" s="13">
        <f t="shared" si="198"/>
        <v>1</v>
      </c>
      <c r="AS297" s="13">
        <f t="shared" si="198"/>
        <v>1</v>
      </c>
      <c r="AT297" s="13">
        <f t="shared" si="198"/>
        <v>1</v>
      </c>
      <c r="AU297" s="13">
        <f t="shared" si="198"/>
        <v>1</v>
      </c>
      <c r="AV297" s="13">
        <f t="shared" si="168"/>
        <v>0</v>
      </c>
      <c r="AW297" s="13">
        <f t="shared" si="169"/>
        <v>1</v>
      </c>
      <c r="AY297" s="17">
        <f t="shared" si="170"/>
        <v>207</v>
      </c>
      <c r="AZ297" s="28">
        <f t="shared" si="179"/>
        <v>0</v>
      </c>
      <c r="BA297" s="13">
        <f t="shared" si="171"/>
        <v>0</v>
      </c>
      <c r="BB297" s="13">
        <f t="shared" si="172"/>
        <v>0</v>
      </c>
      <c r="BC297" s="28">
        <f t="shared" si="180"/>
        <v>0</v>
      </c>
      <c r="BD297" s="28">
        <f t="shared" si="181"/>
        <v>0</v>
      </c>
      <c r="BF297" s="248">
        <f t="shared" si="182"/>
        <v>993869.29442638322</v>
      </c>
      <c r="BG297" s="36">
        <f t="shared" si="190"/>
        <v>0</v>
      </c>
      <c r="BH297" s="36">
        <f t="shared" si="191"/>
        <v>836343.56593178061</v>
      </c>
      <c r="BI297" s="249">
        <f t="shared" si="192"/>
        <v>0</v>
      </c>
      <c r="BJ297" s="246">
        <f t="shared" si="193"/>
        <v>0</v>
      </c>
      <c r="BK297" s="246">
        <f t="shared" si="173"/>
        <v>7.531116566323881E-4</v>
      </c>
      <c r="BL297" s="246">
        <f t="shared" si="194"/>
        <v>0</v>
      </c>
      <c r="BM297" s="246">
        <f t="shared" si="195"/>
        <v>7.531116566323881E-4</v>
      </c>
      <c r="BN297" s="36">
        <f t="shared" si="183"/>
        <v>629.86008845272215</v>
      </c>
      <c r="BO297" s="36">
        <f t="shared" si="196"/>
        <v>0</v>
      </c>
      <c r="BP297" s="36">
        <f t="shared" si="197"/>
        <v>835713.70584332792</v>
      </c>
    </row>
    <row r="298" spans="1:68">
      <c r="A298" s="32">
        <f t="shared" si="184"/>
        <v>-123</v>
      </c>
      <c r="B298" s="32">
        <f t="shared" si="174"/>
        <v>70</v>
      </c>
      <c r="C298" s="32">
        <f t="shared" si="185"/>
        <v>18</v>
      </c>
      <c r="D298" s="32">
        <f t="shared" si="186"/>
        <v>208</v>
      </c>
      <c r="E298" s="74">
        <f>MIN(IF(AV298=0,0,
IF(Investment_Strategy="DIS",VLOOKUP(Investment_Strategy&amp;"_"&amp;Investment_Strategy_Sub1&amp;"_"&amp;$A298,'Investment Strategies'!$AZ:$BP,12,FALSE),
IF(AND(Investment_Strategy="Lifecycle",Investment_Strategy_Sub1="Non-Standard"),VLOOKUP(Investment_Strategy&amp;"_"&amp;Investment_Strategy_Sub2&amp;"_"&amp;$A298,'Investment Strategies'!$C:$P,9,FALSE),
IF(AND(Investment_Strategy="Lifecycle",Investment_Strategy_Sub1="Standard"),VLOOKUP(Investment_Strategy&amp;"_"&amp;Investment_Strategy_Sub2&amp;"_"&amp;$A298,'Investment Strategies'!$AJ:$AV,8,FALSE),
IF(AND(Investment_Strategy="Autopilot",Investment_Strategy_Sub1="Non-Standard"),VLOOKUP(Investment_Strategy&amp;"_"&amp;Investment_Strategy_Sub2&amp;"_"&amp;$A298,'Investment Strategies'!$T:$AF,8,FALSE),
IF(Investment_Strategy ="DIY",DIY_RateOfReturn_CurrentFunds,
"Error")))))),Max_InvReturn)</f>
        <v>0</v>
      </c>
      <c r="F298" s="62">
        <f>IF(AV298=0,0,
IF(Investment_Strategy="DIS",VLOOKUP(Investment_Strategy&amp;"_"&amp;Investment_Strategy_Sub1&amp;"_"&amp;$A298,'Investment Strategies'!$AZ:$BP,15,FALSE),
IF(AND(Investment_Strategy="Lifecycle",Investment_Strategy_Sub1="Non-Standard"),VLOOKUP(Investment_Strategy&amp;"_"&amp;Investment_Strategy_Sub2&amp;"_"&amp;$A298,'Investment Strategies'!$C:$P,12,FALSE),
IF(AND(Investment_Strategy="Lifecycle",Investment_Strategy_Sub1="Standard"),VLOOKUP(Investment_Strategy&amp;"_"&amp;Investment_Strategy_Sub2&amp;"_"&amp;$A298,'Investment Strategies'!$AJ:$AV,11,FALSE),
IF(AND(Investment_Strategy="Autopilot",Investment_Strategy_Sub1="Non-Standard"),VLOOKUP(Investment_Strategy&amp;"_"&amp;Investment_Strategy_Sub2&amp;"_"&amp;$A298,'Investment Strategies'!$T:$AF,11,FALSE),
IF(Investment_Strategy="DIY",DIY_GteeChrge_CurrentFunds,
"Error"))))))</f>
        <v>0</v>
      </c>
      <c r="G298" s="33">
        <f>IF(AV298=0,0,
IF(Investment_Strategy="DIS",VLOOKUP(Investment_Strategy&amp;"_"&amp;Investment_Strategy_Sub1&amp;"_"&amp;$A298,'Investment Strategies'!$AZ:$BP,17,FALSE),
IF(AND(Investment_Strategy="Lifecycle",Investment_Strategy_Sub1="Non-Standard"),VLOOKUP(Investment_Strategy&amp;"_"&amp;Investment_Strategy_Sub2&amp;"_"&amp;$A298,'Investment Strategies'!$C:$P,14,FALSE),
IF(AND(Investment_Strategy="Lifecycle",Investment_Strategy_Sub1="Standard"),VLOOKUP(Investment_Strategy&amp;"_"&amp;Investment_Strategy_Sub2&amp;"_"&amp;$A298,'Investment Strategies'!$AJ:$AV,13,FALSE),
IF(AND(Investment_Strategy="Autopilot",Investment_Strategy_Sub1="Non-Standard"),VLOOKUP(Investment_Strategy&amp;"_"&amp;Investment_Strategy_Sub2&amp;"_"&amp;$A298,'Investment Strategies'!$T:$AF,13,FALSE),
IF(Investment_Strategy="DIY",DIY_ExtManChrge_CurrentFunds,
"Error"))))))</f>
        <v>0</v>
      </c>
      <c r="H298" s="16">
        <f t="shared" si="175"/>
        <v>0</v>
      </c>
      <c r="I298" s="16">
        <f t="shared" si="159"/>
        <v>0</v>
      </c>
      <c r="J298" s="16">
        <f t="shared" si="160"/>
        <v>0</v>
      </c>
      <c r="K298" s="16">
        <f>(Opening_Fund_Value+SUM(K$91:K297))*E298*IF(D298=$A$91,SRP_finalmonthfactor,1)</f>
        <v>0</v>
      </c>
      <c r="L298" s="74">
        <f>MIN(IF($AV298=0,0,
IF(Investment_Strategy="DIS",VLOOKUP(Investment_Strategy&amp;"_"&amp;Investment_Strategy_Sub1&amp;"_"&amp;$A298,'Investment Strategies'!$AZ:$BP,12,FALSE),
IF(AND(Investment_Strategy="Lifecycle",Investment_Strategy_Sub1="Non-Standard"),VLOOKUP(Investment_Strategy&amp;"_"&amp;Investment_Strategy_Sub2&amp;"_"&amp;$A298,'Investment Strategies'!$C:$P,9,FALSE),
IF(AND(Investment_Strategy="Lifecycle",Investment_Strategy_Sub1="Standard"),VLOOKUP(Investment_Strategy&amp;"_"&amp;Investment_Strategy_Sub2&amp;"_"&amp;$A298,'Investment Strategies'!$AJ:$AV,8,FALSE),
IF(AND(Investment_Strategy="Autopilot",Investment_Strategy_Sub1="Non-Standard"),VLOOKUP(Investment_Strategy&amp;"_"&amp;Investment_Strategy_Sub2&amp;"_"&amp;$A298,'Investment Strategies'!$T:$AF,8,FALSE),
IF(Investment_Strategy ="DIY",DIY_RateofReturn_SP,
"Error")))))),Max_InvReturn)</f>
        <v>0</v>
      </c>
      <c r="M298" s="62">
        <f>IF($AV298=0,0,
IF(Investment_Strategy="DIS",VLOOKUP(Investment_Strategy&amp;"_"&amp;Investment_Strategy_Sub1&amp;"_"&amp;$A298,'Investment Strategies'!$AZ:$BP,15,FALSE),
IF(AND(Investment_Strategy="Lifecycle",Investment_Strategy_Sub1="Non-Standard"),VLOOKUP(Investment_Strategy&amp;"_"&amp;Investment_Strategy_Sub2&amp;"_"&amp;$A298,'Investment Strategies'!$C:$P,12,FALSE),
IF(AND(Investment_Strategy="Lifecycle",Investment_Strategy_Sub1="Standard"),VLOOKUP(Investment_Strategy&amp;"_"&amp;Investment_Strategy_Sub2&amp;"_"&amp;$A298,'Investment Strategies'!$AJ:$AV,11,FALSE),
IF(AND(Investment_Strategy="Autopilot",Investment_Strategy_Sub1="Non-Standard"),VLOOKUP(Investment_Strategy&amp;"_"&amp;Investment_Strategy_Sub2&amp;"_"&amp;$A298,'Investment Strategies'!$T:$AF,11,FALSE),
IF(Investment_Strategy="DIY",DIY_GteeChrge_SP,
"Error"))))))</f>
        <v>0</v>
      </c>
      <c r="N298" s="33">
        <f>IF($AV298=0,0,
IF(Investment_Strategy="DIS",VLOOKUP(Investment_Strategy&amp;"_"&amp;Investment_Strategy_Sub1&amp;"_"&amp;$A298,'Investment Strategies'!$AZ:$BP,17,FALSE),
IF(AND(Investment_Strategy="Lifecycle",Investment_Strategy_Sub1="Non-Standard"),VLOOKUP(Investment_Strategy&amp;"_"&amp;Investment_Strategy_Sub2&amp;"_"&amp;$A298,'Investment Strategies'!$C:$P,14,FALSE),
IF(AND(Investment_Strategy="Lifecycle",Investment_Strategy_Sub1="Standard"),VLOOKUP(Investment_Strategy&amp;"_"&amp;Investment_Strategy_Sub2&amp;"_"&amp;$A298,'Investment Strategies'!$AJ:$AV,13,FALSE),
IF(AND(Investment_Strategy="Autopilot",Investment_Strategy_Sub1="Non-Standard"),VLOOKUP(Investment_Strategy&amp;"_"&amp;Investment_Strategy_Sub2&amp;"_"&amp;$A298,'Investment Strategies'!$T:$AF,13,FALSE),
IF(Investment_Strategy="DIY",DIY_ExtManChrge_SP,
"Error"))))))</f>
        <v>0</v>
      </c>
      <c r="O298" s="16">
        <f t="shared" si="187"/>
        <v>0</v>
      </c>
      <c r="Q298" s="16">
        <f t="shared" si="161"/>
        <v>0</v>
      </c>
      <c r="R298" s="16">
        <f t="shared" si="162"/>
        <v>0</v>
      </c>
      <c r="S298" s="16">
        <f>(SRP_SP+SUM(S$91:S297))*L298*IF(D298=$A$91,SRP_finalmonthfactor,1)</f>
        <v>0</v>
      </c>
      <c r="T298" s="74">
        <f>MIN(IF($AV298=0,0,
IF(Investment_Strategy="DIS",VLOOKUP(Investment_Strategy&amp;"_"&amp;Investment_Strategy_Sub1&amp;"_"&amp;$A298,'Investment Strategies'!$AZ:$BP,12,FALSE),
IF(AND(Investment_Strategy="Lifecycle",Investment_Strategy_Sub1="Non-Standard"),VLOOKUP(Investment_Strategy&amp;"_"&amp;Investment_Strategy_Sub2&amp;"_"&amp;$A298,'Investment Strategies'!$C:$P,9,FALSE),
IF(AND(Investment_Strategy="Lifecycle",Investment_Strategy_Sub1="Standard"),VLOOKUP(Investment_Strategy&amp;"_"&amp;Investment_Strategy_Sub2&amp;"_"&amp;$A298,'Investment Strategies'!$AJ:$AV,8,FALSE),
IF(AND(Investment_Strategy="Autopilot",Investment_Strategy_Sub1="Non-Standard"),VLOOKUP(Investment_Strategy&amp;"_"&amp;Investment_Strategy_Sub2&amp;"_"&amp;$A298,'Investment Strategies'!$T:$AF,8,FALSE),
IF(Investment_Strategy ="DIY",DIY_RateOfReturn_FuturePremiums,
"Error")))))),Max_InvReturn)</f>
        <v>0</v>
      </c>
      <c r="U298" s="62">
        <f>IF($AV298=0,0,
IF(Investment_Strategy="DIS",VLOOKUP(Investment_Strategy&amp;"_"&amp;Investment_Strategy_Sub1&amp;"_"&amp;$A298,'Investment Strategies'!$AZ:$BP,15,FALSE),
IF(AND(Investment_Strategy="Lifecycle",Investment_Strategy_Sub1="Non-Standard"),VLOOKUP(Investment_Strategy&amp;"_"&amp;Investment_Strategy_Sub2&amp;"_"&amp;$A298,'Investment Strategies'!$C:$P,12,FALSE),
IF(AND(Investment_Strategy="Lifecycle",Investment_Strategy_Sub1="Standard"),VLOOKUP(Investment_Strategy&amp;"_"&amp;Investment_Strategy_Sub2&amp;"_"&amp;$A298,'Investment Strategies'!$AJ:$AV,11,FALSE),
IF(AND(Investment_Strategy="Autopilot",Investment_Strategy_Sub1="Non-Standard"),VLOOKUP(Investment_Strategy&amp;"_"&amp;Investment_Strategy_Sub2&amp;"_"&amp;$A298,'Investment Strategies'!$T:$AF,11,FALSE),
IF(Investment_Strategy="DIY",DIY_GteeChrge_FuturePremiums,
"Error"))))))</f>
        <v>0</v>
      </c>
      <c r="V298" s="33">
        <f>IF(AV298=0,0,
IF(Investment_Strategy="DIS",VLOOKUP(Investment_Strategy&amp;"_"&amp;Investment_Strategy_Sub1&amp;"_"&amp;$A298,'Investment Strategies'!$AZ:$BP,17,FALSE),
IF(AND(Investment_Strategy="Lifecycle",Investment_Strategy_Sub1="Non-Standard"),VLOOKUP(Investment_Strategy&amp;"_"&amp;Investment_Strategy_Sub2&amp;"_"&amp;$A298,'Investment Strategies'!$C:$P,14,FALSE),
IF(AND(Investment_Strategy="Lifecycle",Investment_Strategy_Sub1="Standard"),VLOOKUP(Investment_Strategy&amp;"_"&amp;Investment_Strategy_Sub2&amp;"_"&amp;$A298,'Investment Strategies'!$AJ:$AV,13,FALSE),
IF(AND(Investment_Strategy="Autopilot",Investment_Strategy_Sub1="Non-Standard"),VLOOKUP(Investment_Strategy&amp;"_"&amp;Investment_Strategy_Sub2&amp;"_"&amp;$A298,'Investment Strategies'!$T:$AF,13,FALSE),
IF(Investment_Strategy="DIY",DIY_ExtManChrge_FuturePremiums,
"Error"))))))</f>
        <v>0</v>
      </c>
      <c r="W298" s="16">
        <f t="shared" si="188"/>
        <v>0</v>
      </c>
      <c r="X298" s="16">
        <f t="shared" si="163"/>
        <v>0</v>
      </c>
      <c r="Y298" s="16">
        <f t="shared" si="164"/>
        <v>0</v>
      </c>
      <c r="Z298" s="31">
        <f t="shared" si="165"/>
        <v>0.02</v>
      </c>
      <c r="AA298" s="16">
        <f t="shared" si="166"/>
        <v>0</v>
      </c>
      <c r="AB298" s="28">
        <f t="shared" si="189"/>
        <v>0</v>
      </c>
      <c r="AC298" s="28">
        <f>(SUM($AC$91:AC297)+SUM($X$91:X297)+X298)*T298*IF(D298=$A$91,SRP_finalmonthfactor,1)</f>
        <v>0</v>
      </c>
      <c r="AD298" s="16">
        <f t="shared" si="167"/>
        <v>0</v>
      </c>
      <c r="AE298" s="106"/>
      <c r="AF298" s="16">
        <f t="shared" si="176"/>
        <v>0</v>
      </c>
      <c r="AG298" s="16">
        <f t="shared" si="177"/>
        <v>0</v>
      </c>
      <c r="AH298" s="16">
        <f t="shared" si="178"/>
        <v>0</v>
      </c>
      <c r="AJ298" s="13">
        <f t="shared" si="198"/>
        <v>0</v>
      </c>
      <c r="AK298" s="13">
        <f t="shared" si="198"/>
        <v>0</v>
      </c>
      <c r="AL298" s="13">
        <f t="shared" si="198"/>
        <v>0</v>
      </c>
      <c r="AM298" s="13">
        <f t="shared" si="198"/>
        <v>0</v>
      </c>
      <c r="AN298" s="13">
        <f t="shared" si="198"/>
        <v>0</v>
      </c>
      <c r="AO298" s="13">
        <f t="shared" si="198"/>
        <v>1</v>
      </c>
      <c r="AP298" s="13">
        <f t="shared" si="198"/>
        <v>1</v>
      </c>
      <c r="AQ298" s="13">
        <f t="shared" si="198"/>
        <v>1</v>
      </c>
      <c r="AR298" s="13">
        <f t="shared" si="198"/>
        <v>1</v>
      </c>
      <c r="AS298" s="13">
        <f t="shared" si="198"/>
        <v>1</v>
      </c>
      <c r="AT298" s="13">
        <f t="shared" si="198"/>
        <v>1</v>
      </c>
      <c r="AU298" s="13">
        <f t="shared" si="198"/>
        <v>1</v>
      </c>
      <c r="AV298" s="13">
        <f t="shared" si="168"/>
        <v>0</v>
      </c>
      <c r="AW298" s="13">
        <f t="shared" si="169"/>
        <v>1</v>
      </c>
      <c r="AY298" s="17">
        <f t="shared" si="170"/>
        <v>208</v>
      </c>
      <c r="AZ298" s="28">
        <f t="shared" si="179"/>
        <v>0</v>
      </c>
      <c r="BA298" s="13">
        <f t="shared" si="171"/>
        <v>0</v>
      </c>
      <c r="BB298" s="13">
        <f t="shared" si="172"/>
        <v>0</v>
      </c>
      <c r="BC298" s="28">
        <f t="shared" si="180"/>
        <v>0</v>
      </c>
      <c r="BD298" s="28">
        <f t="shared" si="181"/>
        <v>0</v>
      </c>
      <c r="BF298" s="248">
        <f t="shared" si="182"/>
        <v>993869.29442638322</v>
      </c>
      <c r="BG298" s="36">
        <f t="shared" si="190"/>
        <v>0</v>
      </c>
      <c r="BH298" s="36">
        <f t="shared" si="191"/>
        <v>835713.70584332792</v>
      </c>
      <c r="BI298" s="249">
        <f t="shared" si="192"/>
        <v>0</v>
      </c>
      <c r="BJ298" s="246">
        <f t="shared" si="193"/>
        <v>0</v>
      </c>
      <c r="BK298" s="246">
        <f t="shared" si="173"/>
        <v>7.531116566323881E-4</v>
      </c>
      <c r="BL298" s="246">
        <f t="shared" si="194"/>
        <v>0</v>
      </c>
      <c r="BM298" s="246">
        <f t="shared" si="195"/>
        <v>7.531116566323881E-4</v>
      </c>
      <c r="BN298" s="36">
        <f t="shared" si="183"/>
        <v>629.38573347806096</v>
      </c>
      <c r="BO298" s="36">
        <f t="shared" si="196"/>
        <v>0</v>
      </c>
      <c r="BP298" s="36">
        <f t="shared" si="197"/>
        <v>835084.32010984991</v>
      </c>
    </row>
    <row r="299" spans="1:68">
      <c r="A299" s="32">
        <f t="shared" si="184"/>
        <v>-124</v>
      </c>
      <c r="B299" s="32">
        <f t="shared" si="174"/>
        <v>70</v>
      </c>
      <c r="C299" s="32">
        <f t="shared" si="185"/>
        <v>18</v>
      </c>
      <c r="D299" s="32">
        <f t="shared" si="186"/>
        <v>209</v>
      </c>
      <c r="E299" s="74">
        <f>MIN(IF(AV299=0,0,
IF(Investment_Strategy="DIS",VLOOKUP(Investment_Strategy&amp;"_"&amp;Investment_Strategy_Sub1&amp;"_"&amp;$A299,'Investment Strategies'!$AZ:$BP,12,FALSE),
IF(AND(Investment_Strategy="Lifecycle",Investment_Strategy_Sub1="Non-Standard"),VLOOKUP(Investment_Strategy&amp;"_"&amp;Investment_Strategy_Sub2&amp;"_"&amp;$A299,'Investment Strategies'!$C:$P,9,FALSE),
IF(AND(Investment_Strategy="Lifecycle",Investment_Strategy_Sub1="Standard"),VLOOKUP(Investment_Strategy&amp;"_"&amp;Investment_Strategy_Sub2&amp;"_"&amp;$A299,'Investment Strategies'!$AJ:$AV,8,FALSE),
IF(AND(Investment_Strategy="Autopilot",Investment_Strategy_Sub1="Non-Standard"),VLOOKUP(Investment_Strategy&amp;"_"&amp;Investment_Strategy_Sub2&amp;"_"&amp;$A299,'Investment Strategies'!$T:$AF,8,FALSE),
IF(Investment_Strategy ="DIY",DIY_RateOfReturn_CurrentFunds,
"Error")))))),Max_InvReturn)</f>
        <v>0</v>
      </c>
      <c r="F299" s="62">
        <f>IF(AV299=0,0,
IF(Investment_Strategy="DIS",VLOOKUP(Investment_Strategy&amp;"_"&amp;Investment_Strategy_Sub1&amp;"_"&amp;$A299,'Investment Strategies'!$AZ:$BP,15,FALSE),
IF(AND(Investment_Strategy="Lifecycle",Investment_Strategy_Sub1="Non-Standard"),VLOOKUP(Investment_Strategy&amp;"_"&amp;Investment_Strategy_Sub2&amp;"_"&amp;$A299,'Investment Strategies'!$C:$P,12,FALSE),
IF(AND(Investment_Strategy="Lifecycle",Investment_Strategy_Sub1="Standard"),VLOOKUP(Investment_Strategy&amp;"_"&amp;Investment_Strategy_Sub2&amp;"_"&amp;$A299,'Investment Strategies'!$AJ:$AV,11,FALSE),
IF(AND(Investment_Strategy="Autopilot",Investment_Strategy_Sub1="Non-Standard"),VLOOKUP(Investment_Strategy&amp;"_"&amp;Investment_Strategy_Sub2&amp;"_"&amp;$A299,'Investment Strategies'!$T:$AF,11,FALSE),
IF(Investment_Strategy="DIY",DIY_GteeChrge_CurrentFunds,
"Error"))))))</f>
        <v>0</v>
      </c>
      <c r="G299" s="33">
        <f>IF(AV299=0,0,
IF(Investment_Strategy="DIS",VLOOKUP(Investment_Strategy&amp;"_"&amp;Investment_Strategy_Sub1&amp;"_"&amp;$A299,'Investment Strategies'!$AZ:$BP,17,FALSE),
IF(AND(Investment_Strategy="Lifecycle",Investment_Strategy_Sub1="Non-Standard"),VLOOKUP(Investment_Strategy&amp;"_"&amp;Investment_Strategy_Sub2&amp;"_"&amp;$A299,'Investment Strategies'!$C:$P,14,FALSE),
IF(AND(Investment_Strategy="Lifecycle",Investment_Strategy_Sub1="Standard"),VLOOKUP(Investment_Strategy&amp;"_"&amp;Investment_Strategy_Sub2&amp;"_"&amp;$A299,'Investment Strategies'!$AJ:$AV,13,FALSE),
IF(AND(Investment_Strategy="Autopilot",Investment_Strategy_Sub1="Non-Standard"),VLOOKUP(Investment_Strategy&amp;"_"&amp;Investment_Strategy_Sub2&amp;"_"&amp;$A299,'Investment Strategies'!$T:$AF,13,FALSE),
IF(Investment_Strategy="DIY",DIY_ExtManChrge_CurrentFunds,
"Error"))))))</f>
        <v>0</v>
      </c>
      <c r="H299" s="16">
        <f t="shared" si="175"/>
        <v>0</v>
      </c>
      <c r="I299" s="16">
        <f t="shared" si="159"/>
        <v>0</v>
      </c>
      <c r="J299" s="16">
        <f t="shared" si="160"/>
        <v>0</v>
      </c>
      <c r="K299" s="16">
        <f>(Opening_Fund_Value+SUM(K$91:K298))*E299*IF(D299=$A$91,SRP_finalmonthfactor,1)</f>
        <v>0</v>
      </c>
      <c r="L299" s="74">
        <f>MIN(IF($AV299=0,0,
IF(Investment_Strategy="DIS",VLOOKUP(Investment_Strategy&amp;"_"&amp;Investment_Strategy_Sub1&amp;"_"&amp;$A299,'Investment Strategies'!$AZ:$BP,12,FALSE),
IF(AND(Investment_Strategy="Lifecycle",Investment_Strategy_Sub1="Non-Standard"),VLOOKUP(Investment_Strategy&amp;"_"&amp;Investment_Strategy_Sub2&amp;"_"&amp;$A299,'Investment Strategies'!$C:$P,9,FALSE),
IF(AND(Investment_Strategy="Lifecycle",Investment_Strategy_Sub1="Standard"),VLOOKUP(Investment_Strategy&amp;"_"&amp;Investment_Strategy_Sub2&amp;"_"&amp;$A299,'Investment Strategies'!$AJ:$AV,8,FALSE),
IF(AND(Investment_Strategy="Autopilot",Investment_Strategy_Sub1="Non-Standard"),VLOOKUP(Investment_Strategy&amp;"_"&amp;Investment_Strategy_Sub2&amp;"_"&amp;$A299,'Investment Strategies'!$T:$AF,8,FALSE),
IF(Investment_Strategy ="DIY",DIY_RateofReturn_SP,
"Error")))))),Max_InvReturn)</f>
        <v>0</v>
      </c>
      <c r="M299" s="62">
        <f>IF($AV299=0,0,
IF(Investment_Strategy="DIS",VLOOKUP(Investment_Strategy&amp;"_"&amp;Investment_Strategy_Sub1&amp;"_"&amp;$A299,'Investment Strategies'!$AZ:$BP,15,FALSE),
IF(AND(Investment_Strategy="Lifecycle",Investment_Strategy_Sub1="Non-Standard"),VLOOKUP(Investment_Strategy&amp;"_"&amp;Investment_Strategy_Sub2&amp;"_"&amp;$A299,'Investment Strategies'!$C:$P,12,FALSE),
IF(AND(Investment_Strategy="Lifecycle",Investment_Strategy_Sub1="Standard"),VLOOKUP(Investment_Strategy&amp;"_"&amp;Investment_Strategy_Sub2&amp;"_"&amp;$A299,'Investment Strategies'!$AJ:$AV,11,FALSE),
IF(AND(Investment_Strategy="Autopilot",Investment_Strategy_Sub1="Non-Standard"),VLOOKUP(Investment_Strategy&amp;"_"&amp;Investment_Strategy_Sub2&amp;"_"&amp;$A299,'Investment Strategies'!$T:$AF,11,FALSE),
IF(Investment_Strategy="DIY",DIY_GteeChrge_SP,
"Error"))))))</f>
        <v>0</v>
      </c>
      <c r="N299" s="33">
        <f>IF($AV299=0,0,
IF(Investment_Strategy="DIS",VLOOKUP(Investment_Strategy&amp;"_"&amp;Investment_Strategy_Sub1&amp;"_"&amp;$A299,'Investment Strategies'!$AZ:$BP,17,FALSE),
IF(AND(Investment_Strategy="Lifecycle",Investment_Strategy_Sub1="Non-Standard"),VLOOKUP(Investment_Strategy&amp;"_"&amp;Investment_Strategy_Sub2&amp;"_"&amp;$A299,'Investment Strategies'!$C:$P,14,FALSE),
IF(AND(Investment_Strategy="Lifecycle",Investment_Strategy_Sub1="Standard"),VLOOKUP(Investment_Strategy&amp;"_"&amp;Investment_Strategy_Sub2&amp;"_"&amp;$A299,'Investment Strategies'!$AJ:$AV,13,FALSE),
IF(AND(Investment_Strategy="Autopilot",Investment_Strategy_Sub1="Non-Standard"),VLOOKUP(Investment_Strategy&amp;"_"&amp;Investment_Strategy_Sub2&amp;"_"&amp;$A299,'Investment Strategies'!$T:$AF,13,FALSE),
IF(Investment_Strategy="DIY",DIY_ExtManChrge_SP,
"Error"))))))</f>
        <v>0</v>
      </c>
      <c r="O299" s="16">
        <f t="shared" si="187"/>
        <v>0</v>
      </c>
      <c r="Q299" s="16">
        <f t="shared" si="161"/>
        <v>0</v>
      </c>
      <c r="R299" s="16">
        <f t="shared" si="162"/>
        <v>0</v>
      </c>
      <c r="S299" s="16">
        <f>(SRP_SP+SUM(S$91:S298))*L299*IF(D299=$A$91,SRP_finalmonthfactor,1)</f>
        <v>0</v>
      </c>
      <c r="T299" s="74">
        <f>MIN(IF($AV299=0,0,
IF(Investment_Strategy="DIS",VLOOKUP(Investment_Strategy&amp;"_"&amp;Investment_Strategy_Sub1&amp;"_"&amp;$A299,'Investment Strategies'!$AZ:$BP,12,FALSE),
IF(AND(Investment_Strategy="Lifecycle",Investment_Strategy_Sub1="Non-Standard"),VLOOKUP(Investment_Strategy&amp;"_"&amp;Investment_Strategy_Sub2&amp;"_"&amp;$A299,'Investment Strategies'!$C:$P,9,FALSE),
IF(AND(Investment_Strategy="Lifecycle",Investment_Strategy_Sub1="Standard"),VLOOKUP(Investment_Strategy&amp;"_"&amp;Investment_Strategy_Sub2&amp;"_"&amp;$A299,'Investment Strategies'!$AJ:$AV,8,FALSE),
IF(AND(Investment_Strategy="Autopilot",Investment_Strategy_Sub1="Non-Standard"),VLOOKUP(Investment_Strategy&amp;"_"&amp;Investment_Strategy_Sub2&amp;"_"&amp;$A299,'Investment Strategies'!$T:$AF,8,FALSE),
IF(Investment_Strategy ="DIY",DIY_RateOfReturn_FuturePremiums,
"Error")))))),Max_InvReturn)</f>
        <v>0</v>
      </c>
      <c r="U299" s="62">
        <f>IF($AV299=0,0,
IF(Investment_Strategy="DIS",VLOOKUP(Investment_Strategy&amp;"_"&amp;Investment_Strategy_Sub1&amp;"_"&amp;$A299,'Investment Strategies'!$AZ:$BP,15,FALSE),
IF(AND(Investment_Strategy="Lifecycle",Investment_Strategy_Sub1="Non-Standard"),VLOOKUP(Investment_Strategy&amp;"_"&amp;Investment_Strategy_Sub2&amp;"_"&amp;$A299,'Investment Strategies'!$C:$P,12,FALSE),
IF(AND(Investment_Strategy="Lifecycle",Investment_Strategy_Sub1="Standard"),VLOOKUP(Investment_Strategy&amp;"_"&amp;Investment_Strategy_Sub2&amp;"_"&amp;$A299,'Investment Strategies'!$AJ:$AV,11,FALSE),
IF(AND(Investment_Strategy="Autopilot",Investment_Strategy_Sub1="Non-Standard"),VLOOKUP(Investment_Strategy&amp;"_"&amp;Investment_Strategy_Sub2&amp;"_"&amp;$A299,'Investment Strategies'!$T:$AF,11,FALSE),
IF(Investment_Strategy="DIY",DIY_GteeChrge_FuturePremiums,
"Error"))))))</f>
        <v>0</v>
      </c>
      <c r="V299" s="33">
        <f>IF(AV299=0,0,
IF(Investment_Strategy="DIS",VLOOKUP(Investment_Strategy&amp;"_"&amp;Investment_Strategy_Sub1&amp;"_"&amp;$A299,'Investment Strategies'!$AZ:$BP,17,FALSE),
IF(AND(Investment_Strategy="Lifecycle",Investment_Strategy_Sub1="Non-Standard"),VLOOKUP(Investment_Strategy&amp;"_"&amp;Investment_Strategy_Sub2&amp;"_"&amp;$A299,'Investment Strategies'!$C:$P,14,FALSE),
IF(AND(Investment_Strategy="Lifecycle",Investment_Strategy_Sub1="Standard"),VLOOKUP(Investment_Strategy&amp;"_"&amp;Investment_Strategy_Sub2&amp;"_"&amp;$A299,'Investment Strategies'!$AJ:$AV,13,FALSE),
IF(AND(Investment_Strategy="Autopilot",Investment_Strategy_Sub1="Non-Standard"),VLOOKUP(Investment_Strategy&amp;"_"&amp;Investment_Strategy_Sub2&amp;"_"&amp;$A299,'Investment Strategies'!$T:$AF,13,FALSE),
IF(Investment_Strategy="DIY",DIY_ExtManChrge_FuturePremiums,
"Error"))))))</f>
        <v>0</v>
      </c>
      <c r="W299" s="16">
        <f t="shared" si="188"/>
        <v>0</v>
      </c>
      <c r="X299" s="16">
        <f t="shared" si="163"/>
        <v>0</v>
      </c>
      <c r="Y299" s="16">
        <f t="shared" si="164"/>
        <v>0</v>
      </c>
      <c r="Z299" s="31">
        <f t="shared" si="165"/>
        <v>0.02</v>
      </c>
      <c r="AA299" s="16">
        <f t="shared" si="166"/>
        <v>0</v>
      </c>
      <c r="AB299" s="28">
        <f t="shared" si="189"/>
        <v>0</v>
      </c>
      <c r="AC299" s="28">
        <f>(SUM($AC$91:AC298)+SUM($X$91:X298)+X299)*T299*IF(D299=$A$91,SRP_finalmonthfactor,1)</f>
        <v>0</v>
      </c>
      <c r="AD299" s="16">
        <f t="shared" si="167"/>
        <v>0</v>
      </c>
      <c r="AE299" s="106"/>
      <c r="AF299" s="16">
        <f t="shared" si="176"/>
        <v>0</v>
      </c>
      <c r="AG299" s="16">
        <f t="shared" si="177"/>
        <v>0</v>
      </c>
      <c r="AH299" s="16">
        <f t="shared" si="178"/>
        <v>0</v>
      </c>
      <c r="AJ299" s="13">
        <f t="shared" si="198"/>
        <v>0</v>
      </c>
      <c r="AK299" s="13">
        <f t="shared" si="198"/>
        <v>0</v>
      </c>
      <c r="AL299" s="13">
        <f t="shared" si="198"/>
        <v>0</v>
      </c>
      <c r="AM299" s="13">
        <f t="shared" si="198"/>
        <v>0</v>
      </c>
      <c r="AN299" s="13">
        <f t="shared" si="198"/>
        <v>0</v>
      </c>
      <c r="AO299" s="13">
        <f t="shared" si="198"/>
        <v>1</v>
      </c>
      <c r="AP299" s="13">
        <f t="shared" si="198"/>
        <v>1</v>
      </c>
      <c r="AQ299" s="13">
        <f t="shared" si="198"/>
        <v>1</v>
      </c>
      <c r="AR299" s="13">
        <f t="shared" si="198"/>
        <v>1</v>
      </c>
      <c r="AS299" s="13">
        <f t="shared" si="198"/>
        <v>1</v>
      </c>
      <c r="AT299" s="13">
        <f t="shared" si="198"/>
        <v>1</v>
      </c>
      <c r="AU299" s="13">
        <f t="shared" si="198"/>
        <v>1</v>
      </c>
      <c r="AV299" s="13">
        <f t="shared" si="168"/>
        <v>0</v>
      </c>
      <c r="AW299" s="13">
        <f t="shared" si="169"/>
        <v>1</v>
      </c>
      <c r="AY299" s="17">
        <f t="shared" si="170"/>
        <v>209</v>
      </c>
      <c r="AZ299" s="28">
        <f t="shared" si="179"/>
        <v>0</v>
      </c>
      <c r="BA299" s="13">
        <f t="shared" si="171"/>
        <v>0</v>
      </c>
      <c r="BB299" s="13">
        <f t="shared" si="172"/>
        <v>0</v>
      </c>
      <c r="BC299" s="28">
        <f t="shared" si="180"/>
        <v>0</v>
      </c>
      <c r="BD299" s="28">
        <f t="shared" si="181"/>
        <v>0</v>
      </c>
      <c r="BF299" s="248">
        <f t="shared" si="182"/>
        <v>993869.29442638322</v>
      </c>
      <c r="BG299" s="36">
        <f t="shared" si="190"/>
        <v>0</v>
      </c>
      <c r="BH299" s="36">
        <f t="shared" si="191"/>
        <v>835084.32010984991</v>
      </c>
      <c r="BI299" s="249">
        <f t="shared" si="192"/>
        <v>0</v>
      </c>
      <c r="BJ299" s="246">
        <f t="shared" si="193"/>
        <v>0</v>
      </c>
      <c r="BK299" s="246">
        <f t="shared" si="173"/>
        <v>7.531116566323881E-4</v>
      </c>
      <c r="BL299" s="246">
        <f t="shared" si="194"/>
        <v>0</v>
      </c>
      <c r="BM299" s="246">
        <f t="shared" si="195"/>
        <v>7.531116566323881E-4</v>
      </c>
      <c r="BN299" s="36">
        <f t="shared" si="183"/>
        <v>628.91173574566051</v>
      </c>
      <c r="BO299" s="36">
        <f t="shared" si="196"/>
        <v>0</v>
      </c>
      <c r="BP299" s="36">
        <f t="shared" si="197"/>
        <v>834455.4083741043</v>
      </c>
    </row>
    <row r="300" spans="1:68">
      <c r="A300" s="32">
        <f t="shared" si="184"/>
        <v>-125</v>
      </c>
      <c r="B300" s="32">
        <f t="shared" si="174"/>
        <v>70</v>
      </c>
      <c r="C300" s="32">
        <f t="shared" si="185"/>
        <v>18</v>
      </c>
      <c r="D300" s="32">
        <f t="shared" si="186"/>
        <v>210</v>
      </c>
      <c r="E300" s="74">
        <f>MIN(IF(AV300=0,0,
IF(Investment_Strategy="DIS",VLOOKUP(Investment_Strategy&amp;"_"&amp;Investment_Strategy_Sub1&amp;"_"&amp;$A300,'Investment Strategies'!$AZ:$BP,12,FALSE),
IF(AND(Investment_Strategy="Lifecycle",Investment_Strategy_Sub1="Non-Standard"),VLOOKUP(Investment_Strategy&amp;"_"&amp;Investment_Strategy_Sub2&amp;"_"&amp;$A300,'Investment Strategies'!$C:$P,9,FALSE),
IF(AND(Investment_Strategy="Lifecycle",Investment_Strategy_Sub1="Standard"),VLOOKUP(Investment_Strategy&amp;"_"&amp;Investment_Strategy_Sub2&amp;"_"&amp;$A300,'Investment Strategies'!$AJ:$AV,8,FALSE),
IF(AND(Investment_Strategy="Autopilot",Investment_Strategy_Sub1="Non-Standard"),VLOOKUP(Investment_Strategy&amp;"_"&amp;Investment_Strategy_Sub2&amp;"_"&amp;$A300,'Investment Strategies'!$T:$AF,8,FALSE),
IF(Investment_Strategy ="DIY",DIY_RateOfReturn_CurrentFunds,
"Error")))))),Max_InvReturn)</f>
        <v>0</v>
      </c>
      <c r="F300" s="62">
        <f>IF(AV300=0,0,
IF(Investment_Strategy="DIS",VLOOKUP(Investment_Strategy&amp;"_"&amp;Investment_Strategy_Sub1&amp;"_"&amp;$A300,'Investment Strategies'!$AZ:$BP,15,FALSE),
IF(AND(Investment_Strategy="Lifecycle",Investment_Strategy_Sub1="Non-Standard"),VLOOKUP(Investment_Strategy&amp;"_"&amp;Investment_Strategy_Sub2&amp;"_"&amp;$A300,'Investment Strategies'!$C:$P,12,FALSE),
IF(AND(Investment_Strategy="Lifecycle",Investment_Strategy_Sub1="Standard"),VLOOKUP(Investment_Strategy&amp;"_"&amp;Investment_Strategy_Sub2&amp;"_"&amp;$A300,'Investment Strategies'!$AJ:$AV,11,FALSE),
IF(AND(Investment_Strategy="Autopilot",Investment_Strategy_Sub1="Non-Standard"),VLOOKUP(Investment_Strategy&amp;"_"&amp;Investment_Strategy_Sub2&amp;"_"&amp;$A300,'Investment Strategies'!$T:$AF,11,FALSE),
IF(Investment_Strategy="DIY",DIY_GteeChrge_CurrentFunds,
"Error"))))))</f>
        <v>0</v>
      </c>
      <c r="G300" s="33">
        <f>IF(AV300=0,0,
IF(Investment_Strategy="DIS",VLOOKUP(Investment_Strategy&amp;"_"&amp;Investment_Strategy_Sub1&amp;"_"&amp;$A300,'Investment Strategies'!$AZ:$BP,17,FALSE),
IF(AND(Investment_Strategy="Lifecycle",Investment_Strategy_Sub1="Non-Standard"),VLOOKUP(Investment_Strategy&amp;"_"&amp;Investment_Strategy_Sub2&amp;"_"&amp;$A300,'Investment Strategies'!$C:$P,14,FALSE),
IF(AND(Investment_Strategy="Lifecycle",Investment_Strategy_Sub1="Standard"),VLOOKUP(Investment_Strategy&amp;"_"&amp;Investment_Strategy_Sub2&amp;"_"&amp;$A300,'Investment Strategies'!$AJ:$AV,13,FALSE),
IF(AND(Investment_Strategy="Autopilot",Investment_Strategy_Sub1="Non-Standard"),VLOOKUP(Investment_Strategy&amp;"_"&amp;Investment_Strategy_Sub2&amp;"_"&amp;$A300,'Investment Strategies'!$T:$AF,13,FALSE),
IF(Investment_Strategy="DIY",DIY_ExtManChrge_CurrentFunds,
"Error"))))))</f>
        <v>0</v>
      </c>
      <c r="H300" s="16">
        <f t="shared" si="175"/>
        <v>0</v>
      </c>
      <c r="I300" s="16">
        <f t="shared" si="159"/>
        <v>0</v>
      </c>
      <c r="J300" s="16">
        <f t="shared" si="160"/>
        <v>0</v>
      </c>
      <c r="K300" s="16">
        <f>(Opening_Fund_Value+SUM(K$91:K299))*E300*IF(D300=$A$91,SRP_finalmonthfactor,1)</f>
        <v>0</v>
      </c>
      <c r="L300" s="74">
        <f>MIN(IF($AV300=0,0,
IF(Investment_Strategy="DIS",VLOOKUP(Investment_Strategy&amp;"_"&amp;Investment_Strategy_Sub1&amp;"_"&amp;$A300,'Investment Strategies'!$AZ:$BP,12,FALSE),
IF(AND(Investment_Strategy="Lifecycle",Investment_Strategy_Sub1="Non-Standard"),VLOOKUP(Investment_Strategy&amp;"_"&amp;Investment_Strategy_Sub2&amp;"_"&amp;$A300,'Investment Strategies'!$C:$P,9,FALSE),
IF(AND(Investment_Strategy="Lifecycle",Investment_Strategy_Sub1="Standard"),VLOOKUP(Investment_Strategy&amp;"_"&amp;Investment_Strategy_Sub2&amp;"_"&amp;$A300,'Investment Strategies'!$AJ:$AV,8,FALSE),
IF(AND(Investment_Strategy="Autopilot",Investment_Strategy_Sub1="Non-Standard"),VLOOKUP(Investment_Strategy&amp;"_"&amp;Investment_Strategy_Sub2&amp;"_"&amp;$A300,'Investment Strategies'!$T:$AF,8,FALSE),
IF(Investment_Strategy ="DIY",DIY_RateofReturn_SP,
"Error")))))),Max_InvReturn)</f>
        <v>0</v>
      </c>
      <c r="M300" s="62">
        <f>IF($AV300=0,0,
IF(Investment_Strategy="DIS",VLOOKUP(Investment_Strategy&amp;"_"&amp;Investment_Strategy_Sub1&amp;"_"&amp;$A300,'Investment Strategies'!$AZ:$BP,15,FALSE),
IF(AND(Investment_Strategy="Lifecycle",Investment_Strategy_Sub1="Non-Standard"),VLOOKUP(Investment_Strategy&amp;"_"&amp;Investment_Strategy_Sub2&amp;"_"&amp;$A300,'Investment Strategies'!$C:$P,12,FALSE),
IF(AND(Investment_Strategy="Lifecycle",Investment_Strategy_Sub1="Standard"),VLOOKUP(Investment_Strategy&amp;"_"&amp;Investment_Strategy_Sub2&amp;"_"&amp;$A300,'Investment Strategies'!$AJ:$AV,11,FALSE),
IF(AND(Investment_Strategy="Autopilot",Investment_Strategy_Sub1="Non-Standard"),VLOOKUP(Investment_Strategy&amp;"_"&amp;Investment_Strategy_Sub2&amp;"_"&amp;$A300,'Investment Strategies'!$T:$AF,11,FALSE),
IF(Investment_Strategy="DIY",DIY_GteeChrge_SP,
"Error"))))))</f>
        <v>0</v>
      </c>
      <c r="N300" s="33">
        <f>IF($AV300=0,0,
IF(Investment_Strategy="DIS",VLOOKUP(Investment_Strategy&amp;"_"&amp;Investment_Strategy_Sub1&amp;"_"&amp;$A300,'Investment Strategies'!$AZ:$BP,17,FALSE),
IF(AND(Investment_Strategy="Lifecycle",Investment_Strategy_Sub1="Non-Standard"),VLOOKUP(Investment_Strategy&amp;"_"&amp;Investment_Strategy_Sub2&amp;"_"&amp;$A300,'Investment Strategies'!$C:$P,14,FALSE),
IF(AND(Investment_Strategy="Lifecycle",Investment_Strategy_Sub1="Standard"),VLOOKUP(Investment_Strategy&amp;"_"&amp;Investment_Strategy_Sub2&amp;"_"&amp;$A300,'Investment Strategies'!$AJ:$AV,13,FALSE),
IF(AND(Investment_Strategy="Autopilot",Investment_Strategy_Sub1="Non-Standard"),VLOOKUP(Investment_Strategy&amp;"_"&amp;Investment_Strategy_Sub2&amp;"_"&amp;$A300,'Investment Strategies'!$T:$AF,13,FALSE),
IF(Investment_Strategy="DIY",DIY_ExtManChrge_SP,
"Error"))))))</f>
        <v>0</v>
      </c>
      <c r="O300" s="16">
        <f t="shared" si="187"/>
        <v>0</v>
      </c>
      <c r="Q300" s="16">
        <f t="shared" si="161"/>
        <v>0</v>
      </c>
      <c r="R300" s="16">
        <f t="shared" si="162"/>
        <v>0</v>
      </c>
      <c r="S300" s="16">
        <f>(SRP_SP+SUM(S$91:S299))*L300*IF(D300=$A$91,SRP_finalmonthfactor,1)</f>
        <v>0</v>
      </c>
      <c r="T300" s="74">
        <f>MIN(IF($AV300=0,0,
IF(Investment_Strategy="DIS",VLOOKUP(Investment_Strategy&amp;"_"&amp;Investment_Strategy_Sub1&amp;"_"&amp;$A300,'Investment Strategies'!$AZ:$BP,12,FALSE),
IF(AND(Investment_Strategy="Lifecycle",Investment_Strategy_Sub1="Non-Standard"),VLOOKUP(Investment_Strategy&amp;"_"&amp;Investment_Strategy_Sub2&amp;"_"&amp;$A300,'Investment Strategies'!$C:$P,9,FALSE),
IF(AND(Investment_Strategy="Lifecycle",Investment_Strategy_Sub1="Standard"),VLOOKUP(Investment_Strategy&amp;"_"&amp;Investment_Strategy_Sub2&amp;"_"&amp;$A300,'Investment Strategies'!$AJ:$AV,8,FALSE),
IF(AND(Investment_Strategy="Autopilot",Investment_Strategy_Sub1="Non-Standard"),VLOOKUP(Investment_Strategy&amp;"_"&amp;Investment_Strategy_Sub2&amp;"_"&amp;$A300,'Investment Strategies'!$T:$AF,8,FALSE),
IF(Investment_Strategy ="DIY",DIY_RateOfReturn_FuturePremiums,
"Error")))))),Max_InvReturn)</f>
        <v>0</v>
      </c>
      <c r="U300" s="62">
        <f>IF($AV300=0,0,
IF(Investment_Strategy="DIS",VLOOKUP(Investment_Strategy&amp;"_"&amp;Investment_Strategy_Sub1&amp;"_"&amp;$A300,'Investment Strategies'!$AZ:$BP,15,FALSE),
IF(AND(Investment_Strategy="Lifecycle",Investment_Strategy_Sub1="Non-Standard"),VLOOKUP(Investment_Strategy&amp;"_"&amp;Investment_Strategy_Sub2&amp;"_"&amp;$A300,'Investment Strategies'!$C:$P,12,FALSE),
IF(AND(Investment_Strategy="Lifecycle",Investment_Strategy_Sub1="Standard"),VLOOKUP(Investment_Strategy&amp;"_"&amp;Investment_Strategy_Sub2&amp;"_"&amp;$A300,'Investment Strategies'!$AJ:$AV,11,FALSE),
IF(AND(Investment_Strategy="Autopilot",Investment_Strategy_Sub1="Non-Standard"),VLOOKUP(Investment_Strategy&amp;"_"&amp;Investment_Strategy_Sub2&amp;"_"&amp;$A300,'Investment Strategies'!$T:$AF,11,FALSE),
IF(Investment_Strategy="DIY",DIY_GteeChrge_FuturePremiums,
"Error"))))))</f>
        <v>0</v>
      </c>
      <c r="V300" s="33">
        <f>IF(AV300=0,0,
IF(Investment_Strategy="DIS",VLOOKUP(Investment_Strategy&amp;"_"&amp;Investment_Strategy_Sub1&amp;"_"&amp;$A300,'Investment Strategies'!$AZ:$BP,17,FALSE),
IF(AND(Investment_Strategy="Lifecycle",Investment_Strategy_Sub1="Non-Standard"),VLOOKUP(Investment_Strategy&amp;"_"&amp;Investment_Strategy_Sub2&amp;"_"&amp;$A300,'Investment Strategies'!$C:$P,14,FALSE),
IF(AND(Investment_Strategy="Lifecycle",Investment_Strategy_Sub1="Standard"),VLOOKUP(Investment_Strategy&amp;"_"&amp;Investment_Strategy_Sub2&amp;"_"&amp;$A300,'Investment Strategies'!$AJ:$AV,13,FALSE),
IF(AND(Investment_Strategy="Autopilot",Investment_Strategy_Sub1="Non-Standard"),VLOOKUP(Investment_Strategy&amp;"_"&amp;Investment_Strategy_Sub2&amp;"_"&amp;$A300,'Investment Strategies'!$T:$AF,13,FALSE),
IF(Investment_Strategy="DIY",DIY_ExtManChrge_FuturePremiums,
"Error"))))))</f>
        <v>0</v>
      </c>
      <c r="W300" s="16">
        <f t="shared" si="188"/>
        <v>0</v>
      </c>
      <c r="X300" s="16">
        <f t="shared" si="163"/>
        <v>0</v>
      </c>
      <c r="Y300" s="16">
        <f t="shared" si="164"/>
        <v>0</v>
      </c>
      <c r="Z300" s="31">
        <f t="shared" si="165"/>
        <v>0.02</v>
      </c>
      <c r="AA300" s="16">
        <f t="shared" si="166"/>
        <v>0</v>
      </c>
      <c r="AB300" s="28">
        <f t="shared" si="189"/>
        <v>0</v>
      </c>
      <c r="AC300" s="28">
        <f>(SUM($AC$91:AC299)+SUM($X$91:X299)+X300)*T300*IF(D300=$A$91,SRP_finalmonthfactor,1)</f>
        <v>0</v>
      </c>
      <c r="AD300" s="16">
        <f t="shared" si="167"/>
        <v>0</v>
      </c>
      <c r="AE300" s="106"/>
      <c r="AF300" s="16">
        <f t="shared" si="176"/>
        <v>0</v>
      </c>
      <c r="AG300" s="16">
        <f t="shared" si="177"/>
        <v>0</v>
      </c>
      <c r="AH300" s="16">
        <f t="shared" si="178"/>
        <v>0</v>
      </c>
      <c r="AJ300" s="13">
        <f t="shared" si="198"/>
        <v>0</v>
      </c>
      <c r="AK300" s="13">
        <f t="shared" si="198"/>
        <v>0</v>
      </c>
      <c r="AL300" s="13">
        <f t="shared" si="198"/>
        <v>0</v>
      </c>
      <c r="AM300" s="13">
        <f t="shared" si="198"/>
        <v>0</v>
      </c>
      <c r="AN300" s="13">
        <f t="shared" si="198"/>
        <v>0</v>
      </c>
      <c r="AO300" s="13">
        <f t="shared" si="198"/>
        <v>1</v>
      </c>
      <c r="AP300" s="13">
        <f t="shared" si="198"/>
        <v>1</v>
      </c>
      <c r="AQ300" s="13">
        <f t="shared" si="198"/>
        <v>1</v>
      </c>
      <c r="AR300" s="13">
        <f t="shared" si="198"/>
        <v>1</v>
      </c>
      <c r="AS300" s="13">
        <f t="shared" si="198"/>
        <v>1</v>
      </c>
      <c r="AT300" s="13">
        <f t="shared" si="198"/>
        <v>1</v>
      </c>
      <c r="AU300" s="13">
        <f t="shared" si="198"/>
        <v>1</v>
      </c>
      <c r="AV300" s="13">
        <f t="shared" si="168"/>
        <v>0</v>
      </c>
      <c r="AW300" s="13">
        <f t="shared" si="169"/>
        <v>1</v>
      </c>
      <c r="AY300" s="17">
        <f t="shared" si="170"/>
        <v>210</v>
      </c>
      <c r="AZ300" s="28">
        <f t="shared" si="179"/>
        <v>0</v>
      </c>
      <c r="BA300" s="13">
        <f t="shared" si="171"/>
        <v>0</v>
      </c>
      <c r="BB300" s="13">
        <f t="shared" si="172"/>
        <v>0</v>
      </c>
      <c r="BC300" s="28">
        <f t="shared" si="180"/>
        <v>0</v>
      </c>
      <c r="BD300" s="28">
        <f t="shared" si="181"/>
        <v>0</v>
      </c>
      <c r="BF300" s="248">
        <f t="shared" si="182"/>
        <v>993869.29442638322</v>
      </c>
      <c r="BG300" s="36">
        <f t="shared" si="190"/>
        <v>0</v>
      </c>
      <c r="BH300" s="36">
        <f t="shared" si="191"/>
        <v>834455.4083741043</v>
      </c>
      <c r="BI300" s="249">
        <f t="shared" si="192"/>
        <v>0</v>
      </c>
      <c r="BJ300" s="246">
        <f t="shared" si="193"/>
        <v>0</v>
      </c>
      <c r="BK300" s="246">
        <f t="shared" si="173"/>
        <v>7.531116566323881E-4</v>
      </c>
      <c r="BL300" s="246">
        <f t="shared" si="194"/>
        <v>0</v>
      </c>
      <c r="BM300" s="246">
        <f t="shared" si="195"/>
        <v>7.531116566323881E-4</v>
      </c>
      <c r="BN300" s="36">
        <f t="shared" si="183"/>
        <v>628.43809498647761</v>
      </c>
      <c r="BO300" s="36">
        <f t="shared" si="196"/>
        <v>0</v>
      </c>
      <c r="BP300" s="36">
        <f t="shared" si="197"/>
        <v>833826.97027911781</v>
      </c>
    </row>
    <row r="301" spans="1:68">
      <c r="A301" s="32">
        <f t="shared" si="184"/>
        <v>-126</v>
      </c>
      <c r="B301" s="32">
        <f t="shared" si="174"/>
        <v>70</v>
      </c>
      <c r="C301" s="32">
        <f t="shared" si="185"/>
        <v>18</v>
      </c>
      <c r="D301" s="32">
        <f t="shared" si="186"/>
        <v>211</v>
      </c>
      <c r="E301" s="74">
        <f>MIN(IF(AV301=0,0,
IF(Investment_Strategy="DIS",VLOOKUP(Investment_Strategy&amp;"_"&amp;Investment_Strategy_Sub1&amp;"_"&amp;$A301,'Investment Strategies'!$AZ:$BP,12,FALSE),
IF(AND(Investment_Strategy="Lifecycle",Investment_Strategy_Sub1="Non-Standard"),VLOOKUP(Investment_Strategy&amp;"_"&amp;Investment_Strategy_Sub2&amp;"_"&amp;$A301,'Investment Strategies'!$C:$P,9,FALSE),
IF(AND(Investment_Strategy="Lifecycle",Investment_Strategy_Sub1="Standard"),VLOOKUP(Investment_Strategy&amp;"_"&amp;Investment_Strategy_Sub2&amp;"_"&amp;$A301,'Investment Strategies'!$AJ:$AV,8,FALSE),
IF(AND(Investment_Strategy="Autopilot",Investment_Strategy_Sub1="Non-Standard"),VLOOKUP(Investment_Strategy&amp;"_"&amp;Investment_Strategy_Sub2&amp;"_"&amp;$A301,'Investment Strategies'!$T:$AF,8,FALSE),
IF(Investment_Strategy ="DIY",DIY_RateOfReturn_CurrentFunds,
"Error")))))),Max_InvReturn)</f>
        <v>0</v>
      </c>
      <c r="F301" s="62">
        <f>IF(AV301=0,0,
IF(Investment_Strategy="DIS",VLOOKUP(Investment_Strategy&amp;"_"&amp;Investment_Strategy_Sub1&amp;"_"&amp;$A301,'Investment Strategies'!$AZ:$BP,15,FALSE),
IF(AND(Investment_Strategy="Lifecycle",Investment_Strategy_Sub1="Non-Standard"),VLOOKUP(Investment_Strategy&amp;"_"&amp;Investment_Strategy_Sub2&amp;"_"&amp;$A301,'Investment Strategies'!$C:$P,12,FALSE),
IF(AND(Investment_Strategy="Lifecycle",Investment_Strategy_Sub1="Standard"),VLOOKUP(Investment_Strategy&amp;"_"&amp;Investment_Strategy_Sub2&amp;"_"&amp;$A301,'Investment Strategies'!$AJ:$AV,11,FALSE),
IF(AND(Investment_Strategy="Autopilot",Investment_Strategy_Sub1="Non-Standard"),VLOOKUP(Investment_Strategy&amp;"_"&amp;Investment_Strategy_Sub2&amp;"_"&amp;$A301,'Investment Strategies'!$T:$AF,11,FALSE),
IF(Investment_Strategy="DIY",DIY_GteeChrge_CurrentFunds,
"Error"))))))</f>
        <v>0</v>
      </c>
      <c r="G301" s="33">
        <f>IF(AV301=0,0,
IF(Investment_Strategy="DIS",VLOOKUP(Investment_Strategy&amp;"_"&amp;Investment_Strategy_Sub1&amp;"_"&amp;$A301,'Investment Strategies'!$AZ:$BP,17,FALSE),
IF(AND(Investment_Strategy="Lifecycle",Investment_Strategy_Sub1="Non-Standard"),VLOOKUP(Investment_Strategy&amp;"_"&amp;Investment_Strategy_Sub2&amp;"_"&amp;$A301,'Investment Strategies'!$C:$P,14,FALSE),
IF(AND(Investment_Strategy="Lifecycle",Investment_Strategy_Sub1="Standard"),VLOOKUP(Investment_Strategy&amp;"_"&amp;Investment_Strategy_Sub2&amp;"_"&amp;$A301,'Investment Strategies'!$AJ:$AV,13,FALSE),
IF(AND(Investment_Strategy="Autopilot",Investment_Strategy_Sub1="Non-Standard"),VLOOKUP(Investment_Strategy&amp;"_"&amp;Investment_Strategy_Sub2&amp;"_"&amp;$A301,'Investment Strategies'!$T:$AF,13,FALSE),
IF(Investment_Strategy="DIY",DIY_ExtManChrge_CurrentFunds,
"Error"))))))</f>
        <v>0</v>
      </c>
      <c r="H301" s="16">
        <f t="shared" si="175"/>
        <v>0</v>
      </c>
      <c r="I301" s="16">
        <f t="shared" si="159"/>
        <v>0</v>
      </c>
      <c r="J301" s="16">
        <f t="shared" si="160"/>
        <v>0</v>
      </c>
      <c r="K301" s="16">
        <f>(Opening_Fund_Value+SUM(K$91:K300))*E301*IF(D301=$A$91,SRP_finalmonthfactor,1)</f>
        <v>0</v>
      </c>
      <c r="L301" s="74">
        <f>MIN(IF($AV301=0,0,
IF(Investment_Strategy="DIS",VLOOKUP(Investment_Strategy&amp;"_"&amp;Investment_Strategy_Sub1&amp;"_"&amp;$A301,'Investment Strategies'!$AZ:$BP,12,FALSE),
IF(AND(Investment_Strategy="Lifecycle",Investment_Strategy_Sub1="Non-Standard"),VLOOKUP(Investment_Strategy&amp;"_"&amp;Investment_Strategy_Sub2&amp;"_"&amp;$A301,'Investment Strategies'!$C:$P,9,FALSE),
IF(AND(Investment_Strategy="Lifecycle",Investment_Strategy_Sub1="Standard"),VLOOKUP(Investment_Strategy&amp;"_"&amp;Investment_Strategy_Sub2&amp;"_"&amp;$A301,'Investment Strategies'!$AJ:$AV,8,FALSE),
IF(AND(Investment_Strategy="Autopilot",Investment_Strategy_Sub1="Non-Standard"),VLOOKUP(Investment_Strategy&amp;"_"&amp;Investment_Strategy_Sub2&amp;"_"&amp;$A301,'Investment Strategies'!$T:$AF,8,FALSE),
IF(Investment_Strategy ="DIY",DIY_RateofReturn_SP,
"Error")))))),Max_InvReturn)</f>
        <v>0</v>
      </c>
      <c r="M301" s="62">
        <f>IF($AV301=0,0,
IF(Investment_Strategy="DIS",VLOOKUP(Investment_Strategy&amp;"_"&amp;Investment_Strategy_Sub1&amp;"_"&amp;$A301,'Investment Strategies'!$AZ:$BP,15,FALSE),
IF(AND(Investment_Strategy="Lifecycle",Investment_Strategy_Sub1="Non-Standard"),VLOOKUP(Investment_Strategy&amp;"_"&amp;Investment_Strategy_Sub2&amp;"_"&amp;$A301,'Investment Strategies'!$C:$P,12,FALSE),
IF(AND(Investment_Strategy="Lifecycle",Investment_Strategy_Sub1="Standard"),VLOOKUP(Investment_Strategy&amp;"_"&amp;Investment_Strategy_Sub2&amp;"_"&amp;$A301,'Investment Strategies'!$AJ:$AV,11,FALSE),
IF(AND(Investment_Strategy="Autopilot",Investment_Strategy_Sub1="Non-Standard"),VLOOKUP(Investment_Strategy&amp;"_"&amp;Investment_Strategy_Sub2&amp;"_"&amp;$A301,'Investment Strategies'!$T:$AF,11,FALSE),
IF(Investment_Strategy="DIY",DIY_GteeChrge_SP,
"Error"))))))</f>
        <v>0</v>
      </c>
      <c r="N301" s="33">
        <f>IF($AV301=0,0,
IF(Investment_Strategy="DIS",VLOOKUP(Investment_Strategy&amp;"_"&amp;Investment_Strategy_Sub1&amp;"_"&amp;$A301,'Investment Strategies'!$AZ:$BP,17,FALSE),
IF(AND(Investment_Strategy="Lifecycle",Investment_Strategy_Sub1="Non-Standard"),VLOOKUP(Investment_Strategy&amp;"_"&amp;Investment_Strategy_Sub2&amp;"_"&amp;$A301,'Investment Strategies'!$C:$P,14,FALSE),
IF(AND(Investment_Strategy="Lifecycle",Investment_Strategy_Sub1="Standard"),VLOOKUP(Investment_Strategy&amp;"_"&amp;Investment_Strategy_Sub2&amp;"_"&amp;$A301,'Investment Strategies'!$AJ:$AV,13,FALSE),
IF(AND(Investment_Strategy="Autopilot",Investment_Strategy_Sub1="Non-Standard"),VLOOKUP(Investment_Strategy&amp;"_"&amp;Investment_Strategy_Sub2&amp;"_"&amp;$A301,'Investment Strategies'!$T:$AF,13,FALSE),
IF(Investment_Strategy="DIY",DIY_ExtManChrge_SP,
"Error"))))))</f>
        <v>0</v>
      </c>
      <c r="O301" s="16">
        <f t="shared" si="187"/>
        <v>0</v>
      </c>
      <c r="Q301" s="16">
        <f t="shared" si="161"/>
        <v>0</v>
      </c>
      <c r="R301" s="16">
        <f t="shared" si="162"/>
        <v>0</v>
      </c>
      <c r="S301" s="16">
        <f>(SRP_SP+SUM(S$91:S300))*L301*IF(D301=$A$91,SRP_finalmonthfactor,1)</f>
        <v>0</v>
      </c>
      <c r="T301" s="74">
        <f>MIN(IF($AV301=0,0,
IF(Investment_Strategy="DIS",VLOOKUP(Investment_Strategy&amp;"_"&amp;Investment_Strategy_Sub1&amp;"_"&amp;$A301,'Investment Strategies'!$AZ:$BP,12,FALSE),
IF(AND(Investment_Strategy="Lifecycle",Investment_Strategy_Sub1="Non-Standard"),VLOOKUP(Investment_Strategy&amp;"_"&amp;Investment_Strategy_Sub2&amp;"_"&amp;$A301,'Investment Strategies'!$C:$P,9,FALSE),
IF(AND(Investment_Strategy="Lifecycle",Investment_Strategy_Sub1="Standard"),VLOOKUP(Investment_Strategy&amp;"_"&amp;Investment_Strategy_Sub2&amp;"_"&amp;$A301,'Investment Strategies'!$AJ:$AV,8,FALSE),
IF(AND(Investment_Strategy="Autopilot",Investment_Strategy_Sub1="Non-Standard"),VLOOKUP(Investment_Strategy&amp;"_"&amp;Investment_Strategy_Sub2&amp;"_"&amp;$A301,'Investment Strategies'!$T:$AF,8,FALSE),
IF(Investment_Strategy ="DIY",DIY_RateOfReturn_FuturePremiums,
"Error")))))),Max_InvReturn)</f>
        <v>0</v>
      </c>
      <c r="U301" s="62">
        <f>IF($AV301=0,0,
IF(Investment_Strategy="DIS",VLOOKUP(Investment_Strategy&amp;"_"&amp;Investment_Strategy_Sub1&amp;"_"&amp;$A301,'Investment Strategies'!$AZ:$BP,15,FALSE),
IF(AND(Investment_Strategy="Lifecycle",Investment_Strategy_Sub1="Non-Standard"),VLOOKUP(Investment_Strategy&amp;"_"&amp;Investment_Strategy_Sub2&amp;"_"&amp;$A301,'Investment Strategies'!$C:$P,12,FALSE),
IF(AND(Investment_Strategy="Lifecycle",Investment_Strategy_Sub1="Standard"),VLOOKUP(Investment_Strategy&amp;"_"&amp;Investment_Strategy_Sub2&amp;"_"&amp;$A301,'Investment Strategies'!$AJ:$AV,11,FALSE),
IF(AND(Investment_Strategy="Autopilot",Investment_Strategy_Sub1="Non-Standard"),VLOOKUP(Investment_Strategy&amp;"_"&amp;Investment_Strategy_Sub2&amp;"_"&amp;$A301,'Investment Strategies'!$T:$AF,11,FALSE),
IF(Investment_Strategy="DIY",DIY_GteeChrge_FuturePremiums,
"Error"))))))</f>
        <v>0</v>
      </c>
      <c r="V301" s="33">
        <f>IF(AV301=0,0,
IF(Investment_Strategy="DIS",VLOOKUP(Investment_Strategy&amp;"_"&amp;Investment_Strategy_Sub1&amp;"_"&amp;$A301,'Investment Strategies'!$AZ:$BP,17,FALSE),
IF(AND(Investment_Strategy="Lifecycle",Investment_Strategy_Sub1="Non-Standard"),VLOOKUP(Investment_Strategy&amp;"_"&amp;Investment_Strategy_Sub2&amp;"_"&amp;$A301,'Investment Strategies'!$C:$P,14,FALSE),
IF(AND(Investment_Strategy="Lifecycle",Investment_Strategy_Sub1="Standard"),VLOOKUP(Investment_Strategy&amp;"_"&amp;Investment_Strategy_Sub2&amp;"_"&amp;$A301,'Investment Strategies'!$AJ:$AV,13,FALSE),
IF(AND(Investment_Strategy="Autopilot",Investment_Strategy_Sub1="Non-Standard"),VLOOKUP(Investment_Strategy&amp;"_"&amp;Investment_Strategy_Sub2&amp;"_"&amp;$A301,'Investment Strategies'!$T:$AF,13,FALSE),
IF(Investment_Strategy="DIY",DIY_ExtManChrge_FuturePremiums,
"Error"))))))</f>
        <v>0</v>
      </c>
      <c r="W301" s="16">
        <f t="shared" si="188"/>
        <v>0</v>
      </c>
      <c r="X301" s="16">
        <f t="shared" si="163"/>
        <v>0</v>
      </c>
      <c r="Y301" s="16">
        <f t="shared" si="164"/>
        <v>0</v>
      </c>
      <c r="Z301" s="31">
        <f t="shared" si="165"/>
        <v>0.02</v>
      </c>
      <c r="AA301" s="16">
        <f t="shared" si="166"/>
        <v>0</v>
      </c>
      <c r="AB301" s="28">
        <f t="shared" si="189"/>
        <v>0</v>
      </c>
      <c r="AC301" s="28">
        <f>(SUM($AC$91:AC300)+SUM($X$91:X300)+X301)*T301*IF(D301=$A$91,SRP_finalmonthfactor,1)</f>
        <v>0</v>
      </c>
      <c r="AD301" s="16">
        <f t="shared" si="167"/>
        <v>0</v>
      </c>
      <c r="AE301" s="106"/>
      <c r="AF301" s="16">
        <f t="shared" si="176"/>
        <v>0</v>
      </c>
      <c r="AG301" s="16">
        <f t="shared" si="177"/>
        <v>0</v>
      </c>
      <c r="AH301" s="16">
        <f t="shared" si="178"/>
        <v>0</v>
      </c>
      <c r="AJ301" s="13">
        <f t="shared" ref="AJ301:AU310" si="199">IF($C301&lt;=AJ$90,1,0)</f>
        <v>0</v>
      </c>
      <c r="AK301" s="13">
        <f t="shared" si="199"/>
        <v>0</v>
      </c>
      <c r="AL301" s="13">
        <f t="shared" si="199"/>
        <v>0</v>
      </c>
      <c r="AM301" s="13">
        <f t="shared" si="199"/>
        <v>0</v>
      </c>
      <c r="AN301" s="13">
        <f t="shared" si="199"/>
        <v>0</v>
      </c>
      <c r="AO301" s="13">
        <f t="shared" si="199"/>
        <v>1</v>
      </c>
      <c r="AP301" s="13">
        <f t="shared" si="199"/>
        <v>1</v>
      </c>
      <c r="AQ301" s="13">
        <f t="shared" si="199"/>
        <v>1</v>
      </c>
      <c r="AR301" s="13">
        <f t="shared" si="199"/>
        <v>1</v>
      </c>
      <c r="AS301" s="13">
        <f t="shared" si="199"/>
        <v>1</v>
      </c>
      <c r="AT301" s="13">
        <f t="shared" si="199"/>
        <v>1</v>
      </c>
      <c r="AU301" s="13">
        <f t="shared" si="199"/>
        <v>1</v>
      </c>
      <c r="AV301" s="13">
        <f t="shared" si="168"/>
        <v>0</v>
      </c>
      <c r="AW301" s="13">
        <f t="shared" si="169"/>
        <v>1</v>
      </c>
      <c r="AY301" s="17">
        <f t="shared" si="170"/>
        <v>211</v>
      </c>
      <c r="AZ301" s="28">
        <f t="shared" si="179"/>
        <v>0</v>
      </c>
      <c r="BA301" s="13">
        <f t="shared" si="171"/>
        <v>0</v>
      </c>
      <c r="BB301" s="13">
        <f t="shared" si="172"/>
        <v>0</v>
      </c>
      <c r="BC301" s="28">
        <f t="shared" si="180"/>
        <v>0</v>
      </c>
      <c r="BD301" s="28">
        <f t="shared" si="181"/>
        <v>0</v>
      </c>
      <c r="BF301" s="248">
        <f t="shared" si="182"/>
        <v>993869.29442638322</v>
      </c>
      <c r="BG301" s="36">
        <f t="shared" si="190"/>
        <v>0</v>
      </c>
      <c r="BH301" s="36">
        <f t="shared" si="191"/>
        <v>833826.97027911781</v>
      </c>
      <c r="BI301" s="249">
        <f t="shared" si="192"/>
        <v>0</v>
      </c>
      <c r="BJ301" s="246">
        <f t="shared" si="193"/>
        <v>0</v>
      </c>
      <c r="BK301" s="246">
        <f t="shared" si="173"/>
        <v>7.531116566323881E-4</v>
      </c>
      <c r="BL301" s="246">
        <f t="shared" si="194"/>
        <v>0</v>
      </c>
      <c r="BM301" s="246">
        <f t="shared" si="195"/>
        <v>7.531116566323881E-4</v>
      </c>
      <c r="BN301" s="36">
        <f t="shared" si="183"/>
        <v>627.96481093167142</v>
      </c>
      <c r="BO301" s="36">
        <f t="shared" si="196"/>
        <v>0</v>
      </c>
      <c r="BP301" s="36">
        <f t="shared" si="197"/>
        <v>833199.00546818611</v>
      </c>
    </row>
    <row r="302" spans="1:68">
      <c r="A302" s="32">
        <f t="shared" si="184"/>
        <v>-127</v>
      </c>
      <c r="B302" s="32">
        <f t="shared" si="174"/>
        <v>70</v>
      </c>
      <c r="C302" s="32">
        <f t="shared" si="185"/>
        <v>18</v>
      </c>
      <c r="D302" s="32">
        <f t="shared" si="186"/>
        <v>212</v>
      </c>
      <c r="E302" s="74">
        <f>MIN(IF(AV302=0,0,
IF(Investment_Strategy="DIS",VLOOKUP(Investment_Strategy&amp;"_"&amp;Investment_Strategy_Sub1&amp;"_"&amp;$A302,'Investment Strategies'!$AZ:$BP,12,FALSE),
IF(AND(Investment_Strategy="Lifecycle",Investment_Strategy_Sub1="Non-Standard"),VLOOKUP(Investment_Strategy&amp;"_"&amp;Investment_Strategy_Sub2&amp;"_"&amp;$A302,'Investment Strategies'!$C:$P,9,FALSE),
IF(AND(Investment_Strategy="Lifecycle",Investment_Strategy_Sub1="Standard"),VLOOKUP(Investment_Strategy&amp;"_"&amp;Investment_Strategy_Sub2&amp;"_"&amp;$A302,'Investment Strategies'!$AJ:$AV,8,FALSE),
IF(AND(Investment_Strategy="Autopilot",Investment_Strategy_Sub1="Non-Standard"),VLOOKUP(Investment_Strategy&amp;"_"&amp;Investment_Strategy_Sub2&amp;"_"&amp;$A302,'Investment Strategies'!$T:$AF,8,FALSE),
IF(Investment_Strategy ="DIY",DIY_RateOfReturn_CurrentFunds,
"Error")))))),Max_InvReturn)</f>
        <v>0</v>
      </c>
      <c r="F302" s="62">
        <f>IF(AV302=0,0,
IF(Investment_Strategy="DIS",VLOOKUP(Investment_Strategy&amp;"_"&amp;Investment_Strategy_Sub1&amp;"_"&amp;$A302,'Investment Strategies'!$AZ:$BP,15,FALSE),
IF(AND(Investment_Strategy="Lifecycle",Investment_Strategy_Sub1="Non-Standard"),VLOOKUP(Investment_Strategy&amp;"_"&amp;Investment_Strategy_Sub2&amp;"_"&amp;$A302,'Investment Strategies'!$C:$P,12,FALSE),
IF(AND(Investment_Strategy="Lifecycle",Investment_Strategy_Sub1="Standard"),VLOOKUP(Investment_Strategy&amp;"_"&amp;Investment_Strategy_Sub2&amp;"_"&amp;$A302,'Investment Strategies'!$AJ:$AV,11,FALSE),
IF(AND(Investment_Strategy="Autopilot",Investment_Strategy_Sub1="Non-Standard"),VLOOKUP(Investment_Strategy&amp;"_"&amp;Investment_Strategy_Sub2&amp;"_"&amp;$A302,'Investment Strategies'!$T:$AF,11,FALSE),
IF(Investment_Strategy="DIY",DIY_GteeChrge_CurrentFunds,
"Error"))))))</f>
        <v>0</v>
      </c>
      <c r="G302" s="33">
        <f>IF(AV302=0,0,
IF(Investment_Strategy="DIS",VLOOKUP(Investment_Strategy&amp;"_"&amp;Investment_Strategy_Sub1&amp;"_"&amp;$A302,'Investment Strategies'!$AZ:$BP,17,FALSE),
IF(AND(Investment_Strategy="Lifecycle",Investment_Strategy_Sub1="Non-Standard"),VLOOKUP(Investment_Strategy&amp;"_"&amp;Investment_Strategy_Sub2&amp;"_"&amp;$A302,'Investment Strategies'!$C:$P,14,FALSE),
IF(AND(Investment_Strategy="Lifecycle",Investment_Strategy_Sub1="Standard"),VLOOKUP(Investment_Strategy&amp;"_"&amp;Investment_Strategy_Sub2&amp;"_"&amp;$A302,'Investment Strategies'!$AJ:$AV,13,FALSE),
IF(AND(Investment_Strategy="Autopilot",Investment_Strategy_Sub1="Non-Standard"),VLOOKUP(Investment_Strategy&amp;"_"&amp;Investment_Strategy_Sub2&amp;"_"&amp;$A302,'Investment Strategies'!$T:$AF,13,FALSE),
IF(Investment_Strategy="DIY",DIY_ExtManChrge_CurrentFunds,
"Error"))))))</f>
        <v>0</v>
      </c>
      <c r="H302" s="16">
        <f t="shared" si="175"/>
        <v>0</v>
      </c>
      <c r="I302" s="16">
        <f t="shared" si="159"/>
        <v>0</v>
      </c>
      <c r="J302" s="16">
        <f t="shared" si="160"/>
        <v>0</v>
      </c>
      <c r="K302" s="16">
        <f>(Opening_Fund_Value+SUM(K$91:K301))*E302*IF(D302=$A$91,SRP_finalmonthfactor,1)</f>
        <v>0</v>
      </c>
      <c r="L302" s="74">
        <f>MIN(IF($AV302=0,0,
IF(Investment_Strategy="DIS",VLOOKUP(Investment_Strategy&amp;"_"&amp;Investment_Strategy_Sub1&amp;"_"&amp;$A302,'Investment Strategies'!$AZ:$BP,12,FALSE),
IF(AND(Investment_Strategy="Lifecycle",Investment_Strategy_Sub1="Non-Standard"),VLOOKUP(Investment_Strategy&amp;"_"&amp;Investment_Strategy_Sub2&amp;"_"&amp;$A302,'Investment Strategies'!$C:$P,9,FALSE),
IF(AND(Investment_Strategy="Lifecycle",Investment_Strategy_Sub1="Standard"),VLOOKUP(Investment_Strategy&amp;"_"&amp;Investment_Strategy_Sub2&amp;"_"&amp;$A302,'Investment Strategies'!$AJ:$AV,8,FALSE),
IF(AND(Investment_Strategy="Autopilot",Investment_Strategy_Sub1="Non-Standard"),VLOOKUP(Investment_Strategy&amp;"_"&amp;Investment_Strategy_Sub2&amp;"_"&amp;$A302,'Investment Strategies'!$T:$AF,8,FALSE),
IF(Investment_Strategy ="DIY",DIY_RateofReturn_SP,
"Error")))))),Max_InvReturn)</f>
        <v>0</v>
      </c>
      <c r="M302" s="62">
        <f>IF($AV302=0,0,
IF(Investment_Strategy="DIS",VLOOKUP(Investment_Strategy&amp;"_"&amp;Investment_Strategy_Sub1&amp;"_"&amp;$A302,'Investment Strategies'!$AZ:$BP,15,FALSE),
IF(AND(Investment_Strategy="Lifecycle",Investment_Strategy_Sub1="Non-Standard"),VLOOKUP(Investment_Strategy&amp;"_"&amp;Investment_Strategy_Sub2&amp;"_"&amp;$A302,'Investment Strategies'!$C:$P,12,FALSE),
IF(AND(Investment_Strategy="Lifecycle",Investment_Strategy_Sub1="Standard"),VLOOKUP(Investment_Strategy&amp;"_"&amp;Investment_Strategy_Sub2&amp;"_"&amp;$A302,'Investment Strategies'!$AJ:$AV,11,FALSE),
IF(AND(Investment_Strategy="Autopilot",Investment_Strategy_Sub1="Non-Standard"),VLOOKUP(Investment_Strategy&amp;"_"&amp;Investment_Strategy_Sub2&amp;"_"&amp;$A302,'Investment Strategies'!$T:$AF,11,FALSE),
IF(Investment_Strategy="DIY",DIY_GteeChrge_SP,
"Error"))))))</f>
        <v>0</v>
      </c>
      <c r="N302" s="33">
        <f>IF($AV302=0,0,
IF(Investment_Strategy="DIS",VLOOKUP(Investment_Strategy&amp;"_"&amp;Investment_Strategy_Sub1&amp;"_"&amp;$A302,'Investment Strategies'!$AZ:$BP,17,FALSE),
IF(AND(Investment_Strategy="Lifecycle",Investment_Strategy_Sub1="Non-Standard"),VLOOKUP(Investment_Strategy&amp;"_"&amp;Investment_Strategy_Sub2&amp;"_"&amp;$A302,'Investment Strategies'!$C:$P,14,FALSE),
IF(AND(Investment_Strategy="Lifecycle",Investment_Strategy_Sub1="Standard"),VLOOKUP(Investment_Strategy&amp;"_"&amp;Investment_Strategy_Sub2&amp;"_"&amp;$A302,'Investment Strategies'!$AJ:$AV,13,FALSE),
IF(AND(Investment_Strategy="Autopilot",Investment_Strategy_Sub1="Non-Standard"),VLOOKUP(Investment_Strategy&amp;"_"&amp;Investment_Strategy_Sub2&amp;"_"&amp;$A302,'Investment Strategies'!$T:$AF,13,FALSE),
IF(Investment_Strategy="DIY",DIY_ExtManChrge_SP,
"Error"))))))</f>
        <v>0</v>
      </c>
      <c r="O302" s="16">
        <f t="shared" si="187"/>
        <v>0</v>
      </c>
      <c r="Q302" s="16">
        <f t="shared" si="161"/>
        <v>0</v>
      </c>
      <c r="R302" s="16">
        <f t="shared" si="162"/>
        <v>0</v>
      </c>
      <c r="S302" s="16">
        <f>(SRP_SP+SUM(S$91:S301))*L302*IF(D302=$A$91,SRP_finalmonthfactor,1)</f>
        <v>0</v>
      </c>
      <c r="T302" s="74">
        <f>MIN(IF($AV302=0,0,
IF(Investment_Strategy="DIS",VLOOKUP(Investment_Strategy&amp;"_"&amp;Investment_Strategy_Sub1&amp;"_"&amp;$A302,'Investment Strategies'!$AZ:$BP,12,FALSE),
IF(AND(Investment_Strategy="Lifecycle",Investment_Strategy_Sub1="Non-Standard"),VLOOKUP(Investment_Strategy&amp;"_"&amp;Investment_Strategy_Sub2&amp;"_"&amp;$A302,'Investment Strategies'!$C:$P,9,FALSE),
IF(AND(Investment_Strategy="Lifecycle",Investment_Strategy_Sub1="Standard"),VLOOKUP(Investment_Strategy&amp;"_"&amp;Investment_Strategy_Sub2&amp;"_"&amp;$A302,'Investment Strategies'!$AJ:$AV,8,FALSE),
IF(AND(Investment_Strategy="Autopilot",Investment_Strategy_Sub1="Non-Standard"),VLOOKUP(Investment_Strategy&amp;"_"&amp;Investment_Strategy_Sub2&amp;"_"&amp;$A302,'Investment Strategies'!$T:$AF,8,FALSE),
IF(Investment_Strategy ="DIY",DIY_RateOfReturn_FuturePremiums,
"Error")))))),Max_InvReturn)</f>
        <v>0</v>
      </c>
      <c r="U302" s="62">
        <f>IF($AV302=0,0,
IF(Investment_Strategy="DIS",VLOOKUP(Investment_Strategy&amp;"_"&amp;Investment_Strategy_Sub1&amp;"_"&amp;$A302,'Investment Strategies'!$AZ:$BP,15,FALSE),
IF(AND(Investment_Strategy="Lifecycle",Investment_Strategy_Sub1="Non-Standard"),VLOOKUP(Investment_Strategy&amp;"_"&amp;Investment_Strategy_Sub2&amp;"_"&amp;$A302,'Investment Strategies'!$C:$P,12,FALSE),
IF(AND(Investment_Strategy="Lifecycle",Investment_Strategy_Sub1="Standard"),VLOOKUP(Investment_Strategy&amp;"_"&amp;Investment_Strategy_Sub2&amp;"_"&amp;$A302,'Investment Strategies'!$AJ:$AV,11,FALSE),
IF(AND(Investment_Strategy="Autopilot",Investment_Strategy_Sub1="Non-Standard"),VLOOKUP(Investment_Strategy&amp;"_"&amp;Investment_Strategy_Sub2&amp;"_"&amp;$A302,'Investment Strategies'!$T:$AF,11,FALSE),
IF(Investment_Strategy="DIY",DIY_GteeChrge_FuturePremiums,
"Error"))))))</f>
        <v>0</v>
      </c>
      <c r="V302" s="33">
        <f>IF(AV302=0,0,
IF(Investment_Strategy="DIS",VLOOKUP(Investment_Strategy&amp;"_"&amp;Investment_Strategy_Sub1&amp;"_"&amp;$A302,'Investment Strategies'!$AZ:$BP,17,FALSE),
IF(AND(Investment_Strategy="Lifecycle",Investment_Strategy_Sub1="Non-Standard"),VLOOKUP(Investment_Strategy&amp;"_"&amp;Investment_Strategy_Sub2&amp;"_"&amp;$A302,'Investment Strategies'!$C:$P,14,FALSE),
IF(AND(Investment_Strategy="Lifecycle",Investment_Strategy_Sub1="Standard"),VLOOKUP(Investment_Strategy&amp;"_"&amp;Investment_Strategy_Sub2&amp;"_"&amp;$A302,'Investment Strategies'!$AJ:$AV,13,FALSE),
IF(AND(Investment_Strategy="Autopilot",Investment_Strategy_Sub1="Non-Standard"),VLOOKUP(Investment_Strategy&amp;"_"&amp;Investment_Strategy_Sub2&amp;"_"&amp;$A302,'Investment Strategies'!$T:$AF,13,FALSE),
IF(Investment_Strategy="DIY",DIY_ExtManChrge_FuturePremiums,
"Error"))))))</f>
        <v>0</v>
      </c>
      <c r="W302" s="16">
        <f t="shared" si="188"/>
        <v>0</v>
      </c>
      <c r="X302" s="16">
        <f t="shared" si="163"/>
        <v>0</v>
      </c>
      <c r="Y302" s="16">
        <f t="shared" si="164"/>
        <v>0</v>
      </c>
      <c r="Z302" s="31">
        <f t="shared" si="165"/>
        <v>0.02</v>
      </c>
      <c r="AA302" s="16">
        <f t="shared" si="166"/>
        <v>0</v>
      </c>
      <c r="AB302" s="28">
        <f t="shared" si="189"/>
        <v>0</v>
      </c>
      <c r="AC302" s="28">
        <f>(SUM($AC$91:AC301)+SUM($X$91:X301)+X302)*T302*IF(D302=$A$91,SRP_finalmonthfactor,1)</f>
        <v>0</v>
      </c>
      <c r="AD302" s="16">
        <f t="shared" si="167"/>
        <v>0</v>
      </c>
      <c r="AE302" s="106"/>
      <c r="AF302" s="16">
        <f t="shared" si="176"/>
        <v>0</v>
      </c>
      <c r="AG302" s="16">
        <f t="shared" si="177"/>
        <v>0</v>
      </c>
      <c r="AH302" s="16">
        <f t="shared" si="178"/>
        <v>0</v>
      </c>
      <c r="AJ302" s="13">
        <f t="shared" si="199"/>
        <v>0</v>
      </c>
      <c r="AK302" s="13">
        <f t="shared" si="199"/>
        <v>0</v>
      </c>
      <c r="AL302" s="13">
        <f t="shared" si="199"/>
        <v>0</v>
      </c>
      <c r="AM302" s="13">
        <f t="shared" si="199"/>
        <v>0</v>
      </c>
      <c r="AN302" s="13">
        <f t="shared" si="199"/>
        <v>0</v>
      </c>
      <c r="AO302" s="13">
        <f t="shared" si="199"/>
        <v>1</v>
      </c>
      <c r="AP302" s="13">
        <f t="shared" si="199"/>
        <v>1</v>
      </c>
      <c r="AQ302" s="13">
        <f t="shared" si="199"/>
        <v>1</v>
      </c>
      <c r="AR302" s="13">
        <f t="shared" si="199"/>
        <v>1</v>
      </c>
      <c r="AS302" s="13">
        <f t="shared" si="199"/>
        <v>1</v>
      </c>
      <c r="AT302" s="13">
        <f t="shared" si="199"/>
        <v>1</v>
      </c>
      <c r="AU302" s="13">
        <f t="shared" si="199"/>
        <v>1</v>
      </c>
      <c r="AV302" s="13">
        <f t="shared" si="168"/>
        <v>0</v>
      </c>
      <c r="AW302" s="13">
        <f t="shared" si="169"/>
        <v>1</v>
      </c>
      <c r="AY302" s="17">
        <f t="shared" si="170"/>
        <v>212</v>
      </c>
      <c r="AZ302" s="28">
        <f t="shared" si="179"/>
        <v>0</v>
      </c>
      <c r="BA302" s="13">
        <f t="shared" si="171"/>
        <v>0</v>
      </c>
      <c r="BB302" s="13">
        <f t="shared" si="172"/>
        <v>0</v>
      </c>
      <c r="BC302" s="28">
        <f t="shared" si="180"/>
        <v>0</v>
      </c>
      <c r="BD302" s="28">
        <f t="shared" si="181"/>
        <v>0</v>
      </c>
      <c r="BF302" s="248">
        <f t="shared" si="182"/>
        <v>993869.29442638322</v>
      </c>
      <c r="BG302" s="36">
        <f t="shared" si="190"/>
        <v>0</v>
      </c>
      <c r="BH302" s="36">
        <f t="shared" si="191"/>
        <v>833199.00546818611</v>
      </c>
      <c r="BI302" s="249">
        <f t="shared" si="192"/>
        <v>0</v>
      </c>
      <c r="BJ302" s="246">
        <f t="shared" si="193"/>
        <v>0</v>
      </c>
      <c r="BK302" s="246">
        <f t="shared" si="173"/>
        <v>7.531116566323881E-4</v>
      </c>
      <c r="BL302" s="246">
        <f t="shared" si="194"/>
        <v>0</v>
      </c>
      <c r="BM302" s="246">
        <f t="shared" si="195"/>
        <v>7.531116566323881E-4</v>
      </c>
      <c r="BN302" s="36">
        <f t="shared" si="183"/>
        <v>627.49188331260382</v>
      </c>
      <c r="BO302" s="36">
        <f t="shared" si="196"/>
        <v>0</v>
      </c>
      <c r="BP302" s="36">
        <f t="shared" si="197"/>
        <v>832571.51358487352</v>
      </c>
    </row>
    <row r="303" spans="1:68">
      <c r="A303" s="32">
        <f t="shared" si="184"/>
        <v>-128</v>
      </c>
      <c r="B303" s="32">
        <f t="shared" si="174"/>
        <v>70</v>
      </c>
      <c r="C303" s="32">
        <f t="shared" si="185"/>
        <v>18</v>
      </c>
      <c r="D303" s="32">
        <f t="shared" si="186"/>
        <v>213</v>
      </c>
      <c r="E303" s="74">
        <f>MIN(IF(AV303=0,0,
IF(Investment_Strategy="DIS",VLOOKUP(Investment_Strategy&amp;"_"&amp;Investment_Strategy_Sub1&amp;"_"&amp;$A303,'Investment Strategies'!$AZ:$BP,12,FALSE),
IF(AND(Investment_Strategy="Lifecycle",Investment_Strategy_Sub1="Non-Standard"),VLOOKUP(Investment_Strategy&amp;"_"&amp;Investment_Strategy_Sub2&amp;"_"&amp;$A303,'Investment Strategies'!$C:$P,9,FALSE),
IF(AND(Investment_Strategy="Lifecycle",Investment_Strategy_Sub1="Standard"),VLOOKUP(Investment_Strategy&amp;"_"&amp;Investment_Strategy_Sub2&amp;"_"&amp;$A303,'Investment Strategies'!$AJ:$AV,8,FALSE),
IF(AND(Investment_Strategy="Autopilot",Investment_Strategy_Sub1="Non-Standard"),VLOOKUP(Investment_Strategy&amp;"_"&amp;Investment_Strategy_Sub2&amp;"_"&amp;$A303,'Investment Strategies'!$T:$AF,8,FALSE),
IF(Investment_Strategy ="DIY",DIY_RateOfReturn_CurrentFunds,
"Error")))))),Max_InvReturn)</f>
        <v>0</v>
      </c>
      <c r="F303" s="62">
        <f>IF(AV303=0,0,
IF(Investment_Strategy="DIS",VLOOKUP(Investment_Strategy&amp;"_"&amp;Investment_Strategy_Sub1&amp;"_"&amp;$A303,'Investment Strategies'!$AZ:$BP,15,FALSE),
IF(AND(Investment_Strategy="Lifecycle",Investment_Strategy_Sub1="Non-Standard"),VLOOKUP(Investment_Strategy&amp;"_"&amp;Investment_Strategy_Sub2&amp;"_"&amp;$A303,'Investment Strategies'!$C:$P,12,FALSE),
IF(AND(Investment_Strategy="Lifecycle",Investment_Strategy_Sub1="Standard"),VLOOKUP(Investment_Strategy&amp;"_"&amp;Investment_Strategy_Sub2&amp;"_"&amp;$A303,'Investment Strategies'!$AJ:$AV,11,FALSE),
IF(AND(Investment_Strategy="Autopilot",Investment_Strategy_Sub1="Non-Standard"),VLOOKUP(Investment_Strategy&amp;"_"&amp;Investment_Strategy_Sub2&amp;"_"&amp;$A303,'Investment Strategies'!$T:$AF,11,FALSE),
IF(Investment_Strategy="DIY",DIY_GteeChrge_CurrentFunds,
"Error"))))))</f>
        <v>0</v>
      </c>
      <c r="G303" s="33">
        <f>IF(AV303=0,0,
IF(Investment_Strategy="DIS",VLOOKUP(Investment_Strategy&amp;"_"&amp;Investment_Strategy_Sub1&amp;"_"&amp;$A303,'Investment Strategies'!$AZ:$BP,17,FALSE),
IF(AND(Investment_Strategy="Lifecycle",Investment_Strategy_Sub1="Non-Standard"),VLOOKUP(Investment_Strategy&amp;"_"&amp;Investment_Strategy_Sub2&amp;"_"&amp;$A303,'Investment Strategies'!$C:$P,14,FALSE),
IF(AND(Investment_Strategy="Lifecycle",Investment_Strategy_Sub1="Standard"),VLOOKUP(Investment_Strategy&amp;"_"&amp;Investment_Strategy_Sub2&amp;"_"&amp;$A303,'Investment Strategies'!$AJ:$AV,13,FALSE),
IF(AND(Investment_Strategy="Autopilot",Investment_Strategy_Sub1="Non-Standard"),VLOOKUP(Investment_Strategy&amp;"_"&amp;Investment_Strategy_Sub2&amp;"_"&amp;$A303,'Investment Strategies'!$T:$AF,13,FALSE),
IF(Investment_Strategy="DIY",DIY_ExtManChrge_CurrentFunds,
"Error"))))))</f>
        <v>0</v>
      </c>
      <c r="H303" s="16">
        <f t="shared" si="175"/>
        <v>0</v>
      </c>
      <c r="I303" s="16">
        <f t="shared" si="159"/>
        <v>0</v>
      </c>
      <c r="J303" s="16">
        <f t="shared" si="160"/>
        <v>0</v>
      </c>
      <c r="K303" s="16">
        <f>(Opening_Fund_Value+SUM(K$91:K302))*E303*IF(D303=$A$91,SRP_finalmonthfactor,1)</f>
        <v>0</v>
      </c>
      <c r="L303" s="74">
        <f>MIN(IF($AV303=0,0,
IF(Investment_Strategy="DIS",VLOOKUP(Investment_Strategy&amp;"_"&amp;Investment_Strategy_Sub1&amp;"_"&amp;$A303,'Investment Strategies'!$AZ:$BP,12,FALSE),
IF(AND(Investment_Strategy="Lifecycle",Investment_Strategy_Sub1="Non-Standard"),VLOOKUP(Investment_Strategy&amp;"_"&amp;Investment_Strategy_Sub2&amp;"_"&amp;$A303,'Investment Strategies'!$C:$P,9,FALSE),
IF(AND(Investment_Strategy="Lifecycle",Investment_Strategy_Sub1="Standard"),VLOOKUP(Investment_Strategy&amp;"_"&amp;Investment_Strategy_Sub2&amp;"_"&amp;$A303,'Investment Strategies'!$AJ:$AV,8,FALSE),
IF(AND(Investment_Strategy="Autopilot",Investment_Strategy_Sub1="Non-Standard"),VLOOKUP(Investment_Strategy&amp;"_"&amp;Investment_Strategy_Sub2&amp;"_"&amp;$A303,'Investment Strategies'!$T:$AF,8,FALSE),
IF(Investment_Strategy ="DIY",DIY_RateofReturn_SP,
"Error")))))),Max_InvReturn)</f>
        <v>0</v>
      </c>
      <c r="M303" s="62">
        <f>IF($AV303=0,0,
IF(Investment_Strategy="DIS",VLOOKUP(Investment_Strategy&amp;"_"&amp;Investment_Strategy_Sub1&amp;"_"&amp;$A303,'Investment Strategies'!$AZ:$BP,15,FALSE),
IF(AND(Investment_Strategy="Lifecycle",Investment_Strategy_Sub1="Non-Standard"),VLOOKUP(Investment_Strategy&amp;"_"&amp;Investment_Strategy_Sub2&amp;"_"&amp;$A303,'Investment Strategies'!$C:$P,12,FALSE),
IF(AND(Investment_Strategy="Lifecycle",Investment_Strategy_Sub1="Standard"),VLOOKUP(Investment_Strategy&amp;"_"&amp;Investment_Strategy_Sub2&amp;"_"&amp;$A303,'Investment Strategies'!$AJ:$AV,11,FALSE),
IF(AND(Investment_Strategy="Autopilot",Investment_Strategy_Sub1="Non-Standard"),VLOOKUP(Investment_Strategy&amp;"_"&amp;Investment_Strategy_Sub2&amp;"_"&amp;$A303,'Investment Strategies'!$T:$AF,11,FALSE),
IF(Investment_Strategy="DIY",DIY_GteeChrge_SP,
"Error"))))))</f>
        <v>0</v>
      </c>
      <c r="N303" s="33">
        <f>IF($AV303=0,0,
IF(Investment_Strategy="DIS",VLOOKUP(Investment_Strategy&amp;"_"&amp;Investment_Strategy_Sub1&amp;"_"&amp;$A303,'Investment Strategies'!$AZ:$BP,17,FALSE),
IF(AND(Investment_Strategy="Lifecycle",Investment_Strategy_Sub1="Non-Standard"),VLOOKUP(Investment_Strategy&amp;"_"&amp;Investment_Strategy_Sub2&amp;"_"&amp;$A303,'Investment Strategies'!$C:$P,14,FALSE),
IF(AND(Investment_Strategy="Lifecycle",Investment_Strategy_Sub1="Standard"),VLOOKUP(Investment_Strategy&amp;"_"&amp;Investment_Strategy_Sub2&amp;"_"&amp;$A303,'Investment Strategies'!$AJ:$AV,13,FALSE),
IF(AND(Investment_Strategy="Autopilot",Investment_Strategy_Sub1="Non-Standard"),VLOOKUP(Investment_Strategy&amp;"_"&amp;Investment_Strategy_Sub2&amp;"_"&amp;$A303,'Investment Strategies'!$T:$AF,13,FALSE),
IF(Investment_Strategy="DIY",DIY_ExtManChrge_SP,
"Error"))))))</f>
        <v>0</v>
      </c>
      <c r="O303" s="16">
        <f t="shared" si="187"/>
        <v>0</v>
      </c>
      <c r="Q303" s="16">
        <f t="shared" si="161"/>
        <v>0</v>
      </c>
      <c r="R303" s="16">
        <f t="shared" si="162"/>
        <v>0</v>
      </c>
      <c r="S303" s="16">
        <f>(SRP_SP+SUM(S$91:S302))*L303*IF(D303=$A$91,SRP_finalmonthfactor,1)</f>
        <v>0</v>
      </c>
      <c r="T303" s="74">
        <f>MIN(IF($AV303=0,0,
IF(Investment_Strategy="DIS",VLOOKUP(Investment_Strategy&amp;"_"&amp;Investment_Strategy_Sub1&amp;"_"&amp;$A303,'Investment Strategies'!$AZ:$BP,12,FALSE),
IF(AND(Investment_Strategy="Lifecycle",Investment_Strategy_Sub1="Non-Standard"),VLOOKUP(Investment_Strategy&amp;"_"&amp;Investment_Strategy_Sub2&amp;"_"&amp;$A303,'Investment Strategies'!$C:$P,9,FALSE),
IF(AND(Investment_Strategy="Lifecycle",Investment_Strategy_Sub1="Standard"),VLOOKUP(Investment_Strategy&amp;"_"&amp;Investment_Strategy_Sub2&amp;"_"&amp;$A303,'Investment Strategies'!$AJ:$AV,8,FALSE),
IF(AND(Investment_Strategy="Autopilot",Investment_Strategy_Sub1="Non-Standard"),VLOOKUP(Investment_Strategy&amp;"_"&amp;Investment_Strategy_Sub2&amp;"_"&amp;$A303,'Investment Strategies'!$T:$AF,8,FALSE),
IF(Investment_Strategy ="DIY",DIY_RateOfReturn_FuturePremiums,
"Error")))))),Max_InvReturn)</f>
        <v>0</v>
      </c>
      <c r="U303" s="62">
        <f>IF($AV303=0,0,
IF(Investment_Strategy="DIS",VLOOKUP(Investment_Strategy&amp;"_"&amp;Investment_Strategy_Sub1&amp;"_"&amp;$A303,'Investment Strategies'!$AZ:$BP,15,FALSE),
IF(AND(Investment_Strategy="Lifecycle",Investment_Strategy_Sub1="Non-Standard"),VLOOKUP(Investment_Strategy&amp;"_"&amp;Investment_Strategy_Sub2&amp;"_"&amp;$A303,'Investment Strategies'!$C:$P,12,FALSE),
IF(AND(Investment_Strategy="Lifecycle",Investment_Strategy_Sub1="Standard"),VLOOKUP(Investment_Strategy&amp;"_"&amp;Investment_Strategy_Sub2&amp;"_"&amp;$A303,'Investment Strategies'!$AJ:$AV,11,FALSE),
IF(AND(Investment_Strategy="Autopilot",Investment_Strategy_Sub1="Non-Standard"),VLOOKUP(Investment_Strategy&amp;"_"&amp;Investment_Strategy_Sub2&amp;"_"&amp;$A303,'Investment Strategies'!$T:$AF,11,FALSE),
IF(Investment_Strategy="DIY",DIY_GteeChrge_FuturePremiums,
"Error"))))))</f>
        <v>0</v>
      </c>
      <c r="V303" s="33">
        <f>IF(AV303=0,0,
IF(Investment_Strategy="DIS",VLOOKUP(Investment_Strategy&amp;"_"&amp;Investment_Strategy_Sub1&amp;"_"&amp;$A303,'Investment Strategies'!$AZ:$BP,17,FALSE),
IF(AND(Investment_Strategy="Lifecycle",Investment_Strategy_Sub1="Non-Standard"),VLOOKUP(Investment_Strategy&amp;"_"&amp;Investment_Strategy_Sub2&amp;"_"&amp;$A303,'Investment Strategies'!$C:$P,14,FALSE),
IF(AND(Investment_Strategy="Lifecycle",Investment_Strategy_Sub1="Standard"),VLOOKUP(Investment_Strategy&amp;"_"&amp;Investment_Strategy_Sub2&amp;"_"&amp;$A303,'Investment Strategies'!$AJ:$AV,13,FALSE),
IF(AND(Investment_Strategy="Autopilot",Investment_Strategy_Sub1="Non-Standard"),VLOOKUP(Investment_Strategy&amp;"_"&amp;Investment_Strategy_Sub2&amp;"_"&amp;$A303,'Investment Strategies'!$T:$AF,13,FALSE),
IF(Investment_Strategy="DIY",DIY_ExtManChrge_FuturePremiums,
"Error"))))))</f>
        <v>0</v>
      </c>
      <c r="W303" s="16">
        <f t="shared" si="188"/>
        <v>0</v>
      </c>
      <c r="X303" s="16">
        <f t="shared" si="163"/>
        <v>0</v>
      </c>
      <c r="Y303" s="16">
        <f t="shared" si="164"/>
        <v>0</v>
      </c>
      <c r="Z303" s="31">
        <f t="shared" si="165"/>
        <v>0.02</v>
      </c>
      <c r="AA303" s="16">
        <f t="shared" si="166"/>
        <v>0</v>
      </c>
      <c r="AB303" s="28">
        <f t="shared" si="189"/>
        <v>0</v>
      </c>
      <c r="AC303" s="28">
        <f>(SUM($AC$91:AC302)+SUM($X$91:X302)+X303)*T303*IF(D303=$A$91,SRP_finalmonthfactor,1)</f>
        <v>0</v>
      </c>
      <c r="AD303" s="16">
        <f t="shared" si="167"/>
        <v>0</v>
      </c>
      <c r="AE303" s="106"/>
      <c r="AF303" s="16">
        <f t="shared" si="176"/>
        <v>0</v>
      </c>
      <c r="AG303" s="16">
        <f t="shared" si="177"/>
        <v>0</v>
      </c>
      <c r="AH303" s="16">
        <f t="shared" si="178"/>
        <v>0</v>
      </c>
      <c r="AJ303" s="13">
        <f t="shared" si="199"/>
        <v>0</v>
      </c>
      <c r="AK303" s="13">
        <f t="shared" si="199"/>
        <v>0</v>
      </c>
      <c r="AL303" s="13">
        <f t="shared" si="199"/>
        <v>0</v>
      </c>
      <c r="AM303" s="13">
        <f t="shared" si="199"/>
        <v>0</v>
      </c>
      <c r="AN303" s="13">
        <f t="shared" si="199"/>
        <v>0</v>
      </c>
      <c r="AO303" s="13">
        <f t="shared" si="199"/>
        <v>1</v>
      </c>
      <c r="AP303" s="13">
        <f t="shared" si="199"/>
        <v>1</v>
      </c>
      <c r="AQ303" s="13">
        <f t="shared" si="199"/>
        <v>1</v>
      </c>
      <c r="AR303" s="13">
        <f t="shared" si="199"/>
        <v>1</v>
      </c>
      <c r="AS303" s="13">
        <f t="shared" si="199"/>
        <v>1</v>
      </c>
      <c r="AT303" s="13">
        <f t="shared" si="199"/>
        <v>1</v>
      </c>
      <c r="AU303" s="13">
        <f t="shared" si="199"/>
        <v>1</v>
      </c>
      <c r="AV303" s="13">
        <f t="shared" si="168"/>
        <v>0</v>
      </c>
      <c r="AW303" s="13">
        <f t="shared" si="169"/>
        <v>1</v>
      </c>
      <c r="AY303" s="17">
        <f t="shared" si="170"/>
        <v>213</v>
      </c>
      <c r="AZ303" s="28">
        <f t="shared" si="179"/>
        <v>0</v>
      </c>
      <c r="BA303" s="13">
        <f t="shared" si="171"/>
        <v>0</v>
      </c>
      <c r="BB303" s="13">
        <f t="shared" si="172"/>
        <v>0</v>
      </c>
      <c r="BC303" s="28">
        <f t="shared" si="180"/>
        <v>0</v>
      </c>
      <c r="BD303" s="28">
        <f t="shared" si="181"/>
        <v>0</v>
      </c>
      <c r="BF303" s="248">
        <f t="shared" si="182"/>
        <v>993869.29442638322</v>
      </c>
      <c r="BG303" s="36">
        <f t="shared" si="190"/>
        <v>0</v>
      </c>
      <c r="BH303" s="36">
        <f t="shared" si="191"/>
        <v>832571.51358487352</v>
      </c>
      <c r="BI303" s="249">
        <f t="shared" si="192"/>
        <v>0</v>
      </c>
      <c r="BJ303" s="246">
        <f t="shared" si="193"/>
        <v>0</v>
      </c>
      <c r="BK303" s="246">
        <f t="shared" si="173"/>
        <v>7.531116566323881E-4</v>
      </c>
      <c r="BL303" s="246">
        <f t="shared" si="194"/>
        <v>0</v>
      </c>
      <c r="BM303" s="246">
        <f t="shared" si="195"/>
        <v>7.531116566323881E-4</v>
      </c>
      <c r="BN303" s="36">
        <f t="shared" si="183"/>
        <v>627.01931186083891</v>
      </c>
      <c r="BO303" s="36">
        <f t="shared" si="196"/>
        <v>0</v>
      </c>
      <c r="BP303" s="36">
        <f t="shared" si="197"/>
        <v>831944.49427301274</v>
      </c>
    </row>
    <row r="304" spans="1:68">
      <c r="A304" s="32">
        <f t="shared" si="184"/>
        <v>-129</v>
      </c>
      <c r="B304" s="32">
        <f t="shared" si="174"/>
        <v>70</v>
      </c>
      <c r="C304" s="32">
        <f t="shared" si="185"/>
        <v>18</v>
      </c>
      <c r="D304" s="32">
        <f t="shared" si="186"/>
        <v>214</v>
      </c>
      <c r="E304" s="74">
        <f>MIN(IF(AV304=0,0,
IF(Investment_Strategy="DIS",VLOOKUP(Investment_Strategy&amp;"_"&amp;Investment_Strategy_Sub1&amp;"_"&amp;$A304,'Investment Strategies'!$AZ:$BP,12,FALSE),
IF(AND(Investment_Strategy="Lifecycle",Investment_Strategy_Sub1="Non-Standard"),VLOOKUP(Investment_Strategy&amp;"_"&amp;Investment_Strategy_Sub2&amp;"_"&amp;$A304,'Investment Strategies'!$C:$P,9,FALSE),
IF(AND(Investment_Strategy="Lifecycle",Investment_Strategy_Sub1="Standard"),VLOOKUP(Investment_Strategy&amp;"_"&amp;Investment_Strategy_Sub2&amp;"_"&amp;$A304,'Investment Strategies'!$AJ:$AV,8,FALSE),
IF(AND(Investment_Strategy="Autopilot",Investment_Strategy_Sub1="Non-Standard"),VLOOKUP(Investment_Strategy&amp;"_"&amp;Investment_Strategy_Sub2&amp;"_"&amp;$A304,'Investment Strategies'!$T:$AF,8,FALSE),
IF(Investment_Strategy ="DIY",DIY_RateOfReturn_CurrentFunds,
"Error")))))),Max_InvReturn)</f>
        <v>0</v>
      </c>
      <c r="F304" s="62">
        <f>IF(AV304=0,0,
IF(Investment_Strategy="DIS",VLOOKUP(Investment_Strategy&amp;"_"&amp;Investment_Strategy_Sub1&amp;"_"&amp;$A304,'Investment Strategies'!$AZ:$BP,15,FALSE),
IF(AND(Investment_Strategy="Lifecycle",Investment_Strategy_Sub1="Non-Standard"),VLOOKUP(Investment_Strategy&amp;"_"&amp;Investment_Strategy_Sub2&amp;"_"&amp;$A304,'Investment Strategies'!$C:$P,12,FALSE),
IF(AND(Investment_Strategy="Lifecycle",Investment_Strategy_Sub1="Standard"),VLOOKUP(Investment_Strategy&amp;"_"&amp;Investment_Strategy_Sub2&amp;"_"&amp;$A304,'Investment Strategies'!$AJ:$AV,11,FALSE),
IF(AND(Investment_Strategy="Autopilot",Investment_Strategy_Sub1="Non-Standard"),VLOOKUP(Investment_Strategy&amp;"_"&amp;Investment_Strategy_Sub2&amp;"_"&amp;$A304,'Investment Strategies'!$T:$AF,11,FALSE),
IF(Investment_Strategy="DIY",DIY_GteeChrge_CurrentFunds,
"Error"))))))</f>
        <v>0</v>
      </c>
      <c r="G304" s="33">
        <f>IF(AV304=0,0,
IF(Investment_Strategy="DIS",VLOOKUP(Investment_Strategy&amp;"_"&amp;Investment_Strategy_Sub1&amp;"_"&amp;$A304,'Investment Strategies'!$AZ:$BP,17,FALSE),
IF(AND(Investment_Strategy="Lifecycle",Investment_Strategy_Sub1="Non-Standard"),VLOOKUP(Investment_Strategy&amp;"_"&amp;Investment_Strategy_Sub2&amp;"_"&amp;$A304,'Investment Strategies'!$C:$P,14,FALSE),
IF(AND(Investment_Strategy="Lifecycle",Investment_Strategy_Sub1="Standard"),VLOOKUP(Investment_Strategy&amp;"_"&amp;Investment_Strategy_Sub2&amp;"_"&amp;$A304,'Investment Strategies'!$AJ:$AV,13,FALSE),
IF(AND(Investment_Strategy="Autopilot",Investment_Strategy_Sub1="Non-Standard"),VLOOKUP(Investment_Strategy&amp;"_"&amp;Investment_Strategy_Sub2&amp;"_"&amp;$A304,'Investment Strategies'!$T:$AF,13,FALSE),
IF(Investment_Strategy="DIY",DIY_ExtManChrge_CurrentFunds,
"Error"))))))</f>
        <v>0</v>
      </c>
      <c r="H304" s="16">
        <f t="shared" si="175"/>
        <v>0</v>
      </c>
      <c r="I304" s="16">
        <f t="shared" si="159"/>
        <v>0</v>
      </c>
      <c r="J304" s="16">
        <f t="shared" si="160"/>
        <v>0</v>
      </c>
      <c r="K304" s="16">
        <f>(Opening_Fund_Value+SUM(K$91:K303))*E304*IF(D304=$A$91,SRP_finalmonthfactor,1)</f>
        <v>0</v>
      </c>
      <c r="L304" s="74">
        <f>MIN(IF($AV304=0,0,
IF(Investment_Strategy="DIS",VLOOKUP(Investment_Strategy&amp;"_"&amp;Investment_Strategy_Sub1&amp;"_"&amp;$A304,'Investment Strategies'!$AZ:$BP,12,FALSE),
IF(AND(Investment_Strategy="Lifecycle",Investment_Strategy_Sub1="Non-Standard"),VLOOKUP(Investment_Strategy&amp;"_"&amp;Investment_Strategy_Sub2&amp;"_"&amp;$A304,'Investment Strategies'!$C:$P,9,FALSE),
IF(AND(Investment_Strategy="Lifecycle",Investment_Strategy_Sub1="Standard"),VLOOKUP(Investment_Strategy&amp;"_"&amp;Investment_Strategy_Sub2&amp;"_"&amp;$A304,'Investment Strategies'!$AJ:$AV,8,FALSE),
IF(AND(Investment_Strategy="Autopilot",Investment_Strategy_Sub1="Non-Standard"),VLOOKUP(Investment_Strategy&amp;"_"&amp;Investment_Strategy_Sub2&amp;"_"&amp;$A304,'Investment Strategies'!$T:$AF,8,FALSE),
IF(Investment_Strategy ="DIY",DIY_RateofReturn_SP,
"Error")))))),Max_InvReturn)</f>
        <v>0</v>
      </c>
      <c r="M304" s="62">
        <f>IF($AV304=0,0,
IF(Investment_Strategy="DIS",VLOOKUP(Investment_Strategy&amp;"_"&amp;Investment_Strategy_Sub1&amp;"_"&amp;$A304,'Investment Strategies'!$AZ:$BP,15,FALSE),
IF(AND(Investment_Strategy="Lifecycle",Investment_Strategy_Sub1="Non-Standard"),VLOOKUP(Investment_Strategy&amp;"_"&amp;Investment_Strategy_Sub2&amp;"_"&amp;$A304,'Investment Strategies'!$C:$P,12,FALSE),
IF(AND(Investment_Strategy="Lifecycle",Investment_Strategy_Sub1="Standard"),VLOOKUP(Investment_Strategy&amp;"_"&amp;Investment_Strategy_Sub2&amp;"_"&amp;$A304,'Investment Strategies'!$AJ:$AV,11,FALSE),
IF(AND(Investment_Strategy="Autopilot",Investment_Strategy_Sub1="Non-Standard"),VLOOKUP(Investment_Strategy&amp;"_"&amp;Investment_Strategy_Sub2&amp;"_"&amp;$A304,'Investment Strategies'!$T:$AF,11,FALSE),
IF(Investment_Strategy="DIY",DIY_GteeChrge_SP,
"Error"))))))</f>
        <v>0</v>
      </c>
      <c r="N304" s="33">
        <f>IF($AV304=0,0,
IF(Investment_Strategy="DIS",VLOOKUP(Investment_Strategy&amp;"_"&amp;Investment_Strategy_Sub1&amp;"_"&amp;$A304,'Investment Strategies'!$AZ:$BP,17,FALSE),
IF(AND(Investment_Strategy="Lifecycle",Investment_Strategy_Sub1="Non-Standard"),VLOOKUP(Investment_Strategy&amp;"_"&amp;Investment_Strategy_Sub2&amp;"_"&amp;$A304,'Investment Strategies'!$C:$P,14,FALSE),
IF(AND(Investment_Strategy="Lifecycle",Investment_Strategy_Sub1="Standard"),VLOOKUP(Investment_Strategy&amp;"_"&amp;Investment_Strategy_Sub2&amp;"_"&amp;$A304,'Investment Strategies'!$AJ:$AV,13,FALSE),
IF(AND(Investment_Strategy="Autopilot",Investment_Strategy_Sub1="Non-Standard"),VLOOKUP(Investment_Strategy&amp;"_"&amp;Investment_Strategy_Sub2&amp;"_"&amp;$A304,'Investment Strategies'!$T:$AF,13,FALSE),
IF(Investment_Strategy="DIY",DIY_ExtManChrge_SP,
"Error"))))))</f>
        <v>0</v>
      </c>
      <c r="O304" s="16">
        <f t="shared" si="187"/>
        <v>0</v>
      </c>
      <c r="Q304" s="16">
        <f t="shared" si="161"/>
        <v>0</v>
      </c>
      <c r="R304" s="16">
        <f t="shared" si="162"/>
        <v>0</v>
      </c>
      <c r="S304" s="16">
        <f>(SRP_SP+SUM(S$91:S303))*L304*IF(D304=$A$91,SRP_finalmonthfactor,1)</f>
        <v>0</v>
      </c>
      <c r="T304" s="74">
        <f>MIN(IF($AV304=0,0,
IF(Investment_Strategy="DIS",VLOOKUP(Investment_Strategy&amp;"_"&amp;Investment_Strategy_Sub1&amp;"_"&amp;$A304,'Investment Strategies'!$AZ:$BP,12,FALSE),
IF(AND(Investment_Strategy="Lifecycle",Investment_Strategy_Sub1="Non-Standard"),VLOOKUP(Investment_Strategy&amp;"_"&amp;Investment_Strategy_Sub2&amp;"_"&amp;$A304,'Investment Strategies'!$C:$P,9,FALSE),
IF(AND(Investment_Strategy="Lifecycle",Investment_Strategy_Sub1="Standard"),VLOOKUP(Investment_Strategy&amp;"_"&amp;Investment_Strategy_Sub2&amp;"_"&amp;$A304,'Investment Strategies'!$AJ:$AV,8,FALSE),
IF(AND(Investment_Strategy="Autopilot",Investment_Strategy_Sub1="Non-Standard"),VLOOKUP(Investment_Strategy&amp;"_"&amp;Investment_Strategy_Sub2&amp;"_"&amp;$A304,'Investment Strategies'!$T:$AF,8,FALSE),
IF(Investment_Strategy ="DIY",DIY_RateOfReturn_FuturePremiums,
"Error")))))),Max_InvReturn)</f>
        <v>0</v>
      </c>
      <c r="U304" s="62">
        <f>IF($AV304=0,0,
IF(Investment_Strategy="DIS",VLOOKUP(Investment_Strategy&amp;"_"&amp;Investment_Strategy_Sub1&amp;"_"&amp;$A304,'Investment Strategies'!$AZ:$BP,15,FALSE),
IF(AND(Investment_Strategy="Lifecycle",Investment_Strategy_Sub1="Non-Standard"),VLOOKUP(Investment_Strategy&amp;"_"&amp;Investment_Strategy_Sub2&amp;"_"&amp;$A304,'Investment Strategies'!$C:$P,12,FALSE),
IF(AND(Investment_Strategy="Lifecycle",Investment_Strategy_Sub1="Standard"),VLOOKUP(Investment_Strategy&amp;"_"&amp;Investment_Strategy_Sub2&amp;"_"&amp;$A304,'Investment Strategies'!$AJ:$AV,11,FALSE),
IF(AND(Investment_Strategy="Autopilot",Investment_Strategy_Sub1="Non-Standard"),VLOOKUP(Investment_Strategy&amp;"_"&amp;Investment_Strategy_Sub2&amp;"_"&amp;$A304,'Investment Strategies'!$T:$AF,11,FALSE),
IF(Investment_Strategy="DIY",DIY_GteeChrge_FuturePremiums,
"Error"))))))</f>
        <v>0</v>
      </c>
      <c r="V304" s="33">
        <f>IF(AV304=0,0,
IF(Investment_Strategy="DIS",VLOOKUP(Investment_Strategy&amp;"_"&amp;Investment_Strategy_Sub1&amp;"_"&amp;$A304,'Investment Strategies'!$AZ:$BP,17,FALSE),
IF(AND(Investment_Strategy="Lifecycle",Investment_Strategy_Sub1="Non-Standard"),VLOOKUP(Investment_Strategy&amp;"_"&amp;Investment_Strategy_Sub2&amp;"_"&amp;$A304,'Investment Strategies'!$C:$P,14,FALSE),
IF(AND(Investment_Strategy="Lifecycle",Investment_Strategy_Sub1="Standard"),VLOOKUP(Investment_Strategy&amp;"_"&amp;Investment_Strategy_Sub2&amp;"_"&amp;$A304,'Investment Strategies'!$AJ:$AV,13,FALSE),
IF(AND(Investment_Strategy="Autopilot",Investment_Strategy_Sub1="Non-Standard"),VLOOKUP(Investment_Strategy&amp;"_"&amp;Investment_Strategy_Sub2&amp;"_"&amp;$A304,'Investment Strategies'!$T:$AF,13,FALSE),
IF(Investment_Strategy="DIY",DIY_ExtManChrge_FuturePremiums,
"Error"))))))</f>
        <v>0</v>
      </c>
      <c r="W304" s="16">
        <f t="shared" si="188"/>
        <v>0</v>
      </c>
      <c r="X304" s="16">
        <f t="shared" si="163"/>
        <v>0</v>
      </c>
      <c r="Y304" s="16">
        <f t="shared" si="164"/>
        <v>0</v>
      </c>
      <c r="Z304" s="31">
        <f t="shared" si="165"/>
        <v>0.02</v>
      </c>
      <c r="AA304" s="16">
        <f t="shared" si="166"/>
        <v>0</v>
      </c>
      <c r="AB304" s="28">
        <f t="shared" si="189"/>
        <v>0</v>
      </c>
      <c r="AC304" s="28">
        <f>(SUM($AC$91:AC303)+SUM($X$91:X303)+X304)*T304*IF(D304=$A$91,SRP_finalmonthfactor,1)</f>
        <v>0</v>
      </c>
      <c r="AD304" s="16">
        <f t="shared" si="167"/>
        <v>0</v>
      </c>
      <c r="AE304" s="106"/>
      <c r="AF304" s="16">
        <f t="shared" si="176"/>
        <v>0</v>
      </c>
      <c r="AG304" s="16">
        <f t="shared" si="177"/>
        <v>0</v>
      </c>
      <c r="AH304" s="16">
        <f t="shared" si="178"/>
        <v>0</v>
      </c>
      <c r="AJ304" s="13">
        <f t="shared" si="199"/>
        <v>0</v>
      </c>
      <c r="AK304" s="13">
        <f t="shared" si="199"/>
        <v>0</v>
      </c>
      <c r="AL304" s="13">
        <f t="shared" si="199"/>
        <v>0</v>
      </c>
      <c r="AM304" s="13">
        <f t="shared" si="199"/>
        <v>0</v>
      </c>
      <c r="AN304" s="13">
        <f t="shared" si="199"/>
        <v>0</v>
      </c>
      <c r="AO304" s="13">
        <f t="shared" si="199"/>
        <v>1</v>
      </c>
      <c r="AP304" s="13">
        <f t="shared" si="199"/>
        <v>1</v>
      </c>
      <c r="AQ304" s="13">
        <f t="shared" si="199"/>
        <v>1</v>
      </c>
      <c r="AR304" s="13">
        <f t="shared" si="199"/>
        <v>1</v>
      </c>
      <c r="AS304" s="13">
        <f t="shared" si="199"/>
        <v>1</v>
      </c>
      <c r="AT304" s="13">
        <f t="shared" si="199"/>
        <v>1</v>
      </c>
      <c r="AU304" s="13">
        <f t="shared" si="199"/>
        <v>1</v>
      </c>
      <c r="AV304" s="13">
        <f t="shared" si="168"/>
        <v>0</v>
      </c>
      <c r="AW304" s="13">
        <f t="shared" si="169"/>
        <v>1</v>
      </c>
      <c r="AY304" s="17">
        <f t="shared" si="170"/>
        <v>214</v>
      </c>
      <c r="AZ304" s="28">
        <f t="shared" si="179"/>
        <v>0</v>
      </c>
      <c r="BA304" s="13">
        <f t="shared" si="171"/>
        <v>0</v>
      </c>
      <c r="BB304" s="13">
        <f t="shared" si="172"/>
        <v>0</v>
      </c>
      <c r="BC304" s="28">
        <f t="shared" si="180"/>
        <v>0</v>
      </c>
      <c r="BD304" s="28">
        <f t="shared" si="181"/>
        <v>0</v>
      </c>
      <c r="BF304" s="248">
        <f t="shared" si="182"/>
        <v>993869.29442638322</v>
      </c>
      <c r="BG304" s="36">
        <f t="shared" si="190"/>
        <v>0</v>
      </c>
      <c r="BH304" s="36">
        <f t="shared" si="191"/>
        <v>831944.49427301274</v>
      </c>
      <c r="BI304" s="249">
        <f t="shared" si="192"/>
        <v>0</v>
      </c>
      <c r="BJ304" s="246">
        <f t="shared" si="193"/>
        <v>0</v>
      </c>
      <c r="BK304" s="246">
        <f t="shared" si="173"/>
        <v>7.531116566323881E-4</v>
      </c>
      <c r="BL304" s="246">
        <f t="shared" si="194"/>
        <v>0</v>
      </c>
      <c r="BM304" s="246">
        <f t="shared" si="195"/>
        <v>7.531116566323881E-4</v>
      </c>
      <c r="BN304" s="36">
        <f t="shared" si="183"/>
        <v>626.54709630814295</v>
      </c>
      <c r="BO304" s="36">
        <f t="shared" si="196"/>
        <v>0</v>
      </c>
      <c r="BP304" s="36">
        <f t="shared" si="197"/>
        <v>831317.94717670465</v>
      </c>
    </row>
    <row r="305" spans="1:68">
      <c r="A305" s="32">
        <f t="shared" si="184"/>
        <v>-130</v>
      </c>
      <c r="B305" s="32">
        <f t="shared" si="174"/>
        <v>70</v>
      </c>
      <c r="C305" s="32">
        <f t="shared" si="185"/>
        <v>18</v>
      </c>
      <c r="D305" s="32">
        <f t="shared" si="186"/>
        <v>215</v>
      </c>
      <c r="E305" s="74">
        <f>MIN(IF(AV305=0,0,
IF(Investment_Strategy="DIS",VLOOKUP(Investment_Strategy&amp;"_"&amp;Investment_Strategy_Sub1&amp;"_"&amp;$A305,'Investment Strategies'!$AZ:$BP,12,FALSE),
IF(AND(Investment_Strategy="Lifecycle",Investment_Strategy_Sub1="Non-Standard"),VLOOKUP(Investment_Strategy&amp;"_"&amp;Investment_Strategy_Sub2&amp;"_"&amp;$A305,'Investment Strategies'!$C:$P,9,FALSE),
IF(AND(Investment_Strategy="Lifecycle",Investment_Strategy_Sub1="Standard"),VLOOKUP(Investment_Strategy&amp;"_"&amp;Investment_Strategy_Sub2&amp;"_"&amp;$A305,'Investment Strategies'!$AJ:$AV,8,FALSE),
IF(AND(Investment_Strategy="Autopilot",Investment_Strategy_Sub1="Non-Standard"),VLOOKUP(Investment_Strategy&amp;"_"&amp;Investment_Strategy_Sub2&amp;"_"&amp;$A305,'Investment Strategies'!$T:$AF,8,FALSE),
IF(Investment_Strategy ="DIY",DIY_RateOfReturn_CurrentFunds,
"Error")))))),Max_InvReturn)</f>
        <v>0</v>
      </c>
      <c r="F305" s="62">
        <f>IF(AV305=0,0,
IF(Investment_Strategy="DIS",VLOOKUP(Investment_Strategy&amp;"_"&amp;Investment_Strategy_Sub1&amp;"_"&amp;$A305,'Investment Strategies'!$AZ:$BP,15,FALSE),
IF(AND(Investment_Strategy="Lifecycle",Investment_Strategy_Sub1="Non-Standard"),VLOOKUP(Investment_Strategy&amp;"_"&amp;Investment_Strategy_Sub2&amp;"_"&amp;$A305,'Investment Strategies'!$C:$P,12,FALSE),
IF(AND(Investment_Strategy="Lifecycle",Investment_Strategy_Sub1="Standard"),VLOOKUP(Investment_Strategy&amp;"_"&amp;Investment_Strategy_Sub2&amp;"_"&amp;$A305,'Investment Strategies'!$AJ:$AV,11,FALSE),
IF(AND(Investment_Strategy="Autopilot",Investment_Strategy_Sub1="Non-Standard"),VLOOKUP(Investment_Strategy&amp;"_"&amp;Investment_Strategy_Sub2&amp;"_"&amp;$A305,'Investment Strategies'!$T:$AF,11,FALSE),
IF(Investment_Strategy="DIY",DIY_GteeChrge_CurrentFunds,
"Error"))))))</f>
        <v>0</v>
      </c>
      <c r="G305" s="33">
        <f>IF(AV305=0,0,
IF(Investment_Strategy="DIS",VLOOKUP(Investment_Strategy&amp;"_"&amp;Investment_Strategy_Sub1&amp;"_"&amp;$A305,'Investment Strategies'!$AZ:$BP,17,FALSE),
IF(AND(Investment_Strategy="Lifecycle",Investment_Strategy_Sub1="Non-Standard"),VLOOKUP(Investment_Strategy&amp;"_"&amp;Investment_Strategy_Sub2&amp;"_"&amp;$A305,'Investment Strategies'!$C:$P,14,FALSE),
IF(AND(Investment_Strategy="Lifecycle",Investment_Strategy_Sub1="Standard"),VLOOKUP(Investment_Strategy&amp;"_"&amp;Investment_Strategy_Sub2&amp;"_"&amp;$A305,'Investment Strategies'!$AJ:$AV,13,FALSE),
IF(AND(Investment_Strategy="Autopilot",Investment_Strategy_Sub1="Non-Standard"),VLOOKUP(Investment_Strategy&amp;"_"&amp;Investment_Strategy_Sub2&amp;"_"&amp;$A305,'Investment Strategies'!$T:$AF,13,FALSE),
IF(Investment_Strategy="DIY",DIY_ExtManChrge_CurrentFunds,
"Error"))))))</f>
        <v>0</v>
      </c>
      <c r="H305" s="16">
        <f t="shared" si="175"/>
        <v>0</v>
      </c>
      <c r="I305" s="16">
        <f t="shared" si="159"/>
        <v>0</v>
      </c>
      <c r="J305" s="16">
        <f t="shared" si="160"/>
        <v>0</v>
      </c>
      <c r="K305" s="16">
        <f>(Opening_Fund_Value+SUM(K$91:K304))*E305*IF(D305=$A$91,SRP_finalmonthfactor,1)</f>
        <v>0</v>
      </c>
      <c r="L305" s="74">
        <f>MIN(IF($AV305=0,0,
IF(Investment_Strategy="DIS",VLOOKUP(Investment_Strategy&amp;"_"&amp;Investment_Strategy_Sub1&amp;"_"&amp;$A305,'Investment Strategies'!$AZ:$BP,12,FALSE),
IF(AND(Investment_Strategy="Lifecycle",Investment_Strategy_Sub1="Non-Standard"),VLOOKUP(Investment_Strategy&amp;"_"&amp;Investment_Strategy_Sub2&amp;"_"&amp;$A305,'Investment Strategies'!$C:$P,9,FALSE),
IF(AND(Investment_Strategy="Lifecycle",Investment_Strategy_Sub1="Standard"),VLOOKUP(Investment_Strategy&amp;"_"&amp;Investment_Strategy_Sub2&amp;"_"&amp;$A305,'Investment Strategies'!$AJ:$AV,8,FALSE),
IF(AND(Investment_Strategy="Autopilot",Investment_Strategy_Sub1="Non-Standard"),VLOOKUP(Investment_Strategy&amp;"_"&amp;Investment_Strategy_Sub2&amp;"_"&amp;$A305,'Investment Strategies'!$T:$AF,8,FALSE),
IF(Investment_Strategy ="DIY",DIY_RateofReturn_SP,
"Error")))))),Max_InvReturn)</f>
        <v>0</v>
      </c>
      <c r="M305" s="62">
        <f>IF($AV305=0,0,
IF(Investment_Strategy="DIS",VLOOKUP(Investment_Strategy&amp;"_"&amp;Investment_Strategy_Sub1&amp;"_"&amp;$A305,'Investment Strategies'!$AZ:$BP,15,FALSE),
IF(AND(Investment_Strategy="Lifecycle",Investment_Strategy_Sub1="Non-Standard"),VLOOKUP(Investment_Strategy&amp;"_"&amp;Investment_Strategy_Sub2&amp;"_"&amp;$A305,'Investment Strategies'!$C:$P,12,FALSE),
IF(AND(Investment_Strategy="Lifecycle",Investment_Strategy_Sub1="Standard"),VLOOKUP(Investment_Strategy&amp;"_"&amp;Investment_Strategy_Sub2&amp;"_"&amp;$A305,'Investment Strategies'!$AJ:$AV,11,FALSE),
IF(AND(Investment_Strategy="Autopilot",Investment_Strategy_Sub1="Non-Standard"),VLOOKUP(Investment_Strategy&amp;"_"&amp;Investment_Strategy_Sub2&amp;"_"&amp;$A305,'Investment Strategies'!$T:$AF,11,FALSE),
IF(Investment_Strategy="DIY",DIY_GteeChrge_SP,
"Error"))))))</f>
        <v>0</v>
      </c>
      <c r="N305" s="33">
        <f>IF($AV305=0,0,
IF(Investment_Strategy="DIS",VLOOKUP(Investment_Strategy&amp;"_"&amp;Investment_Strategy_Sub1&amp;"_"&amp;$A305,'Investment Strategies'!$AZ:$BP,17,FALSE),
IF(AND(Investment_Strategy="Lifecycle",Investment_Strategy_Sub1="Non-Standard"),VLOOKUP(Investment_Strategy&amp;"_"&amp;Investment_Strategy_Sub2&amp;"_"&amp;$A305,'Investment Strategies'!$C:$P,14,FALSE),
IF(AND(Investment_Strategy="Lifecycle",Investment_Strategy_Sub1="Standard"),VLOOKUP(Investment_Strategy&amp;"_"&amp;Investment_Strategy_Sub2&amp;"_"&amp;$A305,'Investment Strategies'!$AJ:$AV,13,FALSE),
IF(AND(Investment_Strategy="Autopilot",Investment_Strategy_Sub1="Non-Standard"),VLOOKUP(Investment_Strategy&amp;"_"&amp;Investment_Strategy_Sub2&amp;"_"&amp;$A305,'Investment Strategies'!$T:$AF,13,FALSE),
IF(Investment_Strategy="DIY",DIY_ExtManChrge_SP,
"Error"))))))</f>
        <v>0</v>
      </c>
      <c r="O305" s="16">
        <f t="shared" si="187"/>
        <v>0</v>
      </c>
      <c r="Q305" s="16">
        <f t="shared" si="161"/>
        <v>0</v>
      </c>
      <c r="R305" s="16">
        <f t="shared" si="162"/>
        <v>0</v>
      </c>
      <c r="S305" s="16">
        <f>(SRP_SP+SUM(S$91:S304))*L305*IF(D305=$A$91,SRP_finalmonthfactor,1)</f>
        <v>0</v>
      </c>
      <c r="T305" s="74">
        <f>MIN(IF($AV305=0,0,
IF(Investment_Strategy="DIS",VLOOKUP(Investment_Strategy&amp;"_"&amp;Investment_Strategy_Sub1&amp;"_"&amp;$A305,'Investment Strategies'!$AZ:$BP,12,FALSE),
IF(AND(Investment_Strategy="Lifecycle",Investment_Strategy_Sub1="Non-Standard"),VLOOKUP(Investment_Strategy&amp;"_"&amp;Investment_Strategy_Sub2&amp;"_"&amp;$A305,'Investment Strategies'!$C:$P,9,FALSE),
IF(AND(Investment_Strategy="Lifecycle",Investment_Strategy_Sub1="Standard"),VLOOKUP(Investment_Strategy&amp;"_"&amp;Investment_Strategy_Sub2&amp;"_"&amp;$A305,'Investment Strategies'!$AJ:$AV,8,FALSE),
IF(AND(Investment_Strategy="Autopilot",Investment_Strategy_Sub1="Non-Standard"),VLOOKUP(Investment_Strategy&amp;"_"&amp;Investment_Strategy_Sub2&amp;"_"&amp;$A305,'Investment Strategies'!$T:$AF,8,FALSE),
IF(Investment_Strategy ="DIY",DIY_RateOfReturn_FuturePremiums,
"Error")))))),Max_InvReturn)</f>
        <v>0</v>
      </c>
      <c r="U305" s="62">
        <f>IF($AV305=0,0,
IF(Investment_Strategy="DIS",VLOOKUP(Investment_Strategy&amp;"_"&amp;Investment_Strategy_Sub1&amp;"_"&amp;$A305,'Investment Strategies'!$AZ:$BP,15,FALSE),
IF(AND(Investment_Strategy="Lifecycle",Investment_Strategy_Sub1="Non-Standard"),VLOOKUP(Investment_Strategy&amp;"_"&amp;Investment_Strategy_Sub2&amp;"_"&amp;$A305,'Investment Strategies'!$C:$P,12,FALSE),
IF(AND(Investment_Strategy="Lifecycle",Investment_Strategy_Sub1="Standard"),VLOOKUP(Investment_Strategy&amp;"_"&amp;Investment_Strategy_Sub2&amp;"_"&amp;$A305,'Investment Strategies'!$AJ:$AV,11,FALSE),
IF(AND(Investment_Strategy="Autopilot",Investment_Strategy_Sub1="Non-Standard"),VLOOKUP(Investment_Strategy&amp;"_"&amp;Investment_Strategy_Sub2&amp;"_"&amp;$A305,'Investment Strategies'!$T:$AF,11,FALSE),
IF(Investment_Strategy="DIY",DIY_GteeChrge_FuturePremiums,
"Error"))))))</f>
        <v>0</v>
      </c>
      <c r="V305" s="33">
        <f>IF(AV305=0,0,
IF(Investment_Strategy="DIS",VLOOKUP(Investment_Strategy&amp;"_"&amp;Investment_Strategy_Sub1&amp;"_"&amp;$A305,'Investment Strategies'!$AZ:$BP,17,FALSE),
IF(AND(Investment_Strategy="Lifecycle",Investment_Strategy_Sub1="Non-Standard"),VLOOKUP(Investment_Strategy&amp;"_"&amp;Investment_Strategy_Sub2&amp;"_"&amp;$A305,'Investment Strategies'!$C:$P,14,FALSE),
IF(AND(Investment_Strategy="Lifecycle",Investment_Strategy_Sub1="Standard"),VLOOKUP(Investment_Strategy&amp;"_"&amp;Investment_Strategy_Sub2&amp;"_"&amp;$A305,'Investment Strategies'!$AJ:$AV,13,FALSE),
IF(AND(Investment_Strategy="Autopilot",Investment_Strategy_Sub1="Non-Standard"),VLOOKUP(Investment_Strategy&amp;"_"&amp;Investment_Strategy_Sub2&amp;"_"&amp;$A305,'Investment Strategies'!$T:$AF,13,FALSE),
IF(Investment_Strategy="DIY",DIY_ExtManChrge_FuturePremiums,
"Error"))))))</f>
        <v>0</v>
      </c>
      <c r="W305" s="16">
        <f t="shared" si="188"/>
        <v>0</v>
      </c>
      <c r="X305" s="16">
        <f t="shared" si="163"/>
        <v>0</v>
      </c>
      <c r="Y305" s="16">
        <f t="shared" si="164"/>
        <v>0</v>
      </c>
      <c r="Z305" s="31">
        <f t="shared" si="165"/>
        <v>0.02</v>
      </c>
      <c r="AA305" s="16">
        <f t="shared" si="166"/>
        <v>0</v>
      </c>
      <c r="AB305" s="28">
        <f t="shared" si="189"/>
        <v>0</v>
      </c>
      <c r="AC305" s="28">
        <f>(SUM($AC$91:AC304)+SUM($X$91:X304)+X305)*T305*IF(D305=$A$91,SRP_finalmonthfactor,1)</f>
        <v>0</v>
      </c>
      <c r="AD305" s="16">
        <f t="shared" si="167"/>
        <v>0</v>
      </c>
      <c r="AE305" s="106"/>
      <c r="AF305" s="16">
        <f t="shared" si="176"/>
        <v>0</v>
      </c>
      <c r="AG305" s="16">
        <f t="shared" si="177"/>
        <v>0</v>
      </c>
      <c r="AH305" s="16">
        <f t="shared" si="178"/>
        <v>0</v>
      </c>
      <c r="AJ305" s="13">
        <f t="shared" si="199"/>
        <v>0</v>
      </c>
      <c r="AK305" s="13">
        <f t="shared" si="199"/>
        <v>0</v>
      </c>
      <c r="AL305" s="13">
        <f t="shared" si="199"/>
        <v>0</v>
      </c>
      <c r="AM305" s="13">
        <f t="shared" si="199"/>
        <v>0</v>
      </c>
      <c r="AN305" s="13">
        <f t="shared" si="199"/>
        <v>0</v>
      </c>
      <c r="AO305" s="13">
        <f t="shared" si="199"/>
        <v>1</v>
      </c>
      <c r="AP305" s="13">
        <f t="shared" si="199"/>
        <v>1</v>
      </c>
      <c r="AQ305" s="13">
        <f t="shared" si="199"/>
        <v>1</v>
      </c>
      <c r="AR305" s="13">
        <f t="shared" si="199"/>
        <v>1</v>
      </c>
      <c r="AS305" s="13">
        <f t="shared" si="199"/>
        <v>1</v>
      </c>
      <c r="AT305" s="13">
        <f t="shared" si="199"/>
        <v>1</v>
      </c>
      <c r="AU305" s="13">
        <f t="shared" si="199"/>
        <v>1</v>
      </c>
      <c r="AV305" s="13">
        <f t="shared" si="168"/>
        <v>0</v>
      </c>
      <c r="AW305" s="13">
        <f t="shared" si="169"/>
        <v>1</v>
      </c>
      <c r="AY305" s="17">
        <f t="shared" si="170"/>
        <v>215</v>
      </c>
      <c r="AZ305" s="28">
        <f t="shared" si="179"/>
        <v>0</v>
      </c>
      <c r="BA305" s="13">
        <f t="shared" si="171"/>
        <v>0</v>
      </c>
      <c r="BB305" s="13">
        <f t="shared" si="172"/>
        <v>0</v>
      </c>
      <c r="BC305" s="28">
        <f t="shared" si="180"/>
        <v>0</v>
      </c>
      <c r="BD305" s="28">
        <f t="shared" si="181"/>
        <v>0</v>
      </c>
      <c r="BF305" s="248">
        <f t="shared" si="182"/>
        <v>993869.29442638322</v>
      </c>
      <c r="BG305" s="36">
        <f t="shared" si="190"/>
        <v>0</v>
      </c>
      <c r="BH305" s="36">
        <f t="shared" si="191"/>
        <v>831317.94717670465</v>
      </c>
      <c r="BI305" s="249">
        <f t="shared" si="192"/>
        <v>0</v>
      </c>
      <c r="BJ305" s="246">
        <f t="shared" si="193"/>
        <v>0</v>
      </c>
      <c r="BK305" s="246">
        <f t="shared" si="173"/>
        <v>7.531116566323881E-4</v>
      </c>
      <c r="BL305" s="246">
        <f t="shared" si="194"/>
        <v>0</v>
      </c>
      <c r="BM305" s="246">
        <f t="shared" si="195"/>
        <v>7.531116566323881E-4</v>
      </c>
      <c r="BN305" s="36">
        <f t="shared" si="183"/>
        <v>626.07523638648411</v>
      </c>
      <c r="BO305" s="36">
        <f t="shared" si="196"/>
        <v>0</v>
      </c>
      <c r="BP305" s="36">
        <f t="shared" si="197"/>
        <v>830691.87194031815</v>
      </c>
    </row>
    <row r="306" spans="1:68">
      <c r="A306" s="32">
        <f t="shared" si="184"/>
        <v>-131</v>
      </c>
      <c r="B306" s="32">
        <f t="shared" si="174"/>
        <v>70</v>
      </c>
      <c r="C306" s="32">
        <f t="shared" si="185"/>
        <v>18</v>
      </c>
      <c r="D306" s="32">
        <f t="shared" si="186"/>
        <v>216</v>
      </c>
      <c r="E306" s="74">
        <f>MIN(IF(AV306=0,0,
IF(Investment_Strategy="DIS",VLOOKUP(Investment_Strategy&amp;"_"&amp;Investment_Strategy_Sub1&amp;"_"&amp;$A306,'Investment Strategies'!$AZ:$BP,12,FALSE),
IF(AND(Investment_Strategy="Lifecycle",Investment_Strategy_Sub1="Non-Standard"),VLOOKUP(Investment_Strategy&amp;"_"&amp;Investment_Strategy_Sub2&amp;"_"&amp;$A306,'Investment Strategies'!$C:$P,9,FALSE),
IF(AND(Investment_Strategy="Lifecycle",Investment_Strategy_Sub1="Standard"),VLOOKUP(Investment_Strategy&amp;"_"&amp;Investment_Strategy_Sub2&amp;"_"&amp;$A306,'Investment Strategies'!$AJ:$AV,8,FALSE),
IF(AND(Investment_Strategy="Autopilot",Investment_Strategy_Sub1="Non-Standard"),VLOOKUP(Investment_Strategy&amp;"_"&amp;Investment_Strategy_Sub2&amp;"_"&amp;$A306,'Investment Strategies'!$T:$AF,8,FALSE),
IF(Investment_Strategy ="DIY",DIY_RateOfReturn_CurrentFunds,
"Error")))))),Max_InvReturn)</f>
        <v>0</v>
      </c>
      <c r="F306" s="62">
        <f>IF(AV306=0,0,
IF(Investment_Strategy="DIS",VLOOKUP(Investment_Strategy&amp;"_"&amp;Investment_Strategy_Sub1&amp;"_"&amp;$A306,'Investment Strategies'!$AZ:$BP,15,FALSE),
IF(AND(Investment_Strategy="Lifecycle",Investment_Strategy_Sub1="Non-Standard"),VLOOKUP(Investment_Strategy&amp;"_"&amp;Investment_Strategy_Sub2&amp;"_"&amp;$A306,'Investment Strategies'!$C:$P,12,FALSE),
IF(AND(Investment_Strategy="Lifecycle",Investment_Strategy_Sub1="Standard"),VLOOKUP(Investment_Strategy&amp;"_"&amp;Investment_Strategy_Sub2&amp;"_"&amp;$A306,'Investment Strategies'!$AJ:$AV,11,FALSE),
IF(AND(Investment_Strategy="Autopilot",Investment_Strategy_Sub1="Non-Standard"),VLOOKUP(Investment_Strategy&amp;"_"&amp;Investment_Strategy_Sub2&amp;"_"&amp;$A306,'Investment Strategies'!$T:$AF,11,FALSE),
IF(Investment_Strategy="DIY",DIY_GteeChrge_CurrentFunds,
"Error"))))))</f>
        <v>0</v>
      </c>
      <c r="G306" s="33">
        <f>IF(AV306=0,0,
IF(Investment_Strategy="DIS",VLOOKUP(Investment_Strategy&amp;"_"&amp;Investment_Strategy_Sub1&amp;"_"&amp;$A306,'Investment Strategies'!$AZ:$BP,17,FALSE),
IF(AND(Investment_Strategy="Lifecycle",Investment_Strategy_Sub1="Non-Standard"),VLOOKUP(Investment_Strategy&amp;"_"&amp;Investment_Strategy_Sub2&amp;"_"&amp;$A306,'Investment Strategies'!$C:$P,14,FALSE),
IF(AND(Investment_Strategy="Lifecycle",Investment_Strategy_Sub1="Standard"),VLOOKUP(Investment_Strategy&amp;"_"&amp;Investment_Strategy_Sub2&amp;"_"&amp;$A306,'Investment Strategies'!$AJ:$AV,13,FALSE),
IF(AND(Investment_Strategy="Autopilot",Investment_Strategy_Sub1="Non-Standard"),VLOOKUP(Investment_Strategy&amp;"_"&amp;Investment_Strategy_Sub2&amp;"_"&amp;$A306,'Investment Strategies'!$T:$AF,13,FALSE),
IF(Investment_Strategy="DIY",DIY_ExtManChrge_CurrentFunds,
"Error"))))))</f>
        <v>0</v>
      </c>
      <c r="H306" s="16">
        <f t="shared" si="175"/>
        <v>0</v>
      </c>
      <c r="I306" s="16">
        <f t="shared" si="159"/>
        <v>0</v>
      </c>
      <c r="J306" s="16">
        <f t="shared" si="160"/>
        <v>0</v>
      </c>
      <c r="K306" s="16">
        <f>(Opening_Fund_Value+SUM(K$91:K305))*E306*IF(D306=$A$91,SRP_finalmonthfactor,1)</f>
        <v>0</v>
      </c>
      <c r="L306" s="74">
        <f>MIN(IF($AV306=0,0,
IF(Investment_Strategy="DIS",VLOOKUP(Investment_Strategy&amp;"_"&amp;Investment_Strategy_Sub1&amp;"_"&amp;$A306,'Investment Strategies'!$AZ:$BP,12,FALSE),
IF(AND(Investment_Strategy="Lifecycle",Investment_Strategy_Sub1="Non-Standard"),VLOOKUP(Investment_Strategy&amp;"_"&amp;Investment_Strategy_Sub2&amp;"_"&amp;$A306,'Investment Strategies'!$C:$P,9,FALSE),
IF(AND(Investment_Strategy="Lifecycle",Investment_Strategy_Sub1="Standard"),VLOOKUP(Investment_Strategy&amp;"_"&amp;Investment_Strategy_Sub2&amp;"_"&amp;$A306,'Investment Strategies'!$AJ:$AV,8,FALSE),
IF(AND(Investment_Strategy="Autopilot",Investment_Strategy_Sub1="Non-Standard"),VLOOKUP(Investment_Strategy&amp;"_"&amp;Investment_Strategy_Sub2&amp;"_"&amp;$A306,'Investment Strategies'!$T:$AF,8,FALSE),
IF(Investment_Strategy ="DIY",DIY_RateofReturn_SP,
"Error")))))),Max_InvReturn)</f>
        <v>0</v>
      </c>
      <c r="M306" s="62">
        <f>IF($AV306=0,0,
IF(Investment_Strategy="DIS",VLOOKUP(Investment_Strategy&amp;"_"&amp;Investment_Strategy_Sub1&amp;"_"&amp;$A306,'Investment Strategies'!$AZ:$BP,15,FALSE),
IF(AND(Investment_Strategy="Lifecycle",Investment_Strategy_Sub1="Non-Standard"),VLOOKUP(Investment_Strategy&amp;"_"&amp;Investment_Strategy_Sub2&amp;"_"&amp;$A306,'Investment Strategies'!$C:$P,12,FALSE),
IF(AND(Investment_Strategy="Lifecycle",Investment_Strategy_Sub1="Standard"),VLOOKUP(Investment_Strategy&amp;"_"&amp;Investment_Strategy_Sub2&amp;"_"&amp;$A306,'Investment Strategies'!$AJ:$AV,11,FALSE),
IF(AND(Investment_Strategy="Autopilot",Investment_Strategy_Sub1="Non-Standard"),VLOOKUP(Investment_Strategy&amp;"_"&amp;Investment_Strategy_Sub2&amp;"_"&amp;$A306,'Investment Strategies'!$T:$AF,11,FALSE),
IF(Investment_Strategy="DIY",DIY_GteeChrge_SP,
"Error"))))))</f>
        <v>0</v>
      </c>
      <c r="N306" s="33">
        <f>IF($AV306=0,0,
IF(Investment_Strategy="DIS",VLOOKUP(Investment_Strategy&amp;"_"&amp;Investment_Strategy_Sub1&amp;"_"&amp;$A306,'Investment Strategies'!$AZ:$BP,17,FALSE),
IF(AND(Investment_Strategy="Lifecycle",Investment_Strategy_Sub1="Non-Standard"),VLOOKUP(Investment_Strategy&amp;"_"&amp;Investment_Strategy_Sub2&amp;"_"&amp;$A306,'Investment Strategies'!$C:$P,14,FALSE),
IF(AND(Investment_Strategy="Lifecycle",Investment_Strategy_Sub1="Standard"),VLOOKUP(Investment_Strategy&amp;"_"&amp;Investment_Strategy_Sub2&amp;"_"&amp;$A306,'Investment Strategies'!$AJ:$AV,13,FALSE),
IF(AND(Investment_Strategy="Autopilot",Investment_Strategy_Sub1="Non-Standard"),VLOOKUP(Investment_Strategy&amp;"_"&amp;Investment_Strategy_Sub2&amp;"_"&amp;$A306,'Investment Strategies'!$T:$AF,13,FALSE),
IF(Investment_Strategy="DIY",DIY_ExtManChrge_SP,
"Error"))))))</f>
        <v>0</v>
      </c>
      <c r="O306" s="16">
        <f t="shared" si="187"/>
        <v>0</v>
      </c>
      <c r="Q306" s="16">
        <f t="shared" si="161"/>
        <v>0</v>
      </c>
      <c r="R306" s="16">
        <f t="shared" si="162"/>
        <v>0</v>
      </c>
      <c r="S306" s="16">
        <f>(SRP_SP+SUM(S$91:S305))*L306*IF(D306=$A$91,SRP_finalmonthfactor,1)</f>
        <v>0</v>
      </c>
      <c r="T306" s="74">
        <f>MIN(IF($AV306=0,0,
IF(Investment_Strategy="DIS",VLOOKUP(Investment_Strategy&amp;"_"&amp;Investment_Strategy_Sub1&amp;"_"&amp;$A306,'Investment Strategies'!$AZ:$BP,12,FALSE),
IF(AND(Investment_Strategy="Lifecycle",Investment_Strategy_Sub1="Non-Standard"),VLOOKUP(Investment_Strategy&amp;"_"&amp;Investment_Strategy_Sub2&amp;"_"&amp;$A306,'Investment Strategies'!$C:$P,9,FALSE),
IF(AND(Investment_Strategy="Lifecycle",Investment_Strategy_Sub1="Standard"),VLOOKUP(Investment_Strategy&amp;"_"&amp;Investment_Strategy_Sub2&amp;"_"&amp;$A306,'Investment Strategies'!$AJ:$AV,8,FALSE),
IF(AND(Investment_Strategy="Autopilot",Investment_Strategy_Sub1="Non-Standard"),VLOOKUP(Investment_Strategy&amp;"_"&amp;Investment_Strategy_Sub2&amp;"_"&amp;$A306,'Investment Strategies'!$T:$AF,8,FALSE),
IF(Investment_Strategy ="DIY",DIY_RateOfReturn_FuturePremiums,
"Error")))))),Max_InvReturn)</f>
        <v>0</v>
      </c>
      <c r="U306" s="62">
        <f>IF($AV306=0,0,
IF(Investment_Strategy="DIS",VLOOKUP(Investment_Strategy&amp;"_"&amp;Investment_Strategy_Sub1&amp;"_"&amp;$A306,'Investment Strategies'!$AZ:$BP,15,FALSE),
IF(AND(Investment_Strategy="Lifecycle",Investment_Strategy_Sub1="Non-Standard"),VLOOKUP(Investment_Strategy&amp;"_"&amp;Investment_Strategy_Sub2&amp;"_"&amp;$A306,'Investment Strategies'!$C:$P,12,FALSE),
IF(AND(Investment_Strategy="Lifecycle",Investment_Strategy_Sub1="Standard"),VLOOKUP(Investment_Strategy&amp;"_"&amp;Investment_Strategy_Sub2&amp;"_"&amp;$A306,'Investment Strategies'!$AJ:$AV,11,FALSE),
IF(AND(Investment_Strategy="Autopilot",Investment_Strategy_Sub1="Non-Standard"),VLOOKUP(Investment_Strategy&amp;"_"&amp;Investment_Strategy_Sub2&amp;"_"&amp;$A306,'Investment Strategies'!$T:$AF,11,FALSE),
IF(Investment_Strategy="DIY",DIY_GteeChrge_FuturePremiums,
"Error"))))))</f>
        <v>0</v>
      </c>
      <c r="V306" s="33">
        <f>IF(AV306=0,0,
IF(Investment_Strategy="DIS",VLOOKUP(Investment_Strategy&amp;"_"&amp;Investment_Strategy_Sub1&amp;"_"&amp;$A306,'Investment Strategies'!$AZ:$BP,17,FALSE),
IF(AND(Investment_Strategy="Lifecycle",Investment_Strategy_Sub1="Non-Standard"),VLOOKUP(Investment_Strategy&amp;"_"&amp;Investment_Strategy_Sub2&amp;"_"&amp;$A306,'Investment Strategies'!$C:$P,14,FALSE),
IF(AND(Investment_Strategy="Lifecycle",Investment_Strategy_Sub1="Standard"),VLOOKUP(Investment_Strategy&amp;"_"&amp;Investment_Strategy_Sub2&amp;"_"&amp;$A306,'Investment Strategies'!$AJ:$AV,13,FALSE),
IF(AND(Investment_Strategy="Autopilot",Investment_Strategy_Sub1="Non-Standard"),VLOOKUP(Investment_Strategy&amp;"_"&amp;Investment_Strategy_Sub2&amp;"_"&amp;$A306,'Investment Strategies'!$T:$AF,13,FALSE),
IF(Investment_Strategy="DIY",DIY_ExtManChrge_FuturePremiums,
"Error"))))))</f>
        <v>0</v>
      </c>
      <c r="W306" s="16">
        <f t="shared" si="188"/>
        <v>0</v>
      </c>
      <c r="X306" s="16">
        <f t="shared" si="163"/>
        <v>0</v>
      </c>
      <c r="Y306" s="16">
        <f t="shared" si="164"/>
        <v>0</v>
      </c>
      <c r="Z306" s="31">
        <f t="shared" si="165"/>
        <v>0.02</v>
      </c>
      <c r="AA306" s="16">
        <f t="shared" si="166"/>
        <v>0</v>
      </c>
      <c r="AB306" s="28">
        <f t="shared" si="189"/>
        <v>0</v>
      </c>
      <c r="AC306" s="28">
        <f>(SUM($AC$91:AC305)+SUM($X$91:X305)+X306)*T306*IF(D306=$A$91,SRP_finalmonthfactor,1)</f>
        <v>0</v>
      </c>
      <c r="AD306" s="16">
        <f t="shared" si="167"/>
        <v>0</v>
      </c>
      <c r="AE306" s="106"/>
      <c r="AF306" s="16">
        <f t="shared" si="176"/>
        <v>0</v>
      </c>
      <c r="AG306" s="16">
        <f t="shared" si="177"/>
        <v>0</v>
      </c>
      <c r="AH306" s="16">
        <f t="shared" si="178"/>
        <v>0</v>
      </c>
      <c r="AJ306" s="13">
        <f t="shared" si="199"/>
        <v>0</v>
      </c>
      <c r="AK306" s="13">
        <f t="shared" si="199"/>
        <v>0</v>
      </c>
      <c r="AL306" s="13">
        <f t="shared" si="199"/>
        <v>0</v>
      </c>
      <c r="AM306" s="13">
        <f t="shared" si="199"/>
        <v>0</v>
      </c>
      <c r="AN306" s="13">
        <f t="shared" si="199"/>
        <v>0</v>
      </c>
      <c r="AO306" s="13">
        <f t="shared" si="199"/>
        <v>1</v>
      </c>
      <c r="AP306" s="13">
        <f t="shared" si="199"/>
        <v>1</v>
      </c>
      <c r="AQ306" s="13">
        <f t="shared" si="199"/>
        <v>1</v>
      </c>
      <c r="AR306" s="13">
        <f t="shared" si="199"/>
        <v>1</v>
      </c>
      <c r="AS306" s="13">
        <f t="shared" si="199"/>
        <v>1</v>
      </c>
      <c r="AT306" s="13">
        <f t="shared" si="199"/>
        <v>1</v>
      </c>
      <c r="AU306" s="13">
        <f t="shared" si="199"/>
        <v>1</v>
      </c>
      <c r="AV306" s="13">
        <f t="shared" si="168"/>
        <v>0</v>
      </c>
      <c r="AW306" s="13">
        <f t="shared" si="169"/>
        <v>1</v>
      </c>
      <c r="AY306" s="17">
        <f t="shared" si="170"/>
        <v>216</v>
      </c>
      <c r="AZ306" s="28">
        <f t="shared" si="179"/>
        <v>0</v>
      </c>
      <c r="BA306" s="13">
        <f t="shared" si="171"/>
        <v>0</v>
      </c>
      <c r="BB306" s="13">
        <f t="shared" si="172"/>
        <v>0</v>
      </c>
      <c r="BC306" s="28">
        <f t="shared" si="180"/>
        <v>0</v>
      </c>
      <c r="BD306" s="28">
        <f t="shared" si="181"/>
        <v>0</v>
      </c>
      <c r="BF306" s="248">
        <f t="shared" si="182"/>
        <v>993869.29442638322</v>
      </c>
      <c r="BG306" s="36">
        <f t="shared" si="190"/>
        <v>0</v>
      </c>
      <c r="BH306" s="36">
        <f t="shared" si="191"/>
        <v>830691.87194031815</v>
      </c>
      <c r="BI306" s="249">
        <f t="shared" si="192"/>
        <v>0</v>
      </c>
      <c r="BJ306" s="246">
        <f t="shared" si="193"/>
        <v>0</v>
      </c>
      <c r="BK306" s="246">
        <f t="shared" si="173"/>
        <v>7.531116566323881E-4</v>
      </c>
      <c r="BL306" s="246">
        <f t="shared" si="194"/>
        <v>0</v>
      </c>
      <c r="BM306" s="246">
        <f t="shared" si="195"/>
        <v>7.531116566323881E-4</v>
      </c>
      <c r="BN306" s="36">
        <f t="shared" si="183"/>
        <v>625.60373182803255</v>
      </c>
      <c r="BO306" s="36">
        <f t="shared" si="196"/>
        <v>0</v>
      </c>
      <c r="BP306" s="36">
        <f t="shared" si="197"/>
        <v>830066.2682084901</v>
      </c>
    </row>
    <row r="307" spans="1:68">
      <c r="A307" s="32">
        <f t="shared" si="184"/>
        <v>-132</v>
      </c>
      <c r="B307" s="32">
        <f t="shared" si="174"/>
        <v>71</v>
      </c>
      <c r="C307" s="32">
        <f t="shared" si="185"/>
        <v>19</v>
      </c>
      <c r="D307" s="32">
        <f t="shared" si="186"/>
        <v>217</v>
      </c>
      <c r="E307" s="74">
        <f>MIN(IF(AV307=0,0,
IF(Investment_Strategy="DIS",VLOOKUP(Investment_Strategy&amp;"_"&amp;Investment_Strategy_Sub1&amp;"_"&amp;$A307,'Investment Strategies'!$AZ:$BP,12,FALSE),
IF(AND(Investment_Strategy="Lifecycle",Investment_Strategy_Sub1="Non-Standard"),VLOOKUP(Investment_Strategy&amp;"_"&amp;Investment_Strategy_Sub2&amp;"_"&amp;$A307,'Investment Strategies'!$C:$P,9,FALSE),
IF(AND(Investment_Strategy="Lifecycle",Investment_Strategy_Sub1="Standard"),VLOOKUP(Investment_Strategy&amp;"_"&amp;Investment_Strategy_Sub2&amp;"_"&amp;$A307,'Investment Strategies'!$AJ:$AV,8,FALSE),
IF(AND(Investment_Strategy="Autopilot",Investment_Strategy_Sub1="Non-Standard"),VLOOKUP(Investment_Strategy&amp;"_"&amp;Investment_Strategy_Sub2&amp;"_"&amp;$A307,'Investment Strategies'!$T:$AF,8,FALSE),
IF(Investment_Strategy ="DIY",DIY_RateOfReturn_CurrentFunds,
"Error")))))),Max_InvReturn)</f>
        <v>0</v>
      </c>
      <c r="F307" s="62">
        <f>IF(AV307=0,0,
IF(Investment_Strategy="DIS",VLOOKUP(Investment_Strategy&amp;"_"&amp;Investment_Strategy_Sub1&amp;"_"&amp;$A307,'Investment Strategies'!$AZ:$BP,15,FALSE),
IF(AND(Investment_Strategy="Lifecycle",Investment_Strategy_Sub1="Non-Standard"),VLOOKUP(Investment_Strategy&amp;"_"&amp;Investment_Strategy_Sub2&amp;"_"&amp;$A307,'Investment Strategies'!$C:$P,12,FALSE),
IF(AND(Investment_Strategy="Lifecycle",Investment_Strategy_Sub1="Standard"),VLOOKUP(Investment_Strategy&amp;"_"&amp;Investment_Strategy_Sub2&amp;"_"&amp;$A307,'Investment Strategies'!$AJ:$AV,11,FALSE),
IF(AND(Investment_Strategy="Autopilot",Investment_Strategy_Sub1="Non-Standard"),VLOOKUP(Investment_Strategy&amp;"_"&amp;Investment_Strategy_Sub2&amp;"_"&amp;$A307,'Investment Strategies'!$T:$AF,11,FALSE),
IF(Investment_Strategy="DIY",DIY_GteeChrge_CurrentFunds,
"Error"))))))</f>
        <v>0</v>
      </c>
      <c r="G307" s="33">
        <f>IF(AV307=0,0,
IF(Investment_Strategy="DIS",VLOOKUP(Investment_Strategy&amp;"_"&amp;Investment_Strategy_Sub1&amp;"_"&amp;$A307,'Investment Strategies'!$AZ:$BP,17,FALSE),
IF(AND(Investment_Strategy="Lifecycle",Investment_Strategy_Sub1="Non-Standard"),VLOOKUP(Investment_Strategy&amp;"_"&amp;Investment_Strategy_Sub2&amp;"_"&amp;$A307,'Investment Strategies'!$C:$P,14,FALSE),
IF(AND(Investment_Strategy="Lifecycle",Investment_Strategy_Sub1="Standard"),VLOOKUP(Investment_Strategy&amp;"_"&amp;Investment_Strategy_Sub2&amp;"_"&amp;$A307,'Investment Strategies'!$AJ:$AV,13,FALSE),
IF(AND(Investment_Strategy="Autopilot",Investment_Strategy_Sub1="Non-Standard"),VLOOKUP(Investment_Strategy&amp;"_"&amp;Investment_Strategy_Sub2&amp;"_"&amp;$A307,'Investment Strategies'!$T:$AF,13,FALSE),
IF(Investment_Strategy="DIY",DIY_ExtManChrge_CurrentFunds,
"Error"))))))</f>
        <v>0</v>
      </c>
      <c r="H307" s="16">
        <f t="shared" si="175"/>
        <v>0</v>
      </c>
      <c r="I307" s="16">
        <f t="shared" si="159"/>
        <v>0</v>
      </c>
      <c r="J307" s="16">
        <f t="shared" si="160"/>
        <v>0</v>
      </c>
      <c r="K307" s="16">
        <f>(Opening_Fund_Value+SUM(K$91:K306))*E307*IF(D307=$A$91,SRP_finalmonthfactor,1)</f>
        <v>0</v>
      </c>
      <c r="L307" s="74">
        <f>MIN(IF($AV307=0,0,
IF(Investment_Strategy="DIS",VLOOKUP(Investment_Strategy&amp;"_"&amp;Investment_Strategy_Sub1&amp;"_"&amp;$A307,'Investment Strategies'!$AZ:$BP,12,FALSE),
IF(AND(Investment_Strategy="Lifecycle",Investment_Strategy_Sub1="Non-Standard"),VLOOKUP(Investment_Strategy&amp;"_"&amp;Investment_Strategy_Sub2&amp;"_"&amp;$A307,'Investment Strategies'!$C:$P,9,FALSE),
IF(AND(Investment_Strategy="Lifecycle",Investment_Strategy_Sub1="Standard"),VLOOKUP(Investment_Strategy&amp;"_"&amp;Investment_Strategy_Sub2&amp;"_"&amp;$A307,'Investment Strategies'!$AJ:$AV,8,FALSE),
IF(AND(Investment_Strategy="Autopilot",Investment_Strategy_Sub1="Non-Standard"),VLOOKUP(Investment_Strategy&amp;"_"&amp;Investment_Strategy_Sub2&amp;"_"&amp;$A307,'Investment Strategies'!$T:$AF,8,FALSE),
IF(Investment_Strategy ="DIY",DIY_RateofReturn_SP,
"Error")))))),Max_InvReturn)</f>
        <v>0</v>
      </c>
      <c r="M307" s="62">
        <f>IF($AV307=0,0,
IF(Investment_Strategy="DIS",VLOOKUP(Investment_Strategy&amp;"_"&amp;Investment_Strategy_Sub1&amp;"_"&amp;$A307,'Investment Strategies'!$AZ:$BP,15,FALSE),
IF(AND(Investment_Strategy="Lifecycle",Investment_Strategy_Sub1="Non-Standard"),VLOOKUP(Investment_Strategy&amp;"_"&amp;Investment_Strategy_Sub2&amp;"_"&amp;$A307,'Investment Strategies'!$C:$P,12,FALSE),
IF(AND(Investment_Strategy="Lifecycle",Investment_Strategy_Sub1="Standard"),VLOOKUP(Investment_Strategy&amp;"_"&amp;Investment_Strategy_Sub2&amp;"_"&amp;$A307,'Investment Strategies'!$AJ:$AV,11,FALSE),
IF(AND(Investment_Strategy="Autopilot",Investment_Strategy_Sub1="Non-Standard"),VLOOKUP(Investment_Strategy&amp;"_"&amp;Investment_Strategy_Sub2&amp;"_"&amp;$A307,'Investment Strategies'!$T:$AF,11,FALSE),
IF(Investment_Strategy="DIY",DIY_GteeChrge_SP,
"Error"))))))</f>
        <v>0</v>
      </c>
      <c r="N307" s="33">
        <f>IF($AV307=0,0,
IF(Investment_Strategy="DIS",VLOOKUP(Investment_Strategy&amp;"_"&amp;Investment_Strategy_Sub1&amp;"_"&amp;$A307,'Investment Strategies'!$AZ:$BP,17,FALSE),
IF(AND(Investment_Strategy="Lifecycle",Investment_Strategy_Sub1="Non-Standard"),VLOOKUP(Investment_Strategy&amp;"_"&amp;Investment_Strategy_Sub2&amp;"_"&amp;$A307,'Investment Strategies'!$C:$P,14,FALSE),
IF(AND(Investment_Strategy="Lifecycle",Investment_Strategy_Sub1="Standard"),VLOOKUP(Investment_Strategy&amp;"_"&amp;Investment_Strategy_Sub2&amp;"_"&amp;$A307,'Investment Strategies'!$AJ:$AV,13,FALSE),
IF(AND(Investment_Strategy="Autopilot",Investment_Strategy_Sub1="Non-Standard"),VLOOKUP(Investment_Strategy&amp;"_"&amp;Investment_Strategy_Sub2&amp;"_"&amp;$A307,'Investment Strategies'!$T:$AF,13,FALSE),
IF(Investment_Strategy="DIY",DIY_ExtManChrge_SP,
"Error"))))))</f>
        <v>0</v>
      </c>
      <c r="O307" s="16">
        <f t="shared" si="187"/>
        <v>0</v>
      </c>
      <c r="Q307" s="16">
        <f t="shared" si="161"/>
        <v>0</v>
      </c>
      <c r="R307" s="16">
        <f t="shared" si="162"/>
        <v>0</v>
      </c>
      <c r="S307" s="16">
        <f>(SRP_SP+SUM(S$91:S306))*L307*IF(D307=$A$91,SRP_finalmonthfactor,1)</f>
        <v>0</v>
      </c>
      <c r="T307" s="74">
        <f>MIN(IF($AV307=0,0,
IF(Investment_Strategy="DIS",VLOOKUP(Investment_Strategy&amp;"_"&amp;Investment_Strategy_Sub1&amp;"_"&amp;$A307,'Investment Strategies'!$AZ:$BP,12,FALSE),
IF(AND(Investment_Strategy="Lifecycle",Investment_Strategy_Sub1="Non-Standard"),VLOOKUP(Investment_Strategy&amp;"_"&amp;Investment_Strategy_Sub2&amp;"_"&amp;$A307,'Investment Strategies'!$C:$P,9,FALSE),
IF(AND(Investment_Strategy="Lifecycle",Investment_Strategy_Sub1="Standard"),VLOOKUP(Investment_Strategy&amp;"_"&amp;Investment_Strategy_Sub2&amp;"_"&amp;$A307,'Investment Strategies'!$AJ:$AV,8,FALSE),
IF(AND(Investment_Strategy="Autopilot",Investment_Strategy_Sub1="Non-Standard"),VLOOKUP(Investment_Strategy&amp;"_"&amp;Investment_Strategy_Sub2&amp;"_"&amp;$A307,'Investment Strategies'!$T:$AF,8,FALSE),
IF(Investment_Strategy ="DIY",DIY_RateOfReturn_FuturePremiums,
"Error")))))),Max_InvReturn)</f>
        <v>0</v>
      </c>
      <c r="U307" s="62">
        <f>IF($AV307=0,0,
IF(Investment_Strategy="DIS",VLOOKUP(Investment_Strategy&amp;"_"&amp;Investment_Strategy_Sub1&amp;"_"&amp;$A307,'Investment Strategies'!$AZ:$BP,15,FALSE),
IF(AND(Investment_Strategy="Lifecycle",Investment_Strategy_Sub1="Non-Standard"),VLOOKUP(Investment_Strategy&amp;"_"&amp;Investment_Strategy_Sub2&amp;"_"&amp;$A307,'Investment Strategies'!$C:$P,12,FALSE),
IF(AND(Investment_Strategy="Lifecycle",Investment_Strategy_Sub1="Standard"),VLOOKUP(Investment_Strategy&amp;"_"&amp;Investment_Strategy_Sub2&amp;"_"&amp;$A307,'Investment Strategies'!$AJ:$AV,11,FALSE),
IF(AND(Investment_Strategy="Autopilot",Investment_Strategy_Sub1="Non-Standard"),VLOOKUP(Investment_Strategy&amp;"_"&amp;Investment_Strategy_Sub2&amp;"_"&amp;$A307,'Investment Strategies'!$T:$AF,11,FALSE),
IF(Investment_Strategy="DIY",DIY_GteeChrge_FuturePremiums,
"Error"))))))</f>
        <v>0</v>
      </c>
      <c r="V307" s="33">
        <f>IF(AV307=0,0,
IF(Investment_Strategy="DIS",VLOOKUP(Investment_Strategy&amp;"_"&amp;Investment_Strategy_Sub1&amp;"_"&amp;$A307,'Investment Strategies'!$AZ:$BP,17,FALSE),
IF(AND(Investment_Strategy="Lifecycle",Investment_Strategy_Sub1="Non-Standard"),VLOOKUP(Investment_Strategy&amp;"_"&amp;Investment_Strategy_Sub2&amp;"_"&amp;$A307,'Investment Strategies'!$C:$P,14,FALSE),
IF(AND(Investment_Strategy="Lifecycle",Investment_Strategy_Sub1="Standard"),VLOOKUP(Investment_Strategy&amp;"_"&amp;Investment_Strategy_Sub2&amp;"_"&amp;$A307,'Investment Strategies'!$AJ:$AV,13,FALSE),
IF(AND(Investment_Strategy="Autopilot",Investment_Strategy_Sub1="Non-Standard"),VLOOKUP(Investment_Strategy&amp;"_"&amp;Investment_Strategy_Sub2&amp;"_"&amp;$A307,'Investment Strategies'!$T:$AF,13,FALSE),
IF(Investment_Strategy="DIY",DIY_ExtManChrge_FuturePremiums,
"Error"))))))</f>
        <v>0</v>
      </c>
      <c r="W307" s="16">
        <f t="shared" si="188"/>
        <v>0</v>
      </c>
      <c r="X307" s="16">
        <f t="shared" si="163"/>
        <v>0</v>
      </c>
      <c r="Y307" s="16">
        <f t="shared" si="164"/>
        <v>0</v>
      </c>
      <c r="Z307" s="31">
        <f t="shared" si="165"/>
        <v>0.02</v>
      </c>
      <c r="AA307" s="16">
        <f t="shared" si="166"/>
        <v>0</v>
      </c>
      <c r="AB307" s="28">
        <f t="shared" si="189"/>
        <v>0</v>
      </c>
      <c r="AC307" s="28">
        <f>(SUM($AC$91:AC306)+SUM($X$91:X306)+X307)*T307*IF(D307=$A$91,SRP_finalmonthfactor,1)</f>
        <v>0</v>
      </c>
      <c r="AD307" s="16">
        <f t="shared" si="167"/>
        <v>0</v>
      </c>
      <c r="AE307" s="106"/>
      <c r="AF307" s="16">
        <f t="shared" si="176"/>
        <v>0</v>
      </c>
      <c r="AG307" s="16">
        <f t="shared" si="177"/>
        <v>0</v>
      </c>
      <c r="AH307" s="16">
        <f t="shared" si="178"/>
        <v>0</v>
      </c>
      <c r="AJ307" s="13">
        <f t="shared" si="199"/>
        <v>0</v>
      </c>
      <c r="AK307" s="13">
        <f t="shared" si="199"/>
        <v>0</v>
      </c>
      <c r="AL307" s="13">
        <f t="shared" si="199"/>
        <v>0</v>
      </c>
      <c r="AM307" s="13">
        <f t="shared" si="199"/>
        <v>0</v>
      </c>
      <c r="AN307" s="13">
        <f t="shared" si="199"/>
        <v>0</v>
      </c>
      <c r="AO307" s="13">
        <f t="shared" si="199"/>
        <v>1</v>
      </c>
      <c r="AP307" s="13">
        <f t="shared" si="199"/>
        <v>1</v>
      </c>
      <c r="AQ307" s="13">
        <f t="shared" si="199"/>
        <v>1</v>
      </c>
      <c r="AR307" s="13">
        <f t="shared" si="199"/>
        <v>1</v>
      </c>
      <c r="AS307" s="13">
        <f t="shared" si="199"/>
        <v>1</v>
      </c>
      <c r="AT307" s="13">
        <f t="shared" si="199"/>
        <v>1</v>
      </c>
      <c r="AU307" s="13">
        <f t="shared" si="199"/>
        <v>1</v>
      </c>
      <c r="AV307" s="13">
        <f t="shared" si="168"/>
        <v>0</v>
      </c>
      <c r="AW307" s="13">
        <f t="shared" si="169"/>
        <v>1</v>
      </c>
      <c r="AY307" s="17">
        <f t="shared" si="170"/>
        <v>217</v>
      </c>
      <c r="AZ307" s="28">
        <f t="shared" si="179"/>
        <v>0</v>
      </c>
      <c r="BA307" s="13">
        <f t="shared" si="171"/>
        <v>0</v>
      </c>
      <c r="BB307" s="13">
        <f t="shared" si="172"/>
        <v>0</v>
      </c>
      <c r="BC307" s="28">
        <f t="shared" si="180"/>
        <v>0</v>
      </c>
      <c r="BD307" s="28">
        <f t="shared" si="181"/>
        <v>0</v>
      </c>
      <c r="BF307" s="248">
        <f t="shared" si="182"/>
        <v>993869.29442638322</v>
      </c>
      <c r="BG307" s="36">
        <f t="shared" si="190"/>
        <v>0</v>
      </c>
      <c r="BH307" s="36">
        <f t="shared" si="191"/>
        <v>830066.2682084901</v>
      </c>
      <c r="BI307" s="249">
        <f t="shared" si="192"/>
        <v>0</v>
      </c>
      <c r="BJ307" s="246">
        <f t="shared" si="193"/>
        <v>0</v>
      </c>
      <c r="BK307" s="246">
        <f t="shared" si="173"/>
        <v>7.531116566323881E-4</v>
      </c>
      <c r="BL307" s="246">
        <f t="shared" si="194"/>
        <v>0</v>
      </c>
      <c r="BM307" s="246">
        <f t="shared" si="195"/>
        <v>7.531116566323881E-4</v>
      </c>
      <c r="BN307" s="36">
        <f t="shared" si="183"/>
        <v>625.13258236516015</v>
      </c>
      <c r="BO307" s="36">
        <f t="shared" si="196"/>
        <v>0</v>
      </c>
      <c r="BP307" s="36">
        <f t="shared" si="197"/>
        <v>829441.13562612492</v>
      </c>
    </row>
    <row r="308" spans="1:68">
      <c r="A308" s="32">
        <f t="shared" si="184"/>
        <v>-133</v>
      </c>
      <c r="B308" s="32">
        <f t="shared" si="174"/>
        <v>71</v>
      </c>
      <c r="C308" s="32">
        <f t="shared" si="185"/>
        <v>19</v>
      </c>
      <c r="D308" s="32">
        <f t="shared" si="186"/>
        <v>218</v>
      </c>
      <c r="E308" s="74">
        <f>MIN(IF(AV308=0,0,
IF(Investment_Strategy="DIS",VLOOKUP(Investment_Strategy&amp;"_"&amp;Investment_Strategy_Sub1&amp;"_"&amp;$A308,'Investment Strategies'!$AZ:$BP,12,FALSE),
IF(AND(Investment_Strategy="Lifecycle",Investment_Strategy_Sub1="Non-Standard"),VLOOKUP(Investment_Strategy&amp;"_"&amp;Investment_Strategy_Sub2&amp;"_"&amp;$A308,'Investment Strategies'!$C:$P,9,FALSE),
IF(AND(Investment_Strategy="Lifecycle",Investment_Strategy_Sub1="Standard"),VLOOKUP(Investment_Strategy&amp;"_"&amp;Investment_Strategy_Sub2&amp;"_"&amp;$A308,'Investment Strategies'!$AJ:$AV,8,FALSE),
IF(AND(Investment_Strategy="Autopilot",Investment_Strategy_Sub1="Non-Standard"),VLOOKUP(Investment_Strategy&amp;"_"&amp;Investment_Strategy_Sub2&amp;"_"&amp;$A308,'Investment Strategies'!$T:$AF,8,FALSE),
IF(Investment_Strategy ="DIY",DIY_RateOfReturn_CurrentFunds,
"Error")))))),Max_InvReturn)</f>
        <v>0</v>
      </c>
      <c r="F308" s="62">
        <f>IF(AV308=0,0,
IF(Investment_Strategy="DIS",VLOOKUP(Investment_Strategy&amp;"_"&amp;Investment_Strategy_Sub1&amp;"_"&amp;$A308,'Investment Strategies'!$AZ:$BP,15,FALSE),
IF(AND(Investment_Strategy="Lifecycle",Investment_Strategy_Sub1="Non-Standard"),VLOOKUP(Investment_Strategy&amp;"_"&amp;Investment_Strategy_Sub2&amp;"_"&amp;$A308,'Investment Strategies'!$C:$P,12,FALSE),
IF(AND(Investment_Strategy="Lifecycle",Investment_Strategy_Sub1="Standard"),VLOOKUP(Investment_Strategy&amp;"_"&amp;Investment_Strategy_Sub2&amp;"_"&amp;$A308,'Investment Strategies'!$AJ:$AV,11,FALSE),
IF(AND(Investment_Strategy="Autopilot",Investment_Strategy_Sub1="Non-Standard"),VLOOKUP(Investment_Strategy&amp;"_"&amp;Investment_Strategy_Sub2&amp;"_"&amp;$A308,'Investment Strategies'!$T:$AF,11,FALSE),
IF(Investment_Strategy="DIY",DIY_GteeChrge_CurrentFunds,
"Error"))))))</f>
        <v>0</v>
      </c>
      <c r="G308" s="33">
        <f>IF(AV308=0,0,
IF(Investment_Strategy="DIS",VLOOKUP(Investment_Strategy&amp;"_"&amp;Investment_Strategy_Sub1&amp;"_"&amp;$A308,'Investment Strategies'!$AZ:$BP,17,FALSE),
IF(AND(Investment_Strategy="Lifecycle",Investment_Strategy_Sub1="Non-Standard"),VLOOKUP(Investment_Strategy&amp;"_"&amp;Investment_Strategy_Sub2&amp;"_"&amp;$A308,'Investment Strategies'!$C:$P,14,FALSE),
IF(AND(Investment_Strategy="Lifecycle",Investment_Strategy_Sub1="Standard"),VLOOKUP(Investment_Strategy&amp;"_"&amp;Investment_Strategy_Sub2&amp;"_"&amp;$A308,'Investment Strategies'!$AJ:$AV,13,FALSE),
IF(AND(Investment_Strategy="Autopilot",Investment_Strategy_Sub1="Non-Standard"),VLOOKUP(Investment_Strategy&amp;"_"&amp;Investment_Strategy_Sub2&amp;"_"&amp;$A308,'Investment Strategies'!$T:$AF,13,FALSE),
IF(Investment_Strategy="DIY",DIY_ExtManChrge_CurrentFunds,
"Error"))))))</f>
        <v>0</v>
      </c>
      <c r="H308" s="16">
        <f t="shared" si="175"/>
        <v>0</v>
      </c>
      <c r="I308" s="16">
        <f t="shared" si="159"/>
        <v>0</v>
      </c>
      <c r="J308" s="16">
        <f t="shared" si="160"/>
        <v>0</v>
      </c>
      <c r="K308" s="16">
        <f>(Opening_Fund_Value+SUM(K$91:K307))*E308*IF(D308=$A$91,SRP_finalmonthfactor,1)</f>
        <v>0</v>
      </c>
      <c r="L308" s="74">
        <f>MIN(IF($AV308=0,0,
IF(Investment_Strategy="DIS",VLOOKUP(Investment_Strategy&amp;"_"&amp;Investment_Strategy_Sub1&amp;"_"&amp;$A308,'Investment Strategies'!$AZ:$BP,12,FALSE),
IF(AND(Investment_Strategy="Lifecycle",Investment_Strategy_Sub1="Non-Standard"),VLOOKUP(Investment_Strategy&amp;"_"&amp;Investment_Strategy_Sub2&amp;"_"&amp;$A308,'Investment Strategies'!$C:$P,9,FALSE),
IF(AND(Investment_Strategy="Lifecycle",Investment_Strategy_Sub1="Standard"),VLOOKUP(Investment_Strategy&amp;"_"&amp;Investment_Strategy_Sub2&amp;"_"&amp;$A308,'Investment Strategies'!$AJ:$AV,8,FALSE),
IF(AND(Investment_Strategy="Autopilot",Investment_Strategy_Sub1="Non-Standard"),VLOOKUP(Investment_Strategy&amp;"_"&amp;Investment_Strategy_Sub2&amp;"_"&amp;$A308,'Investment Strategies'!$T:$AF,8,FALSE),
IF(Investment_Strategy ="DIY",DIY_RateofReturn_SP,
"Error")))))),Max_InvReturn)</f>
        <v>0</v>
      </c>
      <c r="M308" s="62">
        <f>IF($AV308=0,0,
IF(Investment_Strategy="DIS",VLOOKUP(Investment_Strategy&amp;"_"&amp;Investment_Strategy_Sub1&amp;"_"&amp;$A308,'Investment Strategies'!$AZ:$BP,15,FALSE),
IF(AND(Investment_Strategy="Lifecycle",Investment_Strategy_Sub1="Non-Standard"),VLOOKUP(Investment_Strategy&amp;"_"&amp;Investment_Strategy_Sub2&amp;"_"&amp;$A308,'Investment Strategies'!$C:$P,12,FALSE),
IF(AND(Investment_Strategy="Lifecycle",Investment_Strategy_Sub1="Standard"),VLOOKUP(Investment_Strategy&amp;"_"&amp;Investment_Strategy_Sub2&amp;"_"&amp;$A308,'Investment Strategies'!$AJ:$AV,11,FALSE),
IF(AND(Investment_Strategy="Autopilot",Investment_Strategy_Sub1="Non-Standard"),VLOOKUP(Investment_Strategy&amp;"_"&amp;Investment_Strategy_Sub2&amp;"_"&amp;$A308,'Investment Strategies'!$T:$AF,11,FALSE),
IF(Investment_Strategy="DIY",DIY_GteeChrge_SP,
"Error"))))))</f>
        <v>0</v>
      </c>
      <c r="N308" s="33">
        <f>IF($AV308=0,0,
IF(Investment_Strategy="DIS",VLOOKUP(Investment_Strategy&amp;"_"&amp;Investment_Strategy_Sub1&amp;"_"&amp;$A308,'Investment Strategies'!$AZ:$BP,17,FALSE),
IF(AND(Investment_Strategy="Lifecycle",Investment_Strategy_Sub1="Non-Standard"),VLOOKUP(Investment_Strategy&amp;"_"&amp;Investment_Strategy_Sub2&amp;"_"&amp;$A308,'Investment Strategies'!$C:$P,14,FALSE),
IF(AND(Investment_Strategy="Lifecycle",Investment_Strategy_Sub1="Standard"),VLOOKUP(Investment_Strategy&amp;"_"&amp;Investment_Strategy_Sub2&amp;"_"&amp;$A308,'Investment Strategies'!$AJ:$AV,13,FALSE),
IF(AND(Investment_Strategy="Autopilot",Investment_Strategy_Sub1="Non-Standard"),VLOOKUP(Investment_Strategy&amp;"_"&amp;Investment_Strategy_Sub2&amp;"_"&amp;$A308,'Investment Strategies'!$T:$AF,13,FALSE),
IF(Investment_Strategy="DIY",DIY_ExtManChrge_SP,
"Error"))))))</f>
        <v>0</v>
      </c>
      <c r="O308" s="16">
        <f t="shared" si="187"/>
        <v>0</v>
      </c>
      <c r="Q308" s="16">
        <f t="shared" si="161"/>
        <v>0</v>
      </c>
      <c r="R308" s="16">
        <f t="shared" si="162"/>
        <v>0</v>
      </c>
      <c r="S308" s="16">
        <f>(SRP_SP+SUM(S$91:S307))*L308*IF(D308=$A$91,SRP_finalmonthfactor,1)</f>
        <v>0</v>
      </c>
      <c r="T308" s="74">
        <f>MIN(IF($AV308=0,0,
IF(Investment_Strategy="DIS",VLOOKUP(Investment_Strategy&amp;"_"&amp;Investment_Strategy_Sub1&amp;"_"&amp;$A308,'Investment Strategies'!$AZ:$BP,12,FALSE),
IF(AND(Investment_Strategy="Lifecycle",Investment_Strategy_Sub1="Non-Standard"),VLOOKUP(Investment_Strategy&amp;"_"&amp;Investment_Strategy_Sub2&amp;"_"&amp;$A308,'Investment Strategies'!$C:$P,9,FALSE),
IF(AND(Investment_Strategy="Lifecycle",Investment_Strategy_Sub1="Standard"),VLOOKUP(Investment_Strategy&amp;"_"&amp;Investment_Strategy_Sub2&amp;"_"&amp;$A308,'Investment Strategies'!$AJ:$AV,8,FALSE),
IF(AND(Investment_Strategy="Autopilot",Investment_Strategy_Sub1="Non-Standard"),VLOOKUP(Investment_Strategy&amp;"_"&amp;Investment_Strategy_Sub2&amp;"_"&amp;$A308,'Investment Strategies'!$T:$AF,8,FALSE),
IF(Investment_Strategy ="DIY",DIY_RateOfReturn_FuturePremiums,
"Error")))))),Max_InvReturn)</f>
        <v>0</v>
      </c>
      <c r="U308" s="62">
        <f>IF($AV308=0,0,
IF(Investment_Strategy="DIS",VLOOKUP(Investment_Strategy&amp;"_"&amp;Investment_Strategy_Sub1&amp;"_"&amp;$A308,'Investment Strategies'!$AZ:$BP,15,FALSE),
IF(AND(Investment_Strategy="Lifecycle",Investment_Strategy_Sub1="Non-Standard"),VLOOKUP(Investment_Strategy&amp;"_"&amp;Investment_Strategy_Sub2&amp;"_"&amp;$A308,'Investment Strategies'!$C:$P,12,FALSE),
IF(AND(Investment_Strategy="Lifecycle",Investment_Strategy_Sub1="Standard"),VLOOKUP(Investment_Strategy&amp;"_"&amp;Investment_Strategy_Sub2&amp;"_"&amp;$A308,'Investment Strategies'!$AJ:$AV,11,FALSE),
IF(AND(Investment_Strategy="Autopilot",Investment_Strategy_Sub1="Non-Standard"),VLOOKUP(Investment_Strategy&amp;"_"&amp;Investment_Strategy_Sub2&amp;"_"&amp;$A308,'Investment Strategies'!$T:$AF,11,FALSE),
IF(Investment_Strategy="DIY",DIY_GteeChrge_FuturePremiums,
"Error"))))))</f>
        <v>0</v>
      </c>
      <c r="V308" s="33">
        <f>IF(AV308=0,0,
IF(Investment_Strategy="DIS",VLOOKUP(Investment_Strategy&amp;"_"&amp;Investment_Strategy_Sub1&amp;"_"&amp;$A308,'Investment Strategies'!$AZ:$BP,17,FALSE),
IF(AND(Investment_Strategy="Lifecycle",Investment_Strategy_Sub1="Non-Standard"),VLOOKUP(Investment_Strategy&amp;"_"&amp;Investment_Strategy_Sub2&amp;"_"&amp;$A308,'Investment Strategies'!$C:$P,14,FALSE),
IF(AND(Investment_Strategy="Lifecycle",Investment_Strategy_Sub1="Standard"),VLOOKUP(Investment_Strategy&amp;"_"&amp;Investment_Strategy_Sub2&amp;"_"&amp;$A308,'Investment Strategies'!$AJ:$AV,13,FALSE),
IF(AND(Investment_Strategy="Autopilot",Investment_Strategy_Sub1="Non-Standard"),VLOOKUP(Investment_Strategy&amp;"_"&amp;Investment_Strategy_Sub2&amp;"_"&amp;$A308,'Investment Strategies'!$T:$AF,13,FALSE),
IF(Investment_Strategy="DIY",DIY_ExtManChrge_FuturePremiums,
"Error"))))))</f>
        <v>0</v>
      </c>
      <c r="W308" s="16">
        <f t="shared" si="188"/>
        <v>0</v>
      </c>
      <c r="X308" s="16">
        <f t="shared" si="163"/>
        <v>0</v>
      </c>
      <c r="Y308" s="16">
        <f t="shared" si="164"/>
        <v>0</v>
      </c>
      <c r="Z308" s="31">
        <f t="shared" si="165"/>
        <v>0.02</v>
      </c>
      <c r="AA308" s="16">
        <f t="shared" si="166"/>
        <v>0</v>
      </c>
      <c r="AB308" s="28">
        <f t="shared" si="189"/>
        <v>0</v>
      </c>
      <c r="AC308" s="28">
        <f>(SUM($AC$91:AC307)+SUM($X$91:X307)+X308)*T308*IF(D308=$A$91,SRP_finalmonthfactor,1)</f>
        <v>0</v>
      </c>
      <c r="AD308" s="16">
        <f t="shared" si="167"/>
        <v>0</v>
      </c>
      <c r="AE308" s="106"/>
      <c r="AF308" s="16">
        <f t="shared" si="176"/>
        <v>0</v>
      </c>
      <c r="AG308" s="16">
        <f t="shared" si="177"/>
        <v>0</v>
      </c>
      <c r="AH308" s="16">
        <f t="shared" si="178"/>
        <v>0</v>
      </c>
      <c r="AJ308" s="13">
        <f t="shared" si="199"/>
        <v>0</v>
      </c>
      <c r="AK308" s="13">
        <f t="shared" si="199"/>
        <v>0</v>
      </c>
      <c r="AL308" s="13">
        <f t="shared" si="199"/>
        <v>0</v>
      </c>
      <c r="AM308" s="13">
        <f t="shared" si="199"/>
        <v>0</v>
      </c>
      <c r="AN308" s="13">
        <f t="shared" si="199"/>
        <v>0</v>
      </c>
      <c r="AO308" s="13">
        <f t="shared" si="199"/>
        <v>1</v>
      </c>
      <c r="AP308" s="13">
        <f t="shared" si="199"/>
        <v>1</v>
      </c>
      <c r="AQ308" s="13">
        <f t="shared" si="199"/>
        <v>1</v>
      </c>
      <c r="AR308" s="13">
        <f t="shared" si="199"/>
        <v>1</v>
      </c>
      <c r="AS308" s="13">
        <f t="shared" si="199"/>
        <v>1</v>
      </c>
      <c r="AT308" s="13">
        <f t="shared" si="199"/>
        <v>1</v>
      </c>
      <c r="AU308" s="13">
        <f t="shared" si="199"/>
        <v>1</v>
      </c>
      <c r="AV308" s="13">
        <f t="shared" si="168"/>
        <v>0</v>
      </c>
      <c r="AW308" s="13">
        <f t="shared" si="169"/>
        <v>1</v>
      </c>
      <c r="AY308" s="17">
        <f t="shared" si="170"/>
        <v>218</v>
      </c>
      <c r="AZ308" s="28">
        <f t="shared" si="179"/>
        <v>0</v>
      </c>
      <c r="BA308" s="13">
        <f t="shared" si="171"/>
        <v>0</v>
      </c>
      <c r="BB308" s="13">
        <f t="shared" si="172"/>
        <v>0</v>
      </c>
      <c r="BC308" s="28">
        <f t="shared" si="180"/>
        <v>0</v>
      </c>
      <c r="BD308" s="28">
        <f t="shared" si="181"/>
        <v>0</v>
      </c>
      <c r="BF308" s="248">
        <f t="shared" si="182"/>
        <v>993869.29442638322</v>
      </c>
      <c r="BG308" s="36">
        <f t="shared" si="190"/>
        <v>0</v>
      </c>
      <c r="BH308" s="36">
        <f t="shared" si="191"/>
        <v>829441.13562612492</v>
      </c>
      <c r="BI308" s="249">
        <f t="shared" si="192"/>
        <v>0</v>
      </c>
      <c r="BJ308" s="246">
        <f t="shared" si="193"/>
        <v>0</v>
      </c>
      <c r="BK308" s="246">
        <f t="shared" si="173"/>
        <v>7.531116566323881E-4</v>
      </c>
      <c r="BL308" s="246">
        <f t="shared" si="194"/>
        <v>0</v>
      </c>
      <c r="BM308" s="246">
        <f t="shared" si="195"/>
        <v>7.531116566323881E-4</v>
      </c>
      <c r="BN308" s="36">
        <f t="shared" si="183"/>
        <v>624.66178773044021</v>
      </c>
      <c r="BO308" s="36">
        <f t="shared" si="196"/>
        <v>0</v>
      </c>
      <c r="BP308" s="36">
        <f t="shared" si="197"/>
        <v>828816.47383839451</v>
      </c>
    </row>
    <row r="309" spans="1:68">
      <c r="A309" s="32">
        <f t="shared" si="184"/>
        <v>-134</v>
      </c>
      <c r="B309" s="32">
        <f t="shared" si="174"/>
        <v>71</v>
      </c>
      <c r="C309" s="32">
        <f t="shared" si="185"/>
        <v>19</v>
      </c>
      <c r="D309" s="32">
        <f t="shared" si="186"/>
        <v>219</v>
      </c>
      <c r="E309" s="74">
        <f>MIN(IF(AV309=0,0,
IF(Investment_Strategy="DIS",VLOOKUP(Investment_Strategy&amp;"_"&amp;Investment_Strategy_Sub1&amp;"_"&amp;$A309,'Investment Strategies'!$AZ:$BP,12,FALSE),
IF(AND(Investment_Strategy="Lifecycle",Investment_Strategy_Sub1="Non-Standard"),VLOOKUP(Investment_Strategy&amp;"_"&amp;Investment_Strategy_Sub2&amp;"_"&amp;$A309,'Investment Strategies'!$C:$P,9,FALSE),
IF(AND(Investment_Strategy="Lifecycle",Investment_Strategy_Sub1="Standard"),VLOOKUP(Investment_Strategy&amp;"_"&amp;Investment_Strategy_Sub2&amp;"_"&amp;$A309,'Investment Strategies'!$AJ:$AV,8,FALSE),
IF(AND(Investment_Strategy="Autopilot",Investment_Strategy_Sub1="Non-Standard"),VLOOKUP(Investment_Strategy&amp;"_"&amp;Investment_Strategy_Sub2&amp;"_"&amp;$A309,'Investment Strategies'!$T:$AF,8,FALSE),
IF(Investment_Strategy ="DIY",DIY_RateOfReturn_CurrentFunds,
"Error")))))),Max_InvReturn)</f>
        <v>0</v>
      </c>
      <c r="F309" s="62">
        <f>IF(AV309=0,0,
IF(Investment_Strategy="DIS",VLOOKUP(Investment_Strategy&amp;"_"&amp;Investment_Strategy_Sub1&amp;"_"&amp;$A309,'Investment Strategies'!$AZ:$BP,15,FALSE),
IF(AND(Investment_Strategy="Lifecycle",Investment_Strategy_Sub1="Non-Standard"),VLOOKUP(Investment_Strategy&amp;"_"&amp;Investment_Strategy_Sub2&amp;"_"&amp;$A309,'Investment Strategies'!$C:$P,12,FALSE),
IF(AND(Investment_Strategy="Lifecycle",Investment_Strategy_Sub1="Standard"),VLOOKUP(Investment_Strategy&amp;"_"&amp;Investment_Strategy_Sub2&amp;"_"&amp;$A309,'Investment Strategies'!$AJ:$AV,11,FALSE),
IF(AND(Investment_Strategy="Autopilot",Investment_Strategy_Sub1="Non-Standard"),VLOOKUP(Investment_Strategy&amp;"_"&amp;Investment_Strategy_Sub2&amp;"_"&amp;$A309,'Investment Strategies'!$T:$AF,11,FALSE),
IF(Investment_Strategy="DIY",DIY_GteeChrge_CurrentFunds,
"Error"))))))</f>
        <v>0</v>
      </c>
      <c r="G309" s="33">
        <f>IF(AV309=0,0,
IF(Investment_Strategy="DIS",VLOOKUP(Investment_Strategy&amp;"_"&amp;Investment_Strategy_Sub1&amp;"_"&amp;$A309,'Investment Strategies'!$AZ:$BP,17,FALSE),
IF(AND(Investment_Strategy="Lifecycle",Investment_Strategy_Sub1="Non-Standard"),VLOOKUP(Investment_Strategy&amp;"_"&amp;Investment_Strategy_Sub2&amp;"_"&amp;$A309,'Investment Strategies'!$C:$P,14,FALSE),
IF(AND(Investment_Strategy="Lifecycle",Investment_Strategy_Sub1="Standard"),VLOOKUP(Investment_Strategy&amp;"_"&amp;Investment_Strategy_Sub2&amp;"_"&amp;$A309,'Investment Strategies'!$AJ:$AV,13,FALSE),
IF(AND(Investment_Strategy="Autopilot",Investment_Strategy_Sub1="Non-Standard"),VLOOKUP(Investment_Strategy&amp;"_"&amp;Investment_Strategy_Sub2&amp;"_"&amp;$A309,'Investment Strategies'!$T:$AF,13,FALSE),
IF(Investment_Strategy="DIY",DIY_ExtManChrge_CurrentFunds,
"Error"))))))</f>
        <v>0</v>
      </c>
      <c r="H309" s="16">
        <f t="shared" si="175"/>
        <v>0</v>
      </c>
      <c r="I309" s="16">
        <f t="shared" si="159"/>
        <v>0</v>
      </c>
      <c r="J309" s="16">
        <f t="shared" si="160"/>
        <v>0</v>
      </c>
      <c r="K309" s="16">
        <f>(Opening_Fund_Value+SUM(K$91:K308))*E309*IF(D309=$A$91,SRP_finalmonthfactor,1)</f>
        <v>0</v>
      </c>
      <c r="L309" s="74">
        <f>MIN(IF($AV309=0,0,
IF(Investment_Strategy="DIS",VLOOKUP(Investment_Strategy&amp;"_"&amp;Investment_Strategy_Sub1&amp;"_"&amp;$A309,'Investment Strategies'!$AZ:$BP,12,FALSE),
IF(AND(Investment_Strategy="Lifecycle",Investment_Strategy_Sub1="Non-Standard"),VLOOKUP(Investment_Strategy&amp;"_"&amp;Investment_Strategy_Sub2&amp;"_"&amp;$A309,'Investment Strategies'!$C:$P,9,FALSE),
IF(AND(Investment_Strategy="Lifecycle",Investment_Strategy_Sub1="Standard"),VLOOKUP(Investment_Strategy&amp;"_"&amp;Investment_Strategy_Sub2&amp;"_"&amp;$A309,'Investment Strategies'!$AJ:$AV,8,FALSE),
IF(AND(Investment_Strategy="Autopilot",Investment_Strategy_Sub1="Non-Standard"),VLOOKUP(Investment_Strategy&amp;"_"&amp;Investment_Strategy_Sub2&amp;"_"&amp;$A309,'Investment Strategies'!$T:$AF,8,FALSE),
IF(Investment_Strategy ="DIY",DIY_RateofReturn_SP,
"Error")))))),Max_InvReturn)</f>
        <v>0</v>
      </c>
      <c r="M309" s="62">
        <f>IF($AV309=0,0,
IF(Investment_Strategy="DIS",VLOOKUP(Investment_Strategy&amp;"_"&amp;Investment_Strategy_Sub1&amp;"_"&amp;$A309,'Investment Strategies'!$AZ:$BP,15,FALSE),
IF(AND(Investment_Strategy="Lifecycle",Investment_Strategy_Sub1="Non-Standard"),VLOOKUP(Investment_Strategy&amp;"_"&amp;Investment_Strategy_Sub2&amp;"_"&amp;$A309,'Investment Strategies'!$C:$P,12,FALSE),
IF(AND(Investment_Strategy="Lifecycle",Investment_Strategy_Sub1="Standard"),VLOOKUP(Investment_Strategy&amp;"_"&amp;Investment_Strategy_Sub2&amp;"_"&amp;$A309,'Investment Strategies'!$AJ:$AV,11,FALSE),
IF(AND(Investment_Strategy="Autopilot",Investment_Strategy_Sub1="Non-Standard"),VLOOKUP(Investment_Strategy&amp;"_"&amp;Investment_Strategy_Sub2&amp;"_"&amp;$A309,'Investment Strategies'!$T:$AF,11,FALSE),
IF(Investment_Strategy="DIY",DIY_GteeChrge_SP,
"Error"))))))</f>
        <v>0</v>
      </c>
      <c r="N309" s="33">
        <f>IF($AV309=0,0,
IF(Investment_Strategy="DIS",VLOOKUP(Investment_Strategy&amp;"_"&amp;Investment_Strategy_Sub1&amp;"_"&amp;$A309,'Investment Strategies'!$AZ:$BP,17,FALSE),
IF(AND(Investment_Strategy="Lifecycle",Investment_Strategy_Sub1="Non-Standard"),VLOOKUP(Investment_Strategy&amp;"_"&amp;Investment_Strategy_Sub2&amp;"_"&amp;$A309,'Investment Strategies'!$C:$P,14,FALSE),
IF(AND(Investment_Strategy="Lifecycle",Investment_Strategy_Sub1="Standard"),VLOOKUP(Investment_Strategy&amp;"_"&amp;Investment_Strategy_Sub2&amp;"_"&amp;$A309,'Investment Strategies'!$AJ:$AV,13,FALSE),
IF(AND(Investment_Strategy="Autopilot",Investment_Strategy_Sub1="Non-Standard"),VLOOKUP(Investment_Strategy&amp;"_"&amp;Investment_Strategy_Sub2&amp;"_"&amp;$A309,'Investment Strategies'!$T:$AF,13,FALSE),
IF(Investment_Strategy="DIY",DIY_ExtManChrge_SP,
"Error"))))))</f>
        <v>0</v>
      </c>
      <c r="O309" s="16">
        <f t="shared" si="187"/>
        <v>0</v>
      </c>
      <c r="Q309" s="16">
        <f t="shared" si="161"/>
        <v>0</v>
      </c>
      <c r="R309" s="16">
        <f t="shared" si="162"/>
        <v>0</v>
      </c>
      <c r="S309" s="16">
        <f>(SRP_SP+SUM(S$91:S308))*L309*IF(D309=$A$91,SRP_finalmonthfactor,1)</f>
        <v>0</v>
      </c>
      <c r="T309" s="74">
        <f>MIN(IF($AV309=0,0,
IF(Investment_Strategy="DIS",VLOOKUP(Investment_Strategy&amp;"_"&amp;Investment_Strategy_Sub1&amp;"_"&amp;$A309,'Investment Strategies'!$AZ:$BP,12,FALSE),
IF(AND(Investment_Strategy="Lifecycle",Investment_Strategy_Sub1="Non-Standard"),VLOOKUP(Investment_Strategy&amp;"_"&amp;Investment_Strategy_Sub2&amp;"_"&amp;$A309,'Investment Strategies'!$C:$P,9,FALSE),
IF(AND(Investment_Strategy="Lifecycle",Investment_Strategy_Sub1="Standard"),VLOOKUP(Investment_Strategy&amp;"_"&amp;Investment_Strategy_Sub2&amp;"_"&amp;$A309,'Investment Strategies'!$AJ:$AV,8,FALSE),
IF(AND(Investment_Strategy="Autopilot",Investment_Strategy_Sub1="Non-Standard"),VLOOKUP(Investment_Strategy&amp;"_"&amp;Investment_Strategy_Sub2&amp;"_"&amp;$A309,'Investment Strategies'!$T:$AF,8,FALSE),
IF(Investment_Strategy ="DIY",DIY_RateOfReturn_FuturePremiums,
"Error")))))),Max_InvReturn)</f>
        <v>0</v>
      </c>
      <c r="U309" s="62">
        <f>IF($AV309=0,0,
IF(Investment_Strategy="DIS",VLOOKUP(Investment_Strategy&amp;"_"&amp;Investment_Strategy_Sub1&amp;"_"&amp;$A309,'Investment Strategies'!$AZ:$BP,15,FALSE),
IF(AND(Investment_Strategy="Lifecycle",Investment_Strategy_Sub1="Non-Standard"),VLOOKUP(Investment_Strategy&amp;"_"&amp;Investment_Strategy_Sub2&amp;"_"&amp;$A309,'Investment Strategies'!$C:$P,12,FALSE),
IF(AND(Investment_Strategy="Lifecycle",Investment_Strategy_Sub1="Standard"),VLOOKUP(Investment_Strategy&amp;"_"&amp;Investment_Strategy_Sub2&amp;"_"&amp;$A309,'Investment Strategies'!$AJ:$AV,11,FALSE),
IF(AND(Investment_Strategy="Autopilot",Investment_Strategy_Sub1="Non-Standard"),VLOOKUP(Investment_Strategy&amp;"_"&amp;Investment_Strategy_Sub2&amp;"_"&amp;$A309,'Investment Strategies'!$T:$AF,11,FALSE),
IF(Investment_Strategy="DIY",DIY_GteeChrge_FuturePremiums,
"Error"))))))</f>
        <v>0</v>
      </c>
      <c r="V309" s="33">
        <f>IF(AV309=0,0,
IF(Investment_Strategy="DIS",VLOOKUP(Investment_Strategy&amp;"_"&amp;Investment_Strategy_Sub1&amp;"_"&amp;$A309,'Investment Strategies'!$AZ:$BP,17,FALSE),
IF(AND(Investment_Strategy="Lifecycle",Investment_Strategy_Sub1="Non-Standard"),VLOOKUP(Investment_Strategy&amp;"_"&amp;Investment_Strategy_Sub2&amp;"_"&amp;$A309,'Investment Strategies'!$C:$P,14,FALSE),
IF(AND(Investment_Strategy="Lifecycle",Investment_Strategy_Sub1="Standard"),VLOOKUP(Investment_Strategy&amp;"_"&amp;Investment_Strategy_Sub2&amp;"_"&amp;$A309,'Investment Strategies'!$AJ:$AV,13,FALSE),
IF(AND(Investment_Strategy="Autopilot",Investment_Strategy_Sub1="Non-Standard"),VLOOKUP(Investment_Strategy&amp;"_"&amp;Investment_Strategy_Sub2&amp;"_"&amp;$A309,'Investment Strategies'!$T:$AF,13,FALSE),
IF(Investment_Strategy="DIY",DIY_ExtManChrge_FuturePremiums,
"Error"))))))</f>
        <v>0</v>
      </c>
      <c r="W309" s="16">
        <f t="shared" si="188"/>
        <v>0</v>
      </c>
      <c r="X309" s="16">
        <f t="shared" si="163"/>
        <v>0</v>
      </c>
      <c r="Y309" s="16">
        <f t="shared" si="164"/>
        <v>0</v>
      </c>
      <c r="Z309" s="31">
        <f t="shared" si="165"/>
        <v>0.02</v>
      </c>
      <c r="AA309" s="16">
        <f t="shared" si="166"/>
        <v>0</v>
      </c>
      <c r="AB309" s="28">
        <f t="shared" si="189"/>
        <v>0</v>
      </c>
      <c r="AC309" s="28">
        <f>(SUM($AC$91:AC308)+SUM($X$91:X308)+X309)*T309*IF(D309=$A$91,SRP_finalmonthfactor,1)</f>
        <v>0</v>
      </c>
      <c r="AD309" s="16">
        <f t="shared" si="167"/>
        <v>0</v>
      </c>
      <c r="AE309" s="106"/>
      <c r="AF309" s="16">
        <f t="shared" si="176"/>
        <v>0</v>
      </c>
      <c r="AG309" s="16">
        <f t="shared" si="177"/>
        <v>0</v>
      </c>
      <c r="AH309" s="16">
        <f t="shared" si="178"/>
        <v>0</v>
      </c>
      <c r="AJ309" s="13">
        <f t="shared" si="199"/>
        <v>0</v>
      </c>
      <c r="AK309" s="13">
        <f t="shared" si="199"/>
        <v>0</v>
      </c>
      <c r="AL309" s="13">
        <f t="shared" si="199"/>
        <v>0</v>
      </c>
      <c r="AM309" s="13">
        <f t="shared" si="199"/>
        <v>0</v>
      </c>
      <c r="AN309" s="13">
        <f t="shared" si="199"/>
        <v>0</v>
      </c>
      <c r="AO309" s="13">
        <f t="shared" si="199"/>
        <v>1</v>
      </c>
      <c r="AP309" s="13">
        <f t="shared" si="199"/>
        <v>1</v>
      </c>
      <c r="AQ309" s="13">
        <f t="shared" si="199"/>
        <v>1</v>
      </c>
      <c r="AR309" s="13">
        <f t="shared" si="199"/>
        <v>1</v>
      </c>
      <c r="AS309" s="13">
        <f t="shared" si="199"/>
        <v>1</v>
      </c>
      <c r="AT309" s="13">
        <f t="shared" si="199"/>
        <v>1</v>
      </c>
      <c r="AU309" s="13">
        <f t="shared" si="199"/>
        <v>1</v>
      </c>
      <c r="AV309" s="13">
        <f t="shared" si="168"/>
        <v>0</v>
      </c>
      <c r="AW309" s="13">
        <f t="shared" si="169"/>
        <v>1</v>
      </c>
      <c r="AY309" s="17">
        <f t="shared" si="170"/>
        <v>219</v>
      </c>
      <c r="AZ309" s="28">
        <f t="shared" si="179"/>
        <v>0</v>
      </c>
      <c r="BA309" s="13">
        <f t="shared" si="171"/>
        <v>0</v>
      </c>
      <c r="BB309" s="13">
        <f t="shared" si="172"/>
        <v>0</v>
      </c>
      <c r="BC309" s="28">
        <f t="shared" si="180"/>
        <v>0</v>
      </c>
      <c r="BD309" s="28">
        <f t="shared" si="181"/>
        <v>0</v>
      </c>
      <c r="BF309" s="248">
        <f t="shared" si="182"/>
        <v>993869.29442638322</v>
      </c>
      <c r="BG309" s="36">
        <f t="shared" si="190"/>
        <v>0</v>
      </c>
      <c r="BH309" s="36">
        <f t="shared" si="191"/>
        <v>828816.47383839451</v>
      </c>
      <c r="BI309" s="249">
        <f t="shared" si="192"/>
        <v>0</v>
      </c>
      <c r="BJ309" s="246">
        <f t="shared" si="193"/>
        <v>0</v>
      </c>
      <c r="BK309" s="246">
        <f t="shared" si="173"/>
        <v>7.531116566323881E-4</v>
      </c>
      <c r="BL309" s="246">
        <f t="shared" si="194"/>
        <v>0</v>
      </c>
      <c r="BM309" s="246">
        <f t="shared" si="195"/>
        <v>7.531116566323881E-4</v>
      </c>
      <c r="BN309" s="36">
        <f t="shared" si="183"/>
        <v>624.19134765664762</v>
      </c>
      <c r="BO309" s="36">
        <f t="shared" si="196"/>
        <v>0</v>
      </c>
      <c r="BP309" s="36">
        <f t="shared" si="197"/>
        <v>828192.28249073785</v>
      </c>
    </row>
    <row r="310" spans="1:68">
      <c r="A310" s="32">
        <f t="shared" si="184"/>
        <v>-135</v>
      </c>
      <c r="B310" s="32">
        <f t="shared" si="174"/>
        <v>71</v>
      </c>
      <c r="C310" s="32">
        <f t="shared" si="185"/>
        <v>19</v>
      </c>
      <c r="D310" s="32">
        <f t="shared" si="186"/>
        <v>220</v>
      </c>
      <c r="E310" s="74">
        <f>MIN(IF(AV310=0,0,
IF(Investment_Strategy="DIS",VLOOKUP(Investment_Strategy&amp;"_"&amp;Investment_Strategy_Sub1&amp;"_"&amp;$A310,'Investment Strategies'!$AZ:$BP,12,FALSE),
IF(AND(Investment_Strategy="Lifecycle",Investment_Strategy_Sub1="Non-Standard"),VLOOKUP(Investment_Strategy&amp;"_"&amp;Investment_Strategy_Sub2&amp;"_"&amp;$A310,'Investment Strategies'!$C:$P,9,FALSE),
IF(AND(Investment_Strategy="Lifecycle",Investment_Strategy_Sub1="Standard"),VLOOKUP(Investment_Strategy&amp;"_"&amp;Investment_Strategy_Sub2&amp;"_"&amp;$A310,'Investment Strategies'!$AJ:$AV,8,FALSE),
IF(AND(Investment_Strategy="Autopilot",Investment_Strategy_Sub1="Non-Standard"),VLOOKUP(Investment_Strategy&amp;"_"&amp;Investment_Strategy_Sub2&amp;"_"&amp;$A310,'Investment Strategies'!$T:$AF,8,FALSE),
IF(Investment_Strategy ="DIY",DIY_RateOfReturn_CurrentFunds,
"Error")))))),Max_InvReturn)</f>
        <v>0</v>
      </c>
      <c r="F310" s="62">
        <f>IF(AV310=0,0,
IF(Investment_Strategy="DIS",VLOOKUP(Investment_Strategy&amp;"_"&amp;Investment_Strategy_Sub1&amp;"_"&amp;$A310,'Investment Strategies'!$AZ:$BP,15,FALSE),
IF(AND(Investment_Strategy="Lifecycle",Investment_Strategy_Sub1="Non-Standard"),VLOOKUP(Investment_Strategy&amp;"_"&amp;Investment_Strategy_Sub2&amp;"_"&amp;$A310,'Investment Strategies'!$C:$P,12,FALSE),
IF(AND(Investment_Strategy="Lifecycle",Investment_Strategy_Sub1="Standard"),VLOOKUP(Investment_Strategy&amp;"_"&amp;Investment_Strategy_Sub2&amp;"_"&amp;$A310,'Investment Strategies'!$AJ:$AV,11,FALSE),
IF(AND(Investment_Strategy="Autopilot",Investment_Strategy_Sub1="Non-Standard"),VLOOKUP(Investment_Strategy&amp;"_"&amp;Investment_Strategy_Sub2&amp;"_"&amp;$A310,'Investment Strategies'!$T:$AF,11,FALSE),
IF(Investment_Strategy="DIY",DIY_GteeChrge_CurrentFunds,
"Error"))))))</f>
        <v>0</v>
      </c>
      <c r="G310" s="33">
        <f>IF(AV310=0,0,
IF(Investment_Strategy="DIS",VLOOKUP(Investment_Strategy&amp;"_"&amp;Investment_Strategy_Sub1&amp;"_"&amp;$A310,'Investment Strategies'!$AZ:$BP,17,FALSE),
IF(AND(Investment_Strategy="Lifecycle",Investment_Strategy_Sub1="Non-Standard"),VLOOKUP(Investment_Strategy&amp;"_"&amp;Investment_Strategy_Sub2&amp;"_"&amp;$A310,'Investment Strategies'!$C:$P,14,FALSE),
IF(AND(Investment_Strategy="Lifecycle",Investment_Strategy_Sub1="Standard"),VLOOKUP(Investment_Strategy&amp;"_"&amp;Investment_Strategy_Sub2&amp;"_"&amp;$A310,'Investment Strategies'!$AJ:$AV,13,FALSE),
IF(AND(Investment_Strategy="Autopilot",Investment_Strategy_Sub1="Non-Standard"),VLOOKUP(Investment_Strategy&amp;"_"&amp;Investment_Strategy_Sub2&amp;"_"&amp;$A310,'Investment Strategies'!$T:$AF,13,FALSE),
IF(Investment_Strategy="DIY",DIY_ExtManChrge_CurrentFunds,
"Error"))))))</f>
        <v>0</v>
      </c>
      <c r="H310" s="16">
        <f t="shared" si="175"/>
        <v>0</v>
      </c>
      <c r="I310" s="16">
        <f t="shared" si="159"/>
        <v>0</v>
      </c>
      <c r="J310" s="16">
        <f t="shared" si="160"/>
        <v>0</v>
      </c>
      <c r="K310" s="16">
        <f>(Opening_Fund_Value+SUM(K$91:K309))*E310*IF(D310=$A$91,SRP_finalmonthfactor,1)</f>
        <v>0</v>
      </c>
      <c r="L310" s="74">
        <f>MIN(IF($AV310=0,0,
IF(Investment_Strategy="DIS",VLOOKUP(Investment_Strategy&amp;"_"&amp;Investment_Strategy_Sub1&amp;"_"&amp;$A310,'Investment Strategies'!$AZ:$BP,12,FALSE),
IF(AND(Investment_Strategy="Lifecycle",Investment_Strategy_Sub1="Non-Standard"),VLOOKUP(Investment_Strategy&amp;"_"&amp;Investment_Strategy_Sub2&amp;"_"&amp;$A310,'Investment Strategies'!$C:$P,9,FALSE),
IF(AND(Investment_Strategy="Lifecycle",Investment_Strategy_Sub1="Standard"),VLOOKUP(Investment_Strategy&amp;"_"&amp;Investment_Strategy_Sub2&amp;"_"&amp;$A310,'Investment Strategies'!$AJ:$AV,8,FALSE),
IF(AND(Investment_Strategy="Autopilot",Investment_Strategy_Sub1="Non-Standard"),VLOOKUP(Investment_Strategy&amp;"_"&amp;Investment_Strategy_Sub2&amp;"_"&amp;$A310,'Investment Strategies'!$T:$AF,8,FALSE),
IF(Investment_Strategy ="DIY",DIY_RateofReturn_SP,
"Error")))))),Max_InvReturn)</f>
        <v>0</v>
      </c>
      <c r="M310" s="62">
        <f>IF($AV310=0,0,
IF(Investment_Strategy="DIS",VLOOKUP(Investment_Strategy&amp;"_"&amp;Investment_Strategy_Sub1&amp;"_"&amp;$A310,'Investment Strategies'!$AZ:$BP,15,FALSE),
IF(AND(Investment_Strategy="Lifecycle",Investment_Strategy_Sub1="Non-Standard"),VLOOKUP(Investment_Strategy&amp;"_"&amp;Investment_Strategy_Sub2&amp;"_"&amp;$A310,'Investment Strategies'!$C:$P,12,FALSE),
IF(AND(Investment_Strategy="Lifecycle",Investment_Strategy_Sub1="Standard"),VLOOKUP(Investment_Strategy&amp;"_"&amp;Investment_Strategy_Sub2&amp;"_"&amp;$A310,'Investment Strategies'!$AJ:$AV,11,FALSE),
IF(AND(Investment_Strategy="Autopilot",Investment_Strategy_Sub1="Non-Standard"),VLOOKUP(Investment_Strategy&amp;"_"&amp;Investment_Strategy_Sub2&amp;"_"&amp;$A310,'Investment Strategies'!$T:$AF,11,FALSE),
IF(Investment_Strategy="DIY",DIY_GteeChrge_SP,
"Error"))))))</f>
        <v>0</v>
      </c>
      <c r="N310" s="33">
        <f>IF($AV310=0,0,
IF(Investment_Strategy="DIS",VLOOKUP(Investment_Strategy&amp;"_"&amp;Investment_Strategy_Sub1&amp;"_"&amp;$A310,'Investment Strategies'!$AZ:$BP,17,FALSE),
IF(AND(Investment_Strategy="Lifecycle",Investment_Strategy_Sub1="Non-Standard"),VLOOKUP(Investment_Strategy&amp;"_"&amp;Investment_Strategy_Sub2&amp;"_"&amp;$A310,'Investment Strategies'!$C:$P,14,FALSE),
IF(AND(Investment_Strategy="Lifecycle",Investment_Strategy_Sub1="Standard"),VLOOKUP(Investment_Strategy&amp;"_"&amp;Investment_Strategy_Sub2&amp;"_"&amp;$A310,'Investment Strategies'!$AJ:$AV,13,FALSE),
IF(AND(Investment_Strategy="Autopilot",Investment_Strategy_Sub1="Non-Standard"),VLOOKUP(Investment_Strategy&amp;"_"&amp;Investment_Strategy_Sub2&amp;"_"&amp;$A310,'Investment Strategies'!$T:$AF,13,FALSE),
IF(Investment_Strategy="DIY",DIY_ExtManChrge_SP,
"Error"))))))</f>
        <v>0</v>
      </c>
      <c r="O310" s="16">
        <f t="shared" si="187"/>
        <v>0</v>
      </c>
      <c r="Q310" s="16">
        <f t="shared" si="161"/>
        <v>0</v>
      </c>
      <c r="R310" s="16">
        <f t="shared" si="162"/>
        <v>0</v>
      </c>
      <c r="S310" s="16">
        <f>(SRP_SP+SUM(S$91:S309))*L310*IF(D310=$A$91,SRP_finalmonthfactor,1)</f>
        <v>0</v>
      </c>
      <c r="T310" s="74">
        <f>MIN(IF($AV310=0,0,
IF(Investment_Strategy="DIS",VLOOKUP(Investment_Strategy&amp;"_"&amp;Investment_Strategy_Sub1&amp;"_"&amp;$A310,'Investment Strategies'!$AZ:$BP,12,FALSE),
IF(AND(Investment_Strategy="Lifecycle",Investment_Strategy_Sub1="Non-Standard"),VLOOKUP(Investment_Strategy&amp;"_"&amp;Investment_Strategy_Sub2&amp;"_"&amp;$A310,'Investment Strategies'!$C:$P,9,FALSE),
IF(AND(Investment_Strategy="Lifecycle",Investment_Strategy_Sub1="Standard"),VLOOKUP(Investment_Strategy&amp;"_"&amp;Investment_Strategy_Sub2&amp;"_"&amp;$A310,'Investment Strategies'!$AJ:$AV,8,FALSE),
IF(AND(Investment_Strategy="Autopilot",Investment_Strategy_Sub1="Non-Standard"),VLOOKUP(Investment_Strategy&amp;"_"&amp;Investment_Strategy_Sub2&amp;"_"&amp;$A310,'Investment Strategies'!$T:$AF,8,FALSE),
IF(Investment_Strategy ="DIY",DIY_RateOfReturn_FuturePremiums,
"Error")))))),Max_InvReturn)</f>
        <v>0</v>
      </c>
      <c r="U310" s="62">
        <f>IF($AV310=0,0,
IF(Investment_Strategy="DIS",VLOOKUP(Investment_Strategy&amp;"_"&amp;Investment_Strategy_Sub1&amp;"_"&amp;$A310,'Investment Strategies'!$AZ:$BP,15,FALSE),
IF(AND(Investment_Strategy="Lifecycle",Investment_Strategy_Sub1="Non-Standard"),VLOOKUP(Investment_Strategy&amp;"_"&amp;Investment_Strategy_Sub2&amp;"_"&amp;$A310,'Investment Strategies'!$C:$P,12,FALSE),
IF(AND(Investment_Strategy="Lifecycle",Investment_Strategy_Sub1="Standard"),VLOOKUP(Investment_Strategy&amp;"_"&amp;Investment_Strategy_Sub2&amp;"_"&amp;$A310,'Investment Strategies'!$AJ:$AV,11,FALSE),
IF(AND(Investment_Strategy="Autopilot",Investment_Strategy_Sub1="Non-Standard"),VLOOKUP(Investment_Strategy&amp;"_"&amp;Investment_Strategy_Sub2&amp;"_"&amp;$A310,'Investment Strategies'!$T:$AF,11,FALSE),
IF(Investment_Strategy="DIY",DIY_GteeChrge_FuturePremiums,
"Error"))))))</f>
        <v>0</v>
      </c>
      <c r="V310" s="33">
        <f>IF(AV310=0,0,
IF(Investment_Strategy="DIS",VLOOKUP(Investment_Strategy&amp;"_"&amp;Investment_Strategy_Sub1&amp;"_"&amp;$A310,'Investment Strategies'!$AZ:$BP,17,FALSE),
IF(AND(Investment_Strategy="Lifecycle",Investment_Strategy_Sub1="Non-Standard"),VLOOKUP(Investment_Strategy&amp;"_"&amp;Investment_Strategy_Sub2&amp;"_"&amp;$A310,'Investment Strategies'!$C:$P,14,FALSE),
IF(AND(Investment_Strategy="Lifecycle",Investment_Strategy_Sub1="Standard"),VLOOKUP(Investment_Strategy&amp;"_"&amp;Investment_Strategy_Sub2&amp;"_"&amp;$A310,'Investment Strategies'!$AJ:$AV,13,FALSE),
IF(AND(Investment_Strategy="Autopilot",Investment_Strategy_Sub1="Non-Standard"),VLOOKUP(Investment_Strategy&amp;"_"&amp;Investment_Strategy_Sub2&amp;"_"&amp;$A310,'Investment Strategies'!$T:$AF,13,FALSE),
IF(Investment_Strategy="DIY",DIY_ExtManChrge_FuturePremiums,
"Error"))))))</f>
        <v>0</v>
      </c>
      <c r="W310" s="16">
        <f t="shared" si="188"/>
        <v>0</v>
      </c>
      <c r="X310" s="16">
        <f t="shared" si="163"/>
        <v>0</v>
      </c>
      <c r="Y310" s="16">
        <f t="shared" si="164"/>
        <v>0</v>
      </c>
      <c r="Z310" s="31">
        <f t="shared" si="165"/>
        <v>0.02</v>
      </c>
      <c r="AA310" s="16">
        <f t="shared" si="166"/>
        <v>0</v>
      </c>
      <c r="AB310" s="28">
        <f t="shared" si="189"/>
        <v>0</v>
      </c>
      <c r="AC310" s="28">
        <f>(SUM($AC$91:AC309)+SUM($X$91:X309)+X310)*T310*IF(D310=$A$91,SRP_finalmonthfactor,1)</f>
        <v>0</v>
      </c>
      <c r="AD310" s="16">
        <f t="shared" si="167"/>
        <v>0</v>
      </c>
      <c r="AE310" s="106"/>
      <c r="AF310" s="16">
        <f t="shared" si="176"/>
        <v>0</v>
      </c>
      <c r="AG310" s="16">
        <f t="shared" si="177"/>
        <v>0</v>
      </c>
      <c r="AH310" s="16">
        <f t="shared" si="178"/>
        <v>0</v>
      </c>
      <c r="AJ310" s="13">
        <f t="shared" si="199"/>
        <v>0</v>
      </c>
      <c r="AK310" s="13">
        <f t="shared" si="199"/>
        <v>0</v>
      </c>
      <c r="AL310" s="13">
        <f t="shared" si="199"/>
        <v>0</v>
      </c>
      <c r="AM310" s="13">
        <f t="shared" si="199"/>
        <v>0</v>
      </c>
      <c r="AN310" s="13">
        <f t="shared" si="199"/>
        <v>0</v>
      </c>
      <c r="AO310" s="13">
        <f t="shared" si="199"/>
        <v>1</v>
      </c>
      <c r="AP310" s="13">
        <f t="shared" si="199"/>
        <v>1</v>
      </c>
      <c r="AQ310" s="13">
        <f t="shared" si="199"/>
        <v>1</v>
      </c>
      <c r="AR310" s="13">
        <f t="shared" si="199"/>
        <v>1</v>
      </c>
      <c r="AS310" s="13">
        <f t="shared" si="199"/>
        <v>1</v>
      </c>
      <c r="AT310" s="13">
        <f t="shared" si="199"/>
        <v>1</v>
      </c>
      <c r="AU310" s="13">
        <f t="shared" si="199"/>
        <v>1</v>
      </c>
      <c r="AV310" s="13">
        <f t="shared" si="168"/>
        <v>0</v>
      </c>
      <c r="AW310" s="13">
        <f t="shared" si="169"/>
        <v>1</v>
      </c>
      <c r="AY310" s="17">
        <f t="shared" si="170"/>
        <v>220</v>
      </c>
      <c r="AZ310" s="28">
        <f t="shared" si="179"/>
        <v>0</v>
      </c>
      <c r="BA310" s="13">
        <f t="shared" si="171"/>
        <v>0</v>
      </c>
      <c r="BB310" s="13">
        <f t="shared" si="172"/>
        <v>0</v>
      </c>
      <c r="BC310" s="28">
        <f t="shared" si="180"/>
        <v>0</v>
      </c>
      <c r="BD310" s="28">
        <f t="shared" si="181"/>
        <v>0</v>
      </c>
      <c r="BF310" s="248">
        <f t="shared" si="182"/>
        <v>993869.29442638322</v>
      </c>
      <c r="BG310" s="36">
        <f t="shared" si="190"/>
        <v>0</v>
      </c>
      <c r="BH310" s="36">
        <f t="shared" si="191"/>
        <v>828192.28249073785</v>
      </c>
      <c r="BI310" s="249">
        <f t="shared" si="192"/>
        <v>0</v>
      </c>
      <c r="BJ310" s="246">
        <f t="shared" si="193"/>
        <v>0</v>
      </c>
      <c r="BK310" s="246">
        <f t="shared" si="173"/>
        <v>7.531116566323881E-4</v>
      </c>
      <c r="BL310" s="246">
        <f t="shared" si="194"/>
        <v>0</v>
      </c>
      <c r="BM310" s="246">
        <f t="shared" si="195"/>
        <v>7.531116566323881E-4</v>
      </c>
      <c r="BN310" s="36">
        <f t="shared" si="183"/>
        <v>623.72126187675838</v>
      </c>
      <c r="BO310" s="36">
        <f t="shared" si="196"/>
        <v>0</v>
      </c>
      <c r="BP310" s="36">
        <f t="shared" si="197"/>
        <v>827568.5612288611</v>
      </c>
    </row>
    <row r="311" spans="1:68">
      <c r="A311" s="32">
        <f t="shared" si="184"/>
        <v>-136</v>
      </c>
      <c r="B311" s="32">
        <f t="shared" si="174"/>
        <v>71</v>
      </c>
      <c r="C311" s="32">
        <f t="shared" si="185"/>
        <v>19</v>
      </c>
      <c r="D311" s="32">
        <f t="shared" si="186"/>
        <v>221</v>
      </c>
      <c r="E311" s="74">
        <f>MIN(IF(AV311=0,0,
IF(Investment_Strategy="DIS",VLOOKUP(Investment_Strategy&amp;"_"&amp;Investment_Strategy_Sub1&amp;"_"&amp;$A311,'Investment Strategies'!$AZ:$BP,12,FALSE),
IF(AND(Investment_Strategy="Lifecycle",Investment_Strategy_Sub1="Non-Standard"),VLOOKUP(Investment_Strategy&amp;"_"&amp;Investment_Strategy_Sub2&amp;"_"&amp;$A311,'Investment Strategies'!$C:$P,9,FALSE),
IF(AND(Investment_Strategy="Lifecycle",Investment_Strategy_Sub1="Standard"),VLOOKUP(Investment_Strategy&amp;"_"&amp;Investment_Strategy_Sub2&amp;"_"&amp;$A311,'Investment Strategies'!$AJ:$AV,8,FALSE),
IF(AND(Investment_Strategy="Autopilot",Investment_Strategy_Sub1="Non-Standard"),VLOOKUP(Investment_Strategy&amp;"_"&amp;Investment_Strategy_Sub2&amp;"_"&amp;$A311,'Investment Strategies'!$T:$AF,8,FALSE),
IF(Investment_Strategy ="DIY",DIY_RateOfReturn_CurrentFunds,
"Error")))))),Max_InvReturn)</f>
        <v>0</v>
      </c>
      <c r="F311" s="62">
        <f>IF(AV311=0,0,
IF(Investment_Strategy="DIS",VLOOKUP(Investment_Strategy&amp;"_"&amp;Investment_Strategy_Sub1&amp;"_"&amp;$A311,'Investment Strategies'!$AZ:$BP,15,FALSE),
IF(AND(Investment_Strategy="Lifecycle",Investment_Strategy_Sub1="Non-Standard"),VLOOKUP(Investment_Strategy&amp;"_"&amp;Investment_Strategy_Sub2&amp;"_"&amp;$A311,'Investment Strategies'!$C:$P,12,FALSE),
IF(AND(Investment_Strategy="Lifecycle",Investment_Strategy_Sub1="Standard"),VLOOKUP(Investment_Strategy&amp;"_"&amp;Investment_Strategy_Sub2&amp;"_"&amp;$A311,'Investment Strategies'!$AJ:$AV,11,FALSE),
IF(AND(Investment_Strategy="Autopilot",Investment_Strategy_Sub1="Non-Standard"),VLOOKUP(Investment_Strategy&amp;"_"&amp;Investment_Strategy_Sub2&amp;"_"&amp;$A311,'Investment Strategies'!$T:$AF,11,FALSE),
IF(Investment_Strategy="DIY",DIY_GteeChrge_CurrentFunds,
"Error"))))))</f>
        <v>0</v>
      </c>
      <c r="G311" s="33">
        <f>IF(AV311=0,0,
IF(Investment_Strategy="DIS",VLOOKUP(Investment_Strategy&amp;"_"&amp;Investment_Strategy_Sub1&amp;"_"&amp;$A311,'Investment Strategies'!$AZ:$BP,17,FALSE),
IF(AND(Investment_Strategy="Lifecycle",Investment_Strategy_Sub1="Non-Standard"),VLOOKUP(Investment_Strategy&amp;"_"&amp;Investment_Strategy_Sub2&amp;"_"&amp;$A311,'Investment Strategies'!$C:$P,14,FALSE),
IF(AND(Investment_Strategy="Lifecycle",Investment_Strategy_Sub1="Standard"),VLOOKUP(Investment_Strategy&amp;"_"&amp;Investment_Strategy_Sub2&amp;"_"&amp;$A311,'Investment Strategies'!$AJ:$AV,13,FALSE),
IF(AND(Investment_Strategy="Autopilot",Investment_Strategy_Sub1="Non-Standard"),VLOOKUP(Investment_Strategy&amp;"_"&amp;Investment_Strategy_Sub2&amp;"_"&amp;$A311,'Investment Strategies'!$T:$AF,13,FALSE),
IF(Investment_Strategy="DIY",DIY_ExtManChrge_CurrentFunds,
"Error"))))))</f>
        <v>0</v>
      </c>
      <c r="H311" s="16">
        <f t="shared" si="175"/>
        <v>0</v>
      </c>
      <c r="I311" s="16">
        <f t="shared" si="159"/>
        <v>0</v>
      </c>
      <c r="J311" s="16">
        <f t="shared" si="160"/>
        <v>0</v>
      </c>
      <c r="K311" s="16">
        <f>(Opening_Fund_Value+SUM(K$91:K310))*E311*IF(D311=$A$91,SRP_finalmonthfactor,1)</f>
        <v>0</v>
      </c>
      <c r="L311" s="74">
        <f>MIN(IF($AV311=0,0,
IF(Investment_Strategy="DIS",VLOOKUP(Investment_Strategy&amp;"_"&amp;Investment_Strategy_Sub1&amp;"_"&amp;$A311,'Investment Strategies'!$AZ:$BP,12,FALSE),
IF(AND(Investment_Strategy="Lifecycle",Investment_Strategy_Sub1="Non-Standard"),VLOOKUP(Investment_Strategy&amp;"_"&amp;Investment_Strategy_Sub2&amp;"_"&amp;$A311,'Investment Strategies'!$C:$P,9,FALSE),
IF(AND(Investment_Strategy="Lifecycle",Investment_Strategy_Sub1="Standard"),VLOOKUP(Investment_Strategy&amp;"_"&amp;Investment_Strategy_Sub2&amp;"_"&amp;$A311,'Investment Strategies'!$AJ:$AV,8,FALSE),
IF(AND(Investment_Strategy="Autopilot",Investment_Strategy_Sub1="Non-Standard"),VLOOKUP(Investment_Strategy&amp;"_"&amp;Investment_Strategy_Sub2&amp;"_"&amp;$A311,'Investment Strategies'!$T:$AF,8,FALSE),
IF(Investment_Strategy ="DIY",DIY_RateofReturn_SP,
"Error")))))),Max_InvReturn)</f>
        <v>0</v>
      </c>
      <c r="M311" s="62">
        <f>IF($AV311=0,0,
IF(Investment_Strategy="DIS",VLOOKUP(Investment_Strategy&amp;"_"&amp;Investment_Strategy_Sub1&amp;"_"&amp;$A311,'Investment Strategies'!$AZ:$BP,15,FALSE),
IF(AND(Investment_Strategy="Lifecycle",Investment_Strategy_Sub1="Non-Standard"),VLOOKUP(Investment_Strategy&amp;"_"&amp;Investment_Strategy_Sub2&amp;"_"&amp;$A311,'Investment Strategies'!$C:$P,12,FALSE),
IF(AND(Investment_Strategy="Lifecycle",Investment_Strategy_Sub1="Standard"),VLOOKUP(Investment_Strategy&amp;"_"&amp;Investment_Strategy_Sub2&amp;"_"&amp;$A311,'Investment Strategies'!$AJ:$AV,11,FALSE),
IF(AND(Investment_Strategy="Autopilot",Investment_Strategy_Sub1="Non-Standard"),VLOOKUP(Investment_Strategy&amp;"_"&amp;Investment_Strategy_Sub2&amp;"_"&amp;$A311,'Investment Strategies'!$T:$AF,11,FALSE),
IF(Investment_Strategy="DIY",DIY_GteeChrge_SP,
"Error"))))))</f>
        <v>0</v>
      </c>
      <c r="N311" s="33">
        <f>IF($AV311=0,0,
IF(Investment_Strategy="DIS",VLOOKUP(Investment_Strategy&amp;"_"&amp;Investment_Strategy_Sub1&amp;"_"&amp;$A311,'Investment Strategies'!$AZ:$BP,17,FALSE),
IF(AND(Investment_Strategy="Lifecycle",Investment_Strategy_Sub1="Non-Standard"),VLOOKUP(Investment_Strategy&amp;"_"&amp;Investment_Strategy_Sub2&amp;"_"&amp;$A311,'Investment Strategies'!$C:$P,14,FALSE),
IF(AND(Investment_Strategy="Lifecycle",Investment_Strategy_Sub1="Standard"),VLOOKUP(Investment_Strategy&amp;"_"&amp;Investment_Strategy_Sub2&amp;"_"&amp;$A311,'Investment Strategies'!$AJ:$AV,13,FALSE),
IF(AND(Investment_Strategy="Autopilot",Investment_Strategy_Sub1="Non-Standard"),VLOOKUP(Investment_Strategy&amp;"_"&amp;Investment_Strategy_Sub2&amp;"_"&amp;$A311,'Investment Strategies'!$T:$AF,13,FALSE),
IF(Investment_Strategy="DIY",DIY_ExtManChrge_SP,
"Error"))))))</f>
        <v>0</v>
      </c>
      <c r="O311" s="16">
        <f t="shared" si="187"/>
        <v>0</v>
      </c>
      <c r="Q311" s="16">
        <f t="shared" si="161"/>
        <v>0</v>
      </c>
      <c r="R311" s="16">
        <f t="shared" si="162"/>
        <v>0</v>
      </c>
      <c r="S311" s="16">
        <f>(SRP_SP+SUM(S$91:S310))*L311*IF(D311=$A$91,SRP_finalmonthfactor,1)</f>
        <v>0</v>
      </c>
      <c r="T311" s="74">
        <f>MIN(IF($AV311=0,0,
IF(Investment_Strategy="DIS",VLOOKUP(Investment_Strategy&amp;"_"&amp;Investment_Strategy_Sub1&amp;"_"&amp;$A311,'Investment Strategies'!$AZ:$BP,12,FALSE),
IF(AND(Investment_Strategy="Lifecycle",Investment_Strategy_Sub1="Non-Standard"),VLOOKUP(Investment_Strategy&amp;"_"&amp;Investment_Strategy_Sub2&amp;"_"&amp;$A311,'Investment Strategies'!$C:$P,9,FALSE),
IF(AND(Investment_Strategy="Lifecycle",Investment_Strategy_Sub1="Standard"),VLOOKUP(Investment_Strategy&amp;"_"&amp;Investment_Strategy_Sub2&amp;"_"&amp;$A311,'Investment Strategies'!$AJ:$AV,8,FALSE),
IF(AND(Investment_Strategy="Autopilot",Investment_Strategy_Sub1="Non-Standard"),VLOOKUP(Investment_Strategy&amp;"_"&amp;Investment_Strategy_Sub2&amp;"_"&amp;$A311,'Investment Strategies'!$T:$AF,8,FALSE),
IF(Investment_Strategy ="DIY",DIY_RateOfReturn_FuturePremiums,
"Error")))))),Max_InvReturn)</f>
        <v>0</v>
      </c>
      <c r="U311" s="62">
        <f>IF($AV311=0,0,
IF(Investment_Strategy="DIS",VLOOKUP(Investment_Strategy&amp;"_"&amp;Investment_Strategy_Sub1&amp;"_"&amp;$A311,'Investment Strategies'!$AZ:$BP,15,FALSE),
IF(AND(Investment_Strategy="Lifecycle",Investment_Strategy_Sub1="Non-Standard"),VLOOKUP(Investment_Strategy&amp;"_"&amp;Investment_Strategy_Sub2&amp;"_"&amp;$A311,'Investment Strategies'!$C:$P,12,FALSE),
IF(AND(Investment_Strategy="Lifecycle",Investment_Strategy_Sub1="Standard"),VLOOKUP(Investment_Strategy&amp;"_"&amp;Investment_Strategy_Sub2&amp;"_"&amp;$A311,'Investment Strategies'!$AJ:$AV,11,FALSE),
IF(AND(Investment_Strategy="Autopilot",Investment_Strategy_Sub1="Non-Standard"),VLOOKUP(Investment_Strategy&amp;"_"&amp;Investment_Strategy_Sub2&amp;"_"&amp;$A311,'Investment Strategies'!$T:$AF,11,FALSE),
IF(Investment_Strategy="DIY",DIY_GteeChrge_FuturePremiums,
"Error"))))))</f>
        <v>0</v>
      </c>
      <c r="V311" s="33">
        <f>IF(AV311=0,0,
IF(Investment_Strategy="DIS",VLOOKUP(Investment_Strategy&amp;"_"&amp;Investment_Strategy_Sub1&amp;"_"&amp;$A311,'Investment Strategies'!$AZ:$BP,17,FALSE),
IF(AND(Investment_Strategy="Lifecycle",Investment_Strategy_Sub1="Non-Standard"),VLOOKUP(Investment_Strategy&amp;"_"&amp;Investment_Strategy_Sub2&amp;"_"&amp;$A311,'Investment Strategies'!$C:$P,14,FALSE),
IF(AND(Investment_Strategy="Lifecycle",Investment_Strategy_Sub1="Standard"),VLOOKUP(Investment_Strategy&amp;"_"&amp;Investment_Strategy_Sub2&amp;"_"&amp;$A311,'Investment Strategies'!$AJ:$AV,13,FALSE),
IF(AND(Investment_Strategy="Autopilot",Investment_Strategy_Sub1="Non-Standard"),VLOOKUP(Investment_Strategy&amp;"_"&amp;Investment_Strategy_Sub2&amp;"_"&amp;$A311,'Investment Strategies'!$T:$AF,13,FALSE),
IF(Investment_Strategy="DIY",DIY_ExtManChrge_FuturePremiums,
"Error"))))))</f>
        <v>0</v>
      </c>
      <c r="W311" s="16">
        <f t="shared" si="188"/>
        <v>0</v>
      </c>
      <c r="X311" s="16">
        <f t="shared" si="163"/>
        <v>0</v>
      </c>
      <c r="Y311" s="16">
        <f t="shared" si="164"/>
        <v>0</v>
      </c>
      <c r="Z311" s="31">
        <f t="shared" si="165"/>
        <v>0.02</v>
      </c>
      <c r="AA311" s="16">
        <f t="shared" si="166"/>
        <v>0</v>
      </c>
      <c r="AB311" s="28">
        <f t="shared" si="189"/>
        <v>0</v>
      </c>
      <c r="AC311" s="28">
        <f>(SUM($AC$91:AC310)+SUM($X$91:X310)+X311)*T311*IF(D311=$A$91,SRP_finalmonthfactor,1)</f>
        <v>0</v>
      </c>
      <c r="AD311" s="16">
        <f t="shared" si="167"/>
        <v>0</v>
      </c>
      <c r="AE311" s="106"/>
      <c r="AF311" s="16">
        <f t="shared" si="176"/>
        <v>0</v>
      </c>
      <c r="AG311" s="16">
        <f t="shared" si="177"/>
        <v>0</v>
      </c>
      <c r="AH311" s="16">
        <f t="shared" si="178"/>
        <v>0</v>
      </c>
      <c r="AJ311" s="13">
        <f t="shared" ref="AJ311:AU320" si="200">IF($C311&lt;=AJ$90,1,0)</f>
        <v>0</v>
      </c>
      <c r="AK311" s="13">
        <f t="shared" si="200"/>
        <v>0</v>
      </c>
      <c r="AL311" s="13">
        <f t="shared" si="200"/>
        <v>0</v>
      </c>
      <c r="AM311" s="13">
        <f t="shared" si="200"/>
        <v>0</v>
      </c>
      <c r="AN311" s="13">
        <f t="shared" si="200"/>
        <v>0</v>
      </c>
      <c r="AO311" s="13">
        <f t="shared" si="200"/>
        <v>1</v>
      </c>
      <c r="AP311" s="13">
        <f t="shared" si="200"/>
        <v>1</v>
      </c>
      <c r="AQ311" s="13">
        <f t="shared" si="200"/>
        <v>1</v>
      </c>
      <c r="AR311" s="13">
        <f t="shared" si="200"/>
        <v>1</v>
      </c>
      <c r="AS311" s="13">
        <f t="shared" si="200"/>
        <v>1</v>
      </c>
      <c r="AT311" s="13">
        <f t="shared" si="200"/>
        <v>1</v>
      </c>
      <c r="AU311" s="13">
        <f t="shared" si="200"/>
        <v>1</v>
      </c>
      <c r="AV311" s="13">
        <f t="shared" si="168"/>
        <v>0</v>
      </c>
      <c r="AW311" s="13">
        <f t="shared" si="169"/>
        <v>1</v>
      </c>
      <c r="AY311" s="17">
        <f t="shared" si="170"/>
        <v>221</v>
      </c>
      <c r="AZ311" s="28">
        <f t="shared" si="179"/>
        <v>0</v>
      </c>
      <c r="BA311" s="13">
        <f t="shared" si="171"/>
        <v>0</v>
      </c>
      <c r="BB311" s="13">
        <f t="shared" si="172"/>
        <v>0</v>
      </c>
      <c r="BC311" s="28">
        <f t="shared" si="180"/>
        <v>0</v>
      </c>
      <c r="BD311" s="28">
        <f t="shared" si="181"/>
        <v>0</v>
      </c>
      <c r="BF311" s="248">
        <f t="shared" si="182"/>
        <v>993869.29442638322</v>
      </c>
      <c r="BG311" s="36">
        <f t="shared" si="190"/>
        <v>0</v>
      </c>
      <c r="BH311" s="36">
        <f t="shared" si="191"/>
        <v>827568.5612288611</v>
      </c>
      <c r="BI311" s="249">
        <f t="shared" si="192"/>
        <v>0</v>
      </c>
      <c r="BJ311" s="246">
        <f t="shared" si="193"/>
        <v>0</v>
      </c>
      <c r="BK311" s="246">
        <f t="shared" si="173"/>
        <v>7.531116566323881E-4</v>
      </c>
      <c r="BL311" s="246">
        <f t="shared" si="194"/>
        <v>0</v>
      </c>
      <c r="BM311" s="246">
        <f t="shared" si="195"/>
        <v>7.531116566323881E-4</v>
      </c>
      <c r="BN311" s="36">
        <f t="shared" si="183"/>
        <v>623.25153012394946</v>
      </c>
      <c r="BO311" s="36">
        <f t="shared" si="196"/>
        <v>0</v>
      </c>
      <c r="BP311" s="36">
        <f t="shared" si="197"/>
        <v>826945.30969873711</v>
      </c>
    </row>
    <row r="312" spans="1:68">
      <c r="A312" s="32">
        <f t="shared" si="184"/>
        <v>-137</v>
      </c>
      <c r="B312" s="32">
        <f t="shared" si="174"/>
        <v>71</v>
      </c>
      <c r="C312" s="32">
        <f t="shared" si="185"/>
        <v>19</v>
      </c>
      <c r="D312" s="32">
        <f t="shared" si="186"/>
        <v>222</v>
      </c>
      <c r="E312" s="74">
        <f>MIN(IF(AV312=0,0,
IF(Investment_Strategy="DIS",VLOOKUP(Investment_Strategy&amp;"_"&amp;Investment_Strategy_Sub1&amp;"_"&amp;$A312,'Investment Strategies'!$AZ:$BP,12,FALSE),
IF(AND(Investment_Strategy="Lifecycle",Investment_Strategy_Sub1="Non-Standard"),VLOOKUP(Investment_Strategy&amp;"_"&amp;Investment_Strategy_Sub2&amp;"_"&amp;$A312,'Investment Strategies'!$C:$P,9,FALSE),
IF(AND(Investment_Strategy="Lifecycle",Investment_Strategy_Sub1="Standard"),VLOOKUP(Investment_Strategy&amp;"_"&amp;Investment_Strategy_Sub2&amp;"_"&amp;$A312,'Investment Strategies'!$AJ:$AV,8,FALSE),
IF(AND(Investment_Strategy="Autopilot",Investment_Strategy_Sub1="Non-Standard"),VLOOKUP(Investment_Strategy&amp;"_"&amp;Investment_Strategy_Sub2&amp;"_"&amp;$A312,'Investment Strategies'!$T:$AF,8,FALSE),
IF(Investment_Strategy ="DIY",DIY_RateOfReturn_CurrentFunds,
"Error")))))),Max_InvReturn)</f>
        <v>0</v>
      </c>
      <c r="F312" s="62">
        <f>IF(AV312=0,0,
IF(Investment_Strategy="DIS",VLOOKUP(Investment_Strategy&amp;"_"&amp;Investment_Strategy_Sub1&amp;"_"&amp;$A312,'Investment Strategies'!$AZ:$BP,15,FALSE),
IF(AND(Investment_Strategy="Lifecycle",Investment_Strategy_Sub1="Non-Standard"),VLOOKUP(Investment_Strategy&amp;"_"&amp;Investment_Strategy_Sub2&amp;"_"&amp;$A312,'Investment Strategies'!$C:$P,12,FALSE),
IF(AND(Investment_Strategy="Lifecycle",Investment_Strategy_Sub1="Standard"),VLOOKUP(Investment_Strategy&amp;"_"&amp;Investment_Strategy_Sub2&amp;"_"&amp;$A312,'Investment Strategies'!$AJ:$AV,11,FALSE),
IF(AND(Investment_Strategy="Autopilot",Investment_Strategy_Sub1="Non-Standard"),VLOOKUP(Investment_Strategy&amp;"_"&amp;Investment_Strategy_Sub2&amp;"_"&amp;$A312,'Investment Strategies'!$T:$AF,11,FALSE),
IF(Investment_Strategy="DIY",DIY_GteeChrge_CurrentFunds,
"Error"))))))</f>
        <v>0</v>
      </c>
      <c r="G312" s="33">
        <f>IF(AV312=0,0,
IF(Investment_Strategy="DIS",VLOOKUP(Investment_Strategy&amp;"_"&amp;Investment_Strategy_Sub1&amp;"_"&amp;$A312,'Investment Strategies'!$AZ:$BP,17,FALSE),
IF(AND(Investment_Strategy="Lifecycle",Investment_Strategy_Sub1="Non-Standard"),VLOOKUP(Investment_Strategy&amp;"_"&amp;Investment_Strategy_Sub2&amp;"_"&amp;$A312,'Investment Strategies'!$C:$P,14,FALSE),
IF(AND(Investment_Strategy="Lifecycle",Investment_Strategy_Sub1="Standard"),VLOOKUP(Investment_Strategy&amp;"_"&amp;Investment_Strategy_Sub2&amp;"_"&amp;$A312,'Investment Strategies'!$AJ:$AV,13,FALSE),
IF(AND(Investment_Strategy="Autopilot",Investment_Strategy_Sub1="Non-Standard"),VLOOKUP(Investment_Strategy&amp;"_"&amp;Investment_Strategy_Sub2&amp;"_"&amp;$A312,'Investment Strategies'!$T:$AF,13,FALSE),
IF(Investment_Strategy="DIY",DIY_ExtManChrge_CurrentFunds,
"Error"))))))</f>
        <v>0</v>
      </c>
      <c r="H312" s="16">
        <f t="shared" si="175"/>
        <v>0</v>
      </c>
      <c r="I312" s="16">
        <f t="shared" si="159"/>
        <v>0</v>
      </c>
      <c r="J312" s="16">
        <f t="shared" si="160"/>
        <v>0</v>
      </c>
      <c r="K312" s="16">
        <f>(Opening_Fund_Value+SUM(K$91:K311))*E312*IF(D312=$A$91,SRP_finalmonthfactor,1)</f>
        <v>0</v>
      </c>
      <c r="L312" s="74">
        <f>MIN(IF($AV312=0,0,
IF(Investment_Strategy="DIS",VLOOKUP(Investment_Strategy&amp;"_"&amp;Investment_Strategy_Sub1&amp;"_"&amp;$A312,'Investment Strategies'!$AZ:$BP,12,FALSE),
IF(AND(Investment_Strategy="Lifecycle",Investment_Strategy_Sub1="Non-Standard"),VLOOKUP(Investment_Strategy&amp;"_"&amp;Investment_Strategy_Sub2&amp;"_"&amp;$A312,'Investment Strategies'!$C:$P,9,FALSE),
IF(AND(Investment_Strategy="Lifecycle",Investment_Strategy_Sub1="Standard"),VLOOKUP(Investment_Strategy&amp;"_"&amp;Investment_Strategy_Sub2&amp;"_"&amp;$A312,'Investment Strategies'!$AJ:$AV,8,FALSE),
IF(AND(Investment_Strategy="Autopilot",Investment_Strategy_Sub1="Non-Standard"),VLOOKUP(Investment_Strategy&amp;"_"&amp;Investment_Strategy_Sub2&amp;"_"&amp;$A312,'Investment Strategies'!$T:$AF,8,FALSE),
IF(Investment_Strategy ="DIY",DIY_RateofReturn_SP,
"Error")))))),Max_InvReturn)</f>
        <v>0</v>
      </c>
      <c r="M312" s="62">
        <f>IF($AV312=0,0,
IF(Investment_Strategy="DIS",VLOOKUP(Investment_Strategy&amp;"_"&amp;Investment_Strategy_Sub1&amp;"_"&amp;$A312,'Investment Strategies'!$AZ:$BP,15,FALSE),
IF(AND(Investment_Strategy="Lifecycle",Investment_Strategy_Sub1="Non-Standard"),VLOOKUP(Investment_Strategy&amp;"_"&amp;Investment_Strategy_Sub2&amp;"_"&amp;$A312,'Investment Strategies'!$C:$P,12,FALSE),
IF(AND(Investment_Strategy="Lifecycle",Investment_Strategy_Sub1="Standard"),VLOOKUP(Investment_Strategy&amp;"_"&amp;Investment_Strategy_Sub2&amp;"_"&amp;$A312,'Investment Strategies'!$AJ:$AV,11,FALSE),
IF(AND(Investment_Strategy="Autopilot",Investment_Strategy_Sub1="Non-Standard"),VLOOKUP(Investment_Strategy&amp;"_"&amp;Investment_Strategy_Sub2&amp;"_"&amp;$A312,'Investment Strategies'!$T:$AF,11,FALSE),
IF(Investment_Strategy="DIY",DIY_GteeChrge_SP,
"Error"))))))</f>
        <v>0</v>
      </c>
      <c r="N312" s="33">
        <f>IF($AV312=0,0,
IF(Investment_Strategy="DIS",VLOOKUP(Investment_Strategy&amp;"_"&amp;Investment_Strategy_Sub1&amp;"_"&amp;$A312,'Investment Strategies'!$AZ:$BP,17,FALSE),
IF(AND(Investment_Strategy="Lifecycle",Investment_Strategy_Sub1="Non-Standard"),VLOOKUP(Investment_Strategy&amp;"_"&amp;Investment_Strategy_Sub2&amp;"_"&amp;$A312,'Investment Strategies'!$C:$P,14,FALSE),
IF(AND(Investment_Strategy="Lifecycle",Investment_Strategy_Sub1="Standard"),VLOOKUP(Investment_Strategy&amp;"_"&amp;Investment_Strategy_Sub2&amp;"_"&amp;$A312,'Investment Strategies'!$AJ:$AV,13,FALSE),
IF(AND(Investment_Strategy="Autopilot",Investment_Strategy_Sub1="Non-Standard"),VLOOKUP(Investment_Strategy&amp;"_"&amp;Investment_Strategy_Sub2&amp;"_"&amp;$A312,'Investment Strategies'!$T:$AF,13,FALSE),
IF(Investment_Strategy="DIY",DIY_ExtManChrge_SP,
"Error"))))))</f>
        <v>0</v>
      </c>
      <c r="O312" s="16">
        <f t="shared" si="187"/>
        <v>0</v>
      </c>
      <c r="Q312" s="16">
        <f t="shared" si="161"/>
        <v>0</v>
      </c>
      <c r="R312" s="16">
        <f t="shared" si="162"/>
        <v>0</v>
      </c>
      <c r="S312" s="16">
        <f>(SRP_SP+SUM(S$91:S311))*L312*IF(D312=$A$91,SRP_finalmonthfactor,1)</f>
        <v>0</v>
      </c>
      <c r="T312" s="74">
        <f>MIN(IF($AV312=0,0,
IF(Investment_Strategy="DIS",VLOOKUP(Investment_Strategy&amp;"_"&amp;Investment_Strategy_Sub1&amp;"_"&amp;$A312,'Investment Strategies'!$AZ:$BP,12,FALSE),
IF(AND(Investment_Strategy="Lifecycle",Investment_Strategy_Sub1="Non-Standard"),VLOOKUP(Investment_Strategy&amp;"_"&amp;Investment_Strategy_Sub2&amp;"_"&amp;$A312,'Investment Strategies'!$C:$P,9,FALSE),
IF(AND(Investment_Strategy="Lifecycle",Investment_Strategy_Sub1="Standard"),VLOOKUP(Investment_Strategy&amp;"_"&amp;Investment_Strategy_Sub2&amp;"_"&amp;$A312,'Investment Strategies'!$AJ:$AV,8,FALSE),
IF(AND(Investment_Strategy="Autopilot",Investment_Strategy_Sub1="Non-Standard"),VLOOKUP(Investment_Strategy&amp;"_"&amp;Investment_Strategy_Sub2&amp;"_"&amp;$A312,'Investment Strategies'!$T:$AF,8,FALSE),
IF(Investment_Strategy ="DIY",DIY_RateOfReturn_FuturePremiums,
"Error")))))),Max_InvReturn)</f>
        <v>0</v>
      </c>
      <c r="U312" s="62">
        <f>IF($AV312=0,0,
IF(Investment_Strategy="DIS",VLOOKUP(Investment_Strategy&amp;"_"&amp;Investment_Strategy_Sub1&amp;"_"&amp;$A312,'Investment Strategies'!$AZ:$BP,15,FALSE),
IF(AND(Investment_Strategy="Lifecycle",Investment_Strategy_Sub1="Non-Standard"),VLOOKUP(Investment_Strategy&amp;"_"&amp;Investment_Strategy_Sub2&amp;"_"&amp;$A312,'Investment Strategies'!$C:$P,12,FALSE),
IF(AND(Investment_Strategy="Lifecycle",Investment_Strategy_Sub1="Standard"),VLOOKUP(Investment_Strategy&amp;"_"&amp;Investment_Strategy_Sub2&amp;"_"&amp;$A312,'Investment Strategies'!$AJ:$AV,11,FALSE),
IF(AND(Investment_Strategy="Autopilot",Investment_Strategy_Sub1="Non-Standard"),VLOOKUP(Investment_Strategy&amp;"_"&amp;Investment_Strategy_Sub2&amp;"_"&amp;$A312,'Investment Strategies'!$T:$AF,11,FALSE),
IF(Investment_Strategy="DIY",DIY_GteeChrge_FuturePremiums,
"Error"))))))</f>
        <v>0</v>
      </c>
      <c r="V312" s="33">
        <f>IF(AV312=0,0,
IF(Investment_Strategy="DIS",VLOOKUP(Investment_Strategy&amp;"_"&amp;Investment_Strategy_Sub1&amp;"_"&amp;$A312,'Investment Strategies'!$AZ:$BP,17,FALSE),
IF(AND(Investment_Strategy="Lifecycle",Investment_Strategy_Sub1="Non-Standard"),VLOOKUP(Investment_Strategy&amp;"_"&amp;Investment_Strategy_Sub2&amp;"_"&amp;$A312,'Investment Strategies'!$C:$P,14,FALSE),
IF(AND(Investment_Strategy="Lifecycle",Investment_Strategy_Sub1="Standard"),VLOOKUP(Investment_Strategy&amp;"_"&amp;Investment_Strategy_Sub2&amp;"_"&amp;$A312,'Investment Strategies'!$AJ:$AV,13,FALSE),
IF(AND(Investment_Strategy="Autopilot",Investment_Strategy_Sub1="Non-Standard"),VLOOKUP(Investment_Strategy&amp;"_"&amp;Investment_Strategy_Sub2&amp;"_"&amp;$A312,'Investment Strategies'!$T:$AF,13,FALSE),
IF(Investment_Strategy="DIY",DIY_ExtManChrge_FuturePremiums,
"Error"))))))</f>
        <v>0</v>
      </c>
      <c r="W312" s="16">
        <f t="shared" si="188"/>
        <v>0</v>
      </c>
      <c r="X312" s="16">
        <f t="shared" si="163"/>
        <v>0</v>
      </c>
      <c r="Y312" s="16">
        <f t="shared" si="164"/>
        <v>0</v>
      </c>
      <c r="Z312" s="31">
        <f t="shared" si="165"/>
        <v>0.02</v>
      </c>
      <c r="AA312" s="16">
        <f t="shared" si="166"/>
        <v>0</v>
      </c>
      <c r="AB312" s="28">
        <f t="shared" si="189"/>
        <v>0</v>
      </c>
      <c r="AC312" s="28">
        <f>(SUM($AC$91:AC311)+SUM($X$91:X311)+X312)*T312*IF(D312=$A$91,SRP_finalmonthfactor,1)</f>
        <v>0</v>
      </c>
      <c r="AD312" s="16">
        <f t="shared" si="167"/>
        <v>0</v>
      </c>
      <c r="AE312" s="106"/>
      <c r="AF312" s="16">
        <f t="shared" si="176"/>
        <v>0</v>
      </c>
      <c r="AG312" s="16">
        <f t="shared" si="177"/>
        <v>0</v>
      </c>
      <c r="AH312" s="16">
        <f t="shared" si="178"/>
        <v>0</v>
      </c>
      <c r="AJ312" s="13">
        <f t="shared" si="200"/>
        <v>0</v>
      </c>
      <c r="AK312" s="13">
        <f t="shared" si="200"/>
        <v>0</v>
      </c>
      <c r="AL312" s="13">
        <f t="shared" si="200"/>
        <v>0</v>
      </c>
      <c r="AM312" s="13">
        <f t="shared" si="200"/>
        <v>0</v>
      </c>
      <c r="AN312" s="13">
        <f t="shared" si="200"/>
        <v>0</v>
      </c>
      <c r="AO312" s="13">
        <f t="shared" si="200"/>
        <v>1</v>
      </c>
      <c r="AP312" s="13">
        <f t="shared" si="200"/>
        <v>1</v>
      </c>
      <c r="AQ312" s="13">
        <f t="shared" si="200"/>
        <v>1</v>
      </c>
      <c r="AR312" s="13">
        <f t="shared" si="200"/>
        <v>1</v>
      </c>
      <c r="AS312" s="13">
        <f t="shared" si="200"/>
        <v>1</v>
      </c>
      <c r="AT312" s="13">
        <f t="shared" si="200"/>
        <v>1</v>
      </c>
      <c r="AU312" s="13">
        <f t="shared" si="200"/>
        <v>1</v>
      </c>
      <c r="AV312" s="13">
        <f t="shared" si="168"/>
        <v>0</v>
      </c>
      <c r="AW312" s="13">
        <f t="shared" si="169"/>
        <v>1</v>
      </c>
      <c r="AY312" s="17">
        <f t="shared" si="170"/>
        <v>222</v>
      </c>
      <c r="AZ312" s="28">
        <f t="shared" si="179"/>
        <v>0</v>
      </c>
      <c r="BA312" s="13">
        <f t="shared" si="171"/>
        <v>0</v>
      </c>
      <c r="BB312" s="13">
        <f t="shared" si="172"/>
        <v>0</v>
      </c>
      <c r="BC312" s="28">
        <f t="shared" si="180"/>
        <v>0</v>
      </c>
      <c r="BD312" s="28">
        <f t="shared" si="181"/>
        <v>0</v>
      </c>
      <c r="BF312" s="248">
        <f t="shared" si="182"/>
        <v>993869.29442638322</v>
      </c>
      <c r="BG312" s="36">
        <f t="shared" si="190"/>
        <v>0</v>
      </c>
      <c r="BH312" s="36">
        <f t="shared" si="191"/>
        <v>826945.30969873711</v>
      </c>
      <c r="BI312" s="249">
        <f t="shared" si="192"/>
        <v>0</v>
      </c>
      <c r="BJ312" s="246">
        <f t="shared" si="193"/>
        <v>0</v>
      </c>
      <c r="BK312" s="246">
        <f t="shared" si="173"/>
        <v>7.531116566323881E-4</v>
      </c>
      <c r="BL312" s="246">
        <f t="shared" si="194"/>
        <v>0</v>
      </c>
      <c r="BM312" s="246">
        <f t="shared" si="195"/>
        <v>7.531116566323881E-4</v>
      </c>
      <c r="BN312" s="36">
        <f t="shared" si="183"/>
        <v>622.7821521315991</v>
      </c>
      <c r="BO312" s="36">
        <f t="shared" si="196"/>
        <v>0</v>
      </c>
      <c r="BP312" s="36">
        <f t="shared" si="197"/>
        <v>826322.52754660556</v>
      </c>
    </row>
    <row r="313" spans="1:68">
      <c r="A313" s="32">
        <f t="shared" si="184"/>
        <v>-138</v>
      </c>
      <c r="B313" s="32">
        <f t="shared" si="174"/>
        <v>71</v>
      </c>
      <c r="C313" s="32">
        <f t="shared" si="185"/>
        <v>19</v>
      </c>
      <c r="D313" s="32">
        <f t="shared" si="186"/>
        <v>223</v>
      </c>
      <c r="E313" s="74">
        <f>MIN(IF(AV313=0,0,
IF(Investment_Strategy="DIS",VLOOKUP(Investment_Strategy&amp;"_"&amp;Investment_Strategy_Sub1&amp;"_"&amp;$A313,'Investment Strategies'!$AZ:$BP,12,FALSE),
IF(AND(Investment_Strategy="Lifecycle",Investment_Strategy_Sub1="Non-Standard"),VLOOKUP(Investment_Strategy&amp;"_"&amp;Investment_Strategy_Sub2&amp;"_"&amp;$A313,'Investment Strategies'!$C:$P,9,FALSE),
IF(AND(Investment_Strategy="Lifecycle",Investment_Strategy_Sub1="Standard"),VLOOKUP(Investment_Strategy&amp;"_"&amp;Investment_Strategy_Sub2&amp;"_"&amp;$A313,'Investment Strategies'!$AJ:$AV,8,FALSE),
IF(AND(Investment_Strategy="Autopilot",Investment_Strategy_Sub1="Non-Standard"),VLOOKUP(Investment_Strategy&amp;"_"&amp;Investment_Strategy_Sub2&amp;"_"&amp;$A313,'Investment Strategies'!$T:$AF,8,FALSE),
IF(Investment_Strategy ="DIY",DIY_RateOfReturn_CurrentFunds,
"Error")))))),Max_InvReturn)</f>
        <v>0</v>
      </c>
      <c r="F313" s="62">
        <f>IF(AV313=0,0,
IF(Investment_Strategy="DIS",VLOOKUP(Investment_Strategy&amp;"_"&amp;Investment_Strategy_Sub1&amp;"_"&amp;$A313,'Investment Strategies'!$AZ:$BP,15,FALSE),
IF(AND(Investment_Strategy="Lifecycle",Investment_Strategy_Sub1="Non-Standard"),VLOOKUP(Investment_Strategy&amp;"_"&amp;Investment_Strategy_Sub2&amp;"_"&amp;$A313,'Investment Strategies'!$C:$P,12,FALSE),
IF(AND(Investment_Strategy="Lifecycle",Investment_Strategy_Sub1="Standard"),VLOOKUP(Investment_Strategy&amp;"_"&amp;Investment_Strategy_Sub2&amp;"_"&amp;$A313,'Investment Strategies'!$AJ:$AV,11,FALSE),
IF(AND(Investment_Strategy="Autopilot",Investment_Strategy_Sub1="Non-Standard"),VLOOKUP(Investment_Strategy&amp;"_"&amp;Investment_Strategy_Sub2&amp;"_"&amp;$A313,'Investment Strategies'!$T:$AF,11,FALSE),
IF(Investment_Strategy="DIY",DIY_GteeChrge_CurrentFunds,
"Error"))))))</f>
        <v>0</v>
      </c>
      <c r="G313" s="33">
        <f>IF(AV313=0,0,
IF(Investment_Strategy="DIS",VLOOKUP(Investment_Strategy&amp;"_"&amp;Investment_Strategy_Sub1&amp;"_"&amp;$A313,'Investment Strategies'!$AZ:$BP,17,FALSE),
IF(AND(Investment_Strategy="Lifecycle",Investment_Strategy_Sub1="Non-Standard"),VLOOKUP(Investment_Strategy&amp;"_"&amp;Investment_Strategy_Sub2&amp;"_"&amp;$A313,'Investment Strategies'!$C:$P,14,FALSE),
IF(AND(Investment_Strategy="Lifecycle",Investment_Strategy_Sub1="Standard"),VLOOKUP(Investment_Strategy&amp;"_"&amp;Investment_Strategy_Sub2&amp;"_"&amp;$A313,'Investment Strategies'!$AJ:$AV,13,FALSE),
IF(AND(Investment_Strategy="Autopilot",Investment_Strategy_Sub1="Non-Standard"),VLOOKUP(Investment_Strategy&amp;"_"&amp;Investment_Strategy_Sub2&amp;"_"&amp;$A313,'Investment Strategies'!$T:$AF,13,FALSE),
IF(Investment_Strategy="DIY",DIY_ExtManChrge_CurrentFunds,
"Error"))))))</f>
        <v>0</v>
      </c>
      <c r="H313" s="16">
        <f t="shared" si="175"/>
        <v>0</v>
      </c>
      <c r="I313" s="16">
        <f t="shared" si="159"/>
        <v>0</v>
      </c>
      <c r="J313" s="16">
        <f t="shared" si="160"/>
        <v>0</v>
      </c>
      <c r="K313" s="16">
        <f>(Opening_Fund_Value+SUM(K$91:K312))*E313*IF(D313=$A$91,SRP_finalmonthfactor,1)</f>
        <v>0</v>
      </c>
      <c r="L313" s="74">
        <f>MIN(IF($AV313=0,0,
IF(Investment_Strategy="DIS",VLOOKUP(Investment_Strategy&amp;"_"&amp;Investment_Strategy_Sub1&amp;"_"&amp;$A313,'Investment Strategies'!$AZ:$BP,12,FALSE),
IF(AND(Investment_Strategy="Lifecycle",Investment_Strategy_Sub1="Non-Standard"),VLOOKUP(Investment_Strategy&amp;"_"&amp;Investment_Strategy_Sub2&amp;"_"&amp;$A313,'Investment Strategies'!$C:$P,9,FALSE),
IF(AND(Investment_Strategy="Lifecycle",Investment_Strategy_Sub1="Standard"),VLOOKUP(Investment_Strategy&amp;"_"&amp;Investment_Strategy_Sub2&amp;"_"&amp;$A313,'Investment Strategies'!$AJ:$AV,8,FALSE),
IF(AND(Investment_Strategy="Autopilot",Investment_Strategy_Sub1="Non-Standard"),VLOOKUP(Investment_Strategy&amp;"_"&amp;Investment_Strategy_Sub2&amp;"_"&amp;$A313,'Investment Strategies'!$T:$AF,8,FALSE),
IF(Investment_Strategy ="DIY",DIY_RateofReturn_SP,
"Error")))))),Max_InvReturn)</f>
        <v>0</v>
      </c>
      <c r="M313" s="62">
        <f>IF($AV313=0,0,
IF(Investment_Strategy="DIS",VLOOKUP(Investment_Strategy&amp;"_"&amp;Investment_Strategy_Sub1&amp;"_"&amp;$A313,'Investment Strategies'!$AZ:$BP,15,FALSE),
IF(AND(Investment_Strategy="Lifecycle",Investment_Strategy_Sub1="Non-Standard"),VLOOKUP(Investment_Strategy&amp;"_"&amp;Investment_Strategy_Sub2&amp;"_"&amp;$A313,'Investment Strategies'!$C:$P,12,FALSE),
IF(AND(Investment_Strategy="Lifecycle",Investment_Strategy_Sub1="Standard"),VLOOKUP(Investment_Strategy&amp;"_"&amp;Investment_Strategy_Sub2&amp;"_"&amp;$A313,'Investment Strategies'!$AJ:$AV,11,FALSE),
IF(AND(Investment_Strategy="Autopilot",Investment_Strategy_Sub1="Non-Standard"),VLOOKUP(Investment_Strategy&amp;"_"&amp;Investment_Strategy_Sub2&amp;"_"&amp;$A313,'Investment Strategies'!$T:$AF,11,FALSE),
IF(Investment_Strategy="DIY",DIY_GteeChrge_SP,
"Error"))))))</f>
        <v>0</v>
      </c>
      <c r="N313" s="33">
        <f>IF($AV313=0,0,
IF(Investment_Strategy="DIS",VLOOKUP(Investment_Strategy&amp;"_"&amp;Investment_Strategy_Sub1&amp;"_"&amp;$A313,'Investment Strategies'!$AZ:$BP,17,FALSE),
IF(AND(Investment_Strategy="Lifecycle",Investment_Strategy_Sub1="Non-Standard"),VLOOKUP(Investment_Strategy&amp;"_"&amp;Investment_Strategy_Sub2&amp;"_"&amp;$A313,'Investment Strategies'!$C:$P,14,FALSE),
IF(AND(Investment_Strategy="Lifecycle",Investment_Strategy_Sub1="Standard"),VLOOKUP(Investment_Strategy&amp;"_"&amp;Investment_Strategy_Sub2&amp;"_"&amp;$A313,'Investment Strategies'!$AJ:$AV,13,FALSE),
IF(AND(Investment_Strategy="Autopilot",Investment_Strategy_Sub1="Non-Standard"),VLOOKUP(Investment_Strategy&amp;"_"&amp;Investment_Strategy_Sub2&amp;"_"&amp;$A313,'Investment Strategies'!$T:$AF,13,FALSE),
IF(Investment_Strategy="DIY",DIY_ExtManChrge_SP,
"Error"))))))</f>
        <v>0</v>
      </c>
      <c r="O313" s="16">
        <f t="shared" si="187"/>
        <v>0</v>
      </c>
      <c r="Q313" s="16">
        <f t="shared" si="161"/>
        <v>0</v>
      </c>
      <c r="R313" s="16">
        <f t="shared" si="162"/>
        <v>0</v>
      </c>
      <c r="S313" s="16">
        <f>(SRP_SP+SUM(S$91:S312))*L313*IF(D313=$A$91,SRP_finalmonthfactor,1)</f>
        <v>0</v>
      </c>
      <c r="T313" s="74">
        <f>MIN(IF($AV313=0,0,
IF(Investment_Strategy="DIS",VLOOKUP(Investment_Strategy&amp;"_"&amp;Investment_Strategy_Sub1&amp;"_"&amp;$A313,'Investment Strategies'!$AZ:$BP,12,FALSE),
IF(AND(Investment_Strategy="Lifecycle",Investment_Strategy_Sub1="Non-Standard"),VLOOKUP(Investment_Strategy&amp;"_"&amp;Investment_Strategy_Sub2&amp;"_"&amp;$A313,'Investment Strategies'!$C:$P,9,FALSE),
IF(AND(Investment_Strategy="Lifecycle",Investment_Strategy_Sub1="Standard"),VLOOKUP(Investment_Strategy&amp;"_"&amp;Investment_Strategy_Sub2&amp;"_"&amp;$A313,'Investment Strategies'!$AJ:$AV,8,FALSE),
IF(AND(Investment_Strategy="Autopilot",Investment_Strategy_Sub1="Non-Standard"),VLOOKUP(Investment_Strategy&amp;"_"&amp;Investment_Strategy_Sub2&amp;"_"&amp;$A313,'Investment Strategies'!$T:$AF,8,FALSE),
IF(Investment_Strategy ="DIY",DIY_RateOfReturn_FuturePremiums,
"Error")))))),Max_InvReturn)</f>
        <v>0</v>
      </c>
      <c r="U313" s="62">
        <f>IF($AV313=0,0,
IF(Investment_Strategy="DIS",VLOOKUP(Investment_Strategy&amp;"_"&amp;Investment_Strategy_Sub1&amp;"_"&amp;$A313,'Investment Strategies'!$AZ:$BP,15,FALSE),
IF(AND(Investment_Strategy="Lifecycle",Investment_Strategy_Sub1="Non-Standard"),VLOOKUP(Investment_Strategy&amp;"_"&amp;Investment_Strategy_Sub2&amp;"_"&amp;$A313,'Investment Strategies'!$C:$P,12,FALSE),
IF(AND(Investment_Strategy="Lifecycle",Investment_Strategy_Sub1="Standard"),VLOOKUP(Investment_Strategy&amp;"_"&amp;Investment_Strategy_Sub2&amp;"_"&amp;$A313,'Investment Strategies'!$AJ:$AV,11,FALSE),
IF(AND(Investment_Strategy="Autopilot",Investment_Strategy_Sub1="Non-Standard"),VLOOKUP(Investment_Strategy&amp;"_"&amp;Investment_Strategy_Sub2&amp;"_"&amp;$A313,'Investment Strategies'!$T:$AF,11,FALSE),
IF(Investment_Strategy="DIY",DIY_GteeChrge_FuturePremiums,
"Error"))))))</f>
        <v>0</v>
      </c>
      <c r="V313" s="33">
        <f>IF(AV313=0,0,
IF(Investment_Strategy="DIS",VLOOKUP(Investment_Strategy&amp;"_"&amp;Investment_Strategy_Sub1&amp;"_"&amp;$A313,'Investment Strategies'!$AZ:$BP,17,FALSE),
IF(AND(Investment_Strategy="Lifecycle",Investment_Strategy_Sub1="Non-Standard"),VLOOKUP(Investment_Strategy&amp;"_"&amp;Investment_Strategy_Sub2&amp;"_"&amp;$A313,'Investment Strategies'!$C:$P,14,FALSE),
IF(AND(Investment_Strategy="Lifecycle",Investment_Strategy_Sub1="Standard"),VLOOKUP(Investment_Strategy&amp;"_"&amp;Investment_Strategy_Sub2&amp;"_"&amp;$A313,'Investment Strategies'!$AJ:$AV,13,FALSE),
IF(AND(Investment_Strategy="Autopilot",Investment_Strategy_Sub1="Non-Standard"),VLOOKUP(Investment_Strategy&amp;"_"&amp;Investment_Strategy_Sub2&amp;"_"&amp;$A313,'Investment Strategies'!$T:$AF,13,FALSE),
IF(Investment_Strategy="DIY",DIY_ExtManChrge_FuturePremiums,
"Error"))))))</f>
        <v>0</v>
      </c>
      <c r="W313" s="16">
        <f t="shared" si="188"/>
        <v>0</v>
      </c>
      <c r="X313" s="16">
        <f t="shared" si="163"/>
        <v>0</v>
      </c>
      <c r="Y313" s="16">
        <f t="shared" si="164"/>
        <v>0</v>
      </c>
      <c r="Z313" s="31">
        <f t="shared" si="165"/>
        <v>0.02</v>
      </c>
      <c r="AA313" s="16">
        <f t="shared" si="166"/>
        <v>0</v>
      </c>
      <c r="AB313" s="28">
        <f t="shared" si="189"/>
        <v>0</v>
      </c>
      <c r="AC313" s="28">
        <f>(SUM($AC$91:AC312)+SUM($X$91:X312)+X313)*T313*IF(D313=$A$91,SRP_finalmonthfactor,1)</f>
        <v>0</v>
      </c>
      <c r="AD313" s="16">
        <f t="shared" si="167"/>
        <v>0</v>
      </c>
      <c r="AE313" s="106"/>
      <c r="AF313" s="16">
        <f t="shared" si="176"/>
        <v>0</v>
      </c>
      <c r="AG313" s="16">
        <f t="shared" si="177"/>
        <v>0</v>
      </c>
      <c r="AH313" s="16">
        <f t="shared" si="178"/>
        <v>0</v>
      </c>
      <c r="AJ313" s="13">
        <f t="shared" si="200"/>
        <v>0</v>
      </c>
      <c r="AK313" s="13">
        <f t="shared" si="200"/>
        <v>0</v>
      </c>
      <c r="AL313" s="13">
        <f t="shared" si="200"/>
        <v>0</v>
      </c>
      <c r="AM313" s="13">
        <f t="shared" si="200"/>
        <v>0</v>
      </c>
      <c r="AN313" s="13">
        <f t="shared" si="200"/>
        <v>0</v>
      </c>
      <c r="AO313" s="13">
        <f t="shared" si="200"/>
        <v>1</v>
      </c>
      <c r="AP313" s="13">
        <f t="shared" si="200"/>
        <v>1</v>
      </c>
      <c r="AQ313" s="13">
        <f t="shared" si="200"/>
        <v>1</v>
      </c>
      <c r="AR313" s="13">
        <f t="shared" si="200"/>
        <v>1</v>
      </c>
      <c r="AS313" s="13">
        <f t="shared" si="200"/>
        <v>1</v>
      </c>
      <c r="AT313" s="13">
        <f t="shared" si="200"/>
        <v>1</v>
      </c>
      <c r="AU313" s="13">
        <f t="shared" si="200"/>
        <v>1</v>
      </c>
      <c r="AV313" s="13">
        <f t="shared" si="168"/>
        <v>0</v>
      </c>
      <c r="AW313" s="13">
        <f t="shared" si="169"/>
        <v>1</v>
      </c>
      <c r="AY313" s="17">
        <f t="shared" si="170"/>
        <v>223</v>
      </c>
      <c r="AZ313" s="28">
        <f t="shared" si="179"/>
        <v>0</v>
      </c>
      <c r="BA313" s="13">
        <f t="shared" si="171"/>
        <v>0</v>
      </c>
      <c r="BB313" s="13">
        <f t="shared" si="172"/>
        <v>0</v>
      </c>
      <c r="BC313" s="28">
        <f t="shared" si="180"/>
        <v>0</v>
      </c>
      <c r="BD313" s="28">
        <f t="shared" si="181"/>
        <v>0</v>
      </c>
      <c r="BF313" s="248">
        <f t="shared" si="182"/>
        <v>993869.29442638322</v>
      </c>
      <c r="BG313" s="36">
        <f t="shared" si="190"/>
        <v>0</v>
      </c>
      <c r="BH313" s="36">
        <f t="shared" si="191"/>
        <v>826322.52754660556</v>
      </c>
      <c r="BI313" s="249">
        <f t="shared" si="192"/>
        <v>0</v>
      </c>
      <c r="BJ313" s="246">
        <f t="shared" si="193"/>
        <v>0</v>
      </c>
      <c r="BK313" s="246">
        <f t="shared" si="173"/>
        <v>7.531116566323881E-4</v>
      </c>
      <c r="BL313" s="246">
        <f t="shared" si="194"/>
        <v>0</v>
      </c>
      <c r="BM313" s="246">
        <f t="shared" si="195"/>
        <v>7.531116566323881E-4</v>
      </c>
      <c r="BN313" s="36">
        <f t="shared" si="183"/>
        <v>622.31312763328629</v>
      </c>
      <c r="BO313" s="36">
        <f t="shared" si="196"/>
        <v>0</v>
      </c>
      <c r="BP313" s="36">
        <f t="shared" si="197"/>
        <v>825700.21441897226</v>
      </c>
    </row>
    <row r="314" spans="1:68">
      <c r="A314" s="32">
        <f t="shared" si="184"/>
        <v>-139</v>
      </c>
      <c r="B314" s="32">
        <f t="shared" si="174"/>
        <v>71</v>
      </c>
      <c r="C314" s="32">
        <f t="shared" si="185"/>
        <v>19</v>
      </c>
      <c r="D314" s="32">
        <f t="shared" si="186"/>
        <v>224</v>
      </c>
      <c r="E314" s="74">
        <f>MIN(IF(AV314=0,0,
IF(Investment_Strategy="DIS",VLOOKUP(Investment_Strategy&amp;"_"&amp;Investment_Strategy_Sub1&amp;"_"&amp;$A314,'Investment Strategies'!$AZ:$BP,12,FALSE),
IF(AND(Investment_Strategy="Lifecycle",Investment_Strategy_Sub1="Non-Standard"),VLOOKUP(Investment_Strategy&amp;"_"&amp;Investment_Strategy_Sub2&amp;"_"&amp;$A314,'Investment Strategies'!$C:$P,9,FALSE),
IF(AND(Investment_Strategy="Lifecycle",Investment_Strategy_Sub1="Standard"),VLOOKUP(Investment_Strategy&amp;"_"&amp;Investment_Strategy_Sub2&amp;"_"&amp;$A314,'Investment Strategies'!$AJ:$AV,8,FALSE),
IF(AND(Investment_Strategy="Autopilot",Investment_Strategy_Sub1="Non-Standard"),VLOOKUP(Investment_Strategy&amp;"_"&amp;Investment_Strategy_Sub2&amp;"_"&amp;$A314,'Investment Strategies'!$T:$AF,8,FALSE),
IF(Investment_Strategy ="DIY",DIY_RateOfReturn_CurrentFunds,
"Error")))))),Max_InvReturn)</f>
        <v>0</v>
      </c>
      <c r="F314" s="62">
        <f>IF(AV314=0,0,
IF(Investment_Strategy="DIS",VLOOKUP(Investment_Strategy&amp;"_"&amp;Investment_Strategy_Sub1&amp;"_"&amp;$A314,'Investment Strategies'!$AZ:$BP,15,FALSE),
IF(AND(Investment_Strategy="Lifecycle",Investment_Strategy_Sub1="Non-Standard"),VLOOKUP(Investment_Strategy&amp;"_"&amp;Investment_Strategy_Sub2&amp;"_"&amp;$A314,'Investment Strategies'!$C:$P,12,FALSE),
IF(AND(Investment_Strategy="Lifecycle",Investment_Strategy_Sub1="Standard"),VLOOKUP(Investment_Strategy&amp;"_"&amp;Investment_Strategy_Sub2&amp;"_"&amp;$A314,'Investment Strategies'!$AJ:$AV,11,FALSE),
IF(AND(Investment_Strategy="Autopilot",Investment_Strategy_Sub1="Non-Standard"),VLOOKUP(Investment_Strategy&amp;"_"&amp;Investment_Strategy_Sub2&amp;"_"&amp;$A314,'Investment Strategies'!$T:$AF,11,FALSE),
IF(Investment_Strategy="DIY",DIY_GteeChrge_CurrentFunds,
"Error"))))))</f>
        <v>0</v>
      </c>
      <c r="G314" s="33">
        <f>IF(AV314=0,0,
IF(Investment_Strategy="DIS",VLOOKUP(Investment_Strategy&amp;"_"&amp;Investment_Strategy_Sub1&amp;"_"&amp;$A314,'Investment Strategies'!$AZ:$BP,17,FALSE),
IF(AND(Investment_Strategy="Lifecycle",Investment_Strategy_Sub1="Non-Standard"),VLOOKUP(Investment_Strategy&amp;"_"&amp;Investment_Strategy_Sub2&amp;"_"&amp;$A314,'Investment Strategies'!$C:$P,14,FALSE),
IF(AND(Investment_Strategy="Lifecycle",Investment_Strategy_Sub1="Standard"),VLOOKUP(Investment_Strategy&amp;"_"&amp;Investment_Strategy_Sub2&amp;"_"&amp;$A314,'Investment Strategies'!$AJ:$AV,13,FALSE),
IF(AND(Investment_Strategy="Autopilot",Investment_Strategy_Sub1="Non-Standard"),VLOOKUP(Investment_Strategy&amp;"_"&amp;Investment_Strategy_Sub2&amp;"_"&amp;$A314,'Investment Strategies'!$T:$AF,13,FALSE),
IF(Investment_Strategy="DIY",DIY_ExtManChrge_CurrentFunds,
"Error"))))))</f>
        <v>0</v>
      </c>
      <c r="H314" s="16">
        <f t="shared" si="175"/>
        <v>0</v>
      </c>
      <c r="I314" s="16">
        <f t="shared" si="159"/>
        <v>0</v>
      </c>
      <c r="J314" s="16">
        <f t="shared" si="160"/>
        <v>0</v>
      </c>
      <c r="K314" s="16">
        <f>(Opening_Fund_Value+SUM(K$91:K313))*E314*IF(D314=$A$91,SRP_finalmonthfactor,1)</f>
        <v>0</v>
      </c>
      <c r="L314" s="74">
        <f>MIN(IF($AV314=0,0,
IF(Investment_Strategy="DIS",VLOOKUP(Investment_Strategy&amp;"_"&amp;Investment_Strategy_Sub1&amp;"_"&amp;$A314,'Investment Strategies'!$AZ:$BP,12,FALSE),
IF(AND(Investment_Strategy="Lifecycle",Investment_Strategy_Sub1="Non-Standard"),VLOOKUP(Investment_Strategy&amp;"_"&amp;Investment_Strategy_Sub2&amp;"_"&amp;$A314,'Investment Strategies'!$C:$P,9,FALSE),
IF(AND(Investment_Strategy="Lifecycle",Investment_Strategy_Sub1="Standard"),VLOOKUP(Investment_Strategy&amp;"_"&amp;Investment_Strategy_Sub2&amp;"_"&amp;$A314,'Investment Strategies'!$AJ:$AV,8,FALSE),
IF(AND(Investment_Strategy="Autopilot",Investment_Strategy_Sub1="Non-Standard"),VLOOKUP(Investment_Strategy&amp;"_"&amp;Investment_Strategy_Sub2&amp;"_"&amp;$A314,'Investment Strategies'!$T:$AF,8,FALSE),
IF(Investment_Strategy ="DIY",DIY_RateofReturn_SP,
"Error")))))),Max_InvReturn)</f>
        <v>0</v>
      </c>
      <c r="M314" s="62">
        <f>IF($AV314=0,0,
IF(Investment_Strategy="DIS",VLOOKUP(Investment_Strategy&amp;"_"&amp;Investment_Strategy_Sub1&amp;"_"&amp;$A314,'Investment Strategies'!$AZ:$BP,15,FALSE),
IF(AND(Investment_Strategy="Lifecycle",Investment_Strategy_Sub1="Non-Standard"),VLOOKUP(Investment_Strategy&amp;"_"&amp;Investment_Strategy_Sub2&amp;"_"&amp;$A314,'Investment Strategies'!$C:$P,12,FALSE),
IF(AND(Investment_Strategy="Lifecycle",Investment_Strategy_Sub1="Standard"),VLOOKUP(Investment_Strategy&amp;"_"&amp;Investment_Strategy_Sub2&amp;"_"&amp;$A314,'Investment Strategies'!$AJ:$AV,11,FALSE),
IF(AND(Investment_Strategy="Autopilot",Investment_Strategy_Sub1="Non-Standard"),VLOOKUP(Investment_Strategy&amp;"_"&amp;Investment_Strategy_Sub2&amp;"_"&amp;$A314,'Investment Strategies'!$T:$AF,11,FALSE),
IF(Investment_Strategy="DIY",DIY_GteeChrge_SP,
"Error"))))))</f>
        <v>0</v>
      </c>
      <c r="N314" s="33">
        <f>IF($AV314=0,0,
IF(Investment_Strategy="DIS",VLOOKUP(Investment_Strategy&amp;"_"&amp;Investment_Strategy_Sub1&amp;"_"&amp;$A314,'Investment Strategies'!$AZ:$BP,17,FALSE),
IF(AND(Investment_Strategy="Lifecycle",Investment_Strategy_Sub1="Non-Standard"),VLOOKUP(Investment_Strategy&amp;"_"&amp;Investment_Strategy_Sub2&amp;"_"&amp;$A314,'Investment Strategies'!$C:$P,14,FALSE),
IF(AND(Investment_Strategy="Lifecycle",Investment_Strategy_Sub1="Standard"),VLOOKUP(Investment_Strategy&amp;"_"&amp;Investment_Strategy_Sub2&amp;"_"&amp;$A314,'Investment Strategies'!$AJ:$AV,13,FALSE),
IF(AND(Investment_Strategy="Autopilot",Investment_Strategy_Sub1="Non-Standard"),VLOOKUP(Investment_Strategy&amp;"_"&amp;Investment_Strategy_Sub2&amp;"_"&amp;$A314,'Investment Strategies'!$T:$AF,13,FALSE),
IF(Investment_Strategy="DIY",DIY_ExtManChrge_SP,
"Error"))))))</f>
        <v>0</v>
      </c>
      <c r="O314" s="16">
        <f t="shared" si="187"/>
        <v>0</v>
      </c>
      <c r="Q314" s="16">
        <f t="shared" si="161"/>
        <v>0</v>
      </c>
      <c r="R314" s="16">
        <f t="shared" si="162"/>
        <v>0</v>
      </c>
      <c r="S314" s="16">
        <f>(SRP_SP+SUM(S$91:S313))*L314*IF(D314=$A$91,SRP_finalmonthfactor,1)</f>
        <v>0</v>
      </c>
      <c r="T314" s="74">
        <f>MIN(IF($AV314=0,0,
IF(Investment_Strategy="DIS",VLOOKUP(Investment_Strategy&amp;"_"&amp;Investment_Strategy_Sub1&amp;"_"&amp;$A314,'Investment Strategies'!$AZ:$BP,12,FALSE),
IF(AND(Investment_Strategy="Lifecycle",Investment_Strategy_Sub1="Non-Standard"),VLOOKUP(Investment_Strategy&amp;"_"&amp;Investment_Strategy_Sub2&amp;"_"&amp;$A314,'Investment Strategies'!$C:$P,9,FALSE),
IF(AND(Investment_Strategy="Lifecycle",Investment_Strategy_Sub1="Standard"),VLOOKUP(Investment_Strategy&amp;"_"&amp;Investment_Strategy_Sub2&amp;"_"&amp;$A314,'Investment Strategies'!$AJ:$AV,8,FALSE),
IF(AND(Investment_Strategy="Autopilot",Investment_Strategy_Sub1="Non-Standard"),VLOOKUP(Investment_Strategy&amp;"_"&amp;Investment_Strategy_Sub2&amp;"_"&amp;$A314,'Investment Strategies'!$T:$AF,8,FALSE),
IF(Investment_Strategy ="DIY",DIY_RateOfReturn_FuturePremiums,
"Error")))))),Max_InvReturn)</f>
        <v>0</v>
      </c>
      <c r="U314" s="62">
        <f>IF($AV314=0,0,
IF(Investment_Strategy="DIS",VLOOKUP(Investment_Strategy&amp;"_"&amp;Investment_Strategy_Sub1&amp;"_"&amp;$A314,'Investment Strategies'!$AZ:$BP,15,FALSE),
IF(AND(Investment_Strategy="Lifecycle",Investment_Strategy_Sub1="Non-Standard"),VLOOKUP(Investment_Strategy&amp;"_"&amp;Investment_Strategy_Sub2&amp;"_"&amp;$A314,'Investment Strategies'!$C:$P,12,FALSE),
IF(AND(Investment_Strategy="Lifecycle",Investment_Strategy_Sub1="Standard"),VLOOKUP(Investment_Strategy&amp;"_"&amp;Investment_Strategy_Sub2&amp;"_"&amp;$A314,'Investment Strategies'!$AJ:$AV,11,FALSE),
IF(AND(Investment_Strategy="Autopilot",Investment_Strategy_Sub1="Non-Standard"),VLOOKUP(Investment_Strategy&amp;"_"&amp;Investment_Strategy_Sub2&amp;"_"&amp;$A314,'Investment Strategies'!$T:$AF,11,FALSE),
IF(Investment_Strategy="DIY",DIY_GteeChrge_FuturePremiums,
"Error"))))))</f>
        <v>0</v>
      </c>
      <c r="V314" s="33">
        <f>IF(AV314=0,0,
IF(Investment_Strategy="DIS",VLOOKUP(Investment_Strategy&amp;"_"&amp;Investment_Strategy_Sub1&amp;"_"&amp;$A314,'Investment Strategies'!$AZ:$BP,17,FALSE),
IF(AND(Investment_Strategy="Lifecycle",Investment_Strategy_Sub1="Non-Standard"),VLOOKUP(Investment_Strategy&amp;"_"&amp;Investment_Strategy_Sub2&amp;"_"&amp;$A314,'Investment Strategies'!$C:$P,14,FALSE),
IF(AND(Investment_Strategy="Lifecycle",Investment_Strategy_Sub1="Standard"),VLOOKUP(Investment_Strategy&amp;"_"&amp;Investment_Strategy_Sub2&amp;"_"&amp;$A314,'Investment Strategies'!$AJ:$AV,13,FALSE),
IF(AND(Investment_Strategy="Autopilot",Investment_Strategy_Sub1="Non-Standard"),VLOOKUP(Investment_Strategy&amp;"_"&amp;Investment_Strategy_Sub2&amp;"_"&amp;$A314,'Investment Strategies'!$T:$AF,13,FALSE),
IF(Investment_Strategy="DIY",DIY_ExtManChrge_FuturePremiums,
"Error"))))))</f>
        <v>0</v>
      </c>
      <c r="W314" s="16">
        <f t="shared" si="188"/>
        <v>0</v>
      </c>
      <c r="X314" s="16">
        <f t="shared" si="163"/>
        <v>0</v>
      </c>
      <c r="Y314" s="16">
        <f t="shared" si="164"/>
        <v>0</v>
      </c>
      <c r="Z314" s="31">
        <f t="shared" si="165"/>
        <v>0.02</v>
      </c>
      <c r="AA314" s="16">
        <f t="shared" si="166"/>
        <v>0</v>
      </c>
      <c r="AB314" s="28">
        <f t="shared" si="189"/>
        <v>0</v>
      </c>
      <c r="AC314" s="28">
        <f>(SUM($AC$91:AC313)+SUM($X$91:X313)+X314)*T314*IF(D314=$A$91,SRP_finalmonthfactor,1)</f>
        <v>0</v>
      </c>
      <c r="AD314" s="16">
        <f t="shared" si="167"/>
        <v>0</v>
      </c>
      <c r="AE314" s="106"/>
      <c r="AF314" s="16">
        <f t="shared" si="176"/>
        <v>0</v>
      </c>
      <c r="AG314" s="16">
        <f t="shared" si="177"/>
        <v>0</v>
      </c>
      <c r="AH314" s="16">
        <f t="shared" si="178"/>
        <v>0</v>
      </c>
      <c r="AJ314" s="13">
        <f t="shared" si="200"/>
        <v>0</v>
      </c>
      <c r="AK314" s="13">
        <f t="shared" si="200"/>
        <v>0</v>
      </c>
      <c r="AL314" s="13">
        <f t="shared" si="200"/>
        <v>0</v>
      </c>
      <c r="AM314" s="13">
        <f t="shared" si="200"/>
        <v>0</v>
      </c>
      <c r="AN314" s="13">
        <f t="shared" si="200"/>
        <v>0</v>
      </c>
      <c r="AO314" s="13">
        <f t="shared" si="200"/>
        <v>1</v>
      </c>
      <c r="AP314" s="13">
        <f t="shared" si="200"/>
        <v>1</v>
      </c>
      <c r="AQ314" s="13">
        <f t="shared" si="200"/>
        <v>1</v>
      </c>
      <c r="AR314" s="13">
        <f t="shared" si="200"/>
        <v>1</v>
      </c>
      <c r="AS314" s="13">
        <f t="shared" si="200"/>
        <v>1</v>
      </c>
      <c r="AT314" s="13">
        <f t="shared" si="200"/>
        <v>1</v>
      </c>
      <c r="AU314" s="13">
        <f t="shared" si="200"/>
        <v>1</v>
      </c>
      <c r="AV314" s="13">
        <f t="shared" si="168"/>
        <v>0</v>
      </c>
      <c r="AW314" s="13">
        <f t="shared" si="169"/>
        <v>1</v>
      </c>
      <c r="AY314" s="17">
        <f t="shared" si="170"/>
        <v>224</v>
      </c>
      <c r="AZ314" s="28">
        <f t="shared" si="179"/>
        <v>0</v>
      </c>
      <c r="BA314" s="13">
        <f t="shared" si="171"/>
        <v>0</v>
      </c>
      <c r="BB314" s="13">
        <f t="shared" si="172"/>
        <v>0</v>
      </c>
      <c r="BC314" s="28">
        <f t="shared" si="180"/>
        <v>0</v>
      </c>
      <c r="BD314" s="28">
        <f t="shared" si="181"/>
        <v>0</v>
      </c>
      <c r="BF314" s="248">
        <f t="shared" si="182"/>
        <v>993869.29442638322</v>
      </c>
      <c r="BG314" s="36">
        <f t="shared" si="190"/>
        <v>0</v>
      </c>
      <c r="BH314" s="36">
        <f t="shared" si="191"/>
        <v>825700.21441897226</v>
      </c>
      <c r="BI314" s="249">
        <f t="shared" si="192"/>
        <v>0</v>
      </c>
      <c r="BJ314" s="246">
        <f t="shared" si="193"/>
        <v>0</v>
      </c>
      <c r="BK314" s="246">
        <f t="shared" si="173"/>
        <v>7.531116566323881E-4</v>
      </c>
      <c r="BL314" s="246">
        <f t="shared" si="194"/>
        <v>0</v>
      </c>
      <c r="BM314" s="246">
        <f t="shared" si="195"/>
        <v>7.531116566323881E-4</v>
      </c>
      <c r="BN314" s="36">
        <f t="shared" si="183"/>
        <v>621.84445636279031</v>
      </c>
      <c r="BO314" s="36">
        <f t="shared" si="196"/>
        <v>0</v>
      </c>
      <c r="BP314" s="36">
        <f t="shared" si="197"/>
        <v>825078.36996260949</v>
      </c>
    </row>
    <row r="315" spans="1:68">
      <c r="A315" s="32">
        <f t="shared" si="184"/>
        <v>-140</v>
      </c>
      <c r="B315" s="32">
        <f t="shared" si="174"/>
        <v>71</v>
      </c>
      <c r="C315" s="32">
        <f t="shared" si="185"/>
        <v>19</v>
      </c>
      <c r="D315" s="32">
        <f t="shared" si="186"/>
        <v>225</v>
      </c>
      <c r="E315" s="74">
        <f>MIN(IF(AV315=0,0,
IF(Investment_Strategy="DIS",VLOOKUP(Investment_Strategy&amp;"_"&amp;Investment_Strategy_Sub1&amp;"_"&amp;$A315,'Investment Strategies'!$AZ:$BP,12,FALSE),
IF(AND(Investment_Strategy="Lifecycle",Investment_Strategy_Sub1="Non-Standard"),VLOOKUP(Investment_Strategy&amp;"_"&amp;Investment_Strategy_Sub2&amp;"_"&amp;$A315,'Investment Strategies'!$C:$P,9,FALSE),
IF(AND(Investment_Strategy="Lifecycle",Investment_Strategy_Sub1="Standard"),VLOOKUP(Investment_Strategy&amp;"_"&amp;Investment_Strategy_Sub2&amp;"_"&amp;$A315,'Investment Strategies'!$AJ:$AV,8,FALSE),
IF(AND(Investment_Strategy="Autopilot",Investment_Strategy_Sub1="Non-Standard"),VLOOKUP(Investment_Strategy&amp;"_"&amp;Investment_Strategy_Sub2&amp;"_"&amp;$A315,'Investment Strategies'!$T:$AF,8,FALSE),
IF(Investment_Strategy ="DIY",DIY_RateOfReturn_CurrentFunds,
"Error")))))),Max_InvReturn)</f>
        <v>0</v>
      </c>
      <c r="F315" s="62">
        <f>IF(AV315=0,0,
IF(Investment_Strategy="DIS",VLOOKUP(Investment_Strategy&amp;"_"&amp;Investment_Strategy_Sub1&amp;"_"&amp;$A315,'Investment Strategies'!$AZ:$BP,15,FALSE),
IF(AND(Investment_Strategy="Lifecycle",Investment_Strategy_Sub1="Non-Standard"),VLOOKUP(Investment_Strategy&amp;"_"&amp;Investment_Strategy_Sub2&amp;"_"&amp;$A315,'Investment Strategies'!$C:$P,12,FALSE),
IF(AND(Investment_Strategy="Lifecycle",Investment_Strategy_Sub1="Standard"),VLOOKUP(Investment_Strategy&amp;"_"&amp;Investment_Strategy_Sub2&amp;"_"&amp;$A315,'Investment Strategies'!$AJ:$AV,11,FALSE),
IF(AND(Investment_Strategy="Autopilot",Investment_Strategy_Sub1="Non-Standard"),VLOOKUP(Investment_Strategy&amp;"_"&amp;Investment_Strategy_Sub2&amp;"_"&amp;$A315,'Investment Strategies'!$T:$AF,11,FALSE),
IF(Investment_Strategy="DIY",DIY_GteeChrge_CurrentFunds,
"Error"))))))</f>
        <v>0</v>
      </c>
      <c r="G315" s="33">
        <f>IF(AV315=0,0,
IF(Investment_Strategy="DIS",VLOOKUP(Investment_Strategy&amp;"_"&amp;Investment_Strategy_Sub1&amp;"_"&amp;$A315,'Investment Strategies'!$AZ:$BP,17,FALSE),
IF(AND(Investment_Strategy="Lifecycle",Investment_Strategy_Sub1="Non-Standard"),VLOOKUP(Investment_Strategy&amp;"_"&amp;Investment_Strategy_Sub2&amp;"_"&amp;$A315,'Investment Strategies'!$C:$P,14,FALSE),
IF(AND(Investment_Strategy="Lifecycle",Investment_Strategy_Sub1="Standard"),VLOOKUP(Investment_Strategy&amp;"_"&amp;Investment_Strategy_Sub2&amp;"_"&amp;$A315,'Investment Strategies'!$AJ:$AV,13,FALSE),
IF(AND(Investment_Strategy="Autopilot",Investment_Strategy_Sub1="Non-Standard"),VLOOKUP(Investment_Strategy&amp;"_"&amp;Investment_Strategy_Sub2&amp;"_"&amp;$A315,'Investment Strategies'!$T:$AF,13,FALSE),
IF(Investment_Strategy="DIY",DIY_ExtManChrge_CurrentFunds,
"Error"))))))</f>
        <v>0</v>
      </c>
      <c r="H315" s="16">
        <f t="shared" si="175"/>
        <v>0</v>
      </c>
      <c r="I315" s="16">
        <f t="shared" si="159"/>
        <v>0</v>
      </c>
      <c r="J315" s="16">
        <f t="shared" si="160"/>
        <v>0</v>
      </c>
      <c r="K315" s="16">
        <f>(Opening_Fund_Value+SUM(K$91:K314))*E315*IF(D315=$A$91,SRP_finalmonthfactor,1)</f>
        <v>0</v>
      </c>
      <c r="L315" s="74">
        <f>MIN(IF($AV315=0,0,
IF(Investment_Strategy="DIS",VLOOKUP(Investment_Strategy&amp;"_"&amp;Investment_Strategy_Sub1&amp;"_"&amp;$A315,'Investment Strategies'!$AZ:$BP,12,FALSE),
IF(AND(Investment_Strategy="Lifecycle",Investment_Strategy_Sub1="Non-Standard"),VLOOKUP(Investment_Strategy&amp;"_"&amp;Investment_Strategy_Sub2&amp;"_"&amp;$A315,'Investment Strategies'!$C:$P,9,FALSE),
IF(AND(Investment_Strategy="Lifecycle",Investment_Strategy_Sub1="Standard"),VLOOKUP(Investment_Strategy&amp;"_"&amp;Investment_Strategy_Sub2&amp;"_"&amp;$A315,'Investment Strategies'!$AJ:$AV,8,FALSE),
IF(AND(Investment_Strategy="Autopilot",Investment_Strategy_Sub1="Non-Standard"),VLOOKUP(Investment_Strategy&amp;"_"&amp;Investment_Strategy_Sub2&amp;"_"&amp;$A315,'Investment Strategies'!$T:$AF,8,FALSE),
IF(Investment_Strategy ="DIY",DIY_RateofReturn_SP,
"Error")))))),Max_InvReturn)</f>
        <v>0</v>
      </c>
      <c r="M315" s="62">
        <f>IF($AV315=0,0,
IF(Investment_Strategy="DIS",VLOOKUP(Investment_Strategy&amp;"_"&amp;Investment_Strategy_Sub1&amp;"_"&amp;$A315,'Investment Strategies'!$AZ:$BP,15,FALSE),
IF(AND(Investment_Strategy="Lifecycle",Investment_Strategy_Sub1="Non-Standard"),VLOOKUP(Investment_Strategy&amp;"_"&amp;Investment_Strategy_Sub2&amp;"_"&amp;$A315,'Investment Strategies'!$C:$P,12,FALSE),
IF(AND(Investment_Strategy="Lifecycle",Investment_Strategy_Sub1="Standard"),VLOOKUP(Investment_Strategy&amp;"_"&amp;Investment_Strategy_Sub2&amp;"_"&amp;$A315,'Investment Strategies'!$AJ:$AV,11,FALSE),
IF(AND(Investment_Strategy="Autopilot",Investment_Strategy_Sub1="Non-Standard"),VLOOKUP(Investment_Strategy&amp;"_"&amp;Investment_Strategy_Sub2&amp;"_"&amp;$A315,'Investment Strategies'!$T:$AF,11,FALSE),
IF(Investment_Strategy="DIY",DIY_GteeChrge_SP,
"Error"))))))</f>
        <v>0</v>
      </c>
      <c r="N315" s="33">
        <f>IF($AV315=0,0,
IF(Investment_Strategy="DIS",VLOOKUP(Investment_Strategy&amp;"_"&amp;Investment_Strategy_Sub1&amp;"_"&amp;$A315,'Investment Strategies'!$AZ:$BP,17,FALSE),
IF(AND(Investment_Strategy="Lifecycle",Investment_Strategy_Sub1="Non-Standard"),VLOOKUP(Investment_Strategy&amp;"_"&amp;Investment_Strategy_Sub2&amp;"_"&amp;$A315,'Investment Strategies'!$C:$P,14,FALSE),
IF(AND(Investment_Strategy="Lifecycle",Investment_Strategy_Sub1="Standard"),VLOOKUP(Investment_Strategy&amp;"_"&amp;Investment_Strategy_Sub2&amp;"_"&amp;$A315,'Investment Strategies'!$AJ:$AV,13,FALSE),
IF(AND(Investment_Strategy="Autopilot",Investment_Strategy_Sub1="Non-Standard"),VLOOKUP(Investment_Strategy&amp;"_"&amp;Investment_Strategy_Sub2&amp;"_"&amp;$A315,'Investment Strategies'!$T:$AF,13,FALSE),
IF(Investment_Strategy="DIY",DIY_ExtManChrge_SP,
"Error"))))))</f>
        <v>0</v>
      </c>
      <c r="O315" s="16">
        <f t="shared" si="187"/>
        <v>0</v>
      </c>
      <c r="Q315" s="16">
        <f t="shared" si="161"/>
        <v>0</v>
      </c>
      <c r="R315" s="16">
        <f t="shared" si="162"/>
        <v>0</v>
      </c>
      <c r="S315" s="16">
        <f>(SRP_SP+SUM(S$91:S314))*L315*IF(D315=$A$91,SRP_finalmonthfactor,1)</f>
        <v>0</v>
      </c>
      <c r="T315" s="74">
        <f>MIN(IF($AV315=0,0,
IF(Investment_Strategy="DIS",VLOOKUP(Investment_Strategy&amp;"_"&amp;Investment_Strategy_Sub1&amp;"_"&amp;$A315,'Investment Strategies'!$AZ:$BP,12,FALSE),
IF(AND(Investment_Strategy="Lifecycle",Investment_Strategy_Sub1="Non-Standard"),VLOOKUP(Investment_Strategy&amp;"_"&amp;Investment_Strategy_Sub2&amp;"_"&amp;$A315,'Investment Strategies'!$C:$P,9,FALSE),
IF(AND(Investment_Strategy="Lifecycle",Investment_Strategy_Sub1="Standard"),VLOOKUP(Investment_Strategy&amp;"_"&amp;Investment_Strategy_Sub2&amp;"_"&amp;$A315,'Investment Strategies'!$AJ:$AV,8,FALSE),
IF(AND(Investment_Strategy="Autopilot",Investment_Strategy_Sub1="Non-Standard"),VLOOKUP(Investment_Strategy&amp;"_"&amp;Investment_Strategy_Sub2&amp;"_"&amp;$A315,'Investment Strategies'!$T:$AF,8,FALSE),
IF(Investment_Strategy ="DIY",DIY_RateOfReturn_FuturePremiums,
"Error")))))),Max_InvReturn)</f>
        <v>0</v>
      </c>
      <c r="U315" s="62">
        <f>IF($AV315=0,0,
IF(Investment_Strategy="DIS",VLOOKUP(Investment_Strategy&amp;"_"&amp;Investment_Strategy_Sub1&amp;"_"&amp;$A315,'Investment Strategies'!$AZ:$BP,15,FALSE),
IF(AND(Investment_Strategy="Lifecycle",Investment_Strategy_Sub1="Non-Standard"),VLOOKUP(Investment_Strategy&amp;"_"&amp;Investment_Strategy_Sub2&amp;"_"&amp;$A315,'Investment Strategies'!$C:$P,12,FALSE),
IF(AND(Investment_Strategy="Lifecycle",Investment_Strategy_Sub1="Standard"),VLOOKUP(Investment_Strategy&amp;"_"&amp;Investment_Strategy_Sub2&amp;"_"&amp;$A315,'Investment Strategies'!$AJ:$AV,11,FALSE),
IF(AND(Investment_Strategy="Autopilot",Investment_Strategy_Sub1="Non-Standard"),VLOOKUP(Investment_Strategy&amp;"_"&amp;Investment_Strategy_Sub2&amp;"_"&amp;$A315,'Investment Strategies'!$T:$AF,11,FALSE),
IF(Investment_Strategy="DIY",DIY_GteeChrge_FuturePremiums,
"Error"))))))</f>
        <v>0</v>
      </c>
      <c r="V315" s="33">
        <f>IF(AV315=0,0,
IF(Investment_Strategy="DIS",VLOOKUP(Investment_Strategy&amp;"_"&amp;Investment_Strategy_Sub1&amp;"_"&amp;$A315,'Investment Strategies'!$AZ:$BP,17,FALSE),
IF(AND(Investment_Strategy="Lifecycle",Investment_Strategy_Sub1="Non-Standard"),VLOOKUP(Investment_Strategy&amp;"_"&amp;Investment_Strategy_Sub2&amp;"_"&amp;$A315,'Investment Strategies'!$C:$P,14,FALSE),
IF(AND(Investment_Strategy="Lifecycle",Investment_Strategy_Sub1="Standard"),VLOOKUP(Investment_Strategy&amp;"_"&amp;Investment_Strategy_Sub2&amp;"_"&amp;$A315,'Investment Strategies'!$AJ:$AV,13,FALSE),
IF(AND(Investment_Strategy="Autopilot",Investment_Strategy_Sub1="Non-Standard"),VLOOKUP(Investment_Strategy&amp;"_"&amp;Investment_Strategy_Sub2&amp;"_"&amp;$A315,'Investment Strategies'!$T:$AF,13,FALSE),
IF(Investment_Strategy="DIY",DIY_ExtManChrge_FuturePremiums,
"Error"))))))</f>
        <v>0</v>
      </c>
      <c r="W315" s="16">
        <f t="shared" si="188"/>
        <v>0</v>
      </c>
      <c r="X315" s="16">
        <f t="shared" si="163"/>
        <v>0</v>
      </c>
      <c r="Y315" s="16">
        <f t="shared" si="164"/>
        <v>0</v>
      </c>
      <c r="Z315" s="31">
        <f t="shared" si="165"/>
        <v>0.02</v>
      </c>
      <c r="AA315" s="16">
        <f t="shared" si="166"/>
        <v>0</v>
      </c>
      <c r="AB315" s="28">
        <f t="shared" si="189"/>
        <v>0</v>
      </c>
      <c r="AC315" s="28">
        <f>(SUM($AC$91:AC314)+SUM($X$91:X314)+X315)*T315*IF(D315=$A$91,SRP_finalmonthfactor,1)</f>
        <v>0</v>
      </c>
      <c r="AD315" s="16">
        <f t="shared" si="167"/>
        <v>0</v>
      </c>
      <c r="AE315" s="106"/>
      <c r="AF315" s="16">
        <f t="shared" si="176"/>
        <v>0</v>
      </c>
      <c r="AG315" s="16">
        <f t="shared" si="177"/>
        <v>0</v>
      </c>
      <c r="AH315" s="16">
        <f t="shared" si="178"/>
        <v>0</v>
      </c>
      <c r="AJ315" s="13">
        <f t="shared" si="200"/>
        <v>0</v>
      </c>
      <c r="AK315" s="13">
        <f t="shared" si="200"/>
        <v>0</v>
      </c>
      <c r="AL315" s="13">
        <f t="shared" si="200"/>
        <v>0</v>
      </c>
      <c r="AM315" s="13">
        <f t="shared" si="200"/>
        <v>0</v>
      </c>
      <c r="AN315" s="13">
        <f t="shared" si="200"/>
        <v>0</v>
      </c>
      <c r="AO315" s="13">
        <f t="shared" si="200"/>
        <v>1</v>
      </c>
      <c r="AP315" s="13">
        <f t="shared" si="200"/>
        <v>1</v>
      </c>
      <c r="AQ315" s="13">
        <f t="shared" si="200"/>
        <v>1</v>
      </c>
      <c r="AR315" s="13">
        <f t="shared" si="200"/>
        <v>1</v>
      </c>
      <c r="AS315" s="13">
        <f t="shared" si="200"/>
        <v>1</v>
      </c>
      <c r="AT315" s="13">
        <f t="shared" si="200"/>
        <v>1</v>
      </c>
      <c r="AU315" s="13">
        <f t="shared" si="200"/>
        <v>1</v>
      </c>
      <c r="AV315" s="13">
        <f t="shared" si="168"/>
        <v>0</v>
      </c>
      <c r="AW315" s="13">
        <f t="shared" si="169"/>
        <v>1</v>
      </c>
      <c r="AY315" s="17">
        <f t="shared" si="170"/>
        <v>225</v>
      </c>
      <c r="AZ315" s="28">
        <f t="shared" si="179"/>
        <v>0</v>
      </c>
      <c r="BA315" s="13">
        <f t="shared" si="171"/>
        <v>0</v>
      </c>
      <c r="BB315" s="13">
        <f t="shared" si="172"/>
        <v>0</v>
      </c>
      <c r="BC315" s="28">
        <f t="shared" si="180"/>
        <v>0</v>
      </c>
      <c r="BD315" s="28">
        <f t="shared" si="181"/>
        <v>0</v>
      </c>
      <c r="BF315" s="248">
        <f t="shared" si="182"/>
        <v>993869.29442638322</v>
      </c>
      <c r="BG315" s="36">
        <f t="shared" si="190"/>
        <v>0</v>
      </c>
      <c r="BH315" s="36">
        <f t="shared" si="191"/>
        <v>825078.36996260949</v>
      </c>
      <c r="BI315" s="249">
        <f t="shared" si="192"/>
        <v>0</v>
      </c>
      <c r="BJ315" s="246">
        <f t="shared" si="193"/>
        <v>0</v>
      </c>
      <c r="BK315" s="246">
        <f t="shared" si="173"/>
        <v>7.531116566323881E-4</v>
      </c>
      <c r="BL315" s="246">
        <f t="shared" si="194"/>
        <v>0</v>
      </c>
      <c r="BM315" s="246">
        <f t="shared" si="195"/>
        <v>7.531116566323881E-4</v>
      </c>
      <c r="BN315" s="36">
        <f t="shared" si="183"/>
        <v>621.37613805409126</v>
      </c>
      <c r="BO315" s="36">
        <f t="shared" si="196"/>
        <v>0</v>
      </c>
      <c r="BP315" s="36">
        <f t="shared" si="197"/>
        <v>824456.99382455542</v>
      </c>
    </row>
    <row r="316" spans="1:68">
      <c r="A316" s="32">
        <f t="shared" si="184"/>
        <v>-141</v>
      </c>
      <c r="B316" s="32">
        <f t="shared" si="174"/>
        <v>71</v>
      </c>
      <c r="C316" s="32">
        <f t="shared" si="185"/>
        <v>19</v>
      </c>
      <c r="D316" s="32">
        <f t="shared" si="186"/>
        <v>226</v>
      </c>
      <c r="E316" s="74">
        <f>MIN(IF(AV316=0,0,
IF(Investment_Strategy="DIS",VLOOKUP(Investment_Strategy&amp;"_"&amp;Investment_Strategy_Sub1&amp;"_"&amp;$A316,'Investment Strategies'!$AZ:$BP,12,FALSE),
IF(AND(Investment_Strategy="Lifecycle",Investment_Strategy_Sub1="Non-Standard"),VLOOKUP(Investment_Strategy&amp;"_"&amp;Investment_Strategy_Sub2&amp;"_"&amp;$A316,'Investment Strategies'!$C:$P,9,FALSE),
IF(AND(Investment_Strategy="Lifecycle",Investment_Strategy_Sub1="Standard"),VLOOKUP(Investment_Strategy&amp;"_"&amp;Investment_Strategy_Sub2&amp;"_"&amp;$A316,'Investment Strategies'!$AJ:$AV,8,FALSE),
IF(AND(Investment_Strategy="Autopilot",Investment_Strategy_Sub1="Non-Standard"),VLOOKUP(Investment_Strategy&amp;"_"&amp;Investment_Strategy_Sub2&amp;"_"&amp;$A316,'Investment Strategies'!$T:$AF,8,FALSE),
IF(Investment_Strategy ="DIY",DIY_RateOfReturn_CurrentFunds,
"Error")))))),Max_InvReturn)</f>
        <v>0</v>
      </c>
      <c r="F316" s="62">
        <f>IF(AV316=0,0,
IF(Investment_Strategy="DIS",VLOOKUP(Investment_Strategy&amp;"_"&amp;Investment_Strategy_Sub1&amp;"_"&amp;$A316,'Investment Strategies'!$AZ:$BP,15,FALSE),
IF(AND(Investment_Strategy="Lifecycle",Investment_Strategy_Sub1="Non-Standard"),VLOOKUP(Investment_Strategy&amp;"_"&amp;Investment_Strategy_Sub2&amp;"_"&amp;$A316,'Investment Strategies'!$C:$P,12,FALSE),
IF(AND(Investment_Strategy="Lifecycle",Investment_Strategy_Sub1="Standard"),VLOOKUP(Investment_Strategy&amp;"_"&amp;Investment_Strategy_Sub2&amp;"_"&amp;$A316,'Investment Strategies'!$AJ:$AV,11,FALSE),
IF(AND(Investment_Strategy="Autopilot",Investment_Strategy_Sub1="Non-Standard"),VLOOKUP(Investment_Strategy&amp;"_"&amp;Investment_Strategy_Sub2&amp;"_"&amp;$A316,'Investment Strategies'!$T:$AF,11,FALSE),
IF(Investment_Strategy="DIY",DIY_GteeChrge_CurrentFunds,
"Error"))))))</f>
        <v>0</v>
      </c>
      <c r="G316" s="33">
        <f>IF(AV316=0,0,
IF(Investment_Strategy="DIS",VLOOKUP(Investment_Strategy&amp;"_"&amp;Investment_Strategy_Sub1&amp;"_"&amp;$A316,'Investment Strategies'!$AZ:$BP,17,FALSE),
IF(AND(Investment_Strategy="Lifecycle",Investment_Strategy_Sub1="Non-Standard"),VLOOKUP(Investment_Strategy&amp;"_"&amp;Investment_Strategy_Sub2&amp;"_"&amp;$A316,'Investment Strategies'!$C:$P,14,FALSE),
IF(AND(Investment_Strategy="Lifecycle",Investment_Strategy_Sub1="Standard"),VLOOKUP(Investment_Strategy&amp;"_"&amp;Investment_Strategy_Sub2&amp;"_"&amp;$A316,'Investment Strategies'!$AJ:$AV,13,FALSE),
IF(AND(Investment_Strategy="Autopilot",Investment_Strategy_Sub1="Non-Standard"),VLOOKUP(Investment_Strategy&amp;"_"&amp;Investment_Strategy_Sub2&amp;"_"&amp;$A316,'Investment Strategies'!$T:$AF,13,FALSE),
IF(Investment_Strategy="DIY",DIY_ExtManChrge_CurrentFunds,
"Error"))))))</f>
        <v>0</v>
      </c>
      <c r="H316" s="16">
        <f t="shared" si="175"/>
        <v>0</v>
      </c>
      <c r="I316" s="16">
        <f t="shared" si="159"/>
        <v>0</v>
      </c>
      <c r="J316" s="16">
        <f t="shared" si="160"/>
        <v>0</v>
      </c>
      <c r="K316" s="16">
        <f>(Opening_Fund_Value+SUM(K$91:K315))*E316*IF(D316=$A$91,SRP_finalmonthfactor,1)</f>
        <v>0</v>
      </c>
      <c r="L316" s="74">
        <f>MIN(IF($AV316=0,0,
IF(Investment_Strategy="DIS",VLOOKUP(Investment_Strategy&amp;"_"&amp;Investment_Strategy_Sub1&amp;"_"&amp;$A316,'Investment Strategies'!$AZ:$BP,12,FALSE),
IF(AND(Investment_Strategy="Lifecycle",Investment_Strategy_Sub1="Non-Standard"),VLOOKUP(Investment_Strategy&amp;"_"&amp;Investment_Strategy_Sub2&amp;"_"&amp;$A316,'Investment Strategies'!$C:$P,9,FALSE),
IF(AND(Investment_Strategy="Lifecycle",Investment_Strategy_Sub1="Standard"),VLOOKUP(Investment_Strategy&amp;"_"&amp;Investment_Strategy_Sub2&amp;"_"&amp;$A316,'Investment Strategies'!$AJ:$AV,8,FALSE),
IF(AND(Investment_Strategy="Autopilot",Investment_Strategy_Sub1="Non-Standard"),VLOOKUP(Investment_Strategy&amp;"_"&amp;Investment_Strategy_Sub2&amp;"_"&amp;$A316,'Investment Strategies'!$T:$AF,8,FALSE),
IF(Investment_Strategy ="DIY",DIY_RateofReturn_SP,
"Error")))))),Max_InvReturn)</f>
        <v>0</v>
      </c>
      <c r="M316" s="62">
        <f>IF($AV316=0,0,
IF(Investment_Strategy="DIS",VLOOKUP(Investment_Strategy&amp;"_"&amp;Investment_Strategy_Sub1&amp;"_"&amp;$A316,'Investment Strategies'!$AZ:$BP,15,FALSE),
IF(AND(Investment_Strategy="Lifecycle",Investment_Strategy_Sub1="Non-Standard"),VLOOKUP(Investment_Strategy&amp;"_"&amp;Investment_Strategy_Sub2&amp;"_"&amp;$A316,'Investment Strategies'!$C:$P,12,FALSE),
IF(AND(Investment_Strategy="Lifecycle",Investment_Strategy_Sub1="Standard"),VLOOKUP(Investment_Strategy&amp;"_"&amp;Investment_Strategy_Sub2&amp;"_"&amp;$A316,'Investment Strategies'!$AJ:$AV,11,FALSE),
IF(AND(Investment_Strategy="Autopilot",Investment_Strategy_Sub1="Non-Standard"),VLOOKUP(Investment_Strategy&amp;"_"&amp;Investment_Strategy_Sub2&amp;"_"&amp;$A316,'Investment Strategies'!$T:$AF,11,FALSE),
IF(Investment_Strategy="DIY",DIY_GteeChrge_SP,
"Error"))))))</f>
        <v>0</v>
      </c>
      <c r="N316" s="33">
        <f>IF($AV316=0,0,
IF(Investment_Strategy="DIS",VLOOKUP(Investment_Strategy&amp;"_"&amp;Investment_Strategy_Sub1&amp;"_"&amp;$A316,'Investment Strategies'!$AZ:$BP,17,FALSE),
IF(AND(Investment_Strategy="Lifecycle",Investment_Strategy_Sub1="Non-Standard"),VLOOKUP(Investment_Strategy&amp;"_"&amp;Investment_Strategy_Sub2&amp;"_"&amp;$A316,'Investment Strategies'!$C:$P,14,FALSE),
IF(AND(Investment_Strategy="Lifecycle",Investment_Strategy_Sub1="Standard"),VLOOKUP(Investment_Strategy&amp;"_"&amp;Investment_Strategy_Sub2&amp;"_"&amp;$A316,'Investment Strategies'!$AJ:$AV,13,FALSE),
IF(AND(Investment_Strategy="Autopilot",Investment_Strategy_Sub1="Non-Standard"),VLOOKUP(Investment_Strategy&amp;"_"&amp;Investment_Strategy_Sub2&amp;"_"&amp;$A316,'Investment Strategies'!$T:$AF,13,FALSE),
IF(Investment_Strategy="DIY",DIY_ExtManChrge_SP,
"Error"))))))</f>
        <v>0</v>
      </c>
      <c r="O316" s="16">
        <f t="shared" si="187"/>
        <v>0</v>
      </c>
      <c r="Q316" s="16">
        <f t="shared" si="161"/>
        <v>0</v>
      </c>
      <c r="R316" s="16">
        <f t="shared" si="162"/>
        <v>0</v>
      </c>
      <c r="S316" s="16">
        <f>(SRP_SP+SUM(S$91:S315))*L316*IF(D316=$A$91,SRP_finalmonthfactor,1)</f>
        <v>0</v>
      </c>
      <c r="T316" s="74">
        <f>MIN(IF($AV316=0,0,
IF(Investment_Strategy="DIS",VLOOKUP(Investment_Strategy&amp;"_"&amp;Investment_Strategy_Sub1&amp;"_"&amp;$A316,'Investment Strategies'!$AZ:$BP,12,FALSE),
IF(AND(Investment_Strategy="Lifecycle",Investment_Strategy_Sub1="Non-Standard"),VLOOKUP(Investment_Strategy&amp;"_"&amp;Investment_Strategy_Sub2&amp;"_"&amp;$A316,'Investment Strategies'!$C:$P,9,FALSE),
IF(AND(Investment_Strategy="Lifecycle",Investment_Strategy_Sub1="Standard"),VLOOKUP(Investment_Strategy&amp;"_"&amp;Investment_Strategy_Sub2&amp;"_"&amp;$A316,'Investment Strategies'!$AJ:$AV,8,FALSE),
IF(AND(Investment_Strategy="Autopilot",Investment_Strategy_Sub1="Non-Standard"),VLOOKUP(Investment_Strategy&amp;"_"&amp;Investment_Strategy_Sub2&amp;"_"&amp;$A316,'Investment Strategies'!$T:$AF,8,FALSE),
IF(Investment_Strategy ="DIY",DIY_RateOfReturn_FuturePremiums,
"Error")))))),Max_InvReturn)</f>
        <v>0</v>
      </c>
      <c r="U316" s="62">
        <f>IF($AV316=0,0,
IF(Investment_Strategy="DIS",VLOOKUP(Investment_Strategy&amp;"_"&amp;Investment_Strategy_Sub1&amp;"_"&amp;$A316,'Investment Strategies'!$AZ:$BP,15,FALSE),
IF(AND(Investment_Strategy="Lifecycle",Investment_Strategy_Sub1="Non-Standard"),VLOOKUP(Investment_Strategy&amp;"_"&amp;Investment_Strategy_Sub2&amp;"_"&amp;$A316,'Investment Strategies'!$C:$P,12,FALSE),
IF(AND(Investment_Strategy="Lifecycle",Investment_Strategy_Sub1="Standard"),VLOOKUP(Investment_Strategy&amp;"_"&amp;Investment_Strategy_Sub2&amp;"_"&amp;$A316,'Investment Strategies'!$AJ:$AV,11,FALSE),
IF(AND(Investment_Strategy="Autopilot",Investment_Strategy_Sub1="Non-Standard"),VLOOKUP(Investment_Strategy&amp;"_"&amp;Investment_Strategy_Sub2&amp;"_"&amp;$A316,'Investment Strategies'!$T:$AF,11,FALSE),
IF(Investment_Strategy="DIY",DIY_GteeChrge_FuturePremiums,
"Error"))))))</f>
        <v>0</v>
      </c>
      <c r="V316" s="33">
        <f>IF(AV316=0,0,
IF(Investment_Strategy="DIS",VLOOKUP(Investment_Strategy&amp;"_"&amp;Investment_Strategy_Sub1&amp;"_"&amp;$A316,'Investment Strategies'!$AZ:$BP,17,FALSE),
IF(AND(Investment_Strategy="Lifecycle",Investment_Strategy_Sub1="Non-Standard"),VLOOKUP(Investment_Strategy&amp;"_"&amp;Investment_Strategy_Sub2&amp;"_"&amp;$A316,'Investment Strategies'!$C:$P,14,FALSE),
IF(AND(Investment_Strategy="Lifecycle",Investment_Strategy_Sub1="Standard"),VLOOKUP(Investment_Strategy&amp;"_"&amp;Investment_Strategy_Sub2&amp;"_"&amp;$A316,'Investment Strategies'!$AJ:$AV,13,FALSE),
IF(AND(Investment_Strategy="Autopilot",Investment_Strategy_Sub1="Non-Standard"),VLOOKUP(Investment_Strategy&amp;"_"&amp;Investment_Strategy_Sub2&amp;"_"&amp;$A316,'Investment Strategies'!$T:$AF,13,FALSE),
IF(Investment_Strategy="DIY",DIY_ExtManChrge_FuturePremiums,
"Error"))))))</f>
        <v>0</v>
      </c>
      <c r="W316" s="16">
        <f t="shared" si="188"/>
        <v>0</v>
      </c>
      <c r="X316" s="16">
        <f t="shared" si="163"/>
        <v>0</v>
      </c>
      <c r="Y316" s="16">
        <f t="shared" si="164"/>
        <v>0</v>
      </c>
      <c r="Z316" s="31">
        <f t="shared" si="165"/>
        <v>0.02</v>
      </c>
      <c r="AA316" s="16">
        <f t="shared" si="166"/>
        <v>0</v>
      </c>
      <c r="AB316" s="28">
        <f t="shared" si="189"/>
        <v>0</v>
      </c>
      <c r="AC316" s="28">
        <f>(SUM($AC$91:AC315)+SUM($X$91:X315)+X316)*T316*IF(D316=$A$91,SRP_finalmonthfactor,1)</f>
        <v>0</v>
      </c>
      <c r="AD316" s="16">
        <f t="shared" si="167"/>
        <v>0</v>
      </c>
      <c r="AE316" s="106"/>
      <c r="AF316" s="16">
        <f t="shared" si="176"/>
        <v>0</v>
      </c>
      <c r="AG316" s="16">
        <f t="shared" si="177"/>
        <v>0</v>
      </c>
      <c r="AH316" s="16">
        <f t="shared" si="178"/>
        <v>0</v>
      </c>
      <c r="AJ316" s="13">
        <f t="shared" si="200"/>
        <v>0</v>
      </c>
      <c r="AK316" s="13">
        <f t="shared" si="200"/>
        <v>0</v>
      </c>
      <c r="AL316" s="13">
        <f t="shared" si="200"/>
        <v>0</v>
      </c>
      <c r="AM316" s="13">
        <f t="shared" si="200"/>
        <v>0</v>
      </c>
      <c r="AN316" s="13">
        <f t="shared" si="200"/>
        <v>0</v>
      </c>
      <c r="AO316" s="13">
        <f t="shared" si="200"/>
        <v>1</v>
      </c>
      <c r="AP316" s="13">
        <f t="shared" si="200"/>
        <v>1</v>
      </c>
      <c r="AQ316" s="13">
        <f t="shared" si="200"/>
        <v>1</v>
      </c>
      <c r="AR316" s="13">
        <f t="shared" si="200"/>
        <v>1</v>
      </c>
      <c r="AS316" s="13">
        <f t="shared" si="200"/>
        <v>1</v>
      </c>
      <c r="AT316" s="13">
        <f t="shared" si="200"/>
        <v>1</v>
      </c>
      <c r="AU316" s="13">
        <f t="shared" si="200"/>
        <v>1</v>
      </c>
      <c r="AV316" s="13">
        <f t="shared" si="168"/>
        <v>0</v>
      </c>
      <c r="AW316" s="13">
        <f t="shared" si="169"/>
        <v>1</v>
      </c>
      <c r="AY316" s="17">
        <f t="shared" si="170"/>
        <v>226</v>
      </c>
      <c r="AZ316" s="28">
        <f t="shared" si="179"/>
        <v>0</v>
      </c>
      <c r="BA316" s="13">
        <f t="shared" si="171"/>
        <v>0</v>
      </c>
      <c r="BB316" s="13">
        <f t="shared" si="172"/>
        <v>0</v>
      </c>
      <c r="BC316" s="28">
        <f t="shared" si="180"/>
        <v>0</v>
      </c>
      <c r="BD316" s="28">
        <f t="shared" si="181"/>
        <v>0</v>
      </c>
      <c r="BF316" s="248">
        <f t="shared" si="182"/>
        <v>993869.29442638322</v>
      </c>
      <c r="BG316" s="36">
        <f t="shared" si="190"/>
        <v>0</v>
      </c>
      <c r="BH316" s="36">
        <f t="shared" si="191"/>
        <v>824456.99382455542</v>
      </c>
      <c r="BI316" s="249">
        <f t="shared" si="192"/>
        <v>0</v>
      </c>
      <c r="BJ316" s="246">
        <f t="shared" si="193"/>
        <v>0</v>
      </c>
      <c r="BK316" s="246">
        <f t="shared" si="173"/>
        <v>7.531116566323881E-4</v>
      </c>
      <c r="BL316" s="246">
        <f t="shared" si="194"/>
        <v>0</v>
      </c>
      <c r="BM316" s="246">
        <f t="shared" si="195"/>
        <v>7.531116566323881E-4</v>
      </c>
      <c r="BN316" s="36">
        <f t="shared" si="183"/>
        <v>620.90817244136952</v>
      </c>
      <c r="BO316" s="36">
        <f t="shared" si="196"/>
        <v>0</v>
      </c>
      <c r="BP316" s="36">
        <f t="shared" si="197"/>
        <v>823836.08565211401</v>
      </c>
    </row>
    <row r="317" spans="1:68">
      <c r="A317" s="32">
        <f t="shared" si="184"/>
        <v>-142</v>
      </c>
      <c r="B317" s="32">
        <f t="shared" si="174"/>
        <v>71</v>
      </c>
      <c r="C317" s="32">
        <f t="shared" si="185"/>
        <v>19</v>
      </c>
      <c r="D317" s="32">
        <f t="shared" si="186"/>
        <v>227</v>
      </c>
      <c r="E317" s="74">
        <f>MIN(IF(AV317=0,0,
IF(Investment_Strategy="DIS",VLOOKUP(Investment_Strategy&amp;"_"&amp;Investment_Strategy_Sub1&amp;"_"&amp;$A317,'Investment Strategies'!$AZ:$BP,12,FALSE),
IF(AND(Investment_Strategy="Lifecycle",Investment_Strategy_Sub1="Non-Standard"),VLOOKUP(Investment_Strategy&amp;"_"&amp;Investment_Strategy_Sub2&amp;"_"&amp;$A317,'Investment Strategies'!$C:$P,9,FALSE),
IF(AND(Investment_Strategy="Lifecycle",Investment_Strategy_Sub1="Standard"),VLOOKUP(Investment_Strategy&amp;"_"&amp;Investment_Strategy_Sub2&amp;"_"&amp;$A317,'Investment Strategies'!$AJ:$AV,8,FALSE),
IF(AND(Investment_Strategy="Autopilot",Investment_Strategy_Sub1="Non-Standard"),VLOOKUP(Investment_Strategy&amp;"_"&amp;Investment_Strategy_Sub2&amp;"_"&amp;$A317,'Investment Strategies'!$T:$AF,8,FALSE),
IF(Investment_Strategy ="DIY",DIY_RateOfReturn_CurrentFunds,
"Error")))))),Max_InvReturn)</f>
        <v>0</v>
      </c>
      <c r="F317" s="62">
        <f>IF(AV317=0,0,
IF(Investment_Strategy="DIS",VLOOKUP(Investment_Strategy&amp;"_"&amp;Investment_Strategy_Sub1&amp;"_"&amp;$A317,'Investment Strategies'!$AZ:$BP,15,FALSE),
IF(AND(Investment_Strategy="Lifecycle",Investment_Strategy_Sub1="Non-Standard"),VLOOKUP(Investment_Strategy&amp;"_"&amp;Investment_Strategy_Sub2&amp;"_"&amp;$A317,'Investment Strategies'!$C:$P,12,FALSE),
IF(AND(Investment_Strategy="Lifecycle",Investment_Strategy_Sub1="Standard"),VLOOKUP(Investment_Strategy&amp;"_"&amp;Investment_Strategy_Sub2&amp;"_"&amp;$A317,'Investment Strategies'!$AJ:$AV,11,FALSE),
IF(AND(Investment_Strategy="Autopilot",Investment_Strategy_Sub1="Non-Standard"),VLOOKUP(Investment_Strategy&amp;"_"&amp;Investment_Strategy_Sub2&amp;"_"&amp;$A317,'Investment Strategies'!$T:$AF,11,FALSE),
IF(Investment_Strategy="DIY",DIY_GteeChrge_CurrentFunds,
"Error"))))))</f>
        <v>0</v>
      </c>
      <c r="G317" s="33">
        <f>IF(AV317=0,0,
IF(Investment_Strategy="DIS",VLOOKUP(Investment_Strategy&amp;"_"&amp;Investment_Strategy_Sub1&amp;"_"&amp;$A317,'Investment Strategies'!$AZ:$BP,17,FALSE),
IF(AND(Investment_Strategy="Lifecycle",Investment_Strategy_Sub1="Non-Standard"),VLOOKUP(Investment_Strategy&amp;"_"&amp;Investment_Strategy_Sub2&amp;"_"&amp;$A317,'Investment Strategies'!$C:$P,14,FALSE),
IF(AND(Investment_Strategy="Lifecycle",Investment_Strategy_Sub1="Standard"),VLOOKUP(Investment_Strategy&amp;"_"&amp;Investment_Strategy_Sub2&amp;"_"&amp;$A317,'Investment Strategies'!$AJ:$AV,13,FALSE),
IF(AND(Investment_Strategy="Autopilot",Investment_Strategy_Sub1="Non-Standard"),VLOOKUP(Investment_Strategy&amp;"_"&amp;Investment_Strategy_Sub2&amp;"_"&amp;$A317,'Investment Strategies'!$T:$AF,13,FALSE),
IF(Investment_Strategy="DIY",DIY_ExtManChrge_CurrentFunds,
"Error"))))))</f>
        <v>0</v>
      </c>
      <c r="H317" s="16">
        <f t="shared" si="175"/>
        <v>0</v>
      </c>
      <c r="I317" s="16">
        <f t="shared" si="159"/>
        <v>0</v>
      </c>
      <c r="J317" s="16">
        <f t="shared" si="160"/>
        <v>0</v>
      </c>
      <c r="K317" s="16">
        <f>(Opening_Fund_Value+SUM(K$91:K316))*E317*IF(D317=$A$91,SRP_finalmonthfactor,1)</f>
        <v>0</v>
      </c>
      <c r="L317" s="74">
        <f>MIN(IF($AV317=0,0,
IF(Investment_Strategy="DIS",VLOOKUP(Investment_Strategy&amp;"_"&amp;Investment_Strategy_Sub1&amp;"_"&amp;$A317,'Investment Strategies'!$AZ:$BP,12,FALSE),
IF(AND(Investment_Strategy="Lifecycle",Investment_Strategy_Sub1="Non-Standard"),VLOOKUP(Investment_Strategy&amp;"_"&amp;Investment_Strategy_Sub2&amp;"_"&amp;$A317,'Investment Strategies'!$C:$P,9,FALSE),
IF(AND(Investment_Strategy="Lifecycle",Investment_Strategy_Sub1="Standard"),VLOOKUP(Investment_Strategy&amp;"_"&amp;Investment_Strategy_Sub2&amp;"_"&amp;$A317,'Investment Strategies'!$AJ:$AV,8,FALSE),
IF(AND(Investment_Strategy="Autopilot",Investment_Strategy_Sub1="Non-Standard"),VLOOKUP(Investment_Strategy&amp;"_"&amp;Investment_Strategy_Sub2&amp;"_"&amp;$A317,'Investment Strategies'!$T:$AF,8,FALSE),
IF(Investment_Strategy ="DIY",DIY_RateofReturn_SP,
"Error")))))),Max_InvReturn)</f>
        <v>0</v>
      </c>
      <c r="M317" s="62">
        <f>IF($AV317=0,0,
IF(Investment_Strategy="DIS",VLOOKUP(Investment_Strategy&amp;"_"&amp;Investment_Strategy_Sub1&amp;"_"&amp;$A317,'Investment Strategies'!$AZ:$BP,15,FALSE),
IF(AND(Investment_Strategy="Lifecycle",Investment_Strategy_Sub1="Non-Standard"),VLOOKUP(Investment_Strategy&amp;"_"&amp;Investment_Strategy_Sub2&amp;"_"&amp;$A317,'Investment Strategies'!$C:$P,12,FALSE),
IF(AND(Investment_Strategy="Lifecycle",Investment_Strategy_Sub1="Standard"),VLOOKUP(Investment_Strategy&amp;"_"&amp;Investment_Strategy_Sub2&amp;"_"&amp;$A317,'Investment Strategies'!$AJ:$AV,11,FALSE),
IF(AND(Investment_Strategy="Autopilot",Investment_Strategy_Sub1="Non-Standard"),VLOOKUP(Investment_Strategy&amp;"_"&amp;Investment_Strategy_Sub2&amp;"_"&amp;$A317,'Investment Strategies'!$T:$AF,11,FALSE),
IF(Investment_Strategy="DIY",DIY_GteeChrge_SP,
"Error"))))))</f>
        <v>0</v>
      </c>
      <c r="N317" s="33">
        <f>IF($AV317=0,0,
IF(Investment_Strategy="DIS",VLOOKUP(Investment_Strategy&amp;"_"&amp;Investment_Strategy_Sub1&amp;"_"&amp;$A317,'Investment Strategies'!$AZ:$BP,17,FALSE),
IF(AND(Investment_Strategy="Lifecycle",Investment_Strategy_Sub1="Non-Standard"),VLOOKUP(Investment_Strategy&amp;"_"&amp;Investment_Strategy_Sub2&amp;"_"&amp;$A317,'Investment Strategies'!$C:$P,14,FALSE),
IF(AND(Investment_Strategy="Lifecycle",Investment_Strategy_Sub1="Standard"),VLOOKUP(Investment_Strategy&amp;"_"&amp;Investment_Strategy_Sub2&amp;"_"&amp;$A317,'Investment Strategies'!$AJ:$AV,13,FALSE),
IF(AND(Investment_Strategy="Autopilot",Investment_Strategy_Sub1="Non-Standard"),VLOOKUP(Investment_Strategy&amp;"_"&amp;Investment_Strategy_Sub2&amp;"_"&amp;$A317,'Investment Strategies'!$T:$AF,13,FALSE),
IF(Investment_Strategy="DIY",DIY_ExtManChrge_SP,
"Error"))))))</f>
        <v>0</v>
      </c>
      <c r="O317" s="16">
        <f t="shared" si="187"/>
        <v>0</v>
      </c>
      <c r="Q317" s="16">
        <f t="shared" si="161"/>
        <v>0</v>
      </c>
      <c r="R317" s="16">
        <f t="shared" si="162"/>
        <v>0</v>
      </c>
      <c r="S317" s="16">
        <f>(SRP_SP+SUM(S$91:S316))*L317*IF(D317=$A$91,SRP_finalmonthfactor,1)</f>
        <v>0</v>
      </c>
      <c r="T317" s="74">
        <f>MIN(IF($AV317=0,0,
IF(Investment_Strategy="DIS",VLOOKUP(Investment_Strategy&amp;"_"&amp;Investment_Strategy_Sub1&amp;"_"&amp;$A317,'Investment Strategies'!$AZ:$BP,12,FALSE),
IF(AND(Investment_Strategy="Lifecycle",Investment_Strategy_Sub1="Non-Standard"),VLOOKUP(Investment_Strategy&amp;"_"&amp;Investment_Strategy_Sub2&amp;"_"&amp;$A317,'Investment Strategies'!$C:$P,9,FALSE),
IF(AND(Investment_Strategy="Lifecycle",Investment_Strategy_Sub1="Standard"),VLOOKUP(Investment_Strategy&amp;"_"&amp;Investment_Strategy_Sub2&amp;"_"&amp;$A317,'Investment Strategies'!$AJ:$AV,8,FALSE),
IF(AND(Investment_Strategy="Autopilot",Investment_Strategy_Sub1="Non-Standard"),VLOOKUP(Investment_Strategy&amp;"_"&amp;Investment_Strategy_Sub2&amp;"_"&amp;$A317,'Investment Strategies'!$T:$AF,8,FALSE),
IF(Investment_Strategy ="DIY",DIY_RateOfReturn_FuturePremiums,
"Error")))))),Max_InvReturn)</f>
        <v>0</v>
      </c>
      <c r="U317" s="62">
        <f>IF($AV317=0,0,
IF(Investment_Strategy="DIS",VLOOKUP(Investment_Strategy&amp;"_"&amp;Investment_Strategy_Sub1&amp;"_"&amp;$A317,'Investment Strategies'!$AZ:$BP,15,FALSE),
IF(AND(Investment_Strategy="Lifecycle",Investment_Strategy_Sub1="Non-Standard"),VLOOKUP(Investment_Strategy&amp;"_"&amp;Investment_Strategy_Sub2&amp;"_"&amp;$A317,'Investment Strategies'!$C:$P,12,FALSE),
IF(AND(Investment_Strategy="Lifecycle",Investment_Strategy_Sub1="Standard"),VLOOKUP(Investment_Strategy&amp;"_"&amp;Investment_Strategy_Sub2&amp;"_"&amp;$A317,'Investment Strategies'!$AJ:$AV,11,FALSE),
IF(AND(Investment_Strategy="Autopilot",Investment_Strategy_Sub1="Non-Standard"),VLOOKUP(Investment_Strategy&amp;"_"&amp;Investment_Strategy_Sub2&amp;"_"&amp;$A317,'Investment Strategies'!$T:$AF,11,FALSE),
IF(Investment_Strategy="DIY",DIY_GteeChrge_FuturePremiums,
"Error"))))))</f>
        <v>0</v>
      </c>
      <c r="V317" s="33">
        <f>IF(AV317=0,0,
IF(Investment_Strategy="DIS",VLOOKUP(Investment_Strategy&amp;"_"&amp;Investment_Strategy_Sub1&amp;"_"&amp;$A317,'Investment Strategies'!$AZ:$BP,17,FALSE),
IF(AND(Investment_Strategy="Lifecycle",Investment_Strategy_Sub1="Non-Standard"),VLOOKUP(Investment_Strategy&amp;"_"&amp;Investment_Strategy_Sub2&amp;"_"&amp;$A317,'Investment Strategies'!$C:$P,14,FALSE),
IF(AND(Investment_Strategy="Lifecycle",Investment_Strategy_Sub1="Standard"),VLOOKUP(Investment_Strategy&amp;"_"&amp;Investment_Strategy_Sub2&amp;"_"&amp;$A317,'Investment Strategies'!$AJ:$AV,13,FALSE),
IF(AND(Investment_Strategy="Autopilot",Investment_Strategy_Sub1="Non-Standard"),VLOOKUP(Investment_Strategy&amp;"_"&amp;Investment_Strategy_Sub2&amp;"_"&amp;$A317,'Investment Strategies'!$T:$AF,13,FALSE),
IF(Investment_Strategy="DIY",DIY_ExtManChrge_FuturePremiums,
"Error"))))))</f>
        <v>0</v>
      </c>
      <c r="W317" s="16">
        <f t="shared" si="188"/>
        <v>0</v>
      </c>
      <c r="X317" s="16">
        <f t="shared" si="163"/>
        <v>0</v>
      </c>
      <c r="Y317" s="16">
        <f t="shared" si="164"/>
        <v>0</v>
      </c>
      <c r="Z317" s="31">
        <f t="shared" si="165"/>
        <v>0.02</v>
      </c>
      <c r="AA317" s="16">
        <f t="shared" si="166"/>
        <v>0</v>
      </c>
      <c r="AB317" s="28">
        <f t="shared" si="189"/>
        <v>0</v>
      </c>
      <c r="AC317" s="28">
        <f>(SUM($AC$91:AC316)+SUM($X$91:X316)+X317)*T317*IF(D317=$A$91,SRP_finalmonthfactor,1)</f>
        <v>0</v>
      </c>
      <c r="AD317" s="16">
        <f t="shared" si="167"/>
        <v>0</v>
      </c>
      <c r="AE317" s="106"/>
      <c r="AF317" s="16">
        <f t="shared" si="176"/>
        <v>0</v>
      </c>
      <c r="AG317" s="16">
        <f t="shared" si="177"/>
        <v>0</v>
      </c>
      <c r="AH317" s="16">
        <f t="shared" si="178"/>
        <v>0</v>
      </c>
      <c r="AJ317" s="13">
        <f t="shared" si="200"/>
        <v>0</v>
      </c>
      <c r="AK317" s="13">
        <f t="shared" si="200"/>
        <v>0</v>
      </c>
      <c r="AL317" s="13">
        <f t="shared" si="200"/>
        <v>0</v>
      </c>
      <c r="AM317" s="13">
        <f t="shared" si="200"/>
        <v>0</v>
      </c>
      <c r="AN317" s="13">
        <f t="shared" si="200"/>
        <v>0</v>
      </c>
      <c r="AO317" s="13">
        <f t="shared" si="200"/>
        <v>1</v>
      </c>
      <c r="AP317" s="13">
        <f t="shared" si="200"/>
        <v>1</v>
      </c>
      <c r="AQ317" s="13">
        <f t="shared" si="200"/>
        <v>1</v>
      </c>
      <c r="AR317" s="13">
        <f t="shared" si="200"/>
        <v>1</v>
      </c>
      <c r="AS317" s="13">
        <f t="shared" si="200"/>
        <v>1</v>
      </c>
      <c r="AT317" s="13">
        <f t="shared" si="200"/>
        <v>1</v>
      </c>
      <c r="AU317" s="13">
        <f t="shared" si="200"/>
        <v>1</v>
      </c>
      <c r="AV317" s="13">
        <f t="shared" si="168"/>
        <v>0</v>
      </c>
      <c r="AW317" s="13">
        <f t="shared" si="169"/>
        <v>1</v>
      </c>
      <c r="AY317" s="17">
        <f t="shared" si="170"/>
        <v>227</v>
      </c>
      <c r="AZ317" s="28">
        <f t="shared" si="179"/>
        <v>0</v>
      </c>
      <c r="BA317" s="13">
        <f t="shared" si="171"/>
        <v>0</v>
      </c>
      <c r="BB317" s="13">
        <f t="shared" si="172"/>
        <v>0</v>
      </c>
      <c r="BC317" s="28">
        <f t="shared" si="180"/>
        <v>0</v>
      </c>
      <c r="BD317" s="28">
        <f t="shared" si="181"/>
        <v>0</v>
      </c>
      <c r="BF317" s="248">
        <f t="shared" si="182"/>
        <v>993869.29442638322</v>
      </c>
      <c r="BG317" s="36">
        <f t="shared" si="190"/>
        <v>0</v>
      </c>
      <c r="BH317" s="36">
        <f t="shared" si="191"/>
        <v>823836.08565211401</v>
      </c>
      <c r="BI317" s="249">
        <f t="shared" si="192"/>
        <v>0</v>
      </c>
      <c r="BJ317" s="246">
        <f t="shared" si="193"/>
        <v>0</v>
      </c>
      <c r="BK317" s="246">
        <f t="shared" si="173"/>
        <v>7.531116566323881E-4</v>
      </c>
      <c r="BL317" s="246">
        <f t="shared" si="194"/>
        <v>0</v>
      </c>
      <c r="BM317" s="246">
        <f t="shared" si="195"/>
        <v>7.531116566323881E-4</v>
      </c>
      <c r="BN317" s="36">
        <f t="shared" si="183"/>
        <v>620.44055925900557</v>
      </c>
      <c r="BO317" s="36">
        <f t="shared" si="196"/>
        <v>0</v>
      </c>
      <c r="BP317" s="36">
        <f t="shared" si="197"/>
        <v>823215.64509285497</v>
      </c>
    </row>
    <row r="318" spans="1:68">
      <c r="A318" s="32">
        <f t="shared" si="184"/>
        <v>-143</v>
      </c>
      <c r="B318" s="32">
        <f t="shared" si="174"/>
        <v>71</v>
      </c>
      <c r="C318" s="32">
        <f t="shared" si="185"/>
        <v>19</v>
      </c>
      <c r="D318" s="32">
        <f t="shared" si="186"/>
        <v>228</v>
      </c>
      <c r="E318" s="74">
        <f>MIN(IF(AV318=0,0,
IF(Investment_Strategy="DIS",VLOOKUP(Investment_Strategy&amp;"_"&amp;Investment_Strategy_Sub1&amp;"_"&amp;$A318,'Investment Strategies'!$AZ:$BP,12,FALSE),
IF(AND(Investment_Strategy="Lifecycle",Investment_Strategy_Sub1="Non-Standard"),VLOOKUP(Investment_Strategy&amp;"_"&amp;Investment_Strategy_Sub2&amp;"_"&amp;$A318,'Investment Strategies'!$C:$P,9,FALSE),
IF(AND(Investment_Strategy="Lifecycle",Investment_Strategy_Sub1="Standard"),VLOOKUP(Investment_Strategy&amp;"_"&amp;Investment_Strategy_Sub2&amp;"_"&amp;$A318,'Investment Strategies'!$AJ:$AV,8,FALSE),
IF(AND(Investment_Strategy="Autopilot",Investment_Strategy_Sub1="Non-Standard"),VLOOKUP(Investment_Strategy&amp;"_"&amp;Investment_Strategy_Sub2&amp;"_"&amp;$A318,'Investment Strategies'!$T:$AF,8,FALSE),
IF(Investment_Strategy ="DIY",DIY_RateOfReturn_CurrentFunds,
"Error")))))),Max_InvReturn)</f>
        <v>0</v>
      </c>
      <c r="F318" s="62">
        <f>IF(AV318=0,0,
IF(Investment_Strategy="DIS",VLOOKUP(Investment_Strategy&amp;"_"&amp;Investment_Strategy_Sub1&amp;"_"&amp;$A318,'Investment Strategies'!$AZ:$BP,15,FALSE),
IF(AND(Investment_Strategy="Lifecycle",Investment_Strategy_Sub1="Non-Standard"),VLOOKUP(Investment_Strategy&amp;"_"&amp;Investment_Strategy_Sub2&amp;"_"&amp;$A318,'Investment Strategies'!$C:$P,12,FALSE),
IF(AND(Investment_Strategy="Lifecycle",Investment_Strategy_Sub1="Standard"),VLOOKUP(Investment_Strategy&amp;"_"&amp;Investment_Strategy_Sub2&amp;"_"&amp;$A318,'Investment Strategies'!$AJ:$AV,11,FALSE),
IF(AND(Investment_Strategy="Autopilot",Investment_Strategy_Sub1="Non-Standard"),VLOOKUP(Investment_Strategy&amp;"_"&amp;Investment_Strategy_Sub2&amp;"_"&amp;$A318,'Investment Strategies'!$T:$AF,11,FALSE),
IF(Investment_Strategy="DIY",DIY_GteeChrge_CurrentFunds,
"Error"))))))</f>
        <v>0</v>
      </c>
      <c r="G318" s="33">
        <f>IF(AV318=0,0,
IF(Investment_Strategy="DIS",VLOOKUP(Investment_Strategy&amp;"_"&amp;Investment_Strategy_Sub1&amp;"_"&amp;$A318,'Investment Strategies'!$AZ:$BP,17,FALSE),
IF(AND(Investment_Strategy="Lifecycle",Investment_Strategy_Sub1="Non-Standard"),VLOOKUP(Investment_Strategy&amp;"_"&amp;Investment_Strategy_Sub2&amp;"_"&amp;$A318,'Investment Strategies'!$C:$P,14,FALSE),
IF(AND(Investment_Strategy="Lifecycle",Investment_Strategy_Sub1="Standard"),VLOOKUP(Investment_Strategy&amp;"_"&amp;Investment_Strategy_Sub2&amp;"_"&amp;$A318,'Investment Strategies'!$AJ:$AV,13,FALSE),
IF(AND(Investment_Strategy="Autopilot",Investment_Strategy_Sub1="Non-Standard"),VLOOKUP(Investment_Strategy&amp;"_"&amp;Investment_Strategy_Sub2&amp;"_"&amp;$A318,'Investment Strategies'!$T:$AF,13,FALSE),
IF(Investment_Strategy="DIY",DIY_ExtManChrge_CurrentFunds,
"Error"))))))</f>
        <v>0</v>
      </c>
      <c r="H318" s="16">
        <f t="shared" si="175"/>
        <v>0</v>
      </c>
      <c r="I318" s="16">
        <f t="shared" si="159"/>
        <v>0</v>
      </c>
      <c r="J318" s="16">
        <f t="shared" si="160"/>
        <v>0</v>
      </c>
      <c r="K318" s="16">
        <f>(Opening_Fund_Value+SUM(K$91:K317))*E318*IF(D318=$A$91,SRP_finalmonthfactor,1)</f>
        <v>0</v>
      </c>
      <c r="L318" s="74">
        <f>MIN(IF($AV318=0,0,
IF(Investment_Strategy="DIS",VLOOKUP(Investment_Strategy&amp;"_"&amp;Investment_Strategy_Sub1&amp;"_"&amp;$A318,'Investment Strategies'!$AZ:$BP,12,FALSE),
IF(AND(Investment_Strategy="Lifecycle",Investment_Strategy_Sub1="Non-Standard"),VLOOKUP(Investment_Strategy&amp;"_"&amp;Investment_Strategy_Sub2&amp;"_"&amp;$A318,'Investment Strategies'!$C:$P,9,FALSE),
IF(AND(Investment_Strategy="Lifecycle",Investment_Strategy_Sub1="Standard"),VLOOKUP(Investment_Strategy&amp;"_"&amp;Investment_Strategy_Sub2&amp;"_"&amp;$A318,'Investment Strategies'!$AJ:$AV,8,FALSE),
IF(AND(Investment_Strategy="Autopilot",Investment_Strategy_Sub1="Non-Standard"),VLOOKUP(Investment_Strategy&amp;"_"&amp;Investment_Strategy_Sub2&amp;"_"&amp;$A318,'Investment Strategies'!$T:$AF,8,FALSE),
IF(Investment_Strategy ="DIY",DIY_RateofReturn_SP,
"Error")))))),Max_InvReturn)</f>
        <v>0</v>
      </c>
      <c r="M318" s="62">
        <f>IF($AV318=0,0,
IF(Investment_Strategy="DIS",VLOOKUP(Investment_Strategy&amp;"_"&amp;Investment_Strategy_Sub1&amp;"_"&amp;$A318,'Investment Strategies'!$AZ:$BP,15,FALSE),
IF(AND(Investment_Strategy="Lifecycle",Investment_Strategy_Sub1="Non-Standard"),VLOOKUP(Investment_Strategy&amp;"_"&amp;Investment_Strategy_Sub2&amp;"_"&amp;$A318,'Investment Strategies'!$C:$P,12,FALSE),
IF(AND(Investment_Strategy="Lifecycle",Investment_Strategy_Sub1="Standard"),VLOOKUP(Investment_Strategy&amp;"_"&amp;Investment_Strategy_Sub2&amp;"_"&amp;$A318,'Investment Strategies'!$AJ:$AV,11,FALSE),
IF(AND(Investment_Strategy="Autopilot",Investment_Strategy_Sub1="Non-Standard"),VLOOKUP(Investment_Strategy&amp;"_"&amp;Investment_Strategy_Sub2&amp;"_"&amp;$A318,'Investment Strategies'!$T:$AF,11,FALSE),
IF(Investment_Strategy="DIY",DIY_GteeChrge_SP,
"Error"))))))</f>
        <v>0</v>
      </c>
      <c r="N318" s="33">
        <f>IF($AV318=0,0,
IF(Investment_Strategy="DIS",VLOOKUP(Investment_Strategy&amp;"_"&amp;Investment_Strategy_Sub1&amp;"_"&amp;$A318,'Investment Strategies'!$AZ:$BP,17,FALSE),
IF(AND(Investment_Strategy="Lifecycle",Investment_Strategy_Sub1="Non-Standard"),VLOOKUP(Investment_Strategy&amp;"_"&amp;Investment_Strategy_Sub2&amp;"_"&amp;$A318,'Investment Strategies'!$C:$P,14,FALSE),
IF(AND(Investment_Strategy="Lifecycle",Investment_Strategy_Sub1="Standard"),VLOOKUP(Investment_Strategy&amp;"_"&amp;Investment_Strategy_Sub2&amp;"_"&amp;$A318,'Investment Strategies'!$AJ:$AV,13,FALSE),
IF(AND(Investment_Strategy="Autopilot",Investment_Strategy_Sub1="Non-Standard"),VLOOKUP(Investment_Strategy&amp;"_"&amp;Investment_Strategy_Sub2&amp;"_"&amp;$A318,'Investment Strategies'!$T:$AF,13,FALSE),
IF(Investment_Strategy="DIY",DIY_ExtManChrge_SP,
"Error"))))))</f>
        <v>0</v>
      </c>
      <c r="O318" s="16">
        <f t="shared" si="187"/>
        <v>0</v>
      </c>
      <c r="Q318" s="16">
        <f t="shared" si="161"/>
        <v>0</v>
      </c>
      <c r="R318" s="16">
        <f t="shared" si="162"/>
        <v>0</v>
      </c>
      <c r="S318" s="16">
        <f>(SRP_SP+SUM(S$91:S317))*L318*IF(D318=$A$91,SRP_finalmonthfactor,1)</f>
        <v>0</v>
      </c>
      <c r="T318" s="74">
        <f>MIN(IF($AV318=0,0,
IF(Investment_Strategy="DIS",VLOOKUP(Investment_Strategy&amp;"_"&amp;Investment_Strategy_Sub1&amp;"_"&amp;$A318,'Investment Strategies'!$AZ:$BP,12,FALSE),
IF(AND(Investment_Strategy="Lifecycle",Investment_Strategy_Sub1="Non-Standard"),VLOOKUP(Investment_Strategy&amp;"_"&amp;Investment_Strategy_Sub2&amp;"_"&amp;$A318,'Investment Strategies'!$C:$P,9,FALSE),
IF(AND(Investment_Strategy="Lifecycle",Investment_Strategy_Sub1="Standard"),VLOOKUP(Investment_Strategy&amp;"_"&amp;Investment_Strategy_Sub2&amp;"_"&amp;$A318,'Investment Strategies'!$AJ:$AV,8,FALSE),
IF(AND(Investment_Strategy="Autopilot",Investment_Strategy_Sub1="Non-Standard"),VLOOKUP(Investment_Strategy&amp;"_"&amp;Investment_Strategy_Sub2&amp;"_"&amp;$A318,'Investment Strategies'!$T:$AF,8,FALSE),
IF(Investment_Strategy ="DIY",DIY_RateOfReturn_FuturePremiums,
"Error")))))),Max_InvReturn)</f>
        <v>0</v>
      </c>
      <c r="U318" s="62">
        <f>IF($AV318=0,0,
IF(Investment_Strategy="DIS",VLOOKUP(Investment_Strategy&amp;"_"&amp;Investment_Strategy_Sub1&amp;"_"&amp;$A318,'Investment Strategies'!$AZ:$BP,15,FALSE),
IF(AND(Investment_Strategy="Lifecycle",Investment_Strategy_Sub1="Non-Standard"),VLOOKUP(Investment_Strategy&amp;"_"&amp;Investment_Strategy_Sub2&amp;"_"&amp;$A318,'Investment Strategies'!$C:$P,12,FALSE),
IF(AND(Investment_Strategy="Lifecycle",Investment_Strategy_Sub1="Standard"),VLOOKUP(Investment_Strategy&amp;"_"&amp;Investment_Strategy_Sub2&amp;"_"&amp;$A318,'Investment Strategies'!$AJ:$AV,11,FALSE),
IF(AND(Investment_Strategy="Autopilot",Investment_Strategy_Sub1="Non-Standard"),VLOOKUP(Investment_Strategy&amp;"_"&amp;Investment_Strategy_Sub2&amp;"_"&amp;$A318,'Investment Strategies'!$T:$AF,11,FALSE),
IF(Investment_Strategy="DIY",DIY_GteeChrge_FuturePremiums,
"Error"))))))</f>
        <v>0</v>
      </c>
      <c r="V318" s="33">
        <f>IF(AV318=0,0,
IF(Investment_Strategy="DIS",VLOOKUP(Investment_Strategy&amp;"_"&amp;Investment_Strategy_Sub1&amp;"_"&amp;$A318,'Investment Strategies'!$AZ:$BP,17,FALSE),
IF(AND(Investment_Strategy="Lifecycle",Investment_Strategy_Sub1="Non-Standard"),VLOOKUP(Investment_Strategy&amp;"_"&amp;Investment_Strategy_Sub2&amp;"_"&amp;$A318,'Investment Strategies'!$C:$P,14,FALSE),
IF(AND(Investment_Strategy="Lifecycle",Investment_Strategy_Sub1="Standard"),VLOOKUP(Investment_Strategy&amp;"_"&amp;Investment_Strategy_Sub2&amp;"_"&amp;$A318,'Investment Strategies'!$AJ:$AV,13,FALSE),
IF(AND(Investment_Strategy="Autopilot",Investment_Strategy_Sub1="Non-Standard"),VLOOKUP(Investment_Strategy&amp;"_"&amp;Investment_Strategy_Sub2&amp;"_"&amp;$A318,'Investment Strategies'!$T:$AF,13,FALSE),
IF(Investment_Strategy="DIY",DIY_ExtManChrge_FuturePremiums,
"Error"))))))</f>
        <v>0</v>
      </c>
      <c r="W318" s="16">
        <f t="shared" si="188"/>
        <v>0</v>
      </c>
      <c r="X318" s="16">
        <f t="shared" si="163"/>
        <v>0</v>
      </c>
      <c r="Y318" s="16">
        <f t="shared" si="164"/>
        <v>0</v>
      </c>
      <c r="Z318" s="31">
        <f t="shared" si="165"/>
        <v>0.02</v>
      </c>
      <c r="AA318" s="16">
        <f t="shared" si="166"/>
        <v>0</v>
      </c>
      <c r="AB318" s="28">
        <f t="shared" si="189"/>
        <v>0</v>
      </c>
      <c r="AC318" s="28">
        <f>(SUM($AC$91:AC317)+SUM($X$91:X317)+X318)*T318*IF(D318=$A$91,SRP_finalmonthfactor,1)</f>
        <v>0</v>
      </c>
      <c r="AD318" s="16">
        <f t="shared" si="167"/>
        <v>0</v>
      </c>
      <c r="AE318" s="106"/>
      <c r="AF318" s="16">
        <f t="shared" si="176"/>
        <v>0</v>
      </c>
      <c r="AG318" s="16">
        <f t="shared" si="177"/>
        <v>0</v>
      </c>
      <c r="AH318" s="16">
        <f t="shared" si="178"/>
        <v>0</v>
      </c>
      <c r="AJ318" s="13">
        <f t="shared" si="200"/>
        <v>0</v>
      </c>
      <c r="AK318" s="13">
        <f t="shared" si="200"/>
        <v>0</v>
      </c>
      <c r="AL318" s="13">
        <f t="shared" si="200"/>
        <v>0</v>
      </c>
      <c r="AM318" s="13">
        <f t="shared" si="200"/>
        <v>0</v>
      </c>
      <c r="AN318" s="13">
        <f t="shared" si="200"/>
        <v>0</v>
      </c>
      <c r="AO318" s="13">
        <f t="shared" si="200"/>
        <v>1</v>
      </c>
      <c r="AP318" s="13">
        <f t="shared" si="200"/>
        <v>1</v>
      </c>
      <c r="AQ318" s="13">
        <f t="shared" si="200"/>
        <v>1</v>
      </c>
      <c r="AR318" s="13">
        <f t="shared" si="200"/>
        <v>1</v>
      </c>
      <c r="AS318" s="13">
        <f t="shared" si="200"/>
        <v>1</v>
      </c>
      <c r="AT318" s="13">
        <f t="shared" si="200"/>
        <v>1</v>
      </c>
      <c r="AU318" s="13">
        <f t="shared" si="200"/>
        <v>1</v>
      </c>
      <c r="AV318" s="13">
        <f t="shared" si="168"/>
        <v>0</v>
      </c>
      <c r="AW318" s="13">
        <f t="shared" si="169"/>
        <v>1</v>
      </c>
      <c r="AY318" s="17">
        <f t="shared" si="170"/>
        <v>228</v>
      </c>
      <c r="AZ318" s="28">
        <f t="shared" si="179"/>
        <v>0</v>
      </c>
      <c r="BA318" s="13">
        <f t="shared" si="171"/>
        <v>0</v>
      </c>
      <c r="BB318" s="13">
        <f t="shared" si="172"/>
        <v>0</v>
      </c>
      <c r="BC318" s="28">
        <f t="shared" si="180"/>
        <v>0</v>
      </c>
      <c r="BD318" s="28">
        <f t="shared" si="181"/>
        <v>0</v>
      </c>
      <c r="BF318" s="248">
        <f t="shared" si="182"/>
        <v>993869.29442638322</v>
      </c>
      <c r="BG318" s="36">
        <f t="shared" si="190"/>
        <v>0</v>
      </c>
      <c r="BH318" s="36">
        <f t="shared" si="191"/>
        <v>823215.64509285497</v>
      </c>
      <c r="BI318" s="249">
        <f t="shared" si="192"/>
        <v>0</v>
      </c>
      <c r="BJ318" s="246">
        <f t="shared" si="193"/>
        <v>0</v>
      </c>
      <c r="BK318" s="246">
        <f t="shared" si="173"/>
        <v>7.531116566323881E-4</v>
      </c>
      <c r="BL318" s="246">
        <f t="shared" si="194"/>
        <v>0</v>
      </c>
      <c r="BM318" s="246">
        <f t="shared" si="195"/>
        <v>7.531116566323881E-4</v>
      </c>
      <c r="BN318" s="36">
        <f t="shared" si="183"/>
        <v>619.9732982415801</v>
      </c>
      <c r="BO318" s="36">
        <f t="shared" si="196"/>
        <v>0</v>
      </c>
      <c r="BP318" s="36">
        <f t="shared" si="197"/>
        <v>822595.67179461336</v>
      </c>
    </row>
    <row r="319" spans="1:68">
      <c r="A319" s="32">
        <f t="shared" si="184"/>
        <v>-144</v>
      </c>
      <c r="B319" s="32">
        <f t="shared" si="174"/>
        <v>72</v>
      </c>
      <c r="C319" s="32">
        <f t="shared" si="185"/>
        <v>20</v>
      </c>
      <c r="D319" s="32">
        <f t="shared" si="186"/>
        <v>229</v>
      </c>
      <c r="E319" s="74">
        <f>MIN(IF(AV319=0,0,
IF(Investment_Strategy="DIS",VLOOKUP(Investment_Strategy&amp;"_"&amp;Investment_Strategy_Sub1&amp;"_"&amp;$A319,'Investment Strategies'!$AZ:$BP,12,FALSE),
IF(AND(Investment_Strategy="Lifecycle",Investment_Strategy_Sub1="Non-Standard"),VLOOKUP(Investment_Strategy&amp;"_"&amp;Investment_Strategy_Sub2&amp;"_"&amp;$A319,'Investment Strategies'!$C:$P,9,FALSE),
IF(AND(Investment_Strategy="Lifecycle",Investment_Strategy_Sub1="Standard"),VLOOKUP(Investment_Strategy&amp;"_"&amp;Investment_Strategy_Sub2&amp;"_"&amp;$A319,'Investment Strategies'!$AJ:$AV,8,FALSE),
IF(AND(Investment_Strategy="Autopilot",Investment_Strategy_Sub1="Non-Standard"),VLOOKUP(Investment_Strategy&amp;"_"&amp;Investment_Strategy_Sub2&amp;"_"&amp;$A319,'Investment Strategies'!$T:$AF,8,FALSE),
IF(Investment_Strategy ="DIY",DIY_RateOfReturn_CurrentFunds,
"Error")))))),Max_InvReturn)</f>
        <v>0</v>
      </c>
      <c r="F319" s="62">
        <f>IF(AV319=0,0,
IF(Investment_Strategy="DIS",VLOOKUP(Investment_Strategy&amp;"_"&amp;Investment_Strategy_Sub1&amp;"_"&amp;$A319,'Investment Strategies'!$AZ:$BP,15,FALSE),
IF(AND(Investment_Strategy="Lifecycle",Investment_Strategy_Sub1="Non-Standard"),VLOOKUP(Investment_Strategy&amp;"_"&amp;Investment_Strategy_Sub2&amp;"_"&amp;$A319,'Investment Strategies'!$C:$P,12,FALSE),
IF(AND(Investment_Strategy="Lifecycle",Investment_Strategy_Sub1="Standard"),VLOOKUP(Investment_Strategy&amp;"_"&amp;Investment_Strategy_Sub2&amp;"_"&amp;$A319,'Investment Strategies'!$AJ:$AV,11,FALSE),
IF(AND(Investment_Strategy="Autopilot",Investment_Strategy_Sub1="Non-Standard"),VLOOKUP(Investment_Strategy&amp;"_"&amp;Investment_Strategy_Sub2&amp;"_"&amp;$A319,'Investment Strategies'!$T:$AF,11,FALSE),
IF(Investment_Strategy="DIY",DIY_GteeChrge_CurrentFunds,
"Error"))))))</f>
        <v>0</v>
      </c>
      <c r="G319" s="33">
        <f>IF(AV319=0,0,
IF(Investment_Strategy="DIS",VLOOKUP(Investment_Strategy&amp;"_"&amp;Investment_Strategy_Sub1&amp;"_"&amp;$A319,'Investment Strategies'!$AZ:$BP,17,FALSE),
IF(AND(Investment_Strategy="Lifecycle",Investment_Strategy_Sub1="Non-Standard"),VLOOKUP(Investment_Strategy&amp;"_"&amp;Investment_Strategy_Sub2&amp;"_"&amp;$A319,'Investment Strategies'!$C:$P,14,FALSE),
IF(AND(Investment_Strategy="Lifecycle",Investment_Strategy_Sub1="Standard"),VLOOKUP(Investment_Strategy&amp;"_"&amp;Investment_Strategy_Sub2&amp;"_"&amp;$A319,'Investment Strategies'!$AJ:$AV,13,FALSE),
IF(AND(Investment_Strategy="Autopilot",Investment_Strategy_Sub1="Non-Standard"),VLOOKUP(Investment_Strategy&amp;"_"&amp;Investment_Strategy_Sub2&amp;"_"&amp;$A319,'Investment Strategies'!$T:$AF,13,FALSE),
IF(Investment_Strategy="DIY",DIY_ExtManChrge_CurrentFunds,
"Error"))))))</f>
        <v>0</v>
      </c>
      <c r="H319" s="16">
        <f t="shared" si="175"/>
        <v>0</v>
      </c>
      <c r="I319" s="16">
        <f t="shared" si="159"/>
        <v>0</v>
      </c>
      <c r="J319" s="16">
        <f t="shared" si="160"/>
        <v>0</v>
      </c>
      <c r="K319" s="16">
        <f>(Opening_Fund_Value+SUM(K$91:K318))*E319*IF(D319=$A$91,SRP_finalmonthfactor,1)</f>
        <v>0</v>
      </c>
      <c r="L319" s="74">
        <f>MIN(IF($AV319=0,0,
IF(Investment_Strategy="DIS",VLOOKUP(Investment_Strategy&amp;"_"&amp;Investment_Strategy_Sub1&amp;"_"&amp;$A319,'Investment Strategies'!$AZ:$BP,12,FALSE),
IF(AND(Investment_Strategy="Lifecycle",Investment_Strategy_Sub1="Non-Standard"),VLOOKUP(Investment_Strategy&amp;"_"&amp;Investment_Strategy_Sub2&amp;"_"&amp;$A319,'Investment Strategies'!$C:$P,9,FALSE),
IF(AND(Investment_Strategy="Lifecycle",Investment_Strategy_Sub1="Standard"),VLOOKUP(Investment_Strategy&amp;"_"&amp;Investment_Strategy_Sub2&amp;"_"&amp;$A319,'Investment Strategies'!$AJ:$AV,8,FALSE),
IF(AND(Investment_Strategy="Autopilot",Investment_Strategy_Sub1="Non-Standard"),VLOOKUP(Investment_Strategy&amp;"_"&amp;Investment_Strategy_Sub2&amp;"_"&amp;$A319,'Investment Strategies'!$T:$AF,8,FALSE),
IF(Investment_Strategy ="DIY",DIY_RateofReturn_SP,
"Error")))))),Max_InvReturn)</f>
        <v>0</v>
      </c>
      <c r="M319" s="62">
        <f>IF($AV319=0,0,
IF(Investment_Strategy="DIS",VLOOKUP(Investment_Strategy&amp;"_"&amp;Investment_Strategy_Sub1&amp;"_"&amp;$A319,'Investment Strategies'!$AZ:$BP,15,FALSE),
IF(AND(Investment_Strategy="Lifecycle",Investment_Strategy_Sub1="Non-Standard"),VLOOKUP(Investment_Strategy&amp;"_"&amp;Investment_Strategy_Sub2&amp;"_"&amp;$A319,'Investment Strategies'!$C:$P,12,FALSE),
IF(AND(Investment_Strategy="Lifecycle",Investment_Strategy_Sub1="Standard"),VLOOKUP(Investment_Strategy&amp;"_"&amp;Investment_Strategy_Sub2&amp;"_"&amp;$A319,'Investment Strategies'!$AJ:$AV,11,FALSE),
IF(AND(Investment_Strategy="Autopilot",Investment_Strategy_Sub1="Non-Standard"),VLOOKUP(Investment_Strategy&amp;"_"&amp;Investment_Strategy_Sub2&amp;"_"&amp;$A319,'Investment Strategies'!$T:$AF,11,FALSE),
IF(Investment_Strategy="DIY",DIY_GteeChrge_SP,
"Error"))))))</f>
        <v>0</v>
      </c>
      <c r="N319" s="33">
        <f>IF($AV319=0,0,
IF(Investment_Strategy="DIS",VLOOKUP(Investment_Strategy&amp;"_"&amp;Investment_Strategy_Sub1&amp;"_"&amp;$A319,'Investment Strategies'!$AZ:$BP,17,FALSE),
IF(AND(Investment_Strategy="Lifecycle",Investment_Strategy_Sub1="Non-Standard"),VLOOKUP(Investment_Strategy&amp;"_"&amp;Investment_Strategy_Sub2&amp;"_"&amp;$A319,'Investment Strategies'!$C:$P,14,FALSE),
IF(AND(Investment_Strategy="Lifecycle",Investment_Strategy_Sub1="Standard"),VLOOKUP(Investment_Strategy&amp;"_"&amp;Investment_Strategy_Sub2&amp;"_"&amp;$A319,'Investment Strategies'!$AJ:$AV,13,FALSE),
IF(AND(Investment_Strategy="Autopilot",Investment_Strategy_Sub1="Non-Standard"),VLOOKUP(Investment_Strategy&amp;"_"&amp;Investment_Strategy_Sub2&amp;"_"&amp;$A319,'Investment Strategies'!$T:$AF,13,FALSE),
IF(Investment_Strategy="DIY",DIY_ExtManChrge_SP,
"Error"))))))</f>
        <v>0</v>
      </c>
      <c r="O319" s="16">
        <f t="shared" si="187"/>
        <v>0</v>
      </c>
      <c r="Q319" s="16">
        <f t="shared" si="161"/>
        <v>0</v>
      </c>
      <c r="R319" s="16">
        <f t="shared" si="162"/>
        <v>0</v>
      </c>
      <c r="S319" s="16">
        <f>(SRP_SP+SUM(S$91:S318))*L319*IF(D319=$A$91,SRP_finalmonthfactor,1)</f>
        <v>0</v>
      </c>
      <c r="T319" s="74">
        <f>MIN(IF($AV319=0,0,
IF(Investment_Strategy="DIS",VLOOKUP(Investment_Strategy&amp;"_"&amp;Investment_Strategy_Sub1&amp;"_"&amp;$A319,'Investment Strategies'!$AZ:$BP,12,FALSE),
IF(AND(Investment_Strategy="Lifecycle",Investment_Strategy_Sub1="Non-Standard"),VLOOKUP(Investment_Strategy&amp;"_"&amp;Investment_Strategy_Sub2&amp;"_"&amp;$A319,'Investment Strategies'!$C:$P,9,FALSE),
IF(AND(Investment_Strategy="Lifecycle",Investment_Strategy_Sub1="Standard"),VLOOKUP(Investment_Strategy&amp;"_"&amp;Investment_Strategy_Sub2&amp;"_"&amp;$A319,'Investment Strategies'!$AJ:$AV,8,FALSE),
IF(AND(Investment_Strategy="Autopilot",Investment_Strategy_Sub1="Non-Standard"),VLOOKUP(Investment_Strategy&amp;"_"&amp;Investment_Strategy_Sub2&amp;"_"&amp;$A319,'Investment Strategies'!$T:$AF,8,FALSE),
IF(Investment_Strategy ="DIY",DIY_RateOfReturn_FuturePremiums,
"Error")))))),Max_InvReturn)</f>
        <v>0</v>
      </c>
      <c r="U319" s="62">
        <f>IF($AV319=0,0,
IF(Investment_Strategy="DIS",VLOOKUP(Investment_Strategy&amp;"_"&amp;Investment_Strategy_Sub1&amp;"_"&amp;$A319,'Investment Strategies'!$AZ:$BP,15,FALSE),
IF(AND(Investment_Strategy="Lifecycle",Investment_Strategy_Sub1="Non-Standard"),VLOOKUP(Investment_Strategy&amp;"_"&amp;Investment_Strategy_Sub2&amp;"_"&amp;$A319,'Investment Strategies'!$C:$P,12,FALSE),
IF(AND(Investment_Strategy="Lifecycle",Investment_Strategy_Sub1="Standard"),VLOOKUP(Investment_Strategy&amp;"_"&amp;Investment_Strategy_Sub2&amp;"_"&amp;$A319,'Investment Strategies'!$AJ:$AV,11,FALSE),
IF(AND(Investment_Strategy="Autopilot",Investment_Strategy_Sub1="Non-Standard"),VLOOKUP(Investment_Strategy&amp;"_"&amp;Investment_Strategy_Sub2&amp;"_"&amp;$A319,'Investment Strategies'!$T:$AF,11,FALSE),
IF(Investment_Strategy="DIY",DIY_GteeChrge_FuturePremiums,
"Error"))))))</f>
        <v>0</v>
      </c>
      <c r="V319" s="33">
        <f>IF(AV319=0,0,
IF(Investment_Strategy="DIS",VLOOKUP(Investment_Strategy&amp;"_"&amp;Investment_Strategy_Sub1&amp;"_"&amp;$A319,'Investment Strategies'!$AZ:$BP,17,FALSE),
IF(AND(Investment_Strategy="Lifecycle",Investment_Strategy_Sub1="Non-Standard"),VLOOKUP(Investment_Strategy&amp;"_"&amp;Investment_Strategy_Sub2&amp;"_"&amp;$A319,'Investment Strategies'!$C:$P,14,FALSE),
IF(AND(Investment_Strategy="Lifecycle",Investment_Strategy_Sub1="Standard"),VLOOKUP(Investment_Strategy&amp;"_"&amp;Investment_Strategy_Sub2&amp;"_"&amp;$A319,'Investment Strategies'!$AJ:$AV,13,FALSE),
IF(AND(Investment_Strategy="Autopilot",Investment_Strategy_Sub1="Non-Standard"),VLOOKUP(Investment_Strategy&amp;"_"&amp;Investment_Strategy_Sub2&amp;"_"&amp;$A319,'Investment Strategies'!$T:$AF,13,FALSE),
IF(Investment_Strategy="DIY",DIY_ExtManChrge_FuturePremiums,
"Error"))))))</f>
        <v>0</v>
      </c>
      <c r="W319" s="16">
        <f t="shared" si="188"/>
        <v>0</v>
      </c>
      <c r="X319" s="16">
        <f t="shared" si="163"/>
        <v>0</v>
      </c>
      <c r="Y319" s="16">
        <f t="shared" si="164"/>
        <v>0</v>
      </c>
      <c r="Z319" s="31">
        <f t="shared" si="165"/>
        <v>0.02</v>
      </c>
      <c r="AA319" s="16">
        <f t="shared" si="166"/>
        <v>0</v>
      </c>
      <c r="AB319" s="28">
        <f t="shared" si="189"/>
        <v>0</v>
      </c>
      <c r="AC319" s="28">
        <f>(SUM($AC$91:AC318)+SUM($X$91:X318)+X319)*T319*IF(D319=$A$91,SRP_finalmonthfactor,1)</f>
        <v>0</v>
      </c>
      <c r="AD319" s="16">
        <f t="shared" si="167"/>
        <v>0</v>
      </c>
      <c r="AE319" s="106"/>
      <c r="AF319" s="16">
        <f t="shared" si="176"/>
        <v>0</v>
      </c>
      <c r="AG319" s="16">
        <f t="shared" si="177"/>
        <v>0</v>
      </c>
      <c r="AH319" s="16">
        <f t="shared" si="178"/>
        <v>0</v>
      </c>
      <c r="AJ319" s="13">
        <f t="shared" si="200"/>
        <v>0</v>
      </c>
      <c r="AK319" s="13">
        <f t="shared" si="200"/>
        <v>0</v>
      </c>
      <c r="AL319" s="13">
        <f t="shared" si="200"/>
        <v>0</v>
      </c>
      <c r="AM319" s="13">
        <f t="shared" si="200"/>
        <v>0</v>
      </c>
      <c r="AN319" s="13">
        <f t="shared" si="200"/>
        <v>0</v>
      </c>
      <c r="AO319" s="13">
        <f t="shared" si="200"/>
        <v>1</v>
      </c>
      <c r="AP319" s="13">
        <f t="shared" si="200"/>
        <v>1</v>
      </c>
      <c r="AQ319" s="13">
        <f t="shared" si="200"/>
        <v>1</v>
      </c>
      <c r="AR319" s="13">
        <f t="shared" si="200"/>
        <v>1</v>
      </c>
      <c r="AS319" s="13">
        <f t="shared" si="200"/>
        <v>1</v>
      </c>
      <c r="AT319" s="13">
        <f t="shared" si="200"/>
        <v>1</v>
      </c>
      <c r="AU319" s="13">
        <f t="shared" si="200"/>
        <v>1</v>
      </c>
      <c r="AV319" s="13">
        <f t="shared" si="168"/>
        <v>0</v>
      </c>
      <c r="AW319" s="13">
        <f t="shared" si="169"/>
        <v>1</v>
      </c>
      <c r="AY319" s="17">
        <f t="shared" si="170"/>
        <v>229</v>
      </c>
      <c r="AZ319" s="28">
        <f t="shared" si="179"/>
        <v>0</v>
      </c>
      <c r="BA319" s="13">
        <f t="shared" si="171"/>
        <v>0</v>
      </c>
      <c r="BB319" s="13">
        <f t="shared" si="172"/>
        <v>0</v>
      </c>
      <c r="BC319" s="28">
        <f t="shared" si="180"/>
        <v>0</v>
      </c>
      <c r="BD319" s="28">
        <f t="shared" si="181"/>
        <v>0</v>
      </c>
      <c r="BF319" s="248">
        <f t="shared" si="182"/>
        <v>993869.29442638322</v>
      </c>
      <c r="BG319" s="36">
        <f t="shared" si="190"/>
        <v>0</v>
      </c>
      <c r="BH319" s="36">
        <f t="shared" si="191"/>
        <v>822595.67179461336</v>
      </c>
      <c r="BI319" s="249">
        <f t="shared" si="192"/>
        <v>0</v>
      </c>
      <c r="BJ319" s="246">
        <f t="shared" si="193"/>
        <v>0</v>
      </c>
      <c r="BK319" s="246">
        <f t="shared" si="173"/>
        <v>7.531116566323881E-4</v>
      </c>
      <c r="BL319" s="246">
        <f t="shared" si="194"/>
        <v>0</v>
      </c>
      <c r="BM319" s="246">
        <f t="shared" si="195"/>
        <v>7.531116566323881E-4</v>
      </c>
      <c r="BN319" s="36">
        <f t="shared" si="183"/>
        <v>619.50638912387342</v>
      </c>
      <c r="BO319" s="36">
        <f t="shared" si="196"/>
        <v>0</v>
      </c>
      <c r="BP319" s="36">
        <f t="shared" si="197"/>
        <v>821976.1654054895</v>
      </c>
    </row>
    <row r="320" spans="1:68">
      <c r="A320" s="32">
        <f t="shared" si="184"/>
        <v>-145</v>
      </c>
      <c r="B320" s="32">
        <f t="shared" si="174"/>
        <v>72</v>
      </c>
      <c r="C320" s="32">
        <f t="shared" si="185"/>
        <v>20</v>
      </c>
      <c r="D320" s="32">
        <f t="shared" si="186"/>
        <v>230</v>
      </c>
      <c r="E320" s="74">
        <f>MIN(IF(AV320=0,0,
IF(Investment_Strategy="DIS",VLOOKUP(Investment_Strategy&amp;"_"&amp;Investment_Strategy_Sub1&amp;"_"&amp;$A320,'Investment Strategies'!$AZ:$BP,12,FALSE),
IF(AND(Investment_Strategy="Lifecycle",Investment_Strategy_Sub1="Non-Standard"),VLOOKUP(Investment_Strategy&amp;"_"&amp;Investment_Strategy_Sub2&amp;"_"&amp;$A320,'Investment Strategies'!$C:$P,9,FALSE),
IF(AND(Investment_Strategy="Lifecycle",Investment_Strategy_Sub1="Standard"),VLOOKUP(Investment_Strategy&amp;"_"&amp;Investment_Strategy_Sub2&amp;"_"&amp;$A320,'Investment Strategies'!$AJ:$AV,8,FALSE),
IF(AND(Investment_Strategy="Autopilot",Investment_Strategy_Sub1="Non-Standard"),VLOOKUP(Investment_Strategy&amp;"_"&amp;Investment_Strategy_Sub2&amp;"_"&amp;$A320,'Investment Strategies'!$T:$AF,8,FALSE),
IF(Investment_Strategy ="DIY",DIY_RateOfReturn_CurrentFunds,
"Error")))))),Max_InvReturn)</f>
        <v>0</v>
      </c>
      <c r="F320" s="62">
        <f>IF(AV320=0,0,
IF(Investment_Strategy="DIS",VLOOKUP(Investment_Strategy&amp;"_"&amp;Investment_Strategy_Sub1&amp;"_"&amp;$A320,'Investment Strategies'!$AZ:$BP,15,FALSE),
IF(AND(Investment_Strategy="Lifecycle",Investment_Strategy_Sub1="Non-Standard"),VLOOKUP(Investment_Strategy&amp;"_"&amp;Investment_Strategy_Sub2&amp;"_"&amp;$A320,'Investment Strategies'!$C:$P,12,FALSE),
IF(AND(Investment_Strategy="Lifecycle",Investment_Strategy_Sub1="Standard"),VLOOKUP(Investment_Strategy&amp;"_"&amp;Investment_Strategy_Sub2&amp;"_"&amp;$A320,'Investment Strategies'!$AJ:$AV,11,FALSE),
IF(AND(Investment_Strategy="Autopilot",Investment_Strategy_Sub1="Non-Standard"),VLOOKUP(Investment_Strategy&amp;"_"&amp;Investment_Strategy_Sub2&amp;"_"&amp;$A320,'Investment Strategies'!$T:$AF,11,FALSE),
IF(Investment_Strategy="DIY",DIY_GteeChrge_CurrentFunds,
"Error"))))))</f>
        <v>0</v>
      </c>
      <c r="G320" s="33">
        <f>IF(AV320=0,0,
IF(Investment_Strategy="DIS",VLOOKUP(Investment_Strategy&amp;"_"&amp;Investment_Strategy_Sub1&amp;"_"&amp;$A320,'Investment Strategies'!$AZ:$BP,17,FALSE),
IF(AND(Investment_Strategy="Lifecycle",Investment_Strategy_Sub1="Non-Standard"),VLOOKUP(Investment_Strategy&amp;"_"&amp;Investment_Strategy_Sub2&amp;"_"&amp;$A320,'Investment Strategies'!$C:$P,14,FALSE),
IF(AND(Investment_Strategy="Lifecycle",Investment_Strategy_Sub1="Standard"),VLOOKUP(Investment_Strategy&amp;"_"&amp;Investment_Strategy_Sub2&amp;"_"&amp;$A320,'Investment Strategies'!$AJ:$AV,13,FALSE),
IF(AND(Investment_Strategy="Autopilot",Investment_Strategy_Sub1="Non-Standard"),VLOOKUP(Investment_Strategy&amp;"_"&amp;Investment_Strategy_Sub2&amp;"_"&amp;$A320,'Investment Strategies'!$T:$AF,13,FALSE),
IF(Investment_Strategy="DIY",DIY_ExtManChrge_CurrentFunds,
"Error"))))))</f>
        <v>0</v>
      </c>
      <c r="H320" s="16">
        <f t="shared" si="175"/>
        <v>0</v>
      </c>
      <c r="I320" s="16">
        <f t="shared" si="159"/>
        <v>0</v>
      </c>
      <c r="J320" s="16">
        <f t="shared" si="160"/>
        <v>0</v>
      </c>
      <c r="K320" s="16">
        <f>(Opening_Fund_Value+SUM(K$91:K319))*E320*IF(D320=$A$91,SRP_finalmonthfactor,1)</f>
        <v>0</v>
      </c>
      <c r="L320" s="74">
        <f>MIN(IF($AV320=0,0,
IF(Investment_Strategy="DIS",VLOOKUP(Investment_Strategy&amp;"_"&amp;Investment_Strategy_Sub1&amp;"_"&amp;$A320,'Investment Strategies'!$AZ:$BP,12,FALSE),
IF(AND(Investment_Strategy="Lifecycle",Investment_Strategy_Sub1="Non-Standard"),VLOOKUP(Investment_Strategy&amp;"_"&amp;Investment_Strategy_Sub2&amp;"_"&amp;$A320,'Investment Strategies'!$C:$P,9,FALSE),
IF(AND(Investment_Strategy="Lifecycle",Investment_Strategy_Sub1="Standard"),VLOOKUP(Investment_Strategy&amp;"_"&amp;Investment_Strategy_Sub2&amp;"_"&amp;$A320,'Investment Strategies'!$AJ:$AV,8,FALSE),
IF(AND(Investment_Strategy="Autopilot",Investment_Strategy_Sub1="Non-Standard"),VLOOKUP(Investment_Strategy&amp;"_"&amp;Investment_Strategy_Sub2&amp;"_"&amp;$A320,'Investment Strategies'!$T:$AF,8,FALSE),
IF(Investment_Strategy ="DIY",DIY_RateofReturn_SP,
"Error")))))),Max_InvReturn)</f>
        <v>0</v>
      </c>
      <c r="M320" s="62">
        <f>IF($AV320=0,0,
IF(Investment_Strategy="DIS",VLOOKUP(Investment_Strategy&amp;"_"&amp;Investment_Strategy_Sub1&amp;"_"&amp;$A320,'Investment Strategies'!$AZ:$BP,15,FALSE),
IF(AND(Investment_Strategy="Lifecycle",Investment_Strategy_Sub1="Non-Standard"),VLOOKUP(Investment_Strategy&amp;"_"&amp;Investment_Strategy_Sub2&amp;"_"&amp;$A320,'Investment Strategies'!$C:$P,12,FALSE),
IF(AND(Investment_Strategy="Lifecycle",Investment_Strategy_Sub1="Standard"),VLOOKUP(Investment_Strategy&amp;"_"&amp;Investment_Strategy_Sub2&amp;"_"&amp;$A320,'Investment Strategies'!$AJ:$AV,11,FALSE),
IF(AND(Investment_Strategy="Autopilot",Investment_Strategy_Sub1="Non-Standard"),VLOOKUP(Investment_Strategy&amp;"_"&amp;Investment_Strategy_Sub2&amp;"_"&amp;$A320,'Investment Strategies'!$T:$AF,11,FALSE),
IF(Investment_Strategy="DIY",DIY_GteeChrge_SP,
"Error"))))))</f>
        <v>0</v>
      </c>
      <c r="N320" s="33">
        <f>IF($AV320=0,0,
IF(Investment_Strategy="DIS",VLOOKUP(Investment_Strategy&amp;"_"&amp;Investment_Strategy_Sub1&amp;"_"&amp;$A320,'Investment Strategies'!$AZ:$BP,17,FALSE),
IF(AND(Investment_Strategy="Lifecycle",Investment_Strategy_Sub1="Non-Standard"),VLOOKUP(Investment_Strategy&amp;"_"&amp;Investment_Strategy_Sub2&amp;"_"&amp;$A320,'Investment Strategies'!$C:$P,14,FALSE),
IF(AND(Investment_Strategy="Lifecycle",Investment_Strategy_Sub1="Standard"),VLOOKUP(Investment_Strategy&amp;"_"&amp;Investment_Strategy_Sub2&amp;"_"&amp;$A320,'Investment Strategies'!$AJ:$AV,13,FALSE),
IF(AND(Investment_Strategy="Autopilot",Investment_Strategy_Sub1="Non-Standard"),VLOOKUP(Investment_Strategy&amp;"_"&amp;Investment_Strategy_Sub2&amp;"_"&amp;$A320,'Investment Strategies'!$T:$AF,13,FALSE),
IF(Investment_Strategy="DIY",DIY_ExtManChrge_SP,
"Error"))))))</f>
        <v>0</v>
      </c>
      <c r="O320" s="16">
        <f t="shared" si="187"/>
        <v>0</v>
      </c>
      <c r="Q320" s="16">
        <f t="shared" si="161"/>
        <v>0</v>
      </c>
      <c r="R320" s="16">
        <f t="shared" si="162"/>
        <v>0</v>
      </c>
      <c r="S320" s="16">
        <f>(SRP_SP+SUM(S$91:S319))*L320*IF(D320=$A$91,SRP_finalmonthfactor,1)</f>
        <v>0</v>
      </c>
      <c r="T320" s="74">
        <f>MIN(IF($AV320=0,0,
IF(Investment_Strategy="DIS",VLOOKUP(Investment_Strategy&amp;"_"&amp;Investment_Strategy_Sub1&amp;"_"&amp;$A320,'Investment Strategies'!$AZ:$BP,12,FALSE),
IF(AND(Investment_Strategy="Lifecycle",Investment_Strategy_Sub1="Non-Standard"),VLOOKUP(Investment_Strategy&amp;"_"&amp;Investment_Strategy_Sub2&amp;"_"&amp;$A320,'Investment Strategies'!$C:$P,9,FALSE),
IF(AND(Investment_Strategy="Lifecycle",Investment_Strategy_Sub1="Standard"),VLOOKUP(Investment_Strategy&amp;"_"&amp;Investment_Strategy_Sub2&amp;"_"&amp;$A320,'Investment Strategies'!$AJ:$AV,8,FALSE),
IF(AND(Investment_Strategy="Autopilot",Investment_Strategy_Sub1="Non-Standard"),VLOOKUP(Investment_Strategy&amp;"_"&amp;Investment_Strategy_Sub2&amp;"_"&amp;$A320,'Investment Strategies'!$T:$AF,8,FALSE),
IF(Investment_Strategy ="DIY",DIY_RateOfReturn_FuturePremiums,
"Error")))))),Max_InvReturn)</f>
        <v>0</v>
      </c>
      <c r="U320" s="62">
        <f>IF($AV320=0,0,
IF(Investment_Strategy="DIS",VLOOKUP(Investment_Strategy&amp;"_"&amp;Investment_Strategy_Sub1&amp;"_"&amp;$A320,'Investment Strategies'!$AZ:$BP,15,FALSE),
IF(AND(Investment_Strategy="Lifecycle",Investment_Strategy_Sub1="Non-Standard"),VLOOKUP(Investment_Strategy&amp;"_"&amp;Investment_Strategy_Sub2&amp;"_"&amp;$A320,'Investment Strategies'!$C:$P,12,FALSE),
IF(AND(Investment_Strategy="Lifecycle",Investment_Strategy_Sub1="Standard"),VLOOKUP(Investment_Strategy&amp;"_"&amp;Investment_Strategy_Sub2&amp;"_"&amp;$A320,'Investment Strategies'!$AJ:$AV,11,FALSE),
IF(AND(Investment_Strategy="Autopilot",Investment_Strategy_Sub1="Non-Standard"),VLOOKUP(Investment_Strategy&amp;"_"&amp;Investment_Strategy_Sub2&amp;"_"&amp;$A320,'Investment Strategies'!$T:$AF,11,FALSE),
IF(Investment_Strategy="DIY",DIY_GteeChrge_FuturePremiums,
"Error"))))))</f>
        <v>0</v>
      </c>
      <c r="V320" s="33">
        <f>IF(AV320=0,0,
IF(Investment_Strategy="DIS",VLOOKUP(Investment_Strategy&amp;"_"&amp;Investment_Strategy_Sub1&amp;"_"&amp;$A320,'Investment Strategies'!$AZ:$BP,17,FALSE),
IF(AND(Investment_Strategy="Lifecycle",Investment_Strategy_Sub1="Non-Standard"),VLOOKUP(Investment_Strategy&amp;"_"&amp;Investment_Strategy_Sub2&amp;"_"&amp;$A320,'Investment Strategies'!$C:$P,14,FALSE),
IF(AND(Investment_Strategy="Lifecycle",Investment_Strategy_Sub1="Standard"),VLOOKUP(Investment_Strategy&amp;"_"&amp;Investment_Strategy_Sub2&amp;"_"&amp;$A320,'Investment Strategies'!$AJ:$AV,13,FALSE),
IF(AND(Investment_Strategy="Autopilot",Investment_Strategy_Sub1="Non-Standard"),VLOOKUP(Investment_Strategy&amp;"_"&amp;Investment_Strategy_Sub2&amp;"_"&amp;$A320,'Investment Strategies'!$T:$AF,13,FALSE),
IF(Investment_Strategy="DIY",DIY_ExtManChrge_FuturePremiums,
"Error"))))))</f>
        <v>0</v>
      </c>
      <c r="W320" s="16">
        <f t="shared" si="188"/>
        <v>0</v>
      </c>
      <c r="X320" s="16">
        <f t="shared" si="163"/>
        <v>0</v>
      </c>
      <c r="Y320" s="16">
        <f t="shared" si="164"/>
        <v>0</v>
      </c>
      <c r="Z320" s="31">
        <f t="shared" si="165"/>
        <v>0.02</v>
      </c>
      <c r="AA320" s="16">
        <f t="shared" si="166"/>
        <v>0</v>
      </c>
      <c r="AB320" s="28">
        <f t="shared" si="189"/>
        <v>0</v>
      </c>
      <c r="AC320" s="28">
        <f>(SUM($AC$91:AC319)+SUM($X$91:X319)+X320)*T320*IF(D320=$A$91,SRP_finalmonthfactor,1)</f>
        <v>0</v>
      </c>
      <c r="AD320" s="16">
        <f t="shared" si="167"/>
        <v>0</v>
      </c>
      <c r="AE320" s="106"/>
      <c r="AF320" s="16">
        <f t="shared" si="176"/>
        <v>0</v>
      </c>
      <c r="AG320" s="16">
        <f t="shared" si="177"/>
        <v>0</v>
      </c>
      <c r="AH320" s="16">
        <f t="shared" si="178"/>
        <v>0</v>
      </c>
      <c r="AJ320" s="13">
        <f t="shared" si="200"/>
        <v>0</v>
      </c>
      <c r="AK320" s="13">
        <f t="shared" si="200"/>
        <v>0</v>
      </c>
      <c r="AL320" s="13">
        <f t="shared" si="200"/>
        <v>0</v>
      </c>
      <c r="AM320" s="13">
        <f t="shared" si="200"/>
        <v>0</v>
      </c>
      <c r="AN320" s="13">
        <f t="shared" si="200"/>
        <v>0</v>
      </c>
      <c r="AO320" s="13">
        <f t="shared" si="200"/>
        <v>1</v>
      </c>
      <c r="AP320" s="13">
        <f t="shared" si="200"/>
        <v>1</v>
      </c>
      <c r="AQ320" s="13">
        <f t="shared" si="200"/>
        <v>1</v>
      </c>
      <c r="AR320" s="13">
        <f t="shared" si="200"/>
        <v>1</v>
      </c>
      <c r="AS320" s="13">
        <f t="shared" si="200"/>
        <v>1</v>
      </c>
      <c r="AT320" s="13">
        <f t="shared" si="200"/>
        <v>1</v>
      </c>
      <c r="AU320" s="13">
        <f t="shared" si="200"/>
        <v>1</v>
      </c>
      <c r="AV320" s="13">
        <f t="shared" si="168"/>
        <v>0</v>
      </c>
      <c r="AW320" s="13">
        <f t="shared" si="169"/>
        <v>1</v>
      </c>
      <c r="AY320" s="17">
        <f t="shared" si="170"/>
        <v>230</v>
      </c>
      <c r="AZ320" s="28">
        <f t="shared" si="179"/>
        <v>0</v>
      </c>
      <c r="BA320" s="13">
        <f t="shared" si="171"/>
        <v>0</v>
      </c>
      <c r="BB320" s="13">
        <f t="shared" si="172"/>
        <v>0</v>
      </c>
      <c r="BC320" s="28">
        <f t="shared" si="180"/>
        <v>0</v>
      </c>
      <c r="BD320" s="28">
        <f t="shared" si="181"/>
        <v>0</v>
      </c>
      <c r="BF320" s="248">
        <f t="shared" si="182"/>
        <v>993869.29442638322</v>
      </c>
      <c r="BG320" s="36">
        <f t="shared" si="190"/>
        <v>0</v>
      </c>
      <c r="BH320" s="36">
        <f t="shared" si="191"/>
        <v>821976.1654054895</v>
      </c>
      <c r="BI320" s="249">
        <f t="shared" si="192"/>
        <v>0</v>
      </c>
      <c r="BJ320" s="246">
        <f t="shared" si="193"/>
        <v>0</v>
      </c>
      <c r="BK320" s="246">
        <f t="shared" si="173"/>
        <v>7.531116566323881E-4</v>
      </c>
      <c r="BL320" s="246">
        <f t="shared" si="194"/>
        <v>0</v>
      </c>
      <c r="BM320" s="246">
        <f t="shared" si="195"/>
        <v>7.531116566323881E-4</v>
      </c>
      <c r="BN320" s="36">
        <f t="shared" si="183"/>
        <v>619.03983164086605</v>
      </c>
      <c r="BO320" s="36">
        <f t="shared" si="196"/>
        <v>0</v>
      </c>
      <c r="BP320" s="36">
        <f t="shared" si="197"/>
        <v>821357.12557384861</v>
      </c>
    </row>
    <row r="321" spans="1:68">
      <c r="A321" s="32">
        <f t="shared" si="184"/>
        <v>-146</v>
      </c>
      <c r="B321" s="32">
        <f t="shared" si="174"/>
        <v>72</v>
      </c>
      <c r="C321" s="32">
        <f t="shared" si="185"/>
        <v>20</v>
      </c>
      <c r="D321" s="32">
        <f t="shared" si="186"/>
        <v>231</v>
      </c>
      <c r="E321" s="74">
        <f>MIN(IF(AV321=0,0,
IF(Investment_Strategy="DIS",VLOOKUP(Investment_Strategy&amp;"_"&amp;Investment_Strategy_Sub1&amp;"_"&amp;$A321,'Investment Strategies'!$AZ:$BP,12,FALSE),
IF(AND(Investment_Strategy="Lifecycle",Investment_Strategy_Sub1="Non-Standard"),VLOOKUP(Investment_Strategy&amp;"_"&amp;Investment_Strategy_Sub2&amp;"_"&amp;$A321,'Investment Strategies'!$C:$P,9,FALSE),
IF(AND(Investment_Strategy="Lifecycle",Investment_Strategy_Sub1="Standard"),VLOOKUP(Investment_Strategy&amp;"_"&amp;Investment_Strategy_Sub2&amp;"_"&amp;$A321,'Investment Strategies'!$AJ:$AV,8,FALSE),
IF(AND(Investment_Strategy="Autopilot",Investment_Strategy_Sub1="Non-Standard"),VLOOKUP(Investment_Strategy&amp;"_"&amp;Investment_Strategy_Sub2&amp;"_"&amp;$A321,'Investment Strategies'!$T:$AF,8,FALSE),
IF(Investment_Strategy ="DIY",DIY_RateOfReturn_CurrentFunds,
"Error")))))),Max_InvReturn)</f>
        <v>0</v>
      </c>
      <c r="F321" s="62">
        <f>IF(AV321=0,0,
IF(Investment_Strategy="DIS",VLOOKUP(Investment_Strategy&amp;"_"&amp;Investment_Strategy_Sub1&amp;"_"&amp;$A321,'Investment Strategies'!$AZ:$BP,15,FALSE),
IF(AND(Investment_Strategy="Lifecycle",Investment_Strategy_Sub1="Non-Standard"),VLOOKUP(Investment_Strategy&amp;"_"&amp;Investment_Strategy_Sub2&amp;"_"&amp;$A321,'Investment Strategies'!$C:$P,12,FALSE),
IF(AND(Investment_Strategy="Lifecycle",Investment_Strategy_Sub1="Standard"),VLOOKUP(Investment_Strategy&amp;"_"&amp;Investment_Strategy_Sub2&amp;"_"&amp;$A321,'Investment Strategies'!$AJ:$AV,11,FALSE),
IF(AND(Investment_Strategy="Autopilot",Investment_Strategy_Sub1="Non-Standard"),VLOOKUP(Investment_Strategy&amp;"_"&amp;Investment_Strategy_Sub2&amp;"_"&amp;$A321,'Investment Strategies'!$T:$AF,11,FALSE),
IF(Investment_Strategy="DIY",DIY_GteeChrge_CurrentFunds,
"Error"))))))</f>
        <v>0</v>
      </c>
      <c r="G321" s="33">
        <f>IF(AV321=0,0,
IF(Investment_Strategy="DIS",VLOOKUP(Investment_Strategy&amp;"_"&amp;Investment_Strategy_Sub1&amp;"_"&amp;$A321,'Investment Strategies'!$AZ:$BP,17,FALSE),
IF(AND(Investment_Strategy="Lifecycle",Investment_Strategy_Sub1="Non-Standard"),VLOOKUP(Investment_Strategy&amp;"_"&amp;Investment_Strategy_Sub2&amp;"_"&amp;$A321,'Investment Strategies'!$C:$P,14,FALSE),
IF(AND(Investment_Strategy="Lifecycle",Investment_Strategy_Sub1="Standard"),VLOOKUP(Investment_Strategy&amp;"_"&amp;Investment_Strategy_Sub2&amp;"_"&amp;$A321,'Investment Strategies'!$AJ:$AV,13,FALSE),
IF(AND(Investment_Strategy="Autopilot",Investment_Strategy_Sub1="Non-Standard"),VLOOKUP(Investment_Strategy&amp;"_"&amp;Investment_Strategy_Sub2&amp;"_"&amp;$A321,'Investment Strategies'!$T:$AF,13,FALSE),
IF(Investment_Strategy="DIY",DIY_ExtManChrge_CurrentFunds,
"Error"))))))</f>
        <v>0</v>
      </c>
      <c r="H321" s="16">
        <f t="shared" si="175"/>
        <v>0</v>
      </c>
      <c r="I321" s="16">
        <f t="shared" si="159"/>
        <v>0</v>
      </c>
      <c r="J321" s="16">
        <f t="shared" si="160"/>
        <v>0</v>
      </c>
      <c r="K321" s="16">
        <f>(Opening_Fund_Value+SUM(K$91:K320))*E321*IF(D321=$A$91,SRP_finalmonthfactor,1)</f>
        <v>0</v>
      </c>
      <c r="L321" s="74">
        <f>MIN(IF($AV321=0,0,
IF(Investment_Strategy="DIS",VLOOKUP(Investment_Strategy&amp;"_"&amp;Investment_Strategy_Sub1&amp;"_"&amp;$A321,'Investment Strategies'!$AZ:$BP,12,FALSE),
IF(AND(Investment_Strategy="Lifecycle",Investment_Strategy_Sub1="Non-Standard"),VLOOKUP(Investment_Strategy&amp;"_"&amp;Investment_Strategy_Sub2&amp;"_"&amp;$A321,'Investment Strategies'!$C:$P,9,FALSE),
IF(AND(Investment_Strategy="Lifecycle",Investment_Strategy_Sub1="Standard"),VLOOKUP(Investment_Strategy&amp;"_"&amp;Investment_Strategy_Sub2&amp;"_"&amp;$A321,'Investment Strategies'!$AJ:$AV,8,FALSE),
IF(AND(Investment_Strategy="Autopilot",Investment_Strategy_Sub1="Non-Standard"),VLOOKUP(Investment_Strategy&amp;"_"&amp;Investment_Strategy_Sub2&amp;"_"&amp;$A321,'Investment Strategies'!$T:$AF,8,FALSE),
IF(Investment_Strategy ="DIY",DIY_RateofReturn_SP,
"Error")))))),Max_InvReturn)</f>
        <v>0</v>
      </c>
      <c r="M321" s="62">
        <f>IF($AV321=0,0,
IF(Investment_Strategy="DIS",VLOOKUP(Investment_Strategy&amp;"_"&amp;Investment_Strategy_Sub1&amp;"_"&amp;$A321,'Investment Strategies'!$AZ:$BP,15,FALSE),
IF(AND(Investment_Strategy="Lifecycle",Investment_Strategy_Sub1="Non-Standard"),VLOOKUP(Investment_Strategy&amp;"_"&amp;Investment_Strategy_Sub2&amp;"_"&amp;$A321,'Investment Strategies'!$C:$P,12,FALSE),
IF(AND(Investment_Strategy="Lifecycle",Investment_Strategy_Sub1="Standard"),VLOOKUP(Investment_Strategy&amp;"_"&amp;Investment_Strategy_Sub2&amp;"_"&amp;$A321,'Investment Strategies'!$AJ:$AV,11,FALSE),
IF(AND(Investment_Strategy="Autopilot",Investment_Strategy_Sub1="Non-Standard"),VLOOKUP(Investment_Strategy&amp;"_"&amp;Investment_Strategy_Sub2&amp;"_"&amp;$A321,'Investment Strategies'!$T:$AF,11,FALSE),
IF(Investment_Strategy="DIY",DIY_GteeChrge_SP,
"Error"))))))</f>
        <v>0</v>
      </c>
      <c r="N321" s="33">
        <f>IF($AV321=0,0,
IF(Investment_Strategy="DIS",VLOOKUP(Investment_Strategy&amp;"_"&amp;Investment_Strategy_Sub1&amp;"_"&amp;$A321,'Investment Strategies'!$AZ:$BP,17,FALSE),
IF(AND(Investment_Strategy="Lifecycle",Investment_Strategy_Sub1="Non-Standard"),VLOOKUP(Investment_Strategy&amp;"_"&amp;Investment_Strategy_Sub2&amp;"_"&amp;$A321,'Investment Strategies'!$C:$P,14,FALSE),
IF(AND(Investment_Strategy="Lifecycle",Investment_Strategy_Sub1="Standard"),VLOOKUP(Investment_Strategy&amp;"_"&amp;Investment_Strategy_Sub2&amp;"_"&amp;$A321,'Investment Strategies'!$AJ:$AV,13,FALSE),
IF(AND(Investment_Strategy="Autopilot",Investment_Strategy_Sub1="Non-Standard"),VLOOKUP(Investment_Strategy&amp;"_"&amp;Investment_Strategy_Sub2&amp;"_"&amp;$A321,'Investment Strategies'!$T:$AF,13,FALSE),
IF(Investment_Strategy="DIY",DIY_ExtManChrge_SP,
"Error"))))))</f>
        <v>0</v>
      </c>
      <c r="O321" s="16">
        <f t="shared" si="187"/>
        <v>0</v>
      </c>
      <c r="Q321" s="16">
        <f t="shared" si="161"/>
        <v>0</v>
      </c>
      <c r="R321" s="16">
        <f t="shared" si="162"/>
        <v>0</v>
      </c>
      <c r="S321" s="16">
        <f>(SRP_SP+SUM(S$91:S320))*L321*IF(D321=$A$91,SRP_finalmonthfactor,1)</f>
        <v>0</v>
      </c>
      <c r="T321" s="74">
        <f>MIN(IF($AV321=0,0,
IF(Investment_Strategy="DIS",VLOOKUP(Investment_Strategy&amp;"_"&amp;Investment_Strategy_Sub1&amp;"_"&amp;$A321,'Investment Strategies'!$AZ:$BP,12,FALSE),
IF(AND(Investment_Strategy="Lifecycle",Investment_Strategy_Sub1="Non-Standard"),VLOOKUP(Investment_Strategy&amp;"_"&amp;Investment_Strategy_Sub2&amp;"_"&amp;$A321,'Investment Strategies'!$C:$P,9,FALSE),
IF(AND(Investment_Strategy="Lifecycle",Investment_Strategy_Sub1="Standard"),VLOOKUP(Investment_Strategy&amp;"_"&amp;Investment_Strategy_Sub2&amp;"_"&amp;$A321,'Investment Strategies'!$AJ:$AV,8,FALSE),
IF(AND(Investment_Strategy="Autopilot",Investment_Strategy_Sub1="Non-Standard"),VLOOKUP(Investment_Strategy&amp;"_"&amp;Investment_Strategy_Sub2&amp;"_"&amp;$A321,'Investment Strategies'!$T:$AF,8,FALSE),
IF(Investment_Strategy ="DIY",DIY_RateOfReturn_FuturePremiums,
"Error")))))),Max_InvReturn)</f>
        <v>0</v>
      </c>
      <c r="U321" s="62">
        <f>IF($AV321=0,0,
IF(Investment_Strategy="DIS",VLOOKUP(Investment_Strategy&amp;"_"&amp;Investment_Strategy_Sub1&amp;"_"&amp;$A321,'Investment Strategies'!$AZ:$BP,15,FALSE),
IF(AND(Investment_Strategy="Lifecycle",Investment_Strategy_Sub1="Non-Standard"),VLOOKUP(Investment_Strategy&amp;"_"&amp;Investment_Strategy_Sub2&amp;"_"&amp;$A321,'Investment Strategies'!$C:$P,12,FALSE),
IF(AND(Investment_Strategy="Lifecycle",Investment_Strategy_Sub1="Standard"),VLOOKUP(Investment_Strategy&amp;"_"&amp;Investment_Strategy_Sub2&amp;"_"&amp;$A321,'Investment Strategies'!$AJ:$AV,11,FALSE),
IF(AND(Investment_Strategy="Autopilot",Investment_Strategy_Sub1="Non-Standard"),VLOOKUP(Investment_Strategy&amp;"_"&amp;Investment_Strategy_Sub2&amp;"_"&amp;$A321,'Investment Strategies'!$T:$AF,11,FALSE),
IF(Investment_Strategy="DIY",DIY_GteeChrge_FuturePremiums,
"Error"))))))</f>
        <v>0</v>
      </c>
      <c r="V321" s="33">
        <f>IF(AV321=0,0,
IF(Investment_Strategy="DIS",VLOOKUP(Investment_Strategy&amp;"_"&amp;Investment_Strategy_Sub1&amp;"_"&amp;$A321,'Investment Strategies'!$AZ:$BP,17,FALSE),
IF(AND(Investment_Strategy="Lifecycle",Investment_Strategy_Sub1="Non-Standard"),VLOOKUP(Investment_Strategy&amp;"_"&amp;Investment_Strategy_Sub2&amp;"_"&amp;$A321,'Investment Strategies'!$C:$P,14,FALSE),
IF(AND(Investment_Strategy="Lifecycle",Investment_Strategy_Sub1="Standard"),VLOOKUP(Investment_Strategy&amp;"_"&amp;Investment_Strategy_Sub2&amp;"_"&amp;$A321,'Investment Strategies'!$AJ:$AV,13,FALSE),
IF(AND(Investment_Strategy="Autopilot",Investment_Strategy_Sub1="Non-Standard"),VLOOKUP(Investment_Strategy&amp;"_"&amp;Investment_Strategy_Sub2&amp;"_"&amp;$A321,'Investment Strategies'!$T:$AF,13,FALSE),
IF(Investment_Strategy="DIY",DIY_ExtManChrge_FuturePremiums,
"Error"))))))</f>
        <v>0</v>
      </c>
      <c r="W321" s="16">
        <f t="shared" si="188"/>
        <v>0</v>
      </c>
      <c r="X321" s="16">
        <f t="shared" si="163"/>
        <v>0</v>
      </c>
      <c r="Y321" s="16">
        <f t="shared" si="164"/>
        <v>0</v>
      </c>
      <c r="Z321" s="31">
        <f t="shared" si="165"/>
        <v>0.02</v>
      </c>
      <c r="AA321" s="16">
        <f t="shared" si="166"/>
        <v>0</v>
      </c>
      <c r="AB321" s="28">
        <f t="shared" si="189"/>
        <v>0</v>
      </c>
      <c r="AC321" s="28">
        <f>(SUM($AC$91:AC320)+SUM($X$91:X320)+X321)*T321*IF(D321=$A$91,SRP_finalmonthfactor,1)</f>
        <v>0</v>
      </c>
      <c r="AD321" s="16">
        <f t="shared" si="167"/>
        <v>0</v>
      </c>
      <c r="AE321" s="106"/>
      <c r="AF321" s="16">
        <f t="shared" si="176"/>
        <v>0</v>
      </c>
      <c r="AG321" s="16">
        <f t="shared" si="177"/>
        <v>0</v>
      </c>
      <c r="AH321" s="16">
        <f t="shared" si="178"/>
        <v>0</v>
      </c>
      <c r="AJ321" s="13">
        <f t="shared" ref="AJ321:AU330" si="201">IF($C321&lt;=AJ$90,1,0)</f>
        <v>0</v>
      </c>
      <c r="AK321" s="13">
        <f t="shared" si="201"/>
        <v>0</v>
      </c>
      <c r="AL321" s="13">
        <f t="shared" si="201"/>
        <v>0</v>
      </c>
      <c r="AM321" s="13">
        <f t="shared" si="201"/>
        <v>0</v>
      </c>
      <c r="AN321" s="13">
        <f t="shared" si="201"/>
        <v>0</v>
      </c>
      <c r="AO321" s="13">
        <f t="shared" si="201"/>
        <v>1</v>
      </c>
      <c r="AP321" s="13">
        <f t="shared" si="201"/>
        <v>1</v>
      </c>
      <c r="AQ321" s="13">
        <f t="shared" si="201"/>
        <v>1</v>
      </c>
      <c r="AR321" s="13">
        <f t="shared" si="201"/>
        <v>1</v>
      </c>
      <c r="AS321" s="13">
        <f t="shared" si="201"/>
        <v>1</v>
      </c>
      <c r="AT321" s="13">
        <f t="shared" si="201"/>
        <v>1</v>
      </c>
      <c r="AU321" s="13">
        <f t="shared" si="201"/>
        <v>1</v>
      </c>
      <c r="AV321" s="13">
        <f t="shared" si="168"/>
        <v>0</v>
      </c>
      <c r="AW321" s="13">
        <f t="shared" si="169"/>
        <v>1</v>
      </c>
      <c r="AY321" s="17">
        <f t="shared" si="170"/>
        <v>231</v>
      </c>
      <c r="AZ321" s="28">
        <f t="shared" si="179"/>
        <v>0</v>
      </c>
      <c r="BA321" s="13">
        <f t="shared" si="171"/>
        <v>0</v>
      </c>
      <c r="BB321" s="13">
        <f t="shared" si="172"/>
        <v>0</v>
      </c>
      <c r="BC321" s="28">
        <f t="shared" si="180"/>
        <v>0</v>
      </c>
      <c r="BD321" s="28">
        <f t="shared" si="181"/>
        <v>0</v>
      </c>
      <c r="BF321" s="248">
        <f t="shared" si="182"/>
        <v>993869.29442638322</v>
      </c>
      <c r="BG321" s="36">
        <f t="shared" si="190"/>
        <v>0</v>
      </c>
      <c r="BH321" s="36">
        <f t="shared" si="191"/>
        <v>821357.12557384861</v>
      </c>
      <c r="BI321" s="249">
        <f t="shared" si="192"/>
        <v>0</v>
      </c>
      <c r="BJ321" s="246">
        <f t="shared" si="193"/>
        <v>0</v>
      </c>
      <c r="BK321" s="246">
        <f t="shared" si="173"/>
        <v>7.531116566323881E-4</v>
      </c>
      <c r="BL321" s="246">
        <f t="shared" si="194"/>
        <v>0</v>
      </c>
      <c r="BM321" s="246">
        <f t="shared" si="195"/>
        <v>7.531116566323881E-4</v>
      </c>
      <c r="BN321" s="36">
        <f t="shared" si="183"/>
        <v>618.57362552773759</v>
      </c>
      <c r="BO321" s="36">
        <f t="shared" si="196"/>
        <v>0</v>
      </c>
      <c r="BP321" s="36">
        <f t="shared" si="197"/>
        <v>820738.55194832082</v>
      </c>
    </row>
    <row r="322" spans="1:68">
      <c r="A322" s="32">
        <f t="shared" si="184"/>
        <v>-147</v>
      </c>
      <c r="B322" s="32">
        <f t="shared" si="174"/>
        <v>72</v>
      </c>
      <c r="C322" s="32">
        <f t="shared" si="185"/>
        <v>20</v>
      </c>
      <c r="D322" s="32">
        <f t="shared" si="186"/>
        <v>232</v>
      </c>
      <c r="E322" s="74">
        <f>MIN(IF(AV322=0,0,
IF(Investment_Strategy="DIS",VLOOKUP(Investment_Strategy&amp;"_"&amp;Investment_Strategy_Sub1&amp;"_"&amp;$A322,'Investment Strategies'!$AZ:$BP,12,FALSE),
IF(AND(Investment_Strategy="Lifecycle",Investment_Strategy_Sub1="Non-Standard"),VLOOKUP(Investment_Strategy&amp;"_"&amp;Investment_Strategy_Sub2&amp;"_"&amp;$A322,'Investment Strategies'!$C:$P,9,FALSE),
IF(AND(Investment_Strategy="Lifecycle",Investment_Strategy_Sub1="Standard"),VLOOKUP(Investment_Strategy&amp;"_"&amp;Investment_Strategy_Sub2&amp;"_"&amp;$A322,'Investment Strategies'!$AJ:$AV,8,FALSE),
IF(AND(Investment_Strategy="Autopilot",Investment_Strategy_Sub1="Non-Standard"),VLOOKUP(Investment_Strategy&amp;"_"&amp;Investment_Strategy_Sub2&amp;"_"&amp;$A322,'Investment Strategies'!$T:$AF,8,FALSE),
IF(Investment_Strategy ="DIY",DIY_RateOfReturn_CurrentFunds,
"Error")))))),Max_InvReturn)</f>
        <v>0</v>
      </c>
      <c r="F322" s="62">
        <f>IF(AV322=0,0,
IF(Investment_Strategy="DIS",VLOOKUP(Investment_Strategy&amp;"_"&amp;Investment_Strategy_Sub1&amp;"_"&amp;$A322,'Investment Strategies'!$AZ:$BP,15,FALSE),
IF(AND(Investment_Strategy="Lifecycle",Investment_Strategy_Sub1="Non-Standard"),VLOOKUP(Investment_Strategy&amp;"_"&amp;Investment_Strategy_Sub2&amp;"_"&amp;$A322,'Investment Strategies'!$C:$P,12,FALSE),
IF(AND(Investment_Strategy="Lifecycle",Investment_Strategy_Sub1="Standard"),VLOOKUP(Investment_Strategy&amp;"_"&amp;Investment_Strategy_Sub2&amp;"_"&amp;$A322,'Investment Strategies'!$AJ:$AV,11,FALSE),
IF(AND(Investment_Strategy="Autopilot",Investment_Strategy_Sub1="Non-Standard"),VLOOKUP(Investment_Strategy&amp;"_"&amp;Investment_Strategy_Sub2&amp;"_"&amp;$A322,'Investment Strategies'!$T:$AF,11,FALSE),
IF(Investment_Strategy="DIY",DIY_GteeChrge_CurrentFunds,
"Error"))))))</f>
        <v>0</v>
      </c>
      <c r="G322" s="33">
        <f>IF(AV322=0,0,
IF(Investment_Strategy="DIS",VLOOKUP(Investment_Strategy&amp;"_"&amp;Investment_Strategy_Sub1&amp;"_"&amp;$A322,'Investment Strategies'!$AZ:$BP,17,FALSE),
IF(AND(Investment_Strategy="Lifecycle",Investment_Strategy_Sub1="Non-Standard"),VLOOKUP(Investment_Strategy&amp;"_"&amp;Investment_Strategy_Sub2&amp;"_"&amp;$A322,'Investment Strategies'!$C:$P,14,FALSE),
IF(AND(Investment_Strategy="Lifecycle",Investment_Strategy_Sub1="Standard"),VLOOKUP(Investment_Strategy&amp;"_"&amp;Investment_Strategy_Sub2&amp;"_"&amp;$A322,'Investment Strategies'!$AJ:$AV,13,FALSE),
IF(AND(Investment_Strategy="Autopilot",Investment_Strategy_Sub1="Non-Standard"),VLOOKUP(Investment_Strategy&amp;"_"&amp;Investment_Strategy_Sub2&amp;"_"&amp;$A322,'Investment Strategies'!$T:$AF,13,FALSE),
IF(Investment_Strategy="DIY",DIY_ExtManChrge_CurrentFunds,
"Error"))))))</f>
        <v>0</v>
      </c>
      <c r="H322" s="16">
        <f t="shared" si="175"/>
        <v>0</v>
      </c>
      <c r="I322" s="16">
        <f t="shared" si="159"/>
        <v>0</v>
      </c>
      <c r="J322" s="16">
        <f t="shared" si="160"/>
        <v>0</v>
      </c>
      <c r="K322" s="16">
        <f>(Opening_Fund_Value+SUM(K$91:K321))*E322*IF(D322=$A$91,SRP_finalmonthfactor,1)</f>
        <v>0</v>
      </c>
      <c r="L322" s="74">
        <f>MIN(IF($AV322=0,0,
IF(Investment_Strategy="DIS",VLOOKUP(Investment_Strategy&amp;"_"&amp;Investment_Strategy_Sub1&amp;"_"&amp;$A322,'Investment Strategies'!$AZ:$BP,12,FALSE),
IF(AND(Investment_Strategy="Lifecycle",Investment_Strategy_Sub1="Non-Standard"),VLOOKUP(Investment_Strategy&amp;"_"&amp;Investment_Strategy_Sub2&amp;"_"&amp;$A322,'Investment Strategies'!$C:$P,9,FALSE),
IF(AND(Investment_Strategy="Lifecycle",Investment_Strategy_Sub1="Standard"),VLOOKUP(Investment_Strategy&amp;"_"&amp;Investment_Strategy_Sub2&amp;"_"&amp;$A322,'Investment Strategies'!$AJ:$AV,8,FALSE),
IF(AND(Investment_Strategy="Autopilot",Investment_Strategy_Sub1="Non-Standard"),VLOOKUP(Investment_Strategy&amp;"_"&amp;Investment_Strategy_Sub2&amp;"_"&amp;$A322,'Investment Strategies'!$T:$AF,8,FALSE),
IF(Investment_Strategy ="DIY",DIY_RateofReturn_SP,
"Error")))))),Max_InvReturn)</f>
        <v>0</v>
      </c>
      <c r="M322" s="62">
        <f>IF($AV322=0,0,
IF(Investment_Strategy="DIS",VLOOKUP(Investment_Strategy&amp;"_"&amp;Investment_Strategy_Sub1&amp;"_"&amp;$A322,'Investment Strategies'!$AZ:$BP,15,FALSE),
IF(AND(Investment_Strategy="Lifecycle",Investment_Strategy_Sub1="Non-Standard"),VLOOKUP(Investment_Strategy&amp;"_"&amp;Investment_Strategy_Sub2&amp;"_"&amp;$A322,'Investment Strategies'!$C:$P,12,FALSE),
IF(AND(Investment_Strategy="Lifecycle",Investment_Strategy_Sub1="Standard"),VLOOKUP(Investment_Strategy&amp;"_"&amp;Investment_Strategy_Sub2&amp;"_"&amp;$A322,'Investment Strategies'!$AJ:$AV,11,FALSE),
IF(AND(Investment_Strategy="Autopilot",Investment_Strategy_Sub1="Non-Standard"),VLOOKUP(Investment_Strategy&amp;"_"&amp;Investment_Strategy_Sub2&amp;"_"&amp;$A322,'Investment Strategies'!$T:$AF,11,FALSE),
IF(Investment_Strategy="DIY",DIY_GteeChrge_SP,
"Error"))))))</f>
        <v>0</v>
      </c>
      <c r="N322" s="33">
        <f>IF($AV322=0,0,
IF(Investment_Strategy="DIS",VLOOKUP(Investment_Strategy&amp;"_"&amp;Investment_Strategy_Sub1&amp;"_"&amp;$A322,'Investment Strategies'!$AZ:$BP,17,FALSE),
IF(AND(Investment_Strategy="Lifecycle",Investment_Strategy_Sub1="Non-Standard"),VLOOKUP(Investment_Strategy&amp;"_"&amp;Investment_Strategy_Sub2&amp;"_"&amp;$A322,'Investment Strategies'!$C:$P,14,FALSE),
IF(AND(Investment_Strategy="Lifecycle",Investment_Strategy_Sub1="Standard"),VLOOKUP(Investment_Strategy&amp;"_"&amp;Investment_Strategy_Sub2&amp;"_"&amp;$A322,'Investment Strategies'!$AJ:$AV,13,FALSE),
IF(AND(Investment_Strategy="Autopilot",Investment_Strategy_Sub1="Non-Standard"),VLOOKUP(Investment_Strategy&amp;"_"&amp;Investment_Strategy_Sub2&amp;"_"&amp;$A322,'Investment Strategies'!$T:$AF,13,FALSE),
IF(Investment_Strategy="DIY",DIY_ExtManChrge_SP,
"Error"))))))</f>
        <v>0</v>
      </c>
      <c r="O322" s="16">
        <f t="shared" si="187"/>
        <v>0</v>
      </c>
      <c r="Q322" s="16">
        <f t="shared" si="161"/>
        <v>0</v>
      </c>
      <c r="R322" s="16">
        <f t="shared" si="162"/>
        <v>0</v>
      </c>
      <c r="S322" s="16">
        <f>(SRP_SP+SUM(S$91:S321))*L322*IF(D322=$A$91,SRP_finalmonthfactor,1)</f>
        <v>0</v>
      </c>
      <c r="T322" s="74">
        <f>MIN(IF($AV322=0,0,
IF(Investment_Strategy="DIS",VLOOKUP(Investment_Strategy&amp;"_"&amp;Investment_Strategy_Sub1&amp;"_"&amp;$A322,'Investment Strategies'!$AZ:$BP,12,FALSE),
IF(AND(Investment_Strategy="Lifecycle",Investment_Strategy_Sub1="Non-Standard"),VLOOKUP(Investment_Strategy&amp;"_"&amp;Investment_Strategy_Sub2&amp;"_"&amp;$A322,'Investment Strategies'!$C:$P,9,FALSE),
IF(AND(Investment_Strategy="Lifecycle",Investment_Strategy_Sub1="Standard"),VLOOKUP(Investment_Strategy&amp;"_"&amp;Investment_Strategy_Sub2&amp;"_"&amp;$A322,'Investment Strategies'!$AJ:$AV,8,FALSE),
IF(AND(Investment_Strategy="Autopilot",Investment_Strategy_Sub1="Non-Standard"),VLOOKUP(Investment_Strategy&amp;"_"&amp;Investment_Strategy_Sub2&amp;"_"&amp;$A322,'Investment Strategies'!$T:$AF,8,FALSE),
IF(Investment_Strategy ="DIY",DIY_RateOfReturn_FuturePremiums,
"Error")))))),Max_InvReturn)</f>
        <v>0</v>
      </c>
      <c r="U322" s="62">
        <f>IF($AV322=0,0,
IF(Investment_Strategy="DIS",VLOOKUP(Investment_Strategy&amp;"_"&amp;Investment_Strategy_Sub1&amp;"_"&amp;$A322,'Investment Strategies'!$AZ:$BP,15,FALSE),
IF(AND(Investment_Strategy="Lifecycle",Investment_Strategy_Sub1="Non-Standard"),VLOOKUP(Investment_Strategy&amp;"_"&amp;Investment_Strategy_Sub2&amp;"_"&amp;$A322,'Investment Strategies'!$C:$P,12,FALSE),
IF(AND(Investment_Strategy="Lifecycle",Investment_Strategy_Sub1="Standard"),VLOOKUP(Investment_Strategy&amp;"_"&amp;Investment_Strategy_Sub2&amp;"_"&amp;$A322,'Investment Strategies'!$AJ:$AV,11,FALSE),
IF(AND(Investment_Strategy="Autopilot",Investment_Strategy_Sub1="Non-Standard"),VLOOKUP(Investment_Strategy&amp;"_"&amp;Investment_Strategy_Sub2&amp;"_"&amp;$A322,'Investment Strategies'!$T:$AF,11,FALSE),
IF(Investment_Strategy="DIY",DIY_GteeChrge_FuturePremiums,
"Error"))))))</f>
        <v>0</v>
      </c>
      <c r="V322" s="33">
        <f>IF(AV322=0,0,
IF(Investment_Strategy="DIS",VLOOKUP(Investment_Strategy&amp;"_"&amp;Investment_Strategy_Sub1&amp;"_"&amp;$A322,'Investment Strategies'!$AZ:$BP,17,FALSE),
IF(AND(Investment_Strategy="Lifecycle",Investment_Strategy_Sub1="Non-Standard"),VLOOKUP(Investment_Strategy&amp;"_"&amp;Investment_Strategy_Sub2&amp;"_"&amp;$A322,'Investment Strategies'!$C:$P,14,FALSE),
IF(AND(Investment_Strategy="Lifecycle",Investment_Strategy_Sub1="Standard"),VLOOKUP(Investment_Strategy&amp;"_"&amp;Investment_Strategy_Sub2&amp;"_"&amp;$A322,'Investment Strategies'!$AJ:$AV,13,FALSE),
IF(AND(Investment_Strategy="Autopilot",Investment_Strategy_Sub1="Non-Standard"),VLOOKUP(Investment_Strategy&amp;"_"&amp;Investment_Strategy_Sub2&amp;"_"&amp;$A322,'Investment Strategies'!$T:$AF,13,FALSE),
IF(Investment_Strategy="DIY",DIY_ExtManChrge_FuturePremiums,
"Error"))))))</f>
        <v>0</v>
      </c>
      <c r="W322" s="16">
        <f t="shared" si="188"/>
        <v>0</v>
      </c>
      <c r="X322" s="16">
        <f t="shared" si="163"/>
        <v>0</v>
      </c>
      <c r="Y322" s="16">
        <f t="shared" si="164"/>
        <v>0</v>
      </c>
      <c r="Z322" s="31">
        <f t="shared" si="165"/>
        <v>0.02</v>
      </c>
      <c r="AA322" s="16">
        <f t="shared" si="166"/>
        <v>0</v>
      </c>
      <c r="AB322" s="28">
        <f t="shared" si="189"/>
        <v>0</v>
      </c>
      <c r="AC322" s="28">
        <f>(SUM($AC$91:AC321)+SUM($X$91:X321)+X322)*T322*IF(D322=$A$91,SRP_finalmonthfactor,1)</f>
        <v>0</v>
      </c>
      <c r="AD322" s="16">
        <f t="shared" si="167"/>
        <v>0</v>
      </c>
      <c r="AE322" s="106"/>
      <c r="AF322" s="16">
        <f t="shared" si="176"/>
        <v>0</v>
      </c>
      <c r="AG322" s="16">
        <f t="shared" si="177"/>
        <v>0</v>
      </c>
      <c r="AH322" s="16">
        <f t="shared" si="178"/>
        <v>0</v>
      </c>
      <c r="AJ322" s="13">
        <f t="shared" si="201"/>
        <v>0</v>
      </c>
      <c r="AK322" s="13">
        <f t="shared" si="201"/>
        <v>0</v>
      </c>
      <c r="AL322" s="13">
        <f t="shared" si="201"/>
        <v>0</v>
      </c>
      <c r="AM322" s="13">
        <f t="shared" si="201"/>
        <v>0</v>
      </c>
      <c r="AN322" s="13">
        <f t="shared" si="201"/>
        <v>0</v>
      </c>
      <c r="AO322" s="13">
        <f t="shared" si="201"/>
        <v>1</v>
      </c>
      <c r="AP322" s="13">
        <f t="shared" si="201"/>
        <v>1</v>
      </c>
      <c r="AQ322" s="13">
        <f t="shared" si="201"/>
        <v>1</v>
      </c>
      <c r="AR322" s="13">
        <f t="shared" si="201"/>
        <v>1</v>
      </c>
      <c r="AS322" s="13">
        <f t="shared" si="201"/>
        <v>1</v>
      </c>
      <c r="AT322" s="13">
        <f t="shared" si="201"/>
        <v>1</v>
      </c>
      <c r="AU322" s="13">
        <f t="shared" si="201"/>
        <v>1</v>
      </c>
      <c r="AV322" s="13">
        <f t="shared" si="168"/>
        <v>0</v>
      </c>
      <c r="AW322" s="13">
        <f t="shared" si="169"/>
        <v>1</v>
      </c>
      <c r="AY322" s="17">
        <f t="shared" si="170"/>
        <v>232</v>
      </c>
      <c r="AZ322" s="28">
        <f t="shared" si="179"/>
        <v>0</v>
      </c>
      <c r="BA322" s="13">
        <f t="shared" si="171"/>
        <v>0</v>
      </c>
      <c r="BB322" s="13">
        <f t="shared" si="172"/>
        <v>0</v>
      </c>
      <c r="BC322" s="28">
        <f t="shared" si="180"/>
        <v>0</v>
      </c>
      <c r="BD322" s="28">
        <f t="shared" si="181"/>
        <v>0</v>
      </c>
      <c r="BF322" s="248">
        <f t="shared" si="182"/>
        <v>993869.29442638322</v>
      </c>
      <c r="BG322" s="36">
        <f t="shared" si="190"/>
        <v>0</v>
      </c>
      <c r="BH322" s="36">
        <f t="shared" si="191"/>
        <v>820738.55194832082</v>
      </c>
      <c r="BI322" s="249">
        <f t="shared" si="192"/>
        <v>0</v>
      </c>
      <c r="BJ322" s="246">
        <f t="shared" si="193"/>
        <v>0</v>
      </c>
      <c r="BK322" s="246">
        <f t="shared" si="173"/>
        <v>7.531116566323881E-4</v>
      </c>
      <c r="BL322" s="246">
        <f t="shared" si="194"/>
        <v>0</v>
      </c>
      <c r="BM322" s="246">
        <f t="shared" si="195"/>
        <v>7.531116566323881E-4</v>
      </c>
      <c r="BN322" s="36">
        <f t="shared" si="183"/>
        <v>618.10777051986724</v>
      </c>
      <c r="BO322" s="36">
        <f t="shared" si="196"/>
        <v>0</v>
      </c>
      <c r="BP322" s="36">
        <f t="shared" si="197"/>
        <v>820120.44417780091</v>
      </c>
    </row>
    <row r="323" spans="1:68">
      <c r="A323" s="32">
        <f t="shared" si="184"/>
        <v>-148</v>
      </c>
      <c r="B323" s="32">
        <f t="shared" si="174"/>
        <v>72</v>
      </c>
      <c r="C323" s="32">
        <f t="shared" si="185"/>
        <v>20</v>
      </c>
      <c r="D323" s="32">
        <f t="shared" si="186"/>
        <v>233</v>
      </c>
      <c r="E323" s="74">
        <f>MIN(IF(AV323=0,0,
IF(Investment_Strategy="DIS",VLOOKUP(Investment_Strategy&amp;"_"&amp;Investment_Strategy_Sub1&amp;"_"&amp;$A323,'Investment Strategies'!$AZ:$BP,12,FALSE),
IF(AND(Investment_Strategy="Lifecycle",Investment_Strategy_Sub1="Non-Standard"),VLOOKUP(Investment_Strategy&amp;"_"&amp;Investment_Strategy_Sub2&amp;"_"&amp;$A323,'Investment Strategies'!$C:$P,9,FALSE),
IF(AND(Investment_Strategy="Lifecycle",Investment_Strategy_Sub1="Standard"),VLOOKUP(Investment_Strategy&amp;"_"&amp;Investment_Strategy_Sub2&amp;"_"&amp;$A323,'Investment Strategies'!$AJ:$AV,8,FALSE),
IF(AND(Investment_Strategy="Autopilot",Investment_Strategy_Sub1="Non-Standard"),VLOOKUP(Investment_Strategy&amp;"_"&amp;Investment_Strategy_Sub2&amp;"_"&amp;$A323,'Investment Strategies'!$T:$AF,8,FALSE),
IF(Investment_Strategy ="DIY",DIY_RateOfReturn_CurrentFunds,
"Error")))))),Max_InvReturn)</f>
        <v>0</v>
      </c>
      <c r="F323" s="62">
        <f>IF(AV323=0,0,
IF(Investment_Strategy="DIS",VLOOKUP(Investment_Strategy&amp;"_"&amp;Investment_Strategy_Sub1&amp;"_"&amp;$A323,'Investment Strategies'!$AZ:$BP,15,FALSE),
IF(AND(Investment_Strategy="Lifecycle",Investment_Strategy_Sub1="Non-Standard"),VLOOKUP(Investment_Strategy&amp;"_"&amp;Investment_Strategy_Sub2&amp;"_"&amp;$A323,'Investment Strategies'!$C:$P,12,FALSE),
IF(AND(Investment_Strategy="Lifecycle",Investment_Strategy_Sub1="Standard"),VLOOKUP(Investment_Strategy&amp;"_"&amp;Investment_Strategy_Sub2&amp;"_"&amp;$A323,'Investment Strategies'!$AJ:$AV,11,FALSE),
IF(AND(Investment_Strategy="Autopilot",Investment_Strategy_Sub1="Non-Standard"),VLOOKUP(Investment_Strategy&amp;"_"&amp;Investment_Strategy_Sub2&amp;"_"&amp;$A323,'Investment Strategies'!$T:$AF,11,FALSE),
IF(Investment_Strategy="DIY",DIY_GteeChrge_CurrentFunds,
"Error"))))))</f>
        <v>0</v>
      </c>
      <c r="G323" s="33">
        <f>IF(AV323=0,0,
IF(Investment_Strategy="DIS",VLOOKUP(Investment_Strategy&amp;"_"&amp;Investment_Strategy_Sub1&amp;"_"&amp;$A323,'Investment Strategies'!$AZ:$BP,17,FALSE),
IF(AND(Investment_Strategy="Lifecycle",Investment_Strategy_Sub1="Non-Standard"),VLOOKUP(Investment_Strategy&amp;"_"&amp;Investment_Strategy_Sub2&amp;"_"&amp;$A323,'Investment Strategies'!$C:$P,14,FALSE),
IF(AND(Investment_Strategy="Lifecycle",Investment_Strategy_Sub1="Standard"),VLOOKUP(Investment_Strategy&amp;"_"&amp;Investment_Strategy_Sub2&amp;"_"&amp;$A323,'Investment Strategies'!$AJ:$AV,13,FALSE),
IF(AND(Investment_Strategy="Autopilot",Investment_Strategy_Sub1="Non-Standard"),VLOOKUP(Investment_Strategy&amp;"_"&amp;Investment_Strategy_Sub2&amp;"_"&amp;$A323,'Investment Strategies'!$T:$AF,13,FALSE),
IF(Investment_Strategy="DIY",DIY_ExtManChrge_CurrentFunds,
"Error"))))))</f>
        <v>0</v>
      </c>
      <c r="H323" s="16">
        <f t="shared" si="175"/>
        <v>0</v>
      </c>
      <c r="I323" s="16">
        <f t="shared" si="159"/>
        <v>0</v>
      </c>
      <c r="J323" s="16">
        <f t="shared" si="160"/>
        <v>0</v>
      </c>
      <c r="K323" s="16">
        <f>(Opening_Fund_Value+SUM(K$91:K322))*E323*IF(D323=$A$91,SRP_finalmonthfactor,1)</f>
        <v>0</v>
      </c>
      <c r="L323" s="74">
        <f>MIN(IF($AV323=0,0,
IF(Investment_Strategy="DIS",VLOOKUP(Investment_Strategy&amp;"_"&amp;Investment_Strategy_Sub1&amp;"_"&amp;$A323,'Investment Strategies'!$AZ:$BP,12,FALSE),
IF(AND(Investment_Strategy="Lifecycle",Investment_Strategy_Sub1="Non-Standard"),VLOOKUP(Investment_Strategy&amp;"_"&amp;Investment_Strategy_Sub2&amp;"_"&amp;$A323,'Investment Strategies'!$C:$P,9,FALSE),
IF(AND(Investment_Strategy="Lifecycle",Investment_Strategy_Sub1="Standard"),VLOOKUP(Investment_Strategy&amp;"_"&amp;Investment_Strategy_Sub2&amp;"_"&amp;$A323,'Investment Strategies'!$AJ:$AV,8,FALSE),
IF(AND(Investment_Strategy="Autopilot",Investment_Strategy_Sub1="Non-Standard"),VLOOKUP(Investment_Strategy&amp;"_"&amp;Investment_Strategy_Sub2&amp;"_"&amp;$A323,'Investment Strategies'!$T:$AF,8,FALSE),
IF(Investment_Strategy ="DIY",DIY_RateofReturn_SP,
"Error")))))),Max_InvReturn)</f>
        <v>0</v>
      </c>
      <c r="M323" s="62">
        <f>IF($AV323=0,0,
IF(Investment_Strategy="DIS",VLOOKUP(Investment_Strategy&amp;"_"&amp;Investment_Strategy_Sub1&amp;"_"&amp;$A323,'Investment Strategies'!$AZ:$BP,15,FALSE),
IF(AND(Investment_Strategy="Lifecycle",Investment_Strategy_Sub1="Non-Standard"),VLOOKUP(Investment_Strategy&amp;"_"&amp;Investment_Strategy_Sub2&amp;"_"&amp;$A323,'Investment Strategies'!$C:$P,12,FALSE),
IF(AND(Investment_Strategy="Lifecycle",Investment_Strategy_Sub1="Standard"),VLOOKUP(Investment_Strategy&amp;"_"&amp;Investment_Strategy_Sub2&amp;"_"&amp;$A323,'Investment Strategies'!$AJ:$AV,11,FALSE),
IF(AND(Investment_Strategy="Autopilot",Investment_Strategy_Sub1="Non-Standard"),VLOOKUP(Investment_Strategy&amp;"_"&amp;Investment_Strategy_Sub2&amp;"_"&amp;$A323,'Investment Strategies'!$T:$AF,11,FALSE),
IF(Investment_Strategy="DIY",DIY_GteeChrge_SP,
"Error"))))))</f>
        <v>0</v>
      </c>
      <c r="N323" s="33">
        <f>IF($AV323=0,0,
IF(Investment_Strategy="DIS",VLOOKUP(Investment_Strategy&amp;"_"&amp;Investment_Strategy_Sub1&amp;"_"&amp;$A323,'Investment Strategies'!$AZ:$BP,17,FALSE),
IF(AND(Investment_Strategy="Lifecycle",Investment_Strategy_Sub1="Non-Standard"),VLOOKUP(Investment_Strategy&amp;"_"&amp;Investment_Strategy_Sub2&amp;"_"&amp;$A323,'Investment Strategies'!$C:$P,14,FALSE),
IF(AND(Investment_Strategy="Lifecycle",Investment_Strategy_Sub1="Standard"),VLOOKUP(Investment_Strategy&amp;"_"&amp;Investment_Strategy_Sub2&amp;"_"&amp;$A323,'Investment Strategies'!$AJ:$AV,13,FALSE),
IF(AND(Investment_Strategy="Autopilot",Investment_Strategy_Sub1="Non-Standard"),VLOOKUP(Investment_Strategy&amp;"_"&amp;Investment_Strategy_Sub2&amp;"_"&amp;$A323,'Investment Strategies'!$T:$AF,13,FALSE),
IF(Investment_Strategy="DIY",DIY_ExtManChrge_SP,
"Error"))))))</f>
        <v>0</v>
      </c>
      <c r="O323" s="16">
        <f t="shared" si="187"/>
        <v>0</v>
      </c>
      <c r="Q323" s="16">
        <f t="shared" si="161"/>
        <v>0</v>
      </c>
      <c r="R323" s="16">
        <f t="shared" si="162"/>
        <v>0</v>
      </c>
      <c r="S323" s="16">
        <f>(SRP_SP+SUM(S$91:S322))*L323*IF(D323=$A$91,SRP_finalmonthfactor,1)</f>
        <v>0</v>
      </c>
      <c r="T323" s="74">
        <f>MIN(IF($AV323=0,0,
IF(Investment_Strategy="DIS",VLOOKUP(Investment_Strategy&amp;"_"&amp;Investment_Strategy_Sub1&amp;"_"&amp;$A323,'Investment Strategies'!$AZ:$BP,12,FALSE),
IF(AND(Investment_Strategy="Lifecycle",Investment_Strategy_Sub1="Non-Standard"),VLOOKUP(Investment_Strategy&amp;"_"&amp;Investment_Strategy_Sub2&amp;"_"&amp;$A323,'Investment Strategies'!$C:$P,9,FALSE),
IF(AND(Investment_Strategy="Lifecycle",Investment_Strategy_Sub1="Standard"),VLOOKUP(Investment_Strategy&amp;"_"&amp;Investment_Strategy_Sub2&amp;"_"&amp;$A323,'Investment Strategies'!$AJ:$AV,8,FALSE),
IF(AND(Investment_Strategy="Autopilot",Investment_Strategy_Sub1="Non-Standard"),VLOOKUP(Investment_Strategy&amp;"_"&amp;Investment_Strategy_Sub2&amp;"_"&amp;$A323,'Investment Strategies'!$T:$AF,8,FALSE),
IF(Investment_Strategy ="DIY",DIY_RateOfReturn_FuturePremiums,
"Error")))))),Max_InvReturn)</f>
        <v>0</v>
      </c>
      <c r="U323" s="62">
        <f>IF($AV323=0,0,
IF(Investment_Strategy="DIS",VLOOKUP(Investment_Strategy&amp;"_"&amp;Investment_Strategy_Sub1&amp;"_"&amp;$A323,'Investment Strategies'!$AZ:$BP,15,FALSE),
IF(AND(Investment_Strategy="Lifecycle",Investment_Strategy_Sub1="Non-Standard"),VLOOKUP(Investment_Strategy&amp;"_"&amp;Investment_Strategy_Sub2&amp;"_"&amp;$A323,'Investment Strategies'!$C:$P,12,FALSE),
IF(AND(Investment_Strategy="Lifecycle",Investment_Strategy_Sub1="Standard"),VLOOKUP(Investment_Strategy&amp;"_"&amp;Investment_Strategy_Sub2&amp;"_"&amp;$A323,'Investment Strategies'!$AJ:$AV,11,FALSE),
IF(AND(Investment_Strategy="Autopilot",Investment_Strategy_Sub1="Non-Standard"),VLOOKUP(Investment_Strategy&amp;"_"&amp;Investment_Strategy_Sub2&amp;"_"&amp;$A323,'Investment Strategies'!$T:$AF,11,FALSE),
IF(Investment_Strategy="DIY",DIY_GteeChrge_FuturePremiums,
"Error"))))))</f>
        <v>0</v>
      </c>
      <c r="V323" s="33">
        <f>IF(AV323=0,0,
IF(Investment_Strategy="DIS",VLOOKUP(Investment_Strategy&amp;"_"&amp;Investment_Strategy_Sub1&amp;"_"&amp;$A323,'Investment Strategies'!$AZ:$BP,17,FALSE),
IF(AND(Investment_Strategy="Lifecycle",Investment_Strategy_Sub1="Non-Standard"),VLOOKUP(Investment_Strategy&amp;"_"&amp;Investment_Strategy_Sub2&amp;"_"&amp;$A323,'Investment Strategies'!$C:$P,14,FALSE),
IF(AND(Investment_Strategy="Lifecycle",Investment_Strategy_Sub1="Standard"),VLOOKUP(Investment_Strategy&amp;"_"&amp;Investment_Strategy_Sub2&amp;"_"&amp;$A323,'Investment Strategies'!$AJ:$AV,13,FALSE),
IF(AND(Investment_Strategy="Autopilot",Investment_Strategy_Sub1="Non-Standard"),VLOOKUP(Investment_Strategy&amp;"_"&amp;Investment_Strategy_Sub2&amp;"_"&amp;$A323,'Investment Strategies'!$T:$AF,13,FALSE),
IF(Investment_Strategy="DIY",DIY_ExtManChrge_FuturePremiums,
"Error"))))))</f>
        <v>0</v>
      </c>
      <c r="W323" s="16">
        <f t="shared" si="188"/>
        <v>0</v>
      </c>
      <c r="X323" s="16">
        <f t="shared" si="163"/>
        <v>0</v>
      </c>
      <c r="Y323" s="16">
        <f t="shared" si="164"/>
        <v>0</v>
      </c>
      <c r="Z323" s="31">
        <f t="shared" si="165"/>
        <v>0.02</v>
      </c>
      <c r="AA323" s="16">
        <f t="shared" si="166"/>
        <v>0</v>
      </c>
      <c r="AB323" s="28">
        <f t="shared" si="189"/>
        <v>0</v>
      </c>
      <c r="AC323" s="28">
        <f>(SUM($AC$91:AC322)+SUM($X$91:X322)+X323)*T323*IF(D323=$A$91,SRP_finalmonthfactor,1)</f>
        <v>0</v>
      </c>
      <c r="AD323" s="16">
        <f t="shared" si="167"/>
        <v>0</v>
      </c>
      <c r="AE323" s="106"/>
      <c r="AF323" s="16">
        <f t="shared" si="176"/>
        <v>0</v>
      </c>
      <c r="AG323" s="16">
        <f t="shared" si="177"/>
        <v>0</v>
      </c>
      <c r="AH323" s="16">
        <f t="shared" si="178"/>
        <v>0</v>
      </c>
      <c r="AJ323" s="13">
        <f t="shared" si="201"/>
        <v>0</v>
      </c>
      <c r="AK323" s="13">
        <f t="shared" si="201"/>
        <v>0</v>
      </c>
      <c r="AL323" s="13">
        <f t="shared" si="201"/>
        <v>0</v>
      </c>
      <c r="AM323" s="13">
        <f t="shared" si="201"/>
        <v>0</v>
      </c>
      <c r="AN323" s="13">
        <f t="shared" si="201"/>
        <v>0</v>
      </c>
      <c r="AO323" s="13">
        <f t="shared" si="201"/>
        <v>1</v>
      </c>
      <c r="AP323" s="13">
        <f t="shared" si="201"/>
        <v>1</v>
      </c>
      <c r="AQ323" s="13">
        <f t="shared" si="201"/>
        <v>1</v>
      </c>
      <c r="AR323" s="13">
        <f t="shared" si="201"/>
        <v>1</v>
      </c>
      <c r="AS323" s="13">
        <f t="shared" si="201"/>
        <v>1</v>
      </c>
      <c r="AT323" s="13">
        <f t="shared" si="201"/>
        <v>1</v>
      </c>
      <c r="AU323" s="13">
        <f t="shared" si="201"/>
        <v>1</v>
      </c>
      <c r="AV323" s="13">
        <f t="shared" si="168"/>
        <v>0</v>
      </c>
      <c r="AW323" s="13">
        <f t="shared" si="169"/>
        <v>1</v>
      </c>
      <c r="AY323" s="17">
        <f t="shared" si="170"/>
        <v>233</v>
      </c>
      <c r="AZ323" s="28">
        <f t="shared" si="179"/>
        <v>0</v>
      </c>
      <c r="BA323" s="13">
        <f t="shared" si="171"/>
        <v>0</v>
      </c>
      <c r="BB323" s="13">
        <f t="shared" si="172"/>
        <v>0</v>
      </c>
      <c r="BC323" s="28">
        <f t="shared" si="180"/>
        <v>0</v>
      </c>
      <c r="BD323" s="28">
        <f t="shared" si="181"/>
        <v>0</v>
      </c>
      <c r="BF323" s="248">
        <f t="shared" si="182"/>
        <v>993869.29442638322</v>
      </c>
      <c r="BG323" s="36">
        <f t="shared" si="190"/>
        <v>0</v>
      </c>
      <c r="BH323" s="36">
        <f t="shared" si="191"/>
        <v>820120.44417780091</v>
      </c>
      <c r="BI323" s="249">
        <f t="shared" si="192"/>
        <v>0</v>
      </c>
      <c r="BJ323" s="246">
        <f t="shared" si="193"/>
        <v>0</v>
      </c>
      <c r="BK323" s="246">
        <f t="shared" si="173"/>
        <v>7.531116566323881E-4</v>
      </c>
      <c r="BL323" s="246">
        <f t="shared" si="194"/>
        <v>0</v>
      </c>
      <c r="BM323" s="246">
        <f t="shared" si="195"/>
        <v>7.531116566323881E-4</v>
      </c>
      <c r="BN323" s="36">
        <f t="shared" si="183"/>
        <v>617.64226635283364</v>
      </c>
      <c r="BO323" s="36">
        <f t="shared" si="196"/>
        <v>0</v>
      </c>
      <c r="BP323" s="36">
        <f t="shared" si="197"/>
        <v>819502.80191144813</v>
      </c>
    </row>
    <row r="324" spans="1:68">
      <c r="A324" s="32">
        <f t="shared" si="184"/>
        <v>-149</v>
      </c>
      <c r="B324" s="32">
        <f t="shared" si="174"/>
        <v>72</v>
      </c>
      <c r="C324" s="32">
        <f t="shared" si="185"/>
        <v>20</v>
      </c>
      <c r="D324" s="32">
        <f t="shared" si="186"/>
        <v>234</v>
      </c>
      <c r="E324" s="74">
        <f>MIN(IF(AV324=0,0,
IF(Investment_Strategy="DIS",VLOOKUP(Investment_Strategy&amp;"_"&amp;Investment_Strategy_Sub1&amp;"_"&amp;$A324,'Investment Strategies'!$AZ:$BP,12,FALSE),
IF(AND(Investment_Strategy="Lifecycle",Investment_Strategy_Sub1="Non-Standard"),VLOOKUP(Investment_Strategy&amp;"_"&amp;Investment_Strategy_Sub2&amp;"_"&amp;$A324,'Investment Strategies'!$C:$P,9,FALSE),
IF(AND(Investment_Strategy="Lifecycle",Investment_Strategy_Sub1="Standard"),VLOOKUP(Investment_Strategy&amp;"_"&amp;Investment_Strategy_Sub2&amp;"_"&amp;$A324,'Investment Strategies'!$AJ:$AV,8,FALSE),
IF(AND(Investment_Strategy="Autopilot",Investment_Strategy_Sub1="Non-Standard"),VLOOKUP(Investment_Strategy&amp;"_"&amp;Investment_Strategy_Sub2&amp;"_"&amp;$A324,'Investment Strategies'!$T:$AF,8,FALSE),
IF(Investment_Strategy ="DIY",DIY_RateOfReturn_CurrentFunds,
"Error")))))),Max_InvReturn)</f>
        <v>0</v>
      </c>
      <c r="F324" s="62">
        <f>IF(AV324=0,0,
IF(Investment_Strategy="DIS",VLOOKUP(Investment_Strategy&amp;"_"&amp;Investment_Strategy_Sub1&amp;"_"&amp;$A324,'Investment Strategies'!$AZ:$BP,15,FALSE),
IF(AND(Investment_Strategy="Lifecycle",Investment_Strategy_Sub1="Non-Standard"),VLOOKUP(Investment_Strategy&amp;"_"&amp;Investment_Strategy_Sub2&amp;"_"&amp;$A324,'Investment Strategies'!$C:$P,12,FALSE),
IF(AND(Investment_Strategy="Lifecycle",Investment_Strategy_Sub1="Standard"),VLOOKUP(Investment_Strategy&amp;"_"&amp;Investment_Strategy_Sub2&amp;"_"&amp;$A324,'Investment Strategies'!$AJ:$AV,11,FALSE),
IF(AND(Investment_Strategy="Autopilot",Investment_Strategy_Sub1="Non-Standard"),VLOOKUP(Investment_Strategy&amp;"_"&amp;Investment_Strategy_Sub2&amp;"_"&amp;$A324,'Investment Strategies'!$T:$AF,11,FALSE),
IF(Investment_Strategy="DIY",DIY_GteeChrge_CurrentFunds,
"Error"))))))</f>
        <v>0</v>
      </c>
      <c r="G324" s="33">
        <f>IF(AV324=0,0,
IF(Investment_Strategy="DIS",VLOOKUP(Investment_Strategy&amp;"_"&amp;Investment_Strategy_Sub1&amp;"_"&amp;$A324,'Investment Strategies'!$AZ:$BP,17,FALSE),
IF(AND(Investment_Strategy="Lifecycle",Investment_Strategy_Sub1="Non-Standard"),VLOOKUP(Investment_Strategy&amp;"_"&amp;Investment_Strategy_Sub2&amp;"_"&amp;$A324,'Investment Strategies'!$C:$P,14,FALSE),
IF(AND(Investment_Strategy="Lifecycle",Investment_Strategy_Sub1="Standard"),VLOOKUP(Investment_Strategy&amp;"_"&amp;Investment_Strategy_Sub2&amp;"_"&amp;$A324,'Investment Strategies'!$AJ:$AV,13,FALSE),
IF(AND(Investment_Strategy="Autopilot",Investment_Strategy_Sub1="Non-Standard"),VLOOKUP(Investment_Strategy&amp;"_"&amp;Investment_Strategy_Sub2&amp;"_"&amp;$A324,'Investment Strategies'!$T:$AF,13,FALSE),
IF(Investment_Strategy="DIY",DIY_ExtManChrge_CurrentFunds,
"Error"))))))</f>
        <v>0</v>
      </c>
      <c r="H324" s="16">
        <f t="shared" si="175"/>
        <v>0</v>
      </c>
      <c r="I324" s="16">
        <f t="shared" si="159"/>
        <v>0</v>
      </c>
      <c r="J324" s="16">
        <f t="shared" si="160"/>
        <v>0</v>
      </c>
      <c r="K324" s="16">
        <f>(Opening_Fund_Value+SUM(K$91:K323))*E324*IF(D324=$A$91,SRP_finalmonthfactor,1)</f>
        <v>0</v>
      </c>
      <c r="L324" s="74">
        <f>MIN(IF($AV324=0,0,
IF(Investment_Strategy="DIS",VLOOKUP(Investment_Strategy&amp;"_"&amp;Investment_Strategy_Sub1&amp;"_"&amp;$A324,'Investment Strategies'!$AZ:$BP,12,FALSE),
IF(AND(Investment_Strategy="Lifecycle",Investment_Strategy_Sub1="Non-Standard"),VLOOKUP(Investment_Strategy&amp;"_"&amp;Investment_Strategy_Sub2&amp;"_"&amp;$A324,'Investment Strategies'!$C:$P,9,FALSE),
IF(AND(Investment_Strategy="Lifecycle",Investment_Strategy_Sub1="Standard"),VLOOKUP(Investment_Strategy&amp;"_"&amp;Investment_Strategy_Sub2&amp;"_"&amp;$A324,'Investment Strategies'!$AJ:$AV,8,FALSE),
IF(AND(Investment_Strategy="Autopilot",Investment_Strategy_Sub1="Non-Standard"),VLOOKUP(Investment_Strategy&amp;"_"&amp;Investment_Strategy_Sub2&amp;"_"&amp;$A324,'Investment Strategies'!$T:$AF,8,FALSE),
IF(Investment_Strategy ="DIY",DIY_RateofReturn_SP,
"Error")))))),Max_InvReturn)</f>
        <v>0</v>
      </c>
      <c r="M324" s="62">
        <f>IF($AV324=0,0,
IF(Investment_Strategy="DIS",VLOOKUP(Investment_Strategy&amp;"_"&amp;Investment_Strategy_Sub1&amp;"_"&amp;$A324,'Investment Strategies'!$AZ:$BP,15,FALSE),
IF(AND(Investment_Strategy="Lifecycle",Investment_Strategy_Sub1="Non-Standard"),VLOOKUP(Investment_Strategy&amp;"_"&amp;Investment_Strategy_Sub2&amp;"_"&amp;$A324,'Investment Strategies'!$C:$P,12,FALSE),
IF(AND(Investment_Strategy="Lifecycle",Investment_Strategy_Sub1="Standard"),VLOOKUP(Investment_Strategy&amp;"_"&amp;Investment_Strategy_Sub2&amp;"_"&amp;$A324,'Investment Strategies'!$AJ:$AV,11,FALSE),
IF(AND(Investment_Strategy="Autopilot",Investment_Strategy_Sub1="Non-Standard"),VLOOKUP(Investment_Strategy&amp;"_"&amp;Investment_Strategy_Sub2&amp;"_"&amp;$A324,'Investment Strategies'!$T:$AF,11,FALSE),
IF(Investment_Strategy="DIY",DIY_GteeChrge_SP,
"Error"))))))</f>
        <v>0</v>
      </c>
      <c r="N324" s="33">
        <f>IF($AV324=0,0,
IF(Investment_Strategy="DIS",VLOOKUP(Investment_Strategy&amp;"_"&amp;Investment_Strategy_Sub1&amp;"_"&amp;$A324,'Investment Strategies'!$AZ:$BP,17,FALSE),
IF(AND(Investment_Strategy="Lifecycle",Investment_Strategy_Sub1="Non-Standard"),VLOOKUP(Investment_Strategy&amp;"_"&amp;Investment_Strategy_Sub2&amp;"_"&amp;$A324,'Investment Strategies'!$C:$P,14,FALSE),
IF(AND(Investment_Strategy="Lifecycle",Investment_Strategy_Sub1="Standard"),VLOOKUP(Investment_Strategy&amp;"_"&amp;Investment_Strategy_Sub2&amp;"_"&amp;$A324,'Investment Strategies'!$AJ:$AV,13,FALSE),
IF(AND(Investment_Strategy="Autopilot",Investment_Strategy_Sub1="Non-Standard"),VLOOKUP(Investment_Strategy&amp;"_"&amp;Investment_Strategy_Sub2&amp;"_"&amp;$A324,'Investment Strategies'!$T:$AF,13,FALSE),
IF(Investment_Strategy="DIY",DIY_ExtManChrge_SP,
"Error"))))))</f>
        <v>0</v>
      </c>
      <c r="O324" s="16">
        <f t="shared" si="187"/>
        <v>0</v>
      </c>
      <c r="Q324" s="16">
        <f t="shared" si="161"/>
        <v>0</v>
      </c>
      <c r="R324" s="16">
        <f t="shared" si="162"/>
        <v>0</v>
      </c>
      <c r="S324" s="16">
        <f>(SRP_SP+SUM(S$91:S323))*L324*IF(D324=$A$91,SRP_finalmonthfactor,1)</f>
        <v>0</v>
      </c>
      <c r="T324" s="74">
        <f>MIN(IF($AV324=0,0,
IF(Investment_Strategy="DIS",VLOOKUP(Investment_Strategy&amp;"_"&amp;Investment_Strategy_Sub1&amp;"_"&amp;$A324,'Investment Strategies'!$AZ:$BP,12,FALSE),
IF(AND(Investment_Strategy="Lifecycle",Investment_Strategy_Sub1="Non-Standard"),VLOOKUP(Investment_Strategy&amp;"_"&amp;Investment_Strategy_Sub2&amp;"_"&amp;$A324,'Investment Strategies'!$C:$P,9,FALSE),
IF(AND(Investment_Strategy="Lifecycle",Investment_Strategy_Sub1="Standard"),VLOOKUP(Investment_Strategy&amp;"_"&amp;Investment_Strategy_Sub2&amp;"_"&amp;$A324,'Investment Strategies'!$AJ:$AV,8,FALSE),
IF(AND(Investment_Strategy="Autopilot",Investment_Strategy_Sub1="Non-Standard"),VLOOKUP(Investment_Strategy&amp;"_"&amp;Investment_Strategy_Sub2&amp;"_"&amp;$A324,'Investment Strategies'!$T:$AF,8,FALSE),
IF(Investment_Strategy ="DIY",DIY_RateOfReturn_FuturePremiums,
"Error")))))),Max_InvReturn)</f>
        <v>0</v>
      </c>
      <c r="U324" s="62">
        <f>IF($AV324=0,0,
IF(Investment_Strategy="DIS",VLOOKUP(Investment_Strategy&amp;"_"&amp;Investment_Strategy_Sub1&amp;"_"&amp;$A324,'Investment Strategies'!$AZ:$BP,15,FALSE),
IF(AND(Investment_Strategy="Lifecycle",Investment_Strategy_Sub1="Non-Standard"),VLOOKUP(Investment_Strategy&amp;"_"&amp;Investment_Strategy_Sub2&amp;"_"&amp;$A324,'Investment Strategies'!$C:$P,12,FALSE),
IF(AND(Investment_Strategy="Lifecycle",Investment_Strategy_Sub1="Standard"),VLOOKUP(Investment_Strategy&amp;"_"&amp;Investment_Strategy_Sub2&amp;"_"&amp;$A324,'Investment Strategies'!$AJ:$AV,11,FALSE),
IF(AND(Investment_Strategy="Autopilot",Investment_Strategy_Sub1="Non-Standard"),VLOOKUP(Investment_Strategy&amp;"_"&amp;Investment_Strategy_Sub2&amp;"_"&amp;$A324,'Investment Strategies'!$T:$AF,11,FALSE),
IF(Investment_Strategy="DIY",DIY_GteeChrge_FuturePremiums,
"Error"))))))</f>
        <v>0</v>
      </c>
      <c r="V324" s="33">
        <f>IF(AV324=0,0,
IF(Investment_Strategy="DIS",VLOOKUP(Investment_Strategy&amp;"_"&amp;Investment_Strategy_Sub1&amp;"_"&amp;$A324,'Investment Strategies'!$AZ:$BP,17,FALSE),
IF(AND(Investment_Strategy="Lifecycle",Investment_Strategy_Sub1="Non-Standard"),VLOOKUP(Investment_Strategy&amp;"_"&amp;Investment_Strategy_Sub2&amp;"_"&amp;$A324,'Investment Strategies'!$C:$P,14,FALSE),
IF(AND(Investment_Strategy="Lifecycle",Investment_Strategy_Sub1="Standard"),VLOOKUP(Investment_Strategy&amp;"_"&amp;Investment_Strategy_Sub2&amp;"_"&amp;$A324,'Investment Strategies'!$AJ:$AV,13,FALSE),
IF(AND(Investment_Strategy="Autopilot",Investment_Strategy_Sub1="Non-Standard"),VLOOKUP(Investment_Strategy&amp;"_"&amp;Investment_Strategy_Sub2&amp;"_"&amp;$A324,'Investment Strategies'!$T:$AF,13,FALSE),
IF(Investment_Strategy="DIY",DIY_ExtManChrge_FuturePremiums,
"Error"))))))</f>
        <v>0</v>
      </c>
      <c r="W324" s="16">
        <f t="shared" si="188"/>
        <v>0</v>
      </c>
      <c r="X324" s="16">
        <f t="shared" si="163"/>
        <v>0</v>
      </c>
      <c r="Y324" s="16">
        <f t="shared" si="164"/>
        <v>0</v>
      </c>
      <c r="Z324" s="31">
        <f t="shared" si="165"/>
        <v>0.02</v>
      </c>
      <c r="AA324" s="16">
        <f t="shared" si="166"/>
        <v>0</v>
      </c>
      <c r="AB324" s="28">
        <f t="shared" si="189"/>
        <v>0</v>
      </c>
      <c r="AC324" s="28">
        <f>(SUM($AC$91:AC323)+SUM($X$91:X323)+X324)*T324*IF(D324=$A$91,SRP_finalmonthfactor,1)</f>
        <v>0</v>
      </c>
      <c r="AD324" s="16">
        <f t="shared" si="167"/>
        <v>0</v>
      </c>
      <c r="AE324" s="106"/>
      <c r="AF324" s="16">
        <f t="shared" si="176"/>
        <v>0</v>
      </c>
      <c r="AG324" s="16">
        <f t="shared" si="177"/>
        <v>0</v>
      </c>
      <c r="AH324" s="16">
        <f t="shared" si="178"/>
        <v>0</v>
      </c>
      <c r="AJ324" s="13">
        <f t="shared" si="201"/>
        <v>0</v>
      </c>
      <c r="AK324" s="13">
        <f t="shared" si="201"/>
        <v>0</v>
      </c>
      <c r="AL324" s="13">
        <f t="shared" si="201"/>
        <v>0</v>
      </c>
      <c r="AM324" s="13">
        <f t="shared" si="201"/>
        <v>0</v>
      </c>
      <c r="AN324" s="13">
        <f t="shared" si="201"/>
        <v>0</v>
      </c>
      <c r="AO324" s="13">
        <f t="shared" si="201"/>
        <v>1</v>
      </c>
      <c r="AP324" s="13">
        <f t="shared" si="201"/>
        <v>1</v>
      </c>
      <c r="AQ324" s="13">
        <f t="shared" si="201"/>
        <v>1</v>
      </c>
      <c r="AR324" s="13">
        <f t="shared" si="201"/>
        <v>1</v>
      </c>
      <c r="AS324" s="13">
        <f t="shared" si="201"/>
        <v>1</v>
      </c>
      <c r="AT324" s="13">
        <f t="shared" si="201"/>
        <v>1</v>
      </c>
      <c r="AU324" s="13">
        <f t="shared" si="201"/>
        <v>1</v>
      </c>
      <c r="AV324" s="13">
        <f t="shared" si="168"/>
        <v>0</v>
      </c>
      <c r="AW324" s="13">
        <f t="shared" si="169"/>
        <v>1</v>
      </c>
      <c r="AY324" s="17">
        <f t="shared" si="170"/>
        <v>234</v>
      </c>
      <c r="AZ324" s="28">
        <f t="shared" si="179"/>
        <v>0</v>
      </c>
      <c r="BA324" s="13">
        <f t="shared" si="171"/>
        <v>0</v>
      </c>
      <c r="BB324" s="13">
        <f t="shared" si="172"/>
        <v>0</v>
      </c>
      <c r="BC324" s="28">
        <f t="shared" si="180"/>
        <v>0</v>
      </c>
      <c r="BD324" s="28">
        <f t="shared" si="181"/>
        <v>0</v>
      </c>
      <c r="BF324" s="248">
        <f t="shared" si="182"/>
        <v>993869.29442638322</v>
      </c>
      <c r="BG324" s="36">
        <f t="shared" si="190"/>
        <v>0</v>
      </c>
      <c r="BH324" s="36">
        <f t="shared" si="191"/>
        <v>819502.80191144813</v>
      </c>
      <c r="BI324" s="249">
        <f t="shared" si="192"/>
        <v>0</v>
      </c>
      <c r="BJ324" s="246">
        <f t="shared" si="193"/>
        <v>0</v>
      </c>
      <c r="BK324" s="246">
        <f t="shared" si="173"/>
        <v>7.531116566323881E-4</v>
      </c>
      <c r="BL324" s="246">
        <f t="shared" si="194"/>
        <v>0</v>
      </c>
      <c r="BM324" s="246">
        <f t="shared" si="195"/>
        <v>7.531116566323881E-4</v>
      </c>
      <c r="BN324" s="36">
        <f t="shared" si="183"/>
        <v>617.17711276241448</v>
      </c>
      <c r="BO324" s="36">
        <f t="shared" si="196"/>
        <v>0</v>
      </c>
      <c r="BP324" s="36">
        <f t="shared" si="197"/>
        <v>818885.62479868566</v>
      </c>
    </row>
    <row r="325" spans="1:68">
      <c r="A325" s="32">
        <f t="shared" si="184"/>
        <v>-150</v>
      </c>
      <c r="B325" s="32">
        <f t="shared" si="174"/>
        <v>72</v>
      </c>
      <c r="C325" s="32">
        <f t="shared" si="185"/>
        <v>20</v>
      </c>
      <c r="D325" s="32">
        <f t="shared" si="186"/>
        <v>235</v>
      </c>
      <c r="E325" s="74">
        <f>MIN(IF(AV325=0,0,
IF(Investment_Strategy="DIS",VLOOKUP(Investment_Strategy&amp;"_"&amp;Investment_Strategy_Sub1&amp;"_"&amp;$A325,'Investment Strategies'!$AZ:$BP,12,FALSE),
IF(AND(Investment_Strategy="Lifecycle",Investment_Strategy_Sub1="Non-Standard"),VLOOKUP(Investment_Strategy&amp;"_"&amp;Investment_Strategy_Sub2&amp;"_"&amp;$A325,'Investment Strategies'!$C:$P,9,FALSE),
IF(AND(Investment_Strategy="Lifecycle",Investment_Strategy_Sub1="Standard"),VLOOKUP(Investment_Strategy&amp;"_"&amp;Investment_Strategy_Sub2&amp;"_"&amp;$A325,'Investment Strategies'!$AJ:$AV,8,FALSE),
IF(AND(Investment_Strategy="Autopilot",Investment_Strategy_Sub1="Non-Standard"),VLOOKUP(Investment_Strategy&amp;"_"&amp;Investment_Strategy_Sub2&amp;"_"&amp;$A325,'Investment Strategies'!$T:$AF,8,FALSE),
IF(Investment_Strategy ="DIY",DIY_RateOfReturn_CurrentFunds,
"Error")))))),Max_InvReturn)</f>
        <v>0</v>
      </c>
      <c r="F325" s="62">
        <f>IF(AV325=0,0,
IF(Investment_Strategy="DIS",VLOOKUP(Investment_Strategy&amp;"_"&amp;Investment_Strategy_Sub1&amp;"_"&amp;$A325,'Investment Strategies'!$AZ:$BP,15,FALSE),
IF(AND(Investment_Strategy="Lifecycle",Investment_Strategy_Sub1="Non-Standard"),VLOOKUP(Investment_Strategy&amp;"_"&amp;Investment_Strategy_Sub2&amp;"_"&amp;$A325,'Investment Strategies'!$C:$P,12,FALSE),
IF(AND(Investment_Strategy="Lifecycle",Investment_Strategy_Sub1="Standard"),VLOOKUP(Investment_Strategy&amp;"_"&amp;Investment_Strategy_Sub2&amp;"_"&amp;$A325,'Investment Strategies'!$AJ:$AV,11,FALSE),
IF(AND(Investment_Strategy="Autopilot",Investment_Strategy_Sub1="Non-Standard"),VLOOKUP(Investment_Strategy&amp;"_"&amp;Investment_Strategy_Sub2&amp;"_"&amp;$A325,'Investment Strategies'!$T:$AF,11,FALSE),
IF(Investment_Strategy="DIY",DIY_GteeChrge_CurrentFunds,
"Error"))))))</f>
        <v>0</v>
      </c>
      <c r="G325" s="33">
        <f>IF(AV325=0,0,
IF(Investment_Strategy="DIS",VLOOKUP(Investment_Strategy&amp;"_"&amp;Investment_Strategy_Sub1&amp;"_"&amp;$A325,'Investment Strategies'!$AZ:$BP,17,FALSE),
IF(AND(Investment_Strategy="Lifecycle",Investment_Strategy_Sub1="Non-Standard"),VLOOKUP(Investment_Strategy&amp;"_"&amp;Investment_Strategy_Sub2&amp;"_"&amp;$A325,'Investment Strategies'!$C:$P,14,FALSE),
IF(AND(Investment_Strategy="Lifecycle",Investment_Strategy_Sub1="Standard"),VLOOKUP(Investment_Strategy&amp;"_"&amp;Investment_Strategy_Sub2&amp;"_"&amp;$A325,'Investment Strategies'!$AJ:$AV,13,FALSE),
IF(AND(Investment_Strategy="Autopilot",Investment_Strategy_Sub1="Non-Standard"),VLOOKUP(Investment_Strategy&amp;"_"&amp;Investment_Strategy_Sub2&amp;"_"&amp;$A325,'Investment Strategies'!$T:$AF,13,FALSE),
IF(Investment_Strategy="DIY",DIY_ExtManChrge_CurrentFunds,
"Error"))))))</f>
        <v>0</v>
      </c>
      <c r="H325" s="16">
        <f t="shared" si="175"/>
        <v>0</v>
      </c>
      <c r="I325" s="16">
        <f t="shared" si="159"/>
        <v>0</v>
      </c>
      <c r="J325" s="16">
        <f t="shared" si="160"/>
        <v>0</v>
      </c>
      <c r="K325" s="16">
        <f>(Opening_Fund_Value+SUM(K$91:K324))*E325*IF(D325=$A$91,SRP_finalmonthfactor,1)</f>
        <v>0</v>
      </c>
      <c r="L325" s="74">
        <f>MIN(IF($AV325=0,0,
IF(Investment_Strategy="DIS",VLOOKUP(Investment_Strategy&amp;"_"&amp;Investment_Strategy_Sub1&amp;"_"&amp;$A325,'Investment Strategies'!$AZ:$BP,12,FALSE),
IF(AND(Investment_Strategy="Lifecycle",Investment_Strategy_Sub1="Non-Standard"),VLOOKUP(Investment_Strategy&amp;"_"&amp;Investment_Strategy_Sub2&amp;"_"&amp;$A325,'Investment Strategies'!$C:$P,9,FALSE),
IF(AND(Investment_Strategy="Lifecycle",Investment_Strategy_Sub1="Standard"),VLOOKUP(Investment_Strategy&amp;"_"&amp;Investment_Strategy_Sub2&amp;"_"&amp;$A325,'Investment Strategies'!$AJ:$AV,8,FALSE),
IF(AND(Investment_Strategy="Autopilot",Investment_Strategy_Sub1="Non-Standard"),VLOOKUP(Investment_Strategy&amp;"_"&amp;Investment_Strategy_Sub2&amp;"_"&amp;$A325,'Investment Strategies'!$T:$AF,8,FALSE),
IF(Investment_Strategy ="DIY",DIY_RateofReturn_SP,
"Error")))))),Max_InvReturn)</f>
        <v>0</v>
      </c>
      <c r="M325" s="62">
        <f>IF($AV325=0,0,
IF(Investment_Strategy="DIS",VLOOKUP(Investment_Strategy&amp;"_"&amp;Investment_Strategy_Sub1&amp;"_"&amp;$A325,'Investment Strategies'!$AZ:$BP,15,FALSE),
IF(AND(Investment_Strategy="Lifecycle",Investment_Strategy_Sub1="Non-Standard"),VLOOKUP(Investment_Strategy&amp;"_"&amp;Investment_Strategy_Sub2&amp;"_"&amp;$A325,'Investment Strategies'!$C:$P,12,FALSE),
IF(AND(Investment_Strategy="Lifecycle",Investment_Strategy_Sub1="Standard"),VLOOKUP(Investment_Strategy&amp;"_"&amp;Investment_Strategy_Sub2&amp;"_"&amp;$A325,'Investment Strategies'!$AJ:$AV,11,FALSE),
IF(AND(Investment_Strategy="Autopilot",Investment_Strategy_Sub1="Non-Standard"),VLOOKUP(Investment_Strategy&amp;"_"&amp;Investment_Strategy_Sub2&amp;"_"&amp;$A325,'Investment Strategies'!$T:$AF,11,FALSE),
IF(Investment_Strategy="DIY",DIY_GteeChrge_SP,
"Error"))))))</f>
        <v>0</v>
      </c>
      <c r="N325" s="33">
        <f>IF($AV325=0,0,
IF(Investment_Strategy="DIS",VLOOKUP(Investment_Strategy&amp;"_"&amp;Investment_Strategy_Sub1&amp;"_"&amp;$A325,'Investment Strategies'!$AZ:$BP,17,FALSE),
IF(AND(Investment_Strategy="Lifecycle",Investment_Strategy_Sub1="Non-Standard"),VLOOKUP(Investment_Strategy&amp;"_"&amp;Investment_Strategy_Sub2&amp;"_"&amp;$A325,'Investment Strategies'!$C:$P,14,FALSE),
IF(AND(Investment_Strategy="Lifecycle",Investment_Strategy_Sub1="Standard"),VLOOKUP(Investment_Strategy&amp;"_"&amp;Investment_Strategy_Sub2&amp;"_"&amp;$A325,'Investment Strategies'!$AJ:$AV,13,FALSE),
IF(AND(Investment_Strategy="Autopilot",Investment_Strategy_Sub1="Non-Standard"),VLOOKUP(Investment_Strategy&amp;"_"&amp;Investment_Strategy_Sub2&amp;"_"&amp;$A325,'Investment Strategies'!$T:$AF,13,FALSE),
IF(Investment_Strategy="DIY",DIY_ExtManChrge_SP,
"Error"))))))</f>
        <v>0</v>
      </c>
      <c r="O325" s="16">
        <f t="shared" si="187"/>
        <v>0</v>
      </c>
      <c r="Q325" s="16">
        <f t="shared" si="161"/>
        <v>0</v>
      </c>
      <c r="R325" s="16">
        <f t="shared" si="162"/>
        <v>0</v>
      </c>
      <c r="S325" s="16">
        <f>(SRP_SP+SUM(S$91:S324))*L325*IF(D325=$A$91,SRP_finalmonthfactor,1)</f>
        <v>0</v>
      </c>
      <c r="T325" s="74">
        <f>MIN(IF($AV325=0,0,
IF(Investment_Strategy="DIS",VLOOKUP(Investment_Strategy&amp;"_"&amp;Investment_Strategy_Sub1&amp;"_"&amp;$A325,'Investment Strategies'!$AZ:$BP,12,FALSE),
IF(AND(Investment_Strategy="Lifecycle",Investment_Strategy_Sub1="Non-Standard"),VLOOKUP(Investment_Strategy&amp;"_"&amp;Investment_Strategy_Sub2&amp;"_"&amp;$A325,'Investment Strategies'!$C:$P,9,FALSE),
IF(AND(Investment_Strategy="Lifecycle",Investment_Strategy_Sub1="Standard"),VLOOKUP(Investment_Strategy&amp;"_"&amp;Investment_Strategy_Sub2&amp;"_"&amp;$A325,'Investment Strategies'!$AJ:$AV,8,FALSE),
IF(AND(Investment_Strategy="Autopilot",Investment_Strategy_Sub1="Non-Standard"),VLOOKUP(Investment_Strategy&amp;"_"&amp;Investment_Strategy_Sub2&amp;"_"&amp;$A325,'Investment Strategies'!$T:$AF,8,FALSE),
IF(Investment_Strategy ="DIY",DIY_RateOfReturn_FuturePremiums,
"Error")))))),Max_InvReturn)</f>
        <v>0</v>
      </c>
      <c r="U325" s="62">
        <f>IF($AV325=0,0,
IF(Investment_Strategy="DIS",VLOOKUP(Investment_Strategy&amp;"_"&amp;Investment_Strategy_Sub1&amp;"_"&amp;$A325,'Investment Strategies'!$AZ:$BP,15,FALSE),
IF(AND(Investment_Strategy="Lifecycle",Investment_Strategy_Sub1="Non-Standard"),VLOOKUP(Investment_Strategy&amp;"_"&amp;Investment_Strategy_Sub2&amp;"_"&amp;$A325,'Investment Strategies'!$C:$P,12,FALSE),
IF(AND(Investment_Strategy="Lifecycle",Investment_Strategy_Sub1="Standard"),VLOOKUP(Investment_Strategy&amp;"_"&amp;Investment_Strategy_Sub2&amp;"_"&amp;$A325,'Investment Strategies'!$AJ:$AV,11,FALSE),
IF(AND(Investment_Strategy="Autopilot",Investment_Strategy_Sub1="Non-Standard"),VLOOKUP(Investment_Strategy&amp;"_"&amp;Investment_Strategy_Sub2&amp;"_"&amp;$A325,'Investment Strategies'!$T:$AF,11,FALSE),
IF(Investment_Strategy="DIY",DIY_GteeChrge_FuturePremiums,
"Error"))))))</f>
        <v>0</v>
      </c>
      <c r="V325" s="33">
        <f>IF(AV325=0,0,
IF(Investment_Strategy="DIS",VLOOKUP(Investment_Strategy&amp;"_"&amp;Investment_Strategy_Sub1&amp;"_"&amp;$A325,'Investment Strategies'!$AZ:$BP,17,FALSE),
IF(AND(Investment_Strategy="Lifecycle",Investment_Strategy_Sub1="Non-Standard"),VLOOKUP(Investment_Strategy&amp;"_"&amp;Investment_Strategy_Sub2&amp;"_"&amp;$A325,'Investment Strategies'!$C:$P,14,FALSE),
IF(AND(Investment_Strategy="Lifecycle",Investment_Strategy_Sub1="Standard"),VLOOKUP(Investment_Strategy&amp;"_"&amp;Investment_Strategy_Sub2&amp;"_"&amp;$A325,'Investment Strategies'!$AJ:$AV,13,FALSE),
IF(AND(Investment_Strategy="Autopilot",Investment_Strategy_Sub1="Non-Standard"),VLOOKUP(Investment_Strategy&amp;"_"&amp;Investment_Strategy_Sub2&amp;"_"&amp;$A325,'Investment Strategies'!$T:$AF,13,FALSE),
IF(Investment_Strategy="DIY",DIY_ExtManChrge_FuturePremiums,
"Error"))))))</f>
        <v>0</v>
      </c>
      <c r="W325" s="16">
        <f t="shared" si="188"/>
        <v>0</v>
      </c>
      <c r="X325" s="16">
        <f t="shared" si="163"/>
        <v>0</v>
      </c>
      <c r="Y325" s="16">
        <f t="shared" si="164"/>
        <v>0</v>
      </c>
      <c r="Z325" s="31">
        <f t="shared" si="165"/>
        <v>0.02</v>
      </c>
      <c r="AA325" s="16">
        <f t="shared" si="166"/>
        <v>0</v>
      </c>
      <c r="AB325" s="28">
        <f t="shared" si="189"/>
        <v>0</v>
      </c>
      <c r="AC325" s="28">
        <f>(SUM($AC$91:AC324)+SUM($X$91:X324)+X325)*T325*IF(D325=$A$91,SRP_finalmonthfactor,1)</f>
        <v>0</v>
      </c>
      <c r="AD325" s="16">
        <f t="shared" si="167"/>
        <v>0</v>
      </c>
      <c r="AE325" s="106"/>
      <c r="AF325" s="16">
        <f t="shared" si="176"/>
        <v>0</v>
      </c>
      <c r="AG325" s="16">
        <f t="shared" si="177"/>
        <v>0</v>
      </c>
      <c r="AH325" s="16">
        <f t="shared" si="178"/>
        <v>0</v>
      </c>
      <c r="AJ325" s="13">
        <f t="shared" si="201"/>
        <v>0</v>
      </c>
      <c r="AK325" s="13">
        <f t="shared" si="201"/>
        <v>0</v>
      </c>
      <c r="AL325" s="13">
        <f t="shared" si="201"/>
        <v>0</v>
      </c>
      <c r="AM325" s="13">
        <f t="shared" si="201"/>
        <v>0</v>
      </c>
      <c r="AN325" s="13">
        <f t="shared" si="201"/>
        <v>0</v>
      </c>
      <c r="AO325" s="13">
        <f t="shared" si="201"/>
        <v>1</v>
      </c>
      <c r="AP325" s="13">
        <f t="shared" si="201"/>
        <v>1</v>
      </c>
      <c r="AQ325" s="13">
        <f t="shared" si="201"/>
        <v>1</v>
      </c>
      <c r="AR325" s="13">
        <f t="shared" si="201"/>
        <v>1</v>
      </c>
      <c r="AS325" s="13">
        <f t="shared" si="201"/>
        <v>1</v>
      </c>
      <c r="AT325" s="13">
        <f t="shared" si="201"/>
        <v>1</v>
      </c>
      <c r="AU325" s="13">
        <f t="shared" si="201"/>
        <v>1</v>
      </c>
      <c r="AV325" s="13">
        <f t="shared" si="168"/>
        <v>0</v>
      </c>
      <c r="AW325" s="13">
        <f t="shared" si="169"/>
        <v>1</v>
      </c>
      <c r="AY325" s="17">
        <f t="shared" si="170"/>
        <v>235</v>
      </c>
      <c r="AZ325" s="28">
        <f t="shared" si="179"/>
        <v>0</v>
      </c>
      <c r="BA325" s="13">
        <f t="shared" si="171"/>
        <v>0</v>
      </c>
      <c r="BB325" s="13">
        <f t="shared" si="172"/>
        <v>0</v>
      </c>
      <c r="BC325" s="28">
        <f t="shared" si="180"/>
        <v>0</v>
      </c>
      <c r="BD325" s="28">
        <f t="shared" si="181"/>
        <v>0</v>
      </c>
      <c r="BF325" s="248">
        <f t="shared" si="182"/>
        <v>993869.29442638322</v>
      </c>
      <c r="BG325" s="36">
        <f t="shared" si="190"/>
        <v>0</v>
      </c>
      <c r="BH325" s="36">
        <f t="shared" si="191"/>
        <v>818885.62479868566</v>
      </c>
      <c r="BI325" s="249">
        <f t="shared" si="192"/>
        <v>0</v>
      </c>
      <c r="BJ325" s="246">
        <f t="shared" si="193"/>
        <v>0</v>
      </c>
      <c r="BK325" s="246">
        <f t="shared" si="173"/>
        <v>7.531116566323881E-4</v>
      </c>
      <c r="BL325" s="246">
        <f t="shared" si="194"/>
        <v>0</v>
      </c>
      <c r="BM325" s="246">
        <f t="shared" si="195"/>
        <v>7.531116566323881E-4</v>
      </c>
      <c r="BN325" s="36">
        <f t="shared" si="183"/>
        <v>616.7123094845864</v>
      </c>
      <c r="BO325" s="36">
        <f t="shared" si="196"/>
        <v>0</v>
      </c>
      <c r="BP325" s="36">
        <f t="shared" si="197"/>
        <v>818268.91248920106</v>
      </c>
    </row>
    <row r="326" spans="1:68">
      <c r="A326" s="32">
        <f t="shared" si="184"/>
        <v>-151</v>
      </c>
      <c r="B326" s="32">
        <f t="shared" si="174"/>
        <v>72</v>
      </c>
      <c r="C326" s="32">
        <f t="shared" si="185"/>
        <v>20</v>
      </c>
      <c r="D326" s="32">
        <f t="shared" si="186"/>
        <v>236</v>
      </c>
      <c r="E326" s="74">
        <f>MIN(IF(AV326=0,0,
IF(Investment_Strategy="DIS",VLOOKUP(Investment_Strategy&amp;"_"&amp;Investment_Strategy_Sub1&amp;"_"&amp;$A326,'Investment Strategies'!$AZ:$BP,12,FALSE),
IF(AND(Investment_Strategy="Lifecycle",Investment_Strategy_Sub1="Non-Standard"),VLOOKUP(Investment_Strategy&amp;"_"&amp;Investment_Strategy_Sub2&amp;"_"&amp;$A326,'Investment Strategies'!$C:$P,9,FALSE),
IF(AND(Investment_Strategy="Lifecycle",Investment_Strategy_Sub1="Standard"),VLOOKUP(Investment_Strategy&amp;"_"&amp;Investment_Strategy_Sub2&amp;"_"&amp;$A326,'Investment Strategies'!$AJ:$AV,8,FALSE),
IF(AND(Investment_Strategy="Autopilot",Investment_Strategy_Sub1="Non-Standard"),VLOOKUP(Investment_Strategy&amp;"_"&amp;Investment_Strategy_Sub2&amp;"_"&amp;$A326,'Investment Strategies'!$T:$AF,8,FALSE),
IF(Investment_Strategy ="DIY",DIY_RateOfReturn_CurrentFunds,
"Error")))))),Max_InvReturn)</f>
        <v>0</v>
      </c>
      <c r="F326" s="62">
        <f>IF(AV326=0,0,
IF(Investment_Strategy="DIS",VLOOKUP(Investment_Strategy&amp;"_"&amp;Investment_Strategy_Sub1&amp;"_"&amp;$A326,'Investment Strategies'!$AZ:$BP,15,FALSE),
IF(AND(Investment_Strategy="Lifecycle",Investment_Strategy_Sub1="Non-Standard"),VLOOKUP(Investment_Strategy&amp;"_"&amp;Investment_Strategy_Sub2&amp;"_"&amp;$A326,'Investment Strategies'!$C:$P,12,FALSE),
IF(AND(Investment_Strategy="Lifecycle",Investment_Strategy_Sub1="Standard"),VLOOKUP(Investment_Strategy&amp;"_"&amp;Investment_Strategy_Sub2&amp;"_"&amp;$A326,'Investment Strategies'!$AJ:$AV,11,FALSE),
IF(AND(Investment_Strategy="Autopilot",Investment_Strategy_Sub1="Non-Standard"),VLOOKUP(Investment_Strategy&amp;"_"&amp;Investment_Strategy_Sub2&amp;"_"&amp;$A326,'Investment Strategies'!$T:$AF,11,FALSE),
IF(Investment_Strategy="DIY",DIY_GteeChrge_CurrentFunds,
"Error"))))))</f>
        <v>0</v>
      </c>
      <c r="G326" s="33">
        <f>IF(AV326=0,0,
IF(Investment_Strategy="DIS",VLOOKUP(Investment_Strategy&amp;"_"&amp;Investment_Strategy_Sub1&amp;"_"&amp;$A326,'Investment Strategies'!$AZ:$BP,17,FALSE),
IF(AND(Investment_Strategy="Lifecycle",Investment_Strategy_Sub1="Non-Standard"),VLOOKUP(Investment_Strategy&amp;"_"&amp;Investment_Strategy_Sub2&amp;"_"&amp;$A326,'Investment Strategies'!$C:$P,14,FALSE),
IF(AND(Investment_Strategy="Lifecycle",Investment_Strategy_Sub1="Standard"),VLOOKUP(Investment_Strategy&amp;"_"&amp;Investment_Strategy_Sub2&amp;"_"&amp;$A326,'Investment Strategies'!$AJ:$AV,13,FALSE),
IF(AND(Investment_Strategy="Autopilot",Investment_Strategy_Sub1="Non-Standard"),VLOOKUP(Investment_Strategy&amp;"_"&amp;Investment_Strategy_Sub2&amp;"_"&amp;$A326,'Investment Strategies'!$T:$AF,13,FALSE),
IF(Investment_Strategy="DIY",DIY_ExtManChrge_CurrentFunds,
"Error"))))))</f>
        <v>0</v>
      </c>
      <c r="H326" s="16">
        <f t="shared" si="175"/>
        <v>0</v>
      </c>
      <c r="I326" s="16">
        <f t="shared" si="159"/>
        <v>0</v>
      </c>
      <c r="J326" s="16">
        <f t="shared" si="160"/>
        <v>0</v>
      </c>
      <c r="K326" s="16">
        <f>(Opening_Fund_Value+SUM(K$91:K325))*E326*IF(D326=$A$91,SRP_finalmonthfactor,1)</f>
        <v>0</v>
      </c>
      <c r="L326" s="74">
        <f>MIN(IF($AV326=0,0,
IF(Investment_Strategy="DIS",VLOOKUP(Investment_Strategy&amp;"_"&amp;Investment_Strategy_Sub1&amp;"_"&amp;$A326,'Investment Strategies'!$AZ:$BP,12,FALSE),
IF(AND(Investment_Strategy="Lifecycle",Investment_Strategy_Sub1="Non-Standard"),VLOOKUP(Investment_Strategy&amp;"_"&amp;Investment_Strategy_Sub2&amp;"_"&amp;$A326,'Investment Strategies'!$C:$P,9,FALSE),
IF(AND(Investment_Strategy="Lifecycle",Investment_Strategy_Sub1="Standard"),VLOOKUP(Investment_Strategy&amp;"_"&amp;Investment_Strategy_Sub2&amp;"_"&amp;$A326,'Investment Strategies'!$AJ:$AV,8,FALSE),
IF(AND(Investment_Strategy="Autopilot",Investment_Strategy_Sub1="Non-Standard"),VLOOKUP(Investment_Strategy&amp;"_"&amp;Investment_Strategy_Sub2&amp;"_"&amp;$A326,'Investment Strategies'!$T:$AF,8,FALSE),
IF(Investment_Strategy ="DIY",DIY_RateofReturn_SP,
"Error")))))),Max_InvReturn)</f>
        <v>0</v>
      </c>
      <c r="M326" s="62">
        <f>IF($AV326=0,0,
IF(Investment_Strategy="DIS",VLOOKUP(Investment_Strategy&amp;"_"&amp;Investment_Strategy_Sub1&amp;"_"&amp;$A326,'Investment Strategies'!$AZ:$BP,15,FALSE),
IF(AND(Investment_Strategy="Lifecycle",Investment_Strategy_Sub1="Non-Standard"),VLOOKUP(Investment_Strategy&amp;"_"&amp;Investment_Strategy_Sub2&amp;"_"&amp;$A326,'Investment Strategies'!$C:$P,12,FALSE),
IF(AND(Investment_Strategy="Lifecycle",Investment_Strategy_Sub1="Standard"),VLOOKUP(Investment_Strategy&amp;"_"&amp;Investment_Strategy_Sub2&amp;"_"&amp;$A326,'Investment Strategies'!$AJ:$AV,11,FALSE),
IF(AND(Investment_Strategy="Autopilot",Investment_Strategy_Sub1="Non-Standard"),VLOOKUP(Investment_Strategy&amp;"_"&amp;Investment_Strategy_Sub2&amp;"_"&amp;$A326,'Investment Strategies'!$T:$AF,11,FALSE),
IF(Investment_Strategy="DIY",DIY_GteeChrge_SP,
"Error"))))))</f>
        <v>0</v>
      </c>
      <c r="N326" s="33">
        <f>IF($AV326=0,0,
IF(Investment_Strategy="DIS",VLOOKUP(Investment_Strategy&amp;"_"&amp;Investment_Strategy_Sub1&amp;"_"&amp;$A326,'Investment Strategies'!$AZ:$BP,17,FALSE),
IF(AND(Investment_Strategy="Lifecycle",Investment_Strategy_Sub1="Non-Standard"),VLOOKUP(Investment_Strategy&amp;"_"&amp;Investment_Strategy_Sub2&amp;"_"&amp;$A326,'Investment Strategies'!$C:$P,14,FALSE),
IF(AND(Investment_Strategy="Lifecycle",Investment_Strategy_Sub1="Standard"),VLOOKUP(Investment_Strategy&amp;"_"&amp;Investment_Strategy_Sub2&amp;"_"&amp;$A326,'Investment Strategies'!$AJ:$AV,13,FALSE),
IF(AND(Investment_Strategy="Autopilot",Investment_Strategy_Sub1="Non-Standard"),VLOOKUP(Investment_Strategy&amp;"_"&amp;Investment_Strategy_Sub2&amp;"_"&amp;$A326,'Investment Strategies'!$T:$AF,13,FALSE),
IF(Investment_Strategy="DIY",DIY_ExtManChrge_SP,
"Error"))))))</f>
        <v>0</v>
      </c>
      <c r="O326" s="16">
        <f t="shared" si="187"/>
        <v>0</v>
      </c>
      <c r="Q326" s="16">
        <f t="shared" si="161"/>
        <v>0</v>
      </c>
      <c r="R326" s="16">
        <f t="shared" si="162"/>
        <v>0</v>
      </c>
      <c r="S326" s="16">
        <f>(SRP_SP+SUM(S$91:S325))*L326*IF(D326=$A$91,SRP_finalmonthfactor,1)</f>
        <v>0</v>
      </c>
      <c r="T326" s="74">
        <f>MIN(IF($AV326=0,0,
IF(Investment_Strategy="DIS",VLOOKUP(Investment_Strategy&amp;"_"&amp;Investment_Strategy_Sub1&amp;"_"&amp;$A326,'Investment Strategies'!$AZ:$BP,12,FALSE),
IF(AND(Investment_Strategy="Lifecycle",Investment_Strategy_Sub1="Non-Standard"),VLOOKUP(Investment_Strategy&amp;"_"&amp;Investment_Strategy_Sub2&amp;"_"&amp;$A326,'Investment Strategies'!$C:$P,9,FALSE),
IF(AND(Investment_Strategy="Lifecycle",Investment_Strategy_Sub1="Standard"),VLOOKUP(Investment_Strategy&amp;"_"&amp;Investment_Strategy_Sub2&amp;"_"&amp;$A326,'Investment Strategies'!$AJ:$AV,8,FALSE),
IF(AND(Investment_Strategy="Autopilot",Investment_Strategy_Sub1="Non-Standard"),VLOOKUP(Investment_Strategy&amp;"_"&amp;Investment_Strategy_Sub2&amp;"_"&amp;$A326,'Investment Strategies'!$T:$AF,8,FALSE),
IF(Investment_Strategy ="DIY",DIY_RateOfReturn_FuturePremiums,
"Error")))))),Max_InvReturn)</f>
        <v>0</v>
      </c>
      <c r="U326" s="62">
        <f>IF($AV326=0,0,
IF(Investment_Strategy="DIS",VLOOKUP(Investment_Strategy&amp;"_"&amp;Investment_Strategy_Sub1&amp;"_"&amp;$A326,'Investment Strategies'!$AZ:$BP,15,FALSE),
IF(AND(Investment_Strategy="Lifecycle",Investment_Strategy_Sub1="Non-Standard"),VLOOKUP(Investment_Strategy&amp;"_"&amp;Investment_Strategy_Sub2&amp;"_"&amp;$A326,'Investment Strategies'!$C:$P,12,FALSE),
IF(AND(Investment_Strategy="Lifecycle",Investment_Strategy_Sub1="Standard"),VLOOKUP(Investment_Strategy&amp;"_"&amp;Investment_Strategy_Sub2&amp;"_"&amp;$A326,'Investment Strategies'!$AJ:$AV,11,FALSE),
IF(AND(Investment_Strategy="Autopilot",Investment_Strategy_Sub1="Non-Standard"),VLOOKUP(Investment_Strategy&amp;"_"&amp;Investment_Strategy_Sub2&amp;"_"&amp;$A326,'Investment Strategies'!$T:$AF,11,FALSE),
IF(Investment_Strategy="DIY",DIY_GteeChrge_FuturePremiums,
"Error"))))))</f>
        <v>0</v>
      </c>
      <c r="V326" s="33">
        <f>IF(AV326=0,0,
IF(Investment_Strategy="DIS",VLOOKUP(Investment_Strategy&amp;"_"&amp;Investment_Strategy_Sub1&amp;"_"&amp;$A326,'Investment Strategies'!$AZ:$BP,17,FALSE),
IF(AND(Investment_Strategy="Lifecycle",Investment_Strategy_Sub1="Non-Standard"),VLOOKUP(Investment_Strategy&amp;"_"&amp;Investment_Strategy_Sub2&amp;"_"&amp;$A326,'Investment Strategies'!$C:$P,14,FALSE),
IF(AND(Investment_Strategy="Lifecycle",Investment_Strategy_Sub1="Standard"),VLOOKUP(Investment_Strategy&amp;"_"&amp;Investment_Strategy_Sub2&amp;"_"&amp;$A326,'Investment Strategies'!$AJ:$AV,13,FALSE),
IF(AND(Investment_Strategy="Autopilot",Investment_Strategy_Sub1="Non-Standard"),VLOOKUP(Investment_Strategy&amp;"_"&amp;Investment_Strategy_Sub2&amp;"_"&amp;$A326,'Investment Strategies'!$T:$AF,13,FALSE),
IF(Investment_Strategy="DIY",DIY_ExtManChrge_FuturePremiums,
"Error"))))))</f>
        <v>0</v>
      </c>
      <c r="W326" s="16">
        <f t="shared" si="188"/>
        <v>0</v>
      </c>
      <c r="X326" s="16">
        <f t="shared" si="163"/>
        <v>0</v>
      </c>
      <c r="Y326" s="16">
        <f t="shared" si="164"/>
        <v>0</v>
      </c>
      <c r="Z326" s="31">
        <f t="shared" si="165"/>
        <v>0.02</v>
      </c>
      <c r="AA326" s="16">
        <f t="shared" si="166"/>
        <v>0</v>
      </c>
      <c r="AB326" s="28">
        <f t="shared" si="189"/>
        <v>0</v>
      </c>
      <c r="AC326" s="28">
        <f>(SUM($AC$91:AC325)+SUM($X$91:X325)+X326)*T326*IF(D326=$A$91,SRP_finalmonthfactor,1)</f>
        <v>0</v>
      </c>
      <c r="AD326" s="16">
        <f t="shared" si="167"/>
        <v>0</v>
      </c>
      <c r="AE326" s="106"/>
      <c r="AF326" s="16">
        <f t="shared" si="176"/>
        <v>0</v>
      </c>
      <c r="AG326" s="16">
        <f t="shared" si="177"/>
        <v>0</v>
      </c>
      <c r="AH326" s="16">
        <f t="shared" si="178"/>
        <v>0</v>
      </c>
      <c r="AJ326" s="13">
        <f t="shared" si="201"/>
        <v>0</v>
      </c>
      <c r="AK326" s="13">
        <f t="shared" si="201"/>
        <v>0</v>
      </c>
      <c r="AL326" s="13">
        <f t="shared" si="201"/>
        <v>0</v>
      </c>
      <c r="AM326" s="13">
        <f t="shared" si="201"/>
        <v>0</v>
      </c>
      <c r="AN326" s="13">
        <f t="shared" si="201"/>
        <v>0</v>
      </c>
      <c r="AO326" s="13">
        <f t="shared" si="201"/>
        <v>1</v>
      </c>
      <c r="AP326" s="13">
        <f t="shared" si="201"/>
        <v>1</v>
      </c>
      <c r="AQ326" s="13">
        <f t="shared" si="201"/>
        <v>1</v>
      </c>
      <c r="AR326" s="13">
        <f t="shared" si="201"/>
        <v>1</v>
      </c>
      <c r="AS326" s="13">
        <f t="shared" si="201"/>
        <v>1</v>
      </c>
      <c r="AT326" s="13">
        <f t="shared" si="201"/>
        <v>1</v>
      </c>
      <c r="AU326" s="13">
        <f t="shared" si="201"/>
        <v>1</v>
      </c>
      <c r="AV326" s="13">
        <f t="shared" si="168"/>
        <v>0</v>
      </c>
      <c r="AW326" s="13">
        <f t="shared" si="169"/>
        <v>1</v>
      </c>
      <c r="AY326" s="17">
        <f t="shared" si="170"/>
        <v>236</v>
      </c>
      <c r="AZ326" s="28">
        <f t="shared" si="179"/>
        <v>0</v>
      </c>
      <c r="BA326" s="13">
        <f t="shared" si="171"/>
        <v>0</v>
      </c>
      <c r="BB326" s="13">
        <f t="shared" si="172"/>
        <v>0</v>
      </c>
      <c r="BC326" s="28">
        <f t="shared" si="180"/>
        <v>0</v>
      </c>
      <c r="BD326" s="28">
        <f t="shared" si="181"/>
        <v>0</v>
      </c>
      <c r="BF326" s="248">
        <f t="shared" si="182"/>
        <v>993869.29442638322</v>
      </c>
      <c r="BG326" s="36">
        <f t="shared" si="190"/>
        <v>0</v>
      </c>
      <c r="BH326" s="36">
        <f t="shared" si="191"/>
        <v>818268.91248920106</v>
      </c>
      <c r="BI326" s="249">
        <f t="shared" si="192"/>
        <v>0</v>
      </c>
      <c r="BJ326" s="246">
        <f t="shared" si="193"/>
        <v>0</v>
      </c>
      <c r="BK326" s="246">
        <f t="shared" si="173"/>
        <v>7.531116566323881E-4</v>
      </c>
      <c r="BL326" s="246">
        <f t="shared" si="194"/>
        <v>0</v>
      </c>
      <c r="BM326" s="246">
        <f t="shared" si="195"/>
        <v>7.531116566323881E-4</v>
      </c>
      <c r="BN326" s="36">
        <f t="shared" si="183"/>
        <v>616.24785625552477</v>
      </c>
      <c r="BO326" s="36">
        <f t="shared" si="196"/>
        <v>0</v>
      </c>
      <c r="BP326" s="36">
        <f t="shared" si="197"/>
        <v>817652.66463294555</v>
      </c>
    </row>
    <row r="327" spans="1:68">
      <c r="A327" s="32">
        <f t="shared" si="184"/>
        <v>-152</v>
      </c>
      <c r="B327" s="32">
        <f t="shared" si="174"/>
        <v>72</v>
      </c>
      <c r="C327" s="32">
        <f t="shared" si="185"/>
        <v>20</v>
      </c>
      <c r="D327" s="32">
        <f t="shared" si="186"/>
        <v>237</v>
      </c>
      <c r="E327" s="74">
        <f>MIN(IF(AV327=0,0,
IF(Investment_Strategy="DIS",VLOOKUP(Investment_Strategy&amp;"_"&amp;Investment_Strategy_Sub1&amp;"_"&amp;$A327,'Investment Strategies'!$AZ:$BP,12,FALSE),
IF(AND(Investment_Strategy="Lifecycle",Investment_Strategy_Sub1="Non-Standard"),VLOOKUP(Investment_Strategy&amp;"_"&amp;Investment_Strategy_Sub2&amp;"_"&amp;$A327,'Investment Strategies'!$C:$P,9,FALSE),
IF(AND(Investment_Strategy="Lifecycle",Investment_Strategy_Sub1="Standard"),VLOOKUP(Investment_Strategy&amp;"_"&amp;Investment_Strategy_Sub2&amp;"_"&amp;$A327,'Investment Strategies'!$AJ:$AV,8,FALSE),
IF(AND(Investment_Strategy="Autopilot",Investment_Strategy_Sub1="Non-Standard"),VLOOKUP(Investment_Strategy&amp;"_"&amp;Investment_Strategy_Sub2&amp;"_"&amp;$A327,'Investment Strategies'!$T:$AF,8,FALSE),
IF(Investment_Strategy ="DIY",DIY_RateOfReturn_CurrentFunds,
"Error")))))),Max_InvReturn)</f>
        <v>0</v>
      </c>
      <c r="F327" s="62">
        <f>IF(AV327=0,0,
IF(Investment_Strategy="DIS",VLOOKUP(Investment_Strategy&amp;"_"&amp;Investment_Strategy_Sub1&amp;"_"&amp;$A327,'Investment Strategies'!$AZ:$BP,15,FALSE),
IF(AND(Investment_Strategy="Lifecycle",Investment_Strategy_Sub1="Non-Standard"),VLOOKUP(Investment_Strategy&amp;"_"&amp;Investment_Strategy_Sub2&amp;"_"&amp;$A327,'Investment Strategies'!$C:$P,12,FALSE),
IF(AND(Investment_Strategy="Lifecycle",Investment_Strategy_Sub1="Standard"),VLOOKUP(Investment_Strategy&amp;"_"&amp;Investment_Strategy_Sub2&amp;"_"&amp;$A327,'Investment Strategies'!$AJ:$AV,11,FALSE),
IF(AND(Investment_Strategy="Autopilot",Investment_Strategy_Sub1="Non-Standard"),VLOOKUP(Investment_Strategy&amp;"_"&amp;Investment_Strategy_Sub2&amp;"_"&amp;$A327,'Investment Strategies'!$T:$AF,11,FALSE),
IF(Investment_Strategy="DIY",DIY_GteeChrge_CurrentFunds,
"Error"))))))</f>
        <v>0</v>
      </c>
      <c r="G327" s="33">
        <f>IF(AV327=0,0,
IF(Investment_Strategy="DIS",VLOOKUP(Investment_Strategy&amp;"_"&amp;Investment_Strategy_Sub1&amp;"_"&amp;$A327,'Investment Strategies'!$AZ:$BP,17,FALSE),
IF(AND(Investment_Strategy="Lifecycle",Investment_Strategy_Sub1="Non-Standard"),VLOOKUP(Investment_Strategy&amp;"_"&amp;Investment_Strategy_Sub2&amp;"_"&amp;$A327,'Investment Strategies'!$C:$P,14,FALSE),
IF(AND(Investment_Strategy="Lifecycle",Investment_Strategy_Sub1="Standard"),VLOOKUP(Investment_Strategy&amp;"_"&amp;Investment_Strategy_Sub2&amp;"_"&amp;$A327,'Investment Strategies'!$AJ:$AV,13,FALSE),
IF(AND(Investment_Strategy="Autopilot",Investment_Strategy_Sub1="Non-Standard"),VLOOKUP(Investment_Strategy&amp;"_"&amp;Investment_Strategy_Sub2&amp;"_"&amp;$A327,'Investment Strategies'!$T:$AF,13,FALSE),
IF(Investment_Strategy="DIY",DIY_ExtManChrge_CurrentFunds,
"Error"))))))</f>
        <v>0</v>
      </c>
      <c r="H327" s="16">
        <f t="shared" si="175"/>
        <v>0</v>
      </c>
      <c r="I327" s="16">
        <f t="shared" si="159"/>
        <v>0</v>
      </c>
      <c r="J327" s="16">
        <f t="shared" si="160"/>
        <v>0</v>
      </c>
      <c r="K327" s="16">
        <f>(Opening_Fund_Value+SUM(K$91:K326))*E327*IF(D327=$A$91,SRP_finalmonthfactor,1)</f>
        <v>0</v>
      </c>
      <c r="L327" s="74">
        <f>MIN(IF($AV327=0,0,
IF(Investment_Strategy="DIS",VLOOKUP(Investment_Strategy&amp;"_"&amp;Investment_Strategy_Sub1&amp;"_"&amp;$A327,'Investment Strategies'!$AZ:$BP,12,FALSE),
IF(AND(Investment_Strategy="Lifecycle",Investment_Strategy_Sub1="Non-Standard"),VLOOKUP(Investment_Strategy&amp;"_"&amp;Investment_Strategy_Sub2&amp;"_"&amp;$A327,'Investment Strategies'!$C:$P,9,FALSE),
IF(AND(Investment_Strategy="Lifecycle",Investment_Strategy_Sub1="Standard"),VLOOKUP(Investment_Strategy&amp;"_"&amp;Investment_Strategy_Sub2&amp;"_"&amp;$A327,'Investment Strategies'!$AJ:$AV,8,FALSE),
IF(AND(Investment_Strategy="Autopilot",Investment_Strategy_Sub1="Non-Standard"),VLOOKUP(Investment_Strategy&amp;"_"&amp;Investment_Strategy_Sub2&amp;"_"&amp;$A327,'Investment Strategies'!$T:$AF,8,FALSE),
IF(Investment_Strategy ="DIY",DIY_RateofReturn_SP,
"Error")))))),Max_InvReturn)</f>
        <v>0</v>
      </c>
      <c r="M327" s="62">
        <f>IF($AV327=0,0,
IF(Investment_Strategy="DIS",VLOOKUP(Investment_Strategy&amp;"_"&amp;Investment_Strategy_Sub1&amp;"_"&amp;$A327,'Investment Strategies'!$AZ:$BP,15,FALSE),
IF(AND(Investment_Strategy="Lifecycle",Investment_Strategy_Sub1="Non-Standard"),VLOOKUP(Investment_Strategy&amp;"_"&amp;Investment_Strategy_Sub2&amp;"_"&amp;$A327,'Investment Strategies'!$C:$P,12,FALSE),
IF(AND(Investment_Strategy="Lifecycle",Investment_Strategy_Sub1="Standard"),VLOOKUP(Investment_Strategy&amp;"_"&amp;Investment_Strategy_Sub2&amp;"_"&amp;$A327,'Investment Strategies'!$AJ:$AV,11,FALSE),
IF(AND(Investment_Strategy="Autopilot",Investment_Strategy_Sub1="Non-Standard"),VLOOKUP(Investment_Strategy&amp;"_"&amp;Investment_Strategy_Sub2&amp;"_"&amp;$A327,'Investment Strategies'!$T:$AF,11,FALSE),
IF(Investment_Strategy="DIY",DIY_GteeChrge_SP,
"Error"))))))</f>
        <v>0</v>
      </c>
      <c r="N327" s="33">
        <f>IF($AV327=0,0,
IF(Investment_Strategy="DIS",VLOOKUP(Investment_Strategy&amp;"_"&amp;Investment_Strategy_Sub1&amp;"_"&amp;$A327,'Investment Strategies'!$AZ:$BP,17,FALSE),
IF(AND(Investment_Strategy="Lifecycle",Investment_Strategy_Sub1="Non-Standard"),VLOOKUP(Investment_Strategy&amp;"_"&amp;Investment_Strategy_Sub2&amp;"_"&amp;$A327,'Investment Strategies'!$C:$P,14,FALSE),
IF(AND(Investment_Strategy="Lifecycle",Investment_Strategy_Sub1="Standard"),VLOOKUP(Investment_Strategy&amp;"_"&amp;Investment_Strategy_Sub2&amp;"_"&amp;$A327,'Investment Strategies'!$AJ:$AV,13,FALSE),
IF(AND(Investment_Strategy="Autopilot",Investment_Strategy_Sub1="Non-Standard"),VLOOKUP(Investment_Strategy&amp;"_"&amp;Investment_Strategy_Sub2&amp;"_"&amp;$A327,'Investment Strategies'!$T:$AF,13,FALSE),
IF(Investment_Strategy="DIY",DIY_ExtManChrge_SP,
"Error"))))))</f>
        <v>0</v>
      </c>
      <c r="O327" s="16">
        <f t="shared" si="187"/>
        <v>0</v>
      </c>
      <c r="Q327" s="16">
        <f t="shared" si="161"/>
        <v>0</v>
      </c>
      <c r="R327" s="16">
        <f t="shared" si="162"/>
        <v>0</v>
      </c>
      <c r="S327" s="16">
        <f>(SRP_SP+SUM(S$91:S326))*L327*IF(D327=$A$91,SRP_finalmonthfactor,1)</f>
        <v>0</v>
      </c>
      <c r="T327" s="74">
        <f>MIN(IF($AV327=0,0,
IF(Investment_Strategy="DIS",VLOOKUP(Investment_Strategy&amp;"_"&amp;Investment_Strategy_Sub1&amp;"_"&amp;$A327,'Investment Strategies'!$AZ:$BP,12,FALSE),
IF(AND(Investment_Strategy="Lifecycle",Investment_Strategy_Sub1="Non-Standard"),VLOOKUP(Investment_Strategy&amp;"_"&amp;Investment_Strategy_Sub2&amp;"_"&amp;$A327,'Investment Strategies'!$C:$P,9,FALSE),
IF(AND(Investment_Strategy="Lifecycle",Investment_Strategy_Sub1="Standard"),VLOOKUP(Investment_Strategy&amp;"_"&amp;Investment_Strategy_Sub2&amp;"_"&amp;$A327,'Investment Strategies'!$AJ:$AV,8,FALSE),
IF(AND(Investment_Strategy="Autopilot",Investment_Strategy_Sub1="Non-Standard"),VLOOKUP(Investment_Strategy&amp;"_"&amp;Investment_Strategy_Sub2&amp;"_"&amp;$A327,'Investment Strategies'!$T:$AF,8,FALSE),
IF(Investment_Strategy ="DIY",DIY_RateOfReturn_FuturePremiums,
"Error")))))),Max_InvReturn)</f>
        <v>0</v>
      </c>
      <c r="U327" s="62">
        <f>IF($AV327=0,0,
IF(Investment_Strategy="DIS",VLOOKUP(Investment_Strategy&amp;"_"&amp;Investment_Strategy_Sub1&amp;"_"&amp;$A327,'Investment Strategies'!$AZ:$BP,15,FALSE),
IF(AND(Investment_Strategy="Lifecycle",Investment_Strategy_Sub1="Non-Standard"),VLOOKUP(Investment_Strategy&amp;"_"&amp;Investment_Strategy_Sub2&amp;"_"&amp;$A327,'Investment Strategies'!$C:$P,12,FALSE),
IF(AND(Investment_Strategy="Lifecycle",Investment_Strategy_Sub1="Standard"),VLOOKUP(Investment_Strategy&amp;"_"&amp;Investment_Strategy_Sub2&amp;"_"&amp;$A327,'Investment Strategies'!$AJ:$AV,11,FALSE),
IF(AND(Investment_Strategy="Autopilot",Investment_Strategy_Sub1="Non-Standard"),VLOOKUP(Investment_Strategy&amp;"_"&amp;Investment_Strategy_Sub2&amp;"_"&amp;$A327,'Investment Strategies'!$T:$AF,11,FALSE),
IF(Investment_Strategy="DIY",DIY_GteeChrge_FuturePremiums,
"Error"))))))</f>
        <v>0</v>
      </c>
      <c r="V327" s="33">
        <f>IF(AV327=0,0,
IF(Investment_Strategy="DIS",VLOOKUP(Investment_Strategy&amp;"_"&amp;Investment_Strategy_Sub1&amp;"_"&amp;$A327,'Investment Strategies'!$AZ:$BP,17,FALSE),
IF(AND(Investment_Strategy="Lifecycle",Investment_Strategy_Sub1="Non-Standard"),VLOOKUP(Investment_Strategy&amp;"_"&amp;Investment_Strategy_Sub2&amp;"_"&amp;$A327,'Investment Strategies'!$C:$P,14,FALSE),
IF(AND(Investment_Strategy="Lifecycle",Investment_Strategy_Sub1="Standard"),VLOOKUP(Investment_Strategy&amp;"_"&amp;Investment_Strategy_Sub2&amp;"_"&amp;$A327,'Investment Strategies'!$AJ:$AV,13,FALSE),
IF(AND(Investment_Strategy="Autopilot",Investment_Strategy_Sub1="Non-Standard"),VLOOKUP(Investment_Strategy&amp;"_"&amp;Investment_Strategy_Sub2&amp;"_"&amp;$A327,'Investment Strategies'!$T:$AF,13,FALSE),
IF(Investment_Strategy="DIY",DIY_ExtManChrge_FuturePremiums,
"Error"))))))</f>
        <v>0</v>
      </c>
      <c r="W327" s="16">
        <f t="shared" si="188"/>
        <v>0</v>
      </c>
      <c r="X327" s="16">
        <f t="shared" si="163"/>
        <v>0</v>
      </c>
      <c r="Y327" s="16">
        <f t="shared" si="164"/>
        <v>0</v>
      </c>
      <c r="Z327" s="31">
        <f t="shared" si="165"/>
        <v>0.02</v>
      </c>
      <c r="AA327" s="16">
        <f t="shared" si="166"/>
        <v>0</v>
      </c>
      <c r="AB327" s="28">
        <f t="shared" si="189"/>
        <v>0</v>
      </c>
      <c r="AC327" s="28">
        <f>(SUM($AC$91:AC326)+SUM($X$91:X326)+X327)*T327*IF(D327=$A$91,SRP_finalmonthfactor,1)</f>
        <v>0</v>
      </c>
      <c r="AD327" s="16">
        <f t="shared" si="167"/>
        <v>0</v>
      </c>
      <c r="AE327" s="106"/>
      <c r="AF327" s="16">
        <f t="shared" si="176"/>
        <v>0</v>
      </c>
      <c r="AG327" s="16">
        <f t="shared" si="177"/>
        <v>0</v>
      </c>
      <c r="AH327" s="16">
        <f t="shared" si="178"/>
        <v>0</v>
      </c>
      <c r="AJ327" s="13">
        <f t="shared" si="201"/>
        <v>0</v>
      </c>
      <c r="AK327" s="13">
        <f t="shared" si="201"/>
        <v>0</v>
      </c>
      <c r="AL327" s="13">
        <f t="shared" si="201"/>
        <v>0</v>
      </c>
      <c r="AM327" s="13">
        <f t="shared" si="201"/>
        <v>0</v>
      </c>
      <c r="AN327" s="13">
        <f t="shared" si="201"/>
        <v>0</v>
      </c>
      <c r="AO327" s="13">
        <f t="shared" si="201"/>
        <v>1</v>
      </c>
      <c r="AP327" s="13">
        <f t="shared" si="201"/>
        <v>1</v>
      </c>
      <c r="AQ327" s="13">
        <f t="shared" si="201"/>
        <v>1</v>
      </c>
      <c r="AR327" s="13">
        <f t="shared" si="201"/>
        <v>1</v>
      </c>
      <c r="AS327" s="13">
        <f t="shared" si="201"/>
        <v>1</v>
      </c>
      <c r="AT327" s="13">
        <f t="shared" si="201"/>
        <v>1</v>
      </c>
      <c r="AU327" s="13">
        <f t="shared" si="201"/>
        <v>1</v>
      </c>
      <c r="AV327" s="13">
        <f t="shared" si="168"/>
        <v>0</v>
      </c>
      <c r="AW327" s="13">
        <f t="shared" si="169"/>
        <v>1</v>
      </c>
      <c r="AY327" s="17">
        <f t="shared" si="170"/>
        <v>237</v>
      </c>
      <c r="AZ327" s="28">
        <f t="shared" si="179"/>
        <v>0</v>
      </c>
      <c r="BA327" s="13">
        <f t="shared" si="171"/>
        <v>0</v>
      </c>
      <c r="BB327" s="13">
        <f t="shared" si="172"/>
        <v>0</v>
      </c>
      <c r="BC327" s="28">
        <f t="shared" si="180"/>
        <v>0</v>
      </c>
      <c r="BD327" s="28">
        <f t="shared" si="181"/>
        <v>0</v>
      </c>
      <c r="BF327" s="248">
        <f t="shared" si="182"/>
        <v>993869.29442638322</v>
      </c>
      <c r="BG327" s="36">
        <f t="shared" si="190"/>
        <v>0</v>
      </c>
      <c r="BH327" s="36">
        <f t="shared" si="191"/>
        <v>817652.66463294555</v>
      </c>
      <c r="BI327" s="249">
        <f t="shared" si="192"/>
        <v>0</v>
      </c>
      <c r="BJ327" s="246">
        <f t="shared" si="193"/>
        <v>0</v>
      </c>
      <c r="BK327" s="246">
        <f t="shared" si="173"/>
        <v>7.531116566323881E-4</v>
      </c>
      <c r="BL327" s="246">
        <f t="shared" si="194"/>
        <v>0</v>
      </c>
      <c r="BM327" s="246">
        <f t="shared" si="195"/>
        <v>7.531116566323881E-4</v>
      </c>
      <c r="BN327" s="36">
        <f t="shared" si="183"/>
        <v>615.78375281160413</v>
      </c>
      <c r="BO327" s="36">
        <f t="shared" si="196"/>
        <v>0</v>
      </c>
      <c r="BP327" s="36">
        <f t="shared" si="197"/>
        <v>817036.88088013395</v>
      </c>
    </row>
    <row r="328" spans="1:68">
      <c r="A328" s="32">
        <f t="shared" si="184"/>
        <v>-153</v>
      </c>
      <c r="B328" s="32">
        <f t="shared" si="174"/>
        <v>72</v>
      </c>
      <c r="C328" s="32">
        <f t="shared" si="185"/>
        <v>20</v>
      </c>
      <c r="D328" s="32">
        <f t="shared" si="186"/>
        <v>238</v>
      </c>
      <c r="E328" s="74">
        <f>MIN(IF(AV328=0,0,
IF(Investment_Strategy="DIS",VLOOKUP(Investment_Strategy&amp;"_"&amp;Investment_Strategy_Sub1&amp;"_"&amp;$A328,'Investment Strategies'!$AZ:$BP,12,FALSE),
IF(AND(Investment_Strategy="Lifecycle",Investment_Strategy_Sub1="Non-Standard"),VLOOKUP(Investment_Strategy&amp;"_"&amp;Investment_Strategy_Sub2&amp;"_"&amp;$A328,'Investment Strategies'!$C:$P,9,FALSE),
IF(AND(Investment_Strategy="Lifecycle",Investment_Strategy_Sub1="Standard"),VLOOKUP(Investment_Strategy&amp;"_"&amp;Investment_Strategy_Sub2&amp;"_"&amp;$A328,'Investment Strategies'!$AJ:$AV,8,FALSE),
IF(AND(Investment_Strategy="Autopilot",Investment_Strategy_Sub1="Non-Standard"),VLOOKUP(Investment_Strategy&amp;"_"&amp;Investment_Strategy_Sub2&amp;"_"&amp;$A328,'Investment Strategies'!$T:$AF,8,FALSE),
IF(Investment_Strategy ="DIY",DIY_RateOfReturn_CurrentFunds,
"Error")))))),Max_InvReturn)</f>
        <v>0</v>
      </c>
      <c r="F328" s="62">
        <f>IF(AV328=0,0,
IF(Investment_Strategy="DIS",VLOOKUP(Investment_Strategy&amp;"_"&amp;Investment_Strategy_Sub1&amp;"_"&amp;$A328,'Investment Strategies'!$AZ:$BP,15,FALSE),
IF(AND(Investment_Strategy="Lifecycle",Investment_Strategy_Sub1="Non-Standard"),VLOOKUP(Investment_Strategy&amp;"_"&amp;Investment_Strategy_Sub2&amp;"_"&amp;$A328,'Investment Strategies'!$C:$P,12,FALSE),
IF(AND(Investment_Strategy="Lifecycle",Investment_Strategy_Sub1="Standard"),VLOOKUP(Investment_Strategy&amp;"_"&amp;Investment_Strategy_Sub2&amp;"_"&amp;$A328,'Investment Strategies'!$AJ:$AV,11,FALSE),
IF(AND(Investment_Strategy="Autopilot",Investment_Strategy_Sub1="Non-Standard"),VLOOKUP(Investment_Strategy&amp;"_"&amp;Investment_Strategy_Sub2&amp;"_"&amp;$A328,'Investment Strategies'!$T:$AF,11,FALSE),
IF(Investment_Strategy="DIY",DIY_GteeChrge_CurrentFunds,
"Error"))))))</f>
        <v>0</v>
      </c>
      <c r="G328" s="33">
        <f>IF(AV328=0,0,
IF(Investment_Strategy="DIS",VLOOKUP(Investment_Strategy&amp;"_"&amp;Investment_Strategy_Sub1&amp;"_"&amp;$A328,'Investment Strategies'!$AZ:$BP,17,FALSE),
IF(AND(Investment_Strategy="Lifecycle",Investment_Strategy_Sub1="Non-Standard"),VLOOKUP(Investment_Strategy&amp;"_"&amp;Investment_Strategy_Sub2&amp;"_"&amp;$A328,'Investment Strategies'!$C:$P,14,FALSE),
IF(AND(Investment_Strategy="Lifecycle",Investment_Strategy_Sub1="Standard"),VLOOKUP(Investment_Strategy&amp;"_"&amp;Investment_Strategy_Sub2&amp;"_"&amp;$A328,'Investment Strategies'!$AJ:$AV,13,FALSE),
IF(AND(Investment_Strategy="Autopilot",Investment_Strategy_Sub1="Non-Standard"),VLOOKUP(Investment_Strategy&amp;"_"&amp;Investment_Strategy_Sub2&amp;"_"&amp;$A328,'Investment Strategies'!$T:$AF,13,FALSE),
IF(Investment_Strategy="DIY",DIY_ExtManChrge_CurrentFunds,
"Error"))))))</f>
        <v>0</v>
      </c>
      <c r="H328" s="16">
        <f t="shared" si="175"/>
        <v>0</v>
      </c>
      <c r="I328" s="16">
        <f t="shared" si="159"/>
        <v>0</v>
      </c>
      <c r="J328" s="16">
        <f t="shared" si="160"/>
        <v>0</v>
      </c>
      <c r="K328" s="16">
        <f>(Opening_Fund_Value+SUM(K$91:K327))*E328*IF(D328=$A$91,SRP_finalmonthfactor,1)</f>
        <v>0</v>
      </c>
      <c r="L328" s="74">
        <f>MIN(IF($AV328=0,0,
IF(Investment_Strategy="DIS",VLOOKUP(Investment_Strategy&amp;"_"&amp;Investment_Strategy_Sub1&amp;"_"&amp;$A328,'Investment Strategies'!$AZ:$BP,12,FALSE),
IF(AND(Investment_Strategy="Lifecycle",Investment_Strategy_Sub1="Non-Standard"),VLOOKUP(Investment_Strategy&amp;"_"&amp;Investment_Strategy_Sub2&amp;"_"&amp;$A328,'Investment Strategies'!$C:$P,9,FALSE),
IF(AND(Investment_Strategy="Lifecycle",Investment_Strategy_Sub1="Standard"),VLOOKUP(Investment_Strategy&amp;"_"&amp;Investment_Strategy_Sub2&amp;"_"&amp;$A328,'Investment Strategies'!$AJ:$AV,8,FALSE),
IF(AND(Investment_Strategy="Autopilot",Investment_Strategy_Sub1="Non-Standard"),VLOOKUP(Investment_Strategy&amp;"_"&amp;Investment_Strategy_Sub2&amp;"_"&amp;$A328,'Investment Strategies'!$T:$AF,8,FALSE),
IF(Investment_Strategy ="DIY",DIY_RateofReturn_SP,
"Error")))))),Max_InvReturn)</f>
        <v>0</v>
      </c>
      <c r="M328" s="62">
        <f>IF($AV328=0,0,
IF(Investment_Strategy="DIS",VLOOKUP(Investment_Strategy&amp;"_"&amp;Investment_Strategy_Sub1&amp;"_"&amp;$A328,'Investment Strategies'!$AZ:$BP,15,FALSE),
IF(AND(Investment_Strategy="Lifecycle",Investment_Strategy_Sub1="Non-Standard"),VLOOKUP(Investment_Strategy&amp;"_"&amp;Investment_Strategy_Sub2&amp;"_"&amp;$A328,'Investment Strategies'!$C:$P,12,FALSE),
IF(AND(Investment_Strategy="Lifecycle",Investment_Strategy_Sub1="Standard"),VLOOKUP(Investment_Strategy&amp;"_"&amp;Investment_Strategy_Sub2&amp;"_"&amp;$A328,'Investment Strategies'!$AJ:$AV,11,FALSE),
IF(AND(Investment_Strategy="Autopilot",Investment_Strategy_Sub1="Non-Standard"),VLOOKUP(Investment_Strategy&amp;"_"&amp;Investment_Strategy_Sub2&amp;"_"&amp;$A328,'Investment Strategies'!$T:$AF,11,FALSE),
IF(Investment_Strategy="DIY",DIY_GteeChrge_SP,
"Error"))))))</f>
        <v>0</v>
      </c>
      <c r="N328" s="33">
        <f>IF($AV328=0,0,
IF(Investment_Strategy="DIS",VLOOKUP(Investment_Strategy&amp;"_"&amp;Investment_Strategy_Sub1&amp;"_"&amp;$A328,'Investment Strategies'!$AZ:$BP,17,FALSE),
IF(AND(Investment_Strategy="Lifecycle",Investment_Strategy_Sub1="Non-Standard"),VLOOKUP(Investment_Strategy&amp;"_"&amp;Investment_Strategy_Sub2&amp;"_"&amp;$A328,'Investment Strategies'!$C:$P,14,FALSE),
IF(AND(Investment_Strategy="Lifecycle",Investment_Strategy_Sub1="Standard"),VLOOKUP(Investment_Strategy&amp;"_"&amp;Investment_Strategy_Sub2&amp;"_"&amp;$A328,'Investment Strategies'!$AJ:$AV,13,FALSE),
IF(AND(Investment_Strategy="Autopilot",Investment_Strategy_Sub1="Non-Standard"),VLOOKUP(Investment_Strategy&amp;"_"&amp;Investment_Strategy_Sub2&amp;"_"&amp;$A328,'Investment Strategies'!$T:$AF,13,FALSE),
IF(Investment_Strategy="DIY",DIY_ExtManChrge_SP,
"Error"))))))</f>
        <v>0</v>
      </c>
      <c r="O328" s="16">
        <f t="shared" si="187"/>
        <v>0</v>
      </c>
      <c r="Q328" s="16">
        <f t="shared" si="161"/>
        <v>0</v>
      </c>
      <c r="R328" s="16">
        <f t="shared" si="162"/>
        <v>0</v>
      </c>
      <c r="S328" s="16">
        <f>(SRP_SP+SUM(S$91:S327))*L328*IF(D328=$A$91,SRP_finalmonthfactor,1)</f>
        <v>0</v>
      </c>
      <c r="T328" s="74">
        <f>MIN(IF($AV328=0,0,
IF(Investment_Strategy="DIS",VLOOKUP(Investment_Strategy&amp;"_"&amp;Investment_Strategy_Sub1&amp;"_"&amp;$A328,'Investment Strategies'!$AZ:$BP,12,FALSE),
IF(AND(Investment_Strategy="Lifecycle",Investment_Strategy_Sub1="Non-Standard"),VLOOKUP(Investment_Strategy&amp;"_"&amp;Investment_Strategy_Sub2&amp;"_"&amp;$A328,'Investment Strategies'!$C:$P,9,FALSE),
IF(AND(Investment_Strategy="Lifecycle",Investment_Strategy_Sub1="Standard"),VLOOKUP(Investment_Strategy&amp;"_"&amp;Investment_Strategy_Sub2&amp;"_"&amp;$A328,'Investment Strategies'!$AJ:$AV,8,FALSE),
IF(AND(Investment_Strategy="Autopilot",Investment_Strategy_Sub1="Non-Standard"),VLOOKUP(Investment_Strategy&amp;"_"&amp;Investment_Strategy_Sub2&amp;"_"&amp;$A328,'Investment Strategies'!$T:$AF,8,FALSE),
IF(Investment_Strategy ="DIY",DIY_RateOfReturn_FuturePremiums,
"Error")))))),Max_InvReturn)</f>
        <v>0</v>
      </c>
      <c r="U328" s="62">
        <f>IF($AV328=0,0,
IF(Investment_Strategy="DIS",VLOOKUP(Investment_Strategy&amp;"_"&amp;Investment_Strategy_Sub1&amp;"_"&amp;$A328,'Investment Strategies'!$AZ:$BP,15,FALSE),
IF(AND(Investment_Strategy="Lifecycle",Investment_Strategy_Sub1="Non-Standard"),VLOOKUP(Investment_Strategy&amp;"_"&amp;Investment_Strategy_Sub2&amp;"_"&amp;$A328,'Investment Strategies'!$C:$P,12,FALSE),
IF(AND(Investment_Strategy="Lifecycle",Investment_Strategy_Sub1="Standard"),VLOOKUP(Investment_Strategy&amp;"_"&amp;Investment_Strategy_Sub2&amp;"_"&amp;$A328,'Investment Strategies'!$AJ:$AV,11,FALSE),
IF(AND(Investment_Strategy="Autopilot",Investment_Strategy_Sub1="Non-Standard"),VLOOKUP(Investment_Strategy&amp;"_"&amp;Investment_Strategy_Sub2&amp;"_"&amp;$A328,'Investment Strategies'!$T:$AF,11,FALSE),
IF(Investment_Strategy="DIY",DIY_GteeChrge_FuturePremiums,
"Error"))))))</f>
        <v>0</v>
      </c>
      <c r="V328" s="33">
        <f>IF(AV328=0,0,
IF(Investment_Strategy="DIS",VLOOKUP(Investment_Strategy&amp;"_"&amp;Investment_Strategy_Sub1&amp;"_"&amp;$A328,'Investment Strategies'!$AZ:$BP,17,FALSE),
IF(AND(Investment_Strategy="Lifecycle",Investment_Strategy_Sub1="Non-Standard"),VLOOKUP(Investment_Strategy&amp;"_"&amp;Investment_Strategy_Sub2&amp;"_"&amp;$A328,'Investment Strategies'!$C:$P,14,FALSE),
IF(AND(Investment_Strategy="Lifecycle",Investment_Strategy_Sub1="Standard"),VLOOKUP(Investment_Strategy&amp;"_"&amp;Investment_Strategy_Sub2&amp;"_"&amp;$A328,'Investment Strategies'!$AJ:$AV,13,FALSE),
IF(AND(Investment_Strategy="Autopilot",Investment_Strategy_Sub1="Non-Standard"),VLOOKUP(Investment_Strategy&amp;"_"&amp;Investment_Strategy_Sub2&amp;"_"&amp;$A328,'Investment Strategies'!$T:$AF,13,FALSE),
IF(Investment_Strategy="DIY",DIY_ExtManChrge_FuturePremiums,
"Error"))))))</f>
        <v>0</v>
      </c>
      <c r="W328" s="16">
        <f t="shared" si="188"/>
        <v>0</v>
      </c>
      <c r="X328" s="16">
        <f t="shared" si="163"/>
        <v>0</v>
      </c>
      <c r="Y328" s="16">
        <f t="shared" si="164"/>
        <v>0</v>
      </c>
      <c r="Z328" s="31">
        <f t="shared" si="165"/>
        <v>0.02</v>
      </c>
      <c r="AA328" s="16">
        <f t="shared" si="166"/>
        <v>0</v>
      </c>
      <c r="AB328" s="28">
        <f t="shared" si="189"/>
        <v>0</v>
      </c>
      <c r="AC328" s="28">
        <f>(SUM($AC$91:AC327)+SUM($X$91:X327)+X328)*T328*IF(D328=$A$91,SRP_finalmonthfactor,1)</f>
        <v>0</v>
      </c>
      <c r="AD328" s="16">
        <f t="shared" si="167"/>
        <v>0</v>
      </c>
      <c r="AE328" s="106"/>
      <c r="AF328" s="16">
        <f t="shared" si="176"/>
        <v>0</v>
      </c>
      <c r="AG328" s="16">
        <f t="shared" si="177"/>
        <v>0</v>
      </c>
      <c r="AH328" s="16">
        <f t="shared" si="178"/>
        <v>0</v>
      </c>
      <c r="AJ328" s="13">
        <f t="shared" si="201"/>
        <v>0</v>
      </c>
      <c r="AK328" s="13">
        <f t="shared" si="201"/>
        <v>0</v>
      </c>
      <c r="AL328" s="13">
        <f t="shared" si="201"/>
        <v>0</v>
      </c>
      <c r="AM328" s="13">
        <f t="shared" si="201"/>
        <v>0</v>
      </c>
      <c r="AN328" s="13">
        <f t="shared" si="201"/>
        <v>0</v>
      </c>
      <c r="AO328" s="13">
        <f t="shared" si="201"/>
        <v>1</v>
      </c>
      <c r="AP328" s="13">
        <f t="shared" si="201"/>
        <v>1</v>
      </c>
      <c r="AQ328" s="13">
        <f t="shared" si="201"/>
        <v>1</v>
      </c>
      <c r="AR328" s="13">
        <f t="shared" si="201"/>
        <v>1</v>
      </c>
      <c r="AS328" s="13">
        <f t="shared" si="201"/>
        <v>1</v>
      </c>
      <c r="AT328" s="13">
        <f t="shared" si="201"/>
        <v>1</v>
      </c>
      <c r="AU328" s="13">
        <f t="shared" si="201"/>
        <v>1</v>
      </c>
      <c r="AV328" s="13">
        <f t="shared" si="168"/>
        <v>0</v>
      </c>
      <c r="AW328" s="13">
        <f t="shared" si="169"/>
        <v>1</v>
      </c>
      <c r="AY328" s="17">
        <f t="shared" si="170"/>
        <v>238</v>
      </c>
      <c r="AZ328" s="28">
        <f t="shared" si="179"/>
        <v>0</v>
      </c>
      <c r="BA328" s="13">
        <f t="shared" si="171"/>
        <v>0</v>
      </c>
      <c r="BB328" s="13">
        <f t="shared" si="172"/>
        <v>0</v>
      </c>
      <c r="BC328" s="28">
        <f t="shared" si="180"/>
        <v>0</v>
      </c>
      <c r="BD328" s="28">
        <f t="shared" si="181"/>
        <v>0</v>
      </c>
      <c r="BF328" s="248">
        <f t="shared" si="182"/>
        <v>993869.29442638322</v>
      </c>
      <c r="BG328" s="36">
        <f t="shared" si="190"/>
        <v>0</v>
      </c>
      <c r="BH328" s="36">
        <f t="shared" si="191"/>
        <v>817036.88088013395</v>
      </c>
      <c r="BI328" s="249">
        <f t="shared" si="192"/>
        <v>0</v>
      </c>
      <c r="BJ328" s="246">
        <f t="shared" si="193"/>
        <v>0</v>
      </c>
      <c r="BK328" s="246">
        <f t="shared" si="173"/>
        <v>7.531116566323881E-4</v>
      </c>
      <c r="BL328" s="246">
        <f t="shared" si="194"/>
        <v>0</v>
      </c>
      <c r="BM328" s="246">
        <f t="shared" si="195"/>
        <v>7.531116566323881E-4</v>
      </c>
      <c r="BN328" s="36">
        <f t="shared" si="183"/>
        <v>615.31999888939686</v>
      </c>
      <c r="BO328" s="36">
        <f t="shared" si="196"/>
        <v>0</v>
      </c>
      <c r="BP328" s="36">
        <f t="shared" si="197"/>
        <v>816421.5608812446</v>
      </c>
    </row>
    <row r="329" spans="1:68">
      <c r="A329" s="32">
        <f t="shared" si="184"/>
        <v>-154</v>
      </c>
      <c r="B329" s="32">
        <f t="shared" si="174"/>
        <v>72</v>
      </c>
      <c r="C329" s="32">
        <f t="shared" si="185"/>
        <v>20</v>
      </c>
      <c r="D329" s="32">
        <f t="shared" si="186"/>
        <v>239</v>
      </c>
      <c r="E329" s="74">
        <f>MIN(IF(AV329=0,0,
IF(Investment_Strategy="DIS",VLOOKUP(Investment_Strategy&amp;"_"&amp;Investment_Strategy_Sub1&amp;"_"&amp;$A329,'Investment Strategies'!$AZ:$BP,12,FALSE),
IF(AND(Investment_Strategy="Lifecycle",Investment_Strategy_Sub1="Non-Standard"),VLOOKUP(Investment_Strategy&amp;"_"&amp;Investment_Strategy_Sub2&amp;"_"&amp;$A329,'Investment Strategies'!$C:$P,9,FALSE),
IF(AND(Investment_Strategy="Lifecycle",Investment_Strategy_Sub1="Standard"),VLOOKUP(Investment_Strategy&amp;"_"&amp;Investment_Strategy_Sub2&amp;"_"&amp;$A329,'Investment Strategies'!$AJ:$AV,8,FALSE),
IF(AND(Investment_Strategy="Autopilot",Investment_Strategy_Sub1="Non-Standard"),VLOOKUP(Investment_Strategy&amp;"_"&amp;Investment_Strategy_Sub2&amp;"_"&amp;$A329,'Investment Strategies'!$T:$AF,8,FALSE),
IF(Investment_Strategy ="DIY",DIY_RateOfReturn_CurrentFunds,
"Error")))))),Max_InvReturn)</f>
        <v>0</v>
      </c>
      <c r="F329" s="62">
        <f>IF(AV329=0,0,
IF(Investment_Strategy="DIS",VLOOKUP(Investment_Strategy&amp;"_"&amp;Investment_Strategy_Sub1&amp;"_"&amp;$A329,'Investment Strategies'!$AZ:$BP,15,FALSE),
IF(AND(Investment_Strategy="Lifecycle",Investment_Strategy_Sub1="Non-Standard"),VLOOKUP(Investment_Strategy&amp;"_"&amp;Investment_Strategy_Sub2&amp;"_"&amp;$A329,'Investment Strategies'!$C:$P,12,FALSE),
IF(AND(Investment_Strategy="Lifecycle",Investment_Strategy_Sub1="Standard"),VLOOKUP(Investment_Strategy&amp;"_"&amp;Investment_Strategy_Sub2&amp;"_"&amp;$A329,'Investment Strategies'!$AJ:$AV,11,FALSE),
IF(AND(Investment_Strategy="Autopilot",Investment_Strategy_Sub1="Non-Standard"),VLOOKUP(Investment_Strategy&amp;"_"&amp;Investment_Strategy_Sub2&amp;"_"&amp;$A329,'Investment Strategies'!$T:$AF,11,FALSE),
IF(Investment_Strategy="DIY",DIY_GteeChrge_CurrentFunds,
"Error"))))))</f>
        <v>0</v>
      </c>
      <c r="G329" s="33">
        <f>IF(AV329=0,0,
IF(Investment_Strategy="DIS",VLOOKUP(Investment_Strategy&amp;"_"&amp;Investment_Strategy_Sub1&amp;"_"&amp;$A329,'Investment Strategies'!$AZ:$BP,17,FALSE),
IF(AND(Investment_Strategy="Lifecycle",Investment_Strategy_Sub1="Non-Standard"),VLOOKUP(Investment_Strategy&amp;"_"&amp;Investment_Strategy_Sub2&amp;"_"&amp;$A329,'Investment Strategies'!$C:$P,14,FALSE),
IF(AND(Investment_Strategy="Lifecycle",Investment_Strategy_Sub1="Standard"),VLOOKUP(Investment_Strategy&amp;"_"&amp;Investment_Strategy_Sub2&amp;"_"&amp;$A329,'Investment Strategies'!$AJ:$AV,13,FALSE),
IF(AND(Investment_Strategy="Autopilot",Investment_Strategy_Sub1="Non-Standard"),VLOOKUP(Investment_Strategy&amp;"_"&amp;Investment_Strategy_Sub2&amp;"_"&amp;$A329,'Investment Strategies'!$T:$AF,13,FALSE),
IF(Investment_Strategy="DIY",DIY_ExtManChrge_CurrentFunds,
"Error"))))))</f>
        <v>0</v>
      </c>
      <c r="H329" s="16">
        <f t="shared" si="175"/>
        <v>0</v>
      </c>
      <c r="I329" s="16">
        <f t="shared" si="159"/>
        <v>0</v>
      </c>
      <c r="J329" s="16">
        <f t="shared" si="160"/>
        <v>0</v>
      </c>
      <c r="K329" s="16">
        <f>(Opening_Fund_Value+SUM(K$91:K328))*E329*IF(D329=$A$91,SRP_finalmonthfactor,1)</f>
        <v>0</v>
      </c>
      <c r="L329" s="74">
        <f>MIN(IF($AV329=0,0,
IF(Investment_Strategy="DIS",VLOOKUP(Investment_Strategy&amp;"_"&amp;Investment_Strategy_Sub1&amp;"_"&amp;$A329,'Investment Strategies'!$AZ:$BP,12,FALSE),
IF(AND(Investment_Strategy="Lifecycle",Investment_Strategy_Sub1="Non-Standard"),VLOOKUP(Investment_Strategy&amp;"_"&amp;Investment_Strategy_Sub2&amp;"_"&amp;$A329,'Investment Strategies'!$C:$P,9,FALSE),
IF(AND(Investment_Strategy="Lifecycle",Investment_Strategy_Sub1="Standard"),VLOOKUP(Investment_Strategy&amp;"_"&amp;Investment_Strategy_Sub2&amp;"_"&amp;$A329,'Investment Strategies'!$AJ:$AV,8,FALSE),
IF(AND(Investment_Strategy="Autopilot",Investment_Strategy_Sub1="Non-Standard"),VLOOKUP(Investment_Strategy&amp;"_"&amp;Investment_Strategy_Sub2&amp;"_"&amp;$A329,'Investment Strategies'!$T:$AF,8,FALSE),
IF(Investment_Strategy ="DIY",DIY_RateofReturn_SP,
"Error")))))),Max_InvReturn)</f>
        <v>0</v>
      </c>
      <c r="M329" s="62">
        <f>IF($AV329=0,0,
IF(Investment_Strategy="DIS",VLOOKUP(Investment_Strategy&amp;"_"&amp;Investment_Strategy_Sub1&amp;"_"&amp;$A329,'Investment Strategies'!$AZ:$BP,15,FALSE),
IF(AND(Investment_Strategy="Lifecycle",Investment_Strategy_Sub1="Non-Standard"),VLOOKUP(Investment_Strategy&amp;"_"&amp;Investment_Strategy_Sub2&amp;"_"&amp;$A329,'Investment Strategies'!$C:$P,12,FALSE),
IF(AND(Investment_Strategy="Lifecycle",Investment_Strategy_Sub1="Standard"),VLOOKUP(Investment_Strategy&amp;"_"&amp;Investment_Strategy_Sub2&amp;"_"&amp;$A329,'Investment Strategies'!$AJ:$AV,11,FALSE),
IF(AND(Investment_Strategy="Autopilot",Investment_Strategy_Sub1="Non-Standard"),VLOOKUP(Investment_Strategy&amp;"_"&amp;Investment_Strategy_Sub2&amp;"_"&amp;$A329,'Investment Strategies'!$T:$AF,11,FALSE),
IF(Investment_Strategy="DIY",DIY_GteeChrge_SP,
"Error"))))))</f>
        <v>0</v>
      </c>
      <c r="N329" s="33">
        <f>IF($AV329=0,0,
IF(Investment_Strategy="DIS",VLOOKUP(Investment_Strategy&amp;"_"&amp;Investment_Strategy_Sub1&amp;"_"&amp;$A329,'Investment Strategies'!$AZ:$BP,17,FALSE),
IF(AND(Investment_Strategy="Lifecycle",Investment_Strategy_Sub1="Non-Standard"),VLOOKUP(Investment_Strategy&amp;"_"&amp;Investment_Strategy_Sub2&amp;"_"&amp;$A329,'Investment Strategies'!$C:$P,14,FALSE),
IF(AND(Investment_Strategy="Lifecycle",Investment_Strategy_Sub1="Standard"),VLOOKUP(Investment_Strategy&amp;"_"&amp;Investment_Strategy_Sub2&amp;"_"&amp;$A329,'Investment Strategies'!$AJ:$AV,13,FALSE),
IF(AND(Investment_Strategy="Autopilot",Investment_Strategy_Sub1="Non-Standard"),VLOOKUP(Investment_Strategy&amp;"_"&amp;Investment_Strategy_Sub2&amp;"_"&amp;$A329,'Investment Strategies'!$T:$AF,13,FALSE),
IF(Investment_Strategy="DIY",DIY_ExtManChrge_SP,
"Error"))))))</f>
        <v>0</v>
      </c>
      <c r="O329" s="16">
        <f t="shared" si="187"/>
        <v>0</v>
      </c>
      <c r="Q329" s="16">
        <f t="shared" si="161"/>
        <v>0</v>
      </c>
      <c r="R329" s="16">
        <f t="shared" si="162"/>
        <v>0</v>
      </c>
      <c r="S329" s="16">
        <f>(SRP_SP+SUM(S$91:S328))*L329*IF(D329=$A$91,SRP_finalmonthfactor,1)</f>
        <v>0</v>
      </c>
      <c r="T329" s="74">
        <f>MIN(IF($AV329=0,0,
IF(Investment_Strategy="DIS",VLOOKUP(Investment_Strategy&amp;"_"&amp;Investment_Strategy_Sub1&amp;"_"&amp;$A329,'Investment Strategies'!$AZ:$BP,12,FALSE),
IF(AND(Investment_Strategy="Lifecycle",Investment_Strategy_Sub1="Non-Standard"),VLOOKUP(Investment_Strategy&amp;"_"&amp;Investment_Strategy_Sub2&amp;"_"&amp;$A329,'Investment Strategies'!$C:$P,9,FALSE),
IF(AND(Investment_Strategy="Lifecycle",Investment_Strategy_Sub1="Standard"),VLOOKUP(Investment_Strategy&amp;"_"&amp;Investment_Strategy_Sub2&amp;"_"&amp;$A329,'Investment Strategies'!$AJ:$AV,8,FALSE),
IF(AND(Investment_Strategy="Autopilot",Investment_Strategy_Sub1="Non-Standard"),VLOOKUP(Investment_Strategy&amp;"_"&amp;Investment_Strategy_Sub2&amp;"_"&amp;$A329,'Investment Strategies'!$T:$AF,8,FALSE),
IF(Investment_Strategy ="DIY",DIY_RateOfReturn_FuturePremiums,
"Error")))))),Max_InvReturn)</f>
        <v>0</v>
      </c>
      <c r="U329" s="62">
        <f>IF($AV329=0,0,
IF(Investment_Strategy="DIS",VLOOKUP(Investment_Strategy&amp;"_"&amp;Investment_Strategy_Sub1&amp;"_"&amp;$A329,'Investment Strategies'!$AZ:$BP,15,FALSE),
IF(AND(Investment_Strategy="Lifecycle",Investment_Strategy_Sub1="Non-Standard"),VLOOKUP(Investment_Strategy&amp;"_"&amp;Investment_Strategy_Sub2&amp;"_"&amp;$A329,'Investment Strategies'!$C:$P,12,FALSE),
IF(AND(Investment_Strategy="Lifecycle",Investment_Strategy_Sub1="Standard"),VLOOKUP(Investment_Strategy&amp;"_"&amp;Investment_Strategy_Sub2&amp;"_"&amp;$A329,'Investment Strategies'!$AJ:$AV,11,FALSE),
IF(AND(Investment_Strategy="Autopilot",Investment_Strategy_Sub1="Non-Standard"),VLOOKUP(Investment_Strategy&amp;"_"&amp;Investment_Strategy_Sub2&amp;"_"&amp;$A329,'Investment Strategies'!$T:$AF,11,FALSE),
IF(Investment_Strategy="DIY",DIY_GteeChrge_FuturePremiums,
"Error"))))))</f>
        <v>0</v>
      </c>
      <c r="V329" s="33">
        <f>IF(AV329=0,0,
IF(Investment_Strategy="DIS",VLOOKUP(Investment_Strategy&amp;"_"&amp;Investment_Strategy_Sub1&amp;"_"&amp;$A329,'Investment Strategies'!$AZ:$BP,17,FALSE),
IF(AND(Investment_Strategy="Lifecycle",Investment_Strategy_Sub1="Non-Standard"),VLOOKUP(Investment_Strategy&amp;"_"&amp;Investment_Strategy_Sub2&amp;"_"&amp;$A329,'Investment Strategies'!$C:$P,14,FALSE),
IF(AND(Investment_Strategy="Lifecycle",Investment_Strategy_Sub1="Standard"),VLOOKUP(Investment_Strategy&amp;"_"&amp;Investment_Strategy_Sub2&amp;"_"&amp;$A329,'Investment Strategies'!$AJ:$AV,13,FALSE),
IF(AND(Investment_Strategy="Autopilot",Investment_Strategy_Sub1="Non-Standard"),VLOOKUP(Investment_Strategy&amp;"_"&amp;Investment_Strategy_Sub2&amp;"_"&amp;$A329,'Investment Strategies'!$T:$AF,13,FALSE),
IF(Investment_Strategy="DIY",DIY_ExtManChrge_FuturePremiums,
"Error"))))))</f>
        <v>0</v>
      </c>
      <c r="W329" s="16">
        <f t="shared" si="188"/>
        <v>0</v>
      </c>
      <c r="X329" s="16">
        <f t="shared" si="163"/>
        <v>0</v>
      </c>
      <c r="Y329" s="16">
        <f t="shared" si="164"/>
        <v>0</v>
      </c>
      <c r="Z329" s="31">
        <f t="shared" si="165"/>
        <v>0.02</v>
      </c>
      <c r="AA329" s="16">
        <f t="shared" si="166"/>
        <v>0</v>
      </c>
      <c r="AB329" s="28">
        <f t="shared" si="189"/>
        <v>0</v>
      </c>
      <c r="AC329" s="28">
        <f>(SUM($AC$91:AC328)+SUM($X$91:X328)+X329)*T329*IF(D329=$A$91,SRP_finalmonthfactor,1)</f>
        <v>0</v>
      </c>
      <c r="AD329" s="16">
        <f t="shared" si="167"/>
        <v>0</v>
      </c>
      <c r="AE329" s="106"/>
      <c r="AF329" s="16">
        <f t="shared" si="176"/>
        <v>0</v>
      </c>
      <c r="AG329" s="16">
        <f t="shared" si="177"/>
        <v>0</v>
      </c>
      <c r="AH329" s="16">
        <f t="shared" si="178"/>
        <v>0</v>
      </c>
      <c r="AJ329" s="13">
        <f t="shared" si="201"/>
        <v>0</v>
      </c>
      <c r="AK329" s="13">
        <f t="shared" si="201"/>
        <v>0</v>
      </c>
      <c r="AL329" s="13">
        <f t="shared" si="201"/>
        <v>0</v>
      </c>
      <c r="AM329" s="13">
        <f t="shared" si="201"/>
        <v>0</v>
      </c>
      <c r="AN329" s="13">
        <f t="shared" si="201"/>
        <v>0</v>
      </c>
      <c r="AO329" s="13">
        <f t="shared" si="201"/>
        <v>1</v>
      </c>
      <c r="AP329" s="13">
        <f t="shared" si="201"/>
        <v>1</v>
      </c>
      <c r="AQ329" s="13">
        <f t="shared" si="201"/>
        <v>1</v>
      </c>
      <c r="AR329" s="13">
        <f t="shared" si="201"/>
        <v>1</v>
      </c>
      <c r="AS329" s="13">
        <f t="shared" si="201"/>
        <v>1</v>
      </c>
      <c r="AT329" s="13">
        <f t="shared" si="201"/>
        <v>1</v>
      </c>
      <c r="AU329" s="13">
        <f t="shared" si="201"/>
        <v>1</v>
      </c>
      <c r="AV329" s="13">
        <f t="shared" si="168"/>
        <v>0</v>
      </c>
      <c r="AW329" s="13">
        <f t="shared" si="169"/>
        <v>1</v>
      </c>
      <c r="AY329" s="17">
        <f t="shared" si="170"/>
        <v>239</v>
      </c>
      <c r="AZ329" s="28">
        <f t="shared" si="179"/>
        <v>0</v>
      </c>
      <c r="BA329" s="13">
        <f t="shared" si="171"/>
        <v>0</v>
      </c>
      <c r="BB329" s="13">
        <f t="shared" si="172"/>
        <v>0</v>
      </c>
      <c r="BC329" s="28">
        <f t="shared" si="180"/>
        <v>0</v>
      </c>
      <c r="BD329" s="28">
        <f t="shared" si="181"/>
        <v>0</v>
      </c>
      <c r="BF329" s="248">
        <f t="shared" si="182"/>
        <v>993869.29442638322</v>
      </c>
      <c r="BG329" s="36">
        <f t="shared" si="190"/>
        <v>0</v>
      </c>
      <c r="BH329" s="36">
        <f t="shared" si="191"/>
        <v>816421.5608812446</v>
      </c>
      <c r="BI329" s="249">
        <f t="shared" si="192"/>
        <v>0</v>
      </c>
      <c r="BJ329" s="246">
        <f t="shared" si="193"/>
        <v>0</v>
      </c>
      <c r="BK329" s="246">
        <f t="shared" si="173"/>
        <v>7.531116566323881E-4</v>
      </c>
      <c r="BL329" s="246">
        <f t="shared" si="194"/>
        <v>0</v>
      </c>
      <c r="BM329" s="246">
        <f t="shared" si="195"/>
        <v>7.531116566323881E-4</v>
      </c>
      <c r="BN329" s="36">
        <f t="shared" si="183"/>
        <v>614.85659422567426</v>
      </c>
      <c r="BO329" s="36">
        <f t="shared" si="196"/>
        <v>0</v>
      </c>
      <c r="BP329" s="36">
        <f t="shared" si="197"/>
        <v>815806.70428701898</v>
      </c>
    </row>
    <row r="330" spans="1:68">
      <c r="A330" s="32">
        <f t="shared" si="184"/>
        <v>-155</v>
      </c>
      <c r="B330" s="32">
        <f t="shared" si="174"/>
        <v>72</v>
      </c>
      <c r="C330" s="32">
        <f t="shared" si="185"/>
        <v>20</v>
      </c>
      <c r="D330" s="32">
        <f t="shared" si="186"/>
        <v>240</v>
      </c>
      <c r="E330" s="74">
        <f>MIN(IF(AV330=0,0,
IF(Investment_Strategy="DIS",VLOOKUP(Investment_Strategy&amp;"_"&amp;Investment_Strategy_Sub1&amp;"_"&amp;$A330,'Investment Strategies'!$AZ:$BP,12,FALSE),
IF(AND(Investment_Strategy="Lifecycle",Investment_Strategy_Sub1="Non-Standard"),VLOOKUP(Investment_Strategy&amp;"_"&amp;Investment_Strategy_Sub2&amp;"_"&amp;$A330,'Investment Strategies'!$C:$P,9,FALSE),
IF(AND(Investment_Strategy="Lifecycle",Investment_Strategy_Sub1="Standard"),VLOOKUP(Investment_Strategy&amp;"_"&amp;Investment_Strategy_Sub2&amp;"_"&amp;$A330,'Investment Strategies'!$AJ:$AV,8,FALSE),
IF(AND(Investment_Strategy="Autopilot",Investment_Strategy_Sub1="Non-Standard"),VLOOKUP(Investment_Strategy&amp;"_"&amp;Investment_Strategy_Sub2&amp;"_"&amp;$A330,'Investment Strategies'!$T:$AF,8,FALSE),
IF(Investment_Strategy ="DIY",DIY_RateOfReturn_CurrentFunds,
"Error")))))),Max_InvReturn)</f>
        <v>0</v>
      </c>
      <c r="F330" s="62">
        <f>IF(AV330=0,0,
IF(Investment_Strategy="DIS",VLOOKUP(Investment_Strategy&amp;"_"&amp;Investment_Strategy_Sub1&amp;"_"&amp;$A330,'Investment Strategies'!$AZ:$BP,15,FALSE),
IF(AND(Investment_Strategy="Lifecycle",Investment_Strategy_Sub1="Non-Standard"),VLOOKUP(Investment_Strategy&amp;"_"&amp;Investment_Strategy_Sub2&amp;"_"&amp;$A330,'Investment Strategies'!$C:$P,12,FALSE),
IF(AND(Investment_Strategy="Lifecycle",Investment_Strategy_Sub1="Standard"),VLOOKUP(Investment_Strategy&amp;"_"&amp;Investment_Strategy_Sub2&amp;"_"&amp;$A330,'Investment Strategies'!$AJ:$AV,11,FALSE),
IF(AND(Investment_Strategy="Autopilot",Investment_Strategy_Sub1="Non-Standard"),VLOOKUP(Investment_Strategy&amp;"_"&amp;Investment_Strategy_Sub2&amp;"_"&amp;$A330,'Investment Strategies'!$T:$AF,11,FALSE),
IF(Investment_Strategy="DIY",DIY_GteeChrge_CurrentFunds,
"Error"))))))</f>
        <v>0</v>
      </c>
      <c r="G330" s="33">
        <f>IF(AV330=0,0,
IF(Investment_Strategy="DIS",VLOOKUP(Investment_Strategy&amp;"_"&amp;Investment_Strategy_Sub1&amp;"_"&amp;$A330,'Investment Strategies'!$AZ:$BP,17,FALSE),
IF(AND(Investment_Strategy="Lifecycle",Investment_Strategy_Sub1="Non-Standard"),VLOOKUP(Investment_Strategy&amp;"_"&amp;Investment_Strategy_Sub2&amp;"_"&amp;$A330,'Investment Strategies'!$C:$P,14,FALSE),
IF(AND(Investment_Strategy="Lifecycle",Investment_Strategy_Sub1="Standard"),VLOOKUP(Investment_Strategy&amp;"_"&amp;Investment_Strategy_Sub2&amp;"_"&amp;$A330,'Investment Strategies'!$AJ:$AV,13,FALSE),
IF(AND(Investment_Strategy="Autopilot",Investment_Strategy_Sub1="Non-Standard"),VLOOKUP(Investment_Strategy&amp;"_"&amp;Investment_Strategy_Sub2&amp;"_"&amp;$A330,'Investment Strategies'!$T:$AF,13,FALSE),
IF(Investment_Strategy="DIY",DIY_ExtManChrge_CurrentFunds,
"Error"))))))</f>
        <v>0</v>
      </c>
      <c r="H330" s="16">
        <f t="shared" si="175"/>
        <v>0</v>
      </c>
      <c r="I330" s="16">
        <f t="shared" si="159"/>
        <v>0</v>
      </c>
      <c r="J330" s="16">
        <f t="shared" si="160"/>
        <v>0</v>
      </c>
      <c r="K330" s="16">
        <f>(Opening_Fund_Value+SUM(K$91:K329))*E330*IF(D330=$A$91,SRP_finalmonthfactor,1)</f>
        <v>0</v>
      </c>
      <c r="L330" s="74">
        <f>MIN(IF($AV330=0,0,
IF(Investment_Strategy="DIS",VLOOKUP(Investment_Strategy&amp;"_"&amp;Investment_Strategy_Sub1&amp;"_"&amp;$A330,'Investment Strategies'!$AZ:$BP,12,FALSE),
IF(AND(Investment_Strategy="Lifecycle",Investment_Strategy_Sub1="Non-Standard"),VLOOKUP(Investment_Strategy&amp;"_"&amp;Investment_Strategy_Sub2&amp;"_"&amp;$A330,'Investment Strategies'!$C:$P,9,FALSE),
IF(AND(Investment_Strategy="Lifecycle",Investment_Strategy_Sub1="Standard"),VLOOKUP(Investment_Strategy&amp;"_"&amp;Investment_Strategy_Sub2&amp;"_"&amp;$A330,'Investment Strategies'!$AJ:$AV,8,FALSE),
IF(AND(Investment_Strategy="Autopilot",Investment_Strategy_Sub1="Non-Standard"),VLOOKUP(Investment_Strategy&amp;"_"&amp;Investment_Strategy_Sub2&amp;"_"&amp;$A330,'Investment Strategies'!$T:$AF,8,FALSE),
IF(Investment_Strategy ="DIY",DIY_RateofReturn_SP,
"Error")))))),Max_InvReturn)</f>
        <v>0</v>
      </c>
      <c r="M330" s="62">
        <f>IF($AV330=0,0,
IF(Investment_Strategy="DIS",VLOOKUP(Investment_Strategy&amp;"_"&amp;Investment_Strategy_Sub1&amp;"_"&amp;$A330,'Investment Strategies'!$AZ:$BP,15,FALSE),
IF(AND(Investment_Strategy="Lifecycle",Investment_Strategy_Sub1="Non-Standard"),VLOOKUP(Investment_Strategy&amp;"_"&amp;Investment_Strategy_Sub2&amp;"_"&amp;$A330,'Investment Strategies'!$C:$P,12,FALSE),
IF(AND(Investment_Strategy="Lifecycle",Investment_Strategy_Sub1="Standard"),VLOOKUP(Investment_Strategy&amp;"_"&amp;Investment_Strategy_Sub2&amp;"_"&amp;$A330,'Investment Strategies'!$AJ:$AV,11,FALSE),
IF(AND(Investment_Strategy="Autopilot",Investment_Strategy_Sub1="Non-Standard"),VLOOKUP(Investment_Strategy&amp;"_"&amp;Investment_Strategy_Sub2&amp;"_"&amp;$A330,'Investment Strategies'!$T:$AF,11,FALSE),
IF(Investment_Strategy="DIY",DIY_GteeChrge_SP,
"Error"))))))</f>
        <v>0</v>
      </c>
      <c r="N330" s="33">
        <f>IF($AV330=0,0,
IF(Investment_Strategy="DIS",VLOOKUP(Investment_Strategy&amp;"_"&amp;Investment_Strategy_Sub1&amp;"_"&amp;$A330,'Investment Strategies'!$AZ:$BP,17,FALSE),
IF(AND(Investment_Strategy="Lifecycle",Investment_Strategy_Sub1="Non-Standard"),VLOOKUP(Investment_Strategy&amp;"_"&amp;Investment_Strategy_Sub2&amp;"_"&amp;$A330,'Investment Strategies'!$C:$P,14,FALSE),
IF(AND(Investment_Strategy="Lifecycle",Investment_Strategy_Sub1="Standard"),VLOOKUP(Investment_Strategy&amp;"_"&amp;Investment_Strategy_Sub2&amp;"_"&amp;$A330,'Investment Strategies'!$AJ:$AV,13,FALSE),
IF(AND(Investment_Strategy="Autopilot",Investment_Strategy_Sub1="Non-Standard"),VLOOKUP(Investment_Strategy&amp;"_"&amp;Investment_Strategy_Sub2&amp;"_"&amp;$A330,'Investment Strategies'!$T:$AF,13,FALSE),
IF(Investment_Strategy="DIY",DIY_ExtManChrge_SP,
"Error"))))))</f>
        <v>0</v>
      </c>
      <c r="O330" s="16">
        <f t="shared" si="187"/>
        <v>0</v>
      </c>
      <c r="Q330" s="16">
        <f t="shared" si="161"/>
        <v>0</v>
      </c>
      <c r="R330" s="16">
        <f t="shared" si="162"/>
        <v>0</v>
      </c>
      <c r="S330" s="16">
        <f>(SRP_SP+SUM(S$91:S329))*L330*IF(D330=$A$91,SRP_finalmonthfactor,1)</f>
        <v>0</v>
      </c>
      <c r="T330" s="74">
        <f>MIN(IF($AV330=0,0,
IF(Investment_Strategy="DIS",VLOOKUP(Investment_Strategy&amp;"_"&amp;Investment_Strategy_Sub1&amp;"_"&amp;$A330,'Investment Strategies'!$AZ:$BP,12,FALSE),
IF(AND(Investment_Strategy="Lifecycle",Investment_Strategy_Sub1="Non-Standard"),VLOOKUP(Investment_Strategy&amp;"_"&amp;Investment_Strategy_Sub2&amp;"_"&amp;$A330,'Investment Strategies'!$C:$P,9,FALSE),
IF(AND(Investment_Strategy="Lifecycle",Investment_Strategy_Sub1="Standard"),VLOOKUP(Investment_Strategy&amp;"_"&amp;Investment_Strategy_Sub2&amp;"_"&amp;$A330,'Investment Strategies'!$AJ:$AV,8,FALSE),
IF(AND(Investment_Strategy="Autopilot",Investment_Strategy_Sub1="Non-Standard"),VLOOKUP(Investment_Strategy&amp;"_"&amp;Investment_Strategy_Sub2&amp;"_"&amp;$A330,'Investment Strategies'!$T:$AF,8,FALSE),
IF(Investment_Strategy ="DIY",DIY_RateOfReturn_FuturePremiums,
"Error")))))),Max_InvReturn)</f>
        <v>0</v>
      </c>
      <c r="U330" s="62">
        <f>IF($AV330=0,0,
IF(Investment_Strategy="DIS",VLOOKUP(Investment_Strategy&amp;"_"&amp;Investment_Strategy_Sub1&amp;"_"&amp;$A330,'Investment Strategies'!$AZ:$BP,15,FALSE),
IF(AND(Investment_Strategy="Lifecycle",Investment_Strategy_Sub1="Non-Standard"),VLOOKUP(Investment_Strategy&amp;"_"&amp;Investment_Strategy_Sub2&amp;"_"&amp;$A330,'Investment Strategies'!$C:$P,12,FALSE),
IF(AND(Investment_Strategy="Lifecycle",Investment_Strategy_Sub1="Standard"),VLOOKUP(Investment_Strategy&amp;"_"&amp;Investment_Strategy_Sub2&amp;"_"&amp;$A330,'Investment Strategies'!$AJ:$AV,11,FALSE),
IF(AND(Investment_Strategy="Autopilot",Investment_Strategy_Sub1="Non-Standard"),VLOOKUP(Investment_Strategy&amp;"_"&amp;Investment_Strategy_Sub2&amp;"_"&amp;$A330,'Investment Strategies'!$T:$AF,11,FALSE),
IF(Investment_Strategy="DIY",DIY_GteeChrge_FuturePremiums,
"Error"))))))</f>
        <v>0</v>
      </c>
      <c r="V330" s="33">
        <f>IF(AV330=0,0,
IF(Investment_Strategy="DIS",VLOOKUP(Investment_Strategy&amp;"_"&amp;Investment_Strategy_Sub1&amp;"_"&amp;$A330,'Investment Strategies'!$AZ:$BP,17,FALSE),
IF(AND(Investment_Strategy="Lifecycle",Investment_Strategy_Sub1="Non-Standard"),VLOOKUP(Investment_Strategy&amp;"_"&amp;Investment_Strategy_Sub2&amp;"_"&amp;$A330,'Investment Strategies'!$C:$P,14,FALSE),
IF(AND(Investment_Strategy="Lifecycle",Investment_Strategy_Sub1="Standard"),VLOOKUP(Investment_Strategy&amp;"_"&amp;Investment_Strategy_Sub2&amp;"_"&amp;$A330,'Investment Strategies'!$AJ:$AV,13,FALSE),
IF(AND(Investment_Strategy="Autopilot",Investment_Strategy_Sub1="Non-Standard"),VLOOKUP(Investment_Strategy&amp;"_"&amp;Investment_Strategy_Sub2&amp;"_"&amp;$A330,'Investment Strategies'!$T:$AF,13,FALSE),
IF(Investment_Strategy="DIY",DIY_ExtManChrge_FuturePremiums,
"Error"))))))</f>
        <v>0</v>
      </c>
      <c r="W330" s="16">
        <f t="shared" si="188"/>
        <v>0</v>
      </c>
      <c r="X330" s="16">
        <f t="shared" si="163"/>
        <v>0</v>
      </c>
      <c r="Y330" s="16">
        <f t="shared" si="164"/>
        <v>0</v>
      </c>
      <c r="Z330" s="31">
        <f t="shared" si="165"/>
        <v>0.02</v>
      </c>
      <c r="AA330" s="16">
        <f t="shared" si="166"/>
        <v>0</v>
      </c>
      <c r="AB330" s="28">
        <f t="shared" si="189"/>
        <v>0</v>
      </c>
      <c r="AC330" s="28">
        <f>(SUM($AC$91:AC329)+SUM($X$91:X329)+X330)*T330*IF(D330=$A$91,SRP_finalmonthfactor,1)</f>
        <v>0</v>
      </c>
      <c r="AD330" s="16">
        <f t="shared" si="167"/>
        <v>0</v>
      </c>
      <c r="AE330" s="106"/>
      <c r="AF330" s="16">
        <f t="shared" si="176"/>
        <v>0</v>
      </c>
      <c r="AG330" s="16">
        <f t="shared" si="177"/>
        <v>0</v>
      </c>
      <c r="AH330" s="16">
        <f t="shared" si="178"/>
        <v>0</v>
      </c>
      <c r="AJ330" s="13">
        <f t="shared" si="201"/>
        <v>0</v>
      </c>
      <c r="AK330" s="13">
        <f t="shared" si="201"/>
        <v>0</v>
      </c>
      <c r="AL330" s="13">
        <f t="shared" si="201"/>
        <v>0</v>
      </c>
      <c r="AM330" s="13">
        <f t="shared" si="201"/>
        <v>0</v>
      </c>
      <c r="AN330" s="13">
        <f t="shared" si="201"/>
        <v>0</v>
      </c>
      <c r="AO330" s="13">
        <f t="shared" si="201"/>
        <v>1</v>
      </c>
      <c r="AP330" s="13">
        <f t="shared" si="201"/>
        <v>1</v>
      </c>
      <c r="AQ330" s="13">
        <f t="shared" si="201"/>
        <v>1</v>
      </c>
      <c r="AR330" s="13">
        <f t="shared" si="201"/>
        <v>1</v>
      </c>
      <c r="AS330" s="13">
        <f t="shared" si="201"/>
        <v>1</v>
      </c>
      <c r="AT330" s="13">
        <f t="shared" si="201"/>
        <v>1</v>
      </c>
      <c r="AU330" s="13">
        <f t="shared" si="201"/>
        <v>1</v>
      </c>
      <c r="AV330" s="13">
        <f t="shared" si="168"/>
        <v>0</v>
      </c>
      <c r="AW330" s="13">
        <f t="shared" si="169"/>
        <v>1</v>
      </c>
      <c r="AY330" s="17">
        <f t="shared" si="170"/>
        <v>240</v>
      </c>
      <c r="AZ330" s="28">
        <f t="shared" si="179"/>
        <v>0</v>
      </c>
      <c r="BA330" s="13">
        <f t="shared" si="171"/>
        <v>0</v>
      </c>
      <c r="BB330" s="13">
        <f t="shared" si="172"/>
        <v>0</v>
      </c>
      <c r="BC330" s="28">
        <f t="shared" si="180"/>
        <v>0</v>
      </c>
      <c r="BD330" s="28">
        <f t="shared" si="181"/>
        <v>0</v>
      </c>
      <c r="BF330" s="248">
        <f t="shared" si="182"/>
        <v>993869.29442638322</v>
      </c>
      <c r="BG330" s="36">
        <f t="shared" si="190"/>
        <v>0</v>
      </c>
      <c r="BH330" s="36">
        <f t="shared" si="191"/>
        <v>815806.70428701898</v>
      </c>
      <c r="BI330" s="249">
        <f t="shared" si="192"/>
        <v>0</v>
      </c>
      <c r="BJ330" s="246">
        <f t="shared" si="193"/>
        <v>0</v>
      </c>
      <c r="BK330" s="246">
        <f t="shared" si="173"/>
        <v>7.531116566323881E-4</v>
      </c>
      <c r="BL330" s="246">
        <f t="shared" si="194"/>
        <v>0</v>
      </c>
      <c r="BM330" s="246">
        <f t="shared" si="195"/>
        <v>7.531116566323881E-4</v>
      </c>
      <c r="BN330" s="36">
        <f t="shared" si="183"/>
        <v>614.39353855740558</v>
      </c>
      <c r="BO330" s="36">
        <f t="shared" si="196"/>
        <v>0</v>
      </c>
      <c r="BP330" s="36">
        <f t="shared" si="197"/>
        <v>815192.31074846152</v>
      </c>
    </row>
    <row r="331" spans="1:68">
      <c r="A331" s="32">
        <f t="shared" si="184"/>
        <v>-156</v>
      </c>
      <c r="B331" s="32">
        <f t="shared" si="174"/>
        <v>73</v>
      </c>
      <c r="C331" s="32">
        <f t="shared" si="185"/>
        <v>21</v>
      </c>
      <c r="D331" s="32">
        <f t="shared" si="186"/>
        <v>241</v>
      </c>
      <c r="E331" s="74">
        <f>MIN(IF(AV331=0,0,
IF(Investment_Strategy="DIS",VLOOKUP(Investment_Strategy&amp;"_"&amp;Investment_Strategy_Sub1&amp;"_"&amp;$A331,'Investment Strategies'!$AZ:$BP,12,FALSE),
IF(AND(Investment_Strategy="Lifecycle",Investment_Strategy_Sub1="Non-Standard"),VLOOKUP(Investment_Strategy&amp;"_"&amp;Investment_Strategy_Sub2&amp;"_"&amp;$A331,'Investment Strategies'!$C:$P,9,FALSE),
IF(AND(Investment_Strategy="Lifecycle",Investment_Strategy_Sub1="Standard"),VLOOKUP(Investment_Strategy&amp;"_"&amp;Investment_Strategy_Sub2&amp;"_"&amp;$A331,'Investment Strategies'!$AJ:$AV,8,FALSE),
IF(AND(Investment_Strategy="Autopilot",Investment_Strategy_Sub1="Non-Standard"),VLOOKUP(Investment_Strategy&amp;"_"&amp;Investment_Strategy_Sub2&amp;"_"&amp;$A331,'Investment Strategies'!$T:$AF,8,FALSE),
IF(Investment_Strategy ="DIY",DIY_RateOfReturn_CurrentFunds,
"Error")))))),Max_InvReturn)</f>
        <v>0</v>
      </c>
      <c r="F331" s="62">
        <f>IF(AV331=0,0,
IF(Investment_Strategy="DIS",VLOOKUP(Investment_Strategy&amp;"_"&amp;Investment_Strategy_Sub1&amp;"_"&amp;$A331,'Investment Strategies'!$AZ:$BP,15,FALSE),
IF(AND(Investment_Strategy="Lifecycle",Investment_Strategy_Sub1="Non-Standard"),VLOOKUP(Investment_Strategy&amp;"_"&amp;Investment_Strategy_Sub2&amp;"_"&amp;$A331,'Investment Strategies'!$C:$P,12,FALSE),
IF(AND(Investment_Strategy="Lifecycle",Investment_Strategy_Sub1="Standard"),VLOOKUP(Investment_Strategy&amp;"_"&amp;Investment_Strategy_Sub2&amp;"_"&amp;$A331,'Investment Strategies'!$AJ:$AV,11,FALSE),
IF(AND(Investment_Strategy="Autopilot",Investment_Strategy_Sub1="Non-Standard"),VLOOKUP(Investment_Strategy&amp;"_"&amp;Investment_Strategy_Sub2&amp;"_"&amp;$A331,'Investment Strategies'!$T:$AF,11,FALSE),
IF(Investment_Strategy="DIY",DIY_GteeChrge_CurrentFunds,
"Error"))))))</f>
        <v>0</v>
      </c>
      <c r="G331" s="33">
        <f>IF(AV331=0,0,
IF(Investment_Strategy="DIS",VLOOKUP(Investment_Strategy&amp;"_"&amp;Investment_Strategy_Sub1&amp;"_"&amp;$A331,'Investment Strategies'!$AZ:$BP,17,FALSE),
IF(AND(Investment_Strategy="Lifecycle",Investment_Strategy_Sub1="Non-Standard"),VLOOKUP(Investment_Strategy&amp;"_"&amp;Investment_Strategy_Sub2&amp;"_"&amp;$A331,'Investment Strategies'!$C:$P,14,FALSE),
IF(AND(Investment_Strategy="Lifecycle",Investment_Strategy_Sub1="Standard"),VLOOKUP(Investment_Strategy&amp;"_"&amp;Investment_Strategy_Sub2&amp;"_"&amp;$A331,'Investment Strategies'!$AJ:$AV,13,FALSE),
IF(AND(Investment_Strategy="Autopilot",Investment_Strategy_Sub1="Non-Standard"),VLOOKUP(Investment_Strategy&amp;"_"&amp;Investment_Strategy_Sub2&amp;"_"&amp;$A331,'Investment Strategies'!$T:$AF,13,FALSE),
IF(Investment_Strategy="DIY",DIY_ExtManChrge_CurrentFunds,
"Error"))))))</f>
        <v>0</v>
      </c>
      <c r="H331" s="16">
        <f t="shared" si="175"/>
        <v>0</v>
      </c>
      <c r="I331" s="16">
        <f t="shared" si="159"/>
        <v>0</v>
      </c>
      <c r="J331" s="16">
        <f t="shared" si="160"/>
        <v>0</v>
      </c>
      <c r="K331" s="16">
        <f>(Opening_Fund_Value+SUM(K$91:K330))*E331*IF(D331=$A$91,SRP_finalmonthfactor,1)</f>
        <v>0</v>
      </c>
      <c r="L331" s="74">
        <f>MIN(IF($AV331=0,0,
IF(Investment_Strategy="DIS",VLOOKUP(Investment_Strategy&amp;"_"&amp;Investment_Strategy_Sub1&amp;"_"&amp;$A331,'Investment Strategies'!$AZ:$BP,12,FALSE),
IF(AND(Investment_Strategy="Lifecycle",Investment_Strategy_Sub1="Non-Standard"),VLOOKUP(Investment_Strategy&amp;"_"&amp;Investment_Strategy_Sub2&amp;"_"&amp;$A331,'Investment Strategies'!$C:$P,9,FALSE),
IF(AND(Investment_Strategy="Lifecycle",Investment_Strategy_Sub1="Standard"),VLOOKUP(Investment_Strategy&amp;"_"&amp;Investment_Strategy_Sub2&amp;"_"&amp;$A331,'Investment Strategies'!$AJ:$AV,8,FALSE),
IF(AND(Investment_Strategy="Autopilot",Investment_Strategy_Sub1="Non-Standard"),VLOOKUP(Investment_Strategy&amp;"_"&amp;Investment_Strategy_Sub2&amp;"_"&amp;$A331,'Investment Strategies'!$T:$AF,8,FALSE),
IF(Investment_Strategy ="DIY",DIY_RateofReturn_SP,
"Error")))))),Max_InvReturn)</f>
        <v>0</v>
      </c>
      <c r="M331" s="62">
        <f>IF($AV331=0,0,
IF(Investment_Strategy="DIS",VLOOKUP(Investment_Strategy&amp;"_"&amp;Investment_Strategy_Sub1&amp;"_"&amp;$A331,'Investment Strategies'!$AZ:$BP,15,FALSE),
IF(AND(Investment_Strategy="Lifecycle",Investment_Strategy_Sub1="Non-Standard"),VLOOKUP(Investment_Strategy&amp;"_"&amp;Investment_Strategy_Sub2&amp;"_"&amp;$A331,'Investment Strategies'!$C:$P,12,FALSE),
IF(AND(Investment_Strategy="Lifecycle",Investment_Strategy_Sub1="Standard"),VLOOKUP(Investment_Strategy&amp;"_"&amp;Investment_Strategy_Sub2&amp;"_"&amp;$A331,'Investment Strategies'!$AJ:$AV,11,FALSE),
IF(AND(Investment_Strategy="Autopilot",Investment_Strategy_Sub1="Non-Standard"),VLOOKUP(Investment_Strategy&amp;"_"&amp;Investment_Strategy_Sub2&amp;"_"&amp;$A331,'Investment Strategies'!$T:$AF,11,FALSE),
IF(Investment_Strategy="DIY",DIY_GteeChrge_SP,
"Error"))))))</f>
        <v>0</v>
      </c>
      <c r="N331" s="33">
        <f>IF($AV331=0,0,
IF(Investment_Strategy="DIS",VLOOKUP(Investment_Strategy&amp;"_"&amp;Investment_Strategy_Sub1&amp;"_"&amp;$A331,'Investment Strategies'!$AZ:$BP,17,FALSE),
IF(AND(Investment_Strategy="Lifecycle",Investment_Strategy_Sub1="Non-Standard"),VLOOKUP(Investment_Strategy&amp;"_"&amp;Investment_Strategy_Sub2&amp;"_"&amp;$A331,'Investment Strategies'!$C:$P,14,FALSE),
IF(AND(Investment_Strategy="Lifecycle",Investment_Strategy_Sub1="Standard"),VLOOKUP(Investment_Strategy&amp;"_"&amp;Investment_Strategy_Sub2&amp;"_"&amp;$A331,'Investment Strategies'!$AJ:$AV,13,FALSE),
IF(AND(Investment_Strategy="Autopilot",Investment_Strategy_Sub1="Non-Standard"),VLOOKUP(Investment_Strategy&amp;"_"&amp;Investment_Strategy_Sub2&amp;"_"&amp;$A331,'Investment Strategies'!$T:$AF,13,FALSE),
IF(Investment_Strategy="DIY",DIY_ExtManChrge_SP,
"Error"))))))</f>
        <v>0</v>
      </c>
      <c r="O331" s="16">
        <f t="shared" si="187"/>
        <v>0</v>
      </c>
      <c r="Q331" s="16">
        <f t="shared" si="161"/>
        <v>0</v>
      </c>
      <c r="R331" s="16">
        <f t="shared" si="162"/>
        <v>0</v>
      </c>
      <c r="S331" s="16">
        <f>(SRP_SP+SUM(S$91:S330))*L331*IF(D331=$A$91,SRP_finalmonthfactor,1)</f>
        <v>0</v>
      </c>
      <c r="T331" s="74">
        <f>MIN(IF($AV331=0,0,
IF(Investment_Strategy="DIS",VLOOKUP(Investment_Strategy&amp;"_"&amp;Investment_Strategy_Sub1&amp;"_"&amp;$A331,'Investment Strategies'!$AZ:$BP,12,FALSE),
IF(AND(Investment_Strategy="Lifecycle",Investment_Strategy_Sub1="Non-Standard"),VLOOKUP(Investment_Strategy&amp;"_"&amp;Investment_Strategy_Sub2&amp;"_"&amp;$A331,'Investment Strategies'!$C:$P,9,FALSE),
IF(AND(Investment_Strategy="Lifecycle",Investment_Strategy_Sub1="Standard"),VLOOKUP(Investment_Strategy&amp;"_"&amp;Investment_Strategy_Sub2&amp;"_"&amp;$A331,'Investment Strategies'!$AJ:$AV,8,FALSE),
IF(AND(Investment_Strategy="Autopilot",Investment_Strategy_Sub1="Non-Standard"),VLOOKUP(Investment_Strategy&amp;"_"&amp;Investment_Strategy_Sub2&amp;"_"&amp;$A331,'Investment Strategies'!$T:$AF,8,FALSE),
IF(Investment_Strategy ="DIY",DIY_RateOfReturn_FuturePremiums,
"Error")))))),Max_InvReturn)</f>
        <v>0</v>
      </c>
      <c r="U331" s="62">
        <f>IF($AV331=0,0,
IF(Investment_Strategy="DIS",VLOOKUP(Investment_Strategy&amp;"_"&amp;Investment_Strategy_Sub1&amp;"_"&amp;$A331,'Investment Strategies'!$AZ:$BP,15,FALSE),
IF(AND(Investment_Strategy="Lifecycle",Investment_Strategy_Sub1="Non-Standard"),VLOOKUP(Investment_Strategy&amp;"_"&amp;Investment_Strategy_Sub2&amp;"_"&amp;$A331,'Investment Strategies'!$C:$P,12,FALSE),
IF(AND(Investment_Strategy="Lifecycle",Investment_Strategy_Sub1="Standard"),VLOOKUP(Investment_Strategy&amp;"_"&amp;Investment_Strategy_Sub2&amp;"_"&amp;$A331,'Investment Strategies'!$AJ:$AV,11,FALSE),
IF(AND(Investment_Strategy="Autopilot",Investment_Strategy_Sub1="Non-Standard"),VLOOKUP(Investment_Strategy&amp;"_"&amp;Investment_Strategy_Sub2&amp;"_"&amp;$A331,'Investment Strategies'!$T:$AF,11,FALSE),
IF(Investment_Strategy="DIY",DIY_GteeChrge_FuturePremiums,
"Error"))))))</f>
        <v>0</v>
      </c>
      <c r="V331" s="33">
        <f>IF(AV331=0,0,
IF(Investment_Strategy="DIS",VLOOKUP(Investment_Strategy&amp;"_"&amp;Investment_Strategy_Sub1&amp;"_"&amp;$A331,'Investment Strategies'!$AZ:$BP,17,FALSE),
IF(AND(Investment_Strategy="Lifecycle",Investment_Strategy_Sub1="Non-Standard"),VLOOKUP(Investment_Strategy&amp;"_"&amp;Investment_Strategy_Sub2&amp;"_"&amp;$A331,'Investment Strategies'!$C:$P,14,FALSE),
IF(AND(Investment_Strategy="Lifecycle",Investment_Strategy_Sub1="Standard"),VLOOKUP(Investment_Strategy&amp;"_"&amp;Investment_Strategy_Sub2&amp;"_"&amp;$A331,'Investment Strategies'!$AJ:$AV,13,FALSE),
IF(AND(Investment_Strategy="Autopilot",Investment_Strategy_Sub1="Non-Standard"),VLOOKUP(Investment_Strategy&amp;"_"&amp;Investment_Strategy_Sub2&amp;"_"&amp;$A331,'Investment Strategies'!$T:$AF,13,FALSE),
IF(Investment_Strategy="DIY",DIY_ExtManChrge_FuturePremiums,
"Error"))))))</f>
        <v>0</v>
      </c>
      <c r="W331" s="16">
        <f t="shared" si="188"/>
        <v>0</v>
      </c>
      <c r="X331" s="16">
        <f t="shared" si="163"/>
        <v>0</v>
      </c>
      <c r="Y331" s="16">
        <f t="shared" si="164"/>
        <v>0</v>
      </c>
      <c r="Z331" s="31">
        <f t="shared" si="165"/>
        <v>0.02</v>
      </c>
      <c r="AA331" s="16">
        <f t="shared" si="166"/>
        <v>0</v>
      </c>
      <c r="AB331" s="28">
        <f t="shared" si="189"/>
        <v>0</v>
      </c>
      <c r="AC331" s="28">
        <f>(SUM($AC$91:AC330)+SUM($X$91:X330)+X331)*T331*IF(D331=$A$91,SRP_finalmonthfactor,1)</f>
        <v>0</v>
      </c>
      <c r="AD331" s="16">
        <f t="shared" si="167"/>
        <v>0</v>
      </c>
      <c r="AE331" s="106"/>
      <c r="AF331" s="16">
        <f t="shared" si="176"/>
        <v>0</v>
      </c>
      <c r="AG331" s="16">
        <f t="shared" si="177"/>
        <v>0</v>
      </c>
      <c r="AH331" s="16">
        <f t="shared" si="178"/>
        <v>0</v>
      </c>
      <c r="AJ331" s="13">
        <f t="shared" ref="AJ331:AU340" si="202">IF($C331&lt;=AJ$90,1,0)</f>
        <v>0</v>
      </c>
      <c r="AK331" s="13">
        <f t="shared" si="202"/>
        <v>0</v>
      </c>
      <c r="AL331" s="13">
        <f t="shared" si="202"/>
        <v>0</v>
      </c>
      <c r="AM331" s="13">
        <f t="shared" si="202"/>
        <v>0</v>
      </c>
      <c r="AN331" s="13">
        <f t="shared" si="202"/>
        <v>0</v>
      </c>
      <c r="AO331" s="13">
        <f t="shared" si="202"/>
        <v>1</v>
      </c>
      <c r="AP331" s="13">
        <f t="shared" si="202"/>
        <v>1</v>
      </c>
      <c r="AQ331" s="13">
        <f t="shared" si="202"/>
        <v>1</v>
      </c>
      <c r="AR331" s="13">
        <f t="shared" si="202"/>
        <v>1</v>
      </c>
      <c r="AS331" s="13">
        <f t="shared" si="202"/>
        <v>1</v>
      </c>
      <c r="AT331" s="13">
        <f t="shared" si="202"/>
        <v>1</v>
      </c>
      <c r="AU331" s="13">
        <f t="shared" si="202"/>
        <v>1</v>
      </c>
      <c r="AV331" s="13">
        <f t="shared" si="168"/>
        <v>0</v>
      </c>
      <c r="AW331" s="13">
        <f t="shared" si="169"/>
        <v>1</v>
      </c>
      <c r="AY331" s="17">
        <f t="shared" si="170"/>
        <v>241</v>
      </c>
      <c r="AZ331" s="28">
        <f t="shared" si="179"/>
        <v>0</v>
      </c>
      <c r="BA331" s="13">
        <f t="shared" si="171"/>
        <v>0</v>
      </c>
      <c r="BB331" s="13">
        <f t="shared" si="172"/>
        <v>0</v>
      </c>
      <c r="BC331" s="28">
        <f t="shared" si="180"/>
        <v>0</v>
      </c>
      <c r="BD331" s="28">
        <f t="shared" si="181"/>
        <v>0</v>
      </c>
      <c r="BF331" s="248">
        <f t="shared" si="182"/>
        <v>993869.29442638322</v>
      </c>
      <c r="BG331" s="36">
        <f t="shared" si="190"/>
        <v>0</v>
      </c>
      <c r="BH331" s="36">
        <f t="shared" si="191"/>
        <v>815192.31074846152</v>
      </c>
      <c r="BI331" s="249">
        <f t="shared" si="192"/>
        <v>0</v>
      </c>
      <c r="BJ331" s="246">
        <f t="shared" si="193"/>
        <v>0</v>
      </c>
      <c r="BK331" s="246">
        <f t="shared" si="173"/>
        <v>7.531116566323881E-4</v>
      </c>
      <c r="BL331" s="246">
        <f t="shared" si="194"/>
        <v>0</v>
      </c>
      <c r="BM331" s="246">
        <f t="shared" si="195"/>
        <v>7.531116566323881E-4</v>
      </c>
      <c r="BN331" s="36">
        <f t="shared" si="183"/>
        <v>613.93083162175833</v>
      </c>
      <c r="BO331" s="36">
        <f t="shared" si="196"/>
        <v>0</v>
      </c>
      <c r="BP331" s="36">
        <f t="shared" si="197"/>
        <v>814578.37991683977</v>
      </c>
    </row>
    <row r="332" spans="1:68">
      <c r="A332" s="32">
        <f t="shared" si="184"/>
        <v>-157</v>
      </c>
      <c r="B332" s="32">
        <f t="shared" si="174"/>
        <v>73</v>
      </c>
      <c r="C332" s="32">
        <f t="shared" si="185"/>
        <v>21</v>
      </c>
      <c r="D332" s="32">
        <f t="shared" si="186"/>
        <v>242</v>
      </c>
      <c r="E332" s="74">
        <f>MIN(IF(AV332=0,0,
IF(Investment_Strategy="DIS",VLOOKUP(Investment_Strategy&amp;"_"&amp;Investment_Strategy_Sub1&amp;"_"&amp;$A332,'Investment Strategies'!$AZ:$BP,12,FALSE),
IF(AND(Investment_Strategy="Lifecycle",Investment_Strategy_Sub1="Non-Standard"),VLOOKUP(Investment_Strategy&amp;"_"&amp;Investment_Strategy_Sub2&amp;"_"&amp;$A332,'Investment Strategies'!$C:$P,9,FALSE),
IF(AND(Investment_Strategy="Lifecycle",Investment_Strategy_Sub1="Standard"),VLOOKUP(Investment_Strategy&amp;"_"&amp;Investment_Strategy_Sub2&amp;"_"&amp;$A332,'Investment Strategies'!$AJ:$AV,8,FALSE),
IF(AND(Investment_Strategy="Autopilot",Investment_Strategy_Sub1="Non-Standard"),VLOOKUP(Investment_Strategy&amp;"_"&amp;Investment_Strategy_Sub2&amp;"_"&amp;$A332,'Investment Strategies'!$T:$AF,8,FALSE),
IF(Investment_Strategy ="DIY",DIY_RateOfReturn_CurrentFunds,
"Error")))))),Max_InvReturn)</f>
        <v>0</v>
      </c>
      <c r="F332" s="62">
        <f>IF(AV332=0,0,
IF(Investment_Strategy="DIS",VLOOKUP(Investment_Strategy&amp;"_"&amp;Investment_Strategy_Sub1&amp;"_"&amp;$A332,'Investment Strategies'!$AZ:$BP,15,FALSE),
IF(AND(Investment_Strategy="Lifecycle",Investment_Strategy_Sub1="Non-Standard"),VLOOKUP(Investment_Strategy&amp;"_"&amp;Investment_Strategy_Sub2&amp;"_"&amp;$A332,'Investment Strategies'!$C:$P,12,FALSE),
IF(AND(Investment_Strategy="Lifecycle",Investment_Strategy_Sub1="Standard"),VLOOKUP(Investment_Strategy&amp;"_"&amp;Investment_Strategy_Sub2&amp;"_"&amp;$A332,'Investment Strategies'!$AJ:$AV,11,FALSE),
IF(AND(Investment_Strategy="Autopilot",Investment_Strategy_Sub1="Non-Standard"),VLOOKUP(Investment_Strategy&amp;"_"&amp;Investment_Strategy_Sub2&amp;"_"&amp;$A332,'Investment Strategies'!$T:$AF,11,FALSE),
IF(Investment_Strategy="DIY",DIY_GteeChrge_CurrentFunds,
"Error"))))))</f>
        <v>0</v>
      </c>
      <c r="G332" s="33">
        <f>IF(AV332=0,0,
IF(Investment_Strategy="DIS",VLOOKUP(Investment_Strategy&amp;"_"&amp;Investment_Strategy_Sub1&amp;"_"&amp;$A332,'Investment Strategies'!$AZ:$BP,17,FALSE),
IF(AND(Investment_Strategy="Lifecycle",Investment_Strategy_Sub1="Non-Standard"),VLOOKUP(Investment_Strategy&amp;"_"&amp;Investment_Strategy_Sub2&amp;"_"&amp;$A332,'Investment Strategies'!$C:$P,14,FALSE),
IF(AND(Investment_Strategy="Lifecycle",Investment_Strategy_Sub1="Standard"),VLOOKUP(Investment_Strategy&amp;"_"&amp;Investment_Strategy_Sub2&amp;"_"&amp;$A332,'Investment Strategies'!$AJ:$AV,13,FALSE),
IF(AND(Investment_Strategy="Autopilot",Investment_Strategy_Sub1="Non-Standard"),VLOOKUP(Investment_Strategy&amp;"_"&amp;Investment_Strategy_Sub2&amp;"_"&amp;$A332,'Investment Strategies'!$T:$AF,13,FALSE),
IF(Investment_Strategy="DIY",DIY_ExtManChrge_CurrentFunds,
"Error"))))))</f>
        <v>0</v>
      </c>
      <c r="H332" s="16">
        <f t="shared" si="175"/>
        <v>0</v>
      </c>
      <c r="I332" s="16">
        <f t="shared" si="159"/>
        <v>0</v>
      </c>
      <c r="J332" s="16">
        <f t="shared" si="160"/>
        <v>0</v>
      </c>
      <c r="K332" s="16">
        <f>(Opening_Fund_Value+SUM(K$91:K331))*E332*IF(D332=$A$91,SRP_finalmonthfactor,1)</f>
        <v>0</v>
      </c>
      <c r="L332" s="74">
        <f>MIN(IF($AV332=0,0,
IF(Investment_Strategy="DIS",VLOOKUP(Investment_Strategy&amp;"_"&amp;Investment_Strategy_Sub1&amp;"_"&amp;$A332,'Investment Strategies'!$AZ:$BP,12,FALSE),
IF(AND(Investment_Strategy="Lifecycle",Investment_Strategy_Sub1="Non-Standard"),VLOOKUP(Investment_Strategy&amp;"_"&amp;Investment_Strategy_Sub2&amp;"_"&amp;$A332,'Investment Strategies'!$C:$P,9,FALSE),
IF(AND(Investment_Strategy="Lifecycle",Investment_Strategy_Sub1="Standard"),VLOOKUP(Investment_Strategy&amp;"_"&amp;Investment_Strategy_Sub2&amp;"_"&amp;$A332,'Investment Strategies'!$AJ:$AV,8,FALSE),
IF(AND(Investment_Strategy="Autopilot",Investment_Strategy_Sub1="Non-Standard"),VLOOKUP(Investment_Strategy&amp;"_"&amp;Investment_Strategy_Sub2&amp;"_"&amp;$A332,'Investment Strategies'!$T:$AF,8,FALSE),
IF(Investment_Strategy ="DIY",DIY_RateofReturn_SP,
"Error")))))),Max_InvReturn)</f>
        <v>0</v>
      </c>
      <c r="M332" s="62">
        <f>IF($AV332=0,0,
IF(Investment_Strategy="DIS",VLOOKUP(Investment_Strategy&amp;"_"&amp;Investment_Strategy_Sub1&amp;"_"&amp;$A332,'Investment Strategies'!$AZ:$BP,15,FALSE),
IF(AND(Investment_Strategy="Lifecycle",Investment_Strategy_Sub1="Non-Standard"),VLOOKUP(Investment_Strategy&amp;"_"&amp;Investment_Strategy_Sub2&amp;"_"&amp;$A332,'Investment Strategies'!$C:$P,12,FALSE),
IF(AND(Investment_Strategy="Lifecycle",Investment_Strategy_Sub1="Standard"),VLOOKUP(Investment_Strategy&amp;"_"&amp;Investment_Strategy_Sub2&amp;"_"&amp;$A332,'Investment Strategies'!$AJ:$AV,11,FALSE),
IF(AND(Investment_Strategy="Autopilot",Investment_Strategy_Sub1="Non-Standard"),VLOOKUP(Investment_Strategy&amp;"_"&amp;Investment_Strategy_Sub2&amp;"_"&amp;$A332,'Investment Strategies'!$T:$AF,11,FALSE),
IF(Investment_Strategy="DIY",DIY_GteeChrge_SP,
"Error"))))))</f>
        <v>0</v>
      </c>
      <c r="N332" s="33">
        <f>IF($AV332=0,0,
IF(Investment_Strategy="DIS",VLOOKUP(Investment_Strategy&amp;"_"&amp;Investment_Strategy_Sub1&amp;"_"&amp;$A332,'Investment Strategies'!$AZ:$BP,17,FALSE),
IF(AND(Investment_Strategy="Lifecycle",Investment_Strategy_Sub1="Non-Standard"),VLOOKUP(Investment_Strategy&amp;"_"&amp;Investment_Strategy_Sub2&amp;"_"&amp;$A332,'Investment Strategies'!$C:$P,14,FALSE),
IF(AND(Investment_Strategy="Lifecycle",Investment_Strategy_Sub1="Standard"),VLOOKUP(Investment_Strategy&amp;"_"&amp;Investment_Strategy_Sub2&amp;"_"&amp;$A332,'Investment Strategies'!$AJ:$AV,13,FALSE),
IF(AND(Investment_Strategy="Autopilot",Investment_Strategy_Sub1="Non-Standard"),VLOOKUP(Investment_Strategy&amp;"_"&amp;Investment_Strategy_Sub2&amp;"_"&amp;$A332,'Investment Strategies'!$T:$AF,13,FALSE),
IF(Investment_Strategy="DIY",DIY_ExtManChrge_SP,
"Error"))))))</f>
        <v>0</v>
      </c>
      <c r="O332" s="16">
        <f t="shared" si="187"/>
        <v>0</v>
      </c>
      <c r="Q332" s="16">
        <f t="shared" si="161"/>
        <v>0</v>
      </c>
      <c r="R332" s="16">
        <f t="shared" si="162"/>
        <v>0</v>
      </c>
      <c r="S332" s="16">
        <f>(SRP_SP+SUM(S$91:S331))*L332*IF(D332=$A$91,SRP_finalmonthfactor,1)</f>
        <v>0</v>
      </c>
      <c r="T332" s="74">
        <f>MIN(IF($AV332=0,0,
IF(Investment_Strategy="DIS",VLOOKUP(Investment_Strategy&amp;"_"&amp;Investment_Strategy_Sub1&amp;"_"&amp;$A332,'Investment Strategies'!$AZ:$BP,12,FALSE),
IF(AND(Investment_Strategy="Lifecycle",Investment_Strategy_Sub1="Non-Standard"),VLOOKUP(Investment_Strategy&amp;"_"&amp;Investment_Strategy_Sub2&amp;"_"&amp;$A332,'Investment Strategies'!$C:$P,9,FALSE),
IF(AND(Investment_Strategy="Lifecycle",Investment_Strategy_Sub1="Standard"),VLOOKUP(Investment_Strategy&amp;"_"&amp;Investment_Strategy_Sub2&amp;"_"&amp;$A332,'Investment Strategies'!$AJ:$AV,8,FALSE),
IF(AND(Investment_Strategy="Autopilot",Investment_Strategy_Sub1="Non-Standard"),VLOOKUP(Investment_Strategy&amp;"_"&amp;Investment_Strategy_Sub2&amp;"_"&amp;$A332,'Investment Strategies'!$T:$AF,8,FALSE),
IF(Investment_Strategy ="DIY",DIY_RateOfReturn_FuturePremiums,
"Error")))))),Max_InvReturn)</f>
        <v>0</v>
      </c>
      <c r="U332" s="62">
        <f>IF($AV332=0,0,
IF(Investment_Strategy="DIS",VLOOKUP(Investment_Strategy&amp;"_"&amp;Investment_Strategy_Sub1&amp;"_"&amp;$A332,'Investment Strategies'!$AZ:$BP,15,FALSE),
IF(AND(Investment_Strategy="Lifecycle",Investment_Strategy_Sub1="Non-Standard"),VLOOKUP(Investment_Strategy&amp;"_"&amp;Investment_Strategy_Sub2&amp;"_"&amp;$A332,'Investment Strategies'!$C:$P,12,FALSE),
IF(AND(Investment_Strategy="Lifecycle",Investment_Strategy_Sub1="Standard"),VLOOKUP(Investment_Strategy&amp;"_"&amp;Investment_Strategy_Sub2&amp;"_"&amp;$A332,'Investment Strategies'!$AJ:$AV,11,FALSE),
IF(AND(Investment_Strategy="Autopilot",Investment_Strategy_Sub1="Non-Standard"),VLOOKUP(Investment_Strategy&amp;"_"&amp;Investment_Strategy_Sub2&amp;"_"&amp;$A332,'Investment Strategies'!$T:$AF,11,FALSE),
IF(Investment_Strategy="DIY",DIY_GteeChrge_FuturePremiums,
"Error"))))))</f>
        <v>0</v>
      </c>
      <c r="V332" s="33">
        <f>IF(AV332=0,0,
IF(Investment_Strategy="DIS",VLOOKUP(Investment_Strategy&amp;"_"&amp;Investment_Strategy_Sub1&amp;"_"&amp;$A332,'Investment Strategies'!$AZ:$BP,17,FALSE),
IF(AND(Investment_Strategy="Lifecycle",Investment_Strategy_Sub1="Non-Standard"),VLOOKUP(Investment_Strategy&amp;"_"&amp;Investment_Strategy_Sub2&amp;"_"&amp;$A332,'Investment Strategies'!$C:$P,14,FALSE),
IF(AND(Investment_Strategy="Lifecycle",Investment_Strategy_Sub1="Standard"),VLOOKUP(Investment_Strategy&amp;"_"&amp;Investment_Strategy_Sub2&amp;"_"&amp;$A332,'Investment Strategies'!$AJ:$AV,13,FALSE),
IF(AND(Investment_Strategy="Autopilot",Investment_Strategy_Sub1="Non-Standard"),VLOOKUP(Investment_Strategy&amp;"_"&amp;Investment_Strategy_Sub2&amp;"_"&amp;$A332,'Investment Strategies'!$T:$AF,13,FALSE),
IF(Investment_Strategy="DIY",DIY_ExtManChrge_FuturePremiums,
"Error"))))))</f>
        <v>0</v>
      </c>
      <c r="W332" s="16">
        <f t="shared" si="188"/>
        <v>0</v>
      </c>
      <c r="X332" s="16">
        <f t="shared" si="163"/>
        <v>0</v>
      </c>
      <c r="Y332" s="16">
        <f t="shared" si="164"/>
        <v>0</v>
      </c>
      <c r="Z332" s="31">
        <f t="shared" si="165"/>
        <v>0.02</v>
      </c>
      <c r="AA332" s="16">
        <f t="shared" si="166"/>
        <v>0</v>
      </c>
      <c r="AB332" s="28">
        <f t="shared" si="189"/>
        <v>0</v>
      </c>
      <c r="AC332" s="28">
        <f>(SUM($AC$91:AC331)+SUM($X$91:X331)+X332)*T332*IF(D332=$A$91,SRP_finalmonthfactor,1)</f>
        <v>0</v>
      </c>
      <c r="AD332" s="16">
        <f t="shared" si="167"/>
        <v>0</v>
      </c>
      <c r="AE332" s="106"/>
      <c r="AF332" s="16">
        <f t="shared" si="176"/>
        <v>0</v>
      </c>
      <c r="AG332" s="16">
        <f t="shared" si="177"/>
        <v>0</v>
      </c>
      <c r="AH332" s="16">
        <f t="shared" si="178"/>
        <v>0</v>
      </c>
      <c r="AJ332" s="13">
        <f t="shared" si="202"/>
        <v>0</v>
      </c>
      <c r="AK332" s="13">
        <f t="shared" si="202"/>
        <v>0</v>
      </c>
      <c r="AL332" s="13">
        <f t="shared" si="202"/>
        <v>0</v>
      </c>
      <c r="AM332" s="13">
        <f t="shared" si="202"/>
        <v>0</v>
      </c>
      <c r="AN332" s="13">
        <f t="shared" si="202"/>
        <v>0</v>
      </c>
      <c r="AO332" s="13">
        <f t="shared" si="202"/>
        <v>1</v>
      </c>
      <c r="AP332" s="13">
        <f t="shared" si="202"/>
        <v>1</v>
      </c>
      <c r="AQ332" s="13">
        <f t="shared" si="202"/>
        <v>1</v>
      </c>
      <c r="AR332" s="13">
        <f t="shared" si="202"/>
        <v>1</v>
      </c>
      <c r="AS332" s="13">
        <f t="shared" si="202"/>
        <v>1</v>
      </c>
      <c r="AT332" s="13">
        <f t="shared" si="202"/>
        <v>1</v>
      </c>
      <c r="AU332" s="13">
        <f t="shared" si="202"/>
        <v>1</v>
      </c>
      <c r="AV332" s="13">
        <f t="shared" si="168"/>
        <v>0</v>
      </c>
      <c r="AW332" s="13">
        <f t="shared" si="169"/>
        <v>1</v>
      </c>
      <c r="AY332" s="17">
        <f t="shared" si="170"/>
        <v>242</v>
      </c>
      <c r="AZ332" s="28">
        <f t="shared" si="179"/>
        <v>0</v>
      </c>
      <c r="BA332" s="13">
        <f t="shared" si="171"/>
        <v>0</v>
      </c>
      <c r="BB332" s="13">
        <f t="shared" si="172"/>
        <v>0</v>
      </c>
      <c r="BC332" s="28">
        <f t="shared" si="180"/>
        <v>0</v>
      </c>
      <c r="BD332" s="28">
        <f t="shared" si="181"/>
        <v>0</v>
      </c>
      <c r="BF332" s="248">
        <f t="shared" si="182"/>
        <v>993869.29442638322</v>
      </c>
      <c r="BP332" s="246">
        <f>(BP331/BF331)*(1/20)</f>
        <v>4.0980156268283642E-2</v>
      </c>
    </row>
    <row r="333" spans="1:68">
      <c r="A333" s="32">
        <f t="shared" si="184"/>
        <v>-158</v>
      </c>
      <c r="B333" s="32">
        <f t="shared" si="174"/>
        <v>73</v>
      </c>
      <c r="C333" s="32">
        <f t="shared" si="185"/>
        <v>21</v>
      </c>
      <c r="D333" s="32">
        <f t="shared" si="186"/>
        <v>243</v>
      </c>
      <c r="E333" s="74">
        <f>MIN(IF(AV333=0,0,
IF(Investment_Strategy="DIS",VLOOKUP(Investment_Strategy&amp;"_"&amp;Investment_Strategy_Sub1&amp;"_"&amp;$A333,'Investment Strategies'!$AZ:$BP,12,FALSE),
IF(AND(Investment_Strategy="Lifecycle",Investment_Strategy_Sub1="Non-Standard"),VLOOKUP(Investment_Strategy&amp;"_"&amp;Investment_Strategy_Sub2&amp;"_"&amp;$A333,'Investment Strategies'!$C:$P,9,FALSE),
IF(AND(Investment_Strategy="Lifecycle",Investment_Strategy_Sub1="Standard"),VLOOKUP(Investment_Strategy&amp;"_"&amp;Investment_Strategy_Sub2&amp;"_"&amp;$A333,'Investment Strategies'!$AJ:$AV,8,FALSE),
IF(AND(Investment_Strategy="Autopilot",Investment_Strategy_Sub1="Non-Standard"),VLOOKUP(Investment_Strategy&amp;"_"&amp;Investment_Strategy_Sub2&amp;"_"&amp;$A333,'Investment Strategies'!$T:$AF,8,FALSE),
IF(Investment_Strategy ="DIY",DIY_RateOfReturn_CurrentFunds,
"Error")))))),Max_InvReturn)</f>
        <v>0</v>
      </c>
      <c r="F333" s="62">
        <f>IF(AV333=0,0,
IF(Investment_Strategy="DIS",VLOOKUP(Investment_Strategy&amp;"_"&amp;Investment_Strategy_Sub1&amp;"_"&amp;$A333,'Investment Strategies'!$AZ:$BP,15,FALSE),
IF(AND(Investment_Strategy="Lifecycle",Investment_Strategy_Sub1="Non-Standard"),VLOOKUP(Investment_Strategy&amp;"_"&amp;Investment_Strategy_Sub2&amp;"_"&amp;$A333,'Investment Strategies'!$C:$P,12,FALSE),
IF(AND(Investment_Strategy="Lifecycle",Investment_Strategy_Sub1="Standard"),VLOOKUP(Investment_Strategy&amp;"_"&amp;Investment_Strategy_Sub2&amp;"_"&amp;$A333,'Investment Strategies'!$AJ:$AV,11,FALSE),
IF(AND(Investment_Strategy="Autopilot",Investment_Strategy_Sub1="Non-Standard"),VLOOKUP(Investment_Strategy&amp;"_"&amp;Investment_Strategy_Sub2&amp;"_"&amp;$A333,'Investment Strategies'!$T:$AF,11,FALSE),
IF(Investment_Strategy="DIY",DIY_GteeChrge_CurrentFunds,
"Error"))))))</f>
        <v>0</v>
      </c>
      <c r="G333" s="33">
        <f>IF(AV333=0,0,
IF(Investment_Strategy="DIS",VLOOKUP(Investment_Strategy&amp;"_"&amp;Investment_Strategy_Sub1&amp;"_"&amp;$A333,'Investment Strategies'!$AZ:$BP,17,FALSE),
IF(AND(Investment_Strategy="Lifecycle",Investment_Strategy_Sub1="Non-Standard"),VLOOKUP(Investment_Strategy&amp;"_"&amp;Investment_Strategy_Sub2&amp;"_"&amp;$A333,'Investment Strategies'!$C:$P,14,FALSE),
IF(AND(Investment_Strategy="Lifecycle",Investment_Strategy_Sub1="Standard"),VLOOKUP(Investment_Strategy&amp;"_"&amp;Investment_Strategy_Sub2&amp;"_"&amp;$A333,'Investment Strategies'!$AJ:$AV,13,FALSE),
IF(AND(Investment_Strategy="Autopilot",Investment_Strategy_Sub1="Non-Standard"),VLOOKUP(Investment_Strategy&amp;"_"&amp;Investment_Strategy_Sub2&amp;"_"&amp;$A333,'Investment Strategies'!$T:$AF,13,FALSE),
IF(Investment_Strategy="DIY",DIY_ExtManChrge_CurrentFunds,
"Error"))))))</f>
        <v>0</v>
      </c>
      <c r="H333" s="16">
        <f t="shared" si="175"/>
        <v>0</v>
      </c>
      <c r="I333" s="16">
        <f t="shared" si="159"/>
        <v>0</v>
      </c>
      <c r="J333" s="16">
        <f t="shared" si="160"/>
        <v>0</v>
      </c>
      <c r="K333" s="16">
        <f>(Opening_Fund_Value+SUM(K$91:K332))*E333*IF(D333=$A$91,SRP_finalmonthfactor,1)</f>
        <v>0</v>
      </c>
      <c r="L333" s="74">
        <f>MIN(IF($AV333=0,0,
IF(Investment_Strategy="DIS",VLOOKUP(Investment_Strategy&amp;"_"&amp;Investment_Strategy_Sub1&amp;"_"&amp;$A333,'Investment Strategies'!$AZ:$BP,12,FALSE),
IF(AND(Investment_Strategy="Lifecycle",Investment_Strategy_Sub1="Non-Standard"),VLOOKUP(Investment_Strategy&amp;"_"&amp;Investment_Strategy_Sub2&amp;"_"&amp;$A333,'Investment Strategies'!$C:$P,9,FALSE),
IF(AND(Investment_Strategy="Lifecycle",Investment_Strategy_Sub1="Standard"),VLOOKUP(Investment_Strategy&amp;"_"&amp;Investment_Strategy_Sub2&amp;"_"&amp;$A333,'Investment Strategies'!$AJ:$AV,8,FALSE),
IF(AND(Investment_Strategy="Autopilot",Investment_Strategy_Sub1="Non-Standard"),VLOOKUP(Investment_Strategy&amp;"_"&amp;Investment_Strategy_Sub2&amp;"_"&amp;$A333,'Investment Strategies'!$T:$AF,8,FALSE),
IF(Investment_Strategy ="DIY",DIY_RateofReturn_SP,
"Error")))))),Max_InvReturn)</f>
        <v>0</v>
      </c>
      <c r="M333" s="62">
        <f>IF($AV333=0,0,
IF(Investment_Strategy="DIS",VLOOKUP(Investment_Strategy&amp;"_"&amp;Investment_Strategy_Sub1&amp;"_"&amp;$A333,'Investment Strategies'!$AZ:$BP,15,FALSE),
IF(AND(Investment_Strategy="Lifecycle",Investment_Strategy_Sub1="Non-Standard"),VLOOKUP(Investment_Strategy&amp;"_"&amp;Investment_Strategy_Sub2&amp;"_"&amp;$A333,'Investment Strategies'!$C:$P,12,FALSE),
IF(AND(Investment_Strategy="Lifecycle",Investment_Strategy_Sub1="Standard"),VLOOKUP(Investment_Strategy&amp;"_"&amp;Investment_Strategy_Sub2&amp;"_"&amp;$A333,'Investment Strategies'!$AJ:$AV,11,FALSE),
IF(AND(Investment_Strategy="Autopilot",Investment_Strategy_Sub1="Non-Standard"),VLOOKUP(Investment_Strategy&amp;"_"&amp;Investment_Strategy_Sub2&amp;"_"&amp;$A333,'Investment Strategies'!$T:$AF,11,FALSE),
IF(Investment_Strategy="DIY",DIY_GteeChrge_SP,
"Error"))))))</f>
        <v>0</v>
      </c>
      <c r="N333" s="33">
        <f>IF($AV333=0,0,
IF(Investment_Strategy="DIS",VLOOKUP(Investment_Strategy&amp;"_"&amp;Investment_Strategy_Sub1&amp;"_"&amp;$A333,'Investment Strategies'!$AZ:$BP,17,FALSE),
IF(AND(Investment_Strategy="Lifecycle",Investment_Strategy_Sub1="Non-Standard"),VLOOKUP(Investment_Strategy&amp;"_"&amp;Investment_Strategy_Sub2&amp;"_"&amp;$A333,'Investment Strategies'!$C:$P,14,FALSE),
IF(AND(Investment_Strategy="Lifecycle",Investment_Strategy_Sub1="Standard"),VLOOKUP(Investment_Strategy&amp;"_"&amp;Investment_Strategy_Sub2&amp;"_"&amp;$A333,'Investment Strategies'!$AJ:$AV,13,FALSE),
IF(AND(Investment_Strategy="Autopilot",Investment_Strategy_Sub1="Non-Standard"),VLOOKUP(Investment_Strategy&amp;"_"&amp;Investment_Strategy_Sub2&amp;"_"&amp;$A333,'Investment Strategies'!$T:$AF,13,FALSE),
IF(Investment_Strategy="DIY",DIY_ExtManChrge_SP,
"Error"))))))</f>
        <v>0</v>
      </c>
      <c r="O333" s="16">
        <f t="shared" si="187"/>
        <v>0</v>
      </c>
      <c r="Q333" s="16">
        <f t="shared" si="161"/>
        <v>0</v>
      </c>
      <c r="R333" s="16">
        <f t="shared" si="162"/>
        <v>0</v>
      </c>
      <c r="S333" s="16">
        <f>(SRP_SP+SUM(S$91:S332))*L333*IF(D333=$A$91,SRP_finalmonthfactor,1)</f>
        <v>0</v>
      </c>
      <c r="T333" s="74">
        <f>MIN(IF($AV333=0,0,
IF(Investment_Strategy="DIS",VLOOKUP(Investment_Strategy&amp;"_"&amp;Investment_Strategy_Sub1&amp;"_"&amp;$A333,'Investment Strategies'!$AZ:$BP,12,FALSE),
IF(AND(Investment_Strategy="Lifecycle",Investment_Strategy_Sub1="Non-Standard"),VLOOKUP(Investment_Strategy&amp;"_"&amp;Investment_Strategy_Sub2&amp;"_"&amp;$A333,'Investment Strategies'!$C:$P,9,FALSE),
IF(AND(Investment_Strategy="Lifecycle",Investment_Strategy_Sub1="Standard"),VLOOKUP(Investment_Strategy&amp;"_"&amp;Investment_Strategy_Sub2&amp;"_"&amp;$A333,'Investment Strategies'!$AJ:$AV,8,FALSE),
IF(AND(Investment_Strategy="Autopilot",Investment_Strategy_Sub1="Non-Standard"),VLOOKUP(Investment_Strategy&amp;"_"&amp;Investment_Strategy_Sub2&amp;"_"&amp;$A333,'Investment Strategies'!$T:$AF,8,FALSE),
IF(Investment_Strategy ="DIY",DIY_RateOfReturn_FuturePremiums,
"Error")))))),Max_InvReturn)</f>
        <v>0</v>
      </c>
      <c r="U333" s="62">
        <f>IF($AV333=0,0,
IF(Investment_Strategy="DIS",VLOOKUP(Investment_Strategy&amp;"_"&amp;Investment_Strategy_Sub1&amp;"_"&amp;$A333,'Investment Strategies'!$AZ:$BP,15,FALSE),
IF(AND(Investment_Strategy="Lifecycle",Investment_Strategy_Sub1="Non-Standard"),VLOOKUP(Investment_Strategy&amp;"_"&amp;Investment_Strategy_Sub2&amp;"_"&amp;$A333,'Investment Strategies'!$C:$P,12,FALSE),
IF(AND(Investment_Strategy="Lifecycle",Investment_Strategy_Sub1="Standard"),VLOOKUP(Investment_Strategy&amp;"_"&amp;Investment_Strategy_Sub2&amp;"_"&amp;$A333,'Investment Strategies'!$AJ:$AV,11,FALSE),
IF(AND(Investment_Strategy="Autopilot",Investment_Strategy_Sub1="Non-Standard"),VLOOKUP(Investment_Strategy&amp;"_"&amp;Investment_Strategy_Sub2&amp;"_"&amp;$A333,'Investment Strategies'!$T:$AF,11,FALSE),
IF(Investment_Strategy="DIY",DIY_GteeChrge_FuturePremiums,
"Error"))))))</f>
        <v>0</v>
      </c>
      <c r="V333" s="33">
        <f>IF(AV333=0,0,
IF(Investment_Strategy="DIS",VLOOKUP(Investment_Strategy&amp;"_"&amp;Investment_Strategy_Sub1&amp;"_"&amp;$A333,'Investment Strategies'!$AZ:$BP,17,FALSE),
IF(AND(Investment_Strategy="Lifecycle",Investment_Strategy_Sub1="Non-Standard"),VLOOKUP(Investment_Strategy&amp;"_"&amp;Investment_Strategy_Sub2&amp;"_"&amp;$A333,'Investment Strategies'!$C:$P,14,FALSE),
IF(AND(Investment_Strategy="Lifecycle",Investment_Strategy_Sub1="Standard"),VLOOKUP(Investment_Strategy&amp;"_"&amp;Investment_Strategy_Sub2&amp;"_"&amp;$A333,'Investment Strategies'!$AJ:$AV,13,FALSE),
IF(AND(Investment_Strategy="Autopilot",Investment_Strategy_Sub1="Non-Standard"),VLOOKUP(Investment_Strategy&amp;"_"&amp;Investment_Strategy_Sub2&amp;"_"&amp;$A333,'Investment Strategies'!$T:$AF,13,FALSE),
IF(Investment_Strategy="DIY",DIY_ExtManChrge_FuturePremiums,
"Error"))))))</f>
        <v>0</v>
      </c>
      <c r="W333" s="16">
        <f t="shared" si="188"/>
        <v>0</v>
      </c>
      <c r="X333" s="16">
        <f t="shared" si="163"/>
        <v>0</v>
      </c>
      <c r="Y333" s="16">
        <f t="shared" si="164"/>
        <v>0</v>
      </c>
      <c r="Z333" s="31">
        <f t="shared" si="165"/>
        <v>0.02</v>
      </c>
      <c r="AA333" s="16">
        <f t="shared" si="166"/>
        <v>0</v>
      </c>
      <c r="AB333" s="28">
        <f t="shared" si="189"/>
        <v>0</v>
      </c>
      <c r="AC333" s="28">
        <f>(SUM($AC$91:AC332)+SUM($X$91:X332)+X333)*T333*IF(D333=$A$91,SRP_finalmonthfactor,1)</f>
        <v>0</v>
      </c>
      <c r="AD333" s="16">
        <f t="shared" si="167"/>
        <v>0</v>
      </c>
      <c r="AE333" s="106"/>
      <c r="AF333" s="16">
        <f t="shared" si="176"/>
        <v>0</v>
      </c>
      <c r="AG333" s="16">
        <f t="shared" si="177"/>
        <v>0</v>
      </c>
      <c r="AH333" s="16">
        <f t="shared" si="178"/>
        <v>0</v>
      </c>
      <c r="AJ333" s="13">
        <f t="shared" si="202"/>
        <v>0</v>
      </c>
      <c r="AK333" s="13">
        <f t="shared" si="202"/>
        <v>0</v>
      </c>
      <c r="AL333" s="13">
        <f t="shared" si="202"/>
        <v>0</v>
      </c>
      <c r="AM333" s="13">
        <f t="shared" si="202"/>
        <v>0</v>
      </c>
      <c r="AN333" s="13">
        <f t="shared" si="202"/>
        <v>0</v>
      </c>
      <c r="AO333" s="13">
        <f t="shared" si="202"/>
        <v>1</v>
      </c>
      <c r="AP333" s="13">
        <f t="shared" si="202"/>
        <v>1</v>
      </c>
      <c r="AQ333" s="13">
        <f t="shared" si="202"/>
        <v>1</v>
      </c>
      <c r="AR333" s="13">
        <f t="shared" si="202"/>
        <v>1</v>
      </c>
      <c r="AS333" s="13">
        <f t="shared" si="202"/>
        <v>1</v>
      </c>
      <c r="AT333" s="13">
        <f t="shared" si="202"/>
        <v>1</v>
      </c>
      <c r="AU333" s="13">
        <f t="shared" si="202"/>
        <v>1</v>
      </c>
      <c r="AV333" s="13">
        <f t="shared" si="168"/>
        <v>0</v>
      </c>
      <c r="AW333" s="13">
        <f t="shared" si="169"/>
        <v>1</v>
      </c>
      <c r="AY333" s="17">
        <f t="shared" si="170"/>
        <v>243</v>
      </c>
      <c r="AZ333" s="28">
        <f t="shared" si="179"/>
        <v>0</v>
      </c>
      <c r="BA333" s="13">
        <f t="shared" si="171"/>
        <v>0</v>
      </c>
      <c r="BB333" s="13">
        <f t="shared" si="172"/>
        <v>0</v>
      </c>
      <c r="BC333" s="28">
        <f t="shared" si="180"/>
        <v>0</v>
      </c>
      <c r="BD333" s="28">
        <f t="shared" si="181"/>
        <v>0</v>
      </c>
      <c r="BF333" s="248">
        <f t="shared" si="182"/>
        <v>993869.29442638322</v>
      </c>
    </row>
    <row r="334" spans="1:68">
      <c r="A334" s="32">
        <f t="shared" si="184"/>
        <v>-159</v>
      </c>
      <c r="B334" s="32">
        <f t="shared" si="174"/>
        <v>73</v>
      </c>
      <c r="C334" s="32">
        <f t="shared" si="185"/>
        <v>21</v>
      </c>
      <c r="D334" s="32">
        <f t="shared" si="186"/>
        <v>244</v>
      </c>
      <c r="E334" s="74">
        <f>MIN(IF(AV334=0,0,
IF(Investment_Strategy="DIS",VLOOKUP(Investment_Strategy&amp;"_"&amp;Investment_Strategy_Sub1&amp;"_"&amp;$A334,'Investment Strategies'!$AZ:$BP,12,FALSE),
IF(AND(Investment_Strategy="Lifecycle",Investment_Strategy_Sub1="Non-Standard"),VLOOKUP(Investment_Strategy&amp;"_"&amp;Investment_Strategy_Sub2&amp;"_"&amp;$A334,'Investment Strategies'!$C:$P,9,FALSE),
IF(AND(Investment_Strategy="Lifecycle",Investment_Strategy_Sub1="Standard"),VLOOKUP(Investment_Strategy&amp;"_"&amp;Investment_Strategy_Sub2&amp;"_"&amp;$A334,'Investment Strategies'!$AJ:$AV,8,FALSE),
IF(AND(Investment_Strategy="Autopilot",Investment_Strategy_Sub1="Non-Standard"),VLOOKUP(Investment_Strategy&amp;"_"&amp;Investment_Strategy_Sub2&amp;"_"&amp;$A334,'Investment Strategies'!$T:$AF,8,FALSE),
IF(Investment_Strategy ="DIY",DIY_RateOfReturn_CurrentFunds,
"Error")))))),Max_InvReturn)</f>
        <v>0</v>
      </c>
      <c r="F334" s="62">
        <f>IF(AV334=0,0,
IF(Investment_Strategy="DIS",VLOOKUP(Investment_Strategy&amp;"_"&amp;Investment_Strategy_Sub1&amp;"_"&amp;$A334,'Investment Strategies'!$AZ:$BP,15,FALSE),
IF(AND(Investment_Strategy="Lifecycle",Investment_Strategy_Sub1="Non-Standard"),VLOOKUP(Investment_Strategy&amp;"_"&amp;Investment_Strategy_Sub2&amp;"_"&amp;$A334,'Investment Strategies'!$C:$P,12,FALSE),
IF(AND(Investment_Strategy="Lifecycle",Investment_Strategy_Sub1="Standard"),VLOOKUP(Investment_Strategy&amp;"_"&amp;Investment_Strategy_Sub2&amp;"_"&amp;$A334,'Investment Strategies'!$AJ:$AV,11,FALSE),
IF(AND(Investment_Strategy="Autopilot",Investment_Strategy_Sub1="Non-Standard"),VLOOKUP(Investment_Strategy&amp;"_"&amp;Investment_Strategy_Sub2&amp;"_"&amp;$A334,'Investment Strategies'!$T:$AF,11,FALSE),
IF(Investment_Strategy="DIY",DIY_GteeChrge_CurrentFunds,
"Error"))))))</f>
        <v>0</v>
      </c>
      <c r="G334" s="33">
        <f>IF(AV334=0,0,
IF(Investment_Strategy="DIS",VLOOKUP(Investment_Strategy&amp;"_"&amp;Investment_Strategy_Sub1&amp;"_"&amp;$A334,'Investment Strategies'!$AZ:$BP,17,FALSE),
IF(AND(Investment_Strategy="Lifecycle",Investment_Strategy_Sub1="Non-Standard"),VLOOKUP(Investment_Strategy&amp;"_"&amp;Investment_Strategy_Sub2&amp;"_"&amp;$A334,'Investment Strategies'!$C:$P,14,FALSE),
IF(AND(Investment_Strategy="Lifecycle",Investment_Strategy_Sub1="Standard"),VLOOKUP(Investment_Strategy&amp;"_"&amp;Investment_Strategy_Sub2&amp;"_"&amp;$A334,'Investment Strategies'!$AJ:$AV,13,FALSE),
IF(AND(Investment_Strategy="Autopilot",Investment_Strategy_Sub1="Non-Standard"),VLOOKUP(Investment_Strategy&amp;"_"&amp;Investment_Strategy_Sub2&amp;"_"&amp;$A334,'Investment Strategies'!$T:$AF,13,FALSE),
IF(Investment_Strategy="DIY",DIY_ExtManChrge_CurrentFunds,
"Error"))))))</f>
        <v>0</v>
      </c>
      <c r="H334" s="16">
        <f t="shared" si="175"/>
        <v>0</v>
      </c>
      <c r="I334" s="16">
        <f t="shared" si="159"/>
        <v>0</v>
      </c>
      <c r="J334" s="16">
        <f t="shared" si="160"/>
        <v>0</v>
      </c>
      <c r="K334" s="16">
        <f>(Opening_Fund_Value+SUM(K$91:K333))*E334*IF(D334=$A$91,SRP_finalmonthfactor,1)</f>
        <v>0</v>
      </c>
      <c r="L334" s="74">
        <f>MIN(IF($AV334=0,0,
IF(Investment_Strategy="DIS",VLOOKUP(Investment_Strategy&amp;"_"&amp;Investment_Strategy_Sub1&amp;"_"&amp;$A334,'Investment Strategies'!$AZ:$BP,12,FALSE),
IF(AND(Investment_Strategy="Lifecycle",Investment_Strategy_Sub1="Non-Standard"),VLOOKUP(Investment_Strategy&amp;"_"&amp;Investment_Strategy_Sub2&amp;"_"&amp;$A334,'Investment Strategies'!$C:$P,9,FALSE),
IF(AND(Investment_Strategy="Lifecycle",Investment_Strategy_Sub1="Standard"),VLOOKUP(Investment_Strategy&amp;"_"&amp;Investment_Strategy_Sub2&amp;"_"&amp;$A334,'Investment Strategies'!$AJ:$AV,8,FALSE),
IF(AND(Investment_Strategy="Autopilot",Investment_Strategy_Sub1="Non-Standard"),VLOOKUP(Investment_Strategy&amp;"_"&amp;Investment_Strategy_Sub2&amp;"_"&amp;$A334,'Investment Strategies'!$T:$AF,8,FALSE),
IF(Investment_Strategy ="DIY",DIY_RateofReturn_SP,
"Error")))))),Max_InvReturn)</f>
        <v>0</v>
      </c>
      <c r="M334" s="62">
        <f>IF($AV334=0,0,
IF(Investment_Strategy="DIS",VLOOKUP(Investment_Strategy&amp;"_"&amp;Investment_Strategy_Sub1&amp;"_"&amp;$A334,'Investment Strategies'!$AZ:$BP,15,FALSE),
IF(AND(Investment_Strategy="Lifecycle",Investment_Strategy_Sub1="Non-Standard"),VLOOKUP(Investment_Strategy&amp;"_"&amp;Investment_Strategy_Sub2&amp;"_"&amp;$A334,'Investment Strategies'!$C:$P,12,FALSE),
IF(AND(Investment_Strategy="Lifecycle",Investment_Strategy_Sub1="Standard"),VLOOKUP(Investment_Strategy&amp;"_"&amp;Investment_Strategy_Sub2&amp;"_"&amp;$A334,'Investment Strategies'!$AJ:$AV,11,FALSE),
IF(AND(Investment_Strategy="Autopilot",Investment_Strategy_Sub1="Non-Standard"),VLOOKUP(Investment_Strategy&amp;"_"&amp;Investment_Strategy_Sub2&amp;"_"&amp;$A334,'Investment Strategies'!$T:$AF,11,FALSE),
IF(Investment_Strategy="DIY",DIY_GteeChrge_SP,
"Error"))))))</f>
        <v>0</v>
      </c>
      <c r="N334" s="33">
        <f>IF($AV334=0,0,
IF(Investment_Strategy="DIS",VLOOKUP(Investment_Strategy&amp;"_"&amp;Investment_Strategy_Sub1&amp;"_"&amp;$A334,'Investment Strategies'!$AZ:$BP,17,FALSE),
IF(AND(Investment_Strategy="Lifecycle",Investment_Strategy_Sub1="Non-Standard"),VLOOKUP(Investment_Strategy&amp;"_"&amp;Investment_Strategy_Sub2&amp;"_"&amp;$A334,'Investment Strategies'!$C:$P,14,FALSE),
IF(AND(Investment_Strategy="Lifecycle",Investment_Strategy_Sub1="Standard"),VLOOKUP(Investment_Strategy&amp;"_"&amp;Investment_Strategy_Sub2&amp;"_"&amp;$A334,'Investment Strategies'!$AJ:$AV,13,FALSE),
IF(AND(Investment_Strategy="Autopilot",Investment_Strategy_Sub1="Non-Standard"),VLOOKUP(Investment_Strategy&amp;"_"&amp;Investment_Strategy_Sub2&amp;"_"&amp;$A334,'Investment Strategies'!$T:$AF,13,FALSE),
IF(Investment_Strategy="DIY",DIY_ExtManChrge_SP,
"Error"))))))</f>
        <v>0</v>
      </c>
      <c r="O334" s="16">
        <f t="shared" si="187"/>
        <v>0</v>
      </c>
      <c r="Q334" s="16">
        <f t="shared" si="161"/>
        <v>0</v>
      </c>
      <c r="R334" s="16">
        <f t="shared" si="162"/>
        <v>0</v>
      </c>
      <c r="S334" s="16">
        <f>(SRP_SP+SUM(S$91:S333))*L334*IF(D334=$A$91,SRP_finalmonthfactor,1)</f>
        <v>0</v>
      </c>
      <c r="T334" s="74">
        <f>MIN(IF($AV334=0,0,
IF(Investment_Strategy="DIS",VLOOKUP(Investment_Strategy&amp;"_"&amp;Investment_Strategy_Sub1&amp;"_"&amp;$A334,'Investment Strategies'!$AZ:$BP,12,FALSE),
IF(AND(Investment_Strategy="Lifecycle",Investment_Strategy_Sub1="Non-Standard"),VLOOKUP(Investment_Strategy&amp;"_"&amp;Investment_Strategy_Sub2&amp;"_"&amp;$A334,'Investment Strategies'!$C:$P,9,FALSE),
IF(AND(Investment_Strategy="Lifecycle",Investment_Strategy_Sub1="Standard"),VLOOKUP(Investment_Strategy&amp;"_"&amp;Investment_Strategy_Sub2&amp;"_"&amp;$A334,'Investment Strategies'!$AJ:$AV,8,FALSE),
IF(AND(Investment_Strategy="Autopilot",Investment_Strategy_Sub1="Non-Standard"),VLOOKUP(Investment_Strategy&amp;"_"&amp;Investment_Strategy_Sub2&amp;"_"&amp;$A334,'Investment Strategies'!$T:$AF,8,FALSE),
IF(Investment_Strategy ="DIY",DIY_RateOfReturn_FuturePremiums,
"Error")))))),Max_InvReturn)</f>
        <v>0</v>
      </c>
      <c r="U334" s="62">
        <f>IF($AV334=0,0,
IF(Investment_Strategy="DIS",VLOOKUP(Investment_Strategy&amp;"_"&amp;Investment_Strategy_Sub1&amp;"_"&amp;$A334,'Investment Strategies'!$AZ:$BP,15,FALSE),
IF(AND(Investment_Strategy="Lifecycle",Investment_Strategy_Sub1="Non-Standard"),VLOOKUP(Investment_Strategy&amp;"_"&amp;Investment_Strategy_Sub2&amp;"_"&amp;$A334,'Investment Strategies'!$C:$P,12,FALSE),
IF(AND(Investment_Strategy="Lifecycle",Investment_Strategy_Sub1="Standard"),VLOOKUP(Investment_Strategy&amp;"_"&amp;Investment_Strategy_Sub2&amp;"_"&amp;$A334,'Investment Strategies'!$AJ:$AV,11,FALSE),
IF(AND(Investment_Strategy="Autopilot",Investment_Strategy_Sub1="Non-Standard"),VLOOKUP(Investment_Strategy&amp;"_"&amp;Investment_Strategy_Sub2&amp;"_"&amp;$A334,'Investment Strategies'!$T:$AF,11,FALSE),
IF(Investment_Strategy="DIY",DIY_GteeChrge_FuturePremiums,
"Error"))))))</f>
        <v>0</v>
      </c>
      <c r="V334" s="33">
        <f>IF(AV334=0,0,
IF(Investment_Strategy="DIS",VLOOKUP(Investment_Strategy&amp;"_"&amp;Investment_Strategy_Sub1&amp;"_"&amp;$A334,'Investment Strategies'!$AZ:$BP,17,FALSE),
IF(AND(Investment_Strategy="Lifecycle",Investment_Strategy_Sub1="Non-Standard"),VLOOKUP(Investment_Strategy&amp;"_"&amp;Investment_Strategy_Sub2&amp;"_"&amp;$A334,'Investment Strategies'!$C:$P,14,FALSE),
IF(AND(Investment_Strategy="Lifecycle",Investment_Strategy_Sub1="Standard"),VLOOKUP(Investment_Strategy&amp;"_"&amp;Investment_Strategy_Sub2&amp;"_"&amp;$A334,'Investment Strategies'!$AJ:$AV,13,FALSE),
IF(AND(Investment_Strategy="Autopilot",Investment_Strategy_Sub1="Non-Standard"),VLOOKUP(Investment_Strategy&amp;"_"&amp;Investment_Strategy_Sub2&amp;"_"&amp;$A334,'Investment Strategies'!$T:$AF,13,FALSE),
IF(Investment_Strategy="DIY",DIY_ExtManChrge_FuturePremiums,
"Error"))))))</f>
        <v>0</v>
      </c>
      <c r="W334" s="16">
        <f t="shared" si="188"/>
        <v>0</v>
      </c>
      <c r="X334" s="16">
        <f t="shared" si="163"/>
        <v>0</v>
      </c>
      <c r="Y334" s="16">
        <f t="shared" si="164"/>
        <v>0</v>
      </c>
      <c r="Z334" s="31">
        <f t="shared" si="165"/>
        <v>0.02</v>
      </c>
      <c r="AA334" s="16">
        <f t="shared" si="166"/>
        <v>0</v>
      </c>
      <c r="AB334" s="28">
        <f t="shared" si="189"/>
        <v>0</v>
      </c>
      <c r="AC334" s="28">
        <f>(SUM($AC$91:AC333)+SUM($X$91:X333)+X334)*T334*IF(D334=$A$91,SRP_finalmonthfactor,1)</f>
        <v>0</v>
      </c>
      <c r="AD334" s="16">
        <f t="shared" si="167"/>
        <v>0</v>
      </c>
      <c r="AE334" s="106"/>
      <c r="AF334" s="16">
        <f t="shared" si="176"/>
        <v>0</v>
      </c>
      <c r="AG334" s="16">
        <f t="shared" si="177"/>
        <v>0</v>
      </c>
      <c r="AH334" s="16">
        <f t="shared" si="178"/>
        <v>0</v>
      </c>
      <c r="AJ334" s="13">
        <f t="shared" si="202"/>
        <v>0</v>
      </c>
      <c r="AK334" s="13">
        <f t="shared" si="202"/>
        <v>0</v>
      </c>
      <c r="AL334" s="13">
        <f t="shared" si="202"/>
        <v>0</v>
      </c>
      <c r="AM334" s="13">
        <f t="shared" si="202"/>
        <v>0</v>
      </c>
      <c r="AN334" s="13">
        <f t="shared" si="202"/>
        <v>0</v>
      </c>
      <c r="AO334" s="13">
        <f t="shared" si="202"/>
        <v>1</v>
      </c>
      <c r="AP334" s="13">
        <f t="shared" si="202"/>
        <v>1</v>
      </c>
      <c r="AQ334" s="13">
        <f t="shared" si="202"/>
        <v>1</v>
      </c>
      <c r="AR334" s="13">
        <f t="shared" si="202"/>
        <v>1</v>
      </c>
      <c r="AS334" s="13">
        <f t="shared" si="202"/>
        <v>1</v>
      </c>
      <c r="AT334" s="13">
        <f t="shared" si="202"/>
        <v>1</v>
      </c>
      <c r="AU334" s="13">
        <f t="shared" si="202"/>
        <v>1</v>
      </c>
      <c r="AV334" s="13">
        <f t="shared" si="168"/>
        <v>0</v>
      </c>
      <c r="AW334" s="13">
        <f t="shared" si="169"/>
        <v>1</v>
      </c>
      <c r="AY334" s="17">
        <f t="shared" si="170"/>
        <v>244</v>
      </c>
      <c r="AZ334" s="28">
        <f t="shared" si="179"/>
        <v>0</v>
      </c>
      <c r="BA334" s="13">
        <f t="shared" si="171"/>
        <v>0</v>
      </c>
      <c r="BB334" s="13">
        <f t="shared" si="172"/>
        <v>0</v>
      </c>
      <c r="BC334" s="28">
        <f t="shared" si="180"/>
        <v>0</v>
      </c>
      <c r="BD334" s="28">
        <f t="shared" si="181"/>
        <v>0</v>
      </c>
      <c r="BF334" s="248">
        <f t="shared" si="182"/>
        <v>993869.29442638322</v>
      </c>
      <c r="BP334" s="246" t="e">
        <f>(BD331/BC331)*(1/20)</f>
        <v>#DIV/0!</v>
      </c>
    </row>
    <row r="335" spans="1:68">
      <c r="A335" s="32">
        <f t="shared" si="184"/>
        <v>-160</v>
      </c>
      <c r="B335" s="32">
        <f t="shared" si="174"/>
        <v>73</v>
      </c>
      <c r="C335" s="32">
        <f t="shared" si="185"/>
        <v>21</v>
      </c>
      <c r="D335" s="32">
        <f t="shared" si="186"/>
        <v>245</v>
      </c>
      <c r="E335" s="74">
        <f>MIN(IF(AV335=0,0,
IF(Investment_Strategy="DIS",VLOOKUP(Investment_Strategy&amp;"_"&amp;Investment_Strategy_Sub1&amp;"_"&amp;$A335,'Investment Strategies'!$AZ:$BP,12,FALSE),
IF(AND(Investment_Strategy="Lifecycle",Investment_Strategy_Sub1="Non-Standard"),VLOOKUP(Investment_Strategy&amp;"_"&amp;Investment_Strategy_Sub2&amp;"_"&amp;$A335,'Investment Strategies'!$C:$P,9,FALSE),
IF(AND(Investment_Strategy="Lifecycle",Investment_Strategy_Sub1="Standard"),VLOOKUP(Investment_Strategy&amp;"_"&amp;Investment_Strategy_Sub2&amp;"_"&amp;$A335,'Investment Strategies'!$AJ:$AV,8,FALSE),
IF(AND(Investment_Strategy="Autopilot",Investment_Strategy_Sub1="Non-Standard"),VLOOKUP(Investment_Strategy&amp;"_"&amp;Investment_Strategy_Sub2&amp;"_"&amp;$A335,'Investment Strategies'!$T:$AF,8,FALSE),
IF(Investment_Strategy ="DIY",DIY_RateOfReturn_CurrentFunds,
"Error")))))),Max_InvReturn)</f>
        <v>0</v>
      </c>
      <c r="F335" s="62">
        <f>IF(AV335=0,0,
IF(Investment_Strategy="DIS",VLOOKUP(Investment_Strategy&amp;"_"&amp;Investment_Strategy_Sub1&amp;"_"&amp;$A335,'Investment Strategies'!$AZ:$BP,15,FALSE),
IF(AND(Investment_Strategy="Lifecycle",Investment_Strategy_Sub1="Non-Standard"),VLOOKUP(Investment_Strategy&amp;"_"&amp;Investment_Strategy_Sub2&amp;"_"&amp;$A335,'Investment Strategies'!$C:$P,12,FALSE),
IF(AND(Investment_Strategy="Lifecycle",Investment_Strategy_Sub1="Standard"),VLOOKUP(Investment_Strategy&amp;"_"&amp;Investment_Strategy_Sub2&amp;"_"&amp;$A335,'Investment Strategies'!$AJ:$AV,11,FALSE),
IF(AND(Investment_Strategy="Autopilot",Investment_Strategy_Sub1="Non-Standard"),VLOOKUP(Investment_Strategy&amp;"_"&amp;Investment_Strategy_Sub2&amp;"_"&amp;$A335,'Investment Strategies'!$T:$AF,11,FALSE),
IF(Investment_Strategy="DIY",DIY_GteeChrge_CurrentFunds,
"Error"))))))</f>
        <v>0</v>
      </c>
      <c r="G335" s="33">
        <f>IF(AV335=0,0,
IF(Investment_Strategy="DIS",VLOOKUP(Investment_Strategy&amp;"_"&amp;Investment_Strategy_Sub1&amp;"_"&amp;$A335,'Investment Strategies'!$AZ:$BP,17,FALSE),
IF(AND(Investment_Strategy="Lifecycle",Investment_Strategy_Sub1="Non-Standard"),VLOOKUP(Investment_Strategy&amp;"_"&amp;Investment_Strategy_Sub2&amp;"_"&amp;$A335,'Investment Strategies'!$C:$P,14,FALSE),
IF(AND(Investment_Strategy="Lifecycle",Investment_Strategy_Sub1="Standard"),VLOOKUP(Investment_Strategy&amp;"_"&amp;Investment_Strategy_Sub2&amp;"_"&amp;$A335,'Investment Strategies'!$AJ:$AV,13,FALSE),
IF(AND(Investment_Strategy="Autopilot",Investment_Strategy_Sub1="Non-Standard"),VLOOKUP(Investment_Strategy&amp;"_"&amp;Investment_Strategy_Sub2&amp;"_"&amp;$A335,'Investment Strategies'!$T:$AF,13,FALSE),
IF(Investment_Strategy="DIY",DIY_ExtManChrge_CurrentFunds,
"Error"))))))</f>
        <v>0</v>
      </c>
      <c r="H335" s="16">
        <f t="shared" si="175"/>
        <v>0</v>
      </c>
      <c r="I335" s="16">
        <f t="shared" si="159"/>
        <v>0</v>
      </c>
      <c r="J335" s="16">
        <f t="shared" si="160"/>
        <v>0</v>
      </c>
      <c r="K335" s="16">
        <f>(Opening_Fund_Value+SUM(K$91:K334))*E335*IF(D335=$A$91,SRP_finalmonthfactor,1)</f>
        <v>0</v>
      </c>
      <c r="L335" s="74">
        <f>MIN(IF($AV335=0,0,
IF(Investment_Strategy="DIS",VLOOKUP(Investment_Strategy&amp;"_"&amp;Investment_Strategy_Sub1&amp;"_"&amp;$A335,'Investment Strategies'!$AZ:$BP,12,FALSE),
IF(AND(Investment_Strategy="Lifecycle",Investment_Strategy_Sub1="Non-Standard"),VLOOKUP(Investment_Strategy&amp;"_"&amp;Investment_Strategy_Sub2&amp;"_"&amp;$A335,'Investment Strategies'!$C:$P,9,FALSE),
IF(AND(Investment_Strategy="Lifecycle",Investment_Strategy_Sub1="Standard"),VLOOKUP(Investment_Strategy&amp;"_"&amp;Investment_Strategy_Sub2&amp;"_"&amp;$A335,'Investment Strategies'!$AJ:$AV,8,FALSE),
IF(AND(Investment_Strategy="Autopilot",Investment_Strategy_Sub1="Non-Standard"),VLOOKUP(Investment_Strategy&amp;"_"&amp;Investment_Strategy_Sub2&amp;"_"&amp;$A335,'Investment Strategies'!$T:$AF,8,FALSE),
IF(Investment_Strategy ="DIY",DIY_RateofReturn_SP,
"Error")))))),Max_InvReturn)</f>
        <v>0</v>
      </c>
      <c r="M335" s="62">
        <f>IF($AV335=0,0,
IF(Investment_Strategy="DIS",VLOOKUP(Investment_Strategy&amp;"_"&amp;Investment_Strategy_Sub1&amp;"_"&amp;$A335,'Investment Strategies'!$AZ:$BP,15,FALSE),
IF(AND(Investment_Strategy="Lifecycle",Investment_Strategy_Sub1="Non-Standard"),VLOOKUP(Investment_Strategy&amp;"_"&amp;Investment_Strategy_Sub2&amp;"_"&amp;$A335,'Investment Strategies'!$C:$P,12,FALSE),
IF(AND(Investment_Strategy="Lifecycle",Investment_Strategy_Sub1="Standard"),VLOOKUP(Investment_Strategy&amp;"_"&amp;Investment_Strategy_Sub2&amp;"_"&amp;$A335,'Investment Strategies'!$AJ:$AV,11,FALSE),
IF(AND(Investment_Strategy="Autopilot",Investment_Strategy_Sub1="Non-Standard"),VLOOKUP(Investment_Strategy&amp;"_"&amp;Investment_Strategy_Sub2&amp;"_"&amp;$A335,'Investment Strategies'!$T:$AF,11,FALSE),
IF(Investment_Strategy="DIY",DIY_GteeChrge_SP,
"Error"))))))</f>
        <v>0</v>
      </c>
      <c r="N335" s="33">
        <f>IF($AV335=0,0,
IF(Investment_Strategy="DIS",VLOOKUP(Investment_Strategy&amp;"_"&amp;Investment_Strategy_Sub1&amp;"_"&amp;$A335,'Investment Strategies'!$AZ:$BP,17,FALSE),
IF(AND(Investment_Strategy="Lifecycle",Investment_Strategy_Sub1="Non-Standard"),VLOOKUP(Investment_Strategy&amp;"_"&amp;Investment_Strategy_Sub2&amp;"_"&amp;$A335,'Investment Strategies'!$C:$P,14,FALSE),
IF(AND(Investment_Strategy="Lifecycle",Investment_Strategy_Sub1="Standard"),VLOOKUP(Investment_Strategy&amp;"_"&amp;Investment_Strategy_Sub2&amp;"_"&amp;$A335,'Investment Strategies'!$AJ:$AV,13,FALSE),
IF(AND(Investment_Strategy="Autopilot",Investment_Strategy_Sub1="Non-Standard"),VLOOKUP(Investment_Strategy&amp;"_"&amp;Investment_Strategy_Sub2&amp;"_"&amp;$A335,'Investment Strategies'!$T:$AF,13,FALSE),
IF(Investment_Strategy="DIY",DIY_ExtManChrge_SP,
"Error"))))))</f>
        <v>0</v>
      </c>
      <c r="O335" s="16">
        <f t="shared" si="187"/>
        <v>0</v>
      </c>
      <c r="Q335" s="16">
        <f t="shared" si="161"/>
        <v>0</v>
      </c>
      <c r="R335" s="16">
        <f t="shared" si="162"/>
        <v>0</v>
      </c>
      <c r="S335" s="16">
        <f>(SRP_SP+SUM(S$91:S334))*L335*IF(D335=$A$91,SRP_finalmonthfactor,1)</f>
        <v>0</v>
      </c>
      <c r="T335" s="74">
        <f>MIN(IF($AV335=0,0,
IF(Investment_Strategy="DIS",VLOOKUP(Investment_Strategy&amp;"_"&amp;Investment_Strategy_Sub1&amp;"_"&amp;$A335,'Investment Strategies'!$AZ:$BP,12,FALSE),
IF(AND(Investment_Strategy="Lifecycle",Investment_Strategy_Sub1="Non-Standard"),VLOOKUP(Investment_Strategy&amp;"_"&amp;Investment_Strategy_Sub2&amp;"_"&amp;$A335,'Investment Strategies'!$C:$P,9,FALSE),
IF(AND(Investment_Strategy="Lifecycle",Investment_Strategy_Sub1="Standard"),VLOOKUP(Investment_Strategy&amp;"_"&amp;Investment_Strategy_Sub2&amp;"_"&amp;$A335,'Investment Strategies'!$AJ:$AV,8,FALSE),
IF(AND(Investment_Strategy="Autopilot",Investment_Strategy_Sub1="Non-Standard"),VLOOKUP(Investment_Strategy&amp;"_"&amp;Investment_Strategy_Sub2&amp;"_"&amp;$A335,'Investment Strategies'!$T:$AF,8,FALSE),
IF(Investment_Strategy ="DIY",DIY_RateOfReturn_FuturePremiums,
"Error")))))),Max_InvReturn)</f>
        <v>0</v>
      </c>
      <c r="U335" s="62">
        <f>IF($AV335=0,0,
IF(Investment_Strategy="DIS",VLOOKUP(Investment_Strategy&amp;"_"&amp;Investment_Strategy_Sub1&amp;"_"&amp;$A335,'Investment Strategies'!$AZ:$BP,15,FALSE),
IF(AND(Investment_Strategy="Lifecycle",Investment_Strategy_Sub1="Non-Standard"),VLOOKUP(Investment_Strategy&amp;"_"&amp;Investment_Strategy_Sub2&amp;"_"&amp;$A335,'Investment Strategies'!$C:$P,12,FALSE),
IF(AND(Investment_Strategy="Lifecycle",Investment_Strategy_Sub1="Standard"),VLOOKUP(Investment_Strategy&amp;"_"&amp;Investment_Strategy_Sub2&amp;"_"&amp;$A335,'Investment Strategies'!$AJ:$AV,11,FALSE),
IF(AND(Investment_Strategy="Autopilot",Investment_Strategy_Sub1="Non-Standard"),VLOOKUP(Investment_Strategy&amp;"_"&amp;Investment_Strategy_Sub2&amp;"_"&amp;$A335,'Investment Strategies'!$T:$AF,11,FALSE),
IF(Investment_Strategy="DIY",DIY_GteeChrge_FuturePremiums,
"Error"))))))</f>
        <v>0</v>
      </c>
      <c r="V335" s="33">
        <f>IF(AV335=0,0,
IF(Investment_Strategy="DIS",VLOOKUP(Investment_Strategy&amp;"_"&amp;Investment_Strategy_Sub1&amp;"_"&amp;$A335,'Investment Strategies'!$AZ:$BP,17,FALSE),
IF(AND(Investment_Strategy="Lifecycle",Investment_Strategy_Sub1="Non-Standard"),VLOOKUP(Investment_Strategy&amp;"_"&amp;Investment_Strategy_Sub2&amp;"_"&amp;$A335,'Investment Strategies'!$C:$P,14,FALSE),
IF(AND(Investment_Strategy="Lifecycle",Investment_Strategy_Sub1="Standard"),VLOOKUP(Investment_Strategy&amp;"_"&amp;Investment_Strategy_Sub2&amp;"_"&amp;$A335,'Investment Strategies'!$AJ:$AV,13,FALSE),
IF(AND(Investment_Strategy="Autopilot",Investment_Strategy_Sub1="Non-Standard"),VLOOKUP(Investment_Strategy&amp;"_"&amp;Investment_Strategy_Sub2&amp;"_"&amp;$A335,'Investment Strategies'!$T:$AF,13,FALSE),
IF(Investment_Strategy="DIY",DIY_ExtManChrge_FuturePremiums,
"Error"))))))</f>
        <v>0</v>
      </c>
      <c r="W335" s="16">
        <f t="shared" si="188"/>
        <v>0</v>
      </c>
      <c r="X335" s="16">
        <f t="shared" si="163"/>
        <v>0</v>
      </c>
      <c r="Y335" s="16">
        <f t="shared" si="164"/>
        <v>0</v>
      </c>
      <c r="Z335" s="31">
        <f t="shared" si="165"/>
        <v>0.02</v>
      </c>
      <c r="AA335" s="16">
        <f t="shared" si="166"/>
        <v>0</v>
      </c>
      <c r="AB335" s="28">
        <f t="shared" si="189"/>
        <v>0</v>
      </c>
      <c r="AC335" s="28">
        <f>(SUM($AC$91:AC334)+SUM($X$91:X334)+X335)*T335*IF(D335=$A$91,SRP_finalmonthfactor,1)</f>
        <v>0</v>
      </c>
      <c r="AD335" s="16">
        <f t="shared" si="167"/>
        <v>0</v>
      </c>
      <c r="AE335" s="106"/>
      <c r="AF335" s="16">
        <f t="shared" si="176"/>
        <v>0</v>
      </c>
      <c r="AG335" s="16">
        <f t="shared" si="177"/>
        <v>0</v>
      </c>
      <c r="AH335" s="16">
        <f t="shared" si="178"/>
        <v>0</v>
      </c>
      <c r="AJ335" s="13">
        <f t="shared" si="202"/>
        <v>0</v>
      </c>
      <c r="AK335" s="13">
        <f t="shared" si="202"/>
        <v>0</v>
      </c>
      <c r="AL335" s="13">
        <f t="shared" si="202"/>
        <v>0</v>
      </c>
      <c r="AM335" s="13">
        <f t="shared" si="202"/>
        <v>0</v>
      </c>
      <c r="AN335" s="13">
        <f t="shared" si="202"/>
        <v>0</v>
      </c>
      <c r="AO335" s="13">
        <f t="shared" si="202"/>
        <v>1</v>
      </c>
      <c r="AP335" s="13">
        <f t="shared" si="202"/>
        <v>1</v>
      </c>
      <c r="AQ335" s="13">
        <f t="shared" si="202"/>
        <v>1</v>
      </c>
      <c r="AR335" s="13">
        <f t="shared" si="202"/>
        <v>1</v>
      </c>
      <c r="AS335" s="13">
        <f t="shared" si="202"/>
        <v>1</v>
      </c>
      <c r="AT335" s="13">
        <f t="shared" si="202"/>
        <v>1</v>
      </c>
      <c r="AU335" s="13">
        <f t="shared" si="202"/>
        <v>1</v>
      </c>
      <c r="AV335" s="13">
        <f t="shared" si="168"/>
        <v>0</v>
      </c>
      <c r="AW335" s="13">
        <f t="shared" si="169"/>
        <v>1</v>
      </c>
      <c r="AY335" s="17">
        <f t="shared" si="170"/>
        <v>245</v>
      </c>
      <c r="AZ335" s="28">
        <f t="shared" si="179"/>
        <v>0</v>
      </c>
      <c r="BA335" s="13">
        <f t="shared" si="171"/>
        <v>0</v>
      </c>
      <c r="BB335" s="13">
        <f t="shared" si="172"/>
        <v>0</v>
      </c>
      <c r="BC335" s="28">
        <f t="shared" si="180"/>
        <v>0</v>
      </c>
      <c r="BD335" s="28">
        <f t="shared" si="181"/>
        <v>0</v>
      </c>
      <c r="BF335" s="248">
        <f t="shared" si="182"/>
        <v>993869.29442638322</v>
      </c>
    </row>
    <row r="336" spans="1:68">
      <c r="A336" s="32">
        <f t="shared" si="184"/>
        <v>-161</v>
      </c>
      <c r="B336" s="32">
        <f t="shared" si="174"/>
        <v>73</v>
      </c>
      <c r="C336" s="32">
        <f t="shared" si="185"/>
        <v>21</v>
      </c>
      <c r="D336" s="32">
        <f t="shared" si="186"/>
        <v>246</v>
      </c>
      <c r="E336" s="74">
        <f>MIN(IF(AV336=0,0,
IF(Investment_Strategy="DIS",VLOOKUP(Investment_Strategy&amp;"_"&amp;Investment_Strategy_Sub1&amp;"_"&amp;$A336,'Investment Strategies'!$AZ:$BP,12,FALSE),
IF(AND(Investment_Strategy="Lifecycle",Investment_Strategy_Sub1="Non-Standard"),VLOOKUP(Investment_Strategy&amp;"_"&amp;Investment_Strategy_Sub2&amp;"_"&amp;$A336,'Investment Strategies'!$C:$P,9,FALSE),
IF(AND(Investment_Strategy="Lifecycle",Investment_Strategy_Sub1="Standard"),VLOOKUP(Investment_Strategy&amp;"_"&amp;Investment_Strategy_Sub2&amp;"_"&amp;$A336,'Investment Strategies'!$AJ:$AV,8,FALSE),
IF(AND(Investment_Strategy="Autopilot",Investment_Strategy_Sub1="Non-Standard"),VLOOKUP(Investment_Strategy&amp;"_"&amp;Investment_Strategy_Sub2&amp;"_"&amp;$A336,'Investment Strategies'!$T:$AF,8,FALSE),
IF(Investment_Strategy ="DIY",DIY_RateOfReturn_CurrentFunds,
"Error")))))),Max_InvReturn)</f>
        <v>0</v>
      </c>
      <c r="F336" s="62">
        <f>IF(AV336=0,0,
IF(Investment_Strategy="DIS",VLOOKUP(Investment_Strategy&amp;"_"&amp;Investment_Strategy_Sub1&amp;"_"&amp;$A336,'Investment Strategies'!$AZ:$BP,15,FALSE),
IF(AND(Investment_Strategy="Lifecycle",Investment_Strategy_Sub1="Non-Standard"),VLOOKUP(Investment_Strategy&amp;"_"&amp;Investment_Strategy_Sub2&amp;"_"&amp;$A336,'Investment Strategies'!$C:$P,12,FALSE),
IF(AND(Investment_Strategy="Lifecycle",Investment_Strategy_Sub1="Standard"),VLOOKUP(Investment_Strategy&amp;"_"&amp;Investment_Strategy_Sub2&amp;"_"&amp;$A336,'Investment Strategies'!$AJ:$AV,11,FALSE),
IF(AND(Investment_Strategy="Autopilot",Investment_Strategy_Sub1="Non-Standard"),VLOOKUP(Investment_Strategy&amp;"_"&amp;Investment_Strategy_Sub2&amp;"_"&amp;$A336,'Investment Strategies'!$T:$AF,11,FALSE),
IF(Investment_Strategy="DIY",DIY_GteeChrge_CurrentFunds,
"Error"))))))</f>
        <v>0</v>
      </c>
      <c r="G336" s="33">
        <f>IF(AV336=0,0,
IF(Investment_Strategy="DIS",VLOOKUP(Investment_Strategy&amp;"_"&amp;Investment_Strategy_Sub1&amp;"_"&amp;$A336,'Investment Strategies'!$AZ:$BP,17,FALSE),
IF(AND(Investment_Strategy="Lifecycle",Investment_Strategy_Sub1="Non-Standard"),VLOOKUP(Investment_Strategy&amp;"_"&amp;Investment_Strategy_Sub2&amp;"_"&amp;$A336,'Investment Strategies'!$C:$P,14,FALSE),
IF(AND(Investment_Strategy="Lifecycle",Investment_Strategy_Sub1="Standard"),VLOOKUP(Investment_Strategy&amp;"_"&amp;Investment_Strategy_Sub2&amp;"_"&amp;$A336,'Investment Strategies'!$AJ:$AV,13,FALSE),
IF(AND(Investment_Strategy="Autopilot",Investment_Strategy_Sub1="Non-Standard"),VLOOKUP(Investment_Strategy&amp;"_"&amp;Investment_Strategy_Sub2&amp;"_"&amp;$A336,'Investment Strategies'!$T:$AF,13,FALSE),
IF(Investment_Strategy="DIY",DIY_ExtManChrge_CurrentFunds,
"Error"))))))</f>
        <v>0</v>
      </c>
      <c r="H336" s="16">
        <f t="shared" si="175"/>
        <v>0</v>
      </c>
      <c r="I336" s="16">
        <f t="shared" si="159"/>
        <v>0</v>
      </c>
      <c r="J336" s="16">
        <f t="shared" si="160"/>
        <v>0</v>
      </c>
      <c r="K336" s="16">
        <f>(Opening_Fund_Value+SUM(K$91:K335))*E336*IF(D336=$A$91,SRP_finalmonthfactor,1)</f>
        <v>0</v>
      </c>
      <c r="L336" s="74">
        <f>MIN(IF($AV336=0,0,
IF(Investment_Strategy="DIS",VLOOKUP(Investment_Strategy&amp;"_"&amp;Investment_Strategy_Sub1&amp;"_"&amp;$A336,'Investment Strategies'!$AZ:$BP,12,FALSE),
IF(AND(Investment_Strategy="Lifecycle",Investment_Strategy_Sub1="Non-Standard"),VLOOKUP(Investment_Strategy&amp;"_"&amp;Investment_Strategy_Sub2&amp;"_"&amp;$A336,'Investment Strategies'!$C:$P,9,FALSE),
IF(AND(Investment_Strategy="Lifecycle",Investment_Strategy_Sub1="Standard"),VLOOKUP(Investment_Strategy&amp;"_"&amp;Investment_Strategy_Sub2&amp;"_"&amp;$A336,'Investment Strategies'!$AJ:$AV,8,FALSE),
IF(AND(Investment_Strategy="Autopilot",Investment_Strategy_Sub1="Non-Standard"),VLOOKUP(Investment_Strategy&amp;"_"&amp;Investment_Strategy_Sub2&amp;"_"&amp;$A336,'Investment Strategies'!$T:$AF,8,FALSE),
IF(Investment_Strategy ="DIY",DIY_RateofReturn_SP,
"Error")))))),Max_InvReturn)</f>
        <v>0</v>
      </c>
      <c r="M336" s="62">
        <f>IF($AV336=0,0,
IF(Investment_Strategy="DIS",VLOOKUP(Investment_Strategy&amp;"_"&amp;Investment_Strategy_Sub1&amp;"_"&amp;$A336,'Investment Strategies'!$AZ:$BP,15,FALSE),
IF(AND(Investment_Strategy="Lifecycle",Investment_Strategy_Sub1="Non-Standard"),VLOOKUP(Investment_Strategy&amp;"_"&amp;Investment_Strategy_Sub2&amp;"_"&amp;$A336,'Investment Strategies'!$C:$P,12,FALSE),
IF(AND(Investment_Strategy="Lifecycle",Investment_Strategy_Sub1="Standard"),VLOOKUP(Investment_Strategy&amp;"_"&amp;Investment_Strategy_Sub2&amp;"_"&amp;$A336,'Investment Strategies'!$AJ:$AV,11,FALSE),
IF(AND(Investment_Strategy="Autopilot",Investment_Strategy_Sub1="Non-Standard"),VLOOKUP(Investment_Strategy&amp;"_"&amp;Investment_Strategy_Sub2&amp;"_"&amp;$A336,'Investment Strategies'!$T:$AF,11,FALSE),
IF(Investment_Strategy="DIY",DIY_GteeChrge_SP,
"Error"))))))</f>
        <v>0</v>
      </c>
      <c r="N336" s="33">
        <f>IF($AV336=0,0,
IF(Investment_Strategy="DIS",VLOOKUP(Investment_Strategy&amp;"_"&amp;Investment_Strategy_Sub1&amp;"_"&amp;$A336,'Investment Strategies'!$AZ:$BP,17,FALSE),
IF(AND(Investment_Strategy="Lifecycle",Investment_Strategy_Sub1="Non-Standard"),VLOOKUP(Investment_Strategy&amp;"_"&amp;Investment_Strategy_Sub2&amp;"_"&amp;$A336,'Investment Strategies'!$C:$P,14,FALSE),
IF(AND(Investment_Strategy="Lifecycle",Investment_Strategy_Sub1="Standard"),VLOOKUP(Investment_Strategy&amp;"_"&amp;Investment_Strategy_Sub2&amp;"_"&amp;$A336,'Investment Strategies'!$AJ:$AV,13,FALSE),
IF(AND(Investment_Strategy="Autopilot",Investment_Strategy_Sub1="Non-Standard"),VLOOKUP(Investment_Strategy&amp;"_"&amp;Investment_Strategy_Sub2&amp;"_"&amp;$A336,'Investment Strategies'!$T:$AF,13,FALSE),
IF(Investment_Strategy="DIY",DIY_ExtManChrge_SP,
"Error"))))))</f>
        <v>0</v>
      </c>
      <c r="O336" s="16">
        <f t="shared" si="187"/>
        <v>0</v>
      </c>
      <c r="Q336" s="16">
        <f t="shared" si="161"/>
        <v>0</v>
      </c>
      <c r="R336" s="16">
        <f t="shared" si="162"/>
        <v>0</v>
      </c>
      <c r="S336" s="16">
        <f>(SRP_SP+SUM(S$91:S335))*L336*IF(D336=$A$91,SRP_finalmonthfactor,1)</f>
        <v>0</v>
      </c>
      <c r="T336" s="74">
        <f>MIN(IF($AV336=0,0,
IF(Investment_Strategy="DIS",VLOOKUP(Investment_Strategy&amp;"_"&amp;Investment_Strategy_Sub1&amp;"_"&amp;$A336,'Investment Strategies'!$AZ:$BP,12,FALSE),
IF(AND(Investment_Strategy="Lifecycle",Investment_Strategy_Sub1="Non-Standard"),VLOOKUP(Investment_Strategy&amp;"_"&amp;Investment_Strategy_Sub2&amp;"_"&amp;$A336,'Investment Strategies'!$C:$P,9,FALSE),
IF(AND(Investment_Strategy="Lifecycle",Investment_Strategy_Sub1="Standard"),VLOOKUP(Investment_Strategy&amp;"_"&amp;Investment_Strategy_Sub2&amp;"_"&amp;$A336,'Investment Strategies'!$AJ:$AV,8,FALSE),
IF(AND(Investment_Strategy="Autopilot",Investment_Strategy_Sub1="Non-Standard"),VLOOKUP(Investment_Strategy&amp;"_"&amp;Investment_Strategy_Sub2&amp;"_"&amp;$A336,'Investment Strategies'!$T:$AF,8,FALSE),
IF(Investment_Strategy ="DIY",DIY_RateOfReturn_FuturePremiums,
"Error")))))),Max_InvReturn)</f>
        <v>0</v>
      </c>
      <c r="U336" s="62">
        <f>IF($AV336=0,0,
IF(Investment_Strategy="DIS",VLOOKUP(Investment_Strategy&amp;"_"&amp;Investment_Strategy_Sub1&amp;"_"&amp;$A336,'Investment Strategies'!$AZ:$BP,15,FALSE),
IF(AND(Investment_Strategy="Lifecycle",Investment_Strategy_Sub1="Non-Standard"),VLOOKUP(Investment_Strategy&amp;"_"&amp;Investment_Strategy_Sub2&amp;"_"&amp;$A336,'Investment Strategies'!$C:$P,12,FALSE),
IF(AND(Investment_Strategy="Lifecycle",Investment_Strategy_Sub1="Standard"),VLOOKUP(Investment_Strategy&amp;"_"&amp;Investment_Strategy_Sub2&amp;"_"&amp;$A336,'Investment Strategies'!$AJ:$AV,11,FALSE),
IF(AND(Investment_Strategy="Autopilot",Investment_Strategy_Sub1="Non-Standard"),VLOOKUP(Investment_Strategy&amp;"_"&amp;Investment_Strategy_Sub2&amp;"_"&amp;$A336,'Investment Strategies'!$T:$AF,11,FALSE),
IF(Investment_Strategy="DIY",DIY_GteeChrge_FuturePremiums,
"Error"))))))</f>
        <v>0</v>
      </c>
      <c r="V336" s="33">
        <f>IF(AV336=0,0,
IF(Investment_Strategy="DIS",VLOOKUP(Investment_Strategy&amp;"_"&amp;Investment_Strategy_Sub1&amp;"_"&amp;$A336,'Investment Strategies'!$AZ:$BP,17,FALSE),
IF(AND(Investment_Strategy="Lifecycle",Investment_Strategy_Sub1="Non-Standard"),VLOOKUP(Investment_Strategy&amp;"_"&amp;Investment_Strategy_Sub2&amp;"_"&amp;$A336,'Investment Strategies'!$C:$P,14,FALSE),
IF(AND(Investment_Strategy="Lifecycle",Investment_Strategy_Sub1="Standard"),VLOOKUP(Investment_Strategy&amp;"_"&amp;Investment_Strategy_Sub2&amp;"_"&amp;$A336,'Investment Strategies'!$AJ:$AV,13,FALSE),
IF(AND(Investment_Strategy="Autopilot",Investment_Strategy_Sub1="Non-Standard"),VLOOKUP(Investment_Strategy&amp;"_"&amp;Investment_Strategy_Sub2&amp;"_"&amp;$A336,'Investment Strategies'!$T:$AF,13,FALSE),
IF(Investment_Strategy="DIY",DIY_ExtManChrge_FuturePremiums,
"Error"))))))</f>
        <v>0</v>
      </c>
      <c r="W336" s="16">
        <f t="shared" si="188"/>
        <v>0</v>
      </c>
      <c r="X336" s="16">
        <f t="shared" si="163"/>
        <v>0</v>
      </c>
      <c r="Y336" s="16">
        <f t="shared" si="164"/>
        <v>0</v>
      </c>
      <c r="Z336" s="31">
        <f t="shared" si="165"/>
        <v>0.02</v>
      </c>
      <c r="AA336" s="16">
        <f t="shared" si="166"/>
        <v>0</v>
      </c>
      <c r="AB336" s="28">
        <f t="shared" si="189"/>
        <v>0</v>
      </c>
      <c r="AC336" s="28">
        <f>(SUM($AC$91:AC335)+SUM($X$91:X335)+X336)*T336*IF(D336=$A$91,SRP_finalmonthfactor,1)</f>
        <v>0</v>
      </c>
      <c r="AD336" s="16">
        <f t="shared" si="167"/>
        <v>0</v>
      </c>
      <c r="AE336" s="106"/>
      <c r="AF336" s="16">
        <f t="shared" si="176"/>
        <v>0</v>
      </c>
      <c r="AG336" s="16">
        <f t="shared" si="177"/>
        <v>0</v>
      </c>
      <c r="AH336" s="16">
        <f t="shared" si="178"/>
        <v>0</v>
      </c>
      <c r="AJ336" s="13">
        <f t="shared" si="202"/>
        <v>0</v>
      </c>
      <c r="AK336" s="13">
        <f t="shared" si="202"/>
        <v>0</v>
      </c>
      <c r="AL336" s="13">
        <f t="shared" si="202"/>
        <v>0</v>
      </c>
      <c r="AM336" s="13">
        <f t="shared" si="202"/>
        <v>0</v>
      </c>
      <c r="AN336" s="13">
        <f t="shared" si="202"/>
        <v>0</v>
      </c>
      <c r="AO336" s="13">
        <f t="shared" si="202"/>
        <v>1</v>
      </c>
      <c r="AP336" s="13">
        <f t="shared" si="202"/>
        <v>1</v>
      </c>
      <c r="AQ336" s="13">
        <f t="shared" si="202"/>
        <v>1</v>
      </c>
      <c r="AR336" s="13">
        <f t="shared" si="202"/>
        <v>1</v>
      </c>
      <c r="AS336" s="13">
        <f t="shared" si="202"/>
        <v>1</v>
      </c>
      <c r="AT336" s="13">
        <f t="shared" si="202"/>
        <v>1</v>
      </c>
      <c r="AU336" s="13">
        <f t="shared" si="202"/>
        <v>1</v>
      </c>
      <c r="AV336" s="13">
        <f t="shared" si="168"/>
        <v>0</v>
      </c>
      <c r="AW336" s="13">
        <f t="shared" si="169"/>
        <v>1</v>
      </c>
      <c r="AY336" s="17">
        <f t="shared" si="170"/>
        <v>246</v>
      </c>
      <c r="AZ336" s="28">
        <f t="shared" si="179"/>
        <v>0</v>
      </c>
      <c r="BA336" s="13">
        <f t="shared" si="171"/>
        <v>0</v>
      </c>
      <c r="BB336" s="13">
        <f t="shared" si="172"/>
        <v>0</v>
      </c>
      <c r="BC336" s="28">
        <f t="shared" si="180"/>
        <v>0</v>
      </c>
      <c r="BD336" s="28">
        <f t="shared" si="181"/>
        <v>0</v>
      </c>
      <c r="BF336" s="248">
        <f t="shared" si="182"/>
        <v>993869.29442638322</v>
      </c>
    </row>
    <row r="337" spans="1:58">
      <c r="A337" s="32">
        <f t="shared" si="184"/>
        <v>-162</v>
      </c>
      <c r="B337" s="32">
        <f t="shared" si="174"/>
        <v>73</v>
      </c>
      <c r="C337" s="32">
        <f t="shared" si="185"/>
        <v>21</v>
      </c>
      <c r="D337" s="32">
        <f t="shared" si="186"/>
        <v>247</v>
      </c>
      <c r="E337" s="74">
        <f>MIN(IF(AV337=0,0,
IF(Investment_Strategy="DIS",VLOOKUP(Investment_Strategy&amp;"_"&amp;Investment_Strategy_Sub1&amp;"_"&amp;$A337,'Investment Strategies'!$AZ:$BP,12,FALSE),
IF(AND(Investment_Strategy="Lifecycle",Investment_Strategy_Sub1="Non-Standard"),VLOOKUP(Investment_Strategy&amp;"_"&amp;Investment_Strategy_Sub2&amp;"_"&amp;$A337,'Investment Strategies'!$C:$P,9,FALSE),
IF(AND(Investment_Strategy="Lifecycle",Investment_Strategy_Sub1="Standard"),VLOOKUP(Investment_Strategy&amp;"_"&amp;Investment_Strategy_Sub2&amp;"_"&amp;$A337,'Investment Strategies'!$AJ:$AV,8,FALSE),
IF(AND(Investment_Strategy="Autopilot",Investment_Strategy_Sub1="Non-Standard"),VLOOKUP(Investment_Strategy&amp;"_"&amp;Investment_Strategy_Sub2&amp;"_"&amp;$A337,'Investment Strategies'!$T:$AF,8,FALSE),
IF(Investment_Strategy ="DIY",DIY_RateOfReturn_CurrentFunds,
"Error")))))),Max_InvReturn)</f>
        <v>0</v>
      </c>
      <c r="F337" s="62">
        <f>IF(AV337=0,0,
IF(Investment_Strategy="DIS",VLOOKUP(Investment_Strategy&amp;"_"&amp;Investment_Strategy_Sub1&amp;"_"&amp;$A337,'Investment Strategies'!$AZ:$BP,15,FALSE),
IF(AND(Investment_Strategy="Lifecycle",Investment_Strategy_Sub1="Non-Standard"),VLOOKUP(Investment_Strategy&amp;"_"&amp;Investment_Strategy_Sub2&amp;"_"&amp;$A337,'Investment Strategies'!$C:$P,12,FALSE),
IF(AND(Investment_Strategy="Lifecycle",Investment_Strategy_Sub1="Standard"),VLOOKUP(Investment_Strategy&amp;"_"&amp;Investment_Strategy_Sub2&amp;"_"&amp;$A337,'Investment Strategies'!$AJ:$AV,11,FALSE),
IF(AND(Investment_Strategy="Autopilot",Investment_Strategy_Sub1="Non-Standard"),VLOOKUP(Investment_Strategy&amp;"_"&amp;Investment_Strategy_Sub2&amp;"_"&amp;$A337,'Investment Strategies'!$T:$AF,11,FALSE),
IF(Investment_Strategy="DIY",DIY_GteeChrge_CurrentFunds,
"Error"))))))</f>
        <v>0</v>
      </c>
      <c r="G337" s="33">
        <f>IF(AV337=0,0,
IF(Investment_Strategy="DIS",VLOOKUP(Investment_Strategy&amp;"_"&amp;Investment_Strategy_Sub1&amp;"_"&amp;$A337,'Investment Strategies'!$AZ:$BP,17,FALSE),
IF(AND(Investment_Strategy="Lifecycle",Investment_Strategy_Sub1="Non-Standard"),VLOOKUP(Investment_Strategy&amp;"_"&amp;Investment_Strategy_Sub2&amp;"_"&amp;$A337,'Investment Strategies'!$C:$P,14,FALSE),
IF(AND(Investment_Strategy="Lifecycle",Investment_Strategy_Sub1="Standard"),VLOOKUP(Investment_Strategy&amp;"_"&amp;Investment_Strategy_Sub2&amp;"_"&amp;$A337,'Investment Strategies'!$AJ:$AV,13,FALSE),
IF(AND(Investment_Strategy="Autopilot",Investment_Strategy_Sub1="Non-Standard"),VLOOKUP(Investment_Strategy&amp;"_"&amp;Investment_Strategy_Sub2&amp;"_"&amp;$A337,'Investment Strategies'!$T:$AF,13,FALSE),
IF(Investment_Strategy="DIY",DIY_ExtManChrge_CurrentFunds,
"Error"))))))</f>
        <v>0</v>
      </c>
      <c r="H337" s="16">
        <f t="shared" si="175"/>
        <v>0</v>
      </c>
      <c r="I337" s="16">
        <f t="shared" si="159"/>
        <v>0</v>
      </c>
      <c r="J337" s="16">
        <f t="shared" si="160"/>
        <v>0</v>
      </c>
      <c r="K337" s="16">
        <f>(Opening_Fund_Value+SUM(K$91:K336))*E337*IF(D337=$A$91,SRP_finalmonthfactor,1)</f>
        <v>0</v>
      </c>
      <c r="L337" s="74">
        <f>MIN(IF($AV337=0,0,
IF(Investment_Strategy="DIS",VLOOKUP(Investment_Strategy&amp;"_"&amp;Investment_Strategy_Sub1&amp;"_"&amp;$A337,'Investment Strategies'!$AZ:$BP,12,FALSE),
IF(AND(Investment_Strategy="Lifecycle",Investment_Strategy_Sub1="Non-Standard"),VLOOKUP(Investment_Strategy&amp;"_"&amp;Investment_Strategy_Sub2&amp;"_"&amp;$A337,'Investment Strategies'!$C:$P,9,FALSE),
IF(AND(Investment_Strategy="Lifecycle",Investment_Strategy_Sub1="Standard"),VLOOKUP(Investment_Strategy&amp;"_"&amp;Investment_Strategy_Sub2&amp;"_"&amp;$A337,'Investment Strategies'!$AJ:$AV,8,FALSE),
IF(AND(Investment_Strategy="Autopilot",Investment_Strategy_Sub1="Non-Standard"),VLOOKUP(Investment_Strategy&amp;"_"&amp;Investment_Strategy_Sub2&amp;"_"&amp;$A337,'Investment Strategies'!$T:$AF,8,FALSE),
IF(Investment_Strategy ="DIY",DIY_RateofReturn_SP,
"Error")))))),Max_InvReturn)</f>
        <v>0</v>
      </c>
      <c r="M337" s="62">
        <f>IF($AV337=0,0,
IF(Investment_Strategy="DIS",VLOOKUP(Investment_Strategy&amp;"_"&amp;Investment_Strategy_Sub1&amp;"_"&amp;$A337,'Investment Strategies'!$AZ:$BP,15,FALSE),
IF(AND(Investment_Strategy="Lifecycle",Investment_Strategy_Sub1="Non-Standard"),VLOOKUP(Investment_Strategy&amp;"_"&amp;Investment_Strategy_Sub2&amp;"_"&amp;$A337,'Investment Strategies'!$C:$P,12,FALSE),
IF(AND(Investment_Strategy="Lifecycle",Investment_Strategy_Sub1="Standard"),VLOOKUP(Investment_Strategy&amp;"_"&amp;Investment_Strategy_Sub2&amp;"_"&amp;$A337,'Investment Strategies'!$AJ:$AV,11,FALSE),
IF(AND(Investment_Strategy="Autopilot",Investment_Strategy_Sub1="Non-Standard"),VLOOKUP(Investment_Strategy&amp;"_"&amp;Investment_Strategy_Sub2&amp;"_"&amp;$A337,'Investment Strategies'!$T:$AF,11,FALSE),
IF(Investment_Strategy="DIY",DIY_GteeChrge_SP,
"Error"))))))</f>
        <v>0</v>
      </c>
      <c r="N337" s="33">
        <f>IF($AV337=0,0,
IF(Investment_Strategy="DIS",VLOOKUP(Investment_Strategy&amp;"_"&amp;Investment_Strategy_Sub1&amp;"_"&amp;$A337,'Investment Strategies'!$AZ:$BP,17,FALSE),
IF(AND(Investment_Strategy="Lifecycle",Investment_Strategy_Sub1="Non-Standard"),VLOOKUP(Investment_Strategy&amp;"_"&amp;Investment_Strategy_Sub2&amp;"_"&amp;$A337,'Investment Strategies'!$C:$P,14,FALSE),
IF(AND(Investment_Strategy="Lifecycle",Investment_Strategy_Sub1="Standard"),VLOOKUP(Investment_Strategy&amp;"_"&amp;Investment_Strategy_Sub2&amp;"_"&amp;$A337,'Investment Strategies'!$AJ:$AV,13,FALSE),
IF(AND(Investment_Strategy="Autopilot",Investment_Strategy_Sub1="Non-Standard"),VLOOKUP(Investment_Strategy&amp;"_"&amp;Investment_Strategy_Sub2&amp;"_"&amp;$A337,'Investment Strategies'!$T:$AF,13,FALSE),
IF(Investment_Strategy="DIY",DIY_ExtManChrge_SP,
"Error"))))))</f>
        <v>0</v>
      </c>
      <c r="O337" s="16">
        <f t="shared" si="187"/>
        <v>0</v>
      </c>
      <c r="Q337" s="16">
        <f t="shared" si="161"/>
        <v>0</v>
      </c>
      <c r="R337" s="16">
        <f t="shared" si="162"/>
        <v>0</v>
      </c>
      <c r="S337" s="16">
        <f>(SRP_SP+SUM(S$91:S336))*L337*IF(D337=$A$91,SRP_finalmonthfactor,1)</f>
        <v>0</v>
      </c>
      <c r="T337" s="74">
        <f>MIN(IF($AV337=0,0,
IF(Investment_Strategy="DIS",VLOOKUP(Investment_Strategy&amp;"_"&amp;Investment_Strategy_Sub1&amp;"_"&amp;$A337,'Investment Strategies'!$AZ:$BP,12,FALSE),
IF(AND(Investment_Strategy="Lifecycle",Investment_Strategy_Sub1="Non-Standard"),VLOOKUP(Investment_Strategy&amp;"_"&amp;Investment_Strategy_Sub2&amp;"_"&amp;$A337,'Investment Strategies'!$C:$P,9,FALSE),
IF(AND(Investment_Strategy="Lifecycle",Investment_Strategy_Sub1="Standard"),VLOOKUP(Investment_Strategy&amp;"_"&amp;Investment_Strategy_Sub2&amp;"_"&amp;$A337,'Investment Strategies'!$AJ:$AV,8,FALSE),
IF(AND(Investment_Strategy="Autopilot",Investment_Strategy_Sub1="Non-Standard"),VLOOKUP(Investment_Strategy&amp;"_"&amp;Investment_Strategy_Sub2&amp;"_"&amp;$A337,'Investment Strategies'!$T:$AF,8,FALSE),
IF(Investment_Strategy ="DIY",DIY_RateOfReturn_FuturePremiums,
"Error")))))),Max_InvReturn)</f>
        <v>0</v>
      </c>
      <c r="U337" s="62">
        <f>IF($AV337=0,0,
IF(Investment_Strategy="DIS",VLOOKUP(Investment_Strategy&amp;"_"&amp;Investment_Strategy_Sub1&amp;"_"&amp;$A337,'Investment Strategies'!$AZ:$BP,15,FALSE),
IF(AND(Investment_Strategy="Lifecycle",Investment_Strategy_Sub1="Non-Standard"),VLOOKUP(Investment_Strategy&amp;"_"&amp;Investment_Strategy_Sub2&amp;"_"&amp;$A337,'Investment Strategies'!$C:$P,12,FALSE),
IF(AND(Investment_Strategy="Lifecycle",Investment_Strategy_Sub1="Standard"),VLOOKUP(Investment_Strategy&amp;"_"&amp;Investment_Strategy_Sub2&amp;"_"&amp;$A337,'Investment Strategies'!$AJ:$AV,11,FALSE),
IF(AND(Investment_Strategy="Autopilot",Investment_Strategy_Sub1="Non-Standard"),VLOOKUP(Investment_Strategy&amp;"_"&amp;Investment_Strategy_Sub2&amp;"_"&amp;$A337,'Investment Strategies'!$T:$AF,11,FALSE),
IF(Investment_Strategy="DIY",DIY_GteeChrge_FuturePremiums,
"Error"))))))</f>
        <v>0</v>
      </c>
      <c r="V337" s="33">
        <f>IF(AV337=0,0,
IF(Investment_Strategy="DIS",VLOOKUP(Investment_Strategy&amp;"_"&amp;Investment_Strategy_Sub1&amp;"_"&amp;$A337,'Investment Strategies'!$AZ:$BP,17,FALSE),
IF(AND(Investment_Strategy="Lifecycle",Investment_Strategy_Sub1="Non-Standard"),VLOOKUP(Investment_Strategy&amp;"_"&amp;Investment_Strategy_Sub2&amp;"_"&amp;$A337,'Investment Strategies'!$C:$P,14,FALSE),
IF(AND(Investment_Strategy="Lifecycle",Investment_Strategy_Sub1="Standard"),VLOOKUP(Investment_Strategy&amp;"_"&amp;Investment_Strategy_Sub2&amp;"_"&amp;$A337,'Investment Strategies'!$AJ:$AV,13,FALSE),
IF(AND(Investment_Strategy="Autopilot",Investment_Strategy_Sub1="Non-Standard"),VLOOKUP(Investment_Strategy&amp;"_"&amp;Investment_Strategy_Sub2&amp;"_"&amp;$A337,'Investment Strategies'!$T:$AF,13,FALSE),
IF(Investment_Strategy="DIY",DIY_ExtManChrge_FuturePremiums,
"Error"))))))</f>
        <v>0</v>
      </c>
      <c r="W337" s="16">
        <f t="shared" si="188"/>
        <v>0</v>
      </c>
      <c r="X337" s="16">
        <f t="shared" si="163"/>
        <v>0</v>
      </c>
      <c r="Y337" s="16">
        <f t="shared" si="164"/>
        <v>0</v>
      </c>
      <c r="Z337" s="31">
        <f t="shared" si="165"/>
        <v>0.02</v>
      </c>
      <c r="AA337" s="16">
        <f t="shared" si="166"/>
        <v>0</v>
      </c>
      <c r="AB337" s="28">
        <f t="shared" si="189"/>
        <v>0</v>
      </c>
      <c r="AC337" s="28">
        <f>(SUM($AC$91:AC336)+SUM($X$91:X336)+X337)*T337*IF(D337=$A$91,SRP_finalmonthfactor,1)</f>
        <v>0</v>
      </c>
      <c r="AD337" s="16">
        <f t="shared" si="167"/>
        <v>0</v>
      </c>
      <c r="AE337" s="106"/>
      <c r="AF337" s="16">
        <f t="shared" si="176"/>
        <v>0</v>
      </c>
      <c r="AG337" s="16">
        <f t="shared" si="177"/>
        <v>0</v>
      </c>
      <c r="AH337" s="16">
        <f t="shared" si="178"/>
        <v>0</v>
      </c>
      <c r="AJ337" s="13">
        <f t="shared" si="202"/>
        <v>0</v>
      </c>
      <c r="AK337" s="13">
        <f t="shared" si="202"/>
        <v>0</v>
      </c>
      <c r="AL337" s="13">
        <f t="shared" si="202"/>
        <v>0</v>
      </c>
      <c r="AM337" s="13">
        <f t="shared" si="202"/>
        <v>0</v>
      </c>
      <c r="AN337" s="13">
        <f t="shared" si="202"/>
        <v>0</v>
      </c>
      <c r="AO337" s="13">
        <f t="shared" si="202"/>
        <v>1</v>
      </c>
      <c r="AP337" s="13">
        <f t="shared" si="202"/>
        <v>1</v>
      </c>
      <c r="AQ337" s="13">
        <f t="shared" si="202"/>
        <v>1</v>
      </c>
      <c r="AR337" s="13">
        <f t="shared" si="202"/>
        <v>1</v>
      </c>
      <c r="AS337" s="13">
        <f t="shared" si="202"/>
        <v>1</v>
      </c>
      <c r="AT337" s="13">
        <f t="shared" si="202"/>
        <v>1</v>
      </c>
      <c r="AU337" s="13">
        <f t="shared" si="202"/>
        <v>1</v>
      </c>
      <c r="AV337" s="13">
        <f t="shared" si="168"/>
        <v>0</v>
      </c>
      <c r="AW337" s="13">
        <f t="shared" si="169"/>
        <v>1</v>
      </c>
      <c r="AY337" s="17">
        <f t="shared" si="170"/>
        <v>247</v>
      </c>
      <c r="AZ337" s="28">
        <f t="shared" si="179"/>
        <v>0</v>
      </c>
      <c r="BA337" s="13">
        <f t="shared" si="171"/>
        <v>0</v>
      </c>
      <c r="BB337" s="13">
        <f t="shared" si="172"/>
        <v>0</v>
      </c>
      <c r="BC337" s="28">
        <f t="shared" si="180"/>
        <v>0</v>
      </c>
      <c r="BD337" s="28">
        <f t="shared" si="181"/>
        <v>0</v>
      </c>
      <c r="BF337" s="248">
        <f t="shared" si="182"/>
        <v>993869.29442638322</v>
      </c>
    </row>
    <row r="338" spans="1:58">
      <c r="A338" s="32">
        <f t="shared" si="184"/>
        <v>-163</v>
      </c>
      <c r="B338" s="32">
        <f t="shared" si="174"/>
        <v>73</v>
      </c>
      <c r="C338" s="32">
        <f t="shared" si="185"/>
        <v>21</v>
      </c>
      <c r="D338" s="32">
        <f t="shared" si="186"/>
        <v>248</v>
      </c>
      <c r="E338" s="74">
        <f>MIN(IF(AV338=0,0,
IF(Investment_Strategy="DIS",VLOOKUP(Investment_Strategy&amp;"_"&amp;Investment_Strategy_Sub1&amp;"_"&amp;$A338,'Investment Strategies'!$AZ:$BP,12,FALSE),
IF(AND(Investment_Strategy="Lifecycle",Investment_Strategy_Sub1="Non-Standard"),VLOOKUP(Investment_Strategy&amp;"_"&amp;Investment_Strategy_Sub2&amp;"_"&amp;$A338,'Investment Strategies'!$C:$P,9,FALSE),
IF(AND(Investment_Strategy="Lifecycle",Investment_Strategy_Sub1="Standard"),VLOOKUP(Investment_Strategy&amp;"_"&amp;Investment_Strategy_Sub2&amp;"_"&amp;$A338,'Investment Strategies'!$AJ:$AV,8,FALSE),
IF(AND(Investment_Strategy="Autopilot",Investment_Strategy_Sub1="Non-Standard"),VLOOKUP(Investment_Strategy&amp;"_"&amp;Investment_Strategy_Sub2&amp;"_"&amp;$A338,'Investment Strategies'!$T:$AF,8,FALSE),
IF(Investment_Strategy ="DIY",DIY_RateOfReturn_CurrentFunds,
"Error")))))),Max_InvReturn)</f>
        <v>0</v>
      </c>
      <c r="F338" s="62">
        <f>IF(AV338=0,0,
IF(Investment_Strategy="DIS",VLOOKUP(Investment_Strategy&amp;"_"&amp;Investment_Strategy_Sub1&amp;"_"&amp;$A338,'Investment Strategies'!$AZ:$BP,15,FALSE),
IF(AND(Investment_Strategy="Lifecycle",Investment_Strategy_Sub1="Non-Standard"),VLOOKUP(Investment_Strategy&amp;"_"&amp;Investment_Strategy_Sub2&amp;"_"&amp;$A338,'Investment Strategies'!$C:$P,12,FALSE),
IF(AND(Investment_Strategy="Lifecycle",Investment_Strategy_Sub1="Standard"),VLOOKUP(Investment_Strategy&amp;"_"&amp;Investment_Strategy_Sub2&amp;"_"&amp;$A338,'Investment Strategies'!$AJ:$AV,11,FALSE),
IF(AND(Investment_Strategy="Autopilot",Investment_Strategy_Sub1="Non-Standard"),VLOOKUP(Investment_Strategy&amp;"_"&amp;Investment_Strategy_Sub2&amp;"_"&amp;$A338,'Investment Strategies'!$T:$AF,11,FALSE),
IF(Investment_Strategy="DIY",DIY_GteeChrge_CurrentFunds,
"Error"))))))</f>
        <v>0</v>
      </c>
      <c r="G338" s="33">
        <f>IF(AV338=0,0,
IF(Investment_Strategy="DIS",VLOOKUP(Investment_Strategy&amp;"_"&amp;Investment_Strategy_Sub1&amp;"_"&amp;$A338,'Investment Strategies'!$AZ:$BP,17,FALSE),
IF(AND(Investment_Strategy="Lifecycle",Investment_Strategy_Sub1="Non-Standard"),VLOOKUP(Investment_Strategy&amp;"_"&amp;Investment_Strategy_Sub2&amp;"_"&amp;$A338,'Investment Strategies'!$C:$P,14,FALSE),
IF(AND(Investment_Strategy="Lifecycle",Investment_Strategy_Sub1="Standard"),VLOOKUP(Investment_Strategy&amp;"_"&amp;Investment_Strategy_Sub2&amp;"_"&amp;$A338,'Investment Strategies'!$AJ:$AV,13,FALSE),
IF(AND(Investment_Strategy="Autopilot",Investment_Strategy_Sub1="Non-Standard"),VLOOKUP(Investment_Strategy&amp;"_"&amp;Investment_Strategy_Sub2&amp;"_"&amp;$A338,'Investment Strategies'!$T:$AF,13,FALSE),
IF(Investment_Strategy="DIY",DIY_ExtManChrge_CurrentFunds,
"Error"))))))</f>
        <v>0</v>
      </c>
      <c r="H338" s="16">
        <f t="shared" si="175"/>
        <v>0</v>
      </c>
      <c r="I338" s="16">
        <f t="shared" si="159"/>
        <v>0</v>
      </c>
      <c r="J338" s="16">
        <f t="shared" si="160"/>
        <v>0</v>
      </c>
      <c r="K338" s="16">
        <f>(Opening_Fund_Value+SUM(K$91:K337))*E338*IF(D338=$A$91,SRP_finalmonthfactor,1)</f>
        <v>0</v>
      </c>
      <c r="L338" s="74">
        <f>MIN(IF($AV338=0,0,
IF(Investment_Strategy="DIS",VLOOKUP(Investment_Strategy&amp;"_"&amp;Investment_Strategy_Sub1&amp;"_"&amp;$A338,'Investment Strategies'!$AZ:$BP,12,FALSE),
IF(AND(Investment_Strategy="Lifecycle",Investment_Strategy_Sub1="Non-Standard"),VLOOKUP(Investment_Strategy&amp;"_"&amp;Investment_Strategy_Sub2&amp;"_"&amp;$A338,'Investment Strategies'!$C:$P,9,FALSE),
IF(AND(Investment_Strategy="Lifecycle",Investment_Strategy_Sub1="Standard"),VLOOKUP(Investment_Strategy&amp;"_"&amp;Investment_Strategy_Sub2&amp;"_"&amp;$A338,'Investment Strategies'!$AJ:$AV,8,FALSE),
IF(AND(Investment_Strategy="Autopilot",Investment_Strategy_Sub1="Non-Standard"),VLOOKUP(Investment_Strategy&amp;"_"&amp;Investment_Strategy_Sub2&amp;"_"&amp;$A338,'Investment Strategies'!$T:$AF,8,FALSE),
IF(Investment_Strategy ="DIY",DIY_RateofReturn_SP,
"Error")))))),Max_InvReturn)</f>
        <v>0</v>
      </c>
      <c r="M338" s="62">
        <f>IF($AV338=0,0,
IF(Investment_Strategy="DIS",VLOOKUP(Investment_Strategy&amp;"_"&amp;Investment_Strategy_Sub1&amp;"_"&amp;$A338,'Investment Strategies'!$AZ:$BP,15,FALSE),
IF(AND(Investment_Strategy="Lifecycle",Investment_Strategy_Sub1="Non-Standard"),VLOOKUP(Investment_Strategy&amp;"_"&amp;Investment_Strategy_Sub2&amp;"_"&amp;$A338,'Investment Strategies'!$C:$P,12,FALSE),
IF(AND(Investment_Strategy="Lifecycle",Investment_Strategy_Sub1="Standard"),VLOOKUP(Investment_Strategy&amp;"_"&amp;Investment_Strategy_Sub2&amp;"_"&amp;$A338,'Investment Strategies'!$AJ:$AV,11,FALSE),
IF(AND(Investment_Strategy="Autopilot",Investment_Strategy_Sub1="Non-Standard"),VLOOKUP(Investment_Strategy&amp;"_"&amp;Investment_Strategy_Sub2&amp;"_"&amp;$A338,'Investment Strategies'!$T:$AF,11,FALSE),
IF(Investment_Strategy="DIY",DIY_GteeChrge_SP,
"Error"))))))</f>
        <v>0</v>
      </c>
      <c r="N338" s="33">
        <f>IF($AV338=0,0,
IF(Investment_Strategy="DIS",VLOOKUP(Investment_Strategy&amp;"_"&amp;Investment_Strategy_Sub1&amp;"_"&amp;$A338,'Investment Strategies'!$AZ:$BP,17,FALSE),
IF(AND(Investment_Strategy="Lifecycle",Investment_Strategy_Sub1="Non-Standard"),VLOOKUP(Investment_Strategy&amp;"_"&amp;Investment_Strategy_Sub2&amp;"_"&amp;$A338,'Investment Strategies'!$C:$P,14,FALSE),
IF(AND(Investment_Strategy="Lifecycle",Investment_Strategy_Sub1="Standard"),VLOOKUP(Investment_Strategy&amp;"_"&amp;Investment_Strategy_Sub2&amp;"_"&amp;$A338,'Investment Strategies'!$AJ:$AV,13,FALSE),
IF(AND(Investment_Strategy="Autopilot",Investment_Strategy_Sub1="Non-Standard"),VLOOKUP(Investment_Strategy&amp;"_"&amp;Investment_Strategy_Sub2&amp;"_"&amp;$A338,'Investment Strategies'!$T:$AF,13,FALSE),
IF(Investment_Strategy="DIY",DIY_ExtManChrge_SP,
"Error"))))))</f>
        <v>0</v>
      </c>
      <c r="O338" s="16">
        <f t="shared" si="187"/>
        <v>0</v>
      </c>
      <c r="Q338" s="16">
        <f t="shared" si="161"/>
        <v>0</v>
      </c>
      <c r="R338" s="16">
        <f t="shared" si="162"/>
        <v>0</v>
      </c>
      <c r="S338" s="16">
        <f>(SRP_SP+SUM(S$91:S337))*L338*IF(D338=$A$91,SRP_finalmonthfactor,1)</f>
        <v>0</v>
      </c>
      <c r="T338" s="74">
        <f>MIN(IF($AV338=0,0,
IF(Investment_Strategy="DIS",VLOOKUP(Investment_Strategy&amp;"_"&amp;Investment_Strategy_Sub1&amp;"_"&amp;$A338,'Investment Strategies'!$AZ:$BP,12,FALSE),
IF(AND(Investment_Strategy="Lifecycle",Investment_Strategy_Sub1="Non-Standard"),VLOOKUP(Investment_Strategy&amp;"_"&amp;Investment_Strategy_Sub2&amp;"_"&amp;$A338,'Investment Strategies'!$C:$P,9,FALSE),
IF(AND(Investment_Strategy="Lifecycle",Investment_Strategy_Sub1="Standard"),VLOOKUP(Investment_Strategy&amp;"_"&amp;Investment_Strategy_Sub2&amp;"_"&amp;$A338,'Investment Strategies'!$AJ:$AV,8,FALSE),
IF(AND(Investment_Strategy="Autopilot",Investment_Strategy_Sub1="Non-Standard"),VLOOKUP(Investment_Strategy&amp;"_"&amp;Investment_Strategy_Sub2&amp;"_"&amp;$A338,'Investment Strategies'!$T:$AF,8,FALSE),
IF(Investment_Strategy ="DIY",DIY_RateOfReturn_FuturePremiums,
"Error")))))),Max_InvReturn)</f>
        <v>0</v>
      </c>
      <c r="U338" s="62">
        <f>IF($AV338=0,0,
IF(Investment_Strategy="DIS",VLOOKUP(Investment_Strategy&amp;"_"&amp;Investment_Strategy_Sub1&amp;"_"&amp;$A338,'Investment Strategies'!$AZ:$BP,15,FALSE),
IF(AND(Investment_Strategy="Lifecycle",Investment_Strategy_Sub1="Non-Standard"),VLOOKUP(Investment_Strategy&amp;"_"&amp;Investment_Strategy_Sub2&amp;"_"&amp;$A338,'Investment Strategies'!$C:$P,12,FALSE),
IF(AND(Investment_Strategy="Lifecycle",Investment_Strategy_Sub1="Standard"),VLOOKUP(Investment_Strategy&amp;"_"&amp;Investment_Strategy_Sub2&amp;"_"&amp;$A338,'Investment Strategies'!$AJ:$AV,11,FALSE),
IF(AND(Investment_Strategy="Autopilot",Investment_Strategy_Sub1="Non-Standard"),VLOOKUP(Investment_Strategy&amp;"_"&amp;Investment_Strategy_Sub2&amp;"_"&amp;$A338,'Investment Strategies'!$T:$AF,11,FALSE),
IF(Investment_Strategy="DIY",DIY_GteeChrge_FuturePremiums,
"Error"))))))</f>
        <v>0</v>
      </c>
      <c r="V338" s="33">
        <f>IF(AV338=0,0,
IF(Investment_Strategy="DIS",VLOOKUP(Investment_Strategy&amp;"_"&amp;Investment_Strategy_Sub1&amp;"_"&amp;$A338,'Investment Strategies'!$AZ:$BP,17,FALSE),
IF(AND(Investment_Strategy="Lifecycle",Investment_Strategy_Sub1="Non-Standard"),VLOOKUP(Investment_Strategy&amp;"_"&amp;Investment_Strategy_Sub2&amp;"_"&amp;$A338,'Investment Strategies'!$C:$P,14,FALSE),
IF(AND(Investment_Strategy="Lifecycle",Investment_Strategy_Sub1="Standard"),VLOOKUP(Investment_Strategy&amp;"_"&amp;Investment_Strategy_Sub2&amp;"_"&amp;$A338,'Investment Strategies'!$AJ:$AV,13,FALSE),
IF(AND(Investment_Strategy="Autopilot",Investment_Strategy_Sub1="Non-Standard"),VLOOKUP(Investment_Strategy&amp;"_"&amp;Investment_Strategy_Sub2&amp;"_"&amp;$A338,'Investment Strategies'!$T:$AF,13,FALSE),
IF(Investment_Strategy="DIY",DIY_ExtManChrge_FuturePremiums,
"Error"))))))</f>
        <v>0</v>
      </c>
      <c r="W338" s="16">
        <f t="shared" si="188"/>
        <v>0</v>
      </c>
      <c r="X338" s="16">
        <f t="shared" si="163"/>
        <v>0</v>
      </c>
      <c r="Y338" s="16">
        <f t="shared" si="164"/>
        <v>0</v>
      </c>
      <c r="Z338" s="31">
        <f t="shared" si="165"/>
        <v>0.02</v>
      </c>
      <c r="AA338" s="16">
        <f t="shared" si="166"/>
        <v>0</v>
      </c>
      <c r="AB338" s="28">
        <f t="shared" si="189"/>
        <v>0</v>
      </c>
      <c r="AC338" s="28">
        <f>(SUM($AC$91:AC337)+SUM($X$91:X337)+X338)*T338*IF(D338=$A$91,SRP_finalmonthfactor,1)</f>
        <v>0</v>
      </c>
      <c r="AD338" s="16">
        <f t="shared" si="167"/>
        <v>0</v>
      </c>
      <c r="AE338" s="106"/>
      <c r="AF338" s="16">
        <f t="shared" si="176"/>
        <v>0</v>
      </c>
      <c r="AG338" s="16">
        <f t="shared" si="177"/>
        <v>0</v>
      </c>
      <c r="AH338" s="16">
        <f t="shared" si="178"/>
        <v>0</v>
      </c>
      <c r="AJ338" s="13">
        <f t="shared" si="202"/>
        <v>0</v>
      </c>
      <c r="AK338" s="13">
        <f t="shared" si="202"/>
        <v>0</v>
      </c>
      <c r="AL338" s="13">
        <f t="shared" si="202"/>
        <v>0</v>
      </c>
      <c r="AM338" s="13">
        <f t="shared" si="202"/>
        <v>0</v>
      </c>
      <c r="AN338" s="13">
        <f t="shared" si="202"/>
        <v>0</v>
      </c>
      <c r="AO338" s="13">
        <f t="shared" si="202"/>
        <v>1</v>
      </c>
      <c r="AP338" s="13">
        <f t="shared" si="202"/>
        <v>1</v>
      </c>
      <c r="AQ338" s="13">
        <f t="shared" si="202"/>
        <v>1</v>
      </c>
      <c r="AR338" s="13">
        <f t="shared" si="202"/>
        <v>1</v>
      </c>
      <c r="AS338" s="13">
        <f t="shared" si="202"/>
        <v>1</v>
      </c>
      <c r="AT338" s="13">
        <f t="shared" si="202"/>
        <v>1</v>
      </c>
      <c r="AU338" s="13">
        <f t="shared" si="202"/>
        <v>1</v>
      </c>
      <c r="AV338" s="13">
        <f t="shared" si="168"/>
        <v>0</v>
      </c>
      <c r="AW338" s="13">
        <f t="shared" si="169"/>
        <v>1</v>
      </c>
      <c r="AY338" s="17">
        <f t="shared" si="170"/>
        <v>248</v>
      </c>
      <c r="AZ338" s="28">
        <f t="shared" si="179"/>
        <v>0</v>
      </c>
      <c r="BA338" s="13">
        <f t="shared" si="171"/>
        <v>0</v>
      </c>
      <c r="BB338" s="13">
        <f t="shared" si="172"/>
        <v>0</v>
      </c>
      <c r="BC338" s="28">
        <f t="shared" si="180"/>
        <v>0</v>
      </c>
      <c r="BD338" s="28">
        <f t="shared" si="181"/>
        <v>0</v>
      </c>
      <c r="BF338" s="248">
        <f t="shared" si="182"/>
        <v>993869.29442638322</v>
      </c>
    </row>
    <row r="339" spans="1:58">
      <c r="A339" s="32">
        <f t="shared" si="184"/>
        <v>-164</v>
      </c>
      <c r="B339" s="32">
        <f t="shared" si="174"/>
        <v>73</v>
      </c>
      <c r="C339" s="32">
        <f t="shared" si="185"/>
        <v>21</v>
      </c>
      <c r="D339" s="32">
        <f t="shared" si="186"/>
        <v>249</v>
      </c>
      <c r="E339" s="74">
        <f>MIN(IF(AV339=0,0,
IF(Investment_Strategy="DIS",VLOOKUP(Investment_Strategy&amp;"_"&amp;Investment_Strategy_Sub1&amp;"_"&amp;$A339,'Investment Strategies'!$AZ:$BP,12,FALSE),
IF(AND(Investment_Strategy="Lifecycle",Investment_Strategy_Sub1="Non-Standard"),VLOOKUP(Investment_Strategy&amp;"_"&amp;Investment_Strategy_Sub2&amp;"_"&amp;$A339,'Investment Strategies'!$C:$P,9,FALSE),
IF(AND(Investment_Strategy="Lifecycle",Investment_Strategy_Sub1="Standard"),VLOOKUP(Investment_Strategy&amp;"_"&amp;Investment_Strategy_Sub2&amp;"_"&amp;$A339,'Investment Strategies'!$AJ:$AV,8,FALSE),
IF(AND(Investment_Strategy="Autopilot",Investment_Strategy_Sub1="Non-Standard"),VLOOKUP(Investment_Strategy&amp;"_"&amp;Investment_Strategy_Sub2&amp;"_"&amp;$A339,'Investment Strategies'!$T:$AF,8,FALSE),
IF(Investment_Strategy ="DIY",DIY_RateOfReturn_CurrentFunds,
"Error")))))),Max_InvReturn)</f>
        <v>0</v>
      </c>
      <c r="F339" s="62">
        <f>IF(AV339=0,0,
IF(Investment_Strategy="DIS",VLOOKUP(Investment_Strategy&amp;"_"&amp;Investment_Strategy_Sub1&amp;"_"&amp;$A339,'Investment Strategies'!$AZ:$BP,15,FALSE),
IF(AND(Investment_Strategy="Lifecycle",Investment_Strategy_Sub1="Non-Standard"),VLOOKUP(Investment_Strategy&amp;"_"&amp;Investment_Strategy_Sub2&amp;"_"&amp;$A339,'Investment Strategies'!$C:$P,12,FALSE),
IF(AND(Investment_Strategy="Lifecycle",Investment_Strategy_Sub1="Standard"),VLOOKUP(Investment_Strategy&amp;"_"&amp;Investment_Strategy_Sub2&amp;"_"&amp;$A339,'Investment Strategies'!$AJ:$AV,11,FALSE),
IF(AND(Investment_Strategy="Autopilot",Investment_Strategy_Sub1="Non-Standard"),VLOOKUP(Investment_Strategy&amp;"_"&amp;Investment_Strategy_Sub2&amp;"_"&amp;$A339,'Investment Strategies'!$T:$AF,11,FALSE),
IF(Investment_Strategy="DIY",DIY_GteeChrge_CurrentFunds,
"Error"))))))</f>
        <v>0</v>
      </c>
      <c r="G339" s="33">
        <f>IF(AV339=0,0,
IF(Investment_Strategy="DIS",VLOOKUP(Investment_Strategy&amp;"_"&amp;Investment_Strategy_Sub1&amp;"_"&amp;$A339,'Investment Strategies'!$AZ:$BP,17,FALSE),
IF(AND(Investment_Strategy="Lifecycle",Investment_Strategy_Sub1="Non-Standard"),VLOOKUP(Investment_Strategy&amp;"_"&amp;Investment_Strategy_Sub2&amp;"_"&amp;$A339,'Investment Strategies'!$C:$P,14,FALSE),
IF(AND(Investment_Strategy="Lifecycle",Investment_Strategy_Sub1="Standard"),VLOOKUP(Investment_Strategy&amp;"_"&amp;Investment_Strategy_Sub2&amp;"_"&amp;$A339,'Investment Strategies'!$AJ:$AV,13,FALSE),
IF(AND(Investment_Strategy="Autopilot",Investment_Strategy_Sub1="Non-Standard"),VLOOKUP(Investment_Strategy&amp;"_"&amp;Investment_Strategy_Sub2&amp;"_"&amp;$A339,'Investment Strategies'!$T:$AF,13,FALSE),
IF(Investment_Strategy="DIY",DIY_ExtManChrge_CurrentFunds,
"Error"))))))</f>
        <v>0</v>
      </c>
      <c r="H339" s="16">
        <f t="shared" si="175"/>
        <v>0</v>
      </c>
      <c r="I339" s="16">
        <f t="shared" si="159"/>
        <v>0</v>
      </c>
      <c r="J339" s="16">
        <f t="shared" si="160"/>
        <v>0</v>
      </c>
      <c r="K339" s="16">
        <f>(Opening_Fund_Value+SUM(K$91:K338))*E339*IF(D339=$A$91,SRP_finalmonthfactor,1)</f>
        <v>0</v>
      </c>
      <c r="L339" s="74">
        <f>MIN(IF($AV339=0,0,
IF(Investment_Strategy="DIS",VLOOKUP(Investment_Strategy&amp;"_"&amp;Investment_Strategy_Sub1&amp;"_"&amp;$A339,'Investment Strategies'!$AZ:$BP,12,FALSE),
IF(AND(Investment_Strategy="Lifecycle",Investment_Strategy_Sub1="Non-Standard"),VLOOKUP(Investment_Strategy&amp;"_"&amp;Investment_Strategy_Sub2&amp;"_"&amp;$A339,'Investment Strategies'!$C:$P,9,FALSE),
IF(AND(Investment_Strategy="Lifecycle",Investment_Strategy_Sub1="Standard"),VLOOKUP(Investment_Strategy&amp;"_"&amp;Investment_Strategy_Sub2&amp;"_"&amp;$A339,'Investment Strategies'!$AJ:$AV,8,FALSE),
IF(AND(Investment_Strategy="Autopilot",Investment_Strategy_Sub1="Non-Standard"),VLOOKUP(Investment_Strategy&amp;"_"&amp;Investment_Strategy_Sub2&amp;"_"&amp;$A339,'Investment Strategies'!$T:$AF,8,FALSE),
IF(Investment_Strategy ="DIY",DIY_RateofReturn_SP,
"Error")))))),Max_InvReturn)</f>
        <v>0</v>
      </c>
      <c r="M339" s="62">
        <f>IF($AV339=0,0,
IF(Investment_Strategy="DIS",VLOOKUP(Investment_Strategy&amp;"_"&amp;Investment_Strategy_Sub1&amp;"_"&amp;$A339,'Investment Strategies'!$AZ:$BP,15,FALSE),
IF(AND(Investment_Strategy="Lifecycle",Investment_Strategy_Sub1="Non-Standard"),VLOOKUP(Investment_Strategy&amp;"_"&amp;Investment_Strategy_Sub2&amp;"_"&amp;$A339,'Investment Strategies'!$C:$P,12,FALSE),
IF(AND(Investment_Strategy="Lifecycle",Investment_Strategy_Sub1="Standard"),VLOOKUP(Investment_Strategy&amp;"_"&amp;Investment_Strategy_Sub2&amp;"_"&amp;$A339,'Investment Strategies'!$AJ:$AV,11,FALSE),
IF(AND(Investment_Strategy="Autopilot",Investment_Strategy_Sub1="Non-Standard"),VLOOKUP(Investment_Strategy&amp;"_"&amp;Investment_Strategy_Sub2&amp;"_"&amp;$A339,'Investment Strategies'!$T:$AF,11,FALSE),
IF(Investment_Strategy="DIY",DIY_GteeChrge_SP,
"Error"))))))</f>
        <v>0</v>
      </c>
      <c r="N339" s="33">
        <f>IF($AV339=0,0,
IF(Investment_Strategy="DIS",VLOOKUP(Investment_Strategy&amp;"_"&amp;Investment_Strategy_Sub1&amp;"_"&amp;$A339,'Investment Strategies'!$AZ:$BP,17,FALSE),
IF(AND(Investment_Strategy="Lifecycle",Investment_Strategy_Sub1="Non-Standard"),VLOOKUP(Investment_Strategy&amp;"_"&amp;Investment_Strategy_Sub2&amp;"_"&amp;$A339,'Investment Strategies'!$C:$P,14,FALSE),
IF(AND(Investment_Strategy="Lifecycle",Investment_Strategy_Sub1="Standard"),VLOOKUP(Investment_Strategy&amp;"_"&amp;Investment_Strategy_Sub2&amp;"_"&amp;$A339,'Investment Strategies'!$AJ:$AV,13,FALSE),
IF(AND(Investment_Strategy="Autopilot",Investment_Strategy_Sub1="Non-Standard"),VLOOKUP(Investment_Strategy&amp;"_"&amp;Investment_Strategy_Sub2&amp;"_"&amp;$A339,'Investment Strategies'!$T:$AF,13,FALSE),
IF(Investment_Strategy="DIY",DIY_ExtManChrge_SP,
"Error"))))))</f>
        <v>0</v>
      </c>
      <c r="O339" s="16">
        <f t="shared" si="187"/>
        <v>0</v>
      </c>
      <c r="Q339" s="16">
        <f t="shared" si="161"/>
        <v>0</v>
      </c>
      <c r="R339" s="16">
        <f t="shared" si="162"/>
        <v>0</v>
      </c>
      <c r="S339" s="16">
        <f>(SRP_SP+SUM(S$91:S338))*L339*IF(D339=$A$91,SRP_finalmonthfactor,1)</f>
        <v>0</v>
      </c>
      <c r="T339" s="74">
        <f>MIN(IF($AV339=0,0,
IF(Investment_Strategy="DIS",VLOOKUP(Investment_Strategy&amp;"_"&amp;Investment_Strategy_Sub1&amp;"_"&amp;$A339,'Investment Strategies'!$AZ:$BP,12,FALSE),
IF(AND(Investment_Strategy="Lifecycle",Investment_Strategy_Sub1="Non-Standard"),VLOOKUP(Investment_Strategy&amp;"_"&amp;Investment_Strategy_Sub2&amp;"_"&amp;$A339,'Investment Strategies'!$C:$P,9,FALSE),
IF(AND(Investment_Strategy="Lifecycle",Investment_Strategy_Sub1="Standard"),VLOOKUP(Investment_Strategy&amp;"_"&amp;Investment_Strategy_Sub2&amp;"_"&amp;$A339,'Investment Strategies'!$AJ:$AV,8,FALSE),
IF(AND(Investment_Strategy="Autopilot",Investment_Strategy_Sub1="Non-Standard"),VLOOKUP(Investment_Strategy&amp;"_"&amp;Investment_Strategy_Sub2&amp;"_"&amp;$A339,'Investment Strategies'!$T:$AF,8,FALSE),
IF(Investment_Strategy ="DIY",DIY_RateOfReturn_FuturePremiums,
"Error")))))),Max_InvReturn)</f>
        <v>0</v>
      </c>
      <c r="U339" s="62">
        <f>IF($AV339=0,0,
IF(Investment_Strategy="DIS",VLOOKUP(Investment_Strategy&amp;"_"&amp;Investment_Strategy_Sub1&amp;"_"&amp;$A339,'Investment Strategies'!$AZ:$BP,15,FALSE),
IF(AND(Investment_Strategy="Lifecycle",Investment_Strategy_Sub1="Non-Standard"),VLOOKUP(Investment_Strategy&amp;"_"&amp;Investment_Strategy_Sub2&amp;"_"&amp;$A339,'Investment Strategies'!$C:$P,12,FALSE),
IF(AND(Investment_Strategy="Lifecycle",Investment_Strategy_Sub1="Standard"),VLOOKUP(Investment_Strategy&amp;"_"&amp;Investment_Strategy_Sub2&amp;"_"&amp;$A339,'Investment Strategies'!$AJ:$AV,11,FALSE),
IF(AND(Investment_Strategy="Autopilot",Investment_Strategy_Sub1="Non-Standard"),VLOOKUP(Investment_Strategy&amp;"_"&amp;Investment_Strategy_Sub2&amp;"_"&amp;$A339,'Investment Strategies'!$T:$AF,11,FALSE),
IF(Investment_Strategy="DIY",DIY_GteeChrge_FuturePremiums,
"Error"))))))</f>
        <v>0</v>
      </c>
      <c r="V339" s="33">
        <f>IF(AV339=0,0,
IF(Investment_Strategy="DIS",VLOOKUP(Investment_Strategy&amp;"_"&amp;Investment_Strategy_Sub1&amp;"_"&amp;$A339,'Investment Strategies'!$AZ:$BP,17,FALSE),
IF(AND(Investment_Strategy="Lifecycle",Investment_Strategy_Sub1="Non-Standard"),VLOOKUP(Investment_Strategy&amp;"_"&amp;Investment_Strategy_Sub2&amp;"_"&amp;$A339,'Investment Strategies'!$C:$P,14,FALSE),
IF(AND(Investment_Strategy="Lifecycle",Investment_Strategy_Sub1="Standard"),VLOOKUP(Investment_Strategy&amp;"_"&amp;Investment_Strategy_Sub2&amp;"_"&amp;$A339,'Investment Strategies'!$AJ:$AV,13,FALSE),
IF(AND(Investment_Strategy="Autopilot",Investment_Strategy_Sub1="Non-Standard"),VLOOKUP(Investment_Strategy&amp;"_"&amp;Investment_Strategy_Sub2&amp;"_"&amp;$A339,'Investment Strategies'!$T:$AF,13,FALSE),
IF(Investment_Strategy="DIY",DIY_ExtManChrge_FuturePremiums,
"Error"))))))</f>
        <v>0</v>
      </c>
      <c r="W339" s="16">
        <f t="shared" si="188"/>
        <v>0</v>
      </c>
      <c r="X339" s="16">
        <f t="shared" si="163"/>
        <v>0</v>
      </c>
      <c r="Y339" s="16">
        <f t="shared" si="164"/>
        <v>0</v>
      </c>
      <c r="Z339" s="31">
        <f t="shared" si="165"/>
        <v>0.02</v>
      </c>
      <c r="AA339" s="16">
        <f t="shared" si="166"/>
        <v>0</v>
      </c>
      <c r="AB339" s="28">
        <f t="shared" si="189"/>
        <v>0</v>
      </c>
      <c r="AC339" s="28">
        <f>(SUM($AC$91:AC338)+SUM($X$91:X338)+X339)*T339*IF(D339=$A$91,SRP_finalmonthfactor,1)</f>
        <v>0</v>
      </c>
      <c r="AD339" s="16">
        <f t="shared" si="167"/>
        <v>0</v>
      </c>
      <c r="AE339" s="106"/>
      <c r="AF339" s="16">
        <f t="shared" si="176"/>
        <v>0</v>
      </c>
      <c r="AG339" s="16">
        <f t="shared" si="177"/>
        <v>0</v>
      </c>
      <c r="AH339" s="16">
        <f t="shared" si="178"/>
        <v>0</v>
      </c>
      <c r="AJ339" s="13">
        <f t="shared" si="202"/>
        <v>0</v>
      </c>
      <c r="AK339" s="13">
        <f t="shared" si="202"/>
        <v>0</v>
      </c>
      <c r="AL339" s="13">
        <f t="shared" si="202"/>
        <v>0</v>
      </c>
      <c r="AM339" s="13">
        <f t="shared" si="202"/>
        <v>0</v>
      </c>
      <c r="AN339" s="13">
        <f t="shared" si="202"/>
        <v>0</v>
      </c>
      <c r="AO339" s="13">
        <f t="shared" si="202"/>
        <v>1</v>
      </c>
      <c r="AP339" s="13">
        <f t="shared" si="202"/>
        <v>1</v>
      </c>
      <c r="AQ339" s="13">
        <f t="shared" si="202"/>
        <v>1</v>
      </c>
      <c r="AR339" s="13">
        <f t="shared" si="202"/>
        <v>1</v>
      </c>
      <c r="AS339" s="13">
        <f t="shared" si="202"/>
        <v>1</v>
      </c>
      <c r="AT339" s="13">
        <f t="shared" si="202"/>
        <v>1</v>
      </c>
      <c r="AU339" s="13">
        <f t="shared" si="202"/>
        <v>1</v>
      </c>
      <c r="AV339" s="13">
        <f t="shared" si="168"/>
        <v>0</v>
      </c>
      <c r="AW339" s="13">
        <f t="shared" si="169"/>
        <v>1</v>
      </c>
      <c r="AY339" s="17">
        <f t="shared" si="170"/>
        <v>249</v>
      </c>
      <c r="AZ339" s="28">
        <f t="shared" si="179"/>
        <v>0</v>
      </c>
      <c r="BA339" s="13">
        <f t="shared" si="171"/>
        <v>0</v>
      </c>
      <c r="BB339" s="13">
        <f t="shared" si="172"/>
        <v>0</v>
      </c>
      <c r="BC339" s="28">
        <f t="shared" si="180"/>
        <v>0</v>
      </c>
      <c r="BD339" s="28">
        <f t="shared" si="181"/>
        <v>0</v>
      </c>
      <c r="BF339" s="248">
        <f t="shared" si="182"/>
        <v>993869.29442638322</v>
      </c>
    </row>
    <row r="340" spans="1:58">
      <c r="A340" s="32">
        <f t="shared" si="184"/>
        <v>-165</v>
      </c>
      <c r="B340" s="32">
        <f t="shared" si="174"/>
        <v>73</v>
      </c>
      <c r="C340" s="32">
        <f t="shared" si="185"/>
        <v>21</v>
      </c>
      <c r="D340" s="32">
        <f t="shared" si="186"/>
        <v>250</v>
      </c>
      <c r="E340" s="74">
        <f>MIN(IF(AV340=0,0,
IF(Investment_Strategy="DIS",VLOOKUP(Investment_Strategy&amp;"_"&amp;Investment_Strategy_Sub1&amp;"_"&amp;$A340,'Investment Strategies'!$AZ:$BP,12,FALSE),
IF(AND(Investment_Strategy="Lifecycle",Investment_Strategy_Sub1="Non-Standard"),VLOOKUP(Investment_Strategy&amp;"_"&amp;Investment_Strategy_Sub2&amp;"_"&amp;$A340,'Investment Strategies'!$C:$P,9,FALSE),
IF(AND(Investment_Strategy="Lifecycle",Investment_Strategy_Sub1="Standard"),VLOOKUP(Investment_Strategy&amp;"_"&amp;Investment_Strategy_Sub2&amp;"_"&amp;$A340,'Investment Strategies'!$AJ:$AV,8,FALSE),
IF(AND(Investment_Strategy="Autopilot",Investment_Strategy_Sub1="Non-Standard"),VLOOKUP(Investment_Strategy&amp;"_"&amp;Investment_Strategy_Sub2&amp;"_"&amp;$A340,'Investment Strategies'!$T:$AF,8,FALSE),
IF(Investment_Strategy ="DIY",DIY_RateOfReturn_CurrentFunds,
"Error")))))),Max_InvReturn)</f>
        <v>0</v>
      </c>
      <c r="F340" s="62">
        <f>IF(AV340=0,0,
IF(Investment_Strategy="DIS",VLOOKUP(Investment_Strategy&amp;"_"&amp;Investment_Strategy_Sub1&amp;"_"&amp;$A340,'Investment Strategies'!$AZ:$BP,15,FALSE),
IF(AND(Investment_Strategy="Lifecycle",Investment_Strategy_Sub1="Non-Standard"),VLOOKUP(Investment_Strategy&amp;"_"&amp;Investment_Strategy_Sub2&amp;"_"&amp;$A340,'Investment Strategies'!$C:$P,12,FALSE),
IF(AND(Investment_Strategy="Lifecycle",Investment_Strategy_Sub1="Standard"),VLOOKUP(Investment_Strategy&amp;"_"&amp;Investment_Strategy_Sub2&amp;"_"&amp;$A340,'Investment Strategies'!$AJ:$AV,11,FALSE),
IF(AND(Investment_Strategy="Autopilot",Investment_Strategy_Sub1="Non-Standard"),VLOOKUP(Investment_Strategy&amp;"_"&amp;Investment_Strategy_Sub2&amp;"_"&amp;$A340,'Investment Strategies'!$T:$AF,11,FALSE),
IF(Investment_Strategy="DIY",DIY_GteeChrge_CurrentFunds,
"Error"))))))</f>
        <v>0</v>
      </c>
      <c r="G340" s="33">
        <f>IF(AV340=0,0,
IF(Investment_Strategy="DIS",VLOOKUP(Investment_Strategy&amp;"_"&amp;Investment_Strategy_Sub1&amp;"_"&amp;$A340,'Investment Strategies'!$AZ:$BP,17,FALSE),
IF(AND(Investment_Strategy="Lifecycle",Investment_Strategy_Sub1="Non-Standard"),VLOOKUP(Investment_Strategy&amp;"_"&amp;Investment_Strategy_Sub2&amp;"_"&amp;$A340,'Investment Strategies'!$C:$P,14,FALSE),
IF(AND(Investment_Strategy="Lifecycle",Investment_Strategy_Sub1="Standard"),VLOOKUP(Investment_Strategy&amp;"_"&amp;Investment_Strategy_Sub2&amp;"_"&amp;$A340,'Investment Strategies'!$AJ:$AV,13,FALSE),
IF(AND(Investment_Strategy="Autopilot",Investment_Strategy_Sub1="Non-Standard"),VLOOKUP(Investment_Strategy&amp;"_"&amp;Investment_Strategy_Sub2&amp;"_"&amp;$A340,'Investment Strategies'!$T:$AF,13,FALSE),
IF(Investment_Strategy="DIY",DIY_ExtManChrge_CurrentFunds,
"Error"))))))</f>
        <v>0</v>
      </c>
      <c r="H340" s="16">
        <f t="shared" si="175"/>
        <v>0</v>
      </c>
      <c r="I340" s="16">
        <f t="shared" si="159"/>
        <v>0</v>
      </c>
      <c r="J340" s="16">
        <f t="shared" si="160"/>
        <v>0</v>
      </c>
      <c r="K340" s="16">
        <f>(Opening_Fund_Value+SUM(K$91:K339))*E340*IF(D340=$A$91,SRP_finalmonthfactor,1)</f>
        <v>0</v>
      </c>
      <c r="L340" s="74">
        <f>MIN(IF($AV340=0,0,
IF(Investment_Strategy="DIS",VLOOKUP(Investment_Strategy&amp;"_"&amp;Investment_Strategy_Sub1&amp;"_"&amp;$A340,'Investment Strategies'!$AZ:$BP,12,FALSE),
IF(AND(Investment_Strategy="Lifecycle",Investment_Strategy_Sub1="Non-Standard"),VLOOKUP(Investment_Strategy&amp;"_"&amp;Investment_Strategy_Sub2&amp;"_"&amp;$A340,'Investment Strategies'!$C:$P,9,FALSE),
IF(AND(Investment_Strategy="Lifecycle",Investment_Strategy_Sub1="Standard"),VLOOKUP(Investment_Strategy&amp;"_"&amp;Investment_Strategy_Sub2&amp;"_"&amp;$A340,'Investment Strategies'!$AJ:$AV,8,FALSE),
IF(AND(Investment_Strategy="Autopilot",Investment_Strategy_Sub1="Non-Standard"),VLOOKUP(Investment_Strategy&amp;"_"&amp;Investment_Strategy_Sub2&amp;"_"&amp;$A340,'Investment Strategies'!$T:$AF,8,FALSE),
IF(Investment_Strategy ="DIY",DIY_RateofReturn_SP,
"Error")))))),Max_InvReturn)</f>
        <v>0</v>
      </c>
      <c r="M340" s="62">
        <f>IF($AV340=0,0,
IF(Investment_Strategy="DIS",VLOOKUP(Investment_Strategy&amp;"_"&amp;Investment_Strategy_Sub1&amp;"_"&amp;$A340,'Investment Strategies'!$AZ:$BP,15,FALSE),
IF(AND(Investment_Strategy="Lifecycle",Investment_Strategy_Sub1="Non-Standard"),VLOOKUP(Investment_Strategy&amp;"_"&amp;Investment_Strategy_Sub2&amp;"_"&amp;$A340,'Investment Strategies'!$C:$P,12,FALSE),
IF(AND(Investment_Strategy="Lifecycle",Investment_Strategy_Sub1="Standard"),VLOOKUP(Investment_Strategy&amp;"_"&amp;Investment_Strategy_Sub2&amp;"_"&amp;$A340,'Investment Strategies'!$AJ:$AV,11,FALSE),
IF(AND(Investment_Strategy="Autopilot",Investment_Strategy_Sub1="Non-Standard"),VLOOKUP(Investment_Strategy&amp;"_"&amp;Investment_Strategy_Sub2&amp;"_"&amp;$A340,'Investment Strategies'!$T:$AF,11,FALSE),
IF(Investment_Strategy="DIY",DIY_GteeChrge_SP,
"Error"))))))</f>
        <v>0</v>
      </c>
      <c r="N340" s="33">
        <f>IF($AV340=0,0,
IF(Investment_Strategy="DIS",VLOOKUP(Investment_Strategy&amp;"_"&amp;Investment_Strategy_Sub1&amp;"_"&amp;$A340,'Investment Strategies'!$AZ:$BP,17,FALSE),
IF(AND(Investment_Strategy="Lifecycle",Investment_Strategy_Sub1="Non-Standard"),VLOOKUP(Investment_Strategy&amp;"_"&amp;Investment_Strategy_Sub2&amp;"_"&amp;$A340,'Investment Strategies'!$C:$P,14,FALSE),
IF(AND(Investment_Strategy="Lifecycle",Investment_Strategy_Sub1="Standard"),VLOOKUP(Investment_Strategy&amp;"_"&amp;Investment_Strategy_Sub2&amp;"_"&amp;$A340,'Investment Strategies'!$AJ:$AV,13,FALSE),
IF(AND(Investment_Strategy="Autopilot",Investment_Strategy_Sub1="Non-Standard"),VLOOKUP(Investment_Strategy&amp;"_"&amp;Investment_Strategy_Sub2&amp;"_"&amp;$A340,'Investment Strategies'!$T:$AF,13,FALSE),
IF(Investment_Strategy="DIY",DIY_ExtManChrge_SP,
"Error"))))))</f>
        <v>0</v>
      </c>
      <c r="O340" s="16">
        <f t="shared" si="187"/>
        <v>0</v>
      </c>
      <c r="Q340" s="16">
        <f t="shared" si="161"/>
        <v>0</v>
      </c>
      <c r="R340" s="16">
        <f t="shared" ref="R340:R403" si="203">IF($AV340=0,0,
-(($O340+($P340)*(1-SRP_Contrib_Chge_SP)+Q340/2)*(SRP_Monthly_Admin_Chge+$M340+$N340)*IF(D340=$A$91,SRP_finalmonthfactor,1)+
($P340)*SRP_Contrib_Chge_SP)*IF(D340=$A$91,SRP_finalmonthfactor,1))</f>
        <v>0</v>
      </c>
      <c r="S340" s="16">
        <f>(SRP_SP+SUM(S$91:S339))*L340*IF(D340=$A$91,SRP_finalmonthfactor,1)</f>
        <v>0</v>
      </c>
      <c r="T340" s="74">
        <f>MIN(IF($AV340=0,0,
IF(Investment_Strategy="DIS",VLOOKUP(Investment_Strategy&amp;"_"&amp;Investment_Strategy_Sub1&amp;"_"&amp;$A340,'Investment Strategies'!$AZ:$BP,12,FALSE),
IF(AND(Investment_Strategy="Lifecycle",Investment_Strategy_Sub1="Non-Standard"),VLOOKUP(Investment_Strategy&amp;"_"&amp;Investment_Strategy_Sub2&amp;"_"&amp;$A340,'Investment Strategies'!$C:$P,9,FALSE),
IF(AND(Investment_Strategy="Lifecycle",Investment_Strategy_Sub1="Standard"),VLOOKUP(Investment_Strategy&amp;"_"&amp;Investment_Strategy_Sub2&amp;"_"&amp;$A340,'Investment Strategies'!$AJ:$AV,8,FALSE),
IF(AND(Investment_Strategy="Autopilot",Investment_Strategy_Sub1="Non-Standard"),VLOOKUP(Investment_Strategy&amp;"_"&amp;Investment_Strategy_Sub2&amp;"_"&amp;$A340,'Investment Strategies'!$T:$AF,8,FALSE),
IF(Investment_Strategy ="DIY",DIY_RateOfReturn_FuturePremiums,
"Error")))))),Max_InvReturn)</f>
        <v>0</v>
      </c>
      <c r="U340" s="62">
        <f>IF($AV340=0,0,
IF(Investment_Strategy="DIS",VLOOKUP(Investment_Strategy&amp;"_"&amp;Investment_Strategy_Sub1&amp;"_"&amp;$A340,'Investment Strategies'!$AZ:$BP,15,FALSE),
IF(AND(Investment_Strategy="Lifecycle",Investment_Strategy_Sub1="Non-Standard"),VLOOKUP(Investment_Strategy&amp;"_"&amp;Investment_Strategy_Sub2&amp;"_"&amp;$A340,'Investment Strategies'!$C:$P,12,FALSE),
IF(AND(Investment_Strategy="Lifecycle",Investment_Strategy_Sub1="Standard"),VLOOKUP(Investment_Strategy&amp;"_"&amp;Investment_Strategy_Sub2&amp;"_"&amp;$A340,'Investment Strategies'!$AJ:$AV,11,FALSE),
IF(AND(Investment_Strategy="Autopilot",Investment_Strategy_Sub1="Non-Standard"),VLOOKUP(Investment_Strategy&amp;"_"&amp;Investment_Strategy_Sub2&amp;"_"&amp;$A340,'Investment Strategies'!$T:$AF,11,FALSE),
IF(Investment_Strategy="DIY",DIY_GteeChrge_FuturePremiums,
"Error"))))))</f>
        <v>0</v>
      </c>
      <c r="V340" s="33">
        <f>IF(AV340=0,0,
IF(Investment_Strategy="DIS",VLOOKUP(Investment_Strategy&amp;"_"&amp;Investment_Strategy_Sub1&amp;"_"&amp;$A340,'Investment Strategies'!$AZ:$BP,17,FALSE),
IF(AND(Investment_Strategy="Lifecycle",Investment_Strategy_Sub1="Non-Standard"),VLOOKUP(Investment_Strategy&amp;"_"&amp;Investment_Strategy_Sub2&amp;"_"&amp;$A340,'Investment Strategies'!$C:$P,14,FALSE),
IF(AND(Investment_Strategy="Lifecycle",Investment_Strategy_Sub1="Standard"),VLOOKUP(Investment_Strategy&amp;"_"&amp;Investment_Strategy_Sub2&amp;"_"&amp;$A340,'Investment Strategies'!$AJ:$AV,13,FALSE),
IF(AND(Investment_Strategy="Autopilot",Investment_Strategy_Sub1="Non-Standard"),VLOOKUP(Investment_Strategy&amp;"_"&amp;Investment_Strategy_Sub2&amp;"_"&amp;$A340,'Investment Strategies'!$T:$AF,13,FALSE),
IF(Investment_Strategy="DIY",DIY_ExtManChrge_FuturePremiums,
"Error"))))))</f>
        <v>0</v>
      </c>
      <c r="W340" s="16">
        <f t="shared" si="188"/>
        <v>0</v>
      </c>
      <c r="X340" s="16">
        <f t="shared" si="163"/>
        <v>0</v>
      </c>
      <c r="Y340" s="16">
        <f t="shared" si="164"/>
        <v>0</v>
      </c>
      <c r="Z340" s="31">
        <f t="shared" si="165"/>
        <v>0.02</v>
      </c>
      <c r="AA340" s="16">
        <f t="shared" si="166"/>
        <v>0</v>
      </c>
      <c r="AB340" s="28">
        <f t="shared" si="189"/>
        <v>0</v>
      </c>
      <c r="AC340" s="28">
        <f>(SUM($AC$91:AC339)+SUM($X$91:X339)+X340)*T340*IF(D340=$A$91,SRP_finalmonthfactor,1)</f>
        <v>0</v>
      </c>
      <c r="AD340" s="16">
        <f t="shared" si="167"/>
        <v>0</v>
      </c>
      <c r="AE340" s="106"/>
      <c r="AF340" s="16">
        <f t="shared" si="176"/>
        <v>0</v>
      </c>
      <c r="AG340" s="16">
        <f t="shared" si="177"/>
        <v>0</v>
      </c>
      <c r="AH340" s="16">
        <f t="shared" si="178"/>
        <v>0</v>
      </c>
      <c r="AJ340" s="13">
        <f t="shared" si="202"/>
        <v>0</v>
      </c>
      <c r="AK340" s="13">
        <f t="shared" si="202"/>
        <v>0</v>
      </c>
      <c r="AL340" s="13">
        <f t="shared" si="202"/>
        <v>0</v>
      </c>
      <c r="AM340" s="13">
        <f t="shared" si="202"/>
        <v>0</v>
      </c>
      <c r="AN340" s="13">
        <f t="shared" si="202"/>
        <v>0</v>
      </c>
      <c r="AO340" s="13">
        <f t="shared" si="202"/>
        <v>1</v>
      </c>
      <c r="AP340" s="13">
        <f t="shared" si="202"/>
        <v>1</v>
      </c>
      <c r="AQ340" s="13">
        <f t="shared" si="202"/>
        <v>1</v>
      </c>
      <c r="AR340" s="13">
        <f t="shared" si="202"/>
        <v>1</v>
      </c>
      <c r="AS340" s="13">
        <f t="shared" si="202"/>
        <v>1</v>
      </c>
      <c r="AT340" s="13">
        <f t="shared" si="202"/>
        <v>1</v>
      </c>
      <c r="AU340" s="13">
        <f t="shared" si="202"/>
        <v>1</v>
      </c>
      <c r="AV340" s="13">
        <f t="shared" si="168"/>
        <v>0</v>
      </c>
      <c r="AW340" s="13">
        <f t="shared" si="169"/>
        <v>1</v>
      </c>
      <c r="AY340" s="17">
        <f t="shared" si="170"/>
        <v>250</v>
      </c>
      <c r="AZ340" s="28">
        <f t="shared" si="179"/>
        <v>0</v>
      </c>
      <c r="BA340" s="13">
        <f t="shared" si="171"/>
        <v>0</v>
      </c>
      <c r="BB340" s="13">
        <f t="shared" si="172"/>
        <v>0</v>
      </c>
      <c r="BC340" s="28">
        <f t="shared" si="180"/>
        <v>0</v>
      </c>
      <c r="BD340" s="28">
        <f>SUM(AZ340,BB340)</f>
        <v>0</v>
      </c>
      <c r="BF340" s="248">
        <f t="shared" si="182"/>
        <v>993869.29442638322</v>
      </c>
    </row>
    <row r="341" spans="1:58">
      <c r="A341" s="32">
        <f t="shared" si="184"/>
        <v>-166</v>
      </c>
      <c r="B341" s="32">
        <f t="shared" si="174"/>
        <v>73</v>
      </c>
      <c r="C341" s="32">
        <f t="shared" si="185"/>
        <v>21</v>
      </c>
      <c r="D341" s="32">
        <f t="shared" si="186"/>
        <v>251</v>
      </c>
      <c r="E341" s="74">
        <f>MIN(IF(AV341=0,0,
IF(Investment_Strategy="DIS",VLOOKUP(Investment_Strategy&amp;"_"&amp;Investment_Strategy_Sub1&amp;"_"&amp;$A341,'Investment Strategies'!$AZ:$BP,12,FALSE),
IF(AND(Investment_Strategy="Lifecycle",Investment_Strategy_Sub1="Non-Standard"),VLOOKUP(Investment_Strategy&amp;"_"&amp;Investment_Strategy_Sub2&amp;"_"&amp;$A341,'Investment Strategies'!$C:$P,9,FALSE),
IF(AND(Investment_Strategy="Lifecycle",Investment_Strategy_Sub1="Standard"),VLOOKUP(Investment_Strategy&amp;"_"&amp;Investment_Strategy_Sub2&amp;"_"&amp;$A341,'Investment Strategies'!$AJ:$AV,8,FALSE),
IF(AND(Investment_Strategy="Autopilot",Investment_Strategy_Sub1="Non-Standard"),VLOOKUP(Investment_Strategy&amp;"_"&amp;Investment_Strategy_Sub2&amp;"_"&amp;$A341,'Investment Strategies'!$T:$AF,8,FALSE),
IF(Investment_Strategy ="DIY",DIY_RateOfReturn_CurrentFunds,
"Error")))))),Max_InvReturn)</f>
        <v>0</v>
      </c>
      <c r="F341" s="62">
        <f>IF(AV341=0,0,
IF(Investment_Strategy="DIS",VLOOKUP(Investment_Strategy&amp;"_"&amp;Investment_Strategy_Sub1&amp;"_"&amp;$A341,'Investment Strategies'!$AZ:$BP,15,FALSE),
IF(AND(Investment_Strategy="Lifecycle",Investment_Strategy_Sub1="Non-Standard"),VLOOKUP(Investment_Strategy&amp;"_"&amp;Investment_Strategy_Sub2&amp;"_"&amp;$A341,'Investment Strategies'!$C:$P,12,FALSE),
IF(AND(Investment_Strategy="Lifecycle",Investment_Strategy_Sub1="Standard"),VLOOKUP(Investment_Strategy&amp;"_"&amp;Investment_Strategy_Sub2&amp;"_"&amp;$A341,'Investment Strategies'!$AJ:$AV,11,FALSE),
IF(AND(Investment_Strategy="Autopilot",Investment_Strategy_Sub1="Non-Standard"),VLOOKUP(Investment_Strategy&amp;"_"&amp;Investment_Strategy_Sub2&amp;"_"&amp;$A341,'Investment Strategies'!$T:$AF,11,FALSE),
IF(Investment_Strategy="DIY",DIY_GteeChrge_CurrentFunds,
"Error"))))))</f>
        <v>0</v>
      </c>
      <c r="G341" s="33">
        <f>IF(AV341=0,0,
IF(Investment_Strategy="DIS",VLOOKUP(Investment_Strategy&amp;"_"&amp;Investment_Strategy_Sub1&amp;"_"&amp;$A341,'Investment Strategies'!$AZ:$BP,17,FALSE),
IF(AND(Investment_Strategy="Lifecycle",Investment_Strategy_Sub1="Non-Standard"),VLOOKUP(Investment_Strategy&amp;"_"&amp;Investment_Strategy_Sub2&amp;"_"&amp;$A341,'Investment Strategies'!$C:$P,14,FALSE),
IF(AND(Investment_Strategy="Lifecycle",Investment_Strategy_Sub1="Standard"),VLOOKUP(Investment_Strategy&amp;"_"&amp;Investment_Strategy_Sub2&amp;"_"&amp;$A341,'Investment Strategies'!$AJ:$AV,13,FALSE),
IF(AND(Investment_Strategy="Autopilot",Investment_Strategy_Sub1="Non-Standard"),VLOOKUP(Investment_Strategy&amp;"_"&amp;Investment_Strategy_Sub2&amp;"_"&amp;$A341,'Investment Strategies'!$T:$AF,13,FALSE),
IF(Investment_Strategy="DIY",DIY_ExtManChrge_CurrentFunds,
"Error"))))))</f>
        <v>0</v>
      </c>
      <c r="H341" s="16">
        <f t="shared" si="175"/>
        <v>0</v>
      </c>
      <c r="I341" s="16">
        <f t="shared" si="159"/>
        <v>0</v>
      </c>
      <c r="J341" s="16">
        <f t="shared" si="160"/>
        <v>0</v>
      </c>
      <c r="K341" s="16">
        <f>(Opening_Fund_Value+SUM(K$91:K340))*E341*IF(D341=$A$91,SRP_finalmonthfactor,1)</f>
        <v>0</v>
      </c>
      <c r="L341" s="74">
        <f>MIN(IF($AV341=0,0,
IF(Investment_Strategy="DIS",VLOOKUP(Investment_Strategy&amp;"_"&amp;Investment_Strategy_Sub1&amp;"_"&amp;$A341,'Investment Strategies'!$AZ:$BP,12,FALSE),
IF(AND(Investment_Strategy="Lifecycle",Investment_Strategy_Sub1="Non-Standard"),VLOOKUP(Investment_Strategy&amp;"_"&amp;Investment_Strategy_Sub2&amp;"_"&amp;$A341,'Investment Strategies'!$C:$P,9,FALSE),
IF(AND(Investment_Strategy="Lifecycle",Investment_Strategy_Sub1="Standard"),VLOOKUP(Investment_Strategy&amp;"_"&amp;Investment_Strategy_Sub2&amp;"_"&amp;$A341,'Investment Strategies'!$AJ:$AV,8,FALSE),
IF(AND(Investment_Strategy="Autopilot",Investment_Strategy_Sub1="Non-Standard"),VLOOKUP(Investment_Strategy&amp;"_"&amp;Investment_Strategy_Sub2&amp;"_"&amp;$A341,'Investment Strategies'!$T:$AF,8,FALSE),
IF(Investment_Strategy ="DIY",DIY_RateofReturn_SP,
"Error")))))),Max_InvReturn)</f>
        <v>0</v>
      </c>
      <c r="M341" s="62">
        <f>IF($AV341=0,0,
IF(Investment_Strategy="DIS",VLOOKUP(Investment_Strategy&amp;"_"&amp;Investment_Strategy_Sub1&amp;"_"&amp;$A341,'Investment Strategies'!$AZ:$BP,15,FALSE),
IF(AND(Investment_Strategy="Lifecycle",Investment_Strategy_Sub1="Non-Standard"),VLOOKUP(Investment_Strategy&amp;"_"&amp;Investment_Strategy_Sub2&amp;"_"&amp;$A341,'Investment Strategies'!$C:$P,12,FALSE),
IF(AND(Investment_Strategy="Lifecycle",Investment_Strategy_Sub1="Standard"),VLOOKUP(Investment_Strategy&amp;"_"&amp;Investment_Strategy_Sub2&amp;"_"&amp;$A341,'Investment Strategies'!$AJ:$AV,11,FALSE),
IF(AND(Investment_Strategy="Autopilot",Investment_Strategy_Sub1="Non-Standard"),VLOOKUP(Investment_Strategy&amp;"_"&amp;Investment_Strategy_Sub2&amp;"_"&amp;$A341,'Investment Strategies'!$T:$AF,11,FALSE),
IF(Investment_Strategy="DIY",DIY_GteeChrge_SP,
"Error"))))))</f>
        <v>0</v>
      </c>
      <c r="N341" s="33">
        <f>IF($AV341=0,0,
IF(Investment_Strategy="DIS",VLOOKUP(Investment_Strategy&amp;"_"&amp;Investment_Strategy_Sub1&amp;"_"&amp;$A341,'Investment Strategies'!$AZ:$BP,17,FALSE),
IF(AND(Investment_Strategy="Lifecycle",Investment_Strategy_Sub1="Non-Standard"),VLOOKUP(Investment_Strategy&amp;"_"&amp;Investment_Strategy_Sub2&amp;"_"&amp;$A341,'Investment Strategies'!$C:$P,14,FALSE),
IF(AND(Investment_Strategy="Lifecycle",Investment_Strategy_Sub1="Standard"),VLOOKUP(Investment_Strategy&amp;"_"&amp;Investment_Strategy_Sub2&amp;"_"&amp;$A341,'Investment Strategies'!$AJ:$AV,13,FALSE),
IF(AND(Investment_Strategy="Autopilot",Investment_Strategy_Sub1="Non-Standard"),VLOOKUP(Investment_Strategy&amp;"_"&amp;Investment_Strategy_Sub2&amp;"_"&amp;$A341,'Investment Strategies'!$T:$AF,13,FALSE),
IF(Investment_Strategy="DIY",DIY_ExtManChrge_SP,
"Error"))))))</f>
        <v>0</v>
      </c>
      <c r="O341" s="16">
        <f t="shared" si="187"/>
        <v>0</v>
      </c>
      <c r="Q341" s="16">
        <f t="shared" si="161"/>
        <v>0</v>
      </c>
      <c r="R341" s="16">
        <f t="shared" si="203"/>
        <v>0</v>
      </c>
      <c r="S341" s="16">
        <f>(SRP_SP+SUM(S$91:S340))*L341*IF(D341=$A$91,SRP_finalmonthfactor,1)</f>
        <v>0</v>
      </c>
      <c r="T341" s="74">
        <f>MIN(IF($AV341=0,0,
IF(Investment_Strategy="DIS",VLOOKUP(Investment_Strategy&amp;"_"&amp;Investment_Strategy_Sub1&amp;"_"&amp;$A341,'Investment Strategies'!$AZ:$BP,12,FALSE),
IF(AND(Investment_Strategy="Lifecycle",Investment_Strategy_Sub1="Non-Standard"),VLOOKUP(Investment_Strategy&amp;"_"&amp;Investment_Strategy_Sub2&amp;"_"&amp;$A341,'Investment Strategies'!$C:$P,9,FALSE),
IF(AND(Investment_Strategy="Lifecycle",Investment_Strategy_Sub1="Standard"),VLOOKUP(Investment_Strategy&amp;"_"&amp;Investment_Strategy_Sub2&amp;"_"&amp;$A341,'Investment Strategies'!$AJ:$AV,8,FALSE),
IF(AND(Investment_Strategy="Autopilot",Investment_Strategy_Sub1="Non-Standard"),VLOOKUP(Investment_Strategy&amp;"_"&amp;Investment_Strategy_Sub2&amp;"_"&amp;$A341,'Investment Strategies'!$T:$AF,8,FALSE),
IF(Investment_Strategy ="DIY",DIY_RateOfReturn_FuturePremiums,
"Error")))))),Max_InvReturn)</f>
        <v>0</v>
      </c>
      <c r="U341" s="62">
        <f>IF($AV341=0,0,
IF(Investment_Strategy="DIS",VLOOKUP(Investment_Strategy&amp;"_"&amp;Investment_Strategy_Sub1&amp;"_"&amp;$A341,'Investment Strategies'!$AZ:$BP,15,FALSE),
IF(AND(Investment_Strategy="Lifecycle",Investment_Strategy_Sub1="Non-Standard"),VLOOKUP(Investment_Strategy&amp;"_"&amp;Investment_Strategy_Sub2&amp;"_"&amp;$A341,'Investment Strategies'!$C:$P,12,FALSE),
IF(AND(Investment_Strategy="Lifecycle",Investment_Strategy_Sub1="Standard"),VLOOKUP(Investment_Strategy&amp;"_"&amp;Investment_Strategy_Sub2&amp;"_"&amp;$A341,'Investment Strategies'!$AJ:$AV,11,FALSE),
IF(AND(Investment_Strategy="Autopilot",Investment_Strategy_Sub1="Non-Standard"),VLOOKUP(Investment_Strategy&amp;"_"&amp;Investment_Strategy_Sub2&amp;"_"&amp;$A341,'Investment Strategies'!$T:$AF,11,FALSE),
IF(Investment_Strategy="DIY",DIY_GteeChrge_FuturePremiums,
"Error"))))))</f>
        <v>0</v>
      </c>
      <c r="V341" s="33">
        <f>IF(AV341=0,0,
IF(Investment_Strategy="DIS",VLOOKUP(Investment_Strategy&amp;"_"&amp;Investment_Strategy_Sub1&amp;"_"&amp;$A341,'Investment Strategies'!$AZ:$BP,17,FALSE),
IF(AND(Investment_Strategy="Lifecycle",Investment_Strategy_Sub1="Non-Standard"),VLOOKUP(Investment_Strategy&amp;"_"&amp;Investment_Strategy_Sub2&amp;"_"&amp;$A341,'Investment Strategies'!$C:$P,14,FALSE),
IF(AND(Investment_Strategy="Lifecycle",Investment_Strategy_Sub1="Standard"),VLOOKUP(Investment_Strategy&amp;"_"&amp;Investment_Strategy_Sub2&amp;"_"&amp;$A341,'Investment Strategies'!$AJ:$AV,13,FALSE),
IF(AND(Investment_Strategy="Autopilot",Investment_Strategy_Sub1="Non-Standard"),VLOOKUP(Investment_Strategy&amp;"_"&amp;Investment_Strategy_Sub2&amp;"_"&amp;$A341,'Investment Strategies'!$T:$AF,13,FALSE),
IF(Investment_Strategy="DIY",DIY_ExtManChrge_FuturePremiums,
"Error"))))))</f>
        <v>0</v>
      </c>
      <c r="W341" s="16">
        <f t="shared" si="188"/>
        <v>0</v>
      </c>
      <c r="X341" s="16">
        <f t="shared" si="163"/>
        <v>0</v>
      </c>
      <c r="Y341" s="16">
        <f t="shared" si="164"/>
        <v>0</v>
      </c>
      <c r="Z341" s="31">
        <f t="shared" si="165"/>
        <v>0.02</v>
      </c>
      <c r="AA341" s="16">
        <f t="shared" si="166"/>
        <v>0</v>
      </c>
      <c r="AB341" s="28">
        <f t="shared" si="189"/>
        <v>0</v>
      </c>
      <c r="AC341" s="28">
        <f>(SUM($AC$91:AC340)+SUM($X$91:X340)+X341)*T341*IF(D341=$A$91,SRP_finalmonthfactor,1)</f>
        <v>0</v>
      </c>
      <c r="AD341" s="16">
        <f t="shared" si="167"/>
        <v>0</v>
      </c>
      <c r="AE341" s="106"/>
      <c r="AF341" s="16">
        <f t="shared" si="176"/>
        <v>0</v>
      </c>
      <c r="AG341" s="16">
        <f t="shared" si="177"/>
        <v>0</v>
      </c>
      <c r="AH341" s="16">
        <f t="shared" si="178"/>
        <v>0</v>
      </c>
      <c r="AJ341" s="13">
        <f t="shared" ref="AJ341:AU350" si="204">IF($C341&lt;=AJ$90,1,0)</f>
        <v>0</v>
      </c>
      <c r="AK341" s="13">
        <f t="shared" si="204"/>
        <v>0</v>
      </c>
      <c r="AL341" s="13">
        <f t="shared" si="204"/>
        <v>0</v>
      </c>
      <c r="AM341" s="13">
        <f t="shared" si="204"/>
        <v>0</v>
      </c>
      <c r="AN341" s="13">
        <f t="shared" si="204"/>
        <v>0</v>
      </c>
      <c r="AO341" s="13">
        <f t="shared" si="204"/>
        <v>1</v>
      </c>
      <c r="AP341" s="13">
        <f t="shared" si="204"/>
        <v>1</v>
      </c>
      <c r="AQ341" s="13">
        <f t="shared" si="204"/>
        <v>1</v>
      </c>
      <c r="AR341" s="13">
        <f t="shared" si="204"/>
        <v>1</v>
      </c>
      <c r="AS341" s="13">
        <f t="shared" si="204"/>
        <v>1</v>
      </c>
      <c r="AT341" s="13">
        <f t="shared" si="204"/>
        <v>1</v>
      </c>
      <c r="AU341" s="13">
        <f t="shared" si="204"/>
        <v>1</v>
      </c>
      <c r="AV341" s="13">
        <f t="shared" si="168"/>
        <v>0</v>
      </c>
      <c r="AW341" s="13">
        <f t="shared" si="169"/>
        <v>1</v>
      </c>
      <c r="AY341" s="17">
        <f t="shared" si="170"/>
        <v>251</v>
      </c>
      <c r="AZ341" s="28">
        <f t="shared" si="179"/>
        <v>0</v>
      </c>
      <c r="BA341" s="13">
        <f t="shared" si="171"/>
        <v>0</v>
      </c>
      <c r="BB341" s="13">
        <f t="shared" si="172"/>
        <v>0</v>
      </c>
      <c r="BC341" s="28">
        <f t="shared" si="180"/>
        <v>0</v>
      </c>
      <c r="BD341" s="28">
        <f t="shared" si="181"/>
        <v>0</v>
      </c>
      <c r="BF341" s="248">
        <f t="shared" si="182"/>
        <v>993869.29442638322</v>
      </c>
    </row>
    <row r="342" spans="1:58">
      <c r="A342" s="32">
        <f t="shared" si="184"/>
        <v>-167</v>
      </c>
      <c r="B342" s="32">
        <f t="shared" si="174"/>
        <v>73</v>
      </c>
      <c r="C342" s="32">
        <f t="shared" si="185"/>
        <v>21</v>
      </c>
      <c r="D342" s="32">
        <f t="shared" si="186"/>
        <v>252</v>
      </c>
      <c r="E342" s="74">
        <f>MIN(IF(AV342=0,0,
IF(Investment_Strategy="DIS",VLOOKUP(Investment_Strategy&amp;"_"&amp;Investment_Strategy_Sub1&amp;"_"&amp;$A342,'Investment Strategies'!$AZ:$BP,12,FALSE),
IF(AND(Investment_Strategy="Lifecycle",Investment_Strategy_Sub1="Non-Standard"),VLOOKUP(Investment_Strategy&amp;"_"&amp;Investment_Strategy_Sub2&amp;"_"&amp;$A342,'Investment Strategies'!$C:$P,9,FALSE),
IF(AND(Investment_Strategy="Lifecycle",Investment_Strategy_Sub1="Standard"),VLOOKUP(Investment_Strategy&amp;"_"&amp;Investment_Strategy_Sub2&amp;"_"&amp;$A342,'Investment Strategies'!$AJ:$AV,8,FALSE),
IF(AND(Investment_Strategy="Autopilot",Investment_Strategy_Sub1="Non-Standard"),VLOOKUP(Investment_Strategy&amp;"_"&amp;Investment_Strategy_Sub2&amp;"_"&amp;$A342,'Investment Strategies'!$T:$AF,8,FALSE),
IF(Investment_Strategy ="DIY",DIY_RateOfReturn_CurrentFunds,
"Error")))))),Max_InvReturn)</f>
        <v>0</v>
      </c>
      <c r="F342" s="62">
        <f>IF(AV342=0,0,
IF(Investment_Strategy="DIS",VLOOKUP(Investment_Strategy&amp;"_"&amp;Investment_Strategy_Sub1&amp;"_"&amp;$A342,'Investment Strategies'!$AZ:$BP,15,FALSE),
IF(AND(Investment_Strategy="Lifecycle",Investment_Strategy_Sub1="Non-Standard"),VLOOKUP(Investment_Strategy&amp;"_"&amp;Investment_Strategy_Sub2&amp;"_"&amp;$A342,'Investment Strategies'!$C:$P,12,FALSE),
IF(AND(Investment_Strategy="Lifecycle",Investment_Strategy_Sub1="Standard"),VLOOKUP(Investment_Strategy&amp;"_"&amp;Investment_Strategy_Sub2&amp;"_"&amp;$A342,'Investment Strategies'!$AJ:$AV,11,FALSE),
IF(AND(Investment_Strategy="Autopilot",Investment_Strategy_Sub1="Non-Standard"),VLOOKUP(Investment_Strategy&amp;"_"&amp;Investment_Strategy_Sub2&amp;"_"&amp;$A342,'Investment Strategies'!$T:$AF,11,FALSE),
IF(Investment_Strategy="DIY",DIY_GteeChrge_CurrentFunds,
"Error"))))))</f>
        <v>0</v>
      </c>
      <c r="G342" s="33">
        <f>IF(AV342=0,0,
IF(Investment_Strategy="DIS",VLOOKUP(Investment_Strategy&amp;"_"&amp;Investment_Strategy_Sub1&amp;"_"&amp;$A342,'Investment Strategies'!$AZ:$BP,17,FALSE),
IF(AND(Investment_Strategy="Lifecycle",Investment_Strategy_Sub1="Non-Standard"),VLOOKUP(Investment_Strategy&amp;"_"&amp;Investment_Strategy_Sub2&amp;"_"&amp;$A342,'Investment Strategies'!$C:$P,14,FALSE),
IF(AND(Investment_Strategy="Lifecycle",Investment_Strategy_Sub1="Standard"),VLOOKUP(Investment_Strategy&amp;"_"&amp;Investment_Strategy_Sub2&amp;"_"&amp;$A342,'Investment Strategies'!$AJ:$AV,13,FALSE),
IF(AND(Investment_Strategy="Autopilot",Investment_Strategy_Sub1="Non-Standard"),VLOOKUP(Investment_Strategy&amp;"_"&amp;Investment_Strategy_Sub2&amp;"_"&amp;$A342,'Investment Strategies'!$T:$AF,13,FALSE),
IF(Investment_Strategy="DIY",DIY_ExtManChrge_CurrentFunds,
"Error"))))))</f>
        <v>0</v>
      </c>
      <c r="H342" s="16">
        <f t="shared" si="175"/>
        <v>0</v>
      </c>
      <c r="I342" s="16">
        <f t="shared" si="159"/>
        <v>0</v>
      </c>
      <c r="J342" s="16">
        <f t="shared" si="160"/>
        <v>0</v>
      </c>
      <c r="K342" s="16">
        <f>(Opening_Fund_Value+SUM(K$91:K341))*E342*IF(D342=$A$91,SRP_finalmonthfactor,1)</f>
        <v>0</v>
      </c>
      <c r="L342" s="74">
        <f>MIN(IF($AV342=0,0,
IF(Investment_Strategy="DIS",VLOOKUP(Investment_Strategy&amp;"_"&amp;Investment_Strategy_Sub1&amp;"_"&amp;$A342,'Investment Strategies'!$AZ:$BP,12,FALSE),
IF(AND(Investment_Strategy="Lifecycle",Investment_Strategy_Sub1="Non-Standard"),VLOOKUP(Investment_Strategy&amp;"_"&amp;Investment_Strategy_Sub2&amp;"_"&amp;$A342,'Investment Strategies'!$C:$P,9,FALSE),
IF(AND(Investment_Strategy="Lifecycle",Investment_Strategy_Sub1="Standard"),VLOOKUP(Investment_Strategy&amp;"_"&amp;Investment_Strategy_Sub2&amp;"_"&amp;$A342,'Investment Strategies'!$AJ:$AV,8,FALSE),
IF(AND(Investment_Strategy="Autopilot",Investment_Strategy_Sub1="Non-Standard"),VLOOKUP(Investment_Strategy&amp;"_"&amp;Investment_Strategy_Sub2&amp;"_"&amp;$A342,'Investment Strategies'!$T:$AF,8,FALSE),
IF(Investment_Strategy ="DIY",DIY_RateofReturn_SP,
"Error")))))),Max_InvReturn)</f>
        <v>0</v>
      </c>
      <c r="M342" s="62">
        <f>IF($AV342=0,0,
IF(Investment_Strategy="DIS",VLOOKUP(Investment_Strategy&amp;"_"&amp;Investment_Strategy_Sub1&amp;"_"&amp;$A342,'Investment Strategies'!$AZ:$BP,15,FALSE),
IF(AND(Investment_Strategy="Lifecycle",Investment_Strategy_Sub1="Non-Standard"),VLOOKUP(Investment_Strategy&amp;"_"&amp;Investment_Strategy_Sub2&amp;"_"&amp;$A342,'Investment Strategies'!$C:$P,12,FALSE),
IF(AND(Investment_Strategy="Lifecycle",Investment_Strategy_Sub1="Standard"),VLOOKUP(Investment_Strategy&amp;"_"&amp;Investment_Strategy_Sub2&amp;"_"&amp;$A342,'Investment Strategies'!$AJ:$AV,11,FALSE),
IF(AND(Investment_Strategy="Autopilot",Investment_Strategy_Sub1="Non-Standard"),VLOOKUP(Investment_Strategy&amp;"_"&amp;Investment_Strategy_Sub2&amp;"_"&amp;$A342,'Investment Strategies'!$T:$AF,11,FALSE),
IF(Investment_Strategy="DIY",DIY_GteeChrge_SP,
"Error"))))))</f>
        <v>0</v>
      </c>
      <c r="N342" s="33">
        <f>IF($AV342=0,0,
IF(Investment_Strategy="DIS",VLOOKUP(Investment_Strategy&amp;"_"&amp;Investment_Strategy_Sub1&amp;"_"&amp;$A342,'Investment Strategies'!$AZ:$BP,17,FALSE),
IF(AND(Investment_Strategy="Lifecycle",Investment_Strategy_Sub1="Non-Standard"),VLOOKUP(Investment_Strategy&amp;"_"&amp;Investment_Strategy_Sub2&amp;"_"&amp;$A342,'Investment Strategies'!$C:$P,14,FALSE),
IF(AND(Investment_Strategy="Lifecycle",Investment_Strategy_Sub1="Standard"),VLOOKUP(Investment_Strategy&amp;"_"&amp;Investment_Strategy_Sub2&amp;"_"&amp;$A342,'Investment Strategies'!$AJ:$AV,13,FALSE),
IF(AND(Investment_Strategy="Autopilot",Investment_Strategy_Sub1="Non-Standard"),VLOOKUP(Investment_Strategy&amp;"_"&amp;Investment_Strategy_Sub2&amp;"_"&amp;$A342,'Investment Strategies'!$T:$AF,13,FALSE),
IF(Investment_Strategy="DIY",DIY_ExtManChrge_SP,
"Error"))))))</f>
        <v>0</v>
      </c>
      <c r="O342" s="16">
        <f t="shared" si="187"/>
        <v>0</v>
      </c>
      <c r="Q342" s="16">
        <f t="shared" si="161"/>
        <v>0</v>
      </c>
      <c r="R342" s="16">
        <f t="shared" si="203"/>
        <v>0</v>
      </c>
      <c r="S342" s="16">
        <f>(SRP_SP+SUM(S$91:S341))*L342*IF(D342=$A$91,SRP_finalmonthfactor,1)</f>
        <v>0</v>
      </c>
      <c r="T342" s="74">
        <f>MIN(IF($AV342=0,0,
IF(Investment_Strategy="DIS",VLOOKUP(Investment_Strategy&amp;"_"&amp;Investment_Strategy_Sub1&amp;"_"&amp;$A342,'Investment Strategies'!$AZ:$BP,12,FALSE),
IF(AND(Investment_Strategy="Lifecycle",Investment_Strategy_Sub1="Non-Standard"),VLOOKUP(Investment_Strategy&amp;"_"&amp;Investment_Strategy_Sub2&amp;"_"&amp;$A342,'Investment Strategies'!$C:$P,9,FALSE),
IF(AND(Investment_Strategy="Lifecycle",Investment_Strategy_Sub1="Standard"),VLOOKUP(Investment_Strategy&amp;"_"&amp;Investment_Strategy_Sub2&amp;"_"&amp;$A342,'Investment Strategies'!$AJ:$AV,8,FALSE),
IF(AND(Investment_Strategy="Autopilot",Investment_Strategy_Sub1="Non-Standard"),VLOOKUP(Investment_Strategy&amp;"_"&amp;Investment_Strategy_Sub2&amp;"_"&amp;$A342,'Investment Strategies'!$T:$AF,8,FALSE),
IF(Investment_Strategy ="DIY",DIY_RateOfReturn_FuturePremiums,
"Error")))))),Max_InvReturn)</f>
        <v>0</v>
      </c>
      <c r="U342" s="62">
        <f>IF($AV342=0,0,
IF(Investment_Strategy="DIS",VLOOKUP(Investment_Strategy&amp;"_"&amp;Investment_Strategy_Sub1&amp;"_"&amp;$A342,'Investment Strategies'!$AZ:$BP,15,FALSE),
IF(AND(Investment_Strategy="Lifecycle",Investment_Strategy_Sub1="Non-Standard"),VLOOKUP(Investment_Strategy&amp;"_"&amp;Investment_Strategy_Sub2&amp;"_"&amp;$A342,'Investment Strategies'!$C:$P,12,FALSE),
IF(AND(Investment_Strategy="Lifecycle",Investment_Strategy_Sub1="Standard"),VLOOKUP(Investment_Strategy&amp;"_"&amp;Investment_Strategy_Sub2&amp;"_"&amp;$A342,'Investment Strategies'!$AJ:$AV,11,FALSE),
IF(AND(Investment_Strategy="Autopilot",Investment_Strategy_Sub1="Non-Standard"),VLOOKUP(Investment_Strategy&amp;"_"&amp;Investment_Strategy_Sub2&amp;"_"&amp;$A342,'Investment Strategies'!$T:$AF,11,FALSE),
IF(Investment_Strategy="DIY",DIY_GteeChrge_FuturePremiums,
"Error"))))))</f>
        <v>0</v>
      </c>
      <c r="V342" s="33">
        <f>IF(AV342=0,0,
IF(Investment_Strategy="DIS",VLOOKUP(Investment_Strategy&amp;"_"&amp;Investment_Strategy_Sub1&amp;"_"&amp;$A342,'Investment Strategies'!$AZ:$BP,17,FALSE),
IF(AND(Investment_Strategy="Lifecycle",Investment_Strategy_Sub1="Non-Standard"),VLOOKUP(Investment_Strategy&amp;"_"&amp;Investment_Strategy_Sub2&amp;"_"&amp;$A342,'Investment Strategies'!$C:$P,14,FALSE),
IF(AND(Investment_Strategy="Lifecycle",Investment_Strategy_Sub1="Standard"),VLOOKUP(Investment_Strategy&amp;"_"&amp;Investment_Strategy_Sub2&amp;"_"&amp;$A342,'Investment Strategies'!$AJ:$AV,13,FALSE),
IF(AND(Investment_Strategy="Autopilot",Investment_Strategy_Sub1="Non-Standard"),VLOOKUP(Investment_Strategy&amp;"_"&amp;Investment_Strategy_Sub2&amp;"_"&amp;$A342,'Investment Strategies'!$T:$AF,13,FALSE),
IF(Investment_Strategy="DIY",DIY_ExtManChrge_FuturePremiums,
"Error"))))))</f>
        <v>0</v>
      </c>
      <c r="W342" s="16">
        <f t="shared" si="188"/>
        <v>0</v>
      </c>
      <c r="X342" s="16">
        <f t="shared" si="163"/>
        <v>0</v>
      </c>
      <c r="Y342" s="16">
        <f t="shared" si="164"/>
        <v>0</v>
      </c>
      <c r="Z342" s="31">
        <f t="shared" si="165"/>
        <v>0.02</v>
      </c>
      <c r="AA342" s="16">
        <f t="shared" si="166"/>
        <v>0</v>
      </c>
      <c r="AB342" s="28">
        <f t="shared" si="189"/>
        <v>0</v>
      </c>
      <c r="AC342" s="28">
        <f>(SUM($AC$91:AC341)+SUM($X$91:X341)+X342)*T342*IF(D342=$A$91,SRP_finalmonthfactor,1)</f>
        <v>0</v>
      </c>
      <c r="AD342" s="16">
        <f t="shared" si="167"/>
        <v>0</v>
      </c>
      <c r="AE342" s="106"/>
      <c r="AF342" s="16">
        <f t="shared" si="176"/>
        <v>0</v>
      </c>
      <c r="AG342" s="16">
        <f t="shared" si="177"/>
        <v>0</v>
      </c>
      <c r="AH342" s="16">
        <f t="shared" si="178"/>
        <v>0</v>
      </c>
      <c r="AJ342" s="13">
        <f t="shared" si="204"/>
        <v>0</v>
      </c>
      <c r="AK342" s="13">
        <f t="shared" si="204"/>
        <v>0</v>
      </c>
      <c r="AL342" s="13">
        <f t="shared" si="204"/>
        <v>0</v>
      </c>
      <c r="AM342" s="13">
        <f t="shared" si="204"/>
        <v>0</v>
      </c>
      <c r="AN342" s="13">
        <f t="shared" si="204"/>
        <v>0</v>
      </c>
      <c r="AO342" s="13">
        <f t="shared" si="204"/>
        <v>1</v>
      </c>
      <c r="AP342" s="13">
        <f t="shared" si="204"/>
        <v>1</v>
      </c>
      <c r="AQ342" s="13">
        <f t="shared" si="204"/>
        <v>1</v>
      </c>
      <c r="AR342" s="13">
        <f t="shared" si="204"/>
        <v>1</v>
      </c>
      <c r="AS342" s="13">
        <f t="shared" si="204"/>
        <v>1</v>
      </c>
      <c r="AT342" s="13">
        <f t="shared" si="204"/>
        <v>1</v>
      </c>
      <c r="AU342" s="13">
        <f t="shared" si="204"/>
        <v>1</v>
      </c>
      <c r="AV342" s="13">
        <f t="shared" si="168"/>
        <v>0</v>
      </c>
      <c r="AW342" s="13">
        <f t="shared" si="169"/>
        <v>1</v>
      </c>
      <c r="AY342" s="17">
        <f t="shared" si="170"/>
        <v>252</v>
      </c>
      <c r="AZ342" s="28">
        <f t="shared" si="179"/>
        <v>0</v>
      </c>
      <c r="BA342" s="13">
        <f t="shared" si="171"/>
        <v>0</v>
      </c>
      <c r="BB342" s="13">
        <f t="shared" si="172"/>
        <v>0</v>
      </c>
      <c r="BC342" s="28">
        <f t="shared" si="180"/>
        <v>0</v>
      </c>
      <c r="BD342" s="28">
        <f t="shared" si="181"/>
        <v>0</v>
      </c>
      <c r="BF342" s="248">
        <f t="shared" si="182"/>
        <v>993869.29442638322</v>
      </c>
    </row>
    <row r="343" spans="1:58">
      <c r="A343" s="32">
        <f t="shared" si="184"/>
        <v>-168</v>
      </c>
      <c r="B343" s="32">
        <f t="shared" si="174"/>
        <v>74</v>
      </c>
      <c r="C343" s="32">
        <f t="shared" si="185"/>
        <v>22</v>
      </c>
      <c r="D343" s="32">
        <f t="shared" si="186"/>
        <v>253</v>
      </c>
      <c r="E343" s="74">
        <f>MIN(IF(AV343=0,0,
IF(Investment_Strategy="DIS",VLOOKUP(Investment_Strategy&amp;"_"&amp;Investment_Strategy_Sub1&amp;"_"&amp;$A343,'Investment Strategies'!$AZ:$BP,12,FALSE),
IF(AND(Investment_Strategy="Lifecycle",Investment_Strategy_Sub1="Non-Standard"),VLOOKUP(Investment_Strategy&amp;"_"&amp;Investment_Strategy_Sub2&amp;"_"&amp;$A343,'Investment Strategies'!$C:$P,9,FALSE),
IF(AND(Investment_Strategy="Lifecycle",Investment_Strategy_Sub1="Standard"),VLOOKUP(Investment_Strategy&amp;"_"&amp;Investment_Strategy_Sub2&amp;"_"&amp;$A343,'Investment Strategies'!$AJ:$AV,8,FALSE),
IF(AND(Investment_Strategy="Autopilot",Investment_Strategy_Sub1="Non-Standard"),VLOOKUP(Investment_Strategy&amp;"_"&amp;Investment_Strategy_Sub2&amp;"_"&amp;$A343,'Investment Strategies'!$T:$AF,8,FALSE),
IF(Investment_Strategy ="DIY",DIY_RateOfReturn_CurrentFunds,
"Error")))))),Max_InvReturn)</f>
        <v>0</v>
      </c>
      <c r="F343" s="62">
        <f>IF(AV343=0,0,
IF(Investment_Strategy="DIS",VLOOKUP(Investment_Strategy&amp;"_"&amp;Investment_Strategy_Sub1&amp;"_"&amp;$A343,'Investment Strategies'!$AZ:$BP,15,FALSE),
IF(AND(Investment_Strategy="Lifecycle",Investment_Strategy_Sub1="Non-Standard"),VLOOKUP(Investment_Strategy&amp;"_"&amp;Investment_Strategy_Sub2&amp;"_"&amp;$A343,'Investment Strategies'!$C:$P,12,FALSE),
IF(AND(Investment_Strategy="Lifecycle",Investment_Strategy_Sub1="Standard"),VLOOKUP(Investment_Strategy&amp;"_"&amp;Investment_Strategy_Sub2&amp;"_"&amp;$A343,'Investment Strategies'!$AJ:$AV,11,FALSE),
IF(AND(Investment_Strategy="Autopilot",Investment_Strategy_Sub1="Non-Standard"),VLOOKUP(Investment_Strategy&amp;"_"&amp;Investment_Strategy_Sub2&amp;"_"&amp;$A343,'Investment Strategies'!$T:$AF,11,FALSE),
IF(Investment_Strategy="DIY",DIY_GteeChrge_CurrentFunds,
"Error"))))))</f>
        <v>0</v>
      </c>
      <c r="G343" s="33">
        <f>IF(AV343=0,0,
IF(Investment_Strategy="DIS",VLOOKUP(Investment_Strategy&amp;"_"&amp;Investment_Strategy_Sub1&amp;"_"&amp;$A343,'Investment Strategies'!$AZ:$BP,17,FALSE),
IF(AND(Investment_Strategy="Lifecycle",Investment_Strategy_Sub1="Non-Standard"),VLOOKUP(Investment_Strategy&amp;"_"&amp;Investment_Strategy_Sub2&amp;"_"&amp;$A343,'Investment Strategies'!$C:$P,14,FALSE),
IF(AND(Investment_Strategy="Lifecycle",Investment_Strategy_Sub1="Standard"),VLOOKUP(Investment_Strategy&amp;"_"&amp;Investment_Strategy_Sub2&amp;"_"&amp;$A343,'Investment Strategies'!$AJ:$AV,13,FALSE),
IF(AND(Investment_Strategy="Autopilot",Investment_Strategy_Sub1="Non-Standard"),VLOOKUP(Investment_Strategy&amp;"_"&amp;Investment_Strategy_Sub2&amp;"_"&amp;$A343,'Investment Strategies'!$T:$AF,13,FALSE),
IF(Investment_Strategy="DIY",DIY_ExtManChrge_CurrentFunds,
"Error"))))))</f>
        <v>0</v>
      </c>
      <c r="H343" s="16">
        <f t="shared" si="175"/>
        <v>0</v>
      </c>
      <c r="I343" s="16">
        <f t="shared" si="159"/>
        <v>0</v>
      </c>
      <c r="J343" s="16">
        <f t="shared" si="160"/>
        <v>0</v>
      </c>
      <c r="K343" s="16">
        <f>(Opening_Fund_Value+SUM(K$91:K342))*E343*IF(D343=$A$91,SRP_finalmonthfactor,1)</f>
        <v>0</v>
      </c>
      <c r="L343" s="74">
        <f>MIN(IF($AV343=0,0,
IF(Investment_Strategy="DIS",VLOOKUP(Investment_Strategy&amp;"_"&amp;Investment_Strategy_Sub1&amp;"_"&amp;$A343,'Investment Strategies'!$AZ:$BP,12,FALSE),
IF(AND(Investment_Strategy="Lifecycle",Investment_Strategy_Sub1="Non-Standard"),VLOOKUP(Investment_Strategy&amp;"_"&amp;Investment_Strategy_Sub2&amp;"_"&amp;$A343,'Investment Strategies'!$C:$P,9,FALSE),
IF(AND(Investment_Strategy="Lifecycle",Investment_Strategy_Sub1="Standard"),VLOOKUP(Investment_Strategy&amp;"_"&amp;Investment_Strategy_Sub2&amp;"_"&amp;$A343,'Investment Strategies'!$AJ:$AV,8,FALSE),
IF(AND(Investment_Strategy="Autopilot",Investment_Strategy_Sub1="Non-Standard"),VLOOKUP(Investment_Strategy&amp;"_"&amp;Investment_Strategy_Sub2&amp;"_"&amp;$A343,'Investment Strategies'!$T:$AF,8,FALSE),
IF(Investment_Strategy ="DIY",DIY_RateofReturn_SP,
"Error")))))),Max_InvReturn)</f>
        <v>0</v>
      </c>
      <c r="M343" s="62">
        <f>IF($AV343=0,0,
IF(Investment_Strategy="DIS",VLOOKUP(Investment_Strategy&amp;"_"&amp;Investment_Strategy_Sub1&amp;"_"&amp;$A343,'Investment Strategies'!$AZ:$BP,15,FALSE),
IF(AND(Investment_Strategy="Lifecycle",Investment_Strategy_Sub1="Non-Standard"),VLOOKUP(Investment_Strategy&amp;"_"&amp;Investment_Strategy_Sub2&amp;"_"&amp;$A343,'Investment Strategies'!$C:$P,12,FALSE),
IF(AND(Investment_Strategy="Lifecycle",Investment_Strategy_Sub1="Standard"),VLOOKUP(Investment_Strategy&amp;"_"&amp;Investment_Strategy_Sub2&amp;"_"&amp;$A343,'Investment Strategies'!$AJ:$AV,11,FALSE),
IF(AND(Investment_Strategy="Autopilot",Investment_Strategy_Sub1="Non-Standard"),VLOOKUP(Investment_Strategy&amp;"_"&amp;Investment_Strategy_Sub2&amp;"_"&amp;$A343,'Investment Strategies'!$T:$AF,11,FALSE),
IF(Investment_Strategy="DIY",DIY_GteeChrge_SP,
"Error"))))))</f>
        <v>0</v>
      </c>
      <c r="N343" s="33">
        <f>IF($AV343=0,0,
IF(Investment_Strategy="DIS",VLOOKUP(Investment_Strategy&amp;"_"&amp;Investment_Strategy_Sub1&amp;"_"&amp;$A343,'Investment Strategies'!$AZ:$BP,17,FALSE),
IF(AND(Investment_Strategy="Lifecycle",Investment_Strategy_Sub1="Non-Standard"),VLOOKUP(Investment_Strategy&amp;"_"&amp;Investment_Strategy_Sub2&amp;"_"&amp;$A343,'Investment Strategies'!$C:$P,14,FALSE),
IF(AND(Investment_Strategy="Lifecycle",Investment_Strategy_Sub1="Standard"),VLOOKUP(Investment_Strategy&amp;"_"&amp;Investment_Strategy_Sub2&amp;"_"&amp;$A343,'Investment Strategies'!$AJ:$AV,13,FALSE),
IF(AND(Investment_Strategy="Autopilot",Investment_Strategy_Sub1="Non-Standard"),VLOOKUP(Investment_Strategy&amp;"_"&amp;Investment_Strategy_Sub2&amp;"_"&amp;$A343,'Investment Strategies'!$T:$AF,13,FALSE),
IF(Investment_Strategy="DIY",DIY_ExtManChrge_SP,
"Error"))))))</f>
        <v>0</v>
      </c>
      <c r="O343" s="16">
        <f t="shared" si="187"/>
        <v>0</v>
      </c>
      <c r="Q343" s="16">
        <f t="shared" si="161"/>
        <v>0</v>
      </c>
      <c r="R343" s="16">
        <f t="shared" si="203"/>
        <v>0</v>
      </c>
      <c r="S343" s="16">
        <f>(SRP_SP+SUM(S$91:S342))*L343*IF(D343=$A$91,SRP_finalmonthfactor,1)</f>
        <v>0</v>
      </c>
      <c r="T343" s="74">
        <f>MIN(IF($AV343=0,0,
IF(Investment_Strategy="DIS",VLOOKUP(Investment_Strategy&amp;"_"&amp;Investment_Strategy_Sub1&amp;"_"&amp;$A343,'Investment Strategies'!$AZ:$BP,12,FALSE),
IF(AND(Investment_Strategy="Lifecycle",Investment_Strategy_Sub1="Non-Standard"),VLOOKUP(Investment_Strategy&amp;"_"&amp;Investment_Strategy_Sub2&amp;"_"&amp;$A343,'Investment Strategies'!$C:$P,9,FALSE),
IF(AND(Investment_Strategy="Lifecycle",Investment_Strategy_Sub1="Standard"),VLOOKUP(Investment_Strategy&amp;"_"&amp;Investment_Strategy_Sub2&amp;"_"&amp;$A343,'Investment Strategies'!$AJ:$AV,8,FALSE),
IF(AND(Investment_Strategy="Autopilot",Investment_Strategy_Sub1="Non-Standard"),VLOOKUP(Investment_Strategy&amp;"_"&amp;Investment_Strategy_Sub2&amp;"_"&amp;$A343,'Investment Strategies'!$T:$AF,8,FALSE),
IF(Investment_Strategy ="DIY",DIY_RateOfReturn_FuturePremiums,
"Error")))))),Max_InvReturn)</f>
        <v>0</v>
      </c>
      <c r="U343" s="62">
        <f>IF($AV343=0,0,
IF(Investment_Strategy="DIS",VLOOKUP(Investment_Strategy&amp;"_"&amp;Investment_Strategy_Sub1&amp;"_"&amp;$A343,'Investment Strategies'!$AZ:$BP,15,FALSE),
IF(AND(Investment_Strategy="Lifecycle",Investment_Strategy_Sub1="Non-Standard"),VLOOKUP(Investment_Strategy&amp;"_"&amp;Investment_Strategy_Sub2&amp;"_"&amp;$A343,'Investment Strategies'!$C:$P,12,FALSE),
IF(AND(Investment_Strategy="Lifecycle",Investment_Strategy_Sub1="Standard"),VLOOKUP(Investment_Strategy&amp;"_"&amp;Investment_Strategy_Sub2&amp;"_"&amp;$A343,'Investment Strategies'!$AJ:$AV,11,FALSE),
IF(AND(Investment_Strategy="Autopilot",Investment_Strategy_Sub1="Non-Standard"),VLOOKUP(Investment_Strategy&amp;"_"&amp;Investment_Strategy_Sub2&amp;"_"&amp;$A343,'Investment Strategies'!$T:$AF,11,FALSE),
IF(Investment_Strategy="DIY",DIY_GteeChrge_FuturePremiums,
"Error"))))))</f>
        <v>0</v>
      </c>
      <c r="V343" s="33">
        <f>IF(AV343=0,0,
IF(Investment_Strategy="DIS",VLOOKUP(Investment_Strategy&amp;"_"&amp;Investment_Strategy_Sub1&amp;"_"&amp;$A343,'Investment Strategies'!$AZ:$BP,17,FALSE),
IF(AND(Investment_Strategy="Lifecycle",Investment_Strategy_Sub1="Non-Standard"),VLOOKUP(Investment_Strategy&amp;"_"&amp;Investment_Strategy_Sub2&amp;"_"&amp;$A343,'Investment Strategies'!$C:$P,14,FALSE),
IF(AND(Investment_Strategy="Lifecycle",Investment_Strategy_Sub1="Standard"),VLOOKUP(Investment_Strategy&amp;"_"&amp;Investment_Strategy_Sub2&amp;"_"&amp;$A343,'Investment Strategies'!$AJ:$AV,13,FALSE),
IF(AND(Investment_Strategy="Autopilot",Investment_Strategy_Sub1="Non-Standard"),VLOOKUP(Investment_Strategy&amp;"_"&amp;Investment_Strategy_Sub2&amp;"_"&amp;$A343,'Investment Strategies'!$T:$AF,13,FALSE),
IF(Investment_Strategy="DIY",DIY_ExtManChrge_FuturePremiums,
"Error"))))))</f>
        <v>0</v>
      </c>
      <c r="W343" s="16">
        <f t="shared" si="188"/>
        <v>0</v>
      </c>
      <c r="X343" s="16">
        <f t="shared" si="163"/>
        <v>0</v>
      </c>
      <c r="Y343" s="16">
        <f t="shared" si="164"/>
        <v>0</v>
      </c>
      <c r="Z343" s="31">
        <f t="shared" si="165"/>
        <v>0.02</v>
      </c>
      <c r="AA343" s="16">
        <f t="shared" si="166"/>
        <v>0</v>
      </c>
      <c r="AB343" s="28">
        <f t="shared" si="189"/>
        <v>0</v>
      </c>
      <c r="AC343" s="28">
        <f>(SUM($AC$91:AC342)+SUM($X$91:X342)+X343)*T343*IF(D343=$A$91,SRP_finalmonthfactor,1)</f>
        <v>0</v>
      </c>
      <c r="AD343" s="16">
        <f t="shared" si="167"/>
        <v>0</v>
      </c>
      <c r="AE343" s="106"/>
      <c r="AF343" s="16">
        <f t="shared" si="176"/>
        <v>0</v>
      </c>
      <c r="AG343" s="16">
        <f t="shared" si="177"/>
        <v>0</v>
      </c>
      <c r="AH343" s="16">
        <f t="shared" si="178"/>
        <v>0</v>
      </c>
      <c r="AJ343" s="13">
        <f t="shared" si="204"/>
        <v>0</v>
      </c>
      <c r="AK343" s="13">
        <f t="shared" si="204"/>
        <v>0</v>
      </c>
      <c r="AL343" s="13">
        <f t="shared" si="204"/>
        <v>0</v>
      </c>
      <c r="AM343" s="13">
        <f t="shared" si="204"/>
        <v>0</v>
      </c>
      <c r="AN343" s="13">
        <f t="shared" si="204"/>
        <v>0</v>
      </c>
      <c r="AO343" s="13">
        <f t="shared" si="204"/>
        <v>1</v>
      </c>
      <c r="AP343" s="13">
        <f t="shared" si="204"/>
        <v>1</v>
      </c>
      <c r="AQ343" s="13">
        <f t="shared" si="204"/>
        <v>1</v>
      </c>
      <c r="AR343" s="13">
        <f t="shared" si="204"/>
        <v>1</v>
      </c>
      <c r="AS343" s="13">
        <f t="shared" si="204"/>
        <v>1</v>
      </c>
      <c r="AT343" s="13">
        <f t="shared" si="204"/>
        <v>1</v>
      </c>
      <c r="AU343" s="13">
        <f t="shared" si="204"/>
        <v>1</v>
      </c>
      <c r="AV343" s="13">
        <f t="shared" si="168"/>
        <v>0</v>
      </c>
      <c r="AW343" s="13">
        <f t="shared" si="169"/>
        <v>1</v>
      </c>
      <c r="AY343" s="17">
        <f t="shared" si="170"/>
        <v>253</v>
      </c>
      <c r="AZ343" s="28">
        <f t="shared" si="179"/>
        <v>0</v>
      </c>
      <c r="BA343" s="13">
        <f t="shared" si="171"/>
        <v>0</v>
      </c>
      <c r="BB343" s="13">
        <f t="shared" si="172"/>
        <v>0</v>
      </c>
      <c r="BC343" s="28">
        <f t="shared" si="180"/>
        <v>0</v>
      </c>
      <c r="BD343" s="28">
        <f t="shared" si="181"/>
        <v>0</v>
      </c>
      <c r="BF343" s="248">
        <f t="shared" si="182"/>
        <v>993869.29442638322</v>
      </c>
    </row>
    <row r="344" spans="1:58">
      <c r="A344" s="32">
        <f t="shared" si="184"/>
        <v>-169</v>
      </c>
      <c r="B344" s="32">
        <f t="shared" si="174"/>
        <v>74</v>
      </c>
      <c r="C344" s="32">
        <f t="shared" si="185"/>
        <v>22</v>
      </c>
      <c r="D344" s="32">
        <f t="shared" si="186"/>
        <v>254</v>
      </c>
      <c r="E344" s="74">
        <f>MIN(IF(AV344=0,0,
IF(Investment_Strategy="DIS",VLOOKUP(Investment_Strategy&amp;"_"&amp;Investment_Strategy_Sub1&amp;"_"&amp;$A344,'Investment Strategies'!$AZ:$BP,12,FALSE),
IF(AND(Investment_Strategy="Lifecycle",Investment_Strategy_Sub1="Non-Standard"),VLOOKUP(Investment_Strategy&amp;"_"&amp;Investment_Strategy_Sub2&amp;"_"&amp;$A344,'Investment Strategies'!$C:$P,9,FALSE),
IF(AND(Investment_Strategy="Lifecycle",Investment_Strategy_Sub1="Standard"),VLOOKUP(Investment_Strategy&amp;"_"&amp;Investment_Strategy_Sub2&amp;"_"&amp;$A344,'Investment Strategies'!$AJ:$AV,8,FALSE),
IF(AND(Investment_Strategy="Autopilot",Investment_Strategy_Sub1="Non-Standard"),VLOOKUP(Investment_Strategy&amp;"_"&amp;Investment_Strategy_Sub2&amp;"_"&amp;$A344,'Investment Strategies'!$T:$AF,8,FALSE),
IF(Investment_Strategy ="DIY",DIY_RateOfReturn_CurrentFunds,
"Error")))))),Max_InvReturn)</f>
        <v>0</v>
      </c>
      <c r="F344" s="62">
        <f>IF(AV344=0,0,
IF(Investment_Strategy="DIS",VLOOKUP(Investment_Strategy&amp;"_"&amp;Investment_Strategy_Sub1&amp;"_"&amp;$A344,'Investment Strategies'!$AZ:$BP,15,FALSE),
IF(AND(Investment_Strategy="Lifecycle",Investment_Strategy_Sub1="Non-Standard"),VLOOKUP(Investment_Strategy&amp;"_"&amp;Investment_Strategy_Sub2&amp;"_"&amp;$A344,'Investment Strategies'!$C:$P,12,FALSE),
IF(AND(Investment_Strategy="Lifecycle",Investment_Strategy_Sub1="Standard"),VLOOKUP(Investment_Strategy&amp;"_"&amp;Investment_Strategy_Sub2&amp;"_"&amp;$A344,'Investment Strategies'!$AJ:$AV,11,FALSE),
IF(AND(Investment_Strategy="Autopilot",Investment_Strategy_Sub1="Non-Standard"),VLOOKUP(Investment_Strategy&amp;"_"&amp;Investment_Strategy_Sub2&amp;"_"&amp;$A344,'Investment Strategies'!$T:$AF,11,FALSE),
IF(Investment_Strategy="DIY",DIY_GteeChrge_CurrentFunds,
"Error"))))))</f>
        <v>0</v>
      </c>
      <c r="G344" s="33">
        <f>IF(AV344=0,0,
IF(Investment_Strategy="DIS",VLOOKUP(Investment_Strategy&amp;"_"&amp;Investment_Strategy_Sub1&amp;"_"&amp;$A344,'Investment Strategies'!$AZ:$BP,17,FALSE),
IF(AND(Investment_Strategy="Lifecycle",Investment_Strategy_Sub1="Non-Standard"),VLOOKUP(Investment_Strategy&amp;"_"&amp;Investment_Strategy_Sub2&amp;"_"&amp;$A344,'Investment Strategies'!$C:$P,14,FALSE),
IF(AND(Investment_Strategy="Lifecycle",Investment_Strategy_Sub1="Standard"),VLOOKUP(Investment_Strategy&amp;"_"&amp;Investment_Strategy_Sub2&amp;"_"&amp;$A344,'Investment Strategies'!$AJ:$AV,13,FALSE),
IF(AND(Investment_Strategy="Autopilot",Investment_Strategy_Sub1="Non-Standard"),VLOOKUP(Investment_Strategy&amp;"_"&amp;Investment_Strategy_Sub2&amp;"_"&amp;$A344,'Investment Strategies'!$T:$AF,13,FALSE),
IF(Investment_Strategy="DIY",DIY_ExtManChrge_CurrentFunds,
"Error"))))))</f>
        <v>0</v>
      </c>
      <c r="H344" s="16">
        <f t="shared" si="175"/>
        <v>0</v>
      </c>
      <c r="I344" s="16">
        <f t="shared" si="159"/>
        <v>0</v>
      </c>
      <c r="J344" s="16">
        <f t="shared" si="160"/>
        <v>0</v>
      </c>
      <c r="K344" s="16">
        <f>(Opening_Fund_Value+SUM(K$91:K343))*E344*IF(D344=$A$91,SRP_finalmonthfactor,1)</f>
        <v>0</v>
      </c>
      <c r="L344" s="74">
        <f>MIN(IF($AV344=0,0,
IF(Investment_Strategy="DIS",VLOOKUP(Investment_Strategy&amp;"_"&amp;Investment_Strategy_Sub1&amp;"_"&amp;$A344,'Investment Strategies'!$AZ:$BP,12,FALSE),
IF(AND(Investment_Strategy="Lifecycle",Investment_Strategy_Sub1="Non-Standard"),VLOOKUP(Investment_Strategy&amp;"_"&amp;Investment_Strategy_Sub2&amp;"_"&amp;$A344,'Investment Strategies'!$C:$P,9,FALSE),
IF(AND(Investment_Strategy="Lifecycle",Investment_Strategy_Sub1="Standard"),VLOOKUP(Investment_Strategy&amp;"_"&amp;Investment_Strategy_Sub2&amp;"_"&amp;$A344,'Investment Strategies'!$AJ:$AV,8,FALSE),
IF(AND(Investment_Strategy="Autopilot",Investment_Strategy_Sub1="Non-Standard"),VLOOKUP(Investment_Strategy&amp;"_"&amp;Investment_Strategy_Sub2&amp;"_"&amp;$A344,'Investment Strategies'!$T:$AF,8,FALSE),
IF(Investment_Strategy ="DIY",DIY_RateofReturn_SP,
"Error")))))),Max_InvReturn)</f>
        <v>0</v>
      </c>
      <c r="M344" s="62">
        <f>IF($AV344=0,0,
IF(Investment_Strategy="DIS",VLOOKUP(Investment_Strategy&amp;"_"&amp;Investment_Strategy_Sub1&amp;"_"&amp;$A344,'Investment Strategies'!$AZ:$BP,15,FALSE),
IF(AND(Investment_Strategy="Lifecycle",Investment_Strategy_Sub1="Non-Standard"),VLOOKUP(Investment_Strategy&amp;"_"&amp;Investment_Strategy_Sub2&amp;"_"&amp;$A344,'Investment Strategies'!$C:$P,12,FALSE),
IF(AND(Investment_Strategy="Lifecycle",Investment_Strategy_Sub1="Standard"),VLOOKUP(Investment_Strategy&amp;"_"&amp;Investment_Strategy_Sub2&amp;"_"&amp;$A344,'Investment Strategies'!$AJ:$AV,11,FALSE),
IF(AND(Investment_Strategy="Autopilot",Investment_Strategy_Sub1="Non-Standard"),VLOOKUP(Investment_Strategy&amp;"_"&amp;Investment_Strategy_Sub2&amp;"_"&amp;$A344,'Investment Strategies'!$T:$AF,11,FALSE),
IF(Investment_Strategy="DIY",DIY_GteeChrge_SP,
"Error"))))))</f>
        <v>0</v>
      </c>
      <c r="N344" s="33">
        <f>IF($AV344=0,0,
IF(Investment_Strategy="DIS",VLOOKUP(Investment_Strategy&amp;"_"&amp;Investment_Strategy_Sub1&amp;"_"&amp;$A344,'Investment Strategies'!$AZ:$BP,17,FALSE),
IF(AND(Investment_Strategy="Lifecycle",Investment_Strategy_Sub1="Non-Standard"),VLOOKUP(Investment_Strategy&amp;"_"&amp;Investment_Strategy_Sub2&amp;"_"&amp;$A344,'Investment Strategies'!$C:$P,14,FALSE),
IF(AND(Investment_Strategy="Lifecycle",Investment_Strategy_Sub1="Standard"),VLOOKUP(Investment_Strategy&amp;"_"&amp;Investment_Strategy_Sub2&amp;"_"&amp;$A344,'Investment Strategies'!$AJ:$AV,13,FALSE),
IF(AND(Investment_Strategy="Autopilot",Investment_Strategy_Sub1="Non-Standard"),VLOOKUP(Investment_Strategy&amp;"_"&amp;Investment_Strategy_Sub2&amp;"_"&amp;$A344,'Investment Strategies'!$T:$AF,13,FALSE),
IF(Investment_Strategy="DIY",DIY_ExtManChrge_SP,
"Error"))))))</f>
        <v>0</v>
      </c>
      <c r="O344" s="16">
        <f t="shared" si="187"/>
        <v>0</v>
      </c>
      <c r="Q344" s="16">
        <f t="shared" si="161"/>
        <v>0</v>
      </c>
      <c r="R344" s="16">
        <f t="shared" si="203"/>
        <v>0</v>
      </c>
      <c r="S344" s="16">
        <f>(SRP_SP+SUM(S$91:S343))*L344*IF(D344=$A$91,SRP_finalmonthfactor,1)</f>
        <v>0</v>
      </c>
      <c r="T344" s="74">
        <f>MIN(IF($AV344=0,0,
IF(Investment_Strategy="DIS",VLOOKUP(Investment_Strategy&amp;"_"&amp;Investment_Strategy_Sub1&amp;"_"&amp;$A344,'Investment Strategies'!$AZ:$BP,12,FALSE),
IF(AND(Investment_Strategy="Lifecycle",Investment_Strategy_Sub1="Non-Standard"),VLOOKUP(Investment_Strategy&amp;"_"&amp;Investment_Strategy_Sub2&amp;"_"&amp;$A344,'Investment Strategies'!$C:$P,9,FALSE),
IF(AND(Investment_Strategy="Lifecycle",Investment_Strategy_Sub1="Standard"),VLOOKUP(Investment_Strategy&amp;"_"&amp;Investment_Strategy_Sub2&amp;"_"&amp;$A344,'Investment Strategies'!$AJ:$AV,8,FALSE),
IF(AND(Investment_Strategy="Autopilot",Investment_Strategy_Sub1="Non-Standard"),VLOOKUP(Investment_Strategy&amp;"_"&amp;Investment_Strategy_Sub2&amp;"_"&amp;$A344,'Investment Strategies'!$T:$AF,8,FALSE),
IF(Investment_Strategy ="DIY",DIY_RateOfReturn_FuturePremiums,
"Error")))))),Max_InvReturn)</f>
        <v>0</v>
      </c>
      <c r="U344" s="62">
        <f>IF($AV344=0,0,
IF(Investment_Strategy="DIS",VLOOKUP(Investment_Strategy&amp;"_"&amp;Investment_Strategy_Sub1&amp;"_"&amp;$A344,'Investment Strategies'!$AZ:$BP,15,FALSE),
IF(AND(Investment_Strategy="Lifecycle",Investment_Strategy_Sub1="Non-Standard"),VLOOKUP(Investment_Strategy&amp;"_"&amp;Investment_Strategy_Sub2&amp;"_"&amp;$A344,'Investment Strategies'!$C:$P,12,FALSE),
IF(AND(Investment_Strategy="Lifecycle",Investment_Strategy_Sub1="Standard"),VLOOKUP(Investment_Strategy&amp;"_"&amp;Investment_Strategy_Sub2&amp;"_"&amp;$A344,'Investment Strategies'!$AJ:$AV,11,FALSE),
IF(AND(Investment_Strategy="Autopilot",Investment_Strategy_Sub1="Non-Standard"),VLOOKUP(Investment_Strategy&amp;"_"&amp;Investment_Strategy_Sub2&amp;"_"&amp;$A344,'Investment Strategies'!$T:$AF,11,FALSE),
IF(Investment_Strategy="DIY",DIY_GteeChrge_FuturePremiums,
"Error"))))))</f>
        <v>0</v>
      </c>
      <c r="V344" s="33">
        <f>IF(AV344=0,0,
IF(Investment_Strategy="DIS",VLOOKUP(Investment_Strategy&amp;"_"&amp;Investment_Strategy_Sub1&amp;"_"&amp;$A344,'Investment Strategies'!$AZ:$BP,17,FALSE),
IF(AND(Investment_Strategy="Lifecycle",Investment_Strategy_Sub1="Non-Standard"),VLOOKUP(Investment_Strategy&amp;"_"&amp;Investment_Strategy_Sub2&amp;"_"&amp;$A344,'Investment Strategies'!$C:$P,14,FALSE),
IF(AND(Investment_Strategy="Lifecycle",Investment_Strategy_Sub1="Standard"),VLOOKUP(Investment_Strategy&amp;"_"&amp;Investment_Strategy_Sub2&amp;"_"&amp;$A344,'Investment Strategies'!$AJ:$AV,13,FALSE),
IF(AND(Investment_Strategy="Autopilot",Investment_Strategy_Sub1="Non-Standard"),VLOOKUP(Investment_Strategy&amp;"_"&amp;Investment_Strategy_Sub2&amp;"_"&amp;$A344,'Investment Strategies'!$T:$AF,13,FALSE),
IF(Investment_Strategy="DIY",DIY_ExtManChrge_FuturePremiums,
"Error"))))))</f>
        <v>0</v>
      </c>
      <c r="W344" s="16">
        <f t="shared" si="188"/>
        <v>0</v>
      </c>
      <c r="X344" s="16">
        <f t="shared" si="163"/>
        <v>0</v>
      </c>
      <c r="Y344" s="16">
        <f t="shared" si="164"/>
        <v>0</v>
      </c>
      <c r="Z344" s="31">
        <f t="shared" si="165"/>
        <v>0.02</v>
      </c>
      <c r="AA344" s="16">
        <f t="shared" si="166"/>
        <v>0</v>
      </c>
      <c r="AB344" s="28">
        <f t="shared" si="189"/>
        <v>0</v>
      </c>
      <c r="AC344" s="28">
        <f>(SUM($AC$91:AC343)+SUM($X$91:X343)+X344)*T344*IF(D344=$A$91,SRP_finalmonthfactor,1)</f>
        <v>0</v>
      </c>
      <c r="AD344" s="16">
        <f t="shared" si="167"/>
        <v>0</v>
      </c>
      <c r="AE344" s="106"/>
      <c r="AF344" s="16">
        <f t="shared" si="176"/>
        <v>0</v>
      </c>
      <c r="AG344" s="16">
        <f t="shared" si="177"/>
        <v>0</v>
      </c>
      <c r="AH344" s="16">
        <f t="shared" si="178"/>
        <v>0</v>
      </c>
      <c r="AJ344" s="13">
        <f t="shared" si="204"/>
        <v>0</v>
      </c>
      <c r="AK344" s="13">
        <f t="shared" si="204"/>
        <v>0</v>
      </c>
      <c r="AL344" s="13">
        <f t="shared" si="204"/>
        <v>0</v>
      </c>
      <c r="AM344" s="13">
        <f t="shared" si="204"/>
        <v>0</v>
      </c>
      <c r="AN344" s="13">
        <f t="shared" si="204"/>
        <v>0</v>
      </c>
      <c r="AO344" s="13">
        <f t="shared" si="204"/>
        <v>1</v>
      </c>
      <c r="AP344" s="13">
        <f t="shared" si="204"/>
        <v>1</v>
      </c>
      <c r="AQ344" s="13">
        <f t="shared" si="204"/>
        <v>1</v>
      </c>
      <c r="AR344" s="13">
        <f t="shared" si="204"/>
        <v>1</v>
      </c>
      <c r="AS344" s="13">
        <f t="shared" si="204"/>
        <v>1</v>
      </c>
      <c r="AT344" s="13">
        <f t="shared" si="204"/>
        <v>1</v>
      </c>
      <c r="AU344" s="13">
        <f t="shared" si="204"/>
        <v>1</v>
      </c>
      <c r="AV344" s="13">
        <f t="shared" si="168"/>
        <v>0</v>
      </c>
      <c r="AW344" s="13">
        <f t="shared" si="169"/>
        <v>1</v>
      </c>
      <c r="AY344" s="17">
        <f t="shared" si="170"/>
        <v>254</v>
      </c>
      <c r="AZ344" s="28">
        <f t="shared" si="179"/>
        <v>0</v>
      </c>
      <c r="BA344" s="13">
        <f t="shared" si="171"/>
        <v>0</v>
      </c>
      <c r="BB344" s="13">
        <f t="shared" si="172"/>
        <v>0</v>
      </c>
      <c r="BC344" s="28">
        <f t="shared" si="180"/>
        <v>0</v>
      </c>
      <c r="BD344" s="28">
        <f t="shared" si="181"/>
        <v>0</v>
      </c>
      <c r="BF344" s="248">
        <f t="shared" si="182"/>
        <v>993869.29442638322</v>
      </c>
    </row>
    <row r="345" spans="1:58">
      <c r="A345" s="32">
        <f t="shared" si="184"/>
        <v>-170</v>
      </c>
      <c r="B345" s="32">
        <f t="shared" si="174"/>
        <v>74</v>
      </c>
      <c r="C345" s="32">
        <f t="shared" si="185"/>
        <v>22</v>
      </c>
      <c r="D345" s="32">
        <f t="shared" si="186"/>
        <v>255</v>
      </c>
      <c r="E345" s="74">
        <f>MIN(IF(AV345=0,0,
IF(Investment_Strategy="DIS",VLOOKUP(Investment_Strategy&amp;"_"&amp;Investment_Strategy_Sub1&amp;"_"&amp;$A345,'Investment Strategies'!$AZ:$BP,12,FALSE),
IF(AND(Investment_Strategy="Lifecycle",Investment_Strategy_Sub1="Non-Standard"),VLOOKUP(Investment_Strategy&amp;"_"&amp;Investment_Strategy_Sub2&amp;"_"&amp;$A345,'Investment Strategies'!$C:$P,9,FALSE),
IF(AND(Investment_Strategy="Lifecycle",Investment_Strategy_Sub1="Standard"),VLOOKUP(Investment_Strategy&amp;"_"&amp;Investment_Strategy_Sub2&amp;"_"&amp;$A345,'Investment Strategies'!$AJ:$AV,8,FALSE),
IF(AND(Investment_Strategy="Autopilot",Investment_Strategy_Sub1="Non-Standard"),VLOOKUP(Investment_Strategy&amp;"_"&amp;Investment_Strategy_Sub2&amp;"_"&amp;$A345,'Investment Strategies'!$T:$AF,8,FALSE),
IF(Investment_Strategy ="DIY",DIY_RateOfReturn_CurrentFunds,
"Error")))))),Max_InvReturn)</f>
        <v>0</v>
      </c>
      <c r="F345" s="62">
        <f>IF(AV345=0,0,
IF(Investment_Strategy="DIS",VLOOKUP(Investment_Strategy&amp;"_"&amp;Investment_Strategy_Sub1&amp;"_"&amp;$A345,'Investment Strategies'!$AZ:$BP,15,FALSE),
IF(AND(Investment_Strategy="Lifecycle",Investment_Strategy_Sub1="Non-Standard"),VLOOKUP(Investment_Strategy&amp;"_"&amp;Investment_Strategy_Sub2&amp;"_"&amp;$A345,'Investment Strategies'!$C:$P,12,FALSE),
IF(AND(Investment_Strategy="Lifecycle",Investment_Strategy_Sub1="Standard"),VLOOKUP(Investment_Strategy&amp;"_"&amp;Investment_Strategy_Sub2&amp;"_"&amp;$A345,'Investment Strategies'!$AJ:$AV,11,FALSE),
IF(AND(Investment_Strategy="Autopilot",Investment_Strategy_Sub1="Non-Standard"),VLOOKUP(Investment_Strategy&amp;"_"&amp;Investment_Strategy_Sub2&amp;"_"&amp;$A345,'Investment Strategies'!$T:$AF,11,FALSE),
IF(Investment_Strategy="DIY",DIY_GteeChrge_CurrentFunds,
"Error"))))))</f>
        <v>0</v>
      </c>
      <c r="G345" s="33">
        <f>IF(AV345=0,0,
IF(Investment_Strategy="DIS",VLOOKUP(Investment_Strategy&amp;"_"&amp;Investment_Strategy_Sub1&amp;"_"&amp;$A345,'Investment Strategies'!$AZ:$BP,17,FALSE),
IF(AND(Investment_Strategy="Lifecycle",Investment_Strategy_Sub1="Non-Standard"),VLOOKUP(Investment_Strategy&amp;"_"&amp;Investment_Strategy_Sub2&amp;"_"&amp;$A345,'Investment Strategies'!$C:$P,14,FALSE),
IF(AND(Investment_Strategy="Lifecycle",Investment_Strategy_Sub1="Standard"),VLOOKUP(Investment_Strategy&amp;"_"&amp;Investment_Strategy_Sub2&amp;"_"&amp;$A345,'Investment Strategies'!$AJ:$AV,13,FALSE),
IF(AND(Investment_Strategy="Autopilot",Investment_Strategy_Sub1="Non-Standard"),VLOOKUP(Investment_Strategy&amp;"_"&amp;Investment_Strategy_Sub2&amp;"_"&amp;$A345,'Investment Strategies'!$T:$AF,13,FALSE),
IF(Investment_Strategy="DIY",DIY_ExtManChrge_CurrentFunds,
"Error"))))))</f>
        <v>0</v>
      </c>
      <c r="H345" s="16">
        <f t="shared" si="175"/>
        <v>0</v>
      </c>
      <c r="I345" s="16">
        <f t="shared" si="159"/>
        <v>0</v>
      </c>
      <c r="J345" s="16">
        <f t="shared" si="160"/>
        <v>0</v>
      </c>
      <c r="K345" s="16">
        <f>(Opening_Fund_Value+SUM(K$91:K344))*E345*IF(D345=$A$91,SRP_finalmonthfactor,1)</f>
        <v>0</v>
      </c>
      <c r="L345" s="74">
        <f>MIN(IF($AV345=0,0,
IF(Investment_Strategy="DIS",VLOOKUP(Investment_Strategy&amp;"_"&amp;Investment_Strategy_Sub1&amp;"_"&amp;$A345,'Investment Strategies'!$AZ:$BP,12,FALSE),
IF(AND(Investment_Strategy="Lifecycle",Investment_Strategy_Sub1="Non-Standard"),VLOOKUP(Investment_Strategy&amp;"_"&amp;Investment_Strategy_Sub2&amp;"_"&amp;$A345,'Investment Strategies'!$C:$P,9,FALSE),
IF(AND(Investment_Strategy="Lifecycle",Investment_Strategy_Sub1="Standard"),VLOOKUP(Investment_Strategy&amp;"_"&amp;Investment_Strategy_Sub2&amp;"_"&amp;$A345,'Investment Strategies'!$AJ:$AV,8,FALSE),
IF(AND(Investment_Strategy="Autopilot",Investment_Strategy_Sub1="Non-Standard"),VLOOKUP(Investment_Strategy&amp;"_"&amp;Investment_Strategy_Sub2&amp;"_"&amp;$A345,'Investment Strategies'!$T:$AF,8,FALSE),
IF(Investment_Strategy ="DIY",DIY_RateofReturn_SP,
"Error")))))),Max_InvReturn)</f>
        <v>0</v>
      </c>
      <c r="M345" s="62">
        <f>IF($AV345=0,0,
IF(Investment_Strategy="DIS",VLOOKUP(Investment_Strategy&amp;"_"&amp;Investment_Strategy_Sub1&amp;"_"&amp;$A345,'Investment Strategies'!$AZ:$BP,15,FALSE),
IF(AND(Investment_Strategy="Lifecycle",Investment_Strategy_Sub1="Non-Standard"),VLOOKUP(Investment_Strategy&amp;"_"&amp;Investment_Strategy_Sub2&amp;"_"&amp;$A345,'Investment Strategies'!$C:$P,12,FALSE),
IF(AND(Investment_Strategy="Lifecycle",Investment_Strategy_Sub1="Standard"),VLOOKUP(Investment_Strategy&amp;"_"&amp;Investment_Strategy_Sub2&amp;"_"&amp;$A345,'Investment Strategies'!$AJ:$AV,11,FALSE),
IF(AND(Investment_Strategy="Autopilot",Investment_Strategy_Sub1="Non-Standard"),VLOOKUP(Investment_Strategy&amp;"_"&amp;Investment_Strategy_Sub2&amp;"_"&amp;$A345,'Investment Strategies'!$T:$AF,11,FALSE),
IF(Investment_Strategy="DIY",DIY_GteeChrge_SP,
"Error"))))))</f>
        <v>0</v>
      </c>
      <c r="N345" s="33">
        <f>IF($AV345=0,0,
IF(Investment_Strategy="DIS",VLOOKUP(Investment_Strategy&amp;"_"&amp;Investment_Strategy_Sub1&amp;"_"&amp;$A345,'Investment Strategies'!$AZ:$BP,17,FALSE),
IF(AND(Investment_Strategy="Lifecycle",Investment_Strategy_Sub1="Non-Standard"),VLOOKUP(Investment_Strategy&amp;"_"&amp;Investment_Strategy_Sub2&amp;"_"&amp;$A345,'Investment Strategies'!$C:$P,14,FALSE),
IF(AND(Investment_Strategy="Lifecycle",Investment_Strategy_Sub1="Standard"),VLOOKUP(Investment_Strategy&amp;"_"&amp;Investment_Strategy_Sub2&amp;"_"&amp;$A345,'Investment Strategies'!$AJ:$AV,13,FALSE),
IF(AND(Investment_Strategy="Autopilot",Investment_Strategy_Sub1="Non-Standard"),VLOOKUP(Investment_Strategy&amp;"_"&amp;Investment_Strategy_Sub2&amp;"_"&amp;$A345,'Investment Strategies'!$T:$AF,13,FALSE),
IF(Investment_Strategy="DIY",DIY_ExtManChrge_SP,
"Error"))))))</f>
        <v>0</v>
      </c>
      <c r="O345" s="16">
        <f t="shared" si="187"/>
        <v>0</v>
      </c>
      <c r="Q345" s="16">
        <f t="shared" si="161"/>
        <v>0</v>
      </c>
      <c r="R345" s="16">
        <f t="shared" si="203"/>
        <v>0</v>
      </c>
      <c r="S345" s="16">
        <f>(SRP_SP+SUM(S$91:S344))*L345*IF(D345=$A$91,SRP_finalmonthfactor,1)</f>
        <v>0</v>
      </c>
      <c r="T345" s="74">
        <f>MIN(IF($AV345=0,0,
IF(Investment_Strategy="DIS",VLOOKUP(Investment_Strategy&amp;"_"&amp;Investment_Strategy_Sub1&amp;"_"&amp;$A345,'Investment Strategies'!$AZ:$BP,12,FALSE),
IF(AND(Investment_Strategy="Lifecycle",Investment_Strategy_Sub1="Non-Standard"),VLOOKUP(Investment_Strategy&amp;"_"&amp;Investment_Strategy_Sub2&amp;"_"&amp;$A345,'Investment Strategies'!$C:$P,9,FALSE),
IF(AND(Investment_Strategy="Lifecycle",Investment_Strategy_Sub1="Standard"),VLOOKUP(Investment_Strategy&amp;"_"&amp;Investment_Strategy_Sub2&amp;"_"&amp;$A345,'Investment Strategies'!$AJ:$AV,8,FALSE),
IF(AND(Investment_Strategy="Autopilot",Investment_Strategy_Sub1="Non-Standard"),VLOOKUP(Investment_Strategy&amp;"_"&amp;Investment_Strategy_Sub2&amp;"_"&amp;$A345,'Investment Strategies'!$T:$AF,8,FALSE),
IF(Investment_Strategy ="DIY",DIY_RateOfReturn_FuturePremiums,
"Error")))))),Max_InvReturn)</f>
        <v>0</v>
      </c>
      <c r="U345" s="62">
        <f>IF($AV345=0,0,
IF(Investment_Strategy="DIS",VLOOKUP(Investment_Strategy&amp;"_"&amp;Investment_Strategy_Sub1&amp;"_"&amp;$A345,'Investment Strategies'!$AZ:$BP,15,FALSE),
IF(AND(Investment_Strategy="Lifecycle",Investment_Strategy_Sub1="Non-Standard"),VLOOKUP(Investment_Strategy&amp;"_"&amp;Investment_Strategy_Sub2&amp;"_"&amp;$A345,'Investment Strategies'!$C:$P,12,FALSE),
IF(AND(Investment_Strategy="Lifecycle",Investment_Strategy_Sub1="Standard"),VLOOKUP(Investment_Strategy&amp;"_"&amp;Investment_Strategy_Sub2&amp;"_"&amp;$A345,'Investment Strategies'!$AJ:$AV,11,FALSE),
IF(AND(Investment_Strategy="Autopilot",Investment_Strategy_Sub1="Non-Standard"),VLOOKUP(Investment_Strategy&amp;"_"&amp;Investment_Strategy_Sub2&amp;"_"&amp;$A345,'Investment Strategies'!$T:$AF,11,FALSE),
IF(Investment_Strategy="DIY",DIY_GteeChrge_FuturePremiums,
"Error"))))))</f>
        <v>0</v>
      </c>
      <c r="V345" s="33">
        <f>IF(AV345=0,0,
IF(Investment_Strategy="DIS",VLOOKUP(Investment_Strategy&amp;"_"&amp;Investment_Strategy_Sub1&amp;"_"&amp;$A345,'Investment Strategies'!$AZ:$BP,17,FALSE),
IF(AND(Investment_Strategy="Lifecycle",Investment_Strategy_Sub1="Non-Standard"),VLOOKUP(Investment_Strategy&amp;"_"&amp;Investment_Strategy_Sub2&amp;"_"&amp;$A345,'Investment Strategies'!$C:$P,14,FALSE),
IF(AND(Investment_Strategy="Lifecycle",Investment_Strategy_Sub1="Standard"),VLOOKUP(Investment_Strategy&amp;"_"&amp;Investment_Strategy_Sub2&amp;"_"&amp;$A345,'Investment Strategies'!$AJ:$AV,13,FALSE),
IF(AND(Investment_Strategy="Autopilot",Investment_Strategy_Sub1="Non-Standard"),VLOOKUP(Investment_Strategy&amp;"_"&amp;Investment_Strategy_Sub2&amp;"_"&amp;$A345,'Investment Strategies'!$T:$AF,13,FALSE),
IF(Investment_Strategy="DIY",DIY_ExtManChrge_FuturePremiums,
"Error"))))))</f>
        <v>0</v>
      </c>
      <c r="W345" s="16">
        <f t="shared" si="188"/>
        <v>0</v>
      </c>
      <c r="X345" s="16">
        <f t="shared" si="163"/>
        <v>0</v>
      </c>
      <c r="Y345" s="16">
        <f t="shared" si="164"/>
        <v>0</v>
      </c>
      <c r="Z345" s="31">
        <f t="shared" si="165"/>
        <v>0.02</v>
      </c>
      <c r="AA345" s="16">
        <f t="shared" si="166"/>
        <v>0</v>
      </c>
      <c r="AB345" s="28">
        <f t="shared" si="189"/>
        <v>0</v>
      </c>
      <c r="AC345" s="28">
        <f>(SUM($AC$91:AC344)+SUM($X$91:X344)+X345)*T345*IF(D345=$A$91,SRP_finalmonthfactor,1)</f>
        <v>0</v>
      </c>
      <c r="AD345" s="16">
        <f t="shared" si="167"/>
        <v>0</v>
      </c>
      <c r="AE345" s="106"/>
      <c r="AF345" s="16">
        <f t="shared" si="176"/>
        <v>0</v>
      </c>
      <c r="AG345" s="16">
        <f t="shared" si="177"/>
        <v>0</v>
      </c>
      <c r="AH345" s="16">
        <f t="shared" si="178"/>
        <v>0</v>
      </c>
      <c r="AJ345" s="13">
        <f t="shared" si="204"/>
        <v>0</v>
      </c>
      <c r="AK345" s="13">
        <f t="shared" si="204"/>
        <v>0</v>
      </c>
      <c r="AL345" s="13">
        <f t="shared" si="204"/>
        <v>0</v>
      </c>
      <c r="AM345" s="13">
        <f t="shared" si="204"/>
        <v>0</v>
      </c>
      <c r="AN345" s="13">
        <f t="shared" si="204"/>
        <v>0</v>
      </c>
      <c r="AO345" s="13">
        <f t="shared" si="204"/>
        <v>1</v>
      </c>
      <c r="AP345" s="13">
        <f t="shared" si="204"/>
        <v>1</v>
      </c>
      <c r="AQ345" s="13">
        <f t="shared" si="204"/>
        <v>1</v>
      </c>
      <c r="AR345" s="13">
        <f t="shared" si="204"/>
        <v>1</v>
      </c>
      <c r="AS345" s="13">
        <f t="shared" si="204"/>
        <v>1</v>
      </c>
      <c r="AT345" s="13">
        <f t="shared" si="204"/>
        <v>1</v>
      </c>
      <c r="AU345" s="13">
        <f t="shared" si="204"/>
        <v>1</v>
      </c>
      <c r="AV345" s="13">
        <f t="shared" si="168"/>
        <v>0</v>
      </c>
      <c r="AW345" s="13">
        <f t="shared" si="169"/>
        <v>1</v>
      </c>
      <c r="AY345" s="17">
        <f t="shared" si="170"/>
        <v>255</v>
      </c>
      <c r="AZ345" s="28">
        <f t="shared" si="179"/>
        <v>0</v>
      </c>
      <c r="BA345" s="13">
        <f t="shared" si="171"/>
        <v>0</v>
      </c>
      <c r="BB345" s="13">
        <f t="shared" si="172"/>
        <v>0</v>
      </c>
      <c r="BC345" s="28">
        <f t="shared" si="180"/>
        <v>0</v>
      </c>
      <c r="BD345" s="28">
        <f t="shared" si="181"/>
        <v>0</v>
      </c>
      <c r="BF345" s="248">
        <f t="shared" si="182"/>
        <v>993869.29442638322</v>
      </c>
    </row>
    <row r="346" spans="1:58">
      <c r="A346" s="32">
        <f t="shared" si="184"/>
        <v>-171</v>
      </c>
      <c r="B346" s="32">
        <f t="shared" si="174"/>
        <v>74</v>
      </c>
      <c r="C346" s="32">
        <f t="shared" si="185"/>
        <v>22</v>
      </c>
      <c r="D346" s="32">
        <f t="shared" si="186"/>
        <v>256</v>
      </c>
      <c r="E346" s="74">
        <f>MIN(IF(AV346=0,0,
IF(Investment_Strategy="DIS",VLOOKUP(Investment_Strategy&amp;"_"&amp;Investment_Strategy_Sub1&amp;"_"&amp;$A346,'Investment Strategies'!$AZ:$BP,12,FALSE),
IF(AND(Investment_Strategy="Lifecycle",Investment_Strategy_Sub1="Non-Standard"),VLOOKUP(Investment_Strategy&amp;"_"&amp;Investment_Strategy_Sub2&amp;"_"&amp;$A346,'Investment Strategies'!$C:$P,9,FALSE),
IF(AND(Investment_Strategy="Lifecycle",Investment_Strategy_Sub1="Standard"),VLOOKUP(Investment_Strategy&amp;"_"&amp;Investment_Strategy_Sub2&amp;"_"&amp;$A346,'Investment Strategies'!$AJ:$AV,8,FALSE),
IF(AND(Investment_Strategy="Autopilot",Investment_Strategy_Sub1="Non-Standard"),VLOOKUP(Investment_Strategy&amp;"_"&amp;Investment_Strategy_Sub2&amp;"_"&amp;$A346,'Investment Strategies'!$T:$AF,8,FALSE),
IF(Investment_Strategy ="DIY",DIY_RateOfReturn_CurrentFunds,
"Error")))))),Max_InvReturn)</f>
        <v>0</v>
      </c>
      <c r="F346" s="62">
        <f>IF(AV346=0,0,
IF(Investment_Strategy="DIS",VLOOKUP(Investment_Strategy&amp;"_"&amp;Investment_Strategy_Sub1&amp;"_"&amp;$A346,'Investment Strategies'!$AZ:$BP,15,FALSE),
IF(AND(Investment_Strategy="Lifecycle",Investment_Strategy_Sub1="Non-Standard"),VLOOKUP(Investment_Strategy&amp;"_"&amp;Investment_Strategy_Sub2&amp;"_"&amp;$A346,'Investment Strategies'!$C:$P,12,FALSE),
IF(AND(Investment_Strategy="Lifecycle",Investment_Strategy_Sub1="Standard"),VLOOKUP(Investment_Strategy&amp;"_"&amp;Investment_Strategy_Sub2&amp;"_"&amp;$A346,'Investment Strategies'!$AJ:$AV,11,FALSE),
IF(AND(Investment_Strategy="Autopilot",Investment_Strategy_Sub1="Non-Standard"),VLOOKUP(Investment_Strategy&amp;"_"&amp;Investment_Strategy_Sub2&amp;"_"&amp;$A346,'Investment Strategies'!$T:$AF,11,FALSE),
IF(Investment_Strategy="DIY",DIY_GteeChrge_CurrentFunds,
"Error"))))))</f>
        <v>0</v>
      </c>
      <c r="G346" s="33">
        <f>IF(AV346=0,0,
IF(Investment_Strategy="DIS",VLOOKUP(Investment_Strategy&amp;"_"&amp;Investment_Strategy_Sub1&amp;"_"&amp;$A346,'Investment Strategies'!$AZ:$BP,17,FALSE),
IF(AND(Investment_Strategy="Lifecycle",Investment_Strategy_Sub1="Non-Standard"),VLOOKUP(Investment_Strategy&amp;"_"&amp;Investment_Strategy_Sub2&amp;"_"&amp;$A346,'Investment Strategies'!$C:$P,14,FALSE),
IF(AND(Investment_Strategy="Lifecycle",Investment_Strategy_Sub1="Standard"),VLOOKUP(Investment_Strategy&amp;"_"&amp;Investment_Strategy_Sub2&amp;"_"&amp;$A346,'Investment Strategies'!$AJ:$AV,13,FALSE),
IF(AND(Investment_Strategy="Autopilot",Investment_Strategy_Sub1="Non-Standard"),VLOOKUP(Investment_Strategy&amp;"_"&amp;Investment_Strategy_Sub2&amp;"_"&amp;$A346,'Investment Strategies'!$T:$AF,13,FALSE),
IF(Investment_Strategy="DIY",DIY_ExtManChrge_CurrentFunds,
"Error"))))))</f>
        <v>0</v>
      </c>
      <c r="H346" s="16">
        <f t="shared" si="175"/>
        <v>0</v>
      </c>
      <c r="I346" s="16">
        <f t="shared" si="159"/>
        <v>0</v>
      </c>
      <c r="J346" s="16">
        <f t="shared" si="160"/>
        <v>0</v>
      </c>
      <c r="K346" s="16">
        <f>(Opening_Fund_Value+SUM(K$91:K345))*E346*IF(D346=$A$91,SRP_finalmonthfactor,1)</f>
        <v>0</v>
      </c>
      <c r="L346" s="74">
        <f>MIN(IF($AV346=0,0,
IF(Investment_Strategy="DIS",VLOOKUP(Investment_Strategy&amp;"_"&amp;Investment_Strategy_Sub1&amp;"_"&amp;$A346,'Investment Strategies'!$AZ:$BP,12,FALSE),
IF(AND(Investment_Strategy="Lifecycle",Investment_Strategy_Sub1="Non-Standard"),VLOOKUP(Investment_Strategy&amp;"_"&amp;Investment_Strategy_Sub2&amp;"_"&amp;$A346,'Investment Strategies'!$C:$P,9,FALSE),
IF(AND(Investment_Strategy="Lifecycle",Investment_Strategy_Sub1="Standard"),VLOOKUP(Investment_Strategy&amp;"_"&amp;Investment_Strategy_Sub2&amp;"_"&amp;$A346,'Investment Strategies'!$AJ:$AV,8,FALSE),
IF(AND(Investment_Strategy="Autopilot",Investment_Strategy_Sub1="Non-Standard"),VLOOKUP(Investment_Strategy&amp;"_"&amp;Investment_Strategy_Sub2&amp;"_"&amp;$A346,'Investment Strategies'!$T:$AF,8,FALSE),
IF(Investment_Strategy ="DIY",DIY_RateofReturn_SP,
"Error")))))),Max_InvReturn)</f>
        <v>0</v>
      </c>
      <c r="M346" s="62">
        <f>IF($AV346=0,0,
IF(Investment_Strategy="DIS",VLOOKUP(Investment_Strategy&amp;"_"&amp;Investment_Strategy_Sub1&amp;"_"&amp;$A346,'Investment Strategies'!$AZ:$BP,15,FALSE),
IF(AND(Investment_Strategy="Lifecycle",Investment_Strategy_Sub1="Non-Standard"),VLOOKUP(Investment_Strategy&amp;"_"&amp;Investment_Strategy_Sub2&amp;"_"&amp;$A346,'Investment Strategies'!$C:$P,12,FALSE),
IF(AND(Investment_Strategy="Lifecycle",Investment_Strategy_Sub1="Standard"),VLOOKUP(Investment_Strategy&amp;"_"&amp;Investment_Strategy_Sub2&amp;"_"&amp;$A346,'Investment Strategies'!$AJ:$AV,11,FALSE),
IF(AND(Investment_Strategy="Autopilot",Investment_Strategy_Sub1="Non-Standard"),VLOOKUP(Investment_Strategy&amp;"_"&amp;Investment_Strategy_Sub2&amp;"_"&amp;$A346,'Investment Strategies'!$T:$AF,11,FALSE),
IF(Investment_Strategy="DIY",DIY_GteeChrge_SP,
"Error"))))))</f>
        <v>0</v>
      </c>
      <c r="N346" s="33">
        <f>IF($AV346=0,0,
IF(Investment_Strategy="DIS",VLOOKUP(Investment_Strategy&amp;"_"&amp;Investment_Strategy_Sub1&amp;"_"&amp;$A346,'Investment Strategies'!$AZ:$BP,17,FALSE),
IF(AND(Investment_Strategy="Lifecycle",Investment_Strategy_Sub1="Non-Standard"),VLOOKUP(Investment_Strategy&amp;"_"&amp;Investment_Strategy_Sub2&amp;"_"&amp;$A346,'Investment Strategies'!$C:$P,14,FALSE),
IF(AND(Investment_Strategy="Lifecycle",Investment_Strategy_Sub1="Standard"),VLOOKUP(Investment_Strategy&amp;"_"&amp;Investment_Strategy_Sub2&amp;"_"&amp;$A346,'Investment Strategies'!$AJ:$AV,13,FALSE),
IF(AND(Investment_Strategy="Autopilot",Investment_Strategy_Sub1="Non-Standard"),VLOOKUP(Investment_Strategy&amp;"_"&amp;Investment_Strategy_Sub2&amp;"_"&amp;$A346,'Investment Strategies'!$T:$AF,13,FALSE),
IF(Investment_Strategy="DIY",DIY_ExtManChrge_SP,
"Error"))))))</f>
        <v>0</v>
      </c>
      <c r="O346" s="16">
        <f t="shared" si="187"/>
        <v>0</v>
      </c>
      <c r="Q346" s="16">
        <f t="shared" si="161"/>
        <v>0</v>
      </c>
      <c r="R346" s="16">
        <f t="shared" si="203"/>
        <v>0</v>
      </c>
      <c r="S346" s="16">
        <f>(SRP_SP+SUM(S$91:S345))*L346*IF(D346=$A$91,SRP_finalmonthfactor,1)</f>
        <v>0</v>
      </c>
      <c r="T346" s="74">
        <f>MIN(IF($AV346=0,0,
IF(Investment_Strategy="DIS",VLOOKUP(Investment_Strategy&amp;"_"&amp;Investment_Strategy_Sub1&amp;"_"&amp;$A346,'Investment Strategies'!$AZ:$BP,12,FALSE),
IF(AND(Investment_Strategy="Lifecycle",Investment_Strategy_Sub1="Non-Standard"),VLOOKUP(Investment_Strategy&amp;"_"&amp;Investment_Strategy_Sub2&amp;"_"&amp;$A346,'Investment Strategies'!$C:$P,9,FALSE),
IF(AND(Investment_Strategy="Lifecycle",Investment_Strategy_Sub1="Standard"),VLOOKUP(Investment_Strategy&amp;"_"&amp;Investment_Strategy_Sub2&amp;"_"&amp;$A346,'Investment Strategies'!$AJ:$AV,8,FALSE),
IF(AND(Investment_Strategy="Autopilot",Investment_Strategy_Sub1="Non-Standard"),VLOOKUP(Investment_Strategy&amp;"_"&amp;Investment_Strategy_Sub2&amp;"_"&amp;$A346,'Investment Strategies'!$T:$AF,8,FALSE),
IF(Investment_Strategy ="DIY",DIY_RateOfReturn_FuturePremiums,
"Error")))))),Max_InvReturn)</f>
        <v>0</v>
      </c>
      <c r="U346" s="62">
        <f>IF($AV346=0,0,
IF(Investment_Strategy="DIS",VLOOKUP(Investment_Strategy&amp;"_"&amp;Investment_Strategy_Sub1&amp;"_"&amp;$A346,'Investment Strategies'!$AZ:$BP,15,FALSE),
IF(AND(Investment_Strategy="Lifecycle",Investment_Strategy_Sub1="Non-Standard"),VLOOKUP(Investment_Strategy&amp;"_"&amp;Investment_Strategy_Sub2&amp;"_"&amp;$A346,'Investment Strategies'!$C:$P,12,FALSE),
IF(AND(Investment_Strategy="Lifecycle",Investment_Strategy_Sub1="Standard"),VLOOKUP(Investment_Strategy&amp;"_"&amp;Investment_Strategy_Sub2&amp;"_"&amp;$A346,'Investment Strategies'!$AJ:$AV,11,FALSE),
IF(AND(Investment_Strategy="Autopilot",Investment_Strategy_Sub1="Non-Standard"),VLOOKUP(Investment_Strategy&amp;"_"&amp;Investment_Strategy_Sub2&amp;"_"&amp;$A346,'Investment Strategies'!$T:$AF,11,FALSE),
IF(Investment_Strategy="DIY",DIY_GteeChrge_FuturePremiums,
"Error"))))))</f>
        <v>0</v>
      </c>
      <c r="V346" s="33">
        <f>IF(AV346=0,0,
IF(Investment_Strategy="DIS",VLOOKUP(Investment_Strategy&amp;"_"&amp;Investment_Strategy_Sub1&amp;"_"&amp;$A346,'Investment Strategies'!$AZ:$BP,17,FALSE),
IF(AND(Investment_Strategy="Lifecycle",Investment_Strategy_Sub1="Non-Standard"),VLOOKUP(Investment_Strategy&amp;"_"&amp;Investment_Strategy_Sub2&amp;"_"&amp;$A346,'Investment Strategies'!$C:$P,14,FALSE),
IF(AND(Investment_Strategy="Lifecycle",Investment_Strategy_Sub1="Standard"),VLOOKUP(Investment_Strategy&amp;"_"&amp;Investment_Strategy_Sub2&amp;"_"&amp;$A346,'Investment Strategies'!$AJ:$AV,13,FALSE),
IF(AND(Investment_Strategy="Autopilot",Investment_Strategy_Sub1="Non-Standard"),VLOOKUP(Investment_Strategy&amp;"_"&amp;Investment_Strategy_Sub2&amp;"_"&amp;$A346,'Investment Strategies'!$T:$AF,13,FALSE),
IF(Investment_Strategy="DIY",DIY_ExtManChrge_FuturePremiums,
"Error"))))))</f>
        <v>0</v>
      </c>
      <c r="W346" s="16">
        <f t="shared" si="188"/>
        <v>0</v>
      </c>
      <c r="X346" s="16">
        <f t="shared" si="163"/>
        <v>0</v>
      </c>
      <c r="Y346" s="16">
        <f t="shared" si="164"/>
        <v>0</v>
      </c>
      <c r="Z346" s="31">
        <f t="shared" si="165"/>
        <v>0.02</v>
      </c>
      <c r="AA346" s="16">
        <f t="shared" si="166"/>
        <v>0</v>
      </c>
      <c r="AB346" s="28">
        <f t="shared" si="189"/>
        <v>0</v>
      </c>
      <c r="AC346" s="28">
        <f>(SUM($AC$91:AC345)+SUM($X$91:X345)+X346)*T346*IF(D346=$A$91,SRP_finalmonthfactor,1)</f>
        <v>0</v>
      </c>
      <c r="AD346" s="16">
        <f t="shared" si="167"/>
        <v>0</v>
      </c>
      <c r="AE346" s="106"/>
      <c r="AF346" s="16">
        <f t="shared" si="176"/>
        <v>0</v>
      </c>
      <c r="AG346" s="16">
        <f t="shared" si="177"/>
        <v>0</v>
      </c>
      <c r="AH346" s="16">
        <f t="shared" si="178"/>
        <v>0</v>
      </c>
      <c r="AJ346" s="13">
        <f t="shared" si="204"/>
        <v>0</v>
      </c>
      <c r="AK346" s="13">
        <f t="shared" si="204"/>
        <v>0</v>
      </c>
      <c r="AL346" s="13">
        <f t="shared" si="204"/>
        <v>0</v>
      </c>
      <c r="AM346" s="13">
        <f t="shared" si="204"/>
        <v>0</v>
      </c>
      <c r="AN346" s="13">
        <f t="shared" si="204"/>
        <v>0</v>
      </c>
      <c r="AO346" s="13">
        <f t="shared" si="204"/>
        <v>1</v>
      </c>
      <c r="AP346" s="13">
        <f t="shared" si="204"/>
        <v>1</v>
      </c>
      <c r="AQ346" s="13">
        <f t="shared" si="204"/>
        <v>1</v>
      </c>
      <c r="AR346" s="13">
        <f t="shared" si="204"/>
        <v>1</v>
      </c>
      <c r="AS346" s="13">
        <f t="shared" si="204"/>
        <v>1</v>
      </c>
      <c r="AT346" s="13">
        <f t="shared" si="204"/>
        <v>1</v>
      </c>
      <c r="AU346" s="13">
        <f t="shared" si="204"/>
        <v>1</v>
      </c>
      <c r="AV346" s="13">
        <f t="shared" si="168"/>
        <v>0</v>
      </c>
      <c r="AW346" s="13">
        <f t="shared" si="169"/>
        <v>1</v>
      </c>
      <c r="AY346" s="17">
        <f t="shared" si="170"/>
        <v>256</v>
      </c>
      <c r="AZ346" s="28">
        <f t="shared" si="179"/>
        <v>0</v>
      </c>
      <c r="BA346" s="13">
        <f t="shared" si="171"/>
        <v>0</v>
      </c>
      <c r="BB346" s="13">
        <f t="shared" si="172"/>
        <v>0</v>
      </c>
      <c r="BC346" s="28">
        <f t="shared" si="180"/>
        <v>0</v>
      </c>
      <c r="BD346" s="28">
        <f t="shared" si="181"/>
        <v>0</v>
      </c>
      <c r="BF346" s="248">
        <f t="shared" si="182"/>
        <v>993869.29442638322</v>
      </c>
    </row>
    <row r="347" spans="1:58">
      <c r="A347" s="32">
        <f t="shared" si="184"/>
        <v>-172</v>
      </c>
      <c r="B347" s="32">
        <f t="shared" si="174"/>
        <v>74</v>
      </c>
      <c r="C347" s="32">
        <f t="shared" si="185"/>
        <v>22</v>
      </c>
      <c r="D347" s="32">
        <f t="shared" si="186"/>
        <v>257</v>
      </c>
      <c r="E347" s="74">
        <f>MIN(IF(AV347=0,0,
IF(Investment_Strategy="DIS",VLOOKUP(Investment_Strategy&amp;"_"&amp;Investment_Strategy_Sub1&amp;"_"&amp;$A347,'Investment Strategies'!$AZ:$BP,12,FALSE),
IF(AND(Investment_Strategy="Lifecycle",Investment_Strategy_Sub1="Non-Standard"),VLOOKUP(Investment_Strategy&amp;"_"&amp;Investment_Strategy_Sub2&amp;"_"&amp;$A347,'Investment Strategies'!$C:$P,9,FALSE),
IF(AND(Investment_Strategy="Lifecycle",Investment_Strategy_Sub1="Standard"),VLOOKUP(Investment_Strategy&amp;"_"&amp;Investment_Strategy_Sub2&amp;"_"&amp;$A347,'Investment Strategies'!$AJ:$AV,8,FALSE),
IF(AND(Investment_Strategy="Autopilot",Investment_Strategy_Sub1="Non-Standard"),VLOOKUP(Investment_Strategy&amp;"_"&amp;Investment_Strategy_Sub2&amp;"_"&amp;$A347,'Investment Strategies'!$T:$AF,8,FALSE),
IF(Investment_Strategy ="DIY",DIY_RateOfReturn_CurrentFunds,
"Error")))))),Max_InvReturn)</f>
        <v>0</v>
      </c>
      <c r="F347" s="62">
        <f>IF(AV347=0,0,
IF(Investment_Strategy="DIS",VLOOKUP(Investment_Strategy&amp;"_"&amp;Investment_Strategy_Sub1&amp;"_"&amp;$A347,'Investment Strategies'!$AZ:$BP,15,FALSE),
IF(AND(Investment_Strategy="Lifecycle",Investment_Strategy_Sub1="Non-Standard"),VLOOKUP(Investment_Strategy&amp;"_"&amp;Investment_Strategy_Sub2&amp;"_"&amp;$A347,'Investment Strategies'!$C:$P,12,FALSE),
IF(AND(Investment_Strategy="Lifecycle",Investment_Strategy_Sub1="Standard"),VLOOKUP(Investment_Strategy&amp;"_"&amp;Investment_Strategy_Sub2&amp;"_"&amp;$A347,'Investment Strategies'!$AJ:$AV,11,FALSE),
IF(AND(Investment_Strategy="Autopilot",Investment_Strategy_Sub1="Non-Standard"),VLOOKUP(Investment_Strategy&amp;"_"&amp;Investment_Strategy_Sub2&amp;"_"&amp;$A347,'Investment Strategies'!$T:$AF,11,FALSE),
IF(Investment_Strategy="DIY",DIY_GteeChrge_CurrentFunds,
"Error"))))))</f>
        <v>0</v>
      </c>
      <c r="G347" s="33">
        <f>IF(AV347=0,0,
IF(Investment_Strategy="DIS",VLOOKUP(Investment_Strategy&amp;"_"&amp;Investment_Strategy_Sub1&amp;"_"&amp;$A347,'Investment Strategies'!$AZ:$BP,17,FALSE),
IF(AND(Investment_Strategy="Lifecycle",Investment_Strategy_Sub1="Non-Standard"),VLOOKUP(Investment_Strategy&amp;"_"&amp;Investment_Strategy_Sub2&amp;"_"&amp;$A347,'Investment Strategies'!$C:$P,14,FALSE),
IF(AND(Investment_Strategy="Lifecycle",Investment_Strategy_Sub1="Standard"),VLOOKUP(Investment_Strategy&amp;"_"&amp;Investment_Strategy_Sub2&amp;"_"&amp;$A347,'Investment Strategies'!$AJ:$AV,13,FALSE),
IF(AND(Investment_Strategy="Autopilot",Investment_Strategy_Sub1="Non-Standard"),VLOOKUP(Investment_Strategy&amp;"_"&amp;Investment_Strategy_Sub2&amp;"_"&amp;$A347,'Investment Strategies'!$T:$AF,13,FALSE),
IF(Investment_Strategy="DIY",DIY_ExtManChrge_CurrentFunds,
"Error"))))))</f>
        <v>0</v>
      </c>
      <c r="H347" s="16">
        <f t="shared" si="175"/>
        <v>0</v>
      </c>
      <c r="I347" s="16">
        <f t="shared" ref="I347:I410" si="205">(H347*E347)*IF(D347=$A$91,SRP_finalmonthfactor,1)</f>
        <v>0</v>
      </c>
      <c r="J347" s="16">
        <f t="shared" ref="J347:J410" si="206">IF($AV347=0,0,
-((H347+I347/2)*(SRP_Monthly_Admin_Chge+F347+G347)*IF(D347=$A$91,SRP_finalmonthfactor,1)))</f>
        <v>0</v>
      </c>
      <c r="K347" s="16">
        <f>(Opening_Fund_Value+SUM(K$91:K346))*E347*IF(D347=$A$91,SRP_finalmonthfactor,1)</f>
        <v>0</v>
      </c>
      <c r="L347" s="74">
        <f>MIN(IF($AV347=0,0,
IF(Investment_Strategy="DIS",VLOOKUP(Investment_Strategy&amp;"_"&amp;Investment_Strategy_Sub1&amp;"_"&amp;$A347,'Investment Strategies'!$AZ:$BP,12,FALSE),
IF(AND(Investment_Strategy="Lifecycle",Investment_Strategy_Sub1="Non-Standard"),VLOOKUP(Investment_Strategy&amp;"_"&amp;Investment_Strategy_Sub2&amp;"_"&amp;$A347,'Investment Strategies'!$C:$P,9,FALSE),
IF(AND(Investment_Strategy="Lifecycle",Investment_Strategy_Sub1="Standard"),VLOOKUP(Investment_Strategy&amp;"_"&amp;Investment_Strategy_Sub2&amp;"_"&amp;$A347,'Investment Strategies'!$AJ:$AV,8,FALSE),
IF(AND(Investment_Strategy="Autopilot",Investment_Strategy_Sub1="Non-Standard"),VLOOKUP(Investment_Strategy&amp;"_"&amp;Investment_Strategy_Sub2&amp;"_"&amp;$A347,'Investment Strategies'!$T:$AF,8,FALSE),
IF(Investment_Strategy ="DIY",DIY_RateofReturn_SP,
"Error")))))),Max_InvReturn)</f>
        <v>0</v>
      </c>
      <c r="M347" s="62">
        <f>IF($AV347=0,0,
IF(Investment_Strategy="DIS",VLOOKUP(Investment_Strategy&amp;"_"&amp;Investment_Strategy_Sub1&amp;"_"&amp;$A347,'Investment Strategies'!$AZ:$BP,15,FALSE),
IF(AND(Investment_Strategy="Lifecycle",Investment_Strategy_Sub1="Non-Standard"),VLOOKUP(Investment_Strategy&amp;"_"&amp;Investment_Strategy_Sub2&amp;"_"&amp;$A347,'Investment Strategies'!$C:$P,12,FALSE),
IF(AND(Investment_Strategy="Lifecycle",Investment_Strategy_Sub1="Standard"),VLOOKUP(Investment_Strategy&amp;"_"&amp;Investment_Strategy_Sub2&amp;"_"&amp;$A347,'Investment Strategies'!$AJ:$AV,11,FALSE),
IF(AND(Investment_Strategy="Autopilot",Investment_Strategy_Sub1="Non-Standard"),VLOOKUP(Investment_Strategy&amp;"_"&amp;Investment_Strategy_Sub2&amp;"_"&amp;$A347,'Investment Strategies'!$T:$AF,11,FALSE),
IF(Investment_Strategy="DIY",DIY_GteeChrge_SP,
"Error"))))))</f>
        <v>0</v>
      </c>
      <c r="N347" s="33">
        <f>IF($AV347=0,0,
IF(Investment_Strategy="DIS",VLOOKUP(Investment_Strategy&amp;"_"&amp;Investment_Strategy_Sub1&amp;"_"&amp;$A347,'Investment Strategies'!$AZ:$BP,17,FALSE),
IF(AND(Investment_Strategy="Lifecycle",Investment_Strategy_Sub1="Non-Standard"),VLOOKUP(Investment_Strategy&amp;"_"&amp;Investment_Strategy_Sub2&amp;"_"&amp;$A347,'Investment Strategies'!$C:$P,14,FALSE),
IF(AND(Investment_Strategy="Lifecycle",Investment_Strategy_Sub1="Standard"),VLOOKUP(Investment_Strategy&amp;"_"&amp;Investment_Strategy_Sub2&amp;"_"&amp;$A347,'Investment Strategies'!$AJ:$AV,13,FALSE),
IF(AND(Investment_Strategy="Autopilot",Investment_Strategy_Sub1="Non-Standard"),VLOOKUP(Investment_Strategy&amp;"_"&amp;Investment_Strategy_Sub2&amp;"_"&amp;$A347,'Investment Strategies'!$T:$AF,13,FALSE),
IF(Investment_Strategy="DIY",DIY_ExtManChrge_SP,
"Error"))))))</f>
        <v>0</v>
      </c>
      <c r="O347" s="16">
        <f t="shared" si="187"/>
        <v>0</v>
      </c>
      <c r="Q347" s="16">
        <f t="shared" ref="Q347:Q410" si="207">(O347+(P347*(1-SRP_Contrib_Chge_SP)))*L347*IF(D347=$A$91,SRP_finalmonthfactor,1)</f>
        <v>0</v>
      </c>
      <c r="R347" s="16">
        <f t="shared" si="203"/>
        <v>0</v>
      </c>
      <c r="S347" s="16">
        <f>(SRP_SP+SUM(S$91:S346))*L347*IF(D347=$A$91,SRP_finalmonthfactor,1)</f>
        <v>0</v>
      </c>
      <c r="T347" s="74">
        <f>MIN(IF($AV347=0,0,
IF(Investment_Strategy="DIS",VLOOKUP(Investment_Strategy&amp;"_"&amp;Investment_Strategy_Sub1&amp;"_"&amp;$A347,'Investment Strategies'!$AZ:$BP,12,FALSE),
IF(AND(Investment_Strategy="Lifecycle",Investment_Strategy_Sub1="Non-Standard"),VLOOKUP(Investment_Strategy&amp;"_"&amp;Investment_Strategy_Sub2&amp;"_"&amp;$A347,'Investment Strategies'!$C:$P,9,FALSE),
IF(AND(Investment_Strategy="Lifecycle",Investment_Strategy_Sub1="Standard"),VLOOKUP(Investment_Strategy&amp;"_"&amp;Investment_Strategy_Sub2&amp;"_"&amp;$A347,'Investment Strategies'!$AJ:$AV,8,FALSE),
IF(AND(Investment_Strategy="Autopilot",Investment_Strategy_Sub1="Non-Standard"),VLOOKUP(Investment_Strategy&amp;"_"&amp;Investment_Strategy_Sub2&amp;"_"&amp;$A347,'Investment Strategies'!$T:$AF,8,FALSE),
IF(Investment_Strategy ="DIY",DIY_RateOfReturn_FuturePremiums,
"Error")))))),Max_InvReturn)</f>
        <v>0</v>
      </c>
      <c r="U347" s="62">
        <f>IF($AV347=0,0,
IF(Investment_Strategy="DIS",VLOOKUP(Investment_Strategy&amp;"_"&amp;Investment_Strategy_Sub1&amp;"_"&amp;$A347,'Investment Strategies'!$AZ:$BP,15,FALSE),
IF(AND(Investment_Strategy="Lifecycle",Investment_Strategy_Sub1="Non-Standard"),VLOOKUP(Investment_Strategy&amp;"_"&amp;Investment_Strategy_Sub2&amp;"_"&amp;$A347,'Investment Strategies'!$C:$P,12,FALSE),
IF(AND(Investment_Strategy="Lifecycle",Investment_Strategy_Sub1="Standard"),VLOOKUP(Investment_Strategy&amp;"_"&amp;Investment_Strategy_Sub2&amp;"_"&amp;$A347,'Investment Strategies'!$AJ:$AV,11,FALSE),
IF(AND(Investment_Strategy="Autopilot",Investment_Strategy_Sub1="Non-Standard"),VLOOKUP(Investment_Strategy&amp;"_"&amp;Investment_Strategy_Sub2&amp;"_"&amp;$A347,'Investment Strategies'!$T:$AF,11,FALSE),
IF(Investment_Strategy="DIY",DIY_GteeChrge_FuturePremiums,
"Error"))))))</f>
        <v>0</v>
      </c>
      <c r="V347" s="33">
        <f>IF(AV347=0,0,
IF(Investment_Strategy="DIS",VLOOKUP(Investment_Strategy&amp;"_"&amp;Investment_Strategy_Sub1&amp;"_"&amp;$A347,'Investment Strategies'!$AZ:$BP,17,FALSE),
IF(AND(Investment_Strategy="Lifecycle",Investment_Strategy_Sub1="Non-Standard"),VLOOKUP(Investment_Strategy&amp;"_"&amp;Investment_Strategy_Sub2&amp;"_"&amp;$A347,'Investment Strategies'!$C:$P,14,FALSE),
IF(AND(Investment_Strategy="Lifecycle",Investment_Strategy_Sub1="Standard"),VLOOKUP(Investment_Strategy&amp;"_"&amp;Investment_Strategy_Sub2&amp;"_"&amp;$A347,'Investment Strategies'!$AJ:$AV,13,FALSE),
IF(AND(Investment_Strategy="Autopilot",Investment_Strategy_Sub1="Non-Standard"),VLOOKUP(Investment_Strategy&amp;"_"&amp;Investment_Strategy_Sub2&amp;"_"&amp;$A347,'Investment Strategies'!$T:$AF,13,FALSE),
IF(Investment_Strategy="DIY",DIY_ExtManChrge_FuturePremiums,
"Error"))))))</f>
        <v>0</v>
      </c>
      <c r="W347" s="16">
        <f t="shared" si="188"/>
        <v>0</v>
      </c>
      <c r="X347" s="16">
        <f t="shared" ref="X347:X410" si="208">SRP_AP/Contributions_per_year * (1+MIN(Max_Contrib_Escalation,SRP_Contrib_Escalation))^($C347-1) * $AV347 * $AW347</f>
        <v>0</v>
      </c>
      <c r="Y347" s="16">
        <f t="shared" ref="Y347:Y410" si="209">(W347+(X347*(1-Z347)))*T347*IF(D347=$A$91,SRP_finalmonthfactor,1)</f>
        <v>0</v>
      </c>
      <c r="Z347" s="31">
        <f t="shared" ref="Z347:Z410" si="210">IF(X347/(12/Contributions_per_year)&lt;=99.99,2%,0%)*AW347</f>
        <v>0.02</v>
      </c>
      <c r="AA347" s="16">
        <f t="shared" ref="AA347:AA410" si="211">IF($AV347=0,0,
-(($W347+($X347)*(1-Z347)+Y347/2)*(SRP_Monthly_Admin_Chge+$U347+$V347)*IF(D347=$A$91,SRP_finalmonthfactor,1)+
+($X347)*Z347))</f>
        <v>0</v>
      </c>
      <c r="AB347" s="28">
        <f t="shared" si="189"/>
        <v>0</v>
      </c>
      <c r="AC347" s="28">
        <f>(SUM($AC$91:AC346)+SUM($X$91:X346)+X347)*T347*IF(D347=$A$91,SRP_finalmonthfactor,1)</f>
        <v>0</v>
      </c>
      <c r="AD347" s="16">
        <f t="shared" ref="AD347:AD410" si="212">IF($AV347=0,0,
IF((SRP_ValDate-SRP_PolicyStartDate)+(365*(D347-1)/12)&lt;365,-(($H347+$I347/2+$O347+$P347+Q347/2+$W347+$X347+Y347/2)*(SRP_Ren_Com_Mthly)+($P347*SRP_Init_Com_SP)+($X347*SRP_Init_Com_RP)),
-((H$91+$I347/2+$O347+$P347+Q347/2+$W347+$X347+Y347/2)*(SRP_Ren_Com_Mthly))))</f>
        <v>0</v>
      </c>
      <c r="AE347" s="106"/>
      <c r="AF347" s="16">
        <f t="shared" si="176"/>
        <v>0</v>
      </c>
      <c r="AG347" s="16">
        <f t="shared" si="177"/>
        <v>0</v>
      </c>
      <c r="AH347" s="16">
        <f t="shared" si="178"/>
        <v>0</v>
      </c>
      <c r="AJ347" s="13">
        <f t="shared" si="204"/>
        <v>0</v>
      </c>
      <c r="AK347" s="13">
        <f t="shared" si="204"/>
        <v>0</v>
      </c>
      <c r="AL347" s="13">
        <f t="shared" si="204"/>
        <v>0</v>
      </c>
      <c r="AM347" s="13">
        <f t="shared" si="204"/>
        <v>0</v>
      </c>
      <c r="AN347" s="13">
        <f t="shared" si="204"/>
        <v>0</v>
      </c>
      <c r="AO347" s="13">
        <f t="shared" si="204"/>
        <v>1</v>
      </c>
      <c r="AP347" s="13">
        <f t="shared" si="204"/>
        <v>1</v>
      </c>
      <c r="AQ347" s="13">
        <f t="shared" si="204"/>
        <v>1</v>
      </c>
      <c r="AR347" s="13">
        <f t="shared" si="204"/>
        <v>1</v>
      </c>
      <c r="AS347" s="13">
        <f t="shared" si="204"/>
        <v>1</v>
      </c>
      <c r="AT347" s="13">
        <f t="shared" si="204"/>
        <v>1</v>
      </c>
      <c r="AU347" s="13">
        <f t="shared" si="204"/>
        <v>1</v>
      </c>
      <c r="AV347" s="13">
        <f t="shared" ref="AV347:AV410" si="213">IF($B347&lt;SRP_NRA,1,0)</f>
        <v>0</v>
      </c>
      <c r="AW347" s="13">
        <f t="shared" ref="AW347:AW410" si="214">IF($I$60 = "Yes",IF(SRP_PremFreq = "Annual",IF(MOD(D347-1, 12) = 0, 1, 0), IF(SRP_PremFreq = "Half-Yearly", IF(MOD(D347-1, 6) = 0, 1, 0), IF(SRP_PremFreq = "Quarterly", IF(MOD(D347-1, 3) = 0, 1, 0), IF(SRP_PremFreq = "Monthly", IF(MOD(D347-1, 1) = 0, 1, 0), "Error")))),0)</f>
        <v>1</v>
      </c>
      <c r="AY347" s="17">
        <f t="shared" ref="AY347:AY410" si="215">D347</f>
        <v>257</v>
      </c>
      <c r="AZ347" s="28">
        <f t="shared" si="179"/>
        <v>0</v>
      </c>
      <c r="BA347" s="13">
        <f t="shared" ref="BA347:BA410" si="216">-IF(A347=0,$F$32,0)</f>
        <v>0</v>
      </c>
      <c r="BB347" s="13">
        <f t="shared" ref="BB347:BB410" si="217">-IF(A347=0,$G$32,0)</f>
        <v>0</v>
      </c>
      <c r="BC347" s="28">
        <f t="shared" si="180"/>
        <v>0</v>
      </c>
      <c r="BD347" s="28">
        <f t="shared" si="181"/>
        <v>0</v>
      </c>
      <c r="BF347" s="248">
        <f t="shared" si="182"/>
        <v>993869.29442638322</v>
      </c>
    </row>
    <row r="348" spans="1:58">
      <c r="A348" s="32">
        <f t="shared" si="184"/>
        <v>-173</v>
      </c>
      <c r="B348" s="32">
        <f t="shared" ref="B348:B411" si="218">INT(SRP_Current_Age+D347/12)</f>
        <v>74</v>
      </c>
      <c r="C348" s="32">
        <f t="shared" si="185"/>
        <v>22</v>
      </c>
      <c r="D348" s="32">
        <f t="shared" si="186"/>
        <v>258</v>
      </c>
      <c r="E348" s="74">
        <f>MIN(IF(AV348=0,0,
IF(Investment_Strategy="DIS",VLOOKUP(Investment_Strategy&amp;"_"&amp;Investment_Strategy_Sub1&amp;"_"&amp;$A348,'Investment Strategies'!$AZ:$BP,12,FALSE),
IF(AND(Investment_Strategy="Lifecycle",Investment_Strategy_Sub1="Non-Standard"),VLOOKUP(Investment_Strategy&amp;"_"&amp;Investment_Strategy_Sub2&amp;"_"&amp;$A348,'Investment Strategies'!$C:$P,9,FALSE),
IF(AND(Investment_Strategy="Lifecycle",Investment_Strategy_Sub1="Standard"),VLOOKUP(Investment_Strategy&amp;"_"&amp;Investment_Strategy_Sub2&amp;"_"&amp;$A348,'Investment Strategies'!$AJ:$AV,8,FALSE),
IF(AND(Investment_Strategy="Autopilot",Investment_Strategy_Sub1="Non-Standard"),VLOOKUP(Investment_Strategy&amp;"_"&amp;Investment_Strategy_Sub2&amp;"_"&amp;$A348,'Investment Strategies'!$T:$AF,8,FALSE),
IF(Investment_Strategy ="DIY",DIY_RateOfReturn_CurrentFunds,
"Error")))))),Max_InvReturn)</f>
        <v>0</v>
      </c>
      <c r="F348" s="62">
        <f>IF(AV348=0,0,
IF(Investment_Strategy="DIS",VLOOKUP(Investment_Strategy&amp;"_"&amp;Investment_Strategy_Sub1&amp;"_"&amp;$A348,'Investment Strategies'!$AZ:$BP,15,FALSE),
IF(AND(Investment_Strategy="Lifecycle",Investment_Strategy_Sub1="Non-Standard"),VLOOKUP(Investment_Strategy&amp;"_"&amp;Investment_Strategy_Sub2&amp;"_"&amp;$A348,'Investment Strategies'!$C:$P,12,FALSE),
IF(AND(Investment_Strategy="Lifecycle",Investment_Strategy_Sub1="Standard"),VLOOKUP(Investment_Strategy&amp;"_"&amp;Investment_Strategy_Sub2&amp;"_"&amp;$A348,'Investment Strategies'!$AJ:$AV,11,FALSE),
IF(AND(Investment_Strategy="Autopilot",Investment_Strategy_Sub1="Non-Standard"),VLOOKUP(Investment_Strategy&amp;"_"&amp;Investment_Strategy_Sub2&amp;"_"&amp;$A348,'Investment Strategies'!$T:$AF,11,FALSE),
IF(Investment_Strategy="DIY",DIY_GteeChrge_CurrentFunds,
"Error"))))))</f>
        <v>0</v>
      </c>
      <c r="G348" s="33">
        <f>IF(AV348=0,0,
IF(Investment_Strategy="DIS",VLOOKUP(Investment_Strategy&amp;"_"&amp;Investment_Strategy_Sub1&amp;"_"&amp;$A348,'Investment Strategies'!$AZ:$BP,17,FALSE),
IF(AND(Investment_Strategy="Lifecycle",Investment_Strategy_Sub1="Non-Standard"),VLOOKUP(Investment_Strategy&amp;"_"&amp;Investment_Strategy_Sub2&amp;"_"&amp;$A348,'Investment Strategies'!$C:$P,14,FALSE),
IF(AND(Investment_Strategy="Lifecycle",Investment_Strategy_Sub1="Standard"),VLOOKUP(Investment_Strategy&amp;"_"&amp;Investment_Strategy_Sub2&amp;"_"&amp;$A348,'Investment Strategies'!$AJ:$AV,13,FALSE),
IF(AND(Investment_Strategy="Autopilot",Investment_Strategy_Sub1="Non-Standard"),VLOOKUP(Investment_Strategy&amp;"_"&amp;Investment_Strategy_Sub2&amp;"_"&amp;$A348,'Investment Strategies'!$T:$AF,13,FALSE),
IF(Investment_Strategy="DIY",DIY_ExtManChrge_CurrentFunds,
"Error"))))))</f>
        <v>0</v>
      </c>
      <c r="H348" s="16">
        <f t="shared" ref="H348:H411" si="219">IF($AV347=0,0,SUM(H347:J347))</f>
        <v>0</v>
      </c>
      <c r="I348" s="16">
        <f t="shared" si="205"/>
        <v>0</v>
      </c>
      <c r="J348" s="16">
        <f t="shared" si="206"/>
        <v>0</v>
      </c>
      <c r="K348" s="16">
        <f>(Opening_Fund_Value+SUM(K$91:K347))*E348*IF(D348=$A$91,SRP_finalmonthfactor,1)</f>
        <v>0</v>
      </c>
      <c r="L348" s="74">
        <f>MIN(IF($AV348=0,0,
IF(Investment_Strategy="DIS",VLOOKUP(Investment_Strategy&amp;"_"&amp;Investment_Strategy_Sub1&amp;"_"&amp;$A348,'Investment Strategies'!$AZ:$BP,12,FALSE),
IF(AND(Investment_Strategy="Lifecycle",Investment_Strategy_Sub1="Non-Standard"),VLOOKUP(Investment_Strategy&amp;"_"&amp;Investment_Strategy_Sub2&amp;"_"&amp;$A348,'Investment Strategies'!$C:$P,9,FALSE),
IF(AND(Investment_Strategy="Lifecycle",Investment_Strategy_Sub1="Standard"),VLOOKUP(Investment_Strategy&amp;"_"&amp;Investment_Strategy_Sub2&amp;"_"&amp;$A348,'Investment Strategies'!$AJ:$AV,8,FALSE),
IF(AND(Investment_Strategy="Autopilot",Investment_Strategy_Sub1="Non-Standard"),VLOOKUP(Investment_Strategy&amp;"_"&amp;Investment_Strategy_Sub2&amp;"_"&amp;$A348,'Investment Strategies'!$T:$AF,8,FALSE),
IF(Investment_Strategy ="DIY",DIY_RateofReturn_SP,
"Error")))))),Max_InvReturn)</f>
        <v>0</v>
      </c>
      <c r="M348" s="62">
        <f>IF($AV348=0,0,
IF(Investment_Strategy="DIS",VLOOKUP(Investment_Strategy&amp;"_"&amp;Investment_Strategy_Sub1&amp;"_"&amp;$A348,'Investment Strategies'!$AZ:$BP,15,FALSE),
IF(AND(Investment_Strategy="Lifecycle",Investment_Strategy_Sub1="Non-Standard"),VLOOKUP(Investment_Strategy&amp;"_"&amp;Investment_Strategy_Sub2&amp;"_"&amp;$A348,'Investment Strategies'!$C:$P,12,FALSE),
IF(AND(Investment_Strategy="Lifecycle",Investment_Strategy_Sub1="Standard"),VLOOKUP(Investment_Strategy&amp;"_"&amp;Investment_Strategy_Sub2&amp;"_"&amp;$A348,'Investment Strategies'!$AJ:$AV,11,FALSE),
IF(AND(Investment_Strategy="Autopilot",Investment_Strategy_Sub1="Non-Standard"),VLOOKUP(Investment_Strategy&amp;"_"&amp;Investment_Strategy_Sub2&amp;"_"&amp;$A348,'Investment Strategies'!$T:$AF,11,FALSE),
IF(Investment_Strategy="DIY",DIY_GteeChrge_SP,
"Error"))))))</f>
        <v>0</v>
      </c>
      <c r="N348" s="33">
        <f>IF($AV348=0,0,
IF(Investment_Strategy="DIS",VLOOKUP(Investment_Strategy&amp;"_"&amp;Investment_Strategy_Sub1&amp;"_"&amp;$A348,'Investment Strategies'!$AZ:$BP,17,FALSE),
IF(AND(Investment_Strategy="Lifecycle",Investment_Strategy_Sub1="Non-Standard"),VLOOKUP(Investment_Strategy&amp;"_"&amp;Investment_Strategy_Sub2&amp;"_"&amp;$A348,'Investment Strategies'!$C:$P,14,FALSE),
IF(AND(Investment_Strategy="Lifecycle",Investment_Strategy_Sub1="Standard"),VLOOKUP(Investment_Strategy&amp;"_"&amp;Investment_Strategy_Sub2&amp;"_"&amp;$A348,'Investment Strategies'!$AJ:$AV,13,FALSE),
IF(AND(Investment_Strategy="Autopilot",Investment_Strategy_Sub1="Non-Standard"),VLOOKUP(Investment_Strategy&amp;"_"&amp;Investment_Strategy_Sub2&amp;"_"&amp;$A348,'Investment Strategies'!$T:$AF,13,FALSE),
IF(Investment_Strategy="DIY",DIY_ExtManChrge_SP,
"Error"))))))</f>
        <v>0</v>
      </c>
      <c r="O348" s="16">
        <f t="shared" si="187"/>
        <v>0</v>
      </c>
      <c r="Q348" s="16">
        <f t="shared" si="207"/>
        <v>0</v>
      </c>
      <c r="R348" s="16">
        <f t="shared" si="203"/>
        <v>0</v>
      </c>
      <c r="S348" s="16">
        <f>(SRP_SP+SUM(S$91:S347))*L348*IF(D348=$A$91,SRP_finalmonthfactor,1)</f>
        <v>0</v>
      </c>
      <c r="T348" s="74">
        <f>MIN(IF($AV348=0,0,
IF(Investment_Strategy="DIS",VLOOKUP(Investment_Strategy&amp;"_"&amp;Investment_Strategy_Sub1&amp;"_"&amp;$A348,'Investment Strategies'!$AZ:$BP,12,FALSE),
IF(AND(Investment_Strategy="Lifecycle",Investment_Strategy_Sub1="Non-Standard"),VLOOKUP(Investment_Strategy&amp;"_"&amp;Investment_Strategy_Sub2&amp;"_"&amp;$A348,'Investment Strategies'!$C:$P,9,FALSE),
IF(AND(Investment_Strategy="Lifecycle",Investment_Strategy_Sub1="Standard"),VLOOKUP(Investment_Strategy&amp;"_"&amp;Investment_Strategy_Sub2&amp;"_"&amp;$A348,'Investment Strategies'!$AJ:$AV,8,FALSE),
IF(AND(Investment_Strategy="Autopilot",Investment_Strategy_Sub1="Non-Standard"),VLOOKUP(Investment_Strategy&amp;"_"&amp;Investment_Strategy_Sub2&amp;"_"&amp;$A348,'Investment Strategies'!$T:$AF,8,FALSE),
IF(Investment_Strategy ="DIY",DIY_RateOfReturn_FuturePremiums,
"Error")))))),Max_InvReturn)</f>
        <v>0</v>
      </c>
      <c r="U348" s="62">
        <f>IF($AV348=0,0,
IF(Investment_Strategy="DIS",VLOOKUP(Investment_Strategy&amp;"_"&amp;Investment_Strategy_Sub1&amp;"_"&amp;$A348,'Investment Strategies'!$AZ:$BP,15,FALSE),
IF(AND(Investment_Strategy="Lifecycle",Investment_Strategy_Sub1="Non-Standard"),VLOOKUP(Investment_Strategy&amp;"_"&amp;Investment_Strategy_Sub2&amp;"_"&amp;$A348,'Investment Strategies'!$C:$P,12,FALSE),
IF(AND(Investment_Strategy="Lifecycle",Investment_Strategy_Sub1="Standard"),VLOOKUP(Investment_Strategy&amp;"_"&amp;Investment_Strategy_Sub2&amp;"_"&amp;$A348,'Investment Strategies'!$AJ:$AV,11,FALSE),
IF(AND(Investment_Strategy="Autopilot",Investment_Strategy_Sub1="Non-Standard"),VLOOKUP(Investment_Strategy&amp;"_"&amp;Investment_Strategy_Sub2&amp;"_"&amp;$A348,'Investment Strategies'!$T:$AF,11,FALSE),
IF(Investment_Strategy="DIY",DIY_GteeChrge_FuturePremiums,
"Error"))))))</f>
        <v>0</v>
      </c>
      <c r="V348" s="33">
        <f>IF(AV348=0,0,
IF(Investment_Strategy="DIS",VLOOKUP(Investment_Strategy&amp;"_"&amp;Investment_Strategy_Sub1&amp;"_"&amp;$A348,'Investment Strategies'!$AZ:$BP,17,FALSE),
IF(AND(Investment_Strategy="Lifecycle",Investment_Strategy_Sub1="Non-Standard"),VLOOKUP(Investment_Strategy&amp;"_"&amp;Investment_Strategy_Sub2&amp;"_"&amp;$A348,'Investment Strategies'!$C:$P,14,FALSE),
IF(AND(Investment_Strategy="Lifecycle",Investment_Strategy_Sub1="Standard"),VLOOKUP(Investment_Strategy&amp;"_"&amp;Investment_Strategy_Sub2&amp;"_"&amp;$A348,'Investment Strategies'!$AJ:$AV,13,FALSE),
IF(AND(Investment_Strategy="Autopilot",Investment_Strategy_Sub1="Non-Standard"),VLOOKUP(Investment_Strategy&amp;"_"&amp;Investment_Strategy_Sub2&amp;"_"&amp;$A348,'Investment Strategies'!$T:$AF,13,FALSE),
IF(Investment_Strategy="DIY",DIY_ExtManChrge_FuturePremiums,
"Error"))))))</f>
        <v>0</v>
      </c>
      <c r="W348" s="16">
        <f t="shared" si="188"/>
        <v>0</v>
      </c>
      <c r="X348" s="16">
        <f t="shared" si="208"/>
        <v>0</v>
      </c>
      <c r="Y348" s="16">
        <f t="shared" si="209"/>
        <v>0</v>
      </c>
      <c r="Z348" s="31">
        <f t="shared" si="210"/>
        <v>0.02</v>
      </c>
      <c r="AA348" s="16">
        <f t="shared" si="211"/>
        <v>0</v>
      </c>
      <c r="AB348" s="28">
        <f t="shared" si="189"/>
        <v>0</v>
      </c>
      <c r="AC348" s="28">
        <f>(SUM($AC$91:AC347)+SUM($X$91:X347)+X348)*T348*IF(D348=$A$91,SRP_finalmonthfactor,1)</f>
        <v>0</v>
      </c>
      <c r="AD348" s="16">
        <f t="shared" si="212"/>
        <v>0</v>
      </c>
      <c r="AE348" s="106"/>
      <c r="AF348" s="16">
        <f t="shared" ref="AF348:AF411" si="220">H348+O348+W348</f>
        <v>0</v>
      </c>
      <c r="AG348" s="16">
        <f t="shared" ref="AG348:AG411" si="221">SUM($K348,$S348,$AC348)</f>
        <v>0</v>
      </c>
      <c r="AH348" s="16">
        <f t="shared" ref="AH348:AH411" si="222">SUM($J348,$R348,$AA348)</f>
        <v>0</v>
      </c>
      <c r="AJ348" s="13">
        <f t="shared" si="204"/>
        <v>0</v>
      </c>
      <c r="AK348" s="13">
        <f t="shared" si="204"/>
        <v>0</v>
      </c>
      <c r="AL348" s="13">
        <f t="shared" si="204"/>
        <v>0</v>
      </c>
      <c r="AM348" s="13">
        <f t="shared" si="204"/>
        <v>0</v>
      </c>
      <c r="AN348" s="13">
        <f t="shared" si="204"/>
        <v>0</v>
      </c>
      <c r="AO348" s="13">
        <f t="shared" si="204"/>
        <v>1</v>
      </c>
      <c r="AP348" s="13">
        <f t="shared" si="204"/>
        <v>1</v>
      </c>
      <c r="AQ348" s="13">
        <f t="shared" si="204"/>
        <v>1</v>
      </c>
      <c r="AR348" s="13">
        <f t="shared" si="204"/>
        <v>1</v>
      </c>
      <c r="AS348" s="13">
        <f t="shared" si="204"/>
        <v>1</v>
      </c>
      <c r="AT348" s="13">
        <f t="shared" si="204"/>
        <v>1</v>
      </c>
      <c r="AU348" s="13">
        <f t="shared" si="204"/>
        <v>1</v>
      </c>
      <c r="AV348" s="13">
        <f t="shared" si="213"/>
        <v>0</v>
      </c>
      <c r="AW348" s="13">
        <f t="shared" si="214"/>
        <v>1</v>
      </c>
      <c r="AY348" s="17">
        <f t="shared" si="215"/>
        <v>258</v>
      </c>
      <c r="AZ348" s="28">
        <f t="shared" ref="AZ348:AZ411" si="223">X348+P348</f>
        <v>0</v>
      </c>
      <c r="BA348" s="13">
        <f t="shared" si="216"/>
        <v>0</v>
      </c>
      <c r="BB348" s="13">
        <f t="shared" si="217"/>
        <v>0</v>
      </c>
      <c r="BC348" s="28">
        <f t="shared" ref="BC348:BC411" si="224">SUM(AZ348,BA348)</f>
        <v>0</v>
      </c>
      <c r="BD348" s="28">
        <f t="shared" ref="BD348:BD411" si="225">SUM(AZ348,BB348)</f>
        <v>0</v>
      </c>
      <c r="BF348" s="248">
        <f t="shared" ref="BF348:BF411" si="226">IF(ISNUMBER(BF347), (BF347+X348), (P348+X348))*(1+T348)</f>
        <v>993869.29442638322</v>
      </c>
    </row>
    <row r="349" spans="1:58">
      <c r="A349" s="32">
        <f t="shared" ref="A349:A412" si="227">A348-1</f>
        <v>-174</v>
      </c>
      <c r="B349" s="32">
        <f t="shared" si="218"/>
        <v>74</v>
      </c>
      <c r="C349" s="32">
        <f t="shared" ref="C349:C412" si="228">INT((D349-1)/12)+1</f>
        <v>22</v>
      </c>
      <c r="D349" s="32">
        <f t="shared" ref="D349:D412" si="229">D348+1</f>
        <v>259</v>
      </c>
      <c r="E349" s="74">
        <f>MIN(IF(AV349=0,0,
IF(Investment_Strategy="DIS",VLOOKUP(Investment_Strategy&amp;"_"&amp;Investment_Strategy_Sub1&amp;"_"&amp;$A349,'Investment Strategies'!$AZ:$BP,12,FALSE),
IF(AND(Investment_Strategy="Lifecycle",Investment_Strategy_Sub1="Non-Standard"),VLOOKUP(Investment_Strategy&amp;"_"&amp;Investment_Strategy_Sub2&amp;"_"&amp;$A349,'Investment Strategies'!$C:$P,9,FALSE),
IF(AND(Investment_Strategy="Lifecycle",Investment_Strategy_Sub1="Standard"),VLOOKUP(Investment_Strategy&amp;"_"&amp;Investment_Strategy_Sub2&amp;"_"&amp;$A349,'Investment Strategies'!$AJ:$AV,8,FALSE),
IF(AND(Investment_Strategy="Autopilot",Investment_Strategy_Sub1="Non-Standard"),VLOOKUP(Investment_Strategy&amp;"_"&amp;Investment_Strategy_Sub2&amp;"_"&amp;$A349,'Investment Strategies'!$T:$AF,8,FALSE),
IF(Investment_Strategy ="DIY",DIY_RateOfReturn_CurrentFunds,
"Error")))))),Max_InvReturn)</f>
        <v>0</v>
      </c>
      <c r="F349" s="62">
        <f>IF(AV349=0,0,
IF(Investment_Strategy="DIS",VLOOKUP(Investment_Strategy&amp;"_"&amp;Investment_Strategy_Sub1&amp;"_"&amp;$A349,'Investment Strategies'!$AZ:$BP,15,FALSE),
IF(AND(Investment_Strategy="Lifecycle",Investment_Strategy_Sub1="Non-Standard"),VLOOKUP(Investment_Strategy&amp;"_"&amp;Investment_Strategy_Sub2&amp;"_"&amp;$A349,'Investment Strategies'!$C:$P,12,FALSE),
IF(AND(Investment_Strategy="Lifecycle",Investment_Strategy_Sub1="Standard"),VLOOKUP(Investment_Strategy&amp;"_"&amp;Investment_Strategy_Sub2&amp;"_"&amp;$A349,'Investment Strategies'!$AJ:$AV,11,FALSE),
IF(AND(Investment_Strategy="Autopilot",Investment_Strategy_Sub1="Non-Standard"),VLOOKUP(Investment_Strategy&amp;"_"&amp;Investment_Strategy_Sub2&amp;"_"&amp;$A349,'Investment Strategies'!$T:$AF,11,FALSE),
IF(Investment_Strategy="DIY",DIY_GteeChrge_CurrentFunds,
"Error"))))))</f>
        <v>0</v>
      </c>
      <c r="G349" s="33">
        <f>IF(AV349=0,0,
IF(Investment_Strategy="DIS",VLOOKUP(Investment_Strategy&amp;"_"&amp;Investment_Strategy_Sub1&amp;"_"&amp;$A349,'Investment Strategies'!$AZ:$BP,17,FALSE),
IF(AND(Investment_Strategy="Lifecycle",Investment_Strategy_Sub1="Non-Standard"),VLOOKUP(Investment_Strategy&amp;"_"&amp;Investment_Strategy_Sub2&amp;"_"&amp;$A349,'Investment Strategies'!$C:$P,14,FALSE),
IF(AND(Investment_Strategy="Lifecycle",Investment_Strategy_Sub1="Standard"),VLOOKUP(Investment_Strategy&amp;"_"&amp;Investment_Strategy_Sub2&amp;"_"&amp;$A349,'Investment Strategies'!$AJ:$AV,13,FALSE),
IF(AND(Investment_Strategy="Autopilot",Investment_Strategy_Sub1="Non-Standard"),VLOOKUP(Investment_Strategy&amp;"_"&amp;Investment_Strategy_Sub2&amp;"_"&amp;$A349,'Investment Strategies'!$T:$AF,13,FALSE),
IF(Investment_Strategy="DIY",DIY_ExtManChrge_CurrentFunds,
"Error"))))))</f>
        <v>0</v>
      </c>
      <c r="H349" s="16">
        <f t="shared" si="219"/>
        <v>0</v>
      </c>
      <c r="I349" s="16">
        <f t="shared" si="205"/>
        <v>0</v>
      </c>
      <c r="J349" s="16">
        <f t="shared" si="206"/>
        <v>0</v>
      </c>
      <c r="K349" s="16">
        <f>(Opening_Fund_Value+SUM(K$91:K348))*E349*IF(D349=$A$91,SRP_finalmonthfactor,1)</f>
        <v>0</v>
      </c>
      <c r="L349" s="74">
        <f>MIN(IF($AV349=0,0,
IF(Investment_Strategy="DIS",VLOOKUP(Investment_Strategy&amp;"_"&amp;Investment_Strategy_Sub1&amp;"_"&amp;$A349,'Investment Strategies'!$AZ:$BP,12,FALSE),
IF(AND(Investment_Strategy="Lifecycle",Investment_Strategy_Sub1="Non-Standard"),VLOOKUP(Investment_Strategy&amp;"_"&amp;Investment_Strategy_Sub2&amp;"_"&amp;$A349,'Investment Strategies'!$C:$P,9,FALSE),
IF(AND(Investment_Strategy="Lifecycle",Investment_Strategy_Sub1="Standard"),VLOOKUP(Investment_Strategy&amp;"_"&amp;Investment_Strategy_Sub2&amp;"_"&amp;$A349,'Investment Strategies'!$AJ:$AV,8,FALSE),
IF(AND(Investment_Strategy="Autopilot",Investment_Strategy_Sub1="Non-Standard"),VLOOKUP(Investment_Strategy&amp;"_"&amp;Investment_Strategy_Sub2&amp;"_"&amp;$A349,'Investment Strategies'!$T:$AF,8,FALSE),
IF(Investment_Strategy ="DIY",DIY_RateofReturn_SP,
"Error")))))),Max_InvReturn)</f>
        <v>0</v>
      </c>
      <c r="M349" s="62">
        <f>IF($AV349=0,0,
IF(Investment_Strategy="DIS",VLOOKUP(Investment_Strategy&amp;"_"&amp;Investment_Strategy_Sub1&amp;"_"&amp;$A349,'Investment Strategies'!$AZ:$BP,15,FALSE),
IF(AND(Investment_Strategy="Lifecycle",Investment_Strategy_Sub1="Non-Standard"),VLOOKUP(Investment_Strategy&amp;"_"&amp;Investment_Strategy_Sub2&amp;"_"&amp;$A349,'Investment Strategies'!$C:$P,12,FALSE),
IF(AND(Investment_Strategy="Lifecycle",Investment_Strategy_Sub1="Standard"),VLOOKUP(Investment_Strategy&amp;"_"&amp;Investment_Strategy_Sub2&amp;"_"&amp;$A349,'Investment Strategies'!$AJ:$AV,11,FALSE),
IF(AND(Investment_Strategy="Autopilot",Investment_Strategy_Sub1="Non-Standard"),VLOOKUP(Investment_Strategy&amp;"_"&amp;Investment_Strategy_Sub2&amp;"_"&amp;$A349,'Investment Strategies'!$T:$AF,11,FALSE),
IF(Investment_Strategy="DIY",DIY_GteeChrge_SP,
"Error"))))))</f>
        <v>0</v>
      </c>
      <c r="N349" s="33">
        <f>IF($AV349=0,0,
IF(Investment_Strategy="DIS",VLOOKUP(Investment_Strategy&amp;"_"&amp;Investment_Strategy_Sub1&amp;"_"&amp;$A349,'Investment Strategies'!$AZ:$BP,17,FALSE),
IF(AND(Investment_Strategy="Lifecycle",Investment_Strategy_Sub1="Non-Standard"),VLOOKUP(Investment_Strategy&amp;"_"&amp;Investment_Strategy_Sub2&amp;"_"&amp;$A349,'Investment Strategies'!$C:$P,14,FALSE),
IF(AND(Investment_Strategy="Lifecycle",Investment_Strategy_Sub1="Standard"),VLOOKUP(Investment_Strategy&amp;"_"&amp;Investment_Strategy_Sub2&amp;"_"&amp;$A349,'Investment Strategies'!$AJ:$AV,13,FALSE),
IF(AND(Investment_Strategy="Autopilot",Investment_Strategy_Sub1="Non-Standard"),VLOOKUP(Investment_Strategy&amp;"_"&amp;Investment_Strategy_Sub2&amp;"_"&amp;$A349,'Investment Strategies'!$T:$AF,13,FALSE),
IF(Investment_Strategy="DIY",DIY_ExtManChrge_SP,
"Error"))))))</f>
        <v>0</v>
      </c>
      <c r="O349" s="16">
        <f t="shared" ref="O349:O412" si="230">IF($AV348=0,0,SUM(O348:R348))</f>
        <v>0</v>
      </c>
      <c r="Q349" s="16">
        <f t="shared" si="207"/>
        <v>0</v>
      </c>
      <c r="R349" s="16">
        <f t="shared" si="203"/>
        <v>0</v>
      </c>
      <c r="S349" s="16">
        <f>(SRP_SP+SUM(S$91:S348))*L349*IF(D349=$A$91,SRP_finalmonthfactor,1)</f>
        <v>0</v>
      </c>
      <c r="T349" s="74">
        <f>MIN(IF($AV349=0,0,
IF(Investment_Strategy="DIS",VLOOKUP(Investment_Strategy&amp;"_"&amp;Investment_Strategy_Sub1&amp;"_"&amp;$A349,'Investment Strategies'!$AZ:$BP,12,FALSE),
IF(AND(Investment_Strategy="Lifecycle",Investment_Strategy_Sub1="Non-Standard"),VLOOKUP(Investment_Strategy&amp;"_"&amp;Investment_Strategy_Sub2&amp;"_"&amp;$A349,'Investment Strategies'!$C:$P,9,FALSE),
IF(AND(Investment_Strategy="Lifecycle",Investment_Strategy_Sub1="Standard"),VLOOKUP(Investment_Strategy&amp;"_"&amp;Investment_Strategy_Sub2&amp;"_"&amp;$A349,'Investment Strategies'!$AJ:$AV,8,FALSE),
IF(AND(Investment_Strategy="Autopilot",Investment_Strategy_Sub1="Non-Standard"),VLOOKUP(Investment_Strategy&amp;"_"&amp;Investment_Strategy_Sub2&amp;"_"&amp;$A349,'Investment Strategies'!$T:$AF,8,FALSE),
IF(Investment_Strategy ="DIY",DIY_RateOfReturn_FuturePremiums,
"Error")))))),Max_InvReturn)</f>
        <v>0</v>
      </c>
      <c r="U349" s="62">
        <f>IF($AV349=0,0,
IF(Investment_Strategy="DIS",VLOOKUP(Investment_Strategy&amp;"_"&amp;Investment_Strategy_Sub1&amp;"_"&amp;$A349,'Investment Strategies'!$AZ:$BP,15,FALSE),
IF(AND(Investment_Strategy="Lifecycle",Investment_Strategy_Sub1="Non-Standard"),VLOOKUP(Investment_Strategy&amp;"_"&amp;Investment_Strategy_Sub2&amp;"_"&amp;$A349,'Investment Strategies'!$C:$P,12,FALSE),
IF(AND(Investment_Strategy="Lifecycle",Investment_Strategy_Sub1="Standard"),VLOOKUP(Investment_Strategy&amp;"_"&amp;Investment_Strategy_Sub2&amp;"_"&amp;$A349,'Investment Strategies'!$AJ:$AV,11,FALSE),
IF(AND(Investment_Strategy="Autopilot",Investment_Strategy_Sub1="Non-Standard"),VLOOKUP(Investment_Strategy&amp;"_"&amp;Investment_Strategy_Sub2&amp;"_"&amp;$A349,'Investment Strategies'!$T:$AF,11,FALSE),
IF(Investment_Strategy="DIY",DIY_GteeChrge_FuturePremiums,
"Error"))))))</f>
        <v>0</v>
      </c>
      <c r="V349" s="33">
        <f>IF(AV349=0,0,
IF(Investment_Strategy="DIS",VLOOKUP(Investment_Strategy&amp;"_"&amp;Investment_Strategy_Sub1&amp;"_"&amp;$A349,'Investment Strategies'!$AZ:$BP,17,FALSE),
IF(AND(Investment_Strategy="Lifecycle",Investment_Strategy_Sub1="Non-Standard"),VLOOKUP(Investment_Strategy&amp;"_"&amp;Investment_Strategy_Sub2&amp;"_"&amp;$A349,'Investment Strategies'!$C:$P,14,FALSE),
IF(AND(Investment_Strategy="Lifecycle",Investment_Strategy_Sub1="Standard"),VLOOKUP(Investment_Strategy&amp;"_"&amp;Investment_Strategy_Sub2&amp;"_"&amp;$A349,'Investment Strategies'!$AJ:$AV,13,FALSE),
IF(AND(Investment_Strategy="Autopilot",Investment_Strategy_Sub1="Non-Standard"),VLOOKUP(Investment_Strategy&amp;"_"&amp;Investment_Strategy_Sub2&amp;"_"&amp;$A349,'Investment Strategies'!$T:$AF,13,FALSE),
IF(Investment_Strategy="DIY",DIY_ExtManChrge_FuturePremiums,
"Error"))))))</f>
        <v>0</v>
      </c>
      <c r="W349" s="16">
        <f t="shared" ref="W349:W412" si="231">IF($AV348=0,0,SUM(W348:Y348)+AA348)</f>
        <v>0</v>
      </c>
      <c r="X349" s="16">
        <f t="shared" si="208"/>
        <v>0</v>
      </c>
      <c r="Y349" s="16">
        <f t="shared" si="209"/>
        <v>0</v>
      </c>
      <c r="Z349" s="31">
        <f t="shared" si="210"/>
        <v>0.02</v>
      </c>
      <c r="AA349" s="16">
        <f t="shared" si="211"/>
        <v>0</v>
      </c>
      <c r="AB349" s="28">
        <f t="shared" si="189"/>
        <v>0</v>
      </c>
      <c r="AC349" s="28">
        <f>(SUM($AC$91:AC348)+SUM($X$91:X348)+X349)*T349*IF(D349=$A$91,SRP_finalmonthfactor,1)</f>
        <v>0</v>
      </c>
      <c r="AD349" s="16">
        <f t="shared" si="212"/>
        <v>0</v>
      </c>
      <c r="AE349" s="106"/>
      <c r="AF349" s="16">
        <f t="shared" si="220"/>
        <v>0</v>
      </c>
      <c r="AG349" s="16">
        <f t="shared" si="221"/>
        <v>0</v>
      </c>
      <c r="AH349" s="16">
        <f t="shared" si="222"/>
        <v>0</v>
      </c>
      <c r="AJ349" s="13">
        <f t="shared" si="204"/>
        <v>0</v>
      </c>
      <c r="AK349" s="13">
        <f t="shared" si="204"/>
        <v>0</v>
      </c>
      <c r="AL349" s="13">
        <f t="shared" si="204"/>
        <v>0</v>
      </c>
      <c r="AM349" s="13">
        <f t="shared" si="204"/>
        <v>0</v>
      </c>
      <c r="AN349" s="13">
        <f t="shared" si="204"/>
        <v>0</v>
      </c>
      <c r="AO349" s="13">
        <f t="shared" si="204"/>
        <v>1</v>
      </c>
      <c r="AP349" s="13">
        <f t="shared" si="204"/>
        <v>1</v>
      </c>
      <c r="AQ349" s="13">
        <f t="shared" si="204"/>
        <v>1</v>
      </c>
      <c r="AR349" s="13">
        <f t="shared" si="204"/>
        <v>1</v>
      </c>
      <c r="AS349" s="13">
        <f t="shared" si="204"/>
        <v>1</v>
      </c>
      <c r="AT349" s="13">
        <f t="shared" si="204"/>
        <v>1</v>
      </c>
      <c r="AU349" s="13">
        <f t="shared" si="204"/>
        <v>1</v>
      </c>
      <c r="AV349" s="13">
        <f t="shared" si="213"/>
        <v>0</v>
      </c>
      <c r="AW349" s="13">
        <f t="shared" si="214"/>
        <v>1</v>
      </c>
      <c r="AY349" s="17">
        <f t="shared" si="215"/>
        <v>259</v>
      </c>
      <c r="AZ349" s="28">
        <f t="shared" si="223"/>
        <v>0</v>
      </c>
      <c r="BA349" s="13">
        <f t="shared" si="216"/>
        <v>0</v>
      </c>
      <c r="BB349" s="13">
        <f t="shared" si="217"/>
        <v>0</v>
      </c>
      <c r="BC349" s="28">
        <f t="shared" si="224"/>
        <v>0</v>
      </c>
      <c r="BD349" s="28">
        <f t="shared" si="225"/>
        <v>0</v>
      </c>
      <c r="BF349" s="248">
        <f t="shared" si="226"/>
        <v>993869.29442638322</v>
      </c>
    </row>
    <row r="350" spans="1:58">
      <c r="A350" s="32">
        <f t="shared" si="227"/>
        <v>-175</v>
      </c>
      <c r="B350" s="32">
        <f t="shared" si="218"/>
        <v>74</v>
      </c>
      <c r="C350" s="32">
        <f t="shared" si="228"/>
        <v>22</v>
      </c>
      <c r="D350" s="32">
        <f t="shared" si="229"/>
        <v>260</v>
      </c>
      <c r="E350" s="74">
        <f>MIN(IF(AV350=0,0,
IF(Investment_Strategy="DIS",VLOOKUP(Investment_Strategy&amp;"_"&amp;Investment_Strategy_Sub1&amp;"_"&amp;$A350,'Investment Strategies'!$AZ:$BP,12,FALSE),
IF(AND(Investment_Strategy="Lifecycle",Investment_Strategy_Sub1="Non-Standard"),VLOOKUP(Investment_Strategy&amp;"_"&amp;Investment_Strategy_Sub2&amp;"_"&amp;$A350,'Investment Strategies'!$C:$P,9,FALSE),
IF(AND(Investment_Strategy="Lifecycle",Investment_Strategy_Sub1="Standard"),VLOOKUP(Investment_Strategy&amp;"_"&amp;Investment_Strategy_Sub2&amp;"_"&amp;$A350,'Investment Strategies'!$AJ:$AV,8,FALSE),
IF(AND(Investment_Strategy="Autopilot",Investment_Strategy_Sub1="Non-Standard"),VLOOKUP(Investment_Strategy&amp;"_"&amp;Investment_Strategy_Sub2&amp;"_"&amp;$A350,'Investment Strategies'!$T:$AF,8,FALSE),
IF(Investment_Strategy ="DIY",DIY_RateOfReturn_CurrentFunds,
"Error")))))),Max_InvReturn)</f>
        <v>0</v>
      </c>
      <c r="F350" s="62">
        <f>IF(AV350=0,0,
IF(Investment_Strategy="DIS",VLOOKUP(Investment_Strategy&amp;"_"&amp;Investment_Strategy_Sub1&amp;"_"&amp;$A350,'Investment Strategies'!$AZ:$BP,15,FALSE),
IF(AND(Investment_Strategy="Lifecycle",Investment_Strategy_Sub1="Non-Standard"),VLOOKUP(Investment_Strategy&amp;"_"&amp;Investment_Strategy_Sub2&amp;"_"&amp;$A350,'Investment Strategies'!$C:$P,12,FALSE),
IF(AND(Investment_Strategy="Lifecycle",Investment_Strategy_Sub1="Standard"),VLOOKUP(Investment_Strategy&amp;"_"&amp;Investment_Strategy_Sub2&amp;"_"&amp;$A350,'Investment Strategies'!$AJ:$AV,11,FALSE),
IF(AND(Investment_Strategy="Autopilot",Investment_Strategy_Sub1="Non-Standard"),VLOOKUP(Investment_Strategy&amp;"_"&amp;Investment_Strategy_Sub2&amp;"_"&amp;$A350,'Investment Strategies'!$T:$AF,11,FALSE),
IF(Investment_Strategy="DIY",DIY_GteeChrge_CurrentFunds,
"Error"))))))</f>
        <v>0</v>
      </c>
      <c r="G350" s="33">
        <f>IF(AV350=0,0,
IF(Investment_Strategy="DIS",VLOOKUP(Investment_Strategy&amp;"_"&amp;Investment_Strategy_Sub1&amp;"_"&amp;$A350,'Investment Strategies'!$AZ:$BP,17,FALSE),
IF(AND(Investment_Strategy="Lifecycle",Investment_Strategy_Sub1="Non-Standard"),VLOOKUP(Investment_Strategy&amp;"_"&amp;Investment_Strategy_Sub2&amp;"_"&amp;$A350,'Investment Strategies'!$C:$P,14,FALSE),
IF(AND(Investment_Strategy="Lifecycle",Investment_Strategy_Sub1="Standard"),VLOOKUP(Investment_Strategy&amp;"_"&amp;Investment_Strategy_Sub2&amp;"_"&amp;$A350,'Investment Strategies'!$AJ:$AV,13,FALSE),
IF(AND(Investment_Strategy="Autopilot",Investment_Strategy_Sub1="Non-Standard"),VLOOKUP(Investment_Strategy&amp;"_"&amp;Investment_Strategy_Sub2&amp;"_"&amp;$A350,'Investment Strategies'!$T:$AF,13,FALSE),
IF(Investment_Strategy="DIY",DIY_ExtManChrge_CurrentFunds,
"Error"))))))</f>
        <v>0</v>
      </c>
      <c r="H350" s="16">
        <f t="shared" si="219"/>
        <v>0</v>
      </c>
      <c r="I350" s="16">
        <f t="shared" si="205"/>
        <v>0</v>
      </c>
      <c r="J350" s="16">
        <f t="shared" si="206"/>
        <v>0</v>
      </c>
      <c r="K350" s="16">
        <f>(Opening_Fund_Value+SUM(K$91:K349))*E350*IF(D350=$A$91,SRP_finalmonthfactor,1)</f>
        <v>0</v>
      </c>
      <c r="L350" s="74">
        <f>MIN(IF($AV350=0,0,
IF(Investment_Strategy="DIS",VLOOKUP(Investment_Strategy&amp;"_"&amp;Investment_Strategy_Sub1&amp;"_"&amp;$A350,'Investment Strategies'!$AZ:$BP,12,FALSE),
IF(AND(Investment_Strategy="Lifecycle",Investment_Strategy_Sub1="Non-Standard"),VLOOKUP(Investment_Strategy&amp;"_"&amp;Investment_Strategy_Sub2&amp;"_"&amp;$A350,'Investment Strategies'!$C:$P,9,FALSE),
IF(AND(Investment_Strategy="Lifecycle",Investment_Strategy_Sub1="Standard"),VLOOKUP(Investment_Strategy&amp;"_"&amp;Investment_Strategy_Sub2&amp;"_"&amp;$A350,'Investment Strategies'!$AJ:$AV,8,FALSE),
IF(AND(Investment_Strategy="Autopilot",Investment_Strategy_Sub1="Non-Standard"),VLOOKUP(Investment_Strategy&amp;"_"&amp;Investment_Strategy_Sub2&amp;"_"&amp;$A350,'Investment Strategies'!$T:$AF,8,FALSE),
IF(Investment_Strategy ="DIY",DIY_RateofReturn_SP,
"Error")))))),Max_InvReturn)</f>
        <v>0</v>
      </c>
      <c r="M350" s="62">
        <f>IF($AV350=0,0,
IF(Investment_Strategy="DIS",VLOOKUP(Investment_Strategy&amp;"_"&amp;Investment_Strategy_Sub1&amp;"_"&amp;$A350,'Investment Strategies'!$AZ:$BP,15,FALSE),
IF(AND(Investment_Strategy="Lifecycle",Investment_Strategy_Sub1="Non-Standard"),VLOOKUP(Investment_Strategy&amp;"_"&amp;Investment_Strategy_Sub2&amp;"_"&amp;$A350,'Investment Strategies'!$C:$P,12,FALSE),
IF(AND(Investment_Strategy="Lifecycle",Investment_Strategy_Sub1="Standard"),VLOOKUP(Investment_Strategy&amp;"_"&amp;Investment_Strategy_Sub2&amp;"_"&amp;$A350,'Investment Strategies'!$AJ:$AV,11,FALSE),
IF(AND(Investment_Strategy="Autopilot",Investment_Strategy_Sub1="Non-Standard"),VLOOKUP(Investment_Strategy&amp;"_"&amp;Investment_Strategy_Sub2&amp;"_"&amp;$A350,'Investment Strategies'!$T:$AF,11,FALSE),
IF(Investment_Strategy="DIY",DIY_GteeChrge_SP,
"Error"))))))</f>
        <v>0</v>
      </c>
      <c r="N350" s="33">
        <f>IF($AV350=0,0,
IF(Investment_Strategy="DIS",VLOOKUP(Investment_Strategy&amp;"_"&amp;Investment_Strategy_Sub1&amp;"_"&amp;$A350,'Investment Strategies'!$AZ:$BP,17,FALSE),
IF(AND(Investment_Strategy="Lifecycle",Investment_Strategy_Sub1="Non-Standard"),VLOOKUP(Investment_Strategy&amp;"_"&amp;Investment_Strategy_Sub2&amp;"_"&amp;$A350,'Investment Strategies'!$C:$P,14,FALSE),
IF(AND(Investment_Strategy="Lifecycle",Investment_Strategy_Sub1="Standard"),VLOOKUP(Investment_Strategy&amp;"_"&amp;Investment_Strategy_Sub2&amp;"_"&amp;$A350,'Investment Strategies'!$AJ:$AV,13,FALSE),
IF(AND(Investment_Strategy="Autopilot",Investment_Strategy_Sub1="Non-Standard"),VLOOKUP(Investment_Strategy&amp;"_"&amp;Investment_Strategy_Sub2&amp;"_"&amp;$A350,'Investment Strategies'!$T:$AF,13,FALSE),
IF(Investment_Strategy="DIY",DIY_ExtManChrge_SP,
"Error"))))))</f>
        <v>0</v>
      </c>
      <c r="O350" s="16">
        <f t="shared" si="230"/>
        <v>0</v>
      </c>
      <c r="Q350" s="16">
        <f t="shared" si="207"/>
        <v>0</v>
      </c>
      <c r="R350" s="16">
        <f t="shared" si="203"/>
        <v>0</v>
      </c>
      <c r="S350" s="16">
        <f>(SRP_SP+SUM(S$91:S349))*L350*IF(D350=$A$91,SRP_finalmonthfactor,1)</f>
        <v>0</v>
      </c>
      <c r="T350" s="74">
        <f>MIN(IF($AV350=0,0,
IF(Investment_Strategy="DIS",VLOOKUP(Investment_Strategy&amp;"_"&amp;Investment_Strategy_Sub1&amp;"_"&amp;$A350,'Investment Strategies'!$AZ:$BP,12,FALSE),
IF(AND(Investment_Strategy="Lifecycle",Investment_Strategy_Sub1="Non-Standard"),VLOOKUP(Investment_Strategy&amp;"_"&amp;Investment_Strategy_Sub2&amp;"_"&amp;$A350,'Investment Strategies'!$C:$P,9,FALSE),
IF(AND(Investment_Strategy="Lifecycle",Investment_Strategy_Sub1="Standard"),VLOOKUP(Investment_Strategy&amp;"_"&amp;Investment_Strategy_Sub2&amp;"_"&amp;$A350,'Investment Strategies'!$AJ:$AV,8,FALSE),
IF(AND(Investment_Strategy="Autopilot",Investment_Strategy_Sub1="Non-Standard"),VLOOKUP(Investment_Strategy&amp;"_"&amp;Investment_Strategy_Sub2&amp;"_"&amp;$A350,'Investment Strategies'!$T:$AF,8,FALSE),
IF(Investment_Strategy ="DIY",DIY_RateOfReturn_FuturePremiums,
"Error")))))),Max_InvReturn)</f>
        <v>0</v>
      </c>
      <c r="U350" s="62">
        <f>IF($AV350=0,0,
IF(Investment_Strategy="DIS",VLOOKUP(Investment_Strategy&amp;"_"&amp;Investment_Strategy_Sub1&amp;"_"&amp;$A350,'Investment Strategies'!$AZ:$BP,15,FALSE),
IF(AND(Investment_Strategy="Lifecycle",Investment_Strategy_Sub1="Non-Standard"),VLOOKUP(Investment_Strategy&amp;"_"&amp;Investment_Strategy_Sub2&amp;"_"&amp;$A350,'Investment Strategies'!$C:$P,12,FALSE),
IF(AND(Investment_Strategy="Lifecycle",Investment_Strategy_Sub1="Standard"),VLOOKUP(Investment_Strategy&amp;"_"&amp;Investment_Strategy_Sub2&amp;"_"&amp;$A350,'Investment Strategies'!$AJ:$AV,11,FALSE),
IF(AND(Investment_Strategy="Autopilot",Investment_Strategy_Sub1="Non-Standard"),VLOOKUP(Investment_Strategy&amp;"_"&amp;Investment_Strategy_Sub2&amp;"_"&amp;$A350,'Investment Strategies'!$T:$AF,11,FALSE),
IF(Investment_Strategy="DIY",DIY_GteeChrge_FuturePremiums,
"Error"))))))</f>
        <v>0</v>
      </c>
      <c r="V350" s="33">
        <f>IF(AV350=0,0,
IF(Investment_Strategy="DIS",VLOOKUP(Investment_Strategy&amp;"_"&amp;Investment_Strategy_Sub1&amp;"_"&amp;$A350,'Investment Strategies'!$AZ:$BP,17,FALSE),
IF(AND(Investment_Strategy="Lifecycle",Investment_Strategy_Sub1="Non-Standard"),VLOOKUP(Investment_Strategy&amp;"_"&amp;Investment_Strategy_Sub2&amp;"_"&amp;$A350,'Investment Strategies'!$C:$P,14,FALSE),
IF(AND(Investment_Strategy="Lifecycle",Investment_Strategy_Sub1="Standard"),VLOOKUP(Investment_Strategy&amp;"_"&amp;Investment_Strategy_Sub2&amp;"_"&amp;$A350,'Investment Strategies'!$AJ:$AV,13,FALSE),
IF(AND(Investment_Strategy="Autopilot",Investment_Strategy_Sub1="Non-Standard"),VLOOKUP(Investment_Strategy&amp;"_"&amp;Investment_Strategy_Sub2&amp;"_"&amp;$A350,'Investment Strategies'!$T:$AF,13,FALSE),
IF(Investment_Strategy="DIY",DIY_ExtManChrge_FuturePremiums,
"Error"))))))</f>
        <v>0</v>
      </c>
      <c r="W350" s="16">
        <f t="shared" si="231"/>
        <v>0</v>
      </c>
      <c r="X350" s="16">
        <f t="shared" si="208"/>
        <v>0</v>
      </c>
      <c r="Y350" s="16">
        <f t="shared" si="209"/>
        <v>0</v>
      </c>
      <c r="Z350" s="31">
        <f t="shared" si="210"/>
        <v>0.02</v>
      </c>
      <c r="AA350" s="16">
        <f t="shared" si="211"/>
        <v>0</v>
      </c>
      <c r="AB350" s="28">
        <f t="shared" ref="AB350:AB413" si="232">IF($AV349=0,0,SUM(K349,S349,AB349:AC349)+X349)</f>
        <v>0</v>
      </c>
      <c r="AC350" s="28">
        <f>(SUM($AC$91:AC349)+SUM($X$91:X349)+X350)*T350*IF(D350=$A$91,SRP_finalmonthfactor,1)</f>
        <v>0</v>
      </c>
      <c r="AD350" s="16">
        <f t="shared" si="212"/>
        <v>0</v>
      </c>
      <c r="AE350" s="106"/>
      <c r="AF350" s="16">
        <f t="shared" si="220"/>
        <v>0</v>
      </c>
      <c r="AG350" s="16">
        <f t="shared" si="221"/>
        <v>0</v>
      </c>
      <c r="AH350" s="16">
        <f t="shared" si="222"/>
        <v>0</v>
      </c>
      <c r="AJ350" s="13">
        <f t="shared" si="204"/>
        <v>0</v>
      </c>
      <c r="AK350" s="13">
        <f t="shared" si="204"/>
        <v>0</v>
      </c>
      <c r="AL350" s="13">
        <f t="shared" si="204"/>
        <v>0</v>
      </c>
      <c r="AM350" s="13">
        <f t="shared" si="204"/>
        <v>0</v>
      </c>
      <c r="AN350" s="13">
        <f t="shared" si="204"/>
        <v>0</v>
      </c>
      <c r="AO350" s="13">
        <f t="shared" si="204"/>
        <v>1</v>
      </c>
      <c r="AP350" s="13">
        <f t="shared" si="204"/>
        <v>1</v>
      </c>
      <c r="AQ350" s="13">
        <f t="shared" si="204"/>
        <v>1</v>
      </c>
      <c r="AR350" s="13">
        <f t="shared" si="204"/>
        <v>1</v>
      </c>
      <c r="AS350" s="13">
        <f t="shared" si="204"/>
        <v>1</v>
      </c>
      <c r="AT350" s="13">
        <f t="shared" si="204"/>
        <v>1</v>
      </c>
      <c r="AU350" s="13">
        <f t="shared" si="204"/>
        <v>1</v>
      </c>
      <c r="AV350" s="13">
        <f t="shared" si="213"/>
        <v>0</v>
      </c>
      <c r="AW350" s="13">
        <f t="shared" si="214"/>
        <v>1</v>
      </c>
      <c r="AY350" s="17">
        <f t="shared" si="215"/>
        <v>260</v>
      </c>
      <c r="AZ350" s="28">
        <f t="shared" si="223"/>
        <v>0</v>
      </c>
      <c r="BA350" s="13">
        <f t="shared" si="216"/>
        <v>0</v>
      </c>
      <c r="BB350" s="13">
        <f t="shared" si="217"/>
        <v>0</v>
      </c>
      <c r="BC350" s="28">
        <f t="shared" si="224"/>
        <v>0</v>
      </c>
      <c r="BD350" s="28">
        <f t="shared" si="225"/>
        <v>0</v>
      </c>
      <c r="BF350" s="248">
        <f t="shared" si="226"/>
        <v>993869.29442638322</v>
      </c>
    </row>
    <row r="351" spans="1:58">
      <c r="A351" s="32">
        <f t="shared" si="227"/>
        <v>-176</v>
      </c>
      <c r="B351" s="32">
        <f t="shared" si="218"/>
        <v>74</v>
      </c>
      <c r="C351" s="32">
        <f t="shared" si="228"/>
        <v>22</v>
      </c>
      <c r="D351" s="32">
        <f t="shared" si="229"/>
        <v>261</v>
      </c>
      <c r="E351" s="74">
        <f>MIN(IF(AV351=0,0,
IF(Investment_Strategy="DIS",VLOOKUP(Investment_Strategy&amp;"_"&amp;Investment_Strategy_Sub1&amp;"_"&amp;$A351,'Investment Strategies'!$AZ:$BP,12,FALSE),
IF(AND(Investment_Strategy="Lifecycle",Investment_Strategy_Sub1="Non-Standard"),VLOOKUP(Investment_Strategy&amp;"_"&amp;Investment_Strategy_Sub2&amp;"_"&amp;$A351,'Investment Strategies'!$C:$P,9,FALSE),
IF(AND(Investment_Strategy="Lifecycle",Investment_Strategy_Sub1="Standard"),VLOOKUP(Investment_Strategy&amp;"_"&amp;Investment_Strategy_Sub2&amp;"_"&amp;$A351,'Investment Strategies'!$AJ:$AV,8,FALSE),
IF(AND(Investment_Strategy="Autopilot",Investment_Strategy_Sub1="Non-Standard"),VLOOKUP(Investment_Strategy&amp;"_"&amp;Investment_Strategy_Sub2&amp;"_"&amp;$A351,'Investment Strategies'!$T:$AF,8,FALSE),
IF(Investment_Strategy ="DIY",DIY_RateOfReturn_CurrentFunds,
"Error")))))),Max_InvReturn)</f>
        <v>0</v>
      </c>
      <c r="F351" s="62">
        <f>IF(AV351=0,0,
IF(Investment_Strategy="DIS",VLOOKUP(Investment_Strategy&amp;"_"&amp;Investment_Strategy_Sub1&amp;"_"&amp;$A351,'Investment Strategies'!$AZ:$BP,15,FALSE),
IF(AND(Investment_Strategy="Lifecycle",Investment_Strategy_Sub1="Non-Standard"),VLOOKUP(Investment_Strategy&amp;"_"&amp;Investment_Strategy_Sub2&amp;"_"&amp;$A351,'Investment Strategies'!$C:$P,12,FALSE),
IF(AND(Investment_Strategy="Lifecycle",Investment_Strategy_Sub1="Standard"),VLOOKUP(Investment_Strategy&amp;"_"&amp;Investment_Strategy_Sub2&amp;"_"&amp;$A351,'Investment Strategies'!$AJ:$AV,11,FALSE),
IF(AND(Investment_Strategy="Autopilot",Investment_Strategy_Sub1="Non-Standard"),VLOOKUP(Investment_Strategy&amp;"_"&amp;Investment_Strategy_Sub2&amp;"_"&amp;$A351,'Investment Strategies'!$T:$AF,11,FALSE),
IF(Investment_Strategy="DIY",DIY_GteeChrge_CurrentFunds,
"Error"))))))</f>
        <v>0</v>
      </c>
      <c r="G351" s="33">
        <f>IF(AV351=0,0,
IF(Investment_Strategy="DIS",VLOOKUP(Investment_Strategy&amp;"_"&amp;Investment_Strategy_Sub1&amp;"_"&amp;$A351,'Investment Strategies'!$AZ:$BP,17,FALSE),
IF(AND(Investment_Strategy="Lifecycle",Investment_Strategy_Sub1="Non-Standard"),VLOOKUP(Investment_Strategy&amp;"_"&amp;Investment_Strategy_Sub2&amp;"_"&amp;$A351,'Investment Strategies'!$C:$P,14,FALSE),
IF(AND(Investment_Strategy="Lifecycle",Investment_Strategy_Sub1="Standard"),VLOOKUP(Investment_Strategy&amp;"_"&amp;Investment_Strategy_Sub2&amp;"_"&amp;$A351,'Investment Strategies'!$AJ:$AV,13,FALSE),
IF(AND(Investment_Strategy="Autopilot",Investment_Strategy_Sub1="Non-Standard"),VLOOKUP(Investment_Strategy&amp;"_"&amp;Investment_Strategy_Sub2&amp;"_"&amp;$A351,'Investment Strategies'!$T:$AF,13,FALSE),
IF(Investment_Strategy="DIY",DIY_ExtManChrge_CurrentFunds,
"Error"))))))</f>
        <v>0</v>
      </c>
      <c r="H351" s="16">
        <f t="shared" si="219"/>
        <v>0</v>
      </c>
      <c r="I351" s="16">
        <f t="shared" si="205"/>
        <v>0</v>
      </c>
      <c r="J351" s="16">
        <f t="shared" si="206"/>
        <v>0</v>
      </c>
      <c r="K351" s="16">
        <f>(Opening_Fund_Value+SUM(K$91:K350))*E351*IF(D351=$A$91,SRP_finalmonthfactor,1)</f>
        <v>0</v>
      </c>
      <c r="L351" s="74">
        <f>MIN(IF($AV351=0,0,
IF(Investment_Strategy="DIS",VLOOKUP(Investment_Strategy&amp;"_"&amp;Investment_Strategy_Sub1&amp;"_"&amp;$A351,'Investment Strategies'!$AZ:$BP,12,FALSE),
IF(AND(Investment_Strategy="Lifecycle",Investment_Strategy_Sub1="Non-Standard"),VLOOKUP(Investment_Strategy&amp;"_"&amp;Investment_Strategy_Sub2&amp;"_"&amp;$A351,'Investment Strategies'!$C:$P,9,FALSE),
IF(AND(Investment_Strategy="Lifecycle",Investment_Strategy_Sub1="Standard"),VLOOKUP(Investment_Strategy&amp;"_"&amp;Investment_Strategy_Sub2&amp;"_"&amp;$A351,'Investment Strategies'!$AJ:$AV,8,FALSE),
IF(AND(Investment_Strategy="Autopilot",Investment_Strategy_Sub1="Non-Standard"),VLOOKUP(Investment_Strategy&amp;"_"&amp;Investment_Strategy_Sub2&amp;"_"&amp;$A351,'Investment Strategies'!$T:$AF,8,FALSE),
IF(Investment_Strategy ="DIY",DIY_RateofReturn_SP,
"Error")))))),Max_InvReturn)</f>
        <v>0</v>
      </c>
      <c r="M351" s="62">
        <f>IF($AV351=0,0,
IF(Investment_Strategy="DIS",VLOOKUP(Investment_Strategy&amp;"_"&amp;Investment_Strategy_Sub1&amp;"_"&amp;$A351,'Investment Strategies'!$AZ:$BP,15,FALSE),
IF(AND(Investment_Strategy="Lifecycle",Investment_Strategy_Sub1="Non-Standard"),VLOOKUP(Investment_Strategy&amp;"_"&amp;Investment_Strategy_Sub2&amp;"_"&amp;$A351,'Investment Strategies'!$C:$P,12,FALSE),
IF(AND(Investment_Strategy="Lifecycle",Investment_Strategy_Sub1="Standard"),VLOOKUP(Investment_Strategy&amp;"_"&amp;Investment_Strategy_Sub2&amp;"_"&amp;$A351,'Investment Strategies'!$AJ:$AV,11,FALSE),
IF(AND(Investment_Strategy="Autopilot",Investment_Strategy_Sub1="Non-Standard"),VLOOKUP(Investment_Strategy&amp;"_"&amp;Investment_Strategy_Sub2&amp;"_"&amp;$A351,'Investment Strategies'!$T:$AF,11,FALSE),
IF(Investment_Strategy="DIY",DIY_GteeChrge_SP,
"Error"))))))</f>
        <v>0</v>
      </c>
      <c r="N351" s="33">
        <f>IF($AV351=0,0,
IF(Investment_Strategy="DIS",VLOOKUP(Investment_Strategy&amp;"_"&amp;Investment_Strategy_Sub1&amp;"_"&amp;$A351,'Investment Strategies'!$AZ:$BP,17,FALSE),
IF(AND(Investment_Strategy="Lifecycle",Investment_Strategy_Sub1="Non-Standard"),VLOOKUP(Investment_Strategy&amp;"_"&amp;Investment_Strategy_Sub2&amp;"_"&amp;$A351,'Investment Strategies'!$C:$P,14,FALSE),
IF(AND(Investment_Strategy="Lifecycle",Investment_Strategy_Sub1="Standard"),VLOOKUP(Investment_Strategy&amp;"_"&amp;Investment_Strategy_Sub2&amp;"_"&amp;$A351,'Investment Strategies'!$AJ:$AV,13,FALSE),
IF(AND(Investment_Strategy="Autopilot",Investment_Strategy_Sub1="Non-Standard"),VLOOKUP(Investment_Strategy&amp;"_"&amp;Investment_Strategy_Sub2&amp;"_"&amp;$A351,'Investment Strategies'!$T:$AF,13,FALSE),
IF(Investment_Strategy="DIY",DIY_ExtManChrge_SP,
"Error"))))))</f>
        <v>0</v>
      </c>
      <c r="O351" s="16">
        <f t="shared" si="230"/>
        <v>0</v>
      </c>
      <c r="Q351" s="16">
        <f t="shared" si="207"/>
        <v>0</v>
      </c>
      <c r="R351" s="16">
        <f t="shared" si="203"/>
        <v>0</v>
      </c>
      <c r="S351" s="16">
        <f>(SRP_SP+SUM(S$91:S350))*L351*IF(D351=$A$91,SRP_finalmonthfactor,1)</f>
        <v>0</v>
      </c>
      <c r="T351" s="74">
        <f>MIN(IF($AV351=0,0,
IF(Investment_Strategy="DIS",VLOOKUP(Investment_Strategy&amp;"_"&amp;Investment_Strategy_Sub1&amp;"_"&amp;$A351,'Investment Strategies'!$AZ:$BP,12,FALSE),
IF(AND(Investment_Strategy="Lifecycle",Investment_Strategy_Sub1="Non-Standard"),VLOOKUP(Investment_Strategy&amp;"_"&amp;Investment_Strategy_Sub2&amp;"_"&amp;$A351,'Investment Strategies'!$C:$P,9,FALSE),
IF(AND(Investment_Strategy="Lifecycle",Investment_Strategy_Sub1="Standard"),VLOOKUP(Investment_Strategy&amp;"_"&amp;Investment_Strategy_Sub2&amp;"_"&amp;$A351,'Investment Strategies'!$AJ:$AV,8,FALSE),
IF(AND(Investment_Strategy="Autopilot",Investment_Strategy_Sub1="Non-Standard"),VLOOKUP(Investment_Strategy&amp;"_"&amp;Investment_Strategy_Sub2&amp;"_"&amp;$A351,'Investment Strategies'!$T:$AF,8,FALSE),
IF(Investment_Strategy ="DIY",DIY_RateOfReturn_FuturePremiums,
"Error")))))),Max_InvReturn)</f>
        <v>0</v>
      </c>
      <c r="U351" s="62">
        <f>IF($AV351=0,0,
IF(Investment_Strategy="DIS",VLOOKUP(Investment_Strategy&amp;"_"&amp;Investment_Strategy_Sub1&amp;"_"&amp;$A351,'Investment Strategies'!$AZ:$BP,15,FALSE),
IF(AND(Investment_Strategy="Lifecycle",Investment_Strategy_Sub1="Non-Standard"),VLOOKUP(Investment_Strategy&amp;"_"&amp;Investment_Strategy_Sub2&amp;"_"&amp;$A351,'Investment Strategies'!$C:$P,12,FALSE),
IF(AND(Investment_Strategy="Lifecycle",Investment_Strategy_Sub1="Standard"),VLOOKUP(Investment_Strategy&amp;"_"&amp;Investment_Strategy_Sub2&amp;"_"&amp;$A351,'Investment Strategies'!$AJ:$AV,11,FALSE),
IF(AND(Investment_Strategy="Autopilot",Investment_Strategy_Sub1="Non-Standard"),VLOOKUP(Investment_Strategy&amp;"_"&amp;Investment_Strategy_Sub2&amp;"_"&amp;$A351,'Investment Strategies'!$T:$AF,11,FALSE),
IF(Investment_Strategy="DIY",DIY_GteeChrge_FuturePremiums,
"Error"))))))</f>
        <v>0</v>
      </c>
      <c r="V351" s="33">
        <f>IF(AV351=0,0,
IF(Investment_Strategy="DIS",VLOOKUP(Investment_Strategy&amp;"_"&amp;Investment_Strategy_Sub1&amp;"_"&amp;$A351,'Investment Strategies'!$AZ:$BP,17,FALSE),
IF(AND(Investment_Strategy="Lifecycle",Investment_Strategy_Sub1="Non-Standard"),VLOOKUP(Investment_Strategy&amp;"_"&amp;Investment_Strategy_Sub2&amp;"_"&amp;$A351,'Investment Strategies'!$C:$P,14,FALSE),
IF(AND(Investment_Strategy="Lifecycle",Investment_Strategy_Sub1="Standard"),VLOOKUP(Investment_Strategy&amp;"_"&amp;Investment_Strategy_Sub2&amp;"_"&amp;$A351,'Investment Strategies'!$AJ:$AV,13,FALSE),
IF(AND(Investment_Strategy="Autopilot",Investment_Strategy_Sub1="Non-Standard"),VLOOKUP(Investment_Strategy&amp;"_"&amp;Investment_Strategy_Sub2&amp;"_"&amp;$A351,'Investment Strategies'!$T:$AF,13,FALSE),
IF(Investment_Strategy="DIY",DIY_ExtManChrge_FuturePremiums,
"Error"))))))</f>
        <v>0</v>
      </c>
      <c r="W351" s="16">
        <f t="shared" si="231"/>
        <v>0</v>
      </c>
      <c r="X351" s="16">
        <f t="shared" si="208"/>
        <v>0</v>
      </c>
      <c r="Y351" s="16">
        <f t="shared" si="209"/>
        <v>0</v>
      </c>
      <c r="Z351" s="31">
        <f t="shared" si="210"/>
        <v>0.02</v>
      </c>
      <c r="AA351" s="16">
        <f t="shared" si="211"/>
        <v>0</v>
      </c>
      <c r="AB351" s="28">
        <f t="shared" si="232"/>
        <v>0</v>
      </c>
      <c r="AC351" s="28">
        <f>(SUM($AC$91:AC350)+SUM($X$91:X350)+X351)*T351*IF(D351=$A$91,SRP_finalmonthfactor,1)</f>
        <v>0</v>
      </c>
      <c r="AD351" s="16">
        <f t="shared" si="212"/>
        <v>0</v>
      </c>
      <c r="AE351" s="106"/>
      <c r="AF351" s="16">
        <f t="shared" si="220"/>
        <v>0</v>
      </c>
      <c r="AG351" s="16">
        <f t="shared" si="221"/>
        <v>0</v>
      </c>
      <c r="AH351" s="16">
        <f t="shared" si="222"/>
        <v>0</v>
      </c>
      <c r="AJ351" s="13">
        <f t="shared" ref="AJ351:AU360" si="233">IF($C351&lt;=AJ$90,1,0)</f>
        <v>0</v>
      </c>
      <c r="AK351" s="13">
        <f t="shared" si="233"/>
        <v>0</v>
      </c>
      <c r="AL351" s="13">
        <f t="shared" si="233"/>
        <v>0</v>
      </c>
      <c r="AM351" s="13">
        <f t="shared" si="233"/>
        <v>0</v>
      </c>
      <c r="AN351" s="13">
        <f t="shared" si="233"/>
        <v>0</v>
      </c>
      <c r="AO351" s="13">
        <f t="shared" si="233"/>
        <v>1</v>
      </c>
      <c r="AP351" s="13">
        <f t="shared" si="233"/>
        <v>1</v>
      </c>
      <c r="AQ351" s="13">
        <f t="shared" si="233"/>
        <v>1</v>
      </c>
      <c r="AR351" s="13">
        <f t="shared" si="233"/>
        <v>1</v>
      </c>
      <c r="AS351" s="13">
        <f t="shared" si="233"/>
        <v>1</v>
      </c>
      <c r="AT351" s="13">
        <f t="shared" si="233"/>
        <v>1</v>
      </c>
      <c r="AU351" s="13">
        <f t="shared" si="233"/>
        <v>1</v>
      </c>
      <c r="AV351" s="13">
        <f t="shared" si="213"/>
        <v>0</v>
      </c>
      <c r="AW351" s="13">
        <f t="shared" si="214"/>
        <v>1</v>
      </c>
      <c r="AY351" s="17">
        <f t="shared" si="215"/>
        <v>261</v>
      </c>
      <c r="AZ351" s="28">
        <f t="shared" si="223"/>
        <v>0</v>
      </c>
      <c r="BA351" s="13">
        <f t="shared" si="216"/>
        <v>0</v>
      </c>
      <c r="BB351" s="13">
        <f t="shared" si="217"/>
        <v>0</v>
      </c>
      <c r="BC351" s="28">
        <f t="shared" si="224"/>
        <v>0</v>
      </c>
      <c r="BD351" s="28">
        <f t="shared" si="225"/>
        <v>0</v>
      </c>
      <c r="BF351" s="248">
        <f t="shared" si="226"/>
        <v>993869.29442638322</v>
      </c>
    </row>
    <row r="352" spans="1:58">
      <c r="A352" s="32">
        <f t="shared" si="227"/>
        <v>-177</v>
      </c>
      <c r="B352" s="32">
        <f t="shared" si="218"/>
        <v>74</v>
      </c>
      <c r="C352" s="32">
        <f t="shared" si="228"/>
        <v>22</v>
      </c>
      <c r="D352" s="32">
        <f t="shared" si="229"/>
        <v>262</v>
      </c>
      <c r="E352" s="74">
        <f>MIN(IF(AV352=0,0,
IF(Investment_Strategy="DIS",VLOOKUP(Investment_Strategy&amp;"_"&amp;Investment_Strategy_Sub1&amp;"_"&amp;$A352,'Investment Strategies'!$AZ:$BP,12,FALSE),
IF(AND(Investment_Strategy="Lifecycle",Investment_Strategy_Sub1="Non-Standard"),VLOOKUP(Investment_Strategy&amp;"_"&amp;Investment_Strategy_Sub2&amp;"_"&amp;$A352,'Investment Strategies'!$C:$P,9,FALSE),
IF(AND(Investment_Strategy="Lifecycle",Investment_Strategy_Sub1="Standard"),VLOOKUP(Investment_Strategy&amp;"_"&amp;Investment_Strategy_Sub2&amp;"_"&amp;$A352,'Investment Strategies'!$AJ:$AV,8,FALSE),
IF(AND(Investment_Strategy="Autopilot",Investment_Strategy_Sub1="Non-Standard"),VLOOKUP(Investment_Strategy&amp;"_"&amp;Investment_Strategy_Sub2&amp;"_"&amp;$A352,'Investment Strategies'!$T:$AF,8,FALSE),
IF(Investment_Strategy ="DIY",DIY_RateOfReturn_CurrentFunds,
"Error")))))),Max_InvReturn)</f>
        <v>0</v>
      </c>
      <c r="F352" s="62">
        <f>IF(AV352=0,0,
IF(Investment_Strategy="DIS",VLOOKUP(Investment_Strategy&amp;"_"&amp;Investment_Strategy_Sub1&amp;"_"&amp;$A352,'Investment Strategies'!$AZ:$BP,15,FALSE),
IF(AND(Investment_Strategy="Lifecycle",Investment_Strategy_Sub1="Non-Standard"),VLOOKUP(Investment_Strategy&amp;"_"&amp;Investment_Strategy_Sub2&amp;"_"&amp;$A352,'Investment Strategies'!$C:$P,12,FALSE),
IF(AND(Investment_Strategy="Lifecycle",Investment_Strategy_Sub1="Standard"),VLOOKUP(Investment_Strategy&amp;"_"&amp;Investment_Strategy_Sub2&amp;"_"&amp;$A352,'Investment Strategies'!$AJ:$AV,11,FALSE),
IF(AND(Investment_Strategy="Autopilot",Investment_Strategy_Sub1="Non-Standard"),VLOOKUP(Investment_Strategy&amp;"_"&amp;Investment_Strategy_Sub2&amp;"_"&amp;$A352,'Investment Strategies'!$T:$AF,11,FALSE),
IF(Investment_Strategy="DIY",DIY_GteeChrge_CurrentFunds,
"Error"))))))</f>
        <v>0</v>
      </c>
      <c r="G352" s="33">
        <f>IF(AV352=0,0,
IF(Investment_Strategy="DIS",VLOOKUP(Investment_Strategy&amp;"_"&amp;Investment_Strategy_Sub1&amp;"_"&amp;$A352,'Investment Strategies'!$AZ:$BP,17,FALSE),
IF(AND(Investment_Strategy="Lifecycle",Investment_Strategy_Sub1="Non-Standard"),VLOOKUP(Investment_Strategy&amp;"_"&amp;Investment_Strategy_Sub2&amp;"_"&amp;$A352,'Investment Strategies'!$C:$P,14,FALSE),
IF(AND(Investment_Strategy="Lifecycle",Investment_Strategy_Sub1="Standard"),VLOOKUP(Investment_Strategy&amp;"_"&amp;Investment_Strategy_Sub2&amp;"_"&amp;$A352,'Investment Strategies'!$AJ:$AV,13,FALSE),
IF(AND(Investment_Strategy="Autopilot",Investment_Strategy_Sub1="Non-Standard"),VLOOKUP(Investment_Strategy&amp;"_"&amp;Investment_Strategy_Sub2&amp;"_"&amp;$A352,'Investment Strategies'!$T:$AF,13,FALSE),
IF(Investment_Strategy="DIY",DIY_ExtManChrge_CurrentFunds,
"Error"))))))</f>
        <v>0</v>
      </c>
      <c r="H352" s="16">
        <f t="shared" si="219"/>
        <v>0</v>
      </c>
      <c r="I352" s="16">
        <f t="shared" si="205"/>
        <v>0</v>
      </c>
      <c r="J352" s="16">
        <f t="shared" si="206"/>
        <v>0</v>
      </c>
      <c r="K352" s="16">
        <f>(Opening_Fund_Value+SUM(K$91:K351))*E352*IF(D352=$A$91,SRP_finalmonthfactor,1)</f>
        <v>0</v>
      </c>
      <c r="L352" s="74">
        <f>MIN(IF($AV352=0,0,
IF(Investment_Strategy="DIS",VLOOKUP(Investment_Strategy&amp;"_"&amp;Investment_Strategy_Sub1&amp;"_"&amp;$A352,'Investment Strategies'!$AZ:$BP,12,FALSE),
IF(AND(Investment_Strategy="Lifecycle",Investment_Strategy_Sub1="Non-Standard"),VLOOKUP(Investment_Strategy&amp;"_"&amp;Investment_Strategy_Sub2&amp;"_"&amp;$A352,'Investment Strategies'!$C:$P,9,FALSE),
IF(AND(Investment_Strategy="Lifecycle",Investment_Strategy_Sub1="Standard"),VLOOKUP(Investment_Strategy&amp;"_"&amp;Investment_Strategy_Sub2&amp;"_"&amp;$A352,'Investment Strategies'!$AJ:$AV,8,FALSE),
IF(AND(Investment_Strategy="Autopilot",Investment_Strategy_Sub1="Non-Standard"),VLOOKUP(Investment_Strategy&amp;"_"&amp;Investment_Strategy_Sub2&amp;"_"&amp;$A352,'Investment Strategies'!$T:$AF,8,FALSE),
IF(Investment_Strategy ="DIY",DIY_RateofReturn_SP,
"Error")))))),Max_InvReturn)</f>
        <v>0</v>
      </c>
      <c r="M352" s="62">
        <f>IF($AV352=0,0,
IF(Investment_Strategy="DIS",VLOOKUP(Investment_Strategy&amp;"_"&amp;Investment_Strategy_Sub1&amp;"_"&amp;$A352,'Investment Strategies'!$AZ:$BP,15,FALSE),
IF(AND(Investment_Strategy="Lifecycle",Investment_Strategy_Sub1="Non-Standard"),VLOOKUP(Investment_Strategy&amp;"_"&amp;Investment_Strategy_Sub2&amp;"_"&amp;$A352,'Investment Strategies'!$C:$P,12,FALSE),
IF(AND(Investment_Strategy="Lifecycle",Investment_Strategy_Sub1="Standard"),VLOOKUP(Investment_Strategy&amp;"_"&amp;Investment_Strategy_Sub2&amp;"_"&amp;$A352,'Investment Strategies'!$AJ:$AV,11,FALSE),
IF(AND(Investment_Strategy="Autopilot",Investment_Strategy_Sub1="Non-Standard"),VLOOKUP(Investment_Strategy&amp;"_"&amp;Investment_Strategy_Sub2&amp;"_"&amp;$A352,'Investment Strategies'!$T:$AF,11,FALSE),
IF(Investment_Strategy="DIY",DIY_GteeChrge_SP,
"Error"))))))</f>
        <v>0</v>
      </c>
      <c r="N352" s="33">
        <f>IF($AV352=0,0,
IF(Investment_Strategy="DIS",VLOOKUP(Investment_Strategy&amp;"_"&amp;Investment_Strategy_Sub1&amp;"_"&amp;$A352,'Investment Strategies'!$AZ:$BP,17,FALSE),
IF(AND(Investment_Strategy="Lifecycle",Investment_Strategy_Sub1="Non-Standard"),VLOOKUP(Investment_Strategy&amp;"_"&amp;Investment_Strategy_Sub2&amp;"_"&amp;$A352,'Investment Strategies'!$C:$P,14,FALSE),
IF(AND(Investment_Strategy="Lifecycle",Investment_Strategy_Sub1="Standard"),VLOOKUP(Investment_Strategy&amp;"_"&amp;Investment_Strategy_Sub2&amp;"_"&amp;$A352,'Investment Strategies'!$AJ:$AV,13,FALSE),
IF(AND(Investment_Strategy="Autopilot",Investment_Strategy_Sub1="Non-Standard"),VLOOKUP(Investment_Strategy&amp;"_"&amp;Investment_Strategy_Sub2&amp;"_"&amp;$A352,'Investment Strategies'!$T:$AF,13,FALSE),
IF(Investment_Strategy="DIY",DIY_ExtManChrge_SP,
"Error"))))))</f>
        <v>0</v>
      </c>
      <c r="O352" s="16">
        <f t="shared" si="230"/>
        <v>0</v>
      </c>
      <c r="Q352" s="16">
        <f t="shared" si="207"/>
        <v>0</v>
      </c>
      <c r="R352" s="16">
        <f t="shared" si="203"/>
        <v>0</v>
      </c>
      <c r="S352" s="16">
        <f>(SRP_SP+SUM(S$91:S351))*L352*IF(D352=$A$91,SRP_finalmonthfactor,1)</f>
        <v>0</v>
      </c>
      <c r="T352" s="74">
        <f>MIN(IF($AV352=0,0,
IF(Investment_Strategy="DIS",VLOOKUP(Investment_Strategy&amp;"_"&amp;Investment_Strategy_Sub1&amp;"_"&amp;$A352,'Investment Strategies'!$AZ:$BP,12,FALSE),
IF(AND(Investment_Strategy="Lifecycle",Investment_Strategy_Sub1="Non-Standard"),VLOOKUP(Investment_Strategy&amp;"_"&amp;Investment_Strategy_Sub2&amp;"_"&amp;$A352,'Investment Strategies'!$C:$P,9,FALSE),
IF(AND(Investment_Strategy="Lifecycle",Investment_Strategy_Sub1="Standard"),VLOOKUP(Investment_Strategy&amp;"_"&amp;Investment_Strategy_Sub2&amp;"_"&amp;$A352,'Investment Strategies'!$AJ:$AV,8,FALSE),
IF(AND(Investment_Strategy="Autopilot",Investment_Strategy_Sub1="Non-Standard"),VLOOKUP(Investment_Strategy&amp;"_"&amp;Investment_Strategy_Sub2&amp;"_"&amp;$A352,'Investment Strategies'!$T:$AF,8,FALSE),
IF(Investment_Strategy ="DIY",DIY_RateOfReturn_FuturePremiums,
"Error")))))),Max_InvReturn)</f>
        <v>0</v>
      </c>
      <c r="U352" s="62">
        <f>IF($AV352=0,0,
IF(Investment_Strategy="DIS",VLOOKUP(Investment_Strategy&amp;"_"&amp;Investment_Strategy_Sub1&amp;"_"&amp;$A352,'Investment Strategies'!$AZ:$BP,15,FALSE),
IF(AND(Investment_Strategy="Lifecycle",Investment_Strategy_Sub1="Non-Standard"),VLOOKUP(Investment_Strategy&amp;"_"&amp;Investment_Strategy_Sub2&amp;"_"&amp;$A352,'Investment Strategies'!$C:$P,12,FALSE),
IF(AND(Investment_Strategy="Lifecycle",Investment_Strategy_Sub1="Standard"),VLOOKUP(Investment_Strategy&amp;"_"&amp;Investment_Strategy_Sub2&amp;"_"&amp;$A352,'Investment Strategies'!$AJ:$AV,11,FALSE),
IF(AND(Investment_Strategy="Autopilot",Investment_Strategy_Sub1="Non-Standard"),VLOOKUP(Investment_Strategy&amp;"_"&amp;Investment_Strategy_Sub2&amp;"_"&amp;$A352,'Investment Strategies'!$T:$AF,11,FALSE),
IF(Investment_Strategy="DIY",DIY_GteeChrge_FuturePremiums,
"Error"))))))</f>
        <v>0</v>
      </c>
      <c r="V352" s="33">
        <f>IF(AV352=0,0,
IF(Investment_Strategy="DIS",VLOOKUP(Investment_Strategy&amp;"_"&amp;Investment_Strategy_Sub1&amp;"_"&amp;$A352,'Investment Strategies'!$AZ:$BP,17,FALSE),
IF(AND(Investment_Strategy="Lifecycle",Investment_Strategy_Sub1="Non-Standard"),VLOOKUP(Investment_Strategy&amp;"_"&amp;Investment_Strategy_Sub2&amp;"_"&amp;$A352,'Investment Strategies'!$C:$P,14,FALSE),
IF(AND(Investment_Strategy="Lifecycle",Investment_Strategy_Sub1="Standard"),VLOOKUP(Investment_Strategy&amp;"_"&amp;Investment_Strategy_Sub2&amp;"_"&amp;$A352,'Investment Strategies'!$AJ:$AV,13,FALSE),
IF(AND(Investment_Strategy="Autopilot",Investment_Strategy_Sub1="Non-Standard"),VLOOKUP(Investment_Strategy&amp;"_"&amp;Investment_Strategy_Sub2&amp;"_"&amp;$A352,'Investment Strategies'!$T:$AF,13,FALSE),
IF(Investment_Strategy="DIY",DIY_ExtManChrge_FuturePremiums,
"Error"))))))</f>
        <v>0</v>
      </c>
      <c r="W352" s="16">
        <f t="shared" si="231"/>
        <v>0</v>
      </c>
      <c r="X352" s="16">
        <f t="shared" si="208"/>
        <v>0</v>
      </c>
      <c r="Y352" s="16">
        <f t="shared" si="209"/>
        <v>0</v>
      </c>
      <c r="Z352" s="31">
        <f t="shared" si="210"/>
        <v>0.02</v>
      </c>
      <c r="AA352" s="16">
        <f t="shared" si="211"/>
        <v>0</v>
      </c>
      <c r="AB352" s="28">
        <f t="shared" si="232"/>
        <v>0</v>
      </c>
      <c r="AC352" s="28">
        <f>(SUM($AC$91:AC351)+SUM($X$91:X351)+X352)*T352*IF(D352=$A$91,SRP_finalmonthfactor,1)</f>
        <v>0</v>
      </c>
      <c r="AD352" s="16">
        <f t="shared" si="212"/>
        <v>0</v>
      </c>
      <c r="AE352" s="106"/>
      <c r="AF352" s="16">
        <f t="shared" si="220"/>
        <v>0</v>
      </c>
      <c r="AG352" s="16">
        <f t="shared" si="221"/>
        <v>0</v>
      </c>
      <c r="AH352" s="16">
        <f t="shared" si="222"/>
        <v>0</v>
      </c>
      <c r="AJ352" s="13">
        <f t="shared" si="233"/>
        <v>0</v>
      </c>
      <c r="AK352" s="13">
        <f t="shared" si="233"/>
        <v>0</v>
      </c>
      <c r="AL352" s="13">
        <f t="shared" si="233"/>
        <v>0</v>
      </c>
      <c r="AM352" s="13">
        <f t="shared" si="233"/>
        <v>0</v>
      </c>
      <c r="AN352" s="13">
        <f t="shared" si="233"/>
        <v>0</v>
      </c>
      <c r="AO352" s="13">
        <f t="shared" si="233"/>
        <v>1</v>
      </c>
      <c r="AP352" s="13">
        <f t="shared" si="233"/>
        <v>1</v>
      </c>
      <c r="AQ352" s="13">
        <f t="shared" si="233"/>
        <v>1</v>
      </c>
      <c r="AR352" s="13">
        <f t="shared" si="233"/>
        <v>1</v>
      </c>
      <c r="AS352" s="13">
        <f t="shared" si="233"/>
        <v>1</v>
      </c>
      <c r="AT352" s="13">
        <f t="shared" si="233"/>
        <v>1</v>
      </c>
      <c r="AU352" s="13">
        <f t="shared" si="233"/>
        <v>1</v>
      </c>
      <c r="AV352" s="13">
        <f t="shared" si="213"/>
        <v>0</v>
      </c>
      <c r="AW352" s="13">
        <f t="shared" si="214"/>
        <v>1</v>
      </c>
      <c r="AY352" s="17">
        <f t="shared" si="215"/>
        <v>262</v>
      </c>
      <c r="AZ352" s="28">
        <f t="shared" si="223"/>
        <v>0</v>
      </c>
      <c r="BA352" s="13">
        <f t="shared" si="216"/>
        <v>0</v>
      </c>
      <c r="BB352" s="13">
        <f t="shared" si="217"/>
        <v>0</v>
      </c>
      <c r="BC352" s="28">
        <f t="shared" si="224"/>
        <v>0</v>
      </c>
      <c r="BD352" s="28">
        <f t="shared" si="225"/>
        <v>0</v>
      </c>
      <c r="BF352" s="248">
        <f t="shared" si="226"/>
        <v>993869.29442638322</v>
      </c>
    </row>
    <row r="353" spans="1:58">
      <c r="A353" s="32">
        <f t="shared" si="227"/>
        <v>-178</v>
      </c>
      <c r="B353" s="32">
        <f t="shared" si="218"/>
        <v>74</v>
      </c>
      <c r="C353" s="32">
        <f t="shared" si="228"/>
        <v>22</v>
      </c>
      <c r="D353" s="32">
        <f t="shared" si="229"/>
        <v>263</v>
      </c>
      <c r="E353" s="74">
        <f>MIN(IF(AV353=0,0,
IF(Investment_Strategy="DIS",VLOOKUP(Investment_Strategy&amp;"_"&amp;Investment_Strategy_Sub1&amp;"_"&amp;$A353,'Investment Strategies'!$AZ:$BP,12,FALSE),
IF(AND(Investment_Strategy="Lifecycle",Investment_Strategy_Sub1="Non-Standard"),VLOOKUP(Investment_Strategy&amp;"_"&amp;Investment_Strategy_Sub2&amp;"_"&amp;$A353,'Investment Strategies'!$C:$P,9,FALSE),
IF(AND(Investment_Strategy="Lifecycle",Investment_Strategy_Sub1="Standard"),VLOOKUP(Investment_Strategy&amp;"_"&amp;Investment_Strategy_Sub2&amp;"_"&amp;$A353,'Investment Strategies'!$AJ:$AV,8,FALSE),
IF(AND(Investment_Strategy="Autopilot",Investment_Strategy_Sub1="Non-Standard"),VLOOKUP(Investment_Strategy&amp;"_"&amp;Investment_Strategy_Sub2&amp;"_"&amp;$A353,'Investment Strategies'!$T:$AF,8,FALSE),
IF(Investment_Strategy ="DIY",DIY_RateOfReturn_CurrentFunds,
"Error")))))),Max_InvReturn)</f>
        <v>0</v>
      </c>
      <c r="F353" s="62">
        <f>IF(AV353=0,0,
IF(Investment_Strategy="DIS",VLOOKUP(Investment_Strategy&amp;"_"&amp;Investment_Strategy_Sub1&amp;"_"&amp;$A353,'Investment Strategies'!$AZ:$BP,15,FALSE),
IF(AND(Investment_Strategy="Lifecycle",Investment_Strategy_Sub1="Non-Standard"),VLOOKUP(Investment_Strategy&amp;"_"&amp;Investment_Strategy_Sub2&amp;"_"&amp;$A353,'Investment Strategies'!$C:$P,12,FALSE),
IF(AND(Investment_Strategy="Lifecycle",Investment_Strategy_Sub1="Standard"),VLOOKUP(Investment_Strategy&amp;"_"&amp;Investment_Strategy_Sub2&amp;"_"&amp;$A353,'Investment Strategies'!$AJ:$AV,11,FALSE),
IF(AND(Investment_Strategy="Autopilot",Investment_Strategy_Sub1="Non-Standard"),VLOOKUP(Investment_Strategy&amp;"_"&amp;Investment_Strategy_Sub2&amp;"_"&amp;$A353,'Investment Strategies'!$T:$AF,11,FALSE),
IF(Investment_Strategy="DIY",DIY_GteeChrge_CurrentFunds,
"Error"))))))</f>
        <v>0</v>
      </c>
      <c r="G353" s="33">
        <f>IF(AV353=0,0,
IF(Investment_Strategy="DIS",VLOOKUP(Investment_Strategy&amp;"_"&amp;Investment_Strategy_Sub1&amp;"_"&amp;$A353,'Investment Strategies'!$AZ:$BP,17,FALSE),
IF(AND(Investment_Strategy="Lifecycle",Investment_Strategy_Sub1="Non-Standard"),VLOOKUP(Investment_Strategy&amp;"_"&amp;Investment_Strategy_Sub2&amp;"_"&amp;$A353,'Investment Strategies'!$C:$P,14,FALSE),
IF(AND(Investment_Strategy="Lifecycle",Investment_Strategy_Sub1="Standard"),VLOOKUP(Investment_Strategy&amp;"_"&amp;Investment_Strategy_Sub2&amp;"_"&amp;$A353,'Investment Strategies'!$AJ:$AV,13,FALSE),
IF(AND(Investment_Strategy="Autopilot",Investment_Strategy_Sub1="Non-Standard"),VLOOKUP(Investment_Strategy&amp;"_"&amp;Investment_Strategy_Sub2&amp;"_"&amp;$A353,'Investment Strategies'!$T:$AF,13,FALSE),
IF(Investment_Strategy="DIY",DIY_ExtManChrge_CurrentFunds,
"Error"))))))</f>
        <v>0</v>
      </c>
      <c r="H353" s="16">
        <f t="shared" si="219"/>
        <v>0</v>
      </c>
      <c r="I353" s="16">
        <f t="shared" si="205"/>
        <v>0</v>
      </c>
      <c r="J353" s="16">
        <f t="shared" si="206"/>
        <v>0</v>
      </c>
      <c r="K353" s="16">
        <f>(Opening_Fund_Value+SUM(K$91:K352))*E353*IF(D353=$A$91,SRP_finalmonthfactor,1)</f>
        <v>0</v>
      </c>
      <c r="L353" s="74">
        <f>MIN(IF($AV353=0,0,
IF(Investment_Strategy="DIS",VLOOKUP(Investment_Strategy&amp;"_"&amp;Investment_Strategy_Sub1&amp;"_"&amp;$A353,'Investment Strategies'!$AZ:$BP,12,FALSE),
IF(AND(Investment_Strategy="Lifecycle",Investment_Strategy_Sub1="Non-Standard"),VLOOKUP(Investment_Strategy&amp;"_"&amp;Investment_Strategy_Sub2&amp;"_"&amp;$A353,'Investment Strategies'!$C:$P,9,FALSE),
IF(AND(Investment_Strategy="Lifecycle",Investment_Strategy_Sub1="Standard"),VLOOKUP(Investment_Strategy&amp;"_"&amp;Investment_Strategy_Sub2&amp;"_"&amp;$A353,'Investment Strategies'!$AJ:$AV,8,FALSE),
IF(AND(Investment_Strategy="Autopilot",Investment_Strategy_Sub1="Non-Standard"),VLOOKUP(Investment_Strategy&amp;"_"&amp;Investment_Strategy_Sub2&amp;"_"&amp;$A353,'Investment Strategies'!$T:$AF,8,FALSE),
IF(Investment_Strategy ="DIY",DIY_RateofReturn_SP,
"Error")))))),Max_InvReturn)</f>
        <v>0</v>
      </c>
      <c r="M353" s="62">
        <f>IF($AV353=0,0,
IF(Investment_Strategy="DIS",VLOOKUP(Investment_Strategy&amp;"_"&amp;Investment_Strategy_Sub1&amp;"_"&amp;$A353,'Investment Strategies'!$AZ:$BP,15,FALSE),
IF(AND(Investment_Strategy="Lifecycle",Investment_Strategy_Sub1="Non-Standard"),VLOOKUP(Investment_Strategy&amp;"_"&amp;Investment_Strategy_Sub2&amp;"_"&amp;$A353,'Investment Strategies'!$C:$P,12,FALSE),
IF(AND(Investment_Strategy="Lifecycle",Investment_Strategy_Sub1="Standard"),VLOOKUP(Investment_Strategy&amp;"_"&amp;Investment_Strategy_Sub2&amp;"_"&amp;$A353,'Investment Strategies'!$AJ:$AV,11,FALSE),
IF(AND(Investment_Strategy="Autopilot",Investment_Strategy_Sub1="Non-Standard"),VLOOKUP(Investment_Strategy&amp;"_"&amp;Investment_Strategy_Sub2&amp;"_"&amp;$A353,'Investment Strategies'!$T:$AF,11,FALSE),
IF(Investment_Strategy="DIY",DIY_GteeChrge_SP,
"Error"))))))</f>
        <v>0</v>
      </c>
      <c r="N353" s="33">
        <f>IF($AV353=0,0,
IF(Investment_Strategy="DIS",VLOOKUP(Investment_Strategy&amp;"_"&amp;Investment_Strategy_Sub1&amp;"_"&amp;$A353,'Investment Strategies'!$AZ:$BP,17,FALSE),
IF(AND(Investment_Strategy="Lifecycle",Investment_Strategy_Sub1="Non-Standard"),VLOOKUP(Investment_Strategy&amp;"_"&amp;Investment_Strategy_Sub2&amp;"_"&amp;$A353,'Investment Strategies'!$C:$P,14,FALSE),
IF(AND(Investment_Strategy="Lifecycle",Investment_Strategy_Sub1="Standard"),VLOOKUP(Investment_Strategy&amp;"_"&amp;Investment_Strategy_Sub2&amp;"_"&amp;$A353,'Investment Strategies'!$AJ:$AV,13,FALSE),
IF(AND(Investment_Strategy="Autopilot",Investment_Strategy_Sub1="Non-Standard"),VLOOKUP(Investment_Strategy&amp;"_"&amp;Investment_Strategy_Sub2&amp;"_"&amp;$A353,'Investment Strategies'!$T:$AF,13,FALSE),
IF(Investment_Strategy="DIY",DIY_ExtManChrge_SP,
"Error"))))))</f>
        <v>0</v>
      </c>
      <c r="O353" s="16">
        <f t="shared" si="230"/>
        <v>0</v>
      </c>
      <c r="Q353" s="16">
        <f t="shared" si="207"/>
        <v>0</v>
      </c>
      <c r="R353" s="16">
        <f t="shared" si="203"/>
        <v>0</v>
      </c>
      <c r="S353" s="16">
        <f>(SRP_SP+SUM(S$91:S352))*L353*IF(D353=$A$91,SRP_finalmonthfactor,1)</f>
        <v>0</v>
      </c>
      <c r="T353" s="74">
        <f>MIN(IF($AV353=0,0,
IF(Investment_Strategy="DIS",VLOOKUP(Investment_Strategy&amp;"_"&amp;Investment_Strategy_Sub1&amp;"_"&amp;$A353,'Investment Strategies'!$AZ:$BP,12,FALSE),
IF(AND(Investment_Strategy="Lifecycle",Investment_Strategy_Sub1="Non-Standard"),VLOOKUP(Investment_Strategy&amp;"_"&amp;Investment_Strategy_Sub2&amp;"_"&amp;$A353,'Investment Strategies'!$C:$P,9,FALSE),
IF(AND(Investment_Strategy="Lifecycle",Investment_Strategy_Sub1="Standard"),VLOOKUP(Investment_Strategy&amp;"_"&amp;Investment_Strategy_Sub2&amp;"_"&amp;$A353,'Investment Strategies'!$AJ:$AV,8,FALSE),
IF(AND(Investment_Strategy="Autopilot",Investment_Strategy_Sub1="Non-Standard"),VLOOKUP(Investment_Strategy&amp;"_"&amp;Investment_Strategy_Sub2&amp;"_"&amp;$A353,'Investment Strategies'!$T:$AF,8,FALSE),
IF(Investment_Strategy ="DIY",DIY_RateOfReturn_FuturePremiums,
"Error")))))),Max_InvReturn)</f>
        <v>0</v>
      </c>
      <c r="U353" s="62">
        <f>IF($AV353=0,0,
IF(Investment_Strategy="DIS",VLOOKUP(Investment_Strategy&amp;"_"&amp;Investment_Strategy_Sub1&amp;"_"&amp;$A353,'Investment Strategies'!$AZ:$BP,15,FALSE),
IF(AND(Investment_Strategy="Lifecycle",Investment_Strategy_Sub1="Non-Standard"),VLOOKUP(Investment_Strategy&amp;"_"&amp;Investment_Strategy_Sub2&amp;"_"&amp;$A353,'Investment Strategies'!$C:$P,12,FALSE),
IF(AND(Investment_Strategy="Lifecycle",Investment_Strategy_Sub1="Standard"),VLOOKUP(Investment_Strategy&amp;"_"&amp;Investment_Strategy_Sub2&amp;"_"&amp;$A353,'Investment Strategies'!$AJ:$AV,11,FALSE),
IF(AND(Investment_Strategy="Autopilot",Investment_Strategy_Sub1="Non-Standard"),VLOOKUP(Investment_Strategy&amp;"_"&amp;Investment_Strategy_Sub2&amp;"_"&amp;$A353,'Investment Strategies'!$T:$AF,11,FALSE),
IF(Investment_Strategy="DIY",DIY_GteeChrge_FuturePremiums,
"Error"))))))</f>
        <v>0</v>
      </c>
      <c r="V353" s="33">
        <f>IF(AV353=0,0,
IF(Investment_Strategy="DIS",VLOOKUP(Investment_Strategy&amp;"_"&amp;Investment_Strategy_Sub1&amp;"_"&amp;$A353,'Investment Strategies'!$AZ:$BP,17,FALSE),
IF(AND(Investment_Strategy="Lifecycle",Investment_Strategy_Sub1="Non-Standard"),VLOOKUP(Investment_Strategy&amp;"_"&amp;Investment_Strategy_Sub2&amp;"_"&amp;$A353,'Investment Strategies'!$C:$P,14,FALSE),
IF(AND(Investment_Strategy="Lifecycle",Investment_Strategy_Sub1="Standard"),VLOOKUP(Investment_Strategy&amp;"_"&amp;Investment_Strategy_Sub2&amp;"_"&amp;$A353,'Investment Strategies'!$AJ:$AV,13,FALSE),
IF(AND(Investment_Strategy="Autopilot",Investment_Strategy_Sub1="Non-Standard"),VLOOKUP(Investment_Strategy&amp;"_"&amp;Investment_Strategy_Sub2&amp;"_"&amp;$A353,'Investment Strategies'!$T:$AF,13,FALSE),
IF(Investment_Strategy="DIY",DIY_ExtManChrge_FuturePremiums,
"Error"))))))</f>
        <v>0</v>
      </c>
      <c r="W353" s="16">
        <f t="shared" si="231"/>
        <v>0</v>
      </c>
      <c r="X353" s="16">
        <f t="shared" si="208"/>
        <v>0</v>
      </c>
      <c r="Y353" s="16">
        <f t="shared" si="209"/>
        <v>0</v>
      </c>
      <c r="Z353" s="31">
        <f t="shared" si="210"/>
        <v>0.02</v>
      </c>
      <c r="AA353" s="16">
        <f t="shared" si="211"/>
        <v>0</v>
      </c>
      <c r="AB353" s="28">
        <f t="shared" si="232"/>
        <v>0</v>
      </c>
      <c r="AC353" s="28">
        <f>(SUM($AC$91:AC352)+SUM($X$91:X352)+X353)*T353*IF(D353=$A$91,SRP_finalmonthfactor,1)</f>
        <v>0</v>
      </c>
      <c r="AD353" s="16">
        <f t="shared" si="212"/>
        <v>0</v>
      </c>
      <c r="AE353" s="106"/>
      <c r="AF353" s="16">
        <f t="shared" si="220"/>
        <v>0</v>
      </c>
      <c r="AG353" s="16">
        <f t="shared" si="221"/>
        <v>0</v>
      </c>
      <c r="AH353" s="16">
        <f t="shared" si="222"/>
        <v>0</v>
      </c>
      <c r="AJ353" s="13">
        <f t="shared" si="233"/>
        <v>0</v>
      </c>
      <c r="AK353" s="13">
        <f t="shared" si="233"/>
        <v>0</v>
      </c>
      <c r="AL353" s="13">
        <f t="shared" si="233"/>
        <v>0</v>
      </c>
      <c r="AM353" s="13">
        <f t="shared" si="233"/>
        <v>0</v>
      </c>
      <c r="AN353" s="13">
        <f t="shared" si="233"/>
        <v>0</v>
      </c>
      <c r="AO353" s="13">
        <f t="shared" si="233"/>
        <v>1</v>
      </c>
      <c r="AP353" s="13">
        <f t="shared" si="233"/>
        <v>1</v>
      </c>
      <c r="AQ353" s="13">
        <f t="shared" si="233"/>
        <v>1</v>
      </c>
      <c r="AR353" s="13">
        <f t="shared" si="233"/>
        <v>1</v>
      </c>
      <c r="AS353" s="13">
        <f t="shared" si="233"/>
        <v>1</v>
      </c>
      <c r="AT353" s="13">
        <f t="shared" si="233"/>
        <v>1</v>
      </c>
      <c r="AU353" s="13">
        <f t="shared" si="233"/>
        <v>1</v>
      </c>
      <c r="AV353" s="13">
        <f t="shared" si="213"/>
        <v>0</v>
      </c>
      <c r="AW353" s="13">
        <f t="shared" si="214"/>
        <v>1</v>
      </c>
      <c r="AY353" s="17">
        <f t="shared" si="215"/>
        <v>263</v>
      </c>
      <c r="AZ353" s="28">
        <f t="shared" si="223"/>
        <v>0</v>
      </c>
      <c r="BA353" s="13">
        <f t="shared" si="216"/>
        <v>0</v>
      </c>
      <c r="BB353" s="13">
        <f t="shared" si="217"/>
        <v>0</v>
      </c>
      <c r="BC353" s="28">
        <f t="shared" si="224"/>
        <v>0</v>
      </c>
      <c r="BD353" s="28">
        <f t="shared" si="225"/>
        <v>0</v>
      </c>
      <c r="BF353" s="248">
        <f t="shared" si="226"/>
        <v>993869.29442638322</v>
      </c>
    </row>
    <row r="354" spans="1:58">
      <c r="A354" s="32">
        <f t="shared" si="227"/>
        <v>-179</v>
      </c>
      <c r="B354" s="32">
        <f t="shared" si="218"/>
        <v>74</v>
      </c>
      <c r="C354" s="32">
        <f t="shared" si="228"/>
        <v>22</v>
      </c>
      <c r="D354" s="32">
        <f t="shared" si="229"/>
        <v>264</v>
      </c>
      <c r="E354" s="74">
        <f>MIN(IF(AV354=0,0,
IF(Investment_Strategy="DIS",VLOOKUP(Investment_Strategy&amp;"_"&amp;Investment_Strategy_Sub1&amp;"_"&amp;$A354,'Investment Strategies'!$AZ:$BP,12,FALSE),
IF(AND(Investment_Strategy="Lifecycle",Investment_Strategy_Sub1="Non-Standard"),VLOOKUP(Investment_Strategy&amp;"_"&amp;Investment_Strategy_Sub2&amp;"_"&amp;$A354,'Investment Strategies'!$C:$P,9,FALSE),
IF(AND(Investment_Strategy="Lifecycle",Investment_Strategy_Sub1="Standard"),VLOOKUP(Investment_Strategy&amp;"_"&amp;Investment_Strategy_Sub2&amp;"_"&amp;$A354,'Investment Strategies'!$AJ:$AV,8,FALSE),
IF(AND(Investment_Strategy="Autopilot",Investment_Strategy_Sub1="Non-Standard"),VLOOKUP(Investment_Strategy&amp;"_"&amp;Investment_Strategy_Sub2&amp;"_"&amp;$A354,'Investment Strategies'!$T:$AF,8,FALSE),
IF(Investment_Strategy ="DIY",DIY_RateOfReturn_CurrentFunds,
"Error")))))),Max_InvReturn)</f>
        <v>0</v>
      </c>
      <c r="F354" s="62">
        <f>IF(AV354=0,0,
IF(Investment_Strategy="DIS",VLOOKUP(Investment_Strategy&amp;"_"&amp;Investment_Strategy_Sub1&amp;"_"&amp;$A354,'Investment Strategies'!$AZ:$BP,15,FALSE),
IF(AND(Investment_Strategy="Lifecycle",Investment_Strategy_Sub1="Non-Standard"),VLOOKUP(Investment_Strategy&amp;"_"&amp;Investment_Strategy_Sub2&amp;"_"&amp;$A354,'Investment Strategies'!$C:$P,12,FALSE),
IF(AND(Investment_Strategy="Lifecycle",Investment_Strategy_Sub1="Standard"),VLOOKUP(Investment_Strategy&amp;"_"&amp;Investment_Strategy_Sub2&amp;"_"&amp;$A354,'Investment Strategies'!$AJ:$AV,11,FALSE),
IF(AND(Investment_Strategy="Autopilot",Investment_Strategy_Sub1="Non-Standard"),VLOOKUP(Investment_Strategy&amp;"_"&amp;Investment_Strategy_Sub2&amp;"_"&amp;$A354,'Investment Strategies'!$T:$AF,11,FALSE),
IF(Investment_Strategy="DIY",DIY_GteeChrge_CurrentFunds,
"Error"))))))</f>
        <v>0</v>
      </c>
      <c r="G354" s="33">
        <f>IF(AV354=0,0,
IF(Investment_Strategy="DIS",VLOOKUP(Investment_Strategy&amp;"_"&amp;Investment_Strategy_Sub1&amp;"_"&amp;$A354,'Investment Strategies'!$AZ:$BP,17,FALSE),
IF(AND(Investment_Strategy="Lifecycle",Investment_Strategy_Sub1="Non-Standard"),VLOOKUP(Investment_Strategy&amp;"_"&amp;Investment_Strategy_Sub2&amp;"_"&amp;$A354,'Investment Strategies'!$C:$P,14,FALSE),
IF(AND(Investment_Strategy="Lifecycle",Investment_Strategy_Sub1="Standard"),VLOOKUP(Investment_Strategy&amp;"_"&amp;Investment_Strategy_Sub2&amp;"_"&amp;$A354,'Investment Strategies'!$AJ:$AV,13,FALSE),
IF(AND(Investment_Strategy="Autopilot",Investment_Strategy_Sub1="Non-Standard"),VLOOKUP(Investment_Strategy&amp;"_"&amp;Investment_Strategy_Sub2&amp;"_"&amp;$A354,'Investment Strategies'!$T:$AF,13,FALSE),
IF(Investment_Strategy="DIY",DIY_ExtManChrge_CurrentFunds,
"Error"))))))</f>
        <v>0</v>
      </c>
      <c r="H354" s="16">
        <f t="shared" si="219"/>
        <v>0</v>
      </c>
      <c r="I354" s="16">
        <f t="shared" si="205"/>
        <v>0</v>
      </c>
      <c r="J354" s="16">
        <f t="shared" si="206"/>
        <v>0</v>
      </c>
      <c r="K354" s="16">
        <f>(Opening_Fund_Value+SUM(K$91:K353))*E354*IF(D354=$A$91,SRP_finalmonthfactor,1)</f>
        <v>0</v>
      </c>
      <c r="L354" s="74">
        <f>MIN(IF($AV354=0,0,
IF(Investment_Strategy="DIS",VLOOKUP(Investment_Strategy&amp;"_"&amp;Investment_Strategy_Sub1&amp;"_"&amp;$A354,'Investment Strategies'!$AZ:$BP,12,FALSE),
IF(AND(Investment_Strategy="Lifecycle",Investment_Strategy_Sub1="Non-Standard"),VLOOKUP(Investment_Strategy&amp;"_"&amp;Investment_Strategy_Sub2&amp;"_"&amp;$A354,'Investment Strategies'!$C:$P,9,FALSE),
IF(AND(Investment_Strategy="Lifecycle",Investment_Strategy_Sub1="Standard"),VLOOKUP(Investment_Strategy&amp;"_"&amp;Investment_Strategy_Sub2&amp;"_"&amp;$A354,'Investment Strategies'!$AJ:$AV,8,FALSE),
IF(AND(Investment_Strategy="Autopilot",Investment_Strategy_Sub1="Non-Standard"),VLOOKUP(Investment_Strategy&amp;"_"&amp;Investment_Strategy_Sub2&amp;"_"&amp;$A354,'Investment Strategies'!$T:$AF,8,FALSE),
IF(Investment_Strategy ="DIY",DIY_RateofReturn_SP,
"Error")))))),Max_InvReturn)</f>
        <v>0</v>
      </c>
      <c r="M354" s="62">
        <f>IF($AV354=0,0,
IF(Investment_Strategy="DIS",VLOOKUP(Investment_Strategy&amp;"_"&amp;Investment_Strategy_Sub1&amp;"_"&amp;$A354,'Investment Strategies'!$AZ:$BP,15,FALSE),
IF(AND(Investment_Strategy="Lifecycle",Investment_Strategy_Sub1="Non-Standard"),VLOOKUP(Investment_Strategy&amp;"_"&amp;Investment_Strategy_Sub2&amp;"_"&amp;$A354,'Investment Strategies'!$C:$P,12,FALSE),
IF(AND(Investment_Strategy="Lifecycle",Investment_Strategy_Sub1="Standard"),VLOOKUP(Investment_Strategy&amp;"_"&amp;Investment_Strategy_Sub2&amp;"_"&amp;$A354,'Investment Strategies'!$AJ:$AV,11,FALSE),
IF(AND(Investment_Strategy="Autopilot",Investment_Strategy_Sub1="Non-Standard"),VLOOKUP(Investment_Strategy&amp;"_"&amp;Investment_Strategy_Sub2&amp;"_"&amp;$A354,'Investment Strategies'!$T:$AF,11,FALSE),
IF(Investment_Strategy="DIY",DIY_GteeChrge_SP,
"Error"))))))</f>
        <v>0</v>
      </c>
      <c r="N354" s="33">
        <f>IF($AV354=0,0,
IF(Investment_Strategy="DIS",VLOOKUP(Investment_Strategy&amp;"_"&amp;Investment_Strategy_Sub1&amp;"_"&amp;$A354,'Investment Strategies'!$AZ:$BP,17,FALSE),
IF(AND(Investment_Strategy="Lifecycle",Investment_Strategy_Sub1="Non-Standard"),VLOOKUP(Investment_Strategy&amp;"_"&amp;Investment_Strategy_Sub2&amp;"_"&amp;$A354,'Investment Strategies'!$C:$P,14,FALSE),
IF(AND(Investment_Strategy="Lifecycle",Investment_Strategy_Sub1="Standard"),VLOOKUP(Investment_Strategy&amp;"_"&amp;Investment_Strategy_Sub2&amp;"_"&amp;$A354,'Investment Strategies'!$AJ:$AV,13,FALSE),
IF(AND(Investment_Strategy="Autopilot",Investment_Strategy_Sub1="Non-Standard"),VLOOKUP(Investment_Strategy&amp;"_"&amp;Investment_Strategy_Sub2&amp;"_"&amp;$A354,'Investment Strategies'!$T:$AF,13,FALSE),
IF(Investment_Strategy="DIY",DIY_ExtManChrge_SP,
"Error"))))))</f>
        <v>0</v>
      </c>
      <c r="O354" s="16">
        <f t="shared" si="230"/>
        <v>0</v>
      </c>
      <c r="Q354" s="16">
        <f t="shared" si="207"/>
        <v>0</v>
      </c>
      <c r="R354" s="16">
        <f t="shared" si="203"/>
        <v>0</v>
      </c>
      <c r="S354" s="16">
        <f>(SRP_SP+SUM(S$91:S353))*L354*IF(D354=$A$91,SRP_finalmonthfactor,1)</f>
        <v>0</v>
      </c>
      <c r="T354" s="74">
        <f>MIN(IF($AV354=0,0,
IF(Investment_Strategy="DIS",VLOOKUP(Investment_Strategy&amp;"_"&amp;Investment_Strategy_Sub1&amp;"_"&amp;$A354,'Investment Strategies'!$AZ:$BP,12,FALSE),
IF(AND(Investment_Strategy="Lifecycle",Investment_Strategy_Sub1="Non-Standard"),VLOOKUP(Investment_Strategy&amp;"_"&amp;Investment_Strategy_Sub2&amp;"_"&amp;$A354,'Investment Strategies'!$C:$P,9,FALSE),
IF(AND(Investment_Strategy="Lifecycle",Investment_Strategy_Sub1="Standard"),VLOOKUP(Investment_Strategy&amp;"_"&amp;Investment_Strategy_Sub2&amp;"_"&amp;$A354,'Investment Strategies'!$AJ:$AV,8,FALSE),
IF(AND(Investment_Strategy="Autopilot",Investment_Strategy_Sub1="Non-Standard"),VLOOKUP(Investment_Strategy&amp;"_"&amp;Investment_Strategy_Sub2&amp;"_"&amp;$A354,'Investment Strategies'!$T:$AF,8,FALSE),
IF(Investment_Strategy ="DIY",DIY_RateOfReturn_FuturePremiums,
"Error")))))),Max_InvReturn)</f>
        <v>0</v>
      </c>
      <c r="U354" s="62">
        <f>IF($AV354=0,0,
IF(Investment_Strategy="DIS",VLOOKUP(Investment_Strategy&amp;"_"&amp;Investment_Strategy_Sub1&amp;"_"&amp;$A354,'Investment Strategies'!$AZ:$BP,15,FALSE),
IF(AND(Investment_Strategy="Lifecycle",Investment_Strategy_Sub1="Non-Standard"),VLOOKUP(Investment_Strategy&amp;"_"&amp;Investment_Strategy_Sub2&amp;"_"&amp;$A354,'Investment Strategies'!$C:$P,12,FALSE),
IF(AND(Investment_Strategy="Lifecycle",Investment_Strategy_Sub1="Standard"),VLOOKUP(Investment_Strategy&amp;"_"&amp;Investment_Strategy_Sub2&amp;"_"&amp;$A354,'Investment Strategies'!$AJ:$AV,11,FALSE),
IF(AND(Investment_Strategy="Autopilot",Investment_Strategy_Sub1="Non-Standard"),VLOOKUP(Investment_Strategy&amp;"_"&amp;Investment_Strategy_Sub2&amp;"_"&amp;$A354,'Investment Strategies'!$T:$AF,11,FALSE),
IF(Investment_Strategy="DIY",DIY_GteeChrge_FuturePremiums,
"Error"))))))</f>
        <v>0</v>
      </c>
      <c r="V354" s="33">
        <f>IF(AV354=0,0,
IF(Investment_Strategy="DIS",VLOOKUP(Investment_Strategy&amp;"_"&amp;Investment_Strategy_Sub1&amp;"_"&amp;$A354,'Investment Strategies'!$AZ:$BP,17,FALSE),
IF(AND(Investment_Strategy="Lifecycle",Investment_Strategy_Sub1="Non-Standard"),VLOOKUP(Investment_Strategy&amp;"_"&amp;Investment_Strategy_Sub2&amp;"_"&amp;$A354,'Investment Strategies'!$C:$P,14,FALSE),
IF(AND(Investment_Strategy="Lifecycle",Investment_Strategy_Sub1="Standard"),VLOOKUP(Investment_Strategy&amp;"_"&amp;Investment_Strategy_Sub2&amp;"_"&amp;$A354,'Investment Strategies'!$AJ:$AV,13,FALSE),
IF(AND(Investment_Strategy="Autopilot",Investment_Strategy_Sub1="Non-Standard"),VLOOKUP(Investment_Strategy&amp;"_"&amp;Investment_Strategy_Sub2&amp;"_"&amp;$A354,'Investment Strategies'!$T:$AF,13,FALSE),
IF(Investment_Strategy="DIY",DIY_ExtManChrge_FuturePremiums,
"Error"))))))</f>
        <v>0</v>
      </c>
      <c r="W354" s="16">
        <f t="shared" si="231"/>
        <v>0</v>
      </c>
      <c r="X354" s="16">
        <f t="shared" si="208"/>
        <v>0</v>
      </c>
      <c r="Y354" s="16">
        <f t="shared" si="209"/>
        <v>0</v>
      </c>
      <c r="Z354" s="31">
        <f t="shared" si="210"/>
        <v>0.02</v>
      </c>
      <c r="AA354" s="16">
        <f t="shared" si="211"/>
        <v>0</v>
      </c>
      <c r="AB354" s="28">
        <f t="shared" si="232"/>
        <v>0</v>
      </c>
      <c r="AC354" s="28">
        <f>(SUM($AC$91:AC353)+SUM($X$91:X353)+X354)*T354*IF(D354=$A$91,SRP_finalmonthfactor,1)</f>
        <v>0</v>
      </c>
      <c r="AD354" s="16">
        <f t="shared" si="212"/>
        <v>0</v>
      </c>
      <c r="AE354" s="106"/>
      <c r="AF354" s="16">
        <f t="shared" si="220"/>
        <v>0</v>
      </c>
      <c r="AG354" s="16">
        <f t="shared" si="221"/>
        <v>0</v>
      </c>
      <c r="AH354" s="16">
        <f t="shared" si="222"/>
        <v>0</v>
      </c>
      <c r="AJ354" s="13">
        <f t="shared" si="233"/>
        <v>0</v>
      </c>
      <c r="AK354" s="13">
        <f t="shared" si="233"/>
        <v>0</v>
      </c>
      <c r="AL354" s="13">
        <f t="shared" si="233"/>
        <v>0</v>
      </c>
      <c r="AM354" s="13">
        <f t="shared" si="233"/>
        <v>0</v>
      </c>
      <c r="AN354" s="13">
        <f t="shared" si="233"/>
        <v>0</v>
      </c>
      <c r="AO354" s="13">
        <f t="shared" si="233"/>
        <v>1</v>
      </c>
      <c r="AP354" s="13">
        <f t="shared" si="233"/>
        <v>1</v>
      </c>
      <c r="AQ354" s="13">
        <f t="shared" si="233"/>
        <v>1</v>
      </c>
      <c r="AR354" s="13">
        <f t="shared" si="233"/>
        <v>1</v>
      </c>
      <c r="AS354" s="13">
        <f t="shared" si="233"/>
        <v>1</v>
      </c>
      <c r="AT354" s="13">
        <f t="shared" si="233"/>
        <v>1</v>
      </c>
      <c r="AU354" s="13">
        <f t="shared" si="233"/>
        <v>1</v>
      </c>
      <c r="AV354" s="13">
        <f t="shared" si="213"/>
        <v>0</v>
      </c>
      <c r="AW354" s="13">
        <f t="shared" si="214"/>
        <v>1</v>
      </c>
      <c r="AY354" s="17">
        <f t="shared" si="215"/>
        <v>264</v>
      </c>
      <c r="AZ354" s="28">
        <f t="shared" si="223"/>
        <v>0</v>
      </c>
      <c r="BA354" s="13">
        <f t="shared" si="216"/>
        <v>0</v>
      </c>
      <c r="BB354" s="13">
        <f t="shared" si="217"/>
        <v>0</v>
      </c>
      <c r="BC354" s="28">
        <f t="shared" si="224"/>
        <v>0</v>
      </c>
      <c r="BD354" s="28">
        <f t="shared" si="225"/>
        <v>0</v>
      </c>
      <c r="BF354" s="248">
        <f t="shared" si="226"/>
        <v>993869.29442638322</v>
      </c>
    </row>
    <row r="355" spans="1:58">
      <c r="A355" s="32">
        <f t="shared" si="227"/>
        <v>-180</v>
      </c>
      <c r="B355" s="32">
        <f t="shared" si="218"/>
        <v>75</v>
      </c>
      <c r="C355" s="32">
        <f t="shared" si="228"/>
        <v>23</v>
      </c>
      <c r="D355" s="32">
        <f t="shared" si="229"/>
        <v>265</v>
      </c>
      <c r="E355" s="74">
        <f>MIN(IF(AV355=0,0,
IF(Investment_Strategy="DIS",VLOOKUP(Investment_Strategy&amp;"_"&amp;Investment_Strategy_Sub1&amp;"_"&amp;$A355,'Investment Strategies'!$AZ:$BP,12,FALSE),
IF(AND(Investment_Strategy="Lifecycle",Investment_Strategy_Sub1="Non-Standard"),VLOOKUP(Investment_Strategy&amp;"_"&amp;Investment_Strategy_Sub2&amp;"_"&amp;$A355,'Investment Strategies'!$C:$P,9,FALSE),
IF(AND(Investment_Strategy="Lifecycle",Investment_Strategy_Sub1="Standard"),VLOOKUP(Investment_Strategy&amp;"_"&amp;Investment_Strategy_Sub2&amp;"_"&amp;$A355,'Investment Strategies'!$AJ:$AV,8,FALSE),
IF(AND(Investment_Strategy="Autopilot",Investment_Strategy_Sub1="Non-Standard"),VLOOKUP(Investment_Strategy&amp;"_"&amp;Investment_Strategy_Sub2&amp;"_"&amp;$A355,'Investment Strategies'!$T:$AF,8,FALSE),
IF(Investment_Strategy ="DIY",DIY_RateOfReturn_CurrentFunds,
"Error")))))),Max_InvReturn)</f>
        <v>0</v>
      </c>
      <c r="F355" s="62">
        <f>IF(AV355=0,0,
IF(Investment_Strategy="DIS",VLOOKUP(Investment_Strategy&amp;"_"&amp;Investment_Strategy_Sub1&amp;"_"&amp;$A355,'Investment Strategies'!$AZ:$BP,15,FALSE),
IF(AND(Investment_Strategy="Lifecycle",Investment_Strategy_Sub1="Non-Standard"),VLOOKUP(Investment_Strategy&amp;"_"&amp;Investment_Strategy_Sub2&amp;"_"&amp;$A355,'Investment Strategies'!$C:$P,12,FALSE),
IF(AND(Investment_Strategy="Lifecycle",Investment_Strategy_Sub1="Standard"),VLOOKUP(Investment_Strategy&amp;"_"&amp;Investment_Strategy_Sub2&amp;"_"&amp;$A355,'Investment Strategies'!$AJ:$AV,11,FALSE),
IF(AND(Investment_Strategy="Autopilot",Investment_Strategy_Sub1="Non-Standard"),VLOOKUP(Investment_Strategy&amp;"_"&amp;Investment_Strategy_Sub2&amp;"_"&amp;$A355,'Investment Strategies'!$T:$AF,11,FALSE),
IF(Investment_Strategy="DIY",DIY_GteeChrge_CurrentFunds,
"Error"))))))</f>
        <v>0</v>
      </c>
      <c r="G355" s="33">
        <f>IF(AV355=0,0,
IF(Investment_Strategy="DIS",VLOOKUP(Investment_Strategy&amp;"_"&amp;Investment_Strategy_Sub1&amp;"_"&amp;$A355,'Investment Strategies'!$AZ:$BP,17,FALSE),
IF(AND(Investment_Strategy="Lifecycle",Investment_Strategy_Sub1="Non-Standard"),VLOOKUP(Investment_Strategy&amp;"_"&amp;Investment_Strategy_Sub2&amp;"_"&amp;$A355,'Investment Strategies'!$C:$P,14,FALSE),
IF(AND(Investment_Strategy="Lifecycle",Investment_Strategy_Sub1="Standard"),VLOOKUP(Investment_Strategy&amp;"_"&amp;Investment_Strategy_Sub2&amp;"_"&amp;$A355,'Investment Strategies'!$AJ:$AV,13,FALSE),
IF(AND(Investment_Strategy="Autopilot",Investment_Strategy_Sub1="Non-Standard"),VLOOKUP(Investment_Strategy&amp;"_"&amp;Investment_Strategy_Sub2&amp;"_"&amp;$A355,'Investment Strategies'!$T:$AF,13,FALSE),
IF(Investment_Strategy="DIY",DIY_ExtManChrge_CurrentFunds,
"Error"))))))</f>
        <v>0</v>
      </c>
      <c r="H355" s="16">
        <f t="shared" si="219"/>
        <v>0</v>
      </c>
      <c r="I355" s="16">
        <f t="shared" si="205"/>
        <v>0</v>
      </c>
      <c r="J355" s="16">
        <f t="shared" si="206"/>
        <v>0</v>
      </c>
      <c r="K355" s="16">
        <f>(Opening_Fund_Value+SUM(K$91:K354))*E355*IF(D355=$A$91,SRP_finalmonthfactor,1)</f>
        <v>0</v>
      </c>
      <c r="L355" s="74">
        <f>MIN(IF($AV355=0,0,
IF(Investment_Strategy="DIS",VLOOKUP(Investment_Strategy&amp;"_"&amp;Investment_Strategy_Sub1&amp;"_"&amp;$A355,'Investment Strategies'!$AZ:$BP,12,FALSE),
IF(AND(Investment_Strategy="Lifecycle",Investment_Strategy_Sub1="Non-Standard"),VLOOKUP(Investment_Strategy&amp;"_"&amp;Investment_Strategy_Sub2&amp;"_"&amp;$A355,'Investment Strategies'!$C:$P,9,FALSE),
IF(AND(Investment_Strategy="Lifecycle",Investment_Strategy_Sub1="Standard"),VLOOKUP(Investment_Strategy&amp;"_"&amp;Investment_Strategy_Sub2&amp;"_"&amp;$A355,'Investment Strategies'!$AJ:$AV,8,FALSE),
IF(AND(Investment_Strategy="Autopilot",Investment_Strategy_Sub1="Non-Standard"),VLOOKUP(Investment_Strategy&amp;"_"&amp;Investment_Strategy_Sub2&amp;"_"&amp;$A355,'Investment Strategies'!$T:$AF,8,FALSE),
IF(Investment_Strategy ="DIY",DIY_RateofReturn_SP,
"Error")))))),Max_InvReturn)</f>
        <v>0</v>
      </c>
      <c r="M355" s="62">
        <f>IF($AV355=0,0,
IF(Investment_Strategy="DIS",VLOOKUP(Investment_Strategy&amp;"_"&amp;Investment_Strategy_Sub1&amp;"_"&amp;$A355,'Investment Strategies'!$AZ:$BP,15,FALSE),
IF(AND(Investment_Strategy="Lifecycle",Investment_Strategy_Sub1="Non-Standard"),VLOOKUP(Investment_Strategy&amp;"_"&amp;Investment_Strategy_Sub2&amp;"_"&amp;$A355,'Investment Strategies'!$C:$P,12,FALSE),
IF(AND(Investment_Strategy="Lifecycle",Investment_Strategy_Sub1="Standard"),VLOOKUP(Investment_Strategy&amp;"_"&amp;Investment_Strategy_Sub2&amp;"_"&amp;$A355,'Investment Strategies'!$AJ:$AV,11,FALSE),
IF(AND(Investment_Strategy="Autopilot",Investment_Strategy_Sub1="Non-Standard"),VLOOKUP(Investment_Strategy&amp;"_"&amp;Investment_Strategy_Sub2&amp;"_"&amp;$A355,'Investment Strategies'!$T:$AF,11,FALSE),
IF(Investment_Strategy="DIY",DIY_GteeChrge_SP,
"Error"))))))</f>
        <v>0</v>
      </c>
      <c r="N355" s="33">
        <f>IF($AV355=0,0,
IF(Investment_Strategy="DIS",VLOOKUP(Investment_Strategy&amp;"_"&amp;Investment_Strategy_Sub1&amp;"_"&amp;$A355,'Investment Strategies'!$AZ:$BP,17,FALSE),
IF(AND(Investment_Strategy="Lifecycle",Investment_Strategy_Sub1="Non-Standard"),VLOOKUP(Investment_Strategy&amp;"_"&amp;Investment_Strategy_Sub2&amp;"_"&amp;$A355,'Investment Strategies'!$C:$P,14,FALSE),
IF(AND(Investment_Strategy="Lifecycle",Investment_Strategy_Sub1="Standard"),VLOOKUP(Investment_Strategy&amp;"_"&amp;Investment_Strategy_Sub2&amp;"_"&amp;$A355,'Investment Strategies'!$AJ:$AV,13,FALSE),
IF(AND(Investment_Strategy="Autopilot",Investment_Strategy_Sub1="Non-Standard"),VLOOKUP(Investment_Strategy&amp;"_"&amp;Investment_Strategy_Sub2&amp;"_"&amp;$A355,'Investment Strategies'!$T:$AF,13,FALSE),
IF(Investment_Strategy="DIY",DIY_ExtManChrge_SP,
"Error"))))))</f>
        <v>0</v>
      </c>
      <c r="O355" s="16">
        <f t="shared" si="230"/>
        <v>0</v>
      </c>
      <c r="Q355" s="16">
        <f t="shared" si="207"/>
        <v>0</v>
      </c>
      <c r="R355" s="16">
        <f t="shared" si="203"/>
        <v>0</v>
      </c>
      <c r="S355" s="16">
        <f>(SRP_SP+SUM(S$91:S354))*L355*IF(D355=$A$91,SRP_finalmonthfactor,1)</f>
        <v>0</v>
      </c>
      <c r="T355" s="74">
        <f>MIN(IF($AV355=0,0,
IF(Investment_Strategy="DIS",VLOOKUP(Investment_Strategy&amp;"_"&amp;Investment_Strategy_Sub1&amp;"_"&amp;$A355,'Investment Strategies'!$AZ:$BP,12,FALSE),
IF(AND(Investment_Strategy="Lifecycle",Investment_Strategy_Sub1="Non-Standard"),VLOOKUP(Investment_Strategy&amp;"_"&amp;Investment_Strategy_Sub2&amp;"_"&amp;$A355,'Investment Strategies'!$C:$P,9,FALSE),
IF(AND(Investment_Strategy="Lifecycle",Investment_Strategy_Sub1="Standard"),VLOOKUP(Investment_Strategy&amp;"_"&amp;Investment_Strategy_Sub2&amp;"_"&amp;$A355,'Investment Strategies'!$AJ:$AV,8,FALSE),
IF(AND(Investment_Strategy="Autopilot",Investment_Strategy_Sub1="Non-Standard"),VLOOKUP(Investment_Strategy&amp;"_"&amp;Investment_Strategy_Sub2&amp;"_"&amp;$A355,'Investment Strategies'!$T:$AF,8,FALSE),
IF(Investment_Strategy ="DIY",DIY_RateOfReturn_FuturePremiums,
"Error")))))),Max_InvReturn)</f>
        <v>0</v>
      </c>
      <c r="U355" s="62">
        <f>IF($AV355=0,0,
IF(Investment_Strategy="DIS",VLOOKUP(Investment_Strategy&amp;"_"&amp;Investment_Strategy_Sub1&amp;"_"&amp;$A355,'Investment Strategies'!$AZ:$BP,15,FALSE),
IF(AND(Investment_Strategy="Lifecycle",Investment_Strategy_Sub1="Non-Standard"),VLOOKUP(Investment_Strategy&amp;"_"&amp;Investment_Strategy_Sub2&amp;"_"&amp;$A355,'Investment Strategies'!$C:$P,12,FALSE),
IF(AND(Investment_Strategy="Lifecycle",Investment_Strategy_Sub1="Standard"),VLOOKUP(Investment_Strategy&amp;"_"&amp;Investment_Strategy_Sub2&amp;"_"&amp;$A355,'Investment Strategies'!$AJ:$AV,11,FALSE),
IF(AND(Investment_Strategy="Autopilot",Investment_Strategy_Sub1="Non-Standard"),VLOOKUP(Investment_Strategy&amp;"_"&amp;Investment_Strategy_Sub2&amp;"_"&amp;$A355,'Investment Strategies'!$T:$AF,11,FALSE),
IF(Investment_Strategy="DIY",DIY_GteeChrge_FuturePremiums,
"Error"))))))</f>
        <v>0</v>
      </c>
      <c r="V355" s="33">
        <f>IF(AV355=0,0,
IF(Investment_Strategy="DIS",VLOOKUP(Investment_Strategy&amp;"_"&amp;Investment_Strategy_Sub1&amp;"_"&amp;$A355,'Investment Strategies'!$AZ:$BP,17,FALSE),
IF(AND(Investment_Strategy="Lifecycle",Investment_Strategy_Sub1="Non-Standard"),VLOOKUP(Investment_Strategy&amp;"_"&amp;Investment_Strategy_Sub2&amp;"_"&amp;$A355,'Investment Strategies'!$C:$P,14,FALSE),
IF(AND(Investment_Strategy="Lifecycle",Investment_Strategy_Sub1="Standard"),VLOOKUP(Investment_Strategy&amp;"_"&amp;Investment_Strategy_Sub2&amp;"_"&amp;$A355,'Investment Strategies'!$AJ:$AV,13,FALSE),
IF(AND(Investment_Strategy="Autopilot",Investment_Strategy_Sub1="Non-Standard"),VLOOKUP(Investment_Strategy&amp;"_"&amp;Investment_Strategy_Sub2&amp;"_"&amp;$A355,'Investment Strategies'!$T:$AF,13,FALSE),
IF(Investment_Strategy="DIY",DIY_ExtManChrge_FuturePremiums,
"Error"))))))</f>
        <v>0</v>
      </c>
      <c r="W355" s="16">
        <f t="shared" si="231"/>
        <v>0</v>
      </c>
      <c r="X355" s="16">
        <f t="shared" si="208"/>
        <v>0</v>
      </c>
      <c r="Y355" s="16">
        <f t="shared" si="209"/>
        <v>0</v>
      </c>
      <c r="Z355" s="31">
        <f t="shared" si="210"/>
        <v>0.02</v>
      </c>
      <c r="AA355" s="16">
        <f t="shared" si="211"/>
        <v>0</v>
      </c>
      <c r="AB355" s="28">
        <f t="shared" si="232"/>
        <v>0</v>
      </c>
      <c r="AC355" s="28">
        <f>(SUM($AC$91:AC354)+SUM($X$91:X354)+X355)*T355*IF(D355=$A$91,SRP_finalmonthfactor,1)</f>
        <v>0</v>
      </c>
      <c r="AD355" s="16">
        <f t="shared" si="212"/>
        <v>0</v>
      </c>
      <c r="AE355" s="106"/>
      <c r="AF355" s="16">
        <f t="shared" si="220"/>
        <v>0</v>
      </c>
      <c r="AG355" s="16">
        <f t="shared" si="221"/>
        <v>0</v>
      </c>
      <c r="AH355" s="16">
        <f t="shared" si="222"/>
        <v>0</v>
      </c>
      <c r="AJ355" s="13">
        <f t="shared" si="233"/>
        <v>0</v>
      </c>
      <c r="AK355" s="13">
        <f t="shared" si="233"/>
        <v>0</v>
      </c>
      <c r="AL355" s="13">
        <f t="shared" si="233"/>
        <v>0</v>
      </c>
      <c r="AM355" s="13">
        <f t="shared" si="233"/>
        <v>0</v>
      </c>
      <c r="AN355" s="13">
        <f t="shared" si="233"/>
        <v>0</v>
      </c>
      <c r="AO355" s="13">
        <f t="shared" si="233"/>
        <v>1</v>
      </c>
      <c r="AP355" s="13">
        <f t="shared" si="233"/>
        <v>1</v>
      </c>
      <c r="AQ355" s="13">
        <f t="shared" si="233"/>
        <v>1</v>
      </c>
      <c r="AR355" s="13">
        <f t="shared" si="233"/>
        <v>1</v>
      </c>
      <c r="AS355" s="13">
        <f t="shared" si="233"/>
        <v>1</v>
      </c>
      <c r="AT355" s="13">
        <f t="shared" si="233"/>
        <v>1</v>
      </c>
      <c r="AU355" s="13">
        <f t="shared" si="233"/>
        <v>1</v>
      </c>
      <c r="AV355" s="13">
        <f t="shared" si="213"/>
        <v>0</v>
      </c>
      <c r="AW355" s="13">
        <f t="shared" si="214"/>
        <v>1</v>
      </c>
      <c r="AY355" s="17">
        <f t="shared" si="215"/>
        <v>265</v>
      </c>
      <c r="AZ355" s="28">
        <f t="shared" si="223"/>
        <v>0</v>
      </c>
      <c r="BA355" s="13">
        <f t="shared" si="216"/>
        <v>0</v>
      </c>
      <c r="BB355" s="13">
        <f t="shared" si="217"/>
        <v>0</v>
      </c>
      <c r="BC355" s="28">
        <f t="shared" si="224"/>
        <v>0</v>
      </c>
      <c r="BD355" s="28">
        <f t="shared" si="225"/>
        <v>0</v>
      </c>
      <c r="BF355" s="248">
        <f t="shared" si="226"/>
        <v>993869.29442638322</v>
      </c>
    </row>
    <row r="356" spans="1:58">
      <c r="A356" s="32">
        <f t="shared" si="227"/>
        <v>-181</v>
      </c>
      <c r="B356" s="32">
        <f t="shared" si="218"/>
        <v>75</v>
      </c>
      <c r="C356" s="32">
        <f t="shared" si="228"/>
        <v>23</v>
      </c>
      <c r="D356" s="32">
        <f t="shared" si="229"/>
        <v>266</v>
      </c>
      <c r="E356" s="74">
        <f>MIN(IF(AV356=0,0,
IF(Investment_Strategy="DIS",VLOOKUP(Investment_Strategy&amp;"_"&amp;Investment_Strategy_Sub1&amp;"_"&amp;$A356,'Investment Strategies'!$AZ:$BP,12,FALSE),
IF(AND(Investment_Strategy="Lifecycle",Investment_Strategy_Sub1="Non-Standard"),VLOOKUP(Investment_Strategy&amp;"_"&amp;Investment_Strategy_Sub2&amp;"_"&amp;$A356,'Investment Strategies'!$C:$P,9,FALSE),
IF(AND(Investment_Strategy="Lifecycle",Investment_Strategy_Sub1="Standard"),VLOOKUP(Investment_Strategy&amp;"_"&amp;Investment_Strategy_Sub2&amp;"_"&amp;$A356,'Investment Strategies'!$AJ:$AV,8,FALSE),
IF(AND(Investment_Strategy="Autopilot",Investment_Strategy_Sub1="Non-Standard"),VLOOKUP(Investment_Strategy&amp;"_"&amp;Investment_Strategy_Sub2&amp;"_"&amp;$A356,'Investment Strategies'!$T:$AF,8,FALSE),
IF(Investment_Strategy ="DIY",DIY_RateOfReturn_CurrentFunds,
"Error")))))),Max_InvReturn)</f>
        <v>0</v>
      </c>
      <c r="F356" s="62">
        <f>IF(AV356=0,0,
IF(Investment_Strategy="DIS",VLOOKUP(Investment_Strategy&amp;"_"&amp;Investment_Strategy_Sub1&amp;"_"&amp;$A356,'Investment Strategies'!$AZ:$BP,15,FALSE),
IF(AND(Investment_Strategy="Lifecycle",Investment_Strategy_Sub1="Non-Standard"),VLOOKUP(Investment_Strategy&amp;"_"&amp;Investment_Strategy_Sub2&amp;"_"&amp;$A356,'Investment Strategies'!$C:$P,12,FALSE),
IF(AND(Investment_Strategy="Lifecycle",Investment_Strategy_Sub1="Standard"),VLOOKUP(Investment_Strategy&amp;"_"&amp;Investment_Strategy_Sub2&amp;"_"&amp;$A356,'Investment Strategies'!$AJ:$AV,11,FALSE),
IF(AND(Investment_Strategy="Autopilot",Investment_Strategy_Sub1="Non-Standard"),VLOOKUP(Investment_Strategy&amp;"_"&amp;Investment_Strategy_Sub2&amp;"_"&amp;$A356,'Investment Strategies'!$T:$AF,11,FALSE),
IF(Investment_Strategy="DIY",DIY_GteeChrge_CurrentFunds,
"Error"))))))</f>
        <v>0</v>
      </c>
      <c r="G356" s="33">
        <f>IF(AV356=0,0,
IF(Investment_Strategy="DIS",VLOOKUP(Investment_Strategy&amp;"_"&amp;Investment_Strategy_Sub1&amp;"_"&amp;$A356,'Investment Strategies'!$AZ:$BP,17,FALSE),
IF(AND(Investment_Strategy="Lifecycle",Investment_Strategy_Sub1="Non-Standard"),VLOOKUP(Investment_Strategy&amp;"_"&amp;Investment_Strategy_Sub2&amp;"_"&amp;$A356,'Investment Strategies'!$C:$P,14,FALSE),
IF(AND(Investment_Strategy="Lifecycle",Investment_Strategy_Sub1="Standard"),VLOOKUP(Investment_Strategy&amp;"_"&amp;Investment_Strategy_Sub2&amp;"_"&amp;$A356,'Investment Strategies'!$AJ:$AV,13,FALSE),
IF(AND(Investment_Strategy="Autopilot",Investment_Strategy_Sub1="Non-Standard"),VLOOKUP(Investment_Strategy&amp;"_"&amp;Investment_Strategy_Sub2&amp;"_"&amp;$A356,'Investment Strategies'!$T:$AF,13,FALSE),
IF(Investment_Strategy="DIY",DIY_ExtManChrge_CurrentFunds,
"Error"))))))</f>
        <v>0</v>
      </c>
      <c r="H356" s="16">
        <f t="shared" si="219"/>
        <v>0</v>
      </c>
      <c r="I356" s="16">
        <f t="shared" si="205"/>
        <v>0</v>
      </c>
      <c r="J356" s="16">
        <f t="shared" si="206"/>
        <v>0</v>
      </c>
      <c r="K356" s="16">
        <f>(Opening_Fund_Value+SUM(K$91:K355))*E356*IF(D356=$A$91,SRP_finalmonthfactor,1)</f>
        <v>0</v>
      </c>
      <c r="L356" s="74">
        <f>MIN(IF($AV356=0,0,
IF(Investment_Strategy="DIS",VLOOKUP(Investment_Strategy&amp;"_"&amp;Investment_Strategy_Sub1&amp;"_"&amp;$A356,'Investment Strategies'!$AZ:$BP,12,FALSE),
IF(AND(Investment_Strategy="Lifecycle",Investment_Strategy_Sub1="Non-Standard"),VLOOKUP(Investment_Strategy&amp;"_"&amp;Investment_Strategy_Sub2&amp;"_"&amp;$A356,'Investment Strategies'!$C:$P,9,FALSE),
IF(AND(Investment_Strategy="Lifecycle",Investment_Strategy_Sub1="Standard"),VLOOKUP(Investment_Strategy&amp;"_"&amp;Investment_Strategy_Sub2&amp;"_"&amp;$A356,'Investment Strategies'!$AJ:$AV,8,FALSE),
IF(AND(Investment_Strategy="Autopilot",Investment_Strategy_Sub1="Non-Standard"),VLOOKUP(Investment_Strategy&amp;"_"&amp;Investment_Strategy_Sub2&amp;"_"&amp;$A356,'Investment Strategies'!$T:$AF,8,FALSE),
IF(Investment_Strategy ="DIY",DIY_RateofReturn_SP,
"Error")))))),Max_InvReturn)</f>
        <v>0</v>
      </c>
      <c r="M356" s="62">
        <f>IF($AV356=0,0,
IF(Investment_Strategy="DIS",VLOOKUP(Investment_Strategy&amp;"_"&amp;Investment_Strategy_Sub1&amp;"_"&amp;$A356,'Investment Strategies'!$AZ:$BP,15,FALSE),
IF(AND(Investment_Strategy="Lifecycle",Investment_Strategy_Sub1="Non-Standard"),VLOOKUP(Investment_Strategy&amp;"_"&amp;Investment_Strategy_Sub2&amp;"_"&amp;$A356,'Investment Strategies'!$C:$P,12,FALSE),
IF(AND(Investment_Strategy="Lifecycle",Investment_Strategy_Sub1="Standard"),VLOOKUP(Investment_Strategy&amp;"_"&amp;Investment_Strategy_Sub2&amp;"_"&amp;$A356,'Investment Strategies'!$AJ:$AV,11,FALSE),
IF(AND(Investment_Strategy="Autopilot",Investment_Strategy_Sub1="Non-Standard"),VLOOKUP(Investment_Strategy&amp;"_"&amp;Investment_Strategy_Sub2&amp;"_"&amp;$A356,'Investment Strategies'!$T:$AF,11,FALSE),
IF(Investment_Strategy="DIY",DIY_GteeChrge_SP,
"Error"))))))</f>
        <v>0</v>
      </c>
      <c r="N356" s="33">
        <f>IF($AV356=0,0,
IF(Investment_Strategy="DIS",VLOOKUP(Investment_Strategy&amp;"_"&amp;Investment_Strategy_Sub1&amp;"_"&amp;$A356,'Investment Strategies'!$AZ:$BP,17,FALSE),
IF(AND(Investment_Strategy="Lifecycle",Investment_Strategy_Sub1="Non-Standard"),VLOOKUP(Investment_Strategy&amp;"_"&amp;Investment_Strategy_Sub2&amp;"_"&amp;$A356,'Investment Strategies'!$C:$P,14,FALSE),
IF(AND(Investment_Strategy="Lifecycle",Investment_Strategy_Sub1="Standard"),VLOOKUP(Investment_Strategy&amp;"_"&amp;Investment_Strategy_Sub2&amp;"_"&amp;$A356,'Investment Strategies'!$AJ:$AV,13,FALSE),
IF(AND(Investment_Strategy="Autopilot",Investment_Strategy_Sub1="Non-Standard"),VLOOKUP(Investment_Strategy&amp;"_"&amp;Investment_Strategy_Sub2&amp;"_"&amp;$A356,'Investment Strategies'!$T:$AF,13,FALSE),
IF(Investment_Strategy="DIY",DIY_ExtManChrge_SP,
"Error"))))))</f>
        <v>0</v>
      </c>
      <c r="O356" s="16">
        <f t="shared" si="230"/>
        <v>0</v>
      </c>
      <c r="Q356" s="16">
        <f t="shared" si="207"/>
        <v>0</v>
      </c>
      <c r="R356" s="16">
        <f t="shared" si="203"/>
        <v>0</v>
      </c>
      <c r="S356" s="16">
        <f>(SRP_SP+SUM(S$91:S355))*L356*IF(D356=$A$91,SRP_finalmonthfactor,1)</f>
        <v>0</v>
      </c>
      <c r="T356" s="74">
        <f>MIN(IF($AV356=0,0,
IF(Investment_Strategy="DIS",VLOOKUP(Investment_Strategy&amp;"_"&amp;Investment_Strategy_Sub1&amp;"_"&amp;$A356,'Investment Strategies'!$AZ:$BP,12,FALSE),
IF(AND(Investment_Strategy="Lifecycle",Investment_Strategy_Sub1="Non-Standard"),VLOOKUP(Investment_Strategy&amp;"_"&amp;Investment_Strategy_Sub2&amp;"_"&amp;$A356,'Investment Strategies'!$C:$P,9,FALSE),
IF(AND(Investment_Strategy="Lifecycle",Investment_Strategy_Sub1="Standard"),VLOOKUP(Investment_Strategy&amp;"_"&amp;Investment_Strategy_Sub2&amp;"_"&amp;$A356,'Investment Strategies'!$AJ:$AV,8,FALSE),
IF(AND(Investment_Strategy="Autopilot",Investment_Strategy_Sub1="Non-Standard"),VLOOKUP(Investment_Strategy&amp;"_"&amp;Investment_Strategy_Sub2&amp;"_"&amp;$A356,'Investment Strategies'!$T:$AF,8,FALSE),
IF(Investment_Strategy ="DIY",DIY_RateOfReturn_FuturePremiums,
"Error")))))),Max_InvReturn)</f>
        <v>0</v>
      </c>
      <c r="U356" s="62">
        <f>IF($AV356=0,0,
IF(Investment_Strategy="DIS",VLOOKUP(Investment_Strategy&amp;"_"&amp;Investment_Strategy_Sub1&amp;"_"&amp;$A356,'Investment Strategies'!$AZ:$BP,15,FALSE),
IF(AND(Investment_Strategy="Lifecycle",Investment_Strategy_Sub1="Non-Standard"),VLOOKUP(Investment_Strategy&amp;"_"&amp;Investment_Strategy_Sub2&amp;"_"&amp;$A356,'Investment Strategies'!$C:$P,12,FALSE),
IF(AND(Investment_Strategy="Lifecycle",Investment_Strategy_Sub1="Standard"),VLOOKUP(Investment_Strategy&amp;"_"&amp;Investment_Strategy_Sub2&amp;"_"&amp;$A356,'Investment Strategies'!$AJ:$AV,11,FALSE),
IF(AND(Investment_Strategy="Autopilot",Investment_Strategy_Sub1="Non-Standard"),VLOOKUP(Investment_Strategy&amp;"_"&amp;Investment_Strategy_Sub2&amp;"_"&amp;$A356,'Investment Strategies'!$T:$AF,11,FALSE),
IF(Investment_Strategy="DIY",DIY_GteeChrge_FuturePremiums,
"Error"))))))</f>
        <v>0</v>
      </c>
      <c r="V356" s="33">
        <f>IF(AV356=0,0,
IF(Investment_Strategy="DIS",VLOOKUP(Investment_Strategy&amp;"_"&amp;Investment_Strategy_Sub1&amp;"_"&amp;$A356,'Investment Strategies'!$AZ:$BP,17,FALSE),
IF(AND(Investment_Strategy="Lifecycle",Investment_Strategy_Sub1="Non-Standard"),VLOOKUP(Investment_Strategy&amp;"_"&amp;Investment_Strategy_Sub2&amp;"_"&amp;$A356,'Investment Strategies'!$C:$P,14,FALSE),
IF(AND(Investment_Strategy="Lifecycle",Investment_Strategy_Sub1="Standard"),VLOOKUP(Investment_Strategy&amp;"_"&amp;Investment_Strategy_Sub2&amp;"_"&amp;$A356,'Investment Strategies'!$AJ:$AV,13,FALSE),
IF(AND(Investment_Strategy="Autopilot",Investment_Strategy_Sub1="Non-Standard"),VLOOKUP(Investment_Strategy&amp;"_"&amp;Investment_Strategy_Sub2&amp;"_"&amp;$A356,'Investment Strategies'!$T:$AF,13,FALSE),
IF(Investment_Strategy="DIY",DIY_ExtManChrge_FuturePremiums,
"Error"))))))</f>
        <v>0</v>
      </c>
      <c r="W356" s="16">
        <f t="shared" si="231"/>
        <v>0</v>
      </c>
      <c r="X356" s="16">
        <f t="shared" si="208"/>
        <v>0</v>
      </c>
      <c r="Y356" s="16">
        <f t="shared" si="209"/>
        <v>0</v>
      </c>
      <c r="Z356" s="31">
        <f t="shared" si="210"/>
        <v>0.02</v>
      </c>
      <c r="AA356" s="16">
        <f t="shared" si="211"/>
        <v>0</v>
      </c>
      <c r="AB356" s="28">
        <f t="shared" si="232"/>
        <v>0</v>
      </c>
      <c r="AC356" s="28">
        <f>(SUM($AC$91:AC355)+SUM($X$91:X355)+X356)*T356*IF(D356=$A$91,SRP_finalmonthfactor,1)</f>
        <v>0</v>
      </c>
      <c r="AD356" s="16">
        <f t="shared" si="212"/>
        <v>0</v>
      </c>
      <c r="AE356" s="106"/>
      <c r="AF356" s="16">
        <f t="shared" si="220"/>
        <v>0</v>
      </c>
      <c r="AG356" s="16">
        <f t="shared" si="221"/>
        <v>0</v>
      </c>
      <c r="AH356" s="16">
        <f t="shared" si="222"/>
        <v>0</v>
      </c>
      <c r="AJ356" s="13">
        <f t="shared" si="233"/>
        <v>0</v>
      </c>
      <c r="AK356" s="13">
        <f t="shared" si="233"/>
        <v>0</v>
      </c>
      <c r="AL356" s="13">
        <f t="shared" si="233"/>
        <v>0</v>
      </c>
      <c r="AM356" s="13">
        <f t="shared" si="233"/>
        <v>0</v>
      </c>
      <c r="AN356" s="13">
        <f t="shared" si="233"/>
        <v>0</v>
      </c>
      <c r="AO356" s="13">
        <f t="shared" si="233"/>
        <v>1</v>
      </c>
      <c r="AP356" s="13">
        <f t="shared" si="233"/>
        <v>1</v>
      </c>
      <c r="AQ356" s="13">
        <f t="shared" si="233"/>
        <v>1</v>
      </c>
      <c r="AR356" s="13">
        <f t="shared" si="233"/>
        <v>1</v>
      </c>
      <c r="AS356" s="13">
        <f t="shared" si="233"/>
        <v>1</v>
      </c>
      <c r="AT356" s="13">
        <f t="shared" si="233"/>
        <v>1</v>
      </c>
      <c r="AU356" s="13">
        <f t="shared" si="233"/>
        <v>1</v>
      </c>
      <c r="AV356" s="13">
        <f t="shared" si="213"/>
        <v>0</v>
      </c>
      <c r="AW356" s="13">
        <f t="shared" si="214"/>
        <v>1</v>
      </c>
      <c r="AY356" s="17">
        <f t="shared" si="215"/>
        <v>266</v>
      </c>
      <c r="AZ356" s="28">
        <f t="shared" si="223"/>
        <v>0</v>
      </c>
      <c r="BA356" s="13">
        <f t="shared" si="216"/>
        <v>0</v>
      </c>
      <c r="BB356" s="13">
        <f t="shared" si="217"/>
        <v>0</v>
      </c>
      <c r="BC356" s="28">
        <f t="shared" si="224"/>
        <v>0</v>
      </c>
      <c r="BD356" s="28">
        <f t="shared" si="225"/>
        <v>0</v>
      </c>
      <c r="BF356" s="248">
        <f t="shared" si="226"/>
        <v>993869.29442638322</v>
      </c>
    </row>
    <row r="357" spans="1:58">
      <c r="A357" s="32">
        <f t="shared" si="227"/>
        <v>-182</v>
      </c>
      <c r="B357" s="32">
        <f t="shared" si="218"/>
        <v>75</v>
      </c>
      <c r="C357" s="32">
        <f t="shared" si="228"/>
        <v>23</v>
      </c>
      <c r="D357" s="32">
        <f t="shared" si="229"/>
        <v>267</v>
      </c>
      <c r="E357" s="74">
        <f>MIN(IF(AV357=0,0,
IF(Investment_Strategy="DIS",VLOOKUP(Investment_Strategy&amp;"_"&amp;Investment_Strategy_Sub1&amp;"_"&amp;$A357,'Investment Strategies'!$AZ:$BP,12,FALSE),
IF(AND(Investment_Strategy="Lifecycle",Investment_Strategy_Sub1="Non-Standard"),VLOOKUP(Investment_Strategy&amp;"_"&amp;Investment_Strategy_Sub2&amp;"_"&amp;$A357,'Investment Strategies'!$C:$P,9,FALSE),
IF(AND(Investment_Strategy="Lifecycle",Investment_Strategy_Sub1="Standard"),VLOOKUP(Investment_Strategy&amp;"_"&amp;Investment_Strategy_Sub2&amp;"_"&amp;$A357,'Investment Strategies'!$AJ:$AV,8,FALSE),
IF(AND(Investment_Strategy="Autopilot",Investment_Strategy_Sub1="Non-Standard"),VLOOKUP(Investment_Strategy&amp;"_"&amp;Investment_Strategy_Sub2&amp;"_"&amp;$A357,'Investment Strategies'!$T:$AF,8,FALSE),
IF(Investment_Strategy ="DIY",DIY_RateOfReturn_CurrentFunds,
"Error")))))),Max_InvReturn)</f>
        <v>0</v>
      </c>
      <c r="F357" s="62">
        <f>IF(AV357=0,0,
IF(Investment_Strategy="DIS",VLOOKUP(Investment_Strategy&amp;"_"&amp;Investment_Strategy_Sub1&amp;"_"&amp;$A357,'Investment Strategies'!$AZ:$BP,15,FALSE),
IF(AND(Investment_Strategy="Lifecycle",Investment_Strategy_Sub1="Non-Standard"),VLOOKUP(Investment_Strategy&amp;"_"&amp;Investment_Strategy_Sub2&amp;"_"&amp;$A357,'Investment Strategies'!$C:$P,12,FALSE),
IF(AND(Investment_Strategy="Lifecycle",Investment_Strategy_Sub1="Standard"),VLOOKUP(Investment_Strategy&amp;"_"&amp;Investment_Strategy_Sub2&amp;"_"&amp;$A357,'Investment Strategies'!$AJ:$AV,11,FALSE),
IF(AND(Investment_Strategy="Autopilot",Investment_Strategy_Sub1="Non-Standard"),VLOOKUP(Investment_Strategy&amp;"_"&amp;Investment_Strategy_Sub2&amp;"_"&amp;$A357,'Investment Strategies'!$T:$AF,11,FALSE),
IF(Investment_Strategy="DIY",DIY_GteeChrge_CurrentFunds,
"Error"))))))</f>
        <v>0</v>
      </c>
      <c r="G357" s="33">
        <f>IF(AV357=0,0,
IF(Investment_Strategy="DIS",VLOOKUP(Investment_Strategy&amp;"_"&amp;Investment_Strategy_Sub1&amp;"_"&amp;$A357,'Investment Strategies'!$AZ:$BP,17,FALSE),
IF(AND(Investment_Strategy="Lifecycle",Investment_Strategy_Sub1="Non-Standard"),VLOOKUP(Investment_Strategy&amp;"_"&amp;Investment_Strategy_Sub2&amp;"_"&amp;$A357,'Investment Strategies'!$C:$P,14,FALSE),
IF(AND(Investment_Strategy="Lifecycle",Investment_Strategy_Sub1="Standard"),VLOOKUP(Investment_Strategy&amp;"_"&amp;Investment_Strategy_Sub2&amp;"_"&amp;$A357,'Investment Strategies'!$AJ:$AV,13,FALSE),
IF(AND(Investment_Strategy="Autopilot",Investment_Strategy_Sub1="Non-Standard"),VLOOKUP(Investment_Strategy&amp;"_"&amp;Investment_Strategy_Sub2&amp;"_"&amp;$A357,'Investment Strategies'!$T:$AF,13,FALSE),
IF(Investment_Strategy="DIY",DIY_ExtManChrge_CurrentFunds,
"Error"))))))</f>
        <v>0</v>
      </c>
      <c r="H357" s="16">
        <f t="shared" si="219"/>
        <v>0</v>
      </c>
      <c r="I357" s="16">
        <f t="shared" si="205"/>
        <v>0</v>
      </c>
      <c r="J357" s="16">
        <f t="shared" si="206"/>
        <v>0</v>
      </c>
      <c r="K357" s="16">
        <f>(Opening_Fund_Value+SUM(K$91:K356))*E357*IF(D357=$A$91,SRP_finalmonthfactor,1)</f>
        <v>0</v>
      </c>
      <c r="L357" s="74">
        <f>MIN(IF($AV357=0,0,
IF(Investment_Strategy="DIS",VLOOKUP(Investment_Strategy&amp;"_"&amp;Investment_Strategy_Sub1&amp;"_"&amp;$A357,'Investment Strategies'!$AZ:$BP,12,FALSE),
IF(AND(Investment_Strategy="Lifecycle",Investment_Strategy_Sub1="Non-Standard"),VLOOKUP(Investment_Strategy&amp;"_"&amp;Investment_Strategy_Sub2&amp;"_"&amp;$A357,'Investment Strategies'!$C:$P,9,FALSE),
IF(AND(Investment_Strategy="Lifecycle",Investment_Strategy_Sub1="Standard"),VLOOKUP(Investment_Strategy&amp;"_"&amp;Investment_Strategy_Sub2&amp;"_"&amp;$A357,'Investment Strategies'!$AJ:$AV,8,FALSE),
IF(AND(Investment_Strategy="Autopilot",Investment_Strategy_Sub1="Non-Standard"),VLOOKUP(Investment_Strategy&amp;"_"&amp;Investment_Strategy_Sub2&amp;"_"&amp;$A357,'Investment Strategies'!$T:$AF,8,FALSE),
IF(Investment_Strategy ="DIY",DIY_RateofReturn_SP,
"Error")))))),Max_InvReturn)</f>
        <v>0</v>
      </c>
      <c r="M357" s="62">
        <f>IF($AV357=0,0,
IF(Investment_Strategy="DIS",VLOOKUP(Investment_Strategy&amp;"_"&amp;Investment_Strategy_Sub1&amp;"_"&amp;$A357,'Investment Strategies'!$AZ:$BP,15,FALSE),
IF(AND(Investment_Strategy="Lifecycle",Investment_Strategy_Sub1="Non-Standard"),VLOOKUP(Investment_Strategy&amp;"_"&amp;Investment_Strategy_Sub2&amp;"_"&amp;$A357,'Investment Strategies'!$C:$P,12,FALSE),
IF(AND(Investment_Strategy="Lifecycle",Investment_Strategy_Sub1="Standard"),VLOOKUP(Investment_Strategy&amp;"_"&amp;Investment_Strategy_Sub2&amp;"_"&amp;$A357,'Investment Strategies'!$AJ:$AV,11,FALSE),
IF(AND(Investment_Strategy="Autopilot",Investment_Strategy_Sub1="Non-Standard"),VLOOKUP(Investment_Strategy&amp;"_"&amp;Investment_Strategy_Sub2&amp;"_"&amp;$A357,'Investment Strategies'!$T:$AF,11,FALSE),
IF(Investment_Strategy="DIY",DIY_GteeChrge_SP,
"Error"))))))</f>
        <v>0</v>
      </c>
      <c r="N357" s="33">
        <f>IF($AV357=0,0,
IF(Investment_Strategy="DIS",VLOOKUP(Investment_Strategy&amp;"_"&amp;Investment_Strategy_Sub1&amp;"_"&amp;$A357,'Investment Strategies'!$AZ:$BP,17,FALSE),
IF(AND(Investment_Strategy="Lifecycle",Investment_Strategy_Sub1="Non-Standard"),VLOOKUP(Investment_Strategy&amp;"_"&amp;Investment_Strategy_Sub2&amp;"_"&amp;$A357,'Investment Strategies'!$C:$P,14,FALSE),
IF(AND(Investment_Strategy="Lifecycle",Investment_Strategy_Sub1="Standard"),VLOOKUP(Investment_Strategy&amp;"_"&amp;Investment_Strategy_Sub2&amp;"_"&amp;$A357,'Investment Strategies'!$AJ:$AV,13,FALSE),
IF(AND(Investment_Strategy="Autopilot",Investment_Strategy_Sub1="Non-Standard"),VLOOKUP(Investment_Strategy&amp;"_"&amp;Investment_Strategy_Sub2&amp;"_"&amp;$A357,'Investment Strategies'!$T:$AF,13,FALSE),
IF(Investment_Strategy="DIY",DIY_ExtManChrge_SP,
"Error"))))))</f>
        <v>0</v>
      </c>
      <c r="O357" s="16">
        <f t="shared" si="230"/>
        <v>0</v>
      </c>
      <c r="Q357" s="16">
        <f t="shared" si="207"/>
        <v>0</v>
      </c>
      <c r="R357" s="16">
        <f t="shared" si="203"/>
        <v>0</v>
      </c>
      <c r="S357" s="16">
        <f>(SRP_SP+SUM(S$91:S356))*L357*IF(D357=$A$91,SRP_finalmonthfactor,1)</f>
        <v>0</v>
      </c>
      <c r="T357" s="74">
        <f>MIN(IF($AV357=0,0,
IF(Investment_Strategy="DIS",VLOOKUP(Investment_Strategy&amp;"_"&amp;Investment_Strategy_Sub1&amp;"_"&amp;$A357,'Investment Strategies'!$AZ:$BP,12,FALSE),
IF(AND(Investment_Strategy="Lifecycle",Investment_Strategy_Sub1="Non-Standard"),VLOOKUP(Investment_Strategy&amp;"_"&amp;Investment_Strategy_Sub2&amp;"_"&amp;$A357,'Investment Strategies'!$C:$P,9,FALSE),
IF(AND(Investment_Strategy="Lifecycle",Investment_Strategy_Sub1="Standard"),VLOOKUP(Investment_Strategy&amp;"_"&amp;Investment_Strategy_Sub2&amp;"_"&amp;$A357,'Investment Strategies'!$AJ:$AV,8,FALSE),
IF(AND(Investment_Strategy="Autopilot",Investment_Strategy_Sub1="Non-Standard"),VLOOKUP(Investment_Strategy&amp;"_"&amp;Investment_Strategy_Sub2&amp;"_"&amp;$A357,'Investment Strategies'!$T:$AF,8,FALSE),
IF(Investment_Strategy ="DIY",DIY_RateOfReturn_FuturePremiums,
"Error")))))),Max_InvReturn)</f>
        <v>0</v>
      </c>
      <c r="U357" s="62">
        <f>IF($AV357=0,0,
IF(Investment_Strategy="DIS",VLOOKUP(Investment_Strategy&amp;"_"&amp;Investment_Strategy_Sub1&amp;"_"&amp;$A357,'Investment Strategies'!$AZ:$BP,15,FALSE),
IF(AND(Investment_Strategy="Lifecycle",Investment_Strategy_Sub1="Non-Standard"),VLOOKUP(Investment_Strategy&amp;"_"&amp;Investment_Strategy_Sub2&amp;"_"&amp;$A357,'Investment Strategies'!$C:$P,12,FALSE),
IF(AND(Investment_Strategy="Lifecycle",Investment_Strategy_Sub1="Standard"),VLOOKUP(Investment_Strategy&amp;"_"&amp;Investment_Strategy_Sub2&amp;"_"&amp;$A357,'Investment Strategies'!$AJ:$AV,11,FALSE),
IF(AND(Investment_Strategy="Autopilot",Investment_Strategy_Sub1="Non-Standard"),VLOOKUP(Investment_Strategy&amp;"_"&amp;Investment_Strategy_Sub2&amp;"_"&amp;$A357,'Investment Strategies'!$T:$AF,11,FALSE),
IF(Investment_Strategy="DIY",DIY_GteeChrge_FuturePremiums,
"Error"))))))</f>
        <v>0</v>
      </c>
      <c r="V357" s="33">
        <f>IF(AV357=0,0,
IF(Investment_Strategy="DIS",VLOOKUP(Investment_Strategy&amp;"_"&amp;Investment_Strategy_Sub1&amp;"_"&amp;$A357,'Investment Strategies'!$AZ:$BP,17,FALSE),
IF(AND(Investment_Strategy="Lifecycle",Investment_Strategy_Sub1="Non-Standard"),VLOOKUP(Investment_Strategy&amp;"_"&amp;Investment_Strategy_Sub2&amp;"_"&amp;$A357,'Investment Strategies'!$C:$P,14,FALSE),
IF(AND(Investment_Strategy="Lifecycle",Investment_Strategy_Sub1="Standard"),VLOOKUP(Investment_Strategy&amp;"_"&amp;Investment_Strategy_Sub2&amp;"_"&amp;$A357,'Investment Strategies'!$AJ:$AV,13,FALSE),
IF(AND(Investment_Strategy="Autopilot",Investment_Strategy_Sub1="Non-Standard"),VLOOKUP(Investment_Strategy&amp;"_"&amp;Investment_Strategy_Sub2&amp;"_"&amp;$A357,'Investment Strategies'!$T:$AF,13,FALSE),
IF(Investment_Strategy="DIY",DIY_ExtManChrge_FuturePremiums,
"Error"))))))</f>
        <v>0</v>
      </c>
      <c r="W357" s="16">
        <f t="shared" si="231"/>
        <v>0</v>
      </c>
      <c r="X357" s="16">
        <f t="shared" si="208"/>
        <v>0</v>
      </c>
      <c r="Y357" s="16">
        <f t="shared" si="209"/>
        <v>0</v>
      </c>
      <c r="Z357" s="31">
        <f t="shared" si="210"/>
        <v>0.02</v>
      </c>
      <c r="AA357" s="16">
        <f t="shared" si="211"/>
        <v>0</v>
      </c>
      <c r="AB357" s="28">
        <f t="shared" si="232"/>
        <v>0</v>
      </c>
      <c r="AC357" s="28">
        <f>(SUM($AC$91:AC356)+SUM($X$91:X356)+X357)*T357*IF(D357=$A$91,SRP_finalmonthfactor,1)</f>
        <v>0</v>
      </c>
      <c r="AD357" s="16">
        <f t="shared" si="212"/>
        <v>0</v>
      </c>
      <c r="AE357" s="106"/>
      <c r="AF357" s="16">
        <f t="shared" si="220"/>
        <v>0</v>
      </c>
      <c r="AG357" s="16">
        <f t="shared" si="221"/>
        <v>0</v>
      </c>
      <c r="AH357" s="16">
        <f t="shared" si="222"/>
        <v>0</v>
      </c>
      <c r="AJ357" s="13">
        <f t="shared" si="233"/>
        <v>0</v>
      </c>
      <c r="AK357" s="13">
        <f t="shared" si="233"/>
        <v>0</v>
      </c>
      <c r="AL357" s="13">
        <f t="shared" si="233"/>
        <v>0</v>
      </c>
      <c r="AM357" s="13">
        <f t="shared" si="233"/>
        <v>0</v>
      </c>
      <c r="AN357" s="13">
        <f t="shared" si="233"/>
        <v>0</v>
      </c>
      <c r="AO357" s="13">
        <f t="shared" si="233"/>
        <v>1</v>
      </c>
      <c r="AP357" s="13">
        <f t="shared" si="233"/>
        <v>1</v>
      </c>
      <c r="AQ357" s="13">
        <f t="shared" si="233"/>
        <v>1</v>
      </c>
      <c r="AR357" s="13">
        <f t="shared" si="233"/>
        <v>1</v>
      </c>
      <c r="AS357" s="13">
        <f t="shared" si="233"/>
        <v>1</v>
      </c>
      <c r="AT357" s="13">
        <f t="shared" si="233"/>
        <v>1</v>
      </c>
      <c r="AU357" s="13">
        <f t="shared" si="233"/>
        <v>1</v>
      </c>
      <c r="AV357" s="13">
        <f t="shared" si="213"/>
        <v>0</v>
      </c>
      <c r="AW357" s="13">
        <f t="shared" si="214"/>
        <v>1</v>
      </c>
      <c r="AY357" s="17">
        <f t="shared" si="215"/>
        <v>267</v>
      </c>
      <c r="AZ357" s="28">
        <f t="shared" si="223"/>
        <v>0</v>
      </c>
      <c r="BA357" s="13">
        <f t="shared" si="216"/>
        <v>0</v>
      </c>
      <c r="BB357" s="13">
        <f t="shared" si="217"/>
        <v>0</v>
      </c>
      <c r="BC357" s="28">
        <f t="shared" si="224"/>
        <v>0</v>
      </c>
      <c r="BD357" s="28">
        <f t="shared" si="225"/>
        <v>0</v>
      </c>
      <c r="BF357" s="248">
        <f t="shared" si="226"/>
        <v>993869.29442638322</v>
      </c>
    </row>
    <row r="358" spans="1:58">
      <c r="A358" s="32">
        <f t="shared" si="227"/>
        <v>-183</v>
      </c>
      <c r="B358" s="32">
        <f t="shared" si="218"/>
        <v>75</v>
      </c>
      <c r="C358" s="32">
        <f t="shared" si="228"/>
        <v>23</v>
      </c>
      <c r="D358" s="32">
        <f t="shared" si="229"/>
        <v>268</v>
      </c>
      <c r="E358" s="74">
        <f>MIN(IF(AV358=0,0,
IF(Investment_Strategy="DIS",VLOOKUP(Investment_Strategy&amp;"_"&amp;Investment_Strategy_Sub1&amp;"_"&amp;$A358,'Investment Strategies'!$AZ:$BP,12,FALSE),
IF(AND(Investment_Strategy="Lifecycle",Investment_Strategy_Sub1="Non-Standard"),VLOOKUP(Investment_Strategy&amp;"_"&amp;Investment_Strategy_Sub2&amp;"_"&amp;$A358,'Investment Strategies'!$C:$P,9,FALSE),
IF(AND(Investment_Strategy="Lifecycle",Investment_Strategy_Sub1="Standard"),VLOOKUP(Investment_Strategy&amp;"_"&amp;Investment_Strategy_Sub2&amp;"_"&amp;$A358,'Investment Strategies'!$AJ:$AV,8,FALSE),
IF(AND(Investment_Strategy="Autopilot",Investment_Strategy_Sub1="Non-Standard"),VLOOKUP(Investment_Strategy&amp;"_"&amp;Investment_Strategy_Sub2&amp;"_"&amp;$A358,'Investment Strategies'!$T:$AF,8,FALSE),
IF(Investment_Strategy ="DIY",DIY_RateOfReturn_CurrentFunds,
"Error")))))),Max_InvReturn)</f>
        <v>0</v>
      </c>
      <c r="F358" s="62">
        <f>IF(AV358=0,0,
IF(Investment_Strategy="DIS",VLOOKUP(Investment_Strategy&amp;"_"&amp;Investment_Strategy_Sub1&amp;"_"&amp;$A358,'Investment Strategies'!$AZ:$BP,15,FALSE),
IF(AND(Investment_Strategy="Lifecycle",Investment_Strategy_Sub1="Non-Standard"),VLOOKUP(Investment_Strategy&amp;"_"&amp;Investment_Strategy_Sub2&amp;"_"&amp;$A358,'Investment Strategies'!$C:$P,12,FALSE),
IF(AND(Investment_Strategy="Lifecycle",Investment_Strategy_Sub1="Standard"),VLOOKUP(Investment_Strategy&amp;"_"&amp;Investment_Strategy_Sub2&amp;"_"&amp;$A358,'Investment Strategies'!$AJ:$AV,11,FALSE),
IF(AND(Investment_Strategy="Autopilot",Investment_Strategy_Sub1="Non-Standard"),VLOOKUP(Investment_Strategy&amp;"_"&amp;Investment_Strategy_Sub2&amp;"_"&amp;$A358,'Investment Strategies'!$T:$AF,11,FALSE),
IF(Investment_Strategy="DIY",DIY_GteeChrge_CurrentFunds,
"Error"))))))</f>
        <v>0</v>
      </c>
      <c r="G358" s="33">
        <f>IF(AV358=0,0,
IF(Investment_Strategy="DIS",VLOOKUP(Investment_Strategy&amp;"_"&amp;Investment_Strategy_Sub1&amp;"_"&amp;$A358,'Investment Strategies'!$AZ:$BP,17,FALSE),
IF(AND(Investment_Strategy="Lifecycle",Investment_Strategy_Sub1="Non-Standard"),VLOOKUP(Investment_Strategy&amp;"_"&amp;Investment_Strategy_Sub2&amp;"_"&amp;$A358,'Investment Strategies'!$C:$P,14,FALSE),
IF(AND(Investment_Strategy="Lifecycle",Investment_Strategy_Sub1="Standard"),VLOOKUP(Investment_Strategy&amp;"_"&amp;Investment_Strategy_Sub2&amp;"_"&amp;$A358,'Investment Strategies'!$AJ:$AV,13,FALSE),
IF(AND(Investment_Strategy="Autopilot",Investment_Strategy_Sub1="Non-Standard"),VLOOKUP(Investment_Strategy&amp;"_"&amp;Investment_Strategy_Sub2&amp;"_"&amp;$A358,'Investment Strategies'!$T:$AF,13,FALSE),
IF(Investment_Strategy="DIY",DIY_ExtManChrge_CurrentFunds,
"Error"))))))</f>
        <v>0</v>
      </c>
      <c r="H358" s="16">
        <f t="shared" si="219"/>
        <v>0</v>
      </c>
      <c r="I358" s="16">
        <f t="shared" si="205"/>
        <v>0</v>
      </c>
      <c r="J358" s="16">
        <f t="shared" si="206"/>
        <v>0</v>
      </c>
      <c r="K358" s="16">
        <f>(Opening_Fund_Value+SUM(K$91:K357))*E358*IF(D358=$A$91,SRP_finalmonthfactor,1)</f>
        <v>0</v>
      </c>
      <c r="L358" s="74">
        <f>MIN(IF($AV358=0,0,
IF(Investment_Strategy="DIS",VLOOKUP(Investment_Strategy&amp;"_"&amp;Investment_Strategy_Sub1&amp;"_"&amp;$A358,'Investment Strategies'!$AZ:$BP,12,FALSE),
IF(AND(Investment_Strategy="Lifecycle",Investment_Strategy_Sub1="Non-Standard"),VLOOKUP(Investment_Strategy&amp;"_"&amp;Investment_Strategy_Sub2&amp;"_"&amp;$A358,'Investment Strategies'!$C:$P,9,FALSE),
IF(AND(Investment_Strategy="Lifecycle",Investment_Strategy_Sub1="Standard"),VLOOKUP(Investment_Strategy&amp;"_"&amp;Investment_Strategy_Sub2&amp;"_"&amp;$A358,'Investment Strategies'!$AJ:$AV,8,FALSE),
IF(AND(Investment_Strategy="Autopilot",Investment_Strategy_Sub1="Non-Standard"),VLOOKUP(Investment_Strategy&amp;"_"&amp;Investment_Strategy_Sub2&amp;"_"&amp;$A358,'Investment Strategies'!$T:$AF,8,FALSE),
IF(Investment_Strategy ="DIY",DIY_RateofReturn_SP,
"Error")))))),Max_InvReturn)</f>
        <v>0</v>
      </c>
      <c r="M358" s="62">
        <f>IF($AV358=0,0,
IF(Investment_Strategy="DIS",VLOOKUP(Investment_Strategy&amp;"_"&amp;Investment_Strategy_Sub1&amp;"_"&amp;$A358,'Investment Strategies'!$AZ:$BP,15,FALSE),
IF(AND(Investment_Strategy="Lifecycle",Investment_Strategy_Sub1="Non-Standard"),VLOOKUP(Investment_Strategy&amp;"_"&amp;Investment_Strategy_Sub2&amp;"_"&amp;$A358,'Investment Strategies'!$C:$P,12,FALSE),
IF(AND(Investment_Strategy="Lifecycle",Investment_Strategy_Sub1="Standard"),VLOOKUP(Investment_Strategy&amp;"_"&amp;Investment_Strategy_Sub2&amp;"_"&amp;$A358,'Investment Strategies'!$AJ:$AV,11,FALSE),
IF(AND(Investment_Strategy="Autopilot",Investment_Strategy_Sub1="Non-Standard"),VLOOKUP(Investment_Strategy&amp;"_"&amp;Investment_Strategy_Sub2&amp;"_"&amp;$A358,'Investment Strategies'!$T:$AF,11,FALSE),
IF(Investment_Strategy="DIY",DIY_GteeChrge_SP,
"Error"))))))</f>
        <v>0</v>
      </c>
      <c r="N358" s="33">
        <f>IF($AV358=0,0,
IF(Investment_Strategy="DIS",VLOOKUP(Investment_Strategy&amp;"_"&amp;Investment_Strategy_Sub1&amp;"_"&amp;$A358,'Investment Strategies'!$AZ:$BP,17,FALSE),
IF(AND(Investment_Strategy="Lifecycle",Investment_Strategy_Sub1="Non-Standard"),VLOOKUP(Investment_Strategy&amp;"_"&amp;Investment_Strategy_Sub2&amp;"_"&amp;$A358,'Investment Strategies'!$C:$P,14,FALSE),
IF(AND(Investment_Strategy="Lifecycle",Investment_Strategy_Sub1="Standard"),VLOOKUP(Investment_Strategy&amp;"_"&amp;Investment_Strategy_Sub2&amp;"_"&amp;$A358,'Investment Strategies'!$AJ:$AV,13,FALSE),
IF(AND(Investment_Strategy="Autopilot",Investment_Strategy_Sub1="Non-Standard"),VLOOKUP(Investment_Strategy&amp;"_"&amp;Investment_Strategy_Sub2&amp;"_"&amp;$A358,'Investment Strategies'!$T:$AF,13,FALSE),
IF(Investment_Strategy="DIY",DIY_ExtManChrge_SP,
"Error"))))))</f>
        <v>0</v>
      </c>
      <c r="O358" s="16">
        <f t="shared" si="230"/>
        <v>0</v>
      </c>
      <c r="Q358" s="16">
        <f t="shared" si="207"/>
        <v>0</v>
      </c>
      <c r="R358" s="16">
        <f t="shared" si="203"/>
        <v>0</v>
      </c>
      <c r="S358" s="16">
        <f>(SRP_SP+SUM(S$91:S357))*L358*IF(D358=$A$91,SRP_finalmonthfactor,1)</f>
        <v>0</v>
      </c>
      <c r="T358" s="74">
        <f>MIN(IF($AV358=0,0,
IF(Investment_Strategy="DIS",VLOOKUP(Investment_Strategy&amp;"_"&amp;Investment_Strategy_Sub1&amp;"_"&amp;$A358,'Investment Strategies'!$AZ:$BP,12,FALSE),
IF(AND(Investment_Strategy="Lifecycle",Investment_Strategy_Sub1="Non-Standard"),VLOOKUP(Investment_Strategy&amp;"_"&amp;Investment_Strategy_Sub2&amp;"_"&amp;$A358,'Investment Strategies'!$C:$P,9,FALSE),
IF(AND(Investment_Strategy="Lifecycle",Investment_Strategy_Sub1="Standard"),VLOOKUP(Investment_Strategy&amp;"_"&amp;Investment_Strategy_Sub2&amp;"_"&amp;$A358,'Investment Strategies'!$AJ:$AV,8,FALSE),
IF(AND(Investment_Strategy="Autopilot",Investment_Strategy_Sub1="Non-Standard"),VLOOKUP(Investment_Strategy&amp;"_"&amp;Investment_Strategy_Sub2&amp;"_"&amp;$A358,'Investment Strategies'!$T:$AF,8,FALSE),
IF(Investment_Strategy ="DIY",DIY_RateOfReturn_FuturePremiums,
"Error")))))),Max_InvReturn)</f>
        <v>0</v>
      </c>
      <c r="U358" s="62">
        <f>IF($AV358=0,0,
IF(Investment_Strategy="DIS",VLOOKUP(Investment_Strategy&amp;"_"&amp;Investment_Strategy_Sub1&amp;"_"&amp;$A358,'Investment Strategies'!$AZ:$BP,15,FALSE),
IF(AND(Investment_Strategy="Lifecycle",Investment_Strategy_Sub1="Non-Standard"),VLOOKUP(Investment_Strategy&amp;"_"&amp;Investment_Strategy_Sub2&amp;"_"&amp;$A358,'Investment Strategies'!$C:$P,12,FALSE),
IF(AND(Investment_Strategy="Lifecycle",Investment_Strategy_Sub1="Standard"),VLOOKUP(Investment_Strategy&amp;"_"&amp;Investment_Strategy_Sub2&amp;"_"&amp;$A358,'Investment Strategies'!$AJ:$AV,11,FALSE),
IF(AND(Investment_Strategy="Autopilot",Investment_Strategy_Sub1="Non-Standard"),VLOOKUP(Investment_Strategy&amp;"_"&amp;Investment_Strategy_Sub2&amp;"_"&amp;$A358,'Investment Strategies'!$T:$AF,11,FALSE),
IF(Investment_Strategy="DIY",DIY_GteeChrge_FuturePremiums,
"Error"))))))</f>
        <v>0</v>
      </c>
      <c r="V358" s="33">
        <f>IF(AV358=0,0,
IF(Investment_Strategy="DIS",VLOOKUP(Investment_Strategy&amp;"_"&amp;Investment_Strategy_Sub1&amp;"_"&amp;$A358,'Investment Strategies'!$AZ:$BP,17,FALSE),
IF(AND(Investment_Strategy="Lifecycle",Investment_Strategy_Sub1="Non-Standard"),VLOOKUP(Investment_Strategy&amp;"_"&amp;Investment_Strategy_Sub2&amp;"_"&amp;$A358,'Investment Strategies'!$C:$P,14,FALSE),
IF(AND(Investment_Strategy="Lifecycle",Investment_Strategy_Sub1="Standard"),VLOOKUP(Investment_Strategy&amp;"_"&amp;Investment_Strategy_Sub2&amp;"_"&amp;$A358,'Investment Strategies'!$AJ:$AV,13,FALSE),
IF(AND(Investment_Strategy="Autopilot",Investment_Strategy_Sub1="Non-Standard"),VLOOKUP(Investment_Strategy&amp;"_"&amp;Investment_Strategy_Sub2&amp;"_"&amp;$A358,'Investment Strategies'!$T:$AF,13,FALSE),
IF(Investment_Strategy="DIY",DIY_ExtManChrge_FuturePremiums,
"Error"))))))</f>
        <v>0</v>
      </c>
      <c r="W358" s="16">
        <f t="shared" si="231"/>
        <v>0</v>
      </c>
      <c r="X358" s="16">
        <f t="shared" si="208"/>
        <v>0</v>
      </c>
      <c r="Y358" s="16">
        <f t="shared" si="209"/>
        <v>0</v>
      </c>
      <c r="Z358" s="31">
        <f t="shared" si="210"/>
        <v>0.02</v>
      </c>
      <c r="AA358" s="16">
        <f t="shared" si="211"/>
        <v>0</v>
      </c>
      <c r="AB358" s="28">
        <f t="shared" si="232"/>
        <v>0</v>
      </c>
      <c r="AC358" s="28">
        <f>(SUM($AC$91:AC357)+SUM($X$91:X357)+X358)*T358*IF(D358=$A$91,SRP_finalmonthfactor,1)</f>
        <v>0</v>
      </c>
      <c r="AD358" s="16">
        <f t="shared" si="212"/>
        <v>0</v>
      </c>
      <c r="AE358" s="106"/>
      <c r="AF358" s="16">
        <f t="shared" si="220"/>
        <v>0</v>
      </c>
      <c r="AG358" s="16">
        <f t="shared" si="221"/>
        <v>0</v>
      </c>
      <c r="AH358" s="16">
        <f t="shared" si="222"/>
        <v>0</v>
      </c>
      <c r="AJ358" s="13">
        <f t="shared" si="233"/>
        <v>0</v>
      </c>
      <c r="AK358" s="13">
        <f t="shared" si="233"/>
        <v>0</v>
      </c>
      <c r="AL358" s="13">
        <f t="shared" si="233"/>
        <v>0</v>
      </c>
      <c r="AM358" s="13">
        <f t="shared" si="233"/>
        <v>0</v>
      </c>
      <c r="AN358" s="13">
        <f t="shared" si="233"/>
        <v>0</v>
      </c>
      <c r="AO358" s="13">
        <f t="shared" si="233"/>
        <v>1</v>
      </c>
      <c r="AP358" s="13">
        <f t="shared" si="233"/>
        <v>1</v>
      </c>
      <c r="AQ358" s="13">
        <f t="shared" si="233"/>
        <v>1</v>
      </c>
      <c r="AR358" s="13">
        <f t="shared" si="233"/>
        <v>1</v>
      </c>
      <c r="AS358" s="13">
        <f t="shared" si="233"/>
        <v>1</v>
      </c>
      <c r="AT358" s="13">
        <f t="shared" si="233"/>
        <v>1</v>
      </c>
      <c r="AU358" s="13">
        <f t="shared" si="233"/>
        <v>1</v>
      </c>
      <c r="AV358" s="13">
        <f t="shared" si="213"/>
        <v>0</v>
      </c>
      <c r="AW358" s="13">
        <f t="shared" si="214"/>
        <v>1</v>
      </c>
      <c r="AY358" s="17">
        <f t="shared" si="215"/>
        <v>268</v>
      </c>
      <c r="AZ358" s="28">
        <f t="shared" si="223"/>
        <v>0</v>
      </c>
      <c r="BA358" s="13">
        <f t="shared" si="216"/>
        <v>0</v>
      </c>
      <c r="BB358" s="13">
        <f t="shared" si="217"/>
        <v>0</v>
      </c>
      <c r="BC358" s="28">
        <f t="shared" si="224"/>
        <v>0</v>
      </c>
      <c r="BD358" s="28">
        <f t="shared" si="225"/>
        <v>0</v>
      </c>
      <c r="BF358" s="248">
        <f t="shared" si="226"/>
        <v>993869.29442638322</v>
      </c>
    </row>
    <row r="359" spans="1:58">
      <c r="A359" s="32">
        <f t="shared" si="227"/>
        <v>-184</v>
      </c>
      <c r="B359" s="32">
        <f t="shared" si="218"/>
        <v>75</v>
      </c>
      <c r="C359" s="32">
        <f t="shared" si="228"/>
        <v>23</v>
      </c>
      <c r="D359" s="32">
        <f t="shared" si="229"/>
        <v>269</v>
      </c>
      <c r="E359" s="74">
        <f>MIN(IF(AV359=0,0,
IF(Investment_Strategy="DIS",VLOOKUP(Investment_Strategy&amp;"_"&amp;Investment_Strategy_Sub1&amp;"_"&amp;$A359,'Investment Strategies'!$AZ:$BP,12,FALSE),
IF(AND(Investment_Strategy="Lifecycle",Investment_Strategy_Sub1="Non-Standard"),VLOOKUP(Investment_Strategy&amp;"_"&amp;Investment_Strategy_Sub2&amp;"_"&amp;$A359,'Investment Strategies'!$C:$P,9,FALSE),
IF(AND(Investment_Strategy="Lifecycle",Investment_Strategy_Sub1="Standard"),VLOOKUP(Investment_Strategy&amp;"_"&amp;Investment_Strategy_Sub2&amp;"_"&amp;$A359,'Investment Strategies'!$AJ:$AV,8,FALSE),
IF(AND(Investment_Strategy="Autopilot",Investment_Strategy_Sub1="Non-Standard"),VLOOKUP(Investment_Strategy&amp;"_"&amp;Investment_Strategy_Sub2&amp;"_"&amp;$A359,'Investment Strategies'!$T:$AF,8,FALSE),
IF(Investment_Strategy ="DIY",DIY_RateOfReturn_CurrentFunds,
"Error")))))),Max_InvReturn)</f>
        <v>0</v>
      </c>
      <c r="F359" s="62">
        <f>IF(AV359=0,0,
IF(Investment_Strategy="DIS",VLOOKUP(Investment_Strategy&amp;"_"&amp;Investment_Strategy_Sub1&amp;"_"&amp;$A359,'Investment Strategies'!$AZ:$BP,15,FALSE),
IF(AND(Investment_Strategy="Lifecycle",Investment_Strategy_Sub1="Non-Standard"),VLOOKUP(Investment_Strategy&amp;"_"&amp;Investment_Strategy_Sub2&amp;"_"&amp;$A359,'Investment Strategies'!$C:$P,12,FALSE),
IF(AND(Investment_Strategy="Lifecycle",Investment_Strategy_Sub1="Standard"),VLOOKUP(Investment_Strategy&amp;"_"&amp;Investment_Strategy_Sub2&amp;"_"&amp;$A359,'Investment Strategies'!$AJ:$AV,11,FALSE),
IF(AND(Investment_Strategy="Autopilot",Investment_Strategy_Sub1="Non-Standard"),VLOOKUP(Investment_Strategy&amp;"_"&amp;Investment_Strategy_Sub2&amp;"_"&amp;$A359,'Investment Strategies'!$T:$AF,11,FALSE),
IF(Investment_Strategy="DIY",DIY_GteeChrge_CurrentFunds,
"Error"))))))</f>
        <v>0</v>
      </c>
      <c r="G359" s="33">
        <f>IF(AV359=0,0,
IF(Investment_Strategy="DIS",VLOOKUP(Investment_Strategy&amp;"_"&amp;Investment_Strategy_Sub1&amp;"_"&amp;$A359,'Investment Strategies'!$AZ:$BP,17,FALSE),
IF(AND(Investment_Strategy="Lifecycle",Investment_Strategy_Sub1="Non-Standard"),VLOOKUP(Investment_Strategy&amp;"_"&amp;Investment_Strategy_Sub2&amp;"_"&amp;$A359,'Investment Strategies'!$C:$P,14,FALSE),
IF(AND(Investment_Strategy="Lifecycle",Investment_Strategy_Sub1="Standard"),VLOOKUP(Investment_Strategy&amp;"_"&amp;Investment_Strategy_Sub2&amp;"_"&amp;$A359,'Investment Strategies'!$AJ:$AV,13,FALSE),
IF(AND(Investment_Strategy="Autopilot",Investment_Strategy_Sub1="Non-Standard"),VLOOKUP(Investment_Strategy&amp;"_"&amp;Investment_Strategy_Sub2&amp;"_"&amp;$A359,'Investment Strategies'!$T:$AF,13,FALSE),
IF(Investment_Strategy="DIY",DIY_ExtManChrge_CurrentFunds,
"Error"))))))</f>
        <v>0</v>
      </c>
      <c r="H359" s="16">
        <f t="shared" si="219"/>
        <v>0</v>
      </c>
      <c r="I359" s="16">
        <f t="shared" si="205"/>
        <v>0</v>
      </c>
      <c r="J359" s="16">
        <f t="shared" si="206"/>
        <v>0</v>
      </c>
      <c r="K359" s="16">
        <f>(Opening_Fund_Value+SUM(K$91:K358))*E359*IF(D359=$A$91,SRP_finalmonthfactor,1)</f>
        <v>0</v>
      </c>
      <c r="L359" s="74">
        <f>MIN(IF($AV359=0,0,
IF(Investment_Strategy="DIS",VLOOKUP(Investment_Strategy&amp;"_"&amp;Investment_Strategy_Sub1&amp;"_"&amp;$A359,'Investment Strategies'!$AZ:$BP,12,FALSE),
IF(AND(Investment_Strategy="Lifecycle",Investment_Strategy_Sub1="Non-Standard"),VLOOKUP(Investment_Strategy&amp;"_"&amp;Investment_Strategy_Sub2&amp;"_"&amp;$A359,'Investment Strategies'!$C:$P,9,FALSE),
IF(AND(Investment_Strategy="Lifecycle",Investment_Strategy_Sub1="Standard"),VLOOKUP(Investment_Strategy&amp;"_"&amp;Investment_Strategy_Sub2&amp;"_"&amp;$A359,'Investment Strategies'!$AJ:$AV,8,FALSE),
IF(AND(Investment_Strategy="Autopilot",Investment_Strategy_Sub1="Non-Standard"),VLOOKUP(Investment_Strategy&amp;"_"&amp;Investment_Strategy_Sub2&amp;"_"&amp;$A359,'Investment Strategies'!$T:$AF,8,FALSE),
IF(Investment_Strategy ="DIY",DIY_RateofReturn_SP,
"Error")))))),Max_InvReturn)</f>
        <v>0</v>
      </c>
      <c r="M359" s="62">
        <f>IF($AV359=0,0,
IF(Investment_Strategy="DIS",VLOOKUP(Investment_Strategy&amp;"_"&amp;Investment_Strategy_Sub1&amp;"_"&amp;$A359,'Investment Strategies'!$AZ:$BP,15,FALSE),
IF(AND(Investment_Strategy="Lifecycle",Investment_Strategy_Sub1="Non-Standard"),VLOOKUP(Investment_Strategy&amp;"_"&amp;Investment_Strategy_Sub2&amp;"_"&amp;$A359,'Investment Strategies'!$C:$P,12,FALSE),
IF(AND(Investment_Strategy="Lifecycle",Investment_Strategy_Sub1="Standard"),VLOOKUP(Investment_Strategy&amp;"_"&amp;Investment_Strategy_Sub2&amp;"_"&amp;$A359,'Investment Strategies'!$AJ:$AV,11,FALSE),
IF(AND(Investment_Strategy="Autopilot",Investment_Strategy_Sub1="Non-Standard"),VLOOKUP(Investment_Strategy&amp;"_"&amp;Investment_Strategy_Sub2&amp;"_"&amp;$A359,'Investment Strategies'!$T:$AF,11,FALSE),
IF(Investment_Strategy="DIY",DIY_GteeChrge_SP,
"Error"))))))</f>
        <v>0</v>
      </c>
      <c r="N359" s="33">
        <f>IF($AV359=0,0,
IF(Investment_Strategy="DIS",VLOOKUP(Investment_Strategy&amp;"_"&amp;Investment_Strategy_Sub1&amp;"_"&amp;$A359,'Investment Strategies'!$AZ:$BP,17,FALSE),
IF(AND(Investment_Strategy="Lifecycle",Investment_Strategy_Sub1="Non-Standard"),VLOOKUP(Investment_Strategy&amp;"_"&amp;Investment_Strategy_Sub2&amp;"_"&amp;$A359,'Investment Strategies'!$C:$P,14,FALSE),
IF(AND(Investment_Strategy="Lifecycle",Investment_Strategy_Sub1="Standard"),VLOOKUP(Investment_Strategy&amp;"_"&amp;Investment_Strategy_Sub2&amp;"_"&amp;$A359,'Investment Strategies'!$AJ:$AV,13,FALSE),
IF(AND(Investment_Strategy="Autopilot",Investment_Strategy_Sub1="Non-Standard"),VLOOKUP(Investment_Strategy&amp;"_"&amp;Investment_Strategy_Sub2&amp;"_"&amp;$A359,'Investment Strategies'!$T:$AF,13,FALSE),
IF(Investment_Strategy="DIY",DIY_ExtManChrge_SP,
"Error"))))))</f>
        <v>0</v>
      </c>
      <c r="O359" s="16">
        <f t="shared" si="230"/>
        <v>0</v>
      </c>
      <c r="Q359" s="16">
        <f t="shared" si="207"/>
        <v>0</v>
      </c>
      <c r="R359" s="16">
        <f t="shared" si="203"/>
        <v>0</v>
      </c>
      <c r="S359" s="16">
        <f>(SRP_SP+SUM(S$91:S358))*L359*IF(D359=$A$91,SRP_finalmonthfactor,1)</f>
        <v>0</v>
      </c>
      <c r="T359" s="74">
        <f>MIN(IF($AV359=0,0,
IF(Investment_Strategy="DIS",VLOOKUP(Investment_Strategy&amp;"_"&amp;Investment_Strategy_Sub1&amp;"_"&amp;$A359,'Investment Strategies'!$AZ:$BP,12,FALSE),
IF(AND(Investment_Strategy="Lifecycle",Investment_Strategy_Sub1="Non-Standard"),VLOOKUP(Investment_Strategy&amp;"_"&amp;Investment_Strategy_Sub2&amp;"_"&amp;$A359,'Investment Strategies'!$C:$P,9,FALSE),
IF(AND(Investment_Strategy="Lifecycle",Investment_Strategy_Sub1="Standard"),VLOOKUP(Investment_Strategy&amp;"_"&amp;Investment_Strategy_Sub2&amp;"_"&amp;$A359,'Investment Strategies'!$AJ:$AV,8,FALSE),
IF(AND(Investment_Strategy="Autopilot",Investment_Strategy_Sub1="Non-Standard"),VLOOKUP(Investment_Strategy&amp;"_"&amp;Investment_Strategy_Sub2&amp;"_"&amp;$A359,'Investment Strategies'!$T:$AF,8,FALSE),
IF(Investment_Strategy ="DIY",DIY_RateOfReturn_FuturePremiums,
"Error")))))),Max_InvReturn)</f>
        <v>0</v>
      </c>
      <c r="U359" s="62">
        <f>IF($AV359=0,0,
IF(Investment_Strategy="DIS",VLOOKUP(Investment_Strategy&amp;"_"&amp;Investment_Strategy_Sub1&amp;"_"&amp;$A359,'Investment Strategies'!$AZ:$BP,15,FALSE),
IF(AND(Investment_Strategy="Lifecycle",Investment_Strategy_Sub1="Non-Standard"),VLOOKUP(Investment_Strategy&amp;"_"&amp;Investment_Strategy_Sub2&amp;"_"&amp;$A359,'Investment Strategies'!$C:$P,12,FALSE),
IF(AND(Investment_Strategy="Lifecycle",Investment_Strategy_Sub1="Standard"),VLOOKUP(Investment_Strategy&amp;"_"&amp;Investment_Strategy_Sub2&amp;"_"&amp;$A359,'Investment Strategies'!$AJ:$AV,11,FALSE),
IF(AND(Investment_Strategy="Autopilot",Investment_Strategy_Sub1="Non-Standard"),VLOOKUP(Investment_Strategy&amp;"_"&amp;Investment_Strategy_Sub2&amp;"_"&amp;$A359,'Investment Strategies'!$T:$AF,11,FALSE),
IF(Investment_Strategy="DIY",DIY_GteeChrge_FuturePremiums,
"Error"))))))</f>
        <v>0</v>
      </c>
      <c r="V359" s="33">
        <f>IF(AV359=0,0,
IF(Investment_Strategy="DIS",VLOOKUP(Investment_Strategy&amp;"_"&amp;Investment_Strategy_Sub1&amp;"_"&amp;$A359,'Investment Strategies'!$AZ:$BP,17,FALSE),
IF(AND(Investment_Strategy="Lifecycle",Investment_Strategy_Sub1="Non-Standard"),VLOOKUP(Investment_Strategy&amp;"_"&amp;Investment_Strategy_Sub2&amp;"_"&amp;$A359,'Investment Strategies'!$C:$P,14,FALSE),
IF(AND(Investment_Strategy="Lifecycle",Investment_Strategy_Sub1="Standard"),VLOOKUP(Investment_Strategy&amp;"_"&amp;Investment_Strategy_Sub2&amp;"_"&amp;$A359,'Investment Strategies'!$AJ:$AV,13,FALSE),
IF(AND(Investment_Strategy="Autopilot",Investment_Strategy_Sub1="Non-Standard"),VLOOKUP(Investment_Strategy&amp;"_"&amp;Investment_Strategy_Sub2&amp;"_"&amp;$A359,'Investment Strategies'!$T:$AF,13,FALSE),
IF(Investment_Strategy="DIY",DIY_ExtManChrge_FuturePremiums,
"Error"))))))</f>
        <v>0</v>
      </c>
      <c r="W359" s="16">
        <f t="shared" si="231"/>
        <v>0</v>
      </c>
      <c r="X359" s="16">
        <f t="shared" si="208"/>
        <v>0</v>
      </c>
      <c r="Y359" s="16">
        <f t="shared" si="209"/>
        <v>0</v>
      </c>
      <c r="Z359" s="31">
        <f t="shared" si="210"/>
        <v>0.02</v>
      </c>
      <c r="AA359" s="16">
        <f t="shared" si="211"/>
        <v>0</v>
      </c>
      <c r="AB359" s="28">
        <f t="shared" si="232"/>
        <v>0</v>
      </c>
      <c r="AC359" s="28">
        <f>(SUM($AC$91:AC358)+SUM($X$91:X358)+X359)*T359*IF(D359=$A$91,SRP_finalmonthfactor,1)</f>
        <v>0</v>
      </c>
      <c r="AD359" s="16">
        <f t="shared" si="212"/>
        <v>0</v>
      </c>
      <c r="AE359" s="106"/>
      <c r="AF359" s="16">
        <f t="shared" si="220"/>
        <v>0</v>
      </c>
      <c r="AG359" s="16">
        <f t="shared" si="221"/>
        <v>0</v>
      </c>
      <c r="AH359" s="16">
        <f t="shared" si="222"/>
        <v>0</v>
      </c>
      <c r="AJ359" s="13">
        <f t="shared" si="233"/>
        <v>0</v>
      </c>
      <c r="AK359" s="13">
        <f t="shared" si="233"/>
        <v>0</v>
      </c>
      <c r="AL359" s="13">
        <f t="shared" si="233"/>
        <v>0</v>
      </c>
      <c r="AM359" s="13">
        <f t="shared" si="233"/>
        <v>0</v>
      </c>
      <c r="AN359" s="13">
        <f t="shared" si="233"/>
        <v>0</v>
      </c>
      <c r="AO359" s="13">
        <f t="shared" si="233"/>
        <v>1</v>
      </c>
      <c r="AP359" s="13">
        <f t="shared" si="233"/>
        <v>1</v>
      </c>
      <c r="AQ359" s="13">
        <f t="shared" si="233"/>
        <v>1</v>
      </c>
      <c r="AR359" s="13">
        <f t="shared" si="233"/>
        <v>1</v>
      </c>
      <c r="AS359" s="13">
        <f t="shared" si="233"/>
        <v>1</v>
      </c>
      <c r="AT359" s="13">
        <f t="shared" si="233"/>
        <v>1</v>
      </c>
      <c r="AU359" s="13">
        <f t="shared" si="233"/>
        <v>1</v>
      </c>
      <c r="AV359" s="13">
        <f t="shared" si="213"/>
        <v>0</v>
      </c>
      <c r="AW359" s="13">
        <f t="shared" si="214"/>
        <v>1</v>
      </c>
      <c r="AY359" s="17">
        <f t="shared" si="215"/>
        <v>269</v>
      </c>
      <c r="AZ359" s="28">
        <f t="shared" si="223"/>
        <v>0</v>
      </c>
      <c r="BA359" s="13">
        <f t="shared" si="216"/>
        <v>0</v>
      </c>
      <c r="BB359" s="13">
        <f t="shared" si="217"/>
        <v>0</v>
      </c>
      <c r="BC359" s="28">
        <f t="shared" si="224"/>
        <v>0</v>
      </c>
      <c r="BD359" s="28">
        <f t="shared" si="225"/>
        <v>0</v>
      </c>
      <c r="BF359" s="248">
        <f t="shared" si="226"/>
        <v>993869.29442638322</v>
      </c>
    </row>
    <row r="360" spans="1:58">
      <c r="A360" s="32">
        <f t="shared" si="227"/>
        <v>-185</v>
      </c>
      <c r="B360" s="32">
        <f t="shared" si="218"/>
        <v>75</v>
      </c>
      <c r="C360" s="32">
        <f t="shared" si="228"/>
        <v>23</v>
      </c>
      <c r="D360" s="32">
        <f t="shared" si="229"/>
        <v>270</v>
      </c>
      <c r="E360" s="74">
        <f>MIN(IF(AV360=0,0,
IF(Investment_Strategy="DIS",VLOOKUP(Investment_Strategy&amp;"_"&amp;Investment_Strategy_Sub1&amp;"_"&amp;$A360,'Investment Strategies'!$AZ:$BP,12,FALSE),
IF(AND(Investment_Strategy="Lifecycle",Investment_Strategy_Sub1="Non-Standard"),VLOOKUP(Investment_Strategy&amp;"_"&amp;Investment_Strategy_Sub2&amp;"_"&amp;$A360,'Investment Strategies'!$C:$P,9,FALSE),
IF(AND(Investment_Strategy="Lifecycle",Investment_Strategy_Sub1="Standard"),VLOOKUP(Investment_Strategy&amp;"_"&amp;Investment_Strategy_Sub2&amp;"_"&amp;$A360,'Investment Strategies'!$AJ:$AV,8,FALSE),
IF(AND(Investment_Strategy="Autopilot",Investment_Strategy_Sub1="Non-Standard"),VLOOKUP(Investment_Strategy&amp;"_"&amp;Investment_Strategy_Sub2&amp;"_"&amp;$A360,'Investment Strategies'!$T:$AF,8,FALSE),
IF(Investment_Strategy ="DIY",DIY_RateOfReturn_CurrentFunds,
"Error")))))),Max_InvReturn)</f>
        <v>0</v>
      </c>
      <c r="F360" s="62">
        <f>IF(AV360=0,0,
IF(Investment_Strategy="DIS",VLOOKUP(Investment_Strategy&amp;"_"&amp;Investment_Strategy_Sub1&amp;"_"&amp;$A360,'Investment Strategies'!$AZ:$BP,15,FALSE),
IF(AND(Investment_Strategy="Lifecycle",Investment_Strategy_Sub1="Non-Standard"),VLOOKUP(Investment_Strategy&amp;"_"&amp;Investment_Strategy_Sub2&amp;"_"&amp;$A360,'Investment Strategies'!$C:$P,12,FALSE),
IF(AND(Investment_Strategy="Lifecycle",Investment_Strategy_Sub1="Standard"),VLOOKUP(Investment_Strategy&amp;"_"&amp;Investment_Strategy_Sub2&amp;"_"&amp;$A360,'Investment Strategies'!$AJ:$AV,11,FALSE),
IF(AND(Investment_Strategy="Autopilot",Investment_Strategy_Sub1="Non-Standard"),VLOOKUP(Investment_Strategy&amp;"_"&amp;Investment_Strategy_Sub2&amp;"_"&amp;$A360,'Investment Strategies'!$T:$AF,11,FALSE),
IF(Investment_Strategy="DIY",DIY_GteeChrge_CurrentFunds,
"Error"))))))</f>
        <v>0</v>
      </c>
      <c r="G360" s="33">
        <f>IF(AV360=0,0,
IF(Investment_Strategy="DIS",VLOOKUP(Investment_Strategy&amp;"_"&amp;Investment_Strategy_Sub1&amp;"_"&amp;$A360,'Investment Strategies'!$AZ:$BP,17,FALSE),
IF(AND(Investment_Strategy="Lifecycle",Investment_Strategy_Sub1="Non-Standard"),VLOOKUP(Investment_Strategy&amp;"_"&amp;Investment_Strategy_Sub2&amp;"_"&amp;$A360,'Investment Strategies'!$C:$P,14,FALSE),
IF(AND(Investment_Strategy="Lifecycle",Investment_Strategy_Sub1="Standard"),VLOOKUP(Investment_Strategy&amp;"_"&amp;Investment_Strategy_Sub2&amp;"_"&amp;$A360,'Investment Strategies'!$AJ:$AV,13,FALSE),
IF(AND(Investment_Strategy="Autopilot",Investment_Strategy_Sub1="Non-Standard"),VLOOKUP(Investment_Strategy&amp;"_"&amp;Investment_Strategy_Sub2&amp;"_"&amp;$A360,'Investment Strategies'!$T:$AF,13,FALSE),
IF(Investment_Strategy="DIY",DIY_ExtManChrge_CurrentFunds,
"Error"))))))</f>
        <v>0</v>
      </c>
      <c r="H360" s="16">
        <f t="shared" si="219"/>
        <v>0</v>
      </c>
      <c r="I360" s="16">
        <f t="shared" si="205"/>
        <v>0</v>
      </c>
      <c r="J360" s="16">
        <f t="shared" si="206"/>
        <v>0</v>
      </c>
      <c r="K360" s="16">
        <f>(Opening_Fund_Value+SUM(K$91:K359))*E360*IF(D360=$A$91,SRP_finalmonthfactor,1)</f>
        <v>0</v>
      </c>
      <c r="L360" s="74">
        <f>MIN(IF($AV360=0,0,
IF(Investment_Strategy="DIS",VLOOKUP(Investment_Strategy&amp;"_"&amp;Investment_Strategy_Sub1&amp;"_"&amp;$A360,'Investment Strategies'!$AZ:$BP,12,FALSE),
IF(AND(Investment_Strategy="Lifecycle",Investment_Strategy_Sub1="Non-Standard"),VLOOKUP(Investment_Strategy&amp;"_"&amp;Investment_Strategy_Sub2&amp;"_"&amp;$A360,'Investment Strategies'!$C:$P,9,FALSE),
IF(AND(Investment_Strategy="Lifecycle",Investment_Strategy_Sub1="Standard"),VLOOKUP(Investment_Strategy&amp;"_"&amp;Investment_Strategy_Sub2&amp;"_"&amp;$A360,'Investment Strategies'!$AJ:$AV,8,FALSE),
IF(AND(Investment_Strategy="Autopilot",Investment_Strategy_Sub1="Non-Standard"),VLOOKUP(Investment_Strategy&amp;"_"&amp;Investment_Strategy_Sub2&amp;"_"&amp;$A360,'Investment Strategies'!$T:$AF,8,FALSE),
IF(Investment_Strategy ="DIY",DIY_RateofReturn_SP,
"Error")))))),Max_InvReturn)</f>
        <v>0</v>
      </c>
      <c r="M360" s="62">
        <f>IF($AV360=0,0,
IF(Investment_Strategy="DIS",VLOOKUP(Investment_Strategy&amp;"_"&amp;Investment_Strategy_Sub1&amp;"_"&amp;$A360,'Investment Strategies'!$AZ:$BP,15,FALSE),
IF(AND(Investment_Strategy="Lifecycle",Investment_Strategy_Sub1="Non-Standard"),VLOOKUP(Investment_Strategy&amp;"_"&amp;Investment_Strategy_Sub2&amp;"_"&amp;$A360,'Investment Strategies'!$C:$P,12,FALSE),
IF(AND(Investment_Strategy="Lifecycle",Investment_Strategy_Sub1="Standard"),VLOOKUP(Investment_Strategy&amp;"_"&amp;Investment_Strategy_Sub2&amp;"_"&amp;$A360,'Investment Strategies'!$AJ:$AV,11,FALSE),
IF(AND(Investment_Strategy="Autopilot",Investment_Strategy_Sub1="Non-Standard"),VLOOKUP(Investment_Strategy&amp;"_"&amp;Investment_Strategy_Sub2&amp;"_"&amp;$A360,'Investment Strategies'!$T:$AF,11,FALSE),
IF(Investment_Strategy="DIY",DIY_GteeChrge_SP,
"Error"))))))</f>
        <v>0</v>
      </c>
      <c r="N360" s="33">
        <f>IF($AV360=0,0,
IF(Investment_Strategy="DIS",VLOOKUP(Investment_Strategy&amp;"_"&amp;Investment_Strategy_Sub1&amp;"_"&amp;$A360,'Investment Strategies'!$AZ:$BP,17,FALSE),
IF(AND(Investment_Strategy="Lifecycle",Investment_Strategy_Sub1="Non-Standard"),VLOOKUP(Investment_Strategy&amp;"_"&amp;Investment_Strategy_Sub2&amp;"_"&amp;$A360,'Investment Strategies'!$C:$P,14,FALSE),
IF(AND(Investment_Strategy="Lifecycle",Investment_Strategy_Sub1="Standard"),VLOOKUP(Investment_Strategy&amp;"_"&amp;Investment_Strategy_Sub2&amp;"_"&amp;$A360,'Investment Strategies'!$AJ:$AV,13,FALSE),
IF(AND(Investment_Strategy="Autopilot",Investment_Strategy_Sub1="Non-Standard"),VLOOKUP(Investment_Strategy&amp;"_"&amp;Investment_Strategy_Sub2&amp;"_"&amp;$A360,'Investment Strategies'!$T:$AF,13,FALSE),
IF(Investment_Strategy="DIY",DIY_ExtManChrge_SP,
"Error"))))))</f>
        <v>0</v>
      </c>
      <c r="O360" s="16">
        <f t="shared" si="230"/>
        <v>0</v>
      </c>
      <c r="Q360" s="16">
        <f t="shared" si="207"/>
        <v>0</v>
      </c>
      <c r="R360" s="16">
        <f t="shared" si="203"/>
        <v>0</v>
      </c>
      <c r="S360" s="16">
        <f>(SRP_SP+SUM(S$91:S359))*L360*IF(D360=$A$91,SRP_finalmonthfactor,1)</f>
        <v>0</v>
      </c>
      <c r="T360" s="74">
        <f>MIN(IF($AV360=0,0,
IF(Investment_Strategy="DIS",VLOOKUP(Investment_Strategy&amp;"_"&amp;Investment_Strategy_Sub1&amp;"_"&amp;$A360,'Investment Strategies'!$AZ:$BP,12,FALSE),
IF(AND(Investment_Strategy="Lifecycle",Investment_Strategy_Sub1="Non-Standard"),VLOOKUP(Investment_Strategy&amp;"_"&amp;Investment_Strategy_Sub2&amp;"_"&amp;$A360,'Investment Strategies'!$C:$P,9,FALSE),
IF(AND(Investment_Strategy="Lifecycle",Investment_Strategy_Sub1="Standard"),VLOOKUP(Investment_Strategy&amp;"_"&amp;Investment_Strategy_Sub2&amp;"_"&amp;$A360,'Investment Strategies'!$AJ:$AV,8,FALSE),
IF(AND(Investment_Strategy="Autopilot",Investment_Strategy_Sub1="Non-Standard"),VLOOKUP(Investment_Strategy&amp;"_"&amp;Investment_Strategy_Sub2&amp;"_"&amp;$A360,'Investment Strategies'!$T:$AF,8,FALSE),
IF(Investment_Strategy ="DIY",DIY_RateOfReturn_FuturePremiums,
"Error")))))),Max_InvReturn)</f>
        <v>0</v>
      </c>
      <c r="U360" s="62">
        <f>IF($AV360=0,0,
IF(Investment_Strategy="DIS",VLOOKUP(Investment_Strategy&amp;"_"&amp;Investment_Strategy_Sub1&amp;"_"&amp;$A360,'Investment Strategies'!$AZ:$BP,15,FALSE),
IF(AND(Investment_Strategy="Lifecycle",Investment_Strategy_Sub1="Non-Standard"),VLOOKUP(Investment_Strategy&amp;"_"&amp;Investment_Strategy_Sub2&amp;"_"&amp;$A360,'Investment Strategies'!$C:$P,12,FALSE),
IF(AND(Investment_Strategy="Lifecycle",Investment_Strategy_Sub1="Standard"),VLOOKUP(Investment_Strategy&amp;"_"&amp;Investment_Strategy_Sub2&amp;"_"&amp;$A360,'Investment Strategies'!$AJ:$AV,11,FALSE),
IF(AND(Investment_Strategy="Autopilot",Investment_Strategy_Sub1="Non-Standard"),VLOOKUP(Investment_Strategy&amp;"_"&amp;Investment_Strategy_Sub2&amp;"_"&amp;$A360,'Investment Strategies'!$T:$AF,11,FALSE),
IF(Investment_Strategy="DIY",DIY_GteeChrge_FuturePremiums,
"Error"))))))</f>
        <v>0</v>
      </c>
      <c r="V360" s="33">
        <f>IF(AV360=0,0,
IF(Investment_Strategy="DIS",VLOOKUP(Investment_Strategy&amp;"_"&amp;Investment_Strategy_Sub1&amp;"_"&amp;$A360,'Investment Strategies'!$AZ:$BP,17,FALSE),
IF(AND(Investment_Strategy="Lifecycle",Investment_Strategy_Sub1="Non-Standard"),VLOOKUP(Investment_Strategy&amp;"_"&amp;Investment_Strategy_Sub2&amp;"_"&amp;$A360,'Investment Strategies'!$C:$P,14,FALSE),
IF(AND(Investment_Strategy="Lifecycle",Investment_Strategy_Sub1="Standard"),VLOOKUP(Investment_Strategy&amp;"_"&amp;Investment_Strategy_Sub2&amp;"_"&amp;$A360,'Investment Strategies'!$AJ:$AV,13,FALSE),
IF(AND(Investment_Strategy="Autopilot",Investment_Strategy_Sub1="Non-Standard"),VLOOKUP(Investment_Strategy&amp;"_"&amp;Investment_Strategy_Sub2&amp;"_"&amp;$A360,'Investment Strategies'!$T:$AF,13,FALSE),
IF(Investment_Strategy="DIY",DIY_ExtManChrge_FuturePremiums,
"Error"))))))</f>
        <v>0</v>
      </c>
      <c r="W360" s="16">
        <f t="shared" si="231"/>
        <v>0</v>
      </c>
      <c r="X360" s="16">
        <f t="shared" si="208"/>
        <v>0</v>
      </c>
      <c r="Y360" s="16">
        <f t="shared" si="209"/>
        <v>0</v>
      </c>
      <c r="Z360" s="31">
        <f t="shared" si="210"/>
        <v>0.02</v>
      </c>
      <c r="AA360" s="16">
        <f t="shared" si="211"/>
        <v>0</v>
      </c>
      <c r="AB360" s="28">
        <f t="shared" si="232"/>
        <v>0</v>
      </c>
      <c r="AC360" s="28">
        <f>(SUM($AC$91:AC359)+SUM($X$91:X359)+X360)*T360*IF(D360=$A$91,SRP_finalmonthfactor,1)</f>
        <v>0</v>
      </c>
      <c r="AD360" s="16">
        <f t="shared" si="212"/>
        <v>0</v>
      </c>
      <c r="AE360" s="106"/>
      <c r="AF360" s="16">
        <f t="shared" si="220"/>
        <v>0</v>
      </c>
      <c r="AG360" s="16">
        <f t="shared" si="221"/>
        <v>0</v>
      </c>
      <c r="AH360" s="16">
        <f t="shared" si="222"/>
        <v>0</v>
      </c>
      <c r="AJ360" s="13">
        <f t="shared" si="233"/>
        <v>0</v>
      </c>
      <c r="AK360" s="13">
        <f t="shared" si="233"/>
        <v>0</v>
      </c>
      <c r="AL360" s="13">
        <f t="shared" si="233"/>
        <v>0</v>
      </c>
      <c r="AM360" s="13">
        <f t="shared" si="233"/>
        <v>0</v>
      </c>
      <c r="AN360" s="13">
        <f t="shared" si="233"/>
        <v>0</v>
      </c>
      <c r="AO360" s="13">
        <f t="shared" si="233"/>
        <v>1</v>
      </c>
      <c r="AP360" s="13">
        <f t="shared" si="233"/>
        <v>1</v>
      </c>
      <c r="AQ360" s="13">
        <f t="shared" si="233"/>
        <v>1</v>
      </c>
      <c r="AR360" s="13">
        <f t="shared" si="233"/>
        <v>1</v>
      </c>
      <c r="AS360" s="13">
        <f t="shared" si="233"/>
        <v>1</v>
      </c>
      <c r="AT360" s="13">
        <f t="shared" si="233"/>
        <v>1</v>
      </c>
      <c r="AU360" s="13">
        <f t="shared" si="233"/>
        <v>1</v>
      </c>
      <c r="AV360" s="13">
        <f t="shared" si="213"/>
        <v>0</v>
      </c>
      <c r="AW360" s="13">
        <f t="shared" si="214"/>
        <v>1</v>
      </c>
      <c r="AY360" s="17">
        <f t="shared" si="215"/>
        <v>270</v>
      </c>
      <c r="AZ360" s="28">
        <f t="shared" si="223"/>
        <v>0</v>
      </c>
      <c r="BA360" s="13">
        <f t="shared" si="216"/>
        <v>0</v>
      </c>
      <c r="BB360" s="13">
        <f t="shared" si="217"/>
        <v>0</v>
      </c>
      <c r="BC360" s="28">
        <f t="shared" si="224"/>
        <v>0</v>
      </c>
      <c r="BD360" s="28">
        <f t="shared" si="225"/>
        <v>0</v>
      </c>
      <c r="BF360" s="248">
        <f t="shared" si="226"/>
        <v>993869.29442638322</v>
      </c>
    </row>
    <row r="361" spans="1:58">
      <c r="A361" s="32">
        <f t="shared" si="227"/>
        <v>-186</v>
      </c>
      <c r="B361" s="32">
        <f t="shared" si="218"/>
        <v>75</v>
      </c>
      <c r="C361" s="32">
        <f t="shared" si="228"/>
        <v>23</v>
      </c>
      <c r="D361" s="32">
        <f t="shared" si="229"/>
        <v>271</v>
      </c>
      <c r="E361" s="74">
        <f>MIN(IF(AV361=0,0,
IF(Investment_Strategy="DIS",VLOOKUP(Investment_Strategy&amp;"_"&amp;Investment_Strategy_Sub1&amp;"_"&amp;$A361,'Investment Strategies'!$AZ:$BP,12,FALSE),
IF(AND(Investment_Strategy="Lifecycle",Investment_Strategy_Sub1="Non-Standard"),VLOOKUP(Investment_Strategy&amp;"_"&amp;Investment_Strategy_Sub2&amp;"_"&amp;$A361,'Investment Strategies'!$C:$P,9,FALSE),
IF(AND(Investment_Strategy="Lifecycle",Investment_Strategy_Sub1="Standard"),VLOOKUP(Investment_Strategy&amp;"_"&amp;Investment_Strategy_Sub2&amp;"_"&amp;$A361,'Investment Strategies'!$AJ:$AV,8,FALSE),
IF(AND(Investment_Strategy="Autopilot",Investment_Strategy_Sub1="Non-Standard"),VLOOKUP(Investment_Strategy&amp;"_"&amp;Investment_Strategy_Sub2&amp;"_"&amp;$A361,'Investment Strategies'!$T:$AF,8,FALSE),
IF(Investment_Strategy ="DIY",DIY_RateOfReturn_CurrentFunds,
"Error")))))),Max_InvReturn)</f>
        <v>0</v>
      </c>
      <c r="F361" s="62">
        <f>IF(AV361=0,0,
IF(Investment_Strategy="DIS",VLOOKUP(Investment_Strategy&amp;"_"&amp;Investment_Strategy_Sub1&amp;"_"&amp;$A361,'Investment Strategies'!$AZ:$BP,15,FALSE),
IF(AND(Investment_Strategy="Lifecycle",Investment_Strategy_Sub1="Non-Standard"),VLOOKUP(Investment_Strategy&amp;"_"&amp;Investment_Strategy_Sub2&amp;"_"&amp;$A361,'Investment Strategies'!$C:$P,12,FALSE),
IF(AND(Investment_Strategy="Lifecycle",Investment_Strategy_Sub1="Standard"),VLOOKUP(Investment_Strategy&amp;"_"&amp;Investment_Strategy_Sub2&amp;"_"&amp;$A361,'Investment Strategies'!$AJ:$AV,11,FALSE),
IF(AND(Investment_Strategy="Autopilot",Investment_Strategy_Sub1="Non-Standard"),VLOOKUP(Investment_Strategy&amp;"_"&amp;Investment_Strategy_Sub2&amp;"_"&amp;$A361,'Investment Strategies'!$T:$AF,11,FALSE),
IF(Investment_Strategy="DIY",DIY_GteeChrge_CurrentFunds,
"Error"))))))</f>
        <v>0</v>
      </c>
      <c r="G361" s="33">
        <f>IF(AV361=0,0,
IF(Investment_Strategy="DIS",VLOOKUP(Investment_Strategy&amp;"_"&amp;Investment_Strategy_Sub1&amp;"_"&amp;$A361,'Investment Strategies'!$AZ:$BP,17,FALSE),
IF(AND(Investment_Strategy="Lifecycle",Investment_Strategy_Sub1="Non-Standard"),VLOOKUP(Investment_Strategy&amp;"_"&amp;Investment_Strategy_Sub2&amp;"_"&amp;$A361,'Investment Strategies'!$C:$P,14,FALSE),
IF(AND(Investment_Strategy="Lifecycle",Investment_Strategy_Sub1="Standard"),VLOOKUP(Investment_Strategy&amp;"_"&amp;Investment_Strategy_Sub2&amp;"_"&amp;$A361,'Investment Strategies'!$AJ:$AV,13,FALSE),
IF(AND(Investment_Strategy="Autopilot",Investment_Strategy_Sub1="Non-Standard"),VLOOKUP(Investment_Strategy&amp;"_"&amp;Investment_Strategy_Sub2&amp;"_"&amp;$A361,'Investment Strategies'!$T:$AF,13,FALSE),
IF(Investment_Strategy="DIY",DIY_ExtManChrge_CurrentFunds,
"Error"))))))</f>
        <v>0</v>
      </c>
      <c r="H361" s="16">
        <f t="shared" si="219"/>
        <v>0</v>
      </c>
      <c r="I361" s="16">
        <f t="shared" si="205"/>
        <v>0</v>
      </c>
      <c r="J361" s="16">
        <f t="shared" si="206"/>
        <v>0</v>
      </c>
      <c r="K361" s="16">
        <f>(Opening_Fund_Value+SUM(K$91:K360))*E361*IF(D361=$A$91,SRP_finalmonthfactor,1)</f>
        <v>0</v>
      </c>
      <c r="L361" s="74">
        <f>MIN(IF($AV361=0,0,
IF(Investment_Strategy="DIS",VLOOKUP(Investment_Strategy&amp;"_"&amp;Investment_Strategy_Sub1&amp;"_"&amp;$A361,'Investment Strategies'!$AZ:$BP,12,FALSE),
IF(AND(Investment_Strategy="Lifecycle",Investment_Strategy_Sub1="Non-Standard"),VLOOKUP(Investment_Strategy&amp;"_"&amp;Investment_Strategy_Sub2&amp;"_"&amp;$A361,'Investment Strategies'!$C:$P,9,FALSE),
IF(AND(Investment_Strategy="Lifecycle",Investment_Strategy_Sub1="Standard"),VLOOKUP(Investment_Strategy&amp;"_"&amp;Investment_Strategy_Sub2&amp;"_"&amp;$A361,'Investment Strategies'!$AJ:$AV,8,FALSE),
IF(AND(Investment_Strategy="Autopilot",Investment_Strategy_Sub1="Non-Standard"),VLOOKUP(Investment_Strategy&amp;"_"&amp;Investment_Strategy_Sub2&amp;"_"&amp;$A361,'Investment Strategies'!$T:$AF,8,FALSE),
IF(Investment_Strategy ="DIY",DIY_RateofReturn_SP,
"Error")))))),Max_InvReturn)</f>
        <v>0</v>
      </c>
      <c r="M361" s="62">
        <f>IF($AV361=0,0,
IF(Investment_Strategy="DIS",VLOOKUP(Investment_Strategy&amp;"_"&amp;Investment_Strategy_Sub1&amp;"_"&amp;$A361,'Investment Strategies'!$AZ:$BP,15,FALSE),
IF(AND(Investment_Strategy="Lifecycle",Investment_Strategy_Sub1="Non-Standard"),VLOOKUP(Investment_Strategy&amp;"_"&amp;Investment_Strategy_Sub2&amp;"_"&amp;$A361,'Investment Strategies'!$C:$P,12,FALSE),
IF(AND(Investment_Strategy="Lifecycle",Investment_Strategy_Sub1="Standard"),VLOOKUP(Investment_Strategy&amp;"_"&amp;Investment_Strategy_Sub2&amp;"_"&amp;$A361,'Investment Strategies'!$AJ:$AV,11,FALSE),
IF(AND(Investment_Strategy="Autopilot",Investment_Strategy_Sub1="Non-Standard"),VLOOKUP(Investment_Strategy&amp;"_"&amp;Investment_Strategy_Sub2&amp;"_"&amp;$A361,'Investment Strategies'!$T:$AF,11,FALSE),
IF(Investment_Strategy="DIY",DIY_GteeChrge_SP,
"Error"))))))</f>
        <v>0</v>
      </c>
      <c r="N361" s="33">
        <f>IF($AV361=0,0,
IF(Investment_Strategy="DIS",VLOOKUP(Investment_Strategy&amp;"_"&amp;Investment_Strategy_Sub1&amp;"_"&amp;$A361,'Investment Strategies'!$AZ:$BP,17,FALSE),
IF(AND(Investment_Strategy="Lifecycle",Investment_Strategy_Sub1="Non-Standard"),VLOOKUP(Investment_Strategy&amp;"_"&amp;Investment_Strategy_Sub2&amp;"_"&amp;$A361,'Investment Strategies'!$C:$P,14,FALSE),
IF(AND(Investment_Strategy="Lifecycle",Investment_Strategy_Sub1="Standard"),VLOOKUP(Investment_Strategy&amp;"_"&amp;Investment_Strategy_Sub2&amp;"_"&amp;$A361,'Investment Strategies'!$AJ:$AV,13,FALSE),
IF(AND(Investment_Strategy="Autopilot",Investment_Strategy_Sub1="Non-Standard"),VLOOKUP(Investment_Strategy&amp;"_"&amp;Investment_Strategy_Sub2&amp;"_"&amp;$A361,'Investment Strategies'!$T:$AF,13,FALSE),
IF(Investment_Strategy="DIY",DIY_ExtManChrge_SP,
"Error"))))))</f>
        <v>0</v>
      </c>
      <c r="O361" s="16">
        <f t="shared" si="230"/>
        <v>0</v>
      </c>
      <c r="Q361" s="16">
        <f t="shared" si="207"/>
        <v>0</v>
      </c>
      <c r="R361" s="16">
        <f t="shared" si="203"/>
        <v>0</v>
      </c>
      <c r="S361" s="16">
        <f>(SRP_SP+SUM(S$91:S360))*L361*IF(D361=$A$91,SRP_finalmonthfactor,1)</f>
        <v>0</v>
      </c>
      <c r="T361" s="74">
        <f>MIN(IF($AV361=0,0,
IF(Investment_Strategy="DIS",VLOOKUP(Investment_Strategy&amp;"_"&amp;Investment_Strategy_Sub1&amp;"_"&amp;$A361,'Investment Strategies'!$AZ:$BP,12,FALSE),
IF(AND(Investment_Strategy="Lifecycle",Investment_Strategy_Sub1="Non-Standard"),VLOOKUP(Investment_Strategy&amp;"_"&amp;Investment_Strategy_Sub2&amp;"_"&amp;$A361,'Investment Strategies'!$C:$P,9,FALSE),
IF(AND(Investment_Strategy="Lifecycle",Investment_Strategy_Sub1="Standard"),VLOOKUP(Investment_Strategy&amp;"_"&amp;Investment_Strategy_Sub2&amp;"_"&amp;$A361,'Investment Strategies'!$AJ:$AV,8,FALSE),
IF(AND(Investment_Strategy="Autopilot",Investment_Strategy_Sub1="Non-Standard"),VLOOKUP(Investment_Strategy&amp;"_"&amp;Investment_Strategy_Sub2&amp;"_"&amp;$A361,'Investment Strategies'!$T:$AF,8,FALSE),
IF(Investment_Strategy ="DIY",DIY_RateOfReturn_FuturePremiums,
"Error")))))),Max_InvReturn)</f>
        <v>0</v>
      </c>
      <c r="U361" s="62">
        <f>IF($AV361=0,0,
IF(Investment_Strategy="DIS",VLOOKUP(Investment_Strategy&amp;"_"&amp;Investment_Strategy_Sub1&amp;"_"&amp;$A361,'Investment Strategies'!$AZ:$BP,15,FALSE),
IF(AND(Investment_Strategy="Lifecycle",Investment_Strategy_Sub1="Non-Standard"),VLOOKUP(Investment_Strategy&amp;"_"&amp;Investment_Strategy_Sub2&amp;"_"&amp;$A361,'Investment Strategies'!$C:$P,12,FALSE),
IF(AND(Investment_Strategy="Lifecycle",Investment_Strategy_Sub1="Standard"),VLOOKUP(Investment_Strategy&amp;"_"&amp;Investment_Strategy_Sub2&amp;"_"&amp;$A361,'Investment Strategies'!$AJ:$AV,11,FALSE),
IF(AND(Investment_Strategy="Autopilot",Investment_Strategy_Sub1="Non-Standard"),VLOOKUP(Investment_Strategy&amp;"_"&amp;Investment_Strategy_Sub2&amp;"_"&amp;$A361,'Investment Strategies'!$T:$AF,11,FALSE),
IF(Investment_Strategy="DIY",DIY_GteeChrge_FuturePremiums,
"Error"))))))</f>
        <v>0</v>
      </c>
      <c r="V361" s="33">
        <f>IF(AV361=0,0,
IF(Investment_Strategy="DIS",VLOOKUP(Investment_Strategy&amp;"_"&amp;Investment_Strategy_Sub1&amp;"_"&amp;$A361,'Investment Strategies'!$AZ:$BP,17,FALSE),
IF(AND(Investment_Strategy="Lifecycle",Investment_Strategy_Sub1="Non-Standard"),VLOOKUP(Investment_Strategy&amp;"_"&amp;Investment_Strategy_Sub2&amp;"_"&amp;$A361,'Investment Strategies'!$C:$P,14,FALSE),
IF(AND(Investment_Strategy="Lifecycle",Investment_Strategy_Sub1="Standard"),VLOOKUP(Investment_Strategy&amp;"_"&amp;Investment_Strategy_Sub2&amp;"_"&amp;$A361,'Investment Strategies'!$AJ:$AV,13,FALSE),
IF(AND(Investment_Strategy="Autopilot",Investment_Strategy_Sub1="Non-Standard"),VLOOKUP(Investment_Strategy&amp;"_"&amp;Investment_Strategy_Sub2&amp;"_"&amp;$A361,'Investment Strategies'!$T:$AF,13,FALSE),
IF(Investment_Strategy="DIY",DIY_ExtManChrge_FuturePremiums,
"Error"))))))</f>
        <v>0</v>
      </c>
      <c r="W361" s="16">
        <f t="shared" si="231"/>
        <v>0</v>
      </c>
      <c r="X361" s="16">
        <f t="shared" si="208"/>
        <v>0</v>
      </c>
      <c r="Y361" s="16">
        <f t="shared" si="209"/>
        <v>0</v>
      </c>
      <c r="Z361" s="31">
        <f t="shared" si="210"/>
        <v>0.02</v>
      </c>
      <c r="AA361" s="16">
        <f t="shared" si="211"/>
        <v>0</v>
      </c>
      <c r="AB361" s="28">
        <f t="shared" si="232"/>
        <v>0</v>
      </c>
      <c r="AC361" s="28">
        <f>(SUM($AC$91:AC360)+SUM($X$91:X360)+X361)*T361*IF(D361=$A$91,SRP_finalmonthfactor,1)</f>
        <v>0</v>
      </c>
      <c r="AD361" s="16">
        <f t="shared" si="212"/>
        <v>0</v>
      </c>
      <c r="AE361" s="106"/>
      <c r="AF361" s="16">
        <f t="shared" si="220"/>
        <v>0</v>
      </c>
      <c r="AG361" s="16">
        <f t="shared" si="221"/>
        <v>0</v>
      </c>
      <c r="AH361" s="16">
        <f t="shared" si="222"/>
        <v>0</v>
      </c>
      <c r="AJ361" s="13">
        <f t="shared" ref="AJ361:AU370" si="234">IF($C361&lt;=AJ$90,1,0)</f>
        <v>0</v>
      </c>
      <c r="AK361" s="13">
        <f t="shared" si="234"/>
        <v>0</v>
      </c>
      <c r="AL361" s="13">
        <f t="shared" si="234"/>
        <v>0</v>
      </c>
      <c r="AM361" s="13">
        <f t="shared" si="234"/>
        <v>0</v>
      </c>
      <c r="AN361" s="13">
        <f t="shared" si="234"/>
        <v>0</v>
      </c>
      <c r="AO361" s="13">
        <f t="shared" si="234"/>
        <v>1</v>
      </c>
      <c r="AP361" s="13">
        <f t="shared" si="234"/>
        <v>1</v>
      </c>
      <c r="AQ361" s="13">
        <f t="shared" si="234"/>
        <v>1</v>
      </c>
      <c r="AR361" s="13">
        <f t="shared" si="234"/>
        <v>1</v>
      </c>
      <c r="AS361" s="13">
        <f t="shared" si="234"/>
        <v>1</v>
      </c>
      <c r="AT361" s="13">
        <f t="shared" si="234"/>
        <v>1</v>
      </c>
      <c r="AU361" s="13">
        <f t="shared" si="234"/>
        <v>1</v>
      </c>
      <c r="AV361" s="13">
        <f t="shared" si="213"/>
        <v>0</v>
      </c>
      <c r="AW361" s="13">
        <f t="shared" si="214"/>
        <v>1</v>
      </c>
      <c r="AY361" s="17">
        <f t="shared" si="215"/>
        <v>271</v>
      </c>
      <c r="AZ361" s="28">
        <f t="shared" si="223"/>
        <v>0</v>
      </c>
      <c r="BA361" s="13">
        <f t="shared" si="216"/>
        <v>0</v>
      </c>
      <c r="BB361" s="13">
        <f t="shared" si="217"/>
        <v>0</v>
      </c>
      <c r="BC361" s="28">
        <f t="shared" si="224"/>
        <v>0</v>
      </c>
      <c r="BD361" s="28">
        <f t="shared" si="225"/>
        <v>0</v>
      </c>
      <c r="BF361" s="248">
        <f t="shared" si="226"/>
        <v>993869.29442638322</v>
      </c>
    </row>
    <row r="362" spans="1:58">
      <c r="A362" s="32">
        <f t="shared" si="227"/>
        <v>-187</v>
      </c>
      <c r="B362" s="32">
        <f t="shared" si="218"/>
        <v>75</v>
      </c>
      <c r="C362" s="32">
        <f t="shared" si="228"/>
        <v>23</v>
      </c>
      <c r="D362" s="32">
        <f t="shared" si="229"/>
        <v>272</v>
      </c>
      <c r="E362" s="74">
        <f>MIN(IF(AV362=0,0,
IF(Investment_Strategy="DIS",VLOOKUP(Investment_Strategy&amp;"_"&amp;Investment_Strategy_Sub1&amp;"_"&amp;$A362,'Investment Strategies'!$AZ:$BP,12,FALSE),
IF(AND(Investment_Strategy="Lifecycle",Investment_Strategy_Sub1="Non-Standard"),VLOOKUP(Investment_Strategy&amp;"_"&amp;Investment_Strategy_Sub2&amp;"_"&amp;$A362,'Investment Strategies'!$C:$P,9,FALSE),
IF(AND(Investment_Strategy="Lifecycle",Investment_Strategy_Sub1="Standard"),VLOOKUP(Investment_Strategy&amp;"_"&amp;Investment_Strategy_Sub2&amp;"_"&amp;$A362,'Investment Strategies'!$AJ:$AV,8,FALSE),
IF(AND(Investment_Strategy="Autopilot",Investment_Strategy_Sub1="Non-Standard"),VLOOKUP(Investment_Strategy&amp;"_"&amp;Investment_Strategy_Sub2&amp;"_"&amp;$A362,'Investment Strategies'!$T:$AF,8,FALSE),
IF(Investment_Strategy ="DIY",DIY_RateOfReturn_CurrentFunds,
"Error")))))),Max_InvReturn)</f>
        <v>0</v>
      </c>
      <c r="F362" s="62">
        <f>IF(AV362=0,0,
IF(Investment_Strategy="DIS",VLOOKUP(Investment_Strategy&amp;"_"&amp;Investment_Strategy_Sub1&amp;"_"&amp;$A362,'Investment Strategies'!$AZ:$BP,15,FALSE),
IF(AND(Investment_Strategy="Lifecycle",Investment_Strategy_Sub1="Non-Standard"),VLOOKUP(Investment_Strategy&amp;"_"&amp;Investment_Strategy_Sub2&amp;"_"&amp;$A362,'Investment Strategies'!$C:$P,12,FALSE),
IF(AND(Investment_Strategy="Lifecycle",Investment_Strategy_Sub1="Standard"),VLOOKUP(Investment_Strategy&amp;"_"&amp;Investment_Strategy_Sub2&amp;"_"&amp;$A362,'Investment Strategies'!$AJ:$AV,11,FALSE),
IF(AND(Investment_Strategy="Autopilot",Investment_Strategy_Sub1="Non-Standard"),VLOOKUP(Investment_Strategy&amp;"_"&amp;Investment_Strategy_Sub2&amp;"_"&amp;$A362,'Investment Strategies'!$T:$AF,11,FALSE),
IF(Investment_Strategy="DIY",DIY_GteeChrge_CurrentFunds,
"Error"))))))</f>
        <v>0</v>
      </c>
      <c r="G362" s="33">
        <f>IF(AV362=0,0,
IF(Investment_Strategy="DIS",VLOOKUP(Investment_Strategy&amp;"_"&amp;Investment_Strategy_Sub1&amp;"_"&amp;$A362,'Investment Strategies'!$AZ:$BP,17,FALSE),
IF(AND(Investment_Strategy="Lifecycle",Investment_Strategy_Sub1="Non-Standard"),VLOOKUP(Investment_Strategy&amp;"_"&amp;Investment_Strategy_Sub2&amp;"_"&amp;$A362,'Investment Strategies'!$C:$P,14,FALSE),
IF(AND(Investment_Strategy="Lifecycle",Investment_Strategy_Sub1="Standard"),VLOOKUP(Investment_Strategy&amp;"_"&amp;Investment_Strategy_Sub2&amp;"_"&amp;$A362,'Investment Strategies'!$AJ:$AV,13,FALSE),
IF(AND(Investment_Strategy="Autopilot",Investment_Strategy_Sub1="Non-Standard"),VLOOKUP(Investment_Strategy&amp;"_"&amp;Investment_Strategy_Sub2&amp;"_"&amp;$A362,'Investment Strategies'!$T:$AF,13,FALSE),
IF(Investment_Strategy="DIY",DIY_ExtManChrge_CurrentFunds,
"Error"))))))</f>
        <v>0</v>
      </c>
      <c r="H362" s="16">
        <f t="shared" si="219"/>
        <v>0</v>
      </c>
      <c r="I362" s="16">
        <f t="shared" si="205"/>
        <v>0</v>
      </c>
      <c r="J362" s="16">
        <f t="shared" si="206"/>
        <v>0</v>
      </c>
      <c r="K362" s="16">
        <f>(Opening_Fund_Value+SUM(K$91:K361))*E362*IF(D362=$A$91,SRP_finalmonthfactor,1)</f>
        <v>0</v>
      </c>
      <c r="L362" s="74">
        <f>MIN(IF($AV362=0,0,
IF(Investment_Strategy="DIS",VLOOKUP(Investment_Strategy&amp;"_"&amp;Investment_Strategy_Sub1&amp;"_"&amp;$A362,'Investment Strategies'!$AZ:$BP,12,FALSE),
IF(AND(Investment_Strategy="Lifecycle",Investment_Strategy_Sub1="Non-Standard"),VLOOKUP(Investment_Strategy&amp;"_"&amp;Investment_Strategy_Sub2&amp;"_"&amp;$A362,'Investment Strategies'!$C:$P,9,FALSE),
IF(AND(Investment_Strategy="Lifecycle",Investment_Strategy_Sub1="Standard"),VLOOKUP(Investment_Strategy&amp;"_"&amp;Investment_Strategy_Sub2&amp;"_"&amp;$A362,'Investment Strategies'!$AJ:$AV,8,FALSE),
IF(AND(Investment_Strategy="Autopilot",Investment_Strategy_Sub1="Non-Standard"),VLOOKUP(Investment_Strategy&amp;"_"&amp;Investment_Strategy_Sub2&amp;"_"&amp;$A362,'Investment Strategies'!$T:$AF,8,FALSE),
IF(Investment_Strategy ="DIY",DIY_RateofReturn_SP,
"Error")))))),Max_InvReturn)</f>
        <v>0</v>
      </c>
      <c r="M362" s="62">
        <f>IF($AV362=0,0,
IF(Investment_Strategy="DIS",VLOOKUP(Investment_Strategy&amp;"_"&amp;Investment_Strategy_Sub1&amp;"_"&amp;$A362,'Investment Strategies'!$AZ:$BP,15,FALSE),
IF(AND(Investment_Strategy="Lifecycle",Investment_Strategy_Sub1="Non-Standard"),VLOOKUP(Investment_Strategy&amp;"_"&amp;Investment_Strategy_Sub2&amp;"_"&amp;$A362,'Investment Strategies'!$C:$P,12,FALSE),
IF(AND(Investment_Strategy="Lifecycle",Investment_Strategy_Sub1="Standard"),VLOOKUP(Investment_Strategy&amp;"_"&amp;Investment_Strategy_Sub2&amp;"_"&amp;$A362,'Investment Strategies'!$AJ:$AV,11,FALSE),
IF(AND(Investment_Strategy="Autopilot",Investment_Strategy_Sub1="Non-Standard"),VLOOKUP(Investment_Strategy&amp;"_"&amp;Investment_Strategy_Sub2&amp;"_"&amp;$A362,'Investment Strategies'!$T:$AF,11,FALSE),
IF(Investment_Strategy="DIY",DIY_GteeChrge_SP,
"Error"))))))</f>
        <v>0</v>
      </c>
      <c r="N362" s="33">
        <f>IF($AV362=0,0,
IF(Investment_Strategy="DIS",VLOOKUP(Investment_Strategy&amp;"_"&amp;Investment_Strategy_Sub1&amp;"_"&amp;$A362,'Investment Strategies'!$AZ:$BP,17,FALSE),
IF(AND(Investment_Strategy="Lifecycle",Investment_Strategy_Sub1="Non-Standard"),VLOOKUP(Investment_Strategy&amp;"_"&amp;Investment_Strategy_Sub2&amp;"_"&amp;$A362,'Investment Strategies'!$C:$P,14,FALSE),
IF(AND(Investment_Strategy="Lifecycle",Investment_Strategy_Sub1="Standard"),VLOOKUP(Investment_Strategy&amp;"_"&amp;Investment_Strategy_Sub2&amp;"_"&amp;$A362,'Investment Strategies'!$AJ:$AV,13,FALSE),
IF(AND(Investment_Strategy="Autopilot",Investment_Strategy_Sub1="Non-Standard"),VLOOKUP(Investment_Strategy&amp;"_"&amp;Investment_Strategy_Sub2&amp;"_"&amp;$A362,'Investment Strategies'!$T:$AF,13,FALSE),
IF(Investment_Strategy="DIY",DIY_ExtManChrge_SP,
"Error"))))))</f>
        <v>0</v>
      </c>
      <c r="O362" s="16">
        <f t="shared" si="230"/>
        <v>0</v>
      </c>
      <c r="Q362" s="16">
        <f t="shared" si="207"/>
        <v>0</v>
      </c>
      <c r="R362" s="16">
        <f t="shared" si="203"/>
        <v>0</v>
      </c>
      <c r="S362" s="16">
        <f>(SRP_SP+SUM(S$91:S361))*L362*IF(D362=$A$91,SRP_finalmonthfactor,1)</f>
        <v>0</v>
      </c>
      <c r="T362" s="74">
        <f>MIN(IF($AV362=0,0,
IF(Investment_Strategy="DIS",VLOOKUP(Investment_Strategy&amp;"_"&amp;Investment_Strategy_Sub1&amp;"_"&amp;$A362,'Investment Strategies'!$AZ:$BP,12,FALSE),
IF(AND(Investment_Strategy="Lifecycle",Investment_Strategy_Sub1="Non-Standard"),VLOOKUP(Investment_Strategy&amp;"_"&amp;Investment_Strategy_Sub2&amp;"_"&amp;$A362,'Investment Strategies'!$C:$P,9,FALSE),
IF(AND(Investment_Strategy="Lifecycle",Investment_Strategy_Sub1="Standard"),VLOOKUP(Investment_Strategy&amp;"_"&amp;Investment_Strategy_Sub2&amp;"_"&amp;$A362,'Investment Strategies'!$AJ:$AV,8,FALSE),
IF(AND(Investment_Strategy="Autopilot",Investment_Strategy_Sub1="Non-Standard"),VLOOKUP(Investment_Strategy&amp;"_"&amp;Investment_Strategy_Sub2&amp;"_"&amp;$A362,'Investment Strategies'!$T:$AF,8,FALSE),
IF(Investment_Strategy ="DIY",DIY_RateOfReturn_FuturePremiums,
"Error")))))),Max_InvReturn)</f>
        <v>0</v>
      </c>
      <c r="U362" s="62">
        <f>IF($AV362=0,0,
IF(Investment_Strategy="DIS",VLOOKUP(Investment_Strategy&amp;"_"&amp;Investment_Strategy_Sub1&amp;"_"&amp;$A362,'Investment Strategies'!$AZ:$BP,15,FALSE),
IF(AND(Investment_Strategy="Lifecycle",Investment_Strategy_Sub1="Non-Standard"),VLOOKUP(Investment_Strategy&amp;"_"&amp;Investment_Strategy_Sub2&amp;"_"&amp;$A362,'Investment Strategies'!$C:$P,12,FALSE),
IF(AND(Investment_Strategy="Lifecycle",Investment_Strategy_Sub1="Standard"),VLOOKUP(Investment_Strategy&amp;"_"&amp;Investment_Strategy_Sub2&amp;"_"&amp;$A362,'Investment Strategies'!$AJ:$AV,11,FALSE),
IF(AND(Investment_Strategy="Autopilot",Investment_Strategy_Sub1="Non-Standard"),VLOOKUP(Investment_Strategy&amp;"_"&amp;Investment_Strategy_Sub2&amp;"_"&amp;$A362,'Investment Strategies'!$T:$AF,11,FALSE),
IF(Investment_Strategy="DIY",DIY_GteeChrge_FuturePremiums,
"Error"))))))</f>
        <v>0</v>
      </c>
      <c r="V362" s="33">
        <f>IF(AV362=0,0,
IF(Investment_Strategy="DIS",VLOOKUP(Investment_Strategy&amp;"_"&amp;Investment_Strategy_Sub1&amp;"_"&amp;$A362,'Investment Strategies'!$AZ:$BP,17,FALSE),
IF(AND(Investment_Strategy="Lifecycle",Investment_Strategy_Sub1="Non-Standard"),VLOOKUP(Investment_Strategy&amp;"_"&amp;Investment_Strategy_Sub2&amp;"_"&amp;$A362,'Investment Strategies'!$C:$P,14,FALSE),
IF(AND(Investment_Strategy="Lifecycle",Investment_Strategy_Sub1="Standard"),VLOOKUP(Investment_Strategy&amp;"_"&amp;Investment_Strategy_Sub2&amp;"_"&amp;$A362,'Investment Strategies'!$AJ:$AV,13,FALSE),
IF(AND(Investment_Strategy="Autopilot",Investment_Strategy_Sub1="Non-Standard"),VLOOKUP(Investment_Strategy&amp;"_"&amp;Investment_Strategy_Sub2&amp;"_"&amp;$A362,'Investment Strategies'!$T:$AF,13,FALSE),
IF(Investment_Strategy="DIY",DIY_ExtManChrge_FuturePremiums,
"Error"))))))</f>
        <v>0</v>
      </c>
      <c r="W362" s="16">
        <f t="shared" si="231"/>
        <v>0</v>
      </c>
      <c r="X362" s="16">
        <f t="shared" si="208"/>
        <v>0</v>
      </c>
      <c r="Y362" s="16">
        <f t="shared" si="209"/>
        <v>0</v>
      </c>
      <c r="Z362" s="31">
        <f t="shared" si="210"/>
        <v>0.02</v>
      </c>
      <c r="AA362" s="16">
        <f t="shared" si="211"/>
        <v>0</v>
      </c>
      <c r="AB362" s="28">
        <f t="shared" si="232"/>
        <v>0</v>
      </c>
      <c r="AC362" s="28">
        <f>(SUM($AC$91:AC361)+SUM($X$91:X361)+X362)*T362*IF(D362=$A$91,SRP_finalmonthfactor,1)</f>
        <v>0</v>
      </c>
      <c r="AD362" s="16">
        <f t="shared" si="212"/>
        <v>0</v>
      </c>
      <c r="AE362" s="106"/>
      <c r="AF362" s="16">
        <f t="shared" si="220"/>
        <v>0</v>
      </c>
      <c r="AG362" s="16">
        <f t="shared" si="221"/>
        <v>0</v>
      </c>
      <c r="AH362" s="16">
        <f t="shared" si="222"/>
        <v>0</v>
      </c>
      <c r="AJ362" s="13">
        <f t="shared" si="234"/>
        <v>0</v>
      </c>
      <c r="AK362" s="13">
        <f t="shared" si="234"/>
        <v>0</v>
      </c>
      <c r="AL362" s="13">
        <f t="shared" si="234"/>
        <v>0</v>
      </c>
      <c r="AM362" s="13">
        <f t="shared" si="234"/>
        <v>0</v>
      </c>
      <c r="AN362" s="13">
        <f t="shared" si="234"/>
        <v>0</v>
      </c>
      <c r="AO362" s="13">
        <f t="shared" si="234"/>
        <v>1</v>
      </c>
      <c r="AP362" s="13">
        <f t="shared" si="234"/>
        <v>1</v>
      </c>
      <c r="AQ362" s="13">
        <f t="shared" si="234"/>
        <v>1</v>
      </c>
      <c r="AR362" s="13">
        <f t="shared" si="234"/>
        <v>1</v>
      </c>
      <c r="AS362" s="13">
        <f t="shared" si="234"/>
        <v>1</v>
      </c>
      <c r="AT362" s="13">
        <f t="shared" si="234"/>
        <v>1</v>
      </c>
      <c r="AU362" s="13">
        <f t="shared" si="234"/>
        <v>1</v>
      </c>
      <c r="AV362" s="13">
        <f t="shared" si="213"/>
        <v>0</v>
      </c>
      <c r="AW362" s="13">
        <f t="shared" si="214"/>
        <v>1</v>
      </c>
      <c r="AY362" s="17">
        <f t="shared" si="215"/>
        <v>272</v>
      </c>
      <c r="AZ362" s="28">
        <f t="shared" si="223"/>
        <v>0</v>
      </c>
      <c r="BA362" s="13">
        <f t="shared" si="216"/>
        <v>0</v>
      </c>
      <c r="BB362" s="13">
        <f t="shared" si="217"/>
        <v>0</v>
      </c>
      <c r="BC362" s="28">
        <f t="shared" si="224"/>
        <v>0</v>
      </c>
      <c r="BD362" s="28">
        <f t="shared" si="225"/>
        <v>0</v>
      </c>
      <c r="BF362" s="248">
        <f t="shared" si="226"/>
        <v>993869.29442638322</v>
      </c>
    </row>
    <row r="363" spans="1:58">
      <c r="A363" s="32">
        <f t="shared" si="227"/>
        <v>-188</v>
      </c>
      <c r="B363" s="32">
        <f t="shared" si="218"/>
        <v>75</v>
      </c>
      <c r="C363" s="32">
        <f t="shared" si="228"/>
        <v>23</v>
      </c>
      <c r="D363" s="32">
        <f t="shared" si="229"/>
        <v>273</v>
      </c>
      <c r="E363" s="74">
        <f>MIN(IF(AV363=0,0,
IF(Investment_Strategy="DIS",VLOOKUP(Investment_Strategy&amp;"_"&amp;Investment_Strategy_Sub1&amp;"_"&amp;$A363,'Investment Strategies'!$AZ:$BP,12,FALSE),
IF(AND(Investment_Strategy="Lifecycle",Investment_Strategy_Sub1="Non-Standard"),VLOOKUP(Investment_Strategy&amp;"_"&amp;Investment_Strategy_Sub2&amp;"_"&amp;$A363,'Investment Strategies'!$C:$P,9,FALSE),
IF(AND(Investment_Strategy="Lifecycle",Investment_Strategy_Sub1="Standard"),VLOOKUP(Investment_Strategy&amp;"_"&amp;Investment_Strategy_Sub2&amp;"_"&amp;$A363,'Investment Strategies'!$AJ:$AV,8,FALSE),
IF(AND(Investment_Strategy="Autopilot",Investment_Strategy_Sub1="Non-Standard"),VLOOKUP(Investment_Strategy&amp;"_"&amp;Investment_Strategy_Sub2&amp;"_"&amp;$A363,'Investment Strategies'!$T:$AF,8,FALSE),
IF(Investment_Strategy ="DIY",DIY_RateOfReturn_CurrentFunds,
"Error")))))),Max_InvReturn)</f>
        <v>0</v>
      </c>
      <c r="F363" s="62">
        <f>IF(AV363=0,0,
IF(Investment_Strategy="DIS",VLOOKUP(Investment_Strategy&amp;"_"&amp;Investment_Strategy_Sub1&amp;"_"&amp;$A363,'Investment Strategies'!$AZ:$BP,15,FALSE),
IF(AND(Investment_Strategy="Lifecycle",Investment_Strategy_Sub1="Non-Standard"),VLOOKUP(Investment_Strategy&amp;"_"&amp;Investment_Strategy_Sub2&amp;"_"&amp;$A363,'Investment Strategies'!$C:$P,12,FALSE),
IF(AND(Investment_Strategy="Lifecycle",Investment_Strategy_Sub1="Standard"),VLOOKUP(Investment_Strategy&amp;"_"&amp;Investment_Strategy_Sub2&amp;"_"&amp;$A363,'Investment Strategies'!$AJ:$AV,11,FALSE),
IF(AND(Investment_Strategy="Autopilot",Investment_Strategy_Sub1="Non-Standard"),VLOOKUP(Investment_Strategy&amp;"_"&amp;Investment_Strategy_Sub2&amp;"_"&amp;$A363,'Investment Strategies'!$T:$AF,11,FALSE),
IF(Investment_Strategy="DIY",DIY_GteeChrge_CurrentFunds,
"Error"))))))</f>
        <v>0</v>
      </c>
      <c r="G363" s="33">
        <f>IF(AV363=0,0,
IF(Investment_Strategy="DIS",VLOOKUP(Investment_Strategy&amp;"_"&amp;Investment_Strategy_Sub1&amp;"_"&amp;$A363,'Investment Strategies'!$AZ:$BP,17,FALSE),
IF(AND(Investment_Strategy="Lifecycle",Investment_Strategy_Sub1="Non-Standard"),VLOOKUP(Investment_Strategy&amp;"_"&amp;Investment_Strategy_Sub2&amp;"_"&amp;$A363,'Investment Strategies'!$C:$P,14,FALSE),
IF(AND(Investment_Strategy="Lifecycle",Investment_Strategy_Sub1="Standard"),VLOOKUP(Investment_Strategy&amp;"_"&amp;Investment_Strategy_Sub2&amp;"_"&amp;$A363,'Investment Strategies'!$AJ:$AV,13,FALSE),
IF(AND(Investment_Strategy="Autopilot",Investment_Strategy_Sub1="Non-Standard"),VLOOKUP(Investment_Strategy&amp;"_"&amp;Investment_Strategy_Sub2&amp;"_"&amp;$A363,'Investment Strategies'!$T:$AF,13,FALSE),
IF(Investment_Strategy="DIY",DIY_ExtManChrge_CurrentFunds,
"Error"))))))</f>
        <v>0</v>
      </c>
      <c r="H363" s="16">
        <f t="shared" si="219"/>
        <v>0</v>
      </c>
      <c r="I363" s="16">
        <f t="shared" si="205"/>
        <v>0</v>
      </c>
      <c r="J363" s="16">
        <f t="shared" si="206"/>
        <v>0</v>
      </c>
      <c r="K363" s="16">
        <f>(Opening_Fund_Value+SUM(K$91:K362))*E363*IF(D363=$A$91,SRP_finalmonthfactor,1)</f>
        <v>0</v>
      </c>
      <c r="L363" s="74">
        <f>MIN(IF($AV363=0,0,
IF(Investment_Strategy="DIS",VLOOKUP(Investment_Strategy&amp;"_"&amp;Investment_Strategy_Sub1&amp;"_"&amp;$A363,'Investment Strategies'!$AZ:$BP,12,FALSE),
IF(AND(Investment_Strategy="Lifecycle",Investment_Strategy_Sub1="Non-Standard"),VLOOKUP(Investment_Strategy&amp;"_"&amp;Investment_Strategy_Sub2&amp;"_"&amp;$A363,'Investment Strategies'!$C:$P,9,FALSE),
IF(AND(Investment_Strategy="Lifecycle",Investment_Strategy_Sub1="Standard"),VLOOKUP(Investment_Strategy&amp;"_"&amp;Investment_Strategy_Sub2&amp;"_"&amp;$A363,'Investment Strategies'!$AJ:$AV,8,FALSE),
IF(AND(Investment_Strategy="Autopilot",Investment_Strategy_Sub1="Non-Standard"),VLOOKUP(Investment_Strategy&amp;"_"&amp;Investment_Strategy_Sub2&amp;"_"&amp;$A363,'Investment Strategies'!$T:$AF,8,FALSE),
IF(Investment_Strategy ="DIY",DIY_RateofReturn_SP,
"Error")))))),Max_InvReturn)</f>
        <v>0</v>
      </c>
      <c r="M363" s="62">
        <f>IF($AV363=0,0,
IF(Investment_Strategy="DIS",VLOOKUP(Investment_Strategy&amp;"_"&amp;Investment_Strategy_Sub1&amp;"_"&amp;$A363,'Investment Strategies'!$AZ:$BP,15,FALSE),
IF(AND(Investment_Strategy="Lifecycle",Investment_Strategy_Sub1="Non-Standard"),VLOOKUP(Investment_Strategy&amp;"_"&amp;Investment_Strategy_Sub2&amp;"_"&amp;$A363,'Investment Strategies'!$C:$P,12,FALSE),
IF(AND(Investment_Strategy="Lifecycle",Investment_Strategy_Sub1="Standard"),VLOOKUP(Investment_Strategy&amp;"_"&amp;Investment_Strategy_Sub2&amp;"_"&amp;$A363,'Investment Strategies'!$AJ:$AV,11,FALSE),
IF(AND(Investment_Strategy="Autopilot",Investment_Strategy_Sub1="Non-Standard"),VLOOKUP(Investment_Strategy&amp;"_"&amp;Investment_Strategy_Sub2&amp;"_"&amp;$A363,'Investment Strategies'!$T:$AF,11,FALSE),
IF(Investment_Strategy="DIY",DIY_GteeChrge_SP,
"Error"))))))</f>
        <v>0</v>
      </c>
      <c r="N363" s="33">
        <f>IF($AV363=0,0,
IF(Investment_Strategy="DIS",VLOOKUP(Investment_Strategy&amp;"_"&amp;Investment_Strategy_Sub1&amp;"_"&amp;$A363,'Investment Strategies'!$AZ:$BP,17,FALSE),
IF(AND(Investment_Strategy="Lifecycle",Investment_Strategy_Sub1="Non-Standard"),VLOOKUP(Investment_Strategy&amp;"_"&amp;Investment_Strategy_Sub2&amp;"_"&amp;$A363,'Investment Strategies'!$C:$P,14,FALSE),
IF(AND(Investment_Strategy="Lifecycle",Investment_Strategy_Sub1="Standard"),VLOOKUP(Investment_Strategy&amp;"_"&amp;Investment_Strategy_Sub2&amp;"_"&amp;$A363,'Investment Strategies'!$AJ:$AV,13,FALSE),
IF(AND(Investment_Strategy="Autopilot",Investment_Strategy_Sub1="Non-Standard"),VLOOKUP(Investment_Strategy&amp;"_"&amp;Investment_Strategy_Sub2&amp;"_"&amp;$A363,'Investment Strategies'!$T:$AF,13,FALSE),
IF(Investment_Strategy="DIY",DIY_ExtManChrge_SP,
"Error"))))))</f>
        <v>0</v>
      </c>
      <c r="O363" s="16">
        <f t="shared" si="230"/>
        <v>0</v>
      </c>
      <c r="Q363" s="16">
        <f t="shared" si="207"/>
        <v>0</v>
      </c>
      <c r="R363" s="16">
        <f t="shared" si="203"/>
        <v>0</v>
      </c>
      <c r="S363" s="16">
        <f>(SRP_SP+SUM(S$91:S362))*L363*IF(D363=$A$91,SRP_finalmonthfactor,1)</f>
        <v>0</v>
      </c>
      <c r="T363" s="74">
        <f>MIN(IF($AV363=0,0,
IF(Investment_Strategy="DIS",VLOOKUP(Investment_Strategy&amp;"_"&amp;Investment_Strategy_Sub1&amp;"_"&amp;$A363,'Investment Strategies'!$AZ:$BP,12,FALSE),
IF(AND(Investment_Strategy="Lifecycle",Investment_Strategy_Sub1="Non-Standard"),VLOOKUP(Investment_Strategy&amp;"_"&amp;Investment_Strategy_Sub2&amp;"_"&amp;$A363,'Investment Strategies'!$C:$P,9,FALSE),
IF(AND(Investment_Strategy="Lifecycle",Investment_Strategy_Sub1="Standard"),VLOOKUP(Investment_Strategy&amp;"_"&amp;Investment_Strategy_Sub2&amp;"_"&amp;$A363,'Investment Strategies'!$AJ:$AV,8,FALSE),
IF(AND(Investment_Strategy="Autopilot",Investment_Strategy_Sub1="Non-Standard"),VLOOKUP(Investment_Strategy&amp;"_"&amp;Investment_Strategy_Sub2&amp;"_"&amp;$A363,'Investment Strategies'!$T:$AF,8,FALSE),
IF(Investment_Strategy ="DIY",DIY_RateOfReturn_FuturePremiums,
"Error")))))),Max_InvReturn)</f>
        <v>0</v>
      </c>
      <c r="U363" s="62">
        <f>IF($AV363=0,0,
IF(Investment_Strategy="DIS",VLOOKUP(Investment_Strategy&amp;"_"&amp;Investment_Strategy_Sub1&amp;"_"&amp;$A363,'Investment Strategies'!$AZ:$BP,15,FALSE),
IF(AND(Investment_Strategy="Lifecycle",Investment_Strategy_Sub1="Non-Standard"),VLOOKUP(Investment_Strategy&amp;"_"&amp;Investment_Strategy_Sub2&amp;"_"&amp;$A363,'Investment Strategies'!$C:$P,12,FALSE),
IF(AND(Investment_Strategy="Lifecycle",Investment_Strategy_Sub1="Standard"),VLOOKUP(Investment_Strategy&amp;"_"&amp;Investment_Strategy_Sub2&amp;"_"&amp;$A363,'Investment Strategies'!$AJ:$AV,11,FALSE),
IF(AND(Investment_Strategy="Autopilot",Investment_Strategy_Sub1="Non-Standard"),VLOOKUP(Investment_Strategy&amp;"_"&amp;Investment_Strategy_Sub2&amp;"_"&amp;$A363,'Investment Strategies'!$T:$AF,11,FALSE),
IF(Investment_Strategy="DIY",DIY_GteeChrge_FuturePremiums,
"Error"))))))</f>
        <v>0</v>
      </c>
      <c r="V363" s="33">
        <f>IF(AV363=0,0,
IF(Investment_Strategy="DIS",VLOOKUP(Investment_Strategy&amp;"_"&amp;Investment_Strategy_Sub1&amp;"_"&amp;$A363,'Investment Strategies'!$AZ:$BP,17,FALSE),
IF(AND(Investment_Strategy="Lifecycle",Investment_Strategy_Sub1="Non-Standard"),VLOOKUP(Investment_Strategy&amp;"_"&amp;Investment_Strategy_Sub2&amp;"_"&amp;$A363,'Investment Strategies'!$C:$P,14,FALSE),
IF(AND(Investment_Strategy="Lifecycle",Investment_Strategy_Sub1="Standard"),VLOOKUP(Investment_Strategy&amp;"_"&amp;Investment_Strategy_Sub2&amp;"_"&amp;$A363,'Investment Strategies'!$AJ:$AV,13,FALSE),
IF(AND(Investment_Strategy="Autopilot",Investment_Strategy_Sub1="Non-Standard"),VLOOKUP(Investment_Strategy&amp;"_"&amp;Investment_Strategy_Sub2&amp;"_"&amp;$A363,'Investment Strategies'!$T:$AF,13,FALSE),
IF(Investment_Strategy="DIY",DIY_ExtManChrge_FuturePremiums,
"Error"))))))</f>
        <v>0</v>
      </c>
      <c r="W363" s="16">
        <f t="shared" si="231"/>
        <v>0</v>
      </c>
      <c r="X363" s="16">
        <f t="shared" si="208"/>
        <v>0</v>
      </c>
      <c r="Y363" s="16">
        <f t="shared" si="209"/>
        <v>0</v>
      </c>
      <c r="Z363" s="31">
        <f t="shared" si="210"/>
        <v>0.02</v>
      </c>
      <c r="AA363" s="16">
        <f t="shared" si="211"/>
        <v>0</v>
      </c>
      <c r="AB363" s="28">
        <f t="shared" si="232"/>
        <v>0</v>
      </c>
      <c r="AC363" s="28">
        <f>(SUM($AC$91:AC362)+SUM($X$91:X362)+X363)*T363*IF(D363=$A$91,SRP_finalmonthfactor,1)</f>
        <v>0</v>
      </c>
      <c r="AD363" s="16">
        <f t="shared" si="212"/>
        <v>0</v>
      </c>
      <c r="AE363" s="106"/>
      <c r="AF363" s="16">
        <f t="shared" si="220"/>
        <v>0</v>
      </c>
      <c r="AG363" s="16">
        <f t="shared" si="221"/>
        <v>0</v>
      </c>
      <c r="AH363" s="16">
        <f t="shared" si="222"/>
        <v>0</v>
      </c>
      <c r="AJ363" s="13">
        <f t="shared" si="234"/>
        <v>0</v>
      </c>
      <c r="AK363" s="13">
        <f t="shared" si="234"/>
        <v>0</v>
      </c>
      <c r="AL363" s="13">
        <f t="shared" si="234"/>
        <v>0</v>
      </c>
      <c r="AM363" s="13">
        <f t="shared" si="234"/>
        <v>0</v>
      </c>
      <c r="AN363" s="13">
        <f t="shared" si="234"/>
        <v>0</v>
      </c>
      <c r="AO363" s="13">
        <f t="shared" si="234"/>
        <v>1</v>
      </c>
      <c r="AP363" s="13">
        <f t="shared" si="234"/>
        <v>1</v>
      </c>
      <c r="AQ363" s="13">
        <f t="shared" si="234"/>
        <v>1</v>
      </c>
      <c r="AR363" s="13">
        <f t="shared" si="234"/>
        <v>1</v>
      </c>
      <c r="AS363" s="13">
        <f t="shared" si="234"/>
        <v>1</v>
      </c>
      <c r="AT363" s="13">
        <f t="shared" si="234"/>
        <v>1</v>
      </c>
      <c r="AU363" s="13">
        <f t="shared" si="234"/>
        <v>1</v>
      </c>
      <c r="AV363" s="13">
        <f t="shared" si="213"/>
        <v>0</v>
      </c>
      <c r="AW363" s="13">
        <f t="shared" si="214"/>
        <v>1</v>
      </c>
      <c r="AY363" s="17">
        <f t="shared" si="215"/>
        <v>273</v>
      </c>
      <c r="AZ363" s="28">
        <f t="shared" si="223"/>
        <v>0</v>
      </c>
      <c r="BA363" s="13">
        <f t="shared" si="216"/>
        <v>0</v>
      </c>
      <c r="BB363" s="13">
        <f t="shared" si="217"/>
        <v>0</v>
      </c>
      <c r="BC363" s="28">
        <f t="shared" si="224"/>
        <v>0</v>
      </c>
      <c r="BD363" s="28">
        <f t="shared" si="225"/>
        <v>0</v>
      </c>
      <c r="BF363" s="248">
        <f t="shared" si="226"/>
        <v>993869.29442638322</v>
      </c>
    </row>
    <row r="364" spans="1:58">
      <c r="A364" s="32">
        <f t="shared" si="227"/>
        <v>-189</v>
      </c>
      <c r="B364" s="32">
        <f t="shared" si="218"/>
        <v>75</v>
      </c>
      <c r="C364" s="32">
        <f t="shared" si="228"/>
        <v>23</v>
      </c>
      <c r="D364" s="32">
        <f t="shared" si="229"/>
        <v>274</v>
      </c>
      <c r="E364" s="74">
        <f>MIN(IF(AV364=0,0,
IF(Investment_Strategy="DIS",VLOOKUP(Investment_Strategy&amp;"_"&amp;Investment_Strategy_Sub1&amp;"_"&amp;$A364,'Investment Strategies'!$AZ:$BP,12,FALSE),
IF(AND(Investment_Strategy="Lifecycle",Investment_Strategy_Sub1="Non-Standard"),VLOOKUP(Investment_Strategy&amp;"_"&amp;Investment_Strategy_Sub2&amp;"_"&amp;$A364,'Investment Strategies'!$C:$P,9,FALSE),
IF(AND(Investment_Strategy="Lifecycle",Investment_Strategy_Sub1="Standard"),VLOOKUP(Investment_Strategy&amp;"_"&amp;Investment_Strategy_Sub2&amp;"_"&amp;$A364,'Investment Strategies'!$AJ:$AV,8,FALSE),
IF(AND(Investment_Strategy="Autopilot",Investment_Strategy_Sub1="Non-Standard"),VLOOKUP(Investment_Strategy&amp;"_"&amp;Investment_Strategy_Sub2&amp;"_"&amp;$A364,'Investment Strategies'!$T:$AF,8,FALSE),
IF(Investment_Strategy ="DIY",DIY_RateOfReturn_CurrentFunds,
"Error")))))),Max_InvReturn)</f>
        <v>0</v>
      </c>
      <c r="F364" s="62">
        <f>IF(AV364=0,0,
IF(Investment_Strategy="DIS",VLOOKUP(Investment_Strategy&amp;"_"&amp;Investment_Strategy_Sub1&amp;"_"&amp;$A364,'Investment Strategies'!$AZ:$BP,15,FALSE),
IF(AND(Investment_Strategy="Lifecycle",Investment_Strategy_Sub1="Non-Standard"),VLOOKUP(Investment_Strategy&amp;"_"&amp;Investment_Strategy_Sub2&amp;"_"&amp;$A364,'Investment Strategies'!$C:$P,12,FALSE),
IF(AND(Investment_Strategy="Lifecycle",Investment_Strategy_Sub1="Standard"),VLOOKUP(Investment_Strategy&amp;"_"&amp;Investment_Strategy_Sub2&amp;"_"&amp;$A364,'Investment Strategies'!$AJ:$AV,11,FALSE),
IF(AND(Investment_Strategy="Autopilot",Investment_Strategy_Sub1="Non-Standard"),VLOOKUP(Investment_Strategy&amp;"_"&amp;Investment_Strategy_Sub2&amp;"_"&amp;$A364,'Investment Strategies'!$T:$AF,11,FALSE),
IF(Investment_Strategy="DIY",DIY_GteeChrge_CurrentFunds,
"Error"))))))</f>
        <v>0</v>
      </c>
      <c r="G364" s="33">
        <f>IF(AV364=0,0,
IF(Investment_Strategy="DIS",VLOOKUP(Investment_Strategy&amp;"_"&amp;Investment_Strategy_Sub1&amp;"_"&amp;$A364,'Investment Strategies'!$AZ:$BP,17,FALSE),
IF(AND(Investment_Strategy="Lifecycle",Investment_Strategy_Sub1="Non-Standard"),VLOOKUP(Investment_Strategy&amp;"_"&amp;Investment_Strategy_Sub2&amp;"_"&amp;$A364,'Investment Strategies'!$C:$P,14,FALSE),
IF(AND(Investment_Strategy="Lifecycle",Investment_Strategy_Sub1="Standard"),VLOOKUP(Investment_Strategy&amp;"_"&amp;Investment_Strategy_Sub2&amp;"_"&amp;$A364,'Investment Strategies'!$AJ:$AV,13,FALSE),
IF(AND(Investment_Strategy="Autopilot",Investment_Strategy_Sub1="Non-Standard"),VLOOKUP(Investment_Strategy&amp;"_"&amp;Investment_Strategy_Sub2&amp;"_"&amp;$A364,'Investment Strategies'!$T:$AF,13,FALSE),
IF(Investment_Strategy="DIY",DIY_ExtManChrge_CurrentFunds,
"Error"))))))</f>
        <v>0</v>
      </c>
      <c r="H364" s="16">
        <f t="shared" si="219"/>
        <v>0</v>
      </c>
      <c r="I364" s="16">
        <f t="shared" si="205"/>
        <v>0</v>
      </c>
      <c r="J364" s="16">
        <f t="shared" si="206"/>
        <v>0</v>
      </c>
      <c r="K364" s="16">
        <f>(Opening_Fund_Value+SUM(K$91:K363))*E364*IF(D364=$A$91,SRP_finalmonthfactor,1)</f>
        <v>0</v>
      </c>
      <c r="L364" s="74">
        <f>MIN(IF($AV364=0,0,
IF(Investment_Strategy="DIS",VLOOKUP(Investment_Strategy&amp;"_"&amp;Investment_Strategy_Sub1&amp;"_"&amp;$A364,'Investment Strategies'!$AZ:$BP,12,FALSE),
IF(AND(Investment_Strategy="Lifecycle",Investment_Strategy_Sub1="Non-Standard"),VLOOKUP(Investment_Strategy&amp;"_"&amp;Investment_Strategy_Sub2&amp;"_"&amp;$A364,'Investment Strategies'!$C:$P,9,FALSE),
IF(AND(Investment_Strategy="Lifecycle",Investment_Strategy_Sub1="Standard"),VLOOKUP(Investment_Strategy&amp;"_"&amp;Investment_Strategy_Sub2&amp;"_"&amp;$A364,'Investment Strategies'!$AJ:$AV,8,FALSE),
IF(AND(Investment_Strategy="Autopilot",Investment_Strategy_Sub1="Non-Standard"),VLOOKUP(Investment_Strategy&amp;"_"&amp;Investment_Strategy_Sub2&amp;"_"&amp;$A364,'Investment Strategies'!$T:$AF,8,FALSE),
IF(Investment_Strategy ="DIY",DIY_RateofReturn_SP,
"Error")))))),Max_InvReturn)</f>
        <v>0</v>
      </c>
      <c r="M364" s="62">
        <f>IF($AV364=0,0,
IF(Investment_Strategy="DIS",VLOOKUP(Investment_Strategy&amp;"_"&amp;Investment_Strategy_Sub1&amp;"_"&amp;$A364,'Investment Strategies'!$AZ:$BP,15,FALSE),
IF(AND(Investment_Strategy="Lifecycle",Investment_Strategy_Sub1="Non-Standard"),VLOOKUP(Investment_Strategy&amp;"_"&amp;Investment_Strategy_Sub2&amp;"_"&amp;$A364,'Investment Strategies'!$C:$P,12,FALSE),
IF(AND(Investment_Strategy="Lifecycle",Investment_Strategy_Sub1="Standard"),VLOOKUP(Investment_Strategy&amp;"_"&amp;Investment_Strategy_Sub2&amp;"_"&amp;$A364,'Investment Strategies'!$AJ:$AV,11,FALSE),
IF(AND(Investment_Strategy="Autopilot",Investment_Strategy_Sub1="Non-Standard"),VLOOKUP(Investment_Strategy&amp;"_"&amp;Investment_Strategy_Sub2&amp;"_"&amp;$A364,'Investment Strategies'!$T:$AF,11,FALSE),
IF(Investment_Strategy="DIY",DIY_GteeChrge_SP,
"Error"))))))</f>
        <v>0</v>
      </c>
      <c r="N364" s="33">
        <f>IF($AV364=0,0,
IF(Investment_Strategy="DIS",VLOOKUP(Investment_Strategy&amp;"_"&amp;Investment_Strategy_Sub1&amp;"_"&amp;$A364,'Investment Strategies'!$AZ:$BP,17,FALSE),
IF(AND(Investment_Strategy="Lifecycle",Investment_Strategy_Sub1="Non-Standard"),VLOOKUP(Investment_Strategy&amp;"_"&amp;Investment_Strategy_Sub2&amp;"_"&amp;$A364,'Investment Strategies'!$C:$P,14,FALSE),
IF(AND(Investment_Strategy="Lifecycle",Investment_Strategy_Sub1="Standard"),VLOOKUP(Investment_Strategy&amp;"_"&amp;Investment_Strategy_Sub2&amp;"_"&amp;$A364,'Investment Strategies'!$AJ:$AV,13,FALSE),
IF(AND(Investment_Strategy="Autopilot",Investment_Strategy_Sub1="Non-Standard"),VLOOKUP(Investment_Strategy&amp;"_"&amp;Investment_Strategy_Sub2&amp;"_"&amp;$A364,'Investment Strategies'!$T:$AF,13,FALSE),
IF(Investment_Strategy="DIY",DIY_ExtManChrge_SP,
"Error"))))))</f>
        <v>0</v>
      </c>
      <c r="O364" s="16">
        <f t="shared" si="230"/>
        <v>0</v>
      </c>
      <c r="Q364" s="16">
        <f t="shared" si="207"/>
        <v>0</v>
      </c>
      <c r="R364" s="16">
        <f t="shared" si="203"/>
        <v>0</v>
      </c>
      <c r="S364" s="16">
        <f>(SRP_SP+SUM(S$91:S363))*L364*IF(D364=$A$91,SRP_finalmonthfactor,1)</f>
        <v>0</v>
      </c>
      <c r="T364" s="74">
        <f>MIN(IF($AV364=0,0,
IF(Investment_Strategy="DIS",VLOOKUP(Investment_Strategy&amp;"_"&amp;Investment_Strategy_Sub1&amp;"_"&amp;$A364,'Investment Strategies'!$AZ:$BP,12,FALSE),
IF(AND(Investment_Strategy="Lifecycle",Investment_Strategy_Sub1="Non-Standard"),VLOOKUP(Investment_Strategy&amp;"_"&amp;Investment_Strategy_Sub2&amp;"_"&amp;$A364,'Investment Strategies'!$C:$P,9,FALSE),
IF(AND(Investment_Strategy="Lifecycle",Investment_Strategy_Sub1="Standard"),VLOOKUP(Investment_Strategy&amp;"_"&amp;Investment_Strategy_Sub2&amp;"_"&amp;$A364,'Investment Strategies'!$AJ:$AV,8,FALSE),
IF(AND(Investment_Strategy="Autopilot",Investment_Strategy_Sub1="Non-Standard"),VLOOKUP(Investment_Strategy&amp;"_"&amp;Investment_Strategy_Sub2&amp;"_"&amp;$A364,'Investment Strategies'!$T:$AF,8,FALSE),
IF(Investment_Strategy ="DIY",DIY_RateOfReturn_FuturePremiums,
"Error")))))),Max_InvReturn)</f>
        <v>0</v>
      </c>
      <c r="U364" s="62">
        <f>IF($AV364=0,0,
IF(Investment_Strategy="DIS",VLOOKUP(Investment_Strategy&amp;"_"&amp;Investment_Strategy_Sub1&amp;"_"&amp;$A364,'Investment Strategies'!$AZ:$BP,15,FALSE),
IF(AND(Investment_Strategy="Lifecycle",Investment_Strategy_Sub1="Non-Standard"),VLOOKUP(Investment_Strategy&amp;"_"&amp;Investment_Strategy_Sub2&amp;"_"&amp;$A364,'Investment Strategies'!$C:$P,12,FALSE),
IF(AND(Investment_Strategy="Lifecycle",Investment_Strategy_Sub1="Standard"),VLOOKUP(Investment_Strategy&amp;"_"&amp;Investment_Strategy_Sub2&amp;"_"&amp;$A364,'Investment Strategies'!$AJ:$AV,11,FALSE),
IF(AND(Investment_Strategy="Autopilot",Investment_Strategy_Sub1="Non-Standard"),VLOOKUP(Investment_Strategy&amp;"_"&amp;Investment_Strategy_Sub2&amp;"_"&amp;$A364,'Investment Strategies'!$T:$AF,11,FALSE),
IF(Investment_Strategy="DIY",DIY_GteeChrge_FuturePremiums,
"Error"))))))</f>
        <v>0</v>
      </c>
      <c r="V364" s="33">
        <f>IF(AV364=0,0,
IF(Investment_Strategy="DIS",VLOOKUP(Investment_Strategy&amp;"_"&amp;Investment_Strategy_Sub1&amp;"_"&amp;$A364,'Investment Strategies'!$AZ:$BP,17,FALSE),
IF(AND(Investment_Strategy="Lifecycle",Investment_Strategy_Sub1="Non-Standard"),VLOOKUP(Investment_Strategy&amp;"_"&amp;Investment_Strategy_Sub2&amp;"_"&amp;$A364,'Investment Strategies'!$C:$P,14,FALSE),
IF(AND(Investment_Strategy="Lifecycle",Investment_Strategy_Sub1="Standard"),VLOOKUP(Investment_Strategy&amp;"_"&amp;Investment_Strategy_Sub2&amp;"_"&amp;$A364,'Investment Strategies'!$AJ:$AV,13,FALSE),
IF(AND(Investment_Strategy="Autopilot",Investment_Strategy_Sub1="Non-Standard"),VLOOKUP(Investment_Strategy&amp;"_"&amp;Investment_Strategy_Sub2&amp;"_"&amp;$A364,'Investment Strategies'!$T:$AF,13,FALSE),
IF(Investment_Strategy="DIY",DIY_ExtManChrge_FuturePremiums,
"Error"))))))</f>
        <v>0</v>
      </c>
      <c r="W364" s="16">
        <f t="shared" si="231"/>
        <v>0</v>
      </c>
      <c r="X364" s="16">
        <f t="shared" si="208"/>
        <v>0</v>
      </c>
      <c r="Y364" s="16">
        <f t="shared" si="209"/>
        <v>0</v>
      </c>
      <c r="Z364" s="31">
        <f t="shared" si="210"/>
        <v>0.02</v>
      </c>
      <c r="AA364" s="16">
        <f t="shared" si="211"/>
        <v>0</v>
      </c>
      <c r="AB364" s="28">
        <f t="shared" si="232"/>
        <v>0</v>
      </c>
      <c r="AC364" s="28">
        <f>(SUM($AC$91:AC363)+SUM($X$91:X363)+X364)*T364*IF(D364=$A$91,SRP_finalmonthfactor,1)</f>
        <v>0</v>
      </c>
      <c r="AD364" s="16">
        <f t="shared" si="212"/>
        <v>0</v>
      </c>
      <c r="AE364" s="106"/>
      <c r="AF364" s="16">
        <f t="shared" si="220"/>
        <v>0</v>
      </c>
      <c r="AG364" s="16">
        <f t="shared" si="221"/>
        <v>0</v>
      </c>
      <c r="AH364" s="16">
        <f t="shared" si="222"/>
        <v>0</v>
      </c>
      <c r="AJ364" s="13">
        <f t="shared" si="234"/>
        <v>0</v>
      </c>
      <c r="AK364" s="13">
        <f t="shared" si="234"/>
        <v>0</v>
      </c>
      <c r="AL364" s="13">
        <f t="shared" si="234"/>
        <v>0</v>
      </c>
      <c r="AM364" s="13">
        <f t="shared" si="234"/>
        <v>0</v>
      </c>
      <c r="AN364" s="13">
        <f t="shared" si="234"/>
        <v>0</v>
      </c>
      <c r="AO364" s="13">
        <f t="shared" si="234"/>
        <v>1</v>
      </c>
      <c r="AP364" s="13">
        <f t="shared" si="234"/>
        <v>1</v>
      </c>
      <c r="AQ364" s="13">
        <f t="shared" si="234"/>
        <v>1</v>
      </c>
      <c r="AR364" s="13">
        <f t="shared" si="234"/>
        <v>1</v>
      </c>
      <c r="AS364" s="13">
        <f t="shared" si="234"/>
        <v>1</v>
      </c>
      <c r="AT364" s="13">
        <f t="shared" si="234"/>
        <v>1</v>
      </c>
      <c r="AU364" s="13">
        <f t="shared" si="234"/>
        <v>1</v>
      </c>
      <c r="AV364" s="13">
        <f t="shared" si="213"/>
        <v>0</v>
      </c>
      <c r="AW364" s="13">
        <f t="shared" si="214"/>
        <v>1</v>
      </c>
      <c r="AY364" s="17">
        <f t="shared" si="215"/>
        <v>274</v>
      </c>
      <c r="AZ364" s="28">
        <f t="shared" si="223"/>
        <v>0</v>
      </c>
      <c r="BA364" s="13">
        <f t="shared" si="216"/>
        <v>0</v>
      </c>
      <c r="BB364" s="13">
        <f t="shared" si="217"/>
        <v>0</v>
      </c>
      <c r="BC364" s="28">
        <f t="shared" si="224"/>
        <v>0</v>
      </c>
      <c r="BD364" s="28">
        <f t="shared" si="225"/>
        <v>0</v>
      </c>
      <c r="BF364" s="248">
        <f t="shared" si="226"/>
        <v>993869.29442638322</v>
      </c>
    </row>
    <row r="365" spans="1:58">
      <c r="A365" s="32">
        <f t="shared" si="227"/>
        <v>-190</v>
      </c>
      <c r="B365" s="32">
        <f t="shared" si="218"/>
        <v>75</v>
      </c>
      <c r="C365" s="32">
        <f t="shared" si="228"/>
        <v>23</v>
      </c>
      <c r="D365" s="32">
        <f t="shared" si="229"/>
        <v>275</v>
      </c>
      <c r="E365" s="74">
        <f>MIN(IF(AV365=0,0,
IF(Investment_Strategy="DIS",VLOOKUP(Investment_Strategy&amp;"_"&amp;Investment_Strategy_Sub1&amp;"_"&amp;$A365,'Investment Strategies'!$AZ:$BP,12,FALSE),
IF(AND(Investment_Strategy="Lifecycle",Investment_Strategy_Sub1="Non-Standard"),VLOOKUP(Investment_Strategy&amp;"_"&amp;Investment_Strategy_Sub2&amp;"_"&amp;$A365,'Investment Strategies'!$C:$P,9,FALSE),
IF(AND(Investment_Strategy="Lifecycle",Investment_Strategy_Sub1="Standard"),VLOOKUP(Investment_Strategy&amp;"_"&amp;Investment_Strategy_Sub2&amp;"_"&amp;$A365,'Investment Strategies'!$AJ:$AV,8,FALSE),
IF(AND(Investment_Strategy="Autopilot",Investment_Strategy_Sub1="Non-Standard"),VLOOKUP(Investment_Strategy&amp;"_"&amp;Investment_Strategy_Sub2&amp;"_"&amp;$A365,'Investment Strategies'!$T:$AF,8,FALSE),
IF(Investment_Strategy ="DIY",DIY_RateOfReturn_CurrentFunds,
"Error")))))),Max_InvReturn)</f>
        <v>0</v>
      </c>
      <c r="F365" s="62">
        <f>IF(AV365=0,0,
IF(Investment_Strategy="DIS",VLOOKUP(Investment_Strategy&amp;"_"&amp;Investment_Strategy_Sub1&amp;"_"&amp;$A365,'Investment Strategies'!$AZ:$BP,15,FALSE),
IF(AND(Investment_Strategy="Lifecycle",Investment_Strategy_Sub1="Non-Standard"),VLOOKUP(Investment_Strategy&amp;"_"&amp;Investment_Strategy_Sub2&amp;"_"&amp;$A365,'Investment Strategies'!$C:$P,12,FALSE),
IF(AND(Investment_Strategy="Lifecycle",Investment_Strategy_Sub1="Standard"),VLOOKUP(Investment_Strategy&amp;"_"&amp;Investment_Strategy_Sub2&amp;"_"&amp;$A365,'Investment Strategies'!$AJ:$AV,11,FALSE),
IF(AND(Investment_Strategy="Autopilot",Investment_Strategy_Sub1="Non-Standard"),VLOOKUP(Investment_Strategy&amp;"_"&amp;Investment_Strategy_Sub2&amp;"_"&amp;$A365,'Investment Strategies'!$T:$AF,11,FALSE),
IF(Investment_Strategy="DIY",DIY_GteeChrge_CurrentFunds,
"Error"))))))</f>
        <v>0</v>
      </c>
      <c r="G365" s="33">
        <f>IF(AV365=0,0,
IF(Investment_Strategy="DIS",VLOOKUP(Investment_Strategy&amp;"_"&amp;Investment_Strategy_Sub1&amp;"_"&amp;$A365,'Investment Strategies'!$AZ:$BP,17,FALSE),
IF(AND(Investment_Strategy="Lifecycle",Investment_Strategy_Sub1="Non-Standard"),VLOOKUP(Investment_Strategy&amp;"_"&amp;Investment_Strategy_Sub2&amp;"_"&amp;$A365,'Investment Strategies'!$C:$P,14,FALSE),
IF(AND(Investment_Strategy="Lifecycle",Investment_Strategy_Sub1="Standard"),VLOOKUP(Investment_Strategy&amp;"_"&amp;Investment_Strategy_Sub2&amp;"_"&amp;$A365,'Investment Strategies'!$AJ:$AV,13,FALSE),
IF(AND(Investment_Strategy="Autopilot",Investment_Strategy_Sub1="Non-Standard"),VLOOKUP(Investment_Strategy&amp;"_"&amp;Investment_Strategy_Sub2&amp;"_"&amp;$A365,'Investment Strategies'!$T:$AF,13,FALSE),
IF(Investment_Strategy="DIY",DIY_ExtManChrge_CurrentFunds,
"Error"))))))</f>
        <v>0</v>
      </c>
      <c r="H365" s="16">
        <f t="shared" si="219"/>
        <v>0</v>
      </c>
      <c r="I365" s="16">
        <f t="shared" si="205"/>
        <v>0</v>
      </c>
      <c r="J365" s="16">
        <f t="shared" si="206"/>
        <v>0</v>
      </c>
      <c r="K365" s="16">
        <f>(Opening_Fund_Value+SUM(K$91:K364))*E365*IF(D365=$A$91,SRP_finalmonthfactor,1)</f>
        <v>0</v>
      </c>
      <c r="L365" s="74">
        <f>MIN(IF($AV365=0,0,
IF(Investment_Strategy="DIS",VLOOKUP(Investment_Strategy&amp;"_"&amp;Investment_Strategy_Sub1&amp;"_"&amp;$A365,'Investment Strategies'!$AZ:$BP,12,FALSE),
IF(AND(Investment_Strategy="Lifecycle",Investment_Strategy_Sub1="Non-Standard"),VLOOKUP(Investment_Strategy&amp;"_"&amp;Investment_Strategy_Sub2&amp;"_"&amp;$A365,'Investment Strategies'!$C:$P,9,FALSE),
IF(AND(Investment_Strategy="Lifecycle",Investment_Strategy_Sub1="Standard"),VLOOKUP(Investment_Strategy&amp;"_"&amp;Investment_Strategy_Sub2&amp;"_"&amp;$A365,'Investment Strategies'!$AJ:$AV,8,FALSE),
IF(AND(Investment_Strategy="Autopilot",Investment_Strategy_Sub1="Non-Standard"),VLOOKUP(Investment_Strategy&amp;"_"&amp;Investment_Strategy_Sub2&amp;"_"&amp;$A365,'Investment Strategies'!$T:$AF,8,FALSE),
IF(Investment_Strategy ="DIY",DIY_RateofReturn_SP,
"Error")))))),Max_InvReturn)</f>
        <v>0</v>
      </c>
      <c r="M365" s="62">
        <f>IF($AV365=0,0,
IF(Investment_Strategy="DIS",VLOOKUP(Investment_Strategy&amp;"_"&amp;Investment_Strategy_Sub1&amp;"_"&amp;$A365,'Investment Strategies'!$AZ:$BP,15,FALSE),
IF(AND(Investment_Strategy="Lifecycle",Investment_Strategy_Sub1="Non-Standard"),VLOOKUP(Investment_Strategy&amp;"_"&amp;Investment_Strategy_Sub2&amp;"_"&amp;$A365,'Investment Strategies'!$C:$P,12,FALSE),
IF(AND(Investment_Strategy="Lifecycle",Investment_Strategy_Sub1="Standard"),VLOOKUP(Investment_Strategy&amp;"_"&amp;Investment_Strategy_Sub2&amp;"_"&amp;$A365,'Investment Strategies'!$AJ:$AV,11,FALSE),
IF(AND(Investment_Strategy="Autopilot",Investment_Strategy_Sub1="Non-Standard"),VLOOKUP(Investment_Strategy&amp;"_"&amp;Investment_Strategy_Sub2&amp;"_"&amp;$A365,'Investment Strategies'!$T:$AF,11,FALSE),
IF(Investment_Strategy="DIY",DIY_GteeChrge_SP,
"Error"))))))</f>
        <v>0</v>
      </c>
      <c r="N365" s="33">
        <f>IF($AV365=0,0,
IF(Investment_Strategy="DIS",VLOOKUP(Investment_Strategy&amp;"_"&amp;Investment_Strategy_Sub1&amp;"_"&amp;$A365,'Investment Strategies'!$AZ:$BP,17,FALSE),
IF(AND(Investment_Strategy="Lifecycle",Investment_Strategy_Sub1="Non-Standard"),VLOOKUP(Investment_Strategy&amp;"_"&amp;Investment_Strategy_Sub2&amp;"_"&amp;$A365,'Investment Strategies'!$C:$P,14,FALSE),
IF(AND(Investment_Strategy="Lifecycle",Investment_Strategy_Sub1="Standard"),VLOOKUP(Investment_Strategy&amp;"_"&amp;Investment_Strategy_Sub2&amp;"_"&amp;$A365,'Investment Strategies'!$AJ:$AV,13,FALSE),
IF(AND(Investment_Strategy="Autopilot",Investment_Strategy_Sub1="Non-Standard"),VLOOKUP(Investment_Strategy&amp;"_"&amp;Investment_Strategy_Sub2&amp;"_"&amp;$A365,'Investment Strategies'!$T:$AF,13,FALSE),
IF(Investment_Strategy="DIY",DIY_ExtManChrge_SP,
"Error"))))))</f>
        <v>0</v>
      </c>
      <c r="O365" s="16">
        <f t="shared" si="230"/>
        <v>0</v>
      </c>
      <c r="Q365" s="16">
        <f t="shared" si="207"/>
        <v>0</v>
      </c>
      <c r="R365" s="16">
        <f t="shared" si="203"/>
        <v>0</v>
      </c>
      <c r="S365" s="16">
        <f>(SRP_SP+SUM(S$91:S364))*L365*IF(D365=$A$91,SRP_finalmonthfactor,1)</f>
        <v>0</v>
      </c>
      <c r="T365" s="74">
        <f>MIN(IF($AV365=0,0,
IF(Investment_Strategy="DIS",VLOOKUP(Investment_Strategy&amp;"_"&amp;Investment_Strategy_Sub1&amp;"_"&amp;$A365,'Investment Strategies'!$AZ:$BP,12,FALSE),
IF(AND(Investment_Strategy="Lifecycle",Investment_Strategy_Sub1="Non-Standard"),VLOOKUP(Investment_Strategy&amp;"_"&amp;Investment_Strategy_Sub2&amp;"_"&amp;$A365,'Investment Strategies'!$C:$P,9,FALSE),
IF(AND(Investment_Strategy="Lifecycle",Investment_Strategy_Sub1="Standard"),VLOOKUP(Investment_Strategy&amp;"_"&amp;Investment_Strategy_Sub2&amp;"_"&amp;$A365,'Investment Strategies'!$AJ:$AV,8,FALSE),
IF(AND(Investment_Strategy="Autopilot",Investment_Strategy_Sub1="Non-Standard"),VLOOKUP(Investment_Strategy&amp;"_"&amp;Investment_Strategy_Sub2&amp;"_"&amp;$A365,'Investment Strategies'!$T:$AF,8,FALSE),
IF(Investment_Strategy ="DIY",DIY_RateOfReturn_FuturePremiums,
"Error")))))),Max_InvReturn)</f>
        <v>0</v>
      </c>
      <c r="U365" s="62">
        <f>IF($AV365=0,0,
IF(Investment_Strategy="DIS",VLOOKUP(Investment_Strategy&amp;"_"&amp;Investment_Strategy_Sub1&amp;"_"&amp;$A365,'Investment Strategies'!$AZ:$BP,15,FALSE),
IF(AND(Investment_Strategy="Lifecycle",Investment_Strategy_Sub1="Non-Standard"),VLOOKUP(Investment_Strategy&amp;"_"&amp;Investment_Strategy_Sub2&amp;"_"&amp;$A365,'Investment Strategies'!$C:$P,12,FALSE),
IF(AND(Investment_Strategy="Lifecycle",Investment_Strategy_Sub1="Standard"),VLOOKUP(Investment_Strategy&amp;"_"&amp;Investment_Strategy_Sub2&amp;"_"&amp;$A365,'Investment Strategies'!$AJ:$AV,11,FALSE),
IF(AND(Investment_Strategy="Autopilot",Investment_Strategy_Sub1="Non-Standard"),VLOOKUP(Investment_Strategy&amp;"_"&amp;Investment_Strategy_Sub2&amp;"_"&amp;$A365,'Investment Strategies'!$T:$AF,11,FALSE),
IF(Investment_Strategy="DIY",DIY_GteeChrge_FuturePremiums,
"Error"))))))</f>
        <v>0</v>
      </c>
      <c r="V365" s="33">
        <f>IF(AV365=0,0,
IF(Investment_Strategy="DIS",VLOOKUP(Investment_Strategy&amp;"_"&amp;Investment_Strategy_Sub1&amp;"_"&amp;$A365,'Investment Strategies'!$AZ:$BP,17,FALSE),
IF(AND(Investment_Strategy="Lifecycle",Investment_Strategy_Sub1="Non-Standard"),VLOOKUP(Investment_Strategy&amp;"_"&amp;Investment_Strategy_Sub2&amp;"_"&amp;$A365,'Investment Strategies'!$C:$P,14,FALSE),
IF(AND(Investment_Strategy="Lifecycle",Investment_Strategy_Sub1="Standard"),VLOOKUP(Investment_Strategy&amp;"_"&amp;Investment_Strategy_Sub2&amp;"_"&amp;$A365,'Investment Strategies'!$AJ:$AV,13,FALSE),
IF(AND(Investment_Strategy="Autopilot",Investment_Strategy_Sub1="Non-Standard"),VLOOKUP(Investment_Strategy&amp;"_"&amp;Investment_Strategy_Sub2&amp;"_"&amp;$A365,'Investment Strategies'!$T:$AF,13,FALSE),
IF(Investment_Strategy="DIY",DIY_ExtManChrge_FuturePremiums,
"Error"))))))</f>
        <v>0</v>
      </c>
      <c r="W365" s="16">
        <f t="shared" si="231"/>
        <v>0</v>
      </c>
      <c r="X365" s="16">
        <f t="shared" si="208"/>
        <v>0</v>
      </c>
      <c r="Y365" s="16">
        <f t="shared" si="209"/>
        <v>0</v>
      </c>
      <c r="Z365" s="31">
        <f t="shared" si="210"/>
        <v>0.02</v>
      </c>
      <c r="AA365" s="16">
        <f t="shared" si="211"/>
        <v>0</v>
      </c>
      <c r="AB365" s="28">
        <f t="shared" si="232"/>
        <v>0</v>
      </c>
      <c r="AC365" s="28">
        <f>(SUM($AC$91:AC364)+SUM($X$91:X364)+X365)*T365*IF(D365=$A$91,SRP_finalmonthfactor,1)</f>
        <v>0</v>
      </c>
      <c r="AD365" s="16">
        <f t="shared" si="212"/>
        <v>0</v>
      </c>
      <c r="AE365" s="106"/>
      <c r="AF365" s="16">
        <f t="shared" si="220"/>
        <v>0</v>
      </c>
      <c r="AG365" s="16">
        <f t="shared" si="221"/>
        <v>0</v>
      </c>
      <c r="AH365" s="16">
        <f t="shared" si="222"/>
        <v>0</v>
      </c>
      <c r="AJ365" s="13">
        <f t="shared" si="234"/>
        <v>0</v>
      </c>
      <c r="AK365" s="13">
        <f t="shared" si="234"/>
        <v>0</v>
      </c>
      <c r="AL365" s="13">
        <f t="shared" si="234"/>
        <v>0</v>
      </c>
      <c r="AM365" s="13">
        <f t="shared" si="234"/>
        <v>0</v>
      </c>
      <c r="AN365" s="13">
        <f t="shared" si="234"/>
        <v>0</v>
      </c>
      <c r="AO365" s="13">
        <f t="shared" si="234"/>
        <v>1</v>
      </c>
      <c r="AP365" s="13">
        <f t="shared" si="234"/>
        <v>1</v>
      </c>
      <c r="AQ365" s="13">
        <f t="shared" si="234"/>
        <v>1</v>
      </c>
      <c r="AR365" s="13">
        <f t="shared" si="234"/>
        <v>1</v>
      </c>
      <c r="AS365" s="13">
        <f t="shared" si="234"/>
        <v>1</v>
      </c>
      <c r="AT365" s="13">
        <f t="shared" si="234"/>
        <v>1</v>
      </c>
      <c r="AU365" s="13">
        <f t="shared" si="234"/>
        <v>1</v>
      </c>
      <c r="AV365" s="13">
        <f t="shared" si="213"/>
        <v>0</v>
      </c>
      <c r="AW365" s="13">
        <f t="shared" si="214"/>
        <v>1</v>
      </c>
      <c r="AY365" s="17">
        <f t="shared" si="215"/>
        <v>275</v>
      </c>
      <c r="AZ365" s="28">
        <f t="shared" si="223"/>
        <v>0</v>
      </c>
      <c r="BA365" s="13">
        <f t="shared" si="216"/>
        <v>0</v>
      </c>
      <c r="BB365" s="13">
        <f t="shared" si="217"/>
        <v>0</v>
      </c>
      <c r="BC365" s="28">
        <f t="shared" si="224"/>
        <v>0</v>
      </c>
      <c r="BD365" s="28">
        <f t="shared" si="225"/>
        <v>0</v>
      </c>
      <c r="BF365" s="248">
        <f t="shared" si="226"/>
        <v>993869.29442638322</v>
      </c>
    </row>
    <row r="366" spans="1:58">
      <c r="A366" s="32">
        <f t="shared" si="227"/>
        <v>-191</v>
      </c>
      <c r="B366" s="32">
        <f t="shared" si="218"/>
        <v>75</v>
      </c>
      <c r="C366" s="32">
        <f t="shared" si="228"/>
        <v>23</v>
      </c>
      <c r="D366" s="32">
        <f t="shared" si="229"/>
        <v>276</v>
      </c>
      <c r="E366" s="74">
        <f>MIN(IF(AV366=0,0,
IF(Investment_Strategy="DIS",VLOOKUP(Investment_Strategy&amp;"_"&amp;Investment_Strategy_Sub1&amp;"_"&amp;$A366,'Investment Strategies'!$AZ:$BP,12,FALSE),
IF(AND(Investment_Strategy="Lifecycle",Investment_Strategy_Sub1="Non-Standard"),VLOOKUP(Investment_Strategy&amp;"_"&amp;Investment_Strategy_Sub2&amp;"_"&amp;$A366,'Investment Strategies'!$C:$P,9,FALSE),
IF(AND(Investment_Strategy="Lifecycle",Investment_Strategy_Sub1="Standard"),VLOOKUP(Investment_Strategy&amp;"_"&amp;Investment_Strategy_Sub2&amp;"_"&amp;$A366,'Investment Strategies'!$AJ:$AV,8,FALSE),
IF(AND(Investment_Strategy="Autopilot",Investment_Strategy_Sub1="Non-Standard"),VLOOKUP(Investment_Strategy&amp;"_"&amp;Investment_Strategy_Sub2&amp;"_"&amp;$A366,'Investment Strategies'!$T:$AF,8,FALSE),
IF(Investment_Strategy ="DIY",DIY_RateOfReturn_CurrentFunds,
"Error")))))),Max_InvReturn)</f>
        <v>0</v>
      </c>
      <c r="F366" s="62">
        <f>IF(AV366=0,0,
IF(Investment_Strategy="DIS",VLOOKUP(Investment_Strategy&amp;"_"&amp;Investment_Strategy_Sub1&amp;"_"&amp;$A366,'Investment Strategies'!$AZ:$BP,15,FALSE),
IF(AND(Investment_Strategy="Lifecycle",Investment_Strategy_Sub1="Non-Standard"),VLOOKUP(Investment_Strategy&amp;"_"&amp;Investment_Strategy_Sub2&amp;"_"&amp;$A366,'Investment Strategies'!$C:$P,12,FALSE),
IF(AND(Investment_Strategy="Lifecycle",Investment_Strategy_Sub1="Standard"),VLOOKUP(Investment_Strategy&amp;"_"&amp;Investment_Strategy_Sub2&amp;"_"&amp;$A366,'Investment Strategies'!$AJ:$AV,11,FALSE),
IF(AND(Investment_Strategy="Autopilot",Investment_Strategy_Sub1="Non-Standard"),VLOOKUP(Investment_Strategy&amp;"_"&amp;Investment_Strategy_Sub2&amp;"_"&amp;$A366,'Investment Strategies'!$T:$AF,11,FALSE),
IF(Investment_Strategy="DIY",DIY_GteeChrge_CurrentFunds,
"Error"))))))</f>
        <v>0</v>
      </c>
      <c r="G366" s="33">
        <f>IF(AV366=0,0,
IF(Investment_Strategy="DIS",VLOOKUP(Investment_Strategy&amp;"_"&amp;Investment_Strategy_Sub1&amp;"_"&amp;$A366,'Investment Strategies'!$AZ:$BP,17,FALSE),
IF(AND(Investment_Strategy="Lifecycle",Investment_Strategy_Sub1="Non-Standard"),VLOOKUP(Investment_Strategy&amp;"_"&amp;Investment_Strategy_Sub2&amp;"_"&amp;$A366,'Investment Strategies'!$C:$P,14,FALSE),
IF(AND(Investment_Strategy="Lifecycle",Investment_Strategy_Sub1="Standard"),VLOOKUP(Investment_Strategy&amp;"_"&amp;Investment_Strategy_Sub2&amp;"_"&amp;$A366,'Investment Strategies'!$AJ:$AV,13,FALSE),
IF(AND(Investment_Strategy="Autopilot",Investment_Strategy_Sub1="Non-Standard"),VLOOKUP(Investment_Strategy&amp;"_"&amp;Investment_Strategy_Sub2&amp;"_"&amp;$A366,'Investment Strategies'!$T:$AF,13,FALSE),
IF(Investment_Strategy="DIY",DIY_ExtManChrge_CurrentFunds,
"Error"))))))</f>
        <v>0</v>
      </c>
      <c r="H366" s="16">
        <f t="shared" si="219"/>
        <v>0</v>
      </c>
      <c r="I366" s="16">
        <f t="shared" si="205"/>
        <v>0</v>
      </c>
      <c r="J366" s="16">
        <f t="shared" si="206"/>
        <v>0</v>
      </c>
      <c r="K366" s="16">
        <f>(Opening_Fund_Value+SUM(K$91:K365))*E366*IF(D366=$A$91,SRP_finalmonthfactor,1)</f>
        <v>0</v>
      </c>
      <c r="L366" s="74">
        <f>MIN(IF($AV366=0,0,
IF(Investment_Strategy="DIS",VLOOKUP(Investment_Strategy&amp;"_"&amp;Investment_Strategy_Sub1&amp;"_"&amp;$A366,'Investment Strategies'!$AZ:$BP,12,FALSE),
IF(AND(Investment_Strategy="Lifecycle",Investment_Strategy_Sub1="Non-Standard"),VLOOKUP(Investment_Strategy&amp;"_"&amp;Investment_Strategy_Sub2&amp;"_"&amp;$A366,'Investment Strategies'!$C:$P,9,FALSE),
IF(AND(Investment_Strategy="Lifecycle",Investment_Strategy_Sub1="Standard"),VLOOKUP(Investment_Strategy&amp;"_"&amp;Investment_Strategy_Sub2&amp;"_"&amp;$A366,'Investment Strategies'!$AJ:$AV,8,FALSE),
IF(AND(Investment_Strategy="Autopilot",Investment_Strategy_Sub1="Non-Standard"),VLOOKUP(Investment_Strategy&amp;"_"&amp;Investment_Strategy_Sub2&amp;"_"&amp;$A366,'Investment Strategies'!$T:$AF,8,FALSE),
IF(Investment_Strategy ="DIY",DIY_RateofReturn_SP,
"Error")))))),Max_InvReturn)</f>
        <v>0</v>
      </c>
      <c r="M366" s="62">
        <f>IF($AV366=0,0,
IF(Investment_Strategy="DIS",VLOOKUP(Investment_Strategy&amp;"_"&amp;Investment_Strategy_Sub1&amp;"_"&amp;$A366,'Investment Strategies'!$AZ:$BP,15,FALSE),
IF(AND(Investment_Strategy="Lifecycle",Investment_Strategy_Sub1="Non-Standard"),VLOOKUP(Investment_Strategy&amp;"_"&amp;Investment_Strategy_Sub2&amp;"_"&amp;$A366,'Investment Strategies'!$C:$P,12,FALSE),
IF(AND(Investment_Strategy="Lifecycle",Investment_Strategy_Sub1="Standard"),VLOOKUP(Investment_Strategy&amp;"_"&amp;Investment_Strategy_Sub2&amp;"_"&amp;$A366,'Investment Strategies'!$AJ:$AV,11,FALSE),
IF(AND(Investment_Strategy="Autopilot",Investment_Strategy_Sub1="Non-Standard"),VLOOKUP(Investment_Strategy&amp;"_"&amp;Investment_Strategy_Sub2&amp;"_"&amp;$A366,'Investment Strategies'!$T:$AF,11,FALSE),
IF(Investment_Strategy="DIY",DIY_GteeChrge_SP,
"Error"))))))</f>
        <v>0</v>
      </c>
      <c r="N366" s="33">
        <f>IF($AV366=0,0,
IF(Investment_Strategy="DIS",VLOOKUP(Investment_Strategy&amp;"_"&amp;Investment_Strategy_Sub1&amp;"_"&amp;$A366,'Investment Strategies'!$AZ:$BP,17,FALSE),
IF(AND(Investment_Strategy="Lifecycle",Investment_Strategy_Sub1="Non-Standard"),VLOOKUP(Investment_Strategy&amp;"_"&amp;Investment_Strategy_Sub2&amp;"_"&amp;$A366,'Investment Strategies'!$C:$P,14,FALSE),
IF(AND(Investment_Strategy="Lifecycle",Investment_Strategy_Sub1="Standard"),VLOOKUP(Investment_Strategy&amp;"_"&amp;Investment_Strategy_Sub2&amp;"_"&amp;$A366,'Investment Strategies'!$AJ:$AV,13,FALSE),
IF(AND(Investment_Strategy="Autopilot",Investment_Strategy_Sub1="Non-Standard"),VLOOKUP(Investment_Strategy&amp;"_"&amp;Investment_Strategy_Sub2&amp;"_"&amp;$A366,'Investment Strategies'!$T:$AF,13,FALSE),
IF(Investment_Strategy="DIY",DIY_ExtManChrge_SP,
"Error"))))))</f>
        <v>0</v>
      </c>
      <c r="O366" s="16">
        <f t="shared" si="230"/>
        <v>0</v>
      </c>
      <c r="Q366" s="16">
        <f t="shared" si="207"/>
        <v>0</v>
      </c>
      <c r="R366" s="16">
        <f t="shared" si="203"/>
        <v>0</v>
      </c>
      <c r="S366" s="16">
        <f>(SRP_SP+SUM(S$91:S365))*L366*IF(D366=$A$91,SRP_finalmonthfactor,1)</f>
        <v>0</v>
      </c>
      <c r="T366" s="74">
        <f>MIN(IF($AV366=0,0,
IF(Investment_Strategy="DIS",VLOOKUP(Investment_Strategy&amp;"_"&amp;Investment_Strategy_Sub1&amp;"_"&amp;$A366,'Investment Strategies'!$AZ:$BP,12,FALSE),
IF(AND(Investment_Strategy="Lifecycle",Investment_Strategy_Sub1="Non-Standard"),VLOOKUP(Investment_Strategy&amp;"_"&amp;Investment_Strategy_Sub2&amp;"_"&amp;$A366,'Investment Strategies'!$C:$P,9,FALSE),
IF(AND(Investment_Strategy="Lifecycle",Investment_Strategy_Sub1="Standard"),VLOOKUP(Investment_Strategy&amp;"_"&amp;Investment_Strategy_Sub2&amp;"_"&amp;$A366,'Investment Strategies'!$AJ:$AV,8,FALSE),
IF(AND(Investment_Strategy="Autopilot",Investment_Strategy_Sub1="Non-Standard"),VLOOKUP(Investment_Strategy&amp;"_"&amp;Investment_Strategy_Sub2&amp;"_"&amp;$A366,'Investment Strategies'!$T:$AF,8,FALSE),
IF(Investment_Strategy ="DIY",DIY_RateOfReturn_FuturePremiums,
"Error")))))),Max_InvReturn)</f>
        <v>0</v>
      </c>
      <c r="U366" s="62">
        <f>IF($AV366=0,0,
IF(Investment_Strategy="DIS",VLOOKUP(Investment_Strategy&amp;"_"&amp;Investment_Strategy_Sub1&amp;"_"&amp;$A366,'Investment Strategies'!$AZ:$BP,15,FALSE),
IF(AND(Investment_Strategy="Lifecycle",Investment_Strategy_Sub1="Non-Standard"),VLOOKUP(Investment_Strategy&amp;"_"&amp;Investment_Strategy_Sub2&amp;"_"&amp;$A366,'Investment Strategies'!$C:$P,12,FALSE),
IF(AND(Investment_Strategy="Lifecycle",Investment_Strategy_Sub1="Standard"),VLOOKUP(Investment_Strategy&amp;"_"&amp;Investment_Strategy_Sub2&amp;"_"&amp;$A366,'Investment Strategies'!$AJ:$AV,11,FALSE),
IF(AND(Investment_Strategy="Autopilot",Investment_Strategy_Sub1="Non-Standard"),VLOOKUP(Investment_Strategy&amp;"_"&amp;Investment_Strategy_Sub2&amp;"_"&amp;$A366,'Investment Strategies'!$T:$AF,11,FALSE),
IF(Investment_Strategy="DIY",DIY_GteeChrge_FuturePremiums,
"Error"))))))</f>
        <v>0</v>
      </c>
      <c r="V366" s="33">
        <f>IF(AV366=0,0,
IF(Investment_Strategy="DIS",VLOOKUP(Investment_Strategy&amp;"_"&amp;Investment_Strategy_Sub1&amp;"_"&amp;$A366,'Investment Strategies'!$AZ:$BP,17,FALSE),
IF(AND(Investment_Strategy="Lifecycle",Investment_Strategy_Sub1="Non-Standard"),VLOOKUP(Investment_Strategy&amp;"_"&amp;Investment_Strategy_Sub2&amp;"_"&amp;$A366,'Investment Strategies'!$C:$P,14,FALSE),
IF(AND(Investment_Strategy="Lifecycle",Investment_Strategy_Sub1="Standard"),VLOOKUP(Investment_Strategy&amp;"_"&amp;Investment_Strategy_Sub2&amp;"_"&amp;$A366,'Investment Strategies'!$AJ:$AV,13,FALSE),
IF(AND(Investment_Strategy="Autopilot",Investment_Strategy_Sub1="Non-Standard"),VLOOKUP(Investment_Strategy&amp;"_"&amp;Investment_Strategy_Sub2&amp;"_"&amp;$A366,'Investment Strategies'!$T:$AF,13,FALSE),
IF(Investment_Strategy="DIY",DIY_ExtManChrge_FuturePremiums,
"Error"))))))</f>
        <v>0</v>
      </c>
      <c r="W366" s="16">
        <f t="shared" si="231"/>
        <v>0</v>
      </c>
      <c r="X366" s="16">
        <f t="shared" si="208"/>
        <v>0</v>
      </c>
      <c r="Y366" s="16">
        <f t="shared" si="209"/>
        <v>0</v>
      </c>
      <c r="Z366" s="31">
        <f t="shared" si="210"/>
        <v>0.02</v>
      </c>
      <c r="AA366" s="16">
        <f t="shared" si="211"/>
        <v>0</v>
      </c>
      <c r="AB366" s="28">
        <f t="shared" si="232"/>
        <v>0</v>
      </c>
      <c r="AC366" s="28">
        <f>(SUM($AC$91:AC365)+SUM($X$91:X365)+X366)*T366*IF(D366=$A$91,SRP_finalmonthfactor,1)</f>
        <v>0</v>
      </c>
      <c r="AD366" s="16">
        <f t="shared" si="212"/>
        <v>0</v>
      </c>
      <c r="AE366" s="106"/>
      <c r="AF366" s="16">
        <f t="shared" si="220"/>
        <v>0</v>
      </c>
      <c r="AG366" s="16">
        <f t="shared" si="221"/>
        <v>0</v>
      </c>
      <c r="AH366" s="16">
        <f t="shared" si="222"/>
        <v>0</v>
      </c>
      <c r="AJ366" s="13">
        <f t="shared" si="234"/>
        <v>0</v>
      </c>
      <c r="AK366" s="13">
        <f t="shared" si="234"/>
        <v>0</v>
      </c>
      <c r="AL366" s="13">
        <f t="shared" si="234"/>
        <v>0</v>
      </c>
      <c r="AM366" s="13">
        <f t="shared" si="234"/>
        <v>0</v>
      </c>
      <c r="AN366" s="13">
        <f t="shared" si="234"/>
        <v>0</v>
      </c>
      <c r="AO366" s="13">
        <f t="shared" si="234"/>
        <v>1</v>
      </c>
      <c r="AP366" s="13">
        <f t="shared" si="234"/>
        <v>1</v>
      </c>
      <c r="AQ366" s="13">
        <f t="shared" si="234"/>
        <v>1</v>
      </c>
      <c r="AR366" s="13">
        <f t="shared" si="234"/>
        <v>1</v>
      </c>
      <c r="AS366" s="13">
        <f t="shared" si="234"/>
        <v>1</v>
      </c>
      <c r="AT366" s="13">
        <f t="shared" si="234"/>
        <v>1</v>
      </c>
      <c r="AU366" s="13">
        <f t="shared" si="234"/>
        <v>1</v>
      </c>
      <c r="AV366" s="13">
        <f t="shared" si="213"/>
        <v>0</v>
      </c>
      <c r="AW366" s="13">
        <f t="shared" si="214"/>
        <v>1</v>
      </c>
      <c r="AY366" s="17">
        <f t="shared" si="215"/>
        <v>276</v>
      </c>
      <c r="AZ366" s="28">
        <f t="shared" si="223"/>
        <v>0</v>
      </c>
      <c r="BA366" s="13">
        <f t="shared" si="216"/>
        <v>0</v>
      </c>
      <c r="BB366" s="13">
        <f t="shared" si="217"/>
        <v>0</v>
      </c>
      <c r="BC366" s="28">
        <f t="shared" si="224"/>
        <v>0</v>
      </c>
      <c r="BD366" s="28">
        <f t="shared" si="225"/>
        <v>0</v>
      </c>
      <c r="BF366" s="248">
        <f t="shared" si="226"/>
        <v>993869.29442638322</v>
      </c>
    </row>
    <row r="367" spans="1:58">
      <c r="A367" s="32">
        <f t="shared" si="227"/>
        <v>-192</v>
      </c>
      <c r="B367" s="32">
        <f t="shared" si="218"/>
        <v>76</v>
      </c>
      <c r="C367" s="32">
        <f t="shared" si="228"/>
        <v>24</v>
      </c>
      <c r="D367" s="32">
        <f t="shared" si="229"/>
        <v>277</v>
      </c>
      <c r="E367" s="74">
        <f>MIN(IF(AV367=0,0,
IF(Investment_Strategy="DIS",VLOOKUP(Investment_Strategy&amp;"_"&amp;Investment_Strategy_Sub1&amp;"_"&amp;$A367,'Investment Strategies'!$AZ:$BP,12,FALSE),
IF(AND(Investment_Strategy="Lifecycle",Investment_Strategy_Sub1="Non-Standard"),VLOOKUP(Investment_Strategy&amp;"_"&amp;Investment_Strategy_Sub2&amp;"_"&amp;$A367,'Investment Strategies'!$C:$P,9,FALSE),
IF(AND(Investment_Strategy="Lifecycle",Investment_Strategy_Sub1="Standard"),VLOOKUP(Investment_Strategy&amp;"_"&amp;Investment_Strategy_Sub2&amp;"_"&amp;$A367,'Investment Strategies'!$AJ:$AV,8,FALSE),
IF(AND(Investment_Strategy="Autopilot",Investment_Strategy_Sub1="Non-Standard"),VLOOKUP(Investment_Strategy&amp;"_"&amp;Investment_Strategy_Sub2&amp;"_"&amp;$A367,'Investment Strategies'!$T:$AF,8,FALSE),
IF(Investment_Strategy ="DIY",DIY_RateOfReturn_CurrentFunds,
"Error")))))),Max_InvReturn)</f>
        <v>0</v>
      </c>
      <c r="F367" s="62">
        <f>IF(AV367=0,0,
IF(Investment_Strategy="DIS",VLOOKUP(Investment_Strategy&amp;"_"&amp;Investment_Strategy_Sub1&amp;"_"&amp;$A367,'Investment Strategies'!$AZ:$BP,15,FALSE),
IF(AND(Investment_Strategy="Lifecycle",Investment_Strategy_Sub1="Non-Standard"),VLOOKUP(Investment_Strategy&amp;"_"&amp;Investment_Strategy_Sub2&amp;"_"&amp;$A367,'Investment Strategies'!$C:$P,12,FALSE),
IF(AND(Investment_Strategy="Lifecycle",Investment_Strategy_Sub1="Standard"),VLOOKUP(Investment_Strategy&amp;"_"&amp;Investment_Strategy_Sub2&amp;"_"&amp;$A367,'Investment Strategies'!$AJ:$AV,11,FALSE),
IF(AND(Investment_Strategy="Autopilot",Investment_Strategy_Sub1="Non-Standard"),VLOOKUP(Investment_Strategy&amp;"_"&amp;Investment_Strategy_Sub2&amp;"_"&amp;$A367,'Investment Strategies'!$T:$AF,11,FALSE),
IF(Investment_Strategy="DIY",DIY_GteeChrge_CurrentFunds,
"Error"))))))</f>
        <v>0</v>
      </c>
      <c r="G367" s="33">
        <f>IF(AV367=0,0,
IF(Investment_Strategy="DIS",VLOOKUP(Investment_Strategy&amp;"_"&amp;Investment_Strategy_Sub1&amp;"_"&amp;$A367,'Investment Strategies'!$AZ:$BP,17,FALSE),
IF(AND(Investment_Strategy="Lifecycle",Investment_Strategy_Sub1="Non-Standard"),VLOOKUP(Investment_Strategy&amp;"_"&amp;Investment_Strategy_Sub2&amp;"_"&amp;$A367,'Investment Strategies'!$C:$P,14,FALSE),
IF(AND(Investment_Strategy="Lifecycle",Investment_Strategy_Sub1="Standard"),VLOOKUP(Investment_Strategy&amp;"_"&amp;Investment_Strategy_Sub2&amp;"_"&amp;$A367,'Investment Strategies'!$AJ:$AV,13,FALSE),
IF(AND(Investment_Strategy="Autopilot",Investment_Strategy_Sub1="Non-Standard"),VLOOKUP(Investment_Strategy&amp;"_"&amp;Investment_Strategy_Sub2&amp;"_"&amp;$A367,'Investment Strategies'!$T:$AF,13,FALSE),
IF(Investment_Strategy="DIY",DIY_ExtManChrge_CurrentFunds,
"Error"))))))</f>
        <v>0</v>
      </c>
      <c r="H367" s="16">
        <f t="shared" si="219"/>
        <v>0</v>
      </c>
      <c r="I367" s="16">
        <f t="shared" si="205"/>
        <v>0</v>
      </c>
      <c r="J367" s="16">
        <f t="shared" si="206"/>
        <v>0</v>
      </c>
      <c r="K367" s="16">
        <f>(Opening_Fund_Value+SUM(K$91:K366))*E367*IF(D367=$A$91,SRP_finalmonthfactor,1)</f>
        <v>0</v>
      </c>
      <c r="L367" s="74">
        <f>MIN(IF($AV367=0,0,
IF(Investment_Strategy="DIS",VLOOKUP(Investment_Strategy&amp;"_"&amp;Investment_Strategy_Sub1&amp;"_"&amp;$A367,'Investment Strategies'!$AZ:$BP,12,FALSE),
IF(AND(Investment_Strategy="Lifecycle",Investment_Strategy_Sub1="Non-Standard"),VLOOKUP(Investment_Strategy&amp;"_"&amp;Investment_Strategy_Sub2&amp;"_"&amp;$A367,'Investment Strategies'!$C:$P,9,FALSE),
IF(AND(Investment_Strategy="Lifecycle",Investment_Strategy_Sub1="Standard"),VLOOKUP(Investment_Strategy&amp;"_"&amp;Investment_Strategy_Sub2&amp;"_"&amp;$A367,'Investment Strategies'!$AJ:$AV,8,FALSE),
IF(AND(Investment_Strategy="Autopilot",Investment_Strategy_Sub1="Non-Standard"),VLOOKUP(Investment_Strategy&amp;"_"&amp;Investment_Strategy_Sub2&amp;"_"&amp;$A367,'Investment Strategies'!$T:$AF,8,FALSE),
IF(Investment_Strategy ="DIY",DIY_RateofReturn_SP,
"Error")))))),Max_InvReturn)</f>
        <v>0</v>
      </c>
      <c r="M367" s="62">
        <f>IF($AV367=0,0,
IF(Investment_Strategy="DIS",VLOOKUP(Investment_Strategy&amp;"_"&amp;Investment_Strategy_Sub1&amp;"_"&amp;$A367,'Investment Strategies'!$AZ:$BP,15,FALSE),
IF(AND(Investment_Strategy="Lifecycle",Investment_Strategy_Sub1="Non-Standard"),VLOOKUP(Investment_Strategy&amp;"_"&amp;Investment_Strategy_Sub2&amp;"_"&amp;$A367,'Investment Strategies'!$C:$P,12,FALSE),
IF(AND(Investment_Strategy="Lifecycle",Investment_Strategy_Sub1="Standard"),VLOOKUP(Investment_Strategy&amp;"_"&amp;Investment_Strategy_Sub2&amp;"_"&amp;$A367,'Investment Strategies'!$AJ:$AV,11,FALSE),
IF(AND(Investment_Strategy="Autopilot",Investment_Strategy_Sub1="Non-Standard"),VLOOKUP(Investment_Strategy&amp;"_"&amp;Investment_Strategy_Sub2&amp;"_"&amp;$A367,'Investment Strategies'!$T:$AF,11,FALSE),
IF(Investment_Strategy="DIY",DIY_GteeChrge_SP,
"Error"))))))</f>
        <v>0</v>
      </c>
      <c r="N367" s="33">
        <f>IF($AV367=0,0,
IF(Investment_Strategy="DIS",VLOOKUP(Investment_Strategy&amp;"_"&amp;Investment_Strategy_Sub1&amp;"_"&amp;$A367,'Investment Strategies'!$AZ:$BP,17,FALSE),
IF(AND(Investment_Strategy="Lifecycle",Investment_Strategy_Sub1="Non-Standard"),VLOOKUP(Investment_Strategy&amp;"_"&amp;Investment_Strategy_Sub2&amp;"_"&amp;$A367,'Investment Strategies'!$C:$P,14,FALSE),
IF(AND(Investment_Strategy="Lifecycle",Investment_Strategy_Sub1="Standard"),VLOOKUP(Investment_Strategy&amp;"_"&amp;Investment_Strategy_Sub2&amp;"_"&amp;$A367,'Investment Strategies'!$AJ:$AV,13,FALSE),
IF(AND(Investment_Strategy="Autopilot",Investment_Strategy_Sub1="Non-Standard"),VLOOKUP(Investment_Strategy&amp;"_"&amp;Investment_Strategy_Sub2&amp;"_"&amp;$A367,'Investment Strategies'!$T:$AF,13,FALSE),
IF(Investment_Strategy="DIY",DIY_ExtManChrge_SP,
"Error"))))))</f>
        <v>0</v>
      </c>
      <c r="O367" s="16">
        <f t="shared" si="230"/>
        <v>0</v>
      </c>
      <c r="Q367" s="16">
        <f t="shared" si="207"/>
        <v>0</v>
      </c>
      <c r="R367" s="16">
        <f t="shared" si="203"/>
        <v>0</v>
      </c>
      <c r="S367" s="16">
        <f>(SRP_SP+SUM(S$91:S366))*L367*IF(D367=$A$91,SRP_finalmonthfactor,1)</f>
        <v>0</v>
      </c>
      <c r="T367" s="74">
        <f>MIN(IF($AV367=0,0,
IF(Investment_Strategy="DIS",VLOOKUP(Investment_Strategy&amp;"_"&amp;Investment_Strategy_Sub1&amp;"_"&amp;$A367,'Investment Strategies'!$AZ:$BP,12,FALSE),
IF(AND(Investment_Strategy="Lifecycle",Investment_Strategy_Sub1="Non-Standard"),VLOOKUP(Investment_Strategy&amp;"_"&amp;Investment_Strategy_Sub2&amp;"_"&amp;$A367,'Investment Strategies'!$C:$P,9,FALSE),
IF(AND(Investment_Strategy="Lifecycle",Investment_Strategy_Sub1="Standard"),VLOOKUP(Investment_Strategy&amp;"_"&amp;Investment_Strategy_Sub2&amp;"_"&amp;$A367,'Investment Strategies'!$AJ:$AV,8,FALSE),
IF(AND(Investment_Strategy="Autopilot",Investment_Strategy_Sub1="Non-Standard"),VLOOKUP(Investment_Strategy&amp;"_"&amp;Investment_Strategy_Sub2&amp;"_"&amp;$A367,'Investment Strategies'!$T:$AF,8,FALSE),
IF(Investment_Strategy ="DIY",DIY_RateOfReturn_FuturePremiums,
"Error")))))),Max_InvReturn)</f>
        <v>0</v>
      </c>
      <c r="U367" s="62">
        <f>IF($AV367=0,0,
IF(Investment_Strategy="DIS",VLOOKUP(Investment_Strategy&amp;"_"&amp;Investment_Strategy_Sub1&amp;"_"&amp;$A367,'Investment Strategies'!$AZ:$BP,15,FALSE),
IF(AND(Investment_Strategy="Lifecycle",Investment_Strategy_Sub1="Non-Standard"),VLOOKUP(Investment_Strategy&amp;"_"&amp;Investment_Strategy_Sub2&amp;"_"&amp;$A367,'Investment Strategies'!$C:$P,12,FALSE),
IF(AND(Investment_Strategy="Lifecycle",Investment_Strategy_Sub1="Standard"),VLOOKUP(Investment_Strategy&amp;"_"&amp;Investment_Strategy_Sub2&amp;"_"&amp;$A367,'Investment Strategies'!$AJ:$AV,11,FALSE),
IF(AND(Investment_Strategy="Autopilot",Investment_Strategy_Sub1="Non-Standard"),VLOOKUP(Investment_Strategy&amp;"_"&amp;Investment_Strategy_Sub2&amp;"_"&amp;$A367,'Investment Strategies'!$T:$AF,11,FALSE),
IF(Investment_Strategy="DIY",DIY_GteeChrge_FuturePremiums,
"Error"))))))</f>
        <v>0</v>
      </c>
      <c r="V367" s="33">
        <f>IF(AV367=0,0,
IF(Investment_Strategy="DIS",VLOOKUP(Investment_Strategy&amp;"_"&amp;Investment_Strategy_Sub1&amp;"_"&amp;$A367,'Investment Strategies'!$AZ:$BP,17,FALSE),
IF(AND(Investment_Strategy="Lifecycle",Investment_Strategy_Sub1="Non-Standard"),VLOOKUP(Investment_Strategy&amp;"_"&amp;Investment_Strategy_Sub2&amp;"_"&amp;$A367,'Investment Strategies'!$C:$P,14,FALSE),
IF(AND(Investment_Strategy="Lifecycle",Investment_Strategy_Sub1="Standard"),VLOOKUP(Investment_Strategy&amp;"_"&amp;Investment_Strategy_Sub2&amp;"_"&amp;$A367,'Investment Strategies'!$AJ:$AV,13,FALSE),
IF(AND(Investment_Strategy="Autopilot",Investment_Strategy_Sub1="Non-Standard"),VLOOKUP(Investment_Strategy&amp;"_"&amp;Investment_Strategy_Sub2&amp;"_"&amp;$A367,'Investment Strategies'!$T:$AF,13,FALSE),
IF(Investment_Strategy="DIY",DIY_ExtManChrge_FuturePremiums,
"Error"))))))</f>
        <v>0</v>
      </c>
      <c r="W367" s="16">
        <f t="shared" si="231"/>
        <v>0</v>
      </c>
      <c r="X367" s="16">
        <f t="shared" si="208"/>
        <v>0</v>
      </c>
      <c r="Y367" s="16">
        <f t="shared" si="209"/>
        <v>0</v>
      </c>
      <c r="Z367" s="31">
        <f t="shared" si="210"/>
        <v>0.02</v>
      </c>
      <c r="AA367" s="16">
        <f t="shared" si="211"/>
        <v>0</v>
      </c>
      <c r="AB367" s="28">
        <f t="shared" si="232"/>
        <v>0</v>
      </c>
      <c r="AC367" s="28">
        <f>(SUM($AC$91:AC366)+SUM($X$91:X366)+X367)*T367*IF(D367=$A$91,SRP_finalmonthfactor,1)</f>
        <v>0</v>
      </c>
      <c r="AD367" s="16">
        <f t="shared" si="212"/>
        <v>0</v>
      </c>
      <c r="AE367" s="106"/>
      <c r="AF367" s="16">
        <f t="shared" si="220"/>
        <v>0</v>
      </c>
      <c r="AG367" s="16">
        <f t="shared" si="221"/>
        <v>0</v>
      </c>
      <c r="AH367" s="16">
        <f t="shared" si="222"/>
        <v>0</v>
      </c>
      <c r="AJ367" s="13">
        <f t="shared" si="234"/>
        <v>0</v>
      </c>
      <c r="AK367" s="13">
        <f t="shared" si="234"/>
        <v>0</v>
      </c>
      <c r="AL367" s="13">
        <f t="shared" si="234"/>
        <v>0</v>
      </c>
      <c r="AM367" s="13">
        <f t="shared" si="234"/>
        <v>0</v>
      </c>
      <c r="AN367" s="13">
        <f t="shared" si="234"/>
        <v>0</v>
      </c>
      <c r="AO367" s="13">
        <f t="shared" si="234"/>
        <v>1</v>
      </c>
      <c r="AP367" s="13">
        <f t="shared" si="234"/>
        <v>1</v>
      </c>
      <c r="AQ367" s="13">
        <f t="shared" si="234"/>
        <v>1</v>
      </c>
      <c r="AR367" s="13">
        <f t="shared" si="234"/>
        <v>1</v>
      </c>
      <c r="AS367" s="13">
        <f t="shared" si="234"/>
        <v>1</v>
      </c>
      <c r="AT367" s="13">
        <f t="shared" si="234"/>
        <v>1</v>
      </c>
      <c r="AU367" s="13">
        <f t="shared" si="234"/>
        <v>1</v>
      </c>
      <c r="AV367" s="13">
        <f t="shared" si="213"/>
        <v>0</v>
      </c>
      <c r="AW367" s="13">
        <f t="shared" si="214"/>
        <v>1</v>
      </c>
      <c r="AY367" s="17">
        <f t="shared" si="215"/>
        <v>277</v>
      </c>
      <c r="AZ367" s="28">
        <f t="shared" si="223"/>
        <v>0</v>
      </c>
      <c r="BA367" s="13">
        <f t="shared" si="216"/>
        <v>0</v>
      </c>
      <c r="BB367" s="13">
        <f t="shared" si="217"/>
        <v>0</v>
      </c>
      <c r="BC367" s="28">
        <f t="shared" si="224"/>
        <v>0</v>
      </c>
      <c r="BD367" s="28">
        <f t="shared" si="225"/>
        <v>0</v>
      </c>
      <c r="BF367" s="248">
        <f t="shared" si="226"/>
        <v>993869.29442638322</v>
      </c>
    </row>
    <row r="368" spans="1:58">
      <c r="A368" s="32">
        <f t="shared" si="227"/>
        <v>-193</v>
      </c>
      <c r="B368" s="32">
        <f t="shared" si="218"/>
        <v>76</v>
      </c>
      <c r="C368" s="32">
        <f t="shared" si="228"/>
        <v>24</v>
      </c>
      <c r="D368" s="32">
        <f t="shared" si="229"/>
        <v>278</v>
      </c>
      <c r="E368" s="74">
        <f>MIN(IF(AV368=0,0,
IF(Investment_Strategy="DIS",VLOOKUP(Investment_Strategy&amp;"_"&amp;Investment_Strategy_Sub1&amp;"_"&amp;$A368,'Investment Strategies'!$AZ:$BP,12,FALSE),
IF(AND(Investment_Strategy="Lifecycle",Investment_Strategy_Sub1="Non-Standard"),VLOOKUP(Investment_Strategy&amp;"_"&amp;Investment_Strategy_Sub2&amp;"_"&amp;$A368,'Investment Strategies'!$C:$P,9,FALSE),
IF(AND(Investment_Strategy="Lifecycle",Investment_Strategy_Sub1="Standard"),VLOOKUP(Investment_Strategy&amp;"_"&amp;Investment_Strategy_Sub2&amp;"_"&amp;$A368,'Investment Strategies'!$AJ:$AV,8,FALSE),
IF(AND(Investment_Strategy="Autopilot",Investment_Strategy_Sub1="Non-Standard"),VLOOKUP(Investment_Strategy&amp;"_"&amp;Investment_Strategy_Sub2&amp;"_"&amp;$A368,'Investment Strategies'!$T:$AF,8,FALSE),
IF(Investment_Strategy ="DIY",DIY_RateOfReturn_CurrentFunds,
"Error")))))),Max_InvReturn)</f>
        <v>0</v>
      </c>
      <c r="F368" s="62">
        <f>IF(AV368=0,0,
IF(Investment_Strategy="DIS",VLOOKUP(Investment_Strategy&amp;"_"&amp;Investment_Strategy_Sub1&amp;"_"&amp;$A368,'Investment Strategies'!$AZ:$BP,15,FALSE),
IF(AND(Investment_Strategy="Lifecycle",Investment_Strategy_Sub1="Non-Standard"),VLOOKUP(Investment_Strategy&amp;"_"&amp;Investment_Strategy_Sub2&amp;"_"&amp;$A368,'Investment Strategies'!$C:$P,12,FALSE),
IF(AND(Investment_Strategy="Lifecycle",Investment_Strategy_Sub1="Standard"),VLOOKUP(Investment_Strategy&amp;"_"&amp;Investment_Strategy_Sub2&amp;"_"&amp;$A368,'Investment Strategies'!$AJ:$AV,11,FALSE),
IF(AND(Investment_Strategy="Autopilot",Investment_Strategy_Sub1="Non-Standard"),VLOOKUP(Investment_Strategy&amp;"_"&amp;Investment_Strategy_Sub2&amp;"_"&amp;$A368,'Investment Strategies'!$T:$AF,11,FALSE),
IF(Investment_Strategy="DIY",DIY_GteeChrge_CurrentFunds,
"Error"))))))</f>
        <v>0</v>
      </c>
      <c r="G368" s="33">
        <f>IF(AV368=0,0,
IF(Investment_Strategy="DIS",VLOOKUP(Investment_Strategy&amp;"_"&amp;Investment_Strategy_Sub1&amp;"_"&amp;$A368,'Investment Strategies'!$AZ:$BP,17,FALSE),
IF(AND(Investment_Strategy="Lifecycle",Investment_Strategy_Sub1="Non-Standard"),VLOOKUP(Investment_Strategy&amp;"_"&amp;Investment_Strategy_Sub2&amp;"_"&amp;$A368,'Investment Strategies'!$C:$P,14,FALSE),
IF(AND(Investment_Strategy="Lifecycle",Investment_Strategy_Sub1="Standard"),VLOOKUP(Investment_Strategy&amp;"_"&amp;Investment_Strategy_Sub2&amp;"_"&amp;$A368,'Investment Strategies'!$AJ:$AV,13,FALSE),
IF(AND(Investment_Strategy="Autopilot",Investment_Strategy_Sub1="Non-Standard"),VLOOKUP(Investment_Strategy&amp;"_"&amp;Investment_Strategy_Sub2&amp;"_"&amp;$A368,'Investment Strategies'!$T:$AF,13,FALSE),
IF(Investment_Strategy="DIY",DIY_ExtManChrge_CurrentFunds,
"Error"))))))</f>
        <v>0</v>
      </c>
      <c r="H368" s="16">
        <f t="shared" si="219"/>
        <v>0</v>
      </c>
      <c r="I368" s="16">
        <f t="shared" si="205"/>
        <v>0</v>
      </c>
      <c r="J368" s="16">
        <f t="shared" si="206"/>
        <v>0</v>
      </c>
      <c r="K368" s="16">
        <f>(Opening_Fund_Value+SUM(K$91:K367))*E368*IF(D368=$A$91,SRP_finalmonthfactor,1)</f>
        <v>0</v>
      </c>
      <c r="L368" s="74">
        <f>MIN(IF($AV368=0,0,
IF(Investment_Strategy="DIS",VLOOKUP(Investment_Strategy&amp;"_"&amp;Investment_Strategy_Sub1&amp;"_"&amp;$A368,'Investment Strategies'!$AZ:$BP,12,FALSE),
IF(AND(Investment_Strategy="Lifecycle",Investment_Strategy_Sub1="Non-Standard"),VLOOKUP(Investment_Strategy&amp;"_"&amp;Investment_Strategy_Sub2&amp;"_"&amp;$A368,'Investment Strategies'!$C:$P,9,FALSE),
IF(AND(Investment_Strategy="Lifecycle",Investment_Strategy_Sub1="Standard"),VLOOKUP(Investment_Strategy&amp;"_"&amp;Investment_Strategy_Sub2&amp;"_"&amp;$A368,'Investment Strategies'!$AJ:$AV,8,FALSE),
IF(AND(Investment_Strategy="Autopilot",Investment_Strategy_Sub1="Non-Standard"),VLOOKUP(Investment_Strategy&amp;"_"&amp;Investment_Strategy_Sub2&amp;"_"&amp;$A368,'Investment Strategies'!$T:$AF,8,FALSE),
IF(Investment_Strategy ="DIY",DIY_RateofReturn_SP,
"Error")))))),Max_InvReturn)</f>
        <v>0</v>
      </c>
      <c r="M368" s="62">
        <f>IF($AV368=0,0,
IF(Investment_Strategy="DIS",VLOOKUP(Investment_Strategy&amp;"_"&amp;Investment_Strategy_Sub1&amp;"_"&amp;$A368,'Investment Strategies'!$AZ:$BP,15,FALSE),
IF(AND(Investment_Strategy="Lifecycle",Investment_Strategy_Sub1="Non-Standard"),VLOOKUP(Investment_Strategy&amp;"_"&amp;Investment_Strategy_Sub2&amp;"_"&amp;$A368,'Investment Strategies'!$C:$P,12,FALSE),
IF(AND(Investment_Strategy="Lifecycle",Investment_Strategy_Sub1="Standard"),VLOOKUP(Investment_Strategy&amp;"_"&amp;Investment_Strategy_Sub2&amp;"_"&amp;$A368,'Investment Strategies'!$AJ:$AV,11,FALSE),
IF(AND(Investment_Strategy="Autopilot",Investment_Strategy_Sub1="Non-Standard"),VLOOKUP(Investment_Strategy&amp;"_"&amp;Investment_Strategy_Sub2&amp;"_"&amp;$A368,'Investment Strategies'!$T:$AF,11,FALSE),
IF(Investment_Strategy="DIY",DIY_GteeChrge_SP,
"Error"))))))</f>
        <v>0</v>
      </c>
      <c r="N368" s="33">
        <f>IF($AV368=0,0,
IF(Investment_Strategy="DIS",VLOOKUP(Investment_Strategy&amp;"_"&amp;Investment_Strategy_Sub1&amp;"_"&amp;$A368,'Investment Strategies'!$AZ:$BP,17,FALSE),
IF(AND(Investment_Strategy="Lifecycle",Investment_Strategy_Sub1="Non-Standard"),VLOOKUP(Investment_Strategy&amp;"_"&amp;Investment_Strategy_Sub2&amp;"_"&amp;$A368,'Investment Strategies'!$C:$P,14,FALSE),
IF(AND(Investment_Strategy="Lifecycle",Investment_Strategy_Sub1="Standard"),VLOOKUP(Investment_Strategy&amp;"_"&amp;Investment_Strategy_Sub2&amp;"_"&amp;$A368,'Investment Strategies'!$AJ:$AV,13,FALSE),
IF(AND(Investment_Strategy="Autopilot",Investment_Strategy_Sub1="Non-Standard"),VLOOKUP(Investment_Strategy&amp;"_"&amp;Investment_Strategy_Sub2&amp;"_"&amp;$A368,'Investment Strategies'!$T:$AF,13,FALSE),
IF(Investment_Strategy="DIY",DIY_ExtManChrge_SP,
"Error"))))))</f>
        <v>0</v>
      </c>
      <c r="O368" s="16">
        <f t="shared" si="230"/>
        <v>0</v>
      </c>
      <c r="Q368" s="16">
        <f t="shared" si="207"/>
        <v>0</v>
      </c>
      <c r="R368" s="16">
        <f t="shared" si="203"/>
        <v>0</v>
      </c>
      <c r="S368" s="16">
        <f>(SRP_SP+SUM(S$91:S367))*L368*IF(D368=$A$91,SRP_finalmonthfactor,1)</f>
        <v>0</v>
      </c>
      <c r="T368" s="74">
        <f>MIN(IF($AV368=0,0,
IF(Investment_Strategy="DIS",VLOOKUP(Investment_Strategy&amp;"_"&amp;Investment_Strategy_Sub1&amp;"_"&amp;$A368,'Investment Strategies'!$AZ:$BP,12,FALSE),
IF(AND(Investment_Strategy="Lifecycle",Investment_Strategy_Sub1="Non-Standard"),VLOOKUP(Investment_Strategy&amp;"_"&amp;Investment_Strategy_Sub2&amp;"_"&amp;$A368,'Investment Strategies'!$C:$P,9,FALSE),
IF(AND(Investment_Strategy="Lifecycle",Investment_Strategy_Sub1="Standard"),VLOOKUP(Investment_Strategy&amp;"_"&amp;Investment_Strategy_Sub2&amp;"_"&amp;$A368,'Investment Strategies'!$AJ:$AV,8,FALSE),
IF(AND(Investment_Strategy="Autopilot",Investment_Strategy_Sub1="Non-Standard"),VLOOKUP(Investment_Strategy&amp;"_"&amp;Investment_Strategy_Sub2&amp;"_"&amp;$A368,'Investment Strategies'!$T:$AF,8,FALSE),
IF(Investment_Strategy ="DIY",DIY_RateOfReturn_FuturePremiums,
"Error")))))),Max_InvReturn)</f>
        <v>0</v>
      </c>
      <c r="U368" s="62">
        <f>IF($AV368=0,0,
IF(Investment_Strategy="DIS",VLOOKUP(Investment_Strategy&amp;"_"&amp;Investment_Strategy_Sub1&amp;"_"&amp;$A368,'Investment Strategies'!$AZ:$BP,15,FALSE),
IF(AND(Investment_Strategy="Lifecycle",Investment_Strategy_Sub1="Non-Standard"),VLOOKUP(Investment_Strategy&amp;"_"&amp;Investment_Strategy_Sub2&amp;"_"&amp;$A368,'Investment Strategies'!$C:$P,12,FALSE),
IF(AND(Investment_Strategy="Lifecycle",Investment_Strategy_Sub1="Standard"),VLOOKUP(Investment_Strategy&amp;"_"&amp;Investment_Strategy_Sub2&amp;"_"&amp;$A368,'Investment Strategies'!$AJ:$AV,11,FALSE),
IF(AND(Investment_Strategy="Autopilot",Investment_Strategy_Sub1="Non-Standard"),VLOOKUP(Investment_Strategy&amp;"_"&amp;Investment_Strategy_Sub2&amp;"_"&amp;$A368,'Investment Strategies'!$T:$AF,11,FALSE),
IF(Investment_Strategy="DIY",DIY_GteeChrge_FuturePremiums,
"Error"))))))</f>
        <v>0</v>
      </c>
      <c r="V368" s="33">
        <f>IF(AV368=0,0,
IF(Investment_Strategy="DIS",VLOOKUP(Investment_Strategy&amp;"_"&amp;Investment_Strategy_Sub1&amp;"_"&amp;$A368,'Investment Strategies'!$AZ:$BP,17,FALSE),
IF(AND(Investment_Strategy="Lifecycle",Investment_Strategy_Sub1="Non-Standard"),VLOOKUP(Investment_Strategy&amp;"_"&amp;Investment_Strategy_Sub2&amp;"_"&amp;$A368,'Investment Strategies'!$C:$P,14,FALSE),
IF(AND(Investment_Strategy="Lifecycle",Investment_Strategy_Sub1="Standard"),VLOOKUP(Investment_Strategy&amp;"_"&amp;Investment_Strategy_Sub2&amp;"_"&amp;$A368,'Investment Strategies'!$AJ:$AV,13,FALSE),
IF(AND(Investment_Strategy="Autopilot",Investment_Strategy_Sub1="Non-Standard"),VLOOKUP(Investment_Strategy&amp;"_"&amp;Investment_Strategy_Sub2&amp;"_"&amp;$A368,'Investment Strategies'!$T:$AF,13,FALSE),
IF(Investment_Strategy="DIY",DIY_ExtManChrge_FuturePremiums,
"Error"))))))</f>
        <v>0</v>
      </c>
      <c r="W368" s="16">
        <f t="shared" si="231"/>
        <v>0</v>
      </c>
      <c r="X368" s="16">
        <f t="shared" si="208"/>
        <v>0</v>
      </c>
      <c r="Y368" s="16">
        <f t="shared" si="209"/>
        <v>0</v>
      </c>
      <c r="Z368" s="31">
        <f t="shared" si="210"/>
        <v>0.02</v>
      </c>
      <c r="AA368" s="16">
        <f t="shared" si="211"/>
        <v>0</v>
      </c>
      <c r="AB368" s="28">
        <f t="shared" si="232"/>
        <v>0</v>
      </c>
      <c r="AC368" s="28">
        <f>(SUM($AC$91:AC367)+SUM($X$91:X367)+X368)*T368*IF(D368=$A$91,SRP_finalmonthfactor,1)</f>
        <v>0</v>
      </c>
      <c r="AD368" s="16">
        <f t="shared" si="212"/>
        <v>0</v>
      </c>
      <c r="AE368" s="106"/>
      <c r="AF368" s="16">
        <f t="shared" si="220"/>
        <v>0</v>
      </c>
      <c r="AG368" s="16">
        <f t="shared" si="221"/>
        <v>0</v>
      </c>
      <c r="AH368" s="16">
        <f t="shared" si="222"/>
        <v>0</v>
      </c>
      <c r="AJ368" s="13">
        <f t="shared" si="234"/>
        <v>0</v>
      </c>
      <c r="AK368" s="13">
        <f t="shared" si="234"/>
        <v>0</v>
      </c>
      <c r="AL368" s="13">
        <f t="shared" si="234"/>
        <v>0</v>
      </c>
      <c r="AM368" s="13">
        <f t="shared" si="234"/>
        <v>0</v>
      </c>
      <c r="AN368" s="13">
        <f t="shared" si="234"/>
        <v>0</v>
      </c>
      <c r="AO368" s="13">
        <f t="shared" si="234"/>
        <v>1</v>
      </c>
      <c r="AP368" s="13">
        <f t="shared" si="234"/>
        <v>1</v>
      </c>
      <c r="AQ368" s="13">
        <f t="shared" si="234"/>
        <v>1</v>
      </c>
      <c r="AR368" s="13">
        <f t="shared" si="234"/>
        <v>1</v>
      </c>
      <c r="AS368" s="13">
        <f t="shared" si="234"/>
        <v>1</v>
      </c>
      <c r="AT368" s="13">
        <f t="shared" si="234"/>
        <v>1</v>
      </c>
      <c r="AU368" s="13">
        <f t="shared" si="234"/>
        <v>1</v>
      </c>
      <c r="AV368" s="13">
        <f t="shared" si="213"/>
        <v>0</v>
      </c>
      <c r="AW368" s="13">
        <f t="shared" si="214"/>
        <v>1</v>
      </c>
      <c r="AY368" s="17">
        <f t="shared" si="215"/>
        <v>278</v>
      </c>
      <c r="AZ368" s="28">
        <f t="shared" si="223"/>
        <v>0</v>
      </c>
      <c r="BA368" s="13">
        <f t="shared" si="216"/>
        <v>0</v>
      </c>
      <c r="BB368" s="13">
        <f t="shared" si="217"/>
        <v>0</v>
      </c>
      <c r="BC368" s="28">
        <f t="shared" si="224"/>
        <v>0</v>
      </c>
      <c r="BD368" s="28">
        <f t="shared" si="225"/>
        <v>0</v>
      </c>
      <c r="BF368" s="248">
        <f t="shared" si="226"/>
        <v>993869.29442638322</v>
      </c>
    </row>
    <row r="369" spans="1:58">
      <c r="A369" s="32">
        <f t="shared" si="227"/>
        <v>-194</v>
      </c>
      <c r="B369" s="32">
        <f t="shared" si="218"/>
        <v>76</v>
      </c>
      <c r="C369" s="32">
        <f t="shared" si="228"/>
        <v>24</v>
      </c>
      <c r="D369" s="32">
        <f t="shared" si="229"/>
        <v>279</v>
      </c>
      <c r="E369" s="74">
        <f>MIN(IF(AV369=0,0,
IF(Investment_Strategy="DIS",VLOOKUP(Investment_Strategy&amp;"_"&amp;Investment_Strategy_Sub1&amp;"_"&amp;$A369,'Investment Strategies'!$AZ:$BP,12,FALSE),
IF(AND(Investment_Strategy="Lifecycle",Investment_Strategy_Sub1="Non-Standard"),VLOOKUP(Investment_Strategy&amp;"_"&amp;Investment_Strategy_Sub2&amp;"_"&amp;$A369,'Investment Strategies'!$C:$P,9,FALSE),
IF(AND(Investment_Strategy="Lifecycle",Investment_Strategy_Sub1="Standard"),VLOOKUP(Investment_Strategy&amp;"_"&amp;Investment_Strategy_Sub2&amp;"_"&amp;$A369,'Investment Strategies'!$AJ:$AV,8,FALSE),
IF(AND(Investment_Strategy="Autopilot",Investment_Strategy_Sub1="Non-Standard"),VLOOKUP(Investment_Strategy&amp;"_"&amp;Investment_Strategy_Sub2&amp;"_"&amp;$A369,'Investment Strategies'!$T:$AF,8,FALSE),
IF(Investment_Strategy ="DIY",DIY_RateOfReturn_CurrentFunds,
"Error")))))),Max_InvReturn)</f>
        <v>0</v>
      </c>
      <c r="F369" s="62">
        <f>IF(AV369=0,0,
IF(Investment_Strategy="DIS",VLOOKUP(Investment_Strategy&amp;"_"&amp;Investment_Strategy_Sub1&amp;"_"&amp;$A369,'Investment Strategies'!$AZ:$BP,15,FALSE),
IF(AND(Investment_Strategy="Lifecycle",Investment_Strategy_Sub1="Non-Standard"),VLOOKUP(Investment_Strategy&amp;"_"&amp;Investment_Strategy_Sub2&amp;"_"&amp;$A369,'Investment Strategies'!$C:$P,12,FALSE),
IF(AND(Investment_Strategy="Lifecycle",Investment_Strategy_Sub1="Standard"),VLOOKUP(Investment_Strategy&amp;"_"&amp;Investment_Strategy_Sub2&amp;"_"&amp;$A369,'Investment Strategies'!$AJ:$AV,11,FALSE),
IF(AND(Investment_Strategy="Autopilot",Investment_Strategy_Sub1="Non-Standard"),VLOOKUP(Investment_Strategy&amp;"_"&amp;Investment_Strategy_Sub2&amp;"_"&amp;$A369,'Investment Strategies'!$T:$AF,11,FALSE),
IF(Investment_Strategy="DIY",DIY_GteeChrge_CurrentFunds,
"Error"))))))</f>
        <v>0</v>
      </c>
      <c r="G369" s="33">
        <f>IF(AV369=0,0,
IF(Investment_Strategy="DIS",VLOOKUP(Investment_Strategy&amp;"_"&amp;Investment_Strategy_Sub1&amp;"_"&amp;$A369,'Investment Strategies'!$AZ:$BP,17,FALSE),
IF(AND(Investment_Strategy="Lifecycle",Investment_Strategy_Sub1="Non-Standard"),VLOOKUP(Investment_Strategy&amp;"_"&amp;Investment_Strategy_Sub2&amp;"_"&amp;$A369,'Investment Strategies'!$C:$P,14,FALSE),
IF(AND(Investment_Strategy="Lifecycle",Investment_Strategy_Sub1="Standard"),VLOOKUP(Investment_Strategy&amp;"_"&amp;Investment_Strategy_Sub2&amp;"_"&amp;$A369,'Investment Strategies'!$AJ:$AV,13,FALSE),
IF(AND(Investment_Strategy="Autopilot",Investment_Strategy_Sub1="Non-Standard"),VLOOKUP(Investment_Strategy&amp;"_"&amp;Investment_Strategy_Sub2&amp;"_"&amp;$A369,'Investment Strategies'!$T:$AF,13,FALSE),
IF(Investment_Strategy="DIY",DIY_ExtManChrge_CurrentFunds,
"Error"))))))</f>
        <v>0</v>
      </c>
      <c r="H369" s="16">
        <f t="shared" si="219"/>
        <v>0</v>
      </c>
      <c r="I369" s="16">
        <f t="shared" si="205"/>
        <v>0</v>
      </c>
      <c r="J369" s="16">
        <f t="shared" si="206"/>
        <v>0</v>
      </c>
      <c r="K369" s="16">
        <f>(Opening_Fund_Value+SUM(K$91:K368))*E369*IF(D369=$A$91,SRP_finalmonthfactor,1)</f>
        <v>0</v>
      </c>
      <c r="L369" s="74">
        <f>MIN(IF($AV369=0,0,
IF(Investment_Strategy="DIS",VLOOKUP(Investment_Strategy&amp;"_"&amp;Investment_Strategy_Sub1&amp;"_"&amp;$A369,'Investment Strategies'!$AZ:$BP,12,FALSE),
IF(AND(Investment_Strategy="Lifecycle",Investment_Strategy_Sub1="Non-Standard"),VLOOKUP(Investment_Strategy&amp;"_"&amp;Investment_Strategy_Sub2&amp;"_"&amp;$A369,'Investment Strategies'!$C:$P,9,FALSE),
IF(AND(Investment_Strategy="Lifecycle",Investment_Strategy_Sub1="Standard"),VLOOKUP(Investment_Strategy&amp;"_"&amp;Investment_Strategy_Sub2&amp;"_"&amp;$A369,'Investment Strategies'!$AJ:$AV,8,FALSE),
IF(AND(Investment_Strategy="Autopilot",Investment_Strategy_Sub1="Non-Standard"),VLOOKUP(Investment_Strategy&amp;"_"&amp;Investment_Strategy_Sub2&amp;"_"&amp;$A369,'Investment Strategies'!$T:$AF,8,FALSE),
IF(Investment_Strategy ="DIY",DIY_RateofReturn_SP,
"Error")))))),Max_InvReturn)</f>
        <v>0</v>
      </c>
      <c r="M369" s="62">
        <f>IF($AV369=0,0,
IF(Investment_Strategy="DIS",VLOOKUP(Investment_Strategy&amp;"_"&amp;Investment_Strategy_Sub1&amp;"_"&amp;$A369,'Investment Strategies'!$AZ:$BP,15,FALSE),
IF(AND(Investment_Strategy="Lifecycle",Investment_Strategy_Sub1="Non-Standard"),VLOOKUP(Investment_Strategy&amp;"_"&amp;Investment_Strategy_Sub2&amp;"_"&amp;$A369,'Investment Strategies'!$C:$P,12,FALSE),
IF(AND(Investment_Strategy="Lifecycle",Investment_Strategy_Sub1="Standard"),VLOOKUP(Investment_Strategy&amp;"_"&amp;Investment_Strategy_Sub2&amp;"_"&amp;$A369,'Investment Strategies'!$AJ:$AV,11,FALSE),
IF(AND(Investment_Strategy="Autopilot",Investment_Strategy_Sub1="Non-Standard"),VLOOKUP(Investment_Strategy&amp;"_"&amp;Investment_Strategy_Sub2&amp;"_"&amp;$A369,'Investment Strategies'!$T:$AF,11,FALSE),
IF(Investment_Strategy="DIY",DIY_GteeChrge_SP,
"Error"))))))</f>
        <v>0</v>
      </c>
      <c r="N369" s="33">
        <f>IF($AV369=0,0,
IF(Investment_Strategy="DIS",VLOOKUP(Investment_Strategy&amp;"_"&amp;Investment_Strategy_Sub1&amp;"_"&amp;$A369,'Investment Strategies'!$AZ:$BP,17,FALSE),
IF(AND(Investment_Strategy="Lifecycle",Investment_Strategy_Sub1="Non-Standard"),VLOOKUP(Investment_Strategy&amp;"_"&amp;Investment_Strategy_Sub2&amp;"_"&amp;$A369,'Investment Strategies'!$C:$P,14,FALSE),
IF(AND(Investment_Strategy="Lifecycle",Investment_Strategy_Sub1="Standard"),VLOOKUP(Investment_Strategy&amp;"_"&amp;Investment_Strategy_Sub2&amp;"_"&amp;$A369,'Investment Strategies'!$AJ:$AV,13,FALSE),
IF(AND(Investment_Strategy="Autopilot",Investment_Strategy_Sub1="Non-Standard"),VLOOKUP(Investment_Strategy&amp;"_"&amp;Investment_Strategy_Sub2&amp;"_"&amp;$A369,'Investment Strategies'!$T:$AF,13,FALSE),
IF(Investment_Strategy="DIY",DIY_ExtManChrge_SP,
"Error"))))))</f>
        <v>0</v>
      </c>
      <c r="O369" s="16">
        <f t="shared" si="230"/>
        <v>0</v>
      </c>
      <c r="Q369" s="16">
        <f t="shared" si="207"/>
        <v>0</v>
      </c>
      <c r="R369" s="16">
        <f t="shared" si="203"/>
        <v>0</v>
      </c>
      <c r="S369" s="16">
        <f>(SRP_SP+SUM(S$91:S368))*L369*IF(D369=$A$91,SRP_finalmonthfactor,1)</f>
        <v>0</v>
      </c>
      <c r="T369" s="74">
        <f>MIN(IF($AV369=0,0,
IF(Investment_Strategy="DIS",VLOOKUP(Investment_Strategy&amp;"_"&amp;Investment_Strategy_Sub1&amp;"_"&amp;$A369,'Investment Strategies'!$AZ:$BP,12,FALSE),
IF(AND(Investment_Strategy="Lifecycle",Investment_Strategy_Sub1="Non-Standard"),VLOOKUP(Investment_Strategy&amp;"_"&amp;Investment_Strategy_Sub2&amp;"_"&amp;$A369,'Investment Strategies'!$C:$P,9,FALSE),
IF(AND(Investment_Strategy="Lifecycle",Investment_Strategy_Sub1="Standard"),VLOOKUP(Investment_Strategy&amp;"_"&amp;Investment_Strategy_Sub2&amp;"_"&amp;$A369,'Investment Strategies'!$AJ:$AV,8,FALSE),
IF(AND(Investment_Strategy="Autopilot",Investment_Strategy_Sub1="Non-Standard"),VLOOKUP(Investment_Strategy&amp;"_"&amp;Investment_Strategy_Sub2&amp;"_"&amp;$A369,'Investment Strategies'!$T:$AF,8,FALSE),
IF(Investment_Strategy ="DIY",DIY_RateOfReturn_FuturePremiums,
"Error")))))),Max_InvReturn)</f>
        <v>0</v>
      </c>
      <c r="U369" s="62">
        <f>IF($AV369=0,0,
IF(Investment_Strategy="DIS",VLOOKUP(Investment_Strategy&amp;"_"&amp;Investment_Strategy_Sub1&amp;"_"&amp;$A369,'Investment Strategies'!$AZ:$BP,15,FALSE),
IF(AND(Investment_Strategy="Lifecycle",Investment_Strategy_Sub1="Non-Standard"),VLOOKUP(Investment_Strategy&amp;"_"&amp;Investment_Strategy_Sub2&amp;"_"&amp;$A369,'Investment Strategies'!$C:$P,12,FALSE),
IF(AND(Investment_Strategy="Lifecycle",Investment_Strategy_Sub1="Standard"),VLOOKUP(Investment_Strategy&amp;"_"&amp;Investment_Strategy_Sub2&amp;"_"&amp;$A369,'Investment Strategies'!$AJ:$AV,11,FALSE),
IF(AND(Investment_Strategy="Autopilot",Investment_Strategy_Sub1="Non-Standard"),VLOOKUP(Investment_Strategy&amp;"_"&amp;Investment_Strategy_Sub2&amp;"_"&amp;$A369,'Investment Strategies'!$T:$AF,11,FALSE),
IF(Investment_Strategy="DIY",DIY_GteeChrge_FuturePremiums,
"Error"))))))</f>
        <v>0</v>
      </c>
      <c r="V369" s="33">
        <f>IF(AV369=0,0,
IF(Investment_Strategy="DIS",VLOOKUP(Investment_Strategy&amp;"_"&amp;Investment_Strategy_Sub1&amp;"_"&amp;$A369,'Investment Strategies'!$AZ:$BP,17,FALSE),
IF(AND(Investment_Strategy="Lifecycle",Investment_Strategy_Sub1="Non-Standard"),VLOOKUP(Investment_Strategy&amp;"_"&amp;Investment_Strategy_Sub2&amp;"_"&amp;$A369,'Investment Strategies'!$C:$P,14,FALSE),
IF(AND(Investment_Strategy="Lifecycle",Investment_Strategy_Sub1="Standard"),VLOOKUP(Investment_Strategy&amp;"_"&amp;Investment_Strategy_Sub2&amp;"_"&amp;$A369,'Investment Strategies'!$AJ:$AV,13,FALSE),
IF(AND(Investment_Strategy="Autopilot",Investment_Strategy_Sub1="Non-Standard"),VLOOKUP(Investment_Strategy&amp;"_"&amp;Investment_Strategy_Sub2&amp;"_"&amp;$A369,'Investment Strategies'!$T:$AF,13,FALSE),
IF(Investment_Strategy="DIY",DIY_ExtManChrge_FuturePremiums,
"Error"))))))</f>
        <v>0</v>
      </c>
      <c r="W369" s="16">
        <f t="shared" si="231"/>
        <v>0</v>
      </c>
      <c r="X369" s="16">
        <f t="shared" si="208"/>
        <v>0</v>
      </c>
      <c r="Y369" s="16">
        <f t="shared" si="209"/>
        <v>0</v>
      </c>
      <c r="Z369" s="31">
        <f t="shared" si="210"/>
        <v>0.02</v>
      </c>
      <c r="AA369" s="16">
        <f t="shared" si="211"/>
        <v>0</v>
      </c>
      <c r="AB369" s="28">
        <f t="shared" si="232"/>
        <v>0</v>
      </c>
      <c r="AC369" s="28">
        <f>(SUM($AC$91:AC368)+SUM($X$91:X368)+X369)*T369*IF(D369=$A$91,SRP_finalmonthfactor,1)</f>
        <v>0</v>
      </c>
      <c r="AD369" s="16">
        <f t="shared" si="212"/>
        <v>0</v>
      </c>
      <c r="AE369" s="106"/>
      <c r="AF369" s="16">
        <f t="shared" si="220"/>
        <v>0</v>
      </c>
      <c r="AG369" s="16">
        <f t="shared" si="221"/>
        <v>0</v>
      </c>
      <c r="AH369" s="16">
        <f t="shared" si="222"/>
        <v>0</v>
      </c>
      <c r="AJ369" s="13">
        <f t="shared" si="234"/>
        <v>0</v>
      </c>
      <c r="AK369" s="13">
        <f t="shared" si="234"/>
        <v>0</v>
      </c>
      <c r="AL369" s="13">
        <f t="shared" si="234"/>
        <v>0</v>
      </c>
      <c r="AM369" s="13">
        <f t="shared" si="234"/>
        <v>0</v>
      </c>
      <c r="AN369" s="13">
        <f t="shared" si="234"/>
        <v>0</v>
      </c>
      <c r="AO369" s="13">
        <f t="shared" si="234"/>
        <v>1</v>
      </c>
      <c r="AP369" s="13">
        <f t="shared" si="234"/>
        <v>1</v>
      </c>
      <c r="AQ369" s="13">
        <f t="shared" si="234"/>
        <v>1</v>
      </c>
      <c r="AR369" s="13">
        <f t="shared" si="234"/>
        <v>1</v>
      </c>
      <c r="AS369" s="13">
        <f t="shared" si="234"/>
        <v>1</v>
      </c>
      <c r="AT369" s="13">
        <f t="shared" si="234"/>
        <v>1</v>
      </c>
      <c r="AU369" s="13">
        <f t="shared" si="234"/>
        <v>1</v>
      </c>
      <c r="AV369" s="13">
        <f t="shared" si="213"/>
        <v>0</v>
      </c>
      <c r="AW369" s="13">
        <f t="shared" si="214"/>
        <v>1</v>
      </c>
      <c r="AY369" s="17">
        <f t="shared" si="215"/>
        <v>279</v>
      </c>
      <c r="AZ369" s="28">
        <f t="shared" si="223"/>
        <v>0</v>
      </c>
      <c r="BA369" s="13">
        <f t="shared" si="216"/>
        <v>0</v>
      </c>
      <c r="BB369" s="13">
        <f t="shared" si="217"/>
        <v>0</v>
      </c>
      <c r="BC369" s="28">
        <f t="shared" si="224"/>
        <v>0</v>
      </c>
      <c r="BD369" s="28">
        <f t="shared" si="225"/>
        <v>0</v>
      </c>
      <c r="BF369" s="248">
        <f t="shared" si="226"/>
        <v>993869.29442638322</v>
      </c>
    </row>
    <row r="370" spans="1:58">
      <c r="A370" s="32">
        <f t="shared" si="227"/>
        <v>-195</v>
      </c>
      <c r="B370" s="32">
        <f t="shared" si="218"/>
        <v>76</v>
      </c>
      <c r="C370" s="32">
        <f t="shared" si="228"/>
        <v>24</v>
      </c>
      <c r="D370" s="32">
        <f t="shared" si="229"/>
        <v>280</v>
      </c>
      <c r="E370" s="74">
        <f>MIN(IF(AV370=0,0,
IF(Investment_Strategy="DIS",VLOOKUP(Investment_Strategy&amp;"_"&amp;Investment_Strategy_Sub1&amp;"_"&amp;$A370,'Investment Strategies'!$AZ:$BP,12,FALSE),
IF(AND(Investment_Strategy="Lifecycle",Investment_Strategy_Sub1="Non-Standard"),VLOOKUP(Investment_Strategy&amp;"_"&amp;Investment_Strategy_Sub2&amp;"_"&amp;$A370,'Investment Strategies'!$C:$P,9,FALSE),
IF(AND(Investment_Strategy="Lifecycle",Investment_Strategy_Sub1="Standard"),VLOOKUP(Investment_Strategy&amp;"_"&amp;Investment_Strategy_Sub2&amp;"_"&amp;$A370,'Investment Strategies'!$AJ:$AV,8,FALSE),
IF(AND(Investment_Strategy="Autopilot",Investment_Strategy_Sub1="Non-Standard"),VLOOKUP(Investment_Strategy&amp;"_"&amp;Investment_Strategy_Sub2&amp;"_"&amp;$A370,'Investment Strategies'!$T:$AF,8,FALSE),
IF(Investment_Strategy ="DIY",DIY_RateOfReturn_CurrentFunds,
"Error")))))),Max_InvReturn)</f>
        <v>0</v>
      </c>
      <c r="F370" s="62">
        <f>IF(AV370=0,0,
IF(Investment_Strategy="DIS",VLOOKUP(Investment_Strategy&amp;"_"&amp;Investment_Strategy_Sub1&amp;"_"&amp;$A370,'Investment Strategies'!$AZ:$BP,15,FALSE),
IF(AND(Investment_Strategy="Lifecycle",Investment_Strategy_Sub1="Non-Standard"),VLOOKUP(Investment_Strategy&amp;"_"&amp;Investment_Strategy_Sub2&amp;"_"&amp;$A370,'Investment Strategies'!$C:$P,12,FALSE),
IF(AND(Investment_Strategy="Lifecycle",Investment_Strategy_Sub1="Standard"),VLOOKUP(Investment_Strategy&amp;"_"&amp;Investment_Strategy_Sub2&amp;"_"&amp;$A370,'Investment Strategies'!$AJ:$AV,11,FALSE),
IF(AND(Investment_Strategy="Autopilot",Investment_Strategy_Sub1="Non-Standard"),VLOOKUP(Investment_Strategy&amp;"_"&amp;Investment_Strategy_Sub2&amp;"_"&amp;$A370,'Investment Strategies'!$T:$AF,11,FALSE),
IF(Investment_Strategy="DIY",DIY_GteeChrge_CurrentFunds,
"Error"))))))</f>
        <v>0</v>
      </c>
      <c r="G370" s="33">
        <f>IF(AV370=0,0,
IF(Investment_Strategy="DIS",VLOOKUP(Investment_Strategy&amp;"_"&amp;Investment_Strategy_Sub1&amp;"_"&amp;$A370,'Investment Strategies'!$AZ:$BP,17,FALSE),
IF(AND(Investment_Strategy="Lifecycle",Investment_Strategy_Sub1="Non-Standard"),VLOOKUP(Investment_Strategy&amp;"_"&amp;Investment_Strategy_Sub2&amp;"_"&amp;$A370,'Investment Strategies'!$C:$P,14,FALSE),
IF(AND(Investment_Strategy="Lifecycle",Investment_Strategy_Sub1="Standard"),VLOOKUP(Investment_Strategy&amp;"_"&amp;Investment_Strategy_Sub2&amp;"_"&amp;$A370,'Investment Strategies'!$AJ:$AV,13,FALSE),
IF(AND(Investment_Strategy="Autopilot",Investment_Strategy_Sub1="Non-Standard"),VLOOKUP(Investment_Strategy&amp;"_"&amp;Investment_Strategy_Sub2&amp;"_"&amp;$A370,'Investment Strategies'!$T:$AF,13,FALSE),
IF(Investment_Strategy="DIY",DIY_ExtManChrge_CurrentFunds,
"Error"))))))</f>
        <v>0</v>
      </c>
      <c r="H370" s="16">
        <f t="shared" si="219"/>
        <v>0</v>
      </c>
      <c r="I370" s="16">
        <f t="shared" si="205"/>
        <v>0</v>
      </c>
      <c r="J370" s="16">
        <f t="shared" si="206"/>
        <v>0</v>
      </c>
      <c r="K370" s="16">
        <f>(Opening_Fund_Value+SUM(K$91:K369))*E370*IF(D370=$A$91,SRP_finalmonthfactor,1)</f>
        <v>0</v>
      </c>
      <c r="L370" s="74">
        <f>MIN(IF($AV370=0,0,
IF(Investment_Strategy="DIS",VLOOKUP(Investment_Strategy&amp;"_"&amp;Investment_Strategy_Sub1&amp;"_"&amp;$A370,'Investment Strategies'!$AZ:$BP,12,FALSE),
IF(AND(Investment_Strategy="Lifecycle",Investment_Strategy_Sub1="Non-Standard"),VLOOKUP(Investment_Strategy&amp;"_"&amp;Investment_Strategy_Sub2&amp;"_"&amp;$A370,'Investment Strategies'!$C:$P,9,FALSE),
IF(AND(Investment_Strategy="Lifecycle",Investment_Strategy_Sub1="Standard"),VLOOKUP(Investment_Strategy&amp;"_"&amp;Investment_Strategy_Sub2&amp;"_"&amp;$A370,'Investment Strategies'!$AJ:$AV,8,FALSE),
IF(AND(Investment_Strategy="Autopilot",Investment_Strategy_Sub1="Non-Standard"),VLOOKUP(Investment_Strategy&amp;"_"&amp;Investment_Strategy_Sub2&amp;"_"&amp;$A370,'Investment Strategies'!$T:$AF,8,FALSE),
IF(Investment_Strategy ="DIY",DIY_RateofReturn_SP,
"Error")))))),Max_InvReturn)</f>
        <v>0</v>
      </c>
      <c r="M370" s="62">
        <f>IF($AV370=0,0,
IF(Investment_Strategy="DIS",VLOOKUP(Investment_Strategy&amp;"_"&amp;Investment_Strategy_Sub1&amp;"_"&amp;$A370,'Investment Strategies'!$AZ:$BP,15,FALSE),
IF(AND(Investment_Strategy="Lifecycle",Investment_Strategy_Sub1="Non-Standard"),VLOOKUP(Investment_Strategy&amp;"_"&amp;Investment_Strategy_Sub2&amp;"_"&amp;$A370,'Investment Strategies'!$C:$P,12,FALSE),
IF(AND(Investment_Strategy="Lifecycle",Investment_Strategy_Sub1="Standard"),VLOOKUP(Investment_Strategy&amp;"_"&amp;Investment_Strategy_Sub2&amp;"_"&amp;$A370,'Investment Strategies'!$AJ:$AV,11,FALSE),
IF(AND(Investment_Strategy="Autopilot",Investment_Strategy_Sub1="Non-Standard"),VLOOKUP(Investment_Strategy&amp;"_"&amp;Investment_Strategy_Sub2&amp;"_"&amp;$A370,'Investment Strategies'!$T:$AF,11,FALSE),
IF(Investment_Strategy="DIY",DIY_GteeChrge_SP,
"Error"))))))</f>
        <v>0</v>
      </c>
      <c r="N370" s="33">
        <f>IF($AV370=0,0,
IF(Investment_Strategy="DIS",VLOOKUP(Investment_Strategy&amp;"_"&amp;Investment_Strategy_Sub1&amp;"_"&amp;$A370,'Investment Strategies'!$AZ:$BP,17,FALSE),
IF(AND(Investment_Strategy="Lifecycle",Investment_Strategy_Sub1="Non-Standard"),VLOOKUP(Investment_Strategy&amp;"_"&amp;Investment_Strategy_Sub2&amp;"_"&amp;$A370,'Investment Strategies'!$C:$P,14,FALSE),
IF(AND(Investment_Strategy="Lifecycle",Investment_Strategy_Sub1="Standard"),VLOOKUP(Investment_Strategy&amp;"_"&amp;Investment_Strategy_Sub2&amp;"_"&amp;$A370,'Investment Strategies'!$AJ:$AV,13,FALSE),
IF(AND(Investment_Strategy="Autopilot",Investment_Strategy_Sub1="Non-Standard"),VLOOKUP(Investment_Strategy&amp;"_"&amp;Investment_Strategy_Sub2&amp;"_"&amp;$A370,'Investment Strategies'!$T:$AF,13,FALSE),
IF(Investment_Strategy="DIY",DIY_ExtManChrge_SP,
"Error"))))))</f>
        <v>0</v>
      </c>
      <c r="O370" s="16">
        <f t="shared" si="230"/>
        <v>0</v>
      </c>
      <c r="Q370" s="16">
        <f t="shared" si="207"/>
        <v>0</v>
      </c>
      <c r="R370" s="16">
        <f t="shared" si="203"/>
        <v>0</v>
      </c>
      <c r="S370" s="16">
        <f>(SRP_SP+SUM(S$91:S369))*L370*IF(D370=$A$91,SRP_finalmonthfactor,1)</f>
        <v>0</v>
      </c>
      <c r="T370" s="74">
        <f>MIN(IF($AV370=0,0,
IF(Investment_Strategy="DIS",VLOOKUP(Investment_Strategy&amp;"_"&amp;Investment_Strategy_Sub1&amp;"_"&amp;$A370,'Investment Strategies'!$AZ:$BP,12,FALSE),
IF(AND(Investment_Strategy="Lifecycle",Investment_Strategy_Sub1="Non-Standard"),VLOOKUP(Investment_Strategy&amp;"_"&amp;Investment_Strategy_Sub2&amp;"_"&amp;$A370,'Investment Strategies'!$C:$P,9,FALSE),
IF(AND(Investment_Strategy="Lifecycle",Investment_Strategy_Sub1="Standard"),VLOOKUP(Investment_Strategy&amp;"_"&amp;Investment_Strategy_Sub2&amp;"_"&amp;$A370,'Investment Strategies'!$AJ:$AV,8,FALSE),
IF(AND(Investment_Strategy="Autopilot",Investment_Strategy_Sub1="Non-Standard"),VLOOKUP(Investment_Strategy&amp;"_"&amp;Investment_Strategy_Sub2&amp;"_"&amp;$A370,'Investment Strategies'!$T:$AF,8,FALSE),
IF(Investment_Strategy ="DIY",DIY_RateOfReturn_FuturePremiums,
"Error")))))),Max_InvReturn)</f>
        <v>0</v>
      </c>
      <c r="U370" s="62">
        <f>IF($AV370=0,0,
IF(Investment_Strategy="DIS",VLOOKUP(Investment_Strategy&amp;"_"&amp;Investment_Strategy_Sub1&amp;"_"&amp;$A370,'Investment Strategies'!$AZ:$BP,15,FALSE),
IF(AND(Investment_Strategy="Lifecycle",Investment_Strategy_Sub1="Non-Standard"),VLOOKUP(Investment_Strategy&amp;"_"&amp;Investment_Strategy_Sub2&amp;"_"&amp;$A370,'Investment Strategies'!$C:$P,12,FALSE),
IF(AND(Investment_Strategy="Lifecycle",Investment_Strategy_Sub1="Standard"),VLOOKUP(Investment_Strategy&amp;"_"&amp;Investment_Strategy_Sub2&amp;"_"&amp;$A370,'Investment Strategies'!$AJ:$AV,11,FALSE),
IF(AND(Investment_Strategy="Autopilot",Investment_Strategy_Sub1="Non-Standard"),VLOOKUP(Investment_Strategy&amp;"_"&amp;Investment_Strategy_Sub2&amp;"_"&amp;$A370,'Investment Strategies'!$T:$AF,11,FALSE),
IF(Investment_Strategy="DIY",DIY_GteeChrge_FuturePremiums,
"Error"))))))</f>
        <v>0</v>
      </c>
      <c r="V370" s="33">
        <f>IF(AV370=0,0,
IF(Investment_Strategy="DIS",VLOOKUP(Investment_Strategy&amp;"_"&amp;Investment_Strategy_Sub1&amp;"_"&amp;$A370,'Investment Strategies'!$AZ:$BP,17,FALSE),
IF(AND(Investment_Strategy="Lifecycle",Investment_Strategy_Sub1="Non-Standard"),VLOOKUP(Investment_Strategy&amp;"_"&amp;Investment_Strategy_Sub2&amp;"_"&amp;$A370,'Investment Strategies'!$C:$P,14,FALSE),
IF(AND(Investment_Strategy="Lifecycle",Investment_Strategy_Sub1="Standard"),VLOOKUP(Investment_Strategy&amp;"_"&amp;Investment_Strategy_Sub2&amp;"_"&amp;$A370,'Investment Strategies'!$AJ:$AV,13,FALSE),
IF(AND(Investment_Strategy="Autopilot",Investment_Strategy_Sub1="Non-Standard"),VLOOKUP(Investment_Strategy&amp;"_"&amp;Investment_Strategy_Sub2&amp;"_"&amp;$A370,'Investment Strategies'!$T:$AF,13,FALSE),
IF(Investment_Strategy="DIY",DIY_ExtManChrge_FuturePremiums,
"Error"))))))</f>
        <v>0</v>
      </c>
      <c r="W370" s="16">
        <f t="shared" si="231"/>
        <v>0</v>
      </c>
      <c r="X370" s="16">
        <f t="shared" si="208"/>
        <v>0</v>
      </c>
      <c r="Y370" s="16">
        <f t="shared" si="209"/>
        <v>0</v>
      </c>
      <c r="Z370" s="31">
        <f t="shared" si="210"/>
        <v>0.02</v>
      </c>
      <c r="AA370" s="16">
        <f t="shared" si="211"/>
        <v>0</v>
      </c>
      <c r="AB370" s="28">
        <f t="shared" si="232"/>
        <v>0</v>
      </c>
      <c r="AC370" s="28">
        <f>(SUM($AC$91:AC369)+SUM($X$91:X369)+X370)*T370*IF(D370=$A$91,SRP_finalmonthfactor,1)</f>
        <v>0</v>
      </c>
      <c r="AD370" s="16">
        <f t="shared" si="212"/>
        <v>0</v>
      </c>
      <c r="AE370" s="106"/>
      <c r="AF370" s="16">
        <f t="shared" si="220"/>
        <v>0</v>
      </c>
      <c r="AG370" s="16">
        <f t="shared" si="221"/>
        <v>0</v>
      </c>
      <c r="AH370" s="16">
        <f t="shared" si="222"/>
        <v>0</v>
      </c>
      <c r="AJ370" s="13">
        <f t="shared" si="234"/>
        <v>0</v>
      </c>
      <c r="AK370" s="13">
        <f t="shared" si="234"/>
        <v>0</v>
      </c>
      <c r="AL370" s="13">
        <f t="shared" si="234"/>
        <v>0</v>
      </c>
      <c r="AM370" s="13">
        <f t="shared" si="234"/>
        <v>0</v>
      </c>
      <c r="AN370" s="13">
        <f t="shared" si="234"/>
        <v>0</v>
      </c>
      <c r="AO370" s="13">
        <f t="shared" si="234"/>
        <v>1</v>
      </c>
      <c r="AP370" s="13">
        <f t="shared" si="234"/>
        <v>1</v>
      </c>
      <c r="AQ370" s="13">
        <f t="shared" si="234"/>
        <v>1</v>
      </c>
      <c r="AR370" s="13">
        <f t="shared" si="234"/>
        <v>1</v>
      </c>
      <c r="AS370" s="13">
        <f t="shared" si="234"/>
        <v>1</v>
      </c>
      <c r="AT370" s="13">
        <f t="shared" si="234"/>
        <v>1</v>
      </c>
      <c r="AU370" s="13">
        <f t="shared" si="234"/>
        <v>1</v>
      </c>
      <c r="AV370" s="13">
        <f t="shared" si="213"/>
        <v>0</v>
      </c>
      <c r="AW370" s="13">
        <f t="shared" si="214"/>
        <v>1</v>
      </c>
      <c r="AY370" s="17">
        <f t="shared" si="215"/>
        <v>280</v>
      </c>
      <c r="AZ370" s="28">
        <f t="shared" si="223"/>
        <v>0</v>
      </c>
      <c r="BA370" s="13">
        <f t="shared" si="216"/>
        <v>0</v>
      </c>
      <c r="BB370" s="13">
        <f t="shared" si="217"/>
        <v>0</v>
      </c>
      <c r="BC370" s="28">
        <f t="shared" si="224"/>
        <v>0</v>
      </c>
      <c r="BD370" s="28">
        <f t="shared" si="225"/>
        <v>0</v>
      </c>
      <c r="BF370" s="248">
        <f t="shared" si="226"/>
        <v>993869.29442638322</v>
      </c>
    </row>
    <row r="371" spans="1:58">
      <c r="A371" s="32">
        <f t="shared" si="227"/>
        <v>-196</v>
      </c>
      <c r="B371" s="32">
        <f t="shared" si="218"/>
        <v>76</v>
      </c>
      <c r="C371" s="32">
        <f t="shared" si="228"/>
        <v>24</v>
      </c>
      <c r="D371" s="32">
        <f t="shared" si="229"/>
        <v>281</v>
      </c>
      <c r="E371" s="74">
        <f>MIN(IF(AV371=0,0,
IF(Investment_Strategy="DIS",VLOOKUP(Investment_Strategy&amp;"_"&amp;Investment_Strategy_Sub1&amp;"_"&amp;$A371,'Investment Strategies'!$AZ:$BP,12,FALSE),
IF(AND(Investment_Strategy="Lifecycle",Investment_Strategy_Sub1="Non-Standard"),VLOOKUP(Investment_Strategy&amp;"_"&amp;Investment_Strategy_Sub2&amp;"_"&amp;$A371,'Investment Strategies'!$C:$P,9,FALSE),
IF(AND(Investment_Strategy="Lifecycle",Investment_Strategy_Sub1="Standard"),VLOOKUP(Investment_Strategy&amp;"_"&amp;Investment_Strategy_Sub2&amp;"_"&amp;$A371,'Investment Strategies'!$AJ:$AV,8,FALSE),
IF(AND(Investment_Strategy="Autopilot",Investment_Strategy_Sub1="Non-Standard"),VLOOKUP(Investment_Strategy&amp;"_"&amp;Investment_Strategy_Sub2&amp;"_"&amp;$A371,'Investment Strategies'!$T:$AF,8,FALSE),
IF(Investment_Strategy ="DIY",DIY_RateOfReturn_CurrentFunds,
"Error")))))),Max_InvReturn)</f>
        <v>0</v>
      </c>
      <c r="F371" s="62">
        <f>IF(AV371=0,0,
IF(Investment_Strategy="DIS",VLOOKUP(Investment_Strategy&amp;"_"&amp;Investment_Strategy_Sub1&amp;"_"&amp;$A371,'Investment Strategies'!$AZ:$BP,15,FALSE),
IF(AND(Investment_Strategy="Lifecycle",Investment_Strategy_Sub1="Non-Standard"),VLOOKUP(Investment_Strategy&amp;"_"&amp;Investment_Strategy_Sub2&amp;"_"&amp;$A371,'Investment Strategies'!$C:$P,12,FALSE),
IF(AND(Investment_Strategy="Lifecycle",Investment_Strategy_Sub1="Standard"),VLOOKUP(Investment_Strategy&amp;"_"&amp;Investment_Strategy_Sub2&amp;"_"&amp;$A371,'Investment Strategies'!$AJ:$AV,11,FALSE),
IF(AND(Investment_Strategy="Autopilot",Investment_Strategy_Sub1="Non-Standard"),VLOOKUP(Investment_Strategy&amp;"_"&amp;Investment_Strategy_Sub2&amp;"_"&amp;$A371,'Investment Strategies'!$T:$AF,11,FALSE),
IF(Investment_Strategy="DIY",DIY_GteeChrge_CurrentFunds,
"Error"))))))</f>
        <v>0</v>
      </c>
      <c r="G371" s="33">
        <f>IF(AV371=0,0,
IF(Investment_Strategy="DIS",VLOOKUP(Investment_Strategy&amp;"_"&amp;Investment_Strategy_Sub1&amp;"_"&amp;$A371,'Investment Strategies'!$AZ:$BP,17,FALSE),
IF(AND(Investment_Strategy="Lifecycle",Investment_Strategy_Sub1="Non-Standard"),VLOOKUP(Investment_Strategy&amp;"_"&amp;Investment_Strategy_Sub2&amp;"_"&amp;$A371,'Investment Strategies'!$C:$P,14,FALSE),
IF(AND(Investment_Strategy="Lifecycle",Investment_Strategy_Sub1="Standard"),VLOOKUP(Investment_Strategy&amp;"_"&amp;Investment_Strategy_Sub2&amp;"_"&amp;$A371,'Investment Strategies'!$AJ:$AV,13,FALSE),
IF(AND(Investment_Strategy="Autopilot",Investment_Strategy_Sub1="Non-Standard"),VLOOKUP(Investment_Strategy&amp;"_"&amp;Investment_Strategy_Sub2&amp;"_"&amp;$A371,'Investment Strategies'!$T:$AF,13,FALSE),
IF(Investment_Strategy="DIY",DIY_ExtManChrge_CurrentFunds,
"Error"))))))</f>
        <v>0</v>
      </c>
      <c r="H371" s="16">
        <f t="shared" si="219"/>
        <v>0</v>
      </c>
      <c r="I371" s="16">
        <f t="shared" si="205"/>
        <v>0</v>
      </c>
      <c r="J371" s="16">
        <f t="shared" si="206"/>
        <v>0</v>
      </c>
      <c r="K371" s="16">
        <f>(Opening_Fund_Value+SUM(K$91:K370))*E371*IF(D371=$A$91,SRP_finalmonthfactor,1)</f>
        <v>0</v>
      </c>
      <c r="L371" s="74">
        <f>MIN(IF($AV371=0,0,
IF(Investment_Strategy="DIS",VLOOKUP(Investment_Strategy&amp;"_"&amp;Investment_Strategy_Sub1&amp;"_"&amp;$A371,'Investment Strategies'!$AZ:$BP,12,FALSE),
IF(AND(Investment_Strategy="Lifecycle",Investment_Strategy_Sub1="Non-Standard"),VLOOKUP(Investment_Strategy&amp;"_"&amp;Investment_Strategy_Sub2&amp;"_"&amp;$A371,'Investment Strategies'!$C:$P,9,FALSE),
IF(AND(Investment_Strategy="Lifecycle",Investment_Strategy_Sub1="Standard"),VLOOKUP(Investment_Strategy&amp;"_"&amp;Investment_Strategy_Sub2&amp;"_"&amp;$A371,'Investment Strategies'!$AJ:$AV,8,FALSE),
IF(AND(Investment_Strategy="Autopilot",Investment_Strategy_Sub1="Non-Standard"),VLOOKUP(Investment_Strategy&amp;"_"&amp;Investment_Strategy_Sub2&amp;"_"&amp;$A371,'Investment Strategies'!$T:$AF,8,FALSE),
IF(Investment_Strategy ="DIY",DIY_RateofReturn_SP,
"Error")))))),Max_InvReturn)</f>
        <v>0</v>
      </c>
      <c r="M371" s="62">
        <f>IF($AV371=0,0,
IF(Investment_Strategy="DIS",VLOOKUP(Investment_Strategy&amp;"_"&amp;Investment_Strategy_Sub1&amp;"_"&amp;$A371,'Investment Strategies'!$AZ:$BP,15,FALSE),
IF(AND(Investment_Strategy="Lifecycle",Investment_Strategy_Sub1="Non-Standard"),VLOOKUP(Investment_Strategy&amp;"_"&amp;Investment_Strategy_Sub2&amp;"_"&amp;$A371,'Investment Strategies'!$C:$P,12,FALSE),
IF(AND(Investment_Strategy="Lifecycle",Investment_Strategy_Sub1="Standard"),VLOOKUP(Investment_Strategy&amp;"_"&amp;Investment_Strategy_Sub2&amp;"_"&amp;$A371,'Investment Strategies'!$AJ:$AV,11,FALSE),
IF(AND(Investment_Strategy="Autopilot",Investment_Strategy_Sub1="Non-Standard"),VLOOKUP(Investment_Strategy&amp;"_"&amp;Investment_Strategy_Sub2&amp;"_"&amp;$A371,'Investment Strategies'!$T:$AF,11,FALSE),
IF(Investment_Strategy="DIY",DIY_GteeChrge_SP,
"Error"))))))</f>
        <v>0</v>
      </c>
      <c r="N371" s="33">
        <f>IF($AV371=0,0,
IF(Investment_Strategy="DIS",VLOOKUP(Investment_Strategy&amp;"_"&amp;Investment_Strategy_Sub1&amp;"_"&amp;$A371,'Investment Strategies'!$AZ:$BP,17,FALSE),
IF(AND(Investment_Strategy="Lifecycle",Investment_Strategy_Sub1="Non-Standard"),VLOOKUP(Investment_Strategy&amp;"_"&amp;Investment_Strategy_Sub2&amp;"_"&amp;$A371,'Investment Strategies'!$C:$P,14,FALSE),
IF(AND(Investment_Strategy="Lifecycle",Investment_Strategy_Sub1="Standard"),VLOOKUP(Investment_Strategy&amp;"_"&amp;Investment_Strategy_Sub2&amp;"_"&amp;$A371,'Investment Strategies'!$AJ:$AV,13,FALSE),
IF(AND(Investment_Strategy="Autopilot",Investment_Strategy_Sub1="Non-Standard"),VLOOKUP(Investment_Strategy&amp;"_"&amp;Investment_Strategy_Sub2&amp;"_"&amp;$A371,'Investment Strategies'!$T:$AF,13,FALSE),
IF(Investment_Strategy="DIY",DIY_ExtManChrge_SP,
"Error"))))))</f>
        <v>0</v>
      </c>
      <c r="O371" s="16">
        <f t="shared" si="230"/>
        <v>0</v>
      </c>
      <c r="Q371" s="16">
        <f t="shared" si="207"/>
        <v>0</v>
      </c>
      <c r="R371" s="16">
        <f t="shared" si="203"/>
        <v>0</v>
      </c>
      <c r="S371" s="16">
        <f>(SRP_SP+SUM(S$91:S370))*L371*IF(D371=$A$91,SRP_finalmonthfactor,1)</f>
        <v>0</v>
      </c>
      <c r="T371" s="74">
        <f>MIN(IF($AV371=0,0,
IF(Investment_Strategy="DIS",VLOOKUP(Investment_Strategy&amp;"_"&amp;Investment_Strategy_Sub1&amp;"_"&amp;$A371,'Investment Strategies'!$AZ:$BP,12,FALSE),
IF(AND(Investment_Strategy="Lifecycle",Investment_Strategy_Sub1="Non-Standard"),VLOOKUP(Investment_Strategy&amp;"_"&amp;Investment_Strategy_Sub2&amp;"_"&amp;$A371,'Investment Strategies'!$C:$P,9,FALSE),
IF(AND(Investment_Strategy="Lifecycle",Investment_Strategy_Sub1="Standard"),VLOOKUP(Investment_Strategy&amp;"_"&amp;Investment_Strategy_Sub2&amp;"_"&amp;$A371,'Investment Strategies'!$AJ:$AV,8,FALSE),
IF(AND(Investment_Strategy="Autopilot",Investment_Strategy_Sub1="Non-Standard"),VLOOKUP(Investment_Strategy&amp;"_"&amp;Investment_Strategy_Sub2&amp;"_"&amp;$A371,'Investment Strategies'!$T:$AF,8,FALSE),
IF(Investment_Strategy ="DIY",DIY_RateOfReturn_FuturePremiums,
"Error")))))),Max_InvReturn)</f>
        <v>0</v>
      </c>
      <c r="U371" s="62">
        <f>IF($AV371=0,0,
IF(Investment_Strategy="DIS",VLOOKUP(Investment_Strategy&amp;"_"&amp;Investment_Strategy_Sub1&amp;"_"&amp;$A371,'Investment Strategies'!$AZ:$BP,15,FALSE),
IF(AND(Investment_Strategy="Lifecycle",Investment_Strategy_Sub1="Non-Standard"),VLOOKUP(Investment_Strategy&amp;"_"&amp;Investment_Strategy_Sub2&amp;"_"&amp;$A371,'Investment Strategies'!$C:$P,12,FALSE),
IF(AND(Investment_Strategy="Lifecycle",Investment_Strategy_Sub1="Standard"),VLOOKUP(Investment_Strategy&amp;"_"&amp;Investment_Strategy_Sub2&amp;"_"&amp;$A371,'Investment Strategies'!$AJ:$AV,11,FALSE),
IF(AND(Investment_Strategy="Autopilot",Investment_Strategy_Sub1="Non-Standard"),VLOOKUP(Investment_Strategy&amp;"_"&amp;Investment_Strategy_Sub2&amp;"_"&amp;$A371,'Investment Strategies'!$T:$AF,11,FALSE),
IF(Investment_Strategy="DIY",DIY_GteeChrge_FuturePremiums,
"Error"))))))</f>
        <v>0</v>
      </c>
      <c r="V371" s="33">
        <f>IF(AV371=0,0,
IF(Investment_Strategy="DIS",VLOOKUP(Investment_Strategy&amp;"_"&amp;Investment_Strategy_Sub1&amp;"_"&amp;$A371,'Investment Strategies'!$AZ:$BP,17,FALSE),
IF(AND(Investment_Strategy="Lifecycle",Investment_Strategy_Sub1="Non-Standard"),VLOOKUP(Investment_Strategy&amp;"_"&amp;Investment_Strategy_Sub2&amp;"_"&amp;$A371,'Investment Strategies'!$C:$P,14,FALSE),
IF(AND(Investment_Strategy="Lifecycle",Investment_Strategy_Sub1="Standard"),VLOOKUP(Investment_Strategy&amp;"_"&amp;Investment_Strategy_Sub2&amp;"_"&amp;$A371,'Investment Strategies'!$AJ:$AV,13,FALSE),
IF(AND(Investment_Strategy="Autopilot",Investment_Strategy_Sub1="Non-Standard"),VLOOKUP(Investment_Strategy&amp;"_"&amp;Investment_Strategy_Sub2&amp;"_"&amp;$A371,'Investment Strategies'!$T:$AF,13,FALSE),
IF(Investment_Strategy="DIY",DIY_ExtManChrge_FuturePremiums,
"Error"))))))</f>
        <v>0</v>
      </c>
      <c r="W371" s="16">
        <f t="shared" si="231"/>
        <v>0</v>
      </c>
      <c r="X371" s="16">
        <f t="shared" si="208"/>
        <v>0</v>
      </c>
      <c r="Y371" s="16">
        <f t="shared" si="209"/>
        <v>0</v>
      </c>
      <c r="Z371" s="31">
        <f t="shared" si="210"/>
        <v>0.02</v>
      </c>
      <c r="AA371" s="16">
        <f t="shared" si="211"/>
        <v>0</v>
      </c>
      <c r="AB371" s="28">
        <f t="shared" si="232"/>
        <v>0</v>
      </c>
      <c r="AC371" s="28">
        <f>(SUM($AC$91:AC370)+SUM($X$91:X370)+X371)*T371*IF(D371=$A$91,SRP_finalmonthfactor,1)</f>
        <v>0</v>
      </c>
      <c r="AD371" s="16">
        <f t="shared" si="212"/>
        <v>0</v>
      </c>
      <c r="AE371" s="106"/>
      <c r="AF371" s="16">
        <f t="shared" si="220"/>
        <v>0</v>
      </c>
      <c r="AG371" s="16">
        <f t="shared" si="221"/>
        <v>0</v>
      </c>
      <c r="AH371" s="16">
        <f t="shared" si="222"/>
        <v>0</v>
      </c>
      <c r="AJ371" s="13">
        <f t="shared" ref="AJ371:AU380" si="235">IF($C371&lt;=AJ$90,1,0)</f>
        <v>0</v>
      </c>
      <c r="AK371" s="13">
        <f t="shared" si="235"/>
        <v>0</v>
      </c>
      <c r="AL371" s="13">
        <f t="shared" si="235"/>
        <v>0</v>
      </c>
      <c r="AM371" s="13">
        <f t="shared" si="235"/>
        <v>0</v>
      </c>
      <c r="AN371" s="13">
        <f t="shared" si="235"/>
        <v>0</v>
      </c>
      <c r="AO371" s="13">
        <f t="shared" si="235"/>
        <v>1</v>
      </c>
      <c r="AP371" s="13">
        <f t="shared" si="235"/>
        <v>1</v>
      </c>
      <c r="AQ371" s="13">
        <f t="shared" si="235"/>
        <v>1</v>
      </c>
      <c r="AR371" s="13">
        <f t="shared" si="235"/>
        <v>1</v>
      </c>
      <c r="AS371" s="13">
        <f t="shared" si="235"/>
        <v>1</v>
      </c>
      <c r="AT371" s="13">
        <f t="shared" si="235"/>
        <v>1</v>
      </c>
      <c r="AU371" s="13">
        <f t="shared" si="235"/>
        <v>1</v>
      </c>
      <c r="AV371" s="13">
        <f t="shared" si="213"/>
        <v>0</v>
      </c>
      <c r="AW371" s="13">
        <f t="shared" si="214"/>
        <v>1</v>
      </c>
      <c r="AY371" s="17">
        <f t="shared" si="215"/>
        <v>281</v>
      </c>
      <c r="AZ371" s="28">
        <f t="shared" si="223"/>
        <v>0</v>
      </c>
      <c r="BA371" s="13">
        <f t="shared" si="216"/>
        <v>0</v>
      </c>
      <c r="BB371" s="13">
        <f t="shared" si="217"/>
        <v>0</v>
      </c>
      <c r="BC371" s="28">
        <f t="shared" si="224"/>
        <v>0</v>
      </c>
      <c r="BD371" s="28">
        <f t="shared" si="225"/>
        <v>0</v>
      </c>
      <c r="BF371" s="248">
        <f t="shared" si="226"/>
        <v>993869.29442638322</v>
      </c>
    </row>
    <row r="372" spans="1:58">
      <c r="A372" s="32">
        <f t="shared" si="227"/>
        <v>-197</v>
      </c>
      <c r="B372" s="32">
        <f t="shared" si="218"/>
        <v>76</v>
      </c>
      <c r="C372" s="32">
        <f t="shared" si="228"/>
        <v>24</v>
      </c>
      <c r="D372" s="32">
        <f t="shared" si="229"/>
        <v>282</v>
      </c>
      <c r="E372" s="74">
        <f>MIN(IF(AV372=0,0,
IF(Investment_Strategy="DIS",VLOOKUP(Investment_Strategy&amp;"_"&amp;Investment_Strategy_Sub1&amp;"_"&amp;$A372,'Investment Strategies'!$AZ:$BP,12,FALSE),
IF(AND(Investment_Strategy="Lifecycle",Investment_Strategy_Sub1="Non-Standard"),VLOOKUP(Investment_Strategy&amp;"_"&amp;Investment_Strategy_Sub2&amp;"_"&amp;$A372,'Investment Strategies'!$C:$P,9,FALSE),
IF(AND(Investment_Strategy="Lifecycle",Investment_Strategy_Sub1="Standard"),VLOOKUP(Investment_Strategy&amp;"_"&amp;Investment_Strategy_Sub2&amp;"_"&amp;$A372,'Investment Strategies'!$AJ:$AV,8,FALSE),
IF(AND(Investment_Strategy="Autopilot",Investment_Strategy_Sub1="Non-Standard"),VLOOKUP(Investment_Strategy&amp;"_"&amp;Investment_Strategy_Sub2&amp;"_"&amp;$A372,'Investment Strategies'!$T:$AF,8,FALSE),
IF(Investment_Strategy ="DIY",DIY_RateOfReturn_CurrentFunds,
"Error")))))),Max_InvReturn)</f>
        <v>0</v>
      </c>
      <c r="F372" s="62">
        <f>IF(AV372=0,0,
IF(Investment_Strategy="DIS",VLOOKUP(Investment_Strategy&amp;"_"&amp;Investment_Strategy_Sub1&amp;"_"&amp;$A372,'Investment Strategies'!$AZ:$BP,15,FALSE),
IF(AND(Investment_Strategy="Lifecycle",Investment_Strategy_Sub1="Non-Standard"),VLOOKUP(Investment_Strategy&amp;"_"&amp;Investment_Strategy_Sub2&amp;"_"&amp;$A372,'Investment Strategies'!$C:$P,12,FALSE),
IF(AND(Investment_Strategy="Lifecycle",Investment_Strategy_Sub1="Standard"),VLOOKUP(Investment_Strategy&amp;"_"&amp;Investment_Strategy_Sub2&amp;"_"&amp;$A372,'Investment Strategies'!$AJ:$AV,11,FALSE),
IF(AND(Investment_Strategy="Autopilot",Investment_Strategy_Sub1="Non-Standard"),VLOOKUP(Investment_Strategy&amp;"_"&amp;Investment_Strategy_Sub2&amp;"_"&amp;$A372,'Investment Strategies'!$T:$AF,11,FALSE),
IF(Investment_Strategy="DIY",DIY_GteeChrge_CurrentFunds,
"Error"))))))</f>
        <v>0</v>
      </c>
      <c r="G372" s="33">
        <f>IF(AV372=0,0,
IF(Investment_Strategy="DIS",VLOOKUP(Investment_Strategy&amp;"_"&amp;Investment_Strategy_Sub1&amp;"_"&amp;$A372,'Investment Strategies'!$AZ:$BP,17,FALSE),
IF(AND(Investment_Strategy="Lifecycle",Investment_Strategy_Sub1="Non-Standard"),VLOOKUP(Investment_Strategy&amp;"_"&amp;Investment_Strategy_Sub2&amp;"_"&amp;$A372,'Investment Strategies'!$C:$P,14,FALSE),
IF(AND(Investment_Strategy="Lifecycle",Investment_Strategy_Sub1="Standard"),VLOOKUP(Investment_Strategy&amp;"_"&amp;Investment_Strategy_Sub2&amp;"_"&amp;$A372,'Investment Strategies'!$AJ:$AV,13,FALSE),
IF(AND(Investment_Strategy="Autopilot",Investment_Strategy_Sub1="Non-Standard"),VLOOKUP(Investment_Strategy&amp;"_"&amp;Investment_Strategy_Sub2&amp;"_"&amp;$A372,'Investment Strategies'!$T:$AF,13,FALSE),
IF(Investment_Strategy="DIY",DIY_ExtManChrge_CurrentFunds,
"Error"))))))</f>
        <v>0</v>
      </c>
      <c r="H372" s="16">
        <f t="shared" si="219"/>
        <v>0</v>
      </c>
      <c r="I372" s="16">
        <f t="shared" si="205"/>
        <v>0</v>
      </c>
      <c r="J372" s="16">
        <f t="shared" si="206"/>
        <v>0</v>
      </c>
      <c r="K372" s="16">
        <f>(Opening_Fund_Value+SUM(K$91:K371))*E372*IF(D372=$A$91,SRP_finalmonthfactor,1)</f>
        <v>0</v>
      </c>
      <c r="L372" s="74">
        <f>MIN(IF($AV372=0,0,
IF(Investment_Strategy="DIS",VLOOKUP(Investment_Strategy&amp;"_"&amp;Investment_Strategy_Sub1&amp;"_"&amp;$A372,'Investment Strategies'!$AZ:$BP,12,FALSE),
IF(AND(Investment_Strategy="Lifecycle",Investment_Strategy_Sub1="Non-Standard"),VLOOKUP(Investment_Strategy&amp;"_"&amp;Investment_Strategy_Sub2&amp;"_"&amp;$A372,'Investment Strategies'!$C:$P,9,FALSE),
IF(AND(Investment_Strategy="Lifecycle",Investment_Strategy_Sub1="Standard"),VLOOKUP(Investment_Strategy&amp;"_"&amp;Investment_Strategy_Sub2&amp;"_"&amp;$A372,'Investment Strategies'!$AJ:$AV,8,FALSE),
IF(AND(Investment_Strategy="Autopilot",Investment_Strategy_Sub1="Non-Standard"),VLOOKUP(Investment_Strategy&amp;"_"&amp;Investment_Strategy_Sub2&amp;"_"&amp;$A372,'Investment Strategies'!$T:$AF,8,FALSE),
IF(Investment_Strategy ="DIY",DIY_RateofReturn_SP,
"Error")))))),Max_InvReturn)</f>
        <v>0</v>
      </c>
      <c r="M372" s="62">
        <f>IF($AV372=0,0,
IF(Investment_Strategy="DIS",VLOOKUP(Investment_Strategy&amp;"_"&amp;Investment_Strategy_Sub1&amp;"_"&amp;$A372,'Investment Strategies'!$AZ:$BP,15,FALSE),
IF(AND(Investment_Strategy="Lifecycle",Investment_Strategy_Sub1="Non-Standard"),VLOOKUP(Investment_Strategy&amp;"_"&amp;Investment_Strategy_Sub2&amp;"_"&amp;$A372,'Investment Strategies'!$C:$P,12,FALSE),
IF(AND(Investment_Strategy="Lifecycle",Investment_Strategy_Sub1="Standard"),VLOOKUP(Investment_Strategy&amp;"_"&amp;Investment_Strategy_Sub2&amp;"_"&amp;$A372,'Investment Strategies'!$AJ:$AV,11,FALSE),
IF(AND(Investment_Strategy="Autopilot",Investment_Strategy_Sub1="Non-Standard"),VLOOKUP(Investment_Strategy&amp;"_"&amp;Investment_Strategy_Sub2&amp;"_"&amp;$A372,'Investment Strategies'!$T:$AF,11,FALSE),
IF(Investment_Strategy="DIY",DIY_GteeChrge_SP,
"Error"))))))</f>
        <v>0</v>
      </c>
      <c r="N372" s="33">
        <f>IF($AV372=0,0,
IF(Investment_Strategy="DIS",VLOOKUP(Investment_Strategy&amp;"_"&amp;Investment_Strategy_Sub1&amp;"_"&amp;$A372,'Investment Strategies'!$AZ:$BP,17,FALSE),
IF(AND(Investment_Strategy="Lifecycle",Investment_Strategy_Sub1="Non-Standard"),VLOOKUP(Investment_Strategy&amp;"_"&amp;Investment_Strategy_Sub2&amp;"_"&amp;$A372,'Investment Strategies'!$C:$P,14,FALSE),
IF(AND(Investment_Strategy="Lifecycle",Investment_Strategy_Sub1="Standard"),VLOOKUP(Investment_Strategy&amp;"_"&amp;Investment_Strategy_Sub2&amp;"_"&amp;$A372,'Investment Strategies'!$AJ:$AV,13,FALSE),
IF(AND(Investment_Strategy="Autopilot",Investment_Strategy_Sub1="Non-Standard"),VLOOKUP(Investment_Strategy&amp;"_"&amp;Investment_Strategy_Sub2&amp;"_"&amp;$A372,'Investment Strategies'!$T:$AF,13,FALSE),
IF(Investment_Strategy="DIY",DIY_ExtManChrge_SP,
"Error"))))))</f>
        <v>0</v>
      </c>
      <c r="O372" s="16">
        <f t="shared" si="230"/>
        <v>0</v>
      </c>
      <c r="Q372" s="16">
        <f t="shared" si="207"/>
        <v>0</v>
      </c>
      <c r="R372" s="16">
        <f t="shared" si="203"/>
        <v>0</v>
      </c>
      <c r="S372" s="16">
        <f>(SRP_SP+SUM(S$91:S371))*L372*IF(D372=$A$91,SRP_finalmonthfactor,1)</f>
        <v>0</v>
      </c>
      <c r="T372" s="74">
        <f>MIN(IF($AV372=0,0,
IF(Investment_Strategy="DIS",VLOOKUP(Investment_Strategy&amp;"_"&amp;Investment_Strategy_Sub1&amp;"_"&amp;$A372,'Investment Strategies'!$AZ:$BP,12,FALSE),
IF(AND(Investment_Strategy="Lifecycle",Investment_Strategy_Sub1="Non-Standard"),VLOOKUP(Investment_Strategy&amp;"_"&amp;Investment_Strategy_Sub2&amp;"_"&amp;$A372,'Investment Strategies'!$C:$P,9,FALSE),
IF(AND(Investment_Strategy="Lifecycle",Investment_Strategy_Sub1="Standard"),VLOOKUP(Investment_Strategy&amp;"_"&amp;Investment_Strategy_Sub2&amp;"_"&amp;$A372,'Investment Strategies'!$AJ:$AV,8,FALSE),
IF(AND(Investment_Strategy="Autopilot",Investment_Strategy_Sub1="Non-Standard"),VLOOKUP(Investment_Strategy&amp;"_"&amp;Investment_Strategy_Sub2&amp;"_"&amp;$A372,'Investment Strategies'!$T:$AF,8,FALSE),
IF(Investment_Strategy ="DIY",DIY_RateOfReturn_FuturePremiums,
"Error")))))),Max_InvReturn)</f>
        <v>0</v>
      </c>
      <c r="U372" s="62">
        <f>IF($AV372=0,0,
IF(Investment_Strategy="DIS",VLOOKUP(Investment_Strategy&amp;"_"&amp;Investment_Strategy_Sub1&amp;"_"&amp;$A372,'Investment Strategies'!$AZ:$BP,15,FALSE),
IF(AND(Investment_Strategy="Lifecycle",Investment_Strategy_Sub1="Non-Standard"),VLOOKUP(Investment_Strategy&amp;"_"&amp;Investment_Strategy_Sub2&amp;"_"&amp;$A372,'Investment Strategies'!$C:$P,12,FALSE),
IF(AND(Investment_Strategy="Lifecycle",Investment_Strategy_Sub1="Standard"),VLOOKUP(Investment_Strategy&amp;"_"&amp;Investment_Strategy_Sub2&amp;"_"&amp;$A372,'Investment Strategies'!$AJ:$AV,11,FALSE),
IF(AND(Investment_Strategy="Autopilot",Investment_Strategy_Sub1="Non-Standard"),VLOOKUP(Investment_Strategy&amp;"_"&amp;Investment_Strategy_Sub2&amp;"_"&amp;$A372,'Investment Strategies'!$T:$AF,11,FALSE),
IF(Investment_Strategy="DIY",DIY_GteeChrge_FuturePremiums,
"Error"))))))</f>
        <v>0</v>
      </c>
      <c r="V372" s="33">
        <f>IF(AV372=0,0,
IF(Investment_Strategy="DIS",VLOOKUP(Investment_Strategy&amp;"_"&amp;Investment_Strategy_Sub1&amp;"_"&amp;$A372,'Investment Strategies'!$AZ:$BP,17,FALSE),
IF(AND(Investment_Strategy="Lifecycle",Investment_Strategy_Sub1="Non-Standard"),VLOOKUP(Investment_Strategy&amp;"_"&amp;Investment_Strategy_Sub2&amp;"_"&amp;$A372,'Investment Strategies'!$C:$P,14,FALSE),
IF(AND(Investment_Strategy="Lifecycle",Investment_Strategy_Sub1="Standard"),VLOOKUP(Investment_Strategy&amp;"_"&amp;Investment_Strategy_Sub2&amp;"_"&amp;$A372,'Investment Strategies'!$AJ:$AV,13,FALSE),
IF(AND(Investment_Strategy="Autopilot",Investment_Strategy_Sub1="Non-Standard"),VLOOKUP(Investment_Strategy&amp;"_"&amp;Investment_Strategy_Sub2&amp;"_"&amp;$A372,'Investment Strategies'!$T:$AF,13,FALSE),
IF(Investment_Strategy="DIY",DIY_ExtManChrge_FuturePremiums,
"Error"))))))</f>
        <v>0</v>
      </c>
      <c r="W372" s="16">
        <f t="shared" si="231"/>
        <v>0</v>
      </c>
      <c r="X372" s="16">
        <f t="shared" si="208"/>
        <v>0</v>
      </c>
      <c r="Y372" s="16">
        <f t="shared" si="209"/>
        <v>0</v>
      </c>
      <c r="Z372" s="31">
        <f t="shared" si="210"/>
        <v>0.02</v>
      </c>
      <c r="AA372" s="16">
        <f t="shared" si="211"/>
        <v>0</v>
      </c>
      <c r="AB372" s="28">
        <f t="shared" si="232"/>
        <v>0</v>
      </c>
      <c r="AC372" s="28">
        <f>(SUM($AC$91:AC371)+SUM($X$91:X371)+X372)*T372*IF(D372=$A$91,SRP_finalmonthfactor,1)</f>
        <v>0</v>
      </c>
      <c r="AD372" s="16">
        <f t="shared" si="212"/>
        <v>0</v>
      </c>
      <c r="AE372" s="106"/>
      <c r="AF372" s="16">
        <f t="shared" si="220"/>
        <v>0</v>
      </c>
      <c r="AG372" s="16">
        <f t="shared" si="221"/>
        <v>0</v>
      </c>
      <c r="AH372" s="16">
        <f t="shared" si="222"/>
        <v>0</v>
      </c>
      <c r="AJ372" s="13">
        <f t="shared" si="235"/>
        <v>0</v>
      </c>
      <c r="AK372" s="13">
        <f t="shared" si="235"/>
        <v>0</v>
      </c>
      <c r="AL372" s="13">
        <f t="shared" si="235"/>
        <v>0</v>
      </c>
      <c r="AM372" s="13">
        <f t="shared" si="235"/>
        <v>0</v>
      </c>
      <c r="AN372" s="13">
        <f t="shared" si="235"/>
        <v>0</v>
      </c>
      <c r="AO372" s="13">
        <f t="shared" si="235"/>
        <v>1</v>
      </c>
      <c r="AP372" s="13">
        <f t="shared" si="235"/>
        <v>1</v>
      </c>
      <c r="AQ372" s="13">
        <f t="shared" si="235"/>
        <v>1</v>
      </c>
      <c r="AR372" s="13">
        <f t="shared" si="235"/>
        <v>1</v>
      </c>
      <c r="AS372" s="13">
        <f t="shared" si="235"/>
        <v>1</v>
      </c>
      <c r="AT372" s="13">
        <f t="shared" si="235"/>
        <v>1</v>
      </c>
      <c r="AU372" s="13">
        <f t="shared" si="235"/>
        <v>1</v>
      </c>
      <c r="AV372" s="13">
        <f t="shared" si="213"/>
        <v>0</v>
      </c>
      <c r="AW372" s="13">
        <f t="shared" si="214"/>
        <v>1</v>
      </c>
      <c r="AY372" s="17">
        <f t="shared" si="215"/>
        <v>282</v>
      </c>
      <c r="AZ372" s="28">
        <f t="shared" si="223"/>
        <v>0</v>
      </c>
      <c r="BA372" s="13">
        <f t="shared" si="216"/>
        <v>0</v>
      </c>
      <c r="BB372" s="13">
        <f t="shared" si="217"/>
        <v>0</v>
      </c>
      <c r="BC372" s="28">
        <f t="shared" si="224"/>
        <v>0</v>
      </c>
      <c r="BD372" s="28">
        <f t="shared" si="225"/>
        <v>0</v>
      </c>
      <c r="BF372" s="248">
        <f t="shared" si="226"/>
        <v>993869.29442638322</v>
      </c>
    </row>
    <row r="373" spans="1:58">
      <c r="A373" s="32">
        <f t="shared" si="227"/>
        <v>-198</v>
      </c>
      <c r="B373" s="32">
        <f t="shared" si="218"/>
        <v>76</v>
      </c>
      <c r="C373" s="32">
        <f t="shared" si="228"/>
        <v>24</v>
      </c>
      <c r="D373" s="32">
        <f t="shared" si="229"/>
        <v>283</v>
      </c>
      <c r="E373" s="74">
        <f>MIN(IF(AV373=0,0,
IF(Investment_Strategy="DIS",VLOOKUP(Investment_Strategy&amp;"_"&amp;Investment_Strategy_Sub1&amp;"_"&amp;$A373,'Investment Strategies'!$AZ:$BP,12,FALSE),
IF(AND(Investment_Strategy="Lifecycle",Investment_Strategy_Sub1="Non-Standard"),VLOOKUP(Investment_Strategy&amp;"_"&amp;Investment_Strategy_Sub2&amp;"_"&amp;$A373,'Investment Strategies'!$C:$P,9,FALSE),
IF(AND(Investment_Strategy="Lifecycle",Investment_Strategy_Sub1="Standard"),VLOOKUP(Investment_Strategy&amp;"_"&amp;Investment_Strategy_Sub2&amp;"_"&amp;$A373,'Investment Strategies'!$AJ:$AV,8,FALSE),
IF(AND(Investment_Strategy="Autopilot",Investment_Strategy_Sub1="Non-Standard"),VLOOKUP(Investment_Strategy&amp;"_"&amp;Investment_Strategy_Sub2&amp;"_"&amp;$A373,'Investment Strategies'!$T:$AF,8,FALSE),
IF(Investment_Strategy ="DIY",DIY_RateOfReturn_CurrentFunds,
"Error")))))),Max_InvReturn)</f>
        <v>0</v>
      </c>
      <c r="F373" s="62">
        <f>IF(AV373=0,0,
IF(Investment_Strategy="DIS",VLOOKUP(Investment_Strategy&amp;"_"&amp;Investment_Strategy_Sub1&amp;"_"&amp;$A373,'Investment Strategies'!$AZ:$BP,15,FALSE),
IF(AND(Investment_Strategy="Lifecycle",Investment_Strategy_Sub1="Non-Standard"),VLOOKUP(Investment_Strategy&amp;"_"&amp;Investment_Strategy_Sub2&amp;"_"&amp;$A373,'Investment Strategies'!$C:$P,12,FALSE),
IF(AND(Investment_Strategy="Lifecycle",Investment_Strategy_Sub1="Standard"),VLOOKUP(Investment_Strategy&amp;"_"&amp;Investment_Strategy_Sub2&amp;"_"&amp;$A373,'Investment Strategies'!$AJ:$AV,11,FALSE),
IF(AND(Investment_Strategy="Autopilot",Investment_Strategy_Sub1="Non-Standard"),VLOOKUP(Investment_Strategy&amp;"_"&amp;Investment_Strategy_Sub2&amp;"_"&amp;$A373,'Investment Strategies'!$T:$AF,11,FALSE),
IF(Investment_Strategy="DIY",DIY_GteeChrge_CurrentFunds,
"Error"))))))</f>
        <v>0</v>
      </c>
      <c r="G373" s="33">
        <f>IF(AV373=0,0,
IF(Investment_Strategy="DIS",VLOOKUP(Investment_Strategy&amp;"_"&amp;Investment_Strategy_Sub1&amp;"_"&amp;$A373,'Investment Strategies'!$AZ:$BP,17,FALSE),
IF(AND(Investment_Strategy="Lifecycle",Investment_Strategy_Sub1="Non-Standard"),VLOOKUP(Investment_Strategy&amp;"_"&amp;Investment_Strategy_Sub2&amp;"_"&amp;$A373,'Investment Strategies'!$C:$P,14,FALSE),
IF(AND(Investment_Strategy="Lifecycle",Investment_Strategy_Sub1="Standard"),VLOOKUP(Investment_Strategy&amp;"_"&amp;Investment_Strategy_Sub2&amp;"_"&amp;$A373,'Investment Strategies'!$AJ:$AV,13,FALSE),
IF(AND(Investment_Strategy="Autopilot",Investment_Strategy_Sub1="Non-Standard"),VLOOKUP(Investment_Strategy&amp;"_"&amp;Investment_Strategy_Sub2&amp;"_"&amp;$A373,'Investment Strategies'!$T:$AF,13,FALSE),
IF(Investment_Strategy="DIY",DIY_ExtManChrge_CurrentFunds,
"Error"))))))</f>
        <v>0</v>
      </c>
      <c r="H373" s="16">
        <f t="shared" si="219"/>
        <v>0</v>
      </c>
      <c r="I373" s="16">
        <f t="shared" si="205"/>
        <v>0</v>
      </c>
      <c r="J373" s="16">
        <f t="shared" si="206"/>
        <v>0</v>
      </c>
      <c r="K373" s="16">
        <f>(Opening_Fund_Value+SUM(K$91:K372))*E373*IF(D373=$A$91,SRP_finalmonthfactor,1)</f>
        <v>0</v>
      </c>
      <c r="L373" s="74">
        <f>MIN(IF($AV373=0,0,
IF(Investment_Strategy="DIS",VLOOKUP(Investment_Strategy&amp;"_"&amp;Investment_Strategy_Sub1&amp;"_"&amp;$A373,'Investment Strategies'!$AZ:$BP,12,FALSE),
IF(AND(Investment_Strategy="Lifecycle",Investment_Strategy_Sub1="Non-Standard"),VLOOKUP(Investment_Strategy&amp;"_"&amp;Investment_Strategy_Sub2&amp;"_"&amp;$A373,'Investment Strategies'!$C:$P,9,FALSE),
IF(AND(Investment_Strategy="Lifecycle",Investment_Strategy_Sub1="Standard"),VLOOKUP(Investment_Strategy&amp;"_"&amp;Investment_Strategy_Sub2&amp;"_"&amp;$A373,'Investment Strategies'!$AJ:$AV,8,FALSE),
IF(AND(Investment_Strategy="Autopilot",Investment_Strategy_Sub1="Non-Standard"),VLOOKUP(Investment_Strategy&amp;"_"&amp;Investment_Strategy_Sub2&amp;"_"&amp;$A373,'Investment Strategies'!$T:$AF,8,FALSE),
IF(Investment_Strategy ="DIY",DIY_RateofReturn_SP,
"Error")))))),Max_InvReturn)</f>
        <v>0</v>
      </c>
      <c r="M373" s="62">
        <f>IF($AV373=0,0,
IF(Investment_Strategy="DIS",VLOOKUP(Investment_Strategy&amp;"_"&amp;Investment_Strategy_Sub1&amp;"_"&amp;$A373,'Investment Strategies'!$AZ:$BP,15,FALSE),
IF(AND(Investment_Strategy="Lifecycle",Investment_Strategy_Sub1="Non-Standard"),VLOOKUP(Investment_Strategy&amp;"_"&amp;Investment_Strategy_Sub2&amp;"_"&amp;$A373,'Investment Strategies'!$C:$P,12,FALSE),
IF(AND(Investment_Strategy="Lifecycle",Investment_Strategy_Sub1="Standard"),VLOOKUP(Investment_Strategy&amp;"_"&amp;Investment_Strategy_Sub2&amp;"_"&amp;$A373,'Investment Strategies'!$AJ:$AV,11,FALSE),
IF(AND(Investment_Strategy="Autopilot",Investment_Strategy_Sub1="Non-Standard"),VLOOKUP(Investment_Strategy&amp;"_"&amp;Investment_Strategy_Sub2&amp;"_"&amp;$A373,'Investment Strategies'!$T:$AF,11,FALSE),
IF(Investment_Strategy="DIY",DIY_GteeChrge_SP,
"Error"))))))</f>
        <v>0</v>
      </c>
      <c r="N373" s="33">
        <f>IF($AV373=0,0,
IF(Investment_Strategy="DIS",VLOOKUP(Investment_Strategy&amp;"_"&amp;Investment_Strategy_Sub1&amp;"_"&amp;$A373,'Investment Strategies'!$AZ:$BP,17,FALSE),
IF(AND(Investment_Strategy="Lifecycle",Investment_Strategy_Sub1="Non-Standard"),VLOOKUP(Investment_Strategy&amp;"_"&amp;Investment_Strategy_Sub2&amp;"_"&amp;$A373,'Investment Strategies'!$C:$P,14,FALSE),
IF(AND(Investment_Strategy="Lifecycle",Investment_Strategy_Sub1="Standard"),VLOOKUP(Investment_Strategy&amp;"_"&amp;Investment_Strategy_Sub2&amp;"_"&amp;$A373,'Investment Strategies'!$AJ:$AV,13,FALSE),
IF(AND(Investment_Strategy="Autopilot",Investment_Strategy_Sub1="Non-Standard"),VLOOKUP(Investment_Strategy&amp;"_"&amp;Investment_Strategy_Sub2&amp;"_"&amp;$A373,'Investment Strategies'!$T:$AF,13,FALSE),
IF(Investment_Strategy="DIY",DIY_ExtManChrge_SP,
"Error"))))))</f>
        <v>0</v>
      </c>
      <c r="O373" s="16">
        <f t="shared" si="230"/>
        <v>0</v>
      </c>
      <c r="Q373" s="16">
        <f t="shared" si="207"/>
        <v>0</v>
      </c>
      <c r="R373" s="16">
        <f t="shared" si="203"/>
        <v>0</v>
      </c>
      <c r="S373" s="16">
        <f>(SRP_SP+SUM(S$91:S372))*L373*IF(D373=$A$91,SRP_finalmonthfactor,1)</f>
        <v>0</v>
      </c>
      <c r="T373" s="74">
        <f>MIN(IF($AV373=0,0,
IF(Investment_Strategy="DIS",VLOOKUP(Investment_Strategy&amp;"_"&amp;Investment_Strategy_Sub1&amp;"_"&amp;$A373,'Investment Strategies'!$AZ:$BP,12,FALSE),
IF(AND(Investment_Strategy="Lifecycle",Investment_Strategy_Sub1="Non-Standard"),VLOOKUP(Investment_Strategy&amp;"_"&amp;Investment_Strategy_Sub2&amp;"_"&amp;$A373,'Investment Strategies'!$C:$P,9,FALSE),
IF(AND(Investment_Strategy="Lifecycle",Investment_Strategy_Sub1="Standard"),VLOOKUP(Investment_Strategy&amp;"_"&amp;Investment_Strategy_Sub2&amp;"_"&amp;$A373,'Investment Strategies'!$AJ:$AV,8,FALSE),
IF(AND(Investment_Strategy="Autopilot",Investment_Strategy_Sub1="Non-Standard"),VLOOKUP(Investment_Strategy&amp;"_"&amp;Investment_Strategy_Sub2&amp;"_"&amp;$A373,'Investment Strategies'!$T:$AF,8,FALSE),
IF(Investment_Strategy ="DIY",DIY_RateOfReturn_FuturePremiums,
"Error")))))),Max_InvReturn)</f>
        <v>0</v>
      </c>
      <c r="U373" s="62">
        <f>IF($AV373=0,0,
IF(Investment_Strategy="DIS",VLOOKUP(Investment_Strategy&amp;"_"&amp;Investment_Strategy_Sub1&amp;"_"&amp;$A373,'Investment Strategies'!$AZ:$BP,15,FALSE),
IF(AND(Investment_Strategy="Lifecycle",Investment_Strategy_Sub1="Non-Standard"),VLOOKUP(Investment_Strategy&amp;"_"&amp;Investment_Strategy_Sub2&amp;"_"&amp;$A373,'Investment Strategies'!$C:$P,12,FALSE),
IF(AND(Investment_Strategy="Lifecycle",Investment_Strategy_Sub1="Standard"),VLOOKUP(Investment_Strategy&amp;"_"&amp;Investment_Strategy_Sub2&amp;"_"&amp;$A373,'Investment Strategies'!$AJ:$AV,11,FALSE),
IF(AND(Investment_Strategy="Autopilot",Investment_Strategy_Sub1="Non-Standard"),VLOOKUP(Investment_Strategy&amp;"_"&amp;Investment_Strategy_Sub2&amp;"_"&amp;$A373,'Investment Strategies'!$T:$AF,11,FALSE),
IF(Investment_Strategy="DIY",DIY_GteeChrge_FuturePremiums,
"Error"))))))</f>
        <v>0</v>
      </c>
      <c r="V373" s="33">
        <f>IF(AV373=0,0,
IF(Investment_Strategy="DIS",VLOOKUP(Investment_Strategy&amp;"_"&amp;Investment_Strategy_Sub1&amp;"_"&amp;$A373,'Investment Strategies'!$AZ:$BP,17,FALSE),
IF(AND(Investment_Strategy="Lifecycle",Investment_Strategy_Sub1="Non-Standard"),VLOOKUP(Investment_Strategy&amp;"_"&amp;Investment_Strategy_Sub2&amp;"_"&amp;$A373,'Investment Strategies'!$C:$P,14,FALSE),
IF(AND(Investment_Strategy="Lifecycle",Investment_Strategy_Sub1="Standard"),VLOOKUP(Investment_Strategy&amp;"_"&amp;Investment_Strategy_Sub2&amp;"_"&amp;$A373,'Investment Strategies'!$AJ:$AV,13,FALSE),
IF(AND(Investment_Strategy="Autopilot",Investment_Strategy_Sub1="Non-Standard"),VLOOKUP(Investment_Strategy&amp;"_"&amp;Investment_Strategy_Sub2&amp;"_"&amp;$A373,'Investment Strategies'!$T:$AF,13,FALSE),
IF(Investment_Strategy="DIY",DIY_ExtManChrge_FuturePremiums,
"Error"))))))</f>
        <v>0</v>
      </c>
      <c r="W373" s="16">
        <f t="shared" si="231"/>
        <v>0</v>
      </c>
      <c r="X373" s="16">
        <f t="shared" si="208"/>
        <v>0</v>
      </c>
      <c r="Y373" s="16">
        <f t="shared" si="209"/>
        <v>0</v>
      </c>
      <c r="Z373" s="31">
        <f t="shared" si="210"/>
        <v>0.02</v>
      </c>
      <c r="AA373" s="16">
        <f t="shared" si="211"/>
        <v>0</v>
      </c>
      <c r="AB373" s="28">
        <f t="shared" si="232"/>
        <v>0</v>
      </c>
      <c r="AC373" s="28">
        <f>(SUM($AC$91:AC372)+SUM($X$91:X372)+X373)*T373*IF(D373=$A$91,SRP_finalmonthfactor,1)</f>
        <v>0</v>
      </c>
      <c r="AD373" s="16">
        <f t="shared" si="212"/>
        <v>0</v>
      </c>
      <c r="AE373" s="106"/>
      <c r="AF373" s="16">
        <f t="shared" si="220"/>
        <v>0</v>
      </c>
      <c r="AG373" s="16">
        <f t="shared" si="221"/>
        <v>0</v>
      </c>
      <c r="AH373" s="16">
        <f t="shared" si="222"/>
        <v>0</v>
      </c>
      <c r="AJ373" s="13">
        <f t="shared" si="235"/>
        <v>0</v>
      </c>
      <c r="AK373" s="13">
        <f t="shared" si="235"/>
        <v>0</v>
      </c>
      <c r="AL373" s="13">
        <f t="shared" si="235"/>
        <v>0</v>
      </c>
      <c r="AM373" s="13">
        <f t="shared" si="235"/>
        <v>0</v>
      </c>
      <c r="AN373" s="13">
        <f t="shared" si="235"/>
        <v>0</v>
      </c>
      <c r="AO373" s="13">
        <f t="shared" si="235"/>
        <v>1</v>
      </c>
      <c r="AP373" s="13">
        <f t="shared" si="235"/>
        <v>1</v>
      </c>
      <c r="AQ373" s="13">
        <f t="shared" si="235"/>
        <v>1</v>
      </c>
      <c r="AR373" s="13">
        <f t="shared" si="235"/>
        <v>1</v>
      </c>
      <c r="AS373" s="13">
        <f t="shared" si="235"/>
        <v>1</v>
      </c>
      <c r="AT373" s="13">
        <f t="shared" si="235"/>
        <v>1</v>
      </c>
      <c r="AU373" s="13">
        <f t="shared" si="235"/>
        <v>1</v>
      </c>
      <c r="AV373" s="13">
        <f t="shared" si="213"/>
        <v>0</v>
      </c>
      <c r="AW373" s="13">
        <f t="shared" si="214"/>
        <v>1</v>
      </c>
      <c r="AY373" s="17">
        <f t="shared" si="215"/>
        <v>283</v>
      </c>
      <c r="AZ373" s="28">
        <f t="shared" si="223"/>
        <v>0</v>
      </c>
      <c r="BA373" s="13">
        <f t="shared" si="216"/>
        <v>0</v>
      </c>
      <c r="BB373" s="13">
        <f t="shared" si="217"/>
        <v>0</v>
      </c>
      <c r="BC373" s="28">
        <f t="shared" si="224"/>
        <v>0</v>
      </c>
      <c r="BD373" s="28">
        <f t="shared" si="225"/>
        <v>0</v>
      </c>
      <c r="BF373" s="248">
        <f t="shared" si="226"/>
        <v>993869.29442638322</v>
      </c>
    </row>
    <row r="374" spans="1:58">
      <c r="A374" s="32">
        <f t="shared" si="227"/>
        <v>-199</v>
      </c>
      <c r="B374" s="32">
        <f t="shared" si="218"/>
        <v>76</v>
      </c>
      <c r="C374" s="32">
        <f t="shared" si="228"/>
        <v>24</v>
      </c>
      <c r="D374" s="32">
        <f t="shared" si="229"/>
        <v>284</v>
      </c>
      <c r="E374" s="74">
        <f>MIN(IF(AV374=0,0,
IF(Investment_Strategy="DIS",VLOOKUP(Investment_Strategy&amp;"_"&amp;Investment_Strategy_Sub1&amp;"_"&amp;$A374,'Investment Strategies'!$AZ:$BP,12,FALSE),
IF(AND(Investment_Strategy="Lifecycle",Investment_Strategy_Sub1="Non-Standard"),VLOOKUP(Investment_Strategy&amp;"_"&amp;Investment_Strategy_Sub2&amp;"_"&amp;$A374,'Investment Strategies'!$C:$P,9,FALSE),
IF(AND(Investment_Strategy="Lifecycle",Investment_Strategy_Sub1="Standard"),VLOOKUP(Investment_Strategy&amp;"_"&amp;Investment_Strategy_Sub2&amp;"_"&amp;$A374,'Investment Strategies'!$AJ:$AV,8,FALSE),
IF(AND(Investment_Strategy="Autopilot",Investment_Strategy_Sub1="Non-Standard"),VLOOKUP(Investment_Strategy&amp;"_"&amp;Investment_Strategy_Sub2&amp;"_"&amp;$A374,'Investment Strategies'!$T:$AF,8,FALSE),
IF(Investment_Strategy ="DIY",DIY_RateOfReturn_CurrentFunds,
"Error")))))),Max_InvReturn)</f>
        <v>0</v>
      </c>
      <c r="F374" s="62">
        <f>IF(AV374=0,0,
IF(Investment_Strategy="DIS",VLOOKUP(Investment_Strategy&amp;"_"&amp;Investment_Strategy_Sub1&amp;"_"&amp;$A374,'Investment Strategies'!$AZ:$BP,15,FALSE),
IF(AND(Investment_Strategy="Lifecycle",Investment_Strategy_Sub1="Non-Standard"),VLOOKUP(Investment_Strategy&amp;"_"&amp;Investment_Strategy_Sub2&amp;"_"&amp;$A374,'Investment Strategies'!$C:$P,12,FALSE),
IF(AND(Investment_Strategy="Lifecycle",Investment_Strategy_Sub1="Standard"),VLOOKUP(Investment_Strategy&amp;"_"&amp;Investment_Strategy_Sub2&amp;"_"&amp;$A374,'Investment Strategies'!$AJ:$AV,11,FALSE),
IF(AND(Investment_Strategy="Autopilot",Investment_Strategy_Sub1="Non-Standard"),VLOOKUP(Investment_Strategy&amp;"_"&amp;Investment_Strategy_Sub2&amp;"_"&amp;$A374,'Investment Strategies'!$T:$AF,11,FALSE),
IF(Investment_Strategy="DIY",DIY_GteeChrge_CurrentFunds,
"Error"))))))</f>
        <v>0</v>
      </c>
      <c r="G374" s="33">
        <f>IF(AV374=0,0,
IF(Investment_Strategy="DIS",VLOOKUP(Investment_Strategy&amp;"_"&amp;Investment_Strategy_Sub1&amp;"_"&amp;$A374,'Investment Strategies'!$AZ:$BP,17,FALSE),
IF(AND(Investment_Strategy="Lifecycle",Investment_Strategy_Sub1="Non-Standard"),VLOOKUP(Investment_Strategy&amp;"_"&amp;Investment_Strategy_Sub2&amp;"_"&amp;$A374,'Investment Strategies'!$C:$P,14,FALSE),
IF(AND(Investment_Strategy="Lifecycle",Investment_Strategy_Sub1="Standard"),VLOOKUP(Investment_Strategy&amp;"_"&amp;Investment_Strategy_Sub2&amp;"_"&amp;$A374,'Investment Strategies'!$AJ:$AV,13,FALSE),
IF(AND(Investment_Strategy="Autopilot",Investment_Strategy_Sub1="Non-Standard"),VLOOKUP(Investment_Strategy&amp;"_"&amp;Investment_Strategy_Sub2&amp;"_"&amp;$A374,'Investment Strategies'!$T:$AF,13,FALSE),
IF(Investment_Strategy="DIY",DIY_ExtManChrge_CurrentFunds,
"Error"))))))</f>
        <v>0</v>
      </c>
      <c r="H374" s="16">
        <f t="shared" si="219"/>
        <v>0</v>
      </c>
      <c r="I374" s="16">
        <f t="shared" si="205"/>
        <v>0</v>
      </c>
      <c r="J374" s="16">
        <f t="shared" si="206"/>
        <v>0</v>
      </c>
      <c r="K374" s="16">
        <f>(Opening_Fund_Value+SUM(K$91:K373))*E374*IF(D374=$A$91,SRP_finalmonthfactor,1)</f>
        <v>0</v>
      </c>
      <c r="L374" s="74">
        <f>MIN(IF($AV374=0,0,
IF(Investment_Strategy="DIS",VLOOKUP(Investment_Strategy&amp;"_"&amp;Investment_Strategy_Sub1&amp;"_"&amp;$A374,'Investment Strategies'!$AZ:$BP,12,FALSE),
IF(AND(Investment_Strategy="Lifecycle",Investment_Strategy_Sub1="Non-Standard"),VLOOKUP(Investment_Strategy&amp;"_"&amp;Investment_Strategy_Sub2&amp;"_"&amp;$A374,'Investment Strategies'!$C:$P,9,FALSE),
IF(AND(Investment_Strategy="Lifecycle",Investment_Strategy_Sub1="Standard"),VLOOKUP(Investment_Strategy&amp;"_"&amp;Investment_Strategy_Sub2&amp;"_"&amp;$A374,'Investment Strategies'!$AJ:$AV,8,FALSE),
IF(AND(Investment_Strategy="Autopilot",Investment_Strategy_Sub1="Non-Standard"),VLOOKUP(Investment_Strategy&amp;"_"&amp;Investment_Strategy_Sub2&amp;"_"&amp;$A374,'Investment Strategies'!$T:$AF,8,FALSE),
IF(Investment_Strategy ="DIY",DIY_RateofReturn_SP,
"Error")))))),Max_InvReturn)</f>
        <v>0</v>
      </c>
      <c r="M374" s="62">
        <f>IF($AV374=0,0,
IF(Investment_Strategy="DIS",VLOOKUP(Investment_Strategy&amp;"_"&amp;Investment_Strategy_Sub1&amp;"_"&amp;$A374,'Investment Strategies'!$AZ:$BP,15,FALSE),
IF(AND(Investment_Strategy="Lifecycle",Investment_Strategy_Sub1="Non-Standard"),VLOOKUP(Investment_Strategy&amp;"_"&amp;Investment_Strategy_Sub2&amp;"_"&amp;$A374,'Investment Strategies'!$C:$P,12,FALSE),
IF(AND(Investment_Strategy="Lifecycle",Investment_Strategy_Sub1="Standard"),VLOOKUP(Investment_Strategy&amp;"_"&amp;Investment_Strategy_Sub2&amp;"_"&amp;$A374,'Investment Strategies'!$AJ:$AV,11,FALSE),
IF(AND(Investment_Strategy="Autopilot",Investment_Strategy_Sub1="Non-Standard"),VLOOKUP(Investment_Strategy&amp;"_"&amp;Investment_Strategy_Sub2&amp;"_"&amp;$A374,'Investment Strategies'!$T:$AF,11,FALSE),
IF(Investment_Strategy="DIY",DIY_GteeChrge_SP,
"Error"))))))</f>
        <v>0</v>
      </c>
      <c r="N374" s="33">
        <f>IF($AV374=0,0,
IF(Investment_Strategy="DIS",VLOOKUP(Investment_Strategy&amp;"_"&amp;Investment_Strategy_Sub1&amp;"_"&amp;$A374,'Investment Strategies'!$AZ:$BP,17,FALSE),
IF(AND(Investment_Strategy="Lifecycle",Investment_Strategy_Sub1="Non-Standard"),VLOOKUP(Investment_Strategy&amp;"_"&amp;Investment_Strategy_Sub2&amp;"_"&amp;$A374,'Investment Strategies'!$C:$P,14,FALSE),
IF(AND(Investment_Strategy="Lifecycle",Investment_Strategy_Sub1="Standard"),VLOOKUP(Investment_Strategy&amp;"_"&amp;Investment_Strategy_Sub2&amp;"_"&amp;$A374,'Investment Strategies'!$AJ:$AV,13,FALSE),
IF(AND(Investment_Strategy="Autopilot",Investment_Strategy_Sub1="Non-Standard"),VLOOKUP(Investment_Strategy&amp;"_"&amp;Investment_Strategy_Sub2&amp;"_"&amp;$A374,'Investment Strategies'!$T:$AF,13,FALSE),
IF(Investment_Strategy="DIY",DIY_ExtManChrge_SP,
"Error"))))))</f>
        <v>0</v>
      </c>
      <c r="O374" s="16">
        <f t="shared" si="230"/>
        <v>0</v>
      </c>
      <c r="Q374" s="16">
        <f t="shared" si="207"/>
        <v>0</v>
      </c>
      <c r="R374" s="16">
        <f t="shared" si="203"/>
        <v>0</v>
      </c>
      <c r="S374" s="16">
        <f>(SRP_SP+SUM(S$91:S373))*L374*IF(D374=$A$91,SRP_finalmonthfactor,1)</f>
        <v>0</v>
      </c>
      <c r="T374" s="74">
        <f>MIN(IF($AV374=0,0,
IF(Investment_Strategy="DIS",VLOOKUP(Investment_Strategy&amp;"_"&amp;Investment_Strategy_Sub1&amp;"_"&amp;$A374,'Investment Strategies'!$AZ:$BP,12,FALSE),
IF(AND(Investment_Strategy="Lifecycle",Investment_Strategy_Sub1="Non-Standard"),VLOOKUP(Investment_Strategy&amp;"_"&amp;Investment_Strategy_Sub2&amp;"_"&amp;$A374,'Investment Strategies'!$C:$P,9,FALSE),
IF(AND(Investment_Strategy="Lifecycle",Investment_Strategy_Sub1="Standard"),VLOOKUP(Investment_Strategy&amp;"_"&amp;Investment_Strategy_Sub2&amp;"_"&amp;$A374,'Investment Strategies'!$AJ:$AV,8,FALSE),
IF(AND(Investment_Strategy="Autopilot",Investment_Strategy_Sub1="Non-Standard"),VLOOKUP(Investment_Strategy&amp;"_"&amp;Investment_Strategy_Sub2&amp;"_"&amp;$A374,'Investment Strategies'!$T:$AF,8,FALSE),
IF(Investment_Strategy ="DIY",DIY_RateOfReturn_FuturePremiums,
"Error")))))),Max_InvReturn)</f>
        <v>0</v>
      </c>
      <c r="U374" s="62">
        <f>IF($AV374=0,0,
IF(Investment_Strategy="DIS",VLOOKUP(Investment_Strategy&amp;"_"&amp;Investment_Strategy_Sub1&amp;"_"&amp;$A374,'Investment Strategies'!$AZ:$BP,15,FALSE),
IF(AND(Investment_Strategy="Lifecycle",Investment_Strategy_Sub1="Non-Standard"),VLOOKUP(Investment_Strategy&amp;"_"&amp;Investment_Strategy_Sub2&amp;"_"&amp;$A374,'Investment Strategies'!$C:$P,12,FALSE),
IF(AND(Investment_Strategy="Lifecycle",Investment_Strategy_Sub1="Standard"),VLOOKUP(Investment_Strategy&amp;"_"&amp;Investment_Strategy_Sub2&amp;"_"&amp;$A374,'Investment Strategies'!$AJ:$AV,11,FALSE),
IF(AND(Investment_Strategy="Autopilot",Investment_Strategy_Sub1="Non-Standard"),VLOOKUP(Investment_Strategy&amp;"_"&amp;Investment_Strategy_Sub2&amp;"_"&amp;$A374,'Investment Strategies'!$T:$AF,11,FALSE),
IF(Investment_Strategy="DIY",DIY_GteeChrge_FuturePremiums,
"Error"))))))</f>
        <v>0</v>
      </c>
      <c r="V374" s="33">
        <f>IF(AV374=0,0,
IF(Investment_Strategy="DIS",VLOOKUP(Investment_Strategy&amp;"_"&amp;Investment_Strategy_Sub1&amp;"_"&amp;$A374,'Investment Strategies'!$AZ:$BP,17,FALSE),
IF(AND(Investment_Strategy="Lifecycle",Investment_Strategy_Sub1="Non-Standard"),VLOOKUP(Investment_Strategy&amp;"_"&amp;Investment_Strategy_Sub2&amp;"_"&amp;$A374,'Investment Strategies'!$C:$P,14,FALSE),
IF(AND(Investment_Strategy="Lifecycle",Investment_Strategy_Sub1="Standard"),VLOOKUP(Investment_Strategy&amp;"_"&amp;Investment_Strategy_Sub2&amp;"_"&amp;$A374,'Investment Strategies'!$AJ:$AV,13,FALSE),
IF(AND(Investment_Strategy="Autopilot",Investment_Strategy_Sub1="Non-Standard"),VLOOKUP(Investment_Strategy&amp;"_"&amp;Investment_Strategy_Sub2&amp;"_"&amp;$A374,'Investment Strategies'!$T:$AF,13,FALSE),
IF(Investment_Strategy="DIY",DIY_ExtManChrge_FuturePremiums,
"Error"))))))</f>
        <v>0</v>
      </c>
      <c r="W374" s="16">
        <f t="shared" si="231"/>
        <v>0</v>
      </c>
      <c r="X374" s="16">
        <f t="shared" si="208"/>
        <v>0</v>
      </c>
      <c r="Y374" s="16">
        <f t="shared" si="209"/>
        <v>0</v>
      </c>
      <c r="Z374" s="31">
        <f t="shared" si="210"/>
        <v>0.02</v>
      </c>
      <c r="AA374" s="16">
        <f t="shared" si="211"/>
        <v>0</v>
      </c>
      <c r="AB374" s="28">
        <f t="shared" si="232"/>
        <v>0</v>
      </c>
      <c r="AC374" s="28">
        <f>(SUM($AC$91:AC373)+SUM($X$91:X373)+X374)*T374*IF(D374=$A$91,SRP_finalmonthfactor,1)</f>
        <v>0</v>
      </c>
      <c r="AD374" s="16">
        <f t="shared" si="212"/>
        <v>0</v>
      </c>
      <c r="AE374" s="106"/>
      <c r="AF374" s="16">
        <f t="shared" si="220"/>
        <v>0</v>
      </c>
      <c r="AG374" s="16">
        <f t="shared" si="221"/>
        <v>0</v>
      </c>
      <c r="AH374" s="16">
        <f t="shared" si="222"/>
        <v>0</v>
      </c>
      <c r="AJ374" s="13">
        <f t="shared" si="235"/>
        <v>0</v>
      </c>
      <c r="AK374" s="13">
        <f t="shared" si="235"/>
        <v>0</v>
      </c>
      <c r="AL374" s="13">
        <f t="shared" si="235"/>
        <v>0</v>
      </c>
      <c r="AM374" s="13">
        <f t="shared" si="235"/>
        <v>0</v>
      </c>
      <c r="AN374" s="13">
        <f t="shared" si="235"/>
        <v>0</v>
      </c>
      <c r="AO374" s="13">
        <f t="shared" si="235"/>
        <v>1</v>
      </c>
      <c r="AP374" s="13">
        <f t="shared" si="235"/>
        <v>1</v>
      </c>
      <c r="AQ374" s="13">
        <f t="shared" si="235"/>
        <v>1</v>
      </c>
      <c r="AR374" s="13">
        <f t="shared" si="235"/>
        <v>1</v>
      </c>
      <c r="AS374" s="13">
        <f t="shared" si="235"/>
        <v>1</v>
      </c>
      <c r="AT374" s="13">
        <f t="shared" si="235"/>
        <v>1</v>
      </c>
      <c r="AU374" s="13">
        <f t="shared" si="235"/>
        <v>1</v>
      </c>
      <c r="AV374" s="13">
        <f t="shared" si="213"/>
        <v>0</v>
      </c>
      <c r="AW374" s="13">
        <f t="shared" si="214"/>
        <v>1</v>
      </c>
      <c r="AY374" s="17">
        <f t="shared" si="215"/>
        <v>284</v>
      </c>
      <c r="AZ374" s="28">
        <f t="shared" si="223"/>
        <v>0</v>
      </c>
      <c r="BA374" s="13">
        <f t="shared" si="216"/>
        <v>0</v>
      </c>
      <c r="BB374" s="13">
        <f t="shared" si="217"/>
        <v>0</v>
      </c>
      <c r="BC374" s="28">
        <f t="shared" si="224"/>
        <v>0</v>
      </c>
      <c r="BD374" s="28">
        <f t="shared" si="225"/>
        <v>0</v>
      </c>
      <c r="BF374" s="248">
        <f t="shared" si="226"/>
        <v>993869.29442638322</v>
      </c>
    </row>
    <row r="375" spans="1:58">
      <c r="A375" s="32">
        <f t="shared" si="227"/>
        <v>-200</v>
      </c>
      <c r="B375" s="32">
        <f t="shared" si="218"/>
        <v>76</v>
      </c>
      <c r="C375" s="32">
        <f t="shared" si="228"/>
        <v>24</v>
      </c>
      <c r="D375" s="32">
        <f t="shared" si="229"/>
        <v>285</v>
      </c>
      <c r="E375" s="74">
        <f>MIN(IF(AV375=0,0,
IF(Investment_Strategy="DIS",VLOOKUP(Investment_Strategy&amp;"_"&amp;Investment_Strategy_Sub1&amp;"_"&amp;$A375,'Investment Strategies'!$AZ:$BP,12,FALSE),
IF(AND(Investment_Strategy="Lifecycle",Investment_Strategy_Sub1="Non-Standard"),VLOOKUP(Investment_Strategy&amp;"_"&amp;Investment_Strategy_Sub2&amp;"_"&amp;$A375,'Investment Strategies'!$C:$P,9,FALSE),
IF(AND(Investment_Strategy="Lifecycle",Investment_Strategy_Sub1="Standard"),VLOOKUP(Investment_Strategy&amp;"_"&amp;Investment_Strategy_Sub2&amp;"_"&amp;$A375,'Investment Strategies'!$AJ:$AV,8,FALSE),
IF(AND(Investment_Strategy="Autopilot",Investment_Strategy_Sub1="Non-Standard"),VLOOKUP(Investment_Strategy&amp;"_"&amp;Investment_Strategy_Sub2&amp;"_"&amp;$A375,'Investment Strategies'!$T:$AF,8,FALSE),
IF(Investment_Strategy ="DIY",DIY_RateOfReturn_CurrentFunds,
"Error")))))),Max_InvReturn)</f>
        <v>0</v>
      </c>
      <c r="F375" s="62">
        <f>IF(AV375=0,0,
IF(Investment_Strategy="DIS",VLOOKUP(Investment_Strategy&amp;"_"&amp;Investment_Strategy_Sub1&amp;"_"&amp;$A375,'Investment Strategies'!$AZ:$BP,15,FALSE),
IF(AND(Investment_Strategy="Lifecycle",Investment_Strategy_Sub1="Non-Standard"),VLOOKUP(Investment_Strategy&amp;"_"&amp;Investment_Strategy_Sub2&amp;"_"&amp;$A375,'Investment Strategies'!$C:$P,12,FALSE),
IF(AND(Investment_Strategy="Lifecycle",Investment_Strategy_Sub1="Standard"),VLOOKUP(Investment_Strategy&amp;"_"&amp;Investment_Strategy_Sub2&amp;"_"&amp;$A375,'Investment Strategies'!$AJ:$AV,11,FALSE),
IF(AND(Investment_Strategy="Autopilot",Investment_Strategy_Sub1="Non-Standard"),VLOOKUP(Investment_Strategy&amp;"_"&amp;Investment_Strategy_Sub2&amp;"_"&amp;$A375,'Investment Strategies'!$T:$AF,11,FALSE),
IF(Investment_Strategy="DIY",DIY_GteeChrge_CurrentFunds,
"Error"))))))</f>
        <v>0</v>
      </c>
      <c r="G375" s="33">
        <f>IF(AV375=0,0,
IF(Investment_Strategy="DIS",VLOOKUP(Investment_Strategy&amp;"_"&amp;Investment_Strategy_Sub1&amp;"_"&amp;$A375,'Investment Strategies'!$AZ:$BP,17,FALSE),
IF(AND(Investment_Strategy="Lifecycle",Investment_Strategy_Sub1="Non-Standard"),VLOOKUP(Investment_Strategy&amp;"_"&amp;Investment_Strategy_Sub2&amp;"_"&amp;$A375,'Investment Strategies'!$C:$P,14,FALSE),
IF(AND(Investment_Strategy="Lifecycle",Investment_Strategy_Sub1="Standard"),VLOOKUP(Investment_Strategy&amp;"_"&amp;Investment_Strategy_Sub2&amp;"_"&amp;$A375,'Investment Strategies'!$AJ:$AV,13,FALSE),
IF(AND(Investment_Strategy="Autopilot",Investment_Strategy_Sub1="Non-Standard"),VLOOKUP(Investment_Strategy&amp;"_"&amp;Investment_Strategy_Sub2&amp;"_"&amp;$A375,'Investment Strategies'!$T:$AF,13,FALSE),
IF(Investment_Strategy="DIY",DIY_ExtManChrge_CurrentFunds,
"Error"))))))</f>
        <v>0</v>
      </c>
      <c r="H375" s="16">
        <f t="shared" si="219"/>
        <v>0</v>
      </c>
      <c r="I375" s="16">
        <f t="shared" si="205"/>
        <v>0</v>
      </c>
      <c r="J375" s="16">
        <f t="shared" si="206"/>
        <v>0</v>
      </c>
      <c r="K375" s="16">
        <f>(Opening_Fund_Value+SUM(K$91:K374))*E375*IF(D375=$A$91,SRP_finalmonthfactor,1)</f>
        <v>0</v>
      </c>
      <c r="L375" s="74">
        <f>MIN(IF($AV375=0,0,
IF(Investment_Strategy="DIS",VLOOKUP(Investment_Strategy&amp;"_"&amp;Investment_Strategy_Sub1&amp;"_"&amp;$A375,'Investment Strategies'!$AZ:$BP,12,FALSE),
IF(AND(Investment_Strategy="Lifecycle",Investment_Strategy_Sub1="Non-Standard"),VLOOKUP(Investment_Strategy&amp;"_"&amp;Investment_Strategy_Sub2&amp;"_"&amp;$A375,'Investment Strategies'!$C:$P,9,FALSE),
IF(AND(Investment_Strategy="Lifecycle",Investment_Strategy_Sub1="Standard"),VLOOKUP(Investment_Strategy&amp;"_"&amp;Investment_Strategy_Sub2&amp;"_"&amp;$A375,'Investment Strategies'!$AJ:$AV,8,FALSE),
IF(AND(Investment_Strategy="Autopilot",Investment_Strategy_Sub1="Non-Standard"),VLOOKUP(Investment_Strategy&amp;"_"&amp;Investment_Strategy_Sub2&amp;"_"&amp;$A375,'Investment Strategies'!$T:$AF,8,FALSE),
IF(Investment_Strategy ="DIY",DIY_RateofReturn_SP,
"Error")))))),Max_InvReturn)</f>
        <v>0</v>
      </c>
      <c r="M375" s="62">
        <f>IF($AV375=0,0,
IF(Investment_Strategy="DIS",VLOOKUP(Investment_Strategy&amp;"_"&amp;Investment_Strategy_Sub1&amp;"_"&amp;$A375,'Investment Strategies'!$AZ:$BP,15,FALSE),
IF(AND(Investment_Strategy="Lifecycle",Investment_Strategy_Sub1="Non-Standard"),VLOOKUP(Investment_Strategy&amp;"_"&amp;Investment_Strategy_Sub2&amp;"_"&amp;$A375,'Investment Strategies'!$C:$P,12,FALSE),
IF(AND(Investment_Strategy="Lifecycle",Investment_Strategy_Sub1="Standard"),VLOOKUP(Investment_Strategy&amp;"_"&amp;Investment_Strategy_Sub2&amp;"_"&amp;$A375,'Investment Strategies'!$AJ:$AV,11,FALSE),
IF(AND(Investment_Strategy="Autopilot",Investment_Strategy_Sub1="Non-Standard"),VLOOKUP(Investment_Strategy&amp;"_"&amp;Investment_Strategy_Sub2&amp;"_"&amp;$A375,'Investment Strategies'!$T:$AF,11,FALSE),
IF(Investment_Strategy="DIY",DIY_GteeChrge_SP,
"Error"))))))</f>
        <v>0</v>
      </c>
      <c r="N375" s="33">
        <f>IF($AV375=0,0,
IF(Investment_Strategy="DIS",VLOOKUP(Investment_Strategy&amp;"_"&amp;Investment_Strategy_Sub1&amp;"_"&amp;$A375,'Investment Strategies'!$AZ:$BP,17,FALSE),
IF(AND(Investment_Strategy="Lifecycle",Investment_Strategy_Sub1="Non-Standard"),VLOOKUP(Investment_Strategy&amp;"_"&amp;Investment_Strategy_Sub2&amp;"_"&amp;$A375,'Investment Strategies'!$C:$P,14,FALSE),
IF(AND(Investment_Strategy="Lifecycle",Investment_Strategy_Sub1="Standard"),VLOOKUP(Investment_Strategy&amp;"_"&amp;Investment_Strategy_Sub2&amp;"_"&amp;$A375,'Investment Strategies'!$AJ:$AV,13,FALSE),
IF(AND(Investment_Strategy="Autopilot",Investment_Strategy_Sub1="Non-Standard"),VLOOKUP(Investment_Strategy&amp;"_"&amp;Investment_Strategy_Sub2&amp;"_"&amp;$A375,'Investment Strategies'!$T:$AF,13,FALSE),
IF(Investment_Strategy="DIY",DIY_ExtManChrge_SP,
"Error"))))))</f>
        <v>0</v>
      </c>
      <c r="O375" s="16">
        <f t="shared" si="230"/>
        <v>0</v>
      </c>
      <c r="Q375" s="16">
        <f t="shared" si="207"/>
        <v>0</v>
      </c>
      <c r="R375" s="16">
        <f t="shared" si="203"/>
        <v>0</v>
      </c>
      <c r="S375" s="16">
        <f>(SRP_SP+SUM(S$91:S374))*L375*IF(D375=$A$91,SRP_finalmonthfactor,1)</f>
        <v>0</v>
      </c>
      <c r="T375" s="74">
        <f>MIN(IF($AV375=0,0,
IF(Investment_Strategy="DIS",VLOOKUP(Investment_Strategy&amp;"_"&amp;Investment_Strategy_Sub1&amp;"_"&amp;$A375,'Investment Strategies'!$AZ:$BP,12,FALSE),
IF(AND(Investment_Strategy="Lifecycle",Investment_Strategy_Sub1="Non-Standard"),VLOOKUP(Investment_Strategy&amp;"_"&amp;Investment_Strategy_Sub2&amp;"_"&amp;$A375,'Investment Strategies'!$C:$P,9,FALSE),
IF(AND(Investment_Strategy="Lifecycle",Investment_Strategy_Sub1="Standard"),VLOOKUP(Investment_Strategy&amp;"_"&amp;Investment_Strategy_Sub2&amp;"_"&amp;$A375,'Investment Strategies'!$AJ:$AV,8,FALSE),
IF(AND(Investment_Strategy="Autopilot",Investment_Strategy_Sub1="Non-Standard"),VLOOKUP(Investment_Strategy&amp;"_"&amp;Investment_Strategy_Sub2&amp;"_"&amp;$A375,'Investment Strategies'!$T:$AF,8,FALSE),
IF(Investment_Strategy ="DIY",DIY_RateOfReturn_FuturePremiums,
"Error")))))),Max_InvReturn)</f>
        <v>0</v>
      </c>
      <c r="U375" s="62">
        <f>IF($AV375=0,0,
IF(Investment_Strategy="DIS",VLOOKUP(Investment_Strategy&amp;"_"&amp;Investment_Strategy_Sub1&amp;"_"&amp;$A375,'Investment Strategies'!$AZ:$BP,15,FALSE),
IF(AND(Investment_Strategy="Lifecycle",Investment_Strategy_Sub1="Non-Standard"),VLOOKUP(Investment_Strategy&amp;"_"&amp;Investment_Strategy_Sub2&amp;"_"&amp;$A375,'Investment Strategies'!$C:$P,12,FALSE),
IF(AND(Investment_Strategy="Lifecycle",Investment_Strategy_Sub1="Standard"),VLOOKUP(Investment_Strategy&amp;"_"&amp;Investment_Strategy_Sub2&amp;"_"&amp;$A375,'Investment Strategies'!$AJ:$AV,11,FALSE),
IF(AND(Investment_Strategy="Autopilot",Investment_Strategy_Sub1="Non-Standard"),VLOOKUP(Investment_Strategy&amp;"_"&amp;Investment_Strategy_Sub2&amp;"_"&amp;$A375,'Investment Strategies'!$T:$AF,11,FALSE),
IF(Investment_Strategy="DIY",DIY_GteeChrge_FuturePremiums,
"Error"))))))</f>
        <v>0</v>
      </c>
      <c r="V375" s="33">
        <f>IF(AV375=0,0,
IF(Investment_Strategy="DIS",VLOOKUP(Investment_Strategy&amp;"_"&amp;Investment_Strategy_Sub1&amp;"_"&amp;$A375,'Investment Strategies'!$AZ:$BP,17,FALSE),
IF(AND(Investment_Strategy="Lifecycle",Investment_Strategy_Sub1="Non-Standard"),VLOOKUP(Investment_Strategy&amp;"_"&amp;Investment_Strategy_Sub2&amp;"_"&amp;$A375,'Investment Strategies'!$C:$P,14,FALSE),
IF(AND(Investment_Strategy="Lifecycle",Investment_Strategy_Sub1="Standard"),VLOOKUP(Investment_Strategy&amp;"_"&amp;Investment_Strategy_Sub2&amp;"_"&amp;$A375,'Investment Strategies'!$AJ:$AV,13,FALSE),
IF(AND(Investment_Strategy="Autopilot",Investment_Strategy_Sub1="Non-Standard"),VLOOKUP(Investment_Strategy&amp;"_"&amp;Investment_Strategy_Sub2&amp;"_"&amp;$A375,'Investment Strategies'!$T:$AF,13,FALSE),
IF(Investment_Strategy="DIY",DIY_ExtManChrge_FuturePremiums,
"Error"))))))</f>
        <v>0</v>
      </c>
      <c r="W375" s="16">
        <f t="shared" si="231"/>
        <v>0</v>
      </c>
      <c r="X375" s="16">
        <f t="shared" si="208"/>
        <v>0</v>
      </c>
      <c r="Y375" s="16">
        <f t="shared" si="209"/>
        <v>0</v>
      </c>
      <c r="Z375" s="31">
        <f t="shared" si="210"/>
        <v>0.02</v>
      </c>
      <c r="AA375" s="16">
        <f t="shared" si="211"/>
        <v>0</v>
      </c>
      <c r="AB375" s="28">
        <f t="shared" si="232"/>
        <v>0</v>
      </c>
      <c r="AC375" s="28">
        <f>(SUM($AC$91:AC374)+SUM($X$91:X374)+X375)*T375*IF(D375=$A$91,SRP_finalmonthfactor,1)</f>
        <v>0</v>
      </c>
      <c r="AD375" s="16">
        <f t="shared" si="212"/>
        <v>0</v>
      </c>
      <c r="AE375" s="106"/>
      <c r="AF375" s="16">
        <f t="shared" si="220"/>
        <v>0</v>
      </c>
      <c r="AG375" s="16">
        <f t="shared" si="221"/>
        <v>0</v>
      </c>
      <c r="AH375" s="16">
        <f t="shared" si="222"/>
        <v>0</v>
      </c>
      <c r="AJ375" s="13">
        <f t="shared" si="235"/>
        <v>0</v>
      </c>
      <c r="AK375" s="13">
        <f t="shared" si="235"/>
        <v>0</v>
      </c>
      <c r="AL375" s="13">
        <f t="shared" si="235"/>
        <v>0</v>
      </c>
      <c r="AM375" s="13">
        <f t="shared" si="235"/>
        <v>0</v>
      </c>
      <c r="AN375" s="13">
        <f t="shared" si="235"/>
        <v>0</v>
      </c>
      <c r="AO375" s="13">
        <f t="shared" si="235"/>
        <v>1</v>
      </c>
      <c r="AP375" s="13">
        <f t="shared" si="235"/>
        <v>1</v>
      </c>
      <c r="AQ375" s="13">
        <f t="shared" si="235"/>
        <v>1</v>
      </c>
      <c r="AR375" s="13">
        <f t="shared" si="235"/>
        <v>1</v>
      </c>
      <c r="AS375" s="13">
        <f t="shared" si="235"/>
        <v>1</v>
      </c>
      <c r="AT375" s="13">
        <f t="shared" si="235"/>
        <v>1</v>
      </c>
      <c r="AU375" s="13">
        <f t="shared" si="235"/>
        <v>1</v>
      </c>
      <c r="AV375" s="13">
        <f t="shared" si="213"/>
        <v>0</v>
      </c>
      <c r="AW375" s="13">
        <f t="shared" si="214"/>
        <v>1</v>
      </c>
      <c r="AY375" s="17">
        <f t="shared" si="215"/>
        <v>285</v>
      </c>
      <c r="AZ375" s="28">
        <f t="shared" si="223"/>
        <v>0</v>
      </c>
      <c r="BA375" s="13">
        <f t="shared" si="216"/>
        <v>0</v>
      </c>
      <c r="BB375" s="13">
        <f t="shared" si="217"/>
        <v>0</v>
      </c>
      <c r="BC375" s="28">
        <f t="shared" si="224"/>
        <v>0</v>
      </c>
      <c r="BD375" s="28">
        <f t="shared" si="225"/>
        <v>0</v>
      </c>
      <c r="BF375" s="248">
        <f t="shared" si="226"/>
        <v>993869.29442638322</v>
      </c>
    </row>
    <row r="376" spans="1:58">
      <c r="A376" s="32">
        <f t="shared" si="227"/>
        <v>-201</v>
      </c>
      <c r="B376" s="32">
        <f t="shared" si="218"/>
        <v>76</v>
      </c>
      <c r="C376" s="32">
        <f t="shared" si="228"/>
        <v>24</v>
      </c>
      <c r="D376" s="32">
        <f t="shared" si="229"/>
        <v>286</v>
      </c>
      <c r="E376" s="74">
        <f>MIN(IF(AV376=0,0,
IF(Investment_Strategy="DIS",VLOOKUP(Investment_Strategy&amp;"_"&amp;Investment_Strategy_Sub1&amp;"_"&amp;$A376,'Investment Strategies'!$AZ:$BP,12,FALSE),
IF(AND(Investment_Strategy="Lifecycle",Investment_Strategy_Sub1="Non-Standard"),VLOOKUP(Investment_Strategy&amp;"_"&amp;Investment_Strategy_Sub2&amp;"_"&amp;$A376,'Investment Strategies'!$C:$P,9,FALSE),
IF(AND(Investment_Strategy="Lifecycle",Investment_Strategy_Sub1="Standard"),VLOOKUP(Investment_Strategy&amp;"_"&amp;Investment_Strategy_Sub2&amp;"_"&amp;$A376,'Investment Strategies'!$AJ:$AV,8,FALSE),
IF(AND(Investment_Strategy="Autopilot",Investment_Strategy_Sub1="Non-Standard"),VLOOKUP(Investment_Strategy&amp;"_"&amp;Investment_Strategy_Sub2&amp;"_"&amp;$A376,'Investment Strategies'!$T:$AF,8,FALSE),
IF(Investment_Strategy ="DIY",DIY_RateOfReturn_CurrentFunds,
"Error")))))),Max_InvReturn)</f>
        <v>0</v>
      </c>
      <c r="F376" s="62">
        <f>IF(AV376=0,0,
IF(Investment_Strategy="DIS",VLOOKUP(Investment_Strategy&amp;"_"&amp;Investment_Strategy_Sub1&amp;"_"&amp;$A376,'Investment Strategies'!$AZ:$BP,15,FALSE),
IF(AND(Investment_Strategy="Lifecycle",Investment_Strategy_Sub1="Non-Standard"),VLOOKUP(Investment_Strategy&amp;"_"&amp;Investment_Strategy_Sub2&amp;"_"&amp;$A376,'Investment Strategies'!$C:$P,12,FALSE),
IF(AND(Investment_Strategy="Lifecycle",Investment_Strategy_Sub1="Standard"),VLOOKUP(Investment_Strategy&amp;"_"&amp;Investment_Strategy_Sub2&amp;"_"&amp;$A376,'Investment Strategies'!$AJ:$AV,11,FALSE),
IF(AND(Investment_Strategy="Autopilot",Investment_Strategy_Sub1="Non-Standard"),VLOOKUP(Investment_Strategy&amp;"_"&amp;Investment_Strategy_Sub2&amp;"_"&amp;$A376,'Investment Strategies'!$T:$AF,11,FALSE),
IF(Investment_Strategy="DIY",DIY_GteeChrge_CurrentFunds,
"Error"))))))</f>
        <v>0</v>
      </c>
      <c r="G376" s="33">
        <f>IF(AV376=0,0,
IF(Investment_Strategy="DIS",VLOOKUP(Investment_Strategy&amp;"_"&amp;Investment_Strategy_Sub1&amp;"_"&amp;$A376,'Investment Strategies'!$AZ:$BP,17,FALSE),
IF(AND(Investment_Strategy="Lifecycle",Investment_Strategy_Sub1="Non-Standard"),VLOOKUP(Investment_Strategy&amp;"_"&amp;Investment_Strategy_Sub2&amp;"_"&amp;$A376,'Investment Strategies'!$C:$P,14,FALSE),
IF(AND(Investment_Strategy="Lifecycle",Investment_Strategy_Sub1="Standard"),VLOOKUP(Investment_Strategy&amp;"_"&amp;Investment_Strategy_Sub2&amp;"_"&amp;$A376,'Investment Strategies'!$AJ:$AV,13,FALSE),
IF(AND(Investment_Strategy="Autopilot",Investment_Strategy_Sub1="Non-Standard"),VLOOKUP(Investment_Strategy&amp;"_"&amp;Investment_Strategy_Sub2&amp;"_"&amp;$A376,'Investment Strategies'!$T:$AF,13,FALSE),
IF(Investment_Strategy="DIY",DIY_ExtManChrge_CurrentFunds,
"Error"))))))</f>
        <v>0</v>
      </c>
      <c r="H376" s="16">
        <f t="shared" si="219"/>
        <v>0</v>
      </c>
      <c r="I376" s="16">
        <f t="shared" si="205"/>
        <v>0</v>
      </c>
      <c r="J376" s="16">
        <f t="shared" si="206"/>
        <v>0</v>
      </c>
      <c r="K376" s="16">
        <f>(Opening_Fund_Value+SUM(K$91:K375))*E376*IF(D376=$A$91,SRP_finalmonthfactor,1)</f>
        <v>0</v>
      </c>
      <c r="L376" s="74">
        <f>MIN(IF($AV376=0,0,
IF(Investment_Strategy="DIS",VLOOKUP(Investment_Strategy&amp;"_"&amp;Investment_Strategy_Sub1&amp;"_"&amp;$A376,'Investment Strategies'!$AZ:$BP,12,FALSE),
IF(AND(Investment_Strategy="Lifecycle",Investment_Strategy_Sub1="Non-Standard"),VLOOKUP(Investment_Strategy&amp;"_"&amp;Investment_Strategy_Sub2&amp;"_"&amp;$A376,'Investment Strategies'!$C:$P,9,FALSE),
IF(AND(Investment_Strategy="Lifecycle",Investment_Strategy_Sub1="Standard"),VLOOKUP(Investment_Strategy&amp;"_"&amp;Investment_Strategy_Sub2&amp;"_"&amp;$A376,'Investment Strategies'!$AJ:$AV,8,FALSE),
IF(AND(Investment_Strategy="Autopilot",Investment_Strategy_Sub1="Non-Standard"),VLOOKUP(Investment_Strategy&amp;"_"&amp;Investment_Strategy_Sub2&amp;"_"&amp;$A376,'Investment Strategies'!$T:$AF,8,FALSE),
IF(Investment_Strategy ="DIY",DIY_RateofReturn_SP,
"Error")))))),Max_InvReturn)</f>
        <v>0</v>
      </c>
      <c r="M376" s="62">
        <f>IF($AV376=0,0,
IF(Investment_Strategy="DIS",VLOOKUP(Investment_Strategy&amp;"_"&amp;Investment_Strategy_Sub1&amp;"_"&amp;$A376,'Investment Strategies'!$AZ:$BP,15,FALSE),
IF(AND(Investment_Strategy="Lifecycle",Investment_Strategy_Sub1="Non-Standard"),VLOOKUP(Investment_Strategy&amp;"_"&amp;Investment_Strategy_Sub2&amp;"_"&amp;$A376,'Investment Strategies'!$C:$P,12,FALSE),
IF(AND(Investment_Strategy="Lifecycle",Investment_Strategy_Sub1="Standard"),VLOOKUP(Investment_Strategy&amp;"_"&amp;Investment_Strategy_Sub2&amp;"_"&amp;$A376,'Investment Strategies'!$AJ:$AV,11,FALSE),
IF(AND(Investment_Strategy="Autopilot",Investment_Strategy_Sub1="Non-Standard"),VLOOKUP(Investment_Strategy&amp;"_"&amp;Investment_Strategy_Sub2&amp;"_"&amp;$A376,'Investment Strategies'!$T:$AF,11,FALSE),
IF(Investment_Strategy="DIY",DIY_GteeChrge_SP,
"Error"))))))</f>
        <v>0</v>
      </c>
      <c r="N376" s="33">
        <f>IF($AV376=0,0,
IF(Investment_Strategy="DIS",VLOOKUP(Investment_Strategy&amp;"_"&amp;Investment_Strategy_Sub1&amp;"_"&amp;$A376,'Investment Strategies'!$AZ:$BP,17,FALSE),
IF(AND(Investment_Strategy="Lifecycle",Investment_Strategy_Sub1="Non-Standard"),VLOOKUP(Investment_Strategy&amp;"_"&amp;Investment_Strategy_Sub2&amp;"_"&amp;$A376,'Investment Strategies'!$C:$P,14,FALSE),
IF(AND(Investment_Strategy="Lifecycle",Investment_Strategy_Sub1="Standard"),VLOOKUP(Investment_Strategy&amp;"_"&amp;Investment_Strategy_Sub2&amp;"_"&amp;$A376,'Investment Strategies'!$AJ:$AV,13,FALSE),
IF(AND(Investment_Strategy="Autopilot",Investment_Strategy_Sub1="Non-Standard"),VLOOKUP(Investment_Strategy&amp;"_"&amp;Investment_Strategy_Sub2&amp;"_"&amp;$A376,'Investment Strategies'!$T:$AF,13,FALSE),
IF(Investment_Strategy="DIY",DIY_ExtManChrge_SP,
"Error"))))))</f>
        <v>0</v>
      </c>
      <c r="O376" s="16">
        <f t="shared" si="230"/>
        <v>0</v>
      </c>
      <c r="Q376" s="16">
        <f t="shared" si="207"/>
        <v>0</v>
      </c>
      <c r="R376" s="16">
        <f t="shared" si="203"/>
        <v>0</v>
      </c>
      <c r="S376" s="16">
        <f>(SRP_SP+SUM(S$91:S375))*L376*IF(D376=$A$91,SRP_finalmonthfactor,1)</f>
        <v>0</v>
      </c>
      <c r="T376" s="74">
        <f>MIN(IF($AV376=0,0,
IF(Investment_Strategy="DIS",VLOOKUP(Investment_Strategy&amp;"_"&amp;Investment_Strategy_Sub1&amp;"_"&amp;$A376,'Investment Strategies'!$AZ:$BP,12,FALSE),
IF(AND(Investment_Strategy="Lifecycle",Investment_Strategy_Sub1="Non-Standard"),VLOOKUP(Investment_Strategy&amp;"_"&amp;Investment_Strategy_Sub2&amp;"_"&amp;$A376,'Investment Strategies'!$C:$P,9,FALSE),
IF(AND(Investment_Strategy="Lifecycle",Investment_Strategy_Sub1="Standard"),VLOOKUP(Investment_Strategy&amp;"_"&amp;Investment_Strategy_Sub2&amp;"_"&amp;$A376,'Investment Strategies'!$AJ:$AV,8,FALSE),
IF(AND(Investment_Strategy="Autopilot",Investment_Strategy_Sub1="Non-Standard"),VLOOKUP(Investment_Strategy&amp;"_"&amp;Investment_Strategy_Sub2&amp;"_"&amp;$A376,'Investment Strategies'!$T:$AF,8,FALSE),
IF(Investment_Strategy ="DIY",DIY_RateOfReturn_FuturePremiums,
"Error")))))),Max_InvReturn)</f>
        <v>0</v>
      </c>
      <c r="U376" s="62">
        <f>IF($AV376=0,0,
IF(Investment_Strategy="DIS",VLOOKUP(Investment_Strategy&amp;"_"&amp;Investment_Strategy_Sub1&amp;"_"&amp;$A376,'Investment Strategies'!$AZ:$BP,15,FALSE),
IF(AND(Investment_Strategy="Lifecycle",Investment_Strategy_Sub1="Non-Standard"),VLOOKUP(Investment_Strategy&amp;"_"&amp;Investment_Strategy_Sub2&amp;"_"&amp;$A376,'Investment Strategies'!$C:$P,12,FALSE),
IF(AND(Investment_Strategy="Lifecycle",Investment_Strategy_Sub1="Standard"),VLOOKUP(Investment_Strategy&amp;"_"&amp;Investment_Strategy_Sub2&amp;"_"&amp;$A376,'Investment Strategies'!$AJ:$AV,11,FALSE),
IF(AND(Investment_Strategy="Autopilot",Investment_Strategy_Sub1="Non-Standard"),VLOOKUP(Investment_Strategy&amp;"_"&amp;Investment_Strategy_Sub2&amp;"_"&amp;$A376,'Investment Strategies'!$T:$AF,11,FALSE),
IF(Investment_Strategy="DIY",DIY_GteeChrge_FuturePremiums,
"Error"))))))</f>
        <v>0</v>
      </c>
      <c r="V376" s="33">
        <f>IF(AV376=0,0,
IF(Investment_Strategy="DIS",VLOOKUP(Investment_Strategy&amp;"_"&amp;Investment_Strategy_Sub1&amp;"_"&amp;$A376,'Investment Strategies'!$AZ:$BP,17,FALSE),
IF(AND(Investment_Strategy="Lifecycle",Investment_Strategy_Sub1="Non-Standard"),VLOOKUP(Investment_Strategy&amp;"_"&amp;Investment_Strategy_Sub2&amp;"_"&amp;$A376,'Investment Strategies'!$C:$P,14,FALSE),
IF(AND(Investment_Strategy="Lifecycle",Investment_Strategy_Sub1="Standard"),VLOOKUP(Investment_Strategy&amp;"_"&amp;Investment_Strategy_Sub2&amp;"_"&amp;$A376,'Investment Strategies'!$AJ:$AV,13,FALSE),
IF(AND(Investment_Strategy="Autopilot",Investment_Strategy_Sub1="Non-Standard"),VLOOKUP(Investment_Strategy&amp;"_"&amp;Investment_Strategy_Sub2&amp;"_"&amp;$A376,'Investment Strategies'!$T:$AF,13,FALSE),
IF(Investment_Strategy="DIY",DIY_ExtManChrge_FuturePremiums,
"Error"))))))</f>
        <v>0</v>
      </c>
      <c r="W376" s="16">
        <f t="shared" si="231"/>
        <v>0</v>
      </c>
      <c r="X376" s="16">
        <f t="shared" si="208"/>
        <v>0</v>
      </c>
      <c r="Y376" s="16">
        <f t="shared" si="209"/>
        <v>0</v>
      </c>
      <c r="Z376" s="31">
        <f t="shared" si="210"/>
        <v>0.02</v>
      </c>
      <c r="AA376" s="16">
        <f t="shared" si="211"/>
        <v>0</v>
      </c>
      <c r="AB376" s="28">
        <f t="shared" si="232"/>
        <v>0</v>
      </c>
      <c r="AC376" s="28">
        <f>(SUM($AC$91:AC375)+SUM($X$91:X375)+X376)*T376*IF(D376=$A$91,SRP_finalmonthfactor,1)</f>
        <v>0</v>
      </c>
      <c r="AD376" s="16">
        <f t="shared" si="212"/>
        <v>0</v>
      </c>
      <c r="AE376" s="106"/>
      <c r="AF376" s="16">
        <f t="shared" si="220"/>
        <v>0</v>
      </c>
      <c r="AG376" s="16">
        <f t="shared" si="221"/>
        <v>0</v>
      </c>
      <c r="AH376" s="16">
        <f t="shared" si="222"/>
        <v>0</v>
      </c>
      <c r="AJ376" s="13">
        <f t="shared" si="235"/>
        <v>0</v>
      </c>
      <c r="AK376" s="13">
        <f t="shared" si="235"/>
        <v>0</v>
      </c>
      <c r="AL376" s="13">
        <f t="shared" si="235"/>
        <v>0</v>
      </c>
      <c r="AM376" s="13">
        <f t="shared" si="235"/>
        <v>0</v>
      </c>
      <c r="AN376" s="13">
        <f t="shared" si="235"/>
        <v>0</v>
      </c>
      <c r="AO376" s="13">
        <f t="shared" si="235"/>
        <v>1</v>
      </c>
      <c r="AP376" s="13">
        <f t="shared" si="235"/>
        <v>1</v>
      </c>
      <c r="AQ376" s="13">
        <f t="shared" si="235"/>
        <v>1</v>
      </c>
      <c r="AR376" s="13">
        <f t="shared" si="235"/>
        <v>1</v>
      </c>
      <c r="AS376" s="13">
        <f t="shared" si="235"/>
        <v>1</v>
      </c>
      <c r="AT376" s="13">
        <f t="shared" si="235"/>
        <v>1</v>
      </c>
      <c r="AU376" s="13">
        <f t="shared" si="235"/>
        <v>1</v>
      </c>
      <c r="AV376" s="13">
        <f t="shared" si="213"/>
        <v>0</v>
      </c>
      <c r="AW376" s="13">
        <f t="shared" si="214"/>
        <v>1</v>
      </c>
      <c r="AY376" s="17">
        <f t="shared" si="215"/>
        <v>286</v>
      </c>
      <c r="AZ376" s="28">
        <f t="shared" si="223"/>
        <v>0</v>
      </c>
      <c r="BA376" s="13">
        <f t="shared" si="216"/>
        <v>0</v>
      </c>
      <c r="BB376" s="13">
        <f t="shared" si="217"/>
        <v>0</v>
      </c>
      <c r="BC376" s="28">
        <f t="shared" si="224"/>
        <v>0</v>
      </c>
      <c r="BD376" s="28">
        <f t="shared" si="225"/>
        <v>0</v>
      </c>
      <c r="BF376" s="248">
        <f t="shared" si="226"/>
        <v>993869.29442638322</v>
      </c>
    </row>
    <row r="377" spans="1:58">
      <c r="A377" s="32">
        <f t="shared" si="227"/>
        <v>-202</v>
      </c>
      <c r="B377" s="32">
        <f t="shared" si="218"/>
        <v>76</v>
      </c>
      <c r="C377" s="32">
        <f t="shared" si="228"/>
        <v>24</v>
      </c>
      <c r="D377" s="32">
        <f t="shared" si="229"/>
        <v>287</v>
      </c>
      <c r="E377" s="74">
        <f>MIN(IF(AV377=0,0,
IF(Investment_Strategy="DIS",VLOOKUP(Investment_Strategy&amp;"_"&amp;Investment_Strategy_Sub1&amp;"_"&amp;$A377,'Investment Strategies'!$AZ:$BP,12,FALSE),
IF(AND(Investment_Strategy="Lifecycle",Investment_Strategy_Sub1="Non-Standard"),VLOOKUP(Investment_Strategy&amp;"_"&amp;Investment_Strategy_Sub2&amp;"_"&amp;$A377,'Investment Strategies'!$C:$P,9,FALSE),
IF(AND(Investment_Strategy="Lifecycle",Investment_Strategy_Sub1="Standard"),VLOOKUP(Investment_Strategy&amp;"_"&amp;Investment_Strategy_Sub2&amp;"_"&amp;$A377,'Investment Strategies'!$AJ:$AV,8,FALSE),
IF(AND(Investment_Strategy="Autopilot",Investment_Strategy_Sub1="Non-Standard"),VLOOKUP(Investment_Strategy&amp;"_"&amp;Investment_Strategy_Sub2&amp;"_"&amp;$A377,'Investment Strategies'!$T:$AF,8,FALSE),
IF(Investment_Strategy ="DIY",DIY_RateOfReturn_CurrentFunds,
"Error")))))),Max_InvReturn)</f>
        <v>0</v>
      </c>
      <c r="F377" s="62">
        <f>IF(AV377=0,0,
IF(Investment_Strategy="DIS",VLOOKUP(Investment_Strategy&amp;"_"&amp;Investment_Strategy_Sub1&amp;"_"&amp;$A377,'Investment Strategies'!$AZ:$BP,15,FALSE),
IF(AND(Investment_Strategy="Lifecycle",Investment_Strategy_Sub1="Non-Standard"),VLOOKUP(Investment_Strategy&amp;"_"&amp;Investment_Strategy_Sub2&amp;"_"&amp;$A377,'Investment Strategies'!$C:$P,12,FALSE),
IF(AND(Investment_Strategy="Lifecycle",Investment_Strategy_Sub1="Standard"),VLOOKUP(Investment_Strategy&amp;"_"&amp;Investment_Strategy_Sub2&amp;"_"&amp;$A377,'Investment Strategies'!$AJ:$AV,11,FALSE),
IF(AND(Investment_Strategy="Autopilot",Investment_Strategy_Sub1="Non-Standard"),VLOOKUP(Investment_Strategy&amp;"_"&amp;Investment_Strategy_Sub2&amp;"_"&amp;$A377,'Investment Strategies'!$T:$AF,11,FALSE),
IF(Investment_Strategy="DIY",DIY_GteeChrge_CurrentFunds,
"Error"))))))</f>
        <v>0</v>
      </c>
      <c r="G377" s="33">
        <f>IF(AV377=0,0,
IF(Investment_Strategy="DIS",VLOOKUP(Investment_Strategy&amp;"_"&amp;Investment_Strategy_Sub1&amp;"_"&amp;$A377,'Investment Strategies'!$AZ:$BP,17,FALSE),
IF(AND(Investment_Strategy="Lifecycle",Investment_Strategy_Sub1="Non-Standard"),VLOOKUP(Investment_Strategy&amp;"_"&amp;Investment_Strategy_Sub2&amp;"_"&amp;$A377,'Investment Strategies'!$C:$P,14,FALSE),
IF(AND(Investment_Strategy="Lifecycle",Investment_Strategy_Sub1="Standard"),VLOOKUP(Investment_Strategy&amp;"_"&amp;Investment_Strategy_Sub2&amp;"_"&amp;$A377,'Investment Strategies'!$AJ:$AV,13,FALSE),
IF(AND(Investment_Strategy="Autopilot",Investment_Strategy_Sub1="Non-Standard"),VLOOKUP(Investment_Strategy&amp;"_"&amp;Investment_Strategy_Sub2&amp;"_"&amp;$A377,'Investment Strategies'!$T:$AF,13,FALSE),
IF(Investment_Strategy="DIY",DIY_ExtManChrge_CurrentFunds,
"Error"))))))</f>
        <v>0</v>
      </c>
      <c r="H377" s="16">
        <f t="shared" si="219"/>
        <v>0</v>
      </c>
      <c r="I377" s="16">
        <f t="shared" si="205"/>
        <v>0</v>
      </c>
      <c r="J377" s="16">
        <f t="shared" si="206"/>
        <v>0</v>
      </c>
      <c r="K377" s="16">
        <f>(Opening_Fund_Value+SUM(K$91:K376))*E377*IF(D377=$A$91,SRP_finalmonthfactor,1)</f>
        <v>0</v>
      </c>
      <c r="L377" s="74">
        <f>MIN(IF($AV377=0,0,
IF(Investment_Strategy="DIS",VLOOKUP(Investment_Strategy&amp;"_"&amp;Investment_Strategy_Sub1&amp;"_"&amp;$A377,'Investment Strategies'!$AZ:$BP,12,FALSE),
IF(AND(Investment_Strategy="Lifecycle",Investment_Strategy_Sub1="Non-Standard"),VLOOKUP(Investment_Strategy&amp;"_"&amp;Investment_Strategy_Sub2&amp;"_"&amp;$A377,'Investment Strategies'!$C:$P,9,FALSE),
IF(AND(Investment_Strategy="Lifecycle",Investment_Strategy_Sub1="Standard"),VLOOKUP(Investment_Strategy&amp;"_"&amp;Investment_Strategy_Sub2&amp;"_"&amp;$A377,'Investment Strategies'!$AJ:$AV,8,FALSE),
IF(AND(Investment_Strategy="Autopilot",Investment_Strategy_Sub1="Non-Standard"),VLOOKUP(Investment_Strategy&amp;"_"&amp;Investment_Strategy_Sub2&amp;"_"&amp;$A377,'Investment Strategies'!$T:$AF,8,FALSE),
IF(Investment_Strategy ="DIY",DIY_RateofReturn_SP,
"Error")))))),Max_InvReturn)</f>
        <v>0</v>
      </c>
      <c r="M377" s="62">
        <f>IF($AV377=0,0,
IF(Investment_Strategy="DIS",VLOOKUP(Investment_Strategy&amp;"_"&amp;Investment_Strategy_Sub1&amp;"_"&amp;$A377,'Investment Strategies'!$AZ:$BP,15,FALSE),
IF(AND(Investment_Strategy="Lifecycle",Investment_Strategy_Sub1="Non-Standard"),VLOOKUP(Investment_Strategy&amp;"_"&amp;Investment_Strategy_Sub2&amp;"_"&amp;$A377,'Investment Strategies'!$C:$P,12,FALSE),
IF(AND(Investment_Strategy="Lifecycle",Investment_Strategy_Sub1="Standard"),VLOOKUP(Investment_Strategy&amp;"_"&amp;Investment_Strategy_Sub2&amp;"_"&amp;$A377,'Investment Strategies'!$AJ:$AV,11,FALSE),
IF(AND(Investment_Strategy="Autopilot",Investment_Strategy_Sub1="Non-Standard"),VLOOKUP(Investment_Strategy&amp;"_"&amp;Investment_Strategy_Sub2&amp;"_"&amp;$A377,'Investment Strategies'!$T:$AF,11,FALSE),
IF(Investment_Strategy="DIY",DIY_GteeChrge_SP,
"Error"))))))</f>
        <v>0</v>
      </c>
      <c r="N377" s="33">
        <f>IF($AV377=0,0,
IF(Investment_Strategy="DIS",VLOOKUP(Investment_Strategy&amp;"_"&amp;Investment_Strategy_Sub1&amp;"_"&amp;$A377,'Investment Strategies'!$AZ:$BP,17,FALSE),
IF(AND(Investment_Strategy="Lifecycle",Investment_Strategy_Sub1="Non-Standard"),VLOOKUP(Investment_Strategy&amp;"_"&amp;Investment_Strategy_Sub2&amp;"_"&amp;$A377,'Investment Strategies'!$C:$P,14,FALSE),
IF(AND(Investment_Strategy="Lifecycle",Investment_Strategy_Sub1="Standard"),VLOOKUP(Investment_Strategy&amp;"_"&amp;Investment_Strategy_Sub2&amp;"_"&amp;$A377,'Investment Strategies'!$AJ:$AV,13,FALSE),
IF(AND(Investment_Strategy="Autopilot",Investment_Strategy_Sub1="Non-Standard"),VLOOKUP(Investment_Strategy&amp;"_"&amp;Investment_Strategy_Sub2&amp;"_"&amp;$A377,'Investment Strategies'!$T:$AF,13,FALSE),
IF(Investment_Strategy="DIY",DIY_ExtManChrge_SP,
"Error"))))))</f>
        <v>0</v>
      </c>
      <c r="O377" s="16">
        <f t="shared" si="230"/>
        <v>0</v>
      </c>
      <c r="Q377" s="16">
        <f t="shared" si="207"/>
        <v>0</v>
      </c>
      <c r="R377" s="16">
        <f t="shared" si="203"/>
        <v>0</v>
      </c>
      <c r="S377" s="16">
        <f>(SRP_SP+SUM(S$91:S376))*L377*IF(D377=$A$91,SRP_finalmonthfactor,1)</f>
        <v>0</v>
      </c>
      <c r="T377" s="74">
        <f>MIN(IF($AV377=0,0,
IF(Investment_Strategy="DIS",VLOOKUP(Investment_Strategy&amp;"_"&amp;Investment_Strategy_Sub1&amp;"_"&amp;$A377,'Investment Strategies'!$AZ:$BP,12,FALSE),
IF(AND(Investment_Strategy="Lifecycle",Investment_Strategy_Sub1="Non-Standard"),VLOOKUP(Investment_Strategy&amp;"_"&amp;Investment_Strategy_Sub2&amp;"_"&amp;$A377,'Investment Strategies'!$C:$P,9,FALSE),
IF(AND(Investment_Strategy="Lifecycle",Investment_Strategy_Sub1="Standard"),VLOOKUP(Investment_Strategy&amp;"_"&amp;Investment_Strategy_Sub2&amp;"_"&amp;$A377,'Investment Strategies'!$AJ:$AV,8,FALSE),
IF(AND(Investment_Strategy="Autopilot",Investment_Strategy_Sub1="Non-Standard"),VLOOKUP(Investment_Strategy&amp;"_"&amp;Investment_Strategy_Sub2&amp;"_"&amp;$A377,'Investment Strategies'!$T:$AF,8,FALSE),
IF(Investment_Strategy ="DIY",DIY_RateOfReturn_FuturePremiums,
"Error")))))),Max_InvReturn)</f>
        <v>0</v>
      </c>
      <c r="U377" s="62">
        <f>IF($AV377=0,0,
IF(Investment_Strategy="DIS",VLOOKUP(Investment_Strategy&amp;"_"&amp;Investment_Strategy_Sub1&amp;"_"&amp;$A377,'Investment Strategies'!$AZ:$BP,15,FALSE),
IF(AND(Investment_Strategy="Lifecycle",Investment_Strategy_Sub1="Non-Standard"),VLOOKUP(Investment_Strategy&amp;"_"&amp;Investment_Strategy_Sub2&amp;"_"&amp;$A377,'Investment Strategies'!$C:$P,12,FALSE),
IF(AND(Investment_Strategy="Lifecycle",Investment_Strategy_Sub1="Standard"),VLOOKUP(Investment_Strategy&amp;"_"&amp;Investment_Strategy_Sub2&amp;"_"&amp;$A377,'Investment Strategies'!$AJ:$AV,11,FALSE),
IF(AND(Investment_Strategy="Autopilot",Investment_Strategy_Sub1="Non-Standard"),VLOOKUP(Investment_Strategy&amp;"_"&amp;Investment_Strategy_Sub2&amp;"_"&amp;$A377,'Investment Strategies'!$T:$AF,11,FALSE),
IF(Investment_Strategy="DIY",DIY_GteeChrge_FuturePremiums,
"Error"))))))</f>
        <v>0</v>
      </c>
      <c r="V377" s="33">
        <f>IF(AV377=0,0,
IF(Investment_Strategy="DIS",VLOOKUP(Investment_Strategy&amp;"_"&amp;Investment_Strategy_Sub1&amp;"_"&amp;$A377,'Investment Strategies'!$AZ:$BP,17,FALSE),
IF(AND(Investment_Strategy="Lifecycle",Investment_Strategy_Sub1="Non-Standard"),VLOOKUP(Investment_Strategy&amp;"_"&amp;Investment_Strategy_Sub2&amp;"_"&amp;$A377,'Investment Strategies'!$C:$P,14,FALSE),
IF(AND(Investment_Strategy="Lifecycle",Investment_Strategy_Sub1="Standard"),VLOOKUP(Investment_Strategy&amp;"_"&amp;Investment_Strategy_Sub2&amp;"_"&amp;$A377,'Investment Strategies'!$AJ:$AV,13,FALSE),
IF(AND(Investment_Strategy="Autopilot",Investment_Strategy_Sub1="Non-Standard"),VLOOKUP(Investment_Strategy&amp;"_"&amp;Investment_Strategy_Sub2&amp;"_"&amp;$A377,'Investment Strategies'!$T:$AF,13,FALSE),
IF(Investment_Strategy="DIY",DIY_ExtManChrge_FuturePremiums,
"Error"))))))</f>
        <v>0</v>
      </c>
      <c r="W377" s="16">
        <f t="shared" si="231"/>
        <v>0</v>
      </c>
      <c r="X377" s="16">
        <f t="shared" si="208"/>
        <v>0</v>
      </c>
      <c r="Y377" s="16">
        <f t="shared" si="209"/>
        <v>0</v>
      </c>
      <c r="Z377" s="31">
        <f t="shared" si="210"/>
        <v>0.02</v>
      </c>
      <c r="AA377" s="16">
        <f t="shared" si="211"/>
        <v>0</v>
      </c>
      <c r="AB377" s="28">
        <f t="shared" si="232"/>
        <v>0</v>
      </c>
      <c r="AC377" s="28">
        <f>(SUM($AC$91:AC376)+SUM($X$91:X376)+X377)*T377*IF(D377=$A$91,SRP_finalmonthfactor,1)</f>
        <v>0</v>
      </c>
      <c r="AD377" s="16">
        <f t="shared" si="212"/>
        <v>0</v>
      </c>
      <c r="AE377" s="106"/>
      <c r="AF377" s="16">
        <f t="shared" si="220"/>
        <v>0</v>
      </c>
      <c r="AG377" s="16">
        <f t="shared" si="221"/>
        <v>0</v>
      </c>
      <c r="AH377" s="16">
        <f t="shared" si="222"/>
        <v>0</v>
      </c>
      <c r="AJ377" s="13">
        <f t="shared" si="235"/>
        <v>0</v>
      </c>
      <c r="AK377" s="13">
        <f t="shared" si="235"/>
        <v>0</v>
      </c>
      <c r="AL377" s="13">
        <f t="shared" si="235"/>
        <v>0</v>
      </c>
      <c r="AM377" s="13">
        <f t="shared" si="235"/>
        <v>0</v>
      </c>
      <c r="AN377" s="13">
        <f t="shared" si="235"/>
        <v>0</v>
      </c>
      <c r="AO377" s="13">
        <f t="shared" si="235"/>
        <v>1</v>
      </c>
      <c r="AP377" s="13">
        <f t="shared" si="235"/>
        <v>1</v>
      </c>
      <c r="AQ377" s="13">
        <f t="shared" si="235"/>
        <v>1</v>
      </c>
      <c r="AR377" s="13">
        <f t="shared" si="235"/>
        <v>1</v>
      </c>
      <c r="AS377" s="13">
        <f t="shared" si="235"/>
        <v>1</v>
      </c>
      <c r="AT377" s="13">
        <f t="shared" si="235"/>
        <v>1</v>
      </c>
      <c r="AU377" s="13">
        <f t="shared" si="235"/>
        <v>1</v>
      </c>
      <c r="AV377" s="13">
        <f t="shared" si="213"/>
        <v>0</v>
      </c>
      <c r="AW377" s="13">
        <f t="shared" si="214"/>
        <v>1</v>
      </c>
      <c r="AY377" s="17">
        <f t="shared" si="215"/>
        <v>287</v>
      </c>
      <c r="AZ377" s="28">
        <f t="shared" si="223"/>
        <v>0</v>
      </c>
      <c r="BA377" s="13">
        <f t="shared" si="216"/>
        <v>0</v>
      </c>
      <c r="BB377" s="13">
        <f t="shared" si="217"/>
        <v>0</v>
      </c>
      <c r="BC377" s="28">
        <f t="shared" si="224"/>
        <v>0</v>
      </c>
      <c r="BD377" s="28">
        <f t="shared" si="225"/>
        <v>0</v>
      </c>
      <c r="BF377" s="248">
        <f t="shared" si="226"/>
        <v>993869.29442638322</v>
      </c>
    </row>
    <row r="378" spans="1:58">
      <c r="A378" s="32">
        <f t="shared" si="227"/>
        <v>-203</v>
      </c>
      <c r="B378" s="32">
        <f t="shared" si="218"/>
        <v>76</v>
      </c>
      <c r="C378" s="32">
        <f t="shared" si="228"/>
        <v>24</v>
      </c>
      <c r="D378" s="32">
        <f t="shared" si="229"/>
        <v>288</v>
      </c>
      <c r="E378" s="74">
        <f>MIN(IF(AV378=0,0,
IF(Investment_Strategy="DIS",VLOOKUP(Investment_Strategy&amp;"_"&amp;Investment_Strategy_Sub1&amp;"_"&amp;$A378,'Investment Strategies'!$AZ:$BP,12,FALSE),
IF(AND(Investment_Strategy="Lifecycle",Investment_Strategy_Sub1="Non-Standard"),VLOOKUP(Investment_Strategy&amp;"_"&amp;Investment_Strategy_Sub2&amp;"_"&amp;$A378,'Investment Strategies'!$C:$P,9,FALSE),
IF(AND(Investment_Strategy="Lifecycle",Investment_Strategy_Sub1="Standard"),VLOOKUP(Investment_Strategy&amp;"_"&amp;Investment_Strategy_Sub2&amp;"_"&amp;$A378,'Investment Strategies'!$AJ:$AV,8,FALSE),
IF(AND(Investment_Strategy="Autopilot",Investment_Strategy_Sub1="Non-Standard"),VLOOKUP(Investment_Strategy&amp;"_"&amp;Investment_Strategy_Sub2&amp;"_"&amp;$A378,'Investment Strategies'!$T:$AF,8,FALSE),
IF(Investment_Strategy ="DIY",DIY_RateOfReturn_CurrentFunds,
"Error")))))),Max_InvReturn)</f>
        <v>0</v>
      </c>
      <c r="F378" s="62">
        <f>IF(AV378=0,0,
IF(Investment_Strategy="DIS",VLOOKUP(Investment_Strategy&amp;"_"&amp;Investment_Strategy_Sub1&amp;"_"&amp;$A378,'Investment Strategies'!$AZ:$BP,15,FALSE),
IF(AND(Investment_Strategy="Lifecycle",Investment_Strategy_Sub1="Non-Standard"),VLOOKUP(Investment_Strategy&amp;"_"&amp;Investment_Strategy_Sub2&amp;"_"&amp;$A378,'Investment Strategies'!$C:$P,12,FALSE),
IF(AND(Investment_Strategy="Lifecycle",Investment_Strategy_Sub1="Standard"),VLOOKUP(Investment_Strategy&amp;"_"&amp;Investment_Strategy_Sub2&amp;"_"&amp;$A378,'Investment Strategies'!$AJ:$AV,11,FALSE),
IF(AND(Investment_Strategy="Autopilot",Investment_Strategy_Sub1="Non-Standard"),VLOOKUP(Investment_Strategy&amp;"_"&amp;Investment_Strategy_Sub2&amp;"_"&amp;$A378,'Investment Strategies'!$T:$AF,11,FALSE),
IF(Investment_Strategy="DIY",DIY_GteeChrge_CurrentFunds,
"Error"))))))</f>
        <v>0</v>
      </c>
      <c r="G378" s="33">
        <f>IF(AV378=0,0,
IF(Investment_Strategy="DIS",VLOOKUP(Investment_Strategy&amp;"_"&amp;Investment_Strategy_Sub1&amp;"_"&amp;$A378,'Investment Strategies'!$AZ:$BP,17,FALSE),
IF(AND(Investment_Strategy="Lifecycle",Investment_Strategy_Sub1="Non-Standard"),VLOOKUP(Investment_Strategy&amp;"_"&amp;Investment_Strategy_Sub2&amp;"_"&amp;$A378,'Investment Strategies'!$C:$P,14,FALSE),
IF(AND(Investment_Strategy="Lifecycle",Investment_Strategy_Sub1="Standard"),VLOOKUP(Investment_Strategy&amp;"_"&amp;Investment_Strategy_Sub2&amp;"_"&amp;$A378,'Investment Strategies'!$AJ:$AV,13,FALSE),
IF(AND(Investment_Strategy="Autopilot",Investment_Strategy_Sub1="Non-Standard"),VLOOKUP(Investment_Strategy&amp;"_"&amp;Investment_Strategy_Sub2&amp;"_"&amp;$A378,'Investment Strategies'!$T:$AF,13,FALSE),
IF(Investment_Strategy="DIY",DIY_ExtManChrge_CurrentFunds,
"Error"))))))</f>
        <v>0</v>
      </c>
      <c r="H378" s="16">
        <f t="shared" si="219"/>
        <v>0</v>
      </c>
      <c r="I378" s="16">
        <f t="shared" si="205"/>
        <v>0</v>
      </c>
      <c r="J378" s="16">
        <f t="shared" si="206"/>
        <v>0</v>
      </c>
      <c r="K378" s="16">
        <f>(Opening_Fund_Value+SUM(K$91:K377))*E378*IF(D378=$A$91,SRP_finalmonthfactor,1)</f>
        <v>0</v>
      </c>
      <c r="L378" s="74">
        <f>MIN(IF($AV378=0,0,
IF(Investment_Strategy="DIS",VLOOKUP(Investment_Strategy&amp;"_"&amp;Investment_Strategy_Sub1&amp;"_"&amp;$A378,'Investment Strategies'!$AZ:$BP,12,FALSE),
IF(AND(Investment_Strategy="Lifecycle",Investment_Strategy_Sub1="Non-Standard"),VLOOKUP(Investment_Strategy&amp;"_"&amp;Investment_Strategy_Sub2&amp;"_"&amp;$A378,'Investment Strategies'!$C:$P,9,FALSE),
IF(AND(Investment_Strategy="Lifecycle",Investment_Strategy_Sub1="Standard"),VLOOKUP(Investment_Strategy&amp;"_"&amp;Investment_Strategy_Sub2&amp;"_"&amp;$A378,'Investment Strategies'!$AJ:$AV,8,FALSE),
IF(AND(Investment_Strategy="Autopilot",Investment_Strategy_Sub1="Non-Standard"),VLOOKUP(Investment_Strategy&amp;"_"&amp;Investment_Strategy_Sub2&amp;"_"&amp;$A378,'Investment Strategies'!$T:$AF,8,FALSE),
IF(Investment_Strategy ="DIY",DIY_RateofReturn_SP,
"Error")))))),Max_InvReturn)</f>
        <v>0</v>
      </c>
      <c r="M378" s="62">
        <f>IF($AV378=0,0,
IF(Investment_Strategy="DIS",VLOOKUP(Investment_Strategy&amp;"_"&amp;Investment_Strategy_Sub1&amp;"_"&amp;$A378,'Investment Strategies'!$AZ:$BP,15,FALSE),
IF(AND(Investment_Strategy="Lifecycle",Investment_Strategy_Sub1="Non-Standard"),VLOOKUP(Investment_Strategy&amp;"_"&amp;Investment_Strategy_Sub2&amp;"_"&amp;$A378,'Investment Strategies'!$C:$P,12,FALSE),
IF(AND(Investment_Strategy="Lifecycle",Investment_Strategy_Sub1="Standard"),VLOOKUP(Investment_Strategy&amp;"_"&amp;Investment_Strategy_Sub2&amp;"_"&amp;$A378,'Investment Strategies'!$AJ:$AV,11,FALSE),
IF(AND(Investment_Strategy="Autopilot",Investment_Strategy_Sub1="Non-Standard"),VLOOKUP(Investment_Strategy&amp;"_"&amp;Investment_Strategy_Sub2&amp;"_"&amp;$A378,'Investment Strategies'!$T:$AF,11,FALSE),
IF(Investment_Strategy="DIY",DIY_GteeChrge_SP,
"Error"))))))</f>
        <v>0</v>
      </c>
      <c r="N378" s="33">
        <f>IF($AV378=0,0,
IF(Investment_Strategy="DIS",VLOOKUP(Investment_Strategy&amp;"_"&amp;Investment_Strategy_Sub1&amp;"_"&amp;$A378,'Investment Strategies'!$AZ:$BP,17,FALSE),
IF(AND(Investment_Strategy="Lifecycle",Investment_Strategy_Sub1="Non-Standard"),VLOOKUP(Investment_Strategy&amp;"_"&amp;Investment_Strategy_Sub2&amp;"_"&amp;$A378,'Investment Strategies'!$C:$P,14,FALSE),
IF(AND(Investment_Strategy="Lifecycle",Investment_Strategy_Sub1="Standard"),VLOOKUP(Investment_Strategy&amp;"_"&amp;Investment_Strategy_Sub2&amp;"_"&amp;$A378,'Investment Strategies'!$AJ:$AV,13,FALSE),
IF(AND(Investment_Strategy="Autopilot",Investment_Strategy_Sub1="Non-Standard"),VLOOKUP(Investment_Strategy&amp;"_"&amp;Investment_Strategy_Sub2&amp;"_"&amp;$A378,'Investment Strategies'!$T:$AF,13,FALSE),
IF(Investment_Strategy="DIY",DIY_ExtManChrge_SP,
"Error"))))))</f>
        <v>0</v>
      </c>
      <c r="O378" s="16">
        <f t="shared" si="230"/>
        <v>0</v>
      </c>
      <c r="Q378" s="16">
        <f t="shared" si="207"/>
        <v>0</v>
      </c>
      <c r="R378" s="16">
        <f t="shared" si="203"/>
        <v>0</v>
      </c>
      <c r="S378" s="16">
        <f>(SRP_SP+SUM(S$91:S377))*L378*IF(D378=$A$91,SRP_finalmonthfactor,1)</f>
        <v>0</v>
      </c>
      <c r="T378" s="74">
        <f>MIN(IF($AV378=0,0,
IF(Investment_Strategy="DIS",VLOOKUP(Investment_Strategy&amp;"_"&amp;Investment_Strategy_Sub1&amp;"_"&amp;$A378,'Investment Strategies'!$AZ:$BP,12,FALSE),
IF(AND(Investment_Strategy="Lifecycle",Investment_Strategy_Sub1="Non-Standard"),VLOOKUP(Investment_Strategy&amp;"_"&amp;Investment_Strategy_Sub2&amp;"_"&amp;$A378,'Investment Strategies'!$C:$P,9,FALSE),
IF(AND(Investment_Strategy="Lifecycle",Investment_Strategy_Sub1="Standard"),VLOOKUP(Investment_Strategy&amp;"_"&amp;Investment_Strategy_Sub2&amp;"_"&amp;$A378,'Investment Strategies'!$AJ:$AV,8,FALSE),
IF(AND(Investment_Strategy="Autopilot",Investment_Strategy_Sub1="Non-Standard"),VLOOKUP(Investment_Strategy&amp;"_"&amp;Investment_Strategy_Sub2&amp;"_"&amp;$A378,'Investment Strategies'!$T:$AF,8,FALSE),
IF(Investment_Strategy ="DIY",DIY_RateOfReturn_FuturePremiums,
"Error")))))),Max_InvReturn)</f>
        <v>0</v>
      </c>
      <c r="U378" s="62">
        <f>IF($AV378=0,0,
IF(Investment_Strategy="DIS",VLOOKUP(Investment_Strategy&amp;"_"&amp;Investment_Strategy_Sub1&amp;"_"&amp;$A378,'Investment Strategies'!$AZ:$BP,15,FALSE),
IF(AND(Investment_Strategy="Lifecycle",Investment_Strategy_Sub1="Non-Standard"),VLOOKUP(Investment_Strategy&amp;"_"&amp;Investment_Strategy_Sub2&amp;"_"&amp;$A378,'Investment Strategies'!$C:$P,12,FALSE),
IF(AND(Investment_Strategy="Lifecycle",Investment_Strategy_Sub1="Standard"),VLOOKUP(Investment_Strategy&amp;"_"&amp;Investment_Strategy_Sub2&amp;"_"&amp;$A378,'Investment Strategies'!$AJ:$AV,11,FALSE),
IF(AND(Investment_Strategy="Autopilot",Investment_Strategy_Sub1="Non-Standard"),VLOOKUP(Investment_Strategy&amp;"_"&amp;Investment_Strategy_Sub2&amp;"_"&amp;$A378,'Investment Strategies'!$T:$AF,11,FALSE),
IF(Investment_Strategy="DIY",DIY_GteeChrge_FuturePremiums,
"Error"))))))</f>
        <v>0</v>
      </c>
      <c r="V378" s="33">
        <f>IF(AV378=0,0,
IF(Investment_Strategy="DIS",VLOOKUP(Investment_Strategy&amp;"_"&amp;Investment_Strategy_Sub1&amp;"_"&amp;$A378,'Investment Strategies'!$AZ:$BP,17,FALSE),
IF(AND(Investment_Strategy="Lifecycle",Investment_Strategy_Sub1="Non-Standard"),VLOOKUP(Investment_Strategy&amp;"_"&amp;Investment_Strategy_Sub2&amp;"_"&amp;$A378,'Investment Strategies'!$C:$P,14,FALSE),
IF(AND(Investment_Strategy="Lifecycle",Investment_Strategy_Sub1="Standard"),VLOOKUP(Investment_Strategy&amp;"_"&amp;Investment_Strategy_Sub2&amp;"_"&amp;$A378,'Investment Strategies'!$AJ:$AV,13,FALSE),
IF(AND(Investment_Strategy="Autopilot",Investment_Strategy_Sub1="Non-Standard"),VLOOKUP(Investment_Strategy&amp;"_"&amp;Investment_Strategy_Sub2&amp;"_"&amp;$A378,'Investment Strategies'!$T:$AF,13,FALSE),
IF(Investment_Strategy="DIY",DIY_ExtManChrge_FuturePremiums,
"Error"))))))</f>
        <v>0</v>
      </c>
      <c r="W378" s="16">
        <f t="shared" si="231"/>
        <v>0</v>
      </c>
      <c r="X378" s="16">
        <f t="shared" si="208"/>
        <v>0</v>
      </c>
      <c r="Y378" s="16">
        <f t="shared" si="209"/>
        <v>0</v>
      </c>
      <c r="Z378" s="31">
        <f t="shared" si="210"/>
        <v>0.02</v>
      </c>
      <c r="AA378" s="16">
        <f t="shared" si="211"/>
        <v>0</v>
      </c>
      <c r="AB378" s="28">
        <f t="shared" si="232"/>
        <v>0</v>
      </c>
      <c r="AC378" s="28">
        <f>(SUM($AC$91:AC377)+SUM($X$91:X377)+X378)*T378*IF(D378=$A$91,SRP_finalmonthfactor,1)</f>
        <v>0</v>
      </c>
      <c r="AD378" s="16">
        <f t="shared" si="212"/>
        <v>0</v>
      </c>
      <c r="AE378" s="106"/>
      <c r="AF378" s="16">
        <f t="shared" si="220"/>
        <v>0</v>
      </c>
      <c r="AG378" s="16">
        <f t="shared" si="221"/>
        <v>0</v>
      </c>
      <c r="AH378" s="16">
        <f t="shared" si="222"/>
        <v>0</v>
      </c>
      <c r="AJ378" s="13">
        <f t="shared" si="235"/>
        <v>0</v>
      </c>
      <c r="AK378" s="13">
        <f t="shared" si="235"/>
        <v>0</v>
      </c>
      <c r="AL378" s="13">
        <f t="shared" si="235"/>
        <v>0</v>
      </c>
      <c r="AM378" s="13">
        <f t="shared" si="235"/>
        <v>0</v>
      </c>
      <c r="AN378" s="13">
        <f t="shared" si="235"/>
        <v>0</v>
      </c>
      <c r="AO378" s="13">
        <f t="shared" si="235"/>
        <v>1</v>
      </c>
      <c r="AP378" s="13">
        <f t="shared" si="235"/>
        <v>1</v>
      </c>
      <c r="AQ378" s="13">
        <f t="shared" si="235"/>
        <v>1</v>
      </c>
      <c r="AR378" s="13">
        <f t="shared" si="235"/>
        <v>1</v>
      </c>
      <c r="AS378" s="13">
        <f t="shared" si="235"/>
        <v>1</v>
      </c>
      <c r="AT378" s="13">
        <f t="shared" si="235"/>
        <v>1</v>
      </c>
      <c r="AU378" s="13">
        <f t="shared" si="235"/>
        <v>1</v>
      </c>
      <c r="AV378" s="13">
        <f t="shared" si="213"/>
        <v>0</v>
      </c>
      <c r="AW378" s="13">
        <f t="shared" si="214"/>
        <v>1</v>
      </c>
      <c r="AY378" s="17">
        <f t="shared" si="215"/>
        <v>288</v>
      </c>
      <c r="AZ378" s="28">
        <f t="shared" si="223"/>
        <v>0</v>
      </c>
      <c r="BA378" s="13">
        <f t="shared" si="216"/>
        <v>0</v>
      </c>
      <c r="BB378" s="13">
        <f t="shared" si="217"/>
        <v>0</v>
      </c>
      <c r="BC378" s="28">
        <f t="shared" si="224"/>
        <v>0</v>
      </c>
      <c r="BD378" s="28">
        <f t="shared" si="225"/>
        <v>0</v>
      </c>
      <c r="BF378" s="248">
        <f t="shared" si="226"/>
        <v>993869.29442638322</v>
      </c>
    </row>
    <row r="379" spans="1:58">
      <c r="A379" s="32">
        <f t="shared" si="227"/>
        <v>-204</v>
      </c>
      <c r="B379" s="32">
        <f t="shared" si="218"/>
        <v>77</v>
      </c>
      <c r="C379" s="32">
        <f t="shared" si="228"/>
        <v>25</v>
      </c>
      <c r="D379" s="32">
        <f t="shared" si="229"/>
        <v>289</v>
      </c>
      <c r="E379" s="74">
        <f>MIN(IF(AV379=0,0,
IF(Investment_Strategy="DIS",VLOOKUP(Investment_Strategy&amp;"_"&amp;Investment_Strategy_Sub1&amp;"_"&amp;$A379,'Investment Strategies'!$AZ:$BP,12,FALSE),
IF(AND(Investment_Strategy="Lifecycle",Investment_Strategy_Sub1="Non-Standard"),VLOOKUP(Investment_Strategy&amp;"_"&amp;Investment_Strategy_Sub2&amp;"_"&amp;$A379,'Investment Strategies'!$C:$P,9,FALSE),
IF(AND(Investment_Strategy="Lifecycle",Investment_Strategy_Sub1="Standard"),VLOOKUP(Investment_Strategy&amp;"_"&amp;Investment_Strategy_Sub2&amp;"_"&amp;$A379,'Investment Strategies'!$AJ:$AV,8,FALSE),
IF(AND(Investment_Strategy="Autopilot",Investment_Strategy_Sub1="Non-Standard"),VLOOKUP(Investment_Strategy&amp;"_"&amp;Investment_Strategy_Sub2&amp;"_"&amp;$A379,'Investment Strategies'!$T:$AF,8,FALSE),
IF(Investment_Strategy ="DIY",DIY_RateOfReturn_CurrentFunds,
"Error")))))),Max_InvReturn)</f>
        <v>0</v>
      </c>
      <c r="F379" s="62">
        <f>IF(AV379=0,0,
IF(Investment_Strategy="DIS",VLOOKUP(Investment_Strategy&amp;"_"&amp;Investment_Strategy_Sub1&amp;"_"&amp;$A379,'Investment Strategies'!$AZ:$BP,15,FALSE),
IF(AND(Investment_Strategy="Lifecycle",Investment_Strategy_Sub1="Non-Standard"),VLOOKUP(Investment_Strategy&amp;"_"&amp;Investment_Strategy_Sub2&amp;"_"&amp;$A379,'Investment Strategies'!$C:$P,12,FALSE),
IF(AND(Investment_Strategy="Lifecycle",Investment_Strategy_Sub1="Standard"),VLOOKUP(Investment_Strategy&amp;"_"&amp;Investment_Strategy_Sub2&amp;"_"&amp;$A379,'Investment Strategies'!$AJ:$AV,11,FALSE),
IF(AND(Investment_Strategy="Autopilot",Investment_Strategy_Sub1="Non-Standard"),VLOOKUP(Investment_Strategy&amp;"_"&amp;Investment_Strategy_Sub2&amp;"_"&amp;$A379,'Investment Strategies'!$T:$AF,11,FALSE),
IF(Investment_Strategy="DIY",DIY_GteeChrge_CurrentFunds,
"Error"))))))</f>
        <v>0</v>
      </c>
      <c r="G379" s="33">
        <f>IF(AV379=0,0,
IF(Investment_Strategy="DIS",VLOOKUP(Investment_Strategy&amp;"_"&amp;Investment_Strategy_Sub1&amp;"_"&amp;$A379,'Investment Strategies'!$AZ:$BP,17,FALSE),
IF(AND(Investment_Strategy="Lifecycle",Investment_Strategy_Sub1="Non-Standard"),VLOOKUP(Investment_Strategy&amp;"_"&amp;Investment_Strategy_Sub2&amp;"_"&amp;$A379,'Investment Strategies'!$C:$P,14,FALSE),
IF(AND(Investment_Strategy="Lifecycle",Investment_Strategy_Sub1="Standard"),VLOOKUP(Investment_Strategy&amp;"_"&amp;Investment_Strategy_Sub2&amp;"_"&amp;$A379,'Investment Strategies'!$AJ:$AV,13,FALSE),
IF(AND(Investment_Strategy="Autopilot",Investment_Strategy_Sub1="Non-Standard"),VLOOKUP(Investment_Strategy&amp;"_"&amp;Investment_Strategy_Sub2&amp;"_"&amp;$A379,'Investment Strategies'!$T:$AF,13,FALSE),
IF(Investment_Strategy="DIY",DIY_ExtManChrge_CurrentFunds,
"Error"))))))</f>
        <v>0</v>
      </c>
      <c r="H379" s="16">
        <f t="shared" si="219"/>
        <v>0</v>
      </c>
      <c r="I379" s="16">
        <f t="shared" si="205"/>
        <v>0</v>
      </c>
      <c r="J379" s="16">
        <f t="shared" si="206"/>
        <v>0</v>
      </c>
      <c r="K379" s="16">
        <f>(Opening_Fund_Value+SUM(K$91:K378))*E379*IF(D379=$A$91,SRP_finalmonthfactor,1)</f>
        <v>0</v>
      </c>
      <c r="L379" s="74">
        <f>MIN(IF($AV379=0,0,
IF(Investment_Strategy="DIS",VLOOKUP(Investment_Strategy&amp;"_"&amp;Investment_Strategy_Sub1&amp;"_"&amp;$A379,'Investment Strategies'!$AZ:$BP,12,FALSE),
IF(AND(Investment_Strategy="Lifecycle",Investment_Strategy_Sub1="Non-Standard"),VLOOKUP(Investment_Strategy&amp;"_"&amp;Investment_Strategy_Sub2&amp;"_"&amp;$A379,'Investment Strategies'!$C:$P,9,FALSE),
IF(AND(Investment_Strategy="Lifecycle",Investment_Strategy_Sub1="Standard"),VLOOKUP(Investment_Strategy&amp;"_"&amp;Investment_Strategy_Sub2&amp;"_"&amp;$A379,'Investment Strategies'!$AJ:$AV,8,FALSE),
IF(AND(Investment_Strategy="Autopilot",Investment_Strategy_Sub1="Non-Standard"),VLOOKUP(Investment_Strategy&amp;"_"&amp;Investment_Strategy_Sub2&amp;"_"&amp;$A379,'Investment Strategies'!$T:$AF,8,FALSE),
IF(Investment_Strategy ="DIY",DIY_RateofReturn_SP,
"Error")))))),Max_InvReturn)</f>
        <v>0</v>
      </c>
      <c r="M379" s="62">
        <f>IF($AV379=0,0,
IF(Investment_Strategy="DIS",VLOOKUP(Investment_Strategy&amp;"_"&amp;Investment_Strategy_Sub1&amp;"_"&amp;$A379,'Investment Strategies'!$AZ:$BP,15,FALSE),
IF(AND(Investment_Strategy="Lifecycle",Investment_Strategy_Sub1="Non-Standard"),VLOOKUP(Investment_Strategy&amp;"_"&amp;Investment_Strategy_Sub2&amp;"_"&amp;$A379,'Investment Strategies'!$C:$P,12,FALSE),
IF(AND(Investment_Strategy="Lifecycle",Investment_Strategy_Sub1="Standard"),VLOOKUP(Investment_Strategy&amp;"_"&amp;Investment_Strategy_Sub2&amp;"_"&amp;$A379,'Investment Strategies'!$AJ:$AV,11,FALSE),
IF(AND(Investment_Strategy="Autopilot",Investment_Strategy_Sub1="Non-Standard"),VLOOKUP(Investment_Strategy&amp;"_"&amp;Investment_Strategy_Sub2&amp;"_"&amp;$A379,'Investment Strategies'!$T:$AF,11,FALSE),
IF(Investment_Strategy="DIY",DIY_GteeChrge_SP,
"Error"))))))</f>
        <v>0</v>
      </c>
      <c r="N379" s="33">
        <f>IF($AV379=0,0,
IF(Investment_Strategy="DIS",VLOOKUP(Investment_Strategy&amp;"_"&amp;Investment_Strategy_Sub1&amp;"_"&amp;$A379,'Investment Strategies'!$AZ:$BP,17,FALSE),
IF(AND(Investment_Strategy="Lifecycle",Investment_Strategy_Sub1="Non-Standard"),VLOOKUP(Investment_Strategy&amp;"_"&amp;Investment_Strategy_Sub2&amp;"_"&amp;$A379,'Investment Strategies'!$C:$P,14,FALSE),
IF(AND(Investment_Strategy="Lifecycle",Investment_Strategy_Sub1="Standard"),VLOOKUP(Investment_Strategy&amp;"_"&amp;Investment_Strategy_Sub2&amp;"_"&amp;$A379,'Investment Strategies'!$AJ:$AV,13,FALSE),
IF(AND(Investment_Strategy="Autopilot",Investment_Strategy_Sub1="Non-Standard"),VLOOKUP(Investment_Strategy&amp;"_"&amp;Investment_Strategy_Sub2&amp;"_"&amp;$A379,'Investment Strategies'!$T:$AF,13,FALSE),
IF(Investment_Strategy="DIY",DIY_ExtManChrge_SP,
"Error"))))))</f>
        <v>0</v>
      </c>
      <c r="O379" s="16">
        <f t="shared" si="230"/>
        <v>0</v>
      </c>
      <c r="Q379" s="16">
        <f t="shared" si="207"/>
        <v>0</v>
      </c>
      <c r="R379" s="16">
        <f t="shared" si="203"/>
        <v>0</v>
      </c>
      <c r="S379" s="16">
        <f>(SRP_SP+SUM(S$91:S378))*L379*IF(D379=$A$91,SRP_finalmonthfactor,1)</f>
        <v>0</v>
      </c>
      <c r="T379" s="74">
        <f>MIN(IF($AV379=0,0,
IF(Investment_Strategy="DIS",VLOOKUP(Investment_Strategy&amp;"_"&amp;Investment_Strategy_Sub1&amp;"_"&amp;$A379,'Investment Strategies'!$AZ:$BP,12,FALSE),
IF(AND(Investment_Strategy="Lifecycle",Investment_Strategy_Sub1="Non-Standard"),VLOOKUP(Investment_Strategy&amp;"_"&amp;Investment_Strategy_Sub2&amp;"_"&amp;$A379,'Investment Strategies'!$C:$P,9,FALSE),
IF(AND(Investment_Strategy="Lifecycle",Investment_Strategy_Sub1="Standard"),VLOOKUP(Investment_Strategy&amp;"_"&amp;Investment_Strategy_Sub2&amp;"_"&amp;$A379,'Investment Strategies'!$AJ:$AV,8,FALSE),
IF(AND(Investment_Strategy="Autopilot",Investment_Strategy_Sub1="Non-Standard"),VLOOKUP(Investment_Strategy&amp;"_"&amp;Investment_Strategy_Sub2&amp;"_"&amp;$A379,'Investment Strategies'!$T:$AF,8,FALSE),
IF(Investment_Strategy ="DIY",DIY_RateOfReturn_FuturePremiums,
"Error")))))),Max_InvReturn)</f>
        <v>0</v>
      </c>
      <c r="U379" s="62">
        <f>IF($AV379=0,0,
IF(Investment_Strategy="DIS",VLOOKUP(Investment_Strategy&amp;"_"&amp;Investment_Strategy_Sub1&amp;"_"&amp;$A379,'Investment Strategies'!$AZ:$BP,15,FALSE),
IF(AND(Investment_Strategy="Lifecycle",Investment_Strategy_Sub1="Non-Standard"),VLOOKUP(Investment_Strategy&amp;"_"&amp;Investment_Strategy_Sub2&amp;"_"&amp;$A379,'Investment Strategies'!$C:$P,12,FALSE),
IF(AND(Investment_Strategy="Lifecycle",Investment_Strategy_Sub1="Standard"),VLOOKUP(Investment_Strategy&amp;"_"&amp;Investment_Strategy_Sub2&amp;"_"&amp;$A379,'Investment Strategies'!$AJ:$AV,11,FALSE),
IF(AND(Investment_Strategy="Autopilot",Investment_Strategy_Sub1="Non-Standard"),VLOOKUP(Investment_Strategy&amp;"_"&amp;Investment_Strategy_Sub2&amp;"_"&amp;$A379,'Investment Strategies'!$T:$AF,11,FALSE),
IF(Investment_Strategy="DIY",DIY_GteeChrge_FuturePremiums,
"Error"))))))</f>
        <v>0</v>
      </c>
      <c r="V379" s="33">
        <f>IF(AV379=0,0,
IF(Investment_Strategy="DIS",VLOOKUP(Investment_Strategy&amp;"_"&amp;Investment_Strategy_Sub1&amp;"_"&amp;$A379,'Investment Strategies'!$AZ:$BP,17,FALSE),
IF(AND(Investment_Strategy="Lifecycle",Investment_Strategy_Sub1="Non-Standard"),VLOOKUP(Investment_Strategy&amp;"_"&amp;Investment_Strategy_Sub2&amp;"_"&amp;$A379,'Investment Strategies'!$C:$P,14,FALSE),
IF(AND(Investment_Strategy="Lifecycle",Investment_Strategy_Sub1="Standard"),VLOOKUP(Investment_Strategy&amp;"_"&amp;Investment_Strategy_Sub2&amp;"_"&amp;$A379,'Investment Strategies'!$AJ:$AV,13,FALSE),
IF(AND(Investment_Strategy="Autopilot",Investment_Strategy_Sub1="Non-Standard"),VLOOKUP(Investment_Strategy&amp;"_"&amp;Investment_Strategy_Sub2&amp;"_"&amp;$A379,'Investment Strategies'!$T:$AF,13,FALSE),
IF(Investment_Strategy="DIY",DIY_ExtManChrge_FuturePremiums,
"Error"))))))</f>
        <v>0</v>
      </c>
      <c r="W379" s="16">
        <f t="shared" si="231"/>
        <v>0</v>
      </c>
      <c r="X379" s="16">
        <f t="shared" si="208"/>
        <v>0</v>
      </c>
      <c r="Y379" s="16">
        <f t="shared" si="209"/>
        <v>0</v>
      </c>
      <c r="Z379" s="31">
        <f t="shared" si="210"/>
        <v>0.02</v>
      </c>
      <c r="AA379" s="16">
        <f t="shared" si="211"/>
        <v>0</v>
      </c>
      <c r="AB379" s="28">
        <f t="shared" si="232"/>
        <v>0</v>
      </c>
      <c r="AC379" s="28">
        <f>(SUM($AC$91:AC378)+SUM($X$91:X378)+X379)*T379*IF(D379=$A$91,SRP_finalmonthfactor,1)</f>
        <v>0</v>
      </c>
      <c r="AD379" s="16">
        <f t="shared" si="212"/>
        <v>0</v>
      </c>
      <c r="AE379" s="106"/>
      <c r="AF379" s="16">
        <f t="shared" si="220"/>
        <v>0</v>
      </c>
      <c r="AG379" s="16">
        <f t="shared" si="221"/>
        <v>0</v>
      </c>
      <c r="AH379" s="16">
        <f t="shared" si="222"/>
        <v>0</v>
      </c>
      <c r="AJ379" s="13">
        <f t="shared" si="235"/>
        <v>0</v>
      </c>
      <c r="AK379" s="13">
        <f t="shared" si="235"/>
        <v>0</v>
      </c>
      <c r="AL379" s="13">
        <f t="shared" si="235"/>
        <v>0</v>
      </c>
      <c r="AM379" s="13">
        <f t="shared" si="235"/>
        <v>0</v>
      </c>
      <c r="AN379" s="13">
        <f t="shared" si="235"/>
        <v>0</v>
      </c>
      <c r="AO379" s="13">
        <f t="shared" si="235"/>
        <v>1</v>
      </c>
      <c r="AP379" s="13">
        <f t="shared" si="235"/>
        <v>1</v>
      </c>
      <c r="AQ379" s="13">
        <f t="shared" si="235"/>
        <v>1</v>
      </c>
      <c r="AR379" s="13">
        <f t="shared" si="235"/>
        <v>1</v>
      </c>
      <c r="AS379" s="13">
        <f t="shared" si="235"/>
        <v>1</v>
      </c>
      <c r="AT379" s="13">
        <f t="shared" si="235"/>
        <v>1</v>
      </c>
      <c r="AU379" s="13">
        <f t="shared" si="235"/>
        <v>1</v>
      </c>
      <c r="AV379" s="13">
        <f t="shared" si="213"/>
        <v>0</v>
      </c>
      <c r="AW379" s="13">
        <f t="shared" si="214"/>
        <v>1</v>
      </c>
      <c r="AY379" s="17">
        <f t="shared" si="215"/>
        <v>289</v>
      </c>
      <c r="AZ379" s="28">
        <f t="shared" si="223"/>
        <v>0</v>
      </c>
      <c r="BA379" s="13">
        <f t="shared" si="216"/>
        <v>0</v>
      </c>
      <c r="BB379" s="13">
        <f t="shared" si="217"/>
        <v>0</v>
      </c>
      <c r="BC379" s="28">
        <f t="shared" si="224"/>
        <v>0</v>
      </c>
      <c r="BD379" s="28">
        <f t="shared" si="225"/>
        <v>0</v>
      </c>
      <c r="BF379" s="248">
        <f t="shared" si="226"/>
        <v>993869.29442638322</v>
      </c>
    </row>
    <row r="380" spans="1:58">
      <c r="A380" s="32">
        <f t="shared" si="227"/>
        <v>-205</v>
      </c>
      <c r="B380" s="32">
        <f t="shared" si="218"/>
        <v>77</v>
      </c>
      <c r="C380" s="32">
        <f t="shared" si="228"/>
        <v>25</v>
      </c>
      <c r="D380" s="32">
        <f t="shared" si="229"/>
        <v>290</v>
      </c>
      <c r="E380" s="74">
        <f>MIN(IF(AV380=0,0,
IF(Investment_Strategy="DIS",VLOOKUP(Investment_Strategy&amp;"_"&amp;Investment_Strategy_Sub1&amp;"_"&amp;$A380,'Investment Strategies'!$AZ:$BP,12,FALSE),
IF(AND(Investment_Strategy="Lifecycle",Investment_Strategy_Sub1="Non-Standard"),VLOOKUP(Investment_Strategy&amp;"_"&amp;Investment_Strategy_Sub2&amp;"_"&amp;$A380,'Investment Strategies'!$C:$P,9,FALSE),
IF(AND(Investment_Strategy="Lifecycle",Investment_Strategy_Sub1="Standard"),VLOOKUP(Investment_Strategy&amp;"_"&amp;Investment_Strategy_Sub2&amp;"_"&amp;$A380,'Investment Strategies'!$AJ:$AV,8,FALSE),
IF(AND(Investment_Strategy="Autopilot",Investment_Strategy_Sub1="Non-Standard"),VLOOKUP(Investment_Strategy&amp;"_"&amp;Investment_Strategy_Sub2&amp;"_"&amp;$A380,'Investment Strategies'!$T:$AF,8,FALSE),
IF(Investment_Strategy ="DIY",DIY_RateOfReturn_CurrentFunds,
"Error")))))),Max_InvReturn)</f>
        <v>0</v>
      </c>
      <c r="F380" s="62">
        <f>IF(AV380=0,0,
IF(Investment_Strategy="DIS",VLOOKUP(Investment_Strategy&amp;"_"&amp;Investment_Strategy_Sub1&amp;"_"&amp;$A380,'Investment Strategies'!$AZ:$BP,15,FALSE),
IF(AND(Investment_Strategy="Lifecycle",Investment_Strategy_Sub1="Non-Standard"),VLOOKUP(Investment_Strategy&amp;"_"&amp;Investment_Strategy_Sub2&amp;"_"&amp;$A380,'Investment Strategies'!$C:$P,12,FALSE),
IF(AND(Investment_Strategy="Lifecycle",Investment_Strategy_Sub1="Standard"),VLOOKUP(Investment_Strategy&amp;"_"&amp;Investment_Strategy_Sub2&amp;"_"&amp;$A380,'Investment Strategies'!$AJ:$AV,11,FALSE),
IF(AND(Investment_Strategy="Autopilot",Investment_Strategy_Sub1="Non-Standard"),VLOOKUP(Investment_Strategy&amp;"_"&amp;Investment_Strategy_Sub2&amp;"_"&amp;$A380,'Investment Strategies'!$T:$AF,11,FALSE),
IF(Investment_Strategy="DIY",DIY_GteeChrge_CurrentFunds,
"Error"))))))</f>
        <v>0</v>
      </c>
      <c r="G380" s="33">
        <f>IF(AV380=0,0,
IF(Investment_Strategy="DIS",VLOOKUP(Investment_Strategy&amp;"_"&amp;Investment_Strategy_Sub1&amp;"_"&amp;$A380,'Investment Strategies'!$AZ:$BP,17,FALSE),
IF(AND(Investment_Strategy="Lifecycle",Investment_Strategy_Sub1="Non-Standard"),VLOOKUP(Investment_Strategy&amp;"_"&amp;Investment_Strategy_Sub2&amp;"_"&amp;$A380,'Investment Strategies'!$C:$P,14,FALSE),
IF(AND(Investment_Strategy="Lifecycle",Investment_Strategy_Sub1="Standard"),VLOOKUP(Investment_Strategy&amp;"_"&amp;Investment_Strategy_Sub2&amp;"_"&amp;$A380,'Investment Strategies'!$AJ:$AV,13,FALSE),
IF(AND(Investment_Strategy="Autopilot",Investment_Strategy_Sub1="Non-Standard"),VLOOKUP(Investment_Strategy&amp;"_"&amp;Investment_Strategy_Sub2&amp;"_"&amp;$A380,'Investment Strategies'!$T:$AF,13,FALSE),
IF(Investment_Strategy="DIY",DIY_ExtManChrge_CurrentFunds,
"Error"))))))</f>
        <v>0</v>
      </c>
      <c r="H380" s="16">
        <f t="shared" si="219"/>
        <v>0</v>
      </c>
      <c r="I380" s="16">
        <f t="shared" si="205"/>
        <v>0</v>
      </c>
      <c r="J380" s="16">
        <f t="shared" si="206"/>
        <v>0</v>
      </c>
      <c r="K380" s="16">
        <f>(Opening_Fund_Value+SUM(K$91:K379))*E380*IF(D380=$A$91,SRP_finalmonthfactor,1)</f>
        <v>0</v>
      </c>
      <c r="L380" s="74">
        <f>MIN(IF($AV380=0,0,
IF(Investment_Strategy="DIS",VLOOKUP(Investment_Strategy&amp;"_"&amp;Investment_Strategy_Sub1&amp;"_"&amp;$A380,'Investment Strategies'!$AZ:$BP,12,FALSE),
IF(AND(Investment_Strategy="Lifecycle",Investment_Strategy_Sub1="Non-Standard"),VLOOKUP(Investment_Strategy&amp;"_"&amp;Investment_Strategy_Sub2&amp;"_"&amp;$A380,'Investment Strategies'!$C:$P,9,FALSE),
IF(AND(Investment_Strategy="Lifecycle",Investment_Strategy_Sub1="Standard"),VLOOKUP(Investment_Strategy&amp;"_"&amp;Investment_Strategy_Sub2&amp;"_"&amp;$A380,'Investment Strategies'!$AJ:$AV,8,FALSE),
IF(AND(Investment_Strategy="Autopilot",Investment_Strategy_Sub1="Non-Standard"),VLOOKUP(Investment_Strategy&amp;"_"&amp;Investment_Strategy_Sub2&amp;"_"&amp;$A380,'Investment Strategies'!$T:$AF,8,FALSE),
IF(Investment_Strategy ="DIY",DIY_RateofReturn_SP,
"Error")))))),Max_InvReturn)</f>
        <v>0</v>
      </c>
      <c r="M380" s="62">
        <f>IF($AV380=0,0,
IF(Investment_Strategy="DIS",VLOOKUP(Investment_Strategy&amp;"_"&amp;Investment_Strategy_Sub1&amp;"_"&amp;$A380,'Investment Strategies'!$AZ:$BP,15,FALSE),
IF(AND(Investment_Strategy="Lifecycle",Investment_Strategy_Sub1="Non-Standard"),VLOOKUP(Investment_Strategy&amp;"_"&amp;Investment_Strategy_Sub2&amp;"_"&amp;$A380,'Investment Strategies'!$C:$P,12,FALSE),
IF(AND(Investment_Strategy="Lifecycle",Investment_Strategy_Sub1="Standard"),VLOOKUP(Investment_Strategy&amp;"_"&amp;Investment_Strategy_Sub2&amp;"_"&amp;$A380,'Investment Strategies'!$AJ:$AV,11,FALSE),
IF(AND(Investment_Strategy="Autopilot",Investment_Strategy_Sub1="Non-Standard"),VLOOKUP(Investment_Strategy&amp;"_"&amp;Investment_Strategy_Sub2&amp;"_"&amp;$A380,'Investment Strategies'!$T:$AF,11,FALSE),
IF(Investment_Strategy="DIY",DIY_GteeChrge_SP,
"Error"))))))</f>
        <v>0</v>
      </c>
      <c r="N380" s="33">
        <f>IF($AV380=0,0,
IF(Investment_Strategy="DIS",VLOOKUP(Investment_Strategy&amp;"_"&amp;Investment_Strategy_Sub1&amp;"_"&amp;$A380,'Investment Strategies'!$AZ:$BP,17,FALSE),
IF(AND(Investment_Strategy="Lifecycle",Investment_Strategy_Sub1="Non-Standard"),VLOOKUP(Investment_Strategy&amp;"_"&amp;Investment_Strategy_Sub2&amp;"_"&amp;$A380,'Investment Strategies'!$C:$P,14,FALSE),
IF(AND(Investment_Strategy="Lifecycle",Investment_Strategy_Sub1="Standard"),VLOOKUP(Investment_Strategy&amp;"_"&amp;Investment_Strategy_Sub2&amp;"_"&amp;$A380,'Investment Strategies'!$AJ:$AV,13,FALSE),
IF(AND(Investment_Strategy="Autopilot",Investment_Strategy_Sub1="Non-Standard"),VLOOKUP(Investment_Strategy&amp;"_"&amp;Investment_Strategy_Sub2&amp;"_"&amp;$A380,'Investment Strategies'!$T:$AF,13,FALSE),
IF(Investment_Strategy="DIY",DIY_ExtManChrge_SP,
"Error"))))))</f>
        <v>0</v>
      </c>
      <c r="O380" s="16">
        <f t="shared" si="230"/>
        <v>0</v>
      </c>
      <c r="Q380" s="16">
        <f t="shared" si="207"/>
        <v>0</v>
      </c>
      <c r="R380" s="16">
        <f t="shared" si="203"/>
        <v>0</v>
      </c>
      <c r="S380" s="16">
        <f>(SRP_SP+SUM(S$91:S379))*L380*IF(D380=$A$91,SRP_finalmonthfactor,1)</f>
        <v>0</v>
      </c>
      <c r="T380" s="74">
        <f>MIN(IF($AV380=0,0,
IF(Investment_Strategy="DIS",VLOOKUP(Investment_Strategy&amp;"_"&amp;Investment_Strategy_Sub1&amp;"_"&amp;$A380,'Investment Strategies'!$AZ:$BP,12,FALSE),
IF(AND(Investment_Strategy="Lifecycle",Investment_Strategy_Sub1="Non-Standard"),VLOOKUP(Investment_Strategy&amp;"_"&amp;Investment_Strategy_Sub2&amp;"_"&amp;$A380,'Investment Strategies'!$C:$P,9,FALSE),
IF(AND(Investment_Strategy="Lifecycle",Investment_Strategy_Sub1="Standard"),VLOOKUP(Investment_Strategy&amp;"_"&amp;Investment_Strategy_Sub2&amp;"_"&amp;$A380,'Investment Strategies'!$AJ:$AV,8,FALSE),
IF(AND(Investment_Strategy="Autopilot",Investment_Strategy_Sub1="Non-Standard"),VLOOKUP(Investment_Strategy&amp;"_"&amp;Investment_Strategy_Sub2&amp;"_"&amp;$A380,'Investment Strategies'!$T:$AF,8,FALSE),
IF(Investment_Strategy ="DIY",DIY_RateOfReturn_FuturePremiums,
"Error")))))),Max_InvReturn)</f>
        <v>0</v>
      </c>
      <c r="U380" s="62">
        <f>IF($AV380=0,0,
IF(Investment_Strategy="DIS",VLOOKUP(Investment_Strategy&amp;"_"&amp;Investment_Strategy_Sub1&amp;"_"&amp;$A380,'Investment Strategies'!$AZ:$BP,15,FALSE),
IF(AND(Investment_Strategy="Lifecycle",Investment_Strategy_Sub1="Non-Standard"),VLOOKUP(Investment_Strategy&amp;"_"&amp;Investment_Strategy_Sub2&amp;"_"&amp;$A380,'Investment Strategies'!$C:$P,12,FALSE),
IF(AND(Investment_Strategy="Lifecycle",Investment_Strategy_Sub1="Standard"),VLOOKUP(Investment_Strategy&amp;"_"&amp;Investment_Strategy_Sub2&amp;"_"&amp;$A380,'Investment Strategies'!$AJ:$AV,11,FALSE),
IF(AND(Investment_Strategy="Autopilot",Investment_Strategy_Sub1="Non-Standard"),VLOOKUP(Investment_Strategy&amp;"_"&amp;Investment_Strategy_Sub2&amp;"_"&amp;$A380,'Investment Strategies'!$T:$AF,11,FALSE),
IF(Investment_Strategy="DIY",DIY_GteeChrge_FuturePremiums,
"Error"))))))</f>
        <v>0</v>
      </c>
      <c r="V380" s="33">
        <f>IF(AV380=0,0,
IF(Investment_Strategy="DIS",VLOOKUP(Investment_Strategy&amp;"_"&amp;Investment_Strategy_Sub1&amp;"_"&amp;$A380,'Investment Strategies'!$AZ:$BP,17,FALSE),
IF(AND(Investment_Strategy="Lifecycle",Investment_Strategy_Sub1="Non-Standard"),VLOOKUP(Investment_Strategy&amp;"_"&amp;Investment_Strategy_Sub2&amp;"_"&amp;$A380,'Investment Strategies'!$C:$P,14,FALSE),
IF(AND(Investment_Strategy="Lifecycle",Investment_Strategy_Sub1="Standard"),VLOOKUP(Investment_Strategy&amp;"_"&amp;Investment_Strategy_Sub2&amp;"_"&amp;$A380,'Investment Strategies'!$AJ:$AV,13,FALSE),
IF(AND(Investment_Strategy="Autopilot",Investment_Strategy_Sub1="Non-Standard"),VLOOKUP(Investment_Strategy&amp;"_"&amp;Investment_Strategy_Sub2&amp;"_"&amp;$A380,'Investment Strategies'!$T:$AF,13,FALSE),
IF(Investment_Strategy="DIY",DIY_ExtManChrge_FuturePremiums,
"Error"))))))</f>
        <v>0</v>
      </c>
      <c r="W380" s="16">
        <f t="shared" si="231"/>
        <v>0</v>
      </c>
      <c r="X380" s="16">
        <f t="shared" si="208"/>
        <v>0</v>
      </c>
      <c r="Y380" s="16">
        <f t="shared" si="209"/>
        <v>0</v>
      </c>
      <c r="Z380" s="31">
        <f t="shared" si="210"/>
        <v>0.02</v>
      </c>
      <c r="AA380" s="16">
        <f t="shared" si="211"/>
        <v>0</v>
      </c>
      <c r="AB380" s="28">
        <f t="shared" si="232"/>
        <v>0</v>
      </c>
      <c r="AC380" s="28">
        <f>(SUM($AC$91:AC379)+SUM($X$91:X379)+X380)*T380*IF(D380=$A$91,SRP_finalmonthfactor,1)</f>
        <v>0</v>
      </c>
      <c r="AD380" s="16">
        <f t="shared" si="212"/>
        <v>0</v>
      </c>
      <c r="AE380" s="106"/>
      <c r="AF380" s="16">
        <f t="shared" si="220"/>
        <v>0</v>
      </c>
      <c r="AG380" s="16">
        <f t="shared" si="221"/>
        <v>0</v>
      </c>
      <c r="AH380" s="16">
        <f t="shared" si="222"/>
        <v>0</v>
      </c>
      <c r="AJ380" s="13">
        <f t="shared" si="235"/>
        <v>0</v>
      </c>
      <c r="AK380" s="13">
        <f t="shared" si="235"/>
        <v>0</v>
      </c>
      <c r="AL380" s="13">
        <f t="shared" si="235"/>
        <v>0</v>
      </c>
      <c r="AM380" s="13">
        <f t="shared" si="235"/>
        <v>0</v>
      </c>
      <c r="AN380" s="13">
        <f t="shared" si="235"/>
        <v>0</v>
      </c>
      <c r="AO380" s="13">
        <f t="shared" si="235"/>
        <v>1</v>
      </c>
      <c r="AP380" s="13">
        <f t="shared" si="235"/>
        <v>1</v>
      </c>
      <c r="AQ380" s="13">
        <f t="shared" si="235"/>
        <v>1</v>
      </c>
      <c r="AR380" s="13">
        <f t="shared" si="235"/>
        <v>1</v>
      </c>
      <c r="AS380" s="13">
        <f t="shared" si="235"/>
        <v>1</v>
      </c>
      <c r="AT380" s="13">
        <f t="shared" si="235"/>
        <v>1</v>
      </c>
      <c r="AU380" s="13">
        <f t="shared" si="235"/>
        <v>1</v>
      </c>
      <c r="AV380" s="13">
        <f t="shared" si="213"/>
        <v>0</v>
      </c>
      <c r="AW380" s="13">
        <f t="shared" si="214"/>
        <v>1</v>
      </c>
      <c r="AY380" s="17">
        <f t="shared" si="215"/>
        <v>290</v>
      </c>
      <c r="AZ380" s="28">
        <f t="shared" si="223"/>
        <v>0</v>
      </c>
      <c r="BA380" s="13">
        <f t="shared" si="216"/>
        <v>0</v>
      </c>
      <c r="BB380" s="13">
        <f t="shared" si="217"/>
        <v>0</v>
      </c>
      <c r="BC380" s="28">
        <f t="shared" si="224"/>
        <v>0</v>
      </c>
      <c r="BD380" s="28">
        <f t="shared" si="225"/>
        <v>0</v>
      </c>
      <c r="BF380" s="248">
        <f t="shared" si="226"/>
        <v>993869.29442638322</v>
      </c>
    </row>
    <row r="381" spans="1:58">
      <c r="A381" s="32">
        <f t="shared" si="227"/>
        <v>-206</v>
      </c>
      <c r="B381" s="32">
        <f t="shared" si="218"/>
        <v>77</v>
      </c>
      <c r="C381" s="32">
        <f t="shared" si="228"/>
        <v>25</v>
      </c>
      <c r="D381" s="32">
        <f t="shared" si="229"/>
        <v>291</v>
      </c>
      <c r="E381" s="74">
        <f>MIN(IF(AV381=0,0,
IF(Investment_Strategy="DIS",VLOOKUP(Investment_Strategy&amp;"_"&amp;Investment_Strategy_Sub1&amp;"_"&amp;$A381,'Investment Strategies'!$AZ:$BP,12,FALSE),
IF(AND(Investment_Strategy="Lifecycle",Investment_Strategy_Sub1="Non-Standard"),VLOOKUP(Investment_Strategy&amp;"_"&amp;Investment_Strategy_Sub2&amp;"_"&amp;$A381,'Investment Strategies'!$C:$P,9,FALSE),
IF(AND(Investment_Strategy="Lifecycle",Investment_Strategy_Sub1="Standard"),VLOOKUP(Investment_Strategy&amp;"_"&amp;Investment_Strategy_Sub2&amp;"_"&amp;$A381,'Investment Strategies'!$AJ:$AV,8,FALSE),
IF(AND(Investment_Strategy="Autopilot",Investment_Strategy_Sub1="Non-Standard"),VLOOKUP(Investment_Strategy&amp;"_"&amp;Investment_Strategy_Sub2&amp;"_"&amp;$A381,'Investment Strategies'!$T:$AF,8,FALSE),
IF(Investment_Strategy ="DIY",DIY_RateOfReturn_CurrentFunds,
"Error")))))),Max_InvReturn)</f>
        <v>0</v>
      </c>
      <c r="F381" s="62">
        <f>IF(AV381=0,0,
IF(Investment_Strategy="DIS",VLOOKUP(Investment_Strategy&amp;"_"&amp;Investment_Strategy_Sub1&amp;"_"&amp;$A381,'Investment Strategies'!$AZ:$BP,15,FALSE),
IF(AND(Investment_Strategy="Lifecycle",Investment_Strategy_Sub1="Non-Standard"),VLOOKUP(Investment_Strategy&amp;"_"&amp;Investment_Strategy_Sub2&amp;"_"&amp;$A381,'Investment Strategies'!$C:$P,12,FALSE),
IF(AND(Investment_Strategy="Lifecycle",Investment_Strategy_Sub1="Standard"),VLOOKUP(Investment_Strategy&amp;"_"&amp;Investment_Strategy_Sub2&amp;"_"&amp;$A381,'Investment Strategies'!$AJ:$AV,11,FALSE),
IF(AND(Investment_Strategy="Autopilot",Investment_Strategy_Sub1="Non-Standard"),VLOOKUP(Investment_Strategy&amp;"_"&amp;Investment_Strategy_Sub2&amp;"_"&amp;$A381,'Investment Strategies'!$T:$AF,11,FALSE),
IF(Investment_Strategy="DIY",DIY_GteeChrge_CurrentFunds,
"Error"))))))</f>
        <v>0</v>
      </c>
      <c r="G381" s="33">
        <f>IF(AV381=0,0,
IF(Investment_Strategy="DIS",VLOOKUP(Investment_Strategy&amp;"_"&amp;Investment_Strategy_Sub1&amp;"_"&amp;$A381,'Investment Strategies'!$AZ:$BP,17,FALSE),
IF(AND(Investment_Strategy="Lifecycle",Investment_Strategy_Sub1="Non-Standard"),VLOOKUP(Investment_Strategy&amp;"_"&amp;Investment_Strategy_Sub2&amp;"_"&amp;$A381,'Investment Strategies'!$C:$P,14,FALSE),
IF(AND(Investment_Strategy="Lifecycle",Investment_Strategy_Sub1="Standard"),VLOOKUP(Investment_Strategy&amp;"_"&amp;Investment_Strategy_Sub2&amp;"_"&amp;$A381,'Investment Strategies'!$AJ:$AV,13,FALSE),
IF(AND(Investment_Strategy="Autopilot",Investment_Strategy_Sub1="Non-Standard"),VLOOKUP(Investment_Strategy&amp;"_"&amp;Investment_Strategy_Sub2&amp;"_"&amp;$A381,'Investment Strategies'!$T:$AF,13,FALSE),
IF(Investment_Strategy="DIY",DIY_ExtManChrge_CurrentFunds,
"Error"))))))</f>
        <v>0</v>
      </c>
      <c r="H381" s="16">
        <f t="shared" si="219"/>
        <v>0</v>
      </c>
      <c r="I381" s="16">
        <f t="shared" si="205"/>
        <v>0</v>
      </c>
      <c r="J381" s="16">
        <f t="shared" si="206"/>
        <v>0</v>
      </c>
      <c r="K381" s="16">
        <f>(Opening_Fund_Value+SUM(K$91:K380))*E381*IF(D381=$A$91,SRP_finalmonthfactor,1)</f>
        <v>0</v>
      </c>
      <c r="L381" s="74">
        <f>MIN(IF($AV381=0,0,
IF(Investment_Strategy="DIS",VLOOKUP(Investment_Strategy&amp;"_"&amp;Investment_Strategy_Sub1&amp;"_"&amp;$A381,'Investment Strategies'!$AZ:$BP,12,FALSE),
IF(AND(Investment_Strategy="Lifecycle",Investment_Strategy_Sub1="Non-Standard"),VLOOKUP(Investment_Strategy&amp;"_"&amp;Investment_Strategy_Sub2&amp;"_"&amp;$A381,'Investment Strategies'!$C:$P,9,FALSE),
IF(AND(Investment_Strategy="Lifecycle",Investment_Strategy_Sub1="Standard"),VLOOKUP(Investment_Strategy&amp;"_"&amp;Investment_Strategy_Sub2&amp;"_"&amp;$A381,'Investment Strategies'!$AJ:$AV,8,FALSE),
IF(AND(Investment_Strategy="Autopilot",Investment_Strategy_Sub1="Non-Standard"),VLOOKUP(Investment_Strategy&amp;"_"&amp;Investment_Strategy_Sub2&amp;"_"&amp;$A381,'Investment Strategies'!$T:$AF,8,FALSE),
IF(Investment_Strategy ="DIY",DIY_RateofReturn_SP,
"Error")))))),Max_InvReturn)</f>
        <v>0</v>
      </c>
      <c r="M381" s="62">
        <f>IF($AV381=0,0,
IF(Investment_Strategy="DIS",VLOOKUP(Investment_Strategy&amp;"_"&amp;Investment_Strategy_Sub1&amp;"_"&amp;$A381,'Investment Strategies'!$AZ:$BP,15,FALSE),
IF(AND(Investment_Strategy="Lifecycle",Investment_Strategy_Sub1="Non-Standard"),VLOOKUP(Investment_Strategy&amp;"_"&amp;Investment_Strategy_Sub2&amp;"_"&amp;$A381,'Investment Strategies'!$C:$P,12,FALSE),
IF(AND(Investment_Strategy="Lifecycle",Investment_Strategy_Sub1="Standard"),VLOOKUP(Investment_Strategy&amp;"_"&amp;Investment_Strategy_Sub2&amp;"_"&amp;$A381,'Investment Strategies'!$AJ:$AV,11,FALSE),
IF(AND(Investment_Strategy="Autopilot",Investment_Strategy_Sub1="Non-Standard"),VLOOKUP(Investment_Strategy&amp;"_"&amp;Investment_Strategy_Sub2&amp;"_"&amp;$A381,'Investment Strategies'!$T:$AF,11,FALSE),
IF(Investment_Strategy="DIY",DIY_GteeChrge_SP,
"Error"))))))</f>
        <v>0</v>
      </c>
      <c r="N381" s="33">
        <f>IF($AV381=0,0,
IF(Investment_Strategy="DIS",VLOOKUP(Investment_Strategy&amp;"_"&amp;Investment_Strategy_Sub1&amp;"_"&amp;$A381,'Investment Strategies'!$AZ:$BP,17,FALSE),
IF(AND(Investment_Strategy="Lifecycle",Investment_Strategy_Sub1="Non-Standard"),VLOOKUP(Investment_Strategy&amp;"_"&amp;Investment_Strategy_Sub2&amp;"_"&amp;$A381,'Investment Strategies'!$C:$P,14,FALSE),
IF(AND(Investment_Strategy="Lifecycle",Investment_Strategy_Sub1="Standard"),VLOOKUP(Investment_Strategy&amp;"_"&amp;Investment_Strategy_Sub2&amp;"_"&amp;$A381,'Investment Strategies'!$AJ:$AV,13,FALSE),
IF(AND(Investment_Strategy="Autopilot",Investment_Strategy_Sub1="Non-Standard"),VLOOKUP(Investment_Strategy&amp;"_"&amp;Investment_Strategy_Sub2&amp;"_"&amp;$A381,'Investment Strategies'!$T:$AF,13,FALSE),
IF(Investment_Strategy="DIY",DIY_ExtManChrge_SP,
"Error"))))))</f>
        <v>0</v>
      </c>
      <c r="O381" s="16">
        <f t="shared" si="230"/>
        <v>0</v>
      </c>
      <c r="Q381" s="16">
        <f t="shared" si="207"/>
        <v>0</v>
      </c>
      <c r="R381" s="16">
        <f t="shared" si="203"/>
        <v>0</v>
      </c>
      <c r="S381" s="16">
        <f>(SRP_SP+SUM(S$91:S380))*L381*IF(D381=$A$91,SRP_finalmonthfactor,1)</f>
        <v>0</v>
      </c>
      <c r="T381" s="74">
        <f>MIN(IF($AV381=0,0,
IF(Investment_Strategy="DIS",VLOOKUP(Investment_Strategy&amp;"_"&amp;Investment_Strategy_Sub1&amp;"_"&amp;$A381,'Investment Strategies'!$AZ:$BP,12,FALSE),
IF(AND(Investment_Strategy="Lifecycle",Investment_Strategy_Sub1="Non-Standard"),VLOOKUP(Investment_Strategy&amp;"_"&amp;Investment_Strategy_Sub2&amp;"_"&amp;$A381,'Investment Strategies'!$C:$P,9,FALSE),
IF(AND(Investment_Strategy="Lifecycle",Investment_Strategy_Sub1="Standard"),VLOOKUP(Investment_Strategy&amp;"_"&amp;Investment_Strategy_Sub2&amp;"_"&amp;$A381,'Investment Strategies'!$AJ:$AV,8,FALSE),
IF(AND(Investment_Strategy="Autopilot",Investment_Strategy_Sub1="Non-Standard"),VLOOKUP(Investment_Strategy&amp;"_"&amp;Investment_Strategy_Sub2&amp;"_"&amp;$A381,'Investment Strategies'!$T:$AF,8,FALSE),
IF(Investment_Strategy ="DIY",DIY_RateOfReturn_FuturePremiums,
"Error")))))),Max_InvReturn)</f>
        <v>0</v>
      </c>
      <c r="U381" s="62">
        <f>IF($AV381=0,0,
IF(Investment_Strategy="DIS",VLOOKUP(Investment_Strategy&amp;"_"&amp;Investment_Strategy_Sub1&amp;"_"&amp;$A381,'Investment Strategies'!$AZ:$BP,15,FALSE),
IF(AND(Investment_Strategy="Lifecycle",Investment_Strategy_Sub1="Non-Standard"),VLOOKUP(Investment_Strategy&amp;"_"&amp;Investment_Strategy_Sub2&amp;"_"&amp;$A381,'Investment Strategies'!$C:$P,12,FALSE),
IF(AND(Investment_Strategy="Lifecycle",Investment_Strategy_Sub1="Standard"),VLOOKUP(Investment_Strategy&amp;"_"&amp;Investment_Strategy_Sub2&amp;"_"&amp;$A381,'Investment Strategies'!$AJ:$AV,11,FALSE),
IF(AND(Investment_Strategy="Autopilot",Investment_Strategy_Sub1="Non-Standard"),VLOOKUP(Investment_Strategy&amp;"_"&amp;Investment_Strategy_Sub2&amp;"_"&amp;$A381,'Investment Strategies'!$T:$AF,11,FALSE),
IF(Investment_Strategy="DIY",DIY_GteeChrge_FuturePremiums,
"Error"))))))</f>
        <v>0</v>
      </c>
      <c r="V381" s="33">
        <f>IF(AV381=0,0,
IF(Investment_Strategy="DIS",VLOOKUP(Investment_Strategy&amp;"_"&amp;Investment_Strategy_Sub1&amp;"_"&amp;$A381,'Investment Strategies'!$AZ:$BP,17,FALSE),
IF(AND(Investment_Strategy="Lifecycle",Investment_Strategy_Sub1="Non-Standard"),VLOOKUP(Investment_Strategy&amp;"_"&amp;Investment_Strategy_Sub2&amp;"_"&amp;$A381,'Investment Strategies'!$C:$P,14,FALSE),
IF(AND(Investment_Strategy="Lifecycle",Investment_Strategy_Sub1="Standard"),VLOOKUP(Investment_Strategy&amp;"_"&amp;Investment_Strategy_Sub2&amp;"_"&amp;$A381,'Investment Strategies'!$AJ:$AV,13,FALSE),
IF(AND(Investment_Strategy="Autopilot",Investment_Strategy_Sub1="Non-Standard"),VLOOKUP(Investment_Strategy&amp;"_"&amp;Investment_Strategy_Sub2&amp;"_"&amp;$A381,'Investment Strategies'!$T:$AF,13,FALSE),
IF(Investment_Strategy="DIY",DIY_ExtManChrge_FuturePremiums,
"Error"))))))</f>
        <v>0</v>
      </c>
      <c r="W381" s="16">
        <f t="shared" si="231"/>
        <v>0</v>
      </c>
      <c r="X381" s="16">
        <f t="shared" si="208"/>
        <v>0</v>
      </c>
      <c r="Y381" s="16">
        <f t="shared" si="209"/>
        <v>0</v>
      </c>
      <c r="Z381" s="31">
        <f t="shared" si="210"/>
        <v>0.02</v>
      </c>
      <c r="AA381" s="16">
        <f t="shared" si="211"/>
        <v>0</v>
      </c>
      <c r="AB381" s="28">
        <f t="shared" si="232"/>
        <v>0</v>
      </c>
      <c r="AC381" s="28">
        <f>(SUM($AC$91:AC380)+SUM($X$91:X380)+X381)*T381*IF(D381=$A$91,SRP_finalmonthfactor,1)</f>
        <v>0</v>
      </c>
      <c r="AD381" s="16">
        <f t="shared" si="212"/>
        <v>0</v>
      </c>
      <c r="AE381" s="106"/>
      <c r="AF381" s="16">
        <f t="shared" si="220"/>
        <v>0</v>
      </c>
      <c r="AG381" s="16">
        <f t="shared" si="221"/>
        <v>0</v>
      </c>
      <c r="AH381" s="16">
        <f t="shared" si="222"/>
        <v>0</v>
      </c>
      <c r="AJ381" s="13">
        <f t="shared" ref="AJ381:AU390" si="236">IF($C381&lt;=AJ$90,1,0)</f>
        <v>0</v>
      </c>
      <c r="AK381" s="13">
        <f t="shared" si="236"/>
        <v>0</v>
      </c>
      <c r="AL381" s="13">
        <f t="shared" si="236"/>
        <v>0</v>
      </c>
      <c r="AM381" s="13">
        <f t="shared" si="236"/>
        <v>0</v>
      </c>
      <c r="AN381" s="13">
        <f t="shared" si="236"/>
        <v>0</v>
      </c>
      <c r="AO381" s="13">
        <f t="shared" si="236"/>
        <v>1</v>
      </c>
      <c r="AP381" s="13">
        <f t="shared" si="236"/>
        <v>1</v>
      </c>
      <c r="AQ381" s="13">
        <f t="shared" si="236"/>
        <v>1</v>
      </c>
      <c r="AR381" s="13">
        <f t="shared" si="236"/>
        <v>1</v>
      </c>
      <c r="AS381" s="13">
        <f t="shared" si="236"/>
        <v>1</v>
      </c>
      <c r="AT381" s="13">
        <f t="shared" si="236"/>
        <v>1</v>
      </c>
      <c r="AU381" s="13">
        <f t="shared" si="236"/>
        <v>1</v>
      </c>
      <c r="AV381" s="13">
        <f t="shared" si="213"/>
        <v>0</v>
      </c>
      <c r="AW381" s="13">
        <f t="shared" si="214"/>
        <v>1</v>
      </c>
      <c r="AY381" s="17">
        <f t="shared" si="215"/>
        <v>291</v>
      </c>
      <c r="AZ381" s="28">
        <f t="shared" si="223"/>
        <v>0</v>
      </c>
      <c r="BA381" s="13">
        <f t="shared" si="216"/>
        <v>0</v>
      </c>
      <c r="BB381" s="13">
        <f t="shared" si="217"/>
        <v>0</v>
      </c>
      <c r="BC381" s="28">
        <f t="shared" si="224"/>
        <v>0</v>
      </c>
      <c r="BD381" s="28">
        <f t="shared" si="225"/>
        <v>0</v>
      </c>
      <c r="BF381" s="248">
        <f t="shared" si="226"/>
        <v>993869.29442638322</v>
      </c>
    </row>
    <row r="382" spans="1:58">
      <c r="A382" s="32">
        <f t="shared" si="227"/>
        <v>-207</v>
      </c>
      <c r="B382" s="32">
        <f t="shared" si="218"/>
        <v>77</v>
      </c>
      <c r="C382" s="32">
        <f t="shared" si="228"/>
        <v>25</v>
      </c>
      <c r="D382" s="32">
        <f t="shared" si="229"/>
        <v>292</v>
      </c>
      <c r="E382" s="74">
        <f>MIN(IF(AV382=0,0,
IF(Investment_Strategy="DIS",VLOOKUP(Investment_Strategy&amp;"_"&amp;Investment_Strategy_Sub1&amp;"_"&amp;$A382,'Investment Strategies'!$AZ:$BP,12,FALSE),
IF(AND(Investment_Strategy="Lifecycle",Investment_Strategy_Sub1="Non-Standard"),VLOOKUP(Investment_Strategy&amp;"_"&amp;Investment_Strategy_Sub2&amp;"_"&amp;$A382,'Investment Strategies'!$C:$P,9,FALSE),
IF(AND(Investment_Strategy="Lifecycle",Investment_Strategy_Sub1="Standard"),VLOOKUP(Investment_Strategy&amp;"_"&amp;Investment_Strategy_Sub2&amp;"_"&amp;$A382,'Investment Strategies'!$AJ:$AV,8,FALSE),
IF(AND(Investment_Strategy="Autopilot",Investment_Strategy_Sub1="Non-Standard"),VLOOKUP(Investment_Strategy&amp;"_"&amp;Investment_Strategy_Sub2&amp;"_"&amp;$A382,'Investment Strategies'!$T:$AF,8,FALSE),
IF(Investment_Strategy ="DIY",DIY_RateOfReturn_CurrentFunds,
"Error")))))),Max_InvReturn)</f>
        <v>0</v>
      </c>
      <c r="F382" s="62">
        <f>IF(AV382=0,0,
IF(Investment_Strategy="DIS",VLOOKUP(Investment_Strategy&amp;"_"&amp;Investment_Strategy_Sub1&amp;"_"&amp;$A382,'Investment Strategies'!$AZ:$BP,15,FALSE),
IF(AND(Investment_Strategy="Lifecycle",Investment_Strategy_Sub1="Non-Standard"),VLOOKUP(Investment_Strategy&amp;"_"&amp;Investment_Strategy_Sub2&amp;"_"&amp;$A382,'Investment Strategies'!$C:$P,12,FALSE),
IF(AND(Investment_Strategy="Lifecycle",Investment_Strategy_Sub1="Standard"),VLOOKUP(Investment_Strategy&amp;"_"&amp;Investment_Strategy_Sub2&amp;"_"&amp;$A382,'Investment Strategies'!$AJ:$AV,11,FALSE),
IF(AND(Investment_Strategy="Autopilot",Investment_Strategy_Sub1="Non-Standard"),VLOOKUP(Investment_Strategy&amp;"_"&amp;Investment_Strategy_Sub2&amp;"_"&amp;$A382,'Investment Strategies'!$T:$AF,11,FALSE),
IF(Investment_Strategy="DIY",DIY_GteeChrge_CurrentFunds,
"Error"))))))</f>
        <v>0</v>
      </c>
      <c r="G382" s="33">
        <f>IF(AV382=0,0,
IF(Investment_Strategy="DIS",VLOOKUP(Investment_Strategy&amp;"_"&amp;Investment_Strategy_Sub1&amp;"_"&amp;$A382,'Investment Strategies'!$AZ:$BP,17,FALSE),
IF(AND(Investment_Strategy="Lifecycle",Investment_Strategy_Sub1="Non-Standard"),VLOOKUP(Investment_Strategy&amp;"_"&amp;Investment_Strategy_Sub2&amp;"_"&amp;$A382,'Investment Strategies'!$C:$P,14,FALSE),
IF(AND(Investment_Strategy="Lifecycle",Investment_Strategy_Sub1="Standard"),VLOOKUP(Investment_Strategy&amp;"_"&amp;Investment_Strategy_Sub2&amp;"_"&amp;$A382,'Investment Strategies'!$AJ:$AV,13,FALSE),
IF(AND(Investment_Strategy="Autopilot",Investment_Strategy_Sub1="Non-Standard"),VLOOKUP(Investment_Strategy&amp;"_"&amp;Investment_Strategy_Sub2&amp;"_"&amp;$A382,'Investment Strategies'!$T:$AF,13,FALSE),
IF(Investment_Strategy="DIY",DIY_ExtManChrge_CurrentFunds,
"Error"))))))</f>
        <v>0</v>
      </c>
      <c r="H382" s="16">
        <f t="shared" si="219"/>
        <v>0</v>
      </c>
      <c r="I382" s="16">
        <f t="shared" si="205"/>
        <v>0</v>
      </c>
      <c r="J382" s="16">
        <f t="shared" si="206"/>
        <v>0</v>
      </c>
      <c r="K382" s="16">
        <f>(Opening_Fund_Value+SUM(K$91:K381))*E382*IF(D382=$A$91,SRP_finalmonthfactor,1)</f>
        <v>0</v>
      </c>
      <c r="L382" s="74">
        <f>MIN(IF($AV382=0,0,
IF(Investment_Strategy="DIS",VLOOKUP(Investment_Strategy&amp;"_"&amp;Investment_Strategy_Sub1&amp;"_"&amp;$A382,'Investment Strategies'!$AZ:$BP,12,FALSE),
IF(AND(Investment_Strategy="Lifecycle",Investment_Strategy_Sub1="Non-Standard"),VLOOKUP(Investment_Strategy&amp;"_"&amp;Investment_Strategy_Sub2&amp;"_"&amp;$A382,'Investment Strategies'!$C:$P,9,FALSE),
IF(AND(Investment_Strategy="Lifecycle",Investment_Strategy_Sub1="Standard"),VLOOKUP(Investment_Strategy&amp;"_"&amp;Investment_Strategy_Sub2&amp;"_"&amp;$A382,'Investment Strategies'!$AJ:$AV,8,FALSE),
IF(AND(Investment_Strategy="Autopilot",Investment_Strategy_Sub1="Non-Standard"),VLOOKUP(Investment_Strategy&amp;"_"&amp;Investment_Strategy_Sub2&amp;"_"&amp;$A382,'Investment Strategies'!$T:$AF,8,FALSE),
IF(Investment_Strategy ="DIY",DIY_RateofReturn_SP,
"Error")))))),Max_InvReturn)</f>
        <v>0</v>
      </c>
      <c r="M382" s="62">
        <f>IF($AV382=0,0,
IF(Investment_Strategy="DIS",VLOOKUP(Investment_Strategy&amp;"_"&amp;Investment_Strategy_Sub1&amp;"_"&amp;$A382,'Investment Strategies'!$AZ:$BP,15,FALSE),
IF(AND(Investment_Strategy="Lifecycle",Investment_Strategy_Sub1="Non-Standard"),VLOOKUP(Investment_Strategy&amp;"_"&amp;Investment_Strategy_Sub2&amp;"_"&amp;$A382,'Investment Strategies'!$C:$P,12,FALSE),
IF(AND(Investment_Strategy="Lifecycle",Investment_Strategy_Sub1="Standard"),VLOOKUP(Investment_Strategy&amp;"_"&amp;Investment_Strategy_Sub2&amp;"_"&amp;$A382,'Investment Strategies'!$AJ:$AV,11,FALSE),
IF(AND(Investment_Strategy="Autopilot",Investment_Strategy_Sub1="Non-Standard"),VLOOKUP(Investment_Strategy&amp;"_"&amp;Investment_Strategy_Sub2&amp;"_"&amp;$A382,'Investment Strategies'!$T:$AF,11,FALSE),
IF(Investment_Strategy="DIY",DIY_GteeChrge_SP,
"Error"))))))</f>
        <v>0</v>
      </c>
      <c r="N382" s="33">
        <f>IF($AV382=0,0,
IF(Investment_Strategy="DIS",VLOOKUP(Investment_Strategy&amp;"_"&amp;Investment_Strategy_Sub1&amp;"_"&amp;$A382,'Investment Strategies'!$AZ:$BP,17,FALSE),
IF(AND(Investment_Strategy="Lifecycle",Investment_Strategy_Sub1="Non-Standard"),VLOOKUP(Investment_Strategy&amp;"_"&amp;Investment_Strategy_Sub2&amp;"_"&amp;$A382,'Investment Strategies'!$C:$P,14,FALSE),
IF(AND(Investment_Strategy="Lifecycle",Investment_Strategy_Sub1="Standard"),VLOOKUP(Investment_Strategy&amp;"_"&amp;Investment_Strategy_Sub2&amp;"_"&amp;$A382,'Investment Strategies'!$AJ:$AV,13,FALSE),
IF(AND(Investment_Strategy="Autopilot",Investment_Strategy_Sub1="Non-Standard"),VLOOKUP(Investment_Strategy&amp;"_"&amp;Investment_Strategy_Sub2&amp;"_"&amp;$A382,'Investment Strategies'!$T:$AF,13,FALSE),
IF(Investment_Strategy="DIY",DIY_ExtManChrge_SP,
"Error"))))))</f>
        <v>0</v>
      </c>
      <c r="O382" s="16">
        <f t="shared" si="230"/>
        <v>0</v>
      </c>
      <c r="Q382" s="16">
        <f t="shared" si="207"/>
        <v>0</v>
      </c>
      <c r="R382" s="16">
        <f t="shared" si="203"/>
        <v>0</v>
      </c>
      <c r="S382" s="16">
        <f>(SRP_SP+SUM(S$91:S381))*L382*IF(D382=$A$91,SRP_finalmonthfactor,1)</f>
        <v>0</v>
      </c>
      <c r="T382" s="74">
        <f>MIN(IF($AV382=0,0,
IF(Investment_Strategy="DIS",VLOOKUP(Investment_Strategy&amp;"_"&amp;Investment_Strategy_Sub1&amp;"_"&amp;$A382,'Investment Strategies'!$AZ:$BP,12,FALSE),
IF(AND(Investment_Strategy="Lifecycle",Investment_Strategy_Sub1="Non-Standard"),VLOOKUP(Investment_Strategy&amp;"_"&amp;Investment_Strategy_Sub2&amp;"_"&amp;$A382,'Investment Strategies'!$C:$P,9,FALSE),
IF(AND(Investment_Strategy="Lifecycle",Investment_Strategy_Sub1="Standard"),VLOOKUP(Investment_Strategy&amp;"_"&amp;Investment_Strategy_Sub2&amp;"_"&amp;$A382,'Investment Strategies'!$AJ:$AV,8,FALSE),
IF(AND(Investment_Strategy="Autopilot",Investment_Strategy_Sub1="Non-Standard"),VLOOKUP(Investment_Strategy&amp;"_"&amp;Investment_Strategy_Sub2&amp;"_"&amp;$A382,'Investment Strategies'!$T:$AF,8,FALSE),
IF(Investment_Strategy ="DIY",DIY_RateOfReturn_FuturePremiums,
"Error")))))),Max_InvReturn)</f>
        <v>0</v>
      </c>
      <c r="U382" s="62">
        <f>IF($AV382=0,0,
IF(Investment_Strategy="DIS",VLOOKUP(Investment_Strategy&amp;"_"&amp;Investment_Strategy_Sub1&amp;"_"&amp;$A382,'Investment Strategies'!$AZ:$BP,15,FALSE),
IF(AND(Investment_Strategy="Lifecycle",Investment_Strategy_Sub1="Non-Standard"),VLOOKUP(Investment_Strategy&amp;"_"&amp;Investment_Strategy_Sub2&amp;"_"&amp;$A382,'Investment Strategies'!$C:$P,12,FALSE),
IF(AND(Investment_Strategy="Lifecycle",Investment_Strategy_Sub1="Standard"),VLOOKUP(Investment_Strategy&amp;"_"&amp;Investment_Strategy_Sub2&amp;"_"&amp;$A382,'Investment Strategies'!$AJ:$AV,11,FALSE),
IF(AND(Investment_Strategy="Autopilot",Investment_Strategy_Sub1="Non-Standard"),VLOOKUP(Investment_Strategy&amp;"_"&amp;Investment_Strategy_Sub2&amp;"_"&amp;$A382,'Investment Strategies'!$T:$AF,11,FALSE),
IF(Investment_Strategy="DIY",DIY_GteeChrge_FuturePremiums,
"Error"))))))</f>
        <v>0</v>
      </c>
      <c r="V382" s="33">
        <f>IF(AV382=0,0,
IF(Investment_Strategy="DIS",VLOOKUP(Investment_Strategy&amp;"_"&amp;Investment_Strategy_Sub1&amp;"_"&amp;$A382,'Investment Strategies'!$AZ:$BP,17,FALSE),
IF(AND(Investment_Strategy="Lifecycle",Investment_Strategy_Sub1="Non-Standard"),VLOOKUP(Investment_Strategy&amp;"_"&amp;Investment_Strategy_Sub2&amp;"_"&amp;$A382,'Investment Strategies'!$C:$P,14,FALSE),
IF(AND(Investment_Strategy="Lifecycle",Investment_Strategy_Sub1="Standard"),VLOOKUP(Investment_Strategy&amp;"_"&amp;Investment_Strategy_Sub2&amp;"_"&amp;$A382,'Investment Strategies'!$AJ:$AV,13,FALSE),
IF(AND(Investment_Strategy="Autopilot",Investment_Strategy_Sub1="Non-Standard"),VLOOKUP(Investment_Strategy&amp;"_"&amp;Investment_Strategy_Sub2&amp;"_"&amp;$A382,'Investment Strategies'!$T:$AF,13,FALSE),
IF(Investment_Strategy="DIY",DIY_ExtManChrge_FuturePremiums,
"Error"))))))</f>
        <v>0</v>
      </c>
      <c r="W382" s="16">
        <f t="shared" si="231"/>
        <v>0</v>
      </c>
      <c r="X382" s="16">
        <f t="shared" si="208"/>
        <v>0</v>
      </c>
      <c r="Y382" s="16">
        <f t="shared" si="209"/>
        <v>0</v>
      </c>
      <c r="Z382" s="31">
        <f t="shared" si="210"/>
        <v>0.02</v>
      </c>
      <c r="AA382" s="16">
        <f t="shared" si="211"/>
        <v>0</v>
      </c>
      <c r="AB382" s="28">
        <f t="shared" si="232"/>
        <v>0</v>
      </c>
      <c r="AC382" s="28">
        <f>(SUM($AC$91:AC381)+SUM($X$91:X381)+X382)*T382*IF(D382=$A$91,SRP_finalmonthfactor,1)</f>
        <v>0</v>
      </c>
      <c r="AD382" s="16">
        <f t="shared" si="212"/>
        <v>0</v>
      </c>
      <c r="AE382" s="106"/>
      <c r="AF382" s="16">
        <f t="shared" si="220"/>
        <v>0</v>
      </c>
      <c r="AG382" s="16">
        <f t="shared" si="221"/>
        <v>0</v>
      </c>
      <c r="AH382" s="16">
        <f t="shared" si="222"/>
        <v>0</v>
      </c>
      <c r="AJ382" s="13">
        <f t="shared" si="236"/>
        <v>0</v>
      </c>
      <c r="AK382" s="13">
        <f t="shared" si="236"/>
        <v>0</v>
      </c>
      <c r="AL382" s="13">
        <f t="shared" si="236"/>
        <v>0</v>
      </c>
      <c r="AM382" s="13">
        <f t="shared" si="236"/>
        <v>0</v>
      </c>
      <c r="AN382" s="13">
        <f t="shared" si="236"/>
        <v>0</v>
      </c>
      <c r="AO382" s="13">
        <f t="shared" si="236"/>
        <v>1</v>
      </c>
      <c r="AP382" s="13">
        <f t="shared" si="236"/>
        <v>1</v>
      </c>
      <c r="AQ382" s="13">
        <f t="shared" si="236"/>
        <v>1</v>
      </c>
      <c r="AR382" s="13">
        <f t="shared" si="236"/>
        <v>1</v>
      </c>
      <c r="AS382" s="13">
        <f t="shared" si="236"/>
        <v>1</v>
      </c>
      <c r="AT382" s="13">
        <f t="shared" si="236"/>
        <v>1</v>
      </c>
      <c r="AU382" s="13">
        <f t="shared" si="236"/>
        <v>1</v>
      </c>
      <c r="AV382" s="13">
        <f t="shared" si="213"/>
        <v>0</v>
      </c>
      <c r="AW382" s="13">
        <f t="shared" si="214"/>
        <v>1</v>
      </c>
      <c r="AY382" s="17">
        <f t="shared" si="215"/>
        <v>292</v>
      </c>
      <c r="AZ382" s="28">
        <f t="shared" si="223"/>
        <v>0</v>
      </c>
      <c r="BA382" s="13">
        <f t="shared" si="216"/>
        <v>0</v>
      </c>
      <c r="BB382" s="13">
        <f t="shared" si="217"/>
        <v>0</v>
      </c>
      <c r="BC382" s="28">
        <f t="shared" si="224"/>
        <v>0</v>
      </c>
      <c r="BD382" s="28">
        <f t="shared" si="225"/>
        <v>0</v>
      </c>
      <c r="BF382" s="248">
        <f t="shared" si="226"/>
        <v>993869.29442638322</v>
      </c>
    </row>
    <row r="383" spans="1:58">
      <c r="A383" s="32">
        <f t="shared" si="227"/>
        <v>-208</v>
      </c>
      <c r="B383" s="32">
        <f t="shared" si="218"/>
        <v>77</v>
      </c>
      <c r="C383" s="32">
        <f t="shared" si="228"/>
        <v>25</v>
      </c>
      <c r="D383" s="32">
        <f t="shared" si="229"/>
        <v>293</v>
      </c>
      <c r="E383" s="74">
        <f>MIN(IF(AV383=0,0,
IF(Investment_Strategy="DIS",VLOOKUP(Investment_Strategy&amp;"_"&amp;Investment_Strategy_Sub1&amp;"_"&amp;$A383,'Investment Strategies'!$AZ:$BP,12,FALSE),
IF(AND(Investment_Strategy="Lifecycle",Investment_Strategy_Sub1="Non-Standard"),VLOOKUP(Investment_Strategy&amp;"_"&amp;Investment_Strategy_Sub2&amp;"_"&amp;$A383,'Investment Strategies'!$C:$P,9,FALSE),
IF(AND(Investment_Strategy="Lifecycle",Investment_Strategy_Sub1="Standard"),VLOOKUP(Investment_Strategy&amp;"_"&amp;Investment_Strategy_Sub2&amp;"_"&amp;$A383,'Investment Strategies'!$AJ:$AV,8,FALSE),
IF(AND(Investment_Strategy="Autopilot",Investment_Strategy_Sub1="Non-Standard"),VLOOKUP(Investment_Strategy&amp;"_"&amp;Investment_Strategy_Sub2&amp;"_"&amp;$A383,'Investment Strategies'!$T:$AF,8,FALSE),
IF(Investment_Strategy ="DIY",DIY_RateOfReturn_CurrentFunds,
"Error")))))),Max_InvReturn)</f>
        <v>0</v>
      </c>
      <c r="F383" s="62">
        <f>IF(AV383=0,0,
IF(Investment_Strategy="DIS",VLOOKUP(Investment_Strategy&amp;"_"&amp;Investment_Strategy_Sub1&amp;"_"&amp;$A383,'Investment Strategies'!$AZ:$BP,15,FALSE),
IF(AND(Investment_Strategy="Lifecycle",Investment_Strategy_Sub1="Non-Standard"),VLOOKUP(Investment_Strategy&amp;"_"&amp;Investment_Strategy_Sub2&amp;"_"&amp;$A383,'Investment Strategies'!$C:$P,12,FALSE),
IF(AND(Investment_Strategy="Lifecycle",Investment_Strategy_Sub1="Standard"),VLOOKUP(Investment_Strategy&amp;"_"&amp;Investment_Strategy_Sub2&amp;"_"&amp;$A383,'Investment Strategies'!$AJ:$AV,11,FALSE),
IF(AND(Investment_Strategy="Autopilot",Investment_Strategy_Sub1="Non-Standard"),VLOOKUP(Investment_Strategy&amp;"_"&amp;Investment_Strategy_Sub2&amp;"_"&amp;$A383,'Investment Strategies'!$T:$AF,11,FALSE),
IF(Investment_Strategy="DIY",DIY_GteeChrge_CurrentFunds,
"Error"))))))</f>
        <v>0</v>
      </c>
      <c r="G383" s="33">
        <f>IF(AV383=0,0,
IF(Investment_Strategy="DIS",VLOOKUP(Investment_Strategy&amp;"_"&amp;Investment_Strategy_Sub1&amp;"_"&amp;$A383,'Investment Strategies'!$AZ:$BP,17,FALSE),
IF(AND(Investment_Strategy="Lifecycle",Investment_Strategy_Sub1="Non-Standard"),VLOOKUP(Investment_Strategy&amp;"_"&amp;Investment_Strategy_Sub2&amp;"_"&amp;$A383,'Investment Strategies'!$C:$P,14,FALSE),
IF(AND(Investment_Strategy="Lifecycle",Investment_Strategy_Sub1="Standard"),VLOOKUP(Investment_Strategy&amp;"_"&amp;Investment_Strategy_Sub2&amp;"_"&amp;$A383,'Investment Strategies'!$AJ:$AV,13,FALSE),
IF(AND(Investment_Strategy="Autopilot",Investment_Strategy_Sub1="Non-Standard"),VLOOKUP(Investment_Strategy&amp;"_"&amp;Investment_Strategy_Sub2&amp;"_"&amp;$A383,'Investment Strategies'!$T:$AF,13,FALSE),
IF(Investment_Strategy="DIY",DIY_ExtManChrge_CurrentFunds,
"Error"))))))</f>
        <v>0</v>
      </c>
      <c r="H383" s="16">
        <f t="shared" si="219"/>
        <v>0</v>
      </c>
      <c r="I383" s="16">
        <f t="shared" si="205"/>
        <v>0</v>
      </c>
      <c r="J383" s="16">
        <f t="shared" si="206"/>
        <v>0</v>
      </c>
      <c r="K383" s="16">
        <f>(Opening_Fund_Value+SUM(K$91:K382))*E383*IF(D383=$A$91,SRP_finalmonthfactor,1)</f>
        <v>0</v>
      </c>
      <c r="L383" s="74">
        <f>MIN(IF($AV383=0,0,
IF(Investment_Strategy="DIS",VLOOKUP(Investment_Strategy&amp;"_"&amp;Investment_Strategy_Sub1&amp;"_"&amp;$A383,'Investment Strategies'!$AZ:$BP,12,FALSE),
IF(AND(Investment_Strategy="Lifecycle",Investment_Strategy_Sub1="Non-Standard"),VLOOKUP(Investment_Strategy&amp;"_"&amp;Investment_Strategy_Sub2&amp;"_"&amp;$A383,'Investment Strategies'!$C:$P,9,FALSE),
IF(AND(Investment_Strategy="Lifecycle",Investment_Strategy_Sub1="Standard"),VLOOKUP(Investment_Strategy&amp;"_"&amp;Investment_Strategy_Sub2&amp;"_"&amp;$A383,'Investment Strategies'!$AJ:$AV,8,FALSE),
IF(AND(Investment_Strategy="Autopilot",Investment_Strategy_Sub1="Non-Standard"),VLOOKUP(Investment_Strategy&amp;"_"&amp;Investment_Strategy_Sub2&amp;"_"&amp;$A383,'Investment Strategies'!$T:$AF,8,FALSE),
IF(Investment_Strategy ="DIY",DIY_RateofReturn_SP,
"Error")))))),Max_InvReturn)</f>
        <v>0</v>
      </c>
      <c r="M383" s="62">
        <f>IF($AV383=0,0,
IF(Investment_Strategy="DIS",VLOOKUP(Investment_Strategy&amp;"_"&amp;Investment_Strategy_Sub1&amp;"_"&amp;$A383,'Investment Strategies'!$AZ:$BP,15,FALSE),
IF(AND(Investment_Strategy="Lifecycle",Investment_Strategy_Sub1="Non-Standard"),VLOOKUP(Investment_Strategy&amp;"_"&amp;Investment_Strategy_Sub2&amp;"_"&amp;$A383,'Investment Strategies'!$C:$P,12,FALSE),
IF(AND(Investment_Strategy="Lifecycle",Investment_Strategy_Sub1="Standard"),VLOOKUP(Investment_Strategy&amp;"_"&amp;Investment_Strategy_Sub2&amp;"_"&amp;$A383,'Investment Strategies'!$AJ:$AV,11,FALSE),
IF(AND(Investment_Strategy="Autopilot",Investment_Strategy_Sub1="Non-Standard"),VLOOKUP(Investment_Strategy&amp;"_"&amp;Investment_Strategy_Sub2&amp;"_"&amp;$A383,'Investment Strategies'!$T:$AF,11,FALSE),
IF(Investment_Strategy="DIY",DIY_GteeChrge_SP,
"Error"))))))</f>
        <v>0</v>
      </c>
      <c r="N383" s="33">
        <f>IF($AV383=0,0,
IF(Investment_Strategy="DIS",VLOOKUP(Investment_Strategy&amp;"_"&amp;Investment_Strategy_Sub1&amp;"_"&amp;$A383,'Investment Strategies'!$AZ:$BP,17,FALSE),
IF(AND(Investment_Strategy="Lifecycle",Investment_Strategy_Sub1="Non-Standard"),VLOOKUP(Investment_Strategy&amp;"_"&amp;Investment_Strategy_Sub2&amp;"_"&amp;$A383,'Investment Strategies'!$C:$P,14,FALSE),
IF(AND(Investment_Strategy="Lifecycle",Investment_Strategy_Sub1="Standard"),VLOOKUP(Investment_Strategy&amp;"_"&amp;Investment_Strategy_Sub2&amp;"_"&amp;$A383,'Investment Strategies'!$AJ:$AV,13,FALSE),
IF(AND(Investment_Strategy="Autopilot",Investment_Strategy_Sub1="Non-Standard"),VLOOKUP(Investment_Strategy&amp;"_"&amp;Investment_Strategy_Sub2&amp;"_"&amp;$A383,'Investment Strategies'!$T:$AF,13,FALSE),
IF(Investment_Strategy="DIY",DIY_ExtManChrge_SP,
"Error"))))))</f>
        <v>0</v>
      </c>
      <c r="O383" s="16">
        <f t="shared" si="230"/>
        <v>0</v>
      </c>
      <c r="Q383" s="16">
        <f t="shared" si="207"/>
        <v>0</v>
      </c>
      <c r="R383" s="16">
        <f t="shared" si="203"/>
        <v>0</v>
      </c>
      <c r="S383" s="16">
        <f>(SRP_SP+SUM(S$91:S382))*L383*IF(D383=$A$91,SRP_finalmonthfactor,1)</f>
        <v>0</v>
      </c>
      <c r="T383" s="74">
        <f>MIN(IF($AV383=0,0,
IF(Investment_Strategy="DIS",VLOOKUP(Investment_Strategy&amp;"_"&amp;Investment_Strategy_Sub1&amp;"_"&amp;$A383,'Investment Strategies'!$AZ:$BP,12,FALSE),
IF(AND(Investment_Strategy="Lifecycle",Investment_Strategy_Sub1="Non-Standard"),VLOOKUP(Investment_Strategy&amp;"_"&amp;Investment_Strategy_Sub2&amp;"_"&amp;$A383,'Investment Strategies'!$C:$P,9,FALSE),
IF(AND(Investment_Strategy="Lifecycle",Investment_Strategy_Sub1="Standard"),VLOOKUP(Investment_Strategy&amp;"_"&amp;Investment_Strategy_Sub2&amp;"_"&amp;$A383,'Investment Strategies'!$AJ:$AV,8,FALSE),
IF(AND(Investment_Strategy="Autopilot",Investment_Strategy_Sub1="Non-Standard"),VLOOKUP(Investment_Strategy&amp;"_"&amp;Investment_Strategy_Sub2&amp;"_"&amp;$A383,'Investment Strategies'!$T:$AF,8,FALSE),
IF(Investment_Strategy ="DIY",DIY_RateOfReturn_FuturePremiums,
"Error")))))),Max_InvReturn)</f>
        <v>0</v>
      </c>
      <c r="U383" s="62">
        <f>IF($AV383=0,0,
IF(Investment_Strategy="DIS",VLOOKUP(Investment_Strategy&amp;"_"&amp;Investment_Strategy_Sub1&amp;"_"&amp;$A383,'Investment Strategies'!$AZ:$BP,15,FALSE),
IF(AND(Investment_Strategy="Lifecycle",Investment_Strategy_Sub1="Non-Standard"),VLOOKUP(Investment_Strategy&amp;"_"&amp;Investment_Strategy_Sub2&amp;"_"&amp;$A383,'Investment Strategies'!$C:$P,12,FALSE),
IF(AND(Investment_Strategy="Lifecycle",Investment_Strategy_Sub1="Standard"),VLOOKUP(Investment_Strategy&amp;"_"&amp;Investment_Strategy_Sub2&amp;"_"&amp;$A383,'Investment Strategies'!$AJ:$AV,11,FALSE),
IF(AND(Investment_Strategy="Autopilot",Investment_Strategy_Sub1="Non-Standard"),VLOOKUP(Investment_Strategy&amp;"_"&amp;Investment_Strategy_Sub2&amp;"_"&amp;$A383,'Investment Strategies'!$T:$AF,11,FALSE),
IF(Investment_Strategy="DIY",DIY_GteeChrge_FuturePremiums,
"Error"))))))</f>
        <v>0</v>
      </c>
      <c r="V383" s="33">
        <f>IF(AV383=0,0,
IF(Investment_Strategy="DIS",VLOOKUP(Investment_Strategy&amp;"_"&amp;Investment_Strategy_Sub1&amp;"_"&amp;$A383,'Investment Strategies'!$AZ:$BP,17,FALSE),
IF(AND(Investment_Strategy="Lifecycle",Investment_Strategy_Sub1="Non-Standard"),VLOOKUP(Investment_Strategy&amp;"_"&amp;Investment_Strategy_Sub2&amp;"_"&amp;$A383,'Investment Strategies'!$C:$P,14,FALSE),
IF(AND(Investment_Strategy="Lifecycle",Investment_Strategy_Sub1="Standard"),VLOOKUP(Investment_Strategy&amp;"_"&amp;Investment_Strategy_Sub2&amp;"_"&amp;$A383,'Investment Strategies'!$AJ:$AV,13,FALSE),
IF(AND(Investment_Strategy="Autopilot",Investment_Strategy_Sub1="Non-Standard"),VLOOKUP(Investment_Strategy&amp;"_"&amp;Investment_Strategy_Sub2&amp;"_"&amp;$A383,'Investment Strategies'!$T:$AF,13,FALSE),
IF(Investment_Strategy="DIY",DIY_ExtManChrge_FuturePremiums,
"Error"))))))</f>
        <v>0</v>
      </c>
      <c r="W383" s="16">
        <f t="shared" si="231"/>
        <v>0</v>
      </c>
      <c r="X383" s="16">
        <f t="shared" si="208"/>
        <v>0</v>
      </c>
      <c r="Y383" s="16">
        <f t="shared" si="209"/>
        <v>0</v>
      </c>
      <c r="Z383" s="31">
        <f t="shared" si="210"/>
        <v>0.02</v>
      </c>
      <c r="AA383" s="16">
        <f t="shared" si="211"/>
        <v>0</v>
      </c>
      <c r="AB383" s="28">
        <f t="shared" si="232"/>
        <v>0</v>
      </c>
      <c r="AC383" s="28">
        <f>(SUM($AC$91:AC382)+SUM($X$91:X382)+X383)*T383*IF(D383=$A$91,SRP_finalmonthfactor,1)</f>
        <v>0</v>
      </c>
      <c r="AD383" s="16">
        <f t="shared" si="212"/>
        <v>0</v>
      </c>
      <c r="AE383" s="106"/>
      <c r="AF383" s="16">
        <f t="shared" si="220"/>
        <v>0</v>
      </c>
      <c r="AG383" s="16">
        <f t="shared" si="221"/>
        <v>0</v>
      </c>
      <c r="AH383" s="16">
        <f t="shared" si="222"/>
        <v>0</v>
      </c>
      <c r="AJ383" s="13">
        <f t="shared" si="236"/>
        <v>0</v>
      </c>
      <c r="AK383" s="13">
        <f t="shared" si="236"/>
        <v>0</v>
      </c>
      <c r="AL383" s="13">
        <f t="shared" si="236"/>
        <v>0</v>
      </c>
      <c r="AM383" s="13">
        <f t="shared" si="236"/>
        <v>0</v>
      </c>
      <c r="AN383" s="13">
        <f t="shared" si="236"/>
        <v>0</v>
      </c>
      <c r="AO383" s="13">
        <f t="shared" si="236"/>
        <v>1</v>
      </c>
      <c r="AP383" s="13">
        <f t="shared" si="236"/>
        <v>1</v>
      </c>
      <c r="AQ383" s="13">
        <f t="shared" si="236"/>
        <v>1</v>
      </c>
      <c r="AR383" s="13">
        <f t="shared" si="236"/>
        <v>1</v>
      </c>
      <c r="AS383" s="13">
        <f t="shared" si="236"/>
        <v>1</v>
      </c>
      <c r="AT383" s="13">
        <f t="shared" si="236"/>
        <v>1</v>
      </c>
      <c r="AU383" s="13">
        <f t="shared" si="236"/>
        <v>1</v>
      </c>
      <c r="AV383" s="13">
        <f t="shared" si="213"/>
        <v>0</v>
      </c>
      <c r="AW383" s="13">
        <f t="shared" si="214"/>
        <v>1</v>
      </c>
      <c r="AY383" s="17">
        <f t="shared" si="215"/>
        <v>293</v>
      </c>
      <c r="AZ383" s="28">
        <f t="shared" si="223"/>
        <v>0</v>
      </c>
      <c r="BA383" s="13">
        <f t="shared" si="216"/>
        <v>0</v>
      </c>
      <c r="BB383" s="13">
        <f t="shared" si="217"/>
        <v>0</v>
      </c>
      <c r="BC383" s="28">
        <f t="shared" si="224"/>
        <v>0</v>
      </c>
      <c r="BD383" s="28">
        <f t="shared" si="225"/>
        <v>0</v>
      </c>
      <c r="BF383" s="248">
        <f t="shared" si="226"/>
        <v>993869.29442638322</v>
      </c>
    </row>
    <row r="384" spans="1:58">
      <c r="A384" s="32">
        <f t="shared" si="227"/>
        <v>-209</v>
      </c>
      <c r="B384" s="32">
        <f t="shared" si="218"/>
        <v>77</v>
      </c>
      <c r="C384" s="32">
        <f t="shared" si="228"/>
        <v>25</v>
      </c>
      <c r="D384" s="32">
        <f t="shared" si="229"/>
        <v>294</v>
      </c>
      <c r="E384" s="74">
        <f>MIN(IF(AV384=0,0,
IF(Investment_Strategy="DIS",VLOOKUP(Investment_Strategy&amp;"_"&amp;Investment_Strategy_Sub1&amp;"_"&amp;$A384,'Investment Strategies'!$AZ:$BP,12,FALSE),
IF(AND(Investment_Strategy="Lifecycle",Investment_Strategy_Sub1="Non-Standard"),VLOOKUP(Investment_Strategy&amp;"_"&amp;Investment_Strategy_Sub2&amp;"_"&amp;$A384,'Investment Strategies'!$C:$P,9,FALSE),
IF(AND(Investment_Strategy="Lifecycle",Investment_Strategy_Sub1="Standard"),VLOOKUP(Investment_Strategy&amp;"_"&amp;Investment_Strategy_Sub2&amp;"_"&amp;$A384,'Investment Strategies'!$AJ:$AV,8,FALSE),
IF(AND(Investment_Strategy="Autopilot",Investment_Strategy_Sub1="Non-Standard"),VLOOKUP(Investment_Strategy&amp;"_"&amp;Investment_Strategy_Sub2&amp;"_"&amp;$A384,'Investment Strategies'!$T:$AF,8,FALSE),
IF(Investment_Strategy ="DIY",DIY_RateOfReturn_CurrentFunds,
"Error")))))),Max_InvReturn)</f>
        <v>0</v>
      </c>
      <c r="F384" s="62">
        <f>IF(AV384=0,0,
IF(Investment_Strategy="DIS",VLOOKUP(Investment_Strategy&amp;"_"&amp;Investment_Strategy_Sub1&amp;"_"&amp;$A384,'Investment Strategies'!$AZ:$BP,15,FALSE),
IF(AND(Investment_Strategy="Lifecycle",Investment_Strategy_Sub1="Non-Standard"),VLOOKUP(Investment_Strategy&amp;"_"&amp;Investment_Strategy_Sub2&amp;"_"&amp;$A384,'Investment Strategies'!$C:$P,12,FALSE),
IF(AND(Investment_Strategy="Lifecycle",Investment_Strategy_Sub1="Standard"),VLOOKUP(Investment_Strategy&amp;"_"&amp;Investment_Strategy_Sub2&amp;"_"&amp;$A384,'Investment Strategies'!$AJ:$AV,11,FALSE),
IF(AND(Investment_Strategy="Autopilot",Investment_Strategy_Sub1="Non-Standard"),VLOOKUP(Investment_Strategy&amp;"_"&amp;Investment_Strategy_Sub2&amp;"_"&amp;$A384,'Investment Strategies'!$T:$AF,11,FALSE),
IF(Investment_Strategy="DIY",DIY_GteeChrge_CurrentFunds,
"Error"))))))</f>
        <v>0</v>
      </c>
      <c r="G384" s="33">
        <f>IF(AV384=0,0,
IF(Investment_Strategy="DIS",VLOOKUP(Investment_Strategy&amp;"_"&amp;Investment_Strategy_Sub1&amp;"_"&amp;$A384,'Investment Strategies'!$AZ:$BP,17,FALSE),
IF(AND(Investment_Strategy="Lifecycle",Investment_Strategy_Sub1="Non-Standard"),VLOOKUP(Investment_Strategy&amp;"_"&amp;Investment_Strategy_Sub2&amp;"_"&amp;$A384,'Investment Strategies'!$C:$P,14,FALSE),
IF(AND(Investment_Strategy="Lifecycle",Investment_Strategy_Sub1="Standard"),VLOOKUP(Investment_Strategy&amp;"_"&amp;Investment_Strategy_Sub2&amp;"_"&amp;$A384,'Investment Strategies'!$AJ:$AV,13,FALSE),
IF(AND(Investment_Strategy="Autopilot",Investment_Strategy_Sub1="Non-Standard"),VLOOKUP(Investment_Strategy&amp;"_"&amp;Investment_Strategy_Sub2&amp;"_"&amp;$A384,'Investment Strategies'!$T:$AF,13,FALSE),
IF(Investment_Strategy="DIY",DIY_ExtManChrge_CurrentFunds,
"Error"))))))</f>
        <v>0</v>
      </c>
      <c r="H384" s="16">
        <f t="shared" si="219"/>
        <v>0</v>
      </c>
      <c r="I384" s="16">
        <f t="shared" si="205"/>
        <v>0</v>
      </c>
      <c r="J384" s="16">
        <f t="shared" si="206"/>
        <v>0</v>
      </c>
      <c r="K384" s="16">
        <f>(Opening_Fund_Value+SUM(K$91:K383))*E384*IF(D384=$A$91,SRP_finalmonthfactor,1)</f>
        <v>0</v>
      </c>
      <c r="L384" s="74">
        <f>MIN(IF($AV384=0,0,
IF(Investment_Strategy="DIS",VLOOKUP(Investment_Strategy&amp;"_"&amp;Investment_Strategy_Sub1&amp;"_"&amp;$A384,'Investment Strategies'!$AZ:$BP,12,FALSE),
IF(AND(Investment_Strategy="Lifecycle",Investment_Strategy_Sub1="Non-Standard"),VLOOKUP(Investment_Strategy&amp;"_"&amp;Investment_Strategy_Sub2&amp;"_"&amp;$A384,'Investment Strategies'!$C:$P,9,FALSE),
IF(AND(Investment_Strategy="Lifecycle",Investment_Strategy_Sub1="Standard"),VLOOKUP(Investment_Strategy&amp;"_"&amp;Investment_Strategy_Sub2&amp;"_"&amp;$A384,'Investment Strategies'!$AJ:$AV,8,FALSE),
IF(AND(Investment_Strategy="Autopilot",Investment_Strategy_Sub1="Non-Standard"),VLOOKUP(Investment_Strategy&amp;"_"&amp;Investment_Strategy_Sub2&amp;"_"&amp;$A384,'Investment Strategies'!$T:$AF,8,FALSE),
IF(Investment_Strategy ="DIY",DIY_RateofReturn_SP,
"Error")))))),Max_InvReturn)</f>
        <v>0</v>
      </c>
      <c r="M384" s="62">
        <f>IF($AV384=0,0,
IF(Investment_Strategy="DIS",VLOOKUP(Investment_Strategy&amp;"_"&amp;Investment_Strategy_Sub1&amp;"_"&amp;$A384,'Investment Strategies'!$AZ:$BP,15,FALSE),
IF(AND(Investment_Strategy="Lifecycle",Investment_Strategy_Sub1="Non-Standard"),VLOOKUP(Investment_Strategy&amp;"_"&amp;Investment_Strategy_Sub2&amp;"_"&amp;$A384,'Investment Strategies'!$C:$P,12,FALSE),
IF(AND(Investment_Strategy="Lifecycle",Investment_Strategy_Sub1="Standard"),VLOOKUP(Investment_Strategy&amp;"_"&amp;Investment_Strategy_Sub2&amp;"_"&amp;$A384,'Investment Strategies'!$AJ:$AV,11,FALSE),
IF(AND(Investment_Strategy="Autopilot",Investment_Strategy_Sub1="Non-Standard"),VLOOKUP(Investment_Strategy&amp;"_"&amp;Investment_Strategy_Sub2&amp;"_"&amp;$A384,'Investment Strategies'!$T:$AF,11,FALSE),
IF(Investment_Strategy="DIY",DIY_GteeChrge_SP,
"Error"))))))</f>
        <v>0</v>
      </c>
      <c r="N384" s="33">
        <f>IF($AV384=0,0,
IF(Investment_Strategy="DIS",VLOOKUP(Investment_Strategy&amp;"_"&amp;Investment_Strategy_Sub1&amp;"_"&amp;$A384,'Investment Strategies'!$AZ:$BP,17,FALSE),
IF(AND(Investment_Strategy="Lifecycle",Investment_Strategy_Sub1="Non-Standard"),VLOOKUP(Investment_Strategy&amp;"_"&amp;Investment_Strategy_Sub2&amp;"_"&amp;$A384,'Investment Strategies'!$C:$P,14,FALSE),
IF(AND(Investment_Strategy="Lifecycle",Investment_Strategy_Sub1="Standard"),VLOOKUP(Investment_Strategy&amp;"_"&amp;Investment_Strategy_Sub2&amp;"_"&amp;$A384,'Investment Strategies'!$AJ:$AV,13,FALSE),
IF(AND(Investment_Strategy="Autopilot",Investment_Strategy_Sub1="Non-Standard"),VLOOKUP(Investment_Strategy&amp;"_"&amp;Investment_Strategy_Sub2&amp;"_"&amp;$A384,'Investment Strategies'!$T:$AF,13,FALSE),
IF(Investment_Strategy="DIY",DIY_ExtManChrge_SP,
"Error"))))))</f>
        <v>0</v>
      </c>
      <c r="O384" s="16">
        <f t="shared" si="230"/>
        <v>0</v>
      </c>
      <c r="Q384" s="16">
        <f t="shared" si="207"/>
        <v>0</v>
      </c>
      <c r="R384" s="16">
        <f t="shared" si="203"/>
        <v>0</v>
      </c>
      <c r="S384" s="16">
        <f>(SRP_SP+SUM(S$91:S383))*L384*IF(D384=$A$91,SRP_finalmonthfactor,1)</f>
        <v>0</v>
      </c>
      <c r="T384" s="74">
        <f>MIN(IF($AV384=0,0,
IF(Investment_Strategy="DIS",VLOOKUP(Investment_Strategy&amp;"_"&amp;Investment_Strategy_Sub1&amp;"_"&amp;$A384,'Investment Strategies'!$AZ:$BP,12,FALSE),
IF(AND(Investment_Strategy="Lifecycle",Investment_Strategy_Sub1="Non-Standard"),VLOOKUP(Investment_Strategy&amp;"_"&amp;Investment_Strategy_Sub2&amp;"_"&amp;$A384,'Investment Strategies'!$C:$P,9,FALSE),
IF(AND(Investment_Strategy="Lifecycle",Investment_Strategy_Sub1="Standard"),VLOOKUP(Investment_Strategy&amp;"_"&amp;Investment_Strategy_Sub2&amp;"_"&amp;$A384,'Investment Strategies'!$AJ:$AV,8,FALSE),
IF(AND(Investment_Strategy="Autopilot",Investment_Strategy_Sub1="Non-Standard"),VLOOKUP(Investment_Strategy&amp;"_"&amp;Investment_Strategy_Sub2&amp;"_"&amp;$A384,'Investment Strategies'!$T:$AF,8,FALSE),
IF(Investment_Strategy ="DIY",DIY_RateOfReturn_FuturePremiums,
"Error")))))),Max_InvReturn)</f>
        <v>0</v>
      </c>
      <c r="U384" s="62">
        <f>IF($AV384=0,0,
IF(Investment_Strategy="DIS",VLOOKUP(Investment_Strategy&amp;"_"&amp;Investment_Strategy_Sub1&amp;"_"&amp;$A384,'Investment Strategies'!$AZ:$BP,15,FALSE),
IF(AND(Investment_Strategy="Lifecycle",Investment_Strategy_Sub1="Non-Standard"),VLOOKUP(Investment_Strategy&amp;"_"&amp;Investment_Strategy_Sub2&amp;"_"&amp;$A384,'Investment Strategies'!$C:$P,12,FALSE),
IF(AND(Investment_Strategy="Lifecycle",Investment_Strategy_Sub1="Standard"),VLOOKUP(Investment_Strategy&amp;"_"&amp;Investment_Strategy_Sub2&amp;"_"&amp;$A384,'Investment Strategies'!$AJ:$AV,11,FALSE),
IF(AND(Investment_Strategy="Autopilot",Investment_Strategy_Sub1="Non-Standard"),VLOOKUP(Investment_Strategy&amp;"_"&amp;Investment_Strategy_Sub2&amp;"_"&amp;$A384,'Investment Strategies'!$T:$AF,11,FALSE),
IF(Investment_Strategy="DIY",DIY_GteeChrge_FuturePremiums,
"Error"))))))</f>
        <v>0</v>
      </c>
      <c r="V384" s="33">
        <f>IF(AV384=0,0,
IF(Investment_Strategy="DIS",VLOOKUP(Investment_Strategy&amp;"_"&amp;Investment_Strategy_Sub1&amp;"_"&amp;$A384,'Investment Strategies'!$AZ:$BP,17,FALSE),
IF(AND(Investment_Strategy="Lifecycle",Investment_Strategy_Sub1="Non-Standard"),VLOOKUP(Investment_Strategy&amp;"_"&amp;Investment_Strategy_Sub2&amp;"_"&amp;$A384,'Investment Strategies'!$C:$P,14,FALSE),
IF(AND(Investment_Strategy="Lifecycle",Investment_Strategy_Sub1="Standard"),VLOOKUP(Investment_Strategy&amp;"_"&amp;Investment_Strategy_Sub2&amp;"_"&amp;$A384,'Investment Strategies'!$AJ:$AV,13,FALSE),
IF(AND(Investment_Strategy="Autopilot",Investment_Strategy_Sub1="Non-Standard"),VLOOKUP(Investment_Strategy&amp;"_"&amp;Investment_Strategy_Sub2&amp;"_"&amp;$A384,'Investment Strategies'!$T:$AF,13,FALSE),
IF(Investment_Strategy="DIY",DIY_ExtManChrge_FuturePremiums,
"Error"))))))</f>
        <v>0</v>
      </c>
      <c r="W384" s="16">
        <f t="shared" si="231"/>
        <v>0</v>
      </c>
      <c r="X384" s="16">
        <f t="shared" si="208"/>
        <v>0</v>
      </c>
      <c r="Y384" s="16">
        <f t="shared" si="209"/>
        <v>0</v>
      </c>
      <c r="Z384" s="31">
        <f t="shared" si="210"/>
        <v>0.02</v>
      </c>
      <c r="AA384" s="16">
        <f t="shared" si="211"/>
        <v>0</v>
      </c>
      <c r="AB384" s="28">
        <f t="shared" si="232"/>
        <v>0</v>
      </c>
      <c r="AC384" s="28">
        <f>(SUM($AC$91:AC383)+SUM($X$91:X383)+X384)*T384*IF(D384=$A$91,SRP_finalmonthfactor,1)</f>
        <v>0</v>
      </c>
      <c r="AD384" s="16">
        <f t="shared" si="212"/>
        <v>0</v>
      </c>
      <c r="AE384" s="106"/>
      <c r="AF384" s="16">
        <f t="shared" si="220"/>
        <v>0</v>
      </c>
      <c r="AG384" s="16">
        <f t="shared" si="221"/>
        <v>0</v>
      </c>
      <c r="AH384" s="16">
        <f t="shared" si="222"/>
        <v>0</v>
      </c>
      <c r="AJ384" s="13">
        <f t="shared" si="236"/>
        <v>0</v>
      </c>
      <c r="AK384" s="13">
        <f t="shared" si="236"/>
        <v>0</v>
      </c>
      <c r="AL384" s="13">
        <f t="shared" si="236"/>
        <v>0</v>
      </c>
      <c r="AM384" s="13">
        <f t="shared" si="236"/>
        <v>0</v>
      </c>
      <c r="AN384" s="13">
        <f t="shared" si="236"/>
        <v>0</v>
      </c>
      <c r="AO384" s="13">
        <f t="shared" si="236"/>
        <v>1</v>
      </c>
      <c r="AP384" s="13">
        <f t="shared" si="236"/>
        <v>1</v>
      </c>
      <c r="AQ384" s="13">
        <f t="shared" si="236"/>
        <v>1</v>
      </c>
      <c r="AR384" s="13">
        <f t="shared" si="236"/>
        <v>1</v>
      </c>
      <c r="AS384" s="13">
        <f t="shared" si="236"/>
        <v>1</v>
      </c>
      <c r="AT384" s="13">
        <f t="shared" si="236"/>
        <v>1</v>
      </c>
      <c r="AU384" s="13">
        <f t="shared" si="236"/>
        <v>1</v>
      </c>
      <c r="AV384" s="13">
        <f t="shared" si="213"/>
        <v>0</v>
      </c>
      <c r="AW384" s="13">
        <f t="shared" si="214"/>
        <v>1</v>
      </c>
      <c r="AY384" s="17">
        <f t="shared" si="215"/>
        <v>294</v>
      </c>
      <c r="AZ384" s="28">
        <f t="shared" si="223"/>
        <v>0</v>
      </c>
      <c r="BA384" s="13">
        <f t="shared" si="216"/>
        <v>0</v>
      </c>
      <c r="BB384" s="13">
        <f t="shared" si="217"/>
        <v>0</v>
      </c>
      <c r="BC384" s="28">
        <f t="shared" si="224"/>
        <v>0</v>
      </c>
      <c r="BD384" s="28">
        <f t="shared" si="225"/>
        <v>0</v>
      </c>
      <c r="BF384" s="248">
        <f t="shared" si="226"/>
        <v>993869.29442638322</v>
      </c>
    </row>
    <row r="385" spans="1:58">
      <c r="A385" s="32">
        <f t="shared" si="227"/>
        <v>-210</v>
      </c>
      <c r="B385" s="32">
        <f t="shared" si="218"/>
        <v>77</v>
      </c>
      <c r="C385" s="32">
        <f t="shared" si="228"/>
        <v>25</v>
      </c>
      <c r="D385" s="32">
        <f t="shared" si="229"/>
        <v>295</v>
      </c>
      <c r="E385" s="74">
        <f>MIN(IF(AV385=0,0,
IF(Investment_Strategy="DIS",VLOOKUP(Investment_Strategy&amp;"_"&amp;Investment_Strategy_Sub1&amp;"_"&amp;$A385,'Investment Strategies'!$AZ:$BP,12,FALSE),
IF(AND(Investment_Strategy="Lifecycle",Investment_Strategy_Sub1="Non-Standard"),VLOOKUP(Investment_Strategy&amp;"_"&amp;Investment_Strategy_Sub2&amp;"_"&amp;$A385,'Investment Strategies'!$C:$P,9,FALSE),
IF(AND(Investment_Strategy="Lifecycle",Investment_Strategy_Sub1="Standard"),VLOOKUP(Investment_Strategy&amp;"_"&amp;Investment_Strategy_Sub2&amp;"_"&amp;$A385,'Investment Strategies'!$AJ:$AV,8,FALSE),
IF(AND(Investment_Strategy="Autopilot",Investment_Strategy_Sub1="Non-Standard"),VLOOKUP(Investment_Strategy&amp;"_"&amp;Investment_Strategy_Sub2&amp;"_"&amp;$A385,'Investment Strategies'!$T:$AF,8,FALSE),
IF(Investment_Strategy ="DIY",DIY_RateOfReturn_CurrentFunds,
"Error")))))),Max_InvReturn)</f>
        <v>0</v>
      </c>
      <c r="F385" s="62">
        <f>IF(AV385=0,0,
IF(Investment_Strategy="DIS",VLOOKUP(Investment_Strategy&amp;"_"&amp;Investment_Strategy_Sub1&amp;"_"&amp;$A385,'Investment Strategies'!$AZ:$BP,15,FALSE),
IF(AND(Investment_Strategy="Lifecycle",Investment_Strategy_Sub1="Non-Standard"),VLOOKUP(Investment_Strategy&amp;"_"&amp;Investment_Strategy_Sub2&amp;"_"&amp;$A385,'Investment Strategies'!$C:$P,12,FALSE),
IF(AND(Investment_Strategy="Lifecycle",Investment_Strategy_Sub1="Standard"),VLOOKUP(Investment_Strategy&amp;"_"&amp;Investment_Strategy_Sub2&amp;"_"&amp;$A385,'Investment Strategies'!$AJ:$AV,11,FALSE),
IF(AND(Investment_Strategy="Autopilot",Investment_Strategy_Sub1="Non-Standard"),VLOOKUP(Investment_Strategy&amp;"_"&amp;Investment_Strategy_Sub2&amp;"_"&amp;$A385,'Investment Strategies'!$T:$AF,11,FALSE),
IF(Investment_Strategy="DIY",DIY_GteeChrge_CurrentFunds,
"Error"))))))</f>
        <v>0</v>
      </c>
      <c r="G385" s="33">
        <f>IF(AV385=0,0,
IF(Investment_Strategy="DIS",VLOOKUP(Investment_Strategy&amp;"_"&amp;Investment_Strategy_Sub1&amp;"_"&amp;$A385,'Investment Strategies'!$AZ:$BP,17,FALSE),
IF(AND(Investment_Strategy="Lifecycle",Investment_Strategy_Sub1="Non-Standard"),VLOOKUP(Investment_Strategy&amp;"_"&amp;Investment_Strategy_Sub2&amp;"_"&amp;$A385,'Investment Strategies'!$C:$P,14,FALSE),
IF(AND(Investment_Strategy="Lifecycle",Investment_Strategy_Sub1="Standard"),VLOOKUP(Investment_Strategy&amp;"_"&amp;Investment_Strategy_Sub2&amp;"_"&amp;$A385,'Investment Strategies'!$AJ:$AV,13,FALSE),
IF(AND(Investment_Strategy="Autopilot",Investment_Strategy_Sub1="Non-Standard"),VLOOKUP(Investment_Strategy&amp;"_"&amp;Investment_Strategy_Sub2&amp;"_"&amp;$A385,'Investment Strategies'!$T:$AF,13,FALSE),
IF(Investment_Strategy="DIY",DIY_ExtManChrge_CurrentFunds,
"Error"))))))</f>
        <v>0</v>
      </c>
      <c r="H385" s="16">
        <f t="shared" si="219"/>
        <v>0</v>
      </c>
      <c r="I385" s="16">
        <f t="shared" si="205"/>
        <v>0</v>
      </c>
      <c r="J385" s="16">
        <f t="shared" si="206"/>
        <v>0</v>
      </c>
      <c r="K385" s="16">
        <f>(Opening_Fund_Value+SUM(K$91:K384))*E385*IF(D385=$A$91,SRP_finalmonthfactor,1)</f>
        <v>0</v>
      </c>
      <c r="L385" s="74">
        <f>MIN(IF($AV385=0,0,
IF(Investment_Strategy="DIS",VLOOKUP(Investment_Strategy&amp;"_"&amp;Investment_Strategy_Sub1&amp;"_"&amp;$A385,'Investment Strategies'!$AZ:$BP,12,FALSE),
IF(AND(Investment_Strategy="Lifecycle",Investment_Strategy_Sub1="Non-Standard"),VLOOKUP(Investment_Strategy&amp;"_"&amp;Investment_Strategy_Sub2&amp;"_"&amp;$A385,'Investment Strategies'!$C:$P,9,FALSE),
IF(AND(Investment_Strategy="Lifecycle",Investment_Strategy_Sub1="Standard"),VLOOKUP(Investment_Strategy&amp;"_"&amp;Investment_Strategy_Sub2&amp;"_"&amp;$A385,'Investment Strategies'!$AJ:$AV,8,FALSE),
IF(AND(Investment_Strategy="Autopilot",Investment_Strategy_Sub1="Non-Standard"),VLOOKUP(Investment_Strategy&amp;"_"&amp;Investment_Strategy_Sub2&amp;"_"&amp;$A385,'Investment Strategies'!$T:$AF,8,FALSE),
IF(Investment_Strategy ="DIY",DIY_RateofReturn_SP,
"Error")))))),Max_InvReturn)</f>
        <v>0</v>
      </c>
      <c r="M385" s="62">
        <f>IF($AV385=0,0,
IF(Investment_Strategy="DIS",VLOOKUP(Investment_Strategy&amp;"_"&amp;Investment_Strategy_Sub1&amp;"_"&amp;$A385,'Investment Strategies'!$AZ:$BP,15,FALSE),
IF(AND(Investment_Strategy="Lifecycle",Investment_Strategy_Sub1="Non-Standard"),VLOOKUP(Investment_Strategy&amp;"_"&amp;Investment_Strategy_Sub2&amp;"_"&amp;$A385,'Investment Strategies'!$C:$P,12,FALSE),
IF(AND(Investment_Strategy="Lifecycle",Investment_Strategy_Sub1="Standard"),VLOOKUP(Investment_Strategy&amp;"_"&amp;Investment_Strategy_Sub2&amp;"_"&amp;$A385,'Investment Strategies'!$AJ:$AV,11,FALSE),
IF(AND(Investment_Strategy="Autopilot",Investment_Strategy_Sub1="Non-Standard"),VLOOKUP(Investment_Strategy&amp;"_"&amp;Investment_Strategy_Sub2&amp;"_"&amp;$A385,'Investment Strategies'!$T:$AF,11,FALSE),
IF(Investment_Strategy="DIY",DIY_GteeChrge_SP,
"Error"))))))</f>
        <v>0</v>
      </c>
      <c r="N385" s="33">
        <f>IF($AV385=0,0,
IF(Investment_Strategy="DIS",VLOOKUP(Investment_Strategy&amp;"_"&amp;Investment_Strategy_Sub1&amp;"_"&amp;$A385,'Investment Strategies'!$AZ:$BP,17,FALSE),
IF(AND(Investment_Strategy="Lifecycle",Investment_Strategy_Sub1="Non-Standard"),VLOOKUP(Investment_Strategy&amp;"_"&amp;Investment_Strategy_Sub2&amp;"_"&amp;$A385,'Investment Strategies'!$C:$P,14,FALSE),
IF(AND(Investment_Strategy="Lifecycle",Investment_Strategy_Sub1="Standard"),VLOOKUP(Investment_Strategy&amp;"_"&amp;Investment_Strategy_Sub2&amp;"_"&amp;$A385,'Investment Strategies'!$AJ:$AV,13,FALSE),
IF(AND(Investment_Strategy="Autopilot",Investment_Strategy_Sub1="Non-Standard"),VLOOKUP(Investment_Strategy&amp;"_"&amp;Investment_Strategy_Sub2&amp;"_"&amp;$A385,'Investment Strategies'!$T:$AF,13,FALSE),
IF(Investment_Strategy="DIY",DIY_ExtManChrge_SP,
"Error"))))))</f>
        <v>0</v>
      </c>
      <c r="O385" s="16">
        <f t="shared" si="230"/>
        <v>0</v>
      </c>
      <c r="Q385" s="16">
        <f t="shared" si="207"/>
        <v>0</v>
      </c>
      <c r="R385" s="16">
        <f t="shared" si="203"/>
        <v>0</v>
      </c>
      <c r="S385" s="16">
        <f>(SRP_SP+SUM(S$91:S384))*L385*IF(D385=$A$91,SRP_finalmonthfactor,1)</f>
        <v>0</v>
      </c>
      <c r="T385" s="74">
        <f>MIN(IF($AV385=0,0,
IF(Investment_Strategy="DIS",VLOOKUP(Investment_Strategy&amp;"_"&amp;Investment_Strategy_Sub1&amp;"_"&amp;$A385,'Investment Strategies'!$AZ:$BP,12,FALSE),
IF(AND(Investment_Strategy="Lifecycle",Investment_Strategy_Sub1="Non-Standard"),VLOOKUP(Investment_Strategy&amp;"_"&amp;Investment_Strategy_Sub2&amp;"_"&amp;$A385,'Investment Strategies'!$C:$P,9,FALSE),
IF(AND(Investment_Strategy="Lifecycle",Investment_Strategy_Sub1="Standard"),VLOOKUP(Investment_Strategy&amp;"_"&amp;Investment_Strategy_Sub2&amp;"_"&amp;$A385,'Investment Strategies'!$AJ:$AV,8,FALSE),
IF(AND(Investment_Strategy="Autopilot",Investment_Strategy_Sub1="Non-Standard"),VLOOKUP(Investment_Strategy&amp;"_"&amp;Investment_Strategy_Sub2&amp;"_"&amp;$A385,'Investment Strategies'!$T:$AF,8,FALSE),
IF(Investment_Strategy ="DIY",DIY_RateOfReturn_FuturePremiums,
"Error")))))),Max_InvReturn)</f>
        <v>0</v>
      </c>
      <c r="U385" s="62">
        <f>IF($AV385=0,0,
IF(Investment_Strategy="DIS",VLOOKUP(Investment_Strategy&amp;"_"&amp;Investment_Strategy_Sub1&amp;"_"&amp;$A385,'Investment Strategies'!$AZ:$BP,15,FALSE),
IF(AND(Investment_Strategy="Lifecycle",Investment_Strategy_Sub1="Non-Standard"),VLOOKUP(Investment_Strategy&amp;"_"&amp;Investment_Strategy_Sub2&amp;"_"&amp;$A385,'Investment Strategies'!$C:$P,12,FALSE),
IF(AND(Investment_Strategy="Lifecycle",Investment_Strategy_Sub1="Standard"),VLOOKUP(Investment_Strategy&amp;"_"&amp;Investment_Strategy_Sub2&amp;"_"&amp;$A385,'Investment Strategies'!$AJ:$AV,11,FALSE),
IF(AND(Investment_Strategy="Autopilot",Investment_Strategy_Sub1="Non-Standard"),VLOOKUP(Investment_Strategy&amp;"_"&amp;Investment_Strategy_Sub2&amp;"_"&amp;$A385,'Investment Strategies'!$T:$AF,11,FALSE),
IF(Investment_Strategy="DIY",DIY_GteeChrge_FuturePremiums,
"Error"))))))</f>
        <v>0</v>
      </c>
      <c r="V385" s="33">
        <f>IF(AV385=0,0,
IF(Investment_Strategy="DIS",VLOOKUP(Investment_Strategy&amp;"_"&amp;Investment_Strategy_Sub1&amp;"_"&amp;$A385,'Investment Strategies'!$AZ:$BP,17,FALSE),
IF(AND(Investment_Strategy="Lifecycle",Investment_Strategy_Sub1="Non-Standard"),VLOOKUP(Investment_Strategy&amp;"_"&amp;Investment_Strategy_Sub2&amp;"_"&amp;$A385,'Investment Strategies'!$C:$P,14,FALSE),
IF(AND(Investment_Strategy="Lifecycle",Investment_Strategy_Sub1="Standard"),VLOOKUP(Investment_Strategy&amp;"_"&amp;Investment_Strategy_Sub2&amp;"_"&amp;$A385,'Investment Strategies'!$AJ:$AV,13,FALSE),
IF(AND(Investment_Strategy="Autopilot",Investment_Strategy_Sub1="Non-Standard"),VLOOKUP(Investment_Strategy&amp;"_"&amp;Investment_Strategy_Sub2&amp;"_"&amp;$A385,'Investment Strategies'!$T:$AF,13,FALSE),
IF(Investment_Strategy="DIY",DIY_ExtManChrge_FuturePremiums,
"Error"))))))</f>
        <v>0</v>
      </c>
      <c r="W385" s="16">
        <f t="shared" si="231"/>
        <v>0</v>
      </c>
      <c r="X385" s="16">
        <f t="shared" si="208"/>
        <v>0</v>
      </c>
      <c r="Y385" s="16">
        <f t="shared" si="209"/>
        <v>0</v>
      </c>
      <c r="Z385" s="31">
        <f t="shared" si="210"/>
        <v>0.02</v>
      </c>
      <c r="AA385" s="16">
        <f t="shared" si="211"/>
        <v>0</v>
      </c>
      <c r="AB385" s="28">
        <f t="shared" si="232"/>
        <v>0</v>
      </c>
      <c r="AC385" s="28">
        <f>(SUM($AC$91:AC384)+SUM($X$91:X384)+X385)*T385*IF(D385=$A$91,SRP_finalmonthfactor,1)</f>
        <v>0</v>
      </c>
      <c r="AD385" s="16">
        <f t="shared" si="212"/>
        <v>0</v>
      </c>
      <c r="AE385" s="106"/>
      <c r="AF385" s="16">
        <f t="shared" si="220"/>
        <v>0</v>
      </c>
      <c r="AG385" s="16">
        <f t="shared" si="221"/>
        <v>0</v>
      </c>
      <c r="AH385" s="16">
        <f t="shared" si="222"/>
        <v>0</v>
      </c>
      <c r="AJ385" s="13">
        <f t="shared" si="236"/>
        <v>0</v>
      </c>
      <c r="AK385" s="13">
        <f t="shared" si="236"/>
        <v>0</v>
      </c>
      <c r="AL385" s="13">
        <f t="shared" si="236"/>
        <v>0</v>
      </c>
      <c r="AM385" s="13">
        <f t="shared" si="236"/>
        <v>0</v>
      </c>
      <c r="AN385" s="13">
        <f t="shared" si="236"/>
        <v>0</v>
      </c>
      <c r="AO385" s="13">
        <f t="shared" si="236"/>
        <v>1</v>
      </c>
      <c r="AP385" s="13">
        <f t="shared" si="236"/>
        <v>1</v>
      </c>
      <c r="AQ385" s="13">
        <f t="shared" si="236"/>
        <v>1</v>
      </c>
      <c r="AR385" s="13">
        <f t="shared" si="236"/>
        <v>1</v>
      </c>
      <c r="AS385" s="13">
        <f t="shared" si="236"/>
        <v>1</v>
      </c>
      <c r="AT385" s="13">
        <f t="shared" si="236"/>
        <v>1</v>
      </c>
      <c r="AU385" s="13">
        <f t="shared" si="236"/>
        <v>1</v>
      </c>
      <c r="AV385" s="13">
        <f t="shared" si="213"/>
        <v>0</v>
      </c>
      <c r="AW385" s="13">
        <f t="shared" si="214"/>
        <v>1</v>
      </c>
      <c r="AY385" s="17">
        <f t="shared" si="215"/>
        <v>295</v>
      </c>
      <c r="AZ385" s="28">
        <f t="shared" si="223"/>
        <v>0</v>
      </c>
      <c r="BA385" s="13">
        <f t="shared" si="216"/>
        <v>0</v>
      </c>
      <c r="BB385" s="13">
        <f t="shared" si="217"/>
        <v>0</v>
      </c>
      <c r="BC385" s="28">
        <f t="shared" si="224"/>
        <v>0</v>
      </c>
      <c r="BD385" s="28">
        <f t="shared" si="225"/>
        <v>0</v>
      </c>
      <c r="BF385" s="248">
        <f t="shared" si="226"/>
        <v>993869.29442638322</v>
      </c>
    </row>
    <row r="386" spans="1:58">
      <c r="A386" s="32">
        <f t="shared" si="227"/>
        <v>-211</v>
      </c>
      <c r="B386" s="32">
        <f t="shared" si="218"/>
        <v>77</v>
      </c>
      <c r="C386" s="32">
        <f t="shared" si="228"/>
        <v>25</v>
      </c>
      <c r="D386" s="32">
        <f t="shared" si="229"/>
        <v>296</v>
      </c>
      <c r="E386" s="74">
        <f>MIN(IF(AV386=0,0,
IF(Investment_Strategy="DIS",VLOOKUP(Investment_Strategy&amp;"_"&amp;Investment_Strategy_Sub1&amp;"_"&amp;$A386,'Investment Strategies'!$AZ:$BP,12,FALSE),
IF(AND(Investment_Strategy="Lifecycle",Investment_Strategy_Sub1="Non-Standard"),VLOOKUP(Investment_Strategy&amp;"_"&amp;Investment_Strategy_Sub2&amp;"_"&amp;$A386,'Investment Strategies'!$C:$P,9,FALSE),
IF(AND(Investment_Strategy="Lifecycle",Investment_Strategy_Sub1="Standard"),VLOOKUP(Investment_Strategy&amp;"_"&amp;Investment_Strategy_Sub2&amp;"_"&amp;$A386,'Investment Strategies'!$AJ:$AV,8,FALSE),
IF(AND(Investment_Strategy="Autopilot",Investment_Strategy_Sub1="Non-Standard"),VLOOKUP(Investment_Strategy&amp;"_"&amp;Investment_Strategy_Sub2&amp;"_"&amp;$A386,'Investment Strategies'!$T:$AF,8,FALSE),
IF(Investment_Strategy ="DIY",DIY_RateOfReturn_CurrentFunds,
"Error")))))),Max_InvReturn)</f>
        <v>0</v>
      </c>
      <c r="F386" s="62">
        <f>IF(AV386=0,0,
IF(Investment_Strategy="DIS",VLOOKUP(Investment_Strategy&amp;"_"&amp;Investment_Strategy_Sub1&amp;"_"&amp;$A386,'Investment Strategies'!$AZ:$BP,15,FALSE),
IF(AND(Investment_Strategy="Lifecycle",Investment_Strategy_Sub1="Non-Standard"),VLOOKUP(Investment_Strategy&amp;"_"&amp;Investment_Strategy_Sub2&amp;"_"&amp;$A386,'Investment Strategies'!$C:$P,12,FALSE),
IF(AND(Investment_Strategy="Lifecycle",Investment_Strategy_Sub1="Standard"),VLOOKUP(Investment_Strategy&amp;"_"&amp;Investment_Strategy_Sub2&amp;"_"&amp;$A386,'Investment Strategies'!$AJ:$AV,11,FALSE),
IF(AND(Investment_Strategy="Autopilot",Investment_Strategy_Sub1="Non-Standard"),VLOOKUP(Investment_Strategy&amp;"_"&amp;Investment_Strategy_Sub2&amp;"_"&amp;$A386,'Investment Strategies'!$T:$AF,11,FALSE),
IF(Investment_Strategy="DIY",DIY_GteeChrge_CurrentFunds,
"Error"))))))</f>
        <v>0</v>
      </c>
      <c r="G386" s="33">
        <f>IF(AV386=0,0,
IF(Investment_Strategy="DIS",VLOOKUP(Investment_Strategy&amp;"_"&amp;Investment_Strategy_Sub1&amp;"_"&amp;$A386,'Investment Strategies'!$AZ:$BP,17,FALSE),
IF(AND(Investment_Strategy="Lifecycle",Investment_Strategy_Sub1="Non-Standard"),VLOOKUP(Investment_Strategy&amp;"_"&amp;Investment_Strategy_Sub2&amp;"_"&amp;$A386,'Investment Strategies'!$C:$P,14,FALSE),
IF(AND(Investment_Strategy="Lifecycle",Investment_Strategy_Sub1="Standard"),VLOOKUP(Investment_Strategy&amp;"_"&amp;Investment_Strategy_Sub2&amp;"_"&amp;$A386,'Investment Strategies'!$AJ:$AV,13,FALSE),
IF(AND(Investment_Strategy="Autopilot",Investment_Strategy_Sub1="Non-Standard"),VLOOKUP(Investment_Strategy&amp;"_"&amp;Investment_Strategy_Sub2&amp;"_"&amp;$A386,'Investment Strategies'!$T:$AF,13,FALSE),
IF(Investment_Strategy="DIY",DIY_ExtManChrge_CurrentFunds,
"Error"))))))</f>
        <v>0</v>
      </c>
      <c r="H386" s="16">
        <f t="shared" si="219"/>
        <v>0</v>
      </c>
      <c r="I386" s="16">
        <f t="shared" si="205"/>
        <v>0</v>
      </c>
      <c r="J386" s="16">
        <f t="shared" si="206"/>
        <v>0</v>
      </c>
      <c r="K386" s="16">
        <f>(Opening_Fund_Value+SUM(K$91:K385))*E386*IF(D386=$A$91,SRP_finalmonthfactor,1)</f>
        <v>0</v>
      </c>
      <c r="L386" s="74">
        <f>MIN(IF($AV386=0,0,
IF(Investment_Strategy="DIS",VLOOKUP(Investment_Strategy&amp;"_"&amp;Investment_Strategy_Sub1&amp;"_"&amp;$A386,'Investment Strategies'!$AZ:$BP,12,FALSE),
IF(AND(Investment_Strategy="Lifecycle",Investment_Strategy_Sub1="Non-Standard"),VLOOKUP(Investment_Strategy&amp;"_"&amp;Investment_Strategy_Sub2&amp;"_"&amp;$A386,'Investment Strategies'!$C:$P,9,FALSE),
IF(AND(Investment_Strategy="Lifecycle",Investment_Strategy_Sub1="Standard"),VLOOKUP(Investment_Strategy&amp;"_"&amp;Investment_Strategy_Sub2&amp;"_"&amp;$A386,'Investment Strategies'!$AJ:$AV,8,FALSE),
IF(AND(Investment_Strategy="Autopilot",Investment_Strategy_Sub1="Non-Standard"),VLOOKUP(Investment_Strategy&amp;"_"&amp;Investment_Strategy_Sub2&amp;"_"&amp;$A386,'Investment Strategies'!$T:$AF,8,FALSE),
IF(Investment_Strategy ="DIY",DIY_RateofReturn_SP,
"Error")))))),Max_InvReturn)</f>
        <v>0</v>
      </c>
      <c r="M386" s="62">
        <f>IF($AV386=0,0,
IF(Investment_Strategy="DIS",VLOOKUP(Investment_Strategy&amp;"_"&amp;Investment_Strategy_Sub1&amp;"_"&amp;$A386,'Investment Strategies'!$AZ:$BP,15,FALSE),
IF(AND(Investment_Strategy="Lifecycle",Investment_Strategy_Sub1="Non-Standard"),VLOOKUP(Investment_Strategy&amp;"_"&amp;Investment_Strategy_Sub2&amp;"_"&amp;$A386,'Investment Strategies'!$C:$P,12,FALSE),
IF(AND(Investment_Strategy="Lifecycle",Investment_Strategy_Sub1="Standard"),VLOOKUP(Investment_Strategy&amp;"_"&amp;Investment_Strategy_Sub2&amp;"_"&amp;$A386,'Investment Strategies'!$AJ:$AV,11,FALSE),
IF(AND(Investment_Strategy="Autopilot",Investment_Strategy_Sub1="Non-Standard"),VLOOKUP(Investment_Strategy&amp;"_"&amp;Investment_Strategy_Sub2&amp;"_"&amp;$A386,'Investment Strategies'!$T:$AF,11,FALSE),
IF(Investment_Strategy="DIY",DIY_GteeChrge_SP,
"Error"))))))</f>
        <v>0</v>
      </c>
      <c r="N386" s="33">
        <f>IF($AV386=0,0,
IF(Investment_Strategy="DIS",VLOOKUP(Investment_Strategy&amp;"_"&amp;Investment_Strategy_Sub1&amp;"_"&amp;$A386,'Investment Strategies'!$AZ:$BP,17,FALSE),
IF(AND(Investment_Strategy="Lifecycle",Investment_Strategy_Sub1="Non-Standard"),VLOOKUP(Investment_Strategy&amp;"_"&amp;Investment_Strategy_Sub2&amp;"_"&amp;$A386,'Investment Strategies'!$C:$P,14,FALSE),
IF(AND(Investment_Strategy="Lifecycle",Investment_Strategy_Sub1="Standard"),VLOOKUP(Investment_Strategy&amp;"_"&amp;Investment_Strategy_Sub2&amp;"_"&amp;$A386,'Investment Strategies'!$AJ:$AV,13,FALSE),
IF(AND(Investment_Strategy="Autopilot",Investment_Strategy_Sub1="Non-Standard"),VLOOKUP(Investment_Strategy&amp;"_"&amp;Investment_Strategy_Sub2&amp;"_"&amp;$A386,'Investment Strategies'!$T:$AF,13,FALSE),
IF(Investment_Strategy="DIY",DIY_ExtManChrge_SP,
"Error"))))))</f>
        <v>0</v>
      </c>
      <c r="O386" s="16">
        <f t="shared" si="230"/>
        <v>0</v>
      </c>
      <c r="Q386" s="16">
        <f t="shared" si="207"/>
        <v>0</v>
      </c>
      <c r="R386" s="16">
        <f t="shared" si="203"/>
        <v>0</v>
      </c>
      <c r="S386" s="16">
        <f>(SRP_SP+SUM(S$91:S385))*L386*IF(D386=$A$91,SRP_finalmonthfactor,1)</f>
        <v>0</v>
      </c>
      <c r="T386" s="74">
        <f>MIN(IF($AV386=0,0,
IF(Investment_Strategy="DIS",VLOOKUP(Investment_Strategy&amp;"_"&amp;Investment_Strategy_Sub1&amp;"_"&amp;$A386,'Investment Strategies'!$AZ:$BP,12,FALSE),
IF(AND(Investment_Strategy="Lifecycle",Investment_Strategy_Sub1="Non-Standard"),VLOOKUP(Investment_Strategy&amp;"_"&amp;Investment_Strategy_Sub2&amp;"_"&amp;$A386,'Investment Strategies'!$C:$P,9,FALSE),
IF(AND(Investment_Strategy="Lifecycle",Investment_Strategy_Sub1="Standard"),VLOOKUP(Investment_Strategy&amp;"_"&amp;Investment_Strategy_Sub2&amp;"_"&amp;$A386,'Investment Strategies'!$AJ:$AV,8,FALSE),
IF(AND(Investment_Strategy="Autopilot",Investment_Strategy_Sub1="Non-Standard"),VLOOKUP(Investment_Strategy&amp;"_"&amp;Investment_Strategy_Sub2&amp;"_"&amp;$A386,'Investment Strategies'!$T:$AF,8,FALSE),
IF(Investment_Strategy ="DIY",DIY_RateOfReturn_FuturePremiums,
"Error")))))),Max_InvReturn)</f>
        <v>0</v>
      </c>
      <c r="U386" s="62">
        <f>IF($AV386=0,0,
IF(Investment_Strategy="DIS",VLOOKUP(Investment_Strategy&amp;"_"&amp;Investment_Strategy_Sub1&amp;"_"&amp;$A386,'Investment Strategies'!$AZ:$BP,15,FALSE),
IF(AND(Investment_Strategy="Lifecycle",Investment_Strategy_Sub1="Non-Standard"),VLOOKUP(Investment_Strategy&amp;"_"&amp;Investment_Strategy_Sub2&amp;"_"&amp;$A386,'Investment Strategies'!$C:$P,12,FALSE),
IF(AND(Investment_Strategy="Lifecycle",Investment_Strategy_Sub1="Standard"),VLOOKUP(Investment_Strategy&amp;"_"&amp;Investment_Strategy_Sub2&amp;"_"&amp;$A386,'Investment Strategies'!$AJ:$AV,11,FALSE),
IF(AND(Investment_Strategy="Autopilot",Investment_Strategy_Sub1="Non-Standard"),VLOOKUP(Investment_Strategy&amp;"_"&amp;Investment_Strategy_Sub2&amp;"_"&amp;$A386,'Investment Strategies'!$T:$AF,11,FALSE),
IF(Investment_Strategy="DIY",DIY_GteeChrge_FuturePremiums,
"Error"))))))</f>
        <v>0</v>
      </c>
      <c r="V386" s="33">
        <f>IF(AV386=0,0,
IF(Investment_Strategy="DIS",VLOOKUP(Investment_Strategy&amp;"_"&amp;Investment_Strategy_Sub1&amp;"_"&amp;$A386,'Investment Strategies'!$AZ:$BP,17,FALSE),
IF(AND(Investment_Strategy="Lifecycle",Investment_Strategy_Sub1="Non-Standard"),VLOOKUP(Investment_Strategy&amp;"_"&amp;Investment_Strategy_Sub2&amp;"_"&amp;$A386,'Investment Strategies'!$C:$P,14,FALSE),
IF(AND(Investment_Strategy="Lifecycle",Investment_Strategy_Sub1="Standard"),VLOOKUP(Investment_Strategy&amp;"_"&amp;Investment_Strategy_Sub2&amp;"_"&amp;$A386,'Investment Strategies'!$AJ:$AV,13,FALSE),
IF(AND(Investment_Strategy="Autopilot",Investment_Strategy_Sub1="Non-Standard"),VLOOKUP(Investment_Strategy&amp;"_"&amp;Investment_Strategy_Sub2&amp;"_"&amp;$A386,'Investment Strategies'!$T:$AF,13,FALSE),
IF(Investment_Strategy="DIY",DIY_ExtManChrge_FuturePremiums,
"Error"))))))</f>
        <v>0</v>
      </c>
      <c r="W386" s="16">
        <f t="shared" si="231"/>
        <v>0</v>
      </c>
      <c r="X386" s="16">
        <f t="shared" si="208"/>
        <v>0</v>
      </c>
      <c r="Y386" s="16">
        <f t="shared" si="209"/>
        <v>0</v>
      </c>
      <c r="Z386" s="31">
        <f t="shared" si="210"/>
        <v>0.02</v>
      </c>
      <c r="AA386" s="16">
        <f t="shared" si="211"/>
        <v>0</v>
      </c>
      <c r="AB386" s="28">
        <f t="shared" si="232"/>
        <v>0</v>
      </c>
      <c r="AC386" s="28">
        <f>(SUM($AC$91:AC385)+SUM($X$91:X385)+X386)*T386*IF(D386=$A$91,SRP_finalmonthfactor,1)</f>
        <v>0</v>
      </c>
      <c r="AD386" s="16">
        <f t="shared" si="212"/>
        <v>0</v>
      </c>
      <c r="AE386" s="106"/>
      <c r="AF386" s="16">
        <f t="shared" si="220"/>
        <v>0</v>
      </c>
      <c r="AG386" s="16">
        <f t="shared" si="221"/>
        <v>0</v>
      </c>
      <c r="AH386" s="16">
        <f t="shared" si="222"/>
        <v>0</v>
      </c>
      <c r="AJ386" s="13">
        <f t="shared" si="236"/>
        <v>0</v>
      </c>
      <c r="AK386" s="13">
        <f t="shared" si="236"/>
        <v>0</v>
      </c>
      <c r="AL386" s="13">
        <f t="shared" si="236"/>
        <v>0</v>
      </c>
      <c r="AM386" s="13">
        <f t="shared" si="236"/>
        <v>0</v>
      </c>
      <c r="AN386" s="13">
        <f t="shared" si="236"/>
        <v>0</v>
      </c>
      <c r="AO386" s="13">
        <f t="shared" si="236"/>
        <v>1</v>
      </c>
      <c r="AP386" s="13">
        <f t="shared" si="236"/>
        <v>1</v>
      </c>
      <c r="AQ386" s="13">
        <f t="shared" si="236"/>
        <v>1</v>
      </c>
      <c r="AR386" s="13">
        <f t="shared" si="236"/>
        <v>1</v>
      </c>
      <c r="AS386" s="13">
        <f t="shared" si="236"/>
        <v>1</v>
      </c>
      <c r="AT386" s="13">
        <f t="shared" si="236"/>
        <v>1</v>
      </c>
      <c r="AU386" s="13">
        <f t="shared" si="236"/>
        <v>1</v>
      </c>
      <c r="AV386" s="13">
        <f t="shared" si="213"/>
        <v>0</v>
      </c>
      <c r="AW386" s="13">
        <f t="shared" si="214"/>
        <v>1</v>
      </c>
      <c r="AY386" s="17">
        <f t="shared" si="215"/>
        <v>296</v>
      </c>
      <c r="AZ386" s="28">
        <f t="shared" si="223"/>
        <v>0</v>
      </c>
      <c r="BA386" s="13">
        <f t="shared" si="216"/>
        <v>0</v>
      </c>
      <c r="BB386" s="13">
        <f t="shared" si="217"/>
        <v>0</v>
      </c>
      <c r="BC386" s="28">
        <f t="shared" si="224"/>
        <v>0</v>
      </c>
      <c r="BD386" s="28">
        <f t="shared" si="225"/>
        <v>0</v>
      </c>
      <c r="BF386" s="248">
        <f t="shared" si="226"/>
        <v>993869.29442638322</v>
      </c>
    </row>
    <row r="387" spans="1:58">
      <c r="A387" s="32">
        <f t="shared" si="227"/>
        <v>-212</v>
      </c>
      <c r="B387" s="32">
        <f t="shared" si="218"/>
        <v>77</v>
      </c>
      <c r="C387" s="32">
        <f t="shared" si="228"/>
        <v>25</v>
      </c>
      <c r="D387" s="32">
        <f t="shared" si="229"/>
        <v>297</v>
      </c>
      <c r="E387" s="74">
        <f>MIN(IF(AV387=0,0,
IF(Investment_Strategy="DIS",VLOOKUP(Investment_Strategy&amp;"_"&amp;Investment_Strategy_Sub1&amp;"_"&amp;$A387,'Investment Strategies'!$AZ:$BP,12,FALSE),
IF(AND(Investment_Strategy="Lifecycle",Investment_Strategy_Sub1="Non-Standard"),VLOOKUP(Investment_Strategy&amp;"_"&amp;Investment_Strategy_Sub2&amp;"_"&amp;$A387,'Investment Strategies'!$C:$P,9,FALSE),
IF(AND(Investment_Strategy="Lifecycle",Investment_Strategy_Sub1="Standard"),VLOOKUP(Investment_Strategy&amp;"_"&amp;Investment_Strategy_Sub2&amp;"_"&amp;$A387,'Investment Strategies'!$AJ:$AV,8,FALSE),
IF(AND(Investment_Strategy="Autopilot",Investment_Strategy_Sub1="Non-Standard"),VLOOKUP(Investment_Strategy&amp;"_"&amp;Investment_Strategy_Sub2&amp;"_"&amp;$A387,'Investment Strategies'!$T:$AF,8,FALSE),
IF(Investment_Strategy ="DIY",DIY_RateOfReturn_CurrentFunds,
"Error")))))),Max_InvReturn)</f>
        <v>0</v>
      </c>
      <c r="F387" s="62">
        <f>IF(AV387=0,0,
IF(Investment_Strategy="DIS",VLOOKUP(Investment_Strategy&amp;"_"&amp;Investment_Strategy_Sub1&amp;"_"&amp;$A387,'Investment Strategies'!$AZ:$BP,15,FALSE),
IF(AND(Investment_Strategy="Lifecycle",Investment_Strategy_Sub1="Non-Standard"),VLOOKUP(Investment_Strategy&amp;"_"&amp;Investment_Strategy_Sub2&amp;"_"&amp;$A387,'Investment Strategies'!$C:$P,12,FALSE),
IF(AND(Investment_Strategy="Lifecycle",Investment_Strategy_Sub1="Standard"),VLOOKUP(Investment_Strategy&amp;"_"&amp;Investment_Strategy_Sub2&amp;"_"&amp;$A387,'Investment Strategies'!$AJ:$AV,11,FALSE),
IF(AND(Investment_Strategy="Autopilot",Investment_Strategy_Sub1="Non-Standard"),VLOOKUP(Investment_Strategy&amp;"_"&amp;Investment_Strategy_Sub2&amp;"_"&amp;$A387,'Investment Strategies'!$T:$AF,11,FALSE),
IF(Investment_Strategy="DIY",DIY_GteeChrge_CurrentFunds,
"Error"))))))</f>
        <v>0</v>
      </c>
      <c r="G387" s="33">
        <f>IF(AV387=0,0,
IF(Investment_Strategy="DIS",VLOOKUP(Investment_Strategy&amp;"_"&amp;Investment_Strategy_Sub1&amp;"_"&amp;$A387,'Investment Strategies'!$AZ:$BP,17,FALSE),
IF(AND(Investment_Strategy="Lifecycle",Investment_Strategy_Sub1="Non-Standard"),VLOOKUP(Investment_Strategy&amp;"_"&amp;Investment_Strategy_Sub2&amp;"_"&amp;$A387,'Investment Strategies'!$C:$P,14,FALSE),
IF(AND(Investment_Strategy="Lifecycle",Investment_Strategy_Sub1="Standard"),VLOOKUP(Investment_Strategy&amp;"_"&amp;Investment_Strategy_Sub2&amp;"_"&amp;$A387,'Investment Strategies'!$AJ:$AV,13,FALSE),
IF(AND(Investment_Strategy="Autopilot",Investment_Strategy_Sub1="Non-Standard"),VLOOKUP(Investment_Strategy&amp;"_"&amp;Investment_Strategy_Sub2&amp;"_"&amp;$A387,'Investment Strategies'!$T:$AF,13,FALSE),
IF(Investment_Strategy="DIY",DIY_ExtManChrge_CurrentFunds,
"Error"))))))</f>
        <v>0</v>
      </c>
      <c r="H387" s="16">
        <f t="shared" si="219"/>
        <v>0</v>
      </c>
      <c r="I387" s="16">
        <f t="shared" si="205"/>
        <v>0</v>
      </c>
      <c r="J387" s="16">
        <f t="shared" si="206"/>
        <v>0</v>
      </c>
      <c r="K387" s="16">
        <f>(Opening_Fund_Value+SUM(K$91:K386))*E387*IF(D387=$A$91,SRP_finalmonthfactor,1)</f>
        <v>0</v>
      </c>
      <c r="L387" s="74">
        <f>MIN(IF($AV387=0,0,
IF(Investment_Strategy="DIS",VLOOKUP(Investment_Strategy&amp;"_"&amp;Investment_Strategy_Sub1&amp;"_"&amp;$A387,'Investment Strategies'!$AZ:$BP,12,FALSE),
IF(AND(Investment_Strategy="Lifecycle",Investment_Strategy_Sub1="Non-Standard"),VLOOKUP(Investment_Strategy&amp;"_"&amp;Investment_Strategy_Sub2&amp;"_"&amp;$A387,'Investment Strategies'!$C:$P,9,FALSE),
IF(AND(Investment_Strategy="Lifecycle",Investment_Strategy_Sub1="Standard"),VLOOKUP(Investment_Strategy&amp;"_"&amp;Investment_Strategy_Sub2&amp;"_"&amp;$A387,'Investment Strategies'!$AJ:$AV,8,FALSE),
IF(AND(Investment_Strategy="Autopilot",Investment_Strategy_Sub1="Non-Standard"),VLOOKUP(Investment_Strategy&amp;"_"&amp;Investment_Strategy_Sub2&amp;"_"&amp;$A387,'Investment Strategies'!$T:$AF,8,FALSE),
IF(Investment_Strategy ="DIY",DIY_RateofReturn_SP,
"Error")))))),Max_InvReturn)</f>
        <v>0</v>
      </c>
      <c r="M387" s="62">
        <f>IF($AV387=0,0,
IF(Investment_Strategy="DIS",VLOOKUP(Investment_Strategy&amp;"_"&amp;Investment_Strategy_Sub1&amp;"_"&amp;$A387,'Investment Strategies'!$AZ:$BP,15,FALSE),
IF(AND(Investment_Strategy="Lifecycle",Investment_Strategy_Sub1="Non-Standard"),VLOOKUP(Investment_Strategy&amp;"_"&amp;Investment_Strategy_Sub2&amp;"_"&amp;$A387,'Investment Strategies'!$C:$P,12,FALSE),
IF(AND(Investment_Strategy="Lifecycle",Investment_Strategy_Sub1="Standard"),VLOOKUP(Investment_Strategy&amp;"_"&amp;Investment_Strategy_Sub2&amp;"_"&amp;$A387,'Investment Strategies'!$AJ:$AV,11,FALSE),
IF(AND(Investment_Strategy="Autopilot",Investment_Strategy_Sub1="Non-Standard"),VLOOKUP(Investment_Strategy&amp;"_"&amp;Investment_Strategy_Sub2&amp;"_"&amp;$A387,'Investment Strategies'!$T:$AF,11,FALSE),
IF(Investment_Strategy="DIY",DIY_GteeChrge_SP,
"Error"))))))</f>
        <v>0</v>
      </c>
      <c r="N387" s="33">
        <f>IF($AV387=0,0,
IF(Investment_Strategy="DIS",VLOOKUP(Investment_Strategy&amp;"_"&amp;Investment_Strategy_Sub1&amp;"_"&amp;$A387,'Investment Strategies'!$AZ:$BP,17,FALSE),
IF(AND(Investment_Strategy="Lifecycle",Investment_Strategy_Sub1="Non-Standard"),VLOOKUP(Investment_Strategy&amp;"_"&amp;Investment_Strategy_Sub2&amp;"_"&amp;$A387,'Investment Strategies'!$C:$P,14,FALSE),
IF(AND(Investment_Strategy="Lifecycle",Investment_Strategy_Sub1="Standard"),VLOOKUP(Investment_Strategy&amp;"_"&amp;Investment_Strategy_Sub2&amp;"_"&amp;$A387,'Investment Strategies'!$AJ:$AV,13,FALSE),
IF(AND(Investment_Strategy="Autopilot",Investment_Strategy_Sub1="Non-Standard"),VLOOKUP(Investment_Strategy&amp;"_"&amp;Investment_Strategy_Sub2&amp;"_"&amp;$A387,'Investment Strategies'!$T:$AF,13,FALSE),
IF(Investment_Strategy="DIY",DIY_ExtManChrge_SP,
"Error"))))))</f>
        <v>0</v>
      </c>
      <c r="O387" s="16">
        <f t="shared" si="230"/>
        <v>0</v>
      </c>
      <c r="Q387" s="16">
        <f t="shared" si="207"/>
        <v>0</v>
      </c>
      <c r="R387" s="16">
        <f t="shared" si="203"/>
        <v>0</v>
      </c>
      <c r="S387" s="16">
        <f>(SRP_SP+SUM(S$91:S386))*L387*IF(D387=$A$91,SRP_finalmonthfactor,1)</f>
        <v>0</v>
      </c>
      <c r="T387" s="74">
        <f>MIN(IF($AV387=0,0,
IF(Investment_Strategy="DIS",VLOOKUP(Investment_Strategy&amp;"_"&amp;Investment_Strategy_Sub1&amp;"_"&amp;$A387,'Investment Strategies'!$AZ:$BP,12,FALSE),
IF(AND(Investment_Strategy="Lifecycle",Investment_Strategy_Sub1="Non-Standard"),VLOOKUP(Investment_Strategy&amp;"_"&amp;Investment_Strategy_Sub2&amp;"_"&amp;$A387,'Investment Strategies'!$C:$P,9,FALSE),
IF(AND(Investment_Strategy="Lifecycle",Investment_Strategy_Sub1="Standard"),VLOOKUP(Investment_Strategy&amp;"_"&amp;Investment_Strategy_Sub2&amp;"_"&amp;$A387,'Investment Strategies'!$AJ:$AV,8,FALSE),
IF(AND(Investment_Strategy="Autopilot",Investment_Strategy_Sub1="Non-Standard"),VLOOKUP(Investment_Strategy&amp;"_"&amp;Investment_Strategy_Sub2&amp;"_"&amp;$A387,'Investment Strategies'!$T:$AF,8,FALSE),
IF(Investment_Strategy ="DIY",DIY_RateOfReturn_FuturePremiums,
"Error")))))),Max_InvReturn)</f>
        <v>0</v>
      </c>
      <c r="U387" s="62">
        <f>IF($AV387=0,0,
IF(Investment_Strategy="DIS",VLOOKUP(Investment_Strategy&amp;"_"&amp;Investment_Strategy_Sub1&amp;"_"&amp;$A387,'Investment Strategies'!$AZ:$BP,15,FALSE),
IF(AND(Investment_Strategy="Lifecycle",Investment_Strategy_Sub1="Non-Standard"),VLOOKUP(Investment_Strategy&amp;"_"&amp;Investment_Strategy_Sub2&amp;"_"&amp;$A387,'Investment Strategies'!$C:$P,12,FALSE),
IF(AND(Investment_Strategy="Lifecycle",Investment_Strategy_Sub1="Standard"),VLOOKUP(Investment_Strategy&amp;"_"&amp;Investment_Strategy_Sub2&amp;"_"&amp;$A387,'Investment Strategies'!$AJ:$AV,11,FALSE),
IF(AND(Investment_Strategy="Autopilot",Investment_Strategy_Sub1="Non-Standard"),VLOOKUP(Investment_Strategy&amp;"_"&amp;Investment_Strategy_Sub2&amp;"_"&amp;$A387,'Investment Strategies'!$T:$AF,11,FALSE),
IF(Investment_Strategy="DIY",DIY_GteeChrge_FuturePremiums,
"Error"))))))</f>
        <v>0</v>
      </c>
      <c r="V387" s="33">
        <f>IF(AV387=0,0,
IF(Investment_Strategy="DIS",VLOOKUP(Investment_Strategy&amp;"_"&amp;Investment_Strategy_Sub1&amp;"_"&amp;$A387,'Investment Strategies'!$AZ:$BP,17,FALSE),
IF(AND(Investment_Strategy="Lifecycle",Investment_Strategy_Sub1="Non-Standard"),VLOOKUP(Investment_Strategy&amp;"_"&amp;Investment_Strategy_Sub2&amp;"_"&amp;$A387,'Investment Strategies'!$C:$P,14,FALSE),
IF(AND(Investment_Strategy="Lifecycle",Investment_Strategy_Sub1="Standard"),VLOOKUP(Investment_Strategy&amp;"_"&amp;Investment_Strategy_Sub2&amp;"_"&amp;$A387,'Investment Strategies'!$AJ:$AV,13,FALSE),
IF(AND(Investment_Strategy="Autopilot",Investment_Strategy_Sub1="Non-Standard"),VLOOKUP(Investment_Strategy&amp;"_"&amp;Investment_Strategy_Sub2&amp;"_"&amp;$A387,'Investment Strategies'!$T:$AF,13,FALSE),
IF(Investment_Strategy="DIY",DIY_ExtManChrge_FuturePremiums,
"Error"))))))</f>
        <v>0</v>
      </c>
      <c r="W387" s="16">
        <f t="shared" si="231"/>
        <v>0</v>
      </c>
      <c r="X387" s="16">
        <f t="shared" si="208"/>
        <v>0</v>
      </c>
      <c r="Y387" s="16">
        <f t="shared" si="209"/>
        <v>0</v>
      </c>
      <c r="Z387" s="31">
        <f t="shared" si="210"/>
        <v>0.02</v>
      </c>
      <c r="AA387" s="16">
        <f t="shared" si="211"/>
        <v>0</v>
      </c>
      <c r="AB387" s="28">
        <f t="shared" si="232"/>
        <v>0</v>
      </c>
      <c r="AC387" s="28">
        <f>(SUM($AC$91:AC386)+SUM($X$91:X386)+X387)*T387*IF(D387=$A$91,SRP_finalmonthfactor,1)</f>
        <v>0</v>
      </c>
      <c r="AD387" s="16">
        <f t="shared" si="212"/>
        <v>0</v>
      </c>
      <c r="AE387" s="106"/>
      <c r="AF387" s="16">
        <f t="shared" si="220"/>
        <v>0</v>
      </c>
      <c r="AG387" s="16">
        <f t="shared" si="221"/>
        <v>0</v>
      </c>
      <c r="AH387" s="16">
        <f t="shared" si="222"/>
        <v>0</v>
      </c>
      <c r="AJ387" s="13">
        <f t="shared" si="236"/>
        <v>0</v>
      </c>
      <c r="AK387" s="13">
        <f t="shared" si="236"/>
        <v>0</v>
      </c>
      <c r="AL387" s="13">
        <f t="shared" si="236"/>
        <v>0</v>
      </c>
      <c r="AM387" s="13">
        <f t="shared" si="236"/>
        <v>0</v>
      </c>
      <c r="AN387" s="13">
        <f t="shared" si="236"/>
        <v>0</v>
      </c>
      <c r="AO387" s="13">
        <f t="shared" si="236"/>
        <v>1</v>
      </c>
      <c r="AP387" s="13">
        <f t="shared" si="236"/>
        <v>1</v>
      </c>
      <c r="AQ387" s="13">
        <f t="shared" si="236"/>
        <v>1</v>
      </c>
      <c r="AR387" s="13">
        <f t="shared" si="236"/>
        <v>1</v>
      </c>
      <c r="AS387" s="13">
        <f t="shared" si="236"/>
        <v>1</v>
      </c>
      <c r="AT387" s="13">
        <f t="shared" si="236"/>
        <v>1</v>
      </c>
      <c r="AU387" s="13">
        <f t="shared" si="236"/>
        <v>1</v>
      </c>
      <c r="AV387" s="13">
        <f t="shared" si="213"/>
        <v>0</v>
      </c>
      <c r="AW387" s="13">
        <f t="shared" si="214"/>
        <v>1</v>
      </c>
      <c r="AY387" s="17">
        <f t="shared" si="215"/>
        <v>297</v>
      </c>
      <c r="AZ387" s="28">
        <f t="shared" si="223"/>
        <v>0</v>
      </c>
      <c r="BA387" s="13">
        <f t="shared" si="216"/>
        <v>0</v>
      </c>
      <c r="BB387" s="13">
        <f t="shared" si="217"/>
        <v>0</v>
      </c>
      <c r="BC387" s="28">
        <f t="shared" si="224"/>
        <v>0</v>
      </c>
      <c r="BD387" s="28">
        <f t="shared" si="225"/>
        <v>0</v>
      </c>
      <c r="BF387" s="248">
        <f t="shared" si="226"/>
        <v>993869.29442638322</v>
      </c>
    </row>
    <row r="388" spans="1:58">
      <c r="A388" s="32">
        <f t="shared" si="227"/>
        <v>-213</v>
      </c>
      <c r="B388" s="32">
        <f t="shared" si="218"/>
        <v>77</v>
      </c>
      <c r="C388" s="32">
        <f t="shared" si="228"/>
        <v>25</v>
      </c>
      <c r="D388" s="32">
        <f t="shared" si="229"/>
        <v>298</v>
      </c>
      <c r="E388" s="74">
        <f>MIN(IF(AV388=0,0,
IF(Investment_Strategy="DIS",VLOOKUP(Investment_Strategy&amp;"_"&amp;Investment_Strategy_Sub1&amp;"_"&amp;$A388,'Investment Strategies'!$AZ:$BP,12,FALSE),
IF(AND(Investment_Strategy="Lifecycle",Investment_Strategy_Sub1="Non-Standard"),VLOOKUP(Investment_Strategy&amp;"_"&amp;Investment_Strategy_Sub2&amp;"_"&amp;$A388,'Investment Strategies'!$C:$P,9,FALSE),
IF(AND(Investment_Strategy="Lifecycle",Investment_Strategy_Sub1="Standard"),VLOOKUP(Investment_Strategy&amp;"_"&amp;Investment_Strategy_Sub2&amp;"_"&amp;$A388,'Investment Strategies'!$AJ:$AV,8,FALSE),
IF(AND(Investment_Strategy="Autopilot",Investment_Strategy_Sub1="Non-Standard"),VLOOKUP(Investment_Strategy&amp;"_"&amp;Investment_Strategy_Sub2&amp;"_"&amp;$A388,'Investment Strategies'!$T:$AF,8,FALSE),
IF(Investment_Strategy ="DIY",DIY_RateOfReturn_CurrentFunds,
"Error")))))),Max_InvReturn)</f>
        <v>0</v>
      </c>
      <c r="F388" s="62">
        <f>IF(AV388=0,0,
IF(Investment_Strategy="DIS",VLOOKUP(Investment_Strategy&amp;"_"&amp;Investment_Strategy_Sub1&amp;"_"&amp;$A388,'Investment Strategies'!$AZ:$BP,15,FALSE),
IF(AND(Investment_Strategy="Lifecycle",Investment_Strategy_Sub1="Non-Standard"),VLOOKUP(Investment_Strategy&amp;"_"&amp;Investment_Strategy_Sub2&amp;"_"&amp;$A388,'Investment Strategies'!$C:$P,12,FALSE),
IF(AND(Investment_Strategy="Lifecycle",Investment_Strategy_Sub1="Standard"),VLOOKUP(Investment_Strategy&amp;"_"&amp;Investment_Strategy_Sub2&amp;"_"&amp;$A388,'Investment Strategies'!$AJ:$AV,11,FALSE),
IF(AND(Investment_Strategy="Autopilot",Investment_Strategy_Sub1="Non-Standard"),VLOOKUP(Investment_Strategy&amp;"_"&amp;Investment_Strategy_Sub2&amp;"_"&amp;$A388,'Investment Strategies'!$T:$AF,11,FALSE),
IF(Investment_Strategy="DIY",DIY_GteeChrge_CurrentFunds,
"Error"))))))</f>
        <v>0</v>
      </c>
      <c r="G388" s="33">
        <f>IF(AV388=0,0,
IF(Investment_Strategy="DIS",VLOOKUP(Investment_Strategy&amp;"_"&amp;Investment_Strategy_Sub1&amp;"_"&amp;$A388,'Investment Strategies'!$AZ:$BP,17,FALSE),
IF(AND(Investment_Strategy="Lifecycle",Investment_Strategy_Sub1="Non-Standard"),VLOOKUP(Investment_Strategy&amp;"_"&amp;Investment_Strategy_Sub2&amp;"_"&amp;$A388,'Investment Strategies'!$C:$P,14,FALSE),
IF(AND(Investment_Strategy="Lifecycle",Investment_Strategy_Sub1="Standard"),VLOOKUP(Investment_Strategy&amp;"_"&amp;Investment_Strategy_Sub2&amp;"_"&amp;$A388,'Investment Strategies'!$AJ:$AV,13,FALSE),
IF(AND(Investment_Strategy="Autopilot",Investment_Strategy_Sub1="Non-Standard"),VLOOKUP(Investment_Strategy&amp;"_"&amp;Investment_Strategy_Sub2&amp;"_"&amp;$A388,'Investment Strategies'!$T:$AF,13,FALSE),
IF(Investment_Strategy="DIY",DIY_ExtManChrge_CurrentFunds,
"Error"))))))</f>
        <v>0</v>
      </c>
      <c r="H388" s="16">
        <f t="shared" si="219"/>
        <v>0</v>
      </c>
      <c r="I388" s="16">
        <f t="shared" si="205"/>
        <v>0</v>
      </c>
      <c r="J388" s="16">
        <f t="shared" si="206"/>
        <v>0</v>
      </c>
      <c r="K388" s="16">
        <f>(Opening_Fund_Value+SUM(K$91:K387))*E388*IF(D388=$A$91,SRP_finalmonthfactor,1)</f>
        <v>0</v>
      </c>
      <c r="L388" s="74">
        <f>MIN(IF($AV388=0,0,
IF(Investment_Strategy="DIS",VLOOKUP(Investment_Strategy&amp;"_"&amp;Investment_Strategy_Sub1&amp;"_"&amp;$A388,'Investment Strategies'!$AZ:$BP,12,FALSE),
IF(AND(Investment_Strategy="Lifecycle",Investment_Strategy_Sub1="Non-Standard"),VLOOKUP(Investment_Strategy&amp;"_"&amp;Investment_Strategy_Sub2&amp;"_"&amp;$A388,'Investment Strategies'!$C:$P,9,FALSE),
IF(AND(Investment_Strategy="Lifecycle",Investment_Strategy_Sub1="Standard"),VLOOKUP(Investment_Strategy&amp;"_"&amp;Investment_Strategy_Sub2&amp;"_"&amp;$A388,'Investment Strategies'!$AJ:$AV,8,FALSE),
IF(AND(Investment_Strategy="Autopilot",Investment_Strategy_Sub1="Non-Standard"),VLOOKUP(Investment_Strategy&amp;"_"&amp;Investment_Strategy_Sub2&amp;"_"&amp;$A388,'Investment Strategies'!$T:$AF,8,FALSE),
IF(Investment_Strategy ="DIY",DIY_RateofReturn_SP,
"Error")))))),Max_InvReturn)</f>
        <v>0</v>
      </c>
      <c r="M388" s="62">
        <f>IF($AV388=0,0,
IF(Investment_Strategy="DIS",VLOOKUP(Investment_Strategy&amp;"_"&amp;Investment_Strategy_Sub1&amp;"_"&amp;$A388,'Investment Strategies'!$AZ:$BP,15,FALSE),
IF(AND(Investment_Strategy="Lifecycle",Investment_Strategy_Sub1="Non-Standard"),VLOOKUP(Investment_Strategy&amp;"_"&amp;Investment_Strategy_Sub2&amp;"_"&amp;$A388,'Investment Strategies'!$C:$P,12,FALSE),
IF(AND(Investment_Strategy="Lifecycle",Investment_Strategy_Sub1="Standard"),VLOOKUP(Investment_Strategy&amp;"_"&amp;Investment_Strategy_Sub2&amp;"_"&amp;$A388,'Investment Strategies'!$AJ:$AV,11,FALSE),
IF(AND(Investment_Strategy="Autopilot",Investment_Strategy_Sub1="Non-Standard"),VLOOKUP(Investment_Strategy&amp;"_"&amp;Investment_Strategy_Sub2&amp;"_"&amp;$A388,'Investment Strategies'!$T:$AF,11,FALSE),
IF(Investment_Strategy="DIY",DIY_GteeChrge_SP,
"Error"))))))</f>
        <v>0</v>
      </c>
      <c r="N388" s="33">
        <f>IF($AV388=0,0,
IF(Investment_Strategy="DIS",VLOOKUP(Investment_Strategy&amp;"_"&amp;Investment_Strategy_Sub1&amp;"_"&amp;$A388,'Investment Strategies'!$AZ:$BP,17,FALSE),
IF(AND(Investment_Strategy="Lifecycle",Investment_Strategy_Sub1="Non-Standard"),VLOOKUP(Investment_Strategy&amp;"_"&amp;Investment_Strategy_Sub2&amp;"_"&amp;$A388,'Investment Strategies'!$C:$P,14,FALSE),
IF(AND(Investment_Strategy="Lifecycle",Investment_Strategy_Sub1="Standard"),VLOOKUP(Investment_Strategy&amp;"_"&amp;Investment_Strategy_Sub2&amp;"_"&amp;$A388,'Investment Strategies'!$AJ:$AV,13,FALSE),
IF(AND(Investment_Strategy="Autopilot",Investment_Strategy_Sub1="Non-Standard"),VLOOKUP(Investment_Strategy&amp;"_"&amp;Investment_Strategy_Sub2&amp;"_"&amp;$A388,'Investment Strategies'!$T:$AF,13,FALSE),
IF(Investment_Strategy="DIY",DIY_ExtManChrge_SP,
"Error"))))))</f>
        <v>0</v>
      </c>
      <c r="O388" s="16">
        <f t="shared" si="230"/>
        <v>0</v>
      </c>
      <c r="Q388" s="16">
        <f t="shared" si="207"/>
        <v>0</v>
      </c>
      <c r="R388" s="16">
        <f t="shared" si="203"/>
        <v>0</v>
      </c>
      <c r="S388" s="16">
        <f>(SRP_SP+SUM(S$91:S387))*L388*IF(D388=$A$91,SRP_finalmonthfactor,1)</f>
        <v>0</v>
      </c>
      <c r="T388" s="74">
        <f>MIN(IF($AV388=0,0,
IF(Investment_Strategy="DIS",VLOOKUP(Investment_Strategy&amp;"_"&amp;Investment_Strategy_Sub1&amp;"_"&amp;$A388,'Investment Strategies'!$AZ:$BP,12,FALSE),
IF(AND(Investment_Strategy="Lifecycle",Investment_Strategy_Sub1="Non-Standard"),VLOOKUP(Investment_Strategy&amp;"_"&amp;Investment_Strategy_Sub2&amp;"_"&amp;$A388,'Investment Strategies'!$C:$P,9,FALSE),
IF(AND(Investment_Strategy="Lifecycle",Investment_Strategy_Sub1="Standard"),VLOOKUP(Investment_Strategy&amp;"_"&amp;Investment_Strategy_Sub2&amp;"_"&amp;$A388,'Investment Strategies'!$AJ:$AV,8,FALSE),
IF(AND(Investment_Strategy="Autopilot",Investment_Strategy_Sub1="Non-Standard"),VLOOKUP(Investment_Strategy&amp;"_"&amp;Investment_Strategy_Sub2&amp;"_"&amp;$A388,'Investment Strategies'!$T:$AF,8,FALSE),
IF(Investment_Strategy ="DIY",DIY_RateOfReturn_FuturePremiums,
"Error")))))),Max_InvReturn)</f>
        <v>0</v>
      </c>
      <c r="U388" s="62">
        <f>IF($AV388=0,0,
IF(Investment_Strategy="DIS",VLOOKUP(Investment_Strategy&amp;"_"&amp;Investment_Strategy_Sub1&amp;"_"&amp;$A388,'Investment Strategies'!$AZ:$BP,15,FALSE),
IF(AND(Investment_Strategy="Lifecycle",Investment_Strategy_Sub1="Non-Standard"),VLOOKUP(Investment_Strategy&amp;"_"&amp;Investment_Strategy_Sub2&amp;"_"&amp;$A388,'Investment Strategies'!$C:$P,12,FALSE),
IF(AND(Investment_Strategy="Lifecycle",Investment_Strategy_Sub1="Standard"),VLOOKUP(Investment_Strategy&amp;"_"&amp;Investment_Strategy_Sub2&amp;"_"&amp;$A388,'Investment Strategies'!$AJ:$AV,11,FALSE),
IF(AND(Investment_Strategy="Autopilot",Investment_Strategy_Sub1="Non-Standard"),VLOOKUP(Investment_Strategy&amp;"_"&amp;Investment_Strategy_Sub2&amp;"_"&amp;$A388,'Investment Strategies'!$T:$AF,11,FALSE),
IF(Investment_Strategy="DIY",DIY_GteeChrge_FuturePremiums,
"Error"))))))</f>
        <v>0</v>
      </c>
      <c r="V388" s="33">
        <f>IF(AV388=0,0,
IF(Investment_Strategy="DIS",VLOOKUP(Investment_Strategy&amp;"_"&amp;Investment_Strategy_Sub1&amp;"_"&amp;$A388,'Investment Strategies'!$AZ:$BP,17,FALSE),
IF(AND(Investment_Strategy="Lifecycle",Investment_Strategy_Sub1="Non-Standard"),VLOOKUP(Investment_Strategy&amp;"_"&amp;Investment_Strategy_Sub2&amp;"_"&amp;$A388,'Investment Strategies'!$C:$P,14,FALSE),
IF(AND(Investment_Strategy="Lifecycle",Investment_Strategy_Sub1="Standard"),VLOOKUP(Investment_Strategy&amp;"_"&amp;Investment_Strategy_Sub2&amp;"_"&amp;$A388,'Investment Strategies'!$AJ:$AV,13,FALSE),
IF(AND(Investment_Strategy="Autopilot",Investment_Strategy_Sub1="Non-Standard"),VLOOKUP(Investment_Strategy&amp;"_"&amp;Investment_Strategy_Sub2&amp;"_"&amp;$A388,'Investment Strategies'!$T:$AF,13,FALSE),
IF(Investment_Strategy="DIY",DIY_ExtManChrge_FuturePremiums,
"Error"))))))</f>
        <v>0</v>
      </c>
      <c r="W388" s="16">
        <f t="shared" si="231"/>
        <v>0</v>
      </c>
      <c r="X388" s="16">
        <f t="shared" si="208"/>
        <v>0</v>
      </c>
      <c r="Y388" s="16">
        <f t="shared" si="209"/>
        <v>0</v>
      </c>
      <c r="Z388" s="31">
        <f t="shared" si="210"/>
        <v>0.02</v>
      </c>
      <c r="AA388" s="16">
        <f t="shared" si="211"/>
        <v>0</v>
      </c>
      <c r="AB388" s="28">
        <f t="shared" si="232"/>
        <v>0</v>
      </c>
      <c r="AC388" s="28">
        <f>(SUM($AC$91:AC387)+SUM($X$91:X387)+X388)*T388*IF(D388=$A$91,SRP_finalmonthfactor,1)</f>
        <v>0</v>
      </c>
      <c r="AD388" s="16">
        <f t="shared" si="212"/>
        <v>0</v>
      </c>
      <c r="AE388" s="106"/>
      <c r="AF388" s="16">
        <f t="shared" si="220"/>
        <v>0</v>
      </c>
      <c r="AG388" s="16">
        <f t="shared" si="221"/>
        <v>0</v>
      </c>
      <c r="AH388" s="16">
        <f t="shared" si="222"/>
        <v>0</v>
      </c>
      <c r="AJ388" s="13">
        <f t="shared" si="236"/>
        <v>0</v>
      </c>
      <c r="AK388" s="13">
        <f t="shared" si="236"/>
        <v>0</v>
      </c>
      <c r="AL388" s="13">
        <f t="shared" si="236"/>
        <v>0</v>
      </c>
      <c r="AM388" s="13">
        <f t="shared" si="236"/>
        <v>0</v>
      </c>
      <c r="AN388" s="13">
        <f t="shared" si="236"/>
        <v>0</v>
      </c>
      <c r="AO388" s="13">
        <f t="shared" si="236"/>
        <v>1</v>
      </c>
      <c r="AP388" s="13">
        <f t="shared" si="236"/>
        <v>1</v>
      </c>
      <c r="AQ388" s="13">
        <f t="shared" si="236"/>
        <v>1</v>
      </c>
      <c r="AR388" s="13">
        <f t="shared" si="236"/>
        <v>1</v>
      </c>
      <c r="AS388" s="13">
        <f t="shared" si="236"/>
        <v>1</v>
      </c>
      <c r="AT388" s="13">
        <f t="shared" si="236"/>
        <v>1</v>
      </c>
      <c r="AU388" s="13">
        <f t="shared" si="236"/>
        <v>1</v>
      </c>
      <c r="AV388" s="13">
        <f t="shared" si="213"/>
        <v>0</v>
      </c>
      <c r="AW388" s="13">
        <f t="shared" si="214"/>
        <v>1</v>
      </c>
      <c r="AY388" s="17">
        <f t="shared" si="215"/>
        <v>298</v>
      </c>
      <c r="AZ388" s="28">
        <f t="shared" si="223"/>
        <v>0</v>
      </c>
      <c r="BA388" s="13">
        <f t="shared" si="216"/>
        <v>0</v>
      </c>
      <c r="BB388" s="13">
        <f t="shared" si="217"/>
        <v>0</v>
      </c>
      <c r="BC388" s="28">
        <f t="shared" si="224"/>
        <v>0</v>
      </c>
      <c r="BD388" s="28">
        <f t="shared" si="225"/>
        <v>0</v>
      </c>
      <c r="BF388" s="248">
        <f t="shared" si="226"/>
        <v>993869.29442638322</v>
      </c>
    </row>
    <row r="389" spans="1:58">
      <c r="A389" s="32">
        <f t="shared" si="227"/>
        <v>-214</v>
      </c>
      <c r="B389" s="32">
        <f t="shared" si="218"/>
        <v>77</v>
      </c>
      <c r="C389" s="32">
        <f t="shared" si="228"/>
        <v>25</v>
      </c>
      <c r="D389" s="32">
        <f t="shared" si="229"/>
        <v>299</v>
      </c>
      <c r="E389" s="74">
        <f>MIN(IF(AV389=0,0,
IF(Investment_Strategy="DIS",VLOOKUP(Investment_Strategy&amp;"_"&amp;Investment_Strategy_Sub1&amp;"_"&amp;$A389,'Investment Strategies'!$AZ:$BP,12,FALSE),
IF(AND(Investment_Strategy="Lifecycle",Investment_Strategy_Sub1="Non-Standard"),VLOOKUP(Investment_Strategy&amp;"_"&amp;Investment_Strategy_Sub2&amp;"_"&amp;$A389,'Investment Strategies'!$C:$P,9,FALSE),
IF(AND(Investment_Strategy="Lifecycle",Investment_Strategy_Sub1="Standard"),VLOOKUP(Investment_Strategy&amp;"_"&amp;Investment_Strategy_Sub2&amp;"_"&amp;$A389,'Investment Strategies'!$AJ:$AV,8,FALSE),
IF(AND(Investment_Strategy="Autopilot",Investment_Strategy_Sub1="Non-Standard"),VLOOKUP(Investment_Strategy&amp;"_"&amp;Investment_Strategy_Sub2&amp;"_"&amp;$A389,'Investment Strategies'!$T:$AF,8,FALSE),
IF(Investment_Strategy ="DIY",DIY_RateOfReturn_CurrentFunds,
"Error")))))),Max_InvReturn)</f>
        <v>0</v>
      </c>
      <c r="F389" s="62">
        <f>IF(AV389=0,0,
IF(Investment_Strategy="DIS",VLOOKUP(Investment_Strategy&amp;"_"&amp;Investment_Strategy_Sub1&amp;"_"&amp;$A389,'Investment Strategies'!$AZ:$BP,15,FALSE),
IF(AND(Investment_Strategy="Lifecycle",Investment_Strategy_Sub1="Non-Standard"),VLOOKUP(Investment_Strategy&amp;"_"&amp;Investment_Strategy_Sub2&amp;"_"&amp;$A389,'Investment Strategies'!$C:$P,12,FALSE),
IF(AND(Investment_Strategy="Lifecycle",Investment_Strategy_Sub1="Standard"),VLOOKUP(Investment_Strategy&amp;"_"&amp;Investment_Strategy_Sub2&amp;"_"&amp;$A389,'Investment Strategies'!$AJ:$AV,11,FALSE),
IF(AND(Investment_Strategy="Autopilot",Investment_Strategy_Sub1="Non-Standard"),VLOOKUP(Investment_Strategy&amp;"_"&amp;Investment_Strategy_Sub2&amp;"_"&amp;$A389,'Investment Strategies'!$T:$AF,11,FALSE),
IF(Investment_Strategy="DIY",DIY_GteeChrge_CurrentFunds,
"Error"))))))</f>
        <v>0</v>
      </c>
      <c r="G389" s="33">
        <f>IF(AV389=0,0,
IF(Investment_Strategy="DIS",VLOOKUP(Investment_Strategy&amp;"_"&amp;Investment_Strategy_Sub1&amp;"_"&amp;$A389,'Investment Strategies'!$AZ:$BP,17,FALSE),
IF(AND(Investment_Strategy="Lifecycle",Investment_Strategy_Sub1="Non-Standard"),VLOOKUP(Investment_Strategy&amp;"_"&amp;Investment_Strategy_Sub2&amp;"_"&amp;$A389,'Investment Strategies'!$C:$P,14,FALSE),
IF(AND(Investment_Strategy="Lifecycle",Investment_Strategy_Sub1="Standard"),VLOOKUP(Investment_Strategy&amp;"_"&amp;Investment_Strategy_Sub2&amp;"_"&amp;$A389,'Investment Strategies'!$AJ:$AV,13,FALSE),
IF(AND(Investment_Strategy="Autopilot",Investment_Strategy_Sub1="Non-Standard"),VLOOKUP(Investment_Strategy&amp;"_"&amp;Investment_Strategy_Sub2&amp;"_"&amp;$A389,'Investment Strategies'!$T:$AF,13,FALSE),
IF(Investment_Strategy="DIY",DIY_ExtManChrge_CurrentFunds,
"Error"))))))</f>
        <v>0</v>
      </c>
      <c r="H389" s="16">
        <f t="shared" si="219"/>
        <v>0</v>
      </c>
      <c r="I389" s="16">
        <f t="shared" si="205"/>
        <v>0</v>
      </c>
      <c r="J389" s="16">
        <f t="shared" si="206"/>
        <v>0</v>
      </c>
      <c r="K389" s="16">
        <f>(Opening_Fund_Value+SUM(K$91:K388))*E389*IF(D389=$A$91,SRP_finalmonthfactor,1)</f>
        <v>0</v>
      </c>
      <c r="L389" s="74">
        <f>MIN(IF($AV389=0,0,
IF(Investment_Strategy="DIS",VLOOKUP(Investment_Strategy&amp;"_"&amp;Investment_Strategy_Sub1&amp;"_"&amp;$A389,'Investment Strategies'!$AZ:$BP,12,FALSE),
IF(AND(Investment_Strategy="Lifecycle",Investment_Strategy_Sub1="Non-Standard"),VLOOKUP(Investment_Strategy&amp;"_"&amp;Investment_Strategy_Sub2&amp;"_"&amp;$A389,'Investment Strategies'!$C:$P,9,FALSE),
IF(AND(Investment_Strategy="Lifecycle",Investment_Strategy_Sub1="Standard"),VLOOKUP(Investment_Strategy&amp;"_"&amp;Investment_Strategy_Sub2&amp;"_"&amp;$A389,'Investment Strategies'!$AJ:$AV,8,FALSE),
IF(AND(Investment_Strategy="Autopilot",Investment_Strategy_Sub1="Non-Standard"),VLOOKUP(Investment_Strategy&amp;"_"&amp;Investment_Strategy_Sub2&amp;"_"&amp;$A389,'Investment Strategies'!$T:$AF,8,FALSE),
IF(Investment_Strategy ="DIY",DIY_RateofReturn_SP,
"Error")))))),Max_InvReturn)</f>
        <v>0</v>
      </c>
      <c r="M389" s="62">
        <f>IF($AV389=0,0,
IF(Investment_Strategy="DIS",VLOOKUP(Investment_Strategy&amp;"_"&amp;Investment_Strategy_Sub1&amp;"_"&amp;$A389,'Investment Strategies'!$AZ:$BP,15,FALSE),
IF(AND(Investment_Strategy="Lifecycle",Investment_Strategy_Sub1="Non-Standard"),VLOOKUP(Investment_Strategy&amp;"_"&amp;Investment_Strategy_Sub2&amp;"_"&amp;$A389,'Investment Strategies'!$C:$P,12,FALSE),
IF(AND(Investment_Strategy="Lifecycle",Investment_Strategy_Sub1="Standard"),VLOOKUP(Investment_Strategy&amp;"_"&amp;Investment_Strategy_Sub2&amp;"_"&amp;$A389,'Investment Strategies'!$AJ:$AV,11,FALSE),
IF(AND(Investment_Strategy="Autopilot",Investment_Strategy_Sub1="Non-Standard"),VLOOKUP(Investment_Strategy&amp;"_"&amp;Investment_Strategy_Sub2&amp;"_"&amp;$A389,'Investment Strategies'!$T:$AF,11,FALSE),
IF(Investment_Strategy="DIY",DIY_GteeChrge_SP,
"Error"))))))</f>
        <v>0</v>
      </c>
      <c r="N389" s="33">
        <f>IF($AV389=0,0,
IF(Investment_Strategy="DIS",VLOOKUP(Investment_Strategy&amp;"_"&amp;Investment_Strategy_Sub1&amp;"_"&amp;$A389,'Investment Strategies'!$AZ:$BP,17,FALSE),
IF(AND(Investment_Strategy="Lifecycle",Investment_Strategy_Sub1="Non-Standard"),VLOOKUP(Investment_Strategy&amp;"_"&amp;Investment_Strategy_Sub2&amp;"_"&amp;$A389,'Investment Strategies'!$C:$P,14,FALSE),
IF(AND(Investment_Strategy="Lifecycle",Investment_Strategy_Sub1="Standard"),VLOOKUP(Investment_Strategy&amp;"_"&amp;Investment_Strategy_Sub2&amp;"_"&amp;$A389,'Investment Strategies'!$AJ:$AV,13,FALSE),
IF(AND(Investment_Strategy="Autopilot",Investment_Strategy_Sub1="Non-Standard"),VLOOKUP(Investment_Strategy&amp;"_"&amp;Investment_Strategy_Sub2&amp;"_"&amp;$A389,'Investment Strategies'!$T:$AF,13,FALSE),
IF(Investment_Strategy="DIY",DIY_ExtManChrge_SP,
"Error"))))))</f>
        <v>0</v>
      </c>
      <c r="O389" s="16">
        <f t="shared" si="230"/>
        <v>0</v>
      </c>
      <c r="Q389" s="16">
        <f t="shared" si="207"/>
        <v>0</v>
      </c>
      <c r="R389" s="16">
        <f t="shared" si="203"/>
        <v>0</v>
      </c>
      <c r="S389" s="16">
        <f>(SRP_SP+SUM(S$91:S388))*L389*IF(D389=$A$91,SRP_finalmonthfactor,1)</f>
        <v>0</v>
      </c>
      <c r="T389" s="74">
        <f>MIN(IF($AV389=0,0,
IF(Investment_Strategy="DIS",VLOOKUP(Investment_Strategy&amp;"_"&amp;Investment_Strategy_Sub1&amp;"_"&amp;$A389,'Investment Strategies'!$AZ:$BP,12,FALSE),
IF(AND(Investment_Strategy="Lifecycle",Investment_Strategy_Sub1="Non-Standard"),VLOOKUP(Investment_Strategy&amp;"_"&amp;Investment_Strategy_Sub2&amp;"_"&amp;$A389,'Investment Strategies'!$C:$P,9,FALSE),
IF(AND(Investment_Strategy="Lifecycle",Investment_Strategy_Sub1="Standard"),VLOOKUP(Investment_Strategy&amp;"_"&amp;Investment_Strategy_Sub2&amp;"_"&amp;$A389,'Investment Strategies'!$AJ:$AV,8,FALSE),
IF(AND(Investment_Strategy="Autopilot",Investment_Strategy_Sub1="Non-Standard"),VLOOKUP(Investment_Strategy&amp;"_"&amp;Investment_Strategy_Sub2&amp;"_"&amp;$A389,'Investment Strategies'!$T:$AF,8,FALSE),
IF(Investment_Strategy ="DIY",DIY_RateOfReturn_FuturePremiums,
"Error")))))),Max_InvReturn)</f>
        <v>0</v>
      </c>
      <c r="U389" s="62">
        <f>IF($AV389=0,0,
IF(Investment_Strategy="DIS",VLOOKUP(Investment_Strategy&amp;"_"&amp;Investment_Strategy_Sub1&amp;"_"&amp;$A389,'Investment Strategies'!$AZ:$BP,15,FALSE),
IF(AND(Investment_Strategy="Lifecycle",Investment_Strategy_Sub1="Non-Standard"),VLOOKUP(Investment_Strategy&amp;"_"&amp;Investment_Strategy_Sub2&amp;"_"&amp;$A389,'Investment Strategies'!$C:$P,12,FALSE),
IF(AND(Investment_Strategy="Lifecycle",Investment_Strategy_Sub1="Standard"),VLOOKUP(Investment_Strategy&amp;"_"&amp;Investment_Strategy_Sub2&amp;"_"&amp;$A389,'Investment Strategies'!$AJ:$AV,11,FALSE),
IF(AND(Investment_Strategy="Autopilot",Investment_Strategy_Sub1="Non-Standard"),VLOOKUP(Investment_Strategy&amp;"_"&amp;Investment_Strategy_Sub2&amp;"_"&amp;$A389,'Investment Strategies'!$T:$AF,11,FALSE),
IF(Investment_Strategy="DIY",DIY_GteeChrge_FuturePremiums,
"Error"))))))</f>
        <v>0</v>
      </c>
      <c r="V389" s="33">
        <f>IF(AV389=0,0,
IF(Investment_Strategy="DIS",VLOOKUP(Investment_Strategy&amp;"_"&amp;Investment_Strategy_Sub1&amp;"_"&amp;$A389,'Investment Strategies'!$AZ:$BP,17,FALSE),
IF(AND(Investment_Strategy="Lifecycle",Investment_Strategy_Sub1="Non-Standard"),VLOOKUP(Investment_Strategy&amp;"_"&amp;Investment_Strategy_Sub2&amp;"_"&amp;$A389,'Investment Strategies'!$C:$P,14,FALSE),
IF(AND(Investment_Strategy="Lifecycle",Investment_Strategy_Sub1="Standard"),VLOOKUP(Investment_Strategy&amp;"_"&amp;Investment_Strategy_Sub2&amp;"_"&amp;$A389,'Investment Strategies'!$AJ:$AV,13,FALSE),
IF(AND(Investment_Strategy="Autopilot",Investment_Strategy_Sub1="Non-Standard"),VLOOKUP(Investment_Strategy&amp;"_"&amp;Investment_Strategy_Sub2&amp;"_"&amp;$A389,'Investment Strategies'!$T:$AF,13,FALSE),
IF(Investment_Strategy="DIY",DIY_ExtManChrge_FuturePremiums,
"Error"))))))</f>
        <v>0</v>
      </c>
      <c r="W389" s="16">
        <f t="shared" si="231"/>
        <v>0</v>
      </c>
      <c r="X389" s="16">
        <f t="shared" si="208"/>
        <v>0</v>
      </c>
      <c r="Y389" s="16">
        <f t="shared" si="209"/>
        <v>0</v>
      </c>
      <c r="Z389" s="31">
        <f t="shared" si="210"/>
        <v>0.02</v>
      </c>
      <c r="AA389" s="16">
        <f t="shared" si="211"/>
        <v>0</v>
      </c>
      <c r="AB389" s="28">
        <f t="shared" si="232"/>
        <v>0</v>
      </c>
      <c r="AC389" s="28">
        <f>(SUM($AC$91:AC388)+SUM($X$91:X388)+X389)*T389*IF(D389=$A$91,SRP_finalmonthfactor,1)</f>
        <v>0</v>
      </c>
      <c r="AD389" s="16">
        <f t="shared" si="212"/>
        <v>0</v>
      </c>
      <c r="AE389" s="106"/>
      <c r="AF389" s="16">
        <f t="shared" si="220"/>
        <v>0</v>
      </c>
      <c r="AG389" s="16">
        <f t="shared" si="221"/>
        <v>0</v>
      </c>
      <c r="AH389" s="16">
        <f t="shared" si="222"/>
        <v>0</v>
      </c>
      <c r="AJ389" s="13">
        <f t="shared" si="236"/>
        <v>0</v>
      </c>
      <c r="AK389" s="13">
        <f t="shared" si="236"/>
        <v>0</v>
      </c>
      <c r="AL389" s="13">
        <f t="shared" si="236"/>
        <v>0</v>
      </c>
      <c r="AM389" s="13">
        <f t="shared" si="236"/>
        <v>0</v>
      </c>
      <c r="AN389" s="13">
        <f t="shared" si="236"/>
        <v>0</v>
      </c>
      <c r="AO389" s="13">
        <f t="shared" si="236"/>
        <v>1</v>
      </c>
      <c r="AP389" s="13">
        <f t="shared" si="236"/>
        <v>1</v>
      </c>
      <c r="AQ389" s="13">
        <f t="shared" si="236"/>
        <v>1</v>
      </c>
      <c r="AR389" s="13">
        <f t="shared" si="236"/>
        <v>1</v>
      </c>
      <c r="AS389" s="13">
        <f t="shared" si="236"/>
        <v>1</v>
      </c>
      <c r="AT389" s="13">
        <f t="shared" si="236"/>
        <v>1</v>
      </c>
      <c r="AU389" s="13">
        <f t="shared" si="236"/>
        <v>1</v>
      </c>
      <c r="AV389" s="13">
        <f t="shared" si="213"/>
        <v>0</v>
      </c>
      <c r="AW389" s="13">
        <f t="shared" si="214"/>
        <v>1</v>
      </c>
      <c r="AY389" s="17">
        <f t="shared" si="215"/>
        <v>299</v>
      </c>
      <c r="AZ389" s="28">
        <f t="shared" si="223"/>
        <v>0</v>
      </c>
      <c r="BA389" s="13">
        <f t="shared" si="216"/>
        <v>0</v>
      </c>
      <c r="BB389" s="13">
        <f t="shared" si="217"/>
        <v>0</v>
      </c>
      <c r="BC389" s="28">
        <f t="shared" si="224"/>
        <v>0</v>
      </c>
      <c r="BD389" s="28">
        <f t="shared" si="225"/>
        <v>0</v>
      </c>
      <c r="BF389" s="248">
        <f t="shared" si="226"/>
        <v>993869.29442638322</v>
      </c>
    </row>
    <row r="390" spans="1:58">
      <c r="A390" s="32">
        <f t="shared" si="227"/>
        <v>-215</v>
      </c>
      <c r="B390" s="32">
        <f t="shared" si="218"/>
        <v>77</v>
      </c>
      <c r="C390" s="32">
        <f t="shared" si="228"/>
        <v>25</v>
      </c>
      <c r="D390" s="32">
        <f t="shared" si="229"/>
        <v>300</v>
      </c>
      <c r="E390" s="74">
        <f>MIN(IF(AV390=0,0,
IF(Investment_Strategy="DIS",VLOOKUP(Investment_Strategy&amp;"_"&amp;Investment_Strategy_Sub1&amp;"_"&amp;$A390,'Investment Strategies'!$AZ:$BP,12,FALSE),
IF(AND(Investment_Strategy="Lifecycle",Investment_Strategy_Sub1="Non-Standard"),VLOOKUP(Investment_Strategy&amp;"_"&amp;Investment_Strategy_Sub2&amp;"_"&amp;$A390,'Investment Strategies'!$C:$P,9,FALSE),
IF(AND(Investment_Strategy="Lifecycle",Investment_Strategy_Sub1="Standard"),VLOOKUP(Investment_Strategy&amp;"_"&amp;Investment_Strategy_Sub2&amp;"_"&amp;$A390,'Investment Strategies'!$AJ:$AV,8,FALSE),
IF(AND(Investment_Strategy="Autopilot",Investment_Strategy_Sub1="Non-Standard"),VLOOKUP(Investment_Strategy&amp;"_"&amp;Investment_Strategy_Sub2&amp;"_"&amp;$A390,'Investment Strategies'!$T:$AF,8,FALSE),
IF(Investment_Strategy ="DIY",DIY_RateOfReturn_CurrentFunds,
"Error")))))),Max_InvReturn)</f>
        <v>0</v>
      </c>
      <c r="F390" s="62">
        <f>IF(AV390=0,0,
IF(Investment_Strategy="DIS",VLOOKUP(Investment_Strategy&amp;"_"&amp;Investment_Strategy_Sub1&amp;"_"&amp;$A390,'Investment Strategies'!$AZ:$BP,15,FALSE),
IF(AND(Investment_Strategy="Lifecycle",Investment_Strategy_Sub1="Non-Standard"),VLOOKUP(Investment_Strategy&amp;"_"&amp;Investment_Strategy_Sub2&amp;"_"&amp;$A390,'Investment Strategies'!$C:$P,12,FALSE),
IF(AND(Investment_Strategy="Lifecycle",Investment_Strategy_Sub1="Standard"),VLOOKUP(Investment_Strategy&amp;"_"&amp;Investment_Strategy_Sub2&amp;"_"&amp;$A390,'Investment Strategies'!$AJ:$AV,11,FALSE),
IF(AND(Investment_Strategy="Autopilot",Investment_Strategy_Sub1="Non-Standard"),VLOOKUP(Investment_Strategy&amp;"_"&amp;Investment_Strategy_Sub2&amp;"_"&amp;$A390,'Investment Strategies'!$T:$AF,11,FALSE),
IF(Investment_Strategy="DIY",DIY_GteeChrge_CurrentFunds,
"Error"))))))</f>
        <v>0</v>
      </c>
      <c r="G390" s="33">
        <f>IF(AV390=0,0,
IF(Investment_Strategy="DIS",VLOOKUP(Investment_Strategy&amp;"_"&amp;Investment_Strategy_Sub1&amp;"_"&amp;$A390,'Investment Strategies'!$AZ:$BP,17,FALSE),
IF(AND(Investment_Strategy="Lifecycle",Investment_Strategy_Sub1="Non-Standard"),VLOOKUP(Investment_Strategy&amp;"_"&amp;Investment_Strategy_Sub2&amp;"_"&amp;$A390,'Investment Strategies'!$C:$P,14,FALSE),
IF(AND(Investment_Strategy="Lifecycle",Investment_Strategy_Sub1="Standard"),VLOOKUP(Investment_Strategy&amp;"_"&amp;Investment_Strategy_Sub2&amp;"_"&amp;$A390,'Investment Strategies'!$AJ:$AV,13,FALSE),
IF(AND(Investment_Strategy="Autopilot",Investment_Strategy_Sub1="Non-Standard"),VLOOKUP(Investment_Strategy&amp;"_"&amp;Investment_Strategy_Sub2&amp;"_"&amp;$A390,'Investment Strategies'!$T:$AF,13,FALSE),
IF(Investment_Strategy="DIY",DIY_ExtManChrge_CurrentFunds,
"Error"))))))</f>
        <v>0</v>
      </c>
      <c r="H390" s="16">
        <f t="shared" si="219"/>
        <v>0</v>
      </c>
      <c r="I390" s="16">
        <f t="shared" si="205"/>
        <v>0</v>
      </c>
      <c r="J390" s="16">
        <f t="shared" si="206"/>
        <v>0</v>
      </c>
      <c r="K390" s="16">
        <f>(Opening_Fund_Value+SUM(K$91:K389))*E390*IF(D390=$A$91,SRP_finalmonthfactor,1)</f>
        <v>0</v>
      </c>
      <c r="L390" s="74">
        <f>MIN(IF($AV390=0,0,
IF(Investment_Strategy="DIS",VLOOKUP(Investment_Strategy&amp;"_"&amp;Investment_Strategy_Sub1&amp;"_"&amp;$A390,'Investment Strategies'!$AZ:$BP,12,FALSE),
IF(AND(Investment_Strategy="Lifecycle",Investment_Strategy_Sub1="Non-Standard"),VLOOKUP(Investment_Strategy&amp;"_"&amp;Investment_Strategy_Sub2&amp;"_"&amp;$A390,'Investment Strategies'!$C:$P,9,FALSE),
IF(AND(Investment_Strategy="Lifecycle",Investment_Strategy_Sub1="Standard"),VLOOKUP(Investment_Strategy&amp;"_"&amp;Investment_Strategy_Sub2&amp;"_"&amp;$A390,'Investment Strategies'!$AJ:$AV,8,FALSE),
IF(AND(Investment_Strategy="Autopilot",Investment_Strategy_Sub1="Non-Standard"),VLOOKUP(Investment_Strategy&amp;"_"&amp;Investment_Strategy_Sub2&amp;"_"&amp;$A390,'Investment Strategies'!$T:$AF,8,FALSE),
IF(Investment_Strategy ="DIY",DIY_RateofReturn_SP,
"Error")))))),Max_InvReturn)</f>
        <v>0</v>
      </c>
      <c r="M390" s="62">
        <f>IF($AV390=0,0,
IF(Investment_Strategy="DIS",VLOOKUP(Investment_Strategy&amp;"_"&amp;Investment_Strategy_Sub1&amp;"_"&amp;$A390,'Investment Strategies'!$AZ:$BP,15,FALSE),
IF(AND(Investment_Strategy="Lifecycle",Investment_Strategy_Sub1="Non-Standard"),VLOOKUP(Investment_Strategy&amp;"_"&amp;Investment_Strategy_Sub2&amp;"_"&amp;$A390,'Investment Strategies'!$C:$P,12,FALSE),
IF(AND(Investment_Strategy="Lifecycle",Investment_Strategy_Sub1="Standard"),VLOOKUP(Investment_Strategy&amp;"_"&amp;Investment_Strategy_Sub2&amp;"_"&amp;$A390,'Investment Strategies'!$AJ:$AV,11,FALSE),
IF(AND(Investment_Strategy="Autopilot",Investment_Strategy_Sub1="Non-Standard"),VLOOKUP(Investment_Strategy&amp;"_"&amp;Investment_Strategy_Sub2&amp;"_"&amp;$A390,'Investment Strategies'!$T:$AF,11,FALSE),
IF(Investment_Strategy="DIY",DIY_GteeChrge_SP,
"Error"))))))</f>
        <v>0</v>
      </c>
      <c r="N390" s="33">
        <f>IF($AV390=0,0,
IF(Investment_Strategy="DIS",VLOOKUP(Investment_Strategy&amp;"_"&amp;Investment_Strategy_Sub1&amp;"_"&amp;$A390,'Investment Strategies'!$AZ:$BP,17,FALSE),
IF(AND(Investment_Strategy="Lifecycle",Investment_Strategy_Sub1="Non-Standard"),VLOOKUP(Investment_Strategy&amp;"_"&amp;Investment_Strategy_Sub2&amp;"_"&amp;$A390,'Investment Strategies'!$C:$P,14,FALSE),
IF(AND(Investment_Strategy="Lifecycle",Investment_Strategy_Sub1="Standard"),VLOOKUP(Investment_Strategy&amp;"_"&amp;Investment_Strategy_Sub2&amp;"_"&amp;$A390,'Investment Strategies'!$AJ:$AV,13,FALSE),
IF(AND(Investment_Strategy="Autopilot",Investment_Strategy_Sub1="Non-Standard"),VLOOKUP(Investment_Strategy&amp;"_"&amp;Investment_Strategy_Sub2&amp;"_"&amp;$A390,'Investment Strategies'!$T:$AF,13,FALSE),
IF(Investment_Strategy="DIY",DIY_ExtManChrge_SP,
"Error"))))))</f>
        <v>0</v>
      </c>
      <c r="O390" s="16">
        <f t="shared" si="230"/>
        <v>0</v>
      </c>
      <c r="Q390" s="16">
        <f t="shared" si="207"/>
        <v>0</v>
      </c>
      <c r="R390" s="16">
        <f t="shared" si="203"/>
        <v>0</v>
      </c>
      <c r="S390" s="16">
        <f>(SRP_SP+SUM(S$91:S389))*L390*IF(D390=$A$91,SRP_finalmonthfactor,1)</f>
        <v>0</v>
      </c>
      <c r="T390" s="74">
        <f>MIN(IF($AV390=0,0,
IF(Investment_Strategy="DIS",VLOOKUP(Investment_Strategy&amp;"_"&amp;Investment_Strategy_Sub1&amp;"_"&amp;$A390,'Investment Strategies'!$AZ:$BP,12,FALSE),
IF(AND(Investment_Strategy="Lifecycle",Investment_Strategy_Sub1="Non-Standard"),VLOOKUP(Investment_Strategy&amp;"_"&amp;Investment_Strategy_Sub2&amp;"_"&amp;$A390,'Investment Strategies'!$C:$P,9,FALSE),
IF(AND(Investment_Strategy="Lifecycle",Investment_Strategy_Sub1="Standard"),VLOOKUP(Investment_Strategy&amp;"_"&amp;Investment_Strategy_Sub2&amp;"_"&amp;$A390,'Investment Strategies'!$AJ:$AV,8,FALSE),
IF(AND(Investment_Strategy="Autopilot",Investment_Strategy_Sub1="Non-Standard"),VLOOKUP(Investment_Strategy&amp;"_"&amp;Investment_Strategy_Sub2&amp;"_"&amp;$A390,'Investment Strategies'!$T:$AF,8,FALSE),
IF(Investment_Strategy ="DIY",DIY_RateOfReturn_FuturePremiums,
"Error")))))),Max_InvReturn)</f>
        <v>0</v>
      </c>
      <c r="U390" s="62">
        <f>IF($AV390=0,0,
IF(Investment_Strategy="DIS",VLOOKUP(Investment_Strategy&amp;"_"&amp;Investment_Strategy_Sub1&amp;"_"&amp;$A390,'Investment Strategies'!$AZ:$BP,15,FALSE),
IF(AND(Investment_Strategy="Lifecycle",Investment_Strategy_Sub1="Non-Standard"),VLOOKUP(Investment_Strategy&amp;"_"&amp;Investment_Strategy_Sub2&amp;"_"&amp;$A390,'Investment Strategies'!$C:$P,12,FALSE),
IF(AND(Investment_Strategy="Lifecycle",Investment_Strategy_Sub1="Standard"),VLOOKUP(Investment_Strategy&amp;"_"&amp;Investment_Strategy_Sub2&amp;"_"&amp;$A390,'Investment Strategies'!$AJ:$AV,11,FALSE),
IF(AND(Investment_Strategy="Autopilot",Investment_Strategy_Sub1="Non-Standard"),VLOOKUP(Investment_Strategy&amp;"_"&amp;Investment_Strategy_Sub2&amp;"_"&amp;$A390,'Investment Strategies'!$T:$AF,11,FALSE),
IF(Investment_Strategy="DIY",DIY_GteeChrge_FuturePremiums,
"Error"))))))</f>
        <v>0</v>
      </c>
      <c r="V390" s="33">
        <f>IF(AV390=0,0,
IF(Investment_Strategy="DIS",VLOOKUP(Investment_Strategy&amp;"_"&amp;Investment_Strategy_Sub1&amp;"_"&amp;$A390,'Investment Strategies'!$AZ:$BP,17,FALSE),
IF(AND(Investment_Strategy="Lifecycle",Investment_Strategy_Sub1="Non-Standard"),VLOOKUP(Investment_Strategy&amp;"_"&amp;Investment_Strategy_Sub2&amp;"_"&amp;$A390,'Investment Strategies'!$C:$P,14,FALSE),
IF(AND(Investment_Strategy="Lifecycle",Investment_Strategy_Sub1="Standard"),VLOOKUP(Investment_Strategy&amp;"_"&amp;Investment_Strategy_Sub2&amp;"_"&amp;$A390,'Investment Strategies'!$AJ:$AV,13,FALSE),
IF(AND(Investment_Strategy="Autopilot",Investment_Strategy_Sub1="Non-Standard"),VLOOKUP(Investment_Strategy&amp;"_"&amp;Investment_Strategy_Sub2&amp;"_"&amp;$A390,'Investment Strategies'!$T:$AF,13,FALSE),
IF(Investment_Strategy="DIY",DIY_ExtManChrge_FuturePremiums,
"Error"))))))</f>
        <v>0</v>
      </c>
      <c r="W390" s="16">
        <f t="shared" si="231"/>
        <v>0</v>
      </c>
      <c r="X390" s="16">
        <f t="shared" si="208"/>
        <v>0</v>
      </c>
      <c r="Y390" s="16">
        <f t="shared" si="209"/>
        <v>0</v>
      </c>
      <c r="Z390" s="31">
        <f t="shared" si="210"/>
        <v>0.02</v>
      </c>
      <c r="AA390" s="16">
        <f t="shared" si="211"/>
        <v>0</v>
      </c>
      <c r="AB390" s="28">
        <f t="shared" si="232"/>
        <v>0</v>
      </c>
      <c r="AC390" s="28">
        <f>(SUM($AC$91:AC389)+SUM($X$91:X389)+X390)*T390*IF(D390=$A$91,SRP_finalmonthfactor,1)</f>
        <v>0</v>
      </c>
      <c r="AD390" s="16">
        <f t="shared" si="212"/>
        <v>0</v>
      </c>
      <c r="AE390" s="106"/>
      <c r="AF390" s="16">
        <f t="shared" si="220"/>
        <v>0</v>
      </c>
      <c r="AG390" s="16">
        <f t="shared" si="221"/>
        <v>0</v>
      </c>
      <c r="AH390" s="16">
        <f t="shared" si="222"/>
        <v>0</v>
      </c>
      <c r="AJ390" s="13">
        <f t="shared" si="236"/>
        <v>0</v>
      </c>
      <c r="AK390" s="13">
        <f t="shared" si="236"/>
        <v>0</v>
      </c>
      <c r="AL390" s="13">
        <f t="shared" si="236"/>
        <v>0</v>
      </c>
      <c r="AM390" s="13">
        <f t="shared" si="236"/>
        <v>0</v>
      </c>
      <c r="AN390" s="13">
        <f t="shared" si="236"/>
        <v>0</v>
      </c>
      <c r="AO390" s="13">
        <f t="shared" si="236"/>
        <v>1</v>
      </c>
      <c r="AP390" s="13">
        <f t="shared" si="236"/>
        <v>1</v>
      </c>
      <c r="AQ390" s="13">
        <f t="shared" si="236"/>
        <v>1</v>
      </c>
      <c r="AR390" s="13">
        <f t="shared" si="236"/>
        <v>1</v>
      </c>
      <c r="AS390" s="13">
        <f t="shared" si="236"/>
        <v>1</v>
      </c>
      <c r="AT390" s="13">
        <f t="shared" si="236"/>
        <v>1</v>
      </c>
      <c r="AU390" s="13">
        <f t="shared" si="236"/>
        <v>1</v>
      </c>
      <c r="AV390" s="13">
        <f t="shared" si="213"/>
        <v>0</v>
      </c>
      <c r="AW390" s="13">
        <f t="shared" si="214"/>
        <v>1</v>
      </c>
      <c r="AY390" s="17">
        <f t="shared" si="215"/>
        <v>300</v>
      </c>
      <c r="AZ390" s="28">
        <f t="shared" si="223"/>
        <v>0</v>
      </c>
      <c r="BA390" s="13">
        <f t="shared" si="216"/>
        <v>0</v>
      </c>
      <c r="BB390" s="13">
        <f t="shared" si="217"/>
        <v>0</v>
      </c>
      <c r="BC390" s="28">
        <f t="shared" si="224"/>
        <v>0</v>
      </c>
      <c r="BD390" s="28">
        <f t="shared" si="225"/>
        <v>0</v>
      </c>
      <c r="BF390" s="248">
        <f t="shared" si="226"/>
        <v>993869.29442638322</v>
      </c>
    </row>
    <row r="391" spans="1:58">
      <c r="A391" s="32">
        <f t="shared" si="227"/>
        <v>-216</v>
      </c>
      <c r="B391" s="32">
        <f t="shared" si="218"/>
        <v>78</v>
      </c>
      <c r="C391" s="32">
        <f t="shared" si="228"/>
        <v>26</v>
      </c>
      <c r="D391" s="32">
        <f t="shared" si="229"/>
        <v>301</v>
      </c>
      <c r="E391" s="74">
        <f>MIN(IF(AV391=0,0,
IF(Investment_Strategy="DIS",VLOOKUP(Investment_Strategy&amp;"_"&amp;Investment_Strategy_Sub1&amp;"_"&amp;$A391,'Investment Strategies'!$AZ:$BP,12,FALSE),
IF(AND(Investment_Strategy="Lifecycle",Investment_Strategy_Sub1="Non-Standard"),VLOOKUP(Investment_Strategy&amp;"_"&amp;Investment_Strategy_Sub2&amp;"_"&amp;$A391,'Investment Strategies'!$C:$P,9,FALSE),
IF(AND(Investment_Strategy="Lifecycle",Investment_Strategy_Sub1="Standard"),VLOOKUP(Investment_Strategy&amp;"_"&amp;Investment_Strategy_Sub2&amp;"_"&amp;$A391,'Investment Strategies'!$AJ:$AV,8,FALSE),
IF(AND(Investment_Strategy="Autopilot",Investment_Strategy_Sub1="Non-Standard"),VLOOKUP(Investment_Strategy&amp;"_"&amp;Investment_Strategy_Sub2&amp;"_"&amp;$A391,'Investment Strategies'!$T:$AF,8,FALSE),
IF(Investment_Strategy ="DIY",DIY_RateOfReturn_CurrentFunds,
"Error")))))),Max_InvReturn)</f>
        <v>0</v>
      </c>
      <c r="F391" s="62">
        <f>IF(AV391=0,0,
IF(Investment_Strategy="DIS",VLOOKUP(Investment_Strategy&amp;"_"&amp;Investment_Strategy_Sub1&amp;"_"&amp;$A391,'Investment Strategies'!$AZ:$BP,15,FALSE),
IF(AND(Investment_Strategy="Lifecycle",Investment_Strategy_Sub1="Non-Standard"),VLOOKUP(Investment_Strategy&amp;"_"&amp;Investment_Strategy_Sub2&amp;"_"&amp;$A391,'Investment Strategies'!$C:$P,12,FALSE),
IF(AND(Investment_Strategy="Lifecycle",Investment_Strategy_Sub1="Standard"),VLOOKUP(Investment_Strategy&amp;"_"&amp;Investment_Strategy_Sub2&amp;"_"&amp;$A391,'Investment Strategies'!$AJ:$AV,11,FALSE),
IF(AND(Investment_Strategy="Autopilot",Investment_Strategy_Sub1="Non-Standard"),VLOOKUP(Investment_Strategy&amp;"_"&amp;Investment_Strategy_Sub2&amp;"_"&amp;$A391,'Investment Strategies'!$T:$AF,11,FALSE),
IF(Investment_Strategy="DIY",DIY_GteeChrge_CurrentFunds,
"Error"))))))</f>
        <v>0</v>
      </c>
      <c r="G391" s="33">
        <f>IF(AV391=0,0,
IF(Investment_Strategy="DIS",VLOOKUP(Investment_Strategy&amp;"_"&amp;Investment_Strategy_Sub1&amp;"_"&amp;$A391,'Investment Strategies'!$AZ:$BP,17,FALSE),
IF(AND(Investment_Strategy="Lifecycle",Investment_Strategy_Sub1="Non-Standard"),VLOOKUP(Investment_Strategy&amp;"_"&amp;Investment_Strategy_Sub2&amp;"_"&amp;$A391,'Investment Strategies'!$C:$P,14,FALSE),
IF(AND(Investment_Strategy="Lifecycle",Investment_Strategy_Sub1="Standard"),VLOOKUP(Investment_Strategy&amp;"_"&amp;Investment_Strategy_Sub2&amp;"_"&amp;$A391,'Investment Strategies'!$AJ:$AV,13,FALSE),
IF(AND(Investment_Strategy="Autopilot",Investment_Strategy_Sub1="Non-Standard"),VLOOKUP(Investment_Strategy&amp;"_"&amp;Investment_Strategy_Sub2&amp;"_"&amp;$A391,'Investment Strategies'!$T:$AF,13,FALSE),
IF(Investment_Strategy="DIY",DIY_ExtManChrge_CurrentFunds,
"Error"))))))</f>
        <v>0</v>
      </c>
      <c r="H391" s="16">
        <f t="shared" si="219"/>
        <v>0</v>
      </c>
      <c r="I391" s="16">
        <f t="shared" si="205"/>
        <v>0</v>
      </c>
      <c r="J391" s="16">
        <f t="shared" si="206"/>
        <v>0</v>
      </c>
      <c r="K391" s="16">
        <f>(Opening_Fund_Value+SUM(K$91:K390))*E391*IF(D391=$A$91,SRP_finalmonthfactor,1)</f>
        <v>0</v>
      </c>
      <c r="L391" s="74">
        <f>MIN(IF($AV391=0,0,
IF(Investment_Strategy="DIS",VLOOKUP(Investment_Strategy&amp;"_"&amp;Investment_Strategy_Sub1&amp;"_"&amp;$A391,'Investment Strategies'!$AZ:$BP,12,FALSE),
IF(AND(Investment_Strategy="Lifecycle",Investment_Strategy_Sub1="Non-Standard"),VLOOKUP(Investment_Strategy&amp;"_"&amp;Investment_Strategy_Sub2&amp;"_"&amp;$A391,'Investment Strategies'!$C:$P,9,FALSE),
IF(AND(Investment_Strategy="Lifecycle",Investment_Strategy_Sub1="Standard"),VLOOKUP(Investment_Strategy&amp;"_"&amp;Investment_Strategy_Sub2&amp;"_"&amp;$A391,'Investment Strategies'!$AJ:$AV,8,FALSE),
IF(AND(Investment_Strategy="Autopilot",Investment_Strategy_Sub1="Non-Standard"),VLOOKUP(Investment_Strategy&amp;"_"&amp;Investment_Strategy_Sub2&amp;"_"&amp;$A391,'Investment Strategies'!$T:$AF,8,FALSE),
IF(Investment_Strategy ="DIY",DIY_RateofReturn_SP,
"Error")))))),Max_InvReturn)</f>
        <v>0</v>
      </c>
      <c r="M391" s="62">
        <f>IF($AV391=0,0,
IF(Investment_Strategy="DIS",VLOOKUP(Investment_Strategy&amp;"_"&amp;Investment_Strategy_Sub1&amp;"_"&amp;$A391,'Investment Strategies'!$AZ:$BP,15,FALSE),
IF(AND(Investment_Strategy="Lifecycle",Investment_Strategy_Sub1="Non-Standard"),VLOOKUP(Investment_Strategy&amp;"_"&amp;Investment_Strategy_Sub2&amp;"_"&amp;$A391,'Investment Strategies'!$C:$P,12,FALSE),
IF(AND(Investment_Strategy="Lifecycle",Investment_Strategy_Sub1="Standard"),VLOOKUP(Investment_Strategy&amp;"_"&amp;Investment_Strategy_Sub2&amp;"_"&amp;$A391,'Investment Strategies'!$AJ:$AV,11,FALSE),
IF(AND(Investment_Strategy="Autopilot",Investment_Strategy_Sub1="Non-Standard"),VLOOKUP(Investment_Strategy&amp;"_"&amp;Investment_Strategy_Sub2&amp;"_"&amp;$A391,'Investment Strategies'!$T:$AF,11,FALSE),
IF(Investment_Strategy="DIY",DIY_GteeChrge_SP,
"Error"))))))</f>
        <v>0</v>
      </c>
      <c r="N391" s="33">
        <f>IF($AV391=0,0,
IF(Investment_Strategy="DIS",VLOOKUP(Investment_Strategy&amp;"_"&amp;Investment_Strategy_Sub1&amp;"_"&amp;$A391,'Investment Strategies'!$AZ:$BP,17,FALSE),
IF(AND(Investment_Strategy="Lifecycle",Investment_Strategy_Sub1="Non-Standard"),VLOOKUP(Investment_Strategy&amp;"_"&amp;Investment_Strategy_Sub2&amp;"_"&amp;$A391,'Investment Strategies'!$C:$P,14,FALSE),
IF(AND(Investment_Strategy="Lifecycle",Investment_Strategy_Sub1="Standard"),VLOOKUP(Investment_Strategy&amp;"_"&amp;Investment_Strategy_Sub2&amp;"_"&amp;$A391,'Investment Strategies'!$AJ:$AV,13,FALSE),
IF(AND(Investment_Strategy="Autopilot",Investment_Strategy_Sub1="Non-Standard"),VLOOKUP(Investment_Strategy&amp;"_"&amp;Investment_Strategy_Sub2&amp;"_"&amp;$A391,'Investment Strategies'!$T:$AF,13,FALSE),
IF(Investment_Strategy="DIY",DIY_ExtManChrge_SP,
"Error"))))))</f>
        <v>0</v>
      </c>
      <c r="O391" s="16">
        <f t="shared" si="230"/>
        <v>0</v>
      </c>
      <c r="Q391" s="16">
        <f t="shared" si="207"/>
        <v>0</v>
      </c>
      <c r="R391" s="16">
        <f t="shared" si="203"/>
        <v>0</v>
      </c>
      <c r="S391" s="16">
        <f>(SRP_SP+SUM(S$91:S390))*L391*IF(D391=$A$91,SRP_finalmonthfactor,1)</f>
        <v>0</v>
      </c>
      <c r="T391" s="74">
        <f>MIN(IF($AV391=0,0,
IF(Investment_Strategy="DIS",VLOOKUP(Investment_Strategy&amp;"_"&amp;Investment_Strategy_Sub1&amp;"_"&amp;$A391,'Investment Strategies'!$AZ:$BP,12,FALSE),
IF(AND(Investment_Strategy="Lifecycle",Investment_Strategy_Sub1="Non-Standard"),VLOOKUP(Investment_Strategy&amp;"_"&amp;Investment_Strategy_Sub2&amp;"_"&amp;$A391,'Investment Strategies'!$C:$P,9,FALSE),
IF(AND(Investment_Strategy="Lifecycle",Investment_Strategy_Sub1="Standard"),VLOOKUP(Investment_Strategy&amp;"_"&amp;Investment_Strategy_Sub2&amp;"_"&amp;$A391,'Investment Strategies'!$AJ:$AV,8,FALSE),
IF(AND(Investment_Strategy="Autopilot",Investment_Strategy_Sub1="Non-Standard"),VLOOKUP(Investment_Strategy&amp;"_"&amp;Investment_Strategy_Sub2&amp;"_"&amp;$A391,'Investment Strategies'!$T:$AF,8,FALSE),
IF(Investment_Strategy ="DIY",DIY_RateOfReturn_FuturePremiums,
"Error")))))),Max_InvReturn)</f>
        <v>0</v>
      </c>
      <c r="U391" s="62">
        <f>IF($AV391=0,0,
IF(Investment_Strategy="DIS",VLOOKUP(Investment_Strategy&amp;"_"&amp;Investment_Strategy_Sub1&amp;"_"&amp;$A391,'Investment Strategies'!$AZ:$BP,15,FALSE),
IF(AND(Investment_Strategy="Lifecycle",Investment_Strategy_Sub1="Non-Standard"),VLOOKUP(Investment_Strategy&amp;"_"&amp;Investment_Strategy_Sub2&amp;"_"&amp;$A391,'Investment Strategies'!$C:$P,12,FALSE),
IF(AND(Investment_Strategy="Lifecycle",Investment_Strategy_Sub1="Standard"),VLOOKUP(Investment_Strategy&amp;"_"&amp;Investment_Strategy_Sub2&amp;"_"&amp;$A391,'Investment Strategies'!$AJ:$AV,11,FALSE),
IF(AND(Investment_Strategy="Autopilot",Investment_Strategy_Sub1="Non-Standard"),VLOOKUP(Investment_Strategy&amp;"_"&amp;Investment_Strategy_Sub2&amp;"_"&amp;$A391,'Investment Strategies'!$T:$AF,11,FALSE),
IF(Investment_Strategy="DIY",DIY_GteeChrge_FuturePremiums,
"Error"))))))</f>
        <v>0</v>
      </c>
      <c r="V391" s="33">
        <f>IF(AV391=0,0,
IF(Investment_Strategy="DIS",VLOOKUP(Investment_Strategy&amp;"_"&amp;Investment_Strategy_Sub1&amp;"_"&amp;$A391,'Investment Strategies'!$AZ:$BP,17,FALSE),
IF(AND(Investment_Strategy="Lifecycle",Investment_Strategy_Sub1="Non-Standard"),VLOOKUP(Investment_Strategy&amp;"_"&amp;Investment_Strategy_Sub2&amp;"_"&amp;$A391,'Investment Strategies'!$C:$P,14,FALSE),
IF(AND(Investment_Strategy="Lifecycle",Investment_Strategy_Sub1="Standard"),VLOOKUP(Investment_Strategy&amp;"_"&amp;Investment_Strategy_Sub2&amp;"_"&amp;$A391,'Investment Strategies'!$AJ:$AV,13,FALSE),
IF(AND(Investment_Strategy="Autopilot",Investment_Strategy_Sub1="Non-Standard"),VLOOKUP(Investment_Strategy&amp;"_"&amp;Investment_Strategy_Sub2&amp;"_"&amp;$A391,'Investment Strategies'!$T:$AF,13,FALSE),
IF(Investment_Strategy="DIY",DIY_ExtManChrge_FuturePremiums,
"Error"))))))</f>
        <v>0</v>
      </c>
      <c r="W391" s="16">
        <f t="shared" si="231"/>
        <v>0</v>
      </c>
      <c r="X391" s="16">
        <f t="shared" si="208"/>
        <v>0</v>
      </c>
      <c r="Y391" s="16">
        <f t="shared" si="209"/>
        <v>0</v>
      </c>
      <c r="Z391" s="31">
        <f t="shared" si="210"/>
        <v>0.02</v>
      </c>
      <c r="AA391" s="16">
        <f t="shared" si="211"/>
        <v>0</v>
      </c>
      <c r="AB391" s="28">
        <f t="shared" si="232"/>
        <v>0</v>
      </c>
      <c r="AC391" s="28">
        <f>(SUM($AC$91:AC390)+SUM($X$91:X390)+X391)*T391*IF(D391=$A$91,SRP_finalmonthfactor,1)</f>
        <v>0</v>
      </c>
      <c r="AD391" s="16">
        <f t="shared" si="212"/>
        <v>0</v>
      </c>
      <c r="AE391" s="106"/>
      <c r="AF391" s="16">
        <f t="shared" si="220"/>
        <v>0</v>
      </c>
      <c r="AG391" s="16">
        <f t="shared" si="221"/>
        <v>0</v>
      </c>
      <c r="AH391" s="16">
        <f t="shared" si="222"/>
        <v>0</v>
      </c>
      <c r="AJ391" s="13">
        <f t="shared" ref="AJ391:AU400" si="237">IF($C391&lt;=AJ$90,1,0)</f>
        <v>0</v>
      </c>
      <c r="AK391" s="13">
        <f t="shared" si="237"/>
        <v>0</v>
      </c>
      <c r="AL391" s="13">
        <f t="shared" si="237"/>
        <v>0</v>
      </c>
      <c r="AM391" s="13">
        <f t="shared" si="237"/>
        <v>0</v>
      </c>
      <c r="AN391" s="13">
        <f t="shared" si="237"/>
        <v>0</v>
      </c>
      <c r="AO391" s="13">
        <f t="shared" si="237"/>
        <v>1</v>
      </c>
      <c r="AP391" s="13">
        <f t="shared" si="237"/>
        <v>1</v>
      </c>
      <c r="AQ391" s="13">
        <f t="shared" si="237"/>
        <v>1</v>
      </c>
      <c r="AR391" s="13">
        <f t="shared" si="237"/>
        <v>0</v>
      </c>
      <c r="AS391" s="13">
        <f t="shared" si="237"/>
        <v>1</v>
      </c>
      <c r="AT391" s="13">
        <f t="shared" si="237"/>
        <v>1</v>
      </c>
      <c r="AU391" s="13">
        <f t="shared" si="237"/>
        <v>1</v>
      </c>
      <c r="AV391" s="13">
        <f t="shared" si="213"/>
        <v>0</v>
      </c>
      <c r="AW391" s="13">
        <f t="shared" si="214"/>
        <v>1</v>
      </c>
      <c r="AY391" s="17">
        <f t="shared" si="215"/>
        <v>301</v>
      </c>
      <c r="AZ391" s="28">
        <f t="shared" si="223"/>
        <v>0</v>
      </c>
      <c r="BA391" s="13">
        <f t="shared" si="216"/>
        <v>0</v>
      </c>
      <c r="BB391" s="13">
        <f t="shared" si="217"/>
        <v>0</v>
      </c>
      <c r="BC391" s="28">
        <f t="shared" si="224"/>
        <v>0</v>
      </c>
      <c r="BD391" s="28">
        <f t="shared" si="225"/>
        <v>0</v>
      </c>
      <c r="BF391" s="248">
        <f t="shared" si="226"/>
        <v>993869.29442638322</v>
      </c>
    </row>
    <row r="392" spans="1:58">
      <c r="A392" s="32">
        <f t="shared" si="227"/>
        <v>-217</v>
      </c>
      <c r="B392" s="32">
        <f t="shared" si="218"/>
        <v>78</v>
      </c>
      <c r="C392" s="32">
        <f t="shared" si="228"/>
        <v>26</v>
      </c>
      <c r="D392" s="32">
        <f t="shared" si="229"/>
        <v>302</v>
      </c>
      <c r="E392" s="74">
        <f>MIN(IF(AV392=0,0,
IF(Investment_Strategy="DIS",VLOOKUP(Investment_Strategy&amp;"_"&amp;Investment_Strategy_Sub1&amp;"_"&amp;$A392,'Investment Strategies'!$AZ:$BP,12,FALSE),
IF(AND(Investment_Strategy="Lifecycle",Investment_Strategy_Sub1="Non-Standard"),VLOOKUP(Investment_Strategy&amp;"_"&amp;Investment_Strategy_Sub2&amp;"_"&amp;$A392,'Investment Strategies'!$C:$P,9,FALSE),
IF(AND(Investment_Strategy="Lifecycle",Investment_Strategy_Sub1="Standard"),VLOOKUP(Investment_Strategy&amp;"_"&amp;Investment_Strategy_Sub2&amp;"_"&amp;$A392,'Investment Strategies'!$AJ:$AV,8,FALSE),
IF(AND(Investment_Strategy="Autopilot",Investment_Strategy_Sub1="Non-Standard"),VLOOKUP(Investment_Strategy&amp;"_"&amp;Investment_Strategy_Sub2&amp;"_"&amp;$A392,'Investment Strategies'!$T:$AF,8,FALSE),
IF(Investment_Strategy ="DIY",DIY_RateOfReturn_CurrentFunds,
"Error")))))),Max_InvReturn)</f>
        <v>0</v>
      </c>
      <c r="F392" s="62">
        <f>IF(AV392=0,0,
IF(Investment_Strategy="DIS",VLOOKUP(Investment_Strategy&amp;"_"&amp;Investment_Strategy_Sub1&amp;"_"&amp;$A392,'Investment Strategies'!$AZ:$BP,15,FALSE),
IF(AND(Investment_Strategy="Lifecycle",Investment_Strategy_Sub1="Non-Standard"),VLOOKUP(Investment_Strategy&amp;"_"&amp;Investment_Strategy_Sub2&amp;"_"&amp;$A392,'Investment Strategies'!$C:$P,12,FALSE),
IF(AND(Investment_Strategy="Lifecycle",Investment_Strategy_Sub1="Standard"),VLOOKUP(Investment_Strategy&amp;"_"&amp;Investment_Strategy_Sub2&amp;"_"&amp;$A392,'Investment Strategies'!$AJ:$AV,11,FALSE),
IF(AND(Investment_Strategy="Autopilot",Investment_Strategy_Sub1="Non-Standard"),VLOOKUP(Investment_Strategy&amp;"_"&amp;Investment_Strategy_Sub2&amp;"_"&amp;$A392,'Investment Strategies'!$T:$AF,11,FALSE),
IF(Investment_Strategy="DIY",DIY_GteeChrge_CurrentFunds,
"Error"))))))</f>
        <v>0</v>
      </c>
      <c r="G392" s="33">
        <f>IF(AV392=0,0,
IF(Investment_Strategy="DIS",VLOOKUP(Investment_Strategy&amp;"_"&amp;Investment_Strategy_Sub1&amp;"_"&amp;$A392,'Investment Strategies'!$AZ:$BP,17,FALSE),
IF(AND(Investment_Strategy="Lifecycle",Investment_Strategy_Sub1="Non-Standard"),VLOOKUP(Investment_Strategy&amp;"_"&amp;Investment_Strategy_Sub2&amp;"_"&amp;$A392,'Investment Strategies'!$C:$P,14,FALSE),
IF(AND(Investment_Strategy="Lifecycle",Investment_Strategy_Sub1="Standard"),VLOOKUP(Investment_Strategy&amp;"_"&amp;Investment_Strategy_Sub2&amp;"_"&amp;$A392,'Investment Strategies'!$AJ:$AV,13,FALSE),
IF(AND(Investment_Strategy="Autopilot",Investment_Strategy_Sub1="Non-Standard"),VLOOKUP(Investment_Strategy&amp;"_"&amp;Investment_Strategy_Sub2&amp;"_"&amp;$A392,'Investment Strategies'!$T:$AF,13,FALSE),
IF(Investment_Strategy="DIY",DIY_ExtManChrge_CurrentFunds,
"Error"))))))</f>
        <v>0</v>
      </c>
      <c r="H392" s="16">
        <f t="shared" si="219"/>
        <v>0</v>
      </c>
      <c r="I392" s="16">
        <f t="shared" si="205"/>
        <v>0</v>
      </c>
      <c r="J392" s="16">
        <f t="shared" si="206"/>
        <v>0</v>
      </c>
      <c r="K392" s="16">
        <f>(Opening_Fund_Value+SUM(K$91:K391))*E392*IF(D392=$A$91,SRP_finalmonthfactor,1)</f>
        <v>0</v>
      </c>
      <c r="L392" s="74">
        <f>MIN(IF($AV392=0,0,
IF(Investment_Strategy="DIS",VLOOKUP(Investment_Strategy&amp;"_"&amp;Investment_Strategy_Sub1&amp;"_"&amp;$A392,'Investment Strategies'!$AZ:$BP,12,FALSE),
IF(AND(Investment_Strategy="Lifecycle",Investment_Strategy_Sub1="Non-Standard"),VLOOKUP(Investment_Strategy&amp;"_"&amp;Investment_Strategy_Sub2&amp;"_"&amp;$A392,'Investment Strategies'!$C:$P,9,FALSE),
IF(AND(Investment_Strategy="Lifecycle",Investment_Strategy_Sub1="Standard"),VLOOKUP(Investment_Strategy&amp;"_"&amp;Investment_Strategy_Sub2&amp;"_"&amp;$A392,'Investment Strategies'!$AJ:$AV,8,FALSE),
IF(AND(Investment_Strategy="Autopilot",Investment_Strategy_Sub1="Non-Standard"),VLOOKUP(Investment_Strategy&amp;"_"&amp;Investment_Strategy_Sub2&amp;"_"&amp;$A392,'Investment Strategies'!$T:$AF,8,FALSE),
IF(Investment_Strategy ="DIY",DIY_RateofReturn_SP,
"Error")))))),Max_InvReturn)</f>
        <v>0</v>
      </c>
      <c r="M392" s="62">
        <f>IF($AV392=0,0,
IF(Investment_Strategy="DIS",VLOOKUP(Investment_Strategy&amp;"_"&amp;Investment_Strategy_Sub1&amp;"_"&amp;$A392,'Investment Strategies'!$AZ:$BP,15,FALSE),
IF(AND(Investment_Strategy="Lifecycle",Investment_Strategy_Sub1="Non-Standard"),VLOOKUP(Investment_Strategy&amp;"_"&amp;Investment_Strategy_Sub2&amp;"_"&amp;$A392,'Investment Strategies'!$C:$P,12,FALSE),
IF(AND(Investment_Strategy="Lifecycle",Investment_Strategy_Sub1="Standard"),VLOOKUP(Investment_Strategy&amp;"_"&amp;Investment_Strategy_Sub2&amp;"_"&amp;$A392,'Investment Strategies'!$AJ:$AV,11,FALSE),
IF(AND(Investment_Strategy="Autopilot",Investment_Strategy_Sub1="Non-Standard"),VLOOKUP(Investment_Strategy&amp;"_"&amp;Investment_Strategy_Sub2&amp;"_"&amp;$A392,'Investment Strategies'!$T:$AF,11,FALSE),
IF(Investment_Strategy="DIY",DIY_GteeChrge_SP,
"Error"))))))</f>
        <v>0</v>
      </c>
      <c r="N392" s="33">
        <f>IF($AV392=0,0,
IF(Investment_Strategy="DIS",VLOOKUP(Investment_Strategy&amp;"_"&amp;Investment_Strategy_Sub1&amp;"_"&amp;$A392,'Investment Strategies'!$AZ:$BP,17,FALSE),
IF(AND(Investment_Strategy="Lifecycle",Investment_Strategy_Sub1="Non-Standard"),VLOOKUP(Investment_Strategy&amp;"_"&amp;Investment_Strategy_Sub2&amp;"_"&amp;$A392,'Investment Strategies'!$C:$P,14,FALSE),
IF(AND(Investment_Strategy="Lifecycle",Investment_Strategy_Sub1="Standard"),VLOOKUP(Investment_Strategy&amp;"_"&amp;Investment_Strategy_Sub2&amp;"_"&amp;$A392,'Investment Strategies'!$AJ:$AV,13,FALSE),
IF(AND(Investment_Strategy="Autopilot",Investment_Strategy_Sub1="Non-Standard"),VLOOKUP(Investment_Strategy&amp;"_"&amp;Investment_Strategy_Sub2&amp;"_"&amp;$A392,'Investment Strategies'!$T:$AF,13,FALSE),
IF(Investment_Strategy="DIY",DIY_ExtManChrge_SP,
"Error"))))))</f>
        <v>0</v>
      </c>
      <c r="O392" s="16">
        <f t="shared" si="230"/>
        <v>0</v>
      </c>
      <c r="Q392" s="16">
        <f t="shared" si="207"/>
        <v>0</v>
      </c>
      <c r="R392" s="16">
        <f t="shared" si="203"/>
        <v>0</v>
      </c>
      <c r="S392" s="16">
        <f>(SRP_SP+SUM(S$91:S391))*L392*IF(D392=$A$91,SRP_finalmonthfactor,1)</f>
        <v>0</v>
      </c>
      <c r="T392" s="74">
        <f>MIN(IF($AV392=0,0,
IF(Investment_Strategy="DIS",VLOOKUP(Investment_Strategy&amp;"_"&amp;Investment_Strategy_Sub1&amp;"_"&amp;$A392,'Investment Strategies'!$AZ:$BP,12,FALSE),
IF(AND(Investment_Strategy="Lifecycle",Investment_Strategy_Sub1="Non-Standard"),VLOOKUP(Investment_Strategy&amp;"_"&amp;Investment_Strategy_Sub2&amp;"_"&amp;$A392,'Investment Strategies'!$C:$P,9,FALSE),
IF(AND(Investment_Strategy="Lifecycle",Investment_Strategy_Sub1="Standard"),VLOOKUP(Investment_Strategy&amp;"_"&amp;Investment_Strategy_Sub2&amp;"_"&amp;$A392,'Investment Strategies'!$AJ:$AV,8,FALSE),
IF(AND(Investment_Strategy="Autopilot",Investment_Strategy_Sub1="Non-Standard"),VLOOKUP(Investment_Strategy&amp;"_"&amp;Investment_Strategy_Sub2&amp;"_"&amp;$A392,'Investment Strategies'!$T:$AF,8,FALSE),
IF(Investment_Strategy ="DIY",DIY_RateOfReturn_FuturePremiums,
"Error")))))),Max_InvReturn)</f>
        <v>0</v>
      </c>
      <c r="U392" s="62">
        <f>IF($AV392=0,0,
IF(Investment_Strategy="DIS",VLOOKUP(Investment_Strategy&amp;"_"&amp;Investment_Strategy_Sub1&amp;"_"&amp;$A392,'Investment Strategies'!$AZ:$BP,15,FALSE),
IF(AND(Investment_Strategy="Lifecycle",Investment_Strategy_Sub1="Non-Standard"),VLOOKUP(Investment_Strategy&amp;"_"&amp;Investment_Strategy_Sub2&amp;"_"&amp;$A392,'Investment Strategies'!$C:$P,12,FALSE),
IF(AND(Investment_Strategy="Lifecycle",Investment_Strategy_Sub1="Standard"),VLOOKUP(Investment_Strategy&amp;"_"&amp;Investment_Strategy_Sub2&amp;"_"&amp;$A392,'Investment Strategies'!$AJ:$AV,11,FALSE),
IF(AND(Investment_Strategy="Autopilot",Investment_Strategy_Sub1="Non-Standard"),VLOOKUP(Investment_Strategy&amp;"_"&amp;Investment_Strategy_Sub2&amp;"_"&amp;$A392,'Investment Strategies'!$T:$AF,11,FALSE),
IF(Investment_Strategy="DIY",DIY_GteeChrge_FuturePremiums,
"Error"))))))</f>
        <v>0</v>
      </c>
      <c r="V392" s="33">
        <f>IF(AV392=0,0,
IF(Investment_Strategy="DIS",VLOOKUP(Investment_Strategy&amp;"_"&amp;Investment_Strategy_Sub1&amp;"_"&amp;$A392,'Investment Strategies'!$AZ:$BP,17,FALSE),
IF(AND(Investment_Strategy="Lifecycle",Investment_Strategy_Sub1="Non-Standard"),VLOOKUP(Investment_Strategy&amp;"_"&amp;Investment_Strategy_Sub2&amp;"_"&amp;$A392,'Investment Strategies'!$C:$P,14,FALSE),
IF(AND(Investment_Strategy="Lifecycle",Investment_Strategy_Sub1="Standard"),VLOOKUP(Investment_Strategy&amp;"_"&amp;Investment_Strategy_Sub2&amp;"_"&amp;$A392,'Investment Strategies'!$AJ:$AV,13,FALSE),
IF(AND(Investment_Strategy="Autopilot",Investment_Strategy_Sub1="Non-Standard"),VLOOKUP(Investment_Strategy&amp;"_"&amp;Investment_Strategy_Sub2&amp;"_"&amp;$A392,'Investment Strategies'!$T:$AF,13,FALSE),
IF(Investment_Strategy="DIY",DIY_ExtManChrge_FuturePremiums,
"Error"))))))</f>
        <v>0</v>
      </c>
      <c r="W392" s="16">
        <f t="shared" si="231"/>
        <v>0</v>
      </c>
      <c r="X392" s="16">
        <f t="shared" si="208"/>
        <v>0</v>
      </c>
      <c r="Y392" s="16">
        <f t="shared" si="209"/>
        <v>0</v>
      </c>
      <c r="Z392" s="31">
        <f t="shared" si="210"/>
        <v>0.02</v>
      </c>
      <c r="AA392" s="16">
        <f t="shared" si="211"/>
        <v>0</v>
      </c>
      <c r="AB392" s="28">
        <f t="shared" si="232"/>
        <v>0</v>
      </c>
      <c r="AC392" s="28">
        <f>(SUM($AC$91:AC391)+SUM($X$91:X391)+X392)*T392*IF(D392=$A$91,SRP_finalmonthfactor,1)</f>
        <v>0</v>
      </c>
      <c r="AD392" s="16">
        <f t="shared" si="212"/>
        <v>0</v>
      </c>
      <c r="AE392" s="106"/>
      <c r="AF392" s="16">
        <f t="shared" si="220"/>
        <v>0</v>
      </c>
      <c r="AG392" s="16">
        <f t="shared" si="221"/>
        <v>0</v>
      </c>
      <c r="AH392" s="16">
        <f t="shared" si="222"/>
        <v>0</v>
      </c>
      <c r="AJ392" s="13">
        <f t="shared" si="237"/>
        <v>0</v>
      </c>
      <c r="AK392" s="13">
        <f t="shared" si="237"/>
        <v>0</v>
      </c>
      <c r="AL392" s="13">
        <f t="shared" si="237"/>
        <v>0</v>
      </c>
      <c r="AM392" s="13">
        <f t="shared" si="237"/>
        <v>0</v>
      </c>
      <c r="AN392" s="13">
        <f t="shared" si="237"/>
        <v>0</v>
      </c>
      <c r="AO392" s="13">
        <f t="shared" si="237"/>
        <v>1</v>
      </c>
      <c r="AP392" s="13">
        <f t="shared" si="237"/>
        <v>1</v>
      </c>
      <c r="AQ392" s="13">
        <f t="shared" si="237"/>
        <v>1</v>
      </c>
      <c r="AR392" s="13">
        <f t="shared" si="237"/>
        <v>0</v>
      </c>
      <c r="AS392" s="13">
        <f t="shared" si="237"/>
        <v>1</v>
      </c>
      <c r="AT392" s="13">
        <f t="shared" si="237"/>
        <v>1</v>
      </c>
      <c r="AU392" s="13">
        <f t="shared" si="237"/>
        <v>1</v>
      </c>
      <c r="AV392" s="13">
        <f t="shared" si="213"/>
        <v>0</v>
      </c>
      <c r="AW392" s="13">
        <f t="shared" si="214"/>
        <v>1</v>
      </c>
      <c r="AY392" s="17">
        <f t="shared" si="215"/>
        <v>302</v>
      </c>
      <c r="AZ392" s="28">
        <f t="shared" si="223"/>
        <v>0</v>
      </c>
      <c r="BA392" s="13">
        <f t="shared" si="216"/>
        <v>0</v>
      </c>
      <c r="BB392" s="13">
        <f t="shared" si="217"/>
        <v>0</v>
      </c>
      <c r="BC392" s="28">
        <f t="shared" si="224"/>
        <v>0</v>
      </c>
      <c r="BD392" s="28">
        <f t="shared" si="225"/>
        <v>0</v>
      </c>
      <c r="BF392" s="248">
        <f t="shared" si="226"/>
        <v>993869.29442638322</v>
      </c>
    </row>
    <row r="393" spans="1:58">
      <c r="A393" s="32">
        <f t="shared" si="227"/>
        <v>-218</v>
      </c>
      <c r="B393" s="32">
        <f t="shared" si="218"/>
        <v>78</v>
      </c>
      <c r="C393" s="32">
        <f t="shared" si="228"/>
        <v>26</v>
      </c>
      <c r="D393" s="32">
        <f t="shared" si="229"/>
        <v>303</v>
      </c>
      <c r="E393" s="74">
        <f>MIN(IF(AV393=0,0,
IF(Investment_Strategy="DIS",VLOOKUP(Investment_Strategy&amp;"_"&amp;Investment_Strategy_Sub1&amp;"_"&amp;$A393,'Investment Strategies'!$AZ:$BP,12,FALSE),
IF(AND(Investment_Strategy="Lifecycle",Investment_Strategy_Sub1="Non-Standard"),VLOOKUP(Investment_Strategy&amp;"_"&amp;Investment_Strategy_Sub2&amp;"_"&amp;$A393,'Investment Strategies'!$C:$P,9,FALSE),
IF(AND(Investment_Strategy="Lifecycle",Investment_Strategy_Sub1="Standard"),VLOOKUP(Investment_Strategy&amp;"_"&amp;Investment_Strategy_Sub2&amp;"_"&amp;$A393,'Investment Strategies'!$AJ:$AV,8,FALSE),
IF(AND(Investment_Strategy="Autopilot",Investment_Strategy_Sub1="Non-Standard"),VLOOKUP(Investment_Strategy&amp;"_"&amp;Investment_Strategy_Sub2&amp;"_"&amp;$A393,'Investment Strategies'!$T:$AF,8,FALSE),
IF(Investment_Strategy ="DIY",DIY_RateOfReturn_CurrentFunds,
"Error")))))),Max_InvReturn)</f>
        <v>0</v>
      </c>
      <c r="F393" s="62">
        <f>IF(AV393=0,0,
IF(Investment_Strategy="DIS",VLOOKUP(Investment_Strategy&amp;"_"&amp;Investment_Strategy_Sub1&amp;"_"&amp;$A393,'Investment Strategies'!$AZ:$BP,15,FALSE),
IF(AND(Investment_Strategy="Lifecycle",Investment_Strategy_Sub1="Non-Standard"),VLOOKUP(Investment_Strategy&amp;"_"&amp;Investment_Strategy_Sub2&amp;"_"&amp;$A393,'Investment Strategies'!$C:$P,12,FALSE),
IF(AND(Investment_Strategy="Lifecycle",Investment_Strategy_Sub1="Standard"),VLOOKUP(Investment_Strategy&amp;"_"&amp;Investment_Strategy_Sub2&amp;"_"&amp;$A393,'Investment Strategies'!$AJ:$AV,11,FALSE),
IF(AND(Investment_Strategy="Autopilot",Investment_Strategy_Sub1="Non-Standard"),VLOOKUP(Investment_Strategy&amp;"_"&amp;Investment_Strategy_Sub2&amp;"_"&amp;$A393,'Investment Strategies'!$T:$AF,11,FALSE),
IF(Investment_Strategy="DIY",DIY_GteeChrge_CurrentFunds,
"Error"))))))</f>
        <v>0</v>
      </c>
      <c r="G393" s="33">
        <f>IF(AV393=0,0,
IF(Investment_Strategy="DIS",VLOOKUP(Investment_Strategy&amp;"_"&amp;Investment_Strategy_Sub1&amp;"_"&amp;$A393,'Investment Strategies'!$AZ:$BP,17,FALSE),
IF(AND(Investment_Strategy="Lifecycle",Investment_Strategy_Sub1="Non-Standard"),VLOOKUP(Investment_Strategy&amp;"_"&amp;Investment_Strategy_Sub2&amp;"_"&amp;$A393,'Investment Strategies'!$C:$P,14,FALSE),
IF(AND(Investment_Strategy="Lifecycle",Investment_Strategy_Sub1="Standard"),VLOOKUP(Investment_Strategy&amp;"_"&amp;Investment_Strategy_Sub2&amp;"_"&amp;$A393,'Investment Strategies'!$AJ:$AV,13,FALSE),
IF(AND(Investment_Strategy="Autopilot",Investment_Strategy_Sub1="Non-Standard"),VLOOKUP(Investment_Strategy&amp;"_"&amp;Investment_Strategy_Sub2&amp;"_"&amp;$A393,'Investment Strategies'!$T:$AF,13,FALSE),
IF(Investment_Strategy="DIY",DIY_ExtManChrge_CurrentFunds,
"Error"))))))</f>
        <v>0</v>
      </c>
      <c r="H393" s="16">
        <f t="shared" si="219"/>
        <v>0</v>
      </c>
      <c r="I393" s="16">
        <f t="shared" si="205"/>
        <v>0</v>
      </c>
      <c r="J393" s="16">
        <f t="shared" si="206"/>
        <v>0</v>
      </c>
      <c r="K393" s="16">
        <f>(Opening_Fund_Value+SUM(K$91:K392))*E393*IF(D393=$A$91,SRP_finalmonthfactor,1)</f>
        <v>0</v>
      </c>
      <c r="L393" s="74">
        <f>MIN(IF($AV393=0,0,
IF(Investment_Strategy="DIS",VLOOKUP(Investment_Strategy&amp;"_"&amp;Investment_Strategy_Sub1&amp;"_"&amp;$A393,'Investment Strategies'!$AZ:$BP,12,FALSE),
IF(AND(Investment_Strategy="Lifecycle",Investment_Strategy_Sub1="Non-Standard"),VLOOKUP(Investment_Strategy&amp;"_"&amp;Investment_Strategy_Sub2&amp;"_"&amp;$A393,'Investment Strategies'!$C:$P,9,FALSE),
IF(AND(Investment_Strategy="Lifecycle",Investment_Strategy_Sub1="Standard"),VLOOKUP(Investment_Strategy&amp;"_"&amp;Investment_Strategy_Sub2&amp;"_"&amp;$A393,'Investment Strategies'!$AJ:$AV,8,FALSE),
IF(AND(Investment_Strategy="Autopilot",Investment_Strategy_Sub1="Non-Standard"),VLOOKUP(Investment_Strategy&amp;"_"&amp;Investment_Strategy_Sub2&amp;"_"&amp;$A393,'Investment Strategies'!$T:$AF,8,FALSE),
IF(Investment_Strategy ="DIY",DIY_RateofReturn_SP,
"Error")))))),Max_InvReturn)</f>
        <v>0</v>
      </c>
      <c r="M393" s="62">
        <f>IF($AV393=0,0,
IF(Investment_Strategy="DIS",VLOOKUP(Investment_Strategy&amp;"_"&amp;Investment_Strategy_Sub1&amp;"_"&amp;$A393,'Investment Strategies'!$AZ:$BP,15,FALSE),
IF(AND(Investment_Strategy="Lifecycle",Investment_Strategy_Sub1="Non-Standard"),VLOOKUP(Investment_Strategy&amp;"_"&amp;Investment_Strategy_Sub2&amp;"_"&amp;$A393,'Investment Strategies'!$C:$P,12,FALSE),
IF(AND(Investment_Strategy="Lifecycle",Investment_Strategy_Sub1="Standard"),VLOOKUP(Investment_Strategy&amp;"_"&amp;Investment_Strategy_Sub2&amp;"_"&amp;$A393,'Investment Strategies'!$AJ:$AV,11,FALSE),
IF(AND(Investment_Strategy="Autopilot",Investment_Strategy_Sub1="Non-Standard"),VLOOKUP(Investment_Strategy&amp;"_"&amp;Investment_Strategy_Sub2&amp;"_"&amp;$A393,'Investment Strategies'!$T:$AF,11,FALSE),
IF(Investment_Strategy="DIY",DIY_GteeChrge_SP,
"Error"))))))</f>
        <v>0</v>
      </c>
      <c r="N393" s="33">
        <f>IF($AV393=0,0,
IF(Investment_Strategy="DIS",VLOOKUP(Investment_Strategy&amp;"_"&amp;Investment_Strategy_Sub1&amp;"_"&amp;$A393,'Investment Strategies'!$AZ:$BP,17,FALSE),
IF(AND(Investment_Strategy="Lifecycle",Investment_Strategy_Sub1="Non-Standard"),VLOOKUP(Investment_Strategy&amp;"_"&amp;Investment_Strategy_Sub2&amp;"_"&amp;$A393,'Investment Strategies'!$C:$P,14,FALSE),
IF(AND(Investment_Strategy="Lifecycle",Investment_Strategy_Sub1="Standard"),VLOOKUP(Investment_Strategy&amp;"_"&amp;Investment_Strategy_Sub2&amp;"_"&amp;$A393,'Investment Strategies'!$AJ:$AV,13,FALSE),
IF(AND(Investment_Strategy="Autopilot",Investment_Strategy_Sub1="Non-Standard"),VLOOKUP(Investment_Strategy&amp;"_"&amp;Investment_Strategy_Sub2&amp;"_"&amp;$A393,'Investment Strategies'!$T:$AF,13,FALSE),
IF(Investment_Strategy="DIY",DIY_ExtManChrge_SP,
"Error"))))))</f>
        <v>0</v>
      </c>
      <c r="O393" s="16">
        <f t="shared" si="230"/>
        <v>0</v>
      </c>
      <c r="Q393" s="16">
        <f t="shared" si="207"/>
        <v>0</v>
      </c>
      <c r="R393" s="16">
        <f t="shared" si="203"/>
        <v>0</v>
      </c>
      <c r="S393" s="16">
        <f>(SRP_SP+SUM(S$91:S392))*L393*IF(D393=$A$91,SRP_finalmonthfactor,1)</f>
        <v>0</v>
      </c>
      <c r="T393" s="74">
        <f>MIN(IF($AV393=0,0,
IF(Investment_Strategy="DIS",VLOOKUP(Investment_Strategy&amp;"_"&amp;Investment_Strategy_Sub1&amp;"_"&amp;$A393,'Investment Strategies'!$AZ:$BP,12,FALSE),
IF(AND(Investment_Strategy="Lifecycle",Investment_Strategy_Sub1="Non-Standard"),VLOOKUP(Investment_Strategy&amp;"_"&amp;Investment_Strategy_Sub2&amp;"_"&amp;$A393,'Investment Strategies'!$C:$P,9,FALSE),
IF(AND(Investment_Strategy="Lifecycle",Investment_Strategy_Sub1="Standard"),VLOOKUP(Investment_Strategy&amp;"_"&amp;Investment_Strategy_Sub2&amp;"_"&amp;$A393,'Investment Strategies'!$AJ:$AV,8,FALSE),
IF(AND(Investment_Strategy="Autopilot",Investment_Strategy_Sub1="Non-Standard"),VLOOKUP(Investment_Strategy&amp;"_"&amp;Investment_Strategy_Sub2&amp;"_"&amp;$A393,'Investment Strategies'!$T:$AF,8,FALSE),
IF(Investment_Strategy ="DIY",DIY_RateOfReturn_FuturePremiums,
"Error")))))),Max_InvReturn)</f>
        <v>0</v>
      </c>
      <c r="U393" s="62">
        <f>IF($AV393=0,0,
IF(Investment_Strategy="DIS",VLOOKUP(Investment_Strategy&amp;"_"&amp;Investment_Strategy_Sub1&amp;"_"&amp;$A393,'Investment Strategies'!$AZ:$BP,15,FALSE),
IF(AND(Investment_Strategy="Lifecycle",Investment_Strategy_Sub1="Non-Standard"),VLOOKUP(Investment_Strategy&amp;"_"&amp;Investment_Strategy_Sub2&amp;"_"&amp;$A393,'Investment Strategies'!$C:$P,12,FALSE),
IF(AND(Investment_Strategy="Lifecycle",Investment_Strategy_Sub1="Standard"),VLOOKUP(Investment_Strategy&amp;"_"&amp;Investment_Strategy_Sub2&amp;"_"&amp;$A393,'Investment Strategies'!$AJ:$AV,11,FALSE),
IF(AND(Investment_Strategy="Autopilot",Investment_Strategy_Sub1="Non-Standard"),VLOOKUP(Investment_Strategy&amp;"_"&amp;Investment_Strategy_Sub2&amp;"_"&amp;$A393,'Investment Strategies'!$T:$AF,11,FALSE),
IF(Investment_Strategy="DIY",DIY_GteeChrge_FuturePremiums,
"Error"))))))</f>
        <v>0</v>
      </c>
      <c r="V393" s="33">
        <f>IF(AV393=0,0,
IF(Investment_Strategy="DIS",VLOOKUP(Investment_Strategy&amp;"_"&amp;Investment_Strategy_Sub1&amp;"_"&amp;$A393,'Investment Strategies'!$AZ:$BP,17,FALSE),
IF(AND(Investment_Strategy="Lifecycle",Investment_Strategy_Sub1="Non-Standard"),VLOOKUP(Investment_Strategy&amp;"_"&amp;Investment_Strategy_Sub2&amp;"_"&amp;$A393,'Investment Strategies'!$C:$P,14,FALSE),
IF(AND(Investment_Strategy="Lifecycle",Investment_Strategy_Sub1="Standard"),VLOOKUP(Investment_Strategy&amp;"_"&amp;Investment_Strategy_Sub2&amp;"_"&amp;$A393,'Investment Strategies'!$AJ:$AV,13,FALSE),
IF(AND(Investment_Strategy="Autopilot",Investment_Strategy_Sub1="Non-Standard"),VLOOKUP(Investment_Strategy&amp;"_"&amp;Investment_Strategy_Sub2&amp;"_"&amp;$A393,'Investment Strategies'!$T:$AF,13,FALSE),
IF(Investment_Strategy="DIY",DIY_ExtManChrge_FuturePremiums,
"Error"))))))</f>
        <v>0</v>
      </c>
      <c r="W393" s="16">
        <f t="shared" si="231"/>
        <v>0</v>
      </c>
      <c r="X393" s="16">
        <f t="shared" si="208"/>
        <v>0</v>
      </c>
      <c r="Y393" s="16">
        <f t="shared" si="209"/>
        <v>0</v>
      </c>
      <c r="Z393" s="31">
        <f t="shared" si="210"/>
        <v>0.02</v>
      </c>
      <c r="AA393" s="16">
        <f t="shared" si="211"/>
        <v>0</v>
      </c>
      <c r="AB393" s="28">
        <f t="shared" si="232"/>
        <v>0</v>
      </c>
      <c r="AC393" s="28">
        <f>(SUM($AC$91:AC392)+SUM($X$91:X392)+X393)*T393*IF(D393=$A$91,SRP_finalmonthfactor,1)</f>
        <v>0</v>
      </c>
      <c r="AD393" s="16">
        <f t="shared" si="212"/>
        <v>0</v>
      </c>
      <c r="AE393" s="106"/>
      <c r="AF393" s="16">
        <f t="shared" si="220"/>
        <v>0</v>
      </c>
      <c r="AG393" s="16">
        <f t="shared" si="221"/>
        <v>0</v>
      </c>
      <c r="AH393" s="16">
        <f t="shared" si="222"/>
        <v>0</v>
      </c>
      <c r="AJ393" s="13">
        <f t="shared" si="237"/>
        <v>0</v>
      </c>
      <c r="AK393" s="13">
        <f t="shared" si="237"/>
        <v>0</v>
      </c>
      <c r="AL393" s="13">
        <f t="shared" si="237"/>
        <v>0</v>
      </c>
      <c r="AM393" s="13">
        <f t="shared" si="237"/>
        <v>0</v>
      </c>
      <c r="AN393" s="13">
        <f t="shared" si="237"/>
        <v>0</v>
      </c>
      <c r="AO393" s="13">
        <f t="shared" si="237"/>
        <v>1</v>
      </c>
      <c r="AP393" s="13">
        <f t="shared" si="237"/>
        <v>1</v>
      </c>
      <c r="AQ393" s="13">
        <f t="shared" si="237"/>
        <v>1</v>
      </c>
      <c r="AR393" s="13">
        <f t="shared" si="237"/>
        <v>0</v>
      </c>
      <c r="AS393" s="13">
        <f t="shared" si="237"/>
        <v>1</v>
      </c>
      <c r="AT393" s="13">
        <f t="shared" si="237"/>
        <v>1</v>
      </c>
      <c r="AU393" s="13">
        <f t="shared" si="237"/>
        <v>1</v>
      </c>
      <c r="AV393" s="13">
        <f t="shared" si="213"/>
        <v>0</v>
      </c>
      <c r="AW393" s="13">
        <f t="shared" si="214"/>
        <v>1</v>
      </c>
      <c r="AY393" s="17">
        <f t="shared" si="215"/>
        <v>303</v>
      </c>
      <c r="AZ393" s="28">
        <f t="shared" si="223"/>
        <v>0</v>
      </c>
      <c r="BA393" s="13">
        <f t="shared" si="216"/>
        <v>0</v>
      </c>
      <c r="BB393" s="13">
        <f t="shared" si="217"/>
        <v>0</v>
      </c>
      <c r="BC393" s="28">
        <f t="shared" si="224"/>
        <v>0</v>
      </c>
      <c r="BD393" s="28">
        <f t="shared" si="225"/>
        <v>0</v>
      </c>
      <c r="BF393" s="248">
        <f t="shared" si="226"/>
        <v>993869.29442638322</v>
      </c>
    </row>
    <row r="394" spans="1:58">
      <c r="A394" s="32">
        <f t="shared" si="227"/>
        <v>-219</v>
      </c>
      <c r="B394" s="32">
        <f t="shared" si="218"/>
        <v>78</v>
      </c>
      <c r="C394" s="32">
        <f t="shared" si="228"/>
        <v>26</v>
      </c>
      <c r="D394" s="32">
        <f t="shared" si="229"/>
        <v>304</v>
      </c>
      <c r="E394" s="74">
        <f>MIN(IF(AV394=0,0,
IF(Investment_Strategy="DIS",VLOOKUP(Investment_Strategy&amp;"_"&amp;Investment_Strategy_Sub1&amp;"_"&amp;$A394,'Investment Strategies'!$AZ:$BP,12,FALSE),
IF(AND(Investment_Strategy="Lifecycle",Investment_Strategy_Sub1="Non-Standard"),VLOOKUP(Investment_Strategy&amp;"_"&amp;Investment_Strategy_Sub2&amp;"_"&amp;$A394,'Investment Strategies'!$C:$P,9,FALSE),
IF(AND(Investment_Strategy="Lifecycle",Investment_Strategy_Sub1="Standard"),VLOOKUP(Investment_Strategy&amp;"_"&amp;Investment_Strategy_Sub2&amp;"_"&amp;$A394,'Investment Strategies'!$AJ:$AV,8,FALSE),
IF(AND(Investment_Strategy="Autopilot",Investment_Strategy_Sub1="Non-Standard"),VLOOKUP(Investment_Strategy&amp;"_"&amp;Investment_Strategy_Sub2&amp;"_"&amp;$A394,'Investment Strategies'!$T:$AF,8,FALSE),
IF(Investment_Strategy ="DIY",DIY_RateOfReturn_CurrentFunds,
"Error")))))),Max_InvReturn)</f>
        <v>0</v>
      </c>
      <c r="F394" s="62">
        <f>IF(AV394=0,0,
IF(Investment_Strategy="DIS",VLOOKUP(Investment_Strategy&amp;"_"&amp;Investment_Strategy_Sub1&amp;"_"&amp;$A394,'Investment Strategies'!$AZ:$BP,15,FALSE),
IF(AND(Investment_Strategy="Lifecycle",Investment_Strategy_Sub1="Non-Standard"),VLOOKUP(Investment_Strategy&amp;"_"&amp;Investment_Strategy_Sub2&amp;"_"&amp;$A394,'Investment Strategies'!$C:$P,12,FALSE),
IF(AND(Investment_Strategy="Lifecycle",Investment_Strategy_Sub1="Standard"),VLOOKUP(Investment_Strategy&amp;"_"&amp;Investment_Strategy_Sub2&amp;"_"&amp;$A394,'Investment Strategies'!$AJ:$AV,11,FALSE),
IF(AND(Investment_Strategy="Autopilot",Investment_Strategy_Sub1="Non-Standard"),VLOOKUP(Investment_Strategy&amp;"_"&amp;Investment_Strategy_Sub2&amp;"_"&amp;$A394,'Investment Strategies'!$T:$AF,11,FALSE),
IF(Investment_Strategy="DIY",DIY_GteeChrge_CurrentFunds,
"Error"))))))</f>
        <v>0</v>
      </c>
      <c r="G394" s="33">
        <f>IF(AV394=0,0,
IF(Investment_Strategy="DIS",VLOOKUP(Investment_Strategy&amp;"_"&amp;Investment_Strategy_Sub1&amp;"_"&amp;$A394,'Investment Strategies'!$AZ:$BP,17,FALSE),
IF(AND(Investment_Strategy="Lifecycle",Investment_Strategy_Sub1="Non-Standard"),VLOOKUP(Investment_Strategy&amp;"_"&amp;Investment_Strategy_Sub2&amp;"_"&amp;$A394,'Investment Strategies'!$C:$P,14,FALSE),
IF(AND(Investment_Strategy="Lifecycle",Investment_Strategy_Sub1="Standard"),VLOOKUP(Investment_Strategy&amp;"_"&amp;Investment_Strategy_Sub2&amp;"_"&amp;$A394,'Investment Strategies'!$AJ:$AV,13,FALSE),
IF(AND(Investment_Strategy="Autopilot",Investment_Strategy_Sub1="Non-Standard"),VLOOKUP(Investment_Strategy&amp;"_"&amp;Investment_Strategy_Sub2&amp;"_"&amp;$A394,'Investment Strategies'!$T:$AF,13,FALSE),
IF(Investment_Strategy="DIY",DIY_ExtManChrge_CurrentFunds,
"Error"))))))</f>
        <v>0</v>
      </c>
      <c r="H394" s="16">
        <f t="shared" si="219"/>
        <v>0</v>
      </c>
      <c r="I394" s="16">
        <f t="shared" si="205"/>
        <v>0</v>
      </c>
      <c r="J394" s="16">
        <f t="shared" si="206"/>
        <v>0</v>
      </c>
      <c r="K394" s="16">
        <f>(Opening_Fund_Value+SUM(K$91:K393))*E394*IF(D394=$A$91,SRP_finalmonthfactor,1)</f>
        <v>0</v>
      </c>
      <c r="L394" s="74">
        <f>MIN(IF($AV394=0,0,
IF(Investment_Strategy="DIS",VLOOKUP(Investment_Strategy&amp;"_"&amp;Investment_Strategy_Sub1&amp;"_"&amp;$A394,'Investment Strategies'!$AZ:$BP,12,FALSE),
IF(AND(Investment_Strategy="Lifecycle",Investment_Strategy_Sub1="Non-Standard"),VLOOKUP(Investment_Strategy&amp;"_"&amp;Investment_Strategy_Sub2&amp;"_"&amp;$A394,'Investment Strategies'!$C:$P,9,FALSE),
IF(AND(Investment_Strategy="Lifecycle",Investment_Strategy_Sub1="Standard"),VLOOKUP(Investment_Strategy&amp;"_"&amp;Investment_Strategy_Sub2&amp;"_"&amp;$A394,'Investment Strategies'!$AJ:$AV,8,FALSE),
IF(AND(Investment_Strategy="Autopilot",Investment_Strategy_Sub1="Non-Standard"),VLOOKUP(Investment_Strategy&amp;"_"&amp;Investment_Strategy_Sub2&amp;"_"&amp;$A394,'Investment Strategies'!$T:$AF,8,FALSE),
IF(Investment_Strategy ="DIY",DIY_RateofReturn_SP,
"Error")))))),Max_InvReturn)</f>
        <v>0</v>
      </c>
      <c r="M394" s="62">
        <f>IF($AV394=0,0,
IF(Investment_Strategy="DIS",VLOOKUP(Investment_Strategy&amp;"_"&amp;Investment_Strategy_Sub1&amp;"_"&amp;$A394,'Investment Strategies'!$AZ:$BP,15,FALSE),
IF(AND(Investment_Strategy="Lifecycle",Investment_Strategy_Sub1="Non-Standard"),VLOOKUP(Investment_Strategy&amp;"_"&amp;Investment_Strategy_Sub2&amp;"_"&amp;$A394,'Investment Strategies'!$C:$P,12,FALSE),
IF(AND(Investment_Strategy="Lifecycle",Investment_Strategy_Sub1="Standard"),VLOOKUP(Investment_Strategy&amp;"_"&amp;Investment_Strategy_Sub2&amp;"_"&amp;$A394,'Investment Strategies'!$AJ:$AV,11,FALSE),
IF(AND(Investment_Strategy="Autopilot",Investment_Strategy_Sub1="Non-Standard"),VLOOKUP(Investment_Strategy&amp;"_"&amp;Investment_Strategy_Sub2&amp;"_"&amp;$A394,'Investment Strategies'!$T:$AF,11,FALSE),
IF(Investment_Strategy="DIY",DIY_GteeChrge_SP,
"Error"))))))</f>
        <v>0</v>
      </c>
      <c r="N394" s="33">
        <f>IF($AV394=0,0,
IF(Investment_Strategy="DIS",VLOOKUP(Investment_Strategy&amp;"_"&amp;Investment_Strategy_Sub1&amp;"_"&amp;$A394,'Investment Strategies'!$AZ:$BP,17,FALSE),
IF(AND(Investment_Strategy="Lifecycle",Investment_Strategy_Sub1="Non-Standard"),VLOOKUP(Investment_Strategy&amp;"_"&amp;Investment_Strategy_Sub2&amp;"_"&amp;$A394,'Investment Strategies'!$C:$P,14,FALSE),
IF(AND(Investment_Strategy="Lifecycle",Investment_Strategy_Sub1="Standard"),VLOOKUP(Investment_Strategy&amp;"_"&amp;Investment_Strategy_Sub2&amp;"_"&amp;$A394,'Investment Strategies'!$AJ:$AV,13,FALSE),
IF(AND(Investment_Strategy="Autopilot",Investment_Strategy_Sub1="Non-Standard"),VLOOKUP(Investment_Strategy&amp;"_"&amp;Investment_Strategy_Sub2&amp;"_"&amp;$A394,'Investment Strategies'!$T:$AF,13,FALSE),
IF(Investment_Strategy="DIY",DIY_ExtManChrge_SP,
"Error"))))))</f>
        <v>0</v>
      </c>
      <c r="O394" s="16">
        <f t="shared" si="230"/>
        <v>0</v>
      </c>
      <c r="Q394" s="16">
        <f t="shared" si="207"/>
        <v>0</v>
      </c>
      <c r="R394" s="16">
        <f t="shared" si="203"/>
        <v>0</v>
      </c>
      <c r="S394" s="16">
        <f>(SRP_SP+SUM(S$91:S393))*L394*IF(D394=$A$91,SRP_finalmonthfactor,1)</f>
        <v>0</v>
      </c>
      <c r="T394" s="74">
        <f>MIN(IF($AV394=0,0,
IF(Investment_Strategy="DIS",VLOOKUP(Investment_Strategy&amp;"_"&amp;Investment_Strategy_Sub1&amp;"_"&amp;$A394,'Investment Strategies'!$AZ:$BP,12,FALSE),
IF(AND(Investment_Strategy="Lifecycle",Investment_Strategy_Sub1="Non-Standard"),VLOOKUP(Investment_Strategy&amp;"_"&amp;Investment_Strategy_Sub2&amp;"_"&amp;$A394,'Investment Strategies'!$C:$P,9,FALSE),
IF(AND(Investment_Strategy="Lifecycle",Investment_Strategy_Sub1="Standard"),VLOOKUP(Investment_Strategy&amp;"_"&amp;Investment_Strategy_Sub2&amp;"_"&amp;$A394,'Investment Strategies'!$AJ:$AV,8,FALSE),
IF(AND(Investment_Strategy="Autopilot",Investment_Strategy_Sub1="Non-Standard"),VLOOKUP(Investment_Strategy&amp;"_"&amp;Investment_Strategy_Sub2&amp;"_"&amp;$A394,'Investment Strategies'!$T:$AF,8,FALSE),
IF(Investment_Strategy ="DIY",DIY_RateOfReturn_FuturePremiums,
"Error")))))),Max_InvReturn)</f>
        <v>0</v>
      </c>
      <c r="U394" s="62">
        <f>IF($AV394=0,0,
IF(Investment_Strategy="DIS",VLOOKUP(Investment_Strategy&amp;"_"&amp;Investment_Strategy_Sub1&amp;"_"&amp;$A394,'Investment Strategies'!$AZ:$BP,15,FALSE),
IF(AND(Investment_Strategy="Lifecycle",Investment_Strategy_Sub1="Non-Standard"),VLOOKUP(Investment_Strategy&amp;"_"&amp;Investment_Strategy_Sub2&amp;"_"&amp;$A394,'Investment Strategies'!$C:$P,12,FALSE),
IF(AND(Investment_Strategy="Lifecycle",Investment_Strategy_Sub1="Standard"),VLOOKUP(Investment_Strategy&amp;"_"&amp;Investment_Strategy_Sub2&amp;"_"&amp;$A394,'Investment Strategies'!$AJ:$AV,11,FALSE),
IF(AND(Investment_Strategy="Autopilot",Investment_Strategy_Sub1="Non-Standard"),VLOOKUP(Investment_Strategy&amp;"_"&amp;Investment_Strategy_Sub2&amp;"_"&amp;$A394,'Investment Strategies'!$T:$AF,11,FALSE),
IF(Investment_Strategy="DIY",DIY_GteeChrge_FuturePremiums,
"Error"))))))</f>
        <v>0</v>
      </c>
      <c r="V394" s="33">
        <f>IF(AV394=0,0,
IF(Investment_Strategy="DIS",VLOOKUP(Investment_Strategy&amp;"_"&amp;Investment_Strategy_Sub1&amp;"_"&amp;$A394,'Investment Strategies'!$AZ:$BP,17,FALSE),
IF(AND(Investment_Strategy="Lifecycle",Investment_Strategy_Sub1="Non-Standard"),VLOOKUP(Investment_Strategy&amp;"_"&amp;Investment_Strategy_Sub2&amp;"_"&amp;$A394,'Investment Strategies'!$C:$P,14,FALSE),
IF(AND(Investment_Strategy="Lifecycle",Investment_Strategy_Sub1="Standard"),VLOOKUP(Investment_Strategy&amp;"_"&amp;Investment_Strategy_Sub2&amp;"_"&amp;$A394,'Investment Strategies'!$AJ:$AV,13,FALSE),
IF(AND(Investment_Strategy="Autopilot",Investment_Strategy_Sub1="Non-Standard"),VLOOKUP(Investment_Strategy&amp;"_"&amp;Investment_Strategy_Sub2&amp;"_"&amp;$A394,'Investment Strategies'!$T:$AF,13,FALSE),
IF(Investment_Strategy="DIY",DIY_ExtManChrge_FuturePremiums,
"Error"))))))</f>
        <v>0</v>
      </c>
      <c r="W394" s="16">
        <f t="shared" si="231"/>
        <v>0</v>
      </c>
      <c r="X394" s="16">
        <f t="shared" si="208"/>
        <v>0</v>
      </c>
      <c r="Y394" s="16">
        <f t="shared" si="209"/>
        <v>0</v>
      </c>
      <c r="Z394" s="31">
        <f t="shared" si="210"/>
        <v>0.02</v>
      </c>
      <c r="AA394" s="16">
        <f t="shared" si="211"/>
        <v>0</v>
      </c>
      <c r="AB394" s="28">
        <f t="shared" si="232"/>
        <v>0</v>
      </c>
      <c r="AC394" s="28">
        <f>(SUM($AC$91:AC393)+SUM($X$91:X393)+X394)*T394*IF(D394=$A$91,SRP_finalmonthfactor,1)</f>
        <v>0</v>
      </c>
      <c r="AD394" s="16">
        <f t="shared" si="212"/>
        <v>0</v>
      </c>
      <c r="AE394" s="106"/>
      <c r="AF394" s="16">
        <f t="shared" si="220"/>
        <v>0</v>
      </c>
      <c r="AG394" s="16">
        <f t="shared" si="221"/>
        <v>0</v>
      </c>
      <c r="AH394" s="16">
        <f t="shared" si="222"/>
        <v>0</v>
      </c>
      <c r="AJ394" s="13">
        <f t="shared" si="237"/>
        <v>0</v>
      </c>
      <c r="AK394" s="13">
        <f t="shared" si="237"/>
        <v>0</v>
      </c>
      <c r="AL394" s="13">
        <f t="shared" si="237"/>
        <v>0</v>
      </c>
      <c r="AM394" s="13">
        <f t="shared" si="237"/>
        <v>0</v>
      </c>
      <c r="AN394" s="13">
        <f t="shared" si="237"/>
        <v>0</v>
      </c>
      <c r="AO394" s="13">
        <f t="shared" si="237"/>
        <v>1</v>
      </c>
      <c r="AP394" s="13">
        <f t="shared" si="237"/>
        <v>1</v>
      </c>
      <c r="AQ394" s="13">
        <f t="shared" si="237"/>
        <v>1</v>
      </c>
      <c r="AR394" s="13">
        <f t="shared" si="237"/>
        <v>0</v>
      </c>
      <c r="AS394" s="13">
        <f t="shared" si="237"/>
        <v>1</v>
      </c>
      <c r="AT394" s="13">
        <f t="shared" si="237"/>
        <v>1</v>
      </c>
      <c r="AU394" s="13">
        <f t="shared" si="237"/>
        <v>1</v>
      </c>
      <c r="AV394" s="13">
        <f t="shared" si="213"/>
        <v>0</v>
      </c>
      <c r="AW394" s="13">
        <f t="shared" si="214"/>
        <v>1</v>
      </c>
      <c r="AY394" s="17">
        <f t="shared" si="215"/>
        <v>304</v>
      </c>
      <c r="AZ394" s="28">
        <f t="shared" si="223"/>
        <v>0</v>
      </c>
      <c r="BA394" s="13">
        <f t="shared" si="216"/>
        <v>0</v>
      </c>
      <c r="BB394" s="13">
        <f t="shared" si="217"/>
        <v>0</v>
      </c>
      <c r="BC394" s="28">
        <f t="shared" si="224"/>
        <v>0</v>
      </c>
      <c r="BD394" s="28">
        <f t="shared" si="225"/>
        <v>0</v>
      </c>
      <c r="BF394" s="248">
        <f t="shared" si="226"/>
        <v>993869.29442638322</v>
      </c>
    </row>
    <row r="395" spans="1:58">
      <c r="A395" s="32">
        <f t="shared" si="227"/>
        <v>-220</v>
      </c>
      <c r="B395" s="32">
        <f t="shared" si="218"/>
        <v>78</v>
      </c>
      <c r="C395" s="32">
        <f t="shared" si="228"/>
        <v>26</v>
      </c>
      <c r="D395" s="32">
        <f t="shared" si="229"/>
        <v>305</v>
      </c>
      <c r="E395" s="74">
        <f>MIN(IF(AV395=0,0,
IF(Investment_Strategy="DIS",VLOOKUP(Investment_Strategy&amp;"_"&amp;Investment_Strategy_Sub1&amp;"_"&amp;$A395,'Investment Strategies'!$AZ:$BP,12,FALSE),
IF(AND(Investment_Strategy="Lifecycle",Investment_Strategy_Sub1="Non-Standard"),VLOOKUP(Investment_Strategy&amp;"_"&amp;Investment_Strategy_Sub2&amp;"_"&amp;$A395,'Investment Strategies'!$C:$P,9,FALSE),
IF(AND(Investment_Strategy="Lifecycle",Investment_Strategy_Sub1="Standard"),VLOOKUP(Investment_Strategy&amp;"_"&amp;Investment_Strategy_Sub2&amp;"_"&amp;$A395,'Investment Strategies'!$AJ:$AV,8,FALSE),
IF(AND(Investment_Strategy="Autopilot",Investment_Strategy_Sub1="Non-Standard"),VLOOKUP(Investment_Strategy&amp;"_"&amp;Investment_Strategy_Sub2&amp;"_"&amp;$A395,'Investment Strategies'!$T:$AF,8,FALSE),
IF(Investment_Strategy ="DIY",DIY_RateOfReturn_CurrentFunds,
"Error")))))),Max_InvReturn)</f>
        <v>0</v>
      </c>
      <c r="F395" s="62">
        <f>IF(AV395=0,0,
IF(Investment_Strategy="DIS",VLOOKUP(Investment_Strategy&amp;"_"&amp;Investment_Strategy_Sub1&amp;"_"&amp;$A395,'Investment Strategies'!$AZ:$BP,15,FALSE),
IF(AND(Investment_Strategy="Lifecycle",Investment_Strategy_Sub1="Non-Standard"),VLOOKUP(Investment_Strategy&amp;"_"&amp;Investment_Strategy_Sub2&amp;"_"&amp;$A395,'Investment Strategies'!$C:$P,12,FALSE),
IF(AND(Investment_Strategy="Lifecycle",Investment_Strategy_Sub1="Standard"),VLOOKUP(Investment_Strategy&amp;"_"&amp;Investment_Strategy_Sub2&amp;"_"&amp;$A395,'Investment Strategies'!$AJ:$AV,11,FALSE),
IF(AND(Investment_Strategy="Autopilot",Investment_Strategy_Sub1="Non-Standard"),VLOOKUP(Investment_Strategy&amp;"_"&amp;Investment_Strategy_Sub2&amp;"_"&amp;$A395,'Investment Strategies'!$T:$AF,11,FALSE),
IF(Investment_Strategy="DIY",DIY_GteeChrge_CurrentFunds,
"Error"))))))</f>
        <v>0</v>
      </c>
      <c r="G395" s="33">
        <f>IF(AV395=0,0,
IF(Investment_Strategy="DIS",VLOOKUP(Investment_Strategy&amp;"_"&amp;Investment_Strategy_Sub1&amp;"_"&amp;$A395,'Investment Strategies'!$AZ:$BP,17,FALSE),
IF(AND(Investment_Strategy="Lifecycle",Investment_Strategy_Sub1="Non-Standard"),VLOOKUP(Investment_Strategy&amp;"_"&amp;Investment_Strategy_Sub2&amp;"_"&amp;$A395,'Investment Strategies'!$C:$P,14,FALSE),
IF(AND(Investment_Strategy="Lifecycle",Investment_Strategy_Sub1="Standard"),VLOOKUP(Investment_Strategy&amp;"_"&amp;Investment_Strategy_Sub2&amp;"_"&amp;$A395,'Investment Strategies'!$AJ:$AV,13,FALSE),
IF(AND(Investment_Strategy="Autopilot",Investment_Strategy_Sub1="Non-Standard"),VLOOKUP(Investment_Strategy&amp;"_"&amp;Investment_Strategy_Sub2&amp;"_"&amp;$A395,'Investment Strategies'!$T:$AF,13,FALSE),
IF(Investment_Strategy="DIY",DIY_ExtManChrge_CurrentFunds,
"Error"))))))</f>
        <v>0</v>
      </c>
      <c r="H395" s="16">
        <f t="shared" si="219"/>
        <v>0</v>
      </c>
      <c r="I395" s="16">
        <f t="shared" si="205"/>
        <v>0</v>
      </c>
      <c r="J395" s="16">
        <f t="shared" si="206"/>
        <v>0</v>
      </c>
      <c r="K395" s="16">
        <f>(Opening_Fund_Value+SUM(K$91:K394))*E395*IF(D395=$A$91,SRP_finalmonthfactor,1)</f>
        <v>0</v>
      </c>
      <c r="L395" s="74">
        <f>MIN(IF($AV395=0,0,
IF(Investment_Strategy="DIS",VLOOKUP(Investment_Strategy&amp;"_"&amp;Investment_Strategy_Sub1&amp;"_"&amp;$A395,'Investment Strategies'!$AZ:$BP,12,FALSE),
IF(AND(Investment_Strategy="Lifecycle",Investment_Strategy_Sub1="Non-Standard"),VLOOKUP(Investment_Strategy&amp;"_"&amp;Investment_Strategy_Sub2&amp;"_"&amp;$A395,'Investment Strategies'!$C:$P,9,FALSE),
IF(AND(Investment_Strategy="Lifecycle",Investment_Strategy_Sub1="Standard"),VLOOKUP(Investment_Strategy&amp;"_"&amp;Investment_Strategy_Sub2&amp;"_"&amp;$A395,'Investment Strategies'!$AJ:$AV,8,FALSE),
IF(AND(Investment_Strategy="Autopilot",Investment_Strategy_Sub1="Non-Standard"),VLOOKUP(Investment_Strategy&amp;"_"&amp;Investment_Strategy_Sub2&amp;"_"&amp;$A395,'Investment Strategies'!$T:$AF,8,FALSE),
IF(Investment_Strategy ="DIY",DIY_RateofReturn_SP,
"Error")))))),Max_InvReturn)</f>
        <v>0</v>
      </c>
      <c r="M395" s="62">
        <f>IF($AV395=0,0,
IF(Investment_Strategy="DIS",VLOOKUP(Investment_Strategy&amp;"_"&amp;Investment_Strategy_Sub1&amp;"_"&amp;$A395,'Investment Strategies'!$AZ:$BP,15,FALSE),
IF(AND(Investment_Strategy="Lifecycle",Investment_Strategy_Sub1="Non-Standard"),VLOOKUP(Investment_Strategy&amp;"_"&amp;Investment_Strategy_Sub2&amp;"_"&amp;$A395,'Investment Strategies'!$C:$P,12,FALSE),
IF(AND(Investment_Strategy="Lifecycle",Investment_Strategy_Sub1="Standard"),VLOOKUP(Investment_Strategy&amp;"_"&amp;Investment_Strategy_Sub2&amp;"_"&amp;$A395,'Investment Strategies'!$AJ:$AV,11,FALSE),
IF(AND(Investment_Strategy="Autopilot",Investment_Strategy_Sub1="Non-Standard"),VLOOKUP(Investment_Strategy&amp;"_"&amp;Investment_Strategy_Sub2&amp;"_"&amp;$A395,'Investment Strategies'!$T:$AF,11,FALSE),
IF(Investment_Strategy="DIY",DIY_GteeChrge_SP,
"Error"))))))</f>
        <v>0</v>
      </c>
      <c r="N395" s="33">
        <f>IF($AV395=0,0,
IF(Investment_Strategy="DIS",VLOOKUP(Investment_Strategy&amp;"_"&amp;Investment_Strategy_Sub1&amp;"_"&amp;$A395,'Investment Strategies'!$AZ:$BP,17,FALSE),
IF(AND(Investment_Strategy="Lifecycle",Investment_Strategy_Sub1="Non-Standard"),VLOOKUP(Investment_Strategy&amp;"_"&amp;Investment_Strategy_Sub2&amp;"_"&amp;$A395,'Investment Strategies'!$C:$P,14,FALSE),
IF(AND(Investment_Strategy="Lifecycle",Investment_Strategy_Sub1="Standard"),VLOOKUP(Investment_Strategy&amp;"_"&amp;Investment_Strategy_Sub2&amp;"_"&amp;$A395,'Investment Strategies'!$AJ:$AV,13,FALSE),
IF(AND(Investment_Strategy="Autopilot",Investment_Strategy_Sub1="Non-Standard"),VLOOKUP(Investment_Strategy&amp;"_"&amp;Investment_Strategy_Sub2&amp;"_"&amp;$A395,'Investment Strategies'!$T:$AF,13,FALSE),
IF(Investment_Strategy="DIY",DIY_ExtManChrge_SP,
"Error"))))))</f>
        <v>0</v>
      </c>
      <c r="O395" s="16">
        <f t="shared" si="230"/>
        <v>0</v>
      </c>
      <c r="Q395" s="16">
        <f t="shared" si="207"/>
        <v>0</v>
      </c>
      <c r="R395" s="16">
        <f t="shared" si="203"/>
        <v>0</v>
      </c>
      <c r="S395" s="16">
        <f>(SRP_SP+SUM(S$91:S394))*L395*IF(D395=$A$91,SRP_finalmonthfactor,1)</f>
        <v>0</v>
      </c>
      <c r="T395" s="74">
        <f>MIN(IF($AV395=0,0,
IF(Investment_Strategy="DIS",VLOOKUP(Investment_Strategy&amp;"_"&amp;Investment_Strategy_Sub1&amp;"_"&amp;$A395,'Investment Strategies'!$AZ:$BP,12,FALSE),
IF(AND(Investment_Strategy="Lifecycle",Investment_Strategy_Sub1="Non-Standard"),VLOOKUP(Investment_Strategy&amp;"_"&amp;Investment_Strategy_Sub2&amp;"_"&amp;$A395,'Investment Strategies'!$C:$P,9,FALSE),
IF(AND(Investment_Strategy="Lifecycle",Investment_Strategy_Sub1="Standard"),VLOOKUP(Investment_Strategy&amp;"_"&amp;Investment_Strategy_Sub2&amp;"_"&amp;$A395,'Investment Strategies'!$AJ:$AV,8,FALSE),
IF(AND(Investment_Strategy="Autopilot",Investment_Strategy_Sub1="Non-Standard"),VLOOKUP(Investment_Strategy&amp;"_"&amp;Investment_Strategy_Sub2&amp;"_"&amp;$A395,'Investment Strategies'!$T:$AF,8,FALSE),
IF(Investment_Strategy ="DIY",DIY_RateOfReturn_FuturePremiums,
"Error")))))),Max_InvReturn)</f>
        <v>0</v>
      </c>
      <c r="U395" s="62">
        <f>IF($AV395=0,0,
IF(Investment_Strategy="DIS",VLOOKUP(Investment_Strategy&amp;"_"&amp;Investment_Strategy_Sub1&amp;"_"&amp;$A395,'Investment Strategies'!$AZ:$BP,15,FALSE),
IF(AND(Investment_Strategy="Lifecycle",Investment_Strategy_Sub1="Non-Standard"),VLOOKUP(Investment_Strategy&amp;"_"&amp;Investment_Strategy_Sub2&amp;"_"&amp;$A395,'Investment Strategies'!$C:$P,12,FALSE),
IF(AND(Investment_Strategy="Lifecycle",Investment_Strategy_Sub1="Standard"),VLOOKUP(Investment_Strategy&amp;"_"&amp;Investment_Strategy_Sub2&amp;"_"&amp;$A395,'Investment Strategies'!$AJ:$AV,11,FALSE),
IF(AND(Investment_Strategy="Autopilot",Investment_Strategy_Sub1="Non-Standard"),VLOOKUP(Investment_Strategy&amp;"_"&amp;Investment_Strategy_Sub2&amp;"_"&amp;$A395,'Investment Strategies'!$T:$AF,11,FALSE),
IF(Investment_Strategy="DIY",DIY_GteeChrge_FuturePremiums,
"Error"))))))</f>
        <v>0</v>
      </c>
      <c r="V395" s="33">
        <f>IF(AV395=0,0,
IF(Investment_Strategy="DIS",VLOOKUP(Investment_Strategy&amp;"_"&amp;Investment_Strategy_Sub1&amp;"_"&amp;$A395,'Investment Strategies'!$AZ:$BP,17,FALSE),
IF(AND(Investment_Strategy="Lifecycle",Investment_Strategy_Sub1="Non-Standard"),VLOOKUP(Investment_Strategy&amp;"_"&amp;Investment_Strategy_Sub2&amp;"_"&amp;$A395,'Investment Strategies'!$C:$P,14,FALSE),
IF(AND(Investment_Strategy="Lifecycle",Investment_Strategy_Sub1="Standard"),VLOOKUP(Investment_Strategy&amp;"_"&amp;Investment_Strategy_Sub2&amp;"_"&amp;$A395,'Investment Strategies'!$AJ:$AV,13,FALSE),
IF(AND(Investment_Strategy="Autopilot",Investment_Strategy_Sub1="Non-Standard"),VLOOKUP(Investment_Strategy&amp;"_"&amp;Investment_Strategy_Sub2&amp;"_"&amp;$A395,'Investment Strategies'!$T:$AF,13,FALSE),
IF(Investment_Strategy="DIY",DIY_ExtManChrge_FuturePremiums,
"Error"))))))</f>
        <v>0</v>
      </c>
      <c r="W395" s="16">
        <f t="shared" si="231"/>
        <v>0</v>
      </c>
      <c r="X395" s="16">
        <f t="shared" si="208"/>
        <v>0</v>
      </c>
      <c r="Y395" s="16">
        <f t="shared" si="209"/>
        <v>0</v>
      </c>
      <c r="Z395" s="31">
        <f t="shared" si="210"/>
        <v>0.02</v>
      </c>
      <c r="AA395" s="16">
        <f t="shared" si="211"/>
        <v>0</v>
      </c>
      <c r="AB395" s="28">
        <f t="shared" si="232"/>
        <v>0</v>
      </c>
      <c r="AC395" s="28">
        <f>(SUM($AC$91:AC394)+SUM($X$91:X394)+X395)*T395*IF(D395=$A$91,SRP_finalmonthfactor,1)</f>
        <v>0</v>
      </c>
      <c r="AD395" s="16">
        <f t="shared" si="212"/>
        <v>0</v>
      </c>
      <c r="AE395" s="106"/>
      <c r="AF395" s="16">
        <f t="shared" si="220"/>
        <v>0</v>
      </c>
      <c r="AG395" s="16">
        <f t="shared" si="221"/>
        <v>0</v>
      </c>
      <c r="AH395" s="16">
        <f t="shared" si="222"/>
        <v>0</v>
      </c>
      <c r="AJ395" s="13">
        <f t="shared" si="237"/>
        <v>0</v>
      </c>
      <c r="AK395" s="13">
        <f t="shared" si="237"/>
        <v>0</v>
      </c>
      <c r="AL395" s="13">
        <f t="shared" si="237"/>
        <v>0</v>
      </c>
      <c r="AM395" s="13">
        <f t="shared" si="237"/>
        <v>0</v>
      </c>
      <c r="AN395" s="13">
        <f t="shared" si="237"/>
        <v>0</v>
      </c>
      <c r="AO395" s="13">
        <f t="shared" si="237"/>
        <v>1</v>
      </c>
      <c r="AP395" s="13">
        <f t="shared" si="237"/>
        <v>1</v>
      </c>
      <c r="AQ395" s="13">
        <f t="shared" si="237"/>
        <v>1</v>
      </c>
      <c r="AR395" s="13">
        <f t="shared" si="237"/>
        <v>0</v>
      </c>
      <c r="AS395" s="13">
        <f t="shared" si="237"/>
        <v>1</v>
      </c>
      <c r="AT395" s="13">
        <f t="shared" si="237"/>
        <v>1</v>
      </c>
      <c r="AU395" s="13">
        <f t="shared" si="237"/>
        <v>1</v>
      </c>
      <c r="AV395" s="13">
        <f t="shared" si="213"/>
        <v>0</v>
      </c>
      <c r="AW395" s="13">
        <f t="shared" si="214"/>
        <v>1</v>
      </c>
      <c r="AY395" s="17">
        <f t="shared" si="215"/>
        <v>305</v>
      </c>
      <c r="AZ395" s="28">
        <f t="shared" si="223"/>
        <v>0</v>
      </c>
      <c r="BA395" s="13">
        <f t="shared" si="216"/>
        <v>0</v>
      </c>
      <c r="BB395" s="13">
        <f t="shared" si="217"/>
        <v>0</v>
      </c>
      <c r="BC395" s="28">
        <f t="shared" si="224"/>
        <v>0</v>
      </c>
      <c r="BD395" s="28">
        <f t="shared" si="225"/>
        <v>0</v>
      </c>
      <c r="BF395" s="248">
        <f t="shared" si="226"/>
        <v>993869.29442638322</v>
      </c>
    </row>
    <row r="396" spans="1:58">
      <c r="A396" s="32">
        <f t="shared" si="227"/>
        <v>-221</v>
      </c>
      <c r="B396" s="32">
        <f t="shared" si="218"/>
        <v>78</v>
      </c>
      <c r="C396" s="32">
        <f t="shared" si="228"/>
        <v>26</v>
      </c>
      <c r="D396" s="32">
        <f t="shared" si="229"/>
        <v>306</v>
      </c>
      <c r="E396" s="74">
        <f>MIN(IF(AV396=0,0,
IF(Investment_Strategy="DIS",VLOOKUP(Investment_Strategy&amp;"_"&amp;Investment_Strategy_Sub1&amp;"_"&amp;$A396,'Investment Strategies'!$AZ:$BP,12,FALSE),
IF(AND(Investment_Strategy="Lifecycle",Investment_Strategy_Sub1="Non-Standard"),VLOOKUP(Investment_Strategy&amp;"_"&amp;Investment_Strategy_Sub2&amp;"_"&amp;$A396,'Investment Strategies'!$C:$P,9,FALSE),
IF(AND(Investment_Strategy="Lifecycle",Investment_Strategy_Sub1="Standard"),VLOOKUP(Investment_Strategy&amp;"_"&amp;Investment_Strategy_Sub2&amp;"_"&amp;$A396,'Investment Strategies'!$AJ:$AV,8,FALSE),
IF(AND(Investment_Strategy="Autopilot",Investment_Strategy_Sub1="Non-Standard"),VLOOKUP(Investment_Strategy&amp;"_"&amp;Investment_Strategy_Sub2&amp;"_"&amp;$A396,'Investment Strategies'!$T:$AF,8,FALSE),
IF(Investment_Strategy ="DIY",DIY_RateOfReturn_CurrentFunds,
"Error")))))),Max_InvReturn)</f>
        <v>0</v>
      </c>
      <c r="F396" s="62">
        <f>IF(AV396=0,0,
IF(Investment_Strategy="DIS",VLOOKUP(Investment_Strategy&amp;"_"&amp;Investment_Strategy_Sub1&amp;"_"&amp;$A396,'Investment Strategies'!$AZ:$BP,15,FALSE),
IF(AND(Investment_Strategy="Lifecycle",Investment_Strategy_Sub1="Non-Standard"),VLOOKUP(Investment_Strategy&amp;"_"&amp;Investment_Strategy_Sub2&amp;"_"&amp;$A396,'Investment Strategies'!$C:$P,12,FALSE),
IF(AND(Investment_Strategy="Lifecycle",Investment_Strategy_Sub1="Standard"),VLOOKUP(Investment_Strategy&amp;"_"&amp;Investment_Strategy_Sub2&amp;"_"&amp;$A396,'Investment Strategies'!$AJ:$AV,11,FALSE),
IF(AND(Investment_Strategy="Autopilot",Investment_Strategy_Sub1="Non-Standard"),VLOOKUP(Investment_Strategy&amp;"_"&amp;Investment_Strategy_Sub2&amp;"_"&amp;$A396,'Investment Strategies'!$T:$AF,11,FALSE),
IF(Investment_Strategy="DIY",DIY_GteeChrge_CurrentFunds,
"Error"))))))</f>
        <v>0</v>
      </c>
      <c r="G396" s="33">
        <f>IF(AV396=0,0,
IF(Investment_Strategy="DIS",VLOOKUP(Investment_Strategy&amp;"_"&amp;Investment_Strategy_Sub1&amp;"_"&amp;$A396,'Investment Strategies'!$AZ:$BP,17,FALSE),
IF(AND(Investment_Strategy="Lifecycle",Investment_Strategy_Sub1="Non-Standard"),VLOOKUP(Investment_Strategy&amp;"_"&amp;Investment_Strategy_Sub2&amp;"_"&amp;$A396,'Investment Strategies'!$C:$P,14,FALSE),
IF(AND(Investment_Strategy="Lifecycle",Investment_Strategy_Sub1="Standard"),VLOOKUP(Investment_Strategy&amp;"_"&amp;Investment_Strategy_Sub2&amp;"_"&amp;$A396,'Investment Strategies'!$AJ:$AV,13,FALSE),
IF(AND(Investment_Strategy="Autopilot",Investment_Strategy_Sub1="Non-Standard"),VLOOKUP(Investment_Strategy&amp;"_"&amp;Investment_Strategy_Sub2&amp;"_"&amp;$A396,'Investment Strategies'!$T:$AF,13,FALSE),
IF(Investment_Strategy="DIY",DIY_ExtManChrge_CurrentFunds,
"Error"))))))</f>
        <v>0</v>
      </c>
      <c r="H396" s="16">
        <f t="shared" si="219"/>
        <v>0</v>
      </c>
      <c r="I396" s="16">
        <f t="shared" si="205"/>
        <v>0</v>
      </c>
      <c r="J396" s="16">
        <f t="shared" si="206"/>
        <v>0</v>
      </c>
      <c r="K396" s="16">
        <f>(Opening_Fund_Value+SUM(K$91:K395))*E396*IF(D396=$A$91,SRP_finalmonthfactor,1)</f>
        <v>0</v>
      </c>
      <c r="L396" s="74">
        <f>MIN(IF($AV396=0,0,
IF(Investment_Strategy="DIS",VLOOKUP(Investment_Strategy&amp;"_"&amp;Investment_Strategy_Sub1&amp;"_"&amp;$A396,'Investment Strategies'!$AZ:$BP,12,FALSE),
IF(AND(Investment_Strategy="Lifecycle",Investment_Strategy_Sub1="Non-Standard"),VLOOKUP(Investment_Strategy&amp;"_"&amp;Investment_Strategy_Sub2&amp;"_"&amp;$A396,'Investment Strategies'!$C:$P,9,FALSE),
IF(AND(Investment_Strategy="Lifecycle",Investment_Strategy_Sub1="Standard"),VLOOKUP(Investment_Strategy&amp;"_"&amp;Investment_Strategy_Sub2&amp;"_"&amp;$A396,'Investment Strategies'!$AJ:$AV,8,FALSE),
IF(AND(Investment_Strategy="Autopilot",Investment_Strategy_Sub1="Non-Standard"),VLOOKUP(Investment_Strategy&amp;"_"&amp;Investment_Strategy_Sub2&amp;"_"&amp;$A396,'Investment Strategies'!$T:$AF,8,FALSE),
IF(Investment_Strategy ="DIY",DIY_RateofReturn_SP,
"Error")))))),Max_InvReturn)</f>
        <v>0</v>
      </c>
      <c r="M396" s="62">
        <f>IF($AV396=0,0,
IF(Investment_Strategy="DIS",VLOOKUP(Investment_Strategy&amp;"_"&amp;Investment_Strategy_Sub1&amp;"_"&amp;$A396,'Investment Strategies'!$AZ:$BP,15,FALSE),
IF(AND(Investment_Strategy="Lifecycle",Investment_Strategy_Sub1="Non-Standard"),VLOOKUP(Investment_Strategy&amp;"_"&amp;Investment_Strategy_Sub2&amp;"_"&amp;$A396,'Investment Strategies'!$C:$P,12,FALSE),
IF(AND(Investment_Strategy="Lifecycle",Investment_Strategy_Sub1="Standard"),VLOOKUP(Investment_Strategy&amp;"_"&amp;Investment_Strategy_Sub2&amp;"_"&amp;$A396,'Investment Strategies'!$AJ:$AV,11,FALSE),
IF(AND(Investment_Strategy="Autopilot",Investment_Strategy_Sub1="Non-Standard"),VLOOKUP(Investment_Strategy&amp;"_"&amp;Investment_Strategy_Sub2&amp;"_"&amp;$A396,'Investment Strategies'!$T:$AF,11,FALSE),
IF(Investment_Strategy="DIY",DIY_GteeChrge_SP,
"Error"))))))</f>
        <v>0</v>
      </c>
      <c r="N396" s="33">
        <f>IF($AV396=0,0,
IF(Investment_Strategy="DIS",VLOOKUP(Investment_Strategy&amp;"_"&amp;Investment_Strategy_Sub1&amp;"_"&amp;$A396,'Investment Strategies'!$AZ:$BP,17,FALSE),
IF(AND(Investment_Strategy="Lifecycle",Investment_Strategy_Sub1="Non-Standard"),VLOOKUP(Investment_Strategy&amp;"_"&amp;Investment_Strategy_Sub2&amp;"_"&amp;$A396,'Investment Strategies'!$C:$P,14,FALSE),
IF(AND(Investment_Strategy="Lifecycle",Investment_Strategy_Sub1="Standard"),VLOOKUP(Investment_Strategy&amp;"_"&amp;Investment_Strategy_Sub2&amp;"_"&amp;$A396,'Investment Strategies'!$AJ:$AV,13,FALSE),
IF(AND(Investment_Strategy="Autopilot",Investment_Strategy_Sub1="Non-Standard"),VLOOKUP(Investment_Strategy&amp;"_"&amp;Investment_Strategy_Sub2&amp;"_"&amp;$A396,'Investment Strategies'!$T:$AF,13,FALSE),
IF(Investment_Strategy="DIY",DIY_ExtManChrge_SP,
"Error"))))))</f>
        <v>0</v>
      </c>
      <c r="O396" s="16">
        <f t="shared" si="230"/>
        <v>0</v>
      </c>
      <c r="Q396" s="16">
        <f t="shared" si="207"/>
        <v>0</v>
      </c>
      <c r="R396" s="16">
        <f t="shared" si="203"/>
        <v>0</v>
      </c>
      <c r="S396" s="16">
        <f>(SRP_SP+SUM(S$91:S395))*L396*IF(D396=$A$91,SRP_finalmonthfactor,1)</f>
        <v>0</v>
      </c>
      <c r="T396" s="74">
        <f>MIN(IF($AV396=0,0,
IF(Investment_Strategy="DIS",VLOOKUP(Investment_Strategy&amp;"_"&amp;Investment_Strategy_Sub1&amp;"_"&amp;$A396,'Investment Strategies'!$AZ:$BP,12,FALSE),
IF(AND(Investment_Strategy="Lifecycle",Investment_Strategy_Sub1="Non-Standard"),VLOOKUP(Investment_Strategy&amp;"_"&amp;Investment_Strategy_Sub2&amp;"_"&amp;$A396,'Investment Strategies'!$C:$P,9,FALSE),
IF(AND(Investment_Strategy="Lifecycle",Investment_Strategy_Sub1="Standard"),VLOOKUP(Investment_Strategy&amp;"_"&amp;Investment_Strategy_Sub2&amp;"_"&amp;$A396,'Investment Strategies'!$AJ:$AV,8,FALSE),
IF(AND(Investment_Strategy="Autopilot",Investment_Strategy_Sub1="Non-Standard"),VLOOKUP(Investment_Strategy&amp;"_"&amp;Investment_Strategy_Sub2&amp;"_"&amp;$A396,'Investment Strategies'!$T:$AF,8,FALSE),
IF(Investment_Strategy ="DIY",DIY_RateOfReturn_FuturePremiums,
"Error")))))),Max_InvReturn)</f>
        <v>0</v>
      </c>
      <c r="U396" s="62">
        <f>IF($AV396=0,0,
IF(Investment_Strategy="DIS",VLOOKUP(Investment_Strategy&amp;"_"&amp;Investment_Strategy_Sub1&amp;"_"&amp;$A396,'Investment Strategies'!$AZ:$BP,15,FALSE),
IF(AND(Investment_Strategy="Lifecycle",Investment_Strategy_Sub1="Non-Standard"),VLOOKUP(Investment_Strategy&amp;"_"&amp;Investment_Strategy_Sub2&amp;"_"&amp;$A396,'Investment Strategies'!$C:$P,12,FALSE),
IF(AND(Investment_Strategy="Lifecycle",Investment_Strategy_Sub1="Standard"),VLOOKUP(Investment_Strategy&amp;"_"&amp;Investment_Strategy_Sub2&amp;"_"&amp;$A396,'Investment Strategies'!$AJ:$AV,11,FALSE),
IF(AND(Investment_Strategy="Autopilot",Investment_Strategy_Sub1="Non-Standard"),VLOOKUP(Investment_Strategy&amp;"_"&amp;Investment_Strategy_Sub2&amp;"_"&amp;$A396,'Investment Strategies'!$T:$AF,11,FALSE),
IF(Investment_Strategy="DIY",DIY_GteeChrge_FuturePremiums,
"Error"))))))</f>
        <v>0</v>
      </c>
      <c r="V396" s="33">
        <f>IF(AV396=0,0,
IF(Investment_Strategy="DIS",VLOOKUP(Investment_Strategy&amp;"_"&amp;Investment_Strategy_Sub1&amp;"_"&amp;$A396,'Investment Strategies'!$AZ:$BP,17,FALSE),
IF(AND(Investment_Strategy="Lifecycle",Investment_Strategy_Sub1="Non-Standard"),VLOOKUP(Investment_Strategy&amp;"_"&amp;Investment_Strategy_Sub2&amp;"_"&amp;$A396,'Investment Strategies'!$C:$P,14,FALSE),
IF(AND(Investment_Strategy="Lifecycle",Investment_Strategy_Sub1="Standard"),VLOOKUP(Investment_Strategy&amp;"_"&amp;Investment_Strategy_Sub2&amp;"_"&amp;$A396,'Investment Strategies'!$AJ:$AV,13,FALSE),
IF(AND(Investment_Strategy="Autopilot",Investment_Strategy_Sub1="Non-Standard"),VLOOKUP(Investment_Strategy&amp;"_"&amp;Investment_Strategy_Sub2&amp;"_"&amp;$A396,'Investment Strategies'!$T:$AF,13,FALSE),
IF(Investment_Strategy="DIY",DIY_ExtManChrge_FuturePremiums,
"Error"))))))</f>
        <v>0</v>
      </c>
      <c r="W396" s="16">
        <f t="shared" si="231"/>
        <v>0</v>
      </c>
      <c r="X396" s="16">
        <f t="shared" si="208"/>
        <v>0</v>
      </c>
      <c r="Y396" s="16">
        <f t="shared" si="209"/>
        <v>0</v>
      </c>
      <c r="Z396" s="31">
        <f t="shared" si="210"/>
        <v>0.02</v>
      </c>
      <c r="AA396" s="16">
        <f t="shared" si="211"/>
        <v>0</v>
      </c>
      <c r="AB396" s="28">
        <f t="shared" si="232"/>
        <v>0</v>
      </c>
      <c r="AC396" s="28">
        <f>(SUM($AC$91:AC395)+SUM($X$91:X395)+X396)*T396*IF(D396=$A$91,SRP_finalmonthfactor,1)</f>
        <v>0</v>
      </c>
      <c r="AD396" s="16">
        <f t="shared" si="212"/>
        <v>0</v>
      </c>
      <c r="AE396" s="106"/>
      <c r="AF396" s="16">
        <f t="shared" si="220"/>
        <v>0</v>
      </c>
      <c r="AG396" s="16">
        <f t="shared" si="221"/>
        <v>0</v>
      </c>
      <c r="AH396" s="16">
        <f t="shared" si="222"/>
        <v>0</v>
      </c>
      <c r="AJ396" s="13">
        <f t="shared" si="237"/>
        <v>0</v>
      </c>
      <c r="AK396" s="13">
        <f t="shared" si="237"/>
        <v>0</v>
      </c>
      <c r="AL396" s="13">
        <f t="shared" si="237"/>
        <v>0</v>
      </c>
      <c r="AM396" s="13">
        <f t="shared" si="237"/>
        <v>0</v>
      </c>
      <c r="AN396" s="13">
        <f t="shared" si="237"/>
        <v>0</v>
      </c>
      <c r="AO396" s="13">
        <f t="shared" si="237"/>
        <v>1</v>
      </c>
      <c r="AP396" s="13">
        <f t="shared" si="237"/>
        <v>1</v>
      </c>
      <c r="AQ396" s="13">
        <f t="shared" si="237"/>
        <v>1</v>
      </c>
      <c r="AR396" s="13">
        <f t="shared" si="237"/>
        <v>0</v>
      </c>
      <c r="AS396" s="13">
        <f t="shared" si="237"/>
        <v>1</v>
      </c>
      <c r="AT396" s="13">
        <f t="shared" si="237"/>
        <v>1</v>
      </c>
      <c r="AU396" s="13">
        <f t="shared" si="237"/>
        <v>1</v>
      </c>
      <c r="AV396" s="13">
        <f t="shared" si="213"/>
        <v>0</v>
      </c>
      <c r="AW396" s="13">
        <f t="shared" si="214"/>
        <v>1</v>
      </c>
      <c r="AY396" s="17">
        <f t="shared" si="215"/>
        <v>306</v>
      </c>
      <c r="AZ396" s="28">
        <f t="shared" si="223"/>
        <v>0</v>
      </c>
      <c r="BA396" s="13">
        <f t="shared" si="216"/>
        <v>0</v>
      </c>
      <c r="BB396" s="13">
        <f t="shared" si="217"/>
        <v>0</v>
      </c>
      <c r="BC396" s="28">
        <f t="shared" si="224"/>
        <v>0</v>
      </c>
      <c r="BD396" s="28">
        <f t="shared" si="225"/>
        <v>0</v>
      </c>
      <c r="BF396" s="248">
        <f t="shared" si="226"/>
        <v>993869.29442638322</v>
      </c>
    </row>
    <row r="397" spans="1:58">
      <c r="A397" s="32">
        <f t="shared" si="227"/>
        <v>-222</v>
      </c>
      <c r="B397" s="32">
        <f t="shared" si="218"/>
        <v>78</v>
      </c>
      <c r="C397" s="32">
        <f t="shared" si="228"/>
        <v>26</v>
      </c>
      <c r="D397" s="32">
        <f t="shared" si="229"/>
        <v>307</v>
      </c>
      <c r="E397" s="74">
        <f>MIN(IF(AV397=0,0,
IF(Investment_Strategy="DIS",VLOOKUP(Investment_Strategy&amp;"_"&amp;Investment_Strategy_Sub1&amp;"_"&amp;$A397,'Investment Strategies'!$AZ:$BP,12,FALSE),
IF(AND(Investment_Strategy="Lifecycle",Investment_Strategy_Sub1="Non-Standard"),VLOOKUP(Investment_Strategy&amp;"_"&amp;Investment_Strategy_Sub2&amp;"_"&amp;$A397,'Investment Strategies'!$C:$P,9,FALSE),
IF(AND(Investment_Strategy="Lifecycle",Investment_Strategy_Sub1="Standard"),VLOOKUP(Investment_Strategy&amp;"_"&amp;Investment_Strategy_Sub2&amp;"_"&amp;$A397,'Investment Strategies'!$AJ:$AV,8,FALSE),
IF(AND(Investment_Strategy="Autopilot",Investment_Strategy_Sub1="Non-Standard"),VLOOKUP(Investment_Strategy&amp;"_"&amp;Investment_Strategy_Sub2&amp;"_"&amp;$A397,'Investment Strategies'!$T:$AF,8,FALSE),
IF(Investment_Strategy ="DIY",DIY_RateOfReturn_CurrentFunds,
"Error")))))),Max_InvReturn)</f>
        <v>0</v>
      </c>
      <c r="F397" s="62">
        <f>IF(AV397=0,0,
IF(Investment_Strategy="DIS",VLOOKUP(Investment_Strategy&amp;"_"&amp;Investment_Strategy_Sub1&amp;"_"&amp;$A397,'Investment Strategies'!$AZ:$BP,15,FALSE),
IF(AND(Investment_Strategy="Lifecycle",Investment_Strategy_Sub1="Non-Standard"),VLOOKUP(Investment_Strategy&amp;"_"&amp;Investment_Strategy_Sub2&amp;"_"&amp;$A397,'Investment Strategies'!$C:$P,12,FALSE),
IF(AND(Investment_Strategy="Lifecycle",Investment_Strategy_Sub1="Standard"),VLOOKUP(Investment_Strategy&amp;"_"&amp;Investment_Strategy_Sub2&amp;"_"&amp;$A397,'Investment Strategies'!$AJ:$AV,11,FALSE),
IF(AND(Investment_Strategy="Autopilot",Investment_Strategy_Sub1="Non-Standard"),VLOOKUP(Investment_Strategy&amp;"_"&amp;Investment_Strategy_Sub2&amp;"_"&amp;$A397,'Investment Strategies'!$T:$AF,11,FALSE),
IF(Investment_Strategy="DIY",DIY_GteeChrge_CurrentFunds,
"Error"))))))</f>
        <v>0</v>
      </c>
      <c r="G397" s="33">
        <f>IF(AV397=0,0,
IF(Investment_Strategy="DIS",VLOOKUP(Investment_Strategy&amp;"_"&amp;Investment_Strategy_Sub1&amp;"_"&amp;$A397,'Investment Strategies'!$AZ:$BP,17,FALSE),
IF(AND(Investment_Strategy="Lifecycle",Investment_Strategy_Sub1="Non-Standard"),VLOOKUP(Investment_Strategy&amp;"_"&amp;Investment_Strategy_Sub2&amp;"_"&amp;$A397,'Investment Strategies'!$C:$P,14,FALSE),
IF(AND(Investment_Strategy="Lifecycle",Investment_Strategy_Sub1="Standard"),VLOOKUP(Investment_Strategy&amp;"_"&amp;Investment_Strategy_Sub2&amp;"_"&amp;$A397,'Investment Strategies'!$AJ:$AV,13,FALSE),
IF(AND(Investment_Strategy="Autopilot",Investment_Strategy_Sub1="Non-Standard"),VLOOKUP(Investment_Strategy&amp;"_"&amp;Investment_Strategy_Sub2&amp;"_"&amp;$A397,'Investment Strategies'!$T:$AF,13,FALSE),
IF(Investment_Strategy="DIY",DIY_ExtManChrge_CurrentFunds,
"Error"))))))</f>
        <v>0</v>
      </c>
      <c r="H397" s="16">
        <f t="shared" si="219"/>
        <v>0</v>
      </c>
      <c r="I397" s="16">
        <f t="shared" si="205"/>
        <v>0</v>
      </c>
      <c r="J397" s="16">
        <f t="shared" si="206"/>
        <v>0</v>
      </c>
      <c r="K397" s="16">
        <f>(Opening_Fund_Value+SUM(K$91:K396))*E397*IF(D397=$A$91,SRP_finalmonthfactor,1)</f>
        <v>0</v>
      </c>
      <c r="L397" s="74">
        <f>MIN(IF($AV397=0,0,
IF(Investment_Strategy="DIS",VLOOKUP(Investment_Strategy&amp;"_"&amp;Investment_Strategy_Sub1&amp;"_"&amp;$A397,'Investment Strategies'!$AZ:$BP,12,FALSE),
IF(AND(Investment_Strategy="Lifecycle",Investment_Strategy_Sub1="Non-Standard"),VLOOKUP(Investment_Strategy&amp;"_"&amp;Investment_Strategy_Sub2&amp;"_"&amp;$A397,'Investment Strategies'!$C:$P,9,FALSE),
IF(AND(Investment_Strategy="Lifecycle",Investment_Strategy_Sub1="Standard"),VLOOKUP(Investment_Strategy&amp;"_"&amp;Investment_Strategy_Sub2&amp;"_"&amp;$A397,'Investment Strategies'!$AJ:$AV,8,FALSE),
IF(AND(Investment_Strategy="Autopilot",Investment_Strategy_Sub1="Non-Standard"),VLOOKUP(Investment_Strategy&amp;"_"&amp;Investment_Strategy_Sub2&amp;"_"&amp;$A397,'Investment Strategies'!$T:$AF,8,FALSE),
IF(Investment_Strategy ="DIY",DIY_RateofReturn_SP,
"Error")))))),Max_InvReturn)</f>
        <v>0</v>
      </c>
      <c r="M397" s="62">
        <f>IF($AV397=0,0,
IF(Investment_Strategy="DIS",VLOOKUP(Investment_Strategy&amp;"_"&amp;Investment_Strategy_Sub1&amp;"_"&amp;$A397,'Investment Strategies'!$AZ:$BP,15,FALSE),
IF(AND(Investment_Strategy="Lifecycle",Investment_Strategy_Sub1="Non-Standard"),VLOOKUP(Investment_Strategy&amp;"_"&amp;Investment_Strategy_Sub2&amp;"_"&amp;$A397,'Investment Strategies'!$C:$P,12,FALSE),
IF(AND(Investment_Strategy="Lifecycle",Investment_Strategy_Sub1="Standard"),VLOOKUP(Investment_Strategy&amp;"_"&amp;Investment_Strategy_Sub2&amp;"_"&amp;$A397,'Investment Strategies'!$AJ:$AV,11,FALSE),
IF(AND(Investment_Strategy="Autopilot",Investment_Strategy_Sub1="Non-Standard"),VLOOKUP(Investment_Strategy&amp;"_"&amp;Investment_Strategy_Sub2&amp;"_"&amp;$A397,'Investment Strategies'!$T:$AF,11,FALSE),
IF(Investment_Strategy="DIY",DIY_GteeChrge_SP,
"Error"))))))</f>
        <v>0</v>
      </c>
      <c r="N397" s="33">
        <f>IF($AV397=0,0,
IF(Investment_Strategy="DIS",VLOOKUP(Investment_Strategy&amp;"_"&amp;Investment_Strategy_Sub1&amp;"_"&amp;$A397,'Investment Strategies'!$AZ:$BP,17,FALSE),
IF(AND(Investment_Strategy="Lifecycle",Investment_Strategy_Sub1="Non-Standard"),VLOOKUP(Investment_Strategy&amp;"_"&amp;Investment_Strategy_Sub2&amp;"_"&amp;$A397,'Investment Strategies'!$C:$P,14,FALSE),
IF(AND(Investment_Strategy="Lifecycle",Investment_Strategy_Sub1="Standard"),VLOOKUP(Investment_Strategy&amp;"_"&amp;Investment_Strategy_Sub2&amp;"_"&amp;$A397,'Investment Strategies'!$AJ:$AV,13,FALSE),
IF(AND(Investment_Strategy="Autopilot",Investment_Strategy_Sub1="Non-Standard"),VLOOKUP(Investment_Strategy&amp;"_"&amp;Investment_Strategy_Sub2&amp;"_"&amp;$A397,'Investment Strategies'!$T:$AF,13,FALSE),
IF(Investment_Strategy="DIY",DIY_ExtManChrge_SP,
"Error"))))))</f>
        <v>0</v>
      </c>
      <c r="O397" s="16">
        <f t="shared" si="230"/>
        <v>0</v>
      </c>
      <c r="Q397" s="16">
        <f t="shared" si="207"/>
        <v>0</v>
      </c>
      <c r="R397" s="16">
        <f t="shared" si="203"/>
        <v>0</v>
      </c>
      <c r="S397" s="16">
        <f>(SRP_SP+SUM(S$91:S396))*L397*IF(D397=$A$91,SRP_finalmonthfactor,1)</f>
        <v>0</v>
      </c>
      <c r="T397" s="74">
        <f>MIN(IF($AV397=0,0,
IF(Investment_Strategy="DIS",VLOOKUP(Investment_Strategy&amp;"_"&amp;Investment_Strategy_Sub1&amp;"_"&amp;$A397,'Investment Strategies'!$AZ:$BP,12,FALSE),
IF(AND(Investment_Strategy="Lifecycle",Investment_Strategy_Sub1="Non-Standard"),VLOOKUP(Investment_Strategy&amp;"_"&amp;Investment_Strategy_Sub2&amp;"_"&amp;$A397,'Investment Strategies'!$C:$P,9,FALSE),
IF(AND(Investment_Strategy="Lifecycle",Investment_Strategy_Sub1="Standard"),VLOOKUP(Investment_Strategy&amp;"_"&amp;Investment_Strategy_Sub2&amp;"_"&amp;$A397,'Investment Strategies'!$AJ:$AV,8,FALSE),
IF(AND(Investment_Strategy="Autopilot",Investment_Strategy_Sub1="Non-Standard"),VLOOKUP(Investment_Strategy&amp;"_"&amp;Investment_Strategy_Sub2&amp;"_"&amp;$A397,'Investment Strategies'!$T:$AF,8,FALSE),
IF(Investment_Strategy ="DIY",DIY_RateOfReturn_FuturePremiums,
"Error")))))),Max_InvReturn)</f>
        <v>0</v>
      </c>
      <c r="U397" s="62">
        <f>IF($AV397=0,0,
IF(Investment_Strategy="DIS",VLOOKUP(Investment_Strategy&amp;"_"&amp;Investment_Strategy_Sub1&amp;"_"&amp;$A397,'Investment Strategies'!$AZ:$BP,15,FALSE),
IF(AND(Investment_Strategy="Lifecycle",Investment_Strategy_Sub1="Non-Standard"),VLOOKUP(Investment_Strategy&amp;"_"&amp;Investment_Strategy_Sub2&amp;"_"&amp;$A397,'Investment Strategies'!$C:$P,12,FALSE),
IF(AND(Investment_Strategy="Lifecycle",Investment_Strategy_Sub1="Standard"),VLOOKUP(Investment_Strategy&amp;"_"&amp;Investment_Strategy_Sub2&amp;"_"&amp;$A397,'Investment Strategies'!$AJ:$AV,11,FALSE),
IF(AND(Investment_Strategy="Autopilot",Investment_Strategy_Sub1="Non-Standard"),VLOOKUP(Investment_Strategy&amp;"_"&amp;Investment_Strategy_Sub2&amp;"_"&amp;$A397,'Investment Strategies'!$T:$AF,11,FALSE),
IF(Investment_Strategy="DIY",DIY_GteeChrge_FuturePremiums,
"Error"))))))</f>
        <v>0</v>
      </c>
      <c r="V397" s="33">
        <f>IF(AV397=0,0,
IF(Investment_Strategy="DIS",VLOOKUP(Investment_Strategy&amp;"_"&amp;Investment_Strategy_Sub1&amp;"_"&amp;$A397,'Investment Strategies'!$AZ:$BP,17,FALSE),
IF(AND(Investment_Strategy="Lifecycle",Investment_Strategy_Sub1="Non-Standard"),VLOOKUP(Investment_Strategy&amp;"_"&amp;Investment_Strategy_Sub2&amp;"_"&amp;$A397,'Investment Strategies'!$C:$P,14,FALSE),
IF(AND(Investment_Strategy="Lifecycle",Investment_Strategy_Sub1="Standard"),VLOOKUP(Investment_Strategy&amp;"_"&amp;Investment_Strategy_Sub2&amp;"_"&amp;$A397,'Investment Strategies'!$AJ:$AV,13,FALSE),
IF(AND(Investment_Strategy="Autopilot",Investment_Strategy_Sub1="Non-Standard"),VLOOKUP(Investment_Strategy&amp;"_"&amp;Investment_Strategy_Sub2&amp;"_"&amp;$A397,'Investment Strategies'!$T:$AF,13,FALSE),
IF(Investment_Strategy="DIY",DIY_ExtManChrge_FuturePremiums,
"Error"))))))</f>
        <v>0</v>
      </c>
      <c r="W397" s="16">
        <f t="shared" si="231"/>
        <v>0</v>
      </c>
      <c r="X397" s="16">
        <f t="shared" si="208"/>
        <v>0</v>
      </c>
      <c r="Y397" s="16">
        <f t="shared" si="209"/>
        <v>0</v>
      </c>
      <c r="Z397" s="31">
        <f t="shared" si="210"/>
        <v>0.02</v>
      </c>
      <c r="AA397" s="16">
        <f t="shared" si="211"/>
        <v>0</v>
      </c>
      <c r="AB397" s="28">
        <f t="shared" si="232"/>
        <v>0</v>
      </c>
      <c r="AC397" s="28">
        <f>(SUM($AC$91:AC396)+SUM($X$91:X396)+X397)*T397*IF(D397=$A$91,SRP_finalmonthfactor,1)</f>
        <v>0</v>
      </c>
      <c r="AD397" s="16">
        <f t="shared" si="212"/>
        <v>0</v>
      </c>
      <c r="AE397" s="106"/>
      <c r="AF397" s="16">
        <f t="shared" si="220"/>
        <v>0</v>
      </c>
      <c r="AG397" s="16">
        <f t="shared" si="221"/>
        <v>0</v>
      </c>
      <c r="AH397" s="16">
        <f t="shared" si="222"/>
        <v>0</v>
      </c>
      <c r="AJ397" s="13">
        <f t="shared" si="237"/>
        <v>0</v>
      </c>
      <c r="AK397" s="13">
        <f t="shared" si="237"/>
        <v>0</v>
      </c>
      <c r="AL397" s="13">
        <f t="shared" si="237"/>
        <v>0</v>
      </c>
      <c r="AM397" s="13">
        <f t="shared" si="237"/>
        <v>0</v>
      </c>
      <c r="AN397" s="13">
        <f t="shared" si="237"/>
        <v>0</v>
      </c>
      <c r="AO397" s="13">
        <f t="shared" si="237"/>
        <v>1</v>
      </c>
      <c r="AP397" s="13">
        <f t="shared" si="237"/>
        <v>1</v>
      </c>
      <c r="AQ397" s="13">
        <f t="shared" si="237"/>
        <v>1</v>
      </c>
      <c r="AR397" s="13">
        <f t="shared" si="237"/>
        <v>0</v>
      </c>
      <c r="AS397" s="13">
        <f t="shared" si="237"/>
        <v>1</v>
      </c>
      <c r="AT397" s="13">
        <f t="shared" si="237"/>
        <v>1</v>
      </c>
      <c r="AU397" s="13">
        <f t="shared" si="237"/>
        <v>1</v>
      </c>
      <c r="AV397" s="13">
        <f t="shared" si="213"/>
        <v>0</v>
      </c>
      <c r="AW397" s="13">
        <f t="shared" si="214"/>
        <v>1</v>
      </c>
      <c r="AY397" s="17">
        <f t="shared" si="215"/>
        <v>307</v>
      </c>
      <c r="AZ397" s="28">
        <f t="shared" si="223"/>
        <v>0</v>
      </c>
      <c r="BA397" s="13">
        <f t="shared" si="216"/>
        <v>0</v>
      </c>
      <c r="BB397" s="13">
        <f t="shared" si="217"/>
        <v>0</v>
      </c>
      <c r="BC397" s="28">
        <f t="shared" si="224"/>
        <v>0</v>
      </c>
      <c r="BD397" s="28">
        <f t="shared" si="225"/>
        <v>0</v>
      </c>
      <c r="BF397" s="248">
        <f t="shared" si="226"/>
        <v>993869.29442638322</v>
      </c>
    </row>
    <row r="398" spans="1:58">
      <c r="A398" s="32">
        <f t="shared" si="227"/>
        <v>-223</v>
      </c>
      <c r="B398" s="32">
        <f t="shared" si="218"/>
        <v>78</v>
      </c>
      <c r="C398" s="32">
        <f t="shared" si="228"/>
        <v>26</v>
      </c>
      <c r="D398" s="32">
        <f t="shared" si="229"/>
        <v>308</v>
      </c>
      <c r="E398" s="74">
        <f>MIN(IF(AV398=0,0,
IF(Investment_Strategy="DIS",VLOOKUP(Investment_Strategy&amp;"_"&amp;Investment_Strategy_Sub1&amp;"_"&amp;$A398,'Investment Strategies'!$AZ:$BP,12,FALSE),
IF(AND(Investment_Strategy="Lifecycle",Investment_Strategy_Sub1="Non-Standard"),VLOOKUP(Investment_Strategy&amp;"_"&amp;Investment_Strategy_Sub2&amp;"_"&amp;$A398,'Investment Strategies'!$C:$P,9,FALSE),
IF(AND(Investment_Strategy="Lifecycle",Investment_Strategy_Sub1="Standard"),VLOOKUP(Investment_Strategy&amp;"_"&amp;Investment_Strategy_Sub2&amp;"_"&amp;$A398,'Investment Strategies'!$AJ:$AV,8,FALSE),
IF(AND(Investment_Strategy="Autopilot",Investment_Strategy_Sub1="Non-Standard"),VLOOKUP(Investment_Strategy&amp;"_"&amp;Investment_Strategy_Sub2&amp;"_"&amp;$A398,'Investment Strategies'!$T:$AF,8,FALSE),
IF(Investment_Strategy ="DIY",DIY_RateOfReturn_CurrentFunds,
"Error")))))),Max_InvReturn)</f>
        <v>0</v>
      </c>
      <c r="F398" s="62">
        <f>IF(AV398=0,0,
IF(Investment_Strategy="DIS",VLOOKUP(Investment_Strategy&amp;"_"&amp;Investment_Strategy_Sub1&amp;"_"&amp;$A398,'Investment Strategies'!$AZ:$BP,15,FALSE),
IF(AND(Investment_Strategy="Lifecycle",Investment_Strategy_Sub1="Non-Standard"),VLOOKUP(Investment_Strategy&amp;"_"&amp;Investment_Strategy_Sub2&amp;"_"&amp;$A398,'Investment Strategies'!$C:$P,12,FALSE),
IF(AND(Investment_Strategy="Lifecycle",Investment_Strategy_Sub1="Standard"),VLOOKUP(Investment_Strategy&amp;"_"&amp;Investment_Strategy_Sub2&amp;"_"&amp;$A398,'Investment Strategies'!$AJ:$AV,11,FALSE),
IF(AND(Investment_Strategy="Autopilot",Investment_Strategy_Sub1="Non-Standard"),VLOOKUP(Investment_Strategy&amp;"_"&amp;Investment_Strategy_Sub2&amp;"_"&amp;$A398,'Investment Strategies'!$T:$AF,11,FALSE),
IF(Investment_Strategy="DIY",DIY_GteeChrge_CurrentFunds,
"Error"))))))</f>
        <v>0</v>
      </c>
      <c r="G398" s="33">
        <f>IF(AV398=0,0,
IF(Investment_Strategy="DIS",VLOOKUP(Investment_Strategy&amp;"_"&amp;Investment_Strategy_Sub1&amp;"_"&amp;$A398,'Investment Strategies'!$AZ:$BP,17,FALSE),
IF(AND(Investment_Strategy="Lifecycle",Investment_Strategy_Sub1="Non-Standard"),VLOOKUP(Investment_Strategy&amp;"_"&amp;Investment_Strategy_Sub2&amp;"_"&amp;$A398,'Investment Strategies'!$C:$P,14,FALSE),
IF(AND(Investment_Strategy="Lifecycle",Investment_Strategy_Sub1="Standard"),VLOOKUP(Investment_Strategy&amp;"_"&amp;Investment_Strategy_Sub2&amp;"_"&amp;$A398,'Investment Strategies'!$AJ:$AV,13,FALSE),
IF(AND(Investment_Strategy="Autopilot",Investment_Strategy_Sub1="Non-Standard"),VLOOKUP(Investment_Strategy&amp;"_"&amp;Investment_Strategy_Sub2&amp;"_"&amp;$A398,'Investment Strategies'!$T:$AF,13,FALSE),
IF(Investment_Strategy="DIY",DIY_ExtManChrge_CurrentFunds,
"Error"))))))</f>
        <v>0</v>
      </c>
      <c r="H398" s="16">
        <f t="shared" si="219"/>
        <v>0</v>
      </c>
      <c r="I398" s="16">
        <f t="shared" si="205"/>
        <v>0</v>
      </c>
      <c r="J398" s="16">
        <f t="shared" si="206"/>
        <v>0</v>
      </c>
      <c r="K398" s="16">
        <f>(Opening_Fund_Value+SUM(K$91:K397))*E398*IF(D398=$A$91,SRP_finalmonthfactor,1)</f>
        <v>0</v>
      </c>
      <c r="L398" s="74">
        <f>MIN(IF($AV398=0,0,
IF(Investment_Strategy="DIS",VLOOKUP(Investment_Strategy&amp;"_"&amp;Investment_Strategy_Sub1&amp;"_"&amp;$A398,'Investment Strategies'!$AZ:$BP,12,FALSE),
IF(AND(Investment_Strategy="Lifecycle",Investment_Strategy_Sub1="Non-Standard"),VLOOKUP(Investment_Strategy&amp;"_"&amp;Investment_Strategy_Sub2&amp;"_"&amp;$A398,'Investment Strategies'!$C:$P,9,FALSE),
IF(AND(Investment_Strategy="Lifecycle",Investment_Strategy_Sub1="Standard"),VLOOKUP(Investment_Strategy&amp;"_"&amp;Investment_Strategy_Sub2&amp;"_"&amp;$A398,'Investment Strategies'!$AJ:$AV,8,FALSE),
IF(AND(Investment_Strategy="Autopilot",Investment_Strategy_Sub1="Non-Standard"),VLOOKUP(Investment_Strategy&amp;"_"&amp;Investment_Strategy_Sub2&amp;"_"&amp;$A398,'Investment Strategies'!$T:$AF,8,FALSE),
IF(Investment_Strategy ="DIY",DIY_RateofReturn_SP,
"Error")))))),Max_InvReturn)</f>
        <v>0</v>
      </c>
      <c r="M398" s="62">
        <f>IF($AV398=0,0,
IF(Investment_Strategy="DIS",VLOOKUP(Investment_Strategy&amp;"_"&amp;Investment_Strategy_Sub1&amp;"_"&amp;$A398,'Investment Strategies'!$AZ:$BP,15,FALSE),
IF(AND(Investment_Strategy="Lifecycle",Investment_Strategy_Sub1="Non-Standard"),VLOOKUP(Investment_Strategy&amp;"_"&amp;Investment_Strategy_Sub2&amp;"_"&amp;$A398,'Investment Strategies'!$C:$P,12,FALSE),
IF(AND(Investment_Strategy="Lifecycle",Investment_Strategy_Sub1="Standard"),VLOOKUP(Investment_Strategy&amp;"_"&amp;Investment_Strategy_Sub2&amp;"_"&amp;$A398,'Investment Strategies'!$AJ:$AV,11,FALSE),
IF(AND(Investment_Strategy="Autopilot",Investment_Strategy_Sub1="Non-Standard"),VLOOKUP(Investment_Strategy&amp;"_"&amp;Investment_Strategy_Sub2&amp;"_"&amp;$A398,'Investment Strategies'!$T:$AF,11,FALSE),
IF(Investment_Strategy="DIY",DIY_GteeChrge_SP,
"Error"))))))</f>
        <v>0</v>
      </c>
      <c r="N398" s="33">
        <f>IF($AV398=0,0,
IF(Investment_Strategy="DIS",VLOOKUP(Investment_Strategy&amp;"_"&amp;Investment_Strategy_Sub1&amp;"_"&amp;$A398,'Investment Strategies'!$AZ:$BP,17,FALSE),
IF(AND(Investment_Strategy="Lifecycle",Investment_Strategy_Sub1="Non-Standard"),VLOOKUP(Investment_Strategy&amp;"_"&amp;Investment_Strategy_Sub2&amp;"_"&amp;$A398,'Investment Strategies'!$C:$P,14,FALSE),
IF(AND(Investment_Strategy="Lifecycle",Investment_Strategy_Sub1="Standard"),VLOOKUP(Investment_Strategy&amp;"_"&amp;Investment_Strategy_Sub2&amp;"_"&amp;$A398,'Investment Strategies'!$AJ:$AV,13,FALSE),
IF(AND(Investment_Strategy="Autopilot",Investment_Strategy_Sub1="Non-Standard"),VLOOKUP(Investment_Strategy&amp;"_"&amp;Investment_Strategy_Sub2&amp;"_"&amp;$A398,'Investment Strategies'!$T:$AF,13,FALSE),
IF(Investment_Strategy="DIY",DIY_ExtManChrge_SP,
"Error"))))))</f>
        <v>0</v>
      </c>
      <c r="O398" s="16">
        <f t="shared" si="230"/>
        <v>0</v>
      </c>
      <c r="Q398" s="16">
        <f t="shared" si="207"/>
        <v>0</v>
      </c>
      <c r="R398" s="16">
        <f t="shared" si="203"/>
        <v>0</v>
      </c>
      <c r="S398" s="16">
        <f>(SRP_SP+SUM(S$91:S397))*L398*IF(D398=$A$91,SRP_finalmonthfactor,1)</f>
        <v>0</v>
      </c>
      <c r="T398" s="74">
        <f>MIN(IF($AV398=0,0,
IF(Investment_Strategy="DIS",VLOOKUP(Investment_Strategy&amp;"_"&amp;Investment_Strategy_Sub1&amp;"_"&amp;$A398,'Investment Strategies'!$AZ:$BP,12,FALSE),
IF(AND(Investment_Strategy="Lifecycle",Investment_Strategy_Sub1="Non-Standard"),VLOOKUP(Investment_Strategy&amp;"_"&amp;Investment_Strategy_Sub2&amp;"_"&amp;$A398,'Investment Strategies'!$C:$P,9,FALSE),
IF(AND(Investment_Strategy="Lifecycle",Investment_Strategy_Sub1="Standard"),VLOOKUP(Investment_Strategy&amp;"_"&amp;Investment_Strategy_Sub2&amp;"_"&amp;$A398,'Investment Strategies'!$AJ:$AV,8,FALSE),
IF(AND(Investment_Strategy="Autopilot",Investment_Strategy_Sub1="Non-Standard"),VLOOKUP(Investment_Strategy&amp;"_"&amp;Investment_Strategy_Sub2&amp;"_"&amp;$A398,'Investment Strategies'!$T:$AF,8,FALSE),
IF(Investment_Strategy ="DIY",DIY_RateOfReturn_FuturePremiums,
"Error")))))),Max_InvReturn)</f>
        <v>0</v>
      </c>
      <c r="U398" s="62">
        <f>IF($AV398=0,0,
IF(Investment_Strategy="DIS",VLOOKUP(Investment_Strategy&amp;"_"&amp;Investment_Strategy_Sub1&amp;"_"&amp;$A398,'Investment Strategies'!$AZ:$BP,15,FALSE),
IF(AND(Investment_Strategy="Lifecycle",Investment_Strategy_Sub1="Non-Standard"),VLOOKUP(Investment_Strategy&amp;"_"&amp;Investment_Strategy_Sub2&amp;"_"&amp;$A398,'Investment Strategies'!$C:$P,12,FALSE),
IF(AND(Investment_Strategy="Lifecycle",Investment_Strategy_Sub1="Standard"),VLOOKUP(Investment_Strategy&amp;"_"&amp;Investment_Strategy_Sub2&amp;"_"&amp;$A398,'Investment Strategies'!$AJ:$AV,11,FALSE),
IF(AND(Investment_Strategy="Autopilot",Investment_Strategy_Sub1="Non-Standard"),VLOOKUP(Investment_Strategy&amp;"_"&amp;Investment_Strategy_Sub2&amp;"_"&amp;$A398,'Investment Strategies'!$T:$AF,11,FALSE),
IF(Investment_Strategy="DIY",DIY_GteeChrge_FuturePremiums,
"Error"))))))</f>
        <v>0</v>
      </c>
      <c r="V398" s="33">
        <f>IF(AV398=0,0,
IF(Investment_Strategy="DIS",VLOOKUP(Investment_Strategy&amp;"_"&amp;Investment_Strategy_Sub1&amp;"_"&amp;$A398,'Investment Strategies'!$AZ:$BP,17,FALSE),
IF(AND(Investment_Strategy="Lifecycle",Investment_Strategy_Sub1="Non-Standard"),VLOOKUP(Investment_Strategy&amp;"_"&amp;Investment_Strategy_Sub2&amp;"_"&amp;$A398,'Investment Strategies'!$C:$P,14,FALSE),
IF(AND(Investment_Strategy="Lifecycle",Investment_Strategy_Sub1="Standard"),VLOOKUP(Investment_Strategy&amp;"_"&amp;Investment_Strategy_Sub2&amp;"_"&amp;$A398,'Investment Strategies'!$AJ:$AV,13,FALSE),
IF(AND(Investment_Strategy="Autopilot",Investment_Strategy_Sub1="Non-Standard"),VLOOKUP(Investment_Strategy&amp;"_"&amp;Investment_Strategy_Sub2&amp;"_"&amp;$A398,'Investment Strategies'!$T:$AF,13,FALSE),
IF(Investment_Strategy="DIY",DIY_ExtManChrge_FuturePremiums,
"Error"))))))</f>
        <v>0</v>
      </c>
      <c r="W398" s="16">
        <f t="shared" si="231"/>
        <v>0</v>
      </c>
      <c r="X398" s="16">
        <f t="shared" si="208"/>
        <v>0</v>
      </c>
      <c r="Y398" s="16">
        <f t="shared" si="209"/>
        <v>0</v>
      </c>
      <c r="Z398" s="31">
        <f t="shared" si="210"/>
        <v>0.02</v>
      </c>
      <c r="AA398" s="16">
        <f t="shared" si="211"/>
        <v>0</v>
      </c>
      <c r="AB398" s="28">
        <f t="shared" si="232"/>
        <v>0</v>
      </c>
      <c r="AC398" s="28">
        <f>(SUM($AC$91:AC397)+SUM($X$91:X397)+X398)*T398*IF(D398=$A$91,SRP_finalmonthfactor,1)</f>
        <v>0</v>
      </c>
      <c r="AD398" s="16">
        <f t="shared" si="212"/>
        <v>0</v>
      </c>
      <c r="AE398" s="106"/>
      <c r="AF398" s="16">
        <f t="shared" si="220"/>
        <v>0</v>
      </c>
      <c r="AG398" s="16">
        <f t="shared" si="221"/>
        <v>0</v>
      </c>
      <c r="AH398" s="16">
        <f t="shared" si="222"/>
        <v>0</v>
      </c>
      <c r="AJ398" s="13">
        <f t="shared" si="237"/>
        <v>0</v>
      </c>
      <c r="AK398" s="13">
        <f t="shared" si="237"/>
        <v>0</v>
      </c>
      <c r="AL398" s="13">
        <f t="shared" si="237"/>
        <v>0</v>
      </c>
      <c r="AM398" s="13">
        <f t="shared" si="237"/>
        <v>0</v>
      </c>
      <c r="AN398" s="13">
        <f t="shared" si="237"/>
        <v>0</v>
      </c>
      <c r="AO398" s="13">
        <f t="shared" si="237"/>
        <v>1</v>
      </c>
      <c r="AP398" s="13">
        <f t="shared" si="237"/>
        <v>1</v>
      </c>
      <c r="AQ398" s="13">
        <f t="shared" si="237"/>
        <v>1</v>
      </c>
      <c r="AR398" s="13">
        <f t="shared" si="237"/>
        <v>0</v>
      </c>
      <c r="AS398" s="13">
        <f t="shared" si="237"/>
        <v>1</v>
      </c>
      <c r="AT398" s="13">
        <f t="shared" si="237"/>
        <v>1</v>
      </c>
      <c r="AU398" s="13">
        <f t="shared" si="237"/>
        <v>1</v>
      </c>
      <c r="AV398" s="13">
        <f t="shared" si="213"/>
        <v>0</v>
      </c>
      <c r="AW398" s="13">
        <f t="shared" si="214"/>
        <v>1</v>
      </c>
      <c r="AY398" s="17">
        <f t="shared" si="215"/>
        <v>308</v>
      </c>
      <c r="AZ398" s="28">
        <f t="shared" si="223"/>
        <v>0</v>
      </c>
      <c r="BA398" s="13">
        <f t="shared" si="216"/>
        <v>0</v>
      </c>
      <c r="BB398" s="13">
        <f t="shared" si="217"/>
        <v>0</v>
      </c>
      <c r="BC398" s="28">
        <f t="shared" si="224"/>
        <v>0</v>
      </c>
      <c r="BD398" s="28">
        <f t="shared" si="225"/>
        <v>0</v>
      </c>
      <c r="BF398" s="248">
        <f t="shared" si="226"/>
        <v>993869.29442638322</v>
      </c>
    </row>
    <row r="399" spans="1:58">
      <c r="A399" s="32">
        <f t="shared" si="227"/>
        <v>-224</v>
      </c>
      <c r="B399" s="32">
        <f t="shared" si="218"/>
        <v>78</v>
      </c>
      <c r="C399" s="32">
        <f t="shared" si="228"/>
        <v>26</v>
      </c>
      <c r="D399" s="32">
        <f t="shared" si="229"/>
        <v>309</v>
      </c>
      <c r="E399" s="74">
        <f>MIN(IF(AV399=0,0,
IF(Investment_Strategy="DIS",VLOOKUP(Investment_Strategy&amp;"_"&amp;Investment_Strategy_Sub1&amp;"_"&amp;$A399,'Investment Strategies'!$AZ:$BP,12,FALSE),
IF(AND(Investment_Strategy="Lifecycle",Investment_Strategy_Sub1="Non-Standard"),VLOOKUP(Investment_Strategy&amp;"_"&amp;Investment_Strategy_Sub2&amp;"_"&amp;$A399,'Investment Strategies'!$C:$P,9,FALSE),
IF(AND(Investment_Strategy="Lifecycle",Investment_Strategy_Sub1="Standard"),VLOOKUP(Investment_Strategy&amp;"_"&amp;Investment_Strategy_Sub2&amp;"_"&amp;$A399,'Investment Strategies'!$AJ:$AV,8,FALSE),
IF(AND(Investment_Strategy="Autopilot",Investment_Strategy_Sub1="Non-Standard"),VLOOKUP(Investment_Strategy&amp;"_"&amp;Investment_Strategy_Sub2&amp;"_"&amp;$A399,'Investment Strategies'!$T:$AF,8,FALSE),
IF(Investment_Strategy ="DIY",DIY_RateOfReturn_CurrentFunds,
"Error")))))),Max_InvReturn)</f>
        <v>0</v>
      </c>
      <c r="F399" s="62">
        <f>IF(AV399=0,0,
IF(Investment_Strategy="DIS",VLOOKUP(Investment_Strategy&amp;"_"&amp;Investment_Strategy_Sub1&amp;"_"&amp;$A399,'Investment Strategies'!$AZ:$BP,15,FALSE),
IF(AND(Investment_Strategy="Lifecycle",Investment_Strategy_Sub1="Non-Standard"),VLOOKUP(Investment_Strategy&amp;"_"&amp;Investment_Strategy_Sub2&amp;"_"&amp;$A399,'Investment Strategies'!$C:$P,12,FALSE),
IF(AND(Investment_Strategy="Lifecycle",Investment_Strategy_Sub1="Standard"),VLOOKUP(Investment_Strategy&amp;"_"&amp;Investment_Strategy_Sub2&amp;"_"&amp;$A399,'Investment Strategies'!$AJ:$AV,11,FALSE),
IF(AND(Investment_Strategy="Autopilot",Investment_Strategy_Sub1="Non-Standard"),VLOOKUP(Investment_Strategy&amp;"_"&amp;Investment_Strategy_Sub2&amp;"_"&amp;$A399,'Investment Strategies'!$T:$AF,11,FALSE),
IF(Investment_Strategy="DIY",DIY_GteeChrge_CurrentFunds,
"Error"))))))</f>
        <v>0</v>
      </c>
      <c r="G399" s="33">
        <f>IF(AV399=0,0,
IF(Investment_Strategy="DIS",VLOOKUP(Investment_Strategy&amp;"_"&amp;Investment_Strategy_Sub1&amp;"_"&amp;$A399,'Investment Strategies'!$AZ:$BP,17,FALSE),
IF(AND(Investment_Strategy="Lifecycle",Investment_Strategy_Sub1="Non-Standard"),VLOOKUP(Investment_Strategy&amp;"_"&amp;Investment_Strategy_Sub2&amp;"_"&amp;$A399,'Investment Strategies'!$C:$P,14,FALSE),
IF(AND(Investment_Strategy="Lifecycle",Investment_Strategy_Sub1="Standard"),VLOOKUP(Investment_Strategy&amp;"_"&amp;Investment_Strategy_Sub2&amp;"_"&amp;$A399,'Investment Strategies'!$AJ:$AV,13,FALSE),
IF(AND(Investment_Strategy="Autopilot",Investment_Strategy_Sub1="Non-Standard"),VLOOKUP(Investment_Strategy&amp;"_"&amp;Investment_Strategy_Sub2&amp;"_"&amp;$A399,'Investment Strategies'!$T:$AF,13,FALSE),
IF(Investment_Strategy="DIY",DIY_ExtManChrge_CurrentFunds,
"Error"))))))</f>
        <v>0</v>
      </c>
      <c r="H399" s="16">
        <f t="shared" si="219"/>
        <v>0</v>
      </c>
      <c r="I399" s="16">
        <f t="shared" si="205"/>
        <v>0</v>
      </c>
      <c r="J399" s="16">
        <f t="shared" si="206"/>
        <v>0</v>
      </c>
      <c r="K399" s="16">
        <f>(Opening_Fund_Value+SUM(K$91:K398))*E399*IF(D399=$A$91,SRP_finalmonthfactor,1)</f>
        <v>0</v>
      </c>
      <c r="L399" s="74">
        <f>MIN(IF($AV399=0,0,
IF(Investment_Strategy="DIS",VLOOKUP(Investment_Strategy&amp;"_"&amp;Investment_Strategy_Sub1&amp;"_"&amp;$A399,'Investment Strategies'!$AZ:$BP,12,FALSE),
IF(AND(Investment_Strategy="Lifecycle",Investment_Strategy_Sub1="Non-Standard"),VLOOKUP(Investment_Strategy&amp;"_"&amp;Investment_Strategy_Sub2&amp;"_"&amp;$A399,'Investment Strategies'!$C:$P,9,FALSE),
IF(AND(Investment_Strategy="Lifecycle",Investment_Strategy_Sub1="Standard"),VLOOKUP(Investment_Strategy&amp;"_"&amp;Investment_Strategy_Sub2&amp;"_"&amp;$A399,'Investment Strategies'!$AJ:$AV,8,FALSE),
IF(AND(Investment_Strategy="Autopilot",Investment_Strategy_Sub1="Non-Standard"),VLOOKUP(Investment_Strategy&amp;"_"&amp;Investment_Strategy_Sub2&amp;"_"&amp;$A399,'Investment Strategies'!$T:$AF,8,FALSE),
IF(Investment_Strategy ="DIY",DIY_RateofReturn_SP,
"Error")))))),Max_InvReturn)</f>
        <v>0</v>
      </c>
      <c r="M399" s="62">
        <f>IF($AV399=0,0,
IF(Investment_Strategy="DIS",VLOOKUP(Investment_Strategy&amp;"_"&amp;Investment_Strategy_Sub1&amp;"_"&amp;$A399,'Investment Strategies'!$AZ:$BP,15,FALSE),
IF(AND(Investment_Strategy="Lifecycle",Investment_Strategy_Sub1="Non-Standard"),VLOOKUP(Investment_Strategy&amp;"_"&amp;Investment_Strategy_Sub2&amp;"_"&amp;$A399,'Investment Strategies'!$C:$P,12,FALSE),
IF(AND(Investment_Strategy="Lifecycle",Investment_Strategy_Sub1="Standard"),VLOOKUP(Investment_Strategy&amp;"_"&amp;Investment_Strategy_Sub2&amp;"_"&amp;$A399,'Investment Strategies'!$AJ:$AV,11,FALSE),
IF(AND(Investment_Strategy="Autopilot",Investment_Strategy_Sub1="Non-Standard"),VLOOKUP(Investment_Strategy&amp;"_"&amp;Investment_Strategy_Sub2&amp;"_"&amp;$A399,'Investment Strategies'!$T:$AF,11,FALSE),
IF(Investment_Strategy="DIY",DIY_GteeChrge_SP,
"Error"))))))</f>
        <v>0</v>
      </c>
      <c r="N399" s="33">
        <f>IF($AV399=0,0,
IF(Investment_Strategy="DIS",VLOOKUP(Investment_Strategy&amp;"_"&amp;Investment_Strategy_Sub1&amp;"_"&amp;$A399,'Investment Strategies'!$AZ:$BP,17,FALSE),
IF(AND(Investment_Strategy="Lifecycle",Investment_Strategy_Sub1="Non-Standard"),VLOOKUP(Investment_Strategy&amp;"_"&amp;Investment_Strategy_Sub2&amp;"_"&amp;$A399,'Investment Strategies'!$C:$P,14,FALSE),
IF(AND(Investment_Strategy="Lifecycle",Investment_Strategy_Sub1="Standard"),VLOOKUP(Investment_Strategy&amp;"_"&amp;Investment_Strategy_Sub2&amp;"_"&amp;$A399,'Investment Strategies'!$AJ:$AV,13,FALSE),
IF(AND(Investment_Strategy="Autopilot",Investment_Strategy_Sub1="Non-Standard"),VLOOKUP(Investment_Strategy&amp;"_"&amp;Investment_Strategy_Sub2&amp;"_"&amp;$A399,'Investment Strategies'!$T:$AF,13,FALSE),
IF(Investment_Strategy="DIY",DIY_ExtManChrge_SP,
"Error"))))))</f>
        <v>0</v>
      </c>
      <c r="O399" s="16">
        <f t="shared" si="230"/>
        <v>0</v>
      </c>
      <c r="Q399" s="16">
        <f t="shared" si="207"/>
        <v>0</v>
      </c>
      <c r="R399" s="16">
        <f t="shared" si="203"/>
        <v>0</v>
      </c>
      <c r="S399" s="16">
        <f>(SRP_SP+SUM(S$91:S398))*L399*IF(D399=$A$91,SRP_finalmonthfactor,1)</f>
        <v>0</v>
      </c>
      <c r="T399" s="74">
        <f>MIN(IF($AV399=0,0,
IF(Investment_Strategy="DIS",VLOOKUP(Investment_Strategy&amp;"_"&amp;Investment_Strategy_Sub1&amp;"_"&amp;$A399,'Investment Strategies'!$AZ:$BP,12,FALSE),
IF(AND(Investment_Strategy="Lifecycle",Investment_Strategy_Sub1="Non-Standard"),VLOOKUP(Investment_Strategy&amp;"_"&amp;Investment_Strategy_Sub2&amp;"_"&amp;$A399,'Investment Strategies'!$C:$P,9,FALSE),
IF(AND(Investment_Strategy="Lifecycle",Investment_Strategy_Sub1="Standard"),VLOOKUP(Investment_Strategy&amp;"_"&amp;Investment_Strategy_Sub2&amp;"_"&amp;$A399,'Investment Strategies'!$AJ:$AV,8,FALSE),
IF(AND(Investment_Strategy="Autopilot",Investment_Strategy_Sub1="Non-Standard"),VLOOKUP(Investment_Strategy&amp;"_"&amp;Investment_Strategy_Sub2&amp;"_"&amp;$A399,'Investment Strategies'!$T:$AF,8,FALSE),
IF(Investment_Strategy ="DIY",DIY_RateOfReturn_FuturePremiums,
"Error")))))),Max_InvReturn)</f>
        <v>0</v>
      </c>
      <c r="U399" s="62">
        <f>IF($AV399=0,0,
IF(Investment_Strategy="DIS",VLOOKUP(Investment_Strategy&amp;"_"&amp;Investment_Strategy_Sub1&amp;"_"&amp;$A399,'Investment Strategies'!$AZ:$BP,15,FALSE),
IF(AND(Investment_Strategy="Lifecycle",Investment_Strategy_Sub1="Non-Standard"),VLOOKUP(Investment_Strategy&amp;"_"&amp;Investment_Strategy_Sub2&amp;"_"&amp;$A399,'Investment Strategies'!$C:$P,12,FALSE),
IF(AND(Investment_Strategy="Lifecycle",Investment_Strategy_Sub1="Standard"),VLOOKUP(Investment_Strategy&amp;"_"&amp;Investment_Strategy_Sub2&amp;"_"&amp;$A399,'Investment Strategies'!$AJ:$AV,11,FALSE),
IF(AND(Investment_Strategy="Autopilot",Investment_Strategy_Sub1="Non-Standard"),VLOOKUP(Investment_Strategy&amp;"_"&amp;Investment_Strategy_Sub2&amp;"_"&amp;$A399,'Investment Strategies'!$T:$AF,11,FALSE),
IF(Investment_Strategy="DIY",DIY_GteeChrge_FuturePremiums,
"Error"))))))</f>
        <v>0</v>
      </c>
      <c r="V399" s="33">
        <f>IF(AV399=0,0,
IF(Investment_Strategy="DIS",VLOOKUP(Investment_Strategy&amp;"_"&amp;Investment_Strategy_Sub1&amp;"_"&amp;$A399,'Investment Strategies'!$AZ:$BP,17,FALSE),
IF(AND(Investment_Strategy="Lifecycle",Investment_Strategy_Sub1="Non-Standard"),VLOOKUP(Investment_Strategy&amp;"_"&amp;Investment_Strategy_Sub2&amp;"_"&amp;$A399,'Investment Strategies'!$C:$P,14,FALSE),
IF(AND(Investment_Strategy="Lifecycle",Investment_Strategy_Sub1="Standard"),VLOOKUP(Investment_Strategy&amp;"_"&amp;Investment_Strategy_Sub2&amp;"_"&amp;$A399,'Investment Strategies'!$AJ:$AV,13,FALSE),
IF(AND(Investment_Strategy="Autopilot",Investment_Strategy_Sub1="Non-Standard"),VLOOKUP(Investment_Strategy&amp;"_"&amp;Investment_Strategy_Sub2&amp;"_"&amp;$A399,'Investment Strategies'!$T:$AF,13,FALSE),
IF(Investment_Strategy="DIY",DIY_ExtManChrge_FuturePremiums,
"Error"))))))</f>
        <v>0</v>
      </c>
      <c r="W399" s="16">
        <f t="shared" si="231"/>
        <v>0</v>
      </c>
      <c r="X399" s="16">
        <f t="shared" si="208"/>
        <v>0</v>
      </c>
      <c r="Y399" s="16">
        <f t="shared" si="209"/>
        <v>0</v>
      </c>
      <c r="Z399" s="31">
        <f t="shared" si="210"/>
        <v>0.02</v>
      </c>
      <c r="AA399" s="16">
        <f t="shared" si="211"/>
        <v>0</v>
      </c>
      <c r="AB399" s="28">
        <f t="shared" si="232"/>
        <v>0</v>
      </c>
      <c r="AC399" s="28">
        <f>(SUM($AC$91:AC398)+SUM($X$91:X398)+X399)*T399*IF(D399=$A$91,SRP_finalmonthfactor,1)</f>
        <v>0</v>
      </c>
      <c r="AD399" s="16">
        <f t="shared" si="212"/>
        <v>0</v>
      </c>
      <c r="AE399" s="106"/>
      <c r="AF399" s="16">
        <f t="shared" si="220"/>
        <v>0</v>
      </c>
      <c r="AG399" s="16">
        <f t="shared" si="221"/>
        <v>0</v>
      </c>
      <c r="AH399" s="16">
        <f t="shared" si="222"/>
        <v>0</v>
      </c>
      <c r="AJ399" s="13">
        <f t="shared" si="237"/>
        <v>0</v>
      </c>
      <c r="AK399" s="13">
        <f t="shared" si="237"/>
        <v>0</v>
      </c>
      <c r="AL399" s="13">
        <f t="shared" si="237"/>
        <v>0</v>
      </c>
      <c r="AM399" s="13">
        <f t="shared" si="237"/>
        <v>0</v>
      </c>
      <c r="AN399" s="13">
        <f t="shared" si="237"/>
        <v>0</v>
      </c>
      <c r="AO399" s="13">
        <f t="shared" si="237"/>
        <v>1</v>
      </c>
      <c r="AP399" s="13">
        <f t="shared" si="237"/>
        <v>1</v>
      </c>
      <c r="AQ399" s="13">
        <f t="shared" si="237"/>
        <v>1</v>
      </c>
      <c r="AR399" s="13">
        <f t="shared" si="237"/>
        <v>0</v>
      </c>
      <c r="AS399" s="13">
        <f t="shared" si="237"/>
        <v>1</v>
      </c>
      <c r="AT399" s="13">
        <f t="shared" si="237"/>
        <v>1</v>
      </c>
      <c r="AU399" s="13">
        <f t="shared" si="237"/>
        <v>1</v>
      </c>
      <c r="AV399" s="13">
        <f t="shared" si="213"/>
        <v>0</v>
      </c>
      <c r="AW399" s="13">
        <f t="shared" si="214"/>
        <v>1</v>
      </c>
      <c r="AY399" s="17">
        <f t="shared" si="215"/>
        <v>309</v>
      </c>
      <c r="AZ399" s="28">
        <f t="shared" si="223"/>
        <v>0</v>
      </c>
      <c r="BA399" s="13">
        <f t="shared" si="216"/>
        <v>0</v>
      </c>
      <c r="BB399" s="13">
        <f t="shared" si="217"/>
        <v>0</v>
      </c>
      <c r="BC399" s="28">
        <f t="shared" si="224"/>
        <v>0</v>
      </c>
      <c r="BD399" s="28">
        <f t="shared" si="225"/>
        <v>0</v>
      </c>
      <c r="BF399" s="248">
        <f t="shared" si="226"/>
        <v>993869.29442638322</v>
      </c>
    </row>
    <row r="400" spans="1:58">
      <c r="A400" s="32">
        <f t="shared" si="227"/>
        <v>-225</v>
      </c>
      <c r="B400" s="32">
        <f t="shared" si="218"/>
        <v>78</v>
      </c>
      <c r="C400" s="32">
        <f t="shared" si="228"/>
        <v>26</v>
      </c>
      <c r="D400" s="32">
        <f t="shared" si="229"/>
        <v>310</v>
      </c>
      <c r="E400" s="74">
        <f>MIN(IF(AV400=0,0,
IF(Investment_Strategy="DIS",VLOOKUP(Investment_Strategy&amp;"_"&amp;Investment_Strategy_Sub1&amp;"_"&amp;$A400,'Investment Strategies'!$AZ:$BP,12,FALSE),
IF(AND(Investment_Strategy="Lifecycle",Investment_Strategy_Sub1="Non-Standard"),VLOOKUP(Investment_Strategy&amp;"_"&amp;Investment_Strategy_Sub2&amp;"_"&amp;$A400,'Investment Strategies'!$C:$P,9,FALSE),
IF(AND(Investment_Strategy="Lifecycle",Investment_Strategy_Sub1="Standard"),VLOOKUP(Investment_Strategy&amp;"_"&amp;Investment_Strategy_Sub2&amp;"_"&amp;$A400,'Investment Strategies'!$AJ:$AV,8,FALSE),
IF(AND(Investment_Strategy="Autopilot",Investment_Strategy_Sub1="Non-Standard"),VLOOKUP(Investment_Strategy&amp;"_"&amp;Investment_Strategy_Sub2&amp;"_"&amp;$A400,'Investment Strategies'!$T:$AF,8,FALSE),
IF(Investment_Strategy ="DIY",DIY_RateOfReturn_CurrentFunds,
"Error")))))),Max_InvReturn)</f>
        <v>0</v>
      </c>
      <c r="F400" s="62">
        <f>IF(AV400=0,0,
IF(Investment_Strategy="DIS",VLOOKUP(Investment_Strategy&amp;"_"&amp;Investment_Strategy_Sub1&amp;"_"&amp;$A400,'Investment Strategies'!$AZ:$BP,15,FALSE),
IF(AND(Investment_Strategy="Lifecycle",Investment_Strategy_Sub1="Non-Standard"),VLOOKUP(Investment_Strategy&amp;"_"&amp;Investment_Strategy_Sub2&amp;"_"&amp;$A400,'Investment Strategies'!$C:$P,12,FALSE),
IF(AND(Investment_Strategy="Lifecycle",Investment_Strategy_Sub1="Standard"),VLOOKUP(Investment_Strategy&amp;"_"&amp;Investment_Strategy_Sub2&amp;"_"&amp;$A400,'Investment Strategies'!$AJ:$AV,11,FALSE),
IF(AND(Investment_Strategy="Autopilot",Investment_Strategy_Sub1="Non-Standard"),VLOOKUP(Investment_Strategy&amp;"_"&amp;Investment_Strategy_Sub2&amp;"_"&amp;$A400,'Investment Strategies'!$T:$AF,11,FALSE),
IF(Investment_Strategy="DIY",DIY_GteeChrge_CurrentFunds,
"Error"))))))</f>
        <v>0</v>
      </c>
      <c r="G400" s="33">
        <f>IF(AV400=0,0,
IF(Investment_Strategy="DIS",VLOOKUP(Investment_Strategy&amp;"_"&amp;Investment_Strategy_Sub1&amp;"_"&amp;$A400,'Investment Strategies'!$AZ:$BP,17,FALSE),
IF(AND(Investment_Strategy="Lifecycle",Investment_Strategy_Sub1="Non-Standard"),VLOOKUP(Investment_Strategy&amp;"_"&amp;Investment_Strategy_Sub2&amp;"_"&amp;$A400,'Investment Strategies'!$C:$P,14,FALSE),
IF(AND(Investment_Strategy="Lifecycle",Investment_Strategy_Sub1="Standard"),VLOOKUP(Investment_Strategy&amp;"_"&amp;Investment_Strategy_Sub2&amp;"_"&amp;$A400,'Investment Strategies'!$AJ:$AV,13,FALSE),
IF(AND(Investment_Strategy="Autopilot",Investment_Strategy_Sub1="Non-Standard"),VLOOKUP(Investment_Strategy&amp;"_"&amp;Investment_Strategy_Sub2&amp;"_"&amp;$A400,'Investment Strategies'!$T:$AF,13,FALSE),
IF(Investment_Strategy="DIY",DIY_ExtManChrge_CurrentFunds,
"Error"))))))</f>
        <v>0</v>
      </c>
      <c r="H400" s="16">
        <f t="shared" si="219"/>
        <v>0</v>
      </c>
      <c r="I400" s="16">
        <f t="shared" si="205"/>
        <v>0</v>
      </c>
      <c r="J400" s="16">
        <f t="shared" si="206"/>
        <v>0</v>
      </c>
      <c r="K400" s="16">
        <f>(Opening_Fund_Value+SUM(K$91:K399))*E400*IF(D400=$A$91,SRP_finalmonthfactor,1)</f>
        <v>0</v>
      </c>
      <c r="L400" s="74">
        <f>MIN(IF($AV400=0,0,
IF(Investment_Strategy="DIS",VLOOKUP(Investment_Strategy&amp;"_"&amp;Investment_Strategy_Sub1&amp;"_"&amp;$A400,'Investment Strategies'!$AZ:$BP,12,FALSE),
IF(AND(Investment_Strategy="Lifecycle",Investment_Strategy_Sub1="Non-Standard"),VLOOKUP(Investment_Strategy&amp;"_"&amp;Investment_Strategy_Sub2&amp;"_"&amp;$A400,'Investment Strategies'!$C:$P,9,FALSE),
IF(AND(Investment_Strategy="Lifecycle",Investment_Strategy_Sub1="Standard"),VLOOKUP(Investment_Strategy&amp;"_"&amp;Investment_Strategy_Sub2&amp;"_"&amp;$A400,'Investment Strategies'!$AJ:$AV,8,FALSE),
IF(AND(Investment_Strategy="Autopilot",Investment_Strategy_Sub1="Non-Standard"),VLOOKUP(Investment_Strategy&amp;"_"&amp;Investment_Strategy_Sub2&amp;"_"&amp;$A400,'Investment Strategies'!$T:$AF,8,FALSE),
IF(Investment_Strategy ="DIY",DIY_RateofReturn_SP,
"Error")))))),Max_InvReturn)</f>
        <v>0</v>
      </c>
      <c r="M400" s="62">
        <f>IF($AV400=0,0,
IF(Investment_Strategy="DIS",VLOOKUP(Investment_Strategy&amp;"_"&amp;Investment_Strategy_Sub1&amp;"_"&amp;$A400,'Investment Strategies'!$AZ:$BP,15,FALSE),
IF(AND(Investment_Strategy="Lifecycle",Investment_Strategy_Sub1="Non-Standard"),VLOOKUP(Investment_Strategy&amp;"_"&amp;Investment_Strategy_Sub2&amp;"_"&amp;$A400,'Investment Strategies'!$C:$P,12,FALSE),
IF(AND(Investment_Strategy="Lifecycle",Investment_Strategy_Sub1="Standard"),VLOOKUP(Investment_Strategy&amp;"_"&amp;Investment_Strategy_Sub2&amp;"_"&amp;$A400,'Investment Strategies'!$AJ:$AV,11,FALSE),
IF(AND(Investment_Strategy="Autopilot",Investment_Strategy_Sub1="Non-Standard"),VLOOKUP(Investment_Strategy&amp;"_"&amp;Investment_Strategy_Sub2&amp;"_"&amp;$A400,'Investment Strategies'!$T:$AF,11,FALSE),
IF(Investment_Strategy="DIY",DIY_GteeChrge_SP,
"Error"))))))</f>
        <v>0</v>
      </c>
      <c r="N400" s="33">
        <f>IF($AV400=0,0,
IF(Investment_Strategy="DIS",VLOOKUP(Investment_Strategy&amp;"_"&amp;Investment_Strategy_Sub1&amp;"_"&amp;$A400,'Investment Strategies'!$AZ:$BP,17,FALSE),
IF(AND(Investment_Strategy="Lifecycle",Investment_Strategy_Sub1="Non-Standard"),VLOOKUP(Investment_Strategy&amp;"_"&amp;Investment_Strategy_Sub2&amp;"_"&amp;$A400,'Investment Strategies'!$C:$P,14,FALSE),
IF(AND(Investment_Strategy="Lifecycle",Investment_Strategy_Sub1="Standard"),VLOOKUP(Investment_Strategy&amp;"_"&amp;Investment_Strategy_Sub2&amp;"_"&amp;$A400,'Investment Strategies'!$AJ:$AV,13,FALSE),
IF(AND(Investment_Strategy="Autopilot",Investment_Strategy_Sub1="Non-Standard"),VLOOKUP(Investment_Strategy&amp;"_"&amp;Investment_Strategy_Sub2&amp;"_"&amp;$A400,'Investment Strategies'!$T:$AF,13,FALSE),
IF(Investment_Strategy="DIY",DIY_ExtManChrge_SP,
"Error"))))))</f>
        <v>0</v>
      </c>
      <c r="O400" s="16">
        <f t="shared" si="230"/>
        <v>0</v>
      </c>
      <c r="Q400" s="16">
        <f t="shared" si="207"/>
        <v>0</v>
      </c>
      <c r="R400" s="16">
        <f t="shared" si="203"/>
        <v>0</v>
      </c>
      <c r="S400" s="16">
        <f>(SRP_SP+SUM(S$91:S399))*L400*IF(D400=$A$91,SRP_finalmonthfactor,1)</f>
        <v>0</v>
      </c>
      <c r="T400" s="74">
        <f>MIN(IF($AV400=0,0,
IF(Investment_Strategy="DIS",VLOOKUP(Investment_Strategy&amp;"_"&amp;Investment_Strategy_Sub1&amp;"_"&amp;$A400,'Investment Strategies'!$AZ:$BP,12,FALSE),
IF(AND(Investment_Strategy="Lifecycle",Investment_Strategy_Sub1="Non-Standard"),VLOOKUP(Investment_Strategy&amp;"_"&amp;Investment_Strategy_Sub2&amp;"_"&amp;$A400,'Investment Strategies'!$C:$P,9,FALSE),
IF(AND(Investment_Strategy="Lifecycle",Investment_Strategy_Sub1="Standard"),VLOOKUP(Investment_Strategy&amp;"_"&amp;Investment_Strategy_Sub2&amp;"_"&amp;$A400,'Investment Strategies'!$AJ:$AV,8,FALSE),
IF(AND(Investment_Strategy="Autopilot",Investment_Strategy_Sub1="Non-Standard"),VLOOKUP(Investment_Strategy&amp;"_"&amp;Investment_Strategy_Sub2&amp;"_"&amp;$A400,'Investment Strategies'!$T:$AF,8,FALSE),
IF(Investment_Strategy ="DIY",DIY_RateOfReturn_FuturePremiums,
"Error")))))),Max_InvReturn)</f>
        <v>0</v>
      </c>
      <c r="U400" s="62">
        <f>IF($AV400=0,0,
IF(Investment_Strategy="DIS",VLOOKUP(Investment_Strategy&amp;"_"&amp;Investment_Strategy_Sub1&amp;"_"&amp;$A400,'Investment Strategies'!$AZ:$BP,15,FALSE),
IF(AND(Investment_Strategy="Lifecycle",Investment_Strategy_Sub1="Non-Standard"),VLOOKUP(Investment_Strategy&amp;"_"&amp;Investment_Strategy_Sub2&amp;"_"&amp;$A400,'Investment Strategies'!$C:$P,12,FALSE),
IF(AND(Investment_Strategy="Lifecycle",Investment_Strategy_Sub1="Standard"),VLOOKUP(Investment_Strategy&amp;"_"&amp;Investment_Strategy_Sub2&amp;"_"&amp;$A400,'Investment Strategies'!$AJ:$AV,11,FALSE),
IF(AND(Investment_Strategy="Autopilot",Investment_Strategy_Sub1="Non-Standard"),VLOOKUP(Investment_Strategy&amp;"_"&amp;Investment_Strategy_Sub2&amp;"_"&amp;$A400,'Investment Strategies'!$T:$AF,11,FALSE),
IF(Investment_Strategy="DIY",DIY_GteeChrge_FuturePremiums,
"Error"))))))</f>
        <v>0</v>
      </c>
      <c r="V400" s="33">
        <f>IF(AV400=0,0,
IF(Investment_Strategy="DIS",VLOOKUP(Investment_Strategy&amp;"_"&amp;Investment_Strategy_Sub1&amp;"_"&amp;$A400,'Investment Strategies'!$AZ:$BP,17,FALSE),
IF(AND(Investment_Strategy="Lifecycle",Investment_Strategy_Sub1="Non-Standard"),VLOOKUP(Investment_Strategy&amp;"_"&amp;Investment_Strategy_Sub2&amp;"_"&amp;$A400,'Investment Strategies'!$C:$P,14,FALSE),
IF(AND(Investment_Strategy="Lifecycle",Investment_Strategy_Sub1="Standard"),VLOOKUP(Investment_Strategy&amp;"_"&amp;Investment_Strategy_Sub2&amp;"_"&amp;$A400,'Investment Strategies'!$AJ:$AV,13,FALSE),
IF(AND(Investment_Strategy="Autopilot",Investment_Strategy_Sub1="Non-Standard"),VLOOKUP(Investment_Strategy&amp;"_"&amp;Investment_Strategy_Sub2&amp;"_"&amp;$A400,'Investment Strategies'!$T:$AF,13,FALSE),
IF(Investment_Strategy="DIY",DIY_ExtManChrge_FuturePremiums,
"Error"))))))</f>
        <v>0</v>
      </c>
      <c r="W400" s="16">
        <f t="shared" si="231"/>
        <v>0</v>
      </c>
      <c r="X400" s="16">
        <f t="shared" si="208"/>
        <v>0</v>
      </c>
      <c r="Y400" s="16">
        <f t="shared" si="209"/>
        <v>0</v>
      </c>
      <c r="Z400" s="31">
        <f t="shared" si="210"/>
        <v>0.02</v>
      </c>
      <c r="AA400" s="16">
        <f t="shared" si="211"/>
        <v>0</v>
      </c>
      <c r="AB400" s="28">
        <f t="shared" si="232"/>
        <v>0</v>
      </c>
      <c r="AC400" s="28">
        <f>(SUM($AC$91:AC399)+SUM($X$91:X399)+X400)*T400*IF(D400=$A$91,SRP_finalmonthfactor,1)</f>
        <v>0</v>
      </c>
      <c r="AD400" s="16">
        <f t="shared" si="212"/>
        <v>0</v>
      </c>
      <c r="AE400" s="106"/>
      <c r="AF400" s="16">
        <f t="shared" si="220"/>
        <v>0</v>
      </c>
      <c r="AG400" s="16">
        <f t="shared" si="221"/>
        <v>0</v>
      </c>
      <c r="AH400" s="16">
        <f t="shared" si="222"/>
        <v>0</v>
      </c>
      <c r="AJ400" s="13">
        <f t="shared" si="237"/>
        <v>0</v>
      </c>
      <c r="AK400" s="13">
        <f t="shared" si="237"/>
        <v>0</v>
      </c>
      <c r="AL400" s="13">
        <f t="shared" si="237"/>
        <v>0</v>
      </c>
      <c r="AM400" s="13">
        <f t="shared" si="237"/>
        <v>0</v>
      </c>
      <c r="AN400" s="13">
        <f t="shared" si="237"/>
        <v>0</v>
      </c>
      <c r="AO400" s="13">
        <f t="shared" si="237"/>
        <v>1</v>
      </c>
      <c r="AP400" s="13">
        <f t="shared" si="237"/>
        <v>1</v>
      </c>
      <c r="AQ400" s="13">
        <f t="shared" si="237"/>
        <v>1</v>
      </c>
      <c r="AR400" s="13">
        <f t="shared" si="237"/>
        <v>0</v>
      </c>
      <c r="AS400" s="13">
        <f t="shared" si="237"/>
        <v>1</v>
      </c>
      <c r="AT400" s="13">
        <f t="shared" si="237"/>
        <v>1</v>
      </c>
      <c r="AU400" s="13">
        <f t="shared" si="237"/>
        <v>1</v>
      </c>
      <c r="AV400" s="13">
        <f t="shared" si="213"/>
        <v>0</v>
      </c>
      <c r="AW400" s="13">
        <f t="shared" si="214"/>
        <v>1</v>
      </c>
      <c r="AY400" s="17">
        <f t="shared" si="215"/>
        <v>310</v>
      </c>
      <c r="AZ400" s="28">
        <f t="shared" si="223"/>
        <v>0</v>
      </c>
      <c r="BA400" s="13">
        <f t="shared" si="216"/>
        <v>0</v>
      </c>
      <c r="BB400" s="13">
        <f t="shared" si="217"/>
        <v>0</v>
      </c>
      <c r="BC400" s="28">
        <f t="shared" si="224"/>
        <v>0</v>
      </c>
      <c r="BD400" s="28">
        <f t="shared" si="225"/>
        <v>0</v>
      </c>
      <c r="BF400" s="248">
        <f t="shared" si="226"/>
        <v>993869.29442638322</v>
      </c>
    </row>
    <row r="401" spans="1:58">
      <c r="A401" s="32">
        <f t="shared" si="227"/>
        <v>-226</v>
      </c>
      <c r="B401" s="32">
        <f t="shared" si="218"/>
        <v>78</v>
      </c>
      <c r="C401" s="32">
        <f t="shared" si="228"/>
        <v>26</v>
      </c>
      <c r="D401" s="32">
        <f t="shared" si="229"/>
        <v>311</v>
      </c>
      <c r="E401" s="74">
        <f>MIN(IF(AV401=0,0,
IF(Investment_Strategy="DIS",VLOOKUP(Investment_Strategy&amp;"_"&amp;Investment_Strategy_Sub1&amp;"_"&amp;$A401,'Investment Strategies'!$AZ:$BP,12,FALSE),
IF(AND(Investment_Strategy="Lifecycle",Investment_Strategy_Sub1="Non-Standard"),VLOOKUP(Investment_Strategy&amp;"_"&amp;Investment_Strategy_Sub2&amp;"_"&amp;$A401,'Investment Strategies'!$C:$P,9,FALSE),
IF(AND(Investment_Strategy="Lifecycle",Investment_Strategy_Sub1="Standard"),VLOOKUP(Investment_Strategy&amp;"_"&amp;Investment_Strategy_Sub2&amp;"_"&amp;$A401,'Investment Strategies'!$AJ:$AV,8,FALSE),
IF(AND(Investment_Strategy="Autopilot",Investment_Strategy_Sub1="Non-Standard"),VLOOKUP(Investment_Strategy&amp;"_"&amp;Investment_Strategy_Sub2&amp;"_"&amp;$A401,'Investment Strategies'!$T:$AF,8,FALSE),
IF(Investment_Strategy ="DIY",DIY_RateOfReturn_CurrentFunds,
"Error")))))),Max_InvReturn)</f>
        <v>0</v>
      </c>
      <c r="F401" s="62">
        <f>IF(AV401=0,0,
IF(Investment_Strategy="DIS",VLOOKUP(Investment_Strategy&amp;"_"&amp;Investment_Strategy_Sub1&amp;"_"&amp;$A401,'Investment Strategies'!$AZ:$BP,15,FALSE),
IF(AND(Investment_Strategy="Lifecycle",Investment_Strategy_Sub1="Non-Standard"),VLOOKUP(Investment_Strategy&amp;"_"&amp;Investment_Strategy_Sub2&amp;"_"&amp;$A401,'Investment Strategies'!$C:$P,12,FALSE),
IF(AND(Investment_Strategy="Lifecycle",Investment_Strategy_Sub1="Standard"),VLOOKUP(Investment_Strategy&amp;"_"&amp;Investment_Strategy_Sub2&amp;"_"&amp;$A401,'Investment Strategies'!$AJ:$AV,11,FALSE),
IF(AND(Investment_Strategy="Autopilot",Investment_Strategy_Sub1="Non-Standard"),VLOOKUP(Investment_Strategy&amp;"_"&amp;Investment_Strategy_Sub2&amp;"_"&amp;$A401,'Investment Strategies'!$T:$AF,11,FALSE),
IF(Investment_Strategy="DIY",DIY_GteeChrge_CurrentFunds,
"Error"))))))</f>
        <v>0</v>
      </c>
      <c r="G401" s="33">
        <f>IF(AV401=0,0,
IF(Investment_Strategy="DIS",VLOOKUP(Investment_Strategy&amp;"_"&amp;Investment_Strategy_Sub1&amp;"_"&amp;$A401,'Investment Strategies'!$AZ:$BP,17,FALSE),
IF(AND(Investment_Strategy="Lifecycle",Investment_Strategy_Sub1="Non-Standard"),VLOOKUP(Investment_Strategy&amp;"_"&amp;Investment_Strategy_Sub2&amp;"_"&amp;$A401,'Investment Strategies'!$C:$P,14,FALSE),
IF(AND(Investment_Strategy="Lifecycle",Investment_Strategy_Sub1="Standard"),VLOOKUP(Investment_Strategy&amp;"_"&amp;Investment_Strategy_Sub2&amp;"_"&amp;$A401,'Investment Strategies'!$AJ:$AV,13,FALSE),
IF(AND(Investment_Strategy="Autopilot",Investment_Strategy_Sub1="Non-Standard"),VLOOKUP(Investment_Strategy&amp;"_"&amp;Investment_Strategy_Sub2&amp;"_"&amp;$A401,'Investment Strategies'!$T:$AF,13,FALSE),
IF(Investment_Strategy="DIY",DIY_ExtManChrge_CurrentFunds,
"Error"))))))</f>
        <v>0</v>
      </c>
      <c r="H401" s="16">
        <f t="shared" si="219"/>
        <v>0</v>
      </c>
      <c r="I401" s="16">
        <f t="shared" si="205"/>
        <v>0</v>
      </c>
      <c r="J401" s="16">
        <f t="shared" si="206"/>
        <v>0</v>
      </c>
      <c r="K401" s="16">
        <f>(Opening_Fund_Value+SUM(K$91:K400))*E401*IF(D401=$A$91,SRP_finalmonthfactor,1)</f>
        <v>0</v>
      </c>
      <c r="L401" s="74">
        <f>MIN(IF($AV401=0,0,
IF(Investment_Strategy="DIS",VLOOKUP(Investment_Strategy&amp;"_"&amp;Investment_Strategy_Sub1&amp;"_"&amp;$A401,'Investment Strategies'!$AZ:$BP,12,FALSE),
IF(AND(Investment_Strategy="Lifecycle",Investment_Strategy_Sub1="Non-Standard"),VLOOKUP(Investment_Strategy&amp;"_"&amp;Investment_Strategy_Sub2&amp;"_"&amp;$A401,'Investment Strategies'!$C:$P,9,FALSE),
IF(AND(Investment_Strategy="Lifecycle",Investment_Strategy_Sub1="Standard"),VLOOKUP(Investment_Strategy&amp;"_"&amp;Investment_Strategy_Sub2&amp;"_"&amp;$A401,'Investment Strategies'!$AJ:$AV,8,FALSE),
IF(AND(Investment_Strategy="Autopilot",Investment_Strategy_Sub1="Non-Standard"),VLOOKUP(Investment_Strategy&amp;"_"&amp;Investment_Strategy_Sub2&amp;"_"&amp;$A401,'Investment Strategies'!$T:$AF,8,FALSE),
IF(Investment_Strategy ="DIY",DIY_RateofReturn_SP,
"Error")))))),Max_InvReturn)</f>
        <v>0</v>
      </c>
      <c r="M401" s="62">
        <f>IF($AV401=0,0,
IF(Investment_Strategy="DIS",VLOOKUP(Investment_Strategy&amp;"_"&amp;Investment_Strategy_Sub1&amp;"_"&amp;$A401,'Investment Strategies'!$AZ:$BP,15,FALSE),
IF(AND(Investment_Strategy="Lifecycle",Investment_Strategy_Sub1="Non-Standard"),VLOOKUP(Investment_Strategy&amp;"_"&amp;Investment_Strategy_Sub2&amp;"_"&amp;$A401,'Investment Strategies'!$C:$P,12,FALSE),
IF(AND(Investment_Strategy="Lifecycle",Investment_Strategy_Sub1="Standard"),VLOOKUP(Investment_Strategy&amp;"_"&amp;Investment_Strategy_Sub2&amp;"_"&amp;$A401,'Investment Strategies'!$AJ:$AV,11,FALSE),
IF(AND(Investment_Strategy="Autopilot",Investment_Strategy_Sub1="Non-Standard"),VLOOKUP(Investment_Strategy&amp;"_"&amp;Investment_Strategy_Sub2&amp;"_"&amp;$A401,'Investment Strategies'!$T:$AF,11,FALSE),
IF(Investment_Strategy="DIY",DIY_GteeChrge_SP,
"Error"))))))</f>
        <v>0</v>
      </c>
      <c r="N401" s="33">
        <f>IF($AV401=0,0,
IF(Investment_Strategy="DIS",VLOOKUP(Investment_Strategy&amp;"_"&amp;Investment_Strategy_Sub1&amp;"_"&amp;$A401,'Investment Strategies'!$AZ:$BP,17,FALSE),
IF(AND(Investment_Strategy="Lifecycle",Investment_Strategy_Sub1="Non-Standard"),VLOOKUP(Investment_Strategy&amp;"_"&amp;Investment_Strategy_Sub2&amp;"_"&amp;$A401,'Investment Strategies'!$C:$P,14,FALSE),
IF(AND(Investment_Strategy="Lifecycle",Investment_Strategy_Sub1="Standard"),VLOOKUP(Investment_Strategy&amp;"_"&amp;Investment_Strategy_Sub2&amp;"_"&amp;$A401,'Investment Strategies'!$AJ:$AV,13,FALSE),
IF(AND(Investment_Strategy="Autopilot",Investment_Strategy_Sub1="Non-Standard"),VLOOKUP(Investment_Strategy&amp;"_"&amp;Investment_Strategy_Sub2&amp;"_"&amp;$A401,'Investment Strategies'!$T:$AF,13,FALSE),
IF(Investment_Strategy="DIY",DIY_ExtManChrge_SP,
"Error"))))))</f>
        <v>0</v>
      </c>
      <c r="O401" s="16">
        <f t="shared" si="230"/>
        <v>0</v>
      </c>
      <c r="Q401" s="16">
        <f t="shared" si="207"/>
        <v>0</v>
      </c>
      <c r="R401" s="16">
        <f t="shared" si="203"/>
        <v>0</v>
      </c>
      <c r="S401" s="16">
        <f>(SRP_SP+SUM(S$91:S400))*L401*IF(D401=$A$91,SRP_finalmonthfactor,1)</f>
        <v>0</v>
      </c>
      <c r="T401" s="74">
        <f>MIN(IF($AV401=0,0,
IF(Investment_Strategy="DIS",VLOOKUP(Investment_Strategy&amp;"_"&amp;Investment_Strategy_Sub1&amp;"_"&amp;$A401,'Investment Strategies'!$AZ:$BP,12,FALSE),
IF(AND(Investment_Strategy="Lifecycle",Investment_Strategy_Sub1="Non-Standard"),VLOOKUP(Investment_Strategy&amp;"_"&amp;Investment_Strategy_Sub2&amp;"_"&amp;$A401,'Investment Strategies'!$C:$P,9,FALSE),
IF(AND(Investment_Strategy="Lifecycle",Investment_Strategy_Sub1="Standard"),VLOOKUP(Investment_Strategy&amp;"_"&amp;Investment_Strategy_Sub2&amp;"_"&amp;$A401,'Investment Strategies'!$AJ:$AV,8,FALSE),
IF(AND(Investment_Strategy="Autopilot",Investment_Strategy_Sub1="Non-Standard"),VLOOKUP(Investment_Strategy&amp;"_"&amp;Investment_Strategy_Sub2&amp;"_"&amp;$A401,'Investment Strategies'!$T:$AF,8,FALSE),
IF(Investment_Strategy ="DIY",DIY_RateOfReturn_FuturePremiums,
"Error")))))),Max_InvReturn)</f>
        <v>0</v>
      </c>
      <c r="U401" s="62">
        <f>IF($AV401=0,0,
IF(Investment_Strategy="DIS",VLOOKUP(Investment_Strategy&amp;"_"&amp;Investment_Strategy_Sub1&amp;"_"&amp;$A401,'Investment Strategies'!$AZ:$BP,15,FALSE),
IF(AND(Investment_Strategy="Lifecycle",Investment_Strategy_Sub1="Non-Standard"),VLOOKUP(Investment_Strategy&amp;"_"&amp;Investment_Strategy_Sub2&amp;"_"&amp;$A401,'Investment Strategies'!$C:$P,12,FALSE),
IF(AND(Investment_Strategy="Lifecycle",Investment_Strategy_Sub1="Standard"),VLOOKUP(Investment_Strategy&amp;"_"&amp;Investment_Strategy_Sub2&amp;"_"&amp;$A401,'Investment Strategies'!$AJ:$AV,11,FALSE),
IF(AND(Investment_Strategy="Autopilot",Investment_Strategy_Sub1="Non-Standard"),VLOOKUP(Investment_Strategy&amp;"_"&amp;Investment_Strategy_Sub2&amp;"_"&amp;$A401,'Investment Strategies'!$T:$AF,11,FALSE),
IF(Investment_Strategy="DIY",DIY_GteeChrge_FuturePremiums,
"Error"))))))</f>
        <v>0</v>
      </c>
      <c r="V401" s="33">
        <f>IF(AV401=0,0,
IF(Investment_Strategy="DIS",VLOOKUP(Investment_Strategy&amp;"_"&amp;Investment_Strategy_Sub1&amp;"_"&amp;$A401,'Investment Strategies'!$AZ:$BP,17,FALSE),
IF(AND(Investment_Strategy="Lifecycle",Investment_Strategy_Sub1="Non-Standard"),VLOOKUP(Investment_Strategy&amp;"_"&amp;Investment_Strategy_Sub2&amp;"_"&amp;$A401,'Investment Strategies'!$C:$P,14,FALSE),
IF(AND(Investment_Strategy="Lifecycle",Investment_Strategy_Sub1="Standard"),VLOOKUP(Investment_Strategy&amp;"_"&amp;Investment_Strategy_Sub2&amp;"_"&amp;$A401,'Investment Strategies'!$AJ:$AV,13,FALSE),
IF(AND(Investment_Strategy="Autopilot",Investment_Strategy_Sub1="Non-Standard"),VLOOKUP(Investment_Strategy&amp;"_"&amp;Investment_Strategy_Sub2&amp;"_"&amp;$A401,'Investment Strategies'!$T:$AF,13,FALSE),
IF(Investment_Strategy="DIY",DIY_ExtManChrge_FuturePremiums,
"Error"))))))</f>
        <v>0</v>
      </c>
      <c r="W401" s="16">
        <f t="shared" si="231"/>
        <v>0</v>
      </c>
      <c r="X401" s="16">
        <f t="shared" si="208"/>
        <v>0</v>
      </c>
      <c r="Y401" s="16">
        <f t="shared" si="209"/>
        <v>0</v>
      </c>
      <c r="Z401" s="31">
        <f t="shared" si="210"/>
        <v>0.02</v>
      </c>
      <c r="AA401" s="16">
        <f t="shared" si="211"/>
        <v>0</v>
      </c>
      <c r="AB401" s="28">
        <f t="shared" si="232"/>
        <v>0</v>
      </c>
      <c r="AC401" s="28">
        <f>(SUM($AC$91:AC400)+SUM($X$91:X400)+X401)*T401*IF(D401=$A$91,SRP_finalmonthfactor,1)</f>
        <v>0</v>
      </c>
      <c r="AD401" s="16">
        <f t="shared" si="212"/>
        <v>0</v>
      </c>
      <c r="AE401" s="106"/>
      <c r="AF401" s="16">
        <f t="shared" si="220"/>
        <v>0</v>
      </c>
      <c r="AG401" s="16">
        <f t="shared" si="221"/>
        <v>0</v>
      </c>
      <c r="AH401" s="16">
        <f t="shared" si="222"/>
        <v>0</v>
      </c>
      <c r="AJ401" s="13">
        <f t="shared" ref="AJ401:AU410" si="238">IF($C401&lt;=AJ$90,1,0)</f>
        <v>0</v>
      </c>
      <c r="AK401" s="13">
        <f t="shared" si="238"/>
        <v>0</v>
      </c>
      <c r="AL401" s="13">
        <f t="shared" si="238"/>
        <v>0</v>
      </c>
      <c r="AM401" s="13">
        <f t="shared" si="238"/>
        <v>0</v>
      </c>
      <c r="AN401" s="13">
        <f t="shared" si="238"/>
        <v>0</v>
      </c>
      <c r="AO401" s="13">
        <f t="shared" si="238"/>
        <v>1</v>
      </c>
      <c r="AP401" s="13">
        <f t="shared" si="238"/>
        <v>1</v>
      </c>
      <c r="AQ401" s="13">
        <f t="shared" si="238"/>
        <v>1</v>
      </c>
      <c r="AR401" s="13">
        <f t="shared" si="238"/>
        <v>0</v>
      </c>
      <c r="AS401" s="13">
        <f t="shared" si="238"/>
        <v>1</v>
      </c>
      <c r="AT401" s="13">
        <f t="shared" si="238"/>
        <v>1</v>
      </c>
      <c r="AU401" s="13">
        <f t="shared" si="238"/>
        <v>1</v>
      </c>
      <c r="AV401" s="13">
        <f t="shared" si="213"/>
        <v>0</v>
      </c>
      <c r="AW401" s="13">
        <f t="shared" si="214"/>
        <v>1</v>
      </c>
      <c r="AY401" s="17">
        <f t="shared" si="215"/>
        <v>311</v>
      </c>
      <c r="AZ401" s="28">
        <f t="shared" si="223"/>
        <v>0</v>
      </c>
      <c r="BA401" s="13">
        <f t="shared" si="216"/>
        <v>0</v>
      </c>
      <c r="BB401" s="13">
        <f t="shared" si="217"/>
        <v>0</v>
      </c>
      <c r="BC401" s="28">
        <f t="shared" si="224"/>
        <v>0</v>
      </c>
      <c r="BD401" s="28">
        <f t="shared" si="225"/>
        <v>0</v>
      </c>
      <c r="BF401" s="248">
        <f t="shared" si="226"/>
        <v>993869.29442638322</v>
      </c>
    </row>
    <row r="402" spans="1:58">
      <c r="A402" s="32">
        <f t="shared" si="227"/>
        <v>-227</v>
      </c>
      <c r="B402" s="32">
        <f t="shared" si="218"/>
        <v>78</v>
      </c>
      <c r="C402" s="32">
        <f t="shared" si="228"/>
        <v>26</v>
      </c>
      <c r="D402" s="32">
        <f t="shared" si="229"/>
        <v>312</v>
      </c>
      <c r="E402" s="74">
        <f>MIN(IF(AV402=0,0,
IF(Investment_Strategy="DIS",VLOOKUP(Investment_Strategy&amp;"_"&amp;Investment_Strategy_Sub1&amp;"_"&amp;$A402,'Investment Strategies'!$AZ:$BP,12,FALSE),
IF(AND(Investment_Strategy="Lifecycle",Investment_Strategy_Sub1="Non-Standard"),VLOOKUP(Investment_Strategy&amp;"_"&amp;Investment_Strategy_Sub2&amp;"_"&amp;$A402,'Investment Strategies'!$C:$P,9,FALSE),
IF(AND(Investment_Strategy="Lifecycle",Investment_Strategy_Sub1="Standard"),VLOOKUP(Investment_Strategy&amp;"_"&amp;Investment_Strategy_Sub2&amp;"_"&amp;$A402,'Investment Strategies'!$AJ:$AV,8,FALSE),
IF(AND(Investment_Strategy="Autopilot",Investment_Strategy_Sub1="Non-Standard"),VLOOKUP(Investment_Strategy&amp;"_"&amp;Investment_Strategy_Sub2&amp;"_"&amp;$A402,'Investment Strategies'!$T:$AF,8,FALSE),
IF(Investment_Strategy ="DIY",DIY_RateOfReturn_CurrentFunds,
"Error")))))),Max_InvReturn)</f>
        <v>0</v>
      </c>
      <c r="F402" s="62">
        <f>IF(AV402=0,0,
IF(Investment_Strategy="DIS",VLOOKUP(Investment_Strategy&amp;"_"&amp;Investment_Strategy_Sub1&amp;"_"&amp;$A402,'Investment Strategies'!$AZ:$BP,15,FALSE),
IF(AND(Investment_Strategy="Lifecycle",Investment_Strategy_Sub1="Non-Standard"),VLOOKUP(Investment_Strategy&amp;"_"&amp;Investment_Strategy_Sub2&amp;"_"&amp;$A402,'Investment Strategies'!$C:$P,12,FALSE),
IF(AND(Investment_Strategy="Lifecycle",Investment_Strategy_Sub1="Standard"),VLOOKUP(Investment_Strategy&amp;"_"&amp;Investment_Strategy_Sub2&amp;"_"&amp;$A402,'Investment Strategies'!$AJ:$AV,11,FALSE),
IF(AND(Investment_Strategy="Autopilot",Investment_Strategy_Sub1="Non-Standard"),VLOOKUP(Investment_Strategy&amp;"_"&amp;Investment_Strategy_Sub2&amp;"_"&amp;$A402,'Investment Strategies'!$T:$AF,11,FALSE),
IF(Investment_Strategy="DIY",DIY_GteeChrge_CurrentFunds,
"Error"))))))</f>
        <v>0</v>
      </c>
      <c r="G402" s="33">
        <f>IF(AV402=0,0,
IF(Investment_Strategy="DIS",VLOOKUP(Investment_Strategy&amp;"_"&amp;Investment_Strategy_Sub1&amp;"_"&amp;$A402,'Investment Strategies'!$AZ:$BP,17,FALSE),
IF(AND(Investment_Strategy="Lifecycle",Investment_Strategy_Sub1="Non-Standard"),VLOOKUP(Investment_Strategy&amp;"_"&amp;Investment_Strategy_Sub2&amp;"_"&amp;$A402,'Investment Strategies'!$C:$P,14,FALSE),
IF(AND(Investment_Strategy="Lifecycle",Investment_Strategy_Sub1="Standard"),VLOOKUP(Investment_Strategy&amp;"_"&amp;Investment_Strategy_Sub2&amp;"_"&amp;$A402,'Investment Strategies'!$AJ:$AV,13,FALSE),
IF(AND(Investment_Strategy="Autopilot",Investment_Strategy_Sub1="Non-Standard"),VLOOKUP(Investment_Strategy&amp;"_"&amp;Investment_Strategy_Sub2&amp;"_"&amp;$A402,'Investment Strategies'!$T:$AF,13,FALSE),
IF(Investment_Strategy="DIY",DIY_ExtManChrge_CurrentFunds,
"Error"))))))</f>
        <v>0</v>
      </c>
      <c r="H402" s="16">
        <f t="shared" si="219"/>
        <v>0</v>
      </c>
      <c r="I402" s="16">
        <f t="shared" si="205"/>
        <v>0</v>
      </c>
      <c r="J402" s="16">
        <f t="shared" si="206"/>
        <v>0</v>
      </c>
      <c r="K402" s="16">
        <f>(Opening_Fund_Value+SUM(K$91:K401))*E402*IF(D402=$A$91,SRP_finalmonthfactor,1)</f>
        <v>0</v>
      </c>
      <c r="L402" s="74">
        <f>MIN(IF($AV402=0,0,
IF(Investment_Strategy="DIS",VLOOKUP(Investment_Strategy&amp;"_"&amp;Investment_Strategy_Sub1&amp;"_"&amp;$A402,'Investment Strategies'!$AZ:$BP,12,FALSE),
IF(AND(Investment_Strategy="Lifecycle",Investment_Strategy_Sub1="Non-Standard"),VLOOKUP(Investment_Strategy&amp;"_"&amp;Investment_Strategy_Sub2&amp;"_"&amp;$A402,'Investment Strategies'!$C:$P,9,FALSE),
IF(AND(Investment_Strategy="Lifecycle",Investment_Strategy_Sub1="Standard"),VLOOKUP(Investment_Strategy&amp;"_"&amp;Investment_Strategy_Sub2&amp;"_"&amp;$A402,'Investment Strategies'!$AJ:$AV,8,FALSE),
IF(AND(Investment_Strategy="Autopilot",Investment_Strategy_Sub1="Non-Standard"),VLOOKUP(Investment_Strategy&amp;"_"&amp;Investment_Strategy_Sub2&amp;"_"&amp;$A402,'Investment Strategies'!$T:$AF,8,FALSE),
IF(Investment_Strategy ="DIY",DIY_RateofReturn_SP,
"Error")))))),Max_InvReturn)</f>
        <v>0</v>
      </c>
      <c r="M402" s="62">
        <f>IF($AV402=0,0,
IF(Investment_Strategy="DIS",VLOOKUP(Investment_Strategy&amp;"_"&amp;Investment_Strategy_Sub1&amp;"_"&amp;$A402,'Investment Strategies'!$AZ:$BP,15,FALSE),
IF(AND(Investment_Strategy="Lifecycle",Investment_Strategy_Sub1="Non-Standard"),VLOOKUP(Investment_Strategy&amp;"_"&amp;Investment_Strategy_Sub2&amp;"_"&amp;$A402,'Investment Strategies'!$C:$P,12,FALSE),
IF(AND(Investment_Strategy="Lifecycle",Investment_Strategy_Sub1="Standard"),VLOOKUP(Investment_Strategy&amp;"_"&amp;Investment_Strategy_Sub2&amp;"_"&amp;$A402,'Investment Strategies'!$AJ:$AV,11,FALSE),
IF(AND(Investment_Strategy="Autopilot",Investment_Strategy_Sub1="Non-Standard"),VLOOKUP(Investment_Strategy&amp;"_"&amp;Investment_Strategy_Sub2&amp;"_"&amp;$A402,'Investment Strategies'!$T:$AF,11,FALSE),
IF(Investment_Strategy="DIY",DIY_GteeChrge_SP,
"Error"))))))</f>
        <v>0</v>
      </c>
      <c r="N402" s="33">
        <f>IF($AV402=0,0,
IF(Investment_Strategy="DIS",VLOOKUP(Investment_Strategy&amp;"_"&amp;Investment_Strategy_Sub1&amp;"_"&amp;$A402,'Investment Strategies'!$AZ:$BP,17,FALSE),
IF(AND(Investment_Strategy="Lifecycle",Investment_Strategy_Sub1="Non-Standard"),VLOOKUP(Investment_Strategy&amp;"_"&amp;Investment_Strategy_Sub2&amp;"_"&amp;$A402,'Investment Strategies'!$C:$P,14,FALSE),
IF(AND(Investment_Strategy="Lifecycle",Investment_Strategy_Sub1="Standard"),VLOOKUP(Investment_Strategy&amp;"_"&amp;Investment_Strategy_Sub2&amp;"_"&amp;$A402,'Investment Strategies'!$AJ:$AV,13,FALSE),
IF(AND(Investment_Strategy="Autopilot",Investment_Strategy_Sub1="Non-Standard"),VLOOKUP(Investment_Strategy&amp;"_"&amp;Investment_Strategy_Sub2&amp;"_"&amp;$A402,'Investment Strategies'!$T:$AF,13,FALSE),
IF(Investment_Strategy="DIY",DIY_ExtManChrge_SP,
"Error"))))))</f>
        <v>0</v>
      </c>
      <c r="O402" s="16">
        <f t="shared" si="230"/>
        <v>0</v>
      </c>
      <c r="Q402" s="16">
        <f t="shared" si="207"/>
        <v>0</v>
      </c>
      <c r="R402" s="16">
        <f t="shared" si="203"/>
        <v>0</v>
      </c>
      <c r="S402" s="16">
        <f>(SRP_SP+SUM(S$91:S401))*L402*IF(D402=$A$91,SRP_finalmonthfactor,1)</f>
        <v>0</v>
      </c>
      <c r="T402" s="74">
        <f>MIN(IF($AV402=0,0,
IF(Investment_Strategy="DIS",VLOOKUP(Investment_Strategy&amp;"_"&amp;Investment_Strategy_Sub1&amp;"_"&amp;$A402,'Investment Strategies'!$AZ:$BP,12,FALSE),
IF(AND(Investment_Strategy="Lifecycle",Investment_Strategy_Sub1="Non-Standard"),VLOOKUP(Investment_Strategy&amp;"_"&amp;Investment_Strategy_Sub2&amp;"_"&amp;$A402,'Investment Strategies'!$C:$P,9,FALSE),
IF(AND(Investment_Strategy="Lifecycle",Investment_Strategy_Sub1="Standard"),VLOOKUP(Investment_Strategy&amp;"_"&amp;Investment_Strategy_Sub2&amp;"_"&amp;$A402,'Investment Strategies'!$AJ:$AV,8,FALSE),
IF(AND(Investment_Strategy="Autopilot",Investment_Strategy_Sub1="Non-Standard"),VLOOKUP(Investment_Strategy&amp;"_"&amp;Investment_Strategy_Sub2&amp;"_"&amp;$A402,'Investment Strategies'!$T:$AF,8,FALSE),
IF(Investment_Strategy ="DIY",DIY_RateOfReturn_FuturePremiums,
"Error")))))),Max_InvReturn)</f>
        <v>0</v>
      </c>
      <c r="U402" s="62">
        <f>IF($AV402=0,0,
IF(Investment_Strategy="DIS",VLOOKUP(Investment_Strategy&amp;"_"&amp;Investment_Strategy_Sub1&amp;"_"&amp;$A402,'Investment Strategies'!$AZ:$BP,15,FALSE),
IF(AND(Investment_Strategy="Lifecycle",Investment_Strategy_Sub1="Non-Standard"),VLOOKUP(Investment_Strategy&amp;"_"&amp;Investment_Strategy_Sub2&amp;"_"&amp;$A402,'Investment Strategies'!$C:$P,12,FALSE),
IF(AND(Investment_Strategy="Lifecycle",Investment_Strategy_Sub1="Standard"),VLOOKUP(Investment_Strategy&amp;"_"&amp;Investment_Strategy_Sub2&amp;"_"&amp;$A402,'Investment Strategies'!$AJ:$AV,11,FALSE),
IF(AND(Investment_Strategy="Autopilot",Investment_Strategy_Sub1="Non-Standard"),VLOOKUP(Investment_Strategy&amp;"_"&amp;Investment_Strategy_Sub2&amp;"_"&amp;$A402,'Investment Strategies'!$T:$AF,11,FALSE),
IF(Investment_Strategy="DIY",DIY_GteeChrge_FuturePremiums,
"Error"))))))</f>
        <v>0</v>
      </c>
      <c r="V402" s="33">
        <f>IF(AV402=0,0,
IF(Investment_Strategy="DIS",VLOOKUP(Investment_Strategy&amp;"_"&amp;Investment_Strategy_Sub1&amp;"_"&amp;$A402,'Investment Strategies'!$AZ:$BP,17,FALSE),
IF(AND(Investment_Strategy="Lifecycle",Investment_Strategy_Sub1="Non-Standard"),VLOOKUP(Investment_Strategy&amp;"_"&amp;Investment_Strategy_Sub2&amp;"_"&amp;$A402,'Investment Strategies'!$C:$P,14,FALSE),
IF(AND(Investment_Strategy="Lifecycle",Investment_Strategy_Sub1="Standard"),VLOOKUP(Investment_Strategy&amp;"_"&amp;Investment_Strategy_Sub2&amp;"_"&amp;$A402,'Investment Strategies'!$AJ:$AV,13,FALSE),
IF(AND(Investment_Strategy="Autopilot",Investment_Strategy_Sub1="Non-Standard"),VLOOKUP(Investment_Strategy&amp;"_"&amp;Investment_Strategy_Sub2&amp;"_"&amp;$A402,'Investment Strategies'!$T:$AF,13,FALSE),
IF(Investment_Strategy="DIY",DIY_ExtManChrge_FuturePremiums,
"Error"))))))</f>
        <v>0</v>
      </c>
      <c r="W402" s="16">
        <f t="shared" si="231"/>
        <v>0</v>
      </c>
      <c r="X402" s="16">
        <f t="shared" si="208"/>
        <v>0</v>
      </c>
      <c r="Y402" s="16">
        <f t="shared" si="209"/>
        <v>0</v>
      </c>
      <c r="Z402" s="31">
        <f t="shared" si="210"/>
        <v>0.02</v>
      </c>
      <c r="AA402" s="16">
        <f t="shared" si="211"/>
        <v>0</v>
      </c>
      <c r="AB402" s="28">
        <f t="shared" si="232"/>
        <v>0</v>
      </c>
      <c r="AC402" s="28">
        <f>(SUM($AC$91:AC401)+SUM($X$91:X401)+X402)*T402*IF(D402=$A$91,SRP_finalmonthfactor,1)</f>
        <v>0</v>
      </c>
      <c r="AD402" s="16">
        <f t="shared" si="212"/>
        <v>0</v>
      </c>
      <c r="AE402" s="106"/>
      <c r="AF402" s="16">
        <f t="shared" si="220"/>
        <v>0</v>
      </c>
      <c r="AG402" s="16">
        <f t="shared" si="221"/>
        <v>0</v>
      </c>
      <c r="AH402" s="16">
        <f t="shared" si="222"/>
        <v>0</v>
      </c>
      <c r="AJ402" s="13">
        <f t="shared" si="238"/>
        <v>0</v>
      </c>
      <c r="AK402" s="13">
        <f t="shared" si="238"/>
        <v>0</v>
      </c>
      <c r="AL402" s="13">
        <f t="shared" si="238"/>
        <v>0</v>
      </c>
      <c r="AM402" s="13">
        <f t="shared" si="238"/>
        <v>0</v>
      </c>
      <c r="AN402" s="13">
        <f t="shared" si="238"/>
        <v>0</v>
      </c>
      <c r="AO402" s="13">
        <f t="shared" si="238"/>
        <v>1</v>
      </c>
      <c r="AP402" s="13">
        <f t="shared" si="238"/>
        <v>1</v>
      </c>
      <c r="AQ402" s="13">
        <f t="shared" si="238"/>
        <v>1</v>
      </c>
      <c r="AR402" s="13">
        <f t="shared" si="238"/>
        <v>0</v>
      </c>
      <c r="AS402" s="13">
        <f t="shared" si="238"/>
        <v>1</v>
      </c>
      <c r="AT402" s="13">
        <f t="shared" si="238"/>
        <v>1</v>
      </c>
      <c r="AU402" s="13">
        <f t="shared" si="238"/>
        <v>1</v>
      </c>
      <c r="AV402" s="13">
        <f t="shared" si="213"/>
        <v>0</v>
      </c>
      <c r="AW402" s="13">
        <f t="shared" si="214"/>
        <v>1</v>
      </c>
      <c r="AY402" s="17">
        <f t="shared" si="215"/>
        <v>312</v>
      </c>
      <c r="AZ402" s="28">
        <f t="shared" si="223"/>
        <v>0</v>
      </c>
      <c r="BA402" s="13">
        <f t="shared" si="216"/>
        <v>0</v>
      </c>
      <c r="BB402" s="13">
        <f t="shared" si="217"/>
        <v>0</v>
      </c>
      <c r="BC402" s="28">
        <f t="shared" si="224"/>
        <v>0</v>
      </c>
      <c r="BD402" s="28">
        <f t="shared" si="225"/>
        <v>0</v>
      </c>
      <c r="BF402" s="248">
        <f t="shared" si="226"/>
        <v>993869.29442638322</v>
      </c>
    </row>
    <row r="403" spans="1:58">
      <c r="A403" s="32">
        <f t="shared" si="227"/>
        <v>-228</v>
      </c>
      <c r="B403" s="32">
        <f t="shared" si="218"/>
        <v>79</v>
      </c>
      <c r="C403" s="32">
        <f t="shared" si="228"/>
        <v>27</v>
      </c>
      <c r="D403" s="32">
        <f t="shared" si="229"/>
        <v>313</v>
      </c>
      <c r="E403" s="74">
        <f>MIN(IF(AV403=0,0,
IF(Investment_Strategy="DIS",VLOOKUP(Investment_Strategy&amp;"_"&amp;Investment_Strategy_Sub1&amp;"_"&amp;$A403,'Investment Strategies'!$AZ:$BP,12,FALSE),
IF(AND(Investment_Strategy="Lifecycle",Investment_Strategy_Sub1="Non-Standard"),VLOOKUP(Investment_Strategy&amp;"_"&amp;Investment_Strategy_Sub2&amp;"_"&amp;$A403,'Investment Strategies'!$C:$P,9,FALSE),
IF(AND(Investment_Strategy="Lifecycle",Investment_Strategy_Sub1="Standard"),VLOOKUP(Investment_Strategy&amp;"_"&amp;Investment_Strategy_Sub2&amp;"_"&amp;$A403,'Investment Strategies'!$AJ:$AV,8,FALSE),
IF(AND(Investment_Strategy="Autopilot",Investment_Strategy_Sub1="Non-Standard"),VLOOKUP(Investment_Strategy&amp;"_"&amp;Investment_Strategy_Sub2&amp;"_"&amp;$A403,'Investment Strategies'!$T:$AF,8,FALSE),
IF(Investment_Strategy ="DIY",DIY_RateOfReturn_CurrentFunds,
"Error")))))),Max_InvReturn)</f>
        <v>0</v>
      </c>
      <c r="F403" s="62">
        <f>IF(AV403=0,0,
IF(Investment_Strategy="DIS",VLOOKUP(Investment_Strategy&amp;"_"&amp;Investment_Strategy_Sub1&amp;"_"&amp;$A403,'Investment Strategies'!$AZ:$BP,15,FALSE),
IF(AND(Investment_Strategy="Lifecycle",Investment_Strategy_Sub1="Non-Standard"),VLOOKUP(Investment_Strategy&amp;"_"&amp;Investment_Strategy_Sub2&amp;"_"&amp;$A403,'Investment Strategies'!$C:$P,12,FALSE),
IF(AND(Investment_Strategy="Lifecycle",Investment_Strategy_Sub1="Standard"),VLOOKUP(Investment_Strategy&amp;"_"&amp;Investment_Strategy_Sub2&amp;"_"&amp;$A403,'Investment Strategies'!$AJ:$AV,11,FALSE),
IF(AND(Investment_Strategy="Autopilot",Investment_Strategy_Sub1="Non-Standard"),VLOOKUP(Investment_Strategy&amp;"_"&amp;Investment_Strategy_Sub2&amp;"_"&amp;$A403,'Investment Strategies'!$T:$AF,11,FALSE),
IF(Investment_Strategy="DIY",DIY_GteeChrge_CurrentFunds,
"Error"))))))</f>
        <v>0</v>
      </c>
      <c r="G403" s="33">
        <f>IF(AV403=0,0,
IF(Investment_Strategy="DIS",VLOOKUP(Investment_Strategy&amp;"_"&amp;Investment_Strategy_Sub1&amp;"_"&amp;$A403,'Investment Strategies'!$AZ:$BP,17,FALSE),
IF(AND(Investment_Strategy="Lifecycle",Investment_Strategy_Sub1="Non-Standard"),VLOOKUP(Investment_Strategy&amp;"_"&amp;Investment_Strategy_Sub2&amp;"_"&amp;$A403,'Investment Strategies'!$C:$P,14,FALSE),
IF(AND(Investment_Strategy="Lifecycle",Investment_Strategy_Sub1="Standard"),VLOOKUP(Investment_Strategy&amp;"_"&amp;Investment_Strategy_Sub2&amp;"_"&amp;$A403,'Investment Strategies'!$AJ:$AV,13,FALSE),
IF(AND(Investment_Strategy="Autopilot",Investment_Strategy_Sub1="Non-Standard"),VLOOKUP(Investment_Strategy&amp;"_"&amp;Investment_Strategy_Sub2&amp;"_"&amp;$A403,'Investment Strategies'!$T:$AF,13,FALSE),
IF(Investment_Strategy="DIY",DIY_ExtManChrge_CurrentFunds,
"Error"))))))</f>
        <v>0</v>
      </c>
      <c r="H403" s="16">
        <f t="shared" si="219"/>
        <v>0</v>
      </c>
      <c r="I403" s="16">
        <f t="shared" si="205"/>
        <v>0</v>
      </c>
      <c r="J403" s="16">
        <f t="shared" si="206"/>
        <v>0</v>
      </c>
      <c r="K403" s="16">
        <f>(Opening_Fund_Value+SUM(K$91:K402))*E403*IF(D403=$A$91,SRP_finalmonthfactor,1)</f>
        <v>0</v>
      </c>
      <c r="L403" s="74">
        <f>MIN(IF($AV403=0,0,
IF(Investment_Strategy="DIS",VLOOKUP(Investment_Strategy&amp;"_"&amp;Investment_Strategy_Sub1&amp;"_"&amp;$A403,'Investment Strategies'!$AZ:$BP,12,FALSE),
IF(AND(Investment_Strategy="Lifecycle",Investment_Strategy_Sub1="Non-Standard"),VLOOKUP(Investment_Strategy&amp;"_"&amp;Investment_Strategy_Sub2&amp;"_"&amp;$A403,'Investment Strategies'!$C:$P,9,FALSE),
IF(AND(Investment_Strategy="Lifecycle",Investment_Strategy_Sub1="Standard"),VLOOKUP(Investment_Strategy&amp;"_"&amp;Investment_Strategy_Sub2&amp;"_"&amp;$A403,'Investment Strategies'!$AJ:$AV,8,FALSE),
IF(AND(Investment_Strategy="Autopilot",Investment_Strategy_Sub1="Non-Standard"),VLOOKUP(Investment_Strategy&amp;"_"&amp;Investment_Strategy_Sub2&amp;"_"&amp;$A403,'Investment Strategies'!$T:$AF,8,FALSE),
IF(Investment_Strategy ="DIY",DIY_RateofReturn_SP,
"Error")))))),Max_InvReturn)</f>
        <v>0</v>
      </c>
      <c r="M403" s="62">
        <f>IF($AV403=0,0,
IF(Investment_Strategy="DIS",VLOOKUP(Investment_Strategy&amp;"_"&amp;Investment_Strategy_Sub1&amp;"_"&amp;$A403,'Investment Strategies'!$AZ:$BP,15,FALSE),
IF(AND(Investment_Strategy="Lifecycle",Investment_Strategy_Sub1="Non-Standard"),VLOOKUP(Investment_Strategy&amp;"_"&amp;Investment_Strategy_Sub2&amp;"_"&amp;$A403,'Investment Strategies'!$C:$P,12,FALSE),
IF(AND(Investment_Strategy="Lifecycle",Investment_Strategy_Sub1="Standard"),VLOOKUP(Investment_Strategy&amp;"_"&amp;Investment_Strategy_Sub2&amp;"_"&amp;$A403,'Investment Strategies'!$AJ:$AV,11,FALSE),
IF(AND(Investment_Strategy="Autopilot",Investment_Strategy_Sub1="Non-Standard"),VLOOKUP(Investment_Strategy&amp;"_"&amp;Investment_Strategy_Sub2&amp;"_"&amp;$A403,'Investment Strategies'!$T:$AF,11,FALSE),
IF(Investment_Strategy="DIY",DIY_GteeChrge_SP,
"Error"))))))</f>
        <v>0</v>
      </c>
      <c r="N403" s="33">
        <f>IF($AV403=0,0,
IF(Investment_Strategy="DIS",VLOOKUP(Investment_Strategy&amp;"_"&amp;Investment_Strategy_Sub1&amp;"_"&amp;$A403,'Investment Strategies'!$AZ:$BP,17,FALSE),
IF(AND(Investment_Strategy="Lifecycle",Investment_Strategy_Sub1="Non-Standard"),VLOOKUP(Investment_Strategy&amp;"_"&amp;Investment_Strategy_Sub2&amp;"_"&amp;$A403,'Investment Strategies'!$C:$P,14,FALSE),
IF(AND(Investment_Strategy="Lifecycle",Investment_Strategy_Sub1="Standard"),VLOOKUP(Investment_Strategy&amp;"_"&amp;Investment_Strategy_Sub2&amp;"_"&amp;$A403,'Investment Strategies'!$AJ:$AV,13,FALSE),
IF(AND(Investment_Strategy="Autopilot",Investment_Strategy_Sub1="Non-Standard"),VLOOKUP(Investment_Strategy&amp;"_"&amp;Investment_Strategy_Sub2&amp;"_"&amp;$A403,'Investment Strategies'!$T:$AF,13,FALSE),
IF(Investment_Strategy="DIY",DIY_ExtManChrge_SP,
"Error"))))))</f>
        <v>0</v>
      </c>
      <c r="O403" s="16">
        <f t="shared" si="230"/>
        <v>0</v>
      </c>
      <c r="Q403" s="16">
        <f t="shared" si="207"/>
        <v>0</v>
      </c>
      <c r="R403" s="16">
        <f t="shared" si="203"/>
        <v>0</v>
      </c>
      <c r="S403" s="16">
        <f>(SRP_SP+SUM(S$91:S402))*L403*IF(D403=$A$91,SRP_finalmonthfactor,1)</f>
        <v>0</v>
      </c>
      <c r="T403" s="74">
        <f>MIN(IF($AV403=0,0,
IF(Investment_Strategy="DIS",VLOOKUP(Investment_Strategy&amp;"_"&amp;Investment_Strategy_Sub1&amp;"_"&amp;$A403,'Investment Strategies'!$AZ:$BP,12,FALSE),
IF(AND(Investment_Strategy="Lifecycle",Investment_Strategy_Sub1="Non-Standard"),VLOOKUP(Investment_Strategy&amp;"_"&amp;Investment_Strategy_Sub2&amp;"_"&amp;$A403,'Investment Strategies'!$C:$P,9,FALSE),
IF(AND(Investment_Strategy="Lifecycle",Investment_Strategy_Sub1="Standard"),VLOOKUP(Investment_Strategy&amp;"_"&amp;Investment_Strategy_Sub2&amp;"_"&amp;$A403,'Investment Strategies'!$AJ:$AV,8,FALSE),
IF(AND(Investment_Strategy="Autopilot",Investment_Strategy_Sub1="Non-Standard"),VLOOKUP(Investment_Strategy&amp;"_"&amp;Investment_Strategy_Sub2&amp;"_"&amp;$A403,'Investment Strategies'!$T:$AF,8,FALSE),
IF(Investment_Strategy ="DIY",DIY_RateOfReturn_FuturePremiums,
"Error")))))),Max_InvReturn)</f>
        <v>0</v>
      </c>
      <c r="U403" s="62">
        <f>IF($AV403=0,0,
IF(Investment_Strategy="DIS",VLOOKUP(Investment_Strategy&amp;"_"&amp;Investment_Strategy_Sub1&amp;"_"&amp;$A403,'Investment Strategies'!$AZ:$BP,15,FALSE),
IF(AND(Investment_Strategy="Lifecycle",Investment_Strategy_Sub1="Non-Standard"),VLOOKUP(Investment_Strategy&amp;"_"&amp;Investment_Strategy_Sub2&amp;"_"&amp;$A403,'Investment Strategies'!$C:$P,12,FALSE),
IF(AND(Investment_Strategy="Lifecycle",Investment_Strategy_Sub1="Standard"),VLOOKUP(Investment_Strategy&amp;"_"&amp;Investment_Strategy_Sub2&amp;"_"&amp;$A403,'Investment Strategies'!$AJ:$AV,11,FALSE),
IF(AND(Investment_Strategy="Autopilot",Investment_Strategy_Sub1="Non-Standard"),VLOOKUP(Investment_Strategy&amp;"_"&amp;Investment_Strategy_Sub2&amp;"_"&amp;$A403,'Investment Strategies'!$T:$AF,11,FALSE),
IF(Investment_Strategy="DIY",DIY_GteeChrge_FuturePremiums,
"Error"))))))</f>
        <v>0</v>
      </c>
      <c r="V403" s="33">
        <f>IF(AV403=0,0,
IF(Investment_Strategy="DIS",VLOOKUP(Investment_Strategy&amp;"_"&amp;Investment_Strategy_Sub1&amp;"_"&amp;$A403,'Investment Strategies'!$AZ:$BP,17,FALSE),
IF(AND(Investment_Strategy="Lifecycle",Investment_Strategy_Sub1="Non-Standard"),VLOOKUP(Investment_Strategy&amp;"_"&amp;Investment_Strategy_Sub2&amp;"_"&amp;$A403,'Investment Strategies'!$C:$P,14,FALSE),
IF(AND(Investment_Strategy="Lifecycle",Investment_Strategy_Sub1="Standard"),VLOOKUP(Investment_Strategy&amp;"_"&amp;Investment_Strategy_Sub2&amp;"_"&amp;$A403,'Investment Strategies'!$AJ:$AV,13,FALSE),
IF(AND(Investment_Strategy="Autopilot",Investment_Strategy_Sub1="Non-Standard"),VLOOKUP(Investment_Strategy&amp;"_"&amp;Investment_Strategy_Sub2&amp;"_"&amp;$A403,'Investment Strategies'!$T:$AF,13,FALSE),
IF(Investment_Strategy="DIY",DIY_ExtManChrge_FuturePremiums,
"Error"))))))</f>
        <v>0</v>
      </c>
      <c r="W403" s="16">
        <f t="shared" si="231"/>
        <v>0</v>
      </c>
      <c r="X403" s="16">
        <f t="shared" si="208"/>
        <v>0</v>
      </c>
      <c r="Y403" s="16">
        <f t="shared" si="209"/>
        <v>0</v>
      </c>
      <c r="Z403" s="31">
        <f t="shared" si="210"/>
        <v>0.02</v>
      </c>
      <c r="AA403" s="16">
        <f t="shared" si="211"/>
        <v>0</v>
      </c>
      <c r="AB403" s="28">
        <f t="shared" si="232"/>
        <v>0</v>
      </c>
      <c r="AC403" s="28">
        <f>(SUM($AC$91:AC402)+SUM($X$91:X402)+X403)*T403*IF(D403=$A$91,SRP_finalmonthfactor,1)</f>
        <v>0</v>
      </c>
      <c r="AD403" s="16">
        <f t="shared" si="212"/>
        <v>0</v>
      </c>
      <c r="AE403" s="106"/>
      <c r="AF403" s="16">
        <f t="shared" si="220"/>
        <v>0</v>
      </c>
      <c r="AG403" s="16">
        <f t="shared" si="221"/>
        <v>0</v>
      </c>
      <c r="AH403" s="16">
        <f t="shared" si="222"/>
        <v>0</v>
      </c>
      <c r="AJ403" s="13">
        <f t="shared" si="238"/>
        <v>0</v>
      </c>
      <c r="AK403" s="13">
        <f t="shared" si="238"/>
        <v>0</v>
      </c>
      <c r="AL403" s="13">
        <f t="shared" si="238"/>
        <v>0</v>
      </c>
      <c r="AM403" s="13">
        <f t="shared" si="238"/>
        <v>0</v>
      </c>
      <c r="AN403" s="13">
        <f t="shared" si="238"/>
        <v>0</v>
      </c>
      <c r="AO403" s="13">
        <f t="shared" si="238"/>
        <v>1</v>
      </c>
      <c r="AP403" s="13">
        <f t="shared" si="238"/>
        <v>1</v>
      </c>
      <c r="AQ403" s="13">
        <f t="shared" si="238"/>
        <v>1</v>
      </c>
      <c r="AR403" s="13">
        <f t="shared" si="238"/>
        <v>0</v>
      </c>
      <c r="AS403" s="13">
        <f t="shared" si="238"/>
        <v>1</v>
      </c>
      <c r="AT403" s="13">
        <f t="shared" si="238"/>
        <v>1</v>
      </c>
      <c r="AU403" s="13">
        <f t="shared" si="238"/>
        <v>1</v>
      </c>
      <c r="AV403" s="13">
        <f t="shared" si="213"/>
        <v>0</v>
      </c>
      <c r="AW403" s="13">
        <f t="shared" si="214"/>
        <v>1</v>
      </c>
      <c r="AY403" s="17">
        <f t="shared" si="215"/>
        <v>313</v>
      </c>
      <c r="AZ403" s="28">
        <f t="shared" si="223"/>
        <v>0</v>
      </c>
      <c r="BA403" s="13">
        <f t="shared" si="216"/>
        <v>0</v>
      </c>
      <c r="BB403" s="13">
        <f t="shared" si="217"/>
        <v>0</v>
      </c>
      <c r="BC403" s="28">
        <f t="shared" si="224"/>
        <v>0</v>
      </c>
      <c r="BD403" s="28">
        <f t="shared" si="225"/>
        <v>0</v>
      </c>
      <c r="BF403" s="248">
        <f t="shared" si="226"/>
        <v>993869.29442638322</v>
      </c>
    </row>
    <row r="404" spans="1:58">
      <c r="A404" s="32">
        <f t="shared" si="227"/>
        <v>-229</v>
      </c>
      <c r="B404" s="32">
        <f t="shared" si="218"/>
        <v>79</v>
      </c>
      <c r="C404" s="32">
        <f t="shared" si="228"/>
        <v>27</v>
      </c>
      <c r="D404" s="32">
        <f t="shared" si="229"/>
        <v>314</v>
      </c>
      <c r="E404" s="74">
        <f>MIN(IF(AV404=0,0,
IF(Investment_Strategy="DIS",VLOOKUP(Investment_Strategy&amp;"_"&amp;Investment_Strategy_Sub1&amp;"_"&amp;$A404,'Investment Strategies'!$AZ:$BP,12,FALSE),
IF(AND(Investment_Strategy="Lifecycle",Investment_Strategy_Sub1="Non-Standard"),VLOOKUP(Investment_Strategy&amp;"_"&amp;Investment_Strategy_Sub2&amp;"_"&amp;$A404,'Investment Strategies'!$C:$P,9,FALSE),
IF(AND(Investment_Strategy="Lifecycle",Investment_Strategy_Sub1="Standard"),VLOOKUP(Investment_Strategy&amp;"_"&amp;Investment_Strategy_Sub2&amp;"_"&amp;$A404,'Investment Strategies'!$AJ:$AV,8,FALSE),
IF(AND(Investment_Strategy="Autopilot",Investment_Strategy_Sub1="Non-Standard"),VLOOKUP(Investment_Strategy&amp;"_"&amp;Investment_Strategy_Sub2&amp;"_"&amp;$A404,'Investment Strategies'!$T:$AF,8,FALSE),
IF(Investment_Strategy ="DIY",DIY_RateOfReturn_CurrentFunds,
"Error")))))),Max_InvReturn)</f>
        <v>0</v>
      </c>
      <c r="F404" s="62">
        <f>IF(AV404=0,0,
IF(Investment_Strategy="DIS",VLOOKUP(Investment_Strategy&amp;"_"&amp;Investment_Strategy_Sub1&amp;"_"&amp;$A404,'Investment Strategies'!$AZ:$BP,15,FALSE),
IF(AND(Investment_Strategy="Lifecycle",Investment_Strategy_Sub1="Non-Standard"),VLOOKUP(Investment_Strategy&amp;"_"&amp;Investment_Strategy_Sub2&amp;"_"&amp;$A404,'Investment Strategies'!$C:$P,12,FALSE),
IF(AND(Investment_Strategy="Lifecycle",Investment_Strategy_Sub1="Standard"),VLOOKUP(Investment_Strategy&amp;"_"&amp;Investment_Strategy_Sub2&amp;"_"&amp;$A404,'Investment Strategies'!$AJ:$AV,11,FALSE),
IF(AND(Investment_Strategy="Autopilot",Investment_Strategy_Sub1="Non-Standard"),VLOOKUP(Investment_Strategy&amp;"_"&amp;Investment_Strategy_Sub2&amp;"_"&amp;$A404,'Investment Strategies'!$T:$AF,11,FALSE),
IF(Investment_Strategy="DIY",DIY_GteeChrge_CurrentFunds,
"Error"))))))</f>
        <v>0</v>
      </c>
      <c r="G404" s="33">
        <f>IF(AV404=0,0,
IF(Investment_Strategy="DIS",VLOOKUP(Investment_Strategy&amp;"_"&amp;Investment_Strategy_Sub1&amp;"_"&amp;$A404,'Investment Strategies'!$AZ:$BP,17,FALSE),
IF(AND(Investment_Strategy="Lifecycle",Investment_Strategy_Sub1="Non-Standard"),VLOOKUP(Investment_Strategy&amp;"_"&amp;Investment_Strategy_Sub2&amp;"_"&amp;$A404,'Investment Strategies'!$C:$P,14,FALSE),
IF(AND(Investment_Strategy="Lifecycle",Investment_Strategy_Sub1="Standard"),VLOOKUP(Investment_Strategy&amp;"_"&amp;Investment_Strategy_Sub2&amp;"_"&amp;$A404,'Investment Strategies'!$AJ:$AV,13,FALSE),
IF(AND(Investment_Strategy="Autopilot",Investment_Strategy_Sub1="Non-Standard"),VLOOKUP(Investment_Strategy&amp;"_"&amp;Investment_Strategy_Sub2&amp;"_"&amp;$A404,'Investment Strategies'!$T:$AF,13,FALSE),
IF(Investment_Strategy="DIY",DIY_ExtManChrge_CurrentFunds,
"Error"))))))</f>
        <v>0</v>
      </c>
      <c r="H404" s="16">
        <f t="shared" si="219"/>
        <v>0</v>
      </c>
      <c r="I404" s="16">
        <f t="shared" si="205"/>
        <v>0</v>
      </c>
      <c r="J404" s="16">
        <f t="shared" si="206"/>
        <v>0</v>
      </c>
      <c r="K404" s="16">
        <f>(Opening_Fund_Value+SUM(K$91:K403))*E404*IF(D404=$A$91,SRP_finalmonthfactor,1)</f>
        <v>0</v>
      </c>
      <c r="L404" s="74">
        <f>MIN(IF($AV404=0,0,
IF(Investment_Strategy="DIS",VLOOKUP(Investment_Strategy&amp;"_"&amp;Investment_Strategy_Sub1&amp;"_"&amp;$A404,'Investment Strategies'!$AZ:$BP,12,FALSE),
IF(AND(Investment_Strategy="Lifecycle",Investment_Strategy_Sub1="Non-Standard"),VLOOKUP(Investment_Strategy&amp;"_"&amp;Investment_Strategy_Sub2&amp;"_"&amp;$A404,'Investment Strategies'!$C:$P,9,FALSE),
IF(AND(Investment_Strategy="Lifecycle",Investment_Strategy_Sub1="Standard"),VLOOKUP(Investment_Strategy&amp;"_"&amp;Investment_Strategy_Sub2&amp;"_"&amp;$A404,'Investment Strategies'!$AJ:$AV,8,FALSE),
IF(AND(Investment_Strategy="Autopilot",Investment_Strategy_Sub1="Non-Standard"),VLOOKUP(Investment_Strategy&amp;"_"&amp;Investment_Strategy_Sub2&amp;"_"&amp;$A404,'Investment Strategies'!$T:$AF,8,FALSE),
IF(Investment_Strategy ="DIY",DIY_RateofReturn_SP,
"Error")))))),Max_InvReturn)</f>
        <v>0</v>
      </c>
      <c r="M404" s="62">
        <f>IF($AV404=0,0,
IF(Investment_Strategy="DIS",VLOOKUP(Investment_Strategy&amp;"_"&amp;Investment_Strategy_Sub1&amp;"_"&amp;$A404,'Investment Strategies'!$AZ:$BP,15,FALSE),
IF(AND(Investment_Strategy="Lifecycle",Investment_Strategy_Sub1="Non-Standard"),VLOOKUP(Investment_Strategy&amp;"_"&amp;Investment_Strategy_Sub2&amp;"_"&amp;$A404,'Investment Strategies'!$C:$P,12,FALSE),
IF(AND(Investment_Strategy="Lifecycle",Investment_Strategy_Sub1="Standard"),VLOOKUP(Investment_Strategy&amp;"_"&amp;Investment_Strategy_Sub2&amp;"_"&amp;$A404,'Investment Strategies'!$AJ:$AV,11,FALSE),
IF(AND(Investment_Strategy="Autopilot",Investment_Strategy_Sub1="Non-Standard"),VLOOKUP(Investment_Strategy&amp;"_"&amp;Investment_Strategy_Sub2&amp;"_"&amp;$A404,'Investment Strategies'!$T:$AF,11,FALSE),
IF(Investment_Strategy="DIY",DIY_GteeChrge_SP,
"Error"))))))</f>
        <v>0</v>
      </c>
      <c r="N404" s="33">
        <f>IF($AV404=0,0,
IF(Investment_Strategy="DIS",VLOOKUP(Investment_Strategy&amp;"_"&amp;Investment_Strategy_Sub1&amp;"_"&amp;$A404,'Investment Strategies'!$AZ:$BP,17,FALSE),
IF(AND(Investment_Strategy="Lifecycle",Investment_Strategy_Sub1="Non-Standard"),VLOOKUP(Investment_Strategy&amp;"_"&amp;Investment_Strategy_Sub2&amp;"_"&amp;$A404,'Investment Strategies'!$C:$P,14,FALSE),
IF(AND(Investment_Strategy="Lifecycle",Investment_Strategy_Sub1="Standard"),VLOOKUP(Investment_Strategy&amp;"_"&amp;Investment_Strategy_Sub2&amp;"_"&amp;$A404,'Investment Strategies'!$AJ:$AV,13,FALSE),
IF(AND(Investment_Strategy="Autopilot",Investment_Strategy_Sub1="Non-Standard"),VLOOKUP(Investment_Strategy&amp;"_"&amp;Investment_Strategy_Sub2&amp;"_"&amp;$A404,'Investment Strategies'!$T:$AF,13,FALSE),
IF(Investment_Strategy="DIY",DIY_ExtManChrge_SP,
"Error"))))))</f>
        <v>0</v>
      </c>
      <c r="O404" s="16">
        <f t="shared" si="230"/>
        <v>0</v>
      </c>
      <c r="Q404" s="16">
        <f t="shared" si="207"/>
        <v>0</v>
      </c>
      <c r="R404" s="16">
        <f t="shared" ref="R404:R467" si="239">IF($AV404=0,0,
-(($O404+($P404)*(1-SRP_Contrib_Chge_SP)+Q404/2)*(SRP_Monthly_Admin_Chge+$M404+$N404)*IF(D404=$A$91,SRP_finalmonthfactor,1)+
($P404)*SRP_Contrib_Chge_SP)*IF(D404=$A$91,SRP_finalmonthfactor,1))</f>
        <v>0</v>
      </c>
      <c r="S404" s="16">
        <f>(SRP_SP+SUM(S$91:S403))*L404*IF(D404=$A$91,SRP_finalmonthfactor,1)</f>
        <v>0</v>
      </c>
      <c r="T404" s="74">
        <f>MIN(IF($AV404=0,0,
IF(Investment_Strategy="DIS",VLOOKUP(Investment_Strategy&amp;"_"&amp;Investment_Strategy_Sub1&amp;"_"&amp;$A404,'Investment Strategies'!$AZ:$BP,12,FALSE),
IF(AND(Investment_Strategy="Lifecycle",Investment_Strategy_Sub1="Non-Standard"),VLOOKUP(Investment_Strategy&amp;"_"&amp;Investment_Strategy_Sub2&amp;"_"&amp;$A404,'Investment Strategies'!$C:$P,9,FALSE),
IF(AND(Investment_Strategy="Lifecycle",Investment_Strategy_Sub1="Standard"),VLOOKUP(Investment_Strategy&amp;"_"&amp;Investment_Strategy_Sub2&amp;"_"&amp;$A404,'Investment Strategies'!$AJ:$AV,8,FALSE),
IF(AND(Investment_Strategy="Autopilot",Investment_Strategy_Sub1="Non-Standard"),VLOOKUP(Investment_Strategy&amp;"_"&amp;Investment_Strategy_Sub2&amp;"_"&amp;$A404,'Investment Strategies'!$T:$AF,8,FALSE),
IF(Investment_Strategy ="DIY",DIY_RateOfReturn_FuturePremiums,
"Error")))))),Max_InvReturn)</f>
        <v>0</v>
      </c>
      <c r="U404" s="62">
        <f>IF($AV404=0,0,
IF(Investment_Strategy="DIS",VLOOKUP(Investment_Strategy&amp;"_"&amp;Investment_Strategy_Sub1&amp;"_"&amp;$A404,'Investment Strategies'!$AZ:$BP,15,FALSE),
IF(AND(Investment_Strategy="Lifecycle",Investment_Strategy_Sub1="Non-Standard"),VLOOKUP(Investment_Strategy&amp;"_"&amp;Investment_Strategy_Sub2&amp;"_"&amp;$A404,'Investment Strategies'!$C:$P,12,FALSE),
IF(AND(Investment_Strategy="Lifecycle",Investment_Strategy_Sub1="Standard"),VLOOKUP(Investment_Strategy&amp;"_"&amp;Investment_Strategy_Sub2&amp;"_"&amp;$A404,'Investment Strategies'!$AJ:$AV,11,FALSE),
IF(AND(Investment_Strategy="Autopilot",Investment_Strategy_Sub1="Non-Standard"),VLOOKUP(Investment_Strategy&amp;"_"&amp;Investment_Strategy_Sub2&amp;"_"&amp;$A404,'Investment Strategies'!$T:$AF,11,FALSE),
IF(Investment_Strategy="DIY",DIY_GteeChrge_FuturePremiums,
"Error"))))))</f>
        <v>0</v>
      </c>
      <c r="V404" s="33">
        <f>IF(AV404=0,0,
IF(Investment_Strategy="DIS",VLOOKUP(Investment_Strategy&amp;"_"&amp;Investment_Strategy_Sub1&amp;"_"&amp;$A404,'Investment Strategies'!$AZ:$BP,17,FALSE),
IF(AND(Investment_Strategy="Lifecycle",Investment_Strategy_Sub1="Non-Standard"),VLOOKUP(Investment_Strategy&amp;"_"&amp;Investment_Strategy_Sub2&amp;"_"&amp;$A404,'Investment Strategies'!$C:$P,14,FALSE),
IF(AND(Investment_Strategy="Lifecycle",Investment_Strategy_Sub1="Standard"),VLOOKUP(Investment_Strategy&amp;"_"&amp;Investment_Strategy_Sub2&amp;"_"&amp;$A404,'Investment Strategies'!$AJ:$AV,13,FALSE),
IF(AND(Investment_Strategy="Autopilot",Investment_Strategy_Sub1="Non-Standard"),VLOOKUP(Investment_Strategy&amp;"_"&amp;Investment_Strategy_Sub2&amp;"_"&amp;$A404,'Investment Strategies'!$T:$AF,13,FALSE),
IF(Investment_Strategy="DIY",DIY_ExtManChrge_FuturePremiums,
"Error"))))))</f>
        <v>0</v>
      </c>
      <c r="W404" s="16">
        <f t="shared" si="231"/>
        <v>0</v>
      </c>
      <c r="X404" s="16">
        <f t="shared" si="208"/>
        <v>0</v>
      </c>
      <c r="Y404" s="16">
        <f t="shared" si="209"/>
        <v>0</v>
      </c>
      <c r="Z404" s="31">
        <f t="shared" si="210"/>
        <v>0.02</v>
      </c>
      <c r="AA404" s="16">
        <f t="shared" si="211"/>
        <v>0</v>
      </c>
      <c r="AB404" s="28">
        <f t="shared" si="232"/>
        <v>0</v>
      </c>
      <c r="AC404" s="28">
        <f>(SUM($AC$91:AC403)+SUM($X$91:X403)+X404)*T404*IF(D404=$A$91,SRP_finalmonthfactor,1)</f>
        <v>0</v>
      </c>
      <c r="AD404" s="16">
        <f t="shared" si="212"/>
        <v>0</v>
      </c>
      <c r="AE404" s="106"/>
      <c r="AF404" s="16">
        <f t="shared" si="220"/>
        <v>0</v>
      </c>
      <c r="AG404" s="16">
        <f t="shared" si="221"/>
        <v>0</v>
      </c>
      <c r="AH404" s="16">
        <f t="shared" si="222"/>
        <v>0</v>
      </c>
      <c r="AJ404" s="13">
        <f t="shared" si="238"/>
        <v>0</v>
      </c>
      <c r="AK404" s="13">
        <f t="shared" si="238"/>
        <v>0</v>
      </c>
      <c r="AL404" s="13">
        <f t="shared" si="238"/>
        <v>0</v>
      </c>
      <c r="AM404" s="13">
        <f t="shared" si="238"/>
        <v>0</v>
      </c>
      <c r="AN404" s="13">
        <f t="shared" si="238"/>
        <v>0</v>
      </c>
      <c r="AO404" s="13">
        <f t="shared" si="238"/>
        <v>1</v>
      </c>
      <c r="AP404" s="13">
        <f t="shared" si="238"/>
        <v>1</v>
      </c>
      <c r="AQ404" s="13">
        <f t="shared" si="238"/>
        <v>1</v>
      </c>
      <c r="AR404" s="13">
        <f t="shared" si="238"/>
        <v>0</v>
      </c>
      <c r="AS404" s="13">
        <f t="shared" si="238"/>
        <v>1</v>
      </c>
      <c r="AT404" s="13">
        <f t="shared" si="238"/>
        <v>1</v>
      </c>
      <c r="AU404" s="13">
        <f t="shared" si="238"/>
        <v>1</v>
      </c>
      <c r="AV404" s="13">
        <f t="shared" si="213"/>
        <v>0</v>
      </c>
      <c r="AW404" s="13">
        <f t="shared" si="214"/>
        <v>1</v>
      </c>
      <c r="AY404" s="17">
        <f t="shared" si="215"/>
        <v>314</v>
      </c>
      <c r="AZ404" s="28">
        <f t="shared" si="223"/>
        <v>0</v>
      </c>
      <c r="BA404" s="13">
        <f t="shared" si="216"/>
        <v>0</v>
      </c>
      <c r="BB404" s="13">
        <f t="shared" si="217"/>
        <v>0</v>
      </c>
      <c r="BC404" s="28">
        <f t="shared" si="224"/>
        <v>0</v>
      </c>
      <c r="BD404" s="28">
        <f t="shared" si="225"/>
        <v>0</v>
      </c>
      <c r="BF404" s="248">
        <f t="shared" si="226"/>
        <v>993869.29442638322</v>
      </c>
    </row>
    <row r="405" spans="1:58">
      <c r="A405" s="32">
        <f t="shared" si="227"/>
        <v>-230</v>
      </c>
      <c r="B405" s="32">
        <f t="shared" si="218"/>
        <v>79</v>
      </c>
      <c r="C405" s="32">
        <f t="shared" si="228"/>
        <v>27</v>
      </c>
      <c r="D405" s="32">
        <f t="shared" si="229"/>
        <v>315</v>
      </c>
      <c r="E405" s="74">
        <f>MIN(IF(AV405=0,0,
IF(Investment_Strategy="DIS",VLOOKUP(Investment_Strategy&amp;"_"&amp;Investment_Strategy_Sub1&amp;"_"&amp;$A405,'Investment Strategies'!$AZ:$BP,12,FALSE),
IF(AND(Investment_Strategy="Lifecycle",Investment_Strategy_Sub1="Non-Standard"),VLOOKUP(Investment_Strategy&amp;"_"&amp;Investment_Strategy_Sub2&amp;"_"&amp;$A405,'Investment Strategies'!$C:$P,9,FALSE),
IF(AND(Investment_Strategy="Lifecycle",Investment_Strategy_Sub1="Standard"),VLOOKUP(Investment_Strategy&amp;"_"&amp;Investment_Strategy_Sub2&amp;"_"&amp;$A405,'Investment Strategies'!$AJ:$AV,8,FALSE),
IF(AND(Investment_Strategy="Autopilot",Investment_Strategy_Sub1="Non-Standard"),VLOOKUP(Investment_Strategy&amp;"_"&amp;Investment_Strategy_Sub2&amp;"_"&amp;$A405,'Investment Strategies'!$T:$AF,8,FALSE),
IF(Investment_Strategy ="DIY",DIY_RateOfReturn_CurrentFunds,
"Error")))))),Max_InvReturn)</f>
        <v>0</v>
      </c>
      <c r="F405" s="62">
        <f>IF(AV405=0,0,
IF(Investment_Strategy="DIS",VLOOKUP(Investment_Strategy&amp;"_"&amp;Investment_Strategy_Sub1&amp;"_"&amp;$A405,'Investment Strategies'!$AZ:$BP,15,FALSE),
IF(AND(Investment_Strategy="Lifecycle",Investment_Strategy_Sub1="Non-Standard"),VLOOKUP(Investment_Strategy&amp;"_"&amp;Investment_Strategy_Sub2&amp;"_"&amp;$A405,'Investment Strategies'!$C:$P,12,FALSE),
IF(AND(Investment_Strategy="Lifecycle",Investment_Strategy_Sub1="Standard"),VLOOKUP(Investment_Strategy&amp;"_"&amp;Investment_Strategy_Sub2&amp;"_"&amp;$A405,'Investment Strategies'!$AJ:$AV,11,FALSE),
IF(AND(Investment_Strategy="Autopilot",Investment_Strategy_Sub1="Non-Standard"),VLOOKUP(Investment_Strategy&amp;"_"&amp;Investment_Strategy_Sub2&amp;"_"&amp;$A405,'Investment Strategies'!$T:$AF,11,FALSE),
IF(Investment_Strategy="DIY",DIY_GteeChrge_CurrentFunds,
"Error"))))))</f>
        <v>0</v>
      </c>
      <c r="G405" s="33">
        <f>IF(AV405=0,0,
IF(Investment_Strategy="DIS",VLOOKUP(Investment_Strategy&amp;"_"&amp;Investment_Strategy_Sub1&amp;"_"&amp;$A405,'Investment Strategies'!$AZ:$BP,17,FALSE),
IF(AND(Investment_Strategy="Lifecycle",Investment_Strategy_Sub1="Non-Standard"),VLOOKUP(Investment_Strategy&amp;"_"&amp;Investment_Strategy_Sub2&amp;"_"&amp;$A405,'Investment Strategies'!$C:$P,14,FALSE),
IF(AND(Investment_Strategy="Lifecycle",Investment_Strategy_Sub1="Standard"),VLOOKUP(Investment_Strategy&amp;"_"&amp;Investment_Strategy_Sub2&amp;"_"&amp;$A405,'Investment Strategies'!$AJ:$AV,13,FALSE),
IF(AND(Investment_Strategy="Autopilot",Investment_Strategy_Sub1="Non-Standard"),VLOOKUP(Investment_Strategy&amp;"_"&amp;Investment_Strategy_Sub2&amp;"_"&amp;$A405,'Investment Strategies'!$T:$AF,13,FALSE),
IF(Investment_Strategy="DIY",DIY_ExtManChrge_CurrentFunds,
"Error"))))))</f>
        <v>0</v>
      </c>
      <c r="H405" s="16">
        <f t="shared" si="219"/>
        <v>0</v>
      </c>
      <c r="I405" s="16">
        <f t="shared" si="205"/>
        <v>0</v>
      </c>
      <c r="J405" s="16">
        <f t="shared" si="206"/>
        <v>0</v>
      </c>
      <c r="K405" s="16">
        <f>(Opening_Fund_Value+SUM(K$91:K404))*E405*IF(D405=$A$91,SRP_finalmonthfactor,1)</f>
        <v>0</v>
      </c>
      <c r="L405" s="74">
        <f>MIN(IF($AV405=0,0,
IF(Investment_Strategy="DIS",VLOOKUP(Investment_Strategy&amp;"_"&amp;Investment_Strategy_Sub1&amp;"_"&amp;$A405,'Investment Strategies'!$AZ:$BP,12,FALSE),
IF(AND(Investment_Strategy="Lifecycle",Investment_Strategy_Sub1="Non-Standard"),VLOOKUP(Investment_Strategy&amp;"_"&amp;Investment_Strategy_Sub2&amp;"_"&amp;$A405,'Investment Strategies'!$C:$P,9,FALSE),
IF(AND(Investment_Strategy="Lifecycle",Investment_Strategy_Sub1="Standard"),VLOOKUP(Investment_Strategy&amp;"_"&amp;Investment_Strategy_Sub2&amp;"_"&amp;$A405,'Investment Strategies'!$AJ:$AV,8,FALSE),
IF(AND(Investment_Strategy="Autopilot",Investment_Strategy_Sub1="Non-Standard"),VLOOKUP(Investment_Strategy&amp;"_"&amp;Investment_Strategy_Sub2&amp;"_"&amp;$A405,'Investment Strategies'!$T:$AF,8,FALSE),
IF(Investment_Strategy ="DIY",DIY_RateofReturn_SP,
"Error")))))),Max_InvReturn)</f>
        <v>0</v>
      </c>
      <c r="M405" s="62">
        <f>IF($AV405=0,0,
IF(Investment_Strategy="DIS",VLOOKUP(Investment_Strategy&amp;"_"&amp;Investment_Strategy_Sub1&amp;"_"&amp;$A405,'Investment Strategies'!$AZ:$BP,15,FALSE),
IF(AND(Investment_Strategy="Lifecycle",Investment_Strategy_Sub1="Non-Standard"),VLOOKUP(Investment_Strategy&amp;"_"&amp;Investment_Strategy_Sub2&amp;"_"&amp;$A405,'Investment Strategies'!$C:$P,12,FALSE),
IF(AND(Investment_Strategy="Lifecycle",Investment_Strategy_Sub1="Standard"),VLOOKUP(Investment_Strategy&amp;"_"&amp;Investment_Strategy_Sub2&amp;"_"&amp;$A405,'Investment Strategies'!$AJ:$AV,11,FALSE),
IF(AND(Investment_Strategy="Autopilot",Investment_Strategy_Sub1="Non-Standard"),VLOOKUP(Investment_Strategy&amp;"_"&amp;Investment_Strategy_Sub2&amp;"_"&amp;$A405,'Investment Strategies'!$T:$AF,11,FALSE),
IF(Investment_Strategy="DIY",DIY_GteeChrge_SP,
"Error"))))))</f>
        <v>0</v>
      </c>
      <c r="N405" s="33">
        <f>IF($AV405=0,0,
IF(Investment_Strategy="DIS",VLOOKUP(Investment_Strategy&amp;"_"&amp;Investment_Strategy_Sub1&amp;"_"&amp;$A405,'Investment Strategies'!$AZ:$BP,17,FALSE),
IF(AND(Investment_Strategy="Lifecycle",Investment_Strategy_Sub1="Non-Standard"),VLOOKUP(Investment_Strategy&amp;"_"&amp;Investment_Strategy_Sub2&amp;"_"&amp;$A405,'Investment Strategies'!$C:$P,14,FALSE),
IF(AND(Investment_Strategy="Lifecycle",Investment_Strategy_Sub1="Standard"),VLOOKUP(Investment_Strategy&amp;"_"&amp;Investment_Strategy_Sub2&amp;"_"&amp;$A405,'Investment Strategies'!$AJ:$AV,13,FALSE),
IF(AND(Investment_Strategy="Autopilot",Investment_Strategy_Sub1="Non-Standard"),VLOOKUP(Investment_Strategy&amp;"_"&amp;Investment_Strategy_Sub2&amp;"_"&amp;$A405,'Investment Strategies'!$T:$AF,13,FALSE),
IF(Investment_Strategy="DIY",DIY_ExtManChrge_SP,
"Error"))))))</f>
        <v>0</v>
      </c>
      <c r="O405" s="16">
        <f t="shared" si="230"/>
        <v>0</v>
      </c>
      <c r="Q405" s="16">
        <f t="shared" si="207"/>
        <v>0</v>
      </c>
      <c r="R405" s="16">
        <f t="shared" si="239"/>
        <v>0</v>
      </c>
      <c r="S405" s="16">
        <f>(SRP_SP+SUM(S$91:S404))*L405*IF(D405=$A$91,SRP_finalmonthfactor,1)</f>
        <v>0</v>
      </c>
      <c r="T405" s="74">
        <f>MIN(IF($AV405=0,0,
IF(Investment_Strategy="DIS",VLOOKUP(Investment_Strategy&amp;"_"&amp;Investment_Strategy_Sub1&amp;"_"&amp;$A405,'Investment Strategies'!$AZ:$BP,12,FALSE),
IF(AND(Investment_Strategy="Lifecycle",Investment_Strategy_Sub1="Non-Standard"),VLOOKUP(Investment_Strategy&amp;"_"&amp;Investment_Strategy_Sub2&amp;"_"&amp;$A405,'Investment Strategies'!$C:$P,9,FALSE),
IF(AND(Investment_Strategy="Lifecycle",Investment_Strategy_Sub1="Standard"),VLOOKUP(Investment_Strategy&amp;"_"&amp;Investment_Strategy_Sub2&amp;"_"&amp;$A405,'Investment Strategies'!$AJ:$AV,8,FALSE),
IF(AND(Investment_Strategy="Autopilot",Investment_Strategy_Sub1="Non-Standard"),VLOOKUP(Investment_Strategy&amp;"_"&amp;Investment_Strategy_Sub2&amp;"_"&amp;$A405,'Investment Strategies'!$T:$AF,8,FALSE),
IF(Investment_Strategy ="DIY",DIY_RateOfReturn_FuturePremiums,
"Error")))))),Max_InvReturn)</f>
        <v>0</v>
      </c>
      <c r="U405" s="62">
        <f>IF($AV405=0,0,
IF(Investment_Strategy="DIS",VLOOKUP(Investment_Strategy&amp;"_"&amp;Investment_Strategy_Sub1&amp;"_"&amp;$A405,'Investment Strategies'!$AZ:$BP,15,FALSE),
IF(AND(Investment_Strategy="Lifecycle",Investment_Strategy_Sub1="Non-Standard"),VLOOKUP(Investment_Strategy&amp;"_"&amp;Investment_Strategy_Sub2&amp;"_"&amp;$A405,'Investment Strategies'!$C:$P,12,FALSE),
IF(AND(Investment_Strategy="Lifecycle",Investment_Strategy_Sub1="Standard"),VLOOKUP(Investment_Strategy&amp;"_"&amp;Investment_Strategy_Sub2&amp;"_"&amp;$A405,'Investment Strategies'!$AJ:$AV,11,FALSE),
IF(AND(Investment_Strategy="Autopilot",Investment_Strategy_Sub1="Non-Standard"),VLOOKUP(Investment_Strategy&amp;"_"&amp;Investment_Strategy_Sub2&amp;"_"&amp;$A405,'Investment Strategies'!$T:$AF,11,FALSE),
IF(Investment_Strategy="DIY",DIY_GteeChrge_FuturePremiums,
"Error"))))))</f>
        <v>0</v>
      </c>
      <c r="V405" s="33">
        <f>IF(AV405=0,0,
IF(Investment_Strategy="DIS",VLOOKUP(Investment_Strategy&amp;"_"&amp;Investment_Strategy_Sub1&amp;"_"&amp;$A405,'Investment Strategies'!$AZ:$BP,17,FALSE),
IF(AND(Investment_Strategy="Lifecycle",Investment_Strategy_Sub1="Non-Standard"),VLOOKUP(Investment_Strategy&amp;"_"&amp;Investment_Strategy_Sub2&amp;"_"&amp;$A405,'Investment Strategies'!$C:$P,14,FALSE),
IF(AND(Investment_Strategy="Lifecycle",Investment_Strategy_Sub1="Standard"),VLOOKUP(Investment_Strategy&amp;"_"&amp;Investment_Strategy_Sub2&amp;"_"&amp;$A405,'Investment Strategies'!$AJ:$AV,13,FALSE),
IF(AND(Investment_Strategy="Autopilot",Investment_Strategy_Sub1="Non-Standard"),VLOOKUP(Investment_Strategy&amp;"_"&amp;Investment_Strategy_Sub2&amp;"_"&amp;$A405,'Investment Strategies'!$T:$AF,13,FALSE),
IF(Investment_Strategy="DIY",DIY_ExtManChrge_FuturePremiums,
"Error"))))))</f>
        <v>0</v>
      </c>
      <c r="W405" s="16">
        <f t="shared" si="231"/>
        <v>0</v>
      </c>
      <c r="X405" s="16">
        <f t="shared" si="208"/>
        <v>0</v>
      </c>
      <c r="Y405" s="16">
        <f t="shared" si="209"/>
        <v>0</v>
      </c>
      <c r="Z405" s="31">
        <f t="shared" si="210"/>
        <v>0.02</v>
      </c>
      <c r="AA405" s="16">
        <f t="shared" si="211"/>
        <v>0</v>
      </c>
      <c r="AB405" s="28">
        <f t="shared" si="232"/>
        <v>0</v>
      </c>
      <c r="AC405" s="28">
        <f>(SUM($AC$91:AC404)+SUM($X$91:X404)+X405)*T405*IF(D405=$A$91,SRP_finalmonthfactor,1)</f>
        <v>0</v>
      </c>
      <c r="AD405" s="16">
        <f t="shared" si="212"/>
        <v>0</v>
      </c>
      <c r="AE405" s="106"/>
      <c r="AF405" s="16">
        <f t="shared" si="220"/>
        <v>0</v>
      </c>
      <c r="AG405" s="16">
        <f t="shared" si="221"/>
        <v>0</v>
      </c>
      <c r="AH405" s="16">
        <f t="shared" si="222"/>
        <v>0</v>
      </c>
      <c r="AJ405" s="13">
        <f t="shared" si="238"/>
        <v>0</v>
      </c>
      <c r="AK405" s="13">
        <f t="shared" si="238"/>
        <v>0</v>
      </c>
      <c r="AL405" s="13">
        <f t="shared" si="238"/>
        <v>0</v>
      </c>
      <c r="AM405" s="13">
        <f t="shared" si="238"/>
        <v>0</v>
      </c>
      <c r="AN405" s="13">
        <f t="shared" si="238"/>
        <v>0</v>
      </c>
      <c r="AO405" s="13">
        <f t="shared" si="238"/>
        <v>1</v>
      </c>
      <c r="AP405" s="13">
        <f t="shared" si="238"/>
        <v>1</v>
      </c>
      <c r="AQ405" s="13">
        <f t="shared" si="238"/>
        <v>1</v>
      </c>
      <c r="AR405" s="13">
        <f t="shared" si="238"/>
        <v>0</v>
      </c>
      <c r="AS405" s="13">
        <f t="shared" si="238"/>
        <v>1</v>
      </c>
      <c r="AT405" s="13">
        <f t="shared" si="238"/>
        <v>1</v>
      </c>
      <c r="AU405" s="13">
        <f t="shared" si="238"/>
        <v>1</v>
      </c>
      <c r="AV405" s="13">
        <f t="shared" si="213"/>
        <v>0</v>
      </c>
      <c r="AW405" s="13">
        <f t="shared" si="214"/>
        <v>1</v>
      </c>
      <c r="AY405" s="17">
        <f t="shared" si="215"/>
        <v>315</v>
      </c>
      <c r="AZ405" s="28">
        <f t="shared" si="223"/>
        <v>0</v>
      </c>
      <c r="BA405" s="13">
        <f t="shared" si="216"/>
        <v>0</v>
      </c>
      <c r="BB405" s="13">
        <f t="shared" si="217"/>
        <v>0</v>
      </c>
      <c r="BC405" s="28">
        <f t="shared" si="224"/>
        <v>0</v>
      </c>
      <c r="BD405" s="28">
        <f t="shared" si="225"/>
        <v>0</v>
      </c>
      <c r="BF405" s="248">
        <f t="shared" si="226"/>
        <v>993869.29442638322</v>
      </c>
    </row>
    <row r="406" spans="1:58">
      <c r="A406" s="32">
        <f t="shared" si="227"/>
        <v>-231</v>
      </c>
      <c r="B406" s="32">
        <f t="shared" si="218"/>
        <v>79</v>
      </c>
      <c r="C406" s="32">
        <f t="shared" si="228"/>
        <v>27</v>
      </c>
      <c r="D406" s="32">
        <f t="shared" si="229"/>
        <v>316</v>
      </c>
      <c r="E406" s="74">
        <f>MIN(IF(AV406=0,0,
IF(Investment_Strategy="DIS",VLOOKUP(Investment_Strategy&amp;"_"&amp;Investment_Strategy_Sub1&amp;"_"&amp;$A406,'Investment Strategies'!$AZ:$BP,12,FALSE),
IF(AND(Investment_Strategy="Lifecycle",Investment_Strategy_Sub1="Non-Standard"),VLOOKUP(Investment_Strategy&amp;"_"&amp;Investment_Strategy_Sub2&amp;"_"&amp;$A406,'Investment Strategies'!$C:$P,9,FALSE),
IF(AND(Investment_Strategy="Lifecycle",Investment_Strategy_Sub1="Standard"),VLOOKUP(Investment_Strategy&amp;"_"&amp;Investment_Strategy_Sub2&amp;"_"&amp;$A406,'Investment Strategies'!$AJ:$AV,8,FALSE),
IF(AND(Investment_Strategy="Autopilot",Investment_Strategy_Sub1="Non-Standard"),VLOOKUP(Investment_Strategy&amp;"_"&amp;Investment_Strategy_Sub2&amp;"_"&amp;$A406,'Investment Strategies'!$T:$AF,8,FALSE),
IF(Investment_Strategy ="DIY",DIY_RateOfReturn_CurrentFunds,
"Error")))))),Max_InvReturn)</f>
        <v>0</v>
      </c>
      <c r="F406" s="62">
        <f>IF(AV406=0,0,
IF(Investment_Strategy="DIS",VLOOKUP(Investment_Strategy&amp;"_"&amp;Investment_Strategy_Sub1&amp;"_"&amp;$A406,'Investment Strategies'!$AZ:$BP,15,FALSE),
IF(AND(Investment_Strategy="Lifecycle",Investment_Strategy_Sub1="Non-Standard"),VLOOKUP(Investment_Strategy&amp;"_"&amp;Investment_Strategy_Sub2&amp;"_"&amp;$A406,'Investment Strategies'!$C:$P,12,FALSE),
IF(AND(Investment_Strategy="Lifecycle",Investment_Strategy_Sub1="Standard"),VLOOKUP(Investment_Strategy&amp;"_"&amp;Investment_Strategy_Sub2&amp;"_"&amp;$A406,'Investment Strategies'!$AJ:$AV,11,FALSE),
IF(AND(Investment_Strategy="Autopilot",Investment_Strategy_Sub1="Non-Standard"),VLOOKUP(Investment_Strategy&amp;"_"&amp;Investment_Strategy_Sub2&amp;"_"&amp;$A406,'Investment Strategies'!$T:$AF,11,FALSE),
IF(Investment_Strategy="DIY",DIY_GteeChrge_CurrentFunds,
"Error"))))))</f>
        <v>0</v>
      </c>
      <c r="G406" s="33">
        <f>IF(AV406=0,0,
IF(Investment_Strategy="DIS",VLOOKUP(Investment_Strategy&amp;"_"&amp;Investment_Strategy_Sub1&amp;"_"&amp;$A406,'Investment Strategies'!$AZ:$BP,17,FALSE),
IF(AND(Investment_Strategy="Lifecycle",Investment_Strategy_Sub1="Non-Standard"),VLOOKUP(Investment_Strategy&amp;"_"&amp;Investment_Strategy_Sub2&amp;"_"&amp;$A406,'Investment Strategies'!$C:$P,14,FALSE),
IF(AND(Investment_Strategy="Lifecycle",Investment_Strategy_Sub1="Standard"),VLOOKUP(Investment_Strategy&amp;"_"&amp;Investment_Strategy_Sub2&amp;"_"&amp;$A406,'Investment Strategies'!$AJ:$AV,13,FALSE),
IF(AND(Investment_Strategy="Autopilot",Investment_Strategy_Sub1="Non-Standard"),VLOOKUP(Investment_Strategy&amp;"_"&amp;Investment_Strategy_Sub2&amp;"_"&amp;$A406,'Investment Strategies'!$T:$AF,13,FALSE),
IF(Investment_Strategy="DIY",DIY_ExtManChrge_CurrentFunds,
"Error"))))))</f>
        <v>0</v>
      </c>
      <c r="H406" s="16">
        <f t="shared" si="219"/>
        <v>0</v>
      </c>
      <c r="I406" s="16">
        <f t="shared" si="205"/>
        <v>0</v>
      </c>
      <c r="J406" s="16">
        <f t="shared" si="206"/>
        <v>0</v>
      </c>
      <c r="K406" s="16">
        <f>(Opening_Fund_Value+SUM(K$91:K405))*E406*IF(D406=$A$91,SRP_finalmonthfactor,1)</f>
        <v>0</v>
      </c>
      <c r="L406" s="74">
        <f>MIN(IF($AV406=0,0,
IF(Investment_Strategy="DIS",VLOOKUP(Investment_Strategy&amp;"_"&amp;Investment_Strategy_Sub1&amp;"_"&amp;$A406,'Investment Strategies'!$AZ:$BP,12,FALSE),
IF(AND(Investment_Strategy="Lifecycle",Investment_Strategy_Sub1="Non-Standard"),VLOOKUP(Investment_Strategy&amp;"_"&amp;Investment_Strategy_Sub2&amp;"_"&amp;$A406,'Investment Strategies'!$C:$P,9,FALSE),
IF(AND(Investment_Strategy="Lifecycle",Investment_Strategy_Sub1="Standard"),VLOOKUP(Investment_Strategy&amp;"_"&amp;Investment_Strategy_Sub2&amp;"_"&amp;$A406,'Investment Strategies'!$AJ:$AV,8,FALSE),
IF(AND(Investment_Strategy="Autopilot",Investment_Strategy_Sub1="Non-Standard"),VLOOKUP(Investment_Strategy&amp;"_"&amp;Investment_Strategy_Sub2&amp;"_"&amp;$A406,'Investment Strategies'!$T:$AF,8,FALSE),
IF(Investment_Strategy ="DIY",DIY_RateofReturn_SP,
"Error")))))),Max_InvReturn)</f>
        <v>0</v>
      </c>
      <c r="M406" s="62">
        <f>IF($AV406=0,0,
IF(Investment_Strategy="DIS",VLOOKUP(Investment_Strategy&amp;"_"&amp;Investment_Strategy_Sub1&amp;"_"&amp;$A406,'Investment Strategies'!$AZ:$BP,15,FALSE),
IF(AND(Investment_Strategy="Lifecycle",Investment_Strategy_Sub1="Non-Standard"),VLOOKUP(Investment_Strategy&amp;"_"&amp;Investment_Strategy_Sub2&amp;"_"&amp;$A406,'Investment Strategies'!$C:$P,12,FALSE),
IF(AND(Investment_Strategy="Lifecycle",Investment_Strategy_Sub1="Standard"),VLOOKUP(Investment_Strategy&amp;"_"&amp;Investment_Strategy_Sub2&amp;"_"&amp;$A406,'Investment Strategies'!$AJ:$AV,11,FALSE),
IF(AND(Investment_Strategy="Autopilot",Investment_Strategy_Sub1="Non-Standard"),VLOOKUP(Investment_Strategy&amp;"_"&amp;Investment_Strategy_Sub2&amp;"_"&amp;$A406,'Investment Strategies'!$T:$AF,11,FALSE),
IF(Investment_Strategy="DIY",DIY_GteeChrge_SP,
"Error"))))))</f>
        <v>0</v>
      </c>
      <c r="N406" s="33">
        <f>IF($AV406=0,0,
IF(Investment_Strategy="DIS",VLOOKUP(Investment_Strategy&amp;"_"&amp;Investment_Strategy_Sub1&amp;"_"&amp;$A406,'Investment Strategies'!$AZ:$BP,17,FALSE),
IF(AND(Investment_Strategy="Lifecycle",Investment_Strategy_Sub1="Non-Standard"),VLOOKUP(Investment_Strategy&amp;"_"&amp;Investment_Strategy_Sub2&amp;"_"&amp;$A406,'Investment Strategies'!$C:$P,14,FALSE),
IF(AND(Investment_Strategy="Lifecycle",Investment_Strategy_Sub1="Standard"),VLOOKUP(Investment_Strategy&amp;"_"&amp;Investment_Strategy_Sub2&amp;"_"&amp;$A406,'Investment Strategies'!$AJ:$AV,13,FALSE),
IF(AND(Investment_Strategy="Autopilot",Investment_Strategy_Sub1="Non-Standard"),VLOOKUP(Investment_Strategy&amp;"_"&amp;Investment_Strategy_Sub2&amp;"_"&amp;$A406,'Investment Strategies'!$T:$AF,13,FALSE),
IF(Investment_Strategy="DIY",DIY_ExtManChrge_SP,
"Error"))))))</f>
        <v>0</v>
      </c>
      <c r="O406" s="16">
        <f t="shared" si="230"/>
        <v>0</v>
      </c>
      <c r="Q406" s="16">
        <f t="shared" si="207"/>
        <v>0</v>
      </c>
      <c r="R406" s="16">
        <f t="shared" si="239"/>
        <v>0</v>
      </c>
      <c r="S406" s="16">
        <f>(SRP_SP+SUM(S$91:S405))*L406*IF(D406=$A$91,SRP_finalmonthfactor,1)</f>
        <v>0</v>
      </c>
      <c r="T406" s="74">
        <f>MIN(IF($AV406=0,0,
IF(Investment_Strategy="DIS",VLOOKUP(Investment_Strategy&amp;"_"&amp;Investment_Strategy_Sub1&amp;"_"&amp;$A406,'Investment Strategies'!$AZ:$BP,12,FALSE),
IF(AND(Investment_Strategy="Lifecycle",Investment_Strategy_Sub1="Non-Standard"),VLOOKUP(Investment_Strategy&amp;"_"&amp;Investment_Strategy_Sub2&amp;"_"&amp;$A406,'Investment Strategies'!$C:$P,9,FALSE),
IF(AND(Investment_Strategy="Lifecycle",Investment_Strategy_Sub1="Standard"),VLOOKUP(Investment_Strategy&amp;"_"&amp;Investment_Strategy_Sub2&amp;"_"&amp;$A406,'Investment Strategies'!$AJ:$AV,8,FALSE),
IF(AND(Investment_Strategy="Autopilot",Investment_Strategy_Sub1="Non-Standard"),VLOOKUP(Investment_Strategy&amp;"_"&amp;Investment_Strategy_Sub2&amp;"_"&amp;$A406,'Investment Strategies'!$T:$AF,8,FALSE),
IF(Investment_Strategy ="DIY",DIY_RateOfReturn_FuturePremiums,
"Error")))))),Max_InvReturn)</f>
        <v>0</v>
      </c>
      <c r="U406" s="62">
        <f>IF($AV406=0,0,
IF(Investment_Strategy="DIS",VLOOKUP(Investment_Strategy&amp;"_"&amp;Investment_Strategy_Sub1&amp;"_"&amp;$A406,'Investment Strategies'!$AZ:$BP,15,FALSE),
IF(AND(Investment_Strategy="Lifecycle",Investment_Strategy_Sub1="Non-Standard"),VLOOKUP(Investment_Strategy&amp;"_"&amp;Investment_Strategy_Sub2&amp;"_"&amp;$A406,'Investment Strategies'!$C:$P,12,FALSE),
IF(AND(Investment_Strategy="Lifecycle",Investment_Strategy_Sub1="Standard"),VLOOKUP(Investment_Strategy&amp;"_"&amp;Investment_Strategy_Sub2&amp;"_"&amp;$A406,'Investment Strategies'!$AJ:$AV,11,FALSE),
IF(AND(Investment_Strategy="Autopilot",Investment_Strategy_Sub1="Non-Standard"),VLOOKUP(Investment_Strategy&amp;"_"&amp;Investment_Strategy_Sub2&amp;"_"&amp;$A406,'Investment Strategies'!$T:$AF,11,FALSE),
IF(Investment_Strategy="DIY",DIY_GteeChrge_FuturePremiums,
"Error"))))))</f>
        <v>0</v>
      </c>
      <c r="V406" s="33">
        <f>IF(AV406=0,0,
IF(Investment_Strategy="DIS",VLOOKUP(Investment_Strategy&amp;"_"&amp;Investment_Strategy_Sub1&amp;"_"&amp;$A406,'Investment Strategies'!$AZ:$BP,17,FALSE),
IF(AND(Investment_Strategy="Lifecycle",Investment_Strategy_Sub1="Non-Standard"),VLOOKUP(Investment_Strategy&amp;"_"&amp;Investment_Strategy_Sub2&amp;"_"&amp;$A406,'Investment Strategies'!$C:$P,14,FALSE),
IF(AND(Investment_Strategy="Lifecycle",Investment_Strategy_Sub1="Standard"),VLOOKUP(Investment_Strategy&amp;"_"&amp;Investment_Strategy_Sub2&amp;"_"&amp;$A406,'Investment Strategies'!$AJ:$AV,13,FALSE),
IF(AND(Investment_Strategy="Autopilot",Investment_Strategy_Sub1="Non-Standard"),VLOOKUP(Investment_Strategy&amp;"_"&amp;Investment_Strategy_Sub2&amp;"_"&amp;$A406,'Investment Strategies'!$T:$AF,13,FALSE),
IF(Investment_Strategy="DIY",DIY_ExtManChrge_FuturePremiums,
"Error"))))))</f>
        <v>0</v>
      </c>
      <c r="W406" s="16">
        <f t="shared" si="231"/>
        <v>0</v>
      </c>
      <c r="X406" s="16">
        <f t="shared" si="208"/>
        <v>0</v>
      </c>
      <c r="Y406" s="16">
        <f t="shared" si="209"/>
        <v>0</v>
      </c>
      <c r="Z406" s="31">
        <f t="shared" si="210"/>
        <v>0.02</v>
      </c>
      <c r="AA406" s="16">
        <f t="shared" si="211"/>
        <v>0</v>
      </c>
      <c r="AB406" s="28">
        <f t="shared" si="232"/>
        <v>0</v>
      </c>
      <c r="AC406" s="28">
        <f>(SUM($AC$91:AC405)+SUM($X$91:X405)+X406)*T406*IF(D406=$A$91,SRP_finalmonthfactor,1)</f>
        <v>0</v>
      </c>
      <c r="AD406" s="16">
        <f t="shared" si="212"/>
        <v>0</v>
      </c>
      <c r="AE406" s="106"/>
      <c r="AF406" s="16">
        <f t="shared" si="220"/>
        <v>0</v>
      </c>
      <c r="AG406" s="16">
        <f t="shared" si="221"/>
        <v>0</v>
      </c>
      <c r="AH406" s="16">
        <f t="shared" si="222"/>
        <v>0</v>
      </c>
      <c r="AJ406" s="13">
        <f t="shared" si="238"/>
        <v>0</v>
      </c>
      <c r="AK406" s="13">
        <f t="shared" si="238"/>
        <v>0</v>
      </c>
      <c r="AL406" s="13">
        <f t="shared" si="238"/>
        <v>0</v>
      </c>
      <c r="AM406" s="13">
        <f t="shared" si="238"/>
        <v>0</v>
      </c>
      <c r="AN406" s="13">
        <f t="shared" si="238"/>
        <v>0</v>
      </c>
      <c r="AO406" s="13">
        <f t="shared" si="238"/>
        <v>1</v>
      </c>
      <c r="AP406" s="13">
        <f t="shared" si="238"/>
        <v>1</v>
      </c>
      <c r="AQ406" s="13">
        <f t="shared" si="238"/>
        <v>1</v>
      </c>
      <c r="AR406" s="13">
        <f t="shared" si="238"/>
        <v>0</v>
      </c>
      <c r="AS406" s="13">
        <f t="shared" si="238"/>
        <v>1</v>
      </c>
      <c r="AT406" s="13">
        <f t="shared" si="238"/>
        <v>1</v>
      </c>
      <c r="AU406" s="13">
        <f t="shared" si="238"/>
        <v>1</v>
      </c>
      <c r="AV406" s="13">
        <f t="shared" si="213"/>
        <v>0</v>
      </c>
      <c r="AW406" s="13">
        <f t="shared" si="214"/>
        <v>1</v>
      </c>
      <c r="AY406" s="17">
        <f t="shared" si="215"/>
        <v>316</v>
      </c>
      <c r="AZ406" s="28">
        <f t="shared" si="223"/>
        <v>0</v>
      </c>
      <c r="BA406" s="13">
        <f t="shared" si="216"/>
        <v>0</v>
      </c>
      <c r="BB406" s="13">
        <f t="shared" si="217"/>
        <v>0</v>
      </c>
      <c r="BC406" s="28">
        <f t="shared" si="224"/>
        <v>0</v>
      </c>
      <c r="BD406" s="28">
        <f t="shared" si="225"/>
        <v>0</v>
      </c>
      <c r="BF406" s="248">
        <f t="shared" si="226"/>
        <v>993869.29442638322</v>
      </c>
    </row>
    <row r="407" spans="1:58">
      <c r="A407" s="32">
        <f t="shared" si="227"/>
        <v>-232</v>
      </c>
      <c r="B407" s="32">
        <f t="shared" si="218"/>
        <v>79</v>
      </c>
      <c r="C407" s="32">
        <f t="shared" si="228"/>
        <v>27</v>
      </c>
      <c r="D407" s="32">
        <f t="shared" si="229"/>
        <v>317</v>
      </c>
      <c r="E407" s="74">
        <f>MIN(IF(AV407=0,0,
IF(Investment_Strategy="DIS",VLOOKUP(Investment_Strategy&amp;"_"&amp;Investment_Strategy_Sub1&amp;"_"&amp;$A407,'Investment Strategies'!$AZ:$BP,12,FALSE),
IF(AND(Investment_Strategy="Lifecycle",Investment_Strategy_Sub1="Non-Standard"),VLOOKUP(Investment_Strategy&amp;"_"&amp;Investment_Strategy_Sub2&amp;"_"&amp;$A407,'Investment Strategies'!$C:$P,9,FALSE),
IF(AND(Investment_Strategy="Lifecycle",Investment_Strategy_Sub1="Standard"),VLOOKUP(Investment_Strategy&amp;"_"&amp;Investment_Strategy_Sub2&amp;"_"&amp;$A407,'Investment Strategies'!$AJ:$AV,8,FALSE),
IF(AND(Investment_Strategy="Autopilot",Investment_Strategy_Sub1="Non-Standard"),VLOOKUP(Investment_Strategy&amp;"_"&amp;Investment_Strategy_Sub2&amp;"_"&amp;$A407,'Investment Strategies'!$T:$AF,8,FALSE),
IF(Investment_Strategy ="DIY",DIY_RateOfReturn_CurrentFunds,
"Error")))))),Max_InvReturn)</f>
        <v>0</v>
      </c>
      <c r="F407" s="62">
        <f>IF(AV407=0,0,
IF(Investment_Strategy="DIS",VLOOKUP(Investment_Strategy&amp;"_"&amp;Investment_Strategy_Sub1&amp;"_"&amp;$A407,'Investment Strategies'!$AZ:$BP,15,FALSE),
IF(AND(Investment_Strategy="Lifecycle",Investment_Strategy_Sub1="Non-Standard"),VLOOKUP(Investment_Strategy&amp;"_"&amp;Investment_Strategy_Sub2&amp;"_"&amp;$A407,'Investment Strategies'!$C:$P,12,FALSE),
IF(AND(Investment_Strategy="Lifecycle",Investment_Strategy_Sub1="Standard"),VLOOKUP(Investment_Strategy&amp;"_"&amp;Investment_Strategy_Sub2&amp;"_"&amp;$A407,'Investment Strategies'!$AJ:$AV,11,FALSE),
IF(AND(Investment_Strategy="Autopilot",Investment_Strategy_Sub1="Non-Standard"),VLOOKUP(Investment_Strategy&amp;"_"&amp;Investment_Strategy_Sub2&amp;"_"&amp;$A407,'Investment Strategies'!$T:$AF,11,FALSE),
IF(Investment_Strategy="DIY",DIY_GteeChrge_CurrentFunds,
"Error"))))))</f>
        <v>0</v>
      </c>
      <c r="G407" s="33">
        <f>IF(AV407=0,0,
IF(Investment_Strategy="DIS",VLOOKUP(Investment_Strategy&amp;"_"&amp;Investment_Strategy_Sub1&amp;"_"&amp;$A407,'Investment Strategies'!$AZ:$BP,17,FALSE),
IF(AND(Investment_Strategy="Lifecycle",Investment_Strategy_Sub1="Non-Standard"),VLOOKUP(Investment_Strategy&amp;"_"&amp;Investment_Strategy_Sub2&amp;"_"&amp;$A407,'Investment Strategies'!$C:$P,14,FALSE),
IF(AND(Investment_Strategy="Lifecycle",Investment_Strategy_Sub1="Standard"),VLOOKUP(Investment_Strategy&amp;"_"&amp;Investment_Strategy_Sub2&amp;"_"&amp;$A407,'Investment Strategies'!$AJ:$AV,13,FALSE),
IF(AND(Investment_Strategy="Autopilot",Investment_Strategy_Sub1="Non-Standard"),VLOOKUP(Investment_Strategy&amp;"_"&amp;Investment_Strategy_Sub2&amp;"_"&amp;$A407,'Investment Strategies'!$T:$AF,13,FALSE),
IF(Investment_Strategy="DIY",DIY_ExtManChrge_CurrentFunds,
"Error"))))))</f>
        <v>0</v>
      </c>
      <c r="H407" s="16">
        <f t="shared" si="219"/>
        <v>0</v>
      </c>
      <c r="I407" s="16">
        <f t="shared" si="205"/>
        <v>0</v>
      </c>
      <c r="J407" s="16">
        <f t="shared" si="206"/>
        <v>0</v>
      </c>
      <c r="K407" s="16">
        <f>(Opening_Fund_Value+SUM(K$91:K406))*E407*IF(D407=$A$91,SRP_finalmonthfactor,1)</f>
        <v>0</v>
      </c>
      <c r="L407" s="74">
        <f>MIN(IF($AV407=0,0,
IF(Investment_Strategy="DIS",VLOOKUP(Investment_Strategy&amp;"_"&amp;Investment_Strategy_Sub1&amp;"_"&amp;$A407,'Investment Strategies'!$AZ:$BP,12,FALSE),
IF(AND(Investment_Strategy="Lifecycle",Investment_Strategy_Sub1="Non-Standard"),VLOOKUP(Investment_Strategy&amp;"_"&amp;Investment_Strategy_Sub2&amp;"_"&amp;$A407,'Investment Strategies'!$C:$P,9,FALSE),
IF(AND(Investment_Strategy="Lifecycle",Investment_Strategy_Sub1="Standard"),VLOOKUP(Investment_Strategy&amp;"_"&amp;Investment_Strategy_Sub2&amp;"_"&amp;$A407,'Investment Strategies'!$AJ:$AV,8,FALSE),
IF(AND(Investment_Strategy="Autopilot",Investment_Strategy_Sub1="Non-Standard"),VLOOKUP(Investment_Strategy&amp;"_"&amp;Investment_Strategy_Sub2&amp;"_"&amp;$A407,'Investment Strategies'!$T:$AF,8,FALSE),
IF(Investment_Strategy ="DIY",DIY_RateofReturn_SP,
"Error")))))),Max_InvReturn)</f>
        <v>0</v>
      </c>
      <c r="M407" s="62">
        <f>IF($AV407=0,0,
IF(Investment_Strategy="DIS",VLOOKUP(Investment_Strategy&amp;"_"&amp;Investment_Strategy_Sub1&amp;"_"&amp;$A407,'Investment Strategies'!$AZ:$BP,15,FALSE),
IF(AND(Investment_Strategy="Lifecycle",Investment_Strategy_Sub1="Non-Standard"),VLOOKUP(Investment_Strategy&amp;"_"&amp;Investment_Strategy_Sub2&amp;"_"&amp;$A407,'Investment Strategies'!$C:$P,12,FALSE),
IF(AND(Investment_Strategy="Lifecycle",Investment_Strategy_Sub1="Standard"),VLOOKUP(Investment_Strategy&amp;"_"&amp;Investment_Strategy_Sub2&amp;"_"&amp;$A407,'Investment Strategies'!$AJ:$AV,11,FALSE),
IF(AND(Investment_Strategy="Autopilot",Investment_Strategy_Sub1="Non-Standard"),VLOOKUP(Investment_Strategy&amp;"_"&amp;Investment_Strategy_Sub2&amp;"_"&amp;$A407,'Investment Strategies'!$T:$AF,11,FALSE),
IF(Investment_Strategy="DIY",DIY_GteeChrge_SP,
"Error"))))))</f>
        <v>0</v>
      </c>
      <c r="N407" s="33">
        <f>IF($AV407=0,0,
IF(Investment_Strategy="DIS",VLOOKUP(Investment_Strategy&amp;"_"&amp;Investment_Strategy_Sub1&amp;"_"&amp;$A407,'Investment Strategies'!$AZ:$BP,17,FALSE),
IF(AND(Investment_Strategy="Lifecycle",Investment_Strategy_Sub1="Non-Standard"),VLOOKUP(Investment_Strategy&amp;"_"&amp;Investment_Strategy_Sub2&amp;"_"&amp;$A407,'Investment Strategies'!$C:$P,14,FALSE),
IF(AND(Investment_Strategy="Lifecycle",Investment_Strategy_Sub1="Standard"),VLOOKUP(Investment_Strategy&amp;"_"&amp;Investment_Strategy_Sub2&amp;"_"&amp;$A407,'Investment Strategies'!$AJ:$AV,13,FALSE),
IF(AND(Investment_Strategy="Autopilot",Investment_Strategy_Sub1="Non-Standard"),VLOOKUP(Investment_Strategy&amp;"_"&amp;Investment_Strategy_Sub2&amp;"_"&amp;$A407,'Investment Strategies'!$T:$AF,13,FALSE),
IF(Investment_Strategy="DIY",DIY_ExtManChrge_SP,
"Error"))))))</f>
        <v>0</v>
      </c>
      <c r="O407" s="16">
        <f t="shared" si="230"/>
        <v>0</v>
      </c>
      <c r="Q407" s="16">
        <f t="shared" si="207"/>
        <v>0</v>
      </c>
      <c r="R407" s="16">
        <f t="shared" si="239"/>
        <v>0</v>
      </c>
      <c r="S407" s="16">
        <f>(SRP_SP+SUM(S$91:S406))*L407*IF(D407=$A$91,SRP_finalmonthfactor,1)</f>
        <v>0</v>
      </c>
      <c r="T407" s="74">
        <f>MIN(IF($AV407=0,0,
IF(Investment_Strategy="DIS",VLOOKUP(Investment_Strategy&amp;"_"&amp;Investment_Strategy_Sub1&amp;"_"&amp;$A407,'Investment Strategies'!$AZ:$BP,12,FALSE),
IF(AND(Investment_Strategy="Lifecycle",Investment_Strategy_Sub1="Non-Standard"),VLOOKUP(Investment_Strategy&amp;"_"&amp;Investment_Strategy_Sub2&amp;"_"&amp;$A407,'Investment Strategies'!$C:$P,9,FALSE),
IF(AND(Investment_Strategy="Lifecycle",Investment_Strategy_Sub1="Standard"),VLOOKUP(Investment_Strategy&amp;"_"&amp;Investment_Strategy_Sub2&amp;"_"&amp;$A407,'Investment Strategies'!$AJ:$AV,8,FALSE),
IF(AND(Investment_Strategy="Autopilot",Investment_Strategy_Sub1="Non-Standard"),VLOOKUP(Investment_Strategy&amp;"_"&amp;Investment_Strategy_Sub2&amp;"_"&amp;$A407,'Investment Strategies'!$T:$AF,8,FALSE),
IF(Investment_Strategy ="DIY",DIY_RateOfReturn_FuturePremiums,
"Error")))))),Max_InvReturn)</f>
        <v>0</v>
      </c>
      <c r="U407" s="62">
        <f>IF($AV407=0,0,
IF(Investment_Strategy="DIS",VLOOKUP(Investment_Strategy&amp;"_"&amp;Investment_Strategy_Sub1&amp;"_"&amp;$A407,'Investment Strategies'!$AZ:$BP,15,FALSE),
IF(AND(Investment_Strategy="Lifecycle",Investment_Strategy_Sub1="Non-Standard"),VLOOKUP(Investment_Strategy&amp;"_"&amp;Investment_Strategy_Sub2&amp;"_"&amp;$A407,'Investment Strategies'!$C:$P,12,FALSE),
IF(AND(Investment_Strategy="Lifecycle",Investment_Strategy_Sub1="Standard"),VLOOKUP(Investment_Strategy&amp;"_"&amp;Investment_Strategy_Sub2&amp;"_"&amp;$A407,'Investment Strategies'!$AJ:$AV,11,FALSE),
IF(AND(Investment_Strategy="Autopilot",Investment_Strategy_Sub1="Non-Standard"),VLOOKUP(Investment_Strategy&amp;"_"&amp;Investment_Strategy_Sub2&amp;"_"&amp;$A407,'Investment Strategies'!$T:$AF,11,FALSE),
IF(Investment_Strategy="DIY",DIY_GteeChrge_FuturePremiums,
"Error"))))))</f>
        <v>0</v>
      </c>
      <c r="V407" s="33">
        <f>IF(AV407=0,0,
IF(Investment_Strategy="DIS",VLOOKUP(Investment_Strategy&amp;"_"&amp;Investment_Strategy_Sub1&amp;"_"&amp;$A407,'Investment Strategies'!$AZ:$BP,17,FALSE),
IF(AND(Investment_Strategy="Lifecycle",Investment_Strategy_Sub1="Non-Standard"),VLOOKUP(Investment_Strategy&amp;"_"&amp;Investment_Strategy_Sub2&amp;"_"&amp;$A407,'Investment Strategies'!$C:$P,14,FALSE),
IF(AND(Investment_Strategy="Lifecycle",Investment_Strategy_Sub1="Standard"),VLOOKUP(Investment_Strategy&amp;"_"&amp;Investment_Strategy_Sub2&amp;"_"&amp;$A407,'Investment Strategies'!$AJ:$AV,13,FALSE),
IF(AND(Investment_Strategy="Autopilot",Investment_Strategy_Sub1="Non-Standard"),VLOOKUP(Investment_Strategy&amp;"_"&amp;Investment_Strategy_Sub2&amp;"_"&amp;$A407,'Investment Strategies'!$T:$AF,13,FALSE),
IF(Investment_Strategy="DIY",DIY_ExtManChrge_FuturePremiums,
"Error"))))))</f>
        <v>0</v>
      </c>
      <c r="W407" s="16">
        <f t="shared" si="231"/>
        <v>0</v>
      </c>
      <c r="X407" s="16">
        <f t="shared" si="208"/>
        <v>0</v>
      </c>
      <c r="Y407" s="16">
        <f t="shared" si="209"/>
        <v>0</v>
      </c>
      <c r="Z407" s="31">
        <f t="shared" si="210"/>
        <v>0.02</v>
      </c>
      <c r="AA407" s="16">
        <f t="shared" si="211"/>
        <v>0</v>
      </c>
      <c r="AB407" s="28">
        <f t="shared" si="232"/>
        <v>0</v>
      </c>
      <c r="AC407" s="28">
        <f>(SUM($AC$91:AC406)+SUM($X$91:X406)+X407)*T407*IF(D407=$A$91,SRP_finalmonthfactor,1)</f>
        <v>0</v>
      </c>
      <c r="AD407" s="16">
        <f t="shared" si="212"/>
        <v>0</v>
      </c>
      <c r="AE407" s="106"/>
      <c r="AF407" s="16">
        <f t="shared" si="220"/>
        <v>0</v>
      </c>
      <c r="AG407" s="16">
        <f t="shared" si="221"/>
        <v>0</v>
      </c>
      <c r="AH407" s="16">
        <f t="shared" si="222"/>
        <v>0</v>
      </c>
      <c r="AJ407" s="13">
        <f t="shared" si="238"/>
        <v>0</v>
      </c>
      <c r="AK407" s="13">
        <f t="shared" si="238"/>
        <v>0</v>
      </c>
      <c r="AL407" s="13">
        <f t="shared" si="238"/>
        <v>0</v>
      </c>
      <c r="AM407" s="13">
        <f t="shared" si="238"/>
        <v>0</v>
      </c>
      <c r="AN407" s="13">
        <f t="shared" si="238"/>
        <v>0</v>
      </c>
      <c r="AO407" s="13">
        <f t="shared" si="238"/>
        <v>1</v>
      </c>
      <c r="AP407" s="13">
        <f t="shared" si="238"/>
        <v>1</v>
      </c>
      <c r="AQ407" s="13">
        <f t="shared" si="238"/>
        <v>1</v>
      </c>
      <c r="AR407" s="13">
        <f t="shared" si="238"/>
        <v>0</v>
      </c>
      <c r="AS407" s="13">
        <f t="shared" si="238"/>
        <v>1</v>
      </c>
      <c r="AT407" s="13">
        <f t="shared" si="238"/>
        <v>1</v>
      </c>
      <c r="AU407" s="13">
        <f t="shared" si="238"/>
        <v>1</v>
      </c>
      <c r="AV407" s="13">
        <f t="shared" si="213"/>
        <v>0</v>
      </c>
      <c r="AW407" s="13">
        <f t="shared" si="214"/>
        <v>1</v>
      </c>
      <c r="AY407" s="17">
        <f t="shared" si="215"/>
        <v>317</v>
      </c>
      <c r="AZ407" s="28">
        <f t="shared" si="223"/>
        <v>0</v>
      </c>
      <c r="BA407" s="13">
        <f t="shared" si="216"/>
        <v>0</v>
      </c>
      <c r="BB407" s="13">
        <f t="shared" si="217"/>
        <v>0</v>
      </c>
      <c r="BC407" s="28">
        <f t="shared" si="224"/>
        <v>0</v>
      </c>
      <c r="BD407" s="28">
        <f t="shared" si="225"/>
        <v>0</v>
      </c>
      <c r="BF407" s="248">
        <f t="shared" si="226"/>
        <v>993869.29442638322</v>
      </c>
    </row>
    <row r="408" spans="1:58">
      <c r="A408" s="32">
        <f t="shared" si="227"/>
        <v>-233</v>
      </c>
      <c r="B408" s="32">
        <f t="shared" si="218"/>
        <v>79</v>
      </c>
      <c r="C408" s="32">
        <f t="shared" si="228"/>
        <v>27</v>
      </c>
      <c r="D408" s="32">
        <f t="shared" si="229"/>
        <v>318</v>
      </c>
      <c r="E408" s="74">
        <f>MIN(IF(AV408=0,0,
IF(Investment_Strategy="DIS",VLOOKUP(Investment_Strategy&amp;"_"&amp;Investment_Strategy_Sub1&amp;"_"&amp;$A408,'Investment Strategies'!$AZ:$BP,12,FALSE),
IF(AND(Investment_Strategy="Lifecycle",Investment_Strategy_Sub1="Non-Standard"),VLOOKUP(Investment_Strategy&amp;"_"&amp;Investment_Strategy_Sub2&amp;"_"&amp;$A408,'Investment Strategies'!$C:$P,9,FALSE),
IF(AND(Investment_Strategy="Lifecycle",Investment_Strategy_Sub1="Standard"),VLOOKUP(Investment_Strategy&amp;"_"&amp;Investment_Strategy_Sub2&amp;"_"&amp;$A408,'Investment Strategies'!$AJ:$AV,8,FALSE),
IF(AND(Investment_Strategy="Autopilot",Investment_Strategy_Sub1="Non-Standard"),VLOOKUP(Investment_Strategy&amp;"_"&amp;Investment_Strategy_Sub2&amp;"_"&amp;$A408,'Investment Strategies'!$T:$AF,8,FALSE),
IF(Investment_Strategy ="DIY",DIY_RateOfReturn_CurrentFunds,
"Error")))))),Max_InvReturn)</f>
        <v>0</v>
      </c>
      <c r="F408" s="62">
        <f>IF(AV408=0,0,
IF(Investment_Strategy="DIS",VLOOKUP(Investment_Strategy&amp;"_"&amp;Investment_Strategy_Sub1&amp;"_"&amp;$A408,'Investment Strategies'!$AZ:$BP,15,FALSE),
IF(AND(Investment_Strategy="Lifecycle",Investment_Strategy_Sub1="Non-Standard"),VLOOKUP(Investment_Strategy&amp;"_"&amp;Investment_Strategy_Sub2&amp;"_"&amp;$A408,'Investment Strategies'!$C:$P,12,FALSE),
IF(AND(Investment_Strategy="Lifecycle",Investment_Strategy_Sub1="Standard"),VLOOKUP(Investment_Strategy&amp;"_"&amp;Investment_Strategy_Sub2&amp;"_"&amp;$A408,'Investment Strategies'!$AJ:$AV,11,FALSE),
IF(AND(Investment_Strategy="Autopilot",Investment_Strategy_Sub1="Non-Standard"),VLOOKUP(Investment_Strategy&amp;"_"&amp;Investment_Strategy_Sub2&amp;"_"&amp;$A408,'Investment Strategies'!$T:$AF,11,FALSE),
IF(Investment_Strategy="DIY",DIY_GteeChrge_CurrentFunds,
"Error"))))))</f>
        <v>0</v>
      </c>
      <c r="G408" s="33">
        <f>IF(AV408=0,0,
IF(Investment_Strategy="DIS",VLOOKUP(Investment_Strategy&amp;"_"&amp;Investment_Strategy_Sub1&amp;"_"&amp;$A408,'Investment Strategies'!$AZ:$BP,17,FALSE),
IF(AND(Investment_Strategy="Lifecycle",Investment_Strategy_Sub1="Non-Standard"),VLOOKUP(Investment_Strategy&amp;"_"&amp;Investment_Strategy_Sub2&amp;"_"&amp;$A408,'Investment Strategies'!$C:$P,14,FALSE),
IF(AND(Investment_Strategy="Lifecycle",Investment_Strategy_Sub1="Standard"),VLOOKUP(Investment_Strategy&amp;"_"&amp;Investment_Strategy_Sub2&amp;"_"&amp;$A408,'Investment Strategies'!$AJ:$AV,13,FALSE),
IF(AND(Investment_Strategy="Autopilot",Investment_Strategy_Sub1="Non-Standard"),VLOOKUP(Investment_Strategy&amp;"_"&amp;Investment_Strategy_Sub2&amp;"_"&amp;$A408,'Investment Strategies'!$T:$AF,13,FALSE),
IF(Investment_Strategy="DIY",DIY_ExtManChrge_CurrentFunds,
"Error"))))))</f>
        <v>0</v>
      </c>
      <c r="H408" s="16">
        <f t="shared" si="219"/>
        <v>0</v>
      </c>
      <c r="I408" s="16">
        <f t="shared" si="205"/>
        <v>0</v>
      </c>
      <c r="J408" s="16">
        <f t="shared" si="206"/>
        <v>0</v>
      </c>
      <c r="K408" s="16">
        <f>(Opening_Fund_Value+SUM(K$91:K407))*E408*IF(D408=$A$91,SRP_finalmonthfactor,1)</f>
        <v>0</v>
      </c>
      <c r="L408" s="74">
        <f>MIN(IF($AV408=0,0,
IF(Investment_Strategy="DIS",VLOOKUP(Investment_Strategy&amp;"_"&amp;Investment_Strategy_Sub1&amp;"_"&amp;$A408,'Investment Strategies'!$AZ:$BP,12,FALSE),
IF(AND(Investment_Strategy="Lifecycle",Investment_Strategy_Sub1="Non-Standard"),VLOOKUP(Investment_Strategy&amp;"_"&amp;Investment_Strategy_Sub2&amp;"_"&amp;$A408,'Investment Strategies'!$C:$P,9,FALSE),
IF(AND(Investment_Strategy="Lifecycle",Investment_Strategy_Sub1="Standard"),VLOOKUP(Investment_Strategy&amp;"_"&amp;Investment_Strategy_Sub2&amp;"_"&amp;$A408,'Investment Strategies'!$AJ:$AV,8,FALSE),
IF(AND(Investment_Strategy="Autopilot",Investment_Strategy_Sub1="Non-Standard"),VLOOKUP(Investment_Strategy&amp;"_"&amp;Investment_Strategy_Sub2&amp;"_"&amp;$A408,'Investment Strategies'!$T:$AF,8,FALSE),
IF(Investment_Strategy ="DIY",DIY_RateofReturn_SP,
"Error")))))),Max_InvReturn)</f>
        <v>0</v>
      </c>
      <c r="M408" s="62">
        <f>IF($AV408=0,0,
IF(Investment_Strategy="DIS",VLOOKUP(Investment_Strategy&amp;"_"&amp;Investment_Strategy_Sub1&amp;"_"&amp;$A408,'Investment Strategies'!$AZ:$BP,15,FALSE),
IF(AND(Investment_Strategy="Lifecycle",Investment_Strategy_Sub1="Non-Standard"),VLOOKUP(Investment_Strategy&amp;"_"&amp;Investment_Strategy_Sub2&amp;"_"&amp;$A408,'Investment Strategies'!$C:$P,12,FALSE),
IF(AND(Investment_Strategy="Lifecycle",Investment_Strategy_Sub1="Standard"),VLOOKUP(Investment_Strategy&amp;"_"&amp;Investment_Strategy_Sub2&amp;"_"&amp;$A408,'Investment Strategies'!$AJ:$AV,11,FALSE),
IF(AND(Investment_Strategy="Autopilot",Investment_Strategy_Sub1="Non-Standard"),VLOOKUP(Investment_Strategy&amp;"_"&amp;Investment_Strategy_Sub2&amp;"_"&amp;$A408,'Investment Strategies'!$T:$AF,11,FALSE),
IF(Investment_Strategy="DIY",DIY_GteeChrge_SP,
"Error"))))))</f>
        <v>0</v>
      </c>
      <c r="N408" s="33">
        <f>IF($AV408=0,0,
IF(Investment_Strategy="DIS",VLOOKUP(Investment_Strategy&amp;"_"&amp;Investment_Strategy_Sub1&amp;"_"&amp;$A408,'Investment Strategies'!$AZ:$BP,17,FALSE),
IF(AND(Investment_Strategy="Lifecycle",Investment_Strategy_Sub1="Non-Standard"),VLOOKUP(Investment_Strategy&amp;"_"&amp;Investment_Strategy_Sub2&amp;"_"&amp;$A408,'Investment Strategies'!$C:$P,14,FALSE),
IF(AND(Investment_Strategy="Lifecycle",Investment_Strategy_Sub1="Standard"),VLOOKUP(Investment_Strategy&amp;"_"&amp;Investment_Strategy_Sub2&amp;"_"&amp;$A408,'Investment Strategies'!$AJ:$AV,13,FALSE),
IF(AND(Investment_Strategy="Autopilot",Investment_Strategy_Sub1="Non-Standard"),VLOOKUP(Investment_Strategy&amp;"_"&amp;Investment_Strategy_Sub2&amp;"_"&amp;$A408,'Investment Strategies'!$T:$AF,13,FALSE),
IF(Investment_Strategy="DIY",DIY_ExtManChrge_SP,
"Error"))))))</f>
        <v>0</v>
      </c>
      <c r="O408" s="16">
        <f t="shared" si="230"/>
        <v>0</v>
      </c>
      <c r="Q408" s="16">
        <f t="shared" si="207"/>
        <v>0</v>
      </c>
      <c r="R408" s="16">
        <f t="shared" si="239"/>
        <v>0</v>
      </c>
      <c r="S408" s="16">
        <f>(SRP_SP+SUM(S$91:S407))*L408*IF(D408=$A$91,SRP_finalmonthfactor,1)</f>
        <v>0</v>
      </c>
      <c r="T408" s="74">
        <f>MIN(IF($AV408=0,0,
IF(Investment_Strategy="DIS",VLOOKUP(Investment_Strategy&amp;"_"&amp;Investment_Strategy_Sub1&amp;"_"&amp;$A408,'Investment Strategies'!$AZ:$BP,12,FALSE),
IF(AND(Investment_Strategy="Lifecycle",Investment_Strategy_Sub1="Non-Standard"),VLOOKUP(Investment_Strategy&amp;"_"&amp;Investment_Strategy_Sub2&amp;"_"&amp;$A408,'Investment Strategies'!$C:$P,9,FALSE),
IF(AND(Investment_Strategy="Lifecycle",Investment_Strategy_Sub1="Standard"),VLOOKUP(Investment_Strategy&amp;"_"&amp;Investment_Strategy_Sub2&amp;"_"&amp;$A408,'Investment Strategies'!$AJ:$AV,8,FALSE),
IF(AND(Investment_Strategy="Autopilot",Investment_Strategy_Sub1="Non-Standard"),VLOOKUP(Investment_Strategy&amp;"_"&amp;Investment_Strategy_Sub2&amp;"_"&amp;$A408,'Investment Strategies'!$T:$AF,8,FALSE),
IF(Investment_Strategy ="DIY",DIY_RateOfReturn_FuturePremiums,
"Error")))))),Max_InvReturn)</f>
        <v>0</v>
      </c>
      <c r="U408" s="62">
        <f>IF($AV408=0,0,
IF(Investment_Strategy="DIS",VLOOKUP(Investment_Strategy&amp;"_"&amp;Investment_Strategy_Sub1&amp;"_"&amp;$A408,'Investment Strategies'!$AZ:$BP,15,FALSE),
IF(AND(Investment_Strategy="Lifecycle",Investment_Strategy_Sub1="Non-Standard"),VLOOKUP(Investment_Strategy&amp;"_"&amp;Investment_Strategy_Sub2&amp;"_"&amp;$A408,'Investment Strategies'!$C:$P,12,FALSE),
IF(AND(Investment_Strategy="Lifecycle",Investment_Strategy_Sub1="Standard"),VLOOKUP(Investment_Strategy&amp;"_"&amp;Investment_Strategy_Sub2&amp;"_"&amp;$A408,'Investment Strategies'!$AJ:$AV,11,FALSE),
IF(AND(Investment_Strategy="Autopilot",Investment_Strategy_Sub1="Non-Standard"),VLOOKUP(Investment_Strategy&amp;"_"&amp;Investment_Strategy_Sub2&amp;"_"&amp;$A408,'Investment Strategies'!$T:$AF,11,FALSE),
IF(Investment_Strategy="DIY",DIY_GteeChrge_FuturePremiums,
"Error"))))))</f>
        <v>0</v>
      </c>
      <c r="V408" s="33">
        <f>IF(AV408=0,0,
IF(Investment_Strategy="DIS",VLOOKUP(Investment_Strategy&amp;"_"&amp;Investment_Strategy_Sub1&amp;"_"&amp;$A408,'Investment Strategies'!$AZ:$BP,17,FALSE),
IF(AND(Investment_Strategy="Lifecycle",Investment_Strategy_Sub1="Non-Standard"),VLOOKUP(Investment_Strategy&amp;"_"&amp;Investment_Strategy_Sub2&amp;"_"&amp;$A408,'Investment Strategies'!$C:$P,14,FALSE),
IF(AND(Investment_Strategy="Lifecycle",Investment_Strategy_Sub1="Standard"),VLOOKUP(Investment_Strategy&amp;"_"&amp;Investment_Strategy_Sub2&amp;"_"&amp;$A408,'Investment Strategies'!$AJ:$AV,13,FALSE),
IF(AND(Investment_Strategy="Autopilot",Investment_Strategy_Sub1="Non-Standard"),VLOOKUP(Investment_Strategy&amp;"_"&amp;Investment_Strategy_Sub2&amp;"_"&amp;$A408,'Investment Strategies'!$T:$AF,13,FALSE),
IF(Investment_Strategy="DIY",DIY_ExtManChrge_FuturePremiums,
"Error"))))))</f>
        <v>0</v>
      </c>
      <c r="W408" s="16">
        <f t="shared" si="231"/>
        <v>0</v>
      </c>
      <c r="X408" s="16">
        <f t="shared" si="208"/>
        <v>0</v>
      </c>
      <c r="Y408" s="16">
        <f t="shared" si="209"/>
        <v>0</v>
      </c>
      <c r="Z408" s="31">
        <f t="shared" si="210"/>
        <v>0.02</v>
      </c>
      <c r="AA408" s="16">
        <f t="shared" si="211"/>
        <v>0</v>
      </c>
      <c r="AB408" s="28">
        <f t="shared" si="232"/>
        <v>0</v>
      </c>
      <c r="AC408" s="28">
        <f>(SUM($AC$91:AC407)+SUM($X$91:X407)+X408)*T408*IF(D408=$A$91,SRP_finalmonthfactor,1)</f>
        <v>0</v>
      </c>
      <c r="AD408" s="16">
        <f t="shared" si="212"/>
        <v>0</v>
      </c>
      <c r="AE408" s="106"/>
      <c r="AF408" s="16">
        <f t="shared" si="220"/>
        <v>0</v>
      </c>
      <c r="AG408" s="16">
        <f t="shared" si="221"/>
        <v>0</v>
      </c>
      <c r="AH408" s="16">
        <f t="shared" si="222"/>
        <v>0</v>
      </c>
      <c r="AJ408" s="13">
        <f t="shared" si="238"/>
        <v>0</v>
      </c>
      <c r="AK408" s="13">
        <f t="shared" si="238"/>
        <v>0</v>
      </c>
      <c r="AL408" s="13">
        <f t="shared" si="238"/>
        <v>0</v>
      </c>
      <c r="AM408" s="13">
        <f t="shared" si="238"/>
        <v>0</v>
      </c>
      <c r="AN408" s="13">
        <f t="shared" si="238"/>
        <v>0</v>
      </c>
      <c r="AO408" s="13">
        <f t="shared" si="238"/>
        <v>1</v>
      </c>
      <c r="AP408" s="13">
        <f t="shared" si="238"/>
        <v>1</v>
      </c>
      <c r="AQ408" s="13">
        <f t="shared" si="238"/>
        <v>1</v>
      </c>
      <c r="AR408" s="13">
        <f t="shared" si="238"/>
        <v>0</v>
      </c>
      <c r="AS408" s="13">
        <f t="shared" si="238"/>
        <v>1</v>
      </c>
      <c r="AT408" s="13">
        <f t="shared" si="238"/>
        <v>1</v>
      </c>
      <c r="AU408" s="13">
        <f t="shared" si="238"/>
        <v>1</v>
      </c>
      <c r="AV408" s="13">
        <f t="shared" si="213"/>
        <v>0</v>
      </c>
      <c r="AW408" s="13">
        <f t="shared" si="214"/>
        <v>1</v>
      </c>
      <c r="AY408" s="17">
        <f t="shared" si="215"/>
        <v>318</v>
      </c>
      <c r="AZ408" s="28">
        <f t="shared" si="223"/>
        <v>0</v>
      </c>
      <c r="BA408" s="13">
        <f t="shared" si="216"/>
        <v>0</v>
      </c>
      <c r="BB408" s="13">
        <f t="shared" si="217"/>
        <v>0</v>
      </c>
      <c r="BC408" s="28">
        <f t="shared" si="224"/>
        <v>0</v>
      </c>
      <c r="BD408" s="28">
        <f t="shared" si="225"/>
        <v>0</v>
      </c>
      <c r="BF408" s="248">
        <f t="shared" si="226"/>
        <v>993869.29442638322</v>
      </c>
    </row>
    <row r="409" spans="1:58">
      <c r="A409" s="32">
        <f t="shared" si="227"/>
        <v>-234</v>
      </c>
      <c r="B409" s="32">
        <f t="shared" si="218"/>
        <v>79</v>
      </c>
      <c r="C409" s="32">
        <f t="shared" si="228"/>
        <v>27</v>
      </c>
      <c r="D409" s="32">
        <f t="shared" si="229"/>
        <v>319</v>
      </c>
      <c r="E409" s="74">
        <f>MIN(IF(AV409=0,0,
IF(Investment_Strategy="DIS",VLOOKUP(Investment_Strategy&amp;"_"&amp;Investment_Strategy_Sub1&amp;"_"&amp;$A409,'Investment Strategies'!$AZ:$BP,12,FALSE),
IF(AND(Investment_Strategy="Lifecycle",Investment_Strategy_Sub1="Non-Standard"),VLOOKUP(Investment_Strategy&amp;"_"&amp;Investment_Strategy_Sub2&amp;"_"&amp;$A409,'Investment Strategies'!$C:$P,9,FALSE),
IF(AND(Investment_Strategy="Lifecycle",Investment_Strategy_Sub1="Standard"),VLOOKUP(Investment_Strategy&amp;"_"&amp;Investment_Strategy_Sub2&amp;"_"&amp;$A409,'Investment Strategies'!$AJ:$AV,8,FALSE),
IF(AND(Investment_Strategy="Autopilot",Investment_Strategy_Sub1="Non-Standard"),VLOOKUP(Investment_Strategy&amp;"_"&amp;Investment_Strategy_Sub2&amp;"_"&amp;$A409,'Investment Strategies'!$T:$AF,8,FALSE),
IF(Investment_Strategy ="DIY",DIY_RateOfReturn_CurrentFunds,
"Error")))))),Max_InvReturn)</f>
        <v>0</v>
      </c>
      <c r="F409" s="62">
        <f>IF(AV409=0,0,
IF(Investment_Strategy="DIS",VLOOKUP(Investment_Strategy&amp;"_"&amp;Investment_Strategy_Sub1&amp;"_"&amp;$A409,'Investment Strategies'!$AZ:$BP,15,FALSE),
IF(AND(Investment_Strategy="Lifecycle",Investment_Strategy_Sub1="Non-Standard"),VLOOKUP(Investment_Strategy&amp;"_"&amp;Investment_Strategy_Sub2&amp;"_"&amp;$A409,'Investment Strategies'!$C:$P,12,FALSE),
IF(AND(Investment_Strategy="Lifecycle",Investment_Strategy_Sub1="Standard"),VLOOKUP(Investment_Strategy&amp;"_"&amp;Investment_Strategy_Sub2&amp;"_"&amp;$A409,'Investment Strategies'!$AJ:$AV,11,FALSE),
IF(AND(Investment_Strategy="Autopilot",Investment_Strategy_Sub1="Non-Standard"),VLOOKUP(Investment_Strategy&amp;"_"&amp;Investment_Strategy_Sub2&amp;"_"&amp;$A409,'Investment Strategies'!$T:$AF,11,FALSE),
IF(Investment_Strategy="DIY",DIY_GteeChrge_CurrentFunds,
"Error"))))))</f>
        <v>0</v>
      </c>
      <c r="G409" s="33">
        <f>IF(AV409=0,0,
IF(Investment_Strategy="DIS",VLOOKUP(Investment_Strategy&amp;"_"&amp;Investment_Strategy_Sub1&amp;"_"&amp;$A409,'Investment Strategies'!$AZ:$BP,17,FALSE),
IF(AND(Investment_Strategy="Lifecycle",Investment_Strategy_Sub1="Non-Standard"),VLOOKUP(Investment_Strategy&amp;"_"&amp;Investment_Strategy_Sub2&amp;"_"&amp;$A409,'Investment Strategies'!$C:$P,14,FALSE),
IF(AND(Investment_Strategy="Lifecycle",Investment_Strategy_Sub1="Standard"),VLOOKUP(Investment_Strategy&amp;"_"&amp;Investment_Strategy_Sub2&amp;"_"&amp;$A409,'Investment Strategies'!$AJ:$AV,13,FALSE),
IF(AND(Investment_Strategy="Autopilot",Investment_Strategy_Sub1="Non-Standard"),VLOOKUP(Investment_Strategy&amp;"_"&amp;Investment_Strategy_Sub2&amp;"_"&amp;$A409,'Investment Strategies'!$T:$AF,13,FALSE),
IF(Investment_Strategy="DIY",DIY_ExtManChrge_CurrentFunds,
"Error"))))))</f>
        <v>0</v>
      </c>
      <c r="H409" s="16">
        <f t="shared" si="219"/>
        <v>0</v>
      </c>
      <c r="I409" s="16">
        <f t="shared" si="205"/>
        <v>0</v>
      </c>
      <c r="J409" s="16">
        <f t="shared" si="206"/>
        <v>0</v>
      </c>
      <c r="K409" s="16">
        <f>(Opening_Fund_Value+SUM(K$91:K408))*E409*IF(D409=$A$91,SRP_finalmonthfactor,1)</f>
        <v>0</v>
      </c>
      <c r="L409" s="74">
        <f>MIN(IF($AV409=0,0,
IF(Investment_Strategy="DIS",VLOOKUP(Investment_Strategy&amp;"_"&amp;Investment_Strategy_Sub1&amp;"_"&amp;$A409,'Investment Strategies'!$AZ:$BP,12,FALSE),
IF(AND(Investment_Strategy="Lifecycle",Investment_Strategy_Sub1="Non-Standard"),VLOOKUP(Investment_Strategy&amp;"_"&amp;Investment_Strategy_Sub2&amp;"_"&amp;$A409,'Investment Strategies'!$C:$P,9,FALSE),
IF(AND(Investment_Strategy="Lifecycle",Investment_Strategy_Sub1="Standard"),VLOOKUP(Investment_Strategy&amp;"_"&amp;Investment_Strategy_Sub2&amp;"_"&amp;$A409,'Investment Strategies'!$AJ:$AV,8,FALSE),
IF(AND(Investment_Strategy="Autopilot",Investment_Strategy_Sub1="Non-Standard"),VLOOKUP(Investment_Strategy&amp;"_"&amp;Investment_Strategy_Sub2&amp;"_"&amp;$A409,'Investment Strategies'!$T:$AF,8,FALSE),
IF(Investment_Strategy ="DIY",DIY_RateofReturn_SP,
"Error")))))),Max_InvReturn)</f>
        <v>0</v>
      </c>
      <c r="M409" s="62">
        <f>IF($AV409=0,0,
IF(Investment_Strategy="DIS",VLOOKUP(Investment_Strategy&amp;"_"&amp;Investment_Strategy_Sub1&amp;"_"&amp;$A409,'Investment Strategies'!$AZ:$BP,15,FALSE),
IF(AND(Investment_Strategy="Lifecycle",Investment_Strategy_Sub1="Non-Standard"),VLOOKUP(Investment_Strategy&amp;"_"&amp;Investment_Strategy_Sub2&amp;"_"&amp;$A409,'Investment Strategies'!$C:$P,12,FALSE),
IF(AND(Investment_Strategy="Lifecycle",Investment_Strategy_Sub1="Standard"),VLOOKUP(Investment_Strategy&amp;"_"&amp;Investment_Strategy_Sub2&amp;"_"&amp;$A409,'Investment Strategies'!$AJ:$AV,11,FALSE),
IF(AND(Investment_Strategy="Autopilot",Investment_Strategy_Sub1="Non-Standard"),VLOOKUP(Investment_Strategy&amp;"_"&amp;Investment_Strategy_Sub2&amp;"_"&amp;$A409,'Investment Strategies'!$T:$AF,11,FALSE),
IF(Investment_Strategy="DIY",DIY_GteeChrge_SP,
"Error"))))))</f>
        <v>0</v>
      </c>
      <c r="N409" s="33">
        <f>IF($AV409=0,0,
IF(Investment_Strategy="DIS",VLOOKUP(Investment_Strategy&amp;"_"&amp;Investment_Strategy_Sub1&amp;"_"&amp;$A409,'Investment Strategies'!$AZ:$BP,17,FALSE),
IF(AND(Investment_Strategy="Lifecycle",Investment_Strategy_Sub1="Non-Standard"),VLOOKUP(Investment_Strategy&amp;"_"&amp;Investment_Strategy_Sub2&amp;"_"&amp;$A409,'Investment Strategies'!$C:$P,14,FALSE),
IF(AND(Investment_Strategy="Lifecycle",Investment_Strategy_Sub1="Standard"),VLOOKUP(Investment_Strategy&amp;"_"&amp;Investment_Strategy_Sub2&amp;"_"&amp;$A409,'Investment Strategies'!$AJ:$AV,13,FALSE),
IF(AND(Investment_Strategy="Autopilot",Investment_Strategy_Sub1="Non-Standard"),VLOOKUP(Investment_Strategy&amp;"_"&amp;Investment_Strategy_Sub2&amp;"_"&amp;$A409,'Investment Strategies'!$T:$AF,13,FALSE),
IF(Investment_Strategy="DIY",DIY_ExtManChrge_SP,
"Error"))))))</f>
        <v>0</v>
      </c>
      <c r="O409" s="16">
        <f t="shared" si="230"/>
        <v>0</v>
      </c>
      <c r="Q409" s="16">
        <f t="shared" si="207"/>
        <v>0</v>
      </c>
      <c r="R409" s="16">
        <f t="shared" si="239"/>
        <v>0</v>
      </c>
      <c r="S409" s="16">
        <f>(SRP_SP+SUM(S$91:S408))*L409*IF(D409=$A$91,SRP_finalmonthfactor,1)</f>
        <v>0</v>
      </c>
      <c r="T409" s="74">
        <f>MIN(IF($AV409=0,0,
IF(Investment_Strategy="DIS",VLOOKUP(Investment_Strategy&amp;"_"&amp;Investment_Strategy_Sub1&amp;"_"&amp;$A409,'Investment Strategies'!$AZ:$BP,12,FALSE),
IF(AND(Investment_Strategy="Lifecycle",Investment_Strategy_Sub1="Non-Standard"),VLOOKUP(Investment_Strategy&amp;"_"&amp;Investment_Strategy_Sub2&amp;"_"&amp;$A409,'Investment Strategies'!$C:$P,9,FALSE),
IF(AND(Investment_Strategy="Lifecycle",Investment_Strategy_Sub1="Standard"),VLOOKUP(Investment_Strategy&amp;"_"&amp;Investment_Strategy_Sub2&amp;"_"&amp;$A409,'Investment Strategies'!$AJ:$AV,8,FALSE),
IF(AND(Investment_Strategy="Autopilot",Investment_Strategy_Sub1="Non-Standard"),VLOOKUP(Investment_Strategy&amp;"_"&amp;Investment_Strategy_Sub2&amp;"_"&amp;$A409,'Investment Strategies'!$T:$AF,8,FALSE),
IF(Investment_Strategy ="DIY",DIY_RateOfReturn_FuturePremiums,
"Error")))))),Max_InvReturn)</f>
        <v>0</v>
      </c>
      <c r="U409" s="62">
        <f>IF($AV409=0,0,
IF(Investment_Strategy="DIS",VLOOKUP(Investment_Strategy&amp;"_"&amp;Investment_Strategy_Sub1&amp;"_"&amp;$A409,'Investment Strategies'!$AZ:$BP,15,FALSE),
IF(AND(Investment_Strategy="Lifecycle",Investment_Strategy_Sub1="Non-Standard"),VLOOKUP(Investment_Strategy&amp;"_"&amp;Investment_Strategy_Sub2&amp;"_"&amp;$A409,'Investment Strategies'!$C:$P,12,FALSE),
IF(AND(Investment_Strategy="Lifecycle",Investment_Strategy_Sub1="Standard"),VLOOKUP(Investment_Strategy&amp;"_"&amp;Investment_Strategy_Sub2&amp;"_"&amp;$A409,'Investment Strategies'!$AJ:$AV,11,FALSE),
IF(AND(Investment_Strategy="Autopilot",Investment_Strategy_Sub1="Non-Standard"),VLOOKUP(Investment_Strategy&amp;"_"&amp;Investment_Strategy_Sub2&amp;"_"&amp;$A409,'Investment Strategies'!$T:$AF,11,FALSE),
IF(Investment_Strategy="DIY",DIY_GteeChrge_FuturePremiums,
"Error"))))))</f>
        <v>0</v>
      </c>
      <c r="V409" s="33">
        <f>IF(AV409=0,0,
IF(Investment_Strategy="DIS",VLOOKUP(Investment_Strategy&amp;"_"&amp;Investment_Strategy_Sub1&amp;"_"&amp;$A409,'Investment Strategies'!$AZ:$BP,17,FALSE),
IF(AND(Investment_Strategy="Lifecycle",Investment_Strategy_Sub1="Non-Standard"),VLOOKUP(Investment_Strategy&amp;"_"&amp;Investment_Strategy_Sub2&amp;"_"&amp;$A409,'Investment Strategies'!$C:$P,14,FALSE),
IF(AND(Investment_Strategy="Lifecycle",Investment_Strategy_Sub1="Standard"),VLOOKUP(Investment_Strategy&amp;"_"&amp;Investment_Strategy_Sub2&amp;"_"&amp;$A409,'Investment Strategies'!$AJ:$AV,13,FALSE),
IF(AND(Investment_Strategy="Autopilot",Investment_Strategy_Sub1="Non-Standard"),VLOOKUP(Investment_Strategy&amp;"_"&amp;Investment_Strategy_Sub2&amp;"_"&amp;$A409,'Investment Strategies'!$T:$AF,13,FALSE),
IF(Investment_Strategy="DIY",DIY_ExtManChrge_FuturePremiums,
"Error"))))))</f>
        <v>0</v>
      </c>
      <c r="W409" s="16">
        <f t="shared" si="231"/>
        <v>0</v>
      </c>
      <c r="X409" s="16">
        <f t="shared" si="208"/>
        <v>0</v>
      </c>
      <c r="Y409" s="16">
        <f t="shared" si="209"/>
        <v>0</v>
      </c>
      <c r="Z409" s="31">
        <f t="shared" si="210"/>
        <v>0.02</v>
      </c>
      <c r="AA409" s="16">
        <f t="shared" si="211"/>
        <v>0</v>
      </c>
      <c r="AB409" s="28">
        <f t="shared" si="232"/>
        <v>0</v>
      </c>
      <c r="AC409" s="28">
        <f>(SUM($AC$91:AC408)+SUM($X$91:X408)+X409)*T409*IF(D409=$A$91,SRP_finalmonthfactor,1)</f>
        <v>0</v>
      </c>
      <c r="AD409" s="16">
        <f t="shared" si="212"/>
        <v>0</v>
      </c>
      <c r="AE409" s="106"/>
      <c r="AF409" s="16">
        <f t="shared" si="220"/>
        <v>0</v>
      </c>
      <c r="AG409" s="16">
        <f t="shared" si="221"/>
        <v>0</v>
      </c>
      <c r="AH409" s="16">
        <f t="shared" si="222"/>
        <v>0</v>
      </c>
      <c r="AJ409" s="13">
        <f t="shared" si="238"/>
        <v>0</v>
      </c>
      <c r="AK409" s="13">
        <f t="shared" si="238"/>
        <v>0</v>
      </c>
      <c r="AL409" s="13">
        <f t="shared" si="238"/>
        <v>0</v>
      </c>
      <c r="AM409" s="13">
        <f t="shared" si="238"/>
        <v>0</v>
      </c>
      <c r="AN409" s="13">
        <f t="shared" si="238"/>
        <v>0</v>
      </c>
      <c r="AO409" s="13">
        <f t="shared" si="238"/>
        <v>1</v>
      </c>
      <c r="AP409" s="13">
        <f t="shared" si="238"/>
        <v>1</v>
      </c>
      <c r="AQ409" s="13">
        <f t="shared" si="238"/>
        <v>1</v>
      </c>
      <c r="AR409" s="13">
        <f t="shared" si="238"/>
        <v>0</v>
      </c>
      <c r="AS409" s="13">
        <f t="shared" si="238"/>
        <v>1</v>
      </c>
      <c r="AT409" s="13">
        <f t="shared" si="238"/>
        <v>1</v>
      </c>
      <c r="AU409" s="13">
        <f t="shared" si="238"/>
        <v>1</v>
      </c>
      <c r="AV409" s="13">
        <f t="shared" si="213"/>
        <v>0</v>
      </c>
      <c r="AW409" s="13">
        <f t="shared" si="214"/>
        <v>1</v>
      </c>
      <c r="AY409" s="17">
        <f t="shared" si="215"/>
        <v>319</v>
      </c>
      <c r="AZ409" s="28">
        <f t="shared" si="223"/>
        <v>0</v>
      </c>
      <c r="BA409" s="13">
        <f t="shared" si="216"/>
        <v>0</v>
      </c>
      <c r="BB409" s="13">
        <f t="shared" si="217"/>
        <v>0</v>
      </c>
      <c r="BC409" s="28">
        <f t="shared" si="224"/>
        <v>0</v>
      </c>
      <c r="BD409" s="28">
        <f t="shared" si="225"/>
        <v>0</v>
      </c>
      <c r="BF409" s="248">
        <f t="shared" si="226"/>
        <v>993869.29442638322</v>
      </c>
    </row>
    <row r="410" spans="1:58">
      <c r="A410" s="32">
        <f t="shared" si="227"/>
        <v>-235</v>
      </c>
      <c r="B410" s="32">
        <f t="shared" si="218"/>
        <v>79</v>
      </c>
      <c r="C410" s="32">
        <f t="shared" si="228"/>
        <v>27</v>
      </c>
      <c r="D410" s="32">
        <f t="shared" si="229"/>
        <v>320</v>
      </c>
      <c r="E410" s="74">
        <f>MIN(IF(AV410=0,0,
IF(Investment_Strategy="DIS",VLOOKUP(Investment_Strategy&amp;"_"&amp;Investment_Strategy_Sub1&amp;"_"&amp;$A410,'Investment Strategies'!$AZ:$BP,12,FALSE),
IF(AND(Investment_Strategy="Lifecycle",Investment_Strategy_Sub1="Non-Standard"),VLOOKUP(Investment_Strategy&amp;"_"&amp;Investment_Strategy_Sub2&amp;"_"&amp;$A410,'Investment Strategies'!$C:$P,9,FALSE),
IF(AND(Investment_Strategy="Lifecycle",Investment_Strategy_Sub1="Standard"),VLOOKUP(Investment_Strategy&amp;"_"&amp;Investment_Strategy_Sub2&amp;"_"&amp;$A410,'Investment Strategies'!$AJ:$AV,8,FALSE),
IF(AND(Investment_Strategy="Autopilot",Investment_Strategy_Sub1="Non-Standard"),VLOOKUP(Investment_Strategy&amp;"_"&amp;Investment_Strategy_Sub2&amp;"_"&amp;$A410,'Investment Strategies'!$T:$AF,8,FALSE),
IF(Investment_Strategy ="DIY",DIY_RateOfReturn_CurrentFunds,
"Error")))))),Max_InvReturn)</f>
        <v>0</v>
      </c>
      <c r="F410" s="62">
        <f>IF(AV410=0,0,
IF(Investment_Strategy="DIS",VLOOKUP(Investment_Strategy&amp;"_"&amp;Investment_Strategy_Sub1&amp;"_"&amp;$A410,'Investment Strategies'!$AZ:$BP,15,FALSE),
IF(AND(Investment_Strategy="Lifecycle",Investment_Strategy_Sub1="Non-Standard"),VLOOKUP(Investment_Strategy&amp;"_"&amp;Investment_Strategy_Sub2&amp;"_"&amp;$A410,'Investment Strategies'!$C:$P,12,FALSE),
IF(AND(Investment_Strategy="Lifecycle",Investment_Strategy_Sub1="Standard"),VLOOKUP(Investment_Strategy&amp;"_"&amp;Investment_Strategy_Sub2&amp;"_"&amp;$A410,'Investment Strategies'!$AJ:$AV,11,FALSE),
IF(AND(Investment_Strategy="Autopilot",Investment_Strategy_Sub1="Non-Standard"),VLOOKUP(Investment_Strategy&amp;"_"&amp;Investment_Strategy_Sub2&amp;"_"&amp;$A410,'Investment Strategies'!$T:$AF,11,FALSE),
IF(Investment_Strategy="DIY",DIY_GteeChrge_CurrentFunds,
"Error"))))))</f>
        <v>0</v>
      </c>
      <c r="G410" s="33">
        <f>IF(AV410=0,0,
IF(Investment_Strategy="DIS",VLOOKUP(Investment_Strategy&amp;"_"&amp;Investment_Strategy_Sub1&amp;"_"&amp;$A410,'Investment Strategies'!$AZ:$BP,17,FALSE),
IF(AND(Investment_Strategy="Lifecycle",Investment_Strategy_Sub1="Non-Standard"),VLOOKUP(Investment_Strategy&amp;"_"&amp;Investment_Strategy_Sub2&amp;"_"&amp;$A410,'Investment Strategies'!$C:$P,14,FALSE),
IF(AND(Investment_Strategy="Lifecycle",Investment_Strategy_Sub1="Standard"),VLOOKUP(Investment_Strategy&amp;"_"&amp;Investment_Strategy_Sub2&amp;"_"&amp;$A410,'Investment Strategies'!$AJ:$AV,13,FALSE),
IF(AND(Investment_Strategy="Autopilot",Investment_Strategy_Sub1="Non-Standard"),VLOOKUP(Investment_Strategy&amp;"_"&amp;Investment_Strategy_Sub2&amp;"_"&amp;$A410,'Investment Strategies'!$T:$AF,13,FALSE),
IF(Investment_Strategy="DIY",DIY_ExtManChrge_CurrentFunds,
"Error"))))))</f>
        <v>0</v>
      </c>
      <c r="H410" s="16">
        <f t="shared" si="219"/>
        <v>0</v>
      </c>
      <c r="I410" s="16">
        <f t="shared" si="205"/>
        <v>0</v>
      </c>
      <c r="J410" s="16">
        <f t="shared" si="206"/>
        <v>0</v>
      </c>
      <c r="K410" s="16">
        <f>(Opening_Fund_Value+SUM(K$91:K409))*E410*IF(D410=$A$91,SRP_finalmonthfactor,1)</f>
        <v>0</v>
      </c>
      <c r="L410" s="74">
        <f>MIN(IF($AV410=0,0,
IF(Investment_Strategy="DIS",VLOOKUP(Investment_Strategy&amp;"_"&amp;Investment_Strategy_Sub1&amp;"_"&amp;$A410,'Investment Strategies'!$AZ:$BP,12,FALSE),
IF(AND(Investment_Strategy="Lifecycle",Investment_Strategy_Sub1="Non-Standard"),VLOOKUP(Investment_Strategy&amp;"_"&amp;Investment_Strategy_Sub2&amp;"_"&amp;$A410,'Investment Strategies'!$C:$P,9,FALSE),
IF(AND(Investment_Strategy="Lifecycle",Investment_Strategy_Sub1="Standard"),VLOOKUP(Investment_Strategy&amp;"_"&amp;Investment_Strategy_Sub2&amp;"_"&amp;$A410,'Investment Strategies'!$AJ:$AV,8,FALSE),
IF(AND(Investment_Strategy="Autopilot",Investment_Strategy_Sub1="Non-Standard"),VLOOKUP(Investment_Strategy&amp;"_"&amp;Investment_Strategy_Sub2&amp;"_"&amp;$A410,'Investment Strategies'!$T:$AF,8,FALSE),
IF(Investment_Strategy ="DIY",DIY_RateofReturn_SP,
"Error")))))),Max_InvReturn)</f>
        <v>0</v>
      </c>
      <c r="M410" s="62">
        <f>IF($AV410=0,0,
IF(Investment_Strategy="DIS",VLOOKUP(Investment_Strategy&amp;"_"&amp;Investment_Strategy_Sub1&amp;"_"&amp;$A410,'Investment Strategies'!$AZ:$BP,15,FALSE),
IF(AND(Investment_Strategy="Lifecycle",Investment_Strategy_Sub1="Non-Standard"),VLOOKUP(Investment_Strategy&amp;"_"&amp;Investment_Strategy_Sub2&amp;"_"&amp;$A410,'Investment Strategies'!$C:$P,12,FALSE),
IF(AND(Investment_Strategy="Lifecycle",Investment_Strategy_Sub1="Standard"),VLOOKUP(Investment_Strategy&amp;"_"&amp;Investment_Strategy_Sub2&amp;"_"&amp;$A410,'Investment Strategies'!$AJ:$AV,11,FALSE),
IF(AND(Investment_Strategy="Autopilot",Investment_Strategy_Sub1="Non-Standard"),VLOOKUP(Investment_Strategy&amp;"_"&amp;Investment_Strategy_Sub2&amp;"_"&amp;$A410,'Investment Strategies'!$T:$AF,11,FALSE),
IF(Investment_Strategy="DIY",DIY_GteeChrge_SP,
"Error"))))))</f>
        <v>0</v>
      </c>
      <c r="N410" s="33">
        <f>IF($AV410=0,0,
IF(Investment_Strategy="DIS",VLOOKUP(Investment_Strategy&amp;"_"&amp;Investment_Strategy_Sub1&amp;"_"&amp;$A410,'Investment Strategies'!$AZ:$BP,17,FALSE),
IF(AND(Investment_Strategy="Lifecycle",Investment_Strategy_Sub1="Non-Standard"),VLOOKUP(Investment_Strategy&amp;"_"&amp;Investment_Strategy_Sub2&amp;"_"&amp;$A410,'Investment Strategies'!$C:$P,14,FALSE),
IF(AND(Investment_Strategy="Lifecycle",Investment_Strategy_Sub1="Standard"),VLOOKUP(Investment_Strategy&amp;"_"&amp;Investment_Strategy_Sub2&amp;"_"&amp;$A410,'Investment Strategies'!$AJ:$AV,13,FALSE),
IF(AND(Investment_Strategy="Autopilot",Investment_Strategy_Sub1="Non-Standard"),VLOOKUP(Investment_Strategy&amp;"_"&amp;Investment_Strategy_Sub2&amp;"_"&amp;$A410,'Investment Strategies'!$T:$AF,13,FALSE),
IF(Investment_Strategy="DIY",DIY_ExtManChrge_SP,
"Error"))))))</f>
        <v>0</v>
      </c>
      <c r="O410" s="16">
        <f t="shared" si="230"/>
        <v>0</v>
      </c>
      <c r="Q410" s="16">
        <f t="shared" si="207"/>
        <v>0</v>
      </c>
      <c r="R410" s="16">
        <f t="shared" si="239"/>
        <v>0</v>
      </c>
      <c r="S410" s="16">
        <f>(SRP_SP+SUM(S$91:S409))*L410*IF(D410=$A$91,SRP_finalmonthfactor,1)</f>
        <v>0</v>
      </c>
      <c r="T410" s="74">
        <f>MIN(IF($AV410=0,0,
IF(Investment_Strategy="DIS",VLOOKUP(Investment_Strategy&amp;"_"&amp;Investment_Strategy_Sub1&amp;"_"&amp;$A410,'Investment Strategies'!$AZ:$BP,12,FALSE),
IF(AND(Investment_Strategy="Lifecycle",Investment_Strategy_Sub1="Non-Standard"),VLOOKUP(Investment_Strategy&amp;"_"&amp;Investment_Strategy_Sub2&amp;"_"&amp;$A410,'Investment Strategies'!$C:$P,9,FALSE),
IF(AND(Investment_Strategy="Lifecycle",Investment_Strategy_Sub1="Standard"),VLOOKUP(Investment_Strategy&amp;"_"&amp;Investment_Strategy_Sub2&amp;"_"&amp;$A410,'Investment Strategies'!$AJ:$AV,8,FALSE),
IF(AND(Investment_Strategy="Autopilot",Investment_Strategy_Sub1="Non-Standard"),VLOOKUP(Investment_Strategy&amp;"_"&amp;Investment_Strategy_Sub2&amp;"_"&amp;$A410,'Investment Strategies'!$T:$AF,8,FALSE),
IF(Investment_Strategy ="DIY",DIY_RateOfReturn_FuturePremiums,
"Error")))))),Max_InvReturn)</f>
        <v>0</v>
      </c>
      <c r="U410" s="62">
        <f>IF($AV410=0,0,
IF(Investment_Strategy="DIS",VLOOKUP(Investment_Strategy&amp;"_"&amp;Investment_Strategy_Sub1&amp;"_"&amp;$A410,'Investment Strategies'!$AZ:$BP,15,FALSE),
IF(AND(Investment_Strategy="Lifecycle",Investment_Strategy_Sub1="Non-Standard"),VLOOKUP(Investment_Strategy&amp;"_"&amp;Investment_Strategy_Sub2&amp;"_"&amp;$A410,'Investment Strategies'!$C:$P,12,FALSE),
IF(AND(Investment_Strategy="Lifecycle",Investment_Strategy_Sub1="Standard"),VLOOKUP(Investment_Strategy&amp;"_"&amp;Investment_Strategy_Sub2&amp;"_"&amp;$A410,'Investment Strategies'!$AJ:$AV,11,FALSE),
IF(AND(Investment_Strategy="Autopilot",Investment_Strategy_Sub1="Non-Standard"),VLOOKUP(Investment_Strategy&amp;"_"&amp;Investment_Strategy_Sub2&amp;"_"&amp;$A410,'Investment Strategies'!$T:$AF,11,FALSE),
IF(Investment_Strategy="DIY",DIY_GteeChrge_FuturePremiums,
"Error"))))))</f>
        <v>0</v>
      </c>
      <c r="V410" s="33">
        <f>IF(AV410=0,0,
IF(Investment_Strategy="DIS",VLOOKUP(Investment_Strategy&amp;"_"&amp;Investment_Strategy_Sub1&amp;"_"&amp;$A410,'Investment Strategies'!$AZ:$BP,17,FALSE),
IF(AND(Investment_Strategy="Lifecycle",Investment_Strategy_Sub1="Non-Standard"),VLOOKUP(Investment_Strategy&amp;"_"&amp;Investment_Strategy_Sub2&amp;"_"&amp;$A410,'Investment Strategies'!$C:$P,14,FALSE),
IF(AND(Investment_Strategy="Lifecycle",Investment_Strategy_Sub1="Standard"),VLOOKUP(Investment_Strategy&amp;"_"&amp;Investment_Strategy_Sub2&amp;"_"&amp;$A410,'Investment Strategies'!$AJ:$AV,13,FALSE),
IF(AND(Investment_Strategy="Autopilot",Investment_Strategy_Sub1="Non-Standard"),VLOOKUP(Investment_Strategy&amp;"_"&amp;Investment_Strategy_Sub2&amp;"_"&amp;$A410,'Investment Strategies'!$T:$AF,13,FALSE),
IF(Investment_Strategy="DIY",DIY_ExtManChrge_FuturePremiums,
"Error"))))))</f>
        <v>0</v>
      </c>
      <c r="W410" s="16">
        <f t="shared" si="231"/>
        <v>0</v>
      </c>
      <c r="X410" s="16">
        <f t="shared" si="208"/>
        <v>0</v>
      </c>
      <c r="Y410" s="16">
        <f t="shared" si="209"/>
        <v>0</v>
      </c>
      <c r="Z410" s="31">
        <f t="shared" si="210"/>
        <v>0.02</v>
      </c>
      <c r="AA410" s="16">
        <f t="shared" si="211"/>
        <v>0</v>
      </c>
      <c r="AB410" s="28">
        <f t="shared" si="232"/>
        <v>0</v>
      </c>
      <c r="AC410" s="28">
        <f>(SUM($AC$91:AC409)+SUM($X$91:X409)+X410)*T410*IF(D410=$A$91,SRP_finalmonthfactor,1)</f>
        <v>0</v>
      </c>
      <c r="AD410" s="16">
        <f t="shared" si="212"/>
        <v>0</v>
      </c>
      <c r="AE410" s="106"/>
      <c r="AF410" s="16">
        <f t="shared" si="220"/>
        <v>0</v>
      </c>
      <c r="AG410" s="16">
        <f t="shared" si="221"/>
        <v>0</v>
      </c>
      <c r="AH410" s="16">
        <f t="shared" si="222"/>
        <v>0</v>
      </c>
      <c r="AJ410" s="13">
        <f t="shared" si="238"/>
        <v>0</v>
      </c>
      <c r="AK410" s="13">
        <f t="shared" si="238"/>
        <v>0</v>
      </c>
      <c r="AL410" s="13">
        <f t="shared" si="238"/>
        <v>0</v>
      </c>
      <c r="AM410" s="13">
        <f t="shared" si="238"/>
        <v>0</v>
      </c>
      <c r="AN410" s="13">
        <f t="shared" si="238"/>
        <v>0</v>
      </c>
      <c r="AO410" s="13">
        <f t="shared" si="238"/>
        <v>1</v>
      </c>
      <c r="AP410" s="13">
        <f t="shared" si="238"/>
        <v>1</v>
      </c>
      <c r="AQ410" s="13">
        <f t="shared" si="238"/>
        <v>1</v>
      </c>
      <c r="AR410" s="13">
        <f t="shared" si="238"/>
        <v>0</v>
      </c>
      <c r="AS410" s="13">
        <f t="shared" si="238"/>
        <v>1</v>
      </c>
      <c r="AT410" s="13">
        <f t="shared" si="238"/>
        <v>1</v>
      </c>
      <c r="AU410" s="13">
        <f t="shared" si="238"/>
        <v>1</v>
      </c>
      <c r="AV410" s="13">
        <f t="shared" si="213"/>
        <v>0</v>
      </c>
      <c r="AW410" s="13">
        <f t="shared" si="214"/>
        <v>1</v>
      </c>
      <c r="AY410" s="17">
        <f t="shared" si="215"/>
        <v>320</v>
      </c>
      <c r="AZ410" s="28">
        <f t="shared" si="223"/>
        <v>0</v>
      </c>
      <c r="BA410" s="13">
        <f t="shared" si="216"/>
        <v>0</v>
      </c>
      <c r="BB410" s="13">
        <f t="shared" si="217"/>
        <v>0</v>
      </c>
      <c r="BC410" s="28">
        <f t="shared" si="224"/>
        <v>0</v>
      </c>
      <c r="BD410" s="28">
        <f t="shared" si="225"/>
        <v>0</v>
      </c>
      <c r="BF410" s="248">
        <f t="shared" si="226"/>
        <v>993869.29442638322</v>
      </c>
    </row>
    <row r="411" spans="1:58">
      <c r="A411" s="32">
        <f t="shared" si="227"/>
        <v>-236</v>
      </c>
      <c r="B411" s="32">
        <f t="shared" si="218"/>
        <v>79</v>
      </c>
      <c r="C411" s="32">
        <f t="shared" si="228"/>
        <v>27</v>
      </c>
      <c r="D411" s="32">
        <f t="shared" si="229"/>
        <v>321</v>
      </c>
      <c r="E411" s="74">
        <f>MIN(IF(AV411=0,0,
IF(Investment_Strategy="DIS",VLOOKUP(Investment_Strategy&amp;"_"&amp;Investment_Strategy_Sub1&amp;"_"&amp;$A411,'Investment Strategies'!$AZ:$BP,12,FALSE),
IF(AND(Investment_Strategy="Lifecycle",Investment_Strategy_Sub1="Non-Standard"),VLOOKUP(Investment_Strategy&amp;"_"&amp;Investment_Strategy_Sub2&amp;"_"&amp;$A411,'Investment Strategies'!$C:$P,9,FALSE),
IF(AND(Investment_Strategy="Lifecycle",Investment_Strategy_Sub1="Standard"),VLOOKUP(Investment_Strategy&amp;"_"&amp;Investment_Strategy_Sub2&amp;"_"&amp;$A411,'Investment Strategies'!$AJ:$AV,8,FALSE),
IF(AND(Investment_Strategy="Autopilot",Investment_Strategy_Sub1="Non-Standard"),VLOOKUP(Investment_Strategy&amp;"_"&amp;Investment_Strategy_Sub2&amp;"_"&amp;$A411,'Investment Strategies'!$T:$AF,8,FALSE),
IF(Investment_Strategy ="DIY",DIY_RateOfReturn_CurrentFunds,
"Error")))))),Max_InvReturn)</f>
        <v>0</v>
      </c>
      <c r="F411" s="62">
        <f>IF(AV411=0,0,
IF(Investment_Strategy="DIS",VLOOKUP(Investment_Strategy&amp;"_"&amp;Investment_Strategy_Sub1&amp;"_"&amp;$A411,'Investment Strategies'!$AZ:$BP,15,FALSE),
IF(AND(Investment_Strategy="Lifecycle",Investment_Strategy_Sub1="Non-Standard"),VLOOKUP(Investment_Strategy&amp;"_"&amp;Investment_Strategy_Sub2&amp;"_"&amp;$A411,'Investment Strategies'!$C:$P,12,FALSE),
IF(AND(Investment_Strategy="Lifecycle",Investment_Strategy_Sub1="Standard"),VLOOKUP(Investment_Strategy&amp;"_"&amp;Investment_Strategy_Sub2&amp;"_"&amp;$A411,'Investment Strategies'!$AJ:$AV,11,FALSE),
IF(AND(Investment_Strategy="Autopilot",Investment_Strategy_Sub1="Non-Standard"),VLOOKUP(Investment_Strategy&amp;"_"&amp;Investment_Strategy_Sub2&amp;"_"&amp;$A411,'Investment Strategies'!$T:$AF,11,FALSE),
IF(Investment_Strategy="DIY",DIY_GteeChrge_CurrentFunds,
"Error"))))))</f>
        <v>0</v>
      </c>
      <c r="G411" s="33">
        <f>IF(AV411=0,0,
IF(Investment_Strategy="DIS",VLOOKUP(Investment_Strategy&amp;"_"&amp;Investment_Strategy_Sub1&amp;"_"&amp;$A411,'Investment Strategies'!$AZ:$BP,17,FALSE),
IF(AND(Investment_Strategy="Lifecycle",Investment_Strategy_Sub1="Non-Standard"),VLOOKUP(Investment_Strategy&amp;"_"&amp;Investment_Strategy_Sub2&amp;"_"&amp;$A411,'Investment Strategies'!$C:$P,14,FALSE),
IF(AND(Investment_Strategy="Lifecycle",Investment_Strategy_Sub1="Standard"),VLOOKUP(Investment_Strategy&amp;"_"&amp;Investment_Strategy_Sub2&amp;"_"&amp;$A411,'Investment Strategies'!$AJ:$AV,13,FALSE),
IF(AND(Investment_Strategy="Autopilot",Investment_Strategy_Sub1="Non-Standard"),VLOOKUP(Investment_Strategy&amp;"_"&amp;Investment_Strategy_Sub2&amp;"_"&amp;$A411,'Investment Strategies'!$T:$AF,13,FALSE),
IF(Investment_Strategy="DIY",DIY_ExtManChrge_CurrentFunds,
"Error"))))))</f>
        <v>0</v>
      </c>
      <c r="H411" s="16">
        <f t="shared" si="219"/>
        <v>0</v>
      </c>
      <c r="I411" s="16">
        <f t="shared" ref="I411:I474" si="240">(H411*E411)*IF(D411=$A$91,SRP_finalmonthfactor,1)</f>
        <v>0</v>
      </c>
      <c r="J411" s="16">
        <f t="shared" ref="J411:J474" si="241">IF($AV411=0,0,
-((H411+I411/2)*(SRP_Monthly_Admin_Chge+F411+G411)*IF(D411=$A$91,SRP_finalmonthfactor,1)))</f>
        <v>0</v>
      </c>
      <c r="K411" s="16">
        <f>(Opening_Fund_Value+SUM(K$91:K410))*E411*IF(D411=$A$91,SRP_finalmonthfactor,1)</f>
        <v>0</v>
      </c>
      <c r="L411" s="74">
        <f>MIN(IF($AV411=0,0,
IF(Investment_Strategy="DIS",VLOOKUP(Investment_Strategy&amp;"_"&amp;Investment_Strategy_Sub1&amp;"_"&amp;$A411,'Investment Strategies'!$AZ:$BP,12,FALSE),
IF(AND(Investment_Strategy="Lifecycle",Investment_Strategy_Sub1="Non-Standard"),VLOOKUP(Investment_Strategy&amp;"_"&amp;Investment_Strategy_Sub2&amp;"_"&amp;$A411,'Investment Strategies'!$C:$P,9,FALSE),
IF(AND(Investment_Strategy="Lifecycle",Investment_Strategy_Sub1="Standard"),VLOOKUP(Investment_Strategy&amp;"_"&amp;Investment_Strategy_Sub2&amp;"_"&amp;$A411,'Investment Strategies'!$AJ:$AV,8,FALSE),
IF(AND(Investment_Strategy="Autopilot",Investment_Strategy_Sub1="Non-Standard"),VLOOKUP(Investment_Strategy&amp;"_"&amp;Investment_Strategy_Sub2&amp;"_"&amp;$A411,'Investment Strategies'!$T:$AF,8,FALSE),
IF(Investment_Strategy ="DIY",DIY_RateofReturn_SP,
"Error")))))),Max_InvReturn)</f>
        <v>0</v>
      </c>
      <c r="M411" s="62">
        <f>IF($AV411=0,0,
IF(Investment_Strategy="DIS",VLOOKUP(Investment_Strategy&amp;"_"&amp;Investment_Strategy_Sub1&amp;"_"&amp;$A411,'Investment Strategies'!$AZ:$BP,15,FALSE),
IF(AND(Investment_Strategy="Lifecycle",Investment_Strategy_Sub1="Non-Standard"),VLOOKUP(Investment_Strategy&amp;"_"&amp;Investment_Strategy_Sub2&amp;"_"&amp;$A411,'Investment Strategies'!$C:$P,12,FALSE),
IF(AND(Investment_Strategy="Lifecycle",Investment_Strategy_Sub1="Standard"),VLOOKUP(Investment_Strategy&amp;"_"&amp;Investment_Strategy_Sub2&amp;"_"&amp;$A411,'Investment Strategies'!$AJ:$AV,11,FALSE),
IF(AND(Investment_Strategy="Autopilot",Investment_Strategy_Sub1="Non-Standard"),VLOOKUP(Investment_Strategy&amp;"_"&amp;Investment_Strategy_Sub2&amp;"_"&amp;$A411,'Investment Strategies'!$T:$AF,11,FALSE),
IF(Investment_Strategy="DIY",DIY_GteeChrge_SP,
"Error"))))))</f>
        <v>0</v>
      </c>
      <c r="N411" s="33">
        <f>IF($AV411=0,0,
IF(Investment_Strategy="DIS",VLOOKUP(Investment_Strategy&amp;"_"&amp;Investment_Strategy_Sub1&amp;"_"&amp;$A411,'Investment Strategies'!$AZ:$BP,17,FALSE),
IF(AND(Investment_Strategy="Lifecycle",Investment_Strategy_Sub1="Non-Standard"),VLOOKUP(Investment_Strategy&amp;"_"&amp;Investment_Strategy_Sub2&amp;"_"&amp;$A411,'Investment Strategies'!$C:$P,14,FALSE),
IF(AND(Investment_Strategy="Lifecycle",Investment_Strategy_Sub1="Standard"),VLOOKUP(Investment_Strategy&amp;"_"&amp;Investment_Strategy_Sub2&amp;"_"&amp;$A411,'Investment Strategies'!$AJ:$AV,13,FALSE),
IF(AND(Investment_Strategy="Autopilot",Investment_Strategy_Sub1="Non-Standard"),VLOOKUP(Investment_Strategy&amp;"_"&amp;Investment_Strategy_Sub2&amp;"_"&amp;$A411,'Investment Strategies'!$T:$AF,13,FALSE),
IF(Investment_Strategy="DIY",DIY_ExtManChrge_SP,
"Error"))))))</f>
        <v>0</v>
      </c>
      <c r="O411" s="16">
        <f t="shared" si="230"/>
        <v>0</v>
      </c>
      <c r="Q411" s="16">
        <f t="shared" ref="Q411:Q474" si="242">(O411+(P411*(1-SRP_Contrib_Chge_SP)))*L411*IF(D411=$A$91,SRP_finalmonthfactor,1)</f>
        <v>0</v>
      </c>
      <c r="R411" s="16">
        <f t="shared" si="239"/>
        <v>0</v>
      </c>
      <c r="S411" s="16">
        <f>(SRP_SP+SUM(S$91:S410))*L411*IF(D411=$A$91,SRP_finalmonthfactor,1)</f>
        <v>0</v>
      </c>
      <c r="T411" s="74">
        <f>MIN(IF($AV411=0,0,
IF(Investment_Strategy="DIS",VLOOKUP(Investment_Strategy&amp;"_"&amp;Investment_Strategy_Sub1&amp;"_"&amp;$A411,'Investment Strategies'!$AZ:$BP,12,FALSE),
IF(AND(Investment_Strategy="Lifecycle",Investment_Strategy_Sub1="Non-Standard"),VLOOKUP(Investment_Strategy&amp;"_"&amp;Investment_Strategy_Sub2&amp;"_"&amp;$A411,'Investment Strategies'!$C:$P,9,FALSE),
IF(AND(Investment_Strategy="Lifecycle",Investment_Strategy_Sub1="Standard"),VLOOKUP(Investment_Strategy&amp;"_"&amp;Investment_Strategy_Sub2&amp;"_"&amp;$A411,'Investment Strategies'!$AJ:$AV,8,FALSE),
IF(AND(Investment_Strategy="Autopilot",Investment_Strategy_Sub1="Non-Standard"),VLOOKUP(Investment_Strategy&amp;"_"&amp;Investment_Strategy_Sub2&amp;"_"&amp;$A411,'Investment Strategies'!$T:$AF,8,FALSE),
IF(Investment_Strategy ="DIY",DIY_RateOfReturn_FuturePremiums,
"Error")))))),Max_InvReturn)</f>
        <v>0</v>
      </c>
      <c r="U411" s="62">
        <f>IF($AV411=0,0,
IF(Investment_Strategy="DIS",VLOOKUP(Investment_Strategy&amp;"_"&amp;Investment_Strategy_Sub1&amp;"_"&amp;$A411,'Investment Strategies'!$AZ:$BP,15,FALSE),
IF(AND(Investment_Strategy="Lifecycle",Investment_Strategy_Sub1="Non-Standard"),VLOOKUP(Investment_Strategy&amp;"_"&amp;Investment_Strategy_Sub2&amp;"_"&amp;$A411,'Investment Strategies'!$C:$P,12,FALSE),
IF(AND(Investment_Strategy="Lifecycle",Investment_Strategy_Sub1="Standard"),VLOOKUP(Investment_Strategy&amp;"_"&amp;Investment_Strategy_Sub2&amp;"_"&amp;$A411,'Investment Strategies'!$AJ:$AV,11,FALSE),
IF(AND(Investment_Strategy="Autopilot",Investment_Strategy_Sub1="Non-Standard"),VLOOKUP(Investment_Strategy&amp;"_"&amp;Investment_Strategy_Sub2&amp;"_"&amp;$A411,'Investment Strategies'!$T:$AF,11,FALSE),
IF(Investment_Strategy="DIY",DIY_GteeChrge_FuturePremiums,
"Error"))))))</f>
        <v>0</v>
      </c>
      <c r="V411" s="33">
        <f>IF(AV411=0,0,
IF(Investment_Strategy="DIS",VLOOKUP(Investment_Strategy&amp;"_"&amp;Investment_Strategy_Sub1&amp;"_"&amp;$A411,'Investment Strategies'!$AZ:$BP,17,FALSE),
IF(AND(Investment_Strategy="Lifecycle",Investment_Strategy_Sub1="Non-Standard"),VLOOKUP(Investment_Strategy&amp;"_"&amp;Investment_Strategy_Sub2&amp;"_"&amp;$A411,'Investment Strategies'!$C:$P,14,FALSE),
IF(AND(Investment_Strategy="Lifecycle",Investment_Strategy_Sub1="Standard"),VLOOKUP(Investment_Strategy&amp;"_"&amp;Investment_Strategy_Sub2&amp;"_"&amp;$A411,'Investment Strategies'!$AJ:$AV,13,FALSE),
IF(AND(Investment_Strategy="Autopilot",Investment_Strategy_Sub1="Non-Standard"),VLOOKUP(Investment_Strategy&amp;"_"&amp;Investment_Strategy_Sub2&amp;"_"&amp;$A411,'Investment Strategies'!$T:$AF,13,FALSE),
IF(Investment_Strategy="DIY",DIY_ExtManChrge_FuturePremiums,
"Error"))))))</f>
        <v>0</v>
      </c>
      <c r="W411" s="16">
        <f t="shared" si="231"/>
        <v>0</v>
      </c>
      <c r="X411" s="16">
        <f t="shared" ref="X411:X474" si="243">SRP_AP/Contributions_per_year * (1+MIN(Max_Contrib_Escalation,SRP_Contrib_Escalation))^($C411-1) * $AV411 * $AW411</f>
        <v>0</v>
      </c>
      <c r="Y411" s="16">
        <f t="shared" ref="Y411:Y474" si="244">(W411+(X411*(1-Z411)))*T411*IF(D411=$A$91,SRP_finalmonthfactor,1)</f>
        <v>0</v>
      </c>
      <c r="Z411" s="31">
        <f t="shared" ref="Z411:Z474" si="245">IF(X411/(12/Contributions_per_year)&lt;=99.99,2%,0%)*AW411</f>
        <v>0.02</v>
      </c>
      <c r="AA411" s="16">
        <f t="shared" ref="AA411:AA474" si="246">IF($AV411=0,0,
-(($W411+($X411)*(1-Z411)+Y411/2)*(SRP_Monthly_Admin_Chge+$U411+$V411)*IF(D411=$A$91,SRP_finalmonthfactor,1)+
+($X411)*Z411))</f>
        <v>0</v>
      </c>
      <c r="AB411" s="28">
        <f t="shared" si="232"/>
        <v>0</v>
      </c>
      <c r="AC411" s="28">
        <f>(SUM($AC$91:AC410)+SUM($X$91:X410)+X411)*T411*IF(D411=$A$91,SRP_finalmonthfactor,1)</f>
        <v>0</v>
      </c>
      <c r="AD411" s="16">
        <f t="shared" ref="AD411:AD474" si="247">IF($AV411=0,0,
IF((SRP_ValDate-SRP_PolicyStartDate)+(365*(D411-1)/12)&lt;365,-(($H411+$I411/2+$O411+$P411+Q411/2+$W411+$X411+Y411/2)*(SRP_Ren_Com_Mthly)+($P411*SRP_Init_Com_SP)+($X411*SRP_Init_Com_RP)),
-((H$91+$I411/2+$O411+$P411+Q411/2+$W411+$X411+Y411/2)*(SRP_Ren_Com_Mthly))))</f>
        <v>0</v>
      </c>
      <c r="AE411" s="106"/>
      <c r="AF411" s="16">
        <f t="shared" si="220"/>
        <v>0</v>
      </c>
      <c r="AG411" s="16">
        <f t="shared" si="221"/>
        <v>0</v>
      </c>
      <c r="AH411" s="16">
        <f t="shared" si="222"/>
        <v>0</v>
      </c>
      <c r="AJ411" s="13">
        <f t="shared" ref="AJ411:AU420" si="248">IF($C411&lt;=AJ$90,1,0)</f>
        <v>0</v>
      </c>
      <c r="AK411" s="13">
        <f t="shared" si="248"/>
        <v>0</v>
      </c>
      <c r="AL411" s="13">
        <f t="shared" si="248"/>
        <v>0</v>
      </c>
      <c r="AM411" s="13">
        <f t="shared" si="248"/>
        <v>0</v>
      </c>
      <c r="AN411" s="13">
        <f t="shared" si="248"/>
        <v>0</v>
      </c>
      <c r="AO411" s="13">
        <f t="shared" si="248"/>
        <v>1</v>
      </c>
      <c r="AP411" s="13">
        <f t="shared" si="248"/>
        <v>1</v>
      </c>
      <c r="AQ411" s="13">
        <f t="shared" si="248"/>
        <v>1</v>
      </c>
      <c r="AR411" s="13">
        <f t="shared" si="248"/>
        <v>0</v>
      </c>
      <c r="AS411" s="13">
        <f t="shared" si="248"/>
        <v>1</v>
      </c>
      <c r="AT411" s="13">
        <f t="shared" si="248"/>
        <v>1</v>
      </c>
      <c r="AU411" s="13">
        <f t="shared" si="248"/>
        <v>1</v>
      </c>
      <c r="AV411" s="13">
        <f t="shared" ref="AV411:AV474" si="249">IF($B411&lt;SRP_NRA,1,0)</f>
        <v>0</v>
      </c>
      <c r="AW411" s="13">
        <f t="shared" ref="AW411:AW474" si="250">IF($I$60 = "Yes",IF(SRP_PremFreq = "Annual",IF(MOD(D411-1, 12) = 0, 1, 0), IF(SRP_PremFreq = "Half-Yearly", IF(MOD(D411-1, 6) = 0, 1, 0), IF(SRP_PremFreq = "Quarterly", IF(MOD(D411-1, 3) = 0, 1, 0), IF(SRP_PremFreq = "Monthly", IF(MOD(D411-1, 1) = 0, 1, 0), "Error")))),0)</f>
        <v>1</v>
      </c>
      <c r="AY411" s="17">
        <f t="shared" ref="AY411:AY474" si="251">D411</f>
        <v>321</v>
      </c>
      <c r="AZ411" s="28">
        <f t="shared" si="223"/>
        <v>0</v>
      </c>
      <c r="BA411" s="13">
        <f t="shared" ref="BA411:BA474" si="252">-IF(A411=0,$F$32,0)</f>
        <v>0</v>
      </c>
      <c r="BB411" s="13">
        <f t="shared" ref="BB411:BB474" si="253">-IF(A411=0,$G$32,0)</f>
        <v>0</v>
      </c>
      <c r="BC411" s="28">
        <f t="shared" si="224"/>
        <v>0</v>
      </c>
      <c r="BD411" s="28">
        <f t="shared" si="225"/>
        <v>0</v>
      </c>
      <c r="BF411" s="248">
        <f t="shared" si="226"/>
        <v>993869.29442638322</v>
      </c>
    </row>
    <row r="412" spans="1:58">
      <c r="A412" s="32">
        <f t="shared" si="227"/>
        <v>-237</v>
      </c>
      <c r="B412" s="32">
        <f t="shared" ref="B412:B475" si="254">INT(SRP_Current_Age+D411/12)</f>
        <v>79</v>
      </c>
      <c r="C412" s="32">
        <f t="shared" si="228"/>
        <v>27</v>
      </c>
      <c r="D412" s="32">
        <f t="shared" si="229"/>
        <v>322</v>
      </c>
      <c r="E412" s="74">
        <f>MIN(IF(AV412=0,0,
IF(Investment_Strategy="DIS",VLOOKUP(Investment_Strategy&amp;"_"&amp;Investment_Strategy_Sub1&amp;"_"&amp;$A412,'Investment Strategies'!$AZ:$BP,12,FALSE),
IF(AND(Investment_Strategy="Lifecycle",Investment_Strategy_Sub1="Non-Standard"),VLOOKUP(Investment_Strategy&amp;"_"&amp;Investment_Strategy_Sub2&amp;"_"&amp;$A412,'Investment Strategies'!$C:$P,9,FALSE),
IF(AND(Investment_Strategy="Lifecycle",Investment_Strategy_Sub1="Standard"),VLOOKUP(Investment_Strategy&amp;"_"&amp;Investment_Strategy_Sub2&amp;"_"&amp;$A412,'Investment Strategies'!$AJ:$AV,8,FALSE),
IF(AND(Investment_Strategy="Autopilot",Investment_Strategy_Sub1="Non-Standard"),VLOOKUP(Investment_Strategy&amp;"_"&amp;Investment_Strategy_Sub2&amp;"_"&amp;$A412,'Investment Strategies'!$T:$AF,8,FALSE),
IF(Investment_Strategy ="DIY",DIY_RateOfReturn_CurrentFunds,
"Error")))))),Max_InvReturn)</f>
        <v>0</v>
      </c>
      <c r="F412" s="62">
        <f>IF(AV412=0,0,
IF(Investment_Strategy="DIS",VLOOKUP(Investment_Strategy&amp;"_"&amp;Investment_Strategy_Sub1&amp;"_"&amp;$A412,'Investment Strategies'!$AZ:$BP,15,FALSE),
IF(AND(Investment_Strategy="Lifecycle",Investment_Strategy_Sub1="Non-Standard"),VLOOKUP(Investment_Strategy&amp;"_"&amp;Investment_Strategy_Sub2&amp;"_"&amp;$A412,'Investment Strategies'!$C:$P,12,FALSE),
IF(AND(Investment_Strategy="Lifecycle",Investment_Strategy_Sub1="Standard"),VLOOKUP(Investment_Strategy&amp;"_"&amp;Investment_Strategy_Sub2&amp;"_"&amp;$A412,'Investment Strategies'!$AJ:$AV,11,FALSE),
IF(AND(Investment_Strategy="Autopilot",Investment_Strategy_Sub1="Non-Standard"),VLOOKUP(Investment_Strategy&amp;"_"&amp;Investment_Strategy_Sub2&amp;"_"&amp;$A412,'Investment Strategies'!$T:$AF,11,FALSE),
IF(Investment_Strategy="DIY",DIY_GteeChrge_CurrentFunds,
"Error"))))))</f>
        <v>0</v>
      </c>
      <c r="G412" s="33">
        <f>IF(AV412=0,0,
IF(Investment_Strategy="DIS",VLOOKUP(Investment_Strategy&amp;"_"&amp;Investment_Strategy_Sub1&amp;"_"&amp;$A412,'Investment Strategies'!$AZ:$BP,17,FALSE),
IF(AND(Investment_Strategy="Lifecycle",Investment_Strategy_Sub1="Non-Standard"),VLOOKUP(Investment_Strategy&amp;"_"&amp;Investment_Strategy_Sub2&amp;"_"&amp;$A412,'Investment Strategies'!$C:$P,14,FALSE),
IF(AND(Investment_Strategy="Lifecycle",Investment_Strategy_Sub1="Standard"),VLOOKUP(Investment_Strategy&amp;"_"&amp;Investment_Strategy_Sub2&amp;"_"&amp;$A412,'Investment Strategies'!$AJ:$AV,13,FALSE),
IF(AND(Investment_Strategy="Autopilot",Investment_Strategy_Sub1="Non-Standard"),VLOOKUP(Investment_Strategy&amp;"_"&amp;Investment_Strategy_Sub2&amp;"_"&amp;$A412,'Investment Strategies'!$T:$AF,13,FALSE),
IF(Investment_Strategy="DIY",DIY_ExtManChrge_CurrentFunds,
"Error"))))))</f>
        <v>0</v>
      </c>
      <c r="H412" s="16">
        <f t="shared" ref="H412:H475" si="255">IF($AV411=0,0,SUM(H411:J411))</f>
        <v>0</v>
      </c>
      <c r="I412" s="16">
        <f t="shared" si="240"/>
        <v>0</v>
      </c>
      <c r="J412" s="16">
        <f t="shared" si="241"/>
        <v>0</v>
      </c>
      <c r="K412" s="16">
        <f>(Opening_Fund_Value+SUM(K$91:K411))*E412*IF(D412=$A$91,SRP_finalmonthfactor,1)</f>
        <v>0</v>
      </c>
      <c r="L412" s="74">
        <f>MIN(IF($AV412=0,0,
IF(Investment_Strategy="DIS",VLOOKUP(Investment_Strategy&amp;"_"&amp;Investment_Strategy_Sub1&amp;"_"&amp;$A412,'Investment Strategies'!$AZ:$BP,12,FALSE),
IF(AND(Investment_Strategy="Lifecycle",Investment_Strategy_Sub1="Non-Standard"),VLOOKUP(Investment_Strategy&amp;"_"&amp;Investment_Strategy_Sub2&amp;"_"&amp;$A412,'Investment Strategies'!$C:$P,9,FALSE),
IF(AND(Investment_Strategy="Lifecycle",Investment_Strategy_Sub1="Standard"),VLOOKUP(Investment_Strategy&amp;"_"&amp;Investment_Strategy_Sub2&amp;"_"&amp;$A412,'Investment Strategies'!$AJ:$AV,8,FALSE),
IF(AND(Investment_Strategy="Autopilot",Investment_Strategy_Sub1="Non-Standard"),VLOOKUP(Investment_Strategy&amp;"_"&amp;Investment_Strategy_Sub2&amp;"_"&amp;$A412,'Investment Strategies'!$T:$AF,8,FALSE),
IF(Investment_Strategy ="DIY",DIY_RateofReturn_SP,
"Error")))))),Max_InvReturn)</f>
        <v>0</v>
      </c>
      <c r="M412" s="62">
        <f>IF($AV412=0,0,
IF(Investment_Strategy="DIS",VLOOKUP(Investment_Strategy&amp;"_"&amp;Investment_Strategy_Sub1&amp;"_"&amp;$A412,'Investment Strategies'!$AZ:$BP,15,FALSE),
IF(AND(Investment_Strategy="Lifecycle",Investment_Strategy_Sub1="Non-Standard"),VLOOKUP(Investment_Strategy&amp;"_"&amp;Investment_Strategy_Sub2&amp;"_"&amp;$A412,'Investment Strategies'!$C:$P,12,FALSE),
IF(AND(Investment_Strategy="Lifecycle",Investment_Strategy_Sub1="Standard"),VLOOKUP(Investment_Strategy&amp;"_"&amp;Investment_Strategy_Sub2&amp;"_"&amp;$A412,'Investment Strategies'!$AJ:$AV,11,FALSE),
IF(AND(Investment_Strategy="Autopilot",Investment_Strategy_Sub1="Non-Standard"),VLOOKUP(Investment_Strategy&amp;"_"&amp;Investment_Strategy_Sub2&amp;"_"&amp;$A412,'Investment Strategies'!$T:$AF,11,FALSE),
IF(Investment_Strategy="DIY",DIY_GteeChrge_SP,
"Error"))))))</f>
        <v>0</v>
      </c>
      <c r="N412" s="33">
        <f>IF($AV412=0,0,
IF(Investment_Strategy="DIS",VLOOKUP(Investment_Strategy&amp;"_"&amp;Investment_Strategy_Sub1&amp;"_"&amp;$A412,'Investment Strategies'!$AZ:$BP,17,FALSE),
IF(AND(Investment_Strategy="Lifecycle",Investment_Strategy_Sub1="Non-Standard"),VLOOKUP(Investment_Strategy&amp;"_"&amp;Investment_Strategy_Sub2&amp;"_"&amp;$A412,'Investment Strategies'!$C:$P,14,FALSE),
IF(AND(Investment_Strategy="Lifecycle",Investment_Strategy_Sub1="Standard"),VLOOKUP(Investment_Strategy&amp;"_"&amp;Investment_Strategy_Sub2&amp;"_"&amp;$A412,'Investment Strategies'!$AJ:$AV,13,FALSE),
IF(AND(Investment_Strategy="Autopilot",Investment_Strategy_Sub1="Non-Standard"),VLOOKUP(Investment_Strategy&amp;"_"&amp;Investment_Strategy_Sub2&amp;"_"&amp;$A412,'Investment Strategies'!$T:$AF,13,FALSE),
IF(Investment_Strategy="DIY",DIY_ExtManChrge_SP,
"Error"))))))</f>
        <v>0</v>
      </c>
      <c r="O412" s="16">
        <f t="shared" si="230"/>
        <v>0</v>
      </c>
      <c r="Q412" s="16">
        <f t="shared" si="242"/>
        <v>0</v>
      </c>
      <c r="R412" s="16">
        <f t="shared" si="239"/>
        <v>0</v>
      </c>
      <c r="S412" s="16">
        <f>(SRP_SP+SUM(S$91:S411))*L412*IF(D412=$A$91,SRP_finalmonthfactor,1)</f>
        <v>0</v>
      </c>
      <c r="T412" s="74">
        <f>MIN(IF($AV412=0,0,
IF(Investment_Strategy="DIS",VLOOKUP(Investment_Strategy&amp;"_"&amp;Investment_Strategy_Sub1&amp;"_"&amp;$A412,'Investment Strategies'!$AZ:$BP,12,FALSE),
IF(AND(Investment_Strategy="Lifecycle",Investment_Strategy_Sub1="Non-Standard"),VLOOKUP(Investment_Strategy&amp;"_"&amp;Investment_Strategy_Sub2&amp;"_"&amp;$A412,'Investment Strategies'!$C:$P,9,FALSE),
IF(AND(Investment_Strategy="Lifecycle",Investment_Strategy_Sub1="Standard"),VLOOKUP(Investment_Strategy&amp;"_"&amp;Investment_Strategy_Sub2&amp;"_"&amp;$A412,'Investment Strategies'!$AJ:$AV,8,FALSE),
IF(AND(Investment_Strategy="Autopilot",Investment_Strategy_Sub1="Non-Standard"),VLOOKUP(Investment_Strategy&amp;"_"&amp;Investment_Strategy_Sub2&amp;"_"&amp;$A412,'Investment Strategies'!$T:$AF,8,FALSE),
IF(Investment_Strategy ="DIY",DIY_RateOfReturn_FuturePremiums,
"Error")))))),Max_InvReturn)</f>
        <v>0</v>
      </c>
      <c r="U412" s="62">
        <f>IF($AV412=0,0,
IF(Investment_Strategy="DIS",VLOOKUP(Investment_Strategy&amp;"_"&amp;Investment_Strategy_Sub1&amp;"_"&amp;$A412,'Investment Strategies'!$AZ:$BP,15,FALSE),
IF(AND(Investment_Strategy="Lifecycle",Investment_Strategy_Sub1="Non-Standard"),VLOOKUP(Investment_Strategy&amp;"_"&amp;Investment_Strategy_Sub2&amp;"_"&amp;$A412,'Investment Strategies'!$C:$P,12,FALSE),
IF(AND(Investment_Strategy="Lifecycle",Investment_Strategy_Sub1="Standard"),VLOOKUP(Investment_Strategy&amp;"_"&amp;Investment_Strategy_Sub2&amp;"_"&amp;$A412,'Investment Strategies'!$AJ:$AV,11,FALSE),
IF(AND(Investment_Strategy="Autopilot",Investment_Strategy_Sub1="Non-Standard"),VLOOKUP(Investment_Strategy&amp;"_"&amp;Investment_Strategy_Sub2&amp;"_"&amp;$A412,'Investment Strategies'!$T:$AF,11,FALSE),
IF(Investment_Strategy="DIY",DIY_GteeChrge_FuturePremiums,
"Error"))))))</f>
        <v>0</v>
      </c>
      <c r="V412" s="33">
        <f>IF(AV412=0,0,
IF(Investment_Strategy="DIS",VLOOKUP(Investment_Strategy&amp;"_"&amp;Investment_Strategy_Sub1&amp;"_"&amp;$A412,'Investment Strategies'!$AZ:$BP,17,FALSE),
IF(AND(Investment_Strategy="Lifecycle",Investment_Strategy_Sub1="Non-Standard"),VLOOKUP(Investment_Strategy&amp;"_"&amp;Investment_Strategy_Sub2&amp;"_"&amp;$A412,'Investment Strategies'!$C:$P,14,FALSE),
IF(AND(Investment_Strategy="Lifecycle",Investment_Strategy_Sub1="Standard"),VLOOKUP(Investment_Strategy&amp;"_"&amp;Investment_Strategy_Sub2&amp;"_"&amp;$A412,'Investment Strategies'!$AJ:$AV,13,FALSE),
IF(AND(Investment_Strategy="Autopilot",Investment_Strategy_Sub1="Non-Standard"),VLOOKUP(Investment_Strategy&amp;"_"&amp;Investment_Strategy_Sub2&amp;"_"&amp;$A412,'Investment Strategies'!$T:$AF,13,FALSE),
IF(Investment_Strategy="DIY",DIY_ExtManChrge_FuturePremiums,
"Error"))))))</f>
        <v>0</v>
      </c>
      <c r="W412" s="16">
        <f t="shared" si="231"/>
        <v>0</v>
      </c>
      <c r="X412" s="16">
        <f t="shared" si="243"/>
        <v>0</v>
      </c>
      <c r="Y412" s="16">
        <f t="shared" si="244"/>
        <v>0</v>
      </c>
      <c r="Z412" s="31">
        <f t="shared" si="245"/>
        <v>0.02</v>
      </c>
      <c r="AA412" s="16">
        <f t="shared" si="246"/>
        <v>0</v>
      </c>
      <c r="AB412" s="28">
        <f t="shared" si="232"/>
        <v>0</v>
      </c>
      <c r="AC412" s="28">
        <f>(SUM($AC$91:AC411)+SUM($X$91:X411)+X412)*T412*IF(D412=$A$91,SRP_finalmonthfactor,1)</f>
        <v>0</v>
      </c>
      <c r="AD412" s="16">
        <f t="shared" si="247"/>
        <v>0</v>
      </c>
      <c r="AE412" s="106"/>
      <c r="AF412" s="16">
        <f t="shared" ref="AF412:AF475" si="256">H412+O412+W412</f>
        <v>0</v>
      </c>
      <c r="AG412" s="16">
        <f t="shared" ref="AG412:AG475" si="257">SUM($K412,$S412,$AC412)</f>
        <v>0</v>
      </c>
      <c r="AH412" s="16">
        <f t="shared" ref="AH412:AH475" si="258">SUM($J412,$R412,$AA412)</f>
        <v>0</v>
      </c>
      <c r="AJ412" s="13">
        <f t="shared" si="248"/>
        <v>0</v>
      </c>
      <c r="AK412" s="13">
        <f t="shared" si="248"/>
        <v>0</v>
      </c>
      <c r="AL412" s="13">
        <f t="shared" si="248"/>
        <v>0</v>
      </c>
      <c r="AM412" s="13">
        <f t="shared" si="248"/>
        <v>0</v>
      </c>
      <c r="AN412" s="13">
        <f t="shared" si="248"/>
        <v>0</v>
      </c>
      <c r="AO412" s="13">
        <f t="shared" si="248"/>
        <v>1</v>
      </c>
      <c r="AP412" s="13">
        <f t="shared" si="248"/>
        <v>1</v>
      </c>
      <c r="AQ412" s="13">
        <f t="shared" si="248"/>
        <v>1</v>
      </c>
      <c r="AR412" s="13">
        <f t="shared" si="248"/>
        <v>0</v>
      </c>
      <c r="AS412" s="13">
        <f t="shared" si="248"/>
        <v>1</v>
      </c>
      <c r="AT412" s="13">
        <f t="shared" si="248"/>
        <v>1</v>
      </c>
      <c r="AU412" s="13">
        <f t="shared" si="248"/>
        <v>1</v>
      </c>
      <c r="AV412" s="13">
        <f t="shared" si="249"/>
        <v>0</v>
      </c>
      <c r="AW412" s="13">
        <f t="shared" si="250"/>
        <v>1</v>
      </c>
      <c r="AY412" s="17">
        <f t="shared" si="251"/>
        <v>322</v>
      </c>
      <c r="AZ412" s="28">
        <f t="shared" ref="AZ412:AZ475" si="259">X412+P412</f>
        <v>0</v>
      </c>
      <c r="BA412" s="13">
        <f t="shared" si="252"/>
        <v>0</v>
      </c>
      <c r="BB412" s="13">
        <f t="shared" si="253"/>
        <v>0</v>
      </c>
      <c r="BC412" s="28">
        <f t="shared" ref="BC412:BC475" si="260">SUM(AZ412,BA412)</f>
        <v>0</v>
      </c>
      <c r="BD412" s="28">
        <f t="shared" ref="BD412:BD475" si="261">SUM(AZ412,BB412)</f>
        <v>0</v>
      </c>
      <c r="BF412" s="248">
        <f t="shared" ref="BF412:BF475" si="262">IF(ISNUMBER(BF411), (BF411+X412), (P412+X412))*(1+T412)</f>
        <v>993869.29442638322</v>
      </c>
    </row>
    <row r="413" spans="1:58">
      <c r="A413" s="32">
        <f t="shared" ref="A413:A476" si="263">A412-1</f>
        <v>-238</v>
      </c>
      <c r="B413" s="32">
        <f t="shared" si="254"/>
        <v>79</v>
      </c>
      <c r="C413" s="32">
        <f t="shared" ref="C413:C476" si="264">INT((D413-1)/12)+1</f>
        <v>27</v>
      </c>
      <c r="D413" s="32">
        <f t="shared" ref="D413:D476" si="265">D412+1</f>
        <v>323</v>
      </c>
      <c r="E413" s="74">
        <f>MIN(IF(AV413=0,0,
IF(Investment_Strategy="DIS",VLOOKUP(Investment_Strategy&amp;"_"&amp;Investment_Strategy_Sub1&amp;"_"&amp;$A413,'Investment Strategies'!$AZ:$BP,12,FALSE),
IF(AND(Investment_Strategy="Lifecycle",Investment_Strategy_Sub1="Non-Standard"),VLOOKUP(Investment_Strategy&amp;"_"&amp;Investment_Strategy_Sub2&amp;"_"&amp;$A413,'Investment Strategies'!$C:$P,9,FALSE),
IF(AND(Investment_Strategy="Lifecycle",Investment_Strategy_Sub1="Standard"),VLOOKUP(Investment_Strategy&amp;"_"&amp;Investment_Strategy_Sub2&amp;"_"&amp;$A413,'Investment Strategies'!$AJ:$AV,8,FALSE),
IF(AND(Investment_Strategy="Autopilot",Investment_Strategy_Sub1="Non-Standard"),VLOOKUP(Investment_Strategy&amp;"_"&amp;Investment_Strategy_Sub2&amp;"_"&amp;$A413,'Investment Strategies'!$T:$AF,8,FALSE),
IF(Investment_Strategy ="DIY",DIY_RateOfReturn_CurrentFunds,
"Error")))))),Max_InvReturn)</f>
        <v>0</v>
      </c>
      <c r="F413" s="62">
        <f>IF(AV413=0,0,
IF(Investment_Strategy="DIS",VLOOKUP(Investment_Strategy&amp;"_"&amp;Investment_Strategy_Sub1&amp;"_"&amp;$A413,'Investment Strategies'!$AZ:$BP,15,FALSE),
IF(AND(Investment_Strategy="Lifecycle",Investment_Strategy_Sub1="Non-Standard"),VLOOKUP(Investment_Strategy&amp;"_"&amp;Investment_Strategy_Sub2&amp;"_"&amp;$A413,'Investment Strategies'!$C:$P,12,FALSE),
IF(AND(Investment_Strategy="Lifecycle",Investment_Strategy_Sub1="Standard"),VLOOKUP(Investment_Strategy&amp;"_"&amp;Investment_Strategy_Sub2&amp;"_"&amp;$A413,'Investment Strategies'!$AJ:$AV,11,FALSE),
IF(AND(Investment_Strategy="Autopilot",Investment_Strategy_Sub1="Non-Standard"),VLOOKUP(Investment_Strategy&amp;"_"&amp;Investment_Strategy_Sub2&amp;"_"&amp;$A413,'Investment Strategies'!$T:$AF,11,FALSE),
IF(Investment_Strategy="DIY",DIY_GteeChrge_CurrentFunds,
"Error"))))))</f>
        <v>0</v>
      </c>
      <c r="G413" s="33">
        <f>IF(AV413=0,0,
IF(Investment_Strategy="DIS",VLOOKUP(Investment_Strategy&amp;"_"&amp;Investment_Strategy_Sub1&amp;"_"&amp;$A413,'Investment Strategies'!$AZ:$BP,17,FALSE),
IF(AND(Investment_Strategy="Lifecycle",Investment_Strategy_Sub1="Non-Standard"),VLOOKUP(Investment_Strategy&amp;"_"&amp;Investment_Strategy_Sub2&amp;"_"&amp;$A413,'Investment Strategies'!$C:$P,14,FALSE),
IF(AND(Investment_Strategy="Lifecycle",Investment_Strategy_Sub1="Standard"),VLOOKUP(Investment_Strategy&amp;"_"&amp;Investment_Strategy_Sub2&amp;"_"&amp;$A413,'Investment Strategies'!$AJ:$AV,13,FALSE),
IF(AND(Investment_Strategy="Autopilot",Investment_Strategy_Sub1="Non-Standard"),VLOOKUP(Investment_Strategy&amp;"_"&amp;Investment_Strategy_Sub2&amp;"_"&amp;$A413,'Investment Strategies'!$T:$AF,13,FALSE),
IF(Investment_Strategy="DIY",DIY_ExtManChrge_CurrentFunds,
"Error"))))))</f>
        <v>0</v>
      </c>
      <c r="H413" s="16">
        <f t="shared" si="255"/>
        <v>0</v>
      </c>
      <c r="I413" s="16">
        <f t="shared" si="240"/>
        <v>0</v>
      </c>
      <c r="J413" s="16">
        <f t="shared" si="241"/>
        <v>0</v>
      </c>
      <c r="K413" s="16">
        <f>(Opening_Fund_Value+SUM(K$91:K412))*E413*IF(D413=$A$91,SRP_finalmonthfactor,1)</f>
        <v>0</v>
      </c>
      <c r="L413" s="74">
        <f>MIN(IF($AV413=0,0,
IF(Investment_Strategy="DIS",VLOOKUP(Investment_Strategy&amp;"_"&amp;Investment_Strategy_Sub1&amp;"_"&amp;$A413,'Investment Strategies'!$AZ:$BP,12,FALSE),
IF(AND(Investment_Strategy="Lifecycle",Investment_Strategy_Sub1="Non-Standard"),VLOOKUP(Investment_Strategy&amp;"_"&amp;Investment_Strategy_Sub2&amp;"_"&amp;$A413,'Investment Strategies'!$C:$P,9,FALSE),
IF(AND(Investment_Strategy="Lifecycle",Investment_Strategy_Sub1="Standard"),VLOOKUP(Investment_Strategy&amp;"_"&amp;Investment_Strategy_Sub2&amp;"_"&amp;$A413,'Investment Strategies'!$AJ:$AV,8,FALSE),
IF(AND(Investment_Strategy="Autopilot",Investment_Strategy_Sub1="Non-Standard"),VLOOKUP(Investment_Strategy&amp;"_"&amp;Investment_Strategy_Sub2&amp;"_"&amp;$A413,'Investment Strategies'!$T:$AF,8,FALSE),
IF(Investment_Strategy ="DIY",DIY_RateofReturn_SP,
"Error")))))),Max_InvReturn)</f>
        <v>0</v>
      </c>
      <c r="M413" s="62">
        <f>IF($AV413=0,0,
IF(Investment_Strategy="DIS",VLOOKUP(Investment_Strategy&amp;"_"&amp;Investment_Strategy_Sub1&amp;"_"&amp;$A413,'Investment Strategies'!$AZ:$BP,15,FALSE),
IF(AND(Investment_Strategy="Lifecycle",Investment_Strategy_Sub1="Non-Standard"),VLOOKUP(Investment_Strategy&amp;"_"&amp;Investment_Strategy_Sub2&amp;"_"&amp;$A413,'Investment Strategies'!$C:$P,12,FALSE),
IF(AND(Investment_Strategy="Lifecycle",Investment_Strategy_Sub1="Standard"),VLOOKUP(Investment_Strategy&amp;"_"&amp;Investment_Strategy_Sub2&amp;"_"&amp;$A413,'Investment Strategies'!$AJ:$AV,11,FALSE),
IF(AND(Investment_Strategy="Autopilot",Investment_Strategy_Sub1="Non-Standard"),VLOOKUP(Investment_Strategy&amp;"_"&amp;Investment_Strategy_Sub2&amp;"_"&amp;$A413,'Investment Strategies'!$T:$AF,11,FALSE),
IF(Investment_Strategy="DIY",DIY_GteeChrge_SP,
"Error"))))))</f>
        <v>0</v>
      </c>
      <c r="N413" s="33">
        <f>IF($AV413=0,0,
IF(Investment_Strategy="DIS",VLOOKUP(Investment_Strategy&amp;"_"&amp;Investment_Strategy_Sub1&amp;"_"&amp;$A413,'Investment Strategies'!$AZ:$BP,17,FALSE),
IF(AND(Investment_Strategy="Lifecycle",Investment_Strategy_Sub1="Non-Standard"),VLOOKUP(Investment_Strategy&amp;"_"&amp;Investment_Strategy_Sub2&amp;"_"&amp;$A413,'Investment Strategies'!$C:$P,14,FALSE),
IF(AND(Investment_Strategy="Lifecycle",Investment_Strategy_Sub1="Standard"),VLOOKUP(Investment_Strategy&amp;"_"&amp;Investment_Strategy_Sub2&amp;"_"&amp;$A413,'Investment Strategies'!$AJ:$AV,13,FALSE),
IF(AND(Investment_Strategy="Autopilot",Investment_Strategy_Sub1="Non-Standard"),VLOOKUP(Investment_Strategy&amp;"_"&amp;Investment_Strategy_Sub2&amp;"_"&amp;$A413,'Investment Strategies'!$T:$AF,13,FALSE),
IF(Investment_Strategy="DIY",DIY_ExtManChrge_SP,
"Error"))))))</f>
        <v>0</v>
      </c>
      <c r="O413" s="16">
        <f t="shared" ref="O413:O476" si="266">IF($AV412=0,0,SUM(O412:R412))</f>
        <v>0</v>
      </c>
      <c r="Q413" s="16">
        <f t="shared" si="242"/>
        <v>0</v>
      </c>
      <c r="R413" s="16">
        <f t="shared" si="239"/>
        <v>0</v>
      </c>
      <c r="S413" s="16">
        <f>(SRP_SP+SUM(S$91:S412))*L413*IF(D413=$A$91,SRP_finalmonthfactor,1)</f>
        <v>0</v>
      </c>
      <c r="T413" s="74">
        <f>MIN(IF($AV413=0,0,
IF(Investment_Strategy="DIS",VLOOKUP(Investment_Strategy&amp;"_"&amp;Investment_Strategy_Sub1&amp;"_"&amp;$A413,'Investment Strategies'!$AZ:$BP,12,FALSE),
IF(AND(Investment_Strategy="Lifecycle",Investment_Strategy_Sub1="Non-Standard"),VLOOKUP(Investment_Strategy&amp;"_"&amp;Investment_Strategy_Sub2&amp;"_"&amp;$A413,'Investment Strategies'!$C:$P,9,FALSE),
IF(AND(Investment_Strategy="Lifecycle",Investment_Strategy_Sub1="Standard"),VLOOKUP(Investment_Strategy&amp;"_"&amp;Investment_Strategy_Sub2&amp;"_"&amp;$A413,'Investment Strategies'!$AJ:$AV,8,FALSE),
IF(AND(Investment_Strategy="Autopilot",Investment_Strategy_Sub1="Non-Standard"),VLOOKUP(Investment_Strategy&amp;"_"&amp;Investment_Strategy_Sub2&amp;"_"&amp;$A413,'Investment Strategies'!$T:$AF,8,FALSE),
IF(Investment_Strategy ="DIY",DIY_RateOfReturn_FuturePremiums,
"Error")))))),Max_InvReturn)</f>
        <v>0</v>
      </c>
      <c r="U413" s="62">
        <f>IF($AV413=0,0,
IF(Investment_Strategy="DIS",VLOOKUP(Investment_Strategy&amp;"_"&amp;Investment_Strategy_Sub1&amp;"_"&amp;$A413,'Investment Strategies'!$AZ:$BP,15,FALSE),
IF(AND(Investment_Strategy="Lifecycle",Investment_Strategy_Sub1="Non-Standard"),VLOOKUP(Investment_Strategy&amp;"_"&amp;Investment_Strategy_Sub2&amp;"_"&amp;$A413,'Investment Strategies'!$C:$P,12,FALSE),
IF(AND(Investment_Strategy="Lifecycle",Investment_Strategy_Sub1="Standard"),VLOOKUP(Investment_Strategy&amp;"_"&amp;Investment_Strategy_Sub2&amp;"_"&amp;$A413,'Investment Strategies'!$AJ:$AV,11,FALSE),
IF(AND(Investment_Strategy="Autopilot",Investment_Strategy_Sub1="Non-Standard"),VLOOKUP(Investment_Strategy&amp;"_"&amp;Investment_Strategy_Sub2&amp;"_"&amp;$A413,'Investment Strategies'!$T:$AF,11,FALSE),
IF(Investment_Strategy="DIY",DIY_GteeChrge_FuturePremiums,
"Error"))))))</f>
        <v>0</v>
      </c>
      <c r="V413" s="33">
        <f>IF(AV413=0,0,
IF(Investment_Strategy="DIS",VLOOKUP(Investment_Strategy&amp;"_"&amp;Investment_Strategy_Sub1&amp;"_"&amp;$A413,'Investment Strategies'!$AZ:$BP,17,FALSE),
IF(AND(Investment_Strategy="Lifecycle",Investment_Strategy_Sub1="Non-Standard"),VLOOKUP(Investment_Strategy&amp;"_"&amp;Investment_Strategy_Sub2&amp;"_"&amp;$A413,'Investment Strategies'!$C:$P,14,FALSE),
IF(AND(Investment_Strategy="Lifecycle",Investment_Strategy_Sub1="Standard"),VLOOKUP(Investment_Strategy&amp;"_"&amp;Investment_Strategy_Sub2&amp;"_"&amp;$A413,'Investment Strategies'!$AJ:$AV,13,FALSE),
IF(AND(Investment_Strategy="Autopilot",Investment_Strategy_Sub1="Non-Standard"),VLOOKUP(Investment_Strategy&amp;"_"&amp;Investment_Strategy_Sub2&amp;"_"&amp;$A413,'Investment Strategies'!$T:$AF,13,FALSE),
IF(Investment_Strategy="DIY",DIY_ExtManChrge_FuturePremiums,
"Error"))))))</f>
        <v>0</v>
      </c>
      <c r="W413" s="16">
        <f t="shared" ref="W413:W476" si="267">IF($AV412=0,0,SUM(W412:Y412)+AA412)</f>
        <v>0</v>
      </c>
      <c r="X413" s="16">
        <f t="shared" si="243"/>
        <v>0</v>
      </c>
      <c r="Y413" s="16">
        <f t="shared" si="244"/>
        <v>0</v>
      </c>
      <c r="Z413" s="31">
        <f t="shared" si="245"/>
        <v>0.02</v>
      </c>
      <c r="AA413" s="16">
        <f t="shared" si="246"/>
        <v>0</v>
      </c>
      <c r="AB413" s="28">
        <f t="shared" si="232"/>
        <v>0</v>
      </c>
      <c r="AC413" s="28">
        <f>(SUM($AC$91:AC412)+SUM($X$91:X412)+X413)*T413*IF(D413=$A$91,SRP_finalmonthfactor,1)</f>
        <v>0</v>
      </c>
      <c r="AD413" s="16">
        <f t="shared" si="247"/>
        <v>0</v>
      </c>
      <c r="AE413" s="106"/>
      <c r="AF413" s="16">
        <f t="shared" si="256"/>
        <v>0</v>
      </c>
      <c r="AG413" s="16">
        <f t="shared" si="257"/>
        <v>0</v>
      </c>
      <c r="AH413" s="16">
        <f t="shared" si="258"/>
        <v>0</v>
      </c>
      <c r="AJ413" s="13">
        <f t="shared" si="248"/>
        <v>0</v>
      </c>
      <c r="AK413" s="13">
        <f t="shared" si="248"/>
        <v>0</v>
      </c>
      <c r="AL413" s="13">
        <f t="shared" si="248"/>
        <v>0</v>
      </c>
      <c r="AM413" s="13">
        <f t="shared" si="248"/>
        <v>0</v>
      </c>
      <c r="AN413" s="13">
        <f t="shared" si="248"/>
        <v>0</v>
      </c>
      <c r="AO413" s="13">
        <f t="shared" si="248"/>
        <v>1</v>
      </c>
      <c r="AP413" s="13">
        <f t="shared" si="248"/>
        <v>1</v>
      </c>
      <c r="AQ413" s="13">
        <f t="shared" si="248"/>
        <v>1</v>
      </c>
      <c r="AR413" s="13">
        <f t="shared" si="248"/>
        <v>0</v>
      </c>
      <c r="AS413" s="13">
        <f t="shared" si="248"/>
        <v>1</v>
      </c>
      <c r="AT413" s="13">
        <f t="shared" si="248"/>
        <v>1</v>
      </c>
      <c r="AU413" s="13">
        <f t="shared" si="248"/>
        <v>1</v>
      </c>
      <c r="AV413" s="13">
        <f t="shared" si="249"/>
        <v>0</v>
      </c>
      <c r="AW413" s="13">
        <f t="shared" si="250"/>
        <v>1</v>
      </c>
      <c r="AY413" s="17">
        <f t="shared" si="251"/>
        <v>323</v>
      </c>
      <c r="AZ413" s="28">
        <f t="shared" si="259"/>
        <v>0</v>
      </c>
      <c r="BA413" s="13">
        <f t="shared" si="252"/>
        <v>0</v>
      </c>
      <c r="BB413" s="13">
        <f t="shared" si="253"/>
        <v>0</v>
      </c>
      <c r="BC413" s="28">
        <f t="shared" si="260"/>
        <v>0</v>
      </c>
      <c r="BD413" s="28">
        <f t="shared" si="261"/>
        <v>0</v>
      </c>
      <c r="BF413" s="248">
        <f t="shared" si="262"/>
        <v>993869.29442638322</v>
      </c>
    </row>
    <row r="414" spans="1:58">
      <c r="A414" s="32">
        <f t="shared" si="263"/>
        <v>-239</v>
      </c>
      <c r="B414" s="32">
        <f t="shared" si="254"/>
        <v>79</v>
      </c>
      <c r="C414" s="32">
        <f t="shared" si="264"/>
        <v>27</v>
      </c>
      <c r="D414" s="32">
        <f t="shared" si="265"/>
        <v>324</v>
      </c>
      <c r="E414" s="74">
        <f>MIN(IF(AV414=0,0,
IF(Investment_Strategy="DIS",VLOOKUP(Investment_Strategy&amp;"_"&amp;Investment_Strategy_Sub1&amp;"_"&amp;$A414,'Investment Strategies'!$AZ:$BP,12,FALSE),
IF(AND(Investment_Strategy="Lifecycle",Investment_Strategy_Sub1="Non-Standard"),VLOOKUP(Investment_Strategy&amp;"_"&amp;Investment_Strategy_Sub2&amp;"_"&amp;$A414,'Investment Strategies'!$C:$P,9,FALSE),
IF(AND(Investment_Strategy="Lifecycle",Investment_Strategy_Sub1="Standard"),VLOOKUP(Investment_Strategy&amp;"_"&amp;Investment_Strategy_Sub2&amp;"_"&amp;$A414,'Investment Strategies'!$AJ:$AV,8,FALSE),
IF(AND(Investment_Strategy="Autopilot",Investment_Strategy_Sub1="Non-Standard"),VLOOKUP(Investment_Strategy&amp;"_"&amp;Investment_Strategy_Sub2&amp;"_"&amp;$A414,'Investment Strategies'!$T:$AF,8,FALSE),
IF(Investment_Strategy ="DIY",DIY_RateOfReturn_CurrentFunds,
"Error")))))),Max_InvReturn)</f>
        <v>0</v>
      </c>
      <c r="F414" s="62">
        <f>IF(AV414=0,0,
IF(Investment_Strategy="DIS",VLOOKUP(Investment_Strategy&amp;"_"&amp;Investment_Strategy_Sub1&amp;"_"&amp;$A414,'Investment Strategies'!$AZ:$BP,15,FALSE),
IF(AND(Investment_Strategy="Lifecycle",Investment_Strategy_Sub1="Non-Standard"),VLOOKUP(Investment_Strategy&amp;"_"&amp;Investment_Strategy_Sub2&amp;"_"&amp;$A414,'Investment Strategies'!$C:$P,12,FALSE),
IF(AND(Investment_Strategy="Lifecycle",Investment_Strategy_Sub1="Standard"),VLOOKUP(Investment_Strategy&amp;"_"&amp;Investment_Strategy_Sub2&amp;"_"&amp;$A414,'Investment Strategies'!$AJ:$AV,11,FALSE),
IF(AND(Investment_Strategy="Autopilot",Investment_Strategy_Sub1="Non-Standard"),VLOOKUP(Investment_Strategy&amp;"_"&amp;Investment_Strategy_Sub2&amp;"_"&amp;$A414,'Investment Strategies'!$T:$AF,11,FALSE),
IF(Investment_Strategy="DIY",DIY_GteeChrge_CurrentFunds,
"Error"))))))</f>
        <v>0</v>
      </c>
      <c r="G414" s="33">
        <f>IF(AV414=0,0,
IF(Investment_Strategy="DIS",VLOOKUP(Investment_Strategy&amp;"_"&amp;Investment_Strategy_Sub1&amp;"_"&amp;$A414,'Investment Strategies'!$AZ:$BP,17,FALSE),
IF(AND(Investment_Strategy="Lifecycle",Investment_Strategy_Sub1="Non-Standard"),VLOOKUP(Investment_Strategy&amp;"_"&amp;Investment_Strategy_Sub2&amp;"_"&amp;$A414,'Investment Strategies'!$C:$P,14,FALSE),
IF(AND(Investment_Strategy="Lifecycle",Investment_Strategy_Sub1="Standard"),VLOOKUP(Investment_Strategy&amp;"_"&amp;Investment_Strategy_Sub2&amp;"_"&amp;$A414,'Investment Strategies'!$AJ:$AV,13,FALSE),
IF(AND(Investment_Strategy="Autopilot",Investment_Strategy_Sub1="Non-Standard"),VLOOKUP(Investment_Strategy&amp;"_"&amp;Investment_Strategy_Sub2&amp;"_"&amp;$A414,'Investment Strategies'!$T:$AF,13,FALSE),
IF(Investment_Strategy="DIY",DIY_ExtManChrge_CurrentFunds,
"Error"))))))</f>
        <v>0</v>
      </c>
      <c r="H414" s="16">
        <f t="shared" si="255"/>
        <v>0</v>
      </c>
      <c r="I414" s="16">
        <f t="shared" si="240"/>
        <v>0</v>
      </c>
      <c r="J414" s="16">
        <f t="shared" si="241"/>
        <v>0</v>
      </c>
      <c r="K414" s="16">
        <f>(Opening_Fund_Value+SUM(K$91:K413))*E414*IF(D414=$A$91,SRP_finalmonthfactor,1)</f>
        <v>0</v>
      </c>
      <c r="L414" s="74">
        <f>MIN(IF($AV414=0,0,
IF(Investment_Strategy="DIS",VLOOKUP(Investment_Strategy&amp;"_"&amp;Investment_Strategy_Sub1&amp;"_"&amp;$A414,'Investment Strategies'!$AZ:$BP,12,FALSE),
IF(AND(Investment_Strategy="Lifecycle",Investment_Strategy_Sub1="Non-Standard"),VLOOKUP(Investment_Strategy&amp;"_"&amp;Investment_Strategy_Sub2&amp;"_"&amp;$A414,'Investment Strategies'!$C:$P,9,FALSE),
IF(AND(Investment_Strategy="Lifecycle",Investment_Strategy_Sub1="Standard"),VLOOKUP(Investment_Strategy&amp;"_"&amp;Investment_Strategy_Sub2&amp;"_"&amp;$A414,'Investment Strategies'!$AJ:$AV,8,FALSE),
IF(AND(Investment_Strategy="Autopilot",Investment_Strategy_Sub1="Non-Standard"),VLOOKUP(Investment_Strategy&amp;"_"&amp;Investment_Strategy_Sub2&amp;"_"&amp;$A414,'Investment Strategies'!$T:$AF,8,FALSE),
IF(Investment_Strategy ="DIY",DIY_RateofReturn_SP,
"Error")))))),Max_InvReturn)</f>
        <v>0</v>
      </c>
      <c r="M414" s="62">
        <f>IF($AV414=0,0,
IF(Investment_Strategy="DIS",VLOOKUP(Investment_Strategy&amp;"_"&amp;Investment_Strategy_Sub1&amp;"_"&amp;$A414,'Investment Strategies'!$AZ:$BP,15,FALSE),
IF(AND(Investment_Strategy="Lifecycle",Investment_Strategy_Sub1="Non-Standard"),VLOOKUP(Investment_Strategy&amp;"_"&amp;Investment_Strategy_Sub2&amp;"_"&amp;$A414,'Investment Strategies'!$C:$P,12,FALSE),
IF(AND(Investment_Strategy="Lifecycle",Investment_Strategy_Sub1="Standard"),VLOOKUP(Investment_Strategy&amp;"_"&amp;Investment_Strategy_Sub2&amp;"_"&amp;$A414,'Investment Strategies'!$AJ:$AV,11,FALSE),
IF(AND(Investment_Strategy="Autopilot",Investment_Strategy_Sub1="Non-Standard"),VLOOKUP(Investment_Strategy&amp;"_"&amp;Investment_Strategy_Sub2&amp;"_"&amp;$A414,'Investment Strategies'!$T:$AF,11,FALSE),
IF(Investment_Strategy="DIY",DIY_GteeChrge_SP,
"Error"))))))</f>
        <v>0</v>
      </c>
      <c r="N414" s="33">
        <f>IF($AV414=0,0,
IF(Investment_Strategy="DIS",VLOOKUP(Investment_Strategy&amp;"_"&amp;Investment_Strategy_Sub1&amp;"_"&amp;$A414,'Investment Strategies'!$AZ:$BP,17,FALSE),
IF(AND(Investment_Strategy="Lifecycle",Investment_Strategy_Sub1="Non-Standard"),VLOOKUP(Investment_Strategy&amp;"_"&amp;Investment_Strategy_Sub2&amp;"_"&amp;$A414,'Investment Strategies'!$C:$P,14,FALSE),
IF(AND(Investment_Strategy="Lifecycle",Investment_Strategy_Sub1="Standard"),VLOOKUP(Investment_Strategy&amp;"_"&amp;Investment_Strategy_Sub2&amp;"_"&amp;$A414,'Investment Strategies'!$AJ:$AV,13,FALSE),
IF(AND(Investment_Strategy="Autopilot",Investment_Strategy_Sub1="Non-Standard"),VLOOKUP(Investment_Strategy&amp;"_"&amp;Investment_Strategy_Sub2&amp;"_"&amp;$A414,'Investment Strategies'!$T:$AF,13,FALSE),
IF(Investment_Strategy="DIY",DIY_ExtManChrge_SP,
"Error"))))))</f>
        <v>0</v>
      </c>
      <c r="O414" s="16">
        <f t="shared" si="266"/>
        <v>0</v>
      </c>
      <c r="Q414" s="16">
        <f t="shared" si="242"/>
        <v>0</v>
      </c>
      <c r="R414" s="16">
        <f t="shared" si="239"/>
        <v>0</v>
      </c>
      <c r="S414" s="16">
        <f>(SRP_SP+SUM(S$91:S413))*L414*IF(D414=$A$91,SRP_finalmonthfactor,1)</f>
        <v>0</v>
      </c>
      <c r="T414" s="74">
        <f>MIN(IF($AV414=0,0,
IF(Investment_Strategy="DIS",VLOOKUP(Investment_Strategy&amp;"_"&amp;Investment_Strategy_Sub1&amp;"_"&amp;$A414,'Investment Strategies'!$AZ:$BP,12,FALSE),
IF(AND(Investment_Strategy="Lifecycle",Investment_Strategy_Sub1="Non-Standard"),VLOOKUP(Investment_Strategy&amp;"_"&amp;Investment_Strategy_Sub2&amp;"_"&amp;$A414,'Investment Strategies'!$C:$P,9,FALSE),
IF(AND(Investment_Strategy="Lifecycle",Investment_Strategy_Sub1="Standard"),VLOOKUP(Investment_Strategy&amp;"_"&amp;Investment_Strategy_Sub2&amp;"_"&amp;$A414,'Investment Strategies'!$AJ:$AV,8,FALSE),
IF(AND(Investment_Strategy="Autopilot",Investment_Strategy_Sub1="Non-Standard"),VLOOKUP(Investment_Strategy&amp;"_"&amp;Investment_Strategy_Sub2&amp;"_"&amp;$A414,'Investment Strategies'!$T:$AF,8,FALSE),
IF(Investment_Strategy ="DIY",DIY_RateOfReturn_FuturePremiums,
"Error")))))),Max_InvReturn)</f>
        <v>0</v>
      </c>
      <c r="U414" s="62">
        <f>IF($AV414=0,0,
IF(Investment_Strategy="DIS",VLOOKUP(Investment_Strategy&amp;"_"&amp;Investment_Strategy_Sub1&amp;"_"&amp;$A414,'Investment Strategies'!$AZ:$BP,15,FALSE),
IF(AND(Investment_Strategy="Lifecycle",Investment_Strategy_Sub1="Non-Standard"),VLOOKUP(Investment_Strategy&amp;"_"&amp;Investment_Strategy_Sub2&amp;"_"&amp;$A414,'Investment Strategies'!$C:$P,12,FALSE),
IF(AND(Investment_Strategy="Lifecycle",Investment_Strategy_Sub1="Standard"),VLOOKUP(Investment_Strategy&amp;"_"&amp;Investment_Strategy_Sub2&amp;"_"&amp;$A414,'Investment Strategies'!$AJ:$AV,11,FALSE),
IF(AND(Investment_Strategy="Autopilot",Investment_Strategy_Sub1="Non-Standard"),VLOOKUP(Investment_Strategy&amp;"_"&amp;Investment_Strategy_Sub2&amp;"_"&amp;$A414,'Investment Strategies'!$T:$AF,11,FALSE),
IF(Investment_Strategy="DIY",DIY_GteeChrge_FuturePremiums,
"Error"))))))</f>
        <v>0</v>
      </c>
      <c r="V414" s="33">
        <f>IF(AV414=0,0,
IF(Investment_Strategy="DIS",VLOOKUP(Investment_Strategy&amp;"_"&amp;Investment_Strategy_Sub1&amp;"_"&amp;$A414,'Investment Strategies'!$AZ:$BP,17,FALSE),
IF(AND(Investment_Strategy="Lifecycle",Investment_Strategy_Sub1="Non-Standard"),VLOOKUP(Investment_Strategy&amp;"_"&amp;Investment_Strategy_Sub2&amp;"_"&amp;$A414,'Investment Strategies'!$C:$P,14,FALSE),
IF(AND(Investment_Strategy="Lifecycle",Investment_Strategy_Sub1="Standard"),VLOOKUP(Investment_Strategy&amp;"_"&amp;Investment_Strategy_Sub2&amp;"_"&amp;$A414,'Investment Strategies'!$AJ:$AV,13,FALSE),
IF(AND(Investment_Strategy="Autopilot",Investment_Strategy_Sub1="Non-Standard"),VLOOKUP(Investment_Strategy&amp;"_"&amp;Investment_Strategy_Sub2&amp;"_"&amp;$A414,'Investment Strategies'!$T:$AF,13,FALSE),
IF(Investment_Strategy="DIY",DIY_ExtManChrge_FuturePremiums,
"Error"))))))</f>
        <v>0</v>
      </c>
      <c r="W414" s="16">
        <f t="shared" si="267"/>
        <v>0</v>
      </c>
      <c r="X414" s="16">
        <f t="shared" si="243"/>
        <v>0</v>
      </c>
      <c r="Y414" s="16">
        <f t="shared" si="244"/>
        <v>0</v>
      </c>
      <c r="Z414" s="31">
        <f t="shared" si="245"/>
        <v>0.02</v>
      </c>
      <c r="AA414" s="16">
        <f t="shared" si="246"/>
        <v>0</v>
      </c>
      <c r="AB414" s="28">
        <f t="shared" ref="AB414:AB477" si="268">IF($AV413=0,0,SUM(K413,S413,AB413:AC413)+X413)</f>
        <v>0</v>
      </c>
      <c r="AC414" s="28">
        <f>(SUM($AC$91:AC413)+SUM($X$91:X413)+X414)*T414*IF(D414=$A$91,SRP_finalmonthfactor,1)</f>
        <v>0</v>
      </c>
      <c r="AD414" s="16">
        <f t="shared" si="247"/>
        <v>0</v>
      </c>
      <c r="AE414" s="106"/>
      <c r="AF414" s="16">
        <f t="shared" si="256"/>
        <v>0</v>
      </c>
      <c r="AG414" s="16">
        <f t="shared" si="257"/>
        <v>0</v>
      </c>
      <c r="AH414" s="16">
        <f t="shared" si="258"/>
        <v>0</v>
      </c>
      <c r="AJ414" s="13">
        <f t="shared" si="248"/>
        <v>0</v>
      </c>
      <c r="AK414" s="13">
        <f t="shared" si="248"/>
        <v>0</v>
      </c>
      <c r="AL414" s="13">
        <f t="shared" si="248"/>
        <v>0</v>
      </c>
      <c r="AM414" s="13">
        <f t="shared" si="248"/>
        <v>0</v>
      </c>
      <c r="AN414" s="13">
        <f t="shared" si="248"/>
        <v>0</v>
      </c>
      <c r="AO414" s="13">
        <f t="shared" si="248"/>
        <v>1</v>
      </c>
      <c r="AP414" s="13">
        <f t="shared" si="248"/>
        <v>1</v>
      </c>
      <c r="AQ414" s="13">
        <f t="shared" si="248"/>
        <v>1</v>
      </c>
      <c r="AR414" s="13">
        <f t="shared" si="248"/>
        <v>0</v>
      </c>
      <c r="AS414" s="13">
        <f t="shared" si="248"/>
        <v>1</v>
      </c>
      <c r="AT414" s="13">
        <f t="shared" si="248"/>
        <v>1</v>
      </c>
      <c r="AU414" s="13">
        <f t="shared" si="248"/>
        <v>1</v>
      </c>
      <c r="AV414" s="13">
        <f t="shared" si="249"/>
        <v>0</v>
      </c>
      <c r="AW414" s="13">
        <f t="shared" si="250"/>
        <v>1</v>
      </c>
      <c r="AY414" s="17">
        <f t="shared" si="251"/>
        <v>324</v>
      </c>
      <c r="AZ414" s="28">
        <f t="shared" si="259"/>
        <v>0</v>
      </c>
      <c r="BA414" s="13">
        <f t="shared" si="252"/>
        <v>0</v>
      </c>
      <c r="BB414" s="13">
        <f t="shared" si="253"/>
        <v>0</v>
      </c>
      <c r="BC414" s="28">
        <f t="shared" si="260"/>
        <v>0</v>
      </c>
      <c r="BD414" s="28">
        <f t="shared" si="261"/>
        <v>0</v>
      </c>
      <c r="BF414" s="248">
        <f t="shared" si="262"/>
        <v>993869.29442638322</v>
      </c>
    </row>
    <row r="415" spans="1:58">
      <c r="A415" s="32">
        <f t="shared" si="263"/>
        <v>-240</v>
      </c>
      <c r="B415" s="32">
        <f t="shared" si="254"/>
        <v>80</v>
      </c>
      <c r="C415" s="32">
        <f t="shared" si="264"/>
        <v>28</v>
      </c>
      <c r="D415" s="32">
        <f t="shared" si="265"/>
        <v>325</v>
      </c>
      <c r="E415" s="74">
        <f>MIN(IF(AV415=0,0,
IF(Investment_Strategy="DIS",VLOOKUP(Investment_Strategy&amp;"_"&amp;Investment_Strategy_Sub1&amp;"_"&amp;$A415,'Investment Strategies'!$AZ:$BP,12,FALSE),
IF(AND(Investment_Strategy="Lifecycle",Investment_Strategy_Sub1="Non-Standard"),VLOOKUP(Investment_Strategy&amp;"_"&amp;Investment_Strategy_Sub2&amp;"_"&amp;$A415,'Investment Strategies'!$C:$P,9,FALSE),
IF(AND(Investment_Strategy="Lifecycle",Investment_Strategy_Sub1="Standard"),VLOOKUP(Investment_Strategy&amp;"_"&amp;Investment_Strategy_Sub2&amp;"_"&amp;$A415,'Investment Strategies'!$AJ:$AV,8,FALSE),
IF(AND(Investment_Strategy="Autopilot",Investment_Strategy_Sub1="Non-Standard"),VLOOKUP(Investment_Strategy&amp;"_"&amp;Investment_Strategy_Sub2&amp;"_"&amp;$A415,'Investment Strategies'!$T:$AF,8,FALSE),
IF(Investment_Strategy ="DIY",DIY_RateOfReturn_CurrentFunds,
"Error")))))),Max_InvReturn)</f>
        <v>0</v>
      </c>
      <c r="F415" s="62">
        <f>IF(AV415=0,0,
IF(Investment_Strategy="DIS",VLOOKUP(Investment_Strategy&amp;"_"&amp;Investment_Strategy_Sub1&amp;"_"&amp;$A415,'Investment Strategies'!$AZ:$BP,15,FALSE),
IF(AND(Investment_Strategy="Lifecycle",Investment_Strategy_Sub1="Non-Standard"),VLOOKUP(Investment_Strategy&amp;"_"&amp;Investment_Strategy_Sub2&amp;"_"&amp;$A415,'Investment Strategies'!$C:$P,12,FALSE),
IF(AND(Investment_Strategy="Lifecycle",Investment_Strategy_Sub1="Standard"),VLOOKUP(Investment_Strategy&amp;"_"&amp;Investment_Strategy_Sub2&amp;"_"&amp;$A415,'Investment Strategies'!$AJ:$AV,11,FALSE),
IF(AND(Investment_Strategy="Autopilot",Investment_Strategy_Sub1="Non-Standard"),VLOOKUP(Investment_Strategy&amp;"_"&amp;Investment_Strategy_Sub2&amp;"_"&amp;$A415,'Investment Strategies'!$T:$AF,11,FALSE),
IF(Investment_Strategy="DIY",DIY_GteeChrge_CurrentFunds,
"Error"))))))</f>
        <v>0</v>
      </c>
      <c r="G415" s="33">
        <f>IF(AV415=0,0,
IF(Investment_Strategy="DIS",VLOOKUP(Investment_Strategy&amp;"_"&amp;Investment_Strategy_Sub1&amp;"_"&amp;$A415,'Investment Strategies'!$AZ:$BP,17,FALSE),
IF(AND(Investment_Strategy="Lifecycle",Investment_Strategy_Sub1="Non-Standard"),VLOOKUP(Investment_Strategy&amp;"_"&amp;Investment_Strategy_Sub2&amp;"_"&amp;$A415,'Investment Strategies'!$C:$P,14,FALSE),
IF(AND(Investment_Strategy="Lifecycle",Investment_Strategy_Sub1="Standard"),VLOOKUP(Investment_Strategy&amp;"_"&amp;Investment_Strategy_Sub2&amp;"_"&amp;$A415,'Investment Strategies'!$AJ:$AV,13,FALSE),
IF(AND(Investment_Strategy="Autopilot",Investment_Strategy_Sub1="Non-Standard"),VLOOKUP(Investment_Strategy&amp;"_"&amp;Investment_Strategy_Sub2&amp;"_"&amp;$A415,'Investment Strategies'!$T:$AF,13,FALSE),
IF(Investment_Strategy="DIY",DIY_ExtManChrge_CurrentFunds,
"Error"))))))</f>
        <v>0</v>
      </c>
      <c r="H415" s="16">
        <f t="shared" si="255"/>
        <v>0</v>
      </c>
      <c r="I415" s="16">
        <f t="shared" si="240"/>
        <v>0</v>
      </c>
      <c r="J415" s="16">
        <f t="shared" si="241"/>
        <v>0</v>
      </c>
      <c r="K415" s="16">
        <f>(Opening_Fund_Value+SUM(K$91:K414))*E415*IF(D415=$A$91,SRP_finalmonthfactor,1)</f>
        <v>0</v>
      </c>
      <c r="L415" s="74">
        <f>MIN(IF($AV415=0,0,
IF(Investment_Strategy="DIS",VLOOKUP(Investment_Strategy&amp;"_"&amp;Investment_Strategy_Sub1&amp;"_"&amp;$A415,'Investment Strategies'!$AZ:$BP,12,FALSE),
IF(AND(Investment_Strategy="Lifecycle",Investment_Strategy_Sub1="Non-Standard"),VLOOKUP(Investment_Strategy&amp;"_"&amp;Investment_Strategy_Sub2&amp;"_"&amp;$A415,'Investment Strategies'!$C:$P,9,FALSE),
IF(AND(Investment_Strategy="Lifecycle",Investment_Strategy_Sub1="Standard"),VLOOKUP(Investment_Strategy&amp;"_"&amp;Investment_Strategy_Sub2&amp;"_"&amp;$A415,'Investment Strategies'!$AJ:$AV,8,FALSE),
IF(AND(Investment_Strategy="Autopilot",Investment_Strategy_Sub1="Non-Standard"),VLOOKUP(Investment_Strategy&amp;"_"&amp;Investment_Strategy_Sub2&amp;"_"&amp;$A415,'Investment Strategies'!$T:$AF,8,FALSE),
IF(Investment_Strategy ="DIY",DIY_RateofReturn_SP,
"Error")))))),Max_InvReturn)</f>
        <v>0</v>
      </c>
      <c r="M415" s="62">
        <f>IF($AV415=0,0,
IF(Investment_Strategy="DIS",VLOOKUP(Investment_Strategy&amp;"_"&amp;Investment_Strategy_Sub1&amp;"_"&amp;$A415,'Investment Strategies'!$AZ:$BP,15,FALSE),
IF(AND(Investment_Strategy="Lifecycle",Investment_Strategy_Sub1="Non-Standard"),VLOOKUP(Investment_Strategy&amp;"_"&amp;Investment_Strategy_Sub2&amp;"_"&amp;$A415,'Investment Strategies'!$C:$P,12,FALSE),
IF(AND(Investment_Strategy="Lifecycle",Investment_Strategy_Sub1="Standard"),VLOOKUP(Investment_Strategy&amp;"_"&amp;Investment_Strategy_Sub2&amp;"_"&amp;$A415,'Investment Strategies'!$AJ:$AV,11,FALSE),
IF(AND(Investment_Strategy="Autopilot",Investment_Strategy_Sub1="Non-Standard"),VLOOKUP(Investment_Strategy&amp;"_"&amp;Investment_Strategy_Sub2&amp;"_"&amp;$A415,'Investment Strategies'!$T:$AF,11,FALSE),
IF(Investment_Strategy="DIY",DIY_GteeChrge_SP,
"Error"))))))</f>
        <v>0</v>
      </c>
      <c r="N415" s="33">
        <f>IF($AV415=0,0,
IF(Investment_Strategy="DIS",VLOOKUP(Investment_Strategy&amp;"_"&amp;Investment_Strategy_Sub1&amp;"_"&amp;$A415,'Investment Strategies'!$AZ:$BP,17,FALSE),
IF(AND(Investment_Strategy="Lifecycle",Investment_Strategy_Sub1="Non-Standard"),VLOOKUP(Investment_Strategy&amp;"_"&amp;Investment_Strategy_Sub2&amp;"_"&amp;$A415,'Investment Strategies'!$C:$P,14,FALSE),
IF(AND(Investment_Strategy="Lifecycle",Investment_Strategy_Sub1="Standard"),VLOOKUP(Investment_Strategy&amp;"_"&amp;Investment_Strategy_Sub2&amp;"_"&amp;$A415,'Investment Strategies'!$AJ:$AV,13,FALSE),
IF(AND(Investment_Strategy="Autopilot",Investment_Strategy_Sub1="Non-Standard"),VLOOKUP(Investment_Strategy&amp;"_"&amp;Investment_Strategy_Sub2&amp;"_"&amp;$A415,'Investment Strategies'!$T:$AF,13,FALSE),
IF(Investment_Strategy="DIY",DIY_ExtManChrge_SP,
"Error"))))))</f>
        <v>0</v>
      </c>
      <c r="O415" s="16">
        <f t="shared" si="266"/>
        <v>0</v>
      </c>
      <c r="Q415" s="16">
        <f t="shared" si="242"/>
        <v>0</v>
      </c>
      <c r="R415" s="16">
        <f t="shared" si="239"/>
        <v>0</v>
      </c>
      <c r="S415" s="16">
        <f>(SRP_SP+SUM(S$91:S414))*L415*IF(D415=$A$91,SRP_finalmonthfactor,1)</f>
        <v>0</v>
      </c>
      <c r="T415" s="74">
        <f>MIN(IF($AV415=0,0,
IF(Investment_Strategy="DIS",VLOOKUP(Investment_Strategy&amp;"_"&amp;Investment_Strategy_Sub1&amp;"_"&amp;$A415,'Investment Strategies'!$AZ:$BP,12,FALSE),
IF(AND(Investment_Strategy="Lifecycle",Investment_Strategy_Sub1="Non-Standard"),VLOOKUP(Investment_Strategy&amp;"_"&amp;Investment_Strategy_Sub2&amp;"_"&amp;$A415,'Investment Strategies'!$C:$P,9,FALSE),
IF(AND(Investment_Strategy="Lifecycle",Investment_Strategy_Sub1="Standard"),VLOOKUP(Investment_Strategy&amp;"_"&amp;Investment_Strategy_Sub2&amp;"_"&amp;$A415,'Investment Strategies'!$AJ:$AV,8,FALSE),
IF(AND(Investment_Strategy="Autopilot",Investment_Strategy_Sub1="Non-Standard"),VLOOKUP(Investment_Strategy&amp;"_"&amp;Investment_Strategy_Sub2&amp;"_"&amp;$A415,'Investment Strategies'!$T:$AF,8,FALSE),
IF(Investment_Strategy ="DIY",DIY_RateOfReturn_FuturePremiums,
"Error")))))),Max_InvReturn)</f>
        <v>0</v>
      </c>
      <c r="U415" s="62">
        <f>IF($AV415=0,0,
IF(Investment_Strategy="DIS",VLOOKUP(Investment_Strategy&amp;"_"&amp;Investment_Strategy_Sub1&amp;"_"&amp;$A415,'Investment Strategies'!$AZ:$BP,15,FALSE),
IF(AND(Investment_Strategy="Lifecycle",Investment_Strategy_Sub1="Non-Standard"),VLOOKUP(Investment_Strategy&amp;"_"&amp;Investment_Strategy_Sub2&amp;"_"&amp;$A415,'Investment Strategies'!$C:$P,12,FALSE),
IF(AND(Investment_Strategy="Lifecycle",Investment_Strategy_Sub1="Standard"),VLOOKUP(Investment_Strategy&amp;"_"&amp;Investment_Strategy_Sub2&amp;"_"&amp;$A415,'Investment Strategies'!$AJ:$AV,11,FALSE),
IF(AND(Investment_Strategy="Autopilot",Investment_Strategy_Sub1="Non-Standard"),VLOOKUP(Investment_Strategy&amp;"_"&amp;Investment_Strategy_Sub2&amp;"_"&amp;$A415,'Investment Strategies'!$T:$AF,11,FALSE),
IF(Investment_Strategy="DIY",DIY_GteeChrge_FuturePremiums,
"Error"))))))</f>
        <v>0</v>
      </c>
      <c r="V415" s="33">
        <f>IF(AV415=0,0,
IF(Investment_Strategy="DIS",VLOOKUP(Investment_Strategy&amp;"_"&amp;Investment_Strategy_Sub1&amp;"_"&amp;$A415,'Investment Strategies'!$AZ:$BP,17,FALSE),
IF(AND(Investment_Strategy="Lifecycle",Investment_Strategy_Sub1="Non-Standard"),VLOOKUP(Investment_Strategy&amp;"_"&amp;Investment_Strategy_Sub2&amp;"_"&amp;$A415,'Investment Strategies'!$C:$P,14,FALSE),
IF(AND(Investment_Strategy="Lifecycle",Investment_Strategy_Sub1="Standard"),VLOOKUP(Investment_Strategy&amp;"_"&amp;Investment_Strategy_Sub2&amp;"_"&amp;$A415,'Investment Strategies'!$AJ:$AV,13,FALSE),
IF(AND(Investment_Strategy="Autopilot",Investment_Strategy_Sub1="Non-Standard"),VLOOKUP(Investment_Strategy&amp;"_"&amp;Investment_Strategy_Sub2&amp;"_"&amp;$A415,'Investment Strategies'!$T:$AF,13,FALSE),
IF(Investment_Strategy="DIY",DIY_ExtManChrge_FuturePremiums,
"Error"))))))</f>
        <v>0</v>
      </c>
      <c r="W415" s="16">
        <f t="shared" si="267"/>
        <v>0</v>
      </c>
      <c r="X415" s="16">
        <f t="shared" si="243"/>
        <v>0</v>
      </c>
      <c r="Y415" s="16">
        <f t="shared" si="244"/>
        <v>0</v>
      </c>
      <c r="Z415" s="31">
        <f t="shared" si="245"/>
        <v>0.02</v>
      </c>
      <c r="AA415" s="16">
        <f t="shared" si="246"/>
        <v>0</v>
      </c>
      <c r="AB415" s="28">
        <f t="shared" si="268"/>
        <v>0</v>
      </c>
      <c r="AC415" s="28">
        <f>(SUM($AC$91:AC414)+SUM($X$91:X414)+X415)*T415*IF(D415=$A$91,SRP_finalmonthfactor,1)</f>
        <v>0</v>
      </c>
      <c r="AD415" s="16">
        <f t="shared" si="247"/>
        <v>0</v>
      </c>
      <c r="AE415" s="106"/>
      <c r="AF415" s="16">
        <f t="shared" si="256"/>
        <v>0</v>
      </c>
      <c r="AG415" s="16">
        <f t="shared" si="257"/>
        <v>0</v>
      </c>
      <c r="AH415" s="16">
        <f t="shared" si="258"/>
        <v>0</v>
      </c>
      <c r="AJ415" s="13">
        <f t="shared" si="248"/>
        <v>0</v>
      </c>
      <c r="AK415" s="13">
        <f t="shared" si="248"/>
        <v>0</v>
      </c>
      <c r="AL415" s="13">
        <f t="shared" si="248"/>
        <v>0</v>
      </c>
      <c r="AM415" s="13">
        <f t="shared" si="248"/>
        <v>0</v>
      </c>
      <c r="AN415" s="13">
        <f t="shared" si="248"/>
        <v>0</v>
      </c>
      <c r="AO415" s="13">
        <f t="shared" si="248"/>
        <v>1</v>
      </c>
      <c r="AP415" s="13">
        <f t="shared" si="248"/>
        <v>1</v>
      </c>
      <c r="AQ415" s="13">
        <f t="shared" si="248"/>
        <v>1</v>
      </c>
      <c r="AR415" s="13">
        <f t="shared" si="248"/>
        <v>0</v>
      </c>
      <c r="AS415" s="13">
        <f t="shared" si="248"/>
        <v>1</v>
      </c>
      <c r="AT415" s="13">
        <f t="shared" si="248"/>
        <v>1</v>
      </c>
      <c r="AU415" s="13">
        <f t="shared" si="248"/>
        <v>1</v>
      </c>
      <c r="AV415" s="13">
        <f t="shared" si="249"/>
        <v>0</v>
      </c>
      <c r="AW415" s="13">
        <f t="shared" si="250"/>
        <v>1</v>
      </c>
      <c r="AY415" s="17">
        <f t="shared" si="251"/>
        <v>325</v>
      </c>
      <c r="AZ415" s="28">
        <f t="shared" si="259"/>
        <v>0</v>
      </c>
      <c r="BA415" s="13">
        <f t="shared" si="252"/>
        <v>0</v>
      </c>
      <c r="BB415" s="13">
        <f t="shared" si="253"/>
        <v>0</v>
      </c>
      <c r="BC415" s="28">
        <f t="shared" si="260"/>
        <v>0</v>
      </c>
      <c r="BD415" s="28">
        <f t="shared" si="261"/>
        <v>0</v>
      </c>
      <c r="BF415" s="248">
        <f t="shared" si="262"/>
        <v>993869.29442638322</v>
      </c>
    </row>
    <row r="416" spans="1:58">
      <c r="A416" s="32">
        <f t="shared" si="263"/>
        <v>-241</v>
      </c>
      <c r="B416" s="32">
        <f t="shared" si="254"/>
        <v>80</v>
      </c>
      <c r="C416" s="32">
        <f t="shared" si="264"/>
        <v>28</v>
      </c>
      <c r="D416" s="32">
        <f t="shared" si="265"/>
        <v>326</v>
      </c>
      <c r="E416" s="74">
        <f>MIN(IF(AV416=0,0,
IF(Investment_Strategy="DIS",VLOOKUP(Investment_Strategy&amp;"_"&amp;Investment_Strategy_Sub1&amp;"_"&amp;$A416,'Investment Strategies'!$AZ:$BP,12,FALSE),
IF(AND(Investment_Strategy="Lifecycle",Investment_Strategy_Sub1="Non-Standard"),VLOOKUP(Investment_Strategy&amp;"_"&amp;Investment_Strategy_Sub2&amp;"_"&amp;$A416,'Investment Strategies'!$C:$P,9,FALSE),
IF(AND(Investment_Strategy="Lifecycle",Investment_Strategy_Sub1="Standard"),VLOOKUP(Investment_Strategy&amp;"_"&amp;Investment_Strategy_Sub2&amp;"_"&amp;$A416,'Investment Strategies'!$AJ:$AV,8,FALSE),
IF(AND(Investment_Strategy="Autopilot",Investment_Strategy_Sub1="Non-Standard"),VLOOKUP(Investment_Strategy&amp;"_"&amp;Investment_Strategy_Sub2&amp;"_"&amp;$A416,'Investment Strategies'!$T:$AF,8,FALSE),
IF(Investment_Strategy ="DIY",DIY_RateOfReturn_CurrentFunds,
"Error")))))),Max_InvReturn)</f>
        <v>0</v>
      </c>
      <c r="F416" s="62">
        <f>IF(AV416=0,0,
IF(Investment_Strategy="DIS",VLOOKUP(Investment_Strategy&amp;"_"&amp;Investment_Strategy_Sub1&amp;"_"&amp;$A416,'Investment Strategies'!$AZ:$BP,15,FALSE),
IF(AND(Investment_Strategy="Lifecycle",Investment_Strategy_Sub1="Non-Standard"),VLOOKUP(Investment_Strategy&amp;"_"&amp;Investment_Strategy_Sub2&amp;"_"&amp;$A416,'Investment Strategies'!$C:$P,12,FALSE),
IF(AND(Investment_Strategy="Lifecycle",Investment_Strategy_Sub1="Standard"),VLOOKUP(Investment_Strategy&amp;"_"&amp;Investment_Strategy_Sub2&amp;"_"&amp;$A416,'Investment Strategies'!$AJ:$AV,11,FALSE),
IF(AND(Investment_Strategy="Autopilot",Investment_Strategy_Sub1="Non-Standard"),VLOOKUP(Investment_Strategy&amp;"_"&amp;Investment_Strategy_Sub2&amp;"_"&amp;$A416,'Investment Strategies'!$T:$AF,11,FALSE),
IF(Investment_Strategy="DIY",DIY_GteeChrge_CurrentFunds,
"Error"))))))</f>
        <v>0</v>
      </c>
      <c r="G416" s="33">
        <f>IF(AV416=0,0,
IF(Investment_Strategy="DIS",VLOOKUP(Investment_Strategy&amp;"_"&amp;Investment_Strategy_Sub1&amp;"_"&amp;$A416,'Investment Strategies'!$AZ:$BP,17,FALSE),
IF(AND(Investment_Strategy="Lifecycle",Investment_Strategy_Sub1="Non-Standard"),VLOOKUP(Investment_Strategy&amp;"_"&amp;Investment_Strategy_Sub2&amp;"_"&amp;$A416,'Investment Strategies'!$C:$P,14,FALSE),
IF(AND(Investment_Strategy="Lifecycle",Investment_Strategy_Sub1="Standard"),VLOOKUP(Investment_Strategy&amp;"_"&amp;Investment_Strategy_Sub2&amp;"_"&amp;$A416,'Investment Strategies'!$AJ:$AV,13,FALSE),
IF(AND(Investment_Strategy="Autopilot",Investment_Strategy_Sub1="Non-Standard"),VLOOKUP(Investment_Strategy&amp;"_"&amp;Investment_Strategy_Sub2&amp;"_"&amp;$A416,'Investment Strategies'!$T:$AF,13,FALSE),
IF(Investment_Strategy="DIY",DIY_ExtManChrge_CurrentFunds,
"Error"))))))</f>
        <v>0</v>
      </c>
      <c r="H416" s="16">
        <f t="shared" si="255"/>
        <v>0</v>
      </c>
      <c r="I416" s="16">
        <f t="shared" si="240"/>
        <v>0</v>
      </c>
      <c r="J416" s="16">
        <f t="shared" si="241"/>
        <v>0</v>
      </c>
      <c r="K416" s="16">
        <f>(Opening_Fund_Value+SUM(K$91:K415))*E416*IF(D416=$A$91,SRP_finalmonthfactor,1)</f>
        <v>0</v>
      </c>
      <c r="L416" s="74">
        <f>MIN(IF($AV416=0,0,
IF(Investment_Strategy="DIS",VLOOKUP(Investment_Strategy&amp;"_"&amp;Investment_Strategy_Sub1&amp;"_"&amp;$A416,'Investment Strategies'!$AZ:$BP,12,FALSE),
IF(AND(Investment_Strategy="Lifecycle",Investment_Strategy_Sub1="Non-Standard"),VLOOKUP(Investment_Strategy&amp;"_"&amp;Investment_Strategy_Sub2&amp;"_"&amp;$A416,'Investment Strategies'!$C:$P,9,FALSE),
IF(AND(Investment_Strategy="Lifecycle",Investment_Strategy_Sub1="Standard"),VLOOKUP(Investment_Strategy&amp;"_"&amp;Investment_Strategy_Sub2&amp;"_"&amp;$A416,'Investment Strategies'!$AJ:$AV,8,FALSE),
IF(AND(Investment_Strategy="Autopilot",Investment_Strategy_Sub1="Non-Standard"),VLOOKUP(Investment_Strategy&amp;"_"&amp;Investment_Strategy_Sub2&amp;"_"&amp;$A416,'Investment Strategies'!$T:$AF,8,FALSE),
IF(Investment_Strategy ="DIY",DIY_RateofReturn_SP,
"Error")))))),Max_InvReturn)</f>
        <v>0</v>
      </c>
      <c r="M416" s="62">
        <f>IF($AV416=0,0,
IF(Investment_Strategy="DIS",VLOOKUP(Investment_Strategy&amp;"_"&amp;Investment_Strategy_Sub1&amp;"_"&amp;$A416,'Investment Strategies'!$AZ:$BP,15,FALSE),
IF(AND(Investment_Strategy="Lifecycle",Investment_Strategy_Sub1="Non-Standard"),VLOOKUP(Investment_Strategy&amp;"_"&amp;Investment_Strategy_Sub2&amp;"_"&amp;$A416,'Investment Strategies'!$C:$P,12,FALSE),
IF(AND(Investment_Strategy="Lifecycle",Investment_Strategy_Sub1="Standard"),VLOOKUP(Investment_Strategy&amp;"_"&amp;Investment_Strategy_Sub2&amp;"_"&amp;$A416,'Investment Strategies'!$AJ:$AV,11,FALSE),
IF(AND(Investment_Strategy="Autopilot",Investment_Strategy_Sub1="Non-Standard"),VLOOKUP(Investment_Strategy&amp;"_"&amp;Investment_Strategy_Sub2&amp;"_"&amp;$A416,'Investment Strategies'!$T:$AF,11,FALSE),
IF(Investment_Strategy="DIY",DIY_GteeChrge_SP,
"Error"))))))</f>
        <v>0</v>
      </c>
      <c r="N416" s="33">
        <f>IF($AV416=0,0,
IF(Investment_Strategy="DIS",VLOOKUP(Investment_Strategy&amp;"_"&amp;Investment_Strategy_Sub1&amp;"_"&amp;$A416,'Investment Strategies'!$AZ:$BP,17,FALSE),
IF(AND(Investment_Strategy="Lifecycle",Investment_Strategy_Sub1="Non-Standard"),VLOOKUP(Investment_Strategy&amp;"_"&amp;Investment_Strategy_Sub2&amp;"_"&amp;$A416,'Investment Strategies'!$C:$P,14,FALSE),
IF(AND(Investment_Strategy="Lifecycle",Investment_Strategy_Sub1="Standard"),VLOOKUP(Investment_Strategy&amp;"_"&amp;Investment_Strategy_Sub2&amp;"_"&amp;$A416,'Investment Strategies'!$AJ:$AV,13,FALSE),
IF(AND(Investment_Strategy="Autopilot",Investment_Strategy_Sub1="Non-Standard"),VLOOKUP(Investment_Strategy&amp;"_"&amp;Investment_Strategy_Sub2&amp;"_"&amp;$A416,'Investment Strategies'!$T:$AF,13,FALSE),
IF(Investment_Strategy="DIY",DIY_ExtManChrge_SP,
"Error"))))))</f>
        <v>0</v>
      </c>
      <c r="O416" s="16">
        <f t="shared" si="266"/>
        <v>0</v>
      </c>
      <c r="Q416" s="16">
        <f t="shared" si="242"/>
        <v>0</v>
      </c>
      <c r="R416" s="16">
        <f t="shared" si="239"/>
        <v>0</v>
      </c>
      <c r="S416" s="16">
        <f>(SRP_SP+SUM(S$91:S415))*L416*IF(D416=$A$91,SRP_finalmonthfactor,1)</f>
        <v>0</v>
      </c>
      <c r="T416" s="74">
        <f>MIN(IF($AV416=0,0,
IF(Investment_Strategy="DIS",VLOOKUP(Investment_Strategy&amp;"_"&amp;Investment_Strategy_Sub1&amp;"_"&amp;$A416,'Investment Strategies'!$AZ:$BP,12,FALSE),
IF(AND(Investment_Strategy="Lifecycle",Investment_Strategy_Sub1="Non-Standard"),VLOOKUP(Investment_Strategy&amp;"_"&amp;Investment_Strategy_Sub2&amp;"_"&amp;$A416,'Investment Strategies'!$C:$P,9,FALSE),
IF(AND(Investment_Strategy="Lifecycle",Investment_Strategy_Sub1="Standard"),VLOOKUP(Investment_Strategy&amp;"_"&amp;Investment_Strategy_Sub2&amp;"_"&amp;$A416,'Investment Strategies'!$AJ:$AV,8,FALSE),
IF(AND(Investment_Strategy="Autopilot",Investment_Strategy_Sub1="Non-Standard"),VLOOKUP(Investment_Strategy&amp;"_"&amp;Investment_Strategy_Sub2&amp;"_"&amp;$A416,'Investment Strategies'!$T:$AF,8,FALSE),
IF(Investment_Strategy ="DIY",DIY_RateOfReturn_FuturePremiums,
"Error")))))),Max_InvReturn)</f>
        <v>0</v>
      </c>
      <c r="U416" s="62">
        <f>IF($AV416=0,0,
IF(Investment_Strategy="DIS",VLOOKUP(Investment_Strategy&amp;"_"&amp;Investment_Strategy_Sub1&amp;"_"&amp;$A416,'Investment Strategies'!$AZ:$BP,15,FALSE),
IF(AND(Investment_Strategy="Lifecycle",Investment_Strategy_Sub1="Non-Standard"),VLOOKUP(Investment_Strategy&amp;"_"&amp;Investment_Strategy_Sub2&amp;"_"&amp;$A416,'Investment Strategies'!$C:$P,12,FALSE),
IF(AND(Investment_Strategy="Lifecycle",Investment_Strategy_Sub1="Standard"),VLOOKUP(Investment_Strategy&amp;"_"&amp;Investment_Strategy_Sub2&amp;"_"&amp;$A416,'Investment Strategies'!$AJ:$AV,11,FALSE),
IF(AND(Investment_Strategy="Autopilot",Investment_Strategy_Sub1="Non-Standard"),VLOOKUP(Investment_Strategy&amp;"_"&amp;Investment_Strategy_Sub2&amp;"_"&amp;$A416,'Investment Strategies'!$T:$AF,11,FALSE),
IF(Investment_Strategy="DIY",DIY_GteeChrge_FuturePremiums,
"Error"))))))</f>
        <v>0</v>
      </c>
      <c r="V416" s="33">
        <f>IF(AV416=0,0,
IF(Investment_Strategy="DIS",VLOOKUP(Investment_Strategy&amp;"_"&amp;Investment_Strategy_Sub1&amp;"_"&amp;$A416,'Investment Strategies'!$AZ:$BP,17,FALSE),
IF(AND(Investment_Strategy="Lifecycle",Investment_Strategy_Sub1="Non-Standard"),VLOOKUP(Investment_Strategy&amp;"_"&amp;Investment_Strategy_Sub2&amp;"_"&amp;$A416,'Investment Strategies'!$C:$P,14,FALSE),
IF(AND(Investment_Strategy="Lifecycle",Investment_Strategy_Sub1="Standard"),VLOOKUP(Investment_Strategy&amp;"_"&amp;Investment_Strategy_Sub2&amp;"_"&amp;$A416,'Investment Strategies'!$AJ:$AV,13,FALSE),
IF(AND(Investment_Strategy="Autopilot",Investment_Strategy_Sub1="Non-Standard"),VLOOKUP(Investment_Strategy&amp;"_"&amp;Investment_Strategy_Sub2&amp;"_"&amp;$A416,'Investment Strategies'!$T:$AF,13,FALSE),
IF(Investment_Strategy="DIY",DIY_ExtManChrge_FuturePremiums,
"Error"))))))</f>
        <v>0</v>
      </c>
      <c r="W416" s="16">
        <f t="shared" si="267"/>
        <v>0</v>
      </c>
      <c r="X416" s="16">
        <f t="shared" si="243"/>
        <v>0</v>
      </c>
      <c r="Y416" s="16">
        <f t="shared" si="244"/>
        <v>0</v>
      </c>
      <c r="Z416" s="31">
        <f t="shared" si="245"/>
        <v>0.02</v>
      </c>
      <c r="AA416" s="16">
        <f t="shared" si="246"/>
        <v>0</v>
      </c>
      <c r="AB416" s="28">
        <f t="shared" si="268"/>
        <v>0</v>
      </c>
      <c r="AC416" s="28">
        <f>(SUM($AC$91:AC415)+SUM($X$91:X415)+X416)*T416*IF(D416=$A$91,SRP_finalmonthfactor,1)</f>
        <v>0</v>
      </c>
      <c r="AD416" s="16">
        <f t="shared" si="247"/>
        <v>0</v>
      </c>
      <c r="AE416" s="106"/>
      <c r="AF416" s="16">
        <f t="shared" si="256"/>
        <v>0</v>
      </c>
      <c r="AG416" s="16">
        <f t="shared" si="257"/>
        <v>0</v>
      </c>
      <c r="AH416" s="16">
        <f t="shared" si="258"/>
        <v>0</v>
      </c>
      <c r="AJ416" s="13">
        <f t="shared" si="248"/>
        <v>0</v>
      </c>
      <c r="AK416" s="13">
        <f t="shared" si="248"/>
        <v>0</v>
      </c>
      <c r="AL416" s="13">
        <f t="shared" si="248"/>
        <v>0</v>
      </c>
      <c r="AM416" s="13">
        <f t="shared" si="248"/>
        <v>0</v>
      </c>
      <c r="AN416" s="13">
        <f t="shared" si="248"/>
        <v>0</v>
      </c>
      <c r="AO416" s="13">
        <f t="shared" si="248"/>
        <v>1</v>
      </c>
      <c r="AP416" s="13">
        <f t="shared" si="248"/>
        <v>1</v>
      </c>
      <c r="AQ416" s="13">
        <f t="shared" si="248"/>
        <v>1</v>
      </c>
      <c r="AR416" s="13">
        <f t="shared" si="248"/>
        <v>0</v>
      </c>
      <c r="AS416" s="13">
        <f t="shared" si="248"/>
        <v>1</v>
      </c>
      <c r="AT416" s="13">
        <f t="shared" si="248"/>
        <v>1</v>
      </c>
      <c r="AU416" s="13">
        <f t="shared" si="248"/>
        <v>1</v>
      </c>
      <c r="AV416" s="13">
        <f t="shared" si="249"/>
        <v>0</v>
      </c>
      <c r="AW416" s="13">
        <f t="shared" si="250"/>
        <v>1</v>
      </c>
      <c r="AY416" s="17">
        <f t="shared" si="251"/>
        <v>326</v>
      </c>
      <c r="AZ416" s="28">
        <f t="shared" si="259"/>
        <v>0</v>
      </c>
      <c r="BA416" s="13">
        <f t="shared" si="252"/>
        <v>0</v>
      </c>
      <c r="BB416" s="13">
        <f t="shared" si="253"/>
        <v>0</v>
      </c>
      <c r="BC416" s="28">
        <f t="shared" si="260"/>
        <v>0</v>
      </c>
      <c r="BD416" s="28">
        <f t="shared" si="261"/>
        <v>0</v>
      </c>
      <c r="BF416" s="248">
        <f t="shared" si="262"/>
        <v>993869.29442638322</v>
      </c>
    </row>
    <row r="417" spans="1:58">
      <c r="A417" s="32">
        <f t="shared" si="263"/>
        <v>-242</v>
      </c>
      <c r="B417" s="32">
        <f t="shared" si="254"/>
        <v>80</v>
      </c>
      <c r="C417" s="32">
        <f t="shared" si="264"/>
        <v>28</v>
      </c>
      <c r="D417" s="32">
        <f t="shared" si="265"/>
        <v>327</v>
      </c>
      <c r="E417" s="74">
        <f>MIN(IF(AV417=0,0,
IF(Investment_Strategy="DIS",VLOOKUP(Investment_Strategy&amp;"_"&amp;Investment_Strategy_Sub1&amp;"_"&amp;$A417,'Investment Strategies'!$AZ:$BP,12,FALSE),
IF(AND(Investment_Strategy="Lifecycle",Investment_Strategy_Sub1="Non-Standard"),VLOOKUP(Investment_Strategy&amp;"_"&amp;Investment_Strategy_Sub2&amp;"_"&amp;$A417,'Investment Strategies'!$C:$P,9,FALSE),
IF(AND(Investment_Strategy="Lifecycle",Investment_Strategy_Sub1="Standard"),VLOOKUP(Investment_Strategy&amp;"_"&amp;Investment_Strategy_Sub2&amp;"_"&amp;$A417,'Investment Strategies'!$AJ:$AV,8,FALSE),
IF(AND(Investment_Strategy="Autopilot",Investment_Strategy_Sub1="Non-Standard"),VLOOKUP(Investment_Strategy&amp;"_"&amp;Investment_Strategy_Sub2&amp;"_"&amp;$A417,'Investment Strategies'!$T:$AF,8,FALSE),
IF(Investment_Strategy ="DIY",DIY_RateOfReturn_CurrentFunds,
"Error")))))),Max_InvReturn)</f>
        <v>0</v>
      </c>
      <c r="F417" s="62">
        <f>IF(AV417=0,0,
IF(Investment_Strategy="DIS",VLOOKUP(Investment_Strategy&amp;"_"&amp;Investment_Strategy_Sub1&amp;"_"&amp;$A417,'Investment Strategies'!$AZ:$BP,15,FALSE),
IF(AND(Investment_Strategy="Lifecycle",Investment_Strategy_Sub1="Non-Standard"),VLOOKUP(Investment_Strategy&amp;"_"&amp;Investment_Strategy_Sub2&amp;"_"&amp;$A417,'Investment Strategies'!$C:$P,12,FALSE),
IF(AND(Investment_Strategy="Lifecycle",Investment_Strategy_Sub1="Standard"),VLOOKUP(Investment_Strategy&amp;"_"&amp;Investment_Strategy_Sub2&amp;"_"&amp;$A417,'Investment Strategies'!$AJ:$AV,11,FALSE),
IF(AND(Investment_Strategy="Autopilot",Investment_Strategy_Sub1="Non-Standard"),VLOOKUP(Investment_Strategy&amp;"_"&amp;Investment_Strategy_Sub2&amp;"_"&amp;$A417,'Investment Strategies'!$T:$AF,11,FALSE),
IF(Investment_Strategy="DIY",DIY_GteeChrge_CurrentFunds,
"Error"))))))</f>
        <v>0</v>
      </c>
      <c r="G417" s="33">
        <f>IF(AV417=0,0,
IF(Investment_Strategy="DIS",VLOOKUP(Investment_Strategy&amp;"_"&amp;Investment_Strategy_Sub1&amp;"_"&amp;$A417,'Investment Strategies'!$AZ:$BP,17,FALSE),
IF(AND(Investment_Strategy="Lifecycle",Investment_Strategy_Sub1="Non-Standard"),VLOOKUP(Investment_Strategy&amp;"_"&amp;Investment_Strategy_Sub2&amp;"_"&amp;$A417,'Investment Strategies'!$C:$P,14,FALSE),
IF(AND(Investment_Strategy="Lifecycle",Investment_Strategy_Sub1="Standard"),VLOOKUP(Investment_Strategy&amp;"_"&amp;Investment_Strategy_Sub2&amp;"_"&amp;$A417,'Investment Strategies'!$AJ:$AV,13,FALSE),
IF(AND(Investment_Strategy="Autopilot",Investment_Strategy_Sub1="Non-Standard"),VLOOKUP(Investment_Strategy&amp;"_"&amp;Investment_Strategy_Sub2&amp;"_"&amp;$A417,'Investment Strategies'!$T:$AF,13,FALSE),
IF(Investment_Strategy="DIY",DIY_ExtManChrge_CurrentFunds,
"Error"))))))</f>
        <v>0</v>
      </c>
      <c r="H417" s="16">
        <f t="shared" si="255"/>
        <v>0</v>
      </c>
      <c r="I417" s="16">
        <f t="shared" si="240"/>
        <v>0</v>
      </c>
      <c r="J417" s="16">
        <f t="shared" si="241"/>
        <v>0</v>
      </c>
      <c r="K417" s="16">
        <f>(Opening_Fund_Value+SUM(K$91:K416))*E417*IF(D417=$A$91,SRP_finalmonthfactor,1)</f>
        <v>0</v>
      </c>
      <c r="L417" s="74">
        <f>MIN(IF($AV417=0,0,
IF(Investment_Strategy="DIS",VLOOKUP(Investment_Strategy&amp;"_"&amp;Investment_Strategy_Sub1&amp;"_"&amp;$A417,'Investment Strategies'!$AZ:$BP,12,FALSE),
IF(AND(Investment_Strategy="Lifecycle",Investment_Strategy_Sub1="Non-Standard"),VLOOKUP(Investment_Strategy&amp;"_"&amp;Investment_Strategy_Sub2&amp;"_"&amp;$A417,'Investment Strategies'!$C:$P,9,FALSE),
IF(AND(Investment_Strategy="Lifecycle",Investment_Strategy_Sub1="Standard"),VLOOKUP(Investment_Strategy&amp;"_"&amp;Investment_Strategy_Sub2&amp;"_"&amp;$A417,'Investment Strategies'!$AJ:$AV,8,FALSE),
IF(AND(Investment_Strategy="Autopilot",Investment_Strategy_Sub1="Non-Standard"),VLOOKUP(Investment_Strategy&amp;"_"&amp;Investment_Strategy_Sub2&amp;"_"&amp;$A417,'Investment Strategies'!$T:$AF,8,FALSE),
IF(Investment_Strategy ="DIY",DIY_RateofReturn_SP,
"Error")))))),Max_InvReturn)</f>
        <v>0</v>
      </c>
      <c r="M417" s="62">
        <f>IF($AV417=0,0,
IF(Investment_Strategy="DIS",VLOOKUP(Investment_Strategy&amp;"_"&amp;Investment_Strategy_Sub1&amp;"_"&amp;$A417,'Investment Strategies'!$AZ:$BP,15,FALSE),
IF(AND(Investment_Strategy="Lifecycle",Investment_Strategy_Sub1="Non-Standard"),VLOOKUP(Investment_Strategy&amp;"_"&amp;Investment_Strategy_Sub2&amp;"_"&amp;$A417,'Investment Strategies'!$C:$P,12,FALSE),
IF(AND(Investment_Strategy="Lifecycle",Investment_Strategy_Sub1="Standard"),VLOOKUP(Investment_Strategy&amp;"_"&amp;Investment_Strategy_Sub2&amp;"_"&amp;$A417,'Investment Strategies'!$AJ:$AV,11,FALSE),
IF(AND(Investment_Strategy="Autopilot",Investment_Strategy_Sub1="Non-Standard"),VLOOKUP(Investment_Strategy&amp;"_"&amp;Investment_Strategy_Sub2&amp;"_"&amp;$A417,'Investment Strategies'!$T:$AF,11,FALSE),
IF(Investment_Strategy="DIY",DIY_GteeChrge_SP,
"Error"))))))</f>
        <v>0</v>
      </c>
      <c r="N417" s="33">
        <f>IF($AV417=0,0,
IF(Investment_Strategy="DIS",VLOOKUP(Investment_Strategy&amp;"_"&amp;Investment_Strategy_Sub1&amp;"_"&amp;$A417,'Investment Strategies'!$AZ:$BP,17,FALSE),
IF(AND(Investment_Strategy="Lifecycle",Investment_Strategy_Sub1="Non-Standard"),VLOOKUP(Investment_Strategy&amp;"_"&amp;Investment_Strategy_Sub2&amp;"_"&amp;$A417,'Investment Strategies'!$C:$P,14,FALSE),
IF(AND(Investment_Strategy="Lifecycle",Investment_Strategy_Sub1="Standard"),VLOOKUP(Investment_Strategy&amp;"_"&amp;Investment_Strategy_Sub2&amp;"_"&amp;$A417,'Investment Strategies'!$AJ:$AV,13,FALSE),
IF(AND(Investment_Strategy="Autopilot",Investment_Strategy_Sub1="Non-Standard"),VLOOKUP(Investment_Strategy&amp;"_"&amp;Investment_Strategy_Sub2&amp;"_"&amp;$A417,'Investment Strategies'!$T:$AF,13,FALSE),
IF(Investment_Strategy="DIY",DIY_ExtManChrge_SP,
"Error"))))))</f>
        <v>0</v>
      </c>
      <c r="O417" s="16">
        <f t="shared" si="266"/>
        <v>0</v>
      </c>
      <c r="Q417" s="16">
        <f t="shared" si="242"/>
        <v>0</v>
      </c>
      <c r="R417" s="16">
        <f t="shared" si="239"/>
        <v>0</v>
      </c>
      <c r="S417" s="16">
        <f>(SRP_SP+SUM(S$91:S416))*L417*IF(D417=$A$91,SRP_finalmonthfactor,1)</f>
        <v>0</v>
      </c>
      <c r="T417" s="74">
        <f>MIN(IF($AV417=0,0,
IF(Investment_Strategy="DIS",VLOOKUP(Investment_Strategy&amp;"_"&amp;Investment_Strategy_Sub1&amp;"_"&amp;$A417,'Investment Strategies'!$AZ:$BP,12,FALSE),
IF(AND(Investment_Strategy="Lifecycle",Investment_Strategy_Sub1="Non-Standard"),VLOOKUP(Investment_Strategy&amp;"_"&amp;Investment_Strategy_Sub2&amp;"_"&amp;$A417,'Investment Strategies'!$C:$P,9,FALSE),
IF(AND(Investment_Strategy="Lifecycle",Investment_Strategy_Sub1="Standard"),VLOOKUP(Investment_Strategy&amp;"_"&amp;Investment_Strategy_Sub2&amp;"_"&amp;$A417,'Investment Strategies'!$AJ:$AV,8,FALSE),
IF(AND(Investment_Strategy="Autopilot",Investment_Strategy_Sub1="Non-Standard"),VLOOKUP(Investment_Strategy&amp;"_"&amp;Investment_Strategy_Sub2&amp;"_"&amp;$A417,'Investment Strategies'!$T:$AF,8,FALSE),
IF(Investment_Strategy ="DIY",DIY_RateOfReturn_FuturePremiums,
"Error")))))),Max_InvReturn)</f>
        <v>0</v>
      </c>
      <c r="U417" s="62">
        <f>IF($AV417=0,0,
IF(Investment_Strategy="DIS",VLOOKUP(Investment_Strategy&amp;"_"&amp;Investment_Strategy_Sub1&amp;"_"&amp;$A417,'Investment Strategies'!$AZ:$BP,15,FALSE),
IF(AND(Investment_Strategy="Lifecycle",Investment_Strategy_Sub1="Non-Standard"),VLOOKUP(Investment_Strategy&amp;"_"&amp;Investment_Strategy_Sub2&amp;"_"&amp;$A417,'Investment Strategies'!$C:$P,12,FALSE),
IF(AND(Investment_Strategy="Lifecycle",Investment_Strategy_Sub1="Standard"),VLOOKUP(Investment_Strategy&amp;"_"&amp;Investment_Strategy_Sub2&amp;"_"&amp;$A417,'Investment Strategies'!$AJ:$AV,11,FALSE),
IF(AND(Investment_Strategy="Autopilot",Investment_Strategy_Sub1="Non-Standard"),VLOOKUP(Investment_Strategy&amp;"_"&amp;Investment_Strategy_Sub2&amp;"_"&amp;$A417,'Investment Strategies'!$T:$AF,11,FALSE),
IF(Investment_Strategy="DIY",DIY_GteeChrge_FuturePremiums,
"Error"))))))</f>
        <v>0</v>
      </c>
      <c r="V417" s="33">
        <f>IF(AV417=0,0,
IF(Investment_Strategy="DIS",VLOOKUP(Investment_Strategy&amp;"_"&amp;Investment_Strategy_Sub1&amp;"_"&amp;$A417,'Investment Strategies'!$AZ:$BP,17,FALSE),
IF(AND(Investment_Strategy="Lifecycle",Investment_Strategy_Sub1="Non-Standard"),VLOOKUP(Investment_Strategy&amp;"_"&amp;Investment_Strategy_Sub2&amp;"_"&amp;$A417,'Investment Strategies'!$C:$P,14,FALSE),
IF(AND(Investment_Strategy="Lifecycle",Investment_Strategy_Sub1="Standard"),VLOOKUP(Investment_Strategy&amp;"_"&amp;Investment_Strategy_Sub2&amp;"_"&amp;$A417,'Investment Strategies'!$AJ:$AV,13,FALSE),
IF(AND(Investment_Strategy="Autopilot",Investment_Strategy_Sub1="Non-Standard"),VLOOKUP(Investment_Strategy&amp;"_"&amp;Investment_Strategy_Sub2&amp;"_"&amp;$A417,'Investment Strategies'!$T:$AF,13,FALSE),
IF(Investment_Strategy="DIY",DIY_ExtManChrge_FuturePremiums,
"Error"))))))</f>
        <v>0</v>
      </c>
      <c r="W417" s="16">
        <f t="shared" si="267"/>
        <v>0</v>
      </c>
      <c r="X417" s="16">
        <f t="shared" si="243"/>
        <v>0</v>
      </c>
      <c r="Y417" s="16">
        <f t="shared" si="244"/>
        <v>0</v>
      </c>
      <c r="Z417" s="31">
        <f t="shared" si="245"/>
        <v>0.02</v>
      </c>
      <c r="AA417" s="16">
        <f t="shared" si="246"/>
        <v>0</v>
      </c>
      <c r="AB417" s="28">
        <f t="shared" si="268"/>
        <v>0</v>
      </c>
      <c r="AC417" s="28">
        <f>(SUM($AC$91:AC416)+SUM($X$91:X416)+X417)*T417*IF(D417=$A$91,SRP_finalmonthfactor,1)</f>
        <v>0</v>
      </c>
      <c r="AD417" s="16">
        <f t="shared" si="247"/>
        <v>0</v>
      </c>
      <c r="AE417" s="106"/>
      <c r="AF417" s="16">
        <f t="shared" si="256"/>
        <v>0</v>
      </c>
      <c r="AG417" s="16">
        <f t="shared" si="257"/>
        <v>0</v>
      </c>
      <c r="AH417" s="16">
        <f t="shared" si="258"/>
        <v>0</v>
      </c>
      <c r="AJ417" s="13">
        <f t="shared" si="248"/>
        <v>0</v>
      </c>
      <c r="AK417" s="13">
        <f t="shared" si="248"/>
        <v>0</v>
      </c>
      <c r="AL417" s="13">
        <f t="shared" si="248"/>
        <v>0</v>
      </c>
      <c r="AM417" s="13">
        <f t="shared" si="248"/>
        <v>0</v>
      </c>
      <c r="AN417" s="13">
        <f t="shared" si="248"/>
        <v>0</v>
      </c>
      <c r="AO417" s="13">
        <f t="shared" si="248"/>
        <v>1</v>
      </c>
      <c r="AP417" s="13">
        <f t="shared" si="248"/>
        <v>1</v>
      </c>
      <c r="AQ417" s="13">
        <f t="shared" si="248"/>
        <v>1</v>
      </c>
      <c r="AR417" s="13">
        <f t="shared" si="248"/>
        <v>0</v>
      </c>
      <c r="AS417" s="13">
        <f t="shared" si="248"/>
        <v>1</v>
      </c>
      <c r="AT417" s="13">
        <f t="shared" si="248"/>
        <v>1</v>
      </c>
      <c r="AU417" s="13">
        <f t="shared" si="248"/>
        <v>1</v>
      </c>
      <c r="AV417" s="13">
        <f t="shared" si="249"/>
        <v>0</v>
      </c>
      <c r="AW417" s="13">
        <f t="shared" si="250"/>
        <v>1</v>
      </c>
      <c r="AY417" s="17">
        <f t="shared" si="251"/>
        <v>327</v>
      </c>
      <c r="AZ417" s="28">
        <f t="shared" si="259"/>
        <v>0</v>
      </c>
      <c r="BA417" s="13">
        <f t="shared" si="252"/>
        <v>0</v>
      </c>
      <c r="BB417" s="13">
        <f t="shared" si="253"/>
        <v>0</v>
      </c>
      <c r="BC417" s="28">
        <f t="shared" si="260"/>
        <v>0</v>
      </c>
      <c r="BD417" s="28">
        <f t="shared" si="261"/>
        <v>0</v>
      </c>
      <c r="BF417" s="248">
        <f t="shared" si="262"/>
        <v>993869.29442638322</v>
      </c>
    </row>
    <row r="418" spans="1:58">
      <c r="A418" s="32">
        <f t="shared" si="263"/>
        <v>-243</v>
      </c>
      <c r="B418" s="32">
        <f t="shared" si="254"/>
        <v>80</v>
      </c>
      <c r="C418" s="32">
        <f t="shared" si="264"/>
        <v>28</v>
      </c>
      <c r="D418" s="32">
        <f t="shared" si="265"/>
        <v>328</v>
      </c>
      <c r="E418" s="74">
        <f>MIN(IF(AV418=0,0,
IF(Investment_Strategy="DIS",VLOOKUP(Investment_Strategy&amp;"_"&amp;Investment_Strategy_Sub1&amp;"_"&amp;$A418,'Investment Strategies'!$AZ:$BP,12,FALSE),
IF(AND(Investment_Strategy="Lifecycle",Investment_Strategy_Sub1="Non-Standard"),VLOOKUP(Investment_Strategy&amp;"_"&amp;Investment_Strategy_Sub2&amp;"_"&amp;$A418,'Investment Strategies'!$C:$P,9,FALSE),
IF(AND(Investment_Strategy="Lifecycle",Investment_Strategy_Sub1="Standard"),VLOOKUP(Investment_Strategy&amp;"_"&amp;Investment_Strategy_Sub2&amp;"_"&amp;$A418,'Investment Strategies'!$AJ:$AV,8,FALSE),
IF(AND(Investment_Strategy="Autopilot",Investment_Strategy_Sub1="Non-Standard"),VLOOKUP(Investment_Strategy&amp;"_"&amp;Investment_Strategy_Sub2&amp;"_"&amp;$A418,'Investment Strategies'!$T:$AF,8,FALSE),
IF(Investment_Strategy ="DIY",DIY_RateOfReturn_CurrentFunds,
"Error")))))),Max_InvReturn)</f>
        <v>0</v>
      </c>
      <c r="F418" s="62">
        <f>IF(AV418=0,0,
IF(Investment_Strategy="DIS",VLOOKUP(Investment_Strategy&amp;"_"&amp;Investment_Strategy_Sub1&amp;"_"&amp;$A418,'Investment Strategies'!$AZ:$BP,15,FALSE),
IF(AND(Investment_Strategy="Lifecycle",Investment_Strategy_Sub1="Non-Standard"),VLOOKUP(Investment_Strategy&amp;"_"&amp;Investment_Strategy_Sub2&amp;"_"&amp;$A418,'Investment Strategies'!$C:$P,12,FALSE),
IF(AND(Investment_Strategy="Lifecycle",Investment_Strategy_Sub1="Standard"),VLOOKUP(Investment_Strategy&amp;"_"&amp;Investment_Strategy_Sub2&amp;"_"&amp;$A418,'Investment Strategies'!$AJ:$AV,11,FALSE),
IF(AND(Investment_Strategy="Autopilot",Investment_Strategy_Sub1="Non-Standard"),VLOOKUP(Investment_Strategy&amp;"_"&amp;Investment_Strategy_Sub2&amp;"_"&amp;$A418,'Investment Strategies'!$T:$AF,11,FALSE),
IF(Investment_Strategy="DIY",DIY_GteeChrge_CurrentFunds,
"Error"))))))</f>
        <v>0</v>
      </c>
      <c r="G418" s="33">
        <f>IF(AV418=0,0,
IF(Investment_Strategy="DIS",VLOOKUP(Investment_Strategy&amp;"_"&amp;Investment_Strategy_Sub1&amp;"_"&amp;$A418,'Investment Strategies'!$AZ:$BP,17,FALSE),
IF(AND(Investment_Strategy="Lifecycle",Investment_Strategy_Sub1="Non-Standard"),VLOOKUP(Investment_Strategy&amp;"_"&amp;Investment_Strategy_Sub2&amp;"_"&amp;$A418,'Investment Strategies'!$C:$P,14,FALSE),
IF(AND(Investment_Strategy="Lifecycle",Investment_Strategy_Sub1="Standard"),VLOOKUP(Investment_Strategy&amp;"_"&amp;Investment_Strategy_Sub2&amp;"_"&amp;$A418,'Investment Strategies'!$AJ:$AV,13,FALSE),
IF(AND(Investment_Strategy="Autopilot",Investment_Strategy_Sub1="Non-Standard"),VLOOKUP(Investment_Strategy&amp;"_"&amp;Investment_Strategy_Sub2&amp;"_"&amp;$A418,'Investment Strategies'!$T:$AF,13,FALSE),
IF(Investment_Strategy="DIY",DIY_ExtManChrge_CurrentFunds,
"Error"))))))</f>
        <v>0</v>
      </c>
      <c r="H418" s="16">
        <f t="shared" si="255"/>
        <v>0</v>
      </c>
      <c r="I418" s="16">
        <f t="shared" si="240"/>
        <v>0</v>
      </c>
      <c r="J418" s="16">
        <f t="shared" si="241"/>
        <v>0</v>
      </c>
      <c r="K418" s="16">
        <f>(Opening_Fund_Value+SUM(K$91:K417))*E418*IF(D418=$A$91,SRP_finalmonthfactor,1)</f>
        <v>0</v>
      </c>
      <c r="L418" s="74">
        <f>MIN(IF($AV418=0,0,
IF(Investment_Strategy="DIS",VLOOKUP(Investment_Strategy&amp;"_"&amp;Investment_Strategy_Sub1&amp;"_"&amp;$A418,'Investment Strategies'!$AZ:$BP,12,FALSE),
IF(AND(Investment_Strategy="Lifecycle",Investment_Strategy_Sub1="Non-Standard"),VLOOKUP(Investment_Strategy&amp;"_"&amp;Investment_Strategy_Sub2&amp;"_"&amp;$A418,'Investment Strategies'!$C:$P,9,FALSE),
IF(AND(Investment_Strategy="Lifecycle",Investment_Strategy_Sub1="Standard"),VLOOKUP(Investment_Strategy&amp;"_"&amp;Investment_Strategy_Sub2&amp;"_"&amp;$A418,'Investment Strategies'!$AJ:$AV,8,FALSE),
IF(AND(Investment_Strategy="Autopilot",Investment_Strategy_Sub1="Non-Standard"),VLOOKUP(Investment_Strategy&amp;"_"&amp;Investment_Strategy_Sub2&amp;"_"&amp;$A418,'Investment Strategies'!$T:$AF,8,FALSE),
IF(Investment_Strategy ="DIY",DIY_RateofReturn_SP,
"Error")))))),Max_InvReturn)</f>
        <v>0</v>
      </c>
      <c r="M418" s="62">
        <f>IF($AV418=0,0,
IF(Investment_Strategy="DIS",VLOOKUP(Investment_Strategy&amp;"_"&amp;Investment_Strategy_Sub1&amp;"_"&amp;$A418,'Investment Strategies'!$AZ:$BP,15,FALSE),
IF(AND(Investment_Strategy="Lifecycle",Investment_Strategy_Sub1="Non-Standard"),VLOOKUP(Investment_Strategy&amp;"_"&amp;Investment_Strategy_Sub2&amp;"_"&amp;$A418,'Investment Strategies'!$C:$P,12,FALSE),
IF(AND(Investment_Strategy="Lifecycle",Investment_Strategy_Sub1="Standard"),VLOOKUP(Investment_Strategy&amp;"_"&amp;Investment_Strategy_Sub2&amp;"_"&amp;$A418,'Investment Strategies'!$AJ:$AV,11,FALSE),
IF(AND(Investment_Strategy="Autopilot",Investment_Strategy_Sub1="Non-Standard"),VLOOKUP(Investment_Strategy&amp;"_"&amp;Investment_Strategy_Sub2&amp;"_"&amp;$A418,'Investment Strategies'!$T:$AF,11,FALSE),
IF(Investment_Strategy="DIY",DIY_GteeChrge_SP,
"Error"))))))</f>
        <v>0</v>
      </c>
      <c r="N418" s="33">
        <f>IF($AV418=0,0,
IF(Investment_Strategy="DIS",VLOOKUP(Investment_Strategy&amp;"_"&amp;Investment_Strategy_Sub1&amp;"_"&amp;$A418,'Investment Strategies'!$AZ:$BP,17,FALSE),
IF(AND(Investment_Strategy="Lifecycle",Investment_Strategy_Sub1="Non-Standard"),VLOOKUP(Investment_Strategy&amp;"_"&amp;Investment_Strategy_Sub2&amp;"_"&amp;$A418,'Investment Strategies'!$C:$P,14,FALSE),
IF(AND(Investment_Strategy="Lifecycle",Investment_Strategy_Sub1="Standard"),VLOOKUP(Investment_Strategy&amp;"_"&amp;Investment_Strategy_Sub2&amp;"_"&amp;$A418,'Investment Strategies'!$AJ:$AV,13,FALSE),
IF(AND(Investment_Strategy="Autopilot",Investment_Strategy_Sub1="Non-Standard"),VLOOKUP(Investment_Strategy&amp;"_"&amp;Investment_Strategy_Sub2&amp;"_"&amp;$A418,'Investment Strategies'!$T:$AF,13,FALSE),
IF(Investment_Strategy="DIY",DIY_ExtManChrge_SP,
"Error"))))))</f>
        <v>0</v>
      </c>
      <c r="O418" s="16">
        <f t="shared" si="266"/>
        <v>0</v>
      </c>
      <c r="Q418" s="16">
        <f t="shared" si="242"/>
        <v>0</v>
      </c>
      <c r="R418" s="16">
        <f t="shared" si="239"/>
        <v>0</v>
      </c>
      <c r="S418" s="16">
        <f>(SRP_SP+SUM(S$91:S417))*L418*IF(D418=$A$91,SRP_finalmonthfactor,1)</f>
        <v>0</v>
      </c>
      <c r="T418" s="74">
        <f>MIN(IF($AV418=0,0,
IF(Investment_Strategy="DIS",VLOOKUP(Investment_Strategy&amp;"_"&amp;Investment_Strategy_Sub1&amp;"_"&amp;$A418,'Investment Strategies'!$AZ:$BP,12,FALSE),
IF(AND(Investment_Strategy="Lifecycle",Investment_Strategy_Sub1="Non-Standard"),VLOOKUP(Investment_Strategy&amp;"_"&amp;Investment_Strategy_Sub2&amp;"_"&amp;$A418,'Investment Strategies'!$C:$P,9,FALSE),
IF(AND(Investment_Strategy="Lifecycle",Investment_Strategy_Sub1="Standard"),VLOOKUP(Investment_Strategy&amp;"_"&amp;Investment_Strategy_Sub2&amp;"_"&amp;$A418,'Investment Strategies'!$AJ:$AV,8,FALSE),
IF(AND(Investment_Strategy="Autopilot",Investment_Strategy_Sub1="Non-Standard"),VLOOKUP(Investment_Strategy&amp;"_"&amp;Investment_Strategy_Sub2&amp;"_"&amp;$A418,'Investment Strategies'!$T:$AF,8,FALSE),
IF(Investment_Strategy ="DIY",DIY_RateOfReturn_FuturePremiums,
"Error")))))),Max_InvReturn)</f>
        <v>0</v>
      </c>
      <c r="U418" s="62">
        <f>IF($AV418=0,0,
IF(Investment_Strategy="DIS",VLOOKUP(Investment_Strategy&amp;"_"&amp;Investment_Strategy_Sub1&amp;"_"&amp;$A418,'Investment Strategies'!$AZ:$BP,15,FALSE),
IF(AND(Investment_Strategy="Lifecycle",Investment_Strategy_Sub1="Non-Standard"),VLOOKUP(Investment_Strategy&amp;"_"&amp;Investment_Strategy_Sub2&amp;"_"&amp;$A418,'Investment Strategies'!$C:$P,12,FALSE),
IF(AND(Investment_Strategy="Lifecycle",Investment_Strategy_Sub1="Standard"),VLOOKUP(Investment_Strategy&amp;"_"&amp;Investment_Strategy_Sub2&amp;"_"&amp;$A418,'Investment Strategies'!$AJ:$AV,11,FALSE),
IF(AND(Investment_Strategy="Autopilot",Investment_Strategy_Sub1="Non-Standard"),VLOOKUP(Investment_Strategy&amp;"_"&amp;Investment_Strategy_Sub2&amp;"_"&amp;$A418,'Investment Strategies'!$T:$AF,11,FALSE),
IF(Investment_Strategy="DIY",DIY_GteeChrge_FuturePremiums,
"Error"))))))</f>
        <v>0</v>
      </c>
      <c r="V418" s="33">
        <f>IF(AV418=0,0,
IF(Investment_Strategy="DIS",VLOOKUP(Investment_Strategy&amp;"_"&amp;Investment_Strategy_Sub1&amp;"_"&amp;$A418,'Investment Strategies'!$AZ:$BP,17,FALSE),
IF(AND(Investment_Strategy="Lifecycle",Investment_Strategy_Sub1="Non-Standard"),VLOOKUP(Investment_Strategy&amp;"_"&amp;Investment_Strategy_Sub2&amp;"_"&amp;$A418,'Investment Strategies'!$C:$P,14,FALSE),
IF(AND(Investment_Strategy="Lifecycle",Investment_Strategy_Sub1="Standard"),VLOOKUP(Investment_Strategy&amp;"_"&amp;Investment_Strategy_Sub2&amp;"_"&amp;$A418,'Investment Strategies'!$AJ:$AV,13,FALSE),
IF(AND(Investment_Strategy="Autopilot",Investment_Strategy_Sub1="Non-Standard"),VLOOKUP(Investment_Strategy&amp;"_"&amp;Investment_Strategy_Sub2&amp;"_"&amp;$A418,'Investment Strategies'!$T:$AF,13,FALSE),
IF(Investment_Strategy="DIY",DIY_ExtManChrge_FuturePremiums,
"Error"))))))</f>
        <v>0</v>
      </c>
      <c r="W418" s="16">
        <f t="shared" si="267"/>
        <v>0</v>
      </c>
      <c r="X418" s="16">
        <f t="shared" si="243"/>
        <v>0</v>
      </c>
      <c r="Y418" s="16">
        <f t="shared" si="244"/>
        <v>0</v>
      </c>
      <c r="Z418" s="31">
        <f t="shared" si="245"/>
        <v>0.02</v>
      </c>
      <c r="AA418" s="16">
        <f t="shared" si="246"/>
        <v>0</v>
      </c>
      <c r="AB418" s="28">
        <f t="shared" si="268"/>
        <v>0</v>
      </c>
      <c r="AC418" s="28">
        <f>(SUM($AC$91:AC417)+SUM($X$91:X417)+X418)*T418*IF(D418=$A$91,SRP_finalmonthfactor,1)</f>
        <v>0</v>
      </c>
      <c r="AD418" s="16">
        <f t="shared" si="247"/>
        <v>0</v>
      </c>
      <c r="AE418" s="106"/>
      <c r="AF418" s="16">
        <f t="shared" si="256"/>
        <v>0</v>
      </c>
      <c r="AG418" s="16">
        <f t="shared" si="257"/>
        <v>0</v>
      </c>
      <c r="AH418" s="16">
        <f t="shared" si="258"/>
        <v>0</v>
      </c>
      <c r="AJ418" s="13">
        <f t="shared" si="248"/>
        <v>0</v>
      </c>
      <c r="AK418" s="13">
        <f t="shared" si="248"/>
        <v>0</v>
      </c>
      <c r="AL418" s="13">
        <f t="shared" si="248"/>
        <v>0</v>
      </c>
      <c r="AM418" s="13">
        <f t="shared" si="248"/>
        <v>0</v>
      </c>
      <c r="AN418" s="13">
        <f t="shared" si="248"/>
        <v>0</v>
      </c>
      <c r="AO418" s="13">
        <f t="shared" si="248"/>
        <v>1</v>
      </c>
      <c r="AP418" s="13">
        <f t="shared" si="248"/>
        <v>1</v>
      </c>
      <c r="AQ418" s="13">
        <f t="shared" si="248"/>
        <v>1</v>
      </c>
      <c r="AR418" s="13">
        <f t="shared" si="248"/>
        <v>0</v>
      </c>
      <c r="AS418" s="13">
        <f t="shared" si="248"/>
        <v>1</v>
      </c>
      <c r="AT418" s="13">
        <f t="shared" si="248"/>
        <v>1</v>
      </c>
      <c r="AU418" s="13">
        <f t="shared" si="248"/>
        <v>1</v>
      </c>
      <c r="AV418" s="13">
        <f t="shared" si="249"/>
        <v>0</v>
      </c>
      <c r="AW418" s="13">
        <f t="shared" si="250"/>
        <v>1</v>
      </c>
      <c r="AY418" s="17">
        <f t="shared" si="251"/>
        <v>328</v>
      </c>
      <c r="AZ418" s="28">
        <f t="shared" si="259"/>
        <v>0</v>
      </c>
      <c r="BA418" s="13">
        <f t="shared" si="252"/>
        <v>0</v>
      </c>
      <c r="BB418" s="13">
        <f t="shared" si="253"/>
        <v>0</v>
      </c>
      <c r="BC418" s="28">
        <f t="shared" si="260"/>
        <v>0</v>
      </c>
      <c r="BD418" s="28">
        <f t="shared" si="261"/>
        <v>0</v>
      </c>
      <c r="BF418" s="248">
        <f t="shared" si="262"/>
        <v>993869.29442638322</v>
      </c>
    </row>
    <row r="419" spans="1:58">
      <c r="A419" s="32">
        <f t="shared" si="263"/>
        <v>-244</v>
      </c>
      <c r="B419" s="32">
        <f t="shared" si="254"/>
        <v>80</v>
      </c>
      <c r="C419" s="32">
        <f t="shared" si="264"/>
        <v>28</v>
      </c>
      <c r="D419" s="32">
        <f t="shared" si="265"/>
        <v>329</v>
      </c>
      <c r="E419" s="74">
        <f>MIN(IF(AV419=0,0,
IF(Investment_Strategy="DIS",VLOOKUP(Investment_Strategy&amp;"_"&amp;Investment_Strategy_Sub1&amp;"_"&amp;$A419,'Investment Strategies'!$AZ:$BP,12,FALSE),
IF(AND(Investment_Strategy="Lifecycle",Investment_Strategy_Sub1="Non-Standard"),VLOOKUP(Investment_Strategy&amp;"_"&amp;Investment_Strategy_Sub2&amp;"_"&amp;$A419,'Investment Strategies'!$C:$P,9,FALSE),
IF(AND(Investment_Strategy="Lifecycle",Investment_Strategy_Sub1="Standard"),VLOOKUP(Investment_Strategy&amp;"_"&amp;Investment_Strategy_Sub2&amp;"_"&amp;$A419,'Investment Strategies'!$AJ:$AV,8,FALSE),
IF(AND(Investment_Strategy="Autopilot",Investment_Strategy_Sub1="Non-Standard"),VLOOKUP(Investment_Strategy&amp;"_"&amp;Investment_Strategy_Sub2&amp;"_"&amp;$A419,'Investment Strategies'!$T:$AF,8,FALSE),
IF(Investment_Strategy ="DIY",DIY_RateOfReturn_CurrentFunds,
"Error")))))),Max_InvReturn)</f>
        <v>0</v>
      </c>
      <c r="F419" s="62">
        <f>IF(AV419=0,0,
IF(Investment_Strategy="DIS",VLOOKUP(Investment_Strategy&amp;"_"&amp;Investment_Strategy_Sub1&amp;"_"&amp;$A419,'Investment Strategies'!$AZ:$BP,15,FALSE),
IF(AND(Investment_Strategy="Lifecycle",Investment_Strategy_Sub1="Non-Standard"),VLOOKUP(Investment_Strategy&amp;"_"&amp;Investment_Strategy_Sub2&amp;"_"&amp;$A419,'Investment Strategies'!$C:$P,12,FALSE),
IF(AND(Investment_Strategy="Lifecycle",Investment_Strategy_Sub1="Standard"),VLOOKUP(Investment_Strategy&amp;"_"&amp;Investment_Strategy_Sub2&amp;"_"&amp;$A419,'Investment Strategies'!$AJ:$AV,11,FALSE),
IF(AND(Investment_Strategy="Autopilot",Investment_Strategy_Sub1="Non-Standard"),VLOOKUP(Investment_Strategy&amp;"_"&amp;Investment_Strategy_Sub2&amp;"_"&amp;$A419,'Investment Strategies'!$T:$AF,11,FALSE),
IF(Investment_Strategy="DIY",DIY_GteeChrge_CurrentFunds,
"Error"))))))</f>
        <v>0</v>
      </c>
      <c r="G419" s="33">
        <f>IF(AV419=0,0,
IF(Investment_Strategy="DIS",VLOOKUP(Investment_Strategy&amp;"_"&amp;Investment_Strategy_Sub1&amp;"_"&amp;$A419,'Investment Strategies'!$AZ:$BP,17,FALSE),
IF(AND(Investment_Strategy="Lifecycle",Investment_Strategy_Sub1="Non-Standard"),VLOOKUP(Investment_Strategy&amp;"_"&amp;Investment_Strategy_Sub2&amp;"_"&amp;$A419,'Investment Strategies'!$C:$P,14,FALSE),
IF(AND(Investment_Strategy="Lifecycle",Investment_Strategy_Sub1="Standard"),VLOOKUP(Investment_Strategy&amp;"_"&amp;Investment_Strategy_Sub2&amp;"_"&amp;$A419,'Investment Strategies'!$AJ:$AV,13,FALSE),
IF(AND(Investment_Strategy="Autopilot",Investment_Strategy_Sub1="Non-Standard"),VLOOKUP(Investment_Strategy&amp;"_"&amp;Investment_Strategy_Sub2&amp;"_"&amp;$A419,'Investment Strategies'!$T:$AF,13,FALSE),
IF(Investment_Strategy="DIY",DIY_ExtManChrge_CurrentFunds,
"Error"))))))</f>
        <v>0</v>
      </c>
      <c r="H419" s="16">
        <f t="shared" si="255"/>
        <v>0</v>
      </c>
      <c r="I419" s="16">
        <f t="shared" si="240"/>
        <v>0</v>
      </c>
      <c r="J419" s="16">
        <f t="shared" si="241"/>
        <v>0</v>
      </c>
      <c r="K419" s="16">
        <f>(Opening_Fund_Value+SUM(K$91:K418))*E419*IF(D419=$A$91,SRP_finalmonthfactor,1)</f>
        <v>0</v>
      </c>
      <c r="L419" s="74">
        <f>MIN(IF($AV419=0,0,
IF(Investment_Strategy="DIS",VLOOKUP(Investment_Strategy&amp;"_"&amp;Investment_Strategy_Sub1&amp;"_"&amp;$A419,'Investment Strategies'!$AZ:$BP,12,FALSE),
IF(AND(Investment_Strategy="Lifecycle",Investment_Strategy_Sub1="Non-Standard"),VLOOKUP(Investment_Strategy&amp;"_"&amp;Investment_Strategy_Sub2&amp;"_"&amp;$A419,'Investment Strategies'!$C:$P,9,FALSE),
IF(AND(Investment_Strategy="Lifecycle",Investment_Strategy_Sub1="Standard"),VLOOKUP(Investment_Strategy&amp;"_"&amp;Investment_Strategy_Sub2&amp;"_"&amp;$A419,'Investment Strategies'!$AJ:$AV,8,FALSE),
IF(AND(Investment_Strategy="Autopilot",Investment_Strategy_Sub1="Non-Standard"),VLOOKUP(Investment_Strategy&amp;"_"&amp;Investment_Strategy_Sub2&amp;"_"&amp;$A419,'Investment Strategies'!$T:$AF,8,FALSE),
IF(Investment_Strategy ="DIY",DIY_RateofReturn_SP,
"Error")))))),Max_InvReturn)</f>
        <v>0</v>
      </c>
      <c r="M419" s="62">
        <f>IF($AV419=0,0,
IF(Investment_Strategy="DIS",VLOOKUP(Investment_Strategy&amp;"_"&amp;Investment_Strategy_Sub1&amp;"_"&amp;$A419,'Investment Strategies'!$AZ:$BP,15,FALSE),
IF(AND(Investment_Strategy="Lifecycle",Investment_Strategy_Sub1="Non-Standard"),VLOOKUP(Investment_Strategy&amp;"_"&amp;Investment_Strategy_Sub2&amp;"_"&amp;$A419,'Investment Strategies'!$C:$P,12,FALSE),
IF(AND(Investment_Strategy="Lifecycle",Investment_Strategy_Sub1="Standard"),VLOOKUP(Investment_Strategy&amp;"_"&amp;Investment_Strategy_Sub2&amp;"_"&amp;$A419,'Investment Strategies'!$AJ:$AV,11,FALSE),
IF(AND(Investment_Strategy="Autopilot",Investment_Strategy_Sub1="Non-Standard"),VLOOKUP(Investment_Strategy&amp;"_"&amp;Investment_Strategy_Sub2&amp;"_"&amp;$A419,'Investment Strategies'!$T:$AF,11,FALSE),
IF(Investment_Strategy="DIY",DIY_GteeChrge_SP,
"Error"))))))</f>
        <v>0</v>
      </c>
      <c r="N419" s="33">
        <f>IF($AV419=0,0,
IF(Investment_Strategy="DIS",VLOOKUP(Investment_Strategy&amp;"_"&amp;Investment_Strategy_Sub1&amp;"_"&amp;$A419,'Investment Strategies'!$AZ:$BP,17,FALSE),
IF(AND(Investment_Strategy="Lifecycle",Investment_Strategy_Sub1="Non-Standard"),VLOOKUP(Investment_Strategy&amp;"_"&amp;Investment_Strategy_Sub2&amp;"_"&amp;$A419,'Investment Strategies'!$C:$P,14,FALSE),
IF(AND(Investment_Strategy="Lifecycle",Investment_Strategy_Sub1="Standard"),VLOOKUP(Investment_Strategy&amp;"_"&amp;Investment_Strategy_Sub2&amp;"_"&amp;$A419,'Investment Strategies'!$AJ:$AV,13,FALSE),
IF(AND(Investment_Strategy="Autopilot",Investment_Strategy_Sub1="Non-Standard"),VLOOKUP(Investment_Strategy&amp;"_"&amp;Investment_Strategy_Sub2&amp;"_"&amp;$A419,'Investment Strategies'!$T:$AF,13,FALSE),
IF(Investment_Strategy="DIY",DIY_ExtManChrge_SP,
"Error"))))))</f>
        <v>0</v>
      </c>
      <c r="O419" s="16">
        <f t="shared" si="266"/>
        <v>0</v>
      </c>
      <c r="Q419" s="16">
        <f t="shared" si="242"/>
        <v>0</v>
      </c>
      <c r="R419" s="16">
        <f t="shared" si="239"/>
        <v>0</v>
      </c>
      <c r="S419" s="16">
        <f>(SRP_SP+SUM(S$91:S418))*L419*IF(D419=$A$91,SRP_finalmonthfactor,1)</f>
        <v>0</v>
      </c>
      <c r="T419" s="74">
        <f>MIN(IF($AV419=0,0,
IF(Investment_Strategy="DIS",VLOOKUP(Investment_Strategy&amp;"_"&amp;Investment_Strategy_Sub1&amp;"_"&amp;$A419,'Investment Strategies'!$AZ:$BP,12,FALSE),
IF(AND(Investment_Strategy="Lifecycle",Investment_Strategy_Sub1="Non-Standard"),VLOOKUP(Investment_Strategy&amp;"_"&amp;Investment_Strategy_Sub2&amp;"_"&amp;$A419,'Investment Strategies'!$C:$P,9,FALSE),
IF(AND(Investment_Strategy="Lifecycle",Investment_Strategy_Sub1="Standard"),VLOOKUP(Investment_Strategy&amp;"_"&amp;Investment_Strategy_Sub2&amp;"_"&amp;$A419,'Investment Strategies'!$AJ:$AV,8,FALSE),
IF(AND(Investment_Strategy="Autopilot",Investment_Strategy_Sub1="Non-Standard"),VLOOKUP(Investment_Strategy&amp;"_"&amp;Investment_Strategy_Sub2&amp;"_"&amp;$A419,'Investment Strategies'!$T:$AF,8,FALSE),
IF(Investment_Strategy ="DIY",DIY_RateOfReturn_FuturePremiums,
"Error")))))),Max_InvReturn)</f>
        <v>0</v>
      </c>
      <c r="U419" s="62">
        <f>IF($AV419=0,0,
IF(Investment_Strategy="DIS",VLOOKUP(Investment_Strategy&amp;"_"&amp;Investment_Strategy_Sub1&amp;"_"&amp;$A419,'Investment Strategies'!$AZ:$BP,15,FALSE),
IF(AND(Investment_Strategy="Lifecycle",Investment_Strategy_Sub1="Non-Standard"),VLOOKUP(Investment_Strategy&amp;"_"&amp;Investment_Strategy_Sub2&amp;"_"&amp;$A419,'Investment Strategies'!$C:$P,12,FALSE),
IF(AND(Investment_Strategy="Lifecycle",Investment_Strategy_Sub1="Standard"),VLOOKUP(Investment_Strategy&amp;"_"&amp;Investment_Strategy_Sub2&amp;"_"&amp;$A419,'Investment Strategies'!$AJ:$AV,11,FALSE),
IF(AND(Investment_Strategy="Autopilot",Investment_Strategy_Sub1="Non-Standard"),VLOOKUP(Investment_Strategy&amp;"_"&amp;Investment_Strategy_Sub2&amp;"_"&amp;$A419,'Investment Strategies'!$T:$AF,11,FALSE),
IF(Investment_Strategy="DIY",DIY_GteeChrge_FuturePremiums,
"Error"))))))</f>
        <v>0</v>
      </c>
      <c r="V419" s="33">
        <f>IF(AV419=0,0,
IF(Investment_Strategy="DIS",VLOOKUP(Investment_Strategy&amp;"_"&amp;Investment_Strategy_Sub1&amp;"_"&amp;$A419,'Investment Strategies'!$AZ:$BP,17,FALSE),
IF(AND(Investment_Strategy="Lifecycle",Investment_Strategy_Sub1="Non-Standard"),VLOOKUP(Investment_Strategy&amp;"_"&amp;Investment_Strategy_Sub2&amp;"_"&amp;$A419,'Investment Strategies'!$C:$P,14,FALSE),
IF(AND(Investment_Strategy="Lifecycle",Investment_Strategy_Sub1="Standard"),VLOOKUP(Investment_Strategy&amp;"_"&amp;Investment_Strategy_Sub2&amp;"_"&amp;$A419,'Investment Strategies'!$AJ:$AV,13,FALSE),
IF(AND(Investment_Strategy="Autopilot",Investment_Strategy_Sub1="Non-Standard"),VLOOKUP(Investment_Strategy&amp;"_"&amp;Investment_Strategy_Sub2&amp;"_"&amp;$A419,'Investment Strategies'!$T:$AF,13,FALSE),
IF(Investment_Strategy="DIY",DIY_ExtManChrge_FuturePremiums,
"Error"))))))</f>
        <v>0</v>
      </c>
      <c r="W419" s="16">
        <f t="shared" si="267"/>
        <v>0</v>
      </c>
      <c r="X419" s="16">
        <f t="shared" si="243"/>
        <v>0</v>
      </c>
      <c r="Y419" s="16">
        <f t="shared" si="244"/>
        <v>0</v>
      </c>
      <c r="Z419" s="31">
        <f t="shared" si="245"/>
        <v>0.02</v>
      </c>
      <c r="AA419" s="16">
        <f t="shared" si="246"/>
        <v>0</v>
      </c>
      <c r="AB419" s="28">
        <f t="shared" si="268"/>
        <v>0</v>
      </c>
      <c r="AC419" s="28">
        <f>(SUM($AC$91:AC418)+SUM($X$91:X418)+X419)*T419*IF(D419=$A$91,SRP_finalmonthfactor,1)</f>
        <v>0</v>
      </c>
      <c r="AD419" s="16">
        <f t="shared" si="247"/>
        <v>0</v>
      </c>
      <c r="AE419" s="106"/>
      <c r="AF419" s="16">
        <f t="shared" si="256"/>
        <v>0</v>
      </c>
      <c r="AG419" s="16">
        <f t="shared" si="257"/>
        <v>0</v>
      </c>
      <c r="AH419" s="16">
        <f t="shared" si="258"/>
        <v>0</v>
      </c>
      <c r="AJ419" s="13">
        <f t="shared" si="248"/>
        <v>0</v>
      </c>
      <c r="AK419" s="13">
        <f t="shared" si="248"/>
        <v>0</v>
      </c>
      <c r="AL419" s="13">
        <f t="shared" si="248"/>
        <v>0</v>
      </c>
      <c r="AM419" s="13">
        <f t="shared" si="248"/>
        <v>0</v>
      </c>
      <c r="AN419" s="13">
        <f t="shared" si="248"/>
        <v>0</v>
      </c>
      <c r="AO419" s="13">
        <f t="shared" si="248"/>
        <v>1</v>
      </c>
      <c r="AP419" s="13">
        <f t="shared" si="248"/>
        <v>1</v>
      </c>
      <c r="AQ419" s="13">
        <f t="shared" si="248"/>
        <v>1</v>
      </c>
      <c r="AR419" s="13">
        <f t="shared" si="248"/>
        <v>0</v>
      </c>
      <c r="AS419" s="13">
        <f t="shared" si="248"/>
        <v>1</v>
      </c>
      <c r="AT419" s="13">
        <f t="shared" si="248"/>
        <v>1</v>
      </c>
      <c r="AU419" s="13">
        <f t="shared" si="248"/>
        <v>1</v>
      </c>
      <c r="AV419" s="13">
        <f t="shared" si="249"/>
        <v>0</v>
      </c>
      <c r="AW419" s="13">
        <f t="shared" si="250"/>
        <v>1</v>
      </c>
      <c r="AY419" s="17">
        <f t="shared" si="251"/>
        <v>329</v>
      </c>
      <c r="AZ419" s="28">
        <f t="shared" si="259"/>
        <v>0</v>
      </c>
      <c r="BA419" s="13">
        <f t="shared" si="252"/>
        <v>0</v>
      </c>
      <c r="BB419" s="13">
        <f t="shared" si="253"/>
        <v>0</v>
      </c>
      <c r="BC419" s="28">
        <f t="shared" si="260"/>
        <v>0</v>
      </c>
      <c r="BD419" s="28">
        <f t="shared" si="261"/>
        <v>0</v>
      </c>
      <c r="BF419" s="248">
        <f t="shared" si="262"/>
        <v>993869.29442638322</v>
      </c>
    </row>
    <row r="420" spans="1:58">
      <c r="A420" s="32">
        <f t="shared" si="263"/>
        <v>-245</v>
      </c>
      <c r="B420" s="32">
        <f t="shared" si="254"/>
        <v>80</v>
      </c>
      <c r="C420" s="32">
        <f t="shared" si="264"/>
        <v>28</v>
      </c>
      <c r="D420" s="32">
        <f t="shared" si="265"/>
        <v>330</v>
      </c>
      <c r="E420" s="74">
        <f>MIN(IF(AV420=0,0,
IF(Investment_Strategy="DIS",VLOOKUP(Investment_Strategy&amp;"_"&amp;Investment_Strategy_Sub1&amp;"_"&amp;$A420,'Investment Strategies'!$AZ:$BP,12,FALSE),
IF(AND(Investment_Strategy="Lifecycle",Investment_Strategy_Sub1="Non-Standard"),VLOOKUP(Investment_Strategy&amp;"_"&amp;Investment_Strategy_Sub2&amp;"_"&amp;$A420,'Investment Strategies'!$C:$P,9,FALSE),
IF(AND(Investment_Strategy="Lifecycle",Investment_Strategy_Sub1="Standard"),VLOOKUP(Investment_Strategy&amp;"_"&amp;Investment_Strategy_Sub2&amp;"_"&amp;$A420,'Investment Strategies'!$AJ:$AV,8,FALSE),
IF(AND(Investment_Strategy="Autopilot",Investment_Strategy_Sub1="Non-Standard"),VLOOKUP(Investment_Strategy&amp;"_"&amp;Investment_Strategy_Sub2&amp;"_"&amp;$A420,'Investment Strategies'!$T:$AF,8,FALSE),
IF(Investment_Strategy ="DIY",DIY_RateOfReturn_CurrentFunds,
"Error")))))),Max_InvReturn)</f>
        <v>0</v>
      </c>
      <c r="F420" s="62">
        <f>IF(AV420=0,0,
IF(Investment_Strategy="DIS",VLOOKUP(Investment_Strategy&amp;"_"&amp;Investment_Strategy_Sub1&amp;"_"&amp;$A420,'Investment Strategies'!$AZ:$BP,15,FALSE),
IF(AND(Investment_Strategy="Lifecycle",Investment_Strategy_Sub1="Non-Standard"),VLOOKUP(Investment_Strategy&amp;"_"&amp;Investment_Strategy_Sub2&amp;"_"&amp;$A420,'Investment Strategies'!$C:$P,12,FALSE),
IF(AND(Investment_Strategy="Lifecycle",Investment_Strategy_Sub1="Standard"),VLOOKUP(Investment_Strategy&amp;"_"&amp;Investment_Strategy_Sub2&amp;"_"&amp;$A420,'Investment Strategies'!$AJ:$AV,11,FALSE),
IF(AND(Investment_Strategy="Autopilot",Investment_Strategy_Sub1="Non-Standard"),VLOOKUP(Investment_Strategy&amp;"_"&amp;Investment_Strategy_Sub2&amp;"_"&amp;$A420,'Investment Strategies'!$T:$AF,11,FALSE),
IF(Investment_Strategy="DIY",DIY_GteeChrge_CurrentFunds,
"Error"))))))</f>
        <v>0</v>
      </c>
      <c r="G420" s="33">
        <f>IF(AV420=0,0,
IF(Investment_Strategy="DIS",VLOOKUP(Investment_Strategy&amp;"_"&amp;Investment_Strategy_Sub1&amp;"_"&amp;$A420,'Investment Strategies'!$AZ:$BP,17,FALSE),
IF(AND(Investment_Strategy="Lifecycle",Investment_Strategy_Sub1="Non-Standard"),VLOOKUP(Investment_Strategy&amp;"_"&amp;Investment_Strategy_Sub2&amp;"_"&amp;$A420,'Investment Strategies'!$C:$P,14,FALSE),
IF(AND(Investment_Strategy="Lifecycle",Investment_Strategy_Sub1="Standard"),VLOOKUP(Investment_Strategy&amp;"_"&amp;Investment_Strategy_Sub2&amp;"_"&amp;$A420,'Investment Strategies'!$AJ:$AV,13,FALSE),
IF(AND(Investment_Strategy="Autopilot",Investment_Strategy_Sub1="Non-Standard"),VLOOKUP(Investment_Strategy&amp;"_"&amp;Investment_Strategy_Sub2&amp;"_"&amp;$A420,'Investment Strategies'!$T:$AF,13,FALSE),
IF(Investment_Strategy="DIY",DIY_ExtManChrge_CurrentFunds,
"Error"))))))</f>
        <v>0</v>
      </c>
      <c r="H420" s="16">
        <f t="shared" si="255"/>
        <v>0</v>
      </c>
      <c r="I420" s="16">
        <f t="shared" si="240"/>
        <v>0</v>
      </c>
      <c r="J420" s="16">
        <f t="shared" si="241"/>
        <v>0</v>
      </c>
      <c r="K420" s="16">
        <f>(Opening_Fund_Value+SUM(K$91:K419))*E420*IF(D420=$A$91,SRP_finalmonthfactor,1)</f>
        <v>0</v>
      </c>
      <c r="L420" s="74">
        <f>MIN(IF($AV420=0,0,
IF(Investment_Strategy="DIS",VLOOKUP(Investment_Strategy&amp;"_"&amp;Investment_Strategy_Sub1&amp;"_"&amp;$A420,'Investment Strategies'!$AZ:$BP,12,FALSE),
IF(AND(Investment_Strategy="Lifecycle",Investment_Strategy_Sub1="Non-Standard"),VLOOKUP(Investment_Strategy&amp;"_"&amp;Investment_Strategy_Sub2&amp;"_"&amp;$A420,'Investment Strategies'!$C:$P,9,FALSE),
IF(AND(Investment_Strategy="Lifecycle",Investment_Strategy_Sub1="Standard"),VLOOKUP(Investment_Strategy&amp;"_"&amp;Investment_Strategy_Sub2&amp;"_"&amp;$A420,'Investment Strategies'!$AJ:$AV,8,FALSE),
IF(AND(Investment_Strategy="Autopilot",Investment_Strategy_Sub1="Non-Standard"),VLOOKUP(Investment_Strategy&amp;"_"&amp;Investment_Strategy_Sub2&amp;"_"&amp;$A420,'Investment Strategies'!$T:$AF,8,FALSE),
IF(Investment_Strategy ="DIY",DIY_RateofReturn_SP,
"Error")))))),Max_InvReturn)</f>
        <v>0</v>
      </c>
      <c r="M420" s="62">
        <f>IF($AV420=0,0,
IF(Investment_Strategy="DIS",VLOOKUP(Investment_Strategy&amp;"_"&amp;Investment_Strategy_Sub1&amp;"_"&amp;$A420,'Investment Strategies'!$AZ:$BP,15,FALSE),
IF(AND(Investment_Strategy="Lifecycle",Investment_Strategy_Sub1="Non-Standard"),VLOOKUP(Investment_Strategy&amp;"_"&amp;Investment_Strategy_Sub2&amp;"_"&amp;$A420,'Investment Strategies'!$C:$P,12,FALSE),
IF(AND(Investment_Strategy="Lifecycle",Investment_Strategy_Sub1="Standard"),VLOOKUP(Investment_Strategy&amp;"_"&amp;Investment_Strategy_Sub2&amp;"_"&amp;$A420,'Investment Strategies'!$AJ:$AV,11,FALSE),
IF(AND(Investment_Strategy="Autopilot",Investment_Strategy_Sub1="Non-Standard"),VLOOKUP(Investment_Strategy&amp;"_"&amp;Investment_Strategy_Sub2&amp;"_"&amp;$A420,'Investment Strategies'!$T:$AF,11,FALSE),
IF(Investment_Strategy="DIY",DIY_GteeChrge_SP,
"Error"))))))</f>
        <v>0</v>
      </c>
      <c r="N420" s="33">
        <f>IF($AV420=0,0,
IF(Investment_Strategy="DIS",VLOOKUP(Investment_Strategy&amp;"_"&amp;Investment_Strategy_Sub1&amp;"_"&amp;$A420,'Investment Strategies'!$AZ:$BP,17,FALSE),
IF(AND(Investment_Strategy="Lifecycle",Investment_Strategy_Sub1="Non-Standard"),VLOOKUP(Investment_Strategy&amp;"_"&amp;Investment_Strategy_Sub2&amp;"_"&amp;$A420,'Investment Strategies'!$C:$P,14,FALSE),
IF(AND(Investment_Strategy="Lifecycle",Investment_Strategy_Sub1="Standard"),VLOOKUP(Investment_Strategy&amp;"_"&amp;Investment_Strategy_Sub2&amp;"_"&amp;$A420,'Investment Strategies'!$AJ:$AV,13,FALSE),
IF(AND(Investment_Strategy="Autopilot",Investment_Strategy_Sub1="Non-Standard"),VLOOKUP(Investment_Strategy&amp;"_"&amp;Investment_Strategy_Sub2&amp;"_"&amp;$A420,'Investment Strategies'!$T:$AF,13,FALSE),
IF(Investment_Strategy="DIY",DIY_ExtManChrge_SP,
"Error"))))))</f>
        <v>0</v>
      </c>
      <c r="O420" s="16">
        <f t="shared" si="266"/>
        <v>0</v>
      </c>
      <c r="Q420" s="16">
        <f t="shared" si="242"/>
        <v>0</v>
      </c>
      <c r="R420" s="16">
        <f t="shared" si="239"/>
        <v>0</v>
      </c>
      <c r="S420" s="16">
        <f>(SRP_SP+SUM(S$91:S419))*L420*IF(D420=$A$91,SRP_finalmonthfactor,1)</f>
        <v>0</v>
      </c>
      <c r="T420" s="74">
        <f>MIN(IF($AV420=0,0,
IF(Investment_Strategy="DIS",VLOOKUP(Investment_Strategy&amp;"_"&amp;Investment_Strategy_Sub1&amp;"_"&amp;$A420,'Investment Strategies'!$AZ:$BP,12,FALSE),
IF(AND(Investment_Strategy="Lifecycle",Investment_Strategy_Sub1="Non-Standard"),VLOOKUP(Investment_Strategy&amp;"_"&amp;Investment_Strategy_Sub2&amp;"_"&amp;$A420,'Investment Strategies'!$C:$P,9,FALSE),
IF(AND(Investment_Strategy="Lifecycle",Investment_Strategy_Sub1="Standard"),VLOOKUP(Investment_Strategy&amp;"_"&amp;Investment_Strategy_Sub2&amp;"_"&amp;$A420,'Investment Strategies'!$AJ:$AV,8,FALSE),
IF(AND(Investment_Strategy="Autopilot",Investment_Strategy_Sub1="Non-Standard"),VLOOKUP(Investment_Strategy&amp;"_"&amp;Investment_Strategy_Sub2&amp;"_"&amp;$A420,'Investment Strategies'!$T:$AF,8,FALSE),
IF(Investment_Strategy ="DIY",DIY_RateOfReturn_FuturePremiums,
"Error")))))),Max_InvReturn)</f>
        <v>0</v>
      </c>
      <c r="U420" s="62">
        <f>IF($AV420=0,0,
IF(Investment_Strategy="DIS",VLOOKUP(Investment_Strategy&amp;"_"&amp;Investment_Strategy_Sub1&amp;"_"&amp;$A420,'Investment Strategies'!$AZ:$BP,15,FALSE),
IF(AND(Investment_Strategy="Lifecycle",Investment_Strategy_Sub1="Non-Standard"),VLOOKUP(Investment_Strategy&amp;"_"&amp;Investment_Strategy_Sub2&amp;"_"&amp;$A420,'Investment Strategies'!$C:$P,12,FALSE),
IF(AND(Investment_Strategy="Lifecycle",Investment_Strategy_Sub1="Standard"),VLOOKUP(Investment_Strategy&amp;"_"&amp;Investment_Strategy_Sub2&amp;"_"&amp;$A420,'Investment Strategies'!$AJ:$AV,11,FALSE),
IF(AND(Investment_Strategy="Autopilot",Investment_Strategy_Sub1="Non-Standard"),VLOOKUP(Investment_Strategy&amp;"_"&amp;Investment_Strategy_Sub2&amp;"_"&amp;$A420,'Investment Strategies'!$T:$AF,11,FALSE),
IF(Investment_Strategy="DIY",DIY_GteeChrge_FuturePremiums,
"Error"))))))</f>
        <v>0</v>
      </c>
      <c r="V420" s="33">
        <f>IF(AV420=0,0,
IF(Investment_Strategy="DIS",VLOOKUP(Investment_Strategy&amp;"_"&amp;Investment_Strategy_Sub1&amp;"_"&amp;$A420,'Investment Strategies'!$AZ:$BP,17,FALSE),
IF(AND(Investment_Strategy="Lifecycle",Investment_Strategy_Sub1="Non-Standard"),VLOOKUP(Investment_Strategy&amp;"_"&amp;Investment_Strategy_Sub2&amp;"_"&amp;$A420,'Investment Strategies'!$C:$P,14,FALSE),
IF(AND(Investment_Strategy="Lifecycle",Investment_Strategy_Sub1="Standard"),VLOOKUP(Investment_Strategy&amp;"_"&amp;Investment_Strategy_Sub2&amp;"_"&amp;$A420,'Investment Strategies'!$AJ:$AV,13,FALSE),
IF(AND(Investment_Strategy="Autopilot",Investment_Strategy_Sub1="Non-Standard"),VLOOKUP(Investment_Strategy&amp;"_"&amp;Investment_Strategy_Sub2&amp;"_"&amp;$A420,'Investment Strategies'!$T:$AF,13,FALSE),
IF(Investment_Strategy="DIY",DIY_ExtManChrge_FuturePremiums,
"Error"))))))</f>
        <v>0</v>
      </c>
      <c r="W420" s="16">
        <f t="shared" si="267"/>
        <v>0</v>
      </c>
      <c r="X420" s="16">
        <f t="shared" si="243"/>
        <v>0</v>
      </c>
      <c r="Y420" s="16">
        <f t="shared" si="244"/>
        <v>0</v>
      </c>
      <c r="Z420" s="31">
        <f t="shared" si="245"/>
        <v>0.02</v>
      </c>
      <c r="AA420" s="16">
        <f t="shared" si="246"/>
        <v>0</v>
      </c>
      <c r="AB420" s="28">
        <f t="shared" si="268"/>
        <v>0</v>
      </c>
      <c r="AC420" s="28">
        <f>(SUM($AC$91:AC419)+SUM($X$91:X419)+X420)*T420*IF(D420=$A$91,SRP_finalmonthfactor,1)</f>
        <v>0</v>
      </c>
      <c r="AD420" s="16">
        <f t="shared" si="247"/>
        <v>0</v>
      </c>
      <c r="AE420" s="106"/>
      <c r="AF420" s="16">
        <f t="shared" si="256"/>
        <v>0</v>
      </c>
      <c r="AG420" s="16">
        <f t="shared" si="257"/>
        <v>0</v>
      </c>
      <c r="AH420" s="16">
        <f t="shared" si="258"/>
        <v>0</v>
      </c>
      <c r="AJ420" s="13">
        <f t="shared" si="248"/>
        <v>0</v>
      </c>
      <c r="AK420" s="13">
        <f t="shared" si="248"/>
        <v>0</v>
      </c>
      <c r="AL420" s="13">
        <f t="shared" si="248"/>
        <v>0</v>
      </c>
      <c r="AM420" s="13">
        <f t="shared" si="248"/>
        <v>0</v>
      </c>
      <c r="AN420" s="13">
        <f t="shared" si="248"/>
        <v>0</v>
      </c>
      <c r="AO420" s="13">
        <f t="shared" si="248"/>
        <v>1</v>
      </c>
      <c r="AP420" s="13">
        <f t="shared" si="248"/>
        <v>1</v>
      </c>
      <c r="AQ420" s="13">
        <f t="shared" si="248"/>
        <v>1</v>
      </c>
      <c r="AR420" s="13">
        <f t="shared" si="248"/>
        <v>0</v>
      </c>
      <c r="AS420" s="13">
        <f t="shared" si="248"/>
        <v>1</v>
      </c>
      <c r="AT420" s="13">
        <f t="shared" si="248"/>
        <v>1</v>
      </c>
      <c r="AU420" s="13">
        <f t="shared" si="248"/>
        <v>1</v>
      </c>
      <c r="AV420" s="13">
        <f t="shared" si="249"/>
        <v>0</v>
      </c>
      <c r="AW420" s="13">
        <f t="shared" si="250"/>
        <v>1</v>
      </c>
      <c r="AY420" s="17">
        <f t="shared" si="251"/>
        <v>330</v>
      </c>
      <c r="AZ420" s="28">
        <f t="shared" si="259"/>
        <v>0</v>
      </c>
      <c r="BA420" s="13">
        <f t="shared" si="252"/>
        <v>0</v>
      </c>
      <c r="BB420" s="13">
        <f t="shared" si="253"/>
        <v>0</v>
      </c>
      <c r="BC420" s="28">
        <f t="shared" si="260"/>
        <v>0</v>
      </c>
      <c r="BD420" s="28">
        <f t="shared" si="261"/>
        <v>0</v>
      </c>
      <c r="BF420" s="248">
        <f t="shared" si="262"/>
        <v>993869.29442638322</v>
      </c>
    </row>
    <row r="421" spans="1:58">
      <c r="A421" s="32">
        <f t="shared" si="263"/>
        <v>-246</v>
      </c>
      <c r="B421" s="32">
        <f t="shared" si="254"/>
        <v>80</v>
      </c>
      <c r="C421" s="32">
        <f t="shared" si="264"/>
        <v>28</v>
      </c>
      <c r="D421" s="32">
        <f t="shared" si="265"/>
        <v>331</v>
      </c>
      <c r="E421" s="74">
        <f>MIN(IF(AV421=0,0,
IF(Investment_Strategy="DIS",VLOOKUP(Investment_Strategy&amp;"_"&amp;Investment_Strategy_Sub1&amp;"_"&amp;$A421,'Investment Strategies'!$AZ:$BP,12,FALSE),
IF(AND(Investment_Strategy="Lifecycle",Investment_Strategy_Sub1="Non-Standard"),VLOOKUP(Investment_Strategy&amp;"_"&amp;Investment_Strategy_Sub2&amp;"_"&amp;$A421,'Investment Strategies'!$C:$P,9,FALSE),
IF(AND(Investment_Strategy="Lifecycle",Investment_Strategy_Sub1="Standard"),VLOOKUP(Investment_Strategy&amp;"_"&amp;Investment_Strategy_Sub2&amp;"_"&amp;$A421,'Investment Strategies'!$AJ:$AV,8,FALSE),
IF(AND(Investment_Strategy="Autopilot",Investment_Strategy_Sub1="Non-Standard"),VLOOKUP(Investment_Strategy&amp;"_"&amp;Investment_Strategy_Sub2&amp;"_"&amp;$A421,'Investment Strategies'!$T:$AF,8,FALSE),
IF(Investment_Strategy ="DIY",DIY_RateOfReturn_CurrentFunds,
"Error")))))),Max_InvReturn)</f>
        <v>0</v>
      </c>
      <c r="F421" s="62">
        <f>IF(AV421=0,0,
IF(Investment_Strategy="DIS",VLOOKUP(Investment_Strategy&amp;"_"&amp;Investment_Strategy_Sub1&amp;"_"&amp;$A421,'Investment Strategies'!$AZ:$BP,15,FALSE),
IF(AND(Investment_Strategy="Lifecycle",Investment_Strategy_Sub1="Non-Standard"),VLOOKUP(Investment_Strategy&amp;"_"&amp;Investment_Strategy_Sub2&amp;"_"&amp;$A421,'Investment Strategies'!$C:$P,12,FALSE),
IF(AND(Investment_Strategy="Lifecycle",Investment_Strategy_Sub1="Standard"),VLOOKUP(Investment_Strategy&amp;"_"&amp;Investment_Strategy_Sub2&amp;"_"&amp;$A421,'Investment Strategies'!$AJ:$AV,11,FALSE),
IF(AND(Investment_Strategy="Autopilot",Investment_Strategy_Sub1="Non-Standard"),VLOOKUP(Investment_Strategy&amp;"_"&amp;Investment_Strategy_Sub2&amp;"_"&amp;$A421,'Investment Strategies'!$T:$AF,11,FALSE),
IF(Investment_Strategy="DIY",DIY_GteeChrge_CurrentFunds,
"Error"))))))</f>
        <v>0</v>
      </c>
      <c r="G421" s="33">
        <f>IF(AV421=0,0,
IF(Investment_Strategy="DIS",VLOOKUP(Investment_Strategy&amp;"_"&amp;Investment_Strategy_Sub1&amp;"_"&amp;$A421,'Investment Strategies'!$AZ:$BP,17,FALSE),
IF(AND(Investment_Strategy="Lifecycle",Investment_Strategy_Sub1="Non-Standard"),VLOOKUP(Investment_Strategy&amp;"_"&amp;Investment_Strategy_Sub2&amp;"_"&amp;$A421,'Investment Strategies'!$C:$P,14,FALSE),
IF(AND(Investment_Strategy="Lifecycle",Investment_Strategy_Sub1="Standard"),VLOOKUP(Investment_Strategy&amp;"_"&amp;Investment_Strategy_Sub2&amp;"_"&amp;$A421,'Investment Strategies'!$AJ:$AV,13,FALSE),
IF(AND(Investment_Strategy="Autopilot",Investment_Strategy_Sub1="Non-Standard"),VLOOKUP(Investment_Strategy&amp;"_"&amp;Investment_Strategy_Sub2&amp;"_"&amp;$A421,'Investment Strategies'!$T:$AF,13,FALSE),
IF(Investment_Strategy="DIY",DIY_ExtManChrge_CurrentFunds,
"Error"))))))</f>
        <v>0</v>
      </c>
      <c r="H421" s="16">
        <f t="shared" si="255"/>
        <v>0</v>
      </c>
      <c r="I421" s="16">
        <f t="shared" si="240"/>
        <v>0</v>
      </c>
      <c r="J421" s="16">
        <f t="shared" si="241"/>
        <v>0</v>
      </c>
      <c r="K421" s="16">
        <f>(Opening_Fund_Value+SUM(K$91:K420))*E421*IF(D421=$A$91,SRP_finalmonthfactor,1)</f>
        <v>0</v>
      </c>
      <c r="L421" s="74">
        <f>MIN(IF($AV421=0,0,
IF(Investment_Strategy="DIS",VLOOKUP(Investment_Strategy&amp;"_"&amp;Investment_Strategy_Sub1&amp;"_"&amp;$A421,'Investment Strategies'!$AZ:$BP,12,FALSE),
IF(AND(Investment_Strategy="Lifecycle",Investment_Strategy_Sub1="Non-Standard"),VLOOKUP(Investment_Strategy&amp;"_"&amp;Investment_Strategy_Sub2&amp;"_"&amp;$A421,'Investment Strategies'!$C:$P,9,FALSE),
IF(AND(Investment_Strategy="Lifecycle",Investment_Strategy_Sub1="Standard"),VLOOKUP(Investment_Strategy&amp;"_"&amp;Investment_Strategy_Sub2&amp;"_"&amp;$A421,'Investment Strategies'!$AJ:$AV,8,FALSE),
IF(AND(Investment_Strategy="Autopilot",Investment_Strategy_Sub1="Non-Standard"),VLOOKUP(Investment_Strategy&amp;"_"&amp;Investment_Strategy_Sub2&amp;"_"&amp;$A421,'Investment Strategies'!$T:$AF,8,FALSE),
IF(Investment_Strategy ="DIY",DIY_RateofReturn_SP,
"Error")))))),Max_InvReturn)</f>
        <v>0</v>
      </c>
      <c r="M421" s="62">
        <f>IF($AV421=0,0,
IF(Investment_Strategy="DIS",VLOOKUP(Investment_Strategy&amp;"_"&amp;Investment_Strategy_Sub1&amp;"_"&amp;$A421,'Investment Strategies'!$AZ:$BP,15,FALSE),
IF(AND(Investment_Strategy="Lifecycle",Investment_Strategy_Sub1="Non-Standard"),VLOOKUP(Investment_Strategy&amp;"_"&amp;Investment_Strategy_Sub2&amp;"_"&amp;$A421,'Investment Strategies'!$C:$P,12,FALSE),
IF(AND(Investment_Strategy="Lifecycle",Investment_Strategy_Sub1="Standard"),VLOOKUP(Investment_Strategy&amp;"_"&amp;Investment_Strategy_Sub2&amp;"_"&amp;$A421,'Investment Strategies'!$AJ:$AV,11,FALSE),
IF(AND(Investment_Strategy="Autopilot",Investment_Strategy_Sub1="Non-Standard"),VLOOKUP(Investment_Strategy&amp;"_"&amp;Investment_Strategy_Sub2&amp;"_"&amp;$A421,'Investment Strategies'!$T:$AF,11,FALSE),
IF(Investment_Strategy="DIY",DIY_GteeChrge_SP,
"Error"))))))</f>
        <v>0</v>
      </c>
      <c r="N421" s="33">
        <f>IF($AV421=0,0,
IF(Investment_Strategy="DIS",VLOOKUP(Investment_Strategy&amp;"_"&amp;Investment_Strategy_Sub1&amp;"_"&amp;$A421,'Investment Strategies'!$AZ:$BP,17,FALSE),
IF(AND(Investment_Strategy="Lifecycle",Investment_Strategy_Sub1="Non-Standard"),VLOOKUP(Investment_Strategy&amp;"_"&amp;Investment_Strategy_Sub2&amp;"_"&amp;$A421,'Investment Strategies'!$C:$P,14,FALSE),
IF(AND(Investment_Strategy="Lifecycle",Investment_Strategy_Sub1="Standard"),VLOOKUP(Investment_Strategy&amp;"_"&amp;Investment_Strategy_Sub2&amp;"_"&amp;$A421,'Investment Strategies'!$AJ:$AV,13,FALSE),
IF(AND(Investment_Strategy="Autopilot",Investment_Strategy_Sub1="Non-Standard"),VLOOKUP(Investment_Strategy&amp;"_"&amp;Investment_Strategy_Sub2&amp;"_"&amp;$A421,'Investment Strategies'!$T:$AF,13,FALSE),
IF(Investment_Strategy="DIY",DIY_ExtManChrge_SP,
"Error"))))))</f>
        <v>0</v>
      </c>
      <c r="O421" s="16">
        <f t="shared" si="266"/>
        <v>0</v>
      </c>
      <c r="Q421" s="16">
        <f t="shared" si="242"/>
        <v>0</v>
      </c>
      <c r="R421" s="16">
        <f t="shared" si="239"/>
        <v>0</v>
      </c>
      <c r="S421" s="16">
        <f>(SRP_SP+SUM(S$91:S420))*L421*IF(D421=$A$91,SRP_finalmonthfactor,1)</f>
        <v>0</v>
      </c>
      <c r="T421" s="74">
        <f>MIN(IF($AV421=0,0,
IF(Investment_Strategy="DIS",VLOOKUP(Investment_Strategy&amp;"_"&amp;Investment_Strategy_Sub1&amp;"_"&amp;$A421,'Investment Strategies'!$AZ:$BP,12,FALSE),
IF(AND(Investment_Strategy="Lifecycle",Investment_Strategy_Sub1="Non-Standard"),VLOOKUP(Investment_Strategy&amp;"_"&amp;Investment_Strategy_Sub2&amp;"_"&amp;$A421,'Investment Strategies'!$C:$P,9,FALSE),
IF(AND(Investment_Strategy="Lifecycle",Investment_Strategy_Sub1="Standard"),VLOOKUP(Investment_Strategy&amp;"_"&amp;Investment_Strategy_Sub2&amp;"_"&amp;$A421,'Investment Strategies'!$AJ:$AV,8,FALSE),
IF(AND(Investment_Strategy="Autopilot",Investment_Strategy_Sub1="Non-Standard"),VLOOKUP(Investment_Strategy&amp;"_"&amp;Investment_Strategy_Sub2&amp;"_"&amp;$A421,'Investment Strategies'!$T:$AF,8,FALSE),
IF(Investment_Strategy ="DIY",DIY_RateOfReturn_FuturePremiums,
"Error")))))),Max_InvReturn)</f>
        <v>0</v>
      </c>
      <c r="U421" s="62">
        <f>IF($AV421=0,0,
IF(Investment_Strategy="DIS",VLOOKUP(Investment_Strategy&amp;"_"&amp;Investment_Strategy_Sub1&amp;"_"&amp;$A421,'Investment Strategies'!$AZ:$BP,15,FALSE),
IF(AND(Investment_Strategy="Lifecycle",Investment_Strategy_Sub1="Non-Standard"),VLOOKUP(Investment_Strategy&amp;"_"&amp;Investment_Strategy_Sub2&amp;"_"&amp;$A421,'Investment Strategies'!$C:$P,12,FALSE),
IF(AND(Investment_Strategy="Lifecycle",Investment_Strategy_Sub1="Standard"),VLOOKUP(Investment_Strategy&amp;"_"&amp;Investment_Strategy_Sub2&amp;"_"&amp;$A421,'Investment Strategies'!$AJ:$AV,11,FALSE),
IF(AND(Investment_Strategy="Autopilot",Investment_Strategy_Sub1="Non-Standard"),VLOOKUP(Investment_Strategy&amp;"_"&amp;Investment_Strategy_Sub2&amp;"_"&amp;$A421,'Investment Strategies'!$T:$AF,11,FALSE),
IF(Investment_Strategy="DIY",DIY_GteeChrge_FuturePremiums,
"Error"))))))</f>
        <v>0</v>
      </c>
      <c r="V421" s="33">
        <f>IF(AV421=0,0,
IF(Investment_Strategy="DIS",VLOOKUP(Investment_Strategy&amp;"_"&amp;Investment_Strategy_Sub1&amp;"_"&amp;$A421,'Investment Strategies'!$AZ:$BP,17,FALSE),
IF(AND(Investment_Strategy="Lifecycle",Investment_Strategy_Sub1="Non-Standard"),VLOOKUP(Investment_Strategy&amp;"_"&amp;Investment_Strategy_Sub2&amp;"_"&amp;$A421,'Investment Strategies'!$C:$P,14,FALSE),
IF(AND(Investment_Strategy="Lifecycle",Investment_Strategy_Sub1="Standard"),VLOOKUP(Investment_Strategy&amp;"_"&amp;Investment_Strategy_Sub2&amp;"_"&amp;$A421,'Investment Strategies'!$AJ:$AV,13,FALSE),
IF(AND(Investment_Strategy="Autopilot",Investment_Strategy_Sub1="Non-Standard"),VLOOKUP(Investment_Strategy&amp;"_"&amp;Investment_Strategy_Sub2&amp;"_"&amp;$A421,'Investment Strategies'!$T:$AF,13,FALSE),
IF(Investment_Strategy="DIY",DIY_ExtManChrge_FuturePremiums,
"Error"))))))</f>
        <v>0</v>
      </c>
      <c r="W421" s="16">
        <f t="shared" si="267"/>
        <v>0</v>
      </c>
      <c r="X421" s="16">
        <f t="shared" si="243"/>
        <v>0</v>
      </c>
      <c r="Y421" s="16">
        <f t="shared" si="244"/>
        <v>0</v>
      </c>
      <c r="Z421" s="31">
        <f t="shared" si="245"/>
        <v>0.02</v>
      </c>
      <c r="AA421" s="16">
        <f t="shared" si="246"/>
        <v>0</v>
      </c>
      <c r="AB421" s="28">
        <f t="shared" si="268"/>
        <v>0</v>
      </c>
      <c r="AC421" s="28">
        <f>(SUM($AC$91:AC420)+SUM($X$91:X420)+X421)*T421*IF(D421=$A$91,SRP_finalmonthfactor,1)</f>
        <v>0</v>
      </c>
      <c r="AD421" s="16">
        <f t="shared" si="247"/>
        <v>0</v>
      </c>
      <c r="AE421" s="106"/>
      <c r="AF421" s="16">
        <f t="shared" si="256"/>
        <v>0</v>
      </c>
      <c r="AG421" s="16">
        <f t="shared" si="257"/>
        <v>0</v>
      </c>
      <c r="AH421" s="16">
        <f t="shared" si="258"/>
        <v>0</v>
      </c>
      <c r="AJ421" s="13">
        <f t="shared" ref="AJ421:AU430" si="269">IF($C421&lt;=AJ$90,1,0)</f>
        <v>0</v>
      </c>
      <c r="AK421" s="13">
        <f t="shared" si="269"/>
        <v>0</v>
      </c>
      <c r="AL421" s="13">
        <f t="shared" si="269"/>
        <v>0</v>
      </c>
      <c r="AM421" s="13">
        <f t="shared" si="269"/>
        <v>0</v>
      </c>
      <c r="AN421" s="13">
        <f t="shared" si="269"/>
        <v>0</v>
      </c>
      <c r="AO421" s="13">
        <f t="shared" si="269"/>
        <v>1</v>
      </c>
      <c r="AP421" s="13">
        <f t="shared" si="269"/>
        <v>1</v>
      </c>
      <c r="AQ421" s="13">
        <f t="shared" si="269"/>
        <v>1</v>
      </c>
      <c r="AR421" s="13">
        <f t="shared" si="269"/>
        <v>0</v>
      </c>
      <c r="AS421" s="13">
        <f t="shared" si="269"/>
        <v>1</v>
      </c>
      <c r="AT421" s="13">
        <f t="shared" si="269"/>
        <v>1</v>
      </c>
      <c r="AU421" s="13">
        <f t="shared" si="269"/>
        <v>1</v>
      </c>
      <c r="AV421" s="13">
        <f t="shared" si="249"/>
        <v>0</v>
      </c>
      <c r="AW421" s="13">
        <f t="shared" si="250"/>
        <v>1</v>
      </c>
      <c r="AY421" s="17">
        <f t="shared" si="251"/>
        <v>331</v>
      </c>
      <c r="AZ421" s="28">
        <f t="shared" si="259"/>
        <v>0</v>
      </c>
      <c r="BA421" s="13">
        <f t="shared" si="252"/>
        <v>0</v>
      </c>
      <c r="BB421" s="13">
        <f t="shared" si="253"/>
        <v>0</v>
      </c>
      <c r="BC421" s="28">
        <f t="shared" si="260"/>
        <v>0</v>
      </c>
      <c r="BD421" s="28">
        <f t="shared" si="261"/>
        <v>0</v>
      </c>
      <c r="BF421" s="248">
        <f t="shared" si="262"/>
        <v>993869.29442638322</v>
      </c>
    </row>
    <row r="422" spans="1:58">
      <c r="A422" s="32">
        <f t="shared" si="263"/>
        <v>-247</v>
      </c>
      <c r="B422" s="32">
        <f t="shared" si="254"/>
        <v>80</v>
      </c>
      <c r="C422" s="32">
        <f t="shared" si="264"/>
        <v>28</v>
      </c>
      <c r="D422" s="32">
        <f t="shared" si="265"/>
        <v>332</v>
      </c>
      <c r="E422" s="74">
        <f>MIN(IF(AV422=0,0,
IF(Investment_Strategy="DIS",VLOOKUP(Investment_Strategy&amp;"_"&amp;Investment_Strategy_Sub1&amp;"_"&amp;$A422,'Investment Strategies'!$AZ:$BP,12,FALSE),
IF(AND(Investment_Strategy="Lifecycle",Investment_Strategy_Sub1="Non-Standard"),VLOOKUP(Investment_Strategy&amp;"_"&amp;Investment_Strategy_Sub2&amp;"_"&amp;$A422,'Investment Strategies'!$C:$P,9,FALSE),
IF(AND(Investment_Strategy="Lifecycle",Investment_Strategy_Sub1="Standard"),VLOOKUP(Investment_Strategy&amp;"_"&amp;Investment_Strategy_Sub2&amp;"_"&amp;$A422,'Investment Strategies'!$AJ:$AV,8,FALSE),
IF(AND(Investment_Strategy="Autopilot",Investment_Strategy_Sub1="Non-Standard"),VLOOKUP(Investment_Strategy&amp;"_"&amp;Investment_Strategy_Sub2&amp;"_"&amp;$A422,'Investment Strategies'!$T:$AF,8,FALSE),
IF(Investment_Strategy ="DIY",DIY_RateOfReturn_CurrentFunds,
"Error")))))),Max_InvReturn)</f>
        <v>0</v>
      </c>
      <c r="F422" s="62">
        <f>IF(AV422=0,0,
IF(Investment_Strategy="DIS",VLOOKUP(Investment_Strategy&amp;"_"&amp;Investment_Strategy_Sub1&amp;"_"&amp;$A422,'Investment Strategies'!$AZ:$BP,15,FALSE),
IF(AND(Investment_Strategy="Lifecycle",Investment_Strategy_Sub1="Non-Standard"),VLOOKUP(Investment_Strategy&amp;"_"&amp;Investment_Strategy_Sub2&amp;"_"&amp;$A422,'Investment Strategies'!$C:$P,12,FALSE),
IF(AND(Investment_Strategy="Lifecycle",Investment_Strategy_Sub1="Standard"),VLOOKUP(Investment_Strategy&amp;"_"&amp;Investment_Strategy_Sub2&amp;"_"&amp;$A422,'Investment Strategies'!$AJ:$AV,11,FALSE),
IF(AND(Investment_Strategy="Autopilot",Investment_Strategy_Sub1="Non-Standard"),VLOOKUP(Investment_Strategy&amp;"_"&amp;Investment_Strategy_Sub2&amp;"_"&amp;$A422,'Investment Strategies'!$T:$AF,11,FALSE),
IF(Investment_Strategy="DIY",DIY_GteeChrge_CurrentFunds,
"Error"))))))</f>
        <v>0</v>
      </c>
      <c r="G422" s="33">
        <f>IF(AV422=0,0,
IF(Investment_Strategy="DIS",VLOOKUP(Investment_Strategy&amp;"_"&amp;Investment_Strategy_Sub1&amp;"_"&amp;$A422,'Investment Strategies'!$AZ:$BP,17,FALSE),
IF(AND(Investment_Strategy="Lifecycle",Investment_Strategy_Sub1="Non-Standard"),VLOOKUP(Investment_Strategy&amp;"_"&amp;Investment_Strategy_Sub2&amp;"_"&amp;$A422,'Investment Strategies'!$C:$P,14,FALSE),
IF(AND(Investment_Strategy="Lifecycle",Investment_Strategy_Sub1="Standard"),VLOOKUP(Investment_Strategy&amp;"_"&amp;Investment_Strategy_Sub2&amp;"_"&amp;$A422,'Investment Strategies'!$AJ:$AV,13,FALSE),
IF(AND(Investment_Strategy="Autopilot",Investment_Strategy_Sub1="Non-Standard"),VLOOKUP(Investment_Strategy&amp;"_"&amp;Investment_Strategy_Sub2&amp;"_"&amp;$A422,'Investment Strategies'!$T:$AF,13,FALSE),
IF(Investment_Strategy="DIY",DIY_ExtManChrge_CurrentFunds,
"Error"))))))</f>
        <v>0</v>
      </c>
      <c r="H422" s="16">
        <f t="shared" si="255"/>
        <v>0</v>
      </c>
      <c r="I422" s="16">
        <f t="shared" si="240"/>
        <v>0</v>
      </c>
      <c r="J422" s="16">
        <f t="shared" si="241"/>
        <v>0</v>
      </c>
      <c r="K422" s="16">
        <f>(Opening_Fund_Value+SUM(K$91:K421))*E422*IF(D422=$A$91,SRP_finalmonthfactor,1)</f>
        <v>0</v>
      </c>
      <c r="L422" s="74">
        <f>MIN(IF($AV422=0,0,
IF(Investment_Strategy="DIS",VLOOKUP(Investment_Strategy&amp;"_"&amp;Investment_Strategy_Sub1&amp;"_"&amp;$A422,'Investment Strategies'!$AZ:$BP,12,FALSE),
IF(AND(Investment_Strategy="Lifecycle",Investment_Strategy_Sub1="Non-Standard"),VLOOKUP(Investment_Strategy&amp;"_"&amp;Investment_Strategy_Sub2&amp;"_"&amp;$A422,'Investment Strategies'!$C:$P,9,FALSE),
IF(AND(Investment_Strategy="Lifecycle",Investment_Strategy_Sub1="Standard"),VLOOKUP(Investment_Strategy&amp;"_"&amp;Investment_Strategy_Sub2&amp;"_"&amp;$A422,'Investment Strategies'!$AJ:$AV,8,FALSE),
IF(AND(Investment_Strategy="Autopilot",Investment_Strategy_Sub1="Non-Standard"),VLOOKUP(Investment_Strategy&amp;"_"&amp;Investment_Strategy_Sub2&amp;"_"&amp;$A422,'Investment Strategies'!$T:$AF,8,FALSE),
IF(Investment_Strategy ="DIY",DIY_RateofReturn_SP,
"Error")))))),Max_InvReturn)</f>
        <v>0</v>
      </c>
      <c r="M422" s="62">
        <f>IF($AV422=0,0,
IF(Investment_Strategy="DIS",VLOOKUP(Investment_Strategy&amp;"_"&amp;Investment_Strategy_Sub1&amp;"_"&amp;$A422,'Investment Strategies'!$AZ:$BP,15,FALSE),
IF(AND(Investment_Strategy="Lifecycle",Investment_Strategy_Sub1="Non-Standard"),VLOOKUP(Investment_Strategy&amp;"_"&amp;Investment_Strategy_Sub2&amp;"_"&amp;$A422,'Investment Strategies'!$C:$P,12,FALSE),
IF(AND(Investment_Strategy="Lifecycle",Investment_Strategy_Sub1="Standard"),VLOOKUP(Investment_Strategy&amp;"_"&amp;Investment_Strategy_Sub2&amp;"_"&amp;$A422,'Investment Strategies'!$AJ:$AV,11,FALSE),
IF(AND(Investment_Strategy="Autopilot",Investment_Strategy_Sub1="Non-Standard"),VLOOKUP(Investment_Strategy&amp;"_"&amp;Investment_Strategy_Sub2&amp;"_"&amp;$A422,'Investment Strategies'!$T:$AF,11,FALSE),
IF(Investment_Strategy="DIY",DIY_GteeChrge_SP,
"Error"))))))</f>
        <v>0</v>
      </c>
      <c r="N422" s="33">
        <f>IF($AV422=0,0,
IF(Investment_Strategy="DIS",VLOOKUP(Investment_Strategy&amp;"_"&amp;Investment_Strategy_Sub1&amp;"_"&amp;$A422,'Investment Strategies'!$AZ:$BP,17,FALSE),
IF(AND(Investment_Strategy="Lifecycle",Investment_Strategy_Sub1="Non-Standard"),VLOOKUP(Investment_Strategy&amp;"_"&amp;Investment_Strategy_Sub2&amp;"_"&amp;$A422,'Investment Strategies'!$C:$P,14,FALSE),
IF(AND(Investment_Strategy="Lifecycle",Investment_Strategy_Sub1="Standard"),VLOOKUP(Investment_Strategy&amp;"_"&amp;Investment_Strategy_Sub2&amp;"_"&amp;$A422,'Investment Strategies'!$AJ:$AV,13,FALSE),
IF(AND(Investment_Strategy="Autopilot",Investment_Strategy_Sub1="Non-Standard"),VLOOKUP(Investment_Strategy&amp;"_"&amp;Investment_Strategy_Sub2&amp;"_"&amp;$A422,'Investment Strategies'!$T:$AF,13,FALSE),
IF(Investment_Strategy="DIY",DIY_ExtManChrge_SP,
"Error"))))))</f>
        <v>0</v>
      </c>
      <c r="O422" s="16">
        <f t="shared" si="266"/>
        <v>0</v>
      </c>
      <c r="Q422" s="16">
        <f t="shared" si="242"/>
        <v>0</v>
      </c>
      <c r="R422" s="16">
        <f t="shared" si="239"/>
        <v>0</v>
      </c>
      <c r="S422" s="16">
        <f>(SRP_SP+SUM(S$91:S421))*L422*IF(D422=$A$91,SRP_finalmonthfactor,1)</f>
        <v>0</v>
      </c>
      <c r="T422" s="74">
        <f>MIN(IF($AV422=0,0,
IF(Investment_Strategy="DIS",VLOOKUP(Investment_Strategy&amp;"_"&amp;Investment_Strategy_Sub1&amp;"_"&amp;$A422,'Investment Strategies'!$AZ:$BP,12,FALSE),
IF(AND(Investment_Strategy="Lifecycle",Investment_Strategy_Sub1="Non-Standard"),VLOOKUP(Investment_Strategy&amp;"_"&amp;Investment_Strategy_Sub2&amp;"_"&amp;$A422,'Investment Strategies'!$C:$P,9,FALSE),
IF(AND(Investment_Strategy="Lifecycle",Investment_Strategy_Sub1="Standard"),VLOOKUP(Investment_Strategy&amp;"_"&amp;Investment_Strategy_Sub2&amp;"_"&amp;$A422,'Investment Strategies'!$AJ:$AV,8,FALSE),
IF(AND(Investment_Strategy="Autopilot",Investment_Strategy_Sub1="Non-Standard"),VLOOKUP(Investment_Strategy&amp;"_"&amp;Investment_Strategy_Sub2&amp;"_"&amp;$A422,'Investment Strategies'!$T:$AF,8,FALSE),
IF(Investment_Strategy ="DIY",DIY_RateOfReturn_FuturePremiums,
"Error")))))),Max_InvReturn)</f>
        <v>0</v>
      </c>
      <c r="U422" s="62">
        <f>IF($AV422=0,0,
IF(Investment_Strategy="DIS",VLOOKUP(Investment_Strategy&amp;"_"&amp;Investment_Strategy_Sub1&amp;"_"&amp;$A422,'Investment Strategies'!$AZ:$BP,15,FALSE),
IF(AND(Investment_Strategy="Lifecycle",Investment_Strategy_Sub1="Non-Standard"),VLOOKUP(Investment_Strategy&amp;"_"&amp;Investment_Strategy_Sub2&amp;"_"&amp;$A422,'Investment Strategies'!$C:$P,12,FALSE),
IF(AND(Investment_Strategy="Lifecycle",Investment_Strategy_Sub1="Standard"),VLOOKUP(Investment_Strategy&amp;"_"&amp;Investment_Strategy_Sub2&amp;"_"&amp;$A422,'Investment Strategies'!$AJ:$AV,11,FALSE),
IF(AND(Investment_Strategy="Autopilot",Investment_Strategy_Sub1="Non-Standard"),VLOOKUP(Investment_Strategy&amp;"_"&amp;Investment_Strategy_Sub2&amp;"_"&amp;$A422,'Investment Strategies'!$T:$AF,11,FALSE),
IF(Investment_Strategy="DIY",DIY_GteeChrge_FuturePremiums,
"Error"))))))</f>
        <v>0</v>
      </c>
      <c r="V422" s="33">
        <f>IF(AV422=0,0,
IF(Investment_Strategy="DIS",VLOOKUP(Investment_Strategy&amp;"_"&amp;Investment_Strategy_Sub1&amp;"_"&amp;$A422,'Investment Strategies'!$AZ:$BP,17,FALSE),
IF(AND(Investment_Strategy="Lifecycle",Investment_Strategy_Sub1="Non-Standard"),VLOOKUP(Investment_Strategy&amp;"_"&amp;Investment_Strategy_Sub2&amp;"_"&amp;$A422,'Investment Strategies'!$C:$P,14,FALSE),
IF(AND(Investment_Strategy="Lifecycle",Investment_Strategy_Sub1="Standard"),VLOOKUP(Investment_Strategy&amp;"_"&amp;Investment_Strategy_Sub2&amp;"_"&amp;$A422,'Investment Strategies'!$AJ:$AV,13,FALSE),
IF(AND(Investment_Strategy="Autopilot",Investment_Strategy_Sub1="Non-Standard"),VLOOKUP(Investment_Strategy&amp;"_"&amp;Investment_Strategy_Sub2&amp;"_"&amp;$A422,'Investment Strategies'!$T:$AF,13,FALSE),
IF(Investment_Strategy="DIY",DIY_ExtManChrge_FuturePremiums,
"Error"))))))</f>
        <v>0</v>
      </c>
      <c r="W422" s="16">
        <f t="shared" si="267"/>
        <v>0</v>
      </c>
      <c r="X422" s="16">
        <f t="shared" si="243"/>
        <v>0</v>
      </c>
      <c r="Y422" s="16">
        <f t="shared" si="244"/>
        <v>0</v>
      </c>
      <c r="Z422" s="31">
        <f t="shared" si="245"/>
        <v>0.02</v>
      </c>
      <c r="AA422" s="16">
        <f t="shared" si="246"/>
        <v>0</v>
      </c>
      <c r="AB422" s="28">
        <f t="shared" si="268"/>
        <v>0</v>
      </c>
      <c r="AC422" s="28">
        <f>(SUM($AC$91:AC421)+SUM($X$91:X421)+X422)*T422*IF(D422=$A$91,SRP_finalmonthfactor,1)</f>
        <v>0</v>
      </c>
      <c r="AD422" s="16">
        <f t="shared" si="247"/>
        <v>0</v>
      </c>
      <c r="AE422" s="106"/>
      <c r="AF422" s="16">
        <f t="shared" si="256"/>
        <v>0</v>
      </c>
      <c r="AG422" s="16">
        <f t="shared" si="257"/>
        <v>0</v>
      </c>
      <c r="AH422" s="16">
        <f t="shared" si="258"/>
        <v>0</v>
      </c>
      <c r="AJ422" s="13">
        <f t="shared" si="269"/>
        <v>0</v>
      </c>
      <c r="AK422" s="13">
        <f t="shared" si="269"/>
        <v>0</v>
      </c>
      <c r="AL422" s="13">
        <f t="shared" si="269"/>
        <v>0</v>
      </c>
      <c r="AM422" s="13">
        <f t="shared" si="269"/>
        <v>0</v>
      </c>
      <c r="AN422" s="13">
        <f t="shared" si="269"/>
        <v>0</v>
      </c>
      <c r="AO422" s="13">
        <f t="shared" si="269"/>
        <v>1</v>
      </c>
      <c r="AP422" s="13">
        <f t="shared" si="269"/>
        <v>1</v>
      </c>
      <c r="AQ422" s="13">
        <f t="shared" si="269"/>
        <v>1</v>
      </c>
      <c r="AR422" s="13">
        <f t="shared" si="269"/>
        <v>0</v>
      </c>
      <c r="AS422" s="13">
        <f t="shared" si="269"/>
        <v>1</v>
      </c>
      <c r="AT422" s="13">
        <f t="shared" si="269"/>
        <v>1</v>
      </c>
      <c r="AU422" s="13">
        <f t="shared" si="269"/>
        <v>1</v>
      </c>
      <c r="AV422" s="13">
        <f t="shared" si="249"/>
        <v>0</v>
      </c>
      <c r="AW422" s="13">
        <f t="shared" si="250"/>
        <v>1</v>
      </c>
      <c r="AY422" s="17">
        <f t="shared" si="251"/>
        <v>332</v>
      </c>
      <c r="AZ422" s="28">
        <f t="shared" si="259"/>
        <v>0</v>
      </c>
      <c r="BA422" s="13">
        <f t="shared" si="252"/>
        <v>0</v>
      </c>
      <c r="BB422" s="13">
        <f t="shared" si="253"/>
        <v>0</v>
      </c>
      <c r="BC422" s="28">
        <f t="shared" si="260"/>
        <v>0</v>
      </c>
      <c r="BD422" s="28">
        <f t="shared" si="261"/>
        <v>0</v>
      </c>
      <c r="BF422" s="248">
        <f t="shared" si="262"/>
        <v>993869.29442638322</v>
      </c>
    </row>
    <row r="423" spans="1:58">
      <c r="A423" s="32">
        <f t="shared" si="263"/>
        <v>-248</v>
      </c>
      <c r="B423" s="32">
        <f t="shared" si="254"/>
        <v>80</v>
      </c>
      <c r="C423" s="32">
        <f t="shared" si="264"/>
        <v>28</v>
      </c>
      <c r="D423" s="32">
        <f t="shared" si="265"/>
        <v>333</v>
      </c>
      <c r="E423" s="74">
        <f>MIN(IF(AV423=0,0,
IF(Investment_Strategy="DIS",VLOOKUP(Investment_Strategy&amp;"_"&amp;Investment_Strategy_Sub1&amp;"_"&amp;$A423,'Investment Strategies'!$AZ:$BP,12,FALSE),
IF(AND(Investment_Strategy="Lifecycle",Investment_Strategy_Sub1="Non-Standard"),VLOOKUP(Investment_Strategy&amp;"_"&amp;Investment_Strategy_Sub2&amp;"_"&amp;$A423,'Investment Strategies'!$C:$P,9,FALSE),
IF(AND(Investment_Strategy="Lifecycle",Investment_Strategy_Sub1="Standard"),VLOOKUP(Investment_Strategy&amp;"_"&amp;Investment_Strategy_Sub2&amp;"_"&amp;$A423,'Investment Strategies'!$AJ:$AV,8,FALSE),
IF(AND(Investment_Strategy="Autopilot",Investment_Strategy_Sub1="Non-Standard"),VLOOKUP(Investment_Strategy&amp;"_"&amp;Investment_Strategy_Sub2&amp;"_"&amp;$A423,'Investment Strategies'!$T:$AF,8,FALSE),
IF(Investment_Strategy ="DIY",DIY_RateOfReturn_CurrentFunds,
"Error")))))),Max_InvReturn)</f>
        <v>0</v>
      </c>
      <c r="F423" s="62">
        <f>IF(AV423=0,0,
IF(Investment_Strategy="DIS",VLOOKUP(Investment_Strategy&amp;"_"&amp;Investment_Strategy_Sub1&amp;"_"&amp;$A423,'Investment Strategies'!$AZ:$BP,15,FALSE),
IF(AND(Investment_Strategy="Lifecycle",Investment_Strategy_Sub1="Non-Standard"),VLOOKUP(Investment_Strategy&amp;"_"&amp;Investment_Strategy_Sub2&amp;"_"&amp;$A423,'Investment Strategies'!$C:$P,12,FALSE),
IF(AND(Investment_Strategy="Lifecycle",Investment_Strategy_Sub1="Standard"),VLOOKUP(Investment_Strategy&amp;"_"&amp;Investment_Strategy_Sub2&amp;"_"&amp;$A423,'Investment Strategies'!$AJ:$AV,11,FALSE),
IF(AND(Investment_Strategy="Autopilot",Investment_Strategy_Sub1="Non-Standard"),VLOOKUP(Investment_Strategy&amp;"_"&amp;Investment_Strategy_Sub2&amp;"_"&amp;$A423,'Investment Strategies'!$T:$AF,11,FALSE),
IF(Investment_Strategy="DIY",DIY_GteeChrge_CurrentFunds,
"Error"))))))</f>
        <v>0</v>
      </c>
      <c r="G423" s="33">
        <f>IF(AV423=0,0,
IF(Investment_Strategy="DIS",VLOOKUP(Investment_Strategy&amp;"_"&amp;Investment_Strategy_Sub1&amp;"_"&amp;$A423,'Investment Strategies'!$AZ:$BP,17,FALSE),
IF(AND(Investment_Strategy="Lifecycle",Investment_Strategy_Sub1="Non-Standard"),VLOOKUP(Investment_Strategy&amp;"_"&amp;Investment_Strategy_Sub2&amp;"_"&amp;$A423,'Investment Strategies'!$C:$P,14,FALSE),
IF(AND(Investment_Strategy="Lifecycle",Investment_Strategy_Sub1="Standard"),VLOOKUP(Investment_Strategy&amp;"_"&amp;Investment_Strategy_Sub2&amp;"_"&amp;$A423,'Investment Strategies'!$AJ:$AV,13,FALSE),
IF(AND(Investment_Strategy="Autopilot",Investment_Strategy_Sub1="Non-Standard"),VLOOKUP(Investment_Strategy&amp;"_"&amp;Investment_Strategy_Sub2&amp;"_"&amp;$A423,'Investment Strategies'!$T:$AF,13,FALSE),
IF(Investment_Strategy="DIY",DIY_ExtManChrge_CurrentFunds,
"Error"))))))</f>
        <v>0</v>
      </c>
      <c r="H423" s="16">
        <f t="shared" si="255"/>
        <v>0</v>
      </c>
      <c r="I423" s="16">
        <f t="shared" si="240"/>
        <v>0</v>
      </c>
      <c r="J423" s="16">
        <f t="shared" si="241"/>
        <v>0</v>
      </c>
      <c r="K423" s="16">
        <f>(Opening_Fund_Value+SUM(K$91:K422))*E423*IF(D423=$A$91,SRP_finalmonthfactor,1)</f>
        <v>0</v>
      </c>
      <c r="L423" s="74">
        <f>MIN(IF($AV423=0,0,
IF(Investment_Strategy="DIS",VLOOKUP(Investment_Strategy&amp;"_"&amp;Investment_Strategy_Sub1&amp;"_"&amp;$A423,'Investment Strategies'!$AZ:$BP,12,FALSE),
IF(AND(Investment_Strategy="Lifecycle",Investment_Strategy_Sub1="Non-Standard"),VLOOKUP(Investment_Strategy&amp;"_"&amp;Investment_Strategy_Sub2&amp;"_"&amp;$A423,'Investment Strategies'!$C:$P,9,FALSE),
IF(AND(Investment_Strategy="Lifecycle",Investment_Strategy_Sub1="Standard"),VLOOKUP(Investment_Strategy&amp;"_"&amp;Investment_Strategy_Sub2&amp;"_"&amp;$A423,'Investment Strategies'!$AJ:$AV,8,FALSE),
IF(AND(Investment_Strategy="Autopilot",Investment_Strategy_Sub1="Non-Standard"),VLOOKUP(Investment_Strategy&amp;"_"&amp;Investment_Strategy_Sub2&amp;"_"&amp;$A423,'Investment Strategies'!$T:$AF,8,FALSE),
IF(Investment_Strategy ="DIY",DIY_RateofReturn_SP,
"Error")))))),Max_InvReturn)</f>
        <v>0</v>
      </c>
      <c r="M423" s="62">
        <f>IF($AV423=0,0,
IF(Investment_Strategy="DIS",VLOOKUP(Investment_Strategy&amp;"_"&amp;Investment_Strategy_Sub1&amp;"_"&amp;$A423,'Investment Strategies'!$AZ:$BP,15,FALSE),
IF(AND(Investment_Strategy="Lifecycle",Investment_Strategy_Sub1="Non-Standard"),VLOOKUP(Investment_Strategy&amp;"_"&amp;Investment_Strategy_Sub2&amp;"_"&amp;$A423,'Investment Strategies'!$C:$P,12,FALSE),
IF(AND(Investment_Strategy="Lifecycle",Investment_Strategy_Sub1="Standard"),VLOOKUP(Investment_Strategy&amp;"_"&amp;Investment_Strategy_Sub2&amp;"_"&amp;$A423,'Investment Strategies'!$AJ:$AV,11,FALSE),
IF(AND(Investment_Strategy="Autopilot",Investment_Strategy_Sub1="Non-Standard"),VLOOKUP(Investment_Strategy&amp;"_"&amp;Investment_Strategy_Sub2&amp;"_"&amp;$A423,'Investment Strategies'!$T:$AF,11,FALSE),
IF(Investment_Strategy="DIY",DIY_GteeChrge_SP,
"Error"))))))</f>
        <v>0</v>
      </c>
      <c r="N423" s="33">
        <f>IF($AV423=0,0,
IF(Investment_Strategy="DIS",VLOOKUP(Investment_Strategy&amp;"_"&amp;Investment_Strategy_Sub1&amp;"_"&amp;$A423,'Investment Strategies'!$AZ:$BP,17,FALSE),
IF(AND(Investment_Strategy="Lifecycle",Investment_Strategy_Sub1="Non-Standard"),VLOOKUP(Investment_Strategy&amp;"_"&amp;Investment_Strategy_Sub2&amp;"_"&amp;$A423,'Investment Strategies'!$C:$P,14,FALSE),
IF(AND(Investment_Strategy="Lifecycle",Investment_Strategy_Sub1="Standard"),VLOOKUP(Investment_Strategy&amp;"_"&amp;Investment_Strategy_Sub2&amp;"_"&amp;$A423,'Investment Strategies'!$AJ:$AV,13,FALSE),
IF(AND(Investment_Strategy="Autopilot",Investment_Strategy_Sub1="Non-Standard"),VLOOKUP(Investment_Strategy&amp;"_"&amp;Investment_Strategy_Sub2&amp;"_"&amp;$A423,'Investment Strategies'!$T:$AF,13,FALSE),
IF(Investment_Strategy="DIY",DIY_ExtManChrge_SP,
"Error"))))))</f>
        <v>0</v>
      </c>
      <c r="O423" s="16">
        <f t="shared" si="266"/>
        <v>0</v>
      </c>
      <c r="Q423" s="16">
        <f t="shared" si="242"/>
        <v>0</v>
      </c>
      <c r="R423" s="16">
        <f t="shared" si="239"/>
        <v>0</v>
      </c>
      <c r="S423" s="16">
        <f>(SRP_SP+SUM(S$91:S422))*L423*IF(D423=$A$91,SRP_finalmonthfactor,1)</f>
        <v>0</v>
      </c>
      <c r="T423" s="74">
        <f>MIN(IF($AV423=0,0,
IF(Investment_Strategy="DIS",VLOOKUP(Investment_Strategy&amp;"_"&amp;Investment_Strategy_Sub1&amp;"_"&amp;$A423,'Investment Strategies'!$AZ:$BP,12,FALSE),
IF(AND(Investment_Strategy="Lifecycle",Investment_Strategy_Sub1="Non-Standard"),VLOOKUP(Investment_Strategy&amp;"_"&amp;Investment_Strategy_Sub2&amp;"_"&amp;$A423,'Investment Strategies'!$C:$P,9,FALSE),
IF(AND(Investment_Strategy="Lifecycle",Investment_Strategy_Sub1="Standard"),VLOOKUP(Investment_Strategy&amp;"_"&amp;Investment_Strategy_Sub2&amp;"_"&amp;$A423,'Investment Strategies'!$AJ:$AV,8,FALSE),
IF(AND(Investment_Strategy="Autopilot",Investment_Strategy_Sub1="Non-Standard"),VLOOKUP(Investment_Strategy&amp;"_"&amp;Investment_Strategy_Sub2&amp;"_"&amp;$A423,'Investment Strategies'!$T:$AF,8,FALSE),
IF(Investment_Strategy ="DIY",DIY_RateOfReturn_FuturePremiums,
"Error")))))),Max_InvReturn)</f>
        <v>0</v>
      </c>
      <c r="U423" s="62">
        <f>IF($AV423=0,0,
IF(Investment_Strategy="DIS",VLOOKUP(Investment_Strategy&amp;"_"&amp;Investment_Strategy_Sub1&amp;"_"&amp;$A423,'Investment Strategies'!$AZ:$BP,15,FALSE),
IF(AND(Investment_Strategy="Lifecycle",Investment_Strategy_Sub1="Non-Standard"),VLOOKUP(Investment_Strategy&amp;"_"&amp;Investment_Strategy_Sub2&amp;"_"&amp;$A423,'Investment Strategies'!$C:$P,12,FALSE),
IF(AND(Investment_Strategy="Lifecycle",Investment_Strategy_Sub1="Standard"),VLOOKUP(Investment_Strategy&amp;"_"&amp;Investment_Strategy_Sub2&amp;"_"&amp;$A423,'Investment Strategies'!$AJ:$AV,11,FALSE),
IF(AND(Investment_Strategy="Autopilot",Investment_Strategy_Sub1="Non-Standard"),VLOOKUP(Investment_Strategy&amp;"_"&amp;Investment_Strategy_Sub2&amp;"_"&amp;$A423,'Investment Strategies'!$T:$AF,11,FALSE),
IF(Investment_Strategy="DIY",DIY_GteeChrge_FuturePremiums,
"Error"))))))</f>
        <v>0</v>
      </c>
      <c r="V423" s="33">
        <f>IF(AV423=0,0,
IF(Investment_Strategy="DIS",VLOOKUP(Investment_Strategy&amp;"_"&amp;Investment_Strategy_Sub1&amp;"_"&amp;$A423,'Investment Strategies'!$AZ:$BP,17,FALSE),
IF(AND(Investment_Strategy="Lifecycle",Investment_Strategy_Sub1="Non-Standard"),VLOOKUP(Investment_Strategy&amp;"_"&amp;Investment_Strategy_Sub2&amp;"_"&amp;$A423,'Investment Strategies'!$C:$P,14,FALSE),
IF(AND(Investment_Strategy="Lifecycle",Investment_Strategy_Sub1="Standard"),VLOOKUP(Investment_Strategy&amp;"_"&amp;Investment_Strategy_Sub2&amp;"_"&amp;$A423,'Investment Strategies'!$AJ:$AV,13,FALSE),
IF(AND(Investment_Strategy="Autopilot",Investment_Strategy_Sub1="Non-Standard"),VLOOKUP(Investment_Strategy&amp;"_"&amp;Investment_Strategy_Sub2&amp;"_"&amp;$A423,'Investment Strategies'!$T:$AF,13,FALSE),
IF(Investment_Strategy="DIY",DIY_ExtManChrge_FuturePremiums,
"Error"))))))</f>
        <v>0</v>
      </c>
      <c r="W423" s="16">
        <f t="shared" si="267"/>
        <v>0</v>
      </c>
      <c r="X423" s="16">
        <f t="shared" si="243"/>
        <v>0</v>
      </c>
      <c r="Y423" s="16">
        <f t="shared" si="244"/>
        <v>0</v>
      </c>
      <c r="Z423" s="31">
        <f t="shared" si="245"/>
        <v>0.02</v>
      </c>
      <c r="AA423" s="16">
        <f t="shared" si="246"/>
        <v>0</v>
      </c>
      <c r="AB423" s="28">
        <f t="shared" si="268"/>
        <v>0</v>
      </c>
      <c r="AC423" s="28">
        <f>(SUM($AC$91:AC422)+SUM($X$91:X422)+X423)*T423*IF(D423=$A$91,SRP_finalmonthfactor,1)</f>
        <v>0</v>
      </c>
      <c r="AD423" s="16">
        <f t="shared" si="247"/>
        <v>0</v>
      </c>
      <c r="AE423" s="106"/>
      <c r="AF423" s="16">
        <f t="shared" si="256"/>
        <v>0</v>
      </c>
      <c r="AG423" s="16">
        <f t="shared" si="257"/>
        <v>0</v>
      </c>
      <c r="AH423" s="16">
        <f t="shared" si="258"/>
        <v>0</v>
      </c>
      <c r="AJ423" s="13">
        <f t="shared" si="269"/>
        <v>0</v>
      </c>
      <c r="AK423" s="13">
        <f t="shared" si="269"/>
        <v>0</v>
      </c>
      <c r="AL423" s="13">
        <f t="shared" si="269"/>
        <v>0</v>
      </c>
      <c r="AM423" s="13">
        <f t="shared" si="269"/>
        <v>0</v>
      </c>
      <c r="AN423" s="13">
        <f t="shared" si="269"/>
        <v>0</v>
      </c>
      <c r="AO423" s="13">
        <f t="shared" si="269"/>
        <v>1</v>
      </c>
      <c r="AP423" s="13">
        <f t="shared" si="269"/>
        <v>1</v>
      </c>
      <c r="AQ423" s="13">
        <f t="shared" si="269"/>
        <v>1</v>
      </c>
      <c r="AR423" s="13">
        <f t="shared" si="269"/>
        <v>0</v>
      </c>
      <c r="AS423" s="13">
        <f t="shared" si="269"/>
        <v>1</v>
      </c>
      <c r="AT423" s="13">
        <f t="shared" si="269"/>
        <v>1</v>
      </c>
      <c r="AU423" s="13">
        <f t="shared" si="269"/>
        <v>1</v>
      </c>
      <c r="AV423" s="13">
        <f t="shared" si="249"/>
        <v>0</v>
      </c>
      <c r="AW423" s="13">
        <f t="shared" si="250"/>
        <v>1</v>
      </c>
      <c r="AY423" s="17">
        <f t="shared" si="251"/>
        <v>333</v>
      </c>
      <c r="AZ423" s="28">
        <f t="shared" si="259"/>
        <v>0</v>
      </c>
      <c r="BA423" s="13">
        <f t="shared" si="252"/>
        <v>0</v>
      </c>
      <c r="BB423" s="13">
        <f t="shared" si="253"/>
        <v>0</v>
      </c>
      <c r="BC423" s="28">
        <f t="shared" si="260"/>
        <v>0</v>
      </c>
      <c r="BD423" s="28">
        <f t="shared" si="261"/>
        <v>0</v>
      </c>
      <c r="BF423" s="248">
        <f t="shared" si="262"/>
        <v>993869.29442638322</v>
      </c>
    </row>
    <row r="424" spans="1:58">
      <c r="A424" s="32">
        <f t="shared" si="263"/>
        <v>-249</v>
      </c>
      <c r="B424" s="32">
        <f t="shared" si="254"/>
        <v>80</v>
      </c>
      <c r="C424" s="32">
        <f t="shared" si="264"/>
        <v>28</v>
      </c>
      <c r="D424" s="32">
        <f t="shared" si="265"/>
        <v>334</v>
      </c>
      <c r="E424" s="74">
        <f>MIN(IF(AV424=0,0,
IF(Investment_Strategy="DIS",VLOOKUP(Investment_Strategy&amp;"_"&amp;Investment_Strategy_Sub1&amp;"_"&amp;$A424,'Investment Strategies'!$AZ:$BP,12,FALSE),
IF(AND(Investment_Strategy="Lifecycle",Investment_Strategy_Sub1="Non-Standard"),VLOOKUP(Investment_Strategy&amp;"_"&amp;Investment_Strategy_Sub2&amp;"_"&amp;$A424,'Investment Strategies'!$C:$P,9,FALSE),
IF(AND(Investment_Strategy="Lifecycle",Investment_Strategy_Sub1="Standard"),VLOOKUP(Investment_Strategy&amp;"_"&amp;Investment_Strategy_Sub2&amp;"_"&amp;$A424,'Investment Strategies'!$AJ:$AV,8,FALSE),
IF(AND(Investment_Strategy="Autopilot",Investment_Strategy_Sub1="Non-Standard"),VLOOKUP(Investment_Strategy&amp;"_"&amp;Investment_Strategy_Sub2&amp;"_"&amp;$A424,'Investment Strategies'!$T:$AF,8,FALSE),
IF(Investment_Strategy ="DIY",DIY_RateOfReturn_CurrentFunds,
"Error")))))),Max_InvReturn)</f>
        <v>0</v>
      </c>
      <c r="F424" s="62">
        <f>IF(AV424=0,0,
IF(Investment_Strategy="DIS",VLOOKUP(Investment_Strategy&amp;"_"&amp;Investment_Strategy_Sub1&amp;"_"&amp;$A424,'Investment Strategies'!$AZ:$BP,15,FALSE),
IF(AND(Investment_Strategy="Lifecycle",Investment_Strategy_Sub1="Non-Standard"),VLOOKUP(Investment_Strategy&amp;"_"&amp;Investment_Strategy_Sub2&amp;"_"&amp;$A424,'Investment Strategies'!$C:$P,12,FALSE),
IF(AND(Investment_Strategy="Lifecycle",Investment_Strategy_Sub1="Standard"),VLOOKUP(Investment_Strategy&amp;"_"&amp;Investment_Strategy_Sub2&amp;"_"&amp;$A424,'Investment Strategies'!$AJ:$AV,11,FALSE),
IF(AND(Investment_Strategy="Autopilot",Investment_Strategy_Sub1="Non-Standard"),VLOOKUP(Investment_Strategy&amp;"_"&amp;Investment_Strategy_Sub2&amp;"_"&amp;$A424,'Investment Strategies'!$T:$AF,11,FALSE),
IF(Investment_Strategy="DIY",DIY_GteeChrge_CurrentFunds,
"Error"))))))</f>
        <v>0</v>
      </c>
      <c r="G424" s="33">
        <f>IF(AV424=0,0,
IF(Investment_Strategy="DIS",VLOOKUP(Investment_Strategy&amp;"_"&amp;Investment_Strategy_Sub1&amp;"_"&amp;$A424,'Investment Strategies'!$AZ:$BP,17,FALSE),
IF(AND(Investment_Strategy="Lifecycle",Investment_Strategy_Sub1="Non-Standard"),VLOOKUP(Investment_Strategy&amp;"_"&amp;Investment_Strategy_Sub2&amp;"_"&amp;$A424,'Investment Strategies'!$C:$P,14,FALSE),
IF(AND(Investment_Strategy="Lifecycle",Investment_Strategy_Sub1="Standard"),VLOOKUP(Investment_Strategy&amp;"_"&amp;Investment_Strategy_Sub2&amp;"_"&amp;$A424,'Investment Strategies'!$AJ:$AV,13,FALSE),
IF(AND(Investment_Strategy="Autopilot",Investment_Strategy_Sub1="Non-Standard"),VLOOKUP(Investment_Strategy&amp;"_"&amp;Investment_Strategy_Sub2&amp;"_"&amp;$A424,'Investment Strategies'!$T:$AF,13,FALSE),
IF(Investment_Strategy="DIY",DIY_ExtManChrge_CurrentFunds,
"Error"))))))</f>
        <v>0</v>
      </c>
      <c r="H424" s="16">
        <f t="shared" si="255"/>
        <v>0</v>
      </c>
      <c r="I424" s="16">
        <f t="shared" si="240"/>
        <v>0</v>
      </c>
      <c r="J424" s="16">
        <f t="shared" si="241"/>
        <v>0</v>
      </c>
      <c r="K424" s="16">
        <f>(Opening_Fund_Value+SUM(K$91:K423))*E424*IF(D424=$A$91,SRP_finalmonthfactor,1)</f>
        <v>0</v>
      </c>
      <c r="L424" s="74">
        <f>MIN(IF($AV424=0,0,
IF(Investment_Strategy="DIS",VLOOKUP(Investment_Strategy&amp;"_"&amp;Investment_Strategy_Sub1&amp;"_"&amp;$A424,'Investment Strategies'!$AZ:$BP,12,FALSE),
IF(AND(Investment_Strategy="Lifecycle",Investment_Strategy_Sub1="Non-Standard"),VLOOKUP(Investment_Strategy&amp;"_"&amp;Investment_Strategy_Sub2&amp;"_"&amp;$A424,'Investment Strategies'!$C:$P,9,FALSE),
IF(AND(Investment_Strategy="Lifecycle",Investment_Strategy_Sub1="Standard"),VLOOKUP(Investment_Strategy&amp;"_"&amp;Investment_Strategy_Sub2&amp;"_"&amp;$A424,'Investment Strategies'!$AJ:$AV,8,FALSE),
IF(AND(Investment_Strategy="Autopilot",Investment_Strategy_Sub1="Non-Standard"),VLOOKUP(Investment_Strategy&amp;"_"&amp;Investment_Strategy_Sub2&amp;"_"&amp;$A424,'Investment Strategies'!$T:$AF,8,FALSE),
IF(Investment_Strategy ="DIY",DIY_RateofReturn_SP,
"Error")))))),Max_InvReturn)</f>
        <v>0</v>
      </c>
      <c r="M424" s="62">
        <f>IF($AV424=0,0,
IF(Investment_Strategy="DIS",VLOOKUP(Investment_Strategy&amp;"_"&amp;Investment_Strategy_Sub1&amp;"_"&amp;$A424,'Investment Strategies'!$AZ:$BP,15,FALSE),
IF(AND(Investment_Strategy="Lifecycle",Investment_Strategy_Sub1="Non-Standard"),VLOOKUP(Investment_Strategy&amp;"_"&amp;Investment_Strategy_Sub2&amp;"_"&amp;$A424,'Investment Strategies'!$C:$P,12,FALSE),
IF(AND(Investment_Strategy="Lifecycle",Investment_Strategy_Sub1="Standard"),VLOOKUP(Investment_Strategy&amp;"_"&amp;Investment_Strategy_Sub2&amp;"_"&amp;$A424,'Investment Strategies'!$AJ:$AV,11,FALSE),
IF(AND(Investment_Strategy="Autopilot",Investment_Strategy_Sub1="Non-Standard"),VLOOKUP(Investment_Strategy&amp;"_"&amp;Investment_Strategy_Sub2&amp;"_"&amp;$A424,'Investment Strategies'!$T:$AF,11,FALSE),
IF(Investment_Strategy="DIY",DIY_GteeChrge_SP,
"Error"))))))</f>
        <v>0</v>
      </c>
      <c r="N424" s="33">
        <f>IF($AV424=0,0,
IF(Investment_Strategy="DIS",VLOOKUP(Investment_Strategy&amp;"_"&amp;Investment_Strategy_Sub1&amp;"_"&amp;$A424,'Investment Strategies'!$AZ:$BP,17,FALSE),
IF(AND(Investment_Strategy="Lifecycle",Investment_Strategy_Sub1="Non-Standard"),VLOOKUP(Investment_Strategy&amp;"_"&amp;Investment_Strategy_Sub2&amp;"_"&amp;$A424,'Investment Strategies'!$C:$P,14,FALSE),
IF(AND(Investment_Strategy="Lifecycle",Investment_Strategy_Sub1="Standard"),VLOOKUP(Investment_Strategy&amp;"_"&amp;Investment_Strategy_Sub2&amp;"_"&amp;$A424,'Investment Strategies'!$AJ:$AV,13,FALSE),
IF(AND(Investment_Strategy="Autopilot",Investment_Strategy_Sub1="Non-Standard"),VLOOKUP(Investment_Strategy&amp;"_"&amp;Investment_Strategy_Sub2&amp;"_"&amp;$A424,'Investment Strategies'!$T:$AF,13,FALSE),
IF(Investment_Strategy="DIY",DIY_ExtManChrge_SP,
"Error"))))))</f>
        <v>0</v>
      </c>
      <c r="O424" s="16">
        <f t="shared" si="266"/>
        <v>0</v>
      </c>
      <c r="Q424" s="16">
        <f t="shared" si="242"/>
        <v>0</v>
      </c>
      <c r="R424" s="16">
        <f t="shared" si="239"/>
        <v>0</v>
      </c>
      <c r="S424" s="16">
        <f>(SRP_SP+SUM(S$91:S423))*L424*IF(D424=$A$91,SRP_finalmonthfactor,1)</f>
        <v>0</v>
      </c>
      <c r="T424" s="74">
        <f>MIN(IF($AV424=0,0,
IF(Investment_Strategy="DIS",VLOOKUP(Investment_Strategy&amp;"_"&amp;Investment_Strategy_Sub1&amp;"_"&amp;$A424,'Investment Strategies'!$AZ:$BP,12,FALSE),
IF(AND(Investment_Strategy="Lifecycle",Investment_Strategy_Sub1="Non-Standard"),VLOOKUP(Investment_Strategy&amp;"_"&amp;Investment_Strategy_Sub2&amp;"_"&amp;$A424,'Investment Strategies'!$C:$P,9,FALSE),
IF(AND(Investment_Strategy="Lifecycle",Investment_Strategy_Sub1="Standard"),VLOOKUP(Investment_Strategy&amp;"_"&amp;Investment_Strategy_Sub2&amp;"_"&amp;$A424,'Investment Strategies'!$AJ:$AV,8,FALSE),
IF(AND(Investment_Strategy="Autopilot",Investment_Strategy_Sub1="Non-Standard"),VLOOKUP(Investment_Strategy&amp;"_"&amp;Investment_Strategy_Sub2&amp;"_"&amp;$A424,'Investment Strategies'!$T:$AF,8,FALSE),
IF(Investment_Strategy ="DIY",DIY_RateOfReturn_FuturePremiums,
"Error")))))),Max_InvReturn)</f>
        <v>0</v>
      </c>
      <c r="U424" s="62">
        <f>IF($AV424=0,0,
IF(Investment_Strategy="DIS",VLOOKUP(Investment_Strategy&amp;"_"&amp;Investment_Strategy_Sub1&amp;"_"&amp;$A424,'Investment Strategies'!$AZ:$BP,15,FALSE),
IF(AND(Investment_Strategy="Lifecycle",Investment_Strategy_Sub1="Non-Standard"),VLOOKUP(Investment_Strategy&amp;"_"&amp;Investment_Strategy_Sub2&amp;"_"&amp;$A424,'Investment Strategies'!$C:$P,12,FALSE),
IF(AND(Investment_Strategy="Lifecycle",Investment_Strategy_Sub1="Standard"),VLOOKUP(Investment_Strategy&amp;"_"&amp;Investment_Strategy_Sub2&amp;"_"&amp;$A424,'Investment Strategies'!$AJ:$AV,11,FALSE),
IF(AND(Investment_Strategy="Autopilot",Investment_Strategy_Sub1="Non-Standard"),VLOOKUP(Investment_Strategy&amp;"_"&amp;Investment_Strategy_Sub2&amp;"_"&amp;$A424,'Investment Strategies'!$T:$AF,11,FALSE),
IF(Investment_Strategy="DIY",DIY_GteeChrge_FuturePremiums,
"Error"))))))</f>
        <v>0</v>
      </c>
      <c r="V424" s="33">
        <f>IF(AV424=0,0,
IF(Investment_Strategy="DIS",VLOOKUP(Investment_Strategy&amp;"_"&amp;Investment_Strategy_Sub1&amp;"_"&amp;$A424,'Investment Strategies'!$AZ:$BP,17,FALSE),
IF(AND(Investment_Strategy="Lifecycle",Investment_Strategy_Sub1="Non-Standard"),VLOOKUP(Investment_Strategy&amp;"_"&amp;Investment_Strategy_Sub2&amp;"_"&amp;$A424,'Investment Strategies'!$C:$P,14,FALSE),
IF(AND(Investment_Strategy="Lifecycle",Investment_Strategy_Sub1="Standard"),VLOOKUP(Investment_Strategy&amp;"_"&amp;Investment_Strategy_Sub2&amp;"_"&amp;$A424,'Investment Strategies'!$AJ:$AV,13,FALSE),
IF(AND(Investment_Strategy="Autopilot",Investment_Strategy_Sub1="Non-Standard"),VLOOKUP(Investment_Strategy&amp;"_"&amp;Investment_Strategy_Sub2&amp;"_"&amp;$A424,'Investment Strategies'!$T:$AF,13,FALSE),
IF(Investment_Strategy="DIY",DIY_ExtManChrge_FuturePremiums,
"Error"))))))</f>
        <v>0</v>
      </c>
      <c r="W424" s="16">
        <f t="shared" si="267"/>
        <v>0</v>
      </c>
      <c r="X424" s="16">
        <f t="shared" si="243"/>
        <v>0</v>
      </c>
      <c r="Y424" s="16">
        <f t="shared" si="244"/>
        <v>0</v>
      </c>
      <c r="Z424" s="31">
        <f t="shared" si="245"/>
        <v>0.02</v>
      </c>
      <c r="AA424" s="16">
        <f t="shared" si="246"/>
        <v>0</v>
      </c>
      <c r="AB424" s="28">
        <f t="shared" si="268"/>
        <v>0</v>
      </c>
      <c r="AC424" s="28">
        <f>(SUM($AC$91:AC423)+SUM($X$91:X423)+X424)*T424*IF(D424=$A$91,SRP_finalmonthfactor,1)</f>
        <v>0</v>
      </c>
      <c r="AD424" s="16">
        <f t="shared" si="247"/>
        <v>0</v>
      </c>
      <c r="AE424" s="106"/>
      <c r="AF424" s="16">
        <f t="shared" si="256"/>
        <v>0</v>
      </c>
      <c r="AG424" s="16">
        <f t="shared" si="257"/>
        <v>0</v>
      </c>
      <c r="AH424" s="16">
        <f t="shared" si="258"/>
        <v>0</v>
      </c>
      <c r="AJ424" s="13">
        <f t="shared" si="269"/>
        <v>0</v>
      </c>
      <c r="AK424" s="13">
        <f t="shared" si="269"/>
        <v>0</v>
      </c>
      <c r="AL424" s="13">
        <f t="shared" si="269"/>
        <v>0</v>
      </c>
      <c r="AM424" s="13">
        <f t="shared" si="269"/>
        <v>0</v>
      </c>
      <c r="AN424" s="13">
        <f t="shared" si="269"/>
        <v>0</v>
      </c>
      <c r="AO424" s="13">
        <f t="shared" si="269"/>
        <v>1</v>
      </c>
      <c r="AP424" s="13">
        <f t="shared" si="269"/>
        <v>1</v>
      </c>
      <c r="AQ424" s="13">
        <f t="shared" si="269"/>
        <v>1</v>
      </c>
      <c r="AR424" s="13">
        <f t="shared" si="269"/>
        <v>0</v>
      </c>
      <c r="AS424" s="13">
        <f t="shared" si="269"/>
        <v>1</v>
      </c>
      <c r="AT424" s="13">
        <f t="shared" si="269"/>
        <v>1</v>
      </c>
      <c r="AU424" s="13">
        <f t="shared" si="269"/>
        <v>1</v>
      </c>
      <c r="AV424" s="13">
        <f t="shared" si="249"/>
        <v>0</v>
      </c>
      <c r="AW424" s="13">
        <f t="shared" si="250"/>
        <v>1</v>
      </c>
      <c r="AY424" s="17">
        <f t="shared" si="251"/>
        <v>334</v>
      </c>
      <c r="AZ424" s="28">
        <f t="shared" si="259"/>
        <v>0</v>
      </c>
      <c r="BA424" s="13">
        <f t="shared" si="252"/>
        <v>0</v>
      </c>
      <c r="BB424" s="13">
        <f t="shared" si="253"/>
        <v>0</v>
      </c>
      <c r="BC424" s="28">
        <f t="shared" si="260"/>
        <v>0</v>
      </c>
      <c r="BD424" s="28">
        <f t="shared" si="261"/>
        <v>0</v>
      </c>
      <c r="BF424" s="248">
        <f t="shared" si="262"/>
        <v>993869.29442638322</v>
      </c>
    </row>
    <row r="425" spans="1:58">
      <c r="A425" s="32">
        <f t="shared" si="263"/>
        <v>-250</v>
      </c>
      <c r="B425" s="32">
        <f t="shared" si="254"/>
        <v>80</v>
      </c>
      <c r="C425" s="32">
        <f t="shared" si="264"/>
        <v>28</v>
      </c>
      <c r="D425" s="32">
        <f t="shared" si="265"/>
        <v>335</v>
      </c>
      <c r="E425" s="74">
        <f>MIN(IF(AV425=0,0,
IF(Investment_Strategy="DIS",VLOOKUP(Investment_Strategy&amp;"_"&amp;Investment_Strategy_Sub1&amp;"_"&amp;$A425,'Investment Strategies'!$AZ:$BP,12,FALSE),
IF(AND(Investment_Strategy="Lifecycle",Investment_Strategy_Sub1="Non-Standard"),VLOOKUP(Investment_Strategy&amp;"_"&amp;Investment_Strategy_Sub2&amp;"_"&amp;$A425,'Investment Strategies'!$C:$P,9,FALSE),
IF(AND(Investment_Strategy="Lifecycle",Investment_Strategy_Sub1="Standard"),VLOOKUP(Investment_Strategy&amp;"_"&amp;Investment_Strategy_Sub2&amp;"_"&amp;$A425,'Investment Strategies'!$AJ:$AV,8,FALSE),
IF(AND(Investment_Strategy="Autopilot",Investment_Strategy_Sub1="Non-Standard"),VLOOKUP(Investment_Strategy&amp;"_"&amp;Investment_Strategy_Sub2&amp;"_"&amp;$A425,'Investment Strategies'!$T:$AF,8,FALSE),
IF(Investment_Strategy ="DIY",DIY_RateOfReturn_CurrentFunds,
"Error")))))),Max_InvReturn)</f>
        <v>0</v>
      </c>
      <c r="F425" s="62">
        <f>IF(AV425=0,0,
IF(Investment_Strategy="DIS",VLOOKUP(Investment_Strategy&amp;"_"&amp;Investment_Strategy_Sub1&amp;"_"&amp;$A425,'Investment Strategies'!$AZ:$BP,15,FALSE),
IF(AND(Investment_Strategy="Lifecycle",Investment_Strategy_Sub1="Non-Standard"),VLOOKUP(Investment_Strategy&amp;"_"&amp;Investment_Strategy_Sub2&amp;"_"&amp;$A425,'Investment Strategies'!$C:$P,12,FALSE),
IF(AND(Investment_Strategy="Lifecycle",Investment_Strategy_Sub1="Standard"),VLOOKUP(Investment_Strategy&amp;"_"&amp;Investment_Strategy_Sub2&amp;"_"&amp;$A425,'Investment Strategies'!$AJ:$AV,11,FALSE),
IF(AND(Investment_Strategy="Autopilot",Investment_Strategy_Sub1="Non-Standard"),VLOOKUP(Investment_Strategy&amp;"_"&amp;Investment_Strategy_Sub2&amp;"_"&amp;$A425,'Investment Strategies'!$T:$AF,11,FALSE),
IF(Investment_Strategy="DIY",DIY_GteeChrge_CurrentFunds,
"Error"))))))</f>
        <v>0</v>
      </c>
      <c r="G425" s="33">
        <f>IF(AV425=0,0,
IF(Investment_Strategy="DIS",VLOOKUP(Investment_Strategy&amp;"_"&amp;Investment_Strategy_Sub1&amp;"_"&amp;$A425,'Investment Strategies'!$AZ:$BP,17,FALSE),
IF(AND(Investment_Strategy="Lifecycle",Investment_Strategy_Sub1="Non-Standard"),VLOOKUP(Investment_Strategy&amp;"_"&amp;Investment_Strategy_Sub2&amp;"_"&amp;$A425,'Investment Strategies'!$C:$P,14,FALSE),
IF(AND(Investment_Strategy="Lifecycle",Investment_Strategy_Sub1="Standard"),VLOOKUP(Investment_Strategy&amp;"_"&amp;Investment_Strategy_Sub2&amp;"_"&amp;$A425,'Investment Strategies'!$AJ:$AV,13,FALSE),
IF(AND(Investment_Strategy="Autopilot",Investment_Strategy_Sub1="Non-Standard"),VLOOKUP(Investment_Strategy&amp;"_"&amp;Investment_Strategy_Sub2&amp;"_"&amp;$A425,'Investment Strategies'!$T:$AF,13,FALSE),
IF(Investment_Strategy="DIY",DIY_ExtManChrge_CurrentFunds,
"Error"))))))</f>
        <v>0</v>
      </c>
      <c r="H425" s="16">
        <f t="shared" si="255"/>
        <v>0</v>
      </c>
      <c r="I425" s="16">
        <f t="shared" si="240"/>
        <v>0</v>
      </c>
      <c r="J425" s="16">
        <f t="shared" si="241"/>
        <v>0</v>
      </c>
      <c r="K425" s="16">
        <f>(Opening_Fund_Value+SUM(K$91:K424))*E425*IF(D425=$A$91,SRP_finalmonthfactor,1)</f>
        <v>0</v>
      </c>
      <c r="L425" s="74">
        <f>MIN(IF($AV425=0,0,
IF(Investment_Strategy="DIS",VLOOKUP(Investment_Strategy&amp;"_"&amp;Investment_Strategy_Sub1&amp;"_"&amp;$A425,'Investment Strategies'!$AZ:$BP,12,FALSE),
IF(AND(Investment_Strategy="Lifecycle",Investment_Strategy_Sub1="Non-Standard"),VLOOKUP(Investment_Strategy&amp;"_"&amp;Investment_Strategy_Sub2&amp;"_"&amp;$A425,'Investment Strategies'!$C:$P,9,FALSE),
IF(AND(Investment_Strategy="Lifecycle",Investment_Strategy_Sub1="Standard"),VLOOKUP(Investment_Strategy&amp;"_"&amp;Investment_Strategy_Sub2&amp;"_"&amp;$A425,'Investment Strategies'!$AJ:$AV,8,FALSE),
IF(AND(Investment_Strategy="Autopilot",Investment_Strategy_Sub1="Non-Standard"),VLOOKUP(Investment_Strategy&amp;"_"&amp;Investment_Strategy_Sub2&amp;"_"&amp;$A425,'Investment Strategies'!$T:$AF,8,FALSE),
IF(Investment_Strategy ="DIY",DIY_RateofReturn_SP,
"Error")))))),Max_InvReturn)</f>
        <v>0</v>
      </c>
      <c r="M425" s="62">
        <f>IF($AV425=0,0,
IF(Investment_Strategy="DIS",VLOOKUP(Investment_Strategy&amp;"_"&amp;Investment_Strategy_Sub1&amp;"_"&amp;$A425,'Investment Strategies'!$AZ:$BP,15,FALSE),
IF(AND(Investment_Strategy="Lifecycle",Investment_Strategy_Sub1="Non-Standard"),VLOOKUP(Investment_Strategy&amp;"_"&amp;Investment_Strategy_Sub2&amp;"_"&amp;$A425,'Investment Strategies'!$C:$P,12,FALSE),
IF(AND(Investment_Strategy="Lifecycle",Investment_Strategy_Sub1="Standard"),VLOOKUP(Investment_Strategy&amp;"_"&amp;Investment_Strategy_Sub2&amp;"_"&amp;$A425,'Investment Strategies'!$AJ:$AV,11,FALSE),
IF(AND(Investment_Strategy="Autopilot",Investment_Strategy_Sub1="Non-Standard"),VLOOKUP(Investment_Strategy&amp;"_"&amp;Investment_Strategy_Sub2&amp;"_"&amp;$A425,'Investment Strategies'!$T:$AF,11,FALSE),
IF(Investment_Strategy="DIY",DIY_GteeChrge_SP,
"Error"))))))</f>
        <v>0</v>
      </c>
      <c r="N425" s="33">
        <f>IF($AV425=0,0,
IF(Investment_Strategy="DIS",VLOOKUP(Investment_Strategy&amp;"_"&amp;Investment_Strategy_Sub1&amp;"_"&amp;$A425,'Investment Strategies'!$AZ:$BP,17,FALSE),
IF(AND(Investment_Strategy="Lifecycle",Investment_Strategy_Sub1="Non-Standard"),VLOOKUP(Investment_Strategy&amp;"_"&amp;Investment_Strategy_Sub2&amp;"_"&amp;$A425,'Investment Strategies'!$C:$P,14,FALSE),
IF(AND(Investment_Strategy="Lifecycle",Investment_Strategy_Sub1="Standard"),VLOOKUP(Investment_Strategy&amp;"_"&amp;Investment_Strategy_Sub2&amp;"_"&amp;$A425,'Investment Strategies'!$AJ:$AV,13,FALSE),
IF(AND(Investment_Strategy="Autopilot",Investment_Strategy_Sub1="Non-Standard"),VLOOKUP(Investment_Strategy&amp;"_"&amp;Investment_Strategy_Sub2&amp;"_"&amp;$A425,'Investment Strategies'!$T:$AF,13,FALSE),
IF(Investment_Strategy="DIY",DIY_ExtManChrge_SP,
"Error"))))))</f>
        <v>0</v>
      </c>
      <c r="O425" s="16">
        <f t="shared" si="266"/>
        <v>0</v>
      </c>
      <c r="Q425" s="16">
        <f t="shared" si="242"/>
        <v>0</v>
      </c>
      <c r="R425" s="16">
        <f t="shared" si="239"/>
        <v>0</v>
      </c>
      <c r="S425" s="16">
        <f>(SRP_SP+SUM(S$91:S424))*L425*IF(D425=$A$91,SRP_finalmonthfactor,1)</f>
        <v>0</v>
      </c>
      <c r="T425" s="74">
        <f>MIN(IF($AV425=0,0,
IF(Investment_Strategy="DIS",VLOOKUP(Investment_Strategy&amp;"_"&amp;Investment_Strategy_Sub1&amp;"_"&amp;$A425,'Investment Strategies'!$AZ:$BP,12,FALSE),
IF(AND(Investment_Strategy="Lifecycle",Investment_Strategy_Sub1="Non-Standard"),VLOOKUP(Investment_Strategy&amp;"_"&amp;Investment_Strategy_Sub2&amp;"_"&amp;$A425,'Investment Strategies'!$C:$P,9,FALSE),
IF(AND(Investment_Strategy="Lifecycle",Investment_Strategy_Sub1="Standard"),VLOOKUP(Investment_Strategy&amp;"_"&amp;Investment_Strategy_Sub2&amp;"_"&amp;$A425,'Investment Strategies'!$AJ:$AV,8,FALSE),
IF(AND(Investment_Strategy="Autopilot",Investment_Strategy_Sub1="Non-Standard"),VLOOKUP(Investment_Strategy&amp;"_"&amp;Investment_Strategy_Sub2&amp;"_"&amp;$A425,'Investment Strategies'!$T:$AF,8,FALSE),
IF(Investment_Strategy ="DIY",DIY_RateOfReturn_FuturePremiums,
"Error")))))),Max_InvReturn)</f>
        <v>0</v>
      </c>
      <c r="U425" s="62">
        <f>IF($AV425=0,0,
IF(Investment_Strategy="DIS",VLOOKUP(Investment_Strategy&amp;"_"&amp;Investment_Strategy_Sub1&amp;"_"&amp;$A425,'Investment Strategies'!$AZ:$BP,15,FALSE),
IF(AND(Investment_Strategy="Lifecycle",Investment_Strategy_Sub1="Non-Standard"),VLOOKUP(Investment_Strategy&amp;"_"&amp;Investment_Strategy_Sub2&amp;"_"&amp;$A425,'Investment Strategies'!$C:$P,12,FALSE),
IF(AND(Investment_Strategy="Lifecycle",Investment_Strategy_Sub1="Standard"),VLOOKUP(Investment_Strategy&amp;"_"&amp;Investment_Strategy_Sub2&amp;"_"&amp;$A425,'Investment Strategies'!$AJ:$AV,11,FALSE),
IF(AND(Investment_Strategy="Autopilot",Investment_Strategy_Sub1="Non-Standard"),VLOOKUP(Investment_Strategy&amp;"_"&amp;Investment_Strategy_Sub2&amp;"_"&amp;$A425,'Investment Strategies'!$T:$AF,11,FALSE),
IF(Investment_Strategy="DIY",DIY_GteeChrge_FuturePremiums,
"Error"))))))</f>
        <v>0</v>
      </c>
      <c r="V425" s="33">
        <f>IF(AV425=0,0,
IF(Investment_Strategy="DIS",VLOOKUP(Investment_Strategy&amp;"_"&amp;Investment_Strategy_Sub1&amp;"_"&amp;$A425,'Investment Strategies'!$AZ:$BP,17,FALSE),
IF(AND(Investment_Strategy="Lifecycle",Investment_Strategy_Sub1="Non-Standard"),VLOOKUP(Investment_Strategy&amp;"_"&amp;Investment_Strategy_Sub2&amp;"_"&amp;$A425,'Investment Strategies'!$C:$P,14,FALSE),
IF(AND(Investment_Strategy="Lifecycle",Investment_Strategy_Sub1="Standard"),VLOOKUP(Investment_Strategy&amp;"_"&amp;Investment_Strategy_Sub2&amp;"_"&amp;$A425,'Investment Strategies'!$AJ:$AV,13,FALSE),
IF(AND(Investment_Strategy="Autopilot",Investment_Strategy_Sub1="Non-Standard"),VLOOKUP(Investment_Strategy&amp;"_"&amp;Investment_Strategy_Sub2&amp;"_"&amp;$A425,'Investment Strategies'!$T:$AF,13,FALSE),
IF(Investment_Strategy="DIY",DIY_ExtManChrge_FuturePremiums,
"Error"))))))</f>
        <v>0</v>
      </c>
      <c r="W425" s="16">
        <f t="shared" si="267"/>
        <v>0</v>
      </c>
      <c r="X425" s="16">
        <f t="shared" si="243"/>
        <v>0</v>
      </c>
      <c r="Y425" s="16">
        <f t="shared" si="244"/>
        <v>0</v>
      </c>
      <c r="Z425" s="31">
        <f t="shared" si="245"/>
        <v>0.02</v>
      </c>
      <c r="AA425" s="16">
        <f t="shared" si="246"/>
        <v>0</v>
      </c>
      <c r="AB425" s="28">
        <f t="shared" si="268"/>
        <v>0</v>
      </c>
      <c r="AC425" s="28">
        <f>(SUM($AC$91:AC424)+SUM($X$91:X424)+X425)*T425*IF(D425=$A$91,SRP_finalmonthfactor,1)</f>
        <v>0</v>
      </c>
      <c r="AD425" s="16">
        <f t="shared" si="247"/>
        <v>0</v>
      </c>
      <c r="AE425" s="106"/>
      <c r="AF425" s="16">
        <f t="shared" si="256"/>
        <v>0</v>
      </c>
      <c r="AG425" s="16">
        <f t="shared" si="257"/>
        <v>0</v>
      </c>
      <c r="AH425" s="16">
        <f t="shared" si="258"/>
        <v>0</v>
      </c>
      <c r="AJ425" s="13">
        <f t="shared" si="269"/>
        <v>0</v>
      </c>
      <c r="AK425" s="13">
        <f t="shared" si="269"/>
        <v>0</v>
      </c>
      <c r="AL425" s="13">
        <f t="shared" si="269"/>
        <v>0</v>
      </c>
      <c r="AM425" s="13">
        <f t="shared" si="269"/>
        <v>0</v>
      </c>
      <c r="AN425" s="13">
        <f t="shared" si="269"/>
        <v>0</v>
      </c>
      <c r="AO425" s="13">
        <f t="shared" si="269"/>
        <v>1</v>
      </c>
      <c r="AP425" s="13">
        <f t="shared" si="269"/>
        <v>1</v>
      </c>
      <c r="AQ425" s="13">
        <f t="shared" si="269"/>
        <v>1</v>
      </c>
      <c r="AR425" s="13">
        <f t="shared" si="269"/>
        <v>0</v>
      </c>
      <c r="AS425" s="13">
        <f t="shared" si="269"/>
        <v>1</v>
      </c>
      <c r="AT425" s="13">
        <f t="shared" si="269"/>
        <v>1</v>
      </c>
      <c r="AU425" s="13">
        <f t="shared" si="269"/>
        <v>1</v>
      </c>
      <c r="AV425" s="13">
        <f t="shared" si="249"/>
        <v>0</v>
      </c>
      <c r="AW425" s="13">
        <f t="shared" si="250"/>
        <v>1</v>
      </c>
      <c r="AY425" s="17">
        <f t="shared" si="251"/>
        <v>335</v>
      </c>
      <c r="AZ425" s="28">
        <f t="shared" si="259"/>
        <v>0</v>
      </c>
      <c r="BA425" s="13">
        <f t="shared" si="252"/>
        <v>0</v>
      </c>
      <c r="BB425" s="13">
        <f t="shared" si="253"/>
        <v>0</v>
      </c>
      <c r="BC425" s="28">
        <f t="shared" si="260"/>
        <v>0</v>
      </c>
      <c r="BD425" s="28">
        <f t="shared" si="261"/>
        <v>0</v>
      </c>
      <c r="BF425" s="248">
        <f t="shared" si="262"/>
        <v>993869.29442638322</v>
      </c>
    </row>
    <row r="426" spans="1:58">
      <c r="A426" s="32">
        <f t="shared" si="263"/>
        <v>-251</v>
      </c>
      <c r="B426" s="32">
        <f t="shared" si="254"/>
        <v>80</v>
      </c>
      <c r="C426" s="32">
        <f t="shared" si="264"/>
        <v>28</v>
      </c>
      <c r="D426" s="32">
        <f t="shared" si="265"/>
        <v>336</v>
      </c>
      <c r="E426" s="74">
        <f>MIN(IF(AV426=0,0,
IF(Investment_Strategy="DIS",VLOOKUP(Investment_Strategy&amp;"_"&amp;Investment_Strategy_Sub1&amp;"_"&amp;$A426,'Investment Strategies'!$AZ:$BP,12,FALSE),
IF(AND(Investment_Strategy="Lifecycle",Investment_Strategy_Sub1="Non-Standard"),VLOOKUP(Investment_Strategy&amp;"_"&amp;Investment_Strategy_Sub2&amp;"_"&amp;$A426,'Investment Strategies'!$C:$P,9,FALSE),
IF(AND(Investment_Strategy="Lifecycle",Investment_Strategy_Sub1="Standard"),VLOOKUP(Investment_Strategy&amp;"_"&amp;Investment_Strategy_Sub2&amp;"_"&amp;$A426,'Investment Strategies'!$AJ:$AV,8,FALSE),
IF(AND(Investment_Strategy="Autopilot",Investment_Strategy_Sub1="Non-Standard"),VLOOKUP(Investment_Strategy&amp;"_"&amp;Investment_Strategy_Sub2&amp;"_"&amp;$A426,'Investment Strategies'!$T:$AF,8,FALSE),
IF(Investment_Strategy ="DIY",DIY_RateOfReturn_CurrentFunds,
"Error")))))),Max_InvReturn)</f>
        <v>0</v>
      </c>
      <c r="F426" s="62">
        <f>IF(AV426=0,0,
IF(Investment_Strategy="DIS",VLOOKUP(Investment_Strategy&amp;"_"&amp;Investment_Strategy_Sub1&amp;"_"&amp;$A426,'Investment Strategies'!$AZ:$BP,15,FALSE),
IF(AND(Investment_Strategy="Lifecycle",Investment_Strategy_Sub1="Non-Standard"),VLOOKUP(Investment_Strategy&amp;"_"&amp;Investment_Strategy_Sub2&amp;"_"&amp;$A426,'Investment Strategies'!$C:$P,12,FALSE),
IF(AND(Investment_Strategy="Lifecycle",Investment_Strategy_Sub1="Standard"),VLOOKUP(Investment_Strategy&amp;"_"&amp;Investment_Strategy_Sub2&amp;"_"&amp;$A426,'Investment Strategies'!$AJ:$AV,11,FALSE),
IF(AND(Investment_Strategy="Autopilot",Investment_Strategy_Sub1="Non-Standard"),VLOOKUP(Investment_Strategy&amp;"_"&amp;Investment_Strategy_Sub2&amp;"_"&amp;$A426,'Investment Strategies'!$T:$AF,11,FALSE),
IF(Investment_Strategy="DIY",DIY_GteeChrge_CurrentFunds,
"Error"))))))</f>
        <v>0</v>
      </c>
      <c r="G426" s="33">
        <f>IF(AV426=0,0,
IF(Investment_Strategy="DIS",VLOOKUP(Investment_Strategy&amp;"_"&amp;Investment_Strategy_Sub1&amp;"_"&amp;$A426,'Investment Strategies'!$AZ:$BP,17,FALSE),
IF(AND(Investment_Strategy="Lifecycle",Investment_Strategy_Sub1="Non-Standard"),VLOOKUP(Investment_Strategy&amp;"_"&amp;Investment_Strategy_Sub2&amp;"_"&amp;$A426,'Investment Strategies'!$C:$P,14,FALSE),
IF(AND(Investment_Strategy="Lifecycle",Investment_Strategy_Sub1="Standard"),VLOOKUP(Investment_Strategy&amp;"_"&amp;Investment_Strategy_Sub2&amp;"_"&amp;$A426,'Investment Strategies'!$AJ:$AV,13,FALSE),
IF(AND(Investment_Strategy="Autopilot",Investment_Strategy_Sub1="Non-Standard"),VLOOKUP(Investment_Strategy&amp;"_"&amp;Investment_Strategy_Sub2&amp;"_"&amp;$A426,'Investment Strategies'!$T:$AF,13,FALSE),
IF(Investment_Strategy="DIY",DIY_ExtManChrge_CurrentFunds,
"Error"))))))</f>
        <v>0</v>
      </c>
      <c r="H426" s="16">
        <f t="shared" si="255"/>
        <v>0</v>
      </c>
      <c r="I426" s="16">
        <f t="shared" si="240"/>
        <v>0</v>
      </c>
      <c r="J426" s="16">
        <f t="shared" si="241"/>
        <v>0</v>
      </c>
      <c r="K426" s="16">
        <f>(Opening_Fund_Value+SUM(K$91:K425))*E426*IF(D426=$A$91,SRP_finalmonthfactor,1)</f>
        <v>0</v>
      </c>
      <c r="L426" s="74">
        <f>MIN(IF($AV426=0,0,
IF(Investment_Strategy="DIS",VLOOKUP(Investment_Strategy&amp;"_"&amp;Investment_Strategy_Sub1&amp;"_"&amp;$A426,'Investment Strategies'!$AZ:$BP,12,FALSE),
IF(AND(Investment_Strategy="Lifecycle",Investment_Strategy_Sub1="Non-Standard"),VLOOKUP(Investment_Strategy&amp;"_"&amp;Investment_Strategy_Sub2&amp;"_"&amp;$A426,'Investment Strategies'!$C:$P,9,FALSE),
IF(AND(Investment_Strategy="Lifecycle",Investment_Strategy_Sub1="Standard"),VLOOKUP(Investment_Strategy&amp;"_"&amp;Investment_Strategy_Sub2&amp;"_"&amp;$A426,'Investment Strategies'!$AJ:$AV,8,FALSE),
IF(AND(Investment_Strategy="Autopilot",Investment_Strategy_Sub1="Non-Standard"),VLOOKUP(Investment_Strategy&amp;"_"&amp;Investment_Strategy_Sub2&amp;"_"&amp;$A426,'Investment Strategies'!$T:$AF,8,FALSE),
IF(Investment_Strategy ="DIY",DIY_RateofReturn_SP,
"Error")))))),Max_InvReturn)</f>
        <v>0</v>
      </c>
      <c r="M426" s="62">
        <f>IF($AV426=0,0,
IF(Investment_Strategy="DIS",VLOOKUP(Investment_Strategy&amp;"_"&amp;Investment_Strategy_Sub1&amp;"_"&amp;$A426,'Investment Strategies'!$AZ:$BP,15,FALSE),
IF(AND(Investment_Strategy="Lifecycle",Investment_Strategy_Sub1="Non-Standard"),VLOOKUP(Investment_Strategy&amp;"_"&amp;Investment_Strategy_Sub2&amp;"_"&amp;$A426,'Investment Strategies'!$C:$P,12,FALSE),
IF(AND(Investment_Strategy="Lifecycle",Investment_Strategy_Sub1="Standard"),VLOOKUP(Investment_Strategy&amp;"_"&amp;Investment_Strategy_Sub2&amp;"_"&amp;$A426,'Investment Strategies'!$AJ:$AV,11,FALSE),
IF(AND(Investment_Strategy="Autopilot",Investment_Strategy_Sub1="Non-Standard"),VLOOKUP(Investment_Strategy&amp;"_"&amp;Investment_Strategy_Sub2&amp;"_"&amp;$A426,'Investment Strategies'!$T:$AF,11,FALSE),
IF(Investment_Strategy="DIY",DIY_GteeChrge_SP,
"Error"))))))</f>
        <v>0</v>
      </c>
      <c r="N426" s="33">
        <f>IF($AV426=0,0,
IF(Investment_Strategy="DIS",VLOOKUP(Investment_Strategy&amp;"_"&amp;Investment_Strategy_Sub1&amp;"_"&amp;$A426,'Investment Strategies'!$AZ:$BP,17,FALSE),
IF(AND(Investment_Strategy="Lifecycle",Investment_Strategy_Sub1="Non-Standard"),VLOOKUP(Investment_Strategy&amp;"_"&amp;Investment_Strategy_Sub2&amp;"_"&amp;$A426,'Investment Strategies'!$C:$P,14,FALSE),
IF(AND(Investment_Strategy="Lifecycle",Investment_Strategy_Sub1="Standard"),VLOOKUP(Investment_Strategy&amp;"_"&amp;Investment_Strategy_Sub2&amp;"_"&amp;$A426,'Investment Strategies'!$AJ:$AV,13,FALSE),
IF(AND(Investment_Strategy="Autopilot",Investment_Strategy_Sub1="Non-Standard"),VLOOKUP(Investment_Strategy&amp;"_"&amp;Investment_Strategy_Sub2&amp;"_"&amp;$A426,'Investment Strategies'!$T:$AF,13,FALSE),
IF(Investment_Strategy="DIY",DIY_ExtManChrge_SP,
"Error"))))))</f>
        <v>0</v>
      </c>
      <c r="O426" s="16">
        <f t="shared" si="266"/>
        <v>0</v>
      </c>
      <c r="Q426" s="16">
        <f t="shared" si="242"/>
        <v>0</v>
      </c>
      <c r="R426" s="16">
        <f t="shared" si="239"/>
        <v>0</v>
      </c>
      <c r="S426" s="16">
        <f>(SRP_SP+SUM(S$91:S425))*L426*IF(D426=$A$91,SRP_finalmonthfactor,1)</f>
        <v>0</v>
      </c>
      <c r="T426" s="74">
        <f>MIN(IF($AV426=0,0,
IF(Investment_Strategy="DIS",VLOOKUP(Investment_Strategy&amp;"_"&amp;Investment_Strategy_Sub1&amp;"_"&amp;$A426,'Investment Strategies'!$AZ:$BP,12,FALSE),
IF(AND(Investment_Strategy="Lifecycle",Investment_Strategy_Sub1="Non-Standard"),VLOOKUP(Investment_Strategy&amp;"_"&amp;Investment_Strategy_Sub2&amp;"_"&amp;$A426,'Investment Strategies'!$C:$P,9,FALSE),
IF(AND(Investment_Strategy="Lifecycle",Investment_Strategy_Sub1="Standard"),VLOOKUP(Investment_Strategy&amp;"_"&amp;Investment_Strategy_Sub2&amp;"_"&amp;$A426,'Investment Strategies'!$AJ:$AV,8,FALSE),
IF(AND(Investment_Strategy="Autopilot",Investment_Strategy_Sub1="Non-Standard"),VLOOKUP(Investment_Strategy&amp;"_"&amp;Investment_Strategy_Sub2&amp;"_"&amp;$A426,'Investment Strategies'!$T:$AF,8,FALSE),
IF(Investment_Strategy ="DIY",DIY_RateOfReturn_FuturePremiums,
"Error")))))),Max_InvReturn)</f>
        <v>0</v>
      </c>
      <c r="U426" s="62">
        <f>IF($AV426=0,0,
IF(Investment_Strategy="DIS",VLOOKUP(Investment_Strategy&amp;"_"&amp;Investment_Strategy_Sub1&amp;"_"&amp;$A426,'Investment Strategies'!$AZ:$BP,15,FALSE),
IF(AND(Investment_Strategy="Lifecycle",Investment_Strategy_Sub1="Non-Standard"),VLOOKUP(Investment_Strategy&amp;"_"&amp;Investment_Strategy_Sub2&amp;"_"&amp;$A426,'Investment Strategies'!$C:$P,12,FALSE),
IF(AND(Investment_Strategy="Lifecycle",Investment_Strategy_Sub1="Standard"),VLOOKUP(Investment_Strategy&amp;"_"&amp;Investment_Strategy_Sub2&amp;"_"&amp;$A426,'Investment Strategies'!$AJ:$AV,11,FALSE),
IF(AND(Investment_Strategy="Autopilot",Investment_Strategy_Sub1="Non-Standard"),VLOOKUP(Investment_Strategy&amp;"_"&amp;Investment_Strategy_Sub2&amp;"_"&amp;$A426,'Investment Strategies'!$T:$AF,11,FALSE),
IF(Investment_Strategy="DIY",DIY_GteeChrge_FuturePremiums,
"Error"))))))</f>
        <v>0</v>
      </c>
      <c r="V426" s="33">
        <f>IF(AV426=0,0,
IF(Investment_Strategy="DIS",VLOOKUP(Investment_Strategy&amp;"_"&amp;Investment_Strategy_Sub1&amp;"_"&amp;$A426,'Investment Strategies'!$AZ:$BP,17,FALSE),
IF(AND(Investment_Strategy="Lifecycle",Investment_Strategy_Sub1="Non-Standard"),VLOOKUP(Investment_Strategy&amp;"_"&amp;Investment_Strategy_Sub2&amp;"_"&amp;$A426,'Investment Strategies'!$C:$P,14,FALSE),
IF(AND(Investment_Strategy="Lifecycle",Investment_Strategy_Sub1="Standard"),VLOOKUP(Investment_Strategy&amp;"_"&amp;Investment_Strategy_Sub2&amp;"_"&amp;$A426,'Investment Strategies'!$AJ:$AV,13,FALSE),
IF(AND(Investment_Strategy="Autopilot",Investment_Strategy_Sub1="Non-Standard"),VLOOKUP(Investment_Strategy&amp;"_"&amp;Investment_Strategy_Sub2&amp;"_"&amp;$A426,'Investment Strategies'!$T:$AF,13,FALSE),
IF(Investment_Strategy="DIY",DIY_ExtManChrge_FuturePremiums,
"Error"))))))</f>
        <v>0</v>
      </c>
      <c r="W426" s="16">
        <f t="shared" si="267"/>
        <v>0</v>
      </c>
      <c r="X426" s="16">
        <f t="shared" si="243"/>
        <v>0</v>
      </c>
      <c r="Y426" s="16">
        <f t="shared" si="244"/>
        <v>0</v>
      </c>
      <c r="Z426" s="31">
        <f t="shared" si="245"/>
        <v>0.02</v>
      </c>
      <c r="AA426" s="16">
        <f t="shared" si="246"/>
        <v>0</v>
      </c>
      <c r="AB426" s="28">
        <f t="shared" si="268"/>
        <v>0</v>
      </c>
      <c r="AC426" s="28">
        <f>(SUM($AC$91:AC425)+SUM($X$91:X425)+X426)*T426*IF(D426=$A$91,SRP_finalmonthfactor,1)</f>
        <v>0</v>
      </c>
      <c r="AD426" s="16">
        <f t="shared" si="247"/>
        <v>0</v>
      </c>
      <c r="AE426" s="106"/>
      <c r="AF426" s="16">
        <f t="shared" si="256"/>
        <v>0</v>
      </c>
      <c r="AG426" s="16">
        <f t="shared" si="257"/>
        <v>0</v>
      </c>
      <c r="AH426" s="16">
        <f t="shared" si="258"/>
        <v>0</v>
      </c>
      <c r="AJ426" s="13">
        <f t="shared" si="269"/>
        <v>0</v>
      </c>
      <c r="AK426" s="13">
        <f t="shared" si="269"/>
        <v>0</v>
      </c>
      <c r="AL426" s="13">
        <f t="shared" si="269"/>
        <v>0</v>
      </c>
      <c r="AM426" s="13">
        <f t="shared" si="269"/>
        <v>0</v>
      </c>
      <c r="AN426" s="13">
        <f t="shared" si="269"/>
        <v>0</v>
      </c>
      <c r="AO426" s="13">
        <f t="shared" si="269"/>
        <v>1</v>
      </c>
      <c r="AP426" s="13">
        <f t="shared" si="269"/>
        <v>1</v>
      </c>
      <c r="AQ426" s="13">
        <f t="shared" si="269"/>
        <v>1</v>
      </c>
      <c r="AR426" s="13">
        <f t="shared" si="269"/>
        <v>0</v>
      </c>
      <c r="AS426" s="13">
        <f t="shared" si="269"/>
        <v>1</v>
      </c>
      <c r="AT426" s="13">
        <f t="shared" si="269"/>
        <v>1</v>
      </c>
      <c r="AU426" s="13">
        <f t="shared" si="269"/>
        <v>1</v>
      </c>
      <c r="AV426" s="13">
        <f t="shared" si="249"/>
        <v>0</v>
      </c>
      <c r="AW426" s="13">
        <f t="shared" si="250"/>
        <v>1</v>
      </c>
      <c r="AY426" s="17">
        <f t="shared" si="251"/>
        <v>336</v>
      </c>
      <c r="AZ426" s="28">
        <f t="shared" si="259"/>
        <v>0</v>
      </c>
      <c r="BA426" s="13">
        <f t="shared" si="252"/>
        <v>0</v>
      </c>
      <c r="BB426" s="13">
        <f t="shared" si="253"/>
        <v>0</v>
      </c>
      <c r="BC426" s="28">
        <f t="shared" si="260"/>
        <v>0</v>
      </c>
      <c r="BD426" s="28">
        <f t="shared" si="261"/>
        <v>0</v>
      </c>
      <c r="BF426" s="248">
        <f t="shared" si="262"/>
        <v>993869.29442638322</v>
      </c>
    </row>
    <row r="427" spans="1:58">
      <c r="A427" s="32">
        <f t="shared" si="263"/>
        <v>-252</v>
      </c>
      <c r="B427" s="32">
        <f t="shared" si="254"/>
        <v>81</v>
      </c>
      <c r="C427" s="32">
        <f t="shared" si="264"/>
        <v>29</v>
      </c>
      <c r="D427" s="32">
        <f t="shared" si="265"/>
        <v>337</v>
      </c>
      <c r="E427" s="74">
        <f>MIN(IF(AV427=0,0,
IF(Investment_Strategy="DIS",VLOOKUP(Investment_Strategy&amp;"_"&amp;Investment_Strategy_Sub1&amp;"_"&amp;$A427,'Investment Strategies'!$AZ:$BP,12,FALSE),
IF(AND(Investment_Strategy="Lifecycle",Investment_Strategy_Sub1="Non-Standard"),VLOOKUP(Investment_Strategy&amp;"_"&amp;Investment_Strategy_Sub2&amp;"_"&amp;$A427,'Investment Strategies'!$C:$P,9,FALSE),
IF(AND(Investment_Strategy="Lifecycle",Investment_Strategy_Sub1="Standard"),VLOOKUP(Investment_Strategy&amp;"_"&amp;Investment_Strategy_Sub2&amp;"_"&amp;$A427,'Investment Strategies'!$AJ:$AV,8,FALSE),
IF(AND(Investment_Strategy="Autopilot",Investment_Strategy_Sub1="Non-Standard"),VLOOKUP(Investment_Strategy&amp;"_"&amp;Investment_Strategy_Sub2&amp;"_"&amp;$A427,'Investment Strategies'!$T:$AF,8,FALSE),
IF(Investment_Strategy ="DIY",DIY_RateOfReturn_CurrentFunds,
"Error")))))),Max_InvReturn)</f>
        <v>0</v>
      </c>
      <c r="F427" s="62">
        <f>IF(AV427=0,0,
IF(Investment_Strategy="DIS",VLOOKUP(Investment_Strategy&amp;"_"&amp;Investment_Strategy_Sub1&amp;"_"&amp;$A427,'Investment Strategies'!$AZ:$BP,15,FALSE),
IF(AND(Investment_Strategy="Lifecycle",Investment_Strategy_Sub1="Non-Standard"),VLOOKUP(Investment_Strategy&amp;"_"&amp;Investment_Strategy_Sub2&amp;"_"&amp;$A427,'Investment Strategies'!$C:$P,12,FALSE),
IF(AND(Investment_Strategy="Lifecycle",Investment_Strategy_Sub1="Standard"),VLOOKUP(Investment_Strategy&amp;"_"&amp;Investment_Strategy_Sub2&amp;"_"&amp;$A427,'Investment Strategies'!$AJ:$AV,11,FALSE),
IF(AND(Investment_Strategy="Autopilot",Investment_Strategy_Sub1="Non-Standard"),VLOOKUP(Investment_Strategy&amp;"_"&amp;Investment_Strategy_Sub2&amp;"_"&amp;$A427,'Investment Strategies'!$T:$AF,11,FALSE),
IF(Investment_Strategy="DIY",DIY_GteeChrge_CurrentFunds,
"Error"))))))</f>
        <v>0</v>
      </c>
      <c r="G427" s="33">
        <f>IF(AV427=0,0,
IF(Investment_Strategy="DIS",VLOOKUP(Investment_Strategy&amp;"_"&amp;Investment_Strategy_Sub1&amp;"_"&amp;$A427,'Investment Strategies'!$AZ:$BP,17,FALSE),
IF(AND(Investment_Strategy="Lifecycle",Investment_Strategy_Sub1="Non-Standard"),VLOOKUP(Investment_Strategy&amp;"_"&amp;Investment_Strategy_Sub2&amp;"_"&amp;$A427,'Investment Strategies'!$C:$P,14,FALSE),
IF(AND(Investment_Strategy="Lifecycle",Investment_Strategy_Sub1="Standard"),VLOOKUP(Investment_Strategy&amp;"_"&amp;Investment_Strategy_Sub2&amp;"_"&amp;$A427,'Investment Strategies'!$AJ:$AV,13,FALSE),
IF(AND(Investment_Strategy="Autopilot",Investment_Strategy_Sub1="Non-Standard"),VLOOKUP(Investment_Strategy&amp;"_"&amp;Investment_Strategy_Sub2&amp;"_"&amp;$A427,'Investment Strategies'!$T:$AF,13,FALSE),
IF(Investment_Strategy="DIY",DIY_ExtManChrge_CurrentFunds,
"Error"))))))</f>
        <v>0</v>
      </c>
      <c r="H427" s="16">
        <f t="shared" si="255"/>
        <v>0</v>
      </c>
      <c r="I427" s="16">
        <f t="shared" si="240"/>
        <v>0</v>
      </c>
      <c r="J427" s="16">
        <f t="shared" si="241"/>
        <v>0</v>
      </c>
      <c r="K427" s="16">
        <f>(Opening_Fund_Value+SUM(K$91:K426))*E427*IF(D427=$A$91,SRP_finalmonthfactor,1)</f>
        <v>0</v>
      </c>
      <c r="L427" s="74">
        <f>MIN(IF($AV427=0,0,
IF(Investment_Strategy="DIS",VLOOKUP(Investment_Strategy&amp;"_"&amp;Investment_Strategy_Sub1&amp;"_"&amp;$A427,'Investment Strategies'!$AZ:$BP,12,FALSE),
IF(AND(Investment_Strategy="Lifecycle",Investment_Strategy_Sub1="Non-Standard"),VLOOKUP(Investment_Strategy&amp;"_"&amp;Investment_Strategy_Sub2&amp;"_"&amp;$A427,'Investment Strategies'!$C:$P,9,FALSE),
IF(AND(Investment_Strategy="Lifecycle",Investment_Strategy_Sub1="Standard"),VLOOKUP(Investment_Strategy&amp;"_"&amp;Investment_Strategy_Sub2&amp;"_"&amp;$A427,'Investment Strategies'!$AJ:$AV,8,FALSE),
IF(AND(Investment_Strategy="Autopilot",Investment_Strategy_Sub1="Non-Standard"),VLOOKUP(Investment_Strategy&amp;"_"&amp;Investment_Strategy_Sub2&amp;"_"&amp;$A427,'Investment Strategies'!$T:$AF,8,FALSE),
IF(Investment_Strategy ="DIY",DIY_RateofReturn_SP,
"Error")))))),Max_InvReturn)</f>
        <v>0</v>
      </c>
      <c r="M427" s="62">
        <f>IF($AV427=0,0,
IF(Investment_Strategy="DIS",VLOOKUP(Investment_Strategy&amp;"_"&amp;Investment_Strategy_Sub1&amp;"_"&amp;$A427,'Investment Strategies'!$AZ:$BP,15,FALSE),
IF(AND(Investment_Strategy="Lifecycle",Investment_Strategy_Sub1="Non-Standard"),VLOOKUP(Investment_Strategy&amp;"_"&amp;Investment_Strategy_Sub2&amp;"_"&amp;$A427,'Investment Strategies'!$C:$P,12,FALSE),
IF(AND(Investment_Strategy="Lifecycle",Investment_Strategy_Sub1="Standard"),VLOOKUP(Investment_Strategy&amp;"_"&amp;Investment_Strategy_Sub2&amp;"_"&amp;$A427,'Investment Strategies'!$AJ:$AV,11,FALSE),
IF(AND(Investment_Strategy="Autopilot",Investment_Strategy_Sub1="Non-Standard"),VLOOKUP(Investment_Strategy&amp;"_"&amp;Investment_Strategy_Sub2&amp;"_"&amp;$A427,'Investment Strategies'!$T:$AF,11,FALSE),
IF(Investment_Strategy="DIY",DIY_GteeChrge_SP,
"Error"))))))</f>
        <v>0</v>
      </c>
      <c r="N427" s="33">
        <f>IF($AV427=0,0,
IF(Investment_Strategy="DIS",VLOOKUP(Investment_Strategy&amp;"_"&amp;Investment_Strategy_Sub1&amp;"_"&amp;$A427,'Investment Strategies'!$AZ:$BP,17,FALSE),
IF(AND(Investment_Strategy="Lifecycle",Investment_Strategy_Sub1="Non-Standard"),VLOOKUP(Investment_Strategy&amp;"_"&amp;Investment_Strategy_Sub2&amp;"_"&amp;$A427,'Investment Strategies'!$C:$P,14,FALSE),
IF(AND(Investment_Strategy="Lifecycle",Investment_Strategy_Sub1="Standard"),VLOOKUP(Investment_Strategy&amp;"_"&amp;Investment_Strategy_Sub2&amp;"_"&amp;$A427,'Investment Strategies'!$AJ:$AV,13,FALSE),
IF(AND(Investment_Strategy="Autopilot",Investment_Strategy_Sub1="Non-Standard"),VLOOKUP(Investment_Strategy&amp;"_"&amp;Investment_Strategy_Sub2&amp;"_"&amp;$A427,'Investment Strategies'!$T:$AF,13,FALSE),
IF(Investment_Strategy="DIY",DIY_ExtManChrge_SP,
"Error"))))))</f>
        <v>0</v>
      </c>
      <c r="O427" s="16">
        <f t="shared" si="266"/>
        <v>0</v>
      </c>
      <c r="Q427" s="16">
        <f t="shared" si="242"/>
        <v>0</v>
      </c>
      <c r="R427" s="16">
        <f t="shared" si="239"/>
        <v>0</v>
      </c>
      <c r="S427" s="16">
        <f>(SRP_SP+SUM(S$91:S426))*L427*IF(D427=$A$91,SRP_finalmonthfactor,1)</f>
        <v>0</v>
      </c>
      <c r="T427" s="74">
        <f>MIN(IF($AV427=0,0,
IF(Investment_Strategy="DIS",VLOOKUP(Investment_Strategy&amp;"_"&amp;Investment_Strategy_Sub1&amp;"_"&amp;$A427,'Investment Strategies'!$AZ:$BP,12,FALSE),
IF(AND(Investment_Strategy="Lifecycle",Investment_Strategy_Sub1="Non-Standard"),VLOOKUP(Investment_Strategy&amp;"_"&amp;Investment_Strategy_Sub2&amp;"_"&amp;$A427,'Investment Strategies'!$C:$P,9,FALSE),
IF(AND(Investment_Strategy="Lifecycle",Investment_Strategy_Sub1="Standard"),VLOOKUP(Investment_Strategy&amp;"_"&amp;Investment_Strategy_Sub2&amp;"_"&amp;$A427,'Investment Strategies'!$AJ:$AV,8,FALSE),
IF(AND(Investment_Strategy="Autopilot",Investment_Strategy_Sub1="Non-Standard"),VLOOKUP(Investment_Strategy&amp;"_"&amp;Investment_Strategy_Sub2&amp;"_"&amp;$A427,'Investment Strategies'!$T:$AF,8,FALSE),
IF(Investment_Strategy ="DIY",DIY_RateOfReturn_FuturePremiums,
"Error")))))),Max_InvReturn)</f>
        <v>0</v>
      </c>
      <c r="U427" s="62">
        <f>IF($AV427=0,0,
IF(Investment_Strategy="DIS",VLOOKUP(Investment_Strategy&amp;"_"&amp;Investment_Strategy_Sub1&amp;"_"&amp;$A427,'Investment Strategies'!$AZ:$BP,15,FALSE),
IF(AND(Investment_Strategy="Lifecycle",Investment_Strategy_Sub1="Non-Standard"),VLOOKUP(Investment_Strategy&amp;"_"&amp;Investment_Strategy_Sub2&amp;"_"&amp;$A427,'Investment Strategies'!$C:$P,12,FALSE),
IF(AND(Investment_Strategy="Lifecycle",Investment_Strategy_Sub1="Standard"),VLOOKUP(Investment_Strategy&amp;"_"&amp;Investment_Strategy_Sub2&amp;"_"&amp;$A427,'Investment Strategies'!$AJ:$AV,11,FALSE),
IF(AND(Investment_Strategy="Autopilot",Investment_Strategy_Sub1="Non-Standard"),VLOOKUP(Investment_Strategy&amp;"_"&amp;Investment_Strategy_Sub2&amp;"_"&amp;$A427,'Investment Strategies'!$T:$AF,11,FALSE),
IF(Investment_Strategy="DIY",DIY_GteeChrge_FuturePremiums,
"Error"))))))</f>
        <v>0</v>
      </c>
      <c r="V427" s="33">
        <f>IF(AV427=0,0,
IF(Investment_Strategy="DIS",VLOOKUP(Investment_Strategy&amp;"_"&amp;Investment_Strategy_Sub1&amp;"_"&amp;$A427,'Investment Strategies'!$AZ:$BP,17,FALSE),
IF(AND(Investment_Strategy="Lifecycle",Investment_Strategy_Sub1="Non-Standard"),VLOOKUP(Investment_Strategy&amp;"_"&amp;Investment_Strategy_Sub2&amp;"_"&amp;$A427,'Investment Strategies'!$C:$P,14,FALSE),
IF(AND(Investment_Strategy="Lifecycle",Investment_Strategy_Sub1="Standard"),VLOOKUP(Investment_Strategy&amp;"_"&amp;Investment_Strategy_Sub2&amp;"_"&amp;$A427,'Investment Strategies'!$AJ:$AV,13,FALSE),
IF(AND(Investment_Strategy="Autopilot",Investment_Strategy_Sub1="Non-Standard"),VLOOKUP(Investment_Strategy&amp;"_"&amp;Investment_Strategy_Sub2&amp;"_"&amp;$A427,'Investment Strategies'!$T:$AF,13,FALSE),
IF(Investment_Strategy="DIY",DIY_ExtManChrge_FuturePremiums,
"Error"))))))</f>
        <v>0</v>
      </c>
      <c r="W427" s="16">
        <f t="shared" si="267"/>
        <v>0</v>
      </c>
      <c r="X427" s="16">
        <f t="shared" si="243"/>
        <v>0</v>
      </c>
      <c r="Y427" s="16">
        <f t="shared" si="244"/>
        <v>0</v>
      </c>
      <c r="Z427" s="31">
        <f t="shared" si="245"/>
        <v>0.02</v>
      </c>
      <c r="AA427" s="16">
        <f t="shared" si="246"/>
        <v>0</v>
      </c>
      <c r="AB427" s="28">
        <f t="shared" si="268"/>
        <v>0</v>
      </c>
      <c r="AC427" s="28">
        <f>(SUM($AC$91:AC426)+SUM($X$91:X426)+X427)*T427*IF(D427=$A$91,SRP_finalmonthfactor,1)</f>
        <v>0</v>
      </c>
      <c r="AD427" s="16">
        <f t="shared" si="247"/>
        <v>0</v>
      </c>
      <c r="AE427" s="106"/>
      <c r="AF427" s="16">
        <f t="shared" si="256"/>
        <v>0</v>
      </c>
      <c r="AG427" s="16">
        <f t="shared" si="257"/>
        <v>0</v>
      </c>
      <c r="AH427" s="16">
        <f t="shared" si="258"/>
        <v>0</v>
      </c>
      <c r="AJ427" s="13">
        <f t="shared" si="269"/>
        <v>0</v>
      </c>
      <c r="AK427" s="13">
        <f t="shared" si="269"/>
        <v>0</v>
      </c>
      <c r="AL427" s="13">
        <f t="shared" si="269"/>
        <v>0</v>
      </c>
      <c r="AM427" s="13">
        <f t="shared" si="269"/>
        <v>0</v>
      </c>
      <c r="AN427" s="13">
        <f t="shared" si="269"/>
        <v>0</v>
      </c>
      <c r="AO427" s="13">
        <f t="shared" si="269"/>
        <v>1</v>
      </c>
      <c r="AP427" s="13">
        <f t="shared" si="269"/>
        <v>1</v>
      </c>
      <c r="AQ427" s="13">
        <f t="shared" si="269"/>
        <v>1</v>
      </c>
      <c r="AR427" s="13">
        <f t="shared" si="269"/>
        <v>0</v>
      </c>
      <c r="AS427" s="13">
        <f t="shared" si="269"/>
        <v>1</v>
      </c>
      <c r="AT427" s="13">
        <f t="shared" si="269"/>
        <v>1</v>
      </c>
      <c r="AU427" s="13">
        <f t="shared" si="269"/>
        <v>1</v>
      </c>
      <c r="AV427" s="13">
        <f t="shared" si="249"/>
        <v>0</v>
      </c>
      <c r="AW427" s="13">
        <f t="shared" si="250"/>
        <v>1</v>
      </c>
      <c r="AY427" s="17">
        <f t="shared" si="251"/>
        <v>337</v>
      </c>
      <c r="AZ427" s="28">
        <f t="shared" si="259"/>
        <v>0</v>
      </c>
      <c r="BA427" s="13">
        <f t="shared" si="252"/>
        <v>0</v>
      </c>
      <c r="BB427" s="13">
        <f t="shared" si="253"/>
        <v>0</v>
      </c>
      <c r="BC427" s="28">
        <f t="shared" si="260"/>
        <v>0</v>
      </c>
      <c r="BD427" s="28">
        <f t="shared" si="261"/>
        <v>0</v>
      </c>
      <c r="BF427" s="248">
        <f t="shared" si="262"/>
        <v>993869.29442638322</v>
      </c>
    </row>
    <row r="428" spans="1:58">
      <c r="A428" s="32">
        <f t="shared" si="263"/>
        <v>-253</v>
      </c>
      <c r="B428" s="32">
        <f t="shared" si="254"/>
        <v>81</v>
      </c>
      <c r="C428" s="32">
        <f t="shared" si="264"/>
        <v>29</v>
      </c>
      <c r="D428" s="32">
        <f t="shared" si="265"/>
        <v>338</v>
      </c>
      <c r="E428" s="74">
        <f>MIN(IF(AV428=0,0,
IF(Investment_Strategy="DIS",VLOOKUP(Investment_Strategy&amp;"_"&amp;Investment_Strategy_Sub1&amp;"_"&amp;$A428,'Investment Strategies'!$AZ:$BP,12,FALSE),
IF(AND(Investment_Strategy="Lifecycle",Investment_Strategy_Sub1="Non-Standard"),VLOOKUP(Investment_Strategy&amp;"_"&amp;Investment_Strategy_Sub2&amp;"_"&amp;$A428,'Investment Strategies'!$C:$P,9,FALSE),
IF(AND(Investment_Strategy="Lifecycle",Investment_Strategy_Sub1="Standard"),VLOOKUP(Investment_Strategy&amp;"_"&amp;Investment_Strategy_Sub2&amp;"_"&amp;$A428,'Investment Strategies'!$AJ:$AV,8,FALSE),
IF(AND(Investment_Strategy="Autopilot",Investment_Strategy_Sub1="Non-Standard"),VLOOKUP(Investment_Strategy&amp;"_"&amp;Investment_Strategy_Sub2&amp;"_"&amp;$A428,'Investment Strategies'!$T:$AF,8,FALSE),
IF(Investment_Strategy ="DIY",DIY_RateOfReturn_CurrentFunds,
"Error")))))),Max_InvReturn)</f>
        <v>0</v>
      </c>
      <c r="F428" s="62">
        <f>IF(AV428=0,0,
IF(Investment_Strategy="DIS",VLOOKUP(Investment_Strategy&amp;"_"&amp;Investment_Strategy_Sub1&amp;"_"&amp;$A428,'Investment Strategies'!$AZ:$BP,15,FALSE),
IF(AND(Investment_Strategy="Lifecycle",Investment_Strategy_Sub1="Non-Standard"),VLOOKUP(Investment_Strategy&amp;"_"&amp;Investment_Strategy_Sub2&amp;"_"&amp;$A428,'Investment Strategies'!$C:$P,12,FALSE),
IF(AND(Investment_Strategy="Lifecycle",Investment_Strategy_Sub1="Standard"),VLOOKUP(Investment_Strategy&amp;"_"&amp;Investment_Strategy_Sub2&amp;"_"&amp;$A428,'Investment Strategies'!$AJ:$AV,11,FALSE),
IF(AND(Investment_Strategy="Autopilot",Investment_Strategy_Sub1="Non-Standard"),VLOOKUP(Investment_Strategy&amp;"_"&amp;Investment_Strategy_Sub2&amp;"_"&amp;$A428,'Investment Strategies'!$T:$AF,11,FALSE),
IF(Investment_Strategy="DIY",DIY_GteeChrge_CurrentFunds,
"Error"))))))</f>
        <v>0</v>
      </c>
      <c r="G428" s="33">
        <f>IF(AV428=0,0,
IF(Investment_Strategy="DIS",VLOOKUP(Investment_Strategy&amp;"_"&amp;Investment_Strategy_Sub1&amp;"_"&amp;$A428,'Investment Strategies'!$AZ:$BP,17,FALSE),
IF(AND(Investment_Strategy="Lifecycle",Investment_Strategy_Sub1="Non-Standard"),VLOOKUP(Investment_Strategy&amp;"_"&amp;Investment_Strategy_Sub2&amp;"_"&amp;$A428,'Investment Strategies'!$C:$P,14,FALSE),
IF(AND(Investment_Strategy="Lifecycle",Investment_Strategy_Sub1="Standard"),VLOOKUP(Investment_Strategy&amp;"_"&amp;Investment_Strategy_Sub2&amp;"_"&amp;$A428,'Investment Strategies'!$AJ:$AV,13,FALSE),
IF(AND(Investment_Strategy="Autopilot",Investment_Strategy_Sub1="Non-Standard"),VLOOKUP(Investment_Strategy&amp;"_"&amp;Investment_Strategy_Sub2&amp;"_"&amp;$A428,'Investment Strategies'!$T:$AF,13,FALSE),
IF(Investment_Strategy="DIY",DIY_ExtManChrge_CurrentFunds,
"Error"))))))</f>
        <v>0</v>
      </c>
      <c r="H428" s="16">
        <f t="shared" si="255"/>
        <v>0</v>
      </c>
      <c r="I428" s="16">
        <f t="shared" si="240"/>
        <v>0</v>
      </c>
      <c r="J428" s="16">
        <f t="shared" si="241"/>
        <v>0</v>
      </c>
      <c r="K428" s="16">
        <f>(Opening_Fund_Value+SUM(K$91:K427))*E428*IF(D428=$A$91,SRP_finalmonthfactor,1)</f>
        <v>0</v>
      </c>
      <c r="L428" s="74">
        <f>MIN(IF($AV428=0,0,
IF(Investment_Strategy="DIS",VLOOKUP(Investment_Strategy&amp;"_"&amp;Investment_Strategy_Sub1&amp;"_"&amp;$A428,'Investment Strategies'!$AZ:$BP,12,FALSE),
IF(AND(Investment_Strategy="Lifecycle",Investment_Strategy_Sub1="Non-Standard"),VLOOKUP(Investment_Strategy&amp;"_"&amp;Investment_Strategy_Sub2&amp;"_"&amp;$A428,'Investment Strategies'!$C:$P,9,FALSE),
IF(AND(Investment_Strategy="Lifecycle",Investment_Strategy_Sub1="Standard"),VLOOKUP(Investment_Strategy&amp;"_"&amp;Investment_Strategy_Sub2&amp;"_"&amp;$A428,'Investment Strategies'!$AJ:$AV,8,FALSE),
IF(AND(Investment_Strategy="Autopilot",Investment_Strategy_Sub1="Non-Standard"),VLOOKUP(Investment_Strategy&amp;"_"&amp;Investment_Strategy_Sub2&amp;"_"&amp;$A428,'Investment Strategies'!$T:$AF,8,FALSE),
IF(Investment_Strategy ="DIY",DIY_RateofReturn_SP,
"Error")))))),Max_InvReturn)</f>
        <v>0</v>
      </c>
      <c r="M428" s="62">
        <f>IF($AV428=0,0,
IF(Investment_Strategy="DIS",VLOOKUP(Investment_Strategy&amp;"_"&amp;Investment_Strategy_Sub1&amp;"_"&amp;$A428,'Investment Strategies'!$AZ:$BP,15,FALSE),
IF(AND(Investment_Strategy="Lifecycle",Investment_Strategy_Sub1="Non-Standard"),VLOOKUP(Investment_Strategy&amp;"_"&amp;Investment_Strategy_Sub2&amp;"_"&amp;$A428,'Investment Strategies'!$C:$P,12,FALSE),
IF(AND(Investment_Strategy="Lifecycle",Investment_Strategy_Sub1="Standard"),VLOOKUP(Investment_Strategy&amp;"_"&amp;Investment_Strategy_Sub2&amp;"_"&amp;$A428,'Investment Strategies'!$AJ:$AV,11,FALSE),
IF(AND(Investment_Strategy="Autopilot",Investment_Strategy_Sub1="Non-Standard"),VLOOKUP(Investment_Strategy&amp;"_"&amp;Investment_Strategy_Sub2&amp;"_"&amp;$A428,'Investment Strategies'!$T:$AF,11,FALSE),
IF(Investment_Strategy="DIY",DIY_GteeChrge_SP,
"Error"))))))</f>
        <v>0</v>
      </c>
      <c r="N428" s="33">
        <f>IF($AV428=0,0,
IF(Investment_Strategy="DIS",VLOOKUP(Investment_Strategy&amp;"_"&amp;Investment_Strategy_Sub1&amp;"_"&amp;$A428,'Investment Strategies'!$AZ:$BP,17,FALSE),
IF(AND(Investment_Strategy="Lifecycle",Investment_Strategy_Sub1="Non-Standard"),VLOOKUP(Investment_Strategy&amp;"_"&amp;Investment_Strategy_Sub2&amp;"_"&amp;$A428,'Investment Strategies'!$C:$P,14,FALSE),
IF(AND(Investment_Strategy="Lifecycle",Investment_Strategy_Sub1="Standard"),VLOOKUP(Investment_Strategy&amp;"_"&amp;Investment_Strategy_Sub2&amp;"_"&amp;$A428,'Investment Strategies'!$AJ:$AV,13,FALSE),
IF(AND(Investment_Strategy="Autopilot",Investment_Strategy_Sub1="Non-Standard"),VLOOKUP(Investment_Strategy&amp;"_"&amp;Investment_Strategy_Sub2&amp;"_"&amp;$A428,'Investment Strategies'!$T:$AF,13,FALSE),
IF(Investment_Strategy="DIY",DIY_ExtManChrge_SP,
"Error"))))))</f>
        <v>0</v>
      </c>
      <c r="O428" s="16">
        <f t="shared" si="266"/>
        <v>0</v>
      </c>
      <c r="Q428" s="16">
        <f t="shared" si="242"/>
        <v>0</v>
      </c>
      <c r="R428" s="16">
        <f t="shared" si="239"/>
        <v>0</v>
      </c>
      <c r="S428" s="16">
        <f>(SRP_SP+SUM(S$91:S427))*L428*IF(D428=$A$91,SRP_finalmonthfactor,1)</f>
        <v>0</v>
      </c>
      <c r="T428" s="74">
        <f>MIN(IF($AV428=0,0,
IF(Investment_Strategy="DIS",VLOOKUP(Investment_Strategy&amp;"_"&amp;Investment_Strategy_Sub1&amp;"_"&amp;$A428,'Investment Strategies'!$AZ:$BP,12,FALSE),
IF(AND(Investment_Strategy="Lifecycle",Investment_Strategy_Sub1="Non-Standard"),VLOOKUP(Investment_Strategy&amp;"_"&amp;Investment_Strategy_Sub2&amp;"_"&amp;$A428,'Investment Strategies'!$C:$P,9,FALSE),
IF(AND(Investment_Strategy="Lifecycle",Investment_Strategy_Sub1="Standard"),VLOOKUP(Investment_Strategy&amp;"_"&amp;Investment_Strategy_Sub2&amp;"_"&amp;$A428,'Investment Strategies'!$AJ:$AV,8,FALSE),
IF(AND(Investment_Strategy="Autopilot",Investment_Strategy_Sub1="Non-Standard"),VLOOKUP(Investment_Strategy&amp;"_"&amp;Investment_Strategy_Sub2&amp;"_"&amp;$A428,'Investment Strategies'!$T:$AF,8,FALSE),
IF(Investment_Strategy ="DIY",DIY_RateOfReturn_FuturePremiums,
"Error")))))),Max_InvReturn)</f>
        <v>0</v>
      </c>
      <c r="U428" s="62">
        <f>IF($AV428=0,0,
IF(Investment_Strategy="DIS",VLOOKUP(Investment_Strategy&amp;"_"&amp;Investment_Strategy_Sub1&amp;"_"&amp;$A428,'Investment Strategies'!$AZ:$BP,15,FALSE),
IF(AND(Investment_Strategy="Lifecycle",Investment_Strategy_Sub1="Non-Standard"),VLOOKUP(Investment_Strategy&amp;"_"&amp;Investment_Strategy_Sub2&amp;"_"&amp;$A428,'Investment Strategies'!$C:$P,12,FALSE),
IF(AND(Investment_Strategy="Lifecycle",Investment_Strategy_Sub1="Standard"),VLOOKUP(Investment_Strategy&amp;"_"&amp;Investment_Strategy_Sub2&amp;"_"&amp;$A428,'Investment Strategies'!$AJ:$AV,11,FALSE),
IF(AND(Investment_Strategy="Autopilot",Investment_Strategy_Sub1="Non-Standard"),VLOOKUP(Investment_Strategy&amp;"_"&amp;Investment_Strategy_Sub2&amp;"_"&amp;$A428,'Investment Strategies'!$T:$AF,11,FALSE),
IF(Investment_Strategy="DIY",DIY_GteeChrge_FuturePremiums,
"Error"))))))</f>
        <v>0</v>
      </c>
      <c r="V428" s="33">
        <f>IF(AV428=0,0,
IF(Investment_Strategy="DIS",VLOOKUP(Investment_Strategy&amp;"_"&amp;Investment_Strategy_Sub1&amp;"_"&amp;$A428,'Investment Strategies'!$AZ:$BP,17,FALSE),
IF(AND(Investment_Strategy="Lifecycle",Investment_Strategy_Sub1="Non-Standard"),VLOOKUP(Investment_Strategy&amp;"_"&amp;Investment_Strategy_Sub2&amp;"_"&amp;$A428,'Investment Strategies'!$C:$P,14,FALSE),
IF(AND(Investment_Strategy="Lifecycle",Investment_Strategy_Sub1="Standard"),VLOOKUP(Investment_Strategy&amp;"_"&amp;Investment_Strategy_Sub2&amp;"_"&amp;$A428,'Investment Strategies'!$AJ:$AV,13,FALSE),
IF(AND(Investment_Strategy="Autopilot",Investment_Strategy_Sub1="Non-Standard"),VLOOKUP(Investment_Strategy&amp;"_"&amp;Investment_Strategy_Sub2&amp;"_"&amp;$A428,'Investment Strategies'!$T:$AF,13,FALSE),
IF(Investment_Strategy="DIY",DIY_ExtManChrge_FuturePremiums,
"Error"))))))</f>
        <v>0</v>
      </c>
      <c r="W428" s="16">
        <f t="shared" si="267"/>
        <v>0</v>
      </c>
      <c r="X428" s="16">
        <f t="shared" si="243"/>
        <v>0</v>
      </c>
      <c r="Y428" s="16">
        <f t="shared" si="244"/>
        <v>0</v>
      </c>
      <c r="Z428" s="31">
        <f t="shared" si="245"/>
        <v>0.02</v>
      </c>
      <c r="AA428" s="16">
        <f t="shared" si="246"/>
        <v>0</v>
      </c>
      <c r="AB428" s="28">
        <f t="shared" si="268"/>
        <v>0</v>
      </c>
      <c r="AC428" s="28">
        <f>(SUM($AC$91:AC427)+SUM($X$91:X427)+X428)*T428*IF(D428=$A$91,SRP_finalmonthfactor,1)</f>
        <v>0</v>
      </c>
      <c r="AD428" s="16">
        <f t="shared" si="247"/>
        <v>0</v>
      </c>
      <c r="AE428" s="106"/>
      <c r="AF428" s="16">
        <f t="shared" si="256"/>
        <v>0</v>
      </c>
      <c r="AG428" s="16">
        <f t="shared" si="257"/>
        <v>0</v>
      </c>
      <c r="AH428" s="16">
        <f t="shared" si="258"/>
        <v>0</v>
      </c>
      <c r="AJ428" s="13">
        <f t="shared" si="269"/>
        <v>0</v>
      </c>
      <c r="AK428" s="13">
        <f t="shared" si="269"/>
        <v>0</v>
      </c>
      <c r="AL428" s="13">
        <f t="shared" si="269"/>
        <v>0</v>
      </c>
      <c r="AM428" s="13">
        <f t="shared" si="269"/>
        <v>0</v>
      </c>
      <c r="AN428" s="13">
        <f t="shared" si="269"/>
        <v>0</v>
      </c>
      <c r="AO428" s="13">
        <f t="shared" si="269"/>
        <v>1</v>
      </c>
      <c r="AP428" s="13">
        <f t="shared" si="269"/>
        <v>1</v>
      </c>
      <c r="AQ428" s="13">
        <f t="shared" si="269"/>
        <v>1</v>
      </c>
      <c r="AR428" s="13">
        <f t="shared" si="269"/>
        <v>0</v>
      </c>
      <c r="AS428" s="13">
        <f t="shared" si="269"/>
        <v>1</v>
      </c>
      <c r="AT428" s="13">
        <f t="shared" si="269"/>
        <v>1</v>
      </c>
      <c r="AU428" s="13">
        <f t="shared" si="269"/>
        <v>1</v>
      </c>
      <c r="AV428" s="13">
        <f t="shared" si="249"/>
        <v>0</v>
      </c>
      <c r="AW428" s="13">
        <f t="shared" si="250"/>
        <v>1</v>
      </c>
      <c r="AY428" s="17">
        <f t="shared" si="251"/>
        <v>338</v>
      </c>
      <c r="AZ428" s="28">
        <f t="shared" si="259"/>
        <v>0</v>
      </c>
      <c r="BA428" s="13">
        <f t="shared" si="252"/>
        <v>0</v>
      </c>
      <c r="BB428" s="13">
        <f t="shared" si="253"/>
        <v>0</v>
      </c>
      <c r="BC428" s="28">
        <f t="shared" si="260"/>
        <v>0</v>
      </c>
      <c r="BD428" s="28">
        <f t="shared" si="261"/>
        <v>0</v>
      </c>
      <c r="BF428" s="248">
        <f t="shared" si="262"/>
        <v>993869.29442638322</v>
      </c>
    </row>
    <row r="429" spans="1:58">
      <c r="A429" s="32">
        <f t="shared" si="263"/>
        <v>-254</v>
      </c>
      <c r="B429" s="32">
        <f t="shared" si="254"/>
        <v>81</v>
      </c>
      <c r="C429" s="32">
        <f t="shared" si="264"/>
        <v>29</v>
      </c>
      <c r="D429" s="32">
        <f t="shared" si="265"/>
        <v>339</v>
      </c>
      <c r="E429" s="74">
        <f>MIN(IF(AV429=0,0,
IF(Investment_Strategy="DIS",VLOOKUP(Investment_Strategy&amp;"_"&amp;Investment_Strategy_Sub1&amp;"_"&amp;$A429,'Investment Strategies'!$AZ:$BP,12,FALSE),
IF(AND(Investment_Strategy="Lifecycle",Investment_Strategy_Sub1="Non-Standard"),VLOOKUP(Investment_Strategy&amp;"_"&amp;Investment_Strategy_Sub2&amp;"_"&amp;$A429,'Investment Strategies'!$C:$P,9,FALSE),
IF(AND(Investment_Strategy="Lifecycle",Investment_Strategy_Sub1="Standard"),VLOOKUP(Investment_Strategy&amp;"_"&amp;Investment_Strategy_Sub2&amp;"_"&amp;$A429,'Investment Strategies'!$AJ:$AV,8,FALSE),
IF(AND(Investment_Strategy="Autopilot",Investment_Strategy_Sub1="Non-Standard"),VLOOKUP(Investment_Strategy&amp;"_"&amp;Investment_Strategy_Sub2&amp;"_"&amp;$A429,'Investment Strategies'!$T:$AF,8,FALSE),
IF(Investment_Strategy ="DIY",DIY_RateOfReturn_CurrentFunds,
"Error")))))),Max_InvReturn)</f>
        <v>0</v>
      </c>
      <c r="F429" s="62">
        <f>IF(AV429=0,0,
IF(Investment_Strategy="DIS",VLOOKUP(Investment_Strategy&amp;"_"&amp;Investment_Strategy_Sub1&amp;"_"&amp;$A429,'Investment Strategies'!$AZ:$BP,15,FALSE),
IF(AND(Investment_Strategy="Lifecycle",Investment_Strategy_Sub1="Non-Standard"),VLOOKUP(Investment_Strategy&amp;"_"&amp;Investment_Strategy_Sub2&amp;"_"&amp;$A429,'Investment Strategies'!$C:$P,12,FALSE),
IF(AND(Investment_Strategy="Lifecycle",Investment_Strategy_Sub1="Standard"),VLOOKUP(Investment_Strategy&amp;"_"&amp;Investment_Strategy_Sub2&amp;"_"&amp;$A429,'Investment Strategies'!$AJ:$AV,11,FALSE),
IF(AND(Investment_Strategy="Autopilot",Investment_Strategy_Sub1="Non-Standard"),VLOOKUP(Investment_Strategy&amp;"_"&amp;Investment_Strategy_Sub2&amp;"_"&amp;$A429,'Investment Strategies'!$T:$AF,11,FALSE),
IF(Investment_Strategy="DIY",DIY_GteeChrge_CurrentFunds,
"Error"))))))</f>
        <v>0</v>
      </c>
      <c r="G429" s="33">
        <f>IF(AV429=0,0,
IF(Investment_Strategy="DIS",VLOOKUP(Investment_Strategy&amp;"_"&amp;Investment_Strategy_Sub1&amp;"_"&amp;$A429,'Investment Strategies'!$AZ:$BP,17,FALSE),
IF(AND(Investment_Strategy="Lifecycle",Investment_Strategy_Sub1="Non-Standard"),VLOOKUP(Investment_Strategy&amp;"_"&amp;Investment_Strategy_Sub2&amp;"_"&amp;$A429,'Investment Strategies'!$C:$P,14,FALSE),
IF(AND(Investment_Strategy="Lifecycle",Investment_Strategy_Sub1="Standard"),VLOOKUP(Investment_Strategy&amp;"_"&amp;Investment_Strategy_Sub2&amp;"_"&amp;$A429,'Investment Strategies'!$AJ:$AV,13,FALSE),
IF(AND(Investment_Strategy="Autopilot",Investment_Strategy_Sub1="Non-Standard"),VLOOKUP(Investment_Strategy&amp;"_"&amp;Investment_Strategy_Sub2&amp;"_"&amp;$A429,'Investment Strategies'!$T:$AF,13,FALSE),
IF(Investment_Strategy="DIY",DIY_ExtManChrge_CurrentFunds,
"Error"))))))</f>
        <v>0</v>
      </c>
      <c r="H429" s="16">
        <f t="shared" si="255"/>
        <v>0</v>
      </c>
      <c r="I429" s="16">
        <f t="shared" si="240"/>
        <v>0</v>
      </c>
      <c r="J429" s="16">
        <f t="shared" si="241"/>
        <v>0</v>
      </c>
      <c r="K429" s="16">
        <f>(Opening_Fund_Value+SUM(K$91:K428))*E429*IF(D429=$A$91,SRP_finalmonthfactor,1)</f>
        <v>0</v>
      </c>
      <c r="L429" s="74">
        <f>MIN(IF($AV429=0,0,
IF(Investment_Strategy="DIS",VLOOKUP(Investment_Strategy&amp;"_"&amp;Investment_Strategy_Sub1&amp;"_"&amp;$A429,'Investment Strategies'!$AZ:$BP,12,FALSE),
IF(AND(Investment_Strategy="Lifecycle",Investment_Strategy_Sub1="Non-Standard"),VLOOKUP(Investment_Strategy&amp;"_"&amp;Investment_Strategy_Sub2&amp;"_"&amp;$A429,'Investment Strategies'!$C:$P,9,FALSE),
IF(AND(Investment_Strategy="Lifecycle",Investment_Strategy_Sub1="Standard"),VLOOKUP(Investment_Strategy&amp;"_"&amp;Investment_Strategy_Sub2&amp;"_"&amp;$A429,'Investment Strategies'!$AJ:$AV,8,FALSE),
IF(AND(Investment_Strategy="Autopilot",Investment_Strategy_Sub1="Non-Standard"),VLOOKUP(Investment_Strategy&amp;"_"&amp;Investment_Strategy_Sub2&amp;"_"&amp;$A429,'Investment Strategies'!$T:$AF,8,FALSE),
IF(Investment_Strategy ="DIY",DIY_RateofReturn_SP,
"Error")))))),Max_InvReturn)</f>
        <v>0</v>
      </c>
      <c r="M429" s="62">
        <f>IF($AV429=0,0,
IF(Investment_Strategy="DIS",VLOOKUP(Investment_Strategy&amp;"_"&amp;Investment_Strategy_Sub1&amp;"_"&amp;$A429,'Investment Strategies'!$AZ:$BP,15,FALSE),
IF(AND(Investment_Strategy="Lifecycle",Investment_Strategy_Sub1="Non-Standard"),VLOOKUP(Investment_Strategy&amp;"_"&amp;Investment_Strategy_Sub2&amp;"_"&amp;$A429,'Investment Strategies'!$C:$P,12,FALSE),
IF(AND(Investment_Strategy="Lifecycle",Investment_Strategy_Sub1="Standard"),VLOOKUP(Investment_Strategy&amp;"_"&amp;Investment_Strategy_Sub2&amp;"_"&amp;$A429,'Investment Strategies'!$AJ:$AV,11,FALSE),
IF(AND(Investment_Strategy="Autopilot",Investment_Strategy_Sub1="Non-Standard"),VLOOKUP(Investment_Strategy&amp;"_"&amp;Investment_Strategy_Sub2&amp;"_"&amp;$A429,'Investment Strategies'!$T:$AF,11,FALSE),
IF(Investment_Strategy="DIY",DIY_GteeChrge_SP,
"Error"))))))</f>
        <v>0</v>
      </c>
      <c r="N429" s="33">
        <f>IF($AV429=0,0,
IF(Investment_Strategy="DIS",VLOOKUP(Investment_Strategy&amp;"_"&amp;Investment_Strategy_Sub1&amp;"_"&amp;$A429,'Investment Strategies'!$AZ:$BP,17,FALSE),
IF(AND(Investment_Strategy="Lifecycle",Investment_Strategy_Sub1="Non-Standard"),VLOOKUP(Investment_Strategy&amp;"_"&amp;Investment_Strategy_Sub2&amp;"_"&amp;$A429,'Investment Strategies'!$C:$P,14,FALSE),
IF(AND(Investment_Strategy="Lifecycle",Investment_Strategy_Sub1="Standard"),VLOOKUP(Investment_Strategy&amp;"_"&amp;Investment_Strategy_Sub2&amp;"_"&amp;$A429,'Investment Strategies'!$AJ:$AV,13,FALSE),
IF(AND(Investment_Strategy="Autopilot",Investment_Strategy_Sub1="Non-Standard"),VLOOKUP(Investment_Strategy&amp;"_"&amp;Investment_Strategy_Sub2&amp;"_"&amp;$A429,'Investment Strategies'!$T:$AF,13,FALSE),
IF(Investment_Strategy="DIY",DIY_ExtManChrge_SP,
"Error"))))))</f>
        <v>0</v>
      </c>
      <c r="O429" s="16">
        <f t="shared" si="266"/>
        <v>0</v>
      </c>
      <c r="Q429" s="16">
        <f t="shared" si="242"/>
        <v>0</v>
      </c>
      <c r="R429" s="16">
        <f t="shared" si="239"/>
        <v>0</v>
      </c>
      <c r="S429" s="16">
        <f>(SRP_SP+SUM(S$91:S428))*L429*IF(D429=$A$91,SRP_finalmonthfactor,1)</f>
        <v>0</v>
      </c>
      <c r="T429" s="74">
        <f>MIN(IF($AV429=0,0,
IF(Investment_Strategy="DIS",VLOOKUP(Investment_Strategy&amp;"_"&amp;Investment_Strategy_Sub1&amp;"_"&amp;$A429,'Investment Strategies'!$AZ:$BP,12,FALSE),
IF(AND(Investment_Strategy="Lifecycle",Investment_Strategy_Sub1="Non-Standard"),VLOOKUP(Investment_Strategy&amp;"_"&amp;Investment_Strategy_Sub2&amp;"_"&amp;$A429,'Investment Strategies'!$C:$P,9,FALSE),
IF(AND(Investment_Strategy="Lifecycle",Investment_Strategy_Sub1="Standard"),VLOOKUP(Investment_Strategy&amp;"_"&amp;Investment_Strategy_Sub2&amp;"_"&amp;$A429,'Investment Strategies'!$AJ:$AV,8,FALSE),
IF(AND(Investment_Strategy="Autopilot",Investment_Strategy_Sub1="Non-Standard"),VLOOKUP(Investment_Strategy&amp;"_"&amp;Investment_Strategy_Sub2&amp;"_"&amp;$A429,'Investment Strategies'!$T:$AF,8,FALSE),
IF(Investment_Strategy ="DIY",DIY_RateOfReturn_FuturePremiums,
"Error")))))),Max_InvReturn)</f>
        <v>0</v>
      </c>
      <c r="U429" s="62">
        <f>IF($AV429=0,0,
IF(Investment_Strategy="DIS",VLOOKUP(Investment_Strategy&amp;"_"&amp;Investment_Strategy_Sub1&amp;"_"&amp;$A429,'Investment Strategies'!$AZ:$BP,15,FALSE),
IF(AND(Investment_Strategy="Lifecycle",Investment_Strategy_Sub1="Non-Standard"),VLOOKUP(Investment_Strategy&amp;"_"&amp;Investment_Strategy_Sub2&amp;"_"&amp;$A429,'Investment Strategies'!$C:$P,12,FALSE),
IF(AND(Investment_Strategy="Lifecycle",Investment_Strategy_Sub1="Standard"),VLOOKUP(Investment_Strategy&amp;"_"&amp;Investment_Strategy_Sub2&amp;"_"&amp;$A429,'Investment Strategies'!$AJ:$AV,11,FALSE),
IF(AND(Investment_Strategy="Autopilot",Investment_Strategy_Sub1="Non-Standard"),VLOOKUP(Investment_Strategy&amp;"_"&amp;Investment_Strategy_Sub2&amp;"_"&amp;$A429,'Investment Strategies'!$T:$AF,11,FALSE),
IF(Investment_Strategy="DIY",DIY_GteeChrge_FuturePremiums,
"Error"))))))</f>
        <v>0</v>
      </c>
      <c r="V429" s="33">
        <f>IF(AV429=0,0,
IF(Investment_Strategy="DIS",VLOOKUP(Investment_Strategy&amp;"_"&amp;Investment_Strategy_Sub1&amp;"_"&amp;$A429,'Investment Strategies'!$AZ:$BP,17,FALSE),
IF(AND(Investment_Strategy="Lifecycle",Investment_Strategy_Sub1="Non-Standard"),VLOOKUP(Investment_Strategy&amp;"_"&amp;Investment_Strategy_Sub2&amp;"_"&amp;$A429,'Investment Strategies'!$C:$P,14,FALSE),
IF(AND(Investment_Strategy="Lifecycle",Investment_Strategy_Sub1="Standard"),VLOOKUP(Investment_Strategy&amp;"_"&amp;Investment_Strategy_Sub2&amp;"_"&amp;$A429,'Investment Strategies'!$AJ:$AV,13,FALSE),
IF(AND(Investment_Strategy="Autopilot",Investment_Strategy_Sub1="Non-Standard"),VLOOKUP(Investment_Strategy&amp;"_"&amp;Investment_Strategy_Sub2&amp;"_"&amp;$A429,'Investment Strategies'!$T:$AF,13,FALSE),
IF(Investment_Strategy="DIY",DIY_ExtManChrge_FuturePremiums,
"Error"))))))</f>
        <v>0</v>
      </c>
      <c r="W429" s="16">
        <f t="shared" si="267"/>
        <v>0</v>
      </c>
      <c r="X429" s="16">
        <f t="shared" si="243"/>
        <v>0</v>
      </c>
      <c r="Y429" s="16">
        <f t="shared" si="244"/>
        <v>0</v>
      </c>
      <c r="Z429" s="31">
        <f t="shared" si="245"/>
        <v>0.02</v>
      </c>
      <c r="AA429" s="16">
        <f t="shared" si="246"/>
        <v>0</v>
      </c>
      <c r="AB429" s="28">
        <f t="shared" si="268"/>
        <v>0</v>
      </c>
      <c r="AC429" s="28">
        <f>(SUM($AC$91:AC428)+SUM($X$91:X428)+X429)*T429*IF(D429=$A$91,SRP_finalmonthfactor,1)</f>
        <v>0</v>
      </c>
      <c r="AD429" s="16">
        <f t="shared" si="247"/>
        <v>0</v>
      </c>
      <c r="AE429" s="106"/>
      <c r="AF429" s="16">
        <f t="shared" si="256"/>
        <v>0</v>
      </c>
      <c r="AG429" s="16">
        <f t="shared" si="257"/>
        <v>0</v>
      </c>
      <c r="AH429" s="16">
        <f t="shared" si="258"/>
        <v>0</v>
      </c>
      <c r="AJ429" s="13">
        <f t="shared" si="269"/>
        <v>0</v>
      </c>
      <c r="AK429" s="13">
        <f t="shared" si="269"/>
        <v>0</v>
      </c>
      <c r="AL429" s="13">
        <f t="shared" si="269"/>
        <v>0</v>
      </c>
      <c r="AM429" s="13">
        <f t="shared" si="269"/>
        <v>0</v>
      </c>
      <c r="AN429" s="13">
        <f t="shared" si="269"/>
        <v>0</v>
      </c>
      <c r="AO429" s="13">
        <f t="shared" si="269"/>
        <v>1</v>
      </c>
      <c r="AP429" s="13">
        <f t="shared" si="269"/>
        <v>1</v>
      </c>
      <c r="AQ429" s="13">
        <f t="shared" si="269"/>
        <v>1</v>
      </c>
      <c r="AR429" s="13">
        <f t="shared" si="269"/>
        <v>0</v>
      </c>
      <c r="AS429" s="13">
        <f t="shared" si="269"/>
        <v>1</v>
      </c>
      <c r="AT429" s="13">
        <f t="shared" si="269"/>
        <v>1</v>
      </c>
      <c r="AU429" s="13">
        <f t="shared" si="269"/>
        <v>1</v>
      </c>
      <c r="AV429" s="13">
        <f t="shared" si="249"/>
        <v>0</v>
      </c>
      <c r="AW429" s="13">
        <f t="shared" si="250"/>
        <v>1</v>
      </c>
      <c r="AY429" s="17">
        <f t="shared" si="251"/>
        <v>339</v>
      </c>
      <c r="AZ429" s="28">
        <f t="shared" si="259"/>
        <v>0</v>
      </c>
      <c r="BA429" s="13">
        <f t="shared" si="252"/>
        <v>0</v>
      </c>
      <c r="BB429" s="13">
        <f t="shared" si="253"/>
        <v>0</v>
      </c>
      <c r="BC429" s="28">
        <f t="shared" si="260"/>
        <v>0</v>
      </c>
      <c r="BD429" s="28">
        <f t="shared" si="261"/>
        <v>0</v>
      </c>
      <c r="BF429" s="248">
        <f t="shared" si="262"/>
        <v>993869.29442638322</v>
      </c>
    </row>
    <row r="430" spans="1:58">
      <c r="A430" s="32">
        <f t="shared" si="263"/>
        <v>-255</v>
      </c>
      <c r="B430" s="32">
        <f t="shared" si="254"/>
        <v>81</v>
      </c>
      <c r="C430" s="32">
        <f t="shared" si="264"/>
        <v>29</v>
      </c>
      <c r="D430" s="32">
        <f t="shared" si="265"/>
        <v>340</v>
      </c>
      <c r="E430" s="74">
        <f>MIN(IF(AV430=0,0,
IF(Investment_Strategy="DIS",VLOOKUP(Investment_Strategy&amp;"_"&amp;Investment_Strategy_Sub1&amp;"_"&amp;$A430,'Investment Strategies'!$AZ:$BP,12,FALSE),
IF(AND(Investment_Strategy="Lifecycle",Investment_Strategy_Sub1="Non-Standard"),VLOOKUP(Investment_Strategy&amp;"_"&amp;Investment_Strategy_Sub2&amp;"_"&amp;$A430,'Investment Strategies'!$C:$P,9,FALSE),
IF(AND(Investment_Strategy="Lifecycle",Investment_Strategy_Sub1="Standard"),VLOOKUP(Investment_Strategy&amp;"_"&amp;Investment_Strategy_Sub2&amp;"_"&amp;$A430,'Investment Strategies'!$AJ:$AV,8,FALSE),
IF(AND(Investment_Strategy="Autopilot",Investment_Strategy_Sub1="Non-Standard"),VLOOKUP(Investment_Strategy&amp;"_"&amp;Investment_Strategy_Sub2&amp;"_"&amp;$A430,'Investment Strategies'!$T:$AF,8,FALSE),
IF(Investment_Strategy ="DIY",DIY_RateOfReturn_CurrentFunds,
"Error")))))),Max_InvReturn)</f>
        <v>0</v>
      </c>
      <c r="F430" s="62">
        <f>IF(AV430=0,0,
IF(Investment_Strategy="DIS",VLOOKUP(Investment_Strategy&amp;"_"&amp;Investment_Strategy_Sub1&amp;"_"&amp;$A430,'Investment Strategies'!$AZ:$BP,15,FALSE),
IF(AND(Investment_Strategy="Lifecycle",Investment_Strategy_Sub1="Non-Standard"),VLOOKUP(Investment_Strategy&amp;"_"&amp;Investment_Strategy_Sub2&amp;"_"&amp;$A430,'Investment Strategies'!$C:$P,12,FALSE),
IF(AND(Investment_Strategy="Lifecycle",Investment_Strategy_Sub1="Standard"),VLOOKUP(Investment_Strategy&amp;"_"&amp;Investment_Strategy_Sub2&amp;"_"&amp;$A430,'Investment Strategies'!$AJ:$AV,11,FALSE),
IF(AND(Investment_Strategy="Autopilot",Investment_Strategy_Sub1="Non-Standard"),VLOOKUP(Investment_Strategy&amp;"_"&amp;Investment_Strategy_Sub2&amp;"_"&amp;$A430,'Investment Strategies'!$T:$AF,11,FALSE),
IF(Investment_Strategy="DIY",DIY_GteeChrge_CurrentFunds,
"Error"))))))</f>
        <v>0</v>
      </c>
      <c r="G430" s="33">
        <f>IF(AV430=0,0,
IF(Investment_Strategy="DIS",VLOOKUP(Investment_Strategy&amp;"_"&amp;Investment_Strategy_Sub1&amp;"_"&amp;$A430,'Investment Strategies'!$AZ:$BP,17,FALSE),
IF(AND(Investment_Strategy="Lifecycle",Investment_Strategy_Sub1="Non-Standard"),VLOOKUP(Investment_Strategy&amp;"_"&amp;Investment_Strategy_Sub2&amp;"_"&amp;$A430,'Investment Strategies'!$C:$P,14,FALSE),
IF(AND(Investment_Strategy="Lifecycle",Investment_Strategy_Sub1="Standard"),VLOOKUP(Investment_Strategy&amp;"_"&amp;Investment_Strategy_Sub2&amp;"_"&amp;$A430,'Investment Strategies'!$AJ:$AV,13,FALSE),
IF(AND(Investment_Strategy="Autopilot",Investment_Strategy_Sub1="Non-Standard"),VLOOKUP(Investment_Strategy&amp;"_"&amp;Investment_Strategy_Sub2&amp;"_"&amp;$A430,'Investment Strategies'!$T:$AF,13,FALSE),
IF(Investment_Strategy="DIY",DIY_ExtManChrge_CurrentFunds,
"Error"))))))</f>
        <v>0</v>
      </c>
      <c r="H430" s="16">
        <f t="shared" si="255"/>
        <v>0</v>
      </c>
      <c r="I430" s="16">
        <f t="shared" si="240"/>
        <v>0</v>
      </c>
      <c r="J430" s="16">
        <f t="shared" si="241"/>
        <v>0</v>
      </c>
      <c r="K430" s="16">
        <f>(Opening_Fund_Value+SUM(K$91:K429))*E430*IF(D430=$A$91,SRP_finalmonthfactor,1)</f>
        <v>0</v>
      </c>
      <c r="L430" s="74">
        <f>MIN(IF($AV430=0,0,
IF(Investment_Strategy="DIS",VLOOKUP(Investment_Strategy&amp;"_"&amp;Investment_Strategy_Sub1&amp;"_"&amp;$A430,'Investment Strategies'!$AZ:$BP,12,FALSE),
IF(AND(Investment_Strategy="Lifecycle",Investment_Strategy_Sub1="Non-Standard"),VLOOKUP(Investment_Strategy&amp;"_"&amp;Investment_Strategy_Sub2&amp;"_"&amp;$A430,'Investment Strategies'!$C:$P,9,FALSE),
IF(AND(Investment_Strategy="Lifecycle",Investment_Strategy_Sub1="Standard"),VLOOKUP(Investment_Strategy&amp;"_"&amp;Investment_Strategy_Sub2&amp;"_"&amp;$A430,'Investment Strategies'!$AJ:$AV,8,FALSE),
IF(AND(Investment_Strategy="Autopilot",Investment_Strategy_Sub1="Non-Standard"),VLOOKUP(Investment_Strategy&amp;"_"&amp;Investment_Strategy_Sub2&amp;"_"&amp;$A430,'Investment Strategies'!$T:$AF,8,FALSE),
IF(Investment_Strategy ="DIY",DIY_RateofReturn_SP,
"Error")))))),Max_InvReturn)</f>
        <v>0</v>
      </c>
      <c r="M430" s="62">
        <f>IF($AV430=0,0,
IF(Investment_Strategy="DIS",VLOOKUP(Investment_Strategy&amp;"_"&amp;Investment_Strategy_Sub1&amp;"_"&amp;$A430,'Investment Strategies'!$AZ:$BP,15,FALSE),
IF(AND(Investment_Strategy="Lifecycle",Investment_Strategy_Sub1="Non-Standard"),VLOOKUP(Investment_Strategy&amp;"_"&amp;Investment_Strategy_Sub2&amp;"_"&amp;$A430,'Investment Strategies'!$C:$P,12,FALSE),
IF(AND(Investment_Strategy="Lifecycle",Investment_Strategy_Sub1="Standard"),VLOOKUP(Investment_Strategy&amp;"_"&amp;Investment_Strategy_Sub2&amp;"_"&amp;$A430,'Investment Strategies'!$AJ:$AV,11,FALSE),
IF(AND(Investment_Strategy="Autopilot",Investment_Strategy_Sub1="Non-Standard"),VLOOKUP(Investment_Strategy&amp;"_"&amp;Investment_Strategy_Sub2&amp;"_"&amp;$A430,'Investment Strategies'!$T:$AF,11,FALSE),
IF(Investment_Strategy="DIY",DIY_GteeChrge_SP,
"Error"))))))</f>
        <v>0</v>
      </c>
      <c r="N430" s="33">
        <f>IF($AV430=0,0,
IF(Investment_Strategy="DIS",VLOOKUP(Investment_Strategy&amp;"_"&amp;Investment_Strategy_Sub1&amp;"_"&amp;$A430,'Investment Strategies'!$AZ:$BP,17,FALSE),
IF(AND(Investment_Strategy="Lifecycle",Investment_Strategy_Sub1="Non-Standard"),VLOOKUP(Investment_Strategy&amp;"_"&amp;Investment_Strategy_Sub2&amp;"_"&amp;$A430,'Investment Strategies'!$C:$P,14,FALSE),
IF(AND(Investment_Strategy="Lifecycle",Investment_Strategy_Sub1="Standard"),VLOOKUP(Investment_Strategy&amp;"_"&amp;Investment_Strategy_Sub2&amp;"_"&amp;$A430,'Investment Strategies'!$AJ:$AV,13,FALSE),
IF(AND(Investment_Strategy="Autopilot",Investment_Strategy_Sub1="Non-Standard"),VLOOKUP(Investment_Strategy&amp;"_"&amp;Investment_Strategy_Sub2&amp;"_"&amp;$A430,'Investment Strategies'!$T:$AF,13,FALSE),
IF(Investment_Strategy="DIY",DIY_ExtManChrge_SP,
"Error"))))))</f>
        <v>0</v>
      </c>
      <c r="O430" s="16">
        <f t="shared" si="266"/>
        <v>0</v>
      </c>
      <c r="Q430" s="16">
        <f t="shared" si="242"/>
        <v>0</v>
      </c>
      <c r="R430" s="16">
        <f t="shared" si="239"/>
        <v>0</v>
      </c>
      <c r="S430" s="16">
        <f>(SRP_SP+SUM(S$91:S429))*L430*IF(D430=$A$91,SRP_finalmonthfactor,1)</f>
        <v>0</v>
      </c>
      <c r="T430" s="74">
        <f>MIN(IF($AV430=0,0,
IF(Investment_Strategy="DIS",VLOOKUP(Investment_Strategy&amp;"_"&amp;Investment_Strategy_Sub1&amp;"_"&amp;$A430,'Investment Strategies'!$AZ:$BP,12,FALSE),
IF(AND(Investment_Strategy="Lifecycle",Investment_Strategy_Sub1="Non-Standard"),VLOOKUP(Investment_Strategy&amp;"_"&amp;Investment_Strategy_Sub2&amp;"_"&amp;$A430,'Investment Strategies'!$C:$P,9,FALSE),
IF(AND(Investment_Strategy="Lifecycle",Investment_Strategy_Sub1="Standard"),VLOOKUP(Investment_Strategy&amp;"_"&amp;Investment_Strategy_Sub2&amp;"_"&amp;$A430,'Investment Strategies'!$AJ:$AV,8,FALSE),
IF(AND(Investment_Strategy="Autopilot",Investment_Strategy_Sub1="Non-Standard"),VLOOKUP(Investment_Strategy&amp;"_"&amp;Investment_Strategy_Sub2&amp;"_"&amp;$A430,'Investment Strategies'!$T:$AF,8,FALSE),
IF(Investment_Strategy ="DIY",DIY_RateOfReturn_FuturePremiums,
"Error")))))),Max_InvReturn)</f>
        <v>0</v>
      </c>
      <c r="U430" s="62">
        <f>IF($AV430=0,0,
IF(Investment_Strategy="DIS",VLOOKUP(Investment_Strategy&amp;"_"&amp;Investment_Strategy_Sub1&amp;"_"&amp;$A430,'Investment Strategies'!$AZ:$BP,15,FALSE),
IF(AND(Investment_Strategy="Lifecycle",Investment_Strategy_Sub1="Non-Standard"),VLOOKUP(Investment_Strategy&amp;"_"&amp;Investment_Strategy_Sub2&amp;"_"&amp;$A430,'Investment Strategies'!$C:$P,12,FALSE),
IF(AND(Investment_Strategy="Lifecycle",Investment_Strategy_Sub1="Standard"),VLOOKUP(Investment_Strategy&amp;"_"&amp;Investment_Strategy_Sub2&amp;"_"&amp;$A430,'Investment Strategies'!$AJ:$AV,11,FALSE),
IF(AND(Investment_Strategy="Autopilot",Investment_Strategy_Sub1="Non-Standard"),VLOOKUP(Investment_Strategy&amp;"_"&amp;Investment_Strategy_Sub2&amp;"_"&amp;$A430,'Investment Strategies'!$T:$AF,11,FALSE),
IF(Investment_Strategy="DIY",DIY_GteeChrge_FuturePremiums,
"Error"))))))</f>
        <v>0</v>
      </c>
      <c r="V430" s="33">
        <f>IF(AV430=0,0,
IF(Investment_Strategy="DIS",VLOOKUP(Investment_Strategy&amp;"_"&amp;Investment_Strategy_Sub1&amp;"_"&amp;$A430,'Investment Strategies'!$AZ:$BP,17,FALSE),
IF(AND(Investment_Strategy="Lifecycle",Investment_Strategy_Sub1="Non-Standard"),VLOOKUP(Investment_Strategy&amp;"_"&amp;Investment_Strategy_Sub2&amp;"_"&amp;$A430,'Investment Strategies'!$C:$P,14,FALSE),
IF(AND(Investment_Strategy="Lifecycle",Investment_Strategy_Sub1="Standard"),VLOOKUP(Investment_Strategy&amp;"_"&amp;Investment_Strategy_Sub2&amp;"_"&amp;$A430,'Investment Strategies'!$AJ:$AV,13,FALSE),
IF(AND(Investment_Strategy="Autopilot",Investment_Strategy_Sub1="Non-Standard"),VLOOKUP(Investment_Strategy&amp;"_"&amp;Investment_Strategy_Sub2&amp;"_"&amp;$A430,'Investment Strategies'!$T:$AF,13,FALSE),
IF(Investment_Strategy="DIY",DIY_ExtManChrge_FuturePremiums,
"Error"))))))</f>
        <v>0</v>
      </c>
      <c r="W430" s="16">
        <f t="shared" si="267"/>
        <v>0</v>
      </c>
      <c r="X430" s="16">
        <f t="shared" si="243"/>
        <v>0</v>
      </c>
      <c r="Y430" s="16">
        <f t="shared" si="244"/>
        <v>0</v>
      </c>
      <c r="Z430" s="31">
        <f t="shared" si="245"/>
        <v>0.02</v>
      </c>
      <c r="AA430" s="16">
        <f t="shared" si="246"/>
        <v>0</v>
      </c>
      <c r="AB430" s="28">
        <f t="shared" si="268"/>
        <v>0</v>
      </c>
      <c r="AC430" s="28">
        <f>(SUM($AC$91:AC429)+SUM($X$91:X429)+X430)*T430*IF(D430=$A$91,SRP_finalmonthfactor,1)</f>
        <v>0</v>
      </c>
      <c r="AD430" s="16">
        <f t="shared" si="247"/>
        <v>0</v>
      </c>
      <c r="AE430" s="106"/>
      <c r="AF430" s="16">
        <f t="shared" si="256"/>
        <v>0</v>
      </c>
      <c r="AG430" s="16">
        <f t="shared" si="257"/>
        <v>0</v>
      </c>
      <c r="AH430" s="16">
        <f t="shared" si="258"/>
        <v>0</v>
      </c>
      <c r="AJ430" s="13">
        <f t="shared" si="269"/>
        <v>0</v>
      </c>
      <c r="AK430" s="13">
        <f t="shared" si="269"/>
        <v>0</v>
      </c>
      <c r="AL430" s="13">
        <f t="shared" si="269"/>
        <v>0</v>
      </c>
      <c r="AM430" s="13">
        <f t="shared" si="269"/>
        <v>0</v>
      </c>
      <c r="AN430" s="13">
        <f t="shared" si="269"/>
        <v>0</v>
      </c>
      <c r="AO430" s="13">
        <f t="shared" si="269"/>
        <v>1</v>
      </c>
      <c r="AP430" s="13">
        <f t="shared" si="269"/>
        <v>1</v>
      </c>
      <c r="AQ430" s="13">
        <f t="shared" si="269"/>
        <v>1</v>
      </c>
      <c r="AR430" s="13">
        <f t="shared" si="269"/>
        <v>0</v>
      </c>
      <c r="AS430" s="13">
        <f t="shared" si="269"/>
        <v>1</v>
      </c>
      <c r="AT430" s="13">
        <f t="shared" si="269"/>
        <v>1</v>
      </c>
      <c r="AU430" s="13">
        <f t="shared" si="269"/>
        <v>1</v>
      </c>
      <c r="AV430" s="13">
        <f t="shared" si="249"/>
        <v>0</v>
      </c>
      <c r="AW430" s="13">
        <f t="shared" si="250"/>
        <v>1</v>
      </c>
      <c r="AY430" s="17">
        <f t="shared" si="251"/>
        <v>340</v>
      </c>
      <c r="AZ430" s="28">
        <f t="shared" si="259"/>
        <v>0</v>
      </c>
      <c r="BA430" s="13">
        <f t="shared" si="252"/>
        <v>0</v>
      </c>
      <c r="BB430" s="13">
        <f t="shared" si="253"/>
        <v>0</v>
      </c>
      <c r="BC430" s="28">
        <f t="shared" si="260"/>
        <v>0</v>
      </c>
      <c r="BD430" s="28">
        <f t="shared" si="261"/>
        <v>0</v>
      </c>
      <c r="BF430" s="248">
        <f t="shared" si="262"/>
        <v>993869.29442638322</v>
      </c>
    </row>
    <row r="431" spans="1:58">
      <c r="A431" s="32">
        <f t="shared" si="263"/>
        <v>-256</v>
      </c>
      <c r="B431" s="32">
        <f t="shared" si="254"/>
        <v>81</v>
      </c>
      <c r="C431" s="32">
        <f t="shared" si="264"/>
        <v>29</v>
      </c>
      <c r="D431" s="32">
        <f t="shared" si="265"/>
        <v>341</v>
      </c>
      <c r="E431" s="74">
        <f>MIN(IF(AV431=0,0,
IF(Investment_Strategy="DIS",VLOOKUP(Investment_Strategy&amp;"_"&amp;Investment_Strategy_Sub1&amp;"_"&amp;$A431,'Investment Strategies'!$AZ:$BP,12,FALSE),
IF(AND(Investment_Strategy="Lifecycle",Investment_Strategy_Sub1="Non-Standard"),VLOOKUP(Investment_Strategy&amp;"_"&amp;Investment_Strategy_Sub2&amp;"_"&amp;$A431,'Investment Strategies'!$C:$P,9,FALSE),
IF(AND(Investment_Strategy="Lifecycle",Investment_Strategy_Sub1="Standard"),VLOOKUP(Investment_Strategy&amp;"_"&amp;Investment_Strategy_Sub2&amp;"_"&amp;$A431,'Investment Strategies'!$AJ:$AV,8,FALSE),
IF(AND(Investment_Strategy="Autopilot",Investment_Strategy_Sub1="Non-Standard"),VLOOKUP(Investment_Strategy&amp;"_"&amp;Investment_Strategy_Sub2&amp;"_"&amp;$A431,'Investment Strategies'!$T:$AF,8,FALSE),
IF(Investment_Strategy ="DIY",DIY_RateOfReturn_CurrentFunds,
"Error")))))),Max_InvReturn)</f>
        <v>0</v>
      </c>
      <c r="F431" s="62">
        <f>IF(AV431=0,0,
IF(Investment_Strategy="DIS",VLOOKUP(Investment_Strategy&amp;"_"&amp;Investment_Strategy_Sub1&amp;"_"&amp;$A431,'Investment Strategies'!$AZ:$BP,15,FALSE),
IF(AND(Investment_Strategy="Lifecycle",Investment_Strategy_Sub1="Non-Standard"),VLOOKUP(Investment_Strategy&amp;"_"&amp;Investment_Strategy_Sub2&amp;"_"&amp;$A431,'Investment Strategies'!$C:$P,12,FALSE),
IF(AND(Investment_Strategy="Lifecycle",Investment_Strategy_Sub1="Standard"),VLOOKUP(Investment_Strategy&amp;"_"&amp;Investment_Strategy_Sub2&amp;"_"&amp;$A431,'Investment Strategies'!$AJ:$AV,11,FALSE),
IF(AND(Investment_Strategy="Autopilot",Investment_Strategy_Sub1="Non-Standard"),VLOOKUP(Investment_Strategy&amp;"_"&amp;Investment_Strategy_Sub2&amp;"_"&amp;$A431,'Investment Strategies'!$T:$AF,11,FALSE),
IF(Investment_Strategy="DIY",DIY_GteeChrge_CurrentFunds,
"Error"))))))</f>
        <v>0</v>
      </c>
      <c r="G431" s="33">
        <f>IF(AV431=0,0,
IF(Investment_Strategy="DIS",VLOOKUP(Investment_Strategy&amp;"_"&amp;Investment_Strategy_Sub1&amp;"_"&amp;$A431,'Investment Strategies'!$AZ:$BP,17,FALSE),
IF(AND(Investment_Strategy="Lifecycle",Investment_Strategy_Sub1="Non-Standard"),VLOOKUP(Investment_Strategy&amp;"_"&amp;Investment_Strategy_Sub2&amp;"_"&amp;$A431,'Investment Strategies'!$C:$P,14,FALSE),
IF(AND(Investment_Strategy="Lifecycle",Investment_Strategy_Sub1="Standard"),VLOOKUP(Investment_Strategy&amp;"_"&amp;Investment_Strategy_Sub2&amp;"_"&amp;$A431,'Investment Strategies'!$AJ:$AV,13,FALSE),
IF(AND(Investment_Strategy="Autopilot",Investment_Strategy_Sub1="Non-Standard"),VLOOKUP(Investment_Strategy&amp;"_"&amp;Investment_Strategy_Sub2&amp;"_"&amp;$A431,'Investment Strategies'!$T:$AF,13,FALSE),
IF(Investment_Strategy="DIY",DIY_ExtManChrge_CurrentFunds,
"Error"))))))</f>
        <v>0</v>
      </c>
      <c r="H431" s="16">
        <f t="shared" si="255"/>
        <v>0</v>
      </c>
      <c r="I431" s="16">
        <f t="shared" si="240"/>
        <v>0</v>
      </c>
      <c r="J431" s="16">
        <f t="shared" si="241"/>
        <v>0</v>
      </c>
      <c r="K431" s="16">
        <f>(Opening_Fund_Value+SUM(K$91:K430))*E431*IF(D431=$A$91,SRP_finalmonthfactor,1)</f>
        <v>0</v>
      </c>
      <c r="L431" s="74">
        <f>MIN(IF($AV431=0,0,
IF(Investment_Strategy="DIS",VLOOKUP(Investment_Strategy&amp;"_"&amp;Investment_Strategy_Sub1&amp;"_"&amp;$A431,'Investment Strategies'!$AZ:$BP,12,FALSE),
IF(AND(Investment_Strategy="Lifecycle",Investment_Strategy_Sub1="Non-Standard"),VLOOKUP(Investment_Strategy&amp;"_"&amp;Investment_Strategy_Sub2&amp;"_"&amp;$A431,'Investment Strategies'!$C:$P,9,FALSE),
IF(AND(Investment_Strategy="Lifecycle",Investment_Strategy_Sub1="Standard"),VLOOKUP(Investment_Strategy&amp;"_"&amp;Investment_Strategy_Sub2&amp;"_"&amp;$A431,'Investment Strategies'!$AJ:$AV,8,FALSE),
IF(AND(Investment_Strategy="Autopilot",Investment_Strategy_Sub1="Non-Standard"),VLOOKUP(Investment_Strategy&amp;"_"&amp;Investment_Strategy_Sub2&amp;"_"&amp;$A431,'Investment Strategies'!$T:$AF,8,FALSE),
IF(Investment_Strategy ="DIY",DIY_RateofReturn_SP,
"Error")))))),Max_InvReturn)</f>
        <v>0</v>
      </c>
      <c r="M431" s="62">
        <f>IF($AV431=0,0,
IF(Investment_Strategy="DIS",VLOOKUP(Investment_Strategy&amp;"_"&amp;Investment_Strategy_Sub1&amp;"_"&amp;$A431,'Investment Strategies'!$AZ:$BP,15,FALSE),
IF(AND(Investment_Strategy="Lifecycle",Investment_Strategy_Sub1="Non-Standard"),VLOOKUP(Investment_Strategy&amp;"_"&amp;Investment_Strategy_Sub2&amp;"_"&amp;$A431,'Investment Strategies'!$C:$P,12,FALSE),
IF(AND(Investment_Strategy="Lifecycle",Investment_Strategy_Sub1="Standard"),VLOOKUP(Investment_Strategy&amp;"_"&amp;Investment_Strategy_Sub2&amp;"_"&amp;$A431,'Investment Strategies'!$AJ:$AV,11,FALSE),
IF(AND(Investment_Strategy="Autopilot",Investment_Strategy_Sub1="Non-Standard"),VLOOKUP(Investment_Strategy&amp;"_"&amp;Investment_Strategy_Sub2&amp;"_"&amp;$A431,'Investment Strategies'!$T:$AF,11,FALSE),
IF(Investment_Strategy="DIY",DIY_GteeChrge_SP,
"Error"))))))</f>
        <v>0</v>
      </c>
      <c r="N431" s="33">
        <f>IF($AV431=0,0,
IF(Investment_Strategy="DIS",VLOOKUP(Investment_Strategy&amp;"_"&amp;Investment_Strategy_Sub1&amp;"_"&amp;$A431,'Investment Strategies'!$AZ:$BP,17,FALSE),
IF(AND(Investment_Strategy="Lifecycle",Investment_Strategy_Sub1="Non-Standard"),VLOOKUP(Investment_Strategy&amp;"_"&amp;Investment_Strategy_Sub2&amp;"_"&amp;$A431,'Investment Strategies'!$C:$P,14,FALSE),
IF(AND(Investment_Strategy="Lifecycle",Investment_Strategy_Sub1="Standard"),VLOOKUP(Investment_Strategy&amp;"_"&amp;Investment_Strategy_Sub2&amp;"_"&amp;$A431,'Investment Strategies'!$AJ:$AV,13,FALSE),
IF(AND(Investment_Strategy="Autopilot",Investment_Strategy_Sub1="Non-Standard"),VLOOKUP(Investment_Strategy&amp;"_"&amp;Investment_Strategy_Sub2&amp;"_"&amp;$A431,'Investment Strategies'!$T:$AF,13,FALSE),
IF(Investment_Strategy="DIY",DIY_ExtManChrge_SP,
"Error"))))))</f>
        <v>0</v>
      </c>
      <c r="O431" s="16">
        <f t="shared" si="266"/>
        <v>0</v>
      </c>
      <c r="Q431" s="16">
        <f t="shared" si="242"/>
        <v>0</v>
      </c>
      <c r="R431" s="16">
        <f t="shared" si="239"/>
        <v>0</v>
      </c>
      <c r="S431" s="16">
        <f>(SRP_SP+SUM(S$91:S430))*L431*IF(D431=$A$91,SRP_finalmonthfactor,1)</f>
        <v>0</v>
      </c>
      <c r="T431" s="74">
        <f>MIN(IF($AV431=0,0,
IF(Investment_Strategy="DIS",VLOOKUP(Investment_Strategy&amp;"_"&amp;Investment_Strategy_Sub1&amp;"_"&amp;$A431,'Investment Strategies'!$AZ:$BP,12,FALSE),
IF(AND(Investment_Strategy="Lifecycle",Investment_Strategy_Sub1="Non-Standard"),VLOOKUP(Investment_Strategy&amp;"_"&amp;Investment_Strategy_Sub2&amp;"_"&amp;$A431,'Investment Strategies'!$C:$P,9,FALSE),
IF(AND(Investment_Strategy="Lifecycle",Investment_Strategy_Sub1="Standard"),VLOOKUP(Investment_Strategy&amp;"_"&amp;Investment_Strategy_Sub2&amp;"_"&amp;$A431,'Investment Strategies'!$AJ:$AV,8,FALSE),
IF(AND(Investment_Strategy="Autopilot",Investment_Strategy_Sub1="Non-Standard"),VLOOKUP(Investment_Strategy&amp;"_"&amp;Investment_Strategy_Sub2&amp;"_"&amp;$A431,'Investment Strategies'!$T:$AF,8,FALSE),
IF(Investment_Strategy ="DIY",DIY_RateOfReturn_FuturePremiums,
"Error")))))),Max_InvReturn)</f>
        <v>0</v>
      </c>
      <c r="U431" s="62">
        <f>IF($AV431=0,0,
IF(Investment_Strategy="DIS",VLOOKUP(Investment_Strategy&amp;"_"&amp;Investment_Strategy_Sub1&amp;"_"&amp;$A431,'Investment Strategies'!$AZ:$BP,15,FALSE),
IF(AND(Investment_Strategy="Lifecycle",Investment_Strategy_Sub1="Non-Standard"),VLOOKUP(Investment_Strategy&amp;"_"&amp;Investment_Strategy_Sub2&amp;"_"&amp;$A431,'Investment Strategies'!$C:$P,12,FALSE),
IF(AND(Investment_Strategy="Lifecycle",Investment_Strategy_Sub1="Standard"),VLOOKUP(Investment_Strategy&amp;"_"&amp;Investment_Strategy_Sub2&amp;"_"&amp;$A431,'Investment Strategies'!$AJ:$AV,11,FALSE),
IF(AND(Investment_Strategy="Autopilot",Investment_Strategy_Sub1="Non-Standard"),VLOOKUP(Investment_Strategy&amp;"_"&amp;Investment_Strategy_Sub2&amp;"_"&amp;$A431,'Investment Strategies'!$T:$AF,11,FALSE),
IF(Investment_Strategy="DIY",DIY_GteeChrge_FuturePremiums,
"Error"))))))</f>
        <v>0</v>
      </c>
      <c r="V431" s="33">
        <f>IF(AV431=0,0,
IF(Investment_Strategy="DIS",VLOOKUP(Investment_Strategy&amp;"_"&amp;Investment_Strategy_Sub1&amp;"_"&amp;$A431,'Investment Strategies'!$AZ:$BP,17,FALSE),
IF(AND(Investment_Strategy="Lifecycle",Investment_Strategy_Sub1="Non-Standard"),VLOOKUP(Investment_Strategy&amp;"_"&amp;Investment_Strategy_Sub2&amp;"_"&amp;$A431,'Investment Strategies'!$C:$P,14,FALSE),
IF(AND(Investment_Strategy="Lifecycle",Investment_Strategy_Sub1="Standard"),VLOOKUP(Investment_Strategy&amp;"_"&amp;Investment_Strategy_Sub2&amp;"_"&amp;$A431,'Investment Strategies'!$AJ:$AV,13,FALSE),
IF(AND(Investment_Strategy="Autopilot",Investment_Strategy_Sub1="Non-Standard"),VLOOKUP(Investment_Strategy&amp;"_"&amp;Investment_Strategy_Sub2&amp;"_"&amp;$A431,'Investment Strategies'!$T:$AF,13,FALSE),
IF(Investment_Strategy="DIY",DIY_ExtManChrge_FuturePremiums,
"Error"))))))</f>
        <v>0</v>
      </c>
      <c r="W431" s="16">
        <f t="shared" si="267"/>
        <v>0</v>
      </c>
      <c r="X431" s="16">
        <f t="shared" si="243"/>
        <v>0</v>
      </c>
      <c r="Y431" s="16">
        <f t="shared" si="244"/>
        <v>0</v>
      </c>
      <c r="Z431" s="31">
        <f t="shared" si="245"/>
        <v>0.02</v>
      </c>
      <c r="AA431" s="16">
        <f t="shared" si="246"/>
        <v>0</v>
      </c>
      <c r="AB431" s="28">
        <f t="shared" si="268"/>
        <v>0</v>
      </c>
      <c r="AC431" s="28">
        <f>(SUM($AC$91:AC430)+SUM($X$91:X430)+X431)*T431*IF(D431=$A$91,SRP_finalmonthfactor,1)</f>
        <v>0</v>
      </c>
      <c r="AD431" s="16">
        <f t="shared" si="247"/>
        <v>0</v>
      </c>
      <c r="AE431" s="106"/>
      <c r="AF431" s="16">
        <f t="shared" si="256"/>
        <v>0</v>
      </c>
      <c r="AG431" s="16">
        <f t="shared" si="257"/>
        <v>0</v>
      </c>
      <c r="AH431" s="16">
        <f t="shared" si="258"/>
        <v>0</v>
      </c>
      <c r="AJ431" s="13">
        <f t="shared" ref="AJ431:AU440" si="270">IF($C431&lt;=AJ$90,1,0)</f>
        <v>0</v>
      </c>
      <c r="AK431" s="13">
        <f t="shared" si="270"/>
        <v>0</v>
      </c>
      <c r="AL431" s="13">
        <f t="shared" si="270"/>
        <v>0</v>
      </c>
      <c r="AM431" s="13">
        <f t="shared" si="270"/>
        <v>0</v>
      </c>
      <c r="AN431" s="13">
        <f t="shared" si="270"/>
        <v>0</v>
      </c>
      <c r="AO431" s="13">
        <f t="shared" si="270"/>
        <v>1</v>
      </c>
      <c r="AP431" s="13">
        <f t="shared" si="270"/>
        <v>1</v>
      </c>
      <c r="AQ431" s="13">
        <f t="shared" si="270"/>
        <v>1</v>
      </c>
      <c r="AR431" s="13">
        <f t="shared" si="270"/>
        <v>0</v>
      </c>
      <c r="AS431" s="13">
        <f t="shared" si="270"/>
        <v>1</v>
      </c>
      <c r="AT431" s="13">
        <f t="shared" si="270"/>
        <v>1</v>
      </c>
      <c r="AU431" s="13">
        <f t="shared" si="270"/>
        <v>1</v>
      </c>
      <c r="AV431" s="13">
        <f t="shared" si="249"/>
        <v>0</v>
      </c>
      <c r="AW431" s="13">
        <f t="shared" si="250"/>
        <v>1</v>
      </c>
      <c r="AY431" s="17">
        <f t="shared" si="251"/>
        <v>341</v>
      </c>
      <c r="AZ431" s="28">
        <f t="shared" si="259"/>
        <v>0</v>
      </c>
      <c r="BA431" s="13">
        <f t="shared" si="252"/>
        <v>0</v>
      </c>
      <c r="BB431" s="13">
        <f t="shared" si="253"/>
        <v>0</v>
      </c>
      <c r="BC431" s="28">
        <f t="shared" si="260"/>
        <v>0</v>
      </c>
      <c r="BD431" s="28">
        <f t="shared" si="261"/>
        <v>0</v>
      </c>
      <c r="BF431" s="248">
        <f t="shared" si="262"/>
        <v>993869.29442638322</v>
      </c>
    </row>
    <row r="432" spans="1:58">
      <c r="A432" s="32">
        <f t="shared" si="263"/>
        <v>-257</v>
      </c>
      <c r="B432" s="32">
        <f t="shared" si="254"/>
        <v>81</v>
      </c>
      <c r="C432" s="32">
        <f t="shared" si="264"/>
        <v>29</v>
      </c>
      <c r="D432" s="32">
        <f t="shared" si="265"/>
        <v>342</v>
      </c>
      <c r="E432" s="74">
        <f>MIN(IF(AV432=0,0,
IF(Investment_Strategy="DIS",VLOOKUP(Investment_Strategy&amp;"_"&amp;Investment_Strategy_Sub1&amp;"_"&amp;$A432,'Investment Strategies'!$AZ:$BP,12,FALSE),
IF(AND(Investment_Strategy="Lifecycle",Investment_Strategy_Sub1="Non-Standard"),VLOOKUP(Investment_Strategy&amp;"_"&amp;Investment_Strategy_Sub2&amp;"_"&amp;$A432,'Investment Strategies'!$C:$P,9,FALSE),
IF(AND(Investment_Strategy="Lifecycle",Investment_Strategy_Sub1="Standard"),VLOOKUP(Investment_Strategy&amp;"_"&amp;Investment_Strategy_Sub2&amp;"_"&amp;$A432,'Investment Strategies'!$AJ:$AV,8,FALSE),
IF(AND(Investment_Strategy="Autopilot",Investment_Strategy_Sub1="Non-Standard"),VLOOKUP(Investment_Strategy&amp;"_"&amp;Investment_Strategy_Sub2&amp;"_"&amp;$A432,'Investment Strategies'!$T:$AF,8,FALSE),
IF(Investment_Strategy ="DIY",DIY_RateOfReturn_CurrentFunds,
"Error")))))),Max_InvReturn)</f>
        <v>0</v>
      </c>
      <c r="F432" s="62">
        <f>IF(AV432=0,0,
IF(Investment_Strategy="DIS",VLOOKUP(Investment_Strategy&amp;"_"&amp;Investment_Strategy_Sub1&amp;"_"&amp;$A432,'Investment Strategies'!$AZ:$BP,15,FALSE),
IF(AND(Investment_Strategy="Lifecycle",Investment_Strategy_Sub1="Non-Standard"),VLOOKUP(Investment_Strategy&amp;"_"&amp;Investment_Strategy_Sub2&amp;"_"&amp;$A432,'Investment Strategies'!$C:$P,12,FALSE),
IF(AND(Investment_Strategy="Lifecycle",Investment_Strategy_Sub1="Standard"),VLOOKUP(Investment_Strategy&amp;"_"&amp;Investment_Strategy_Sub2&amp;"_"&amp;$A432,'Investment Strategies'!$AJ:$AV,11,FALSE),
IF(AND(Investment_Strategy="Autopilot",Investment_Strategy_Sub1="Non-Standard"),VLOOKUP(Investment_Strategy&amp;"_"&amp;Investment_Strategy_Sub2&amp;"_"&amp;$A432,'Investment Strategies'!$T:$AF,11,FALSE),
IF(Investment_Strategy="DIY",DIY_GteeChrge_CurrentFunds,
"Error"))))))</f>
        <v>0</v>
      </c>
      <c r="G432" s="33">
        <f>IF(AV432=0,0,
IF(Investment_Strategy="DIS",VLOOKUP(Investment_Strategy&amp;"_"&amp;Investment_Strategy_Sub1&amp;"_"&amp;$A432,'Investment Strategies'!$AZ:$BP,17,FALSE),
IF(AND(Investment_Strategy="Lifecycle",Investment_Strategy_Sub1="Non-Standard"),VLOOKUP(Investment_Strategy&amp;"_"&amp;Investment_Strategy_Sub2&amp;"_"&amp;$A432,'Investment Strategies'!$C:$P,14,FALSE),
IF(AND(Investment_Strategy="Lifecycle",Investment_Strategy_Sub1="Standard"),VLOOKUP(Investment_Strategy&amp;"_"&amp;Investment_Strategy_Sub2&amp;"_"&amp;$A432,'Investment Strategies'!$AJ:$AV,13,FALSE),
IF(AND(Investment_Strategy="Autopilot",Investment_Strategy_Sub1="Non-Standard"),VLOOKUP(Investment_Strategy&amp;"_"&amp;Investment_Strategy_Sub2&amp;"_"&amp;$A432,'Investment Strategies'!$T:$AF,13,FALSE),
IF(Investment_Strategy="DIY",DIY_ExtManChrge_CurrentFunds,
"Error"))))))</f>
        <v>0</v>
      </c>
      <c r="H432" s="16">
        <f t="shared" si="255"/>
        <v>0</v>
      </c>
      <c r="I432" s="16">
        <f t="shared" si="240"/>
        <v>0</v>
      </c>
      <c r="J432" s="16">
        <f t="shared" si="241"/>
        <v>0</v>
      </c>
      <c r="K432" s="16">
        <f>(Opening_Fund_Value+SUM(K$91:K431))*E432*IF(D432=$A$91,SRP_finalmonthfactor,1)</f>
        <v>0</v>
      </c>
      <c r="L432" s="74">
        <f>MIN(IF($AV432=0,0,
IF(Investment_Strategy="DIS",VLOOKUP(Investment_Strategy&amp;"_"&amp;Investment_Strategy_Sub1&amp;"_"&amp;$A432,'Investment Strategies'!$AZ:$BP,12,FALSE),
IF(AND(Investment_Strategy="Lifecycle",Investment_Strategy_Sub1="Non-Standard"),VLOOKUP(Investment_Strategy&amp;"_"&amp;Investment_Strategy_Sub2&amp;"_"&amp;$A432,'Investment Strategies'!$C:$P,9,FALSE),
IF(AND(Investment_Strategy="Lifecycle",Investment_Strategy_Sub1="Standard"),VLOOKUP(Investment_Strategy&amp;"_"&amp;Investment_Strategy_Sub2&amp;"_"&amp;$A432,'Investment Strategies'!$AJ:$AV,8,FALSE),
IF(AND(Investment_Strategy="Autopilot",Investment_Strategy_Sub1="Non-Standard"),VLOOKUP(Investment_Strategy&amp;"_"&amp;Investment_Strategy_Sub2&amp;"_"&amp;$A432,'Investment Strategies'!$T:$AF,8,FALSE),
IF(Investment_Strategy ="DIY",DIY_RateofReturn_SP,
"Error")))))),Max_InvReturn)</f>
        <v>0</v>
      </c>
      <c r="M432" s="62">
        <f>IF($AV432=0,0,
IF(Investment_Strategy="DIS",VLOOKUP(Investment_Strategy&amp;"_"&amp;Investment_Strategy_Sub1&amp;"_"&amp;$A432,'Investment Strategies'!$AZ:$BP,15,FALSE),
IF(AND(Investment_Strategy="Lifecycle",Investment_Strategy_Sub1="Non-Standard"),VLOOKUP(Investment_Strategy&amp;"_"&amp;Investment_Strategy_Sub2&amp;"_"&amp;$A432,'Investment Strategies'!$C:$P,12,FALSE),
IF(AND(Investment_Strategy="Lifecycle",Investment_Strategy_Sub1="Standard"),VLOOKUP(Investment_Strategy&amp;"_"&amp;Investment_Strategy_Sub2&amp;"_"&amp;$A432,'Investment Strategies'!$AJ:$AV,11,FALSE),
IF(AND(Investment_Strategy="Autopilot",Investment_Strategy_Sub1="Non-Standard"),VLOOKUP(Investment_Strategy&amp;"_"&amp;Investment_Strategy_Sub2&amp;"_"&amp;$A432,'Investment Strategies'!$T:$AF,11,FALSE),
IF(Investment_Strategy="DIY",DIY_GteeChrge_SP,
"Error"))))))</f>
        <v>0</v>
      </c>
      <c r="N432" s="33">
        <f>IF($AV432=0,0,
IF(Investment_Strategy="DIS",VLOOKUP(Investment_Strategy&amp;"_"&amp;Investment_Strategy_Sub1&amp;"_"&amp;$A432,'Investment Strategies'!$AZ:$BP,17,FALSE),
IF(AND(Investment_Strategy="Lifecycle",Investment_Strategy_Sub1="Non-Standard"),VLOOKUP(Investment_Strategy&amp;"_"&amp;Investment_Strategy_Sub2&amp;"_"&amp;$A432,'Investment Strategies'!$C:$P,14,FALSE),
IF(AND(Investment_Strategy="Lifecycle",Investment_Strategy_Sub1="Standard"),VLOOKUP(Investment_Strategy&amp;"_"&amp;Investment_Strategy_Sub2&amp;"_"&amp;$A432,'Investment Strategies'!$AJ:$AV,13,FALSE),
IF(AND(Investment_Strategy="Autopilot",Investment_Strategy_Sub1="Non-Standard"),VLOOKUP(Investment_Strategy&amp;"_"&amp;Investment_Strategy_Sub2&amp;"_"&amp;$A432,'Investment Strategies'!$T:$AF,13,FALSE),
IF(Investment_Strategy="DIY",DIY_ExtManChrge_SP,
"Error"))))))</f>
        <v>0</v>
      </c>
      <c r="O432" s="16">
        <f t="shared" si="266"/>
        <v>0</v>
      </c>
      <c r="Q432" s="16">
        <f t="shared" si="242"/>
        <v>0</v>
      </c>
      <c r="R432" s="16">
        <f t="shared" si="239"/>
        <v>0</v>
      </c>
      <c r="S432" s="16">
        <f>(SRP_SP+SUM(S$91:S431))*L432*IF(D432=$A$91,SRP_finalmonthfactor,1)</f>
        <v>0</v>
      </c>
      <c r="T432" s="74">
        <f>MIN(IF($AV432=0,0,
IF(Investment_Strategy="DIS",VLOOKUP(Investment_Strategy&amp;"_"&amp;Investment_Strategy_Sub1&amp;"_"&amp;$A432,'Investment Strategies'!$AZ:$BP,12,FALSE),
IF(AND(Investment_Strategy="Lifecycle",Investment_Strategy_Sub1="Non-Standard"),VLOOKUP(Investment_Strategy&amp;"_"&amp;Investment_Strategy_Sub2&amp;"_"&amp;$A432,'Investment Strategies'!$C:$P,9,FALSE),
IF(AND(Investment_Strategy="Lifecycle",Investment_Strategy_Sub1="Standard"),VLOOKUP(Investment_Strategy&amp;"_"&amp;Investment_Strategy_Sub2&amp;"_"&amp;$A432,'Investment Strategies'!$AJ:$AV,8,FALSE),
IF(AND(Investment_Strategy="Autopilot",Investment_Strategy_Sub1="Non-Standard"),VLOOKUP(Investment_Strategy&amp;"_"&amp;Investment_Strategy_Sub2&amp;"_"&amp;$A432,'Investment Strategies'!$T:$AF,8,FALSE),
IF(Investment_Strategy ="DIY",DIY_RateOfReturn_FuturePremiums,
"Error")))))),Max_InvReturn)</f>
        <v>0</v>
      </c>
      <c r="U432" s="62">
        <f>IF($AV432=0,0,
IF(Investment_Strategy="DIS",VLOOKUP(Investment_Strategy&amp;"_"&amp;Investment_Strategy_Sub1&amp;"_"&amp;$A432,'Investment Strategies'!$AZ:$BP,15,FALSE),
IF(AND(Investment_Strategy="Lifecycle",Investment_Strategy_Sub1="Non-Standard"),VLOOKUP(Investment_Strategy&amp;"_"&amp;Investment_Strategy_Sub2&amp;"_"&amp;$A432,'Investment Strategies'!$C:$P,12,FALSE),
IF(AND(Investment_Strategy="Lifecycle",Investment_Strategy_Sub1="Standard"),VLOOKUP(Investment_Strategy&amp;"_"&amp;Investment_Strategy_Sub2&amp;"_"&amp;$A432,'Investment Strategies'!$AJ:$AV,11,FALSE),
IF(AND(Investment_Strategy="Autopilot",Investment_Strategy_Sub1="Non-Standard"),VLOOKUP(Investment_Strategy&amp;"_"&amp;Investment_Strategy_Sub2&amp;"_"&amp;$A432,'Investment Strategies'!$T:$AF,11,FALSE),
IF(Investment_Strategy="DIY",DIY_GteeChrge_FuturePremiums,
"Error"))))))</f>
        <v>0</v>
      </c>
      <c r="V432" s="33">
        <f>IF(AV432=0,0,
IF(Investment_Strategy="DIS",VLOOKUP(Investment_Strategy&amp;"_"&amp;Investment_Strategy_Sub1&amp;"_"&amp;$A432,'Investment Strategies'!$AZ:$BP,17,FALSE),
IF(AND(Investment_Strategy="Lifecycle",Investment_Strategy_Sub1="Non-Standard"),VLOOKUP(Investment_Strategy&amp;"_"&amp;Investment_Strategy_Sub2&amp;"_"&amp;$A432,'Investment Strategies'!$C:$P,14,FALSE),
IF(AND(Investment_Strategy="Lifecycle",Investment_Strategy_Sub1="Standard"),VLOOKUP(Investment_Strategy&amp;"_"&amp;Investment_Strategy_Sub2&amp;"_"&amp;$A432,'Investment Strategies'!$AJ:$AV,13,FALSE),
IF(AND(Investment_Strategy="Autopilot",Investment_Strategy_Sub1="Non-Standard"),VLOOKUP(Investment_Strategy&amp;"_"&amp;Investment_Strategy_Sub2&amp;"_"&amp;$A432,'Investment Strategies'!$T:$AF,13,FALSE),
IF(Investment_Strategy="DIY",DIY_ExtManChrge_FuturePremiums,
"Error"))))))</f>
        <v>0</v>
      </c>
      <c r="W432" s="16">
        <f t="shared" si="267"/>
        <v>0</v>
      </c>
      <c r="X432" s="16">
        <f t="shared" si="243"/>
        <v>0</v>
      </c>
      <c r="Y432" s="16">
        <f t="shared" si="244"/>
        <v>0</v>
      </c>
      <c r="Z432" s="31">
        <f t="shared" si="245"/>
        <v>0.02</v>
      </c>
      <c r="AA432" s="16">
        <f t="shared" si="246"/>
        <v>0</v>
      </c>
      <c r="AB432" s="28">
        <f t="shared" si="268"/>
        <v>0</v>
      </c>
      <c r="AC432" s="28">
        <f>(SUM($AC$91:AC431)+SUM($X$91:X431)+X432)*T432*IF(D432=$A$91,SRP_finalmonthfactor,1)</f>
        <v>0</v>
      </c>
      <c r="AD432" s="16">
        <f t="shared" si="247"/>
        <v>0</v>
      </c>
      <c r="AE432" s="106"/>
      <c r="AF432" s="16">
        <f t="shared" si="256"/>
        <v>0</v>
      </c>
      <c r="AG432" s="16">
        <f t="shared" si="257"/>
        <v>0</v>
      </c>
      <c r="AH432" s="16">
        <f t="shared" si="258"/>
        <v>0</v>
      </c>
      <c r="AJ432" s="13">
        <f t="shared" si="270"/>
        <v>0</v>
      </c>
      <c r="AK432" s="13">
        <f t="shared" si="270"/>
        <v>0</v>
      </c>
      <c r="AL432" s="13">
        <f t="shared" si="270"/>
        <v>0</v>
      </c>
      <c r="AM432" s="13">
        <f t="shared" si="270"/>
        <v>0</v>
      </c>
      <c r="AN432" s="13">
        <f t="shared" si="270"/>
        <v>0</v>
      </c>
      <c r="AO432" s="13">
        <f t="shared" si="270"/>
        <v>1</v>
      </c>
      <c r="AP432" s="13">
        <f t="shared" si="270"/>
        <v>1</v>
      </c>
      <c r="AQ432" s="13">
        <f t="shared" si="270"/>
        <v>1</v>
      </c>
      <c r="AR432" s="13">
        <f t="shared" si="270"/>
        <v>0</v>
      </c>
      <c r="AS432" s="13">
        <f t="shared" si="270"/>
        <v>1</v>
      </c>
      <c r="AT432" s="13">
        <f t="shared" si="270"/>
        <v>1</v>
      </c>
      <c r="AU432" s="13">
        <f t="shared" si="270"/>
        <v>1</v>
      </c>
      <c r="AV432" s="13">
        <f t="shared" si="249"/>
        <v>0</v>
      </c>
      <c r="AW432" s="13">
        <f t="shared" si="250"/>
        <v>1</v>
      </c>
      <c r="AY432" s="17">
        <f t="shared" si="251"/>
        <v>342</v>
      </c>
      <c r="AZ432" s="28">
        <f t="shared" si="259"/>
        <v>0</v>
      </c>
      <c r="BA432" s="13">
        <f t="shared" si="252"/>
        <v>0</v>
      </c>
      <c r="BB432" s="13">
        <f t="shared" si="253"/>
        <v>0</v>
      </c>
      <c r="BC432" s="28">
        <f t="shared" si="260"/>
        <v>0</v>
      </c>
      <c r="BD432" s="28">
        <f t="shared" si="261"/>
        <v>0</v>
      </c>
      <c r="BF432" s="248">
        <f t="shared" si="262"/>
        <v>993869.29442638322</v>
      </c>
    </row>
    <row r="433" spans="1:58">
      <c r="A433" s="32">
        <f t="shared" si="263"/>
        <v>-258</v>
      </c>
      <c r="B433" s="32">
        <f t="shared" si="254"/>
        <v>81</v>
      </c>
      <c r="C433" s="32">
        <f t="shared" si="264"/>
        <v>29</v>
      </c>
      <c r="D433" s="32">
        <f t="shared" si="265"/>
        <v>343</v>
      </c>
      <c r="E433" s="74">
        <f>MIN(IF(AV433=0,0,
IF(Investment_Strategy="DIS",VLOOKUP(Investment_Strategy&amp;"_"&amp;Investment_Strategy_Sub1&amp;"_"&amp;$A433,'Investment Strategies'!$AZ:$BP,12,FALSE),
IF(AND(Investment_Strategy="Lifecycle",Investment_Strategy_Sub1="Non-Standard"),VLOOKUP(Investment_Strategy&amp;"_"&amp;Investment_Strategy_Sub2&amp;"_"&amp;$A433,'Investment Strategies'!$C:$P,9,FALSE),
IF(AND(Investment_Strategy="Lifecycle",Investment_Strategy_Sub1="Standard"),VLOOKUP(Investment_Strategy&amp;"_"&amp;Investment_Strategy_Sub2&amp;"_"&amp;$A433,'Investment Strategies'!$AJ:$AV,8,FALSE),
IF(AND(Investment_Strategy="Autopilot",Investment_Strategy_Sub1="Non-Standard"),VLOOKUP(Investment_Strategy&amp;"_"&amp;Investment_Strategy_Sub2&amp;"_"&amp;$A433,'Investment Strategies'!$T:$AF,8,FALSE),
IF(Investment_Strategy ="DIY",DIY_RateOfReturn_CurrentFunds,
"Error")))))),Max_InvReturn)</f>
        <v>0</v>
      </c>
      <c r="F433" s="62">
        <f>IF(AV433=0,0,
IF(Investment_Strategy="DIS",VLOOKUP(Investment_Strategy&amp;"_"&amp;Investment_Strategy_Sub1&amp;"_"&amp;$A433,'Investment Strategies'!$AZ:$BP,15,FALSE),
IF(AND(Investment_Strategy="Lifecycle",Investment_Strategy_Sub1="Non-Standard"),VLOOKUP(Investment_Strategy&amp;"_"&amp;Investment_Strategy_Sub2&amp;"_"&amp;$A433,'Investment Strategies'!$C:$P,12,FALSE),
IF(AND(Investment_Strategy="Lifecycle",Investment_Strategy_Sub1="Standard"),VLOOKUP(Investment_Strategy&amp;"_"&amp;Investment_Strategy_Sub2&amp;"_"&amp;$A433,'Investment Strategies'!$AJ:$AV,11,FALSE),
IF(AND(Investment_Strategy="Autopilot",Investment_Strategy_Sub1="Non-Standard"),VLOOKUP(Investment_Strategy&amp;"_"&amp;Investment_Strategy_Sub2&amp;"_"&amp;$A433,'Investment Strategies'!$T:$AF,11,FALSE),
IF(Investment_Strategy="DIY",DIY_GteeChrge_CurrentFunds,
"Error"))))))</f>
        <v>0</v>
      </c>
      <c r="G433" s="33">
        <f>IF(AV433=0,0,
IF(Investment_Strategy="DIS",VLOOKUP(Investment_Strategy&amp;"_"&amp;Investment_Strategy_Sub1&amp;"_"&amp;$A433,'Investment Strategies'!$AZ:$BP,17,FALSE),
IF(AND(Investment_Strategy="Lifecycle",Investment_Strategy_Sub1="Non-Standard"),VLOOKUP(Investment_Strategy&amp;"_"&amp;Investment_Strategy_Sub2&amp;"_"&amp;$A433,'Investment Strategies'!$C:$P,14,FALSE),
IF(AND(Investment_Strategy="Lifecycle",Investment_Strategy_Sub1="Standard"),VLOOKUP(Investment_Strategy&amp;"_"&amp;Investment_Strategy_Sub2&amp;"_"&amp;$A433,'Investment Strategies'!$AJ:$AV,13,FALSE),
IF(AND(Investment_Strategy="Autopilot",Investment_Strategy_Sub1="Non-Standard"),VLOOKUP(Investment_Strategy&amp;"_"&amp;Investment_Strategy_Sub2&amp;"_"&amp;$A433,'Investment Strategies'!$T:$AF,13,FALSE),
IF(Investment_Strategy="DIY",DIY_ExtManChrge_CurrentFunds,
"Error"))))))</f>
        <v>0</v>
      </c>
      <c r="H433" s="16">
        <f t="shared" si="255"/>
        <v>0</v>
      </c>
      <c r="I433" s="16">
        <f t="shared" si="240"/>
        <v>0</v>
      </c>
      <c r="J433" s="16">
        <f t="shared" si="241"/>
        <v>0</v>
      </c>
      <c r="K433" s="16">
        <f>(Opening_Fund_Value+SUM(K$91:K432))*E433*IF(D433=$A$91,SRP_finalmonthfactor,1)</f>
        <v>0</v>
      </c>
      <c r="L433" s="74">
        <f>MIN(IF($AV433=0,0,
IF(Investment_Strategy="DIS",VLOOKUP(Investment_Strategy&amp;"_"&amp;Investment_Strategy_Sub1&amp;"_"&amp;$A433,'Investment Strategies'!$AZ:$BP,12,FALSE),
IF(AND(Investment_Strategy="Lifecycle",Investment_Strategy_Sub1="Non-Standard"),VLOOKUP(Investment_Strategy&amp;"_"&amp;Investment_Strategy_Sub2&amp;"_"&amp;$A433,'Investment Strategies'!$C:$P,9,FALSE),
IF(AND(Investment_Strategy="Lifecycle",Investment_Strategy_Sub1="Standard"),VLOOKUP(Investment_Strategy&amp;"_"&amp;Investment_Strategy_Sub2&amp;"_"&amp;$A433,'Investment Strategies'!$AJ:$AV,8,FALSE),
IF(AND(Investment_Strategy="Autopilot",Investment_Strategy_Sub1="Non-Standard"),VLOOKUP(Investment_Strategy&amp;"_"&amp;Investment_Strategy_Sub2&amp;"_"&amp;$A433,'Investment Strategies'!$T:$AF,8,FALSE),
IF(Investment_Strategy ="DIY",DIY_RateofReturn_SP,
"Error")))))),Max_InvReturn)</f>
        <v>0</v>
      </c>
      <c r="M433" s="62">
        <f>IF($AV433=0,0,
IF(Investment_Strategy="DIS",VLOOKUP(Investment_Strategy&amp;"_"&amp;Investment_Strategy_Sub1&amp;"_"&amp;$A433,'Investment Strategies'!$AZ:$BP,15,FALSE),
IF(AND(Investment_Strategy="Lifecycle",Investment_Strategy_Sub1="Non-Standard"),VLOOKUP(Investment_Strategy&amp;"_"&amp;Investment_Strategy_Sub2&amp;"_"&amp;$A433,'Investment Strategies'!$C:$P,12,FALSE),
IF(AND(Investment_Strategy="Lifecycle",Investment_Strategy_Sub1="Standard"),VLOOKUP(Investment_Strategy&amp;"_"&amp;Investment_Strategy_Sub2&amp;"_"&amp;$A433,'Investment Strategies'!$AJ:$AV,11,FALSE),
IF(AND(Investment_Strategy="Autopilot",Investment_Strategy_Sub1="Non-Standard"),VLOOKUP(Investment_Strategy&amp;"_"&amp;Investment_Strategy_Sub2&amp;"_"&amp;$A433,'Investment Strategies'!$T:$AF,11,FALSE),
IF(Investment_Strategy="DIY",DIY_GteeChrge_SP,
"Error"))))))</f>
        <v>0</v>
      </c>
      <c r="N433" s="33">
        <f>IF($AV433=0,0,
IF(Investment_Strategy="DIS",VLOOKUP(Investment_Strategy&amp;"_"&amp;Investment_Strategy_Sub1&amp;"_"&amp;$A433,'Investment Strategies'!$AZ:$BP,17,FALSE),
IF(AND(Investment_Strategy="Lifecycle",Investment_Strategy_Sub1="Non-Standard"),VLOOKUP(Investment_Strategy&amp;"_"&amp;Investment_Strategy_Sub2&amp;"_"&amp;$A433,'Investment Strategies'!$C:$P,14,FALSE),
IF(AND(Investment_Strategy="Lifecycle",Investment_Strategy_Sub1="Standard"),VLOOKUP(Investment_Strategy&amp;"_"&amp;Investment_Strategy_Sub2&amp;"_"&amp;$A433,'Investment Strategies'!$AJ:$AV,13,FALSE),
IF(AND(Investment_Strategy="Autopilot",Investment_Strategy_Sub1="Non-Standard"),VLOOKUP(Investment_Strategy&amp;"_"&amp;Investment_Strategy_Sub2&amp;"_"&amp;$A433,'Investment Strategies'!$T:$AF,13,FALSE),
IF(Investment_Strategy="DIY",DIY_ExtManChrge_SP,
"Error"))))))</f>
        <v>0</v>
      </c>
      <c r="O433" s="16">
        <f t="shared" si="266"/>
        <v>0</v>
      </c>
      <c r="Q433" s="16">
        <f t="shared" si="242"/>
        <v>0</v>
      </c>
      <c r="R433" s="16">
        <f t="shared" si="239"/>
        <v>0</v>
      </c>
      <c r="S433" s="16">
        <f>(SRP_SP+SUM(S$91:S432))*L433*IF(D433=$A$91,SRP_finalmonthfactor,1)</f>
        <v>0</v>
      </c>
      <c r="T433" s="74">
        <f>MIN(IF($AV433=0,0,
IF(Investment_Strategy="DIS",VLOOKUP(Investment_Strategy&amp;"_"&amp;Investment_Strategy_Sub1&amp;"_"&amp;$A433,'Investment Strategies'!$AZ:$BP,12,FALSE),
IF(AND(Investment_Strategy="Lifecycle",Investment_Strategy_Sub1="Non-Standard"),VLOOKUP(Investment_Strategy&amp;"_"&amp;Investment_Strategy_Sub2&amp;"_"&amp;$A433,'Investment Strategies'!$C:$P,9,FALSE),
IF(AND(Investment_Strategy="Lifecycle",Investment_Strategy_Sub1="Standard"),VLOOKUP(Investment_Strategy&amp;"_"&amp;Investment_Strategy_Sub2&amp;"_"&amp;$A433,'Investment Strategies'!$AJ:$AV,8,FALSE),
IF(AND(Investment_Strategy="Autopilot",Investment_Strategy_Sub1="Non-Standard"),VLOOKUP(Investment_Strategy&amp;"_"&amp;Investment_Strategy_Sub2&amp;"_"&amp;$A433,'Investment Strategies'!$T:$AF,8,FALSE),
IF(Investment_Strategy ="DIY",DIY_RateOfReturn_FuturePremiums,
"Error")))))),Max_InvReturn)</f>
        <v>0</v>
      </c>
      <c r="U433" s="62">
        <f>IF($AV433=0,0,
IF(Investment_Strategy="DIS",VLOOKUP(Investment_Strategy&amp;"_"&amp;Investment_Strategy_Sub1&amp;"_"&amp;$A433,'Investment Strategies'!$AZ:$BP,15,FALSE),
IF(AND(Investment_Strategy="Lifecycle",Investment_Strategy_Sub1="Non-Standard"),VLOOKUP(Investment_Strategy&amp;"_"&amp;Investment_Strategy_Sub2&amp;"_"&amp;$A433,'Investment Strategies'!$C:$P,12,FALSE),
IF(AND(Investment_Strategy="Lifecycle",Investment_Strategy_Sub1="Standard"),VLOOKUP(Investment_Strategy&amp;"_"&amp;Investment_Strategy_Sub2&amp;"_"&amp;$A433,'Investment Strategies'!$AJ:$AV,11,FALSE),
IF(AND(Investment_Strategy="Autopilot",Investment_Strategy_Sub1="Non-Standard"),VLOOKUP(Investment_Strategy&amp;"_"&amp;Investment_Strategy_Sub2&amp;"_"&amp;$A433,'Investment Strategies'!$T:$AF,11,FALSE),
IF(Investment_Strategy="DIY",DIY_GteeChrge_FuturePremiums,
"Error"))))))</f>
        <v>0</v>
      </c>
      <c r="V433" s="33">
        <f>IF(AV433=0,0,
IF(Investment_Strategy="DIS",VLOOKUP(Investment_Strategy&amp;"_"&amp;Investment_Strategy_Sub1&amp;"_"&amp;$A433,'Investment Strategies'!$AZ:$BP,17,FALSE),
IF(AND(Investment_Strategy="Lifecycle",Investment_Strategy_Sub1="Non-Standard"),VLOOKUP(Investment_Strategy&amp;"_"&amp;Investment_Strategy_Sub2&amp;"_"&amp;$A433,'Investment Strategies'!$C:$P,14,FALSE),
IF(AND(Investment_Strategy="Lifecycle",Investment_Strategy_Sub1="Standard"),VLOOKUP(Investment_Strategy&amp;"_"&amp;Investment_Strategy_Sub2&amp;"_"&amp;$A433,'Investment Strategies'!$AJ:$AV,13,FALSE),
IF(AND(Investment_Strategy="Autopilot",Investment_Strategy_Sub1="Non-Standard"),VLOOKUP(Investment_Strategy&amp;"_"&amp;Investment_Strategy_Sub2&amp;"_"&amp;$A433,'Investment Strategies'!$T:$AF,13,FALSE),
IF(Investment_Strategy="DIY",DIY_ExtManChrge_FuturePremiums,
"Error"))))))</f>
        <v>0</v>
      </c>
      <c r="W433" s="16">
        <f t="shared" si="267"/>
        <v>0</v>
      </c>
      <c r="X433" s="16">
        <f t="shared" si="243"/>
        <v>0</v>
      </c>
      <c r="Y433" s="16">
        <f t="shared" si="244"/>
        <v>0</v>
      </c>
      <c r="Z433" s="31">
        <f t="shared" si="245"/>
        <v>0.02</v>
      </c>
      <c r="AA433" s="16">
        <f t="shared" si="246"/>
        <v>0</v>
      </c>
      <c r="AB433" s="28">
        <f t="shared" si="268"/>
        <v>0</v>
      </c>
      <c r="AC433" s="28">
        <f>(SUM($AC$91:AC432)+SUM($X$91:X432)+X433)*T433*IF(D433=$A$91,SRP_finalmonthfactor,1)</f>
        <v>0</v>
      </c>
      <c r="AD433" s="16">
        <f t="shared" si="247"/>
        <v>0</v>
      </c>
      <c r="AE433" s="106"/>
      <c r="AF433" s="16">
        <f t="shared" si="256"/>
        <v>0</v>
      </c>
      <c r="AG433" s="16">
        <f t="shared" si="257"/>
        <v>0</v>
      </c>
      <c r="AH433" s="16">
        <f t="shared" si="258"/>
        <v>0</v>
      </c>
      <c r="AJ433" s="13">
        <f t="shared" si="270"/>
        <v>0</v>
      </c>
      <c r="AK433" s="13">
        <f t="shared" si="270"/>
        <v>0</v>
      </c>
      <c r="AL433" s="13">
        <f t="shared" si="270"/>
        <v>0</v>
      </c>
      <c r="AM433" s="13">
        <f t="shared" si="270"/>
        <v>0</v>
      </c>
      <c r="AN433" s="13">
        <f t="shared" si="270"/>
        <v>0</v>
      </c>
      <c r="AO433" s="13">
        <f t="shared" si="270"/>
        <v>1</v>
      </c>
      <c r="AP433" s="13">
        <f t="shared" si="270"/>
        <v>1</v>
      </c>
      <c r="AQ433" s="13">
        <f t="shared" si="270"/>
        <v>1</v>
      </c>
      <c r="AR433" s="13">
        <f t="shared" si="270"/>
        <v>0</v>
      </c>
      <c r="AS433" s="13">
        <f t="shared" si="270"/>
        <v>1</v>
      </c>
      <c r="AT433" s="13">
        <f t="shared" si="270"/>
        <v>1</v>
      </c>
      <c r="AU433" s="13">
        <f t="shared" si="270"/>
        <v>1</v>
      </c>
      <c r="AV433" s="13">
        <f t="shared" si="249"/>
        <v>0</v>
      </c>
      <c r="AW433" s="13">
        <f t="shared" si="250"/>
        <v>1</v>
      </c>
      <c r="AY433" s="17">
        <f t="shared" si="251"/>
        <v>343</v>
      </c>
      <c r="AZ433" s="28">
        <f t="shared" si="259"/>
        <v>0</v>
      </c>
      <c r="BA433" s="13">
        <f t="shared" si="252"/>
        <v>0</v>
      </c>
      <c r="BB433" s="13">
        <f t="shared" si="253"/>
        <v>0</v>
      </c>
      <c r="BC433" s="28">
        <f t="shared" si="260"/>
        <v>0</v>
      </c>
      <c r="BD433" s="28">
        <f t="shared" si="261"/>
        <v>0</v>
      </c>
      <c r="BF433" s="248">
        <f t="shared" si="262"/>
        <v>993869.29442638322</v>
      </c>
    </row>
    <row r="434" spans="1:58">
      <c r="A434" s="32">
        <f t="shared" si="263"/>
        <v>-259</v>
      </c>
      <c r="B434" s="32">
        <f t="shared" si="254"/>
        <v>81</v>
      </c>
      <c r="C434" s="32">
        <f t="shared" si="264"/>
        <v>29</v>
      </c>
      <c r="D434" s="32">
        <f t="shared" si="265"/>
        <v>344</v>
      </c>
      <c r="E434" s="74">
        <f>MIN(IF(AV434=0,0,
IF(Investment_Strategy="DIS",VLOOKUP(Investment_Strategy&amp;"_"&amp;Investment_Strategy_Sub1&amp;"_"&amp;$A434,'Investment Strategies'!$AZ:$BP,12,FALSE),
IF(AND(Investment_Strategy="Lifecycle",Investment_Strategy_Sub1="Non-Standard"),VLOOKUP(Investment_Strategy&amp;"_"&amp;Investment_Strategy_Sub2&amp;"_"&amp;$A434,'Investment Strategies'!$C:$P,9,FALSE),
IF(AND(Investment_Strategy="Lifecycle",Investment_Strategy_Sub1="Standard"),VLOOKUP(Investment_Strategy&amp;"_"&amp;Investment_Strategy_Sub2&amp;"_"&amp;$A434,'Investment Strategies'!$AJ:$AV,8,FALSE),
IF(AND(Investment_Strategy="Autopilot",Investment_Strategy_Sub1="Non-Standard"),VLOOKUP(Investment_Strategy&amp;"_"&amp;Investment_Strategy_Sub2&amp;"_"&amp;$A434,'Investment Strategies'!$T:$AF,8,FALSE),
IF(Investment_Strategy ="DIY",DIY_RateOfReturn_CurrentFunds,
"Error")))))),Max_InvReturn)</f>
        <v>0</v>
      </c>
      <c r="F434" s="62">
        <f>IF(AV434=0,0,
IF(Investment_Strategy="DIS",VLOOKUP(Investment_Strategy&amp;"_"&amp;Investment_Strategy_Sub1&amp;"_"&amp;$A434,'Investment Strategies'!$AZ:$BP,15,FALSE),
IF(AND(Investment_Strategy="Lifecycle",Investment_Strategy_Sub1="Non-Standard"),VLOOKUP(Investment_Strategy&amp;"_"&amp;Investment_Strategy_Sub2&amp;"_"&amp;$A434,'Investment Strategies'!$C:$P,12,FALSE),
IF(AND(Investment_Strategy="Lifecycle",Investment_Strategy_Sub1="Standard"),VLOOKUP(Investment_Strategy&amp;"_"&amp;Investment_Strategy_Sub2&amp;"_"&amp;$A434,'Investment Strategies'!$AJ:$AV,11,FALSE),
IF(AND(Investment_Strategy="Autopilot",Investment_Strategy_Sub1="Non-Standard"),VLOOKUP(Investment_Strategy&amp;"_"&amp;Investment_Strategy_Sub2&amp;"_"&amp;$A434,'Investment Strategies'!$T:$AF,11,FALSE),
IF(Investment_Strategy="DIY",DIY_GteeChrge_CurrentFunds,
"Error"))))))</f>
        <v>0</v>
      </c>
      <c r="G434" s="33">
        <f>IF(AV434=0,0,
IF(Investment_Strategy="DIS",VLOOKUP(Investment_Strategy&amp;"_"&amp;Investment_Strategy_Sub1&amp;"_"&amp;$A434,'Investment Strategies'!$AZ:$BP,17,FALSE),
IF(AND(Investment_Strategy="Lifecycle",Investment_Strategy_Sub1="Non-Standard"),VLOOKUP(Investment_Strategy&amp;"_"&amp;Investment_Strategy_Sub2&amp;"_"&amp;$A434,'Investment Strategies'!$C:$P,14,FALSE),
IF(AND(Investment_Strategy="Lifecycle",Investment_Strategy_Sub1="Standard"),VLOOKUP(Investment_Strategy&amp;"_"&amp;Investment_Strategy_Sub2&amp;"_"&amp;$A434,'Investment Strategies'!$AJ:$AV,13,FALSE),
IF(AND(Investment_Strategy="Autopilot",Investment_Strategy_Sub1="Non-Standard"),VLOOKUP(Investment_Strategy&amp;"_"&amp;Investment_Strategy_Sub2&amp;"_"&amp;$A434,'Investment Strategies'!$T:$AF,13,FALSE),
IF(Investment_Strategy="DIY",DIY_ExtManChrge_CurrentFunds,
"Error"))))))</f>
        <v>0</v>
      </c>
      <c r="H434" s="16">
        <f t="shared" si="255"/>
        <v>0</v>
      </c>
      <c r="I434" s="16">
        <f t="shared" si="240"/>
        <v>0</v>
      </c>
      <c r="J434" s="16">
        <f t="shared" si="241"/>
        <v>0</v>
      </c>
      <c r="K434" s="16">
        <f>(Opening_Fund_Value+SUM(K$91:K433))*E434*IF(D434=$A$91,SRP_finalmonthfactor,1)</f>
        <v>0</v>
      </c>
      <c r="L434" s="74">
        <f>MIN(IF($AV434=0,0,
IF(Investment_Strategy="DIS",VLOOKUP(Investment_Strategy&amp;"_"&amp;Investment_Strategy_Sub1&amp;"_"&amp;$A434,'Investment Strategies'!$AZ:$BP,12,FALSE),
IF(AND(Investment_Strategy="Lifecycle",Investment_Strategy_Sub1="Non-Standard"),VLOOKUP(Investment_Strategy&amp;"_"&amp;Investment_Strategy_Sub2&amp;"_"&amp;$A434,'Investment Strategies'!$C:$P,9,FALSE),
IF(AND(Investment_Strategy="Lifecycle",Investment_Strategy_Sub1="Standard"),VLOOKUP(Investment_Strategy&amp;"_"&amp;Investment_Strategy_Sub2&amp;"_"&amp;$A434,'Investment Strategies'!$AJ:$AV,8,FALSE),
IF(AND(Investment_Strategy="Autopilot",Investment_Strategy_Sub1="Non-Standard"),VLOOKUP(Investment_Strategy&amp;"_"&amp;Investment_Strategy_Sub2&amp;"_"&amp;$A434,'Investment Strategies'!$T:$AF,8,FALSE),
IF(Investment_Strategy ="DIY",DIY_RateofReturn_SP,
"Error")))))),Max_InvReturn)</f>
        <v>0</v>
      </c>
      <c r="M434" s="62">
        <f>IF($AV434=0,0,
IF(Investment_Strategy="DIS",VLOOKUP(Investment_Strategy&amp;"_"&amp;Investment_Strategy_Sub1&amp;"_"&amp;$A434,'Investment Strategies'!$AZ:$BP,15,FALSE),
IF(AND(Investment_Strategy="Lifecycle",Investment_Strategy_Sub1="Non-Standard"),VLOOKUP(Investment_Strategy&amp;"_"&amp;Investment_Strategy_Sub2&amp;"_"&amp;$A434,'Investment Strategies'!$C:$P,12,FALSE),
IF(AND(Investment_Strategy="Lifecycle",Investment_Strategy_Sub1="Standard"),VLOOKUP(Investment_Strategy&amp;"_"&amp;Investment_Strategy_Sub2&amp;"_"&amp;$A434,'Investment Strategies'!$AJ:$AV,11,FALSE),
IF(AND(Investment_Strategy="Autopilot",Investment_Strategy_Sub1="Non-Standard"),VLOOKUP(Investment_Strategy&amp;"_"&amp;Investment_Strategy_Sub2&amp;"_"&amp;$A434,'Investment Strategies'!$T:$AF,11,FALSE),
IF(Investment_Strategy="DIY",DIY_GteeChrge_SP,
"Error"))))))</f>
        <v>0</v>
      </c>
      <c r="N434" s="33">
        <f>IF($AV434=0,0,
IF(Investment_Strategy="DIS",VLOOKUP(Investment_Strategy&amp;"_"&amp;Investment_Strategy_Sub1&amp;"_"&amp;$A434,'Investment Strategies'!$AZ:$BP,17,FALSE),
IF(AND(Investment_Strategy="Lifecycle",Investment_Strategy_Sub1="Non-Standard"),VLOOKUP(Investment_Strategy&amp;"_"&amp;Investment_Strategy_Sub2&amp;"_"&amp;$A434,'Investment Strategies'!$C:$P,14,FALSE),
IF(AND(Investment_Strategy="Lifecycle",Investment_Strategy_Sub1="Standard"),VLOOKUP(Investment_Strategy&amp;"_"&amp;Investment_Strategy_Sub2&amp;"_"&amp;$A434,'Investment Strategies'!$AJ:$AV,13,FALSE),
IF(AND(Investment_Strategy="Autopilot",Investment_Strategy_Sub1="Non-Standard"),VLOOKUP(Investment_Strategy&amp;"_"&amp;Investment_Strategy_Sub2&amp;"_"&amp;$A434,'Investment Strategies'!$T:$AF,13,FALSE),
IF(Investment_Strategy="DIY",DIY_ExtManChrge_SP,
"Error"))))))</f>
        <v>0</v>
      </c>
      <c r="O434" s="16">
        <f t="shared" si="266"/>
        <v>0</v>
      </c>
      <c r="Q434" s="16">
        <f t="shared" si="242"/>
        <v>0</v>
      </c>
      <c r="R434" s="16">
        <f t="shared" si="239"/>
        <v>0</v>
      </c>
      <c r="S434" s="16">
        <f>(SRP_SP+SUM(S$91:S433))*L434*IF(D434=$A$91,SRP_finalmonthfactor,1)</f>
        <v>0</v>
      </c>
      <c r="T434" s="74">
        <f>MIN(IF($AV434=0,0,
IF(Investment_Strategy="DIS",VLOOKUP(Investment_Strategy&amp;"_"&amp;Investment_Strategy_Sub1&amp;"_"&amp;$A434,'Investment Strategies'!$AZ:$BP,12,FALSE),
IF(AND(Investment_Strategy="Lifecycle",Investment_Strategy_Sub1="Non-Standard"),VLOOKUP(Investment_Strategy&amp;"_"&amp;Investment_Strategy_Sub2&amp;"_"&amp;$A434,'Investment Strategies'!$C:$P,9,FALSE),
IF(AND(Investment_Strategy="Lifecycle",Investment_Strategy_Sub1="Standard"),VLOOKUP(Investment_Strategy&amp;"_"&amp;Investment_Strategy_Sub2&amp;"_"&amp;$A434,'Investment Strategies'!$AJ:$AV,8,FALSE),
IF(AND(Investment_Strategy="Autopilot",Investment_Strategy_Sub1="Non-Standard"),VLOOKUP(Investment_Strategy&amp;"_"&amp;Investment_Strategy_Sub2&amp;"_"&amp;$A434,'Investment Strategies'!$T:$AF,8,FALSE),
IF(Investment_Strategy ="DIY",DIY_RateOfReturn_FuturePremiums,
"Error")))))),Max_InvReturn)</f>
        <v>0</v>
      </c>
      <c r="U434" s="62">
        <f>IF($AV434=0,0,
IF(Investment_Strategy="DIS",VLOOKUP(Investment_Strategy&amp;"_"&amp;Investment_Strategy_Sub1&amp;"_"&amp;$A434,'Investment Strategies'!$AZ:$BP,15,FALSE),
IF(AND(Investment_Strategy="Lifecycle",Investment_Strategy_Sub1="Non-Standard"),VLOOKUP(Investment_Strategy&amp;"_"&amp;Investment_Strategy_Sub2&amp;"_"&amp;$A434,'Investment Strategies'!$C:$P,12,FALSE),
IF(AND(Investment_Strategy="Lifecycle",Investment_Strategy_Sub1="Standard"),VLOOKUP(Investment_Strategy&amp;"_"&amp;Investment_Strategy_Sub2&amp;"_"&amp;$A434,'Investment Strategies'!$AJ:$AV,11,FALSE),
IF(AND(Investment_Strategy="Autopilot",Investment_Strategy_Sub1="Non-Standard"),VLOOKUP(Investment_Strategy&amp;"_"&amp;Investment_Strategy_Sub2&amp;"_"&amp;$A434,'Investment Strategies'!$T:$AF,11,FALSE),
IF(Investment_Strategy="DIY",DIY_GteeChrge_FuturePremiums,
"Error"))))))</f>
        <v>0</v>
      </c>
      <c r="V434" s="33">
        <f>IF(AV434=0,0,
IF(Investment_Strategy="DIS",VLOOKUP(Investment_Strategy&amp;"_"&amp;Investment_Strategy_Sub1&amp;"_"&amp;$A434,'Investment Strategies'!$AZ:$BP,17,FALSE),
IF(AND(Investment_Strategy="Lifecycle",Investment_Strategy_Sub1="Non-Standard"),VLOOKUP(Investment_Strategy&amp;"_"&amp;Investment_Strategy_Sub2&amp;"_"&amp;$A434,'Investment Strategies'!$C:$P,14,FALSE),
IF(AND(Investment_Strategy="Lifecycle",Investment_Strategy_Sub1="Standard"),VLOOKUP(Investment_Strategy&amp;"_"&amp;Investment_Strategy_Sub2&amp;"_"&amp;$A434,'Investment Strategies'!$AJ:$AV,13,FALSE),
IF(AND(Investment_Strategy="Autopilot",Investment_Strategy_Sub1="Non-Standard"),VLOOKUP(Investment_Strategy&amp;"_"&amp;Investment_Strategy_Sub2&amp;"_"&amp;$A434,'Investment Strategies'!$T:$AF,13,FALSE),
IF(Investment_Strategy="DIY",DIY_ExtManChrge_FuturePremiums,
"Error"))))))</f>
        <v>0</v>
      </c>
      <c r="W434" s="16">
        <f t="shared" si="267"/>
        <v>0</v>
      </c>
      <c r="X434" s="16">
        <f t="shared" si="243"/>
        <v>0</v>
      </c>
      <c r="Y434" s="16">
        <f t="shared" si="244"/>
        <v>0</v>
      </c>
      <c r="Z434" s="31">
        <f t="shared" si="245"/>
        <v>0.02</v>
      </c>
      <c r="AA434" s="16">
        <f t="shared" si="246"/>
        <v>0</v>
      </c>
      <c r="AB434" s="28">
        <f t="shared" si="268"/>
        <v>0</v>
      </c>
      <c r="AC434" s="28">
        <f>(SUM($AC$91:AC433)+SUM($X$91:X433)+X434)*T434*IF(D434=$A$91,SRP_finalmonthfactor,1)</f>
        <v>0</v>
      </c>
      <c r="AD434" s="16">
        <f t="shared" si="247"/>
        <v>0</v>
      </c>
      <c r="AE434" s="106"/>
      <c r="AF434" s="16">
        <f t="shared" si="256"/>
        <v>0</v>
      </c>
      <c r="AG434" s="16">
        <f t="shared" si="257"/>
        <v>0</v>
      </c>
      <c r="AH434" s="16">
        <f t="shared" si="258"/>
        <v>0</v>
      </c>
      <c r="AJ434" s="13">
        <f t="shared" si="270"/>
        <v>0</v>
      </c>
      <c r="AK434" s="13">
        <f t="shared" si="270"/>
        <v>0</v>
      </c>
      <c r="AL434" s="13">
        <f t="shared" si="270"/>
        <v>0</v>
      </c>
      <c r="AM434" s="13">
        <f t="shared" si="270"/>
        <v>0</v>
      </c>
      <c r="AN434" s="13">
        <f t="shared" si="270"/>
        <v>0</v>
      </c>
      <c r="AO434" s="13">
        <f t="shared" si="270"/>
        <v>1</v>
      </c>
      <c r="AP434" s="13">
        <f t="shared" si="270"/>
        <v>1</v>
      </c>
      <c r="AQ434" s="13">
        <f t="shared" si="270"/>
        <v>1</v>
      </c>
      <c r="AR434" s="13">
        <f t="shared" si="270"/>
        <v>0</v>
      </c>
      <c r="AS434" s="13">
        <f t="shared" si="270"/>
        <v>1</v>
      </c>
      <c r="AT434" s="13">
        <f t="shared" si="270"/>
        <v>1</v>
      </c>
      <c r="AU434" s="13">
        <f t="shared" si="270"/>
        <v>1</v>
      </c>
      <c r="AV434" s="13">
        <f t="shared" si="249"/>
        <v>0</v>
      </c>
      <c r="AW434" s="13">
        <f t="shared" si="250"/>
        <v>1</v>
      </c>
      <c r="AY434" s="17">
        <f t="shared" si="251"/>
        <v>344</v>
      </c>
      <c r="AZ434" s="28">
        <f t="shared" si="259"/>
        <v>0</v>
      </c>
      <c r="BA434" s="13">
        <f t="shared" si="252"/>
        <v>0</v>
      </c>
      <c r="BB434" s="13">
        <f t="shared" si="253"/>
        <v>0</v>
      </c>
      <c r="BC434" s="28">
        <f t="shared" si="260"/>
        <v>0</v>
      </c>
      <c r="BD434" s="28">
        <f t="shared" si="261"/>
        <v>0</v>
      </c>
      <c r="BF434" s="248">
        <f t="shared" si="262"/>
        <v>993869.29442638322</v>
      </c>
    </row>
    <row r="435" spans="1:58">
      <c r="A435" s="32">
        <f t="shared" si="263"/>
        <v>-260</v>
      </c>
      <c r="B435" s="32">
        <f t="shared" si="254"/>
        <v>81</v>
      </c>
      <c r="C435" s="32">
        <f t="shared" si="264"/>
        <v>29</v>
      </c>
      <c r="D435" s="32">
        <f t="shared" si="265"/>
        <v>345</v>
      </c>
      <c r="E435" s="74">
        <f>MIN(IF(AV435=0,0,
IF(Investment_Strategy="DIS",VLOOKUP(Investment_Strategy&amp;"_"&amp;Investment_Strategy_Sub1&amp;"_"&amp;$A435,'Investment Strategies'!$AZ:$BP,12,FALSE),
IF(AND(Investment_Strategy="Lifecycle",Investment_Strategy_Sub1="Non-Standard"),VLOOKUP(Investment_Strategy&amp;"_"&amp;Investment_Strategy_Sub2&amp;"_"&amp;$A435,'Investment Strategies'!$C:$P,9,FALSE),
IF(AND(Investment_Strategy="Lifecycle",Investment_Strategy_Sub1="Standard"),VLOOKUP(Investment_Strategy&amp;"_"&amp;Investment_Strategy_Sub2&amp;"_"&amp;$A435,'Investment Strategies'!$AJ:$AV,8,FALSE),
IF(AND(Investment_Strategy="Autopilot",Investment_Strategy_Sub1="Non-Standard"),VLOOKUP(Investment_Strategy&amp;"_"&amp;Investment_Strategy_Sub2&amp;"_"&amp;$A435,'Investment Strategies'!$T:$AF,8,FALSE),
IF(Investment_Strategy ="DIY",DIY_RateOfReturn_CurrentFunds,
"Error")))))),Max_InvReturn)</f>
        <v>0</v>
      </c>
      <c r="F435" s="62">
        <f>IF(AV435=0,0,
IF(Investment_Strategy="DIS",VLOOKUP(Investment_Strategy&amp;"_"&amp;Investment_Strategy_Sub1&amp;"_"&amp;$A435,'Investment Strategies'!$AZ:$BP,15,FALSE),
IF(AND(Investment_Strategy="Lifecycle",Investment_Strategy_Sub1="Non-Standard"),VLOOKUP(Investment_Strategy&amp;"_"&amp;Investment_Strategy_Sub2&amp;"_"&amp;$A435,'Investment Strategies'!$C:$P,12,FALSE),
IF(AND(Investment_Strategy="Lifecycle",Investment_Strategy_Sub1="Standard"),VLOOKUP(Investment_Strategy&amp;"_"&amp;Investment_Strategy_Sub2&amp;"_"&amp;$A435,'Investment Strategies'!$AJ:$AV,11,FALSE),
IF(AND(Investment_Strategy="Autopilot",Investment_Strategy_Sub1="Non-Standard"),VLOOKUP(Investment_Strategy&amp;"_"&amp;Investment_Strategy_Sub2&amp;"_"&amp;$A435,'Investment Strategies'!$T:$AF,11,FALSE),
IF(Investment_Strategy="DIY",DIY_GteeChrge_CurrentFunds,
"Error"))))))</f>
        <v>0</v>
      </c>
      <c r="G435" s="33">
        <f>IF(AV435=0,0,
IF(Investment_Strategy="DIS",VLOOKUP(Investment_Strategy&amp;"_"&amp;Investment_Strategy_Sub1&amp;"_"&amp;$A435,'Investment Strategies'!$AZ:$BP,17,FALSE),
IF(AND(Investment_Strategy="Lifecycle",Investment_Strategy_Sub1="Non-Standard"),VLOOKUP(Investment_Strategy&amp;"_"&amp;Investment_Strategy_Sub2&amp;"_"&amp;$A435,'Investment Strategies'!$C:$P,14,FALSE),
IF(AND(Investment_Strategy="Lifecycle",Investment_Strategy_Sub1="Standard"),VLOOKUP(Investment_Strategy&amp;"_"&amp;Investment_Strategy_Sub2&amp;"_"&amp;$A435,'Investment Strategies'!$AJ:$AV,13,FALSE),
IF(AND(Investment_Strategy="Autopilot",Investment_Strategy_Sub1="Non-Standard"),VLOOKUP(Investment_Strategy&amp;"_"&amp;Investment_Strategy_Sub2&amp;"_"&amp;$A435,'Investment Strategies'!$T:$AF,13,FALSE),
IF(Investment_Strategy="DIY",DIY_ExtManChrge_CurrentFunds,
"Error"))))))</f>
        <v>0</v>
      </c>
      <c r="H435" s="16">
        <f t="shared" si="255"/>
        <v>0</v>
      </c>
      <c r="I435" s="16">
        <f t="shared" si="240"/>
        <v>0</v>
      </c>
      <c r="J435" s="16">
        <f t="shared" si="241"/>
        <v>0</v>
      </c>
      <c r="K435" s="16">
        <f>(Opening_Fund_Value+SUM(K$91:K434))*E435*IF(D435=$A$91,SRP_finalmonthfactor,1)</f>
        <v>0</v>
      </c>
      <c r="L435" s="74">
        <f>MIN(IF($AV435=0,0,
IF(Investment_Strategy="DIS",VLOOKUP(Investment_Strategy&amp;"_"&amp;Investment_Strategy_Sub1&amp;"_"&amp;$A435,'Investment Strategies'!$AZ:$BP,12,FALSE),
IF(AND(Investment_Strategy="Lifecycle",Investment_Strategy_Sub1="Non-Standard"),VLOOKUP(Investment_Strategy&amp;"_"&amp;Investment_Strategy_Sub2&amp;"_"&amp;$A435,'Investment Strategies'!$C:$P,9,FALSE),
IF(AND(Investment_Strategy="Lifecycle",Investment_Strategy_Sub1="Standard"),VLOOKUP(Investment_Strategy&amp;"_"&amp;Investment_Strategy_Sub2&amp;"_"&amp;$A435,'Investment Strategies'!$AJ:$AV,8,FALSE),
IF(AND(Investment_Strategy="Autopilot",Investment_Strategy_Sub1="Non-Standard"),VLOOKUP(Investment_Strategy&amp;"_"&amp;Investment_Strategy_Sub2&amp;"_"&amp;$A435,'Investment Strategies'!$T:$AF,8,FALSE),
IF(Investment_Strategy ="DIY",DIY_RateofReturn_SP,
"Error")))))),Max_InvReturn)</f>
        <v>0</v>
      </c>
      <c r="M435" s="62">
        <f>IF($AV435=0,0,
IF(Investment_Strategy="DIS",VLOOKUP(Investment_Strategy&amp;"_"&amp;Investment_Strategy_Sub1&amp;"_"&amp;$A435,'Investment Strategies'!$AZ:$BP,15,FALSE),
IF(AND(Investment_Strategy="Lifecycle",Investment_Strategy_Sub1="Non-Standard"),VLOOKUP(Investment_Strategy&amp;"_"&amp;Investment_Strategy_Sub2&amp;"_"&amp;$A435,'Investment Strategies'!$C:$P,12,FALSE),
IF(AND(Investment_Strategy="Lifecycle",Investment_Strategy_Sub1="Standard"),VLOOKUP(Investment_Strategy&amp;"_"&amp;Investment_Strategy_Sub2&amp;"_"&amp;$A435,'Investment Strategies'!$AJ:$AV,11,FALSE),
IF(AND(Investment_Strategy="Autopilot",Investment_Strategy_Sub1="Non-Standard"),VLOOKUP(Investment_Strategy&amp;"_"&amp;Investment_Strategy_Sub2&amp;"_"&amp;$A435,'Investment Strategies'!$T:$AF,11,FALSE),
IF(Investment_Strategy="DIY",DIY_GteeChrge_SP,
"Error"))))))</f>
        <v>0</v>
      </c>
      <c r="N435" s="33">
        <f>IF($AV435=0,0,
IF(Investment_Strategy="DIS",VLOOKUP(Investment_Strategy&amp;"_"&amp;Investment_Strategy_Sub1&amp;"_"&amp;$A435,'Investment Strategies'!$AZ:$BP,17,FALSE),
IF(AND(Investment_Strategy="Lifecycle",Investment_Strategy_Sub1="Non-Standard"),VLOOKUP(Investment_Strategy&amp;"_"&amp;Investment_Strategy_Sub2&amp;"_"&amp;$A435,'Investment Strategies'!$C:$P,14,FALSE),
IF(AND(Investment_Strategy="Lifecycle",Investment_Strategy_Sub1="Standard"),VLOOKUP(Investment_Strategy&amp;"_"&amp;Investment_Strategy_Sub2&amp;"_"&amp;$A435,'Investment Strategies'!$AJ:$AV,13,FALSE),
IF(AND(Investment_Strategy="Autopilot",Investment_Strategy_Sub1="Non-Standard"),VLOOKUP(Investment_Strategy&amp;"_"&amp;Investment_Strategy_Sub2&amp;"_"&amp;$A435,'Investment Strategies'!$T:$AF,13,FALSE),
IF(Investment_Strategy="DIY",DIY_ExtManChrge_SP,
"Error"))))))</f>
        <v>0</v>
      </c>
      <c r="O435" s="16">
        <f t="shared" si="266"/>
        <v>0</v>
      </c>
      <c r="Q435" s="16">
        <f t="shared" si="242"/>
        <v>0</v>
      </c>
      <c r="R435" s="16">
        <f t="shared" si="239"/>
        <v>0</v>
      </c>
      <c r="S435" s="16">
        <f>(SRP_SP+SUM(S$91:S434))*L435*IF(D435=$A$91,SRP_finalmonthfactor,1)</f>
        <v>0</v>
      </c>
      <c r="T435" s="74">
        <f>MIN(IF($AV435=0,0,
IF(Investment_Strategy="DIS",VLOOKUP(Investment_Strategy&amp;"_"&amp;Investment_Strategy_Sub1&amp;"_"&amp;$A435,'Investment Strategies'!$AZ:$BP,12,FALSE),
IF(AND(Investment_Strategy="Lifecycle",Investment_Strategy_Sub1="Non-Standard"),VLOOKUP(Investment_Strategy&amp;"_"&amp;Investment_Strategy_Sub2&amp;"_"&amp;$A435,'Investment Strategies'!$C:$P,9,FALSE),
IF(AND(Investment_Strategy="Lifecycle",Investment_Strategy_Sub1="Standard"),VLOOKUP(Investment_Strategy&amp;"_"&amp;Investment_Strategy_Sub2&amp;"_"&amp;$A435,'Investment Strategies'!$AJ:$AV,8,FALSE),
IF(AND(Investment_Strategy="Autopilot",Investment_Strategy_Sub1="Non-Standard"),VLOOKUP(Investment_Strategy&amp;"_"&amp;Investment_Strategy_Sub2&amp;"_"&amp;$A435,'Investment Strategies'!$T:$AF,8,FALSE),
IF(Investment_Strategy ="DIY",DIY_RateOfReturn_FuturePremiums,
"Error")))))),Max_InvReturn)</f>
        <v>0</v>
      </c>
      <c r="U435" s="62">
        <f>IF($AV435=0,0,
IF(Investment_Strategy="DIS",VLOOKUP(Investment_Strategy&amp;"_"&amp;Investment_Strategy_Sub1&amp;"_"&amp;$A435,'Investment Strategies'!$AZ:$BP,15,FALSE),
IF(AND(Investment_Strategy="Lifecycle",Investment_Strategy_Sub1="Non-Standard"),VLOOKUP(Investment_Strategy&amp;"_"&amp;Investment_Strategy_Sub2&amp;"_"&amp;$A435,'Investment Strategies'!$C:$P,12,FALSE),
IF(AND(Investment_Strategy="Lifecycle",Investment_Strategy_Sub1="Standard"),VLOOKUP(Investment_Strategy&amp;"_"&amp;Investment_Strategy_Sub2&amp;"_"&amp;$A435,'Investment Strategies'!$AJ:$AV,11,FALSE),
IF(AND(Investment_Strategy="Autopilot",Investment_Strategy_Sub1="Non-Standard"),VLOOKUP(Investment_Strategy&amp;"_"&amp;Investment_Strategy_Sub2&amp;"_"&amp;$A435,'Investment Strategies'!$T:$AF,11,FALSE),
IF(Investment_Strategy="DIY",DIY_GteeChrge_FuturePremiums,
"Error"))))))</f>
        <v>0</v>
      </c>
      <c r="V435" s="33">
        <f>IF(AV435=0,0,
IF(Investment_Strategy="DIS",VLOOKUP(Investment_Strategy&amp;"_"&amp;Investment_Strategy_Sub1&amp;"_"&amp;$A435,'Investment Strategies'!$AZ:$BP,17,FALSE),
IF(AND(Investment_Strategy="Lifecycle",Investment_Strategy_Sub1="Non-Standard"),VLOOKUP(Investment_Strategy&amp;"_"&amp;Investment_Strategy_Sub2&amp;"_"&amp;$A435,'Investment Strategies'!$C:$P,14,FALSE),
IF(AND(Investment_Strategy="Lifecycle",Investment_Strategy_Sub1="Standard"),VLOOKUP(Investment_Strategy&amp;"_"&amp;Investment_Strategy_Sub2&amp;"_"&amp;$A435,'Investment Strategies'!$AJ:$AV,13,FALSE),
IF(AND(Investment_Strategy="Autopilot",Investment_Strategy_Sub1="Non-Standard"),VLOOKUP(Investment_Strategy&amp;"_"&amp;Investment_Strategy_Sub2&amp;"_"&amp;$A435,'Investment Strategies'!$T:$AF,13,FALSE),
IF(Investment_Strategy="DIY",DIY_ExtManChrge_FuturePremiums,
"Error"))))))</f>
        <v>0</v>
      </c>
      <c r="W435" s="16">
        <f t="shared" si="267"/>
        <v>0</v>
      </c>
      <c r="X435" s="16">
        <f t="shared" si="243"/>
        <v>0</v>
      </c>
      <c r="Y435" s="16">
        <f t="shared" si="244"/>
        <v>0</v>
      </c>
      <c r="Z435" s="31">
        <f t="shared" si="245"/>
        <v>0.02</v>
      </c>
      <c r="AA435" s="16">
        <f t="shared" si="246"/>
        <v>0</v>
      </c>
      <c r="AB435" s="28">
        <f t="shared" si="268"/>
        <v>0</v>
      </c>
      <c r="AC435" s="28">
        <f>(SUM($AC$91:AC434)+SUM($X$91:X434)+X435)*T435*IF(D435=$A$91,SRP_finalmonthfactor,1)</f>
        <v>0</v>
      </c>
      <c r="AD435" s="16">
        <f t="shared" si="247"/>
        <v>0</v>
      </c>
      <c r="AE435" s="106"/>
      <c r="AF435" s="16">
        <f t="shared" si="256"/>
        <v>0</v>
      </c>
      <c r="AG435" s="16">
        <f t="shared" si="257"/>
        <v>0</v>
      </c>
      <c r="AH435" s="16">
        <f t="shared" si="258"/>
        <v>0</v>
      </c>
      <c r="AJ435" s="13">
        <f t="shared" si="270"/>
        <v>0</v>
      </c>
      <c r="AK435" s="13">
        <f t="shared" si="270"/>
        <v>0</v>
      </c>
      <c r="AL435" s="13">
        <f t="shared" si="270"/>
        <v>0</v>
      </c>
      <c r="AM435" s="13">
        <f t="shared" si="270"/>
        <v>0</v>
      </c>
      <c r="AN435" s="13">
        <f t="shared" si="270"/>
        <v>0</v>
      </c>
      <c r="AO435" s="13">
        <f t="shared" si="270"/>
        <v>1</v>
      </c>
      <c r="AP435" s="13">
        <f t="shared" si="270"/>
        <v>1</v>
      </c>
      <c r="AQ435" s="13">
        <f t="shared" si="270"/>
        <v>1</v>
      </c>
      <c r="AR435" s="13">
        <f t="shared" si="270"/>
        <v>0</v>
      </c>
      <c r="AS435" s="13">
        <f t="shared" si="270"/>
        <v>1</v>
      </c>
      <c r="AT435" s="13">
        <f t="shared" si="270"/>
        <v>1</v>
      </c>
      <c r="AU435" s="13">
        <f t="shared" si="270"/>
        <v>1</v>
      </c>
      <c r="AV435" s="13">
        <f t="shared" si="249"/>
        <v>0</v>
      </c>
      <c r="AW435" s="13">
        <f t="shared" si="250"/>
        <v>1</v>
      </c>
      <c r="AY435" s="17">
        <f t="shared" si="251"/>
        <v>345</v>
      </c>
      <c r="AZ435" s="28">
        <f t="shared" si="259"/>
        <v>0</v>
      </c>
      <c r="BA435" s="13">
        <f t="shared" si="252"/>
        <v>0</v>
      </c>
      <c r="BB435" s="13">
        <f t="shared" si="253"/>
        <v>0</v>
      </c>
      <c r="BC435" s="28">
        <f t="shared" si="260"/>
        <v>0</v>
      </c>
      <c r="BD435" s="28">
        <f t="shared" si="261"/>
        <v>0</v>
      </c>
      <c r="BF435" s="248">
        <f t="shared" si="262"/>
        <v>993869.29442638322</v>
      </c>
    </row>
    <row r="436" spans="1:58">
      <c r="A436" s="32">
        <f t="shared" si="263"/>
        <v>-261</v>
      </c>
      <c r="B436" s="32">
        <f t="shared" si="254"/>
        <v>81</v>
      </c>
      <c r="C436" s="32">
        <f t="shared" si="264"/>
        <v>29</v>
      </c>
      <c r="D436" s="32">
        <f t="shared" si="265"/>
        <v>346</v>
      </c>
      <c r="E436" s="74">
        <f>MIN(IF(AV436=0,0,
IF(Investment_Strategy="DIS",VLOOKUP(Investment_Strategy&amp;"_"&amp;Investment_Strategy_Sub1&amp;"_"&amp;$A436,'Investment Strategies'!$AZ:$BP,12,FALSE),
IF(AND(Investment_Strategy="Lifecycle",Investment_Strategy_Sub1="Non-Standard"),VLOOKUP(Investment_Strategy&amp;"_"&amp;Investment_Strategy_Sub2&amp;"_"&amp;$A436,'Investment Strategies'!$C:$P,9,FALSE),
IF(AND(Investment_Strategy="Lifecycle",Investment_Strategy_Sub1="Standard"),VLOOKUP(Investment_Strategy&amp;"_"&amp;Investment_Strategy_Sub2&amp;"_"&amp;$A436,'Investment Strategies'!$AJ:$AV,8,FALSE),
IF(AND(Investment_Strategy="Autopilot",Investment_Strategy_Sub1="Non-Standard"),VLOOKUP(Investment_Strategy&amp;"_"&amp;Investment_Strategy_Sub2&amp;"_"&amp;$A436,'Investment Strategies'!$T:$AF,8,FALSE),
IF(Investment_Strategy ="DIY",DIY_RateOfReturn_CurrentFunds,
"Error")))))),Max_InvReturn)</f>
        <v>0</v>
      </c>
      <c r="F436" s="62">
        <f>IF(AV436=0,0,
IF(Investment_Strategy="DIS",VLOOKUP(Investment_Strategy&amp;"_"&amp;Investment_Strategy_Sub1&amp;"_"&amp;$A436,'Investment Strategies'!$AZ:$BP,15,FALSE),
IF(AND(Investment_Strategy="Lifecycle",Investment_Strategy_Sub1="Non-Standard"),VLOOKUP(Investment_Strategy&amp;"_"&amp;Investment_Strategy_Sub2&amp;"_"&amp;$A436,'Investment Strategies'!$C:$P,12,FALSE),
IF(AND(Investment_Strategy="Lifecycle",Investment_Strategy_Sub1="Standard"),VLOOKUP(Investment_Strategy&amp;"_"&amp;Investment_Strategy_Sub2&amp;"_"&amp;$A436,'Investment Strategies'!$AJ:$AV,11,FALSE),
IF(AND(Investment_Strategy="Autopilot",Investment_Strategy_Sub1="Non-Standard"),VLOOKUP(Investment_Strategy&amp;"_"&amp;Investment_Strategy_Sub2&amp;"_"&amp;$A436,'Investment Strategies'!$T:$AF,11,FALSE),
IF(Investment_Strategy="DIY",DIY_GteeChrge_CurrentFunds,
"Error"))))))</f>
        <v>0</v>
      </c>
      <c r="G436" s="33">
        <f>IF(AV436=0,0,
IF(Investment_Strategy="DIS",VLOOKUP(Investment_Strategy&amp;"_"&amp;Investment_Strategy_Sub1&amp;"_"&amp;$A436,'Investment Strategies'!$AZ:$BP,17,FALSE),
IF(AND(Investment_Strategy="Lifecycle",Investment_Strategy_Sub1="Non-Standard"),VLOOKUP(Investment_Strategy&amp;"_"&amp;Investment_Strategy_Sub2&amp;"_"&amp;$A436,'Investment Strategies'!$C:$P,14,FALSE),
IF(AND(Investment_Strategy="Lifecycle",Investment_Strategy_Sub1="Standard"),VLOOKUP(Investment_Strategy&amp;"_"&amp;Investment_Strategy_Sub2&amp;"_"&amp;$A436,'Investment Strategies'!$AJ:$AV,13,FALSE),
IF(AND(Investment_Strategy="Autopilot",Investment_Strategy_Sub1="Non-Standard"),VLOOKUP(Investment_Strategy&amp;"_"&amp;Investment_Strategy_Sub2&amp;"_"&amp;$A436,'Investment Strategies'!$T:$AF,13,FALSE),
IF(Investment_Strategy="DIY",DIY_ExtManChrge_CurrentFunds,
"Error"))))))</f>
        <v>0</v>
      </c>
      <c r="H436" s="16">
        <f t="shared" si="255"/>
        <v>0</v>
      </c>
      <c r="I436" s="16">
        <f t="shared" si="240"/>
        <v>0</v>
      </c>
      <c r="J436" s="16">
        <f t="shared" si="241"/>
        <v>0</v>
      </c>
      <c r="K436" s="16">
        <f>(Opening_Fund_Value+SUM(K$91:K435))*E436*IF(D436=$A$91,SRP_finalmonthfactor,1)</f>
        <v>0</v>
      </c>
      <c r="L436" s="74">
        <f>MIN(IF($AV436=0,0,
IF(Investment_Strategy="DIS",VLOOKUP(Investment_Strategy&amp;"_"&amp;Investment_Strategy_Sub1&amp;"_"&amp;$A436,'Investment Strategies'!$AZ:$BP,12,FALSE),
IF(AND(Investment_Strategy="Lifecycle",Investment_Strategy_Sub1="Non-Standard"),VLOOKUP(Investment_Strategy&amp;"_"&amp;Investment_Strategy_Sub2&amp;"_"&amp;$A436,'Investment Strategies'!$C:$P,9,FALSE),
IF(AND(Investment_Strategy="Lifecycle",Investment_Strategy_Sub1="Standard"),VLOOKUP(Investment_Strategy&amp;"_"&amp;Investment_Strategy_Sub2&amp;"_"&amp;$A436,'Investment Strategies'!$AJ:$AV,8,FALSE),
IF(AND(Investment_Strategy="Autopilot",Investment_Strategy_Sub1="Non-Standard"),VLOOKUP(Investment_Strategy&amp;"_"&amp;Investment_Strategy_Sub2&amp;"_"&amp;$A436,'Investment Strategies'!$T:$AF,8,FALSE),
IF(Investment_Strategy ="DIY",DIY_RateofReturn_SP,
"Error")))))),Max_InvReturn)</f>
        <v>0</v>
      </c>
      <c r="M436" s="62">
        <f>IF($AV436=0,0,
IF(Investment_Strategy="DIS",VLOOKUP(Investment_Strategy&amp;"_"&amp;Investment_Strategy_Sub1&amp;"_"&amp;$A436,'Investment Strategies'!$AZ:$BP,15,FALSE),
IF(AND(Investment_Strategy="Lifecycle",Investment_Strategy_Sub1="Non-Standard"),VLOOKUP(Investment_Strategy&amp;"_"&amp;Investment_Strategy_Sub2&amp;"_"&amp;$A436,'Investment Strategies'!$C:$P,12,FALSE),
IF(AND(Investment_Strategy="Lifecycle",Investment_Strategy_Sub1="Standard"),VLOOKUP(Investment_Strategy&amp;"_"&amp;Investment_Strategy_Sub2&amp;"_"&amp;$A436,'Investment Strategies'!$AJ:$AV,11,FALSE),
IF(AND(Investment_Strategy="Autopilot",Investment_Strategy_Sub1="Non-Standard"),VLOOKUP(Investment_Strategy&amp;"_"&amp;Investment_Strategy_Sub2&amp;"_"&amp;$A436,'Investment Strategies'!$T:$AF,11,FALSE),
IF(Investment_Strategy="DIY",DIY_GteeChrge_SP,
"Error"))))))</f>
        <v>0</v>
      </c>
      <c r="N436" s="33">
        <f>IF($AV436=0,0,
IF(Investment_Strategy="DIS",VLOOKUP(Investment_Strategy&amp;"_"&amp;Investment_Strategy_Sub1&amp;"_"&amp;$A436,'Investment Strategies'!$AZ:$BP,17,FALSE),
IF(AND(Investment_Strategy="Lifecycle",Investment_Strategy_Sub1="Non-Standard"),VLOOKUP(Investment_Strategy&amp;"_"&amp;Investment_Strategy_Sub2&amp;"_"&amp;$A436,'Investment Strategies'!$C:$P,14,FALSE),
IF(AND(Investment_Strategy="Lifecycle",Investment_Strategy_Sub1="Standard"),VLOOKUP(Investment_Strategy&amp;"_"&amp;Investment_Strategy_Sub2&amp;"_"&amp;$A436,'Investment Strategies'!$AJ:$AV,13,FALSE),
IF(AND(Investment_Strategy="Autopilot",Investment_Strategy_Sub1="Non-Standard"),VLOOKUP(Investment_Strategy&amp;"_"&amp;Investment_Strategy_Sub2&amp;"_"&amp;$A436,'Investment Strategies'!$T:$AF,13,FALSE),
IF(Investment_Strategy="DIY",DIY_ExtManChrge_SP,
"Error"))))))</f>
        <v>0</v>
      </c>
      <c r="O436" s="16">
        <f t="shared" si="266"/>
        <v>0</v>
      </c>
      <c r="Q436" s="16">
        <f t="shared" si="242"/>
        <v>0</v>
      </c>
      <c r="R436" s="16">
        <f t="shared" si="239"/>
        <v>0</v>
      </c>
      <c r="S436" s="16">
        <f>(SRP_SP+SUM(S$91:S435))*L436*IF(D436=$A$91,SRP_finalmonthfactor,1)</f>
        <v>0</v>
      </c>
      <c r="T436" s="74">
        <f>MIN(IF($AV436=0,0,
IF(Investment_Strategy="DIS",VLOOKUP(Investment_Strategy&amp;"_"&amp;Investment_Strategy_Sub1&amp;"_"&amp;$A436,'Investment Strategies'!$AZ:$BP,12,FALSE),
IF(AND(Investment_Strategy="Lifecycle",Investment_Strategy_Sub1="Non-Standard"),VLOOKUP(Investment_Strategy&amp;"_"&amp;Investment_Strategy_Sub2&amp;"_"&amp;$A436,'Investment Strategies'!$C:$P,9,FALSE),
IF(AND(Investment_Strategy="Lifecycle",Investment_Strategy_Sub1="Standard"),VLOOKUP(Investment_Strategy&amp;"_"&amp;Investment_Strategy_Sub2&amp;"_"&amp;$A436,'Investment Strategies'!$AJ:$AV,8,FALSE),
IF(AND(Investment_Strategy="Autopilot",Investment_Strategy_Sub1="Non-Standard"),VLOOKUP(Investment_Strategy&amp;"_"&amp;Investment_Strategy_Sub2&amp;"_"&amp;$A436,'Investment Strategies'!$T:$AF,8,FALSE),
IF(Investment_Strategy ="DIY",DIY_RateOfReturn_FuturePremiums,
"Error")))))),Max_InvReturn)</f>
        <v>0</v>
      </c>
      <c r="U436" s="62">
        <f>IF($AV436=0,0,
IF(Investment_Strategy="DIS",VLOOKUP(Investment_Strategy&amp;"_"&amp;Investment_Strategy_Sub1&amp;"_"&amp;$A436,'Investment Strategies'!$AZ:$BP,15,FALSE),
IF(AND(Investment_Strategy="Lifecycle",Investment_Strategy_Sub1="Non-Standard"),VLOOKUP(Investment_Strategy&amp;"_"&amp;Investment_Strategy_Sub2&amp;"_"&amp;$A436,'Investment Strategies'!$C:$P,12,FALSE),
IF(AND(Investment_Strategy="Lifecycle",Investment_Strategy_Sub1="Standard"),VLOOKUP(Investment_Strategy&amp;"_"&amp;Investment_Strategy_Sub2&amp;"_"&amp;$A436,'Investment Strategies'!$AJ:$AV,11,FALSE),
IF(AND(Investment_Strategy="Autopilot",Investment_Strategy_Sub1="Non-Standard"),VLOOKUP(Investment_Strategy&amp;"_"&amp;Investment_Strategy_Sub2&amp;"_"&amp;$A436,'Investment Strategies'!$T:$AF,11,FALSE),
IF(Investment_Strategy="DIY",DIY_GteeChrge_FuturePremiums,
"Error"))))))</f>
        <v>0</v>
      </c>
      <c r="V436" s="33">
        <f>IF(AV436=0,0,
IF(Investment_Strategy="DIS",VLOOKUP(Investment_Strategy&amp;"_"&amp;Investment_Strategy_Sub1&amp;"_"&amp;$A436,'Investment Strategies'!$AZ:$BP,17,FALSE),
IF(AND(Investment_Strategy="Lifecycle",Investment_Strategy_Sub1="Non-Standard"),VLOOKUP(Investment_Strategy&amp;"_"&amp;Investment_Strategy_Sub2&amp;"_"&amp;$A436,'Investment Strategies'!$C:$P,14,FALSE),
IF(AND(Investment_Strategy="Lifecycle",Investment_Strategy_Sub1="Standard"),VLOOKUP(Investment_Strategy&amp;"_"&amp;Investment_Strategy_Sub2&amp;"_"&amp;$A436,'Investment Strategies'!$AJ:$AV,13,FALSE),
IF(AND(Investment_Strategy="Autopilot",Investment_Strategy_Sub1="Non-Standard"),VLOOKUP(Investment_Strategy&amp;"_"&amp;Investment_Strategy_Sub2&amp;"_"&amp;$A436,'Investment Strategies'!$T:$AF,13,FALSE),
IF(Investment_Strategy="DIY",DIY_ExtManChrge_FuturePremiums,
"Error"))))))</f>
        <v>0</v>
      </c>
      <c r="W436" s="16">
        <f t="shared" si="267"/>
        <v>0</v>
      </c>
      <c r="X436" s="16">
        <f t="shared" si="243"/>
        <v>0</v>
      </c>
      <c r="Y436" s="16">
        <f t="shared" si="244"/>
        <v>0</v>
      </c>
      <c r="Z436" s="31">
        <f t="shared" si="245"/>
        <v>0.02</v>
      </c>
      <c r="AA436" s="16">
        <f t="shared" si="246"/>
        <v>0</v>
      </c>
      <c r="AB436" s="28">
        <f t="shared" si="268"/>
        <v>0</v>
      </c>
      <c r="AC436" s="28">
        <f>(SUM($AC$91:AC435)+SUM($X$91:X435)+X436)*T436*IF(D436=$A$91,SRP_finalmonthfactor,1)</f>
        <v>0</v>
      </c>
      <c r="AD436" s="16">
        <f t="shared" si="247"/>
        <v>0</v>
      </c>
      <c r="AE436" s="106"/>
      <c r="AF436" s="16">
        <f t="shared" si="256"/>
        <v>0</v>
      </c>
      <c r="AG436" s="16">
        <f t="shared" si="257"/>
        <v>0</v>
      </c>
      <c r="AH436" s="16">
        <f t="shared" si="258"/>
        <v>0</v>
      </c>
      <c r="AJ436" s="13">
        <f t="shared" si="270"/>
        <v>0</v>
      </c>
      <c r="AK436" s="13">
        <f t="shared" si="270"/>
        <v>0</v>
      </c>
      <c r="AL436" s="13">
        <f t="shared" si="270"/>
        <v>0</v>
      </c>
      <c r="AM436" s="13">
        <f t="shared" si="270"/>
        <v>0</v>
      </c>
      <c r="AN436" s="13">
        <f t="shared" si="270"/>
        <v>0</v>
      </c>
      <c r="AO436" s="13">
        <f t="shared" si="270"/>
        <v>1</v>
      </c>
      <c r="AP436" s="13">
        <f t="shared" si="270"/>
        <v>1</v>
      </c>
      <c r="AQ436" s="13">
        <f t="shared" si="270"/>
        <v>1</v>
      </c>
      <c r="AR436" s="13">
        <f t="shared" si="270"/>
        <v>0</v>
      </c>
      <c r="AS436" s="13">
        <f t="shared" si="270"/>
        <v>1</v>
      </c>
      <c r="AT436" s="13">
        <f t="shared" si="270"/>
        <v>1</v>
      </c>
      <c r="AU436" s="13">
        <f t="shared" si="270"/>
        <v>1</v>
      </c>
      <c r="AV436" s="13">
        <f t="shared" si="249"/>
        <v>0</v>
      </c>
      <c r="AW436" s="13">
        <f t="shared" si="250"/>
        <v>1</v>
      </c>
      <c r="AY436" s="17">
        <f t="shared" si="251"/>
        <v>346</v>
      </c>
      <c r="AZ436" s="28">
        <f t="shared" si="259"/>
        <v>0</v>
      </c>
      <c r="BA436" s="13">
        <f t="shared" si="252"/>
        <v>0</v>
      </c>
      <c r="BB436" s="13">
        <f t="shared" si="253"/>
        <v>0</v>
      </c>
      <c r="BC436" s="28">
        <f t="shared" si="260"/>
        <v>0</v>
      </c>
      <c r="BD436" s="28">
        <f t="shared" si="261"/>
        <v>0</v>
      </c>
      <c r="BF436" s="248">
        <f t="shared" si="262"/>
        <v>993869.29442638322</v>
      </c>
    </row>
    <row r="437" spans="1:58">
      <c r="A437" s="32">
        <f t="shared" si="263"/>
        <v>-262</v>
      </c>
      <c r="B437" s="32">
        <f t="shared" si="254"/>
        <v>81</v>
      </c>
      <c r="C437" s="32">
        <f t="shared" si="264"/>
        <v>29</v>
      </c>
      <c r="D437" s="32">
        <f t="shared" si="265"/>
        <v>347</v>
      </c>
      <c r="E437" s="74">
        <f>MIN(IF(AV437=0,0,
IF(Investment_Strategy="DIS",VLOOKUP(Investment_Strategy&amp;"_"&amp;Investment_Strategy_Sub1&amp;"_"&amp;$A437,'Investment Strategies'!$AZ:$BP,12,FALSE),
IF(AND(Investment_Strategy="Lifecycle",Investment_Strategy_Sub1="Non-Standard"),VLOOKUP(Investment_Strategy&amp;"_"&amp;Investment_Strategy_Sub2&amp;"_"&amp;$A437,'Investment Strategies'!$C:$P,9,FALSE),
IF(AND(Investment_Strategy="Lifecycle",Investment_Strategy_Sub1="Standard"),VLOOKUP(Investment_Strategy&amp;"_"&amp;Investment_Strategy_Sub2&amp;"_"&amp;$A437,'Investment Strategies'!$AJ:$AV,8,FALSE),
IF(AND(Investment_Strategy="Autopilot",Investment_Strategy_Sub1="Non-Standard"),VLOOKUP(Investment_Strategy&amp;"_"&amp;Investment_Strategy_Sub2&amp;"_"&amp;$A437,'Investment Strategies'!$T:$AF,8,FALSE),
IF(Investment_Strategy ="DIY",DIY_RateOfReturn_CurrentFunds,
"Error")))))),Max_InvReturn)</f>
        <v>0</v>
      </c>
      <c r="F437" s="62">
        <f>IF(AV437=0,0,
IF(Investment_Strategy="DIS",VLOOKUP(Investment_Strategy&amp;"_"&amp;Investment_Strategy_Sub1&amp;"_"&amp;$A437,'Investment Strategies'!$AZ:$BP,15,FALSE),
IF(AND(Investment_Strategy="Lifecycle",Investment_Strategy_Sub1="Non-Standard"),VLOOKUP(Investment_Strategy&amp;"_"&amp;Investment_Strategy_Sub2&amp;"_"&amp;$A437,'Investment Strategies'!$C:$P,12,FALSE),
IF(AND(Investment_Strategy="Lifecycle",Investment_Strategy_Sub1="Standard"),VLOOKUP(Investment_Strategy&amp;"_"&amp;Investment_Strategy_Sub2&amp;"_"&amp;$A437,'Investment Strategies'!$AJ:$AV,11,FALSE),
IF(AND(Investment_Strategy="Autopilot",Investment_Strategy_Sub1="Non-Standard"),VLOOKUP(Investment_Strategy&amp;"_"&amp;Investment_Strategy_Sub2&amp;"_"&amp;$A437,'Investment Strategies'!$T:$AF,11,FALSE),
IF(Investment_Strategy="DIY",DIY_GteeChrge_CurrentFunds,
"Error"))))))</f>
        <v>0</v>
      </c>
      <c r="G437" s="33">
        <f>IF(AV437=0,0,
IF(Investment_Strategy="DIS",VLOOKUP(Investment_Strategy&amp;"_"&amp;Investment_Strategy_Sub1&amp;"_"&amp;$A437,'Investment Strategies'!$AZ:$BP,17,FALSE),
IF(AND(Investment_Strategy="Lifecycle",Investment_Strategy_Sub1="Non-Standard"),VLOOKUP(Investment_Strategy&amp;"_"&amp;Investment_Strategy_Sub2&amp;"_"&amp;$A437,'Investment Strategies'!$C:$P,14,FALSE),
IF(AND(Investment_Strategy="Lifecycle",Investment_Strategy_Sub1="Standard"),VLOOKUP(Investment_Strategy&amp;"_"&amp;Investment_Strategy_Sub2&amp;"_"&amp;$A437,'Investment Strategies'!$AJ:$AV,13,FALSE),
IF(AND(Investment_Strategy="Autopilot",Investment_Strategy_Sub1="Non-Standard"),VLOOKUP(Investment_Strategy&amp;"_"&amp;Investment_Strategy_Sub2&amp;"_"&amp;$A437,'Investment Strategies'!$T:$AF,13,FALSE),
IF(Investment_Strategy="DIY",DIY_ExtManChrge_CurrentFunds,
"Error"))))))</f>
        <v>0</v>
      </c>
      <c r="H437" s="16">
        <f t="shared" si="255"/>
        <v>0</v>
      </c>
      <c r="I437" s="16">
        <f t="shared" si="240"/>
        <v>0</v>
      </c>
      <c r="J437" s="16">
        <f t="shared" si="241"/>
        <v>0</v>
      </c>
      <c r="K437" s="16">
        <f>(Opening_Fund_Value+SUM(K$91:K436))*E437*IF(D437=$A$91,SRP_finalmonthfactor,1)</f>
        <v>0</v>
      </c>
      <c r="L437" s="74">
        <f>MIN(IF($AV437=0,0,
IF(Investment_Strategy="DIS",VLOOKUP(Investment_Strategy&amp;"_"&amp;Investment_Strategy_Sub1&amp;"_"&amp;$A437,'Investment Strategies'!$AZ:$BP,12,FALSE),
IF(AND(Investment_Strategy="Lifecycle",Investment_Strategy_Sub1="Non-Standard"),VLOOKUP(Investment_Strategy&amp;"_"&amp;Investment_Strategy_Sub2&amp;"_"&amp;$A437,'Investment Strategies'!$C:$P,9,FALSE),
IF(AND(Investment_Strategy="Lifecycle",Investment_Strategy_Sub1="Standard"),VLOOKUP(Investment_Strategy&amp;"_"&amp;Investment_Strategy_Sub2&amp;"_"&amp;$A437,'Investment Strategies'!$AJ:$AV,8,FALSE),
IF(AND(Investment_Strategy="Autopilot",Investment_Strategy_Sub1="Non-Standard"),VLOOKUP(Investment_Strategy&amp;"_"&amp;Investment_Strategy_Sub2&amp;"_"&amp;$A437,'Investment Strategies'!$T:$AF,8,FALSE),
IF(Investment_Strategy ="DIY",DIY_RateofReturn_SP,
"Error")))))),Max_InvReturn)</f>
        <v>0</v>
      </c>
      <c r="M437" s="62">
        <f>IF($AV437=0,0,
IF(Investment_Strategy="DIS",VLOOKUP(Investment_Strategy&amp;"_"&amp;Investment_Strategy_Sub1&amp;"_"&amp;$A437,'Investment Strategies'!$AZ:$BP,15,FALSE),
IF(AND(Investment_Strategy="Lifecycle",Investment_Strategy_Sub1="Non-Standard"),VLOOKUP(Investment_Strategy&amp;"_"&amp;Investment_Strategy_Sub2&amp;"_"&amp;$A437,'Investment Strategies'!$C:$P,12,FALSE),
IF(AND(Investment_Strategy="Lifecycle",Investment_Strategy_Sub1="Standard"),VLOOKUP(Investment_Strategy&amp;"_"&amp;Investment_Strategy_Sub2&amp;"_"&amp;$A437,'Investment Strategies'!$AJ:$AV,11,FALSE),
IF(AND(Investment_Strategy="Autopilot",Investment_Strategy_Sub1="Non-Standard"),VLOOKUP(Investment_Strategy&amp;"_"&amp;Investment_Strategy_Sub2&amp;"_"&amp;$A437,'Investment Strategies'!$T:$AF,11,FALSE),
IF(Investment_Strategy="DIY",DIY_GteeChrge_SP,
"Error"))))))</f>
        <v>0</v>
      </c>
      <c r="N437" s="33">
        <f>IF($AV437=0,0,
IF(Investment_Strategy="DIS",VLOOKUP(Investment_Strategy&amp;"_"&amp;Investment_Strategy_Sub1&amp;"_"&amp;$A437,'Investment Strategies'!$AZ:$BP,17,FALSE),
IF(AND(Investment_Strategy="Lifecycle",Investment_Strategy_Sub1="Non-Standard"),VLOOKUP(Investment_Strategy&amp;"_"&amp;Investment_Strategy_Sub2&amp;"_"&amp;$A437,'Investment Strategies'!$C:$P,14,FALSE),
IF(AND(Investment_Strategy="Lifecycle",Investment_Strategy_Sub1="Standard"),VLOOKUP(Investment_Strategy&amp;"_"&amp;Investment_Strategy_Sub2&amp;"_"&amp;$A437,'Investment Strategies'!$AJ:$AV,13,FALSE),
IF(AND(Investment_Strategy="Autopilot",Investment_Strategy_Sub1="Non-Standard"),VLOOKUP(Investment_Strategy&amp;"_"&amp;Investment_Strategy_Sub2&amp;"_"&amp;$A437,'Investment Strategies'!$T:$AF,13,FALSE),
IF(Investment_Strategy="DIY",DIY_ExtManChrge_SP,
"Error"))))))</f>
        <v>0</v>
      </c>
      <c r="O437" s="16">
        <f t="shared" si="266"/>
        <v>0</v>
      </c>
      <c r="Q437" s="16">
        <f t="shared" si="242"/>
        <v>0</v>
      </c>
      <c r="R437" s="16">
        <f t="shared" si="239"/>
        <v>0</v>
      </c>
      <c r="S437" s="16">
        <f>(SRP_SP+SUM(S$91:S436))*L437*IF(D437=$A$91,SRP_finalmonthfactor,1)</f>
        <v>0</v>
      </c>
      <c r="T437" s="74">
        <f>MIN(IF($AV437=0,0,
IF(Investment_Strategy="DIS",VLOOKUP(Investment_Strategy&amp;"_"&amp;Investment_Strategy_Sub1&amp;"_"&amp;$A437,'Investment Strategies'!$AZ:$BP,12,FALSE),
IF(AND(Investment_Strategy="Lifecycle",Investment_Strategy_Sub1="Non-Standard"),VLOOKUP(Investment_Strategy&amp;"_"&amp;Investment_Strategy_Sub2&amp;"_"&amp;$A437,'Investment Strategies'!$C:$P,9,FALSE),
IF(AND(Investment_Strategy="Lifecycle",Investment_Strategy_Sub1="Standard"),VLOOKUP(Investment_Strategy&amp;"_"&amp;Investment_Strategy_Sub2&amp;"_"&amp;$A437,'Investment Strategies'!$AJ:$AV,8,FALSE),
IF(AND(Investment_Strategy="Autopilot",Investment_Strategy_Sub1="Non-Standard"),VLOOKUP(Investment_Strategy&amp;"_"&amp;Investment_Strategy_Sub2&amp;"_"&amp;$A437,'Investment Strategies'!$T:$AF,8,FALSE),
IF(Investment_Strategy ="DIY",DIY_RateOfReturn_FuturePremiums,
"Error")))))),Max_InvReturn)</f>
        <v>0</v>
      </c>
      <c r="U437" s="62">
        <f>IF($AV437=0,0,
IF(Investment_Strategy="DIS",VLOOKUP(Investment_Strategy&amp;"_"&amp;Investment_Strategy_Sub1&amp;"_"&amp;$A437,'Investment Strategies'!$AZ:$BP,15,FALSE),
IF(AND(Investment_Strategy="Lifecycle",Investment_Strategy_Sub1="Non-Standard"),VLOOKUP(Investment_Strategy&amp;"_"&amp;Investment_Strategy_Sub2&amp;"_"&amp;$A437,'Investment Strategies'!$C:$P,12,FALSE),
IF(AND(Investment_Strategy="Lifecycle",Investment_Strategy_Sub1="Standard"),VLOOKUP(Investment_Strategy&amp;"_"&amp;Investment_Strategy_Sub2&amp;"_"&amp;$A437,'Investment Strategies'!$AJ:$AV,11,FALSE),
IF(AND(Investment_Strategy="Autopilot",Investment_Strategy_Sub1="Non-Standard"),VLOOKUP(Investment_Strategy&amp;"_"&amp;Investment_Strategy_Sub2&amp;"_"&amp;$A437,'Investment Strategies'!$T:$AF,11,FALSE),
IF(Investment_Strategy="DIY",DIY_GteeChrge_FuturePremiums,
"Error"))))))</f>
        <v>0</v>
      </c>
      <c r="V437" s="33">
        <f>IF(AV437=0,0,
IF(Investment_Strategy="DIS",VLOOKUP(Investment_Strategy&amp;"_"&amp;Investment_Strategy_Sub1&amp;"_"&amp;$A437,'Investment Strategies'!$AZ:$BP,17,FALSE),
IF(AND(Investment_Strategy="Lifecycle",Investment_Strategy_Sub1="Non-Standard"),VLOOKUP(Investment_Strategy&amp;"_"&amp;Investment_Strategy_Sub2&amp;"_"&amp;$A437,'Investment Strategies'!$C:$P,14,FALSE),
IF(AND(Investment_Strategy="Lifecycle",Investment_Strategy_Sub1="Standard"),VLOOKUP(Investment_Strategy&amp;"_"&amp;Investment_Strategy_Sub2&amp;"_"&amp;$A437,'Investment Strategies'!$AJ:$AV,13,FALSE),
IF(AND(Investment_Strategy="Autopilot",Investment_Strategy_Sub1="Non-Standard"),VLOOKUP(Investment_Strategy&amp;"_"&amp;Investment_Strategy_Sub2&amp;"_"&amp;$A437,'Investment Strategies'!$T:$AF,13,FALSE),
IF(Investment_Strategy="DIY",DIY_ExtManChrge_FuturePremiums,
"Error"))))))</f>
        <v>0</v>
      </c>
      <c r="W437" s="16">
        <f t="shared" si="267"/>
        <v>0</v>
      </c>
      <c r="X437" s="16">
        <f t="shared" si="243"/>
        <v>0</v>
      </c>
      <c r="Y437" s="16">
        <f t="shared" si="244"/>
        <v>0</v>
      </c>
      <c r="Z437" s="31">
        <f t="shared" si="245"/>
        <v>0.02</v>
      </c>
      <c r="AA437" s="16">
        <f t="shared" si="246"/>
        <v>0</v>
      </c>
      <c r="AB437" s="28">
        <f t="shared" si="268"/>
        <v>0</v>
      </c>
      <c r="AC437" s="28">
        <f>(SUM($AC$91:AC436)+SUM($X$91:X436)+X437)*T437*IF(D437=$A$91,SRP_finalmonthfactor,1)</f>
        <v>0</v>
      </c>
      <c r="AD437" s="16">
        <f t="shared" si="247"/>
        <v>0</v>
      </c>
      <c r="AE437" s="106"/>
      <c r="AF437" s="16">
        <f t="shared" si="256"/>
        <v>0</v>
      </c>
      <c r="AG437" s="16">
        <f t="shared" si="257"/>
        <v>0</v>
      </c>
      <c r="AH437" s="16">
        <f t="shared" si="258"/>
        <v>0</v>
      </c>
      <c r="AJ437" s="13">
        <f t="shared" si="270"/>
        <v>0</v>
      </c>
      <c r="AK437" s="13">
        <f t="shared" si="270"/>
        <v>0</v>
      </c>
      <c r="AL437" s="13">
        <f t="shared" si="270"/>
        <v>0</v>
      </c>
      <c r="AM437" s="13">
        <f t="shared" si="270"/>
        <v>0</v>
      </c>
      <c r="AN437" s="13">
        <f t="shared" si="270"/>
        <v>0</v>
      </c>
      <c r="AO437" s="13">
        <f t="shared" si="270"/>
        <v>1</v>
      </c>
      <c r="AP437" s="13">
        <f t="shared" si="270"/>
        <v>1</v>
      </c>
      <c r="AQ437" s="13">
        <f t="shared" si="270"/>
        <v>1</v>
      </c>
      <c r="AR437" s="13">
        <f t="shared" si="270"/>
        <v>0</v>
      </c>
      <c r="AS437" s="13">
        <f t="shared" si="270"/>
        <v>1</v>
      </c>
      <c r="AT437" s="13">
        <f t="shared" si="270"/>
        <v>1</v>
      </c>
      <c r="AU437" s="13">
        <f t="shared" si="270"/>
        <v>1</v>
      </c>
      <c r="AV437" s="13">
        <f t="shared" si="249"/>
        <v>0</v>
      </c>
      <c r="AW437" s="13">
        <f t="shared" si="250"/>
        <v>1</v>
      </c>
      <c r="AY437" s="17">
        <f t="shared" si="251"/>
        <v>347</v>
      </c>
      <c r="AZ437" s="28">
        <f t="shared" si="259"/>
        <v>0</v>
      </c>
      <c r="BA437" s="13">
        <f t="shared" si="252"/>
        <v>0</v>
      </c>
      <c r="BB437" s="13">
        <f t="shared" si="253"/>
        <v>0</v>
      </c>
      <c r="BC437" s="28">
        <f t="shared" si="260"/>
        <v>0</v>
      </c>
      <c r="BD437" s="28">
        <f t="shared" si="261"/>
        <v>0</v>
      </c>
      <c r="BF437" s="248">
        <f t="shared" si="262"/>
        <v>993869.29442638322</v>
      </c>
    </row>
    <row r="438" spans="1:58">
      <c r="A438" s="32">
        <f t="shared" si="263"/>
        <v>-263</v>
      </c>
      <c r="B438" s="32">
        <f t="shared" si="254"/>
        <v>81</v>
      </c>
      <c r="C438" s="32">
        <f t="shared" si="264"/>
        <v>29</v>
      </c>
      <c r="D438" s="32">
        <f t="shared" si="265"/>
        <v>348</v>
      </c>
      <c r="E438" s="74">
        <f>MIN(IF(AV438=0,0,
IF(Investment_Strategy="DIS",VLOOKUP(Investment_Strategy&amp;"_"&amp;Investment_Strategy_Sub1&amp;"_"&amp;$A438,'Investment Strategies'!$AZ:$BP,12,FALSE),
IF(AND(Investment_Strategy="Lifecycle",Investment_Strategy_Sub1="Non-Standard"),VLOOKUP(Investment_Strategy&amp;"_"&amp;Investment_Strategy_Sub2&amp;"_"&amp;$A438,'Investment Strategies'!$C:$P,9,FALSE),
IF(AND(Investment_Strategy="Lifecycle",Investment_Strategy_Sub1="Standard"),VLOOKUP(Investment_Strategy&amp;"_"&amp;Investment_Strategy_Sub2&amp;"_"&amp;$A438,'Investment Strategies'!$AJ:$AV,8,FALSE),
IF(AND(Investment_Strategy="Autopilot",Investment_Strategy_Sub1="Non-Standard"),VLOOKUP(Investment_Strategy&amp;"_"&amp;Investment_Strategy_Sub2&amp;"_"&amp;$A438,'Investment Strategies'!$T:$AF,8,FALSE),
IF(Investment_Strategy ="DIY",DIY_RateOfReturn_CurrentFunds,
"Error")))))),Max_InvReturn)</f>
        <v>0</v>
      </c>
      <c r="F438" s="62">
        <f>IF(AV438=0,0,
IF(Investment_Strategy="DIS",VLOOKUP(Investment_Strategy&amp;"_"&amp;Investment_Strategy_Sub1&amp;"_"&amp;$A438,'Investment Strategies'!$AZ:$BP,15,FALSE),
IF(AND(Investment_Strategy="Lifecycle",Investment_Strategy_Sub1="Non-Standard"),VLOOKUP(Investment_Strategy&amp;"_"&amp;Investment_Strategy_Sub2&amp;"_"&amp;$A438,'Investment Strategies'!$C:$P,12,FALSE),
IF(AND(Investment_Strategy="Lifecycle",Investment_Strategy_Sub1="Standard"),VLOOKUP(Investment_Strategy&amp;"_"&amp;Investment_Strategy_Sub2&amp;"_"&amp;$A438,'Investment Strategies'!$AJ:$AV,11,FALSE),
IF(AND(Investment_Strategy="Autopilot",Investment_Strategy_Sub1="Non-Standard"),VLOOKUP(Investment_Strategy&amp;"_"&amp;Investment_Strategy_Sub2&amp;"_"&amp;$A438,'Investment Strategies'!$T:$AF,11,FALSE),
IF(Investment_Strategy="DIY",DIY_GteeChrge_CurrentFunds,
"Error"))))))</f>
        <v>0</v>
      </c>
      <c r="G438" s="33">
        <f>IF(AV438=0,0,
IF(Investment_Strategy="DIS",VLOOKUP(Investment_Strategy&amp;"_"&amp;Investment_Strategy_Sub1&amp;"_"&amp;$A438,'Investment Strategies'!$AZ:$BP,17,FALSE),
IF(AND(Investment_Strategy="Lifecycle",Investment_Strategy_Sub1="Non-Standard"),VLOOKUP(Investment_Strategy&amp;"_"&amp;Investment_Strategy_Sub2&amp;"_"&amp;$A438,'Investment Strategies'!$C:$P,14,FALSE),
IF(AND(Investment_Strategy="Lifecycle",Investment_Strategy_Sub1="Standard"),VLOOKUP(Investment_Strategy&amp;"_"&amp;Investment_Strategy_Sub2&amp;"_"&amp;$A438,'Investment Strategies'!$AJ:$AV,13,FALSE),
IF(AND(Investment_Strategy="Autopilot",Investment_Strategy_Sub1="Non-Standard"),VLOOKUP(Investment_Strategy&amp;"_"&amp;Investment_Strategy_Sub2&amp;"_"&amp;$A438,'Investment Strategies'!$T:$AF,13,FALSE),
IF(Investment_Strategy="DIY",DIY_ExtManChrge_CurrentFunds,
"Error"))))))</f>
        <v>0</v>
      </c>
      <c r="H438" s="16">
        <f t="shared" si="255"/>
        <v>0</v>
      </c>
      <c r="I438" s="16">
        <f t="shared" si="240"/>
        <v>0</v>
      </c>
      <c r="J438" s="16">
        <f t="shared" si="241"/>
        <v>0</v>
      </c>
      <c r="K438" s="16">
        <f>(Opening_Fund_Value+SUM(K$91:K437))*E438*IF(D438=$A$91,SRP_finalmonthfactor,1)</f>
        <v>0</v>
      </c>
      <c r="L438" s="74">
        <f>MIN(IF($AV438=0,0,
IF(Investment_Strategy="DIS",VLOOKUP(Investment_Strategy&amp;"_"&amp;Investment_Strategy_Sub1&amp;"_"&amp;$A438,'Investment Strategies'!$AZ:$BP,12,FALSE),
IF(AND(Investment_Strategy="Lifecycle",Investment_Strategy_Sub1="Non-Standard"),VLOOKUP(Investment_Strategy&amp;"_"&amp;Investment_Strategy_Sub2&amp;"_"&amp;$A438,'Investment Strategies'!$C:$P,9,FALSE),
IF(AND(Investment_Strategy="Lifecycle",Investment_Strategy_Sub1="Standard"),VLOOKUP(Investment_Strategy&amp;"_"&amp;Investment_Strategy_Sub2&amp;"_"&amp;$A438,'Investment Strategies'!$AJ:$AV,8,FALSE),
IF(AND(Investment_Strategy="Autopilot",Investment_Strategy_Sub1="Non-Standard"),VLOOKUP(Investment_Strategy&amp;"_"&amp;Investment_Strategy_Sub2&amp;"_"&amp;$A438,'Investment Strategies'!$T:$AF,8,FALSE),
IF(Investment_Strategy ="DIY",DIY_RateofReturn_SP,
"Error")))))),Max_InvReturn)</f>
        <v>0</v>
      </c>
      <c r="M438" s="62">
        <f>IF($AV438=0,0,
IF(Investment_Strategy="DIS",VLOOKUP(Investment_Strategy&amp;"_"&amp;Investment_Strategy_Sub1&amp;"_"&amp;$A438,'Investment Strategies'!$AZ:$BP,15,FALSE),
IF(AND(Investment_Strategy="Lifecycle",Investment_Strategy_Sub1="Non-Standard"),VLOOKUP(Investment_Strategy&amp;"_"&amp;Investment_Strategy_Sub2&amp;"_"&amp;$A438,'Investment Strategies'!$C:$P,12,FALSE),
IF(AND(Investment_Strategy="Lifecycle",Investment_Strategy_Sub1="Standard"),VLOOKUP(Investment_Strategy&amp;"_"&amp;Investment_Strategy_Sub2&amp;"_"&amp;$A438,'Investment Strategies'!$AJ:$AV,11,FALSE),
IF(AND(Investment_Strategy="Autopilot",Investment_Strategy_Sub1="Non-Standard"),VLOOKUP(Investment_Strategy&amp;"_"&amp;Investment_Strategy_Sub2&amp;"_"&amp;$A438,'Investment Strategies'!$T:$AF,11,FALSE),
IF(Investment_Strategy="DIY",DIY_GteeChrge_SP,
"Error"))))))</f>
        <v>0</v>
      </c>
      <c r="N438" s="33">
        <f>IF($AV438=0,0,
IF(Investment_Strategy="DIS",VLOOKUP(Investment_Strategy&amp;"_"&amp;Investment_Strategy_Sub1&amp;"_"&amp;$A438,'Investment Strategies'!$AZ:$BP,17,FALSE),
IF(AND(Investment_Strategy="Lifecycle",Investment_Strategy_Sub1="Non-Standard"),VLOOKUP(Investment_Strategy&amp;"_"&amp;Investment_Strategy_Sub2&amp;"_"&amp;$A438,'Investment Strategies'!$C:$P,14,FALSE),
IF(AND(Investment_Strategy="Lifecycle",Investment_Strategy_Sub1="Standard"),VLOOKUP(Investment_Strategy&amp;"_"&amp;Investment_Strategy_Sub2&amp;"_"&amp;$A438,'Investment Strategies'!$AJ:$AV,13,FALSE),
IF(AND(Investment_Strategy="Autopilot",Investment_Strategy_Sub1="Non-Standard"),VLOOKUP(Investment_Strategy&amp;"_"&amp;Investment_Strategy_Sub2&amp;"_"&amp;$A438,'Investment Strategies'!$T:$AF,13,FALSE),
IF(Investment_Strategy="DIY",DIY_ExtManChrge_SP,
"Error"))))))</f>
        <v>0</v>
      </c>
      <c r="O438" s="16">
        <f t="shared" si="266"/>
        <v>0</v>
      </c>
      <c r="Q438" s="16">
        <f t="shared" si="242"/>
        <v>0</v>
      </c>
      <c r="R438" s="16">
        <f t="shared" si="239"/>
        <v>0</v>
      </c>
      <c r="S438" s="16">
        <f>(SRP_SP+SUM(S$91:S437))*L438*IF(D438=$A$91,SRP_finalmonthfactor,1)</f>
        <v>0</v>
      </c>
      <c r="T438" s="74">
        <f>MIN(IF($AV438=0,0,
IF(Investment_Strategy="DIS",VLOOKUP(Investment_Strategy&amp;"_"&amp;Investment_Strategy_Sub1&amp;"_"&amp;$A438,'Investment Strategies'!$AZ:$BP,12,FALSE),
IF(AND(Investment_Strategy="Lifecycle",Investment_Strategy_Sub1="Non-Standard"),VLOOKUP(Investment_Strategy&amp;"_"&amp;Investment_Strategy_Sub2&amp;"_"&amp;$A438,'Investment Strategies'!$C:$P,9,FALSE),
IF(AND(Investment_Strategy="Lifecycle",Investment_Strategy_Sub1="Standard"),VLOOKUP(Investment_Strategy&amp;"_"&amp;Investment_Strategy_Sub2&amp;"_"&amp;$A438,'Investment Strategies'!$AJ:$AV,8,FALSE),
IF(AND(Investment_Strategy="Autopilot",Investment_Strategy_Sub1="Non-Standard"),VLOOKUP(Investment_Strategy&amp;"_"&amp;Investment_Strategy_Sub2&amp;"_"&amp;$A438,'Investment Strategies'!$T:$AF,8,FALSE),
IF(Investment_Strategy ="DIY",DIY_RateOfReturn_FuturePremiums,
"Error")))))),Max_InvReturn)</f>
        <v>0</v>
      </c>
      <c r="U438" s="62">
        <f>IF($AV438=0,0,
IF(Investment_Strategy="DIS",VLOOKUP(Investment_Strategy&amp;"_"&amp;Investment_Strategy_Sub1&amp;"_"&amp;$A438,'Investment Strategies'!$AZ:$BP,15,FALSE),
IF(AND(Investment_Strategy="Lifecycle",Investment_Strategy_Sub1="Non-Standard"),VLOOKUP(Investment_Strategy&amp;"_"&amp;Investment_Strategy_Sub2&amp;"_"&amp;$A438,'Investment Strategies'!$C:$P,12,FALSE),
IF(AND(Investment_Strategy="Lifecycle",Investment_Strategy_Sub1="Standard"),VLOOKUP(Investment_Strategy&amp;"_"&amp;Investment_Strategy_Sub2&amp;"_"&amp;$A438,'Investment Strategies'!$AJ:$AV,11,FALSE),
IF(AND(Investment_Strategy="Autopilot",Investment_Strategy_Sub1="Non-Standard"),VLOOKUP(Investment_Strategy&amp;"_"&amp;Investment_Strategy_Sub2&amp;"_"&amp;$A438,'Investment Strategies'!$T:$AF,11,FALSE),
IF(Investment_Strategy="DIY",DIY_GteeChrge_FuturePremiums,
"Error"))))))</f>
        <v>0</v>
      </c>
      <c r="V438" s="33">
        <f>IF(AV438=0,0,
IF(Investment_Strategy="DIS",VLOOKUP(Investment_Strategy&amp;"_"&amp;Investment_Strategy_Sub1&amp;"_"&amp;$A438,'Investment Strategies'!$AZ:$BP,17,FALSE),
IF(AND(Investment_Strategy="Lifecycle",Investment_Strategy_Sub1="Non-Standard"),VLOOKUP(Investment_Strategy&amp;"_"&amp;Investment_Strategy_Sub2&amp;"_"&amp;$A438,'Investment Strategies'!$C:$P,14,FALSE),
IF(AND(Investment_Strategy="Lifecycle",Investment_Strategy_Sub1="Standard"),VLOOKUP(Investment_Strategy&amp;"_"&amp;Investment_Strategy_Sub2&amp;"_"&amp;$A438,'Investment Strategies'!$AJ:$AV,13,FALSE),
IF(AND(Investment_Strategy="Autopilot",Investment_Strategy_Sub1="Non-Standard"),VLOOKUP(Investment_Strategy&amp;"_"&amp;Investment_Strategy_Sub2&amp;"_"&amp;$A438,'Investment Strategies'!$T:$AF,13,FALSE),
IF(Investment_Strategy="DIY",DIY_ExtManChrge_FuturePremiums,
"Error"))))))</f>
        <v>0</v>
      </c>
      <c r="W438" s="16">
        <f t="shared" si="267"/>
        <v>0</v>
      </c>
      <c r="X438" s="16">
        <f t="shared" si="243"/>
        <v>0</v>
      </c>
      <c r="Y438" s="16">
        <f t="shared" si="244"/>
        <v>0</v>
      </c>
      <c r="Z438" s="31">
        <f t="shared" si="245"/>
        <v>0.02</v>
      </c>
      <c r="AA438" s="16">
        <f t="shared" si="246"/>
        <v>0</v>
      </c>
      <c r="AB438" s="28">
        <f t="shared" si="268"/>
        <v>0</v>
      </c>
      <c r="AC438" s="28">
        <f>(SUM($AC$91:AC437)+SUM($X$91:X437)+X438)*T438*IF(D438=$A$91,SRP_finalmonthfactor,1)</f>
        <v>0</v>
      </c>
      <c r="AD438" s="16">
        <f t="shared" si="247"/>
        <v>0</v>
      </c>
      <c r="AE438" s="106"/>
      <c r="AF438" s="16">
        <f t="shared" si="256"/>
        <v>0</v>
      </c>
      <c r="AG438" s="16">
        <f t="shared" si="257"/>
        <v>0</v>
      </c>
      <c r="AH438" s="16">
        <f t="shared" si="258"/>
        <v>0</v>
      </c>
      <c r="AJ438" s="13">
        <f t="shared" si="270"/>
        <v>0</v>
      </c>
      <c r="AK438" s="13">
        <f t="shared" si="270"/>
        <v>0</v>
      </c>
      <c r="AL438" s="13">
        <f t="shared" si="270"/>
        <v>0</v>
      </c>
      <c r="AM438" s="13">
        <f t="shared" si="270"/>
        <v>0</v>
      </c>
      <c r="AN438" s="13">
        <f t="shared" si="270"/>
        <v>0</v>
      </c>
      <c r="AO438" s="13">
        <f t="shared" si="270"/>
        <v>1</v>
      </c>
      <c r="AP438" s="13">
        <f t="shared" si="270"/>
        <v>1</v>
      </c>
      <c r="AQ438" s="13">
        <f t="shared" si="270"/>
        <v>1</v>
      </c>
      <c r="AR438" s="13">
        <f t="shared" si="270"/>
        <v>0</v>
      </c>
      <c r="AS438" s="13">
        <f t="shared" si="270"/>
        <v>1</v>
      </c>
      <c r="AT438" s="13">
        <f t="shared" si="270"/>
        <v>1</v>
      </c>
      <c r="AU438" s="13">
        <f t="shared" si="270"/>
        <v>1</v>
      </c>
      <c r="AV438" s="13">
        <f t="shared" si="249"/>
        <v>0</v>
      </c>
      <c r="AW438" s="13">
        <f t="shared" si="250"/>
        <v>1</v>
      </c>
      <c r="AY438" s="17">
        <f t="shared" si="251"/>
        <v>348</v>
      </c>
      <c r="AZ438" s="28">
        <f t="shared" si="259"/>
        <v>0</v>
      </c>
      <c r="BA438" s="13">
        <f t="shared" si="252"/>
        <v>0</v>
      </c>
      <c r="BB438" s="13">
        <f t="shared" si="253"/>
        <v>0</v>
      </c>
      <c r="BC438" s="28">
        <f t="shared" si="260"/>
        <v>0</v>
      </c>
      <c r="BD438" s="28">
        <f t="shared" si="261"/>
        <v>0</v>
      </c>
      <c r="BF438" s="248">
        <f t="shared" si="262"/>
        <v>993869.29442638322</v>
      </c>
    </row>
    <row r="439" spans="1:58">
      <c r="A439" s="32">
        <f t="shared" si="263"/>
        <v>-264</v>
      </c>
      <c r="B439" s="32">
        <f t="shared" si="254"/>
        <v>82</v>
      </c>
      <c r="C439" s="32">
        <f t="shared" si="264"/>
        <v>30</v>
      </c>
      <c r="D439" s="32">
        <f t="shared" si="265"/>
        <v>349</v>
      </c>
      <c r="E439" s="74">
        <f>MIN(IF(AV439=0,0,
IF(Investment_Strategy="DIS",VLOOKUP(Investment_Strategy&amp;"_"&amp;Investment_Strategy_Sub1&amp;"_"&amp;$A439,'Investment Strategies'!$AZ:$BP,12,FALSE),
IF(AND(Investment_Strategy="Lifecycle",Investment_Strategy_Sub1="Non-Standard"),VLOOKUP(Investment_Strategy&amp;"_"&amp;Investment_Strategy_Sub2&amp;"_"&amp;$A439,'Investment Strategies'!$C:$P,9,FALSE),
IF(AND(Investment_Strategy="Lifecycle",Investment_Strategy_Sub1="Standard"),VLOOKUP(Investment_Strategy&amp;"_"&amp;Investment_Strategy_Sub2&amp;"_"&amp;$A439,'Investment Strategies'!$AJ:$AV,8,FALSE),
IF(AND(Investment_Strategy="Autopilot",Investment_Strategy_Sub1="Non-Standard"),VLOOKUP(Investment_Strategy&amp;"_"&amp;Investment_Strategy_Sub2&amp;"_"&amp;$A439,'Investment Strategies'!$T:$AF,8,FALSE),
IF(Investment_Strategy ="DIY",DIY_RateOfReturn_CurrentFunds,
"Error")))))),Max_InvReturn)</f>
        <v>0</v>
      </c>
      <c r="F439" s="62">
        <f>IF(AV439=0,0,
IF(Investment_Strategy="DIS",VLOOKUP(Investment_Strategy&amp;"_"&amp;Investment_Strategy_Sub1&amp;"_"&amp;$A439,'Investment Strategies'!$AZ:$BP,15,FALSE),
IF(AND(Investment_Strategy="Lifecycle",Investment_Strategy_Sub1="Non-Standard"),VLOOKUP(Investment_Strategy&amp;"_"&amp;Investment_Strategy_Sub2&amp;"_"&amp;$A439,'Investment Strategies'!$C:$P,12,FALSE),
IF(AND(Investment_Strategy="Lifecycle",Investment_Strategy_Sub1="Standard"),VLOOKUP(Investment_Strategy&amp;"_"&amp;Investment_Strategy_Sub2&amp;"_"&amp;$A439,'Investment Strategies'!$AJ:$AV,11,FALSE),
IF(AND(Investment_Strategy="Autopilot",Investment_Strategy_Sub1="Non-Standard"),VLOOKUP(Investment_Strategy&amp;"_"&amp;Investment_Strategy_Sub2&amp;"_"&amp;$A439,'Investment Strategies'!$T:$AF,11,FALSE),
IF(Investment_Strategy="DIY",DIY_GteeChrge_CurrentFunds,
"Error"))))))</f>
        <v>0</v>
      </c>
      <c r="G439" s="33">
        <f>IF(AV439=0,0,
IF(Investment_Strategy="DIS",VLOOKUP(Investment_Strategy&amp;"_"&amp;Investment_Strategy_Sub1&amp;"_"&amp;$A439,'Investment Strategies'!$AZ:$BP,17,FALSE),
IF(AND(Investment_Strategy="Lifecycle",Investment_Strategy_Sub1="Non-Standard"),VLOOKUP(Investment_Strategy&amp;"_"&amp;Investment_Strategy_Sub2&amp;"_"&amp;$A439,'Investment Strategies'!$C:$P,14,FALSE),
IF(AND(Investment_Strategy="Lifecycle",Investment_Strategy_Sub1="Standard"),VLOOKUP(Investment_Strategy&amp;"_"&amp;Investment_Strategy_Sub2&amp;"_"&amp;$A439,'Investment Strategies'!$AJ:$AV,13,FALSE),
IF(AND(Investment_Strategy="Autopilot",Investment_Strategy_Sub1="Non-Standard"),VLOOKUP(Investment_Strategy&amp;"_"&amp;Investment_Strategy_Sub2&amp;"_"&amp;$A439,'Investment Strategies'!$T:$AF,13,FALSE),
IF(Investment_Strategy="DIY",DIY_ExtManChrge_CurrentFunds,
"Error"))))))</f>
        <v>0</v>
      </c>
      <c r="H439" s="16">
        <f t="shared" si="255"/>
        <v>0</v>
      </c>
      <c r="I439" s="16">
        <f t="shared" si="240"/>
        <v>0</v>
      </c>
      <c r="J439" s="16">
        <f t="shared" si="241"/>
        <v>0</v>
      </c>
      <c r="K439" s="16">
        <f>(Opening_Fund_Value+SUM(K$91:K438))*E439*IF(D439=$A$91,SRP_finalmonthfactor,1)</f>
        <v>0</v>
      </c>
      <c r="L439" s="74">
        <f>MIN(IF($AV439=0,0,
IF(Investment_Strategy="DIS",VLOOKUP(Investment_Strategy&amp;"_"&amp;Investment_Strategy_Sub1&amp;"_"&amp;$A439,'Investment Strategies'!$AZ:$BP,12,FALSE),
IF(AND(Investment_Strategy="Lifecycle",Investment_Strategy_Sub1="Non-Standard"),VLOOKUP(Investment_Strategy&amp;"_"&amp;Investment_Strategy_Sub2&amp;"_"&amp;$A439,'Investment Strategies'!$C:$P,9,FALSE),
IF(AND(Investment_Strategy="Lifecycle",Investment_Strategy_Sub1="Standard"),VLOOKUP(Investment_Strategy&amp;"_"&amp;Investment_Strategy_Sub2&amp;"_"&amp;$A439,'Investment Strategies'!$AJ:$AV,8,FALSE),
IF(AND(Investment_Strategy="Autopilot",Investment_Strategy_Sub1="Non-Standard"),VLOOKUP(Investment_Strategy&amp;"_"&amp;Investment_Strategy_Sub2&amp;"_"&amp;$A439,'Investment Strategies'!$T:$AF,8,FALSE),
IF(Investment_Strategy ="DIY",DIY_RateofReturn_SP,
"Error")))))),Max_InvReturn)</f>
        <v>0</v>
      </c>
      <c r="M439" s="62">
        <f>IF($AV439=0,0,
IF(Investment_Strategy="DIS",VLOOKUP(Investment_Strategy&amp;"_"&amp;Investment_Strategy_Sub1&amp;"_"&amp;$A439,'Investment Strategies'!$AZ:$BP,15,FALSE),
IF(AND(Investment_Strategy="Lifecycle",Investment_Strategy_Sub1="Non-Standard"),VLOOKUP(Investment_Strategy&amp;"_"&amp;Investment_Strategy_Sub2&amp;"_"&amp;$A439,'Investment Strategies'!$C:$P,12,FALSE),
IF(AND(Investment_Strategy="Lifecycle",Investment_Strategy_Sub1="Standard"),VLOOKUP(Investment_Strategy&amp;"_"&amp;Investment_Strategy_Sub2&amp;"_"&amp;$A439,'Investment Strategies'!$AJ:$AV,11,FALSE),
IF(AND(Investment_Strategy="Autopilot",Investment_Strategy_Sub1="Non-Standard"),VLOOKUP(Investment_Strategy&amp;"_"&amp;Investment_Strategy_Sub2&amp;"_"&amp;$A439,'Investment Strategies'!$T:$AF,11,FALSE),
IF(Investment_Strategy="DIY",DIY_GteeChrge_SP,
"Error"))))))</f>
        <v>0</v>
      </c>
      <c r="N439" s="33">
        <f>IF($AV439=0,0,
IF(Investment_Strategy="DIS",VLOOKUP(Investment_Strategy&amp;"_"&amp;Investment_Strategy_Sub1&amp;"_"&amp;$A439,'Investment Strategies'!$AZ:$BP,17,FALSE),
IF(AND(Investment_Strategy="Lifecycle",Investment_Strategy_Sub1="Non-Standard"),VLOOKUP(Investment_Strategy&amp;"_"&amp;Investment_Strategy_Sub2&amp;"_"&amp;$A439,'Investment Strategies'!$C:$P,14,FALSE),
IF(AND(Investment_Strategy="Lifecycle",Investment_Strategy_Sub1="Standard"),VLOOKUP(Investment_Strategy&amp;"_"&amp;Investment_Strategy_Sub2&amp;"_"&amp;$A439,'Investment Strategies'!$AJ:$AV,13,FALSE),
IF(AND(Investment_Strategy="Autopilot",Investment_Strategy_Sub1="Non-Standard"),VLOOKUP(Investment_Strategy&amp;"_"&amp;Investment_Strategy_Sub2&amp;"_"&amp;$A439,'Investment Strategies'!$T:$AF,13,FALSE),
IF(Investment_Strategy="DIY",DIY_ExtManChrge_SP,
"Error"))))))</f>
        <v>0</v>
      </c>
      <c r="O439" s="16">
        <f t="shared" si="266"/>
        <v>0</v>
      </c>
      <c r="Q439" s="16">
        <f t="shared" si="242"/>
        <v>0</v>
      </c>
      <c r="R439" s="16">
        <f t="shared" si="239"/>
        <v>0</v>
      </c>
      <c r="S439" s="16">
        <f>(SRP_SP+SUM(S$91:S438))*L439*IF(D439=$A$91,SRP_finalmonthfactor,1)</f>
        <v>0</v>
      </c>
      <c r="T439" s="74">
        <f>MIN(IF($AV439=0,0,
IF(Investment_Strategy="DIS",VLOOKUP(Investment_Strategy&amp;"_"&amp;Investment_Strategy_Sub1&amp;"_"&amp;$A439,'Investment Strategies'!$AZ:$BP,12,FALSE),
IF(AND(Investment_Strategy="Lifecycle",Investment_Strategy_Sub1="Non-Standard"),VLOOKUP(Investment_Strategy&amp;"_"&amp;Investment_Strategy_Sub2&amp;"_"&amp;$A439,'Investment Strategies'!$C:$P,9,FALSE),
IF(AND(Investment_Strategy="Lifecycle",Investment_Strategy_Sub1="Standard"),VLOOKUP(Investment_Strategy&amp;"_"&amp;Investment_Strategy_Sub2&amp;"_"&amp;$A439,'Investment Strategies'!$AJ:$AV,8,FALSE),
IF(AND(Investment_Strategy="Autopilot",Investment_Strategy_Sub1="Non-Standard"),VLOOKUP(Investment_Strategy&amp;"_"&amp;Investment_Strategy_Sub2&amp;"_"&amp;$A439,'Investment Strategies'!$T:$AF,8,FALSE),
IF(Investment_Strategy ="DIY",DIY_RateOfReturn_FuturePremiums,
"Error")))))),Max_InvReturn)</f>
        <v>0</v>
      </c>
      <c r="U439" s="62">
        <f>IF($AV439=0,0,
IF(Investment_Strategy="DIS",VLOOKUP(Investment_Strategy&amp;"_"&amp;Investment_Strategy_Sub1&amp;"_"&amp;$A439,'Investment Strategies'!$AZ:$BP,15,FALSE),
IF(AND(Investment_Strategy="Lifecycle",Investment_Strategy_Sub1="Non-Standard"),VLOOKUP(Investment_Strategy&amp;"_"&amp;Investment_Strategy_Sub2&amp;"_"&amp;$A439,'Investment Strategies'!$C:$P,12,FALSE),
IF(AND(Investment_Strategy="Lifecycle",Investment_Strategy_Sub1="Standard"),VLOOKUP(Investment_Strategy&amp;"_"&amp;Investment_Strategy_Sub2&amp;"_"&amp;$A439,'Investment Strategies'!$AJ:$AV,11,FALSE),
IF(AND(Investment_Strategy="Autopilot",Investment_Strategy_Sub1="Non-Standard"),VLOOKUP(Investment_Strategy&amp;"_"&amp;Investment_Strategy_Sub2&amp;"_"&amp;$A439,'Investment Strategies'!$T:$AF,11,FALSE),
IF(Investment_Strategy="DIY",DIY_GteeChrge_FuturePremiums,
"Error"))))))</f>
        <v>0</v>
      </c>
      <c r="V439" s="33">
        <f>IF(AV439=0,0,
IF(Investment_Strategy="DIS",VLOOKUP(Investment_Strategy&amp;"_"&amp;Investment_Strategy_Sub1&amp;"_"&amp;$A439,'Investment Strategies'!$AZ:$BP,17,FALSE),
IF(AND(Investment_Strategy="Lifecycle",Investment_Strategy_Sub1="Non-Standard"),VLOOKUP(Investment_Strategy&amp;"_"&amp;Investment_Strategy_Sub2&amp;"_"&amp;$A439,'Investment Strategies'!$C:$P,14,FALSE),
IF(AND(Investment_Strategy="Lifecycle",Investment_Strategy_Sub1="Standard"),VLOOKUP(Investment_Strategy&amp;"_"&amp;Investment_Strategy_Sub2&amp;"_"&amp;$A439,'Investment Strategies'!$AJ:$AV,13,FALSE),
IF(AND(Investment_Strategy="Autopilot",Investment_Strategy_Sub1="Non-Standard"),VLOOKUP(Investment_Strategy&amp;"_"&amp;Investment_Strategy_Sub2&amp;"_"&amp;$A439,'Investment Strategies'!$T:$AF,13,FALSE),
IF(Investment_Strategy="DIY",DIY_ExtManChrge_FuturePremiums,
"Error"))))))</f>
        <v>0</v>
      </c>
      <c r="W439" s="16">
        <f t="shared" si="267"/>
        <v>0</v>
      </c>
      <c r="X439" s="16">
        <f t="shared" si="243"/>
        <v>0</v>
      </c>
      <c r="Y439" s="16">
        <f t="shared" si="244"/>
        <v>0</v>
      </c>
      <c r="Z439" s="31">
        <f t="shared" si="245"/>
        <v>0.02</v>
      </c>
      <c r="AA439" s="16">
        <f t="shared" si="246"/>
        <v>0</v>
      </c>
      <c r="AB439" s="28">
        <f t="shared" si="268"/>
        <v>0</v>
      </c>
      <c r="AC439" s="28">
        <f>(SUM($AC$91:AC438)+SUM($X$91:X438)+X439)*T439*IF(D439=$A$91,SRP_finalmonthfactor,1)</f>
        <v>0</v>
      </c>
      <c r="AD439" s="16">
        <f t="shared" si="247"/>
        <v>0</v>
      </c>
      <c r="AE439" s="106"/>
      <c r="AF439" s="16">
        <f t="shared" si="256"/>
        <v>0</v>
      </c>
      <c r="AG439" s="16">
        <f t="shared" si="257"/>
        <v>0</v>
      </c>
      <c r="AH439" s="16">
        <f t="shared" si="258"/>
        <v>0</v>
      </c>
      <c r="AJ439" s="13">
        <f t="shared" si="270"/>
        <v>0</v>
      </c>
      <c r="AK439" s="13">
        <f t="shared" si="270"/>
        <v>0</v>
      </c>
      <c r="AL439" s="13">
        <f t="shared" si="270"/>
        <v>0</v>
      </c>
      <c r="AM439" s="13">
        <f t="shared" si="270"/>
        <v>0</v>
      </c>
      <c r="AN439" s="13">
        <f t="shared" si="270"/>
        <v>0</v>
      </c>
      <c r="AO439" s="13">
        <f t="shared" si="270"/>
        <v>1</v>
      </c>
      <c r="AP439" s="13">
        <f t="shared" si="270"/>
        <v>1</v>
      </c>
      <c r="AQ439" s="13">
        <f t="shared" si="270"/>
        <v>1</v>
      </c>
      <c r="AR439" s="13">
        <f t="shared" si="270"/>
        <v>0</v>
      </c>
      <c r="AS439" s="13">
        <f t="shared" si="270"/>
        <v>1</v>
      </c>
      <c r="AT439" s="13">
        <f t="shared" si="270"/>
        <v>1</v>
      </c>
      <c r="AU439" s="13">
        <f t="shared" si="270"/>
        <v>1</v>
      </c>
      <c r="AV439" s="13">
        <f t="shared" si="249"/>
        <v>0</v>
      </c>
      <c r="AW439" s="13">
        <f t="shared" si="250"/>
        <v>1</v>
      </c>
      <c r="AY439" s="17">
        <f t="shared" si="251"/>
        <v>349</v>
      </c>
      <c r="AZ439" s="28">
        <f t="shared" si="259"/>
        <v>0</v>
      </c>
      <c r="BA439" s="13">
        <f t="shared" si="252"/>
        <v>0</v>
      </c>
      <c r="BB439" s="13">
        <f t="shared" si="253"/>
        <v>0</v>
      </c>
      <c r="BC439" s="28">
        <f t="shared" si="260"/>
        <v>0</v>
      </c>
      <c r="BD439" s="28">
        <f t="shared" si="261"/>
        <v>0</v>
      </c>
      <c r="BF439" s="248">
        <f t="shared" si="262"/>
        <v>993869.29442638322</v>
      </c>
    </row>
    <row r="440" spans="1:58">
      <c r="A440" s="32">
        <f t="shared" si="263"/>
        <v>-265</v>
      </c>
      <c r="B440" s="32">
        <f t="shared" si="254"/>
        <v>82</v>
      </c>
      <c r="C440" s="32">
        <f t="shared" si="264"/>
        <v>30</v>
      </c>
      <c r="D440" s="32">
        <f t="shared" si="265"/>
        <v>350</v>
      </c>
      <c r="E440" s="74">
        <f>MIN(IF(AV440=0,0,
IF(Investment_Strategy="DIS",VLOOKUP(Investment_Strategy&amp;"_"&amp;Investment_Strategy_Sub1&amp;"_"&amp;$A440,'Investment Strategies'!$AZ:$BP,12,FALSE),
IF(AND(Investment_Strategy="Lifecycle",Investment_Strategy_Sub1="Non-Standard"),VLOOKUP(Investment_Strategy&amp;"_"&amp;Investment_Strategy_Sub2&amp;"_"&amp;$A440,'Investment Strategies'!$C:$P,9,FALSE),
IF(AND(Investment_Strategy="Lifecycle",Investment_Strategy_Sub1="Standard"),VLOOKUP(Investment_Strategy&amp;"_"&amp;Investment_Strategy_Sub2&amp;"_"&amp;$A440,'Investment Strategies'!$AJ:$AV,8,FALSE),
IF(AND(Investment_Strategy="Autopilot",Investment_Strategy_Sub1="Non-Standard"),VLOOKUP(Investment_Strategy&amp;"_"&amp;Investment_Strategy_Sub2&amp;"_"&amp;$A440,'Investment Strategies'!$T:$AF,8,FALSE),
IF(Investment_Strategy ="DIY",DIY_RateOfReturn_CurrentFunds,
"Error")))))),Max_InvReturn)</f>
        <v>0</v>
      </c>
      <c r="F440" s="62">
        <f>IF(AV440=0,0,
IF(Investment_Strategy="DIS",VLOOKUP(Investment_Strategy&amp;"_"&amp;Investment_Strategy_Sub1&amp;"_"&amp;$A440,'Investment Strategies'!$AZ:$BP,15,FALSE),
IF(AND(Investment_Strategy="Lifecycle",Investment_Strategy_Sub1="Non-Standard"),VLOOKUP(Investment_Strategy&amp;"_"&amp;Investment_Strategy_Sub2&amp;"_"&amp;$A440,'Investment Strategies'!$C:$P,12,FALSE),
IF(AND(Investment_Strategy="Lifecycle",Investment_Strategy_Sub1="Standard"),VLOOKUP(Investment_Strategy&amp;"_"&amp;Investment_Strategy_Sub2&amp;"_"&amp;$A440,'Investment Strategies'!$AJ:$AV,11,FALSE),
IF(AND(Investment_Strategy="Autopilot",Investment_Strategy_Sub1="Non-Standard"),VLOOKUP(Investment_Strategy&amp;"_"&amp;Investment_Strategy_Sub2&amp;"_"&amp;$A440,'Investment Strategies'!$T:$AF,11,FALSE),
IF(Investment_Strategy="DIY",DIY_GteeChrge_CurrentFunds,
"Error"))))))</f>
        <v>0</v>
      </c>
      <c r="G440" s="33">
        <f>IF(AV440=0,0,
IF(Investment_Strategy="DIS",VLOOKUP(Investment_Strategy&amp;"_"&amp;Investment_Strategy_Sub1&amp;"_"&amp;$A440,'Investment Strategies'!$AZ:$BP,17,FALSE),
IF(AND(Investment_Strategy="Lifecycle",Investment_Strategy_Sub1="Non-Standard"),VLOOKUP(Investment_Strategy&amp;"_"&amp;Investment_Strategy_Sub2&amp;"_"&amp;$A440,'Investment Strategies'!$C:$P,14,FALSE),
IF(AND(Investment_Strategy="Lifecycle",Investment_Strategy_Sub1="Standard"),VLOOKUP(Investment_Strategy&amp;"_"&amp;Investment_Strategy_Sub2&amp;"_"&amp;$A440,'Investment Strategies'!$AJ:$AV,13,FALSE),
IF(AND(Investment_Strategy="Autopilot",Investment_Strategy_Sub1="Non-Standard"),VLOOKUP(Investment_Strategy&amp;"_"&amp;Investment_Strategy_Sub2&amp;"_"&amp;$A440,'Investment Strategies'!$T:$AF,13,FALSE),
IF(Investment_Strategy="DIY",DIY_ExtManChrge_CurrentFunds,
"Error"))))))</f>
        <v>0</v>
      </c>
      <c r="H440" s="16">
        <f t="shared" si="255"/>
        <v>0</v>
      </c>
      <c r="I440" s="16">
        <f t="shared" si="240"/>
        <v>0</v>
      </c>
      <c r="J440" s="16">
        <f t="shared" si="241"/>
        <v>0</v>
      </c>
      <c r="K440" s="16">
        <f>(Opening_Fund_Value+SUM(K$91:K439))*E440*IF(D440=$A$91,SRP_finalmonthfactor,1)</f>
        <v>0</v>
      </c>
      <c r="L440" s="74">
        <f>MIN(IF($AV440=0,0,
IF(Investment_Strategy="DIS",VLOOKUP(Investment_Strategy&amp;"_"&amp;Investment_Strategy_Sub1&amp;"_"&amp;$A440,'Investment Strategies'!$AZ:$BP,12,FALSE),
IF(AND(Investment_Strategy="Lifecycle",Investment_Strategy_Sub1="Non-Standard"),VLOOKUP(Investment_Strategy&amp;"_"&amp;Investment_Strategy_Sub2&amp;"_"&amp;$A440,'Investment Strategies'!$C:$P,9,FALSE),
IF(AND(Investment_Strategy="Lifecycle",Investment_Strategy_Sub1="Standard"),VLOOKUP(Investment_Strategy&amp;"_"&amp;Investment_Strategy_Sub2&amp;"_"&amp;$A440,'Investment Strategies'!$AJ:$AV,8,FALSE),
IF(AND(Investment_Strategy="Autopilot",Investment_Strategy_Sub1="Non-Standard"),VLOOKUP(Investment_Strategy&amp;"_"&amp;Investment_Strategy_Sub2&amp;"_"&amp;$A440,'Investment Strategies'!$T:$AF,8,FALSE),
IF(Investment_Strategy ="DIY",DIY_RateofReturn_SP,
"Error")))))),Max_InvReturn)</f>
        <v>0</v>
      </c>
      <c r="M440" s="62">
        <f>IF($AV440=0,0,
IF(Investment_Strategy="DIS",VLOOKUP(Investment_Strategy&amp;"_"&amp;Investment_Strategy_Sub1&amp;"_"&amp;$A440,'Investment Strategies'!$AZ:$BP,15,FALSE),
IF(AND(Investment_Strategy="Lifecycle",Investment_Strategy_Sub1="Non-Standard"),VLOOKUP(Investment_Strategy&amp;"_"&amp;Investment_Strategy_Sub2&amp;"_"&amp;$A440,'Investment Strategies'!$C:$P,12,FALSE),
IF(AND(Investment_Strategy="Lifecycle",Investment_Strategy_Sub1="Standard"),VLOOKUP(Investment_Strategy&amp;"_"&amp;Investment_Strategy_Sub2&amp;"_"&amp;$A440,'Investment Strategies'!$AJ:$AV,11,FALSE),
IF(AND(Investment_Strategy="Autopilot",Investment_Strategy_Sub1="Non-Standard"),VLOOKUP(Investment_Strategy&amp;"_"&amp;Investment_Strategy_Sub2&amp;"_"&amp;$A440,'Investment Strategies'!$T:$AF,11,FALSE),
IF(Investment_Strategy="DIY",DIY_GteeChrge_SP,
"Error"))))))</f>
        <v>0</v>
      </c>
      <c r="N440" s="33">
        <f>IF($AV440=0,0,
IF(Investment_Strategy="DIS",VLOOKUP(Investment_Strategy&amp;"_"&amp;Investment_Strategy_Sub1&amp;"_"&amp;$A440,'Investment Strategies'!$AZ:$BP,17,FALSE),
IF(AND(Investment_Strategy="Lifecycle",Investment_Strategy_Sub1="Non-Standard"),VLOOKUP(Investment_Strategy&amp;"_"&amp;Investment_Strategy_Sub2&amp;"_"&amp;$A440,'Investment Strategies'!$C:$P,14,FALSE),
IF(AND(Investment_Strategy="Lifecycle",Investment_Strategy_Sub1="Standard"),VLOOKUP(Investment_Strategy&amp;"_"&amp;Investment_Strategy_Sub2&amp;"_"&amp;$A440,'Investment Strategies'!$AJ:$AV,13,FALSE),
IF(AND(Investment_Strategy="Autopilot",Investment_Strategy_Sub1="Non-Standard"),VLOOKUP(Investment_Strategy&amp;"_"&amp;Investment_Strategy_Sub2&amp;"_"&amp;$A440,'Investment Strategies'!$T:$AF,13,FALSE),
IF(Investment_Strategy="DIY",DIY_ExtManChrge_SP,
"Error"))))))</f>
        <v>0</v>
      </c>
      <c r="O440" s="16">
        <f t="shared" si="266"/>
        <v>0</v>
      </c>
      <c r="Q440" s="16">
        <f t="shared" si="242"/>
        <v>0</v>
      </c>
      <c r="R440" s="16">
        <f t="shared" si="239"/>
        <v>0</v>
      </c>
      <c r="S440" s="16">
        <f>(SRP_SP+SUM(S$91:S439))*L440*IF(D440=$A$91,SRP_finalmonthfactor,1)</f>
        <v>0</v>
      </c>
      <c r="T440" s="74">
        <f>MIN(IF($AV440=0,0,
IF(Investment_Strategy="DIS",VLOOKUP(Investment_Strategy&amp;"_"&amp;Investment_Strategy_Sub1&amp;"_"&amp;$A440,'Investment Strategies'!$AZ:$BP,12,FALSE),
IF(AND(Investment_Strategy="Lifecycle",Investment_Strategy_Sub1="Non-Standard"),VLOOKUP(Investment_Strategy&amp;"_"&amp;Investment_Strategy_Sub2&amp;"_"&amp;$A440,'Investment Strategies'!$C:$P,9,FALSE),
IF(AND(Investment_Strategy="Lifecycle",Investment_Strategy_Sub1="Standard"),VLOOKUP(Investment_Strategy&amp;"_"&amp;Investment_Strategy_Sub2&amp;"_"&amp;$A440,'Investment Strategies'!$AJ:$AV,8,FALSE),
IF(AND(Investment_Strategy="Autopilot",Investment_Strategy_Sub1="Non-Standard"),VLOOKUP(Investment_Strategy&amp;"_"&amp;Investment_Strategy_Sub2&amp;"_"&amp;$A440,'Investment Strategies'!$T:$AF,8,FALSE),
IF(Investment_Strategy ="DIY",DIY_RateOfReturn_FuturePremiums,
"Error")))))),Max_InvReturn)</f>
        <v>0</v>
      </c>
      <c r="U440" s="62">
        <f>IF($AV440=0,0,
IF(Investment_Strategy="DIS",VLOOKUP(Investment_Strategy&amp;"_"&amp;Investment_Strategy_Sub1&amp;"_"&amp;$A440,'Investment Strategies'!$AZ:$BP,15,FALSE),
IF(AND(Investment_Strategy="Lifecycle",Investment_Strategy_Sub1="Non-Standard"),VLOOKUP(Investment_Strategy&amp;"_"&amp;Investment_Strategy_Sub2&amp;"_"&amp;$A440,'Investment Strategies'!$C:$P,12,FALSE),
IF(AND(Investment_Strategy="Lifecycle",Investment_Strategy_Sub1="Standard"),VLOOKUP(Investment_Strategy&amp;"_"&amp;Investment_Strategy_Sub2&amp;"_"&amp;$A440,'Investment Strategies'!$AJ:$AV,11,FALSE),
IF(AND(Investment_Strategy="Autopilot",Investment_Strategy_Sub1="Non-Standard"),VLOOKUP(Investment_Strategy&amp;"_"&amp;Investment_Strategy_Sub2&amp;"_"&amp;$A440,'Investment Strategies'!$T:$AF,11,FALSE),
IF(Investment_Strategy="DIY",DIY_GteeChrge_FuturePremiums,
"Error"))))))</f>
        <v>0</v>
      </c>
      <c r="V440" s="33">
        <f>IF(AV440=0,0,
IF(Investment_Strategy="DIS",VLOOKUP(Investment_Strategy&amp;"_"&amp;Investment_Strategy_Sub1&amp;"_"&amp;$A440,'Investment Strategies'!$AZ:$BP,17,FALSE),
IF(AND(Investment_Strategy="Lifecycle",Investment_Strategy_Sub1="Non-Standard"),VLOOKUP(Investment_Strategy&amp;"_"&amp;Investment_Strategy_Sub2&amp;"_"&amp;$A440,'Investment Strategies'!$C:$P,14,FALSE),
IF(AND(Investment_Strategy="Lifecycle",Investment_Strategy_Sub1="Standard"),VLOOKUP(Investment_Strategy&amp;"_"&amp;Investment_Strategy_Sub2&amp;"_"&amp;$A440,'Investment Strategies'!$AJ:$AV,13,FALSE),
IF(AND(Investment_Strategy="Autopilot",Investment_Strategy_Sub1="Non-Standard"),VLOOKUP(Investment_Strategy&amp;"_"&amp;Investment_Strategy_Sub2&amp;"_"&amp;$A440,'Investment Strategies'!$T:$AF,13,FALSE),
IF(Investment_Strategy="DIY",DIY_ExtManChrge_FuturePremiums,
"Error"))))))</f>
        <v>0</v>
      </c>
      <c r="W440" s="16">
        <f t="shared" si="267"/>
        <v>0</v>
      </c>
      <c r="X440" s="16">
        <f t="shared" si="243"/>
        <v>0</v>
      </c>
      <c r="Y440" s="16">
        <f t="shared" si="244"/>
        <v>0</v>
      </c>
      <c r="Z440" s="31">
        <f t="shared" si="245"/>
        <v>0.02</v>
      </c>
      <c r="AA440" s="16">
        <f t="shared" si="246"/>
        <v>0</v>
      </c>
      <c r="AB440" s="28">
        <f t="shared" si="268"/>
        <v>0</v>
      </c>
      <c r="AC440" s="28">
        <f>(SUM($AC$91:AC439)+SUM($X$91:X439)+X440)*T440*IF(D440=$A$91,SRP_finalmonthfactor,1)</f>
        <v>0</v>
      </c>
      <c r="AD440" s="16">
        <f t="shared" si="247"/>
        <v>0</v>
      </c>
      <c r="AE440" s="106"/>
      <c r="AF440" s="16">
        <f t="shared" si="256"/>
        <v>0</v>
      </c>
      <c r="AG440" s="16">
        <f t="shared" si="257"/>
        <v>0</v>
      </c>
      <c r="AH440" s="16">
        <f t="shared" si="258"/>
        <v>0</v>
      </c>
      <c r="AJ440" s="13">
        <f t="shared" si="270"/>
        <v>0</v>
      </c>
      <c r="AK440" s="13">
        <f t="shared" si="270"/>
        <v>0</v>
      </c>
      <c r="AL440" s="13">
        <f t="shared" si="270"/>
        <v>0</v>
      </c>
      <c r="AM440" s="13">
        <f t="shared" si="270"/>
        <v>0</v>
      </c>
      <c r="AN440" s="13">
        <f t="shared" si="270"/>
        <v>0</v>
      </c>
      <c r="AO440" s="13">
        <f t="shared" si="270"/>
        <v>1</v>
      </c>
      <c r="AP440" s="13">
        <f t="shared" si="270"/>
        <v>1</v>
      </c>
      <c r="AQ440" s="13">
        <f t="shared" si="270"/>
        <v>1</v>
      </c>
      <c r="AR440" s="13">
        <f t="shared" si="270"/>
        <v>0</v>
      </c>
      <c r="AS440" s="13">
        <f t="shared" si="270"/>
        <v>1</v>
      </c>
      <c r="AT440" s="13">
        <f t="shared" si="270"/>
        <v>1</v>
      </c>
      <c r="AU440" s="13">
        <f t="shared" si="270"/>
        <v>1</v>
      </c>
      <c r="AV440" s="13">
        <f t="shared" si="249"/>
        <v>0</v>
      </c>
      <c r="AW440" s="13">
        <f t="shared" si="250"/>
        <v>1</v>
      </c>
      <c r="AY440" s="17">
        <f t="shared" si="251"/>
        <v>350</v>
      </c>
      <c r="AZ440" s="28">
        <f t="shared" si="259"/>
        <v>0</v>
      </c>
      <c r="BA440" s="13">
        <f t="shared" si="252"/>
        <v>0</v>
      </c>
      <c r="BB440" s="13">
        <f t="shared" si="253"/>
        <v>0</v>
      </c>
      <c r="BC440" s="28">
        <f t="shared" si="260"/>
        <v>0</v>
      </c>
      <c r="BD440" s="28">
        <f t="shared" si="261"/>
        <v>0</v>
      </c>
      <c r="BF440" s="248">
        <f t="shared" si="262"/>
        <v>993869.29442638322</v>
      </c>
    </row>
    <row r="441" spans="1:58">
      <c r="A441" s="32">
        <f t="shared" si="263"/>
        <v>-266</v>
      </c>
      <c r="B441" s="32">
        <f t="shared" si="254"/>
        <v>82</v>
      </c>
      <c r="C441" s="32">
        <f t="shared" si="264"/>
        <v>30</v>
      </c>
      <c r="D441" s="32">
        <f t="shared" si="265"/>
        <v>351</v>
      </c>
      <c r="E441" s="74">
        <f>MIN(IF(AV441=0,0,
IF(Investment_Strategy="DIS",VLOOKUP(Investment_Strategy&amp;"_"&amp;Investment_Strategy_Sub1&amp;"_"&amp;$A441,'Investment Strategies'!$AZ:$BP,12,FALSE),
IF(AND(Investment_Strategy="Lifecycle",Investment_Strategy_Sub1="Non-Standard"),VLOOKUP(Investment_Strategy&amp;"_"&amp;Investment_Strategy_Sub2&amp;"_"&amp;$A441,'Investment Strategies'!$C:$P,9,FALSE),
IF(AND(Investment_Strategy="Lifecycle",Investment_Strategy_Sub1="Standard"),VLOOKUP(Investment_Strategy&amp;"_"&amp;Investment_Strategy_Sub2&amp;"_"&amp;$A441,'Investment Strategies'!$AJ:$AV,8,FALSE),
IF(AND(Investment_Strategy="Autopilot",Investment_Strategy_Sub1="Non-Standard"),VLOOKUP(Investment_Strategy&amp;"_"&amp;Investment_Strategy_Sub2&amp;"_"&amp;$A441,'Investment Strategies'!$T:$AF,8,FALSE),
IF(Investment_Strategy ="DIY",DIY_RateOfReturn_CurrentFunds,
"Error")))))),Max_InvReturn)</f>
        <v>0</v>
      </c>
      <c r="F441" s="62">
        <f>IF(AV441=0,0,
IF(Investment_Strategy="DIS",VLOOKUP(Investment_Strategy&amp;"_"&amp;Investment_Strategy_Sub1&amp;"_"&amp;$A441,'Investment Strategies'!$AZ:$BP,15,FALSE),
IF(AND(Investment_Strategy="Lifecycle",Investment_Strategy_Sub1="Non-Standard"),VLOOKUP(Investment_Strategy&amp;"_"&amp;Investment_Strategy_Sub2&amp;"_"&amp;$A441,'Investment Strategies'!$C:$P,12,FALSE),
IF(AND(Investment_Strategy="Lifecycle",Investment_Strategy_Sub1="Standard"),VLOOKUP(Investment_Strategy&amp;"_"&amp;Investment_Strategy_Sub2&amp;"_"&amp;$A441,'Investment Strategies'!$AJ:$AV,11,FALSE),
IF(AND(Investment_Strategy="Autopilot",Investment_Strategy_Sub1="Non-Standard"),VLOOKUP(Investment_Strategy&amp;"_"&amp;Investment_Strategy_Sub2&amp;"_"&amp;$A441,'Investment Strategies'!$T:$AF,11,FALSE),
IF(Investment_Strategy="DIY",DIY_GteeChrge_CurrentFunds,
"Error"))))))</f>
        <v>0</v>
      </c>
      <c r="G441" s="33">
        <f>IF(AV441=0,0,
IF(Investment_Strategy="DIS",VLOOKUP(Investment_Strategy&amp;"_"&amp;Investment_Strategy_Sub1&amp;"_"&amp;$A441,'Investment Strategies'!$AZ:$BP,17,FALSE),
IF(AND(Investment_Strategy="Lifecycle",Investment_Strategy_Sub1="Non-Standard"),VLOOKUP(Investment_Strategy&amp;"_"&amp;Investment_Strategy_Sub2&amp;"_"&amp;$A441,'Investment Strategies'!$C:$P,14,FALSE),
IF(AND(Investment_Strategy="Lifecycle",Investment_Strategy_Sub1="Standard"),VLOOKUP(Investment_Strategy&amp;"_"&amp;Investment_Strategy_Sub2&amp;"_"&amp;$A441,'Investment Strategies'!$AJ:$AV,13,FALSE),
IF(AND(Investment_Strategy="Autopilot",Investment_Strategy_Sub1="Non-Standard"),VLOOKUP(Investment_Strategy&amp;"_"&amp;Investment_Strategy_Sub2&amp;"_"&amp;$A441,'Investment Strategies'!$T:$AF,13,FALSE),
IF(Investment_Strategy="DIY",DIY_ExtManChrge_CurrentFunds,
"Error"))))))</f>
        <v>0</v>
      </c>
      <c r="H441" s="16">
        <f t="shared" si="255"/>
        <v>0</v>
      </c>
      <c r="I441" s="16">
        <f t="shared" si="240"/>
        <v>0</v>
      </c>
      <c r="J441" s="16">
        <f t="shared" si="241"/>
        <v>0</v>
      </c>
      <c r="K441" s="16">
        <f>(Opening_Fund_Value+SUM(K$91:K440))*E441*IF(D441=$A$91,SRP_finalmonthfactor,1)</f>
        <v>0</v>
      </c>
      <c r="L441" s="74">
        <f>MIN(IF($AV441=0,0,
IF(Investment_Strategy="DIS",VLOOKUP(Investment_Strategy&amp;"_"&amp;Investment_Strategy_Sub1&amp;"_"&amp;$A441,'Investment Strategies'!$AZ:$BP,12,FALSE),
IF(AND(Investment_Strategy="Lifecycle",Investment_Strategy_Sub1="Non-Standard"),VLOOKUP(Investment_Strategy&amp;"_"&amp;Investment_Strategy_Sub2&amp;"_"&amp;$A441,'Investment Strategies'!$C:$P,9,FALSE),
IF(AND(Investment_Strategy="Lifecycle",Investment_Strategy_Sub1="Standard"),VLOOKUP(Investment_Strategy&amp;"_"&amp;Investment_Strategy_Sub2&amp;"_"&amp;$A441,'Investment Strategies'!$AJ:$AV,8,FALSE),
IF(AND(Investment_Strategy="Autopilot",Investment_Strategy_Sub1="Non-Standard"),VLOOKUP(Investment_Strategy&amp;"_"&amp;Investment_Strategy_Sub2&amp;"_"&amp;$A441,'Investment Strategies'!$T:$AF,8,FALSE),
IF(Investment_Strategy ="DIY",DIY_RateofReturn_SP,
"Error")))))),Max_InvReturn)</f>
        <v>0</v>
      </c>
      <c r="M441" s="62">
        <f>IF($AV441=0,0,
IF(Investment_Strategy="DIS",VLOOKUP(Investment_Strategy&amp;"_"&amp;Investment_Strategy_Sub1&amp;"_"&amp;$A441,'Investment Strategies'!$AZ:$BP,15,FALSE),
IF(AND(Investment_Strategy="Lifecycle",Investment_Strategy_Sub1="Non-Standard"),VLOOKUP(Investment_Strategy&amp;"_"&amp;Investment_Strategy_Sub2&amp;"_"&amp;$A441,'Investment Strategies'!$C:$P,12,FALSE),
IF(AND(Investment_Strategy="Lifecycle",Investment_Strategy_Sub1="Standard"),VLOOKUP(Investment_Strategy&amp;"_"&amp;Investment_Strategy_Sub2&amp;"_"&amp;$A441,'Investment Strategies'!$AJ:$AV,11,FALSE),
IF(AND(Investment_Strategy="Autopilot",Investment_Strategy_Sub1="Non-Standard"),VLOOKUP(Investment_Strategy&amp;"_"&amp;Investment_Strategy_Sub2&amp;"_"&amp;$A441,'Investment Strategies'!$T:$AF,11,FALSE),
IF(Investment_Strategy="DIY",DIY_GteeChrge_SP,
"Error"))))))</f>
        <v>0</v>
      </c>
      <c r="N441" s="33">
        <f>IF($AV441=0,0,
IF(Investment_Strategy="DIS",VLOOKUP(Investment_Strategy&amp;"_"&amp;Investment_Strategy_Sub1&amp;"_"&amp;$A441,'Investment Strategies'!$AZ:$BP,17,FALSE),
IF(AND(Investment_Strategy="Lifecycle",Investment_Strategy_Sub1="Non-Standard"),VLOOKUP(Investment_Strategy&amp;"_"&amp;Investment_Strategy_Sub2&amp;"_"&amp;$A441,'Investment Strategies'!$C:$P,14,FALSE),
IF(AND(Investment_Strategy="Lifecycle",Investment_Strategy_Sub1="Standard"),VLOOKUP(Investment_Strategy&amp;"_"&amp;Investment_Strategy_Sub2&amp;"_"&amp;$A441,'Investment Strategies'!$AJ:$AV,13,FALSE),
IF(AND(Investment_Strategy="Autopilot",Investment_Strategy_Sub1="Non-Standard"),VLOOKUP(Investment_Strategy&amp;"_"&amp;Investment_Strategy_Sub2&amp;"_"&amp;$A441,'Investment Strategies'!$T:$AF,13,FALSE),
IF(Investment_Strategy="DIY",DIY_ExtManChrge_SP,
"Error"))))))</f>
        <v>0</v>
      </c>
      <c r="O441" s="16">
        <f t="shared" si="266"/>
        <v>0</v>
      </c>
      <c r="Q441" s="16">
        <f t="shared" si="242"/>
        <v>0</v>
      </c>
      <c r="R441" s="16">
        <f t="shared" si="239"/>
        <v>0</v>
      </c>
      <c r="S441" s="16">
        <f>(SRP_SP+SUM(S$91:S440))*L441*IF(D441=$A$91,SRP_finalmonthfactor,1)</f>
        <v>0</v>
      </c>
      <c r="T441" s="74">
        <f>MIN(IF($AV441=0,0,
IF(Investment_Strategy="DIS",VLOOKUP(Investment_Strategy&amp;"_"&amp;Investment_Strategy_Sub1&amp;"_"&amp;$A441,'Investment Strategies'!$AZ:$BP,12,FALSE),
IF(AND(Investment_Strategy="Lifecycle",Investment_Strategy_Sub1="Non-Standard"),VLOOKUP(Investment_Strategy&amp;"_"&amp;Investment_Strategy_Sub2&amp;"_"&amp;$A441,'Investment Strategies'!$C:$P,9,FALSE),
IF(AND(Investment_Strategy="Lifecycle",Investment_Strategy_Sub1="Standard"),VLOOKUP(Investment_Strategy&amp;"_"&amp;Investment_Strategy_Sub2&amp;"_"&amp;$A441,'Investment Strategies'!$AJ:$AV,8,FALSE),
IF(AND(Investment_Strategy="Autopilot",Investment_Strategy_Sub1="Non-Standard"),VLOOKUP(Investment_Strategy&amp;"_"&amp;Investment_Strategy_Sub2&amp;"_"&amp;$A441,'Investment Strategies'!$T:$AF,8,FALSE),
IF(Investment_Strategy ="DIY",DIY_RateOfReturn_FuturePremiums,
"Error")))))),Max_InvReturn)</f>
        <v>0</v>
      </c>
      <c r="U441" s="62">
        <f>IF($AV441=0,0,
IF(Investment_Strategy="DIS",VLOOKUP(Investment_Strategy&amp;"_"&amp;Investment_Strategy_Sub1&amp;"_"&amp;$A441,'Investment Strategies'!$AZ:$BP,15,FALSE),
IF(AND(Investment_Strategy="Lifecycle",Investment_Strategy_Sub1="Non-Standard"),VLOOKUP(Investment_Strategy&amp;"_"&amp;Investment_Strategy_Sub2&amp;"_"&amp;$A441,'Investment Strategies'!$C:$P,12,FALSE),
IF(AND(Investment_Strategy="Lifecycle",Investment_Strategy_Sub1="Standard"),VLOOKUP(Investment_Strategy&amp;"_"&amp;Investment_Strategy_Sub2&amp;"_"&amp;$A441,'Investment Strategies'!$AJ:$AV,11,FALSE),
IF(AND(Investment_Strategy="Autopilot",Investment_Strategy_Sub1="Non-Standard"),VLOOKUP(Investment_Strategy&amp;"_"&amp;Investment_Strategy_Sub2&amp;"_"&amp;$A441,'Investment Strategies'!$T:$AF,11,FALSE),
IF(Investment_Strategy="DIY",DIY_GteeChrge_FuturePremiums,
"Error"))))))</f>
        <v>0</v>
      </c>
      <c r="V441" s="33">
        <f>IF(AV441=0,0,
IF(Investment_Strategy="DIS",VLOOKUP(Investment_Strategy&amp;"_"&amp;Investment_Strategy_Sub1&amp;"_"&amp;$A441,'Investment Strategies'!$AZ:$BP,17,FALSE),
IF(AND(Investment_Strategy="Lifecycle",Investment_Strategy_Sub1="Non-Standard"),VLOOKUP(Investment_Strategy&amp;"_"&amp;Investment_Strategy_Sub2&amp;"_"&amp;$A441,'Investment Strategies'!$C:$P,14,FALSE),
IF(AND(Investment_Strategy="Lifecycle",Investment_Strategy_Sub1="Standard"),VLOOKUP(Investment_Strategy&amp;"_"&amp;Investment_Strategy_Sub2&amp;"_"&amp;$A441,'Investment Strategies'!$AJ:$AV,13,FALSE),
IF(AND(Investment_Strategy="Autopilot",Investment_Strategy_Sub1="Non-Standard"),VLOOKUP(Investment_Strategy&amp;"_"&amp;Investment_Strategy_Sub2&amp;"_"&amp;$A441,'Investment Strategies'!$T:$AF,13,FALSE),
IF(Investment_Strategy="DIY",DIY_ExtManChrge_FuturePremiums,
"Error"))))))</f>
        <v>0</v>
      </c>
      <c r="W441" s="16">
        <f t="shared" si="267"/>
        <v>0</v>
      </c>
      <c r="X441" s="16">
        <f t="shared" si="243"/>
        <v>0</v>
      </c>
      <c r="Y441" s="16">
        <f t="shared" si="244"/>
        <v>0</v>
      </c>
      <c r="Z441" s="31">
        <f t="shared" si="245"/>
        <v>0.02</v>
      </c>
      <c r="AA441" s="16">
        <f t="shared" si="246"/>
        <v>0</v>
      </c>
      <c r="AB441" s="28">
        <f t="shared" si="268"/>
        <v>0</v>
      </c>
      <c r="AC441" s="28">
        <f>(SUM($AC$91:AC440)+SUM($X$91:X440)+X441)*T441*IF(D441=$A$91,SRP_finalmonthfactor,1)</f>
        <v>0</v>
      </c>
      <c r="AD441" s="16">
        <f t="shared" si="247"/>
        <v>0</v>
      </c>
      <c r="AE441" s="106"/>
      <c r="AF441" s="16">
        <f t="shared" si="256"/>
        <v>0</v>
      </c>
      <c r="AG441" s="16">
        <f t="shared" si="257"/>
        <v>0</v>
      </c>
      <c r="AH441" s="16">
        <f t="shared" si="258"/>
        <v>0</v>
      </c>
      <c r="AJ441" s="13">
        <f t="shared" ref="AJ441:AU450" si="271">IF($C441&lt;=AJ$90,1,0)</f>
        <v>0</v>
      </c>
      <c r="AK441" s="13">
        <f t="shared" si="271"/>
        <v>0</v>
      </c>
      <c r="AL441" s="13">
        <f t="shared" si="271"/>
        <v>0</v>
      </c>
      <c r="AM441" s="13">
        <f t="shared" si="271"/>
        <v>0</v>
      </c>
      <c r="AN441" s="13">
        <f t="shared" si="271"/>
        <v>0</v>
      </c>
      <c r="AO441" s="13">
        <f t="shared" si="271"/>
        <v>1</v>
      </c>
      <c r="AP441" s="13">
        <f t="shared" si="271"/>
        <v>1</v>
      </c>
      <c r="AQ441" s="13">
        <f t="shared" si="271"/>
        <v>1</v>
      </c>
      <c r="AR441" s="13">
        <f t="shared" si="271"/>
        <v>0</v>
      </c>
      <c r="AS441" s="13">
        <f t="shared" si="271"/>
        <v>1</v>
      </c>
      <c r="AT441" s="13">
        <f t="shared" si="271"/>
        <v>1</v>
      </c>
      <c r="AU441" s="13">
        <f t="shared" si="271"/>
        <v>1</v>
      </c>
      <c r="AV441" s="13">
        <f t="shared" si="249"/>
        <v>0</v>
      </c>
      <c r="AW441" s="13">
        <f t="shared" si="250"/>
        <v>1</v>
      </c>
      <c r="AY441" s="17">
        <f t="shared" si="251"/>
        <v>351</v>
      </c>
      <c r="AZ441" s="28">
        <f t="shared" si="259"/>
        <v>0</v>
      </c>
      <c r="BA441" s="13">
        <f t="shared" si="252"/>
        <v>0</v>
      </c>
      <c r="BB441" s="13">
        <f t="shared" si="253"/>
        <v>0</v>
      </c>
      <c r="BC441" s="28">
        <f t="shared" si="260"/>
        <v>0</v>
      </c>
      <c r="BD441" s="28">
        <f t="shared" si="261"/>
        <v>0</v>
      </c>
      <c r="BF441" s="248">
        <f t="shared" si="262"/>
        <v>993869.29442638322</v>
      </c>
    </row>
    <row r="442" spans="1:58">
      <c r="A442" s="32">
        <f t="shared" si="263"/>
        <v>-267</v>
      </c>
      <c r="B442" s="32">
        <f t="shared" si="254"/>
        <v>82</v>
      </c>
      <c r="C442" s="32">
        <f t="shared" si="264"/>
        <v>30</v>
      </c>
      <c r="D442" s="32">
        <f t="shared" si="265"/>
        <v>352</v>
      </c>
      <c r="E442" s="74">
        <f>MIN(IF(AV442=0,0,
IF(Investment_Strategy="DIS",VLOOKUP(Investment_Strategy&amp;"_"&amp;Investment_Strategy_Sub1&amp;"_"&amp;$A442,'Investment Strategies'!$AZ:$BP,12,FALSE),
IF(AND(Investment_Strategy="Lifecycle",Investment_Strategy_Sub1="Non-Standard"),VLOOKUP(Investment_Strategy&amp;"_"&amp;Investment_Strategy_Sub2&amp;"_"&amp;$A442,'Investment Strategies'!$C:$P,9,FALSE),
IF(AND(Investment_Strategy="Lifecycle",Investment_Strategy_Sub1="Standard"),VLOOKUP(Investment_Strategy&amp;"_"&amp;Investment_Strategy_Sub2&amp;"_"&amp;$A442,'Investment Strategies'!$AJ:$AV,8,FALSE),
IF(AND(Investment_Strategy="Autopilot",Investment_Strategy_Sub1="Non-Standard"),VLOOKUP(Investment_Strategy&amp;"_"&amp;Investment_Strategy_Sub2&amp;"_"&amp;$A442,'Investment Strategies'!$T:$AF,8,FALSE),
IF(Investment_Strategy ="DIY",DIY_RateOfReturn_CurrentFunds,
"Error")))))),Max_InvReturn)</f>
        <v>0</v>
      </c>
      <c r="F442" s="62">
        <f>IF(AV442=0,0,
IF(Investment_Strategy="DIS",VLOOKUP(Investment_Strategy&amp;"_"&amp;Investment_Strategy_Sub1&amp;"_"&amp;$A442,'Investment Strategies'!$AZ:$BP,15,FALSE),
IF(AND(Investment_Strategy="Lifecycle",Investment_Strategy_Sub1="Non-Standard"),VLOOKUP(Investment_Strategy&amp;"_"&amp;Investment_Strategy_Sub2&amp;"_"&amp;$A442,'Investment Strategies'!$C:$P,12,FALSE),
IF(AND(Investment_Strategy="Lifecycle",Investment_Strategy_Sub1="Standard"),VLOOKUP(Investment_Strategy&amp;"_"&amp;Investment_Strategy_Sub2&amp;"_"&amp;$A442,'Investment Strategies'!$AJ:$AV,11,FALSE),
IF(AND(Investment_Strategy="Autopilot",Investment_Strategy_Sub1="Non-Standard"),VLOOKUP(Investment_Strategy&amp;"_"&amp;Investment_Strategy_Sub2&amp;"_"&amp;$A442,'Investment Strategies'!$T:$AF,11,FALSE),
IF(Investment_Strategy="DIY",DIY_GteeChrge_CurrentFunds,
"Error"))))))</f>
        <v>0</v>
      </c>
      <c r="G442" s="33">
        <f>IF(AV442=0,0,
IF(Investment_Strategy="DIS",VLOOKUP(Investment_Strategy&amp;"_"&amp;Investment_Strategy_Sub1&amp;"_"&amp;$A442,'Investment Strategies'!$AZ:$BP,17,FALSE),
IF(AND(Investment_Strategy="Lifecycle",Investment_Strategy_Sub1="Non-Standard"),VLOOKUP(Investment_Strategy&amp;"_"&amp;Investment_Strategy_Sub2&amp;"_"&amp;$A442,'Investment Strategies'!$C:$P,14,FALSE),
IF(AND(Investment_Strategy="Lifecycle",Investment_Strategy_Sub1="Standard"),VLOOKUP(Investment_Strategy&amp;"_"&amp;Investment_Strategy_Sub2&amp;"_"&amp;$A442,'Investment Strategies'!$AJ:$AV,13,FALSE),
IF(AND(Investment_Strategy="Autopilot",Investment_Strategy_Sub1="Non-Standard"),VLOOKUP(Investment_Strategy&amp;"_"&amp;Investment_Strategy_Sub2&amp;"_"&amp;$A442,'Investment Strategies'!$T:$AF,13,FALSE),
IF(Investment_Strategy="DIY",DIY_ExtManChrge_CurrentFunds,
"Error"))))))</f>
        <v>0</v>
      </c>
      <c r="H442" s="16">
        <f t="shared" si="255"/>
        <v>0</v>
      </c>
      <c r="I442" s="16">
        <f t="shared" si="240"/>
        <v>0</v>
      </c>
      <c r="J442" s="16">
        <f t="shared" si="241"/>
        <v>0</v>
      </c>
      <c r="K442" s="16">
        <f>(Opening_Fund_Value+SUM(K$91:K441))*E442*IF(D442=$A$91,SRP_finalmonthfactor,1)</f>
        <v>0</v>
      </c>
      <c r="L442" s="74">
        <f>MIN(IF($AV442=0,0,
IF(Investment_Strategy="DIS",VLOOKUP(Investment_Strategy&amp;"_"&amp;Investment_Strategy_Sub1&amp;"_"&amp;$A442,'Investment Strategies'!$AZ:$BP,12,FALSE),
IF(AND(Investment_Strategy="Lifecycle",Investment_Strategy_Sub1="Non-Standard"),VLOOKUP(Investment_Strategy&amp;"_"&amp;Investment_Strategy_Sub2&amp;"_"&amp;$A442,'Investment Strategies'!$C:$P,9,FALSE),
IF(AND(Investment_Strategy="Lifecycle",Investment_Strategy_Sub1="Standard"),VLOOKUP(Investment_Strategy&amp;"_"&amp;Investment_Strategy_Sub2&amp;"_"&amp;$A442,'Investment Strategies'!$AJ:$AV,8,FALSE),
IF(AND(Investment_Strategy="Autopilot",Investment_Strategy_Sub1="Non-Standard"),VLOOKUP(Investment_Strategy&amp;"_"&amp;Investment_Strategy_Sub2&amp;"_"&amp;$A442,'Investment Strategies'!$T:$AF,8,FALSE),
IF(Investment_Strategy ="DIY",DIY_RateofReturn_SP,
"Error")))))),Max_InvReturn)</f>
        <v>0</v>
      </c>
      <c r="M442" s="62">
        <f>IF($AV442=0,0,
IF(Investment_Strategy="DIS",VLOOKUP(Investment_Strategy&amp;"_"&amp;Investment_Strategy_Sub1&amp;"_"&amp;$A442,'Investment Strategies'!$AZ:$BP,15,FALSE),
IF(AND(Investment_Strategy="Lifecycle",Investment_Strategy_Sub1="Non-Standard"),VLOOKUP(Investment_Strategy&amp;"_"&amp;Investment_Strategy_Sub2&amp;"_"&amp;$A442,'Investment Strategies'!$C:$P,12,FALSE),
IF(AND(Investment_Strategy="Lifecycle",Investment_Strategy_Sub1="Standard"),VLOOKUP(Investment_Strategy&amp;"_"&amp;Investment_Strategy_Sub2&amp;"_"&amp;$A442,'Investment Strategies'!$AJ:$AV,11,FALSE),
IF(AND(Investment_Strategy="Autopilot",Investment_Strategy_Sub1="Non-Standard"),VLOOKUP(Investment_Strategy&amp;"_"&amp;Investment_Strategy_Sub2&amp;"_"&amp;$A442,'Investment Strategies'!$T:$AF,11,FALSE),
IF(Investment_Strategy="DIY",DIY_GteeChrge_SP,
"Error"))))))</f>
        <v>0</v>
      </c>
      <c r="N442" s="33">
        <f>IF($AV442=0,0,
IF(Investment_Strategy="DIS",VLOOKUP(Investment_Strategy&amp;"_"&amp;Investment_Strategy_Sub1&amp;"_"&amp;$A442,'Investment Strategies'!$AZ:$BP,17,FALSE),
IF(AND(Investment_Strategy="Lifecycle",Investment_Strategy_Sub1="Non-Standard"),VLOOKUP(Investment_Strategy&amp;"_"&amp;Investment_Strategy_Sub2&amp;"_"&amp;$A442,'Investment Strategies'!$C:$P,14,FALSE),
IF(AND(Investment_Strategy="Lifecycle",Investment_Strategy_Sub1="Standard"),VLOOKUP(Investment_Strategy&amp;"_"&amp;Investment_Strategy_Sub2&amp;"_"&amp;$A442,'Investment Strategies'!$AJ:$AV,13,FALSE),
IF(AND(Investment_Strategy="Autopilot",Investment_Strategy_Sub1="Non-Standard"),VLOOKUP(Investment_Strategy&amp;"_"&amp;Investment_Strategy_Sub2&amp;"_"&amp;$A442,'Investment Strategies'!$T:$AF,13,FALSE),
IF(Investment_Strategy="DIY",DIY_ExtManChrge_SP,
"Error"))))))</f>
        <v>0</v>
      </c>
      <c r="O442" s="16">
        <f t="shared" si="266"/>
        <v>0</v>
      </c>
      <c r="Q442" s="16">
        <f t="shared" si="242"/>
        <v>0</v>
      </c>
      <c r="R442" s="16">
        <f t="shared" si="239"/>
        <v>0</v>
      </c>
      <c r="S442" s="16">
        <f>(SRP_SP+SUM(S$91:S441))*L442*IF(D442=$A$91,SRP_finalmonthfactor,1)</f>
        <v>0</v>
      </c>
      <c r="T442" s="74">
        <f>MIN(IF($AV442=0,0,
IF(Investment_Strategy="DIS",VLOOKUP(Investment_Strategy&amp;"_"&amp;Investment_Strategy_Sub1&amp;"_"&amp;$A442,'Investment Strategies'!$AZ:$BP,12,FALSE),
IF(AND(Investment_Strategy="Lifecycle",Investment_Strategy_Sub1="Non-Standard"),VLOOKUP(Investment_Strategy&amp;"_"&amp;Investment_Strategy_Sub2&amp;"_"&amp;$A442,'Investment Strategies'!$C:$P,9,FALSE),
IF(AND(Investment_Strategy="Lifecycle",Investment_Strategy_Sub1="Standard"),VLOOKUP(Investment_Strategy&amp;"_"&amp;Investment_Strategy_Sub2&amp;"_"&amp;$A442,'Investment Strategies'!$AJ:$AV,8,FALSE),
IF(AND(Investment_Strategy="Autopilot",Investment_Strategy_Sub1="Non-Standard"),VLOOKUP(Investment_Strategy&amp;"_"&amp;Investment_Strategy_Sub2&amp;"_"&amp;$A442,'Investment Strategies'!$T:$AF,8,FALSE),
IF(Investment_Strategy ="DIY",DIY_RateOfReturn_FuturePremiums,
"Error")))))),Max_InvReturn)</f>
        <v>0</v>
      </c>
      <c r="U442" s="62">
        <f>IF($AV442=0,0,
IF(Investment_Strategy="DIS",VLOOKUP(Investment_Strategy&amp;"_"&amp;Investment_Strategy_Sub1&amp;"_"&amp;$A442,'Investment Strategies'!$AZ:$BP,15,FALSE),
IF(AND(Investment_Strategy="Lifecycle",Investment_Strategy_Sub1="Non-Standard"),VLOOKUP(Investment_Strategy&amp;"_"&amp;Investment_Strategy_Sub2&amp;"_"&amp;$A442,'Investment Strategies'!$C:$P,12,FALSE),
IF(AND(Investment_Strategy="Lifecycle",Investment_Strategy_Sub1="Standard"),VLOOKUP(Investment_Strategy&amp;"_"&amp;Investment_Strategy_Sub2&amp;"_"&amp;$A442,'Investment Strategies'!$AJ:$AV,11,FALSE),
IF(AND(Investment_Strategy="Autopilot",Investment_Strategy_Sub1="Non-Standard"),VLOOKUP(Investment_Strategy&amp;"_"&amp;Investment_Strategy_Sub2&amp;"_"&amp;$A442,'Investment Strategies'!$T:$AF,11,FALSE),
IF(Investment_Strategy="DIY",DIY_GteeChrge_FuturePremiums,
"Error"))))))</f>
        <v>0</v>
      </c>
      <c r="V442" s="33">
        <f>IF(AV442=0,0,
IF(Investment_Strategy="DIS",VLOOKUP(Investment_Strategy&amp;"_"&amp;Investment_Strategy_Sub1&amp;"_"&amp;$A442,'Investment Strategies'!$AZ:$BP,17,FALSE),
IF(AND(Investment_Strategy="Lifecycle",Investment_Strategy_Sub1="Non-Standard"),VLOOKUP(Investment_Strategy&amp;"_"&amp;Investment_Strategy_Sub2&amp;"_"&amp;$A442,'Investment Strategies'!$C:$P,14,FALSE),
IF(AND(Investment_Strategy="Lifecycle",Investment_Strategy_Sub1="Standard"),VLOOKUP(Investment_Strategy&amp;"_"&amp;Investment_Strategy_Sub2&amp;"_"&amp;$A442,'Investment Strategies'!$AJ:$AV,13,FALSE),
IF(AND(Investment_Strategy="Autopilot",Investment_Strategy_Sub1="Non-Standard"),VLOOKUP(Investment_Strategy&amp;"_"&amp;Investment_Strategy_Sub2&amp;"_"&amp;$A442,'Investment Strategies'!$T:$AF,13,FALSE),
IF(Investment_Strategy="DIY",DIY_ExtManChrge_FuturePremiums,
"Error"))))))</f>
        <v>0</v>
      </c>
      <c r="W442" s="16">
        <f t="shared" si="267"/>
        <v>0</v>
      </c>
      <c r="X442" s="16">
        <f t="shared" si="243"/>
        <v>0</v>
      </c>
      <c r="Y442" s="16">
        <f t="shared" si="244"/>
        <v>0</v>
      </c>
      <c r="Z442" s="31">
        <f t="shared" si="245"/>
        <v>0.02</v>
      </c>
      <c r="AA442" s="16">
        <f t="shared" si="246"/>
        <v>0</v>
      </c>
      <c r="AB442" s="28">
        <f t="shared" si="268"/>
        <v>0</v>
      </c>
      <c r="AC442" s="28">
        <f>(SUM($AC$91:AC441)+SUM($X$91:X441)+X442)*T442*IF(D442=$A$91,SRP_finalmonthfactor,1)</f>
        <v>0</v>
      </c>
      <c r="AD442" s="16">
        <f t="shared" si="247"/>
        <v>0</v>
      </c>
      <c r="AE442" s="106"/>
      <c r="AF442" s="16">
        <f t="shared" si="256"/>
        <v>0</v>
      </c>
      <c r="AG442" s="16">
        <f t="shared" si="257"/>
        <v>0</v>
      </c>
      <c r="AH442" s="16">
        <f t="shared" si="258"/>
        <v>0</v>
      </c>
      <c r="AJ442" s="13">
        <f t="shared" si="271"/>
        <v>0</v>
      </c>
      <c r="AK442" s="13">
        <f t="shared" si="271"/>
        <v>0</v>
      </c>
      <c r="AL442" s="13">
        <f t="shared" si="271"/>
        <v>0</v>
      </c>
      <c r="AM442" s="13">
        <f t="shared" si="271"/>
        <v>0</v>
      </c>
      <c r="AN442" s="13">
        <f t="shared" si="271"/>
        <v>0</v>
      </c>
      <c r="AO442" s="13">
        <f t="shared" si="271"/>
        <v>1</v>
      </c>
      <c r="AP442" s="13">
        <f t="shared" si="271"/>
        <v>1</v>
      </c>
      <c r="AQ442" s="13">
        <f t="shared" si="271"/>
        <v>1</v>
      </c>
      <c r="AR442" s="13">
        <f t="shared" si="271"/>
        <v>0</v>
      </c>
      <c r="AS442" s="13">
        <f t="shared" si="271"/>
        <v>1</v>
      </c>
      <c r="AT442" s="13">
        <f t="shared" si="271"/>
        <v>1</v>
      </c>
      <c r="AU442" s="13">
        <f t="shared" si="271"/>
        <v>1</v>
      </c>
      <c r="AV442" s="13">
        <f t="shared" si="249"/>
        <v>0</v>
      </c>
      <c r="AW442" s="13">
        <f t="shared" si="250"/>
        <v>1</v>
      </c>
      <c r="AY442" s="17">
        <f t="shared" si="251"/>
        <v>352</v>
      </c>
      <c r="AZ442" s="28">
        <f t="shared" si="259"/>
        <v>0</v>
      </c>
      <c r="BA442" s="13">
        <f t="shared" si="252"/>
        <v>0</v>
      </c>
      <c r="BB442" s="13">
        <f t="shared" si="253"/>
        <v>0</v>
      </c>
      <c r="BC442" s="28">
        <f t="shared" si="260"/>
        <v>0</v>
      </c>
      <c r="BD442" s="28">
        <f t="shared" si="261"/>
        <v>0</v>
      </c>
      <c r="BF442" s="248">
        <f t="shared" si="262"/>
        <v>993869.29442638322</v>
      </c>
    </row>
    <row r="443" spans="1:58">
      <c r="A443" s="32">
        <f t="shared" si="263"/>
        <v>-268</v>
      </c>
      <c r="B443" s="32">
        <f t="shared" si="254"/>
        <v>82</v>
      </c>
      <c r="C443" s="32">
        <f t="shared" si="264"/>
        <v>30</v>
      </c>
      <c r="D443" s="32">
        <f t="shared" si="265"/>
        <v>353</v>
      </c>
      <c r="E443" s="74">
        <f>MIN(IF(AV443=0,0,
IF(Investment_Strategy="DIS",VLOOKUP(Investment_Strategy&amp;"_"&amp;Investment_Strategy_Sub1&amp;"_"&amp;$A443,'Investment Strategies'!$AZ:$BP,12,FALSE),
IF(AND(Investment_Strategy="Lifecycle",Investment_Strategy_Sub1="Non-Standard"),VLOOKUP(Investment_Strategy&amp;"_"&amp;Investment_Strategy_Sub2&amp;"_"&amp;$A443,'Investment Strategies'!$C:$P,9,FALSE),
IF(AND(Investment_Strategy="Lifecycle",Investment_Strategy_Sub1="Standard"),VLOOKUP(Investment_Strategy&amp;"_"&amp;Investment_Strategy_Sub2&amp;"_"&amp;$A443,'Investment Strategies'!$AJ:$AV,8,FALSE),
IF(AND(Investment_Strategy="Autopilot",Investment_Strategy_Sub1="Non-Standard"),VLOOKUP(Investment_Strategy&amp;"_"&amp;Investment_Strategy_Sub2&amp;"_"&amp;$A443,'Investment Strategies'!$T:$AF,8,FALSE),
IF(Investment_Strategy ="DIY",DIY_RateOfReturn_CurrentFunds,
"Error")))))),Max_InvReturn)</f>
        <v>0</v>
      </c>
      <c r="F443" s="62">
        <f>IF(AV443=0,0,
IF(Investment_Strategy="DIS",VLOOKUP(Investment_Strategy&amp;"_"&amp;Investment_Strategy_Sub1&amp;"_"&amp;$A443,'Investment Strategies'!$AZ:$BP,15,FALSE),
IF(AND(Investment_Strategy="Lifecycle",Investment_Strategy_Sub1="Non-Standard"),VLOOKUP(Investment_Strategy&amp;"_"&amp;Investment_Strategy_Sub2&amp;"_"&amp;$A443,'Investment Strategies'!$C:$P,12,FALSE),
IF(AND(Investment_Strategy="Lifecycle",Investment_Strategy_Sub1="Standard"),VLOOKUP(Investment_Strategy&amp;"_"&amp;Investment_Strategy_Sub2&amp;"_"&amp;$A443,'Investment Strategies'!$AJ:$AV,11,FALSE),
IF(AND(Investment_Strategy="Autopilot",Investment_Strategy_Sub1="Non-Standard"),VLOOKUP(Investment_Strategy&amp;"_"&amp;Investment_Strategy_Sub2&amp;"_"&amp;$A443,'Investment Strategies'!$T:$AF,11,FALSE),
IF(Investment_Strategy="DIY",DIY_GteeChrge_CurrentFunds,
"Error"))))))</f>
        <v>0</v>
      </c>
      <c r="G443" s="33">
        <f>IF(AV443=0,0,
IF(Investment_Strategy="DIS",VLOOKUP(Investment_Strategy&amp;"_"&amp;Investment_Strategy_Sub1&amp;"_"&amp;$A443,'Investment Strategies'!$AZ:$BP,17,FALSE),
IF(AND(Investment_Strategy="Lifecycle",Investment_Strategy_Sub1="Non-Standard"),VLOOKUP(Investment_Strategy&amp;"_"&amp;Investment_Strategy_Sub2&amp;"_"&amp;$A443,'Investment Strategies'!$C:$P,14,FALSE),
IF(AND(Investment_Strategy="Lifecycle",Investment_Strategy_Sub1="Standard"),VLOOKUP(Investment_Strategy&amp;"_"&amp;Investment_Strategy_Sub2&amp;"_"&amp;$A443,'Investment Strategies'!$AJ:$AV,13,FALSE),
IF(AND(Investment_Strategy="Autopilot",Investment_Strategy_Sub1="Non-Standard"),VLOOKUP(Investment_Strategy&amp;"_"&amp;Investment_Strategy_Sub2&amp;"_"&amp;$A443,'Investment Strategies'!$T:$AF,13,FALSE),
IF(Investment_Strategy="DIY",DIY_ExtManChrge_CurrentFunds,
"Error"))))))</f>
        <v>0</v>
      </c>
      <c r="H443" s="16">
        <f t="shared" si="255"/>
        <v>0</v>
      </c>
      <c r="I443" s="16">
        <f t="shared" si="240"/>
        <v>0</v>
      </c>
      <c r="J443" s="16">
        <f t="shared" si="241"/>
        <v>0</v>
      </c>
      <c r="K443" s="16">
        <f>(Opening_Fund_Value+SUM(K$91:K442))*E443*IF(D443=$A$91,SRP_finalmonthfactor,1)</f>
        <v>0</v>
      </c>
      <c r="L443" s="74">
        <f>MIN(IF($AV443=0,0,
IF(Investment_Strategy="DIS",VLOOKUP(Investment_Strategy&amp;"_"&amp;Investment_Strategy_Sub1&amp;"_"&amp;$A443,'Investment Strategies'!$AZ:$BP,12,FALSE),
IF(AND(Investment_Strategy="Lifecycle",Investment_Strategy_Sub1="Non-Standard"),VLOOKUP(Investment_Strategy&amp;"_"&amp;Investment_Strategy_Sub2&amp;"_"&amp;$A443,'Investment Strategies'!$C:$P,9,FALSE),
IF(AND(Investment_Strategy="Lifecycle",Investment_Strategy_Sub1="Standard"),VLOOKUP(Investment_Strategy&amp;"_"&amp;Investment_Strategy_Sub2&amp;"_"&amp;$A443,'Investment Strategies'!$AJ:$AV,8,FALSE),
IF(AND(Investment_Strategy="Autopilot",Investment_Strategy_Sub1="Non-Standard"),VLOOKUP(Investment_Strategy&amp;"_"&amp;Investment_Strategy_Sub2&amp;"_"&amp;$A443,'Investment Strategies'!$T:$AF,8,FALSE),
IF(Investment_Strategy ="DIY",DIY_RateofReturn_SP,
"Error")))))),Max_InvReturn)</f>
        <v>0</v>
      </c>
      <c r="M443" s="62">
        <f>IF($AV443=0,0,
IF(Investment_Strategy="DIS",VLOOKUP(Investment_Strategy&amp;"_"&amp;Investment_Strategy_Sub1&amp;"_"&amp;$A443,'Investment Strategies'!$AZ:$BP,15,FALSE),
IF(AND(Investment_Strategy="Lifecycle",Investment_Strategy_Sub1="Non-Standard"),VLOOKUP(Investment_Strategy&amp;"_"&amp;Investment_Strategy_Sub2&amp;"_"&amp;$A443,'Investment Strategies'!$C:$P,12,FALSE),
IF(AND(Investment_Strategy="Lifecycle",Investment_Strategy_Sub1="Standard"),VLOOKUP(Investment_Strategy&amp;"_"&amp;Investment_Strategy_Sub2&amp;"_"&amp;$A443,'Investment Strategies'!$AJ:$AV,11,FALSE),
IF(AND(Investment_Strategy="Autopilot",Investment_Strategy_Sub1="Non-Standard"),VLOOKUP(Investment_Strategy&amp;"_"&amp;Investment_Strategy_Sub2&amp;"_"&amp;$A443,'Investment Strategies'!$T:$AF,11,FALSE),
IF(Investment_Strategy="DIY",DIY_GteeChrge_SP,
"Error"))))))</f>
        <v>0</v>
      </c>
      <c r="N443" s="33">
        <f>IF($AV443=0,0,
IF(Investment_Strategy="DIS",VLOOKUP(Investment_Strategy&amp;"_"&amp;Investment_Strategy_Sub1&amp;"_"&amp;$A443,'Investment Strategies'!$AZ:$BP,17,FALSE),
IF(AND(Investment_Strategy="Lifecycle",Investment_Strategy_Sub1="Non-Standard"),VLOOKUP(Investment_Strategy&amp;"_"&amp;Investment_Strategy_Sub2&amp;"_"&amp;$A443,'Investment Strategies'!$C:$P,14,FALSE),
IF(AND(Investment_Strategy="Lifecycle",Investment_Strategy_Sub1="Standard"),VLOOKUP(Investment_Strategy&amp;"_"&amp;Investment_Strategy_Sub2&amp;"_"&amp;$A443,'Investment Strategies'!$AJ:$AV,13,FALSE),
IF(AND(Investment_Strategy="Autopilot",Investment_Strategy_Sub1="Non-Standard"),VLOOKUP(Investment_Strategy&amp;"_"&amp;Investment_Strategy_Sub2&amp;"_"&amp;$A443,'Investment Strategies'!$T:$AF,13,FALSE),
IF(Investment_Strategy="DIY",DIY_ExtManChrge_SP,
"Error"))))))</f>
        <v>0</v>
      </c>
      <c r="O443" s="16">
        <f t="shared" si="266"/>
        <v>0</v>
      </c>
      <c r="Q443" s="16">
        <f t="shared" si="242"/>
        <v>0</v>
      </c>
      <c r="R443" s="16">
        <f t="shared" si="239"/>
        <v>0</v>
      </c>
      <c r="S443" s="16">
        <f>(SRP_SP+SUM(S$91:S442))*L443*IF(D443=$A$91,SRP_finalmonthfactor,1)</f>
        <v>0</v>
      </c>
      <c r="T443" s="74">
        <f>MIN(IF($AV443=0,0,
IF(Investment_Strategy="DIS",VLOOKUP(Investment_Strategy&amp;"_"&amp;Investment_Strategy_Sub1&amp;"_"&amp;$A443,'Investment Strategies'!$AZ:$BP,12,FALSE),
IF(AND(Investment_Strategy="Lifecycle",Investment_Strategy_Sub1="Non-Standard"),VLOOKUP(Investment_Strategy&amp;"_"&amp;Investment_Strategy_Sub2&amp;"_"&amp;$A443,'Investment Strategies'!$C:$P,9,FALSE),
IF(AND(Investment_Strategy="Lifecycle",Investment_Strategy_Sub1="Standard"),VLOOKUP(Investment_Strategy&amp;"_"&amp;Investment_Strategy_Sub2&amp;"_"&amp;$A443,'Investment Strategies'!$AJ:$AV,8,FALSE),
IF(AND(Investment_Strategy="Autopilot",Investment_Strategy_Sub1="Non-Standard"),VLOOKUP(Investment_Strategy&amp;"_"&amp;Investment_Strategy_Sub2&amp;"_"&amp;$A443,'Investment Strategies'!$T:$AF,8,FALSE),
IF(Investment_Strategy ="DIY",DIY_RateOfReturn_FuturePremiums,
"Error")))))),Max_InvReturn)</f>
        <v>0</v>
      </c>
      <c r="U443" s="62">
        <f>IF($AV443=0,0,
IF(Investment_Strategy="DIS",VLOOKUP(Investment_Strategy&amp;"_"&amp;Investment_Strategy_Sub1&amp;"_"&amp;$A443,'Investment Strategies'!$AZ:$BP,15,FALSE),
IF(AND(Investment_Strategy="Lifecycle",Investment_Strategy_Sub1="Non-Standard"),VLOOKUP(Investment_Strategy&amp;"_"&amp;Investment_Strategy_Sub2&amp;"_"&amp;$A443,'Investment Strategies'!$C:$P,12,FALSE),
IF(AND(Investment_Strategy="Lifecycle",Investment_Strategy_Sub1="Standard"),VLOOKUP(Investment_Strategy&amp;"_"&amp;Investment_Strategy_Sub2&amp;"_"&amp;$A443,'Investment Strategies'!$AJ:$AV,11,FALSE),
IF(AND(Investment_Strategy="Autopilot",Investment_Strategy_Sub1="Non-Standard"),VLOOKUP(Investment_Strategy&amp;"_"&amp;Investment_Strategy_Sub2&amp;"_"&amp;$A443,'Investment Strategies'!$T:$AF,11,FALSE),
IF(Investment_Strategy="DIY",DIY_GteeChrge_FuturePremiums,
"Error"))))))</f>
        <v>0</v>
      </c>
      <c r="V443" s="33">
        <f>IF(AV443=0,0,
IF(Investment_Strategy="DIS",VLOOKUP(Investment_Strategy&amp;"_"&amp;Investment_Strategy_Sub1&amp;"_"&amp;$A443,'Investment Strategies'!$AZ:$BP,17,FALSE),
IF(AND(Investment_Strategy="Lifecycle",Investment_Strategy_Sub1="Non-Standard"),VLOOKUP(Investment_Strategy&amp;"_"&amp;Investment_Strategy_Sub2&amp;"_"&amp;$A443,'Investment Strategies'!$C:$P,14,FALSE),
IF(AND(Investment_Strategy="Lifecycle",Investment_Strategy_Sub1="Standard"),VLOOKUP(Investment_Strategy&amp;"_"&amp;Investment_Strategy_Sub2&amp;"_"&amp;$A443,'Investment Strategies'!$AJ:$AV,13,FALSE),
IF(AND(Investment_Strategy="Autopilot",Investment_Strategy_Sub1="Non-Standard"),VLOOKUP(Investment_Strategy&amp;"_"&amp;Investment_Strategy_Sub2&amp;"_"&amp;$A443,'Investment Strategies'!$T:$AF,13,FALSE),
IF(Investment_Strategy="DIY",DIY_ExtManChrge_FuturePremiums,
"Error"))))))</f>
        <v>0</v>
      </c>
      <c r="W443" s="16">
        <f t="shared" si="267"/>
        <v>0</v>
      </c>
      <c r="X443" s="16">
        <f t="shared" si="243"/>
        <v>0</v>
      </c>
      <c r="Y443" s="16">
        <f t="shared" si="244"/>
        <v>0</v>
      </c>
      <c r="Z443" s="31">
        <f t="shared" si="245"/>
        <v>0.02</v>
      </c>
      <c r="AA443" s="16">
        <f t="shared" si="246"/>
        <v>0</v>
      </c>
      <c r="AB443" s="28">
        <f t="shared" si="268"/>
        <v>0</v>
      </c>
      <c r="AC443" s="28">
        <f>(SUM($AC$91:AC442)+SUM($X$91:X442)+X443)*T443*IF(D443=$A$91,SRP_finalmonthfactor,1)</f>
        <v>0</v>
      </c>
      <c r="AD443" s="16">
        <f t="shared" si="247"/>
        <v>0</v>
      </c>
      <c r="AE443" s="106"/>
      <c r="AF443" s="16">
        <f t="shared" si="256"/>
        <v>0</v>
      </c>
      <c r="AG443" s="16">
        <f t="shared" si="257"/>
        <v>0</v>
      </c>
      <c r="AH443" s="16">
        <f t="shared" si="258"/>
        <v>0</v>
      </c>
      <c r="AJ443" s="13">
        <f t="shared" si="271"/>
        <v>0</v>
      </c>
      <c r="AK443" s="13">
        <f t="shared" si="271"/>
        <v>0</v>
      </c>
      <c r="AL443" s="13">
        <f t="shared" si="271"/>
        <v>0</v>
      </c>
      <c r="AM443" s="13">
        <f t="shared" si="271"/>
        <v>0</v>
      </c>
      <c r="AN443" s="13">
        <f t="shared" si="271"/>
        <v>0</v>
      </c>
      <c r="AO443" s="13">
        <f t="shared" si="271"/>
        <v>1</v>
      </c>
      <c r="AP443" s="13">
        <f t="shared" si="271"/>
        <v>1</v>
      </c>
      <c r="AQ443" s="13">
        <f t="shared" si="271"/>
        <v>1</v>
      </c>
      <c r="AR443" s="13">
        <f t="shared" si="271"/>
        <v>0</v>
      </c>
      <c r="AS443" s="13">
        <f t="shared" si="271"/>
        <v>1</v>
      </c>
      <c r="AT443" s="13">
        <f t="shared" si="271"/>
        <v>1</v>
      </c>
      <c r="AU443" s="13">
        <f t="shared" si="271"/>
        <v>1</v>
      </c>
      <c r="AV443" s="13">
        <f t="shared" si="249"/>
        <v>0</v>
      </c>
      <c r="AW443" s="13">
        <f t="shared" si="250"/>
        <v>1</v>
      </c>
      <c r="AY443" s="17">
        <f t="shared" si="251"/>
        <v>353</v>
      </c>
      <c r="AZ443" s="28">
        <f t="shared" si="259"/>
        <v>0</v>
      </c>
      <c r="BA443" s="13">
        <f t="shared" si="252"/>
        <v>0</v>
      </c>
      <c r="BB443" s="13">
        <f t="shared" si="253"/>
        <v>0</v>
      </c>
      <c r="BC443" s="28">
        <f t="shared" si="260"/>
        <v>0</v>
      </c>
      <c r="BD443" s="28">
        <f t="shared" si="261"/>
        <v>0</v>
      </c>
      <c r="BF443" s="248">
        <f t="shared" si="262"/>
        <v>993869.29442638322</v>
      </c>
    </row>
    <row r="444" spans="1:58">
      <c r="A444" s="32">
        <f t="shared" si="263"/>
        <v>-269</v>
      </c>
      <c r="B444" s="32">
        <f t="shared" si="254"/>
        <v>82</v>
      </c>
      <c r="C444" s="32">
        <f t="shared" si="264"/>
        <v>30</v>
      </c>
      <c r="D444" s="32">
        <f t="shared" si="265"/>
        <v>354</v>
      </c>
      <c r="E444" s="74">
        <f>MIN(IF(AV444=0,0,
IF(Investment_Strategy="DIS",VLOOKUP(Investment_Strategy&amp;"_"&amp;Investment_Strategy_Sub1&amp;"_"&amp;$A444,'Investment Strategies'!$AZ:$BP,12,FALSE),
IF(AND(Investment_Strategy="Lifecycle",Investment_Strategy_Sub1="Non-Standard"),VLOOKUP(Investment_Strategy&amp;"_"&amp;Investment_Strategy_Sub2&amp;"_"&amp;$A444,'Investment Strategies'!$C:$P,9,FALSE),
IF(AND(Investment_Strategy="Lifecycle",Investment_Strategy_Sub1="Standard"),VLOOKUP(Investment_Strategy&amp;"_"&amp;Investment_Strategy_Sub2&amp;"_"&amp;$A444,'Investment Strategies'!$AJ:$AV,8,FALSE),
IF(AND(Investment_Strategy="Autopilot",Investment_Strategy_Sub1="Non-Standard"),VLOOKUP(Investment_Strategy&amp;"_"&amp;Investment_Strategy_Sub2&amp;"_"&amp;$A444,'Investment Strategies'!$T:$AF,8,FALSE),
IF(Investment_Strategy ="DIY",DIY_RateOfReturn_CurrentFunds,
"Error")))))),Max_InvReturn)</f>
        <v>0</v>
      </c>
      <c r="F444" s="62">
        <f>IF(AV444=0,0,
IF(Investment_Strategy="DIS",VLOOKUP(Investment_Strategy&amp;"_"&amp;Investment_Strategy_Sub1&amp;"_"&amp;$A444,'Investment Strategies'!$AZ:$BP,15,FALSE),
IF(AND(Investment_Strategy="Lifecycle",Investment_Strategy_Sub1="Non-Standard"),VLOOKUP(Investment_Strategy&amp;"_"&amp;Investment_Strategy_Sub2&amp;"_"&amp;$A444,'Investment Strategies'!$C:$P,12,FALSE),
IF(AND(Investment_Strategy="Lifecycle",Investment_Strategy_Sub1="Standard"),VLOOKUP(Investment_Strategy&amp;"_"&amp;Investment_Strategy_Sub2&amp;"_"&amp;$A444,'Investment Strategies'!$AJ:$AV,11,FALSE),
IF(AND(Investment_Strategy="Autopilot",Investment_Strategy_Sub1="Non-Standard"),VLOOKUP(Investment_Strategy&amp;"_"&amp;Investment_Strategy_Sub2&amp;"_"&amp;$A444,'Investment Strategies'!$T:$AF,11,FALSE),
IF(Investment_Strategy="DIY",DIY_GteeChrge_CurrentFunds,
"Error"))))))</f>
        <v>0</v>
      </c>
      <c r="G444" s="33">
        <f>IF(AV444=0,0,
IF(Investment_Strategy="DIS",VLOOKUP(Investment_Strategy&amp;"_"&amp;Investment_Strategy_Sub1&amp;"_"&amp;$A444,'Investment Strategies'!$AZ:$BP,17,FALSE),
IF(AND(Investment_Strategy="Lifecycle",Investment_Strategy_Sub1="Non-Standard"),VLOOKUP(Investment_Strategy&amp;"_"&amp;Investment_Strategy_Sub2&amp;"_"&amp;$A444,'Investment Strategies'!$C:$P,14,FALSE),
IF(AND(Investment_Strategy="Lifecycle",Investment_Strategy_Sub1="Standard"),VLOOKUP(Investment_Strategy&amp;"_"&amp;Investment_Strategy_Sub2&amp;"_"&amp;$A444,'Investment Strategies'!$AJ:$AV,13,FALSE),
IF(AND(Investment_Strategy="Autopilot",Investment_Strategy_Sub1="Non-Standard"),VLOOKUP(Investment_Strategy&amp;"_"&amp;Investment_Strategy_Sub2&amp;"_"&amp;$A444,'Investment Strategies'!$T:$AF,13,FALSE),
IF(Investment_Strategy="DIY",DIY_ExtManChrge_CurrentFunds,
"Error"))))))</f>
        <v>0</v>
      </c>
      <c r="H444" s="16">
        <f t="shared" si="255"/>
        <v>0</v>
      </c>
      <c r="I444" s="16">
        <f t="shared" si="240"/>
        <v>0</v>
      </c>
      <c r="J444" s="16">
        <f t="shared" si="241"/>
        <v>0</v>
      </c>
      <c r="K444" s="16">
        <f>(Opening_Fund_Value+SUM(K$91:K443))*E444*IF(D444=$A$91,SRP_finalmonthfactor,1)</f>
        <v>0</v>
      </c>
      <c r="L444" s="74">
        <f>MIN(IF($AV444=0,0,
IF(Investment_Strategy="DIS",VLOOKUP(Investment_Strategy&amp;"_"&amp;Investment_Strategy_Sub1&amp;"_"&amp;$A444,'Investment Strategies'!$AZ:$BP,12,FALSE),
IF(AND(Investment_Strategy="Lifecycle",Investment_Strategy_Sub1="Non-Standard"),VLOOKUP(Investment_Strategy&amp;"_"&amp;Investment_Strategy_Sub2&amp;"_"&amp;$A444,'Investment Strategies'!$C:$P,9,FALSE),
IF(AND(Investment_Strategy="Lifecycle",Investment_Strategy_Sub1="Standard"),VLOOKUP(Investment_Strategy&amp;"_"&amp;Investment_Strategy_Sub2&amp;"_"&amp;$A444,'Investment Strategies'!$AJ:$AV,8,FALSE),
IF(AND(Investment_Strategy="Autopilot",Investment_Strategy_Sub1="Non-Standard"),VLOOKUP(Investment_Strategy&amp;"_"&amp;Investment_Strategy_Sub2&amp;"_"&amp;$A444,'Investment Strategies'!$T:$AF,8,FALSE),
IF(Investment_Strategy ="DIY",DIY_RateofReturn_SP,
"Error")))))),Max_InvReturn)</f>
        <v>0</v>
      </c>
      <c r="M444" s="62">
        <f>IF($AV444=0,0,
IF(Investment_Strategy="DIS",VLOOKUP(Investment_Strategy&amp;"_"&amp;Investment_Strategy_Sub1&amp;"_"&amp;$A444,'Investment Strategies'!$AZ:$BP,15,FALSE),
IF(AND(Investment_Strategy="Lifecycle",Investment_Strategy_Sub1="Non-Standard"),VLOOKUP(Investment_Strategy&amp;"_"&amp;Investment_Strategy_Sub2&amp;"_"&amp;$A444,'Investment Strategies'!$C:$P,12,FALSE),
IF(AND(Investment_Strategy="Lifecycle",Investment_Strategy_Sub1="Standard"),VLOOKUP(Investment_Strategy&amp;"_"&amp;Investment_Strategy_Sub2&amp;"_"&amp;$A444,'Investment Strategies'!$AJ:$AV,11,FALSE),
IF(AND(Investment_Strategy="Autopilot",Investment_Strategy_Sub1="Non-Standard"),VLOOKUP(Investment_Strategy&amp;"_"&amp;Investment_Strategy_Sub2&amp;"_"&amp;$A444,'Investment Strategies'!$T:$AF,11,FALSE),
IF(Investment_Strategy="DIY",DIY_GteeChrge_SP,
"Error"))))))</f>
        <v>0</v>
      </c>
      <c r="N444" s="33">
        <f>IF($AV444=0,0,
IF(Investment_Strategy="DIS",VLOOKUP(Investment_Strategy&amp;"_"&amp;Investment_Strategy_Sub1&amp;"_"&amp;$A444,'Investment Strategies'!$AZ:$BP,17,FALSE),
IF(AND(Investment_Strategy="Lifecycle",Investment_Strategy_Sub1="Non-Standard"),VLOOKUP(Investment_Strategy&amp;"_"&amp;Investment_Strategy_Sub2&amp;"_"&amp;$A444,'Investment Strategies'!$C:$P,14,FALSE),
IF(AND(Investment_Strategy="Lifecycle",Investment_Strategy_Sub1="Standard"),VLOOKUP(Investment_Strategy&amp;"_"&amp;Investment_Strategy_Sub2&amp;"_"&amp;$A444,'Investment Strategies'!$AJ:$AV,13,FALSE),
IF(AND(Investment_Strategy="Autopilot",Investment_Strategy_Sub1="Non-Standard"),VLOOKUP(Investment_Strategy&amp;"_"&amp;Investment_Strategy_Sub2&amp;"_"&amp;$A444,'Investment Strategies'!$T:$AF,13,FALSE),
IF(Investment_Strategy="DIY",DIY_ExtManChrge_SP,
"Error"))))))</f>
        <v>0</v>
      </c>
      <c r="O444" s="16">
        <f t="shared" si="266"/>
        <v>0</v>
      </c>
      <c r="Q444" s="16">
        <f t="shared" si="242"/>
        <v>0</v>
      </c>
      <c r="R444" s="16">
        <f t="shared" si="239"/>
        <v>0</v>
      </c>
      <c r="S444" s="16">
        <f>(SRP_SP+SUM(S$91:S443))*L444*IF(D444=$A$91,SRP_finalmonthfactor,1)</f>
        <v>0</v>
      </c>
      <c r="T444" s="74">
        <f>MIN(IF($AV444=0,0,
IF(Investment_Strategy="DIS",VLOOKUP(Investment_Strategy&amp;"_"&amp;Investment_Strategy_Sub1&amp;"_"&amp;$A444,'Investment Strategies'!$AZ:$BP,12,FALSE),
IF(AND(Investment_Strategy="Lifecycle",Investment_Strategy_Sub1="Non-Standard"),VLOOKUP(Investment_Strategy&amp;"_"&amp;Investment_Strategy_Sub2&amp;"_"&amp;$A444,'Investment Strategies'!$C:$P,9,FALSE),
IF(AND(Investment_Strategy="Lifecycle",Investment_Strategy_Sub1="Standard"),VLOOKUP(Investment_Strategy&amp;"_"&amp;Investment_Strategy_Sub2&amp;"_"&amp;$A444,'Investment Strategies'!$AJ:$AV,8,FALSE),
IF(AND(Investment_Strategy="Autopilot",Investment_Strategy_Sub1="Non-Standard"),VLOOKUP(Investment_Strategy&amp;"_"&amp;Investment_Strategy_Sub2&amp;"_"&amp;$A444,'Investment Strategies'!$T:$AF,8,FALSE),
IF(Investment_Strategy ="DIY",DIY_RateOfReturn_FuturePremiums,
"Error")))))),Max_InvReturn)</f>
        <v>0</v>
      </c>
      <c r="U444" s="62">
        <f>IF($AV444=0,0,
IF(Investment_Strategy="DIS",VLOOKUP(Investment_Strategy&amp;"_"&amp;Investment_Strategy_Sub1&amp;"_"&amp;$A444,'Investment Strategies'!$AZ:$BP,15,FALSE),
IF(AND(Investment_Strategy="Lifecycle",Investment_Strategy_Sub1="Non-Standard"),VLOOKUP(Investment_Strategy&amp;"_"&amp;Investment_Strategy_Sub2&amp;"_"&amp;$A444,'Investment Strategies'!$C:$P,12,FALSE),
IF(AND(Investment_Strategy="Lifecycle",Investment_Strategy_Sub1="Standard"),VLOOKUP(Investment_Strategy&amp;"_"&amp;Investment_Strategy_Sub2&amp;"_"&amp;$A444,'Investment Strategies'!$AJ:$AV,11,FALSE),
IF(AND(Investment_Strategy="Autopilot",Investment_Strategy_Sub1="Non-Standard"),VLOOKUP(Investment_Strategy&amp;"_"&amp;Investment_Strategy_Sub2&amp;"_"&amp;$A444,'Investment Strategies'!$T:$AF,11,FALSE),
IF(Investment_Strategy="DIY",DIY_GteeChrge_FuturePremiums,
"Error"))))))</f>
        <v>0</v>
      </c>
      <c r="V444" s="33">
        <f>IF(AV444=0,0,
IF(Investment_Strategy="DIS",VLOOKUP(Investment_Strategy&amp;"_"&amp;Investment_Strategy_Sub1&amp;"_"&amp;$A444,'Investment Strategies'!$AZ:$BP,17,FALSE),
IF(AND(Investment_Strategy="Lifecycle",Investment_Strategy_Sub1="Non-Standard"),VLOOKUP(Investment_Strategy&amp;"_"&amp;Investment_Strategy_Sub2&amp;"_"&amp;$A444,'Investment Strategies'!$C:$P,14,FALSE),
IF(AND(Investment_Strategy="Lifecycle",Investment_Strategy_Sub1="Standard"),VLOOKUP(Investment_Strategy&amp;"_"&amp;Investment_Strategy_Sub2&amp;"_"&amp;$A444,'Investment Strategies'!$AJ:$AV,13,FALSE),
IF(AND(Investment_Strategy="Autopilot",Investment_Strategy_Sub1="Non-Standard"),VLOOKUP(Investment_Strategy&amp;"_"&amp;Investment_Strategy_Sub2&amp;"_"&amp;$A444,'Investment Strategies'!$T:$AF,13,FALSE),
IF(Investment_Strategy="DIY",DIY_ExtManChrge_FuturePremiums,
"Error"))))))</f>
        <v>0</v>
      </c>
      <c r="W444" s="16">
        <f t="shared" si="267"/>
        <v>0</v>
      </c>
      <c r="X444" s="16">
        <f t="shared" si="243"/>
        <v>0</v>
      </c>
      <c r="Y444" s="16">
        <f t="shared" si="244"/>
        <v>0</v>
      </c>
      <c r="Z444" s="31">
        <f t="shared" si="245"/>
        <v>0.02</v>
      </c>
      <c r="AA444" s="16">
        <f t="shared" si="246"/>
        <v>0</v>
      </c>
      <c r="AB444" s="28">
        <f t="shared" si="268"/>
        <v>0</v>
      </c>
      <c r="AC444" s="28">
        <f>(SUM($AC$91:AC443)+SUM($X$91:X443)+X444)*T444*IF(D444=$A$91,SRP_finalmonthfactor,1)</f>
        <v>0</v>
      </c>
      <c r="AD444" s="16">
        <f t="shared" si="247"/>
        <v>0</v>
      </c>
      <c r="AE444" s="106"/>
      <c r="AF444" s="16">
        <f t="shared" si="256"/>
        <v>0</v>
      </c>
      <c r="AG444" s="16">
        <f t="shared" si="257"/>
        <v>0</v>
      </c>
      <c r="AH444" s="16">
        <f t="shared" si="258"/>
        <v>0</v>
      </c>
      <c r="AJ444" s="13">
        <f t="shared" si="271"/>
        <v>0</v>
      </c>
      <c r="AK444" s="13">
        <f t="shared" si="271"/>
        <v>0</v>
      </c>
      <c r="AL444" s="13">
        <f t="shared" si="271"/>
        <v>0</v>
      </c>
      <c r="AM444" s="13">
        <f t="shared" si="271"/>
        <v>0</v>
      </c>
      <c r="AN444" s="13">
        <f t="shared" si="271"/>
        <v>0</v>
      </c>
      <c r="AO444" s="13">
        <f t="shared" si="271"/>
        <v>1</v>
      </c>
      <c r="AP444" s="13">
        <f t="shared" si="271"/>
        <v>1</v>
      </c>
      <c r="AQ444" s="13">
        <f t="shared" si="271"/>
        <v>1</v>
      </c>
      <c r="AR444" s="13">
        <f t="shared" si="271"/>
        <v>0</v>
      </c>
      <c r="AS444" s="13">
        <f t="shared" si="271"/>
        <v>1</v>
      </c>
      <c r="AT444" s="13">
        <f t="shared" si="271"/>
        <v>1</v>
      </c>
      <c r="AU444" s="13">
        <f t="shared" si="271"/>
        <v>1</v>
      </c>
      <c r="AV444" s="13">
        <f t="shared" si="249"/>
        <v>0</v>
      </c>
      <c r="AW444" s="13">
        <f t="shared" si="250"/>
        <v>1</v>
      </c>
      <c r="AY444" s="17">
        <f t="shared" si="251"/>
        <v>354</v>
      </c>
      <c r="AZ444" s="28">
        <f t="shared" si="259"/>
        <v>0</v>
      </c>
      <c r="BA444" s="13">
        <f t="shared" si="252"/>
        <v>0</v>
      </c>
      <c r="BB444" s="13">
        <f t="shared" si="253"/>
        <v>0</v>
      </c>
      <c r="BC444" s="28">
        <f t="shared" si="260"/>
        <v>0</v>
      </c>
      <c r="BD444" s="28">
        <f t="shared" si="261"/>
        <v>0</v>
      </c>
      <c r="BF444" s="248">
        <f t="shared" si="262"/>
        <v>993869.29442638322</v>
      </c>
    </row>
    <row r="445" spans="1:58">
      <c r="A445" s="32">
        <f t="shared" si="263"/>
        <v>-270</v>
      </c>
      <c r="B445" s="32">
        <f t="shared" si="254"/>
        <v>82</v>
      </c>
      <c r="C445" s="32">
        <f t="shared" si="264"/>
        <v>30</v>
      </c>
      <c r="D445" s="32">
        <f t="shared" si="265"/>
        <v>355</v>
      </c>
      <c r="E445" s="74">
        <f>MIN(IF(AV445=0,0,
IF(Investment_Strategy="DIS",VLOOKUP(Investment_Strategy&amp;"_"&amp;Investment_Strategy_Sub1&amp;"_"&amp;$A445,'Investment Strategies'!$AZ:$BP,12,FALSE),
IF(AND(Investment_Strategy="Lifecycle",Investment_Strategy_Sub1="Non-Standard"),VLOOKUP(Investment_Strategy&amp;"_"&amp;Investment_Strategy_Sub2&amp;"_"&amp;$A445,'Investment Strategies'!$C:$P,9,FALSE),
IF(AND(Investment_Strategy="Lifecycle",Investment_Strategy_Sub1="Standard"),VLOOKUP(Investment_Strategy&amp;"_"&amp;Investment_Strategy_Sub2&amp;"_"&amp;$A445,'Investment Strategies'!$AJ:$AV,8,FALSE),
IF(AND(Investment_Strategy="Autopilot",Investment_Strategy_Sub1="Non-Standard"),VLOOKUP(Investment_Strategy&amp;"_"&amp;Investment_Strategy_Sub2&amp;"_"&amp;$A445,'Investment Strategies'!$T:$AF,8,FALSE),
IF(Investment_Strategy ="DIY",DIY_RateOfReturn_CurrentFunds,
"Error")))))),Max_InvReturn)</f>
        <v>0</v>
      </c>
      <c r="F445" s="62">
        <f>IF(AV445=0,0,
IF(Investment_Strategy="DIS",VLOOKUP(Investment_Strategy&amp;"_"&amp;Investment_Strategy_Sub1&amp;"_"&amp;$A445,'Investment Strategies'!$AZ:$BP,15,FALSE),
IF(AND(Investment_Strategy="Lifecycle",Investment_Strategy_Sub1="Non-Standard"),VLOOKUP(Investment_Strategy&amp;"_"&amp;Investment_Strategy_Sub2&amp;"_"&amp;$A445,'Investment Strategies'!$C:$P,12,FALSE),
IF(AND(Investment_Strategy="Lifecycle",Investment_Strategy_Sub1="Standard"),VLOOKUP(Investment_Strategy&amp;"_"&amp;Investment_Strategy_Sub2&amp;"_"&amp;$A445,'Investment Strategies'!$AJ:$AV,11,FALSE),
IF(AND(Investment_Strategy="Autopilot",Investment_Strategy_Sub1="Non-Standard"),VLOOKUP(Investment_Strategy&amp;"_"&amp;Investment_Strategy_Sub2&amp;"_"&amp;$A445,'Investment Strategies'!$T:$AF,11,FALSE),
IF(Investment_Strategy="DIY",DIY_GteeChrge_CurrentFunds,
"Error"))))))</f>
        <v>0</v>
      </c>
      <c r="G445" s="33">
        <f>IF(AV445=0,0,
IF(Investment_Strategy="DIS",VLOOKUP(Investment_Strategy&amp;"_"&amp;Investment_Strategy_Sub1&amp;"_"&amp;$A445,'Investment Strategies'!$AZ:$BP,17,FALSE),
IF(AND(Investment_Strategy="Lifecycle",Investment_Strategy_Sub1="Non-Standard"),VLOOKUP(Investment_Strategy&amp;"_"&amp;Investment_Strategy_Sub2&amp;"_"&amp;$A445,'Investment Strategies'!$C:$P,14,FALSE),
IF(AND(Investment_Strategy="Lifecycle",Investment_Strategy_Sub1="Standard"),VLOOKUP(Investment_Strategy&amp;"_"&amp;Investment_Strategy_Sub2&amp;"_"&amp;$A445,'Investment Strategies'!$AJ:$AV,13,FALSE),
IF(AND(Investment_Strategy="Autopilot",Investment_Strategy_Sub1="Non-Standard"),VLOOKUP(Investment_Strategy&amp;"_"&amp;Investment_Strategy_Sub2&amp;"_"&amp;$A445,'Investment Strategies'!$T:$AF,13,FALSE),
IF(Investment_Strategy="DIY",DIY_ExtManChrge_CurrentFunds,
"Error"))))))</f>
        <v>0</v>
      </c>
      <c r="H445" s="16">
        <f t="shared" si="255"/>
        <v>0</v>
      </c>
      <c r="I445" s="16">
        <f t="shared" si="240"/>
        <v>0</v>
      </c>
      <c r="J445" s="16">
        <f t="shared" si="241"/>
        <v>0</v>
      </c>
      <c r="K445" s="16">
        <f>(Opening_Fund_Value+SUM(K$91:K444))*E445*IF(D445=$A$91,SRP_finalmonthfactor,1)</f>
        <v>0</v>
      </c>
      <c r="L445" s="74">
        <f>MIN(IF($AV445=0,0,
IF(Investment_Strategy="DIS",VLOOKUP(Investment_Strategy&amp;"_"&amp;Investment_Strategy_Sub1&amp;"_"&amp;$A445,'Investment Strategies'!$AZ:$BP,12,FALSE),
IF(AND(Investment_Strategy="Lifecycle",Investment_Strategy_Sub1="Non-Standard"),VLOOKUP(Investment_Strategy&amp;"_"&amp;Investment_Strategy_Sub2&amp;"_"&amp;$A445,'Investment Strategies'!$C:$P,9,FALSE),
IF(AND(Investment_Strategy="Lifecycle",Investment_Strategy_Sub1="Standard"),VLOOKUP(Investment_Strategy&amp;"_"&amp;Investment_Strategy_Sub2&amp;"_"&amp;$A445,'Investment Strategies'!$AJ:$AV,8,FALSE),
IF(AND(Investment_Strategy="Autopilot",Investment_Strategy_Sub1="Non-Standard"),VLOOKUP(Investment_Strategy&amp;"_"&amp;Investment_Strategy_Sub2&amp;"_"&amp;$A445,'Investment Strategies'!$T:$AF,8,FALSE),
IF(Investment_Strategy ="DIY",DIY_RateofReturn_SP,
"Error")))))),Max_InvReturn)</f>
        <v>0</v>
      </c>
      <c r="M445" s="62">
        <f>IF($AV445=0,0,
IF(Investment_Strategy="DIS",VLOOKUP(Investment_Strategy&amp;"_"&amp;Investment_Strategy_Sub1&amp;"_"&amp;$A445,'Investment Strategies'!$AZ:$BP,15,FALSE),
IF(AND(Investment_Strategy="Lifecycle",Investment_Strategy_Sub1="Non-Standard"),VLOOKUP(Investment_Strategy&amp;"_"&amp;Investment_Strategy_Sub2&amp;"_"&amp;$A445,'Investment Strategies'!$C:$P,12,FALSE),
IF(AND(Investment_Strategy="Lifecycle",Investment_Strategy_Sub1="Standard"),VLOOKUP(Investment_Strategy&amp;"_"&amp;Investment_Strategy_Sub2&amp;"_"&amp;$A445,'Investment Strategies'!$AJ:$AV,11,FALSE),
IF(AND(Investment_Strategy="Autopilot",Investment_Strategy_Sub1="Non-Standard"),VLOOKUP(Investment_Strategy&amp;"_"&amp;Investment_Strategy_Sub2&amp;"_"&amp;$A445,'Investment Strategies'!$T:$AF,11,FALSE),
IF(Investment_Strategy="DIY",DIY_GteeChrge_SP,
"Error"))))))</f>
        <v>0</v>
      </c>
      <c r="N445" s="33">
        <f>IF($AV445=0,0,
IF(Investment_Strategy="DIS",VLOOKUP(Investment_Strategy&amp;"_"&amp;Investment_Strategy_Sub1&amp;"_"&amp;$A445,'Investment Strategies'!$AZ:$BP,17,FALSE),
IF(AND(Investment_Strategy="Lifecycle",Investment_Strategy_Sub1="Non-Standard"),VLOOKUP(Investment_Strategy&amp;"_"&amp;Investment_Strategy_Sub2&amp;"_"&amp;$A445,'Investment Strategies'!$C:$P,14,FALSE),
IF(AND(Investment_Strategy="Lifecycle",Investment_Strategy_Sub1="Standard"),VLOOKUP(Investment_Strategy&amp;"_"&amp;Investment_Strategy_Sub2&amp;"_"&amp;$A445,'Investment Strategies'!$AJ:$AV,13,FALSE),
IF(AND(Investment_Strategy="Autopilot",Investment_Strategy_Sub1="Non-Standard"),VLOOKUP(Investment_Strategy&amp;"_"&amp;Investment_Strategy_Sub2&amp;"_"&amp;$A445,'Investment Strategies'!$T:$AF,13,FALSE),
IF(Investment_Strategy="DIY",DIY_ExtManChrge_SP,
"Error"))))))</f>
        <v>0</v>
      </c>
      <c r="O445" s="16">
        <f t="shared" si="266"/>
        <v>0</v>
      </c>
      <c r="Q445" s="16">
        <f t="shared" si="242"/>
        <v>0</v>
      </c>
      <c r="R445" s="16">
        <f t="shared" si="239"/>
        <v>0</v>
      </c>
      <c r="S445" s="16">
        <f>(SRP_SP+SUM(S$91:S444))*L445*IF(D445=$A$91,SRP_finalmonthfactor,1)</f>
        <v>0</v>
      </c>
      <c r="T445" s="74">
        <f>MIN(IF($AV445=0,0,
IF(Investment_Strategy="DIS",VLOOKUP(Investment_Strategy&amp;"_"&amp;Investment_Strategy_Sub1&amp;"_"&amp;$A445,'Investment Strategies'!$AZ:$BP,12,FALSE),
IF(AND(Investment_Strategy="Lifecycle",Investment_Strategy_Sub1="Non-Standard"),VLOOKUP(Investment_Strategy&amp;"_"&amp;Investment_Strategy_Sub2&amp;"_"&amp;$A445,'Investment Strategies'!$C:$P,9,FALSE),
IF(AND(Investment_Strategy="Lifecycle",Investment_Strategy_Sub1="Standard"),VLOOKUP(Investment_Strategy&amp;"_"&amp;Investment_Strategy_Sub2&amp;"_"&amp;$A445,'Investment Strategies'!$AJ:$AV,8,FALSE),
IF(AND(Investment_Strategy="Autopilot",Investment_Strategy_Sub1="Non-Standard"),VLOOKUP(Investment_Strategy&amp;"_"&amp;Investment_Strategy_Sub2&amp;"_"&amp;$A445,'Investment Strategies'!$T:$AF,8,FALSE),
IF(Investment_Strategy ="DIY",DIY_RateOfReturn_FuturePremiums,
"Error")))))),Max_InvReturn)</f>
        <v>0</v>
      </c>
      <c r="U445" s="62">
        <f>IF($AV445=0,0,
IF(Investment_Strategy="DIS",VLOOKUP(Investment_Strategy&amp;"_"&amp;Investment_Strategy_Sub1&amp;"_"&amp;$A445,'Investment Strategies'!$AZ:$BP,15,FALSE),
IF(AND(Investment_Strategy="Lifecycle",Investment_Strategy_Sub1="Non-Standard"),VLOOKUP(Investment_Strategy&amp;"_"&amp;Investment_Strategy_Sub2&amp;"_"&amp;$A445,'Investment Strategies'!$C:$P,12,FALSE),
IF(AND(Investment_Strategy="Lifecycle",Investment_Strategy_Sub1="Standard"),VLOOKUP(Investment_Strategy&amp;"_"&amp;Investment_Strategy_Sub2&amp;"_"&amp;$A445,'Investment Strategies'!$AJ:$AV,11,FALSE),
IF(AND(Investment_Strategy="Autopilot",Investment_Strategy_Sub1="Non-Standard"),VLOOKUP(Investment_Strategy&amp;"_"&amp;Investment_Strategy_Sub2&amp;"_"&amp;$A445,'Investment Strategies'!$T:$AF,11,FALSE),
IF(Investment_Strategy="DIY",DIY_GteeChrge_FuturePremiums,
"Error"))))))</f>
        <v>0</v>
      </c>
      <c r="V445" s="33">
        <f>IF(AV445=0,0,
IF(Investment_Strategy="DIS",VLOOKUP(Investment_Strategy&amp;"_"&amp;Investment_Strategy_Sub1&amp;"_"&amp;$A445,'Investment Strategies'!$AZ:$BP,17,FALSE),
IF(AND(Investment_Strategy="Lifecycle",Investment_Strategy_Sub1="Non-Standard"),VLOOKUP(Investment_Strategy&amp;"_"&amp;Investment_Strategy_Sub2&amp;"_"&amp;$A445,'Investment Strategies'!$C:$P,14,FALSE),
IF(AND(Investment_Strategy="Lifecycle",Investment_Strategy_Sub1="Standard"),VLOOKUP(Investment_Strategy&amp;"_"&amp;Investment_Strategy_Sub2&amp;"_"&amp;$A445,'Investment Strategies'!$AJ:$AV,13,FALSE),
IF(AND(Investment_Strategy="Autopilot",Investment_Strategy_Sub1="Non-Standard"),VLOOKUP(Investment_Strategy&amp;"_"&amp;Investment_Strategy_Sub2&amp;"_"&amp;$A445,'Investment Strategies'!$T:$AF,13,FALSE),
IF(Investment_Strategy="DIY",DIY_ExtManChrge_FuturePremiums,
"Error"))))))</f>
        <v>0</v>
      </c>
      <c r="W445" s="16">
        <f t="shared" si="267"/>
        <v>0</v>
      </c>
      <c r="X445" s="16">
        <f t="shared" si="243"/>
        <v>0</v>
      </c>
      <c r="Y445" s="16">
        <f t="shared" si="244"/>
        <v>0</v>
      </c>
      <c r="Z445" s="31">
        <f t="shared" si="245"/>
        <v>0.02</v>
      </c>
      <c r="AA445" s="16">
        <f t="shared" si="246"/>
        <v>0</v>
      </c>
      <c r="AB445" s="28">
        <f t="shared" si="268"/>
        <v>0</v>
      </c>
      <c r="AC445" s="28">
        <f>(SUM($AC$91:AC444)+SUM($X$91:X444)+X445)*T445*IF(D445=$A$91,SRP_finalmonthfactor,1)</f>
        <v>0</v>
      </c>
      <c r="AD445" s="16">
        <f t="shared" si="247"/>
        <v>0</v>
      </c>
      <c r="AE445" s="106"/>
      <c r="AF445" s="16">
        <f t="shared" si="256"/>
        <v>0</v>
      </c>
      <c r="AG445" s="16">
        <f t="shared" si="257"/>
        <v>0</v>
      </c>
      <c r="AH445" s="16">
        <f t="shared" si="258"/>
        <v>0</v>
      </c>
      <c r="AJ445" s="13">
        <f t="shared" si="271"/>
        <v>0</v>
      </c>
      <c r="AK445" s="13">
        <f t="shared" si="271"/>
        <v>0</v>
      </c>
      <c r="AL445" s="13">
        <f t="shared" si="271"/>
        <v>0</v>
      </c>
      <c r="AM445" s="13">
        <f t="shared" si="271"/>
        <v>0</v>
      </c>
      <c r="AN445" s="13">
        <f t="shared" si="271"/>
        <v>0</v>
      </c>
      <c r="AO445" s="13">
        <f t="shared" si="271"/>
        <v>1</v>
      </c>
      <c r="AP445" s="13">
        <f t="shared" si="271"/>
        <v>1</v>
      </c>
      <c r="AQ445" s="13">
        <f t="shared" si="271"/>
        <v>1</v>
      </c>
      <c r="AR445" s="13">
        <f t="shared" si="271"/>
        <v>0</v>
      </c>
      <c r="AS445" s="13">
        <f t="shared" si="271"/>
        <v>1</v>
      </c>
      <c r="AT445" s="13">
        <f t="shared" si="271"/>
        <v>1</v>
      </c>
      <c r="AU445" s="13">
        <f t="shared" si="271"/>
        <v>1</v>
      </c>
      <c r="AV445" s="13">
        <f t="shared" si="249"/>
        <v>0</v>
      </c>
      <c r="AW445" s="13">
        <f t="shared" si="250"/>
        <v>1</v>
      </c>
      <c r="AY445" s="17">
        <f t="shared" si="251"/>
        <v>355</v>
      </c>
      <c r="AZ445" s="28">
        <f t="shared" si="259"/>
        <v>0</v>
      </c>
      <c r="BA445" s="13">
        <f t="shared" si="252"/>
        <v>0</v>
      </c>
      <c r="BB445" s="13">
        <f t="shared" si="253"/>
        <v>0</v>
      </c>
      <c r="BC445" s="28">
        <f t="shared" si="260"/>
        <v>0</v>
      </c>
      <c r="BD445" s="28">
        <f t="shared" si="261"/>
        <v>0</v>
      </c>
      <c r="BF445" s="248">
        <f t="shared" si="262"/>
        <v>993869.29442638322</v>
      </c>
    </row>
    <row r="446" spans="1:58">
      <c r="A446" s="32">
        <f t="shared" si="263"/>
        <v>-271</v>
      </c>
      <c r="B446" s="32">
        <f t="shared" si="254"/>
        <v>82</v>
      </c>
      <c r="C446" s="32">
        <f t="shared" si="264"/>
        <v>30</v>
      </c>
      <c r="D446" s="32">
        <f t="shared" si="265"/>
        <v>356</v>
      </c>
      <c r="E446" s="74">
        <f>MIN(IF(AV446=0,0,
IF(Investment_Strategy="DIS",VLOOKUP(Investment_Strategy&amp;"_"&amp;Investment_Strategy_Sub1&amp;"_"&amp;$A446,'Investment Strategies'!$AZ:$BP,12,FALSE),
IF(AND(Investment_Strategy="Lifecycle",Investment_Strategy_Sub1="Non-Standard"),VLOOKUP(Investment_Strategy&amp;"_"&amp;Investment_Strategy_Sub2&amp;"_"&amp;$A446,'Investment Strategies'!$C:$P,9,FALSE),
IF(AND(Investment_Strategy="Lifecycle",Investment_Strategy_Sub1="Standard"),VLOOKUP(Investment_Strategy&amp;"_"&amp;Investment_Strategy_Sub2&amp;"_"&amp;$A446,'Investment Strategies'!$AJ:$AV,8,FALSE),
IF(AND(Investment_Strategy="Autopilot",Investment_Strategy_Sub1="Non-Standard"),VLOOKUP(Investment_Strategy&amp;"_"&amp;Investment_Strategy_Sub2&amp;"_"&amp;$A446,'Investment Strategies'!$T:$AF,8,FALSE),
IF(Investment_Strategy ="DIY",DIY_RateOfReturn_CurrentFunds,
"Error")))))),Max_InvReturn)</f>
        <v>0</v>
      </c>
      <c r="F446" s="62">
        <f>IF(AV446=0,0,
IF(Investment_Strategy="DIS",VLOOKUP(Investment_Strategy&amp;"_"&amp;Investment_Strategy_Sub1&amp;"_"&amp;$A446,'Investment Strategies'!$AZ:$BP,15,FALSE),
IF(AND(Investment_Strategy="Lifecycle",Investment_Strategy_Sub1="Non-Standard"),VLOOKUP(Investment_Strategy&amp;"_"&amp;Investment_Strategy_Sub2&amp;"_"&amp;$A446,'Investment Strategies'!$C:$P,12,FALSE),
IF(AND(Investment_Strategy="Lifecycle",Investment_Strategy_Sub1="Standard"),VLOOKUP(Investment_Strategy&amp;"_"&amp;Investment_Strategy_Sub2&amp;"_"&amp;$A446,'Investment Strategies'!$AJ:$AV,11,FALSE),
IF(AND(Investment_Strategy="Autopilot",Investment_Strategy_Sub1="Non-Standard"),VLOOKUP(Investment_Strategy&amp;"_"&amp;Investment_Strategy_Sub2&amp;"_"&amp;$A446,'Investment Strategies'!$T:$AF,11,FALSE),
IF(Investment_Strategy="DIY",DIY_GteeChrge_CurrentFunds,
"Error"))))))</f>
        <v>0</v>
      </c>
      <c r="G446" s="33">
        <f>IF(AV446=0,0,
IF(Investment_Strategy="DIS",VLOOKUP(Investment_Strategy&amp;"_"&amp;Investment_Strategy_Sub1&amp;"_"&amp;$A446,'Investment Strategies'!$AZ:$BP,17,FALSE),
IF(AND(Investment_Strategy="Lifecycle",Investment_Strategy_Sub1="Non-Standard"),VLOOKUP(Investment_Strategy&amp;"_"&amp;Investment_Strategy_Sub2&amp;"_"&amp;$A446,'Investment Strategies'!$C:$P,14,FALSE),
IF(AND(Investment_Strategy="Lifecycle",Investment_Strategy_Sub1="Standard"),VLOOKUP(Investment_Strategy&amp;"_"&amp;Investment_Strategy_Sub2&amp;"_"&amp;$A446,'Investment Strategies'!$AJ:$AV,13,FALSE),
IF(AND(Investment_Strategy="Autopilot",Investment_Strategy_Sub1="Non-Standard"),VLOOKUP(Investment_Strategy&amp;"_"&amp;Investment_Strategy_Sub2&amp;"_"&amp;$A446,'Investment Strategies'!$T:$AF,13,FALSE),
IF(Investment_Strategy="DIY",DIY_ExtManChrge_CurrentFunds,
"Error"))))))</f>
        <v>0</v>
      </c>
      <c r="H446" s="16">
        <f t="shared" si="255"/>
        <v>0</v>
      </c>
      <c r="I446" s="16">
        <f t="shared" si="240"/>
        <v>0</v>
      </c>
      <c r="J446" s="16">
        <f t="shared" si="241"/>
        <v>0</v>
      </c>
      <c r="K446" s="16">
        <f>(Opening_Fund_Value+SUM(K$91:K445))*E446*IF(D446=$A$91,SRP_finalmonthfactor,1)</f>
        <v>0</v>
      </c>
      <c r="L446" s="74">
        <f>MIN(IF($AV446=0,0,
IF(Investment_Strategy="DIS",VLOOKUP(Investment_Strategy&amp;"_"&amp;Investment_Strategy_Sub1&amp;"_"&amp;$A446,'Investment Strategies'!$AZ:$BP,12,FALSE),
IF(AND(Investment_Strategy="Lifecycle",Investment_Strategy_Sub1="Non-Standard"),VLOOKUP(Investment_Strategy&amp;"_"&amp;Investment_Strategy_Sub2&amp;"_"&amp;$A446,'Investment Strategies'!$C:$P,9,FALSE),
IF(AND(Investment_Strategy="Lifecycle",Investment_Strategy_Sub1="Standard"),VLOOKUP(Investment_Strategy&amp;"_"&amp;Investment_Strategy_Sub2&amp;"_"&amp;$A446,'Investment Strategies'!$AJ:$AV,8,FALSE),
IF(AND(Investment_Strategy="Autopilot",Investment_Strategy_Sub1="Non-Standard"),VLOOKUP(Investment_Strategy&amp;"_"&amp;Investment_Strategy_Sub2&amp;"_"&amp;$A446,'Investment Strategies'!$T:$AF,8,FALSE),
IF(Investment_Strategy ="DIY",DIY_RateofReturn_SP,
"Error")))))),Max_InvReturn)</f>
        <v>0</v>
      </c>
      <c r="M446" s="62">
        <f>IF($AV446=0,0,
IF(Investment_Strategy="DIS",VLOOKUP(Investment_Strategy&amp;"_"&amp;Investment_Strategy_Sub1&amp;"_"&amp;$A446,'Investment Strategies'!$AZ:$BP,15,FALSE),
IF(AND(Investment_Strategy="Lifecycle",Investment_Strategy_Sub1="Non-Standard"),VLOOKUP(Investment_Strategy&amp;"_"&amp;Investment_Strategy_Sub2&amp;"_"&amp;$A446,'Investment Strategies'!$C:$P,12,FALSE),
IF(AND(Investment_Strategy="Lifecycle",Investment_Strategy_Sub1="Standard"),VLOOKUP(Investment_Strategy&amp;"_"&amp;Investment_Strategy_Sub2&amp;"_"&amp;$A446,'Investment Strategies'!$AJ:$AV,11,FALSE),
IF(AND(Investment_Strategy="Autopilot",Investment_Strategy_Sub1="Non-Standard"),VLOOKUP(Investment_Strategy&amp;"_"&amp;Investment_Strategy_Sub2&amp;"_"&amp;$A446,'Investment Strategies'!$T:$AF,11,FALSE),
IF(Investment_Strategy="DIY",DIY_GteeChrge_SP,
"Error"))))))</f>
        <v>0</v>
      </c>
      <c r="N446" s="33">
        <f>IF($AV446=0,0,
IF(Investment_Strategy="DIS",VLOOKUP(Investment_Strategy&amp;"_"&amp;Investment_Strategy_Sub1&amp;"_"&amp;$A446,'Investment Strategies'!$AZ:$BP,17,FALSE),
IF(AND(Investment_Strategy="Lifecycle",Investment_Strategy_Sub1="Non-Standard"),VLOOKUP(Investment_Strategy&amp;"_"&amp;Investment_Strategy_Sub2&amp;"_"&amp;$A446,'Investment Strategies'!$C:$P,14,FALSE),
IF(AND(Investment_Strategy="Lifecycle",Investment_Strategy_Sub1="Standard"),VLOOKUP(Investment_Strategy&amp;"_"&amp;Investment_Strategy_Sub2&amp;"_"&amp;$A446,'Investment Strategies'!$AJ:$AV,13,FALSE),
IF(AND(Investment_Strategy="Autopilot",Investment_Strategy_Sub1="Non-Standard"),VLOOKUP(Investment_Strategy&amp;"_"&amp;Investment_Strategy_Sub2&amp;"_"&amp;$A446,'Investment Strategies'!$T:$AF,13,FALSE),
IF(Investment_Strategy="DIY",DIY_ExtManChrge_SP,
"Error"))))))</f>
        <v>0</v>
      </c>
      <c r="O446" s="16">
        <f t="shared" si="266"/>
        <v>0</v>
      </c>
      <c r="Q446" s="16">
        <f t="shared" si="242"/>
        <v>0</v>
      </c>
      <c r="R446" s="16">
        <f t="shared" si="239"/>
        <v>0</v>
      </c>
      <c r="S446" s="16">
        <f>(SRP_SP+SUM(S$91:S445))*L446*IF(D446=$A$91,SRP_finalmonthfactor,1)</f>
        <v>0</v>
      </c>
      <c r="T446" s="74">
        <f>MIN(IF($AV446=0,0,
IF(Investment_Strategy="DIS",VLOOKUP(Investment_Strategy&amp;"_"&amp;Investment_Strategy_Sub1&amp;"_"&amp;$A446,'Investment Strategies'!$AZ:$BP,12,FALSE),
IF(AND(Investment_Strategy="Lifecycle",Investment_Strategy_Sub1="Non-Standard"),VLOOKUP(Investment_Strategy&amp;"_"&amp;Investment_Strategy_Sub2&amp;"_"&amp;$A446,'Investment Strategies'!$C:$P,9,FALSE),
IF(AND(Investment_Strategy="Lifecycle",Investment_Strategy_Sub1="Standard"),VLOOKUP(Investment_Strategy&amp;"_"&amp;Investment_Strategy_Sub2&amp;"_"&amp;$A446,'Investment Strategies'!$AJ:$AV,8,FALSE),
IF(AND(Investment_Strategy="Autopilot",Investment_Strategy_Sub1="Non-Standard"),VLOOKUP(Investment_Strategy&amp;"_"&amp;Investment_Strategy_Sub2&amp;"_"&amp;$A446,'Investment Strategies'!$T:$AF,8,FALSE),
IF(Investment_Strategy ="DIY",DIY_RateOfReturn_FuturePremiums,
"Error")))))),Max_InvReturn)</f>
        <v>0</v>
      </c>
      <c r="U446" s="62">
        <f>IF($AV446=0,0,
IF(Investment_Strategy="DIS",VLOOKUP(Investment_Strategy&amp;"_"&amp;Investment_Strategy_Sub1&amp;"_"&amp;$A446,'Investment Strategies'!$AZ:$BP,15,FALSE),
IF(AND(Investment_Strategy="Lifecycle",Investment_Strategy_Sub1="Non-Standard"),VLOOKUP(Investment_Strategy&amp;"_"&amp;Investment_Strategy_Sub2&amp;"_"&amp;$A446,'Investment Strategies'!$C:$P,12,FALSE),
IF(AND(Investment_Strategy="Lifecycle",Investment_Strategy_Sub1="Standard"),VLOOKUP(Investment_Strategy&amp;"_"&amp;Investment_Strategy_Sub2&amp;"_"&amp;$A446,'Investment Strategies'!$AJ:$AV,11,FALSE),
IF(AND(Investment_Strategy="Autopilot",Investment_Strategy_Sub1="Non-Standard"),VLOOKUP(Investment_Strategy&amp;"_"&amp;Investment_Strategy_Sub2&amp;"_"&amp;$A446,'Investment Strategies'!$T:$AF,11,FALSE),
IF(Investment_Strategy="DIY",DIY_GteeChrge_FuturePremiums,
"Error"))))))</f>
        <v>0</v>
      </c>
      <c r="V446" s="33">
        <f>IF(AV446=0,0,
IF(Investment_Strategy="DIS",VLOOKUP(Investment_Strategy&amp;"_"&amp;Investment_Strategy_Sub1&amp;"_"&amp;$A446,'Investment Strategies'!$AZ:$BP,17,FALSE),
IF(AND(Investment_Strategy="Lifecycle",Investment_Strategy_Sub1="Non-Standard"),VLOOKUP(Investment_Strategy&amp;"_"&amp;Investment_Strategy_Sub2&amp;"_"&amp;$A446,'Investment Strategies'!$C:$P,14,FALSE),
IF(AND(Investment_Strategy="Lifecycle",Investment_Strategy_Sub1="Standard"),VLOOKUP(Investment_Strategy&amp;"_"&amp;Investment_Strategy_Sub2&amp;"_"&amp;$A446,'Investment Strategies'!$AJ:$AV,13,FALSE),
IF(AND(Investment_Strategy="Autopilot",Investment_Strategy_Sub1="Non-Standard"),VLOOKUP(Investment_Strategy&amp;"_"&amp;Investment_Strategy_Sub2&amp;"_"&amp;$A446,'Investment Strategies'!$T:$AF,13,FALSE),
IF(Investment_Strategy="DIY",DIY_ExtManChrge_FuturePremiums,
"Error"))))))</f>
        <v>0</v>
      </c>
      <c r="W446" s="16">
        <f t="shared" si="267"/>
        <v>0</v>
      </c>
      <c r="X446" s="16">
        <f t="shared" si="243"/>
        <v>0</v>
      </c>
      <c r="Y446" s="16">
        <f t="shared" si="244"/>
        <v>0</v>
      </c>
      <c r="Z446" s="31">
        <f t="shared" si="245"/>
        <v>0.02</v>
      </c>
      <c r="AA446" s="16">
        <f t="shared" si="246"/>
        <v>0</v>
      </c>
      <c r="AB446" s="28">
        <f t="shared" si="268"/>
        <v>0</v>
      </c>
      <c r="AC446" s="28">
        <f>(SUM($AC$91:AC445)+SUM($X$91:X445)+X446)*T446*IF(D446=$A$91,SRP_finalmonthfactor,1)</f>
        <v>0</v>
      </c>
      <c r="AD446" s="16">
        <f t="shared" si="247"/>
        <v>0</v>
      </c>
      <c r="AE446" s="106"/>
      <c r="AF446" s="16">
        <f t="shared" si="256"/>
        <v>0</v>
      </c>
      <c r="AG446" s="16">
        <f t="shared" si="257"/>
        <v>0</v>
      </c>
      <c r="AH446" s="16">
        <f t="shared" si="258"/>
        <v>0</v>
      </c>
      <c r="AJ446" s="13">
        <f t="shared" si="271"/>
        <v>0</v>
      </c>
      <c r="AK446" s="13">
        <f t="shared" si="271"/>
        <v>0</v>
      </c>
      <c r="AL446" s="13">
        <f t="shared" si="271"/>
        <v>0</v>
      </c>
      <c r="AM446" s="13">
        <f t="shared" si="271"/>
        <v>0</v>
      </c>
      <c r="AN446" s="13">
        <f t="shared" si="271"/>
        <v>0</v>
      </c>
      <c r="AO446" s="13">
        <f t="shared" si="271"/>
        <v>1</v>
      </c>
      <c r="AP446" s="13">
        <f t="shared" si="271"/>
        <v>1</v>
      </c>
      <c r="AQ446" s="13">
        <f t="shared" si="271"/>
        <v>1</v>
      </c>
      <c r="AR446" s="13">
        <f t="shared" si="271"/>
        <v>0</v>
      </c>
      <c r="AS446" s="13">
        <f t="shared" si="271"/>
        <v>1</v>
      </c>
      <c r="AT446" s="13">
        <f t="shared" si="271"/>
        <v>1</v>
      </c>
      <c r="AU446" s="13">
        <f t="shared" si="271"/>
        <v>1</v>
      </c>
      <c r="AV446" s="13">
        <f t="shared" si="249"/>
        <v>0</v>
      </c>
      <c r="AW446" s="13">
        <f t="shared" si="250"/>
        <v>1</v>
      </c>
      <c r="AY446" s="17">
        <f t="shared" si="251"/>
        <v>356</v>
      </c>
      <c r="AZ446" s="28">
        <f t="shared" si="259"/>
        <v>0</v>
      </c>
      <c r="BA446" s="13">
        <f t="shared" si="252"/>
        <v>0</v>
      </c>
      <c r="BB446" s="13">
        <f t="shared" si="253"/>
        <v>0</v>
      </c>
      <c r="BC446" s="28">
        <f t="shared" si="260"/>
        <v>0</v>
      </c>
      <c r="BD446" s="28">
        <f t="shared" si="261"/>
        <v>0</v>
      </c>
      <c r="BF446" s="248">
        <f t="shared" si="262"/>
        <v>993869.29442638322</v>
      </c>
    </row>
    <row r="447" spans="1:58">
      <c r="A447" s="32">
        <f t="shared" si="263"/>
        <v>-272</v>
      </c>
      <c r="B447" s="32">
        <f t="shared" si="254"/>
        <v>82</v>
      </c>
      <c r="C447" s="32">
        <f t="shared" si="264"/>
        <v>30</v>
      </c>
      <c r="D447" s="32">
        <f t="shared" si="265"/>
        <v>357</v>
      </c>
      <c r="E447" s="74">
        <f>MIN(IF(AV447=0,0,
IF(Investment_Strategy="DIS",VLOOKUP(Investment_Strategy&amp;"_"&amp;Investment_Strategy_Sub1&amp;"_"&amp;$A447,'Investment Strategies'!$AZ:$BP,12,FALSE),
IF(AND(Investment_Strategy="Lifecycle",Investment_Strategy_Sub1="Non-Standard"),VLOOKUP(Investment_Strategy&amp;"_"&amp;Investment_Strategy_Sub2&amp;"_"&amp;$A447,'Investment Strategies'!$C:$P,9,FALSE),
IF(AND(Investment_Strategy="Lifecycle",Investment_Strategy_Sub1="Standard"),VLOOKUP(Investment_Strategy&amp;"_"&amp;Investment_Strategy_Sub2&amp;"_"&amp;$A447,'Investment Strategies'!$AJ:$AV,8,FALSE),
IF(AND(Investment_Strategy="Autopilot",Investment_Strategy_Sub1="Non-Standard"),VLOOKUP(Investment_Strategy&amp;"_"&amp;Investment_Strategy_Sub2&amp;"_"&amp;$A447,'Investment Strategies'!$T:$AF,8,FALSE),
IF(Investment_Strategy ="DIY",DIY_RateOfReturn_CurrentFunds,
"Error")))))),Max_InvReturn)</f>
        <v>0</v>
      </c>
      <c r="F447" s="62">
        <f>IF(AV447=0,0,
IF(Investment_Strategy="DIS",VLOOKUP(Investment_Strategy&amp;"_"&amp;Investment_Strategy_Sub1&amp;"_"&amp;$A447,'Investment Strategies'!$AZ:$BP,15,FALSE),
IF(AND(Investment_Strategy="Lifecycle",Investment_Strategy_Sub1="Non-Standard"),VLOOKUP(Investment_Strategy&amp;"_"&amp;Investment_Strategy_Sub2&amp;"_"&amp;$A447,'Investment Strategies'!$C:$P,12,FALSE),
IF(AND(Investment_Strategy="Lifecycle",Investment_Strategy_Sub1="Standard"),VLOOKUP(Investment_Strategy&amp;"_"&amp;Investment_Strategy_Sub2&amp;"_"&amp;$A447,'Investment Strategies'!$AJ:$AV,11,FALSE),
IF(AND(Investment_Strategy="Autopilot",Investment_Strategy_Sub1="Non-Standard"),VLOOKUP(Investment_Strategy&amp;"_"&amp;Investment_Strategy_Sub2&amp;"_"&amp;$A447,'Investment Strategies'!$T:$AF,11,FALSE),
IF(Investment_Strategy="DIY",DIY_GteeChrge_CurrentFunds,
"Error"))))))</f>
        <v>0</v>
      </c>
      <c r="G447" s="33">
        <f>IF(AV447=0,0,
IF(Investment_Strategy="DIS",VLOOKUP(Investment_Strategy&amp;"_"&amp;Investment_Strategy_Sub1&amp;"_"&amp;$A447,'Investment Strategies'!$AZ:$BP,17,FALSE),
IF(AND(Investment_Strategy="Lifecycle",Investment_Strategy_Sub1="Non-Standard"),VLOOKUP(Investment_Strategy&amp;"_"&amp;Investment_Strategy_Sub2&amp;"_"&amp;$A447,'Investment Strategies'!$C:$P,14,FALSE),
IF(AND(Investment_Strategy="Lifecycle",Investment_Strategy_Sub1="Standard"),VLOOKUP(Investment_Strategy&amp;"_"&amp;Investment_Strategy_Sub2&amp;"_"&amp;$A447,'Investment Strategies'!$AJ:$AV,13,FALSE),
IF(AND(Investment_Strategy="Autopilot",Investment_Strategy_Sub1="Non-Standard"),VLOOKUP(Investment_Strategy&amp;"_"&amp;Investment_Strategy_Sub2&amp;"_"&amp;$A447,'Investment Strategies'!$T:$AF,13,FALSE),
IF(Investment_Strategy="DIY",DIY_ExtManChrge_CurrentFunds,
"Error"))))))</f>
        <v>0</v>
      </c>
      <c r="H447" s="16">
        <f t="shared" si="255"/>
        <v>0</v>
      </c>
      <c r="I447" s="16">
        <f t="shared" si="240"/>
        <v>0</v>
      </c>
      <c r="J447" s="16">
        <f t="shared" si="241"/>
        <v>0</v>
      </c>
      <c r="K447" s="16">
        <f>(Opening_Fund_Value+SUM(K$91:K446))*E447*IF(D447=$A$91,SRP_finalmonthfactor,1)</f>
        <v>0</v>
      </c>
      <c r="L447" s="74">
        <f>MIN(IF($AV447=0,0,
IF(Investment_Strategy="DIS",VLOOKUP(Investment_Strategy&amp;"_"&amp;Investment_Strategy_Sub1&amp;"_"&amp;$A447,'Investment Strategies'!$AZ:$BP,12,FALSE),
IF(AND(Investment_Strategy="Lifecycle",Investment_Strategy_Sub1="Non-Standard"),VLOOKUP(Investment_Strategy&amp;"_"&amp;Investment_Strategy_Sub2&amp;"_"&amp;$A447,'Investment Strategies'!$C:$P,9,FALSE),
IF(AND(Investment_Strategy="Lifecycle",Investment_Strategy_Sub1="Standard"),VLOOKUP(Investment_Strategy&amp;"_"&amp;Investment_Strategy_Sub2&amp;"_"&amp;$A447,'Investment Strategies'!$AJ:$AV,8,FALSE),
IF(AND(Investment_Strategy="Autopilot",Investment_Strategy_Sub1="Non-Standard"),VLOOKUP(Investment_Strategy&amp;"_"&amp;Investment_Strategy_Sub2&amp;"_"&amp;$A447,'Investment Strategies'!$T:$AF,8,FALSE),
IF(Investment_Strategy ="DIY",DIY_RateofReturn_SP,
"Error")))))),Max_InvReturn)</f>
        <v>0</v>
      </c>
      <c r="M447" s="62">
        <f>IF($AV447=0,0,
IF(Investment_Strategy="DIS",VLOOKUP(Investment_Strategy&amp;"_"&amp;Investment_Strategy_Sub1&amp;"_"&amp;$A447,'Investment Strategies'!$AZ:$BP,15,FALSE),
IF(AND(Investment_Strategy="Lifecycle",Investment_Strategy_Sub1="Non-Standard"),VLOOKUP(Investment_Strategy&amp;"_"&amp;Investment_Strategy_Sub2&amp;"_"&amp;$A447,'Investment Strategies'!$C:$P,12,FALSE),
IF(AND(Investment_Strategy="Lifecycle",Investment_Strategy_Sub1="Standard"),VLOOKUP(Investment_Strategy&amp;"_"&amp;Investment_Strategy_Sub2&amp;"_"&amp;$A447,'Investment Strategies'!$AJ:$AV,11,FALSE),
IF(AND(Investment_Strategy="Autopilot",Investment_Strategy_Sub1="Non-Standard"),VLOOKUP(Investment_Strategy&amp;"_"&amp;Investment_Strategy_Sub2&amp;"_"&amp;$A447,'Investment Strategies'!$T:$AF,11,FALSE),
IF(Investment_Strategy="DIY",DIY_GteeChrge_SP,
"Error"))))))</f>
        <v>0</v>
      </c>
      <c r="N447" s="33">
        <f>IF($AV447=0,0,
IF(Investment_Strategy="DIS",VLOOKUP(Investment_Strategy&amp;"_"&amp;Investment_Strategy_Sub1&amp;"_"&amp;$A447,'Investment Strategies'!$AZ:$BP,17,FALSE),
IF(AND(Investment_Strategy="Lifecycle",Investment_Strategy_Sub1="Non-Standard"),VLOOKUP(Investment_Strategy&amp;"_"&amp;Investment_Strategy_Sub2&amp;"_"&amp;$A447,'Investment Strategies'!$C:$P,14,FALSE),
IF(AND(Investment_Strategy="Lifecycle",Investment_Strategy_Sub1="Standard"),VLOOKUP(Investment_Strategy&amp;"_"&amp;Investment_Strategy_Sub2&amp;"_"&amp;$A447,'Investment Strategies'!$AJ:$AV,13,FALSE),
IF(AND(Investment_Strategy="Autopilot",Investment_Strategy_Sub1="Non-Standard"),VLOOKUP(Investment_Strategy&amp;"_"&amp;Investment_Strategy_Sub2&amp;"_"&amp;$A447,'Investment Strategies'!$T:$AF,13,FALSE),
IF(Investment_Strategy="DIY",DIY_ExtManChrge_SP,
"Error"))))))</f>
        <v>0</v>
      </c>
      <c r="O447" s="16">
        <f t="shared" si="266"/>
        <v>0</v>
      </c>
      <c r="Q447" s="16">
        <f t="shared" si="242"/>
        <v>0</v>
      </c>
      <c r="R447" s="16">
        <f t="shared" si="239"/>
        <v>0</v>
      </c>
      <c r="S447" s="16">
        <f>(SRP_SP+SUM(S$91:S446))*L447*IF(D447=$A$91,SRP_finalmonthfactor,1)</f>
        <v>0</v>
      </c>
      <c r="T447" s="74">
        <f>MIN(IF($AV447=0,0,
IF(Investment_Strategy="DIS",VLOOKUP(Investment_Strategy&amp;"_"&amp;Investment_Strategy_Sub1&amp;"_"&amp;$A447,'Investment Strategies'!$AZ:$BP,12,FALSE),
IF(AND(Investment_Strategy="Lifecycle",Investment_Strategy_Sub1="Non-Standard"),VLOOKUP(Investment_Strategy&amp;"_"&amp;Investment_Strategy_Sub2&amp;"_"&amp;$A447,'Investment Strategies'!$C:$P,9,FALSE),
IF(AND(Investment_Strategy="Lifecycle",Investment_Strategy_Sub1="Standard"),VLOOKUP(Investment_Strategy&amp;"_"&amp;Investment_Strategy_Sub2&amp;"_"&amp;$A447,'Investment Strategies'!$AJ:$AV,8,FALSE),
IF(AND(Investment_Strategy="Autopilot",Investment_Strategy_Sub1="Non-Standard"),VLOOKUP(Investment_Strategy&amp;"_"&amp;Investment_Strategy_Sub2&amp;"_"&amp;$A447,'Investment Strategies'!$T:$AF,8,FALSE),
IF(Investment_Strategy ="DIY",DIY_RateOfReturn_FuturePremiums,
"Error")))))),Max_InvReturn)</f>
        <v>0</v>
      </c>
      <c r="U447" s="62">
        <f>IF($AV447=0,0,
IF(Investment_Strategy="DIS",VLOOKUP(Investment_Strategy&amp;"_"&amp;Investment_Strategy_Sub1&amp;"_"&amp;$A447,'Investment Strategies'!$AZ:$BP,15,FALSE),
IF(AND(Investment_Strategy="Lifecycle",Investment_Strategy_Sub1="Non-Standard"),VLOOKUP(Investment_Strategy&amp;"_"&amp;Investment_Strategy_Sub2&amp;"_"&amp;$A447,'Investment Strategies'!$C:$P,12,FALSE),
IF(AND(Investment_Strategy="Lifecycle",Investment_Strategy_Sub1="Standard"),VLOOKUP(Investment_Strategy&amp;"_"&amp;Investment_Strategy_Sub2&amp;"_"&amp;$A447,'Investment Strategies'!$AJ:$AV,11,FALSE),
IF(AND(Investment_Strategy="Autopilot",Investment_Strategy_Sub1="Non-Standard"),VLOOKUP(Investment_Strategy&amp;"_"&amp;Investment_Strategy_Sub2&amp;"_"&amp;$A447,'Investment Strategies'!$T:$AF,11,FALSE),
IF(Investment_Strategy="DIY",DIY_GteeChrge_FuturePremiums,
"Error"))))))</f>
        <v>0</v>
      </c>
      <c r="V447" s="33">
        <f>IF(AV447=0,0,
IF(Investment_Strategy="DIS",VLOOKUP(Investment_Strategy&amp;"_"&amp;Investment_Strategy_Sub1&amp;"_"&amp;$A447,'Investment Strategies'!$AZ:$BP,17,FALSE),
IF(AND(Investment_Strategy="Lifecycle",Investment_Strategy_Sub1="Non-Standard"),VLOOKUP(Investment_Strategy&amp;"_"&amp;Investment_Strategy_Sub2&amp;"_"&amp;$A447,'Investment Strategies'!$C:$P,14,FALSE),
IF(AND(Investment_Strategy="Lifecycle",Investment_Strategy_Sub1="Standard"),VLOOKUP(Investment_Strategy&amp;"_"&amp;Investment_Strategy_Sub2&amp;"_"&amp;$A447,'Investment Strategies'!$AJ:$AV,13,FALSE),
IF(AND(Investment_Strategy="Autopilot",Investment_Strategy_Sub1="Non-Standard"),VLOOKUP(Investment_Strategy&amp;"_"&amp;Investment_Strategy_Sub2&amp;"_"&amp;$A447,'Investment Strategies'!$T:$AF,13,FALSE),
IF(Investment_Strategy="DIY",DIY_ExtManChrge_FuturePremiums,
"Error"))))))</f>
        <v>0</v>
      </c>
      <c r="W447" s="16">
        <f t="shared" si="267"/>
        <v>0</v>
      </c>
      <c r="X447" s="16">
        <f t="shared" si="243"/>
        <v>0</v>
      </c>
      <c r="Y447" s="16">
        <f t="shared" si="244"/>
        <v>0</v>
      </c>
      <c r="Z447" s="31">
        <f t="shared" si="245"/>
        <v>0.02</v>
      </c>
      <c r="AA447" s="16">
        <f t="shared" si="246"/>
        <v>0</v>
      </c>
      <c r="AB447" s="28">
        <f t="shared" si="268"/>
        <v>0</v>
      </c>
      <c r="AC447" s="28">
        <f>(SUM($AC$91:AC446)+SUM($X$91:X446)+X447)*T447*IF(D447=$A$91,SRP_finalmonthfactor,1)</f>
        <v>0</v>
      </c>
      <c r="AD447" s="16">
        <f t="shared" si="247"/>
        <v>0</v>
      </c>
      <c r="AE447" s="106"/>
      <c r="AF447" s="16">
        <f t="shared" si="256"/>
        <v>0</v>
      </c>
      <c r="AG447" s="16">
        <f t="shared" si="257"/>
        <v>0</v>
      </c>
      <c r="AH447" s="16">
        <f t="shared" si="258"/>
        <v>0</v>
      </c>
      <c r="AJ447" s="13">
        <f t="shared" si="271"/>
        <v>0</v>
      </c>
      <c r="AK447" s="13">
        <f t="shared" si="271"/>
        <v>0</v>
      </c>
      <c r="AL447" s="13">
        <f t="shared" si="271"/>
        <v>0</v>
      </c>
      <c r="AM447" s="13">
        <f t="shared" si="271"/>
        <v>0</v>
      </c>
      <c r="AN447" s="13">
        <f t="shared" si="271"/>
        <v>0</v>
      </c>
      <c r="AO447" s="13">
        <f t="shared" si="271"/>
        <v>1</v>
      </c>
      <c r="AP447" s="13">
        <f t="shared" si="271"/>
        <v>1</v>
      </c>
      <c r="AQ447" s="13">
        <f t="shared" si="271"/>
        <v>1</v>
      </c>
      <c r="AR447" s="13">
        <f t="shared" si="271"/>
        <v>0</v>
      </c>
      <c r="AS447" s="13">
        <f t="shared" si="271"/>
        <v>1</v>
      </c>
      <c r="AT447" s="13">
        <f t="shared" si="271"/>
        <v>1</v>
      </c>
      <c r="AU447" s="13">
        <f t="shared" si="271"/>
        <v>1</v>
      </c>
      <c r="AV447" s="13">
        <f t="shared" si="249"/>
        <v>0</v>
      </c>
      <c r="AW447" s="13">
        <f t="shared" si="250"/>
        <v>1</v>
      </c>
      <c r="AY447" s="17">
        <f t="shared" si="251"/>
        <v>357</v>
      </c>
      <c r="AZ447" s="28">
        <f t="shared" si="259"/>
        <v>0</v>
      </c>
      <c r="BA447" s="13">
        <f t="shared" si="252"/>
        <v>0</v>
      </c>
      <c r="BB447" s="13">
        <f t="shared" si="253"/>
        <v>0</v>
      </c>
      <c r="BC447" s="28">
        <f t="shared" si="260"/>
        <v>0</v>
      </c>
      <c r="BD447" s="28">
        <f t="shared" si="261"/>
        <v>0</v>
      </c>
      <c r="BF447" s="248">
        <f t="shared" si="262"/>
        <v>993869.29442638322</v>
      </c>
    </row>
    <row r="448" spans="1:58">
      <c r="A448" s="32">
        <f t="shared" si="263"/>
        <v>-273</v>
      </c>
      <c r="B448" s="32">
        <f t="shared" si="254"/>
        <v>82</v>
      </c>
      <c r="C448" s="32">
        <f t="shared" si="264"/>
        <v>30</v>
      </c>
      <c r="D448" s="32">
        <f t="shared" si="265"/>
        <v>358</v>
      </c>
      <c r="E448" s="74">
        <f>MIN(IF(AV448=0,0,
IF(Investment_Strategy="DIS",VLOOKUP(Investment_Strategy&amp;"_"&amp;Investment_Strategy_Sub1&amp;"_"&amp;$A448,'Investment Strategies'!$AZ:$BP,12,FALSE),
IF(AND(Investment_Strategy="Lifecycle",Investment_Strategy_Sub1="Non-Standard"),VLOOKUP(Investment_Strategy&amp;"_"&amp;Investment_Strategy_Sub2&amp;"_"&amp;$A448,'Investment Strategies'!$C:$P,9,FALSE),
IF(AND(Investment_Strategy="Lifecycle",Investment_Strategy_Sub1="Standard"),VLOOKUP(Investment_Strategy&amp;"_"&amp;Investment_Strategy_Sub2&amp;"_"&amp;$A448,'Investment Strategies'!$AJ:$AV,8,FALSE),
IF(AND(Investment_Strategy="Autopilot",Investment_Strategy_Sub1="Non-Standard"),VLOOKUP(Investment_Strategy&amp;"_"&amp;Investment_Strategy_Sub2&amp;"_"&amp;$A448,'Investment Strategies'!$T:$AF,8,FALSE),
IF(Investment_Strategy ="DIY",DIY_RateOfReturn_CurrentFunds,
"Error")))))),Max_InvReturn)</f>
        <v>0</v>
      </c>
      <c r="F448" s="62">
        <f>IF(AV448=0,0,
IF(Investment_Strategy="DIS",VLOOKUP(Investment_Strategy&amp;"_"&amp;Investment_Strategy_Sub1&amp;"_"&amp;$A448,'Investment Strategies'!$AZ:$BP,15,FALSE),
IF(AND(Investment_Strategy="Lifecycle",Investment_Strategy_Sub1="Non-Standard"),VLOOKUP(Investment_Strategy&amp;"_"&amp;Investment_Strategy_Sub2&amp;"_"&amp;$A448,'Investment Strategies'!$C:$P,12,FALSE),
IF(AND(Investment_Strategy="Lifecycle",Investment_Strategy_Sub1="Standard"),VLOOKUP(Investment_Strategy&amp;"_"&amp;Investment_Strategy_Sub2&amp;"_"&amp;$A448,'Investment Strategies'!$AJ:$AV,11,FALSE),
IF(AND(Investment_Strategy="Autopilot",Investment_Strategy_Sub1="Non-Standard"),VLOOKUP(Investment_Strategy&amp;"_"&amp;Investment_Strategy_Sub2&amp;"_"&amp;$A448,'Investment Strategies'!$T:$AF,11,FALSE),
IF(Investment_Strategy="DIY",DIY_GteeChrge_CurrentFunds,
"Error"))))))</f>
        <v>0</v>
      </c>
      <c r="G448" s="33">
        <f>IF(AV448=0,0,
IF(Investment_Strategy="DIS",VLOOKUP(Investment_Strategy&amp;"_"&amp;Investment_Strategy_Sub1&amp;"_"&amp;$A448,'Investment Strategies'!$AZ:$BP,17,FALSE),
IF(AND(Investment_Strategy="Lifecycle",Investment_Strategy_Sub1="Non-Standard"),VLOOKUP(Investment_Strategy&amp;"_"&amp;Investment_Strategy_Sub2&amp;"_"&amp;$A448,'Investment Strategies'!$C:$P,14,FALSE),
IF(AND(Investment_Strategy="Lifecycle",Investment_Strategy_Sub1="Standard"),VLOOKUP(Investment_Strategy&amp;"_"&amp;Investment_Strategy_Sub2&amp;"_"&amp;$A448,'Investment Strategies'!$AJ:$AV,13,FALSE),
IF(AND(Investment_Strategy="Autopilot",Investment_Strategy_Sub1="Non-Standard"),VLOOKUP(Investment_Strategy&amp;"_"&amp;Investment_Strategy_Sub2&amp;"_"&amp;$A448,'Investment Strategies'!$T:$AF,13,FALSE),
IF(Investment_Strategy="DIY",DIY_ExtManChrge_CurrentFunds,
"Error"))))))</f>
        <v>0</v>
      </c>
      <c r="H448" s="16">
        <f t="shared" si="255"/>
        <v>0</v>
      </c>
      <c r="I448" s="16">
        <f t="shared" si="240"/>
        <v>0</v>
      </c>
      <c r="J448" s="16">
        <f t="shared" si="241"/>
        <v>0</v>
      </c>
      <c r="K448" s="16">
        <f>(Opening_Fund_Value+SUM(K$91:K447))*E448*IF(D448=$A$91,SRP_finalmonthfactor,1)</f>
        <v>0</v>
      </c>
      <c r="L448" s="74">
        <f>MIN(IF($AV448=0,0,
IF(Investment_Strategy="DIS",VLOOKUP(Investment_Strategy&amp;"_"&amp;Investment_Strategy_Sub1&amp;"_"&amp;$A448,'Investment Strategies'!$AZ:$BP,12,FALSE),
IF(AND(Investment_Strategy="Lifecycle",Investment_Strategy_Sub1="Non-Standard"),VLOOKUP(Investment_Strategy&amp;"_"&amp;Investment_Strategy_Sub2&amp;"_"&amp;$A448,'Investment Strategies'!$C:$P,9,FALSE),
IF(AND(Investment_Strategy="Lifecycle",Investment_Strategy_Sub1="Standard"),VLOOKUP(Investment_Strategy&amp;"_"&amp;Investment_Strategy_Sub2&amp;"_"&amp;$A448,'Investment Strategies'!$AJ:$AV,8,FALSE),
IF(AND(Investment_Strategy="Autopilot",Investment_Strategy_Sub1="Non-Standard"),VLOOKUP(Investment_Strategy&amp;"_"&amp;Investment_Strategy_Sub2&amp;"_"&amp;$A448,'Investment Strategies'!$T:$AF,8,FALSE),
IF(Investment_Strategy ="DIY",DIY_RateofReturn_SP,
"Error")))))),Max_InvReturn)</f>
        <v>0</v>
      </c>
      <c r="M448" s="62">
        <f>IF($AV448=0,0,
IF(Investment_Strategy="DIS",VLOOKUP(Investment_Strategy&amp;"_"&amp;Investment_Strategy_Sub1&amp;"_"&amp;$A448,'Investment Strategies'!$AZ:$BP,15,FALSE),
IF(AND(Investment_Strategy="Lifecycle",Investment_Strategy_Sub1="Non-Standard"),VLOOKUP(Investment_Strategy&amp;"_"&amp;Investment_Strategy_Sub2&amp;"_"&amp;$A448,'Investment Strategies'!$C:$P,12,FALSE),
IF(AND(Investment_Strategy="Lifecycle",Investment_Strategy_Sub1="Standard"),VLOOKUP(Investment_Strategy&amp;"_"&amp;Investment_Strategy_Sub2&amp;"_"&amp;$A448,'Investment Strategies'!$AJ:$AV,11,FALSE),
IF(AND(Investment_Strategy="Autopilot",Investment_Strategy_Sub1="Non-Standard"),VLOOKUP(Investment_Strategy&amp;"_"&amp;Investment_Strategy_Sub2&amp;"_"&amp;$A448,'Investment Strategies'!$T:$AF,11,FALSE),
IF(Investment_Strategy="DIY",DIY_GteeChrge_SP,
"Error"))))))</f>
        <v>0</v>
      </c>
      <c r="N448" s="33">
        <f>IF($AV448=0,0,
IF(Investment_Strategy="DIS",VLOOKUP(Investment_Strategy&amp;"_"&amp;Investment_Strategy_Sub1&amp;"_"&amp;$A448,'Investment Strategies'!$AZ:$BP,17,FALSE),
IF(AND(Investment_Strategy="Lifecycle",Investment_Strategy_Sub1="Non-Standard"),VLOOKUP(Investment_Strategy&amp;"_"&amp;Investment_Strategy_Sub2&amp;"_"&amp;$A448,'Investment Strategies'!$C:$P,14,FALSE),
IF(AND(Investment_Strategy="Lifecycle",Investment_Strategy_Sub1="Standard"),VLOOKUP(Investment_Strategy&amp;"_"&amp;Investment_Strategy_Sub2&amp;"_"&amp;$A448,'Investment Strategies'!$AJ:$AV,13,FALSE),
IF(AND(Investment_Strategy="Autopilot",Investment_Strategy_Sub1="Non-Standard"),VLOOKUP(Investment_Strategy&amp;"_"&amp;Investment_Strategy_Sub2&amp;"_"&amp;$A448,'Investment Strategies'!$T:$AF,13,FALSE),
IF(Investment_Strategy="DIY",DIY_ExtManChrge_SP,
"Error"))))))</f>
        <v>0</v>
      </c>
      <c r="O448" s="16">
        <f t="shared" si="266"/>
        <v>0</v>
      </c>
      <c r="Q448" s="16">
        <f t="shared" si="242"/>
        <v>0</v>
      </c>
      <c r="R448" s="16">
        <f t="shared" si="239"/>
        <v>0</v>
      </c>
      <c r="S448" s="16">
        <f>(SRP_SP+SUM(S$91:S447))*L448*IF(D448=$A$91,SRP_finalmonthfactor,1)</f>
        <v>0</v>
      </c>
      <c r="T448" s="74">
        <f>MIN(IF($AV448=0,0,
IF(Investment_Strategy="DIS",VLOOKUP(Investment_Strategy&amp;"_"&amp;Investment_Strategy_Sub1&amp;"_"&amp;$A448,'Investment Strategies'!$AZ:$BP,12,FALSE),
IF(AND(Investment_Strategy="Lifecycle",Investment_Strategy_Sub1="Non-Standard"),VLOOKUP(Investment_Strategy&amp;"_"&amp;Investment_Strategy_Sub2&amp;"_"&amp;$A448,'Investment Strategies'!$C:$P,9,FALSE),
IF(AND(Investment_Strategy="Lifecycle",Investment_Strategy_Sub1="Standard"),VLOOKUP(Investment_Strategy&amp;"_"&amp;Investment_Strategy_Sub2&amp;"_"&amp;$A448,'Investment Strategies'!$AJ:$AV,8,FALSE),
IF(AND(Investment_Strategy="Autopilot",Investment_Strategy_Sub1="Non-Standard"),VLOOKUP(Investment_Strategy&amp;"_"&amp;Investment_Strategy_Sub2&amp;"_"&amp;$A448,'Investment Strategies'!$T:$AF,8,FALSE),
IF(Investment_Strategy ="DIY",DIY_RateOfReturn_FuturePremiums,
"Error")))))),Max_InvReturn)</f>
        <v>0</v>
      </c>
      <c r="U448" s="62">
        <f>IF($AV448=0,0,
IF(Investment_Strategy="DIS",VLOOKUP(Investment_Strategy&amp;"_"&amp;Investment_Strategy_Sub1&amp;"_"&amp;$A448,'Investment Strategies'!$AZ:$BP,15,FALSE),
IF(AND(Investment_Strategy="Lifecycle",Investment_Strategy_Sub1="Non-Standard"),VLOOKUP(Investment_Strategy&amp;"_"&amp;Investment_Strategy_Sub2&amp;"_"&amp;$A448,'Investment Strategies'!$C:$P,12,FALSE),
IF(AND(Investment_Strategy="Lifecycle",Investment_Strategy_Sub1="Standard"),VLOOKUP(Investment_Strategy&amp;"_"&amp;Investment_Strategy_Sub2&amp;"_"&amp;$A448,'Investment Strategies'!$AJ:$AV,11,FALSE),
IF(AND(Investment_Strategy="Autopilot",Investment_Strategy_Sub1="Non-Standard"),VLOOKUP(Investment_Strategy&amp;"_"&amp;Investment_Strategy_Sub2&amp;"_"&amp;$A448,'Investment Strategies'!$T:$AF,11,FALSE),
IF(Investment_Strategy="DIY",DIY_GteeChrge_FuturePremiums,
"Error"))))))</f>
        <v>0</v>
      </c>
      <c r="V448" s="33">
        <f>IF(AV448=0,0,
IF(Investment_Strategy="DIS",VLOOKUP(Investment_Strategy&amp;"_"&amp;Investment_Strategy_Sub1&amp;"_"&amp;$A448,'Investment Strategies'!$AZ:$BP,17,FALSE),
IF(AND(Investment_Strategy="Lifecycle",Investment_Strategy_Sub1="Non-Standard"),VLOOKUP(Investment_Strategy&amp;"_"&amp;Investment_Strategy_Sub2&amp;"_"&amp;$A448,'Investment Strategies'!$C:$P,14,FALSE),
IF(AND(Investment_Strategy="Lifecycle",Investment_Strategy_Sub1="Standard"),VLOOKUP(Investment_Strategy&amp;"_"&amp;Investment_Strategy_Sub2&amp;"_"&amp;$A448,'Investment Strategies'!$AJ:$AV,13,FALSE),
IF(AND(Investment_Strategy="Autopilot",Investment_Strategy_Sub1="Non-Standard"),VLOOKUP(Investment_Strategy&amp;"_"&amp;Investment_Strategy_Sub2&amp;"_"&amp;$A448,'Investment Strategies'!$T:$AF,13,FALSE),
IF(Investment_Strategy="DIY",DIY_ExtManChrge_FuturePremiums,
"Error"))))))</f>
        <v>0</v>
      </c>
      <c r="W448" s="16">
        <f t="shared" si="267"/>
        <v>0</v>
      </c>
      <c r="X448" s="16">
        <f t="shared" si="243"/>
        <v>0</v>
      </c>
      <c r="Y448" s="16">
        <f t="shared" si="244"/>
        <v>0</v>
      </c>
      <c r="Z448" s="31">
        <f t="shared" si="245"/>
        <v>0.02</v>
      </c>
      <c r="AA448" s="16">
        <f t="shared" si="246"/>
        <v>0</v>
      </c>
      <c r="AB448" s="28">
        <f t="shared" si="268"/>
        <v>0</v>
      </c>
      <c r="AC448" s="28">
        <f>(SUM($AC$91:AC447)+SUM($X$91:X447)+X448)*T448*IF(D448=$A$91,SRP_finalmonthfactor,1)</f>
        <v>0</v>
      </c>
      <c r="AD448" s="16">
        <f t="shared" si="247"/>
        <v>0</v>
      </c>
      <c r="AE448" s="106"/>
      <c r="AF448" s="16">
        <f t="shared" si="256"/>
        <v>0</v>
      </c>
      <c r="AG448" s="16">
        <f t="shared" si="257"/>
        <v>0</v>
      </c>
      <c r="AH448" s="16">
        <f t="shared" si="258"/>
        <v>0</v>
      </c>
      <c r="AJ448" s="13">
        <f t="shared" si="271"/>
        <v>0</v>
      </c>
      <c r="AK448" s="13">
        <f t="shared" si="271"/>
        <v>0</v>
      </c>
      <c r="AL448" s="13">
        <f t="shared" si="271"/>
        <v>0</v>
      </c>
      <c r="AM448" s="13">
        <f t="shared" si="271"/>
        <v>0</v>
      </c>
      <c r="AN448" s="13">
        <f t="shared" si="271"/>
        <v>0</v>
      </c>
      <c r="AO448" s="13">
        <f t="shared" si="271"/>
        <v>1</v>
      </c>
      <c r="AP448" s="13">
        <f t="shared" si="271"/>
        <v>1</v>
      </c>
      <c r="AQ448" s="13">
        <f t="shared" si="271"/>
        <v>1</v>
      </c>
      <c r="AR448" s="13">
        <f t="shared" si="271"/>
        <v>0</v>
      </c>
      <c r="AS448" s="13">
        <f t="shared" si="271"/>
        <v>1</v>
      </c>
      <c r="AT448" s="13">
        <f t="shared" si="271"/>
        <v>1</v>
      </c>
      <c r="AU448" s="13">
        <f t="shared" si="271"/>
        <v>1</v>
      </c>
      <c r="AV448" s="13">
        <f t="shared" si="249"/>
        <v>0</v>
      </c>
      <c r="AW448" s="13">
        <f t="shared" si="250"/>
        <v>1</v>
      </c>
      <c r="AY448" s="17">
        <f t="shared" si="251"/>
        <v>358</v>
      </c>
      <c r="AZ448" s="28">
        <f t="shared" si="259"/>
        <v>0</v>
      </c>
      <c r="BA448" s="13">
        <f t="shared" si="252"/>
        <v>0</v>
      </c>
      <c r="BB448" s="13">
        <f t="shared" si="253"/>
        <v>0</v>
      </c>
      <c r="BC448" s="28">
        <f t="shared" si="260"/>
        <v>0</v>
      </c>
      <c r="BD448" s="28">
        <f t="shared" si="261"/>
        <v>0</v>
      </c>
      <c r="BF448" s="248">
        <f t="shared" si="262"/>
        <v>993869.29442638322</v>
      </c>
    </row>
    <row r="449" spans="1:58">
      <c r="A449" s="32">
        <f t="shared" si="263"/>
        <v>-274</v>
      </c>
      <c r="B449" s="32">
        <f t="shared" si="254"/>
        <v>82</v>
      </c>
      <c r="C449" s="32">
        <f t="shared" si="264"/>
        <v>30</v>
      </c>
      <c r="D449" s="32">
        <f t="shared" si="265"/>
        <v>359</v>
      </c>
      <c r="E449" s="74">
        <f>MIN(IF(AV449=0,0,
IF(Investment_Strategy="DIS",VLOOKUP(Investment_Strategy&amp;"_"&amp;Investment_Strategy_Sub1&amp;"_"&amp;$A449,'Investment Strategies'!$AZ:$BP,12,FALSE),
IF(AND(Investment_Strategy="Lifecycle",Investment_Strategy_Sub1="Non-Standard"),VLOOKUP(Investment_Strategy&amp;"_"&amp;Investment_Strategy_Sub2&amp;"_"&amp;$A449,'Investment Strategies'!$C:$P,9,FALSE),
IF(AND(Investment_Strategy="Lifecycle",Investment_Strategy_Sub1="Standard"),VLOOKUP(Investment_Strategy&amp;"_"&amp;Investment_Strategy_Sub2&amp;"_"&amp;$A449,'Investment Strategies'!$AJ:$AV,8,FALSE),
IF(AND(Investment_Strategy="Autopilot",Investment_Strategy_Sub1="Non-Standard"),VLOOKUP(Investment_Strategy&amp;"_"&amp;Investment_Strategy_Sub2&amp;"_"&amp;$A449,'Investment Strategies'!$T:$AF,8,FALSE),
IF(Investment_Strategy ="DIY",DIY_RateOfReturn_CurrentFunds,
"Error")))))),Max_InvReturn)</f>
        <v>0</v>
      </c>
      <c r="F449" s="62">
        <f>IF(AV449=0,0,
IF(Investment_Strategy="DIS",VLOOKUP(Investment_Strategy&amp;"_"&amp;Investment_Strategy_Sub1&amp;"_"&amp;$A449,'Investment Strategies'!$AZ:$BP,15,FALSE),
IF(AND(Investment_Strategy="Lifecycle",Investment_Strategy_Sub1="Non-Standard"),VLOOKUP(Investment_Strategy&amp;"_"&amp;Investment_Strategy_Sub2&amp;"_"&amp;$A449,'Investment Strategies'!$C:$P,12,FALSE),
IF(AND(Investment_Strategy="Lifecycle",Investment_Strategy_Sub1="Standard"),VLOOKUP(Investment_Strategy&amp;"_"&amp;Investment_Strategy_Sub2&amp;"_"&amp;$A449,'Investment Strategies'!$AJ:$AV,11,FALSE),
IF(AND(Investment_Strategy="Autopilot",Investment_Strategy_Sub1="Non-Standard"),VLOOKUP(Investment_Strategy&amp;"_"&amp;Investment_Strategy_Sub2&amp;"_"&amp;$A449,'Investment Strategies'!$T:$AF,11,FALSE),
IF(Investment_Strategy="DIY",DIY_GteeChrge_CurrentFunds,
"Error"))))))</f>
        <v>0</v>
      </c>
      <c r="G449" s="33">
        <f>IF(AV449=0,0,
IF(Investment_Strategy="DIS",VLOOKUP(Investment_Strategy&amp;"_"&amp;Investment_Strategy_Sub1&amp;"_"&amp;$A449,'Investment Strategies'!$AZ:$BP,17,FALSE),
IF(AND(Investment_Strategy="Lifecycle",Investment_Strategy_Sub1="Non-Standard"),VLOOKUP(Investment_Strategy&amp;"_"&amp;Investment_Strategy_Sub2&amp;"_"&amp;$A449,'Investment Strategies'!$C:$P,14,FALSE),
IF(AND(Investment_Strategy="Lifecycle",Investment_Strategy_Sub1="Standard"),VLOOKUP(Investment_Strategy&amp;"_"&amp;Investment_Strategy_Sub2&amp;"_"&amp;$A449,'Investment Strategies'!$AJ:$AV,13,FALSE),
IF(AND(Investment_Strategy="Autopilot",Investment_Strategy_Sub1="Non-Standard"),VLOOKUP(Investment_Strategy&amp;"_"&amp;Investment_Strategy_Sub2&amp;"_"&amp;$A449,'Investment Strategies'!$T:$AF,13,FALSE),
IF(Investment_Strategy="DIY",DIY_ExtManChrge_CurrentFunds,
"Error"))))))</f>
        <v>0</v>
      </c>
      <c r="H449" s="16">
        <f t="shared" si="255"/>
        <v>0</v>
      </c>
      <c r="I449" s="16">
        <f t="shared" si="240"/>
        <v>0</v>
      </c>
      <c r="J449" s="16">
        <f t="shared" si="241"/>
        <v>0</v>
      </c>
      <c r="K449" s="16">
        <f>(Opening_Fund_Value+SUM(K$91:K448))*E449*IF(D449=$A$91,SRP_finalmonthfactor,1)</f>
        <v>0</v>
      </c>
      <c r="L449" s="74">
        <f>MIN(IF($AV449=0,0,
IF(Investment_Strategy="DIS",VLOOKUP(Investment_Strategy&amp;"_"&amp;Investment_Strategy_Sub1&amp;"_"&amp;$A449,'Investment Strategies'!$AZ:$BP,12,FALSE),
IF(AND(Investment_Strategy="Lifecycle",Investment_Strategy_Sub1="Non-Standard"),VLOOKUP(Investment_Strategy&amp;"_"&amp;Investment_Strategy_Sub2&amp;"_"&amp;$A449,'Investment Strategies'!$C:$P,9,FALSE),
IF(AND(Investment_Strategy="Lifecycle",Investment_Strategy_Sub1="Standard"),VLOOKUP(Investment_Strategy&amp;"_"&amp;Investment_Strategy_Sub2&amp;"_"&amp;$A449,'Investment Strategies'!$AJ:$AV,8,FALSE),
IF(AND(Investment_Strategy="Autopilot",Investment_Strategy_Sub1="Non-Standard"),VLOOKUP(Investment_Strategy&amp;"_"&amp;Investment_Strategy_Sub2&amp;"_"&amp;$A449,'Investment Strategies'!$T:$AF,8,FALSE),
IF(Investment_Strategy ="DIY",DIY_RateofReturn_SP,
"Error")))))),Max_InvReturn)</f>
        <v>0</v>
      </c>
      <c r="M449" s="62">
        <f>IF($AV449=0,0,
IF(Investment_Strategy="DIS",VLOOKUP(Investment_Strategy&amp;"_"&amp;Investment_Strategy_Sub1&amp;"_"&amp;$A449,'Investment Strategies'!$AZ:$BP,15,FALSE),
IF(AND(Investment_Strategy="Lifecycle",Investment_Strategy_Sub1="Non-Standard"),VLOOKUP(Investment_Strategy&amp;"_"&amp;Investment_Strategy_Sub2&amp;"_"&amp;$A449,'Investment Strategies'!$C:$P,12,FALSE),
IF(AND(Investment_Strategy="Lifecycle",Investment_Strategy_Sub1="Standard"),VLOOKUP(Investment_Strategy&amp;"_"&amp;Investment_Strategy_Sub2&amp;"_"&amp;$A449,'Investment Strategies'!$AJ:$AV,11,FALSE),
IF(AND(Investment_Strategy="Autopilot",Investment_Strategy_Sub1="Non-Standard"),VLOOKUP(Investment_Strategy&amp;"_"&amp;Investment_Strategy_Sub2&amp;"_"&amp;$A449,'Investment Strategies'!$T:$AF,11,FALSE),
IF(Investment_Strategy="DIY",DIY_GteeChrge_SP,
"Error"))))))</f>
        <v>0</v>
      </c>
      <c r="N449" s="33">
        <f>IF($AV449=0,0,
IF(Investment_Strategy="DIS",VLOOKUP(Investment_Strategy&amp;"_"&amp;Investment_Strategy_Sub1&amp;"_"&amp;$A449,'Investment Strategies'!$AZ:$BP,17,FALSE),
IF(AND(Investment_Strategy="Lifecycle",Investment_Strategy_Sub1="Non-Standard"),VLOOKUP(Investment_Strategy&amp;"_"&amp;Investment_Strategy_Sub2&amp;"_"&amp;$A449,'Investment Strategies'!$C:$P,14,FALSE),
IF(AND(Investment_Strategy="Lifecycle",Investment_Strategy_Sub1="Standard"),VLOOKUP(Investment_Strategy&amp;"_"&amp;Investment_Strategy_Sub2&amp;"_"&amp;$A449,'Investment Strategies'!$AJ:$AV,13,FALSE),
IF(AND(Investment_Strategy="Autopilot",Investment_Strategy_Sub1="Non-Standard"),VLOOKUP(Investment_Strategy&amp;"_"&amp;Investment_Strategy_Sub2&amp;"_"&amp;$A449,'Investment Strategies'!$T:$AF,13,FALSE),
IF(Investment_Strategy="DIY",DIY_ExtManChrge_SP,
"Error"))))))</f>
        <v>0</v>
      </c>
      <c r="O449" s="16">
        <f t="shared" si="266"/>
        <v>0</v>
      </c>
      <c r="Q449" s="16">
        <f t="shared" si="242"/>
        <v>0</v>
      </c>
      <c r="R449" s="16">
        <f t="shared" si="239"/>
        <v>0</v>
      </c>
      <c r="S449" s="16">
        <f>(SRP_SP+SUM(S$91:S448))*L449*IF(D449=$A$91,SRP_finalmonthfactor,1)</f>
        <v>0</v>
      </c>
      <c r="T449" s="74">
        <f>MIN(IF($AV449=0,0,
IF(Investment_Strategy="DIS",VLOOKUP(Investment_Strategy&amp;"_"&amp;Investment_Strategy_Sub1&amp;"_"&amp;$A449,'Investment Strategies'!$AZ:$BP,12,FALSE),
IF(AND(Investment_Strategy="Lifecycle",Investment_Strategy_Sub1="Non-Standard"),VLOOKUP(Investment_Strategy&amp;"_"&amp;Investment_Strategy_Sub2&amp;"_"&amp;$A449,'Investment Strategies'!$C:$P,9,FALSE),
IF(AND(Investment_Strategy="Lifecycle",Investment_Strategy_Sub1="Standard"),VLOOKUP(Investment_Strategy&amp;"_"&amp;Investment_Strategy_Sub2&amp;"_"&amp;$A449,'Investment Strategies'!$AJ:$AV,8,FALSE),
IF(AND(Investment_Strategy="Autopilot",Investment_Strategy_Sub1="Non-Standard"),VLOOKUP(Investment_Strategy&amp;"_"&amp;Investment_Strategy_Sub2&amp;"_"&amp;$A449,'Investment Strategies'!$T:$AF,8,FALSE),
IF(Investment_Strategy ="DIY",DIY_RateOfReturn_FuturePremiums,
"Error")))))),Max_InvReturn)</f>
        <v>0</v>
      </c>
      <c r="U449" s="62">
        <f>IF($AV449=0,0,
IF(Investment_Strategy="DIS",VLOOKUP(Investment_Strategy&amp;"_"&amp;Investment_Strategy_Sub1&amp;"_"&amp;$A449,'Investment Strategies'!$AZ:$BP,15,FALSE),
IF(AND(Investment_Strategy="Lifecycle",Investment_Strategy_Sub1="Non-Standard"),VLOOKUP(Investment_Strategy&amp;"_"&amp;Investment_Strategy_Sub2&amp;"_"&amp;$A449,'Investment Strategies'!$C:$P,12,FALSE),
IF(AND(Investment_Strategy="Lifecycle",Investment_Strategy_Sub1="Standard"),VLOOKUP(Investment_Strategy&amp;"_"&amp;Investment_Strategy_Sub2&amp;"_"&amp;$A449,'Investment Strategies'!$AJ:$AV,11,FALSE),
IF(AND(Investment_Strategy="Autopilot",Investment_Strategy_Sub1="Non-Standard"),VLOOKUP(Investment_Strategy&amp;"_"&amp;Investment_Strategy_Sub2&amp;"_"&amp;$A449,'Investment Strategies'!$T:$AF,11,FALSE),
IF(Investment_Strategy="DIY",DIY_GteeChrge_FuturePremiums,
"Error"))))))</f>
        <v>0</v>
      </c>
      <c r="V449" s="33">
        <f>IF(AV449=0,0,
IF(Investment_Strategy="DIS",VLOOKUP(Investment_Strategy&amp;"_"&amp;Investment_Strategy_Sub1&amp;"_"&amp;$A449,'Investment Strategies'!$AZ:$BP,17,FALSE),
IF(AND(Investment_Strategy="Lifecycle",Investment_Strategy_Sub1="Non-Standard"),VLOOKUP(Investment_Strategy&amp;"_"&amp;Investment_Strategy_Sub2&amp;"_"&amp;$A449,'Investment Strategies'!$C:$P,14,FALSE),
IF(AND(Investment_Strategy="Lifecycle",Investment_Strategy_Sub1="Standard"),VLOOKUP(Investment_Strategy&amp;"_"&amp;Investment_Strategy_Sub2&amp;"_"&amp;$A449,'Investment Strategies'!$AJ:$AV,13,FALSE),
IF(AND(Investment_Strategy="Autopilot",Investment_Strategy_Sub1="Non-Standard"),VLOOKUP(Investment_Strategy&amp;"_"&amp;Investment_Strategy_Sub2&amp;"_"&amp;$A449,'Investment Strategies'!$T:$AF,13,FALSE),
IF(Investment_Strategy="DIY",DIY_ExtManChrge_FuturePremiums,
"Error"))))))</f>
        <v>0</v>
      </c>
      <c r="W449" s="16">
        <f t="shared" si="267"/>
        <v>0</v>
      </c>
      <c r="X449" s="16">
        <f t="shared" si="243"/>
        <v>0</v>
      </c>
      <c r="Y449" s="16">
        <f t="shared" si="244"/>
        <v>0</v>
      </c>
      <c r="Z449" s="31">
        <f t="shared" si="245"/>
        <v>0.02</v>
      </c>
      <c r="AA449" s="16">
        <f t="shared" si="246"/>
        <v>0</v>
      </c>
      <c r="AB449" s="28">
        <f t="shared" si="268"/>
        <v>0</v>
      </c>
      <c r="AC449" s="28">
        <f>(SUM($AC$91:AC448)+SUM($X$91:X448)+X449)*T449*IF(D449=$A$91,SRP_finalmonthfactor,1)</f>
        <v>0</v>
      </c>
      <c r="AD449" s="16">
        <f t="shared" si="247"/>
        <v>0</v>
      </c>
      <c r="AE449" s="106"/>
      <c r="AF449" s="16">
        <f t="shared" si="256"/>
        <v>0</v>
      </c>
      <c r="AG449" s="16">
        <f t="shared" si="257"/>
        <v>0</v>
      </c>
      <c r="AH449" s="16">
        <f t="shared" si="258"/>
        <v>0</v>
      </c>
      <c r="AJ449" s="13">
        <f t="shared" si="271"/>
        <v>0</v>
      </c>
      <c r="AK449" s="13">
        <f t="shared" si="271"/>
        <v>0</v>
      </c>
      <c r="AL449" s="13">
        <f t="shared" si="271"/>
        <v>0</v>
      </c>
      <c r="AM449" s="13">
        <f t="shared" si="271"/>
        <v>0</v>
      </c>
      <c r="AN449" s="13">
        <f t="shared" si="271"/>
        <v>0</v>
      </c>
      <c r="AO449" s="13">
        <f t="shared" si="271"/>
        <v>1</v>
      </c>
      <c r="AP449" s="13">
        <f t="shared" si="271"/>
        <v>1</v>
      </c>
      <c r="AQ449" s="13">
        <f t="shared" si="271"/>
        <v>1</v>
      </c>
      <c r="AR449" s="13">
        <f t="shared" si="271"/>
        <v>0</v>
      </c>
      <c r="AS449" s="13">
        <f t="shared" si="271"/>
        <v>1</v>
      </c>
      <c r="AT449" s="13">
        <f t="shared" si="271"/>
        <v>1</v>
      </c>
      <c r="AU449" s="13">
        <f t="shared" si="271"/>
        <v>1</v>
      </c>
      <c r="AV449" s="13">
        <f t="shared" si="249"/>
        <v>0</v>
      </c>
      <c r="AW449" s="13">
        <f t="shared" si="250"/>
        <v>1</v>
      </c>
      <c r="AY449" s="17">
        <f t="shared" si="251"/>
        <v>359</v>
      </c>
      <c r="AZ449" s="28">
        <f t="shared" si="259"/>
        <v>0</v>
      </c>
      <c r="BA449" s="13">
        <f t="shared" si="252"/>
        <v>0</v>
      </c>
      <c r="BB449" s="13">
        <f t="shared" si="253"/>
        <v>0</v>
      </c>
      <c r="BC449" s="28">
        <f t="shared" si="260"/>
        <v>0</v>
      </c>
      <c r="BD449" s="28">
        <f t="shared" si="261"/>
        <v>0</v>
      </c>
      <c r="BF449" s="248">
        <f t="shared" si="262"/>
        <v>993869.29442638322</v>
      </c>
    </row>
    <row r="450" spans="1:58">
      <c r="A450" s="32">
        <f t="shared" si="263"/>
        <v>-275</v>
      </c>
      <c r="B450" s="32">
        <f t="shared" si="254"/>
        <v>82</v>
      </c>
      <c r="C450" s="32">
        <f t="shared" si="264"/>
        <v>30</v>
      </c>
      <c r="D450" s="32">
        <f t="shared" si="265"/>
        <v>360</v>
      </c>
      <c r="E450" s="74">
        <f>MIN(IF(AV450=0,0,
IF(Investment_Strategy="DIS",VLOOKUP(Investment_Strategy&amp;"_"&amp;Investment_Strategy_Sub1&amp;"_"&amp;$A450,'Investment Strategies'!$AZ:$BP,12,FALSE),
IF(AND(Investment_Strategy="Lifecycle",Investment_Strategy_Sub1="Non-Standard"),VLOOKUP(Investment_Strategy&amp;"_"&amp;Investment_Strategy_Sub2&amp;"_"&amp;$A450,'Investment Strategies'!$C:$P,9,FALSE),
IF(AND(Investment_Strategy="Lifecycle",Investment_Strategy_Sub1="Standard"),VLOOKUP(Investment_Strategy&amp;"_"&amp;Investment_Strategy_Sub2&amp;"_"&amp;$A450,'Investment Strategies'!$AJ:$AV,8,FALSE),
IF(AND(Investment_Strategy="Autopilot",Investment_Strategy_Sub1="Non-Standard"),VLOOKUP(Investment_Strategy&amp;"_"&amp;Investment_Strategy_Sub2&amp;"_"&amp;$A450,'Investment Strategies'!$T:$AF,8,FALSE),
IF(Investment_Strategy ="DIY",DIY_RateOfReturn_CurrentFunds,
"Error")))))),Max_InvReturn)</f>
        <v>0</v>
      </c>
      <c r="F450" s="62">
        <f>IF(AV450=0,0,
IF(Investment_Strategy="DIS",VLOOKUP(Investment_Strategy&amp;"_"&amp;Investment_Strategy_Sub1&amp;"_"&amp;$A450,'Investment Strategies'!$AZ:$BP,15,FALSE),
IF(AND(Investment_Strategy="Lifecycle",Investment_Strategy_Sub1="Non-Standard"),VLOOKUP(Investment_Strategy&amp;"_"&amp;Investment_Strategy_Sub2&amp;"_"&amp;$A450,'Investment Strategies'!$C:$P,12,FALSE),
IF(AND(Investment_Strategy="Lifecycle",Investment_Strategy_Sub1="Standard"),VLOOKUP(Investment_Strategy&amp;"_"&amp;Investment_Strategy_Sub2&amp;"_"&amp;$A450,'Investment Strategies'!$AJ:$AV,11,FALSE),
IF(AND(Investment_Strategy="Autopilot",Investment_Strategy_Sub1="Non-Standard"),VLOOKUP(Investment_Strategy&amp;"_"&amp;Investment_Strategy_Sub2&amp;"_"&amp;$A450,'Investment Strategies'!$T:$AF,11,FALSE),
IF(Investment_Strategy="DIY",DIY_GteeChrge_CurrentFunds,
"Error"))))))</f>
        <v>0</v>
      </c>
      <c r="G450" s="33">
        <f>IF(AV450=0,0,
IF(Investment_Strategy="DIS",VLOOKUP(Investment_Strategy&amp;"_"&amp;Investment_Strategy_Sub1&amp;"_"&amp;$A450,'Investment Strategies'!$AZ:$BP,17,FALSE),
IF(AND(Investment_Strategy="Lifecycle",Investment_Strategy_Sub1="Non-Standard"),VLOOKUP(Investment_Strategy&amp;"_"&amp;Investment_Strategy_Sub2&amp;"_"&amp;$A450,'Investment Strategies'!$C:$P,14,FALSE),
IF(AND(Investment_Strategy="Lifecycle",Investment_Strategy_Sub1="Standard"),VLOOKUP(Investment_Strategy&amp;"_"&amp;Investment_Strategy_Sub2&amp;"_"&amp;$A450,'Investment Strategies'!$AJ:$AV,13,FALSE),
IF(AND(Investment_Strategy="Autopilot",Investment_Strategy_Sub1="Non-Standard"),VLOOKUP(Investment_Strategy&amp;"_"&amp;Investment_Strategy_Sub2&amp;"_"&amp;$A450,'Investment Strategies'!$T:$AF,13,FALSE),
IF(Investment_Strategy="DIY",DIY_ExtManChrge_CurrentFunds,
"Error"))))))</f>
        <v>0</v>
      </c>
      <c r="H450" s="16">
        <f t="shared" si="255"/>
        <v>0</v>
      </c>
      <c r="I450" s="16">
        <f t="shared" si="240"/>
        <v>0</v>
      </c>
      <c r="J450" s="16">
        <f t="shared" si="241"/>
        <v>0</v>
      </c>
      <c r="K450" s="16">
        <f>(Opening_Fund_Value+SUM(K$91:K449))*E450*IF(D450=$A$91,SRP_finalmonthfactor,1)</f>
        <v>0</v>
      </c>
      <c r="L450" s="74">
        <f>MIN(IF($AV450=0,0,
IF(Investment_Strategy="DIS",VLOOKUP(Investment_Strategy&amp;"_"&amp;Investment_Strategy_Sub1&amp;"_"&amp;$A450,'Investment Strategies'!$AZ:$BP,12,FALSE),
IF(AND(Investment_Strategy="Lifecycle",Investment_Strategy_Sub1="Non-Standard"),VLOOKUP(Investment_Strategy&amp;"_"&amp;Investment_Strategy_Sub2&amp;"_"&amp;$A450,'Investment Strategies'!$C:$P,9,FALSE),
IF(AND(Investment_Strategy="Lifecycle",Investment_Strategy_Sub1="Standard"),VLOOKUP(Investment_Strategy&amp;"_"&amp;Investment_Strategy_Sub2&amp;"_"&amp;$A450,'Investment Strategies'!$AJ:$AV,8,FALSE),
IF(AND(Investment_Strategy="Autopilot",Investment_Strategy_Sub1="Non-Standard"),VLOOKUP(Investment_Strategy&amp;"_"&amp;Investment_Strategy_Sub2&amp;"_"&amp;$A450,'Investment Strategies'!$T:$AF,8,FALSE),
IF(Investment_Strategy ="DIY",DIY_RateofReturn_SP,
"Error")))))),Max_InvReturn)</f>
        <v>0</v>
      </c>
      <c r="M450" s="62">
        <f>IF($AV450=0,0,
IF(Investment_Strategy="DIS",VLOOKUP(Investment_Strategy&amp;"_"&amp;Investment_Strategy_Sub1&amp;"_"&amp;$A450,'Investment Strategies'!$AZ:$BP,15,FALSE),
IF(AND(Investment_Strategy="Lifecycle",Investment_Strategy_Sub1="Non-Standard"),VLOOKUP(Investment_Strategy&amp;"_"&amp;Investment_Strategy_Sub2&amp;"_"&amp;$A450,'Investment Strategies'!$C:$P,12,FALSE),
IF(AND(Investment_Strategy="Lifecycle",Investment_Strategy_Sub1="Standard"),VLOOKUP(Investment_Strategy&amp;"_"&amp;Investment_Strategy_Sub2&amp;"_"&amp;$A450,'Investment Strategies'!$AJ:$AV,11,FALSE),
IF(AND(Investment_Strategy="Autopilot",Investment_Strategy_Sub1="Non-Standard"),VLOOKUP(Investment_Strategy&amp;"_"&amp;Investment_Strategy_Sub2&amp;"_"&amp;$A450,'Investment Strategies'!$T:$AF,11,FALSE),
IF(Investment_Strategy="DIY",DIY_GteeChrge_SP,
"Error"))))))</f>
        <v>0</v>
      </c>
      <c r="N450" s="33">
        <f>IF($AV450=0,0,
IF(Investment_Strategy="DIS",VLOOKUP(Investment_Strategy&amp;"_"&amp;Investment_Strategy_Sub1&amp;"_"&amp;$A450,'Investment Strategies'!$AZ:$BP,17,FALSE),
IF(AND(Investment_Strategy="Lifecycle",Investment_Strategy_Sub1="Non-Standard"),VLOOKUP(Investment_Strategy&amp;"_"&amp;Investment_Strategy_Sub2&amp;"_"&amp;$A450,'Investment Strategies'!$C:$P,14,FALSE),
IF(AND(Investment_Strategy="Lifecycle",Investment_Strategy_Sub1="Standard"),VLOOKUP(Investment_Strategy&amp;"_"&amp;Investment_Strategy_Sub2&amp;"_"&amp;$A450,'Investment Strategies'!$AJ:$AV,13,FALSE),
IF(AND(Investment_Strategy="Autopilot",Investment_Strategy_Sub1="Non-Standard"),VLOOKUP(Investment_Strategy&amp;"_"&amp;Investment_Strategy_Sub2&amp;"_"&amp;$A450,'Investment Strategies'!$T:$AF,13,FALSE),
IF(Investment_Strategy="DIY",DIY_ExtManChrge_SP,
"Error"))))))</f>
        <v>0</v>
      </c>
      <c r="O450" s="16">
        <f t="shared" si="266"/>
        <v>0</v>
      </c>
      <c r="Q450" s="16">
        <f t="shared" si="242"/>
        <v>0</v>
      </c>
      <c r="R450" s="16">
        <f t="shared" si="239"/>
        <v>0</v>
      </c>
      <c r="S450" s="16">
        <f>(SRP_SP+SUM(S$91:S449))*L450*IF(D450=$A$91,SRP_finalmonthfactor,1)</f>
        <v>0</v>
      </c>
      <c r="T450" s="74">
        <f>MIN(IF($AV450=0,0,
IF(Investment_Strategy="DIS",VLOOKUP(Investment_Strategy&amp;"_"&amp;Investment_Strategy_Sub1&amp;"_"&amp;$A450,'Investment Strategies'!$AZ:$BP,12,FALSE),
IF(AND(Investment_Strategy="Lifecycle",Investment_Strategy_Sub1="Non-Standard"),VLOOKUP(Investment_Strategy&amp;"_"&amp;Investment_Strategy_Sub2&amp;"_"&amp;$A450,'Investment Strategies'!$C:$P,9,FALSE),
IF(AND(Investment_Strategy="Lifecycle",Investment_Strategy_Sub1="Standard"),VLOOKUP(Investment_Strategy&amp;"_"&amp;Investment_Strategy_Sub2&amp;"_"&amp;$A450,'Investment Strategies'!$AJ:$AV,8,FALSE),
IF(AND(Investment_Strategy="Autopilot",Investment_Strategy_Sub1="Non-Standard"),VLOOKUP(Investment_Strategy&amp;"_"&amp;Investment_Strategy_Sub2&amp;"_"&amp;$A450,'Investment Strategies'!$T:$AF,8,FALSE),
IF(Investment_Strategy ="DIY",DIY_RateOfReturn_FuturePremiums,
"Error")))))),Max_InvReturn)</f>
        <v>0</v>
      </c>
      <c r="U450" s="62">
        <f>IF($AV450=0,0,
IF(Investment_Strategy="DIS",VLOOKUP(Investment_Strategy&amp;"_"&amp;Investment_Strategy_Sub1&amp;"_"&amp;$A450,'Investment Strategies'!$AZ:$BP,15,FALSE),
IF(AND(Investment_Strategy="Lifecycle",Investment_Strategy_Sub1="Non-Standard"),VLOOKUP(Investment_Strategy&amp;"_"&amp;Investment_Strategy_Sub2&amp;"_"&amp;$A450,'Investment Strategies'!$C:$P,12,FALSE),
IF(AND(Investment_Strategy="Lifecycle",Investment_Strategy_Sub1="Standard"),VLOOKUP(Investment_Strategy&amp;"_"&amp;Investment_Strategy_Sub2&amp;"_"&amp;$A450,'Investment Strategies'!$AJ:$AV,11,FALSE),
IF(AND(Investment_Strategy="Autopilot",Investment_Strategy_Sub1="Non-Standard"),VLOOKUP(Investment_Strategy&amp;"_"&amp;Investment_Strategy_Sub2&amp;"_"&amp;$A450,'Investment Strategies'!$T:$AF,11,FALSE),
IF(Investment_Strategy="DIY",DIY_GteeChrge_FuturePremiums,
"Error"))))))</f>
        <v>0</v>
      </c>
      <c r="V450" s="33">
        <f>IF(AV450=0,0,
IF(Investment_Strategy="DIS",VLOOKUP(Investment_Strategy&amp;"_"&amp;Investment_Strategy_Sub1&amp;"_"&amp;$A450,'Investment Strategies'!$AZ:$BP,17,FALSE),
IF(AND(Investment_Strategy="Lifecycle",Investment_Strategy_Sub1="Non-Standard"),VLOOKUP(Investment_Strategy&amp;"_"&amp;Investment_Strategy_Sub2&amp;"_"&amp;$A450,'Investment Strategies'!$C:$P,14,FALSE),
IF(AND(Investment_Strategy="Lifecycle",Investment_Strategy_Sub1="Standard"),VLOOKUP(Investment_Strategy&amp;"_"&amp;Investment_Strategy_Sub2&amp;"_"&amp;$A450,'Investment Strategies'!$AJ:$AV,13,FALSE),
IF(AND(Investment_Strategy="Autopilot",Investment_Strategy_Sub1="Non-Standard"),VLOOKUP(Investment_Strategy&amp;"_"&amp;Investment_Strategy_Sub2&amp;"_"&amp;$A450,'Investment Strategies'!$T:$AF,13,FALSE),
IF(Investment_Strategy="DIY",DIY_ExtManChrge_FuturePremiums,
"Error"))))))</f>
        <v>0</v>
      </c>
      <c r="W450" s="16">
        <f t="shared" si="267"/>
        <v>0</v>
      </c>
      <c r="X450" s="16">
        <f t="shared" si="243"/>
        <v>0</v>
      </c>
      <c r="Y450" s="16">
        <f t="shared" si="244"/>
        <v>0</v>
      </c>
      <c r="Z450" s="31">
        <f t="shared" si="245"/>
        <v>0.02</v>
      </c>
      <c r="AA450" s="16">
        <f t="shared" si="246"/>
        <v>0</v>
      </c>
      <c r="AB450" s="28">
        <f t="shared" si="268"/>
        <v>0</v>
      </c>
      <c r="AC450" s="28">
        <f>(SUM($AC$91:AC449)+SUM($X$91:X449)+X450)*T450*IF(D450=$A$91,SRP_finalmonthfactor,1)</f>
        <v>0</v>
      </c>
      <c r="AD450" s="16">
        <f t="shared" si="247"/>
        <v>0</v>
      </c>
      <c r="AE450" s="106"/>
      <c r="AF450" s="16">
        <f t="shared" si="256"/>
        <v>0</v>
      </c>
      <c r="AG450" s="16">
        <f t="shared" si="257"/>
        <v>0</v>
      </c>
      <c r="AH450" s="16">
        <f t="shared" si="258"/>
        <v>0</v>
      </c>
      <c r="AJ450" s="13">
        <f t="shared" si="271"/>
        <v>0</v>
      </c>
      <c r="AK450" s="13">
        <f t="shared" si="271"/>
        <v>0</v>
      </c>
      <c r="AL450" s="13">
        <f t="shared" si="271"/>
        <v>0</v>
      </c>
      <c r="AM450" s="13">
        <f t="shared" si="271"/>
        <v>0</v>
      </c>
      <c r="AN450" s="13">
        <f t="shared" si="271"/>
        <v>0</v>
      </c>
      <c r="AO450" s="13">
        <f t="shared" si="271"/>
        <v>1</v>
      </c>
      <c r="AP450" s="13">
        <f t="shared" si="271"/>
        <v>1</v>
      </c>
      <c r="AQ450" s="13">
        <f t="shared" si="271"/>
        <v>1</v>
      </c>
      <c r="AR450" s="13">
        <f t="shared" si="271"/>
        <v>0</v>
      </c>
      <c r="AS450" s="13">
        <f t="shared" si="271"/>
        <v>1</v>
      </c>
      <c r="AT450" s="13">
        <f t="shared" si="271"/>
        <v>1</v>
      </c>
      <c r="AU450" s="13">
        <f t="shared" si="271"/>
        <v>1</v>
      </c>
      <c r="AV450" s="13">
        <f t="shared" si="249"/>
        <v>0</v>
      </c>
      <c r="AW450" s="13">
        <f t="shared" si="250"/>
        <v>1</v>
      </c>
      <c r="AY450" s="17">
        <f t="shared" si="251"/>
        <v>360</v>
      </c>
      <c r="AZ450" s="28">
        <f t="shared" si="259"/>
        <v>0</v>
      </c>
      <c r="BA450" s="13">
        <f t="shared" si="252"/>
        <v>0</v>
      </c>
      <c r="BB450" s="13">
        <f t="shared" si="253"/>
        <v>0</v>
      </c>
      <c r="BC450" s="28">
        <f t="shared" si="260"/>
        <v>0</v>
      </c>
      <c r="BD450" s="28">
        <f t="shared" si="261"/>
        <v>0</v>
      </c>
      <c r="BF450" s="248">
        <f t="shared" si="262"/>
        <v>993869.29442638322</v>
      </c>
    </row>
    <row r="451" spans="1:58">
      <c r="A451" s="32">
        <f t="shared" si="263"/>
        <v>-276</v>
      </c>
      <c r="B451" s="32">
        <f t="shared" si="254"/>
        <v>83</v>
      </c>
      <c r="C451" s="32">
        <f t="shared" si="264"/>
        <v>31</v>
      </c>
      <c r="D451" s="32">
        <f t="shared" si="265"/>
        <v>361</v>
      </c>
      <c r="E451" s="74">
        <f>MIN(IF(AV451=0,0,
IF(Investment_Strategy="DIS",VLOOKUP(Investment_Strategy&amp;"_"&amp;Investment_Strategy_Sub1&amp;"_"&amp;$A451,'Investment Strategies'!$AZ:$BP,12,FALSE),
IF(AND(Investment_Strategy="Lifecycle",Investment_Strategy_Sub1="Non-Standard"),VLOOKUP(Investment_Strategy&amp;"_"&amp;Investment_Strategy_Sub2&amp;"_"&amp;$A451,'Investment Strategies'!$C:$P,9,FALSE),
IF(AND(Investment_Strategy="Lifecycle",Investment_Strategy_Sub1="Standard"),VLOOKUP(Investment_Strategy&amp;"_"&amp;Investment_Strategy_Sub2&amp;"_"&amp;$A451,'Investment Strategies'!$AJ:$AV,8,FALSE),
IF(AND(Investment_Strategy="Autopilot",Investment_Strategy_Sub1="Non-Standard"),VLOOKUP(Investment_Strategy&amp;"_"&amp;Investment_Strategy_Sub2&amp;"_"&amp;$A451,'Investment Strategies'!$T:$AF,8,FALSE),
IF(Investment_Strategy ="DIY",DIY_RateOfReturn_CurrentFunds,
"Error")))))),Max_InvReturn)</f>
        <v>0</v>
      </c>
      <c r="F451" s="62">
        <f>IF(AV451=0,0,
IF(Investment_Strategy="DIS",VLOOKUP(Investment_Strategy&amp;"_"&amp;Investment_Strategy_Sub1&amp;"_"&amp;$A451,'Investment Strategies'!$AZ:$BP,15,FALSE),
IF(AND(Investment_Strategy="Lifecycle",Investment_Strategy_Sub1="Non-Standard"),VLOOKUP(Investment_Strategy&amp;"_"&amp;Investment_Strategy_Sub2&amp;"_"&amp;$A451,'Investment Strategies'!$C:$P,12,FALSE),
IF(AND(Investment_Strategy="Lifecycle",Investment_Strategy_Sub1="Standard"),VLOOKUP(Investment_Strategy&amp;"_"&amp;Investment_Strategy_Sub2&amp;"_"&amp;$A451,'Investment Strategies'!$AJ:$AV,11,FALSE),
IF(AND(Investment_Strategy="Autopilot",Investment_Strategy_Sub1="Non-Standard"),VLOOKUP(Investment_Strategy&amp;"_"&amp;Investment_Strategy_Sub2&amp;"_"&amp;$A451,'Investment Strategies'!$T:$AF,11,FALSE),
IF(Investment_Strategy="DIY",DIY_GteeChrge_CurrentFunds,
"Error"))))))</f>
        <v>0</v>
      </c>
      <c r="G451" s="33">
        <f>IF(AV451=0,0,
IF(Investment_Strategy="DIS",VLOOKUP(Investment_Strategy&amp;"_"&amp;Investment_Strategy_Sub1&amp;"_"&amp;$A451,'Investment Strategies'!$AZ:$BP,17,FALSE),
IF(AND(Investment_Strategy="Lifecycle",Investment_Strategy_Sub1="Non-Standard"),VLOOKUP(Investment_Strategy&amp;"_"&amp;Investment_Strategy_Sub2&amp;"_"&amp;$A451,'Investment Strategies'!$C:$P,14,FALSE),
IF(AND(Investment_Strategy="Lifecycle",Investment_Strategy_Sub1="Standard"),VLOOKUP(Investment_Strategy&amp;"_"&amp;Investment_Strategy_Sub2&amp;"_"&amp;$A451,'Investment Strategies'!$AJ:$AV,13,FALSE),
IF(AND(Investment_Strategy="Autopilot",Investment_Strategy_Sub1="Non-Standard"),VLOOKUP(Investment_Strategy&amp;"_"&amp;Investment_Strategy_Sub2&amp;"_"&amp;$A451,'Investment Strategies'!$T:$AF,13,FALSE),
IF(Investment_Strategy="DIY",DIY_ExtManChrge_CurrentFunds,
"Error"))))))</f>
        <v>0</v>
      </c>
      <c r="H451" s="16">
        <f t="shared" si="255"/>
        <v>0</v>
      </c>
      <c r="I451" s="16">
        <f t="shared" si="240"/>
        <v>0</v>
      </c>
      <c r="J451" s="16">
        <f t="shared" si="241"/>
        <v>0</v>
      </c>
      <c r="K451" s="16">
        <f>(Opening_Fund_Value+SUM(K$91:K450))*E451*IF(D451=$A$91,SRP_finalmonthfactor,1)</f>
        <v>0</v>
      </c>
      <c r="L451" s="74">
        <f>MIN(IF($AV451=0,0,
IF(Investment_Strategy="DIS",VLOOKUP(Investment_Strategy&amp;"_"&amp;Investment_Strategy_Sub1&amp;"_"&amp;$A451,'Investment Strategies'!$AZ:$BP,12,FALSE),
IF(AND(Investment_Strategy="Lifecycle",Investment_Strategy_Sub1="Non-Standard"),VLOOKUP(Investment_Strategy&amp;"_"&amp;Investment_Strategy_Sub2&amp;"_"&amp;$A451,'Investment Strategies'!$C:$P,9,FALSE),
IF(AND(Investment_Strategy="Lifecycle",Investment_Strategy_Sub1="Standard"),VLOOKUP(Investment_Strategy&amp;"_"&amp;Investment_Strategy_Sub2&amp;"_"&amp;$A451,'Investment Strategies'!$AJ:$AV,8,FALSE),
IF(AND(Investment_Strategy="Autopilot",Investment_Strategy_Sub1="Non-Standard"),VLOOKUP(Investment_Strategy&amp;"_"&amp;Investment_Strategy_Sub2&amp;"_"&amp;$A451,'Investment Strategies'!$T:$AF,8,FALSE),
IF(Investment_Strategy ="DIY",DIY_RateofReturn_SP,
"Error")))))),Max_InvReturn)</f>
        <v>0</v>
      </c>
      <c r="M451" s="62">
        <f>IF($AV451=0,0,
IF(Investment_Strategy="DIS",VLOOKUP(Investment_Strategy&amp;"_"&amp;Investment_Strategy_Sub1&amp;"_"&amp;$A451,'Investment Strategies'!$AZ:$BP,15,FALSE),
IF(AND(Investment_Strategy="Lifecycle",Investment_Strategy_Sub1="Non-Standard"),VLOOKUP(Investment_Strategy&amp;"_"&amp;Investment_Strategy_Sub2&amp;"_"&amp;$A451,'Investment Strategies'!$C:$P,12,FALSE),
IF(AND(Investment_Strategy="Lifecycle",Investment_Strategy_Sub1="Standard"),VLOOKUP(Investment_Strategy&amp;"_"&amp;Investment_Strategy_Sub2&amp;"_"&amp;$A451,'Investment Strategies'!$AJ:$AV,11,FALSE),
IF(AND(Investment_Strategy="Autopilot",Investment_Strategy_Sub1="Non-Standard"),VLOOKUP(Investment_Strategy&amp;"_"&amp;Investment_Strategy_Sub2&amp;"_"&amp;$A451,'Investment Strategies'!$T:$AF,11,FALSE),
IF(Investment_Strategy="DIY",DIY_GteeChrge_SP,
"Error"))))))</f>
        <v>0</v>
      </c>
      <c r="N451" s="33">
        <f>IF($AV451=0,0,
IF(Investment_Strategy="DIS",VLOOKUP(Investment_Strategy&amp;"_"&amp;Investment_Strategy_Sub1&amp;"_"&amp;$A451,'Investment Strategies'!$AZ:$BP,17,FALSE),
IF(AND(Investment_Strategy="Lifecycle",Investment_Strategy_Sub1="Non-Standard"),VLOOKUP(Investment_Strategy&amp;"_"&amp;Investment_Strategy_Sub2&amp;"_"&amp;$A451,'Investment Strategies'!$C:$P,14,FALSE),
IF(AND(Investment_Strategy="Lifecycle",Investment_Strategy_Sub1="Standard"),VLOOKUP(Investment_Strategy&amp;"_"&amp;Investment_Strategy_Sub2&amp;"_"&amp;$A451,'Investment Strategies'!$AJ:$AV,13,FALSE),
IF(AND(Investment_Strategy="Autopilot",Investment_Strategy_Sub1="Non-Standard"),VLOOKUP(Investment_Strategy&amp;"_"&amp;Investment_Strategy_Sub2&amp;"_"&amp;$A451,'Investment Strategies'!$T:$AF,13,FALSE),
IF(Investment_Strategy="DIY",DIY_ExtManChrge_SP,
"Error"))))))</f>
        <v>0</v>
      </c>
      <c r="O451" s="16">
        <f t="shared" si="266"/>
        <v>0</v>
      </c>
      <c r="Q451" s="16">
        <f t="shared" si="242"/>
        <v>0</v>
      </c>
      <c r="R451" s="16">
        <f t="shared" si="239"/>
        <v>0</v>
      </c>
      <c r="S451" s="16">
        <f>(SRP_SP+SUM(S$91:S450))*L451*IF(D451=$A$91,SRP_finalmonthfactor,1)</f>
        <v>0</v>
      </c>
      <c r="T451" s="74">
        <f>MIN(IF($AV451=0,0,
IF(Investment_Strategy="DIS",VLOOKUP(Investment_Strategy&amp;"_"&amp;Investment_Strategy_Sub1&amp;"_"&amp;$A451,'Investment Strategies'!$AZ:$BP,12,FALSE),
IF(AND(Investment_Strategy="Lifecycle",Investment_Strategy_Sub1="Non-Standard"),VLOOKUP(Investment_Strategy&amp;"_"&amp;Investment_Strategy_Sub2&amp;"_"&amp;$A451,'Investment Strategies'!$C:$P,9,FALSE),
IF(AND(Investment_Strategy="Lifecycle",Investment_Strategy_Sub1="Standard"),VLOOKUP(Investment_Strategy&amp;"_"&amp;Investment_Strategy_Sub2&amp;"_"&amp;$A451,'Investment Strategies'!$AJ:$AV,8,FALSE),
IF(AND(Investment_Strategy="Autopilot",Investment_Strategy_Sub1="Non-Standard"),VLOOKUP(Investment_Strategy&amp;"_"&amp;Investment_Strategy_Sub2&amp;"_"&amp;$A451,'Investment Strategies'!$T:$AF,8,FALSE),
IF(Investment_Strategy ="DIY",DIY_RateOfReturn_FuturePremiums,
"Error")))))),Max_InvReturn)</f>
        <v>0</v>
      </c>
      <c r="U451" s="62">
        <f>IF($AV451=0,0,
IF(Investment_Strategy="DIS",VLOOKUP(Investment_Strategy&amp;"_"&amp;Investment_Strategy_Sub1&amp;"_"&amp;$A451,'Investment Strategies'!$AZ:$BP,15,FALSE),
IF(AND(Investment_Strategy="Lifecycle",Investment_Strategy_Sub1="Non-Standard"),VLOOKUP(Investment_Strategy&amp;"_"&amp;Investment_Strategy_Sub2&amp;"_"&amp;$A451,'Investment Strategies'!$C:$P,12,FALSE),
IF(AND(Investment_Strategy="Lifecycle",Investment_Strategy_Sub1="Standard"),VLOOKUP(Investment_Strategy&amp;"_"&amp;Investment_Strategy_Sub2&amp;"_"&amp;$A451,'Investment Strategies'!$AJ:$AV,11,FALSE),
IF(AND(Investment_Strategy="Autopilot",Investment_Strategy_Sub1="Non-Standard"),VLOOKUP(Investment_Strategy&amp;"_"&amp;Investment_Strategy_Sub2&amp;"_"&amp;$A451,'Investment Strategies'!$T:$AF,11,FALSE),
IF(Investment_Strategy="DIY",DIY_GteeChrge_FuturePremiums,
"Error"))))))</f>
        <v>0</v>
      </c>
      <c r="V451" s="33">
        <f>IF(AV451=0,0,
IF(Investment_Strategy="DIS",VLOOKUP(Investment_Strategy&amp;"_"&amp;Investment_Strategy_Sub1&amp;"_"&amp;$A451,'Investment Strategies'!$AZ:$BP,17,FALSE),
IF(AND(Investment_Strategy="Lifecycle",Investment_Strategy_Sub1="Non-Standard"),VLOOKUP(Investment_Strategy&amp;"_"&amp;Investment_Strategy_Sub2&amp;"_"&amp;$A451,'Investment Strategies'!$C:$P,14,FALSE),
IF(AND(Investment_Strategy="Lifecycle",Investment_Strategy_Sub1="Standard"),VLOOKUP(Investment_Strategy&amp;"_"&amp;Investment_Strategy_Sub2&amp;"_"&amp;$A451,'Investment Strategies'!$AJ:$AV,13,FALSE),
IF(AND(Investment_Strategy="Autopilot",Investment_Strategy_Sub1="Non-Standard"),VLOOKUP(Investment_Strategy&amp;"_"&amp;Investment_Strategy_Sub2&amp;"_"&amp;$A451,'Investment Strategies'!$T:$AF,13,FALSE),
IF(Investment_Strategy="DIY",DIY_ExtManChrge_FuturePremiums,
"Error"))))))</f>
        <v>0</v>
      </c>
      <c r="W451" s="16">
        <f t="shared" si="267"/>
        <v>0</v>
      </c>
      <c r="X451" s="16">
        <f t="shared" si="243"/>
        <v>0</v>
      </c>
      <c r="Y451" s="16">
        <f t="shared" si="244"/>
        <v>0</v>
      </c>
      <c r="Z451" s="31">
        <f t="shared" si="245"/>
        <v>0.02</v>
      </c>
      <c r="AA451" s="16">
        <f t="shared" si="246"/>
        <v>0</v>
      </c>
      <c r="AB451" s="28">
        <f t="shared" si="268"/>
        <v>0</v>
      </c>
      <c r="AC451" s="28">
        <f>(SUM($AC$91:AC450)+SUM($X$91:X450)+X451)*T451*IF(D451=$A$91,SRP_finalmonthfactor,1)</f>
        <v>0</v>
      </c>
      <c r="AD451" s="16">
        <f t="shared" si="247"/>
        <v>0</v>
      </c>
      <c r="AE451" s="106"/>
      <c r="AF451" s="16">
        <f t="shared" si="256"/>
        <v>0</v>
      </c>
      <c r="AG451" s="16">
        <f t="shared" si="257"/>
        <v>0</v>
      </c>
      <c r="AH451" s="16">
        <f t="shared" si="258"/>
        <v>0</v>
      </c>
      <c r="AJ451" s="13">
        <f t="shared" ref="AJ451:AU460" si="272">IF($C451&lt;=AJ$90,1,0)</f>
        <v>0</v>
      </c>
      <c r="AK451" s="13">
        <f t="shared" si="272"/>
        <v>0</v>
      </c>
      <c r="AL451" s="13">
        <f t="shared" si="272"/>
        <v>0</v>
      </c>
      <c r="AM451" s="13">
        <f t="shared" si="272"/>
        <v>0</v>
      </c>
      <c r="AN451" s="13">
        <f t="shared" si="272"/>
        <v>0</v>
      </c>
      <c r="AO451" s="13">
        <f t="shared" si="272"/>
        <v>1</v>
      </c>
      <c r="AP451" s="13">
        <f t="shared" si="272"/>
        <v>1</v>
      </c>
      <c r="AQ451" s="13">
        <f t="shared" si="272"/>
        <v>1</v>
      </c>
      <c r="AR451" s="13">
        <f t="shared" si="272"/>
        <v>0</v>
      </c>
      <c r="AS451" s="13">
        <f t="shared" si="272"/>
        <v>0</v>
      </c>
      <c r="AT451" s="13">
        <f t="shared" si="272"/>
        <v>1</v>
      </c>
      <c r="AU451" s="13">
        <f t="shared" si="272"/>
        <v>1</v>
      </c>
      <c r="AV451" s="13">
        <f t="shared" si="249"/>
        <v>0</v>
      </c>
      <c r="AW451" s="13">
        <f t="shared" si="250"/>
        <v>1</v>
      </c>
      <c r="AY451" s="17">
        <f t="shared" si="251"/>
        <v>361</v>
      </c>
      <c r="AZ451" s="28">
        <f t="shared" si="259"/>
        <v>0</v>
      </c>
      <c r="BA451" s="13">
        <f t="shared" si="252"/>
        <v>0</v>
      </c>
      <c r="BB451" s="13">
        <f t="shared" si="253"/>
        <v>0</v>
      </c>
      <c r="BC451" s="28">
        <f t="shared" si="260"/>
        <v>0</v>
      </c>
      <c r="BD451" s="28">
        <f t="shared" si="261"/>
        <v>0</v>
      </c>
      <c r="BF451" s="248">
        <f t="shared" si="262"/>
        <v>993869.29442638322</v>
      </c>
    </row>
    <row r="452" spans="1:58">
      <c r="A452" s="32">
        <f t="shared" si="263"/>
        <v>-277</v>
      </c>
      <c r="B452" s="32">
        <f t="shared" si="254"/>
        <v>83</v>
      </c>
      <c r="C452" s="32">
        <f t="shared" si="264"/>
        <v>31</v>
      </c>
      <c r="D452" s="32">
        <f t="shared" si="265"/>
        <v>362</v>
      </c>
      <c r="E452" s="74">
        <f>MIN(IF(AV452=0,0,
IF(Investment_Strategy="DIS",VLOOKUP(Investment_Strategy&amp;"_"&amp;Investment_Strategy_Sub1&amp;"_"&amp;$A452,'Investment Strategies'!$AZ:$BP,12,FALSE),
IF(AND(Investment_Strategy="Lifecycle",Investment_Strategy_Sub1="Non-Standard"),VLOOKUP(Investment_Strategy&amp;"_"&amp;Investment_Strategy_Sub2&amp;"_"&amp;$A452,'Investment Strategies'!$C:$P,9,FALSE),
IF(AND(Investment_Strategy="Lifecycle",Investment_Strategy_Sub1="Standard"),VLOOKUP(Investment_Strategy&amp;"_"&amp;Investment_Strategy_Sub2&amp;"_"&amp;$A452,'Investment Strategies'!$AJ:$AV,8,FALSE),
IF(AND(Investment_Strategy="Autopilot",Investment_Strategy_Sub1="Non-Standard"),VLOOKUP(Investment_Strategy&amp;"_"&amp;Investment_Strategy_Sub2&amp;"_"&amp;$A452,'Investment Strategies'!$T:$AF,8,FALSE),
IF(Investment_Strategy ="DIY",DIY_RateOfReturn_CurrentFunds,
"Error")))))),Max_InvReturn)</f>
        <v>0</v>
      </c>
      <c r="F452" s="62">
        <f>IF(AV452=0,0,
IF(Investment_Strategy="DIS",VLOOKUP(Investment_Strategy&amp;"_"&amp;Investment_Strategy_Sub1&amp;"_"&amp;$A452,'Investment Strategies'!$AZ:$BP,15,FALSE),
IF(AND(Investment_Strategy="Lifecycle",Investment_Strategy_Sub1="Non-Standard"),VLOOKUP(Investment_Strategy&amp;"_"&amp;Investment_Strategy_Sub2&amp;"_"&amp;$A452,'Investment Strategies'!$C:$P,12,FALSE),
IF(AND(Investment_Strategy="Lifecycle",Investment_Strategy_Sub1="Standard"),VLOOKUP(Investment_Strategy&amp;"_"&amp;Investment_Strategy_Sub2&amp;"_"&amp;$A452,'Investment Strategies'!$AJ:$AV,11,FALSE),
IF(AND(Investment_Strategy="Autopilot",Investment_Strategy_Sub1="Non-Standard"),VLOOKUP(Investment_Strategy&amp;"_"&amp;Investment_Strategy_Sub2&amp;"_"&amp;$A452,'Investment Strategies'!$T:$AF,11,FALSE),
IF(Investment_Strategy="DIY",DIY_GteeChrge_CurrentFunds,
"Error"))))))</f>
        <v>0</v>
      </c>
      <c r="G452" s="33">
        <f>IF(AV452=0,0,
IF(Investment_Strategy="DIS",VLOOKUP(Investment_Strategy&amp;"_"&amp;Investment_Strategy_Sub1&amp;"_"&amp;$A452,'Investment Strategies'!$AZ:$BP,17,FALSE),
IF(AND(Investment_Strategy="Lifecycle",Investment_Strategy_Sub1="Non-Standard"),VLOOKUP(Investment_Strategy&amp;"_"&amp;Investment_Strategy_Sub2&amp;"_"&amp;$A452,'Investment Strategies'!$C:$P,14,FALSE),
IF(AND(Investment_Strategy="Lifecycle",Investment_Strategy_Sub1="Standard"),VLOOKUP(Investment_Strategy&amp;"_"&amp;Investment_Strategy_Sub2&amp;"_"&amp;$A452,'Investment Strategies'!$AJ:$AV,13,FALSE),
IF(AND(Investment_Strategy="Autopilot",Investment_Strategy_Sub1="Non-Standard"),VLOOKUP(Investment_Strategy&amp;"_"&amp;Investment_Strategy_Sub2&amp;"_"&amp;$A452,'Investment Strategies'!$T:$AF,13,FALSE),
IF(Investment_Strategy="DIY",DIY_ExtManChrge_CurrentFunds,
"Error"))))))</f>
        <v>0</v>
      </c>
      <c r="H452" s="16">
        <f t="shared" si="255"/>
        <v>0</v>
      </c>
      <c r="I452" s="16">
        <f t="shared" si="240"/>
        <v>0</v>
      </c>
      <c r="J452" s="16">
        <f t="shared" si="241"/>
        <v>0</v>
      </c>
      <c r="K452" s="16">
        <f>(Opening_Fund_Value+SUM(K$91:K451))*E452*IF(D452=$A$91,SRP_finalmonthfactor,1)</f>
        <v>0</v>
      </c>
      <c r="L452" s="74">
        <f>MIN(IF($AV452=0,0,
IF(Investment_Strategy="DIS",VLOOKUP(Investment_Strategy&amp;"_"&amp;Investment_Strategy_Sub1&amp;"_"&amp;$A452,'Investment Strategies'!$AZ:$BP,12,FALSE),
IF(AND(Investment_Strategy="Lifecycle",Investment_Strategy_Sub1="Non-Standard"),VLOOKUP(Investment_Strategy&amp;"_"&amp;Investment_Strategy_Sub2&amp;"_"&amp;$A452,'Investment Strategies'!$C:$P,9,FALSE),
IF(AND(Investment_Strategy="Lifecycle",Investment_Strategy_Sub1="Standard"),VLOOKUP(Investment_Strategy&amp;"_"&amp;Investment_Strategy_Sub2&amp;"_"&amp;$A452,'Investment Strategies'!$AJ:$AV,8,FALSE),
IF(AND(Investment_Strategy="Autopilot",Investment_Strategy_Sub1="Non-Standard"),VLOOKUP(Investment_Strategy&amp;"_"&amp;Investment_Strategy_Sub2&amp;"_"&amp;$A452,'Investment Strategies'!$T:$AF,8,FALSE),
IF(Investment_Strategy ="DIY",DIY_RateofReturn_SP,
"Error")))))),Max_InvReturn)</f>
        <v>0</v>
      </c>
      <c r="M452" s="62">
        <f>IF($AV452=0,0,
IF(Investment_Strategy="DIS",VLOOKUP(Investment_Strategy&amp;"_"&amp;Investment_Strategy_Sub1&amp;"_"&amp;$A452,'Investment Strategies'!$AZ:$BP,15,FALSE),
IF(AND(Investment_Strategy="Lifecycle",Investment_Strategy_Sub1="Non-Standard"),VLOOKUP(Investment_Strategy&amp;"_"&amp;Investment_Strategy_Sub2&amp;"_"&amp;$A452,'Investment Strategies'!$C:$P,12,FALSE),
IF(AND(Investment_Strategy="Lifecycle",Investment_Strategy_Sub1="Standard"),VLOOKUP(Investment_Strategy&amp;"_"&amp;Investment_Strategy_Sub2&amp;"_"&amp;$A452,'Investment Strategies'!$AJ:$AV,11,FALSE),
IF(AND(Investment_Strategy="Autopilot",Investment_Strategy_Sub1="Non-Standard"),VLOOKUP(Investment_Strategy&amp;"_"&amp;Investment_Strategy_Sub2&amp;"_"&amp;$A452,'Investment Strategies'!$T:$AF,11,FALSE),
IF(Investment_Strategy="DIY",DIY_GteeChrge_SP,
"Error"))))))</f>
        <v>0</v>
      </c>
      <c r="N452" s="33">
        <f>IF($AV452=0,0,
IF(Investment_Strategy="DIS",VLOOKUP(Investment_Strategy&amp;"_"&amp;Investment_Strategy_Sub1&amp;"_"&amp;$A452,'Investment Strategies'!$AZ:$BP,17,FALSE),
IF(AND(Investment_Strategy="Lifecycle",Investment_Strategy_Sub1="Non-Standard"),VLOOKUP(Investment_Strategy&amp;"_"&amp;Investment_Strategy_Sub2&amp;"_"&amp;$A452,'Investment Strategies'!$C:$P,14,FALSE),
IF(AND(Investment_Strategy="Lifecycle",Investment_Strategy_Sub1="Standard"),VLOOKUP(Investment_Strategy&amp;"_"&amp;Investment_Strategy_Sub2&amp;"_"&amp;$A452,'Investment Strategies'!$AJ:$AV,13,FALSE),
IF(AND(Investment_Strategy="Autopilot",Investment_Strategy_Sub1="Non-Standard"),VLOOKUP(Investment_Strategy&amp;"_"&amp;Investment_Strategy_Sub2&amp;"_"&amp;$A452,'Investment Strategies'!$T:$AF,13,FALSE),
IF(Investment_Strategy="DIY",DIY_ExtManChrge_SP,
"Error"))))))</f>
        <v>0</v>
      </c>
      <c r="O452" s="16">
        <f t="shared" si="266"/>
        <v>0</v>
      </c>
      <c r="Q452" s="16">
        <f t="shared" si="242"/>
        <v>0</v>
      </c>
      <c r="R452" s="16">
        <f t="shared" si="239"/>
        <v>0</v>
      </c>
      <c r="S452" s="16">
        <f>(SRP_SP+SUM(S$91:S451))*L452*IF(D452=$A$91,SRP_finalmonthfactor,1)</f>
        <v>0</v>
      </c>
      <c r="T452" s="74">
        <f>MIN(IF($AV452=0,0,
IF(Investment_Strategy="DIS",VLOOKUP(Investment_Strategy&amp;"_"&amp;Investment_Strategy_Sub1&amp;"_"&amp;$A452,'Investment Strategies'!$AZ:$BP,12,FALSE),
IF(AND(Investment_Strategy="Lifecycle",Investment_Strategy_Sub1="Non-Standard"),VLOOKUP(Investment_Strategy&amp;"_"&amp;Investment_Strategy_Sub2&amp;"_"&amp;$A452,'Investment Strategies'!$C:$P,9,FALSE),
IF(AND(Investment_Strategy="Lifecycle",Investment_Strategy_Sub1="Standard"),VLOOKUP(Investment_Strategy&amp;"_"&amp;Investment_Strategy_Sub2&amp;"_"&amp;$A452,'Investment Strategies'!$AJ:$AV,8,FALSE),
IF(AND(Investment_Strategy="Autopilot",Investment_Strategy_Sub1="Non-Standard"),VLOOKUP(Investment_Strategy&amp;"_"&amp;Investment_Strategy_Sub2&amp;"_"&amp;$A452,'Investment Strategies'!$T:$AF,8,FALSE),
IF(Investment_Strategy ="DIY",DIY_RateOfReturn_FuturePremiums,
"Error")))))),Max_InvReturn)</f>
        <v>0</v>
      </c>
      <c r="U452" s="62">
        <f>IF($AV452=0,0,
IF(Investment_Strategy="DIS",VLOOKUP(Investment_Strategy&amp;"_"&amp;Investment_Strategy_Sub1&amp;"_"&amp;$A452,'Investment Strategies'!$AZ:$BP,15,FALSE),
IF(AND(Investment_Strategy="Lifecycle",Investment_Strategy_Sub1="Non-Standard"),VLOOKUP(Investment_Strategy&amp;"_"&amp;Investment_Strategy_Sub2&amp;"_"&amp;$A452,'Investment Strategies'!$C:$P,12,FALSE),
IF(AND(Investment_Strategy="Lifecycle",Investment_Strategy_Sub1="Standard"),VLOOKUP(Investment_Strategy&amp;"_"&amp;Investment_Strategy_Sub2&amp;"_"&amp;$A452,'Investment Strategies'!$AJ:$AV,11,FALSE),
IF(AND(Investment_Strategy="Autopilot",Investment_Strategy_Sub1="Non-Standard"),VLOOKUP(Investment_Strategy&amp;"_"&amp;Investment_Strategy_Sub2&amp;"_"&amp;$A452,'Investment Strategies'!$T:$AF,11,FALSE),
IF(Investment_Strategy="DIY",DIY_GteeChrge_FuturePremiums,
"Error"))))))</f>
        <v>0</v>
      </c>
      <c r="V452" s="33">
        <f>IF(AV452=0,0,
IF(Investment_Strategy="DIS",VLOOKUP(Investment_Strategy&amp;"_"&amp;Investment_Strategy_Sub1&amp;"_"&amp;$A452,'Investment Strategies'!$AZ:$BP,17,FALSE),
IF(AND(Investment_Strategy="Lifecycle",Investment_Strategy_Sub1="Non-Standard"),VLOOKUP(Investment_Strategy&amp;"_"&amp;Investment_Strategy_Sub2&amp;"_"&amp;$A452,'Investment Strategies'!$C:$P,14,FALSE),
IF(AND(Investment_Strategy="Lifecycle",Investment_Strategy_Sub1="Standard"),VLOOKUP(Investment_Strategy&amp;"_"&amp;Investment_Strategy_Sub2&amp;"_"&amp;$A452,'Investment Strategies'!$AJ:$AV,13,FALSE),
IF(AND(Investment_Strategy="Autopilot",Investment_Strategy_Sub1="Non-Standard"),VLOOKUP(Investment_Strategy&amp;"_"&amp;Investment_Strategy_Sub2&amp;"_"&amp;$A452,'Investment Strategies'!$T:$AF,13,FALSE),
IF(Investment_Strategy="DIY",DIY_ExtManChrge_FuturePremiums,
"Error"))))))</f>
        <v>0</v>
      </c>
      <c r="W452" s="16">
        <f t="shared" si="267"/>
        <v>0</v>
      </c>
      <c r="X452" s="16">
        <f t="shared" si="243"/>
        <v>0</v>
      </c>
      <c r="Y452" s="16">
        <f t="shared" si="244"/>
        <v>0</v>
      </c>
      <c r="Z452" s="31">
        <f t="shared" si="245"/>
        <v>0.02</v>
      </c>
      <c r="AA452" s="16">
        <f t="shared" si="246"/>
        <v>0</v>
      </c>
      <c r="AB452" s="28">
        <f t="shared" si="268"/>
        <v>0</v>
      </c>
      <c r="AC452" s="28">
        <f>(SUM($AC$91:AC451)+SUM($X$91:X451)+X452)*T452*IF(D452=$A$91,SRP_finalmonthfactor,1)</f>
        <v>0</v>
      </c>
      <c r="AD452" s="16">
        <f t="shared" si="247"/>
        <v>0</v>
      </c>
      <c r="AE452" s="106"/>
      <c r="AF452" s="16">
        <f t="shared" si="256"/>
        <v>0</v>
      </c>
      <c r="AG452" s="16">
        <f t="shared" si="257"/>
        <v>0</v>
      </c>
      <c r="AH452" s="16">
        <f t="shared" si="258"/>
        <v>0</v>
      </c>
      <c r="AJ452" s="13">
        <f t="shared" si="272"/>
        <v>0</v>
      </c>
      <c r="AK452" s="13">
        <f t="shared" si="272"/>
        <v>0</v>
      </c>
      <c r="AL452" s="13">
        <f t="shared" si="272"/>
        <v>0</v>
      </c>
      <c r="AM452" s="13">
        <f t="shared" si="272"/>
        <v>0</v>
      </c>
      <c r="AN452" s="13">
        <f t="shared" si="272"/>
        <v>0</v>
      </c>
      <c r="AO452" s="13">
        <f t="shared" si="272"/>
        <v>1</v>
      </c>
      <c r="AP452" s="13">
        <f t="shared" si="272"/>
        <v>1</v>
      </c>
      <c r="AQ452" s="13">
        <f t="shared" si="272"/>
        <v>1</v>
      </c>
      <c r="AR452" s="13">
        <f t="shared" si="272"/>
        <v>0</v>
      </c>
      <c r="AS452" s="13">
        <f t="shared" si="272"/>
        <v>0</v>
      </c>
      <c r="AT452" s="13">
        <f t="shared" si="272"/>
        <v>1</v>
      </c>
      <c r="AU452" s="13">
        <f t="shared" si="272"/>
        <v>1</v>
      </c>
      <c r="AV452" s="13">
        <f t="shared" si="249"/>
        <v>0</v>
      </c>
      <c r="AW452" s="13">
        <f t="shared" si="250"/>
        <v>1</v>
      </c>
      <c r="AY452" s="17">
        <f t="shared" si="251"/>
        <v>362</v>
      </c>
      <c r="AZ452" s="28">
        <f t="shared" si="259"/>
        <v>0</v>
      </c>
      <c r="BA452" s="13">
        <f t="shared" si="252"/>
        <v>0</v>
      </c>
      <c r="BB452" s="13">
        <f t="shared" si="253"/>
        <v>0</v>
      </c>
      <c r="BC452" s="28">
        <f t="shared" si="260"/>
        <v>0</v>
      </c>
      <c r="BD452" s="28">
        <f t="shared" si="261"/>
        <v>0</v>
      </c>
      <c r="BF452" s="248">
        <f t="shared" si="262"/>
        <v>993869.29442638322</v>
      </c>
    </row>
    <row r="453" spans="1:58">
      <c r="A453" s="32">
        <f t="shared" si="263"/>
        <v>-278</v>
      </c>
      <c r="B453" s="32">
        <f t="shared" si="254"/>
        <v>83</v>
      </c>
      <c r="C453" s="32">
        <f t="shared" si="264"/>
        <v>31</v>
      </c>
      <c r="D453" s="32">
        <f t="shared" si="265"/>
        <v>363</v>
      </c>
      <c r="E453" s="74">
        <f>MIN(IF(AV453=0,0,
IF(Investment_Strategy="DIS",VLOOKUP(Investment_Strategy&amp;"_"&amp;Investment_Strategy_Sub1&amp;"_"&amp;$A453,'Investment Strategies'!$AZ:$BP,12,FALSE),
IF(AND(Investment_Strategy="Lifecycle",Investment_Strategy_Sub1="Non-Standard"),VLOOKUP(Investment_Strategy&amp;"_"&amp;Investment_Strategy_Sub2&amp;"_"&amp;$A453,'Investment Strategies'!$C:$P,9,FALSE),
IF(AND(Investment_Strategy="Lifecycle",Investment_Strategy_Sub1="Standard"),VLOOKUP(Investment_Strategy&amp;"_"&amp;Investment_Strategy_Sub2&amp;"_"&amp;$A453,'Investment Strategies'!$AJ:$AV,8,FALSE),
IF(AND(Investment_Strategy="Autopilot",Investment_Strategy_Sub1="Non-Standard"),VLOOKUP(Investment_Strategy&amp;"_"&amp;Investment_Strategy_Sub2&amp;"_"&amp;$A453,'Investment Strategies'!$T:$AF,8,FALSE),
IF(Investment_Strategy ="DIY",DIY_RateOfReturn_CurrentFunds,
"Error")))))),Max_InvReturn)</f>
        <v>0</v>
      </c>
      <c r="F453" s="62">
        <f>IF(AV453=0,0,
IF(Investment_Strategy="DIS",VLOOKUP(Investment_Strategy&amp;"_"&amp;Investment_Strategy_Sub1&amp;"_"&amp;$A453,'Investment Strategies'!$AZ:$BP,15,FALSE),
IF(AND(Investment_Strategy="Lifecycle",Investment_Strategy_Sub1="Non-Standard"),VLOOKUP(Investment_Strategy&amp;"_"&amp;Investment_Strategy_Sub2&amp;"_"&amp;$A453,'Investment Strategies'!$C:$P,12,FALSE),
IF(AND(Investment_Strategy="Lifecycle",Investment_Strategy_Sub1="Standard"),VLOOKUP(Investment_Strategy&amp;"_"&amp;Investment_Strategy_Sub2&amp;"_"&amp;$A453,'Investment Strategies'!$AJ:$AV,11,FALSE),
IF(AND(Investment_Strategy="Autopilot",Investment_Strategy_Sub1="Non-Standard"),VLOOKUP(Investment_Strategy&amp;"_"&amp;Investment_Strategy_Sub2&amp;"_"&amp;$A453,'Investment Strategies'!$T:$AF,11,FALSE),
IF(Investment_Strategy="DIY",DIY_GteeChrge_CurrentFunds,
"Error"))))))</f>
        <v>0</v>
      </c>
      <c r="G453" s="33">
        <f>IF(AV453=0,0,
IF(Investment_Strategy="DIS",VLOOKUP(Investment_Strategy&amp;"_"&amp;Investment_Strategy_Sub1&amp;"_"&amp;$A453,'Investment Strategies'!$AZ:$BP,17,FALSE),
IF(AND(Investment_Strategy="Lifecycle",Investment_Strategy_Sub1="Non-Standard"),VLOOKUP(Investment_Strategy&amp;"_"&amp;Investment_Strategy_Sub2&amp;"_"&amp;$A453,'Investment Strategies'!$C:$P,14,FALSE),
IF(AND(Investment_Strategy="Lifecycle",Investment_Strategy_Sub1="Standard"),VLOOKUP(Investment_Strategy&amp;"_"&amp;Investment_Strategy_Sub2&amp;"_"&amp;$A453,'Investment Strategies'!$AJ:$AV,13,FALSE),
IF(AND(Investment_Strategy="Autopilot",Investment_Strategy_Sub1="Non-Standard"),VLOOKUP(Investment_Strategy&amp;"_"&amp;Investment_Strategy_Sub2&amp;"_"&amp;$A453,'Investment Strategies'!$T:$AF,13,FALSE),
IF(Investment_Strategy="DIY",DIY_ExtManChrge_CurrentFunds,
"Error"))))))</f>
        <v>0</v>
      </c>
      <c r="H453" s="16">
        <f t="shared" si="255"/>
        <v>0</v>
      </c>
      <c r="I453" s="16">
        <f t="shared" si="240"/>
        <v>0</v>
      </c>
      <c r="J453" s="16">
        <f t="shared" si="241"/>
        <v>0</v>
      </c>
      <c r="K453" s="16">
        <f>(Opening_Fund_Value+SUM(K$91:K452))*E453*IF(D453=$A$91,SRP_finalmonthfactor,1)</f>
        <v>0</v>
      </c>
      <c r="L453" s="74">
        <f>MIN(IF($AV453=0,0,
IF(Investment_Strategy="DIS",VLOOKUP(Investment_Strategy&amp;"_"&amp;Investment_Strategy_Sub1&amp;"_"&amp;$A453,'Investment Strategies'!$AZ:$BP,12,FALSE),
IF(AND(Investment_Strategy="Lifecycle",Investment_Strategy_Sub1="Non-Standard"),VLOOKUP(Investment_Strategy&amp;"_"&amp;Investment_Strategy_Sub2&amp;"_"&amp;$A453,'Investment Strategies'!$C:$P,9,FALSE),
IF(AND(Investment_Strategy="Lifecycle",Investment_Strategy_Sub1="Standard"),VLOOKUP(Investment_Strategy&amp;"_"&amp;Investment_Strategy_Sub2&amp;"_"&amp;$A453,'Investment Strategies'!$AJ:$AV,8,FALSE),
IF(AND(Investment_Strategy="Autopilot",Investment_Strategy_Sub1="Non-Standard"),VLOOKUP(Investment_Strategy&amp;"_"&amp;Investment_Strategy_Sub2&amp;"_"&amp;$A453,'Investment Strategies'!$T:$AF,8,FALSE),
IF(Investment_Strategy ="DIY",DIY_RateofReturn_SP,
"Error")))))),Max_InvReturn)</f>
        <v>0</v>
      </c>
      <c r="M453" s="62">
        <f>IF($AV453=0,0,
IF(Investment_Strategy="DIS",VLOOKUP(Investment_Strategy&amp;"_"&amp;Investment_Strategy_Sub1&amp;"_"&amp;$A453,'Investment Strategies'!$AZ:$BP,15,FALSE),
IF(AND(Investment_Strategy="Lifecycle",Investment_Strategy_Sub1="Non-Standard"),VLOOKUP(Investment_Strategy&amp;"_"&amp;Investment_Strategy_Sub2&amp;"_"&amp;$A453,'Investment Strategies'!$C:$P,12,FALSE),
IF(AND(Investment_Strategy="Lifecycle",Investment_Strategy_Sub1="Standard"),VLOOKUP(Investment_Strategy&amp;"_"&amp;Investment_Strategy_Sub2&amp;"_"&amp;$A453,'Investment Strategies'!$AJ:$AV,11,FALSE),
IF(AND(Investment_Strategy="Autopilot",Investment_Strategy_Sub1="Non-Standard"),VLOOKUP(Investment_Strategy&amp;"_"&amp;Investment_Strategy_Sub2&amp;"_"&amp;$A453,'Investment Strategies'!$T:$AF,11,FALSE),
IF(Investment_Strategy="DIY",DIY_GteeChrge_SP,
"Error"))))))</f>
        <v>0</v>
      </c>
      <c r="N453" s="33">
        <f>IF($AV453=0,0,
IF(Investment_Strategy="DIS",VLOOKUP(Investment_Strategy&amp;"_"&amp;Investment_Strategy_Sub1&amp;"_"&amp;$A453,'Investment Strategies'!$AZ:$BP,17,FALSE),
IF(AND(Investment_Strategy="Lifecycle",Investment_Strategy_Sub1="Non-Standard"),VLOOKUP(Investment_Strategy&amp;"_"&amp;Investment_Strategy_Sub2&amp;"_"&amp;$A453,'Investment Strategies'!$C:$P,14,FALSE),
IF(AND(Investment_Strategy="Lifecycle",Investment_Strategy_Sub1="Standard"),VLOOKUP(Investment_Strategy&amp;"_"&amp;Investment_Strategy_Sub2&amp;"_"&amp;$A453,'Investment Strategies'!$AJ:$AV,13,FALSE),
IF(AND(Investment_Strategy="Autopilot",Investment_Strategy_Sub1="Non-Standard"),VLOOKUP(Investment_Strategy&amp;"_"&amp;Investment_Strategy_Sub2&amp;"_"&amp;$A453,'Investment Strategies'!$T:$AF,13,FALSE),
IF(Investment_Strategy="DIY",DIY_ExtManChrge_SP,
"Error"))))))</f>
        <v>0</v>
      </c>
      <c r="O453" s="16">
        <f t="shared" si="266"/>
        <v>0</v>
      </c>
      <c r="Q453" s="16">
        <f t="shared" si="242"/>
        <v>0</v>
      </c>
      <c r="R453" s="16">
        <f t="shared" si="239"/>
        <v>0</v>
      </c>
      <c r="S453" s="16">
        <f>(SRP_SP+SUM(S$91:S452))*L453*IF(D453=$A$91,SRP_finalmonthfactor,1)</f>
        <v>0</v>
      </c>
      <c r="T453" s="74">
        <f>MIN(IF($AV453=0,0,
IF(Investment_Strategy="DIS",VLOOKUP(Investment_Strategy&amp;"_"&amp;Investment_Strategy_Sub1&amp;"_"&amp;$A453,'Investment Strategies'!$AZ:$BP,12,FALSE),
IF(AND(Investment_Strategy="Lifecycle",Investment_Strategy_Sub1="Non-Standard"),VLOOKUP(Investment_Strategy&amp;"_"&amp;Investment_Strategy_Sub2&amp;"_"&amp;$A453,'Investment Strategies'!$C:$P,9,FALSE),
IF(AND(Investment_Strategy="Lifecycle",Investment_Strategy_Sub1="Standard"),VLOOKUP(Investment_Strategy&amp;"_"&amp;Investment_Strategy_Sub2&amp;"_"&amp;$A453,'Investment Strategies'!$AJ:$AV,8,FALSE),
IF(AND(Investment_Strategy="Autopilot",Investment_Strategy_Sub1="Non-Standard"),VLOOKUP(Investment_Strategy&amp;"_"&amp;Investment_Strategy_Sub2&amp;"_"&amp;$A453,'Investment Strategies'!$T:$AF,8,FALSE),
IF(Investment_Strategy ="DIY",DIY_RateOfReturn_FuturePremiums,
"Error")))))),Max_InvReturn)</f>
        <v>0</v>
      </c>
      <c r="U453" s="62">
        <f>IF($AV453=0,0,
IF(Investment_Strategy="DIS",VLOOKUP(Investment_Strategy&amp;"_"&amp;Investment_Strategy_Sub1&amp;"_"&amp;$A453,'Investment Strategies'!$AZ:$BP,15,FALSE),
IF(AND(Investment_Strategy="Lifecycle",Investment_Strategy_Sub1="Non-Standard"),VLOOKUP(Investment_Strategy&amp;"_"&amp;Investment_Strategy_Sub2&amp;"_"&amp;$A453,'Investment Strategies'!$C:$P,12,FALSE),
IF(AND(Investment_Strategy="Lifecycle",Investment_Strategy_Sub1="Standard"),VLOOKUP(Investment_Strategy&amp;"_"&amp;Investment_Strategy_Sub2&amp;"_"&amp;$A453,'Investment Strategies'!$AJ:$AV,11,FALSE),
IF(AND(Investment_Strategy="Autopilot",Investment_Strategy_Sub1="Non-Standard"),VLOOKUP(Investment_Strategy&amp;"_"&amp;Investment_Strategy_Sub2&amp;"_"&amp;$A453,'Investment Strategies'!$T:$AF,11,FALSE),
IF(Investment_Strategy="DIY",DIY_GteeChrge_FuturePremiums,
"Error"))))))</f>
        <v>0</v>
      </c>
      <c r="V453" s="33">
        <f>IF(AV453=0,0,
IF(Investment_Strategy="DIS",VLOOKUP(Investment_Strategy&amp;"_"&amp;Investment_Strategy_Sub1&amp;"_"&amp;$A453,'Investment Strategies'!$AZ:$BP,17,FALSE),
IF(AND(Investment_Strategy="Lifecycle",Investment_Strategy_Sub1="Non-Standard"),VLOOKUP(Investment_Strategy&amp;"_"&amp;Investment_Strategy_Sub2&amp;"_"&amp;$A453,'Investment Strategies'!$C:$P,14,FALSE),
IF(AND(Investment_Strategy="Lifecycle",Investment_Strategy_Sub1="Standard"),VLOOKUP(Investment_Strategy&amp;"_"&amp;Investment_Strategy_Sub2&amp;"_"&amp;$A453,'Investment Strategies'!$AJ:$AV,13,FALSE),
IF(AND(Investment_Strategy="Autopilot",Investment_Strategy_Sub1="Non-Standard"),VLOOKUP(Investment_Strategy&amp;"_"&amp;Investment_Strategy_Sub2&amp;"_"&amp;$A453,'Investment Strategies'!$T:$AF,13,FALSE),
IF(Investment_Strategy="DIY",DIY_ExtManChrge_FuturePremiums,
"Error"))))))</f>
        <v>0</v>
      </c>
      <c r="W453" s="16">
        <f t="shared" si="267"/>
        <v>0</v>
      </c>
      <c r="X453" s="16">
        <f t="shared" si="243"/>
        <v>0</v>
      </c>
      <c r="Y453" s="16">
        <f t="shared" si="244"/>
        <v>0</v>
      </c>
      <c r="Z453" s="31">
        <f t="shared" si="245"/>
        <v>0.02</v>
      </c>
      <c r="AA453" s="16">
        <f t="shared" si="246"/>
        <v>0</v>
      </c>
      <c r="AB453" s="28">
        <f t="shared" si="268"/>
        <v>0</v>
      </c>
      <c r="AC453" s="28">
        <f>(SUM($AC$91:AC452)+SUM($X$91:X452)+X453)*T453*IF(D453=$A$91,SRP_finalmonthfactor,1)</f>
        <v>0</v>
      </c>
      <c r="AD453" s="16">
        <f t="shared" si="247"/>
        <v>0</v>
      </c>
      <c r="AE453" s="106"/>
      <c r="AF453" s="16">
        <f t="shared" si="256"/>
        <v>0</v>
      </c>
      <c r="AG453" s="16">
        <f t="shared" si="257"/>
        <v>0</v>
      </c>
      <c r="AH453" s="16">
        <f t="shared" si="258"/>
        <v>0</v>
      </c>
      <c r="AJ453" s="13">
        <f t="shared" si="272"/>
        <v>0</v>
      </c>
      <c r="AK453" s="13">
        <f t="shared" si="272"/>
        <v>0</v>
      </c>
      <c r="AL453" s="13">
        <f t="shared" si="272"/>
        <v>0</v>
      </c>
      <c r="AM453" s="13">
        <f t="shared" si="272"/>
        <v>0</v>
      </c>
      <c r="AN453" s="13">
        <f t="shared" si="272"/>
        <v>0</v>
      </c>
      <c r="AO453" s="13">
        <f t="shared" si="272"/>
        <v>1</v>
      </c>
      <c r="AP453" s="13">
        <f t="shared" si="272"/>
        <v>1</v>
      </c>
      <c r="AQ453" s="13">
        <f t="shared" si="272"/>
        <v>1</v>
      </c>
      <c r="AR453" s="13">
        <f t="shared" si="272"/>
        <v>0</v>
      </c>
      <c r="AS453" s="13">
        <f t="shared" si="272"/>
        <v>0</v>
      </c>
      <c r="AT453" s="13">
        <f t="shared" si="272"/>
        <v>1</v>
      </c>
      <c r="AU453" s="13">
        <f t="shared" si="272"/>
        <v>1</v>
      </c>
      <c r="AV453" s="13">
        <f t="shared" si="249"/>
        <v>0</v>
      </c>
      <c r="AW453" s="13">
        <f t="shared" si="250"/>
        <v>1</v>
      </c>
      <c r="AY453" s="17">
        <f t="shared" si="251"/>
        <v>363</v>
      </c>
      <c r="AZ453" s="28">
        <f t="shared" si="259"/>
        <v>0</v>
      </c>
      <c r="BA453" s="13">
        <f t="shared" si="252"/>
        <v>0</v>
      </c>
      <c r="BB453" s="13">
        <f t="shared" si="253"/>
        <v>0</v>
      </c>
      <c r="BC453" s="28">
        <f t="shared" si="260"/>
        <v>0</v>
      </c>
      <c r="BD453" s="28">
        <f t="shared" si="261"/>
        <v>0</v>
      </c>
      <c r="BF453" s="248">
        <f t="shared" si="262"/>
        <v>993869.29442638322</v>
      </c>
    </row>
    <row r="454" spans="1:58">
      <c r="A454" s="32">
        <f t="shared" si="263"/>
        <v>-279</v>
      </c>
      <c r="B454" s="32">
        <f t="shared" si="254"/>
        <v>83</v>
      </c>
      <c r="C454" s="32">
        <f t="shared" si="264"/>
        <v>31</v>
      </c>
      <c r="D454" s="32">
        <f t="shared" si="265"/>
        <v>364</v>
      </c>
      <c r="E454" s="74">
        <f>MIN(IF(AV454=0,0,
IF(Investment_Strategy="DIS",VLOOKUP(Investment_Strategy&amp;"_"&amp;Investment_Strategy_Sub1&amp;"_"&amp;$A454,'Investment Strategies'!$AZ:$BP,12,FALSE),
IF(AND(Investment_Strategy="Lifecycle",Investment_Strategy_Sub1="Non-Standard"),VLOOKUP(Investment_Strategy&amp;"_"&amp;Investment_Strategy_Sub2&amp;"_"&amp;$A454,'Investment Strategies'!$C:$P,9,FALSE),
IF(AND(Investment_Strategy="Lifecycle",Investment_Strategy_Sub1="Standard"),VLOOKUP(Investment_Strategy&amp;"_"&amp;Investment_Strategy_Sub2&amp;"_"&amp;$A454,'Investment Strategies'!$AJ:$AV,8,FALSE),
IF(AND(Investment_Strategy="Autopilot",Investment_Strategy_Sub1="Non-Standard"),VLOOKUP(Investment_Strategy&amp;"_"&amp;Investment_Strategy_Sub2&amp;"_"&amp;$A454,'Investment Strategies'!$T:$AF,8,FALSE),
IF(Investment_Strategy ="DIY",DIY_RateOfReturn_CurrentFunds,
"Error")))))),Max_InvReturn)</f>
        <v>0</v>
      </c>
      <c r="F454" s="62">
        <f>IF(AV454=0,0,
IF(Investment_Strategy="DIS",VLOOKUP(Investment_Strategy&amp;"_"&amp;Investment_Strategy_Sub1&amp;"_"&amp;$A454,'Investment Strategies'!$AZ:$BP,15,FALSE),
IF(AND(Investment_Strategy="Lifecycle",Investment_Strategy_Sub1="Non-Standard"),VLOOKUP(Investment_Strategy&amp;"_"&amp;Investment_Strategy_Sub2&amp;"_"&amp;$A454,'Investment Strategies'!$C:$P,12,FALSE),
IF(AND(Investment_Strategy="Lifecycle",Investment_Strategy_Sub1="Standard"),VLOOKUP(Investment_Strategy&amp;"_"&amp;Investment_Strategy_Sub2&amp;"_"&amp;$A454,'Investment Strategies'!$AJ:$AV,11,FALSE),
IF(AND(Investment_Strategy="Autopilot",Investment_Strategy_Sub1="Non-Standard"),VLOOKUP(Investment_Strategy&amp;"_"&amp;Investment_Strategy_Sub2&amp;"_"&amp;$A454,'Investment Strategies'!$T:$AF,11,FALSE),
IF(Investment_Strategy="DIY",DIY_GteeChrge_CurrentFunds,
"Error"))))))</f>
        <v>0</v>
      </c>
      <c r="G454" s="33">
        <f>IF(AV454=0,0,
IF(Investment_Strategy="DIS",VLOOKUP(Investment_Strategy&amp;"_"&amp;Investment_Strategy_Sub1&amp;"_"&amp;$A454,'Investment Strategies'!$AZ:$BP,17,FALSE),
IF(AND(Investment_Strategy="Lifecycle",Investment_Strategy_Sub1="Non-Standard"),VLOOKUP(Investment_Strategy&amp;"_"&amp;Investment_Strategy_Sub2&amp;"_"&amp;$A454,'Investment Strategies'!$C:$P,14,FALSE),
IF(AND(Investment_Strategy="Lifecycle",Investment_Strategy_Sub1="Standard"),VLOOKUP(Investment_Strategy&amp;"_"&amp;Investment_Strategy_Sub2&amp;"_"&amp;$A454,'Investment Strategies'!$AJ:$AV,13,FALSE),
IF(AND(Investment_Strategy="Autopilot",Investment_Strategy_Sub1="Non-Standard"),VLOOKUP(Investment_Strategy&amp;"_"&amp;Investment_Strategy_Sub2&amp;"_"&amp;$A454,'Investment Strategies'!$T:$AF,13,FALSE),
IF(Investment_Strategy="DIY",DIY_ExtManChrge_CurrentFunds,
"Error"))))))</f>
        <v>0</v>
      </c>
      <c r="H454" s="16">
        <f t="shared" si="255"/>
        <v>0</v>
      </c>
      <c r="I454" s="16">
        <f t="shared" si="240"/>
        <v>0</v>
      </c>
      <c r="J454" s="16">
        <f t="shared" si="241"/>
        <v>0</v>
      </c>
      <c r="K454" s="16">
        <f>(Opening_Fund_Value+SUM(K$91:K453))*E454*IF(D454=$A$91,SRP_finalmonthfactor,1)</f>
        <v>0</v>
      </c>
      <c r="L454" s="74">
        <f>MIN(IF($AV454=0,0,
IF(Investment_Strategy="DIS",VLOOKUP(Investment_Strategy&amp;"_"&amp;Investment_Strategy_Sub1&amp;"_"&amp;$A454,'Investment Strategies'!$AZ:$BP,12,FALSE),
IF(AND(Investment_Strategy="Lifecycle",Investment_Strategy_Sub1="Non-Standard"),VLOOKUP(Investment_Strategy&amp;"_"&amp;Investment_Strategy_Sub2&amp;"_"&amp;$A454,'Investment Strategies'!$C:$P,9,FALSE),
IF(AND(Investment_Strategy="Lifecycle",Investment_Strategy_Sub1="Standard"),VLOOKUP(Investment_Strategy&amp;"_"&amp;Investment_Strategy_Sub2&amp;"_"&amp;$A454,'Investment Strategies'!$AJ:$AV,8,FALSE),
IF(AND(Investment_Strategy="Autopilot",Investment_Strategy_Sub1="Non-Standard"),VLOOKUP(Investment_Strategy&amp;"_"&amp;Investment_Strategy_Sub2&amp;"_"&amp;$A454,'Investment Strategies'!$T:$AF,8,FALSE),
IF(Investment_Strategy ="DIY",DIY_RateofReturn_SP,
"Error")))))),Max_InvReturn)</f>
        <v>0</v>
      </c>
      <c r="M454" s="62">
        <f>IF($AV454=0,0,
IF(Investment_Strategy="DIS",VLOOKUP(Investment_Strategy&amp;"_"&amp;Investment_Strategy_Sub1&amp;"_"&amp;$A454,'Investment Strategies'!$AZ:$BP,15,FALSE),
IF(AND(Investment_Strategy="Lifecycle",Investment_Strategy_Sub1="Non-Standard"),VLOOKUP(Investment_Strategy&amp;"_"&amp;Investment_Strategy_Sub2&amp;"_"&amp;$A454,'Investment Strategies'!$C:$P,12,FALSE),
IF(AND(Investment_Strategy="Lifecycle",Investment_Strategy_Sub1="Standard"),VLOOKUP(Investment_Strategy&amp;"_"&amp;Investment_Strategy_Sub2&amp;"_"&amp;$A454,'Investment Strategies'!$AJ:$AV,11,FALSE),
IF(AND(Investment_Strategy="Autopilot",Investment_Strategy_Sub1="Non-Standard"),VLOOKUP(Investment_Strategy&amp;"_"&amp;Investment_Strategy_Sub2&amp;"_"&amp;$A454,'Investment Strategies'!$T:$AF,11,FALSE),
IF(Investment_Strategy="DIY",DIY_GteeChrge_SP,
"Error"))))))</f>
        <v>0</v>
      </c>
      <c r="N454" s="33">
        <f>IF($AV454=0,0,
IF(Investment_Strategy="DIS",VLOOKUP(Investment_Strategy&amp;"_"&amp;Investment_Strategy_Sub1&amp;"_"&amp;$A454,'Investment Strategies'!$AZ:$BP,17,FALSE),
IF(AND(Investment_Strategy="Lifecycle",Investment_Strategy_Sub1="Non-Standard"),VLOOKUP(Investment_Strategy&amp;"_"&amp;Investment_Strategy_Sub2&amp;"_"&amp;$A454,'Investment Strategies'!$C:$P,14,FALSE),
IF(AND(Investment_Strategy="Lifecycle",Investment_Strategy_Sub1="Standard"),VLOOKUP(Investment_Strategy&amp;"_"&amp;Investment_Strategy_Sub2&amp;"_"&amp;$A454,'Investment Strategies'!$AJ:$AV,13,FALSE),
IF(AND(Investment_Strategy="Autopilot",Investment_Strategy_Sub1="Non-Standard"),VLOOKUP(Investment_Strategy&amp;"_"&amp;Investment_Strategy_Sub2&amp;"_"&amp;$A454,'Investment Strategies'!$T:$AF,13,FALSE),
IF(Investment_Strategy="DIY",DIY_ExtManChrge_SP,
"Error"))))))</f>
        <v>0</v>
      </c>
      <c r="O454" s="16">
        <f t="shared" si="266"/>
        <v>0</v>
      </c>
      <c r="Q454" s="16">
        <f t="shared" si="242"/>
        <v>0</v>
      </c>
      <c r="R454" s="16">
        <f t="shared" si="239"/>
        <v>0</v>
      </c>
      <c r="S454" s="16">
        <f>(SRP_SP+SUM(S$91:S453))*L454*IF(D454=$A$91,SRP_finalmonthfactor,1)</f>
        <v>0</v>
      </c>
      <c r="T454" s="74">
        <f>MIN(IF($AV454=0,0,
IF(Investment_Strategy="DIS",VLOOKUP(Investment_Strategy&amp;"_"&amp;Investment_Strategy_Sub1&amp;"_"&amp;$A454,'Investment Strategies'!$AZ:$BP,12,FALSE),
IF(AND(Investment_Strategy="Lifecycle",Investment_Strategy_Sub1="Non-Standard"),VLOOKUP(Investment_Strategy&amp;"_"&amp;Investment_Strategy_Sub2&amp;"_"&amp;$A454,'Investment Strategies'!$C:$P,9,FALSE),
IF(AND(Investment_Strategy="Lifecycle",Investment_Strategy_Sub1="Standard"),VLOOKUP(Investment_Strategy&amp;"_"&amp;Investment_Strategy_Sub2&amp;"_"&amp;$A454,'Investment Strategies'!$AJ:$AV,8,FALSE),
IF(AND(Investment_Strategy="Autopilot",Investment_Strategy_Sub1="Non-Standard"),VLOOKUP(Investment_Strategy&amp;"_"&amp;Investment_Strategy_Sub2&amp;"_"&amp;$A454,'Investment Strategies'!$T:$AF,8,FALSE),
IF(Investment_Strategy ="DIY",DIY_RateOfReturn_FuturePremiums,
"Error")))))),Max_InvReturn)</f>
        <v>0</v>
      </c>
      <c r="U454" s="62">
        <f>IF($AV454=0,0,
IF(Investment_Strategy="DIS",VLOOKUP(Investment_Strategy&amp;"_"&amp;Investment_Strategy_Sub1&amp;"_"&amp;$A454,'Investment Strategies'!$AZ:$BP,15,FALSE),
IF(AND(Investment_Strategy="Lifecycle",Investment_Strategy_Sub1="Non-Standard"),VLOOKUP(Investment_Strategy&amp;"_"&amp;Investment_Strategy_Sub2&amp;"_"&amp;$A454,'Investment Strategies'!$C:$P,12,FALSE),
IF(AND(Investment_Strategy="Lifecycle",Investment_Strategy_Sub1="Standard"),VLOOKUP(Investment_Strategy&amp;"_"&amp;Investment_Strategy_Sub2&amp;"_"&amp;$A454,'Investment Strategies'!$AJ:$AV,11,FALSE),
IF(AND(Investment_Strategy="Autopilot",Investment_Strategy_Sub1="Non-Standard"),VLOOKUP(Investment_Strategy&amp;"_"&amp;Investment_Strategy_Sub2&amp;"_"&amp;$A454,'Investment Strategies'!$T:$AF,11,FALSE),
IF(Investment_Strategy="DIY",DIY_GteeChrge_FuturePremiums,
"Error"))))))</f>
        <v>0</v>
      </c>
      <c r="V454" s="33">
        <f>IF(AV454=0,0,
IF(Investment_Strategy="DIS",VLOOKUP(Investment_Strategy&amp;"_"&amp;Investment_Strategy_Sub1&amp;"_"&amp;$A454,'Investment Strategies'!$AZ:$BP,17,FALSE),
IF(AND(Investment_Strategy="Lifecycle",Investment_Strategy_Sub1="Non-Standard"),VLOOKUP(Investment_Strategy&amp;"_"&amp;Investment_Strategy_Sub2&amp;"_"&amp;$A454,'Investment Strategies'!$C:$P,14,FALSE),
IF(AND(Investment_Strategy="Lifecycle",Investment_Strategy_Sub1="Standard"),VLOOKUP(Investment_Strategy&amp;"_"&amp;Investment_Strategy_Sub2&amp;"_"&amp;$A454,'Investment Strategies'!$AJ:$AV,13,FALSE),
IF(AND(Investment_Strategy="Autopilot",Investment_Strategy_Sub1="Non-Standard"),VLOOKUP(Investment_Strategy&amp;"_"&amp;Investment_Strategy_Sub2&amp;"_"&amp;$A454,'Investment Strategies'!$T:$AF,13,FALSE),
IF(Investment_Strategy="DIY",DIY_ExtManChrge_FuturePremiums,
"Error"))))))</f>
        <v>0</v>
      </c>
      <c r="W454" s="16">
        <f t="shared" si="267"/>
        <v>0</v>
      </c>
      <c r="X454" s="16">
        <f t="shared" si="243"/>
        <v>0</v>
      </c>
      <c r="Y454" s="16">
        <f t="shared" si="244"/>
        <v>0</v>
      </c>
      <c r="Z454" s="31">
        <f t="shared" si="245"/>
        <v>0.02</v>
      </c>
      <c r="AA454" s="16">
        <f t="shared" si="246"/>
        <v>0</v>
      </c>
      <c r="AB454" s="28">
        <f t="shared" si="268"/>
        <v>0</v>
      </c>
      <c r="AC454" s="28">
        <f>(SUM($AC$91:AC453)+SUM($X$91:X453)+X454)*T454*IF(D454=$A$91,SRP_finalmonthfactor,1)</f>
        <v>0</v>
      </c>
      <c r="AD454" s="16">
        <f t="shared" si="247"/>
        <v>0</v>
      </c>
      <c r="AE454" s="106"/>
      <c r="AF454" s="16">
        <f t="shared" si="256"/>
        <v>0</v>
      </c>
      <c r="AG454" s="16">
        <f t="shared" si="257"/>
        <v>0</v>
      </c>
      <c r="AH454" s="16">
        <f t="shared" si="258"/>
        <v>0</v>
      </c>
      <c r="AJ454" s="13">
        <f t="shared" si="272"/>
        <v>0</v>
      </c>
      <c r="AK454" s="13">
        <f t="shared" si="272"/>
        <v>0</v>
      </c>
      <c r="AL454" s="13">
        <f t="shared" si="272"/>
        <v>0</v>
      </c>
      <c r="AM454" s="13">
        <f t="shared" si="272"/>
        <v>0</v>
      </c>
      <c r="AN454" s="13">
        <f t="shared" si="272"/>
        <v>0</v>
      </c>
      <c r="AO454" s="13">
        <f t="shared" si="272"/>
        <v>1</v>
      </c>
      <c r="AP454" s="13">
        <f t="shared" si="272"/>
        <v>1</v>
      </c>
      <c r="AQ454" s="13">
        <f t="shared" si="272"/>
        <v>1</v>
      </c>
      <c r="AR454" s="13">
        <f t="shared" si="272"/>
        <v>0</v>
      </c>
      <c r="AS454" s="13">
        <f t="shared" si="272"/>
        <v>0</v>
      </c>
      <c r="AT454" s="13">
        <f t="shared" si="272"/>
        <v>1</v>
      </c>
      <c r="AU454" s="13">
        <f t="shared" si="272"/>
        <v>1</v>
      </c>
      <c r="AV454" s="13">
        <f t="shared" si="249"/>
        <v>0</v>
      </c>
      <c r="AW454" s="13">
        <f t="shared" si="250"/>
        <v>1</v>
      </c>
      <c r="AY454" s="17">
        <f t="shared" si="251"/>
        <v>364</v>
      </c>
      <c r="AZ454" s="28">
        <f t="shared" si="259"/>
        <v>0</v>
      </c>
      <c r="BA454" s="13">
        <f t="shared" si="252"/>
        <v>0</v>
      </c>
      <c r="BB454" s="13">
        <f t="shared" si="253"/>
        <v>0</v>
      </c>
      <c r="BC454" s="28">
        <f t="shared" si="260"/>
        <v>0</v>
      </c>
      <c r="BD454" s="28">
        <f t="shared" si="261"/>
        <v>0</v>
      </c>
      <c r="BF454" s="248">
        <f t="shared" si="262"/>
        <v>993869.29442638322</v>
      </c>
    </row>
    <row r="455" spans="1:58">
      <c r="A455" s="32">
        <f t="shared" si="263"/>
        <v>-280</v>
      </c>
      <c r="B455" s="32">
        <f t="shared" si="254"/>
        <v>83</v>
      </c>
      <c r="C455" s="32">
        <f t="shared" si="264"/>
        <v>31</v>
      </c>
      <c r="D455" s="32">
        <f t="shared" si="265"/>
        <v>365</v>
      </c>
      <c r="E455" s="74">
        <f>MIN(IF(AV455=0,0,
IF(Investment_Strategy="DIS",VLOOKUP(Investment_Strategy&amp;"_"&amp;Investment_Strategy_Sub1&amp;"_"&amp;$A455,'Investment Strategies'!$AZ:$BP,12,FALSE),
IF(AND(Investment_Strategy="Lifecycle",Investment_Strategy_Sub1="Non-Standard"),VLOOKUP(Investment_Strategy&amp;"_"&amp;Investment_Strategy_Sub2&amp;"_"&amp;$A455,'Investment Strategies'!$C:$P,9,FALSE),
IF(AND(Investment_Strategy="Lifecycle",Investment_Strategy_Sub1="Standard"),VLOOKUP(Investment_Strategy&amp;"_"&amp;Investment_Strategy_Sub2&amp;"_"&amp;$A455,'Investment Strategies'!$AJ:$AV,8,FALSE),
IF(AND(Investment_Strategy="Autopilot",Investment_Strategy_Sub1="Non-Standard"),VLOOKUP(Investment_Strategy&amp;"_"&amp;Investment_Strategy_Sub2&amp;"_"&amp;$A455,'Investment Strategies'!$T:$AF,8,FALSE),
IF(Investment_Strategy ="DIY",DIY_RateOfReturn_CurrentFunds,
"Error")))))),Max_InvReturn)</f>
        <v>0</v>
      </c>
      <c r="F455" s="62">
        <f>IF(AV455=0,0,
IF(Investment_Strategy="DIS",VLOOKUP(Investment_Strategy&amp;"_"&amp;Investment_Strategy_Sub1&amp;"_"&amp;$A455,'Investment Strategies'!$AZ:$BP,15,FALSE),
IF(AND(Investment_Strategy="Lifecycle",Investment_Strategy_Sub1="Non-Standard"),VLOOKUP(Investment_Strategy&amp;"_"&amp;Investment_Strategy_Sub2&amp;"_"&amp;$A455,'Investment Strategies'!$C:$P,12,FALSE),
IF(AND(Investment_Strategy="Lifecycle",Investment_Strategy_Sub1="Standard"),VLOOKUP(Investment_Strategy&amp;"_"&amp;Investment_Strategy_Sub2&amp;"_"&amp;$A455,'Investment Strategies'!$AJ:$AV,11,FALSE),
IF(AND(Investment_Strategy="Autopilot",Investment_Strategy_Sub1="Non-Standard"),VLOOKUP(Investment_Strategy&amp;"_"&amp;Investment_Strategy_Sub2&amp;"_"&amp;$A455,'Investment Strategies'!$T:$AF,11,FALSE),
IF(Investment_Strategy="DIY",DIY_GteeChrge_CurrentFunds,
"Error"))))))</f>
        <v>0</v>
      </c>
      <c r="G455" s="33">
        <f>IF(AV455=0,0,
IF(Investment_Strategy="DIS",VLOOKUP(Investment_Strategy&amp;"_"&amp;Investment_Strategy_Sub1&amp;"_"&amp;$A455,'Investment Strategies'!$AZ:$BP,17,FALSE),
IF(AND(Investment_Strategy="Lifecycle",Investment_Strategy_Sub1="Non-Standard"),VLOOKUP(Investment_Strategy&amp;"_"&amp;Investment_Strategy_Sub2&amp;"_"&amp;$A455,'Investment Strategies'!$C:$P,14,FALSE),
IF(AND(Investment_Strategy="Lifecycle",Investment_Strategy_Sub1="Standard"),VLOOKUP(Investment_Strategy&amp;"_"&amp;Investment_Strategy_Sub2&amp;"_"&amp;$A455,'Investment Strategies'!$AJ:$AV,13,FALSE),
IF(AND(Investment_Strategy="Autopilot",Investment_Strategy_Sub1="Non-Standard"),VLOOKUP(Investment_Strategy&amp;"_"&amp;Investment_Strategy_Sub2&amp;"_"&amp;$A455,'Investment Strategies'!$T:$AF,13,FALSE),
IF(Investment_Strategy="DIY",DIY_ExtManChrge_CurrentFunds,
"Error"))))))</f>
        <v>0</v>
      </c>
      <c r="H455" s="16">
        <f t="shared" si="255"/>
        <v>0</v>
      </c>
      <c r="I455" s="16">
        <f t="shared" si="240"/>
        <v>0</v>
      </c>
      <c r="J455" s="16">
        <f t="shared" si="241"/>
        <v>0</v>
      </c>
      <c r="K455" s="16">
        <f>(Opening_Fund_Value+SUM(K$91:K454))*E455*IF(D455=$A$91,SRP_finalmonthfactor,1)</f>
        <v>0</v>
      </c>
      <c r="L455" s="74">
        <f>MIN(IF($AV455=0,0,
IF(Investment_Strategy="DIS",VLOOKUP(Investment_Strategy&amp;"_"&amp;Investment_Strategy_Sub1&amp;"_"&amp;$A455,'Investment Strategies'!$AZ:$BP,12,FALSE),
IF(AND(Investment_Strategy="Lifecycle",Investment_Strategy_Sub1="Non-Standard"),VLOOKUP(Investment_Strategy&amp;"_"&amp;Investment_Strategy_Sub2&amp;"_"&amp;$A455,'Investment Strategies'!$C:$P,9,FALSE),
IF(AND(Investment_Strategy="Lifecycle",Investment_Strategy_Sub1="Standard"),VLOOKUP(Investment_Strategy&amp;"_"&amp;Investment_Strategy_Sub2&amp;"_"&amp;$A455,'Investment Strategies'!$AJ:$AV,8,FALSE),
IF(AND(Investment_Strategy="Autopilot",Investment_Strategy_Sub1="Non-Standard"),VLOOKUP(Investment_Strategy&amp;"_"&amp;Investment_Strategy_Sub2&amp;"_"&amp;$A455,'Investment Strategies'!$T:$AF,8,FALSE),
IF(Investment_Strategy ="DIY",DIY_RateofReturn_SP,
"Error")))))),Max_InvReturn)</f>
        <v>0</v>
      </c>
      <c r="M455" s="62">
        <f>IF($AV455=0,0,
IF(Investment_Strategy="DIS",VLOOKUP(Investment_Strategy&amp;"_"&amp;Investment_Strategy_Sub1&amp;"_"&amp;$A455,'Investment Strategies'!$AZ:$BP,15,FALSE),
IF(AND(Investment_Strategy="Lifecycle",Investment_Strategy_Sub1="Non-Standard"),VLOOKUP(Investment_Strategy&amp;"_"&amp;Investment_Strategy_Sub2&amp;"_"&amp;$A455,'Investment Strategies'!$C:$P,12,FALSE),
IF(AND(Investment_Strategy="Lifecycle",Investment_Strategy_Sub1="Standard"),VLOOKUP(Investment_Strategy&amp;"_"&amp;Investment_Strategy_Sub2&amp;"_"&amp;$A455,'Investment Strategies'!$AJ:$AV,11,FALSE),
IF(AND(Investment_Strategy="Autopilot",Investment_Strategy_Sub1="Non-Standard"),VLOOKUP(Investment_Strategy&amp;"_"&amp;Investment_Strategy_Sub2&amp;"_"&amp;$A455,'Investment Strategies'!$T:$AF,11,FALSE),
IF(Investment_Strategy="DIY",DIY_GteeChrge_SP,
"Error"))))))</f>
        <v>0</v>
      </c>
      <c r="N455" s="33">
        <f>IF($AV455=0,0,
IF(Investment_Strategy="DIS",VLOOKUP(Investment_Strategy&amp;"_"&amp;Investment_Strategy_Sub1&amp;"_"&amp;$A455,'Investment Strategies'!$AZ:$BP,17,FALSE),
IF(AND(Investment_Strategy="Lifecycle",Investment_Strategy_Sub1="Non-Standard"),VLOOKUP(Investment_Strategy&amp;"_"&amp;Investment_Strategy_Sub2&amp;"_"&amp;$A455,'Investment Strategies'!$C:$P,14,FALSE),
IF(AND(Investment_Strategy="Lifecycle",Investment_Strategy_Sub1="Standard"),VLOOKUP(Investment_Strategy&amp;"_"&amp;Investment_Strategy_Sub2&amp;"_"&amp;$A455,'Investment Strategies'!$AJ:$AV,13,FALSE),
IF(AND(Investment_Strategy="Autopilot",Investment_Strategy_Sub1="Non-Standard"),VLOOKUP(Investment_Strategy&amp;"_"&amp;Investment_Strategy_Sub2&amp;"_"&amp;$A455,'Investment Strategies'!$T:$AF,13,FALSE),
IF(Investment_Strategy="DIY",DIY_ExtManChrge_SP,
"Error"))))))</f>
        <v>0</v>
      </c>
      <c r="O455" s="16">
        <f t="shared" si="266"/>
        <v>0</v>
      </c>
      <c r="Q455" s="16">
        <f t="shared" si="242"/>
        <v>0</v>
      </c>
      <c r="R455" s="16">
        <f t="shared" si="239"/>
        <v>0</v>
      </c>
      <c r="S455" s="16">
        <f>(SRP_SP+SUM(S$91:S454))*L455*IF(D455=$A$91,SRP_finalmonthfactor,1)</f>
        <v>0</v>
      </c>
      <c r="T455" s="74">
        <f>MIN(IF($AV455=0,0,
IF(Investment_Strategy="DIS",VLOOKUP(Investment_Strategy&amp;"_"&amp;Investment_Strategy_Sub1&amp;"_"&amp;$A455,'Investment Strategies'!$AZ:$BP,12,FALSE),
IF(AND(Investment_Strategy="Lifecycle",Investment_Strategy_Sub1="Non-Standard"),VLOOKUP(Investment_Strategy&amp;"_"&amp;Investment_Strategy_Sub2&amp;"_"&amp;$A455,'Investment Strategies'!$C:$P,9,FALSE),
IF(AND(Investment_Strategy="Lifecycle",Investment_Strategy_Sub1="Standard"),VLOOKUP(Investment_Strategy&amp;"_"&amp;Investment_Strategy_Sub2&amp;"_"&amp;$A455,'Investment Strategies'!$AJ:$AV,8,FALSE),
IF(AND(Investment_Strategy="Autopilot",Investment_Strategy_Sub1="Non-Standard"),VLOOKUP(Investment_Strategy&amp;"_"&amp;Investment_Strategy_Sub2&amp;"_"&amp;$A455,'Investment Strategies'!$T:$AF,8,FALSE),
IF(Investment_Strategy ="DIY",DIY_RateOfReturn_FuturePremiums,
"Error")))))),Max_InvReturn)</f>
        <v>0</v>
      </c>
      <c r="U455" s="62">
        <f>IF($AV455=0,0,
IF(Investment_Strategy="DIS",VLOOKUP(Investment_Strategy&amp;"_"&amp;Investment_Strategy_Sub1&amp;"_"&amp;$A455,'Investment Strategies'!$AZ:$BP,15,FALSE),
IF(AND(Investment_Strategy="Lifecycle",Investment_Strategy_Sub1="Non-Standard"),VLOOKUP(Investment_Strategy&amp;"_"&amp;Investment_Strategy_Sub2&amp;"_"&amp;$A455,'Investment Strategies'!$C:$P,12,FALSE),
IF(AND(Investment_Strategy="Lifecycle",Investment_Strategy_Sub1="Standard"),VLOOKUP(Investment_Strategy&amp;"_"&amp;Investment_Strategy_Sub2&amp;"_"&amp;$A455,'Investment Strategies'!$AJ:$AV,11,FALSE),
IF(AND(Investment_Strategy="Autopilot",Investment_Strategy_Sub1="Non-Standard"),VLOOKUP(Investment_Strategy&amp;"_"&amp;Investment_Strategy_Sub2&amp;"_"&amp;$A455,'Investment Strategies'!$T:$AF,11,FALSE),
IF(Investment_Strategy="DIY",DIY_GteeChrge_FuturePremiums,
"Error"))))))</f>
        <v>0</v>
      </c>
      <c r="V455" s="33">
        <f>IF(AV455=0,0,
IF(Investment_Strategy="DIS",VLOOKUP(Investment_Strategy&amp;"_"&amp;Investment_Strategy_Sub1&amp;"_"&amp;$A455,'Investment Strategies'!$AZ:$BP,17,FALSE),
IF(AND(Investment_Strategy="Lifecycle",Investment_Strategy_Sub1="Non-Standard"),VLOOKUP(Investment_Strategy&amp;"_"&amp;Investment_Strategy_Sub2&amp;"_"&amp;$A455,'Investment Strategies'!$C:$P,14,FALSE),
IF(AND(Investment_Strategy="Lifecycle",Investment_Strategy_Sub1="Standard"),VLOOKUP(Investment_Strategy&amp;"_"&amp;Investment_Strategy_Sub2&amp;"_"&amp;$A455,'Investment Strategies'!$AJ:$AV,13,FALSE),
IF(AND(Investment_Strategy="Autopilot",Investment_Strategy_Sub1="Non-Standard"),VLOOKUP(Investment_Strategy&amp;"_"&amp;Investment_Strategy_Sub2&amp;"_"&amp;$A455,'Investment Strategies'!$T:$AF,13,FALSE),
IF(Investment_Strategy="DIY",DIY_ExtManChrge_FuturePremiums,
"Error"))))))</f>
        <v>0</v>
      </c>
      <c r="W455" s="16">
        <f t="shared" si="267"/>
        <v>0</v>
      </c>
      <c r="X455" s="16">
        <f t="shared" si="243"/>
        <v>0</v>
      </c>
      <c r="Y455" s="16">
        <f t="shared" si="244"/>
        <v>0</v>
      </c>
      <c r="Z455" s="31">
        <f t="shared" si="245"/>
        <v>0.02</v>
      </c>
      <c r="AA455" s="16">
        <f t="shared" si="246"/>
        <v>0</v>
      </c>
      <c r="AB455" s="28">
        <f t="shared" si="268"/>
        <v>0</v>
      </c>
      <c r="AC455" s="28">
        <f>(SUM($AC$91:AC454)+SUM($X$91:X454)+X455)*T455*IF(D455=$A$91,SRP_finalmonthfactor,1)</f>
        <v>0</v>
      </c>
      <c r="AD455" s="16">
        <f t="shared" si="247"/>
        <v>0</v>
      </c>
      <c r="AE455" s="106"/>
      <c r="AF455" s="16">
        <f t="shared" si="256"/>
        <v>0</v>
      </c>
      <c r="AG455" s="16">
        <f t="shared" si="257"/>
        <v>0</v>
      </c>
      <c r="AH455" s="16">
        <f t="shared" si="258"/>
        <v>0</v>
      </c>
      <c r="AJ455" s="13">
        <f t="shared" si="272"/>
        <v>0</v>
      </c>
      <c r="AK455" s="13">
        <f t="shared" si="272"/>
        <v>0</v>
      </c>
      <c r="AL455" s="13">
        <f t="shared" si="272"/>
        <v>0</v>
      </c>
      <c r="AM455" s="13">
        <f t="shared" si="272"/>
        <v>0</v>
      </c>
      <c r="AN455" s="13">
        <f t="shared" si="272"/>
        <v>0</v>
      </c>
      <c r="AO455" s="13">
        <f t="shared" si="272"/>
        <v>1</v>
      </c>
      <c r="AP455" s="13">
        <f t="shared" si="272"/>
        <v>1</v>
      </c>
      <c r="AQ455" s="13">
        <f t="shared" si="272"/>
        <v>1</v>
      </c>
      <c r="AR455" s="13">
        <f t="shared" si="272"/>
        <v>0</v>
      </c>
      <c r="AS455" s="13">
        <f t="shared" si="272"/>
        <v>0</v>
      </c>
      <c r="AT455" s="13">
        <f t="shared" si="272"/>
        <v>1</v>
      </c>
      <c r="AU455" s="13">
        <f t="shared" si="272"/>
        <v>1</v>
      </c>
      <c r="AV455" s="13">
        <f t="shared" si="249"/>
        <v>0</v>
      </c>
      <c r="AW455" s="13">
        <f t="shared" si="250"/>
        <v>1</v>
      </c>
      <c r="AY455" s="17">
        <f t="shared" si="251"/>
        <v>365</v>
      </c>
      <c r="AZ455" s="28">
        <f t="shared" si="259"/>
        <v>0</v>
      </c>
      <c r="BA455" s="13">
        <f t="shared" si="252"/>
        <v>0</v>
      </c>
      <c r="BB455" s="13">
        <f t="shared" si="253"/>
        <v>0</v>
      </c>
      <c r="BC455" s="28">
        <f t="shared" si="260"/>
        <v>0</v>
      </c>
      <c r="BD455" s="28">
        <f t="shared" si="261"/>
        <v>0</v>
      </c>
      <c r="BF455" s="248">
        <f t="shared" si="262"/>
        <v>993869.29442638322</v>
      </c>
    </row>
    <row r="456" spans="1:58">
      <c r="A456" s="32">
        <f t="shared" si="263"/>
        <v>-281</v>
      </c>
      <c r="B456" s="32">
        <f t="shared" si="254"/>
        <v>83</v>
      </c>
      <c r="C456" s="32">
        <f t="shared" si="264"/>
        <v>31</v>
      </c>
      <c r="D456" s="32">
        <f t="shared" si="265"/>
        <v>366</v>
      </c>
      <c r="E456" s="74">
        <f>MIN(IF(AV456=0,0,
IF(Investment_Strategy="DIS",VLOOKUP(Investment_Strategy&amp;"_"&amp;Investment_Strategy_Sub1&amp;"_"&amp;$A456,'Investment Strategies'!$AZ:$BP,12,FALSE),
IF(AND(Investment_Strategy="Lifecycle",Investment_Strategy_Sub1="Non-Standard"),VLOOKUP(Investment_Strategy&amp;"_"&amp;Investment_Strategy_Sub2&amp;"_"&amp;$A456,'Investment Strategies'!$C:$P,9,FALSE),
IF(AND(Investment_Strategy="Lifecycle",Investment_Strategy_Sub1="Standard"),VLOOKUP(Investment_Strategy&amp;"_"&amp;Investment_Strategy_Sub2&amp;"_"&amp;$A456,'Investment Strategies'!$AJ:$AV,8,FALSE),
IF(AND(Investment_Strategy="Autopilot",Investment_Strategy_Sub1="Non-Standard"),VLOOKUP(Investment_Strategy&amp;"_"&amp;Investment_Strategy_Sub2&amp;"_"&amp;$A456,'Investment Strategies'!$T:$AF,8,FALSE),
IF(Investment_Strategy ="DIY",DIY_RateOfReturn_CurrentFunds,
"Error")))))),Max_InvReturn)</f>
        <v>0</v>
      </c>
      <c r="F456" s="62">
        <f>IF(AV456=0,0,
IF(Investment_Strategy="DIS",VLOOKUP(Investment_Strategy&amp;"_"&amp;Investment_Strategy_Sub1&amp;"_"&amp;$A456,'Investment Strategies'!$AZ:$BP,15,FALSE),
IF(AND(Investment_Strategy="Lifecycle",Investment_Strategy_Sub1="Non-Standard"),VLOOKUP(Investment_Strategy&amp;"_"&amp;Investment_Strategy_Sub2&amp;"_"&amp;$A456,'Investment Strategies'!$C:$P,12,FALSE),
IF(AND(Investment_Strategy="Lifecycle",Investment_Strategy_Sub1="Standard"),VLOOKUP(Investment_Strategy&amp;"_"&amp;Investment_Strategy_Sub2&amp;"_"&amp;$A456,'Investment Strategies'!$AJ:$AV,11,FALSE),
IF(AND(Investment_Strategy="Autopilot",Investment_Strategy_Sub1="Non-Standard"),VLOOKUP(Investment_Strategy&amp;"_"&amp;Investment_Strategy_Sub2&amp;"_"&amp;$A456,'Investment Strategies'!$T:$AF,11,FALSE),
IF(Investment_Strategy="DIY",DIY_GteeChrge_CurrentFunds,
"Error"))))))</f>
        <v>0</v>
      </c>
      <c r="G456" s="33">
        <f>IF(AV456=0,0,
IF(Investment_Strategy="DIS",VLOOKUP(Investment_Strategy&amp;"_"&amp;Investment_Strategy_Sub1&amp;"_"&amp;$A456,'Investment Strategies'!$AZ:$BP,17,FALSE),
IF(AND(Investment_Strategy="Lifecycle",Investment_Strategy_Sub1="Non-Standard"),VLOOKUP(Investment_Strategy&amp;"_"&amp;Investment_Strategy_Sub2&amp;"_"&amp;$A456,'Investment Strategies'!$C:$P,14,FALSE),
IF(AND(Investment_Strategy="Lifecycle",Investment_Strategy_Sub1="Standard"),VLOOKUP(Investment_Strategy&amp;"_"&amp;Investment_Strategy_Sub2&amp;"_"&amp;$A456,'Investment Strategies'!$AJ:$AV,13,FALSE),
IF(AND(Investment_Strategy="Autopilot",Investment_Strategy_Sub1="Non-Standard"),VLOOKUP(Investment_Strategy&amp;"_"&amp;Investment_Strategy_Sub2&amp;"_"&amp;$A456,'Investment Strategies'!$T:$AF,13,FALSE),
IF(Investment_Strategy="DIY",DIY_ExtManChrge_CurrentFunds,
"Error"))))))</f>
        <v>0</v>
      </c>
      <c r="H456" s="16">
        <f t="shared" si="255"/>
        <v>0</v>
      </c>
      <c r="I456" s="16">
        <f t="shared" si="240"/>
        <v>0</v>
      </c>
      <c r="J456" s="16">
        <f t="shared" si="241"/>
        <v>0</v>
      </c>
      <c r="K456" s="16">
        <f>(Opening_Fund_Value+SUM(K$91:K455))*E456*IF(D456=$A$91,SRP_finalmonthfactor,1)</f>
        <v>0</v>
      </c>
      <c r="L456" s="74">
        <f>MIN(IF($AV456=0,0,
IF(Investment_Strategy="DIS",VLOOKUP(Investment_Strategy&amp;"_"&amp;Investment_Strategy_Sub1&amp;"_"&amp;$A456,'Investment Strategies'!$AZ:$BP,12,FALSE),
IF(AND(Investment_Strategy="Lifecycle",Investment_Strategy_Sub1="Non-Standard"),VLOOKUP(Investment_Strategy&amp;"_"&amp;Investment_Strategy_Sub2&amp;"_"&amp;$A456,'Investment Strategies'!$C:$P,9,FALSE),
IF(AND(Investment_Strategy="Lifecycle",Investment_Strategy_Sub1="Standard"),VLOOKUP(Investment_Strategy&amp;"_"&amp;Investment_Strategy_Sub2&amp;"_"&amp;$A456,'Investment Strategies'!$AJ:$AV,8,FALSE),
IF(AND(Investment_Strategy="Autopilot",Investment_Strategy_Sub1="Non-Standard"),VLOOKUP(Investment_Strategy&amp;"_"&amp;Investment_Strategy_Sub2&amp;"_"&amp;$A456,'Investment Strategies'!$T:$AF,8,FALSE),
IF(Investment_Strategy ="DIY",DIY_RateofReturn_SP,
"Error")))))),Max_InvReturn)</f>
        <v>0</v>
      </c>
      <c r="M456" s="62">
        <f>IF($AV456=0,0,
IF(Investment_Strategy="DIS",VLOOKUP(Investment_Strategy&amp;"_"&amp;Investment_Strategy_Sub1&amp;"_"&amp;$A456,'Investment Strategies'!$AZ:$BP,15,FALSE),
IF(AND(Investment_Strategy="Lifecycle",Investment_Strategy_Sub1="Non-Standard"),VLOOKUP(Investment_Strategy&amp;"_"&amp;Investment_Strategy_Sub2&amp;"_"&amp;$A456,'Investment Strategies'!$C:$P,12,FALSE),
IF(AND(Investment_Strategy="Lifecycle",Investment_Strategy_Sub1="Standard"),VLOOKUP(Investment_Strategy&amp;"_"&amp;Investment_Strategy_Sub2&amp;"_"&amp;$A456,'Investment Strategies'!$AJ:$AV,11,FALSE),
IF(AND(Investment_Strategy="Autopilot",Investment_Strategy_Sub1="Non-Standard"),VLOOKUP(Investment_Strategy&amp;"_"&amp;Investment_Strategy_Sub2&amp;"_"&amp;$A456,'Investment Strategies'!$T:$AF,11,FALSE),
IF(Investment_Strategy="DIY",DIY_GteeChrge_SP,
"Error"))))))</f>
        <v>0</v>
      </c>
      <c r="N456" s="33">
        <f>IF($AV456=0,0,
IF(Investment_Strategy="DIS",VLOOKUP(Investment_Strategy&amp;"_"&amp;Investment_Strategy_Sub1&amp;"_"&amp;$A456,'Investment Strategies'!$AZ:$BP,17,FALSE),
IF(AND(Investment_Strategy="Lifecycle",Investment_Strategy_Sub1="Non-Standard"),VLOOKUP(Investment_Strategy&amp;"_"&amp;Investment_Strategy_Sub2&amp;"_"&amp;$A456,'Investment Strategies'!$C:$P,14,FALSE),
IF(AND(Investment_Strategy="Lifecycle",Investment_Strategy_Sub1="Standard"),VLOOKUP(Investment_Strategy&amp;"_"&amp;Investment_Strategy_Sub2&amp;"_"&amp;$A456,'Investment Strategies'!$AJ:$AV,13,FALSE),
IF(AND(Investment_Strategy="Autopilot",Investment_Strategy_Sub1="Non-Standard"),VLOOKUP(Investment_Strategy&amp;"_"&amp;Investment_Strategy_Sub2&amp;"_"&amp;$A456,'Investment Strategies'!$T:$AF,13,FALSE),
IF(Investment_Strategy="DIY",DIY_ExtManChrge_SP,
"Error"))))))</f>
        <v>0</v>
      </c>
      <c r="O456" s="16">
        <f t="shared" si="266"/>
        <v>0</v>
      </c>
      <c r="Q456" s="16">
        <f t="shared" si="242"/>
        <v>0</v>
      </c>
      <c r="R456" s="16">
        <f t="shared" si="239"/>
        <v>0</v>
      </c>
      <c r="S456" s="16">
        <f>(SRP_SP+SUM(S$91:S455))*L456*IF(D456=$A$91,SRP_finalmonthfactor,1)</f>
        <v>0</v>
      </c>
      <c r="T456" s="74">
        <f>MIN(IF($AV456=0,0,
IF(Investment_Strategy="DIS",VLOOKUP(Investment_Strategy&amp;"_"&amp;Investment_Strategy_Sub1&amp;"_"&amp;$A456,'Investment Strategies'!$AZ:$BP,12,FALSE),
IF(AND(Investment_Strategy="Lifecycle",Investment_Strategy_Sub1="Non-Standard"),VLOOKUP(Investment_Strategy&amp;"_"&amp;Investment_Strategy_Sub2&amp;"_"&amp;$A456,'Investment Strategies'!$C:$P,9,FALSE),
IF(AND(Investment_Strategy="Lifecycle",Investment_Strategy_Sub1="Standard"),VLOOKUP(Investment_Strategy&amp;"_"&amp;Investment_Strategy_Sub2&amp;"_"&amp;$A456,'Investment Strategies'!$AJ:$AV,8,FALSE),
IF(AND(Investment_Strategy="Autopilot",Investment_Strategy_Sub1="Non-Standard"),VLOOKUP(Investment_Strategy&amp;"_"&amp;Investment_Strategy_Sub2&amp;"_"&amp;$A456,'Investment Strategies'!$T:$AF,8,FALSE),
IF(Investment_Strategy ="DIY",DIY_RateOfReturn_FuturePremiums,
"Error")))))),Max_InvReturn)</f>
        <v>0</v>
      </c>
      <c r="U456" s="62">
        <f>IF($AV456=0,0,
IF(Investment_Strategy="DIS",VLOOKUP(Investment_Strategy&amp;"_"&amp;Investment_Strategy_Sub1&amp;"_"&amp;$A456,'Investment Strategies'!$AZ:$BP,15,FALSE),
IF(AND(Investment_Strategy="Lifecycle",Investment_Strategy_Sub1="Non-Standard"),VLOOKUP(Investment_Strategy&amp;"_"&amp;Investment_Strategy_Sub2&amp;"_"&amp;$A456,'Investment Strategies'!$C:$P,12,FALSE),
IF(AND(Investment_Strategy="Lifecycle",Investment_Strategy_Sub1="Standard"),VLOOKUP(Investment_Strategy&amp;"_"&amp;Investment_Strategy_Sub2&amp;"_"&amp;$A456,'Investment Strategies'!$AJ:$AV,11,FALSE),
IF(AND(Investment_Strategy="Autopilot",Investment_Strategy_Sub1="Non-Standard"),VLOOKUP(Investment_Strategy&amp;"_"&amp;Investment_Strategy_Sub2&amp;"_"&amp;$A456,'Investment Strategies'!$T:$AF,11,FALSE),
IF(Investment_Strategy="DIY",DIY_GteeChrge_FuturePremiums,
"Error"))))))</f>
        <v>0</v>
      </c>
      <c r="V456" s="33">
        <f>IF(AV456=0,0,
IF(Investment_Strategy="DIS",VLOOKUP(Investment_Strategy&amp;"_"&amp;Investment_Strategy_Sub1&amp;"_"&amp;$A456,'Investment Strategies'!$AZ:$BP,17,FALSE),
IF(AND(Investment_Strategy="Lifecycle",Investment_Strategy_Sub1="Non-Standard"),VLOOKUP(Investment_Strategy&amp;"_"&amp;Investment_Strategy_Sub2&amp;"_"&amp;$A456,'Investment Strategies'!$C:$P,14,FALSE),
IF(AND(Investment_Strategy="Lifecycle",Investment_Strategy_Sub1="Standard"),VLOOKUP(Investment_Strategy&amp;"_"&amp;Investment_Strategy_Sub2&amp;"_"&amp;$A456,'Investment Strategies'!$AJ:$AV,13,FALSE),
IF(AND(Investment_Strategy="Autopilot",Investment_Strategy_Sub1="Non-Standard"),VLOOKUP(Investment_Strategy&amp;"_"&amp;Investment_Strategy_Sub2&amp;"_"&amp;$A456,'Investment Strategies'!$T:$AF,13,FALSE),
IF(Investment_Strategy="DIY",DIY_ExtManChrge_FuturePremiums,
"Error"))))))</f>
        <v>0</v>
      </c>
      <c r="W456" s="16">
        <f t="shared" si="267"/>
        <v>0</v>
      </c>
      <c r="X456" s="16">
        <f t="shared" si="243"/>
        <v>0</v>
      </c>
      <c r="Y456" s="16">
        <f t="shared" si="244"/>
        <v>0</v>
      </c>
      <c r="Z456" s="31">
        <f t="shared" si="245"/>
        <v>0.02</v>
      </c>
      <c r="AA456" s="16">
        <f t="shared" si="246"/>
        <v>0</v>
      </c>
      <c r="AB456" s="28">
        <f t="shared" si="268"/>
        <v>0</v>
      </c>
      <c r="AC456" s="28">
        <f>(SUM($AC$91:AC455)+SUM($X$91:X455)+X456)*T456*IF(D456=$A$91,SRP_finalmonthfactor,1)</f>
        <v>0</v>
      </c>
      <c r="AD456" s="16">
        <f t="shared" si="247"/>
        <v>0</v>
      </c>
      <c r="AE456" s="106"/>
      <c r="AF456" s="16">
        <f t="shared" si="256"/>
        <v>0</v>
      </c>
      <c r="AG456" s="16">
        <f t="shared" si="257"/>
        <v>0</v>
      </c>
      <c r="AH456" s="16">
        <f t="shared" si="258"/>
        <v>0</v>
      </c>
      <c r="AJ456" s="13">
        <f t="shared" si="272"/>
        <v>0</v>
      </c>
      <c r="AK456" s="13">
        <f t="shared" si="272"/>
        <v>0</v>
      </c>
      <c r="AL456" s="13">
        <f t="shared" si="272"/>
        <v>0</v>
      </c>
      <c r="AM456" s="13">
        <f t="shared" si="272"/>
        <v>0</v>
      </c>
      <c r="AN456" s="13">
        <f t="shared" si="272"/>
        <v>0</v>
      </c>
      <c r="AO456" s="13">
        <f t="shared" si="272"/>
        <v>1</v>
      </c>
      <c r="AP456" s="13">
        <f t="shared" si="272"/>
        <v>1</v>
      </c>
      <c r="AQ456" s="13">
        <f t="shared" si="272"/>
        <v>1</v>
      </c>
      <c r="AR456" s="13">
        <f t="shared" si="272"/>
        <v>0</v>
      </c>
      <c r="AS456" s="13">
        <f t="shared" si="272"/>
        <v>0</v>
      </c>
      <c r="AT456" s="13">
        <f t="shared" si="272"/>
        <v>1</v>
      </c>
      <c r="AU456" s="13">
        <f t="shared" si="272"/>
        <v>1</v>
      </c>
      <c r="AV456" s="13">
        <f t="shared" si="249"/>
        <v>0</v>
      </c>
      <c r="AW456" s="13">
        <f t="shared" si="250"/>
        <v>1</v>
      </c>
      <c r="AY456" s="17">
        <f t="shared" si="251"/>
        <v>366</v>
      </c>
      <c r="AZ456" s="28">
        <f t="shared" si="259"/>
        <v>0</v>
      </c>
      <c r="BA456" s="13">
        <f t="shared" si="252"/>
        <v>0</v>
      </c>
      <c r="BB456" s="13">
        <f t="shared" si="253"/>
        <v>0</v>
      </c>
      <c r="BC456" s="28">
        <f t="shared" si="260"/>
        <v>0</v>
      </c>
      <c r="BD456" s="28">
        <f t="shared" si="261"/>
        <v>0</v>
      </c>
      <c r="BF456" s="248">
        <f t="shared" si="262"/>
        <v>993869.29442638322</v>
      </c>
    </row>
    <row r="457" spans="1:58">
      <c r="A457" s="32">
        <f t="shared" si="263"/>
        <v>-282</v>
      </c>
      <c r="B457" s="32">
        <f t="shared" si="254"/>
        <v>83</v>
      </c>
      <c r="C457" s="32">
        <f t="shared" si="264"/>
        <v>31</v>
      </c>
      <c r="D457" s="32">
        <f t="shared" si="265"/>
        <v>367</v>
      </c>
      <c r="E457" s="74">
        <f>MIN(IF(AV457=0,0,
IF(Investment_Strategy="DIS",VLOOKUP(Investment_Strategy&amp;"_"&amp;Investment_Strategy_Sub1&amp;"_"&amp;$A457,'Investment Strategies'!$AZ:$BP,12,FALSE),
IF(AND(Investment_Strategy="Lifecycle",Investment_Strategy_Sub1="Non-Standard"),VLOOKUP(Investment_Strategy&amp;"_"&amp;Investment_Strategy_Sub2&amp;"_"&amp;$A457,'Investment Strategies'!$C:$P,9,FALSE),
IF(AND(Investment_Strategy="Lifecycle",Investment_Strategy_Sub1="Standard"),VLOOKUP(Investment_Strategy&amp;"_"&amp;Investment_Strategy_Sub2&amp;"_"&amp;$A457,'Investment Strategies'!$AJ:$AV,8,FALSE),
IF(AND(Investment_Strategy="Autopilot",Investment_Strategy_Sub1="Non-Standard"),VLOOKUP(Investment_Strategy&amp;"_"&amp;Investment_Strategy_Sub2&amp;"_"&amp;$A457,'Investment Strategies'!$T:$AF,8,FALSE),
IF(Investment_Strategy ="DIY",DIY_RateOfReturn_CurrentFunds,
"Error")))))),Max_InvReturn)</f>
        <v>0</v>
      </c>
      <c r="F457" s="62">
        <f>IF(AV457=0,0,
IF(Investment_Strategy="DIS",VLOOKUP(Investment_Strategy&amp;"_"&amp;Investment_Strategy_Sub1&amp;"_"&amp;$A457,'Investment Strategies'!$AZ:$BP,15,FALSE),
IF(AND(Investment_Strategy="Lifecycle",Investment_Strategy_Sub1="Non-Standard"),VLOOKUP(Investment_Strategy&amp;"_"&amp;Investment_Strategy_Sub2&amp;"_"&amp;$A457,'Investment Strategies'!$C:$P,12,FALSE),
IF(AND(Investment_Strategy="Lifecycle",Investment_Strategy_Sub1="Standard"),VLOOKUP(Investment_Strategy&amp;"_"&amp;Investment_Strategy_Sub2&amp;"_"&amp;$A457,'Investment Strategies'!$AJ:$AV,11,FALSE),
IF(AND(Investment_Strategy="Autopilot",Investment_Strategy_Sub1="Non-Standard"),VLOOKUP(Investment_Strategy&amp;"_"&amp;Investment_Strategy_Sub2&amp;"_"&amp;$A457,'Investment Strategies'!$T:$AF,11,FALSE),
IF(Investment_Strategy="DIY",DIY_GteeChrge_CurrentFunds,
"Error"))))))</f>
        <v>0</v>
      </c>
      <c r="G457" s="33">
        <f>IF(AV457=0,0,
IF(Investment_Strategy="DIS",VLOOKUP(Investment_Strategy&amp;"_"&amp;Investment_Strategy_Sub1&amp;"_"&amp;$A457,'Investment Strategies'!$AZ:$BP,17,FALSE),
IF(AND(Investment_Strategy="Lifecycle",Investment_Strategy_Sub1="Non-Standard"),VLOOKUP(Investment_Strategy&amp;"_"&amp;Investment_Strategy_Sub2&amp;"_"&amp;$A457,'Investment Strategies'!$C:$P,14,FALSE),
IF(AND(Investment_Strategy="Lifecycle",Investment_Strategy_Sub1="Standard"),VLOOKUP(Investment_Strategy&amp;"_"&amp;Investment_Strategy_Sub2&amp;"_"&amp;$A457,'Investment Strategies'!$AJ:$AV,13,FALSE),
IF(AND(Investment_Strategy="Autopilot",Investment_Strategy_Sub1="Non-Standard"),VLOOKUP(Investment_Strategy&amp;"_"&amp;Investment_Strategy_Sub2&amp;"_"&amp;$A457,'Investment Strategies'!$T:$AF,13,FALSE),
IF(Investment_Strategy="DIY",DIY_ExtManChrge_CurrentFunds,
"Error"))))))</f>
        <v>0</v>
      </c>
      <c r="H457" s="16">
        <f t="shared" si="255"/>
        <v>0</v>
      </c>
      <c r="I457" s="16">
        <f t="shared" si="240"/>
        <v>0</v>
      </c>
      <c r="J457" s="16">
        <f t="shared" si="241"/>
        <v>0</v>
      </c>
      <c r="K457" s="16">
        <f>(Opening_Fund_Value+SUM(K$91:K456))*E457*IF(D457=$A$91,SRP_finalmonthfactor,1)</f>
        <v>0</v>
      </c>
      <c r="L457" s="74">
        <f>MIN(IF($AV457=0,0,
IF(Investment_Strategy="DIS",VLOOKUP(Investment_Strategy&amp;"_"&amp;Investment_Strategy_Sub1&amp;"_"&amp;$A457,'Investment Strategies'!$AZ:$BP,12,FALSE),
IF(AND(Investment_Strategy="Lifecycle",Investment_Strategy_Sub1="Non-Standard"),VLOOKUP(Investment_Strategy&amp;"_"&amp;Investment_Strategy_Sub2&amp;"_"&amp;$A457,'Investment Strategies'!$C:$P,9,FALSE),
IF(AND(Investment_Strategy="Lifecycle",Investment_Strategy_Sub1="Standard"),VLOOKUP(Investment_Strategy&amp;"_"&amp;Investment_Strategy_Sub2&amp;"_"&amp;$A457,'Investment Strategies'!$AJ:$AV,8,FALSE),
IF(AND(Investment_Strategy="Autopilot",Investment_Strategy_Sub1="Non-Standard"),VLOOKUP(Investment_Strategy&amp;"_"&amp;Investment_Strategy_Sub2&amp;"_"&amp;$A457,'Investment Strategies'!$T:$AF,8,FALSE),
IF(Investment_Strategy ="DIY",DIY_RateofReturn_SP,
"Error")))))),Max_InvReturn)</f>
        <v>0</v>
      </c>
      <c r="M457" s="62">
        <f>IF($AV457=0,0,
IF(Investment_Strategy="DIS",VLOOKUP(Investment_Strategy&amp;"_"&amp;Investment_Strategy_Sub1&amp;"_"&amp;$A457,'Investment Strategies'!$AZ:$BP,15,FALSE),
IF(AND(Investment_Strategy="Lifecycle",Investment_Strategy_Sub1="Non-Standard"),VLOOKUP(Investment_Strategy&amp;"_"&amp;Investment_Strategy_Sub2&amp;"_"&amp;$A457,'Investment Strategies'!$C:$P,12,FALSE),
IF(AND(Investment_Strategy="Lifecycle",Investment_Strategy_Sub1="Standard"),VLOOKUP(Investment_Strategy&amp;"_"&amp;Investment_Strategy_Sub2&amp;"_"&amp;$A457,'Investment Strategies'!$AJ:$AV,11,FALSE),
IF(AND(Investment_Strategy="Autopilot",Investment_Strategy_Sub1="Non-Standard"),VLOOKUP(Investment_Strategy&amp;"_"&amp;Investment_Strategy_Sub2&amp;"_"&amp;$A457,'Investment Strategies'!$T:$AF,11,FALSE),
IF(Investment_Strategy="DIY",DIY_GteeChrge_SP,
"Error"))))))</f>
        <v>0</v>
      </c>
      <c r="N457" s="33">
        <f>IF($AV457=0,0,
IF(Investment_Strategy="DIS",VLOOKUP(Investment_Strategy&amp;"_"&amp;Investment_Strategy_Sub1&amp;"_"&amp;$A457,'Investment Strategies'!$AZ:$BP,17,FALSE),
IF(AND(Investment_Strategy="Lifecycle",Investment_Strategy_Sub1="Non-Standard"),VLOOKUP(Investment_Strategy&amp;"_"&amp;Investment_Strategy_Sub2&amp;"_"&amp;$A457,'Investment Strategies'!$C:$P,14,FALSE),
IF(AND(Investment_Strategy="Lifecycle",Investment_Strategy_Sub1="Standard"),VLOOKUP(Investment_Strategy&amp;"_"&amp;Investment_Strategy_Sub2&amp;"_"&amp;$A457,'Investment Strategies'!$AJ:$AV,13,FALSE),
IF(AND(Investment_Strategy="Autopilot",Investment_Strategy_Sub1="Non-Standard"),VLOOKUP(Investment_Strategy&amp;"_"&amp;Investment_Strategy_Sub2&amp;"_"&amp;$A457,'Investment Strategies'!$T:$AF,13,FALSE),
IF(Investment_Strategy="DIY",DIY_ExtManChrge_SP,
"Error"))))))</f>
        <v>0</v>
      </c>
      <c r="O457" s="16">
        <f t="shared" si="266"/>
        <v>0</v>
      </c>
      <c r="Q457" s="16">
        <f t="shared" si="242"/>
        <v>0</v>
      </c>
      <c r="R457" s="16">
        <f t="shared" si="239"/>
        <v>0</v>
      </c>
      <c r="S457" s="16">
        <f>(SRP_SP+SUM(S$91:S456))*L457*IF(D457=$A$91,SRP_finalmonthfactor,1)</f>
        <v>0</v>
      </c>
      <c r="T457" s="74">
        <f>MIN(IF($AV457=0,0,
IF(Investment_Strategy="DIS",VLOOKUP(Investment_Strategy&amp;"_"&amp;Investment_Strategy_Sub1&amp;"_"&amp;$A457,'Investment Strategies'!$AZ:$BP,12,FALSE),
IF(AND(Investment_Strategy="Lifecycle",Investment_Strategy_Sub1="Non-Standard"),VLOOKUP(Investment_Strategy&amp;"_"&amp;Investment_Strategy_Sub2&amp;"_"&amp;$A457,'Investment Strategies'!$C:$P,9,FALSE),
IF(AND(Investment_Strategy="Lifecycle",Investment_Strategy_Sub1="Standard"),VLOOKUP(Investment_Strategy&amp;"_"&amp;Investment_Strategy_Sub2&amp;"_"&amp;$A457,'Investment Strategies'!$AJ:$AV,8,FALSE),
IF(AND(Investment_Strategy="Autopilot",Investment_Strategy_Sub1="Non-Standard"),VLOOKUP(Investment_Strategy&amp;"_"&amp;Investment_Strategy_Sub2&amp;"_"&amp;$A457,'Investment Strategies'!$T:$AF,8,FALSE),
IF(Investment_Strategy ="DIY",DIY_RateOfReturn_FuturePremiums,
"Error")))))),Max_InvReturn)</f>
        <v>0</v>
      </c>
      <c r="U457" s="62">
        <f>IF($AV457=0,0,
IF(Investment_Strategy="DIS",VLOOKUP(Investment_Strategy&amp;"_"&amp;Investment_Strategy_Sub1&amp;"_"&amp;$A457,'Investment Strategies'!$AZ:$BP,15,FALSE),
IF(AND(Investment_Strategy="Lifecycle",Investment_Strategy_Sub1="Non-Standard"),VLOOKUP(Investment_Strategy&amp;"_"&amp;Investment_Strategy_Sub2&amp;"_"&amp;$A457,'Investment Strategies'!$C:$P,12,FALSE),
IF(AND(Investment_Strategy="Lifecycle",Investment_Strategy_Sub1="Standard"),VLOOKUP(Investment_Strategy&amp;"_"&amp;Investment_Strategy_Sub2&amp;"_"&amp;$A457,'Investment Strategies'!$AJ:$AV,11,FALSE),
IF(AND(Investment_Strategy="Autopilot",Investment_Strategy_Sub1="Non-Standard"),VLOOKUP(Investment_Strategy&amp;"_"&amp;Investment_Strategy_Sub2&amp;"_"&amp;$A457,'Investment Strategies'!$T:$AF,11,FALSE),
IF(Investment_Strategy="DIY",DIY_GteeChrge_FuturePremiums,
"Error"))))))</f>
        <v>0</v>
      </c>
      <c r="V457" s="33">
        <f>IF(AV457=0,0,
IF(Investment_Strategy="DIS",VLOOKUP(Investment_Strategy&amp;"_"&amp;Investment_Strategy_Sub1&amp;"_"&amp;$A457,'Investment Strategies'!$AZ:$BP,17,FALSE),
IF(AND(Investment_Strategy="Lifecycle",Investment_Strategy_Sub1="Non-Standard"),VLOOKUP(Investment_Strategy&amp;"_"&amp;Investment_Strategy_Sub2&amp;"_"&amp;$A457,'Investment Strategies'!$C:$P,14,FALSE),
IF(AND(Investment_Strategy="Lifecycle",Investment_Strategy_Sub1="Standard"),VLOOKUP(Investment_Strategy&amp;"_"&amp;Investment_Strategy_Sub2&amp;"_"&amp;$A457,'Investment Strategies'!$AJ:$AV,13,FALSE),
IF(AND(Investment_Strategy="Autopilot",Investment_Strategy_Sub1="Non-Standard"),VLOOKUP(Investment_Strategy&amp;"_"&amp;Investment_Strategy_Sub2&amp;"_"&amp;$A457,'Investment Strategies'!$T:$AF,13,FALSE),
IF(Investment_Strategy="DIY",DIY_ExtManChrge_FuturePremiums,
"Error"))))))</f>
        <v>0</v>
      </c>
      <c r="W457" s="16">
        <f t="shared" si="267"/>
        <v>0</v>
      </c>
      <c r="X457" s="16">
        <f t="shared" si="243"/>
        <v>0</v>
      </c>
      <c r="Y457" s="16">
        <f t="shared" si="244"/>
        <v>0</v>
      </c>
      <c r="Z457" s="31">
        <f t="shared" si="245"/>
        <v>0.02</v>
      </c>
      <c r="AA457" s="16">
        <f t="shared" si="246"/>
        <v>0</v>
      </c>
      <c r="AB457" s="28">
        <f t="shared" si="268"/>
        <v>0</v>
      </c>
      <c r="AC457" s="28">
        <f>(SUM($AC$91:AC456)+SUM($X$91:X456)+X457)*T457*IF(D457=$A$91,SRP_finalmonthfactor,1)</f>
        <v>0</v>
      </c>
      <c r="AD457" s="16">
        <f t="shared" si="247"/>
        <v>0</v>
      </c>
      <c r="AE457" s="106"/>
      <c r="AF457" s="16">
        <f t="shared" si="256"/>
        <v>0</v>
      </c>
      <c r="AG457" s="16">
        <f t="shared" si="257"/>
        <v>0</v>
      </c>
      <c r="AH457" s="16">
        <f t="shared" si="258"/>
        <v>0</v>
      </c>
      <c r="AJ457" s="13">
        <f t="shared" si="272"/>
        <v>0</v>
      </c>
      <c r="AK457" s="13">
        <f t="shared" si="272"/>
        <v>0</v>
      </c>
      <c r="AL457" s="13">
        <f t="shared" si="272"/>
        <v>0</v>
      </c>
      <c r="AM457" s="13">
        <f t="shared" si="272"/>
        <v>0</v>
      </c>
      <c r="AN457" s="13">
        <f t="shared" si="272"/>
        <v>0</v>
      </c>
      <c r="AO457" s="13">
        <f t="shared" si="272"/>
        <v>1</v>
      </c>
      <c r="AP457" s="13">
        <f t="shared" si="272"/>
        <v>1</v>
      </c>
      <c r="AQ457" s="13">
        <f t="shared" si="272"/>
        <v>1</v>
      </c>
      <c r="AR457" s="13">
        <f t="shared" si="272"/>
        <v>0</v>
      </c>
      <c r="AS457" s="13">
        <f t="shared" si="272"/>
        <v>0</v>
      </c>
      <c r="AT457" s="13">
        <f t="shared" si="272"/>
        <v>1</v>
      </c>
      <c r="AU457" s="13">
        <f t="shared" si="272"/>
        <v>1</v>
      </c>
      <c r="AV457" s="13">
        <f t="shared" si="249"/>
        <v>0</v>
      </c>
      <c r="AW457" s="13">
        <f t="shared" si="250"/>
        <v>1</v>
      </c>
      <c r="AY457" s="17">
        <f t="shared" si="251"/>
        <v>367</v>
      </c>
      <c r="AZ457" s="28">
        <f t="shared" si="259"/>
        <v>0</v>
      </c>
      <c r="BA457" s="13">
        <f t="shared" si="252"/>
        <v>0</v>
      </c>
      <c r="BB457" s="13">
        <f t="shared" si="253"/>
        <v>0</v>
      </c>
      <c r="BC457" s="28">
        <f t="shared" si="260"/>
        <v>0</v>
      </c>
      <c r="BD457" s="28">
        <f t="shared" si="261"/>
        <v>0</v>
      </c>
      <c r="BF457" s="248">
        <f t="shared" si="262"/>
        <v>993869.29442638322</v>
      </c>
    </row>
    <row r="458" spans="1:58">
      <c r="A458" s="32">
        <f t="shared" si="263"/>
        <v>-283</v>
      </c>
      <c r="B458" s="32">
        <f t="shared" si="254"/>
        <v>83</v>
      </c>
      <c r="C458" s="32">
        <f t="shared" si="264"/>
        <v>31</v>
      </c>
      <c r="D458" s="32">
        <f t="shared" si="265"/>
        <v>368</v>
      </c>
      <c r="E458" s="74">
        <f>MIN(IF(AV458=0,0,
IF(Investment_Strategy="DIS",VLOOKUP(Investment_Strategy&amp;"_"&amp;Investment_Strategy_Sub1&amp;"_"&amp;$A458,'Investment Strategies'!$AZ:$BP,12,FALSE),
IF(AND(Investment_Strategy="Lifecycle",Investment_Strategy_Sub1="Non-Standard"),VLOOKUP(Investment_Strategy&amp;"_"&amp;Investment_Strategy_Sub2&amp;"_"&amp;$A458,'Investment Strategies'!$C:$P,9,FALSE),
IF(AND(Investment_Strategy="Lifecycle",Investment_Strategy_Sub1="Standard"),VLOOKUP(Investment_Strategy&amp;"_"&amp;Investment_Strategy_Sub2&amp;"_"&amp;$A458,'Investment Strategies'!$AJ:$AV,8,FALSE),
IF(AND(Investment_Strategy="Autopilot",Investment_Strategy_Sub1="Non-Standard"),VLOOKUP(Investment_Strategy&amp;"_"&amp;Investment_Strategy_Sub2&amp;"_"&amp;$A458,'Investment Strategies'!$T:$AF,8,FALSE),
IF(Investment_Strategy ="DIY",DIY_RateOfReturn_CurrentFunds,
"Error")))))),Max_InvReturn)</f>
        <v>0</v>
      </c>
      <c r="F458" s="62">
        <f>IF(AV458=0,0,
IF(Investment_Strategy="DIS",VLOOKUP(Investment_Strategy&amp;"_"&amp;Investment_Strategy_Sub1&amp;"_"&amp;$A458,'Investment Strategies'!$AZ:$BP,15,FALSE),
IF(AND(Investment_Strategy="Lifecycle",Investment_Strategy_Sub1="Non-Standard"),VLOOKUP(Investment_Strategy&amp;"_"&amp;Investment_Strategy_Sub2&amp;"_"&amp;$A458,'Investment Strategies'!$C:$P,12,FALSE),
IF(AND(Investment_Strategy="Lifecycle",Investment_Strategy_Sub1="Standard"),VLOOKUP(Investment_Strategy&amp;"_"&amp;Investment_Strategy_Sub2&amp;"_"&amp;$A458,'Investment Strategies'!$AJ:$AV,11,FALSE),
IF(AND(Investment_Strategy="Autopilot",Investment_Strategy_Sub1="Non-Standard"),VLOOKUP(Investment_Strategy&amp;"_"&amp;Investment_Strategy_Sub2&amp;"_"&amp;$A458,'Investment Strategies'!$T:$AF,11,FALSE),
IF(Investment_Strategy="DIY",DIY_GteeChrge_CurrentFunds,
"Error"))))))</f>
        <v>0</v>
      </c>
      <c r="G458" s="33">
        <f>IF(AV458=0,0,
IF(Investment_Strategy="DIS",VLOOKUP(Investment_Strategy&amp;"_"&amp;Investment_Strategy_Sub1&amp;"_"&amp;$A458,'Investment Strategies'!$AZ:$BP,17,FALSE),
IF(AND(Investment_Strategy="Lifecycle",Investment_Strategy_Sub1="Non-Standard"),VLOOKUP(Investment_Strategy&amp;"_"&amp;Investment_Strategy_Sub2&amp;"_"&amp;$A458,'Investment Strategies'!$C:$P,14,FALSE),
IF(AND(Investment_Strategy="Lifecycle",Investment_Strategy_Sub1="Standard"),VLOOKUP(Investment_Strategy&amp;"_"&amp;Investment_Strategy_Sub2&amp;"_"&amp;$A458,'Investment Strategies'!$AJ:$AV,13,FALSE),
IF(AND(Investment_Strategy="Autopilot",Investment_Strategy_Sub1="Non-Standard"),VLOOKUP(Investment_Strategy&amp;"_"&amp;Investment_Strategy_Sub2&amp;"_"&amp;$A458,'Investment Strategies'!$T:$AF,13,FALSE),
IF(Investment_Strategy="DIY",DIY_ExtManChrge_CurrentFunds,
"Error"))))))</f>
        <v>0</v>
      </c>
      <c r="H458" s="16">
        <f t="shared" si="255"/>
        <v>0</v>
      </c>
      <c r="I458" s="16">
        <f t="shared" si="240"/>
        <v>0</v>
      </c>
      <c r="J458" s="16">
        <f t="shared" si="241"/>
        <v>0</v>
      </c>
      <c r="K458" s="16">
        <f>(Opening_Fund_Value+SUM(K$91:K457))*E458*IF(D458=$A$91,SRP_finalmonthfactor,1)</f>
        <v>0</v>
      </c>
      <c r="L458" s="74">
        <f>MIN(IF($AV458=0,0,
IF(Investment_Strategy="DIS",VLOOKUP(Investment_Strategy&amp;"_"&amp;Investment_Strategy_Sub1&amp;"_"&amp;$A458,'Investment Strategies'!$AZ:$BP,12,FALSE),
IF(AND(Investment_Strategy="Lifecycle",Investment_Strategy_Sub1="Non-Standard"),VLOOKUP(Investment_Strategy&amp;"_"&amp;Investment_Strategy_Sub2&amp;"_"&amp;$A458,'Investment Strategies'!$C:$P,9,FALSE),
IF(AND(Investment_Strategy="Lifecycle",Investment_Strategy_Sub1="Standard"),VLOOKUP(Investment_Strategy&amp;"_"&amp;Investment_Strategy_Sub2&amp;"_"&amp;$A458,'Investment Strategies'!$AJ:$AV,8,FALSE),
IF(AND(Investment_Strategy="Autopilot",Investment_Strategy_Sub1="Non-Standard"),VLOOKUP(Investment_Strategy&amp;"_"&amp;Investment_Strategy_Sub2&amp;"_"&amp;$A458,'Investment Strategies'!$T:$AF,8,FALSE),
IF(Investment_Strategy ="DIY",DIY_RateofReturn_SP,
"Error")))))),Max_InvReturn)</f>
        <v>0</v>
      </c>
      <c r="M458" s="62">
        <f>IF($AV458=0,0,
IF(Investment_Strategy="DIS",VLOOKUP(Investment_Strategy&amp;"_"&amp;Investment_Strategy_Sub1&amp;"_"&amp;$A458,'Investment Strategies'!$AZ:$BP,15,FALSE),
IF(AND(Investment_Strategy="Lifecycle",Investment_Strategy_Sub1="Non-Standard"),VLOOKUP(Investment_Strategy&amp;"_"&amp;Investment_Strategy_Sub2&amp;"_"&amp;$A458,'Investment Strategies'!$C:$P,12,FALSE),
IF(AND(Investment_Strategy="Lifecycle",Investment_Strategy_Sub1="Standard"),VLOOKUP(Investment_Strategy&amp;"_"&amp;Investment_Strategy_Sub2&amp;"_"&amp;$A458,'Investment Strategies'!$AJ:$AV,11,FALSE),
IF(AND(Investment_Strategy="Autopilot",Investment_Strategy_Sub1="Non-Standard"),VLOOKUP(Investment_Strategy&amp;"_"&amp;Investment_Strategy_Sub2&amp;"_"&amp;$A458,'Investment Strategies'!$T:$AF,11,FALSE),
IF(Investment_Strategy="DIY",DIY_GteeChrge_SP,
"Error"))))))</f>
        <v>0</v>
      </c>
      <c r="N458" s="33">
        <f>IF($AV458=0,0,
IF(Investment_Strategy="DIS",VLOOKUP(Investment_Strategy&amp;"_"&amp;Investment_Strategy_Sub1&amp;"_"&amp;$A458,'Investment Strategies'!$AZ:$BP,17,FALSE),
IF(AND(Investment_Strategy="Lifecycle",Investment_Strategy_Sub1="Non-Standard"),VLOOKUP(Investment_Strategy&amp;"_"&amp;Investment_Strategy_Sub2&amp;"_"&amp;$A458,'Investment Strategies'!$C:$P,14,FALSE),
IF(AND(Investment_Strategy="Lifecycle",Investment_Strategy_Sub1="Standard"),VLOOKUP(Investment_Strategy&amp;"_"&amp;Investment_Strategy_Sub2&amp;"_"&amp;$A458,'Investment Strategies'!$AJ:$AV,13,FALSE),
IF(AND(Investment_Strategy="Autopilot",Investment_Strategy_Sub1="Non-Standard"),VLOOKUP(Investment_Strategy&amp;"_"&amp;Investment_Strategy_Sub2&amp;"_"&amp;$A458,'Investment Strategies'!$T:$AF,13,FALSE),
IF(Investment_Strategy="DIY",DIY_ExtManChrge_SP,
"Error"))))))</f>
        <v>0</v>
      </c>
      <c r="O458" s="16">
        <f t="shared" si="266"/>
        <v>0</v>
      </c>
      <c r="Q458" s="16">
        <f t="shared" si="242"/>
        <v>0</v>
      </c>
      <c r="R458" s="16">
        <f t="shared" si="239"/>
        <v>0</v>
      </c>
      <c r="S458" s="16">
        <f>(SRP_SP+SUM(S$91:S457))*L458*IF(D458=$A$91,SRP_finalmonthfactor,1)</f>
        <v>0</v>
      </c>
      <c r="T458" s="74">
        <f>MIN(IF($AV458=0,0,
IF(Investment_Strategy="DIS",VLOOKUP(Investment_Strategy&amp;"_"&amp;Investment_Strategy_Sub1&amp;"_"&amp;$A458,'Investment Strategies'!$AZ:$BP,12,FALSE),
IF(AND(Investment_Strategy="Lifecycle",Investment_Strategy_Sub1="Non-Standard"),VLOOKUP(Investment_Strategy&amp;"_"&amp;Investment_Strategy_Sub2&amp;"_"&amp;$A458,'Investment Strategies'!$C:$P,9,FALSE),
IF(AND(Investment_Strategy="Lifecycle",Investment_Strategy_Sub1="Standard"),VLOOKUP(Investment_Strategy&amp;"_"&amp;Investment_Strategy_Sub2&amp;"_"&amp;$A458,'Investment Strategies'!$AJ:$AV,8,FALSE),
IF(AND(Investment_Strategy="Autopilot",Investment_Strategy_Sub1="Non-Standard"),VLOOKUP(Investment_Strategy&amp;"_"&amp;Investment_Strategy_Sub2&amp;"_"&amp;$A458,'Investment Strategies'!$T:$AF,8,FALSE),
IF(Investment_Strategy ="DIY",DIY_RateOfReturn_FuturePremiums,
"Error")))))),Max_InvReturn)</f>
        <v>0</v>
      </c>
      <c r="U458" s="62">
        <f>IF($AV458=0,0,
IF(Investment_Strategy="DIS",VLOOKUP(Investment_Strategy&amp;"_"&amp;Investment_Strategy_Sub1&amp;"_"&amp;$A458,'Investment Strategies'!$AZ:$BP,15,FALSE),
IF(AND(Investment_Strategy="Lifecycle",Investment_Strategy_Sub1="Non-Standard"),VLOOKUP(Investment_Strategy&amp;"_"&amp;Investment_Strategy_Sub2&amp;"_"&amp;$A458,'Investment Strategies'!$C:$P,12,FALSE),
IF(AND(Investment_Strategy="Lifecycle",Investment_Strategy_Sub1="Standard"),VLOOKUP(Investment_Strategy&amp;"_"&amp;Investment_Strategy_Sub2&amp;"_"&amp;$A458,'Investment Strategies'!$AJ:$AV,11,FALSE),
IF(AND(Investment_Strategy="Autopilot",Investment_Strategy_Sub1="Non-Standard"),VLOOKUP(Investment_Strategy&amp;"_"&amp;Investment_Strategy_Sub2&amp;"_"&amp;$A458,'Investment Strategies'!$T:$AF,11,FALSE),
IF(Investment_Strategy="DIY",DIY_GteeChrge_FuturePremiums,
"Error"))))))</f>
        <v>0</v>
      </c>
      <c r="V458" s="33">
        <f>IF(AV458=0,0,
IF(Investment_Strategy="DIS",VLOOKUP(Investment_Strategy&amp;"_"&amp;Investment_Strategy_Sub1&amp;"_"&amp;$A458,'Investment Strategies'!$AZ:$BP,17,FALSE),
IF(AND(Investment_Strategy="Lifecycle",Investment_Strategy_Sub1="Non-Standard"),VLOOKUP(Investment_Strategy&amp;"_"&amp;Investment_Strategy_Sub2&amp;"_"&amp;$A458,'Investment Strategies'!$C:$P,14,FALSE),
IF(AND(Investment_Strategy="Lifecycle",Investment_Strategy_Sub1="Standard"),VLOOKUP(Investment_Strategy&amp;"_"&amp;Investment_Strategy_Sub2&amp;"_"&amp;$A458,'Investment Strategies'!$AJ:$AV,13,FALSE),
IF(AND(Investment_Strategy="Autopilot",Investment_Strategy_Sub1="Non-Standard"),VLOOKUP(Investment_Strategy&amp;"_"&amp;Investment_Strategy_Sub2&amp;"_"&amp;$A458,'Investment Strategies'!$T:$AF,13,FALSE),
IF(Investment_Strategy="DIY",DIY_ExtManChrge_FuturePremiums,
"Error"))))))</f>
        <v>0</v>
      </c>
      <c r="W458" s="16">
        <f t="shared" si="267"/>
        <v>0</v>
      </c>
      <c r="X458" s="16">
        <f t="shared" si="243"/>
        <v>0</v>
      </c>
      <c r="Y458" s="16">
        <f t="shared" si="244"/>
        <v>0</v>
      </c>
      <c r="Z458" s="31">
        <f t="shared" si="245"/>
        <v>0.02</v>
      </c>
      <c r="AA458" s="16">
        <f t="shared" si="246"/>
        <v>0</v>
      </c>
      <c r="AB458" s="28">
        <f t="shared" si="268"/>
        <v>0</v>
      </c>
      <c r="AC458" s="28">
        <f>(SUM($AC$91:AC457)+SUM($X$91:X457)+X458)*T458*IF(D458=$A$91,SRP_finalmonthfactor,1)</f>
        <v>0</v>
      </c>
      <c r="AD458" s="16">
        <f t="shared" si="247"/>
        <v>0</v>
      </c>
      <c r="AE458" s="106"/>
      <c r="AF458" s="16">
        <f t="shared" si="256"/>
        <v>0</v>
      </c>
      <c r="AG458" s="16">
        <f t="shared" si="257"/>
        <v>0</v>
      </c>
      <c r="AH458" s="16">
        <f t="shared" si="258"/>
        <v>0</v>
      </c>
      <c r="AJ458" s="13">
        <f t="shared" si="272"/>
        <v>0</v>
      </c>
      <c r="AK458" s="13">
        <f t="shared" si="272"/>
        <v>0</v>
      </c>
      <c r="AL458" s="13">
        <f t="shared" si="272"/>
        <v>0</v>
      </c>
      <c r="AM458" s="13">
        <f t="shared" si="272"/>
        <v>0</v>
      </c>
      <c r="AN458" s="13">
        <f t="shared" si="272"/>
        <v>0</v>
      </c>
      <c r="AO458" s="13">
        <f t="shared" si="272"/>
        <v>1</v>
      </c>
      <c r="AP458" s="13">
        <f t="shared" si="272"/>
        <v>1</v>
      </c>
      <c r="AQ458" s="13">
        <f t="shared" si="272"/>
        <v>1</v>
      </c>
      <c r="AR458" s="13">
        <f t="shared" si="272"/>
        <v>0</v>
      </c>
      <c r="AS458" s="13">
        <f t="shared" si="272"/>
        <v>0</v>
      </c>
      <c r="AT458" s="13">
        <f t="shared" si="272"/>
        <v>1</v>
      </c>
      <c r="AU458" s="13">
        <f t="shared" si="272"/>
        <v>1</v>
      </c>
      <c r="AV458" s="13">
        <f t="shared" si="249"/>
        <v>0</v>
      </c>
      <c r="AW458" s="13">
        <f t="shared" si="250"/>
        <v>1</v>
      </c>
      <c r="AY458" s="17">
        <f t="shared" si="251"/>
        <v>368</v>
      </c>
      <c r="AZ458" s="28">
        <f t="shared" si="259"/>
        <v>0</v>
      </c>
      <c r="BA458" s="13">
        <f t="shared" si="252"/>
        <v>0</v>
      </c>
      <c r="BB458" s="13">
        <f t="shared" si="253"/>
        <v>0</v>
      </c>
      <c r="BC458" s="28">
        <f t="shared" si="260"/>
        <v>0</v>
      </c>
      <c r="BD458" s="28">
        <f t="shared" si="261"/>
        <v>0</v>
      </c>
      <c r="BF458" s="248">
        <f t="shared" si="262"/>
        <v>993869.29442638322</v>
      </c>
    </row>
    <row r="459" spans="1:58">
      <c r="A459" s="32">
        <f t="shared" si="263"/>
        <v>-284</v>
      </c>
      <c r="B459" s="32">
        <f t="shared" si="254"/>
        <v>83</v>
      </c>
      <c r="C459" s="32">
        <f t="shared" si="264"/>
        <v>31</v>
      </c>
      <c r="D459" s="32">
        <f t="shared" si="265"/>
        <v>369</v>
      </c>
      <c r="E459" s="74">
        <f>MIN(IF(AV459=0,0,
IF(Investment_Strategy="DIS",VLOOKUP(Investment_Strategy&amp;"_"&amp;Investment_Strategy_Sub1&amp;"_"&amp;$A459,'Investment Strategies'!$AZ:$BP,12,FALSE),
IF(AND(Investment_Strategy="Lifecycle",Investment_Strategy_Sub1="Non-Standard"),VLOOKUP(Investment_Strategy&amp;"_"&amp;Investment_Strategy_Sub2&amp;"_"&amp;$A459,'Investment Strategies'!$C:$P,9,FALSE),
IF(AND(Investment_Strategy="Lifecycle",Investment_Strategy_Sub1="Standard"),VLOOKUP(Investment_Strategy&amp;"_"&amp;Investment_Strategy_Sub2&amp;"_"&amp;$A459,'Investment Strategies'!$AJ:$AV,8,FALSE),
IF(AND(Investment_Strategy="Autopilot",Investment_Strategy_Sub1="Non-Standard"),VLOOKUP(Investment_Strategy&amp;"_"&amp;Investment_Strategy_Sub2&amp;"_"&amp;$A459,'Investment Strategies'!$T:$AF,8,FALSE),
IF(Investment_Strategy ="DIY",DIY_RateOfReturn_CurrentFunds,
"Error")))))),Max_InvReturn)</f>
        <v>0</v>
      </c>
      <c r="F459" s="62">
        <f>IF(AV459=0,0,
IF(Investment_Strategy="DIS",VLOOKUP(Investment_Strategy&amp;"_"&amp;Investment_Strategy_Sub1&amp;"_"&amp;$A459,'Investment Strategies'!$AZ:$BP,15,FALSE),
IF(AND(Investment_Strategy="Lifecycle",Investment_Strategy_Sub1="Non-Standard"),VLOOKUP(Investment_Strategy&amp;"_"&amp;Investment_Strategy_Sub2&amp;"_"&amp;$A459,'Investment Strategies'!$C:$P,12,FALSE),
IF(AND(Investment_Strategy="Lifecycle",Investment_Strategy_Sub1="Standard"),VLOOKUP(Investment_Strategy&amp;"_"&amp;Investment_Strategy_Sub2&amp;"_"&amp;$A459,'Investment Strategies'!$AJ:$AV,11,FALSE),
IF(AND(Investment_Strategy="Autopilot",Investment_Strategy_Sub1="Non-Standard"),VLOOKUP(Investment_Strategy&amp;"_"&amp;Investment_Strategy_Sub2&amp;"_"&amp;$A459,'Investment Strategies'!$T:$AF,11,FALSE),
IF(Investment_Strategy="DIY",DIY_GteeChrge_CurrentFunds,
"Error"))))))</f>
        <v>0</v>
      </c>
      <c r="G459" s="33">
        <f>IF(AV459=0,0,
IF(Investment_Strategy="DIS",VLOOKUP(Investment_Strategy&amp;"_"&amp;Investment_Strategy_Sub1&amp;"_"&amp;$A459,'Investment Strategies'!$AZ:$BP,17,FALSE),
IF(AND(Investment_Strategy="Lifecycle",Investment_Strategy_Sub1="Non-Standard"),VLOOKUP(Investment_Strategy&amp;"_"&amp;Investment_Strategy_Sub2&amp;"_"&amp;$A459,'Investment Strategies'!$C:$P,14,FALSE),
IF(AND(Investment_Strategy="Lifecycle",Investment_Strategy_Sub1="Standard"),VLOOKUP(Investment_Strategy&amp;"_"&amp;Investment_Strategy_Sub2&amp;"_"&amp;$A459,'Investment Strategies'!$AJ:$AV,13,FALSE),
IF(AND(Investment_Strategy="Autopilot",Investment_Strategy_Sub1="Non-Standard"),VLOOKUP(Investment_Strategy&amp;"_"&amp;Investment_Strategy_Sub2&amp;"_"&amp;$A459,'Investment Strategies'!$T:$AF,13,FALSE),
IF(Investment_Strategy="DIY",DIY_ExtManChrge_CurrentFunds,
"Error"))))))</f>
        <v>0</v>
      </c>
      <c r="H459" s="16">
        <f t="shared" si="255"/>
        <v>0</v>
      </c>
      <c r="I459" s="16">
        <f t="shared" si="240"/>
        <v>0</v>
      </c>
      <c r="J459" s="16">
        <f t="shared" si="241"/>
        <v>0</v>
      </c>
      <c r="K459" s="16">
        <f>(Opening_Fund_Value+SUM(K$91:K458))*E459*IF(D459=$A$91,SRP_finalmonthfactor,1)</f>
        <v>0</v>
      </c>
      <c r="L459" s="74">
        <f>MIN(IF($AV459=0,0,
IF(Investment_Strategy="DIS",VLOOKUP(Investment_Strategy&amp;"_"&amp;Investment_Strategy_Sub1&amp;"_"&amp;$A459,'Investment Strategies'!$AZ:$BP,12,FALSE),
IF(AND(Investment_Strategy="Lifecycle",Investment_Strategy_Sub1="Non-Standard"),VLOOKUP(Investment_Strategy&amp;"_"&amp;Investment_Strategy_Sub2&amp;"_"&amp;$A459,'Investment Strategies'!$C:$P,9,FALSE),
IF(AND(Investment_Strategy="Lifecycle",Investment_Strategy_Sub1="Standard"),VLOOKUP(Investment_Strategy&amp;"_"&amp;Investment_Strategy_Sub2&amp;"_"&amp;$A459,'Investment Strategies'!$AJ:$AV,8,FALSE),
IF(AND(Investment_Strategy="Autopilot",Investment_Strategy_Sub1="Non-Standard"),VLOOKUP(Investment_Strategy&amp;"_"&amp;Investment_Strategy_Sub2&amp;"_"&amp;$A459,'Investment Strategies'!$T:$AF,8,FALSE),
IF(Investment_Strategy ="DIY",DIY_RateofReturn_SP,
"Error")))))),Max_InvReturn)</f>
        <v>0</v>
      </c>
      <c r="M459" s="62">
        <f>IF($AV459=0,0,
IF(Investment_Strategy="DIS",VLOOKUP(Investment_Strategy&amp;"_"&amp;Investment_Strategy_Sub1&amp;"_"&amp;$A459,'Investment Strategies'!$AZ:$BP,15,FALSE),
IF(AND(Investment_Strategy="Lifecycle",Investment_Strategy_Sub1="Non-Standard"),VLOOKUP(Investment_Strategy&amp;"_"&amp;Investment_Strategy_Sub2&amp;"_"&amp;$A459,'Investment Strategies'!$C:$P,12,FALSE),
IF(AND(Investment_Strategy="Lifecycle",Investment_Strategy_Sub1="Standard"),VLOOKUP(Investment_Strategy&amp;"_"&amp;Investment_Strategy_Sub2&amp;"_"&amp;$A459,'Investment Strategies'!$AJ:$AV,11,FALSE),
IF(AND(Investment_Strategy="Autopilot",Investment_Strategy_Sub1="Non-Standard"),VLOOKUP(Investment_Strategy&amp;"_"&amp;Investment_Strategy_Sub2&amp;"_"&amp;$A459,'Investment Strategies'!$T:$AF,11,FALSE),
IF(Investment_Strategy="DIY",DIY_GteeChrge_SP,
"Error"))))))</f>
        <v>0</v>
      </c>
      <c r="N459" s="33">
        <f>IF($AV459=0,0,
IF(Investment_Strategy="DIS",VLOOKUP(Investment_Strategy&amp;"_"&amp;Investment_Strategy_Sub1&amp;"_"&amp;$A459,'Investment Strategies'!$AZ:$BP,17,FALSE),
IF(AND(Investment_Strategy="Lifecycle",Investment_Strategy_Sub1="Non-Standard"),VLOOKUP(Investment_Strategy&amp;"_"&amp;Investment_Strategy_Sub2&amp;"_"&amp;$A459,'Investment Strategies'!$C:$P,14,FALSE),
IF(AND(Investment_Strategy="Lifecycle",Investment_Strategy_Sub1="Standard"),VLOOKUP(Investment_Strategy&amp;"_"&amp;Investment_Strategy_Sub2&amp;"_"&amp;$A459,'Investment Strategies'!$AJ:$AV,13,FALSE),
IF(AND(Investment_Strategy="Autopilot",Investment_Strategy_Sub1="Non-Standard"),VLOOKUP(Investment_Strategy&amp;"_"&amp;Investment_Strategy_Sub2&amp;"_"&amp;$A459,'Investment Strategies'!$T:$AF,13,FALSE),
IF(Investment_Strategy="DIY",DIY_ExtManChrge_SP,
"Error"))))))</f>
        <v>0</v>
      </c>
      <c r="O459" s="16">
        <f t="shared" si="266"/>
        <v>0</v>
      </c>
      <c r="Q459" s="16">
        <f t="shared" si="242"/>
        <v>0</v>
      </c>
      <c r="R459" s="16">
        <f t="shared" si="239"/>
        <v>0</v>
      </c>
      <c r="S459" s="16">
        <f>(SRP_SP+SUM(S$91:S458))*L459*IF(D459=$A$91,SRP_finalmonthfactor,1)</f>
        <v>0</v>
      </c>
      <c r="T459" s="74">
        <f>MIN(IF($AV459=0,0,
IF(Investment_Strategy="DIS",VLOOKUP(Investment_Strategy&amp;"_"&amp;Investment_Strategy_Sub1&amp;"_"&amp;$A459,'Investment Strategies'!$AZ:$BP,12,FALSE),
IF(AND(Investment_Strategy="Lifecycle",Investment_Strategy_Sub1="Non-Standard"),VLOOKUP(Investment_Strategy&amp;"_"&amp;Investment_Strategy_Sub2&amp;"_"&amp;$A459,'Investment Strategies'!$C:$P,9,FALSE),
IF(AND(Investment_Strategy="Lifecycle",Investment_Strategy_Sub1="Standard"),VLOOKUP(Investment_Strategy&amp;"_"&amp;Investment_Strategy_Sub2&amp;"_"&amp;$A459,'Investment Strategies'!$AJ:$AV,8,FALSE),
IF(AND(Investment_Strategy="Autopilot",Investment_Strategy_Sub1="Non-Standard"),VLOOKUP(Investment_Strategy&amp;"_"&amp;Investment_Strategy_Sub2&amp;"_"&amp;$A459,'Investment Strategies'!$T:$AF,8,FALSE),
IF(Investment_Strategy ="DIY",DIY_RateOfReturn_FuturePremiums,
"Error")))))),Max_InvReturn)</f>
        <v>0</v>
      </c>
      <c r="U459" s="62">
        <f>IF($AV459=0,0,
IF(Investment_Strategy="DIS",VLOOKUP(Investment_Strategy&amp;"_"&amp;Investment_Strategy_Sub1&amp;"_"&amp;$A459,'Investment Strategies'!$AZ:$BP,15,FALSE),
IF(AND(Investment_Strategy="Lifecycle",Investment_Strategy_Sub1="Non-Standard"),VLOOKUP(Investment_Strategy&amp;"_"&amp;Investment_Strategy_Sub2&amp;"_"&amp;$A459,'Investment Strategies'!$C:$P,12,FALSE),
IF(AND(Investment_Strategy="Lifecycle",Investment_Strategy_Sub1="Standard"),VLOOKUP(Investment_Strategy&amp;"_"&amp;Investment_Strategy_Sub2&amp;"_"&amp;$A459,'Investment Strategies'!$AJ:$AV,11,FALSE),
IF(AND(Investment_Strategy="Autopilot",Investment_Strategy_Sub1="Non-Standard"),VLOOKUP(Investment_Strategy&amp;"_"&amp;Investment_Strategy_Sub2&amp;"_"&amp;$A459,'Investment Strategies'!$T:$AF,11,FALSE),
IF(Investment_Strategy="DIY",DIY_GteeChrge_FuturePremiums,
"Error"))))))</f>
        <v>0</v>
      </c>
      <c r="V459" s="33">
        <f>IF(AV459=0,0,
IF(Investment_Strategy="DIS",VLOOKUP(Investment_Strategy&amp;"_"&amp;Investment_Strategy_Sub1&amp;"_"&amp;$A459,'Investment Strategies'!$AZ:$BP,17,FALSE),
IF(AND(Investment_Strategy="Lifecycle",Investment_Strategy_Sub1="Non-Standard"),VLOOKUP(Investment_Strategy&amp;"_"&amp;Investment_Strategy_Sub2&amp;"_"&amp;$A459,'Investment Strategies'!$C:$P,14,FALSE),
IF(AND(Investment_Strategy="Lifecycle",Investment_Strategy_Sub1="Standard"),VLOOKUP(Investment_Strategy&amp;"_"&amp;Investment_Strategy_Sub2&amp;"_"&amp;$A459,'Investment Strategies'!$AJ:$AV,13,FALSE),
IF(AND(Investment_Strategy="Autopilot",Investment_Strategy_Sub1="Non-Standard"),VLOOKUP(Investment_Strategy&amp;"_"&amp;Investment_Strategy_Sub2&amp;"_"&amp;$A459,'Investment Strategies'!$T:$AF,13,FALSE),
IF(Investment_Strategy="DIY",DIY_ExtManChrge_FuturePremiums,
"Error"))))))</f>
        <v>0</v>
      </c>
      <c r="W459" s="16">
        <f t="shared" si="267"/>
        <v>0</v>
      </c>
      <c r="X459" s="16">
        <f t="shared" si="243"/>
        <v>0</v>
      </c>
      <c r="Y459" s="16">
        <f t="shared" si="244"/>
        <v>0</v>
      </c>
      <c r="Z459" s="31">
        <f t="shared" si="245"/>
        <v>0.02</v>
      </c>
      <c r="AA459" s="16">
        <f t="shared" si="246"/>
        <v>0</v>
      </c>
      <c r="AB459" s="28">
        <f t="shared" si="268"/>
        <v>0</v>
      </c>
      <c r="AC459" s="28">
        <f>(SUM($AC$91:AC458)+SUM($X$91:X458)+X459)*T459*IF(D459=$A$91,SRP_finalmonthfactor,1)</f>
        <v>0</v>
      </c>
      <c r="AD459" s="16">
        <f t="shared" si="247"/>
        <v>0</v>
      </c>
      <c r="AE459" s="106"/>
      <c r="AF459" s="16">
        <f t="shared" si="256"/>
        <v>0</v>
      </c>
      <c r="AG459" s="16">
        <f t="shared" si="257"/>
        <v>0</v>
      </c>
      <c r="AH459" s="16">
        <f t="shared" si="258"/>
        <v>0</v>
      </c>
      <c r="AJ459" s="13">
        <f t="shared" si="272"/>
        <v>0</v>
      </c>
      <c r="AK459" s="13">
        <f t="shared" si="272"/>
        <v>0</v>
      </c>
      <c r="AL459" s="13">
        <f t="shared" si="272"/>
        <v>0</v>
      </c>
      <c r="AM459" s="13">
        <f t="shared" si="272"/>
        <v>0</v>
      </c>
      <c r="AN459" s="13">
        <f t="shared" si="272"/>
        <v>0</v>
      </c>
      <c r="AO459" s="13">
        <f t="shared" si="272"/>
        <v>1</v>
      </c>
      <c r="AP459" s="13">
        <f t="shared" si="272"/>
        <v>1</v>
      </c>
      <c r="AQ459" s="13">
        <f t="shared" si="272"/>
        <v>1</v>
      </c>
      <c r="AR459" s="13">
        <f t="shared" si="272"/>
        <v>0</v>
      </c>
      <c r="AS459" s="13">
        <f t="shared" si="272"/>
        <v>0</v>
      </c>
      <c r="AT459" s="13">
        <f t="shared" si="272"/>
        <v>1</v>
      </c>
      <c r="AU459" s="13">
        <f t="shared" si="272"/>
        <v>1</v>
      </c>
      <c r="AV459" s="13">
        <f t="shared" si="249"/>
        <v>0</v>
      </c>
      <c r="AW459" s="13">
        <f t="shared" si="250"/>
        <v>1</v>
      </c>
      <c r="AY459" s="17">
        <f t="shared" si="251"/>
        <v>369</v>
      </c>
      <c r="AZ459" s="28">
        <f t="shared" si="259"/>
        <v>0</v>
      </c>
      <c r="BA459" s="13">
        <f t="shared" si="252"/>
        <v>0</v>
      </c>
      <c r="BB459" s="13">
        <f t="shared" si="253"/>
        <v>0</v>
      </c>
      <c r="BC459" s="28">
        <f t="shared" si="260"/>
        <v>0</v>
      </c>
      <c r="BD459" s="28">
        <f t="shared" si="261"/>
        <v>0</v>
      </c>
      <c r="BF459" s="248">
        <f t="shared" si="262"/>
        <v>993869.29442638322</v>
      </c>
    </row>
    <row r="460" spans="1:58">
      <c r="A460" s="32">
        <f t="shared" si="263"/>
        <v>-285</v>
      </c>
      <c r="B460" s="32">
        <f t="shared" si="254"/>
        <v>83</v>
      </c>
      <c r="C460" s="32">
        <f t="shared" si="264"/>
        <v>31</v>
      </c>
      <c r="D460" s="32">
        <f t="shared" si="265"/>
        <v>370</v>
      </c>
      <c r="E460" s="74">
        <f>MIN(IF(AV460=0,0,
IF(Investment_Strategy="DIS",VLOOKUP(Investment_Strategy&amp;"_"&amp;Investment_Strategy_Sub1&amp;"_"&amp;$A460,'Investment Strategies'!$AZ:$BP,12,FALSE),
IF(AND(Investment_Strategy="Lifecycle",Investment_Strategy_Sub1="Non-Standard"),VLOOKUP(Investment_Strategy&amp;"_"&amp;Investment_Strategy_Sub2&amp;"_"&amp;$A460,'Investment Strategies'!$C:$P,9,FALSE),
IF(AND(Investment_Strategy="Lifecycle",Investment_Strategy_Sub1="Standard"),VLOOKUP(Investment_Strategy&amp;"_"&amp;Investment_Strategy_Sub2&amp;"_"&amp;$A460,'Investment Strategies'!$AJ:$AV,8,FALSE),
IF(AND(Investment_Strategy="Autopilot",Investment_Strategy_Sub1="Non-Standard"),VLOOKUP(Investment_Strategy&amp;"_"&amp;Investment_Strategy_Sub2&amp;"_"&amp;$A460,'Investment Strategies'!$T:$AF,8,FALSE),
IF(Investment_Strategy ="DIY",DIY_RateOfReturn_CurrentFunds,
"Error")))))),Max_InvReturn)</f>
        <v>0</v>
      </c>
      <c r="F460" s="62">
        <f>IF(AV460=0,0,
IF(Investment_Strategy="DIS",VLOOKUP(Investment_Strategy&amp;"_"&amp;Investment_Strategy_Sub1&amp;"_"&amp;$A460,'Investment Strategies'!$AZ:$BP,15,FALSE),
IF(AND(Investment_Strategy="Lifecycle",Investment_Strategy_Sub1="Non-Standard"),VLOOKUP(Investment_Strategy&amp;"_"&amp;Investment_Strategy_Sub2&amp;"_"&amp;$A460,'Investment Strategies'!$C:$P,12,FALSE),
IF(AND(Investment_Strategy="Lifecycle",Investment_Strategy_Sub1="Standard"),VLOOKUP(Investment_Strategy&amp;"_"&amp;Investment_Strategy_Sub2&amp;"_"&amp;$A460,'Investment Strategies'!$AJ:$AV,11,FALSE),
IF(AND(Investment_Strategy="Autopilot",Investment_Strategy_Sub1="Non-Standard"),VLOOKUP(Investment_Strategy&amp;"_"&amp;Investment_Strategy_Sub2&amp;"_"&amp;$A460,'Investment Strategies'!$T:$AF,11,FALSE),
IF(Investment_Strategy="DIY",DIY_GteeChrge_CurrentFunds,
"Error"))))))</f>
        <v>0</v>
      </c>
      <c r="G460" s="33">
        <f>IF(AV460=0,0,
IF(Investment_Strategy="DIS",VLOOKUP(Investment_Strategy&amp;"_"&amp;Investment_Strategy_Sub1&amp;"_"&amp;$A460,'Investment Strategies'!$AZ:$BP,17,FALSE),
IF(AND(Investment_Strategy="Lifecycle",Investment_Strategy_Sub1="Non-Standard"),VLOOKUP(Investment_Strategy&amp;"_"&amp;Investment_Strategy_Sub2&amp;"_"&amp;$A460,'Investment Strategies'!$C:$P,14,FALSE),
IF(AND(Investment_Strategy="Lifecycle",Investment_Strategy_Sub1="Standard"),VLOOKUP(Investment_Strategy&amp;"_"&amp;Investment_Strategy_Sub2&amp;"_"&amp;$A460,'Investment Strategies'!$AJ:$AV,13,FALSE),
IF(AND(Investment_Strategy="Autopilot",Investment_Strategy_Sub1="Non-Standard"),VLOOKUP(Investment_Strategy&amp;"_"&amp;Investment_Strategy_Sub2&amp;"_"&amp;$A460,'Investment Strategies'!$T:$AF,13,FALSE),
IF(Investment_Strategy="DIY",DIY_ExtManChrge_CurrentFunds,
"Error"))))))</f>
        <v>0</v>
      </c>
      <c r="H460" s="16">
        <f t="shared" si="255"/>
        <v>0</v>
      </c>
      <c r="I460" s="16">
        <f t="shared" si="240"/>
        <v>0</v>
      </c>
      <c r="J460" s="16">
        <f t="shared" si="241"/>
        <v>0</v>
      </c>
      <c r="K460" s="16">
        <f>(Opening_Fund_Value+SUM(K$91:K459))*E460*IF(D460=$A$91,SRP_finalmonthfactor,1)</f>
        <v>0</v>
      </c>
      <c r="L460" s="74">
        <f>MIN(IF($AV460=0,0,
IF(Investment_Strategy="DIS",VLOOKUP(Investment_Strategy&amp;"_"&amp;Investment_Strategy_Sub1&amp;"_"&amp;$A460,'Investment Strategies'!$AZ:$BP,12,FALSE),
IF(AND(Investment_Strategy="Lifecycle",Investment_Strategy_Sub1="Non-Standard"),VLOOKUP(Investment_Strategy&amp;"_"&amp;Investment_Strategy_Sub2&amp;"_"&amp;$A460,'Investment Strategies'!$C:$P,9,FALSE),
IF(AND(Investment_Strategy="Lifecycle",Investment_Strategy_Sub1="Standard"),VLOOKUP(Investment_Strategy&amp;"_"&amp;Investment_Strategy_Sub2&amp;"_"&amp;$A460,'Investment Strategies'!$AJ:$AV,8,FALSE),
IF(AND(Investment_Strategy="Autopilot",Investment_Strategy_Sub1="Non-Standard"),VLOOKUP(Investment_Strategy&amp;"_"&amp;Investment_Strategy_Sub2&amp;"_"&amp;$A460,'Investment Strategies'!$T:$AF,8,FALSE),
IF(Investment_Strategy ="DIY",DIY_RateofReturn_SP,
"Error")))))),Max_InvReturn)</f>
        <v>0</v>
      </c>
      <c r="M460" s="62">
        <f>IF($AV460=0,0,
IF(Investment_Strategy="DIS",VLOOKUP(Investment_Strategy&amp;"_"&amp;Investment_Strategy_Sub1&amp;"_"&amp;$A460,'Investment Strategies'!$AZ:$BP,15,FALSE),
IF(AND(Investment_Strategy="Lifecycle",Investment_Strategy_Sub1="Non-Standard"),VLOOKUP(Investment_Strategy&amp;"_"&amp;Investment_Strategy_Sub2&amp;"_"&amp;$A460,'Investment Strategies'!$C:$P,12,FALSE),
IF(AND(Investment_Strategy="Lifecycle",Investment_Strategy_Sub1="Standard"),VLOOKUP(Investment_Strategy&amp;"_"&amp;Investment_Strategy_Sub2&amp;"_"&amp;$A460,'Investment Strategies'!$AJ:$AV,11,FALSE),
IF(AND(Investment_Strategy="Autopilot",Investment_Strategy_Sub1="Non-Standard"),VLOOKUP(Investment_Strategy&amp;"_"&amp;Investment_Strategy_Sub2&amp;"_"&amp;$A460,'Investment Strategies'!$T:$AF,11,FALSE),
IF(Investment_Strategy="DIY",DIY_GteeChrge_SP,
"Error"))))))</f>
        <v>0</v>
      </c>
      <c r="N460" s="33">
        <f>IF($AV460=0,0,
IF(Investment_Strategy="DIS",VLOOKUP(Investment_Strategy&amp;"_"&amp;Investment_Strategy_Sub1&amp;"_"&amp;$A460,'Investment Strategies'!$AZ:$BP,17,FALSE),
IF(AND(Investment_Strategy="Lifecycle",Investment_Strategy_Sub1="Non-Standard"),VLOOKUP(Investment_Strategy&amp;"_"&amp;Investment_Strategy_Sub2&amp;"_"&amp;$A460,'Investment Strategies'!$C:$P,14,FALSE),
IF(AND(Investment_Strategy="Lifecycle",Investment_Strategy_Sub1="Standard"),VLOOKUP(Investment_Strategy&amp;"_"&amp;Investment_Strategy_Sub2&amp;"_"&amp;$A460,'Investment Strategies'!$AJ:$AV,13,FALSE),
IF(AND(Investment_Strategy="Autopilot",Investment_Strategy_Sub1="Non-Standard"),VLOOKUP(Investment_Strategy&amp;"_"&amp;Investment_Strategy_Sub2&amp;"_"&amp;$A460,'Investment Strategies'!$T:$AF,13,FALSE),
IF(Investment_Strategy="DIY",DIY_ExtManChrge_SP,
"Error"))))))</f>
        <v>0</v>
      </c>
      <c r="O460" s="16">
        <f t="shared" si="266"/>
        <v>0</v>
      </c>
      <c r="Q460" s="16">
        <f t="shared" si="242"/>
        <v>0</v>
      </c>
      <c r="R460" s="16">
        <f t="shared" si="239"/>
        <v>0</v>
      </c>
      <c r="S460" s="16">
        <f>(SRP_SP+SUM(S$91:S459))*L460*IF(D460=$A$91,SRP_finalmonthfactor,1)</f>
        <v>0</v>
      </c>
      <c r="T460" s="74">
        <f>MIN(IF($AV460=0,0,
IF(Investment_Strategy="DIS",VLOOKUP(Investment_Strategy&amp;"_"&amp;Investment_Strategy_Sub1&amp;"_"&amp;$A460,'Investment Strategies'!$AZ:$BP,12,FALSE),
IF(AND(Investment_Strategy="Lifecycle",Investment_Strategy_Sub1="Non-Standard"),VLOOKUP(Investment_Strategy&amp;"_"&amp;Investment_Strategy_Sub2&amp;"_"&amp;$A460,'Investment Strategies'!$C:$P,9,FALSE),
IF(AND(Investment_Strategy="Lifecycle",Investment_Strategy_Sub1="Standard"),VLOOKUP(Investment_Strategy&amp;"_"&amp;Investment_Strategy_Sub2&amp;"_"&amp;$A460,'Investment Strategies'!$AJ:$AV,8,FALSE),
IF(AND(Investment_Strategy="Autopilot",Investment_Strategy_Sub1="Non-Standard"),VLOOKUP(Investment_Strategy&amp;"_"&amp;Investment_Strategy_Sub2&amp;"_"&amp;$A460,'Investment Strategies'!$T:$AF,8,FALSE),
IF(Investment_Strategy ="DIY",DIY_RateOfReturn_FuturePremiums,
"Error")))))),Max_InvReturn)</f>
        <v>0</v>
      </c>
      <c r="U460" s="62">
        <f>IF($AV460=0,0,
IF(Investment_Strategy="DIS",VLOOKUP(Investment_Strategy&amp;"_"&amp;Investment_Strategy_Sub1&amp;"_"&amp;$A460,'Investment Strategies'!$AZ:$BP,15,FALSE),
IF(AND(Investment_Strategy="Lifecycle",Investment_Strategy_Sub1="Non-Standard"),VLOOKUP(Investment_Strategy&amp;"_"&amp;Investment_Strategy_Sub2&amp;"_"&amp;$A460,'Investment Strategies'!$C:$P,12,FALSE),
IF(AND(Investment_Strategy="Lifecycle",Investment_Strategy_Sub1="Standard"),VLOOKUP(Investment_Strategy&amp;"_"&amp;Investment_Strategy_Sub2&amp;"_"&amp;$A460,'Investment Strategies'!$AJ:$AV,11,FALSE),
IF(AND(Investment_Strategy="Autopilot",Investment_Strategy_Sub1="Non-Standard"),VLOOKUP(Investment_Strategy&amp;"_"&amp;Investment_Strategy_Sub2&amp;"_"&amp;$A460,'Investment Strategies'!$T:$AF,11,FALSE),
IF(Investment_Strategy="DIY",DIY_GteeChrge_FuturePremiums,
"Error"))))))</f>
        <v>0</v>
      </c>
      <c r="V460" s="33">
        <f>IF(AV460=0,0,
IF(Investment_Strategy="DIS",VLOOKUP(Investment_Strategy&amp;"_"&amp;Investment_Strategy_Sub1&amp;"_"&amp;$A460,'Investment Strategies'!$AZ:$BP,17,FALSE),
IF(AND(Investment_Strategy="Lifecycle",Investment_Strategy_Sub1="Non-Standard"),VLOOKUP(Investment_Strategy&amp;"_"&amp;Investment_Strategy_Sub2&amp;"_"&amp;$A460,'Investment Strategies'!$C:$P,14,FALSE),
IF(AND(Investment_Strategy="Lifecycle",Investment_Strategy_Sub1="Standard"),VLOOKUP(Investment_Strategy&amp;"_"&amp;Investment_Strategy_Sub2&amp;"_"&amp;$A460,'Investment Strategies'!$AJ:$AV,13,FALSE),
IF(AND(Investment_Strategy="Autopilot",Investment_Strategy_Sub1="Non-Standard"),VLOOKUP(Investment_Strategy&amp;"_"&amp;Investment_Strategy_Sub2&amp;"_"&amp;$A460,'Investment Strategies'!$T:$AF,13,FALSE),
IF(Investment_Strategy="DIY",DIY_ExtManChrge_FuturePremiums,
"Error"))))))</f>
        <v>0</v>
      </c>
      <c r="W460" s="16">
        <f t="shared" si="267"/>
        <v>0</v>
      </c>
      <c r="X460" s="16">
        <f t="shared" si="243"/>
        <v>0</v>
      </c>
      <c r="Y460" s="16">
        <f t="shared" si="244"/>
        <v>0</v>
      </c>
      <c r="Z460" s="31">
        <f t="shared" si="245"/>
        <v>0.02</v>
      </c>
      <c r="AA460" s="16">
        <f t="shared" si="246"/>
        <v>0</v>
      </c>
      <c r="AB460" s="28">
        <f t="shared" si="268"/>
        <v>0</v>
      </c>
      <c r="AC460" s="28">
        <f>(SUM($AC$91:AC459)+SUM($X$91:X459)+X460)*T460*IF(D460=$A$91,SRP_finalmonthfactor,1)</f>
        <v>0</v>
      </c>
      <c r="AD460" s="16">
        <f t="shared" si="247"/>
        <v>0</v>
      </c>
      <c r="AE460" s="106"/>
      <c r="AF460" s="16">
        <f t="shared" si="256"/>
        <v>0</v>
      </c>
      <c r="AG460" s="16">
        <f t="shared" si="257"/>
        <v>0</v>
      </c>
      <c r="AH460" s="16">
        <f t="shared" si="258"/>
        <v>0</v>
      </c>
      <c r="AJ460" s="13">
        <f t="shared" si="272"/>
        <v>0</v>
      </c>
      <c r="AK460" s="13">
        <f t="shared" si="272"/>
        <v>0</v>
      </c>
      <c r="AL460" s="13">
        <f t="shared" si="272"/>
        <v>0</v>
      </c>
      <c r="AM460" s="13">
        <f t="shared" si="272"/>
        <v>0</v>
      </c>
      <c r="AN460" s="13">
        <f t="shared" si="272"/>
        <v>0</v>
      </c>
      <c r="AO460" s="13">
        <f t="shared" si="272"/>
        <v>1</v>
      </c>
      <c r="AP460" s="13">
        <f t="shared" si="272"/>
        <v>1</v>
      </c>
      <c r="AQ460" s="13">
        <f t="shared" si="272"/>
        <v>1</v>
      </c>
      <c r="AR460" s="13">
        <f t="shared" si="272"/>
        <v>0</v>
      </c>
      <c r="AS460" s="13">
        <f t="shared" si="272"/>
        <v>0</v>
      </c>
      <c r="AT460" s="13">
        <f t="shared" si="272"/>
        <v>1</v>
      </c>
      <c r="AU460" s="13">
        <f t="shared" si="272"/>
        <v>1</v>
      </c>
      <c r="AV460" s="13">
        <f t="shared" si="249"/>
        <v>0</v>
      </c>
      <c r="AW460" s="13">
        <f t="shared" si="250"/>
        <v>1</v>
      </c>
      <c r="AY460" s="17">
        <f t="shared" si="251"/>
        <v>370</v>
      </c>
      <c r="AZ460" s="28">
        <f t="shared" si="259"/>
        <v>0</v>
      </c>
      <c r="BA460" s="13">
        <f t="shared" si="252"/>
        <v>0</v>
      </c>
      <c r="BB460" s="13">
        <f t="shared" si="253"/>
        <v>0</v>
      </c>
      <c r="BC460" s="28">
        <f t="shared" si="260"/>
        <v>0</v>
      </c>
      <c r="BD460" s="28">
        <f t="shared" si="261"/>
        <v>0</v>
      </c>
      <c r="BF460" s="248">
        <f t="shared" si="262"/>
        <v>993869.29442638322</v>
      </c>
    </row>
    <row r="461" spans="1:58">
      <c r="A461" s="32">
        <f t="shared" si="263"/>
        <v>-286</v>
      </c>
      <c r="B461" s="32">
        <f t="shared" si="254"/>
        <v>83</v>
      </c>
      <c r="C461" s="32">
        <f t="shared" si="264"/>
        <v>31</v>
      </c>
      <c r="D461" s="32">
        <f t="shared" si="265"/>
        <v>371</v>
      </c>
      <c r="E461" s="74">
        <f>MIN(IF(AV461=0,0,
IF(Investment_Strategy="DIS",VLOOKUP(Investment_Strategy&amp;"_"&amp;Investment_Strategy_Sub1&amp;"_"&amp;$A461,'Investment Strategies'!$AZ:$BP,12,FALSE),
IF(AND(Investment_Strategy="Lifecycle",Investment_Strategy_Sub1="Non-Standard"),VLOOKUP(Investment_Strategy&amp;"_"&amp;Investment_Strategy_Sub2&amp;"_"&amp;$A461,'Investment Strategies'!$C:$P,9,FALSE),
IF(AND(Investment_Strategy="Lifecycle",Investment_Strategy_Sub1="Standard"),VLOOKUP(Investment_Strategy&amp;"_"&amp;Investment_Strategy_Sub2&amp;"_"&amp;$A461,'Investment Strategies'!$AJ:$AV,8,FALSE),
IF(AND(Investment_Strategy="Autopilot",Investment_Strategy_Sub1="Non-Standard"),VLOOKUP(Investment_Strategy&amp;"_"&amp;Investment_Strategy_Sub2&amp;"_"&amp;$A461,'Investment Strategies'!$T:$AF,8,FALSE),
IF(Investment_Strategy ="DIY",DIY_RateOfReturn_CurrentFunds,
"Error")))))),Max_InvReturn)</f>
        <v>0</v>
      </c>
      <c r="F461" s="62">
        <f>IF(AV461=0,0,
IF(Investment_Strategy="DIS",VLOOKUP(Investment_Strategy&amp;"_"&amp;Investment_Strategy_Sub1&amp;"_"&amp;$A461,'Investment Strategies'!$AZ:$BP,15,FALSE),
IF(AND(Investment_Strategy="Lifecycle",Investment_Strategy_Sub1="Non-Standard"),VLOOKUP(Investment_Strategy&amp;"_"&amp;Investment_Strategy_Sub2&amp;"_"&amp;$A461,'Investment Strategies'!$C:$P,12,FALSE),
IF(AND(Investment_Strategy="Lifecycle",Investment_Strategy_Sub1="Standard"),VLOOKUP(Investment_Strategy&amp;"_"&amp;Investment_Strategy_Sub2&amp;"_"&amp;$A461,'Investment Strategies'!$AJ:$AV,11,FALSE),
IF(AND(Investment_Strategy="Autopilot",Investment_Strategy_Sub1="Non-Standard"),VLOOKUP(Investment_Strategy&amp;"_"&amp;Investment_Strategy_Sub2&amp;"_"&amp;$A461,'Investment Strategies'!$T:$AF,11,FALSE),
IF(Investment_Strategy="DIY",DIY_GteeChrge_CurrentFunds,
"Error"))))))</f>
        <v>0</v>
      </c>
      <c r="G461" s="33">
        <f>IF(AV461=0,0,
IF(Investment_Strategy="DIS",VLOOKUP(Investment_Strategy&amp;"_"&amp;Investment_Strategy_Sub1&amp;"_"&amp;$A461,'Investment Strategies'!$AZ:$BP,17,FALSE),
IF(AND(Investment_Strategy="Lifecycle",Investment_Strategy_Sub1="Non-Standard"),VLOOKUP(Investment_Strategy&amp;"_"&amp;Investment_Strategy_Sub2&amp;"_"&amp;$A461,'Investment Strategies'!$C:$P,14,FALSE),
IF(AND(Investment_Strategy="Lifecycle",Investment_Strategy_Sub1="Standard"),VLOOKUP(Investment_Strategy&amp;"_"&amp;Investment_Strategy_Sub2&amp;"_"&amp;$A461,'Investment Strategies'!$AJ:$AV,13,FALSE),
IF(AND(Investment_Strategy="Autopilot",Investment_Strategy_Sub1="Non-Standard"),VLOOKUP(Investment_Strategy&amp;"_"&amp;Investment_Strategy_Sub2&amp;"_"&amp;$A461,'Investment Strategies'!$T:$AF,13,FALSE),
IF(Investment_Strategy="DIY",DIY_ExtManChrge_CurrentFunds,
"Error"))))))</f>
        <v>0</v>
      </c>
      <c r="H461" s="16">
        <f t="shared" si="255"/>
        <v>0</v>
      </c>
      <c r="I461" s="16">
        <f t="shared" si="240"/>
        <v>0</v>
      </c>
      <c r="J461" s="16">
        <f t="shared" si="241"/>
        <v>0</v>
      </c>
      <c r="K461" s="16">
        <f>(Opening_Fund_Value+SUM(K$91:K460))*E461*IF(D461=$A$91,SRP_finalmonthfactor,1)</f>
        <v>0</v>
      </c>
      <c r="L461" s="74">
        <f>MIN(IF($AV461=0,0,
IF(Investment_Strategy="DIS",VLOOKUP(Investment_Strategy&amp;"_"&amp;Investment_Strategy_Sub1&amp;"_"&amp;$A461,'Investment Strategies'!$AZ:$BP,12,FALSE),
IF(AND(Investment_Strategy="Lifecycle",Investment_Strategy_Sub1="Non-Standard"),VLOOKUP(Investment_Strategy&amp;"_"&amp;Investment_Strategy_Sub2&amp;"_"&amp;$A461,'Investment Strategies'!$C:$P,9,FALSE),
IF(AND(Investment_Strategy="Lifecycle",Investment_Strategy_Sub1="Standard"),VLOOKUP(Investment_Strategy&amp;"_"&amp;Investment_Strategy_Sub2&amp;"_"&amp;$A461,'Investment Strategies'!$AJ:$AV,8,FALSE),
IF(AND(Investment_Strategy="Autopilot",Investment_Strategy_Sub1="Non-Standard"),VLOOKUP(Investment_Strategy&amp;"_"&amp;Investment_Strategy_Sub2&amp;"_"&amp;$A461,'Investment Strategies'!$T:$AF,8,FALSE),
IF(Investment_Strategy ="DIY",DIY_RateofReturn_SP,
"Error")))))),Max_InvReturn)</f>
        <v>0</v>
      </c>
      <c r="M461" s="62">
        <f>IF($AV461=0,0,
IF(Investment_Strategy="DIS",VLOOKUP(Investment_Strategy&amp;"_"&amp;Investment_Strategy_Sub1&amp;"_"&amp;$A461,'Investment Strategies'!$AZ:$BP,15,FALSE),
IF(AND(Investment_Strategy="Lifecycle",Investment_Strategy_Sub1="Non-Standard"),VLOOKUP(Investment_Strategy&amp;"_"&amp;Investment_Strategy_Sub2&amp;"_"&amp;$A461,'Investment Strategies'!$C:$P,12,FALSE),
IF(AND(Investment_Strategy="Lifecycle",Investment_Strategy_Sub1="Standard"),VLOOKUP(Investment_Strategy&amp;"_"&amp;Investment_Strategy_Sub2&amp;"_"&amp;$A461,'Investment Strategies'!$AJ:$AV,11,FALSE),
IF(AND(Investment_Strategy="Autopilot",Investment_Strategy_Sub1="Non-Standard"),VLOOKUP(Investment_Strategy&amp;"_"&amp;Investment_Strategy_Sub2&amp;"_"&amp;$A461,'Investment Strategies'!$T:$AF,11,FALSE),
IF(Investment_Strategy="DIY",DIY_GteeChrge_SP,
"Error"))))))</f>
        <v>0</v>
      </c>
      <c r="N461" s="33">
        <f>IF($AV461=0,0,
IF(Investment_Strategy="DIS",VLOOKUP(Investment_Strategy&amp;"_"&amp;Investment_Strategy_Sub1&amp;"_"&amp;$A461,'Investment Strategies'!$AZ:$BP,17,FALSE),
IF(AND(Investment_Strategy="Lifecycle",Investment_Strategy_Sub1="Non-Standard"),VLOOKUP(Investment_Strategy&amp;"_"&amp;Investment_Strategy_Sub2&amp;"_"&amp;$A461,'Investment Strategies'!$C:$P,14,FALSE),
IF(AND(Investment_Strategy="Lifecycle",Investment_Strategy_Sub1="Standard"),VLOOKUP(Investment_Strategy&amp;"_"&amp;Investment_Strategy_Sub2&amp;"_"&amp;$A461,'Investment Strategies'!$AJ:$AV,13,FALSE),
IF(AND(Investment_Strategy="Autopilot",Investment_Strategy_Sub1="Non-Standard"),VLOOKUP(Investment_Strategy&amp;"_"&amp;Investment_Strategy_Sub2&amp;"_"&amp;$A461,'Investment Strategies'!$T:$AF,13,FALSE),
IF(Investment_Strategy="DIY",DIY_ExtManChrge_SP,
"Error"))))))</f>
        <v>0</v>
      </c>
      <c r="O461" s="16">
        <f t="shared" si="266"/>
        <v>0</v>
      </c>
      <c r="Q461" s="16">
        <f t="shared" si="242"/>
        <v>0</v>
      </c>
      <c r="R461" s="16">
        <f t="shared" si="239"/>
        <v>0</v>
      </c>
      <c r="S461" s="16">
        <f>(SRP_SP+SUM(S$91:S460))*L461*IF(D461=$A$91,SRP_finalmonthfactor,1)</f>
        <v>0</v>
      </c>
      <c r="T461" s="74">
        <f>MIN(IF($AV461=0,0,
IF(Investment_Strategy="DIS",VLOOKUP(Investment_Strategy&amp;"_"&amp;Investment_Strategy_Sub1&amp;"_"&amp;$A461,'Investment Strategies'!$AZ:$BP,12,FALSE),
IF(AND(Investment_Strategy="Lifecycle",Investment_Strategy_Sub1="Non-Standard"),VLOOKUP(Investment_Strategy&amp;"_"&amp;Investment_Strategy_Sub2&amp;"_"&amp;$A461,'Investment Strategies'!$C:$P,9,FALSE),
IF(AND(Investment_Strategy="Lifecycle",Investment_Strategy_Sub1="Standard"),VLOOKUP(Investment_Strategy&amp;"_"&amp;Investment_Strategy_Sub2&amp;"_"&amp;$A461,'Investment Strategies'!$AJ:$AV,8,FALSE),
IF(AND(Investment_Strategy="Autopilot",Investment_Strategy_Sub1="Non-Standard"),VLOOKUP(Investment_Strategy&amp;"_"&amp;Investment_Strategy_Sub2&amp;"_"&amp;$A461,'Investment Strategies'!$T:$AF,8,FALSE),
IF(Investment_Strategy ="DIY",DIY_RateOfReturn_FuturePremiums,
"Error")))))),Max_InvReturn)</f>
        <v>0</v>
      </c>
      <c r="U461" s="62">
        <f>IF($AV461=0,0,
IF(Investment_Strategy="DIS",VLOOKUP(Investment_Strategy&amp;"_"&amp;Investment_Strategy_Sub1&amp;"_"&amp;$A461,'Investment Strategies'!$AZ:$BP,15,FALSE),
IF(AND(Investment_Strategy="Lifecycle",Investment_Strategy_Sub1="Non-Standard"),VLOOKUP(Investment_Strategy&amp;"_"&amp;Investment_Strategy_Sub2&amp;"_"&amp;$A461,'Investment Strategies'!$C:$P,12,FALSE),
IF(AND(Investment_Strategy="Lifecycle",Investment_Strategy_Sub1="Standard"),VLOOKUP(Investment_Strategy&amp;"_"&amp;Investment_Strategy_Sub2&amp;"_"&amp;$A461,'Investment Strategies'!$AJ:$AV,11,FALSE),
IF(AND(Investment_Strategy="Autopilot",Investment_Strategy_Sub1="Non-Standard"),VLOOKUP(Investment_Strategy&amp;"_"&amp;Investment_Strategy_Sub2&amp;"_"&amp;$A461,'Investment Strategies'!$T:$AF,11,FALSE),
IF(Investment_Strategy="DIY",DIY_GteeChrge_FuturePremiums,
"Error"))))))</f>
        <v>0</v>
      </c>
      <c r="V461" s="33">
        <f>IF(AV461=0,0,
IF(Investment_Strategy="DIS",VLOOKUP(Investment_Strategy&amp;"_"&amp;Investment_Strategy_Sub1&amp;"_"&amp;$A461,'Investment Strategies'!$AZ:$BP,17,FALSE),
IF(AND(Investment_Strategy="Lifecycle",Investment_Strategy_Sub1="Non-Standard"),VLOOKUP(Investment_Strategy&amp;"_"&amp;Investment_Strategy_Sub2&amp;"_"&amp;$A461,'Investment Strategies'!$C:$P,14,FALSE),
IF(AND(Investment_Strategy="Lifecycle",Investment_Strategy_Sub1="Standard"),VLOOKUP(Investment_Strategy&amp;"_"&amp;Investment_Strategy_Sub2&amp;"_"&amp;$A461,'Investment Strategies'!$AJ:$AV,13,FALSE),
IF(AND(Investment_Strategy="Autopilot",Investment_Strategy_Sub1="Non-Standard"),VLOOKUP(Investment_Strategy&amp;"_"&amp;Investment_Strategy_Sub2&amp;"_"&amp;$A461,'Investment Strategies'!$T:$AF,13,FALSE),
IF(Investment_Strategy="DIY",DIY_ExtManChrge_FuturePremiums,
"Error"))))))</f>
        <v>0</v>
      </c>
      <c r="W461" s="16">
        <f t="shared" si="267"/>
        <v>0</v>
      </c>
      <c r="X461" s="16">
        <f t="shared" si="243"/>
        <v>0</v>
      </c>
      <c r="Y461" s="16">
        <f t="shared" si="244"/>
        <v>0</v>
      </c>
      <c r="Z461" s="31">
        <f t="shared" si="245"/>
        <v>0.02</v>
      </c>
      <c r="AA461" s="16">
        <f t="shared" si="246"/>
        <v>0</v>
      </c>
      <c r="AB461" s="28">
        <f t="shared" si="268"/>
        <v>0</v>
      </c>
      <c r="AC461" s="28">
        <f>(SUM($AC$91:AC460)+SUM($X$91:X460)+X461)*T461*IF(D461=$A$91,SRP_finalmonthfactor,1)</f>
        <v>0</v>
      </c>
      <c r="AD461" s="16">
        <f t="shared" si="247"/>
        <v>0</v>
      </c>
      <c r="AE461" s="106"/>
      <c r="AF461" s="16">
        <f t="shared" si="256"/>
        <v>0</v>
      </c>
      <c r="AG461" s="16">
        <f t="shared" si="257"/>
        <v>0</v>
      </c>
      <c r="AH461" s="16">
        <f t="shared" si="258"/>
        <v>0</v>
      </c>
      <c r="AJ461" s="13">
        <f t="shared" ref="AJ461:AU470" si="273">IF($C461&lt;=AJ$90,1,0)</f>
        <v>0</v>
      </c>
      <c r="AK461" s="13">
        <f t="shared" si="273"/>
        <v>0</v>
      </c>
      <c r="AL461" s="13">
        <f t="shared" si="273"/>
        <v>0</v>
      </c>
      <c r="AM461" s="13">
        <f t="shared" si="273"/>
        <v>0</v>
      </c>
      <c r="AN461" s="13">
        <f t="shared" si="273"/>
        <v>0</v>
      </c>
      <c r="AO461" s="13">
        <f t="shared" si="273"/>
        <v>1</v>
      </c>
      <c r="AP461" s="13">
        <f t="shared" si="273"/>
        <v>1</v>
      </c>
      <c r="AQ461" s="13">
        <f t="shared" si="273"/>
        <v>1</v>
      </c>
      <c r="AR461" s="13">
        <f t="shared" si="273"/>
        <v>0</v>
      </c>
      <c r="AS461" s="13">
        <f t="shared" si="273"/>
        <v>0</v>
      </c>
      <c r="AT461" s="13">
        <f t="shared" si="273"/>
        <v>1</v>
      </c>
      <c r="AU461" s="13">
        <f t="shared" si="273"/>
        <v>1</v>
      </c>
      <c r="AV461" s="13">
        <f t="shared" si="249"/>
        <v>0</v>
      </c>
      <c r="AW461" s="13">
        <f t="shared" si="250"/>
        <v>1</v>
      </c>
      <c r="AY461" s="17">
        <f t="shared" si="251"/>
        <v>371</v>
      </c>
      <c r="AZ461" s="28">
        <f t="shared" si="259"/>
        <v>0</v>
      </c>
      <c r="BA461" s="13">
        <f t="shared" si="252"/>
        <v>0</v>
      </c>
      <c r="BB461" s="13">
        <f t="shared" si="253"/>
        <v>0</v>
      </c>
      <c r="BC461" s="28">
        <f t="shared" si="260"/>
        <v>0</v>
      </c>
      <c r="BD461" s="28">
        <f t="shared" si="261"/>
        <v>0</v>
      </c>
      <c r="BF461" s="248">
        <f t="shared" si="262"/>
        <v>993869.29442638322</v>
      </c>
    </row>
    <row r="462" spans="1:58">
      <c r="A462" s="32">
        <f t="shared" si="263"/>
        <v>-287</v>
      </c>
      <c r="B462" s="32">
        <f t="shared" si="254"/>
        <v>83</v>
      </c>
      <c r="C462" s="32">
        <f t="shared" si="264"/>
        <v>31</v>
      </c>
      <c r="D462" s="32">
        <f t="shared" si="265"/>
        <v>372</v>
      </c>
      <c r="E462" s="74">
        <f>MIN(IF(AV462=0,0,
IF(Investment_Strategy="DIS",VLOOKUP(Investment_Strategy&amp;"_"&amp;Investment_Strategy_Sub1&amp;"_"&amp;$A462,'Investment Strategies'!$AZ:$BP,12,FALSE),
IF(AND(Investment_Strategy="Lifecycle",Investment_Strategy_Sub1="Non-Standard"),VLOOKUP(Investment_Strategy&amp;"_"&amp;Investment_Strategy_Sub2&amp;"_"&amp;$A462,'Investment Strategies'!$C:$P,9,FALSE),
IF(AND(Investment_Strategy="Lifecycle",Investment_Strategy_Sub1="Standard"),VLOOKUP(Investment_Strategy&amp;"_"&amp;Investment_Strategy_Sub2&amp;"_"&amp;$A462,'Investment Strategies'!$AJ:$AV,8,FALSE),
IF(AND(Investment_Strategy="Autopilot",Investment_Strategy_Sub1="Non-Standard"),VLOOKUP(Investment_Strategy&amp;"_"&amp;Investment_Strategy_Sub2&amp;"_"&amp;$A462,'Investment Strategies'!$T:$AF,8,FALSE),
IF(Investment_Strategy ="DIY",DIY_RateOfReturn_CurrentFunds,
"Error")))))),Max_InvReturn)</f>
        <v>0</v>
      </c>
      <c r="F462" s="62">
        <f>IF(AV462=0,0,
IF(Investment_Strategy="DIS",VLOOKUP(Investment_Strategy&amp;"_"&amp;Investment_Strategy_Sub1&amp;"_"&amp;$A462,'Investment Strategies'!$AZ:$BP,15,FALSE),
IF(AND(Investment_Strategy="Lifecycle",Investment_Strategy_Sub1="Non-Standard"),VLOOKUP(Investment_Strategy&amp;"_"&amp;Investment_Strategy_Sub2&amp;"_"&amp;$A462,'Investment Strategies'!$C:$P,12,FALSE),
IF(AND(Investment_Strategy="Lifecycle",Investment_Strategy_Sub1="Standard"),VLOOKUP(Investment_Strategy&amp;"_"&amp;Investment_Strategy_Sub2&amp;"_"&amp;$A462,'Investment Strategies'!$AJ:$AV,11,FALSE),
IF(AND(Investment_Strategy="Autopilot",Investment_Strategy_Sub1="Non-Standard"),VLOOKUP(Investment_Strategy&amp;"_"&amp;Investment_Strategy_Sub2&amp;"_"&amp;$A462,'Investment Strategies'!$T:$AF,11,FALSE),
IF(Investment_Strategy="DIY",DIY_GteeChrge_CurrentFunds,
"Error"))))))</f>
        <v>0</v>
      </c>
      <c r="G462" s="33">
        <f>IF(AV462=0,0,
IF(Investment_Strategy="DIS",VLOOKUP(Investment_Strategy&amp;"_"&amp;Investment_Strategy_Sub1&amp;"_"&amp;$A462,'Investment Strategies'!$AZ:$BP,17,FALSE),
IF(AND(Investment_Strategy="Lifecycle",Investment_Strategy_Sub1="Non-Standard"),VLOOKUP(Investment_Strategy&amp;"_"&amp;Investment_Strategy_Sub2&amp;"_"&amp;$A462,'Investment Strategies'!$C:$P,14,FALSE),
IF(AND(Investment_Strategy="Lifecycle",Investment_Strategy_Sub1="Standard"),VLOOKUP(Investment_Strategy&amp;"_"&amp;Investment_Strategy_Sub2&amp;"_"&amp;$A462,'Investment Strategies'!$AJ:$AV,13,FALSE),
IF(AND(Investment_Strategy="Autopilot",Investment_Strategy_Sub1="Non-Standard"),VLOOKUP(Investment_Strategy&amp;"_"&amp;Investment_Strategy_Sub2&amp;"_"&amp;$A462,'Investment Strategies'!$T:$AF,13,FALSE),
IF(Investment_Strategy="DIY",DIY_ExtManChrge_CurrentFunds,
"Error"))))))</f>
        <v>0</v>
      </c>
      <c r="H462" s="16">
        <f t="shared" si="255"/>
        <v>0</v>
      </c>
      <c r="I462" s="16">
        <f t="shared" si="240"/>
        <v>0</v>
      </c>
      <c r="J462" s="16">
        <f t="shared" si="241"/>
        <v>0</v>
      </c>
      <c r="K462" s="16">
        <f>(Opening_Fund_Value+SUM(K$91:K461))*E462*IF(D462=$A$91,SRP_finalmonthfactor,1)</f>
        <v>0</v>
      </c>
      <c r="L462" s="74">
        <f>MIN(IF($AV462=0,0,
IF(Investment_Strategy="DIS",VLOOKUP(Investment_Strategy&amp;"_"&amp;Investment_Strategy_Sub1&amp;"_"&amp;$A462,'Investment Strategies'!$AZ:$BP,12,FALSE),
IF(AND(Investment_Strategy="Lifecycle",Investment_Strategy_Sub1="Non-Standard"),VLOOKUP(Investment_Strategy&amp;"_"&amp;Investment_Strategy_Sub2&amp;"_"&amp;$A462,'Investment Strategies'!$C:$P,9,FALSE),
IF(AND(Investment_Strategy="Lifecycle",Investment_Strategy_Sub1="Standard"),VLOOKUP(Investment_Strategy&amp;"_"&amp;Investment_Strategy_Sub2&amp;"_"&amp;$A462,'Investment Strategies'!$AJ:$AV,8,FALSE),
IF(AND(Investment_Strategy="Autopilot",Investment_Strategy_Sub1="Non-Standard"),VLOOKUP(Investment_Strategy&amp;"_"&amp;Investment_Strategy_Sub2&amp;"_"&amp;$A462,'Investment Strategies'!$T:$AF,8,FALSE),
IF(Investment_Strategy ="DIY",DIY_RateofReturn_SP,
"Error")))))),Max_InvReturn)</f>
        <v>0</v>
      </c>
      <c r="M462" s="62">
        <f>IF($AV462=0,0,
IF(Investment_Strategy="DIS",VLOOKUP(Investment_Strategy&amp;"_"&amp;Investment_Strategy_Sub1&amp;"_"&amp;$A462,'Investment Strategies'!$AZ:$BP,15,FALSE),
IF(AND(Investment_Strategy="Lifecycle",Investment_Strategy_Sub1="Non-Standard"),VLOOKUP(Investment_Strategy&amp;"_"&amp;Investment_Strategy_Sub2&amp;"_"&amp;$A462,'Investment Strategies'!$C:$P,12,FALSE),
IF(AND(Investment_Strategy="Lifecycle",Investment_Strategy_Sub1="Standard"),VLOOKUP(Investment_Strategy&amp;"_"&amp;Investment_Strategy_Sub2&amp;"_"&amp;$A462,'Investment Strategies'!$AJ:$AV,11,FALSE),
IF(AND(Investment_Strategy="Autopilot",Investment_Strategy_Sub1="Non-Standard"),VLOOKUP(Investment_Strategy&amp;"_"&amp;Investment_Strategy_Sub2&amp;"_"&amp;$A462,'Investment Strategies'!$T:$AF,11,FALSE),
IF(Investment_Strategy="DIY",DIY_GteeChrge_SP,
"Error"))))))</f>
        <v>0</v>
      </c>
      <c r="N462" s="33">
        <f>IF($AV462=0,0,
IF(Investment_Strategy="DIS",VLOOKUP(Investment_Strategy&amp;"_"&amp;Investment_Strategy_Sub1&amp;"_"&amp;$A462,'Investment Strategies'!$AZ:$BP,17,FALSE),
IF(AND(Investment_Strategy="Lifecycle",Investment_Strategy_Sub1="Non-Standard"),VLOOKUP(Investment_Strategy&amp;"_"&amp;Investment_Strategy_Sub2&amp;"_"&amp;$A462,'Investment Strategies'!$C:$P,14,FALSE),
IF(AND(Investment_Strategy="Lifecycle",Investment_Strategy_Sub1="Standard"),VLOOKUP(Investment_Strategy&amp;"_"&amp;Investment_Strategy_Sub2&amp;"_"&amp;$A462,'Investment Strategies'!$AJ:$AV,13,FALSE),
IF(AND(Investment_Strategy="Autopilot",Investment_Strategy_Sub1="Non-Standard"),VLOOKUP(Investment_Strategy&amp;"_"&amp;Investment_Strategy_Sub2&amp;"_"&amp;$A462,'Investment Strategies'!$T:$AF,13,FALSE),
IF(Investment_Strategy="DIY",DIY_ExtManChrge_SP,
"Error"))))))</f>
        <v>0</v>
      </c>
      <c r="O462" s="16">
        <f t="shared" si="266"/>
        <v>0</v>
      </c>
      <c r="Q462" s="16">
        <f t="shared" si="242"/>
        <v>0</v>
      </c>
      <c r="R462" s="16">
        <f t="shared" si="239"/>
        <v>0</v>
      </c>
      <c r="S462" s="16">
        <f>(SRP_SP+SUM(S$91:S461))*L462*IF(D462=$A$91,SRP_finalmonthfactor,1)</f>
        <v>0</v>
      </c>
      <c r="T462" s="74">
        <f>MIN(IF($AV462=0,0,
IF(Investment_Strategy="DIS",VLOOKUP(Investment_Strategy&amp;"_"&amp;Investment_Strategy_Sub1&amp;"_"&amp;$A462,'Investment Strategies'!$AZ:$BP,12,FALSE),
IF(AND(Investment_Strategy="Lifecycle",Investment_Strategy_Sub1="Non-Standard"),VLOOKUP(Investment_Strategy&amp;"_"&amp;Investment_Strategy_Sub2&amp;"_"&amp;$A462,'Investment Strategies'!$C:$P,9,FALSE),
IF(AND(Investment_Strategy="Lifecycle",Investment_Strategy_Sub1="Standard"),VLOOKUP(Investment_Strategy&amp;"_"&amp;Investment_Strategy_Sub2&amp;"_"&amp;$A462,'Investment Strategies'!$AJ:$AV,8,FALSE),
IF(AND(Investment_Strategy="Autopilot",Investment_Strategy_Sub1="Non-Standard"),VLOOKUP(Investment_Strategy&amp;"_"&amp;Investment_Strategy_Sub2&amp;"_"&amp;$A462,'Investment Strategies'!$T:$AF,8,FALSE),
IF(Investment_Strategy ="DIY",DIY_RateOfReturn_FuturePremiums,
"Error")))))),Max_InvReturn)</f>
        <v>0</v>
      </c>
      <c r="U462" s="62">
        <f>IF($AV462=0,0,
IF(Investment_Strategy="DIS",VLOOKUP(Investment_Strategy&amp;"_"&amp;Investment_Strategy_Sub1&amp;"_"&amp;$A462,'Investment Strategies'!$AZ:$BP,15,FALSE),
IF(AND(Investment_Strategy="Lifecycle",Investment_Strategy_Sub1="Non-Standard"),VLOOKUP(Investment_Strategy&amp;"_"&amp;Investment_Strategy_Sub2&amp;"_"&amp;$A462,'Investment Strategies'!$C:$P,12,FALSE),
IF(AND(Investment_Strategy="Lifecycle",Investment_Strategy_Sub1="Standard"),VLOOKUP(Investment_Strategy&amp;"_"&amp;Investment_Strategy_Sub2&amp;"_"&amp;$A462,'Investment Strategies'!$AJ:$AV,11,FALSE),
IF(AND(Investment_Strategy="Autopilot",Investment_Strategy_Sub1="Non-Standard"),VLOOKUP(Investment_Strategy&amp;"_"&amp;Investment_Strategy_Sub2&amp;"_"&amp;$A462,'Investment Strategies'!$T:$AF,11,FALSE),
IF(Investment_Strategy="DIY",DIY_GteeChrge_FuturePremiums,
"Error"))))))</f>
        <v>0</v>
      </c>
      <c r="V462" s="33">
        <f>IF(AV462=0,0,
IF(Investment_Strategy="DIS",VLOOKUP(Investment_Strategy&amp;"_"&amp;Investment_Strategy_Sub1&amp;"_"&amp;$A462,'Investment Strategies'!$AZ:$BP,17,FALSE),
IF(AND(Investment_Strategy="Lifecycle",Investment_Strategy_Sub1="Non-Standard"),VLOOKUP(Investment_Strategy&amp;"_"&amp;Investment_Strategy_Sub2&amp;"_"&amp;$A462,'Investment Strategies'!$C:$P,14,FALSE),
IF(AND(Investment_Strategy="Lifecycle",Investment_Strategy_Sub1="Standard"),VLOOKUP(Investment_Strategy&amp;"_"&amp;Investment_Strategy_Sub2&amp;"_"&amp;$A462,'Investment Strategies'!$AJ:$AV,13,FALSE),
IF(AND(Investment_Strategy="Autopilot",Investment_Strategy_Sub1="Non-Standard"),VLOOKUP(Investment_Strategy&amp;"_"&amp;Investment_Strategy_Sub2&amp;"_"&amp;$A462,'Investment Strategies'!$T:$AF,13,FALSE),
IF(Investment_Strategy="DIY",DIY_ExtManChrge_FuturePremiums,
"Error"))))))</f>
        <v>0</v>
      </c>
      <c r="W462" s="16">
        <f t="shared" si="267"/>
        <v>0</v>
      </c>
      <c r="X462" s="16">
        <f t="shared" si="243"/>
        <v>0</v>
      </c>
      <c r="Y462" s="16">
        <f t="shared" si="244"/>
        <v>0</v>
      </c>
      <c r="Z462" s="31">
        <f t="shared" si="245"/>
        <v>0.02</v>
      </c>
      <c r="AA462" s="16">
        <f t="shared" si="246"/>
        <v>0</v>
      </c>
      <c r="AB462" s="28">
        <f t="shared" si="268"/>
        <v>0</v>
      </c>
      <c r="AC462" s="28">
        <f>(SUM($AC$91:AC461)+SUM($X$91:X461)+X462)*T462*IF(D462=$A$91,SRP_finalmonthfactor,1)</f>
        <v>0</v>
      </c>
      <c r="AD462" s="16">
        <f t="shared" si="247"/>
        <v>0</v>
      </c>
      <c r="AE462" s="106"/>
      <c r="AF462" s="16">
        <f t="shared" si="256"/>
        <v>0</v>
      </c>
      <c r="AG462" s="16">
        <f t="shared" si="257"/>
        <v>0</v>
      </c>
      <c r="AH462" s="16">
        <f t="shared" si="258"/>
        <v>0</v>
      </c>
      <c r="AJ462" s="13">
        <f t="shared" si="273"/>
        <v>0</v>
      </c>
      <c r="AK462" s="13">
        <f t="shared" si="273"/>
        <v>0</v>
      </c>
      <c r="AL462" s="13">
        <f t="shared" si="273"/>
        <v>0</v>
      </c>
      <c r="AM462" s="13">
        <f t="shared" si="273"/>
        <v>0</v>
      </c>
      <c r="AN462" s="13">
        <f t="shared" si="273"/>
        <v>0</v>
      </c>
      <c r="AO462" s="13">
        <f t="shared" si="273"/>
        <v>1</v>
      </c>
      <c r="AP462" s="13">
        <f t="shared" si="273"/>
        <v>1</v>
      </c>
      <c r="AQ462" s="13">
        <f t="shared" si="273"/>
        <v>1</v>
      </c>
      <c r="AR462" s="13">
        <f t="shared" si="273"/>
        <v>0</v>
      </c>
      <c r="AS462" s="13">
        <f t="shared" si="273"/>
        <v>0</v>
      </c>
      <c r="AT462" s="13">
        <f t="shared" si="273"/>
        <v>1</v>
      </c>
      <c r="AU462" s="13">
        <f t="shared" si="273"/>
        <v>1</v>
      </c>
      <c r="AV462" s="13">
        <f t="shared" si="249"/>
        <v>0</v>
      </c>
      <c r="AW462" s="13">
        <f t="shared" si="250"/>
        <v>1</v>
      </c>
      <c r="AY462" s="17">
        <f t="shared" si="251"/>
        <v>372</v>
      </c>
      <c r="AZ462" s="28">
        <f t="shared" si="259"/>
        <v>0</v>
      </c>
      <c r="BA462" s="13">
        <f t="shared" si="252"/>
        <v>0</v>
      </c>
      <c r="BB462" s="13">
        <f t="shared" si="253"/>
        <v>0</v>
      </c>
      <c r="BC462" s="28">
        <f t="shared" si="260"/>
        <v>0</v>
      </c>
      <c r="BD462" s="28">
        <f t="shared" si="261"/>
        <v>0</v>
      </c>
      <c r="BF462" s="248">
        <f t="shared" si="262"/>
        <v>993869.29442638322</v>
      </c>
    </row>
    <row r="463" spans="1:58">
      <c r="A463" s="32">
        <f t="shared" si="263"/>
        <v>-288</v>
      </c>
      <c r="B463" s="32">
        <f t="shared" si="254"/>
        <v>84</v>
      </c>
      <c r="C463" s="32">
        <f t="shared" si="264"/>
        <v>32</v>
      </c>
      <c r="D463" s="32">
        <f t="shared" si="265"/>
        <v>373</v>
      </c>
      <c r="E463" s="74">
        <f>MIN(IF(AV463=0,0,
IF(Investment_Strategy="DIS",VLOOKUP(Investment_Strategy&amp;"_"&amp;Investment_Strategy_Sub1&amp;"_"&amp;$A463,'Investment Strategies'!$AZ:$BP,12,FALSE),
IF(AND(Investment_Strategy="Lifecycle",Investment_Strategy_Sub1="Non-Standard"),VLOOKUP(Investment_Strategy&amp;"_"&amp;Investment_Strategy_Sub2&amp;"_"&amp;$A463,'Investment Strategies'!$C:$P,9,FALSE),
IF(AND(Investment_Strategy="Lifecycle",Investment_Strategy_Sub1="Standard"),VLOOKUP(Investment_Strategy&amp;"_"&amp;Investment_Strategy_Sub2&amp;"_"&amp;$A463,'Investment Strategies'!$AJ:$AV,8,FALSE),
IF(AND(Investment_Strategy="Autopilot",Investment_Strategy_Sub1="Non-Standard"),VLOOKUP(Investment_Strategy&amp;"_"&amp;Investment_Strategy_Sub2&amp;"_"&amp;$A463,'Investment Strategies'!$T:$AF,8,FALSE),
IF(Investment_Strategy ="DIY",DIY_RateOfReturn_CurrentFunds,
"Error")))))),Max_InvReturn)</f>
        <v>0</v>
      </c>
      <c r="F463" s="62">
        <f>IF(AV463=0,0,
IF(Investment_Strategy="DIS",VLOOKUP(Investment_Strategy&amp;"_"&amp;Investment_Strategy_Sub1&amp;"_"&amp;$A463,'Investment Strategies'!$AZ:$BP,15,FALSE),
IF(AND(Investment_Strategy="Lifecycle",Investment_Strategy_Sub1="Non-Standard"),VLOOKUP(Investment_Strategy&amp;"_"&amp;Investment_Strategy_Sub2&amp;"_"&amp;$A463,'Investment Strategies'!$C:$P,12,FALSE),
IF(AND(Investment_Strategy="Lifecycle",Investment_Strategy_Sub1="Standard"),VLOOKUP(Investment_Strategy&amp;"_"&amp;Investment_Strategy_Sub2&amp;"_"&amp;$A463,'Investment Strategies'!$AJ:$AV,11,FALSE),
IF(AND(Investment_Strategy="Autopilot",Investment_Strategy_Sub1="Non-Standard"),VLOOKUP(Investment_Strategy&amp;"_"&amp;Investment_Strategy_Sub2&amp;"_"&amp;$A463,'Investment Strategies'!$T:$AF,11,FALSE),
IF(Investment_Strategy="DIY",DIY_GteeChrge_CurrentFunds,
"Error"))))))</f>
        <v>0</v>
      </c>
      <c r="G463" s="33">
        <f>IF(AV463=0,0,
IF(Investment_Strategy="DIS",VLOOKUP(Investment_Strategy&amp;"_"&amp;Investment_Strategy_Sub1&amp;"_"&amp;$A463,'Investment Strategies'!$AZ:$BP,17,FALSE),
IF(AND(Investment_Strategy="Lifecycle",Investment_Strategy_Sub1="Non-Standard"),VLOOKUP(Investment_Strategy&amp;"_"&amp;Investment_Strategy_Sub2&amp;"_"&amp;$A463,'Investment Strategies'!$C:$P,14,FALSE),
IF(AND(Investment_Strategy="Lifecycle",Investment_Strategy_Sub1="Standard"),VLOOKUP(Investment_Strategy&amp;"_"&amp;Investment_Strategy_Sub2&amp;"_"&amp;$A463,'Investment Strategies'!$AJ:$AV,13,FALSE),
IF(AND(Investment_Strategy="Autopilot",Investment_Strategy_Sub1="Non-Standard"),VLOOKUP(Investment_Strategy&amp;"_"&amp;Investment_Strategy_Sub2&amp;"_"&amp;$A463,'Investment Strategies'!$T:$AF,13,FALSE),
IF(Investment_Strategy="DIY",DIY_ExtManChrge_CurrentFunds,
"Error"))))))</f>
        <v>0</v>
      </c>
      <c r="H463" s="16">
        <f t="shared" si="255"/>
        <v>0</v>
      </c>
      <c r="I463" s="16">
        <f t="shared" si="240"/>
        <v>0</v>
      </c>
      <c r="J463" s="16">
        <f t="shared" si="241"/>
        <v>0</v>
      </c>
      <c r="K463" s="16">
        <f>(Opening_Fund_Value+SUM(K$91:K462))*E463*IF(D463=$A$91,SRP_finalmonthfactor,1)</f>
        <v>0</v>
      </c>
      <c r="L463" s="74">
        <f>MIN(IF($AV463=0,0,
IF(Investment_Strategy="DIS",VLOOKUP(Investment_Strategy&amp;"_"&amp;Investment_Strategy_Sub1&amp;"_"&amp;$A463,'Investment Strategies'!$AZ:$BP,12,FALSE),
IF(AND(Investment_Strategy="Lifecycle",Investment_Strategy_Sub1="Non-Standard"),VLOOKUP(Investment_Strategy&amp;"_"&amp;Investment_Strategy_Sub2&amp;"_"&amp;$A463,'Investment Strategies'!$C:$P,9,FALSE),
IF(AND(Investment_Strategy="Lifecycle",Investment_Strategy_Sub1="Standard"),VLOOKUP(Investment_Strategy&amp;"_"&amp;Investment_Strategy_Sub2&amp;"_"&amp;$A463,'Investment Strategies'!$AJ:$AV,8,FALSE),
IF(AND(Investment_Strategy="Autopilot",Investment_Strategy_Sub1="Non-Standard"),VLOOKUP(Investment_Strategy&amp;"_"&amp;Investment_Strategy_Sub2&amp;"_"&amp;$A463,'Investment Strategies'!$T:$AF,8,FALSE),
IF(Investment_Strategy ="DIY",DIY_RateofReturn_SP,
"Error")))))),Max_InvReturn)</f>
        <v>0</v>
      </c>
      <c r="M463" s="62">
        <f>IF($AV463=0,0,
IF(Investment_Strategy="DIS",VLOOKUP(Investment_Strategy&amp;"_"&amp;Investment_Strategy_Sub1&amp;"_"&amp;$A463,'Investment Strategies'!$AZ:$BP,15,FALSE),
IF(AND(Investment_Strategy="Lifecycle",Investment_Strategy_Sub1="Non-Standard"),VLOOKUP(Investment_Strategy&amp;"_"&amp;Investment_Strategy_Sub2&amp;"_"&amp;$A463,'Investment Strategies'!$C:$P,12,FALSE),
IF(AND(Investment_Strategy="Lifecycle",Investment_Strategy_Sub1="Standard"),VLOOKUP(Investment_Strategy&amp;"_"&amp;Investment_Strategy_Sub2&amp;"_"&amp;$A463,'Investment Strategies'!$AJ:$AV,11,FALSE),
IF(AND(Investment_Strategy="Autopilot",Investment_Strategy_Sub1="Non-Standard"),VLOOKUP(Investment_Strategy&amp;"_"&amp;Investment_Strategy_Sub2&amp;"_"&amp;$A463,'Investment Strategies'!$T:$AF,11,FALSE),
IF(Investment_Strategy="DIY",DIY_GteeChrge_SP,
"Error"))))))</f>
        <v>0</v>
      </c>
      <c r="N463" s="33">
        <f>IF($AV463=0,0,
IF(Investment_Strategy="DIS",VLOOKUP(Investment_Strategy&amp;"_"&amp;Investment_Strategy_Sub1&amp;"_"&amp;$A463,'Investment Strategies'!$AZ:$BP,17,FALSE),
IF(AND(Investment_Strategy="Lifecycle",Investment_Strategy_Sub1="Non-Standard"),VLOOKUP(Investment_Strategy&amp;"_"&amp;Investment_Strategy_Sub2&amp;"_"&amp;$A463,'Investment Strategies'!$C:$P,14,FALSE),
IF(AND(Investment_Strategy="Lifecycle",Investment_Strategy_Sub1="Standard"),VLOOKUP(Investment_Strategy&amp;"_"&amp;Investment_Strategy_Sub2&amp;"_"&amp;$A463,'Investment Strategies'!$AJ:$AV,13,FALSE),
IF(AND(Investment_Strategy="Autopilot",Investment_Strategy_Sub1="Non-Standard"),VLOOKUP(Investment_Strategy&amp;"_"&amp;Investment_Strategy_Sub2&amp;"_"&amp;$A463,'Investment Strategies'!$T:$AF,13,FALSE),
IF(Investment_Strategy="DIY",DIY_ExtManChrge_SP,
"Error"))))))</f>
        <v>0</v>
      </c>
      <c r="O463" s="16">
        <f t="shared" si="266"/>
        <v>0</v>
      </c>
      <c r="Q463" s="16">
        <f t="shared" si="242"/>
        <v>0</v>
      </c>
      <c r="R463" s="16">
        <f t="shared" si="239"/>
        <v>0</v>
      </c>
      <c r="S463" s="16">
        <f>(SRP_SP+SUM(S$91:S462))*L463*IF(D463=$A$91,SRP_finalmonthfactor,1)</f>
        <v>0</v>
      </c>
      <c r="T463" s="74">
        <f>MIN(IF($AV463=0,0,
IF(Investment_Strategy="DIS",VLOOKUP(Investment_Strategy&amp;"_"&amp;Investment_Strategy_Sub1&amp;"_"&amp;$A463,'Investment Strategies'!$AZ:$BP,12,FALSE),
IF(AND(Investment_Strategy="Lifecycle",Investment_Strategy_Sub1="Non-Standard"),VLOOKUP(Investment_Strategy&amp;"_"&amp;Investment_Strategy_Sub2&amp;"_"&amp;$A463,'Investment Strategies'!$C:$P,9,FALSE),
IF(AND(Investment_Strategy="Lifecycle",Investment_Strategy_Sub1="Standard"),VLOOKUP(Investment_Strategy&amp;"_"&amp;Investment_Strategy_Sub2&amp;"_"&amp;$A463,'Investment Strategies'!$AJ:$AV,8,FALSE),
IF(AND(Investment_Strategy="Autopilot",Investment_Strategy_Sub1="Non-Standard"),VLOOKUP(Investment_Strategy&amp;"_"&amp;Investment_Strategy_Sub2&amp;"_"&amp;$A463,'Investment Strategies'!$T:$AF,8,FALSE),
IF(Investment_Strategy ="DIY",DIY_RateOfReturn_FuturePremiums,
"Error")))))),Max_InvReturn)</f>
        <v>0</v>
      </c>
      <c r="U463" s="62">
        <f>IF($AV463=0,0,
IF(Investment_Strategy="DIS",VLOOKUP(Investment_Strategy&amp;"_"&amp;Investment_Strategy_Sub1&amp;"_"&amp;$A463,'Investment Strategies'!$AZ:$BP,15,FALSE),
IF(AND(Investment_Strategy="Lifecycle",Investment_Strategy_Sub1="Non-Standard"),VLOOKUP(Investment_Strategy&amp;"_"&amp;Investment_Strategy_Sub2&amp;"_"&amp;$A463,'Investment Strategies'!$C:$P,12,FALSE),
IF(AND(Investment_Strategy="Lifecycle",Investment_Strategy_Sub1="Standard"),VLOOKUP(Investment_Strategy&amp;"_"&amp;Investment_Strategy_Sub2&amp;"_"&amp;$A463,'Investment Strategies'!$AJ:$AV,11,FALSE),
IF(AND(Investment_Strategy="Autopilot",Investment_Strategy_Sub1="Non-Standard"),VLOOKUP(Investment_Strategy&amp;"_"&amp;Investment_Strategy_Sub2&amp;"_"&amp;$A463,'Investment Strategies'!$T:$AF,11,FALSE),
IF(Investment_Strategy="DIY",DIY_GteeChrge_FuturePremiums,
"Error"))))))</f>
        <v>0</v>
      </c>
      <c r="V463" s="33">
        <f>IF(AV463=0,0,
IF(Investment_Strategy="DIS",VLOOKUP(Investment_Strategy&amp;"_"&amp;Investment_Strategy_Sub1&amp;"_"&amp;$A463,'Investment Strategies'!$AZ:$BP,17,FALSE),
IF(AND(Investment_Strategy="Lifecycle",Investment_Strategy_Sub1="Non-Standard"),VLOOKUP(Investment_Strategy&amp;"_"&amp;Investment_Strategy_Sub2&amp;"_"&amp;$A463,'Investment Strategies'!$C:$P,14,FALSE),
IF(AND(Investment_Strategy="Lifecycle",Investment_Strategy_Sub1="Standard"),VLOOKUP(Investment_Strategy&amp;"_"&amp;Investment_Strategy_Sub2&amp;"_"&amp;$A463,'Investment Strategies'!$AJ:$AV,13,FALSE),
IF(AND(Investment_Strategy="Autopilot",Investment_Strategy_Sub1="Non-Standard"),VLOOKUP(Investment_Strategy&amp;"_"&amp;Investment_Strategy_Sub2&amp;"_"&amp;$A463,'Investment Strategies'!$T:$AF,13,FALSE),
IF(Investment_Strategy="DIY",DIY_ExtManChrge_FuturePremiums,
"Error"))))))</f>
        <v>0</v>
      </c>
      <c r="W463" s="16">
        <f t="shared" si="267"/>
        <v>0</v>
      </c>
      <c r="X463" s="16">
        <f t="shared" si="243"/>
        <v>0</v>
      </c>
      <c r="Y463" s="16">
        <f t="shared" si="244"/>
        <v>0</v>
      </c>
      <c r="Z463" s="31">
        <f t="shared" si="245"/>
        <v>0.02</v>
      </c>
      <c r="AA463" s="16">
        <f t="shared" si="246"/>
        <v>0</v>
      </c>
      <c r="AB463" s="28">
        <f t="shared" si="268"/>
        <v>0</v>
      </c>
      <c r="AC463" s="28">
        <f>(SUM($AC$91:AC462)+SUM($X$91:X462)+X463)*T463*IF(D463=$A$91,SRP_finalmonthfactor,1)</f>
        <v>0</v>
      </c>
      <c r="AD463" s="16">
        <f t="shared" si="247"/>
        <v>0</v>
      </c>
      <c r="AE463" s="106"/>
      <c r="AF463" s="16">
        <f t="shared" si="256"/>
        <v>0</v>
      </c>
      <c r="AG463" s="16">
        <f t="shared" si="257"/>
        <v>0</v>
      </c>
      <c r="AH463" s="16">
        <f t="shared" si="258"/>
        <v>0</v>
      </c>
      <c r="AJ463" s="13">
        <f t="shared" si="273"/>
        <v>0</v>
      </c>
      <c r="AK463" s="13">
        <f t="shared" si="273"/>
        <v>0</v>
      </c>
      <c r="AL463" s="13">
        <f t="shared" si="273"/>
        <v>0</v>
      </c>
      <c r="AM463" s="13">
        <f t="shared" si="273"/>
        <v>0</v>
      </c>
      <c r="AN463" s="13">
        <f t="shared" si="273"/>
        <v>0</v>
      </c>
      <c r="AO463" s="13">
        <f t="shared" si="273"/>
        <v>1</v>
      </c>
      <c r="AP463" s="13">
        <f t="shared" si="273"/>
        <v>1</v>
      </c>
      <c r="AQ463" s="13">
        <f t="shared" si="273"/>
        <v>1</v>
      </c>
      <c r="AR463" s="13">
        <f t="shared" si="273"/>
        <v>0</v>
      </c>
      <c r="AS463" s="13">
        <f t="shared" si="273"/>
        <v>0</v>
      </c>
      <c r="AT463" s="13">
        <f t="shared" si="273"/>
        <v>1</v>
      </c>
      <c r="AU463" s="13">
        <f t="shared" si="273"/>
        <v>1</v>
      </c>
      <c r="AV463" s="13">
        <f t="shared" si="249"/>
        <v>0</v>
      </c>
      <c r="AW463" s="13">
        <f t="shared" si="250"/>
        <v>1</v>
      </c>
      <c r="AY463" s="17">
        <f t="shared" si="251"/>
        <v>373</v>
      </c>
      <c r="AZ463" s="28">
        <f t="shared" si="259"/>
        <v>0</v>
      </c>
      <c r="BA463" s="13">
        <f t="shared" si="252"/>
        <v>0</v>
      </c>
      <c r="BB463" s="13">
        <f t="shared" si="253"/>
        <v>0</v>
      </c>
      <c r="BC463" s="28">
        <f t="shared" si="260"/>
        <v>0</v>
      </c>
      <c r="BD463" s="28">
        <f t="shared" si="261"/>
        <v>0</v>
      </c>
      <c r="BF463" s="248">
        <f t="shared" si="262"/>
        <v>993869.29442638322</v>
      </c>
    </row>
    <row r="464" spans="1:58">
      <c r="A464" s="32">
        <f t="shared" si="263"/>
        <v>-289</v>
      </c>
      <c r="B464" s="32">
        <f t="shared" si="254"/>
        <v>84</v>
      </c>
      <c r="C464" s="32">
        <f t="shared" si="264"/>
        <v>32</v>
      </c>
      <c r="D464" s="32">
        <f t="shared" si="265"/>
        <v>374</v>
      </c>
      <c r="E464" s="74">
        <f>MIN(IF(AV464=0,0,
IF(Investment_Strategy="DIS",VLOOKUP(Investment_Strategy&amp;"_"&amp;Investment_Strategy_Sub1&amp;"_"&amp;$A464,'Investment Strategies'!$AZ:$BP,12,FALSE),
IF(AND(Investment_Strategy="Lifecycle",Investment_Strategy_Sub1="Non-Standard"),VLOOKUP(Investment_Strategy&amp;"_"&amp;Investment_Strategy_Sub2&amp;"_"&amp;$A464,'Investment Strategies'!$C:$P,9,FALSE),
IF(AND(Investment_Strategy="Lifecycle",Investment_Strategy_Sub1="Standard"),VLOOKUP(Investment_Strategy&amp;"_"&amp;Investment_Strategy_Sub2&amp;"_"&amp;$A464,'Investment Strategies'!$AJ:$AV,8,FALSE),
IF(AND(Investment_Strategy="Autopilot",Investment_Strategy_Sub1="Non-Standard"),VLOOKUP(Investment_Strategy&amp;"_"&amp;Investment_Strategy_Sub2&amp;"_"&amp;$A464,'Investment Strategies'!$T:$AF,8,FALSE),
IF(Investment_Strategy ="DIY",DIY_RateOfReturn_CurrentFunds,
"Error")))))),Max_InvReturn)</f>
        <v>0</v>
      </c>
      <c r="F464" s="62">
        <f>IF(AV464=0,0,
IF(Investment_Strategy="DIS",VLOOKUP(Investment_Strategy&amp;"_"&amp;Investment_Strategy_Sub1&amp;"_"&amp;$A464,'Investment Strategies'!$AZ:$BP,15,FALSE),
IF(AND(Investment_Strategy="Lifecycle",Investment_Strategy_Sub1="Non-Standard"),VLOOKUP(Investment_Strategy&amp;"_"&amp;Investment_Strategy_Sub2&amp;"_"&amp;$A464,'Investment Strategies'!$C:$P,12,FALSE),
IF(AND(Investment_Strategy="Lifecycle",Investment_Strategy_Sub1="Standard"),VLOOKUP(Investment_Strategy&amp;"_"&amp;Investment_Strategy_Sub2&amp;"_"&amp;$A464,'Investment Strategies'!$AJ:$AV,11,FALSE),
IF(AND(Investment_Strategy="Autopilot",Investment_Strategy_Sub1="Non-Standard"),VLOOKUP(Investment_Strategy&amp;"_"&amp;Investment_Strategy_Sub2&amp;"_"&amp;$A464,'Investment Strategies'!$T:$AF,11,FALSE),
IF(Investment_Strategy="DIY",DIY_GteeChrge_CurrentFunds,
"Error"))))))</f>
        <v>0</v>
      </c>
      <c r="G464" s="33">
        <f>IF(AV464=0,0,
IF(Investment_Strategy="DIS",VLOOKUP(Investment_Strategy&amp;"_"&amp;Investment_Strategy_Sub1&amp;"_"&amp;$A464,'Investment Strategies'!$AZ:$BP,17,FALSE),
IF(AND(Investment_Strategy="Lifecycle",Investment_Strategy_Sub1="Non-Standard"),VLOOKUP(Investment_Strategy&amp;"_"&amp;Investment_Strategy_Sub2&amp;"_"&amp;$A464,'Investment Strategies'!$C:$P,14,FALSE),
IF(AND(Investment_Strategy="Lifecycle",Investment_Strategy_Sub1="Standard"),VLOOKUP(Investment_Strategy&amp;"_"&amp;Investment_Strategy_Sub2&amp;"_"&amp;$A464,'Investment Strategies'!$AJ:$AV,13,FALSE),
IF(AND(Investment_Strategy="Autopilot",Investment_Strategy_Sub1="Non-Standard"),VLOOKUP(Investment_Strategy&amp;"_"&amp;Investment_Strategy_Sub2&amp;"_"&amp;$A464,'Investment Strategies'!$T:$AF,13,FALSE),
IF(Investment_Strategy="DIY",DIY_ExtManChrge_CurrentFunds,
"Error"))))))</f>
        <v>0</v>
      </c>
      <c r="H464" s="16">
        <f t="shared" si="255"/>
        <v>0</v>
      </c>
      <c r="I464" s="16">
        <f t="shared" si="240"/>
        <v>0</v>
      </c>
      <c r="J464" s="16">
        <f t="shared" si="241"/>
        <v>0</v>
      </c>
      <c r="K464" s="16">
        <f>(Opening_Fund_Value+SUM(K$91:K463))*E464*IF(D464=$A$91,SRP_finalmonthfactor,1)</f>
        <v>0</v>
      </c>
      <c r="L464" s="74">
        <f>MIN(IF($AV464=0,0,
IF(Investment_Strategy="DIS",VLOOKUP(Investment_Strategy&amp;"_"&amp;Investment_Strategy_Sub1&amp;"_"&amp;$A464,'Investment Strategies'!$AZ:$BP,12,FALSE),
IF(AND(Investment_Strategy="Lifecycle",Investment_Strategy_Sub1="Non-Standard"),VLOOKUP(Investment_Strategy&amp;"_"&amp;Investment_Strategy_Sub2&amp;"_"&amp;$A464,'Investment Strategies'!$C:$P,9,FALSE),
IF(AND(Investment_Strategy="Lifecycle",Investment_Strategy_Sub1="Standard"),VLOOKUP(Investment_Strategy&amp;"_"&amp;Investment_Strategy_Sub2&amp;"_"&amp;$A464,'Investment Strategies'!$AJ:$AV,8,FALSE),
IF(AND(Investment_Strategy="Autopilot",Investment_Strategy_Sub1="Non-Standard"),VLOOKUP(Investment_Strategy&amp;"_"&amp;Investment_Strategy_Sub2&amp;"_"&amp;$A464,'Investment Strategies'!$T:$AF,8,FALSE),
IF(Investment_Strategy ="DIY",DIY_RateofReturn_SP,
"Error")))))),Max_InvReturn)</f>
        <v>0</v>
      </c>
      <c r="M464" s="62">
        <f>IF($AV464=0,0,
IF(Investment_Strategy="DIS",VLOOKUP(Investment_Strategy&amp;"_"&amp;Investment_Strategy_Sub1&amp;"_"&amp;$A464,'Investment Strategies'!$AZ:$BP,15,FALSE),
IF(AND(Investment_Strategy="Lifecycle",Investment_Strategy_Sub1="Non-Standard"),VLOOKUP(Investment_Strategy&amp;"_"&amp;Investment_Strategy_Sub2&amp;"_"&amp;$A464,'Investment Strategies'!$C:$P,12,FALSE),
IF(AND(Investment_Strategy="Lifecycle",Investment_Strategy_Sub1="Standard"),VLOOKUP(Investment_Strategy&amp;"_"&amp;Investment_Strategy_Sub2&amp;"_"&amp;$A464,'Investment Strategies'!$AJ:$AV,11,FALSE),
IF(AND(Investment_Strategy="Autopilot",Investment_Strategy_Sub1="Non-Standard"),VLOOKUP(Investment_Strategy&amp;"_"&amp;Investment_Strategy_Sub2&amp;"_"&amp;$A464,'Investment Strategies'!$T:$AF,11,FALSE),
IF(Investment_Strategy="DIY",DIY_GteeChrge_SP,
"Error"))))))</f>
        <v>0</v>
      </c>
      <c r="N464" s="33">
        <f>IF($AV464=0,0,
IF(Investment_Strategy="DIS",VLOOKUP(Investment_Strategy&amp;"_"&amp;Investment_Strategy_Sub1&amp;"_"&amp;$A464,'Investment Strategies'!$AZ:$BP,17,FALSE),
IF(AND(Investment_Strategy="Lifecycle",Investment_Strategy_Sub1="Non-Standard"),VLOOKUP(Investment_Strategy&amp;"_"&amp;Investment_Strategy_Sub2&amp;"_"&amp;$A464,'Investment Strategies'!$C:$P,14,FALSE),
IF(AND(Investment_Strategy="Lifecycle",Investment_Strategy_Sub1="Standard"),VLOOKUP(Investment_Strategy&amp;"_"&amp;Investment_Strategy_Sub2&amp;"_"&amp;$A464,'Investment Strategies'!$AJ:$AV,13,FALSE),
IF(AND(Investment_Strategy="Autopilot",Investment_Strategy_Sub1="Non-Standard"),VLOOKUP(Investment_Strategy&amp;"_"&amp;Investment_Strategy_Sub2&amp;"_"&amp;$A464,'Investment Strategies'!$T:$AF,13,FALSE),
IF(Investment_Strategy="DIY",DIY_ExtManChrge_SP,
"Error"))))))</f>
        <v>0</v>
      </c>
      <c r="O464" s="16">
        <f t="shared" si="266"/>
        <v>0</v>
      </c>
      <c r="Q464" s="16">
        <f t="shared" si="242"/>
        <v>0</v>
      </c>
      <c r="R464" s="16">
        <f t="shared" si="239"/>
        <v>0</v>
      </c>
      <c r="S464" s="16">
        <f>(SRP_SP+SUM(S$91:S463))*L464*IF(D464=$A$91,SRP_finalmonthfactor,1)</f>
        <v>0</v>
      </c>
      <c r="T464" s="74">
        <f>MIN(IF($AV464=0,0,
IF(Investment_Strategy="DIS",VLOOKUP(Investment_Strategy&amp;"_"&amp;Investment_Strategy_Sub1&amp;"_"&amp;$A464,'Investment Strategies'!$AZ:$BP,12,FALSE),
IF(AND(Investment_Strategy="Lifecycle",Investment_Strategy_Sub1="Non-Standard"),VLOOKUP(Investment_Strategy&amp;"_"&amp;Investment_Strategy_Sub2&amp;"_"&amp;$A464,'Investment Strategies'!$C:$P,9,FALSE),
IF(AND(Investment_Strategy="Lifecycle",Investment_Strategy_Sub1="Standard"),VLOOKUP(Investment_Strategy&amp;"_"&amp;Investment_Strategy_Sub2&amp;"_"&amp;$A464,'Investment Strategies'!$AJ:$AV,8,FALSE),
IF(AND(Investment_Strategy="Autopilot",Investment_Strategy_Sub1="Non-Standard"),VLOOKUP(Investment_Strategy&amp;"_"&amp;Investment_Strategy_Sub2&amp;"_"&amp;$A464,'Investment Strategies'!$T:$AF,8,FALSE),
IF(Investment_Strategy ="DIY",DIY_RateOfReturn_FuturePremiums,
"Error")))))),Max_InvReturn)</f>
        <v>0</v>
      </c>
      <c r="U464" s="62">
        <f>IF($AV464=0,0,
IF(Investment_Strategy="DIS",VLOOKUP(Investment_Strategy&amp;"_"&amp;Investment_Strategy_Sub1&amp;"_"&amp;$A464,'Investment Strategies'!$AZ:$BP,15,FALSE),
IF(AND(Investment_Strategy="Lifecycle",Investment_Strategy_Sub1="Non-Standard"),VLOOKUP(Investment_Strategy&amp;"_"&amp;Investment_Strategy_Sub2&amp;"_"&amp;$A464,'Investment Strategies'!$C:$P,12,FALSE),
IF(AND(Investment_Strategy="Lifecycle",Investment_Strategy_Sub1="Standard"),VLOOKUP(Investment_Strategy&amp;"_"&amp;Investment_Strategy_Sub2&amp;"_"&amp;$A464,'Investment Strategies'!$AJ:$AV,11,FALSE),
IF(AND(Investment_Strategy="Autopilot",Investment_Strategy_Sub1="Non-Standard"),VLOOKUP(Investment_Strategy&amp;"_"&amp;Investment_Strategy_Sub2&amp;"_"&amp;$A464,'Investment Strategies'!$T:$AF,11,FALSE),
IF(Investment_Strategy="DIY",DIY_GteeChrge_FuturePremiums,
"Error"))))))</f>
        <v>0</v>
      </c>
      <c r="V464" s="33">
        <f>IF(AV464=0,0,
IF(Investment_Strategy="DIS",VLOOKUP(Investment_Strategy&amp;"_"&amp;Investment_Strategy_Sub1&amp;"_"&amp;$A464,'Investment Strategies'!$AZ:$BP,17,FALSE),
IF(AND(Investment_Strategy="Lifecycle",Investment_Strategy_Sub1="Non-Standard"),VLOOKUP(Investment_Strategy&amp;"_"&amp;Investment_Strategy_Sub2&amp;"_"&amp;$A464,'Investment Strategies'!$C:$P,14,FALSE),
IF(AND(Investment_Strategy="Lifecycle",Investment_Strategy_Sub1="Standard"),VLOOKUP(Investment_Strategy&amp;"_"&amp;Investment_Strategy_Sub2&amp;"_"&amp;$A464,'Investment Strategies'!$AJ:$AV,13,FALSE),
IF(AND(Investment_Strategy="Autopilot",Investment_Strategy_Sub1="Non-Standard"),VLOOKUP(Investment_Strategy&amp;"_"&amp;Investment_Strategy_Sub2&amp;"_"&amp;$A464,'Investment Strategies'!$T:$AF,13,FALSE),
IF(Investment_Strategy="DIY",DIY_ExtManChrge_FuturePremiums,
"Error"))))))</f>
        <v>0</v>
      </c>
      <c r="W464" s="16">
        <f t="shared" si="267"/>
        <v>0</v>
      </c>
      <c r="X464" s="16">
        <f t="shared" si="243"/>
        <v>0</v>
      </c>
      <c r="Y464" s="16">
        <f t="shared" si="244"/>
        <v>0</v>
      </c>
      <c r="Z464" s="31">
        <f t="shared" si="245"/>
        <v>0.02</v>
      </c>
      <c r="AA464" s="16">
        <f t="shared" si="246"/>
        <v>0</v>
      </c>
      <c r="AB464" s="28">
        <f t="shared" si="268"/>
        <v>0</v>
      </c>
      <c r="AC464" s="28">
        <f>(SUM($AC$91:AC463)+SUM($X$91:X463)+X464)*T464*IF(D464=$A$91,SRP_finalmonthfactor,1)</f>
        <v>0</v>
      </c>
      <c r="AD464" s="16">
        <f t="shared" si="247"/>
        <v>0</v>
      </c>
      <c r="AE464" s="106"/>
      <c r="AF464" s="16">
        <f t="shared" si="256"/>
        <v>0</v>
      </c>
      <c r="AG464" s="16">
        <f t="shared" si="257"/>
        <v>0</v>
      </c>
      <c r="AH464" s="16">
        <f t="shared" si="258"/>
        <v>0</v>
      </c>
      <c r="AJ464" s="13">
        <f t="shared" si="273"/>
        <v>0</v>
      </c>
      <c r="AK464" s="13">
        <f t="shared" si="273"/>
        <v>0</v>
      </c>
      <c r="AL464" s="13">
        <f t="shared" si="273"/>
        <v>0</v>
      </c>
      <c r="AM464" s="13">
        <f t="shared" si="273"/>
        <v>0</v>
      </c>
      <c r="AN464" s="13">
        <f t="shared" si="273"/>
        <v>0</v>
      </c>
      <c r="AO464" s="13">
        <f t="shared" si="273"/>
        <v>1</v>
      </c>
      <c r="AP464" s="13">
        <f t="shared" si="273"/>
        <v>1</v>
      </c>
      <c r="AQ464" s="13">
        <f t="shared" si="273"/>
        <v>1</v>
      </c>
      <c r="AR464" s="13">
        <f t="shared" si="273"/>
        <v>0</v>
      </c>
      <c r="AS464" s="13">
        <f t="shared" si="273"/>
        <v>0</v>
      </c>
      <c r="AT464" s="13">
        <f t="shared" si="273"/>
        <v>1</v>
      </c>
      <c r="AU464" s="13">
        <f t="shared" si="273"/>
        <v>1</v>
      </c>
      <c r="AV464" s="13">
        <f t="shared" si="249"/>
        <v>0</v>
      </c>
      <c r="AW464" s="13">
        <f t="shared" si="250"/>
        <v>1</v>
      </c>
      <c r="AY464" s="17">
        <f t="shared" si="251"/>
        <v>374</v>
      </c>
      <c r="AZ464" s="28">
        <f t="shared" si="259"/>
        <v>0</v>
      </c>
      <c r="BA464" s="13">
        <f t="shared" si="252"/>
        <v>0</v>
      </c>
      <c r="BB464" s="13">
        <f t="shared" si="253"/>
        <v>0</v>
      </c>
      <c r="BC464" s="28">
        <f t="shared" si="260"/>
        <v>0</v>
      </c>
      <c r="BD464" s="28">
        <f t="shared" si="261"/>
        <v>0</v>
      </c>
      <c r="BF464" s="248">
        <f t="shared" si="262"/>
        <v>993869.29442638322</v>
      </c>
    </row>
    <row r="465" spans="1:58">
      <c r="A465" s="32">
        <f t="shared" si="263"/>
        <v>-290</v>
      </c>
      <c r="B465" s="32">
        <f t="shared" si="254"/>
        <v>84</v>
      </c>
      <c r="C465" s="32">
        <f t="shared" si="264"/>
        <v>32</v>
      </c>
      <c r="D465" s="32">
        <f t="shared" si="265"/>
        <v>375</v>
      </c>
      <c r="E465" s="74">
        <f>MIN(IF(AV465=0,0,
IF(Investment_Strategy="DIS",VLOOKUP(Investment_Strategy&amp;"_"&amp;Investment_Strategy_Sub1&amp;"_"&amp;$A465,'Investment Strategies'!$AZ:$BP,12,FALSE),
IF(AND(Investment_Strategy="Lifecycle",Investment_Strategy_Sub1="Non-Standard"),VLOOKUP(Investment_Strategy&amp;"_"&amp;Investment_Strategy_Sub2&amp;"_"&amp;$A465,'Investment Strategies'!$C:$P,9,FALSE),
IF(AND(Investment_Strategy="Lifecycle",Investment_Strategy_Sub1="Standard"),VLOOKUP(Investment_Strategy&amp;"_"&amp;Investment_Strategy_Sub2&amp;"_"&amp;$A465,'Investment Strategies'!$AJ:$AV,8,FALSE),
IF(AND(Investment_Strategy="Autopilot",Investment_Strategy_Sub1="Non-Standard"),VLOOKUP(Investment_Strategy&amp;"_"&amp;Investment_Strategy_Sub2&amp;"_"&amp;$A465,'Investment Strategies'!$T:$AF,8,FALSE),
IF(Investment_Strategy ="DIY",DIY_RateOfReturn_CurrentFunds,
"Error")))))),Max_InvReturn)</f>
        <v>0</v>
      </c>
      <c r="F465" s="62">
        <f>IF(AV465=0,0,
IF(Investment_Strategy="DIS",VLOOKUP(Investment_Strategy&amp;"_"&amp;Investment_Strategy_Sub1&amp;"_"&amp;$A465,'Investment Strategies'!$AZ:$BP,15,FALSE),
IF(AND(Investment_Strategy="Lifecycle",Investment_Strategy_Sub1="Non-Standard"),VLOOKUP(Investment_Strategy&amp;"_"&amp;Investment_Strategy_Sub2&amp;"_"&amp;$A465,'Investment Strategies'!$C:$P,12,FALSE),
IF(AND(Investment_Strategy="Lifecycle",Investment_Strategy_Sub1="Standard"),VLOOKUP(Investment_Strategy&amp;"_"&amp;Investment_Strategy_Sub2&amp;"_"&amp;$A465,'Investment Strategies'!$AJ:$AV,11,FALSE),
IF(AND(Investment_Strategy="Autopilot",Investment_Strategy_Sub1="Non-Standard"),VLOOKUP(Investment_Strategy&amp;"_"&amp;Investment_Strategy_Sub2&amp;"_"&amp;$A465,'Investment Strategies'!$T:$AF,11,FALSE),
IF(Investment_Strategy="DIY",DIY_GteeChrge_CurrentFunds,
"Error"))))))</f>
        <v>0</v>
      </c>
      <c r="G465" s="33">
        <f>IF(AV465=0,0,
IF(Investment_Strategy="DIS",VLOOKUP(Investment_Strategy&amp;"_"&amp;Investment_Strategy_Sub1&amp;"_"&amp;$A465,'Investment Strategies'!$AZ:$BP,17,FALSE),
IF(AND(Investment_Strategy="Lifecycle",Investment_Strategy_Sub1="Non-Standard"),VLOOKUP(Investment_Strategy&amp;"_"&amp;Investment_Strategy_Sub2&amp;"_"&amp;$A465,'Investment Strategies'!$C:$P,14,FALSE),
IF(AND(Investment_Strategy="Lifecycle",Investment_Strategy_Sub1="Standard"),VLOOKUP(Investment_Strategy&amp;"_"&amp;Investment_Strategy_Sub2&amp;"_"&amp;$A465,'Investment Strategies'!$AJ:$AV,13,FALSE),
IF(AND(Investment_Strategy="Autopilot",Investment_Strategy_Sub1="Non-Standard"),VLOOKUP(Investment_Strategy&amp;"_"&amp;Investment_Strategy_Sub2&amp;"_"&amp;$A465,'Investment Strategies'!$T:$AF,13,FALSE),
IF(Investment_Strategy="DIY",DIY_ExtManChrge_CurrentFunds,
"Error"))))))</f>
        <v>0</v>
      </c>
      <c r="H465" s="16">
        <f t="shared" si="255"/>
        <v>0</v>
      </c>
      <c r="I465" s="16">
        <f t="shared" si="240"/>
        <v>0</v>
      </c>
      <c r="J465" s="16">
        <f t="shared" si="241"/>
        <v>0</v>
      </c>
      <c r="K465" s="16">
        <f>(Opening_Fund_Value+SUM(K$91:K464))*E465*IF(D465=$A$91,SRP_finalmonthfactor,1)</f>
        <v>0</v>
      </c>
      <c r="L465" s="74">
        <f>MIN(IF($AV465=0,0,
IF(Investment_Strategy="DIS",VLOOKUP(Investment_Strategy&amp;"_"&amp;Investment_Strategy_Sub1&amp;"_"&amp;$A465,'Investment Strategies'!$AZ:$BP,12,FALSE),
IF(AND(Investment_Strategy="Lifecycle",Investment_Strategy_Sub1="Non-Standard"),VLOOKUP(Investment_Strategy&amp;"_"&amp;Investment_Strategy_Sub2&amp;"_"&amp;$A465,'Investment Strategies'!$C:$P,9,FALSE),
IF(AND(Investment_Strategy="Lifecycle",Investment_Strategy_Sub1="Standard"),VLOOKUP(Investment_Strategy&amp;"_"&amp;Investment_Strategy_Sub2&amp;"_"&amp;$A465,'Investment Strategies'!$AJ:$AV,8,FALSE),
IF(AND(Investment_Strategy="Autopilot",Investment_Strategy_Sub1="Non-Standard"),VLOOKUP(Investment_Strategy&amp;"_"&amp;Investment_Strategy_Sub2&amp;"_"&amp;$A465,'Investment Strategies'!$T:$AF,8,FALSE),
IF(Investment_Strategy ="DIY",DIY_RateofReturn_SP,
"Error")))))),Max_InvReturn)</f>
        <v>0</v>
      </c>
      <c r="M465" s="62">
        <f>IF($AV465=0,0,
IF(Investment_Strategy="DIS",VLOOKUP(Investment_Strategy&amp;"_"&amp;Investment_Strategy_Sub1&amp;"_"&amp;$A465,'Investment Strategies'!$AZ:$BP,15,FALSE),
IF(AND(Investment_Strategy="Lifecycle",Investment_Strategy_Sub1="Non-Standard"),VLOOKUP(Investment_Strategy&amp;"_"&amp;Investment_Strategy_Sub2&amp;"_"&amp;$A465,'Investment Strategies'!$C:$P,12,FALSE),
IF(AND(Investment_Strategy="Lifecycle",Investment_Strategy_Sub1="Standard"),VLOOKUP(Investment_Strategy&amp;"_"&amp;Investment_Strategy_Sub2&amp;"_"&amp;$A465,'Investment Strategies'!$AJ:$AV,11,FALSE),
IF(AND(Investment_Strategy="Autopilot",Investment_Strategy_Sub1="Non-Standard"),VLOOKUP(Investment_Strategy&amp;"_"&amp;Investment_Strategy_Sub2&amp;"_"&amp;$A465,'Investment Strategies'!$T:$AF,11,FALSE),
IF(Investment_Strategy="DIY",DIY_GteeChrge_SP,
"Error"))))))</f>
        <v>0</v>
      </c>
      <c r="N465" s="33">
        <f>IF($AV465=0,0,
IF(Investment_Strategy="DIS",VLOOKUP(Investment_Strategy&amp;"_"&amp;Investment_Strategy_Sub1&amp;"_"&amp;$A465,'Investment Strategies'!$AZ:$BP,17,FALSE),
IF(AND(Investment_Strategy="Lifecycle",Investment_Strategy_Sub1="Non-Standard"),VLOOKUP(Investment_Strategy&amp;"_"&amp;Investment_Strategy_Sub2&amp;"_"&amp;$A465,'Investment Strategies'!$C:$P,14,FALSE),
IF(AND(Investment_Strategy="Lifecycle",Investment_Strategy_Sub1="Standard"),VLOOKUP(Investment_Strategy&amp;"_"&amp;Investment_Strategy_Sub2&amp;"_"&amp;$A465,'Investment Strategies'!$AJ:$AV,13,FALSE),
IF(AND(Investment_Strategy="Autopilot",Investment_Strategy_Sub1="Non-Standard"),VLOOKUP(Investment_Strategy&amp;"_"&amp;Investment_Strategy_Sub2&amp;"_"&amp;$A465,'Investment Strategies'!$T:$AF,13,FALSE),
IF(Investment_Strategy="DIY",DIY_ExtManChrge_SP,
"Error"))))))</f>
        <v>0</v>
      </c>
      <c r="O465" s="16">
        <f t="shared" si="266"/>
        <v>0</v>
      </c>
      <c r="Q465" s="16">
        <f t="shared" si="242"/>
        <v>0</v>
      </c>
      <c r="R465" s="16">
        <f t="shared" si="239"/>
        <v>0</v>
      </c>
      <c r="S465" s="16">
        <f>(SRP_SP+SUM(S$91:S464))*L465*IF(D465=$A$91,SRP_finalmonthfactor,1)</f>
        <v>0</v>
      </c>
      <c r="T465" s="74">
        <f>MIN(IF($AV465=0,0,
IF(Investment_Strategy="DIS",VLOOKUP(Investment_Strategy&amp;"_"&amp;Investment_Strategy_Sub1&amp;"_"&amp;$A465,'Investment Strategies'!$AZ:$BP,12,FALSE),
IF(AND(Investment_Strategy="Lifecycle",Investment_Strategy_Sub1="Non-Standard"),VLOOKUP(Investment_Strategy&amp;"_"&amp;Investment_Strategy_Sub2&amp;"_"&amp;$A465,'Investment Strategies'!$C:$P,9,FALSE),
IF(AND(Investment_Strategy="Lifecycle",Investment_Strategy_Sub1="Standard"),VLOOKUP(Investment_Strategy&amp;"_"&amp;Investment_Strategy_Sub2&amp;"_"&amp;$A465,'Investment Strategies'!$AJ:$AV,8,FALSE),
IF(AND(Investment_Strategy="Autopilot",Investment_Strategy_Sub1="Non-Standard"),VLOOKUP(Investment_Strategy&amp;"_"&amp;Investment_Strategy_Sub2&amp;"_"&amp;$A465,'Investment Strategies'!$T:$AF,8,FALSE),
IF(Investment_Strategy ="DIY",DIY_RateOfReturn_FuturePremiums,
"Error")))))),Max_InvReturn)</f>
        <v>0</v>
      </c>
      <c r="U465" s="62">
        <f>IF($AV465=0,0,
IF(Investment_Strategy="DIS",VLOOKUP(Investment_Strategy&amp;"_"&amp;Investment_Strategy_Sub1&amp;"_"&amp;$A465,'Investment Strategies'!$AZ:$BP,15,FALSE),
IF(AND(Investment_Strategy="Lifecycle",Investment_Strategy_Sub1="Non-Standard"),VLOOKUP(Investment_Strategy&amp;"_"&amp;Investment_Strategy_Sub2&amp;"_"&amp;$A465,'Investment Strategies'!$C:$P,12,FALSE),
IF(AND(Investment_Strategy="Lifecycle",Investment_Strategy_Sub1="Standard"),VLOOKUP(Investment_Strategy&amp;"_"&amp;Investment_Strategy_Sub2&amp;"_"&amp;$A465,'Investment Strategies'!$AJ:$AV,11,FALSE),
IF(AND(Investment_Strategy="Autopilot",Investment_Strategy_Sub1="Non-Standard"),VLOOKUP(Investment_Strategy&amp;"_"&amp;Investment_Strategy_Sub2&amp;"_"&amp;$A465,'Investment Strategies'!$T:$AF,11,FALSE),
IF(Investment_Strategy="DIY",DIY_GteeChrge_FuturePremiums,
"Error"))))))</f>
        <v>0</v>
      </c>
      <c r="V465" s="33">
        <f>IF(AV465=0,0,
IF(Investment_Strategy="DIS",VLOOKUP(Investment_Strategy&amp;"_"&amp;Investment_Strategy_Sub1&amp;"_"&amp;$A465,'Investment Strategies'!$AZ:$BP,17,FALSE),
IF(AND(Investment_Strategy="Lifecycle",Investment_Strategy_Sub1="Non-Standard"),VLOOKUP(Investment_Strategy&amp;"_"&amp;Investment_Strategy_Sub2&amp;"_"&amp;$A465,'Investment Strategies'!$C:$P,14,FALSE),
IF(AND(Investment_Strategy="Lifecycle",Investment_Strategy_Sub1="Standard"),VLOOKUP(Investment_Strategy&amp;"_"&amp;Investment_Strategy_Sub2&amp;"_"&amp;$A465,'Investment Strategies'!$AJ:$AV,13,FALSE),
IF(AND(Investment_Strategy="Autopilot",Investment_Strategy_Sub1="Non-Standard"),VLOOKUP(Investment_Strategy&amp;"_"&amp;Investment_Strategy_Sub2&amp;"_"&amp;$A465,'Investment Strategies'!$T:$AF,13,FALSE),
IF(Investment_Strategy="DIY",DIY_ExtManChrge_FuturePremiums,
"Error"))))))</f>
        <v>0</v>
      </c>
      <c r="W465" s="16">
        <f t="shared" si="267"/>
        <v>0</v>
      </c>
      <c r="X465" s="16">
        <f t="shared" si="243"/>
        <v>0</v>
      </c>
      <c r="Y465" s="16">
        <f t="shared" si="244"/>
        <v>0</v>
      </c>
      <c r="Z465" s="31">
        <f t="shared" si="245"/>
        <v>0.02</v>
      </c>
      <c r="AA465" s="16">
        <f t="shared" si="246"/>
        <v>0</v>
      </c>
      <c r="AB465" s="28">
        <f t="shared" si="268"/>
        <v>0</v>
      </c>
      <c r="AC465" s="28">
        <f>(SUM($AC$91:AC464)+SUM($X$91:X464)+X465)*T465*IF(D465=$A$91,SRP_finalmonthfactor,1)</f>
        <v>0</v>
      </c>
      <c r="AD465" s="16">
        <f t="shared" si="247"/>
        <v>0</v>
      </c>
      <c r="AE465" s="106"/>
      <c r="AF465" s="16">
        <f t="shared" si="256"/>
        <v>0</v>
      </c>
      <c r="AG465" s="16">
        <f t="shared" si="257"/>
        <v>0</v>
      </c>
      <c r="AH465" s="16">
        <f t="shared" si="258"/>
        <v>0</v>
      </c>
      <c r="AJ465" s="13">
        <f t="shared" si="273"/>
        <v>0</v>
      </c>
      <c r="AK465" s="13">
        <f t="shared" si="273"/>
        <v>0</v>
      </c>
      <c r="AL465" s="13">
        <f t="shared" si="273"/>
        <v>0</v>
      </c>
      <c r="AM465" s="13">
        <f t="shared" si="273"/>
        <v>0</v>
      </c>
      <c r="AN465" s="13">
        <f t="shared" si="273"/>
        <v>0</v>
      </c>
      <c r="AO465" s="13">
        <f t="shared" si="273"/>
        <v>1</v>
      </c>
      <c r="AP465" s="13">
        <f t="shared" si="273"/>
        <v>1</v>
      </c>
      <c r="AQ465" s="13">
        <f t="shared" si="273"/>
        <v>1</v>
      </c>
      <c r="AR465" s="13">
        <f t="shared" si="273"/>
        <v>0</v>
      </c>
      <c r="AS465" s="13">
        <f t="shared" si="273"/>
        <v>0</v>
      </c>
      <c r="AT465" s="13">
        <f t="shared" si="273"/>
        <v>1</v>
      </c>
      <c r="AU465" s="13">
        <f t="shared" si="273"/>
        <v>1</v>
      </c>
      <c r="AV465" s="13">
        <f t="shared" si="249"/>
        <v>0</v>
      </c>
      <c r="AW465" s="13">
        <f t="shared" si="250"/>
        <v>1</v>
      </c>
      <c r="AY465" s="17">
        <f t="shared" si="251"/>
        <v>375</v>
      </c>
      <c r="AZ465" s="28">
        <f t="shared" si="259"/>
        <v>0</v>
      </c>
      <c r="BA465" s="13">
        <f t="shared" si="252"/>
        <v>0</v>
      </c>
      <c r="BB465" s="13">
        <f t="shared" si="253"/>
        <v>0</v>
      </c>
      <c r="BC465" s="28">
        <f t="shared" si="260"/>
        <v>0</v>
      </c>
      <c r="BD465" s="28">
        <f t="shared" si="261"/>
        <v>0</v>
      </c>
      <c r="BF465" s="248">
        <f t="shared" si="262"/>
        <v>993869.29442638322</v>
      </c>
    </row>
    <row r="466" spans="1:58">
      <c r="A466" s="32">
        <f t="shared" si="263"/>
        <v>-291</v>
      </c>
      <c r="B466" s="32">
        <f t="shared" si="254"/>
        <v>84</v>
      </c>
      <c r="C466" s="32">
        <f t="shared" si="264"/>
        <v>32</v>
      </c>
      <c r="D466" s="32">
        <f t="shared" si="265"/>
        <v>376</v>
      </c>
      <c r="E466" s="74">
        <f>MIN(IF(AV466=0,0,
IF(Investment_Strategy="DIS",VLOOKUP(Investment_Strategy&amp;"_"&amp;Investment_Strategy_Sub1&amp;"_"&amp;$A466,'Investment Strategies'!$AZ:$BP,12,FALSE),
IF(AND(Investment_Strategy="Lifecycle",Investment_Strategy_Sub1="Non-Standard"),VLOOKUP(Investment_Strategy&amp;"_"&amp;Investment_Strategy_Sub2&amp;"_"&amp;$A466,'Investment Strategies'!$C:$P,9,FALSE),
IF(AND(Investment_Strategy="Lifecycle",Investment_Strategy_Sub1="Standard"),VLOOKUP(Investment_Strategy&amp;"_"&amp;Investment_Strategy_Sub2&amp;"_"&amp;$A466,'Investment Strategies'!$AJ:$AV,8,FALSE),
IF(AND(Investment_Strategy="Autopilot",Investment_Strategy_Sub1="Non-Standard"),VLOOKUP(Investment_Strategy&amp;"_"&amp;Investment_Strategy_Sub2&amp;"_"&amp;$A466,'Investment Strategies'!$T:$AF,8,FALSE),
IF(Investment_Strategy ="DIY",DIY_RateOfReturn_CurrentFunds,
"Error")))))),Max_InvReturn)</f>
        <v>0</v>
      </c>
      <c r="F466" s="62">
        <f>IF(AV466=0,0,
IF(Investment_Strategy="DIS",VLOOKUP(Investment_Strategy&amp;"_"&amp;Investment_Strategy_Sub1&amp;"_"&amp;$A466,'Investment Strategies'!$AZ:$BP,15,FALSE),
IF(AND(Investment_Strategy="Lifecycle",Investment_Strategy_Sub1="Non-Standard"),VLOOKUP(Investment_Strategy&amp;"_"&amp;Investment_Strategy_Sub2&amp;"_"&amp;$A466,'Investment Strategies'!$C:$P,12,FALSE),
IF(AND(Investment_Strategy="Lifecycle",Investment_Strategy_Sub1="Standard"),VLOOKUP(Investment_Strategy&amp;"_"&amp;Investment_Strategy_Sub2&amp;"_"&amp;$A466,'Investment Strategies'!$AJ:$AV,11,FALSE),
IF(AND(Investment_Strategy="Autopilot",Investment_Strategy_Sub1="Non-Standard"),VLOOKUP(Investment_Strategy&amp;"_"&amp;Investment_Strategy_Sub2&amp;"_"&amp;$A466,'Investment Strategies'!$T:$AF,11,FALSE),
IF(Investment_Strategy="DIY",DIY_GteeChrge_CurrentFunds,
"Error"))))))</f>
        <v>0</v>
      </c>
      <c r="G466" s="33">
        <f>IF(AV466=0,0,
IF(Investment_Strategy="DIS",VLOOKUP(Investment_Strategy&amp;"_"&amp;Investment_Strategy_Sub1&amp;"_"&amp;$A466,'Investment Strategies'!$AZ:$BP,17,FALSE),
IF(AND(Investment_Strategy="Lifecycle",Investment_Strategy_Sub1="Non-Standard"),VLOOKUP(Investment_Strategy&amp;"_"&amp;Investment_Strategy_Sub2&amp;"_"&amp;$A466,'Investment Strategies'!$C:$P,14,FALSE),
IF(AND(Investment_Strategy="Lifecycle",Investment_Strategy_Sub1="Standard"),VLOOKUP(Investment_Strategy&amp;"_"&amp;Investment_Strategy_Sub2&amp;"_"&amp;$A466,'Investment Strategies'!$AJ:$AV,13,FALSE),
IF(AND(Investment_Strategy="Autopilot",Investment_Strategy_Sub1="Non-Standard"),VLOOKUP(Investment_Strategy&amp;"_"&amp;Investment_Strategy_Sub2&amp;"_"&amp;$A466,'Investment Strategies'!$T:$AF,13,FALSE),
IF(Investment_Strategy="DIY",DIY_ExtManChrge_CurrentFunds,
"Error"))))))</f>
        <v>0</v>
      </c>
      <c r="H466" s="16">
        <f t="shared" si="255"/>
        <v>0</v>
      </c>
      <c r="I466" s="16">
        <f t="shared" si="240"/>
        <v>0</v>
      </c>
      <c r="J466" s="16">
        <f t="shared" si="241"/>
        <v>0</v>
      </c>
      <c r="K466" s="16">
        <f>(Opening_Fund_Value+SUM(K$91:K465))*E466*IF(D466=$A$91,SRP_finalmonthfactor,1)</f>
        <v>0</v>
      </c>
      <c r="L466" s="74">
        <f>MIN(IF($AV466=0,0,
IF(Investment_Strategy="DIS",VLOOKUP(Investment_Strategy&amp;"_"&amp;Investment_Strategy_Sub1&amp;"_"&amp;$A466,'Investment Strategies'!$AZ:$BP,12,FALSE),
IF(AND(Investment_Strategy="Lifecycle",Investment_Strategy_Sub1="Non-Standard"),VLOOKUP(Investment_Strategy&amp;"_"&amp;Investment_Strategy_Sub2&amp;"_"&amp;$A466,'Investment Strategies'!$C:$P,9,FALSE),
IF(AND(Investment_Strategy="Lifecycle",Investment_Strategy_Sub1="Standard"),VLOOKUP(Investment_Strategy&amp;"_"&amp;Investment_Strategy_Sub2&amp;"_"&amp;$A466,'Investment Strategies'!$AJ:$AV,8,FALSE),
IF(AND(Investment_Strategy="Autopilot",Investment_Strategy_Sub1="Non-Standard"),VLOOKUP(Investment_Strategy&amp;"_"&amp;Investment_Strategy_Sub2&amp;"_"&amp;$A466,'Investment Strategies'!$T:$AF,8,FALSE),
IF(Investment_Strategy ="DIY",DIY_RateofReturn_SP,
"Error")))))),Max_InvReturn)</f>
        <v>0</v>
      </c>
      <c r="M466" s="62">
        <f>IF($AV466=0,0,
IF(Investment_Strategy="DIS",VLOOKUP(Investment_Strategy&amp;"_"&amp;Investment_Strategy_Sub1&amp;"_"&amp;$A466,'Investment Strategies'!$AZ:$BP,15,FALSE),
IF(AND(Investment_Strategy="Lifecycle",Investment_Strategy_Sub1="Non-Standard"),VLOOKUP(Investment_Strategy&amp;"_"&amp;Investment_Strategy_Sub2&amp;"_"&amp;$A466,'Investment Strategies'!$C:$P,12,FALSE),
IF(AND(Investment_Strategy="Lifecycle",Investment_Strategy_Sub1="Standard"),VLOOKUP(Investment_Strategy&amp;"_"&amp;Investment_Strategy_Sub2&amp;"_"&amp;$A466,'Investment Strategies'!$AJ:$AV,11,FALSE),
IF(AND(Investment_Strategy="Autopilot",Investment_Strategy_Sub1="Non-Standard"),VLOOKUP(Investment_Strategy&amp;"_"&amp;Investment_Strategy_Sub2&amp;"_"&amp;$A466,'Investment Strategies'!$T:$AF,11,FALSE),
IF(Investment_Strategy="DIY",DIY_GteeChrge_SP,
"Error"))))))</f>
        <v>0</v>
      </c>
      <c r="N466" s="33">
        <f>IF($AV466=0,0,
IF(Investment_Strategy="DIS",VLOOKUP(Investment_Strategy&amp;"_"&amp;Investment_Strategy_Sub1&amp;"_"&amp;$A466,'Investment Strategies'!$AZ:$BP,17,FALSE),
IF(AND(Investment_Strategy="Lifecycle",Investment_Strategy_Sub1="Non-Standard"),VLOOKUP(Investment_Strategy&amp;"_"&amp;Investment_Strategy_Sub2&amp;"_"&amp;$A466,'Investment Strategies'!$C:$P,14,FALSE),
IF(AND(Investment_Strategy="Lifecycle",Investment_Strategy_Sub1="Standard"),VLOOKUP(Investment_Strategy&amp;"_"&amp;Investment_Strategy_Sub2&amp;"_"&amp;$A466,'Investment Strategies'!$AJ:$AV,13,FALSE),
IF(AND(Investment_Strategy="Autopilot",Investment_Strategy_Sub1="Non-Standard"),VLOOKUP(Investment_Strategy&amp;"_"&amp;Investment_Strategy_Sub2&amp;"_"&amp;$A466,'Investment Strategies'!$T:$AF,13,FALSE),
IF(Investment_Strategy="DIY",DIY_ExtManChrge_SP,
"Error"))))))</f>
        <v>0</v>
      </c>
      <c r="O466" s="16">
        <f t="shared" si="266"/>
        <v>0</v>
      </c>
      <c r="Q466" s="16">
        <f t="shared" si="242"/>
        <v>0</v>
      </c>
      <c r="R466" s="16">
        <f t="shared" si="239"/>
        <v>0</v>
      </c>
      <c r="S466" s="16">
        <f>(SRP_SP+SUM(S$91:S465))*L466*IF(D466=$A$91,SRP_finalmonthfactor,1)</f>
        <v>0</v>
      </c>
      <c r="T466" s="74">
        <f>MIN(IF($AV466=0,0,
IF(Investment_Strategy="DIS",VLOOKUP(Investment_Strategy&amp;"_"&amp;Investment_Strategy_Sub1&amp;"_"&amp;$A466,'Investment Strategies'!$AZ:$BP,12,FALSE),
IF(AND(Investment_Strategy="Lifecycle",Investment_Strategy_Sub1="Non-Standard"),VLOOKUP(Investment_Strategy&amp;"_"&amp;Investment_Strategy_Sub2&amp;"_"&amp;$A466,'Investment Strategies'!$C:$P,9,FALSE),
IF(AND(Investment_Strategy="Lifecycle",Investment_Strategy_Sub1="Standard"),VLOOKUP(Investment_Strategy&amp;"_"&amp;Investment_Strategy_Sub2&amp;"_"&amp;$A466,'Investment Strategies'!$AJ:$AV,8,FALSE),
IF(AND(Investment_Strategy="Autopilot",Investment_Strategy_Sub1="Non-Standard"),VLOOKUP(Investment_Strategy&amp;"_"&amp;Investment_Strategy_Sub2&amp;"_"&amp;$A466,'Investment Strategies'!$T:$AF,8,FALSE),
IF(Investment_Strategy ="DIY",DIY_RateOfReturn_FuturePremiums,
"Error")))))),Max_InvReturn)</f>
        <v>0</v>
      </c>
      <c r="U466" s="62">
        <f>IF($AV466=0,0,
IF(Investment_Strategy="DIS",VLOOKUP(Investment_Strategy&amp;"_"&amp;Investment_Strategy_Sub1&amp;"_"&amp;$A466,'Investment Strategies'!$AZ:$BP,15,FALSE),
IF(AND(Investment_Strategy="Lifecycle",Investment_Strategy_Sub1="Non-Standard"),VLOOKUP(Investment_Strategy&amp;"_"&amp;Investment_Strategy_Sub2&amp;"_"&amp;$A466,'Investment Strategies'!$C:$P,12,FALSE),
IF(AND(Investment_Strategy="Lifecycle",Investment_Strategy_Sub1="Standard"),VLOOKUP(Investment_Strategy&amp;"_"&amp;Investment_Strategy_Sub2&amp;"_"&amp;$A466,'Investment Strategies'!$AJ:$AV,11,FALSE),
IF(AND(Investment_Strategy="Autopilot",Investment_Strategy_Sub1="Non-Standard"),VLOOKUP(Investment_Strategy&amp;"_"&amp;Investment_Strategy_Sub2&amp;"_"&amp;$A466,'Investment Strategies'!$T:$AF,11,FALSE),
IF(Investment_Strategy="DIY",DIY_GteeChrge_FuturePremiums,
"Error"))))))</f>
        <v>0</v>
      </c>
      <c r="V466" s="33">
        <f>IF(AV466=0,0,
IF(Investment_Strategy="DIS",VLOOKUP(Investment_Strategy&amp;"_"&amp;Investment_Strategy_Sub1&amp;"_"&amp;$A466,'Investment Strategies'!$AZ:$BP,17,FALSE),
IF(AND(Investment_Strategy="Lifecycle",Investment_Strategy_Sub1="Non-Standard"),VLOOKUP(Investment_Strategy&amp;"_"&amp;Investment_Strategy_Sub2&amp;"_"&amp;$A466,'Investment Strategies'!$C:$P,14,FALSE),
IF(AND(Investment_Strategy="Lifecycle",Investment_Strategy_Sub1="Standard"),VLOOKUP(Investment_Strategy&amp;"_"&amp;Investment_Strategy_Sub2&amp;"_"&amp;$A466,'Investment Strategies'!$AJ:$AV,13,FALSE),
IF(AND(Investment_Strategy="Autopilot",Investment_Strategy_Sub1="Non-Standard"),VLOOKUP(Investment_Strategy&amp;"_"&amp;Investment_Strategy_Sub2&amp;"_"&amp;$A466,'Investment Strategies'!$T:$AF,13,FALSE),
IF(Investment_Strategy="DIY",DIY_ExtManChrge_FuturePremiums,
"Error"))))))</f>
        <v>0</v>
      </c>
      <c r="W466" s="16">
        <f t="shared" si="267"/>
        <v>0</v>
      </c>
      <c r="X466" s="16">
        <f t="shared" si="243"/>
        <v>0</v>
      </c>
      <c r="Y466" s="16">
        <f t="shared" si="244"/>
        <v>0</v>
      </c>
      <c r="Z466" s="31">
        <f t="shared" si="245"/>
        <v>0.02</v>
      </c>
      <c r="AA466" s="16">
        <f t="shared" si="246"/>
        <v>0</v>
      </c>
      <c r="AB466" s="28">
        <f t="shared" si="268"/>
        <v>0</v>
      </c>
      <c r="AC466" s="28">
        <f>(SUM($AC$91:AC465)+SUM($X$91:X465)+X466)*T466*IF(D466=$A$91,SRP_finalmonthfactor,1)</f>
        <v>0</v>
      </c>
      <c r="AD466" s="16">
        <f t="shared" si="247"/>
        <v>0</v>
      </c>
      <c r="AE466" s="106"/>
      <c r="AF466" s="16">
        <f t="shared" si="256"/>
        <v>0</v>
      </c>
      <c r="AG466" s="16">
        <f t="shared" si="257"/>
        <v>0</v>
      </c>
      <c r="AH466" s="16">
        <f t="shared" si="258"/>
        <v>0</v>
      </c>
      <c r="AJ466" s="13">
        <f t="shared" si="273"/>
        <v>0</v>
      </c>
      <c r="AK466" s="13">
        <f t="shared" si="273"/>
        <v>0</v>
      </c>
      <c r="AL466" s="13">
        <f t="shared" si="273"/>
        <v>0</v>
      </c>
      <c r="AM466" s="13">
        <f t="shared" si="273"/>
        <v>0</v>
      </c>
      <c r="AN466" s="13">
        <f t="shared" si="273"/>
        <v>0</v>
      </c>
      <c r="AO466" s="13">
        <f t="shared" si="273"/>
        <v>1</v>
      </c>
      <c r="AP466" s="13">
        <f t="shared" si="273"/>
        <v>1</v>
      </c>
      <c r="AQ466" s="13">
        <f t="shared" si="273"/>
        <v>1</v>
      </c>
      <c r="AR466" s="13">
        <f t="shared" si="273"/>
        <v>0</v>
      </c>
      <c r="AS466" s="13">
        <f t="shared" si="273"/>
        <v>0</v>
      </c>
      <c r="AT466" s="13">
        <f t="shared" si="273"/>
        <v>1</v>
      </c>
      <c r="AU466" s="13">
        <f t="shared" si="273"/>
        <v>1</v>
      </c>
      <c r="AV466" s="13">
        <f t="shared" si="249"/>
        <v>0</v>
      </c>
      <c r="AW466" s="13">
        <f t="shared" si="250"/>
        <v>1</v>
      </c>
      <c r="AY466" s="17">
        <f t="shared" si="251"/>
        <v>376</v>
      </c>
      <c r="AZ466" s="28">
        <f t="shared" si="259"/>
        <v>0</v>
      </c>
      <c r="BA466" s="13">
        <f t="shared" si="252"/>
        <v>0</v>
      </c>
      <c r="BB466" s="13">
        <f t="shared" si="253"/>
        <v>0</v>
      </c>
      <c r="BC466" s="28">
        <f t="shared" si="260"/>
        <v>0</v>
      </c>
      <c r="BD466" s="28">
        <f t="shared" si="261"/>
        <v>0</v>
      </c>
      <c r="BF466" s="248">
        <f t="shared" si="262"/>
        <v>993869.29442638322</v>
      </c>
    </row>
    <row r="467" spans="1:58">
      <c r="A467" s="32">
        <f t="shared" si="263"/>
        <v>-292</v>
      </c>
      <c r="B467" s="32">
        <f t="shared" si="254"/>
        <v>84</v>
      </c>
      <c r="C467" s="32">
        <f t="shared" si="264"/>
        <v>32</v>
      </c>
      <c r="D467" s="32">
        <f t="shared" si="265"/>
        <v>377</v>
      </c>
      <c r="E467" s="74">
        <f>MIN(IF(AV467=0,0,
IF(Investment_Strategy="DIS",VLOOKUP(Investment_Strategy&amp;"_"&amp;Investment_Strategy_Sub1&amp;"_"&amp;$A467,'Investment Strategies'!$AZ:$BP,12,FALSE),
IF(AND(Investment_Strategy="Lifecycle",Investment_Strategy_Sub1="Non-Standard"),VLOOKUP(Investment_Strategy&amp;"_"&amp;Investment_Strategy_Sub2&amp;"_"&amp;$A467,'Investment Strategies'!$C:$P,9,FALSE),
IF(AND(Investment_Strategy="Lifecycle",Investment_Strategy_Sub1="Standard"),VLOOKUP(Investment_Strategy&amp;"_"&amp;Investment_Strategy_Sub2&amp;"_"&amp;$A467,'Investment Strategies'!$AJ:$AV,8,FALSE),
IF(AND(Investment_Strategy="Autopilot",Investment_Strategy_Sub1="Non-Standard"),VLOOKUP(Investment_Strategy&amp;"_"&amp;Investment_Strategy_Sub2&amp;"_"&amp;$A467,'Investment Strategies'!$T:$AF,8,FALSE),
IF(Investment_Strategy ="DIY",DIY_RateOfReturn_CurrentFunds,
"Error")))))),Max_InvReturn)</f>
        <v>0</v>
      </c>
      <c r="F467" s="62">
        <f>IF(AV467=0,0,
IF(Investment_Strategy="DIS",VLOOKUP(Investment_Strategy&amp;"_"&amp;Investment_Strategy_Sub1&amp;"_"&amp;$A467,'Investment Strategies'!$AZ:$BP,15,FALSE),
IF(AND(Investment_Strategy="Lifecycle",Investment_Strategy_Sub1="Non-Standard"),VLOOKUP(Investment_Strategy&amp;"_"&amp;Investment_Strategy_Sub2&amp;"_"&amp;$A467,'Investment Strategies'!$C:$P,12,FALSE),
IF(AND(Investment_Strategy="Lifecycle",Investment_Strategy_Sub1="Standard"),VLOOKUP(Investment_Strategy&amp;"_"&amp;Investment_Strategy_Sub2&amp;"_"&amp;$A467,'Investment Strategies'!$AJ:$AV,11,FALSE),
IF(AND(Investment_Strategy="Autopilot",Investment_Strategy_Sub1="Non-Standard"),VLOOKUP(Investment_Strategy&amp;"_"&amp;Investment_Strategy_Sub2&amp;"_"&amp;$A467,'Investment Strategies'!$T:$AF,11,FALSE),
IF(Investment_Strategy="DIY",DIY_GteeChrge_CurrentFunds,
"Error"))))))</f>
        <v>0</v>
      </c>
      <c r="G467" s="33">
        <f>IF(AV467=0,0,
IF(Investment_Strategy="DIS",VLOOKUP(Investment_Strategy&amp;"_"&amp;Investment_Strategy_Sub1&amp;"_"&amp;$A467,'Investment Strategies'!$AZ:$BP,17,FALSE),
IF(AND(Investment_Strategy="Lifecycle",Investment_Strategy_Sub1="Non-Standard"),VLOOKUP(Investment_Strategy&amp;"_"&amp;Investment_Strategy_Sub2&amp;"_"&amp;$A467,'Investment Strategies'!$C:$P,14,FALSE),
IF(AND(Investment_Strategy="Lifecycle",Investment_Strategy_Sub1="Standard"),VLOOKUP(Investment_Strategy&amp;"_"&amp;Investment_Strategy_Sub2&amp;"_"&amp;$A467,'Investment Strategies'!$AJ:$AV,13,FALSE),
IF(AND(Investment_Strategy="Autopilot",Investment_Strategy_Sub1="Non-Standard"),VLOOKUP(Investment_Strategy&amp;"_"&amp;Investment_Strategy_Sub2&amp;"_"&amp;$A467,'Investment Strategies'!$T:$AF,13,FALSE),
IF(Investment_Strategy="DIY",DIY_ExtManChrge_CurrentFunds,
"Error"))))))</f>
        <v>0</v>
      </c>
      <c r="H467" s="16">
        <f t="shared" si="255"/>
        <v>0</v>
      </c>
      <c r="I467" s="16">
        <f t="shared" si="240"/>
        <v>0</v>
      </c>
      <c r="J467" s="16">
        <f t="shared" si="241"/>
        <v>0</v>
      </c>
      <c r="K467" s="16">
        <f>(Opening_Fund_Value+SUM(K$91:K466))*E467*IF(D467=$A$91,SRP_finalmonthfactor,1)</f>
        <v>0</v>
      </c>
      <c r="L467" s="74">
        <f>MIN(IF($AV467=0,0,
IF(Investment_Strategy="DIS",VLOOKUP(Investment_Strategy&amp;"_"&amp;Investment_Strategy_Sub1&amp;"_"&amp;$A467,'Investment Strategies'!$AZ:$BP,12,FALSE),
IF(AND(Investment_Strategy="Lifecycle",Investment_Strategy_Sub1="Non-Standard"),VLOOKUP(Investment_Strategy&amp;"_"&amp;Investment_Strategy_Sub2&amp;"_"&amp;$A467,'Investment Strategies'!$C:$P,9,FALSE),
IF(AND(Investment_Strategy="Lifecycle",Investment_Strategy_Sub1="Standard"),VLOOKUP(Investment_Strategy&amp;"_"&amp;Investment_Strategy_Sub2&amp;"_"&amp;$A467,'Investment Strategies'!$AJ:$AV,8,FALSE),
IF(AND(Investment_Strategy="Autopilot",Investment_Strategy_Sub1="Non-Standard"),VLOOKUP(Investment_Strategy&amp;"_"&amp;Investment_Strategy_Sub2&amp;"_"&amp;$A467,'Investment Strategies'!$T:$AF,8,FALSE),
IF(Investment_Strategy ="DIY",DIY_RateofReturn_SP,
"Error")))))),Max_InvReturn)</f>
        <v>0</v>
      </c>
      <c r="M467" s="62">
        <f>IF($AV467=0,0,
IF(Investment_Strategy="DIS",VLOOKUP(Investment_Strategy&amp;"_"&amp;Investment_Strategy_Sub1&amp;"_"&amp;$A467,'Investment Strategies'!$AZ:$BP,15,FALSE),
IF(AND(Investment_Strategy="Lifecycle",Investment_Strategy_Sub1="Non-Standard"),VLOOKUP(Investment_Strategy&amp;"_"&amp;Investment_Strategy_Sub2&amp;"_"&amp;$A467,'Investment Strategies'!$C:$P,12,FALSE),
IF(AND(Investment_Strategy="Lifecycle",Investment_Strategy_Sub1="Standard"),VLOOKUP(Investment_Strategy&amp;"_"&amp;Investment_Strategy_Sub2&amp;"_"&amp;$A467,'Investment Strategies'!$AJ:$AV,11,FALSE),
IF(AND(Investment_Strategy="Autopilot",Investment_Strategy_Sub1="Non-Standard"),VLOOKUP(Investment_Strategy&amp;"_"&amp;Investment_Strategy_Sub2&amp;"_"&amp;$A467,'Investment Strategies'!$T:$AF,11,FALSE),
IF(Investment_Strategy="DIY",DIY_GteeChrge_SP,
"Error"))))))</f>
        <v>0</v>
      </c>
      <c r="N467" s="33">
        <f>IF($AV467=0,0,
IF(Investment_Strategy="DIS",VLOOKUP(Investment_Strategy&amp;"_"&amp;Investment_Strategy_Sub1&amp;"_"&amp;$A467,'Investment Strategies'!$AZ:$BP,17,FALSE),
IF(AND(Investment_Strategy="Lifecycle",Investment_Strategy_Sub1="Non-Standard"),VLOOKUP(Investment_Strategy&amp;"_"&amp;Investment_Strategy_Sub2&amp;"_"&amp;$A467,'Investment Strategies'!$C:$P,14,FALSE),
IF(AND(Investment_Strategy="Lifecycle",Investment_Strategy_Sub1="Standard"),VLOOKUP(Investment_Strategy&amp;"_"&amp;Investment_Strategy_Sub2&amp;"_"&amp;$A467,'Investment Strategies'!$AJ:$AV,13,FALSE),
IF(AND(Investment_Strategy="Autopilot",Investment_Strategy_Sub1="Non-Standard"),VLOOKUP(Investment_Strategy&amp;"_"&amp;Investment_Strategy_Sub2&amp;"_"&amp;$A467,'Investment Strategies'!$T:$AF,13,FALSE),
IF(Investment_Strategy="DIY",DIY_ExtManChrge_SP,
"Error"))))))</f>
        <v>0</v>
      </c>
      <c r="O467" s="16">
        <f t="shared" si="266"/>
        <v>0</v>
      </c>
      <c r="Q467" s="16">
        <f t="shared" si="242"/>
        <v>0</v>
      </c>
      <c r="R467" s="16">
        <f t="shared" si="239"/>
        <v>0</v>
      </c>
      <c r="S467" s="16">
        <f>(SRP_SP+SUM(S$91:S466))*L467*IF(D467=$A$91,SRP_finalmonthfactor,1)</f>
        <v>0</v>
      </c>
      <c r="T467" s="74">
        <f>MIN(IF($AV467=0,0,
IF(Investment_Strategy="DIS",VLOOKUP(Investment_Strategy&amp;"_"&amp;Investment_Strategy_Sub1&amp;"_"&amp;$A467,'Investment Strategies'!$AZ:$BP,12,FALSE),
IF(AND(Investment_Strategy="Lifecycle",Investment_Strategy_Sub1="Non-Standard"),VLOOKUP(Investment_Strategy&amp;"_"&amp;Investment_Strategy_Sub2&amp;"_"&amp;$A467,'Investment Strategies'!$C:$P,9,FALSE),
IF(AND(Investment_Strategy="Lifecycle",Investment_Strategy_Sub1="Standard"),VLOOKUP(Investment_Strategy&amp;"_"&amp;Investment_Strategy_Sub2&amp;"_"&amp;$A467,'Investment Strategies'!$AJ:$AV,8,FALSE),
IF(AND(Investment_Strategy="Autopilot",Investment_Strategy_Sub1="Non-Standard"),VLOOKUP(Investment_Strategy&amp;"_"&amp;Investment_Strategy_Sub2&amp;"_"&amp;$A467,'Investment Strategies'!$T:$AF,8,FALSE),
IF(Investment_Strategy ="DIY",DIY_RateOfReturn_FuturePremiums,
"Error")))))),Max_InvReturn)</f>
        <v>0</v>
      </c>
      <c r="U467" s="62">
        <f>IF($AV467=0,0,
IF(Investment_Strategy="DIS",VLOOKUP(Investment_Strategy&amp;"_"&amp;Investment_Strategy_Sub1&amp;"_"&amp;$A467,'Investment Strategies'!$AZ:$BP,15,FALSE),
IF(AND(Investment_Strategy="Lifecycle",Investment_Strategy_Sub1="Non-Standard"),VLOOKUP(Investment_Strategy&amp;"_"&amp;Investment_Strategy_Sub2&amp;"_"&amp;$A467,'Investment Strategies'!$C:$P,12,FALSE),
IF(AND(Investment_Strategy="Lifecycle",Investment_Strategy_Sub1="Standard"),VLOOKUP(Investment_Strategy&amp;"_"&amp;Investment_Strategy_Sub2&amp;"_"&amp;$A467,'Investment Strategies'!$AJ:$AV,11,FALSE),
IF(AND(Investment_Strategy="Autopilot",Investment_Strategy_Sub1="Non-Standard"),VLOOKUP(Investment_Strategy&amp;"_"&amp;Investment_Strategy_Sub2&amp;"_"&amp;$A467,'Investment Strategies'!$T:$AF,11,FALSE),
IF(Investment_Strategy="DIY",DIY_GteeChrge_FuturePremiums,
"Error"))))))</f>
        <v>0</v>
      </c>
      <c r="V467" s="33">
        <f>IF(AV467=0,0,
IF(Investment_Strategy="DIS",VLOOKUP(Investment_Strategy&amp;"_"&amp;Investment_Strategy_Sub1&amp;"_"&amp;$A467,'Investment Strategies'!$AZ:$BP,17,FALSE),
IF(AND(Investment_Strategy="Lifecycle",Investment_Strategy_Sub1="Non-Standard"),VLOOKUP(Investment_Strategy&amp;"_"&amp;Investment_Strategy_Sub2&amp;"_"&amp;$A467,'Investment Strategies'!$C:$P,14,FALSE),
IF(AND(Investment_Strategy="Lifecycle",Investment_Strategy_Sub1="Standard"),VLOOKUP(Investment_Strategy&amp;"_"&amp;Investment_Strategy_Sub2&amp;"_"&amp;$A467,'Investment Strategies'!$AJ:$AV,13,FALSE),
IF(AND(Investment_Strategy="Autopilot",Investment_Strategy_Sub1="Non-Standard"),VLOOKUP(Investment_Strategy&amp;"_"&amp;Investment_Strategy_Sub2&amp;"_"&amp;$A467,'Investment Strategies'!$T:$AF,13,FALSE),
IF(Investment_Strategy="DIY",DIY_ExtManChrge_FuturePremiums,
"Error"))))))</f>
        <v>0</v>
      </c>
      <c r="W467" s="16">
        <f t="shared" si="267"/>
        <v>0</v>
      </c>
      <c r="X467" s="16">
        <f t="shared" si="243"/>
        <v>0</v>
      </c>
      <c r="Y467" s="16">
        <f t="shared" si="244"/>
        <v>0</v>
      </c>
      <c r="Z467" s="31">
        <f t="shared" si="245"/>
        <v>0.02</v>
      </c>
      <c r="AA467" s="16">
        <f t="shared" si="246"/>
        <v>0</v>
      </c>
      <c r="AB467" s="28">
        <f t="shared" si="268"/>
        <v>0</v>
      </c>
      <c r="AC467" s="28">
        <f>(SUM($AC$91:AC466)+SUM($X$91:X466)+X467)*T467*IF(D467=$A$91,SRP_finalmonthfactor,1)</f>
        <v>0</v>
      </c>
      <c r="AD467" s="16">
        <f t="shared" si="247"/>
        <v>0</v>
      </c>
      <c r="AE467" s="106"/>
      <c r="AF467" s="16">
        <f t="shared" si="256"/>
        <v>0</v>
      </c>
      <c r="AG467" s="16">
        <f t="shared" si="257"/>
        <v>0</v>
      </c>
      <c r="AH467" s="16">
        <f t="shared" si="258"/>
        <v>0</v>
      </c>
      <c r="AJ467" s="13">
        <f t="shared" si="273"/>
        <v>0</v>
      </c>
      <c r="AK467" s="13">
        <f t="shared" si="273"/>
        <v>0</v>
      </c>
      <c r="AL467" s="13">
        <f t="shared" si="273"/>
        <v>0</v>
      </c>
      <c r="AM467" s="13">
        <f t="shared" si="273"/>
        <v>0</v>
      </c>
      <c r="AN467" s="13">
        <f t="shared" si="273"/>
        <v>0</v>
      </c>
      <c r="AO467" s="13">
        <f t="shared" si="273"/>
        <v>1</v>
      </c>
      <c r="AP467" s="13">
        <f t="shared" si="273"/>
        <v>1</v>
      </c>
      <c r="AQ467" s="13">
        <f t="shared" si="273"/>
        <v>1</v>
      </c>
      <c r="AR467" s="13">
        <f t="shared" si="273"/>
        <v>0</v>
      </c>
      <c r="AS467" s="13">
        <f t="shared" si="273"/>
        <v>0</v>
      </c>
      <c r="AT467" s="13">
        <f t="shared" si="273"/>
        <v>1</v>
      </c>
      <c r="AU467" s="13">
        <f t="shared" si="273"/>
        <v>1</v>
      </c>
      <c r="AV467" s="13">
        <f t="shared" si="249"/>
        <v>0</v>
      </c>
      <c r="AW467" s="13">
        <f t="shared" si="250"/>
        <v>1</v>
      </c>
      <c r="AY467" s="17">
        <f t="shared" si="251"/>
        <v>377</v>
      </c>
      <c r="AZ467" s="28">
        <f t="shared" si="259"/>
        <v>0</v>
      </c>
      <c r="BA467" s="13">
        <f t="shared" si="252"/>
        <v>0</v>
      </c>
      <c r="BB467" s="13">
        <f t="shared" si="253"/>
        <v>0</v>
      </c>
      <c r="BC467" s="28">
        <f t="shared" si="260"/>
        <v>0</v>
      </c>
      <c r="BD467" s="28">
        <f t="shared" si="261"/>
        <v>0</v>
      </c>
      <c r="BF467" s="248">
        <f t="shared" si="262"/>
        <v>993869.29442638322</v>
      </c>
    </row>
    <row r="468" spans="1:58">
      <c r="A468" s="32">
        <f t="shared" si="263"/>
        <v>-293</v>
      </c>
      <c r="B468" s="32">
        <f t="shared" si="254"/>
        <v>84</v>
      </c>
      <c r="C468" s="32">
        <f t="shared" si="264"/>
        <v>32</v>
      </c>
      <c r="D468" s="32">
        <f t="shared" si="265"/>
        <v>378</v>
      </c>
      <c r="E468" s="74">
        <f>MIN(IF(AV468=0,0,
IF(Investment_Strategy="DIS",VLOOKUP(Investment_Strategy&amp;"_"&amp;Investment_Strategy_Sub1&amp;"_"&amp;$A468,'Investment Strategies'!$AZ:$BP,12,FALSE),
IF(AND(Investment_Strategy="Lifecycle",Investment_Strategy_Sub1="Non-Standard"),VLOOKUP(Investment_Strategy&amp;"_"&amp;Investment_Strategy_Sub2&amp;"_"&amp;$A468,'Investment Strategies'!$C:$P,9,FALSE),
IF(AND(Investment_Strategy="Lifecycle",Investment_Strategy_Sub1="Standard"),VLOOKUP(Investment_Strategy&amp;"_"&amp;Investment_Strategy_Sub2&amp;"_"&amp;$A468,'Investment Strategies'!$AJ:$AV,8,FALSE),
IF(AND(Investment_Strategy="Autopilot",Investment_Strategy_Sub1="Non-Standard"),VLOOKUP(Investment_Strategy&amp;"_"&amp;Investment_Strategy_Sub2&amp;"_"&amp;$A468,'Investment Strategies'!$T:$AF,8,FALSE),
IF(Investment_Strategy ="DIY",DIY_RateOfReturn_CurrentFunds,
"Error")))))),Max_InvReturn)</f>
        <v>0</v>
      </c>
      <c r="F468" s="62">
        <f>IF(AV468=0,0,
IF(Investment_Strategy="DIS",VLOOKUP(Investment_Strategy&amp;"_"&amp;Investment_Strategy_Sub1&amp;"_"&amp;$A468,'Investment Strategies'!$AZ:$BP,15,FALSE),
IF(AND(Investment_Strategy="Lifecycle",Investment_Strategy_Sub1="Non-Standard"),VLOOKUP(Investment_Strategy&amp;"_"&amp;Investment_Strategy_Sub2&amp;"_"&amp;$A468,'Investment Strategies'!$C:$P,12,FALSE),
IF(AND(Investment_Strategy="Lifecycle",Investment_Strategy_Sub1="Standard"),VLOOKUP(Investment_Strategy&amp;"_"&amp;Investment_Strategy_Sub2&amp;"_"&amp;$A468,'Investment Strategies'!$AJ:$AV,11,FALSE),
IF(AND(Investment_Strategy="Autopilot",Investment_Strategy_Sub1="Non-Standard"),VLOOKUP(Investment_Strategy&amp;"_"&amp;Investment_Strategy_Sub2&amp;"_"&amp;$A468,'Investment Strategies'!$T:$AF,11,FALSE),
IF(Investment_Strategy="DIY",DIY_GteeChrge_CurrentFunds,
"Error"))))))</f>
        <v>0</v>
      </c>
      <c r="G468" s="33">
        <f>IF(AV468=0,0,
IF(Investment_Strategy="DIS",VLOOKUP(Investment_Strategy&amp;"_"&amp;Investment_Strategy_Sub1&amp;"_"&amp;$A468,'Investment Strategies'!$AZ:$BP,17,FALSE),
IF(AND(Investment_Strategy="Lifecycle",Investment_Strategy_Sub1="Non-Standard"),VLOOKUP(Investment_Strategy&amp;"_"&amp;Investment_Strategy_Sub2&amp;"_"&amp;$A468,'Investment Strategies'!$C:$P,14,FALSE),
IF(AND(Investment_Strategy="Lifecycle",Investment_Strategy_Sub1="Standard"),VLOOKUP(Investment_Strategy&amp;"_"&amp;Investment_Strategy_Sub2&amp;"_"&amp;$A468,'Investment Strategies'!$AJ:$AV,13,FALSE),
IF(AND(Investment_Strategy="Autopilot",Investment_Strategy_Sub1="Non-Standard"),VLOOKUP(Investment_Strategy&amp;"_"&amp;Investment_Strategy_Sub2&amp;"_"&amp;$A468,'Investment Strategies'!$T:$AF,13,FALSE),
IF(Investment_Strategy="DIY",DIY_ExtManChrge_CurrentFunds,
"Error"))))))</f>
        <v>0</v>
      </c>
      <c r="H468" s="16">
        <f t="shared" si="255"/>
        <v>0</v>
      </c>
      <c r="I468" s="16">
        <f t="shared" si="240"/>
        <v>0</v>
      </c>
      <c r="J468" s="16">
        <f t="shared" si="241"/>
        <v>0</v>
      </c>
      <c r="K468" s="16">
        <f>(Opening_Fund_Value+SUM(K$91:K467))*E468*IF(D468=$A$91,SRP_finalmonthfactor,1)</f>
        <v>0</v>
      </c>
      <c r="L468" s="74">
        <f>MIN(IF($AV468=0,0,
IF(Investment_Strategy="DIS",VLOOKUP(Investment_Strategy&amp;"_"&amp;Investment_Strategy_Sub1&amp;"_"&amp;$A468,'Investment Strategies'!$AZ:$BP,12,FALSE),
IF(AND(Investment_Strategy="Lifecycle",Investment_Strategy_Sub1="Non-Standard"),VLOOKUP(Investment_Strategy&amp;"_"&amp;Investment_Strategy_Sub2&amp;"_"&amp;$A468,'Investment Strategies'!$C:$P,9,FALSE),
IF(AND(Investment_Strategy="Lifecycle",Investment_Strategy_Sub1="Standard"),VLOOKUP(Investment_Strategy&amp;"_"&amp;Investment_Strategy_Sub2&amp;"_"&amp;$A468,'Investment Strategies'!$AJ:$AV,8,FALSE),
IF(AND(Investment_Strategy="Autopilot",Investment_Strategy_Sub1="Non-Standard"),VLOOKUP(Investment_Strategy&amp;"_"&amp;Investment_Strategy_Sub2&amp;"_"&amp;$A468,'Investment Strategies'!$T:$AF,8,FALSE),
IF(Investment_Strategy ="DIY",DIY_RateofReturn_SP,
"Error")))))),Max_InvReturn)</f>
        <v>0</v>
      </c>
      <c r="M468" s="62">
        <f>IF($AV468=0,0,
IF(Investment_Strategy="DIS",VLOOKUP(Investment_Strategy&amp;"_"&amp;Investment_Strategy_Sub1&amp;"_"&amp;$A468,'Investment Strategies'!$AZ:$BP,15,FALSE),
IF(AND(Investment_Strategy="Lifecycle",Investment_Strategy_Sub1="Non-Standard"),VLOOKUP(Investment_Strategy&amp;"_"&amp;Investment_Strategy_Sub2&amp;"_"&amp;$A468,'Investment Strategies'!$C:$P,12,FALSE),
IF(AND(Investment_Strategy="Lifecycle",Investment_Strategy_Sub1="Standard"),VLOOKUP(Investment_Strategy&amp;"_"&amp;Investment_Strategy_Sub2&amp;"_"&amp;$A468,'Investment Strategies'!$AJ:$AV,11,FALSE),
IF(AND(Investment_Strategy="Autopilot",Investment_Strategy_Sub1="Non-Standard"),VLOOKUP(Investment_Strategy&amp;"_"&amp;Investment_Strategy_Sub2&amp;"_"&amp;$A468,'Investment Strategies'!$T:$AF,11,FALSE),
IF(Investment_Strategy="DIY",DIY_GteeChrge_SP,
"Error"))))))</f>
        <v>0</v>
      </c>
      <c r="N468" s="33">
        <f>IF($AV468=0,0,
IF(Investment_Strategy="DIS",VLOOKUP(Investment_Strategy&amp;"_"&amp;Investment_Strategy_Sub1&amp;"_"&amp;$A468,'Investment Strategies'!$AZ:$BP,17,FALSE),
IF(AND(Investment_Strategy="Lifecycle",Investment_Strategy_Sub1="Non-Standard"),VLOOKUP(Investment_Strategy&amp;"_"&amp;Investment_Strategy_Sub2&amp;"_"&amp;$A468,'Investment Strategies'!$C:$P,14,FALSE),
IF(AND(Investment_Strategy="Lifecycle",Investment_Strategy_Sub1="Standard"),VLOOKUP(Investment_Strategy&amp;"_"&amp;Investment_Strategy_Sub2&amp;"_"&amp;$A468,'Investment Strategies'!$AJ:$AV,13,FALSE),
IF(AND(Investment_Strategy="Autopilot",Investment_Strategy_Sub1="Non-Standard"),VLOOKUP(Investment_Strategy&amp;"_"&amp;Investment_Strategy_Sub2&amp;"_"&amp;$A468,'Investment Strategies'!$T:$AF,13,FALSE),
IF(Investment_Strategy="DIY",DIY_ExtManChrge_SP,
"Error"))))))</f>
        <v>0</v>
      </c>
      <c r="O468" s="16">
        <f t="shared" si="266"/>
        <v>0</v>
      </c>
      <c r="Q468" s="16">
        <f t="shared" si="242"/>
        <v>0</v>
      </c>
      <c r="R468" s="16">
        <f t="shared" ref="R468:R531" si="274">IF($AV468=0,0,
-(($O468+($P468)*(1-SRP_Contrib_Chge_SP)+Q468/2)*(SRP_Monthly_Admin_Chge+$M468+$N468)*IF(D468=$A$91,SRP_finalmonthfactor,1)+
($P468)*SRP_Contrib_Chge_SP)*IF(D468=$A$91,SRP_finalmonthfactor,1))</f>
        <v>0</v>
      </c>
      <c r="S468" s="16">
        <f>(SRP_SP+SUM(S$91:S467))*L468*IF(D468=$A$91,SRP_finalmonthfactor,1)</f>
        <v>0</v>
      </c>
      <c r="T468" s="74">
        <f>MIN(IF($AV468=0,0,
IF(Investment_Strategy="DIS",VLOOKUP(Investment_Strategy&amp;"_"&amp;Investment_Strategy_Sub1&amp;"_"&amp;$A468,'Investment Strategies'!$AZ:$BP,12,FALSE),
IF(AND(Investment_Strategy="Lifecycle",Investment_Strategy_Sub1="Non-Standard"),VLOOKUP(Investment_Strategy&amp;"_"&amp;Investment_Strategy_Sub2&amp;"_"&amp;$A468,'Investment Strategies'!$C:$P,9,FALSE),
IF(AND(Investment_Strategy="Lifecycle",Investment_Strategy_Sub1="Standard"),VLOOKUP(Investment_Strategy&amp;"_"&amp;Investment_Strategy_Sub2&amp;"_"&amp;$A468,'Investment Strategies'!$AJ:$AV,8,FALSE),
IF(AND(Investment_Strategy="Autopilot",Investment_Strategy_Sub1="Non-Standard"),VLOOKUP(Investment_Strategy&amp;"_"&amp;Investment_Strategy_Sub2&amp;"_"&amp;$A468,'Investment Strategies'!$T:$AF,8,FALSE),
IF(Investment_Strategy ="DIY",DIY_RateOfReturn_FuturePremiums,
"Error")))))),Max_InvReturn)</f>
        <v>0</v>
      </c>
      <c r="U468" s="62">
        <f>IF($AV468=0,0,
IF(Investment_Strategy="DIS",VLOOKUP(Investment_Strategy&amp;"_"&amp;Investment_Strategy_Sub1&amp;"_"&amp;$A468,'Investment Strategies'!$AZ:$BP,15,FALSE),
IF(AND(Investment_Strategy="Lifecycle",Investment_Strategy_Sub1="Non-Standard"),VLOOKUP(Investment_Strategy&amp;"_"&amp;Investment_Strategy_Sub2&amp;"_"&amp;$A468,'Investment Strategies'!$C:$P,12,FALSE),
IF(AND(Investment_Strategy="Lifecycle",Investment_Strategy_Sub1="Standard"),VLOOKUP(Investment_Strategy&amp;"_"&amp;Investment_Strategy_Sub2&amp;"_"&amp;$A468,'Investment Strategies'!$AJ:$AV,11,FALSE),
IF(AND(Investment_Strategy="Autopilot",Investment_Strategy_Sub1="Non-Standard"),VLOOKUP(Investment_Strategy&amp;"_"&amp;Investment_Strategy_Sub2&amp;"_"&amp;$A468,'Investment Strategies'!$T:$AF,11,FALSE),
IF(Investment_Strategy="DIY",DIY_GteeChrge_FuturePremiums,
"Error"))))))</f>
        <v>0</v>
      </c>
      <c r="V468" s="33">
        <f>IF(AV468=0,0,
IF(Investment_Strategy="DIS",VLOOKUP(Investment_Strategy&amp;"_"&amp;Investment_Strategy_Sub1&amp;"_"&amp;$A468,'Investment Strategies'!$AZ:$BP,17,FALSE),
IF(AND(Investment_Strategy="Lifecycle",Investment_Strategy_Sub1="Non-Standard"),VLOOKUP(Investment_Strategy&amp;"_"&amp;Investment_Strategy_Sub2&amp;"_"&amp;$A468,'Investment Strategies'!$C:$P,14,FALSE),
IF(AND(Investment_Strategy="Lifecycle",Investment_Strategy_Sub1="Standard"),VLOOKUP(Investment_Strategy&amp;"_"&amp;Investment_Strategy_Sub2&amp;"_"&amp;$A468,'Investment Strategies'!$AJ:$AV,13,FALSE),
IF(AND(Investment_Strategy="Autopilot",Investment_Strategy_Sub1="Non-Standard"),VLOOKUP(Investment_Strategy&amp;"_"&amp;Investment_Strategy_Sub2&amp;"_"&amp;$A468,'Investment Strategies'!$T:$AF,13,FALSE),
IF(Investment_Strategy="DIY",DIY_ExtManChrge_FuturePremiums,
"Error"))))))</f>
        <v>0</v>
      </c>
      <c r="W468" s="16">
        <f t="shared" si="267"/>
        <v>0</v>
      </c>
      <c r="X468" s="16">
        <f t="shared" si="243"/>
        <v>0</v>
      </c>
      <c r="Y468" s="16">
        <f t="shared" si="244"/>
        <v>0</v>
      </c>
      <c r="Z468" s="31">
        <f t="shared" si="245"/>
        <v>0.02</v>
      </c>
      <c r="AA468" s="16">
        <f t="shared" si="246"/>
        <v>0</v>
      </c>
      <c r="AB468" s="28">
        <f t="shared" si="268"/>
        <v>0</v>
      </c>
      <c r="AC468" s="28">
        <f>(SUM($AC$91:AC467)+SUM($X$91:X467)+X468)*T468*IF(D468=$A$91,SRP_finalmonthfactor,1)</f>
        <v>0</v>
      </c>
      <c r="AD468" s="16">
        <f t="shared" si="247"/>
        <v>0</v>
      </c>
      <c r="AE468" s="106"/>
      <c r="AF468" s="16">
        <f t="shared" si="256"/>
        <v>0</v>
      </c>
      <c r="AG468" s="16">
        <f t="shared" si="257"/>
        <v>0</v>
      </c>
      <c r="AH468" s="16">
        <f t="shared" si="258"/>
        <v>0</v>
      </c>
      <c r="AJ468" s="13">
        <f t="shared" si="273"/>
        <v>0</v>
      </c>
      <c r="AK468" s="13">
        <f t="shared" si="273"/>
        <v>0</v>
      </c>
      <c r="AL468" s="13">
        <f t="shared" si="273"/>
        <v>0</v>
      </c>
      <c r="AM468" s="13">
        <f t="shared" si="273"/>
        <v>0</v>
      </c>
      <c r="AN468" s="13">
        <f t="shared" si="273"/>
        <v>0</v>
      </c>
      <c r="AO468" s="13">
        <f t="shared" si="273"/>
        <v>1</v>
      </c>
      <c r="AP468" s="13">
        <f t="shared" si="273"/>
        <v>1</v>
      </c>
      <c r="AQ468" s="13">
        <f t="shared" si="273"/>
        <v>1</v>
      </c>
      <c r="AR468" s="13">
        <f t="shared" si="273"/>
        <v>0</v>
      </c>
      <c r="AS468" s="13">
        <f t="shared" si="273"/>
        <v>0</v>
      </c>
      <c r="AT468" s="13">
        <f t="shared" si="273"/>
        <v>1</v>
      </c>
      <c r="AU468" s="13">
        <f t="shared" si="273"/>
        <v>1</v>
      </c>
      <c r="AV468" s="13">
        <f t="shared" si="249"/>
        <v>0</v>
      </c>
      <c r="AW468" s="13">
        <f t="shared" si="250"/>
        <v>1</v>
      </c>
      <c r="AY468" s="17">
        <f t="shared" si="251"/>
        <v>378</v>
      </c>
      <c r="AZ468" s="28">
        <f t="shared" si="259"/>
        <v>0</v>
      </c>
      <c r="BA468" s="13">
        <f t="shared" si="252"/>
        <v>0</v>
      </c>
      <c r="BB468" s="13">
        <f t="shared" si="253"/>
        <v>0</v>
      </c>
      <c r="BC468" s="28">
        <f t="shared" si="260"/>
        <v>0</v>
      </c>
      <c r="BD468" s="28">
        <f t="shared" si="261"/>
        <v>0</v>
      </c>
      <c r="BF468" s="248">
        <f t="shared" si="262"/>
        <v>993869.29442638322</v>
      </c>
    </row>
    <row r="469" spans="1:58">
      <c r="A469" s="32">
        <f t="shared" si="263"/>
        <v>-294</v>
      </c>
      <c r="B469" s="32">
        <f t="shared" si="254"/>
        <v>84</v>
      </c>
      <c r="C469" s="32">
        <f t="shared" si="264"/>
        <v>32</v>
      </c>
      <c r="D469" s="32">
        <f t="shared" si="265"/>
        <v>379</v>
      </c>
      <c r="E469" s="74">
        <f>MIN(IF(AV469=0,0,
IF(Investment_Strategy="DIS",VLOOKUP(Investment_Strategy&amp;"_"&amp;Investment_Strategy_Sub1&amp;"_"&amp;$A469,'Investment Strategies'!$AZ:$BP,12,FALSE),
IF(AND(Investment_Strategy="Lifecycle",Investment_Strategy_Sub1="Non-Standard"),VLOOKUP(Investment_Strategy&amp;"_"&amp;Investment_Strategy_Sub2&amp;"_"&amp;$A469,'Investment Strategies'!$C:$P,9,FALSE),
IF(AND(Investment_Strategy="Lifecycle",Investment_Strategy_Sub1="Standard"),VLOOKUP(Investment_Strategy&amp;"_"&amp;Investment_Strategy_Sub2&amp;"_"&amp;$A469,'Investment Strategies'!$AJ:$AV,8,FALSE),
IF(AND(Investment_Strategy="Autopilot",Investment_Strategy_Sub1="Non-Standard"),VLOOKUP(Investment_Strategy&amp;"_"&amp;Investment_Strategy_Sub2&amp;"_"&amp;$A469,'Investment Strategies'!$T:$AF,8,FALSE),
IF(Investment_Strategy ="DIY",DIY_RateOfReturn_CurrentFunds,
"Error")))))),Max_InvReturn)</f>
        <v>0</v>
      </c>
      <c r="F469" s="62">
        <f>IF(AV469=0,0,
IF(Investment_Strategy="DIS",VLOOKUP(Investment_Strategy&amp;"_"&amp;Investment_Strategy_Sub1&amp;"_"&amp;$A469,'Investment Strategies'!$AZ:$BP,15,FALSE),
IF(AND(Investment_Strategy="Lifecycle",Investment_Strategy_Sub1="Non-Standard"),VLOOKUP(Investment_Strategy&amp;"_"&amp;Investment_Strategy_Sub2&amp;"_"&amp;$A469,'Investment Strategies'!$C:$P,12,FALSE),
IF(AND(Investment_Strategy="Lifecycle",Investment_Strategy_Sub1="Standard"),VLOOKUP(Investment_Strategy&amp;"_"&amp;Investment_Strategy_Sub2&amp;"_"&amp;$A469,'Investment Strategies'!$AJ:$AV,11,FALSE),
IF(AND(Investment_Strategy="Autopilot",Investment_Strategy_Sub1="Non-Standard"),VLOOKUP(Investment_Strategy&amp;"_"&amp;Investment_Strategy_Sub2&amp;"_"&amp;$A469,'Investment Strategies'!$T:$AF,11,FALSE),
IF(Investment_Strategy="DIY",DIY_GteeChrge_CurrentFunds,
"Error"))))))</f>
        <v>0</v>
      </c>
      <c r="G469" s="33">
        <f>IF(AV469=0,0,
IF(Investment_Strategy="DIS",VLOOKUP(Investment_Strategy&amp;"_"&amp;Investment_Strategy_Sub1&amp;"_"&amp;$A469,'Investment Strategies'!$AZ:$BP,17,FALSE),
IF(AND(Investment_Strategy="Lifecycle",Investment_Strategy_Sub1="Non-Standard"),VLOOKUP(Investment_Strategy&amp;"_"&amp;Investment_Strategy_Sub2&amp;"_"&amp;$A469,'Investment Strategies'!$C:$P,14,FALSE),
IF(AND(Investment_Strategy="Lifecycle",Investment_Strategy_Sub1="Standard"),VLOOKUP(Investment_Strategy&amp;"_"&amp;Investment_Strategy_Sub2&amp;"_"&amp;$A469,'Investment Strategies'!$AJ:$AV,13,FALSE),
IF(AND(Investment_Strategy="Autopilot",Investment_Strategy_Sub1="Non-Standard"),VLOOKUP(Investment_Strategy&amp;"_"&amp;Investment_Strategy_Sub2&amp;"_"&amp;$A469,'Investment Strategies'!$T:$AF,13,FALSE),
IF(Investment_Strategy="DIY",DIY_ExtManChrge_CurrentFunds,
"Error"))))))</f>
        <v>0</v>
      </c>
      <c r="H469" s="16">
        <f t="shared" si="255"/>
        <v>0</v>
      </c>
      <c r="I469" s="16">
        <f t="shared" si="240"/>
        <v>0</v>
      </c>
      <c r="J469" s="16">
        <f t="shared" si="241"/>
        <v>0</v>
      </c>
      <c r="K469" s="16">
        <f>(Opening_Fund_Value+SUM(K$91:K468))*E469*IF(D469=$A$91,SRP_finalmonthfactor,1)</f>
        <v>0</v>
      </c>
      <c r="L469" s="74">
        <f>MIN(IF($AV469=0,0,
IF(Investment_Strategy="DIS",VLOOKUP(Investment_Strategy&amp;"_"&amp;Investment_Strategy_Sub1&amp;"_"&amp;$A469,'Investment Strategies'!$AZ:$BP,12,FALSE),
IF(AND(Investment_Strategy="Lifecycle",Investment_Strategy_Sub1="Non-Standard"),VLOOKUP(Investment_Strategy&amp;"_"&amp;Investment_Strategy_Sub2&amp;"_"&amp;$A469,'Investment Strategies'!$C:$P,9,FALSE),
IF(AND(Investment_Strategy="Lifecycle",Investment_Strategy_Sub1="Standard"),VLOOKUP(Investment_Strategy&amp;"_"&amp;Investment_Strategy_Sub2&amp;"_"&amp;$A469,'Investment Strategies'!$AJ:$AV,8,FALSE),
IF(AND(Investment_Strategy="Autopilot",Investment_Strategy_Sub1="Non-Standard"),VLOOKUP(Investment_Strategy&amp;"_"&amp;Investment_Strategy_Sub2&amp;"_"&amp;$A469,'Investment Strategies'!$T:$AF,8,FALSE),
IF(Investment_Strategy ="DIY",DIY_RateofReturn_SP,
"Error")))))),Max_InvReturn)</f>
        <v>0</v>
      </c>
      <c r="M469" s="62">
        <f>IF($AV469=0,0,
IF(Investment_Strategy="DIS",VLOOKUP(Investment_Strategy&amp;"_"&amp;Investment_Strategy_Sub1&amp;"_"&amp;$A469,'Investment Strategies'!$AZ:$BP,15,FALSE),
IF(AND(Investment_Strategy="Lifecycle",Investment_Strategy_Sub1="Non-Standard"),VLOOKUP(Investment_Strategy&amp;"_"&amp;Investment_Strategy_Sub2&amp;"_"&amp;$A469,'Investment Strategies'!$C:$P,12,FALSE),
IF(AND(Investment_Strategy="Lifecycle",Investment_Strategy_Sub1="Standard"),VLOOKUP(Investment_Strategy&amp;"_"&amp;Investment_Strategy_Sub2&amp;"_"&amp;$A469,'Investment Strategies'!$AJ:$AV,11,FALSE),
IF(AND(Investment_Strategy="Autopilot",Investment_Strategy_Sub1="Non-Standard"),VLOOKUP(Investment_Strategy&amp;"_"&amp;Investment_Strategy_Sub2&amp;"_"&amp;$A469,'Investment Strategies'!$T:$AF,11,FALSE),
IF(Investment_Strategy="DIY",DIY_GteeChrge_SP,
"Error"))))))</f>
        <v>0</v>
      </c>
      <c r="N469" s="33">
        <f>IF($AV469=0,0,
IF(Investment_Strategy="DIS",VLOOKUP(Investment_Strategy&amp;"_"&amp;Investment_Strategy_Sub1&amp;"_"&amp;$A469,'Investment Strategies'!$AZ:$BP,17,FALSE),
IF(AND(Investment_Strategy="Lifecycle",Investment_Strategy_Sub1="Non-Standard"),VLOOKUP(Investment_Strategy&amp;"_"&amp;Investment_Strategy_Sub2&amp;"_"&amp;$A469,'Investment Strategies'!$C:$P,14,FALSE),
IF(AND(Investment_Strategy="Lifecycle",Investment_Strategy_Sub1="Standard"),VLOOKUP(Investment_Strategy&amp;"_"&amp;Investment_Strategy_Sub2&amp;"_"&amp;$A469,'Investment Strategies'!$AJ:$AV,13,FALSE),
IF(AND(Investment_Strategy="Autopilot",Investment_Strategy_Sub1="Non-Standard"),VLOOKUP(Investment_Strategy&amp;"_"&amp;Investment_Strategy_Sub2&amp;"_"&amp;$A469,'Investment Strategies'!$T:$AF,13,FALSE),
IF(Investment_Strategy="DIY",DIY_ExtManChrge_SP,
"Error"))))))</f>
        <v>0</v>
      </c>
      <c r="O469" s="16">
        <f t="shared" si="266"/>
        <v>0</v>
      </c>
      <c r="Q469" s="16">
        <f t="shared" si="242"/>
        <v>0</v>
      </c>
      <c r="R469" s="16">
        <f t="shared" si="274"/>
        <v>0</v>
      </c>
      <c r="S469" s="16">
        <f>(SRP_SP+SUM(S$91:S468))*L469*IF(D469=$A$91,SRP_finalmonthfactor,1)</f>
        <v>0</v>
      </c>
      <c r="T469" s="74">
        <f>MIN(IF($AV469=0,0,
IF(Investment_Strategy="DIS",VLOOKUP(Investment_Strategy&amp;"_"&amp;Investment_Strategy_Sub1&amp;"_"&amp;$A469,'Investment Strategies'!$AZ:$BP,12,FALSE),
IF(AND(Investment_Strategy="Lifecycle",Investment_Strategy_Sub1="Non-Standard"),VLOOKUP(Investment_Strategy&amp;"_"&amp;Investment_Strategy_Sub2&amp;"_"&amp;$A469,'Investment Strategies'!$C:$P,9,FALSE),
IF(AND(Investment_Strategy="Lifecycle",Investment_Strategy_Sub1="Standard"),VLOOKUP(Investment_Strategy&amp;"_"&amp;Investment_Strategy_Sub2&amp;"_"&amp;$A469,'Investment Strategies'!$AJ:$AV,8,FALSE),
IF(AND(Investment_Strategy="Autopilot",Investment_Strategy_Sub1="Non-Standard"),VLOOKUP(Investment_Strategy&amp;"_"&amp;Investment_Strategy_Sub2&amp;"_"&amp;$A469,'Investment Strategies'!$T:$AF,8,FALSE),
IF(Investment_Strategy ="DIY",DIY_RateOfReturn_FuturePremiums,
"Error")))))),Max_InvReturn)</f>
        <v>0</v>
      </c>
      <c r="U469" s="62">
        <f>IF($AV469=0,0,
IF(Investment_Strategy="DIS",VLOOKUP(Investment_Strategy&amp;"_"&amp;Investment_Strategy_Sub1&amp;"_"&amp;$A469,'Investment Strategies'!$AZ:$BP,15,FALSE),
IF(AND(Investment_Strategy="Lifecycle",Investment_Strategy_Sub1="Non-Standard"),VLOOKUP(Investment_Strategy&amp;"_"&amp;Investment_Strategy_Sub2&amp;"_"&amp;$A469,'Investment Strategies'!$C:$P,12,FALSE),
IF(AND(Investment_Strategy="Lifecycle",Investment_Strategy_Sub1="Standard"),VLOOKUP(Investment_Strategy&amp;"_"&amp;Investment_Strategy_Sub2&amp;"_"&amp;$A469,'Investment Strategies'!$AJ:$AV,11,FALSE),
IF(AND(Investment_Strategy="Autopilot",Investment_Strategy_Sub1="Non-Standard"),VLOOKUP(Investment_Strategy&amp;"_"&amp;Investment_Strategy_Sub2&amp;"_"&amp;$A469,'Investment Strategies'!$T:$AF,11,FALSE),
IF(Investment_Strategy="DIY",DIY_GteeChrge_FuturePremiums,
"Error"))))))</f>
        <v>0</v>
      </c>
      <c r="V469" s="33">
        <f>IF(AV469=0,0,
IF(Investment_Strategy="DIS",VLOOKUP(Investment_Strategy&amp;"_"&amp;Investment_Strategy_Sub1&amp;"_"&amp;$A469,'Investment Strategies'!$AZ:$BP,17,FALSE),
IF(AND(Investment_Strategy="Lifecycle",Investment_Strategy_Sub1="Non-Standard"),VLOOKUP(Investment_Strategy&amp;"_"&amp;Investment_Strategy_Sub2&amp;"_"&amp;$A469,'Investment Strategies'!$C:$P,14,FALSE),
IF(AND(Investment_Strategy="Lifecycle",Investment_Strategy_Sub1="Standard"),VLOOKUP(Investment_Strategy&amp;"_"&amp;Investment_Strategy_Sub2&amp;"_"&amp;$A469,'Investment Strategies'!$AJ:$AV,13,FALSE),
IF(AND(Investment_Strategy="Autopilot",Investment_Strategy_Sub1="Non-Standard"),VLOOKUP(Investment_Strategy&amp;"_"&amp;Investment_Strategy_Sub2&amp;"_"&amp;$A469,'Investment Strategies'!$T:$AF,13,FALSE),
IF(Investment_Strategy="DIY",DIY_ExtManChrge_FuturePremiums,
"Error"))))))</f>
        <v>0</v>
      </c>
      <c r="W469" s="16">
        <f t="shared" si="267"/>
        <v>0</v>
      </c>
      <c r="X469" s="16">
        <f t="shared" si="243"/>
        <v>0</v>
      </c>
      <c r="Y469" s="16">
        <f t="shared" si="244"/>
        <v>0</v>
      </c>
      <c r="Z469" s="31">
        <f t="shared" si="245"/>
        <v>0.02</v>
      </c>
      <c r="AA469" s="16">
        <f t="shared" si="246"/>
        <v>0</v>
      </c>
      <c r="AB469" s="28">
        <f t="shared" si="268"/>
        <v>0</v>
      </c>
      <c r="AC469" s="28">
        <f>(SUM($AC$91:AC468)+SUM($X$91:X468)+X469)*T469*IF(D469=$A$91,SRP_finalmonthfactor,1)</f>
        <v>0</v>
      </c>
      <c r="AD469" s="16">
        <f t="shared" si="247"/>
        <v>0</v>
      </c>
      <c r="AE469" s="106"/>
      <c r="AF469" s="16">
        <f t="shared" si="256"/>
        <v>0</v>
      </c>
      <c r="AG469" s="16">
        <f t="shared" si="257"/>
        <v>0</v>
      </c>
      <c r="AH469" s="16">
        <f t="shared" si="258"/>
        <v>0</v>
      </c>
      <c r="AJ469" s="13">
        <f t="shared" si="273"/>
        <v>0</v>
      </c>
      <c r="AK469" s="13">
        <f t="shared" si="273"/>
        <v>0</v>
      </c>
      <c r="AL469" s="13">
        <f t="shared" si="273"/>
        <v>0</v>
      </c>
      <c r="AM469" s="13">
        <f t="shared" si="273"/>
        <v>0</v>
      </c>
      <c r="AN469" s="13">
        <f t="shared" si="273"/>
        <v>0</v>
      </c>
      <c r="AO469" s="13">
        <f t="shared" si="273"/>
        <v>1</v>
      </c>
      <c r="AP469" s="13">
        <f t="shared" si="273"/>
        <v>1</v>
      </c>
      <c r="AQ469" s="13">
        <f t="shared" si="273"/>
        <v>1</v>
      </c>
      <c r="AR469" s="13">
        <f t="shared" si="273"/>
        <v>0</v>
      </c>
      <c r="AS469" s="13">
        <f t="shared" si="273"/>
        <v>0</v>
      </c>
      <c r="AT469" s="13">
        <f t="shared" si="273"/>
        <v>1</v>
      </c>
      <c r="AU469" s="13">
        <f t="shared" si="273"/>
        <v>1</v>
      </c>
      <c r="AV469" s="13">
        <f t="shared" si="249"/>
        <v>0</v>
      </c>
      <c r="AW469" s="13">
        <f t="shared" si="250"/>
        <v>1</v>
      </c>
      <c r="AY469" s="17">
        <f t="shared" si="251"/>
        <v>379</v>
      </c>
      <c r="AZ469" s="28">
        <f t="shared" si="259"/>
        <v>0</v>
      </c>
      <c r="BA469" s="13">
        <f t="shared" si="252"/>
        <v>0</v>
      </c>
      <c r="BB469" s="13">
        <f t="shared" si="253"/>
        <v>0</v>
      </c>
      <c r="BC469" s="28">
        <f t="shared" si="260"/>
        <v>0</v>
      </c>
      <c r="BD469" s="28">
        <f t="shared" si="261"/>
        <v>0</v>
      </c>
      <c r="BF469" s="248">
        <f t="shared" si="262"/>
        <v>993869.29442638322</v>
      </c>
    </row>
    <row r="470" spans="1:58">
      <c r="A470" s="32">
        <f t="shared" si="263"/>
        <v>-295</v>
      </c>
      <c r="B470" s="32">
        <f t="shared" si="254"/>
        <v>84</v>
      </c>
      <c r="C470" s="32">
        <f t="shared" si="264"/>
        <v>32</v>
      </c>
      <c r="D470" s="32">
        <f t="shared" si="265"/>
        <v>380</v>
      </c>
      <c r="E470" s="74">
        <f>MIN(IF(AV470=0,0,
IF(Investment_Strategy="DIS",VLOOKUP(Investment_Strategy&amp;"_"&amp;Investment_Strategy_Sub1&amp;"_"&amp;$A470,'Investment Strategies'!$AZ:$BP,12,FALSE),
IF(AND(Investment_Strategy="Lifecycle",Investment_Strategy_Sub1="Non-Standard"),VLOOKUP(Investment_Strategy&amp;"_"&amp;Investment_Strategy_Sub2&amp;"_"&amp;$A470,'Investment Strategies'!$C:$P,9,FALSE),
IF(AND(Investment_Strategy="Lifecycle",Investment_Strategy_Sub1="Standard"),VLOOKUP(Investment_Strategy&amp;"_"&amp;Investment_Strategy_Sub2&amp;"_"&amp;$A470,'Investment Strategies'!$AJ:$AV,8,FALSE),
IF(AND(Investment_Strategy="Autopilot",Investment_Strategy_Sub1="Non-Standard"),VLOOKUP(Investment_Strategy&amp;"_"&amp;Investment_Strategy_Sub2&amp;"_"&amp;$A470,'Investment Strategies'!$T:$AF,8,FALSE),
IF(Investment_Strategy ="DIY",DIY_RateOfReturn_CurrentFunds,
"Error")))))),Max_InvReturn)</f>
        <v>0</v>
      </c>
      <c r="F470" s="62">
        <f>IF(AV470=0,0,
IF(Investment_Strategy="DIS",VLOOKUP(Investment_Strategy&amp;"_"&amp;Investment_Strategy_Sub1&amp;"_"&amp;$A470,'Investment Strategies'!$AZ:$BP,15,FALSE),
IF(AND(Investment_Strategy="Lifecycle",Investment_Strategy_Sub1="Non-Standard"),VLOOKUP(Investment_Strategy&amp;"_"&amp;Investment_Strategy_Sub2&amp;"_"&amp;$A470,'Investment Strategies'!$C:$P,12,FALSE),
IF(AND(Investment_Strategy="Lifecycle",Investment_Strategy_Sub1="Standard"),VLOOKUP(Investment_Strategy&amp;"_"&amp;Investment_Strategy_Sub2&amp;"_"&amp;$A470,'Investment Strategies'!$AJ:$AV,11,FALSE),
IF(AND(Investment_Strategy="Autopilot",Investment_Strategy_Sub1="Non-Standard"),VLOOKUP(Investment_Strategy&amp;"_"&amp;Investment_Strategy_Sub2&amp;"_"&amp;$A470,'Investment Strategies'!$T:$AF,11,FALSE),
IF(Investment_Strategy="DIY",DIY_GteeChrge_CurrentFunds,
"Error"))))))</f>
        <v>0</v>
      </c>
      <c r="G470" s="33">
        <f>IF(AV470=0,0,
IF(Investment_Strategy="DIS",VLOOKUP(Investment_Strategy&amp;"_"&amp;Investment_Strategy_Sub1&amp;"_"&amp;$A470,'Investment Strategies'!$AZ:$BP,17,FALSE),
IF(AND(Investment_Strategy="Lifecycle",Investment_Strategy_Sub1="Non-Standard"),VLOOKUP(Investment_Strategy&amp;"_"&amp;Investment_Strategy_Sub2&amp;"_"&amp;$A470,'Investment Strategies'!$C:$P,14,FALSE),
IF(AND(Investment_Strategy="Lifecycle",Investment_Strategy_Sub1="Standard"),VLOOKUP(Investment_Strategy&amp;"_"&amp;Investment_Strategy_Sub2&amp;"_"&amp;$A470,'Investment Strategies'!$AJ:$AV,13,FALSE),
IF(AND(Investment_Strategy="Autopilot",Investment_Strategy_Sub1="Non-Standard"),VLOOKUP(Investment_Strategy&amp;"_"&amp;Investment_Strategy_Sub2&amp;"_"&amp;$A470,'Investment Strategies'!$T:$AF,13,FALSE),
IF(Investment_Strategy="DIY",DIY_ExtManChrge_CurrentFunds,
"Error"))))))</f>
        <v>0</v>
      </c>
      <c r="H470" s="16">
        <f t="shared" si="255"/>
        <v>0</v>
      </c>
      <c r="I470" s="16">
        <f t="shared" si="240"/>
        <v>0</v>
      </c>
      <c r="J470" s="16">
        <f t="shared" si="241"/>
        <v>0</v>
      </c>
      <c r="K470" s="16">
        <f>(Opening_Fund_Value+SUM(K$91:K469))*E470*IF(D470=$A$91,SRP_finalmonthfactor,1)</f>
        <v>0</v>
      </c>
      <c r="L470" s="74">
        <f>MIN(IF($AV470=0,0,
IF(Investment_Strategy="DIS",VLOOKUP(Investment_Strategy&amp;"_"&amp;Investment_Strategy_Sub1&amp;"_"&amp;$A470,'Investment Strategies'!$AZ:$BP,12,FALSE),
IF(AND(Investment_Strategy="Lifecycle",Investment_Strategy_Sub1="Non-Standard"),VLOOKUP(Investment_Strategy&amp;"_"&amp;Investment_Strategy_Sub2&amp;"_"&amp;$A470,'Investment Strategies'!$C:$P,9,FALSE),
IF(AND(Investment_Strategy="Lifecycle",Investment_Strategy_Sub1="Standard"),VLOOKUP(Investment_Strategy&amp;"_"&amp;Investment_Strategy_Sub2&amp;"_"&amp;$A470,'Investment Strategies'!$AJ:$AV,8,FALSE),
IF(AND(Investment_Strategy="Autopilot",Investment_Strategy_Sub1="Non-Standard"),VLOOKUP(Investment_Strategy&amp;"_"&amp;Investment_Strategy_Sub2&amp;"_"&amp;$A470,'Investment Strategies'!$T:$AF,8,FALSE),
IF(Investment_Strategy ="DIY",DIY_RateofReturn_SP,
"Error")))))),Max_InvReturn)</f>
        <v>0</v>
      </c>
      <c r="M470" s="62">
        <f>IF($AV470=0,0,
IF(Investment_Strategy="DIS",VLOOKUP(Investment_Strategy&amp;"_"&amp;Investment_Strategy_Sub1&amp;"_"&amp;$A470,'Investment Strategies'!$AZ:$BP,15,FALSE),
IF(AND(Investment_Strategy="Lifecycle",Investment_Strategy_Sub1="Non-Standard"),VLOOKUP(Investment_Strategy&amp;"_"&amp;Investment_Strategy_Sub2&amp;"_"&amp;$A470,'Investment Strategies'!$C:$P,12,FALSE),
IF(AND(Investment_Strategy="Lifecycle",Investment_Strategy_Sub1="Standard"),VLOOKUP(Investment_Strategy&amp;"_"&amp;Investment_Strategy_Sub2&amp;"_"&amp;$A470,'Investment Strategies'!$AJ:$AV,11,FALSE),
IF(AND(Investment_Strategy="Autopilot",Investment_Strategy_Sub1="Non-Standard"),VLOOKUP(Investment_Strategy&amp;"_"&amp;Investment_Strategy_Sub2&amp;"_"&amp;$A470,'Investment Strategies'!$T:$AF,11,FALSE),
IF(Investment_Strategy="DIY",DIY_GteeChrge_SP,
"Error"))))))</f>
        <v>0</v>
      </c>
      <c r="N470" s="33">
        <f>IF($AV470=0,0,
IF(Investment_Strategy="DIS",VLOOKUP(Investment_Strategy&amp;"_"&amp;Investment_Strategy_Sub1&amp;"_"&amp;$A470,'Investment Strategies'!$AZ:$BP,17,FALSE),
IF(AND(Investment_Strategy="Lifecycle",Investment_Strategy_Sub1="Non-Standard"),VLOOKUP(Investment_Strategy&amp;"_"&amp;Investment_Strategy_Sub2&amp;"_"&amp;$A470,'Investment Strategies'!$C:$P,14,FALSE),
IF(AND(Investment_Strategy="Lifecycle",Investment_Strategy_Sub1="Standard"),VLOOKUP(Investment_Strategy&amp;"_"&amp;Investment_Strategy_Sub2&amp;"_"&amp;$A470,'Investment Strategies'!$AJ:$AV,13,FALSE),
IF(AND(Investment_Strategy="Autopilot",Investment_Strategy_Sub1="Non-Standard"),VLOOKUP(Investment_Strategy&amp;"_"&amp;Investment_Strategy_Sub2&amp;"_"&amp;$A470,'Investment Strategies'!$T:$AF,13,FALSE),
IF(Investment_Strategy="DIY",DIY_ExtManChrge_SP,
"Error"))))))</f>
        <v>0</v>
      </c>
      <c r="O470" s="16">
        <f t="shared" si="266"/>
        <v>0</v>
      </c>
      <c r="Q470" s="16">
        <f t="shared" si="242"/>
        <v>0</v>
      </c>
      <c r="R470" s="16">
        <f t="shared" si="274"/>
        <v>0</v>
      </c>
      <c r="S470" s="16">
        <f>(SRP_SP+SUM(S$91:S469))*L470*IF(D470=$A$91,SRP_finalmonthfactor,1)</f>
        <v>0</v>
      </c>
      <c r="T470" s="74">
        <f>MIN(IF($AV470=0,0,
IF(Investment_Strategy="DIS",VLOOKUP(Investment_Strategy&amp;"_"&amp;Investment_Strategy_Sub1&amp;"_"&amp;$A470,'Investment Strategies'!$AZ:$BP,12,FALSE),
IF(AND(Investment_Strategy="Lifecycle",Investment_Strategy_Sub1="Non-Standard"),VLOOKUP(Investment_Strategy&amp;"_"&amp;Investment_Strategy_Sub2&amp;"_"&amp;$A470,'Investment Strategies'!$C:$P,9,FALSE),
IF(AND(Investment_Strategy="Lifecycle",Investment_Strategy_Sub1="Standard"),VLOOKUP(Investment_Strategy&amp;"_"&amp;Investment_Strategy_Sub2&amp;"_"&amp;$A470,'Investment Strategies'!$AJ:$AV,8,FALSE),
IF(AND(Investment_Strategy="Autopilot",Investment_Strategy_Sub1="Non-Standard"),VLOOKUP(Investment_Strategy&amp;"_"&amp;Investment_Strategy_Sub2&amp;"_"&amp;$A470,'Investment Strategies'!$T:$AF,8,FALSE),
IF(Investment_Strategy ="DIY",DIY_RateOfReturn_FuturePremiums,
"Error")))))),Max_InvReturn)</f>
        <v>0</v>
      </c>
      <c r="U470" s="62">
        <f>IF($AV470=0,0,
IF(Investment_Strategy="DIS",VLOOKUP(Investment_Strategy&amp;"_"&amp;Investment_Strategy_Sub1&amp;"_"&amp;$A470,'Investment Strategies'!$AZ:$BP,15,FALSE),
IF(AND(Investment_Strategy="Lifecycle",Investment_Strategy_Sub1="Non-Standard"),VLOOKUP(Investment_Strategy&amp;"_"&amp;Investment_Strategy_Sub2&amp;"_"&amp;$A470,'Investment Strategies'!$C:$P,12,FALSE),
IF(AND(Investment_Strategy="Lifecycle",Investment_Strategy_Sub1="Standard"),VLOOKUP(Investment_Strategy&amp;"_"&amp;Investment_Strategy_Sub2&amp;"_"&amp;$A470,'Investment Strategies'!$AJ:$AV,11,FALSE),
IF(AND(Investment_Strategy="Autopilot",Investment_Strategy_Sub1="Non-Standard"),VLOOKUP(Investment_Strategy&amp;"_"&amp;Investment_Strategy_Sub2&amp;"_"&amp;$A470,'Investment Strategies'!$T:$AF,11,FALSE),
IF(Investment_Strategy="DIY",DIY_GteeChrge_FuturePremiums,
"Error"))))))</f>
        <v>0</v>
      </c>
      <c r="V470" s="33">
        <f>IF(AV470=0,0,
IF(Investment_Strategy="DIS",VLOOKUP(Investment_Strategy&amp;"_"&amp;Investment_Strategy_Sub1&amp;"_"&amp;$A470,'Investment Strategies'!$AZ:$BP,17,FALSE),
IF(AND(Investment_Strategy="Lifecycle",Investment_Strategy_Sub1="Non-Standard"),VLOOKUP(Investment_Strategy&amp;"_"&amp;Investment_Strategy_Sub2&amp;"_"&amp;$A470,'Investment Strategies'!$C:$P,14,FALSE),
IF(AND(Investment_Strategy="Lifecycle",Investment_Strategy_Sub1="Standard"),VLOOKUP(Investment_Strategy&amp;"_"&amp;Investment_Strategy_Sub2&amp;"_"&amp;$A470,'Investment Strategies'!$AJ:$AV,13,FALSE),
IF(AND(Investment_Strategy="Autopilot",Investment_Strategy_Sub1="Non-Standard"),VLOOKUP(Investment_Strategy&amp;"_"&amp;Investment_Strategy_Sub2&amp;"_"&amp;$A470,'Investment Strategies'!$T:$AF,13,FALSE),
IF(Investment_Strategy="DIY",DIY_ExtManChrge_FuturePremiums,
"Error"))))))</f>
        <v>0</v>
      </c>
      <c r="W470" s="16">
        <f t="shared" si="267"/>
        <v>0</v>
      </c>
      <c r="X470" s="16">
        <f t="shared" si="243"/>
        <v>0</v>
      </c>
      <c r="Y470" s="16">
        <f t="shared" si="244"/>
        <v>0</v>
      </c>
      <c r="Z470" s="31">
        <f t="shared" si="245"/>
        <v>0.02</v>
      </c>
      <c r="AA470" s="16">
        <f t="shared" si="246"/>
        <v>0</v>
      </c>
      <c r="AB470" s="28">
        <f t="shared" si="268"/>
        <v>0</v>
      </c>
      <c r="AC470" s="28">
        <f>(SUM($AC$91:AC469)+SUM($X$91:X469)+X470)*T470*IF(D470=$A$91,SRP_finalmonthfactor,1)</f>
        <v>0</v>
      </c>
      <c r="AD470" s="16">
        <f t="shared" si="247"/>
        <v>0</v>
      </c>
      <c r="AE470" s="106"/>
      <c r="AF470" s="16">
        <f t="shared" si="256"/>
        <v>0</v>
      </c>
      <c r="AG470" s="16">
        <f t="shared" si="257"/>
        <v>0</v>
      </c>
      <c r="AH470" s="16">
        <f t="shared" si="258"/>
        <v>0</v>
      </c>
      <c r="AJ470" s="13">
        <f t="shared" si="273"/>
        <v>0</v>
      </c>
      <c r="AK470" s="13">
        <f t="shared" si="273"/>
        <v>0</v>
      </c>
      <c r="AL470" s="13">
        <f t="shared" si="273"/>
        <v>0</v>
      </c>
      <c r="AM470" s="13">
        <f t="shared" si="273"/>
        <v>0</v>
      </c>
      <c r="AN470" s="13">
        <f t="shared" si="273"/>
        <v>0</v>
      </c>
      <c r="AO470" s="13">
        <f t="shared" si="273"/>
        <v>1</v>
      </c>
      <c r="AP470" s="13">
        <f t="shared" si="273"/>
        <v>1</v>
      </c>
      <c r="AQ470" s="13">
        <f t="shared" si="273"/>
        <v>1</v>
      </c>
      <c r="AR470" s="13">
        <f t="shared" si="273"/>
        <v>0</v>
      </c>
      <c r="AS470" s="13">
        <f t="shared" si="273"/>
        <v>0</v>
      </c>
      <c r="AT470" s="13">
        <f t="shared" si="273"/>
        <v>1</v>
      </c>
      <c r="AU470" s="13">
        <f t="shared" si="273"/>
        <v>1</v>
      </c>
      <c r="AV470" s="13">
        <f t="shared" si="249"/>
        <v>0</v>
      </c>
      <c r="AW470" s="13">
        <f t="shared" si="250"/>
        <v>1</v>
      </c>
      <c r="AY470" s="17">
        <f t="shared" si="251"/>
        <v>380</v>
      </c>
      <c r="AZ470" s="28">
        <f t="shared" si="259"/>
        <v>0</v>
      </c>
      <c r="BA470" s="13">
        <f t="shared" si="252"/>
        <v>0</v>
      </c>
      <c r="BB470" s="13">
        <f t="shared" si="253"/>
        <v>0</v>
      </c>
      <c r="BC470" s="28">
        <f t="shared" si="260"/>
        <v>0</v>
      </c>
      <c r="BD470" s="28">
        <f t="shared" si="261"/>
        <v>0</v>
      </c>
      <c r="BF470" s="248">
        <f t="shared" si="262"/>
        <v>993869.29442638322</v>
      </c>
    </row>
    <row r="471" spans="1:58">
      <c r="A471" s="32">
        <f t="shared" si="263"/>
        <v>-296</v>
      </c>
      <c r="B471" s="32">
        <f t="shared" si="254"/>
        <v>84</v>
      </c>
      <c r="C471" s="32">
        <f t="shared" si="264"/>
        <v>32</v>
      </c>
      <c r="D471" s="32">
        <f t="shared" si="265"/>
        <v>381</v>
      </c>
      <c r="E471" s="74">
        <f>MIN(IF(AV471=0,0,
IF(Investment_Strategy="DIS",VLOOKUP(Investment_Strategy&amp;"_"&amp;Investment_Strategy_Sub1&amp;"_"&amp;$A471,'Investment Strategies'!$AZ:$BP,12,FALSE),
IF(AND(Investment_Strategy="Lifecycle",Investment_Strategy_Sub1="Non-Standard"),VLOOKUP(Investment_Strategy&amp;"_"&amp;Investment_Strategy_Sub2&amp;"_"&amp;$A471,'Investment Strategies'!$C:$P,9,FALSE),
IF(AND(Investment_Strategy="Lifecycle",Investment_Strategy_Sub1="Standard"),VLOOKUP(Investment_Strategy&amp;"_"&amp;Investment_Strategy_Sub2&amp;"_"&amp;$A471,'Investment Strategies'!$AJ:$AV,8,FALSE),
IF(AND(Investment_Strategy="Autopilot",Investment_Strategy_Sub1="Non-Standard"),VLOOKUP(Investment_Strategy&amp;"_"&amp;Investment_Strategy_Sub2&amp;"_"&amp;$A471,'Investment Strategies'!$T:$AF,8,FALSE),
IF(Investment_Strategy ="DIY",DIY_RateOfReturn_CurrentFunds,
"Error")))))),Max_InvReturn)</f>
        <v>0</v>
      </c>
      <c r="F471" s="62">
        <f>IF(AV471=0,0,
IF(Investment_Strategy="DIS",VLOOKUP(Investment_Strategy&amp;"_"&amp;Investment_Strategy_Sub1&amp;"_"&amp;$A471,'Investment Strategies'!$AZ:$BP,15,FALSE),
IF(AND(Investment_Strategy="Lifecycle",Investment_Strategy_Sub1="Non-Standard"),VLOOKUP(Investment_Strategy&amp;"_"&amp;Investment_Strategy_Sub2&amp;"_"&amp;$A471,'Investment Strategies'!$C:$P,12,FALSE),
IF(AND(Investment_Strategy="Lifecycle",Investment_Strategy_Sub1="Standard"),VLOOKUP(Investment_Strategy&amp;"_"&amp;Investment_Strategy_Sub2&amp;"_"&amp;$A471,'Investment Strategies'!$AJ:$AV,11,FALSE),
IF(AND(Investment_Strategy="Autopilot",Investment_Strategy_Sub1="Non-Standard"),VLOOKUP(Investment_Strategy&amp;"_"&amp;Investment_Strategy_Sub2&amp;"_"&amp;$A471,'Investment Strategies'!$T:$AF,11,FALSE),
IF(Investment_Strategy="DIY",DIY_GteeChrge_CurrentFunds,
"Error"))))))</f>
        <v>0</v>
      </c>
      <c r="G471" s="33">
        <f>IF(AV471=0,0,
IF(Investment_Strategy="DIS",VLOOKUP(Investment_Strategy&amp;"_"&amp;Investment_Strategy_Sub1&amp;"_"&amp;$A471,'Investment Strategies'!$AZ:$BP,17,FALSE),
IF(AND(Investment_Strategy="Lifecycle",Investment_Strategy_Sub1="Non-Standard"),VLOOKUP(Investment_Strategy&amp;"_"&amp;Investment_Strategy_Sub2&amp;"_"&amp;$A471,'Investment Strategies'!$C:$P,14,FALSE),
IF(AND(Investment_Strategy="Lifecycle",Investment_Strategy_Sub1="Standard"),VLOOKUP(Investment_Strategy&amp;"_"&amp;Investment_Strategy_Sub2&amp;"_"&amp;$A471,'Investment Strategies'!$AJ:$AV,13,FALSE),
IF(AND(Investment_Strategy="Autopilot",Investment_Strategy_Sub1="Non-Standard"),VLOOKUP(Investment_Strategy&amp;"_"&amp;Investment_Strategy_Sub2&amp;"_"&amp;$A471,'Investment Strategies'!$T:$AF,13,FALSE),
IF(Investment_Strategy="DIY",DIY_ExtManChrge_CurrentFunds,
"Error"))))))</f>
        <v>0</v>
      </c>
      <c r="H471" s="16">
        <f t="shared" si="255"/>
        <v>0</v>
      </c>
      <c r="I471" s="16">
        <f t="shared" si="240"/>
        <v>0</v>
      </c>
      <c r="J471" s="16">
        <f t="shared" si="241"/>
        <v>0</v>
      </c>
      <c r="K471" s="16">
        <f>(Opening_Fund_Value+SUM(K$91:K470))*E471*IF(D471=$A$91,SRP_finalmonthfactor,1)</f>
        <v>0</v>
      </c>
      <c r="L471" s="74">
        <f>MIN(IF($AV471=0,0,
IF(Investment_Strategy="DIS",VLOOKUP(Investment_Strategy&amp;"_"&amp;Investment_Strategy_Sub1&amp;"_"&amp;$A471,'Investment Strategies'!$AZ:$BP,12,FALSE),
IF(AND(Investment_Strategy="Lifecycle",Investment_Strategy_Sub1="Non-Standard"),VLOOKUP(Investment_Strategy&amp;"_"&amp;Investment_Strategy_Sub2&amp;"_"&amp;$A471,'Investment Strategies'!$C:$P,9,FALSE),
IF(AND(Investment_Strategy="Lifecycle",Investment_Strategy_Sub1="Standard"),VLOOKUP(Investment_Strategy&amp;"_"&amp;Investment_Strategy_Sub2&amp;"_"&amp;$A471,'Investment Strategies'!$AJ:$AV,8,FALSE),
IF(AND(Investment_Strategy="Autopilot",Investment_Strategy_Sub1="Non-Standard"),VLOOKUP(Investment_Strategy&amp;"_"&amp;Investment_Strategy_Sub2&amp;"_"&amp;$A471,'Investment Strategies'!$T:$AF,8,FALSE),
IF(Investment_Strategy ="DIY",DIY_RateofReturn_SP,
"Error")))))),Max_InvReturn)</f>
        <v>0</v>
      </c>
      <c r="M471" s="62">
        <f>IF($AV471=0,0,
IF(Investment_Strategy="DIS",VLOOKUP(Investment_Strategy&amp;"_"&amp;Investment_Strategy_Sub1&amp;"_"&amp;$A471,'Investment Strategies'!$AZ:$BP,15,FALSE),
IF(AND(Investment_Strategy="Lifecycle",Investment_Strategy_Sub1="Non-Standard"),VLOOKUP(Investment_Strategy&amp;"_"&amp;Investment_Strategy_Sub2&amp;"_"&amp;$A471,'Investment Strategies'!$C:$P,12,FALSE),
IF(AND(Investment_Strategy="Lifecycle",Investment_Strategy_Sub1="Standard"),VLOOKUP(Investment_Strategy&amp;"_"&amp;Investment_Strategy_Sub2&amp;"_"&amp;$A471,'Investment Strategies'!$AJ:$AV,11,FALSE),
IF(AND(Investment_Strategy="Autopilot",Investment_Strategy_Sub1="Non-Standard"),VLOOKUP(Investment_Strategy&amp;"_"&amp;Investment_Strategy_Sub2&amp;"_"&amp;$A471,'Investment Strategies'!$T:$AF,11,FALSE),
IF(Investment_Strategy="DIY",DIY_GteeChrge_SP,
"Error"))))))</f>
        <v>0</v>
      </c>
      <c r="N471" s="33">
        <f>IF($AV471=0,0,
IF(Investment_Strategy="DIS",VLOOKUP(Investment_Strategy&amp;"_"&amp;Investment_Strategy_Sub1&amp;"_"&amp;$A471,'Investment Strategies'!$AZ:$BP,17,FALSE),
IF(AND(Investment_Strategy="Lifecycle",Investment_Strategy_Sub1="Non-Standard"),VLOOKUP(Investment_Strategy&amp;"_"&amp;Investment_Strategy_Sub2&amp;"_"&amp;$A471,'Investment Strategies'!$C:$P,14,FALSE),
IF(AND(Investment_Strategy="Lifecycle",Investment_Strategy_Sub1="Standard"),VLOOKUP(Investment_Strategy&amp;"_"&amp;Investment_Strategy_Sub2&amp;"_"&amp;$A471,'Investment Strategies'!$AJ:$AV,13,FALSE),
IF(AND(Investment_Strategy="Autopilot",Investment_Strategy_Sub1="Non-Standard"),VLOOKUP(Investment_Strategy&amp;"_"&amp;Investment_Strategy_Sub2&amp;"_"&amp;$A471,'Investment Strategies'!$T:$AF,13,FALSE),
IF(Investment_Strategy="DIY",DIY_ExtManChrge_SP,
"Error"))))))</f>
        <v>0</v>
      </c>
      <c r="O471" s="16">
        <f t="shared" si="266"/>
        <v>0</v>
      </c>
      <c r="Q471" s="16">
        <f t="shared" si="242"/>
        <v>0</v>
      </c>
      <c r="R471" s="16">
        <f t="shared" si="274"/>
        <v>0</v>
      </c>
      <c r="S471" s="16">
        <f>(SRP_SP+SUM(S$91:S470))*L471*IF(D471=$A$91,SRP_finalmonthfactor,1)</f>
        <v>0</v>
      </c>
      <c r="T471" s="74">
        <f>MIN(IF($AV471=0,0,
IF(Investment_Strategy="DIS",VLOOKUP(Investment_Strategy&amp;"_"&amp;Investment_Strategy_Sub1&amp;"_"&amp;$A471,'Investment Strategies'!$AZ:$BP,12,FALSE),
IF(AND(Investment_Strategy="Lifecycle",Investment_Strategy_Sub1="Non-Standard"),VLOOKUP(Investment_Strategy&amp;"_"&amp;Investment_Strategy_Sub2&amp;"_"&amp;$A471,'Investment Strategies'!$C:$P,9,FALSE),
IF(AND(Investment_Strategy="Lifecycle",Investment_Strategy_Sub1="Standard"),VLOOKUP(Investment_Strategy&amp;"_"&amp;Investment_Strategy_Sub2&amp;"_"&amp;$A471,'Investment Strategies'!$AJ:$AV,8,FALSE),
IF(AND(Investment_Strategy="Autopilot",Investment_Strategy_Sub1="Non-Standard"),VLOOKUP(Investment_Strategy&amp;"_"&amp;Investment_Strategy_Sub2&amp;"_"&amp;$A471,'Investment Strategies'!$T:$AF,8,FALSE),
IF(Investment_Strategy ="DIY",DIY_RateOfReturn_FuturePremiums,
"Error")))))),Max_InvReturn)</f>
        <v>0</v>
      </c>
      <c r="U471" s="62">
        <f>IF($AV471=0,0,
IF(Investment_Strategy="DIS",VLOOKUP(Investment_Strategy&amp;"_"&amp;Investment_Strategy_Sub1&amp;"_"&amp;$A471,'Investment Strategies'!$AZ:$BP,15,FALSE),
IF(AND(Investment_Strategy="Lifecycle",Investment_Strategy_Sub1="Non-Standard"),VLOOKUP(Investment_Strategy&amp;"_"&amp;Investment_Strategy_Sub2&amp;"_"&amp;$A471,'Investment Strategies'!$C:$P,12,FALSE),
IF(AND(Investment_Strategy="Lifecycle",Investment_Strategy_Sub1="Standard"),VLOOKUP(Investment_Strategy&amp;"_"&amp;Investment_Strategy_Sub2&amp;"_"&amp;$A471,'Investment Strategies'!$AJ:$AV,11,FALSE),
IF(AND(Investment_Strategy="Autopilot",Investment_Strategy_Sub1="Non-Standard"),VLOOKUP(Investment_Strategy&amp;"_"&amp;Investment_Strategy_Sub2&amp;"_"&amp;$A471,'Investment Strategies'!$T:$AF,11,FALSE),
IF(Investment_Strategy="DIY",DIY_GteeChrge_FuturePremiums,
"Error"))))))</f>
        <v>0</v>
      </c>
      <c r="V471" s="33">
        <f>IF(AV471=0,0,
IF(Investment_Strategy="DIS",VLOOKUP(Investment_Strategy&amp;"_"&amp;Investment_Strategy_Sub1&amp;"_"&amp;$A471,'Investment Strategies'!$AZ:$BP,17,FALSE),
IF(AND(Investment_Strategy="Lifecycle",Investment_Strategy_Sub1="Non-Standard"),VLOOKUP(Investment_Strategy&amp;"_"&amp;Investment_Strategy_Sub2&amp;"_"&amp;$A471,'Investment Strategies'!$C:$P,14,FALSE),
IF(AND(Investment_Strategy="Lifecycle",Investment_Strategy_Sub1="Standard"),VLOOKUP(Investment_Strategy&amp;"_"&amp;Investment_Strategy_Sub2&amp;"_"&amp;$A471,'Investment Strategies'!$AJ:$AV,13,FALSE),
IF(AND(Investment_Strategy="Autopilot",Investment_Strategy_Sub1="Non-Standard"),VLOOKUP(Investment_Strategy&amp;"_"&amp;Investment_Strategy_Sub2&amp;"_"&amp;$A471,'Investment Strategies'!$T:$AF,13,FALSE),
IF(Investment_Strategy="DIY",DIY_ExtManChrge_FuturePremiums,
"Error"))))))</f>
        <v>0</v>
      </c>
      <c r="W471" s="16">
        <f t="shared" si="267"/>
        <v>0</v>
      </c>
      <c r="X471" s="16">
        <f t="shared" si="243"/>
        <v>0</v>
      </c>
      <c r="Y471" s="16">
        <f t="shared" si="244"/>
        <v>0</v>
      </c>
      <c r="Z471" s="31">
        <f t="shared" si="245"/>
        <v>0.02</v>
      </c>
      <c r="AA471" s="16">
        <f t="shared" si="246"/>
        <v>0</v>
      </c>
      <c r="AB471" s="28">
        <f t="shared" si="268"/>
        <v>0</v>
      </c>
      <c r="AC471" s="28">
        <f>(SUM($AC$91:AC470)+SUM($X$91:X470)+X471)*T471*IF(D471=$A$91,SRP_finalmonthfactor,1)</f>
        <v>0</v>
      </c>
      <c r="AD471" s="16">
        <f t="shared" si="247"/>
        <v>0</v>
      </c>
      <c r="AE471" s="106"/>
      <c r="AF471" s="16">
        <f t="shared" si="256"/>
        <v>0</v>
      </c>
      <c r="AG471" s="16">
        <f t="shared" si="257"/>
        <v>0</v>
      </c>
      <c r="AH471" s="16">
        <f t="shared" si="258"/>
        <v>0</v>
      </c>
      <c r="AJ471" s="13">
        <f t="shared" ref="AJ471:AU480" si="275">IF($C471&lt;=AJ$90,1,0)</f>
        <v>0</v>
      </c>
      <c r="AK471" s="13">
        <f t="shared" si="275"/>
        <v>0</v>
      </c>
      <c r="AL471" s="13">
        <f t="shared" si="275"/>
        <v>0</v>
      </c>
      <c r="AM471" s="13">
        <f t="shared" si="275"/>
        <v>0</v>
      </c>
      <c r="AN471" s="13">
        <f t="shared" si="275"/>
        <v>0</v>
      </c>
      <c r="AO471" s="13">
        <f t="shared" si="275"/>
        <v>1</v>
      </c>
      <c r="AP471" s="13">
        <f t="shared" si="275"/>
        <v>1</v>
      </c>
      <c r="AQ471" s="13">
        <f t="shared" si="275"/>
        <v>1</v>
      </c>
      <c r="AR471" s="13">
        <f t="shared" si="275"/>
        <v>0</v>
      </c>
      <c r="AS471" s="13">
        <f t="shared" si="275"/>
        <v>0</v>
      </c>
      <c r="AT471" s="13">
        <f t="shared" si="275"/>
        <v>1</v>
      </c>
      <c r="AU471" s="13">
        <f t="shared" si="275"/>
        <v>1</v>
      </c>
      <c r="AV471" s="13">
        <f t="shared" si="249"/>
        <v>0</v>
      </c>
      <c r="AW471" s="13">
        <f t="shared" si="250"/>
        <v>1</v>
      </c>
      <c r="AY471" s="17">
        <f t="shared" si="251"/>
        <v>381</v>
      </c>
      <c r="AZ471" s="28">
        <f t="shared" si="259"/>
        <v>0</v>
      </c>
      <c r="BA471" s="13">
        <f t="shared" si="252"/>
        <v>0</v>
      </c>
      <c r="BB471" s="13">
        <f t="shared" si="253"/>
        <v>0</v>
      </c>
      <c r="BC471" s="28">
        <f t="shared" si="260"/>
        <v>0</v>
      </c>
      <c r="BD471" s="28">
        <f t="shared" si="261"/>
        <v>0</v>
      </c>
      <c r="BF471" s="248">
        <f t="shared" si="262"/>
        <v>993869.29442638322</v>
      </c>
    </row>
    <row r="472" spans="1:58">
      <c r="A472" s="32">
        <f t="shared" si="263"/>
        <v>-297</v>
      </c>
      <c r="B472" s="32">
        <f t="shared" si="254"/>
        <v>84</v>
      </c>
      <c r="C472" s="32">
        <f t="shared" si="264"/>
        <v>32</v>
      </c>
      <c r="D472" s="32">
        <f t="shared" si="265"/>
        <v>382</v>
      </c>
      <c r="E472" s="74">
        <f>MIN(IF(AV472=0,0,
IF(Investment_Strategy="DIS",VLOOKUP(Investment_Strategy&amp;"_"&amp;Investment_Strategy_Sub1&amp;"_"&amp;$A472,'Investment Strategies'!$AZ:$BP,12,FALSE),
IF(AND(Investment_Strategy="Lifecycle",Investment_Strategy_Sub1="Non-Standard"),VLOOKUP(Investment_Strategy&amp;"_"&amp;Investment_Strategy_Sub2&amp;"_"&amp;$A472,'Investment Strategies'!$C:$P,9,FALSE),
IF(AND(Investment_Strategy="Lifecycle",Investment_Strategy_Sub1="Standard"),VLOOKUP(Investment_Strategy&amp;"_"&amp;Investment_Strategy_Sub2&amp;"_"&amp;$A472,'Investment Strategies'!$AJ:$AV,8,FALSE),
IF(AND(Investment_Strategy="Autopilot",Investment_Strategy_Sub1="Non-Standard"),VLOOKUP(Investment_Strategy&amp;"_"&amp;Investment_Strategy_Sub2&amp;"_"&amp;$A472,'Investment Strategies'!$T:$AF,8,FALSE),
IF(Investment_Strategy ="DIY",DIY_RateOfReturn_CurrentFunds,
"Error")))))),Max_InvReturn)</f>
        <v>0</v>
      </c>
      <c r="F472" s="62">
        <f>IF(AV472=0,0,
IF(Investment_Strategy="DIS",VLOOKUP(Investment_Strategy&amp;"_"&amp;Investment_Strategy_Sub1&amp;"_"&amp;$A472,'Investment Strategies'!$AZ:$BP,15,FALSE),
IF(AND(Investment_Strategy="Lifecycle",Investment_Strategy_Sub1="Non-Standard"),VLOOKUP(Investment_Strategy&amp;"_"&amp;Investment_Strategy_Sub2&amp;"_"&amp;$A472,'Investment Strategies'!$C:$P,12,FALSE),
IF(AND(Investment_Strategy="Lifecycle",Investment_Strategy_Sub1="Standard"),VLOOKUP(Investment_Strategy&amp;"_"&amp;Investment_Strategy_Sub2&amp;"_"&amp;$A472,'Investment Strategies'!$AJ:$AV,11,FALSE),
IF(AND(Investment_Strategy="Autopilot",Investment_Strategy_Sub1="Non-Standard"),VLOOKUP(Investment_Strategy&amp;"_"&amp;Investment_Strategy_Sub2&amp;"_"&amp;$A472,'Investment Strategies'!$T:$AF,11,FALSE),
IF(Investment_Strategy="DIY",DIY_GteeChrge_CurrentFunds,
"Error"))))))</f>
        <v>0</v>
      </c>
      <c r="G472" s="33">
        <f>IF(AV472=0,0,
IF(Investment_Strategy="DIS",VLOOKUP(Investment_Strategy&amp;"_"&amp;Investment_Strategy_Sub1&amp;"_"&amp;$A472,'Investment Strategies'!$AZ:$BP,17,FALSE),
IF(AND(Investment_Strategy="Lifecycle",Investment_Strategy_Sub1="Non-Standard"),VLOOKUP(Investment_Strategy&amp;"_"&amp;Investment_Strategy_Sub2&amp;"_"&amp;$A472,'Investment Strategies'!$C:$P,14,FALSE),
IF(AND(Investment_Strategy="Lifecycle",Investment_Strategy_Sub1="Standard"),VLOOKUP(Investment_Strategy&amp;"_"&amp;Investment_Strategy_Sub2&amp;"_"&amp;$A472,'Investment Strategies'!$AJ:$AV,13,FALSE),
IF(AND(Investment_Strategy="Autopilot",Investment_Strategy_Sub1="Non-Standard"),VLOOKUP(Investment_Strategy&amp;"_"&amp;Investment_Strategy_Sub2&amp;"_"&amp;$A472,'Investment Strategies'!$T:$AF,13,FALSE),
IF(Investment_Strategy="DIY",DIY_ExtManChrge_CurrentFunds,
"Error"))))))</f>
        <v>0</v>
      </c>
      <c r="H472" s="16">
        <f t="shared" si="255"/>
        <v>0</v>
      </c>
      <c r="I472" s="16">
        <f t="shared" si="240"/>
        <v>0</v>
      </c>
      <c r="J472" s="16">
        <f t="shared" si="241"/>
        <v>0</v>
      </c>
      <c r="K472" s="16">
        <f>(Opening_Fund_Value+SUM(K$91:K471))*E472*IF(D472=$A$91,SRP_finalmonthfactor,1)</f>
        <v>0</v>
      </c>
      <c r="L472" s="74">
        <f>MIN(IF($AV472=0,0,
IF(Investment_Strategy="DIS",VLOOKUP(Investment_Strategy&amp;"_"&amp;Investment_Strategy_Sub1&amp;"_"&amp;$A472,'Investment Strategies'!$AZ:$BP,12,FALSE),
IF(AND(Investment_Strategy="Lifecycle",Investment_Strategy_Sub1="Non-Standard"),VLOOKUP(Investment_Strategy&amp;"_"&amp;Investment_Strategy_Sub2&amp;"_"&amp;$A472,'Investment Strategies'!$C:$P,9,FALSE),
IF(AND(Investment_Strategy="Lifecycle",Investment_Strategy_Sub1="Standard"),VLOOKUP(Investment_Strategy&amp;"_"&amp;Investment_Strategy_Sub2&amp;"_"&amp;$A472,'Investment Strategies'!$AJ:$AV,8,FALSE),
IF(AND(Investment_Strategy="Autopilot",Investment_Strategy_Sub1="Non-Standard"),VLOOKUP(Investment_Strategy&amp;"_"&amp;Investment_Strategy_Sub2&amp;"_"&amp;$A472,'Investment Strategies'!$T:$AF,8,FALSE),
IF(Investment_Strategy ="DIY",DIY_RateofReturn_SP,
"Error")))))),Max_InvReturn)</f>
        <v>0</v>
      </c>
      <c r="M472" s="62">
        <f>IF($AV472=0,0,
IF(Investment_Strategy="DIS",VLOOKUP(Investment_Strategy&amp;"_"&amp;Investment_Strategy_Sub1&amp;"_"&amp;$A472,'Investment Strategies'!$AZ:$BP,15,FALSE),
IF(AND(Investment_Strategy="Lifecycle",Investment_Strategy_Sub1="Non-Standard"),VLOOKUP(Investment_Strategy&amp;"_"&amp;Investment_Strategy_Sub2&amp;"_"&amp;$A472,'Investment Strategies'!$C:$P,12,FALSE),
IF(AND(Investment_Strategy="Lifecycle",Investment_Strategy_Sub1="Standard"),VLOOKUP(Investment_Strategy&amp;"_"&amp;Investment_Strategy_Sub2&amp;"_"&amp;$A472,'Investment Strategies'!$AJ:$AV,11,FALSE),
IF(AND(Investment_Strategy="Autopilot",Investment_Strategy_Sub1="Non-Standard"),VLOOKUP(Investment_Strategy&amp;"_"&amp;Investment_Strategy_Sub2&amp;"_"&amp;$A472,'Investment Strategies'!$T:$AF,11,FALSE),
IF(Investment_Strategy="DIY",DIY_GteeChrge_SP,
"Error"))))))</f>
        <v>0</v>
      </c>
      <c r="N472" s="33">
        <f>IF($AV472=0,0,
IF(Investment_Strategy="DIS",VLOOKUP(Investment_Strategy&amp;"_"&amp;Investment_Strategy_Sub1&amp;"_"&amp;$A472,'Investment Strategies'!$AZ:$BP,17,FALSE),
IF(AND(Investment_Strategy="Lifecycle",Investment_Strategy_Sub1="Non-Standard"),VLOOKUP(Investment_Strategy&amp;"_"&amp;Investment_Strategy_Sub2&amp;"_"&amp;$A472,'Investment Strategies'!$C:$P,14,FALSE),
IF(AND(Investment_Strategy="Lifecycle",Investment_Strategy_Sub1="Standard"),VLOOKUP(Investment_Strategy&amp;"_"&amp;Investment_Strategy_Sub2&amp;"_"&amp;$A472,'Investment Strategies'!$AJ:$AV,13,FALSE),
IF(AND(Investment_Strategy="Autopilot",Investment_Strategy_Sub1="Non-Standard"),VLOOKUP(Investment_Strategy&amp;"_"&amp;Investment_Strategy_Sub2&amp;"_"&amp;$A472,'Investment Strategies'!$T:$AF,13,FALSE),
IF(Investment_Strategy="DIY",DIY_ExtManChrge_SP,
"Error"))))))</f>
        <v>0</v>
      </c>
      <c r="O472" s="16">
        <f t="shared" si="266"/>
        <v>0</v>
      </c>
      <c r="Q472" s="16">
        <f t="shared" si="242"/>
        <v>0</v>
      </c>
      <c r="R472" s="16">
        <f t="shared" si="274"/>
        <v>0</v>
      </c>
      <c r="S472" s="16">
        <f>(SRP_SP+SUM(S$91:S471))*L472*IF(D472=$A$91,SRP_finalmonthfactor,1)</f>
        <v>0</v>
      </c>
      <c r="T472" s="74">
        <f>MIN(IF($AV472=0,0,
IF(Investment_Strategy="DIS",VLOOKUP(Investment_Strategy&amp;"_"&amp;Investment_Strategy_Sub1&amp;"_"&amp;$A472,'Investment Strategies'!$AZ:$BP,12,FALSE),
IF(AND(Investment_Strategy="Lifecycle",Investment_Strategy_Sub1="Non-Standard"),VLOOKUP(Investment_Strategy&amp;"_"&amp;Investment_Strategy_Sub2&amp;"_"&amp;$A472,'Investment Strategies'!$C:$P,9,FALSE),
IF(AND(Investment_Strategy="Lifecycle",Investment_Strategy_Sub1="Standard"),VLOOKUP(Investment_Strategy&amp;"_"&amp;Investment_Strategy_Sub2&amp;"_"&amp;$A472,'Investment Strategies'!$AJ:$AV,8,FALSE),
IF(AND(Investment_Strategy="Autopilot",Investment_Strategy_Sub1="Non-Standard"),VLOOKUP(Investment_Strategy&amp;"_"&amp;Investment_Strategy_Sub2&amp;"_"&amp;$A472,'Investment Strategies'!$T:$AF,8,FALSE),
IF(Investment_Strategy ="DIY",DIY_RateOfReturn_FuturePremiums,
"Error")))))),Max_InvReturn)</f>
        <v>0</v>
      </c>
      <c r="U472" s="62">
        <f>IF($AV472=0,0,
IF(Investment_Strategy="DIS",VLOOKUP(Investment_Strategy&amp;"_"&amp;Investment_Strategy_Sub1&amp;"_"&amp;$A472,'Investment Strategies'!$AZ:$BP,15,FALSE),
IF(AND(Investment_Strategy="Lifecycle",Investment_Strategy_Sub1="Non-Standard"),VLOOKUP(Investment_Strategy&amp;"_"&amp;Investment_Strategy_Sub2&amp;"_"&amp;$A472,'Investment Strategies'!$C:$P,12,FALSE),
IF(AND(Investment_Strategy="Lifecycle",Investment_Strategy_Sub1="Standard"),VLOOKUP(Investment_Strategy&amp;"_"&amp;Investment_Strategy_Sub2&amp;"_"&amp;$A472,'Investment Strategies'!$AJ:$AV,11,FALSE),
IF(AND(Investment_Strategy="Autopilot",Investment_Strategy_Sub1="Non-Standard"),VLOOKUP(Investment_Strategy&amp;"_"&amp;Investment_Strategy_Sub2&amp;"_"&amp;$A472,'Investment Strategies'!$T:$AF,11,FALSE),
IF(Investment_Strategy="DIY",DIY_GteeChrge_FuturePremiums,
"Error"))))))</f>
        <v>0</v>
      </c>
      <c r="V472" s="33">
        <f>IF(AV472=0,0,
IF(Investment_Strategy="DIS",VLOOKUP(Investment_Strategy&amp;"_"&amp;Investment_Strategy_Sub1&amp;"_"&amp;$A472,'Investment Strategies'!$AZ:$BP,17,FALSE),
IF(AND(Investment_Strategy="Lifecycle",Investment_Strategy_Sub1="Non-Standard"),VLOOKUP(Investment_Strategy&amp;"_"&amp;Investment_Strategy_Sub2&amp;"_"&amp;$A472,'Investment Strategies'!$C:$P,14,FALSE),
IF(AND(Investment_Strategy="Lifecycle",Investment_Strategy_Sub1="Standard"),VLOOKUP(Investment_Strategy&amp;"_"&amp;Investment_Strategy_Sub2&amp;"_"&amp;$A472,'Investment Strategies'!$AJ:$AV,13,FALSE),
IF(AND(Investment_Strategy="Autopilot",Investment_Strategy_Sub1="Non-Standard"),VLOOKUP(Investment_Strategy&amp;"_"&amp;Investment_Strategy_Sub2&amp;"_"&amp;$A472,'Investment Strategies'!$T:$AF,13,FALSE),
IF(Investment_Strategy="DIY",DIY_ExtManChrge_FuturePremiums,
"Error"))))))</f>
        <v>0</v>
      </c>
      <c r="W472" s="16">
        <f t="shared" si="267"/>
        <v>0</v>
      </c>
      <c r="X472" s="16">
        <f t="shared" si="243"/>
        <v>0</v>
      </c>
      <c r="Y472" s="16">
        <f t="shared" si="244"/>
        <v>0</v>
      </c>
      <c r="Z472" s="31">
        <f t="shared" si="245"/>
        <v>0.02</v>
      </c>
      <c r="AA472" s="16">
        <f t="shared" si="246"/>
        <v>0</v>
      </c>
      <c r="AB472" s="28">
        <f t="shared" si="268"/>
        <v>0</v>
      </c>
      <c r="AC472" s="28">
        <f>(SUM($AC$91:AC471)+SUM($X$91:X471)+X472)*T472*IF(D472=$A$91,SRP_finalmonthfactor,1)</f>
        <v>0</v>
      </c>
      <c r="AD472" s="16">
        <f t="shared" si="247"/>
        <v>0</v>
      </c>
      <c r="AE472" s="106"/>
      <c r="AF472" s="16">
        <f t="shared" si="256"/>
        <v>0</v>
      </c>
      <c r="AG472" s="16">
        <f t="shared" si="257"/>
        <v>0</v>
      </c>
      <c r="AH472" s="16">
        <f t="shared" si="258"/>
        <v>0</v>
      </c>
      <c r="AJ472" s="13">
        <f t="shared" si="275"/>
        <v>0</v>
      </c>
      <c r="AK472" s="13">
        <f t="shared" si="275"/>
        <v>0</v>
      </c>
      <c r="AL472" s="13">
        <f t="shared" si="275"/>
        <v>0</v>
      </c>
      <c r="AM472" s="13">
        <f t="shared" si="275"/>
        <v>0</v>
      </c>
      <c r="AN472" s="13">
        <f t="shared" si="275"/>
        <v>0</v>
      </c>
      <c r="AO472" s="13">
        <f t="shared" si="275"/>
        <v>1</v>
      </c>
      <c r="AP472" s="13">
        <f t="shared" si="275"/>
        <v>1</v>
      </c>
      <c r="AQ472" s="13">
        <f t="shared" si="275"/>
        <v>1</v>
      </c>
      <c r="AR472" s="13">
        <f t="shared" si="275"/>
        <v>0</v>
      </c>
      <c r="AS472" s="13">
        <f t="shared" si="275"/>
        <v>0</v>
      </c>
      <c r="AT472" s="13">
        <f t="shared" si="275"/>
        <v>1</v>
      </c>
      <c r="AU472" s="13">
        <f t="shared" si="275"/>
        <v>1</v>
      </c>
      <c r="AV472" s="13">
        <f t="shared" si="249"/>
        <v>0</v>
      </c>
      <c r="AW472" s="13">
        <f t="shared" si="250"/>
        <v>1</v>
      </c>
      <c r="AY472" s="17">
        <f t="shared" si="251"/>
        <v>382</v>
      </c>
      <c r="AZ472" s="28">
        <f t="shared" si="259"/>
        <v>0</v>
      </c>
      <c r="BA472" s="13">
        <f t="shared" si="252"/>
        <v>0</v>
      </c>
      <c r="BB472" s="13">
        <f t="shared" si="253"/>
        <v>0</v>
      </c>
      <c r="BC472" s="28">
        <f t="shared" si="260"/>
        <v>0</v>
      </c>
      <c r="BD472" s="28">
        <f t="shared" si="261"/>
        <v>0</v>
      </c>
      <c r="BF472" s="248">
        <f t="shared" si="262"/>
        <v>993869.29442638322</v>
      </c>
    </row>
    <row r="473" spans="1:58">
      <c r="A473" s="32">
        <f t="shared" si="263"/>
        <v>-298</v>
      </c>
      <c r="B473" s="32">
        <f t="shared" si="254"/>
        <v>84</v>
      </c>
      <c r="C473" s="32">
        <f t="shared" si="264"/>
        <v>32</v>
      </c>
      <c r="D473" s="32">
        <f t="shared" si="265"/>
        <v>383</v>
      </c>
      <c r="E473" s="74">
        <f>MIN(IF(AV473=0,0,
IF(Investment_Strategy="DIS",VLOOKUP(Investment_Strategy&amp;"_"&amp;Investment_Strategy_Sub1&amp;"_"&amp;$A473,'Investment Strategies'!$AZ:$BP,12,FALSE),
IF(AND(Investment_Strategy="Lifecycle",Investment_Strategy_Sub1="Non-Standard"),VLOOKUP(Investment_Strategy&amp;"_"&amp;Investment_Strategy_Sub2&amp;"_"&amp;$A473,'Investment Strategies'!$C:$P,9,FALSE),
IF(AND(Investment_Strategy="Lifecycle",Investment_Strategy_Sub1="Standard"),VLOOKUP(Investment_Strategy&amp;"_"&amp;Investment_Strategy_Sub2&amp;"_"&amp;$A473,'Investment Strategies'!$AJ:$AV,8,FALSE),
IF(AND(Investment_Strategy="Autopilot",Investment_Strategy_Sub1="Non-Standard"),VLOOKUP(Investment_Strategy&amp;"_"&amp;Investment_Strategy_Sub2&amp;"_"&amp;$A473,'Investment Strategies'!$T:$AF,8,FALSE),
IF(Investment_Strategy ="DIY",DIY_RateOfReturn_CurrentFunds,
"Error")))))),Max_InvReturn)</f>
        <v>0</v>
      </c>
      <c r="F473" s="62">
        <f>IF(AV473=0,0,
IF(Investment_Strategy="DIS",VLOOKUP(Investment_Strategy&amp;"_"&amp;Investment_Strategy_Sub1&amp;"_"&amp;$A473,'Investment Strategies'!$AZ:$BP,15,FALSE),
IF(AND(Investment_Strategy="Lifecycle",Investment_Strategy_Sub1="Non-Standard"),VLOOKUP(Investment_Strategy&amp;"_"&amp;Investment_Strategy_Sub2&amp;"_"&amp;$A473,'Investment Strategies'!$C:$P,12,FALSE),
IF(AND(Investment_Strategy="Lifecycle",Investment_Strategy_Sub1="Standard"),VLOOKUP(Investment_Strategy&amp;"_"&amp;Investment_Strategy_Sub2&amp;"_"&amp;$A473,'Investment Strategies'!$AJ:$AV,11,FALSE),
IF(AND(Investment_Strategy="Autopilot",Investment_Strategy_Sub1="Non-Standard"),VLOOKUP(Investment_Strategy&amp;"_"&amp;Investment_Strategy_Sub2&amp;"_"&amp;$A473,'Investment Strategies'!$T:$AF,11,FALSE),
IF(Investment_Strategy="DIY",DIY_GteeChrge_CurrentFunds,
"Error"))))))</f>
        <v>0</v>
      </c>
      <c r="G473" s="33">
        <f>IF(AV473=0,0,
IF(Investment_Strategy="DIS",VLOOKUP(Investment_Strategy&amp;"_"&amp;Investment_Strategy_Sub1&amp;"_"&amp;$A473,'Investment Strategies'!$AZ:$BP,17,FALSE),
IF(AND(Investment_Strategy="Lifecycle",Investment_Strategy_Sub1="Non-Standard"),VLOOKUP(Investment_Strategy&amp;"_"&amp;Investment_Strategy_Sub2&amp;"_"&amp;$A473,'Investment Strategies'!$C:$P,14,FALSE),
IF(AND(Investment_Strategy="Lifecycle",Investment_Strategy_Sub1="Standard"),VLOOKUP(Investment_Strategy&amp;"_"&amp;Investment_Strategy_Sub2&amp;"_"&amp;$A473,'Investment Strategies'!$AJ:$AV,13,FALSE),
IF(AND(Investment_Strategy="Autopilot",Investment_Strategy_Sub1="Non-Standard"),VLOOKUP(Investment_Strategy&amp;"_"&amp;Investment_Strategy_Sub2&amp;"_"&amp;$A473,'Investment Strategies'!$T:$AF,13,FALSE),
IF(Investment_Strategy="DIY",DIY_ExtManChrge_CurrentFunds,
"Error"))))))</f>
        <v>0</v>
      </c>
      <c r="H473" s="16">
        <f t="shared" si="255"/>
        <v>0</v>
      </c>
      <c r="I473" s="16">
        <f t="shared" si="240"/>
        <v>0</v>
      </c>
      <c r="J473" s="16">
        <f t="shared" si="241"/>
        <v>0</v>
      </c>
      <c r="K473" s="16">
        <f>(Opening_Fund_Value+SUM(K$91:K472))*E473*IF(D473=$A$91,SRP_finalmonthfactor,1)</f>
        <v>0</v>
      </c>
      <c r="L473" s="74">
        <f>MIN(IF($AV473=0,0,
IF(Investment_Strategy="DIS",VLOOKUP(Investment_Strategy&amp;"_"&amp;Investment_Strategy_Sub1&amp;"_"&amp;$A473,'Investment Strategies'!$AZ:$BP,12,FALSE),
IF(AND(Investment_Strategy="Lifecycle",Investment_Strategy_Sub1="Non-Standard"),VLOOKUP(Investment_Strategy&amp;"_"&amp;Investment_Strategy_Sub2&amp;"_"&amp;$A473,'Investment Strategies'!$C:$P,9,FALSE),
IF(AND(Investment_Strategy="Lifecycle",Investment_Strategy_Sub1="Standard"),VLOOKUP(Investment_Strategy&amp;"_"&amp;Investment_Strategy_Sub2&amp;"_"&amp;$A473,'Investment Strategies'!$AJ:$AV,8,FALSE),
IF(AND(Investment_Strategy="Autopilot",Investment_Strategy_Sub1="Non-Standard"),VLOOKUP(Investment_Strategy&amp;"_"&amp;Investment_Strategy_Sub2&amp;"_"&amp;$A473,'Investment Strategies'!$T:$AF,8,FALSE),
IF(Investment_Strategy ="DIY",DIY_RateofReturn_SP,
"Error")))))),Max_InvReturn)</f>
        <v>0</v>
      </c>
      <c r="M473" s="62">
        <f>IF($AV473=0,0,
IF(Investment_Strategy="DIS",VLOOKUP(Investment_Strategy&amp;"_"&amp;Investment_Strategy_Sub1&amp;"_"&amp;$A473,'Investment Strategies'!$AZ:$BP,15,FALSE),
IF(AND(Investment_Strategy="Lifecycle",Investment_Strategy_Sub1="Non-Standard"),VLOOKUP(Investment_Strategy&amp;"_"&amp;Investment_Strategy_Sub2&amp;"_"&amp;$A473,'Investment Strategies'!$C:$P,12,FALSE),
IF(AND(Investment_Strategy="Lifecycle",Investment_Strategy_Sub1="Standard"),VLOOKUP(Investment_Strategy&amp;"_"&amp;Investment_Strategy_Sub2&amp;"_"&amp;$A473,'Investment Strategies'!$AJ:$AV,11,FALSE),
IF(AND(Investment_Strategy="Autopilot",Investment_Strategy_Sub1="Non-Standard"),VLOOKUP(Investment_Strategy&amp;"_"&amp;Investment_Strategy_Sub2&amp;"_"&amp;$A473,'Investment Strategies'!$T:$AF,11,FALSE),
IF(Investment_Strategy="DIY",DIY_GteeChrge_SP,
"Error"))))))</f>
        <v>0</v>
      </c>
      <c r="N473" s="33">
        <f>IF($AV473=0,0,
IF(Investment_Strategy="DIS",VLOOKUP(Investment_Strategy&amp;"_"&amp;Investment_Strategy_Sub1&amp;"_"&amp;$A473,'Investment Strategies'!$AZ:$BP,17,FALSE),
IF(AND(Investment_Strategy="Lifecycle",Investment_Strategy_Sub1="Non-Standard"),VLOOKUP(Investment_Strategy&amp;"_"&amp;Investment_Strategy_Sub2&amp;"_"&amp;$A473,'Investment Strategies'!$C:$P,14,FALSE),
IF(AND(Investment_Strategy="Lifecycle",Investment_Strategy_Sub1="Standard"),VLOOKUP(Investment_Strategy&amp;"_"&amp;Investment_Strategy_Sub2&amp;"_"&amp;$A473,'Investment Strategies'!$AJ:$AV,13,FALSE),
IF(AND(Investment_Strategy="Autopilot",Investment_Strategy_Sub1="Non-Standard"),VLOOKUP(Investment_Strategy&amp;"_"&amp;Investment_Strategy_Sub2&amp;"_"&amp;$A473,'Investment Strategies'!$T:$AF,13,FALSE),
IF(Investment_Strategy="DIY",DIY_ExtManChrge_SP,
"Error"))))))</f>
        <v>0</v>
      </c>
      <c r="O473" s="16">
        <f t="shared" si="266"/>
        <v>0</v>
      </c>
      <c r="Q473" s="16">
        <f t="shared" si="242"/>
        <v>0</v>
      </c>
      <c r="R473" s="16">
        <f t="shared" si="274"/>
        <v>0</v>
      </c>
      <c r="S473" s="16">
        <f>(SRP_SP+SUM(S$91:S472))*L473*IF(D473=$A$91,SRP_finalmonthfactor,1)</f>
        <v>0</v>
      </c>
      <c r="T473" s="74">
        <f>MIN(IF($AV473=0,0,
IF(Investment_Strategy="DIS",VLOOKUP(Investment_Strategy&amp;"_"&amp;Investment_Strategy_Sub1&amp;"_"&amp;$A473,'Investment Strategies'!$AZ:$BP,12,FALSE),
IF(AND(Investment_Strategy="Lifecycle",Investment_Strategy_Sub1="Non-Standard"),VLOOKUP(Investment_Strategy&amp;"_"&amp;Investment_Strategy_Sub2&amp;"_"&amp;$A473,'Investment Strategies'!$C:$P,9,FALSE),
IF(AND(Investment_Strategy="Lifecycle",Investment_Strategy_Sub1="Standard"),VLOOKUP(Investment_Strategy&amp;"_"&amp;Investment_Strategy_Sub2&amp;"_"&amp;$A473,'Investment Strategies'!$AJ:$AV,8,FALSE),
IF(AND(Investment_Strategy="Autopilot",Investment_Strategy_Sub1="Non-Standard"),VLOOKUP(Investment_Strategy&amp;"_"&amp;Investment_Strategy_Sub2&amp;"_"&amp;$A473,'Investment Strategies'!$T:$AF,8,FALSE),
IF(Investment_Strategy ="DIY",DIY_RateOfReturn_FuturePremiums,
"Error")))))),Max_InvReturn)</f>
        <v>0</v>
      </c>
      <c r="U473" s="62">
        <f>IF($AV473=0,0,
IF(Investment_Strategy="DIS",VLOOKUP(Investment_Strategy&amp;"_"&amp;Investment_Strategy_Sub1&amp;"_"&amp;$A473,'Investment Strategies'!$AZ:$BP,15,FALSE),
IF(AND(Investment_Strategy="Lifecycle",Investment_Strategy_Sub1="Non-Standard"),VLOOKUP(Investment_Strategy&amp;"_"&amp;Investment_Strategy_Sub2&amp;"_"&amp;$A473,'Investment Strategies'!$C:$P,12,FALSE),
IF(AND(Investment_Strategy="Lifecycle",Investment_Strategy_Sub1="Standard"),VLOOKUP(Investment_Strategy&amp;"_"&amp;Investment_Strategy_Sub2&amp;"_"&amp;$A473,'Investment Strategies'!$AJ:$AV,11,FALSE),
IF(AND(Investment_Strategy="Autopilot",Investment_Strategy_Sub1="Non-Standard"),VLOOKUP(Investment_Strategy&amp;"_"&amp;Investment_Strategy_Sub2&amp;"_"&amp;$A473,'Investment Strategies'!$T:$AF,11,FALSE),
IF(Investment_Strategy="DIY",DIY_GteeChrge_FuturePremiums,
"Error"))))))</f>
        <v>0</v>
      </c>
      <c r="V473" s="33">
        <f>IF(AV473=0,0,
IF(Investment_Strategy="DIS",VLOOKUP(Investment_Strategy&amp;"_"&amp;Investment_Strategy_Sub1&amp;"_"&amp;$A473,'Investment Strategies'!$AZ:$BP,17,FALSE),
IF(AND(Investment_Strategy="Lifecycle",Investment_Strategy_Sub1="Non-Standard"),VLOOKUP(Investment_Strategy&amp;"_"&amp;Investment_Strategy_Sub2&amp;"_"&amp;$A473,'Investment Strategies'!$C:$P,14,FALSE),
IF(AND(Investment_Strategy="Lifecycle",Investment_Strategy_Sub1="Standard"),VLOOKUP(Investment_Strategy&amp;"_"&amp;Investment_Strategy_Sub2&amp;"_"&amp;$A473,'Investment Strategies'!$AJ:$AV,13,FALSE),
IF(AND(Investment_Strategy="Autopilot",Investment_Strategy_Sub1="Non-Standard"),VLOOKUP(Investment_Strategy&amp;"_"&amp;Investment_Strategy_Sub2&amp;"_"&amp;$A473,'Investment Strategies'!$T:$AF,13,FALSE),
IF(Investment_Strategy="DIY",DIY_ExtManChrge_FuturePremiums,
"Error"))))))</f>
        <v>0</v>
      </c>
      <c r="W473" s="16">
        <f t="shared" si="267"/>
        <v>0</v>
      </c>
      <c r="X473" s="16">
        <f t="shared" si="243"/>
        <v>0</v>
      </c>
      <c r="Y473" s="16">
        <f t="shared" si="244"/>
        <v>0</v>
      </c>
      <c r="Z473" s="31">
        <f t="shared" si="245"/>
        <v>0.02</v>
      </c>
      <c r="AA473" s="16">
        <f t="shared" si="246"/>
        <v>0</v>
      </c>
      <c r="AB473" s="28">
        <f t="shared" si="268"/>
        <v>0</v>
      </c>
      <c r="AC473" s="28">
        <f>(SUM($AC$91:AC472)+SUM($X$91:X472)+X473)*T473*IF(D473=$A$91,SRP_finalmonthfactor,1)</f>
        <v>0</v>
      </c>
      <c r="AD473" s="16">
        <f t="shared" si="247"/>
        <v>0</v>
      </c>
      <c r="AE473" s="106"/>
      <c r="AF473" s="16">
        <f t="shared" si="256"/>
        <v>0</v>
      </c>
      <c r="AG473" s="16">
        <f t="shared" si="257"/>
        <v>0</v>
      </c>
      <c r="AH473" s="16">
        <f t="shared" si="258"/>
        <v>0</v>
      </c>
      <c r="AJ473" s="13">
        <f t="shared" si="275"/>
        <v>0</v>
      </c>
      <c r="AK473" s="13">
        <f t="shared" si="275"/>
        <v>0</v>
      </c>
      <c r="AL473" s="13">
        <f t="shared" si="275"/>
        <v>0</v>
      </c>
      <c r="AM473" s="13">
        <f t="shared" si="275"/>
        <v>0</v>
      </c>
      <c r="AN473" s="13">
        <f t="shared" si="275"/>
        <v>0</v>
      </c>
      <c r="AO473" s="13">
        <f t="shared" si="275"/>
        <v>1</v>
      </c>
      <c r="AP473" s="13">
        <f t="shared" si="275"/>
        <v>1</v>
      </c>
      <c r="AQ473" s="13">
        <f t="shared" si="275"/>
        <v>1</v>
      </c>
      <c r="AR473" s="13">
        <f t="shared" si="275"/>
        <v>0</v>
      </c>
      <c r="AS473" s="13">
        <f t="shared" si="275"/>
        <v>0</v>
      </c>
      <c r="AT473" s="13">
        <f t="shared" si="275"/>
        <v>1</v>
      </c>
      <c r="AU473" s="13">
        <f t="shared" si="275"/>
        <v>1</v>
      </c>
      <c r="AV473" s="13">
        <f t="shared" si="249"/>
        <v>0</v>
      </c>
      <c r="AW473" s="13">
        <f t="shared" si="250"/>
        <v>1</v>
      </c>
      <c r="AY473" s="17">
        <f t="shared" si="251"/>
        <v>383</v>
      </c>
      <c r="AZ473" s="28">
        <f t="shared" si="259"/>
        <v>0</v>
      </c>
      <c r="BA473" s="13">
        <f t="shared" si="252"/>
        <v>0</v>
      </c>
      <c r="BB473" s="13">
        <f t="shared" si="253"/>
        <v>0</v>
      </c>
      <c r="BC473" s="28">
        <f t="shared" si="260"/>
        <v>0</v>
      </c>
      <c r="BD473" s="28">
        <f t="shared" si="261"/>
        <v>0</v>
      </c>
      <c r="BF473" s="248">
        <f t="shared" si="262"/>
        <v>993869.29442638322</v>
      </c>
    </row>
    <row r="474" spans="1:58">
      <c r="A474" s="32">
        <f t="shared" si="263"/>
        <v>-299</v>
      </c>
      <c r="B474" s="32">
        <f t="shared" si="254"/>
        <v>84</v>
      </c>
      <c r="C474" s="32">
        <f t="shared" si="264"/>
        <v>32</v>
      </c>
      <c r="D474" s="32">
        <f t="shared" si="265"/>
        <v>384</v>
      </c>
      <c r="E474" s="74">
        <f>MIN(IF(AV474=0,0,
IF(Investment_Strategy="DIS",VLOOKUP(Investment_Strategy&amp;"_"&amp;Investment_Strategy_Sub1&amp;"_"&amp;$A474,'Investment Strategies'!$AZ:$BP,12,FALSE),
IF(AND(Investment_Strategy="Lifecycle",Investment_Strategy_Sub1="Non-Standard"),VLOOKUP(Investment_Strategy&amp;"_"&amp;Investment_Strategy_Sub2&amp;"_"&amp;$A474,'Investment Strategies'!$C:$P,9,FALSE),
IF(AND(Investment_Strategy="Lifecycle",Investment_Strategy_Sub1="Standard"),VLOOKUP(Investment_Strategy&amp;"_"&amp;Investment_Strategy_Sub2&amp;"_"&amp;$A474,'Investment Strategies'!$AJ:$AV,8,FALSE),
IF(AND(Investment_Strategy="Autopilot",Investment_Strategy_Sub1="Non-Standard"),VLOOKUP(Investment_Strategy&amp;"_"&amp;Investment_Strategy_Sub2&amp;"_"&amp;$A474,'Investment Strategies'!$T:$AF,8,FALSE),
IF(Investment_Strategy ="DIY",DIY_RateOfReturn_CurrentFunds,
"Error")))))),Max_InvReturn)</f>
        <v>0</v>
      </c>
      <c r="F474" s="62">
        <f>IF(AV474=0,0,
IF(Investment_Strategy="DIS",VLOOKUP(Investment_Strategy&amp;"_"&amp;Investment_Strategy_Sub1&amp;"_"&amp;$A474,'Investment Strategies'!$AZ:$BP,15,FALSE),
IF(AND(Investment_Strategy="Lifecycle",Investment_Strategy_Sub1="Non-Standard"),VLOOKUP(Investment_Strategy&amp;"_"&amp;Investment_Strategy_Sub2&amp;"_"&amp;$A474,'Investment Strategies'!$C:$P,12,FALSE),
IF(AND(Investment_Strategy="Lifecycle",Investment_Strategy_Sub1="Standard"),VLOOKUP(Investment_Strategy&amp;"_"&amp;Investment_Strategy_Sub2&amp;"_"&amp;$A474,'Investment Strategies'!$AJ:$AV,11,FALSE),
IF(AND(Investment_Strategy="Autopilot",Investment_Strategy_Sub1="Non-Standard"),VLOOKUP(Investment_Strategy&amp;"_"&amp;Investment_Strategy_Sub2&amp;"_"&amp;$A474,'Investment Strategies'!$T:$AF,11,FALSE),
IF(Investment_Strategy="DIY",DIY_GteeChrge_CurrentFunds,
"Error"))))))</f>
        <v>0</v>
      </c>
      <c r="G474" s="33">
        <f>IF(AV474=0,0,
IF(Investment_Strategy="DIS",VLOOKUP(Investment_Strategy&amp;"_"&amp;Investment_Strategy_Sub1&amp;"_"&amp;$A474,'Investment Strategies'!$AZ:$BP,17,FALSE),
IF(AND(Investment_Strategy="Lifecycle",Investment_Strategy_Sub1="Non-Standard"),VLOOKUP(Investment_Strategy&amp;"_"&amp;Investment_Strategy_Sub2&amp;"_"&amp;$A474,'Investment Strategies'!$C:$P,14,FALSE),
IF(AND(Investment_Strategy="Lifecycle",Investment_Strategy_Sub1="Standard"),VLOOKUP(Investment_Strategy&amp;"_"&amp;Investment_Strategy_Sub2&amp;"_"&amp;$A474,'Investment Strategies'!$AJ:$AV,13,FALSE),
IF(AND(Investment_Strategy="Autopilot",Investment_Strategy_Sub1="Non-Standard"),VLOOKUP(Investment_Strategy&amp;"_"&amp;Investment_Strategy_Sub2&amp;"_"&amp;$A474,'Investment Strategies'!$T:$AF,13,FALSE),
IF(Investment_Strategy="DIY",DIY_ExtManChrge_CurrentFunds,
"Error"))))))</f>
        <v>0</v>
      </c>
      <c r="H474" s="16">
        <f t="shared" si="255"/>
        <v>0</v>
      </c>
      <c r="I474" s="16">
        <f t="shared" si="240"/>
        <v>0</v>
      </c>
      <c r="J474" s="16">
        <f t="shared" si="241"/>
        <v>0</v>
      </c>
      <c r="K474" s="16">
        <f>(Opening_Fund_Value+SUM(K$91:K473))*E474*IF(D474=$A$91,SRP_finalmonthfactor,1)</f>
        <v>0</v>
      </c>
      <c r="L474" s="74">
        <f>MIN(IF($AV474=0,0,
IF(Investment_Strategy="DIS",VLOOKUP(Investment_Strategy&amp;"_"&amp;Investment_Strategy_Sub1&amp;"_"&amp;$A474,'Investment Strategies'!$AZ:$BP,12,FALSE),
IF(AND(Investment_Strategy="Lifecycle",Investment_Strategy_Sub1="Non-Standard"),VLOOKUP(Investment_Strategy&amp;"_"&amp;Investment_Strategy_Sub2&amp;"_"&amp;$A474,'Investment Strategies'!$C:$P,9,FALSE),
IF(AND(Investment_Strategy="Lifecycle",Investment_Strategy_Sub1="Standard"),VLOOKUP(Investment_Strategy&amp;"_"&amp;Investment_Strategy_Sub2&amp;"_"&amp;$A474,'Investment Strategies'!$AJ:$AV,8,FALSE),
IF(AND(Investment_Strategy="Autopilot",Investment_Strategy_Sub1="Non-Standard"),VLOOKUP(Investment_Strategy&amp;"_"&amp;Investment_Strategy_Sub2&amp;"_"&amp;$A474,'Investment Strategies'!$T:$AF,8,FALSE),
IF(Investment_Strategy ="DIY",DIY_RateofReturn_SP,
"Error")))))),Max_InvReturn)</f>
        <v>0</v>
      </c>
      <c r="M474" s="62">
        <f>IF($AV474=0,0,
IF(Investment_Strategy="DIS",VLOOKUP(Investment_Strategy&amp;"_"&amp;Investment_Strategy_Sub1&amp;"_"&amp;$A474,'Investment Strategies'!$AZ:$BP,15,FALSE),
IF(AND(Investment_Strategy="Lifecycle",Investment_Strategy_Sub1="Non-Standard"),VLOOKUP(Investment_Strategy&amp;"_"&amp;Investment_Strategy_Sub2&amp;"_"&amp;$A474,'Investment Strategies'!$C:$P,12,FALSE),
IF(AND(Investment_Strategy="Lifecycle",Investment_Strategy_Sub1="Standard"),VLOOKUP(Investment_Strategy&amp;"_"&amp;Investment_Strategy_Sub2&amp;"_"&amp;$A474,'Investment Strategies'!$AJ:$AV,11,FALSE),
IF(AND(Investment_Strategy="Autopilot",Investment_Strategy_Sub1="Non-Standard"),VLOOKUP(Investment_Strategy&amp;"_"&amp;Investment_Strategy_Sub2&amp;"_"&amp;$A474,'Investment Strategies'!$T:$AF,11,FALSE),
IF(Investment_Strategy="DIY",DIY_GteeChrge_SP,
"Error"))))))</f>
        <v>0</v>
      </c>
      <c r="N474" s="33">
        <f>IF($AV474=0,0,
IF(Investment_Strategy="DIS",VLOOKUP(Investment_Strategy&amp;"_"&amp;Investment_Strategy_Sub1&amp;"_"&amp;$A474,'Investment Strategies'!$AZ:$BP,17,FALSE),
IF(AND(Investment_Strategy="Lifecycle",Investment_Strategy_Sub1="Non-Standard"),VLOOKUP(Investment_Strategy&amp;"_"&amp;Investment_Strategy_Sub2&amp;"_"&amp;$A474,'Investment Strategies'!$C:$P,14,FALSE),
IF(AND(Investment_Strategy="Lifecycle",Investment_Strategy_Sub1="Standard"),VLOOKUP(Investment_Strategy&amp;"_"&amp;Investment_Strategy_Sub2&amp;"_"&amp;$A474,'Investment Strategies'!$AJ:$AV,13,FALSE),
IF(AND(Investment_Strategy="Autopilot",Investment_Strategy_Sub1="Non-Standard"),VLOOKUP(Investment_Strategy&amp;"_"&amp;Investment_Strategy_Sub2&amp;"_"&amp;$A474,'Investment Strategies'!$T:$AF,13,FALSE),
IF(Investment_Strategy="DIY",DIY_ExtManChrge_SP,
"Error"))))))</f>
        <v>0</v>
      </c>
      <c r="O474" s="16">
        <f t="shared" si="266"/>
        <v>0</v>
      </c>
      <c r="Q474" s="16">
        <f t="shared" si="242"/>
        <v>0</v>
      </c>
      <c r="R474" s="16">
        <f t="shared" si="274"/>
        <v>0</v>
      </c>
      <c r="S474" s="16">
        <f>(SRP_SP+SUM(S$91:S473))*L474*IF(D474=$A$91,SRP_finalmonthfactor,1)</f>
        <v>0</v>
      </c>
      <c r="T474" s="74">
        <f>MIN(IF($AV474=0,0,
IF(Investment_Strategy="DIS",VLOOKUP(Investment_Strategy&amp;"_"&amp;Investment_Strategy_Sub1&amp;"_"&amp;$A474,'Investment Strategies'!$AZ:$BP,12,FALSE),
IF(AND(Investment_Strategy="Lifecycle",Investment_Strategy_Sub1="Non-Standard"),VLOOKUP(Investment_Strategy&amp;"_"&amp;Investment_Strategy_Sub2&amp;"_"&amp;$A474,'Investment Strategies'!$C:$P,9,FALSE),
IF(AND(Investment_Strategy="Lifecycle",Investment_Strategy_Sub1="Standard"),VLOOKUP(Investment_Strategy&amp;"_"&amp;Investment_Strategy_Sub2&amp;"_"&amp;$A474,'Investment Strategies'!$AJ:$AV,8,FALSE),
IF(AND(Investment_Strategy="Autopilot",Investment_Strategy_Sub1="Non-Standard"),VLOOKUP(Investment_Strategy&amp;"_"&amp;Investment_Strategy_Sub2&amp;"_"&amp;$A474,'Investment Strategies'!$T:$AF,8,FALSE),
IF(Investment_Strategy ="DIY",DIY_RateOfReturn_FuturePremiums,
"Error")))))),Max_InvReturn)</f>
        <v>0</v>
      </c>
      <c r="U474" s="62">
        <f>IF($AV474=0,0,
IF(Investment_Strategy="DIS",VLOOKUP(Investment_Strategy&amp;"_"&amp;Investment_Strategy_Sub1&amp;"_"&amp;$A474,'Investment Strategies'!$AZ:$BP,15,FALSE),
IF(AND(Investment_Strategy="Lifecycle",Investment_Strategy_Sub1="Non-Standard"),VLOOKUP(Investment_Strategy&amp;"_"&amp;Investment_Strategy_Sub2&amp;"_"&amp;$A474,'Investment Strategies'!$C:$P,12,FALSE),
IF(AND(Investment_Strategy="Lifecycle",Investment_Strategy_Sub1="Standard"),VLOOKUP(Investment_Strategy&amp;"_"&amp;Investment_Strategy_Sub2&amp;"_"&amp;$A474,'Investment Strategies'!$AJ:$AV,11,FALSE),
IF(AND(Investment_Strategy="Autopilot",Investment_Strategy_Sub1="Non-Standard"),VLOOKUP(Investment_Strategy&amp;"_"&amp;Investment_Strategy_Sub2&amp;"_"&amp;$A474,'Investment Strategies'!$T:$AF,11,FALSE),
IF(Investment_Strategy="DIY",DIY_GteeChrge_FuturePremiums,
"Error"))))))</f>
        <v>0</v>
      </c>
      <c r="V474" s="33">
        <f>IF(AV474=0,0,
IF(Investment_Strategy="DIS",VLOOKUP(Investment_Strategy&amp;"_"&amp;Investment_Strategy_Sub1&amp;"_"&amp;$A474,'Investment Strategies'!$AZ:$BP,17,FALSE),
IF(AND(Investment_Strategy="Lifecycle",Investment_Strategy_Sub1="Non-Standard"),VLOOKUP(Investment_Strategy&amp;"_"&amp;Investment_Strategy_Sub2&amp;"_"&amp;$A474,'Investment Strategies'!$C:$P,14,FALSE),
IF(AND(Investment_Strategy="Lifecycle",Investment_Strategy_Sub1="Standard"),VLOOKUP(Investment_Strategy&amp;"_"&amp;Investment_Strategy_Sub2&amp;"_"&amp;$A474,'Investment Strategies'!$AJ:$AV,13,FALSE),
IF(AND(Investment_Strategy="Autopilot",Investment_Strategy_Sub1="Non-Standard"),VLOOKUP(Investment_Strategy&amp;"_"&amp;Investment_Strategy_Sub2&amp;"_"&amp;$A474,'Investment Strategies'!$T:$AF,13,FALSE),
IF(Investment_Strategy="DIY",DIY_ExtManChrge_FuturePremiums,
"Error"))))))</f>
        <v>0</v>
      </c>
      <c r="W474" s="16">
        <f t="shared" si="267"/>
        <v>0</v>
      </c>
      <c r="X474" s="16">
        <f t="shared" si="243"/>
        <v>0</v>
      </c>
      <c r="Y474" s="16">
        <f t="shared" si="244"/>
        <v>0</v>
      </c>
      <c r="Z474" s="31">
        <f t="shared" si="245"/>
        <v>0.02</v>
      </c>
      <c r="AA474" s="16">
        <f t="shared" si="246"/>
        <v>0</v>
      </c>
      <c r="AB474" s="28">
        <f t="shared" si="268"/>
        <v>0</v>
      </c>
      <c r="AC474" s="28">
        <f>(SUM($AC$91:AC473)+SUM($X$91:X473)+X474)*T474*IF(D474=$A$91,SRP_finalmonthfactor,1)</f>
        <v>0</v>
      </c>
      <c r="AD474" s="16">
        <f t="shared" si="247"/>
        <v>0</v>
      </c>
      <c r="AE474" s="106"/>
      <c r="AF474" s="16">
        <f t="shared" si="256"/>
        <v>0</v>
      </c>
      <c r="AG474" s="16">
        <f t="shared" si="257"/>
        <v>0</v>
      </c>
      <c r="AH474" s="16">
        <f t="shared" si="258"/>
        <v>0</v>
      </c>
      <c r="AJ474" s="13">
        <f t="shared" si="275"/>
        <v>0</v>
      </c>
      <c r="AK474" s="13">
        <f t="shared" si="275"/>
        <v>0</v>
      </c>
      <c r="AL474" s="13">
        <f t="shared" si="275"/>
        <v>0</v>
      </c>
      <c r="AM474" s="13">
        <f t="shared" si="275"/>
        <v>0</v>
      </c>
      <c r="AN474" s="13">
        <f t="shared" si="275"/>
        <v>0</v>
      </c>
      <c r="AO474" s="13">
        <f t="shared" si="275"/>
        <v>1</v>
      </c>
      <c r="AP474" s="13">
        <f t="shared" si="275"/>
        <v>1</v>
      </c>
      <c r="AQ474" s="13">
        <f t="shared" si="275"/>
        <v>1</v>
      </c>
      <c r="AR474" s="13">
        <f t="shared" si="275"/>
        <v>0</v>
      </c>
      <c r="AS474" s="13">
        <f t="shared" si="275"/>
        <v>0</v>
      </c>
      <c r="AT474" s="13">
        <f t="shared" si="275"/>
        <v>1</v>
      </c>
      <c r="AU474" s="13">
        <f t="shared" si="275"/>
        <v>1</v>
      </c>
      <c r="AV474" s="13">
        <f t="shared" si="249"/>
        <v>0</v>
      </c>
      <c r="AW474" s="13">
        <f t="shared" si="250"/>
        <v>1</v>
      </c>
      <c r="AY474" s="17">
        <f t="shared" si="251"/>
        <v>384</v>
      </c>
      <c r="AZ474" s="28">
        <f t="shared" si="259"/>
        <v>0</v>
      </c>
      <c r="BA474" s="13">
        <f t="shared" si="252"/>
        <v>0</v>
      </c>
      <c r="BB474" s="13">
        <f t="shared" si="253"/>
        <v>0</v>
      </c>
      <c r="BC474" s="28">
        <f t="shared" si="260"/>
        <v>0</v>
      </c>
      <c r="BD474" s="28">
        <f t="shared" si="261"/>
        <v>0</v>
      </c>
      <c r="BF474" s="248">
        <f t="shared" si="262"/>
        <v>993869.29442638322</v>
      </c>
    </row>
    <row r="475" spans="1:58">
      <c r="A475" s="32">
        <f t="shared" si="263"/>
        <v>-300</v>
      </c>
      <c r="B475" s="32">
        <f t="shared" si="254"/>
        <v>85</v>
      </c>
      <c r="C475" s="32">
        <f t="shared" si="264"/>
        <v>33</v>
      </c>
      <c r="D475" s="32">
        <f t="shared" si="265"/>
        <v>385</v>
      </c>
      <c r="E475" s="74">
        <f>MIN(IF(AV475=0,0,
IF(Investment_Strategy="DIS",VLOOKUP(Investment_Strategy&amp;"_"&amp;Investment_Strategy_Sub1&amp;"_"&amp;$A475,'Investment Strategies'!$AZ:$BP,12,FALSE),
IF(AND(Investment_Strategy="Lifecycle",Investment_Strategy_Sub1="Non-Standard"),VLOOKUP(Investment_Strategy&amp;"_"&amp;Investment_Strategy_Sub2&amp;"_"&amp;$A475,'Investment Strategies'!$C:$P,9,FALSE),
IF(AND(Investment_Strategy="Lifecycle",Investment_Strategy_Sub1="Standard"),VLOOKUP(Investment_Strategy&amp;"_"&amp;Investment_Strategy_Sub2&amp;"_"&amp;$A475,'Investment Strategies'!$AJ:$AV,8,FALSE),
IF(AND(Investment_Strategy="Autopilot",Investment_Strategy_Sub1="Non-Standard"),VLOOKUP(Investment_Strategy&amp;"_"&amp;Investment_Strategy_Sub2&amp;"_"&amp;$A475,'Investment Strategies'!$T:$AF,8,FALSE),
IF(Investment_Strategy ="DIY",DIY_RateOfReturn_CurrentFunds,
"Error")))))),Max_InvReturn)</f>
        <v>0</v>
      </c>
      <c r="F475" s="62">
        <f>IF(AV475=0,0,
IF(Investment_Strategy="DIS",VLOOKUP(Investment_Strategy&amp;"_"&amp;Investment_Strategy_Sub1&amp;"_"&amp;$A475,'Investment Strategies'!$AZ:$BP,15,FALSE),
IF(AND(Investment_Strategy="Lifecycle",Investment_Strategy_Sub1="Non-Standard"),VLOOKUP(Investment_Strategy&amp;"_"&amp;Investment_Strategy_Sub2&amp;"_"&amp;$A475,'Investment Strategies'!$C:$P,12,FALSE),
IF(AND(Investment_Strategy="Lifecycle",Investment_Strategy_Sub1="Standard"),VLOOKUP(Investment_Strategy&amp;"_"&amp;Investment_Strategy_Sub2&amp;"_"&amp;$A475,'Investment Strategies'!$AJ:$AV,11,FALSE),
IF(AND(Investment_Strategy="Autopilot",Investment_Strategy_Sub1="Non-Standard"),VLOOKUP(Investment_Strategy&amp;"_"&amp;Investment_Strategy_Sub2&amp;"_"&amp;$A475,'Investment Strategies'!$T:$AF,11,FALSE),
IF(Investment_Strategy="DIY",DIY_GteeChrge_CurrentFunds,
"Error"))))))</f>
        <v>0</v>
      </c>
      <c r="G475" s="33">
        <f>IF(AV475=0,0,
IF(Investment_Strategy="DIS",VLOOKUP(Investment_Strategy&amp;"_"&amp;Investment_Strategy_Sub1&amp;"_"&amp;$A475,'Investment Strategies'!$AZ:$BP,17,FALSE),
IF(AND(Investment_Strategy="Lifecycle",Investment_Strategy_Sub1="Non-Standard"),VLOOKUP(Investment_Strategy&amp;"_"&amp;Investment_Strategy_Sub2&amp;"_"&amp;$A475,'Investment Strategies'!$C:$P,14,FALSE),
IF(AND(Investment_Strategy="Lifecycle",Investment_Strategy_Sub1="Standard"),VLOOKUP(Investment_Strategy&amp;"_"&amp;Investment_Strategy_Sub2&amp;"_"&amp;$A475,'Investment Strategies'!$AJ:$AV,13,FALSE),
IF(AND(Investment_Strategy="Autopilot",Investment_Strategy_Sub1="Non-Standard"),VLOOKUP(Investment_Strategy&amp;"_"&amp;Investment_Strategy_Sub2&amp;"_"&amp;$A475,'Investment Strategies'!$T:$AF,13,FALSE),
IF(Investment_Strategy="DIY",DIY_ExtManChrge_CurrentFunds,
"Error"))))))</f>
        <v>0</v>
      </c>
      <c r="H475" s="16">
        <f t="shared" si="255"/>
        <v>0</v>
      </c>
      <c r="I475" s="16">
        <f t="shared" ref="I475:I538" si="276">(H475*E475)*IF(D475=$A$91,SRP_finalmonthfactor,1)</f>
        <v>0</v>
      </c>
      <c r="J475" s="16">
        <f t="shared" ref="J475:J538" si="277">IF($AV475=0,0,
-((H475+I475/2)*(SRP_Monthly_Admin_Chge+F475+G475)*IF(D475=$A$91,SRP_finalmonthfactor,1)))</f>
        <v>0</v>
      </c>
      <c r="K475" s="16">
        <f>(Opening_Fund_Value+SUM(K$91:K474))*E475*IF(D475=$A$91,SRP_finalmonthfactor,1)</f>
        <v>0</v>
      </c>
      <c r="L475" s="74">
        <f>MIN(IF($AV475=0,0,
IF(Investment_Strategy="DIS",VLOOKUP(Investment_Strategy&amp;"_"&amp;Investment_Strategy_Sub1&amp;"_"&amp;$A475,'Investment Strategies'!$AZ:$BP,12,FALSE),
IF(AND(Investment_Strategy="Lifecycle",Investment_Strategy_Sub1="Non-Standard"),VLOOKUP(Investment_Strategy&amp;"_"&amp;Investment_Strategy_Sub2&amp;"_"&amp;$A475,'Investment Strategies'!$C:$P,9,FALSE),
IF(AND(Investment_Strategy="Lifecycle",Investment_Strategy_Sub1="Standard"),VLOOKUP(Investment_Strategy&amp;"_"&amp;Investment_Strategy_Sub2&amp;"_"&amp;$A475,'Investment Strategies'!$AJ:$AV,8,FALSE),
IF(AND(Investment_Strategy="Autopilot",Investment_Strategy_Sub1="Non-Standard"),VLOOKUP(Investment_Strategy&amp;"_"&amp;Investment_Strategy_Sub2&amp;"_"&amp;$A475,'Investment Strategies'!$T:$AF,8,FALSE),
IF(Investment_Strategy ="DIY",DIY_RateofReturn_SP,
"Error")))))),Max_InvReturn)</f>
        <v>0</v>
      </c>
      <c r="M475" s="62">
        <f>IF($AV475=0,0,
IF(Investment_Strategy="DIS",VLOOKUP(Investment_Strategy&amp;"_"&amp;Investment_Strategy_Sub1&amp;"_"&amp;$A475,'Investment Strategies'!$AZ:$BP,15,FALSE),
IF(AND(Investment_Strategy="Lifecycle",Investment_Strategy_Sub1="Non-Standard"),VLOOKUP(Investment_Strategy&amp;"_"&amp;Investment_Strategy_Sub2&amp;"_"&amp;$A475,'Investment Strategies'!$C:$P,12,FALSE),
IF(AND(Investment_Strategy="Lifecycle",Investment_Strategy_Sub1="Standard"),VLOOKUP(Investment_Strategy&amp;"_"&amp;Investment_Strategy_Sub2&amp;"_"&amp;$A475,'Investment Strategies'!$AJ:$AV,11,FALSE),
IF(AND(Investment_Strategy="Autopilot",Investment_Strategy_Sub1="Non-Standard"),VLOOKUP(Investment_Strategy&amp;"_"&amp;Investment_Strategy_Sub2&amp;"_"&amp;$A475,'Investment Strategies'!$T:$AF,11,FALSE),
IF(Investment_Strategy="DIY",DIY_GteeChrge_SP,
"Error"))))))</f>
        <v>0</v>
      </c>
      <c r="N475" s="33">
        <f>IF($AV475=0,0,
IF(Investment_Strategy="DIS",VLOOKUP(Investment_Strategy&amp;"_"&amp;Investment_Strategy_Sub1&amp;"_"&amp;$A475,'Investment Strategies'!$AZ:$BP,17,FALSE),
IF(AND(Investment_Strategy="Lifecycle",Investment_Strategy_Sub1="Non-Standard"),VLOOKUP(Investment_Strategy&amp;"_"&amp;Investment_Strategy_Sub2&amp;"_"&amp;$A475,'Investment Strategies'!$C:$P,14,FALSE),
IF(AND(Investment_Strategy="Lifecycle",Investment_Strategy_Sub1="Standard"),VLOOKUP(Investment_Strategy&amp;"_"&amp;Investment_Strategy_Sub2&amp;"_"&amp;$A475,'Investment Strategies'!$AJ:$AV,13,FALSE),
IF(AND(Investment_Strategy="Autopilot",Investment_Strategy_Sub1="Non-Standard"),VLOOKUP(Investment_Strategy&amp;"_"&amp;Investment_Strategy_Sub2&amp;"_"&amp;$A475,'Investment Strategies'!$T:$AF,13,FALSE),
IF(Investment_Strategy="DIY",DIY_ExtManChrge_SP,
"Error"))))))</f>
        <v>0</v>
      </c>
      <c r="O475" s="16">
        <f t="shared" si="266"/>
        <v>0</v>
      </c>
      <c r="Q475" s="16">
        <f t="shared" ref="Q475:Q538" si="278">(O475+(P475*(1-SRP_Contrib_Chge_SP)))*L475*IF(D475=$A$91,SRP_finalmonthfactor,1)</f>
        <v>0</v>
      </c>
      <c r="R475" s="16">
        <f t="shared" si="274"/>
        <v>0</v>
      </c>
      <c r="S475" s="16">
        <f>(SRP_SP+SUM(S$91:S474))*L475*IF(D475=$A$91,SRP_finalmonthfactor,1)</f>
        <v>0</v>
      </c>
      <c r="T475" s="74">
        <f>MIN(IF($AV475=0,0,
IF(Investment_Strategy="DIS",VLOOKUP(Investment_Strategy&amp;"_"&amp;Investment_Strategy_Sub1&amp;"_"&amp;$A475,'Investment Strategies'!$AZ:$BP,12,FALSE),
IF(AND(Investment_Strategy="Lifecycle",Investment_Strategy_Sub1="Non-Standard"),VLOOKUP(Investment_Strategy&amp;"_"&amp;Investment_Strategy_Sub2&amp;"_"&amp;$A475,'Investment Strategies'!$C:$P,9,FALSE),
IF(AND(Investment_Strategy="Lifecycle",Investment_Strategy_Sub1="Standard"),VLOOKUP(Investment_Strategy&amp;"_"&amp;Investment_Strategy_Sub2&amp;"_"&amp;$A475,'Investment Strategies'!$AJ:$AV,8,FALSE),
IF(AND(Investment_Strategy="Autopilot",Investment_Strategy_Sub1="Non-Standard"),VLOOKUP(Investment_Strategy&amp;"_"&amp;Investment_Strategy_Sub2&amp;"_"&amp;$A475,'Investment Strategies'!$T:$AF,8,FALSE),
IF(Investment_Strategy ="DIY",DIY_RateOfReturn_FuturePremiums,
"Error")))))),Max_InvReturn)</f>
        <v>0</v>
      </c>
      <c r="U475" s="62">
        <f>IF($AV475=0,0,
IF(Investment_Strategy="DIS",VLOOKUP(Investment_Strategy&amp;"_"&amp;Investment_Strategy_Sub1&amp;"_"&amp;$A475,'Investment Strategies'!$AZ:$BP,15,FALSE),
IF(AND(Investment_Strategy="Lifecycle",Investment_Strategy_Sub1="Non-Standard"),VLOOKUP(Investment_Strategy&amp;"_"&amp;Investment_Strategy_Sub2&amp;"_"&amp;$A475,'Investment Strategies'!$C:$P,12,FALSE),
IF(AND(Investment_Strategy="Lifecycle",Investment_Strategy_Sub1="Standard"),VLOOKUP(Investment_Strategy&amp;"_"&amp;Investment_Strategy_Sub2&amp;"_"&amp;$A475,'Investment Strategies'!$AJ:$AV,11,FALSE),
IF(AND(Investment_Strategy="Autopilot",Investment_Strategy_Sub1="Non-Standard"),VLOOKUP(Investment_Strategy&amp;"_"&amp;Investment_Strategy_Sub2&amp;"_"&amp;$A475,'Investment Strategies'!$T:$AF,11,FALSE),
IF(Investment_Strategy="DIY",DIY_GteeChrge_FuturePremiums,
"Error"))))))</f>
        <v>0</v>
      </c>
      <c r="V475" s="33">
        <f>IF(AV475=0,0,
IF(Investment_Strategy="DIS",VLOOKUP(Investment_Strategy&amp;"_"&amp;Investment_Strategy_Sub1&amp;"_"&amp;$A475,'Investment Strategies'!$AZ:$BP,17,FALSE),
IF(AND(Investment_Strategy="Lifecycle",Investment_Strategy_Sub1="Non-Standard"),VLOOKUP(Investment_Strategy&amp;"_"&amp;Investment_Strategy_Sub2&amp;"_"&amp;$A475,'Investment Strategies'!$C:$P,14,FALSE),
IF(AND(Investment_Strategy="Lifecycle",Investment_Strategy_Sub1="Standard"),VLOOKUP(Investment_Strategy&amp;"_"&amp;Investment_Strategy_Sub2&amp;"_"&amp;$A475,'Investment Strategies'!$AJ:$AV,13,FALSE),
IF(AND(Investment_Strategy="Autopilot",Investment_Strategy_Sub1="Non-Standard"),VLOOKUP(Investment_Strategy&amp;"_"&amp;Investment_Strategy_Sub2&amp;"_"&amp;$A475,'Investment Strategies'!$T:$AF,13,FALSE),
IF(Investment_Strategy="DIY",DIY_ExtManChrge_FuturePremiums,
"Error"))))))</f>
        <v>0</v>
      </c>
      <c r="W475" s="16">
        <f t="shared" si="267"/>
        <v>0</v>
      </c>
      <c r="X475" s="16">
        <f t="shared" ref="X475:X538" si="279">SRP_AP/Contributions_per_year * (1+MIN(Max_Contrib_Escalation,SRP_Contrib_Escalation))^($C475-1) * $AV475 * $AW475</f>
        <v>0</v>
      </c>
      <c r="Y475" s="16">
        <f t="shared" ref="Y475:Y538" si="280">(W475+(X475*(1-Z475)))*T475*IF(D475=$A$91,SRP_finalmonthfactor,1)</f>
        <v>0</v>
      </c>
      <c r="Z475" s="31">
        <f t="shared" ref="Z475:Z538" si="281">IF(X475/(12/Contributions_per_year)&lt;=99.99,2%,0%)*AW475</f>
        <v>0.02</v>
      </c>
      <c r="AA475" s="16">
        <f t="shared" ref="AA475:AA538" si="282">IF($AV475=0,0,
-(($W475+($X475)*(1-Z475)+Y475/2)*(SRP_Monthly_Admin_Chge+$U475+$V475)*IF(D475=$A$91,SRP_finalmonthfactor,1)+
+($X475)*Z475))</f>
        <v>0</v>
      </c>
      <c r="AB475" s="28">
        <f t="shared" si="268"/>
        <v>0</v>
      </c>
      <c r="AC475" s="28">
        <f>(SUM($AC$91:AC474)+SUM($X$91:X474)+X475)*T475*IF(D475=$A$91,SRP_finalmonthfactor,1)</f>
        <v>0</v>
      </c>
      <c r="AD475" s="16">
        <f t="shared" ref="AD475:AD538" si="283">IF($AV475=0,0,
IF((SRP_ValDate-SRP_PolicyStartDate)+(365*(D475-1)/12)&lt;365,-(($H475+$I475/2+$O475+$P475+Q475/2+$W475+$X475+Y475/2)*(SRP_Ren_Com_Mthly)+($P475*SRP_Init_Com_SP)+($X475*SRP_Init_Com_RP)),
-((H$91+$I475/2+$O475+$P475+Q475/2+$W475+$X475+Y475/2)*(SRP_Ren_Com_Mthly))))</f>
        <v>0</v>
      </c>
      <c r="AE475" s="106"/>
      <c r="AF475" s="16">
        <f t="shared" si="256"/>
        <v>0</v>
      </c>
      <c r="AG475" s="16">
        <f t="shared" si="257"/>
        <v>0</v>
      </c>
      <c r="AH475" s="16">
        <f t="shared" si="258"/>
        <v>0</v>
      </c>
      <c r="AJ475" s="13">
        <f t="shared" si="275"/>
        <v>0</v>
      </c>
      <c r="AK475" s="13">
        <f t="shared" si="275"/>
        <v>0</v>
      </c>
      <c r="AL475" s="13">
        <f t="shared" si="275"/>
        <v>0</v>
      </c>
      <c r="AM475" s="13">
        <f t="shared" si="275"/>
        <v>0</v>
      </c>
      <c r="AN475" s="13">
        <f t="shared" si="275"/>
        <v>0</v>
      </c>
      <c r="AO475" s="13">
        <f t="shared" si="275"/>
        <v>1</v>
      </c>
      <c r="AP475" s="13">
        <f t="shared" si="275"/>
        <v>1</v>
      </c>
      <c r="AQ475" s="13">
        <f t="shared" si="275"/>
        <v>1</v>
      </c>
      <c r="AR475" s="13">
        <f t="shared" si="275"/>
        <v>0</v>
      </c>
      <c r="AS475" s="13">
        <f t="shared" si="275"/>
        <v>0</v>
      </c>
      <c r="AT475" s="13">
        <f t="shared" si="275"/>
        <v>1</v>
      </c>
      <c r="AU475" s="13">
        <f t="shared" si="275"/>
        <v>1</v>
      </c>
      <c r="AV475" s="13">
        <f t="shared" ref="AV475:AV538" si="284">IF($B475&lt;SRP_NRA,1,0)</f>
        <v>0</v>
      </c>
      <c r="AW475" s="13">
        <f t="shared" ref="AW475:AW538" si="285">IF($I$60 = "Yes",IF(SRP_PremFreq = "Annual",IF(MOD(D475-1, 12) = 0, 1, 0), IF(SRP_PremFreq = "Half-Yearly", IF(MOD(D475-1, 6) = 0, 1, 0), IF(SRP_PremFreq = "Quarterly", IF(MOD(D475-1, 3) = 0, 1, 0), IF(SRP_PremFreq = "Monthly", IF(MOD(D475-1, 1) = 0, 1, 0), "Error")))),0)</f>
        <v>1</v>
      </c>
      <c r="AY475" s="17">
        <f t="shared" ref="AY475:AY538" si="286">D475</f>
        <v>385</v>
      </c>
      <c r="AZ475" s="28">
        <f t="shared" si="259"/>
        <v>0</v>
      </c>
      <c r="BA475" s="13">
        <f t="shared" ref="BA475:BA538" si="287">-IF(A475=0,$F$32,0)</f>
        <v>0</v>
      </c>
      <c r="BB475" s="13">
        <f t="shared" ref="BB475:BB538" si="288">-IF(A475=0,$G$32,0)</f>
        <v>0</v>
      </c>
      <c r="BC475" s="28">
        <f t="shared" si="260"/>
        <v>0</v>
      </c>
      <c r="BD475" s="28">
        <f t="shared" si="261"/>
        <v>0</v>
      </c>
      <c r="BF475" s="248">
        <f t="shared" si="262"/>
        <v>993869.29442638322</v>
      </c>
    </row>
    <row r="476" spans="1:58">
      <c r="A476" s="32">
        <f t="shared" si="263"/>
        <v>-301</v>
      </c>
      <c r="B476" s="32">
        <f t="shared" ref="B476:B539" si="289">INT(SRP_Current_Age+D475/12)</f>
        <v>85</v>
      </c>
      <c r="C476" s="32">
        <f t="shared" si="264"/>
        <v>33</v>
      </c>
      <c r="D476" s="32">
        <f t="shared" si="265"/>
        <v>386</v>
      </c>
      <c r="E476" s="74">
        <f>MIN(IF(AV476=0,0,
IF(Investment_Strategy="DIS",VLOOKUP(Investment_Strategy&amp;"_"&amp;Investment_Strategy_Sub1&amp;"_"&amp;$A476,'Investment Strategies'!$AZ:$BP,12,FALSE),
IF(AND(Investment_Strategy="Lifecycle",Investment_Strategy_Sub1="Non-Standard"),VLOOKUP(Investment_Strategy&amp;"_"&amp;Investment_Strategy_Sub2&amp;"_"&amp;$A476,'Investment Strategies'!$C:$P,9,FALSE),
IF(AND(Investment_Strategy="Lifecycle",Investment_Strategy_Sub1="Standard"),VLOOKUP(Investment_Strategy&amp;"_"&amp;Investment_Strategy_Sub2&amp;"_"&amp;$A476,'Investment Strategies'!$AJ:$AV,8,FALSE),
IF(AND(Investment_Strategy="Autopilot",Investment_Strategy_Sub1="Non-Standard"),VLOOKUP(Investment_Strategy&amp;"_"&amp;Investment_Strategy_Sub2&amp;"_"&amp;$A476,'Investment Strategies'!$T:$AF,8,FALSE),
IF(Investment_Strategy ="DIY",DIY_RateOfReturn_CurrentFunds,
"Error")))))),Max_InvReturn)</f>
        <v>0</v>
      </c>
      <c r="F476" s="62">
        <f>IF(AV476=0,0,
IF(Investment_Strategy="DIS",VLOOKUP(Investment_Strategy&amp;"_"&amp;Investment_Strategy_Sub1&amp;"_"&amp;$A476,'Investment Strategies'!$AZ:$BP,15,FALSE),
IF(AND(Investment_Strategy="Lifecycle",Investment_Strategy_Sub1="Non-Standard"),VLOOKUP(Investment_Strategy&amp;"_"&amp;Investment_Strategy_Sub2&amp;"_"&amp;$A476,'Investment Strategies'!$C:$P,12,FALSE),
IF(AND(Investment_Strategy="Lifecycle",Investment_Strategy_Sub1="Standard"),VLOOKUP(Investment_Strategy&amp;"_"&amp;Investment_Strategy_Sub2&amp;"_"&amp;$A476,'Investment Strategies'!$AJ:$AV,11,FALSE),
IF(AND(Investment_Strategy="Autopilot",Investment_Strategy_Sub1="Non-Standard"),VLOOKUP(Investment_Strategy&amp;"_"&amp;Investment_Strategy_Sub2&amp;"_"&amp;$A476,'Investment Strategies'!$T:$AF,11,FALSE),
IF(Investment_Strategy="DIY",DIY_GteeChrge_CurrentFunds,
"Error"))))))</f>
        <v>0</v>
      </c>
      <c r="G476" s="33">
        <f>IF(AV476=0,0,
IF(Investment_Strategy="DIS",VLOOKUP(Investment_Strategy&amp;"_"&amp;Investment_Strategy_Sub1&amp;"_"&amp;$A476,'Investment Strategies'!$AZ:$BP,17,FALSE),
IF(AND(Investment_Strategy="Lifecycle",Investment_Strategy_Sub1="Non-Standard"),VLOOKUP(Investment_Strategy&amp;"_"&amp;Investment_Strategy_Sub2&amp;"_"&amp;$A476,'Investment Strategies'!$C:$P,14,FALSE),
IF(AND(Investment_Strategy="Lifecycle",Investment_Strategy_Sub1="Standard"),VLOOKUP(Investment_Strategy&amp;"_"&amp;Investment_Strategy_Sub2&amp;"_"&amp;$A476,'Investment Strategies'!$AJ:$AV,13,FALSE),
IF(AND(Investment_Strategy="Autopilot",Investment_Strategy_Sub1="Non-Standard"),VLOOKUP(Investment_Strategy&amp;"_"&amp;Investment_Strategy_Sub2&amp;"_"&amp;$A476,'Investment Strategies'!$T:$AF,13,FALSE),
IF(Investment_Strategy="DIY",DIY_ExtManChrge_CurrentFunds,
"Error"))))))</f>
        <v>0</v>
      </c>
      <c r="H476" s="16">
        <f t="shared" ref="H476:H539" si="290">IF($AV475=0,0,SUM(H475:J475))</f>
        <v>0</v>
      </c>
      <c r="I476" s="16">
        <f t="shared" si="276"/>
        <v>0</v>
      </c>
      <c r="J476" s="16">
        <f t="shared" si="277"/>
        <v>0</v>
      </c>
      <c r="K476" s="16">
        <f>(Opening_Fund_Value+SUM(K$91:K475))*E476*IF(D476=$A$91,SRP_finalmonthfactor,1)</f>
        <v>0</v>
      </c>
      <c r="L476" s="74">
        <f>MIN(IF($AV476=0,0,
IF(Investment_Strategy="DIS",VLOOKUP(Investment_Strategy&amp;"_"&amp;Investment_Strategy_Sub1&amp;"_"&amp;$A476,'Investment Strategies'!$AZ:$BP,12,FALSE),
IF(AND(Investment_Strategy="Lifecycle",Investment_Strategy_Sub1="Non-Standard"),VLOOKUP(Investment_Strategy&amp;"_"&amp;Investment_Strategy_Sub2&amp;"_"&amp;$A476,'Investment Strategies'!$C:$P,9,FALSE),
IF(AND(Investment_Strategy="Lifecycle",Investment_Strategy_Sub1="Standard"),VLOOKUP(Investment_Strategy&amp;"_"&amp;Investment_Strategy_Sub2&amp;"_"&amp;$A476,'Investment Strategies'!$AJ:$AV,8,FALSE),
IF(AND(Investment_Strategy="Autopilot",Investment_Strategy_Sub1="Non-Standard"),VLOOKUP(Investment_Strategy&amp;"_"&amp;Investment_Strategy_Sub2&amp;"_"&amp;$A476,'Investment Strategies'!$T:$AF,8,FALSE),
IF(Investment_Strategy ="DIY",DIY_RateofReturn_SP,
"Error")))))),Max_InvReturn)</f>
        <v>0</v>
      </c>
      <c r="M476" s="62">
        <f>IF($AV476=0,0,
IF(Investment_Strategy="DIS",VLOOKUP(Investment_Strategy&amp;"_"&amp;Investment_Strategy_Sub1&amp;"_"&amp;$A476,'Investment Strategies'!$AZ:$BP,15,FALSE),
IF(AND(Investment_Strategy="Lifecycle",Investment_Strategy_Sub1="Non-Standard"),VLOOKUP(Investment_Strategy&amp;"_"&amp;Investment_Strategy_Sub2&amp;"_"&amp;$A476,'Investment Strategies'!$C:$P,12,FALSE),
IF(AND(Investment_Strategy="Lifecycle",Investment_Strategy_Sub1="Standard"),VLOOKUP(Investment_Strategy&amp;"_"&amp;Investment_Strategy_Sub2&amp;"_"&amp;$A476,'Investment Strategies'!$AJ:$AV,11,FALSE),
IF(AND(Investment_Strategy="Autopilot",Investment_Strategy_Sub1="Non-Standard"),VLOOKUP(Investment_Strategy&amp;"_"&amp;Investment_Strategy_Sub2&amp;"_"&amp;$A476,'Investment Strategies'!$T:$AF,11,FALSE),
IF(Investment_Strategy="DIY",DIY_GteeChrge_SP,
"Error"))))))</f>
        <v>0</v>
      </c>
      <c r="N476" s="33">
        <f>IF($AV476=0,0,
IF(Investment_Strategy="DIS",VLOOKUP(Investment_Strategy&amp;"_"&amp;Investment_Strategy_Sub1&amp;"_"&amp;$A476,'Investment Strategies'!$AZ:$BP,17,FALSE),
IF(AND(Investment_Strategy="Lifecycle",Investment_Strategy_Sub1="Non-Standard"),VLOOKUP(Investment_Strategy&amp;"_"&amp;Investment_Strategy_Sub2&amp;"_"&amp;$A476,'Investment Strategies'!$C:$P,14,FALSE),
IF(AND(Investment_Strategy="Lifecycle",Investment_Strategy_Sub1="Standard"),VLOOKUP(Investment_Strategy&amp;"_"&amp;Investment_Strategy_Sub2&amp;"_"&amp;$A476,'Investment Strategies'!$AJ:$AV,13,FALSE),
IF(AND(Investment_Strategy="Autopilot",Investment_Strategy_Sub1="Non-Standard"),VLOOKUP(Investment_Strategy&amp;"_"&amp;Investment_Strategy_Sub2&amp;"_"&amp;$A476,'Investment Strategies'!$T:$AF,13,FALSE),
IF(Investment_Strategy="DIY",DIY_ExtManChrge_SP,
"Error"))))))</f>
        <v>0</v>
      </c>
      <c r="O476" s="16">
        <f t="shared" si="266"/>
        <v>0</v>
      </c>
      <c r="Q476" s="16">
        <f t="shared" si="278"/>
        <v>0</v>
      </c>
      <c r="R476" s="16">
        <f t="shared" si="274"/>
        <v>0</v>
      </c>
      <c r="S476" s="16">
        <f>(SRP_SP+SUM(S$91:S475))*L476*IF(D476=$A$91,SRP_finalmonthfactor,1)</f>
        <v>0</v>
      </c>
      <c r="T476" s="74">
        <f>MIN(IF($AV476=0,0,
IF(Investment_Strategy="DIS",VLOOKUP(Investment_Strategy&amp;"_"&amp;Investment_Strategy_Sub1&amp;"_"&amp;$A476,'Investment Strategies'!$AZ:$BP,12,FALSE),
IF(AND(Investment_Strategy="Lifecycle",Investment_Strategy_Sub1="Non-Standard"),VLOOKUP(Investment_Strategy&amp;"_"&amp;Investment_Strategy_Sub2&amp;"_"&amp;$A476,'Investment Strategies'!$C:$P,9,FALSE),
IF(AND(Investment_Strategy="Lifecycle",Investment_Strategy_Sub1="Standard"),VLOOKUP(Investment_Strategy&amp;"_"&amp;Investment_Strategy_Sub2&amp;"_"&amp;$A476,'Investment Strategies'!$AJ:$AV,8,FALSE),
IF(AND(Investment_Strategy="Autopilot",Investment_Strategy_Sub1="Non-Standard"),VLOOKUP(Investment_Strategy&amp;"_"&amp;Investment_Strategy_Sub2&amp;"_"&amp;$A476,'Investment Strategies'!$T:$AF,8,FALSE),
IF(Investment_Strategy ="DIY",DIY_RateOfReturn_FuturePremiums,
"Error")))))),Max_InvReturn)</f>
        <v>0</v>
      </c>
      <c r="U476" s="62">
        <f>IF($AV476=0,0,
IF(Investment_Strategy="DIS",VLOOKUP(Investment_Strategy&amp;"_"&amp;Investment_Strategy_Sub1&amp;"_"&amp;$A476,'Investment Strategies'!$AZ:$BP,15,FALSE),
IF(AND(Investment_Strategy="Lifecycle",Investment_Strategy_Sub1="Non-Standard"),VLOOKUP(Investment_Strategy&amp;"_"&amp;Investment_Strategy_Sub2&amp;"_"&amp;$A476,'Investment Strategies'!$C:$P,12,FALSE),
IF(AND(Investment_Strategy="Lifecycle",Investment_Strategy_Sub1="Standard"),VLOOKUP(Investment_Strategy&amp;"_"&amp;Investment_Strategy_Sub2&amp;"_"&amp;$A476,'Investment Strategies'!$AJ:$AV,11,FALSE),
IF(AND(Investment_Strategy="Autopilot",Investment_Strategy_Sub1="Non-Standard"),VLOOKUP(Investment_Strategy&amp;"_"&amp;Investment_Strategy_Sub2&amp;"_"&amp;$A476,'Investment Strategies'!$T:$AF,11,FALSE),
IF(Investment_Strategy="DIY",DIY_GteeChrge_FuturePremiums,
"Error"))))))</f>
        <v>0</v>
      </c>
      <c r="V476" s="33">
        <f>IF(AV476=0,0,
IF(Investment_Strategy="DIS",VLOOKUP(Investment_Strategy&amp;"_"&amp;Investment_Strategy_Sub1&amp;"_"&amp;$A476,'Investment Strategies'!$AZ:$BP,17,FALSE),
IF(AND(Investment_Strategy="Lifecycle",Investment_Strategy_Sub1="Non-Standard"),VLOOKUP(Investment_Strategy&amp;"_"&amp;Investment_Strategy_Sub2&amp;"_"&amp;$A476,'Investment Strategies'!$C:$P,14,FALSE),
IF(AND(Investment_Strategy="Lifecycle",Investment_Strategy_Sub1="Standard"),VLOOKUP(Investment_Strategy&amp;"_"&amp;Investment_Strategy_Sub2&amp;"_"&amp;$A476,'Investment Strategies'!$AJ:$AV,13,FALSE),
IF(AND(Investment_Strategy="Autopilot",Investment_Strategy_Sub1="Non-Standard"),VLOOKUP(Investment_Strategy&amp;"_"&amp;Investment_Strategy_Sub2&amp;"_"&amp;$A476,'Investment Strategies'!$T:$AF,13,FALSE),
IF(Investment_Strategy="DIY",DIY_ExtManChrge_FuturePremiums,
"Error"))))))</f>
        <v>0</v>
      </c>
      <c r="W476" s="16">
        <f t="shared" si="267"/>
        <v>0</v>
      </c>
      <c r="X476" s="16">
        <f t="shared" si="279"/>
        <v>0</v>
      </c>
      <c r="Y476" s="16">
        <f t="shared" si="280"/>
        <v>0</v>
      </c>
      <c r="Z476" s="31">
        <f t="shared" si="281"/>
        <v>0.02</v>
      </c>
      <c r="AA476" s="16">
        <f t="shared" si="282"/>
        <v>0</v>
      </c>
      <c r="AB476" s="28">
        <f t="shared" si="268"/>
        <v>0</v>
      </c>
      <c r="AC476" s="28">
        <f>(SUM($AC$91:AC475)+SUM($X$91:X475)+X476)*T476*IF(D476=$A$91,SRP_finalmonthfactor,1)</f>
        <v>0</v>
      </c>
      <c r="AD476" s="16">
        <f t="shared" si="283"/>
        <v>0</v>
      </c>
      <c r="AE476" s="106"/>
      <c r="AF476" s="16">
        <f t="shared" ref="AF476:AF539" si="291">H476+O476+W476</f>
        <v>0</v>
      </c>
      <c r="AG476" s="16">
        <f t="shared" ref="AG476:AG539" si="292">SUM($K476,$S476,$AC476)</f>
        <v>0</v>
      </c>
      <c r="AH476" s="16">
        <f t="shared" ref="AH476:AH539" si="293">SUM($J476,$R476,$AA476)</f>
        <v>0</v>
      </c>
      <c r="AJ476" s="13">
        <f t="shared" si="275"/>
        <v>0</v>
      </c>
      <c r="AK476" s="13">
        <f t="shared" si="275"/>
        <v>0</v>
      </c>
      <c r="AL476" s="13">
        <f t="shared" si="275"/>
        <v>0</v>
      </c>
      <c r="AM476" s="13">
        <f t="shared" si="275"/>
        <v>0</v>
      </c>
      <c r="AN476" s="13">
        <f t="shared" si="275"/>
        <v>0</v>
      </c>
      <c r="AO476" s="13">
        <f t="shared" si="275"/>
        <v>1</v>
      </c>
      <c r="AP476" s="13">
        <f t="shared" si="275"/>
        <v>1</v>
      </c>
      <c r="AQ476" s="13">
        <f t="shared" si="275"/>
        <v>1</v>
      </c>
      <c r="AR476" s="13">
        <f t="shared" si="275"/>
        <v>0</v>
      </c>
      <c r="AS476" s="13">
        <f t="shared" si="275"/>
        <v>0</v>
      </c>
      <c r="AT476" s="13">
        <f t="shared" si="275"/>
        <v>1</v>
      </c>
      <c r="AU476" s="13">
        <f t="shared" si="275"/>
        <v>1</v>
      </c>
      <c r="AV476" s="13">
        <f t="shared" si="284"/>
        <v>0</v>
      </c>
      <c r="AW476" s="13">
        <f t="shared" si="285"/>
        <v>1</v>
      </c>
      <c r="AY476" s="17">
        <f t="shared" si="286"/>
        <v>386</v>
      </c>
      <c r="AZ476" s="28">
        <f t="shared" ref="AZ476:AZ539" si="294">X476+P476</f>
        <v>0</v>
      </c>
      <c r="BA476" s="13">
        <f t="shared" si="287"/>
        <v>0</v>
      </c>
      <c r="BB476" s="13">
        <f t="shared" si="288"/>
        <v>0</v>
      </c>
      <c r="BC476" s="28">
        <f t="shared" ref="BC476:BC539" si="295">SUM(AZ476,BA476)</f>
        <v>0</v>
      </c>
      <c r="BD476" s="28">
        <f t="shared" ref="BD476:BD539" si="296">SUM(AZ476,BB476)</f>
        <v>0</v>
      </c>
      <c r="BF476" s="248">
        <f t="shared" ref="BF476:BF539" si="297">IF(ISNUMBER(BF475), (BF475+X476), (P476+X476))*(1+T476)</f>
        <v>993869.29442638322</v>
      </c>
    </row>
    <row r="477" spans="1:58">
      <c r="A477" s="32">
        <f t="shared" ref="A477:A540" si="298">A476-1</f>
        <v>-302</v>
      </c>
      <c r="B477" s="32">
        <f t="shared" si="289"/>
        <v>85</v>
      </c>
      <c r="C477" s="32">
        <f t="shared" ref="C477:C540" si="299">INT((D477-1)/12)+1</f>
        <v>33</v>
      </c>
      <c r="D477" s="32">
        <f t="shared" ref="D477:D540" si="300">D476+1</f>
        <v>387</v>
      </c>
      <c r="E477" s="74">
        <f>MIN(IF(AV477=0,0,
IF(Investment_Strategy="DIS",VLOOKUP(Investment_Strategy&amp;"_"&amp;Investment_Strategy_Sub1&amp;"_"&amp;$A477,'Investment Strategies'!$AZ:$BP,12,FALSE),
IF(AND(Investment_Strategy="Lifecycle",Investment_Strategy_Sub1="Non-Standard"),VLOOKUP(Investment_Strategy&amp;"_"&amp;Investment_Strategy_Sub2&amp;"_"&amp;$A477,'Investment Strategies'!$C:$P,9,FALSE),
IF(AND(Investment_Strategy="Lifecycle",Investment_Strategy_Sub1="Standard"),VLOOKUP(Investment_Strategy&amp;"_"&amp;Investment_Strategy_Sub2&amp;"_"&amp;$A477,'Investment Strategies'!$AJ:$AV,8,FALSE),
IF(AND(Investment_Strategy="Autopilot",Investment_Strategy_Sub1="Non-Standard"),VLOOKUP(Investment_Strategy&amp;"_"&amp;Investment_Strategy_Sub2&amp;"_"&amp;$A477,'Investment Strategies'!$T:$AF,8,FALSE),
IF(Investment_Strategy ="DIY",DIY_RateOfReturn_CurrentFunds,
"Error")))))),Max_InvReturn)</f>
        <v>0</v>
      </c>
      <c r="F477" s="62">
        <f>IF(AV477=0,0,
IF(Investment_Strategy="DIS",VLOOKUP(Investment_Strategy&amp;"_"&amp;Investment_Strategy_Sub1&amp;"_"&amp;$A477,'Investment Strategies'!$AZ:$BP,15,FALSE),
IF(AND(Investment_Strategy="Lifecycle",Investment_Strategy_Sub1="Non-Standard"),VLOOKUP(Investment_Strategy&amp;"_"&amp;Investment_Strategy_Sub2&amp;"_"&amp;$A477,'Investment Strategies'!$C:$P,12,FALSE),
IF(AND(Investment_Strategy="Lifecycle",Investment_Strategy_Sub1="Standard"),VLOOKUP(Investment_Strategy&amp;"_"&amp;Investment_Strategy_Sub2&amp;"_"&amp;$A477,'Investment Strategies'!$AJ:$AV,11,FALSE),
IF(AND(Investment_Strategy="Autopilot",Investment_Strategy_Sub1="Non-Standard"),VLOOKUP(Investment_Strategy&amp;"_"&amp;Investment_Strategy_Sub2&amp;"_"&amp;$A477,'Investment Strategies'!$T:$AF,11,FALSE),
IF(Investment_Strategy="DIY",DIY_GteeChrge_CurrentFunds,
"Error"))))))</f>
        <v>0</v>
      </c>
      <c r="G477" s="33">
        <f>IF(AV477=0,0,
IF(Investment_Strategy="DIS",VLOOKUP(Investment_Strategy&amp;"_"&amp;Investment_Strategy_Sub1&amp;"_"&amp;$A477,'Investment Strategies'!$AZ:$BP,17,FALSE),
IF(AND(Investment_Strategy="Lifecycle",Investment_Strategy_Sub1="Non-Standard"),VLOOKUP(Investment_Strategy&amp;"_"&amp;Investment_Strategy_Sub2&amp;"_"&amp;$A477,'Investment Strategies'!$C:$P,14,FALSE),
IF(AND(Investment_Strategy="Lifecycle",Investment_Strategy_Sub1="Standard"),VLOOKUP(Investment_Strategy&amp;"_"&amp;Investment_Strategy_Sub2&amp;"_"&amp;$A477,'Investment Strategies'!$AJ:$AV,13,FALSE),
IF(AND(Investment_Strategy="Autopilot",Investment_Strategy_Sub1="Non-Standard"),VLOOKUP(Investment_Strategy&amp;"_"&amp;Investment_Strategy_Sub2&amp;"_"&amp;$A477,'Investment Strategies'!$T:$AF,13,FALSE),
IF(Investment_Strategy="DIY",DIY_ExtManChrge_CurrentFunds,
"Error"))))))</f>
        <v>0</v>
      </c>
      <c r="H477" s="16">
        <f t="shared" si="290"/>
        <v>0</v>
      </c>
      <c r="I477" s="16">
        <f t="shared" si="276"/>
        <v>0</v>
      </c>
      <c r="J477" s="16">
        <f t="shared" si="277"/>
        <v>0</v>
      </c>
      <c r="K477" s="16">
        <f>(Opening_Fund_Value+SUM(K$91:K476))*E477*IF(D477=$A$91,SRP_finalmonthfactor,1)</f>
        <v>0</v>
      </c>
      <c r="L477" s="74">
        <f>MIN(IF($AV477=0,0,
IF(Investment_Strategy="DIS",VLOOKUP(Investment_Strategy&amp;"_"&amp;Investment_Strategy_Sub1&amp;"_"&amp;$A477,'Investment Strategies'!$AZ:$BP,12,FALSE),
IF(AND(Investment_Strategy="Lifecycle",Investment_Strategy_Sub1="Non-Standard"),VLOOKUP(Investment_Strategy&amp;"_"&amp;Investment_Strategy_Sub2&amp;"_"&amp;$A477,'Investment Strategies'!$C:$P,9,FALSE),
IF(AND(Investment_Strategy="Lifecycle",Investment_Strategy_Sub1="Standard"),VLOOKUP(Investment_Strategy&amp;"_"&amp;Investment_Strategy_Sub2&amp;"_"&amp;$A477,'Investment Strategies'!$AJ:$AV,8,FALSE),
IF(AND(Investment_Strategy="Autopilot",Investment_Strategy_Sub1="Non-Standard"),VLOOKUP(Investment_Strategy&amp;"_"&amp;Investment_Strategy_Sub2&amp;"_"&amp;$A477,'Investment Strategies'!$T:$AF,8,FALSE),
IF(Investment_Strategy ="DIY",DIY_RateofReturn_SP,
"Error")))))),Max_InvReturn)</f>
        <v>0</v>
      </c>
      <c r="M477" s="62">
        <f>IF($AV477=0,0,
IF(Investment_Strategy="DIS",VLOOKUP(Investment_Strategy&amp;"_"&amp;Investment_Strategy_Sub1&amp;"_"&amp;$A477,'Investment Strategies'!$AZ:$BP,15,FALSE),
IF(AND(Investment_Strategy="Lifecycle",Investment_Strategy_Sub1="Non-Standard"),VLOOKUP(Investment_Strategy&amp;"_"&amp;Investment_Strategy_Sub2&amp;"_"&amp;$A477,'Investment Strategies'!$C:$P,12,FALSE),
IF(AND(Investment_Strategy="Lifecycle",Investment_Strategy_Sub1="Standard"),VLOOKUP(Investment_Strategy&amp;"_"&amp;Investment_Strategy_Sub2&amp;"_"&amp;$A477,'Investment Strategies'!$AJ:$AV,11,FALSE),
IF(AND(Investment_Strategy="Autopilot",Investment_Strategy_Sub1="Non-Standard"),VLOOKUP(Investment_Strategy&amp;"_"&amp;Investment_Strategy_Sub2&amp;"_"&amp;$A477,'Investment Strategies'!$T:$AF,11,FALSE),
IF(Investment_Strategy="DIY",DIY_GteeChrge_SP,
"Error"))))))</f>
        <v>0</v>
      </c>
      <c r="N477" s="33">
        <f>IF($AV477=0,0,
IF(Investment_Strategy="DIS",VLOOKUP(Investment_Strategy&amp;"_"&amp;Investment_Strategy_Sub1&amp;"_"&amp;$A477,'Investment Strategies'!$AZ:$BP,17,FALSE),
IF(AND(Investment_Strategy="Lifecycle",Investment_Strategy_Sub1="Non-Standard"),VLOOKUP(Investment_Strategy&amp;"_"&amp;Investment_Strategy_Sub2&amp;"_"&amp;$A477,'Investment Strategies'!$C:$P,14,FALSE),
IF(AND(Investment_Strategy="Lifecycle",Investment_Strategy_Sub1="Standard"),VLOOKUP(Investment_Strategy&amp;"_"&amp;Investment_Strategy_Sub2&amp;"_"&amp;$A477,'Investment Strategies'!$AJ:$AV,13,FALSE),
IF(AND(Investment_Strategy="Autopilot",Investment_Strategy_Sub1="Non-Standard"),VLOOKUP(Investment_Strategy&amp;"_"&amp;Investment_Strategy_Sub2&amp;"_"&amp;$A477,'Investment Strategies'!$T:$AF,13,FALSE),
IF(Investment_Strategy="DIY",DIY_ExtManChrge_SP,
"Error"))))))</f>
        <v>0</v>
      </c>
      <c r="O477" s="16">
        <f t="shared" ref="O477:O540" si="301">IF($AV476=0,0,SUM(O476:R476))</f>
        <v>0</v>
      </c>
      <c r="Q477" s="16">
        <f t="shared" si="278"/>
        <v>0</v>
      </c>
      <c r="R477" s="16">
        <f t="shared" si="274"/>
        <v>0</v>
      </c>
      <c r="S477" s="16">
        <f>(SRP_SP+SUM(S$91:S476))*L477*IF(D477=$A$91,SRP_finalmonthfactor,1)</f>
        <v>0</v>
      </c>
      <c r="T477" s="74">
        <f>MIN(IF($AV477=0,0,
IF(Investment_Strategy="DIS",VLOOKUP(Investment_Strategy&amp;"_"&amp;Investment_Strategy_Sub1&amp;"_"&amp;$A477,'Investment Strategies'!$AZ:$BP,12,FALSE),
IF(AND(Investment_Strategy="Lifecycle",Investment_Strategy_Sub1="Non-Standard"),VLOOKUP(Investment_Strategy&amp;"_"&amp;Investment_Strategy_Sub2&amp;"_"&amp;$A477,'Investment Strategies'!$C:$P,9,FALSE),
IF(AND(Investment_Strategy="Lifecycle",Investment_Strategy_Sub1="Standard"),VLOOKUP(Investment_Strategy&amp;"_"&amp;Investment_Strategy_Sub2&amp;"_"&amp;$A477,'Investment Strategies'!$AJ:$AV,8,FALSE),
IF(AND(Investment_Strategy="Autopilot",Investment_Strategy_Sub1="Non-Standard"),VLOOKUP(Investment_Strategy&amp;"_"&amp;Investment_Strategy_Sub2&amp;"_"&amp;$A477,'Investment Strategies'!$T:$AF,8,FALSE),
IF(Investment_Strategy ="DIY",DIY_RateOfReturn_FuturePremiums,
"Error")))))),Max_InvReturn)</f>
        <v>0</v>
      </c>
      <c r="U477" s="62">
        <f>IF($AV477=0,0,
IF(Investment_Strategy="DIS",VLOOKUP(Investment_Strategy&amp;"_"&amp;Investment_Strategy_Sub1&amp;"_"&amp;$A477,'Investment Strategies'!$AZ:$BP,15,FALSE),
IF(AND(Investment_Strategy="Lifecycle",Investment_Strategy_Sub1="Non-Standard"),VLOOKUP(Investment_Strategy&amp;"_"&amp;Investment_Strategy_Sub2&amp;"_"&amp;$A477,'Investment Strategies'!$C:$P,12,FALSE),
IF(AND(Investment_Strategy="Lifecycle",Investment_Strategy_Sub1="Standard"),VLOOKUP(Investment_Strategy&amp;"_"&amp;Investment_Strategy_Sub2&amp;"_"&amp;$A477,'Investment Strategies'!$AJ:$AV,11,FALSE),
IF(AND(Investment_Strategy="Autopilot",Investment_Strategy_Sub1="Non-Standard"),VLOOKUP(Investment_Strategy&amp;"_"&amp;Investment_Strategy_Sub2&amp;"_"&amp;$A477,'Investment Strategies'!$T:$AF,11,FALSE),
IF(Investment_Strategy="DIY",DIY_GteeChrge_FuturePremiums,
"Error"))))))</f>
        <v>0</v>
      </c>
      <c r="V477" s="33">
        <f>IF(AV477=0,0,
IF(Investment_Strategy="DIS",VLOOKUP(Investment_Strategy&amp;"_"&amp;Investment_Strategy_Sub1&amp;"_"&amp;$A477,'Investment Strategies'!$AZ:$BP,17,FALSE),
IF(AND(Investment_Strategy="Lifecycle",Investment_Strategy_Sub1="Non-Standard"),VLOOKUP(Investment_Strategy&amp;"_"&amp;Investment_Strategy_Sub2&amp;"_"&amp;$A477,'Investment Strategies'!$C:$P,14,FALSE),
IF(AND(Investment_Strategy="Lifecycle",Investment_Strategy_Sub1="Standard"),VLOOKUP(Investment_Strategy&amp;"_"&amp;Investment_Strategy_Sub2&amp;"_"&amp;$A477,'Investment Strategies'!$AJ:$AV,13,FALSE),
IF(AND(Investment_Strategy="Autopilot",Investment_Strategy_Sub1="Non-Standard"),VLOOKUP(Investment_Strategy&amp;"_"&amp;Investment_Strategy_Sub2&amp;"_"&amp;$A477,'Investment Strategies'!$T:$AF,13,FALSE),
IF(Investment_Strategy="DIY",DIY_ExtManChrge_FuturePremiums,
"Error"))))))</f>
        <v>0</v>
      </c>
      <c r="W477" s="16">
        <f t="shared" ref="W477:W540" si="302">IF($AV476=0,0,SUM(W476:Y476)+AA476)</f>
        <v>0</v>
      </c>
      <c r="X477" s="16">
        <f t="shared" si="279"/>
        <v>0</v>
      </c>
      <c r="Y477" s="16">
        <f t="shared" si="280"/>
        <v>0</v>
      </c>
      <c r="Z477" s="31">
        <f t="shared" si="281"/>
        <v>0.02</v>
      </c>
      <c r="AA477" s="16">
        <f t="shared" si="282"/>
        <v>0</v>
      </c>
      <c r="AB477" s="28">
        <f t="shared" si="268"/>
        <v>0</v>
      </c>
      <c r="AC477" s="28">
        <f>(SUM($AC$91:AC476)+SUM($X$91:X476)+X477)*T477*IF(D477=$A$91,SRP_finalmonthfactor,1)</f>
        <v>0</v>
      </c>
      <c r="AD477" s="16">
        <f t="shared" si="283"/>
        <v>0</v>
      </c>
      <c r="AE477" s="106"/>
      <c r="AF477" s="16">
        <f t="shared" si="291"/>
        <v>0</v>
      </c>
      <c r="AG477" s="16">
        <f t="shared" si="292"/>
        <v>0</v>
      </c>
      <c r="AH477" s="16">
        <f t="shared" si="293"/>
        <v>0</v>
      </c>
      <c r="AJ477" s="13">
        <f t="shared" si="275"/>
        <v>0</v>
      </c>
      <c r="AK477" s="13">
        <f t="shared" si="275"/>
        <v>0</v>
      </c>
      <c r="AL477" s="13">
        <f t="shared" si="275"/>
        <v>0</v>
      </c>
      <c r="AM477" s="13">
        <f t="shared" si="275"/>
        <v>0</v>
      </c>
      <c r="AN477" s="13">
        <f t="shared" si="275"/>
        <v>0</v>
      </c>
      <c r="AO477" s="13">
        <f t="shared" si="275"/>
        <v>1</v>
      </c>
      <c r="AP477" s="13">
        <f t="shared" si="275"/>
        <v>1</v>
      </c>
      <c r="AQ477" s="13">
        <f t="shared" si="275"/>
        <v>1</v>
      </c>
      <c r="AR477" s="13">
        <f t="shared" si="275"/>
        <v>0</v>
      </c>
      <c r="AS477" s="13">
        <f t="shared" si="275"/>
        <v>0</v>
      </c>
      <c r="AT477" s="13">
        <f t="shared" si="275"/>
        <v>1</v>
      </c>
      <c r="AU477" s="13">
        <f t="shared" si="275"/>
        <v>1</v>
      </c>
      <c r="AV477" s="13">
        <f t="shared" si="284"/>
        <v>0</v>
      </c>
      <c r="AW477" s="13">
        <f t="shared" si="285"/>
        <v>1</v>
      </c>
      <c r="AY477" s="17">
        <f t="shared" si="286"/>
        <v>387</v>
      </c>
      <c r="AZ477" s="28">
        <f t="shared" si="294"/>
        <v>0</v>
      </c>
      <c r="BA477" s="13">
        <f t="shared" si="287"/>
        <v>0</v>
      </c>
      <c r="BB477" s="13">
        <f t="shared" si="288"/>
        <v>0</v>
      </c>
      <c r="BC477" s="28">
        <f t="shared" si="295"/>
        <v>0</v>
      </c>
      <c r="BD477" s="28">
        <f t="shared" si="296"/>
        <v>0</v>
      </c>
      <c r="BF477" s="248">
        <f t="shared" si="297"/>
        <v>993869.29442638322</v>
      </c>
    </row>
    <row r="478" spans="1:58">
      <c r="A478" s="32">
        <f t="shared" si="298"/>
        <v>-303</v>
      </c>
      <c r="B478" s="32">
        <f t="shared" si="289"/>
        <v>85</v>
      </c>
      <c r="C478" s="32">
        <f t="shared" si="299"/>
        <v>33</v>
      </c>
      <c r="D478" s="32">
        <f t="shared" si="300"/>
        <v>388</v>
      </c>
      <c r="E478" s="74">
        <f>MIN(IF(AV478=0,0,
IF(Investment_Strategy="DIS",VLOOKUP(Investment_Strategy&amp;"_"&amp;Investment_Strategy_Sub1&amp;"_"&amp;$A478,'Investment Strategies'!$AZ:$BP,12,FALSE),
IF(AND(Investment_Strategy="Lifecycle",Investment_Strategy_Sub1="Non-Standard"),VLOOKUP(Investment_Strategy&amp;"_"&amp;Investment_Strategy_Sub2&amp;"_"&amp;$A478,'Investment Strategies'!$C:$P,9,FALSE),
IF(AND(Investment_Strategy="Lifecycle",Investment_Strategy_Sub1="Standard"),VLOOKUP(Investment_Strategy&amp;"_"&amp;Investment_Strategy_Sub2&amp;"_"&amp;$A478,'Investment Strategies'!$AJ:$AV,8,FALSE),
IF(AND(Investment_Strategy="Autopilot",Investment_Strategy_Sub1="Non-Standard"),VLOOKUP(Investment_Strategy&amp;"_"&amp;Investment_Strategy_Sub2&amp;"_"&amp;$A478,'Investment Strategies'!$T:$AF,8,FALSE),
IF(Investment_Strategy ="DIY",DIY_RateOfReturn_CurrentFunds,
"Error")))))),Max_InvReturn)</f>
        <v>0</v>
      </c>
      <c r="F478" s="62">
        <f>IF(AV478=0,0,
IF(Investment_Strategy="DIS",VLOOKUP(Investment_Strategy&amp;"_"&amp;Investment_Strategy_Sub1&amp;"_"&amp;$A478,'Investment Strategies'!$AZ:$BP,15,FALSE),
IF(AND(Investment_Strategy="Lifecycle",Investment_Strategy_Sub1="Non-Standard"),VLOOKUP(Investment_Strategy&amp;"_"&amp;Investment_Strategy_Sub2&amp;"_"&amp;$A478,'Investment Strategies'!$C:$P,12,FALSE),
IF(AND(Investment_Strategy="Lifecycle",Investment_Strategy_Sub1="Standard"),VLOOKUP(Investment_Strategy&amp;"_"&amp;Investment_Strategy_Sub2&amp;"_"&amp;$A478,'Investment Strategies'!$AJ:$AV,11,FALSE),
IF(AND(Investment_Strategy="Autopilot",Investment_Strategy_Sub1="Non-Standard"),VLOOKUP(Investment_Strategy&amp;"_"&amp;Investment_Strategy_Sub2&amp;"_"&amp;$A478,'Investment Strategies'!$T:$AF,11,FALSE),
IF(Investment_Strategy="DIY",DIY_GteeChrge_CurrentFunds,
"Error"))))))</f>
        <v>0</v>
      </c>
      <c r="G478" s="33">
        <f>IF(AV478=0,0,
IF(Investment_Strategy="DIS",VLOOKUP(Investment_Strategy&amp;"_"&amp;Investment_Strategy_Sub1&amp;"_"&amp;$A478,'Investment Strategies'!$AZ:$BP,17,FALSE),
IF(AND(Investment_Strategy="Lifecycle",Investment_Strategy_Sub1="Non-Standard"),VLOOKUP(Investment_Strategy&amp;"_"&amp;Investment_Strategy_Sub2&amp;"_"&amp;$A478,'Investment Strategies'!$C:$P,14,FALSE),
IF(AND(Investment_Strategy="Lifecycle",Investment_Strategy_Sub1="Standard"),VLOOKUP(Investment_Strategy&amp;"_"&amp;Investment_Strategy_Sub2&amp;"_"&amp;$A478,'Investment Strategies'!$AJ:$AV,13,FALSE),
IF(AND(Investment_Strategy="Autopilot",Investment_Strategy_Sub1="Non-Standard"),VLOOKUP(Investment_Strategy&amp;"_"&amp;Investment_Strategy_Sub2&amp;"_"&amp;$A478,'Investment Strategies'!$T:$AF,13,FALSE),
IF(Investment_Strategy="DIY",DIY_ExtManChrge_CurrentFunds,
"Error"))))))</f>
        <v>0</v>
      </c>
      <c r="H478" s="16">
        <f t="shared" si="290"/>
        <v>0</v>
      </c>
      <c r="I478" s="16">
        <f t="shared" si="276"/>
        <v>0</v>
      </c>
      <c r="J478" s="16">
        <f t="shared" si="277"/>
        <v>0</v>
      </c>
      <c r="K478" s="16">
        <f>(Opening_Fund_Value+SUM(K$91:K477))*E478*IF(D478=$A$91,SRP_finalmonthfactor,1)</f>
        <v>0</v>
      </c>
      <c r="L478" s="74">
        <f>MIN(IF($AV478=0,0,
IF(Investment_Strategy="DIS",VLOOKUP(Investment_Strategy&amp;"_"&amp;Investment_Strategy_Sub1&amp;"_"&amp;$A478,'Investment Strategies'!$AZ:$BP,12,FALSE),
IF(AND(Investment_Strategy="Lifecycle",Investment_Strategy_Sub1="Non-Standard"),VLOOKUP(Investment_Strategy&amp;"_"&amp;Investment_Strategy_Sub2&amp;"_"&amp;$A478,'Investment Strategies'!$C:$P,9,FALSE),
IF(AND(Investment_Strategy="Lifecycle",Investment_Strategy_Sub1="Standard"),VLOOKUP(Investment_Strategy&amp;"_"&amp;Investment_Strategy_Sub2&amp;"_"&amp;$A478,'Investment Strategies'!$AJ:$AV,8,FALSE),
IF(AND(Investment_Strategy="Autopilot",Investment_Strategy_Sub1="Non-Standard"),VLOOKUP(Investment_Strategy&amp;"_"&amp;Investment_Strategy_Sub2&amp;"_"&amp;$A478,'Investment Strategies'!$T:$AF,8,FALSE),
IF(Investment_Strategy ="DIY",DIY_RateofReturn_SP,
"Error")))))),Max_InvReturn)</f>
        <v>0</v>
      </c>
      <c r="M478" s="62">
        <f>IF($AV478=0,0,
IF(Investment_Strategy="DIS",VLOOKUP(Investment_Strategy&amp;"_"&amp;Investment_Strategy_Sub1&amp;"_"&amp;$A478,'Investment Strategies'!$AZ:$BP,15,FALSE),
IF(AND(Investment_Strategy="Lifecycle",Investment_Strategy_Sub1="Non-Standard"),VLOOKUP(Investment_Strategy&amp;"_"&amp;Investment_Strategy_Sub2&amp;"_"&amp;$A478,'Investment Strategies'!$C:$P,12,FALSE),
IF(AND(Investment_Strategy="Lifecycle",Investment_Strategy_Sub1="Standard"),VLOOKUP(Investment_Strategy&amp;"_"&amp;Investment_Strategy_Sub2&amp;"_"&amp;$A478,'Investment Strategies'!$AJ:$AV,11,FALSE),
IF(AND(Investment_Strategy="Autopilot",Investment_Strategy_Sub1="Non-Standard"),VLOOKUP(Investment_Strategy&amp;"_"&amp;Investment_Strategy_Sub2&amp;"_"&amp;$A478,'Investment Strategies'!$T:$AF,11,FALSE),
IF(Investment_Strategy="DIY",DIY_GteeChrge_SP,
"Error"))))))</f>
        <v>0</v>
      </c>
      <c r="N478" s="33">
        <f>IF($AV478=0,0,
IF(Investment_Strategy="DIS",VLOOKUP(Investment_Strategy&amp;"_"&amp;Investment_Strategy_Sub1&amp;"_"&amp;$A478,'Investment Strategies'!$AZ:$BP,17,FALSE),
IF(AND(Investment_Strategy="Lifecycle",Investment_Strategy_Sub1="Non-Standard"),VLOOKUP(Investment_Strategy&amp;"_"&amp;Investment_Strategy_Sub2&amp;"_"&amp;$A478,'Investment Strategies'!$C:$P,14,FALSE),
IF(AND(Investment_Strategy="Lifecycle",Investment_Strategy_Sub1="Standard"),VLOOKUP(Investment_Strategy&amp;"_"&amp;Investment_Strategy_Sub2&amp;"_"&amp;$A478,'Investment Strategies'!$AJ:$AV,13,FALSE),
IF(AND(Investment_Strategy="Autopilot",Investment_Strategy_Sub1="Non-Standard"),VLOOKUP(Investment_Strategy&amp;"_"&amp;Investment_Strategy_Sub2&amp;"_"&amp;$A478,'Investment Strategies'!$T:$AF,13,FALSE),
IF(Investment_Strategy="DIY",DIY_ExtManChrge_SP,
"Error"))))))</f>
        <v>0</v>
      </c>
      <c r="O478" s="16">
        <f t="shared" si="301"/>
        <v>0</v>
      </c>
      <c r="Q478" s="16">
        <f t="shared" si="278"/>
        <v>0</v>
      </c>
      <c r="R478" s="16">
        <f t="shared" si="274"/>
        <v>0</v>
      </c>
      <c r="S478" s="16">
        <f>(SRP_SP+SUM(S$91:S477))*L478*IF(D478=$A$91,SRP_finalmonthfactor,1)</f>
        <v>0</v>
      </c>
      <c r="T478" s="74">
        <f>MIN(IF($AV478=0,0,
IF(Investment_Strategy="DIS",VLOOKUP(Investment_Strategy&amp;"_"&amp;Investment_Strategy_Sub1&amp;"_"&amp;$A478,'Investment Strategies'!$AZ:$BP,12,FALSE),
IF(AND(Investment_Strategy="Lifecycle",Investment_Strategy_Sub1="Non-Standard"),VLOOKUP(Investment_Strategy&amp;"_"&amp;Investment_Strategy_Sub2&amp;"_"&amp;$A478,'Investment Strategies'!$C:$P,9,FALSE),
IF(AND(Investment_Strategy="Lifecycle",Investment_Strategy_Sub1="Standard"),VLOOKUP(Investment_Strategy&amp;"_"&amp;Investment_Strategy_Sub2&amp;"_"&amp;$A478,'Investment Strategies'!$AJ:$AV,8,FALSE),
IF(AND(Investment_Strategy="Autopilot",Investment_Strategy_Sub1="Non-Standard"),VLOOKUP(Investment_Strategy&amp;"_"&amp;Investment_Strategy_Sub2&amp;"_"&amp;$A478,'Investment Strategies'!$T:$AF,8,FALSE),
IF(Investment_Strategy ="DIY",DIY_RateOfReturn_FuturePremiums,
"Error")))))),Max_InvReturn)</f>
        <v>0</v>
      </c>
      <c r="U478" s="62">
        <f>IF($AV478=0,0,
IF(Investment_Strategy="DIS",VLOOKUP(Investment_Strategy&amp;"_"&amp;Investment_Strategy_Sub1&amp;"_"&amp;$A478,'Investment Strategies'!$AZ:$BP,15,FALSE),
IF(AND(Investment_Strategy="Lifecycle",Investment_Strategy_Sub1="Non-Standard"),VLOOKUP(Investment_Strategy&amp;"_"&amp;Investment_Strategy_Sub2&amp;"_"&amp;$A478,'Investment Strategies'!$C:$P,12,FALSE),
IF(AND(Investment_Strategy="Lifecycle",Investment_Strategy_Sub1="Standard"),VLOOKUP(Investment_Strategy&amp;"_"&amp;Investment_Strategy_Sub2&amp;"_"&amp;$A478,'Investment Strategies'!$AJ:$AV,11,FALSE),
IF(AND(Investment_Strategy="Autopilot",Investment_Strategy_Sub1="Non-Standard"),VLOOKUP(Investment_Strategy&amp;"_"&amp;Investment_Strategy_Sub2&amp;"_"&amp;$A478,'Investment Strategies'!$T:$AF,11,FALSE),
IF(Investment_Strategy="DIY",DIY_GteeChrge_FuturePremiums,
"Error"))))))</f>
        <v>0</v>
      </c>
      <c r="V478" s="33">
        <f>IF(AV478=0,0,
IF(Investment_Strategy="DIS",VLOOKUP(Investment_Strategy&amp;"_"&amp;Investment_Strategy_Sub1&amp;"_"&amp;$A478,'Investment Strategies'!$AZ:$BP,17,FALSE),
IF(AND(Investment_Strategy="Lifecycle",Investment_Strategy_Sub1="Non-Standard"),VLOOKUP(Investment_Strategy&amp;"_"&amp;Investment_Strategy_Sub2&amp;"_"&amp;$A478,'Investment Strategies'!$C:$P,14,FALSE),
IF(AND(Investment_Strategy="Lifecycle",Investment_Strategy_Sub1="Standard"),VLOOKUP(Investment_Strategy&amp;"_"&amp;Investment_Strategy_Sub2&amp;"_"&amp;$A478,'Investment Strategies'!$AJ:$AV,13,FALSE),
IF(AND(Investment_Strategy="Autopilot",Investment_Strategy_Sub1="Non-Standard"),VLOOKUP(Investment_Strategy&amp;"_"&amp;Investment_Strategy_Sub2&amp;"_"&amp;$A478,'Investment Strategies'!$T:$AF,13,FALSE),
IF(Investment_Strategy="DIY",DIY_ExtManChrge_FuturePremiums,
"Error"))))))</f>
        <v>0</v>
      </c>
      <c r="W478" s="16">
        <f t="shared" si="302"/>
        <v>0</v>
      </c>
      <c r="X478" s="16">
        <f t="shared" si="279"/>
        <v>0</v>
      </c>
      <c r="Y478" s="16">
        <f t="shared" si="280"/>
        <v>0</v>
      </c>
      <c r="Z478" s="31">
        <f t="shared" si="281"/>
        <v>0.02</v>
      </c>
      <c r="AA478" s="16">
        <f t="shared" si="282"/>
        <v>0</v>
      </c>
      <c r="AB478" s="28">
        <f t="shared" ref="AB478:AB541" si="303">IF($AV477=0,0,SUM(K477,S477,AB477:AC477)+X477)</f>
        <v>0</v>
      </c>
      <c r="AC478" s="28">
        <f>(SUM($AC$91:AC477)+SUM($X$91:X477)+X478)*T478*IF(D478=$A$91,SRP_finalmonthfactor,1)</f>
        <v>0</v>
      </c>
      <c r="AD478" s="16">
        <f t="shared" si="283"/>
        <v>0</v>
      </c>
      <c r="AE478" s="106"/>
      <c r="AF478" s="16">
        <f t="shared" si="291"/>
        <v>0</v>
      </c>
      <c r="AG478" s="16">
        <f t="shared" si="292"/>
        <v>0</v>
      </c>
      <c r="AH478" s="16">
        <f t="shared" si="293"/>
        <v>0</v>
      </c>
      <c r="AJ478" s="13">
        <f t="shared" si="275"/>
        <v>0</v>
      </c>
      <c r="AK478" s="13">
        <f t="shared" si="275"/>
        <v>0</v>
      </c>
      <c r="AL478" s="13">
        <f t="shared" si="275"/>
        <v>0</v>
      </c>
      <c r="AM478" s="13">
        <f t="shared" si="275"/>
        <v>0</v>
      </c>
      <c r="AN478" s="13">
        <f t="shared" si="275"/>
        <v>0</v>
      </c>
      <c r="AO478" s="13">
        <f t="shared" si="275"/>
        <v>1</v>
      </c>
      <c r="AP478" s="13">
        <f t="shared" si="275"/>
        <v>1</v>
      </c>
      <c r="AQ478" s="13">
        <f t="shared" si="275"/>
        <v>1</v>
      </c>
      <c r="AR478" s="13">
        <f t="shared" si="275"/>
        <v>0</v>
      </c>
      <c r="AS478" s="13">
        <f t="shared" si="275"/>
        <v>0</v>
      </c>
      <c r="AT478" s="13">
        <f t="shared" si="275"/>
        <v>1</v>
      </c>
      <c r="AU478" s="13">
        <f t="shared" si="275"/>
        <v>1</v>
      </c>
      <c r="AV478" s="13">
        <f t="shared" si="284"/>
        <v>0</v>
      </c>
      <c r="AW478" s="13">
        <f t="shared" si="285"/>
        <v>1</v>
      </c>
      <c r="AY478" s="17">
        <f t="shared" si="286"/>
        <v>388</v>
      </c>
      <c r="AZ478" s="28">
        <f t="shared" si="294"/>
        <v>0</v>
      </c>
      <c r="BA478" s="13">
        <f t="shared" si="287"/>
        <v>0</v>
      </c>
      <c r="BB478" s="13">
        <f t="shared" si="288"/>
        <v>0</v>
      </c>
      <c r="BC478" s="28">
        <f t="shared" si="295"/>
        <v>0</v>
      </c>
      <c r="BD478" s="28">
        <f t="shared" si="296"/>
        <v>0</v>
      </c>
      <c r="BF478" s="248">
        <f t="shared" si="297"/>
        <v>993869.29442638322</v>
      </c>
    </row>
    <row r="479" spans="1:58">
      <c r="A479" s="32">
        <f t="shared" si="298"/>
        <v>-304</v>
      </c>
      <c r="B479" s="32">
        <f t="shared" si="289"/>
        <v>85</v>
      </c>
      <c r="C479" s="32">
        <f t="shared" si="299"/>
        <v>33</v>
      </c>
      <c r="D479" s="32">
        <f t="shared" si="300"/>
        <v>389</v>
      </c>
      <c r="E479" s="74">
        <f>MIN(IF(AV479=0,0,
IF(Investment_Strategy="DIS",VLOOKUP(Investment_Strategy&amp;"_"&amp;Investment_Strategy_Sub1&amp;"_"&amp;$A479,'Investment Strategies'!$AZ:$BP,12,FALSE),
IF(AND(Investment_Strategy="Lifecycle",Investment_Strategy_Sub1="Non-Standard"),VLOOKUP(Investment_Strategy&amp;"_"&amp;Investment_Strategy_Sub2&amp;"_"&amp;$A479,'Investment Strategies'!$C:$P,9,FALSE),
IF(AND(Investment_Strategy="Lifecycle",Investment_Strategy_Sub1="Standard"),VLOOKUP(Investment_Strategy&amp;"_"&amp;Investment_Strategy_Sub2&amp;"_"&amp;$A479,'Investment Strategies'!$AJ:$AV,8,FALSE),
IF(AND(Investment_Strategy="Autopilot",Investment_Strategy_Sub1="Non-Standard"),VLOOKUP(Investment_Strategy&amp;"_"&amp;Investment_Strategy_Sub2&amp;"_"&amp;$A479,'Investment Strategies'!$T:$AF,8,FALSE),
IF(Investment_Strategy ="DIY",DIY_RateOfReturn_CurrentFunds,
"Error")))))),Max_InvReturn)</f>
        <v>0</v>
      </c>
      <c r="F479" s="62">
        <f>IF(AV479=0,0,
IF(Investment_Strategy="DIS",VLOOKUP(Investment_Strategy&amp;"_"&amp;Investment_Strategy_Sub1&amp;"_"&amp;$A479,'Investment Strategies'!$AZ:$BP,15,FALSE),
IF(AND(Investment_Strategy="Lifecycle",Investment_Strategy_Sub1="Non-Standard"),VLOOKUP(Investment_Strategy&amp;"_"&amp;Investment_Strategy_Sub2&amp;"_"&amp;$A479,'Investment Strategies'!$C:$P,12,FALSE),
IF(AND(Investment_Strategy="Lifecycle",Investment_Strategy_Sub1="Standard"),VLOOKUP(Investment_Strategy&amp;"_"&amp;Investment_Strategy_Sub2&amp;"_"&amp;$A479,'Investment Strategies'!$AJ:$AV,11,FALSE),
IF(AND(Investment_Strategy="Autopilot",Investment_Strategy_Sub1="Non-Standard"),VLOOKUP(Investment_Strategy&amp;"_"&amp;Investment_Strategy_Sub2&amp;"_"&amp;$A479,'Investment Strategies'!$T:$AF,11,FALSE),
IF(Investment_Strategy="DIY",DIY_GteeChrge_CurrentFunds,
"Error"))))))</f>
        <v>0</v>
      </c>
      <c r="G479" s="33">
        <f>IF(AV479=0,0,
IF(Investment_Strategy="DIS",VLOOKUP(Investment_Strategy&amp;"_"&amp;Investment_Strategy_Sub1&amp;"_"&amp;$A479,'Investment Strategies'!$AZ:$BP,17,FALSE),
IF(AND(Investment_Strategy="Lifecycle",Investment_Strategy_Sub1="Non-Standard"),VLOOKUP(Investment_Strategy&amp;"_"&amp;Investment_Strategy_Sub2&amp;"_"&amp;$A479,'Investment Strategies'!$C:$P,14,FALSE),
IF(AND(Investment_Strategy="Lifecycle",Investment_Strategy_Sub1="Standard"),VLOOKUP(Investment_Strategy&amp;"_"&amp;Investment_Strategy_Sub2&amp;"_"&amp;$A479,'Investment Strategies'!$AJ:$AV,13,FALSE),
IF(AND(Investment_Strategy="Autopilot",Investment_Strategy_Sub1="Non-Standard"),VLOOKUP(Investment_Strategy&amp;"_"&amp;Investment_Strategy_Sub2&amp;"_"&amp;$A479,'Investment Strategies'!$T:$AF,13,FALSE),
IF(Investment_Strategy="DIY",DIY_ExtManChrge_CurrentFunds,
"Error"))))))</f>
        <v>0</v>
      </c>
      <c r="H479" s="16">
        <f t="shared" si="290"/>
        <v>0</v>
      </c>
      <c r="I479" s="16">
        <f t="shared" si="276"/>
        <v>0</v>
      </c>
      <c r="J479" s="16">
        <f t="shared" si="277"/>
        <v>0</v>
      </c>
      <c r="K479" s="16">
        <f>(Opening_Fund_Value+SUM(K$91:K478))*E479*IF(D479=$A$91,SRP_finalmonthfactor,1)</f>
        <v>0</v>
      </c>
      <c r="L479" s="74">
        <f>MIN(IF($AV479=0,0,
IF(Investment_Strategy="DIS",VLOOKUP(Investment_Strategy&amp;"_"&amp;Investment_Strategy_Sub1&amp;"_"&amp;$A479,'Investment Strategies'!$AZ:$BP,12,FALSE),
IF(AND(Investment_Strategy="Lifecycle",Investment_Strategy_Sub1="Non-Standard"),VLOOKUP(Investment_Strategy&amp;"_"&amp;Investment_Strategy_Sub2&amp;"_"&amp;$A479,'Investment Strategies'!$C:$P,9,FALSE),
IF(AND(Investment_Strategy="Lifecycle",Investment_Strategy_Sub1="Standard"),VLOOKUP(Investment_Strategy&amp;"_"&amp;Investment_Strategy_Sub2&amp;"_"&amp;$A479,'Investment Strategies'!$AJ:$AV,8,FALSE),
IF(AND(Investment_Strategy="Autopilot",Investment_Strategy_Sub1="Non-Standard"),VLOOKUP(Investment_Strategy&amp;"_"&amp;Investment_Strategy_Sub2&amp;"_"&amp;$A479,'Investment Strategies'!$T:$AF,8,FALSE),
IF(Investment_Strategy ="DIY",DIY_RateofReturn_SP,
"Error")))))),Max_InvReturn)</f>
        <v>0</v>
      </c>
      <c r="M479" s="62">
        <f>IF($AV479=0,0,
IF(Investment_Strategy="DIS",VLOOKUP(Investment_Strategy&amp;"_"&amp;Investment_Strategy_Sub1&amp;"_"&amp;$A479,'Investment Strategies'!$AZ:$BP,15,FALSE),
IF(AND(Investment_Strategy="Lifecycle",Investment_Strategy_Sub1="Non-Standard"),VLOOKUP(Investment_Strategy&amp;"_"&amp;Investment_Strategy_Sub2&amp;"_"&amp;$A479,'Investment Strategies'!$C:$P,12,FALSE),
IF(AND(Investment_Strategy="Lifecycle",Investment_Strategy_Sub1="Standard"),VLOOKUP(Investment_Strategy&amp;"_"&amp;Investment_Strategy_Sub2&amp;"_"&amp;$A479,'Investment Strategies'!$AJ:$AV,11,FALSE),
IF(AND(Investment_Strategy="Autopilot",Investment_Strategy_Sub1="Non-Standard"),VLOOKUP(Investment_Strategy&amp;"_"&amp;Investment_Strategy_Sub2&amp;"_"&amp;$A479,'Investment Strategies'!$T:$AF,11,FALSE),
IF(Investment_Strategy="DIY",DIY_GteeChrge_SP,
"Error"))))))</f>
        <v>0</v>
      </c>
      <c r="N479" s="33">
        <f>IF($AV479=0,0,
IF(Investment_Strategy="DIS",VLOOKUP(Investment_Strategy&amp;"_"&amp;Investment_Strategy_Sub1&amp;"_"&amp;$A479,'Investment Strategies'!$AZ:$BP,17,FALSE),
IF(AND(Investment_Strategy="Lifecycle",Investment_Strategy_Sub1="Non-Standard"),VLOOKUP(Investment_Strategy&amp;"_"&amp;Investment_Strategy_Sub2&amp;"_"&amp;$A479,'Investment Strategies'!$C:$P,14,FALSE),
IF(AND(Investment_Strategy="Lifecycle",Investment_Strategy_Sub1="Standard"),VLOOKUP(Investment_Strategy&amp;"_"&amp;Investment_Strategy_Sub2&amp;"_"&amp;$A479,'Investment Strategies'!$AJ:$AV,13,FALSE),
IF(AND(Investment_Strategy="Autopilot",Investment_Strategy_Sub1="Non-Standard"),VLOOKUP(Investment_Strategy&amp;"_"&amp;Investment_Strategy_Sub2&amp;"_"&amp;$A479,'Investment Strategies'!$T:$AF,13,FALSE),
IF(Investment_Strategy="DIY",DIY_ExtManChrge_SP,
"Error"))))))</f>
        <v>0</v>
      </c>
      <c r="O479" s="16">
        <f t="shared" si="301"/>
        <v>0</v>
      </c>
      <c r="Q479" s="16">
        <f t="shared" si="278"/>
        <v>0</v>
      </c>
      <c r="R479" s="16">
        <f t="shared" si="274"/>
        <v>0</v>
      </c>
      <c r="S479" s="16">
        <f>(SRP_SP+SUM(S$91:S478))*L479*IF(D479=$A$91,SRP_finalmonthfactor,1)</f>
        <v>0</v>
      </c>
      <c r="T479" s="74">
        <f>MIN(IF($AV479=0,0,
IF(Investment_Strategy="DIS",VLOOKUP(Investment_Strategy&amp;"_"&amp;Investment_Strategy_Sub1&amp;"_"&amp;$A479,'Investment Strategies'!$AZ:$BP,12,FALSE),
IF(AND(Investment_Strategy="Lifecycle",Investment_Strategy_Sub1="Non-Standard"),VLOOKUP(Investment_Strategy&amp;"_"&amp;Investment_Strategy_Sub2&amp;"_"&amp;$A479,'Investment Strategies'!$C:$P,9,FALSE),
IF(AND(Investment_Strategy="Lifecycle",Investment_Strategy_Sub1="Standard"),VLOOKUP(Investment_Strategy&amp;"_"&amp;Investment_Strategy_Sub2&amp;"_"&amp;$A479,'Investment Strategies'!$AJ:$AV,8,FALSE),
IF(AND(Investment_Strategy="Autopilot",Investment_Strategy_Sub1="Non-Standard"),VLOOKUP(Investment_Strategy&amp;"_"&amp;Investment_Strategy_Sub2&amp;"_"&amp;$A479,'Investment Strategies'!$T:$AF,8,FALSE),
IF(Investment_Strategy ="DIY",DIY_RateOfReturn_FuturePremiums,
"Error")))))),Max_InvReturn)</f>
        <v>0</v>
      </c>
      <c r="U479" s="62">
        <f>IF($AV479=0,0,
IF(Investment_Strategy="DIS",VLOOKUP(Investment_Strategy&amp;"_"&amp;Investment_Strategy_Sub1&amp;"_"&amp;$A479,'Investment Strategies'!$AZ:$BP,15,FALSE),
IF(AND(Investment_Strategy="Lifecycle",Investment_Strategy_Sub1="Non-Standard"),VLOOKUP(Investment_Strategy&amp;"_"&amp;Investment_Strategy_Sub2&amp;"_"&amp;$A479,'Investment Strategies'!$C:$P,12,FALSE),
IF(AND(Investment_Strategy="Lifecycle",Investment_Strategy_Sub1="Standard"),VLOOKUP(Investment_Strategy&amp;"_"&amp;Investment_Strategy_Sub2&amp;"_"&amp;$A479,'Investment Strategies'!$AJ:$AV,11,FALSE),
IF(AND(Investment_Strategy="Autopilot",Investment_Strategy_Sub1="Non-Standard"),VLOOKUP(Investment_Strategy&amp;"_"&amp;Investment_Strategy_Sub2&amp;"_"&amp;$A479,'Investment Strategies'!$T:$AF,11,FALSE),
IF(Investment_Strategy="DIY",DIY_GteeChrge_FuturePremiums,
"Error"))))))</f>
        <v>0</v>
      </c>
      <c r="V479" s="33">
        <f>IF(AV479=0,0,
IF(Investment_Strategy="DIS",VLOOKUP(Investment_Strategy&amp;"_"&amp;Investment_Strategy_Sub1&amp;"_"&amp;$A479,'Investment Strategies'!$AZ:$BP,17,FALSE),
IF(AND(Investment_Strategy="Lifecycle",Investment_Strategy_Sub1="Non-Standard"),VLOOKUP(Investment_Strategy&amp;"_"&amp;Investment_Strategy_Sub2&amp;"_"&amp;$A479,'Investment Strategies'!$C:$P,14,FALSE),
IF(AND(Investment_Strategy="Lifecycle",Investment_Strategy_Sub1="Standard"),VLOOKUP(Investment_Strategy&amp;"_"&amp;Investment_Strategy_Sub2&amp;"_"&amp;$A479,'Investment Strategies'!$AJ:$AV,13,FALSE),
IF(AND(Investment_Strategy="Autopilot",Investment_Strategy_Sub1="Non-Standard"),VLOOKUP(Investment_Strategy&amp;"_"&amp;Investment_Strategy_Sub2&amp;"_"&amp;$A479,'Investment Strategies'!$T:$AF,13,FALSE),
IF(Investment_Strategy="DIY",DIY_ExtManChrge_FuturePremiums,
"Error"))))))</f>
        <v>0</v>
      </c>
      <c r="W479" s="16">
        <f t="shared" si="302"/>
        <v>0</v>
      </c>
      <c r="X479" s="16">
        <f t="shared" si="279"/>
        <v>0</v>
      </c>
      <c r="Y479" s="16">
        <f t="shared" si="280"/>
        <v>0</v>
      </c>
      <c r="Z479" s="31">
        <f t="shared" si="281"/>
        <v>0.02</v>
      </c>
      <c r="AA479" s="16">
        <f t="shared" si="282"/>
        <v>0</v>
      </c>
      <c r="AB479" s="28">
        <f t="shared" si="303"/>
        <v>0</v>
      </c>
      <c r="AC479" s="28">
        <f>(SUM($AC$91:AC478)+SUM($X$91:X478)+X479)*T479*IF(D479=$A$91,SRP_finalmonthfactor,1)</f>
        <v>0</v>
      </c>
      <c r="AD479" s="16">
        <f t="shared" si="283"/>
        <v>0</v>
      </c>
      <c r="AE479" s="106"/>
      <c r="AF479" s="16">
        <f t="shared" si="291"/>
        <v>0</v>
      </c>
      <c r="AG479" s="16">
        <f t="shared" si="292"/>
        <v>0</v>
      </c>
      <c r="AH479" s="16">
        <f t="shared" si="293"/>
        <v>0</v>
      </c>
      <c r="AJ479" s="13">
        <f t="shared" si="275"/>
        <v>0</v>
      </c>
      <c r="AK479" s="13">
        <f t="shared" si="275"/>
        <v>0</v>
      </c>
      <c r="AL479" s="13">
        <f t="shared" si="275"/>
        <v>0</v>
      </c>
      <c r="AM479" s="13">
        <f t="shared" si="275"/>
        <v>0</v>
      </c>
      <c r="AN479" s="13">
        <f t="shared" si="275"/>
        <v>0</v>
      </c>
      <c r="AO479" s="13">
        <f t="shared" si="275"/>
        <v>1</v>
      </c>
      <c r="AP479" s="13">
        <f t="shared" si="275"/>
        <v>1</v>
      </c>
      <c r="AQ479" s="13">
        <f t="shared" si="275"/>
        <v>1</v>
      </c>
      <c r="AR479" s="13">
        <f t="shared" si="275"/>
        <v>0</v>
      </c>
      <c r="AS479" s="13">
        <f t="shared" si="275"/>
        <v>0</v>
      </c>
      <c r="AT479" s="13">
        <f t="shared" si="275"/>
        <v>1</v>
      </c>
      <c r="AU479" s="13">
        <f t="shared" si="275"/>
        <v>1</v>
      </c>
      <c r="AV479" s="13">
        <f t="shared" si="284"/>
        <v>0</v>
      </c>
      <c r="AW479" s="13">
        <f t="shared" si="285"/>
        <v>1</v>
      </c>
      <c r="AY479" s="17">
        <f t="shared" si="286"/>
        <v>389</v>
      </c>
      <c r="AZ479" s="28">
        <f t="shared" si="294"/>
        <v>0</v>
      </c>
      <c r="BA479" s="13">
        <f t="shared" si="287"/>
        <v>0</v>
      </c>
      <c r="BB479" s="13">
        <f t="shared" si="288"/>
        <v>0</v>
      </c>
      <c r="BC479" s="28">
        <f t="shared" si="295"/>
        <v>0</v>
      </c>
      <c r="BD479" s="28">
        <f t="shared" si="296"/>
        <v>0</v>
      </c>
      <c r="BF479" s="248">
        <f t="shared" si="297"/>
        <v>993869.29442638322</v>
      </c>
    </row>
    <row r="480" spans="1:58">
      <c r="A480" s="32">
        <f t="shared" si="298"/>
        <v>-305</v>
      </c>
      <c r="B480" s="32">
        <f t="shared" si="289"/>
        <v>85</v>
      </c>
      <c r="C480" s="32">
        <f t="shared" si="299"/>
        <v>33</v>
      </c>
      <c r="D480" s="32">
        <f t="shared" si="300"/>
        <v>390</v>
      </c>
      <c r="E480" s="74">
        <f>MIN(IF(AV480=0,0,
IF(Investment_Strategy="DIS",VLOOKUP(Investment_Strategy&amp;"_"&amp;Investment_Strategy_Sub1&amp;"_"&amp;$A480,'Investment Strategies'!$AZ:$BP,12,FALSE),
IF(AND(Investment_Strategy="Lifecycle",Investment_Strategy_Sub1="Non-Standard"),VLOOKUP(Investment_Strategy&amp;"_"&amp;Investment_Strategy_Sub2&amp;"_"&amp;$A480,'Investment Strategies'!$C:$P,9,FALSE),
IF(AND(Investment_Strategy="Lifecycle",Investment_Strategy_Sub1="Standard"),VLOOKUP(Investment_Strategy&amp;"_"&amp;Investment_Strategy_Sub2&amp;"_"&amp;$A480,'Investment Strategies'!$AJ:$AV,8,FALSE),
IF(AND(Investment_Strategy="Autopilot",Investment_Strategy_Sub1="Non-Standard"),VLOOKUP(Investment_Strategy&amp;"_"&amp;Investment_Strategy_Sub2&amp;"_"&amp;$A480,'Investment Strategies'!$T:$AF,8,FALSE),
IF(Investment_Strategy ="DIY",DIY_RateOfReturn_CurrentFunds,
"Error")))))),Max_InvReturn)</f>
        <v>0</v>
      </c>
      <c r="F480" s="62">
        <f>IF(AV480=0,0,
IF(Investment_Strategy="DIS",VLOOKUP(Investment_Strategy&amp;"_"&amp;Investment_Strategy_Sub1&amp;"_"&amp;$A480,'Investment Strategies'!$AZ:$BP,15,FALSE),
IF(AND(Investment_Strategy="Lifecycle",Investment_Strategy_Sub1="Non-Standard"),VLOOKUP(Investment_Strategy&amp;"_"&amp;Investment_Strategy_Sub2&amp;"_"&amp;$A480,'Investment Strategies'!$C:$P,12,FALSE),
IF(AND(Investment_Strategy="Lifecycle",Investment_Strategy_Sub1="Standard"),VLOOKUP(Investment_Strategy&amp;"_"&amp;Investment_Strategy_Sub2&amp;"_"&amp;$A480,'Investment Strategies'!$AJ:$AV,11,FALSE),
IF(AND(Investment_Strategy="Autopilot",Investment_Strategy_Sub1="Non-Standard"),VLOOKUP(Investment_Strategy&amp;"_"&amp;Investment_Strategy_Sub2&amp;"_"&amp;$A480,'Investment Strategies'!$T:$AF,11,FALSE),
IF(Investment_Strategy="DIY",DIY_GteeChrge_CurrentFunds,
"Error"))))))</f>
        <v>0</v>
      </c>
      <c r="G480" s="33">
        <f>IF(AV480=0,0,
IF(Investment_Strategy="DIS",VLOOKUP(Investment_Strategy&amp;"_"&amp;Investment_Strategy_Sub1&amp;"_"&amp;$A480,'Investment Strategies'!$AZ:$BP,17,FALSE),
IF(AND(Investment_Strategy="Lifecycle",Investment_Strategy_Sub1="Non-Standard"),VLOOKUP(Investment_Strategy&amp;"_"&amp;Investment_Strategy_Sub2&amp;"_"&amp;$A480,'Investment Strategies'!$C:$P,14,FALSE),
IF(AND(Investment_Strategy="Lifecycle",Investment_Strategy_Sub1="Standard"),VLOOKUP(Investment_Strategy&amp;"_"&amp;Investment_Strategy_Sub2&amp;"_"&amp;$A480,'Investment Strategies'!$AJ:$AV,13,FALSE),
IF(AND(Investment_Strategy="Autopilot",Investment_Strategy_Sub1="Non-Standard"),VLOOKUP(Investment_Strategy&amp;"_"&amp;Investment_Strategy_Sub2&amp;"_"&amp;$A480,'Investment Strategies'!$T:$AF,13,FALSE),
IF(Investment_Strategy="DIY",DIY_ExtManChrge_CurrentFunds,
"Error"))))))</f>
        <v>0</v>
      </c>
      <c r="H480" s="16">
        <f t="shared" si="290"/>
        <v>0</v>
      </c>
      <c r="I480" s="16">
        <f t="shared" si="276"/>
        <v>0</v>
      </c>
      <c r="J480" s="16">
        <f t="shared" si="277"/>
        <v>0</v>
      </c>
      <c r="K480" s="16">
        <f>(Opening_Fund_Value+SUM(K$91:K479))*E480*IF(D480=$A$91,SRP_finalmonthfactor,1)</f>
        <v>0</v>
      </c>
      <c r="L480" s="74">
        <f>MIN(IF($AV480=0,0,
IF(Investment_Strategy="DIS",VLOOKUP(Investment_Strategy&amp;"_"&amp;Investment_Strategy_Sub1&amp;"_"&amp;$A480,'Investment Strategies'!$AZ:$BP,12,FALSE),
IF(AND(Investment_Strategy="Lifecycle",Investment_Strategy_Sub1="Non-Standard"),VLOOKUP(Investment_Strategy&amp;"_"&amp;Investment_Strategy_Sub2&amp;"_"&amp;$A480,'Investment Strategies'!$C:$P,9,FALSE),
IF(AND(Investment_Strategy="Lifecycle",Investment_Strategy_Sub1="Standard"),VLOOKUP(Investment_Strategy&amp;"_"&amp;Investment_Strategy_Sub2&amp;"_"&amp;$A480,'Investment Strategies'!$AJ:$AV,8,FALSE),
IF(AND(Investment_Strategy="Autopilot",Investment_Strategy_Sub1="Non-Standard"),VLOOKUP(Investment_Strategy&amp;"_"&amp;Investment_Strategy_Sub2&amp;"_"&amp;$A480,'Investment Strategies'!$T:$AF,8,FALSE),
IF(Investment_Strategy ="DIY",DIY_RateofReturn_SP,
"Error")))))),Max_InvReturn)</f>
        <v>0</v>
      </c>
      <c r="M480" s="62">
        <f>IF($AV480=0,0,
IF(Investment_Strategy="DIS",VLOOKUP(Investment_Strategy&amp;"_"&amp;Investment_Strategy_Sub1&amp;"_"&amp;$A480,'Investment Strategies'!$AZ:$BP,15,FALSE),
IF(AND(Investment_Strategy="Lifecycle",Investment_Strategy_Sub1="Non-Standard"),VLOOKUP(Investment_Strategy&amp;"_"&amp;Investment_Strategy_Sub2&amp;"_"&amp;$A480,'Investment Strategies'!$C:$P,12,FALSE),
IF(AND(Investment_Strategy="Lifecycle",Investment_Strategy_Sub1="Standard"),VLOOKUP(Investment_Strategy&amp;"_"&amp;Investment_Strategy_Sub2&amp;"_"&amp;$A480,'Investment Strategies'!$AJ:$AV,11,FALSE),
IF(AND(Investment_Strategy="Autopilot",Investment_Strategy_Sub1="Non-Standard"),VLOOKUP(Investment_Strategy&amp;"_"&amp;Investment_Strategy_Sub2&amp;"_"&amp;$A480,'Investment Strategies'!$T:$AF,11,FALSE),
IF(Investment_Strategy="DIY",DIY_GteeChrge_SP,
"Error"))))))</f>
        <v>0</v>
      </c>
      <c r="N480" s="33">
        <f>IF($AV480=0,0,
IF(Investment_Strategy="DIS",VLOOKUP(Investment_Strategy&amp;"_"&amp;Investment_Strategy_Sub1&amp;"_"&amp;$A480,'Investment Strategies'!$AZ:$BP,17,FALSE),
IF(AND(Investment_Strategy="Lifecycle",Investment_Strategy_Sub1="Non-Standard"),VLOOKUP(Investment_Strategy&amp;"_"&amp;Investment_Strategy_Sub2&amp;"_"&amp;$A480,'Investment Strategies'!$C:$P,14,FALSE),
IF(AND(Investment_Strategy="Lifecycle",Investment_Strategy_Sub1="Standard"),VLOOKUP(Investment_Strategy&amp;"_"&amp;Investment_Strategy_Sub2&amp;"_"&amp;$A480,'Investment Strategies'!$AJ:$AV,13,FALSE),
IF(AND(Investment_Strategy="Autopilot",Investment_Strategy_Sub1="Non-Standard"),VLOOKUP(Investment_Strategy&amp;"_"&amp;Investment_Strategy_Sub2&amp;"_"&amp;$A480,'Investment Strategies'!$T:$AF,13,FALSE),
IF(Investment_Strategy="DIY",DIY_ExtManChrge_SP,
"Error"))))))</f>
        <v>0</v>
      </c>
      <c r="O480" s="16">
        <f t="shared" si="301"/>
        <v>0</v>
      </c>
      <c r="Q480" s="16">
        <f t="shared" si="278"/>
        <v>0</v>
      </c>
      <c r="R480" s="16">
        <f t="shared" si="274"/>
        <v>0</v>
      </c>
      <c r="S480" s="16">
        <f>(SRP_SP+SUM(S$91:S479))*L480*IF(D480=$A$91,SRP_finalmonthfactor,1)</f>
        <v>0</v>
      </c>
      <c r="T480" s="74">
        <f>MIN(IF($AV480=0,0,
IF(Investment_Strategy="DIS",VLOOKUP(Investment_Strategy&amp;"_"&amp;Investment_Strategy_Sub1&amp;"_"&amp;$A480,'Investment Strategies'!$AZ:$BP,12,FALSE),
IF(AND(Investment_Strategy="Lifecycle",Investment_Strategy_Sub1="Non-Standard"),VLOOKUP(Investment_Strategy&amp;"_"&amp;Investment_Strategy_Sub2&amp;"_"&amp;$A480,'Investment Strategies'!$C:$P,9,FALSE),
IF(AND(Investment_Strategy="Lifecycle",Investment_Strategy_Sub1="Standard"),VLOOKUP(Investment_Strategy&amp;"_"&amp;Investment_Strategy_Sub2&amp;"_"&amp;$A480,'Investment Strategies'!$AJ:$AV,8,FALSE),
IF(AND(Investment_Strategy="Autopilot",Investment_Strategy_Sub1="Non-Standard"),VLOOKUP(Investment_Strategy&amp;"_"&amp;Investment_Strategy_Sub2&amp;"_"&amp;$A480,'Investment Strategies'!$T:$AF,8,FALSE),
IF(Investment_Strategy ="DIY",DIY_RateOfReturn_FuturePremiums,
"Error")))))),Max_InvReturn)</f>
        <v>0</v>
      </c>
      <c r="U480" s="62">
        <f>IF($AV480=0,0,
IF(Investment_Strategy="DIS",VLOOKUP(Investment_Strategy&amp;"_"&amp;Investment_Strategy_Sub1&amp;"_"&amp;$A480,'Investment Strategies'!$AZ:$BP,15,FALSE),
IF(AND(Investment_Strategy="Lifecycle",Investment_Strategy_Sub1="Non-Standard"),VLOOKUP(Investment_Strategy&amp;"_"&amp;Investment_Strategy_Sub2&amp;"_"&amp;$A480,'Investment Strategies'!$C:$P,12,FALSE),
IF(AND(Investment_Strategy="Lifecycle",Investment_Strategy_Sub1="Standard"),VLOOKUP(Investment_Strategy&amp;"_"&amp;Investment_Strategy_Sub2&amp;"_"&amp;$A480,'Investment Strategies'!$AJ:$AV,11,FALSE),
IF(AND(Investment_Strategy="Autopilot",Investment_Strategy_Sub1="Non-Standard"),VLOOKUP(Investment_Strategy&amp;"_"&amp;Investment_Strategy_Sub2&amp;"_"&amp;$A480,'Investment Strategies'!$T:$AF,11,FALSE),
IF(Investment_Strategy="DIY",DIY_GteeChrge_FuturePremiums,
"Error"))))))</f>
        <v>0</v>
      </c>
      <c r="V480" s="33">
        <f>IF(AV480=0,0,
IF(Investment_Strategy="DIS",VLOOKUP(Investment_Strategy&amp;"_"&amp;Investment_Strategy_Sub1&amp;"_"&amp;$A480,'Investment Strategies'!$AZ:$BP,17,FALSE),
IF(AND(Investment_Strategy="Lifecycle",Investment_Strategy_Sub1="Non-Standard"),VLOOKUP(Investment_Strategy&amp;"_"&amp;Investment_Strategy_Sub2&amp;"_"&amp;$A480,'Investment Strategies'!$C:$P,14,FALSE),
IF(AND(Investment_Strategy="Lifecycle",Investment_Strategy_Sub1="Standard"),VLOOKUP(Investment_Strategy&amp;"_"&amp;Investment_Strategy_Sub2&amp;"_"&amp;$A480,'Investment Strategies'!$AJ:$AV,13,FALSE),
IF(AND(Investment_Strategy="Autopilot",Investment_Strategy_Sub1="Non-Standard"),VLOOKUP(Investment_Strategy&amp;"_"&amp;Investment_Strategy_Sub2&amp;"_"&amp;$A480,'Investment Strategies'!$T:$AF,13,FALSE),
IF(Investment_Strategy="DIY",DIY_ExtManChrge_FuturePremiums,
"Error"))))))</f>
        <v>0</v>
      </c>
      <c r="W480" s="16">
        <f t="shared" si="302"/>
        <v>0</v>
      </c>
      <c r="X480" s="16">
        <f t="shared" si="279"/>
        <v>0</v>
      </c>
      <c r="Y480" s="16">
        <f t="shared" si="280"/>
        <v>0</v>
      </c>
      <c r="Z480" s="31">
        <f t="shared" si="281"/>
        <v>0.02</v>
      </c>
      <c r="AA480" s="16">
        <f t="shared" si="282"/>
        <v>0</v>
      </c>
      <c r="AB480" s="28">
        <f t="shared" si="303"/>
        <v>0</v>
      </c>
      <c r="AC480" s="28">
        <f>(SUM($AC$91:AC479)+SUM($X$91:X479)+X480)*T480*IF(D480=$A$91,SRP_finalmonthfactor,1)</f>
        <v>0</v>
      </c>
      <c r="AD480" s="16">
        <f t="shared" si="283"/>
        <v>0</v>
      </c>
      <c r="AE480" s="106"/>
      <c r="AF480" s="16">
        <f t="shared" si="291"/>
        <v>0</v>
      </c>
      <c r="AG480" s="16">
        <f t="shared" si="292"/>
        <v>0</v>
      </c>
      <c r="AH480" s="16">
        <f t="shared" si="293"/>
        <v>0</v>
      </c>
      <c r="AJ480" s="13">
        <f t="shared" si="275"/>
        <v>0</v>
      </c>
      <c r="AK480" s="13">
        <f t="shared" si="275"/>
        <v>0</v>
      </c>
      <c r="AL480" s="13">
        <f t="shared" si="275"/>
        <v>0</v>
      </c>
      <c r="AM480" s="13">
        <f t="shared" si="275"/>
        <v>0</v>
      </c>
      <c r="AN480" s="13">
        <f t="shared" si="275"/>
        <v>0</v>
      </c>
      <c r="AO480" s="13">
        <f t="shared" si="275"/>
        <v>1</v>
      </c>
      <c r="AP480" s="13">
        <f t="shared" si="275"/>
        <v>1</v>
      </c>
      <c r="AQ480" s="13">
        <f t="shared" si="275"/>
        <v>1</v>
      </c>
      <c r="AR480" s="13">
        <f t="shared" si="275"/>
        <v>0</v>
      </c>
      <c r="AS480" s="13">
        <f t="shared" si="275"/>
        <v>0</v>
      </c>
      <c r="AT480" s="13">
        <f t="shared" si="275"/>
        <v>1</v>
      </c>
      <c r="AU480" s="13">
        <f t="shared" si="275"/>
        <v>1</v>
      </c>
      <c r="AV480" s="13">
        <f t="shared" si="284"/>
        <v>0</v>
      </c>
      <c r="AW480" s="13">
        <f t="shared" si="285"/>
        <v>1</v>
      </c>
      <c r="AY480" s="17">
        <f t="shared" si="286"/>
        <v>390</v>
      </c>
      <c r="AZ480" s="28">
        <f t="shared" si="294"/>
        <v>0</v>
      </c>
      <c r="BA480" s="13">
        <f t="shared" si="287"/>
        <v>0</v>
      </c>
      <c r="BB480" s="13">
        <f t="shared" si="288"/>
        <v>0</v>
      </c>
      <c r="BC480" s="28">
        <f t="shared" si="295"/>
        <v>0</v>
      </c>
      <c r="BD480" s="28">
        <f t="shared" si="296"/>
        <v>0</v>
      </c>
      <c r="BF480" s="248">
        <f t="shared" si="297"/>
        <v>993869.29442638322</v>
      </c>
    </row>
    <row r="481" spans="1:58">
      <c r="A481" s="32">
        <f t="shared" si="298"/>
        <v>-306</v>
      </c>
      <c r="B481" s="32">
        <f t="shared" si="289"/>
        <v>85</v>
      </c>
      <c r="C481" s="32">
        <f t="shared" si="299"/>
        <v>33</v>
      </c>
      <c r="D481" s="32">
        <f t="shared" si="300"/>
        <v>391</v>
      </c>
      <c r="E481" s="74">
        <f>MIN(IF(AV481=0,0,
IF(Investment_Strategy="DIS",VLOOKUP(Investment_Strategy&amp;"_"&amp;Investment_Strategy_Sub1&amp;"_"&amp;$A481,'Investment Strategies'!$AZ:$BP,12,FALSE),
IF(AND(Investment_Strategy="Lifecycle",Investment_Strategy_Sub1="Non-Standard"),VLOOKUP(Investment_Strategy&amp;"_"&amp;Investment_Strategy_Sub2&amp;"_"&amp;$A481,'Investment Strategies'!$C:$P,9,FALSE),
IF(AND(Investment_Strategy="Lifecycle",Investment_Strategy_Sub1="Standard"),VLOOKUP(Investment_Strategy&amp;"_"&amp;Investment_Strategy_Sub2&amp;"_"&amp;$A481,'Investment Strategies'!$AJ:$AV,8,FALSE),
IF(AND(Investment_Strategy="Autopilot",Investment_Strategy_Sub1="Non-Standard"),VLOOKUP(Investment_Strategy&amp;"_"&amp;Investment_Strategy_Sub2&amp;"_"&amp;$A481,'Investment Strategies'!$T:$AF,8,FALSE),
IF(Investment_Strategy ="DIY",DIY_RateOfReturn_CurrentFunds,
"Error")))))),Max_InvReturn)</f>
        <v>0</v>
      </c>
      <c r="F481" s="62">
        <f>IF(AV481=0,0,
IF(Investment_Strategy="DIS",VLOOKUP(Investment_Strategy&amp;"_"&amp;Investment_Strategy_Sub1&amp;"_"&amp;$A481,'Investment Strategies'!$AZ:$BP,15,FALSE),
IF(AND(Investment_Strategy="Lifecycle",Investment_Strategy_Sub1="Non-Standard"),VLOOKUP(Investment_Strategy&amp;"_"&amp;Investment_Strategy_Sub2&amp;"_"&amp;$A481,'Investment Strategies'!$C:$P,12,FALSE),
IF(AND(Investment_Strategy="Lifecycle",Investment_Strategy_Sub1="Standard"),VLOOKUP(Investment_Strategy&amp;"_"&amp;Investment_Strategy_Sub2&amp;"_"&amp;$A481,'Investment Strategies'!$AJ:$AV,11,FALSE),
IF(AND(Investment_Strategy="Autopilot",Investment_Strategy_Sub1="Non-Standard"),VLOOKUP(Investment_Strategy&amp;"_"&amp;Investment_Strategy_Sub2&amp;"_"&amp;$A481,'Investment Strategies'!$T:$AF,11,FALSE),
IF(Investment_Strategy="DIY",DIY_GteeChrge_CurrentFunds,
"Error"))))))</f>
        <v>0</v>
      </c>
      <c r="G481" s="33">
        <f>IF(AV481=0,0,
IF(Investment_Strategy="DIS",VLOOKUP(Investment_Strategy&amp;"_"&amp;Investment_Strategy_Sub1&amp;"_"&amp;$A481,'Investment Strategies'!$AZ:$BP,17,FALSE),
IF(AND(Investment_Strategy="Lifecycle",Investment_Strategy_Sub1="Non-Standard"),VLOOKUP(Investment_Strategy&amp;"_"&amp;Investment_Strategy_Sub2&amp;"_"&amp;$A481,'Investment Strategies'!$C:$P,14,FALSE),
IF(AND(Investment_Strategy="Lifecycle",Investment_Strategy_Sub1="Standard"),VLOOKUP(Investment_Strategy&amp;"_"&amp;Investment_Strategy_Sub2&amp;"_"&amp;$A481,'Investment Strategies'!$AJ:$AV,13,FALSE),
IF(AND(Investment_Strategy="Autopilot",Investment_Strategy_Sub1="Non-Standard"),VLOOKUP(Investment_Strategy&amp;"_"&amp;Investment_Strategy_Sub2&amp;"_"&amp;$A481,'Investment Strategies'!$T:$AF,13,FALSE),
IF(Investment_Strategy="DIY",DIY_ExtManChrge_CurrentFunds,
"Error"))))))</f>
        <v>0</v>
      </c>
      <c r="H481" s="16">
        <f t="shared" si="290"/>
        <v>0</v>
      </c>
      <c r="I481" s="16">
        <f t="shared" si="276"/>
        <v>0</v>
      </c>
      <c r="J481" s="16">
        <f t="shared" si="277"/>
        <v>0</v>
      </c>
      <c r="K481" s="16">
        <f>(Opening_Fund_Value+SUM(K$91:K480))*E481*IF(D481=$A$91,SRP_finalmonthfactor,1)</f>
        <v>0</v>
      </c>
      <c r="L481" s="74">
        <f>MIN(IF($AV481=0,0,
IF(Investment_Strategy="DIS",VLOOKUP(Investment_Strategy&amp;"_"&amp;Investment_Strategy_Sub1&amp;"_"&amp;$A481,'Investment Strategies'!$AZ:$BP,12,FALSE),
IF(AND(Investment_Strategy="Lifecycle",Investment_Strategy_Sub1="Non-Standard"),VLOOKUP(Investment_Strategy&amp;"_"&amp;Investment_Strategy_Sub2&amp;"_"&amp;$A481,'Investment Strategies'!$C:$P,9,FALSE),
IF(AND(Investment_Strategy="Lifecycle",Investment_Strategy_Sub1="Standard"),VLOOKUP(Investment_Strategy&amp;"_"&amp;Investment_Strategy_Sub2&amp;"_"&amp;$A481,'Investment Strategies'!$AJ:$AV,8,FALSE),
IF(AND(Investment_Strategy="Autopilot",Investment_Strategy_Sub1="Non-Standard"),VLOOKUP(Investment_Strategy&amp;"_"&amp;Investment_Strategy_Sub2&amp;"_"&amp;$A481,'Investment Strategies'!$T:$AF,8,FALSE),
IF(Investment_Strategy ="DIY",DIY_RateofReturn_SP,
"Error")))))),Max_InvReturn)</f>
        <v>0</v>
      </c>
      <c r="M481" s="62">
        <f>IF($AV481=0,0,
IF(Investment_Strategy="DIS",VLOOKUP(Investment_Strategy&amp;"_"&amp;Investment_Strategy_Sub1&amp;"_"&amp;$A481,'Investment Strategies'!$AZ:$BP,15,FALSE),
IF(AND(Investment_Strategy="Lifecycle",Investment_Strategy_Sub1="Non-Standard"),VLOOKUP(Investment_Strategy&amp;"_"&amp;Investment_Strategy_Sub2&amp;"_"&amp;$A481,'Investment Strategies'!$C:$P,12,FALSE),
IF(AND(Investment_Strategy="Lifecycle",Investment_Strategy_Sub1="Standard"),VLOOKUP(Investment_Strategy&amp;"_"&amp;Investment_Strategy_Sub2&amp;"_"&amp;$A481,'Investment Strategies'!$AJ:$AV,11,FALSE),
IF(AND(Investment_Strategy="Autopilot",Investment_Strategy_Sub1="Non-Standard"),VLOOKUP(Investment_Strategy&amp;"_"&amp;Investment_Strategy_Sub2&amp;"_"&amp;$A481,'Investment Strategies'!$T:$AF,11,FALSE),
IF(Investment_Strategy="DIY",DIY_GteeChrge_SP,
"Error"))))))</f>
        <v>0</v>
      </c>
      <c r="N481" s="33">
        <f>IF($AV481=0,0,
IF(Investment_Strategy="DIS",VLOOKUP(Investment_Strategy&amp;"_"&amp;Investment_Strategy_Sub1&amp;"_"&amp;$A481,'Investment Strategies'!$AZ:$BP,17,FALSE),
IF(AND(Investment_Strategy="Lifecycle",Investment_Strategy_Sub1="Non-Standard"),VLOOKUP(Investment_Strategy&amp;"_"&amp;Investment_Strategy_Sub2&amp;"_"&amp;$A481,'Investment Strategies'!$C:$P,14,FALSE),
IF(AND(Investment_Strategy="Lifecycle",Investment_Strategy_Sub1="Standard"),VLOOKUP(Investment_Strategy&amp;"_"&amp;Investment_Strategy_Sub2&amp;"_"&amp;$A481,'Investment Strategies'!$AJ:$AV,13,FALSE),
IF(AND(Investment_Strategy="Autopilot",Investment_Strategy_Sub1="Non-Standard"),VLOOKUP(Investment_Strategy&amp;"_"&amp;Investment_Strategy_Sub2&amp;"_"&amp;$A481,'Investment Strategies'!$T:$AF,13,FALSE),
IF(Investment_Strategy="DIY",DIY_ExtManChrge_SP,
"Error"))))))</f>
        <v>0</v>
      </c>
      <c r="O481" s="16">
        <f t="shared" si="301"/>
        <v>0</v>
      </c>
      <c r="Q481" s="16">
        <f t="shared" si="278"/>
        <v>0</v>
      </c>
      <c r="R481" s="16">
        <f t="shared" si="274"/>
        <v>0</v>
      </c>
      <c r="S481" s="16">
        <f>(SRP_SP+SUM(S$91:S480))*L481*IF(D481=$A$91,SRP_finalmonthfactor,1)</f>
        <v>0</v>
      </c>
      <c r="T481" s="74">
        <f>MIN(IF($AV481=0,0,
IF(Investment_Strategy="DIS",VLOOKUP(Investment_Strategy&amp;"_"&amp;Investment_Strategy_Sub1&amp;"_"&amp;$A481,'Investment Strategies'!$AZ:$BP,12,FALSE),
IF(AND(Investment_Strategy="Lifecycle",Investment_Strategy_Sub1="Non-Standard"),VLOOKUP(Investment_Strategy&amp;"_"&amp;Investment_Strategy_Sub2&amp;"_"&amp;$A481,'Investment Strategies'!$C:$P,9,FALSE),
IF(AND(Investment_Strategy="Lifecycle",Investment_Strategy_Sub1="Standard"),VLOOKUP(Investment_Strategy&amp;"_"&amp;Investment_Strategy_Sub2&amp;"_"&amp;$A481,'Investment Strategies'!$AJ:$AV,8,FALSE),
IF(AND(Investment_Strategy="Autopilot",Investment_Strategy_Sub1="Non-Standard"),VLOOKUP(Investment_Strategy&amp;"_"&amp;Investment_Strategy_Sub2&amp;"_"&amp;$A481,'Investment Strategies'!$T:$AF,8,FALSE),
IF(Investment_Strategy ="DIY",DIY_RateOfReturn_FuturePremiums,
"Error")))))),Max_InvReturn)</f>
        <v>0</v>
      </c>
      <c r="U481" s="62">
        <f>IF($AV481=0,0,
IF(Investment_Strategy="DIS",VLOOKUP(Investment_Strategy&amp;"_"&amp;Investment_Strategy_Sub1&amp;"_"&amp;$A481,'Investment Strategies'!$AZ:$BP,15,FALSE),
IF(AND(Investment_Strategy="Lifecycle",Investment_Strategy_Sub1="Non-Standard"),VLOOKUP(Investment_Strategy&amp;"_"&amp;Investment_Strategy_Sub2&amp;"_"&amp;$A481,'Investment Strategies'!$C:$P,12,FALSE),
IF(AND(Investment_Strategy="Lifecycle",Investment_Strategy_Sub1="Standard"),VLOOKUP(Investment_Strategy&amp;"_"&amp;Investment_Strategy_Sub2&amp;"_"&amp;$A481,'Investment Strategies'!$AJ:$AV,11,FALSE),
IF(AND(Investment_Strategy="Autopilot",Investment_Strategy_Sub1="Non-Standard"),VLOOKUP(Investment_Strategy&amp;"_"&amp;Investment_Strategy_Sub2&amp;"_"&amp;$A481,'Investment Strategies'!$T:$AF,11,FALSE),
IF(Investment_Strategy="DIY",DIY_GteeChrge_FuturePremiums,
"Error"))))))</f>
        <v>0</v>
      </c>
      <c r="V481" s="33">
        <f>IF(AV481=0,0,
IF(Investment_Strategy="DIS",VLOOKUP(Investment_Strategy&amp;"_"&amp;Investment_Strategy_Sub1&amp;"_"&amp;$A481,'Investment Strategies'!$AZ:$BP,17,FALSE),
IF(AND(Investment_Strategy="Lifecycle",Investment_Strategy_Sub1="Non-Standard"),VLOOKUP(Investment_Strategy&amp;"_"&amp;Investment_Strategy_Sub2&amp;"_"&amp;$A481,'Investment Strategies'!$C:$P,14,FALSE),
IF(AND(Investment_Strategy="Lifecycle",Investment_Strategy_Sub1="Standard"),VLOOKUP(Investment_Strategy&amp;"_"&amp;Investment_Strategy_Sub2&amp;"_"&amp;$A481,'Investment Strategies'!$AJ:$AV,13,FALSE),
IF(AND(Investment_Strategy="Autopilot",Investment_Strategy_Sub1="Non-Standard"),VLOOKUP(Investment_Strategy&amp;"_"&amp;Investment_Strategy_Sub2&amp;"_"&amp;$A481,'Investment Strategies'!$T:$AF,13,FALSE),
IF(Investment_Strategy="DIY",DIY_ExtManChrge_FuturePremiums,
"Error"))))))</f>
        <v>0</v>
      </c>
      <c r="W481" s="16">
        <f t="shared" si="302"/>
        <v>0</v>
      </c>
      <c r="X481" s="16">
        <f t="shared" si="279"/>
        <v>0</v>
      </c>
      <c r="Y481" s="16">
        <f t="shared" si="280"/>
        <v>0</v>
      </c>
      <c r="Z481" s="31">
        <f t="shared" si="281"/>
        <v>0.02</v>
      </c>
      <c r="AA481" s="16">
        <f t="shared" si="282"/>
        <v>0</v>
      </c>
      <c r="AB481" s="28">
        <f t="shared" si="303"/>
        <v>0</v>
      </c>
      <c r="AC481" s="28">
        <f>(SUM($AC$91:AC480)+SUM($X$91:X480)+X481)*T481*IF(D481=$A$91,SRP_finalmonthfactor,1)</f>
        <v>0</v>
      </c>
      <c r="AD481" s="16">
        <f t="shared" si="283"/>
        <v>0</v>
      </c>
      <c r="AE481" s="106"/>
      <c r="AF481" s="16">
        <f t="shared" si="291"/>
        <v>0</v>
      </c>
      <c r="AG481" s="16">
        <f t="shared" si="292"/>
        <v>0</v>
      </c>
      <c r="AH481" s="16">
        <f t="shared" si="293"/>
        <v>0</v>
      </c>
      <c r="AJ481" s="13">
        <f t="shared" ref="AJ481:AU490" si="304">IF($C481&lt;=AJ$90,1,0)</f>
        <v>0</v>
      </c>
      <c r="AK481" s="13">
        <f t="shared" si="304"/>
        <v>0</v>
      </c>
      <c r="AL481" s="13">
        <f t="shared" si="304"/>
        <v>0</v>
      </c>
      <c r="AM481" s="13">
        <f t="shared" si="304"/>
        <v>0</v>
      </c>
      <c r="AN481" s="13">
        <f t="shared" si="304"/>
        <v>0</v>
      </c>
      <c r="AO481" s="13">
        <f t="shared" si="304"/>
        <v>1</v>
      </c>
      <c r="AP481" s="13">
        <f t="shared" si="304"/>
        <v>1</v>
      </c>
      <c r="AQ481" s="13">
        <f t="shared" si="304"/>
        <v>1</v>
      </c>
      <c r="AR481" s="13">
        <f t="shared" si="304"/>
        <v>0</v>
      </c>
      <c r="AS481" s="13">
        <f t="shared" si="304"/>
        <v>0</v>
      </c>
      <c r="AT481" s="13">
        <f t="shared" si="304"/>
        <v>1</v>
      </c>
      <c r="AU481" s="13">
        <f t="shared" si="304"/>
        <v>1</v>
      </c>
      <c r="AV481" s="13">
        <f t="shared" si="284"/>
        <v>0</v>
      </c>
      <c r="AW481" s="13">
        <f t="shared" si="285"/>
        <v>1</v>
      </c>
      <c r="AY481" s="17">
        <f t="shared" si="286"/>
        <v>391</v>
      </c>
      <c r="AZ481" s="28">
        <f t="shared" si="294"/>
        <v>0</v>
      </c>
      <c r="BA481" s="13">
        <f t="shared" si="287"/>
        <v>0</v>
      </c>
      <c r="BB481" s="13">
        <f t="shared" si="288"/>
        <v>0</v>
      </c>
      <c r="BC481" s="28">
        <f t="shared" si="295"/>
        <v>0</v>
      </c>
      <c r="BD481" s="28">
        <f t="shared" si="296"/>
        <v>0</v>
      </c>
      <c r="BF481" s="248">
        <f t="shared" si="297"/>
        <v>993869.29442638322</v>
      </c>
    </row>
    <row r="482" spans="1:58">
      <c r="A482" s="32">
        <f t="shared" si="298"/>
        <v>-307</v>
      </c>
      <c r="B482" s="32">
        <f t="shared" si="289"/>
        <v>85</v>
      </c>
      <c r="C482" s="32">
        <f t="shared" si="299"/>
        <v>33</v>
      </c>
      <c r="D482" s="32">
        <f t="shared" si="300"/>
        <v>392</v>
      </c>
      <c r="E482" s="74">
        <f>MIN(IF(AV482=0,0,
IF(Investment_Strategy="DIS",VLOOKUP(Investment_Strategy&amp;"_"&amp;Investment_Strategy_Sub1&amp;"_"&amp;$A482,'Investment Strategies'!$AZ:$BP,12,FALSE),
IF(AND(Investment_Strategy="Lifecycle",Investment_Strategy_Sub1="Non-Standard"),VLOOKUP(Investment_Strategy&amp;"_"&amp;Investment_Strategy_Sub2&amp;"_"&amp;$A482,'Investment Strategies'!$C:$P,9,FALSE),
IF(AND(Investment_Strategy="Lifecycle",Investment_Strategy_Sub1="Standard"),VLOOKUP(Investment_Strategy&amp;"_"&amp;Investment_Strategy_Sub2&amp;"_"&amp;$A482,'Investment Strategies'!$AJ:$AV,8,FALSE),
IF(AND(Investment_Strategy="Autopilot",Investment_Strategy_Sub1="Non-Standard"),VLOOKUP(Investment_Strategy&amp;"_"&amp;Investment_Strategy_Sub2&amp;"_"&amp;$A482,'Investment Strategies'!$T:$AF,8,FALSE),
IF(Investment_Strategy ="DIY",DIY_RateOfReturn_CurrentFunds,
"Error")))))),Max_InvReturn)</f>
        <v>0</v>
      </c>
      <c r="F482" s="62">
        <f>IF(AV482=0,0,
IF(Investment_Strategy="DIS",VLOOKUP(Investment_Strategy&amp;"_"&amp;Investment_Strategy_Sub1&amp;"_"&amp;$A482,'Investment Strategies'!$AZ:$BP,15,FALSE),
IF(AND(Investment_Strategy="Lifecycle",Investment_Strategy_Sub1="Non-Standard"),VLOOKUP(Investment_Strategy&amp;"_"&amp;Investment_Strategy_Sub2&amp;"_"&amp;$A482,'Investment Strategies'!$C:$P,12,FALSE),
IF(AND(Investment_Strategy="Lifecycle",Investment_Strategy_Sub1="Standard"),VLOOKUP(Investment_Strategy&amp;"_"&amp;Investment_Strategy_Sub2&amp;"_"&amp;$A482,'Investment Strategies'!$AJ:$AV,11,FALSE),
IF(AND(Investment_Strategy="Autopilot",Investment_Strategy_Sub1="Non-Standard"),VLOOKUP(Investment_Strategy&amp;"_"&amp;Investment_Strategy_Sub2&amp;"_"&amp;$A482,'Investment Strategies'!$T:$AF,11,FALSE),
IF(Investment_Strategy="DIY",DIY_GteeChrge_CurrentFunds,
"Error"))))))</f>
        <v>0</v>
      </c>
      <c r="G482" s="33">
        <f>IF(AV482=0,0,
IF(Investment_Strategy="DIS",VLOOKUP(Investment_Strategy&amp;"_"&amp;Investment_Strategy_Sub1&amp;"_"&amp;$A482,'Investment Strategies'!$AZ:$BP,17,FALSE),
IF(AND(Investment_Strategy="Lifecycle",Investment_Strategy_Sub1="Non-Standard"),VLOOKUP(Investment_Strategy&amp;"_"&amp;Investment_Strategy_Sub2&amp;"_"&amp;$A482,'Investment Strategies'!$C:$P,14,FALSE),
IF(AND(Investment_Strategy="Lifecycle",Investment_Strategy_Sub1="Standard"),VLOOKUP(Investment_Strategy&amp;"_"&amp;Investment_Strategy_Sub2&amp;"_"&amp;$A482,'Investment Strategies'!$AJ:$AV,13,FALSE),
IF(AND(Investment_Strategy="Autopilot",Investment_Strategy_Sub1="Non-Standard"),VLOOKUP(Investment_Strategy&amp;"_"&amp;Investment_Strategy_Sub2&amp;"_"&amp;$A482,'Investment Strategies'!$T:$AF,13,FALSE),
IF(Investment_Strategy="DIY",DIY_ExtManChrge_CurrentFunds,
"Error"))))))</f>
        <v>0</v>
      </c>
      <c r="H482" s="16">
        <f t="shared" si="290"/>
        <v>0</v>
      </c>
      <c r="I482" s="16">
        <f t="shared" si="276"/>
        <v>0</v>
      </c>
      <c r="J482" s="16">
        <f t="shared" si="277"/>
        <v>0</v>
      </c>
      <c r="K482" s="16">
        <f>(Opening_Fund_Value+SUM(K$91:K481))*E482*IF(D482=$A$91,SRP_finalmonthfactor,1)</f>
        <v>0</v>
      </c>
      <c r="L482" s="74">
        <f>MIN(IF($AV482=0,0,
IF(Investment_Strategy="DIS",VLOOKUP(Investment_Strategy&amp;"_"&amp;Investment_Strategy_Sub1&amp;"_"&amp;$A482,'Investment Strategies'!$AZ:$BP,12,FALSE),
IF(AND(Investment_Strategy="Lifecycle",Investment_Strategy_Sub1="Non-Standard"),VLOOKUP(Investment_Strategy&amp;"_"&amp;Investment_Strategy_Sub2&amp;"_"&amp;$A482,'Investment Strategies'!$C:$P,9,FALSE),
IF(AND(Investment_Strategy="Lifecycle",Investment_Strategy_Sub1="Standard"),VLOOKUP(Investment_Strategy&amp;"_"&amp;Investment_Strategy_Sub2&amp;"_"&amp;$A482,'Investment Strategies'!$AJ:$AV,8,FALSE),
IF(AND(Investment_Strategy="Autopilot",Investment_Strategy_Sub1="Non-Standard"),VLOOKUP(Investment_Strategy&amp;"_"&amp;Investment_Strategy_Sub2&amp;"_"&amp;$A482,'Investment Strategies'!$T:$AF,8,FALSE),
IF(Investment_Strategy ="DIY",DIY_RateofReturn_SP,
"Error")))))),Max_InvReturn)</f>
        <v>0</v>
      </c>
      <c r="M482" s="62">
        <f>IF($AV482=0,0,
IF(Investment_Strategy="DIS",VLOOKUP(Investment_Strategy&amp;"_"&amp;Investment_Strategy_Sub1&amp;"_"&amp;$A482,'Investment Strategies'!$AZ:$BP,15,FALSE),
IF(AND(Investment_Strategy="Lifecycle",Investment_Strategy_Sub1="Non-Standard"),VLOOKUP(Investment_Strategy&amp;"_"&amp;Investment_Strategy_Sub2&amp;"_"&amp;$A482,'Investment Strategies'!$C:$P,12,FALSE),
IF(AND(Investment_Strategy="Lifecycle",Investment_Strategy_Sub1="Standard"),VLOOKUP(Investment_Strategy&amp;"_"&amp;Investment_Strategy_Sub2&amp;"_"&amp;$A482,'Investment Strategies'!$AJ:$AV,11,FALSE),
IF(AND(Investment_Strategy="Autopilot",Investment_Strategy_Sub1="Non-Standard"),VLOOKUP(Investment_Strategy&amp;"_"&amp;Investment_Strategy_Sub2&amp;"_"&amp;$A482,'Investment Strategies'!$T:$AF,11,FALSE),
IF(Investment_Strategy="DIY",DIY_GteeChrge_SP,
"Error"))))))</f>
        <v>0</v>
      </c>
      <c r="N482" s="33">
        <f>IF($AV482=0,0,
IF(Investment_Strategy="DIS",VLOOKUP(Investment_Strategy&amp;"_"&amp;Investment_Strategy_Sub1&amp;"_"&amp;$A482,'Investment Strategies'!$AZ:$BP,17,FALSE),
IF(AND(Investment_Strategy="Lifecycle",Investment_Strategy_Sub1="Non-Standard"),VLOOKUP(Investment_Strategy&amp;"_"&amp;Investment_Strategy_Sub2&amp;"_"&amp;$A482,'Investment Strategies'!$C:$P,14,FALSE),
IF(AND(Investment_Strategy="Lifecycle",Investment_Strategy_Sub1="Standard"),VLOOKUP(Investment_Strategy&amp;"_"&amp;Investment_Strategy_Sub2&amp;"_"&amp;$A482,'Investment Strategies'!$AJ:$AV,13,FALSE),
IF(AND(Investment_Strategy="Autopilot",Investment_Strategy_Sub1="Non-Standard"),VLOOKUP(Investment_Strategy&amp;"_"&amp;Investment_Strategy_Sub2&amp;"_"&amp;$A482,'Investment Strategies'!$T:$AF,13,FALSE),
IF(Investment_Strategy="DIY",DIY_ExtManChrge_SP,
"Error"))))))</f>
        <v>0</v>
      </c>
      <c r="O482" s="16">
        <f t="shared" si="301"/>
        <v>0</v>
      </c>
      <c r="Q482" s="16">
        <f t="shared" si="278"/>
        <v>0</v>
      </c>
      <c r="R482" s="16">
        <f t="shared" si="274"/>
        <v>0</v>
      </c>
      <c r="S482" s="16">
        <f>(SRP_SP+SUM(S$91:S481))*L482*IF(D482=$A$91,SRP_finalmonthfactor,1)</f>
        <v>0</v>
      </c>
      <c r="T482" s="74">
        <f>MIN(IF($AV482=0,0,
IF(Investment_Strategy="DIS",VLOOKUP(Investment_Strategy&amp;"_"&amp;Investment_Strategy_Sub1&amp;"_"&amp;$A482,'Investment Strategies'!$AZ:$BP,12,FALSE),
IF(AND(Investment_Strategy="Lifecycle",Investment_Strategy_Sub1="Non-Standard"),VLOOKUP(Investment_Strategy&amp;"_"&amp;Investment_Strategy_Sub2&amp;"_"&amp;$A482,'Investment Strategies'!$C:$P,9,FALSE),
IF(AND(Investment_Strategy="Lifecycle",Investment_Strategy_Sub1="Standard"),VLOOKUP(Investment_Strategy&amp;"_"&amp;Investment_Strategy_Sub2&amp;"_"&amp;$A482,'Investment Strategies'!$AJ:$AV,8,FALSE),
IF(AND(Investment_Strategy="Autopilot",Investment_Strategy_Sub1="Non-Standard"),VLOOKUP(Investment_Strategy&amp;"_"&amp;Investment_Strategy_Sub2&amp;"_"&amp;$A482,'Investment Strategies'!$T:$AF,8,FALSE),
IF(Investment_Strategy ="DIY",DIY_RateOfReturn_FuturePremiums,
"Error")))))),Max_InvReturn)</f>
        <v>0</v>
      </c>
      <c r="U482" s="62">
        <f>IF($AV482=0,0,
IF(Investment_Strategy="DIS",VLOOKUP(Investment_Strategy&amp;"_"&amp;Investment_Strategy_Sub1&amp;"_"&amp;$A482,'Investment Strategies'!$AZ:$BP,15,FALSE),
IF(AND(Investment_Strategy="Lifecycle",Investment_Strategy_Sub1="Non-Standard"),VLOOKUP(Investment_Strategy&amp;"_"&amp;Investment_Strategy_Sub2&amp;"_"&amp;$A482,'Investment Strategies'!$C:$P,12,FALSE),
IF(AND(Investment_Strategy="Lifecycle",Investment_Strategy_Sub1="Standard"),VLOOKUP(Investment_Strategy&amp;"_"&amp;Investment_Strategy_Sub2&amp;"_"&amp;$A482,'Investment Strategies'!$AJ:$AV,11,FALSE),
IF(AND(Investment_Strategy="Autopilot",Investment_Strategy_Sub1="Non-Standard"),VLOOKUP(Investment_Strategy&amp;"_"&amp;Investment_Strategy_Sub2&amp;"_"&amp;$A482,'Investment Strategies'!$T:$AF,11,FALSE),
IF(Investment_Strategy="DIY",DIY_GteeChrge_FuturePremiums,
"Error"))))))</f>
        <v>0</v>
      </c>
      <c r="V482" s="33">
        <f>IF(AV482=0,0,
IF(Investment_Strategy="DIS",VLOOKUP(Investment_Strategy&amp;"_"&amp;Investment_Strategy_Sub1&amp;"_"&amp;$A482,'Investment Strategies'!$AZ:$BP,17,FALSE),
IF(AND(Investment_Strategy="Lifecycle",Investment_Strategy_Sub1="Non-Standard"),VLOOKUP(Investment_Strategy&amp;"_"&amp;Investment_Strategy_Sub2&amp;"_"&amp;$A482,'Investment Strategies'!$C:$P,14,FALSE),
IF(AND(Investment_Strategy="Lifecycle",Investment_Strategy_Sub1="Standard"),VLOOKUP(Investment_Strategy&amp;"_"&amp;Investment_Strategy_Sub2&amp;"_"&amp;$A482,'Investment Strategies'!$AJ:$AV,13,FALSE),
IF(AND(Investment_Strategy="Autopilot",Investment_Strategy_Sub1="Non-Standard"),VLOOKUP(Investment_Strategy&amp;"_"&amp;Investment_Strategy_Sub2&amp;"_"&amp;$A482,'Investment Strategies'!$T:$AF,13,FALSE),
IF(Investment_Strategy="DIY",DIY_ExtManChrge_FuturePremiums,
"Error"))))))</f>
        <v>0</v>
      </c>
      <c r="W482" s="16">
        <f t="shared" si="302"/>
        <v>0</v>
      </c>
      <c r="X482" s="16">
        <f t="shared" si="279"/>
        <v>0</v>
      </c>
      <c r="Y482" s="16">
        <f t="shared" si="280"/>
        <v>0</v>
      </c>
      <c r="Z482" s="31">
        <f t="shared" si="281"/>
        <v>0.02</v>
      </c>
      <c r="AA482" s="16">
        <f t="shared" si="282"/>
        <v>0</v>
      </c>
      <c r="AB482" s="28">
        <f t="shared" si="303"/>
        <v>0</v>
      </c>
      <c r="AC482" s="28">
        <f>(SUM($AC$91:AC481)+SUM($X$91:X481)+X482)*T482*IF(D482=$A$91,SRP_finalmonthfactor,1)</f>
        <v>0</v>
      </c>
      <c r="AD482" s="16">
        <f t="shared" si="283"/>
        <v>0</v>
      </c>
      <c r="AE482" s="106"/>
      <c r="AF482" s="16">
        <f t="shared" si="291"/>
        <v>0</v>
      </c>
      <c r="AG482" s="16">
        <f t="shared" si="292"/>
        <v>0</v>
      </c>
      <c r="AH482" s="16">
        <f t="shared" si="293"/>
        <v>0</v>
      </c>
      <c r="AJ482" s="13">
        <f t="shared" si="304"/>
        <v>0</v>
      </c>
      <c r="AK482" s="13">
        <f t="shared" si="304"/>
        <v>0</v>
      </c>
      <c r="AL482" s="13">
        <f t="shared" si="304"/>
        <v>0</v>
      </c>
      <c r="AM482" s="13">
        <f t="shared" si="304"/>
        <v>0</v>
      </c>
      <c r="AN482" s="13">
        <f t="shared" si="304"/>
        <v>0</v>
      </c>
      <c r="AO482" s="13">
        <f t="shared" si="304"/>
        <v>1</v>
      </c>
      <c r="AP482" s="13">
        <f t="shared" si="304"/>
        <v>1</v>
      </c>
      <c r="AQ482" s="13">
        <f t="shared" si="304"/>
        <v>1</v>
      </c>
      <c r="AR482" s="13">
        <f t="shared" si="304"/>
        <v>0</v>
      </c>
      <c r="AS482" s="13">
        <f t="shared" si="304"/>
        <v>0</v>
      </c>
      <c r="AT482" s="13">
        <f t="shared" si="304"/>
        <v>1</v>
      </c>
      <c r="AU482" s="13">
        <f t="shared" si="304"/>
        <v>1</v>
      </c>
      <c r="AV482" s="13">
        <f t="shared" si="284"/>
        <v>0</v>
      </c>
      <c r="AW482" s="13">
        <f t="shared" si="285"/>
        <v>1</v>
      </c>
      <c r="AY482" s="17">
        <f t="shared" si="286"/>
        <v>392</v>
      </c>
      <c r="AZ482" s="28">
        <f t="shared" si="294"/>
        <v>0</v>
      </c>
      <c r="BA482" s="13">
        <f t="shared" si="287"/>
        <v>0</v>
      </c>
      <c r="BB482" s="13">
        <f t="shared" si="288"/>
        <v>0</v>
      </c>
      <c r="BC482" s="28">
        <f t="shared" si="295"/>
        <v>0</v>
      </c>
      <c r="BD482" s="28">
        <f t="shared" si="296"/>
        <v>0</v>
      </c>
      <c r="BF482" s="248">
        <f t="shared" si="297"/>
        <v>993869.29442638322</v>
      </c>
    </row>
    <row r="483" spans="1:58">
      <c r="A483" s="32">
        <f t="shared" si="298"/>
        <v>-308</v>
      </c>
      <c r="B483" s="32">
        <f t="shared" si="289"/>
        <v>85</v>
      </c>
      <c r="C483" s="32">
        <f t="shared" si="299"/>
        <v>33</v>
      </c>
      <c r="D483" s="32">
        <f t="shared" si="300"/>
        <v>393</v>
      </c>
      <c r="E483" s="74">
        <f>MIN(IF(AV483=0,0,
IF(Investment_Strategy="DIS",VLOOKUP(Investment_Strategy&amp;"_"&amp;Investment_Strategy_Sub1&amp;"_"&amp;$A483,'Investment Strategies'!$AZ:$BP,12,FALSE),
IF(AND(Investment_Strategy="Lifecycle",Investment_Strategy_Sub1="Non-Standard"),VLOOKUP(Investment_Strategy&amp;"_"&amp;Investment_Strategy_Sub2&amp;"_"&amp;$A483,'Investment Strategies'!$C:$P,9,FALSE),
IF(AND(Investment_Strategy="Lifecycle",Investment_Strategy_Sub1="Standard"),VLOOKUP(Investment_Strategy&amp;"_"&amp;Investment_Strategy_Sub2&amp;"_"&amp;$A483,'Investment Strategies'!$AJ:$AV,8,FALSE),
IF(AND(Investment_Strategy="Autopilot",Investment_Strategy_Sub1="Non-Standard"),VLOOKUP(Investment_Strategy&amp;"_"&amp;Investment_Strategy_Sub2&amp;"_"&amp;$A483,'Investment Strategies'!$T:$AF,8,FALSE),
IF(Investment_Strategy ="DIY",DIY_RateOfReturn_CurrentFunds,
"Error")))))),Max_InvReturn)</f>
        <v>0</v>
      </c>
      <c r="F483" s="62">
        <f>IF(AV483=0,0,
IF(Investment_Strategy="DIS",VLOOKUP(Investment_Strategy&amp;"_"&amp;Investment_Strategy_Sub1&amp;"_"&amp;$A483,'Investment Strategies'!$AZ:$BP,15,FALSE),
IF(AND(Investment_Strategy="Lifecycle",Investment_Strategy_Sub1="Non-Standard"),VLOOKUP(Investment_Strategy&amp;"_"&amp;Investment_Strategy_Sub2&amp;"_"&amp;$A483,'Investment Strategies'!$C:$P,12,FALSE),
IF(AND(Investment_Strategy="Lifecycle",Investment_Strategy_Sub1="Standard"),VLOOKUP(Investment_Strategy&amp;"_"&amp;Investment_Strategy_Sub2&amp;"_"&amp;$A483,'Investment Strategies'!$AJ:$AV,11,FALSE),
IF(AND(Investment_Strategy="Autopilot",Investment_Strategy_Sub1="Non-Standard"),VLOOKUP(Investment_Strategy&amp;"_"&amp;Investment_Strategy_Sub2&amp;"_"&amp;$A483,'Investment Strategies'!$T:$AF,11,FALSE),
IF(Investment_Strategy="DIY",DIY_GteeChrge_CurrentFunds,
"Error"))))))</f>
        <v>0</v>
      </c>
      <c r="G483" s="33">
        <f>IF(AV483=0,0,
IF(Investment_Strategy="DIS",VLOOKUP(Investment_Strategy&amp;"_"&amp;Investment_Strategy_Sub1&amp;"_"&amp;$A483,'Investment Strategies'!$AZ:$BP,17,FALSE),
IF(AND(Investment_Strategy="Lifecycle",Investment_Strategy_Sub1="Non-Standard"),VLOOKUP(Investment_Strategy&amp;"_"&amp;Investment_Strategy_Sub2&amp;"_"&amp;$A483,'Investment Strategies'!$C:$P,14,FALSE),
IF(AND(Investment_Strategy="Lifecycle",Investment_Strategy_Sub1="Standard"),VLOOKUP(Investment_Strategy&amp;"_"&amp;Investment_Strategy_Sub2&amp;"_"&amp;$A483,'Investment Strategies'!$AJ:$AV,13,FALSE),
IF(AND(Investment_Strategy="Autopilot",Investment_Strategy_Sub1="Non-Standard"),VLOOKUP(Investment_Strategy&amp;"_"&amp;Investment_Strategy_Sub2&amp;"_"&amp;$A483,'Investment Strategies'!$T:$AF,13,FALSE),
IF(Investment_Strategy="DIY",DIY_ExtManChrge_CurrentFunds,
"Error"))))))</f>
        <v>0</v>
      </c>
      <c r="H483" s="16">
        <f t="shared" si="290"/>
        <v>0</v>
      </c>
      <c r="I483" s="16">
        <f t="shared" si="276"/>
        <v>0</v>
      </c>
      <c r="J483" s="16">
        <f t="shared" si="277"/>
        <v>0</v>
      </c>
      <c r="K483" s="16">
        <f>(Opening_Fund_Value+SUM(K$91:K482))*E483*IF(D483=$A$91,SRP_finalmonthfactor,1)</f>
        <v>0</v>
      </c>
      <c r="L483" s="74">
        <f>MIN(IF($AV483=0,0,
IF(Investment_Strategy="DIS",VLOOKUP(Investment_Strategy&amp;"_"&amp;Investment_Strategy_Sub1&amp;"_"&amp;$A483,'Investment Strategies'!$AZ:$BP,12,FALSE),
IF(AND(Investment_Strategy="Lifecycle",Investment_Strategy_Sub1="Non-Standard"),VLOOKUP(Investment_Strategy&amp;"_"&amp;Investment_Strategy_Sub2&amp;"_"&amp;$A483,'Investment Strategies'!$C:$P,9,FALSE),
IF(AND(Investment_Strategy="Lifecycle",Investment_Strategy_Sub1="Standard"),VLOOKUP(Investment_Strategy&amp;"_"&amp;Investment_Strategy_Sub2&amp;"_"&amp;$A483,'Investment Strategies'!$AJ:$AV,8,FALSE),
IF(AND(Investment_Strategy="Autopilot",Investment_Strategy_Sub1="Non-Standard"),VLOOKUP(Investment_Strategy&amp;"_"&amp;Investment_Strategy_Sub2&amp;"_"&amp;$A483,'Investment Strategies'!$T:$AF,8,FALSE),
IF(Investment_Strategy ="DIY",DIY_RateofReturn_SP,
"Error")))))),Max_InvReturn)</f>
        <v>0</v>
      </c>
      <c r="M483" s="62">
        <f>IF($AV483=0,0,
IF(Investment_Strategy="DIS",VLOOKUP(Investment_Strategy&amp;"_"&amp;Investment_Strategy_Sub1&amp;"_"&amp;$A483,'Investment Strategies'!$AZ:$BP,15,FALSE),
IF(AND(Investment_Strategy="Lifecycle",Investment_Strategy_Sub1="Non-Standard"),VLOOKUP(Investment_Strategy&amp;"_"&amp;Investment_Strategy_Sub2&amp;"_"&amp;$A483,'Investment Strategies'!$C:$P,12,FALSE),
IF(AND(Investment_Strategy="Lifecycle",Investment_Strategy_Sub1="Standard"),VLOOKUP(Investment_Strategy&amp;"_"&amp;Investment_Strategy_Sub2&amp;"_"&amp;$A483,'Investment Strategies'!$AJ:$AV,11,FALSE),
IF(AND(Investment_Strategy="Autopilot",Investment_Strategy_Sub1="Non-Standard"),VLOOKUP(Investment_Strategy&amp;"_"&amp;Investment_Strategy_Sub2&amp;"_"&amp;$A483,'Investment Strategies'!$T:$AF,11,FALSE),
IF(Investment_Strategy="DIY",DIY_GteeChrge_SP,
"Error"))))))</f>
        <v>0</v>
      </c>
      <c r="N483" s="33">
        <f>IF($AV483=0,0,
IF(Investment_Strategy="DIS",VLOOKUP(Investment_Strategy&amp;"_"&amp;Investment_Strategy_Sub1&amp;"_"&amp;$A483,'Investment Strategies'!$AZ:$BP,17,FALSE),
IF(AND(Investment_Strategy="Lifecycle",Investment_Strategy_Sub1="Non-Standard"),VLOOKUP(Investment_Strategy&amp;"_"&amp;Investment_Strategy_Sub2&amp;"_"&amp;$A483,'Investment Strategies'!$C:$P,14,FALSE),
IF(AND(Investment_Strategy="Lifecycle",Investment_Strategy_Sub1="Standard"),VLOOKUP(Investment_Strategy&amp;"_"&amp;Investment_Strategy_Sub2&amp;"_"&amp;$A483,'Investment Strategies'!$AJ:$AV,13,FALSE),
IF(AND(Investment_Strategy="Autopilot",Investment_Strategy_Sub1="Non-Standard"),VLOOKUP(Investment_Strategy&amp;"_"&amp;Investment_Strategy_Sub2&amp;"_"&amp;$A483,'Investment Strategies'!$T:$AF,13,FALSE),
IF(Investment_Strategy="DIY",DIY_ExtManChrge_SP,
"Error"))))))</f>
        <v>0</v>
      </c>
      <c r="O483" s="16">
        <f t="shared" si="301"/>
        <v>0</v>
      </c>
      <c r="Q483" s="16">
        <f t="shared" si="278"/>
        <v>0</v>
      </c>
      <c r="R483" s="16">
        <f t="shared" si="274"/>
        <v>0</v>
      </c>
      <c r="S483" s="16">
        <f>(SRP_SP+SUM(S$91:S482))*L483*IF(D483=$A$91,SRP_finalmonthfactor,1)</f>
        <v>0</v>
      </c>
      <c r="T483" s="74">
        <f>MIN(IF($AV483=0,0,
IF(Investment_Strategy="DIS",VLOOKUP(Investment_Strategy&amp;"_"&amp;Investment_Strategy_Sub1&amp;"_"&amp;$A483,'Investment Strategies'!$AZ:$BP,12,FALSE),
IF(AND(Investment_Strategy="Lifecycle",Investment_Strategy_Sub1="Non-Standard"),VLOOKUP(Investment_Strategy&amp;"_"&amp;Investment_Strategy_Sub2&amp;"_"&amp;$A483,'Investment Strategies'!$C:$P,9,FALSE),
IF(AND(Investment_Strategy="Lifecycle",Investment_Strategy_Sub1="Standard"),VLOOKUP(Investment_Strategy&amp;"_"&amp;Investment_Strategy_Sub2&amp;"_"&amp;$A483,'Investment Strategies'!$AJ:$AV,8,FALSE),
IF(AND(Investment_Strategy="Autopilot",Investment_Strategy_Sub1="Non-Standard"),VLOOKUP(Investment_Strategy&amp;"_"&amp;Investment_Strategy_Sub2&amp;"_"&amp;$A483,'Investment Strategies'!$T:$AF,8,FALSE),
IF(Investment_Strategy ="DIY",DIY_RateOfReturn_FuturePremiums,
"Error")))))),Max_InvReturn)</f>
        <v>0</v>
      </c>
      <c r="U483" s="62">
        <f>IF($AV483=0,0,
IF(Investment_Strategy="DIS",VLOOKUP(Investment_Strategy&amp;"_"&amp;Investment_Strategy_Sub1&amp;"_"&amp;$A483,'Investment Strategies'!$AZ:$BP,15,FALSE),
IF(AND(Investment_Strategy="Lifecycle",Investment_Strategy_Sub1="Non-Standard"),VLOOKUP(Investment_Strategy&amp;"_"&amp;Investment_Strategy_Sub2&amp;"_"&amp;$A483,'Investment Strategies'!$C:$P,12,FALSE),
IF(AND(Investment_Strategy="Lifecycle",Investment_Strategy_Sub1="Standard"),VLOOKUP(Investment_Strategy&amp;"_"&amp;Investment_Strategy_Sub2&amp;"_"&amp;$A483,'Investment Strategies'!$AJ:$AV,11,FALSE),
IF(AND(Investment_Strategy="Autopilot",Investment_Strategy_Sub1="Non-Standard"),VLOOKUP(Investment_Strategy&amp;"_"&amp;Investment_Strategy_Sub2&amp;"_"&amp;$A483,'Investment Strategies'!$T:$AF,11,FALSE),
IF(Investment_Strategy="DIY",DIY_GteeChrge_FuturePremiums,
"Error"))))))</f>
        <v>0</v>
      </c>
      <c r="V483" s="33">
        <f>IF(AV483=0,0,
IF(Investment_Strategy="DIS",VLOOKUP(Investment_Strategy&amp;"_"&amp;Investment_Strategy_Sub1&amp;"_"&amp;$A483,'Investment Strategies'!$AZ:$BP,17,FALSE),
IF(AND(Investment_Strategy="Lifecycle",Investment_Strategy_Sub1="Non-Standard"),VLOOKUP(Investment_Strategy&amp;"_"&amp;Investment_Strategy_Sub2&amp;"_"&amp;$A483,'Investment Strategies'!$C:$P,14,FALSE),
IF(AND(Investment_Strategy="Lifecycle",Investment_Strategy_Sub1="Standard"),VLOOKUP(Investment_Strategy&amp;"_"&amp;Investment_Strategy_Sub2&amp;"_"&amp;$A483,'Investment Strategies'!$AJ:$AV,13,FALSE),
IF(AND(Investment_Strategy="Autopilot",Investment_Strategy_Sub1="Non-Standard"),VLOOKUP(Investment_Strategy&amp;"_"&amp;Investment_Strategy_Sub2&amp;"_"&amp;$A483,'Investment Strategies'!$T:$AF,13,FALSE),
IF(Investment_Strategy="DIY",DIY_ExtManChrge_FuturePremiums,
"Error"))))))</f>
        <v>0</v>
      </c>
      <c r="W483" s="16">
        <f t="shared" si="302"/>
        <v>0</v>
      </c>
      <c r="X483" s="16">
        <f t="shared" si="279"/>
        <v>0</v>
      </c>
      <c r="Y483" s="16">
        <f t="shared" si="280"/>
        <v>0</v>
      </c>
      <c r="Z483" s="31">
        <f t="shared" si="281"/>
        <v>0.02</v>
      </c>
      <c r="AA483" s="16">
        <f t="shared" si="282"/>
        <v>0</v>
      </c>
      <c r="AB483" s="28">
        <f t="shared" si="303"/>
        <v>0</v>
      </c>
      <c r="AC483" s="28">
        <f>(SUM($AC$91:AC482)+SUM($X$91:X482)+X483)*T483*IF(D483=$A$91,SRP_finalmonthfactor,1)</f>
        <v>0</v>
      </c>
      <c r="AD483" s="16">
        <f t="shared" si="283"/>
        <v>0</v>
      </c>
      <c r="AE483" s="106"/>
      <c r="AF483" s="16">
        <f t="shared" si="291"/>
        <v>0</v>
      </c>
      <c r="AG483" s="16">
        <f t="shared" si="292"/>
        <v>0</v>
      </c>
      <c r="AH483" s="16">
        <f t="shared" si="293"/>
        <v>0</v>
      </c>
      <c r="AJ483" s="13">
        <f t="shared" si="304"/>
        <v>0</v>
      </c>
      <c r="AK483" s="13">
        <f t="shared" si="304"/>
        <v>0</v>
      </c>
      <c r="AL483" s="13">
        <f t="shared" si="304"/>
        <v>0</v>
      </c>
      <c r="AM483" s="13">
        <f t="shared" si="304"/>
        <v>0</v>
      </c>
      <c r="AN483" s="13">
        <f t="shared" si="304"/>
        <v>0</v>
      </c>
      <c r="AO483" s="13">
        <f t="shared" si="304"/>
        <v>1</v>
      </c>
      <c r="AP483" s="13">
        <f t="shared" si="304"/>
        <v>1</v>
      </c>
      <c r="AQ483" s="13">
        <f t="shared" si="304"/>
        <v>1</v>
      </c>
      <c r="AR483" s="13">
        <f t="shared" si="304"/>
        <v>0</v>
      </c>
      <c r="AS483" s="13">
        <f t="shared" si="304"/>
        <v>0</v>
      </c>
      <c r="AT483" s="13">
        <f t="shared" si="304"/>
        <v>1</v>
      </c>
      <c r="AU483" s="13">
        <f t="shared" si="304"/>
        <v>1</v>
      </c>
      <c r="AV483" s="13">
        <f t="shared" si="284"/>
        <v>0</v>
      </c>
      <c r="AW483" s="13">
        <f t="shared" si="285"/>
        <v>1</v>
      </c>
      <c r="AY483" s="17">
        <f t="shared" si="286"/>
        <v>393</v>
      </c>
      <c r="AZ483" s="28">
        <f t="shared" si="294"/>
        <v>0</v>
      </c>
      <c r="BA483" s="13">
        <f t="shared" si="287"/>
        <v>0</v>
      </c>
      <c r="BB483" s="13">
        <f t="shared" si="288"/>
        <v>0</v>
      </c>
      <c r="BC483" s="28">
        <f t="shared" si="295"/>
        <v>0</v>
      </c>
      <c r="BD483" s="28">
        <f t="shared" si="296"/>
        <v>0</v>
      </c>
      <c r="BF483" s="248">
        <f t="shared" si="297"/>
        <v>993869.29442638322</v>
      </c>
    </row>
    <row r="484" spans="1:58">
      <c r="A484" s="32">
        <f t="shared" si="298"/>
        <v>-309</v>
      </c>
      <c r="B484" s="32">
        <f t="shared" si="289"/>
        <v>85</v>
      </c>
      <c r="C484" s="32">
        <f t="shared" si="299"/>
        <v>33</v>
      </c>
      <c r="D484" s="32">
        <f t="shared" si="300"/>
        <v>394</v>
      </c>
      <c r="E484" s="74">
        <f>MIN(IF(AV484=0,0,
IF(Investment_Strategy="DIS",VLOOKUP(Investment_Strategy&amp;"_"&amp;Investment_Strategy_Sub1&amp;"_"&amp;$A484,'Investment Strategies'!$AZ:$BP,12,FALSE),
IF(AND(Investment_Strategy="Lifecycle",Investment_Strategy_Sub1="Non-Standard"),VLOOKUP(Investment_Strategy&amp;"_"&amp;Investment_Strategy_Sub2&amp;"_"&amp;$A484,'Investment Strategies'!$C:$P,9,FALSE),
IF(AND(Investment_Strategy="Lifecycle",Investment_Strategy_Sub1="Standard"),VLOOKUP(Investment_Strategy&amp;"_"&amp;Investment_Strategy_Sub2&amp;"_"&amp;$A484,'Investment Strategies'!$AJ:$AV,8,FALSE),
IF(AND(Investment_Strategy="Autopilot",Investment_Strategy_Sub1="Non-Standard"),VLOOKUP(Investment_Strategy&amp;"_"&amp;Investment_Strategy_Sub2&amp;"_"&amp;$A484,'Investment Strategies'!$T:$AF,8,FALSE),
IF(Investment_Strategy ="DIY",DIY_RateOfReturn_CurrentFunds,
"Error")))))),Max_InvReturn)</f>
        <v>0</v>
      </c>
      <c r="F484" s="62">
        <f>IF(AV484=0,0,
IF(Investment_Strategy="DIS",VLOOKUP(Investment_Strategy&amp;"_"&amp;Investment_Strategy_Sub1&amp;"_"&amp;$A484,'Investment Strategies'!$AZ:$BP,15,FALSE),
IF(AND(Investment_Strategy="Lifecycle",Investment_Strategy_Sub1="Non-Standard"),VLOOKUP(Investment_Strategy&amp;"_"&amp;Investment_Strategy_Sub2&amp;"_"&amp;$A484,'Investment Strategies'!$C:$P,12,FALSE),
IF(AND(Investment_Strategy="Lifecycle",Investment_Strategy_Sub1="Standard"),VLOOKUP(Investment_Strategy&amp;"_"&amp;Investment_Strategy_Sub2&amp;"_"&amp;$A484,'Investment Strategies'!$AJ:$AV,11,FALSE),
IF(AND(Investment_Strategy="Autopilot",Investment_Strategy_Sub1="Non-Standard"),VLOOKUP(Investment_Strategy&amp;"_"&amp;Investment_Strategy_Sub2&amp;"_"&amp;$A484,'Investment Strategies'!$T:$AF,11,FALSE),
IF(Investment_Strategy="DIY",DIY_GteeChrge_CurrentFunds,
"Error"))))))</f>
        <v>0</v>
      </c>
      <c r="G484" s="33">
        <f>IF(AV484=0,0,
IF(Investment_Strategy="DIS",VLOOKUP(Investment_Strategy&amp;"_"&amp;Investment_Strategy_Sub1&amp;"_"&amp;$A484,'Investment Strategies'!$AZ:$BP,17,FALSE),
IF(AND(Investment_Strategy="Lifecycle",Investment_Strategy_Sub1="Non-Standard"),VLOOKUP(Investment_Strategy&amp;"_"&amp;Investment_Strategy_Sub2&amp;"_"&amp;$A484,'Investment Strategies'!$C:$P,14,FALSE),
IF(AND(Investment_Strategy="Lifecycle",Investment_Strategy_Sub1="Standard"),VLOOKUP(Investment_Strategy&amp;"_"&amp;Investment_Strategy_Sub2&amp;"_"&amp;$A484,'Investment Strategies'!$AJ:$AV,13,FALSE),
IF(AND(Investment_Strategy="Autopilot",Investment_Strategy_Sub1="Non-Standard"),VLOOKUP(Investment_Strategy&amp;"_"&amp;Investment_Strategy_Sub2&amp;"_"&amp;$A484,'Investment Strategies'!$T:$AF,13,FALSE),
IF(Investment_Strategy="DIY",DIY_ExtManChrge_CurrentFunds,
"Error"))))))</f>
        <v>0</v>
      </c>
      <c r="H484" s="16">
        <f t="shared" si="290"/>
        <v>0</v>
      </c>
      <c r="I484" s="16">
        <f t="shared" si="276"/>
        <v>0</v>
      </c>
      <c r="J484" s="16">
        <f t="shared" si="277"/>
        <v>0</v>
      </c>
      <c r="K484" s="16">
        <f>(Opening_Fund_Value+SUM(K$91:K483))*E484*IF(D484=$A$91,SRP_finalmonthfactor,1)</f>
        <v>0</v>
      </c>
      <c r="L484" s="74">
        <f>MIN(IF($AV484=0,0,
IF(Investment_Strategy="DIS",VLOOKUP(Investment_Strategy&amp;"_"&amp;Investment_Strategy_Sub1&amp;"_"&amp;$A484,'Investment Strategies'!$AZ:$BP,12,FALSE),
IF(AND(Investment_Strategy="Lifecycle",Investment_Strategy_Sub1="Non-Standard"),VLOOKUP(Investment_Strategy&amp;"_"&amp;Investment_Strategy_Sub2&amp;"_"&amp;$A484,'Investment Strategies'!$C:$P,9,FALSE),
IF(AND(Investment_Strategy="Lifecycle",Investment_Strategy_Sub1="Standard"),VLOOKUP(Investment_Strategy&amp;"_"&amp;Investment_Strategy_Sub2&amp;"_"&amp;$A484,'Investment Strategies'!$AJ:$AV,8,FALSE),
IF(AND(Investment_Strategy="Autopilot",Investment_Strategy_Sub1="Non-Standard"),VLOOKUP(Investment_Strategy&amp;"_"&amp;Investment_Strategy_Sub2&amp;"_"&amp;$A484,'Investment Strategies'!$T:$AF,8,FALSE),
IF(Investment_Strategy ="DIY",DIY_RateofReturn_SP,
"Error")))))),Max_InvReturn)</f>
        <v>0</v>
      </c>
      <c r="M484" s="62">
        <f>IF($AV484=0,0,
IF(Investment_Strategy="DIS",VLOOKUP(Investment_Strategy&amp;"_"&amp;Investment_Strategy_Sub1&amp;"_"&amp;$A484,'Investment Strategies'!$AZ:$BP,15,FALSE),
IF(AND(Investment_Strategy="Lifecycle",Investment_Strategy_Sub1="Non-Standard"),VLOOKUP(Investment_Strategy&amp;"_"&amp;Investment_Strategy_Sub2&amp;"_"&amp;$A484,'Investment Strategies'!$C:$P,12,FALSE),
IF(AND(Investment_Strategy="Lifecycle",Investment_Strategy_Sub1="Standard"),VLOOKUP(Investment_Strategy&amp;"_"&amp;Investment_Strategy_Sub2&amp;"_"&amp;$A484,'Investment Strategies'!$AJ:$AV,11,FALSE),
IF(AND(Investment_Strategy="Autopilot",Investment_Strategy_Sub1="Non-Standard"),VLOOKUP(Investment_Strategy&amp;"_"&amp;Investment_Strategy_Sub2&amp;"_"&amp;$A484,'Investment Strategies'!$T:$AF,11,FALSE),
IF(Investment_Strategy="DIY",DIY_GteeChrge_SP,
"Error"))))))</f>
        <v>0</v>
      </c>
      <c r="N484" s="33">
        <f>IF($AV484=0,0,
IF(Investment_Strategy="DIS",VLOOKUP(Investment_Strategy&amp;"_"&amp;Investment_Strategy_Sub1&amp;"_"&amp;$A484,'Investment Strategies'!$AZ:$BP,17,FALSE),
IF(AND(Investment_Strategy="Lifecycle",Investment_Strategy_Sub1="Non-Standard"),VLOOKUP(Investment_Strategy&amp;"_"&amp;Investment_Strategy_Sub2&amp;"_"&amp;$A484,'Investment Strategies'!$C:$P,14,FALSE),
IF(AND(Investment_Strategy="Lifecycle",Investment_Strategy_Sub1="Standard"),VLOOKUP(Investment_Strategy&amp;"_"&amp;Investment_Strategy_Sub2&amp;"_"&amp;$A484,'Investment Strategies'!$AJ:$AV,13,FALSE),
IF(AND(Investment_Strategy="Autopilot",Investment_Strategy_Sub1="Non-Standard"),VLOOKUP(Investment_Strategy&amp;"_"&amp;Investment_Strategy_Sub2&amp;"_"&amp;$A484,'Investment Strategies'!$T:$AF,13,FALSE),
IF(Investment_Strategy="DIY",DIY_ExtManChrge_SP,
"Error"))))))</f>
        <v>0</v>
      </c>
      <c r="O484" s="16">
        <f t="shared" si="301"/>
        <v>0</v>
      </c>
      <c r="Q484" s="16">
        <f t="shared" si="278"/>
        <v>0</v>
      </c>
      <c r="R484" s="16">
        <f t="shared" si="274"/>
        <v>0</v>
      </c>
      <c r="S484" s="16">
        <f>(SRP_SP+SUM(S$91:S483))*L484*IF(D484=$A$91,SRP_finalmonthfactor,1)</f>
        <v>0</v>
      </c>
      <c r="T484" s="74">
        <f>MIN(IF($AV484=0,0,
IF(Investment_Strategy="DIS",VLOOKUP(Investment_Strategy&amp;"_"&amp;Investment_Strategy_Sub1&amp;"_"&amp;$A484,'Investment Strategies'!$AZ:$BP,12,FALSE),
IF(AND(Investment_Strategy="Lifecycle",Investment_Strategy_Sub1="Non-Standard"),VLOOKUP(Investment_Strategy&amp;"_"&amp;Investment_Strategy_Sub2&amp;"_"&amp;$A484,'Investment Strategies'!$C:$P,9,FALSE),
IF(AND(Investment_Strategy="Lifecycle",Investment_Strategy_Sub1="Standard"),VLOOKUP(Investment_Strategy&amp;"_"&amp;Investment_Strategy_Sub2&amp;"_"&amp;$A484,'Investment Strategies'!$AJ:$AV,8,FALSE),
IF(AND(Investment_Strategy="Autopilot",Investment_Strategy_Sub1="Non-Standard"),VLOOKUP(Investment_Strategy&amp;"_"&amp;Investment_Strategy_Sub2&amp;"_"&amp;$A484,'Investment Strategies'!$T:$AF,8,FALSE),
IF(Investment_Strategy ="DIY",DIY_RateOfReturn_FuturePremiums,
"Error")))))),Max_InvReturn)</f>
        <v>0</v>
      </c>
      <c r="U484" s="62">
        <f>IF($AV484=0,0,
IF(Investment_Strategy="DIS",VLOOKUP(Investment_Strategy&amp;"_"&amp;Investment_Strategy_Sub1&amp;"_"&amp;$A484,'Investment Strategies'!$AZ:$BP,15,FALSE),
IF(AND(Investment_Strategy="Lifecycle",Investment_Strategy_Sub1="Non-Standard"),VLOOKUP(Investment_Strategy&amp;"_"&amp;Investment_Strategy_Sub2&amp;"_"&amp;$A484,'Investment Strategies'!$C:$P,12,FALSE),
IF(AND(Investment_Strategy="Lifecycle",Investment_Strategy_Sub1="Standard"),VLOOKUP(Investment_Strategy&amp;"_"&amp;Investment_Strategy_Sub2&amp;"_"&amp;$A484,'Investment Strategies'!$AJ:$AV,11,FALSE),
IF(AND(Investment_Strategy="Autopilot",Investment_Strategy_Sub1="Non-Standard"),VLOOKUP(Investment_Strategy&amp;"_"&amp;Investment_Strategy_Sub2&amp;"_"&amp;$A484,'Investment Strategies'!$T:$AF,11,FALSE),
IF(Investment_Strategy="DIY",DIY_GteeChrge_FuturePremiums,
"Error"))))))</f>
        <v>0</v>
      </c>
      <c r="V484" s="33">
        <f>IF(AV484=0,0,
IF(Investment_Strategy="DIS",VLOOKUP(Investment_Strategy&amp;"_"&amp;Investment_Strategy_Sub1&amp;"_"&amp;$A484,'Investment Strategies'!$AZ:$BP,17,FALSE),
IF(AND(Investment_Strategy="Lifecycle",Investment_Strategy_Sub1="Non-Standard"),VLOOKUP(Investment_Strategy&amp;"_"&amp;Investment_Strategy_Sub2&amp;"_"&amp;$A484,'Investment Strategies'!$C:$P,14,FALSE),
IF(AND(Investment_Strategy="Lifecycle",Investment_Strategy_Sub1="Standard"),VLOOKUP(Investment_Strategy&amp;"_"&amp;Investment_Strategy_Sub2&amp;"_"&amp;$A484,'Investment Strategies'!$AJ:$AV,13,FALSE),
IF(AND(Investment_Strategy="Autopilot",Investment_Strategy_Sub1="Non-Standard"),VLOOKUP(Investment_Strategy&amp;"_"&amp;Investment_Strategy_Sub2&amp;"_"&amp;$A484,'Investment Strategies'!$T:$AF,13,FALSE),
IF(Investment_Strategy="DIY",DIY_ExtManChrge_FuturePremiums,
"Error"))))))</f>
        <v>0</v>
      </c>
      <c r="W484" s="16">
        <f t="shared" si="302"/>
        <v>0</v>
      </c>
      <c r="X484" s="16">
        <f t="shared" si="279"/>
        <v>0</v>
      </c>
      <c r="Y484" s="16">
        <f t="shared" si="280"/>
        <v>0</v>
      </c>
      <c r="Z484" s="31">
        <f t="shared" si="281"/>
        <v>0.02</v>
      </c>
      <c r="AA484" s="16">
        <f t="shared" si="282"/>
        <v>0</v>
      </c>
      <c r="AB484" s="28">
        <f t="shared" si="303"/>
        <v>0</v>
      </c>
      <c r="AC484" s="28">
        <f>(SUM($AC$91:AC483)+SUM($X$91:X483)+X484)*T484*IF(D484=$A$91,SRP_finalmonthfactor,1)</f>
        <v>0</v>
      </c>
      <c r="AD484" s="16">
        <f t="shared" si="283"/>
        <v>0</v>
      </c>
      <c r="AE484" s="106"/>
      <c r="AF484" s="16">
        <f t="shared" si="291"/>
        <v>0</v>
      </c>
      <c r="AG484" s="16">
        <f t="shared" si="292"/>
        <v>0</v>
      </c>
      <c r="AH484" s="16">
        <f t="shared" si="293"/>
        <v>0</v>
      </c>
      <c r="AJ484" s="13">
        <f t="shared" si="304"/>
        <v>0</v>
      </c>
      <c r="AK484" s="13">
        <f t="shared" si="304"/>
        <v>0</v>
      </c>
      <c r="AL484" s="13">
        <f t="shared" si="304"/>
        <v>0</v>
      </c>
      <c r="AM484" s="13">
        <f t="shared" si="304"/>
        <v>0</v>
      </c>
      <c r="AN484" s="13">
        <f t="shared" si="304"/>
        <v>0</v>
      </c>
      <c r="AO484" s="13">
        <f t="shared" si="304"/>
        <v>1</v>
      </c>
      <c r="AP484" s="13">
        <f t="shared" si="304"/>
        <v>1</v>
      </c>
      <c r="AQ484" s="13">
        <f t="shared" si="304"/>
        <v>1</v>
      </c>
      <c r="AR484" s="13">
        <f t="shared" si="304"/>
        <v>0</v>
      </c>
      <c r="AS484" s="13">
        <f t="shared" si="304"/>
        <v>0</v>
      </c>
      <c r="AT484" s="13">
        <f t="shared" si="304"/>
        <v>1</v>
      </c>
      <c r="AU484" s="13">
        <f t="shared" si="304"/>
        <v>1</v>
      </c>
      <c r="AV484" s="13">
        <f t="shared" si="284"/>
        <v>0</v>
      </c>
      <c r="AW484" s="13">
        <f t="shared" si="285"/>
        <v>1</v>
      </c>
      <c r="AY484" s="17">
        <f t="shared" si="286"/>
        <v>394</v>
      </c>
      <c r="AZ484" s="28">
        <f t="shared" si="294"/>
        <v>0</v>
      </c>
      <c r="BA484" s="13">
        <f t="shared" si="287"/>
        <v>0</v>
      </c>
      <c r="BB484" s="13">
        <f t="shared" si="288"/>
        <v>0</v>
      </c>
      <c r="BC484" s="28">
        <f t="shared" si="295"/>
        <v>0</v>
      </c>
      <c r="BD484" s="28">
        <f t="shared" si="296"/>
        <v>0</v>
      </c>
      <c r="BF484" s="248">
        <f t="shared" si="297"/>
        <v>993869.29442638322</v>
      </c>
    </row>
    <row r="485" spans="1:58">
      <c r="A485" s="32">
        <f t="shared" si="298"/>
        <v>-310</v>
      </c>
      <c r="B485" s="32">
        <f t="shared" si="289"/>
        <v>85</v>
      </c>
      <c r="C485" s="32">
        <f t="shared" si="299"/>
        <v>33</v>
      </c>
      <c r="D485" s="32">
        <f t="shared" si="300"/>
        <v>395</v>
      </c>
      <c r="E485" s="74">
        <f>MIN(IF(AV485=0,0,
IF(Investment_Strategy="DIS",VLOOKUP(Investment_Strategy&amp;"_"&amp;Investment_Strategy_Sub1&amp;"_"&amp;$A485,'Investment Strategies'!$AZ:$BP,12,FALSE),
IF(AND(Investment_Strategy="Lifecycle",Investment_Strategy_Sub1="Non-Standard"),VLOOKUP(Investment_Strategy&amp;"_"&amp;Investment_Strategy_Sub2&amp;"_"&amp;$A485,'Investment Strategies'!$C:$P,9,FALSE),
IF(AND(Investment_Strategy="Lifecycle",Investment_Strategy_Sub1="Standard"),VLOOKUP(Investment_Strategy&amp;"_"&amp;Investment_Strategy_Sub2&amp;"_"&amp;$A485,'Investment Strategies'!$AJ:$AV,8,FALSE),
IF(AND(Investment_Strategy="Autopilot",Investment_Strategy_Sub1="Non-Standard"),VLOOKUP(Investment_Strategy&amp;"_"&amp;Investment_Strategy_Sub2&amp;"_"&amp;$A485,'Investment Strategies'!$T:$AF,8,FALSE),
IF(Investment_Strategy ="DIY",DIY_RateOfReturn_CurrentFunds,
"Error")))))),Max_InvReturn)</f>
        <v>0</v>
      </c>
      <c r="F485" s="62">
        <f>IF(AV485=0,0,
IF(Investment_Strategy="DIS",VLOOKUP(Investment_Strategy&amp;"_"&amp;Investment_Strategy_Sub1&amp;"_"&amp;$A485,'Investment Strategies'!$AZ:$BP,15,FALSE),
IF(AND(Investment_Strategy="Lifecycle",Investment_Strategy_Sub1="Non-Standard"),VLOOKUP(Investment_Strategy&amp;"_"&amp;Investment_Strategy_Sub2&amp;"_"&amp;$A485,'Investment Strategies'!$C:$P,12,FALSE),
IF(AND(Investment_Strategy="Lifecycle",Investment_Strategy_Sub1="Standard"),VLOOKUP(Investment_Strategy&amp;"_"&amp;Investment_Strategy_Sub2&amp;"_"&amp;$A485,'Investment Strategies'!$AJ:$AV,11,FALSE),
IF(AND(Investment_Strategy="Autopilot",Investment_Strategy_Sub1="Non-Standard"),VLOOKUP(Investment_Strategy&amp;"_"&amp;Investment_Strategy_Sub2&amp;"_"&amp;$A485,'Investment Strategies'!$T:$AF,11,FALSE),
IF(Investment_Strategy="DIY",DIY_GteeChrge_CurrentFunds,
"Error"))))))</f>
        <v>0</v>
      </c>
      <c r="G485" s="33">
        <f>IF(AV485=0,0,
IF(Investment_Strategy="DIS",VLOOKUP(Investment_Strategy&amp;"_"&amp;Investment_Strategy_Sub1&amp;"_"&amp;$A485,'Investment Strategies'!$AZ:$BP,17,FALSE),
IF(AND(Investment_Strategy="Lifecycle",Investment_Strategy_Sub1="Non-Standard"),VLOOKUP(Investment_Strategy&amp;"_"&amp;Investment_Strategy_Sub2&amp;"_"&amp;$A485,'Investment Strategies'!$C:$P,14,FALSE),
IF(AND(Investment_Strategy="Lifecycle",Investment_Strategy_Sub1="Standard"),VLOOKUP(Investment_Strategy&amp;"_"&amp;Investment_Strategy_Sub2&amp;"_"&amp;$A485,'Investment Strategies'!$AJ:$AV,13,FALSE),
IF(AND(Investment_Strategy="Autopilot",Investment_Strategy_Sub1="Non-Standard"),VLOOKUP(Investment_Strategy&amp;"_"&amp;Investment_Strategy_Sub2&amp;"_"&amp;$A485,'Investment Strategies'!$T:$AF,13,FALSE),
IF(Investment_Strategy="DIY",DIY_ExtManChrge_CurrentFunds,
"Error"))))))</f>
        <v>0</v>
      </c>
      <c r="H485" s="16">
        <f t="shared" si="290"/>
        <v>0</v>
      </c>
      <c r="I485" s="16">
        <f t="shared" si="276"/>
        <v>0</v>
      </c>
      <c r="J485" s="16">
        <f t="shared" si="277"/>
        <v>0</v>
      </c>
      <c r="K485" s="16">
        <f>(Opening_Fund_Value+SUM(K$91:K484))*E485*IF(D485=$A$91,SRP_finalmonthfactor,1)</f>
        <v>0</v>
      </c>
      <c r="L485" s="74">
        <f>MIN(IF($AV485=0,0,
IF(Investment_Strategy="DIS",VLOOKUP(Investment_Strategy&amp;"_"&amp;Investment_Strategy_Sub1&amp;"_"&amp;$A485,'Investment Strategies'!$AZ:$BP,12,FALSE),
IF(AND(Investment_Strategy="Lifecycle",Investment_Strategy_Sub1="Non-Standard"),VLOOKUP(Investment_Strategy&amp;"_"&amp;Investment_Strategy_Sub2&amp;"_"&amp;$A485,'Investment Strategies'!$C:$P,9,FALSE),
IF(AND(Investment_Strategy="Lifecycle",Investment_Strategy_Sub1="Standard"),VLOOKUP(Investment_Strategy&amp;"_"&amp;Investment_Strategy_Sub2&amp;"_"&amp;$A485,'Investment Strategies'!$AJ:$AV,8,FALSE),
IF(AND(Investment_Strategy="Autopilot",Investment_Strategy_Sub1="Non-Standard"),VLOOKUP(Investment_Strategy&amp;"_"&amp;Investment_Strategy_Sub2&amp;"_"&amp;$A485,'Investment Strategies'!$T:$AF,8,FALSE),
IF(Investment_Strategy ="DIY",DIY_RateofReturn_SP,
"Error")))))),Max_InvReturn)</f>
        <v>0</v>
      </c>
      <c r="M485" s="62">
        <f>IF($AV485=0,0,
IF(Investment_Strategy="DIS",VLOOKUP(Investment_Strategy&amp;"_"&amp;Investment_Strategy_Sub1&amp;"_"&amp;$A485,'Investment Strategies'!$AZ:$BP,15,FALSE),
IF(AND(Investment_Strategy="Lifecycle",Investment_Strategy_Sub1="Non-Standard"),VLOOKUP(Investment_Strategy&amp;"_"&amp;Investment_Strategy_Sub2&amp;"_"&amp;$A485,'Investment Strategies'!$C:$P,12,FALSE),
IF(AND(Investment_Strategy="Lifecycle",Investment_Strategy_Sub1="Standard"),VLOOKUP(Investment_Strategy&amp;"_"&amp;Investment_Strategy_Sub2&amp;"_"&amp;$A485,'Investment Strategies'!$AJ:$AV,11,FALSE),
IF(AND(Investment_Strategy="Autopilot",Investment_Strategy_Sub1="Non-Standard"),VLOOKUP(Investment_Strategy&amp;"_"&amp;Investment_Strategy_Sub2&amp;"_"&amp;$A485,'Investment Strategies'!$T:$AF,11,FALSE),
IF(Investment_Strategy="DIY",DIY_GteeChrge_SP,
"Error"))))))</f>
        <v>0</v>
      </c>
      <c r="N485" s="33">
        <f>IF($AV485=0,0,
IF(Investment_Strategy="DIS",VLOOKUP(Investment_Strategy&amp;"_"&amp;Investment_Strategy_Sub1&amp;"_"&amp;$A485,'Investment Strategies'!$AZ:$BP,17,FALSE),
IF(AND(Investment_Strategy="Lifecycle",Investment_Strategy_Sub1="Non-Standard"),VLOOKUP(Investment_Strategy&amp;"_"&amp;Investment_Strategy_Sub2&amp;"_"&amp;$A485,'Investment Strategies'!$C:$P,14,FALSE),
IF(AND(Investment_Strategy="Lifecycle",Investment_Strategy_Sub1="Standard"),VLOOKUP(Investment_Strategy&amp;"_"&amp;Investment_Strategy_Sub2&amp;"_"&amp;$A485,'Investment Strategies'!$AJ:$AV,13,FALSE),
IF(AND(Investment_Strategy="Autopilot",Investment_Strategy_Sub1="Non-Standard"),VLOOKUP(Investment_Strategy&amp;"_"&amp;Investment_Strategy_Sub2&amp;"_"&amp;$A485,'Investment Strategies'!$T:$AF,13,FALSE),
IF(Investment_Strategy="DIY",DIY_ExtManChrge_SP,
"Error"))))))</f>
        <v>0</v>
      </c>
      <c r="O485" s="16">
        <f t="shared" si="301"/>
        <v>0</v>
      </c>
      <c r="Q485" s="16">
        <f t="shared" si="278"/>
        <v>0</v>
      </c>
      <c r="R485" s="16">
        <f t="shared" si="274"/>
        <v>0</v>
      </c>
      <c r="S485" s="16">
        <f>(SRP_SP+SUM(S$91:S484))*L485*IF(D485=$A$91,SRP_finalmonthfactor,1)</f>
        <v>0</v>
      </c>
      <c r="T485" s="74">
        <f>MIN(IF($AV485=0,0,
IF(Investment_Strategy="DIS",VLOOKUP(Investment_Strategy&amp;"_"&amp;Investment_Strategy_Sub1&amp;"_"&amp;$A485,'Investment Strategies'!$AZ:$BP,12,FALSE),
IF(AND(Investment_Strategy="Lifecycle",Investment_Strategy_Sub1="Non-Standard"),VLOOKUP(Investment_Strategy&amp;"_"&amp;Investment_Strategy_Sub2&amp;"_"&amp;$A485,'Investment Strategies'!$C:$P,9,FALSE),
IF(AND(Investment_Strategy="Lifecycle",Investment_Strategy_Sub1="Standard"),VLOOKUP(Investment_Strategy&amp;"_"&amp;Investment_Strategy_Sub2&amp;"_"&amp;$A485,'Investment Strategies'!$AJ:$AV,8,FALSE),
IF(AND(Investment_Strategy="Autopilot",Investment_Strategy_Sub1="Non-Standard"),VLOOKUP(Investment_Strategy&amp;"_"&amp;Investment_Strategy_Sub2&amp;"_"&amp;$A485,'Investment Strategies'!$T:$AF,8,FALSE),
IF(Investment_Strategy ="DIY",DIY_RateOfReturn_FuturePremiums,
"Error")))))),Max_InvReturn)</f>
        <v>0</v>
      </c>
      <c r="U485" s="62">
        <f>IF($AV485=0,0,
IF(Investment_Strategy="DIS",VLOOKUP(Investment_Strategy&amp;"_"&amp;Investment_Strategy_Sub1&amp;"_"&amp;$A485,'Investment Strategies'!$AZ:$BP,15,FALSE),
IF(AND(Investment_Strategy="Lifecycle",Investment_Strategy_Sub1="Non-Standard"),VLOOKUP(Investment_Strategy&amp;"_"&amp;Investment_Strategy_Sub2&amp;"_"&amp;$A485,'Investment Strategies'!$C:$P,12,FALSE),
IF(AND(Investment_Strategy="Lifecycle",Investment_Strategy_Sub1="Standard"),VLOOKUP(Investment_Strategy&amp;"_"&amp;Investment_Strategy_Sub2&amp;"_"&amp;$A485,'Investment Strategies'!$AJ:$AV,11,FALSE),
IF(AND(Investment_Strategy="Autopilot",Investment_Strategy_Sub1="Non-Standard"),VLOOKUP(Investment_Strategy&amp;"_"&amp;Investment_Strategy_Sub2&amp;"_"&amp;$A485,'Investment Strategies'!$T:$AF,11,FALSE),
IF(Investment_Strategy="DIY",DIY_GteeChrge_FuturePremiums,
"Error"))))))</f>
        <v>0</v>
      </c>
      <c r="V485" s="33">
        <f>IF(AV485=0,0,
IF(Investment_Strategy="DIS",VLOOKUP(Investment_Strategy&amp;"_"&amp;Investment_Strategy_Sub1&amp;"_"&amp;$A485,'Investment Strategies'!$AZ:$BP,17,FALSE),
IF(AND(Investment_Strategy="Lifecycle",Investment_Strategy_Sub1="Non-Standard"),VLOOKUP(Investment_Strategy&amp;"_"&amp;Investment_Strategy_Sub2&amp;"_"&amp;$A485,'Investment Strategies'!$C:$P,14,FALSE),
IF(AND(Investment_Strategy="Lifecycle",Investment_Strategy_Sub1="Standard"),VLOOKUP(Investment_Strategy&amp;"_"&amp;Investment_Strategy_Sub2&amp;"_"&amp;$A485,'Investment Strategies'!$AJ:$AV,13,FALSE),
IF(AND(Investment_Strategy="Autopilot",Investment_Strategy_Sub1="Non-Standard"),VLOOKUP(Investment_Strategy&amp;"_"&amp;Investment_Strategy_Sub2&amp;"_"&amp;$A485,'Investment Strategies'!$T:$AF,13,FALSE),
IF(Investment_Strategy="DIY",DIY_ExtManChrge_FuturePremiums,
"Error"))))))</f>
        <v>0</v>
      </c>
      <c r="W485" s="16">
        <f t="shared" si="302"/>
        <v>0</v>
      </c>
      <c r="X485" s="16">
        <f t="shared" si="279"/>
        <v>0</v>
      </c>
      <c r="Y485" s="16">
        <f t="shared" si="280"/>
        <v>0</v>
      </c>
      <c r="Z485" s="31">
        <f t="shared" si="281"/>
        <v>0.02</v>
      </c>
      <c r="AA485" s="16">
        <f t="shared" si="282"/>
        <v>0</v>
      </c>
      <c r="AB485" s="28">
        <f t="shared" si="303"/>
        <v>0</v>
      </c>
      <c r="AC485" s="28">
        <f>(SUM($AC$91:AC484)+SUM($X$91:X484)+X485)*T485*IF(D485=$A$91,SRP_finalmonthfactor,1)</f>
        <v>0</v>
      </c>
      <c r="AD485" s="16">
        <f t="shared" si="283"/>
        <v>0</v>
      </c>
      <c r="AE485" s="106"/>
      <c r="AF485" s="16">
        <f t="shared" si="291"/>
        <v>0</v>
      </c>
      <c r="AG485" s="16">
        <f t="shared" si="292"/>
        <v>0</v>
      </c>
      <c r="AH485" s="16">
        <f t="shared" si="293"/>
        <v>0</v>
      </c>
      <c r="AJ485" s="13">
        <f t="shared" si="304"/>
        <v>0</v>
      </c>
      <c r="AK485" s="13">
        <f t="shared" si="304"/>
        <v>0</v>
      </c>
      <c r="AL485" s="13">
        <f t="shared" si="304"/>
        <v>0</v>
      </c>
      <c r="AM485" s="13">
        <f t="shared" si="304"/>
        <v>0</v>
      </c>
      <c r="AN485" s="13">
        <f t="shared" si="304"/>
        <v>0</v>
      </c>
      <c r="AO485" s="13">
        <f t="shared" si="304"/>
        <v>1</v>
      </c>
      <c r="AP485" s="13">
        <f t="shared" si="304"/>
        <v>1</v>
      </c>
      <c r="AQ485" s="13">
        <f t="shared" si="304"/>
        <v>1</v>
      </c>
      <c r="AR485" s="13">
        <f t="shared" si="304"/>
        <v>0</v>
      </c>
      <c r="AS485" s="13">
        <f t="shared" si="304"/>
        <v>0</v>
      </c>
      <c r="AT485" s="13">
        <f t="shared" si="304"/>
        <v>1</v>
      </c>
      <c r="AU485" s="13">
        <f t="shared" si="304"/>
        <v>1</v>
      </c>
      <c r="AV485" s="13">
        <f t="shared" si="284"/>
        <v>0</v>
      </c>
      <c r="AW485" s="13">
        <f t="shared" si="285"/>
        <v>1</v>
      </c>
      <c r="AY485" s="17">
        <f t="shared" si="286"/>
        <v>395</v>
      </c>
      <c r="AZ485" s="28">
        <f t="shared" si="294"/>
        <v>0</v>
      </c>
      <c r="BA485" s="13">
        <f t="shared" si="287"/>
        <v>0</v>
      </c>
      <c r="BB485" s="13">
        <f t="shared" si="288"/>
        <v>0</v>
      </c>
      <c r="BC485" s="28">
        <f t="shared" si="295"/>
        <v>0</v>
      </c>
      <c r="BD485" s="28">
        <f t="shared" si="296"/>
        <v>0</v>
      </c>
      <c r="BF485" s="248">
        <f t="shared" si="297"/>
        <v>993869.29442638322</v>
      </c>
    </row>
    <row r="486" spans="1:58">
      <c r="A486" s="32">
        <f t="shared" si="298"/>
        <v>-311</v>
      </c>
      <c r="B486" s="32">
        <f t="shared" si="289"/>
        <v>85</v>
      </c>
      <c r="C486" s="32">
        <f t="shared" si="299"/>
        <v>33</v>
      </c>
      <c r="D486" s="32">
        <f t="shared" si="300"/>
        <v>396</v>
      </c>
      <c r="E486" s="74">
        <f>MIN(IF(AV486=0,0,
IF(Investment_Strategy="DIS",VLOOKUP(Investment_Strategy&amp;"_"&amp;Investment_Strategy_Sub1&amp;"_"&amp;$A486,'Investment Strategies'!$AZ:$BP,12,FALSE),
IF(AND(Investment_Strategy="Lifecycle",Investment_Strategy_Sub1="Non-Standard"),VLOOKUP(Investment_Strategy&amp;"_"&amp;Investment_Strategy_Sub2&amp;"_"&amp;$A486,'Investment Strategies'!$C:$P,9,FALSE),
IF(AND(Investment_Strategy="Lifecycle",Investment_Strategy_Sub1="Standard"),VLOOKUP(Investment_Strategy&amp;"_"&amp;Investment_Strategy_Sub2&amp;"_"&amp;$A486,'Investment Strategies'!$AJ:$AV,8,FALSE),
IF(AND(Investment_Strategy="Autopilot",Investment_Strategy_Sub1="Non-Standard"),VLOOKUP(Investment_Strategy&amp;"_"&amp;Investment_Strategy_Sub2&amp;"_"&amp;$A486,'Investment Strategies'!$T:$AF,8,FALSE),
IF(Investment_Strategy ="DIY",DIY_RateOfReturn_CurrentFunds,
"Error")))))),Max_InvReturn)</f>
        <v>0</v>
      </c>
      <c r="F486" s="62">
        <f>IF(AV486=0,0,
IF(Investment_Strategy="DIS",VLOOKUP(Investment_Strategy&amp;"_"&amp;Investment_Strategy_Sub1&amp;"_"&amp;$A486,'Investment Strategies'!$AZ:$BP,15,FALSE),
IF(AND(Investment_Strategy="Lifecycle",Investment_Strategy_Sub1="Non-Standard"),VLOOKUP(Investment_Strategy&amp;"_"&amp;Investment_Strategy_Sub2&amp;"_"&amp;$A486,'Investment Strategies'!$C:$P,12,FALSE),
IF(AND(Investment_Strategy="Lifecycle",Investment_Strategy_Sub1="Standard"),VLOOKUP(Investment_Strategy&amp;"_"&amp;Investment_Strategy_Sub2&amp;"_"&amp;$A486,'Investment Strategies'!$AJ:$AV,11,FALSE),
IF(AND(Investment_Strategy="Autopilot",Investment_Strategy_Sub1="Non-Standard"),VLOOKUP(Investment_Strategy&amp;"_"&amp;Investment_Strategy_Sub2&amp;"_"&amp;$A486,'Investment Strategies'!$T:$AF,11,FALSE),
IF(Investment_Strategy="DIY",DIY_GteeChrge_CurrentFunds,
"Error"))))))</f>
        <v>0</v>
      </c>
      <c r="G486" s="33">
        <f>IF(AV486=0,0,
IF(Investment_Strategy="DIS",VLOOKUP(Investment_Strategy&amp;"_"&amp;Investment_Strategy_Sub1&amp;"_"&amp;$A486,'Investment Strategies'!$AZ:$BP,17,FALSE),
IF(AND(Investment_Strategy="Lifecycle",Investment_Strategy_Sub1="Non-Standard"),VLOOKUP(Investment_Strategy&amp;"_"&amp;Investment_Strategy_Sub2&amp;"_"&amp;$A486,'Investment Strategies'!$C:$P,14,FALSE),
IF(AND(Investment_Strategy="Lifecycle",Investment_Strategy_Sub1="Standard"),VLOOKUP(Investment_Strategy&amp;"_"&amp;Investment_Strategy_Sub2&amp;"_"&amp;$A486,'Investment Strategies'!$AJ:$AV,13,FALSE),
IF(AND(Investment_Strategy="Autopilot",Investment_Strategy_Sub1="Non-Standard"),VLOOKUP(Investment_Strategy&amp;"_"&amp;Investment_Strategy_Sub2&amp;"_"&amp;$A486,'Investment Strategies'!$T:$AF,13,FALSE),
IF(Investment_Strategy="DIY",DIY_ExtManChrge_CurrentFunds,
"Error"))))))</f>
        <v>0</v>
      </c>
      <c r="H486" s="16">
        <f t="shared" si="290"/>
        <v>0</v>
      </c>
      <c r="I486" s="16">
        <f t="shared" si="276"/>
        <v>0</v>
      </c>
      <c r="J486" s="16">
        <f t="shared" si="277"/>
        <v>0</v>
      </c>
      <c r="K486" s="16">
        <f>(Opening_Fund_Value+SUM(K$91:K485))*E486*IF(D486=$A$91,SRP_finalmonthfactor,1)</f>
        <v>0</v>
      </c>
      <c r="L486" s="74">
        <f>MIN(IF($AV486=0,0,
IF(Investment_Strategy="DIS",VLOOKUP(Investment_Strategy&amp;"_"&amp;Investment_Strategy_Sub1&amp;"_"&amp;$A486,'Investment Strategies'!$AZ:$BP,12,FALSE),
IF(AND(Investment_Strategy="Lifecycle",Investment_Strategy_Sub1="Non-Standard"),VLOOKUP(Investment_Strategy&amp;"_"&amp;Investment_Strategy_Sub2&amp;"_"&amp;$A486,'Investment Strategies'!$C:$P,9,FALSE),
IF(AND(Investment_Strategy="Lifecycle",Investment_Strategy_Sub1="Standard"),VLOOKUP(Investment_Strategy&amp;"_"&amp;Investment_Strategy_Sub2&amp;"_"&amp;$A486,'Investment Strategies'!$AJ:$AV,8,FALSE),
IF(AND(Investment_Strategy="Autopilot",Investment_Strategy_Sub1="Non-Standard"),VLOOKUP(Investment_Strategy&amp;"_"&amp;Investment_Strategy_Sub2&amp;"_"&amp;$A486,'Investment Strategies'!$T:$AF,8,FALSE),
IF(Investment_Strategy ="DIY",DIY_RateofReturn_SP,
"Error")))))),Max_InvReturn)</f>
        <v>0</v>
      </c>
      <c r="M486" s="62">
        <f>IF($AV486=0,0,
IF(Investment_Strategy="DIS",VLOOKUP(Investment_Strategy&amp;"_"&amp;Investment_Strategy_Sub1&amp;"_"&amp;$A486,'Investment Strategies'!$AZ:$BP,15,FALSE),
IF(AND(Investment_Strategy="Lifecycle",Investment_Strategy_Sub1="Non-Standard"),VLOOKUP(Investment_Strategy&amp;"_"&amp;Investment_Strategy_Sub2&amp;"_"&amp;$A486,'Investment Strategies'!$C:$P,12,FALSE),
IF(AND(Investment_Strategy="Lifecycle",Investment_Strategy_Sub1="Standard"),VLOOKUP(Investment_Strategy&amp;"_"&amp;Investment_Strategy_Sub2&amp;"_"&amp;$A486,'Investment Strategies'!$AJ:$AV,11,FALSE),
IF(AND(Investment_Strategy="Autopilot",Investment_Strategy_Sub1="Non-Standard"),VLOOKUP(Investment_Strategy&amp;"_"&amp;Investment_Strategy_Sub2&amp;"_"&amp;$A486,'Investment Strategies'!$T:$AF,11,FALSE),
IF(Investment_Strategy="DIY",DIY_GteeChrge_SP,
"Error"))))))</f>
        <v>0</v>
      </c>
      <c r="N486" s="33">
        <f>IF($AV486=0,0,
IF(Investment_Strategy="DIS",VLOOKUP(Investment_Strategy&amp;"_"&amp;Investment_Strategy_Sub1&amp;"_"&amp;$A486,'Investment Strategies'!$AZ:$BP,17,FALSE),
IF(AND(Investment_Strategy="Lifecycle",Investment_Strategy_Sub1="Non-Standard"),VLOOKUP(Investment_Strategy&amp;"_"&amp;Investment_Strategy_Sub2&amp;"_"&amp;$A486,'Investment Strategies'!$C:$P,14,FALSE),
IF(AND(Investment_Strategy="Lifecycle",Investment_Strategy_Sub1="Standard"),VLOOKUP(Investment_Strategy&amp;"_"&amp;Investment_Strategy_Sub2&amp;"_"&amp;$A486,'Investment Strategies'!$AJ:$AV,13,FALSE),
IF(AND(Investment_Strategy="Autopilot",Investment_Strategy_Sub1="Non-Standard"),VLOOKUP(Investment_Strategy&amp;"_"&amp;Investment_Strategy_Sub2&amp;"_"&amp;$A486,'Investment Strategies'!$T:$AF,13,FALSE),
IF(Investment_Strategy="DIY",DIY_ExtManChrge_SP,
"Error"))))))</f>
        <v>0</v>
      </c>
      <c r="O486" s="16">
        <f t="shared" si="301"/>
        <v>0</v>
      </c>
      <c r="Q486" s="16">
        <f t="shared" si="278"/>
        <v>0</v>
      </c>
      <c r="R486" s="16">
        <f t="shared" si="274"/>
        <v>0</v>
      </c>
      <c r="S486" s="16">
        <f>(SRP_SP+SUM(S$91:S485))*L486*IF(D486=$A$91,SRP_finalmonthfactor,1)</f>
        <v>0</v>
      </c>
      <c r="T486" s="74">
        <f>MIN(IF($AV486=0,0,
IF(Investment_Strategy="DIS",VLOOKUP(Investment_Strategy&amp;"_"&amp;Investment_Strategy_Sub1&amp;"_"&amp;$A486,'Investment Strategies'!$AZ:$BP,12,FALSE),
IF(AND(Investment_Strategy="Lifecycle",Investment_Strategy_Sub1="Non-Standard"),VLOOKUP(Investment_Strategy&amp;"_"&amp;Investment_Strategy_Sub2&amp;"_"&amp;$A486,'Investment Strategies'!$C:$P,9,FALSE),
IF(AND(Investment_Strategy="Lifecycle",Investment_Strategy_Sub1="Standard"),VLOOKUP(Investment_Strategy&amp;"_"&amp;Investment_Strategy_Sub2&amp;"_"&amp;$A486,'Investment Strategies'!$AJ:$AV,8,FALSE),
IF(AND(Investment_Strategy="Autopilot",Investment_Strategy_Sub1="Non-Standard"),VLOOKUP(Investment_Strategy&amp;"_"&amp;Investment_Strategy_Sub2&amp;"_"&amp;$A486,'Investment Strategies'!$T:$AF,8,FALSE),
IF(Investment_Strategy ="DIY",DIY_RateOfReturn_FuturePremiums,
"Error")))))),Max_InvReturn)</f>
        <v>0</v>
      </c>
      <c r="U486" s="62">
        <f>IF($AV486=0,0,
IF(Investment_Strategy="DIS",VLOOKUP(Investment_Strategy&amp;"_"&amp;Investment_Strategy_Sub1&amp;"_"&amp;$A486,'Investment Strategies'!$AZ:$BP,15,FALSE),
IF(AND(Investment_Strategy="Lifecycle",Investment_Strategy_Sub1="Non-Standard"),VLOOKUP(Investment_Strategy&amp;"_"&amp;Investment_Strategy_Sub2&amp;"_"&amp;$A486,'Investment Strategies'!$C:$P,12,FALSE),
IF(AND(Investment_Strategy="Lifecycle",Investment_Strategy_Sub1="Standard"),VLOOKUP(Investment_Strategy&amp;"_"&amp;Investment_Strategy_Sub2&amp;"_"&amp;$A486,'Investment Strategies'!$AJ:$AV,11,FALSE),
IF(AND(Investment_Strategy="Autopilot",Investment_Strategy_Sub1="Non-Standard"),VLOOKUP(Investment_Strategy&amp;"_"&amp;Investment_Strategy_Sub2&amp;"_"&amp;$A486,'Investment Strategies'!$T:$AF,11,FALSE),
IF(Investment_Strategy="DIY",DIY_GteeChrge_FuturePremiums,
"Error"))))))</f>
        <v>0</v>
      </c>
      <c r="V486" s="33">
        <f>IF(AV486=0,0,
IF(Investment_Strategy="DIS",VLOOKUP(Investment_Strategy&amp;"_"&amp;Investment_Strategy_Sub1&amp;"_"&amp;$A486,'Investment Strategies'!$AZ:$BP,17,FALSE),
IF(AND(Investment_Strategy="Lifecycle",Investment_Strategy_Sub1="Non-Standard"),VLOOKUP(Investment_Strategy&amp;"_"&amp;Investment_Strategy_Sub2&amp;"_"&amp;$A486,'Investment Strategies'!$C:$P,14,FALSE),
IF(AND(Investment_Strategy="Lifecycle",Investment_Strategy_Sub1="Standard"),VLOOKUP(Investment_Strategy&amp;"_"&amp;Investment_Strategy_Sub2&amp;"_"&amp;$A486,'Investment Strategies'!$AJ:$AV,13,FALSE),
IF(AND(Investment_Strategy="Autopilot",Investment_Strategy_Sub1="Non-Standard"),VLOOKUP(Investment_Strategy&amp;"_"&amp;Investment_Strategy_Sub2&amp;"_"&amp;$A486,'Investment Strategies'!$T:$AF,13,FALSE),
IF(Investment_Strategy="DIY",DIY_ExtManChrge_FuturePremiums,
"Error"))))))</f>
        <v>0</v>
      </c>
      <c r="W486" s="16">
        <f t="shared" si="302"/>
        <v>0</v>
      </c>
      <c r="X486" s="16">
        <f t="shared" si="279"/>
        <v>0</v>
      </c>
      <c r="Y486" s="16">
        <f t="shared" si="280"/>
        <v>0</v>
      </c>
      <c r="Z486" s="31">
        <f t="shared" si="281"/>
        <v>0.02</v>
      </c>
      <c r="AA486" s="16">
        <f t="shared" si="282"/>
        <v>0</v>
      </c>
      <c r="AB486" s="28">
        <f t="shared" si="303"/>
        <v>0</v>
      </c>
      <c r="AC486" s="28">
        <f>(SUM($AC$91:AC485)+SUM($X$91:X485)+X486)*T486*IF(D486=$A$91,SRP_finalmonthfactor,1)</f>
        <v>0</v>
      </c>
      <c r="AD486" s="16">
        <f t="shared" si="283"/>
        <v>0</v>
      </c>
      <c r="AE486" s="106"/>
      <c r="AF486" s="16">
        <f t="shared" si="291"/>
        <v>0</v>
      </c>
      <c r="AG486" s="16">
        <f t="shared" si="292"/>
        <v>0</v>
      </c>
      <c r="AH486" s="16">
        <f t="shared" si="293"/>
        <v>0</v>
      </c>
      <c r="AJ486" s="13">
        <f t="shared" si="304"/>
        <v>0</v>
      </c>
      <c r="AK486" s="13">
        <f t="shared" si="304"/>
        <v>0</v>
      </c>
      <c r="AL486" s="13">
        <f t="shared" si="304"/>
        <v>0</v>
      </c>
      <c r="AM486" s="13">
        <f t="shared" si="304"/>
        <v>0</v>
      </c>
      <c r="AN486" s="13">
        <f t="shared" si="304"/>
        <v>0</v>
      </c>
      <c r="AO486" s="13">
        <f t="shared" si="304"/>
        <v>1</v>
      </c>
      <c r="AP486" s="13">
        <f t="shared" si="304"/>
        <v>1</v>
      </c>
      <c r="AQ486" s="13">
        <f t="shared" si="304"/>
        <v>1</v>
      </c>
      <c r="AR486" s="13">
        <f t="shared" si="304"/>
        <v>0</v>
      </c>
      <c r="AS486" s="13">
        <f t="shared" si="304"/>
        <v>0</v>
      </c>
      <c r="AT486" s="13">
        <f t="shared" si="304"/>
        <v>1</v>
      </c>
      <c r="AU486" s="13">
        <f t="shared" si="304"/>
        <v>1</v>
      </c>
      <c r="AV486" s="13">
        <f t="shared" si="284"/>
        <v>0</v>
      </c>
      <c r="AW486" s="13">
        <f t="shared" si="285"/>
        <v>1</v>
      </c>
      <c r="AY486" s="17">
        <f t="shared" si="286"/>
        <v>396</v>
      </c>
      <c r="AZ486" s="28">
        <f t="shared" si="294"/>
        <v>0</v>
      </c>
      <c r="BA486" s="13">
        <f t="shared" si="287"/>
        <v>0</v>
      </c>
      <c r="BB486" s="13">
        <f t="shared" si="288"/>
        <v>0</v>
      </c>
      <c r="BC486" s="28">
        <f t="shared" si="295"/>
        <v>0</v>
      </c>
      <c r="BD486" s="28">
        <f t="shared" si="296"/>
        <v>0</v>
      </c>
      <c r="BF486" s="248">
        <f t="shared" si="297"/>
        <v>993869.29442638322</v>
      </c>
    </row>
    <row r="487" spans="1:58">
      <c r="A487" s="32">
        <f t="shared" si="298"/>
        <v>-312</v>
      </c>
      <c r="B487" s="32">
        <f t="shared" si="289"/>
        <v>86</v>
      </c>
      <c r="C487" s="32">
        <f t="shared" si="299"/>
        <v>34</v>
      </c>
      <c r="D487" s="32">
        <f t="shared" si="300"/>
        <v>397</v>
      </c>
      <c r="E487" s="74">
        <f>MIN(IF(AV487=0,0,
IF(Investment_Strategy="DIS",VLOOKUP(Investment_Strategy&amp;"_"&amp;Investment_Strategy_Sub1&amp;"_"&amp;$A487,'Investment Strategies'!$AZ:$BP,12,FALSE),
IF(AND(Investment_Strategy="Lifecycle",Investment_Strategy_Sub1="Non-Standard"),VLOOKUP(Investment_Strategy&amp;"_"&amp;Investment_Strategy_Sub2&amp;"_"&amp;$A487,'Investment Strategies'!$C:$P,9,FALSE),
IF(AND(Investment_Strategy="Lifecycle",Investment_Strategy_Sub1="Standard"),VLOOKUP(Investment_Strategy&amp;"_"&amp;Investment_Strategy_Sub2&amp;"_"&amp;$A487,'Investment Strategies'!$AJ:$AV,8,FALSE),
IF(AND(Investment_Strategy="Autopilot",Investment_Strategy_Sub1="Non-Standard"),VLOOKUP(Investment_Strategy&amp;"_"&amp;Investment_Strategy_Sub2&amp;"_"&amp;$A487,'Investment Strategies'!$T:$AF,8,FALSE),
IF(Investment_Strategy ="DIY",DIY_RateOfReturn_CurrentFunds,
"Error")))))),Max_InvReturn)</f>
        <v>0</v>
      </c>
      <c r="F487" s="62">
        <f>IF(AV487=0,0,
IF(Investment_Strategy="DIS",VLOOKUP(Investment_Strategy&amp;"_"&amp;Investment_Strategy_Sub1&amp;"_"&amp;$A487,'Investment Strategies'!$AZ:$BP,15,FALSE),
IF(AND(Investment_Strategy="Lifecycle",Investment_Strategy_Sub1="Non-Standard"),VLOOKUP(Investment_Strategy&amp;"_"&amp;Investment_Strategy_Sub2&amp;"_"&amp;$A487,'Investment Strategies'!$C:$P,12,FALSE),
IF(AND(Investment_Strategy="Lifecycle",Investment_Strategy_Sub1="Standard"),VLOOKUP(Investment_Strategy&amp;"_"&amp;Investment_Strategy_Sub2&amp;"_"&amp;$A487,'Investment Strategies'!$AJ:$AV,11,FALSE),
IF(AND(Investment_Strategy="Autopilot",Investment_Strategy_Sub1="Non-Standard"),VLOOKUP(Investment_Strategy&amp;"_"&amp;Investment_Strategy_Sub2&amp;"_"&amp;$A487,'Investment Strategies'!$T:$AF,11,FALSE),
IF(Investment_Strategy="DIY",DIY_GteeChrge_CurrentFunds,
"Error"))))))</f>
        <v>0</v>
      </c>
      <c r="G487" s="33">
        <f>IF(AV487=0,0,
IF(Investment_Strategy="DIS",VLOOKUP(Investment_Strategy&amp;"_"&amp;Investment_Strategy_Sub1&amp;"_"&amp;$A487,'Investment Strategies'!$AZ:$BP,17,FALSE),
IF(AND(Investment_Strategy="Lifecycle",Investment_Strategy_Sub1="Non-Standard"),VLOOKUP(Investment_Strategy&amp;"_"&amp;Investment_Strategy_Sub2&amp;"_"&amp;$A487,'Investment Strategies'!$C:$P,14,FALSE),
IF(AND(Investment_Strategy="Lifecycle",Investment_Strategy_Sub1="Standard"),VLOOKUP(Investment_Strategy&amp;"_"&amp;Investment_Strategy_Sub2&amp;"_"&amp;$A487,'Investment Strategies'!$AJ:$AV,13,FALSE),
IF(AND(Investment_Strategy="Autopilot",Investment_Strategy_Sub1="Non-Standard"),VLOOKUP(Investment_Strategy&amp;"_"&amp;Investment_Strategy_Sub2&amp;"_"&amp;$A487,'Investment Strategies'!$T:$AF,13,FALSE),
IF(Investment_Strategy="DIY",DIY_ExtManChrge_CurrentFunds,
"Error"))))))</f>
        <v>0</v>
      </c>
      <c r="H487" s="16">
        <f t="shared" si="290"/>
        <v>0</v>
      </c>
      <c r="I487" s="16">
        <f t="shared" si="276"/>
        <v>0</v>
      </c>
      <c r="J487" s="16">
        <f t="shared" si="277"/>
        <v>0</v>
      </c>
      <c r="K487" s="16">
        <f>(Opening_Fund_Value+SUM(K$91:K486))*E487*IF(D487=$A$91,SRP_finalmonthfactor,1)</f>
        <v>0</v>
      </c>
      <c r="L487" s="74">
        <f>MIN(IF($AV487=0,0,
IF(Investment_Strategy="DIS",VLOOKUP(Investment_Strategy&amp;"_"&amp;Investment_Strategy_Sub1&amp;"_"&amp;$A487,'Investment Strategies'!$AZ:$BP,12,FALSE),
IF(AND(Investment_Strategy="Lifecycle",Investment_Strategy_Sub1="Non-Standard"),VLOOKUP(Investment_Strategy&amp;"_"&amp;Investment_Strategy_Sub2&amp;"_"&amp;$A487,'Investment Strategies'!$C:$P,9,FALSE),
IF(AND(Investment_Strategy="Lifecycle",Investment_Strategy_Sub1="Standard"),VLOOKUP(Investment_Strategy&amp;"_"&amp;Investment_Strategy_Sub2&amp;"_"&amp;$A487,'Investment Strategies'!$AJ:$AV,8,FALSE),
IF(AND(Investment_Strategy="Autopilot",Investment_Strategy_Sub1="Non-Standard"),VLOOKUP(Investment_Strategy&amp;"_"&amp;Investment_Strategy_Sub2&amp;"_"&amp;$A487,'Investment Strategies'!$T:$AF,8,FALSE),
IF(Investment_Strategy ="DIY",DIY_RateofReturn_SP,
"Error")))))),Max_InvReturn)</f>
        <v>0</v>
      </c>
      <c r="M487" s="62">
        <f>IF($AV487=0,0,
IF(Investment_Strategy="DIS",VLOOKUP(Investment_Strategy&amp;"_"&amp;Investment_Strategy_Sub1&amp;"_"&amp;$A487,'Investment Strategies'!$AZ:$BP,15,FALSE),
IF(AND(Investment_Strategy="Lifecycle",Investment_Strategy_Sub1="Non-Standard"),VLOOKUP(Investment_Strategy&amp;"_"&amp;Investment_Strategy_Sub2&amp;"_"&amp;$A487,'Investment Strategies'!$C:$P,12,FALSE),
IF(AND(Investment_Strategy="Lifecycle",Investment_Strategy_Sub1="Standard"),VLOOKUP(Investment_Strategy&amp;"_"&amp;Investment_Strategy_Sub2&amp;"_"&amp;$A487,'Investment Strategies'!$AJ:$AV,11,FALSE),
IF(AND(Investment_Strategy="Autopilot",Investment_Strategy_Sub1="Non-Standard"),VLOOKUP(Investment_Strategy&amp;"_"&amp;Investment_Strategy_Sub2&amp;"_"&amp;$A487,'Investment Strategies'!$T:$AF,11,FALSE),
IF(Investment_Strategy="DIY",DIY_GteeChrge_SP,
"Error"))))))</f>
        <v>0</v>
      </c>
      <c r="N487" s="33">
        <f>IF($AV487=0,0,
IF(Investment_Strategy="DIS",VLOOKUP(Investment_Strategy&amp;"_"&amp;Investment_Strategy_Sub1&amp;"_"&amp;$A487,'Investment Strategies'!$AZ:$BP,17,FALSE),
IF(AND(Investment_Strategy="Lifecycle",Investment_Strategy_Sub1="Non-Standard"),VLOOKUP(Investment_Strategy&amp;"_"&amp;Investment_Strategy_Sub2&amp;"_"&amp;$A487,'Investment Strategies'!$C:$P,14,FALSE),
IF(AND(Investment_Strategy="Lifecycle",Investment_Strategy_Sub1="Standard"),VLOOKUP(Investment_Strategy&amp;"_"&amp;Investment_Strategy_Sub2&amp;"_"&amp;$A487,'Investment Strategies'!$AJ:$AV,13,FALSE),
IF(AND(Investment_Strategy="Autopilot",Investment_Strategy_Sub1="Non-Standard"),VLOOKUP(Investment_Strategy&amp;"_"&amp;Investment_Strategy_Sub2&amp;"_"&amp;$A487,'Investment Strategies'!$T:$AF,13,FALSE),
IF(Investment_Strategy="DIY",DIY_ExtManChrge_SP,
"Error"))))))</f>
        <v>0</v>
      </c>
      <c r="O487" s="16">
        <f t="shared" si="301"/>
        <v>0</v>
      </c>
      <c r="Q487" s="16">
        <f t="shared" si="278"/>
        <v>0</v>
      </c>
      <c r="R487" s="16">
        <f t="shared" si="274"/>
        <v>0</v>
      </c>
      <c r="S487" s="16">
        <f>(SRP_SP+SUM(S$91:S486))*L487*IF(D487=$A$91,SRP_finalmonthfactor,1)</f>
        <v>0</v>
      </c>
      <c r="T487" s="74">
        <f>MIN(IF($AV487=0,0,
IF(Investment_Strategy="DIS",VLOOKUP(Investment_Strategy&amp;"_"&amp;Investment_Strategy_Sub1&amp;"_"&amp;$A487,'Investment Strategies'!$AZ:$BP,12,FALSE),
IF(AND(Investment_Strategy="Lifecycle",Investment_Strategy_Sub1="Non-Standard"),VLOOKUP(Investment_Strategy&amp;"_"&amp;Investment_Strategy_Sub2&amp;"_"&amp;$A487,'Investment Strategies'!$C:$P,9,FALSE),
IF(AND(Investment_Strategy="Lifecycle",Investment_Strategy_Sub1="Standard"),VLOOKUP(Investment_Strategy&amp;"_"&amp;Investment_Strategy_Sub2&amp;"_"&amp;$A487,'Investment Strategies'!$AJ:$AV,8,FALSE),
IF(AND(Investment_Strategy="Autopilot",Investment_Strategy_Sub1="Non-Standard"),VLOOKUP(Investment_Strategy&amp;"_"&amp;Investment_Strategy_Sub2&amp;"_"&amp;$A487,'Investment Strategies'!$T:$AF,8,FALSE),
IF(Investment_Strategy ="DIY",DIY_RateOfReturn_FuturePremiums,
"Error")))))),Max_InvReturn)</f>
        <v>0</v>
      </c>
      <c r="U487" s="62">
        <f>IF($AV487=0,0,
IF(Investment_Strategy="DIS",VLOOKUP(Investment_Strategy&amp;"_"&amp;Investment_Strategy_Sub1&amp;"_"&amp;$A487,'Investment Strategies'!$AZ:$BP,15,FALSE),
IF(AND(Investment_Strategy="Lifecycle",Investment_Strategy_Sub1="Non-Standard"),VLOOKUP(Investment_Strategy&amp;"_"&amp;Investment_Strategy_Sub2&amp;"_"&amp;$A487,'Investment Strategies'!$C:$P,12,FALSE),
IF(AND(Investment_Strategy="Lifecycle",Investment_Strategy_Sub1="Standard"),VLOOKUP(Investment_Strategy&amp;"_"&amp;Investment_Strategy_Sub2&amp;"_"&amp;$A487,'Investment Strategies'!$AJ:$AV,11,FALSE),
IF(AND(Investment_Strategy="Autopilot",Investment_Strategy_Sub1="Non-Standard"),VLOOKUP(Investment_Strategy&amp;"_"&amp;Investment_Strategy_Sub2&amp;"_"&amp;$A487,'Investment Strategies'!$T:$AF,11,FALSE),
IF(Investment_Strategy="DIY",DIY_GteeChrge_FuturePremiums,
"Error"))))))</f>
        <v>0</v>
      </c>
      <c r="V487" s="33">
        <f>IF(AV487=0,0,
IF(Investment_Strategy="DIS",VLOOKUP(Investment_Strategy&amp;"_"&amp;Investment_Strategy_Sub1&amp;"_"&amp;$A487,'Investment Strategies'!$AZ:$BP,17,FALSE),
IF(AND(Investment_Strategy="Lifecycle",Investment_Strategy_Sub1="Non-Standard"),VLOOKUP(Investment_Strategy&amp;"_"&amp;Investment_Strategy_Sub2&amp;"_"&amp;$A487,'Investment Strategies'!$C:$P,14,FALSE),
IF(AND(Investment_Strategy="Lifecycle",Investment_Strategy_Sub1="Standard"),VLOOKUP(Investment_Strategy&amp;"_"&amp;Investment_Strategy_Sub2&amp;"_"&amp;$A487,'Investment Strategies'!$AJ:$AV,13,FALSE),
IF(AND(Investment_Strategy="Autopilot",Investment_Strategy_Sub1="Non-Standard"),VLOOKUP(Investment_Strategy&amp;"_"&amp;Investment_Strategy_Sub2&amp;"_"&amp;$A487,'Investment Strategies'!$T:$AF,13,FALSE),
IF(Investment_Strategy="DIY",DIY_ExtManChrge_FuturePremiums,
"Error"))))))</f>
        <v>0</v>
      </c>
      <c r="W487" s="16">
        <f t="shared" si="302"/>
        <v>0</v>
      </c>
      <c r="X487" s="16">
        <f t="shared" si="279"/>
        <v>0</v>
      </c>
      <c r="Y487" s="16">
        <f t="shared" si="280"/>
        <v>0</v>
      </c>
      <c r="Z487" s="31">
        <f t="shared" si="281"/>
        <v>0.02</v>
      </c>
      <c r="AA487" s="16">
        <f t="shared" si="282"/>
        <v>0</v>
      </c>
      <c r="AB487" s="28">
        <f t="shared" si="303"/>
        <v>0</v>
      </c>
      <c r="AC487" s="28">
        <f>(SUM($AC$91:AC486)+SUM($X$91:X486)+X487)*T487*IF(D487=$A$91,SRP_finalmonthfactor,1)</f>
        <v>0</v>
      </c>
      <c r="AD487" s="16">
        <f t="shared" si="283"/>
        <v>0</v>
      </c>
      <c r="AE487" s="106"/>
      <c r="AF487" s="16">
        <f t="shared" si="291"/>
        <v>0</v>
      </c>
      <c r="AG487" s="16">
        <f t="shared" si="292"/>
        <v>0</v>
      </c>
      <c r="AH487" s="16">
        <f t="shared" si="293"/>
        <v>0</v>
      </c>
      <c r="AJ487" s="13">
        <f t="shared" si="304"/>
        <v>0</v>
      </c>
      <c r="AK487" s="13">
        <f t="shared" si="304"/>
        <v>0</v>
      </c>
      <c r="AL487" s="13">
        <f t="shared" si="304"/>
        <v>0</v>
      </c>
      <c r="AM487" s="13">
        <f t="shared" si="304"/>
        <v>0</v>
      </c>
      <c r="AN487" s="13">
        <f t="shared" si="304"/>
        <v>0</v>
      </c>
      <c r="AO487" s="13">
        <f t="shared" si="304"/>
        <v>1</v>
      </c>
      <c r="AP487" s="13">
        <f t="shared" si="304"/>
        <v>1</v>
      </c>
      <c r="AQ487" s="13">
        <f t="shared" si="304"/>
        <v>1</v>
      </c>
      <c r="AR487" s="13">
        <f t="shared" si="304"/>
        <v>0</v>
      </c>
      <c r="AS487" s="13">
        <f t="shared" si="304"/>
        <v>0</v>
      </c>
      <c r="AT487" s="13">
        <f t="shared" si="304"/>
        <v>1</v>
      </c>
      <c r="AU487" s="13">
        <f t="shared" si="304"/>
        <v>1</v>
      </c>
      <c r="AV487" s="13">
        <f t="shared" si="284"/>
        <v>0</v>
      </c>
      <c r="AW487" s="13">
        <f t="shared" si="285"/>
        <v>1</v>
      </c>
      <c r="AY487" s="17">
        <f t="shared" si="286"/>
        <v>397</v>
      </c>
      <c r="AZ487" s="28">
        <f t="shared" si="294"/>
        <v>0</v>
      </c>
      <c r="BA487" s="13">
        <f t="shared" si="287"/>
        <v>0</v>
      </c>
      <c r="BB487" s="13">
        <f t="shared" si="288"/>
        <v>0</v>
      </c>
      <c r="BC487" s="28">
        <f t="shared" si="295"/>
        <v>0</v>
      </c>
      <c r="BD487" s="28">
        <f t="shared" si="296"/>
        <v>0</v>
      </c>
      <c r="BF487" s="248">
        <f t="shared" si="297"/>
        <v>993869.29442638322</v>
      </c>
    </row>
    <row r="488" spans="1:58">
      <c r="A488" s="32">
        <f t="shared" si="298"/>
        <v>-313</v>
      </c>
      <c r="B488" s="32">
        <f t="shared" si="289"/>
        <v>86</v>
      </c>
      <c r="C488" s="32">
        <f t="shared" si="299"/>
        <v>34</v>
      </c>
      <c r="D488" s="32">
        <f t="shared" si="300"/>
        <v>398</v>
      </c>
      <c r="E488" s="74">
        <f>MIN(IF(AV488=0,0,
IF(Investment_Strategy="DIS",VLOOKUP(Investment_Strategy&amp;"_"&amp;Investment_Strategy_Sub1&amp;"_"&amp;$A488,'Investment Strategies'!$AZ:$BP,12,FALSE),
IF(AND(Investment_Strategy="Lifecycle",Investment_Strategy_Sub1="Non-Standard"),VLOOKUP(Investment_Strategy&amp;"_"&amp;Investment_Strategy_Sub2&amp;"_"&amp;$A488,'Investment Strategies'!$C:$P,9,FALSE),
IF(AND(Investment_Strategy="Lifecycle",Investment_Strategy_Sub1="Standard"),VLOOKUP(Investment_Strategy&amp;"_"&amp;Investment_Strategy_Sub2&amp;"_"&amp;$A488,'Investment Strategies'!$AJ:$AV,8,FALSE),
IF(AND(Investment_Strategy="Autopilot",Investment_Strategy_Sub1="Non-Standard"),VLOOKUP(Investment_Strategy&amp;"_"&amp;Investment_Strategy_Sub2&amp;"_"&amp;$A488,'Investment Strategies'!$T:$AF,8,FALSE),
IF(Investment_Strategy ="DIY",DIY_RateOfReturn_CurrentFunds,
"Error")))))),Max_InvReturn)</f>
        <v>0</v>
      </c>
      <c r="F488" s="62">
        <f>IF(AV488=0,0,
IF(Investment_Strategy="DIS",VLOOKUP(Investment_Strategy&amp;"_"&amp;Investment_Strategy_Sub1&amp;"_"&amp;$A488,'Investment Strategies'!$AZ:$BP,15,FALSE),
IF(AND(Investment_Strategy="Lifecycle",Investment_Strategy_Sub1="Non-Standard"),VLOOKUP(Investment_Strategy&amp;"_"&amp;Investment_Strategy_Sub2&amp;"_"&amp;$A488,'Investment Strategies'!$C:$P,12,FALSE),
IF(AND(Investment_Strategy="Lifecycle",Investment_Strategy_Sub1="Standard"),VLOOKUP(Investment_Strategy&amp;"_"&amp;Investment_Strategy_Sub2&amp;"_"&amp;$A488,'Investment Strategies'!$AJ:$AV,11,FALSE),
IF(AND(Investment_Strategy="Autopilot",Investment_Strategy_Sub1="Non-Standard"),VLOOKUP(Investment_Strategy&amp;"_"&amp;Investment_Strategy_Sub2&amp;"_"&amp;$A488,'Investment Strategies'!$T:$AF,11,FALSE),
IF(Investment_Strategy="DIY",DIY_GteeChrge_CurrentFunds,
"Error"))))))</f>
        <v>0</v>
      </c>
      <c r="G488" s="33">
        <f>IF(AV488=0,0,
IF(Investment_Strategy="DIS",VLOOKUP(Investment_Strategy&amp;"_"&amp;Investment_Strategy_Sub1&amp;"_"&amp;$A488,'Investment Strategies'!$AZ:$BP,17,FALSE),
IF(AND(Investment_Strategy="Lifecycle",Investment_Strategy_Sub1="Non-Standard"),VLOOKUP(Investment_Strategy&amp;"_"&amp;Investment_Strategy_Sub2&amp;"_"&amp;$A488,'Investment Strategies'!$C:$P,14,FALSE),
IF(AND(Investment_Strategy="Lifecycle",Investment_Strategy_Sub1="Standard"),VLOOKUP(Investment_Strategy&amp;"_"&amp;Investment_Strategy_Sub2&amp;"_"&amp;$A488,'Investment Strategies'!$AJ:$AV,13,FALSE),
IF(AND(Investment_Strategy="Autopilot",Investment_Strategy_Sub1="Non-Standard"),VLOOKUP(Investment_Strategy&amp;"_"&amp;Investment_Strategy_Sub2&amp;"_"&amp;$A488,'Investment Strategies'!$T:$AF,13,FALSE),
IF(Investment_Strategy="DIY",DIY_ExtManChrge_CurrentFunds,
"Error"))))))</f>
        <v>0</v>
      </c>
      <c r="H488" s="16">
        <f t="shared" si="290"/>
        <v>0</v>
      </c>
      <c r="I488" s="16">
        <f t="shared" si="276"/>
        <v>0</v>
      </c>
      <c r="J488" s="16">
        <f t="shared" si="277"/>
        <v>0</v>
      </c>
      <c r="K488" s="16">
        <f>(Opening_Fund_Value+SUM(K$91:K487))*E488*IF(D488=$A$91,SRP_finalmonthfactor,1)</f>
        <v>0</v>
      </c>
      <c r="L488" s="74">
        <f>MIN(IF($AV488=0,0,
IF(Investment_Strategy="DIS",VLOOKUP(Investment_Strategy&amp;"_"&amp;Investment_Strategy_Sub1&amp;"_"&amp;$A488,'Investment Strategies'!$AZ:$BP,12,FALSE),
IF(AND(Investment_Strategy="Lifecycle",Investment_Strategy_Sub1="Non-Standard"),VLOOKUP(Investment_Strategy&amp;"_"&amp;Investment_Strategy_Sub2&amp;"_"&amp;$A488,'Investment Strategies'!$C:$P,9,FALSE),
IF(AND(Investment_Strategy="Lifecycle",Investment_Strategy_Sub1="Standard"),VLOOKUP(Investment_Strategy&amp;"_"&amp;Investment_Strategy_Sub2&amp;"_"&amp;$A488,'Investment Strategies'!$AJ:$AV,8,FALSE),
IF(AND(Investment_Strategy="Autopilot",Investment_Strategy_Sub1="Non-Standard"),VLOOKUP(Investment_Strategy&amp;"_"&amp;Investment_Strategy_Sub2&amp;"_"&amp;$A488,'Investment Strategies'!$T:$AF,8,FALSE),
IF(Investment_Strategy ="DIY",DIY_RateofReturn_SP,
"Error")))))),Max_InvReturn)</f>
        <v>0</v>
      </c>
      <c r="M488" s="62">
        <f>IF($AV488=0,0,
IF(Investment_Strategy="DIS",VLOOKUP(Investment_Strategy&amp;"_"&amp;Investment_Strategy_Sub1&amp;"_"&amp;$A488,'Investment Strategies'!$AZ:$BP,15,FALSE),
IF(AND(Investment_Strategy="Lifecycle",Investment_Strategy_Sub1="Non-Standard"),VLOOKUP(Investment_Strategy&amp;"_"&amp;Investment_Strategy_Sub2&amp;"_"&amp;$A488,'Investment Strategies'!$C:$P,12,FALSE),
IF(AND(Investment_Strategy="Lifecycle",Investment_Strategy_Sub1="Standard"),VLOOKUP(Investment_Strategy&amp;"_"&amp;Investment_Strategy_Sub2&amp;"_"&amp;$A488,'Investment Strategies'!$AJ:$AV,11,FALSE),
IF(AND(Investment_Strategy="Autopilot",Investment_Strategy_Sub1="Non-Standard"),VLOOKUP(Investment_Strategy&amp;"_"&amp;Investment_Strategy_Sub2&amp;"_"&amp;$A488,'Investment Strategies'!$T:$AF,11,FALSE),
IF(Investment_Strategy="DIY",DIY_GteeChrge_SP,
"Error"))))))</f>
        <v>0</v>
      </c>
      <c r="N488" s="33">
        <f>IF($AV488=0,0,
IF(Investment_Strategy="DIS",VLOOKUP(Investment_Strategy&amp;"_"&amp;Investment_Strategy_Sub1&amp;"_"&amp;$A488,'Investment Strategies'!$AZ:$BP,17,FALSE),
IF(AND(Investment_Strategy="Lifecycle",Investment_Strategy_Sub1="Non-Standard"),VLOOKUP(Investment_Strategy&amp;"_"&amp;Investment_Strategy_Sub2&amp;"_"&amp;$A488,'Investment Strategies'!$C:$P,14,FALSE),
IF(AND(Investment_Strategy="Lifecycle",Investment_Strategy_Sub1="Standard"),VLOOKUP(Investment_Strategy&amp;"_"&amp;Investment_Strategy_Sub2&amp;"_"&amp;$A488,'Investment Strategies'!$AJ:$AV,13,FALSE),
IF(AND(Investment_Strategy="Autopilot",Investment_Strategy_Sub1="Non-Standard"),VLOOKUP(Investment_Strategy&amp;"_"&amp;Investment_Strategy_Sub2&amp;"_"&amp;$A488,'Investment Strategies'!$T:$AF,13,FALSE),
IF(Investment_Strategy="DIY",DIY_ExtManChrge_SP,
"Error"))))))</f>
        <v>0</v>
      </c>
      <c r="O488" s="16">
        <f t="shared" si="301"/>
        <v>0</v>
      </c>
      <c r="Q488" s="16">
        <f t="shared" si="278"/>
        <v>0</v>
      </c>
      <c r="R488" s="16">
        <f t="shared" si="274"/>
        <v>0</v>
      </c>
      <c r="S488" s="16">
        <f>(SRP_SP+SUM(S$91:S487))*L488*IF(D488=$A$91,SRP_finalmonthfactor,1)</f>
        <v>0</v>
      </c>
      <c r="T488" s="74">
        <f>MIN(IF($AV488=0,0,
IF(Investment_Strategy="DIS",VLOOKUP(Investment_Strategy&amp;"_"&amp;Investment_Strategy_Sub1&amp;"_"&amp;$A488,'Investment Strategies'!$AZ:$BP,12,FALSE),
IF(AND(Investment_Strategy="Lifecycle",Investment_Strategy_Sub1="Non-Standard"),VLOOKUP(Investment_Strategy&amp;"_"&amp;Investment_Strategy_Sub2&amp;"_"&amp;$A488,'Investment Strategies'!$C:$P,9,FALSE),
IF(AND(Investment_Strategy="Lifecycle",Investment_Strategy_Sub1="Standard"),VLOOKUP(Investment_Strategy&amp;"_"&amp;Investment_Strategy_Sub2&amp;"_"&amp;$A488,'Investment Strategies'!$AJ:$AV,8,FALSE),
IF(AND(Investment_Strategy="Autopilot",Investment_Strategy_Sub1="Non-Standard"),VLOOKUP(Investment_Strategy&amp;"_"&amp;Investment_Strategy_Sub2&amp;"_"&amp;$A488,'Investment Strategies'!$T:$AF,8,FALSE),
IF(Investment_Strategy ="DIY",DIY_RateOfReturn_FuturePremiums,
"Error")))))),Max_InvReturn)</f>
        <v>0</v>
      </c>
      <c r="U488" s="62">
        <f>IF($AV488=0,0,
IF(Investment_Strategy="DIS",VLOOKUP(Investment_Strategy&amp;"_"&amp;Investment_Strategy_Sub1&amp;"_"&amp;$A488,'Investment Strategies'!$AZ:$BP,15,FALSE),
IF(AND(Investment_Strategy="Lifecycle",Investment_Strategy_Sub1="Non-Standard"),VLOOKUP(Investment_Strategy&amp;"_"&amp;Investment_Strategy_Sub2&amp;"_"&amp;$A488,'Investment Strategies'!$C:$P,12,FALSE),
IF(AND(Investment_Strategy="Lifecycle",Investment_Strategy_Sub1="Standard"),VLOOKUP(Investment_Strategy&amp;"_"&amp;Investment_Strategy_Sub2&amp;"_"&amp;$A488,'Investment Strategies'!$AJ:$AV,11,FALSE),
IF(AND(Investment_Strategy="Autopilot",Investment_Strategy_Sub1="Non-Standard"),VLOOKUP(Investment_Strategy&amp;"_"&amp;Investment_Strategy_Sub2&amp;"_"&amp;$A488,'Investment Strategies'!$T:$AF,11,FALSE),
IF(Investment_Strategy="DIY",DIY_GteeChrge_FuturePremiums,
"Error"))))))</f>
        <v>0</v>
      </c>
      <c r="V488" s="33">
        <f>IF(AV488=0,0,
IF(Investment_Strategy="DIS",VLOOKUP(Investment_Strategy&amp;"_"&amp;Investment_Strategy_Sub1&amp;"_"&amp;$A488,'Investment Strategies'!$AZ:$BP,17,FALSE),
IF(AND(Investment_Strategy="Lifecycle",Investment_Strategy_Sub1="Non-Standard"),VLOOKUP(Investment_Strategy&amp;"_"&amp;Investment_Strategy_Sub2&amp;"_"&amp;$A488,'Investment Strategies'!$C:$P,14,FALSE),
IF(AND(Investment_Strategy="Lifecycle",Investment_Strategy_Sub1="Standard"),VLOOKUP(Investment_Strategy&amp;"_"&amp;Investment_Strategy_Sub2&amp;"_"&amp;$A488,'Investment Strategies'!$AJ:$AV,13,FALSE),
IF(AND(Investment_Strategy="Autopilot",Investment_Strategy_Sub1="Non-Standard"),VLOOKUP(Investment_Strategy&amp;"_"&amp;Investment_Strategy_Sub2&amp;"_"&amp;$A488,'Investment Strategies'!$T:$AF,13,FALSE),
IF(Investment_Strategy="DIY",DIY_ExtManChrge_FuturePremiums,
"Error"))))))</f>
        <v>0</v>
      </c>
      <c r="W488" s="16">
        <f t="shared" si="302"/>
        <v>0</v>
      </c>
      <c r="X488" s="16">
        <f t="shared" si="279"/>
        <v>0</v>
      </c>
      <c r="Y488" s="16">
        <f t="shared" si="280"/>
        <v>0</v>
      </c>
      <c r="Z488" s="31">
        <f t="shared" si="281"/>
        <v>0.02</v>
      </c>
      <c r="AA488" s="16">
        <f t="shared" si="282"/>
        <v>0</v>
      </c>
      <c r="AB488" s="28">
        <f t="shared" si="303"/>
        <v>0</v>
      </c>
      <c r="AC488" s="28">
        <f>(SUM($AC$91:AC487)+SUM($X$91:X487)+X488)*T488*IF(D488=$A$91,SRP_finalmonthfactor,1)</f>
        <v>0</v>
      </c>
      <c r="AD488" s="16">
        <f t="shared" si="283"/>
        <v>0</v>
      </c>
      <c r="AE488" s="106"/>
      <c r="AF488" s="16">
        <f t="shared" si="291"/>
        <v>0</v>
      </c>
      <c r="AG488" s="16">
        <f t="shared" si="292"/>
        <v>0</v>
      </c>
      <c r="AH488" s="16">
        <f t="shared" si="293"/>
        <v>0</v>
      </c>
      <c r="AJ488" s="13">
        <f t="shared" si="304"/>
        <v>0</v>
      </c>
      <c r="AK488" s="13">
        <f t="shared" si="304"/>
        <v>0</v>
      </c>
      <c r="AL488" s="13">
        <f t="shared" si="304"/>
        <v>0</v>
      </c>
      <c r="AM488" s="13">
        <f t="shared" si="304"/>
        <v>0</v>
      </c>
      <c r="AN488" s="13">
        <f t="shared" si="304"/>
        <v>0</v>
      </c>
      <c r="AO488" s="13">
        <f t="shared" si="304"/>
        <v>1</v>
      </c>
      <c r="AP488" s="13">
        <f t="shared" si="304"/>
        <v>1</v>
      </c>
      <c r="AQ488" s="13">
        <f t="shared" si="304"/>
        <v>1</v>
      </c>
      <c r="AR488" s="13">
        <f t="shared" si="304"/>
        <v>0</v>
      </c>
      <c r="AS488" s="13">
        <f t="shared" si="304"/>
        <v>0</v>
      </c>
      <c r="AT488" s="13">
        <f t="shared" si="304"/>
        <v>1</v>
      </c>
      <c r="AU488" s="13">
        <f t="shared" si="304"/>
        <v>1</v>
      </c>
      <c r="AV488" s="13">
        <f t="shared" si="284"/>
        <v>0</v>
      </c>
      <c r="AW488" s="13">
        <f t="shared" si="285"/>
        <v>1</v>
      </c>
      <c r="AY488" s="17">
        <f t="shared" si="286"/>
        <v>398</v>
      </c>
      <c r="AZ488" s="28">
        <f t="shared" si="294"/>
        <v>0</v>
      </c>
      <c r="BA488" s="13">
        <f t="shared" si="287"/>
        <v>0</v>
      </c>
      <c r="BB488" s="13">
        <f t="shared" si="288"/>
        <v>0</v>
      </c>
      <c r="BC488" s="28">
        <f t="shared" si="295"/>
        <v>0</v>
      </c>
      <c r="BD488" s="28">
        <f t="shared" si="296"/>
        <v>0</v>
      </c>
      <c r="BF488" s="248">
        <f t="shared" si="297"/>
        <v>993869.29442638322</v>
      </c>
    </row>
    <row r="489" spans="1:58">
      <c r="A489" s="32">
        <f t="shared" si="298"/>
        <v>-314</v>
      </c>
      <c r="B489" s="32">
        <f t="shared" si="289"/>
        <v>86</v>
      </c>
      <c r="C489" s="32">
        <f t="shared" si="299"/>
        <v>34</v>
      </c>
      <c r="D489" s="32">
        <f t="shared" si="300"/>
        <v>399</v>
      </c>
      <c r="E489" s="74">
        <f>MIN(IF(AV489=0,0,
IF(Investment_Strategy="DIS",VLOOKUP(Investment_Strategy&amp;"_"&amp;Investment_Strategy_Sub1&amp;"_"&amp;$A489,'Investment Strategies'!$AZ:$BP,12,FALSE),
IF(AND(Investment_Strategy="Lifecycle",Investment_Strategy_Sub1="Non-Standard"),VLOOKUP(Investment_Strategy&amp;"_"&amp;Investment_Strategy_Sub2&amp;"_"&amp;$A489,'Investment Strategies'!$C:$P,9,FALSE),
IF(AND(Investment_Strategy="Lifecycle",Investment_Strategy_Sub1="Standard"),VLOOKUP(Investment_Strategy&amp;"_"&amp;Investment_Strategy_Sub2&amp;"_"&amp;$A489,'Investment Strategies'!$AJ:$AV,8,FALSE),
IF(AND(Investment_Strategy="Autopilot",Investment_Strategy_Sub1="Non-Standard"),VLOOKUP(Investment_Strategy&amp;"_"&amp;Investment_Strategy_Sub2&amp;"_"&amp;$A489,'Investment Strategies'!$T:$AF,8,FALSE),
IF(Investment_Strategy ="DIY",DIY_RateOfReturn_CurrentFunds,
"Error")))))),Max_InvReturn)</f>
        <v>0</v>
      </c>
      <c r="F489" s="62">
        <f>IF(AV489=0,0,
IF(Investment_Strategy="DIS",VLOOKUP(Investment_Strategy&amp;"_"&amp;Investment_Strategy_Sub1&amp;"_"&amp;$A489,'Investment Strategies'!$AZ:$BP,15,FALSE),
IF(AND(Investment_Strategy="Lifecycle",Investment_Strategy_Sub1="Non-Standard"),VLOOKUP(Investment_Strategy&amp;"_"&amp;Investment_Strategy_Sub2&amp;"_"&amp;$A489,'Investment Strategies'!$C:$P,12,FALSE),
IF(AND(Investment_Strategy="Lifecycle",Investment_Strategy_Sub1="Standard"),VLOOKUP(Investment_Strategy&amp;"_"&amp;Investment_Strategy_Sub2&amp;"_"&amp;$A489,'Investment Strategies'!$AJ:$AV,11,FALSE),
IF(AND(Investment_Strategy="Autopilot",Investment_Strategy_Sub1="Non-Standard"),VLOOKUP(Investment_Strategy&amp;"_"&amp;Investment_Strategy_Sub2&amp;"_"&amp;$A489,'Investment Strategies'!$T:$AF,11,FALSE),
IF(Investment_Strategy="DIY",DIY_GteeChrge_CurrentFunds,
"Error"))))))</f>
        <v>0</v>
      </c>
      <c r="G489" s="33">
        <f>IF(AV489=0,0,
IF(Investment_Strategy="DIS",VLOOKUP(Investment_Strategy&amp;"_"&amp;Investment_Strategy_Sub1&amp;"_"&amp;$A489,'Investment Strategies'!$AZ:$BP,17,FALSE),
IF(AND(Investment_Strategy="Lifecycle",Investment_Strategy_Sub1="Non-Standard"),VLOOKUP(Investment_Strategy&amp;"_"&amp;Investment_Strategy_Sub2&amp;"_"&amp;$A489,'Investment Strategies'!$C:$P,14,FALSE),
IF(AND(Investment_Strategy="Lifecycle",Investment_Strategy_Sub1="Standard"),VLOOKUP(Investment_Strategy&amp;"_"&amp;Investment_Strategy_Sub2&amp;"_"&amp;$A489,'Investment Strategies'!$AJ:$AV,13,FALSE),
IF(AND(Investment_Strategy="Autopilot",Investment_Strategy_Sub1="Non-Standard"),VLOOKUP(Investment_Strategy&amp;"_"&amp;Investment_Strategy_Sub2&amp;"_"&amp;$A489,'Investment Strategies'!$T:$AF,13,FALSE),
IF(Investment_Strategy="DIY",DIY_ExtManChrge_CurrentFunds,
"Error"))))))</f>
        <v>0</v>
      </c>
      <c r="H489" s="16">
        <f t="shared" si="290"/>
        <v>0</v>
      </c>
      <c r="I489" s="16">
        <f t="shared" si="276"/>
        <v>0</v>
      </c>
      <c r="J489" s="16">
        <f t="shared" si="277"/>
        <v>0</v>
      </c>
      <c r="K489" s="16">
        <f>(Opening_Fund_Value+SUM(K$91:K488))*E489*IF(D489=$A$91,SRP_finalmonthfactor,1)</f>
        <v>0</v>
      </c>
      <c r="L489" s="74">
        <f>MIN(IF($AV489=0,0,
IF(Investment_Strategy="DIS",VLOOKUP(Investment_Strategy&amp;"_"&amp;Investment_Strategy_Sub1&amp;"_"&amp;$A489,'Investment Strategies'!$AZ:$BP,12,FALSE),
IF(AND(Investment_Strategy="Lifecycle",Investment_Strategy_Sub1="Non-Standard"),VLOOKUP(Investment_Strategy&amp;"_"&amp;Investment_Strategy_Sub2&amp;"_"&amp;$A489,'Investment Strategies'!$C:$P,9,FALSE),
IF(AND(Investment_Strategy="Lifecycle",Investment_Strategy_Sub1="Standard"),VLOOKUP(Investment_Strategy&amp;"_"&amp;Investment_Strategy_Sub2&amp;"_"&amp;$A489,'Investment Strategies'!$AJ:$AV,8,FALSE),
IF(AND(Investment_Strategy="Autopilot",Investment_Strategy_Sub1="Non-Standard"),VLOOKUP(Investment_Strategy&amp;"_"&amp;Investment_Strategy_Sub2&amp;"_"&amp;$A489,'Investment Strategies'!$T:$AF,8,FALSE),
IF(Investment_Strategy ="DIY",DIY_RateofReturn_SP,
"Error")))))),Max_InvReturn)</f>
        <v>0</v>
      </c>
      <c r="M489" s="62">
        <f>IF($AV489=0,0,
IF(Investment_Strategy="DIS",VLOOKUP(Investment_Strategy&amp;"_"&amp;Investment_Strategy_Sub1&amp;"_"&amp;$A489,'Investment Strategies'!$AZ:$BP,15,FALSE),
IF(AND(Investment_Strategy="Lifecycle",Investment_Strategy_Sub1="Non-Standard"),VLOOKUP(Investment_Strategy&amp;"_"&amp;Investment_Strategy_Sub2&amp;"_"&amp;$A489,'Investment Strategies'!$C:$P,12,FALSE),
IF(AND(Investment_Strategy="Lifecycle",Investment_Strategy_Sub1="Standard"),VLOOKUP(Investment_Strategy&amp;"_"&amp;Investment_Strategy_Sub2&amp;"_"&amp;$A489,'Investment Strategies'!$AJ:$AV,11,FALSE),
IF(AND(Investment_Strategy="Autopilot",Investment_Strategy_Sub1="Non-Standard"),VLOOKUP(Investment_Strategy&amp;"_"&amp;Investment_Strategy_Sub2&amp;"_"&amp;$A489,'Investment Strategies'!$T:$AF,11,FALSE),
IF(Investment_Strategy="DIY",DIY_GteeChrge_SP,
"Error"))))))</f>
        <v>0</v>
      </c>
      <c r="N489" s="33">
        <f>IF($AV489=0,0,
IF(Investment_Strategy="DIS",VLOOKUP(Investment_Strategy&amp;"_"&amp;Investment_Strategy_Sub1&amp;"_"&amp;$A489,'Investment Strategies'!$AZ:$BP,17,FALSE),
IF(AND(Investment_Strategy="Lifecycle",Investment_Strategy_Sub1="Non-Standard"),VLOOKUP(Investment_Strategy&amp;"_"&amp;Investment_Strategy_Sub2&amp;"_"&amp;$A489,'Investment Strategies'!$C:$P,14,FALSE),
IF(AND(Investment_Strategy="Lifecycle",Investment_Strategy_Sub1="Standard"),VLOOKUP(Investment_Strategy&amp;"_"&amp;Investment_Strategy_Sub2&amp;"_"&amp;$A489,'Investment Strategies'!$AJ:$AV,13,FALSE),
IF(AND(Investment_Strategy="Autopilot",Investment_Strategy_Sub1="Non-Standard"),VLOOKUP(Investment_Strategy&amp;"_"&amp;Investment_Strategy_Sub2&amp;"_"&amp;$A489,'Investment Strategies'!$T:$AF,13,FALSE),
IF(Investment_Strategy="DIY",DIY_ExtManChrge_SP,
"Error"))))))</f>
        <v>0</v>
      </c>
      <c r="O489" s="16">
        <f t="shared" si="301"/>
        <v>0</v>
      </c>
      <c r="Q489" s="16">
        <f t="shared" si="278"/>
        <v>0</v>
      </c>
      <c r="R489" s="16">
        <f t="shared" si="274"/>
        <v>0</v>
      </c>
      <c r="S489" s="16">
        <f>(SRP_SP+SUM(S$91:S488))*L489*IF(D489=$A$91,SRP_finalmonthfactor,1)</f>
        <v>0</v>
      </c>
      <c r="T489" s="74">
        <f>MIN(IF($AV489=0,0,
IF(Investment_Strategy="DIS",VLOOKUP(Investment_Strategy&amp;"_"&amp;Investment_Strategy_Sub1&amp;"_"&amp;$A489,'Investment Strategies'!$AZ:$BP,12,FALSE),
IF(AND(Investment_Strategy="Lifecycle",Investment_Strategy_Sub1="Non-Standard"),VLOOKUP(Investment_Strategy&amp;"_"&amp;Investment_Strategy_Sub2&amp;"_"&amp;$A489,'Investment Strategies'!$C:$P,9,FALSE),
IF(AND(Investment_Strategy="Lifecycle",Investment_Strategy_Sub1="Standard"),VLOOKUP(Investment_Strategy&amp;"_"&amp;Investment_Strategy_Sub2&amp;"_"&amp;$A489,'Investment Strategies'!$AJ:$AV,8,FALSE),
IF(AND(Investment_Strategy="Autopilot",Investment_Strategy_Sub1="Non-Standard"),VLOOKUP(Investment_Strategy&amp;"_"&amp;Investment_Strategy_Sub2&amp;"_"&amp;$A489,'Investment Strategies'!$T:$AF,8,FALSE),
IF(Investment_Strategy ="DIY",DIY_RateOfReturn_FuturePremiums,
"Error")))))),Max_InvReturn)</f>
        <v>0</v>
      </c>
      <c r="U489" s="62">
        <f>IF($AV489=0,0,
IF(Investment_Strategy="DIS",VLOOKUP(Investment_Strategy&amp;"_"&amp;Investment_Strategy_Sub1&amp;"_"&amp;$A489,'Investment Strategies'!$AZ:$BP,15,FALSE),
IF(AND(Investment_Strategy="Lifecycle",Investment_Strategy_Sub1="Non-Standard"),VLOOKUP(Investment_Strategy&amp;"_"&amp;Investment_Strategy_Sub2&amp;"_"&amp;$A489,'Investment Strategies'!$C:$P,12,FALSE),
IF(AND(Investment_Strategy="Lifecycle",Investment_Strategy_Sub1="Standard"),VLOOKUP(Investment_Strategy&amp;"_"&amp;Investment_Strategy_Sub2&amp;"_"&amp;$A489,'Investment Strategies'!$AJ:$AV,11,FALSE),
IF(AND(Investment_Strategy="Autopilot",Investment_Strategy_Sub1="Non-Standard"),VLOOKUP(Investment_Strategy&amp;"_"&amp;Investment_Strategy_Sub2&amp;"_"&amp;$A489,'Investment Strategies'!$T:$AF,11,FALSE),
IF(Investment_Strategy="DIY",DIY_GteeChrge_FuturePremiums,
"Error"))))))</f>
        <v>0</v>
      </c>
      <c r="V489" s="33">
        <f>IF(AV489=0,0,
IF(Investment_Strategy="DIS",VLOOKUP(Investment_Strategy&amp;"_"&amp;Investment_Strategy_Sub1&amp;"_"&amp;$A489,'Investment Strategies'!$AZ:$BP,17,FALSE),
IF(AND(Investment_Strategy="Lifecycle",Investment_Strategy_Sub1="Non-Standard"),VLOOKUP(Investment_Strategy&amp;"_"&amp;Investment_Strategy_Sub2&amp;"_"&amp;$A489,'Investment Strategies'!$C:$P,14,FALSE),
IF(AND(Investment_Strategy="Lifecycle",Investment_Strategy_Sub1="Standard"),VLOOKUP(Investment_Strategy&amp;"_"&amp;Investment_Strategy_Sub2&amp;"_"&amp;$A489,'Investment Strategies'!$AJ:$AV,13,FALSE),
IF(AND(Investment_Strategy="Autopilot",Investment_Strategy_Sub1="Non-Standard"),VLOOKUP(Investment_Strategy&amp;"_"&amp;Investment_Strategy_Sub2&amp;"_"&amp;$A489,'Investment Strategies'!$T:$AF,13,FALSE),
IF(Investment_Strategy="DIY",DIY_ExtManChrge_FuturePremiums,
"Error"))))))</f>
        <v>0</v>
      </c>
      <c r="W489" s="16">
        <f t="shared" si="302"/>
        <v>0</v>
      </c>
      <c r="X489" s="16">
        <f t="shared" si="279"/>
        <v>0</v>
      </c>
      <c r="Y489" s="16">
        <f t="shared" si="280"/>
        <v>0</v>
      </c>
      <c r="Z489" s="31">
        <f t="shared" si="281"/>
        <v>0.02</v>
      </c>
      <c r="AA489" s="16">
        <f t="shared" si="282"/>
        <v>0</v>
      </c>
      <c r="AB489" s="28">
        <f t="shared" si="303"/>
        <v>0</v>
      </c>
      <c r="AC489" s="28">
        <f>(SUM($AC$91:AC488)+SUM($X$91:X488)+X489)*T489*IF(D489=$A$91,SRP_finalmonthfactor,1)</f>
        <v>0</v>
      </c>
      <c r="AD489" s="16">
        <f t="shared" si="283"/>
        <v>0</v>
      </c>
      <c r="AE489" s="106"/>
      <c r="AF489" s="16">
        <f t="shared" si="291"/>
        <v>0</v>
      </c>
      <c r="AG489" s="16">
        <f t="shared" si="292"/>
        <v>0</v>
      </c>
      <c r="AH489" s="16">
        <f t="shared" si="293"/>
        <v>0</v>
      </c>
      <c r="AJ489" s="13">
        <f t="shared" si="304"/>
        <v>0</v>
      </c>
      <c r="AK489" s="13">
        <f t="shared" si="304"/>
        <v>0</v>
      </c>
      <c r="AL489" s="13">
        <f t="shared" si="304"/>
        <v>0</v>
      </c>
      <c r="AM489" s="13">
        <f t="shared" si="304"/>
        <v>0</v>
      </c>
      <c r="AN489" s="13">
        <f t="shared" si="304"/>
        <v>0</v>
      </c>
      <c r="AO489" s="13">
        <f t="shared" si="304"/>
        <v>1</v>
      </c>
      <c r="AP489" s="13">
        <f t="shared" si="304"/>
        <v>1</v>
      </c>
      <c r="AQ489" s="13">
        <f t="shared" si="304"/>
        <v>1</v>
      </c>
      <c r="AR489" s="13">
        <f t="shared" si="304"/>
        <v>0</v>
      </c>
      <c r="AS489" s="13">
        <f t="shared" si="304"/>
        <v>0</v>
      </c>
      <c r="AT489" s="13">
        <f t="shared" si="304"/>
        <v>1</v>
      </c>
      <c r="AU489" s="13">
        <f t="shared" si="304"/>
        <v>1</v>
      </c>
      <c r="AV489" s="13">
        <f t="shared" si="284"/>
        <v>0</v>
      </c>
      <c r="AW489" s="13">
        <f t="shared" si="285"/>
        <v>1</v>
      </c>
      <c r="AY489" s="17">
        <f t="shared" si="286"/>
        <v>399</v>
      </c>
      <c r="AZ489" s="28">
        <f t="shared" si="294"/>
        <v>0</v>
      </c>
      <c r="BA489" s="13">
        <f t="shared" si="287"/>
        <v>0</v>
      </c>
      <c r="BB489" s="13">
        <f t="shared" si="288"/>
        <v>0</v>
      </c>
      <c r="BC489" s="28">
        <f t="shared" si="295"/>
        <v>0</v>
      </c>
      <c r="BD489" s="28">
        <f t="shared" si="296"/>
        <v>0</v>
      </c>
      <c r="BF489" s="248">
        <f t="shared" si="297"/>
        <v>993869.29442638322</v>
      </c>
    </row>
    <row r="490" spans="1:58">
      <c r="A490" s="32">
        <f t="shared" si="298"/>
        <v>-315</v>
      </c>
      <c r="B490" s="32">
        <f t="shared" si="289"/>
        <v>86</v>
      </c>
      <c r="C490" s="32">
        <f t="shared" si="299"/>
        <v>34</v>
      </c>
      <c r="D490" s="32">
        <f t="shared" si="300"/>
        <v>400</v>
      </c>
      <c r="E490" s="74">
        <f>MIN(IF(AV490=0,0,
IF(Investment_Strategy="DIS",VLOOKUP(Investment_Strategy&amp;"_"&amp;Investment_Strategy_Sub1&amp;"_"&amp;$A490,'Investment Strategies'!$AZ:$BP,12,FALSE),
IF(AND(Investment_Strategy="Lifecycle",Investment_Strategy_Sub1="Non-Standard"),VLOOKUP(Investment_Strategy&amp;"_"&amp;Investment_Strategy_Sub2&amp;"_"&amp;$A490,'Investment Strategies'!$C:$P,9,FALSE),
IF(AND(Investment_Strategy="Lifecycle",Investment_Strategy_Sub1="Standard"),VLOOKUP(Investment_Strategy&amp;"_"&amp;Investment_Strategy_Sub2&amp;"_"&amp;$A490,'Investment Strategies'!$AJ:$AV,8,FALSE),
IF(AND(Investment_Strategy="Autopilot",Investment_Strategy_Sub1="Non-Standard"),VLOOKUP(Investment_Strategy&amp;"_"&amp;Investment_Strategy_Sub2&amp;"_"&amp;$A490,'Investment Strategies'!$T:$AF,8,FALSE),
IF(Investment_Strategy ="DIY",DIY_RateOfReturn_CurrentFunds,
"Error")))))),Max_InvReturn)</f>
        <v>0</v>
      </c>
      <c r="F490" s="62">
        <f>IF(AV490=0,0,
IF(Investment_Strategy="DIS",VLOOKUP(Investment_Strategy&amp;"_"&amp;Investment_Strategy_Sub1&amp;"_"&amp;$A490,'Investment Strategies'!$AZ:$BP,15,FALSE),
IF(AND(Investment_Strategy="Lifecycle",Investment_Strategy_Sub1="Non-Standard"),VLOOKUP(Investment_Strategy&amp;"_"&amp;Investment_Strategy_Sub2&amp;"_"&amp;$A490,'Investment Strategies'!$C:$P,12,FALSE),
IF(AND(Investment_Strategy="Lifecycle",Investment_Strategy_Sub1="Standard"),VLOOKUP(Investment_Strategy&amp;"_"&amp;Investment_Strategy_Sub2&amp;"_"&amp;$A490,'Investment Strategies'!$AJ:$AV,11,FALSE),
IF(AND(Investment_Strategy="Autopilot",Investment_Strategy_Sub1="Non-Standard"),VLOOKUP(Investment_Strategy&amp;"_"&amp;Investment_Strategy_Sub2&amp;"_"&amp;$A490,'Investment Strategies'!$T:$AF,11,FALSE),
IF(Investment_Strategy="DIY",DIY_GteeChrge_CurrentFunds,
"Error"))))))</f>
        <v>0</v>
      </c>
      <c r="G490" s="33">
        <f>IF(AV490=0,0,
IF(Investment_Strategy="DIS",VLOOKUP(Investment_Strategy&amp;"_"&amp;Investment_Strategy_Sub1&amp;"_"&amp;$A490,'Investment Strategies'!$AZ:$BP,17,FALSE),
IF(AND(Investment_Strategy="Lifecycle",Investment_Strategy_Sub1="Non-Standard"),VLOOKUP(Investment_Strategy&amp;"_"&amp;Investment_Strategy_Sub2&amp;"_"&amp;$A490,'Investment Strategies'!$C:$P,14,FALSE),
IF(AND(Investment_Strategy="Lifecycle",Investment_Strategy_Sub1="Standard"),VLOOKUP(Investment_Strategy&amp;"_"&amp;Investment_Strategy_Sub2&amp;"_"&amp;$A490,'Investment Strategies'!$AJ:$AV,13,FALSE),
IF(AND(Investment_Strategy="Autopilot",Investment_Strategy_Sub1="Non-Standard"),VLOOKUP(Investment_Strategy&amp;"_"&amp;Investment_Strategy_Sub2&amp;"_"&amp;$A490,'Investment Strategies'!$T:$AF,13,FALSE),
IF(Investment_Strategy="DIY",DIY_ExtManChrge_CurrentFunds,
"Error"))))))</f>
        <v>0</v>
      </c>
      <c r="H490" s="16">
        <f t="shared" si="290"/>
        <v>0</v>
      </c>
      <c r="I490" s="16">
        <f t="shared" si="276"/>
        <v>0</v>
      </c>
      <c r="J490" s="16">
        <f t="shared" si="277"/>
        <v>0</v>
      </c>
      <c r="K490" s="16">
        <f>(Opening_Fund_Value+SUM(K$91:K489))*E490*IF(D490=$A$91,SRP_finalmonthfactor,1)</f>
        <v>0</v>
      </c>
      <c r="L490" s="74">
        <f>MIN(IF($AV490=0,0,
IF(Investment_Strategy="DIS",VLOOKUP(Investment_Strategy&amp;"_"&amp;Investment_Strategy_Sub1&amp;"_"&amp;$A490,'Investment Strategies'!$AZ:$BP,12,FALSE),
IF(AND(Investment_Strategy="Lifecycle",Investment_Strategy_Sub1="Non-Standard"),VLOOKUP(Investment_Strategy&amp;"_"&amp;Investment_Strategy_Sub2&amp;"_"&amp;$A490,'Investment Strategies'!$C:$P,9,FALSE),
IF(AND(Investment_Strategy="Lifecycle",Investment_Strategy_Sub1="Standard"),VLOOKUP(Investment_Strategy&amp;"_"&amp;Investment_Strategy_Sub2&amp;"_"&amp;$A490,'Investment Strategies'!$AJ:$AV,8,FALSE),
IF(AND(Investment_Strategy="Autopilot",Investment_Strategy_Sub1="Non-Standard"),VLOOKUP(Investment_Strategy&amp;"_"&amp;Investment_Strategy_Sub2&amp;"_"&amp;$A490,'Investment Strategies'!$T:$AF,8,FALSE),
IF(Investment_Strategy ="DIY",DIY_RateofReturn_SP,
"Error")))))),Max_InvReturn)</f>
        <v>0</v>
      </c>
      <c r="M490" s="62">
        <f>IF($AV490=0,0,
IF(Investment_Strategy="DIS",VLOOKUP(Investment_Strategy&amp;"_"&amp;Investment_Strategy_Sub1&amp;"_"&amp;$A490,'Investment Strategies'!$AZ:$BP,15,FALSE),
IF(AND(Investment_Strategy="Lifecycle",Investment_Strategy_Sub1="Non-Standard"),VLOOKUP(Investment_Strategy&amp;"_"&amp;Investment_Strategy_Sub2&amp;"_"&amp;$A490,'Investment Strategies'!$C:$P,12,FALSE),
IF(AND(Investment_Strategy="Lifecycle",Investment_Strategy_Sub1="Standard"),VLOOKUP(Investment_Strategy&amp;"_"&amp;Investment_Strategy_Sub2&amp;"_"&amp;$A490,'Investment Strategies'!$AJ:$AV,11,FALSE),
IF(AND(Investment_Strategy="Autopilot",Investment_Strategy_Sub1="Non-Standard"),VLOOKUP(Investment_Strategy&amp;"_"&amp;Investment_Strategy_Sub2&amp;"_"&amp;$A490,'Investment Strategies'!$T:$AF,11,FALSE),
IF(Investment_Strategy="DIY",DIY_GteeChrge_SP,
"Error"))))))</f>
        <v>0</v>
      </c>
      <c r="N490" s="33">
        <f>IF($AV490=0,0,
IF(Investment_Strategy="DIS",VLOOKUP(Investment_Strategy&amp;"_"&amp;Investment_Strategy_Sub1&amp;"_"&amp;$A490,'Investment Strategies'!$AZ:$BP,17,FALSE),
IF(AND(Investment_Strategy="Lifecycle",Investment_Strategy_Sub1="Non-Standard"),VLOOKUP(Investment_Strategy&amp;"_"&amp;Investment_Strategy_Sub2&amp;"_"&amp;$A490,'Investment Strategies'!$C:$P,14,FALSE),
IF(AND(Investment_Strategy="Lifecycle",Investment_Strategy_Sub1="Standard"),VLOOKUP(Investment_Strategy&amp;"_"&amp;Investment_Strategy_Sub2&amp;"_"&amp;$A490,'Investment Strategies'!$AJ:$AV,13,FALSE),
IF(AND(Investment_Strategy="Autopilot",Investment_Strategy_Sub1="Non-Standard"),VLOOKUP(Investment_Strategy&amp;"_"&amp;Investment_Strategy_Sub2&amp;"_"&amp;$A490,'Investment Strategies'!$T:$AF,13,FALSE),
IF(Investment_Strategy="DIY",DIY_ExtManChrge_SP,
"Error"))))))</f>
        <v>0</v>
      </c>
      <c r="O490" s="16">
        <f t="shared" si="301"/>
        <v>0</v>
      </c>
      <c r="Q490" s="16">
        <f t="shared" si="278"/>
        <v>0</v>
      </c>
      <c r="R490" s="16">
        <f t="shared" si="274"/>
        <v>0</v>
      </c>
      <c r="S490" s="16">
        <f>(SRP_SP+SUM(S$91:S489))*L490*IF(D490=$A$91,SRP_finalmonthfactor,1)</f>
        <v>0</v>
      </c>
      <c r="T490" s="74">
        <f>MIN(IF($AV490=0,0,
IF(Investment_Strategy="DIS",VLOOKUP(Investment_Strategy&amp;"_"&amp;Investment_Strategy_Sub1&amp;"_"&amp;$A490,'Investment Strategies'!$AZ:$BP,12,FALSE),
IF(AND(Investment_Strategy="Lifecycle",Investment_Strategy_Sub1="Non-Standard"),VLOOKUP(Investment_Strategy&amp;"_"&amp;Investment_Strategy_Sub2&amp;"_"&amp;$A490,'Investment Strategies'!$C:$P,9,FALSE),
IF(AND(Investment_Strategy="Lifecycle",Investment_Strategy_Sub1="Standard"),VLOOKUP(Investment_Strategy&amp;"_"&amp;Investment_Strategy_Sub2&amp;"_"&amp;$A490,'Investment Strategies'!$AJ:$AV,8,FALSE),
IF(AND(Investment_Strategy="Autopilot",Investment_Strategy_Sub1="Non-Standard"),VLOOKUP(Investment_Strategy&amp;"_"&amp;Investment_Strategy_Sub2&amp;"_"&amp;$A490,'Investment Strategies'!$T:$AF,8,FALSE),
IF(Investment_Strategy ="DIY",DIY_RateOfReturn_FuturePremiums,
"Error")))))),Max_InvReturn)</f>
        <v>0</v>
      </c>
      <c r="U490" s="62">
        <f>IF($AV490=0,0,
IF(Investment_Strategy="DIS",VLOOKUP(Investment_Strategy&amp;"_"&amp;Investment_Strategy_Sub1&amp;"_"&amp;$A490,'Investment Strategies'!$AZ:$BP,15,FALSE),
IF(AND(Investment_Strategy="Lifecycle",Investment_Strategy_Sub1="Non-Standard"),VLOOKUP(Investment_Strategy&amp;"_"&amp;Investment_Strategy_Sub2&amp;"_"&amp;$A490,'Investment Strategies'!$C:$P,12,FALSE),
IF(AND(Investment_Strategy="Lifecycle",Investment_Strategy_Sub1="Standard"),VLOOKUP(Investment_Strategy&amp;"_"&amp;Investment_Strategy_Sub2&amp;"_"&amp;$A490,'Investment Strategies'!$AJ:$AV,11,FALSE),
IF(AND(Investment_Strategy="Autopilot",Investment_Strategy_Sub1="Non-Standard"),VLOOKUP(Investment_Strategy&amp;"_"&amp;Investment_Strategy_Sub2&amp;"_"&amp;$A490,'Investment Strategies'!$T:$AF,11,FALSE),
IF(Investment_Strategy="DIY",DIY_GteeChrge_FuturePremiums,
"Error"))))))</f>
        <v>0</v>
      </c>
      <c r="V490" s="33">
        <f>IF(AV490=0,0,
IF(Investment_Strategy="DIS",VLOOKUP(Investment_Strategy&amp;"_"&amp;Investment_Strategy_Sub1&amp;"_"&amp;$A490,'Investment Strategies'!$AZ:$BP,17,FALSE),
IF(AND(Investment_Strategy="Lifecycle",Investment_Strategy_Sub1="Non-Standard"),VLOOKUP(Investment_Strategy&amp;"_"&amp;Investment_Strategy_Sub2&amp;"_"&amp;$A490,'Investment Strategies'!$C:$P,14,FALSE),
IF(AND(Investment_Strategy="Lifecycle",Investment_Strategy_Sub1="Standard"),VLOOKUP(Investment_Strategy&amp;"_"&amp;Investment_Strategy_Sub2&amp;"_"&amp;$A490,'Investment Strategies'!$AJ:$AV,13,FALSE),
IF(AND(Investment_Strategy="Autopilot",Investment_Strategy_Sub1="Non-Standard"),VLOOKUP(Investment_Strategy&amp;"_"&amp;Investment_Strategy_Sub2&amp;"_"&amp;$A490,'Investment Strategies'!$T:$AF,13,FALSE),
IF(Investment_Strategy="DIY",DIY_ExtManChrge_FuturePremiums,
"Error"))))))</f>
        <v>0</v>
      </c>
      <c r="W490" s="16">
        <f t="shared" si="302"/>
        <v>0</v>
      </c>
      <c r="X490" s="16">
        <f t="shared" si="279"/>
        <v>0</v>
      </c>
      <c r="Y490" s="16">
        <f t="shared" si="280"/>
        <v>0</v>
      </c>
      <c r="Z490" s="31">
        <f t="shared" si="281"/>
        <v>0.02</v>
      </c>
      <c r="AA490" s="16">
        <f t="shared" si="282"/>
        <v>0</v>
      </c>
      <c r="AB490" s="28">
        <f t="shared" si="303"/>
        <v>0</v>
      </c>
      <c r="AC490" s="28">
        <f>(SUM($AC$91:AC489)+SUM($X$91:X489)+X490)*T490*IF(D490=$A$91,SRP_finalmonthfactor,1)</f>
        <v>0</v>
      </c>
      <c r="AD490" s="16">
        <f t="shared" si="283"/>
        <v>0</v>
      </c>
      <c r="AE490" s="106"/>
      <c r="AF490" s="16">
        <f t="shared" si="291"/>
        <v>0</v>
      </c>
      <c r="AG490" s="16">
        <f t="shared" si="292"/>
        <v>0</v>
      </c>
      <c r="AH490" s="16">
        <f t="shared" si="293"/>
        <v>0</v>
      </c>
      <c r="AJ490" s="13">
        <f t="shared" si="304"/>
        <v>0</v>
      </c>
      <c r="AK490" s="13">
        <f t="shared" si="304"/>
        <v>0</v>
      </c>
      <c r="AL490" s="13">
        <f t="shared" si="304"/>
        <v>0</v>
      </c>
      <c r="AM490" s="13">
        <f t="shared" si="304"/>
        <v>0</v>
      </c>
      <c r="AN490" s="13">
        <f t="shared" si="304"/>
        <v>0</v>
      </c>
      <c r="AO490" s="13">
        <f t="shared" si="304"/>
        <v>1</v>
      </c>
      <c r="AP490" s="13">
        <f t="shared" si="304"/>
        <v>1</v>
      </c>
      <c r="AQ490" s="13">
        <f t="shared" si="304"/>
        <v>1</v>
      </c>
      <c r="AR490" s="13">
        <f t="shared" si="304"/>
        <v>0</v>
      </c>
      <c r="AS490" s="13">
        <f t="shared" si="304"/>
        <v>0</v>
      </c>
      <c r="AT490" s="13">
        <f t="shared" si="304"/>
        <v>1</v>
      </c>
      <c r="AU490" s="13">
        <f t="shared" si="304"/>
        <v>1</v>
      </c>
      <c r="AV490" s="13">
        <f t="shared" si="284"/>
        <v>0</v>
      </c>
      <c r="AW490" s="13">
        <f t="shared" si="285"/>
        <v>1</v>
      </c>
      <c r="AY490" s="17">
        <f t="shared" si="286"/>
        <v>400</v>
      </c>
      <c r="AZ490" s="28">
        <f t="shared" si="294"/>
        <v>0</v>
      </c>
      <c r="BA490" s="13">
        <f t="shared" si="287"/>
        <v>0</v>
      </c>
      <c r="BB490" s="13">
        <f t="shared" si="288"/>
        <v>0</v>
      </c>
      <c r="BC490" s="28">
        <f t="shared" si="295"/>
        <v>0</v>
      </c>
      <c r="BD490" s="28">
        <f t="shared" si="296"/>
        <v>0</v>
      </c>
      <c r="BF490" s="248">
        <f t="shared" si="297"/>
        <v>993869.29442638322</v>
      </c>
    </row>
    <row r="491" spans="1:58">
      <c r="A491" s="32">
        <f t="shared" si="298"/>
        <v>-316</v>
      </c>
      <c r="B491" s="32">
        <f t="shared" si="289"/>
        <v>86</v>
      </c>
      <c r="C491" s="32">
        <f t="shared" si="299"/>
        <v>34</v>
      </c>
      <c r="D491" s="32">
        <f t="shared" si="300"/>
        <v>401</v>
      </c>
      <c r="E491" s="74">
        <f>MIN(IF(AV491=0,0,
IF(Investment_Strategy="DIS",VLOOKUP(Investment_Strategy&amp;"_"&amp;Investment_Strategy_Sub1&amp;"_"&amp;$A491,'Investment Strategies'!$AZ:$BP,12,FALSE),
IF(AND(Investment_Strategy="Lifecycle",Investment_Strategy_Sub1="Non-Standard"),VLOOKUP(Investment_Strategy&amp;"_"&amp;Investment_Strategy_Sub2&amp;"_"&amp;$A491,'Investment Strategies'!$C:$P,9,FALSE),
IF(AND(Investment_Strategy="Lifecycle",Investment_Strategy_Sub1="Standard"),VLOOKUP(Investment_Strategy&amp;"_"&amp;Investment_Strategy_Sub2&amp;"_"&amp;$A491,'Investment Strategies'!$AJ:$AV,8,FALSE),
IF(AND(Investment_Strategy="Autopilot",Investment_Strategy_Sub1="Non-Standard"),VLOOKUP(Investment_Strategy&amp;"_"&amp;Investment_Strategy_Sub2&amp;"_"&amp;$A491,'Investment Strategies'!$T:$AF,8,FALSE),
IF(Investment_Strategy ="DIY",DIY_RateOfReturn_CurrentFunds,
"Error")))))),Max_InvReturn)</f>
        <v>0</v>
      </c>
      <c r="F491" s="62">
        <f>IF(AV491=0,0,
IF(Investment_Strategy="DIS",VLOOKUP(Investment_Strategy&amp;"_"&amp;Investment_Strategy_Sub1&amp;"_"&amp;$A491,'Investment Strategies'!$AZ:$BP,15,FALSE),
IF(AND(Investment_Strategy="Lifecycle",Investment_Strategy_Sub1="Non-Standard"),VLOOKUP(Investment_Strategy&amp;"_"&amp;Investment_Strategy_Sub2&amp;"_"&amp;$A491,'Investment Strategies'!$C:$P,12,FALSE),
IF(AND(Investment_Strategy="Lifecycle",Investment_Strategy_Sub1="Standard"),VLOOKUP(Investment_Strategy&amp;"_"&amp;Investment_Strategy_Sub2&amp;"_"&amp;$A491,'Investment Strategies'!$AJ:$AV,11,FALSE),
IF(AND(Investment_Strategy="Autopilot",Investment_Strategy_Sub1="Non-Standard"),VLOOKUP(Investment_Strategy&amp;"_"&amp;Investment_Strategy_Sub2&amp;"_"&amp;$A491,'Investment Strategies'!$T:$AF,11,FALSE),
IF(Investment_Strategy="DIY",DIY_GteeChrge_CurrentFunds,
"Error"))))))</f>
        <v>0</v>
      </c>
      <c r="G491" s="33">
        <f>IF(AV491=0,0,
IF(Investment_Strategy="DIS",VLOOKUP(Investment_Strategy&amp;"_"&amp;Investment_Strategy_Sub1&amp;"_"&amp;$A491,'Investment Strategies'!$AZ:$BP,17,FALSE),
IF(AND(Investment_Strategy="Lifecycle",Investment_Strategy_Sub1="Non-Standard"),VLOOKUP(Investment_Strategy&amp;"_"&amp;Investment_Strategy_Sub2&amp;"_"&amp;$A491,'Investment Strategies'!$C:$P,14,FALSE),
IF(AND(Investment_Strategy="Lifecycle",Investment_Strategy_Sub1="Standard"),VLOOKUP(Investment_Strategy&amp;"_"&amp;Investment_Strategy_Sub2&amp;"_"&amp;$A491,'Investment Strategies'!$AJ:$AV,13,FALSE),
IF(AND(Investment_Strategy="Autopilot",Investment_Strategy_Sub1="Non-Standard"),VLOOKUP(Investment_Strategy&amp;"_"&amp;Investment_Strategy_Sub2&amp;"_"&amp;$A491,'Investment Strategies'!$T:$AF,13,FALSE),
IF(Investment_Strategy="DIY",DIY_ExtManChrge_CurrentFunds,
"Error"))))))</f>
        <v>0</v>
      </c>
      <c r="H491" s="16">
        <f t="shared" si="290"/>
        <v>0</v>
      </c>
      <c r="I491" s="16">
        <f t="shared" si="276"/>
        <v>0</v>
      </c>
      <c r="J491" s="16">
        <f t="shared" si="277"/>
        <v>0</v>
      </c>
      <c r="K491" s="16">
        <f>(Opening_Fund_Value+SUM(K$91:K490))*E491*IF(D491=$A$91,SRP_finalmonthfactor,1)</f>
        <v>0</v>
      </c>
      <c r="L491" s="74">
        <f>MIN(IF($AV491=0,0,
IF(Investment_Strategy="DIS",VLOOKUP(Investment_Strategy&amp;"_"&amp;Investment_Strategy_Sub1&amp;"_"&amp;$A491,'Investment Strategies'!$AZ:$BP,12,FALSE),
IF(AND(Investment_Strategy="Lifecycle",Investment_Strategy_Sub1="Non-Standard"),VLOOKUP(Investment_Strategy&amp;"_"&amp;Investment_Strategy_Sub2&amp;"_"&amp;$A491,'Investment Strategies'!$C:$P,9,FALSE),
IF(AND(Investment_Strategy="Lifecycle",Investment_Strategy_Sub1="Standard"),VLOOKUP(Investment_Strategy&amp;"_"&amp;Investment_Strategy_Sub2&amp;"_"&amp;$A491,'Investment Strategies'!$AJ:$AV,8,FALSE),
IF(AND(Investment_Strategy="Autopilot",Investment_Strategy_Sub1="Non-Standard"),VLOOKUP(Investment_Strategy&amp;"_"&amp;Investment_Strategy_Sub2&amp;"_"&amp;$A491,'Investment Strategies'!$T:$AF,8,FALSE),
IF(Investment_Strategy ="DIY",DIY_RateofReturn_SP,
"Error")))))),Max_InvReturn)</f>
        <v>0</v>
      </c>
      <c r="M491" s="62">
        <f>IF($AV491=0,0,
IF(Investment_Strategy="DIS",VLOOKUP(Investment_Strategy&amp;"_"&amp;Investment_Strategy_Sub1&amp;"_"&amp;$A491,'Investment Strategies'!$AZ:$BP,15,FALSE),
IF(AND(Investment_Strategy="Lifecycle",Investment_Strategy_Sub1="Non-Standard"),VLOOKUP(Investment_Strategy&amp;"_"&amp;Investment_Strategy_Sub2&amp;"_"&amp;$A491,'Investment Strategies'!$C:$P,12,FALSE),
IF(AND(Investment_Strategy="Lifecycle",Investment_Strategy_Sub1="Standard"),VLOOKUP(Investment_Strategy&amp;"_"&amp;Investment_Strategy_Sub2&amp;"_"&amp;$A491,'Investment Strategies'!$AJ:$AV,11,FALSE),
IF(AND(Investment_Strategy="Autopilot",Investment_Strategy_Sub1="Non-Standard"),VLOOKUP(Investment_Strategy&amp;"_"&amp;Investment_Strategy_Sub2&amp;"_"&amp;$A491,'Investment Strategies'!$T:$AF,11,FALSE),
IF(Investment_Strategy="DIY",DIY_GteeChrge_SP,
"Error"))))))</f>
        <v>0</v>
      </c>
      <c r="N491" s="33">
        <f>IF($AV491=0,0,
IF(Investment_Strategy="DIS",VLOOKUP(Investment_Strategy&amp;"_"&amp;Investment_Strategy_Sub1&amp;"_"&amp;$A491,'Investment Strategies'!$AZ:$BP,17,FALSE),
IF(AND(Investment_Strategy="Lifecycle",Investment_Strategy_Sub1="Non-Standard"),VLOOKUP(Investment_Strategy&amp;"_"&amp;Investment_Strategy_Sub2&amp;"_"&amp;$A491,'Investment Strategies'!$C:$P,14,FALSE),
IF(AND(Investment_Strategy="Lifecycle",Investment_Strategy_Sub1="Standard"),VLOOKUP(Investment_Strategy&amp;"_"&amp;Investment_Strategy_Sub2&amp;"_"&amp;$A491,'Investment Strategies'!$AJ:$AV,13,FALSE),
IF(AND(Investment_Strategy="Autopilot",Investment_Strategy_Sub1="Non-Standard"),VLOOKUP(Investment_Strategy&amp;"_"&amp;Investment_Strategy_Sub2&amp;"_"&amp;$A491,'Investment Strategies'!$T:$AF,13,FALSE),
IF(Investment_Strategy="DIY",DIY_ExtManChrge_SP,
"Error"))))))</f>
        <v>0</v>
      </c>
      <c r="O491" s="16">
        <f t="shared" si="301"/>
        <v>0</v>
      </c>
      <c r="Q491" s="16">
        <f t="shared" si="278"/>
        <v>0</v>
      </c>
      <c r="R491" s="16">
        <f t="shared" si="274"/>
        <v>0</v>
      </c>
      <c r="S491" s="16">
        <f>(SRP_SP+SUM(S$91:S490))*L491*IF(D491=$A$91,SRP_finalmonthfactor,1)</f>
        <v>0</v>
      </c>
      <c r="T491" s="74">
        <f>MIN(IF($AV491=0,0,
IF(Investment_Strategy="DIS",VLOOKUP(Investment_Strategy&amp;"_"&amp;Investment_Strategy_Sub1&amp;"_"&amp;$A491,'Investment Strategies'!$AZ:$BP,12,FALSE),
IF(AND(Investment_Strategy="Lifecycle",Investment_Strategy_Sub1="Non-Standard"),VLOOKUP(Investment_Strategy&amp;"_"&amp;Investment_Strategy_Sub2&amp;"_"&amp;$A491,'Investment Strategies'!$C:$P,9,FALSE),
IF(AND(Investment_Strategy="Lifecycle",Investment_Strategy_Sub1="Standard"),VLOOKUP(Investment_Strategy&amp;"_"&amp;Investment_Strategy_Sub2&amp;"_"&amp;$A491,'Investment Strategies'!$AJ:$AV,8,FALSE),
IF(AND(Investment_Strategy="Autopilot",Investment_Strategy_Sub1="Non-Standard"),VLOOKUP(Investment_Strategy&amp;"_"&amp;Investment_Strategy_Sub2&amp;"_"&amp;$A491,'Investment Strategies'!$T:$AF,8,FALSE),
IF(Investment_Strategy ="DIY",DIY_RateOfReturn_FuturePremiums,
"Error")))))),Max_InvReturn)</f>
        <v>0</v>
      </c>
      <c r="U491" s="62">
        <f>IF($AV491=0,0,
IF(Investment_Strategy="DIS",VLOOKUP(Investment_Strategy&amp;"_"&amp;Investment_Strategy_Sub1&amp;"_"&amp;$A491,'Investment Strategies'!$AZ:$BP,15,FALSE),
IF(AND(Investment_Strategy="Lifecycle",Investment_Strategy_Sub1="Non-Standard"),VLOOKUP(Investment_Strategy&amp;"_"&amp;Investment_Strategy_Sub2&amp;"_"&amp;$A491,'Investment Strategies'!$C:$P,12,FALSE),
IF(AND(Investment_Strategy="Lifecycle",Investment_Strategy_Sub1="Standard"),VLOOKUP(Investment_Strategy&amp;"_"&amp;Investment_Strategy_Sub2&amp;"_"&amp;$A491,'Investment Strategies'!$AJ:$AV,11,FALSE),
IF(AND(Investment_Strategy="Autopilot",Investment_Strategy_Sub1="Non-Standard"),VLOOKUP(Investment_Strategy&amp;"_"&amp;Investment_Strategy_Sub2&amp;"_"&amp;$A491,'Investment Strategies'!$T:$AF,11,FALSE),
IF(Investment_Strategy="DIY",DIY_GteeChrge_FuturePremiums,
"Error"))))))</f>
        <v>0</v>
      </c>
      <c r="V491" s="33">
        <f>IF(AV491=0,0,
IF(Investment_Strategy="DIS",VLOOKUP(Investment_Strategy&amp;"_"&amp;Investment_Strategy_Sub1&amp;"_"&amp;$A491,'Investment Strategies'!$AZ:$BP,17,FALSE),
IF(AND(Investment_Strategy="Lifecycle",Investment_Strategy_Sub1="Non-Standard"),VLOOKUP(Investment_Strategy&amp;"_"&amp;Investment_Strategy_Sub2&amp;"_"&amp;$A491,'Investment Strategies'!$C:$P,14,FALSE),
IF(AND(Investment_Strategy="Lifecycle",Investment_Strategy_Sub1="Standard"),VLOOKUP(Investment_Strategy&amp;"_"&amp;Investment_Strategy_Sub2&amp;"_"&amp;$A491,'Investment Strategies'!$AJ:$AV,13,FALSE),
IF(AND(Investment_Strategy="Autopilot",Investment_Strategy_Sub1="Non-Standard"),VLOOKUP(Investment_Strategy&amp;"_"&amp;Investment_Strategy_Sub2&amp;"_"&amp;$A491,'Investment Strategies'!$T:$AF,13,FALSE),
IF(Investment_Strategy="DIY",DIY_ExtManChrge_FuturePremiums,
"Error"))))))</f>
        <v>0</v>
      </c>
      <c r="W491" s="16">
        <f t="shared" si="302"/>
        <v>0</v>
      </c>
      <c r="X491" s="16">
        <f t="shared" si="279"/>
        <v>0</v>
      </c>
      <c r="Y491" s="16">
        <f t="shared" si="280"/>
        <v>0</v>
      </c>
      <c r="Z491" s="31">
        <f t="shared" si="281"/>
        <v>0.02</v>
      </c>
      <c r="AA491" s="16">
        <f t="shared" si="282"/>
        <v>0</v>
      </c>
      <c r="AB491" s="28">
        <f t="shared" si="303"/>
        <v>0</v>
      </c>
      <c r="AC491" s="28">
        <f>(SUM($AC$91:AC490)+SUM($X$91:X490)+X491)*T491*IF(D491=$A$91,SRP_finalmonthfactor,1)</f>
        <v>0</v>
      </c>
      <c r="AD491" s="16">
        <f t="shared" si="283"/>
        <v>0</v>
      </c>
      <c r="AE491" s="106"/>
      <c r="AF491" s="16">
        <f t="shared" si="291"/>
        <v>0</v>
      </c>
      <c r="AG491" s="16">
        <f t="shared" si="292"/>
        <v>0</v>
      </c>
      <c r="AH491" s="16">
        <f t="shared" si="293"/>
        <v>0</v>
      </c>
      <c r="AJ491" s="13">
        <f t="shared" ref="AJ491:AU500" si="305">IF($C491&lt;=AJ$90,1,0)</f>
        <v>0</v>
      </c>
      <c r="AK491" s="13">
        <f t="shared" si="305"/>
        <v>0</v>
      </c>
      <c r="AL491" s="13">
        <f t="shared" si="305"/>
        <v>0</v>
      </c>
      <c r="AM491" s="13">
        <f t="shared" si="305"/>
        <v>0</v>
      </c>
      <c r="AN491" s="13">
        <f t="shared" si="305"/>
        <v>0</v>
      </c>
      <c r="AO491" s="13">
        <f t="shared" si="305"/>
        <v>1</v>
      </c>
      <c r="AP491" s="13">
        <f t="shared" si="305"/>
        <v>1</v>
      </c>
      <c r="AQ491" s="13">
        <f t="shared" si="305"/>
        <v>1</v>
      </c>
      <c r="AR491" s="13">
        <f t="shared" si="305"/>
        <v>0</v>
      </c>
      <c r="AS491" s="13">
        <f t="shared" si="305"/>
        <v>0</v>
      </c>
      <c r="AT491" s="13">
        <f t="shared" si="305"/>
        <v>1</v>
      </c>
      <c r="AU491" s="13">
        <f t="shared" si="305"/>
        <v>1</v>
      </c>
      <c r="AV491" s="13">
        <f t="shared" si="284"/>
        <v>0</v>
      </c>
      <c r="AW491" s="13">
        <f t="shared" si="285"/>
        <v>1</v>
      </c>
      <c r="AY491" s="17">
        <f t="shared" si="286"/>
        <v>401</v>
      </c>
      <c r="AZ491" s="28">
        <f t="shared" si="294"/>
        <v>0</v>
      </c>
      <c r="BA491" s="13">
        <f t="shared" si="287"/>
        <v>0</v>
      </c>
      <c r="BB491" s="13">
        <f t="shared" si="288"/>
        <v>0</v>
      </c>
      <c r="BC491" s="28">
        <f t="shared" si="295"/>
        <v>0</v>
      </c>
      <c r="BD491" s="28">
        <f t="shared" si="296"/>
        <v>0</v>
      </c>
      <c r="BF491" s="248">
        <f t="shared" si="297"/>
        <v>993869.29442638322</v>
      </c>
    </row>
    <row r="492" spans="1:58">
      <c r="A492" s="32">
        <f t="shared" si="298"/>
        <v>-317</v>
      </c>
      <c r="B492" s="32">
        <f t="shared" si="289"/>
        <v>86</v>
      </c>
      <c r="C492" s="32">
        <f t="shared" si="299"/>
        <v>34</v>
      </c>
      <c r="D492" s="32">
        <f t="shared" si="300"/>
        <v>402</v>
      </c>
      <c r="E492" s="74">
        <f>MIN(IF(AV492=0,0,
IF(Investment_Strategy="DIS",VLOOKUP(Investment_Strategy&amp;"_"&amp;Investment_Strategy_Sub1&amp;"_"&amp;$A492,'Investment Strategies'!$AZ:$BP,12,FALSE),
IF(AND(Investment_Strategy="Lifecycle",Investment_Strategy_Sub1="Non-Standard"),VLOOKUP(Investment_Strategy&amp;"_"&amp;Investment_Strategy_Sub2&amp;"_"&amp;$A492,'Investment Strategies'!$C:$P,9,FALSE),
IF(AND(Investment_Strategy="Lifecycle",Investment_Strategy_Sub1="Standard"),VLOOKUP(Investment_Strategy&amp;"_"&amp;Investment_Strategy_Sub2&amp;"_"&amp;$A492,'Investment Strategies'!$AJ:$AV,8,FALSE),
IF(AND(Investment_Strategy="Autopilot",Investment_Strategy_Sub1="Non-Standard"),VLOOKUP(Investment_Strategy&amp;"_"&amp;Investment_Strategy_Sub2&amp;"_"&amp;$A492,'Investment Strategies'!$T:$AF,8,FALSE),
IF(Investment_Strategy ="DIY",DIY_RateOfReturn_CurrentFunds,
"Error")))))),Max_InvReturn)</f>
        <v>0</v>
      </c>
      <c r="F492" s="62">
        <f>IF(AV492=0,0,
IF(Investment_Strategy="DIS",VLOOKUP(Investment_Strategy&amp;"_"&amp;Investment_Strategy_Sub1&amp;"_"&amp;$A492,'Investment Strategies'!$AZ:$BP,15,FALSE),
IF(AND(Investment_Strategy="Lifecycle",Investment_Strategy_Sub1="Non-Standard"),VLOOKUP(Investment_Strategy&amp;"_"&amp;Investment_Strategy_Sub2&amp;"_"&amp;$A492,'Investment Strategies'!$C:$P,12,FALSE),
IF(AND(Investment_Strategy="Lifecycle",Investment_Strategy_Sub1="Standard"),VLOOKUP(Investment_Strategy&amp;"_"&amp;Investment_Strategy_Sub2&amp;"_"&amp;$A492,'Investment Strategies'!$AJ:$AV,11,FALSE),
IF(AND(Investment_Strategy="Autopilot",Investment_Strategy_Sub1="Non-Standard"),VLOOKUP(Investment_Strategy&amp;"_"&amp;Investment_Strategy_Sub2&amp;"_"&amp;$A492,'Investment Strategies'!$T:$AF,11,FALSE),
IF(Investment_Strategy="DIY",DIY_GteeChrge_CurrentFunds,
"Error"))))))</f>
        <v>0</v>
      </c>
      <c r="G492" s="33">
        <f>IF(AV492=0,0,
IF(Investment_Strategy="DIS",VLOOKUP(Investment_Strategy&amp;"_"&amp;Investment_Strategy_Sub1&amp;"_"&amp;$A492,'Investment Strategies'!$AZ:$BP,17,FALSE),
IF(AND(Investment_Strategy="Lifecycle",Investment_Strategy_Sub1="Non-Standard"),VLOOKUP(Investment_Strategy&amp;"_"&amp;Investment_Strategy_Sub2&amp;"_"&amp;$A492,'Investment Strategies'!$C:$P,14,FALSE),
IF(AND(Investment_Strategy="Lifecycle",Investment_Strategy_Sub1="Standard"),VLOOKUP(Investment_Strategy&amp;"_"&amp;Investment_Strategy_Sub2&amp;"_"&amp;$A492,'Investment Strategies'!$AJ:$AV,13,FALSE),
IF(AND(Investment_Strategy="Autopilot",Investment_Strategy_Sub1="Non-Standard"),VLOOKUP(Investment_Strategy&amp;"_"&amp;Investment_Strategy_Sub2&amp;"_"&amp;$A492,'Investment Strategies'!$T:$AF,13,FALSE),
IF(Investment_Strategy="DIY",DIY_ExtManChrge_CurrentFunds,
"Error"))))))</f>
        <v>0</v>
      </c>
      <c r="H492" s="16">
        <f t="shared" si="290"/>
        <v>0</v>
      </c>
      <c r="I492" s="16">
        <f t="shared" si="276"/>
        <v>0</v>
      </c>
      <c r="J492" s="16">
        <f t="shared" si="277"/>
        <v>0</v>
      </c>
      <c r="K492" s="16">
        <f>(Opening_Fund_Value+SUM(K$91:K491))*E492*IF(D492=$A$91,SRP_finalmonthfactor,1)</f>
        <v>0</v>
      </c>
      <c r="L492" s="74">
        <f>MIN(IF($AV492=0,0,
IF(Investment_Strategy="DIS",VLOOKUP(Investment_Strategy&amp;"_"&amp;Investment_Strategy_Sub1&amp;"_"&amp;$A492,'Investment Strategies'!$AZ:$BP,12,FALSE),
IF(AND(Investment_Strategy="Lifecycle",Investment_Strategy_Sub1="Non-Standard"),VLOOKUP(Investment_Strategy&amp;"_"&amp;Investment_Strategy_Sub2&amp;"_"&amp;$A492,'Investment Strategies'!$C:$P,9,FALSE),
IF(AND(Investment_Strategy="Lifecycle",Investment_Strategy_Sub1="Standard"),VLOOKUP(Investment_Strategy&amp;"_"&amp;Investment_Strategy_Sub2&amp;"_"&amp;$A492,'Investment Strategies'!$AJ:$AV,8,FALSE),
IF(AND(Investment_Strategy="Autopilot",Investment_Strategy_Sub1="Non-Standard"),VLOOKUP(Investment_Strategy&amp;"_"&amp;Investment_Strategy_Sub2&amp;"_"&amp;$A492,'Investment Strategies'!$T:$AF,8,FALSE),
IF(Investment_Strategy ="DIY",DIY_RateofReturn_SP,
"Error")))))),Max_InvReturn)</f>
        <v>0</v>
      </c>
      <c r="M492" s="62">
        <f>IF($AV492=0,0,
IF(Investment_Strategy="DIS",VLOOKUP(Investment_Strategy&amp;"_"&amp;Investment_Strategy_Sub1&amp;"_"&amp;$A492,'Investment Strategies'!$AZ:$BP,15,FALSE),
IF(AND(Investment_Strategy="Lifecycle",Investment_Strategy_Sub1="Non-Standard"),VLOOKUP(Investment_Strategy&amp;"_"&amp;Investment_Strategy_Sub2&amp;"_"&amp;$A492,'Investment Strategies'!$C:$P,12,FALSE),
IF(AND(Investment_Strategy="Lifecycle",Investment_Strategy_Sub1="Standard"),VLOOKUP(Investment_Strategy&amp;"_"&amp;Investment_Strategy_Sub2&amp;"_"&amp;$A492,'Investment Strategies'!$AJ:$AV,11,FALSE),
IF(AND(Investment_Strategy="Autopilot",Investment_Strategy_Sub1="Non-Standard"),VLOOKUP(Investment_Strategy&amp;"_"&amp;Investment_Strategy_Sub2&amp;"_"&amp;$A492,'Investment Strategies'!$T:$AF,11,FALSE),
IF(Investment_Strategy="DIY",DIY_GteeChrge_SP,
"Error"))))))</f>
        <v>0</v>
      </c>
      <c r="N492" s="33">
        <f>IF($AV492=0,0,
IF(Investment_Strategy="DIS",VLOOKUP(Investment_Strategy&amp;"_"&amp;Investment_Strategy_Sub1&amp;"_"&amp;$A492,'Investment Strategies'!$AZ:$BP,17,FALSE),
IF(AND(Investment_Strategy="Lifecycle",Investment_Strategy_Sub1="Non-Standard"),VLOOKUP(Investment_Strategy&amp;"_"&amp;Investment_Strategy_Sub2&amp;"_"&amp;$A492,'Investment Strategies'!$C:$P,14,FALSE),
IF(AND(Investment_Strategy="Lifecycle",Investment_Strategy_Sub1="Standard"),VLOOKUP(Investment_Strategy&amp;"_"&amp;Investment_Strategy_Sub2&amp;"_"&amp;$A492,'Investment Strategies'!$AJ:$AV,13,FALSE),
IF(AND(Investment_Strategy="Autopilot",Investment_Strategy_Sub1="Non-Standard"),VLOOKUP(Investment_Strategy&amp;"_"&amp;Investment_Strategy_Sub2&amp;"_"&amp;$A492,'Investment Strategies'!$T:$AF,13,FALSE),
IF(Investment_Strategy="DIY",DIY_ExtManChrge_SP,
"Error"))))))</f>
        <v>0</v>
      </c>
      <c r="O492" s="16">
        <f t="shared" si="301"/>
        <v>0</v>
      </c>
      <c r="Q492" s="16">
        <f t="shared" si="278"/>
        <v>0</v>
      </c>
      <c r="R492" s="16">
        <f t="shared" si="274"/>
        <v>0</v>
      </c>
      <c r="S492" s="16">
        <f>(SRP_SP+SUM(S$91:S491))*L492*IF(D492=$A$91,SRP_finalmonthfactor,1)</f>
        <v>0</v>
      </c>
      <c r="T492" s="74">
        <f>MIN(IF($AV492=0,0,
IF(Investment_Strategy="DIS",VLOOKUP(Investment_Strategy&amp;"_"&amp;Investment_Strategy_Sub1&amp;"_"&amp;$A492,'Investment Strategies'!$AZ:$BP,12,FALSE),
IF(AND(Investment_Strategy="Lifecycle",Investment_Strategy_Sub1="Non-Standard"),VLOOKUP(Investment_Strategy&amp;"_"&amp;Investment_Strategy_Sub2&amp;"_"&amp;$A492,'Investment Strategies'!$C:$P,9,FALSE),
IF(AND(Investment_Strategy="Lifecycle",Investment_Strategy_Sub1="Standard"),VLOOKUP(Investment_Strategy&amp;"_"&amp;Investment_Strategy_Sub2&amp;"_"&amp;$A492,'Investment Strategies'!$AJ:$AV,8,FALSE),
IF(AND(Investment_Strategy="Autopilot",Investment_Strategy_Sub1="Non-Standard"),VLOOKUP(Investment_Strategy&amp;"_"&amp;Investment_Strategy_Sub2&amp;"_"&amp;$A492,'Investment Strategies'!$T:$AF,8,FALSE),
IF(Investment_Strategy ="DIY",DIY_RateOfReturn_FuturePremiums,
"Error")))))),Max_InvReturn)</f>
        <v>0</v>
      </c>
      <c r="U492" s="62">
        <f>IF($AV492=0,0,
IF(Investment_Strategy="DIS",VLOOKUP(Investment_Strategy&amp;"_"&amp;Investment_Strategy_Sub1&amp;"_"&amp;$A492,'Investment Strategies'!$AZ:$BP,15,FALSE),
IF(AND(Investment_Strategy="Lifecycle",Investment_Strategy_Sub1="Non-Standard"),VLOOKUP(Investment_Strategy&amp;"_"&amp;Investment_Strategy_Sub2&amp;"_"&amp;$A492,'Investment Strategies'!$C:$P,12,FALSE),
IF(AND(Investment_Strategy="Lifecycle",Investment_Strategy_Sub1="Standard"),VLOOKUP(Investment_Strategy&amp;"_"&amp;Investment_Strategy_Sub2&amp;"_"&amp;$A492,'Investment Strategies'!$AJ:$AV,11,FALSE),
IF(AND(Investment_Strategy="Autopilot",Investment_Strategy_Sub1="Non-Standard"),VLOOKUP(Investment_Strategy&amp;"_"&amp;Investment_Strategy_Sub2&amp;"_"&amp;$A492,'Investment Strategies'!$T:$AF,11,FALSE),
IF(Investment_Strategy="DIY",DIY_GteeChrge_FuturePremiums,
"Error"))))))</f>
        <v>0</v>
      </c>
      <c r="V492" s="33">
        <f>IF(AV492=0,0,
IF(Investment_Strategy="DIS",VLOOKUP(Investment_Strategy&amp;"_"&amp;Investment_Strategy_Sub1&amp;"_"&amp;$A492,'Investment Strategies'!$AZ:$BP,17,FALSE),
IF(AND(Investment_Strategy="Lifecycle",Investment_Strategy_Sub1="Non-Standard"),VLOOKUP(Investment_Strategy&amp;"_"&amp;Investment_Strategy_Sub2&amp;"_"&amp;$A492,'Investment Strategies'!$C:$P,14,FALSE),
IF(AND(Investment_Strategy="Lifecycle",Investment_Strategy_Sub1="Standard"),VLOOKUP(Investment_Strategy&amp;"_"&amp;Investment_Strategy_Sub2&amp;"_"&amp;$A492,'Investment Strategies'!$AJ:$AV,13,FALSE),
IF(AND(Investment_Strategy="Autopilot",Investment_Strategy_Sub1="Non-Standard"),VLOOKUP(Investment_Strategy&amp;"_"&amp;Investment_Strategy_Sub2&amp;"_"&amp;$A492,'Investment Strategies'!$T:$AF,13,FALSE),
IF(Investment_Strategy="DIY",DIY_ExtManChrge_FuturePremiums,
"Error"))))))</f>
        <v>0</v>
      </c>
      <c r="W492" s="16">
        <f t="shared" si="302"/>
        <v>0</v>
      </c>
      <c r="X492" s="16">
        <f t="shared" si="279"/>
        <v>0</v>
      </c>
      <c r="Y492" s="16">
        <f t="shared" si="280"/>
        <v>0</v>
      </c>
      <c r="Z492" s="31">
        <f t="shared" si="281"/>
        <v>0.02</v>
      </c>
      <c r="AA492" s="16">
        <f t="shared" si="282"/>
        <v>0</v>
      </c>
      <c r="AB492" s="28">
        <f t="shared" si="303"/>
        <v>0</v>
      </c>
      <c r="AC492" s="28">
        <f>(SUM($AC$91:AC491)+SUM($X$91:X491)+X492)*T492*IF(D492=$A$91,SRP_finalmonthfactor,1)</f>
        <v>0</v>
      </c>
      <c r="AD492" s="16">
        <f t="shared" si="283"/>
        <v>0</v>
      </c>
      <c r="AE492" s="106"/>
      <c r="AF492" s="16">
        <f t="shared" si="291"/>
        <v>0</v>
      </c>
      <c r="AG492" s="16">
        <f t="shared" si="292"/>
        <v>0</v>
      </c>
      <c r="AH492" s="16">
        <f t="shared" si="293"/>
        <v>0</v>
      </c>
      <c r="AJ492" s="13">
        <f t="shared" si="305"/>
        <v>0</v>
      </c>
      <c r="AK492" s="13">
        <f t="shared" si="305"/>
        <v>0</v>
      </c>
      <c r="AL492" s="13">
        <f t="shared" si="305"/>
        <v>0</v>
      </c>
      <c r="AM492" s="13">
        <f t="shared" si="305"/>
        <v>0</v>
      </c>
      <c r="AN492" s="13">
        <f t="shared" si="305"/>
        <v>0</v>
      </c>
      <c r="AO492" s="13">
        <f t="shared" si="305"/>
        <v>1</v>
      </c>
      <c r="AP492" s="13">
        <f t="shared" si="305"/>
        <v>1</v>
      </c>
      <c r="AQ492" s="13">
        <f t="shared" si="305"/>
        <v>1</v>
      </c>
      <c r="AR492" s="13">
        <f t="shared" si="305"/>
        <v>0</v>
      </c>
      <c r="AS492" s="13">
        <f t="shared" si="305"/>
        <v>0</v>
      </c>
      <c r="AT492" s="13">
        <f t="shared" si="305"/>
        <v>1</v>
      </c>
      <c r="AU492" s="13">
        <f t="shared" si="305"/>
        <v>1</v>
      </c>
      <c r="AV492" s="13">
        <f t="shared" si="284"/>
        <v>0</v>
      </c>
      <c r="AW492" s="13">
        <f t="shared" si="285"/>
        <v>1</v>
      </c>
      <c r="AY492" s="17">
        <f t="shared" si="286"/>
        <v>402</v>
      </c>
      <c r="AZ492" s="28">
        <f t="shared" si="294"/>
        <v>0</v>
      </c>
      <c r="BA492" s="13">
        <f t="shared" si="287"/>
        <v>0</v>
      </c>
      <c r="BB492" s="13">
        <f t="shared" si="288"/>
        <v>0</v>
      </c>
      <c r="BC492" s="28">
        <f t="shared" si="295"/>
        <v>0</v>
      </c>
      <c r="BD492" s="28">
        <f t="shared" si="296"/>
        <v>0</v>
      </c>
      <c r="BF492" s="248">
        <f t="shared" si="297"/>
        <v>993869.29442638322</v>
      </c>
    </row>
    <row r="493" spans="1:58">
      <c r="A493" s="32">
        <f t="shared" si="298"/>
        <v>-318</v>
      </c>
      <c r="B493" s="32">
        <f t="shared" si="289"/>
        <v>86</v>
      </c>
      <c r="C493" s="32">
        <f t="shared" si="299"/>
        <v>34</v>
      </c>
      <c r="D493" s="32">
        <f t="shared" si="300"/>
        <v>403</v>
      </c>
      <c r="E493" s="74">
        <f>MIN(IF(AV493=0,0,
IF(Investment_Strategy="DIS",VLOOKUP(Investment_Strategy&amp;"_"&amp;Investment_Strategy_Sub1&amp;"_"&amp;$A493,'Investment Strategies'!$AZ:$BP,12,FALSE),
IF(AND(Investment_Strategy="Lifecycle",Investment_Strategy_Sub1="Non-Standard"),VLOOKUP(Investment_Strategy&amp;"_"&amp;Investment_Strategy_Sub2&amp;"_"&amp;$A493,'Investment Strategies'!$C:$P,9,FALSE),
IF(AND(Investment_Strategy="Lifecycle",Investment_Strategy_Sub1="Standard"),VLOOKUP(Investment_Strategy&amp;"_"&amp;Investment_Strategy_Sub2&amp;"_"&amp;$A493,'Investment Strategies'!$AJ:$AV,8,FALSE),
IF(AND(Investment_Strategy="Autopilot",Investment_Strategy_Sub1="Non-Standard"),VLOOKUP(Investment_Strategy&amp;"_"&amp;Investment_Strategy_Sub2&amp;"_"&amp;$A493,'Investment Strategies'!$T:$AF,8,FALSE),
IF(Investment_Strategy ="DIY",DIY_RateOfReturn_CurrentFunds,
"Error")))))),Max_InvReturn)</f>
        <v>0</v>
      </c>
      <c r="F493" s="62">
        <f>IF(AV493=0,0,
IF(Investment_Strategy="DIS",VLOOKUP(Investment_Strategy&amp;"_"&amp;Investment_Strategy_Sub1&amp;"_"&amp;$A493,'Investment Strategies'!$AZ:$BP,15,FALSE),
IF(AND(Investment_Strategy="Lifecycle",Investment_Strategy_Sub1="Non-Standard"),VLOOKUP(Investment_Strategy&amp;"_"&amp;Investment_Strategy_Sub2&amp;"_"&amp;$A493,'Investment Strategies'!$C:$P,12,FALSE),
IF(AND(Investment_Strategy="Lifecycle",Investment_Strategy_Sub1="Standard"),VLOOKUP(Investment_Strategy&amp;"_"&amp;Investment_Strategy_Sub2&amp;"_"&amp;$A493,'Investment Strategies'!$AJ:$AV,11,FALSE),
IF(AND(Investment_Strategy="Autopilot",Investment_Strategy_Sub1="Non-Standard"),VLOOKUP(Investment_Strategy&amp;"_"&amp;Investment_Strategy_Sub2&amp;"_"&amp;$A493,'Investment Strategies'!$T:$AF,11,FALSE),
IF(Investment_Strategy="DIY",DIY_GteeChrge_CurrentFunds,
"Error"))))))</f>
        <v>0</v>
      </c>
      <c r="G493" s="33">
        <f>IF(AV493=0,0,
IF(Investment_Strategy="DIS",VLOOKUP(Investment_Strategy&amp;"_"&amp;Investment_Strategy_Sub1&amp;"_"&amp;$A493,'Investment Strategies'!$AZ:$BP,17,FALSE),
IF(AND(Investment_Strategy="Lifecycle",Investment_Strategy_Sub1="Non-Standard"),VLOOKUP(Investment_Strategy&amp;"_"&amp;Investment_Strategy_Sub2&amp;"_"&amp;$A493,'Investment Strategies'!$C:$P,14,FALSE),
IF(AND(Investment_Strategy="Lifecycle",Investment_Strategy_Sub1="Standard"),VLOOKUP(Investment_Strategy&amp;"_"&amp;Investment_Strategy_Sub2&amp;"_"&amp;$A493,'Investment Strategies'!$AJ:$AV,13,FALSE),
IF(AND(Investment_Strategy="Autopilot",Investment_Strategy_Sub1="Non-Standard"),VLOOKUP(Investment_Strategy&amp;"_"&amp;Investment_Strategy_Sub2&amp;"_"&amp;$A493,'Investment Strategies'!$T:$AF,13,FALSE),
IF(Investment_Strategy="DIY",DIY_ExtManChrge_CurrentFunds,
"Error"))))))</f>
        <v>0</v>
      </c>
      <c r="H493" s="16">
        <f t="shared" si="290"/>
        <v>0</v>
      </c>
      <c r="I493" s="16">
        <f t="shared" si="276"/>
        <v>0</v>
      </c>
      <c r="J493" s="16">
        <f t="shared" si="277"/>
        <v>0</v>
      </c>
      <c r="K493" s="16">
        <f>(Opening_Fund_Value+SUM(K$91:K492))*E493*IF(D493=$A$91,SRP_finalmonthfactor,1)</f>
        <v>0</v>
      </c>
      <c r="L493" s="74">
        <f>MIN(IF($AV493=0,0,
IF(Investment_Strategy="DIS",VLOOKUP(Investment_Strategy&amp;"_"&amp;Investment_Strategy_Sub1&amp;"_"&amp;$A493,'Investment Strategies'!$AZ:$BP,12,FALSE),
IF(AND(Investment_Strategy="Lifecycle",Investment_Strategy_Sub1="Non-Standard"),VLOOKUP(Investment_Strategy&amp;"_"&amp;Investment_Strategy_Sub2&amp;"_"&amp;$A493,'Investment Strategies'!$C:$P,9,FALSE),
IF(AND(Investment_Strategy="Lifecycle",Investment_Strategy_Sub1="Standard"),VLOOKUP(Investment_Strategy&amp;"_"&amp;Investment_Strategy_Sub2&amp;"_"&amp;$A493,'Investment Strategies'!$AJ:$AV,8,FALSE),
IF(AND(Investment_Strategy="Autopilot",Investment_Strategy_Sub1="Non-Standard"),VLOOKUP(Investment_Strategy&amp;"_"&amp;Investment_Strategy_Sub2&amp;"_"&amp;$A493,'Investment Strategies'!$T:$AF,8,FALSE),
IF(Investment_Strategy ="DIY",DIY_RateofReturn_SP,
"Error")))))),Max_InvReturn)</f>
        <v>0</v>
      </c>
      <c r="M493" s="62">
        <f>IF($AV493=0,0,
IF(Investment_Strategy="DIS",VLOOKUP(Investment_Strategy&amp;"_"&amp;Investment_Strategy_Sub1&amp;"_"&amp;$A493,'Investment Strategies'!$AZ:$BP,15,FALSE),
IF(AND(Investment_Strategy="Lifecycle",Investment_Strategy_Sub1="Non-Standard"),VLOOKUP(Investment_Strategy&amp;"_"&amp;Investment_Strategy_Sub2&amp;"_"&amp;$A493,'Investment Strategies'!$C:$P,12,FALSE),
IF(AND(Investment_Strategy="Lifecycle",Investment_Strategy_Sub1="Standard"),VLOOKUP(Investment_Strategy&amp;"_"&amp;Investment_Strategy_Sub2&amp;"_"&amp;$A493,'Investment Strategies'!$AJ:$AV,11,FALSE),
IF(AND(Investment_Strategy="Autopilot",Investment_Strategy_Sub1="Non-Standard"),VLOOKUP(Investment_Strategy&amp;"_"&amp;Investment_Strategy_Sub2&amp;"_"&amp;$A493,'Investment Strategies'!$T:$AF,11,FALSE),
IF(Investment_Strategy="DIY",DIY_GteeChrge_SP,
"Error"))))))</f>
        <v>0</v>
      </c>
      <c r="N493" s="33">
        <f>IF($AV493=0,0,
IF(Investment_Strategy="DIS",VLOOKUP(Investment_Strategy&amp;"_"&amp;Investment_Strategy_Sub1&amp;"_"&amp;$A493,'Investment Strategies'!$AZ:$BP,17,FALSE),
IF(AND(Investment_Strategy="Lifecycle",Investment_Strategy_Sub1="Non-Standard"),VLOOKUP(Investment_Strategy&amp;"_"&amp;Investment_Strategy_Sub2&amp;"_"&amp;$A493,'Investment Strategies'!$C:$P,14,FALSE),
IF(AND(Investment_Strategy="Lifecycle",Investment_Strategy_Sub1="Standard"),VLOOKUP(Investment_Strategy&amp;"_"&amp;Investment_Strategy_Sub2&amp;"_"&amp;$A493,'Investment Strategies'!$AJ:$AV,13,FALSE),
IF(AND(Investment_Strategy="Autopilot",Investment_Strategy_Sub1="Non-Standard"),VLOOKUP(Investment_Strategy&amp;"_"&amp;Investment_Strategy_Sub2&amp;"_"&amp;$A493,'Investment Strategies'!$T:$AF,13,FALSE),
IF(Investment_Strategy="DIY",DIY_ExtManChrge_SP,
"Error"))))))</f>
        <v>0</v>
      </c>
      <c r="O493" s="16">
        <f t="shared" si="301"/>
        <v>0</v>
      </c>
      <c r="Q493" s="16">
        <f t="shared" si="278"/>
        <v>0</v>
      </c>
      <c r="R493" s="16">
        <f t="shared" si="274"/>
        <v>0</v>
      </c>
      <c r="S493" s="16">
        <f>(SRP_SP+SUM(S$91:S492))*L493*IF(D493=$A$91,SRP_finalmonthfactor,1)</f>
        <v>0</v>
      </c>
      <c r="T493" s="74">
        <f>MIN(IF($AV493=0,0,
IF(Investment_Strategy="DIS",VLOOKUP(Investment_Strategy&amp;"_"&amp;Investment_Strategy_Sub1&amp;"_"&amp;$A493,'Investment Strategies'!$AZ:$BP,12,FALSE),
IF(AND(Investment_Strategy="Lifecycle",Investment_Strategy_Sub1="Non-Standard"),VLOOKUP(Investment_Strategy&amp;"_"&amp;Investment_Strategy_Sub2&amp;"_"&amp;$A493,'Investment Strategies'!$C:$P,9,FALSE),
IF(AND(Investment_Strategy="Lifecycle",Investment_Strategy_Sub1="Standard"),VLOOKUP(Investment_Strategy&amp;"_"&amp;Investment_Strategy_Sub2&amp;"_"&amp;$A493,'Investment Strategies'!$AJ:$AV,8,FALSE),
IF(AND(Investment_Strategy="Autopilot",Investment_Strategy_Sub1="Non-Standard"),VLOOKUP(Investment_Strategy&amp;"_"&amp;Investment_Strategy_Sub2&amp;"_"&amp;$A493,'Investment Strategies'!$T:$AF,8,FALSE),
IF(Investment_Strategy ="DIY",DIY_RateOfReturn_FuturePremiums,
"Error")))))),Max_InvReturn)</f>
        <v>0</v>
      </c>
      <c r="U493" s="62">
        <f>IF($AV493=0,0,
IF(Investment_Strategy="DIS",VLOOKUP(Investment_Strategy&amp;"_"&amp;Investment_Strategy_Sub1&amp;"_"&amp;$A493,'Investment Strategies'!$AZ:$BP,15,FALSE),
IF(AND(Investment_Strategy="Lifecycle",Investment_Strategy_Sub1="Non-Standard"),VLOOKUP(Investment_Strategy&amp;"_"&amp;Investment_Strategy_Sub2&amp;"_"&amp;$A493,'Investment Strategies'!$C:$P,12,FALSE),
IF(AND(Investment_Strategy="Lifecycle",Investment_Strategy_Sub1="Standard"),VLOOKUP(Investment_Strategy&amp;"_"&amp;Investment_Strategy_Sub2&amp;"_"&amp;$A493,'Investment Strategies'!$AJ:$AV,11,FALSE),
IF(AND(Investment_Strategy="Autopilot",Investment_Strategy_Sub1="Non-Standard"),VLOOKUP(Investment_Strategy&amp;"_"&amp;Investment_Strategy_Sub2&amp;"_"&amp;$A493,'Investment Strategies'!$T:$AF,11,FALSE),
IF(Investment_Strategy="DIY",DIY_GteeChrge_FuturePremiums,
"Error"))))))</f>
        <v>0</v>
      </c>
      <c r="V493" s="33">
        <f>IF(AV493=0,0,
IF(Investment_Strategy="DIS",VLOOKUP(Investment_Strategy&amp;"_"&amp;Investment_Strategy_Sub1&amp;"_"&amp;$A493,'Investment Strategies'!$AZ:$BP,17,FALSE),
IF(AND(Investment_Strategy="Lifecycle",Investment_Strategy_Sub1="Non-Standard"),VLOOKUP(Investment_Strategy&amp;"_"&amp;Investment_Strategy_Sub2&amp;"_"&amp;$A493,'Investment Strategies'!$C:$P,14,FALSE),
IF(AND(Investment_Strategy="Lifecycle",Investment_Strategy_Sub1="Standard"),VLOOKUP(Investment_Strategy&amp;"_"&amp;Investment_Strategy_Sub2&amp;"_"&amp;$A493,'Investment Strategies'!$AJ:$AV,13,FALSE),
IF(AND(Investment_Strategy="Autopilot",Investment_Strategy_Sub1="Non-Standard"),VLOOKUP(Investment_Strategy&amp;"_"&amp;Investment_Strategy_Sub2&amp;"_"&amp;$A493,'Investment Strategies'!$T:$AF,13,FALSE),
IF(Investment_Strategy="DIY",DIY_ExtManChrge_FuturePremiums,
"Error"))))))</f>
        <v>0</v>
      </c>
      <c r="W493" s="16">
        <f t="shared" si="302"/>
        <v>0</v>
      </c>
      <c r="X493" s="16">
        <f t="shared" si="279"/>
        <v>0</v>
      </c>
      <c r="Y493" s="16">
        <f t="shared" si="280"/>
        <v>0</v>
      </c>
      <c r="Z493" s="31">
        <f t="shared" si="281"/>
        <v>0.02</v>
      </c>
      <c r="AA493" s="16">
        <f t="shared" si="282"/>
        <v>0</v>
      </c>
      <c r="AB493" s="28">
        <f t="shared" si="303"/>
        <v>0</v>
      </c>
      <c r="AC493" s="28">
        <f>(SUM($AC$91:AC492)+SUM($X$91:X492)+X493)*T493*IF(D493=$A$91,SRP_finalmonthfactor,1)</f>
        <v>0</v>
      </c>
      <c r="AD493" s="16">
        <f t="shared" si="283"/>
        <v>0</v>
      </c>
      <c r="AE493" s="106"/>
      <c r="AF493" s="16">
        <f t="shared" si="291"/>
        <v>0</v>
      </c>
      <c r="AG493" s="16">
        <f t="shared" si="292"/>
        <v>0</v>
      </c>
      <c r="AH493" s="16">
        <f t="shared" si="293"/>
        <v>0</v>
      </c>
      <c r="AJ493" s="13">
        <f t="shared" si="305"/>
        <v>0</v>
      </c>
      <c r="AK493" s="13">
        <f t="shared" si="305"/>
        <v>0</v>
      </c>
      <c r="AL493" s="13">
        <f t="shared" si="305"/>
        <v>0</v>
      </c>
      <c r="AM493" s="13">
        <f t="shared" si="305"/>
        <v>0</v>
      </c>
      <c r="AN493" s="13">
        <f t="shared" si="305"/>
        <v>0</v>
      </c>
      <c r="AO493" s="13">
        <f t="shared" si="305"/>
        <v>1</v>
      </c>
      <c r="AP493" s="13">
        <f t="shared" si="305"/>
        <v>1</v>
      </c>
      <c r="AQ493" s="13">
        <f t="shared" si="305"/>
        <v>1</v>
      </c>
      <c r="AR493" s="13">
        <f t="shared" si="305"/>
        <v>0</v>
      </c>
      <c r="AS493" s="13">
        <f t="shared" si="305"/>
        <v>0</v>
      </c>
      <c r="AT493" s="13">
        <f t="shared" si="305"/>
        <v>1</v>
      </c>
      <c r="AU493" s="13">
        <f t="shared" si="305"/>
        <v>1</v>
      </c>
      <c r="AV493" s="13">
        <f t="shared" si="284"/>
        <v>0</v>
      </c>
      <c r="AW493" s="13">
        <f t="shared" si="285"/>
        <v>1</v>
      </c>
      <c r="AY493" s="17">
        <f t="shared" si="286"/>
        <v>403</v>
      </c>
      <c r="AZ493" s="28">
        <f t="shared" si="294"/>
        <v>0</v>
      </c>
      <c r="BA493" s="13">
        <f t="shared" si="287"/>
        <v>0</v>
      </c>
      <c r="BB493" s="13">
        <f t="shared" si="288"/>
        <v>0</v>
      </c>
      <c r="BC493" s="28">
        <f t="shared" si="295"/>
        <v>0</v>
      </c>
      <c r="BD493" s="28">
        <f t="shared" si="296"/>
        <v>0</v>
      </c>
      <c r="BF493" s="248">
        <f t="shared" si="297"/>
        <v>993869.29442638322</v>
      </c>
    </row>
    <row r="494" spans="1:58">
      <c r="A494" s="32">
        <f t="shared" si="298"/>
        <v>-319</v>
      </c>
      <c r="B494" s="32">
        <f t="shared" si="289"/>
        <v>86</v>
      </c>
      <c r="C494" s="32">
        <f t="shared" si="299"/>
        <v>34</v>
      </c>
      <c r="D494" s="32">
        <f t="shared" si="300"/>
        <v>404</v>
      </c>
      <c r="E494" s="74">
        <f>MIN(IF(AV494=0,0,
IF(Investment_Strategy="DIS",VLOOKUP(Investment_Strategy&amp;"_"&amp;Investment_Strategy_Sub1&amp;"_"&amp;$A494,'Investment Strategies'!$AZ:$BP,12,FALSE),
IF(AND(Investment_Strategy="Lifecycle",Investment_Strategy_Sub1="Non-Standard"),VLOOKUP(Investment_Strategy&amp;"_"&amp;Investment_Strategy_Sub2&amp;"_"&amp;$A494,'Investment Strategies'!$C:$P,9,FALSE),
IF(AND(Investment_Strategy="Lifecycle",Investment_Strategy_Sub1="Standard"),VLOOKUP(Investment_Strategy&amp;"_"&amp;Investment_Strategy_Sub2&amp;"_"&amp;$A494,'Investment Strategies'!$AJ:$AV,8,FALSE),
IF(AND(Investment_Strategy="Autopilot",Investment_Strategy_Sub1="Non-Standard"),VLOOKUP(Investment_Strategy&amp;"_"&amp;Investment_Strategy_Sub2&amp;"_"&amp;$A494,'Investment Strategies'!$T:$AF,8,FALSE),
IF(Investment_Strategy ="DIY",DIY_RateOfReturn_CurrentFunds,
"Error")))))),Max_InvReturn)</f>
        <v>0</v>
      </c>
      <c r="F494" s="62">
        <f>IF(AV494=0,0,
IF(Investment_Strategy="DIS",VLOOKUP(Investment_Strategy&amp;"_"&amp;Investment_Strategy_Sub1&amp;"_"&amp;$A494,'Investment Strategies'!$AZ:$BP,15,FALSE),
IF(AND(Investment_Strategy="Lifecycle",Investment_Strategy_Sub1="Non-Standard"),VLOOKUP(Investment_Strategy&amp;"_"&amp;Investment_Strategy_Sub2&amp;"_"&amp;$A494,'Investment Strategies'!$C:$P,12,FALSE),
IF(AND(Investment_Strategy="Lifecycle",Investment_Strategy_Sub1="Standard"),VLOOKUP(Investment_Strategy&amp;"_"&amp;Investment_Strategy_Sub2&amp;"_"&amp;$A494,'Investment Strategies'!$AJ:$AV,11,FALSE),
IF(AND(Investment_Strategy="Autopilot",Investment_Strategy_Sub1="Non-Standard"),VLOOKUP(Investment_Strategy&amp;"_"&amp;Investment_Strategy_Sub2&amp;"_"&amp;$A494,'Investment Strategies'!$T:$AF,11,FALSE),
IF(Investment_Strategy="DIY",DIY_GteeChrge_CurrentFunds,
"Error"))))))</f>
        <v>0</v>
      </c>
      <c r="G494" s="33">
        <f>IF(AV494=0,0,
IF(Investment_Strategy="DIS",VLOOKUP(Investment_Strategy&amp;"_"&amp;Investment_Strategy_Sub1&amp;"_"&amp;$A494,'Investment Strategies'!$AZ:$BP,17,FALSE),
IF(AND(Investment_Strategy="Lifecycle",Investment_Strategy_Sub1="Non-Standard"),VLOOKUP(Investment_Strategy&amp;"_"&amp;Investment_Strategy_Sub2&amp;"_"&amp;$A494,'Investment Strategies'!$C:$P,14,FALSE),
IF(AND(Investment_Strategy="Lifecycle",Investment_Strategy_Sub1="Standard"),VLOOKUP(Investment_Strategy&amp;"_"&amp;Investment_Strategy_Sub2&amp;"_"&amp;$A494,'Investment Strategies'!$AJ:$AV,13,FALSE),
IF(AND(Investment_Strategy="Autopilot",Investment_Strategy_Sub1="Non-Standard"),VLOOKUP(Investment_Strategy&amp;"_"&amp;Investment_Strategy_Sub2&amp;"_"&amp;$A494,'Investment Strategies'!$T:$AF,13,FALSE),
IF(Investment_Strategy="DIY",DIY_ExtManChrge_CurrentFunds,
"Error"))))))</f>
        <v>0</v>
      </c>
      <c r="H494" s="16">
        <f t="shared" si="290"/>
        <v>0</v>
      </c>
      <c r="I494" s="16">
        <f t="shared" si="276"/>
        <v>0</v>
      </c>
      <c r="J494" s="16">
        <f t="shared" si="277"/>
        <v>0</v>
      </c>
      <c r="K494" s="16">
        <f>(Opening_Fund_Value+SUM(K$91:K493))*E494*IF(D494=$A$91,SRP_finalmonthfactor,1)</f>
        <v>0</v>
      </c>
      <c r="L494" s="74">
        <f>MIN(IF($AV494=0,0,
IF(Investment_Strategy="DIS",VLOOKUP(Investment_Strategy&amp;"_"&amp;Investment_Strategy_Sub1&amp;"_"&amp;$A494,'Investment Strategies'!$AZ:$BP,12,FALSE),
IF(AND(Investment_Strategy="Lifecycle",Investment_Strategy_Sub1="Non-Standard"),VLOOKUP(Investment_Strategy&amp;"_"&amp;Investment_Strategy_Sub2&amp;"_"&amp;$A494,'Investment Strategies'!$C:$P,9,FALSE),
IF(AND(Investment_Strategy="Lifecycle",Investment_Strategy_Sub1="Standard"),VLOOKUP(Investment_Strategy&amp;"_"&amp;Investment_Strategy_Sub2&amp;"_"&amp;$A494,'Investment Strategies'!$AJ:$AV,8,FALSE),
IF(AND(Investment_Strategy="Autopilot",Investment_Strategy_Sub1="Non-Standard"),VLOOKUP(Investment_Strategy&amp;"_"&amp;Investment_Strategy_Sub2&amp;"_"&amp;$A494,'Investment Strategies'!$T:$AF,8,FALSE),
IF(Investment_Strategy ="DIY",DIY_RateofReturn_SP,
"Error")))))),Max_InvReturn)</f>
        <v>0</v>
      </c>
      <c r="M494" s="62">
        <f>IF($AV494=0,0,
IF(Investment_Strategy="DIS",VLOOKUP(Investment_Strategy&amp;"_"&amp;Investment_Strategy_Sub1&amp;"_"&amp;$A494,'Investment Strategies'!$AZ:$BP,15,FALSE),
IF(AND(Investment_Strategy="Lifecycle",Investment_Strategy_Sub1="Non-Standard"),VLOOKUP(Investment_Strategy&amp;"_"&amp;Investment_Strategy_Sub2&amp;"_"&amp;$A494,'Investment Strategies'!$C:$P,12,FALSE),
IF(AND(Investment_Strategy="Lifecycle",Investment_Strategy_Sub1="Standard"),VLOOKUP(Investment_Strategy&amp;"_"&amp;Investment_Strategy_Sub2&amp;"_"&amp;$A494,'Investment Strategies'!$AJ:$AV,11,FALSE),
IF(AND(Investment_Strategy="Autopilot",Investment_Strategy_Sub1="Non-Standard"),VLOOKUP(Investment_Strategy&amp;"_"&amp;Investment_Strategy_Sub2&amp;"_"&amp;$A494,'Investment Strategies'!$T:$AF,11,FALSE),
IF(Investment_Strategy="DIY",DIY_GteeChrge_SP,
"Error"))))))</f>
        <v>0</v>
      </c>
      <c r="N494" s="33">
        <f>IF($AV494=0,0,
IF(Investment_Strategy="DIS",VLOOKUP(Investment_Strategy&amp;"_"&amp;Investment_Strategy_Sub1&amp;"_"&amp;$A494,'Investment Strategies'!$AZ:$BP,17,FALSE),
IF(AND(Investment_Strategy="Lifecycle",Investment_Strategy_Sub1="Non-Standard"),VLOOKUP(Investment_Strategy&amp;"_"&amp;Investment_Strategy_Sub2&amp;"_"&amp;$A494,'Investment Strategies'!$C:$P,14,FALSE),
IF(AND(Investment_Strategy="Lifecycle",Investment_Strategy_Sub1="Standard"),VLOOKUP(Investment_Strategy&amp;"_"&amp;Investment_Strategy_Sub2&amp;"_"&amp;$A494,'Investment Strategies'!$AJ:$AV,13,FALSE),
IF(AND(Investment_Strategy="Autopilot",Investment_Strategy_Sub1="Non-Standard"),VLOOKUP(Investment_Strategy&amp;"_"&amp;Investment_Strategy_Sub2&amp;"_"&amp;$A494,'Investment Strategies'!$T:$AF,13,FALSE),
IF(Investment_Strategy="DIY",DIY_ExtManChrge_SP,
"Error"))))))</f>
        <v>0</v>
      </c>
      <c r="O494" s="16">
        <f t="shared" si="301"/>
        <v>0</v>
      </c>
      <c r="Q494" s="16">
        <f t="shared" si="278"/>
        <v>0</v>
      </c>
      <c r="R494" s="16">
        <f t="shared" si="274"/>
        <v>0</v>
      </c>
      <c r="S494" s="16">
        <f>(SRP_SP+SUM(S$91:S493))*L494*IF(D494=$A$91,SRP_finalmonthfactor,1)</f>
        <v>0</v>
      </c>
      <c r="T494" s="74">
        <f>MIN(IF($AV494=0,0,
IF(Investment_Strategy="DIS",VLOOKUP(Investment_Strategy&amp;"_"&amp;Investment_Strategy_Sub1&amp;"_"&amp;$A494,'Investment Strategies'!$AZ:$BP,12,FALSE),
IF(AND(Investment_Strategy="Lifecycle",Investment_Strategy_Sub1="Non-Standard"),VLOOKUP(Investment_Strategy&amp;"_"&amp;Investment_Strategy_Sub2&amp;"_"&amp;$A494,'Investment Strategies'!$C:$P,9,FALSE),
IF(AND(Investment_Strategy="Lifecycle",Investment_Strategy_Sub1="Standard"),VLOOKUP(Investment_Strategy&amp;"_"&amp;Investment_Strategy_Sub2&amp;"_"&amp;$A494,'Investment Strategies'!$AJ:$AV,8,FALSE),
IF(AND(Investment_Strategy="Autopilot",Investment_Strategy_Sub1="Non-Standard"),VLOOKUP(Investment_Strategy&amp;"_"&amp;Investment_Strategy_Sub2&amp;"_"&amp;$A494,'Investment Strategies'!$T:$AF,8,FALSE),
IF(Investment_Strategy ="DIY",DIY_RateOfReturn_FuturePremiums,
"Error")))))),Max_InvReturn)</f>
        <v>0</v>
      </c>
      <c r="U494" s="62">
        <f>IF($AV494=0,0,
IF(Investment_Strategy="DIS",VLOOKUP(Investment_Strategy&amp;"_"&amp;Investment_Strategy_Sub1&amp;"_"&amp;$A494,'Investment Strategies'!$AZ:$BP,15,FALSE),
IF(AND(Investment_Strategy="Lifecycle",Investment_Strategy_Sub1="Non-Standard"),VLOOKUP(Investment_Strategy&amp;"_"&amp;Investment_Strategy_Sub2&amp;"_"&amp;$A494,'Investment Strategies'!$C:$P,12,FALSE),
IF(AND(Investment_Strategy="Lifecycle",Investment_Strategy_Sub1="Standard"),VLOOKUP(Investment_Strategy&amp;"_"&amp;Investment_Strategy_Sub2&amp;"_"&amp;$A494,'Investment Strategies'!$AJ:$AV,11,FALSE),
IF(AND(Investment_Strategy="Autopilot",Investment_Strategy_Sub1="Non-Standard"),VLOOKUP(Investment_Strategy&amp;"_"&amp;Investment_Strategy_Sub2&amp;"_"&amp;$A494,'Investment Strategies'!$T:$AF,11,FALSE),
IF(Investment_Strategy="DIY",DIY_GteeChrge_FuturePremiums,
"Error"))))))</f>
        <v>0</v>
      </c>
      <c r="V494" s="33">
        <f>IF(AV494=0,0,
IF(Investment_Strategy="DIS",VLOOKUP(Investment_Strategy&amp;"_"&amp;Investment_Strategy_Sub1&amp;"_"&amp;$A494,'Investment Strategies'!$AZ:$BP,17,FALSE),
IF(AND(Investment_Strategy="Lifecycle",Investment_Strategy_Sub1="Non-Standard"),VLOOKUP(Investment_Strategy&amp;"_"&amp;Investment_Strategy_Sub2&amp;"_"&amp;$A494,'Investment Strategies'!$C:$P,14,FALSE),
IF(AND(Investment_Strategy="Lifecycle",Investment_Strategy_Sub1="Standard"),VLOOKUP(Investment_Strategy&amp;"_"&amp;Investment_Strategy_Sub2&amp;"_"&amp;$A494,'Investment Strategies'!$AJ:$AV,13,FALSE),
IF(AND(Investment_Strategy="Autopilot",Investment_Strategy_Sub1="Non-Standard"),VLOOKUP(Investment_Strategy&amp;"_"&amp;Investment_Strategy_Sub2&amp;"_"&amp;$A494,'Investment Strategies'!$T:$AF,13,FALSE),
IF(Investment_Strategy="DIY",DIY_ExtManChrge_FuturePremiums,
"Error"))))))</f>
        <v>0</v>
      </c>
      <c r="W494" s="16">
        <f t="shared" si="302"/>
        <v>0</v>
      </c>
      <c r="X494" s="16">
        <f t="shared" si="279"/>
        <v>0</v>
      </c>
      <c r="Y494" s="16">
        <f t="shared" si="280"/>
        <v>0</v>
      </c>
      <c r="Z494" s="31">
        <f t="shared" si="281"/>
        <v>0.02</v>
      </c>
      <c r="AA494" s="16">
        <f t="shared" si="282"/>
        <v>0</v>
      </c>
      <c r="AB494" s="28">
        <f t="shared" si="303"/>
        <v>0</v>
      </c>
      <c r="AC494" s="28">
        <f>(SUM($AC$91:AC493)+SUM($X$91:X493)+X494)*T494*IF(D494=$A$91,SRP_finalmonthfactor,1)</f>
        <v>0</v>
      </c>
      <c r="AD494" s="16">
        <f t="shared" si="283"/>
        <v>0</v>
      </c>
      <c r="AE494" s="106"/>
      <c r="AF494" s="16">
        <f t="shared" si="291"/>
        <v>0</v>
      </c>
      <c r="AG494" s="16">
        <f t="shared" si="292"/>
        <v>0</v>
      </c>
      <c r="AH494" s="16">
        <f t="shared" si="293"/>
        <v>0</v>
      </c>
      <c r="AJ494" s="13">
        <f t="shared" si="305"/>
        <v>0</v>
      </c>
      <c r="AK494" s="13">
        <f t="shared" si="305"/>
        <v>0</v>
      </c>
      <c r="AL494" s="13">
        <f t="shared" si="305"/>
        <v>0</v>
      </c>
      <c r="AM494" s="13">
        <f t="shared" si="305"/>
        <v>0</v>
      </c>
      <c r="AN494" s="13">
        <f t="shared" si="305"/>
        <v>0</v>
      </c>
      <c r="AO494" s="13">
        <f t="shared" si="305"/>
        <v>1</v>
      </c>
      <c r="AP494" s="13">
        <f t="shared" si="305"/>
        <v>1</v>
      </c>
      <c r="AQ494" s="13">
        <f t="shared" si="305"/>
        <v>1</v>
      </c>
      <c r="AR494" s="13">
        <f t="shared" si="305"/>
        <v>0</v>
      </c>
      <c r="AS494" s="13">
        <f t="shared" si="305"/>
        <v>0</v>
      </c>
      <c r="AT494" s="13">
        <f t="shared" si="305"/>
        <v>1</v>
      </c>
      <c r="AU494" s="13">
        <f t="shared" si="305"/>
        <v>1</v>
      </c>
      <c r="AV494" s="13">
        <f t="shared" si="284"/>
        <v>0</v>
      </c>
      <c r="AW494" s="13">
        <f t="shared" si="285"/>
        <v>1</v>
      </c>
      <c r="AY494" s="17">
        <f t="shared" si="286"/>
        <v>404</v>
      </c>
      <c r="AZ494" s="28">
        <f t="shared" si="294"/>
        <v>0</v>
      </c>
      <c r="BA494" s="13">
        <f t="shared" si="287"/>
        <v>0</v>
      </c>
      <c r="BB494" s="13">
        <f t="shared" si="288"/>
        <v>0</v>
      </c>
      <c r="BC494" s="28">
        <f t="shared" si="295"/>
        <v>0</v>
      </c>
      <c r="BD494" s="28">
        <f t="shared" si="296"/>
        <v>0</v>
      </c>
      <c r="BF494" s="248">
        <f t="shared" si="297"/>
        <v>993869.29442638322</v>
      </c>
    </row>
    <row r="495" spans="1:58">
      <c r="A495" s="32">
        <f t="shared" si="298"/>
        <v>-320</v>
      </c>
      <c r="B495" s="32">
        <f t="shared" si="289"/>
        <v>86</v>
      </c>
      <c r="C495" s="32">
        <f t="shared" si="299"/>
        <v>34</v>
      </c>
      <c r="D495" s="32">
        <f t="shared" si="300"/>
        <v>405</v>
      </c>
      <c r="E495" s="74">
        <f>MIN(IF(AV495=0,0,
IF(Investment_Strategy="DIS",VLOOKUP(Investment_Strategy&amp;"_"&amp;Investment_Strategy_Sub1&amp;"_"&amp;$A495,'Investment Strategies'!$AZ:$BP,12,FALSE),
IF(AND(Investment_Strategy="Lifecycle",Investment_Strategy_Sub1="Non-Standard"),VLOOKUP(Investment_Strategy&amp;"_"&amp;Investment_Strategy_Sub2&amp;"_"&amp;$A495,'Investment Strategies'!$C:$P,9,FALSE),
IF(AND(Investment_Strategy="Lifecycle",Investment_Strategy_Sub1="Standard"),VLOOKUP(Investment_Strategy&amp;"_"&amp;Investment_Strategy_Sub2&amp;"_"&amp;$A495,'Investment Strategies'!$AJ:$AV,8,FALSE),
IF(AND(Investment_Strategy="Autopilot",Investment_Strategy_Sub1="Non-Standard"),VLOOKUP(Investment_Strategy&amp;"_"&amp;Investment_Strategy_Sub2&amp;"_"&amp;$A495,'Investment Strategies'!$T:$AF,8,FALSE),
IF(Investment_Strategy ="DIY",DIY_RateOfReturn_CurrentFunds,
"Error")))))),Max_InvReturn)</f>
        <v>0</v>
      </c>
      <c r="F495" s="62">
        <f>IF(AV495=0,0,
IF(Investment_Strategy="DIS",VLOOKUP(Investment_Strategy&amp;"_"&amp;Investment_Strategy_Sub1&amp;"_"&amp;$A495,'Investment Strategies'!$AZ:$BP,15,FALSE),
IF(AND(Investment_Strategy="Lifecycle",Investment_Strategy_Sub1="Non-Standard"),VLOOKUP(Investment_Strategy&amp;"_"&amp;Investment_Strategy_Sub2&amp;"_"&amp;$A495,'Investment Strategies'!$C:$P,12,FALSE),
IF(AND(Investment_Strategy="Lifecycle",Investment_Strategy_Sub1="Standard"),VLOOKUP(Investment_Strategy&amp;"_"&amp;Investment_Strategy_Sub2&amp;"_"&amp;$A495,'Investment Strategies'!$AJ:$AV,11,FALSE),
IF(AND(Investment_Strategy="Autopilot",Investment_Strategy_Sub1="Non-Standard"),VLOOKUP(Investment_Strategy&amp;"_"&amp;Investment_Strategy_Sub2&amp;"_"&amp;$A495,'Investment Strategies'!$T:$AF,11,FALSE),
IF(Investment_Strategy="DIY",DIY_GteeChrge_CurrentFunds,
"Error"))))))</f>
        <v>0</v>
      </c>
      <c r="G495" s="33">
        <f>IF(AV495=0,0,
IF(Investment_Strategy="DIS",VLOOKUP(Investment_Strategy&amp;"_"&amp;Investment_Strategy_Sub1&amp;"_"&amp;$A495,'Investment Strategies'!$AZ:$BP,17,FALSE),
IF(AND(Investment_Strategy="Lifecycle",Investment_Strategy_Sub1="Non-Standard"),VLOOKUP(Investment_Strategy&amp;"_"&amp;Investment_Strategy_Sub2&amp;"_"&amp;$A495,'Investment Strategies'!$C:$P,14,FALSE),
IF(AND(Investment_Strategy="Lifecycle",Investment_Strategy_Sub1="Standard"),VLOOKUP(Investment_Strategy&amp;"_"&amp;Investment_Strategy_Sub2&amp;"_"&amp;$A495,'Investment Strategies'!$AJ:$AV,13,FALSE),
IF(AND(Investment_Strategy="Autopilot",Investment_Strategy_Sub1="Non-Standard"),VLOOKUP(Investment_Strategy&amp;"_"&amp;Investment_Strategy_Sub2&amp;"_"&amp;$A495,'Investment Strategies'!$T:$AF,13,FALSE),
IF(Investment_Strategy="DIY",DIY_ExtManChrge_CurrentFunds,
"Error"))))))</f>
        <v>0</v>
      </c>
      <c r="H495" s="16">
        <f t="shared" si="290"/>
        <v>0</v>
      </c>
      <c r="I495" s="16">
        <f t="shared" si="276"/>
        <v>0</v>
      </c>
      <c r="J495" s="16">
        <f t="shared" si="277"/>
        <v>0</v>
      </c>
      <c r="K495" s="16">
        <f>(Opening_Fund_Value+SUM(K$91:K494))*E495*IF(D495=$A$91,SRP_finalmonthfactor,1)</f>
        <v>0</v>
      </c>
      <c r="L495" s="74">
        <f>MIN(IF($AV495=0,0,
IF(Investment_Strategy="DIS",VLOOKUP(Investment_Strategy&amp;"_"&amp;Investment_Strategy_Sub1&amp;"_"&amp;$A495,'Investment Strategies'!$AZ:$BP,12,FALSE),
IF(AND(Investment_Strategy="Lifecycle",Investment_Strategy_Sub1="Non-Standard"),VLOOKUP(Investment_Strategy&amp;"_"&amp;Investment_Strategy_Sub2&amp;"_"&amp;$A495,'Investment Strategies'!$C:$P,9,FALSE),
IF(AND(Investment_Strategy="Lifecycle",Investment_Strategy_Sub1="Standard"),VLOOKUP(Investment_Strategy&amp;"_"&amp;Investment_Strategy_Sub2&amp;"_"&amp;$A495,'Investment Strategies'!$AJ:$AV,8,FALSE),
IF(AND(Investment_Strategy="Autopilot",Investment_Strategy_Sub1="Non-Standard"),VLOOKUP(Investment_Strategy&amp;"_"&amp;Investment_Strategy_Sub2&amp;"_"&amp;$A495,'Investment Strategies'!$T:$AF,8,FALSE),
IF(Investment_Strategy ="DIY",DIY_RateofReturn_SP,
"Error")))))),Max_InvReturn)</f>
        <v>0</v>
      </c>
      <c r="M495" s="62">
        <f>IF($AV495=0,0,
IF(Investment_Strategy="DIS",VLOOKUP(Investment_Strategy&amp;"_"&amp;Investment_Strategy_Sub1&amp;"_"&amp;$A495,'Investment Strategies'!$AZ:$BP,15,FALSE),
IF(AND(Investment_Strategy="Lifecycle",Investment_Strategy_Sub1="Non-Standard"),VLOOKUP(Investment_Strategy&amp;"_"&amp;Investment_Strategy_Sub2&amp;"_"&amp;$A495,'Investment Strategies'!$C:$P,12,FALSE),
IF(AND(Investment_Strategy="Lifecycle",Investment_Strategy_Sub1="Standard"),VLOOKUP(Investment_Strategy&amp;"_"&amp;Investment_Strategy_Sub2&amp;"_"&amp;$A495,'Investment Strategies'!$AJ:$AV,11,FALSE),
IF(AND(Investment_Strategy="Autopilot",Investment_Strategy_Sub1="Non-Standard"),VLOOKUP(Investment_Strategy&amp;"_"&amp;Investment_Strategy_Sub2&amp;"_"&amp;$A495,'Investment Strategies'!$T:$AF,11,FALSE),
IF(Investment_Strategy="DIY",DIY_GteeChrge_SP,
"Error"))))))</f>
        <v>0</v>
      </c>
      <c r="N495" s="33">
        <f>IF($AV495=0,0,
IF(Investment_Strategy="DIS",VLOOKUP(Investment_Strategy&amp;"_"&amp;Investment_Strategy_Sub1&amp;"_"&amp;$A495,'Investment Strategies'!$AZ:$BP,17,FALSE),
IF(AND(Investment_Strategy="Lifecycle",Investment_Strategy_Sub1="Non-Standard"),VLOOKUP(Investment_Strategy&amp;"_"&amp;Investment_Strategy_Sub2&amp;"_"&amp;$A495,'Investment Strategies'!$C:$P,14,FALSE),
IF(AND(Investment_Strategy="Lifecycle",Investment_Strategy_Sub1="Standard"),VLOOKUP(Investment_Strategy&amp;"_"&amp;Investment_Strategy_Sub2&amp;"_"&amp;$A495,'Investment Strategies'!$AJ:$AV,13,FALSE),
IF(AND(Investment_Strategy="Autopilot",Investment_Strategy_Sub1="Non-Standard"),VLOOKUP(Investment_Strategy&amp;"_"&amp;Investment_Strategy_Sub2&amp;"_"&amp;$A495,'Investment Strategies'!$T:$AF,13,FALSE),
IF(Investment_Strategy="DIY",DIY_ExtManChrge_SP,
"Error"))))))</f>
        <v>0</v>
      </c>
      <c r="O495" s="16">
        <f t="shared" si="301"/>
        <v>0</v>
      </c>
      <c r="Q495" s="16">
        <f t="shared" si="278"/>
        <v>0</v>
      </c>
      <c r="R495" s="16">
        <f t="shared" si="274"/>
        <v>0</v>
      </c>
      <c r="S495" s="16">
        <f>(SRP_SP+SUM(S$91:S494))*L495*IF(D495=$A$91,SRP_finalmonthfactor,1)</f>
        <v>0</v>
      </c>
      <c r="T495" s="74">
        <f>MIN(IF($AV495=0,0,
IF(Investment_Strategy="DIS",VLOOKUP(Investment_Strategy&amp;"_"&amp;Investment_Strategy_Sub1&amp;"_"&amp;$A495,'Investment Strategies'!$AZ:$BP,12,FALSE),
IF(AND(Investment_Strategy="Lifecycle",Investment_Strategy_Sub1="Non-Standard"),VLOOKUP(Investment_Strategy&amp;"_"&amp;Investment_Strategy_Sub2&amp;"_"&amp;$A495,'Investment Strategies'!$C:$P,9,FALSE),
IF(AND(Investment_Strategy="Lifecycle",Investment_Strategy_Sub1="Standard"),VLOOKUP(Investment_Strategy&amp;"_"&amp;Investment_Strategy_Sub2&amp;"_"&amp;$A495,'Investment Strategies'!$AJ:$AV,8,FALSE),
IF(AND(Investment_Strategy="Autopilot",Investment_Strategy_Sub1="Non-Standard"),VLOOKUP(Investment_Strategy&amp;"_"&amp;Investment_Strategy_Sub2&amp;"_"&amp;$A495,'Investment Strategies'!$T:$AF,8,FALSE),
IF(Investment_Strategy ="DIY",DIY_RateOfReturn_FuturePremiums,
"Error")))))),Max_InvReturn)</f>
        <v>0</v>
      </c>
      <c r="U495" s="62">
        <f>IF($AV495=0,0,
IF(Investment_Strategy="DIS",VLOOKUP(Investment_Strategy&amp;"_"&amp;Investment_Strategy_Sub1&amp;"_"&amp;$A495,'Investment Strategies'!$AZ:$BP,15,FALSE),
IF(AND(Investment_Strategy="Lifecycle",Investment_Strategy_Sub1="Non-Standard"),VLOOKUP(Investment_Strategy&amp;"_"&amp;Investment_Strategy_Sub2&amp;"_"&amp;$A495,'Investment Strategies'!$C:$P,12,FALSE),
IF(AND(Investment_Strategy="Lifecycle",Investment_Strategy_Sub1="Standard"),VLOOKUP(Investment_Strategy&amp;"_"&amp;Investment_Strategy_Sub2&amp;"_"&amp;$A495,'Investment Strategies'!$AJ:$AV,11,FALSE),
IF(AND(Investment_Strategy="Autopilot",Investment_Strategy_Sub1="Non-Standard"),VLOOKUP(Investment_Strategy&amp;"_"&amp;Investment_Strategy_Sub2&amp;"_"&amp;$A495,'Investment Strategies'!$T:$AF,11,FALSE),
IF(Investment_Strategy="DIY",DIY_GteeChrge_FuturePremiums,
"Error"))))))</f>
        <v>0</v>
      </c>
      <c r="V495" s="33">
        <f>IF(AV495=0,0,
IF(Investment_Strategy="DIS",VLOOKUP(Investment_Strategy&amp;"_"&amp;Investment_Strategy_Sub1&amp;"_"&amp;$A495,'Investment Strategies'!$AZ:$BP,17,FALSE),
IF(AND(Investment_Strategy="Lifecycle",Investment_Strategy_Sub1="Non-Standard"),VLOOKUP(Investment_Strategy&amp;"_"&amp;Investment_Strategy_Sub2&amp;"_"&amp;$A495,'Investment Strategies'!$C:$P,14,FALSE),
IF(AND(Investment_Strategy="Lifecycle",Investment_Strategy_Sub1="Standard"),VLOOKUP(Investment_Strategy&amp;"_"&amp;Investment_Strategy_Sub2&amp;"_"&amp;$A495,'Investment Strategies'!$AJ:$AV,13,FALSE),
IF(AND(Investment_Strategy="Autopilot",Investment_Strategy_Sub1="Non-Standard"),VLOOKUP(Investment_Strategy&amp;"_"&amp;Investment_Strategy_Sub2&amp;"_"&amp;$A495,'Investment Strategies'!$T:$AF,13,FALSE),
IF(Investment_Strategy="DIY",DIY_ExtManChrge_FuturePremiums,
"Error"))))))</f>
        <v>0</v>
      </c>
      <c r="W495" s="16">
        <f t="shared" si="302"/>
        <v>0</v>
      </c>
      <c r="X495" s="16">
        <f t="shared" si="279"/>
        <v>0</v>
      </c>
      <c r="Y495" s="16">
        <f t="shared" si="280"/>
        <v>0</v>
      </c>
      <c r="Z495" s="31">
        <f t="shared" si="281"/>
        <v>0.02</v>
      </c>
      <c r="AA495" s="16">
        <f t="shared" si="282"/>
        <v>0</v>
      </c>
      <c r="AB495" s="28">
        <f t="shared" si="303"/>
        <v>0</v>
      </c>
      <c r="AC495" s="28">
        <f>(SUM($AC$91:AC494)+SUM($X$91:X494)+X495)*T495*IF(D495=$A$91,SRP_finalmonthfactor,1)</f>
        <v>0</v>
      </c>
      <c r="AD495" s="16">
        <f t="shared" si="283"/>
        <v>0</v>
      </c>
      <c r="AE495" s="106"/>
      <c r="AF495" s="16">
        <f t="shared" si="291"/>
        <v>0</v>
      </c>
      <c r="AG495" s="16">
        <f t="shared" si="292"/>
        <v>0</v>
      </c>
      <c r="AH495" s="16">
        <f t="shared" si="293"/>
        <v>0</v>
      </c>
      <c r="AJ495" s="13">
        <f t="shared" si="305"/>
        <v>0</v>
      </c>
      <c r="AK495" s="13">
        <f t="shared" si="305"/>
        <v>0</v>
      </c>
      <c r="AL495" s="13">
        <f t="shared" si="305"/>
        <v>0</v>
      </c>
      <c r="AM495" s="13">
        <f t="shared" si="305"/>
        <v>0</v>
      </c>
      <c r="AN495" s="13">
        <f t="shared" si="305"/>
        <v>0</v>
      </c>
      <c r="AO495" s="13">
        <f t="shared" si="305"/>
        <v>1</v>
      </c>
      <c r="AP495" s="13">
        <f t="shared" si="305"/>
        <v>1</v>
      </c>
      <c r="AQ495" s="13">
        <f t="shared" si="305"/>
        <v>1</v>
      </c>
      <c r="AR495" s="13">
        <f t="shared" si="305"/>
        <v>0</v>
      </c>
      <c r="AS495" s="13">
        <f t="shared" si="305"/>
        <v>0</v>
      </c>
      <c r="AT495" s="13">
        <f t="shared" si="305"/>
        <v>1</v>
      </c>
      <c r="AU495" s="13">
        <f t="shared" si="305"/>
        <v>1</v>
      </c>
      <c r="AV495" s="13">
        <f t="shared" si="284"/>
        <v>0</v>
      </c>
      <c r="AW495" s="13">
        <f t="shared" si="285"/>
        <v>1</v>
      </c>
      <c r="AY495" s="17">
        <f t="shared" si="286"/>
        <v>405</v>
      </c>
      <c r="AZ495" s="28">
        <f t="shared" si="294"/>
        <v>0</v>
      </c>
      <c r="BA495" s="13">
        <f t="shared" si="287"/>
        <v>0</v>
      </c>
      <c r="BB495" s="13">
        <f t="shared" si="288"/>
        <v>0</v>
      </c>
      <c r="BC495" s="28">
        <f t="shared" si="295"/>
        <v>0</v>
      </c>
      <c r="BD495" s="28">
        <f t="shared" si="296"/>
        <v>0</v>
      </c>
      <c r="BF495" s="248">
        <f t="shared" si="297"/>
        <v>993869.29442638322</v>
      </c>
    </row>
    <row r="496" spans="1:58">
      <c r="A496" s="32">
        <f t="shared" si="298"/>
        <v>-321</v>
      </c>
      <c r="B496" s="32">
        <f t="shared" si="289"/>
        <v>86</v>
      </c>
      <c r="C496" s="32">
        <f t="shared" si="299"/>
        <v>34</v>
      </c>
      <c r="D496" s="32">
        <f t="shared" si="300"/>
        <v>406</v>
      </c>
      <c r="E496" s="74">
        <f>MIN(IF(AV496=0,0,
IF(Investment_Strategy="DIS",VLOOKUP(Investment_Strategy&amp;"_"&amp;Investment_Strategy_Sub1&amp;"_"&amp;$A496,'Investment Strategies'!$AZ:$BP,12,FALSE),
IF(AND(Investment_Strategy="Lifecycle",Investment_Strategy_Sub1="Non-Standard"),VLOOKUP(Investment_Strategy&amp;"_"&amp;Investment_Strategy_Sub2&amp;"_"&amp;$A496,'Investment Strategies'!$C:$P,9,FALSE),
IF(AND(Investment_Strategy="Lifecycle",Investment_Strategy_Sub1="Standard"),VLOOKUP(Investment_Strategy&amp;"_"&amp;Investment_Strategy_Sub2&amp;"_"&amp;$A496,'Investment Strategies'!$AJ:$AV,8,FALSE),
IF(AND(Investment_Strategy="Autopilot",Investment_Strategy_Sub1="Non-Standard"),VLOOKUP(Investment_Strategy&amp;"_"&amp;Investment_Strategy_Sub2&amp;"_"&amp;$A496,'Investment Strategies'!$T:$AF,8,FALSE),
IF(Investment_Strategy ="DIY",DIY_RateOfReturn_CurrentFunds,
"Error")))))),Max_InvReturn)</f>
        <v>0</v>
      </c>
      <c r="F496" s="62">
        <f>IF(AV496=0,0,
IF(Investment_Strategy="DIS",VLOOKUP(Investment_Strategy&amp;"_"&amp;Investment_Strategy_Sub1&amp;"_"&amp;$A496,'Investment Strategies'!$AZ:$BP,15,FALSE),
IF(AND(Investment_Strategy="Lifecycle",Investment_Strategy_Sub1="Non-Standard"),VLOOKUP(Investment_Strategy&amp;"_"&amp;Investment_Strategy_Sub2&amp;"_"&amp;$A496,'Investment Strategies'!$C:$P,12,FALSE),
IF(AND(Investment_Strategy="Lifecycle",Investment_Strategy_Sub1="Standard"),VLOOKUP(Investment_Strategy&amp;"_"&amp;Investment_Strategy_Sub2&amp;"_"&amp;$A496,'Investment Strategies'!$AJ:$AV,11,FALSE),
IF(AND(Investment_Strategy="Autopilot",Investment_Strategy_Sub1="Non-Standard"),VLOOKUP(Investment_Strategy&amp;"_"&amp;Investment_Strategy_Sub2&amp;"_"&amp;$A496,'Investment Strategies'!$T:$AF,11,FALSE),
IF(Investment_Strategy="DIY",DIY_GteeChrge_CurrentFunds,
"Error"))))))</f>
        <v>0</v>
      </c>
      <c r="G496" s="33">
        <f>IF(AV496=0,0,
IF(Investment_Strategy="DIS",VLOOKUP(Investment_Strategy&amp;"_"&amp;Investment_Strategy_Sub1&amp;"_"&amp;$A496,'Investment Strategies'!$AZ:$BP,17,FALSE),
IF(AND(Investment_Strategy="Lifecycle",Investment_Strategy_Sub1="Non-Standard"),VLOOKUP(Investment_Strategy&amp;"_"&amp;Investment_Strategy_Sub2&amp;"_"&amp;$A496,'Investment Strategies'!$C:$P,14,FALSE),
IF(AND(Investment_Strategy="Lifecycle",Investment_Strategy_Sub1="Standard"),VLOOKUP(Investment_Strategy&amp;"_"&amp;Investment_Strategy_Sub2&amp;"_"&amp;$A496,'Investment Strategies'!$AJ:$AV,13,FALSE),
IF(AND(Investment_Strategy="Autopilot",Investment_Strategy_Sub1="Non-Standard"),VLOOKUP(Investment_Strategy&amp;"_"&amp;Investment_Strategy_Sub2&amp;"_"&amp;$A496,'Investment Strategies'!$T:$AF,13,FALSE),
IF(Investment_Strategy="DIY",DIY_ExtManChrge_CurrentFunds,
"Error"))))))</f>
        <v>0</v>
      </c>
      <c r="H496" s="16">
        <f t="shared" si="290"/>
        <v>0</v>
      </c>
      <c r="I496" s="16">
        <f t="shared" si="276"/>
        <v>0</v>
      </c>
      <c r="J496" s="16">
        <f t="shared" si="277"/>
        <v>0</v>
      </c>
      <c r="K496" s="16">
        <f>(Opening_Fund_Value+SUM(K$91:K495))*E496*IF(D496=$A$91,SRP_finalmonthfactor,1)</f>
        <v>0</v>
      </c>
      <c r="L496" s="74">
        <f>MIN(IF($AV496=0,0,
IF(Investment_Strategy="DIS",VLOOKUP(Investment_Strategy&amp;"_"&amp;Investment_Strategy_Sub1&amp;"_"&amp;$A496,'Investment Strategies'!$AZ:$BP,12,FALSE),
IF(AND(Investment_Strategy="Lifecycle",Investment_Strategy_Sub1="Non-Standard"),VLOOKUP(Investment_Strategy&amp;"_"&amp;Investment_Strategy_Sub2&amp;"_"&amp;$A496,'Investment Strategies'!$C:$P,9,FALSE),
IF(AND(Investment_Strategy="Lifecycle",Investment_Strategy_Sub1="Standard"),VLOOKUP(Investment_Strategy&amp;"_"&amp;Investment_Strategy_Sub2&amp;"_"&amp;$A496,'Investment Strategies'!$AJ:$AV,8,FALSE),
IF(AND(Investment_Strategy="Autopilot",Investment_Strategy_Sub1="Non-Standard"),VLOOKUP(Investment_Strategy&amp;"_"&amp;Investment_Strategy_Sub2&amp;"_"&amp;$A496,'Investment Strategies'!$T:$AF,8,FALSE),
IF(Investment_Strategy ="DIY",DIY_RateofReturn_SP,
"Error")))))),Max_InvReturn)</f>
        <v>0</v>
      </c>
      <c r="M496" s="62">
        <f>IF($AV496=0,0,
IF(Investment_Strategy="DIS",VLOOKUP(Investment_Strategy&amp;"_"&amp;Investment_Strategy_Sub1&amp;"_"&amp;$A496,'Investment Strategies'!$AZ:$BP,15,FALSE),
IF(AND(Investment_Strategy="Lifecycle",Investment_Strategy_Sub1="Non-Standard"),VLOOKUP(Investment_Strategy&amp;"_"&amp;Investment_Strategy_Sub2&amp;"_"&amp;$A496,'Investment Strategies'!$C:$P,12,FALSE),
IF(AND(Investment_Strategy="Lifecycle",Investment_Strategy_Sub1="Standard"),VLOOKUP(Investment_Strategy&amp;"_"&amp;Investment_Strategy_Sub2&amp;"_"&amp;$A496,'Investment Strategies'!$AJ:$AV,11,FALSE),
IF(AND(Investment_Strategy="Autopilot",Investment_Strategy_Sub1="Non-Standard"),VLOOKUP(Investment_Strategy&amp;"_"&amp;Investment_Strategy_Sub2&amp;"_"&amp;$A496,'Investment Strategies'!$T:$AF,11,FALSE),
IF(Investment_Strategy="DIY",DIY_GteeChrge_SP,
"Error"))))))</f>
        <v>0</v>
      </c>
      <c r="N496" s="33">
        <f>IF($AV496=0,0,
IF(Investment_Strategy="DIS",VLOOKUP(Investment_Strategy&amp;"_"&amp;Investment_Strategy_Sub1&amp;"_"&amp;$A496,'Investment Strategies'!$AZ:$BP,17,FALSE),
IF(AND(Investment_Strategy="Lifecycle",Investment_Strategy_Sub1="Non-Standard"),VLOOKUP(Investment_Strategy&amp;"_"&amp;Investment_Strategy_Sub2&amp;"_"&amp;$A496,'Investment Strategies'!$C:$P,14,FALSE),
IF(AND(Investment_Strategy="Lifecycle",Investment_Strategy_Sub1="Standard"),VLOOKUP(Investment_Strategy&amp;"_"&amp;Investment_Strategy_Sub2&amp;"_"&amp;$A496,'Investment Strategies'!$AJ:$AV,13,FALSE),
IF(AND(Investment_Strategy="Autopilot",Investment_Strategy_Sub1="Non-Standard"),VLOOKUP(Investment_Strategy&amp;"_"&amp;Investment_Strategy_Sub2&amp;"_"&amp;$A496,'Investment Strategies'!$T:$AF,13,FALSE),
IF(Investment_Strategy="DIY",DIY_ExtManChrge_SP,
"Error"))))))</f>
        <v>0</v>
      </c>
      <c r="O496" s="16">
        <f t="shared" si="301"/>
        <v>0</v>
      </c>
      <c r="Q496" s="16">
        <f t="shared" si="278"/>
        <v>0</v>
      </c>
      <c r="R496" s="16">
        <f t="shared" si="274"/>
        <v>0</v>
      </c>
      <c r="S496" s="16">
        <f>(SRP_SP+SUM(S$91:S495))*L496*IF(D496=$A$91,SRP_finalmonthfactor,1)</f>
        <v>0</v>
      </c>
      <c r="T496" s="74">
        <f>MIN(IF($AV496=0,0,
IF(Investment_Strategy="DIS",VLOOKUP(Investment_Strategy&amp;"_"&amp;Investment_Strategy_Sub1&amp;"_"&amp;$A496,'Investment Strategies'!$AZ:$BP,12,FALSE),
IF(AND(Investment_Strategy="Lifecycle",Investment_Strategy_Sub1="Non-Standard"),VLOOKUP(Investment_Strategy&amp;"_"&amp;Investment_Strategy_Sub2&amp;"_"&amp;$A496,'Investment Strategies'!$C:$P,9,FALSE),
IF(AND(Investment_Strategy="Lifecycle",Investment_Strategy_Sub1="Standard"),VLOOKUP(Investment_Strategy&amp;"_"&amp;Investment_Strategy_Sub2&amp;"_"&amp;$A496,'Investment Strategies'!$AJ:$AV,8,FALSE),
IF(AND(Investment_Strategy="Autopilot",Investment_Strategy_Sub1="Non-Standard"),VLOOKUP(Investment_Strategy&amp;"_"&amp;Investment_Strategy_Sub2&amp;"_"&amp;$A496,'Investment Strategies'!$T:$AF,8,FALSE),
IF(Investment_Strategy ="DIY",DIY_RateOfReturn_FuturePremiums,
"Error")))))),Max_InvReturn)</f>
        <v>0</v>
      </c>
      <c r="U496" s="62">
        <f>IF($AV496=0,0,
IF(Investment_Strategy="DIS",VLOOKUP(Investment_Strategy&amp;"_"&amp;Investment_Strategy_Sub1&amp;"_"&amp;$A496,'Investment Strategies'!$AZ:$BP,15,FALSE),
IF(AND(Investment_Strategy="Lifecycle",Investment_Strategy_Sub1="Non-Standard"),VLOOKUP(Investment_Strategy&amp;"_"&amp;Investment_Strategy_Sub2&amp;"_"&amp;$A496,'Investment Strategies'!$C:$P,12,FALSE),
IF(AND(Investment_Strategy="Lifecycle",Investment_Strategy_Sub1="Standard"),VLOOKUP(Investment_Strategy&amp;"_"&amp;Investment_Strategy_Sub2&amp;"_"&amp;$A496,'Investment Strategies'!$AJ:$AV,11,FALSE),
IF(AND(Investment_Strategy="Autopilot",Investment_Strategy_Sub1="Non-Standard"),VLOOKUP(Investment_Strategy&amp;"_"&amp;Investment_Strategy_Sub2&amp;"_"&amp;$A496,'Investment Strategies'!$T:$AF,11,FALSE),
IF(Investment_Strategy="DIY",DIY_GteeChrge_FuturePremiums,
"Error"))))))</f>
        <v>0</v>
      </c>
      <c r="V496" s="33">
        <f>IF(AV496=0,0,
IF(Investment_Strategy="DIS",VLOOKUP(Investment_Strategy&amp;"_"&amp;Investment_Strategy_Sub1&amp;"_"&amp;$A496,'Investment Strategies'!$AZ:$BP,17,FALSE),
IF(AND(Investment_Strategy="Lifecycle",Investment_Strategy_Sub1="Non-Standard"),VLOOKUP(Investment_Strategy&amp;"_"&amp;Investment_Strategy_Sub2&amp;"_"&amp;$A496,'Investment Strategies'!$C:$P,14,FALSE),
IF(AND(Investment_Strategy="Lifecycle",Investment_Strategy_Sub1="Standard"),VLOOKUP(Investment_Strategy&amp;"_"&amp;Investment_Strategy_Sub2&amp;"_"&amp;$A496,'Investment Strategies'!$AJ:$AV,13,FALSE),
IF(AND(Investment_Strategy="Autopilot",Investment_Strategy_Sub1="Non-Standard"),VLOOKUP(Investment_Strategy&amp;"_"&amp;Investment_Strategy_Sub2&amp;"_"&amp;$A496,'Investment Strategies'!$T:$AF,13,FALSE),
IF(Investment_Strategy="DIY",DIY_ExtManChrge_FuturePremiums,
"Error"))))))</f>
        <v>0</v>
      </c>
      <c r="W496" s="16">
        <f t="shared" si="302"/>
        <v>0</v>
      </c>
      <c r="X496" s="16">
        <f t="shared" si="279"/>
        <v>0</v>
      </c>
      <c r="Y496" s="16">
        <f t="shared" si="280"/>
        <v>0</v>
      </c>
      <c r="Z496" s="31">
        <f t="shared" si="281"/>
        <v>0.02</v>
      </c>
      <c r="AA496" s="16">
        <f t="shared" si="282"/>
        <v>0</v>
      </c>
      <c r="AB496" s="28">
        <f t="shared" si="303"/>
        <v>0</v>
      </c>
      <c r="AC496" s="28">
        <f>(SUM($AC$91:AC495)+SUM($X$91:X495)+X496)*T496*IF(D496=$A$91,SRP_finalmonthfactor,1)</f>
        <v>0</v>
      </c>
      <c r="AD496" s="16">
        <f t="shared" si="283"/>
        <v>0</v>
      </c>
      <c r="AE496" s="106"/>
      <c r="AF496" s="16">
        <f t="shared" si="291"/>
        <v>0</v>
      </c>
      <c r="AG496" s="16">
        <f t="shared" si="292"/>
        <v>0</v>
      </c>
      <c r="AH496" s="16">
        <f t="shared" si="293"/>
        <v>0</v>
      </c>
      <c r="AJ496" s="13">
        <f t="shared" si="305"/>
        <v>0</v>
      </c>
      <c r="AK496" s="13">
        <f t="shared" si="305"/>
        <v>0</v>
      </c>
      <c r="AL496" s="13">
        <f t="shared" si="305"/>
        <v>0</v>
      </c>
      <c r="AM496" s="13">
        <f t="shared" si="305"/>
        <v>0</v>
      </c>
      <c r="AN496" s="13">
        <f t="shared" si="305"/>
        <v>0</v>
      </c>
      <c r="AO496" s="13">
        <f t="shared" si="305"/>
        <v>1</v>
      </c>
      <c r="AP496" s="13">
        <f t="shared" si="305"/>
        <v>1</v>
      </c>
      <c r="AQ496" s="13">
        <f t="shared" si="305"/>
        <v>1</v>
      </c>
      <c r="AR496" s="13">
        <f t="shared" si="305"/>
        <v>0</v>
      </c>
      <c r="AS496" s="13">
        <f t="shared" si="305"/>
        <v>0</v>
      </c>
      <c r="AT496" s="13">
        <f t="shared" si="305"/>
        <v>1</v>
      </c>
      <c r="AU496" s="13">
        <f t="shared" si="305"/>
        <v>1</v>
      </c>
      <c r="AV496" s="13">
        <f t="shared" si="284"/>
        <v>0</v>
      </c>
      <c r="AW496" s="13">
        <f t="shared" si="285"/>
        <v>1</v>
      </c>
      <c r="AY496" s="17">
        <f t="shared" si="286"/>
        <v>406</v>
      </c>
      <c r="AZ496" s="28">
        <f t="shared" si="294"/>
        <v>0</v>
      </c>
      <c r="BA496" s="13">
        <f t="shared" si="287"/>
        <v>0</v>
      </c>
      <c r="BB496" s="13">
        <f t="shared" si="288"/>
        <v>0</v>
      </c>
      <c r="BC496" s="28">
        <f t="shared" si="295"/>
        <v>0</v>
      </c>
      <c r="BD496" s="28">
        <f t="shared" si="296"/>
        <v>0</v>
      </c>
      <c r="BF496" s="248">
        <f t="shared" si="297"/>
        <v>993869.29442638322</v>
      </c>
    </row>
    <row r="497" spans="1:58">
      <c r="A497" s="32">
        <f t="shared" si="298"/>
        <v>-322</v>
      </c>
      <c r="B497" s="32">
        <f t="shared" si="289"/>
        <v>86</v>
      </c>
      <c r="C497" s="32">
        <f t="shared" si="299"/>
        <v>34</v>
      </c>
      <c r="D497" s="32">
        <f t="shared" si="300"/>
        <v>407</v>
      </c>
      <c r="E497" s="74">
        <f>MIN(IF(AV497=0,0,
IF(Investment_Strategy="DIS",VLOOKUP(Investment_Strategy&amp;"_"&amp;Investment_Strategy_Sub1&amp;"_"&amp;$A497,'Investment Strategies'!$AZ:$BP,12,FALSE),
IF(AND(Investment_Strategy="Lifecycle",Investment_Strategy_Sub1="Non-Standard"),VLOOKUP(Investment_Strategy&amp;"_"&amp;Investment_Strategy_Sub2&amp;"_"&amp;$A497,'Investment Strategies'!$C:$P,9,FALSE),
IF(AND(Investment_Strategy="Lifecycle",Investment_Strategy_Sub1="Standard"),VLOOKUP(Investment_Strategy&amp;"_"&amp;Investment_Strategy_Sub2&amp;"_"&amp;$A497,'Investment Strategies'!$AJ:$AV,8,FALSE),
IF(AND(Investment_Strategy="Autopilot",Investment_Strategy_Sub1="Non-Standard"),VLOOKUP(Investment_Strategy&amp;"_"&amp;Investment_Strategy_Sub2&amp;"_"&amp;$A497,'Investment Strategies'!$T:$AF,8,FALSE),
IF(Investment_Strategy ="DIY",DIY_RateOfReturn_CurrentFunds,
"Error")))))),Max_InvReturn)</f>
        <v>0</v>
      </c>
      <c r="F497" s="62">
        <f>IF(AV497=0,0,
IF(Investment_Strategy="DIS",VLOOKUP(Investment_Strategy&amp;"_"&amp;Investment_Strategy_Sub1&amp;"_"&amp;$A497,'Investment Strategies'!$AZ:$BP,15,FALSE),
IF(AND(Investment_Strategy="Lifecycle",Investment_Strategy_Sub1="Non-Standard"),VLOOKUP(Investment_Strategy&amp;"_"&amp;Investment_Strategy_Sub2&amp;"_"&amp;$A497,'Investment Strategies'!$C:$P,12,FALSE),
IF(AND(Investment_Strategy="Lifecycle",Investment_Strategy_Sub1="Standard"),VLOOKUP(Investment_Strategy&amp;"_"&amp;Investment_Strategy_Sub2&amp;"_"&amp;$A497,'Investment Strategies'!$AJ:$AV,11,FALSE),
IF(AND(Investment_Strategy="Autopilot",Investment_Strategy_Sub1="Non-Standard"),VLOOKUP(Investment_Strategy&amp;"_"&amp;Investment_Strategy_Sub2&amp;"_"&amp;$A497,'Investment Strategies'!$T:$AF,11,FALSE),
IF(Investment_Strategy="DIY",DIY_GteeChrge_CurrentFunds,
"Error"))))))</f>
        <v>0</v>
      </c>
      <c r="G497" s="33">
        <f>IF(AV497=0,0,
IF(Investment_Strategy="DIS",VLOOKUP(Investment_Strategy&amp;"_"&amp;Investment_Strategy_Sub1&amp;"_"&amp;$A497,'Investment Strategies'!$AZ:$BP,17,FALSE),
IF(AND(Investment_Strategy="Lifecycle",Investment_Strategy_Sub1="Non-Standard"),VLOOKUP(Investment_Strategy&amp;"_"&amp;Investment_Strategy_Sub2&amp;"_"&amp;$A497,'Investment Strategies'!$C:$P,14,FALSE),
IF(AND(Investment_Strategy="Lifecycle",Investment_Strategy_Sub1="Standard"),VLOOKUP(Investment_Strategy&amp;"_"&amp;Investment_Strategy_Sub2&amp;"_"&amp;$A497,'Investment Strategies'!$AJ:$AV,13,FALSE),
IF(AND(Investment_Strategy="Autopilot",Investment_Strategy_Sub1="Non-Standard"),VLOOKUP(Investment_Strategy&amp;"_"&amp;Investment_Strategy_Sub2&amp;"_"&amp;$A497,'Investment Strategies'!$T:$AF,13,FALSE),
IF(Investment_Strategy="DIY",DIY_ExtManChrge_CurrentFunds,
"Error"))))))</f>
        <v>0</v>
      </c>
      <c r="H497" s="16">
        <f t="shared" si="290"/>
        <v>0</v>
      </c>
      <c r="I497" s="16">
        <f t="shared" si="276"/>
        <v>0</v>
      </c>
      <c r="J497" s="16">
        <f t="shared" si="277"/>
        <v>0</v>
      </c>
      <c r="K497" s="16">
        <f>(Opening_Fund_Value+SUM(K$91:K496))*E497*IF(D497=$A$91,SRP_finalmonthfactor,1)</f>
        <v>0</v>
      </c>
      <c r="L497" s="74">
        <f>MIN(IF($AV497=0,0,
IF(Investment_Strategy="DIS",VLOOKUP(Investment_Strategy&amp;"_"&amp;Investment_Strategy_Sub1&amp;"_"&amp;$A497,'Investment Strategies'!$AZ:$BP,12,FALSE),
IF(AND(Investment_Strategy="Lifecycle",Investment_Strategy_Sub1="Non-Standard"),VLOOKUP(Investment_Strategy&amp;"_"&amp;Investment_Strategy_Sub2&amp;"_"&amp;$A497,'Investment Strategies'!$C:$P,9,FALSE),
IF(AND(Investment_Strategy="Lifecycle",Investment_Strategy_Sub1="Standard"),VLOOKUP(Investment_Strategy&amp;"_"&amp;Investment_Strategy_Sub2&amp;"_"&amp;$A497,'Investment Strategies'!$AJ:$AV,8,FALSE),
IF(AND(Investment_Strategy="Autopilot",Investment_Strategy_Sub1="Non-Standard"),VLOOKUP(Investment_Strategy&amp;"_"&amp;Investment_Strategy_Sub2&amp;"_"&amp;$A497,'Investment Strategies'!$T:$AF,8,FALSE),
IF(Investment_Strategy ="DIY",DIY_RateofReturn_SP,
"Error")))))),Max_InvReturn)</f>
        <v>0</v>
      </c>
      <c r="M497" s="62">
        <f>IF($AV497=0,0,
IF(Investment_Strategy="DIS",VLOOKUP(Investment_Strategy&amp;"_"&amp;Investment_Strategy_Sub1&amp;"_"&amp;$A497,'Investment Strategies'!$AZ:$BP,15,FALSE),
IF(AND(Investment_Strategy="Lifecycle",Investment_Strategy_Sub1="Non-Standard"),VLOOKUP(Investment_Strategy&amp;"_"&amp;Investment_Strategy_Sub2&amp;"_"&amp;$A497,'Investment Strategies'!$C:$P,12,FALSE),
IF(AND(Investment_Strategy="Lifecycle",Investment_Strategy_Sub1="Standard"),VLOOKUP(Investment_Strategy&amp;"_"&amp;Investment_Strategy_Sub2&amp;"_"&amp;$A497,'Investment Strategies'!$AJ:$AV,11,FALSE),
IF(AND(Investment_Strategy="Autopilot",Investment_Strategy_Sub1="Non-Standard"),VLOOKUP(Investment_Strategy&amp;"_"&amp;Investment_Strategy_Sub2&amp;"_"&amp;$A497,'Investment Strategies'!$T:$AF,11,FALSE),
IF(Investment_Strategy="DIY",DIY_GteeChrge_SP,
"Error"))))))</f>
        <v>0</v>
      </c>
      <c r="N497" s="33">
        <f>IF($AV497=0,0,
IF(Investment_Strategy="DIS",VLOOKUP(Investment_Strategy&amp;"_"&amp;Investment_Strategy_Sub1&amp;"_"&amp;$A497,'Investment Strategies'!$AZ:$BP,17,FALSE),
IF(AND(Investment_Strategy="Lifecycle",Investment_Strategy_Sub1="Non-Standard"),VLOOKUP(Investment_Strategy&amp;"_"&amp;Investment_Strategy_Sub2&amp;"_"&amp;$A497,'Investment Strategies'!$C:$P,14,FALSE),
IF(AND(Investment_Strategy="Lifecycle",Investment_Strategy_Sub1="Standard"),VLOOKUP(Investment_Strategy&amp;"_"&amp;Investment_Strategy_Sub2&amp;"_"&amp;$A497,'Investment Strategies'!$AJ:$AV,13,FALSE),
IF(AND(Investment_Strategy="Autopilot",Investment_Strategy_Sub1="Non-Standard"),VLOOKUP(Investment_Strategy&amp;"_"&amp;Investment_Strategy_Sub2&amp;"_"&amp;$A497,'Investment Strategies'!$T:$AF,13,FALSE),
IF(Investment_Strategy="DIY",DIY_ExtManChrge_SP,
"Error"))))))</f>
        <v>0</v>
      </c>
      <c r="O497" s="16">
        <f t="shared" si="301"/>
        <v>0</v>
      </c>
      <c r="Q497" s="16">
        <f t="shared" si="278"/>
        <v>0</v>
      </c>
      <c r="R497" s="16">
        <f t="shared" si="274"/>
        <v>0</v>
      </c>
      <c r="S497" s="16">
        <f>(SRP_SP+SUM(S$91:S496))*L497*IF(D497=$A$91,SRP_finalmonthfactor,1)</f>
        <v>0</v>
      </c>
      <c r="T497" s="74">
        <f>MIN(IF($AV497=0,0,
IF(Investment_Strategy="DIS",VLOOKUP(Investment_Strategy&amp;"_"&amp;Investment_Strategy_Sub1&amp;"_"&amp;$A497,'Investment Strategies'!$AZ:$BP,12,FALSE),
IF(AND(Investment_Strategy="Lifecycle",Investment_Strategy_Sub1="Non-Standard"),VLOOKUP(Investment_Strategy&amp;"_"&amp;Investment_Strategy_Sub2&amp;"_"&amp;$A497,'Investment Strategies'!$C:$P,9,FALSE),
IF(AND(Investment_Strategy="Lifecycle",Investment_Strategy_Sub1="Standard"),VLOOKUP(Investment_Strategy&amp;"_"&amp;Investment_Strategy_Sub2&amp;"_"&amp;$A497,'Investment Strategies'!$AJ:$AV,8,FALSE),
IF(AND(Investment_Strategy="Autopilot",Investment_Strategy_Sub1="Non-Standard"),VLOOKUP(Investment_Strategy&amp;"_"&amp;Investment_Strategy_Sub2&amp;"_"&amp;$A497,'Investment Strategies'!$T:$AF,8,FALSE),
IF(Investment_Strategy ="DIY",DIY_RateOfReturn_FuturePremiums,
"Error")))))),Max_InvReturn)</f>
        <v>0</v>
      </c>
      <c r="U497" s="62">
        <f>IF($AV497=0,0,
IF(Investment_Strategy="DIS",VLOOKUP(Investment_Strategy&amp;"_"&amp;Investment_Strategy_Sub1&amp;"_"&amp;$A497,'Investment Strategies'!$AZ:$BP,15,FALSE),
IF(AND(Investment_Strategy="Lifecycle",Investment_Strategy_Sub1="Non-Standard"),VLOOKUP(Investment_Strategy&amp;"_"&amp;Investment_Strategy_Sub2&amp;"_"&amp;$A497,'Investment Strategies'!$C:$P,12,FALSE),
IF(AND(Investment_Strategy="Lifecycle",Investment_Strategy_Sub1="Standard"),VLOOKUP(Investment_Strategy&amp;"_"&amp;Investment_Strategy_Sub2&amp;"_"&amp;$A497,'Investment Strategies'!$AJ:$AV,11,FALSE),
IF(AND(Investment_Strategy="Autopilot",Investment_Strategy_Sub1="Non-Standard"),VLOOKUP(Investment_Strategy&amp;"_"&amp;Investment_Strategy_Sub2&amp;"_"&amp;$A497,'Investment Strategies'!$T:$AF,11,FALSE),
IF(Investment_Strategy="DIY",DIY_GteeChrge_FuturePremiums,
"Error"))))))</f>
        <v>0</v>
      </c>
      <c r="V497" s="33">
        <f>IF(AV497=0,0,
IF(Investment_Strategy="DIS",VLOOKUP(Investment_Strategy&amp;"_"&amp;Investment_Strategy_Sub1&amp;"_"&amp;$A497,'Investment Strategies'!$AZ:$BP,17,FALSE),
IF(AND(Investment_Strategy="Lifecycle",Investment_Strategy_Sub1="Non-Standard"),VLOOKUP(Investment_Strategy&amp;"_"&amp;Investment_Strategy_Sub2&amp;"_"&amp;$A497,'Investment Strategies'!$C:$P,14,FALSE),
IF(AND(Investment_Strategy="Lifecycle",Investment_Strategy_Sub1="Standard"),VLOOKUP(Investment_Strategy&amp;"_"&amp;Investment_Strategy_Sub2&amp;"_"&amp;$A497,'Investment Strategies'!$AJ:$AV,13,FALSE),
IF(AND(Investment_Strategy="Autopilot",Investment_Strategy_Sub1="Non-Standard"),VLOOKUP(Investment_Strategy&amp;"_"&amp;Investment_Strategy_Sub2&amp;"_"&amp;$A497,'Investment Strategies'!$T:$AF,13,FALSE),
IF(Investment_Strategy="DIY",DIY_ExtManChrge_FuturePremiums,
"Error"))))))</f>
        <v>0</v>
      </c>
      <c r="W497" s="16">
        <f t="shared" si="302"/>
        <v>0</v>
      </c>
      <c r="X497" s="16">
        <f t="shared" si="279"/>
        <v>0</v>
      </c>
      <c r="Y497" s="16">
        <f t="shared" si="280"/>
        <v>0</v>
      </c>
      <c r="Z497" s="31">
        <f t="shared" si="281"/>
        <v>0.02</v>
      </c>
      <c r="AA497" s="16">
        <f t="shared" si="282"/>
        <v>0</v>
      </c>
      <c r="AB497" s="28">
        <f t="shared" si="303"/>
        <v>0</v>
      </c>
      <c r="AC497" s="28">
        <f>(SUM($AC$91:AC496)+SUM($X$91:X496)+X497)*T497*IF(D497=$A$91,SRP_finalmonthfactor,1)</f>
        <v>0</v>
      </c>
      <c r="AD497" s="16">
        <f t="shared" si="283"/>
        <v>0</v>
      </c>
      <c r="AE497" s="106"/>
      <c r="AF497" s="16">
        <f t="shared" si="291"/>
        <v>0</v>
      </c>
      <c r="AG497" s="16">
        <f t="shared" si="292"/>
        <v>0</v>
      </c>
      <c r="AH497" s="16">
        <f t="shared" si="293"/>
        <v>0</v>
      </c>
      <c r="AJ497" s="13">
        <f t="shared" si="305"/>
        <v>0</v>
      </c>
      <c r="AK497" s="13">
        <f t="shared" si="305"/>
        <v>0</v>
      </c>
      <c r="AL497" s="13">
        <f t="shared" si="305"/>
        <v>0</v>
      </c>
      <c r="AM497" s="13">
        <f t="shared" si="305"/>
        <v>0</v>
      </c>
      <c r="AN497" s="13">
        <f t="shared" si="305"/>
        <v>0</v>
      </c>
      <c r="AO497" s="13">
        <f t="shared" si="305"/>
        <v>1</v>
      </c>
      <c r="AP497" s="13">
        <f t="shared" si="305"/>
        <v>1</v>
      </c>
      <c r="AQ497" s="13">
        <f t="shared" si="305"/>
        <v>1</v>
      </c>
      <c r="AR497" s="13">
        <f t="shared" si="305"/>
        <v>0</v>
      </c>
      <c r="AS497" s="13">
        <f t="shared" si="305"/>
        <v>0</v>
      </c>
      <c r="AT497" s="13">
        <f t="shared" si="305"/>
        <v>1</v>
      </c>
      <c r="AU497" s="13">
        <f t="shared" si="305"/>
        <v>1</v>
      </c>
      <c r="AV497" s="13">
        <f t="shared" si="284"/>
        <v>0</v>
      </c>
      <c r="AW497" s="13">
        <f t="shared" si="285"/>
        <v>1</v>
      </c>
      <c r="AY497" s="17">
        <f t="shared" si="286"/>
        <v>407</v>
      </c>
      <c r="AZ497" s="28">
        <f t="shared" si="294"/>
        <v>0</v>
      </c>
      <c r="BA497" s="13">
        <f t="shared" si="287"/>
        <v>0</v>
      </c>
      <c r="BB497" s="13">
        <f t="shared" si="288"/>
        <v>0</v>
      </c>
      <c r="BC497" s="28">
        <f t="shared" si="295"/>
        <v>0</v>
      </c>
      <c r="BD497" s="28">
        <f t="shared" si="296"/>
        <v>0</v>
      </c>
      <c r="BF497" s="248">
        <f t="shared" si="297"/>
        <v>993869.29442638322</v>
      </c>
    </row>
    <row r="498" spans="1:58">
      <c r="A498" s="32">
        <f t="shared" si="298"/>
        <v>-323</v>
      </c>
      <c r="B498" s="32">
        <f t="shared" si="289"/>
        <v>86</v>
      </c>
      <c r="C498" s="32">
        <f t="shared" si="299"/>
        <v>34</v>
      </c>
      <c r="D498" s="32">
        <f t="shared" si="300"/>
        <v>408</v>
      </c>
      <c r="E498" s="74">
        <f>MIN(IF(AV498=0,0,
IF(Investment_Strategy="DIS",VLOOKUP(Investment_Strategy&amp;"_"&amp;Investment_Strategy_Sub1&amp;"_"&amp;$A498,'Investment Strategies'!$AZ:$BP,12,FALSE),
IF(AND(Investment_Strategy="Lifecycle",Investment_Strategy_Sub1="Non-Standard"),VLOOKUP(Investment_Strategy&amp;"_"&amp;Investment_Strategy_Sub2&amp;"_"&amp;$A498,'Investment Strategies'!$C:$P,9,FALSE),
IF(AND(Investment_Strategy="Lifecycle",Investment_Strategy_Sub1="Standard"),VLOOKUP(Investment_Strategy&amp;"_"&amp;Investment_Strategy_Sub2&amp;"_"&amp;$A498,'Investment Strategies'!$AJ:$AV,8,FALSE),
IF(AND(Investment_Strategy="Autopilot",Investment_Strategy_Sub1="Non-Standard"),VLOOKUP(Investment_Strategy&amp;"_"&amp;Investment_Strategy_Sub2&amp;"_"&amp;$A498,'Investment Strategies'!$T:$AF,8,FALSE),
IF(Investment_Strategy ="DIY",DIY_RateOfReturn_CurrentFunds,
"Error")))))),Max_InvReturn)</f>
        <v>0</v>
      </c>
      <c r="F498" s="62">
        <f>IF(AV498=0,0,
IF(Investment_Strategy="DIS",VLOOKUP(Investment_Strategy&amp;"_"&amp;Investment_Strategy_Sub1&amp;"_"&amp;$A498,'Investment Strategies'!$AZ:$BP,15,FALSE),
IF(AND(Investment_Strategy="Lifecycle",Investment_Strategy_Sub1="Non-Standard"),VLOOKUP(Investment_Strategy&amp;"_"&amp;Investment_Strategy_Sub2&amp;"_"&amp;$A498,'Investment Strategies'!$C:$P,12,FALSE),
IF(AND(Investment_Strategy="Lifecycle",Investment_Strategy_Sub1="Standard"),VLOOKUP(Investment_Strategy&amp;"_"&amp;Investment_Strategy_Sub2&amp;"_"&amp;$A498,'Investment Strategies'!$AJ:$AV,11,FALSE),
IF(AND(Investment_Strategy="Autopilot",Investment_Strategy_Sub1="Non-Standard"),VLOOKUP(Investment_Strategy&amp;"_"&amp;Investment_Strategy_Sub2&amp;"_"&amp;$A498,'Investment Strategies'!$T:$AF,11,FALSE),
IF(Investment_Strategy="DIY",DIY_GteeChrge_CurrentFunds,
"Error"))))))</f>
        <v>0</v>
      </c>
      <c r="G498" s="33">
        <f>IF(AV498=0,0,
IF(Investment_Strategy="DIS",VLOOKUP(Investment_Strategy&amp;"_"&amp;Investment_Strategy_Sub1&amp;"_"&amp;$A498,'Investment Strategies'!$AZ:$BP,17,FALSE),
IF(AND(Investment_Strategy="Lifecycle",Investment_Strategy_Sub1="Non-Standard"),VLOOKUP(Investment_Strategy&amp;"_"&amp;Investment_Strategy_Sub2&amp;"_"&amp;$A498,'Investment Strategies'!$C:$P,14,FALSE),
IF(AND(Investment_Strategy="Lifecycle",Investment_Strategy_Sub1="Standard"),VLOOKUP(Investment_Strategy&amp;"_"&amp;Investment_Strategy_Sub2&amp;"_"&amp;$A498,'Investment Strategies'!$AJ:$AV,13,FALSE),
IF(AND(Investment_Strategy="Autopilot",Investment_Strategy_Sub1="Non-Standard"),VLOOKUP(Investment_Strategy&amp;"_"&amp;Investment_Strategy_Sub2&amp;"_"&amp;$A498,'Investment Strategies'!$T:$AF,13,FALSE),
IF(Investment_Strategy="DIY",DIY_ExtManChrge_CurrentFunds,
"Error"))))))</f>
        <v>0</v>
      </c>
      <c r="H498" s="16">
        <f t="shared" si="290"/>
        <v>0</v>
      </c>
      <c r="I498" s="16">
        <f t="shared" si="276"/>
        <v>0</v>
      </c>
      <c r="J498" s="16">
        <f t="shared" si="277"/>
        <v>0</v>
      </c>
      <c r="K498" s="16">
        <f>(Opening_Fund_Value+SUM(K$91:K497))*E498*IF(D498=$A$91,SRP_finalmonthfactor,1)</f>
        <v>0</v>
      </c>
      <c r="L498" s="74">
        <f>MIN(IF($AV498=0,0,
IF(Investment_Strategy="DIS",VLOOKUP(Investment_Strategy&amp;"_"&amp;Investment_Strategy_Sub1&amp;"_"&amp;$A498,'Investment Strategies'!$AZ:$BP,12,FALSE),
IF(AND(Investment_Strategy="Lifecycle",Investment_Strategy_Sub1="Non-Standard"),VLOOKUP(Investment_Strategy&amp;"_"&amp;Investment_Strategy_Sub2&amp;"_"&amp;$A498,'Investment Strategies'!$C:$P,9,FALSE),
IF(AND(Investment_Strategy="Lifecycle",Investment_Strategy_Sub1="Standard"),VLOOKUP(Investment_Strategy&amp;"_"&amp;Investment_Strategy_Sub2&amp;"_"&amp;$A498,'Investment Strategies'!$AJ:$AV,8,FALSE),
IF(AND(Investment_Strategy="Autopilot",Investment_Strategy_Sub1="Non-Standard"),VLOOKUP(Investment_Strategy&amp;"_"&amp;Investment_Strategy_Sub2&amp;"_"&amp;$A498,'Investment Strategies'!$T:$AF,8,FALSE),
IF(Investment_Strategy ="DIY",DIY_RateofReturn_SP,
"Error")))))),Max_InvReturn)</f>
        <v>0</v>
      </c>
      <c r="M498" s="62">
        <f>IF($AV498=0,0,
IF(Investment_Strategy="DIS",VLOOKUP(Investment_Strategy&amp;"_"&amp;Investment_Strategy_Sub1&amp;"_"&amp;$A498,'Investment Strategies'!$AZ:$BP,15,FALSE),
IF(AND(Investment_Strategy="Lifecycle",Investment_Strategy_Sub1="Non-Standard"),VLOOKUP(Investment_Strategy&amp;"_"&amp;Investment_Strategy_Sub2&amp;"_"&amp;$A498,'Investment Strategies'!$C:$P,12,FALSE),
IF(AND(Investment_Strategy="Lifecycle",Investment_Strategy_Sub1="Standard"),VLOOKUP(Investment_Strategy&amp;"_"&amp;Investment_Strategy_Sub2&amp;"_"&amp;$A498,'Investment Strategies'!$AJ:$AV,11,FALSE),
IF(AND(Investment_Strategy="Autopilot",Investment_Strategy_Sub1="Non-Standard"),VLOOKUP(Investment_Strategy&amp;"_"&amp;Investment_Strategy_Sub2&amp;"_"&amp;$A498,'Investment Strategies'!$T:$AF,11,FALSE),
IF(Investment_Strategy="DIY",DIY_GteeChrge_SP,
"Error"))))))</f>
        <v>0</v>
      </c>
      <c r="N498" s="33">
        <f>IF($AV498=0,0,
IF(Investment_Strategy="DIS",VLOOKUP(Investment_Strategy&amp;"_"&amp;Investment_Strategy_Sub1&amp;"_"&amp;$A498,'Investment Strategies'!$AZ:$BP,17,FALSE),
IF(AND(Investment_Strategy="Lifecycle",Investment_Strategy_Sub1="Non-Standard"),VLOOKUP(Investment_Strategy&amp;"_"&amp;Investment_Strategy_Sub2&amp;"_"&amp;$A498,'Investment Strategies'!$C:$P,14,FALSE),
IF(AND(Investment_Strategy="Lifecycle",Investment_Strategy_Sub1="Standard"),VLOOKUP(Investment_Strategy&amp;"_"&amp;Investment_Strategy_Sub2&amp;"_"&amp;$A498,'Investment Strategies'!$AJ:$AV,13,FALSE),
IF(AND(Investment_Strategy="Autopilot",Investment_Strategy_Sub1="Non-Standard"),VLOOKUP(Investment_Strategy&amp;"_"&amp;Investment_Strategy_Sub2&amp;"_"&amp;$A498,'Investment Strategies'!$T:$AF,13,FALSE),
IF(Investment_Strategy="DIY",DIY_ExtManChrge_SP,
"Error"))))))</f>
        <v>0</v>
      </c>
      <c r="O498" s="16">
        <f t="shared" si="301"/>
        <v>0</v>
      </c>
      <c r="Q498" s="16">
        <f t="shared" si="278"/>
        <v>0</v>
      </c>
      <c r="R498" s="16">
        <f t="shared" si="274"/>
        <v>0</v>
      </c>
      <c r="S498" s="16">
        <f>(SRP_SP+SUM(S$91:S497))*L498*IF(D498=$A$91,SRP_finalmonthfactor,1)</f>
        <v>0</v>
      </c>
      <c r="T498" s="74">
        <f>MIN(IF($AV498=0,0,
IF(Investment_Strategy="DIS",VLOOKUP(Investment_Strategy&amp;"_"&amp;Investment_Strategy_Sub1&amp;"_"&amp;$A498,'Investment Strategies'!$AZ:$BP,12,FALSE),
IF(AND(Investment_Strategy="Lifecycle",Investment_Strategy_Sub1="Non-Standard"),VLOOKUP(Investment_Strategy&amp;"_"&amp;Investment_Strategy_Sub2&amp;"_"&amp;$A498,'Investment Strategies'!$C:$P,9,FALSE),
IF(AND(Investment_Strategy="Lifecycle",Investment_Strategy_Sub1="Standard"),VLOOKUP(Investment_Strategy&amp;"_"&amp;Investment_Strategy_Sub2&amp;"_"&amp;$A498,'Investment Strategies'!$AJ:$AV,8,FALSE),
IF(AND(Investment_Strategy="Autopilot",Investment_Strategy_Sub1="Non-Standard"),VLOOKUP(Investment_Strategy&amp;"_"&amp;Investment_Strategy_Sub2&amp;"_"&amp;$A498,'Investment Strategies'!$T:$AF,8,FALSE),
IF(Investment_Strategy ="DIY",DIY_RateOfReturn_FuturePremiums,
"Error")))))),Max_InvReturn)</f>
        <v>0</v>
      </c>
      <c r="U498" s="62">
        <f>IF($AV498=0,0,
IF(Investment_Strategy="DIS",VLOOKUP(Investment_Strategy&amp;"_"&amp;Investment_Strategy_Sub1&amp;"_"&amp;$A498,'Investment Strategies'!$AZ:$BP,15,FALSE),
IF(AND(Investment_Strategy="Lifecycle",Investment_Strategy_Sub1="Non-Standard"),VLOOKUP(Investment_Strategy&amp;"_"&amp;Investment_Strategy_Sub2&amp;"_"&amp;$A498,'Investment Strategies'!$C:$P,12,FALSE),
IF(AND(Investment_Strategy="Lifecycle",Investment_Strategy_Sub1="Standard"),VLOOKUP(Investment_Strategy&amp;"_"&amp;Investment_Strategy_Sub2&amp;"_"&amp;$A498,'Investment Strategies'!$AJ:$AV,11,FALSE),
IF(AND(Investment_Strategy="Autopilot",Investment_Strategy_Sub1="Non-Standard"),VLOOKUP(Investment_Strategy&amp;"_"&amp;Investment_Strategy_Sub2&amp;"_"&amp;$A498,'Investment Strategies'!$T:$AF,11,FALSE),
IF(Investment_Strategy="DIY",DIY_GteeChrge_FuturePremiums,
"Error"))))))</f>
        <v>0</v>
      </c>
      <c r="V498" s="33">
        <f>IF(AV498=0,0,
IF(Investment_Strategy="DIS",VLOOKUP(Investment_Strategy&amp;"_"&amp;Investment_Strategy_Sub1&amp;"_"&amp;$A498,'Investment Strategies'!$AZ:$BP,17,FALSE),
IF(AND(Investment_Strategy="Lifecycle",Investment_Strategy_Sub1="Non-Standard"),VLOOKUP(Investment_Strategy&amp;"_"&amp;Investment_Strategy_Sub2&amp;"_"&amp;$A498,'Investment Strategies'!$C:$P,14,FALSE),
IF(AND(Investment_Strategy="Lifecycle",Investment_Strategy_Sub1="Standard"),VLOOKUP(Investment_Strategy&amp;"_"&amp;Investment_Strategy_Sub2&amp;"_"&amp;$A498,'Investment Strategies'!$AJ:$AV,13,FALSE),
IF(AND(Investment_Strategy="Autopilot",Investment_Strategy_Sub1="Non-Standard"),VLOOKUP(Investment_Strategy&amp;"_"&amp;Investment_Strategy_Sub2&amp;"_"&amp;$A498,'Investment Strategies'!$T:$AF,13,FALSE),
IF(Investment_Strategy="DIY",DIY_ExtManChrge_FuturePremiums,
"Error"))))))</f>
        <v>0</v>
      </c>
      <c r="W498" s="16">
        <f t="shared" si="302"/>
        <v>0</v>
      </c>
      <c r="X498" s="16">
        <f t="shared" si="279"/>
        <v>0</v>
      </c>
      <c r="Y498" s="16">
        <f t="shared" si="280"/>
        <v>0</v>
      </c>
      <c r="Z498" s="31">
        <f t="shared" si="281"/>
        <v>0.02</v>
      </c>
      <c r="AA498" s="16">
        <f t="shared" si="282"/>
        <v>0</v>
      </c>
      <c r="AB498" s="28">
        <f t="shared" si="303"/>
        <v>0</v>
      </c>
      <c r="AC498" s="28">
        <f>(SUM($AC$91:AC497)+SUM($X$91:X497)+X498)*T498*IF(D498=$A$91,SRP_finalmonthfactor,1)</f>
        <v>0</v>
      </c>
      <c r="AD498" s="16">
        <f t="shared" si="283"/>
        <v>0</v>
      </c>
      <c r="AE498" s="106"/>
      <c r="AF498" s="16">
        <f t="shared" si="291"/>
        <v>0</v>
      </c>
      <c r="AG498" s="16">
        <f t="shared" si="292"/>
        <v>0</v>
      </c>
      <c r="AH498" s="16">
        <f t="shared" si="293"/>
        <v>0</v>
      </c>
      <c r="AJ498" s="13">
        <f t="shared" si="305"/>
        <v>0</v>
      </c>
      <c r="AK498" s="13">
        <f t="shared" si="305"/>
        <v>0</v>
      </c>
      <c r="AL498" s="13">
        <f t="shared" si="305"/>
        <v>0</v>
      </c>
      <c r="AM498" s="13">
        <f t="shared" si="305"/>
        <v>0</v>
      </c>
      <c r="AN498" s="13">
        <f t="shared" si="305"/>
        <v>0</v>
      </c>
      <c r="AO498" s="13">
        <f t="shared" si="305"/>
        <v>1</v>
      </c>
      <c r="AP498" s="13">
        <f t="shared" si="305"/>
        <v>1</v>
      </c>
      <c r="AQ498" s="13">
        <f t="shared" si="305"/>
        <v>1</v>
      </c>
      <c r="AR498" s="13">
        <f t="shared" si="305"/>
        <v>0</v>
      </c>
      <c r="AS498" s="13">
        <f t="shared" si="305"/>
        <v>0</v>
      </c>
      <c r="AT498" s="13">
        <f t="shared" si="305"/>
        <v>1</v>
      </c>
      <c r="AU498" s="13">
        <f t="shared" si="305"/>
        <v>1</v>
      </c>
      <c r="AV498" s="13">
        <f t="shared" si="284"/>
        <v>0</v>
      </c>
      <c r="AW498" s="13">
        <f t="shared" si="285"/>
        <v>1</v>
      </c>
      <c r="AY498" s="17">
        <f t="shared" si="286"/>
        <v>408</v>
      </c>
      <c r="AZ498" s="28">
        <f t="shared" si="294"/>
        <v>0</v>
      </c>
      <c r="BA498" s="13">
        <f t="shared" si="287"/>
        <v>0</v>
      </c>
      <c r="BB498" s="13">
        <f t="shared" si="288"/>
        <v>0</v>
      </c>
      <c r="BC498" s="28">
        <f t="shared" si="295"/>
        <v>0</v>
      </c>
      <c r="BD498" s="28">
        <f t="shared" si="296"/>
        <v>0</v>
      </c>
      <c r="BF498" s="248">
        <f t="shared" si="297"/>
        <v>993869.29442638322</v>
      </c>
    </row>
    <row r="499" spans="1:58">
      <c r="A499" s="32">
        <f t="shared" si="298"/>
        <v>-324</v>
      </c>
      <c r="B499" s="32">
        <f t="shared" si="289"/>
        <v>87</v>
      </c>
      <c r="C499" s="32">
        <f t="shared" si="299"/>
        <v>35</v>
      </c>
      <c r="D499" s="32">
        <f t="shared" si="300"/>
        <v>409</v>
      </c>
      <c r="E499" s="74">
        <f>MIN(IF(AV499=0,0,
IF(Investment_Strategy="DIS",VLOOKUP(Investment_Strategy&amp;"_"&amp;Investment_Strategy_Sub1&amp;"_"&amp;$A499,'Investment Strategies'!$AZ:$BP,12,FALSE),
IF(AND(Investment_Strategy="Lifecycle",Investment_Strategy_Sub1="Non-Standard"),VLOOKUP(Investment_Strategy&amp;"_"&amp;Investment_Strategy_Sub2&amp;"_"&amp;$A499,'Investment Strategies'!$C:$P,9,FALSE),
IF(AND(Investment_Strategy="Lifecycle",Investment_Strategy_Sub1="Standard"),VLOOKUP(Investment_Strategy&amp;"_"&amp;Investment_Strategy_Sub2&amp;"_"&amp;$A499,'Investment Strategies'!$AJ:$AV,8,FALSE),
IF(AND(Investment_Strategy="Autopilot",Investment_Strategy_Sub1="Non-Standard"),VLOOKUP(Investment_Strategy&amp;"_"&amp;Investment_Strategy_Sub2&amp;"_"&amp;$A499,'Investment Strategies'!$T:$AF,8,FALSE),
IF(Investment_Strategy ="DIY",DIY_RateOfReturn_CurrentFunds,
"Error")))))),Max_InvReturn)</f>
        <v>0</v>
      </c>
      <c r="F499" s="62">
        <f>IF(AV499=0,0,
IF(Investment_Strategy="DIS",VLOOKUP(Investment_Strategy&amp;"_"&amp;Investment_Strategy_Sub1&amp;"_"&amp;$A499,'Investment Strategies'!$AZ:$BP,15,FALSE),
IF(AND(Investment_Strategy="Lifecycle",Investment_Strategy_Sub1="Non-Standard"),VLOOKUP(Investment_Strategy&amp;"_"&amp;Investment_Strategy_Sub2&amp;"_"&amp;$A499,'Investment Strategies'!$C:$P,12,FALSE),
IF(AND(Investment_Strategy="Lifecycle",Investment_Strategy_Sub1="Standard"),VLOOKUP(Investment_Strategy&amp;"_"&amp;Investment_Strategy_Sub2&amp;"_"&amp;$A499,'Investment Strategies'!$AJ:$AV,11,FALSE),
IF(AND(Investment_Strategy="Autopilot",Investment_Strategy_Sub1="Non-Standard"),VLOOKUP(Investment_Strategy&amp;"_"&amp;Investment_Strategy_Sub2&amp;"_"&amp;$A499,'Investment Strategies'!$T:$AF,11,FALSE),
IF(Investment_Strategy="DIY",DIY_GteeChrge_CurrentFunds,
"Error"))))))</f>
        <v>0</v>
      </c>
      <c r="G499" s="33">
        <f>IF(AV499=0,0,
IF(Investment_Strategy="DIS",VLOOKUP(Investment_Strategy&amp;"_"&amp;Investment_Strategy_Sub1&amp;"_"&amp;$A499,'Investment Strategies'!$AZ:$BP,17,FALSE),
IF(AND(Investment_Strategy="Lifecycle",Investment_Strategy_Sub1="Non-Standard"),VLOOKUP(Investment_Strategy&amp;"_"&amp;Investment_Strategy_Sub2&amp;"_"&amp;$A499,'Investment Strategies'!$C:$P,14,FALSE),
IF(AND(Investment_Strategy="Lifecycle",Investment_Strategy_Sub1="Standard"),VLOOKUP(Investment_Strategy&amp;"_"&amp;Investment_Strategy_Sub2&amp;"_"&amp;$A499,'Investment Strategies'!$AJ:$AV,13,FALSE),
IF(AND(Investment_Strategy="Autopilot",Investment_Strategy_Sub1="Non-Standard"),VLOOKUP(Investment_Strategy&amp;"_"&amp;Investment_Strategy_Sub2&amp;"_"&amp;$A499,'Investment Strategies'!$T:$AF,13,FALSE),
IF(Investment_Strategy="DIY",DIY_ExtManChrge_CurrentFunds,
"Error"))))))</f>
        <v>0</v>
      </c>
      <c r="H499" s="16">
        <f t="shared" si="290"/>
        <v>0</v>
      </c>
      <c r="I499" s="16">
        <f t="shared" si="276"/>
        <v>0</v>
      </c>
      <c r="J499" s="16">
        <f t="shared" si="277"/>
        <v>0</v>
      </c>
      <c r="K499" s="16">
        <f>(Opening_Fund_Value+SUM(K$91:K498))*E499*IF(D499=$A$91,SRP_finalmonthfactor,1)</f>
        <v>0</v>
      </c>
      <c r="L499" s="74">
        <f>MIN(IF($AV499=0,0,
IF(Investment_Strategy="DIS",VLOOKUP(Investment_Strategy&amp;"_"&amp;Investment_Strategy_Sub1&amp;"_"&amp;$A499,'Investment Strategies'!$AZ:$BP,12,FALSE),
IF(AND(Investment_Strategy="Lifecycle",Investment_Strategy_Sub1="Non-Standard"),VLOOKUP(Investment_Strategy&amp;"_"&amp;Investment_Strategy_Sub2&amp;"_"&amp;$A499,'Investment Strategies'!$C:$P,9,FALSE),
IF(AND(Investment_Strategy="Lifecycle",Investment_Strategy_Sub1="Standard"),VLOOKUP(Investment_Strategy&amp;"_"&amp;Investment_Strategy_Sub2&amp;"_"&amp;$A499,'Investment Strategies'!$AJ:$AV,8,FALSE),
IF(AND(Investment_Strategy="Autopilot",Investment_Strategy_Sub1="Non-Standard"),VLOOKUP(Investment_Strategy&amp;"_"&amp;Investment_Strategy_Sub2&amp;"_"&amp;$A499,'Investment Strategies'!$T:$AF,8,FALSE),
IF(Investment_Strategy ="DIY",DIY_RateofReturn_SP,
"Error")))))),Max_InvReturn)</f>
        <v>0</v>
      </c>
      <c r="M499" s="62">
        <f>IF($AV499=0,0,
IF(Investment_Strategy="DIS",VLOOKUP(Investment_Strategy&amp;"_"&amp;Investment_Strategy_Sub1&amp;"_"&amp;$A499,'Investment Strategies'!$AZ:$BP,15,FALSE),
IF(AND(Investment_Strategy="Lifecycle",Investment_Strategy_Sub1="Non-Standard"),VLOOKUP(Investment_Strategy&amp;"_"&amp;Investment_Strategy_Sub2&amp;"_"&amp;$A499,'Investment Strategies'!$C:$P,12,FALSE),
IF(AND(Investment_Strategy="Lifecycle",Investment_Strategy_Sub1="Standard"),VLOOKUP(Investment_Strategy&amp;"_"&amp;Investment_Strategy_Sub2&amp;"_"&amp;$A499,'Investment Strategies'!$AJ:$AV,11,FALSE),
IF(AND(Investment_Strategy="Autopilot",Investment_Strategy_Sub1="Non-Standard"),VLOOKUP(Investment_Strategy&amp;"_"&amp;Investment_Strategy_Sub2&amp;"_"&amp;$A499,'Investment Strategies'!$T:$AF,11,FALSE),
IF(Investment_Strategy="DIY",DIY_GteeChrge_SP,
"Error"))))))</f>
        <v>0</v>
      </c>
      <c r="N499" s="33">
        <f>IF($AV499=0,0,
IF(Investment_Strategy="DIS",VLOOKUP(Investment_Strategy&amp;"_"&amp;Investment_Strategy_Sub1&amp;"_"&amp;$A499,'Investment Strategies'!$AZ:$BP,17,FALSE),
IF(AND(Investment_Strategy="Lifecycle",Investment_Strategy_Sub1="Non-Standard"),VLOOKUP(Investment_Strategy&amp;"_"&amp;Investment_Strategy_Sub2&amp;"_"&amp;$A499,'Investment Strategies'!$C:$P,14,FALSE),
IF(AND(Investment_Strategy="Lifecycle",Investment_Strategy_Sub1="Standard"),VLOOKUP(Investment_Strategy&amp;"_"&amp;Investment_Strategy_Sub2&amp;"_"&amp;$A499,'Investment Strategies'!$AJ:$AV,13,FALSE),
IF(AND(Investment_Strategy="Autopilot",Investment_Strategy_Sub1="Non-Standard"),VLOOKUP(Investment_Strategy&amp;"_"&amp;Investment_Strategy_Sub2&amp;"_"&amp;$A499,'Investment Strategies'!$T:$AF,13,FALSE),
IF(Investment_Strategy="DIY",DIY_ExtManChrge_SP,
"Error"))))))</f>
        <v>0</v>
      </c>
      <c r="O499" s="16">
        <f t="shared" si="301"/>
        <v>0</v>
      </c>
      <c r="Q499" s="16">
        <f t="shared" si="278"/>
        <v>0</v>
      </c>
      <c r="R499" s="16">
        <f t="shared" si="274"/>
        <v>0</v>
      </c>
      <c r="S499" s="16">
        <f>(SRP_SP+SUM(S$91:S498))*L499*IF(D499=$A$91,SRP_finalmonthfactor,1)</f>
        <v>0</v>
      </c>
      <c r="T499" s="74">
        <f>MIN(IF($AV499=0,0,
IF(Investment_Strategy="DIS",VLOOKUP(Investment_Strategy&amp;"_"&amp;Investment_Strategy_Sub1&amp;"_"&amp;$A499,'Investment Strategies'!$AZ:$BP,12,FALSE),
IF(AND(Investment_Strategy="Lifecycle",Investment_Strategy_Sub1="Non-Standard"),VLOOKUP(Investment_Strategy&amp;"_"&amp;Investment_Strategy_Sub2&amp;"_"&amp;$A499,'Investment Strategies'!$C:$P,9,FALSE),
IF(AND(Investment_Strategy="Lifecycle",Investment_Strategy_Sub1="Standard"),VLOOKUP(Investment_Strategy&amp;"_"&amp;Investment_Strategy_Sub2&amp;"_"&amp;$A499,'Investment Strategies'!$AJ:$AV,8,FALSE),
IF(AND(Investment_Strategy="Autopilot",Investment_Strategy_Sub1="Non-Standard"),VLOOKUP(Investment_Strategy&amp;"_"&amp;Investment_Strategy_Sub2&amp;"_"&amp;$A499,'Investment Strategies'!$T:$AF,8,FALSE),
IF(Investment_Strategy ="DIY",DIY_RateOfReturn_FuturePremiums,
"Error")))))),Max_InvReturn)</f>
        <v>0</v>
      </c>
      <c r="U499" s="62">
        <f>IF($AV499=0,0,
IF(Investment_Strategy="DIS",VLOOKUP(Investment_Strategy&amp;"_"&amp;Investment_Strategy_Sub1&amp;"_"&amp;$A499,'Investment Strategies'!$AZ:$BP,15,FALSE),
IF(AND(Investment_Strategy="Lifecycle",Investment_Strategy_Sub1="Non-Standard"),VLOOKUP(Investment_Strategy&amp;"_"&amp;Investment_Strategy_Sub2&amp;"_"&amp;$A499,'Investment Strategies'!$C:$P,12,FALSE),
IF(AND(Investment_Strategy="Lifecycle",Investment_Strategy_Sub1="Standard"),VLOOKUP(Investment_Strategy&amp;"_"&amp;Investment_Strategy_Sub2&amp;"_"&amp;$A499,'Investment Strategies'!$AJ:$AV,11,FALSE),
IF(AND(Investment_Strategy="Autopilot",Investment_Strategy_Sub1="Non-Standard"),VLOOKUP(Investment_Strategy&amp;"_"&amp;Investment_Strategy_Sub2&amp;"_"&amp;$A499,'Investment Strategies'!$T:$AF,11,FALSE),
IF(Investment_Strategy="DIY",DIY_GteeChrge_FuturePremiums,
"Error"))))))</f>
        <v>0</v>
      </c>
      <c r="V499" s="33">
        <f>IF(AV499=0,0,
IF(Investment_Strategy="DIS",VLOOKUP(Investment_Strategy&amp;"_"&amp;Investment_Strategy_Sub1&amp;"_"&amp;$A499,'Investment Strategies'!$AZ:$BP,17,FALSE),
IF(AND(Investment_Strategy="Lifecycle",Investment_Strategy_Sub1="Non-Standard"),VLOOKUP(Investment_Strategy&amp;"_"&amp;Investment_Strategy_Sub2&amp;"_"&amp;$A499,'Investment Strategies'!$C:$P,14,FALSE),
IF(AND(Investment_Strategy="Lifecycle",Investment_Strategy_Sub1="Standard"),VLOOKUP(Investment_Strategy&amp;"_"&amp;Investment_Strategy_Sub2&amp;"_"&amp;$A499,'Investment Strategies'!$AJ:$AV,13,FALSE),
IF(AND(Investment_Strategy="Autopilot",Investment_Strategy_Sub1="Non-Standard"),VLOOKUP(Investment_Strategy&amp;"_"&amp;Investment_Strategy_Sub2&amp;"_"&amp;$A499,'Investment Strategies'!$T:$AF,13,FALSE),
IF(Investment_Strategy="DIY",DIY_ExtManChrge_FuturePremiums,
"Error"))))))</f>
        <v>0</v>
      </c>
      <c r="W499" s="16">
        <f t="shared" si="302"/>
        <v>0</v>
      </c>
      <c r="X499" s="16">
        <f t="shared" si="279"/>
        <v>0</v>
      </c>
      <c r="Y499" s="16">
        <f t="shared" si="280"/>
        <v>0</v>
      </c>
      <c r="Z499" s="31">
        <f t="shared" si="281"/>
        <v>0.02</v>
      </c>
      <c r="AA499" s="16">
        <f t="shared" si="282"/>
        <v>0</v>
      </c>
      <c r="AB499" s="28">
        <f t="shared" si="303"/>
        <v>0</v>
      </c>
      <c r="AC499" s="28">
        <f>(SUM($AC$91:AC498)+SUM($X$91:X498)+X499)*T499*IF(D499=$A$91,SRP_finalmonthfactor,1)</f>
        <v>0</v>
      </c>
      <c r="AD499" s="16">
        <f t="shared" si="283"/>
        <v>0</v>
      </c>
      <c r="AE499" s="106"/>
      <c r="AF499" s="16">
        <f t="shared" si="291"/>
        <v>0</v>
      </c>
      <c r="AG499" s="16">
        <f t="shared" si="292"/>
        <v>0</v>
      </c>
      <c r="AH499" s="16">
        <f t="shared" si="293"/>
        <v>0</v>
      </c>
      <c r="AJ499" s="13">
        <f t="shared" si="305"/>
        <v>0</v>
      </c>
      <c r="AK499" s="13">
        <f t="shared" si="305"/>
        <v>0</v>
      </c>
      <c r="AL499" s="13">
        <f t="shared" si="305"/>
        <v>0</v>
      </c>
      <c r="AM499" s="13">
        <f t="shared" si="305"/>
        <v>0</v>
      </c>
      <c r="AN499" s="13">
        <f t="shared" si="305"/>
        <v>0</v>
      </c>
      <c r="AO499" s="13">
        <f t="shared" si="305"/>
        <v>1</v>
      </c>
      <c r="AP499" s="13">
        <f t="shared" si="305"/>
        <v>1</v>
      </c>
      <c r="AQ499" s="13">
        <f t="shared" si="305"/>
        <v>1</v>
      </c>
      <c r="AR499" s="13">
        <f t="shared" si="305"/>
        <v>0</v>
      </c>
      <c r="AS499" s="13">
        <f t="shared" si="305"/>
        <v>0</v>
      </c>
      <c r="AT499" s="13">
        <f t="shared" si="305"/>
        <v>1</v>
      </c>
      <c r="AU499" s="13">
        <f t="shared" si="305"/>
        <v>1</v>
      </c>
      <c r="AV499" s="13">
        <f t="shared" si="284"/>
        <v>0</v>
      </c>
      <c r="AW499" s="13">
        <f t="shared" si="285"/>
        <v>1</v>
      </c>
      <c r="AY499" s="17">
        <f t="shared" si="286"/>
        <v>409</v>
      </c>
      <c r="AZ499" s="28">
        <f t="shared" si="294"/>
        <v>0</v>
      </c>
      <c r="BA499" s="13">
        <f t="shared" si="287"/>
        <v>0</v>
      </c>
      <c r="BB499" s="13">
        <f t="shared" si="288"/>
        <v>0</v>
      </c>
      <c r="BC499" s="28">
        <f t="shared" si="295"/>
        <v>0</v>
      </c>
      <c r="BD499" s="28">
        <f t="shared" si="296"/>
        <v>0</v>
      </c>
      <c r="BF499" s="248">
        <f t="shared" si="297"/>
        <v>993869.29442638322</v>
      </c>
    </row>
    <row r="500" spans="1:58">
      <c r="A500" s="32">
        <f t="shared" si="298"/>
        <v>-325</v>
      </c>
      <c r="B500" s="32">
        <f t="shared" si="289"/>
        <v>87</v>
      </c>
      <c r="C500" s="32">
        <f t="shared" si="299"/>
        <v>35</v>
      </c>
      <c r="D500" s="32">
        <f t="shared" si="300"/>
        <v>410</v>
      </c>
      <c r="E500" s="74">
        <f>MIN(IF(AV500=0,0,
IF(Investment_Strategy="DIS",VLOOKUP(Investment_Strategy&amp;"_"&amp;Investment_Strategy_Sub1&amp;"_"&amp;$A500,'Investment Strategies'!$AZ:$BP,12,FALSE),
IF(AND(Investment_Strategy="Lifecycle",Investment_Strategy_Sub1="Non-Standard"),VLOOKUP(Investment_Strategy&amp;"_"&amp;Investment_Strategy_Sub2&amp;"_"&amp;$A500,'Investment Strategies'!$C:$P,9,FALSE),
IF(AND(Investment_Strategy="Lifecycle",Investment_Strategy_Sub1="Standard"),VLOOKUP(Investment_Strategy&amp;"_"&amp;Investment_Strategy_Sub2&amp;"_"&amp;$A500,'Investment Strategies'!$AJ:$AV,8,FALSE),
IF(AND(Investment_Strategy="Autopilot",Investment_Strategy_Sub1="Non-Standard"),VLOOKUP(Investment_Strategy&amp;"_"&amp;Investment_Strategy_Sub2&amp;"_"&amp;$A500,'Investment Strategies'!$T:$AF,8,FALSE),
IF(Investment_Strategy ="DIY",DIY_RateOfReturn_CurrentFunds,
"Error")))))),Max_InvReturn)</f>
        <v>0</v>
      </c>
      <c r="F500" s="62">
        <f>IF(AV500=0,0,
IF(Investment_Strategy="DIS",VLOOKUP(Investment_Strategy&amp;"_"&amp;Investment_Strategy_Sub1&amp;"_"&amp;$A500,'Investment Strategies'!$AZ:$BP,15,FALSE),
IF(AND(Investment_Strategy="Lifecycle",Investment_Strategy_Sub1="Non-Standard"),VLOOKUP(Investment_Strategy&amp;"_"&amp;Investment_Strategy_Sub2&amp;"_"&amp;$A500,'Investment Strategies'!$C:$P,12,FALSE),
IF(AND(Investment_Strategy="Lifecycle",Investment_Strategy_Sub1="Standard"),VLOOKUP(Investment_Strategy&amp;"_"&amp;Investment_Strategy_Sub2&amp;"_"&amp;$A500,'Investment Strategies'!$AJ:$AV,11,FALSE),
IF(AND(Investment_Strategy="Autopilot",Investment_Strategy_Sub1="Non-Standard"),VLOOKUP(Investment_Strategy&amp;"_"&amp;Investment_Strategy_Sub2&amp;"_"&amp;$A500,'Investment Strategies'!$T:$AF,11,FALSE),
IF(Investment_Strategy="DIY",DIY_GteeChrge_CurrentFunds,
"Error"))))))</f>
        <v>0</v>
      </c>
      <c r="G500" s="33">
        <f>IF(AV500=0,0,
IF(Investment_Strategy="DIS",VLOOKUP(Investment_Strategy&amp;"_"&amp;Investment_Strategy_Sub1&amp;"_"&amp;$A500,'Investment Strategies'!$AZ:$BP,17,FALSE),
IF(AND(Investment_Strategy="Lifecycle",Investment_Strategy_Sub1="Non-Standard"),VLOOKUP(Investment_Strategy&amp;"_"&amp;Investment_Strategy_Sub2&amp;"_"&amp;$A500,'Investment Strategies'!$C:$P,14,FALSE),
IF(AND(Investment_Strategy="Lifecycle",Investment_Strategy_Sub1="Standard"),VLOOKUP(Investment_Strategy&amp;"_"&amp;Investment_Strategy_Sub2&amp;"_"&amp;$A500,'Investment Strategies'!$AJ:$AV,13,FALSE),
IF(AND(Investment_Strategy="Autopilot",Investment_Strategy_Sub1="Non-Standard"),VLOOKUP(Investment_Strategy&amp;"_"&amp;Investment_Strategy_Sub2&amp;"_"&amp;$A500,'Investment Strategies'!$T:$AF,13,FALSE),
IF(Investment_Strategy="DIY",DIY_ExtManChrge_CurrentFunds,
"Error"))))))</f>
        <v>0</v>
      </c>
      <c r="H500" s="16">
        <f t="shared" si="290"/>
        <v>0</v>
      </c>
      <c r="I500" s="16">
        <f t="shared" si="276"/>
        <v>0</v>
      </c>
      <c r="J500" s="16">
        <f t="shared" si="277"/>
        <v>0</v>
      </c>
      <c r="K500" s="16">
        <f>(Opening_Fund_Value+SUM(K$91:K499))*E500*IF(D500=$A$91,SRP_finalmonthfactor,1)</f>
        <v>0</v>
      </c>
      <c r="L500" s="74">
        <f>MIN(IF($AV500=0,0,
IF(Investment_Strategy="DIS",VLOOKUP(Investment_Strategy&amp;"_"&amp;Investment_Strategy_Sub1&amp;"_"&amp;$A500,'Investment Strategies'!$AZ:$BP,12,FALSE),
IF(AND(Investment_Strategy="Lifecycle",Investment_Strategy_Sub1="Non-Standard"),VLOOKUP(Investment_Strategy&amp;"_"&amp;Investment_Strategy_Sub2&amp;"_"&amp;$A500,'Investment Strategies'!$C:$P,9,FALSE),
IF(AND(Investment_Strategy="Lifecycle",Investment_Strategy_Sub1="Standard"),VLOOKUP(Investment_Strategy&amp;"_"&amp;Investment_Strategy_Sub2&amp;"_"&amp;$A500,'Investment Strategies'!$AJ:$AV,8,FALSE),
IF(AND(Investment_Strategy="Autopilot",Investment_Strategy_Sub1="Non-Standard"),VLOOKUP(Investment_Strategy&amp;"_"&amp;Investment_Strategy_Sub2&amp;"_"&amp;$A500,'Investment Strategies'!$T:$AF,8,FALSE),
IF(Investment_Strategy ="DIY",DIY_RateofReturn_SP,
"Error")))))),Max_InvReturn)</f>
        <v>0</v>
      </c>
      <c r="M500" s="62">
        <f>IF($AV500=0,0,
IF(Investment_Strategy="DIS",VLOOKUP(Investment_Strategy&amp;"_"&amp;Investment_Strategy_Sub1&amp;"_"&amp;$A500,'Investment Strategies'!$AZ:$BP,15,FALSE),
IF(AND(Investment_Strategy="Lifecycle",Investment_Strategy_Sub1="Non-Standard"),VLOOKUP(Investment_Strategy&amp;"_"&amp;Investment_Strategy_Sub2&amp;"_"&amp;$A500,'Investment Strategies'!$C:$P,12,FALSE),
IF(AND(Investment_Strategy="Lifecycle",Investment_Strategy_Sub1="Standard"),VLOOKUP(Investment_Strategy&amp;"_"&amp;Investment_Strategy_Sub2&amp;"_"&amp;$A500,'Investment Strategies'!$AJ:$AV,11,FALSE),
IF(AND(Investment_Strategy="Autopilot",Investment_Strategy_Sub1="Non-Standard"),VLOOKUP(Investment_Strategy&amp;"_"&amp;Investment_Strategy_Sub2&amp;"_"&amp;$A500,'Investment Strategies'!$T:$AF,11,FALSE),
IF(Investment_Strategy="DIY",DIY_GteeChrge_SP,
"Error"))))))</f>
        <v>0</v>
      </c>
      <c r="N500" s="33">
        <f>IF($AV500=0,0,
IF(Investment_Strategy="DIS",VLOOKUP(Investment_Strategy&amp;"_"&amp;Investment_Strategy_Sub1&amp;"_"&amp;$A500,'Investment Strategies'!$AZ:$BP,17,FALSE),
IF(AND(Investment_Strategy="Lifecycle",Investment_Strategy_Sub1="Non-Standard"),VLOOKUP(Investment_Strategy&amp;"_"&amp;Investment_Strategy_Sub2&amp;"_"&amp;$A500,'Investment Strategies'!$C:$P,14,FALSE),
IF(AND(Investment_Strategy="Lifecycle",Investment_Strategy_Sub1="Standard"),VLOOKUP(Investment_Strategy&amp;"_"&amp;Investment_Strategy_Sub2&amp;"_"&amp;$A500,'Investment Strategies'!$AJ:$AV,13,FALSE),
IF(AND(Investment_Strategy="Autopilot",Investment_Strategy_Sub1="Non-Standard"),VLOOKUP(Investment_Strategy&amp;"_"&amp;Investment_Strategy_Sub2&amp;"_"&amp;$A500,'Investment Strategies'!$T:$AF,13,FALSE),
IF(Investment_Strategy="DIY",DIY_ExtManChrge_SP,
"Error"))))))</f>
        <v>0</v>
      </c>
      <c r="O500" s="16">
        <f t="shared" si="301"/>
        <v>0</v>
      </c>
      <c r="Q500" s="16">
        <f t="shared" si="278"/>
        <v>0</v>
      </c>
      <c r="R500" s="16">
        <f t="shared" si="274"/>
        <v>0</v>
      </c>
      <c r="S500" s="16">
        <f>(SRP_SP+SUM(S$91:S499))*L500*IF(D500=$A$91,SRP_finalmonthfactor,1)</f>
        <v>0</v>
      </c>
      <c r="T500" s="74">
        <f>MIN(IF($AV500=0,0,
IF(Investment_Strategy="DIS",VLOOKUP(Investment_Strategy&amp;"_"&amp;Investment_Strategy_Sub1&amp;"_"&amp;$A500,'Investment Strategies'!$AZ:$BP,12,FALSE),
IF(AND(Investment_Strategy="Lifecycle",Investment_Strategy_Sub1="Non-Standard"),VLOOKUP(Investment_Strategy&amp;"_"&amp;Investment_Strategy_Sub2&amp;"_"&amp;$A500,'Investment Strategies'!$C:$P,9,FALSE),
IF(AND(Investment_Strategy="Lifecycle",Investment_Strategy_Sub1="Standard"),VLOOKUP(Investment_Strategy&amp;"_"&amp;Investment_Strategy_Sub2&amp;"_"&amp;$A500,'Investment Strategies'!$AJ:$AV,8,FALSE),
IF(AND(Investment_Strategy="Autopilot",Investment_Strategy_Sub1="Non-Standard"),VLOOKUP(Investment_Strategy&amp;"_"&amp;Investment_Strategy_Sub2&amp;"_"&amp;$A500,'Investment Strategies'!$T:$AF,8,FALSE),
IF(Investment_Strategy ="DIY",DIY_RateOfReturn_FuturePremiums,
"Error")))))),Max_InvReturn)</f>
        <v>0</v>
      </c>
      <c r="U500" s="62">
        <f>IF($AV500=0,0,
IF(Investment_Strategy="DIS",VLOOKUP(Investment_Strategy&amp;"_"&amp;Investment_Strategy_Sub1&amp;"_"&amp;$A500,'Investment Strategies'!$AZ:$BP,15,FALSE),
IF(AND(Investment_Strategy="Lifecycle",Investment_Strategy_Sub1="Non-Standard"),VLOOKUP(Investment_Strategy&amp;"_"&amp;Investment_Strategy_Sub2&amp;"_"&amp;$A500,'Investment Strategies'!$C:$P,12,FALSE),
IF(AND(Investment_Strategy="Lifecycle",Investment_Strategy_Sub1="Standard"),VLOOKUP(Investment_Strategy&amp;"_"&amp;Investment_Strategy_Sub2&amp;"_"&amp;$A500,'Investment Strategies'!$AJ:$AV,11,FALSE),
IF(AND(Investment_Strategy="Autopilot",Investment_Strategy_Sub1="Non-Standard"),VLOOKUP(Investment_Strategy&amp;"_"&amp;Investment_Strategy_Sub2&amp;"_"&amp;$A500,'Investment Strategies'!$T:$AF,11,FALSE),
IF(Investment_Strategy="DIY",DIY_GteeChrge_FuturePremiums,
"Error"))))))</f>
        <v>0</v>
      </c>
      <c r="V500" s="33">
        <f>IF(AV500=0,0,
IF(Investment_Strategy="DIS",VLOOKUP(Investment_Strategy&amp;"_"&amp;Investment_Strategy_Sub1&amp;"_"&amp;$A500,'Investment Strategies'!$AZ:$BP,17,FALSE),
IF(AND(Investment_Strategy="Lifecycle",Investment_Strategy_Sub1="Non-Standard"),VLOOKUP(Investment_Strategy&amp;"_"&amp;Investment_Strategy_Sub2&amp;"_"&amp;$A500,'Investment Strategies'!$C:$P,14,FALSE),
IF(AND(Investment_Strategy="Lifecycle",Investment_Strategy_Sub1="Standard"),VLOOKUP(Investment_Strategy&amp;"_"&amp;Investment_Strategy_Sub2&amp;"_"&amp;$A500,'Investment Strategies'!$AJ:$AV,13,FALSE),
IF(AND(Investment_Strategy="Autopilot",Investment_Strategy_Sub1="Non-Standard"),VLOOKUP(Investment_Strategy&amp;"_"&amp;Investment_Strategy_Sub2&amp;"_"&amp;$A500,'Investment Strategies'!$T:$AF,13,FALSE),
IF(Investment_Strategy="DIY",DIY_ExtManChrge_FuturePremiums,
"Error"))))))</f>
        <v>0</v>
      </c>
      <c r="W500" s="16">
        <f t="shared" si="302"/>
        <v>0</v>
      </c>
      <c r="X500" s="16">
        <f t="shared" si="279"/>
        <v>0</v>
      </c>
      <c r="Y500" s="16">
        <f t="shared" si="280"/>
        <v>0</v>
      </c>
      <c r="Z500" s="31">
        <f t="shared" si="281"/>
        <v>0.02</v>
      </c>
      <c r="AA500" s="16">
        <f t="shared" si="282"/>
        <v>0</v>
      </c>
      <c r="AB500" s="28">
        <f t="shared" si="303"/>
        <v>0</v>
      </c>
      <c r="AC500" s="28">
        <f>(SUM($AC$91:AC499)+SUM($X$91:X499)+X500)*T500*IF(D500=$A$91,SRP_finalmonthfactor,1)</f>
        <v>0</v>
      </c>
      <c r="AD500" s="16">
        <f t="shared" si="283"/>
        <v>0</v>
      </c>
      <c r="AE500" s="106"/>
      <c r="AF500" s="16">
        <f t="shared" si="291"/>
        <v>0</v>
      </c>
      <c r="AG500" s="16">
        <f t="shared" si="292"/>
        <v>0</v>
      </c>
      <c r="AH500" s="16">
        <f t="shared" si="293"/>
        <v>0</v>
      </c>
      <c r="AJ500" s="13">
        <f t="shared" si="305"/>
        <v>0</v>
      </c>
      <c r="AK500" s="13">
        <f t="shared" si="305"/>
        <v>0</v>
      </c>
      <c r="AL500" s="13">
        <f t="shared" si="305"/>
        <v>0</v>
      </c>
      <c r="AM500" s="13">
        <f t="shared" si="305"/>
        <v>0</v>
      </c>
      <c r="AN500" s="13">
        <f t="shared" si="305"/>
        <v>0</v>
      </c>
      <c r="AO500" s="13">
        <f t="shared" si="305"/>
        <v>1</v>
      </c>
      <c r="AP500" s="13">
        <f t="shared" si="305"/>
        <v>1</v>
      </c>
      <c r="AQ500" s="13">
        <f t="shared" si="305"/>
        <v>1</v>
      </c>
      <c r="AR500" s="13">
        <f t="shared" si="305"/>
        <v>0</v>
      </c>
      <c r="AS500" s="13">
        <f t="shared" si="305"/>
        <v>0</v>
      </c>
      <c r="AT500" s="13">
        <f t="shared" si="305"/>
        <v>1</v>
      </c>
      <c r="AU500" s="13">
        <f t="shared" si="305"/>
        <v>1</v>
      </c>
      <c r="AV500" s="13">
        <f t="shared" si="284"/>
        <v>0</v>
      </c>
      <c r="AW500" s="13">
        <f t="shared" si="285"/>
        <v>1</v>
      </c>
      <c r="AY500" s="17">
        <f t="shared" si="286"/>
        <v>410</v>
      </c>
      <c r="AZ500" s="28">
        <f t="shared" si="294"/>
        <v>0</v>
      </c>
      <c r="BA500" s="13">
        <f t="shared" si="287"/>
        <v>0</v>
      </c>
      <c r="BB500" s="13">
        <f t="shared" si="288"/>
        <v>0</v>
      </c>
      <c r="BC500" s="28">
        <f t="shared" si="295"/>
        <v>0</v>
      </c>
      <c r="BD500" s="28">
        <f t="shared" si="296"/>
        <v>0</v>
      </c>
      <c r="BF500" s="248">
        <f t="shared" si="297"/>
        <v>993869.29442638322</v>
      </c>
    </row>
    <row r="501" spans="1:58">
      <c r="A501" s="32">
        <f t="shared" si="298"/>
        <v>-326</v>
      </c>
      <c r="B501" s="32">
        <f t="shared" si="289"/>
        <v>87</v>
      </c>
      <c r="C501" s="32">
        <f t="shared" si="299"/>
        <v>35</v>
      </c>
      <c r="D501" s="32">
        <f t="shared" si="300"/>
        <v>411</v>
      </c>
      <c r="E501" s="74">
        <f>MIN(IF(AV501=0,0,
IF(Investment_Strategy="DIS",VLOOKUP(Investment_Strategy&amp;"_"&amp;Investment_Strategy_Sub1&amp;"_"&amp;$A501,'Investment Strategies'!$AZ:$BP,12,FALSE),
IF(AND(Investment_Strategy="Lifecycle",Investment_Strategy_Sub1="Non-Standard"),VLOOKUP(Investment_Strategy&amp;"_"&amp;Investment_Strategy_Sub2&amp;"_"&amp;$A501,'Investment Strategies'!$C:$P,9,FALSE),
IF(AND(Investment_Strategy="Lifecycle",Investment_Strategy_Sub1="Standard"),VLOOKUP(Investment_Strategy&amp;"_"&amp;Investment_Strategy_Sub2&amp;"_"&amp;$A501,'Investment Strategies'!$AJ:$AV,8,FALSE),
IF(AND(Investment_Strategy="Autopilot",Investment_Strategy_Sub1="Non-Standard"),VLOOKUP(Investment_Strategy&amp;"_"&amp;Investment_Strategy_Sub2&amp;"_"&amp;$A501,'Investment Strategies'!$T:$AF,8,FALSE),
IF(Investment_Strategy ="DIY",DIY_RateOfReturn_CurrentFunds,
"Error")))))),Max_InvReturn)</f>
        <v>0</v>
      </c>
      <c r="F501" s="62">
        <f>IF(AV501=0,0,
IF(Investment_Strategy="DIS",VLOOKUP(Investment_Strategy&amp;"_"&amp;Investment_Strategy_Sub1&amp;"_"&amp;$A501,'Investment Strategies'!$AZ:$BP,15,FALSE),
IF(AND(Investment_Strategy="Lifecycle",Investment_Strategy_Sub1="Non-Standard"),VLOOKUP(Investment_Strategy&amp;"_"&amp;Investment_Strategy_Sub2&amp;"_"&amp;$A501,'Investment Strategies'!$C:$P,12,FALSE),
IF(AND(Investment_Strategy="Lifecycle",Investment_Strategy_Sub1="Standard"),VLOOKUP(Investment_Strategy&amp;"_"&amp;Investment_Strategy_Sub2&amp;"_"&amp;$A501,'Investment Strategies'!$AJ:$AV,11,FALSE),
IF(AND(Investment_Strategy="Autopilot",Investment_Strategy_Sub1="Non-Standard"),VLOOKUP(Investment_Strategy&amp;"_"&amp;Investment_Strategy_Sub2&amp;"_"&amp;$A501,'Investment Strategies'!$T:$AF,11,FALSE),
IF(Investment_Strategy="DIY",DIY_GteeChrge_CurrentFunds,
"Error"))))))</f>
        <v>0</v>
      </c>
      <c r="G501" s="33">
        <f>IF(AV501=0,0,
IF(Investment_Strategy="DIS",VLOOKUP(Investment_Strategy&amp;"_"&amp;Investment_Strategy_Sub1&amp;"_"&amp;$A501,'Investment Strategies'!$AZ:$BP,17,FALSE),
IF(AND(Investment_Strategy="Lifecycle",Investment_Strategy_Sub1="Non-Standard"),VLOOKUP(Investment_Strategy&amp;"_"&amp;Investment_Strategy_Sub2&amp;"_"&amp;$A501,'Investment Strategies'!$C:$P,14,FALSE),
IF(AND(Investment_Strategy="Lifecycle",Investment_Strategy_Sub1="Standard"),VLOOKUP(Investment_Strategy&amp;"_"&amp;Investment_Strategy_Sub2&amp;"_"&amp;$A501,'Investment Strategies'!$AJ:$AV,13,FALSE),
IF(AND(Investment_Strategy="Autopilot",Investment_Strategy_Sub1="Non-Standard"),VLOOKUP(Investment_Strategy&amp;"_"&amp;Investment_Strategy_Sub2&amp;"_"&amp;$A501,'Investment Strategies'!$T:$AF,13,FALSE),
IF(Investment_Strategy="DIY",DIY_ExtManChrge_CurrentFunds,
"Error"))))))</f>
        <v>0</v>
      </c>
      <c r="H501" s="16">
        <f t="shared" si="290"/>
        <v>0</v>
      </c>
      <c r="I501" s="16">
        <f t="shared" si="276"/>
        <v>0</v>
      </c>
      <c r="J501" s="16">
        <f t="shared" si="277"/>
        <v>0</v>
      </c>
      <c r="K501" s="16">
        <f>(Opening_Fund_Value+SUM(K$91:K500))*E501*IF(D501=$A$91,SRP_finalmonthfactor,1)</f>
        <v>0</v>
      </c>
      <c r="L501" s="74">
        <f>MIN(IF($AV501=0,0,
IF(Investment_Strategy="DIS",VLOOKUP(Investment_Strategy&amp;"_"&amp;Investment_Strategy_Sub1&amp;"_"&amp;$A501,'Investment Strategies'!$AZ:$BP,12,FALSE),
IF(AND(Investment_Strategy="Lifecycle",Investment_Strategy_Sub1="Non-Standard"),VLOOKUP(Investment_Strategy&amp;"_"&amp;Investment_Strategy_Sub2&amp;"_"&amp;$A501,'Investment Strategies'!$C:$P,9,FALSE),
IF(AND(Investment_Strategy="Lifecycle",Investment_Strategy_Sub1="Standard"),VLOOKUP(Investment_Strategy&amp;"_"&amp;Investment_Strategy_Sub2&amp;"_"&amp;$A501,'Investment Strategies'!$AJ:$AV,8,FALSE),
IF(AND(Investment_Strategy="Autopilot",Investment_Strategy_Sub1="Non-Standard"),VLOOKUP(Investment_Strategy&amp;"_"&amp;Investment_Strategy_Sub2&amp;"_"&amp;$A501,'Investment Strategies'!$T:$AF,8,FALSE),
IF(Investment_Strategy ="DIY",DIY_RateofReturn_SP,
"Error")))))),Max_InvReturn)</f>
        <v>0</v>
      </c>
      <c r="M501" s="62">
        <f>IF($AV501=0,0,
IF(Investment_Strategy="DIS",VLOOKUP(Investment_Strategy&amp;"_"&amp;Investment_Strategy_Sub1&amp;"_"&amp;$A501,'Investment Strategies'!$AZ:$BP,15,FALSE),
IF(AND(Investment_Strategy="Lifecycle",Investment_Strategy_Sub1="Non-Standard"),VLOOKUP(Investment_Strategy&amp;"_"&amp;Investment_Strategy_Sub2&amp;"_"&amp;$A501,'Investment Strategies'!$C:$P,12,FALSE),
IF(AND(Investment_Strategy="Lifecycle",Investment_Strategy_Sub1="Standard"),VLOOKUP(Investment_Strategy&amp;"_"&amp;Investment_Strategy_Sub2&amp;"_"&amp;$A501,'Investment Strategies'!$AJ:$AV,11,FALSE),
IF(AND(Investment_Strategy="Autopilot",Investment_Strategy_Sub1="Non-Standard"),VLOOKUP(Investment_Strategy&amp;"_"&amp;Investment_Strategy_Sub2&amp;"_"&amp;$A501,'Investment Strategies'!$T:$AF,11,FALSE),
IF(Investment_Strategy="DIY",DIY_GteeChrge_SP,
"Error"))))))</f>
        <v>0</v>
      </c>
      <c r="N501" s="33">
        <f>IF($AV501=0,0,
IF(Investment_Strategy="DIS",VLOOKUP(Investment_Strategy&amp;"_"&amp;Investment_Strategy_Sub1&amp;"_"&amp;$A501,'Investment Strategies'!$AZ:$BP,17,FALSE),
IF(AND(Investment_Strategy="Lifecycle",Investment_Strategy_Sub1="Non-Standard"),VLOOKUP(Investment_Strategy&amp;"_"&amp;Investment_Strategy_Sub2&amp;"_"&amp;$A501,'Investment Strategies'!$C:$P,14,FALSE),
IF(AND(Investment_Strategy="Lifecycle",Investment_Strategy_Sub1="Standard"),VLOOKUP(Investment_Strategy&amp;"_"&amp;Investment_Strategy_Sub2&amp;"_"&amp;$A501,'Investment Strategies'!$AJ:$AV,13,FALSE),
IF(AND(Investment_Strategy="Autopilot",Investment_Strategy_Sub1="Non-Standard"),VLOOKUP(Investment_Strategy&amp;"_"&amp;Investment_Strategy_Sub2&amp;"_"&amp;$A501,'Investment Strategies'!$T:$AF,13,FALSE),
IF(Investment_Strategy="DIY",DIY_ExtManChrge_SP,
"Error"))))))</f>
        <v>0</v>
      </c>
      <c r="O501" s="16">
        <f t="shared" si="301"/>
        <v>0</v>
      </c>
      <c r="Q501" s="16">
        <f t="shared" si="278"/>
        <v>0</v>
      </c>
      <c r="R501" s="16">
        <f t="shared" si="274"/>
        <v>0</v>
      </c>
      <c r="S501" s="16">
        <f>(SRP_SP+SUM(S$91:S500))*L501*IF(D501=$A$91,SRP_finalmonthfactor,1)</f>
        <v>0</v>
      </c>
      <c r="T501" s="74">
        <f>MIN(IF($AV501=0,0,
IF(Investment_Strategy="DIS",VLOOKUP(Investment_Strategy&amp;"_"&amp;Investment_Strategy_Sub1&amp;"_"&amp;$A501,'Investment Strategies'!$AZ:$BP,12,FALSE),
IF(AND(Investment_Strategy="Lifecycle",Investment_Strategy_Sub1="Non-Standard"),VLOOKUP(Investment_Strategy&amp;"_"&amp;Investment_Strategy_Sub2&amp;"_"&amp;$A501,'Investment Strategies'!$C:$P,9,FALSE),
IF(AND(Investment_Strategy="Lifecycle",Investment_Strategy_Sub1="Standard"),VLOOKUP(Investment_Strategy&amp;"_"&amp;Investment_Strategy_Sub2&amp;"_"&amp;$A501,'Investment Strategies'!$AJ:$AV,8,FALSE),
IF(AND(Investment_Strategy="Autopilot",Investment_Strategy_Sub1="Non-Standard"),VLOOKUP(Investment_Strategy&amp;"_"&amp;Investment_Strategy_Sub2&amp;"_"&amp;$A501,'Investment Strategies'!$T:$AF,8,FALSE),
IF(Investment_Strategy ="DIY",DIY_RateOfReturn_FuturePremiums,
"Error")))))),Max_InvReturn)</f>
        <v>0</v>
      </c>
      <c r="U501" s="62">
        <f>IF($AV501=0,0,
IF(Investment_Strategy="DIS",VLOOKUP(Investment_Strategy&amp;"_"&amp;Investment_Strategy_Sub1&amp;"_"&amp;$A501,'Investment Strategies'!$AZ:$BP,15,FALSE),
IF(AND(Investment_Strategy="Lifecycle",Investment_Strategy_Sub1="Non-Standard"),VLOOKUP(Investment_Strategy&amp;"_"&amp;Investment_Strategy_Sub2&amp;"_"&amp;$A501,'Investment Strategies'!$C:$P,12,FALSE),
IF(AND(Investment_Strategy="Lifecycle",Investment_Strategy_Sub1="Standard"),VLOOKUP(Investment_Strategy&amp;"_"&amp;Investment_Strategy_Sub2&amp;"_"&amp;$A501,'Investment Strategies'!$AJ:$AV,11,FALSE),
IF(AND(Investment_Strategy="Autopilot",Investment_Strategy_Sub1="Non-Standard"),VLOOKUP(Investment_Strategy&amp;"_"&amp;Investment_Strategy_Sub2&amp;"_"&amp;$A501,'Investment Strategies'!$T:$AF,11,FALSE),
IF(Investment_Strategy="DIY",DIY_GteeChrge_FuturePremiums,
"Error"))))))</f>
        <v>0</v>
      </c>
      <c r="V501" s="33">
        <f>IF(AV501=0,0,
IF(Investment_Strategy="DIS",VLOOKUP(Investment_Strategy&amp;"_"&amp;Investment_Strategy_Sub1&amp;"_"&amp;$A501,'Investment Strategies'!$AZ:$BP,17,FALSE),
IF(AND(Investment_Strategy="Lifecycle",Investment_Strategy_Sub1="Non-Standard"),VLOOKUP(Investment_Strategy&amp;"_"&amp;Investment_Strategy_Sub2&amp;"_"&amp;$A501,'Investment Strategies'!$C:$P,14,FALSE),
IF(AND(Investment_Strategy="Lifecycle",Investment_Strategy_Sub1="Standard"),VLOOKUP(Investment_Strategy&amp;"_"&amp;Investment_Strategy_Sub2&amp;"_"&amp;$A501,'Investment Strategies'!$AJ:$AV,13,FALSE),
IF(AND(Investment_Strategy="Autopilot",Investment_Strategy_Sub1="Non-Standard"),VLOOKUP(Investment_Strategy&amp;"_"&amp;Investment_Strategy_Sub2&amp;"_"&amp;$A501,'Investment Strategies'!$T:$AF,13,FALSE),
IF(Investment_Strategy="DIY",DIY_ExtManChrge_FuturePremiums,
"Error"))))))</f>
        <v>0</v>
      </c>
      <c r="W501" s="16">
        <f t="shared" si="302"/>
        <v>0</v>
      </c>
      <c r="X501" s="16">
        <f t="shared" si="279"/>
        <v>0</v>
      </c>
      <c r="Y501" s="16">
        <f t="shared" si="280"/>
        <v>0</v>
      </c>
      <c r="Z501" s="31">
        <f t="shared" si="281"/>
        <v>0.02</v>
      </c>
      <c r="AA501" s="16">
        <f t="shared" si="282"/>
        <v>0</v>
      </c>
      <c r="AB501" s="28">
        <f t="shared" si="303"/>
        <v>0</v>
      </c>
      <c r="AC501" s="28">
        <f>(SUM($AC$91:AC500)+SUM($X$91:X500)+X501)*T501*IF(D501=$A$91,SRP_finalmonthfactor,1)</f>
        <v>0</v>
      </c>
      <c r="AD501" s="16">
        <f t="shared" si="283"/>
        <v>0</v>
      </c>
      <c r="AE501" s="106"/>
      <c r="AF501" s="16">
        <f t="shared" si="291"/>
        <v>0</v>
      </c>
      <c r="AG501" s="16">
        <f t="shared" si="292"/>
        <v>0</v>
      </c>
      <c r="AH501" s="16">
        <f t="shared" si="293"/>
        <v>0</v>
      </c>
      <c r="AJ501" s="13">
        <f t="shared" ref="AJ501:AU510" si="306">IF($C501&lt;=AJ$90,1,0)</f>
        <v>0</v>
      </c>
      <c r="AK501" s="13">
        <f t="shared" si="306"/>
        <v>0</v>
      </c>
      <c r="AL501" s="13">
        <f t="shared" si="306"/>
        <v>0</v>
      </c>
      <c r="AM501" s="13">
        <f t="shared" si="306"/>
        <v>0</v>
      </c>
      <c r="AN501" s="13">
        <f t="shared" si="306"/>
        <v>0</v>
      </c>
      <c r="AO501" s="13">
        <f t="shared" si="306"/>
        <v>1</v>
      </c>
      <c r="AP501" s="13">
        <f t="shared" si="306"/>
        <v>1</v>
      </c>
      <c r="AQ501" s="13">
        <f t="shared" si="306"/>
        <v>1</v>
      </c>
      <c r="AR501" s="13">
        <f t="shared" si="306"/>
        <v>0</v>
      </c>
      <c r="AS501" s="13">
        <f t="shared" si="306"/>
        <v>0</v>
      </c>
      <c r="AT501" s="13">
        <f t="shared" si="306"/>
        <v>1</v>
      </c>
      <c r="AU501" s="13">
        <f t="shared" si="306"/>
        <v>1</v>
      </c>
      <c r="AV501" s="13">
        <f t="shared" si="284"/>
        <v>0</v>
      </c>
      <c r="AW501" s="13">
        <f t="shared" si="285"/>
        <v>1</v>
      </c>
      <c r="AY501" s="17">
        <f t="shared" si="286"/>
        <v>411</v>
      </c>
      <c r="AZ501" s="28">
        <f t="shared" si="294"/>
        <v>0</v>
      </c>
      <c r="BA501" s="13">
        <f t="shared" si="287"/>
        <v>0</v>
      </c>
      <c r="BB501" s="13">
        <f t="shared" si="288"/>
        <v>0</v>
      </c>
      <c r="BC501" s="28">
        <f t="shared" si="295"/>
        <v>0</v>
      </c>
      <c r="BD501" s="28">
        <f t="shared" si="296"/>
        <v>0</v>
      </c>
      <c r="BF501" s="248">
        <f t="shared" si="297"/>
        <v>993869.29442638322</v>
      </c>
    </row>
    <row r="502" spans="1:58">
      <c r="A502" s="32">
        <f t="shared" si="298"/>
        <v>-327</v>
      </c>
      <c r="B502" s="32">
        <f t="shared" si="289"/>
        <v>87</v>
      </c>
      <c r="C502" s="32">
        <f t="shared" si="299"/>
        <v>35</v>
      </c>
      <c r="D502" s="32">
        <f t="shared" si="300"/>
        <v>412</v>
      </c>
      <c r="E502" s="74">
        <f>MIN(IF(AV502=0,0,
IF(Investment_Strategy="DIS",VLOOKUP(Investment_Strategy&amp;"_"&amp;Investment_Strategy_Sub1&amp;"_"&amp;$A502,'Investment Strategies'!$AZ:$BP,12,FALSE),
IF(AND(Investment_Strategy="Lifecycle",Investment_Strategy_Sub1="Non-Standard"),VLOOKUP(Investment_Strategy&amp;"_"&amp;Investment_Strategy_Sub2&amp;"_"&amp;$A502,'Investment Strategies'!$C:$P,9,FALSE),
IF(AND(Investment_Strategy="Lifecycle",Investment_Strategy_Sub1="Standard"),VLOOKUP(Investment_Strategy&amp;"_"&amp;Investment_Strategy_Sub2&amp;"_"&amp;$A502,'Investment Strategies'!$AJ:$AV,8,FALSE),
IF(AND(Investment_Strategy="Autopilot",Investment_Strategy_Sub1="Non-Standard"),VLOOKUP(Investment_Strategy&amp;"_"&amp;Investment_Strategy_Sub2&amp;"_"&amp;$A502,'Investment Strategies'!$T:$AF,8,FALSE),
IF(Investment_Strategy ="DIY",DIY_RateOfReturn_CurrentFunds,
"Error")))))),Max_InvReturn)</f>
        <v>0</v>
      </c>
      <c r="F502" s="62">
        <f>IF(AV502=0,0,
IF(Investment_Strategy="DIS",VLOOKUP(Investment_Strategy&amp;"_"&amp;Investment_Strategy_Sub1&amp;"_"&amp;$A502,'Investment Strategies'!$AZ:$BP,15,FALSE),
IF(AND(Investment_Strategy="Lifecycle",Investment_Strategy_Sub1="Non-Standard"),VLOOKUP(Investment_Strategy&amp;"_"&amp;Investment_Strategy_Sub2&amp;"_"&amp;$A502,'Investment Strategies'!$C:$P,12,FALSE),
IF(AND(Investment_Strategy="Lifecycle",Investment_Strategy_Sub1="Standard"),VLOOKUP(Investment_Strategy&amp;"_"&amp;Investment_Strategy_Sub2&amp;"_"&amp;$A502,'Investment Strategies'!$AJ:$AV,11,FALSE),
IF(AND(Investment_Strategy="Autopilot",Investment_Strategy_Sub1="Non-Standard"),VLOOKUP(Investment_Strategy&amp;"_"&amp;Investment_Strategy_Sub2&amp;"_"&amp;$A502,'Investment Strategies'!$T:$AF,11,FALSE),
IF(Investment_Strategy="DIY",DIY_GteeChrge_CurrentFunds,
"Error"))))))</f>
        <v>0</v>
      </c>
      <c r="G502" s="33">
        <f>IF(AV502=0,0,
IF(Investment_Strategy="DIS",VLOOKUP(Investment_Strategy&amp;"_"&amp;Investment_Strategy_Sub1&amp;"_"&amp;$A502,'Investment Strategies'!$AZ:$BP,17,FALSE),
IF(AND(Investment_Strategy="Lifecycle",Investment_Strategy_Sub1="Non-Standard"),VLOOKUP(Investment_Strategy&amp;"_"&amp;Investment_Strategy_Sub2&amp;"_"&amp;$A502,'Investment Strategies'!$C:$P,14,FALSE),
IF(AND(Investment_Strategy="Lifecycle",Investment_Strategy_Sub1="Standard"),VLOOKUP(Investment_Strategy&amp;"_"&amp;Investment_Strategy_Sub2&amp;"_"&amp;$A502,'Investment Strategies'!$AJ:$AV,13,FALSE),
IF(AND(Investment_Strategy="Autopilot",Investment_Strategy_Sub1="Non-Standard"),VLOOKUP(Investment_Strategy&amp;"_"&amp;Investment_Strategy_Sub2&amp;"_"&amp;$A502,'Investment Strategies'!$T:$AF,13,FALSE),
IF(Investment_Strategy="DIY",DIY_ExtManChrge_CurrentFunds,
"Error"))))))</f>
        <v>0</v>
      </c>
      <c r="H502" s="16">
        <f t="shared" si="290"/>
        <v>0</v>
      </c>
      <c r="I502" s="16">
        <f t="shared" si="276"/>
        <v>0</v>
      </c>
      <c r="J502" s="16">
        <f t="shared" si="277"/>
        <v>0</v>
      </c>
      <c r="K502" s="16">
        <f>(Opening_Fund_Value+SUM(K$91:K501))*E502*IF(D502=$A$91,SRP_finalmonthfactor,1)</f>
        <v>0</v>
      </c>
      <c r="L502" s="74">
        <f>MIN(IF($AV502=0,0,
IF(Investment_Strategy="DIS",VLOOKUP(Investment_Strategy&amp;"_"&amp;Investment_Strategy_Sub1&amp;"_"&amp;$A502,'Investment Strategies'!$AZ:$BP,12,FALSE),
IF(AND(Investment_Strategy="Lifecycle",Investment_Strategy_Sub1="Non-Standard"),VLOOKUP(Investment_Strategy&amp;"_"&amp;Investment_Strategy_Sub2&amp;"_"&amp;$A502,'Investment Strategies'!$C:$P,9,FALSE),
IF(AND(Investment_Strategy="Lifecycle",Investment_Strategy_Sub1="Standard"),VLOOKUP(Investment_Strategy&amp;"_"&amp;Investment_Strategy_Sub2&amp;"_"&amp;$A502,'Investment Strategies'!$AJ:$AV,8,FALSE),
IF(AND(Investment_Strategy="Autopilot",Investment_Strategy_Sub1="Non-Standard"),VLOOKUP(Investment_Strategy&amp;"_"&amp;Investment_Strategy_Sub2&amp;"_"&amp;$A502,'Investment Strategies'!$T:$AF,8,FALSE),
IF(Investment_Strategy ="DIY",DIY_RateofReturn_SP,
"Error")))))),Max_InvReturn)</f>
        <v>0</v>
      </c>
      <c r="M502" s="62">
        <f>IF($AV502=0,0,
IF(Investment_Strategy="DIS",VLOOKUP(Investment_Strategy&amp;"_"&amp;Investment_Strategy_Sub1&amp;"_"&amp;$A502,'Investment Strategies'!$AZ:$BP,15,FALSE),
IF(AND(Investment_Strategy="Lifecycle",Investment_Strategy_Sub1="Non-Standard"),VLOOKUP(Investment_Strategy&amp;"_"&amp;Investment_Strategy_Sub2&amp;"_"&amp;$A502,'Investment Strategies'!$C:$P,12,FALSE),
IF(AND(Investment_Strategy="Lifecycle",Investment_Strategy_Sub1="Standard"),VLOOKUP(Investment_Strategy&amp;"_"&amp;Investment_Strategy_Sub2&amp;"_"&amp;$A502,'Investment Strategies'!$AJ:$AV,11,FALSE),
IF(AND(Investment_Strategy="Autopilot",Investment_Strategy_Sub1="Non-Standard"),VLOOKUP(Investment_Strategy&amp;"_"&amp;Investment_Strategy_Sub2&amp;"_"&amp;$A502,'Investment Strategies'!$T:$AF,11,FALSE),
IF(Investment_Strategy="DIY",DIY_GteeChrge_SP,
"Error"))))))</f>
        <v>0</v>
      </c>
      <c r="N502" s="33">
        <f>IF($AV502=0,0,
IF(Investment_Strategy="DIS",VLOOKUP(Investment_Strategy&amp;"_"&amp;Investment_Strategy_Sub1&amp;"_"&amp;$A502,'Investment Strategies'!$AZ:$BP,17,FALSE),
IF(AND(Investment_Strategy="Lifecycle",Investment_Strategy_Sub1="Non-Standard"),VLOOKUP(Investment_Strategy&amp;"_"&amp;Investment_Strategy_Sub2&amp;"_"&amp;$A502,'Investment Strategies'!$C:$P,14,FALSE),
IF(AND(Investment_Strategy="Lifecycle",Investment_Strategy_Sub1="Standard"),VLOOKUP(Investment_Strategy&amp;"_"&amp;Investment_Strategy_Sub2&amp;"_"&amp;$A502,'Investment Strategies'!$AJ:$AV,13,FALSE),
IF(AND(Investment_Strategy="Autopilot",Investment_Strategy_Sub1="Non-Standard"),VLOOKUP(Investment_Strategy&amp;"_"&amp;Investment_Strategy_Sub2&amp;"_"&amp;$A502,'Investment Strategies'!$T:$AF,13,FALSE),
IF(Investment_Strategy="DIY",DIY_ExtManChrge_SP,
"Error"))))))</f>
        <v>0</v>
      </c>
      <c r="O502" s="16">
        <f t="shared" si="301"/>
        <v>0</v>
      </c>
      <c r="Q502" s="16">
        <f t="shared" si="278"/>
        <v>0</v>
      </c>
      <c r="R502" s="16">
        <f t="shared" si="274"/>
        <v>0</v>
      </c>
      <c r="S502" s="16">
        <f>(SRP_SP+SUM(S$91:S501))*L502*IF(D502=$A$91,SRP_finalmonthfactor,1)</f>
        <v>0</v>
      </c>
      <c r="T502" s="74">
        <f>MIN(IF($AV502=0,0,
IF(Investment_Strategy="DIS",VLOOKUP(Investment_Strategy&amp;"_"&amp;Investment_Strategy_Sub1&amp;"_"&amp;$A502,'Investment Strategies'!$AZ:$BP,12,FALSE),
IF(AND(Investment_Strategy="Lifecycle",Investment_Strategy_Sub1="Non-Standard"),VLOOKUP(Investment_Strategy&amp;"_"&amp;Investment_Strategy_Sub2&amp;"_"&amp;$A502,'Investment Strategies'!$C:$P,9,FALSE),
IF(AND(Investment_Strategy="Lifecycle",Investment_Strategy_Sub1="Standard"),VLOOKUP(Investment_Strategy&amp;"_"&amp;Investment_Strategy_Sub2&amp;"_"&amp;$A502,'Investment Strategies'!$AJ:$AV,8,FALSE),
IF(AND(Investment_Strategy="Autopilot",Investment_Strategy_Sub1="Non-Standard"),VLOOKUP(Investment_Strategy&amp;"_"&amp;Investment_Strategy_Sub2&amp;"_"&amp;$A502,'Investment Strategies'!$T:$AF,8,FALSE),
IF(Investment_Strategy ="DIY",DIY_RateOfReturn_FuturePremiums,
"Error")))))),Max_InvReturn)</f>
        <v>0</v>
      </c>
      <c r="U502" s="62">
        <f>IF($AV502=0,0,
IF(Investment_Strategy="DIS",VLOOKUP(Investment_Strategy&amp;"_"&amp;Investment_Strategy_Sub1&amp;"_"&amp;$A502,'Investment Strategies'!$AZ:$BP,15,FALSE),
IF(AND(Investment_Strategy="Lifecycle",Investment_Strategy_Sub1="Non-Standard"),VLOOKUP(Investment_Strategy&amp;"_"&amp;Investment_Strategy_Sub2&amp;"_"&amp;$A502,'Investment Strategies'!$C:$P,12,FALSE),
IF(AND(Investment_Strategy="Lifecycle",Investment_Strategy_Sub1="Standard"),VLOOKUP(Investment_Strategy&amp;"_"&amp;Investment_Strategy_Sub2&amp;"_"&amp;$A502,'Investment Strategies'!$AJ:$AV,11,FALSE),
IF(AND(Investment_Strategy="Autopilot",Investment_Strategy_Sub1="Non-Standard"),VLOOKUP(Investment_Strategy&amp;"_"&amp;Investment_Strategy_Sub2&amp;"_"&amp;$A502,'Investment Strategies'!$T:$AF,11,FALSE),
IF(Investment_Strategy="DIY",DIY_GteeChrge_FuturePremiums,
"Error"))))))</f>
        <v>0</v>
      </c>
      <c r="V502" s="33">
        <f>IF(AV502=0,0,
IF(Investment_Strategy="DIS",VLOOKUP(Investment_Strategy&amp;"_"&amp;Investment_Strategy_Sub1&amp;"_"&amp;$A502,'Investment Strategies'!$AZ:$BP,17,FALSE),
IF(AND(Investment_Strategy="Lifecycle",Investment_Strategy_Sub1="Non-Standard"),VLOOKUP(Investment_Strategy&amp;"_"&amp;Investment_Strategy_Sub2&amp;"_"&amp;$A502,'Investment Strategies'!$C:$P,14,FALSE),
IF(AND(Investment_Strategy="Lifecycle",Investment_Strategy_Sub1="Standard"),VLOOKUP(Investment_Strategy&amp;"_"&amp;Investment_Strategy_Sub2&amp;"_"&amp;$A502,'Investment Strategies'!$AJ:$AV,13,FALSE),
IF(AND(Investment_Strategy="Autopilot",Investment_Strategy_Sub1="Non-Standard"),VLOOKUP(Investment_Strategy&amp;"_"&amp;Investment_Strategy_Sub2&amp;"_"&amp;$A502,'Investment Strategies'!$T:$AF,13,FALSE),
IF(Investment_Strategy="DIY",DIY_ExtManChrge_FuturePremiums,
"Error"))))))</f>
        <v>0</v>
      </c>
      <c r="W502" s="16">
        <f t="shared" si="302"/>
        <v>0</v>
      </c>
      <c r="X502" s="16">
        <f t="shared" si="279"/>
        <v>0</v>
      </c>
      <c r="Y502" s="16">
        <f t="shared" si="280"/>
        <v>0</v>
      </c>
      <c r="Z502" s="31">
        <f t="shared" si="281"/>
        <v>0.02</v>
      </c>
      <c r="AA502" s="16">
        <f t="shared" si="282"/>
        <v>0</v>
      </c>
      <c r="AB502" s="28">
        <f t="shared" si="303"/>
        <v>0</v>
      </c>
      <c r="AC502" s="28">
        <f>(SUM($AC$91:AC501)+SUM($X$91:X501)+X502)*T502*IF(D502=$A$91,SRP_finalmonthfactor,1)</f>
        <v>0</v>
      </c>
      <c r="AD502" s="16">
        <f t="shared" si="283"/>
        <v>0</v>
      </c>
      <c r="AE502" s="106"/>
      <c r="AF502" s="16">
        <f t="shared" si="291"/>
        <v>0</v>
      </c>
      <c r="AG502" s="16">
        <f t="shared" si="292"/>
        <v>0</v>
      </c>
      <c r="AH502" s="16">
        <f t="shared" si="293"/>
        <v>0</v>
      </c>
      <c r="AJ502" s="13">
        <f t="shared" si="306"/>
        <v>0</v>
      </c>
      <c r="AK502" s="13">
        <f t="shared" si="306"/>
        <v>0</v>
      </c>
      <c r="AL502" s="13">
        <f t="shared" si="306"/>
        <v>0</v>
      </c>
      <c r="AM502" s="13">
        <f t="shared" si="306"/>
        <v>0</v>
      </c>
      <c r="AN502" s="13">
        <f t="shared" si="306"/>
        <v>0</v>
      </c>
      <c r="AO502" s="13">
        <f t="shared" si="306"/>
        <v>1</v>
      </c>
      <c r="AP502" s="13">
        <f t="shared" si="306"/>
        <v>1</v>
      </c>
      <c r="AQ502" s="13">
        <f t="shared" si="306"/>
        <v>1</v>
      </c>
      <c r="AR502" s="13">
        <f t="shared" si="306"/>
        <v>0</v>
      </c>
      <c r="AS502" s="13">
        <f t="shared" si="306"/>
        <v>0</v>
      </c>
      <c r="AT502" s="13">
        <f t="shared" si="306"/>
        <v>1</v>
      </c>
      <c r="AU502" s="13">
        <f t="shared" si="306"/>
        <v>1</v>
      </c>
      <c r="AV502" s="13">
        <f t="shared" si="284"/>
        <v>0</v>
      </c>
      <c r="AW502" s="13">
        <f t="shared" si="285"/>
        <v>1</v>
      </c>
      <c r="AY502" s="17">
        <f t="shared" si="286"/>
        <v>412</v>
      </c>
      <c r="AZ502" s="28">
        <f t="shared" si="294"/>
        <v>0</v>
      </c>
      <c r="BA502" s="13">
        <f t="shared" si="287"/>
        <v>0</v>
      </c>
      <c r="BB502" s="13">
        <f t="shared" si="288"/>
        <v>0</v>
      </c>
      <c r="BC502" s="28">
        <f t="shared" si="295"/>
        <v>0</v>
      </c>
      <c r="BD502" s="28">
        <f t="shared" si="296"/>
        <v>0</v>
      </c>
      <c r="BF502" s="248">
        <f t="shared" si="297"/>
        <v>993869.29442638322</v>
      </c>
    </row>
    <row r="503" spans="1:58">
      <c r="A503" s="32">
        <f t="shared" si="298"/>
        <v>-328</v>
      </c>
      <c r="B503" s="32">
        <f t="shared" si="289"/>
        <v>87</v>
      </c>
      <c r="C503" s="32">
        <f t="shared" si="299"/>
        <v>35</v>
      </c>
      <c r="D503" s="32">
        <f t="shared" si="300"/>
        <v>413</v>
      </c>
      <c r="E503" s="74">
        <f>MIN(IF(AV503=0,0,
IF(Investment_Strategy="DIS",VLOOKUP(Investment_Strategy&amp;"_"&amp;Investment_Strategy_Sub1&amp;"_"&amp;$A503,'Investment Strategies'!$AZ:$BP,12,FALSE),
IF(AND(Investment_Strategy="Lifecycle",Investment_Strategy_Sub1="Non-Standard"),VLOOKUP(Investment_Strategy&amp;"_"&amp;Investment_Strategy_Sub2&amp;"_"&amp;$A503,'Investment Strategies'!$C:$P,9,FALSE),
IF(AND(Investment_Strategy="Lifecycle",Investment_Strategy_Sub1="Standard"),VLOOKUP(Investment_Strategy&amp;"_"&amp;Investment_Strategy_Sub2&amp;"_"&amp;$A503,'Investment Strategies'!$AJ:$AV,8,FALSE),
IF(AND(Investment_Strategy="Autopilot",Investment_Strategy_Sub1="Non-Standard"),VLOOKUP(Investment_Strategy&amp;"_"&amp;Investment_Strategy_Sub2&amp;"_"&amp;$A503,'Investment Strategies'!$T:$AF,8,FALSE),
IF(Investment_Strategy ="DIY",DIY_RateOfReturn_CurrentFunds,
"Error")))))),Max_InvReturn)</f>
        <v>0</v>
      </c>
      <c r="F503" s="62">
        <f>IF(AV503=0,0,
IF(Investment_Strategy="DIS",VLOOKUP(Investment_Strategy&amp;"_"&amp;Investment_Strategy_Sub1&amp;"_"&amp;$A503,'Investment Strategies'!$AZ:$BP,15,FALSE),
IF(AND(Investment_Strategy="Lifecycle",Investment_Strategy_Sub1="Non-Standard"),VLOOKUP(Investment_Strategy&amp;"_"&amp;Investment_Strategy_Sub2&amp;"_"&amp;$A503,'Investment Strategies'!$C:$P,12,FALSE),
IF(AND(Investment_Strategy="Lifecycle",Investment_Strategy_Sub1="Standard"),VLOOKUP(Investment_Strategy&amp;"_"&amp;Investment_Strategy_Sub2&amp;"_"&amp;$A503,'Investment Strategies'!$AJ:$AV,11,FALSE),
IF(AND(Investment_Strategy="Autopilot",Investment_Strategy_Sub1="Non-Standard"),VLOOKUP(Investment_Strategy&amp;"_"&amp;Investment_Strategy_Sub2&amp;"_"&amp;$A503,'Investment Strategies'!$T:$AF,11,FALSE),
IF(Investment_Strategy="DIY",DIY_GteeChrge_CurrentFunds,
"Error"))))))</f>
        <v>0</v>
      </c>
      <c r="G503" s="33">
        <f>IF(AV503=0,0,
IF(Investment_Strategy="DIS",VLOOKUP(Investment_Strategy&amp;"_"&amp;Investment_Strategy_Sub1&amp;"_"&amp;$A503,'Investment Strategies'!$AZ:$BP,17,FALSE),
IF(AND(Investment_Strategy="Lifecycle",Investment_Strategy_Sub1="Non-Standard"),VLOOKUP(Investment_Strategy&amp;"_"&amp;Investment_Strategy_Sub2&amp;"_"&amp;$A503,'Investment Strategies'!$C:$P,14,FALSE),
IF(AND(Investment_Strategy="Lifecycle",Investment_Strategy_Sub1="Standard"),VLOOKUP(Investment_Strategy&amp;"_"&amp;Investment_Strategy_Sub2&amp;"_"&amp;$A503,'Investment Strategies'!$AJ:$AV,13,FALSE),
IF(AND(Investment_Strategy="Autopilot",Investment_Strategy_Sub1="Non-Standard"),VLOOKUP(Investment_Strategy&amp;"_"&amp;Investment_Strategy_Sub2&amp;"_"&amp;$A503,'Investment Strategies'!$T:$AF,13,FALSE),
IF(Investment_Strategy="DIY",DIY_ExtManChrge_CurrentFunds,
"Error"))))))</f>
        <v>0</v>
      </c>
      <c r="H503" s="16">
        <f t="shared" si="290"/>
        <v>0</v>
      </c>
      <c r="I503" s="16">
        <f t="shared" si="276"/>
        <v>0</v>
      </c>
      <c r="J503" s="16">
        <f t="shared" si="277"/>
        <v>0</v>
      </c>
      <c r="K503" s="16">
        <f>(Opening_Fund_Value+SUM(K$91:K502))*E503*IF(D503=$A$91,SRP_finalmonthfactor,1)</f>
        <v>0</v>
      </c>
      <c r="L503" s="74">
        <f>MIN(IF($AV503=0,0,
IF(Investment_Strategy="DIS",VLOOKUP(Investment_Strategy&amp;"_"&amp;Investment_Strategy_Sub1&amp;"_"&amp;$A503,'Investment Strategies'!$AZ:$BP,12,FALSE),
IF(AND(Investment_Strategy="Lifecycle",Investment_Strategy_Sub1="Non-Standard"),VLOOKUP(Investment_Strategy&amp;"_"&amp;Investment_Strategy_Sub2&amp;"_"&amp;$A503,'Investment Strategies'!$C:$P,9,FALSE),
IF(AND(Investment_Strategy="Lifecycle",Investment_Strategy_Sub1="Standard"),VLOOKUP(Investment_Strategy&amp;"_"&amp;Investment_Strategy_Sub2&amp;"_"&amp;$A503,'Investment Strategies'!$AJ:$AV,8,FALSE),
IF(AND(Investment_Strategy="Autopilot",Investment_Strategy_Sub1="Non-Standard"),VLOOKUP(Investment_Strategy&amp;"_"&amp;Investment_Strategy_Sub2&amp;"_"&amp;$A503,'Investment Strategies'!$T:$AF,8,FALSE),
IF(Investment_Strategy ="DIY",DIY_RateofReturn_SP,
"Error")))))),Max_InvReturn)</f>
        <v>0</v>
      </c>
      <c r="M503" s="62">
        <f>IF($AV503=0,0,
IF(Investment_Strategy="DIS",VLOOKUP(Investment_Strategy&amp;"_"&amp;Investment_Strategy_Sub1&amp;"_"&amp;$A503,'Investment Strategies'!$AZ:$BP,15,FALSE),
IF(AND(Investment_Strategy="Lifecycle",Investment_Strategy_Sub1="Non-Standard"),VLOOKUP(Investment_Strategy&amp;"_"&amp;Investment_Strategy_Sub2&amp;"_"&amp;$A503,'Investment Strategies'!$C:$P,12,FALSE),
IF(AND(Investment_Strategy="Lifecycle",Investment_Strategy_Sub1="Standard"),VLOOKUP(Investment_Strategy&amp;"_"&amp;Investment_Strategy_Sub2&amp;"_"&amp;$A503,'Investment Strategies'!$AJ:$AV,11,FALSE),
IF(AND(Investment_Strategy="Autopilot",Investment_Strategy_Sub1="Non-Standard"),VLOOKUP(Investment_Strategy&amp;"_"&amp;Investment_Strategy_Sub2&amp;"_"&amp;$A503,'Investment Strategies'!$T:$AF,11,FALSE),
IF(Investment_Strategy="DIY",DIY_GteeChrge_SP,
"Error"))))))</f>
        <v>0</v>
      </c>
      <c r="N503" s="33">
        <f>IF($AV503=0,0,
IF(Investment_Strategy="DIS",VLOOKUP(Investment_Strategy&amp;"_"&amp;Investment_Strategy_Sub1&amp;"_"&amp;$A503,'Investment Strategies'!$AZ:$BP,17,FALSE),
IF(AND(Investment_Strategy="Lifecycle",Investment_Strategy_Sub1="Non-Standard"),VLOOKUP(Investment_Strategy&amp;"_"&amp;Investment_Strategy_Sub2&amp;"_"&amp;$A503,'Investment Strategies'!$C:$P,14,FALSE),
IF(AND(Investment_Strategy="Lifecycle",Investment_Strategy_Sub1="Standard"),VLOOKUP(Investment_Strategy&amp;"_"&amp;Investment_Strategy_Sub2&amp;"_"&amp;$A503,'Investment Strategies'!$AJ:$AV,13,FALSE),
IF(AND(Investment_Strategy="Autopilot",Investment_Strategy_Sub1="Non-Standard"),VLOOKUP(Investment_Strategy&amp;"_"&amp;Investment_Strategy_Sub2&amp;"_"&amp;$A503,'Investment Strategies'!$T:$AF,13,FALSE),
IF(Investment_Strategy="DIY",DIY_ExtManChrge_SP,
"Error"))))))</f>
        <v>0</v>
      </c>
      <c r="O503" s="16">
        <f t="shared" si="301"/>
        <v>0</v>
      </c>
      <c r="Q503" s="16">
        <f t="shared" si="278"/>
        <v>0</v>
      </c>
      <c r="R503" s="16">
        <f t="shared" si="274"/>
        <v>0</v>
      </c>
      <c r="S503" s="16">
        <f>(SRP_SP+SUM(S$91:S502))*L503*IF(D503=$A$91,SRP_finalmonthfactor,1)</f>
        <v>0</v>
      </c>
      <c r="T503" s="74">
        <f>MIN(IF($AV503=0,0,
IF(Investment_Strategy="DIS",VLOOKUP(Investment_Strategy&amp;"_"&amp;Investment_Strategy_Sub1&amp;"_"&amp;$A503,'Investment Strategies'!$AZ:$BP,12,FALSE),
IF(AND(Investment_Strategy="Lifecycle",Investment_Strategy_Sub1="Non-Standard"),VLOOKUP(Investment_Strategy&amp;"_"&amp;Investment_Strategy_Sub2&amp;"_"&amp;$A503,'Investment Strategies'!$C:$P,9,FALSE),
IF(AND(Investment_Strategy="Lifecycle",Investment_Strategy_Sub1="Standard"),VLOOKUP(Investment_Strategy&amp;"_"&amp;Investment_Strategy_Sub2&amp;"_"&amp;$A503,'Investment Strategies'!$AJ:$AV,8,FALSE),
IF(AND(Investment_Strategy="Autopilot",Investment_Strategy_Sub1="Non-Standard"),VLOOKUP(Investment_Strategy&amp;"_"&amp;Investment_Strategy_Sub2&amp;"_"&amp;$A503,'Investment Strategies'!$T:$AF,8,FALSE),
IF(Investment_Strategy ="DIY",DIY_RateOfReturn_FuturePremiums,
"Error")))))),Max_InvReturn)</f>
        <v>0</v>
      </c>
      <c r="U503" s="62">
        <f>IF($AV503=0,0,
IF(Investment_Strategy="DIS",VLOOKUP(Investment_Strategy&amp;"_"&amp;Investment_Strategy_Sub1&amp;"_"&amp;$A503,'Investment Strategies'!$AZ:$BP,15,FALSE),
IF(AND(Investment_Strategy="Lifecycle",Investment_Strategy_Sub1="Non-Standard"),VLOOKUP(Investment_Strategy&amp;"_"&amp;Investment_Strategy_Sub2&amp;"_"&amp;$A503,'Investment Strategies'!$C:$P,12,FALSE),
IF(AND(Investment_Strategy="Lifecycle",Investment_Strategy_Sub1="Standard"),VLOOKUP(Investment_Strategy&amp;"_"&amp;Investment_Strategy_Sub2&amp;"_"&amp;$A503,'Investment Strategies'!$AJ:$AV,11,FALSE),
IF(AND(Investment_Strategy="Autopilot",Investment_Strategy_Sub1="Non-Standard"),VLOOKUP(Investment_Strategy&amp;"_"&amp;Investment_Strategy_Sub2&amp;"_"&amp;$A503,'Investment Strategies'!$T:$AF,11,FALSE),
IF(Investment_Strategy="DIY",DIY_GteeChrge_FuturePremiums,
"Error"))))))</f>
        <v>0</v>
      </c>
      <c r="V503" s="33">
        <f>IF(AV503=0,0,
IF(Investment_Strategy="DIS",VLOOKUP(Investment_Strategy&amp;"_"&amp;Investment_Strategy_Sub1&amp;"_"&amp;$A503,'Investment Strategies'!$AZ:$BP,17,FALSE),
IF(AND(Investment_Strategy="Lifecycle",Investment_Strategy_Sub1="Non-Standard"),VLOOKUP(Investment_Strategy&amp;"_"&amp;Investment_Strategy_Sub2&amp;"_"&amp;$A503,'Investment Strategies'!$C:$P,14,FALSE),
IF(AND(Investment_Strategy="Lifecycle",Investment_Strategy_Sub1="Standard"),VLOOKUP(Investment_Strategy&amp;"_"&amp;Investment_Strategy_Sub2&amp;"_"&amp;$A503,'Investment Strategies'!$AJ:$AV,13,FALSE),
IF(AND(Investment_Strategy="Autopilot",Investment_Strategy_Sub1="Non-Standard"),VLOOKUP(Investment_Strategy&amp;"_"&amp;Investment_Strategy_Sub2&amp;"_"&amp;$A503,'Investment Strategies'!$T:$AF,13,FALSE),
IF(Investment_Strategy="DIY",DIY_ExtManChrge_FuturePremiums,
"Error"))))))</f>
        <v>0</v>
      </c>
      <c r="W503" s="16">
        <f t="shared" si="302"/>
        <v>0</v>
      </c>
      <c r="X503" s="16">
        <f t="shared" si="279"/>
        <v>0</v>
      </c>
      <c r="Y503" s="16">
        <f t="shared" si="280"/>
        <v>0</v>
      </c>
      <c r="Z503" s="31">
        <f t="shared" si="281"/>
        <v>0.02</v>
      </c>
      <c r="AA503" s="16">
        <f t="shared" si="282"/>
        <v>0</v>
      </c>
      <c r="AB503" s="28">
        <f t="shared" si="303"/>
        <v>0</v>
      </c>
      <c r="AC503" s="28">
        <f>(SUM($AC$91:AC502)+SUM($X$91:X502)+X503)*T503*IF(D503=$A$91,SRP_finalmonthfactor,1)</f>
        <v>0</v>
      </c>
      <c r="AD503" s="16">
        <f t="shared" si="283"/>
        <v>0</v>
      </c>
      <c r="AE503" s="106"/>
      <c r="AF503" s="16">
        <f t="shared" si="291"/>
        <v>0</v>
      </c>
      <c r="AG503" s="16">
        <f t="shared" si="292"/>
        <v>0</v>
      </c>
      <c r="AH503" s="16">
        <f t="shared" si="293"/>
        <v>0</v>
      </c>
      <c r="AJ503" s="13">
        <f t="shared" si="306"/>
        <v>0</v>
      </c>
      <c r="AK503" s="13">
        <f t="shared" si="306"/>
        <v>0</v>
      </c>
      <c r="AL503" s="13">
        <f t="shared" si="306"/>
        <v>0</v>
      </c>
      <c r="AM503" s="13">
        <f t="shared" si="306"/>
        <v>0</v>
      </c>
      <c r="AN503" s="13">
        <f t="shared" si="306"/>
        <v>0</v>
      </c>
      <c r="AO503" s="13">
        <f t="shared" si="306"/>
        <v>1</v>
      </c>
      <c r="AP503" s="13">
        <f t="shared" si="306"/>
        <v>1</v>
      </c>
      <c r="AQ503" s="13">
        <f t="shared" si="306"/>
        <v>1</v>
      </c>
      <c r="AR503" s="13">
        <f t="shared" si="306"/>
        <v>0</v>
      </c>
      <c r="AS503" s="13">
        <f t="shared" si="306"/>
        <v>0</v>
      </c>
      <c r="AT503" s="13">
        <f t="shared" si="306"/>
        <v>1</v>
      </c>
      <c r="AU503" s="13">
        <f t="shared" si="306"/>
        <v>1</v>
      </c>
      <c r="AV503" s="13">
        <f t="shared" si="284"/>
        <v>0</v>
      </c>
      <c r="AW503" s="13">
        <f t="shared" si="285"/>
        <v>1</v>
      </c>
      <c r="AY503" s="17">
        <f t="shared" si="286"/>
        <v>413</v>
      </c>
      <c r="AZ503" s="28">
        <f t="shared" si="294"/>
        <v>0</v>
      </c>
      <c r="BA503" s="13">
        <f t="shared" si="287"/>
        <v>0</v>
      </c>
      <c r="BB503" s="13">
        <f t="shared" si="288"/>
        <v>0</v>
      </c>
      <c r="BC503" s="28">
        <f t="shared" si="295"/>
        <v>0</v>
      </c>
      <c r="BD503" s="28">
        <f t="shared" si="296"/>
        <v>0</v>
      </c>
      <c r="BF503" s="248">
        <f t="shared" si="297"/>
        <v>993869.29442638322</v>
      </c>
    </row>
    <row r="504" spans="1:58">
      <c r="A504" s="32">
        <f t="shared" si="298"/>
        <v>-329</v>
      </c>
      <c r="B504" s="32">
        <f t="shared" si="289"/>
        <v>87</v>
      </c>
      <c r="C504" s="32">
        <f t="shared" si="299"/>
        <v>35</v>
      </c>
      <c r="D504" s="32">
        <f t="shared" si="300"/>
        <v>414</v>
      </c>
      <c r="E504" s="74">
        <f>MIN(IF(AV504=0,0,
IF(Investment_Strategy="DIS",VLOOKUP(Investment_Strategy&amp;"_"&amp;Investment_Strategy_Sub1&amp;"_"&amp;$A504,'Investment Strategies'!$AZ:$BP,12,FALSE),
IF(AND(Investment_Strategy="Lifecycle",Investment_Strategy_Sub1="Non-Standard"),VLOOKUP(Investment_Strategy&amp;"_"&amp;Investment_Strategy_Sub2&amp;"_"&amp;$A504,'Investment Strategies'!$C:$P,9,FALSE),
IF(AND(Investment_Strategy="Lifecycle",Investment_Strategy_Sub1="Standard"),VLOOKUP(Investment_Strategy&amp;"_"&amp;Investment_Strategy_Sub2&amp;"_"&amp;$A504,'Investment Strategies'!$AJ:$AV,8,FALSE),
IF(AND(Investment_Strategy="Autopilot",Investment_Strategy_Sub1="Non-Standard"),VLOOKUP(Investment_Strategy&amp;"_"&amp;Investment_Strategy_Sub2&amp;"_"&amp;$A504,'Investment Strategies'!$T:$AF,8,FALSE),
IF(Investment_Strategy ="DIY",DIY_RateOfReturn_CurrentFunds,
"Error")))))),Max_InvReturn)</f>
        <v>0</v>
      </c>
      <c r="F504" s="62">
        <f>IF(AV504=0,0,
IF(Investment_Strategy="DIS",VLOOKUP(Investment_Strategy&amp;"_"&amp;Investment_Strategy_Sub1&amp;"_"&amp;$A504,'Investment Strategies'!$AZ:$BP,15,FALSE),
IF(AND(Investment_Strategy="Lifecycle",Investment_Strategy_Sub1="Non-Standard"),VLOOKUP(Investment_Strategy&amp;"_"&amp;Investment_Strategy_Sub2&amp;"_"&amp;$A504,'Investment Strategies'!$C:$P,12,FALSE),
IF(AND(Investment_Strategy="Lifecycle",Investment_Strategy_Sub1="Standard"),VLOOKUP(Investment_Strategy&amp;"_"&amp;Investment_Strategy_Sub2&amp;"_"&amp;$A504,'Investment Strategies'!$AJ:$AV,11,FALSE),
IF(AND(Investment_Strategy="Autopilot",Investment_Strategy_Sub1="Non-Standard"),VLOOKUP(Investment_Strategy&amp;"_"&amp;Investment_Strategy_Sub2&amp;"_"&amp;$A504,'Investment Strategies'!$T:$AF,11,FALSE),
IF(Investment_Strategy="DIY",DIY_GteeChrge_CurrentFunds,
"Error"))))))</f>
        <v>0</v>
      </c>
      <c r="G504" s="33">
        <f>IF(AV504=0,0,
IF(Investment_Strategy="DIS",VLOOKUP(Investment_Strategy&amp;"_"&amp;Investment_Strategy_Sub1&amp;"_"&amp;$A504,'Investment Strategies'!$AZ:$BP,17,FALSE),
IF(AND(Investment_Strategy="Lifecycle",Investment_Strategy_Sub1="Non-Standard"),VLOOKUP(Investment_Strategy&amp;"_"&amp;Investment_Strategy_Sub2&amp;"_"&amp;$A504,'Investment Strategies'!$C:$P,14,FALSE),
IF(AND(Investment_Strategy="Lifecycle",Investment_Strategy_Sub1="Standard"),VLOOKUP(Investment_Strategy&amp;"_"&amp;Investment_Strategy_Sub2&amp;"_"&amp;$A504,'Investment Strategies'!$AJ:$AV,13,FALSE),
IF(AND(Investment_Strategy="Autopilot",Investment_Strategy_Sub1="Non-Standard"),VLOOKUP(Investment_Strategy&amp;"_"&amp;Investment_Strategy_Sub2&amp;"_"&amp;$A504,'Investment Strategies'!$T:$AF,13,FALSE),
IF(Investment_Strategy="DIY",DIY_ExtManChrge_CurrentFunds,
"Error"))))))</f>
        <v>0</v>
      </c>
      <c r="H504" s="16">
        <f t="shared" si="290"/>
        <v>0</v>
      </c>
      <c r="I504" s="16">
        <f t="shared" si="276"/>
        <v>0</v>
      </c>
      <c r="J504" s="16">
        <f t="shared" si="277"/>
        <v>0</v>
      </c>
      <c r="K504" s="16">
        <f>(Opening_Fund_Value+SUM(K$91:K503))*E504*IF(D504=$A$91,SRP_finalmonthfactor,1)</f>
        <v>0</v>
      </c>
      <c r="L504" s="74">
        <f>MIN(IF($AV504=0,0,
IF(Investment_Strategy="DIS",VLOOKUP(Investment_Strategy&amp;"_"&amp;Investment_Strategy_Sub1&amp;"_"&amp;$A504,'Investment Strategies'!$AZ:$BP,12,FALSE),
IF(AND(Investment_Strategy="Lifecycle",Investment_Strategy_Sub1="Non-Standard"),VLOOKUP(Investment_Strategy&amp;"_"&amp;Investment_Strategy_Sub2&amp;"_"&amp;$A504,'Investment Strategies'!$C:$P,9,FALSE),
IF(AND(Investment_Strategy="Lifecycle",Investment_Strategy_Sub1="Standard"),VLOOKUP(Investment_Strategy&amp;"_"&amp;Investment_Strategy_Sub2&amp;"_"&amp;$A504,'Investment Strategies'!$AJ:$AV,8,FALSE),
IF(AND(Investment_Strategy="Autopilot",Investment_Strategy_Sub1="Non-Standard"),VLOOKUP(Investment_Strategy&amp;"_"&amp;Investment_Strategy_Sub2&amp;"_"&amp;$A504,'Investment Strategies'!$T:$AF,8,FALSE),
IF(Investment_Strategy ="DIY",DIY_RateofReturn_SP,
"Error")))))),Max_InvReturn)</f>
        <v>0</v>
      </c>
      <c r="M504" s="62">
        <f>IF($AV504=0,0,
IF(Investment_Strategy="DIS",VLOOKUP(Investment_Strategy&amp;"_"&amp;Investment_Strategy_Sub1&amp;"_"&amp;$A504,'Investment Strategies'!$AZ:$BP,15,FALSE),
IF(AND(Investment_Strategy="Lifecycle",Investment_Strategy_Sub1="Non-Standard"),VLOOKUP(Investment_Strategy&amp;"_"&amp;Investment_Strategy_Sub2&amp;"_"&amp;$A504,'Investment Strategies'!$C:$P,12,FALSE),
IF(AND(Investment_Strategy="Lifecycle",Investment_Strategy_Sub1="Standard"),VLOOKUP(Investment_Strategy&amp;"_"&amp;Investment_Strategy_Sub2&amp;"_"&amp;$A504,'Investment Strategies'!$AJ:$AV,11,FALSE),
IF(AND(Investment_Strategy="Autopilot",Investment_Strategy_Sub1="Non-Standard"),VLOOKUP(Investment_Strategy&amp;"_"&amp;Investment_Strategy_Sub2&amp;"_"&amp;$A504,'Investment Strategies'!$T:$AF,11,FALSE),
IF(Investment_Strategy="DIY",DIY_GteeChrge_SP,
"Error"))))))</f>
        <v>0</v>
      </c>
      <c r="N504" s="33">
        <f>IF($AV504=0,0,
IF(Investment_Strategy="DIS",VLOOKUP(Investment_Strategy&amp;"_"&amp;Investment_Strategy_Sub1&amp;"_"&amp;$A504,'Investment Strategies'!$AZ:$BP,17,FALSE),
IF(AND(Investment_Strategy="Lifecycle",Investment_Strategy_Sub1="Non-Standard"),VLOOKUP(Investment_Strategy&amp;"_"&amp;Investment_Strategy_Sub2&amp;"_"&amp;$A504,'Investment Strategies'!$C:$P,14,FALSE),
IF(AND(Investment_Strategy="Lifecycle",Investment_Strategy_Sub1="Standard"),VLOOKUP(Investment_Strategy&amp;"_"&amp;Investment_Strategy_Sub2&amp;"_"&amp;$A504,'Investment Strategies'!$AJ:$AV,13,FALSE),
IF(AND(Investment_Strategy="Autopilot",Investment_Strategy_Sub1="Non-Standard"),VLOOKUP(Investment_Strategy&amp;"_"&amp;Investment_Strategy_Sub2&amp;"_"&amp;$A504,'Investment Strategies'!$T:$AF,13,FALSE),
IF(Investment_Strategy="DIY",DIY_ExtManChrge_SP,
"Error"))))))</f>
        <v>0</v>
      </c>
      <c r="O504" s="16">
        <f t="shared" si="301"/>
        <v>0</v>
      </c>
      <c r="Q504" s="16">
        <f t="shared" si="278"/>
        <v>0</v>
      </c>
      <c r="R504" s="16">
        <f t="shared" si="274"/>
        <v>0</v>
      </c>
      <c r="S504" s="16">
        <f>(SRP_SP+SUM(S$91:S503))*L504*IF(D504=$A$91,SRP_finalmonthfactor,1)</f>
        <v>0</v>
      </c>
      <c r="T504" s="74">
        <f>MIN(IF($AV504=0,0,
IF(Investment_Strategy="DIS",VLOOKUP(Investment_Strategy&amp;"_"&amp;Investment_Strategy_Sub1&amp;"_"&amp;$A504,'Investment Strategies'!$AZ:$BP,12,FALSE),
IF(AND(Investment_Strategy="Lifecycle",Investment_Strategy_Sub1="Non-Standard"),VLOOKUP(Investment_Strategy&amp;"_"&amp;Investment_Strategy_Sub2&amp;"_"&amp;$A504,'Investment Strategies'!$C:$P,9,FALSE),
IF(AND(Investment_Strategy="Lifecycle",Investment_Strategy_Sub1="Standard"),VLOOKUP(Investment_Strategy&amp;"_"&amp;Investment_Strategy_Sub2&amp;"_"&amp;$A504,'Investment Strategies'!$AJ:$AV,8,FALSE),
IF(AND(Investment_Strategy="Autopilot",Investment_Strategy_Sub1="Non-Standard"),VLOOKUP(Investment_Strategy&amp;"_"&amp;Investment_Strategy_Sub2&amp;"_"&amp;$A504,'Investment Strategies'!$T:$AF,8,FALSE),
IF(Investment_Strategy ="DIY",DIY_RateOfReturn_FuturePremiums,
"Error")))))),Max_InvReturn)</f>
        <v>0</v>
      </c>
      <c r="U504" s="62">
        <f>IF($AV504=0,0,
IF(Investment_Strategy="DIS",VLOOKUP(Investment_Strategy&amp;"_"&amp;Investment_Strategy_Sub1&amp;"_"&amp;$A504,'Investment Strategies'!$AZ:$BP,15,FALSE),
IF(AND(Investment_Strategy="Lifecycle",Investment_Strategy_Sub1="Non-Standard"),VLOOKUP(Investment_Strategy&amp;"_"&amp;Investment_Strategy_Sub2&amp;"_"&amp;$A504,'Investment Strategies'!$C:$P,12,FALSE),
IF(AND(Investment_Strategy="Lifecycle",Investment_Strategy_Sub1="Standard"),VLOOKUP(Investment_Strategy&amp;"_"&amp;Investment_Strategy_Sub2&amp;"_"&amp;$A504,'Investment Strategies'!$AJ:$AV,11,FALSE),
IF(AND(Investment_Strategy="Autopilot",Investment_Strategy_Sub1="Non-Standard"),VLOOKUP(Investment_Strategy&amp;"_"&amp;Investment_Strategy_Sub2&amp;"_"&amp;$A504,'Investment Strategies'!$T:$AF,11,FALSE),
IF(Investment_Strategy="DIY",DIY_GteeChrge_FuturePremiums,
"Error"))))))</f>
        <v>0</v>
      </c>
      <c r="V504" s="33">
        <f>IF(AV504=0,0,
IF(Investment_Strategy="DIS",VLOOKUP(Investment_Strategy&amp;"_"&amp;Investment_Strategy_Sub1&amp;"_"&amp;$A504,'Investment Strategies'!$AZ:$BP,17,FALSE),
IF(AND(Investment_Strategy="Lifecycle",Investment_Strategy_Sub1="Non-Standard"),VLOOKUP(Investment_Strategy&amp;"_"&amp;Investment_Strategy_Sub2&amp;"_"&amp;$A504,'Investment Strategies'!$C:$P,14,FALSE),
IF(AND(Investment_Strategy="Lifecycle",Investment_Strategy_Sub1="Standard"),VLOOKUP(Investment_Strategy&amp;"_"&amp;Investment_Strategy_Sub2&amp;"_"&amp;$A504,'Investment Strategies'!$AJ:$AV,13,FALSE),
IF(AND(Investment_Strategy="Autopilot",Investment_Strategy_Sub1="Non-Standard"),VLOOKUP(Investment_Strategy&amp;"_"&amp;Investment_Strategy_Sub2&amp;"_"&amp;$A504,'Investment Strategies'!$T:$AF,13,FALSE),
IF(Investment_Strategy="DIY",DIY_ExtManChrge_FuturePremiums,
"Error"))))))</f>
        <v>0</v>
      </c>
      <c r="W504" s="16">
        <f t="shared" si="302"/>
        <v>0</v>
      </c>
      <c r="X504" s="16">
        <f t="shared" si="279"/>
        <v>0</v>
      </c>
      <c r="Y504" s="16">
        <f t="shared" si="280"/>
        <v>0</v>
      </c>
      <c r="Z504" s="31">
        <f t="shared" si="281"/>
        <v>0.02</v>
      </c>
      <c r="AA504" s="16">
        <f t="shared" si="282"/>
        <v>0</v>
      </c>
      <c r="AB504" s="28">
        <f t="shared" si="303"/>
        <v>0</v>
      </c>
      <c r="AC504" s="28">
        <f>(SUM($AC$91:AC503)+SUM($X$91:X503)+X504)*T504*IF(D504=$A$91,SRP_finalmonthfactor,1)</f>
        <v>0</v>
      </c>
      <c r="AD504" s="16">
        <f t="shared" si="283"/>
        <v>0</v>
      </c>
      <c r="AE504" s="106"/>
      <c r="AF504" s="16">
        <f t="shared" si="291"/>
        <v>0</v>
      </c>
      <c r="AG504" s="16">
        <f t="shared" si="292"/>
        <v>0</v>
      </c>
      <c r="AH504" s="16">
        <f t="shared" si="293"/>
        <v>0</v>
      </c>
      <c r="AJ504" s="13">
        <f t="shared" si="306"/>
        <v>0</v>
      </c>
      <c r="AK504" s="13">
        <f t="shared" si="306"/>
        <v>0</v>
      </c>
      <c r="AL504" s="13">
        <f t="shared" si="306"/>
        <v>0</v>
      </c>
      <c r="AM504" s="13">
        <f t="shared" si="306"/>
        <v>0</v>
      </c>
      <c r="AN504" s="13">
        <f t="shared" si="306"/>
        <v>0</v>
      </c>
      <c r="AO504" s="13">
        <f t="shared" si="306"/>
        <v>1</v>
      </c>
      <c r="AP504" s="13">
        <f t="shared" si="306"/>
        <v>1</v>
      </c>
      <c r="AQ504" s="13">
        <f t="shared" si="306"/>
        <v>1</v>
      </c>
      <c r="AR504" s="13">
        <f t="shared" si="306"/>
        <v>0</v>
      </c>
      <c r="AS504" s="13">
        <f t="shared" si="306"/>
        <v>0</v>
      </c>
      <c r="AT504" s="13">
        <f t="shared" si="306"/>
        <v>1</v>
      </c>
      <c r="AU504" s="13">
        <f t="shared" si="306"/>
        <v>1</v>
      </c>
      <c r="AV504" s="13">
        <f t="shared" si="284"/>
        <v>0</v>
      </c>
      <c r="AW504" s="13">
        <f t="shared" si="285"/>
        <v>1</v>
      </c>
      <c r="AY504" s="17">
        <f t="shared" si="286"/>
        <v>414</v>
      </c>
      <c r="AZ504" s="28">
        <f t="shared" si="294"/>
        <v>0</v>
      </c>
      <c r="BA504" s="13">
        <f t="shared" si="287"/>
        <v>0</v>
      </c>
      <c r="BB504" s="13">
        <f t="shared" si="288"/>
        <v>0</v>
      </c>
      <c r="BC504" s="28">
        <f t="shared" si="295"/>
        <v>0</v>
      </c>
      <c r="BD504" s="28">
        <f t="shared" si="296"/>
        <v>0</v>
      </c>
      <c r="BF504" s="248">
        <f t="shared" si="297"/>
        <v>993869.29442638322</v>
      </c>
    </row>
    <row r="505" spans="1:58">
      <c r="A505" s="32">
        <f t="shared" si="298"/>
        <v>-330</v>
      </c>
      <c r="B505" s="32">
        <f t="shared" si="289"/>
        <v>87</v>
      </c>
      <c r="C505" s="32">
        <f t="shared" si="299"/>
        <v>35</v>
      </c>
      <c r="D505" s="32">
        <f t="shared" si="300"/>
        <v>415</v>
      </c>
      <c r="E505" s="74">
        <f>MIN(IF(AV505=0,0,
IF(Investment_Strategy="DIS",VLOOKUP(Investment_Strategy&amp;"_"&amp;Investment_Strategy_Sub1&amp;"_"&amp;$A505,'Investment Strategies'!$AZ:$BP,12,FALSE),
IF(AND(Investment_Strategy="Lifecycle",Investment_Strategy_Sub1="Non-Standard"),VLOOKUP(Investment_Strategy&amp;"_"&amp;Investment_Strategy_Sub2&amp;"_"&amp;$A505,'Investment Strategies'!$C:$P,9,FALSE),
IF(AND(Investment_Strategy="Lifecycle",Investment_Strategy_Sub1="Standard"),VLOOKUP(Investment_Strategy&amp;"_"&amp;Investment_Strategy_Sub2&amp;"_"&amp;$A505,'Investment Strategies'!$AJ:$AV,8,FALSE),
IF(AND(Investment_Strategy="Autopilot",Investment_Strategy_Sub1="Non-Standard"),VLOOKUP(Investment_Strategy&amp;"_"&amp;Investment_Strategy_Sub2&amp;"_"&amp;$A505,'Investment Strategies'!$T:$AF,8,FALSE),
IF(Investment_Strategy ="DIY",DIY_RateOfReturn_CurrentFunds,
"Error")))))),Max_InvReturn)</f>
        <v>0</v>
      </c>
      <c r="F505" s="62">
        <f>IF(AV505=0,0,
IF(Investment_Strategy="DIS",VLOOKUP(Investment_Strategy&amp;"_"&amp;Investment_Strategy_Sub1&amp;"_"&amp;$A505,'Investment Strategies'!$AZ:$BP,15,FALSE),
IF(AND(Investment_Strategy="Lifecycle",Investment_Strategy_Sub1="Non-Standard"),VLOOKUP(Investment_Strategy&amp;"_"&amp;Investment_Strategy_Sub2&amp;"_"&amp;$A505,'Investment Strategies'!$C:$P,12,FALSE),
IF(AND(Investment_Strategy="Lifecycle",Investment_Strategy_Sub1="Standard"),VLOOKUP(Investment_Strategy&amp;"_"&amp;Investment_Strategy_Sub2&amp;"_"&amp;$A505,'Investment Strategies'!$AJ:$AV,11,FALSE),
IF(AND(Investment_Strategy="Autopilot",Investment_Strategy_Sub1="Non-Standard"),VLOOKUP(Investment_Strategy&amp;"_"&amp;Investment_Strategy_Sub2&amp;"_"&amp;$A505,'Investment Strategies'!$T:$AF,11,FALSE),
IF(Investment_Strategy="DIY",DIY_GteeChrge_CurrentFunds,
"Error"))))))</f>
        <v>0</v>
      </c>
      <c r="G505" s="33">
        <f>IF(AV505=0,0,
IF(Investment_Strategy="DIS",VLOOKUP(Investment_Strategy&amp;"_"&amp;Investment_Strategy_Sub1&amp;"_"&amp;$A505,'Investment Strategies'!$AZ:$BP,17,FALSE),
IF(AND(Investment_Strategy="Lifecycle",Investment_Strategy_Sub1="Non-Standard"),VLOOKUP(Investment_Strategy&amp;"_"&amp;Investment_Strategy_Sub2&amp;"_"&amp;$A505,'Investment Strategies'!$C:$P,14,FALSE),
IF(AND(Investment_Strategy="Lifecycle",Investment_Strategy_Sub1="Standard"),VLOOKUP(Investment_Strategy&amp;"_"&amp;Investment_Strategy_Sub2&amp;"_"&amp;$A505,'Investment Strategies'!$AJ:$AV,13,FALSE),
IF(AND(Investment_Strategy="Autopilot",Investment_Strategy_Sub1="Non-Standard"),VLOOKUP(Investment_Strategy&amp;"_"&amp;Investment_Strategy_Sub2&amp;"_"&amp;$A505,'Investment Strategies'!$T:$AF,13,FALSE),
IF(Investment_Strategy="DIY",DIY_ExtManChrge_CurrentFunds,
"Error"))))))</f>
        <v>0</v>
      </c>
      <c r="H505" s="16">
        <f t="shared" si="290"/>
        <v>0</v>
      </c>
      <c r="I505" s="16">
        <f t="shared" si="276"/>
        <v>0</v>
      </c>
      <c r="J505" s="16">
        <f t="shared" si="277"/>
        <v>0</v>
      </c>
      <c r="K505" s="16">
        <f>(Opening_Fund_Value+SUM(K$91:K504))*E505*IF(D505=$A$91,SRP_finalmonthfactor,1)</f>
        <v>0</v>
      </c>
      <c r="L505" s="74">
        <f>MIN(IF($AV505=0,0,
IF(Investment_Strategy="DIS",VLOOKUP(Investment_Strategy&amp;"_"&amp;Investment_Strategy_Sub1&amp;"_"&amp;$A505,'Investment Strategies'!$AZ:$BP,12,FALSE),
IF(AND(Investment_Strategy="Lifecycle",Investment_Strategy_Sub1="Non-Standard"),VLOOKUP(Investment_Strategy&amp;"_"&amp;Investment_Strategy_Sub2&amp;"_"&amp;$A505,'Investment Strategies'!$C:$P,9,FALSE),
IF(AND(Investment_Strategy="Lifecycle",Investment_Strategy_Sub1="Standard"),VLOOKUP(Investment_Strategy&amp;"_"&amp;Investment_Strategy_Sub2&amp;"_"&amp;$A505,'Investment Strategies'!$AJ:$AV,8,FALSE),
IF(AND(Investment_Strategy="Autopilot",Investment_Strategy_Sub1="Non-Standard"),VLOOKUP(Investment_Strategy&amp;"_"&amp;Investment_Strategy_Sub2&amp;"_"&amp;$A505,'Investment Strategies'!$T:$AF,8,FALSE),
IF(Investment_Strategy ="DIY",DIY_RateofReturn_SP,
"Error")))))),Max_InvReturn)</f>
        <v>0</v>
      </c>
      <c r="M505" s="62">
        <f>IF($AV505=0,0,
IF(Investment_Strategy="DIS",VLOOKUP(Investment_Strategy&amp;"_"&amp;Investment_Strategy_Sub1&amp;"_"&amp;$A505,'Investment Strategies'!$AZ:$BP,15,FALSE),
IF(AND(Investment_Strategy="Lifecycle",Investment_Strategy_Sub1="Non-Standard"),VLOOKUP(Investment_Strategy&amp;"_"&amp;Investment_Strategy_Sub2&amp;"_"&amp;$A505,'Investment Strategies'!$C:$P,12,FALSE),
IF(AND(Investment_Strategy="Lifecycle",Investment_Strategy_Sub1="Standard"),VLOOKUP(Investment_Strategy&amp;"_"&amp;Investment_Strategy_Sub2&amp;"_"&amp;$A505,'Investment Strategies'!$AJ:$AV,11,FALSE),
IF(AND(Investment_Strategy="Autopilot",Investment_Strategy_Sub1="Non-Standard"),VLOOKUP(Investment_Strategy&amp;"_"&amp;Investment_Strategy_Sub2&amp;"_"&amp;$A505,'Investment Strategies'!$T:$AF,11,FALSE),
IF(Investment_Strategy="DIY",DIY_GteeChrge_SP,
"Error"))))))</f>
        <v>0</v>
      </c>
      <c r="N505" s="33">
        <f>IF($AV505=0,0,
IF(Investment_Strategy="DIS",VLOOKUP(Investment_Strategy&amp;"_"&amp;Investment_Strategy_Sub1&amp;"_"&amp;$A505,'Investment Strategies'!$AZ:$BP,17,FALSE),
IF(AND(Investment_Strategy="Lifecycle",Investment_Strategy_Sub1="Non-Standard"),VLOOKUP(Investment_Strategy&amp;"_"&amp;Investment_Strategy_Sub2&amp;"_"&amp;$A505,'Investment Strategies'!$C:$P,14,FALSE),
IF(AND(Investment_Strategy="Lifecycle",Investment_Strategy_Sub1="Standard"),VLOOKUP(Investment_Strategy&amp;"_"&amp;Investment_Strategy_Sub2&amp;"_"&amp;$A505,'Investment Strategies'!$AJ:$AV,13,FALSE),
IF(AND(Investment_Strategy="Autopilot",Investment_Strategy_Sub1="Non-Standard"),VLOOKUP(Investment_Strategy&amp;"_"&amp;Investment_Strategy_Sub2&amp;"_"&amp;$A505,'Investment Strategies'!$T:$AF,13,FALSE),
IF(Investment_Strategy="DIY",DIY_ExtManChrge_SP,
"Error"))))))</f>
        <v>0</v>
      </c>
      <c r="O505" s="16">
        <f t="shared" si="301"/>
        <v>0</v>
      </c>
      <c r="Q505" s="16">
        <f t="shared" si="278"/>
        <v>0</v>
      </c>
      <c r="R505" s="16">
        <f t="shared" si="274"/>
        <v>0</v>
      </c>
      <c r="S505" s="16">
        <f>(SRP_SP+SUM(S$91:S504))*L505*IF(D505=$A$91,SRP_finalmonthfactor,1)</f>
        <v>0</v>
      </c>
      <c r="T505" s="74">
        <f>MIN(IF($AV505=0,0,
IF(Investment_Strategy="DIS",VLOOKUP(Investment_Strategy&amp;"_"&amp;Investment_Strategy_Sub1&amp;"_"&amp;$A505,'Investment Strategies'!$AZ:$BP,12,FALSE),
IF(AND(Investment_Strategy="Lifecycle",Investment_Strategy_Sub1="Non-Standard"),VLOOKUP(Investment_Strategy&amp;"_"&amp;Investment_Strategy_Sub2&amp;"_"&amp;$A505,'Investment Strategies'!$C:$P,9,FALSE),
IF(AND(Investment_Strategy="Lifecycle",Investment_Strategy_Sub1="Standard"),VLOOKUP(Investment_Strategy&amp;"_"&amp;Investment_Strategy_Sub2&amp;"_"&amp;$A505,'Investment Strategies'!$AJ:$AV,8,FALSE),
IF(AND(Investment_Strategy="Autopilot",Investment_Strategy_Sub1="Non-Standard"),VLOOKUP(Investment_Strategy&amp;"_"&amp;Investment_Strategy_Sub2&amp;"_"&amp;$A505,'Investment Strategies'!$T:$AF,8,FALSE),
IF(Investment_Strategy ="DIY",DIY_RateOfReturn_FuturePremiums,
"Error")))))),Max_InvReturn)</f>
        <v>0</v>
      </c>
      <c r="U505" s="62">
        <f>IF($AV505=0,0,
IF(Investment_Strategy="DIS",VLOOKUP(Investment_Strategy&amp;"_"&amp;Investment_Strategy_Sub1&amp;"_"&amp;$A505,'Investment Strategies'!$AZ:$BP,15,FALSE),
IF(AND(Investment_Strategy="Lifecycle",Investment_Strategy_Sub1="Non-Standard"),VLOOKUP(Investment_Strategy&amp;"_"&amp;Investment_Strategy_Sub2&amp;"_"&amp;$A505,'Investment Strategies'!$C:$P,12,FALSE),
IF(AND(Investment_Strategy="Lifecycle",Investment_Strategy_Sub1="Standard"),VLOOKUP(Investment_Strategy&amp;"_"&amp;Investment_Strategy_Sub2&amp;"_"&amp;$A505,'Investment Strategies'!$AJ:$AV,11,FALSE),
IF(AND(Investment_Strategy="Autopilot",Investment_Strategy_Sub1="Non-Standard"),VLOOKUP(Investment_Strategy&amp;"_"&amp;Investment_Strategy_Sub2&amp;"_"&amp;$A505,'Investment Strategies'!$T:$AF,11,FALSE),
IF(Investment_Strategy="DIY",DIY_GteeChrge_FuturePremiums,
"Error"))))))</f>
        <v>0</v>
      </c>
      <c r="V505" s="33">
        <f>IF(AV505=0,0,
IF(Investment_Strategy="DIS",VLOOKUP(Investment_Strategy&amp;"_"&amp;Investment_Strategy_Sub1&amp;"_"&amp;$A505,'Investment Strategies'!$AZ:$BP,17,FALSE),
IF(AND(Investment_Strategy="Lifecycle",Investment_Strategy_Sub1="Non-Standard"),VLOOKUP(Investment_Strategy&amp;"_"&amp;Investment_Strategy_Sub2&amp;"_"&amp;$A505,'Investment Strategies'!$C:$P,14,FALSE),
IF(AND(Investment_Strategy="Lifecycle",Investment_Strategy_Sub1="Standard"),VLOOKUP(Investment_Strategy&amp;"_"&amp;Investment_Strategy_Sub2&amp;"_"&amp;$A505,'Investment Strategies'!$AJ:$AV,13,FALSE),
IF(AND(Investment_Strategy="Autopilot",Investment_Strategy_Sub1="Non-Standard"),VLOOKUP(Investment_Strategy&amp;"_"&amp;Investment_Strategy_Sub2&amp;"_"&amp;$A505,'Investment Strategies'!$T:$AF,13,FALSE),
IF(Investment_Strategy="DIY",DIY_ExtManChrge_FuturePremiums,
"Error"))))))</f>
        <v>0</v>
      </c>
      <c r="W505" s="16">
        <f t="shared" si="302"/>
        <v>0</v>
      </c>
      <c r="X505" s="16">
        <f t="shared" si="279"/>
        <v>0</v>
      </c>
      <c r="Y505" s="16">
        <f t="shared" si="280"/>
        <v>0</v>
      </c>
      <c r="Z505" s="31">
        <f t="shared" si="281"/>
        <v>0.02</v>
      </c>
      <c r="AA505" s="16">
        <f t="shared" si="282"/>
        <v>0</v>
      </c>
      <c r="AB505" s="28">
        <f t="shared" si="303"/>
        <v>0</v>
      </c>
      <c r="AC505" s="28">
        <f>(SUM($AC$91:AC504)+SUM($X$91:X504)+X505)*T505*IF(D505=$A$91,SRP_finalmonthfactor,1)</f>
        <v>0</v>
      </c>
      <c r="AD505" s="16">
        <f t="shared" si="283"/>
        <v>0</v>
      </c>
      <c r="AE505" s="106"/>
      <c r="AF505" s="16">
        <f t="shared" si="291"/>
        <v>0</v>
      </c>
      <c r="AG505" s="16">
        <f t="shared" si="292"/>
        <v>0</v>
      </c>
      <c r="AH505" s="16">
        <f t="shared" si="293"/>
        <v>0</v>
      </c>
      <c r="AJ505" s="13">
        <f t="shared" si="306"/>
        <v>0</v>
      </c>
      <c r="AK505" s="13">
        <f t="shared" si="306"/>
        <v>0</v>
      </c>
      <c r="AL505" s="13">
        <f t="shared" si="306"/>
        <v>0</v>
      </c>
      <c r="AM505" s="13">
        <f t="shared" si="306"/>
        <v>0</v>
      </c>
      <c r="AN505" s="13">
        <f t="shared" si="306"/>
        <v>0</v>
      </c>
      <c r="AO505" s="13">
        <f t="shared" si="306"/>
        <v>1</v>
      </c>
      <c r="AP505" s="13">
        <f t="shared" si="306"/>
        <v>1</v>
      </c>
      <c r="AQ505" s="13">
        <f t="shared" si="306"/>
        <v>1</v>
      </c>
      <c r="AR505" s="13">
        <f t="shared" si="306"/>
        <v>0</v>
      </c>
      <c r="AS505" s="13">
        <f t="shared" si="306"/>
        <v>0</v>
      </c>
      <c r="AT505" s="13">
        <f t="shared" si="306"/>
        <v>1</v>
      </c>
      <c r="AU505" s="13">
        <f t="shared" si="306"/>
        <v>1</v>
      </c>
      <c r="AV505" s="13">
        <f t="shared" si="284"/>
        <v>0</v>
      </c>
      <c r="AW505" s="13">
        <f t="shared" si="285"/>
        <v>1</v>
      </c>
      <c r="AY505" s="17">
        <f t="shared" si="286"/>
        <v>415</v>
      </c>
      <c r="AZ505" s="28">
        <f t="shared" si="294"/>
        <v>0</v>
      </c>
      <c r="BA505" s="13">
        <f t="shared" si="287"/>
        <v>0</v>
      </c>
      <c r="BB505" s="13">
        <f t="shared" si="288"/>
        <v>0</v>
      </c>
      <c r="BC505" s="28">
        <f t="shared" si="295"/>
        <v>0</v>
      </c>
      <c r="BD505" s="28">
        <f t="shared" si="296"/>
        <v>0</v>
      </c>
      <c r="BF505" s="248">
        <f t="shared" si="297"/>
        <v>993869.29442638322</v>
      </c>
    </row>
    <row r="506" spans="1:58">
      <c r="A506" s="32">
        <f t="shared" si="298"/>
        <v>-331</v>
      </c>
      <c r="B506" s="32">
        <f t="shared" si="289"/>
        <v>87</v>
      </c>
      <c r="C506" s="32">
        <f t="shared" si="299"/>
        <v>35</v>
      </c>
      <c r="D506" s="32">
        <f t="shared" si="300"/>
        <v>416</v>
      </c>
      <c r="E506" s="74">
        <f>MIN(IF(AV506=0,0,
IF(Investment_Strategy="DIS",VLOOKUP(Investment_Strategy&amp;"_"&amp;Investment_Strategy_Sub1&amp;"_"&amp;$A506,'Investment Strategies'!$AZ:$BP,12,FALSE),
IF(AND(Investment_Strategy="Lifecycle",Investment_Strategy_Sub1="Non-Standard"),VLOOKUP(Investment_Strategy&amp;"_"&amp;Investment_Strategy_Sub2&amp;"_"&amp;$A506,'Investment Strategies'!$C:$P,9,FALSE),
IF(AND(Investment_Strategy="Lifecycle",Investment_Strategy_Sub1="Standard"),VLOOKUP(Investment_Strategy&amp;"_"&amp;Investment_Strategy_Sub2&amp;"_"&amp;$A506,'Investment Strategies'!$AJ:$AV,8,FALSE),
IF(AND(Investment_Strategy="Autopilot",Investment_Strategy_Sub1="Non-Standard"),VLOOKUP(Investment_Strategy&amp;"_"&amp;Investment_Strategy_Sub2&amp;"_"&amp;$A506,'Investment Strategies'!$T:$AF,8,FALSE),
IF(Investment_Strategy ="DIY",DIY_RateOfReturn_CurrentFunds,
"Error")))))),Max_InvReturn)</f>
        <v>0</v>
      </c>
      <c r="F506" s="62">
        <f>IF(AV506=0,0,
IF(Investment_Strategy="DIS",VLOOKUP(Investment_Strategy&amp;"_"&amp;Investment_Strategy_Sub1&amp;"_"&amp;$A506,'Investment Strategies'!$AZ:$BP,15,FALSE),
IF(AND(Investment_Strategy="Lifecycle",Investment_Strategy_Sub1="Non-Standard"),VLOOKUP(Investment_Strategy&amp;"_"&amp;Investment_Strategy_Sub2&amp;"_"&amp;$A506,'Investment Strategies'!$C:$P,12,FALSE),
IF(AND(Investment_Strategy="Lifecycle",Investment_Strategy_Sub1="Standard"),VLOOKUP(Investment_Strategy&amp;"_"&amp;Investment_Strategy_Sub2&amp;"_"&amp;$A506,'Investment Strategies'!$AJ:$AV,11,FALSE),
IF(AND(Investment_Strategy="Autopilot",Investment_Strategy_Sub1="Non-Standard"),VLOOKUP(Investment_Strategy&amp;"_"&amp;Investment_Strategy_Sub2&amp;"_"&amp;$A506,'Investment Strategies'!$T:$AF,11,FALSE),
IF(Investment_Strategy="DIY",DIY_GteeChrge_CurrentFunds,
"Error"))))))</f>
        <v>0</v>
      </c>
      <c r="G506" s="33">
        <f>IF(AV506=0,0,
IF(Investment_Strategy="DIS",VLOOKUP(Investment_Strategy&amp;"_"&amp;Investment_Strategy_Sub1&amp;"_"&amp;$A506,'Investment Strategies'!$AZ:$BP,17,FALSE),
IF(AND(Investment_Strategy="Lifecycle",Investment_Strategy_Sub1="Non-Standard"),VLOOKUP(Investment_Strategy&amp;"_"&amp;Investment_Strategy_Sub2&amp;"_"&amp;$A506,'Investment Strategies'!$C:$P,14,FALSE),
IF(AND(Investment_Strategy="Lifecycle",Investment_Strategy_Sub1="Standard"),VLOOKUP(Investment_Strategy&amp;"_"&amp;Investment_Strategy_Sub2&amp;"_"&amp;$A506,'Investment Strategies'!$AJ:$AV,13,FALSE),
IF(AND(Investment_Strategy="Autopilot",Investment_Strategy_Sub1="Non-Standard"),VLOOKUP(Investment_Strategy&amp;"_"&amp;Investment_Strategy_Sub2&amp;"_"&amp;$A506,'Investment Strategies'!$T:$AF,13,FALSE),
IF(Investment_Strategy="DIY",DIY_ExtManChrge_CurrentFunds,
"Error"))))))</f>
        <v>0</v>
      </c>
      <c r="H506" s="16">
        <f t="shared" si="290"/>
        <v>0</v>
      </c>
      <c r="I506" s="16">
        <f t="shared" si="276"/>
        <v>0</v>
      </c>
      <c r="J506" s="16">
        <f t="shared" si="277"/>
        <v>0</v>
      </c>
      <c r="K506" s="16">
        <f>(Opening_Fund_Value+SUM(K$91:K505))*E506*IF(D506=$A$91,SRP_finalmonthfactor,1)</f>
        <v>0</v>
      </c>
      <c r="L506" s="74">
        <f>MIN(IF($AV506=0,0,
IF(Investment_Strategy="DIS",VLOOKUP(Investment_Strategy&amp;"_"&amp;Investment_Strategy_Sub1&amp;"_"&amp;$A506,'Investment Strategies'!$AZ:$BP,12,FALSE),
IF(AND(Investment_Strategy="Lifecycle",Investment_Strategy_Sub1="Non-Standard"),VLOOKUP(Investment_Strategy&amp;"_"&amp;Investment_Strategy_Sub2&amp;"_"&amp;$A506,'Investment Strategies'!$C:$P,9,FALSE),
IF(AND(Investment_Strategy="Lifecycle",Investment_Strategy_Sub1="Standard"),VLOOKUP(Investment_Strategy&amp;"_"&amp;Investment_Strategy_Sub2&amp;"_"&amp;$A506,'Investment Strategies'!$AJ:$AV,8,FALSE),
IF(AND(Investment_Strategy="Autopilot",Investment_Strategy_Sub1="Non-Standard"),VLOOKUP(Investment_Strategy&amp;"_"&amp;Investment_Strategy_Sub2&amp;"_"&amp;$A506,'Investment Strategies'!$T:$AF,8,FALSE),
IF(Investment_Strategy ="DIY",DIY_RateofReturn_SP,
"Error")))))),Max_InvReturn)</f>
        <v>0</v>
      </c>
      <c r="M506" s="62">
        <f>IF($AV506=0,0,
IF(Investment_Strategy="DIS",VLOOKUP(Investment_Strategy&amp;"_"&amp;Investment_Strategy_Sub1&amp;"_"&amp;$A506,'Investment Strategies'!$AZ:$BP,15,FALSE),
IF(AND(Investment_Strategy="Lifecycle",Investment_Strategy_Sub1="Non-Standard"),VLOOKUP(Investment_Strategy&amp;"_"&amp;Investment_Strategy_Sub2&amp;"_"&amp;$A506,'Investment Strategies'!$C:$P,12,FALSE),
IF(AND(Investment_Strategy="Lifecycle",Investment_Strategy_Sub1="Standard"),VLOOKUP(Investment_Strategy&amp;"_"&amp;Investment_Strategy_Sub2&amp;"_"&amp;$A506,'Investment Strategies'!$AJ:$AV,11,FALSE),
IF(AND(Investment_Strategy="Autopilot",Investment_Strategy_Sub1="Non-Standard"),VLOOKUP(Investment_Strategy&amp;"_"&amp;Investment_Strategy_Sub2&amp;"_"&amp;$A506,'Investment Strategies'!$T:$AF,11,FALSE),
IF(Investment_Strategy="DIY",DIY_GteeChrge_SP,
"Error"))))))</f>
        <v>0</v>
      </c>
      <c r="N506" s="33">
        <f>IF($AV506=0,0,
IF(Investment_Strategy="DIS",VLOOKUP(Investment_Strategy&amp;"_"&amp;Investment_Strategy_Sub1&amp;"_"&amp;$A506,'Investment Strategies'!$AZ:$BP,17,FALSE),
IF(AND(Investment_Strategy="Lifecycle",Investment_Strategy_Sub1="Non-Standard"),VLOOKUP(Investment_Strategy&amp;"_"&amp;Investment_Strategy_Sub2&amp;"_"&amp;$A506,'Investment Strategies'!$C:$P,14,FALSE),
IF(AND(Investment_Strategy="Lifecycle",Investment_Strategy_Sub1="Standard"),VLOOKUP(Investment_Strategy&amp;"_"&amp;Investment_Strategy_Sub2&amp;"_"&amp;$A506,'Investment Strategies'!$AJ:$AV,13,FALSE),
IF(AND(Investment_Strategy="Autopilot",Investment_Strategy_Sub1="Non-Standard"),VLOOKUP(Investment_Strategy&amp;"_"&amp;Investment_Strategy_Sub2&amp;"_"&amp;$A506,'Investment Strategies'!$T:$AF,13,FALSE),
IF(Investment_Strategy="DIY",DIY_ExtManChrge_SP,
"Error"))))))</f>
        <v>0</v>
      </c>
      <c r="O506" s="16">
        <f t="shared" si="301"/>
        <v>0</v>
      </c>
      <c r="Q506" s="16">
        <f t="shared" si="278"/>
        <v>0</v>
      </c>
      <c r="R506" s="16">
        <f t="shared" si="274"/>
        <v>0</v>
      </c>
      <c r="S506" s="16">
        <f>(SRP_SP+SUM(S$91:S505))*L506*IF(D506=$A$91,SRP_finalmonthfactor,1)</f>
        <v>0</v>
      </c>
      <c r="T506" s="74">
        <f>MIN(IF($AV506=0,0,
IF(Investment_Strategy="DIS",VLOOKUP(Investment_Strategy&amp;"_"&amp;Investment_Strategy_Sub1&amp;"_"&amp;$A506,'Investment Strategies'!$AZ:$BP,12,FALSE),
IF(AND(Investment_Strategy="Lifecycle",Investment_Strategy_Sub1="Non-Standard"),VLOOKUP(Investment_Strategy&amp;"_"&amp;Investment_Strategy_Sub2&amp;"_"&amp;$A506,'Investment Strategies'!$C:$P,9,FALSE),
IF(AND(Investment_Strategy="Lifecycle",Investment_Strategy_Sub1="Standard"),VLOOKUP(Investment_Strategy&amp;"_"&amp;Investment_Strategy_Sub2&amp;"_"&amp;$A506,'Investment Strategies'!$AJ:$AV,8,FALSE),
IF(AND(Investment_Strategy="Autopilot",Investment_Strategy_Sub1="Non-Standard"),VLOOKUP(Investment_Strategy&amp;"_"&amp;Investment_Strategy_Sub2&amp;"_"&amp;$A506,'Investment Strategies'!$T:$AF,8,FALSE),
IF(Investment_Strategy ="DIY",DIY_RateOfReturn_FuturePremiums,
"Error")))))),Max_InvReturn)</f>
        <v>0</v>
      </c>
      <c r="U506" s="62">
        <f>IF($AV506=0,0,
IF(Investment_Strategy="DIS",VLOOKUP(Investment_Strategy&amp;"_"&amp;Investment_Strategy_Sub1&amp;"_"&amp;$A506,'Investment Strategies'!$AZ:$BP,15,FALSE),
IF(AND(Investment_Strategy="Lifecycle",Investment_Strategy_Sub1="Non-Standard"),VLOOKUP(Investment_Strategy&amp;"_"&amp;Investment_Strategy_Sub2&amp;"_"&amp;$A506,'Investment Strategies'!$C:$P,12,FALSE),
IF(AND(Investment_Strategy="Lifecycle",Investment_Strategy_Sub1="Standard"),VLOOKUP(Investment_Strategy&amp;"_"&amp;Investment_Strategy_Sub2&amp;"_"&amp;$A506,'Investment Strategies'!$AJ:$AV,11,FALSE),
IF(AND(Investment_Strategy="Autopilot",Investment_Strategy_Sub1="Non-Standard"),VLOOKUP(Investment_Strategy&amp;"_"&amp;Investment_Strategy_Sub2&amp;"_"&amp;$A506,'Investment Strategies'!$T:$AF,11,FALSE),
IF(Investment_Strategy="DIY",DIY_GteeChrge_FuturePremiums,
"Error"))))))</f>
        <v>0</v>
      </c>
      <c r="V506" s="33">
        <f>IF(AV506=0,0,
IF(Investment_Strategy="DIS",VLOOKUP(Investment_Strategy&amp;"_"&amp;Investment_Strategy_Sub1&amp;"_"&amp;$A506,'Investment Strategies'!$AZ:$BP,17,FALSE),
IF(AND(Investment_Strategy="Lifecycle",Investment_Strategy_Sub1="Non-Standard"),VLOOKUP(Investment_Strategy&amp;"_"&amp;Investment_Strategy_Sub2&amp;"_"&amp;$A506,'Investment Strategies'!$C:$P,14,FALSE),
IF(AND(Investment_Strategy="Lifecycle",Investment_Strategy_Sub1="Standard"),VLOOKUP(Investment_Strategy&amp;"_"&amp;Investment_Strategy_Sub2&amp;"_"&amp;$A506,'Investment Strategies'!$AJ:$AV,13,FALSE),
IF(AND(Investment_Strategy="Autopilot",Investment_Strategy_Sub1="Non-Standard"),VLOOKUP(Investment_Strategy&amp;"_"&amp;Investment_Strategy_Sub2&amp;"_"&amp;$A506,'Investment Strategies'!$T:$AF,13,FALSE),
IF(Investment_Strategy="DIY",DIY_ExtManChrge_FuturePremiums,
"Error"))))))</f>
        <v>0</v>
      </c>
      <c r="W506" s="16">
        <f t="shared" si="302"/>
        <v>0</v>
      </c>
      <c r="X506" s="16">
        <f t="shared" si="279"/>
        <v>0</v>
      </c>
      <c r="Y506" s="16">
        <f t="shared" si="280"/>
        <v>0</v>
      </c>
      <c r="Z506" s="31">
        <f t="shared" si="281"/>
        <v>0.02</v>
      </c>
      <c r="AA506" s="16">
        <f t="shared" si="282"/>
        <v>0</v>
      </c>
      <c r="AB506" s="28">
        <f t="shared" si="303"/>
        <v>0</v>
      </c>
      <c r="AC506" s="28">
        <f>(SUM($AC$91:AC505)+SUM($X$91:X505)+X506)*T506*IF(D506=$A$91,SRP_finalmonthfactor,1)</f>
        <v>0</v>
      </c>
      <c r="AD506" s="16">
        <f t="shared" si="283"/>
        <v>0</v>
      </c>
      <c r="AE506" s="106"/>
      <c r="AF506" s="16">
        <f t="shared" si="291"/>
        <v>0</v>
      </c>
      <c r="AG506" s="16">
        <f t="shared" si="292"/>
        <v>0</v>
      </c>
      <c r="AH506" s="16">
        <f t="shared" si="293"/>
        <v>0</v>
      </c>
      <c r="AJ506" s="13">
        <f t="shared" si="306"/>
        <v>0</v>
      </c>
      <c r="AK506" s="13">
        <f t="shared" si="306"/>
        <v>0</v>
      </c>
      <c r="AL506" s="13">
        <f t="shared" si="306"/>
        <v>0</v>
      </c>
      <c r="AM506" s="13">
        <f t="shared" si="306"/>
        <v>0</v>
      </c>
      <c r="AN506" s="13">
        <f t="shared" si="306"/>
        <v>0</v>
      </c>
      <c r="AO506" s="13">
        <f t="shared" si="306"/>
        <v>1</v>
      </c>
      <c r="AP506" s="13">
        <f t="shared" si="306"/>
        <v>1</v>
      </c>
      <c r="AQ506" s="13">
        <f t="shared" si="306"/>
        <v>1</v>
      </c>
      <c r="AR506" s="13">
        <f t="shared" si="306"/>
        <v>0</v>
      </c>
      <c r="AS506" s="13">
        <f t="shared" si="306"/>
        <v>0</v>
      </c>
      <c r="AT506" s="13">
        <f t="shared" si="306"/>
        <v>1</v>
      </c>
      <c r="AU506" s="13">
        <f t="shared" si="306"/>
        <v>1</v>
      </c>
      <c r="AV506" s="13">
        <f t="shared" si="284"/>
        <v>0</v>
      </c>
      <c r="AW506" s="13">
        <f t="shared" si="285"/>
        <v>1</v>
      </c>
      <c r="AY506" s="17">
        <f t="shared" si="286"/>
        <v>416</v>
      </c>
      <c r="AZ506" s="28">
        <f t="shared" si="294"/>
        <v>0</v>
      </c>
      <c r="BA506" s="13">
        <f t="shared" si="287"/>
        <v>0</v>
      </c>
      <c r="BB506" s="13">
        <f t="shared" si="288"/>
        <v>0</v>
      </c>
      <c r="BC506" s="28">
        <f t="shared" si="295"/>
        <v>0</v>
      </c>
      <c r="BD506" s="28">
        <f t="shared" si="296"/>
        <v>0</v>
      </c>
      <c r="BF506" s="248">
        <f t="shared" si="297"/>
        <v>993869.29442638322</v>
      </c>
    </row>
    <row r="507" spans="1:58">
      <c r="A507" s="32">
        <f t="shared" si="298"/>
        <v>-332</v>
      </c>
      <c r="B507" s="32">
        <f t="shared" si="289"/>
        <v>87</v>
      </c>
      <c r="C507" s="32">
        <f t="shared" si="299"/>
        <v>35</v>
      </c>
      <c r="D507" s="32">
        <f t="shared" si="300"/>
        <v>417</v>
      </c>
      <c r="E507" s="74">
        <f>MIN(IF(AV507=0,0,
IF(Investment_Strategy="DIS",VLOOKUP(Investment_Strategy&amp;"_"&amp;Investment_Strategy_Sub1&amp;"_"&amp;$A507,'Investment Strategies'!$AZ:$BP,12,FALSE),
IF(AND(Investment_Strategy="Lifecycle",Investment_Strategy_Sub1="Non-Standard"),VLOOKUP(Investment_Strategy&amp;"_"&amp;Investment_Strategy_Sub2&amp;"_"&amp;$A507,'Investment Strategies'!$C:$P,9,FALSE),
IF(AND(Investment_Strategy="Lifecycle",Investment_Strategy_Sub1="Standard"),VLOOKUP(Investment_Strategy&amp;"_"&amp;Investment_Strategy_Sub2&amp;"_"&amp;$A507,'Investment Strategies'!$AJ:$AV,8,FALSE),
IF(AND(Investment_Strategy="Autopilot",Investment_Strategy_Sub1="Non-Standard"),VLOOKUP(Investment_Strategy&amp;"_"&amp;Investment_Strategy_Sub2&amp;"_"&amp;$A507,'Investment Strategies'!$T:$AF,8,FALSE),
IF(Investment_Strategy ="DIY",DIY_RateOfReturn_CurrentFunds,
"Error")))))),Max_InvReturn)</f>
        <v>0</v>
      </c>
      <c r="F507" s="62">
        <f>IF(AV507=0,0,
IF(Investment_Strategy="DIS",VLOOKUP(Investment_Strategy&amp;"_"&amp;Investment_Strategy_Sub1&amp;"_"&amp;$A507,'Investment Strategies'!$AZ:$BP,15,FALSE),
IF(AND(Investment_Strategy="Lifecycle",Investment_Strategy_Sub1="Non-Standard"),VLOOKUP(Investment_Strategy&amp;"_"&amp;Investment_Strategy_Sub2&amp;"_"&amp;$A507,'Investment Strategies'!$C:$P,12,FALSE),
IF(AND(Investment_Strategy="Lifecycle",Investment_Strategy_Sub1="Standard"),VLOOKUP(Investment_Strategy&amp;"_"&amp;Investment_Strategy_Sub2&amp;"_"&amp;$A507,'Investment Strategies'!$AJ:$AV,11,FALSE),
IF(AND(Investment_Strategy="Autopilot",Investment_Strategy_Sub1="Non-Standard"),VLOOKUP(Investment_Strategy&amp;"_"&amp;Investment_Strategy_Sub2&amp;"_"&amp;$A507,'Investment Strategies'!$T:$AF,11,FALSE),
IF(Investment_Strategy="DIY",DIY_GteeChrge_CurrentFunds,
"Error"))))))</f>
        <v>0</v>
      </c>
      <c r="G507" s="33">
        <f>IF(AV507=0,0,
IF(Investment_Strategy="DIS",VLOOKUP(Investment_Strategy&amp;"_"&amp;Investment_Strategy_Sub1&amp;"_"&amp;$A507,'Investment Strategies'!$AZ:$BP,17,FALSE),
IF(AND(Investment_Strategy="Lifecycle",Investment_Strategy_Sub1="Non-Standard"),VLOOKUP(Investment_Strategy&amp;"_"&amp;Investment_Strategy_Sub2&amp;"_"&amp;$A507,'Investment Strategies'!$C:$P,14,FALSE),
IF(AND(Investment_Strategy="Lifecycle",Investment_Strategy_Sub1="Standard"),VLOOKUP(Investment_Strategy&amp;"_"&amp;Investment_Strategy_Sub2&amp;"_"&amp;$A507,'Investment Strategies'!$AJ:$AV,13,FALSE),
IF(AND(Investment_Strategy="Autopilot",Investment_Strategy_Sub1="Non-Standard"),VLOOKUP(Investment_Strategy&amp;"_"&amp;Investment_Strategy_Sub2&amp;"_"&amp;$A507,'Investment Strategies'!$T:$AF,13,FALSE),
IF(Investment_Strategy="DIY",DIY_ExtManChrge_CurrentFunds,
"Error"))))))</f>
        <v>0</v>
      </c>
      <c r="H507" s="16">
        <f t="shared" si="290"/>
        <v>0</v>
      </c>
      <c r="I507" s="16">
        <f t="shared" si="276"/>
        <v>0</v>
      </c>
      <c r="J507" s="16">
        <f t="shared" si="277"/>
        <v>0</v>
      </c>
      <c r="K507" s="16">
        <f>(Opening_Fund_Value+SUM(K$91:K506))*E507*IF(D507=$A$91,SRP_finalmonthfactor,1)</f>
        <v>0</v>
      </c>
      <c r="L507" s="74">
        <f>MIN(IF($AV507=0,0,
IF(Investment_Strategy="DIS",VLOOKUP(Investment_Strategy&amp;"_"&amp;Investment_Strategy_Sub1&amp;"_"&amp;$A507,'Investment Strategies'!$AZ:$BP,12,FALSE),
IF(AND(Investment_Strategy="Lifecycle",Investment_Strategy_Sub1="Non-Standard"),VLOOKUP(Investment_Strategy&amp;"_"&amp;Investment_Strategy_Sub2&amp;"_"&amp;$A507,'Investment Strategies'!$C:$P,9,FALSE),
IF(AND(Investment_Strategy="Lifecycle",Investment_Strategy_Sub1="Standard"),VLOOKUP(Investment_Strategy&amp;"_"&amp;Investment_Strategy_Sub2&amp;"_"&amp;$A507,'Investment Strategies'!$AJ:$AV,8,FALSE),
IF(AND(Investment_Strategy="Autopilot",Investment_Strategy_Sub1="Non-Standard"),VLOOKUP(Investment_Strategy&amp;"_"&amp;Investment_Strategy_Sub2&amp;"_"&amp;$A507,'Investment Strategies'!$T:$AF,8,FALSE),
IF(Investment_Strategy ="DIY",DIY_RateofReturn_SP,
"Error")))))),Max_InvReturn)</f>
        <v>0</v>
      </c>
      <c r="M507" s="62">
        <f>IF($AV507=0,0,
IF(Investment_Strategy="DIS",VLOOKUP(Investment_Strategy&amp;"_"&amp;Investment_Strategy_Sub1&amp;"_"&amp;$A507,'Investment Strategies'!$AZ:$BP,15,FALSE),
IF(AND(Investment_Strategy="Lifecycle",Investment_Strategy_Sub1="Non-Standard"),VLOOKUP(Investment_Strategy&amp;"_"&amp;Investment_Strategy_Sub2&amp;"_"&amp;$A507,'Investment Strategies'!$C:$P,12,FALSE),
IF(AND(Investment_Strategy="Lifecycle",Investment_Strategy_Sub1="Standard"),VLOOKUP(Investment_Strategy&amp;"_"&amp;Investment_Strategy_Sub2&amp;"_"&amp;$A507,'Investment Strategies'!$AJ:$AV,11,FALSE),
IF(AND(Investment_Strategy="Autopilot",Investment_Strategy_Sub1="Non-Standard"),VLOOKUP(Investment_Strategy&amp;"_"&amp;Investment_Strategy_Sub2&amp;"_"&amp;$A507,'Investment Strategies'!$T:$AF,11,FALSE),
IF(Investment_Strategy="DIY",DIY_GteeChrge_SP,
"Error"))))))</f>
        <v>0</v>
      </c>
      <c r="N507" s="33">
        <f>IF($AV507=0,0,
IF(Investment_Strategy="DIS",VLOOKUP(Investment_Strategy&amp;"_"&amp;Investment_Strategy_Sub1&amp;"_"&amp;$A507,'Investment Strategies'!$AZ:$BP,17,FALSE),
IF(AND(Investment_Strategy="Lifecycle",Investment_Strategy_Sub1="Non-Standard"),VLOOKUP(Investment_Strategy&amp;"_"&amp;Investment_Strategy_Sub2&amp;"_"&amp;$A507,'Investment Strategies'!$C:$P,14,FALSE),
IF(AND(Investment_Strategy="Lifecycle",Investment_Strategy_Sub1="Standard"),VLOOKUP(Investment_Strategy&amp;"_"&amp;Investment_Strategy_Sub2&amp;"_"&amp;$A507,'Investment Strategies'!$AJ:$AV,13,FALSE),
IF(AND(Investment_Strategy="Autopilot",Investment_Strategy_Sub1="Non-Standard"),VLOOKUP(Investment_Strategy&amp;"_"&amp;Investment_Strategy_Sub2&amp;"_"&amp;$A507,'Investment Strategies'!$T:$AF,13,FALSE),
IF(Investment_Strategy="DIY",DIY_ExtManChrge_SP,
"Error"))))))</f>
        <v>0</v>
      </c>
      <c r="O507" s="16">
        <f t="shared" si="301"/>
        <v>0</v>
      </c>
      <c r="Q507" s="16">
        <f t="shared" si="278"/>
        <v>0</v>
      </c>
      <c r="R507" s="16">
        <f t="shared" si="274"/>
        <v>0</v>
      </c>
      <c r="S507" s="16">
        <f>(SRP_SP+SUM(S$91:S506))*L507*IF(D507=$A$91,SRP_finalmonthfactor,1)</f>
        <v>0</v>
      </c>
      <c r="T507" s="74">
        <f>MIN(IF($AV507=0,0,
IF(Investment_Strategy="DIS",VLOOKUP(Investment_Strategy&amp;"_"&amp;Investment_Strategy_Sub1&amp;"_"&amp;$A507,'Investment Strategies'!$AZ:$BP,12,FALSE),
IF(AND(Investment_Strategy="Lifecycle",Investment_Strategy_Sub1="Non-Standard"),VLOOKUP(Investment_Strategy&amp;"_"&amp;Investment_Strategy_Sub2&amp;"_"&amp;$A507,'Investment Strategies'!$C:$P,9,FALSE),
IF(AND(Investment_Strategy="Lifecycle",Investment_Strategy_Sub1="Standard"),VLOOKUP(Investment_Strategy&amp;"_"&amp;Investment_Strategy_Sub2&amp;"_"&amp;$A507,'Investment Strategies'!$AJ:$AV,8,FALSE),
IF(AND(Investment_Strategy="Autopilot",Investment_Strategy_Sub1="Non-Standard"),VLOOKUP(Investment_Strategy&amp;"_"&amp;Investment_Strategy_Sub2&amp;"_"&amp;$A507,'Investment Strategies'!$T:$AF,8,FALSE),
IF(Investment_Strategy ="DIY",DIY_RateOfReturn_FuturePremiums,
"Error")))))),Max_InvReturn)</f>
        <v>0</v>
      </c>
      <c r="U507" s="62">
        <f>IF($AV507=0,0,
IF(Investment_Strategy="DIS",VLOOKUP(Investment_Strategy&amp;"_"&amp;Investment_Strategy_Sub1&amp;"_"&amp;$A507,'Investment Strategies'!$AZ:$BP,15,FALSE),
IF(AND(Investment_Strategy="Lifecycle",Investment_Strategy_Sub1="Non-Standard"),VLOOKUP(Investment_Strategy&amp;"_"&amp;Investment_Strategy_Sub2&amp;"_"&amp;$A507,'Investment Strategies'!$C:$P,12,FALSE),
IF(AND(Investment_Strategy="Lifecycle",Investment_Strategy_Sub1="Standard"),VLOOKUP(Investment_Strategy&amp;"_"&amp;Investment_Strategy_Sub2&amp;"_"&amp;$A507,'Investment Strategies'!$AJ:$AV,11,FALSE),
IF(AND(Investment_Strategy="Autopilot",Investment_Strategy_Sub1="Non-Standard"),VLOOKUP(Investment_Strategy&amp;"_"&amp;Investment_Strategy_Sub2&amp;"_"&amp;$A507,'Investment Strategies'!$T:$AF,11,FALSE),
IF(Investment_Strategy="DIY",DIY_GteeChrge_FuturePremiums,
"Error"))))))</f>
        <v>0</v>
      </c>
      <c r="V507" s="33">
        <f>IF(AV507=0,0,
IF(Investment_Strategy="DIS",VLOOKUP(Investment_Strategy&amp;"_"&amp;Investment_Strategy_Sub1&amp;"_"&amp;$A507,'Investment Strategies'!$AZ:$BP,17,FALSE),
IF(AND(Investment_Strategy="Lifecycle",Investment_Strategy_Sub1="Non-Standard"),VLOOKUP(Investment_Strategy&amp;"_"&amp;Investment_Strategy_Sub2&amp;"_"&amp;$A507,'Investment Strategies'!$C:$P,14,FALSE),
IF(AND(Investment_Strategy="Lifecycle",Investment_Strategy_Sub1="Standard"),VLOOKUP(Investment_Strategy&amp;"_"&amp;Investment_Strategy_Sub2&amp;"_"&amp;$A507,'Investment Strategies'!$AJ:$AV,13,FALSE),
IF(AND(Investment_Strategy="Autopilot",Investment_Strategy_Sub1="Non-Standard"),VLOOKUP(Investment_Strategy&amp;"_"&amp;Investment_Strategy_Sub2&amp;"_"&amp;$A507,'Investment Strategies'!$T:$AF,13,FALSE),
IF(Investment_Strategy="DIY",DIY_ExtManChrge_FuturePremiums,
"Error"))))))</f>
        <v>0</v>
      </c>
      <c r="W507" s="16">
        <f t="shared" si="302"/>
        <v>0</v>
      </c>
      <c r="X507" s="16">
        <f t="shared" si="279"/>
        <v>0</v>
      </c>
      <c r="Y507" s="16">
        <f t="shared" si="280"/>
        <v>0</v>
      </c>
      <c r="Z507" s="31">
        <f t="shared" si="281"/>
        <v>0.02</v>
      </c>
      <c r="AA507" s="16">
        <f t="shared" si="282"/>
        <v>0</v>
      </c>
      <c r="AB507" s="28">
        <f t="shared" si="303"/>
        <v>0</v>
      </c>
      <c r="AC507" s="28">
        <f>(SUM($AC$91:AC506)+SUM($X$91:X506)+X507)*T507*IF(D507=$A$91,SRP_finalmonthfactor,1)</f>
        <v>0</v>
      </c>
      <c r="AD507" s="16">
        <f t="shared" si="283"/>
        <v>0</v>
      </c>
      <c r="AE507" s="106"/>
      <c r="AF507" s="16">
        <f t="shared" si="291"/>
        <v>0</v>
      </c>
      <c r="AG507" s="16">
        <f t="shared" si="292"/>
        <v>0</v>
      </c>
      <c r="AH507" s="16">
        <f t="shared" si="293"/>
        <v>0</v>
      </c>
      <c r="AJ507" s="13">
        <f t="shared" si="306"/>
        <v>0</v>
      </c>
      <c r="AK507" s="13">
        <f t="shared" si="306"/>
        <v>0</v>
      </c>
      <c r="AL507" s="13">
        <f t="shared" si="306"/>
        <v>0</v>
      </c>
      <c r="AM507" s="13">
        <f t="shared" si="306"/>
        <v>0</v>
      </c>
      <c r="AN507" s="13">
        <f t="shared" si="306"/>
        <v>0</v>
      </c>
      <c r="AO507" s="13">
        <f t="shared" si="306"/>
        <v>1</v>
      </c>
      <c r="AP507" s="13">
        <f t="shared" si="306"/>
        <v>1</v>
      </c>
      <c r="AQ507" s="13">
        <f t="shared" si="306"/>
        <v>1</v>
      </c>
      <c r="AR507" s="13">
        <f t="shared" si="306"/>
        <v>0</v>
      </c>
      <c r="AS507" s="13">
        <f t="shared" si="306"/>
        <v>0</v>
      </c>
      <c r="AT507" s="13">
        <f t="shared" si="306"/>
        <v>1</v>
      </c>
      <c r="AU507" s="13">
        <f t="shared" si="306"/>
        <v>1</v>
      </c>
      <c r="AV507" s="13">
        <f t="shared" si="284"/>
        <v>0</v>
      </c>
      <c r="AW507" s="13">
        <f t="shared" si="285"/>
        <v>1</v>
      </c>
      <c r="AY507" s="17">
        <f t="shared" si="286"/>
        <v>417</v>
      </c>
      <c r="AZ507" s="28">
        <f t="shared" si="294"/>
        <v>0</v>
      </c>
      <c r="BA507" s="13">
        <f t="shared" si="287"/>
        <v>0</v>
      </c>
      <c r="BB507" s="13">
        <f t="shared" si="288"/>
        <v>0</v>
      </c>
      <c r="BC507" s="28">
        <f t="shared" si="295"/>
        <v>0</v>
      </c>
      <c r="BD507" s="28">
        <f t="shared" si="296"/>
        <v>0</v>
      </c>
      <c r="BF507" s="248">
        <f t="shared" si="297"/>
        <v>993869.29442638322</v>
      </c>
    </row>
    <row r="508" spans="1:58">
      <c r="A508" s="32">
        <f t="shared" si="298"/>
        <v>-333</v>
      </c>
      <c r="B508" s="32">
        <f t="shared" si="289"/>
        <v>87</v>
      </c>
      <c r="C508" s="32">
        <f t="shared" si="299"/>
        <v>35</v>
      </c>
      <c r="D508" s="32">
        <f t="shared" si="300"/>
        <v>418</v>
      </c>
      <c r="E508" s="74">
        <f>MIN(IF(AV508=0,0,
IF(Investment_Strategy="DIS",VLOOKUP(Investment_Strategy&amp;"_"&amp;Investment_Strategy_Sub1&amp;"_"&amp;$A508,'Investment Strategies'!$AZ:$BP,12,FALSE),
IF(AND(Investment_Strategy="Lifecycle",Investment_Strategy_Sub1="Non-Standard"),VLOOKUP(Investment_Strategy&amp;"_"&amp;Investment_Strategy_Sub2&amp;"_"&amp;$A508,'Investment Strategies'!$C:$P,9,FALSE),
IF(AND(Investment_Strategy="Lifecycle",Investment_Strategy_Sub1="Standard"),VLOOKUP(Investment_Strategy&amp;"_"&amp;Investment_Strategy_Sub2&amp;"_"&amp;$A508,'Investment Strategies'!$AJ:$AV,8,FALSE),
IF(AND(Investment_Strategy="Autopilot",Investment_Strategy_Sub1="Non-Standard"),VLOOKUP(Investment_Strategy&amp;"_"&amp;Investment_Strategy_Sub2&amp;"_"&amp;$A508,'Investment Strategies'!$T:$AF,8,FALSE),
IF(Investment_Strategy ="DIY",DIY_RateOfReturn_CurrentFunds,
"Error")))))),Max_InvReturn)</f>
        <v>0</v>
      </c>
      <c r="F508" s="62">
        <f>IF(AV508=0,0,
IF(Investment_Strategy="DIS",VLOOKUP(Investment_Strategy&amp;"_"&amp;Investment_Strategy_Sub1&amp;"_"&amp;$A508,'Investment Strategies'!$AZ:$BP,15,FALSE),
IF(AND(Investment_Strategy="Lifecycle",Investment_Strategy_Sub1="Non-Standard"),VLOOKUP(Investment_Strategy&amp;"_"&amp;Investment_Strategy_Sub2&amp;"_"&amp;$A508,'Investment Strategies'!$C:$P,12,FALSE),
IF(AND(Investment_Strategy="Lifecycle",Investment_Strategy_Sub1="Standard"),VLOOKUP(Investment_Strategy&amp;"_"&amp;Investment_Strategy_Sub2&amp;"_"&amp;$A508,'Investment Strategies'!$AJ:$AV,11,FALSE),
IF(AND(Investment_Strategy="Autopilot",Investment_Strategy_Sub1="Non-Standard"),VLOOKUP(Investment_Strategy&amp;"_"&amp;Investment_Strategy_Sub2&amp;"_"&amp;$A508,'Investment Strategies'!$T:$AF,11,FALSE),
IF(Investment_Strategy="DIY",DIY_GteeChrge_CurrentFunds,
"Error"))))))</f>
        <v>0</v>
      </c>
      <c r="G508" s="33">
        <f>IF(AV508=0,0,
IF(Investment_Strategy="DIS",VLOOKUP(Investment_Strategy&amp;"_"&amp;Investment_Strategy_Sub1&amp;"_"&amp;$A508,'Investment Strategies'!$AZ:$BP,17,FALSE),
IF(AND(Investment_Strategy="Lifecycle",Investment_Strategy_Sub1="Non-Standard"),VLOOKUP(Investment_Strategy&amp;"_"&amp;Investment_Strategy_Sub2&amp;"_"&amp;$A508,'Investment Strategies'!$C:$P,14,FALSE),
IF(AND(Investment_Strategy="Lifecycle",Investment_Strategy_Sub1="Standard"),VLOOKUP(Investment_Strategy&amp;"_"&amp;Investment_Strategy_Sub2&amp;"_"&amp;$A508,'Investment Strategies'!$AJ:$AV,13,FALSE),
IF(AND(Investment_Strategy="Autopilot",Investment_Strategy_Sub1="Non-Standard"),VLOOKUP(Investment_Strategy&amp;"_"&amp;Investment_Strategy_Sub2&amp;"_"&amp;$A508,'Investment Strategies'!$T:$AF,13,FALSE),
IF(Investment_Strategy="DIY",DIY_ExtManChrge_CurrentFunds,
"Error"))))))</f>
        <v>0</v>
      </c>
      <c r="H508" s="16">
        <f t="shared" si="290"/>
        <v>0</v>
      </c>
      <c r="I508" s="16">
        <f t="shared" si="276"/>
        <v>0</v>
      </c>
      <c r="J508" s="16">
        <f t="shared" si="277"/>
        <v>0</v>
      </c>
      <c r="K508" s="16">
        <f>(Opening_Fund_Value+SUM(K$91:K507))*E508*IF(D508=$A$91,SRP_finalmonthfactor,1)</f>
        <v>0</v>
      </c>
      <c r="L508" s="74">
        <f>MIN(IF($AV508=0,0,
IF(Investment_Strategy="DIS",VLOOKUP(Investment_Strategy&amp;"_"&amp;Investment_Strategy_Sub1&amp;"_"&amp;$A508,'Investment Strategies'!$AZ:$BP,12,FALSE),
IF(AND(Investment_Strategy="Lifecycle",Investment_Strategy_Sub1="Non-Standard"),VLOOKUP(Investment_Strategy&amp;"_"&amp;Investment_Strategy_Sub2&amp;"_"&amp;$A508,'Investment Strategies'!$C:$P,9,FALSE),
IF(AND(Investment_Strategy="Lifecycle",Investment_Strategy_Sub1="Standard"),VLOOKUP(Investment_Strategy&amp;"_"&amp;Investment_Strategy_Sub2&amp;"_"&amp;$A508,'Investment Strategies'!$AJ:$AV,8,FALSE),
IF(AND(Investment_Strategy="Autopilot",Investment_Strategy_Sub1="Non-Standard"),VLOOKUP(Investment_Strategy&amp;"_"&amp;Investment_Strategy_Sub2&amp;"_"&amp;$A508,'Investment Strategies'!$T:$AF,8,FALSE),
IF(Investment_Strategy ="DIY",DIY_RateofReturn_SP,
"Error")))))),Max_InvReturn)</f>
        <v>0</v>
      </c>
      <c r="M508" s="62">
        <f>IF($AV508=0,0,
IF(Investment_Strategy="DIS",VLOOKUP(Investment_Strategy&amp;"_"&amp;Investment_Strategy_Sub1&amp;"_"&amp;$A508,'Investment Strategies'!$AZ:$BP,15,FALSE),
IF(AND(Investment_Strategy="Lifecycle",Investment_Strategy_Sub1="Non-Standard"),VLOOKUP(Investment_Strategy&amp;"_"&amp;Investment_Strategy_Sub2&amp;"_"&amp;$A508,'Investment Strategies'!$C:$P,12,FALSE),
IF(AND(Investment_Strategy="Lifecycle",Investment_Strategy_Sub1="Standard"),VLOOKUP(Investment_Strategy&amp;"_"&amp;Investment_Strategy_Sub2&amp;"_"&amp;$A508,'Investment Strategies'!$AJ:$AV,11,FALSE),
IF(AND(Investment_Strategy="Autopilot",Investment_Strategy_Sub1="Non-Standard"),VLOOKUP(Investment_Strategy&amp;"_"&amp;Investment_Strategy_Sub2&amp;"_"&amp;$A508,'Investment Strategies'!$T:$AF,11,FALSE),
IF(Investment_Strategy="DIY",DIY_GteeChrge_SP,
"Error"))))))</f>
        <v>0</v>
      </c>
      <c r="N508" s="33">
        <f>IF($AV508=0,0,
IF(Investment_Strategy="DIS",VLOOKUP(Investment_Strategy&amp;"_"&amp;Investment_Strategy_Sub1&amp;"_"&amp;$A508,'Investment Strategies'!$AZ:$BP,17,FALSE),
IF(AND(Investment_Strategy="Lifecycle",Investment_Strategy_Sub1="Non-Standard"),VLOOKUP(Investment_Strategy&amp;"_"&amp;Investment_Strategy_Sub2&amp;"_"&amp;$A508,'Investment Strategies'!$C:$P,14,FALSE),
IF(AND(Investment_Strategy="Lifecycle",Investment_Strategy_Sub1="Standard"),VLOOKUP(Investment_Strategy&amp;"_"&amp;Investment_Strategy_Sub2&amp;"_"&amp;$A508,'Investment Strategies'!$AJ:$AV,13,FALSE),
IF(AND(Investment_Strategy="Autopilot",Investment_Strategy_Sub1="Non-Standard"),VLOOKUP(Investment_Strategy&amp;"_"&amp;Investment_Strategy_Sub2&amp;"_"&amp;$A508,'Investment Strategies'!$T:$AF,13,FALSE),
IF(Investment_Strategy="DIY",DIY_ExtManChrge_SP,
"Error"))))))</f>
        <v>0</v>
      </c>
      <c r="O508" s="16">
        <f t="shared" si="301"/>
        <v>0</v>
      </c>
      <c r="Q508" s="16">
        <f t="shared" si="278"/>
        <v>0</v>
      </c>
      <c r="R508" s="16">
        <f t="shared" si="274"/>
        <v>0</v>
      </c>
      <c r="S508" s="16">
        <f>(SRP_SP+SUM(S$91:S507))*L508*IF(D508=$A$91,SRP_finalmonthfactor,1)</f>
        <v>0</v>
      </c>
      <c r="T508" s="74">
        <f>MIN(IF($AV508=0,0,
IF(Investment_Strategy="DIS",VLOOKUP(Investment_Strategy&amp;"_"&amp;Investment_Strategy_Sub1&amp;"_"&amp;$A508,'Investment Strategies'!$AZ:$BP,12,FALSE),
IF(AND(Investment_Strategy="Lifecycle",Investment_Strategy_Sub1="Non-Standard"),VLOOKUP(Investment_Strategy&amp;"_"&amp;Investment_Strategy_Sub2&amp;"_"&amp;$A508,'Investment Strategies'!$C:$P,9,FALSE),
IF(AND(Investment_Strategy="Lifecycle",Investment_Strategy_Sub1="Standard"),VLOOKUP(Investment_Strategy&amp;"_"&amp;Investment_Strategy_Sub2&amp;"_"&amp;$A508,'Investment Strategies'!$AJ:$AV,8,FALSE),
IF(AND(Investment_Strategy="Autopilot",Investment_Strategy_Sub1="Non-Standard"),VLOOKUP(Investment_Strategy&amp;"_"&amp;Investment_Strategy_Sub2&amp;"_"&amp;$A508,'Investment Strategies'!$T:$AF,8,FALSE),
IF(Investment_Strategy ="DIY",DIY_RateOfReturn_FuturePremiums,
"Error")))))),Max_InvReturn)</f>
        <v>0</v>
      </c>
      <c r="U508" s="62">
        <f>IF($AV508=0,0,
IF(Investment_Strategy="DIS",VLOOKUP(Investment_Strategy&amp;"_"&amp;Investment_Strategy_Sub1&amp;"_"&amp;$A508,'Investment Strategies'!$AZ:$BP,15,FALSE),
IF(AND(Investment_Strategy="Lifecycle",Investment_Strategy_Sub1="Non-Standard"),VLOOKUP(Investment_Strategy&amp;"_"&amp;Investment_Strategy_Sub2&amp;"_"&amp;$A508,'Investment Strategies'!$C:$P,12,FALSE),
IF(AND(Investment_Strategy="Lifecycle",Investment_Strategy_Sub1="Standard"),VLOOKUP(Investment_Strategy&amp;"_"&amp;Investment_Strategy_Sub2&amp;"_"&amp;$A508,'Investment Strategies'!$AJ:$AV,11,FALSE),
IF(AND(Investment_Strategy="Autopilot",Investment_Strategy_Sub1="Non-Standard"),VLOOKUP(Investment_Strategy&amp;"_"&amp;Investment_Strategy_Sub2&amp;"_"&amp;$A508,'Investment Strategies'!$T:$AF,11,FALSE),
IF(Investment_Strategy="DIY",DIY_GteeChrge_FuturePremiums,
"Error"))))))</f>
        <v>0</v>
      </c>
      <c r="V508" s="33">
        <f>IF(AV508=0,0,
IF(Investment_Strategy="DIS",VLOOKUP(Investment_Strategy&amp;"_"&amp;Investment_Strategy_Sub1&amp;"_"&amp;$A508,'Investment Strategies'!$AZ:$BP,17,FALSE),
IF(AND(Investment_Strategy="Lifecycle",Investment_Strategy_Sub1="Non-Standard"),VLOOKUP(Investment_Strategy&amp;"_"&amp;Investment_Strategy_Sub2&amp;"_"&amp;$A508,'Investment Strategies'!$C:$P,14,FALSE),
IF(AND(Investment_Strategy="Lifecycle",Investment_Strategy_Sub1="Standard"),VLOOKUP(Investment_Strategy&amp;"_"&amp;Investment_Strategy_Sub2&amp;"_"&amp;$A508,'Investment Strategies'!$AJ:$AV,13,FALSE),
IF(AND(Investment_Strategy="Autopilot",Investment_Strategy_Sub1="Non-Standard"),VLOOKUP(Investment_Strategy&amp;"_"&amp;Investment_Strategy_Sub2&amp;"_"&amp;$A508,'Investment Strategies'!$T:$AF,13,FALSE),
IF(Investment_Strategy="DIY",DIY_ExtManChrge_FuturePremiums,
"Error"))))))</f>
        <v>0</v>
      </c>
      <c r="W508" s="16">
        <f t="shared" si="302"/>
        <v>0</v>
      </c>
      <c r="X508" s="16">
        <f t="shared" si="279"/>
        <v>0</v>
      </c>
      <c r="Y508" s="16">
        <f t="shared" si="280"/>
        <v>0</v>
      </c>
      <c r="Z508" s="31">
        <f t="shared" si="281"/>
        <v>0.02</v>
      </c>
      <c r="AA508" s="16">
        <f t="shared" si="282"/>
        <v>0</v>
      </c>
      <c r="AB508" s="28">
        <f t="shared" si="303"/>
        <v>0</v>
      </c>
      <c r="AC508" s="28">
        <f>(SUM($AC$91:AC507)+SUM($X$91:X507)+X508)*T508*IF(D508=$A$91,SRP_finalmonthfactor,1)</f>
        <v>0</v>
      </c>
      <c r="AD508" s="16">
        <f t="shared" si="283"/>
        <v>0</v>
      </c>
      <c r="AE508" s="106"/>
      <c r="AF508" s="16">
        <f t="shared" si="291"/>
        <v>0</v>
      </c>
      <c r="AG508" s="16">
        <f t="shared" si="292"/>
        <v>0</v>
      </c>
      <c r="AH508" s="16">
        <f t="shared" si="293"/>
        <v>0</v>
      </c>
      <c r="AJ508" s="13">
        <f t="shared" si="306"/>
        <v>0</v>
      </c>
      <c r="AK508" s="13">
        <f t="shared" si="306"/>
        <v>0</v>
      </c>
      <c r="AL508" s="13">
        <f t="shared" si="306"/>
        <v>0</v>
      </c>
      <c r="AM508" s="13">
        <f t="shared" si="306"/>
        <v>0</v>
      </c>
      <c r="AN508" s="13">
        <f t="shared" si="306"/>
        <v>0</v>
      </c>
      <c r="AO508" s="13">
        <f t="shared" si="306"/>
        <v>1</v>
      </c>
      <c r="AP508" s="13">
        <f t="shared" si="306"/>
        <v>1</v>
      </c>
      <c r="AQ508" s="13">
        <f t="shared" si="306"/>
        <v>1</v>
      </c>
      <c r="AR508" s="13">
        <f t="shared" si="306"/>
        <v>0</v>
      </c>
      <c r="AS508" s="13">
        <f t="shared" si="306"/>
        <v>0</v>
      </c>
      <c r="AT508" s="13">
        <f t="shared" si="306"/>
        <v>1</v>
      </c>
      <c r="AU508" s="13">
        <f t="shared" si="306"/>
        <v>1</v>
      </c>
      <c r="AV508" s="13">
        <f t="shared" si="284"/>
        <v>0</v>
      </c>
      <c r="AW508" s="13">
        <f t="shared" si="285"/>
        <v>1</v>
      </c>
      <c r="AY508" s="17">
        <f t="shared" si="286"/>
        <v>418</v>
      </c>
      <c r="AZ508" s="28">
        <f t="shared" si="294"/>
        <v>0</v>
      </c>
      <c r="BA508" s="13">
        <f t="shared" si="287"/>
        <v>0</v>
      </c>
      <c r="BB508" s="13">
        <f t="shared" si="288"/>
        <v>0</v>
      </c>
      <c r="BC508" s="28">
        <f t="shared" si="295"/>
        <v>0</v>
      </c>
      <c r="BD508" s="28">
        <f t="shared" si="296"/>
        <v>0</v>
      </c>
      <c r="BF508" s="248">
        <f t="shared" si="297"/>
        <v>993869.29442638322</v>
      </c>
    </row>
    <row r="509" spans="1:58">
      <c r="A509" s="32">
        <f t="shared" si="298"/>
        <v>-334</v>
      </c>
      <c r="B509" s="32">
        <f t="shared" si="289"/>
        <v>87</v>
      </c>
      <c r="C509" s="32">
        <f t="shared" si="299"/>
        <v>35</v>
      </c>
      <c r="D509" s="32">
        <f t="shared" si="300"/>
        <v>419</v>
      </c>
      <c r="E509" s="74">
        <f>MIN(IF(AV509=0,0,
IF(Investment_Strategy="DIS",VLOOKUP(Investment_Strategy&amp;"_"&amp;Investment_Strategy_Sub1&amp;"_"&amp;$A509,'Investment Strategies'!$AZ:$BP,12,FALSE),
IF(AND(Investment_Strategy="Lifecycle",Investment_Strategy_Sub1="Non-Standard"),VLOOKUP(Investment_Strategy&amp;"_"&amp;Investment_Strategy_Sub2&amp;"_"&amp;$A509,'Investment Strategies'!$C:$P,9,FALSE),
IF(AND(Investment_Strategy="Lifecycle",Investment_Strategy_Sub1="Standard"),VLOOKUP(Investment_Strategy&amp;"_"&amp;Investment_Strategy_Sub2&amp;"_"&amp;$A509,'Investment Strategies'!$AJ:$AV,8,FALSE),
IF(AND(Investment_Strategy="Autopilot",Investment_Strategy_Sub1="Non-Standard"),VLOOKUP(Investment_Strategy&amp;"_"&amp;Investment_Strategy_Sub2&amp;"_"&amp;$A509,'Investment Strategies'!$T:$AF,8,FALSE),
IF(Investment_Strategy ="DIY",DIY_RateOfReturn_CurrentFunds,
"Error")))))),Max_InvReturn)</f>
        <v>0</v>
      </c>
      <c r="F509" s="62">
        <f>IF(AV509=0,0,
IF(Investment_Strategy="DIS",VLOOKUP(Investment_Strategy&amp;"_"&amp;Investment_Strategy_Sub1&amp;"_"&amp;$A509,'Investment Strategies'!$AZ:$BP,15,FALSE),
IF(AND(Investment_Strategy="Lifecycle",Investment_Strategy_Sub1="Non-Standard"),VLOOKUP(Investment_Strategy&amp;"_"&amp;Investment_Strategy_Sub2&amp;"_"&amp;$A509,'Investment Strategies'!$C:$P,12,FALSE),
IF(AND(Investment_Strategy="Lifecycle",Investment_Strategy_Sub1="Standard"),VLOOKUP(Investment_Strategy&amp;"_"&amp;Investment_Strategy_Sub2&amp;"_"&amp;$A509,'Investment Strategies'!$AJ:$AV,11,FALSE),
IF(AND(Investment_Strategy="Autopilot",Investment_Strategy_Sub1="Non-Standard"),VLOOKUP(Investment_Strategy&amp;"_"&amp;Investment_Strategy_Sub2&amp;"_"&amp;$A509,'Investment Strategies'!$T:$AF,11,FALSE),
IF(Investment_Strategy="DIY",DIY_GteeChrge_CurrentFunds,
"Error"))))))</f>
        <v>0</v>
      </c>
      <c r="G509" s="33">
        <f>IF(AV509=0,0,
IF(Investment_Strategy="DIS",VLOOKUP(Investment_Strategy&amp;"_"&amp;Investment_Strategy_Sub1&amp;"_"&amp;$A509,'Investment Strategies'!$AZ:$BP,17,FALSE),
IF(AND(Investment_Strategy="Lifecycle",Investment_Strategy_Sub1="Non-Standard"),VLOOKUP(Investment_Strategy&amp;"_"&amp;Investment_Strategy_Sub2&amp;"_"&amp;$A509,'Investment Strategies'!$C:$P,14,FALSE),
IF(AND(Investment_Strategy="Lifecycle",Investment_Strategy_Sub1="Standard"),VLOOKUP(Investment_Strategy&amp;"_"&amp;Investment_Strategy_Sub2&amp;"_"&amp;$A509,'Investment Strategies'!$AJ:$AV,13,FALSE),
IF(AND(Investment_Strategy="Autopilot",Investment_Strategy_Sub1="Non-Standard"),VLOOKUP(Investment_Strategy&amp;"_"&amp;Investment_Strategy_Sub2&amp;"_"&amp;$A509,'Investment Strategies'!$T:$AF,13,FALSE),
IF(Investment_Strategy="DIY",DIY_ExtManChrge_CurrentFunds,
"Error"))))))</f>
        <v>0</v>
      </c>
      <c r="H509" s="16">
        <f t="shared" si="290"/>
        <v>0</v>
      </c>
      <c r="I509" s="16">
        <f t="shared" si="276"/>
        <v>0</v>
      </c>
      <c r="J509" s="16">
        <f t="shared" si="277"/>
        <v>0</v>
      </c>
      <c r="K509" s="16">
        <f>(Opening_Fund_Value+SUM(K$91:K508))*E509*IF(D509=$A$91,SRP_finalmonthfactor,1)</f>
        <v>0</v>
      </c>
      <c r="L509" s="74">
        <f>MIN(IF($AV509=0,0,
IF(Investment_Strategy="DIS",VLOOKUP(Investment_Strategy&amp;"_"&amp;Investment_Strategy_Sub1&amp;"_"&amp;$A509,'Investment Strategies'!$AZ:$BP,12,FALSE),
IF(AND(Investment_Strategy="Lifecycle",Investment_Strategy_Sub1="Non-Standard"),VLOOKUP(Investment_Strategy&amp;"_"&amp;Investment_Strategy_Sub2&amp;"_"&amp;$A509,'Investment Strategies'!$C:$P,9,FALSE),
IF(AND(Investment_Strategy="Lifecycle",Investment_Strategy_Sub1="Standard"),VLOOKUP(Investment_Strategy&amp;"_"&amp;Investment_Strategy_Sub2&amp;"_"&amp;$A509,'Investment Strategies'!$AJ:$AV,8,FALSE),
IF(AND(Investment_Strategy="Autopilot",Investment_Strategy_Sub1="Non-Standard"),VLOOKUP(Investment_Strategy&amp;"_"&amp;Investment_Strategy_Sub2&amp;"_"&amp;$A509,'Investment Strategies'!$T:$AF,8,FALSE),
IF(Investment_Strategy ="DIY",DIY_RateofReturn_SP,
"Error")))))),Max_InvReturn)</f>
        <v>0</v>
      </c>
      <c r="M509" s="62">
        <f>IF($AV509=0,0,
IF(Investment_Strategy="DIS",VLOOKUP(Investment_Strategy&amp;"_"&amp;Investment_Strategy_Sub1&amp;"_"&amp;$A509,'Investment Strategies'!$AZ:$BP,15,FALSE),
IF(AND(Investment_Strategy="Lifecycle",Investment_Strategy_Sub1="Non-Standard"),VLOOKUP(Investment_Strategy&amp;"_"&amp;Investment_Strategy_Sub2&amp;"_"&amp;$A509,'Investment Strategies'!$C:$P,12,FALSE),
IF(AND(Investment_Strategy="Lifecycle",Investment_Strategy_Sub1="Standard"),VLOOKUP(Investment_Strategy&amp;"_"&amp;Investment_Strategy_Sub2&amp;"_"&amp;$A509,'Investment Strategies'!$AJ:$AV,11,FALSE),
IF(AND(Investment_Strategy="Autopilot",Investment_Strategy_Sub1="Non-Standard"),VLOOKUP(Investment_Strategy&amp;"_"&amp;Investment_Strategy_Sub2&amp;"_"&amp;$A509,'Investment Strategies'!$T:$AF,11,FALSE),
IF(Investment_Strategy="DIY",DIY_GteeChrge_SP,
"Error"))))))</f>
        <v>0</v>
      </c>
      <c r="N509" s="33">
        <f>IF($AV509=0,0,
IF(Investment_Strategy="DIS",VLOOKUP(Investment_Strategy&amp;"_"&amp;Investment_Strategy_Sub1&amp;"_"&amp;$A509,'Investment Strategies'!$AZ:$BP,17,FALSE),
IF(AND(Investment_Strategy="Lifecycle",Investment_Strategy_Sub1="Non-Standard"),VLOOKUP(Investment_Strategy&amp;"_"&amp;Investment_Strategy_Sub2&amp;"_"&amp;$A509,'Investment Strategies'!$C:$P,14,FALSE),
IF(AND(Investment_Strategy="Lifecycle",Investment_Strategy_Sub1="Standard"),VLOOKUP(Investment_Strategy&amp;"_"&amp;Investment_Strategy_Sub2&amp;"_"&amp;$A509,'Investment Strategies'!$AJ:$AV,13,FALSE),
IF(AND(Investment_Strategy="Autopilot",Investment_Strategy_Sub1="Non-Standard"),VLOOKUP(Investment_Strategy&amp;"_"&amp;Investment_Strategy_Sub2&amp;"_"&amp;$A509,'Investment Strategies'!$T:$AF,13,FALSE),
IF(Investment_Strategy="DIY",DIY_ExtManChrge_SP,
"Error"))))))</f>
        <v>0</v>
      </c>
      <c r="O509" s="16">
        <f t="shared" si="301"/>
        <v>0</v>
      </c>
      <c r="Q509" s="16">
        <f t="shared" si="278"/>
        <v>0</v>
      </c>
      <c r="R509" s="16">
        <f t="shared" si="274"/>
        <v>0</v>
      </c>
      <c r="S509" s="16">
        <f>(SRP_SP+SUM(S$91:S508))*L509*IF(D509=$A$91,SRP_finalmonthfactor,1)</f>
        <v>0</v>
      </c>
      <c r="T509" s="74">
        <f>MIN(IF($AV509=0,0,
IF(Investment_Strategy="DIS",VLOOKUP(Investment_Strategy&amp;"_"&amp;Investment_Strategy_Sub1&amp;"_"&amp;$A509,'Investment Strategies'!$AZ:$BP,12,FALSE),
IF(AND(Investment_Strategy="Lifecycle",Investment_Strategy_Sub1="Non-Standard"),VLOOKUP(Investment_Strategy&amp;"_"&amp;Investment_Strategy_Sub2&amp;"_"&amp;$A509,'Investment Strategies'!$C:$P,9,FALSE),
IF(AND(Investment_Strategy="Lifecycle",Investment_Strategy_Sub1="Standard"),VLOOKUP(Investment_Strategy&amp;"_"&amp;Investment_Strategy_Sub2&amp;"_"&amp;$A509,'Investment Strategies'!$AJ:$AV,8,FALSE),
IF(AND(Investment_Strategy="Autopilot",Investment_Strategy_Sub1="Non-Standard"),VLOOKUP(Investment_Strategy&amp;"_"&amp;Investment_Strategy_Sub2&amp;"_"&amp;$A509,'Investment Strategies'!$T:$AF,8,FALSE),
IF(Investment_Strategy ="DIY",DIY_RateOfReturn_FuturePremiums,
"Error")))))),Max_InvReturn)</f>
        <v>0</v>
      </c>
      <c r="U509" s="62">
        <f>IF($AV509=0,0,
IF(Investment_Strategy="DIS",VLOOKUP(Investment_Strategy&amp;"_"&amp;Investment_Strategy_Sub1&amp;"_"&amp;$A509,'Investment Strategies'!$AZ:$BP,15,FALSE),
IF(AND(Investment_Strategy="Lifecycle",Investment_Strategy_Sub1="Non-Standard"),VLOOKUP(Investment_Strategy&amp;"_"&amp;Investment_Strategy_Sub2&amp;"_"&amp;$A509,'Investment Strategies'!$C:$P,12,FALSE),
IF(AND(Investment_Strategy="Lifecycle",Investment_Strategy_Sub1="Standard"),VLOOKUP(Investment_Strategy&amp;"_"&amp;Investment_Strategy_Sub2&amp;"_"&amp;$A509,'Investment Strategies'!$AJ:$AV,11,FALSE),
IF(AND(Investment_Strategy="Autopilot",Investment_Strategy_Sub1="Non-Standard"),VLOOKUP(Investment_Strategy&amp;"_"&amp;Investment_Strategy_Sub2&amp;"_"&amp;$A509,'Investment Strategies'!$T:$AF,11,FALSE),
IF(Investment_Strategy="DIY",DIY_GteeChrge_FuturePremiums,
"Error"))))))</f>
        <v>0</v>
      </c>
      <c r="V509" s="33">
        <f>IF(AV509=0,0,
IF(Investment_Strategy="DIS",VLOOKUP(Investment_Strategy&amp;"_"&amp;Investment_Strategy_Sub1&amp;"_"&amp;$A509,'Investment Strategies'!$AZ:$BP,17,FALSE),
IF(AND(Investment_Strategy="Lifecycle",Investment_Strategy_Sub1="Non-Standard"),VLOOKUP(Investment_Strategy&amp;"_"&amp;Investment_Strategy_Sub2&amp;"_"&amp;$A509,'Investment Strategies'!$C:$P,14,FALSE),
IF(AND(Investment_Strategy="Lifecycle",Investment_Strategy_Sub1="Standard"),VLOOKUP(Investment_Strategy&amp;"_"&amp;Investment_Strategy_Sub2&amp;"_"&amp;$A509,'Investment Strategies'!$AJ:$AV,13,FALSE),
IF(AND(Investment_Strategy="Autopilot",Investment_Strategy_Sub1="Non-Standard"),VLOOKUP(Investment_Strategy&amp;"_"&amp;Investment_Strategy_Sub2&amp;"_"&amp;$A509,'Investment Strategies'!$T:$AF,13,FALSE),
IF(Investment_Strategy="DIY",DIY_ExtManChrge_FuturePremiums,
"Error"))))))</f>
        <v>0</v>
      </c>
      <c r="W509" s="16">
        <f t="shared" si="302"/>
        <v>0</v>
      </c>
      <c r="X509" s="16">
        <f t="shared" si="279"/>
        <v>0</v>
      </c>
      <c r="Y509" s="16">
        <f t="shared" si="280"/>
        <v>0</v>
      </c>
      <c r="Z509" s="31">
        <f t="shared" si="281"/>
        <v>0.02</v>
      </c>
      <c r="AA509" s="16">
        <f t="shared" si="282"/>
        <v>0</v>
      </c>
      <c r="AB509" s="28">
        <f t="shared" si="303"/>
        <v>0</v>
      </c>
      <c r="AC509" s="28">
        <f>(SUM($AC$91:AC508)+SUM($X$91:X508)+X509)*T509*IF(D509=$A$91,SRP_finalmonthfactor,1)</f>
        <v>0</v>
      </c>
      <c r="AD509" s="16">
        <f t="shared" si="283"/>
        <v>0</v>
      </c>
      <c r="AE509" s="106"/>
      <c r="AF509" s="16">
        <f t="shared" si="291"/>
        <v>0</v>
      </c>
      <c r="AG509" s="16">
        <f t="shared" si="292"/>
        <v>0</v>
      </c>
      <c r="AH509" s="16">
        <f t="shared" si="293"/>
        <v>0</v>
      </c>
      <c r="AJ509" s="13">
        <f t="shared" si="306"/>
        <v>0</v>
      </c>
      <c r="AK509" s="13">
        <f t="shared" si="306"/>
        <v>0</v>
      </c>
      <c r="AL509" s="13">
        <f t="shared" si="306"/>
        <v>0</v>
      </c>
      <c r="AM509" s="13">
        <f t="shared" si="306"/>
        <v>0</v>
      </c>
      <c r="AN509" s="13">
        <f t="shared" si="306"/>
        <v>0</v>
      </c>
      <c r="AO509" s="13">
        <f t="shared" si="306"/>
        <v>1</v>
      </c>
      <c r="AP509" s="13">
        <f t="shared" si="306"/>
        <v>1</v>
      </c>
      <c r="AQ509" s="13">
        <f t="shared" si="306"/>
        <v>1</v>
      </c>
      <c r="AR509" s="13">
        <f t="shared" si="306"/>
        <v>0</v>
      </c>
      <c r="AS509" s="13">
        <f t="shared" si="306"/>
        <v>0</v>
      </c>
      <c r="AT509" s="13">
        <f t="shared" si="306"/>
        <v>1</v>
      </c>
      <c r="AU509" s="13">
        <f t="shared" si="306"/>
        <v>1</v>
      </c>
      <c r="AV509" s="13">
        <f t="shared" si="284"/>
        <v>0</v>
      </c>
      <c r="AW509" s="13">
        <f t="shared" si="285"/>
        <v>1</v>
      </c>
      <c r="AY509" s="17">
        <f t="shared" si="286"/>
        <v>419</v>
      </c>
      <c r="AZ509" s="28">
        <f t="shared" si="294"/>
        <v>0</v>
      </c>
      <c r="BA509" s="13">
        <f t="shared" si="287"/>
        <v>0</v>
      </c>
      <c r="BB509" s="13">
        <f t="shared" si="288"/>
        <v>0</v>
      </c>
      <c r="BC509" s="28">
        <f t="shared" si="295"/>
        <v>0</v>
      </c>
      <c r="BD509" s="28">
        <f t="shared" si="296"/>
        <v>0</v>
      </c>
      <c r="BF509" s="248">
        <f t="shared" si="297"/>
        <v>993869.29442638322</v>
      </c>
    </row>
    <row r="510" spans="1:58">
      <c r="A510" s="32">
        <f t="shared" si="298"/>
        <v>-335</v>
      </c>
      <c r="B510" s="32">
        <f t="shared" si="289"/>
        <v>87</v>
      </c>
      <c r="C510" s="32">
        <f t="shared" si="299"/>
        <v>35</v>
      </c>
      <c r="D510" s="32">
        <f t="shared" si="300"/>
        <v>420</v>
      </c>
      <c r="E510" s="74">
        <f>MIN(IF(AV510=0,0,
IF(Investment_Strategy="DIS",VLOOKUP(Investment_Strategy&amp;"_"&amp;Investment_Strategy_Sub1&amp;"_"&amp;$A510,'Investment Strategies'!$AZ:$BP,12,FALSE),
IF(AND(Investment_Strategy="Lifecycle",Investment_Strategy_Sub1="Non-Standard"),VLOOKUP(Investment_Strategy&amp;"_"&amp;Investment_Strategy_Sub2&amp;"_"&amp;$A510,'Investment Strategies'!$C:$P,9,FALSE),
IF(AND(Investment_Strategy="Lifecycle",Investment_Strategy_Sub1="Standard"),VLOOKUP(Investment_Strategy&amp;"_"&amp;Investment_Strategy_Sub2&amp;"_"&amp;$A510,'Investment Strategies'!$AJ:$AV,8,FALSE),
IF(AND(Investment_Strategy="Autopilot",Investment_Strategy_Sub1="Non-Standard"),VLOOKUP(Investment_Strategy&amp;"_"&amp;Investment_Strategy_Sub2&amp;"_"&amp;$A510,'Investment Strategies'!$T:$AF,8,FALSE),
IF(Investment_Strategy ="DIY",DIY_RateOfReturn_CurrentFunds,
"Error")))))),Max_InvReturn)</f>
        <v>0</v>
      </c>
      <c r="F510" s="62">
        <f>IF(AV510=0,0,
IF(Investment_Strategy="DIS",VLOOKUP(Investment_Strategy&amp;"_"&amp;Investment_Strategy_Sub1&amp;"_"&amp;$A510,'Investment Strategies'!$AZ:$BP,15,FALSE),
IF(AND(Investment_Strategy="Lifecycle",Investment_Strategy_Sub1="Non-Standard"),VLOOKUP(Investment_Strategy&amp;"_"&amp;Investment_Strategy_Sub2&amp;"_"&amp;$A510,'Investment Strategies'!$C:$P,12,FALSE),
IF(AND(Investment_Strategy="Lifecycle",Investment_Strategy_Sub1="Standard"),VLOOKUP(Investment_Strategy&amp;"_"&amp;Investment_Strategy_Sub2&amp;"_"&amp;$A510,'Investment Strategies'!$AJ:$AV,11,FALSE),
IF(AND(Investment_Strategy="Autopilot",Investment_Strategy_Sub1="Non-Standard"),VLOOKUP(Investment_Strategy&amp;"_"&amp;Investment_Strategy_Sub2&amp;"_"&amp;$A510,'Investment Strategies'!$T:$AF,11,FALSE),
IF(Investment_Strategy="DIY",DIY_GteeChrge_CurrentFunds,
"Error"))))))</f>
        <v>0</v>
      </c>
      <c r="G510" s="33">
        <f>IF(AV510=0,0,
IF(Investment_Strategy="DIS",VLOOKUP(Investment_Strategy&amp;"_"&amp;Investment_Strategy_Sub1&amp;"_"&amp;$A510,'Investment Strategies'!$AZ:$BP,17,FALSE),
IF(AND(Investment_Strategy="Lifecycle",Investment_Strategy_Sub1="Non-Standard"),VLOOKUP(Investment_Strategy&amp;"_"&amp;Investment_Strategy_Sub2&amp;"_"&amp;$A510,'Investment Strategies'!$C:$P,14,FALSE),
IF(AND(Investment_Strategy="Lifecycle",Investment_Strategy_Sub1="Standard"),VLOOKUP(Investment_Strategy&amp;"_"&amp;Investment_Strategy_Sub2&amp;"_"&amp;$A510,'Investment Strategies'!$AJ:$AV,13,FALSE),
IF(AND(Investment_Strategy="Autopilot",Investment_Strategy_Sub1="Non-Standard"),VLOOKUP(Investment_Strategy&amp;"_"&amp;Investment_Strategy_Sub2&amp;"_"&amp;$A510,'Investment Strategies'!$T:$AF,13,FALSE),
IF(Investment_Strategy="DIY",DIY_ExtManChrge_CurrentFunds,
"Error"))))))</f>
        <v>0</v>
      </c>
      <c r="H510" s="16">
        <f t="shared" si="290"/>
        <v>0</v>
      </c>
      <c r="I510" s="16">
        <f t="shared" si="276"/>
        <v>0</v>
      </c>
      <c r="J510" s="16">
        <f t="shared" si="277"/>
        <v>0</v>
      </c>
      <c r="K510" s="16">
        <f>(Opening_Fund_Value+SUM(K$91:K509))*E510*IF(D510=$A$91,SRP_finalmonthfactor,1)</f>
        <v>0</v>
      </c>
      <c r="L510" s="74">
        <f>MIN(IF($AV510=0,0,
IF(Investment_Strategy="DIS",VLOOKUP(Investment_Strategy&amp;"_"&amp;Investment_Strategy_Sub1&amp;"_"&amp;$A510,'Investment Strategies'!$AZ:$BP,12,FALSE),
IF(AND(Investment_Strategy="Lifecycle",Investment_Strategy_Sub1="Non-Standard"),VLOOKUP(Investment_Strategy&amp;"_"&amp;Investment_Strategy_Sub2&amp;"_"&amp;$A510,'Investment Strategies'!$C:$P,9,FALSE),
IF(AND(Investment_Strategy="Lifecycle",Investment_Strategy_Sub1="Standard"),VLOOKUP(Investment_Strategy&amp;"_"&amp;Investment_Strategy_Sub2&amp;"_"&amp;$A510,'Investment Strategies'!$AJ:$AV,8,FALSE),
IF(AND(Investment_Strategy="Autopilot",Investment_Strategy_Sub1="Non-Standard"),VLOOKUP(Investment_Strategy&amp;"_"&amp;Investment_Strategy_Sub2&amp;"_"&amp;$A510,'Investment Strategies'!$T:$AF,8,FALSE),
IF(Investment_Strategy ="DIY",DIY_RateofReturn_SP,
"Error")))))),Max_InvReturn)</f>
        <v>0</v>
      </c>
      <c r="M510" s="62">
        <f>IF($AV510=0,0,
IF(Investment_Strategy="DIS",VLOOKUP(Investment_Strategy&amp;"_"&amp;Investment_Strategy_Sub1&amp;"_"&amp;$A510,'Investment Strategies'!$AZ:$BP,15,FALSE),
IF(AND(Investment_Strategy="Lifecycle",Investment_Strategy_Sub1="Non-Standard"),VLOOKUP(Investment_Strategy&amp;"_"&amp;Investment_Strategy_Sub2&amp;"_"&amp;$A510,'Investment Strategies'!$C:$P,12,FALSE),
IF(AND(Investment_Strategy="Lifecycle",Investment_Strategy_Sub1="Standard"),VLOOKUP(Investment_Strategy&amp;"_"&amp;Investment_Strategy_Sub2&amp;"_"&amp;$A510,'Investment Strategies'!$AJ:$AV,11,FALSE),
IF(AND(Investment_Strategy="Autopilot",Investment_Strategy_Sub1="Non-Standard"),VLOOKUP(Investment_Strategy&amp;"_"&amp;Investment_Strategy_Sub2&amp;"_"&amp;$A510,'Investment Strategies'!$T:$AF,11,FALSE),
IF(Investment_Strategy="DIY",DIY_GteeChrge_SP,
"Error"))))))</f>
        <v>0</v>
      </c>
      <c r="N510" s="33">
        <f>IF($AV510=0,0,
IF(Investment_Strategy="DIS",VLOOKUP(Investment_Strategy&amp;"_"&amp;Investment_Strategy_Sub1&amp;"_"&amp;$A510,'Investment Strategies'!$AZ:$BP,17,FALSE),
IF(AND(Investment_Strategy="Lifecycle",Investment_Strategy_Sub1="Non-Standard"),VLOOKUP(Investment_Strategy&amp;"_"&amp;Investment_Strategy_Sub2&amp;"_"&amp;$A510,'Investment Strategies'!$C:$P,14,FALSE),
IF(AND(Investment_Strategy="Lifecycle",Investment_Strategy_Sub1="Standard"),VLOOKUP(Investment_Strategy&amp;"_"&amp;Investment_Strategy_Sub2&amp;"_"&amp;$A510,'Investment Strategies'!$AJ:$AV,13,FALSE),
IF(AND(Investment_Strategy="Autopilot",Investment_Strategy_Sub1="Non-Standard"),VLOOKUP(Investment_Strategy&amp;"_"&amp;Investment_Strategy_Sub2&amp;"_"&amp;$A510,'Investment Strategies'!$T:$AF,13,FALSE),
IF(Investment_Strategy="DIY",DIY_ExtManChrge_SP,
"Error"))))))</f>
        <v>0</v>
      </c>
      <c r="O510" s="16">
        <f t="shared" si="301"/>
        <v>0</v>
      </c>
      <c r="Q510" s="16">
        <f t="shared" si="278"/>
        <v>0</v>
      </c>
      <c r="R510" s="16">
        <f t="shared" si="274"/>
        <v>0</v>
      </c>
      <c r="S510" s="16">
        <f>(SRP_SP+SUM(S$91:S509))*L510*IF(D510=$A$91,SRP_finalmonthfactor,1)</f>
        <v>0</v>
      </c>
      <c r="T510" s="74">
        <f>MIN(IF($AV510=0,0,
IF(Investment_Strategy="DIS",VLOOKUP(Investment_Strategy&amp;"_"&amp;Investment_Strategy_Sub1&amp;"_"&amp;$A510,'Investment Strategies'!$AZ:$BP,12,FALSE),
IF(AND(Investment_Strategy="Lifecycle",Investment_Strategy_Sub1="Non-Standard"),VLOOKUP(Investment_Strategy&amp;"_"&amp;Investment_Strategy_Sub2&amp;"_"&amp;$A510,'Investment Strategies'!$C:$P,9,FALSE),
IF(AND(Investment_Strategy="Lifecycle",Investment_Strategy_Sub1="Standard"),VLOOKUP(Investment_Strategy&amp;"_"&amp;Investment_Strategy_Sub2&amp;"_"&amp;$A510,'Investment Strategies'!$AJ:$AV,8,FALSE),
IF(AND(Investment_Strategy="Autopilot",Investment_Strategy_Sub1="Non-Standard"),VLOOKUP(Investment_Strategy&amp;"_"&amp;Investment_Strategy_Sub2&amp;"_"&amp;$A510,'Investment Strategies'!$T:$AF,8,FALSE),
IF(Investment_Strategy ="DIY",DIY_RateOfReturn_FuturePremiums,
"Error")))))),Max_InvReturn)</f>
        <v>0</v>
      </c>
      <c r="U510" s="62">
        <f>IF($AV510=0,0,
IF(Investment_Strategy="DIS",VLOOKUP(Investment_Strategy&amp;"_"&amp;Investment_Strategy_Sub1&amp;"_"&amp;$A510,'Investment Strategies'!$AZ:$BP,15,FALSE),
IF(AND(Investment_Strategy="Lifecycle",Investment_Strategy_Sub1="Non-Standard"),VLOOKUP(Investment_Strategy&amp;"_"&amp;Investment_Strategy_Sub2&amp;"_"&amp;$A510,'Investment Strategies'!$C:$P,12,FALSE),
IF(AND(Investment_Strategy="Lifecycle",Investment_Strategy_Sub1="Standard"),VLOOKUP(Investment_Strategy&amp;"_"&amp;Investment_Strategy_Sub2&amp;"_"&amp;$A510,'Investment Strategies'!$AJ:$AV,11,FALSE),
IF(AND(Investment_Strategy="Autopilot",Investment_Strategy_Sub1="Non-Standard"),VLOOKUP(Investment_Strategy&amp;"_"&amp;Investment_Strategy_Sub2&amp;"_"&amp;$A510,'Investment Strategies'!$T:$AF,11,FALSE),
IF(Investment_Strategy="DIY",DIY_GteeChrge_FuturePremiums,
"Error"))))))</f>
        <v>0</v>
      </c>
      <c r="V510" s="33">
        <f>IF(AV510=0,0,
IF(Investment_Strategy="DIS",VLOOKUP(Investment_Strategy&amp;"_"&amp;Investment_Strategy_Sub1&amp;"_"&amp;$A510,'Investment Strategies'!$AZ:$BP,17,FALSE),
IF(AND(Investment_Strategy="Lifecycle",Investment_Strategy_Sub1="Non-Standard"),VLOOKUP(Investment_Strategy&amp;"_"&amp;Investment_Strategy_Sub2&amp;"_"&amp;$A510,'Investment Strategies'!$C:$P,14,FALSE),
IF(AND(Investment_Strategy="Lifecycle",Investment_Strategy_Sub1="Standard"),VLOOKUP(Investment_Strategy&amp;"_"&amp;Investment_Strategy_Sub2&amp;"_"&amp;$A510,'Investment Strategies'!$AJ:$AV,13,FALSE),
IF(AND(Investment_Strategy="Autopilot",Investment_Strategy_Sub1="Non-Standard"),VLOOKUP(Investment_Strategy&amp;"_"&amp;Investment_Strategy_Sub2&amp;"_"&amp;$A510,'Investment Strategies'!$T:$AF,13,FALSE),
IF(Investment_Strategy="DIY",DIY_ExtManChrge_FuturePremiums,
"Error"))))))</f>
        <v>0</v>
      </c>
      <c r="W510" s="16">
        <f t="shared" si="302"/>
        <v>0</v>
      </c>
      <c r="X510" s="16">
        <f t="shared" si="279"/>
        <v>0</v>
      </c>
      <c r="Y510" s="16">
        <f t="shared" si="280"/>
        <v>0</v>
      </c>
      <c r="Z510" s="31">
        <f t="shared" si="281"/>
        <v>0.02</v>
      </c>
      <c r="AA510" s="16">
        <f t="shared" si="282"/>
        <v>0</v>
      </c>
      <c r="AB510" s="28">
        <f t="shared" si="303"/>
        <v>0</v>
      </c>
      <c r="AC510" s="28">
        <f>(SUM($AC$91:AC509)+SUM($X$91:X509)+X510)*T510*IF(D510=$A$91,SRP_finalmonthfactor,1)</f>
        <v>0</v>
      </c>
      <c r="AD510" s="16">
        <f t="shared" si="283"/>
        <v>0</v>
      </c>
      <c r="AE510" s="106"/>
      <c r="AF510" s="16">
        <f t="shared" si="291"/>
        <v>0</v>
      </c>
      <c r="AG510" s="16">
        <f t="shared" si="292"/>
        <v>0</v>
      </c>
      <c r="AH510" s="16">
        <f t="shared" si="293"/>
        <v>0</v>
      </c>
      <c r="AJ510" s="13">
        <f t="shared" si="306"/>
        <v>0</v>
      </c>
      <c r="AK510" s="13">
        <f t="shared" si="306"/>
        <v>0</v>
      </c>
      <c r="AL510" s="13">
        <f t="shared" si="306"/>
        <v>0</v>
      </c>
      <c r="AM510" s="13">
        <f t="shared" si="306"/>
        <v>0</v>
      </c>
      <c r="AN510" s="13">
        <f t="shared" si="306"/>
        <v>0</v>
      </c>
      <c r="AO510" s="13">
        <f t="shared" si="306"/>
        <v>1</v>
      </c>
      <c r="AP510" s="13">
        <f t="shared" si="306"/>
        <v>1</v>
      </c>
      <c r="AQ510" s="13">
        <f t="shared" si="306"/>
        <v>1</v>
      </c>
      <c r="AR510" s="13">
        <f t="shared" si="306"/>
        <v>0</v>
      </c>
      <c r="AS510" s="13">
        <f t="shared" si="306"/>
        <v>0</v>
      </c>
      <c r="AT510" s="13">
        <f t="shared" si="306"/>
        <v>1</v>
      </c>
      <c r="AU510" s="13">
        <f t="shared" si="306"/>
        <v>1</v>
      </c>
      <c r="AV510" s="13">
        <f t="shared" si="284"/>
        <v>0</v>
      </c>
      <c r="AW510" s="13">
        <f t="shared" si="285"/>
        <v>1</v>
      </c>
      <c r="AY510" s="17">
        <f t="shared" si="286"/>
        <v>420</v>
      </c>
      <c r="AZ510" s="28">
        <f t="shared" si="294"/>
        <v>0</v>
      </c>
      <c r="BA510" s="13">
        <f t="shared" si="287"/>
        <v>0</v>
      </c>
      <c r="BB510" s="13">
        <f t="shared" si="288"/>
        <v>0</v>
      </c>
      <c r="BC510" s="28">
        <f t="shared" si="295"/>
        <v>0</v>
      </c>
      <c r="BD510" s="28">
        <f t="shared" si="296"/>
        <v>0</v>
      </c>
      <c r="BF510" s="248">
        <f t="shared" si="297"/>
        <v>993869.29442638322</v>
      </c>
    </row>
    <row r="511" spans="1:58">
      <c r="A511" s="32">
        <f t="shared" si="298"/>
        <v>-336</v>
      </c>
      <c r="B511" s="32">
        <f t="shared" si="289"/>
        <v>88</v>
      </c>
      <c r="C511" s="32">
        <f t="shared" si="299"/>
        <v>36</v>
      </c>
      <c r="D511" s="32">
        <f t="shared" si="300"/>
        <v>421</v>
      </c>
      <c r="E511" s="74">
        <f>MIN(IF(AV511=0,0,
IF(Investment_Strategy="DIS",VLOOKUP(Investment_Strategy&amp;"_"&amp;Investment_Strategy_Sub1&amp;"_"&amp;$A511,'Investment Strategies'!$AZ:$BP,12,FALSE),
IF(AND(Investment_Strategy="Lifecycle",Investment_Strategy_Sub1="Non-Standard"),VLOOKUP(Investment_Strategy&amp;"_"&amp;Investment_Strategy_Sub2&amp;"_"&amp;$A511,'Investment Strategies'!$C:$P,9,FALSE),
IF(AND(Investment_Strategy="Lifecycle",Investment_Strategy_Sub1="Standard"),VLOOKUP(Investment_Strategy&amp;"_"&amp;Investment_Strategy_Sub2&amp;"_"&amp;$A511,'Investment Strategies'!$AJ:$AV,8,FALSE),
IF(AND(Investment_Strategy="Autopilot",Investment_Strategy_Sub1="Non-Standard"),VLOOKUP(Investment_Strategy&amp;"_"&amp;Investment_Strategy_Sub2&amp;"_"&amp;$A511,'Investment Strategies'!$T:$AF,8,FALSE),
IF(Investment_Strategy ="DIY",DIY_RateOfReturn_CurrentFunds,
"Error")))))),Max_InvReturn)</f>
        <v>0</v>
      </c>
      <c r="F511" s="62">
        <f>IF(AV511=0,0,
IF(Investment_Strategy="DIS",VLOOKUP(Investment_Strategy&amp;"_"&amp;Investment_Strategy_Sub1&amp;"_"&amp;$A511,'Investment Strategies'!$AZ:$BP,15,FALSE),
IF(AND(Investment_Strategy="Lifecycle",Investment_Strategy_Sub1="Non-Standard"),VLOOKUP(Investment_Strategy&amp;"_"&amp;Investment_Strategy_Sub2&amp;"_"&amp;$A511,'Investment Strategies'!$C:$P,12,FALSE),
IF(AND(Investment_Strategy="Lifecycle",Investment_Strategy_Sub1="Standard"),VLOOKUP(Investment_Strategy&amp;"_"&amp;Investment_Strategy_Sub2&amp;"_"&amp;$A511,'Investment Strategies'!$AJ:$AV,11,FALSE),
IF(AND(Investment_Strategy="Autopilot",Investment_Strategy_Sub1="Non-Standard"),VLOOKUP(Investment_Strategy&amp;"_"&amp;Investment_Strategy_Sub2&amp;"_"&amp;$A511,'Investment Strategies'!$T:$AF,11,FALSE),
IF(Investment_Strategy="DIY",DIY_GteeChrge_CurrentFunds,
"Error"))))))</f>
        <v>0</v>
      </c>
      <c r="G511" s="33">
        <f>IF(AV511=0,0,
IF(Investment_Strategy="DIS",VLOOKUP(Investment_Strategy&amp;"_"&amp;Investment_Strategy_Sub1&amp;"_"&amp;$A511,'Investment Strategies'!$AZ:$BP,17,FALSE),
IF(AND(Investment_Strategy="Lifecycle",Investment_Strategy_Sub1="Non-Standard"),VLOOKUP(Investment_Strategy&amp;"_"&amp;Investment_Strategy_Sub2&amp;"_"&amp;$A511,'Investment Strategies'!$C:$P,14,FALSE),
IF(AND(Investment_Strategy="Lifecycle",Investment_Strategy_Sub1="Standard"),VLOOKUP(Investment_Strategy&amp;"_"&amp;Investment_Strategy_Sub2&amp;"_"&amp;$A511,'Investment Strategies'!$AJ:$AV,13,FALSE),
IF(AND(Investment_Strategy="Autopilot",Investment_Strategy_Sub1="Non-Standard"),VLOOKUP(Investment_Strategy&amp;"_"&amp;Investment_Strategy_Sub2&amp;"_"&amp;$A511,'Investment Strategies'!$T:$AF,13,FALSE),
IF(Investment_Strategy="DIY",DIY_ExtManChrge_CurrentFunds,
"Error"))))))</f>
        <v>0</v>
      </c>
      <c r="H511" s="16">
        <f t="shared" si="290"/>
        <v>0</v>
      </c>
      <c r="I511" s="16">
        <f t="shared" si="276"/>
        <v>0</v>
      </c>
      <c r="J511" s="16">
        <f t="shared" si="277"/>
        <v>0</v>
      </c>
      <c r="K511" s="16">
        <f>(Opening_Fund_Value+SUM(K$91:K510))*E511*IF(D511=$A$91,SRP_finalmonthfactor,1)</f>
        <v>0</v>
      </c>
      <c r="L511" s="74">
        <f>MIN(IF($AV511=0,0,
IF(Investment_Strategy="DIS",VLOOKUP(Investment_Strategy&amp;"_"&amp;Investment_Strategy_Sub1&amp;"_"&amp;$A511,'Investment Strategies'!$AZ:$BP,12,FALSE),
IF(AND(Investment_Strategy="Lifecycle",Investment_Strategy_Sub1="Non-Standard"),VLOOKUP(Investment_Strategy&amp;"_"&amp;Investment_Strategy_Sub2&amp;"_"&amp;$A511,'Investment Strategies'!$C:$P,9,FALSE),
IF(AND(Investment_Strategy="Lifecycle",Investment_Strategy_Sub1="Standard"),VLOOKUP(Investment_Strategy&amp;"_"&amp;Investment_Strategy_Sub2&amp;"_"&amp;$A511,'Investment Strategies'!$AJ:$AV,8,FALSE),
IF(AND(Investment_Strategy="Autopilot",Investment_Strategy_Sub1="Non-Standard"),VLOOKUP(Investment_Strategy&amp;"_"&amp;Investment_Strategy_Sub2&amp;"_"&amp;$A511,'Investment Strategies'!$T:$AF,8,FALSE),
IF(Investment_Strategy ="DIY",DIY_RateofReturn_SP,
"Error")))))),Max_InvReturn)</f>
        <v>0</v>
      </c>
      <c r="M511" s="62">
        <f>IF($AV511=0,0,
IF(Investment_Strategy="DIS",VLOOKUP(Investment_Strategy&amp;"_"&amp;Investment_Strategy_Sub1&amp;"_"&amp;$A511,'Investment Strategies'!$AZ:$BP,15,FALSE),
IF(AND(Investment_Strategy="Lifecycle",Investment_Strategy_Sub1="Non-Standard"),VLOOKUP(Investment_Strategy&amp;"_"&amp;Investment_Strategy_Sub2&amp;"_"&amp;$A511,'Investment Strategies'!$C:$P,12,FALSE),
IF(AND(Investment_Strategy="Lifecycle",Investment_Strategy_Sub1="Standard"),VLOOKUP(Investment_Strategy&amp;"_"&amp;Investment_Strategy_Sub2&amp;"_"&amp;$A511,'Investment Strategies'!$AJ:$AV,11,FALSE),
IF(AND(Investment_Strategy="Autopilot",Investment_Strategy_Sub1="Non-Standard"),VLOOKUP(Investment_Strategy&amp;"_"&amp;Investment_Strategy_Sub2&amp;"_"&amp;$A511,'Investment Strategies'!$T:$AF,11,FALSE),
IF(Investment_Strategy="DIY",DIY_GteeChrge_SP,
"Error"))))))</f>
        <v>0</v>
      </c>
      <c r="N511" s="33">
        <f>IF($AV511=0,0,
IF(Investment_Strategy="DIS",VLOOKUP(Investment_Strategy&amp;"_"&amp;Investment_Strategy_Sub1&amp;"_"&amp;$A511,'Investment Strategies'!$AZ:$BP,17,FALSE),
IF(AND(Investment_Strategy="Lifecycle",Investment_Strategy_Sub1="Non-Standard"),VLOOKUP(Investment_Strategy&amp;"_"&amp;Investment_Strategy_Sub2&amp;"_"&amp;$A511,'Investment Strategies'!$C:$P,14,FALSE),
IF(AND(Investment_Strategy="Lifecycle",Investment_Strategy_Sub1="Standard"),VLOOKUP(Investment_Strategy&amp;"_"&amp;Investment_Strategy_Sub2&amp;"_"&amp;$A511,'Investment Strategies'!$AJ:$AV,13,FALSE),
IF(AND(Investment_Strategy="Autopilot",Investment_Strategy_Sub1="Non-Standard"),VLOOKUP(Investment_Strategy&amp;"_"&amp;Investment_Strategy_Sub2&amp;"_"&amp;$A511,'Investment Strategies'!$T:$AF,13,FALSE),
IF(Investment_Strategy="DIY",DIY_ExtManChrge_SP,
"Error"))))))</f>
        <v>0</v>
      </c>
      <c r="O511" s="16">
        <f t="shared" si="301"/>
        <v>0</v>
      </c>
      <c r="Q511" s="16">
        <f t="shared" si="278"/>
        <v>0</v>
      </c>
      <c r="R511" s="16">
        <f t="shared" si="274"/>
        <v>0</v>
      </c>
      <c r="S511" s="16">
        <f>(SRP_SP+SUM(S$91:S510))*L511*IF(D511=$A$91,SRP_finalmonthfactor,1)</f>
        <v>0</v>
      </c>
      <c r="T511" s="74">
        <f>MIN(IF($AV511=0,0,
IF(Investment_Strategy="DIS",VLOOKUP(Investment_Strategy&amp;"_"&amp;Investment_Strategy_Sub1&amp;"_"&amp;$A511,'Investment Strategies'!$AZ:$BP,12,FALSE),
IF(AND(Investment_Strategy="Lifecycle",Investment_Strategy_Sub1="Non-Standard"),VLOOKUP(Investment_Strategy&amp;"_"&amp;Investment_Strategy_Sub2&amp;"_"&amp;$A511,'Investment Strategies'!$C:$P,9,FALSE),
IF(AND(Investment_Strategy="Lifecycle",Investment_Strategy_Sub1="Standard"),VLOOKUP(Investment_Strategy&amp;"_"&amp;Investment_Strategy_Sub2&amp;"_"&amp;$A511,'Investment Strategies'!$AJ:$AV,8,FALSE),
IF(AND(Investment_Strategy="Autopilot",Investment_Strategy_Sub1="Non-Standard"),VLOOKUP(Investment_Strategy&amp;"_"&amp;Investment_Strategy_Sub2&amp;"_"&amp;$A511,'Investment Strategies'!$T:$AF,8,FALSE),
IF(Investment_Strategy ="DIY",DIY_RateOfReturn_FuturePremiums,
"Error")))))),Max_InvReturn)</f>
        <v>0</v>
      </c>
      <c r="U511" s="62">
        <f>IF($AV511=0,0,
IF(Investment_Strategy="DIS",VLOOKUP(Investment_Strategy&amp;"_"&amp;Investment_Strategy_Sub1&amp;"_"&amp;$A511,'Investment Strategies'!$AZ:$BP,15,FALSE),
IF(AND(Investment_Strategy="Lifecycle",Investment_Strategy_Sub1="Non-Standard"),VLOOKUP(Investment_Strategy&amp;"_"&amp;Investment_Strategy_Sub2&amp;"_"&amp;$A511,'Investment Strategies'!$C:$P,12,FALSE),
IF(AND(Investment_Strategy="Lifecycle",Investment_Strategy_Sub1="Standard"),VLOOKUP(Investment_Strategy&amp;"_"&amp;Investment_Strategy_Sub2&amp;"_"&amp;$A511,'Investment Strategies'!$AJ:$AV,11,FALSE),
IF(AND(Investment_Strategy="Autopilot",Investment_Strategy_Sub1="Non-Standard"),VLOOKUP(Investment_Strategy&amp;"_"&amp;Investment_Strategy_Sub2&amp;"_"&amp;$A511,'Investment Strategies'!$T:$AF,11,FALSE),
IF(Investment_Strategy="DIY",DIY_GteeChrge_FuturePremiums,
"Error"))))))</f>
        <v>0</v>
      </c>
      <c r="V511" s="33">
        <f>IF(AV511=0,0,
IF(Investment_Strategy="DIS",VLOOKUP(Investment_Strategy&amp;"_"&amp;Investment_Strategy_Sub1&amp;"_"&amp;$A511,'Investment Strategies'!$AZ:$BP,17,FALSE),
IF(AND(Investment_Strategy="Lifecycle",Investment_Strategy_Sub1="Non-Standard"),VLOOKUP(Investment_Strategy&amp;"_"&amp;Investment_Strategy_Sub2&amp;"_"&amp;$A511,'Investment Strategies'!$C:$P,14,FALSE),
IF(AND(Investment_Strategy="Lifecycle",Investment_Strategy_Sub1="Standard"),VLOOKUP(Investment_Strategy&amp;"_"&amp;Investment_Strategy_Sub2&amp;"_"&amp;$A511,'Investment Strategies'!$AJ:$AV,13,FALSE),
IF(AND(Investment_Strategy="Autopilot",Investment_Strategy_Sub1="Non-Standard"),VLOOKUP(Investment_Strategy&amp;"_"&amp;Investment_Strategy_Sub2&amp;"_"&amp;$A511,'Investment Strategies'!$T:$AF,13,FALSE),
IF(Investment_Strategy="DIY",DIY_ExtManChrge_FuturePremiums,
"Error"))))))</f>
        <v>0</v>
      </c>
      <c r="W511" s="16">
        <f t="shared" si="302"/>
        <v>0</v>
      </c>
      <c r="X511" s="16">
        <f t="shared" si="279"/>
        <v>0</v>
      </c>
      <c r="Y511" s="16">
        <f t="shared" si="280"/>
        <v>0</v>
      </c>
      <c r="Z511" s="31">
        <f t="shared" si="281"/>
        <v>0.02</v>
      </c>
      <c r="AA511" s="16">
        <f t="shared" si="282"/>
        <v>0</v>
      </c>
      <c r="AB511" s="28">
        <f t="shared" si="303"/>
        <v>0</v>
      </c>
      <c r="AC511" s="28">
        <f>(SUM($AC$91:AC510)+SUM($X$91:X510)+X511)*T511*IF(D511=$A$91,SRP_finalmonthfactor,1)</f>
        <v>0</v>
      </c>
      <c r="AD511" s="16">
        <f t="shared" si="283"/>
        <v>0</v>
      </c>
      <c r="AE511" s="106"/>
      <c r="AF511" s="16">
        <f t="shared" si="291"/>
        <v>0</v>
      </c>
      <c r="AG511" s="16">
        <f t="shared" si="292"/>
        <v>0</v>
      </c>
      <c r="AH511" s="16">
        <f t="shared" si="293"/>
        <v>0</v>
      </c>
      <c r="AJ511" s="13">
        <f t="shared" ref="AJ511:AU520" si="307">IF($C511&lt;=AJ$90,1,0)</f>
        <v>0</v>
      </c>
      <c r="AK511" s="13">
        <f t="shared" si="307"/>
        <v>0</v>
      </c>
      <c r="AL511" s="13">
        <f t="shared" si="307"/>
        <v>0</v>
      </c>
      <c r="AM511" s="13">
        <f t="shared" si="307"/>
        <v>0</v>
      </c>
      <c r="AN511" s="13">
        <f t="shared" si="307"/>
        <v>0</v>
      </c>
      <c r="AO511" s="13">
        <f t="shared" si="307"/>
        <v>1</v>
      </c>
      <c r="AP511" s="13">
        <f t="shared" si="307"/>
        <v>1</v>
      </c>
      <c r="AQ511" s="13">
        <f t="shared" si="307"/>
        <v>1</v>
      </c>
      <c r="AR511" s="13">
        <f t="shared" si="307"/>
        <v>0</v>
      </c>
      <c r="AS511" s="13">
        <f t="shared" si="307"/>
        <v>0</v>
      </c>
      <c r="AT511" s="13">
        <f t="shared" si="307"/>
        <v>0</v>
      </c>
      <c r="AU511" s="13">
        <f t="shared" si="307"/>
        <v>1</v>
      </c>
      <c r="AV511" s="13">
        <f t="shared" si="284"/>
        <v>0</v>
      </c>
      <c r="AW511" s="13">
        <f t="shared" si="285"/>
        <v>1</v>
      </c>
      <c r="AY511" s="17">
        <f t="shared" si="286"/>
        <v>421</v>
      </c>
      <c r="AZ511" s="28">
        <f t="shared" si="294"/>
        <v>0</v>
      </c>
      <c r="BA511" s="13">
        <f t="shared" si="287"/>
        <v>0</v>
      </c>
      <c r="BB511" s="13">
        <f t="shared" si="288"/>
        <v>0</v>
      </c>
      <c r="BC511" s="28">
        <f t="shared" si="295"/>
        <v>0</v>
      </c>
      <c r="BD511" s="28">
        <f t="shared" si="296"/>
        <v>0</v>
      </c>
      <c r="BF511" s="248">
        <f t="shared" si="297"/>
        <v>993869.29442638322</v>
      </c>
    </row>
    <row r="512" spans="1:58">
      <c r="A512" s="32">
        <f t="shared" si="298"/>
        <v>-337</v>
      </c>
      <c r="B512" s="32">
        <f t="shared" si="289"/>
        <v>88</v>
      </c>
      <c r="C512" s="32">
        <f t="shared" si="299"/>
        <v>36</v>
      </c>
      <c r="D512" s="32">
        <f t="shared" si="300"/>
        <v>422</v>
      </c>
      <c r="E512" s="74">
        <f>MIN(IF(AV512=0,0,
IF(Investment_Strategy="DIS",VLOOKUP(Investment_Strategy&amp;"_"&amp;Investment_Strategy_Sub1&amp;"_"&amp;$A512,'Investment Strategies'!$AZ:$BP,12,FALSE),
IF(AND(Investment_Strategy="Lifecycle",Investment_Strategy_Sub1="Non-Standard"),VLOOKUP(Investment_Strategy&amp;"_"&amp;Investment_Strategy_Sub2&amp;"_"&amp;$A512,'Investment Strategies'!$C:$P,9,FALSE),
IF(AND(Investment_Strategy="Lifecycle",Investment_Strategy_Sub1="Standard"),VLOOKUP(Investment_Strategy&amp;"_"&amp;Investment_Strategy_Sub2&amp;"_"&amp;$A512,'Investment Strategies'!$AJ:$AV,8,FALSE),
IF(AND(Investment_Strategy="Autopilot",Investment_Strategy_Sub1="Non-Standard"),VLOOKUP(Investment_Strategy&amp;"_"&amp;Investment_Strategy_Sub2&amp;"_"&amp;$A512,'Investment Strategies'!$T:$AF,8,FALSE),
IF(Investment_Strategy ="DIY",DIY_RateOfReturn_CurrentFunds,
"Error")))))),Max_InvReturn)</f>
        <v>0</v>
      </c>
      <c r="F512" s="62">
        <f>IF(AV512=0,0,
IF(Investment_Strategy="DIS",VLOOKUP(Investment_Strategy&amp;"_"&amp;Investment_Strategy_Sub1&amp;"_"&amp;$A512,'Investment Strategies'!$AZ:$BP,15,FALSE),
IF(AND(Investment_Strategy="Lifecycle",Investment_Strategy_Sub1="Non-Standard"),VLOOKUP(Investment_Strategy&amp;"_"&amp;Investment_Strategy_Sub2&amp;"_"&amp;$A512,'Investment Strategies'!$C:$P,12,FALSE),
IF(AND(Investment_Strategy="Lifecycle",Investment_Strategy_Sub1="Standard"),VLOOKUP(Investment_Strategy&amp;"_"&amp;Investment_Strategy_Sub2&amp;"_"&amp;$A512,'Investment Strategies'!$AJ:$AV,11,FALSE),
IF(AND(Investment_Strategy="Autopilot",Investment_Strategy_Sub1="Non-Standard"),VLOOKUP(Investment_Strategy&amp;"_"&amp;Investment_Strategy_Sub2&amp;"_"&amp;$A512,'Investment Strategies'!$T:$AF,11,FALSE),
IF(Investment_Strategy="DIY",DIY_GteeChrge_CurrentFunds,
"Error"))))))</f>
        <v>0</v>
      </c>
      <c r="G512" s="33">
        <f>IF(AV512=0,0,
IF(Investment_Strategy="DIS",VLOOKUP(Investment_Strategy&amp;"_"&amp;Investment_Strategy_Sub1&amp;"_"&amp;$A512,'Investment Strategies'!$AZ:$BP,17,FALSE),
IF(AND(Investment_Strategy="Lifecycle",Investment_Strategy_Sub1="Non-Standard"),VLOOKUP(Investment_Strategy&amp;"_"&amp;Investment_Strategy_Sub2&amp;"_"&amp;$A512,'Investment Strategies'!$C:$P,14,FALSE),
IF(AND(Investment_Strategy="Lifecycle",Investment_Strategy_Sub1="Standard"),VLOOKUP(Investment_Strategy&amp;"_"&amp;Investment_Strategy_Sub2&amp;"_"&amp;$A512,'Investment Strategies'!$AJ:$AV,13,FALSE),
IF(AND(Investment_Strategy="Autopilot",Investment_Strategy_Sub1="Non-Standard"),VLOOKUP(Investment_Strategy&amp;"_"&amp;Investment_Strategy_Sub2&amp;"_"&amp;$A512,'Investment Strategies'!$T:$AF,13,FALSE),
IF(Investment_Strategy="DIY",DIY_ExtManChrge_CurrentFunds,
"Error"))))))</f>
        <v>0</v>
      </c>
      <c r="H512" s="16">
        <f t="shared" si="290"/>
        <v>0</v>
      </c>
      <c r="I512" s="16">
        <f t="shared" si="276"/>
        <v>0</v>
      </c>
      <c r="J512" s="16">
        <f t="shared" si="277"/>
        <v>0</v>
      </c>
      <c r="K512" s="16">
        <f>(Opening_Fund_Value+SUM(K$91:K511))*E512*IF(D512=$A$91,SRP_finalmonthfactor,1)</f>
        <v>0</v>
      </c>
      <c r="L512" s="74">
        <f>MIN(IF($AV512=0,0,
IF(Investment_Strategy="DIS",VLOOKUP(Investment_Strategy&amp;"_"&amp;Investment_Strategy_Sub1&amp;"_"&amp;$A512,'Investment Strategies'!$AZ:$BP,12,FALSE),
IF(AND(Investment_Strategy="Lifecycle",Investment_Strategy_Sub1="Non-Standard"),VLOOKUP(Investment_Strategy&amp;"_"&amp;Investment_Strategy_Sub2&amp;"_"&amp;$A512,'Investment Strategies'!$C:$P,9,FALSE),
IF(AND(Investment_Strategy="Lifecycle",Investment_Strategy_Sub1="Standard"),VLOOKUP(Investment_Strategy&amp;"_"&amp;Investment_Strategy_Sub2&amp;"_"&amp;$A512,'Investment Strategies'!$AJ:$AV,8,FALSE),
IF(AND(Investment_Strategy="Autopilot",Investment_Strategy_Sub1="Non-Standard"),VLOOKUP(Investment_Strategy&amp;"_"&amp;Investment_Strategy_Sub2&amp;"_"&amp;$A512,'Investment Strategies'!$T:$AF,8,FALSE),
IF(Investment_Strategy ="DIY",DIY_RateofReturn_SP,
"Error")))))),Max_InvReturn)</f>
        <v>0</v>
      </c>
      <c r="M512" s="62">
        <f>IF($AV512=0,0,
IF(Investment_Strategy="DIS",VLOOKUP(Investment_Strategy&amp;"_"&amp;Investment_Strategy_Sub1&amp;"_"&amp;$A512,'Investment Strategies'!$AZ:$BP,15,FALSE),
IF(AND(Investment_Strategy="Lifecycle",Investment_Strategy_Sub1="Non-Standard"),VLOOKUP(Investment_Strategy&amp;"_"&amp;Investment_Strategy_Sub2&amp;"_"&amp;$A512,'Investment Strategies'!$C:$P,12,FALSE),
IF(AND(Investment_Strategy="Lifecycle",Investment_Strategy_Sub1="Standard"),VLOOKUP(Investment_Strategy&amp;"_"&amp;Investment_Strategy_Sub2&amp;"_"&amp;$A512,'Investment Strategies'!$AJ:$AV,11,FALSE),
IF(AND(Investment_Strategy="Autopilot",Investment_Strategy_Sub1="Non-Standard"),VLOOKUP(Investment_Strategy&amp;"_"&amp;Investment_Strategy_Sub2&amp;"_"&amp;$A512,'Investment Strategies'!$T:$AF,11,FALSE),
IF(Investment_Strategy="DIY",DIY_GteeChrge_SP,
"Error"))))))</f>
        <v>0</v>
      </c>
      <c r="N512" s="33">
        <f>IF($AV512=0,0,
IF(Investment_Strategy="DIS",VLOOKUP(Investment_Strategy&amp;"_"&amp;Investment_Strategy_Sub1&amp;"_"&amp;$A512,'Investment Strategies'!$AZ:$BP,17,FALSE),
IF(AND(Investment_Strategy="Lifecycle",Investment_Strategy_Sub1="Non-Standard"),VLOOKUP(Investment_Strategy&amp;"_"&amp;Investment_Strategy_Sub2&amp;"_"&amp;$A512,'Investment Strategies'!$C:$P,14,FALSE),
IF(AND(Investment_Strategy="Lifecycle",Investment_Strategy_Sub1="Standard"),VLOOKUP(Investment_Strategy&amp;"_"&amp;Investment_Strategy_Sub2&amp;"_"&amp;$A512,'Investment Strategies'!$AJ:$AV,13,FALSE),
IF(AND(Investment_Strategy="Autopilot",Investment_Strategy_Sub1="Non-Standard"),VLOOKUP(Investment_Strategy&amp;"_"&amp;Investment_Strategy_Sub2&amp;"_"&amp;$A512,'Investment Strategies'!$T:$AF,13,FALSE),
IF(Investment_Strategy="DIY",DIY_ExtManChrge_SP,
"Error"))))))</f>
        <v>0</v>
      </c>
      <c r="O512" s="16">
        <f t="shared" si="301"/>
        <v>0</v>
      </c>
      <c r="Q512" s="16">
        <f t="shared" si="278"/>
        <v>0</v>
      </c>
      <c r="R512" s="16">
        <f t="shared" si="274"/>
        <v>0</v>
      </c>
      <c r="S512" s="16">
        <f>(SRP_SP+SUM(S$91:S511))*L512*IF(D512=$A$91,SRP_finalmonthfactor,1)</f>
        <v>0</v>
      </c>
      <c r="T512" s="74">
        <f>MIN(IF($AV512=0,0,
IF(Investment_Strategy="DIS",VLOOKUP(Investment_Strategy&amp;"_"&amp;Investment_Strategy_Sub1&amp;"_"&amp;$A512,'Investment Strategies'!$AZ:$BP,12,FALSE),
IF(AND(Investment_Strategy="Lifecycle",Investment_Strategy_Sub1="Non-Standard"),VLOOKUP(Investment_Strategy&amp;"_"&amp;Investment_Strategy_Sub2&amp;"_"&amp;$A512,'Investment Strategies'!$C:$P,9,FALSE),
IF(AND(Investment_Strategy="Lifecycle",Investment_Strategy_Sub1="Standard"),VLOOKUP(Investment_Strategy&amp;"_"&amp;Investment_Strategy_Sub2&amp;"_"&amp;$A512,'Investment Strategies'!$AJ:$AV,8,FALSE),
IF(AND(Investment_Strategy="Autopilot",Investment_Strategy_Sub1="Non-Standard"),VLOOKUP(Investment_Strategy&amp;"_"&amp;Investment_Strategy_Sub2&amp;"_"&amp;$A512,'Investment Strategies'!$T:$AF,8,FALSE),
IF(Investment_Strategy ="DIY",DIY_RateOfReturn_FuturePremiums,
"Error")))))),Max_InvReturn)</f>
        <v>0</v>
      </c>
      <c r="U512" s="62">
        <f>IF($AV512=0,0,
IF(Investment_Strategy="DIS",VLOOKUP(Investment_Strategy&amp;"_"&amp;Investment_Strategy_Sub1&amp;"_"&amp;$A512,'Investment Strategies'!$AZ:$BP,15,FALSE),
IF(AND(Investment_Strategy="Lifecycle",Investment_Strategy_Sub1="Non-Standard"),VLOOKUP(Investment_Strategy&amp;"_"&amp;Investment_Strategy_Sub2&amp;"_"&amp;$A512,'Investment Strategies'!$C:$P,12,FALSE),
IF(AND(Investment_Strategy="Lifecycle",Investment_Strategy_Sub1="Standard"),VLOOKUP(Investment_Strategy&amp;"_"&amp;Investment_Strategy_Sub2&amp;"_"&amp;$A512,'Investment Strategies'!$AJ:$AV,11,FALSE),
IF(AND(Investment_Strategy="Autopilot",Investment_Strategy_Sub1="Non-Standard"),VLOOKUP(Investment_Strategy&amp;"_"&amp;Investment_Strategy_Sub2&amp;"_"&amp;$A512,'Investment Strategies'!$T:$AF,11,FALSE),
IF(Investment_Strategy="DIY",DIY_GteeChrge_FuturePremiums,
"Error"))))))</f>
        <v>0</v>
      </c>
      <c r="V512" s="33">
        <f>IF(AV512=0,0,
IF(Investment_Strategy="DIS",VLOOKUP(Investment_Strategy&amp;"_"&amp;Investment_Strategy_Sub1&amp;"_"&amp;$A512,'Investment Strategies'!$AZ:$BP,17,FALSE),
IF(AND(Investment_Strategy="Lifecycle",Investment_Strategy_Sub1="Non-Standard"),VLOOKUP(Investment_Strategy&amp;"_"&amp;Investment_Strategy_Sub2&amp;"_"&amp;$A512,'Investment Strategies'!$C:$P,14,FALSE),
IF(AND(Investment_Strategy="Lifecycle",Investment_Strategy_Sub1="Standard"),VLOOKUP(Investment_Strategy&amp;"_"&amp;Investment_Strategy_Sub2&amp;"_"&amp;$A512,'Investment Strategies'!$AJ:$AV,13,FALSE),
IF(AND(Investment_Strategy="Autopilot",Investment_Strategy_Sub1="Non-Standard"),VLOOKUP(Investment_Strategy&amp;"_"&amp;Investment_Strategy_Sub2&amp;"_"&amp;$A512,'Investment Strategies'!$T:$AF,13,FALSE),
IF(Investment_Strategy="DIY",DIY_ExtManChrge_FuturePremiums,
"Error"))))))</f>
        <v>0</v>
      </c>
      <c r="W512" s="16">
        <f t="shared" si="302"/>
        <v>0</v>
      </c>
      <c r="X512" s="16">
        <f t="shared" si="279"/>
        <v>0</v>
      </c>
      <c r="Y512" s="16">
        <f t="shared" si="280"/>
        <v>0</v>
      </c>
      <c r="Z512" s="31">
        <f t="shared" si="281"/>
        <v>0.02</v>
      </c>
      <c r="AA512" s="16">
        <f t="shared" si="282"/>
        <v>0</v>
      </c>
      <c r="AB512" s="28">
        <f t="shared" si="303"/>
        <v>0</v>
      </c>
      <c r="AC512" s="28">
        <f>(SUM($AC$91:AC511)+SUM($X$91:X511)+X512)*T512*IF(D512=$A$91,SRP_finalmonthfactor,1)</f>
        <v>0</v>
      </c>
      <c r="AD512" s="16">
        <f t="shared" si="283"/>
        <v>0</v>
      </c>
      <c r="AE512" s="106"/>
      <c r="AF512" s="16">
        <f t="shared" si="291"/>
        <v>0</v>
      </c>
      <c r="AG512" s="16">
        <f t="shared" si="292"/>
        <v>0</v>
      </c>
      <c r="AH512" s="16">
        <f t="shared" si="293"/>
        <v>0</v>
      </c>
      <c r="AJ512" s="13">
        <f t="shared" si="307"/>
        <v>0</v>
      </c>
      <c r="AK512" s="13">
        <f t="shared" si="307"/>
        <v>0</v>
      </c>
      <c r="AL512" s="13">
        <f t="shared" si="307"/>
        <v>0</v>
      </c>
      <c r="AM512" s="13">
        <f t="shared" si="307"/>
        <v>0</v>
      </c>
      <c r="AN512" s="13">
        <f t="shared" si="307"/>
        <v>0</v>
      </c>
      <c r="AO512" s="13">
        <f t="shared" si="307"/>
        <v>1</v>
      </c>
      <c r="AP512" s="13">
        <f t="shared" si="307"/>
        <v>1</v>
      </c>
      <c r="AQ512" s="13">
        <f t="shared" si="307"/>
        <v>1</v>
      </c>
      <c r="AR512" s="13">
        <f t="shared" si="307"/>
        <v>0</v>
      </c>
      <c r="AS512" s="13">
        <f t="shared" si="307"/>
        <v>0</v>
      </c>
      <c r="AT512" s="13">
        <f t="shared" si="307"/>
        <v>0</v>
      </c>
      <c r="AU512" s="13">
        <f t="shared" si="307"/>
        <v>1</v>
      </c>
      <c r="AV512" s="13">
        <f t="shared" si="284"/>
        <v>0</v>
      </c>
      <c r="AW512" s="13">
        <f t="shared" si="285"/>
        <v>1</v>
      </c>
      <c r="AY512" s="17">
        <f t="shared" si="286"/>
        <v>422</v>
      </c>
      <c r="AZ512" s="28">
        <f t="shared" si="294"/>
        <v>0</v>
      </c>
      <c r="BA512" s="13">
        <f t="shared" si="287"/>
        <v>0</v>
      </c>
      <c r="BB512" s="13">
        <f t="shared" si="288"/>
        <v>0</v>
      </c>
      <c r="BC512" s="28">
        <f t="shared" si="295"/>
        <v>0</v>
      </c>
      <c r="BD512" s="28">
        <f t="shared" si="296"/>
        <v>0</v>
      </c>
      <c r="BF512" s="248">
        <f t="shared" si="297"/>
        <v>993869.29442638322</v>
      </c>
    </row>
    <row r="513" spans="1:58">
      <c r="A513" s="32">
        <f t="shared" si="298"/>
        <v>-338</v>
      </c>
      <c r="B513" s="32">
        <f t="shared" si="289"/>
        <v>88</v>
      </c>
      <c r="C513" s="32">
        <f t="shared" si="299"/>
        <v>36</v>
      </c>
      <c r="D513" s="32">
        <f t="shared" si="300"/>
        <v>423</v>
      </c>
      <c r="E513" s="74">
        <f>MIN(IF(AV513=0,0,
IF(Investment_Strategy="DIS",VLOOKUP(Investment_Strategy&amp;"_"&amp;Investment_Strategy_Sub1&amp;"_"&amp;$A513,'Investment Strategies'!$AZ:$BP,12,FALSE),
IF(AND(Investment_Strategy="Lifecycle",Investment_Strategy_Sub1="Non-Standard"),VLOOKUP(Investment_Strategy&amp;"_"&amp;Investment_Strategy_Sub2&amp;"_"&amp;$A513,'Investment Strategies'!$C:$P,9,FALSE),
IF(AND(Investment_Strategy="Lifecycle",Investment_Strategy_Sub1="Standard"),VLOOKUP(Investment_Strategy&amp;"_"&amp;Investment_Strategy_Sub2&amp;"_"&amp;$A513,'Investment Strategies'!$AJ:$AV,8,FALSE),
IF(AND(Investment_Strategy="Autopilot",Investment_Strategy_Sub1="Non-Standard"),VLOOKUP(Investment_Strategy&amp;"_"&amp;Investment_Strategy_Sub2&amp;"_"&amp;$A513,'Investment Strategies'!$T:$AF,8,FALSE),
IF(Investment_Strategy ="DIY",DIY_RateOfReturn_CurrentFunds,
"Error")))))),Max_InvReturn)</f>
        <v>0</v>
      </c>
      <c r="F513" s="62">
        <f>IF(AV513=0,0,
IF(Investment_Strategy="DIS",VLOOKUP(Investment_Strategy&amp;"_"&amp;Investment_Strategy_Sub1&amp;"_"&amp;$A513,'Investment Strategies'!$AZ:$BP,15,FALSE),
IF(AND(Investment_Strategy="Lifecycle",Investment_Strategy_Sub1="Non-Standard"),VLOOKUP(Investment_Strategy&amp;"_"&amp;Investment_Strategy_Sub2&amp;"_"&amp;$A513,'Investment Strategies'!$C:$P,12,FALSE),
IF(AND(Investment_Strategy="Lifecycle",Investment_Strategy_Sub1="Standard"),VLOOKUP(Investment_Strategy&amp;"_"&amp;Investment_Strategy_Sub2&amp;"_"&amp;$A513,'Investment Strategies'!$AJ:$AV,11,FALSE),
IF(AND(Investment_Strategy="Autopilot",Investment_Strategy_Sub1="Non-Standard"),VLOOKUP(Investment_Strategy&amp;"_"&amp;Investment_Strategy_Sub2&amp;"_"&amp;$A513,'Investment Strategies'!$T:$AF,11,FALSE),
IF(Investment_Strategy="DIY",DIY_GteeChrge_CurrentFunds,
"Error"))))))</f>
        <v>0</v>
      </c>
      <c r="G513" s="33">
        <f>IF(AV513=0,0,
IF(Investment_Strategy="DIS",VLOOKUP(Investment_Strategy&amp;"_"&amp;Investment_Strategy_Sub1&amp;"_"&amp;$A513,'Investment Strategies'!$AZ:$BP,17,FALSE),
IF(AND(Investment_Strategy="Lifecycle",Investment_Strategy_Sub1="Non-Standard"),VLOOKUP(Investment_Strategy&amp;"_"&amp;Investment_Strategy_Sub2&amp;"_"&amp;$A513,'Investment Strategies'!$C:$P,14,FALSE),
IF(AND(Investment_Strategy="Lifecycle",Investment_Strategy_Sub1="Standard"),VLOOKUP(Investment_Strategy&amp;"_"&amp;Investment_Strategy_Sub2&amp;"_"&amp;$A513,'Investment Strategies'!$AJ:$AV,13,FALSE),
IF(AND(Investment_Strategy="Autopilot",Investment_Strategy_Sub1="Non-Standard"),VLOOKUP(Investment_Strategy&amp;"_"&amp;Investment_Strategy_Sub2&amp;"_"&amp;$A513,'Investment Strategies'!$T:$AF,13,FALSE),
IF(Investment_Strategy="DIY",DIY_ExtManChrge_CurrentFunds,
"Error"))))))</f>
        <v>0</v>
      </c>
      <c r="H513" s="16">
        <f t="shared" si="290"/>
        <v>0</v>
      </c>
      <c r="I513" s="16">
        <f t="shared" si="276"/>
        <v>0</v>
      </c>
      <c r="J513" s="16">
        <f t="shared" si="277"/>
        <v>0</v>
      </c>
      <c r="K513" s="16">
        <f>(Opening_Fund_Value+SUM(K$91:K512))*E513*IF(D513=$A$91,SRP_finalmonthfactor,1)</f>
        <v>0</v>
      </c>
      <c r="L513" s="74">
        <f>MIN(IF($AV513=0,0,
IF(Investment_Strategy="DIS",VLOOKUP(Investment_Strategy&amp;"_"&amp;Investment_Strategy_Sub1&amp;"_"&amp;$A513,'Investment Strategies'!$AZ:$BP,12,FALSE),
IF(AND(Investment_Strategy="Lifecycle",Investment_Strategy_Sub1="Non-Standard"),VLOOKUP(Investment_Strategy&amp;"_"&amp;Investment_Strategy_Sub2&amp;"_"&amp;$A513,'Investment Strategies'!$C:$P,9,FALSE),
IF(AND(Investment_Strategy="Lifecycle",Investment_Strategy_Sub1="Standard"),VLOOKUP(Investment_Strategy&amp;"_"&amp;Investment_Strategy_Sub2&amp;"_"&amp;$A513,'Investment Strategies'!$AJ:$AV,8,FALSE),
IF(AND(Investment_Strategy="Autopilot",Investment_Strategy_Sub1="Non-Standard"),VLOOKUP(Investment_Strategy&amp;"_"&amp;Investment_Strategy_Sub2&amp;"_"&amp;$A513,'Investment Strategies'!$T:$AF,8,FALSE),
IF(Investment_Strategy ="DIY",DIY_RateofReturn_SP,
"Error")))))),Max_InvReturn)</f>
        <v>0</v>
      </c>
      <c r="M513" s="62">
        <f>IF($AV513=0,0,
IF(Investment_Strategy="DIS",VLOOKUP(Investment_Strategy&amp;"_"&amp;Investment_Strategy_Sub1&amp;"_"&amp;$A513,'Investment Strategies'!$AZ:$BP,15,FALSE),
IF(AND(Investment_Strategy="Lifecycle",Investment_Strategy_Sub1="Non-Standard"),VLOOKUP(Investment_Strategy&amp;"_"&amp;Investment_Strategy_Sub2&amp;"_"&amp;$A513,'Investment Strategies'!$C:$P,12,FALSE),
IF(AND(Investment_Strategy="Lifecycle",Investment_Strategy_Sub1="Standard"),VLOOKUP(Investment_Strategy&amp;"_"&amp;Investment_Strategy_Sub2&amp;"_"&amp;$A513,'Investment Strategies'!$AJ:$AV,11,FALSE),
IF(AND(Investment_Strategy="Autopilot",Investment_Strategy_Sub1="Non-Standard"),VLOOKUP(Investment_Strategy&amp;"_"&amp;Investment_Strategy_Sub2&amp;"_"&amp;$A513,'Investment Strategies'!$T:$AF,11,FALSE),
IF(Investment_Strategy="DIY",DIY_GteeChrge_SP,
"Error"))))))</f>
        <v>0</v>
      </c>
      <c r="N513" s="33">
        <f>IF($AV513=0,0,
IF(Investment_Strategy="DIS",VLOOKUP(Investment_Strategy&amp;"_"&amp;Investment_Strategy_Sub1&amp;"_"&amp;$A513,'Investment Strategies'!$AZ:$BP,17,FALSE),
IF(AND(Investment_Strategy="Lifecycle",Investment_Strategy_Sub1="Non-Standard"),VLOOKUP(Investment_Strategy&amp;"_"&amp;Investment_Strategy_Sub2&amp;"_"&amp;$A513,'Investment Strategies'!$C:$P,14,FALSE),
IF(AND(Investment_Strategy="Lifecycle",Investment_Strategy_Sub1="Standard"),VLOOKUP(Investment_Strategy&amp;"_"&amp;Investment_Strategy_Sub2&amp;"_"&amp;$A513,'Investment Strategies'!$AJ:$AV,13,FALSE),
IF(AND(Investment_Strategy="Autopilot",Investment_Strategy_Sub1="Non-Standard"),VLOOKUP(Investment_Strategy&amp;"_"&amp;Investment_Strategy_Sub2&amp;"_"&amp;$A513,'Investment Strategies'!$T:$AF,13,FALSE),
IF(Investment_Strategy="DIY",DIY_ExtManChrge_SP,
"Error"))))))</f>
        <v>0</v>
      </c>
      <c r="O513" s="16">
        <f t="shared" si="301"/>
        <v>0</v>
      </c>
      <c r="Q513" s="16">
        <f t="shared" si="278"/>
        <v>0</v>
      </c>
      <c r="R513" s="16">
        <f t="shared" si="274"/>
        <v>0</v>
      </c>
      <c r="S513" s="16">
        <f>(SRP_SP+SUM(S$91:S512))*L513*IF(D513=$A$91,SRP_finalmonthfactor,1)</f>
        <v>0</v>
      </c>
      <c r="T513" s="74">
        <f>MIN(IF($AV513=0,0,
IF(Investment_Strategy="DIS",VLOOKUP(Investment_Strategy&amp;"_"&amp;Investment_Strategy_Sub1&amp;"_"&amp;$A513,'Investment Strategies'!$AZ:$BP,12,FALSE),
IF(AND(Investment_Strategy="Lifecycle",Investment_Strategy_Sub1="Non-Standard"),VLOOKUP(Investment_Strategy&amp;"_"&amp;Investment_Strategy_Sub2&amp;"_"&amp;$A513,'Investment Strategies'!$C:$P,9,FALSE),
IF(AND(Investment_Strategy="Lifecycle",Investment_Strategy_Sub1="Standard"),VLOOKUP(Investment_Strategy&amp;"_"&amp;Investment_Strategy_Sub2&amp;"_"&amp;$A513,'Investment Strategies'!$AJ:$AV,8,FALSE),
IF(AND(Investment_Strategy="Autopilot",Investment_Strategy_Sub1="Non-Standard"),VLOOKUP(Investment_Strategy&amp;"_"&amp;Investment_Strategy_Sub2&amp;"_"&amp;$A513,'Investment Strategies'!$T:$AF,8,FALSE),
IF(Investment_Strategy ="DIY",DIY_RateOfReturn_FuturePremiums,
"Error")))))),Max_InvReturn)</f>
        <v>0</v>
      </c>
      <c r="U513" s="62">
        <f>IF($AV513=0,0,
IF(Investment_Strategy="DIS",VLOOKUP(Investment_Strategy&amp;"_"&amp;Investment_Strategy_Sub1&amp;"_"&amp;$A513,'Investment Strategies'!$AZ:$BP,15,FALSE),
IF(AND(Investment_Strategy="Lifecycle",Investment_Strategy_Sub1="Non-Standard"),VLOOKUP(Investment_Strategy&amp;"_"&amp;Investment_Strategy_Sub2&amp;"_"&amp;$A513,'Investment Strategies'!$C:$P,12,FALSE),
IF(AND(Investment_Strategy="Lifecycle",Investment_Strategy_Sub1="Standard"),VLOOKUP(Investment_Strategy&amp;"_"&amp;Investment_Strategy_Sub2&amp;"_"&amp;$A513,'Investment Strategies'!$AJ:$AV,11,FALSE),
IF(AND(Investment_Strategy="Autopilot",Investment_Strategy_Sub1="Non-Standard"),VLOOKUP(Investment_Strategy&amp;"_"&amp;Investment_Strategy_Sub2&amp;"_"&amp;$A513,'Investment Strategies'!$T:$AF,11,FALSE),
IF(Investment_Strategy="DIY",DIY_GteeChrge_FuturePremiums,
"Error"))))))</f>
        <v>0</v>
      </c>
      <c r="V513" s="33">
        <f>IF(AV513=0,0,
IF(Investment_Strategy="DIS",VLOOKUP(Investment_Strategy&amp;"_"&amp;Investment_Strategy_Sub1&amp;"_"&amp;$A513,'Investment Strategies'!$AZ:$BP,17,FALSE),
IF(AND(Investment_Strategy="Lifecycle",Investment_Strategy_Sub1="Non-Standard"),VLOOKUP(Investment_Strategy&amp;"_"&amp;Investment_Strategy_Sub2&amp;"_"&amp;$A513,'Investment Strategies'!$C:$P,14,FALSE),
IF(AND(Investment_Strategy="Lifecycle",Investment_Strategy_Sub1="Standard"),VLOOKUP(Investment_Strategy&amp;"_"&amp;Investment_Strategy_Sub2&amp;"_"&amp;$A513,'Investment Strategies'!$AJ:$AV,13,FALSE),
IF(AND(Investment_Strategy="Autopilot",Investment_Strategy_Sub1="Non-Standard"),VLOOKUP(Investment_Strategy&amp;"_"&amp;Investment_Strategy_Sub2&amp;"_"&amp;$A513,'Investment Strategies'!$T:$AF,13,FALSE),
IF(Investment_Strategy="DIY",DIY_ExtManChrge_FuturePremiums,
"Error"))))))</f>
        <v>0</v>
      </c>
      <c r="W513" s="16">
        <f t="shared" si="302"/>
        <v>0</v>
      </c>
      <c r="X513" s="16">
        <f t="shared" si="279"/>
        <v>0</v>
      </c>
      <c r="Y513" s="16">
        <f t="shared" si="280"/>
        <v>0</v>
      </c>
      <c r="Z513" s="31">
        <f t="shared" si="281"/>
        <v>0.02</v>
      </c>
      <c r="AA513" s="16">
        <f t="shared" si="282"/>
        <v>0</v>
      </c>
      <c r="AB513" s="28">
        <f t="shared" si="303"/>
        <v>0</v>
      </c>
      <c r="AC513" s="28">
        <f>(SUM($AC$91:AC512)+SUM($X$91:X512)+X513)*T513*IF(D513=$A$91,SRP_finalmonthfactor,1)</f>
        <v>0</v>
      </c>
      <c r="AD513" s="16">
        <f t="shared" si="283"/>
        <v>0</v>
      </c>
      <c r="AE513" s="106"/>
      <c r="AF513" s="16">
        <f t="shared" si="291"/>
        <v>0</v>
      </c>
      <c r="AG513" s="16">
        <f t="shared" si="292"/>
        <v>0</v>
      </c>
      <c r="AH513" s="16">
        <f t="shared" si="293"/>
        <v>0</v>
      </c>
      <c r="AJ513" s="13">
        <f t="shared" si="307"/>
        <v>0</v>
      </c>
      <c r="AK513" s="13">
        <f t="shared" si="307"/>
        <v>0</v>
      </c>
      <c r="AL513" s="13">
        <f t="shared" si="307"/>
        <v>0</v>
      </c>
      <c r="AM513" s="13">
        <f t="shared" si="307"/>
        <v>0</v>
      </c>
      <c r="AN513" s="13">
        <f t="shared" si="307"/>
        <v>0</v>
      </c>
      <c r="AO513" s="13">
        <f t="shared" si="307"/>
        <v>1</v>
      </c>
      <c r="AP513" s="13">
        <f t="shared" si="307"/>
        <v>1</v>
      </c>
      <c r="AQ513" s="13">
        <f t="shared" si="307"/>
        <v>1</v>
      </c>
      <c r="AR513" s="13">
        <f t="shared" si="307"/>
        <v>0</v>
      </c>
      <c r="AS513" s="13">
        <f t="shared" si="307"/>
        <v>0</v>
      </c>
      <c r="AT513" s="13">
        <f t="shared" si="307"/>
        <v>0</v>
      </c>
      <c r="AU513" s="13">
        <f t="shared" si="307"/>
        <v>1</v>
      </c>
      <c r="AV513" s="13">
        <f t="shared" si="284"/>
        <v>0</v>
      </c>
      <c r="AW513" s="13">
        <f t="shared" si="285"/>
        <v>1</v>
      </c>
      <c r="AY513" s="17">
        <f t="shared" si="286"/>
        <v>423</v>
      </c>
      <c r="AZ513" s="28">
        <f t="shared" si="294"/>
        <v>0</v>
      </c>
      <c r="BA513" s="13">
        <f t="shared" si="287"/>
        <v>0</v>
      </c>
      <c r="BB513" s="13">
        <f t="shared" si="288"/>
        <v>0</v>
      </c>
      <c r="BC513" s="28">
        <f t="shared" si="295"/>
        <v>0</v>
      </c>
      <c r="BD513" s="28">
        <f t="shared" si="296"/>
        <v>0</v>
      </c>
      <c r="BF513" s="248">
        <f t="shared" si="297"/>
        <v>993869.29442638322</v>
      </c>
    </row>
    <row r="514" spans="1:58">
      <c r="A514" s="32">
        <f t="shared" si="298"/>
        <v>-339</v>
      </c>
      <c r="B514" s="32">
        <f t="shared" si="289"/>
        <v>88</v>
      </c>
      <c r="C514" s="32">
        <f t="shared" si="299"/>
        <v>36</v>
      </c>
      <c r="D514" s="32">
        <f t="shared" si="300"/>
        <v>424</v>
      </c>
      <c r="E514" s="74">
        <f>MIN(IF(AV514=0,0,
IF(Investment_Strategy="DIS",VLOOKUP(Investment_Strategy&amp;"_"&amp;Investment_Strategy_Sub1&amp;"_"&amp;$A514,'Investment Strategies'!$AZ:$BP,12,FALSE),
IF(AND(Investment_Strategy="Lifecycle",Investment_Strategy_Sub1="Non-Standard"),VLOOKUP(Investment_Strategy&amp;"_"&amp;Investment_Strategy_Sub2&amp;"_"&amp;$A514,'Investment Strategies'!$C:$P,9,FALSE),
IF(AND(Investment_Strategy="Lifecycle",Investment_Strategy_Sub1="Standard"),VLOOKUP(Investment_Strategy&amp;"_"&amp;Investment_Strategy_Sub2&amp;"_"&amp;$A514,'Investment Strategies'!$AJ:$AV,8,FALSE),
IF(AND(Investment_Strategy="Autopilot",Investment_Strategy_Sub1="Non-Standard"),VLOOKUP(Investment_Strategy&amp;"_"&amp;Investment_Strategy_Sub2&amp;"_"&amp;$A514,'Investment Strategies'!$T:$AF,8,FALSE),
IF(Investment_Strategy ="DIY",DIY_RateOfReturn_CurrentFunds,
"Error")))))),Max_InvReturn)</f>
        <v>0</v>
      </c>
      <c r="F514" s="62">
        <f>IF(AV514=0,0,
IF(Investment_Strategy="DIS",VLOOKUP(Investment_Strategy&amp;"_"&amp;Investment_Strategy_Sub1&amp;"_"&amp;$A514,'Investment Strategies'!$AZ:$BP,15,FALSE),
IF(AND(Investment_Strategy="Lifecycle",Investment_Strategy_Sub1="Non-Standard"),VLOOKUP(Investment_Strategy&amp;"_"&amp;Investment_Strategy_Sub2&amp;"_"&amp;$A514,'Investment Strategies'!$C:$P,12,FALSE),
IF(AND(Investment_Strategy="Lifecycle",Investment_Strategy_Sub1="Standard"),VLOOKUP(Investment_Strategy&amp;"_"&amp;Investment_Strategy_Sub2&amp;"_"&amp;$A514,'Investment Strategies'!$AJ:$AV,11,FALSE),
IF(AND(Investment_Strategy="Autopilot",Investment_Strategy_Sub1="Non-Standard"),VLOOKUP(Investment_Strategy&amp;"_"&amp;Investment_Strategy_Sub2&amp;"_"&amp;$A514,'Investment Strategies'!$T:$AF,11,FALSE),
IF(Investment_Strategy="DIY",DIY_GteeChrge_CurrentFunds,
"Error"))))))</f>
        <v>0</v>
      </c>
      <c r="G514" s="33">
        <f>IF(AV514=0,0,
IF(Investment_Strategy="DIS",VLOOKUP(Investment_Strategy&amp;"_"&amp;Investment_Strategy_Sub1&amp;"_"&amp;$A514,'Investment Strategies'!$AZ:$BP,17,FALSE),
IF(AND(Investment_Strategy="Lifecycle",Investment_Strategy_Sub1="Non-Standard"),VLOOKUP(Investment_Strategy&amp;"_"&amp;Investment_Strategy_Sub2&amp;"_"&amp;$A514,'Investment Strategies'!$C:$P,14,FALSE),
IF(AND(Investment_Strategy="Lifecycle",Investment_Strategy_Sub1="Standard"),VLOOKUP(Investment_Strategy&amp;"_"&amp;Investment_Strategy_Sub2&amp;"_"&amp;$A514,'Investment Strategies'!$AJ:$AV,13,FALSE),
IF(AND(Investment_Strategy="Autopilot",Investment_Strategy_Sub1="Non-Standard"),VLOOKUP(Investment_Strategy&amp;"_"&amp;Investment_Strategy_Sub2&amp;"_"&amp;$A514,'Investment Strategies'!$T:$AF,13,FALSE),
IF(Investment_Strategy="DIY",DIY_ExtManChrge_CurrentFunds,
"Error"))))))</f>
        <v>0</v>
      </c>
      <c r="H514" s="16">
        <f t="shared" si="290"/>
        <v>0</v>
      </c>
      <c r="I514" s="16">
        <f t="shared" si="276"/>
        <v>0</v>
      </c>
      <c r="J514" s="16">
        <f t="shared" si="277"/>
        <v>0</v>
      </c>
      <c r="K514" s="16">
        <f>(Opening_Fund_Value+SUM(K$91:K513))*E514*IF(D514=$A$91,SRP_finalmonthfactor,1)</f>
        <v>0</v>
      </c>
      <c r="L514" s="74">
        <f>MIN(IF($AV514=0,0,
IF(Investment_Strategy="DIS",VLOOKUP(Investment_Strategy&amp;"_"&amp;Investment_Strategy_Sub1&amp;"_"&amp;$A514,'Investment Strategies'!$AZ:$BP,12,FALSE),
IF(AND(Investment_Strategy="Lifecycle",Investment_Strategy_Sub1="Non-Standard"),VLOOKUP(Investment_Strategy&amp;"_"&amp;Investment_Strategy_Sub2&amp;"_"&amp;$A514,'Investment Strategies'!$C:$P,9,FALSE),
IF(AND(Investment_Strategy="Lifecycle",Investment_Strategy_Sub1="Standard"),VLOOKUP(Investment_Strategy&amp;"_"&amp;Investment_Strategy_Sub2&amp;"_"&amp;$A514,'Investment Strategies'!$AJ:$AV,8,FALSE),
IF(AND(Investment_Strategy="Autopilot",Investment_Strategy_Sub1="Non-Standard"),VLOOKUP(Investment_Strategy&amp;"_"&amp;Investment_Strategy_Sub2&amp;"_"&amp;$A514,'Investment Strategies'!$T:$AF,8,FALSE),
IF(Investment_Strategy ="DIY",DIY_RateofReturn_SP,
"Error")))))),Max_InvReturn)</f>
        <v>0</v>
      </c>
      <c r="M514" s="62">
        <f>IF($AV514=0,0,
IF(Investment_Strategy="DIS",VLOOKUP(Investment_Strategy&amp;"_"&amp;Investment_Strategy_Sub1&amp;"_"&amp;$A514,'Investment Strategies'!$AZ:$BP,15,FALSE),
IF(AND(Investment_Strategy="Lifecycle",Investment_Strategy_Sub1="Non-Standard"),VLOOKUP(Investment_Strategy&amp;"_"&amp;Investment_Strategy_Sub2&amp;"_"&amp;$A514,'Investment Strategies'!$C:$P,12,FALSE),
IF(AND(Investment_Strategy="Lifecycle",Investment_Strategy_Sub1="Standard"),VLOOKUP(Investment_Strategy&amp;"_"&amp;Investment_Strategy_Sub2&amp;"_"&amp;$A514,'Investment Strategies'!$AJ:$AV,11,FALSE),
IF(AND(Investment_Strategy="Autopilot",Investment_Strategy_Sub1="Non-Standard"),VLOOKUP(Investment_Strategy&amp;"_"&amp;Investment_Strategy_Sub2&amp;"_"&amp;$A514,'Investment Strategies'!$T:$AF,11,FALSE),
IF(Investment_Strategy="DIY",DIY_GteeChrge_SP,
"Error"))))))</f>
        <v>0</v>
      </c>
      <c r="N514" s="33">
        <f>IF($AV514=0,0,
IF(Investment_Strategy="DIS",VLOOKUP(Investment_Strategy&amp;"_"&amp;Investment_Strategy_Sub1&amp;"_"&amp;$A514,'Investment Strategies'!$AZ:$BP,17,FALSE),
IF(AND(Investment_Strategy="Lifecycle",Investment_Strategy_Sub1="Non-Standard"),VLOOKUP(Investment_Strategy&amp;"_"&amp;Investment_Strategy_Sub2&amp;"_"&amp;$A514,'Investment Strategies'!$C:$P,14,FALSE),
IF(AND(Investment_Strategy="Lifecycle",Investment_Strategy_Sub1="Standard"),VLOOKUP(Investment_Strategy&amp;"_"&amp;Investment_Strategy_Sub2&amp;"_"&amp;$A514,'Investment Strategies'!$AJ:$AV,13,FALSE),
IF(AND(Investment_Strategy="Autopilot",Investment_Strategy_Sub1="Non-Standard"),VLOOKUP(Investment_Strategy&amp;"_"&amp;Investment_Strategy_Sub2&amp;"_"&amp;$A514,'Investment Strategies'!$T:$AF,13,FALSE),
IF(Investment_Strategy="DIY",DIY_ExtManChrge_SP,
"Error"))))))</f>
        <v>0</v>
      </c>
      <c r="O514" s="16">
        <f t="shared" si="301"/>
        <v>0</v>
      </c>
      <c r="Q514" s="16">
        <f t="shared" si="278"/>
        <v>0</v>
      </c>
      <c r="R514" s="16">
        <f t="shared" si="274"/>
        <v>0</v>
      </c>
      <c r="S514" s="16">
        <f>(SRP_SP+SUM(S$91:S513))*L514*IF(D514=$A$91,SRP_finalmonthfactor,1)</f>
        <v>0</v>
      </c>
      <c r="T514" s="74">
        <f>MIN(IF($AV514=0,0,
IF(Investment_Strategy="DIS",VLOOKUP(Investment_Strategy&amp;"_"&amp;Investment_Strategy_Sub1&amp;"_"&amp;$A514,'Investment Strategies'!$AZ:$BP,12,FALSE),
IF(AND(Investment_Strategy="Lifecycle",Investment_Strategy_Sub1="Non-Standard"),VLOOKUP(Investment_Strategy&amp;"_"&amp;Investment_Strategy_Sub2&amp;"_"&amp;$A514,'Investment Strategies'!$C:$P,9,FALSE),
IF(AND(Investment_Strategy="Lifecycle",Investment_Strategy_Sub1="Standard"),VLOOKUP(Investment_Strategy&amp;"_"&amp;Investment_Strategy_Sub2&amp;"_"&amp;$A514,'Investment Strategies'!$AJ:$AV,8,FALSE),
IF(AND(Investment_Strategy="Autopilot",Investment_Strategy_Sub1="Non-Standard"),VLOOKUP(Investment_Strategy&amp;"_"&amp;Investment_Strategy_Sub2&amp;"_"&amp;$A514,'Investment Strategies'!$T:$AF,8,FALSE),
IF(Investment_Strategy ="DIY",DIY_RateOfReturn_FuturePremiums,
"Error")))))),Max_InvReturn)</f>
        <v>0</v>
      </c>
      <c r="U514" s="62">
        <f>IF($AV514=0,0,
IF(Investment_Strategy="DIS",VLOOKUP(Investment_Strategy&amp;"_"&amp;Investment_Strategy_Sub1&amp;"_"&amp;$A514,'Investment Strategies'!$AZ:$BP,15,FALSE),
IF(AND(Investment_Strategy="Lifecycle",Investment_Strategy_Sub1="Non-Standard"),VLOOKUP(Investment_Strategy&amp;"_"&amp;Investment_Strategy_Sub2&amp;"_"&amp;$A514,'Investment Strategies'!$C:$P,12,FALSE),
IF(AND(Investment_Strategy="Lifecycle",Investment_Strategy_Sub1="Standard"),VLOOKUP(Investment_Strategy&amp;"_"&amp;Investment_Strategy_Sub2&amp;"_"&amp;$A514,'Investment Strategies'!$AJ:$AV,11,FALSE),
IF(AND(Investment_Strategy="Autopilot",Investment_Strategy_Sub1="Non-Standard"),VLOOKUP(Investment_Strategy&amp;"_"&amp;Investment_Strategy_Sub2&amp;"_"&amp;$A514,'Investment Strategies'!$T:$AF,11,FALSE),
IF(Investment_Strategy="DIY",DIY_GteeChrge_FuturePremiums,
"Error"))))))</f>
        <v>0</v>
      </c>
      <c r="V514" s="33">
        <f>IF(AV514=0,0,
IF(Investment_Strategy="DIS",VLOOKUP(Investment_Strategy&amp;"_"&amp;Investment_Strategy_Sub1&amp;"_"&amp;$A514,'Investment Strategies'!$AZ:$BP,17,FALSE),
IF(AND(Investment_Strategy="Lifecycle",Investment_Strategy_Sub1="Non-Standard"),VLOOKUP(Investment_Strategy&amp;"_"&amp;Investment_Strategy_Sub2&amp;"_"&amp;$A514,'Investment Strategies'!$C:$P,14,FALSE),
IF(AND(Investment_Strategy="Lifecycle",Investment_Strategy_Sub1="Standard"),VLOOKUP(Investment_Strategy&amp;"_"&amp;Investment_Strategy_Sub2&amp;"_"&amp;$A514,'Investment Strategies'!$AJ:$AV,13,FALSE),
IF(AND(Investment_Strategy="Autopilot",Investment_Strategy_Sub1="Non-Standard"),VLOOKUP(Investment_Strategy&amp;"_"&amp;Investment_Strategy_Sub2&amp;"_"&amp;$A514,'Investment Strategies'!$T:$AF,13,FALSE),
IF(Investment_Strategy="DIY",DIY_ExtManChrge_FuturePremiums,
"Error"))))))</f>
        <v>0</v>
      </c>
      <c r="W514" s="16">
        <f t="shared" si="302"/>
        <v>0</v>
      </c>
      <c r="X514" s="16">
        <f t="shared" si="279"/>
        <v>0</v>
      </c>
      <c r="Y514" s="16">
        <f t="shared" si="280"/>
        <v>0</v>
      </c>
      <c r="Z514" s="31">
        <f t="shared" si="281"/>
        <v>0.02</v>
      </c>
      <c r="AA514" s="16">
        <f t="shared" si="282"/>
        <v>0</v>
      </c>
      <c r="AB514" s="28">
        <f t="shared" si="303"/>
        <v>0</v>
      </c>
      <c r="AC514" s="28">
        <f>(SUM($AC$91:AC513)+SUM($X$91:X513)+X514)*T514*IF(D514=$A$91,SRP_finalmonthfactor,1)</f>
        <v>0</v>
      </c>
      <c r="AD514" s="16">
        <f t="shared" si="283"/>
        <v>0</v>
      </c>
      <c r="AE514" s="106"/>
      <c r="AF514" s="16">
        <f t="shared" si="291"/>
        <v>0</v>
      </c>
      <c r="AG514" s="16">
        <f t="shared" si="292"/>
        <v>0</v>
      </c>
      <c r="AH514" s="16">
        <f t="shared" si="293"/>
        <v>0</v>
      </c>
      <c r="AJ514" s="13">
        <f t="shared" si="307"/>
        <v>0</v>
      </c>
      <c r="AK514" s="13">
        <f t="shared" si="307"/>
        <v>0</v>
      </c>
      <c r="AL514" s="13">
        <f t="shared" si="307"/>
        <v>0</v>
      </c>
      <c r="AM514" s="13">
        <f t="shared" si="307"/>
        <v>0</v>
      </c>
      <c r="AN514" s="13">
        <f t="shared" si="307"/>
        <v>0</v>
      </c>
      <c r="AO514" s="13">
        <f t="shared" si="307"/>
        <v>1</v>
      </c>
      <c r="AP514" s="13">
        <f t="shared" si="307"/>
        <v>1</v>
      </c>
      <c r="AQ514" s="13">
        <f t="shared" si="307"/>
        <v>1</v>
      </c>
      <c r="AR514" s="13">
        <f t="shared" si="307"/>
        <v>0</v>
      </c>
      <c r="AS514" s="13">
        <f t="shared" si="307"/>
        <v>0</v>
      </c>
      <c r="AT514" s="13">
        <f t="shared" si="307"/>
        <v>0</v>
      </c>
      <c r="AU514" s="13">
        <f t="shared" si="307"/>
        <v>1</v>
      </c>
      <c r="AV514" s="13">
        <f t="shared" si="284"/>
        <v>0</v>
      </c>
      <c r="AW514" s="13">
        <f t="shared" si="285"/>
        <v>1</v>
      </c>
      <c r="AY514" s="17">
        <f t="shared" si="286"/>
        <v>424</v>
      </c>
      <c r="AZ514" s="28">
        <f t="shared" si="294"/>
        <v>0</v>
      </c>
      <c r="BA514" s="13">
        <f t="shared" si="287"/>
        <v>0</v>
      </c>
      <c r="BB514" s="13">
        <f t="shared" si="288"/>
        <v>0</v>
      </c>
      <c r="BC514" s="28">
        <f t="shared" si="295"/>
        <v>0</v>
      </c>
      <c r="BD514" s="28">
        <f t="shared" si="296"/>
        <v>0</v>
      </c>
      <c r="BF514" s="248">
        <f t="shared" si="297"/>
        <v>993869.29442638322</v>
      </c>
    </row>
    <row r="515" spans="1:58">
      <c r="A515" s="32">
        <f t="shared" si="298"/>
        <v>-340</v>
      </c>
      <c r="B515" s="32">
        <f t="shared" si="289"/>
        <v>88</v>
      </c>
      <c r="C515" s="32">
        <f t="shared" si="299"/>
        <v>36</v>
      </c>
      <c r="D515" s="32">
        <f t="shared" si="300"/>
        <v>425</v>
      </c>
      <c r="E515" s="74">
        <f>MIN(IF(AV515=0,0,
IF(Investment_Strategy="DIS",VLOOKUP(Investment_Strategy&amp;"_"&amp;Investment_Strategy_Sub1&amp;"_"&amp;$A515,'Investment Strategies'!$AZ:$BP,12,FALSE),
IF(AND(Investment_Strategy="Lifecycle",Investment_Strategy_Sub1="Non-Standard"),VLOOKUP(Investment_Strategy&amp;"_"&amp;Investment_Strategy_Sub2&amp;"_"&amp;$A515,'Investment Strategies'!$C:$P,9,FALSE),
IF(AND(Investment_Strategy="Lifecycle",Investment_Strategy_Sub1="Standard"),VLOOKUP(Investment_Strategy&amp;"_"&amp;Investment_Strategy_Sub2&amp;"_"&amp;$A515,'Investment Strategies'!$AJ:$AV,8,FALSE),
IF(AND(Investment_Strategy="Autopilot",Investment_Strategy_Sub1="Non-Standard"),VLOOKUP(Investment_Strategy&amp;"_"&amp;Investment_Strategy_Sub2&amp;"_"&amp;$A515,'Investment Strategies'!$T:$AF,8,FALSE),
IF(Investment_Strategy ="DIY",DIY_RateOfReturn_CurrentFunds,
"Error")))))),Max_InvReturn)</f>
        <v>0</v>
      </c>
      <c r="F515" s="62">
        <f>IF(AV515=0,0,
IF(Investment_Strategy="DIS",VLOOKUP(Investment_Strategy&amp;"_"&amp;Investment_Strategy_Sub1&amp;"_"&amp;$A515,'Investment Strategies'!$AZ:$BP,15,FALSE),
IF(AND(Investment_Strategy="Lifecycle",Investment_Strategy_Sub1="Non-Standard"),VLOOKUP(Investment_Strategy&amp;"_"&amp;Investment_Strategy_Sub2&amp;"_"&amp;$A515,'Investment Strategies'!$C:$P,12,FALSE),
IF(AND(Investment_Strategy="Lifecycle",Investment_Strategy_Sub1="Standard"),VLOOKUP(Investment_Strategy&amp;"_"&amp;Investment_Strategy_Sub2&amp;"_"&amp;$A515,'Investment Strategies'!$AJ:$AV,11,FALSE),
IF(AND(Investment_Strategy="Autopilot",Investment_Strategy_Sub1="Non-Standard"),VLOOKUP(Investment_Strategy&amp;"_"&amp;Investment_Strategy_Sub2&amp;"_"&amp;$A515,'Investment Strategies'!$T:$AF,11,FALSE),
IF(Investment_Strategy="DIY",DIY_GteeChrge_CurrentFunds,
"Error"))))))</f>
        <v>0</v>
      </c>
      <c r="G515" s="33">
        <f>IF(AV515=0,0,
IF(Investment_Strategy="DIS",VLOOKUP(Investment_Strategy&amp;"_"&amp;Investment_Strategy_Sub1&amp;"_"&amp;$A515,'Investment Strategies'!$AZ:$BP,17,FALSE),
IF(AND(Investment_Strategy="Lifecycle",Investment_Strategy_Sub1="Non-Standard"),VLOOKUP(Investment_Strategy&amp;"_"&amp;Investment_Strategy_Sub2&amp;"_"&amp;$A515,'Investment Strategies'!$C:$P,14,FALSE),
IF(AND(Investment_Strategy="Lifecycle",Investment_Strategy_Sub1="Standard"),VLOOKUP(Investment_Strategy&amp;"_"&amp;Investment_Strategy_Sub2&amp;"_"&amp;$A515,'Investment Strategies'!$AJ:$AV,13,FALSE),
IF(AND(Investment_Strategy="Autopilot",Investment_Strategy_Sub1="Non-Standard"),VLOOKUP(Investment_Strategy&amp;"_"&amp;Investment_Strategy_Sub2&amp;"_"&amp;$A515,'Investment Strategies'!$T:$AF,13,FALSE),
IF(Investment_Strategy="DIY",DIY_ExtManChrge_CurrentFunds,
"Error"))))))</f>
        <v>0</v>
      </c>
      <c r="H515" s="16">
        <f t="shared" si="290"/>
        <v>0</v>
      </c>
      <c r="I515" s="16">
        <f t="shared" si="276"/>
        <v>0</v>
      </c>
      <c r="J515" s="16">
        <f t="shared" si="277"/>
        <v>0</v>
      </c>
      <c r="K515" s="16">
        <f>(Opening_Fund_Value+SUM(K$91:K514))*E515*IF(D515=$A$91,SRP_finalmonthfactor,1)</f>
        <v>0</v>
      </c>
      <c r="L515" s="74">
        <f>MIN(IF($AV515=0,0,
IF(Investment_Strategy="DIS",VLOOKUP(Investment_Strategy&amp;"_"&amp;Investment_Strategy_Sub1&amp;"_"&amp;$A515,'Investment Strategies'!$AZ:$BP,12,FALSE),
IF(AND(Investment_Strategy="Lifecycle",Investment_Strategy_Sub1="Non-Standard"),VLOOKUP(Investment_Strategy&amp;"_"&amp;Investment_Strategy_Sub2&amp;"_"&amp;$A515,'Investment Strategies'!$C:$P,9,FALSE),
IF(AND(Investment_Strategy="Lifecycle",Investment_Strategy_Sub1="Standard"),VLOOKUP(Investment_Strategy&amp;"_"&amp;Investment_Strategy_Sub2&amp;"_"&amp;$A515,'Investment Strategies'!$AJ:$AV,8,FALSE),
IF(AND(Investment_Strategy="Autopilot",Investment_Strategy_Sub1="Non-Standard"),VLOOKUP(Investment_Strategy&amp;"_"&amp;Investment_Strategy_Sub2&amp;"_"&amp;$A515,'Investment Strategies'!$T:$AF,8,FALSE),
IF(Investment_Strategy ="DIY",DIY_RateofReturn_SP,
"Error")))))),Max_InvReturn)</f>
        <v>0</v>
      </c>
      <c r="M515" s="62">
        <f>IF($AV515=0,0,
IF(Investment_Strategy="DIS",VLOOKUP(Investment_Strategy&amp;"_"&amp;Investment_Strategy_Sub1&amp;"_"&amp;$A515,'Investment Strategies'!$AZ:$BP,15,FALSE),
IF(AND(Investment_Strategy="Lifecycle",Investment_Strategy_Sub1="Non-Standard"),VLOOKUP(Investment_Strategy&amp;"_"&amp;Investment_Strategy_Sub2&amp;"_"&amp;$A515,'Investment Strategies'!$C:$P,12,FALSE),
IF(AND(Investment_Strategy="Lifecycle",Investment_Strategy_Sub1="Standard"),VLOOKUP(Investment_Strategy&amp;"_"&amp;Investment_Strategy_Sub2&amp;"_"&amp;$A515,'Investment Strategies'!$AJ:$AV,11,FALSE),
IF(AND(Investment_Strategy="Autopilot",Investment_Strategy_Sub1="Non-Standard"),VLOOKUP(Investment_Strategy&amp;"_"&amp;Investment_Strategy_Sub2&amp;"_"&amp;$A515,'Investment Strategies'!$T:$AF,11,FALSE),
IF(Investment_Strategy="DIY",DIY_GteeChrge_SP,
"Error"))))))</f>
        <v>0</v>
      </c>
      <c r="N515" s="33">
        <f>IF($AV515=0,0,
IF(Investment_Strategy="DIS",VLOOKUP(Investment_Strategy&amp;"_"&amp;Investment_Strategy_Sub1&amp;"_"&amp;$A515,'Investment Strategies'!$AZ:$BP,17,FALSE),
IF(AND(Investment_Strategy="Lifecycle",Investment_Strategy_Sub1="Non-Standard"),VLOOKUP(Investment_Strategy&amp;"_"&amp;Investment_Strategy_Sub2&amp;"_"&amp;$A515,'Investment Strategies'!$C:$P,14,FALSE),
IF(AND(Investment_Strategy="Lifecycle",Investment_Strategy_Sub1="Standard"),VLOOKUP(Investment_Strategy&amp;"_"&amp;Investment_Strategy_Sub2&amp;"_"&amp;$A515,'Investment Strategies'!$AJ:$AV,13,FALSE),
IF(AND(Investment_Strategy="Autopilot",Investment_Strategy_Sub1="Non-Standard"),VLOOKUP(Investment_Strategy&amp;"_"&amp;Investment_Strategy_Sub2&amp;"_"&amp;$A515,'Investment Strategies'!$T:$AF,13,FALSE),
IF(Investment_Strategy="DIY",DIY_ExtManChrge_SP,
"Error"))))))</f>
        <v>0</v>
      </c>
      <c r="O515" s="16">
        <f t="shared" si="301"/>
        <v>0</v>
      </c>
      <c r="Q515" s="16">
        <f t="shared" si="278"/>
        <v>0</v>
      </c>
      <c r="R515" s="16">
        <f t="shared" si="274"/>
        <v>0</v>
      </c>
      <c r="S515" s="16">
        <f>(SRP_SP+SUM(S$91:S514))*L515*IF(D515=$A$91,SRP_finalmonthfactor,1)</f>
        <v>0</v>
      </c>
      <c r="T515" s="74">
        <f>MIN(IF($AV515=0,0,
IF(Investment_Strategy="DIS",VLOOKUP(Investment_Strategy&amp;"_"&amp;Investment_Strategy_Sub1&amp;"_"&amp;$A515,'Investment Strategies'!$AZ:$BP,12,FALSE),
IF(AND(Investment_Strategy="Lifecycle",Investment_Strategy_Sub1="Non-Standard"),VLOOKUP(Investment_Strategy&amp;"_"&amp;Investment_Strategy_Sub2&amp;"_"&amp;$A515,'Investment Strategies'!$C:$P,9,FALSE),
IF(AND(Investment_Strategy="Lifecycle",Investment_Strategy_Sub1="Standard"),VLOOKUP(Investment_Strategy&amp;"_"&amp;Investment_Strategy_Sub2&amp;"_"&amp;$A515,'Investment Strategies'!$AJ:$AV,8,FALSE),
IF(AND(Investment_Strategy="Autopilot",Investment_Strategy_Sub1="Non-Standard"),VLOOKUP(Investment_Strategy&amp;"_"&amp;Investment_Strategy_Sub2&amp;"_"&amp;$A515,'Investment Strategies'!$T:$AF,8,FALSE),
IF(Investment_Strategy ="DIY",DIY_RateOfReturn_FuturePremiums,
"Error")))))),Max_InvReturn)</f>
        <v>0</v>
      </c>
      <c r="U515" s="62">
        <f>IF($AV515=0,0,
IF(Investment_Strategy="DIS",VLOOKUP(Investment_Strategy&amp;"_"&amp;Investment_Strategy_Sub1&amp;"_"&amp;$A515,'Investment Strategies'!$AZ:$BP,15,FALSE),
IF(AND(Investment_Strategy="Lifecycle",Investment_Strategy_Sub1="Non-Standard"),VLOOKUP(Investment_Strategy&amp;"_"&amp;Investment_Strategy_Sub2&amp;"_"&amp;$A515,'Investment Strategies'!$C:$P,12,FALSE),
IF(AND(Investment_Strategy="Lifecycle",Investment_Strategy_Sub1="Standard"),VLOOKUP(Investment_Strategy&amp;"_"&amp;Investment_Strategy_Sub2&amp;"_"&amp;$A515,'Investment Strategies'!$AJ:$AV,11,FALSE),
IF(AND(Investment_Strategy="Autopilot",Investment_Strategy_Sub1="Non-Standard"),VLOOKUP(Investment_Strategy&amp;"_"&amp;Investment_Strategy_Sub2&amp;"_"&amp;$A515,'Investment Strategies'!$T:$AF,11,FALSE),
IF(Investment_Strategy="DIY",DIY_GteeChrge_FuturePremiums,
"Error"))))))</f>
        <v>0</v>
      </c>
      <c r="V515" s="33">
        <f>IF(AV515=0,0,
IF(Investment_Strategy="DIS",VLOOKUP(Investment_Strategy&amp;"_"&amp;Investment_Strategy_Sub1&amp;"_"&amp;$A515,'Investment Strategies'!$AZ:$BP,17,FALSE),
IF(AND(Investment_Strategy="Lifecycle",Investment_Strategy_Sub1="Non-Standard"),VLOOKUP(Investment_Strategy&amp;"_"&amp;Investment_Strategy_Sub2&amp;"_"&amp;$A515,'Investment Strategies'!$C:$P,14,FALSE),
IF(AND(Investment_Strategy="Lifecycle",Investment_Strategy_Sub1="Standard"),VLOOKUP(Investment_Strategy&amp;"_"&amp;Investment_Strategy_Sub2&amp;"_"&amp;$A515,'Investment Strategies'!$AJ:$AV,13,FALSE),
IF(AND(Investment_Strategy="Autopilot",Investment_Strategy_Sub1="Non-Standard"),VLOOKUP(Investment_Strategy&amp;"_"&amp;Investment_Strategy_Sub2&amp;"_"&amp;$A515,'Investment Strategies'!$T:$AF,13,FALSE),
IF(Investment_Strategy="DIY",DIY_ExtManChrge_FuturePremiums,
"Error"))))))</f>
        <v>0</v>
      </c>
      <c r="W515" s="16">
        <f t="shared" si="302"/>
        <v>0</v>
      </c>
      <c r="X515" s="16">
        <f t="shared" si="279"/>
        <v>0</v>
      </c>
      <c r="Y515" s="16">
        <f t="shared" si="280"/>
        <v>0</v>
      </c>
      <c r="Z515" s="31">
        <f t="shared" si="281"/>
        <v>0.02</v>
      </c>
      <c r="AA515" s="16">
        <f t="shared" si="282"/>
        <v>0</v>
      </c>
      <c r="AB515" s="28">
        <f t="shared" si="303"/>
        <v>0</v>
      </c>
      <c r="AC515" s="28">
        <f>(SUM($AC$91:AC514)+SUM($X$91:X514)+X515)*T515*IF(D515=$A$91,SRP_finalmonthfactor,1)</f>
        <v>0</v>
      </c>
      <c r="AD515" s="16">
        <f t="shared" si="283"/>
        <v>0</v>
      </c>
      <c r="AE515" s="106"/>
      <c r="AF515" s="16">
        <f t="shared" si="291"/>
        <v>0</v>
      </c>
      <c r="AG515" s="16">
        <f t="shared" si="292"/>
        <v>0</v>
      </c>
      <c r="AH515" s="16">
        <f t="shared" si="293"/>
        <v>0</v>
      </c>
      <c r="AJ515" s="13">
        <f t="shared" si="307"/>
        <v>0</v>
      </c>
      <c r="AK515" s="13">
        <f t="shared" si="307"/>
        <v>0</v>
      </c>
      <c r="AL515" s="13">
        <f t="shared" si="307"/>
        <v>0</v>
      </c>
      <c r="AM515" s="13">
        <f t="shared" si="307"/>
        <v>0</v>
      </c>
      <c r="AN515" s="13">
        <f t="shared" si="307"/>
        <v>0</v>
      </c>
      <c r="AO515" s="13">
        <f t="shared" si="307"/>
        <v>1</v>
      </c>
      <c r="AP515" s="13">
        <f t="shared" si="307"/>
        <v>1</v>
      </c>
      <c r="AQ515" s="13">
        <f t="shared" si="307"/>
        <v>1</v>
      </c>
      <c r="AR515" s="13">
        <f t="shared" si="307"/>
        <v>0</v>
      </c>
      <c r="AS515" s="13">
        <f t="shared" si="307"/>
        <v>0</v>
      </c>
      <c r="AT515" s="13">
        <f t="shared" si="307"/>
        <v>0</v>
      </c>
      <c r="AU515" s="13">
        <f t="shared" si="307"/>
        <v>1</v>
      </c>
      <c r="AV515" s="13">
        <f t="shared" si="284"/>
        <v>0</v>
      </c>
      <c r="AW515" s="13">
        <f t="shared" si="285"/>
        <v>1</v>
      </c>
      <c r="AY515" s="17">
        <f t="shared" si="286"/>
        <v>425</v>
      </c>
      <c r="AZ515" s="28">
        <f t="shared" si="294"/>
        <v>0</v>
      </c>
      <c r="BA515" s="13">
        <f t="shared" si="287"/>
        <v>0</v>
      </c>
      <c r="BB515" s="13">
        <f t="shared" si="288"/>
        <v>0</v>
      </c>
      <c r="BC515" s="28">
        <f t="shared" si="295"/>
        <v>0</v>
      </c>
      <c r="BD515" s="28">
        <f t="shared" si="296"/>
        <v>0</v>
      </c>
      <c r="BF515" s="248">
        <f t="shared" si="297"/>
        <v>993869.29442638322</v>
      </c>
    </row>
    <row r="516" spans="1:58">
      <c r="A516" s="32">
        <f t="shared" si="298"/>
        <v>-341</v>
      </c>
      <c r="B516" s="32">
        <f t="shared" si="289"/>
        <v>88</v>
      </c>
      <c r="C516" s="32">
        <f t="shared" si="299"/>
        <v>36</v>
      </c>
      <c r="D516" s="32">
        <f t="shared" si="300"/>
        <v>426</v>
      </c>
      <c r="E516" s="74">
        <f>MIN(IF(AV516=0,0,
IF(Investment_Strategy="DIS",VLOOKUP(Investment_Strategy&amp;"_"&amp;Investment_Strategy_Sub1&amp;"_"&amp;$A516,'Investment Strategies'!$AZ:$BP,12,FALSE),
IF(AND(Investment_Strategy="Lifecycle",Investment_Strategy_Sub1="Non-Standard"),VLOOKUP(Investment_Strategy&amp;"_"&amp;Investment_Strategy_Sub2&amp;"_"&amp;$A516,'Investment Strategies'!$C:$P,9,FALSE),
IF(AND(Investment_Strategy="Lifecycle",Investment_Strategy_Sub1="Standard"),VLOOKUP(Investment_Strategy&amp;"_"&amp;Investment_Strategy_Sub2&amp;"_"&amp;$A516,'Investment Strategies'!$AJ:$AV,8,FALSE),
IF(AND(Investment_Strategy="Autopilot",Investment_Strategy_Sub1="Non-Standard"),VLOOKUP(Investment_Strategy&amp;"_"&amp;Investment_Strategy_Sub2&amp;"_"&amp;$A516,'Investment Strategies'!$T:$AF,8,FALSE),
IF(Investment_Strategy ="DIY",DIY_RateOfReturn_CurrentFunds,
"Error")))))),Max_InvReturn)</f>
        <v>0</v>
      </c>
      <c r="F516" s="62">
        <f>IF(AV516=0,0,
IF(Investment_Strategy="DIS",VLOOKUP(Investment_Strategy&amp;"_"&amp;Investment_Strategy_Sub1&amp;"_"&amp;$A516,'Investment Strategies'!$AZ:$BP,15,FALSE),
IF(AND(Investment_Strategy="Lifecycle",Investment_Strategy_Sub1="Non-Standard"),VLOOKUP(Investment_Strategy&amp;"_"&amp;Investment_Strategy_Sub2&amp;"_"&amp;$A516,'Investment Strategies'!$C:$P,12,FALSE),
IF(AND(Investment_Strategy="Lifecycle",Investment_Strategy_Sub1="Standard"),VLOOKUP(Investment_Strategy&amp;"_"&amp;Investment_Strategy_Sub2&amp;"_"&amp;$A516,'Investment Strategies'!$AJ:$AV,11,FALSE),
IF(AND(Investment_Strategy="Autopilot",Investment_Strategy_Sub1="Non-Standard"),VLOOKUP(Investment_Strategy&amp;"_"&amp;Investment_Strategy_Sub2&amp;"_"&amp;$A516,'Investment Strategies'!$T:$AF,11,FALSE),
IF(Investment_Strategy="DIY",DIY_GteeChrge_CurrentFunds,
"Error"))))))</f>
        <v>0</v>
      </c>
      <c r="G516" s="33">
        <f>IF(AV516=0,0,
IF(Investment_Strategy="DIS",VLOOKUP(Investment_Strategy&amp;"_"&amp;Investment_Strategy_Sub1&amp;"_"&amp;$A516,'Investment Strategies'!$AZ:$BP,17,FALSE),
IF(AND(Investment_Strategy="Lifecycle",Investment_Strategy_Sub1="Non-Standard"),VLOOKUP(Investment_Strategy&amp;"_"&amp;Investment_Strategy_Sub2&amp;"_"&amp;$A516,'Investment Strategies'!$C:$P,14,FALSE),
IF(AND(Investment_Strategy="Lifecycle",Investment_Strategy_Sub1="Standard"),VLOOKUP(Investment_Strategy&amp;"_"&amp;Investment_Strategy_Sub2&amp;"_"&amp;$A516,'Investment Strategies'!$AJ:$AV,13,FALSE),
IF(AND(Investment_Strategy="Autopilot",Investment_Strategy_Sub1="Non-Standard"),VLOOKUP(Investment_Strategy&amp;"_"&amp;Investment_Strategy_Sub2&amp;"_"&amp;$A516,'Investment Strategies'!$T:$AF,13,FALSE),
IF(Investment_Strategy="DIY",DIY_ExtManChrge_CurrentFunds,
"Error"))))))</f>
        <v>0</v>
      </c>
      <c r="H516" s="16">
        <f t="shared" si="290"/>
        <v>0</v>
      </c>
      <c r="I516" s="16">
        <f t="shared" si="276"/>
        <v>0</v>
      </c>
      <c r="J516" s="16">
        <f t="shared" si="277"/>
        <v>0</v>
      </c>
      <c r="K516" s="16">
        <f>(Opening_Fund_Value+SUM(K$91:K515))*E516*IF(D516=$A$91,SRP_finalmonthfactor,1)</f>
        <v>0</v>
      </c>
      <c r="L516" s="74">
        <f>MIN(IF($AV516=0,0,
IF(Investment_Strategy="DIS",VLOOKUP(Investment_Strategy&amp;"_"&amp;Investment_Strategy_Sub1&amp;"_"&amp;$A516,'Investment Strategies'!$AZ:$BP,12,FALSE),
IF(AND(Investment_Strategy="Lifecycle",Investment_Strategy_Sub1="Non-Standard"),VLOOKUP(Investment_Strategy&amp;"_"&amp;Investment_Strategy_Sub2&amp;"_"&amp;$A516,'Investment Strategies'!$C:$P,9,FALSE),
IF(AND(Investment_Strategy="Lifecycle",Investment_Strategy_Sub1="Standard"),VLOOKUP(Investment_Strategy&amp;"_"&amp;Investment_Strategy_Sub2&amp;"_"&amp;$A516,'Investment Strategies'!$AJ:$AV,8,FALSE),
IF(AND(Investment_Strategy="Autopilot",Investment_Strategy_Sub1="Non-Standard"),VLOOKUP(Investment_Strategy&amp;"_"&amp;Investment_Strategy_Sub2&amp;"_"&amp;$A516,'Investment Strategies'!$T:$AF,8,FALSE),
IF(Investment_Strategy ="DIY",DIY_RateofReturn_SP,
"Error")))))),Max_InvReturn)</f>
        <v>0</v>
      </c>
      <c r="M516" s="62">
        <f>IF($AV516=0,0,
IF(Investment_Strategy="DIS",VLOOKUP(Investment_Strategy&amp;"_"&amp;Investment_Strategy_Sub1&amp;"_"&amp;$A516,'Investment Strategies'!$AZ:$BP,15,FALSE),
IF(AND(Investment_Strategy="Lifecycle",Investment_Strategy_Sub1="Non-Standard"),VLOOKUP(Investment_Strategy&amp;"_"&amp;Investment_Strategy_Sub2&amp;"_"&amp;$A516,'Investment Strategies'!$C:$P,12,FALSE),
IF(AND(Investment_Strategy="Lifecycle",Investment_Strategy_Sub1="Standard"),VLOOKUP(Investment_Strategy&amp;"_"&amp;Investment_Strategy_Sub2&amp;"_"&amp;$A516,'Investment Strategies'!$AJ:$AV,11,FALSE),
IF(AND(Investment_Strategy="Autopilot",Investment_Strategy_Sub1="Non-Standard"),VLOOKUP(Investment_Strategy&amp;"_"&amp;Investment_Strategy_Sub2&amp;"_"&amp;$A516,'Investment Strategies'!$T:$AF,11,FALSE),
IF(Investment_Strategy="DIY",DIY_GteeChrge_SP,
"Error"))))))</f>
        <v>0</v>
      </c>
      <c r="N516" s="33">
        <f>IF($AV516=0,0,
IF(Investment_Strategy="DIS",VLOOKUP(Investment_Strategy&amp;"_"&amp;Investment_Strategy_Sub1&amp;"_"&amp;$A516,'Investment Strategies'!$AZ:$BP,17,FALSE),
IF(AND(Investment_Strategy="Lifecycle",Investment_Strategy_Sub1="Non-Standard"),VLOOKUP(Investment_Strategy&amp;"_"&amp;Investment_Strategy_Sub2&amp;"_"&amp;$A516,'Investment Strategies'!$C:$P,14,FALSE),
IF(AND(Investment_Strategy="Lifecycle",Investment_Strategy_Sub1="Standard"),VLOOKUP(Investment_Strategy&amp;"_"&amp;Investment_Strategy_Sub2&amp;"_"&amp;$A516,'Investment Strategies'!$AJ:$AV,13,FALSE),
IF(AND(Investment_Strategy="Autopilot",Investment_Strategy_Sub1="Non-Standard"),VLOOKUP(Investment_Strategy&amp;"_"&amp;Investment_Strategy_Sub2&amp;"_"&amp;$A516,'Investment Strategies'!$T:$AF,13,FALSE),
IF(Investment_Strategy="DIY",DIY_ExtManChrge_SP,
"Error"))))))</f>
        <v>0</v>
      </c>
      <c r="O516" s="16">
        <f t="shared" si="301"/>
        <v>0</v>
      </c>
      <c r="Q516" s="16">
        <f t="shared" si="278"/>
        <v>0</v>
      </c>
      <c r="R516" s="16">
        <f t="shared" si="274"/>
        <v>0</v>
      </c>
      <c r="S516" s="16">
        <f>(SRP_SP+SUM(S$91:S515))*L516*IF(D516=$A$91,SRP_finalmonthfactor,1)</f>
        <v>0</v>
      </c>
      <c r="T516" s="74">
        <f>MIN(IF($AV516=0,0,
IF(Investment_Strategy="DIS",VLOOKUP(Investment_Strategy&amp;"_"&amp;Investment_Strategy_Sub1&amp;"_"&amp;$A516,'Investment Strategies'!$AZ:$BP,12,FALSE),
IF(AND(Investment_Strategy="Lifecycle",Investment_Strategy_Sub1="Non-Standard"),VLOOKUP(Investment_Strategy&amp;"_"&amp;Investment_Strategy_Sub2&amp;"_"&amp;$A516,'Investment Strategies'!$C:$P,9,FALSE),
IF(AND(Investment_Strategy="Lifecycle",Investment_Strategy_Sub1="Standard"),VLOOKUP(Investment_Strategy&amp;"_"&amp;Investment_Strategy_Sub2&amp;"_"&amp;$A516,'Investment Strategies'!$AJ:$AV,8,FALSE),
IF(AND(Investment_Strategy="Autopilot",Investment_Strategy_Sub1="Non-Standard"),VLOOKUP(Investment_Strategy&amp;"_"&amp;Investment_Strategy_Sub2&amp;"_"&amp;$A516,'Investment Strategies'!$T:$AF,8,FALSE),
IF(Investment_Strategy ="DIY",DIY_RateOfReturn_FuturePremiums,
"Error")))))),Max_InvReturn)</f>
        <v>0</v>
      </c>
      <c r="U516" s="62">
        <f>IF($AV516=0,0,
IF(Investment_Strategy="DIS",VLOOKUP(Investment_Strategy&amp;"_"&amp;Investment_Strategy_Sub1&amp;"_"&amp;$A516,'Investment Strategies'!$AZ:$BP,15,FALSE),
IF(AND(Investment_Strategy="Lifecycle",Investment_Strategy_Sub1="Non-Standard"),VLOOKUP(Investment_Strategy&amp;"_"&amp;Investment_Strategy_Sub2&amp;"_"&amp;$A516,'Investment Strategies'!$C:$P,12,FALSE),
IF(AND(Investment_Strategy="Lifecycle",Investment_Strategy_Sub1="Standard"),VLOOKUP(Investment_Strategy&amp;"_"&amp;Investment_Strategy_Sub2&amp;"_"&amp;$A516,'Investment Strategies'!$AJ:$AV,11,FALSE),
IF(AND(Investment_Strategy="Autopilot",Investment_Strategy_Sub1="Non-Standard"),VLOOKUP(Investment_Strategy&amp;"_"&amp;Investment_Strategy_Sub2&amp;"_"&amp;$A516,'Investment Strategies'!$T:$AF,11,FALSE),
IF(Investment_Strategy="DIY",DIY_GteeChrge_FuturePremiums,
"Error"))))))</f>
        <v>0</v>
      </c>
      <c r="V516" s="33">
        <f>IF(AV516=0,0,
IF(Investment_Strategy="DIS",VLOOKUP(Investment_Strategy&amp;"_"&amp;Investment_Strategy_Sub1&amp;"_"&amp;$A516,'Investment Strategies'!$AZ:$BP,17,FALSE),
IF(AND(Investment_Strategy="Lifecycle",Investment_Strategy_Sub1="Non-Standard"),VLOOKUP(Investment_Strategy&amp;"_"&amp;Investment_Strategy_Sub2&amp;"_"&amp;$A516,'Investment Strategies'!$C:$P,14,FALSE),
IF(AND(Investment_Strategy="Lifecycle",Investment_Strategy_Sub1="Standard"),VLOOKUP(Investment_Strategy&amp;"_"&amp;Investment_Strategy_Sub2&amp;"_"&amp;$A516,'Investment Strategies'!$AJ:$AV,13,FALSE),
IF(AND(Investment_Strategy="Autopilot",Investment_Strategy_Sub1="Non-Standard"),VLOOKUP(Investment_Strategy&amp;"_"&amp;Investment_Strategy_Sub2&amp;"_"&amp;$A516,'Investment Strategies'!$T:$AF,13,FALSE),
IF(Investment_Strategy="DIY",DIY_ExtManChrge_FuturePremiums,
"Error"))))))</f>
        <v>0</v>
      </c>
      <c r="W516" s="16">
        <f t="shared" si="302"/>
        <v>0</v>
      </c>
      <c r="X516" s="16">
        <f t="shared" si="279"/>
        <v>0</v>
      </c>
      <c r="Y516" s="16">
        <f t="shared" si="280"/>
        <v>0</v>
      </c>
      <c r="Z516" s="31">
        <f t="shared" si="281"/>
        <v>0.02</v>
      </c>
      <c r="AA516" s="16">
        <f t="shared" si="282"/>
        <v>0</v>
      </c>
      <c r="AB516" s="28">
        <f t="shared" si="303"/>
        <v>0</v>
      </c>
      <c r="AC516" s="28">
        <f>(SUM($AC$91:AC515)+SUM($X$91:X515)+X516)*T516*IF(D516=$A$91,SRP_finalmonthfactor,1)</f>
        <v>0</v>
      </c>
      <c r="AD516" s="16">
        <f t="shared" si="283"/>
        <v>0</v>
      </c>
      <c r="AE516" s="106"/>
      <c r="AF516" s="16">
        <f t="shared" si="291"/>
        <v>0</v>
      </c>
      <c r="AG516" s="16">
        <f t="shared" si="292"/>
        <v>0</v>
      </c>
      <c r="AH516" s="16">
        <f t="shared" si="293"/>
        <v>0</v>
      </c>
      <c r="AJ516" s="13">
        <f t="shared" si="307"/>
        <v>0</v>
      </c>
      <c r="AK516" s="13">
        <f t="shared" si="307"/>
        <v>0</v>
      </c>
      <c r="AL516" s="13">
        <f t="shared" si="307"/>
        <v>0</v>
      </c>
      <c r="AM516" s="13">
        <f t="shared" si="307"/>
        <v>0</v>
      </c>
      <c r="AN516" s="13">
        <f t="shared" si="307"/>
        <v>0</v>
      </c>
      <c r="AO516" s="13">
        <f t="shared" si="307"/>
        <v>1</v>
      </c>
      <c r="AP516" s="13">
        <f t="shared" si="307"/>
        <v>1</v>
      </c>
      <c r="AQ516" s="13">
        <f t="shared" si="307"/>
        <v>1</v>
      </c>
      <c r="AR516" s="13">
        <f t="shared" si="307"/>
        <v>0</v>
      </c>
      <c r="AS516" s="13">
        <f t="shared" si="307"/>
        <v>0</v>
      </c>
      <c r="AT516" s="13">
        <f t="shared" si="307"/>
        <v>0</v>
      </c>
      <c r="AU516" s="13">
        <f t="shared" si="307"/>
        <v>1</v>
      </c>
      <c r="AV516" s="13">
        <f t="shared" si="284"/>
        <v>0</v>
      </c>
      <c r="AW516" s="13">
        <f t="shared" si="285"/>
        <v>1</v>
      </c>
      <c r="AY516" s="17">
        <f t="shared" si="286"/>
        <v>426</v>
      </c>
      <c r="AZ516" s="28">
        <f t="shared" si="294"/>
        <v>0</v>
      </c>
      <c r="BA516" s="13">
        <f t="shared" si="287"/>
        <v>0</v>
      </c>
      <c r="BB516" s="13">
        <f t="shared" si="288"/>
        <v>0</v>
      </c>
      <c r="BC516" s="28">
        <f t="shared" si="295"/>
        <v>0</v>
      </c>
      <c r="BD516" s="28">
        <f t="shared" si="296"/>
        <v>0</v>
      </c>
      <c r="BF516" s="248">
        <f t="shared" si="297"/>
        <v>993869.29442638322</v>
      </c>
    </row>
    <row r="517" spans="1:58">
      <c r="A517" s="32">
        <f t="shared" si="298"/>
        <v>-342</v>
      </c>
      <c r="B517" s="32">
        <f t="shared" si="289"/>
        <v>88</v>
      </c>
      <c r="C517" s="32">
        <f t="shared" si="299"/>
        <v>36</v>
      </c>
      <c r="D517" s="32">
        <f t="shared" si="300"/>
        <v>427</v>
      </c>
      <c r="E517" s="74">
        <f>MIN(IF(AV517=0,0,
IF(Investment_Strategy="DIS",VLOOKUP(Investment_Strategy&amp;"_"&amp;Investment_Strategy_Sub1&amp;"_"&amp;$A517,'Investment Strategies'!$AZ:$BP,12,FALSE),
IF(AND(Investment_Strategy="Lifecycle",Investment_Strategy_Sub1="Non-Standard"),VLOOKUP(Investment_Strategy&amp;"_"&amp;Investment_Strategy_Sub2&amp;"_"&amp;$A517,'Investment Strategies'!$C:$P,9,FALSE),
IF(AND(Investment_Strategy="Lifecycle",Investment_Strategy_Sub1="Standard"),VLOOKUP(Investment_Strategy&amp;"_"&amp;Investment_Strategy_Sub2&amp;"_"&amp;$A517,'Investment Strategies'!$AJ:$AV,8,FALSE),
IF(AND(Investment_Strategy="Autopilot",Investment_Strategy_Sub1="Non-Standard"),VLOOKUP(Investment_Strategy&amp;"_"&amp;Investment_Strategy_Sub2&amp;"_"&amp;$A517,'Investment Strategies'!$T:$AF,8,FALSE),
IF(Investment_Strategy ="DIY",DIY_RateOfReturn_CurrentFunds,
"Error")))))),Max_InvReturn)</f>
        <v>0</v>
      </c>
      <c r="F517" s="62">
        <f>IF(AV517=0,0,
IF(Investment_Strategy="DIS",VLOOKUP(Investment_Strategy&amp;"_"&amp;Investment_Strategy_Sub1&amp;"_"&amp;$A517,'Investment Strategies'!$AZ:$BP,15,FALSE),
IF(AND(Investment_Strategy="Lifecycle",Investment_Strategy_Sub1="Non-Standard"),VLOOKUP(Investment_Strategy&amp;"_"&amp;Investment_Strategy_Sub2&amp;"_"&amp;$A517,'Investment Strategies'!$C:$P,12,FALSE),
IF(AND(Investment_Strategy="Lifecycle",Investment_Strategy_Sub1="Standard"),VLOOKUP(Investment_Strategy&amp;"_"&amp;Investment_Strategy_Sub2&amp;"_"&amp;$A517,'Investment Strategies'!$AJ:$AV,11,FALSE),
IF(AND(Investment_Strategy="Autopilot",Investment_Strategy_Sub1="Non-Standard"),VLOOKUP(Investment_Strategy&amp;"_"&amp;Investment_Strategy_Sub2&amp;"_"&amp;$A517,'Investment Strategies'!$T:$AF,11,FALSE),
IF(Investment_Strategy="DIY",DIY_GteeChrge_CurrentFunds,
"Error"))))))</f>
        <v>0</v>
      </c>
      <c r="G517" s="33">
        <f>IF(AV517=0,0,
IF(Investment_Strategy="DIS",VLOOKUP(Investment_Strategy&amp;"_"&amp;Investment_Strategy_Sub1&amp;"_"&amp;$A517,'Investment Strategies'!$AZ:$BP,17,FALSE),
IF(AND(Investment_Strategy="Lifecycle",Investment_Strategy_Sub1="Non-Standard"),VLOOKUP(Investment_Strategy&amp;"_"&amp;Investment_Strategy_Sub2&amp;"_"&amp;$A517,'Investment Strategies'!$C:$P,14,FALSE),
IF(AND(Investment_Strategy="Lifecycle",Investment_Strategy_Sub1="Standard"),VLOOKUP(Investment_Strategy&amp;"_"&amp;Investment_Strategy_Sub2&amp;"_"&amp;$A517,'Investment Strategies'!$AJ:$AV,13,FALSE),
IF(AND(Investment_Strategy="Autopilot",Investment_Strategy_Sub1="Non-Standard"),VLOOKUP(Investment_Strategy&amp;"_"&amp;Investment_Strategy_Sub2&amp;"_"&amp;$A517,'Investment Strategies'!$T:$AF,13,FALSE),
IF(Investment_Strategy="DIY",DIY_ExtManChrge_CurrentFunds,
"Error"))))))</f>
        <v>0</v>
      </c>
      <c r="H517" s="16">
        <f t="shared" si="290"/>
        <v>0</v>
      </c>
      <c r="I517" s="16">
        <f t="shared" si="276"/>
        <v>0</v>
      </c>
      <c r="J517" s="16">
        <f t="shared" si="277"/>
        <v>0</v>
      </c>
      <c r="K517" s="16">
        <f>(Opening_Fund_Value+SUM(K$91:K516))*E517*IF(D517=$A$91,SRP_finalmonthfactor,1)</f>
        <v>0</v>
      </c>
      <c r="L517" s="74">
        <f>MIN(IF($AV517=0,0,
IF(Investment_Strategy="DIS",VLOOKUP(Investment_Strategy&amp;"_"&amp;Investment_Strategy_Sub1&amp;"_"&amp;$A517,'Investment Strategies'!$AZ:$BP,12,FALSE),
IF(AND(Investment_Strategy="Lifecycle",Investment_Strategy_Sub1="Non-Standard"),VLOOKUP(Investment_Strategy&amp;"_"&amp;Investment_Strategy_Sub2&amp;"_"&amp;$A517,'Investment Strategies'!$C:$P,9,FALSE),
IF(AND(Investment_Strategy="Lifecycle",Investment_Strategy_Sub1="Standard"),VLOOKUP(Investment_Strategy&amp;"_"&amp;Investment_Strategy_Sub2&amp;"_"&amp;$A517,'Investment Strategies'!$AJ:$AV,8,FALSE),
IF(AND(Investment_Strategy="Autopilot",Investment_Strategy_Sub1="Non-Standard"),VLOOKUP(Investment_Strategy&amp;"_"&amp;Investment_Strategy_Sub2&amp;"_"&amp;$A517,'Investment Strategies'!$T:$AF,8,FALSE),
IF(Investment_Strategy ="DIY",DIY_RateofReturn_SP,
"Error")))))),Max_InvReturn)</f>
        <v>0</v>
      </c>
      <c r="M517" s="62">
        <f>IF($AV517=0,0,
IF(Investment_Strategy="DIS",VLOOKUP(Investment_Strategy&amp;"_"&amp;Investment_Strategy_Sub1&amp;"_"&amp;$A517,'Investment Strategies'!$AZ:$BP,15,FALSE),
IF(AND(Investment_Strategy="Lifecycle",Investment_Strategy_Sub1="Non-Standard"),VLOOKUP(Investment_Strategy&amp;"_"&amp;Investment_Strategy_Sub2&amp;"_"&amp;$A517,'Investment Strategies'!$C:$P,12,FALSE),
IF(AND(Investment_Strategy="Lifecycle",Investment_Strategy_Sub1="Standard"),VLOOKUP(Investment_Strategy&amp;"_"&amp;Investment_Strategy_Sub2&amp;"_"&amp;$A517,'Investment Strategies'!$AJ:$AV,11,FALSE),
IF(AND(Investment_Strategy="Autopilot",Investment_Strategy_Sub1="Non-Standard"),VLOOKUP(Investment_Strategy&amp;"_"&amp;Investment_Strategy_Sub2&amp;"_"&amp;$A517,'Investment Strategies'!$T:$AF,11,FALSE),
IF(Investment_Strategy="DIY",DIY_GteeChrge_SP,
"Error"))))))</f>
        <v>0</v>
      </c>
      <c r="N517" s="33">
        <f>IF($AV517=0,0,
IF(Investment_Strategy="DIS",VLOOKUP(Investment_Strategy&amp;"_"&amp;Investment_Strategy_Sub1&amp;"_"&amp;$A517,'Investment Strategies'!$AZ:$BP,17,FALSE),
IF(AND(Investment_Strategy="Lifecycle",Investment_Strategy_Sub1="Non-Standard"),VLOOKUP(Investment_Strategy&amp;"_"&amp;Investment_Strategy_Sub2&amp;"_"&amp;$A517,'Investment Strategies'!$C:$P,14,FALSE),
IF(AND(Investment_Strategy="Lifecycle",Investment_Strategy_Sub1="Standard"),VLOOKUP(Investment_Strategy&amp;"_"&amp;Investment_Strategy_Sub2&amp;"_"&amp;$A517,'Investment Strategies'!$AJ:$AV,13,FALSE),
IF(AND(Investment_Strategy="Autopilot",Investment_Strategy_Sub1="Non-Standard"),VLOOKUP(Investment_Strategy&amp;"_"&amp;Investment_Strategy_Sub2&amp;"_"&amp;$A517,'Investment Strategies'!$T:$AF,13,FALSE),
IF(Investment_Strategy="DIY",DIY_ExtManChrge_SP,
"Error"))))))</f>
        <v>0</v>
      </c>
      <c r="O517" s="16">
        <f t="shared" si="301"/>
        <v>0</v>
      </c>
      <c r="Q517" s="16">
        <f t="shared" si="278"/>
        <v>0</v>
      </c>
      <c r="R517" s="16">
        <f t="shared" si="274"/>
        <v>0</v>
      </c>
      <c r="S517" s="16">
        <f>(SRP_SP+SUM(S$91:S516))*L517*IF(D517=$A$91,SRP_finalmonthfactor,1)</f>
        <v>0</v>
      </c>
      <c r="T517" s="74">
        <f>MIN(IF($AV517=0,0,
IF(Investment_Strategy="DIS",VLOOKUP(Investment_Strategy&amp;"_"&amp;Investment_Strategy_Sub1&amp;"_"&amp;$A517,'Investment Strategies'!$AZ:$BP,12,FALSE),
IF(AND(Investment_Strategy="Lifecycle",Investment_Strategy_Sub1="Non-Standard"),VLOOKUP(Investment_Strategy&amp;"_"&amp;Investment_Strategy_Sub2&amp;"_"&amp;$A517,'Investment Strategies'!$C:$P,9,FALSE),
IF(AND(Investment_Strategy="Lifecycle",Investment_Strategy_Sub1="Standard"),VLOOKUP(Investment_Strategy&amp;"_"&amp;Investment_Strategy_Sub2&amp;"_"&amp;$A517,'Investment Strategies'!$AJ:$AV,8,FALSE),
IF(AND(Investment_Strategy="Autopilot",Investment_Strategy_Sub1="Non-Standard"),VLOOKUP(Investment_Strategy&amp;"_"&amp;Investment_Strategy_Sub2&amp;"_"&amp;$A517,'Investment Strategies'!$T:$AF,8,FALSE),
IF(Investment_Strategy ="DIY",DIY_RateOfReturn_FuturePremiums,
"Error")))))),Max_InvReturn)</f>
        <v>0</v>
      </c>
      <c r="U517" s="62">
        <f>IF($AV517=0,0,
IF(Investment_Strategy="DIS",VLOOKUP(Investment_Strategy&amp;"_"&amp;Investment_Strategy_Sub1&amp;"_"&amp;$A517,'Investment Strategies'!$AZ:$BP,15,FALSE),
IF(AND(Investment_Strategy="Lifecycle",Investment_Strategy_Sub1="Non-Standard"),VLOOKUP(Investment_Strategy&amp;"_"&amp;Investment_Strategy_Sub2&amp;"_"&amp;$A517,'Investment Strategies'!$C:$P,12,FALSE),
IF(AND(Investment_Strategy="Lifecycle",Investment_Strategy_Sub1="Standard"),VLOOKUP(Investment_Strategy&amp;"_"&amp;Investment_Strategy_Sub2&amp;"_"&amp;$A517,'Investment Strategies'!$AJ:$AV,11,FALSE),
IF(AND(Investment_Strategy="Autopilot",Investment_Strategy_Sub1="Non-Standard"),VLOOKUP(Investment_Strategy&amp;"_"&amp;Investment_Strategy_Sub2&amp;"_"&amp;$A517,'Investment Strategies'!$T:$AF,11,FALSE),
IF(Investment_Strategy="DIY",DIY_GteeChrge_FuturePremiums,
"Error"))))))</f>
        <v>0</v>
      </c>
      <c r="V517" s="33">
        <f>IF(AV517=0,0,
IF(Investment_Strategy="DIS",VLOOKUP(Investment_Strategy&amp;"_"&amp;Investment_Strategy_Sub1&amp;"_"&amp;$A517,'Investment Strategies'!$AZ:$BP,17,FALSE),
IF(AND(Investment_Strategy="Lifecycle",Investment_Strategy_Sub1="Non-Standard"),VLOOKUP(Investment_Strategy&amp;"_"&amp;Investment_Strategy_Sub2&amp;"_"&amp;$A517,'Investment Strategies'!$C:$P,14,FALSE),
IF(AND(Investment_Strategy="Lifecycle",Investment_Strategy_Sub1="Standard"),VLOOKUP(Investment_Strategy&amp;"_"&amp;Investment_Strategy_Sub2&amp;"_"&amp;$A517,'Investment Strategies'!$AJ:$AV,13,FALSE),
IF(AND(Investment_Strategy="Autopilot",Investment_Strategy_Sub1="Non-Standard"),VLOOKUP(Investment_Strategy&amp;"_"&amp;Investment_Strategy_Sub2&amp;"_"&amp;$A517,'Investment Strategies'!$T:$AF,13,FALSE),
IF(Investment_Strategy="DIY",DIY_ExtManChrge_FuturePremiums,
"Error"))))))</f>
        <v>0</v>
      </c>
      <c r="W517" s="16">
        <f t="shared" si="302"/>
        <v>0</v>
      </c>
      <c r="X517" s="16">
        <f t="shared" si="279"/>
        <v>0</v>
      </c>
      <c r="Y517" s="16">
        <f t="shared" si="280"/>
        <v>0</v>
      </c>
      <c r="Z517" s="31">
        <f t="shared" si="281"/>
        <v>0.02</v>
      </c>
      <c r="AA517" s="16">
        <f t="shared" si="282"/>
        <v>0</v>
      </c>
      <c r="AB517" s="28">
        <f t="shared" si="303"/>
        <v>0</v>
      </c>
      <c r="AC517" s="28">
        <f>(SUM($AC$91:AC516)+SUM($X$91:X516)+X517)*T517*IF(D517=$A$91,SRP_finalmonthfactor,1)</f>
        <v>0</v>
      </c>
      <c r="AD517" s="16">
        <f t="shared" si="283"/>
        <v>0</v>
      </c>
      <c r="AE517" s="106"/>
      <c r="AF517" s="16">
        <f t="shared" si="291"/>
        <v>0</v>
      </c>
      <c r="AG517" s="16">
        <f t="shared" si="292"/>
        <v>0</v>
      </c>
      <c r="AH517" s="16">
        <f t="shared" si="293"/>
        <v>0</v>
      </c>
      <c r="AJ517" s="13">
        <f t="shared" si="307"/>
        <v>0</v>
      </c>
      <c r="AK517" s="13">
        <f t="shared" si="307"/>
        <v>0</v>
      </c>
      <c r="AL517" s="13">
        <f t="shared" si="307"/>
        <v>0</v>
      </c>
      <c r="AM517" s="13">
        <f t="shared" si="307"/>
        <v>0</v>
      </c>
      <c r="AN517" s="13">
        <f t="shared" si="307"/>
        <v>0</v>
      </c>
      <c r="AO517" s="13">
        <f t="shared" si="307"/>
        <v>1</v>
      </c>
      <c r="AP517" s="13">
        <f t="shared" si="307"/>
        <v>1</v>
      </c>
      <c r="AQ517" s="13">
        <f t="shared" si="307"/>
        <v>1</v>
      </c>
      <c r="AR517" s="13">
        <f t="shared" si="307"/>
        <v>0</v>
      </c>
      <c r="AS517" s="13">
        <f t="shared" si="307"/>
        <v>0</v>
      </c>
      <c r="AT517" s="13">
        <f t="shared" si="307"/>
        <v>0</v>
      </c>
      <c r="AU517" s="13">
        <f t="shared" si="307"/>
        <v>1</v>
      </c>
      <c r="AV517" s="13">
        <f t="shared" si="284"/>
        <v>0</v>
      </c>
      <c r="AW517" s="13">
        <f t="shared" si="285"/>
        <v>1</v>
      </c>
      <c r="AY517" s="17">
        <f t="shared" si="286"/>
        <v>427</v>
      </c>
      <c r="AZ517" s="28">
        <f t="shared" si="294"/>
        <v>0</v>
      </c>
      <c r="BA517" s="13">
        <f t="shared" si="287"/>
        <v>0</v>
      </c>
      <c r="BB517" s="13">
        <f t="shared" si="288"/>
        <v>0</v>
      </c>
      <c r="BC517" s="28">
        <f t="shared" si="295"/>
        <v>0</v>
      </c>
      <c r="BD517" s="28">
        <f t="shared" si="296"/>
        <v>0</v>
      </c>
      <c r="BF517" s="248">
        <f t="shared" si="297"/>
        <v>993869.29442638322</v>
      </c>
    </row>
    <row r="518" spans="1:58">
      <c r="A518" s="32">
        <f t="shared" si="298"/>
        <v>-343</v>
      </c>
      <c r="B518" s="32">
        <f t="shared" si="289"/>
        <v>88</v>
      </c>
      <c r="C518" s="32">
        <f t="shared" si="299"/>
        <v>36</v>
      </c>
      <c r="D518" s="32">
        <f t="shared" si="300"/>
        <v>428</v>
      </c>
      <c r="E518" s="74">
        <f>MIN(IF(AV518=0,0,
IF(Investment_Strategy="DIS",VLOOKUP(Investment_Strategy&amp;"_"&amp;Investment_Strategy_Sub1&amp;"_"&amp;$A518,'Investment Strategies'!$AZ:$BP,12,FALSE),
IF(AND(Investment_Strategy="Lifecycle",Investment_Strategy_Sub1="Non-Standard"),VLOOKUP(Investment_Strategy&amp;"_"&amp;Investment_Strategy_Sub2&amp;"_"&amp;$A518,'Investment Strategies'!$C:$P,9,FALSE),
IF(AND(Investment_Strategy="Lifecycle",Investment_Strategy_Sub1="Standard"),VLOOKUP(Investment_Strategy&amp;"_"&amp;Investment_Strategy_Sub2&amp;"_"&amp;$A518,'Investment Strategies'!$AJ:$AV,8,FALSE),
IF(AND(Investment_Strategy="Autopilot",Investment_Strategy_Sub1="Non-Standard"),VLOOKUP(Investment_Strategy&amp;"_"&amp;Investment_Strategy_Sub2&amp;"_"&amp;$A518,'Investment Strategies'!$T:$AF,8,FALSE),
IF(Investment_Strategy ="DIY",DIY_RateOfReturn_CurrentFunds,
"Error")))))),Max_InvReturn)</f>
        <v>0</v>
      </c>
      <c r="F518" s="62">
        <f>IF(AV518=0,0,
IF(Investment_Strategy="DIS",VLOOKUP(Investment_Strategy&amp;"_"&amp;Investment_Strategy_Sub1&amp;"_"&amp;$A518,'Investment Strategies'!$AZ:$BP,15,FALSE),
IF(AND(Investment_Strategy="Lifecycle",Investment_Strategy_Sub1="Non-Standard"),VLOOKUP(Investment_Strategy&amp;"_"&amp;Investment_Strategy_Sub2&amp;"_"&amp;$A518,'Investment Strategies'!$C:$P,12,FALSE),
IF(AND(Investment_Strategy="Lifecycle",Investment_Strategy_Sub1="Standard"),VLOOKUP(Investment_Strategy&amp;"_"&amp;Investment_Strategy_Sub2&amp;"_"&amp;$A518,'Investment Strategies'!$AJ:$AV,11,FALSE),
IF(AND(Investment_Strategy="Autopilot",Investment_Strategy_Sub1="Non-Standard"),VLOOKUP(Investment_Strategy&amp;"_"&amp;Investment_Strategy_Sub2&amp;"_"&amp;$A518,'Investment Strategies'!$T:$AF,11,FALSE),
IF(Investment_Strategy="DIY",DIY_GteeChrge_CurrentFunds,
"Error"))))))</f>
        <v>0</v>
      </c>
      <c r="G518" s="33">
        <f>IF(AV518=0,0,
IF(Investment_Strategy="DIS",VLOOKUP(Investment_Strategy&amp;"_"&amp;Investment_Strategy_Sub1&amp;"_"&amp;$A518,'Investment Strategies'!$AZ:$BP,17,FALSE),
IF(AND(Investment_Strategy="Lifecycle",Investment_Strategy_Sub1="Non-Standard"),VLOOKUP(Investment_Strategy&amp;"_"&amp;Investment_Strategy_Sub2&amp;"_"&amp;$A518,'Investment Strategies'!$C:$P,14,FALSE),
IF(AND(Investment_Strategy="Lifecycle",Investment_Strategy_Sub1="Standard"),VLOOKUP(Investment_Strategy&amp;"_"&amp;Investment_Strategy_Sub2&amp;"_"&amp;$A518,'Investment Strategies'!$AJ:$AV,13,FALSE),
IF(AND(Investment_Strategy="Autopilot",Investment_Strategy_Sub1="Non-Standard"),VLOOKUP(Investment_Strategy&amp;"_"&amp;Investment_Strategy_Sub2&amp;"_"&amp;$A518,'Investment Strategies'!$T:$AF,13,FALSE),
IF(Investment_Strategy="DIY",DIY_ExtManChrge_CurrentFunds,
"Error"))))))</f>
        <v>0</v>
      </c>
      <c r="H518" s="16">
        <f t="shared" si="290"/>
        <v>0</v>
      </c>
      <c r="I518" s="16">
        <f t="shared" si="276"/>
        <v>0</v>
      </c>
      <c r="J518" s="16">
        <f t="shared" si="277"/>
        <v>0</v>
      </c>
      <c r="K518" s="16">
        <f>(Opening_Fund_Value+SUM(K$91:K517))*E518*IF(D518=$A$91,SRP_finalmonthfactor,1)</f>
        <v>0</v>
      </c>
      <c r="L518" s="74">
        <f>MIN(IF($AV518=0,0,
IF(Investment_Strategy="DIS",VLOOKUP(Investment_Strategy&amp;"_"&amp;Investment_Strategy_Sub1&amp;"_"&amp;$A518,'Investment Strategies'!$AZ:$BP,12,FALSE),
IF(AND(Investment_Strategy="Lifecycle",Investment_Strategy_Sub1="Non-Standard"),VLOOKUP(Investment_Strategy&amp;"_"&amp;Investment_Strategy_Sub2&amp;"_"&amp;$A518,'Investment Strategies'!$C:$P,9,FALSE),
IF(AND(Investment_Strategy="Lifecycle",Investment_Strategy_Sub1="Standard"),VLOOKUP(Investment_Strategy&amp;"_"&amp;Investment_Strategy_Sub2&amp;"_"&amp;$A518,'Investment Strategies'!$AJ:$AV,8,FALSE),
IF(AND(Investment_Strategy="Autopilot",Investment_Strategy_Sub1="Non-Standard"),VLOOKUP(Investment_Strategy&amp;"_"&amp;Investment_Strategy_Sub2&amp;"_"&amp;$A518,'Investment Strategies'!$T:$AF,8,FALSE),
IF(Investment_Strategy ="DIY",DIY_RateofReturn_SP,
"Error")))))),Max_InvReturn)</f>
        <v>0</v>
      </c>
      <c r="M518" s="62">
        <f>IF($AV518=0,0,
IF(Investment_Strategy="DIS",VLOOKUP(Investment_Strategy&amp;"_"&amp;Investment_Strategy_Sub1&amp;"_"&amp;$A518,'Investment Strategies'!$AZ:$BP,15,FALSE),
IF(AND(Investment_Strategy="Lifecycle",Investment_Strategy_Sub1="Non-Standard"),VLOOKUP(Investment_Strategy&amp;"_"&amp;Investment_Strategy_Sub2&amp;"_"&amp;$A518,'Investment Strategies'!$C:$P,12,FALSE),
IF(AND(Investment_Strategy="Lifecycle",Investment_Strategy_Sub1="Standard"),VLOOKUP(Investment_Strategy&amp;"_"&amp;Investment_Strategy_Sub2&amp;"_"&amp;$A518,'Investment Strategies'!$AJ:$AV,11,FALSE),
IF(AND(Investment_Strategy="Autopilot",Investment_Strategy_Sub1="Non-Standard"),VLOOKUP(Investment_Strategy&amp;"_"&amp;Investment_Strategy_Sub2&amp;"_"&amp;$A518,'Investment Strategies'!$T:$AF,11,FALSE),
IF(Investment_Strategy="DIY",DIY_GteeChrge_SP,
"Error"))))))</f>
        <v>0</v>
      </c>
      <c r="N518" s="33">
        <f>IF($AV518=0,0,
IF(Investment_Strategy="DIS",VLOOKUP(Investment_Strategy&amp;"_"&amp;Investment_Strategy_Sub1&amp;"_"&amp;$A518,'Investment Strategies'!$AZ:$BP,17,FALSE),
IF(AND(Investment_Strategy="Lifecycle",Investment_Strategy_Sub1="Non-Standard"),VLOOKUP(Investment_Strategy&amp;"_"&amp;Investment_Strategy_Sub2&amp;"_"&amp;$A518,'Investment Strategies'!$C:$P,14,FALSE),
IF(AND(Investment_Strategy="Lifecycle",Investment_Strategy_Sub1="Standard"),VLOOKUP(Investment_Strategy&amp;"_"&amp;Investment_Strategy_Sub2&amp;"_"&amp;$A518,'Investment Strategies'!$AJ:$AV,13,FALSE),
IF(AND(Investment_Strategy="Autopilot",Investment_Strategy_Sub1="Non-Standard"),VLOOKUP(Investment_Strategy&amp;"_"&amp;Investment_Strategy_Sub2&amp;"_"&amp;$A518,'Investment Strategies'!$T:$AF,13,FALSE),
IF(Investment_Strategy="DIY",DIY_ExtManChrge_SP,
"Error"))))))</f>
        <v>0</v>
      </c>
      <c r="O518" s="16">
        <f t="shared" si="301"/>
        <v>0</v>
      </c>
      <c r="Q518" s="16">
        <f t="shared" si="278"/>
        <v>0</v>
      </c>
      <c r="R518" s="16">
        <f t="shared" si="274"/>
        <v>0</v>
      </c>
      <c r="S518" s="16">
        <f>(SRP_SP+SUM(S$91:S517))*L518*IF(D518=$A$91,SRP_finalmonthfactor,1)</f>
        <v>0</v>
      </c>
      <c r="T518" s="74">
        <f>MIN(IF($AV518=0,0,
IF(Investment_Strategy="DIS",VLOOKUP(Investment_Strategy&amp;"_"&amp;Investment_Strategy_Sub1&amp;"_"&amp;$A518,'Investment Strategies'!$AZ:$BP,12,FALSE),
IF(AND(Investment_Strategy="Lifecycle",Investment_Strategy_Sub1="Non-Standard"),VLOOKUP(Investment_Strategy&amp;"_"&amp;Investment_Strategy_Sub2&amp;"_"&amp;$A518,'Investment Strategies'!$C:$P,9,FALSE),
IF(AND(Investment_Strategy="Lifecycle",Investment_Strategy_Sub1="Standard"),VLOOKUP(Investment_Strategy&amp;"_"&amp;Investment_Strategy_Sub2&amp;"_"&amp;$A518,'Investment Strategies'!$AJ:$AV,8,FALSE),
IF(AND(Investment_Strategy="Autopilot",Investment_Strategy_Sub1="Non-Standard"),VLOOKUP(Investment_Strategy&amp;"_"&amp;Investment_Strategy_Sub2&amp;"_"&amp;$A518,'Investment Strategies'!$T:$AF,8,FALSE),
IF(Investment_Strategy ="DIY",DIY_RateOfReturn_FuturePremiums,
"Error")))))),Max_InvReturn)</f>
        <v>0</v>
      </c>
      <c r="U518" s="62">
        <f>IF($AV518=0,0,
IF(Investment_Strategy="DIS",VLOOKUP(Investment_Strategy&amp;"_"&amp;Investment_Strategy_Sub1&amp;"_"&amp;$A518,'Investment Strategies'!$AZ:$BP,15,FALSE),
IF(AND(Investment_Strategy="Lifecycle",Investment_Strategy_Sub1="Non-Standard"),VLOOKUP(Investment_Strategy&amp;"_"&amp;Investment_Strategy_Sub2&amp;"_"&amp;$A518,'Investment Strategies'!$C:$P,12,FALSE),
IF(AND(Investment_Strategy="Lifecycle",Investment_Strategy_Sub1="Standard"),VLOOKUP(Investment_Strategy&amp;"_"&amp;Investment_Strategy_Sub2&amp;"_"&amp;$A518,'Investment Strategies'!$AJ:$AV,11,FALSE),
IF(AND(Investment_Strategy="Autopilot",Investment_Strategy_Sub1="Non-Standard"),VLOOKUP(Investment_Strategy&amp;"_"&amp;Investment_Strategy_Sub2&amp;"_"&amp;$A518,'Investment Strategies'!$T:$AF,11,FALSE),
IF(Investment_Strategy="DIY",DIY_GteeChrge_FuturePremiums,
"Error"))))))</f>
        <v>0</v>
      </c>
      <c r="V518" s="33">
        <f>IF(AV518=0,0,
IF(Investment_Strategy="DIS",VLOOKUP(Investment_Strategy&amp;"_"&amp;Investment_Strategy_Sub1&amp;"_"&amp;$A518,'Investment Strategies'!$AZ:$BP,17,FALSE),
IF(AND(Investment_Strategy="Lifecycle",Investment_Strategy_Sub1="Non-Standard"),VLOOKUP(Investment_Strategy&amp;"_"&amp;Investment_Strategy_Sub2&amp;"_"&amp;$A518,'Investment Strategies'!$C:$P,14,FALSE),
IF(AND(Investment_Strategy="Lifecycle",Investment_Strategy_Sub1="Standard"),VLOOKUP(Investment_Strategy&amp;"_"&amp;Investment_Strategy_Sub2&amp;"_"&amp;$A518,'Investment Strategies'!$AJ:$AV,13,FALSE),
IF(AND(Investment_Strategy="Autopilot",Investment_Strategy_Sub1="Non-Standard"),VLOOKUP(Investment_Strategy&amp;"_"&amp;Investment_Strategy_Sub2&amp;"_"&amp;$A518,'Investment Strategies'!$T:$AF,13,FALSE),
IF(Investment_Strategy="DIY",DIY_ExtManChrge_FuturePremiums,
"Error"))))))</f>
        <v>0</v>
      </c>
      <c r="W518" s="16">
        <f t="shared" si="302"/>
        <v>0</v>
      </c>
      <c r="X518" s="16">
        <f t="shared" si="279"/>
        <v>0</v>
      </c>
      <c r="Y518" s="16">
        <f t="shared" si="280"/>
        <v>0</v>
      </c>
      <c r="Z518" s="31">
        <f t="shared" si="281"/>
        <v>0.02</v>
      </c>
      <c r="AA518" s="16">
        <f t="shared" si="282"/>
        <v>0</v>
      </c>
      <c r="AB518" s="28">
        <f t="shared" si="303"/>
        <v>0</v>
      </c>
      <c r="AC518" s="28">
        <f>(SUM($AC$91:AC517)+SUM($X$91:X517)+X518)*T518*IF(D518=$A$91,SRP_finalmonthfactor,1)</f>
        <v>0</v>
      </c>
      <c r="AD518" s="16">
        <f t="shared" si="283"/>
        <v>0</v>
      </c>
      <c r="AE518" s="106"/>
      <c r="AF518" s="16">
        <f t="shared" si="291"/>
        <v>0</v>
      </c>
      <c r="AG518" s="16">
        <f t="shared" si="292"/>
        <v>0</v>
      </c>
      <c r="AH518" s="16">
        <f t="shared" si="293"/>
        <v>0</v>
      </c>
      <c r="AJ518" s="13">
        <f t="shared" si="307"/>
        <v>0</v>
      </c>
      <c r="AK518" s="13">
        <f t="shared" si="307"/>
        <v>0</v>
      </c>
      <c r="AL518" s="13">
        <f t="shared" si="307"/>
        <v>0</v>
      </c>
      <c r="AM518" s="13">
        <f t="shared" si="307"/>
        <v>0</v>
      </c>
      <c r="AN518" s="13">
        <f t="shared" si="307"/>
        <v>0</v>
      </c>
      <c r="AO518" s="13">
        <f t="shared" si="307"/>
        <v>1</v>
      </c>
      <c r="AP518" s="13">
        <f t="shared" si="307"/>
        <v>1</v>
      </c>
      <c r="AQ518" s="13">
        <f t="shared" si="307"/>
        <v>1</v>
      </c>
      <c r="AR518" s="13">
        <f t="shared" si="307"/>
        <v>0</v>
      </c>
      <c r="AS518" s="13">
        <f t="shared" si="307"/>
        <v>0</v>
      </c>
      <c r="AT518" s="13">
        <f t="shared" si="307"/>
        <v>0</v>
      </c>
      <c r="AU518" s="13">
        <f t="shared" si="307"/>
        <v>1</v>
      </c>
      <c r="AV518" s="13">
        <f t="shared" si="284"/>
        <v>0</v>
      </c>
      <c r="AW518" s="13">
        <f t="shared" si="285"/>
        <v>1</v>
      </c>
      <c r="AY518" s="17">
        <f t="shared" si="286"/>
        <v>428</v>
      </c>
      <c r="AZ518" s="28">
        <f t="shared" si="294"/>
        <v>0</v>
      </c>
      <c r="BA518" s="13">
        <f t="shared" si="287"/>
        <v>0</v>
      </c>
      <c r="BB518" s="13">
        <f t="shared" si="288"/>
        <v>0</v>
      </c>
      <c r="BC518" s="28">
        <f t="shared" si="295"/>
        <v>0</v>
      </c>
      <c r="BD518" s="28">
        <f t="shared" si="296"/>
        <v>0</v>
      </c>
      <c r="BF518" s="248">
        <f t="shared" si="297"/>
        <v>993869.29442638322</v>
      </c>
    </row>
    <row r="519" spans="1:58">
      <c r="A519" s="32">
        <f t="shared" si="298"/>
        <v>-344</v>
      </c>
      <c r="B519" s="32">
        <f t="shared" si="289"/>
        <v>88</v>
      </c>
      <c r="C519" s="32">
        <f t="shared" si="299"/>
        <v>36</v>
      </c>
      <c r="D519" s="32">
        <f t="shared" si="300"/>
        <v>429</v>
      </c>
      <c r="E519" s="74">
        <f>MIN(IF(AV519=0,0,
IF(Investment_Strategy="DIS",VLOOKUP(Investment_Strategy&amp;"_"&amp;Investment_Strategy_Sub1&amp;"_"&amp;$A519,'Investment Strategies'!$AZ:$BP,12,FALSE),
IF(AND(Investment_Strategy="Lifecycle",Investment_Strategy_Sub1="Non-Standard"),VLOOKUP(Investment_Strategy&amp;"_"&amp;Investment_Strategy_Sub2&amp;"_"&amp;$A519,'Investment Strategies'!$C:$P,9,FALSE),
IF(AND(Investment_Strategy="Lifecycle",Investment_Strategy_Sub1="Standard"),VLOOKUP(Investment_Strategy&amp;"_"&amp;Investment_Strategy_Sub2&amp;"_"&amp;$A519,'Investment Strategies'!$AJ:$AV,8,FALSE),
IF(AND(Investment_Strategy="Autopilot",Investment_Strategy_Sub1="Non-Standard"),VLOOKUP(Investment_Strategy&amp;"_"&amp;Investment_Strategy_Sub2&amp;"_"&amp;$A519,'Investment Strategies'!$T:$AF,8,FALSE),
IF(Investment_Strategy ="DIY",DIY_RateOfReturn_CurrentFunds,
"Error")))))),Max_InvReturn)</f>
        <v>0</v>
      </c>
      <c r="F519" s="62">
        <f>IF(AV519=0,0,
IF(Investment_Strategy="DIS",VLOOKUP(Investment_Strategy&amp;"_"&amp;Investment_Strategy_Sub1&amp;"_"&amp;$A519,'Investment Strategies'!$AZ:$BP,15,FALSE),
IF(AND(Investment_Strategy="Lifecycle",Investment_Strategy_Sub1="Non-Standard"),VLOOKUP(Investment_Strategy&amp;"_"&amp;Investment_Strategy_Sub2&amp;"_"&amp;$A519,'Investment Strategies'!$C:$P,12,FALSE),
IF(AND(Investment_Strategy="Lifecycle",Investment_Strategy_Sub1="Standard"),VLOOKUP(Investment_Strategy&amp;"_"&amp;Investment_Strategy_Sub2&amp;"_"&amp;$A519,'Investment Strategies'!$AJ:$AV,11,FALSE),
IF(AND(Investment_Strategy="Autopilot",Investment_Strategy_Sub1="Non-Standard"),VLOOKUP(Investment_Strategy&amp;"_"&amp;Investment_Strategy_Sub2&amp;"_"&amp;$A519,'Investment Strategies'!$T:$AF,11,FALSE),
IF(Investment_Strategy="DIY",DIY_GteeChrge_CurrentFunds,
"Error"))))))</f>
        <v>0</v>
      </c>
      <c r="G519" s="33">
        <f>IF(AV519=0,0,
IF(Investment_Strategy="DIS",VLOOKUP(Investment_Strategy&amp;"_"&amp;Investment_Strategy_Sub1&amp;"_"&amp;$A519,'Investment Strategies'!$AZ:$BP,17,FALSE),
IF(AND(Investment_Strategy="Lifecycle",Investment_Strategy_Sub1="Non-Standard"),VLOOKUP(Investment_Strategy&amp;"_"&amp;Investment_Strategy_Sub2&amp;"_"&amp;$A519,'Investment Strategies'!$C:$P,14,FALSE),
IF(AND(Investment_Strategy="Lifecycle",Investment_Strategy_Sub1="Standard"),VLOOKUP(Investment_Strategy&amp;"_"&amp;Investment_Strategy_Sub2&amp;"_"&amp;$A519,'Investment Strategies'!$AJ:$AV,13,FALSE),
IF(AND(Investment_Strategy="Autopilot",Investment_Strategy_Sub1="Non-Standard"),VLOOKUP(Investment_Strategy&amp;"_"&amp;Investment_Strategy_Sub2&amp;"_"&amp;$A519,'Investment Strategies'!$T:$AF,13,FALSE),
IF(Investment_Strategy="DIY",DIY_ExtManChrge_CurrentFunds,
"Error"))))))</f>
        <v>0</v>
      </c>
      <c r="H519" s="16">
        <f t="shared" si="290"/>
        <v>0</v>
      </c>
      <c r="I519" s="16">
        <f t="shared" si="276"/>
        <v>0</v>
      </c>
      <c r="J519" s="16">
        <f t="shared" si="277"/>
        <v>0</v>
      </c>
      <c r="K519" s="16">
        <f>(Opening_Fund_Value+SUM(K$91:K518))*E519*IF(D519=$A$91,SRP_finalmonthfactor,1)</f>
        <v>0</v>
      </c>
      <c r="L519" s="74">
        <f>MIN(IF($AV519=0,0,
IF(Investment_Strategy="DIS",VLOOKUP(Investment_Strategy&amp;"_"&amp;Investment_Strategy_Sub1&amp;"_"&amp;$A519,'Investment Strategies'!$AZ:$BP,12,FALSE),
IF(AND(Investment_Strategy="Lifecycle",Investment_Strategy_Sub1="Non-Standard"),VLOOKUP(Investment_Strategy&amp;"_"&amp;Investment_Strategy_Sub2&amp;"_"&amp;$A519,'Investment Strategies'!$C:$P,9,FALSE),
IF(AND(Investment_Strategy="Lifecycle",Investment_Strategy_Sub1="Standard"),VLOOKUP(Investment_Strategy&amp;"_"&amp;Investment_Strategy_Sub2&amp;"_"&amp;$A519,'Investment Strategies'!$AJ:$AV,8,FALSE),
IF(AND(Investment_Strategy="Autopilot",Investment_Strategy_Sub1="Non-Standard"),VLOOKUP(Investment_Strategy&amp;"_"&amp;Investment_Strategy_Sub2&amp;"_"&amp;$A519,'Investment Strategies'!$T:$AF,8,FALSE),
IF(Investment_Strategy ="DIY",DIY_RateofReturn_SP,
"Error")))))),Max_InvReturn)</f>
        <v>0</v>
      </c>
      <c r="M519" s="62">
        <f>IF($AV519=0,0,
IF(Investment_Strategy="DIS",VLOOKUP(Investment_Strategy&amp;"_"&amp;Investment_Strategy_Sub1&amp;"_"&amp;$A519,'Investment Strategies'!$AZ:$BP,15,FALSE),
IF(AND(Investment_Strategy="Lifecycle",Investment_Strategy_Sub1="Non-Standard"),VLOOKUP(Investment_Strategy&amp;"_"&amp;Investment_Strategy_Sub2&amp;"_"&amp;$A519,'Investment Strategies'!$C:$P,12,FALSE),
IF(AND(Investment_Strategy="Lifecycle",Investment_Strategy_Sub1="Standard"),VLOOKUP(Investment_Strategy&amp;"_"&amp;Investment_Strategy_Sub2&amp;"_"&amp;$A519,'Investment Strategies'!$AJ:$AV,11,FALSE),
IF(AND(Investment_Strategy="Autopilot",Investment_Strategy_Sub1="Non-Standard"),VLOOKUP(Investment_Strategy&amp;"_"&amp;Investment_Strategy_Sub2&amp;"_"&amp;$A519,'Investment Strategies'!$T:$AF,11,FALSE),
IF(Investment_Strategy="DIY",DIY_GteeChrge_SP,
"Error"))))))</f>
        <v>0</v>
      </c>
      <c r="N519" s="33">
        <f>IF($AV519=0,0,
IF(Investment_Strategy="DIS",VLOOKUP(Investment_Strategy&amp;"_"&amp;Investment_Strategy_Sub1&amp;"_"&amp;$A519,'Investment Strategies'!$AZ:$BP,17,FALSE),
IF(AND(Investment_Strategy="Lifecycle",Investment_Strategy_Sub1="Non-Standard"),VLOOKUP(Investment_Strategy&amp;"_"&amp;Investment_Strategy_Sub2&amp;"_"&amp;$A519,'Investment Strategies'!$C:$P,14,FALSE),
IF(AND(Investment_Strategy="Lifecycle",Investment_Strategy_Sub1="Standard"),VLOOKUP(Investment_Strategy&amp;"_"&amp;Investment_Strategy_Sub2&amp;"_"&amp;$A519,'Investment Strategies'!$AJ:$AV,13,FALSE),
IF(AND(Investment_Strategy="Autopilot",Investment_Strategy_Sub1="Non-Standard"),VLOOKUP(Investment_Strategy&amp;"_"&amp;Investment_Strategy_Sub2&amp;"_"&amp;$A519,'Investment Strategies'!$T:$AF,13,FALSE),
IF(Investment_Strategy="DIY",DIY_ExtManChrge_SP,
"Error"))))))</f>
        <v>0</v>
      </c>
      <c r="O519" s="16">
        <f t="shared" si="301"/>
        <v>0</v>
      </c>
      <c r="Q519" s="16">
        <f t="shared" si="278"/>
        <v>0</v>
      </c>
      <c r="R519" s="16">
        <f t="shared" si="274"/>
        <v>0</v>
      </c>
      <c r="S519" s="16">
        <f>(SRP_SP+SUM(S$91:S518))*L519*IF(D519=$A$91,SRP_finalmonthfactor,1)</f>
        <v>0</v>
      </c>
      <c r="T519" s="74">
        <f>MIN(IF($AV519=0,0,
IF(Investment_Strategy="DIS",VLOOKUP(Investment_Strategy&amp;"_"&amp;Investment_Strategy_Sub1&amp;"_"&amp;$A519,'Investment Strategies'!$AZ:$BP,12,FALSE),
IF(AND(Investment_Strategy="Lifecycle",Investment_Strategy_Sub1="Non-Standard"),VLOOKUP(Investment_Strategy&amp;"_"&amp;Investment_Strategy_Sub2&amp;"_"&amp;$A519,'Investment Strategies'!$C:$P,9,FALSE),
IF(AND(Investment_Strategy="Lifecycle",Investment_Strategy_Sub1="Standard"),VLOOKUP(Investment_Strategy&amp;"_"&amp;Investment_Strategy_Sub2&amp;"_"&amp;$A519,'Investment Strategies'!$AJ:$AV,8,FALSE),
IF(AND(Investment_Strategy="Autopilot",Investment_Strategy_Sub1="Non-Standard"),VLOOKUP(Investment_Strategy&amp;"_"&amp;Investment_Strategy_Sub2&amp;"_"&amp;$A519,'Investment Strategies'!$T:$AF,8,FALSE),
IF(Investment_Strategy ="DIY",DIY_RateOfReturn_FuturePremiums,
"Error")))))),Max_InvReturn)</f>
        <v>0</v>
      </c>
      <c r="U519" s="62">
        <f>IF($AV519=0,0,
IF(Investment_Strategy="DIS",VLOOKUP(Investment_Strategy&amp;"_"&amp;Investment_Strategy_Sub1&amp;"_"&amp;$A519,'Investment Strategies'!$AZ:$BP,15,FALSE),
IF(AND(Investment_Strategy="Lifecycle",Investment_Strategy_Sub1="Non-Standard"),VLOOKUP(Investment_Strategy&amp;"_"&amp;Investment_Strategy_Sub2&amp;"_"&amp;$A519,'Investment Strategies'!$C:$P,12,FALSE),
IF(AND(Investment_Strategy="Lifecycle",Investment_Strategy_Sub1="Standard"),VLOOKUP(Investment_Strategy&amp;"_"&amp;Investment_Strategy_Sub2&amp;"_"&amp;$A519,'Investment Strategies'!$AJ:$AV,11,FALSE),
IF(AND(Investment_Strategy="Autopilot",Investment_Strategy_Sub1="Non-Standard"),VLOOKUP(Investment_Strategy&amp;"_"&amp;Investment_Strategy_Sub2&amp;"_"&amp;$A519,'Investment Strategies'!$T:$AF,11,FALSE),
IF(Investment_Strategy="DIY",DIY_GteeChrge_FuturePremiums,
"Error"))))))</f>
        <v>0</v>
      </c>
      <c r="V519" s="33">
        <f>IF(AV519=0,0,
IF(Investment_Strategy="DIS",VLOOKUP(Investment_Strategy&amp;"_"&amp;Investment_Strategy_Sub1&amp;"_"&amp;$A519,'Investment Strategies'!$AZ:$BP,17,FALSE),
IF(AND(Investment_Strategy="Lifecycle",Investment_Strategy_Sub1="Non-Standard"),VLOOKUP(Investment_Strategy&amp;"_"&amp;Investment_Strategy_Sub2&amp;"_"&amp;$A519,'Investment Strategies'!$C:$P,14,FALSE),
IF(AND(Investment_Strategy="Lifecycle",Investment_Strategy_Sub1="Standard"),VLOOKUP(Investment_Strategy&amp;"_"&amp;Investment_Strategy_Sub2&amp;"_"&amp;$A519,'Investment Strategies'!$AJ:$AV,13,FALSE),
IF(AND(Investment_Strategy="Autopilot",Investment_Strategy_Sub1="Non-Standard"),VLOOKUP(Investment_Strategy&amp;"_"&amp;Investment_Strategy_Sub2&amp;"_"&amp;$A519,'Investment Strategies'!$T:$AF,13,FALSE),
IF(Investment_Strategy="DIY",DIY_ExtManChrge_FuturePremiums,
"Error"))))))</f>
        <v>0</v>
      </c>
      <c r="W519" s="16">
        <f t="shared" si="302"/>
        <v>0</v>
      </c>
      <c r="X519" s="16">
        <f t="shared" si="279"/>
        <v>0</v>
      </c>
      <c r="Y519" s="16">
        <f t="shared" si="280"/>
        <v>0</v>
      </c>
      <c r="Z519" s="31">
        <f t="shared" si="281"/>
        <v>0.02</v>
      </c>
      <c r="AA519" s="16">
        <f t="shared" si="282"/>
        <v>0</v>
      </c>
      <c r="AB519" s="28">
        <f t="shared" si="303"/>
        <v>0</v>
      </c>
      <c r="AC519" s="28">
        <f>(SUM($AC$91:AC518)+SUM($X$91:X518)+X519)*T519*IF(D519=$A$91,SRP_finalmonthfactor,1)</f>
        <v>0</v>
      </c>
      <c r="AD519" s="16">
        <f t="shared" si="283"/>
        <v>0</v>
      </c>
      <c r="AE519" s="106"/>
      <c r="AF519" s="16">
        <f t="shared" si="291"/>
        <v>0</v>
      </c>
      <c r="AG519" s="16">
        <f t="shared" si="292"/>
        <v>0</v>
      </c>
      <c r="AH519" s="16">
        <f t="shared" si="293"/>
        <v>0</v>
      </c>
      <c r="AJ519" s="13">
        <f t="shared" si="307"/>
        <v>0</v>
      </c>
      <c r="AK519" s="13">
        <f t="shared" si="307"/>
        <v>0</v>
      </c>
      <c r="AL519" s="13">
        <f t="shared" si="307"/>
        <v>0</v>
      </c>
      <c r="AM519" s="13">
        <f t="shared" si="307"/>
        <v>0</v>
      </c>
      <c r="AN519" s="13">
        <f t="shared" si="307"/>
        <v>0</v>
      </c>
      <c r="AO519" s="13">
        <f t="shared" si="307"/>
        <v>1</v>
      </c>
      <c r="AP519" s="13">
        <f t="shared" si="307"/>
        <v>1</v>
      </c>
      <c r="AQ519" s="13">
        <f t="shared" si="307"/>
        <v>1</v>
      </c>
      <c r="AR519" s="13">
        <f t="shared" si="307"/>
        <v>0</v>
      </c>
      <c r="AS519" s="13">
        <f t="shared" si="307"/>
        <v>0</v>
      </c>
      <c r="AT519" s="13">
        <f t="shared" si="307"/>
        <v>0</v>
      </c>
      <c r="AU519" s="13">
        <f t="shared" si="307"/>
        <v>1</v>
      </c>
      <c r="AV519" s="13">
        <f t="shared" si="284"/>
        <v>0</v>
      </c>
      <c r="AW519" s="13">
        <f t="shared" si="285"/>
        <v>1</v>
      </c>
      <c r="AY519" s="17">
        <f t="shared" si="286"/>
        <v>429</v>
      </c>
      <c r="AZ519" s="28">
        <f t="shared" si="294"/>
        <v>0</v>
      </c>
      <c r="BA519" s="13">
        <f t="shared" si="287"/>
        <v>0</v>
      </c>
      <c r="BB519" s="13">
        <f t="shared" si="288"/>
        <v>0</v>
      </c>
      <c r="BC519" s="28">
        <f t="shared" si="295"/>
        <v>0</v>
      </c>
      <c r="BD519" s="28">
        <f t="shared" si="296"/>
        <v>0</v>
      </c>
      <c r="BF519" s="248">
        <f t="shared" si="297"/>
        <v>993869.29442638322</v>
      </c>
    </row>
    <row r="520" spans="1:58">
      <c r="A520" s="32">
        <f t="shared" si="298"/>
        <v>-345</v>
      </c>
      <c r="B520" s="32">
        <f t="shared" si="289"/>
        <v>88</v>
      </c>
      <c r="C520" s="32">
        <f t="shared" si="299"/>
        <v>36</v>
      </c>
      <c r="D520" s="32">
        <f t="shared" si="300"/>
        <v>430</v>
      </c>
      <c r="E520" s="74">
        <f>MIN(IF(AV520=0,0,
IF(Investment_Strategy="DIS",VLOOKUP(Investment_Strategy&amp;"_"&amp;Investment_Strategy_Sub1&amp;"_"&amp;$A520,'Investment Strategies'!$AZ:$BP,12,FALSE),
IF(AND(Investment_Strategy="Lifecycle",Investment_Strategy_Sub1="Non-Standard"),VLOOKUP(Investment_Strategy&amp;"_"&amp;Investment_Strategy_Sub2&amp;"_"&amp;$A520,'Investment Strategies'!$C:$P,9,FALSE),
IF(AND(Investment_Strategy="Lifecycle",Investment_Strategy_Sub1="Standard"),VLOOKUP(Investment_Strategy&amp;"_"&amp;Investment_Strategy_Sub2&amp;"_"&amp;$A520,'Investment Strategies'!$AJ:$AV,8,FALSE),
IF(AND(Investment_Strategy="Autopilot",Investment_Strategy_Sub1="Non-Standard"),VLOOKUP(Investment_Strategy&amp;"_"&amp;Investment_Strategy_Sub2&amp;"_"&amp;$A520,'Investment Strategies'!$T:$AF,8,FALSE),
IF(Investment_Strategy ="DIY",DIY_RateOfReturn_CurrentFunds,
"Error")))))),Max_InvReturn)</f>
        <v>0</v>
      </c>
      <c r="F520" s="62">
        <f>IF(AV520=0,0,
IF(Investment_Strategy="DIS",VLOOKUP(Investment_Strategy&amp;"_"&amp;Investment_Strategy_Sub1&amp;"_"&amp;$A520,'Investment Strategies'!$AZ:$BP,15,FALSE),
IF(AND(Investment_Strategy="Lifecycle",Investment_Strategy_Sub1="Non-Standard"),VLOOKUP(Investment_Strategy&amp;"_"&amp;Investment_Strategy_Sub2&amp;"_"&amp;$A520,'Investment Strategies'!$C:$P,12,FALSE),
IF(AND(Investment_Strategy="Lifecycle",Investment_Strategy_Sub1="Standard"),VLOOKUP(Investment_Strategy&amp;"_"&amp;Investment_Strategy_Sub2&amp;"_"&amp;$A520,'Investment Strategies'!$AJ:$AV,11,FALSE),
IF(AND(Investment_Strategy="Autopilot",Investment_Strategy_Sub1="Non-Standard"),VLOOKUP(Investment_Strategy&amp;"_"&amp;Investment_Strategy_Sub2&amp;"_"&amp;$A520,'Investment Strategies'!$T:$AF,11,FALSE),
IF(Investment_Strategy="DIY",DIY_GteeChrge_CurrentFunds,
"Error"))))))</f>
        <v>0</v>
      </c>
      <c r="G520" s="33">
        <f>IF(AV520=0,0,
IF(Investment_Strategy="DIS",VLOOKUP(Investment_Strategy&amp;"_"&amp;Investment_Strategy_Sub1&amp;"_"&amp;$A520,'Investment Strategies'!$AZ:$BP,17,FALSE),
IF(AND(Investment_Strategy="Lifecycle",Investment_Strategy_Sub1="Non-Standard"),VLOOKUP(Investment_Strategy&amp;"_"&amp;Investment_Strategy_Sub2&amp;"_"&amp;$A520,'Investment Strategies'!$C:$P,14,FALSE),
IF(AND(Investment_Strategy="Lifecycle",Investment_Strategy_Sub1="Standard"),VLOOKUP(Investment_Strategy&amp;"_"&amp;Investment_Strategy_Sub2&amp;"_"&amp;$A520,'Investment Strategies'!$AJ:$AV,13,FALSE),
IF(AND(Investment_Strategy="Autopilot",Investment_Strategy_Sub1="Non-Standard"),VLOOKUP(Investment_Strategy&amp;"_"&amp;Investment_Strategy_Sub2&amp;"_"&amp;$A520,'Investment Strategies'!$T:$AF,13,FALSE),
IF(Investment_Strategy="DIY",DIY_ExtManChrge_CurrentFunds,
"Error"))))))</f>
        <v>0</v>
      </c>
      <c r="H520" s="16">
        <f t="shared" si="290"/>
        <v>0</v>
      </c>
      <c r="I520" s="16">
        <f t="shared" si="276"/>
        <v>0</v>
      </c>
      <c r="J520" s="16">
        <f t="shared" si="277"/>
        <v>0</v>
      </c>
      <c r="K520" s="16">
        <f>(Opening_Fund_Value+SUM(K$91:K519))*E520*IF(D520=$A$91,SRP_finalmonthfactor,1)</f>
        <v>0</v>
      </c>
      <c r="L520" s="74">
        <f>MIN(IF($AV520=0,0,
IF(Investment_Strategy="DIS",VLOOKUP(Investment_Strategy&amp;"_"&amp;Investment_Strategy_Sub1&amp;"_"&amp;$A520,'Investment Strategies'!$AZ:$BP,12,FALSE),
IF(AND(Investment_Strategy="Lifecycle",Investment_Strategy_Sub1="Non-Standard"),VLOOKUP(Investment_Strategy&amp;"_"&amp;Investment_Strategy_Sub2&amp;"_"&amp;$A520,'Investment Strategies'!$C:$P,9,FALSE),
IF(AND(Investment_Strategy="Lifecycle",Investment_Strategy_Sub1="Standard"),VLOOKUP(Investment_Strategy&amp;"_"&amp;Investment_Strategy_Sub2&amp;"_"&amp;$A520,'Investment Strategies'!$AJ:$AV,8,FALSE),
IF(AND(Investment_Strategy="Autopilot",Investment_Strategy_Sub1="Non-Standard"),VLOOKUP(Investment_Strategy&amp;"_"&amp;Investment_Strategy_Sub2&amp;"_"&amp;$A520,'Investment Strategies'!$T:$AF,8,FALSE),
IF(Investment_Strategy ="DIY",DIY_RateofReturn_SP,
"Error")))))),Max_InvReturn)</f>
        <v>0</v>
      </c>
      <c r="M520" s="62">
        <f>IF($AV520=0,0,
IF(Investment_Strategy="DIS",VLOOKUP(Investment_Strategy&amp;"_"&amp;Investment_Strategy_Sub1&amp;"_"&amp;$A520,'Investment Strategies'!$AZ:$BP,15,FALSE),
IF(AND(Investment_Strategy="Lifecycle",Investment_Strategy_Sub1="Non-Standard"),VLOOKUP(Investment_Strategy&amp;"_"&amp;Investment_Strategy_Sub2&amp;"_"&amp;$A520,'Investment Strategies'!$C:$P,12,FALSE),
IF(AND(Investment_Strategy="Lifecycle",Investment_Strategy_Sub1="Standard"),VLOOKUP(Investment_Strategy&amp;"_"&amp;Investment_Strategy_Sub2&amp;"_"&amp;$A520,'Investment Strategies'!$AJ:$AV,11,FALSE),
IF(AND(Investment_Strategy="Autopilot",Investment_Strategy_Sub1="Non-Standard"),VLOOKUP(Investment_Strategy&amp;"_"&amp;Investment_Strategy_Sub2&amp;"_"&amp;$A520,'Investment Strategies'!$T:$AF,11,FALSE),
IF(Investment_Strategy="DIY",DIY_GteeChrge_SP,
"Error"))))))</f>
        <v>0</v>
      </c>
      <c r="N520" s="33">
        <f>IF($AV520=0,0,
IF(Investment_Strategy="DIS",VLOOKUP(Investment_Strategy&amp;"_"&amp;Investment_Strategy_Sub1&amp;"_"&amp;$A520,'Investment Strategies'!$AZ:$BP,17,FALSE),
IF(AND(Investment_Strategy="Lifecycle",Investment_Strategy_Sub1="Non-Standard"),VLOOKUP(Investment_Strategy&amp;"_"&amp;Investment_Strategy_Sub2&amp;"_"&amp;$A520,'Investment Strategies'!$C:$P,14,FALSE),
IF(AND(Investment_Strategy="Lifecycle",Investment_Strategy_Sub1="Standard"),VLOOKUP(Investment_Strategy&amp;"_"&amp;Investment_Strategy_Sub2&amp;"_"&amp;$A520,'Investment Strategies'!$AJ:$AV,13,FALSE),
IF(AND(Investment_Strategy="Autopilot",Investment_Strategy_Sub1="Non-Standard"),VLOOKUP(Investment_Strategy&amp;"_"&amp;Investment_Strategy_Sub2&amp;"_"&amp;$A520,'Investment Strategies'!$T:$AF,13,FALSE),
IF(Investment_Strategy="DIY",DIY_ExtManChrge_SP,
"Error"))))))</f>
        <v>0</v>
      </c>
      <c r="O520" s="16">
        <f t="shared" si="301"/>
        <v>0</v>
      </c>
      <c r="Q520" s="16">
        <f t="shared" si="278"/>
        <v>0</v>
      </c>
      <c r="R520" s="16">
        <f t="shared" si="274"/>
        <v>0</v>
      </c>
      <c r="S520" s="16">
        <f>(SRP_SP+SUM(S$91:S519))*L520*IF(D520=$A$91,SRP_finalmonthfactor,1)</f>
        <v>0</v>
      </c>
      <c r="T520" s="74">
        <f>MIN(IF($AV520=0,0,
IF(Investment_Strategy="DIS",VLOOKUP(Investment_Strategy&amp;"_"&amp;Investment_Strategy_Sub1&amp;"_"&amp;$A520,'Investment Strategies'!$AZ:$BP,12,FALSE),
IF(AND(Investment_Strategy="Lifecycle",Investment_Strategy_Sub1="Non-Standard"),VLOOKUP(Investment_Strategy&amp;"_"&amp;Investment_Strategy_Sub2&amp;"_"&amp;$A520,'Investment Strategies'!$C:$P,9,FALSE),
IF(AND(Investment_Strategy="Lifecycle",Investment_Strategy_Sub1="Standard"),VLOOKUP(Investment_Strategy&amp;"_"&amp;Investment_Strategy_Sub2&amp;"_"&amp;$A520,'Investment Strategies'!$AJ:$AV,8,FALSE),
IF(AND(Investment_Strategy="Autopilot",Investment_Strategy_Sub1="Non-Standard"),VLOOKUP(Investment_Strategy&amp;"_"&amp;Investment_Strategy_Sub2&amp;"_"&amp;$A520,'Investment Strategies'!$T:$AF,8,FALSE),
IF(Investment_Strategy ="DIY",DIY_RateOfReturn_FuturePremiums,
"Error")))))),Max_InvReturn)</f>
        <v>0</v>
      </c>
      <c r="U520" s="62">
        <f>IF($AV520=0,0,
IF(Investment_Strategy="DIS",VLOOKUP(Investment_Strategy&amp;"_"&amp;Investment_Strategy_Sub1&amp;"_"&amp;$A520,'Investment Strategies'!$AZ:$BP,15,FALSE),
IF(AND(Investment_Strategy="Lifecycle",Investment_Strategy_Sub1="Non-Standard"),VLOOKUP(Investment_Strategy&amp;"_"&amp;Investment_Strategy_Sub2&amp;"_"&amp;$A520,'Investment Strategies'!$C:$P,12,FALSE),
IF(AND(Investment_Strategy="Lifecycle",Investment_Strategy_Sub1="Standard"),VLOOKUP(Investment_Strategy&amp;"_"&amp;Investment_Strategy_Sub2&amp;"_"&amp;$A520,'Investment Strategies'!$AJ:$AV,11,FALSE),
IF(AND(Investment_Strategy="Autopilot",Investment_Strategy_Sub1="Non-Standard"),VLOOKUP(Investment_Strategy&amp;"_"&amp;Investment_Strategy_Sub2&amp;"_"&amp;$A520,'Investment Strategies'!$T:$AF,11,FALSE),
IF(Investment_Strategy="DIY",DIY_GteeChrge_FuturePremiums,
"Error"))))))</f>
        <v>0</v>
      </c>
      <c r="V520" s="33">
        <f>IF(AV520=0,0,
IF(Investment_Strategy="DIS",VLOOKUP(Investment_Strategy&amp;"_"&amp;Investment_Strategy_Sub1&amp;"_"&amp;$A520,'Investment Strategies'!$AZ:$BP,17,FALSE),
IF(AND(Investment_Strategy="Lifecycle",Investment_Strategy_Sub1="Non-Standard"),VLOOKUP(Investment_Strategy&amp;"_"&amp;Investment_Strategy_Sub2&amp;"_"&amp;$A520,'Investment Strategies'!$C:$P,14,FALSE),
IF(AND(Investment_Strategy="Lifecycle",Investment_Strategy_Sub1="Standard"),VLOOKUP(Investment_Strategy&amp;"_"&amp;Investment_Strategy_Sub2&amp;"_"&amp;$A520,'Investment Strategies'!$AJ:$AV,13,FALSE),
IF(AND(Investment_Strategy="Autopilot",Investment_Strategy_Sub1="Non-Standard"),VLOOKUP(Investment_Strategy&amp;"_"&amp;Investment_Strategy_Sub2&amp;"_"&amp;$A520,'Investment Strategies'!$T:$AF,13,FALSE),
IF(Investment_Strategy="DIY",DIY_ExtManChrge_FuturePremiums,
"Error"))))))</f>
        <v>0</v>
      </c>
      <c r="W520" s="16">
        <f t="shared" si="302"/>
        <v>0</v>
      </c>
      <c r="X520" s="16">
        <f t="shared" si="279"/>
        <v>0</v>
      </c>
      <c r="Y520" s="16">
        <f t="shared" si="280"/>
        <v>0</v>
      </c>
      <c r="Z520" s="31">
        <f t="shared" si="281"/>
        <v>0.02</v>
      </c>
      <c r="AA520" s="16">
        <f t="shared" si="282"/>
        <v>0</v>
      </c>
      <c r="AB520" s="28">
        <f t="shared" si="303"/>
        <v>0</v>
      </c>
      <c r="AC520" s="28">
        <f>(SUM($AC$91:AC519)+SUM($X$91:X519)+X520)*T520*IF(D520=$A$91,SRP_finalmonthfactor,1)</f>
        <v>0</v>
      </c>
      <c r="AD520" s="16">
        <f t="shared" si="283"/>
        <v>0</v>
      </c>
      <c r="AE520" s="106"/>
      <c r="AF520" s="16">
        <f t="shared" si="291"/>
        <v>0</v>
      </c>
      <c r="AG520" s="16">
        <f t="shared" si="292"/>
        <v>0</v>
      </c>
      <c r="AH520" s="16">
        <f t="shared" si="293"/>
        <v>0</v>
      </c>
      <c r="AJ520" s="13">
        <f t="shared" si="307"/>
        <v>0</v>
      </c>
      <c r="AK520" s="13">
        <f t="shared" si="307"/>
        <v>0</v>
      </c>
      <c r="AL520" s="13">
        <f t="shared" si="307"/>
        <v>0</v>
      </c>
      <c r="AM520" s="13">
        <f t="shared" si="307"/>
        <v>0</v>
      </c>
      <c r="AN520" s="13">
        <f t="shared" si="307"/>
        <v>0</v>
      </c>
      <c r="AO520" s="13">
        <f t="shared" si="307"/>
        <v>1</v>
      </c>
      <c r="AP520" s="13">
        <f t="shared" si="307"/>
        <v>1</v>
      </c>
      <c r="AQ520" s="13">
        <f t="shared" si="307"/>
        <v>1</v>
      </c>
      <c r="AR520" s="13">
        <f t="shared" si="307"/>
        <v>0</v>
      </c>
      <c r="AS520" s="13">
        <f t="shared" si="307"/>
        <v>0</v>
      </c>
      <c r="AT520" s="13">
        <f t="shared" si="307"/>
        <v>0</v>
      </c>
      <c r="AU520" s="13">
        <f t="shared" si="307"/>
        <v>1</v>
      </c>
      <c r="AV520" s="13">
        <f t="shared" si="284"/>
        <v>0</v>
      </c>
      <c r="AW520" s="13">
        <f t="shared" si="285"/>
        <v>1</v>
      </c>
      <c r="AY520" s="17">
        <f t="shared" si="286"/>
        <v>430</v>
      </c>
      <c r="AZ520" s="28">
        <f t="shared" si="294"/>
        <v>0</v>
      </c>
      <c r="BA520" s="13">
        <f t="shared" si="287"/>
        <v>0</v>
      </c>
      <c r="BB520" s="13">
        <f t="shared" si="288"/>
        <v>0</v>
      </c>
      <c r="BC520" s="28">
        <f t="shared" si="295"/>
        <v>0</v>
      </c>
      <c r="BD520" s="28">
        <f t="shared" si="296"/>
        <v>0</v>
      </c>
      <c r="BF520" s="248">
        <f t="shared" si="297"/>
        <v>993869.29442638322</v>
      </c>
    </row>
    <row r="521" spans="1:58">
      <c r="A521" s="32">
        <f t="shared" si="298"/>
        <v>-346</v>
      </c>
      <c r="B521" s="32">
        <f t="shared" si="289"/>
        <v>88</v>
      </c>
      <c r="C521" s="32">
        <f t="shared" si="299"/>
        <v>36</v>
      </c>
      <c r="D521" s="32">
        <f t="shared" si="300"/>
        <v>431</v>
      </c>
      <c r="E521" s="74">
        <f>MIN(IF(AV521=0,0,
IF(Investment_Strategy="DIS",VLOOKUP(Investment_Strategy&amp;"_"&amp;Investment_Strategy_Sub1&amp;"_"&amp;$A521,'Investment Strategies'!$AZ:$BP,12,FALSE),
IF(AND(Investment_Strategy="Lifecycle",Investment_Strategy_Sub1="Non-Standard"),VLOOKUP(Investment_Strategy&amp;"_"&amp;Investment_Strategy_Sub2&amp;"_"&amp;$A521,'Investment Strategies'!$C:$P,9,FALSE),
IF(AND(Investment_Strategy="Lifecycle",Investment_Strategy_Sub1="Standard"),VLOOKUP(Investment_Strategy&amp;"_"&amp;Investment_Strategy_Sub2&amp;"_"&amp;$A521,'Investment Strategies'!$AJ:$AV,8,FALSE),
IF(AND(Investment_Strategy="Autopilot",Investment_Strategy_Sub1="Non-Standard"),VLOOKUP(Investment_Strategy&amp;"_"&amp;Investment_Strategy_Sub2&amp;"_"&amp;$A521,'Investment Strategies'!$T:$AF,8,FALSE),
IF(Investment_Strategy ="DIY",DIY_RateOfReturn_CurrentFunds,
"Error")))))),Max_InvReturn)</f>
        <v>0</v>
      </c>
      <c r="F521" s="62">
        <f>IF(AV521=0,0,
IF(Investment_Strategy="DIS",VLOOKUP(Investment_Strategy&amp;"_"&amp;Investment_Strategy_Sub1&amp;"_"&amp;$A521,'Investment Strategies'!$AZ:$BP,15,FALSE),
IF(AND(Investment_Strategy="Lifecycle",Investment_Strategy_Sub1="Non-Standard"),VLOOKUP(Investment_Strategy&amp;"_"&amp;Investment_Strategy_Sub2&amp;"_"&amp;$A521,'Investment Strategies'!$C:$P,12,FALSE),
IF(AND(Investment_Strategy="Lifecycle",Investment_Strategy_Sub1="Standard"),VLOOKUP(Investment_Strategy&amp;"_"&amp;Investment_Strategy_Sub2&amp;"_"&amp;$A521,'Investment Strategies'!$AJ:$AV,11,FALSE),
IF(AND(Investment_Strategy="Autopilot",Investment_Strategy_Sub1="Non-Standard"),VLOOKUP(Investment_Strategy&amp;"_"&amp;Investment_Strategy_Sub2&amp;"_"&amp;$A521,'Investment Strategies'!$T:$AF,11,FALSE),
IF(Investment_Strategy="DIY",DIY_GteeChrge_CurrentFunds,
"Error"))))))</f>
        <v>0</v>
      </c>
      <c r="G521" s="33">
        <f>IF(AV521=0,0,
IF(Investment_Strategy="DIS",VLOOKUP(Investment_Strategy&amp;"_"&amp;Investment_Strategy_Sub1&amp;"_"&amp;$A521,'Investment Strategies'!$AZ:$BP,17,FALSE),
IF(AND(Investment_Strategy="Lifecycle",Investment_Strategy_Sub1="Non-Standard"),VLOOKUP(Investment_Strategy&amp;"_"&amp;Investment_Strategy_Sub2&amp;"_"&amp;$A521,'Investment Strategies'!$C:$P,14,FALSE),
IF(AND(Investment_Strategy="Lifecycle",Investment_Strategy_Sub1="Standard"),VLOOKUP(Investment_Strategy&amp;"_"&amp;Investment_Strategy_Sub2&amp;"_"&amp;$A521,'Investment Strategies'!$AJ:$AV,13,FALSE),
IF(AND(Investment_Strategy="Autopilot",Investment_Strategy_Sub1="Non-Standard"),VLOOKUP(Investment_Strategy&amp;"_"&amp;Investment_Strategy_Sub2&amp;"_"&amp;$A521,'Investment Strategies'!$T:$AF,13,FALSE),
IF(Investment_Strategy="DIY",DIY_ExtManChrge_CurrentFunds,
"Error"))))))</f>
        <v>0</v>
      </c>
      <c r="H521" s="16">
        <f t="shared" si="290"/>
        <v>0</v>
      </c>
      <c r="I521" s="16">
        <f t="shared" si="276"/>
        <v>0</v>
      </c>
      <c r="J521" s="16">
        <f t="shared" si="277"/>
        <v>0</v>
      </c>
      <c r="K521" s="16">
        <f>(Opening_Fund_Value+SUM(K$91:K520))*E521*IF(D521=$A$91,SRP_finalmonthfactor,1)</f>
        <v>0</v>
      </c>
      <c r="L521" s="74">
        <f>MIN(IF($AV521=0,0,
IF(Investment_Strategy="DIS",VLOOKUP(Investment_Strategy&amp;"_"&amp;Investment_Strategy_Sub1&amp;"_"&amp;$A521,'Investment Strategies'!$AZ:$BP,12,FALSE),
IF(AND(Investment_Strategy="Lifecycle",Investment_Strategy_Sub1="Non-Standard"),VLOOKUP(Investment_Strategy&amp;"_"&amp;Investment_Strategy_Sub2&amp;"_"&amp;$A521,'Investment Strategies'!$C:$P,9,FALSE),
IF(AND(Investment_Strategy="Lifecycle",Investment_Strategy_Sub1="Standard"),VLOOKUP(Investment_Strategy&amp;"_"&amp;Investment_Strategy_Sub2&amp;"_"&amp;$A521,'Investment Strategies'!$AJ:$AV,8,FALSE),
IF(AND(Investment_Strategy="Autopilot",Investment_Strategy_Sub1="Non-Standard"),VLOOKUP(Investment_Strategy&amp;"_"&amp;Investment_Strategy_Sub2&amp;"_"&amp;$A521,'Investment Strategies'!$T:$AF,8,FALSE),
IF(Investment_Strategy ="DIY",DIY_RateofReturn_SP,
"Error")))))),Max_InvReturn)</f>
        <v>0</v>
      </c>
      <c r="M521" s="62">
        <f>IF($AV521=0,0,
IF(Investment_Strategy="DIS",VLOOKUP(Investment_Strategy&amp;"_"&amp;Investment_Strategy_Sub1&amp;"_"&amp;$A521,'Investment Strategies'!$AZ:$BP,15,FALSE),
IF(AND(Investment_Strategy="Lifecycle",Investment_Strategy_Sub1="Non-Standard"),VLOOKUP(Investment_Strategy&amp;"_"&amp;Investment_Strategy_Sub2&amp;"_"&amp;$A521,'Investment Strategies'!$C:$P,12,FALSE),
IF(AND(Investment_Strategy="Lifecycle",Investment_Strategy_Sub1="Standard"),VLOOKUP(Investment_Strategy&amp;"_"&amp;Investment_Strategy_Sub2&amp;"_"&amp;$A521,'Investment Strategies'!$AJ:$AV,11,FALSE),
IF(AND(Investment_Strategy="Autopilot",Investment_Strategy_Sub1="Non-Standard"),VLOOKUP(Investment_Strategy&amp;"_"&amp;Investment_Strategy_Sub2&amp;"_"&amp;$A521,'Investment Strategies'!$T:$AF,11,FALSE),
IF(Investment_Strategy="DIY",DIY_GteeChrge_SP,
"Error"))))))</f>
        <v>0</v>
      </c>
      <c r="N521" s="33">
        <f>IF($AV521=0,0,
IF(Investment_Strategy="DIS",VLOOKUP(Investment_Strategy&amp;"_"&amp;Investment_Strategy_Sub1&amp;"_"&amp;$A521,'Investment Strategies'!$AZ:$BP,17,FALSE),
IF(AND(Investment_Strategy="Lifecycle",Investment_Strategy_Sub1="Non-Standard"),VLOOKUP(Investment_Strategy&amp;"_"&amp;Investment_Strategy_Sub2&amp;"_"&amp;$A521,'Investment Strategies'!$C:$P,14,FALSE),
IF(AND(Investment_Strategy="Lifecycle",Investment_Strategy_Sub1="Standard"),VLOOKUP(Investment_Strategy&amp;"_"&amp;Investment_Strategy_Sub2&amp;"_"&amp;$A521,'Investment Strategies'!$AJ:$AV,13,FALSE),
IF(AND(Investment_Strategy="Autopilot",Investment_Strategy_Sub1="Non-Standard"),VLOOKUP(Investment_Strategy&amp;"_"&amp;Investment_Strategy_Sub2&amp;"_"&amp;$A521,'Investment Strategies'!$T:$AF,13,FALSE),
IF(Investment_Strategy="DIY",DIY_ExtManChrge_SP,
"Error"))))))</f>
        <v>0</v>
      </c>
      <c r="O521" s="16">
        <f t="shared" si="301"/>
        <v>0</v>
      </c>
      <c r="Q521" s="16">
        <f t="shared" si="278"/>
        <v>0</v>
      </c>
      <c r="R521" s="16">
        <f t="shared" si="274"/>
        <v>0</v>
      </c>
      <c r="S521" s="16">
        <f>(SRP_SP+SUM(S$91:S520))*L521*IF(D521=$A$91,SRP_finalmonthfactor,1)</f>
        <v>0</v>
      </c>
      <c r="T521" s="74">
        <f>MIN(IF($AV521=0,0,
IF(Investment_Strategy="DIS",VLOOKUP(Investment_Strategy&amp;"_"&amp;Investment_Strategy_Sub1&amp;"_"&amp;$A521,'Investment Strategies'!$AZ:$BP,12,FALSE),
IF(AND(Investment_Strategy="Lifecycle",Investment_Strategy_Sub1="Non-Standard"),VLOOKUP(Investment_Strategy&amp;"_"&amp;Investment_Strategy_Sub2&amp;"_"&amp;$A521,'Investment Strategies'!$C:$P,9,FALSE),
IF(AND(Investment_Strategy="Lifecycle",Investment_Strategy_Sub1="Standard"),VLOOKUP(Investment_Strategy&amp;"_"&amp;Investment_Strategy_Sub2&amp;"_"&amp;$A521,'Investment Strategies'!$AJ:$AV,8,FALSE),
IF(AND(Investment_Strategy="Autopilot",Investment_Strategy_Sub1="Non-Standard"),VLOOKUP(Investment_Strategy&amp;"_"&amp;Investment_Strategy_Sub2&amp;"_"&amp;$A521,'Investment Strategies'!$T:$AF,8,FALSE),
IF(Investment_Strategy ="DIY",DIY_RateOfReturn_FuturePremiums,
"Error")))))),Max_InvReturn)</f>
        <v>0</v>
      </c>
      <c r="U521" s="62">
        <f>IF($AV521=0,0,
IF(Investment_Strategy="DIS",VLOOKUP(Investment_Strategy&amp;"_"&amp;Investment_Strategy_Sub1&amp;"_"&amp;$A521,'Investment Strategies'!$AZ:$BP,15,FALSE),
IF(AND(Investment_Strategy="Lifecycle",Investment_Strategy_Sub1="Non-Standard"),VLOOKUP(Investment_Strategy&amp;"_"&amp;Investment_Strategy_Sub2&amp;"_"&amp;$A521,'Investment Strategies'!$C:$P,12,FALSE),
IF(AND(Investment_Strategy="Lifecycle",Investment_Strategy_Sub1="Standard"),VLOOKUP(Investment_Strategy&amp;"_"&amp;Investment_Strategy_Sub2&amp;"_"&amp;$A521,'Investment Strategies'!$AJ:$AV,11,FALSE),
IF(AND(Investment_Strategy="Autopilot",Investment_Strategy_Sub1="Non-Standard"),VLOOKUP(Investment_Strategy&amp;"_"&amp;Investment_Strategy_Sub2&amp;"_"&amp;$A521,'Investment Strategies'!$T:$AF,11,FALSE),
IF(Investment_Strategy="DIY",DIY_GteeChrge_FuturePremiums,
"Error"))))))</f>
        <v>0</v>
      </c>
      <c r="V521" s="33">
        <f>IF(AV521=0,0,
IF(Investment_Strategy="DIS",VLOOKUP(Investment_Strategy&amp;"_"&amp;Investment_Strategy_Sub1&amp;"_"&amp;$A521,'Investment Strategies'!$AZ:$BP,17,FALSE),
IF(AND(Investment_Strategy="Lifecycle",Investment_Strategy_Sub1="Non-Standard"),VLOOKUP(Investment_Strategy&amp;"_"&amp;Investment_Strategy_Sub2&amp;"_"&amp;$A521,'Investment Strategies'!$C:$P,14,FALSE),
IF(AND(Investment_Strategy="Lifecycle",Investment_Strategy_Sub1="Standard"),VLOOKUP(Investment_Strategy&amp;"_"&amp;Investment_Strategy_Sub2&amp;"_"&amp;$A521,'Investment Strategies'!$AJ:$AV,13,FALSE),
IF(AND(Investment_Strategy="Autopilot",Investment_Strategy_Sub1="Non-Standard"),VLOOKUP(Investment_Strategy&amp;"_"&amp;Investment_Strategy_Sub2&amp;"_"&amp;$A521,'Investment Strategies'!$T:$AF,13,FALSE),
IF(Investment_Strategy="DIY",DIY_ExtManChrge_FuturePremiums,
"Error"))))))</f>
        <v>0</v>
      </c>
      <c r="W521" s="16">
        <f t="shared" si="302"/>
        <v>0</v>
      </c>
      <c r="X521" s="16">
        <f t="shared" si="279"/>
        <v>0</v>
      </c>
      <c r="Y521" s="16">
        <f t="shared" si="280"/>
        <v>0</v>
      </c>
      <c r="Z521" s="31">
        <f t="shared" si="281"/>
        <v>0.02</v>
      </c>
      <c r="AA521" s="16">
        <f t="shared" si="282"/>
        <v>0</v>
      </c>
      <c r="AB521" s="28">
        <f t="shared" si="303"/>
        <v>0</v>
      </c>
      <c r="AC521" s="28">
        <f>(SUM($AC$91:AC520)+SUM($X$91:X520)+X521)*T521*IF(D521=$A$91,SRP_finalmonthfactor,1)</f>
        <v>0</v>
      </c>
      <c r="AD521" s="16">
        <f t="shared" si="283"/>
        <v>0</v>
      </c>
      <c r="AE521" s="106"/>
      <c r="AF521" s="16">
        <f t="shared" si="291"/>
        <v>0</v>
      </c>
      <c r="AG521" s="16">
        <f t="shared" si="292"/>
        <v>0</v>
      </c>
      <c r="AH521" s="16">
        <f t="shared" si="293"/>
        <v>0</v>
      </c>
      <c r="AJ521" s="13">
        <f t="shared" ref="AJ521:AU530" si="308">IF($C521&lt;=AJ$90,1,0)</f>
        <v>0</v>
      </c>
      <c r="AK521" s="13">
        <f t="shared" si="308"/>
        <v>0</v>
      </c>
      <c r="AL521" s="13">
        <f t="shared" si="308"/>
        <v>0</v>
      </c>
      <c r="AM521" s="13">
        <f t="shared" si="308"/>
        <v>0</v>
      </c>
      <c r="AN521" s="13">
        <f t="shared" si="308"/>
        <v>0</v>
      </c>
      <c r="AO521" s="13">
        <f t="shared" si="308"/>
        <v>1</v>
      </c>
      <c r="AP521" s="13">
        <f t="shared" si="308"/>
        <v>1</v>
      </c>
      <c r="AQ521" s="13">
        <f t="shared" si="308"/>
        <v>1</v>
      </c>
      <c r="AR521" s="13">
        <f t="shared" si="308"/>
        <v>0</v>
      </c>
      <c r="AS521" s="13">
        <f t="shared" si="308"/>
        <v>0</v>
      </c>
      <c r="AT521" s="13">
        <f t="shared" si="308"/>
        <v>0</v>
      </c>
      <c r="AU521" s="13">
        <f t="shared" si="308"/>
        <v>1</v>
      </c>
      <c r="AV521" s="13">
        <f t="shared" si="284"/>
        <v>0</v>
      </c>
      <c r="AW521" s="13">
        <f t="shared" si="285"/>
        <v>1</v>
      </c>
      <c r="AY521" s="17">
        <f t="shared" si="286"/>
        <v>431</v>
      </c>
      <c r="AZ521" s="28">
        <f t="shared" si="294"/>
        <v>0</v>
      </c>
      <c r="BA521" s="13">
        <f t="shared" si="287"/>
        <v>0</v>
      </c>
      <c r="BB521" s="13">
        <f t="shared" si="288"/>
        <v>0</v>
      </c>
      <c r="BC521" s="28">
        <f t="shared" si="295"/>
        <v>0</v>
      </c>
      <c r="BD521" s="28">
        <f t="shared" si="296"/>
        <v>0</v>
      </c>
      <c r="BF521" s="248">
        <f t="shared" si="297"/>
        <v>993869.29442638322</v>
      </c>
    </row>
    <row r="522" spans="1:58">
      <c r="A522" s="32">
        <f t="shared" si="298"/>
        <v>-347</v>
      </c>
      <c r="B522" s="32">
        <f t="shared" si="289"/>
        <v>88</v>
      </c>
      <c r="C522" s="32">
        <f t="shared" si="299"/>
        <v>36</v>
      </c>
      <c r="D522" s="32">
        <f t="shared" si="300"/>
        <v>432</v>
      </c>
      <c r="E522" s="74">
        <f>MIN(IF(AV522=0,0,
IF(Investment_Strategy="DIS",VLOOKUP(Investment_Strategy&amp;"_"&amp;Investment_Strategy_Sub1&amp;"_"&amp;$A522,'Investment Strategies'!$AZ:$BP,12,FALSE),
IF(AND(Investment_Strategy="Lifecycle",Investment_Strategy_Sub1="Non-Standard"),VLOOKUP(Investment_Strategy&amp;"_"&amp;Investment_Strategy_Sub2&amp;"_"&amp;$A522,'Investment Strategies'!$C:$P,9,FALSE),
IF(AND(Investment_Strategy="Lifecycle",Investment_Strategy_Sub1="Standard"),VLOOKUP(Investment_Strategy&amp;"_"&amp;Investment_Strategy_Sub2&amp;"_"&amp;$A522,'Investment Strategies'!$AJ:$AV,8,FALSE),
IF(AND(Investment_Strategy="Autopilot",Investment_Strategy_Sub1="Non-Standard"),VLOOKUP(Investment_Strategy&amp;"_"&amp;Investment_Strategy_Sub2&amp;"_"&amp;$A522,'Investment Strategies'!$T:$AF,8,FALSE),
IF(Investment_Strategy ="DIY",DIY_RateOfReturn_CurrentFunds,
"Error")))))),Max_InvReturn)</f>
        <v>0</v>
      </c>
      <c r="F522" s="62">
        <f>IF(AV522=0,0,
IF(Investment_Strategy="DIS",VLOOKUP(Investment_Strategy&amp;"_"&amp;Investment_Strategy_Sub1&amp;"_"&amp;$A522,'Investment Strategies'!$AZ:$BP,15,FALSE),
IF(AND(Investment_Strategy="Lifecycle",Investment_Strategy_Sub1="Non-Standard"),VLOOKUP(Investment_Strategy&amp;"_"&amp;Investment_Strategy_Sub2&amp;"_"&amp;$A522,'Investment Strategies'!$C:$P,12,FALSE),
IF(AND(Investment_Strategy="Lifecycle",Investment_Strategy_Sub1="Standard"),VLOOKUP(Investment_Strategy&amp;"_"&amp;Investment_Strategy_Sub2&amp;"_"&amp;$A522,'Investment Strategies'!$AJ:$AV,11,FALSE),
IF(AND(Investment_Strategy="Autopilot",Investment_Strategy_Sub1="Non-Standard"),VLOOKUP(Investment_Strategy&amp;"_"&amp;Investment_Strategy_Sub2&amp;"_"&amp;$A522,'Investment Strategies'!$T:$AF,11,FALSE),
IF(Investment_Strategy="DIY",DIY_GteeChrge_CurrentFunds,
"Error"))))))</f>
        <v>0</v>
      </c>
      <c r="G522" s="33">
        <f>IF(AV522=0,0,
IF(Investment_Strategy="DIS",VLOOKUP(Investment_Strategy&amp;"_"&amp;Investment_Strategy_Sub1&amp;"_"&amp;$A522,'Investment Strategies'!$AZ:$BP,17,FALSE),
IF(AND(Investment_Strategy="Lifecycle",Investment_Strategy_Sub1="Non-Standard"),VLOOKUP(Investment_Strategy&amp;"_"&amp;Investment_Strategy_Sub2&amp;"_"&amp;$A522,'Investment Strategies'!$C:$P,14,FALSE),
IF(AND(Investment_Strategy="Lifecycle",Investment_Strategy_Sub1="Standard"),VLOOKUP(Investment_Strategy&amp;"_"&amp;Investment_Strategy_Sub2&amp;"_"&amp;$A522,'Investment Strategies'!$AJ:$AV,13,FALSE),
IF(AND(Investment_Strategy="Autopilot",Investment_Strategy_Sub1="Non-Standard"),VLOOKUP(Investment_Strategy&amp;"_"&amp;Investment_Strategy_Sub2&amp;"_"&amp;$A522,'Investment Strategies'!$T:$AF,13,FALSE),
IF(Investment_Strategy="DIY",DIY_ExtManChrge_CurrentFunds,
"Error"))))))</f>
        <v>0</v>
      </c>
      <c r="H522" s="16">
        <f t="shared" si="290"/>
        <v>0</v>
      </c>
      <c r="I522" s="16">
        <f t="shared" si="276"/>
        <v>0</v>
      </c>
      <c r="J522" s="16">
        <f t="shared" si="277"/>
        <v>0</v>
      </c>
      <c r="K522" s="16">
        <f>(Opening_Fund_Value+SUM(K$91:K521))*E522*IF(D522=$A$91,SRP_finalmonthfactor,1)</f>
        <v>0</v>
      </c>
      <c r="L522" s="74">
        <f>MIN(IF($AV522=0,0,
IF(Investment_Strategy="DIS",VLOOKUP(Investment_Strategy&amp;"_"&amp;Investment_Strategy_Sub1&amp;"_"&amp;$A522,'Investment Strategies'!$AZ:$BP,12,FALSE),
IF(AND(Investment_Strategy="Lifecycle",Investment_Strategy_Sub1="Non-Standard"),VLOOKUP(Investment_Strategy&amp;"_"&amp;Investment_Strategy_Sub2&amp;"_"&amp;$A522,'Investment Strategies'!$C:$P,9,FALSE),
IF(AND(Investment_Strategy="Lifecycle",Investment_Strategy_Sub1="Standard"),VLOOKUP(Investment_Strategy&amp;"_"&amp;Investment_Strategy_Sub2&amp;"_"&amp;$A522,'Investment Strategies'!$AJ:$AV,8,FALSE),
IF(AND(Investment_Strategy="Autopilot",Investment_Strategy_Sub1="Non-Standard"),VLOOKUP(Investment_Strategy&amp;"_"&amp;Investment_Strategy_Sub2&amp;"_"&amp;$A522,'Investment Strategies'!$T:$AF,8,FALSE),
IF(Investment_Strategy ="DIY",DIY_RateofReturn_SP,
"Error")))))),Max_InvReturn)</f>
        <v>0</v>
      </c>
      <c r="M522" s="62">
        <f>IF($AV522=0,0,
IF(Investment_Strategy="DIS",VLOOKUP(Investment_Strategy&amp;"_"&amp;Investment_Strategy_Sub1&amp;"_"&amp;$A522,'Investment Strategies'!$AZ:$BP,15,FALSE),
IF(AND(Investment_Strategy="Lifecycle",Investment_Strategy_Sub1="Non-Standard"),VLOOKUP(Investment_Strategy&amp;"_"&amp;Investment_Strategy_Sub2&amp;"_"&amp;$A522,'Investment Strategies'!$C:$P,12,FALSE),
IF(AND(Investment_Strategy="Lifecycle",Investment_Strategy_Sub1="Standard"),VLOOKUP(Investment_Strategy&amp;"_"&amp;Investment_Strategy_Sub2&amp;"_"&amp;$A522,'Investment Strategies'!$AJ:$AV,11,FALSE),
IF(AND(Investment_Strategy="Autopilot",Investment_Strategy_Sub1="Non-Standard"),VLOOKUP(Investment_Strategy&amp;"_"&amp;Investment_Strategy_Sub2&amp;"_"&amp;$A522,'Investment Strategies'!$T:$AF,11,FALSE),
IF(Investment_Strategy="DIY",DIY_GteeChrge_SP,
"Error"))))))</f>
        <v>0</v>
      </c>
      <c r="N522" s="33">
        <f>IF($AV522=0,0,
IF(Investment_Strategy="DIS",VLOOKUP(Investment_Strategy&amp;"_"&amp;Investment_Strategy_Sub1&amp;"_"&amp;$A522,'Investment Strategies'!$AZ:$BP,17,FALSE),
IF(AND(Investment_Strategy="Lifecycle",Investment_Strategy_Sub1="Non-Standard"),VLOOKUP(Investment_Strategy&amp;"_"&amp;Investment_Strategy_Sub2&amp;"_"&amp;$A522,'Investment Strategies'!$C:$P,14,FALSE),
IF(AND(Investment_Strategy="Lifecycle",Investment_Strategy_Sub1="Standard"),VLOOKUP(Investment_Strategy&amp;"_"&amp;Investment_Strategy_Sub2&amp;"_"&amp;$A522,'Investment Strategies'!$AJ:$AV,13,FALSE),
IF(AND(Investment_Strategy="Autopilot",Investment_Strategy_Sub1="Non-Standard"),VLOOKUP(Investment_Strategy&amp;"_"&amp;Investment_Strategy_Sub2&amp;"_"&amp;$A522,'Investment Strategies'!$T:$AF,13,FALSE),
IF(Investment_Strategy="DIY",DIY_ExtManChrge_SP,
"Error"))))))</f>
        <v>0</v>
      </c>
      <c r="O522" s="16">
        <f t="shared" si="301"/>
        <v>0</v>
      </c>
      <c r="Q522" s="16">
        <f t="shared" si="278"/>
        <v>0</v>
      </c>
      <c r="R522" s="16">
        <f t="shared" si="274"/>
        <v>0</v>
      </c>
      <c r="S522" s="16">
        <f>(SRP_SP+SUM(S$91:S521))*L522*IF(D522=$A$91,SRP_finalmonthfactor,1)</f>
        <v>0</v>
      </c>
      <c r="T522" s="74">
        <f>MIN(IF($AV522=0,0,
IF(Investment_Strategy="DIS",VLOOKUP(Investment_Strategy&amp;"_"&amp;Investment_Strategy_Sub1&amp;"_"&amp;$A522,'Investment Strategies'!$AZ:$BP,12,FALSE),
IF(AND(Investment_Strategy="Lifecycle",Investment_Strategy_Sub1="Non-Standard"),VLOOKUP(Investment_Strategy&amp;"_"&amp;Investment_Strategy_Sub2&amp;"_"&amp;$A522,'Investment Strategies'!$C:$P,9,FALSE),
IF(AND(Investment_Strategy="Lifecycle",Investment_Strategy_Sub1="Standard"),VLOOKUP(Investment_Strategy&amp;"_"&amp;Investment_Strategy_Sub2&amp;"_"&amp;$A522,'Investment Strategies'!$AJ:$AV,8,FALSE),
IF(AND(Investment_Strategy="Autopilot",Investment_Strategy_Sub1="Non-Standard"),VLOOKUP(Investment_Strategy&amp;"_"&amp;Investment_Strategy_Sub2&amp;"_"&amp;$A522,'Investment Strategies'!$T:$AF,8,FALSE),
IF(Investment_Strategy ="DIY",DIY_RateOfReturn_FuturePremiums,
"Error")))))),Max_InvReturn)</f>
        <v>0</v>
      </c>
      <c r="U522" s="62">
        <f>IF($AV522=0,0,
IF(Investment_Strategy="DIS",VLOOKUP(Investment_Strategy&amp;"_"&amp;Investment_Strategy_Sub1&amp;"_"&amp;$A522,'Investment Strategies'!$AZ:$BP,15,FALSE),
IF(AND(Investment_Strategy="Lifecycle",Investment_Strategy_Sub1="Non-Standard"),VLOOKUP(Investment_Strategy&amp;"_"&amp;Investment_Strategy_Sub2&amp;"_"&amp;$A522,'Investment Strategies'!$C:$P,12,FALSE),
IF(AND(Investment_Strategy="Lifecycle",Investment_Strategy_Sub1="Standard"),VLOOKUP(Investment_Strategy&amp;"_"&amp;Investment_Strategy_Sub2&amp;"_"&amp;$A522,'Investment Strategies'!$AJ:$AV,11,FALSE),
IF(AND(Investment_Strategy="Autopilot",Investment_Strategy_Sub1="Non-Standard"),VLOOKUP(Investment_Strategy&amp;"_"&amp;Investment_Strategy_Sub2&amp;"_"&amp;$A522,'Investment Strategies'!$T:$AF,11,FALSE),
IF(Investment_Strategy="DIY",DIY_GteeChrge_FuturePremiums,
"Error"))))))</f>
        <v>0</v>
      </c>
      <c r="V522" s="33">
        <f>IF(AV522=0,0,
IF(Investment_Strategy="DIS",VLOOKUP(Investment_Strategy&amp;"_"&amp;Investment_Strategy_Sub1&amp;"_"&amp;$A522,'Investment Strategies'!$AZ:$BP,17,FALSE),
IF(AND(Investment_Strategy="Lifecycle",Investment_Strategy_Sub1="Non-Standard"),VLOOKUP(Investment_Strategy&amp;"_"&amp;Investment_Strategy_Sub2&amp;"_"&amp;$A522,'Investment Strategies'!$C:$P,14,FALSE),
IF(AND(Investment_Strategy="Lifecycle",Investment_Strategy_Sub1="Standard"),VLOOKUP(Investment_Strategy&amp;"_"&amp;Investment_Strategy_Sub2&amp;"_"&amp;$A522,'Investment Strategies'!$AJ:$AV,13,FALSE),
IF(AND(Investment_Strategy="Autopilot",Investment_Strategy_Sub1="Non-Standard"),VLOOKUP(Investment_Strategy&amp;"_"&amp;Investment_Strategy_Sub2&amp;"_"&amp;$A522,'Investment Strategies'!$T:$AF,13,FALSE),
IF(Investment_Strategy="DIY",DIY_ExtManChrge_FuturePremiums,
"Error"))))))</f>
        <v>0</v>
      </c>
      <c r="W522" s="16">
        <f t="shared" si="302"/>
        <v>0</v>
      </c>
      <c r="X522" s="16">
        <f t="shared" si="279"/>
        <v>0</v>
      </c>
      <c r="Y522" s="16">
        <f t="shared" si="280"/>
        <v>0</v>
      </c>
      <c r="Z522" s="31">
        <f t="shared" si="281"/>
        <v>0.02</v>
      </c>
      <c r="AA522" s="16">
        <f t="shared" si="282"/>
        <v>0</v>
      </c>
      <c r="AB522" s="28">
        <f t="shared" si="303"/>
        <v>0</v>
      </c>
      <c r="AC522" s="28">
        <f>(SUM($AC$91:AC521)+SUM($X$91:X521)+X522)*T522*IF(D522=$A$91,SRP_finalmonthfactor,1)</f>
        <v>0</v>
      </c>
      <c r="AD522" s="16">
        <f t="shared" si="283"/>
        <v>0</v>
      </c>
      <c r="AE522" s="106"/>
      <c r="AF522" s="16">
        <f t="shared" si="291"/>
        <v>0</v>
      </c>
      <c r="AG522" s="16">
        <f t="shared" si="292"/>
        <v>0</v>
      </c>
      <c r="AH522" s="16">
        <f t="shared" si="293"/>
        <v>0</v>
      </c>
      <c r="AJ522" s="13">
        <f t="shared" si="308"/>
        <v>0</v>
      </c>
      <c r="AK522" s="13">
        <f t="shared" si="308"/>
        <v>0</v>
      </c>
      <c r="AL522" s="13">
        <f t="shared" si="308"/>
        <v>0</v>
      </c>
      <c r="AM522" s="13">
        <f t="shared" si="308"/>
        <v>0</v>
      </c>
      <c r="AN522" s="13">
        <f t="shared" si="308"/>
        <v>0</v>
      </c>
      <c r="AO522" s="13">
        <f t="shared" si="308"/>
        <v>1</v>
      </c>
      <c r="AP522" s="13">
        <f t="shared" si="308"/>
        <v>1</v>
      </c>
      <c r="AQ522" s="13">
        <f t="shared" si="308"/>
        <v>1</v>
      </c>
      <c r="AR522" s="13">
        <f t="shared" si="308"/>
        <v>0</v>
      </c>
      <c r="AS522" s="13">
        <f t="shared" si="308"/>
        <v>0</v>
      </c>
      <c r="AT522" s="13">
        <f t="shared" si="308"/>
        <v>0</v>
      </c>
      <c r="AU522" s="13">
        <f t="shared" si="308"/>
        <v>1</v>
      </c>
      <c r="AV522" s="13">
        <f t="shared" si="284"/>
        <v>0</v>
      </c>
      <c r="AW522" s="13">
        <f t="shared" si="285"/>
        <v>1</v>
      </c>
      <c r="AY522" s="17">
        <f t="shared" si="286"/>
        <v>432</v>
      </c>
      <c r="AZ522" s="28">
        <f t="shared" si="294"/>
        <v>0</v>
      </c>
      <c r="BA522" s="13">
        <f t="shared" si="287"/>
        <v>0</v>
      </c>
      <c r="BB522" s="13">
        <f t="shared" si="288"/>
        <v>0</v>
      </c>
      <c r="BC522" s="28">
        <f t="shared" si="295"/>
        <v>0</v>
      </c>
      <c r="BD522" s="28">
        <f t="shared" si="296"/>
        <v>0</v>
      </c>
      <c r="BF522" s="248">
        <f t="shared" si="297"/>
        <v>993869.29442638322</v>
      </c>
    </row>
    <row r="523" spans="1:58">
      <c r="A523" s="32">
        <f t="shared" si="298"/>
        <v>-348</v>
      </c>
      <c r="B523" s="32">
        <f t="shared" si="289"/>
        <v>89</v>
      </c>
      <c r="C523" s="32">
        <f t="shared" si="299"/>
        <v>37</v>
      </c>
      <c r="D523" s="32">
        <f t="shared" si="300"/>
        <v>433</v>
      </c>
      <c r="E523" s="74">
        <f>MIN(IF(AV523=0,0,
IF(Investment_Strategy="DIS",VLOOKUP(Investment_Strategy&amp;"_"&amp;Investment_Strategy_Sub1&amp;"_"&amp;$A523,'Investment Strategies'!$AZ:$BP,12,FALSE),
IF(AND(Investment_Strategy="Lifecycle",Investment_Strategy_Sub1="Non-Standard"),VLOOKUP(Investment_Strategy&amp;"_"&amp;Investment_Strategy_Sub2&amp;"_"&amp;$A523,'Investment Strategies'!$C:$P,9,FALSE),
IF(AND(Investment_Strategy="Lifecycle",Investment_Strategy_Sub1="Standard"),VLOOKUP(Investment_Strategy&amp;"_"&amp;Investment_Strategy_Sub2&amp;"_"&amp;$A523,'Investment Strategies'!$AJ:$AV,8,FALSE),
IF(AND(Investment_Strategy="Autopilot",Investment_Strategy_Sub1="Non-Standard"),VLOOKUP(Investment_Strategy&amp;"_"&amp;Investment_Strategy_Sub2&amp;"_"&amp;$A523,'Investment Strategies'!$T:$AF,8,FALSE),
IF(Investment_Strategy ="DIY",DIY_RateOfReturn_CurrentFunds,
"Error")))))),Max_InvReturn)</f>
        <v>0</v>
      </c>
      <c r="F523" s="62">
        <f>IF(AV523=0,0,
IF(Investment_Strategy="DIS",VLOOKUP(Investment_Strategy&amp;"_"&amp;Investment_Strategy_Sub1&amp;"_"&amp;$A523,'Investment Strategies'!$AZ:$BP,15,FALSE),
IF(AND(Investment_Strategy="Lifecycle",Investment_Strategy_Sub1="Non-Standard"),VLOOKUP(Investment_Strategy&amp;"_"&amp;Investment_Strategy_Sub2&amp;"_"&amp;$A523,'Investment Strategies'!$C:$P,12,FALSE),
IF(AND(Investment_Strategy="Lifecycle",Investment_Strategy_Sub1="Standard"),VLOOKUP(Investment_Strategy&amp;"_"&amp;Investment_Strategy_Sub2&amp;"_"&amp;$A523,'Investment Strategies'!$AJ:$AV,11,FALSE),
IF(AND(Investment_Strategy="Autopilot",Investment_Strategy_Sub1="Non-Standard"),VLOOKUP(Investment_Strategy&amp;"_"&amp;Investment_Strategy_Sub2&amp;"_"&amp;$A523,'Investment Strategies'!$T:$AF,11,FALSE),
IF(Investment_Strategy="DIY",DIY_GteeChrge_CurrentFunds,
"Error"))))))</f>
        <v>0</v>
      </c>
      <c r="G523" s="33">
        <f>IF(AV523=0,0,
IF(Investment_Strategy="DIS",VLOOKUP(Investment_Strategy&amp;"_"&amp;Investment_Strategy_Sub1&amp;"_"&amp;$A523,'Investment Strategies'!$AZ:$BP,17,FALSE),
IF(AND(Investment_Strategy="Lifecycle",Investment_Strategy_Sub1="Non-Standard"),VLOOKUP(Investment_Strategy&amp;"_"&amp;Investment_Strategy_Sub2&amp;"_"&amp;$A523,'Investment Strategies'!$C:$P,14,FALSE),
IF(AND(Investment_Strategy="Lifecycle",Investment_Strategy_Sub1="Standard"),VLOOKUP(Investment_Strategy&amp;"_"&amp;Investment_Strategy_Sub2&amp;"_"&amp;$A523,'Investment Strategies'!$AJ:$AV,13,FALSE),
IF(AND(Investment_Strategy="Autopilot",Investment_Strategy_Sub1="Non-Standard"),VLOOKUP(Investment_Strategy&amp;"_"&amp;Investment_Strategy_Sub2&amp;"_"&amp;$A523,'Investment Strategies'!$T:$AF,13,FALSE),
IF(Investment_Strategy="DIY",DIY_ExtManChrge_CurrentFunds,
"Error"))))))</f>
        <v>0</v>
      </c>
      <c r="H523" s="16">
        <f t="shared" si="290"/>
        <v>0</v>
      </c>
      <c r="I523" s="16">
        <f t="shared" si="276"/>
        <v>0</v>
      </c>
      <c r="J523" s="16">
        <f t="shared" si="277"/>
        <v>0</v>
      </c>
      <c r="K523" s="16">
        <f>(Opening_Fund_Value+SUM(K$91:K522))*E523*IF(D523=$A$91,SRP_finalmonthfactor,1)</f>
        <v>0</v>
      </c>
      <c r="L523" s="74">
        <f>MIN(IF($AV523=0,0,
IF(Investment_Strategy="DIS",VLOOKUP(Investment_Strategy&amp;"_"&amp;Investment_Strategy_Sub1&amp;"_"&amp;$A523,'Investment Strategies'!$AZ:$BP,12,FALSE),
IF(AND(Investment_Strategy="Lifecycle",Investment_Strategy_Sub1="Non-Standard"),VLOOKUP(Investment_Strategy&amp;"_"&amp;Investment_Strategy_Sub2&amp;"_"&amp;$A523,'Investment Strategies'!$C:$P,9,FALSE),
IF(AND(Investment_Strategy="Lifecycle",Investment_Strategy_Sub1="Standard"),VLOOKUP(Investment_Strategy&amp;"_"&amp;Investment_Strategy_Sub2&amp;"_"&amp;$A523,'Investment Strategies'!$AJ:$AV,8,FALSE),
IF(AND(Investment_Strategy="Autopilot",Investment_Strategy_Sub1="Non-Standard"),VLOOKUP(Investment_Strategy&amp;"_"&amp;Investment_Strategy_Sub2&amp;"_"&amp;$A523,'Investment Strategies'!$T:$AF,8,FALSE),
IF(Investment_Strategy ="DIY",DIY_RateofReturn_SP,
"Error")))))),Max_InvReturn)</f>
        <v>0</v>
      </c>
      <c r="M523" s="62">
        <f>IF($AV523=0,0,
IF(Investment_Strategy="DIS",VLOOKUP(Investment_Strategy&amp;"_"&amp;Investment_Strategy_Sub1&amp;"_"&amp;$A523,'Investment Strategies'!$AZ:$BP,15,FALSE),
IF(AND(Investment_Strategy="Lifecycle",Investment_Strategy_Sub1="Non-Standard"),VLOOKUP(Investment_Strategy&amp;"_"&amp;Investment_Strategy_Sub2&amp;"_"&amp;$A523,'Investment Strategies'!$C:$P,12,FALSE),
IF(AND(Investment_Strategy="Lifecycle",Investment_Strategy_Sub1="Standard"),VLOOKUP(Investment_Strategy&amp;"_"&amp;Investment_Strategy_Sub2&amp;"_"&amp;$A523,'Investment Strategies'!$AJ:$AV,11,FALSE),
IF(AND(Investment_Strategy="Autopilot",Investment_Strategy_Sub1="Non-Standard"),VLOOKUP(Investment_Strategy&amp;"_"&amp;Investment_Strategy_Sub2&amp;"_"&amp;$A523,'Investment Strategies'!$T:$AF,11,FALSE),
IF(Investment_Strategy="DIY",DIY_GteeChrge_SP,
"Error"))))))</f>
        <v>0</v>
      </c>
      <c r="N523" s="33">
        <f>IF($AV523=0,0,
IF(Investment_Strategy="DIS",VLOOKUP(Investment_Strategy&amp;"_"&amp;Investment_Strategy_Sub1&amp;"_"&amp;$A523,'Investment Strategies'!$AZ:$BP,17,FALSE),
IF(AND(Investment_Strategy="Lifecycle",Investment_Strategy_Sub1="Non-Standard"),VLOOKUP(Investment_Strategy&amp;"_"&amp;Investment_Strategy_Sub2&amp;"_"&amp;$A523,'Investment Strategies'!$C:$P,14,FALSE),
IF(AND(Investment_Strategy="Lifecycle",Investment_Strategy_Sub1="Standard"),VLOOKUP(Investment_Strategy&amp;"_"&amp;Investment_Strategy_Sub2&amp;"_"&amp;$A523,'Investment Strategies'!$AJ:$AV,13,FALSE),
IF(AND(Investment_Strategy="Autopilot",Investment_Strategy_Sub1="Non-Standard"),VLOOKUP(Investment_Strategy&amp;"_"&amp;Investment_Strategy_Sub2&amp;"_"&amp;$A523,'Investment Strategies'!$T:$AF,13,FALSE),
IF(Investment_Strategy="DIY",DIY_ExtManChrge_SP,
"Error"))))))</f>
        <v>0</v>
      </c>
      <c r="O523" s="16">
        <f t="shared" si="301"/>
        <v>0</v>
      </c>
      <c r="Q523" s="16">
        <f t="shared" si="278"/>
        <v>0</v>
      </c>
      <c r="R523" s="16">
        <f t="shared" si="274"/>
        <v>0</v>
      </c>
      <c r="S523" s="16">
        <f>(SRP_SP+SUM(S$91:S522))*L523*IF(D523=$A$91,SRP_finalmonthfactor,1)</f>
        <v>0</v>
      </c>
      <c r="T523" s="74">
        <f>MIN(IF($AV523=0,0,
IF(Investment_Strategy="DIS",VLOOKUP(Investment_Strategy&amp;"_"&amp;Investment_Strategy_Sub1&amp;"_"&amp;$A523,'Investment Strategies'!$AZ:$BP,12,FALSE),
IF(AND(Investment_Strategy="Lifecycle",Investment_Strategy_Sub1="Non-Standard"),VLOOKUP(Investment_Strategy&amp;"_"&amp;Investment_Strategy_Sub2&amp;"_"&amp;$A523,'Investment Strategies'!$C:$P,9,FALSE),
IF(AND(Investment_Strategy="Lifecycle",Investment_Strategy_Sub1="Standard"),VLOOKUP(Investment_Strategy&amp;"_"&amp;Investment_Strategy_Sub2&amp;"_"&amp;$A523,'Investment Strategies'!$AJ:$AV,8,FALSE),
IF(AND(Investment_Strategy="Autopilot",Investment_Strategy_Sub1="Non-Standard"),VLOOKUP(Investment_Strategy&amp;"_"&amp;Investment_Strategy_Sub2&amp;"_"&amp;$A523,'Investment Strategies'!$T:$AF,8,FALSE),
IF(Investment_Strategy ="DIY",DIY_RateOfReturn_FuturePremiums,
"Error")))))),Max_InvReturn)</f>
        <v>0</v>
      </c>
      <c r="U523" s="62">
        <f>IF($AV523=0,0,
IF(Investment_Strategy="DIS",VLOOKUP(Investment_Strategy&amp;"_"&amp;Investment_Strategy_Sub1&amp;"_"&amp;$A523,'Investment Strategies'!$AZ:$BP,15,FALSE),
IF(AND(Investment_Strategy="Lifecycle",Investment_Strategy_Sub1="Non-Standard"),VLOOKUP(Investment_Strategy&amp;"_"&amp;Investment_Strategy_Sub2&amp;"_"&amp;$A523,'Investment Strategies'!$C:$P,12,FALSE),
IF(AND(Investment_Strategy="Lifecycle",Investment_Strategy_Sub1="Standard"),VLOOKUP(Investment_Strategy&amp;"_"&amp;Investment_Strategy_Sub2&amp;"_"&amp;$A523,'Investment Strategies'!$AJ:$AV,11,FALSE),
IF(AND(Investment_Strategy="Autopilot",Investment_Strategy_Sub1="Non-Standard"),VLOOKUP(Investment_Strategy&amp;"_"&amp;Investment_Strategy_Sub2&amp;"_"&amp;$A523,'Investment Strategies'!$T:$AF,11,FALSE),
IF(Investment_Strategy="DIY",DIY_GteeChrge_FuturePremiums,
"Error"))))))</f>
        <v>0</v>
      </c>
      <c r="V523" s="33">
        <f>IF(AV523=0,0,
IF(Investment_Strategy="DIS",VLOOKUP(Investment_Strategy&amp;"_"&amp;Investment_Strategy_Sub1&amp;"_"&amp;$A523,'Investment Strategies'!$AZ:$BP,17,FALSE),
IF(AND(Investment_Strategy="Lifecycle",Investment_Strategy_Sub1="Non-Standard"),VLOOKUP(Investment_Strategy&amp;"_"&amp;Investment_Strategy_Sub2&amp;"_"&amp;$A523,'Investment Strategies'!$C:$P,14,FALSE),
IF(AND(Investment_Strategy="Lifecycle",Investment_Strategy_Sub1="Standard"),VLOOKUP(Investment_Strategy&amp;"_"&amp;Investment_Strategy_Sub2&amp;"_"&amp;$A523,'Investment Strategies'!$AJ:$AV,13,FALSE),
IF(AND(Investment_Strategy="Autopilot",Investment_Strategy_Sub1="Non-Standard"),VLOOKUP(Investment_Strategy&amp;"_"&amp;Investment_Strategy_Sub2&amp;"_"&amp;$A523,'Investment Strategies'!$T:$AF,13,FALSE),
IF(Investment_Strategy="DIY",DIY_ExtManChrge_FuturePremiums,
"Error"))))))</f>
        <v>0</v>
      </c>
      <c r="W523" s="16">
        <f t="shared" si="302"/>
        <v>0</v>
      </c>
      <c r="X523" s="16">
        <f t="shared" si="279"/>
        <v>0</v>
      </c>
      <c r="Y523" s="16">
        <f t="shared" si="280"/>
        <v>0</v>
      </c>
      <c r="Z523" s="31">
        <f t="shared" si="281"/>
        <v>0.02</v>
      </c>
      <c r="AA523" s="16">
        <f t="shared" si="282"/>
        <v>0</v>
      </c>
      <c r="AB523" s="28">
        <f t="shared" si="303"/>
        <v>0</v>
      </c>
      <c r="AC523" s="28">
        <f>(SUM($AC$91:AC522)+SUM($X$91:X522)+X523)*T523*IF(D523=$A$91,SRP_finalmonthfactor,1)</f>
        <v>0</v>
      </c>
      <c r="AD523" s="16">
        <f t="shared" si="283"/>
        <v>0</v>
      </c>
      <c r="AE523" s="106"/>
      <c r="AF523" s="16">
        <f t="shared" si="291"/>
        <v>0</v>
      </c>
      <c r="AG523" s="16">
        <f t="shared" si="292"/>
        <v>0</v>
      </c>
      <c r="AH523" s="16">
        <f t="shared" si="293"/>
        <v>0</v>
      </c>
      <c r="AJ523" s="13">
        <f t="shared" si="308"/>
        <v>0</v>
      </c>
      <c r="AK523" s="13">
        <f t="shared" si="308"/>
        <v>0</v>
      </c>
      <c r="AL523" s="13">
        <f t="shared" si="308"/>
        <v>0</v>
      </c>
      <c r="AM523" s="13">
        <f t="shared" si="308"/>
        <v>0</v>
      </c>
      <c r="AN523" s="13">
        <f t="shared" si="308"/>
        <v>0</v>
      </c>
      <c r="AO523" s="13">
        <f t="shared" si="308"/>
        <v>1</v>
      </c>
      <c r="AP523" s="13">
        <f t="shared" si="308"/>
        <v>1</v>
      </c>
      <c r="AQ523" s="13">
        <f t="shared" si="308"/>
        <v>1</v>
      </c>
      <c r="AR523" s="13">
        <f t="shared" si="308"/>
        <v>0</v>
      </c>
      <c r="AS523" s="13">
        <f t="shared" si="308"/>
        <v>0</v>
      </c>
      <c r="AT523" s="13">
        <f t="shared" si="308"/>
        <v>0</v>
      </c>
      <c r="AU523" s="13">
        <f t="shared" si="308"/>
        <v>1</v>
      </c>
      <c r="AV523" s="13">
        <f t="shared" si="284"/>
        <v>0</v>
      </c>
      <c r="AW523" s="13">
        <f t="shared" si="285"/>
        <v>1</v>
      </c>
      <c r="AY523" s="17">
        <f t="shared" si="286"/>
        <v>433</v>
      </c>
      <c r="AZ523" s="28">
        <f t="shared" si="294"/>
        <v>0</v>
      </c>
      <c r="BA523" s="13">
        <f t="shared" si="287"/>
        <v>0</v>
      </c>
      <c r="BB523" s="13">
        <f t="shared" si="288"/>
        <v>0</v>
      </c>
      <c r="BC523" s="28">
        <f t="shared" si="295"/>
        <v>0</v>
      </c>
      <c r="BD523" s="28">
        <f t="shared" si="296"/>
        <v>0</v>
      </c>
      <c r="BF523" s="248">
        <f t="shared" si="297"/>
        <v>993869.29442638322</v>
      </c>
    </row>
    <row r="524" spans="1:58">
      <c r="A524" s="32">
        <f t="shared" si="298"/>
        <v>-349</v>
      </c>
      <c r="B524" s="32">
        <f t="shared" si="289"/>
        <v>89</v>
      </c>
      <c r="C524" s="32">
        <f t="shared" si="299"/>
        <v>37</v>
      </c>
      <c r="D524" s="32">
        <f t="shared" si="300"/>
        <v>434</v>
      </c>
      <c r="E524" s="74">
        <f>MIN(IF(AV524=0,0,
IF(Investment_Strategy="DIS",VLOOKUP(Investment_Strategy&amp;"_"&amp;Investment_Strategy_Sub1&amp;"_"&amp;$A524,'Investment Strategies'!$AZ:$BP,12,FALSE),
IF(AND(Investment_Strategy="Lifecycle",Investment_Strategy_Sub1="Non-Standard"),VLOOKUP(Investment_Strategy&amp;"_"&amp;Investment_Strategy_Sub2&amp;"_"&amp;$A524,'Investment Strategies'!$C:$P,9,FALSE),
IF(AND(Investment_Strategy="Lifecycle",Investment_Strategy_Sub1="Standard"),VLOOKUP(Investment_Strategy&amp;"_"&amp;Investment_Strategy_Sub2&amp;"_"&amp;$A524,'Investment Strategies'!$AJ:$AV,8,FALSE),
IF(AND(Investment_Strategy="Autopilot",Investment_Strategy_Sub1="Non-Standard"),VLOOKUP(Investment_Strategy&amp;"_"&amp;Investment_Strategy_Sub2&amp;"_"&amp;$A524,'Investment Strategies'!$T:$AF,8,FALSE),
IF(Investment_Strategy ="DIY",DIY_RateOfReturn_CurrentFunds,
"Error")))))),Max_InvReturn)</f>
        <v>0</v>
      </c>
      <c r="F524" s="62">
        <f>IF(AV524=0,0,
IF(Investment_Strategy="DIS",VLOOKUP(Investment_Strategy&amp;"_"&amp;Investment_Strategy_Sub1&amp;"_"&amp;$A524,'Investment Strategies'!$AZ:$BP,15,FALSE),
IF(AND(Investment_Strategy="Lifecycle",Investment_Strategy_Sub1="Non-Standard"),VLOOKUP(Investment_Strategy&amp;"_"&amp;Investment_Strategy_Sub2&amp;"_"&amp;$A524,'Investment Strategies'!$C:$P,12,FALSE),
IF(AND(Investment_Strategy="Lifecycle",Investment_Strategy_Sub1="Standard"),VLOOKUP(Investment_Strategy&amp;"_"&amp;Investment_Strategy_Sub2&amp;"_"&amp;$A524,'Investment Strategies'!$AJ:$AV,11,FALSE),
IF(AND(Investment_Strategy="Autopilot",Investment_Strategy_Sub1="Non-Standard"),VLOOKUP(Investment_Strategy&amp;"_"&amp;Investment_Strategy_Sub2&amp;"_"&amp;$A524,'Investment Strategies'!$T:$AF,11,FALSE),
IF(Investment_Strategy="DIY",DIY_GteeChrge_CurrentFunds,
"Error"))))))</f>
        <v>0</v>
      </c>
      <c r="G524" s="33">
        <f>IF(AV524=0,0,
IF(Investment_Strategy="DIS",VLOOKUP(Investment_Strategy&amp;"_"&amp;Investment_Strategy_Sub1&amp;"_"&amp;$A524,'Investment Strategies'!$AZ:$BP,17,FALSE),
IF(AND(Investment_Strategy="Lifecycle",Investment_Strategy_Sub1="Non-Standard"),VLOOKUP(Investment_Strategy&amp;"_"&amp;Investment_Strategy_Sub2&amp;"_"&amp;$A524,'Investment Strategies'!$C:$P,14,FALSE),
IF(AND(Investment_Strategy="Lifecycle",Investment_Strategy_Sub1="Standard"),VLOOKUP(Investment_Strategy&amp;"_"&amp;Investment_Strategy_Sub2&amp;"_"&amp;$A524,'Investment Strategies'!$AJ:$AV,13,FALSE),
IF(AND(Investment_Strategy="Autopilot",Investment_Strategy_Sub1="Non-Standard"),VLOOKUP(Investment_Strategy&amp;"_"&amp;Investment_Strategy_Sub2&amp;"_"&amp;$A524,'Investment Strategies'!$T:$AF,13,FALSE),
IF(Investment_Strategy="DIY",DIY_ExtManChrge_CurrentFunds,
"Error"))))))</f>
        <v>0</v>
      </c>
      <c r="H524" s="16">
        <f t="shared" si="290"/>
        <v>0</v>
      </c>
      <c r="I524" s="16">
        <f t="shared" si="276"/>
        <v>0</v>
      </c>
      <c r="J524" s="16">
        <f t="shared" si="277"/>
        <v>0</v>
      </c>
      <c r="K524" s="16">
        <f>(Opening_Fund_Value+SUM(K$91:K523))*E524*IF(D524=$A$91,SRP_finalmonthfactor,1)</f>
        <v>0</v>
      </c>
      <c r="L524" s="74">
        <f>MIN(IF($AV524=0,0,
IF(Investment_Strategy="DIS",VLOOKUP(Investment_Strategy&amp;"_"&amp;Investment_Strategy_Sub1&amp;"_"&amp;$A524,'Investment Strategies'!$AZ:$BP,12,FALSE),
IF(AND(Investment_Strategy="Lifecycle",Investment_Strategy_Sub1="Non-Standard"),VLOOKUP(Investment_Strategy&amp;"_"&amp;Investment_Strategy_Sub2&amp;"_"&amp;$A524,'Investment Strategies'!$C:$P,9,FALSE),
IF(AND(Investment_Strategy="Lifecycle",Investment_Strategy_Sub1="Standard"),VLOOKUP(Investment_Strategy&amp;"_"&amp;Investment_Strategy_Sub2&amp;"_"&amp;$A524,'Investment Strategies'!$AJ:$AV,8,FALSE),
IF(AND(Investment_Strategy="Autopilot",Investment_Strategy_Sub1="Non-Standard"),VLOOKUP(Investment_Strategy&amp;"_"&amp;Investment_Strategy_Sub2&amp;"_"&amp;$A524,'Investment Strategies'!$T:$AF,8,FALSE),
IF(Investment_Strategy ="DIY",DIY_RateofReturn_SP,
"Error")))))),Max_InvReturn)</f>
        <v>0</v>
      </c>
      <c r="M524" s="62">
        <f>IF($AV524=0,0,
IF(Investment_Strategy="DIS",VLOOKUP(Investment_Strategy&amp;"_"&amp;Investment_Strategy_Sub1&amp;"_"&amp;$A524,'Investment Strategies'!$AZ:$BP,15,FALSE),
IF(AND(Investment_Strategy="Lifecycle",Investment_Strategy_Sub1="Non-Standard"),VLOOKUP(Investment_Strategy&amp;"_"&amp;Investment_Strategy_Sub2&amp;"_"&amp;$A524,'Investment Strategies'!$C:$P,12,FALSE),
IF(AND(Investment_Strategy="Lifecycle",Investment_Strategy_Sub1="Standard"),VLOOKUP(Investment_Strategy&amp;"_"&amp;Investment_Strategy_Sub2&amp;"_"&amp;$A524,'Investment Strategies'!$AJ:$AV,11,FALSE),
IF(AND(Investment_Strategy="Autopilot",Investment_Strategy_Sub1="Non-Standard"),VLOOKUP(Investment_Strategy&amp;"_"&amp;Investment_Strategy_Sub2&amp;"_"&amp;$A524,'Investment Strategies'!$T:$AF,11,FALSE),
IF(Investment_Strategy="DIY",DIY_GteeChrge_SP,
"Error"))))))</f>
        <v>0</v>
      </c>
      <c r="N524" s="33">
        <f>IF($AV524=0,0,
IF(Investment_Strategy="DIS",VLOOKUP(Investment_Strategy&amp;"_"&amp;Investment_Strategy_Sub1&amp;"_"&amp;$A524,'Investment Strategies'!$AZ:$BP,17,FALSE),
IF(AND(Investment_Strategy="Lifecycle",Investment_Strategy_Sub1="Non-Standard"),VLOOKUP(Investment_Strategy&amp;"_"&amp;Investment_Strategy_Sub2&amp;"_"&amp;$A524,'Investment Strategies'!$C:$P,14,FALSE),
IF(AND(Investment_Strategy="Lifecycle",Investment_Strategy_Sub1="Standard"),VLOOKUP(Investment_Strategy&amp;"_"&amp;Investment_Strategy_Sub2&amp;"_"&amp;$A524,'Investment Strategies'!$AJ:$AV,13,FALSE),
IF(AND(Investment_Strategy="Autopilot",Investment_Strategy_Sub1="Non-Standard"),VLOOKUP(Investment_Strategy&amp;"_"&amp;Investment_Strategy_Sub2&amp;"_"&amp;$A524,'Investment Strategies'!$T:$AF,13,FALSE),
IF(Investment_Strategy="DIY",DIY_ExtManChrge_SP,
"Error"))))))</f>
        <v>0</v>
      </c>
      <c r="O524" s="16">
        <f t="shared" si="301"/>
        <v>0</v>
      </c>
      <c r="Q524" s="16">
        <f t="shared" si="278"/>
        <v>0</v>
      </c>
      <c r="R524" s="16">
        <f t="shared" si="274"/>
        <v>0</v>
      </c>
      <c r="S524" s="16">
        <f>(SRP_SP+SUM(S$91:S523))*L524*IF(D524=$A$91,SRP_finalmonthfactor,1)</f>
        <v>0</v>
      </c>
      <c r="T524" s="74">
        <f>MIN(IF($AV524=0,0,
IF(Investment_Strategy="DIS",VLOOKUP(Investment_Strategy&amp;"_"&amp;Investment_Strategy_Sub1&amp;"_"&amp;$A524,'Investment Strategies'!$AZ:$BP,12,FALSE),
IF(AND(Investment_Strategy="Lifecycle",Investment_Strategy_Sub1="Non-Standard"),VLOOKUP(Investment_Strategy&amp;"_"&amp;Investment_Strategy_Sub2&amp;"_"&amp;$A524,'Investment Strategies'!$C:$P,9,FALSE),
IF(AND(Investment_Strategy="Lifecycle",Investment_Strategy_Sub1="Standard"),VLOOKUP(Investment_Strategy&amp;"_"&amp;Investment_Strategy_Sub2&amp;"_"&amp;$A524,'Investment Strategies'!$AJ:$AV,8,FALSE),
IF(AND(Investment_Strategy="Autopilot",Investment_Strategy_Sub1="Non-Standard"),VLOOKUP(Investment_Strategy&amp;"_"&amp;Investment_Strategy_Sub2&amp;"_"&amp;$A524,'Investment Strategies'!$T:$AF,8,FALSE),
IF(Investment_Strategy ="DIY",DIY_RateOfReturn_FuturePremiums,
"Error")))))),Max_InvReturn)</f>
        <v>0</v>
      </c>
      <c r="U524" s="62">
        <f>IF($AV524=0,0,
IF(Investment_Strategy="DIS",VLOOKUP(Investment_Strategy&amp;"_"&amp;Investment_Strategy_Sub1&amp;"_"&amp;$A524,'Investment Strategies'!$AZ:$BP,15,FALSE),
IF(AND(Investment_Strategy="Lifecycle",Investment_Strategy_Sub1="Non-Standard"),VLOOKUP(Investment_Strategy&amp;"_"&amp;Investment_Strategy_Sub2&amp;"_"&amp;$A524,'Investment Strategies'!$C:$P,12,FALSE),
IF(AND(Investment_Strategy="Lifecycle",Investment_Strategy_Sub1="Standard"),VLOOKUP(Investment_Strategy&amp;"_"&amp;Investment_Strategy_Sub2&amp;"_"&amp;$A524,'Investment Strategies'!$AJ:$AV,11,FALSE),
IF(AND(Investment_Strategy="Autopilot",Investment_Strategy_Sub1="Non-Standard"),VLOOKUP(Investment_Strategy&amp;"_"&amp;Investment_Strategy_Sub2&amp;"_"&amp;$A524,'Investment Strategies'!$T:$AF,11,FALSE),
IF(Investment_Strategy="DIY",DIY_GteeChrge_FuturePremiums,
"Error"))))))</f>
        <v>0</v>
      </c>
      <c r="V524" s="33">
        <f>IF(AV524=0,0,
IF(Investment_Strategy="DIS",VLOOKUP(Investment_Strategy&amp;"_"&amp;Investment_Strategy_Sub1&amp;"_"&amp;$A524,'Investment Strategies'!$AZ:$BP,17,FALSE),
IF(AND(Investment_Strategy="Lifecycle",Investment_Strategy_Sub1="Non-Standard"),VLOOKUP(Investment_Strategy&amp;"_"&amp;Investment_Strategy_Sub2&amp;"_"&amp;$A524,'Investment Strategies'!$C:$P,14,FALSE),
IF(AND(Investment_Strategy="Lifecycle",Investment_Strategy_Sub1="Standard"),VLOOKUP(Investment_Strategy&amp;"_"&amp;Investment_Strategy_Sub2&amp;"_"&amp;$A524,'Investment Strategies'!$AJ:$AV,13,FALSE),
IF(AND(Investment_Strategy="Autopilot",Investment_Strategy_Sub1="Non-Standard"),VLOOKUP(Investment_Strategy&amp;"_"&amp;Investment_Strategy_Sub2&amp;"_"&amp;$A524,'Investment Strategies'!$T:$AF,13,FALSE),
IF(Investment_Strategy="DIY",DIY_ExtManChrge_FuturePremiums,
"Error"))))))</f>
        <v>0</v>
      </c>
      <c r="W524" s="16">
        <f t="shared" si="302"/>
        <v>0</v>
      </c>
      <c r="X524" s="16">
        <f t="shared" si="279"/>
        <v>0</v>
      </c>
      <c r="Y524" s="16">
        <f t="shared" si="280"/>
        <v>0</v>
      </c>
      <c r="Z524" s="31">
        <f t="shared" si="281"/>
        <v>0.02</v>
      </c>
      <c r="AA524" s="16">
        <f t="shared" si="282"/>
        <v>0</v>
      </c>
      <c r="AB524" s="28">
        <f t="shared" si="303"/>
        <v>0</v>
      </c>
      <c r="AC524" s="28">
        <f>(SUM($AC$91:AC523)+SUM($X$91:X523)+X524)*T524*IF(D524=$A$91,SRP_finalmonthfactor,1)</f>
        <v>0</v>
      </c>
      <c r="AD524" s="16">
        <f t="shared" si="283"/>
        <v>0</v>
      </c>
      <c r="AE524" s="106"/>
      <c r="AF524" s="16">
        <f t="shared" si="291"/>
        <v>0</v>
      </c>
      <c r="AG524" s="16">
        <f t="shared" si="292"/>
        <v>0</v>
      </c>
      <c r="AH524" s="16">
        <f t="shared" si="293"/>
        <v>0</v>
      </c>
      <c r="AJ524" s="13">
        <f t="shared" si="308"/>
        <v>0</v>
      </c>
      <c r="AK524" s="13">
        <f t="shared" si="308"/>
        <v>0</v>
      </c>
      <c r="AL524" s="13">
        <f t="shared" si="308"/>
        <v>0</v>
      </c>
      <c r="AM524" s="13">
        <f t="shared" si="308"/>
        <v>0</v>
      </c>
      <c r="AN524" s="13">
        <f t="shared" si="308"/>
        <v>0</v>
      </c>
      <c r="AO524" s="13">
        <f t="shared" si="308"/>
        <v>1</v>
      </c>
      <c r="AP524" s="13">
        <f t="shared" si="308"/>
        <v>1</v>
      </c>
      <c r="AQ524" s="13">
        <f t="shared" si="308"/>
        <v>1</v>
      </c>
      <c r="AR524" s="13">
        <f t="shared" si="308"/>
        <v>0</v>
      </c>
      <c r="AS524" s="13">
        <f t="shared" si="308"/>
        <v>0</v>
      </c>
      <c r="AT524" s="13">
        <f t="shared" si="308"/>
        <v>0</v>
      </c>
      <c r="AU524" s="13">
        <f t="shared" si="308"/>
        <v>1</v>
      </c>
      <c r="AV524" s="13">
        <f t="shared" si="284"/>
        <v>0</v>
      </c>
      <c r="AW524" s="13">
        <f t="shared" si="285"/>
        <v>1</v>
      </c>
      <c r="AY524" s="17">
        <f t="shared" si="286"/>
        <v>434</v>
      </c>
      <c r="AZ524" s="28">
        <f t="shared" si="294"/>
        <v>0</v>
      </c>
      <c r="BA524" s="13">
        <f t="shared" si="287"/>
        <v>0</v>
      </c>
      <c r="BB524" s="13">
        <f t="shared" si="288"/>
        <v>0</v>
      </c>
      <c r="BC524" s="28">
        <f t="shared" si="295"/>
        <v>0</v>
      </c>
      <c r="BD524" s="28">
        <f t="shared" si="296"/>
        <v>0</v>
      </c>
      <c r="BF524" s="248">
        <f t="shared" si="297"/>
        <v>993869.29442638322</v>
      </c>
    </row>
    <row r="525" spans="1:58">
      <c r="A525" s="32">
        <f t="shared" si="298"/>
        <v>-350</v>
      </c>
      <c r="B525" s="32">
        <f t="shared" si="289"/>
        <v>89</v>
      </c>
      <c r="C525" s="32">
        <f t="shared" si="299"/>
        <v>37</v>
      </c>
      <c r="D525" s="32">
        <f t="shared" si="300"/>
        <v>435</v>
      </c>
      <c r="E525" s="74">
        <f>MIN(IF(AV525=0,0,
IF(Investment_Strategy="DIS",VLOOKUP(Investment_Strategy&amp;"_"&amp;Investment_Strategy_Sub1&amp;"_"&amp;$A525,'Investment Strategies'!$AZ:$BP,12,FALSE),
IF(AND(Investment_Strategy="Lifecycle",Investment_Strategy_Sub1="Non-Standard"),VLOOKUP(Investment_Strategy&amp;"_"&amp;Investment_Strategy_Sub2&amp;"_"&amp;$A525,'Investment Strategies'!$C:$P,9,FALSE),
IF(AND(Investment_Strategy="Lifecycle",Investment_Strategy_Sub1="Standard"),VLOOKUP(Investment_Strategy&amp;"_"&amp;Investment_Strategy_Sub2&amp;"_"&amp;$A525,'Investment Strategies'!$AJ:$AV,8,FALSE),
IF(AND(Investment_Strategy="Autopilot",Investment_Strategy_Sub1="Non-Standard"),VLOOKUP(Investment_Strategy&amp;"_"&amp;Investment_Strategy_Sub2&amp;"_"&amp;$A525,'Investment Strategies'!$T:$AF,8,FALSE),
IF(Investment_Strategy ="DIY",DIY_RateOfReturn_CurrentFunds,
"Error")))))),Max_InvReturn)</f>
        <v>0</v>
      </c>
      <c r="F525" s="62">
        <f>IF(AV525=0,0,
IF(Investment_Strategy="DIS",VLOOKUP(Investment_Strategy&amp;"_"&amp;Investment_Strategy_Sub1&amp;"_"&amp;$A525,'Investment Strategies'!$AZ:$BP,15,FALSE),
IF(AND(Investment_Strategy="Lifecycle",Investment_Strategy_Sub1="Non-Standard"),VLOOKUP(Investment_Strategy&amp;"_"&amp;Investment_Strategy_Sub2&amp;"_"&amp;$A525,'Investment Strategies'!$C:$P,12,FALSE),
IF(AND(Investment_Strategy="Lifecycle",Investment_Strategy_Sub1="Standard"),VLOOKUP(Investment_Strategy&amp;"_"&amp;Investment_Strategy_Sub2&amp;"_"&amp;$A525,'Investment Strategies'!$AJ:$AV,11,FALSE),
IF(AND(Investment_Strategy="Autopilot",Investment_Strategy_Sub1="Non-Standard"),VLOOKUP(Investment_Strategy&amp;"_"&amp;Investment_Strategy_Sub2&amp;"_"&amp;$A525,'Investment Strategies'!$T:$AF,11,FALSE),
IF(Investment_Strategy="DIY",DIY_GteeChrge_CurrentFunds,
"Error"))))))</f>
        <v>0</v>
      </c>
      <c r="G525" s="33">
        <f>IF(AV525=0,0,
IF(Investment_Strategy="DIS",VLOOKUP(Investment_Strategy&amp;"_"&amp;Investment_Strategy_Sub1&amp;"_"&amp;$A525,'Investment Strategies'!$AZ:$BP,17,FALSE),
IF(AND(Investment_Strategy="Lifecycle",Investment_Strategy_Sub1="Non-Standard"),VLOOKUP(Investment_Strategy&amp;"_"&amp;Investment_Strategy_Sub2&amp;"_"&amp;$A525,'Investment Strategies'!$C:$P,14,FALSE),
IF(AND(Investment_Strategy="Lifecycle",Investment_Strategy_Sub1="Standard"),VLOOKUP(Investment_Strategy&amp;"_"&amp;Investment_Strategy_Sub2&amp;"_"&amp;$A525,'Investment Strategies'!$AJ:$AV,13,FALSE),
IF(AND(Investment_Strategy="Autopilot",Investment_Strategy_Sub1="Non-Standard"),VLOOKUP(Investment_Strategy&amp;"_"&amp;Investment_Strategy_Sub2&amp;"_"&amp;$A525,'Investment Strategies'!$T:$AF,13,FALSE),
IF(Investment_Strategy="DIY",DIY_ExtManChrge_CurrentFunds,
"Error"))))))</f>
        <v>0</v>
      </c>
      <c r="H525" s="16">
        <f t="shared" si="290"/>
        <v>0</v>
      </c>
      <c r="I525" s="16">
        <f t="shared" si="276"/>
        <v>0</v>
      </c>
      <c r="J525" s="16">
        <f t="shared" si="277"/>
        <v>0</v>
      </c>
      <c r="K525" s="16">
        <f>(Opening_Fund_Value+SUM(K$91:K524))*E525*IF(D525=$A$91,SRP_finalmonthfactor,1)</f>
        <v>0</v>
      </c>
      <c r="L525" s="74">
        <f>MIN(IF($AV525=0,0,
IF(Investment_Strategy="DIS",VLOOKUP(Investment_Strategy&amp;"_"&amp;Investment_Strategy_Sub1&amp;"_"&amp;$A525,'Investment Strategies'!$AZ:$BP,12,FALSE),
IF(AND(Investment_Strategy="Lifecycle",Investment_Strategy_Sub1="Non-Standard"),VLOOKUP(Investment_Strategy&amp;"_"&amp;Investment_Strategy_Sub2&amp;"_"&amp;$A525,'Investment Strategies'!$C:$P,9,FALSE),
IF(AND(Investment_Strategy="Lifecycle",Investment_Strategy_Sub1="Standard"),VLOOKUP(Investment_Strategy&amp;"_"&amp;Investment_Strategy_Sub2&amp;"_"&amp;$A525,'Investment Strategies'!$AJ:$AV,8,FALSE),
IF(AND(Investment_Strategy="Autopilot",Investment_Strategy_Sub1="Non-Standard"),VLOOKUP(Investment_Strategy&amp;"_"&amp;Investment_Strategy_Sub2&amp;"_"&amp;$A525,'Investment Strategies'!$T:$AF,8,FALSE),
IF(Investment_Strategy ="DIY",DIY_RateofReturn_SP,
"Error")))))),Max_InvReturn)</f>
        <v>0</v>
      </c>
      <c r="M525" s="62">
        <f>IF($AV525=0,0,
IF(Investment_Strategy="DIS",VLOOKUP(Investment_Strategy&amp;"_"&amp;Investment_Strategy_Sub1&amp;"_"&amp;$A525,'Investment Strategies'!$AZ:$BP,15,FALSE),
IF(AND(Investment_Strategy="Lifecycle",Investment_Strategy_Sub1="Non-Standard"),VLOOKUP(Investment_Strategy&amp;"_"&amp;Investment_Strategy_Sub2&amp;"_"&amp;$A525,'Investment Strategies'!$C:$P,12,FALSE),
IF(AND(Investment_Strategy="Lifecycle",Investment_Strategy_Sub1="Standard"),VLOOKUP(Investment_Strategy&amp;"_"&amp;Investment_Strategy_Sub2&amp;"_"&amp;$A525,'Investment Strategies'!$AJ:$AV,11,FALSE),
IF(AND(Investment_Strategy="Autopilot",Investment_Strategy_Sub1="Non-Standard"),VLOOKUP(Investment_Strategy&amp;"_"&amp;Investment_Strategy_Sub2&amp;"_"&amp;$A525,'Investment Strategies'!$T:$AF,11,FALSE),
IF(Investment_Strategy="DIY",DIY_GteeChrge_SP,
"Error"))))))</f>
        <v>0</v>
      </c>
      <c r="N525" s="33">
        <f>IF($AV525=0,0,
IF(Investment_Strategy="DIS",VLOOKUP(Investment_Strategy&amp;"_"&amp;Investment_Strategy_Sub1&amp;"_"&amp;$A525,'Investment Strategies'!$AZ:$BP,17,FALSE),
IF(AND(Investment_Strategy="Lifecycle",Investment_Strategy_Sub1="Non-Standard"),VLOOKUP(Investment_Strategy&amp;"_"&amp;Investment_Strategy_Sub2&amp;"_"&amp;$A525,'Investment Strategies'!$C:$P,14,FALSE),
IF(AND(Investment_Strategy="Lifecycle",Investment_Strategy_Sub1="Standard"),VLOOKUP(Investment_Strategy&amp;"_"&amp;Investment_Strategy_Sub2&amp;"_"&amp;$A525,'Investment Strategies'!$AJ:$AV,13,FALSE),
IF(AND(Investment_Strategy="Autopilot",Investment_Strategy_Sub1="Non-Standard"),VLOOKUP(Investment_Strategy&amp;"_"&amp;Investment_Strategy_Sub2&amp;"_"&amp;$A525,'Investment Strategies'!$T:$AF,13,FALSE),
IF(Investment_Strategy="DIY",DIY_ExtManChrge_SP,
"Error"))))))</f>
        <v>0</v>
      </c>
      <c r="O525" s="16">
        <f t="shared" si="301"/>
        <v>0</v>
      </c>
      <c r="Q525" s="16">
        <f t="shared" si="278"/>
        <v>0</v>
      </c>
      <c r="R525" s="16">
        <f t="shared" si="274"/>
        <v>0</v>
      </c>
      <c r="S525" s="16">
        <f>(SRP_SP+SUM(S$91:S524))*L525*IF(D525=$A$91,SRP_finalmonthfactor,1)</f>
        <v>0</v>
      </c>
      <c r="T525" s="74">
        <f>MIN(IF($AV525=0,0,
IF(Investment_Strategy="DIS",VLOOKUP(Investment_Strategy&amp;"_"&amp;Investment_Strategy_Sub1&amp;"_"&amp;$A525,'Investment Strategies'!$AZ:$BP,12,FALSE),
IF(AND(Investment_Strategy="Lifecycle",Investment_Strategy_Sub1="Non-Standard"),VLOOKUP(Investment_Strategy&amp;"_"&amp;Investment_Strategy_Sub2&amp;"_"&amp;$A525,'Investment Strategies'!$C:$P,9,FALSE),
IF(AND(Investment_Strategy="Lifecycle",Investment_Strategy_Sub1="Standard"),VLOOKUP(Investment_Strategy&amp;"_"&amp;Investment_Strategy_Sub2&amp;"_"&amp;$A525,'Investment Strategies'!$AJ:$AV,8,FALSE),
IF(AND(Investment_Strategy="Autopilot",Investment_Strategy_Sub1="Non-Standard"),VLOOKUP(Investment_Strategy&amp;"_"&amp;Investment_Strategy_Sub2&amp;"_"&amp;$A525,'Investment Strategies'!$T:$AF,8,FALSE),
IF(Investment_Strategy ="DIY",DIY_RateOfReturn_FuturePremiums,
"Error")))))),Max_InvReturn)</f>
        <v>0</v>
      </c>
      <c r="U525" s="62">
        <f>IF($AV525=0,0,
IF(Investment_Strategy="DIS",VLOOKUP(Investment_Strategy&amp;"_"&amp;Investment_Strategy_Sub1&amp;"_"&amp;$A525,'Investment Strategies'!$AZ:$BP,15,FALSE),
IF(AND(Investment_Strategy="Lifecycle",Investment_Strategy_Sub1="Non-Standard"),VLOOKUP(Investment_Strategy&amp;"_"&amp;Investment_Strategy_Sub2&amp;"_"&amp;$A525,'Investment Strategies'!$C:$P,12,FALSE),
IF(AND(Investment_Strategy="Lifecycle",Investment_Strategy_Sub1="Standard"),VLOOKUP(Investment_Strategy&amp;"_"&amp;Investment_Strategy_Sub2&amp;"_"&amp;$A525,'Investment Strategies'!$AJ:$AV,11,FALSE),
IF(AND(Investment_Strategy="Autopilot",Investment_Strategy_Sub1="Non-Standard"),VLOOKUP(Investment_Strategy&amp;"_"&amp;Investment_Strategy_Sub2&amp;"_"&amp;$A525,'Investment Strategies'!$T:$AF,11,FALSE),
IF(Investment_Strategy="DIY",DIY_GteeChrge_FuturePremiums,
"Error"))))))</f>
        <v>0</v>
      </c>
      <c r="V525" s="33">
        <f>IF(AV525=0,0,
IF(Investment_Strategy="DIS",VLOOKUP(Investment_Strategy&amp;"_"&amp;Investment_Strategy_Sub1&amp;"_"&amp;$A525,'Investment Strategies'!$AZ:$BP,17,FALSE),
IF(AND(Investment_Strategy="Lifecycle",Investment_Strategy_Sub1="Non-Standard"),VLOOKUP(Investment_Strategy&amp;"_"&amp;Investment_Strategy_Sub2&amp;"_"&amp;$A525,'Investment Strategies'!$C:$P,14,FALSE),
IF(AND(Investment_Strategy="Lifecycle",Investment_Strategy_Sub1="Standard"),VLOOKUP(Investment_Strategy&amp;"_"&amp;Investment_Strategy_Sub2&amp;"_"&amp;$A525,'Investment Strategies'!$AJ:$AV,13,FALSE),
IF(AND(Investment_Strategy="Autopilot",Investment_Strategy_Sub1="Non-Standard"),VLOOKUP(Investment_Strategy&amp;"_"&amp;Investment_Strategy_Sub2&amp;"_"&amp;$A525,'Investment Strategies'!$T:$AF,13,FALSE),
IF(Investment_Strategy="DIY",DIY_ExtManChrge_FuturePremiums,
"Error"))))))</f>
        <v>0</v>
      </c>
      <c r="W525" s="16">
        <f t="shared" si="302"/>
        <v>0</v>
      </c>
      <c r="X525" s="16">
        <f t="shared" si="279"/>
        <v>0</v>
      </c>
      <c r="Y525" s="16">
        <f t="shared" si="280"/>
        <v>0</v>
      </c>
      <c r="Z525" s="31">
        <f t="shared" si="281"/>
        <v>0.02</v>
      </c>
      <c r="AA525" s="16">
        <f t="shared" si="282"/>
        <v>0</v>
      </c>
      <c r="AB525" s="28">
        <f t="shared" si="303"/>
        <v>0</v>
      </c>
      <c r="AC525" s="28">
        <f>(SUM($AC$91:AC524)+SUM($X$91:X524)+X525)*T525*IF(D525=$A$91,SRP_finalmonthfactor,1)</f>
        <v>0</v>
      </c>
      <c r="AD525" s="16">
        <f t="shared" si="283"/>
        <v>0</v>
      </c>
      <c r="AE525" s="106"/>
      <c r="AF525" s="16">
        <f t="shared" si="291"/>
        <v>0</v>
      </c>
      <c r="AG525" s="16">
        <f t="shared" si="292"/>
        <v>0</v>
      </c>
      <c r="AH525" s="16">
        <f t="shared" si="293"/>
        <v>0</v>
      </c>
      <c r="AJ525" s="13">
        <f t="shared" si="308"/>
        <v>0</v>
      </c>
      <c r="AK525" s="13">
        <f t="shared" si="308"/>
        <v>0</v>
      </c>
      <c r="AL525" s="13">
        <f t="shared" si="308"/>
        <v>0</v>
      </c>
      <c r="AM525" s="13">
        <f t="shared" si="308"/>
        <v>0</v>
      </c>
      <c r="AN525" s="13">
        <f t="shared" si="308"/>
        <v>0</v>
      </c>
      <c r="AO525" s="13">
        <f t="shared" si="308"/>
        <v>1</v>
      </c>
      <c r="AP525" s="13">
        <f t="shared" si="308"/>
        <v>1</v>
      </c>
      <c r="AQ525" s="13">
        <f t="shared" si="308"/>
        <v>1</v>
      </c>
      <c r="AR525" s="13">
        <f t="shared" si="308"/>
        <v>0</v>
      </c>
      <c r="AS525" s="13">
        <f t="shared" si="308"/>
        <v>0</v>
      </c>
      <c r="AT525" s="13">
        <f t="shared" si="308"/>
        <v>0</v>
      </c>
      <c r="AU525" s="13">
        <f t="shared" si="308"/>
        <v>1</v>
      </c>
      <c r="AV525" s="13">
        <f t="shared" si="284"/>
        <v>0</v>
      </c>
      <c r="AW525" s="13">
        <f t="shared" si="285"/>
        <v>1</v>
      </c>
      <c r="AY525" s="17">
        <f t="shared" si="286"/>
        <v>435</v>
      </c>
      <c r="AZ525" s="28">
        <f t="shared" si="294"/>
        <v>0</v>
      </c>
      <c r="BA525" s="13">
        <f t="shared" si="287"/>
        <v>0</v>
      </c>
      <c r="BB525" s="13">
        <f t="shared" si="288"/>
        <v>0</v>
      </c>
      <c r="BC525" s="28">
        <f t="shared" si="295"/>
        <v>0</v>
      </c>
      <c r="BD525" s="28">
        <f t="shared" si="296"/>
        <v>0</v>
      </c>
      <c r="BF525" s="248">
        <f t="shared" si="297"/>
        <v>993869.29442638322</v>
      </c>
    </row>
    <row r="526" spans="1:58">
      <c r="A526" s="32">
        <f t="shared" si="298"/>
        <v>-351</v>
      </c>
      <c r="B526" s="32">
        <f t="shared" si="289"/>
        <v>89</v>
      </c>
      <c r="C526" s="32">
        <f t="shared" si="299"/>
        <v>37</v>
      </c>
      <c r="D526" s="32">
        <f t="shared" si="300"/>
        <v>436</v>
      </c>
      <c r="E526" s="74">
        <f>MIN(IF(AV526=0,0,
IF(Investment_Strategy="DIS",VLOOKUP(Investment_Strategy&amp;"_"&amp;Investment_Strategy_Sub1&amp;"_"&amp;$A526,'Investment Strategies'!$AZ:$BP,12,FALSE),
IF(AND(Investment_Strategy="Lifecycle",Investment_Strategy_Sub1="Non-Standard"),VLOOKUP(Investment_Strategy&amp;"_"&amp;Investment_Strategy_Sub2&amp;"_"&amp;$A526,'Investment Strategies'!$C:$P,9,FALSE),
IF(AND(Investment_Strategy="Lifecycle",Investment_Strategy_Sub1="Standard"),VLOOKUP(Investment_Strategy&amp;"_"&amp;Investment_Strategy_Sub2&amp;"_"&amp;$A526,'Investment Strategies'!$AJ:$AV,8,FALSE),
IF(AND(Investment_Strategy="Autopilot",Investment_Strategy_Sub1="Non-Standard"),VLOOKUP(Investment_Strategy&amp;"_"&amp;Investment_Strategy_Sub2&amp;"_"&amp;$A526,'Investment Strategies'!$T:$AF,8,FALSE),
IF(Investment_Strategy ="DIY",DIY_RateOfReturn_CurrentFunds,
"Error")))))),Max_InvReturn)</f>
        <v>0</v>
      </c>
      <c r="F526" s="62">
        <f>IF(AV526=0,0,
IF(Investment_Strategy="DIS",VLOOKUP(Investment_Strategy&amp;"_"&amp;Investment_Strategy_Sub1&amp;"_"&amp;$A526,'Investment Strategies'!$AZ:$BP,15,FALSE),
IF(AND(Investment_Strategy="Lifecycle",Investment_Strategy_Sub1="Non-Standard"),VLOOKUP(Investment_Strategy&amp;"_"&amp;Investment_Strategy_Sub2&amp;"_"&amp;$A526,'Investment Strategies'!$C:$P,12,FALSE),
IF(AND(Investment_Strategy="Lifecycle",Investment_Strategy_Sub1="Standard"),VLOOKUP(Investment_Strategy&amp;"_"&amp;Investment_Strategy_Sub2&amp;"_"&amp;$A526,'Investment Strategies'!$AJ:$AV,11,FALSE),
IF(AND(Investment_Strategy="Autopilot",Investment_Strategy_Sub1="Non-Standard"),VLOOKUP(Investment_Strategy&amp;"_"&amp;Investment_Strategy_Sub2&amp;"_"&amp;$A526,'Investment Strategies'!$T:$AF,11,FALSE),
IF(Investment_Strategy="DIY",DIY_GteeChrge_CurrentFunds,
"Error"))))))</f>
        <v>0</v>
      </c>
      <c r="G526" s="33">
        <f>IF(AV526=0,0,
IF(Investment_Strategy="DIS",VLOOKUP(Investment_Strategy&amp;"_"&amp;Investment_Strategy_Sub1&amp;"_"&amp;$A526,'Investment Strategies'!$AZ:$BP,17,FALSE),
IF(AND(Investment_Strategy="Lifecycle",Investment_Strategy_Sub1="Non-Standard"),VLOOKUP(Investment_Strategy&amp;"_"&amp;Investment_Strategy_Sub2&amp;"_"&amp;$A526,'Investment Strategies'!$C:$P,14,FALSE),
IF(AND(Investment_Strategy="Lifecycle",Investment_Strategy_Sub1="Standard"),VLOOKUP(Investment_Strategy&amp;"_"&amp;Investment_Strategy_Sub2&amp;"_"&amp;$A526,'Investment Strategies'!$AJ:$AV,13,FALSE),
IF(AND(Investment_Strategy="Autopilot",Investment_Strategy_Sub1="Non-Standard"),VLOOKUP(Investment_Strategy&amp;"_"&amp;Investment_Strategy_Sub2&amp;"_"&amp;$A526,'Investment Strategies'!$T:$AF,13,FALSE),
IF(Investment_Strategy="DIY",DIY_ExtManChrge_CurrentFunds,
"Error"))))))</f>
        <v>0</v>
      </c>
      <c r="H526" s="16">
        <f t="shared" si="290"/>
        <v>0</v>
      </c>
      <c r="I526" s="16">
        <f t="shared" si="276"/>
        <v>0</v>
      </c>
      <c r="J526" s="16">
        <f t="shared" si="277"/>
        <v>0</v>
      </c>
      <c r="K526" s="16">
        <f>(Opening_Fund_Value+SUM(K$91:K525))*E526*IF(D526=$A$91,SRP_finalmonthfactor,1)</f>
        <v>0</v>
      </c>
      <c r="L526" s="74">
        <f>MIN(IF($AV526=0,0,
IF(Investment_Strategy="DIS",VLOOKUP(Investment_Strategy&amp;"_"&amp;Investment_Strategy_Sub1&amp;"_"&amp;$A526,'Investment Strategies'!$AZ:$BP,12,FALSE),
IF(AND(Investment_Strategy="Lifecycle",Investment_Strategy_Sub1="Non-Standard"),VLOOKUP(Investment_Strategy&amp;"_"&amp;Investment_Strategy_Sub2&amp;"_"&amp;$A526,'Investment Strategies'!$C:$P,9,FALSE),
IF(AND(Investment_Strategy="Lifecycle",Investment_Strategy_Sub1="Standard"),VLOOKUP(Investment_Strategy&amp;"_"&amp;Investment_Strategy_Sub2&amp;"_"&amp;$A526,'Investment Strategies'!$AJ:$AV,8,FALSE),
IF(AND(Investment_Strategy="Autopilot",Investment_Strategy_Sub1="Non-Standard"),VLOOKUP(Investment_Strategy&amp;"_"&amp;Investment_Strategy_Sub2&amp;"_"&amp;$A526,'Investment Strategies'!$T:$AF,8,FALSE),
IF(Investment_Strategy ="DIY",DIY_RateofReturn_SP,
"Error")))))),Max_InvReturn)</f>
        <v>0</v>
      </c>
      <c r="M526" s="62">
        <f>IF($AV526=0,0,
IF(Investment_Strategy="DIS",VLOOKUP(Investment_Strategy&amp;"_"&amp;Investment_Strategy_Sub1&amp;"_"&amp;$A526,'Investment Strategies'!$AZ:$BP,15,FALSE),
IF(AND(Investment_Strategy="Lifecycle",Investment_Strategy_Sub1="Non-Standard"),VLOOKUP(Investment_Strategy&amp;"_"&amp;Investment_Strategy_Sub2&amp;"_"&amp;$A526,'Investment Strategies'!$C:$P,12,FALSE),
IF(AND(Investment_Strategy="Lifecycle",Investment_Strategy_Sub1="Standard"),VLOOKUP(Investment_Strategy&amp;"_"&amp;Investment_Strategy_Sub2&amp;"_"&amp;$A526,'Investment Strategies'!$AJ:$AV,11,FALSE),
IF(AND(Investment_Strategy="Autopilot",Investment_Strategy_Sub1="Non-Standard"),VLOOKUP(Investment_Strategy&amp;"_"&amp;Investment_Strategy_Sub2&amp;"_"&amp;$A526,'Investment Strategies'!$T:$AF,11,FALSE),
IF(Investment_Strategy="DIY",DIY_GteeChrge_SP,
"Error"))))))</f>
        <v>0</v>
      </c>
      <c r="N526" s="33">
        <f>IF($AV526=0,0,
IF(Investment_Strategy="DIS",VLOOKUP(Investment_Strategy&amp;"_"&amp;Investment_Strategy_Sub1&amp;"_"&amp;$A526,'Investment Strategies'!$AZ:$BP,17,FALSE),
IF(AND(Investment_Strategy="Lifecycle",Investment_Strategy_Sub1="Non-Standard"),VLOOKUP(Investment_Strategy&amp;"_"&amp;Investment_Strategy_Sub2&amp;"_"&amp;$A526,'Investment Strategies'!$C:$P,14,FALSE),
IF(AND(Investment_Strategy="Lifecycle",Investment_Strategy_Sub1="Standard"),VLOOKUP(Investment_Strategy&amp;"_"&amp;Investment_Strategy_Sub2&amp;"_"&amp;$A526,'Investment Strategies'!$AJ:$AV,13,FALSE),
IF(AND(Investment_Strategy="Autopilot",Investment_Strategy_Sub1="Non-Standard"),VLOOKUP(Investment_Strategy&amp;"_"&amp;Investment_Strategy_Sub2&amp;"_"&amp;$A526,'Investment Strategies'!$T:$AF,13,FALSE),
IF(Investment_Strategy="DIY",DIY_ExtManChrge_SP,
"Error"))))))</f>
        <v>0</v>
      </c>
      <c r="O526" s="16">
        <f t="shared" si="301"/>
        <v>0</v>
      </c>
      <c r="Q526" s="16">
        <f t="shared" si="278"/>
        <v>0</v>
      </c>
      <c r="R526" s="16">
        <f t="shared" si="274"/>
        <v>0</v>
      </c>
      <c r="S526" s="16">
        <f>(SRP_SP+SUM(S$91:S525))*L526*IF(D526=$A$91,SRP_finalmonthfactor,1)</f>
        <v>0</v>
      </c>
      <c r="T526" s="74">
        <f>MIN(IF($AV526=0,0,
IF(Investment_Strategy="DIS",VLOOKUP(Investment_Strategy&amp;"_"&amp;Investment_Strategy_Sub1&amp;"_"&amp;$A526,'Investment Strategies'!$AZ:$BP,12,FALSE),
IF(AND(Investment_Strategy="Lifecycle",Investment_Strategy_Sub1="Non-Standard"),VLOOKUP(Investment_Strategy&amp;"_"&amp;Investment_Strategy_Sub2&amp;"_"&amp;$A526,'Investment Strategies'!$C:$P,9,FALSE),
IF(AND(Investment_Strategy="Lifecycle",Investment_Strategy_Sub1="Standard"),VLOOKUP(Investment_Strategy&amp;"_"&amp;Investment_Strategy_Sub2&amp;"_"&amp;$A526,'Investment Strategies'!$AJ:$AV,8,FALSE),
IF(AND(Investment_Strategy="Autopilot",Investment_Strategy_Sub1="Non-Standard"),VLOOKUP(Investment_Strategy&amp;"_"&amp;Investment_Strategy_Sub2&amp;"_"&amp;$A526,'Investment Strategies'!$T:$AF,8,FALSE),
IF(Investment_Strategy ="DIY",DIY_RateOfReturn_FuturePremiums,
"Error")))))),Max_InvReturn)</f>
        <v>0</v>
      </c>
      <c r="U526" s="62">
        <f>IF($AV526=0,0,
IF(Investment_Strategy="DIS",VLOOKUP(Investment_Strategy&amp;"_"&amp;Investment_Strategy_Sub1&amp;"_"&amp;$A526,'Investment Strategies'!$AZ:$BP,15,FALSE),
IF(AND(Investment_Strategy="Lifecycle",Investment_Strategy_Sub1="Non-Standard"),VLOOKUP(Investment_Strategy&amp;"_"&amp;Investment_Strategy_Sub2&amp;"_"&amp;$A526,'Investment Strategies'!$C:$P,12,FALSE),
IF(AND(Investment_Strategy="Lifecycle",Investment_Strategy_Sub1="Standard"),VLOOKUP(Investment_Strategy&amp;"_"&amp;Investment_Strategy_Sub2&amp;"_"&amp;$A526,'Investment Strategies'!$AJ:$AV,11,FALSE),
IF(AND(Investment_Strategy="Autopilot",Investment_Strategy_Sub1="Non-Standard"),VLOOKUP(Investment_Strategy&amp;"_"&amp;Investment_Strategy_Sub2&amp;"_"&amp;$A526,'Investment Strategies'!$T:$AF,11,FALSE),
IF(Investment_Strategy="DIY",DIY_GteeChrge_FuturePremiums,
"Error"))))))</f>
        <v>0</v>
      </c>
      <c r="V526" s="33">
        <f>IF(AV526=0,0,
IF(Investment_Strategy="DIS",VLOOKUP(Investment_Strategy&amp;"_"&amp;Investment_Strategy_Sub1&amp;"_"&amp;$A526,'Investment Strategies'!$AZ:$BP,17,FALSE),
IF(AND(Investment_Strategy="Lifecycle",Investment_Strategy_Sub1="Non-Standard"),VLOOKUP(Investment_Strategy&amp;"_"&amp;Investment_Strategy_Sub2&amp;"_"&amp;$A526,'Investment Strategies'!$C:$P,14,FALSE),
IF(AND(Investment_Strategy="Lifecycle",Investment_Strategy_Sub1="Standard"),VLOOKUP(Investment_Strategy&amp;"_"&amp;Investment_Strategy_Sub2&amp;"_"&amp;$A526,'Investment Strategies'!$AJ:$AV,13,FALSE),
IF(AND(Investment_Strategy="Autopilot",Investment_Strategy_Sub1="Non-Standard"),VLOOKUP(Investment_Strategy&amp;"_"&amp;Investment_Strategy_Sub2&amp;"_"&amp;$A526,'Investment Strategies'!$T:$AF,13,FALSE),
IF(Investment_Strategy="DIY",DIY_ExtManChrge_FuturePremiums,
"Error"))))))</f>
        <v>0</v>
      </c>
      <c r="W526" s="16">
        <f t="shared" si="302"/>
        <v>0</v>
      </c>
      <c r="X526" s="16">
        <f t="shared" si="279"/>
        <v>0</v>
      </c>
      <c r="Y526" s="16">
        <f t="shared" si="280"/>
        <v>0</v>
      </c>
      <c r="Z526" s="31">
        <f t="shared" si="281"/>
        <v>0.02</v>
      </c>
      <c r="AA526" s="16">
        <f t="shared" si="282"/>
        <v>0</v>
      </c>
      <c r="AB526" s="28">
        <f t="shared" si="303"/>
        <v>0</v>
      </c>
      <c r="AC526" s="28">
        <f>(SUM($AC$91:AC525)+SUM($X$91:X525)+X526)*T526*IF(D526=$A$91,SRP_finalmonthfactor,1)</f>
        <v>0</v>
      </c>
      <c r="AD526" s="16">
        <f t="shared" si="283"/>
        <v>0</v>
      </c>
      <c r="AE526" s="106"/>
      <c r="AF526" s="16">
        <f t="shared" si="291"/>
        <v>0</v>
      </c>
      <c r="AG526" s="16">
        <f t="shared" si="292"/>
        <v>0</v>
      </c>
      <c r="AH526" s="16">
        <f t="shared" si="293"/>
        <v>0</v>
      </c>
      <c r="AJ526" s="13">
        <f t="shared" si="308"/>
        <v>0</v>
      </c>
      <c r="AK526" s="13">
        <f t="shared" si="308"/>
        <v>0</v>
      </c>
      <c r="AL526" s="13">
        <f t="shared" si="308"/>
        <v>0</v>
      </c>
      <c r="AM526" s="13">
        <f t="shared" si="308"/>
        <v>0</v>
      </c>
      <c r="AN526" s="13">
        <f t="shared" si="308"/>
        <v>0</v>
      </c>
      <c r="AO526" s="13">
        <f t="shared" si="308"/>
        <v>1</v>
      </c>
      <c r="AP526" s="13">
        <f t="shared" si="308"/>
        <v>1</v>
      </c>
      <c r="AQ526" s="13">
        <f t="shared" si="308"/>
        <v>1</v>
      </c>
      <c r="AR526" s="13">
        <f t="shared" si="308"/>
        <v>0</v>
      </c>
      <c r="AS526" s="13">
        <f t="shared" si="308"/>
        <v>0</v>
      </c>
      <c r="AT526" s="13">
        <f t="shared" si="308"/>
        <v>0</v>
      </c>
      <c r="AU526" s="13">
        <f t="shared" si="308"/>
        <v>1</v>
      </c>
      <c r="AV526" s="13">
        <f t="shared" si="284"/>
        <v>0</v>
      </c>
      <c r="AW526" s="13">
        <f t="shared" si="285"/>
        <v>1</v>
      </c>
      <c r="AY526" s="17">
        <f t="shared" si="286"/>
        <v>436</v>
      </c>
      <c r="AZ526" s="28">
        <f t="shared" si="294"/>
        <v>0</v>
      </c>
      <c r="BA526" s="13">
        <f t="shared" si="287"/>
        <v>0</v>
      </c>
      <c r="BB526" s="13">
        <f t="shared" si="288"/>
        <v>0</v>
      </c>
      <c r="BC526" s="28">
        <f t="shared" si="295"/>
        <v>0</v>
      </c>
      <c r="BD526" s="28">
        <f t="shared" si="296"/>
        <v>0</v>
      </c>
      <c r="BF526" s="248">
        <f t="shared" si="297"/>
        <v>993869.29442638322</v>
      </c>
    </row>
    <row r="527" spans="1:58">
      <c r="A527" s="32">
        <f t="shared" si="298"/>
        <v>-352</v>
      </c>
      <c r="B527" s="32">
        <f t="shared" si="289"/>
        <v>89</v>
      </c>
      <c r="C527" s="32">
        <f t="shared" si="299"/>
        <v>37</v>
      </c>
      <c r="D527" s="32">
        <f t="shared" si="300"/>
        <v>437</v>
      </c>
      <c r="E527" s="74">
        <f>MIN(IF(AV527=0,0,
IF(Investment_Strategy="DIS",VLOOKUP(Investment_Strategy&amp;"_"&amp;Investment_Strategy_Sub1&amp;"_"&amp;$A527,'Investment Strategies'!$AZ:$BP,12,FALSE),
IF(AND(Investment_Strategy="Lifecycle",Investment_Strategy_Sub1="Non-Standard"),VLOOKUP(Investment_Strategy&amp;"_"&amp;Investment_Strategy_Sub2&amp;"_"&amp;$A527,'Investment Strategies'!$C:$P,9,FALSE),
IF(AND(Investment_Strategy="Lifecycle",Investment_Strategy_Sub1="Standard"),VLOOKUP(Investment_Strategy&amp;"_"&amp;Investment_Strategy_Sub2&amp;"_"&amp;$A527,'Investment Strategies'!$AJ:$AV,8,FALSE),
IF(AND(Investment_Strategy="Autopilot",Investment_Strategy_Sub1="Non-Standard"),VLOOKUP(Investment_Strategy&amp;"_"&amp;Investment_Strategy_Sub2&amp;"_"&amp;$A527,'Investment Strategies'!$T:$AF,8,FALSE),
IF(Investment_Strategy ="DIY",DIY_RateOfReturn_CurrentFunds,
"Error")))))),Max_InvReturn)</f>
        <v>0</v>
      </c>
      <c r="F527" s="62">
        <f>IF(AV527=0,0,
IF(Investment_Strategy="DIS",VLOOKUP(Investment_Strategy&amp;"_"&amp;Investment_Strategy_Sub1&amp;"_"&amp;$A527,'Investment Strategies'!$AZ:$BP,15,FALSE),
IF(AND(Investment_Strategy="Lifecycle",Investment_Strategy_Sub1="Non-Standard"),VLOOKUP(Investment_Strategy&amp;"_"&amp;Investment_Strategy_Sub2&amp;"_"&amp;$A527,'Investment Strategies'!$C:$P,12,FALSE),
IF(AND(Investment_Strategy="Lifecycle",Investment_Strategy_Sub1="Standard"),VLOOKUP(Investment_Strategy&amp;"_"&amp;Investment_Strategy_Sub2&amp;"_"&amp;$A527,'Investment Strategies'!$AJ:$AV,11,FALSE),
IF(AND(Investment_Strategy="Autopilot",Investment_Strategy_Sub1="Non-Standard"),VLOOKUP(Investment_Strategy&amp;"_"&amp;Investment_Strategy_Sub2&amp;"_"&amp;$A527,'Investment Strategies'!$T:$AF,11,FALSE),
IF(Investment_Strategy="DIY",DIY_GteeChrge_CurrentFunds,
"Error"))))))</f>
        <v>0</v>
      </c>
      <c r="G527" s="33">
        <f>IF(AV527=0,0,
IF(Investment_Strategy="DIS",VLOOKUP(Investment_Strategy&amp;"_"&amp;Investment_Strategy_Sub1&amp;"_"&amp;$A527,'Investment Strategies'!$AZ:$BP,17,FALSE),
IF(AND(Investment_Strategy="Lifecycle",Investment_Strategy_Sub1="Non-Standard"),VLOOKUP(Investment_Strategy&amp;"_"&amp;Investment_Strategy_Sub2&amp;"_"&amp;$A527,'Investment Strategies'!$C:$P,14,FALSE),
IF(AND(Investment_Strategy="Lifecycle",Investment_Strategy_Sub1="Standard"),VLOOKUP(Investment_Strategy&amp;"_"&amp;Investment_Strategy_Sub2&amp;"_"&amp;$A527,'Investment Strategies'!$AJ:$AV,13,FALSE),
IF(AND(Investment_Strategy="Autopilot",Investment_Strategy_Sub1="Non-Standard"),VLOOKUP(Investment_Strategy&amp;"_"&amp;Investment_Strategy_Sub2&amp;"_"&amp;$A527,'Investment Strategies'!$T:$AF,13,FALSE),
IF(Investment_Strategy="DIY",DIY_ExtManChrge_CurrentFunds,
"Error"))))))</f>
        <v>0</v>
      </c>
      <c r="H527" s="16">
        <f t="shared" si="290"/>
        <v>0</v>
      </c>
      <c r="I527" s="16">
        <f t="shared" si="276"/>
        <v>0</v>
      </c>
      <c r="J527" s="16">
        <f t="shared" si="277"/>
        <v>0</v>
      </c>
      <c r="K527" s="16">
        <f>(Opening_Fund_Value+SUM(K$91:K526))*E527*IF(D527=$A$91,SRP_finalmonthfactor,1)</f>
        <v>0</v>
      </c>
      <c r="L527" s="74">
        <f>MIN(IF($AV527=0,0,
IF(Investment_Strategy="DIS",VLOOKUP(Investment_Strategy&amp;"_"&amp;Investment_Strategy_Sub1&amp;"_"&amp;$A527,'Investment Strategies'!$AZ:$BP,12,FALSE),
IF(AND(Investment_Strategy="Lifecycle",Investment_Strategy_Sub1="Non-Standard"),VLOOKUP(Investment_Strategy&amp;"_"&amp;Investment_Strategy_Sub2&amp;"_"&amp;$A527,'Investment Strategies'!$C:$P,9,FALSE),
IF(AND(Investment_Strategy="Lifecycle",Investment_Strategy_Sub1="Standard"),VLOOKUP(Investment_Strategy&amp;"_"&amp;Investment_Strategy_Sub2&amp;"_"&amp;$A527,'Investment Strategies'!$AJ:$AV,8,FALSE),
IF(AND(Investment_Strategy="Autopilot",Investment_Strategy_Sub1="Non-Standard"),VLOOKUP(Investment_Strategy&amp;"_"&amp;Investment_Strategy_Sub2&amp;"_"&amp;$A527,'Investment Strategies'!$T:$AF,8,FALSE),
IF(Investment_Strategy ="DIY",DIY_RateofReturn_SP,
"Error")))))),Max_InvReturn)</f>
        <v>0</v>
      </c>
      <c r="M527" s="62">
        <f>IF($AV527=0,0,
IF(Investment_Strategy="DIS",VLOOKUP(Investment_Strategy&amp;"_"&amp;Investment_Strategy_Sub1&amp;"_"&amp;$A527,'Investment Strategies'!$AZ:$BP,15,FALSE),
IF(AND(Investment_Strategy="Lifecycle",Investment_Strategy_Sub1="Non-Standard"),VLOOKUP(Investment_Strategy&amp;"_"&amp;Investment_Strategy_Sub2&amp;"_"&amp;$A527,'Investment Strategies'!$C:$P,12,FALSE),
IF(AND(Investment_Strategy="Lifecycle",Investment_Strategy_Sub1="Standard"),VLOOKUP(Investment_Strategy&amp;"_"&amp;Investment_Strategy_Sub2&amp;"_"&amp;$A527,'Investment Strategies'!$AJ:$AV,11,FALSE),
IF(AND(Investment_Strategy="Autopilot",Investment_Strategy_Sub1="Non-Standard"),VLOOKUP(Investment_Strategy&amp;"_"&amp;Investment_Strategy_Sub2&amp;"_"&amp;$A527,'Investment Strategies'!$T:$AF,11,FALSE),
IF(Investment_Strategy="DIY",DIY_GteeChrge_SP,
"Error"))))))</f>
        <v>0</v>
      </c>
      <c r="N527" s="33">
        <f>IF($AV527=0,0,
IF(Investment_Strategy="DIS",VLOOKUP(Investment_Strategy&amp;"_"&amp;Investment_Strategy_Sub1&amp;"_"&amp;$A527,'Investment Strategies'!$AZ:$BP,17,FALSE),
IF(AND(Investment_Strategy="Lifecycle",Investment_Strategy_Sub1="Non-Standard"),VLOOKUP(Investment_Strategy&amp;"_"&amp;Investment_Strategy_Sub2&amp;"_"&amp;$A527,'Investment Strategies'!$C:$P,14,FALSE),
IF(AND(Investment_Strategy="Lifecycle",Investment_Strategy_Sub1="Standard"),VLOOKUP(Investment_Strategy&amp;"_"&amp;Investment_Strategy_Sub2&amp;"_"&amp;$A527,'Investment Strategies'!$AJ:$AV,13,FALSE),
IF(AND(Investment_Strategy="Autopilot",Investment_Strategy_Sub1="Non-Standard"),VLOOKUP(Investment_Strategy&amp;"_"&amp;Investment_Strategy_Sub2&amp;"_"&amp;$A527,'Investment Strategies'!$T:$AF,13,FALSE),
IF(Investment_Strategy="DIY",DIY_ExtManChrge_SP,
"Error"))))))</f>
        <v>0</v>
      </c>
      <c r="O527" s="16">
        <f t="shared" si="301"/>
        <v>0</v>
      </c>
      <c r="Q527" s="16">
        <f t="shared" si="278"/>
        <v>0</v>
      </c>
      <c r="R527" s="16">
        <f t="shared" si="274"/>
        <v>0</v>
      </c>
      <c r="S527" s="16">
        <f>(SRP_SP+SUM(S$91:S526))*L527*IF(D527=$A$91,SRP_finalmonthfactor,1)</f>
        <v>0</v>
      </c>
      <c r="T527" s="74">
        <f>MIN(IF($AV527=0,0,
IF(Investment_Strategy="DIS",VLOOKUP(Investment_Strategy&amp;"_"&amp;Investment_Strategy_Sub1&amp;"_"&amp;$A527,'Investment Strategies'!$AZ:$BP,12,FALSE),
IF(AND(Investment_Strategy="Lifecycle",Investment_Strategy_Sub1="Non-Standard"),VLOOKUP(Investment_Strategy&amp;"_"&amp;Investment_Strategy_Sub2&amp;"_"&amp;$A527,'Investment Strategies'!$C:$P,9,FALSE),
IF(AND(Investment_Strategy="Lifecycle",Investment_Strategy_Sub1="Standard"),VLOOKUP(Investment_Strategy&amp;"_"&amp;Investment_Strategy_Sub2&amp;"_"&amp;$A527,'Investment Strategies'!$AJ:$AV,8,FALSE),
IF(AND(Investment_Strategy="Autopilot",Investment_Strategy_Sub1="Non-Standard"),VLOOKUP(Investment_Strategy&amp;"_"&amp;Investment_Strategy_Sub2&amp;"_"&amp;$A527,'Investment Strategies'!$T:$AF,8,FALSE),
IF(Investment_Strategy ="DIY",DIY_RateOfReturn_FuturePremiums,
"Error")))))),Max_InvReturn)</f>
        <v>0</v>
      </c>
      <c r="U527" s="62">
        <f>IF($AV527=0,0,
IF(Investment_Strategy="DIS",VLOOKUP(Investment_Strategy&amp;"_"&amp;Investment_Strategy_Sub1&amp;"_"&amp;$A527,'Investment Strategies'!$AZ:$BP,15,FALSE),
IF(AND(Investment_Strategy="Lifecycle",Investment_Strategy_Sub1="Non-Standard"),VLOOKUP(Investment_Strategy&amp;"_"&amp;Investment_Strategy_Sub2&amp;"_"&amp;$A527,'Investment Strategies'!$C:$P,12,FALSE),
IF(AND(Investment_Strategy="Lifecycle",Investment_Strategy_Sub1="Standard"),VLOOKUP(Investment_Strategy&amp;"_"&amp;Investment_Strategy_Sub2&amp;"_"&amp;$A527,'Investment Strategies'!$AJ:$AV,11,FALSE),
IF(AND(Investment_Strategy="Autopilot",Investment_Strategy_Sub1="Non-Standard"),VLOOKUP(Investment_Strategy&amp;"_"&amp;Investment_Strategy_Sub2&amp;"_"&amp;$A527,'Investment Strategies'!$T:$AF,11,FALSE),
IF(Investment_Strategy="DIY",DIY_GteeChrge_FuturePremiums,
"Error"))))))</f>
        <v>0</v>
      </c>
      <c r="V527" s="33">
        <f>IF(AV527=0,0,
IF(Investment_Strategy="DIS",VLOOKUP(Investment_Strategy&amp;"_"&amp;Investment_Strategy_Sub1&amp;"_"&amp;$A527,'Investment Strategies'!$AZ:$BP,17,FALSE),
IF(AND(Investment_Strategy="Lifecycle",Investment_Strategy_Sub1="Non-Standard"),VLOOKUP(Investment_Strategy&amp;"_"&amp;Investment_Strategy_Sub2&amp;"_"&amp;$A527,'Investment Strategies'!$C:$P,14,FALSE),
IF(AND(Investment_Strategy="Lifecycle",Investment_Strategy_Sub1="Standard"),VLOOKUP(Investment_Strategy&amp;"_"&amp;Investment_Strategy_Sub2&amp;"_"&amp;$A527,'Investment Strategies'!$AJ:$AV,13,FALSE),
IF(AND(Investment_Strategy="Autopilot",Investment_Strategy_Sub1="Non-Standard"),VLOOKUP(Investment_Strategy&amp;"_"&amp;Investment_Strategy_Sub2&amp;"_"&amp;$A527,'Investment Strategies'!$T:$AF,13,FALSE),
IF(Investment_Strategy="DIY",DIY_ExtManChrge_FuturePremiums,
"Error"))))))</f>
        <v>0</v>
      </c>
      <c r="W527" s="16">
        <f t="shared" si="302"/>
        <v>0</v>
      </c>
      <c r="X527" s="16">
        <f t="shared" si="279"/>
        <v>0</v>
      </c>
      <c r="Y527" s="16">
        <f t="shared" si="280"/>
        <v>0</v>
      </c>
      <c r="Z527" s="31">
        <f t="shared" si="281"/>
        <v>0.02</v>
      </c>
      <c r="AA527" s="16">
        <f t="shared" si="282"/>
        <v>0</v>
      </c>
      <c r="AB527" s="28">
        <f t="shared" si="303"/>
        <v>0</v>
      </c>
      <c r="AC527" s="28">
        <f>(SUM($AC$91:AC526)+SUM($X$91:X526)+X527)*T527*IF(D527=$A$91,SRP_finalmonthfactor,1)</f>
        <v>0</v>
      </c>
      <c r="AD527" s="16">
        <f t="shared" si="283"/>
        <v>0</v>
      </c>
      <c r="AE527" s="106"/>
      <c r="AF527" s="16">
        <f t="shared" si="291"/>
        <v>0</v>
      </c>
      <c r="AG527" s="16">
        <f t="shared" si="292"/>
        <v>0</v>
      </c>
      <c r="AH527" s="16">
        <f t="shared" si="293"/>
        <v>0</v>
      </c>
      <c r="AJ527" s="13">
        <f t="shared" si="308"/>
        <v>0</v>
      </c>
      <c r="AK527" s="13">
        <f t="shared" si="308"/>
        <v>0</v>
      </c>
      <c r="AL527" s="13">
        <f t="shared" si="308"/>
        <v>0</v>
      </c>
      <c r="AM527" s="13">
        <f t="shared" si="308"/>
        <v>0</v>
      </c>
      <c r="AN527" s="13">
        <f t="shared" si="308"/>
        <v>0</v>
      </c>
      <c r="AO527" s="13">
        <f t="shared" si="308"/>
        <v>1</v>
      </c>
      <c r="AP527" s="13">
        <f t="shared" si="308"/>
        <v>1</v>
      </c>
      <c r="AQ527" s="13">
        <f t="shared" si="308"/>
        <v>1</v>
      </c>
      <c r="AR527" s="13">
        <f t="shared" si="308"/>
        <v>0</v>
      </c>
      <c r="AS527" s="13">
        <f t="shared" si="308"/>
        <v>0</v>
      </c>
      <c r="AT527" s="13">
        <f t="shared" si="308"/>
        <v>0</v>
      </c>
      <c r="AU527" s="13">
        <f t="shared" si="308"/>
        <v>1</v>
      </c>
      <c r="AV527" s="13">
        <f t="shared" si="284"/>
        <v>0</v>
      </c>
      <c r="AW527" s="13">
        <f t="shared" si="285"/>
        <v>1</v>
      </c>
      <c r="AY527" s="17">
        <f t="shared" si="286"/>
        <v>437</v>
      </c>
      <c r="AZ527" s="28">
        <f t="shared" si="294"/>
        <v>0</v>
      </c>
      <c r="BA527" s="13">
        <f t="shared" si="287"/>
        <v>0</v>
      </c>
      <c r="BB527" s="13">
        <f t="shared" si="288"/>
        <v>0</v>
      </c>
      <c r="BC527" s="28">
        <f t="shared" si="295"/>
        <v>0</v>
      </c>
      <c r="BD527" s="28">
        <f t="shared" si="296"/>
        <v>0</v>
      </c>
      <c r="BF527" s="248">
        <f t="shared" si="297"/>
        <v>993869.29442638322</v>
      </c>
    </row>
    <row r="528" spans="1:58">
      <c r="A528" s="32">
        <f t="shared" si="298"/>
        <v>-353</v>
      </c>
      <c r="B528" s="32">
        <f t="shared" si="289"/>
        <v>89</v>
      </c>
      <c r="C528" s="32">
        <f t="shared" si="299"/>
        <v>37</v>
      </c>
      <c r="D528" s="32">
        <f t="shared" si="300"/>
        <v>438</v>
      </c>
      <c r="E528" s="74">
        <f>MIN(IF(AV528=0,0,
IF(Investment_Strategy="DIS",VLOOKUP(Investment_Strategy&amp;"_"&amp;Investment_Strategy_Sub1&amp;"_"&amp;$A528,'Investment Strategies'!$AZ:$BP,12,FALSE),
IF(AND(Investment_Strategy="Lifecycle",Investment_Strategy_Sub1="Non-Standard"),VLOOKUP(Investment_Strategy&amp;"_"&amp;Investment_Strategy_Sub2&amp;"_"&amp;$A528,'Investment Strategies'!$C:$P,9,FALSE),
IF(AND(Investment_Strategy="Lifecycle",Investment_Strategy_Sub1="Standard"),VLOOKUP(Investment_Strategy&amp;"_"&amp;Investment_Strategy_Sub2&amp;"_"&amp;$A528,'Investment Strategies'!$AJ:$AV,8,FALSE),
IF(AND(Investment_Strategy="Autopilot",Investment_Strategy_Sub1="Non-Standard"),VLOOKUP(Investment_Strategy&amp;"_"&amp;Investment_Strategy_Sub2&amp;"_"&amp;$A528,'Investment Strategies'!$T:$AF,8,FALSE),
IF(Investment_Strategy ="DIY",DIY_RateOfReturn_CurrentFunds,
"Error")))))),Max_InvReturn)</f>
        <v>0</v>
      </c>
      <c r="F528" s="62">
        <f>IF(AV528=0,0,
IF(Investment_Strategy="DIS",VLOOKUP(Investment_Strategy&amp;"_"&amp;Investment_Strategy_Sub1&amp;"_"&amp;$A528,'Investment Strategies'!$AZ:$BP,15,FALSE),
IF(AND(Investment_Strategy="Lifecycle",Investment_Strategy_Sub1="Non-Standard"),VLOOKUP(Investment_Strategy&amp;"_"&amp;Investment_Strategy_Sub2&amp;"_"&amp;$A528,'Investment Strategies'!$C:$P,12,FALSE),
IF(AND(Investment_Strategy="Lifecycle",Investment_Strategy_Sub1="Standard"),VLOOKUP(Investment_Strategy&amp;"_"&amp;Investment_Strategy_Sub2&amp;"_"&amp;$A528,'Investment Strategies'!$AJ:$AV,11,FALSE),
IF(AND(Investment_Strategy="Autopilot",Investment_Strategy_Sub1="Non-Standard"),VLOOKUP(Investment_Strategy&amp;"_"&amp;Investment_Strategy_Sub2&amp;"_"&amp;$A528,'Investment Strategies'!$T:$AF,11,FALSE),
IF(Investment_Strategy="DIY",DIY_GteeChrge_CurrentFunds,
"Error"))))))</f>
        <v>0</v>
      </c>
      <c r="G528" s="33">
        <f>IF(AV528=0,0,
IF(Investment_Strategy="DIS",VLOOKUP(Investment_Strategy&amp;"_"&amp;Investment_Strategy_Sub1&amp;"_"&amp;$A528,'Investment Strategies'!$AZ:$BP,17,FALSE),
IF(AND(Investment_Strategy="Lifecycle",Investment_Strategy_Sub1="Non-Standard"),VLOOKUP(Investment_Strategy&amp;"_"&amp;Investment_Strategy_Sub2&amp;"_"&amp;$A528,'Investment Strategies'!$C:$P,14,FALSE),
IF(AND(Investment_Strategy="Lifecycle",Investment_Strategy_Sub1="Standard"),VLOOKUP(Investment_Strategy&amp;"_"&amp;Investment_Strategy_Sub2&amp;"_"&amp;$A528,'Investment Strategies'!$AJ:$AV,13,FALSE),
IF(AND(Investment_Strategy="Autopilot",Investment_Strategy_Sub1="Non-Standard"),VLOOKUP(Investment_Strategy&amp;"_"&amp;Investment_Strategy_Sub2&amp;"_"&amp;$A528,'Investment Strategies'!$T:$AF,13,FALSE),
IF(Investment_Strategy="DIY",DIY_ExtManChrge_CurrentFunds,
"Error"))))))</f>
        <v>0</v>
      </c>
      <c r="H528" s="16">
        <f t="shared" si="290"/>
        <v>0</v>
      </c>
      <c r="I528" s="16">
        <f t="shared" si="276"/>
        <v>0</v>
      </c>
      <c r="J528" s="16">
        <f t="shared" si="277"/>
        <v>0</v>
      </c>
      <c r="K528" s="16">
        <f>(Opening_Fund_Value+SUM(K$91:K527))*E528*IF(D528=$A$91,SRP_finalmonthfactor,1)</f>
        <v>0</v>
      </c>
      <c r="L528" s="74">
        <f>MIN(IF($AV528=0,0,
IF(Investment_Strategy="DIS",VLOOKUP(Investment_Strategy&amp;"_"&amp;Investment_Strategy_Sub1&amp;"_"&amp;$A528,'Investment Strategies'!$AZ:$BP,12,FALSE),
IF(AND(Investment_Strategy="Lifecycle",Investment_Strategy_Sub1="Non-Standard"),VLOOKUP(Investment_Strategy&amp;"_"&amp;Investment_Strategy_Sub2&amp;"_"&amp;$A528,'Investment Strategies'!$C:$P,9,FALSE),
IF(AND(Investment_Strategy="Lifecycle",Investment_Strategy_Sub1="Standard"),VLOOKUP(Investment_Strategy&amp;"_"&amp;Investment_Strategy_Sub2&amp;"_"&amp;$A528,'Investment Strategies'!$AJ:$AV,8,FALSE),
IF(AND(Investment_Strategy="Autopilot",Investment_Strategy_Sub1="Non-Standard"),VLOOKUP(Investment_Strategy&amp;"_"&amp;Investment_Strategy_Sub2&amp;"_"&amp;$A528,'Investment Strategies'!$T:$AF,8,FALSE),
IF(Investment_Strategy ="DIY",DIY_RateofReturn_SP,
"Error")))))),Max_InvReturn)</f>
        <v>0</v>
      </c>
      <c r="M528" s="62">
        <f>IF($AV528=0,0,
IF(Investment_Strategy="DIS",VLOOKUP(Investment_Strategy&amp;"_"&amp;Investment_Strategy_Sub1&amp;"_"&amp;$A528,'Investment Strategies'!$AZ:$BP,15,FALSE),
IF(AND(Investment_Strategy="Lifecycle",Investment_Strategy_Sub1="Non-Standard"),VLOOKUP(Investment_Strategy&amp;"_"&amp;Investment_Strategy_Sub2&amp;"_"&amp;$A528,'Investment Strategies'!$C:$P,12,FALSE),
IF(AND(Investment_Strategy="Lifecycle",Investment_Strategy_Sub1="Standard"),VLOOKUP(Investment_Strategy&amp;"_"&amp;Investment_Strategy_Sub2&amp;"_"&amp;$A528,'Investment Strategies'!$AJ:$AV,11,FALSE),
IF(AND(Investment_Strategy="Autopilot",Investment_Strategy_Sub1="Non-Standard"),VLOOKUP(Investment_Strategy&amp;"_"&amp;Investment_Strategy_Sub2&amp;"_"&amp;$A528,'Investment Strategies'!$T:$AF,11,FALSE),
IF(Investment_Strategy="DIY",DIY_GteeChrge_SP,
"Error"))))))</f>
        <v>0</v>
      </c>
      <c r="N528" s="33">
        <f>IF($AV528=0,0,
IF(Investment_Strategy="DIS",VLOOKUP(Investment_Strategy&amp;"_"&amp;Investment_Strategy_Sub1&amp;"_"&amp;$A528,'Investment Strategies'!$AZ:$BP,17,FALSE),
IF(AND(Investment_Strategy="Lifecycle",Investment_Strategy_Sub1="Non-Standard"),VLOOKUP(Investment_Strategy&amp;"_"&amp;Investment_Strategy_Sub2&amp;"_"&amp;$A528,'Investment Strategies'!$C:$P,14,FALSE),
IF(AND(Investment_Strategy="Lifecycle",Investment_Strategy_Sub1="Standard"),VLOOKUP(Investment_Strategy&amp;"_"&amp;Investment_Strategy_Sub2&amp;"_"&amp;$A528,'Investment Strategies'!$AJ:$AV,13,FALSE),
IF(AND(Investment_Strategy="Autopilot",Investment_Strategy_Sub1="Non-Standard"),VLOOKUP(Investment_Strategy&amp;"_"&amp;Investment_Strategy_Sub2&amp;"_"&amp;$A528,'Investment Strategies'!$T:$AF,13,FALSE),
IF(Investment_Strategy="DIY",DIY_ExtManChrge_SP,
"Error"))))))</f>
        <v>0</v>
      </c>
      <c r="O528" s="16">
        <f t="shared" si="301"/>
        <v>0</v>
      </c>
      <c r="Q528" s="16">
        <f t="shared" si="278"/>
        <v>0</v>
      </c>
      <c r="R528" s="16">
        <f t="shared" si="274"/>
        <v>0</v>
      </c>
      <c r="S528" s="16">
        <f>(SRP_SP+SUM(S$91:S527))*L528*IF(D528=$A$91,SRP_finalmonthfactor,1)</f>
        <v>0</v>
      </c>
      <c r="T528" s="74">
        <f>MIN(IF($AV528=0,0,
IF(Investment_Strategy="DIS",VLOOKUP(Investment_Strategy&amp;"_"&amp;Investment_Strategy_Sub1&amp;"_"&amp;$A528,'Investment Strategies'!$AZ:$BP,12,FALSE),
IF(AND(Investment_Strategy="Lifecycle",Investment_Strategy_Sub1="Non-Standard"),VLOOKUP(Investment_Strategy&amp;"_"&amp;Investment_Strategy_Sub2&amp;"_"&amp;$A528,'Investment Strategies'!$C:$P,9,FALSE),
IF(AND(Investment_Strategy="Lifecycle",Investment_Strategy_Sub1="Standard"),VLOOKUP(Investment_Strategy&amp;"_"&amp;Investment_Strategy_Sub2&amp;"_"&amp;$A528,'Investment Strategies'!$AJ:$AV,8,FALSE),
IF(AND(Investment_Strategy="Autopilot",Investment_Strategy_Sub1="Non-Standard"),VLOOKUP(Investment_Strategy&amp;"_"&amp;Investment_Strategy_Sub2&amp;"_"&amp;$A528,'Investment Strategies'!$T:$AF,8,FALSE),
IF(Investment_Strategy ="DIY",DIY_RateOfReturn_FuturePremiums,
"Error")))))),Max_InvReturn)</f>
        <v>0</v>
      </c>
      <c r="U528" s="62">
        <f>IF($AV528=0,0,
IF(Investment_Strategy="DIS",VLOOKUP(Investment_Strategy&amp;"_"&amp;Investment_Strategy_Sub1&amp;"_"&amp;$A528,'Investment Strategies'!$AZ:$BP,15,FALSE),
IF(AND(Investment_Strategy="Lifecycle",Investment_Strategy_Sub1="Non-Standard"),VLOOKUP(Investment_Strategy&amp;"_"&amp;Investment_Strategy_Sub2&amp;"_"&amp;$A528,'Investment Strategies'!$C:$P,12,FALSE),
IF(AND(Investment_Strategy="Lifecycle",Investment_Strategy_Sub1="Standard"),VLOOKUP(Investment_Strategy&amp;"_"&amp;Investment_Strategy_Sub2&amp;"_"&amp;$A528,'Investment Strategies'!$AJ:$AV,11,FALSE),
IF(AND(Investment_Strategy="Autopilot",Investment_Strategy_Sub1="Non-Standard"),VLOOKUP(Investment_Strategy&amp;"_"&amp;Investment_Strategy_Sub2&amp;"_"&amp;$A528,'Investment Strategies'!$T:$AF,11,FALSE),
IF(Investment_Strategy="DIY",DIY_GteeChrge_FuturePremiums,
"Error"))))))</f>
        <v>0</v>
      </c>
      <c r="V528" s="33">
        <f>IF(AV528=0,0,
IF(Investment_Strategy="DIS",VLOOKUP(Investment_Strategy&amp;"_"&amp;Investment_Strategy_Sub1&amp;"_"&amp;$A528,'Investment Strategies'!$AZ:$BP,17,FALSE),
IF(AND(Investment_Strategy="Lifecycle",Investment_Strategy_Sub1="Non-Standard"),VLOOKUP(Investment_Strategy&amp;"_"&amp;Investment_Strategy_Sub2&amp;"_"&amp;$A528,'Investment Strategies'!$C:$P,14,FALSE),
IF(AND(Investment_Strategy="Lifecycle",Investment_Strategy_Sub1="Standard"),VLOOKUP(Investment_Strategy&amp;"_"&amp;Investment_Strategy_Sub2&amp;"_"&amp;$A528,'Investment Strategies'!$AJ:$AV,13,FALSE),
IF(AND(Investment_Strategy="Autopilot",Investment_Strategy_Sub1="Non-Standard"),VLOOKUP(Investment_Strategy&amp;"_"&amp;Investment_Strategy_Sub2&amp;"_"&amp;$A528,'Investment Strategies'!$T:$AF,13,FALSE),
IF(Investment_Strategy="DIY",DIY_ExtManChrge_FuturePremiums,
"Error"))))))</f>
        <v>0</v>
      </c>
      <c r="W528" s="16">
        <f t="shared" si="302"/>
        <v>0</v>
      </c>
      <c r="X528" s="16">
        <f t="shared" si="279"/>
        <v>0</v>
      </c>
      <c r="Y528" s="16">
        <f t="shared" si="280"/>
        <v>0</v>
      </c>
      <c r="Z528" s="31">
        <f t="shared" si="281"/>
        <v>0.02</v>
      </c>
      <c r="AA528" s="16">
        <f t="shared" si="282"/>
        <v>0</v>
      </c>
      <c r="AB528" s="28">
        <f t="shared" si="303"/>
        <v>0</v>
      </c>
      <c r="AC528" s="28">
        <f>(SUM($AC$91:AC527)+SUM($X$91:X527)+X528)*T528*IF(D528=$A$91,SRP_finalmonthfactor,1)</f>
        <v>0</v>
      </c>
      <c r="AD528" s="16">
        <f t="shared" si="283"/>
        <v>0</v>
      </c>
      <c r="AE528" s="106"/>
      <c r="AF528" s="16">
        <f t="shared" si="291"/>
        <v>0</v>
      </c>
      <c r="AG528" s="16">
        <f t="shared" si="292"/>
        <v>0</v>
      </c>
      <c r="AH528" s="16">
        <f t="shared" si="293"/>
        <v>0</v>
      </c>
      <c r="AJ528" s="13">
        <f t="shared" si="308"/>
        <v>0</v>
      </c>
      <c r="AK528" s="13">
        <f t="shared" si="308"/>
        <v>0</v>
      </c>
      <c r="AL528" s="13">
        <f t="shared" si="308"/>
        <v>0</v>
      </c>
      <c r="AM528" s="13">
        <f t="shared" si="308"/>
        <v>0</v>
      </c>
      <c r="AN528" s="13">
        <f t="shared" si="308"/>
        <v>0</v>
      </c>
      <c r="AO528" s="13">
        <f t="shared" si="308"/>
        <v>1</v>
      </c>
      <c r="AP528" s="13">
        <f t="shared" si="308"/>
        <v>1</v>
      </c>
      <c r="AQ528" s="13">
        <f t="shared" si="308"/>
        <v>1</v>
      </c>
      <c r="AR528" s="13">
        <f t="shared" si="308"/>
        <v>0</v>
      </c>
      <c r="AS528" s="13">
        <f t="shared" si="308"/>
        <v>0</v>
      </c>
      <c r="AT528" s="13">
        <f t="shared" si="308"/>
        <v>0</v>
      </c>
      <c r="AU528" s="13">
        <f t="shared" si="308"/>
        <v>1</v>
      </c>
      <c r="AV528" s="13">
        <f t="shared" si="284"/>
        <v>0</v>
      </c>
      <c r="AW528" s="13">
        <f t="shared" si="285"/>
        <v>1</v>
      </c>
      <c r="AY528" s="17">
        <f t="shared" si="286"/>
        <v>438</v>
      </c>
      <c r="AZ528" s="28">
        <f t="shared" si="294"/>
        <v>0</v>
      </c>
      <c r="BA528" s="13">
        <f t="shared" si="287"/>
        <v>0</v>
      </c>
      <c r="BB528" s="13">
        <f t="shared" si="288"/>
        <v>0</v>
      </c>
      <c r="BC528" s="28">
        <f t="shared" si="295"/>
        <v>0</v>
      </c>
      <c r="BD528" s="28">
        <f t="shared" si="296"/>
        <v>0</v>
      </c>
      <c r="BF528" s="248">
        <f t="shared" si="297"/>
        <v>993869.29442638322</v>
      </c>
    </row>
    <row r="529" spans="1:58">
      <c r="A529" s="32">
        <f t="shared" si="298"/>
        <v>-354</v>
      </c>
      <c r="B529" s="32">
        <f t="shared" si="289"/>
        <v>89</v>
      </c>
      <c r="C529" s="32">
        <f t="shared" si="299"/>
        <v>37</v>
      </c>
      <c r="D529" s="32">
        <f t="shared" si="300"/>
        <v>439</v>
      </c>
      <c r="E529" s="74">
        <f>MIN(IF(AV529=0,0,
IF(Investment_Strategy="DIS",VLOOKUP(Investment_Strategy&amp;"_"&amp;Investment_Strategy_Sub1&amp;"_"&amp;$A529,'Investment Strategies'!$AZ:$BP,12,FALSE),
IF(AND(Investment_Strategy="Lifecycle",Investment_Strategy_Sub1="Non-Standard"),VLOOKUP(Investment_Strategy&amp;"_"&amp;Investment_Strategy_Sub2&amp;"_"&amp;$A529,'Investment Strategies'!$C:$P,9,FALSE),
IF(AND(Investment_Strategy="Lifecycle",Investment_Strategy_Sub1="Standard"),VLOOKUP(Investment_Strategy&amp;"_"&amp;Investment_Strategy_Sub2&amp;"_"&amp;$A529,'Investment Strategies'!$AJ:$AV,8,FALSE),
IF(AND(Investment_Strategy="Autopilot",Investment_Strategy_Sub1="Non-Standard"),VLOOKUP(Investment_Strategy&amp;"_"&amp;Investment_Strategy_Sub2&amp;"_"&amp;$A529,'Investment Strategies'!$T:$AF,8,FALSE),
IF(Investment_Strategy ="DIY",DIY_RateOfReturn_CurrentFunds,
"Error")))))),Max_InvReturn)</f>
        <v>0</v>
      </c>
      <c r="F529" s="62">
        <f>IF(AV529=0,0,
IF(Investment_Strategy="DIS",VLOOKUP(Investment_Strategy&amp;"_"&amp;Investment_Strategy_Sub1&amp;"_"&amp;$A529,'Investment Strategies'!$AZ:$BP,15,FALSE),
IF(AND(Investment_Strategy="Lifecycle",Investment_Strategy_Sub1="Non-Standard"),VLOOKUP(Investment_Strategy&amp;"_"&amp;Investment_Strategy_Sub2&amp;"_"&amp;$A529,'Investment Strategies'!$C:$P,12,FALSE),
IF(AND(Investment_Strategy="Lifecycle",Investment_Strategy_Sub1="Standard"),VLOOKUP(Investment_Strategy&amp;"_"&amp;Investment_Strategy_Sub2&amp;"_"&amp;$A529,'Investment Strategies'!$AJ:$AV,11,FALSE),
IF(AND(Investment_Strategy="Autopilot",Investment_Strategy_Sub1="Non-Standard"),VLOOKUP(Investment_Strategy&amp;"_"&amp;Investment_Strategy_Sub2&amp;"_"&amp;$A529,'Investment Strategies'!$T:$AF,11,FALSE),
IF(Investment_Strategy="DIY",DIY_GteeChrge_CurrentFunds,
"Error"))))))</f>
        <v>0</v>
      </c>
      <c r="G529" s="33">
        <f>IF(AV529=0,0,
IF(Investment_Strategy="DIS",VLOOKUP(Investment_Strategy&amp;"_"&amp;Investment_Strategy_Sub1&amp;"_"&amp;$A529,'Investment Strategies'!$AZ:$BP,17,FALSE),
IF(AND(Investment_Strategy="Lifecycle",Investment_Strategy_Sub1="Non-Standard"),VLOOKUP(Investment_Strategy&amp;"_"&amp;Investment_Strategy_Sub2&amp;"_"&amp;$A529,'Investment Strategies'!$C:$P,14,FALSE),
IF(AND(Investment_Strategy="Lifecycle",Investment_Strategy_Sub1="Standard"),VLOOKUP(Investment_Strategy&amp;"_"&amp;Investment_Strategy_Sub2&amp;"_"&amp;$A529,'Investment Strategies'!$AJ:$AV,13,FALSE),
IF(AND(Investment_Strategy="Autopilot",Investment_Strategy_Sub1="Non-Standard"),VLOOKUP(Investment_Strategy&amp;"_"&amp;Investment_Strategy_Sub2&amp;"_"&amp;$A529,'Investment Strategies'!$T:$AF,13,FALSE),
IF(Investment_Strategy="DIY",DIY_ExtManChrge_CurrentFunds,
"Error"))))))</f>
        <v>0</v>
      </c>
      <c r="H529" s="16">
        <f t="shared" si="290"/>
        <v>0</v>
      </c>
      <c r="I529" s="16">
        <f t="shared" si="276"/>
        <v>0</v>
      </c>
      <c r="J529" s="16">
        <f t="shared" si="277"/>
        <v>0</v>
      </c>
      <c r="K529" s="16">
        <f>(Opening_Fund_Value+SUM(K$91:K528))*E529*IF(D529=$A$91,SRP_finalmonthfactor,1)</f>
        <v>0</v>
      </c>
      <c r="L529" s="74">
        <f>MIN(IF($AV529=0,0,
IF(Investment_Strategy="DIS",VLOOKUP(Investment_Strategy&amp;"_"&amp;Investment_Strategy_Sub1&amp;"_"&amp;$A529,'Investment Strategies'!$AZ:$BP,12,FALSE),
IF(AND(Investment_Strategy="Lifecycle",Investment_Strategy_Sub1="Non-Standard"),VLOOKUP(Investment_Strategy&amp;"_"&amp;Investment_Strategy_Sub2&amp;"_"&amp;$A529,'Investment Strategies'!$C:$P,9,FALSE),
IF(AND(Investment_Strategy="Lifecycle",Investment_Strategy_Sub1="Standard"),VLOOKUP(Investment_Strategy&amp;"_"&amp;Investment_Strategy_Sub2&amp;"_"&amp;$A529,'Investment Strategies'!$AJ:$AV,8,FALSE),
IF(AND(Investment_Strategy="Autopilot",Investment_Strategy_Sub1="Non-Standard"),VLOOKUP(Investment_Strategy&amp;"_"&amp;Investment_Strategy_Sub2&amp;"_"&amp;$A529,'Investment Strategies'!$T:$AF,8,FALSE),
IF(Investment_Strategy ="DIY",DIY_RateofReturn_SP,
"Error")))))),Max_InvReturn)</f>
        <v>0</v>
      </c>
      <c r="M529" s="62">
        <f>IF($AV529=0,0,
IF(Investment_Strategy="DIS",VLOOKUP(Investment_Strategy&amp;"_"&amp;Investment_Strategy_Sub1&amp;"_"&amp;$A529,'Investment Strategies'!$AZ:$BP,15,FALSE),
IF(AND(Investment_Strategy="Lifecycle",Investment_Strategy_Sub1="Non-Standard"),VLOOKUP(Investment_Strategy&amp;"_"&amp;Investment_Strategy_Sub2&amp;"_"&amp;$A529,'Investment Strategies'!$C:$P,12,FALSE),
IF(AND(Investment_Strategy="Lifecycle",Investment_Strategy_Sub1="Standard"),VLOOKUP(Investment_Strategy&amp;"_"&amp;Investment_Strategy_Sub2&amp;"_"&amp;$A529,'Investment Strategies'!$AJ:$AV,11,FALSE),
IF(AND(Investment_Strategy="Autopilot",Investment_Strategy_Sub1="Non-Standard"),VLOOKUP(Investment_Strategy&amp;"_"&amp;Investment_Strategy_Sub2&amp;"_"&amp;$A529,'Investment Strategies'!$T:$AF,11,FALSE),
IF(Investment_Strategy="DIY",DIY_GteeChrge_SP,
"Error"))))))</f>
        <v>0</v>
      </c>
      <c r="N529" s="33">
        <f>IF($AV529=0,0,
IF(Investment_Strategy="DIS",VLOOKUP(Investment_Strategy&amp;"_"&amp;Investment_Strategy_Sub1&amp;"_"&amp;$A529,'Investment Strategies'!$AZ:$BP,17,FALSE),
IF(AND(Investment_Strategy="Lifecycle",Investment_Strategy_Sub1="Non-Standard"),VLOOKUP(Investment_Strategy&amp;"_"&amp;Investment_Strategy_Sub2&amp;"_"&amp;$A529,'Investment Strategies'!$C:$P,14,FALSE),
IF(AND(Investment_Strategy="Lifecycle",Investment_Strategy_Sub1="Standard"),VLOOKUP(Investment_Strategy&amp;"_"&amp;Investment_Strategy_Sub2&amp;"_"&amp;$A529,'Investment Strategies'!$AJ:$AV,13,FALSE),
IF(AND(Investment_Strategy="Autopilot",Investment_Strategy_Sub1="Non-Standard"),VLOOKUP(Investment_Strategy&amp;"_"&amp;Investment_Strategy_Sub2&amp;"_"&amp;$A529,'Investment Strategies'!$T:$AF,13,FALSE),
IF(Investment_Strategy="DIY",DIY_ExtManChrge_SP,
"Error"))))))</f>
        <v>0</v>
      </c>
      <c r="O529" s="16">
        <f t="shared" si="301"/>
        <v>0</v>
      </c>
      <c r="Q529" s="16">
        <f t="shared" si="278"/>
        <v>0</v>
      </c>
      <c r="R529" s="16">
        <f t="shared" si="274"/>
        <v>0</v>
      </c>
      <c r="S529" s="16">
        <f>(SRP_SP+SUM(S$91:S528))*L529*IF(D529=$A$91,SRP_finalmonthfactor,1)</f>
        <v>0</v>
      </c>
      <c r="T529" s="74">
        <f>MIN(IF($AV529=0,0,
IF(Investment_Strategy="DIS",VLOOKUP(Investment_Strategy&amp;"_"&amp;Investment_Strategy_Sub1&amp;"_"&amp;$A529,'Investment Strategies'!$AZ:$BP,12,FALSE),
IF(AND(Investment_Strategy="Lifecycle",Investment_Strategy_Sub1="Non-Standard"),VLOOKUP(Investment_Strategy&amp;"_"&amp;Investment_Strategy_Sub2&amp;"_"&amp;$A529,'Investment Strategies'!$C:$P,9,FALSE),
IF(AND(Investment_Strategy="Lifecycle",Investment_Strategy_Sub1="Standard"),VLOOKUP(Investment_Strategy&amp;"_"&amp;Investment_Strategy_Sub2&amp;"_"&amp;$A529,'Investment Strategies'!$AJ:$AV,8,FALSE),
IF(AND(Investment_Strategy="Autopilot",Investment_Strategy_Sub1="Non-Standard"),VLOOKUP(Investment_Strategy&amp;"_"&amp;Investment_Strategy_Sub2&amp;"_"&amp;$A529,'Investment Strategies'!$T:$AF,8,FALSE),
IF(Investment_Strategy ="DIY",DIY_RateOfReturn_FuturePremiums,
"Error")))))),Max_InvReturn)</f>
        <v>0</v>
      </c>
      <c r="U529" s="62">
        <f>IF($AV529=0,0,
IF(Investment_Strategy="DIS",VLOOKUP(Investment_Strategy&amp;"_"&amp;Investment_Strategy_Sub1&amp;"_"&amp;$A529,'Investment Strategies'!$AZ:$BP,15,FALSE),
IF(AND(Investment_Strategy="Lifecycle",Investment_Strategy_Sub1="Non-Standard"),VLOOKUP(Investment_Strategy&amp;"_"&amp;Investment_Strategy_Sub2&amp;"_"&amp;$A529,'Investment Strategies'!$C:$P,12,FALSE),
IF(AND(Investment_Strategy="Lifecycle",Investment_Strategy_Sub1="Standard"),VLOOKUP(Investment_Strategy&amp;"_"&amp;Investment_Strategy_Sub2&amp;"_"&amp;$A529,'Investment Strategies'!$AJ:$AV,11,FALSE),
IF(AND(Investment_Strategy="Autopilot",Investment_Strategy_Sub1="Non-Standard"),VLOOKUP(Investment_Strategy&amp;"_"&amp;Investment_Strategy_Sub2&amp;"_"&amp;$A529,'Investment Strategies'!$T:$AF,11,FALSE),
IF(Investment_Strategy="DIY",DIY_GteeChrge_FuturePremiums,
"Error"))))))</f>
        <v>0</v>
      </c>
      <c r="V529" s="33">
        <f>IF(AV529=0,0,
IF(Investment_Strategy="DIS",VLOOKUP(Investment_Strategy&amp;"_"&amp;Investment_Strategy_Sub1&amp;"_"&amp;$A529,'Investment Strategies'!$AZ:$BP,17,FALSE),
IF(AND(Investment_Strategy="Lifecycle",Investment_Strategy_Sub1="Non-Standard"),VLOOKUP(Investment_Strategy&amp;"_"&amp;Investment_Strategy_Sub2&amp;"_"&amp;$A529,'Investment Strategies'!$C:$P,14,FALSE),
IF(AND(Investment_Strategy="Lifecycle",Investment_Strategy_Sub1="Standard"),VLOOKUP(Investment_Strategy&amp;"_"&amp;Investment_Strategy_Sub2&amp;"_"&amp;$A529,'Investment Strategies'!$AJ:$AV,13,FALSE),
IF(AND(Investment_Strategy="Autopilot",Investment_Strategy_Sub1="Non-Standard"),VLOOKUP(Investment_Strategy&amp;"_"&amp;Investment_Strategy_Sub2&amp;"_"&amp;$A529,'Investment Strategies'!$T:$AF,13,FALSE),
IF(Investment_Strategy="DIY",DIY_ExtManChrge_FuturePremiums,
"Error"))))))</f>
        <v>0</v>
      </c>
      <c r="W529" s="16">
        <f t="shared" si="302"/>
        <v>0</v>
      </c>
      <c r="X529" s="16">
        <f t="shared" si="279"/>
        <v>0</v>
      </c>
      <c r="Y529" s="16">
        <f t="shared" si="280"/>
        <v>0</v>
      </c>
      <c r="Z529" s="31">
        <f t="shared" si="281"/>
        <v>0.02</v>
      </c>
      <c r="AA529" s="16">
        <f t="shared" si="282"/>
        <v>0</v>
      </c>
      <c r="AB529" s="28">
        <f t="shared" si="303"/>
        <v>0</v>
      </c>
      <c r="AC529" s="28">
        <f>(SUM($AC$91:AC528)+SUM($X$91:X528)+X529)*T529*IF(D529=$A$91,SRP_finalmonthfactor,1)</f>
        <v>0</v>
      </c>
      <c r="AD529" s="16">
        <f t="shared" si="283"/>
        <v>0</v>
      </c>
      <c r="AE529" s="106"/>
      <c r="AF529" s="16">
        <f t="shared" si="291"/>
        <v>0</v>
      </c>
      <c r="AG529" s="16">
        <f t="shared" si="292"/>
        <v>0</v>
      </c>
      <c r="AH529" s="16">
        <f t="shared" si="293"/>
        <v>0</v>
      </c>
      <c r="AJ529" s="13">
        <f t="shared" si="308"/>
        <v>0</v>
      </c>
      <c r="AK529" s="13">
        <f t="shared" si="308"/>
        <v>0</v>
      </c>
      <c r="AL529" s="13">
        <f t="shared" si="308"/>
        <v>0</v>
      </c>
      <c r="AM529" s="13">
        <f t="shared" si="308"/>
        <v>0</v>
      </c>
      <c r="AN529" s="13">
        <f t="shared" si="308"/>
        <v>0</v>
      </c>
      <c r="AO529" s="13">
        <f t="shared" si="308"/>
        <v>1</v>
      </c>
      <c r="AP529" s="13">
        <f t="shared" si="308"/>
        <v>1</v>
      </c>
      <c r="AQ529" s="13">
        <f t="shared" si="308"/>
        <v>1</v>
      </c>
      <c r="AR529" s="13">
        <f t="shared" si="308"/>
        <v>0</v>
      </c>
      <c r="AS529" s="13">
        <f t="shared" si="308"/>
        <v>0</v>
      </c>
      <c r="AT529" s="13">
        <f t="shared" si="308"/>
        <v>0</v>
      </c>
      <c r="AU529" s="13">
        <f t="shared" si="308"/>
        <v>1</v>
      </c>
      <c r="AV529" s="13">
        <f t="shared" si="284"/>
        <v>0</v>
      </c>
      <c r="AW529" s="13">
        <f t="shared" si="285"/>
        <v>1</v>
      </c>
      <c r="AY529" s="17">
        <f t="shared" si="286"/>
        <v>439</v>
      </c>
      <c r="AZ529" s="28">
        <f t="shared" si="294"/>
        <v>0</v>
      </c>
      <c r="BA529" s="13">
        <f t="shared" si="287"/>
        <v>0</v>
      </c>
      <c r="BB529" s="13">
        <f t="shared" si="288"/>
        <v>0</v>
      </c>
      <c r="BC529" s="28">
        <f t="shared" si="295"/>
        <v>0</v>
      </c>
      <c r="BD529" s="28">
        <f t="shared" si="296"/>
        <v>0</v>
      </c>
      <c r="BF529" s="248">
        <f t="shared" si="297"/>
        <v>993869.29442638322</v>
      </c>
    </row>
    <row r="530" spans="1:58">
      <c r="A530" s="32">
        <f t="shared" si="298"/>
        <v>-355</v>
      </c>
      <c r="B530" s="32">
        <f t="shared" si="289"/>
        <v>89</v>
      </c>
      <c r="C530" s="32">
        <f t="shared" si="299"/>
        <v>37</v>
      </c>
      <c r="D530" s="32">
        <f t="shared" si="300"/>
        <v>440</v>
      </c>
      <c r="E530" s="74">
        <f>MIN(IF(AV530=0,0,
IF(Investment_Strategy="DIS",VLOOKUP(Investment_Strategy&amp;"_"&amp;Investment_Strategy_Sub1&amp;"_"&amp;$A530,'Investment Strategies'!$AZ:$BP,12,FALSE),
IF(AND(Investment_Strategy="Lifecycle",Investment_Strategy_Sub1="Non-Standard"),VLOOKUP(Investment_Strategy&amp;"_"&amp;Investment_Strategy_Sub2&amp;"_"&amp;$A530,'Investment Strategies'!$C:$P,9,FALSE),
IF(AND(Investment_Strategy="Lifecycle",Investment_Strategy_Sub1="Standard"),VLOOKUP(Investment_Strategy&amp;"_"&amp;Investment_Strategy_Sub2&amp;"_"&amp;$A530,'Investment Strategies'!$AJ:$AV,8,FALSE),
IF(AND(Investment_Strategy="Autopilot",Investment_Strategy_Sub1="Non-Standard"),VLOOKUP(Investment_Strategy&amp;"_"&amp;Investment_Strategy_Sub2&amp;"_"&amp;$A530,'Investment Strategies'!$T:$AF,8,FALSE),
IF(Investment_Strategy ="DIY",DIY_RateOfReturn_CurrentFunds,
"Error")))))),Max_InvReturn)</f>
        <v>0</v>
      </c>
      <c r="F530" s="62">
        <f>IF(AV530=0,0,
IF(Investment_Strategy="DIS",VLOOKUP(Investment_Strategy&amp;"_"&amp;Investment_Strategy_Sub1&amp;"_"&amp;$A530,'Investment Strategies'!$AZ:$BP,15,FALSE),
IF(AND(Investment_Strategy="Lifecycle",Investment_Strategy_Sub1="Non-Standard"),VLOOKUP(Investment_Strategy&amp;"_"&amp;Investment_Strategy_Sub2&amp;"_"&amp;$A530,'Investment Strategies'!$C:$P,12,FALSE),
IF(AND(Investment_Strategy="Lifecycle",Investment_Strategy_Sub1="Standard"),VLOOKUP(Investment_Strategy&amp;"_"&amp;Investment_Strategy_Sub2&amp;"_"&amp;$A530,'Investment Strategies'!$AJ:$AV,11,FALSE),
IF(AND(Investment_Strategy="Autopilot",Investment_Strategy_Sub1="Non-Standard"),VLOOKUP(Investment_Strategy&amp;"_"&amp;Investment_Strategy_Sub2&amp;"_"&amp;$A530,'Investment Strategies'!$T:$AF,11,FALSE),
IF(Investment_Strategy="DIY",DIY_GteeChrge_CurrentFunds,
"Error"))))))</f>
        <v>0</v>
      </c>
      <c r="G530" s="33">
        <f>IF(AV530=0,0,
IF(Investment_Strategy="DIS",VLOOKUP(Investment_Strategy&amp;"_"&amp;Investment_Strategy_Sub1&amp;"_"&amp;$A530,'Investment Strategies'!$AZ:$BP,17,FALSE),
IF(AND(Investment_Strategy="Lifecycle",Investment_Strategy_Sub1="Non-Standard"),VLOOKUP(Investment_Strategy&amp;"_"&amp;Investment_Strategy_Sub2&amp;"_"&amp;$A530,'Investment Strategies'!$C:$P,14,FALSE),
IF(AND(Investment_Strategy="Lifecycle",Investment_Strategy_Sub1="Standard"),VLOOKUP(Investment_Strategy&amp;"_"&amp;Investment_Strategy_Sub2&amp;"_"&amp;$A530,'Investment Strategies'!$AJ:$AV,13,FALSE),
IF(AND(Investment_Strategy="Autopilot",Investment_Strategy_Sub1="Non-Standard"),VLOOKUP(Investment_Strategy&amp;"_"&amp;Investment_Strategy_Sub2&amp;"_"&amp;$A530,'Investment Strategies'!$T:$AF,13,FALSE),
IF(Investment_Strategy="DIY",DIY_ExtManChrge_CurrentFunds,
"Error"))))))</f>
        <v>0</v>
      </c>
      <c r="H530" s="16">
        <f t="shared" si="290"/>
        <v>0</v>
      </c>
      <c r="I530" s="16">
        <f t="shared" si="276"/>
        <v>0</v>
      </c>
      <c r="J530" s="16">
        <f t="shared" si="277"/>
        <v>0</v>
      </c>
      <c r="K530" s="16">
        <f>(Opening_Fund_Value+SUM(K$91:K529))*E530*IF(D530=$A$91,SRP_finalmonthfactor,1)</f>
        <v>0</v>
      </c>
      <c r="L530" s="74">
        <f>MIN(IF($AV530=0,0,
IF(Investment_Strategy="DIS",VLOOKUP(Investment_Strategy&amp;"_"&amp;Investment_Strategy_Sub1&amp;"_"&amp;$A530,'Investment Strategies'!$AZ:$BP,12,FALSE),
IF(AND(Investment_Strategy="Lifecycle",Investment_Strategy_Sub1="Non-Standard"),VLOOKUP(Investment_Strategy&amp;"_"&amp;Investment_Strategy_Sub2&amp;"_"&amp;$A530,'Investment Strategies'!$C:$P,9,FALSE),
IF(AND(Investment_Strategy="Lifecycle",Investment_Strategy_Sub1="Standard"),VLOOKUP(Investment_Strategy&amp;"_"&amp;Investment_Strategy_Sub2&amp;"_"&amp;$A530,'Investment Strategies'!$AJ:$AV,8,FALSE),
IF(AND(Investment_Strategy="Autopilot",Investment_Strategy_Sub1="Non-Standard"),VLOOKUP(Investment_Strategy&amp;"_"&amp;Investment_Strategy_Sub2&amp;"_"&amp;$A530,'Investment Strategies'!$T:$AF,8,FALSE),
IF(Investment_Strategy ="DIY",DIY_RateofReturn_SP,
"Error")))))),Max_InvReturn)</f>
        <v>0</v>
      </c>
      <c r="M530" s="62">
        <f>IF($AV530=0,0,
IF(Investment_Strategy="DIS",VLOOKUP(Investment_Strategy&amp;"_"&amp;Investment_Strategy_Sub1&amp;"_"&amp;$A530,'Investment Strategies'!$AZ:$BP,15,FALSE),
IF(AND(Investment_Strategy="Lifecycle",Investment_Strategy_Sub1="Non-Standard"),VLOOKUP(Investment_Strategy&amp;"_"&amp;Investment_Strategy_Sub2&amp;"_"&amp;$A530,'Investment Strategies'!$C:$P,12,FALSE),
IF(AND(Investment_Strategy="Lifecycle",Investment_Strategy_Sub1="Standard"),VLOOKUP(Investment_Strategy&amp;"_"&amp;Investment_Strategy_Sub2&amp;"_"&amp;$A530,'Investment Strategies'!$AJ:$AV,11,FALSE),
IF(AND(Investment_Strategy="Autopilot",Investment_Strategy_Sub1="Non-Standard"),VLOOKUP(Investment_Strategy&amp;"_"&amp;Investment_Strategy_Sub2&amp;"_"&amp;$A530,'Investment Strategies'!$T:$AF,11,FALSE),
IF(Investment_Strategy="DIY",DIY_GteeChrge_SP,
"Error"))))))</f>
        <v>0</v>
      </c>
      <c r="N530" s="33">
        <f>IF($AV530=0,0,
IF(Investment_Strategy="DIS",VLOOKUP(Investment_Strategy&amp;"_"&amp;Investment_Strategy_Sub1&amp;"_"&amp;$A530,'Investment Strategies'!$AZ:$BP,17,FALSE),
IF(AND(Investment_Strategy="Lifecycle",Investment_Strategy_Sub1="Non-Standard"),VLOOKUP(Investment_Strategy&amp;"_"&amp;Investment_Strategy_Sub2&amp;"_"&amp;$A530,'Investment Strategies'!$C:$P,14,FALSE),
IF(AND(Investment_Strategy="Lifecycle",Investment_Strategy_Sub1="Standard"),VLOOKUP(Investment_Strategy&amp;"_"&amp;Investment_Strategy_Sub2&amp;"_"&amp;$A530,'Investment Strategies'!$AJ:$AV,13,FALSE),
IF(AND(Investment_Strategy="Autopilot",Investment_Strategy_Sub1="Non-Standard"),VLOOKUP(Investment_Strategy&amp;"_"&amp;Investment_Strategy_Sub2&amp;"_"&amp;$A530,'Investment Strategies'!$T:$AF,13,FALSE),
IF(Investment_Strategy="DIY",DIY_ExtManChrge_SP,
"Error"))))))</f>
        <v>0</v>
      </c>
      <c r="O530" s="16">
        <f t="shared" si="301"/>
        <v>0</v>
      </c>
      <c r="Q530" s="16">
        <f t="shared" si="278"/>
        <v>0</v>
      </c>
      <c r="R530" s="16">
        <f t="shared" si="274"/>
        <v>0</v>
      </c>
      <c r="S530" s="16">
        <f>(SRP_SP+SUM(S$91:S529))*L530*IF(D530=$A$91,SRP_finalmonthfactor,1)</f>
        <v>0</v>
      </c>
      <c r="T530" s="74">
        <f>MIN(IF($AV530=0,0,
IF(Investment_Strategy="DIS",VLOOKUP(Investment_Strategy&amp;"_"&amp;Investment_Strategy_Sub1&amp;"_"&amp;$A530,'Investment Strategies'!$AZ:$BP,12,FALSE),
IF(AND(Investment_Strategy="Lifecycle",Investment_Strategy_Sub1="Non-Standard"),VLOOKUP(Investment_Strategy&amp;"_"&amp;Investment_Strategy_Sub2&amp;"_"&amp;$A530,'Investment Strategies'!$C:$P,9,FALSE),
IF(AND(Investment_Strategy="Lifecycle",Investment_Strategy_Sub1="Standard"),VLOOKUP(Investment_Strategy&amp;"_"&amp;Investment_Strategy_Sub2&amp;"_"&amp;$A530,'Investment Strategies'!$AJ:$AV,8,FALSE),
IF(AND(Investment_Strategy="Autopilot",Investment_Strategy_Sub1="Non-Standard"),VLOOKUP(Investment_Strategy&amp;"_"&amp;Investment_Strategy_Sub2&amp;"_"&amp;$A530,'Investment Strategies'!$T:$AF,8,FALSE),
IF(Investment_Strategy ="DIY",DIY_RateOfReturn_FuturePremiums,
"Error")))))),Max_InvReturn)</f>
        <v>0</v>
      </c>
      <c r="U530" s="62">
        <f>IF($AV530=0,0,
IF(Investment_Strategy="DIS",VLOOKUP(Investment_Strategy&amp;"_"&amp;Investment_Strategy_Sub1&amp;"_"&amp;$A530,'Investment Strategies'!$AZ:$BP,15,FALSE),
IF(AND(Investment_Strategy="Lifecycle",Investment_Strategy_Sub1="Non-Standard"),VLOOKUP(Investment_Strategy&amp;"_"&amp;Investment_Strategy_Sub2&amp;"_"&amp;$A530,'Investment Strategies'!$C:$P,12,FALSE),
IF(AND(Investment_Strategy="Lifecycle",Investment_Strategy_Sub1="Standard"),VLOOKUP(Investment_Strategy&amp;"_"&amp;Investment_Strategy_Sub2&amp;"_"&amp;$A530,'Investment Strategies'!$AJ:$AV,11,FALSE),
IF(AND(Investment_Strategy="Autopilot",Investment_Strategy_Sub1="Non-Standard"),VLOOKUP(Investment_Strategy&amp;"_"&amp;Investment_Strategy_Sub2&amp;"_"&amp;$A530,'Investment Strategies'!$T:$AF,11,FALSE),
IF(Investment_Strategy="DIY",DIY_GteeChrge_FuturePremiums,
"Error"))))))</f>
        <v>0</v>
      </c>
      <c r="V530" s="33">
        <f>IF(AV530=0,0,
IF(Investment_Strategy="DIS",VLOOKUP(Investment_Strategy&amp;"_"&amp;Investment_Strategy_Sub1&amp;"_"&amp;$A530,'Investment Strategies'!$AZ:$BP,17,FALSE),
IF(AND(Investment_Strategy="Lifecycle",Investment_Strategy_Sub1="Non-Standard"),VLOOKUP(Investment_Strategy&amp;"_"&amp;Investment_Strategy_Sub2&amp;"_"&amp;$A530,'Investment Strategies'!$C:$P,14,FALSE),
IF(AND(Investment_Strategy="Lifecycle",Investment_Strategy_Sub1="Standard"),VLOOKUP(Investment_Strategy&amp;"_"&amp;Investment_Strategy_Sub2&amp;"_"&amp;$A530,'Investment Strategies'!$AJ:$AV,13,FALSE),
IF(AND(Investment_Strategy="Autopilot",Investment_Strategy_Sub1="Non-Standard"),VLOOKUP(Investment_Strategy&amp;"_"&amp;Investment_Strategy_Sub2&amp;"_"&amp;$A530,'Investment Strategies'!$T:$AF,13,FALSE),
IF(Investment_Strategy="DIY",DIY_ExtManChrge_FuturePremiums,
"Error"))))))</f>
        <v>0</v>
      </c>
      <c r="W530" s="16">
        <f t="shared" si="302"/>
        <v>0</v>
      </c>
      <c r="X530" s="16">
        <f t="shared" si="279"/>
        <v>0</v>
      </c>
      <c r="Y530" s="16">
        <f t="shared" si="280"/>
        <v>0</v>
      </c>
      <c r="Z530" s="31">
        <f t="shared" si="281"/>
        <v>0.02</v>
      </c>
      <c r="AA530" s="16">
        <f t="shared" si="282"/>
        <v>0</v>
      </c>
      <c r="AB530" s="28">
        <f t="shared" si="303"/>
        <v>0</v>
      </c>
      <c r="AC530" s="28">
        <f>(SUM($AC$91:AC529)+SUM($X$91:X529)+X530)*T530*IF(D530=$A$91,SRP_finalmonthfactor,1)</f>
        <v>0</v>
      </c>
      <c r="AD530" s="16">
        <f t="shared" si="283"/>
        <v>0</v>
      </c>
      <c r="AE530" s="106"/>
      <c r="AF530" s="16">
        <f t="shared" si="291"/>
        <v>0</v>
      </c>
      <c r="AG530" s="16">
        <f t="shared" si="292"/>
        <v>0</v>
      </c>
      <c r="AH530" s="16">
        <f t="shared" si="293"/>
        <v>0</v>
      </c>
      <c r="AJ530" s="13">
        <f t="shared" si="308"/>
        <v>0</v>
      </c>
      <c r="AK530" s="13">
        <f t="shared" si="308"/>
        <v>0</v>
      </c>
      <c r="AL530" s="13">
        <f t="shared" si="308"/>
        <v>0</v>
      </c>
      <c r="AM530" s="13">
        <f t="shared" si="308"/>
        <v>0</v>
      </c>
      <c r="AN530" s="13">
        <f t="shared" si="308"/>
        <v>0</v>
      </c>
      <c r="AO530" s="13">
        <f t="shared" si="308"/>
        <v>1</v>
      </c>
      <c r="AP530" s="13">
        <f t="shared" si="308"/>
        <v>1</v>
      </c>
      <c r="AQ530" s="13">
        <f t="shared" si="308"/>
        <v>1</v>
      </c>
      <c r="AR530" s="13">
        <f t="shared" si="308"/>
        <v>0</v>
      </c>
      <c r="AS530" s="13">
        <f t="shared" si="308"/>
        <v>0</v>
      </c>
      <c r="AT530" s="13">
        <f t="shared" si="308"/>
        <v>0</v>
      </c>
      <c r="AU530" s="13">
        <f t="shared" si="308"/>
        <v>1</v>
      </c>
      <c r="AV530" s="13">
        <f t="shared" si="284"/>
        <v>0</v>
      </c>
      <c r="AW530" s="13">
        <f t="shared" si="285"/>
        <v>1</v>
      </c>
      <c r="AY530" s="17">
        <f t="shared" si="286"/>
        <v>440</v>
      </c>
      <c r="AZ530" s="28">
        <f t="shared" si="294"/>
        <v>0</v>
      </c>
      <c r="BA530" s="13">
        <f t="shared" si="287"/>
        <v>0</v>
      </c>
      <c r="BB530" s="13">
        <f t="shared" si="288"/>
        <v>0</v>
      </c>
      <c r="BC530" s="28">
        <f t="shared" si="295"/>
        <v>0</v>
      </c>
      <c r="BD530" s="28">
        <f t="shared" si="296"/>
        <v>0</v>
      </c>
      <c r="BF530" s="248">
        <f t="shared" si="297"/>
        <v>993869.29442638322</v>
      </c>
    </row>
    <row r="531" spans="1:58">
      <c r="A531" s="32">
        <f t="shared" si="298"/>
        <v>-356</v>
      </c>
      <c r="B531" s="32">
        <f t="shared" si="289"/>
        <v>89</v>
      </c>
      <c r="C531" s="32">
        <f t="shared" si="299"/>
        <v>37</v>
      </c>
      <c r="D531" s="32">
        <f t="shared" si="300"/>
        <v>441</v>
      </c>
      <c r="E531" s="74">
        <f>MIN(IF(AV531=0,0,
IF(Investment_Strategy="DIS",VLOOKUP(Investment_Strategy&amp;"_"&amp;Investment_Strategy_Sub1&amp;"_"&amp;$A531,'Investment Strategies'!$AZ:$BP,12,FALSE),
IF(AND(Investment_Strategy="Lifecycle",Investment_Strategy_Sub1="Non-Standard"),VLOOKUP(Investment_Strategy&amp;"_"&amp;Investment_Strategy_Sub2&amp;"_"&amp;$A531,'Investment Strategies'!$C:$P,9,FALSE),
IF(AND(Investment_Strategy="Lifecycle",Investment_Strategy_Sub1="Standard"),VLOOKUP(Investment_Strategy&amp;"_"&amp;Investment_Strategy_Sub2&amp;"_"&amp;$A531,'Investment Strategies'!$AJ:$AV,8,FALSE),
IF(AND(Investment_Strategy="Autopilot",Investment_Strategy_Sub1="Non-Standard"),VLOOKUP(Investment_Strategy&amp;"_"&amp;Investment_Strategy_Sub2&amp;"_"&amp;$A531,'Investment Strategies'!$T:$AF,8,FALSE),
IF(Investment_Strategy ="DIY",DIY_RateOfReturn_CurrentFunds,
"Error")))))),Max_InvReturn)</f>
        <v>0</v>
      </c>
      <c r="F531" s="62">
        <f>IF(AV531=0,0,
IF(Investment_Strategy="DIS",VLOOKUP(Investment_Strategy&amp;"_"&amp;Investment_Strategy_Sub1&amp;"_"&amp;$A531,'Investment Strategies'!$AZ:$BP,15,FALSE),
IF(AND(Investment_Strategy="Lifecycle",Investment_Strategy_Sub1="Non-Standard"),VLOOKUP(Investment_Strategy&amp;"_"&amp;Investment_Strategy_Sub2&amp;"_"&amp;$A531,'Investment Strategies'!$C:$P,12,FALSE),
IF(AND(Investment_Strategy="Lifecycle",Investment_Strategy_Sub1="Standard"),VLOOKUP(Investment_Strategy&amp;"_"&amp;Investment_Strategy_Sub2&amp;"_"&amp;$A531,'Investment Strategies'!$AJ:$AV,11,FALSE),
IF(AND(Investment_Strategy="Autopilot",Investment_Strategy_Sub1="Non-Standard"),VLOOKUP(Investment_Strategy&amp;"_"&amp;Investment_Strategy_Sub2&amp;"_"&amp;$A531,'Investment Strategies'!$T:$AF,11,FALSE),
IF(Investment_Strategy="DIY",DIY_GteeChrge_CurrentFunds,
"Error"))))))</f>
        <v>0</v>
      </c>
      <c r="G531" s="33">
        <f>IF(AV531=0,0,
IF(Investment_Strategy="DIS",VLOOKUP(Investment_Strategy&amp;"_"&amp;Investment_Strategy_Sub1&amp;"_"&amp;$A531,'Investment Strategies'!$AZ:$BP,17,FALSE),
IF(AND(Investment_Strategy="Lifecycle",Investment_Strategy_Sub1="Non-Standard"),VLOOKUP(Investment_Strategy&amp;"_"&amp;Investment_Strategy_Sub2&amp;"_"&amp;$A531,'Investment Strategies'!$C:$P,14,FALSE),
IF(AND(Investment_Strategy="Lifecycle",Investment_Strategy_Sub1="Standard"),VLOOKUP(Investment_Strategy&amp;"_"&amp;Investment_Strategy_Sub2&amp;"_"&amp;$A531,'Investment Strategies'!$AJ:$AV,13,FALSE),
IF(AND(Investment_Strategy="Autopilot",Investment_Strategy_Sub1="Non-Standard"),VLOOKUP(Investment_Strategy&amp;"_"&amp;Investment_Strategy_Sub2&amp;"_"&amp;$A531,'Investment Strategies'!$T:$AF,13,FALSE),
IF(Investment_Strategy="DIY",DIY_ExtManChrge_CurrentFunds,
"Error"))))))</f>
        <v>0</v>
      </c>
      <c r="H531" s="16">
        <f t="shared" si="290"/>
        <v>0</v>
      </c>
      <c r="I531" s="16">
        <f t="shared" si="276"/>
        <v>0</v>
      </c>
      <c r="J531" s="16">
        <f t="shared" si="277"/>
        <v>0</v>
      </c>
      <c r="K531" s="16">
        <f>(Opening_Fund_Value+SUM(K$91:K530))*E531*IF(D531=$A$91,SRP_finalmonthfactor,1)</f>
        <v>0</v>
      </c>
      <c r="L531" s="74">
        <f>MIN(IF($AV531=0,0,
IF(Investment_Strategy="DIS",VLOOKUP(Investment_Strategy&amp;"_"&amp;Investment_Strategy_Sub1&amp;"_"&amp;$A531,'Investment Strategies'!$AZ:$BP,12,FALSE),
IF(AND(Investment_Strategy="Lifecycle",Investment_Strategy_Sub1="Non-Standard"),VLOOKUP(Investment_Strategy&amp;"_"&amp;Investment_Strategy_Sub2&amp;"_"&amp;$A531,'Investment Strategies'!$C:$P,9,FALSE),
IF(AND(Investment_Strategy="Lifecycle",Investment_Strategy_Sub1="Standard"),VLOOKUP(Investment_Strategy&amp;"_"&amp;Investment_Strategy_Sub2&amp;"_"&amp;$A531,'Investment Strategies'!$AJ:$AV,8,FALSE),
IF(AND(Investment_Strategy="Autopilot",Investment_Strategy_Sub1="Non-Standard"),VLOOKUP(Investment_Strategy&amp;"_"&amp;Investment_Strategy_Sub2&amp;"_"&amp;$A531,'Investment Strategies'!$T:$AF,8,FALSE),
IF(Investment_Strategy ="DIY",DIY_RateofReturn_SP,
"Error")))))),Max_InvReturn)</f>
        <v>0</v>
      </c>
      <c r="M531" s="62">
        <f>IF($AV531=0,0,
IF(Investment_Strategy="DIS",VLOOKUP(Investment_Strategy&amp;"_"&amp;Investment_Strategy_Sub1&amp;"_"&amp;$A531,'Investment Strategies'!$AZ:$BP,15,FALSE),
IF(AND(Investment_Strategy="Lifecycle",Investment_Strategy_Sub1="Non-Standard"),VLOOKUP(Investment_Strategy&amp;"_"&amp;Investment_Strategy_Sub2&amp;"_"&amp;$A531,'Investment Strategies'!$C:$P,12,FALSE),
IF(AND(Investment_Strategy="Lifecycle",Investment_Strategy_Sub1="Standard"),VLOOKUP(Investment_Strategy&amp;"_"&amp;Investment_Strategy_Sub2&amp;"_"&amp;$A531,'Investment Strategies'!$AJ:$AV,11,FALSE),
IF(AND(Investment_Strategy="Autopilot",Investment_Strategy_Sub1="Non-Standard"),VLOOKUP(Investment_Strategy&amp;"_"&amp;Investment_Strategy_Sub2&amp;"_"&amp;$A531,'Investment Strategies'!$T:$AF,11,FALSE),
IF(Investment_Strategy="DIY",DIY_GteeChrge_SP,
"Error"))))))</f>
        <v>0</v>
      </c>
      <c r="N531" s="33">
        <f>IF($AV531=0,0,
IF(Investment_Strategy="DIS",VLOOKUP(Investment_Strategy&amp;"_"&amp;Investment_Strategy_Sub1&amp;"_"&amp;$A531,'Investment Strategies'!$AZ:$BP,17,FALSE),
IF(AND(Investment_Strategy="Lifecycle",Investment_Strategy_Sub1="Non-Standard"),VLOOKUP(Investment_Strategy&amp;"_"&amp;Investment_Strategy_Sub2&amp;"_"&amp;$A531,'Investment Strategies'!$C:$P,14,FALSE),
IF(AND(Investment_Strategy="Lifecycle",Investment_Strategy_Sub1="Standard"),VLOOKUP(Investment_Strategy&amp;"_"&amp;Investment_Strategy_Sub2&amp;"_"&amp;$A531,'Investment Strategies'!$AJ:$AV,13,FALSE),
IF(AND(Investment_Strategy="Autopilot",Investment_Strategy_Sub1="Non-Standard"),VLOOKUP(Investment_Strategy&amp;"_"&amp;Investment_Strategy_Sub2&amp;"_"&amp;$A531,'Investment Strategies'!$T:$AF,13,FALSE),
IF(Investment_Strategy="DIY",DIY_ExtManChrge_SP,
"Error"))))))</f>
        <v>0</v>
      </c>
      <c r="O531" s="16">
        <f t="shared" si="301"/>
        <v>0</v>
      </c>
      <c r="Q531" s="16">
        <f t="shared" si="278"/>
        <v>0</v>
      </c>
      <c r="R531" s="16">
        <f t="shared" si="274"/>
        <v>0</v>
      </c>
      <c r="S531" s="16">
        <f>(SRP_SP+SUM(S$91:S530))*L531*IF(D531=$A$91,SRP_finalmonthfactor,1)</f>
        <v>0</v>
      </c>
      <c r="T531" s="74">
        <f>MIN(IF($AV531=0,0,
IF(Investment_Strategy="DIS",VLOOKUP(Investment_Strategy&amp;"_"&amp;Investment_Strategy_Sub1&amp;"_"&amp;$A531,'Investment Strategies'!$AZ:$BP,12,FALSE),
IF(AND(Investment_Strategy="Lifecycle",Investment_Strategy_Sub1="Non-Standard"),VLOOKUP(Investment_Strategy&amp;"_"&amp;Investment_Strategy_Sub2&amp;"_"&amp;$A531,'Investment Strategies'!$C:$P,9,FALSE),
IF(AND(Investment_Strategy="Lifecycle",Investment_Strategy_Sub1="Standard"),VLOOKUP(Investment_Strategy&amp;"_"&amp;Investment_Strategy_Sub2&amp;"_"&amp;$A531,'Investment Strategies'!$AJ:$AV,8,FALSE),
IF(AND(Investment_Strategy="Autopilot",Investment_Strategy_Sub1="Non-Standard"),VLOOKUP(Investment_Strategy&amp;"_"&amp;Investment_Strategy_Sub2&amp;"_"&amp;$A531,'Investment Strategies'!$T:$AF,8,FALSE),
IF(Investment_Strategy ="DIY",DIY_RateOfReturn_FuturePremiums,
"Error")))))),Max_InvReturn)</f>
        <v>0</v>
      </c>
      <c r="U531" s="62">
        <f>IF($AV531=0,0,
IF(Investment_Strategy="DIS",VLOOKUP(Investment_Strategy&amp;"_"&amp;Investment_Strategy_Sub1&amp;"_"&amp;$A531,'Investment Strategies'!$AZ:$BP,15,FALSE),
IF(AND(Investment_Strategy="Lifecycle",Investment_Strategy_Sub1="Non-Standard"),VLOOKUP(Investment_Strategy&amp;"_"&amp;Investment_Strategy_Sub2&amp;"_"&amp;$A531,'Investment Strategies'!$C:$P,12,FALSE),
IF(AND(Investment_Strategy="Lifecycle",Investment_Strategy_Sub1="Standard"),VLOOKUP(Investment_Strategy&amp;"_"&amp;Investment_Strategy_Sub2&amp;"_"&amp;$A531,'Investment Strategies'!$AJ:$AV,11,FALSE),
IF(AND(Investment_Strategy="Autopilot",Investment_Strategy_Sub1="Non-Standard"),VLOOKUP(Investment_Strategy&amp;"_"&amp;Investment_Strategy_Sub2&amp;"_"&amp;$A531,'Investment Strategies'!$T:$AF,11,FALSE),
IF(Investment_Strategy="DIY",DIY_GteeChrge_FuturePremiums,
"Error"))))))</f>
        <v>0</v>
      </c>
      <c r="V531" s="33">
        <f>IF(AV531=0,0,
IF(Investment_Strategy="DIS",VLOOKUP(Investment_Strategy&amp;"_"&amp;Investment_Strategy_Sub1&amp;"_"&amp;$A531,'Investment Strategies'!$AZ:$BP,17,FALSE),
IF(AND(Investment_Strategy="Lifecycle",Investment_Strategy_Sub1="Non-Standard"),VLOOKUP(Investment_Strategy&amp;"_"&amp;Investment_Strategy_Sub2&amp;"_"&amp;$A531,'Investment Strategies'!$C:$P,14,FALSE),
IF(AND(Investment_Strategy="Lifecycle",Investment_Strategy_Sub1="Standard"),VLOOKUP(Investment_Strategy&amp;"_"&amp;Investment_Strategy_Sub2&amp;"_"&amp;$A531,'Investment Strategies'!$AJ:$AV,13,FALSE),
IF(AND(Investment_Strategy="Autopilot",Investment_Strategy_Sub1="Non-Standard"),VLOOKUP(Investment_Strategy&amp;"_"&amp;Investment_Strategy_Sub2&amp;"_"&amp;$A531,'Investment Strategies'!$T:$AF,13,FALSE),
IF(Investment_Strategy="DIY",DIY_ExtManChrge_FuturePremiums,
"Error"))))))</f>
        <v>0</v>
      </c>
      <c r="W531" s="16">
        <f t="shared" si="302"/>
        <v>0</v>
      </c>
      <c r="X531" s="16">
        <f t="shared" si="279"/>
        <v>0</v>
      </c>
      <c r="Y531" s="16">
        <f t="shared" si="280"/>
        <v>0</v>
      </c>
      <c r="Z531" s="31">
        <f t="shared" si="281"/>
        <v>0.02</v>
      </c>
      <c r="AA531" s="16">
        <f t="shared" si="282"/>
        <v>0</v>
      </c>
      <c r="AB531" s="28">
        <f t="shared" si="303"/>
        <v>0</v>
      </c>
      <c r="AC531" s="28">
        <f>(SUM($AC$91:AC530)+SUM($X$91:X530)+X531)*T531*IF(D531=$A$91,SRP_finalmonthfactor,1)</f>
        <v>0</v>
      </c>
      <c r="AD531" s="16">
        <f t="shared" si="283"/>
        <v>0</v>
      </c>
      <c r="AE531" s="106"/>
      <c r="AF531" s="16">
        <f t="shared" si="291"/>
        <v>0</v>
      </c>
      <c r="AG531" s="16">
        <f t="shared" si="292"/>
        <v>0</v>
      </c>
      <c r="AH531" s="16">
        <f t="shared" si="293"/>
        <v>0</v>
      </c>
      <c r="AJ531" s="13">
        <f t="shared" ref="AJ531:AU540" si="309">IF($C531&lt;=AJ$90,1,0)</f>
        <v>0</v>
      </c>
      <c r="AK531" s="13">
        <f t="shared" si="309"/>
        <v>0</v>
      </c>
      <c r="AL531" s="13">
        <f t="shared" si="309"/>
        <v>0</v>
      </c>
      <c r="AM531" s="13">
        <f t="shared" si="309"/>
        <v>0</v>
      </c>
      <c r="AN531" s="13">
        <f t="shared" si="309"/>
        <v>0</v>
      </c>
      <c r="AO531" s="13">
        <f t="shared" si="309"/>
        <v>1</v>
      </c>
      <c r="AP531" s="13">
        <f t="shared" si="309"/>
        <v>1</v>
      </c>
      <c r="AQ531" s="13">
        <f t="shared" si="309"/>
        <v>1</v>
      </c>
      <c r="AR531" s="13">
        <f t="shared" si="309"/>
        <v>0</v>
      </c>
      <c r="AS531" s="13">
        <f t="shared" si="309"/>
        <v>0</v>
      </c>
      <c r="AT531" s="13">
        <f t="shared" si="309"/>
        <v>0</v>
      </c>
      <c r="AU531" s="13">
        <f t="shared" si="309"/>
        <v>1</v>
      </c>
      <c r="AV531" s="13">
        <f t="shared" si="284"/>
        <v>0</v>
      </c>
      <c r="AW531" s="13">
        <f t="shared" si="285"/>
        <v>1</v>
      </c>
      <c r="AY531" s="17">
        <f t="shared" si="286"/>
        <v>441</v>
      </c>
      <c r="AZ531" s="28">
        <f t="shared" si="294"/>
        <v>0</v>
      </c>
      <c r="BA531" s="13">
        <f t="shared" si="287"/>
        <v>0</v>
      </c>
      <c r="BB531" s="13">
        <f t="shared" si="288"/>
        <v>0</v>
      </c>
      <c r="BC531" s="28">
        <f t="shared" si="295"/>
        <v>0</v>
      </c>
      <c r="BD531" s="28">
        <f t="shared" si="296"/>
        <v>0</v>
      </c>
      <c r="BF531" s="248">
        <f t="shared" si="297"/>
        <v>993869.29442638322</v>
      </c>
    </row>
    <row r="532" spans="1:58">
      <c r="A532" s="32">
        <f t="shared" si="298"/>
        <v>-357</v>
      </c>
      <c r="B532" s="32">
        <f t="shared" si="289"/>
        <v>89</v>
      </c>
      <c r="C532" s="32">
        <f t="shared" si="299"/>
        <v>37</v>
      </c>
      <c r="D532" s="32">
        <f t="shared" si="300"/>
        <v>442</v>
      </c>
      <c r="E532" s="74">
        <f>MIN(IF(AV532=0,0,
IF(Investment_Strategy="DIS",VLOOKUP(Investment_Strategy&amp;"_"&amp;Investment_Strategy_Sub1&amp;"_"&amp;$A532,'Investment Strategies'!$AZ:$BP,12,FALSE),
IF(AND(Investment_Strategy="Lifecycle",Investment_Strategy_Sub1="Non-Standard"),VLOOKUP(Investment_Strategy&amp;"_"&amp;Investment_Strategy_Sub2&amp;"_"&amp;$A532,'Investment Strategies'!$C:$P,9,FALSE),
IF(AND(Investment_Strategy="Lifecycle",Investment_Strategy_Sub1="Standard"),VLOOKUP(Investment_Strategy&amp;"_"&amp;Investment_Strategy_Sub2&amp;"_"&amp;$A532,'Investment Strategies'!$AJ:$AV,8,FALSE),
IF(AND(Investment_Strategy="Autopilot",Investment_Strategy_Sub1="Non-Standard"),VLOOKUP(Investment_Strategy&amp;"_"&amp;Investment_Strategy_Sub2&amp;"_"&amp;$A532,'Investment Strategies'!$T:$AF,8,FALSE),
IF(Investment_Strategy ="DIY",DIY_RateOfReturn_CurrentFunds,
"Error")))))),Max_InvReturn)</f>
        <v>0</v>
      </c>
      <c r="F532" s="62">
        <f>IF(AV532=0,0,
IF(Investment_Strategy="DIS",VLOOKUP(Investment_Strategy&amp;"_"&amp;Investment_Strategy_Sub1&amp;"_"&amp;$A532,'Investment Strategies'!$AZ:$BP,15,FALSE),
IF(AND(Investment_Strategy="Lifecycle",Investment_Strategy_Sub1="Non-Standard"),VLOOKUP(Investment_Strategy&amp;"_"&amp;Investment_Strategy_Sub2&amp;"_"&amp;$A532,'Investment Strategies'!$C:$P,12,FALSE),
IF(AND(Investment_Strategy="Lifecycle",Investment_Strategy_Sub1="Standard"),VLOOKUP(Investment_Strategy&amp;"_"&amp;Investment_Strategy_Sub2&amp;"_"&amp;$A532,'Investment Strategies'!$AJ:$AV,11,FALSE),
IF(AND(Investment_Strategy="Autopilot",Investment_Strategy_Sub1="Non-Standard"),VLOOKUP(Investment_Strategy&amp;"_"&amp;Investment_Strategy_Sub2&amp;"_"&amp;$A532,'Investment Strategies'!$T:$AF,11,FALSE),
IF(Investment_Strategy="DIY",DIY_GteeChrge_CurrentFunds,
"Error"))))))</f>
        <v>0</v>
      </c>
      <c r="G532" s="33">
        <f>IF(AV532=0,0,
IF(Investment_Strategy="DIS",VLOOKUP(Investment_Strategy&amp;"_"&amp;Investment_Strategy_Sub1&amp;"_"&amp;$A532,'Investment Strategies'!$AZ:$BP,17,FALSE),
IF(AND(Investment_Strategy="Lifecycle",Investment_Strategy_Sub1="Non-Standard"),VLOOKUP(Investment_Strategy&amp;"_"&amp;Investment_Strategy_Sub2&amp;"_"&amp;$A532,'Investment Strategies'!$C:$P,14,FALSE),
IF(AND(Investment_Strategy="Lifecycle",Investment_Strategy_Sub1="Standard"),VLOOKUP(Investment_Strategy&amp;"_"&amp;Investment_Strategy_Sub2&amp;"_"&amp;$A532,'Investment Strategies'!$AJ:$AV,13,FALSE),
IF(AND(Investment_Strategy="Autopilot",Investment_Strategy_Sub1="Non-Standard"),VLOOKUP(Investment_Strategy&amp;"_"&amp;Investment_Strategy_Sub2&amp;"_"&amp;$A532,'Investment Strategies'!$T:$AF,13,FALSE),
IF(Investment_Strategy="DIY",DIY_ExtManChrge_CurrentFunds,
"Error"))))))</f>
        <v>0</v>
      </c>
      <c r="H532" s="16">
        <f t="shared" si="290"/>
        <v>0</v>
      </c>
      <c r="I532" s="16">
        <f t="shared" si="276"/>
        <v>0</v>
      </c>
      <c r="J532" s="16">
        <f t="shared" si="277"/>
        <v>0</v>
      </c>
      <c r="K532" s="16">
        <f>(Opening_Fund_Value+SUM(K$91:K531))*E532*IF(D532=$A$91,SRP_finalmonthfactor,1)</f>
        <v>0</v>
      </c>
      <c r="L532" s="74">
        <f>MIN(IF($AV532=0,0,
IF(Investment_Strategy="DIS",VLOOKUP(Investment_Strategy&amp;"_"&amp;Investment_Strategy_Sub1&amp;"_"&amp;$A532,'Investment Strategies'!$AZ:$BP,12,FALSE),
IF(AND(Investment_Strategy="Lifecycle",Investment_Strategy_Sub1="Non-Standard"),VLOOKUP(Investment_Strategy&amp;"_"&amp;Investment_Strategy_Sub2&amp;"_"&amp;$A532,'Investment Strategies'!$C:$P,9,FALSE),
IF(AND(Investment_Strategy="Lifecycle",Investment_Strategy_Sub1="Standard"),VLOOKUP(Investment_Strategy&amp;"_"&amp;Investment_Strategy_Sub2&amp;"_"&amp;$A532,'Investment Strategies'!$AJ:$AV,8,FALSE),
IF(AND(Investment_Strategy="Autopilot",Investment_Strategy_Sub1="Non-Standard"),VLOOKUP(Investment_Strategy&amp;"_"&amp;Investment_Strategy_Sub2&amp;"_"&amp;$A532,'Investment Strategies'!$T:$AF,8,FALSE),
IF(Investment_Strategy ="DIY",DIY_RateofReturn_SP,
"Error")))))),Max_InvReturn)</f>
        <v>0</v>
      </c>
      <c r="M532" s="62">
        <f>IF($AV532=0,0,
IF(Investment_Strategy="DIS",VLOOKUP(Investment_Strategy&amp;"_"&amp;Investment_Strategy_Sub1&amp;"_"&amp;$A532,'Investment Strategies'!$AZ:$BP,15,FALSE),
IF(AND(Investment_Strategy="Lifecycle",Investment_Strategy_Sub1="Non-Standard"),VLOOKUP(Investment_Strategy&amp;"_"&amp;Investment_Strategy_Sub2&amp;"_"&amp;$A532,'Investment Strategies'!$C:$P,12,FALSE),
IF(AND(Investment_Strategy="Lifecycle",Investment_Strategy_Sub1="Standard"),VLOOKUP(Investment_Strategy&amp;"_"&amp;Investment_Strategy_Sub2&amp;"_"&amp;$A532,'Investment Strategies'!$AJ:$AV,11,FALSE),
IF(AND(Investment_Strategy="Autopilot",Investment_Strategy_Sub1="Non-Standard"),VLOOKUP(Investment_Strategy&amp;"_"&amp;Investment_Strategy_Sub2&amp;"_"&amp;$A532,'Investment Strategies'!$T:$AF,11,FALSE),
IF(Investment_Strategy="DIY",DIY_GteeChrge_SP,
"Error"))))))</f>
        <v>0</v>
      </c>
      <c r="N532" s="33">
        <f>IF($AV532=0,0,
IF(Investment_Strategy="DIS",VLOOKUP(Investment_Strategy&amp;"_"&amp;Investment_Strategy_Sub1&amp;"_"&amp;$A532,'Investment Strategies'!$AZ:$BP,17,FALSE),
IF(AND(Investment_Strategy="Lifecycle",Investment_Strategy_Sub1="Non-Standard"),VLOOKUP(Investment_Strategy&amp;"_"&amp;Investment_Strategy_Sub2&amp;"_"&amp;$A532,'Investment Strategies'!$C:$P,14,FALSE),
IF(AND(Investment_Strategy="Lifecycle",Investment_Strategy_Sub1="Standard"),VLOOKUP(Investment_Strategy&amp;"_"&amp;Investment_Strategy_Sub2&amp;"_"&amp;$A532,'Investment Strategies'!$AJ:$AV,13,FALSE),
IF(AND(Investment_Strategy="Autopilot",Investment_Strategy_Sub1="Non-Standard"),VLOOKUP(Investment_Strategy&amp;"_"&amp;Investment_Strategy_Sub2&amp;"_"&amp;$A532,'Investment Strategies'!$T:$AF,13,FALSE),
IF(Investment_Strategy="DIY",DIY_ExtManChrge_SP,
"Error"))))))</f>
        <v>0</v>
      </c>
      <c r="O532" s="16">
        <f t="shared" si="301"/>
        <v>0</v>
      </c>
      <c r="Q532" s="16">
        <f t="shared" si="278"/>
        <v>0</v>
      </c>
      <c r="R532" s="16">
        <f t="shared" ref="R532:R595" si="310">IF($AV532=0,0,
-(($O532+($P532)*(1-SRP_Contrib_Chge_SP)+Q532/2)*(SRP_Monthly_Admin_Chge+$M532+$N532)*IF(D532=$A$91,SRP_finalmonthfactor,1)+
($P532)*SRP_Contrib_Chge_SP)*IF(D532=$A$91,SRP_finalmonthfactor,1))</f>
        <v>0</v>
      </c>
      <c r="S532" s="16">
        <f>(SRP_SP+SUM(S$91:S531))*L532*IF(D532=$A$91,SRP_finalmonthfactor,1)</f>
        <v>0</v>
      </c>
      <c r="T532" s="74">
        <f>MIN(IF($AV532=0,0,
IF(Investment_Strategy="DIS",VLOOKUP(Investment_Strategy&amp;"_"&amp;Investment_Strategy_Sub1&amp;"_"&amp;$A532,'Investment Strategies'!$AZ:$BP,12,FALSE),
IF(AND(Investment_Strategy="Lifecycle",Investment_Strategy_Sub1="Non-Standard"),VLOOKUP(Investment_Strategy&amp;"_"&amp;Investment_Strategy_Sub2&amp;"_"&amp;$A532,'Investment Strategies'!$C:$P,9,FALSE),
IF(AND(Investment_Strategy="Lifecycle",Investment_Strategy_Sub1="Standard"),VLOOKUP(Investment_Strategy&amp;"_"&amp;Investment_Strategy_Sub2&amp;"_"&amp;$A532,'Investment Strategies'!$AJ:$AV,8,FALSE),
IF(AND(Investment_Strategy="Autopilot",Investment_Strategy_Sub1="Non-Standard"),VLOOKUP(Investment_Strategy&amp;"_"&amp;Investment_Strategy_Sub2&amp;"_"&amp;$A532,'Investment Strategies'!$T:$AF,8,FALSE),
IF(Investment_Strategy ="DIY",DIY_RateOfReturn_FuturePremiums,
"Error")))))),Max_InvReturn)</f>
        <v>0</v>
      </c>
      <c r="U532" s="62">
        <f>IF($AV532=0,0,
IF(Investment_Strategy="DIS",VLOOKUP(Investment_Strategy&amp;"_"&amp;Investment_Strategy_Sub1&amp;"_"&amp;$A532,'Investment Strategies'!$AZ:$BP,15,FALSE),
IF(AND(Investment_Strategy="Lifecycle",Investment_Strategy_Sub1="Non-Standard"),VLOOKUP(Investment_Strategy&amp;"_"&amp;Investment_Strategy_Sub2&amp;"_"&amp;$A532,'Investment Strategies'!$C:$P,12,FALSE),
IF(AND(Investment_Strategy="Lifecycle",Investment_Strategy_Sub1="Standard"),VLOOKUP(Investment_Strategy&amp;"_"&amp;Investment_Strategy_Sub2&amp;"_"&amp;$A532,'Investment Strategies'!$AJ:$AV,11,FALSE),
IF(AND(Investment_Strategy="Autopilot",Investment_Strategy_Sub1="Non-Standard"),VLOOKUP(Investment_Strategy&amp;"_"&amp;Investment_Strategy_Sub2&amp;"_"&amp;$A532,'Investment Strategies'!$T:$AF,11,FALSE),
IF(Investment_Strategy="DIY",DIY_GteeChrge_FuturePremiums,
"Error"))))))</f>
        <v>0</v>
      </c>
      <c r="V532" s="33">
        <f>IF(AV532=0,0,
IF(Investment_Strategy="DIS",VLOOKUP(Investment_Strategy&amp;"_"&amp;Investment_Strategy_Sub1&amp;"_"&amp;$A532,'Investment Strategies'!$AZ:$BP,17,FALSE),
IF(AND(Investment_Strategy="Lifecycle",Investment_Strategy_Sub1="Non-Standard"),VLOOKUP(Investment_Strategy&amp;"_"&amp;Investment_Strategy_Sub2&amp;"_"&amp;$A532,'Investment Strategies'!$C:$P,14,FALSE),
IF(AND(Investment_Strategy="Lifecycle",Investment_Strategy_Sub1="Standard"),VLOOKUP(Investment_Strategy&amp;"_"&amp;Investment_Strategy_Sub2&amp;"_"&amp;$A532,'Investment Strategies'!$AJ:$AV,13,FALSE),
IF(AND(Investment_Strategy="Autopilot",Investment_Strategy_Sub1="Non-Standard"),VLOOKUP(Investment_Strategy&amp;"_"&amp;Investment_Strategy_Sub2&amp;"_"&amp;$A532,'Investment Strategies'!$T:$AF,13,FALSE),
IF(Investment_Strategy="DIY",DIY_ExtManChrge_FuturePremiums,
"Error"))))))</f>
        <v>0</v>
      </c>
      <c r="W532" s="16">
        <f t="shared" si="302"/>
        <v>0</v>
      </c>
      <c r="X532" s="16">
        <f t="shared" si="279"/>
        <v>0</v>
      </c>
      <c r="Y532" s="16">
        <f t="shared" si="280"/>
        <v>0</v>
      </c>
      <c r="Z532" s="31">
        <f t="shared" si="281"/>
        <v>0.02</v>
      </c>
      <c r="AA532" s="16">
        <f t="shared" si="282"/>
        <v>0</v>
      </c>
      <c r="AB532" s="28">
        <f t="shared" si="303"/>
        <v>0</v>
      </c>
      <c r="AC532" s="28">
        <f>(SUM($AC$91:AC531)+SUM($X$91:X531)+X532)*T532*IF(D532=$A$91,SRP_finalmonthfactor,1)</f>
        <v>0</v>
      </c>
      <c r="AD532" s="16">
        <f t="shared" si="283"/>
        <v>0</v>
      </c>
      <c r="AE532" s="106"/>
      <c r="AF532" s="16">
        <f t="shared" si="291"/>
        <v>0</v>
      </c>
      <c r="AG532" s="16">
        <f t="shared" si="292"/>
        <v>0</v>
      </c>
      <c r="AH532" s="16">
        <f t="shared" si="293"/>
        <v>0</v>
      </c>
      <c r="AJ532" s="13">
        <f t="shared" si="309"/>
        <v>0</v>
      </c>
      <c r="AK532" s="13">
        <f t="shared" si="309"/>
        <v>0</v>
      </c>
      <c r="AL532" s="13">
        <f t="shared" si="309"/>
        <v>0</v>
      </c>
      <c r="AM532" s="13">
        <f t="shared" si="309"/>
        <v>0</v>
      </c>
      <c r="AN532" s="13">
        <f t="shared" si="309"/>
        <v>0</v>
      </c>
      <c r="AO532" s="13">
        <f t="shared" si="309"/>
        <v>1</v>
      </c>
      <c r="AP532" s="13">
        <f t="shared" si="309"/>
        <v>1</v>
      </c>
      <c r="AQ532" s="13">
        <f t="shared" si="309"/>
        <v>1</v>
      </c>
      <c r="AR532" s="13">
        <f t="shared" si="309"/>
        <v>0</v>
      </c>
      <c r="AS532" s="13">
        <f t="shared" si="309"/>
        <v>0</v>
      </c>
      <c r="AT532" s="13">
        <f t="shared" si="309"/>
        <v>0</v>
      </c>
      <c r="AU532" s="13">
        <f t="shared" si="309"/>
        <v>1</v>
      </c>
      <c r="AV532" s="13">
        <f t="shared" si="284"/>
        <v>0</v>
      </c>
      <c r="AW532" s="13">
        <f t="shared" si="285"/>
        <v>1</v>
      </c>
      <c r="AY532" s="17">
        <f t="shared" si="286"/>
        <v>442</v>
      </c>
      <c r="AZ532" s="28">
        <f t="shared" si="294"/>
        <v>0</v>
      </c>
      <c r="BA532" s="13">
        <f t="shared" si="287"/>
        <v>0</v>
      </c>
      <c r="BB532" s="13">
        <f t="shared" si="288"/>
        <v>0</v>
      </c>
      <c r="BC532" s="28">
        <f t="shared" si="295"/>
        <v>0</v>
      </c>
      <c r="BD532" s="28">
        <f t="shared" si="296"/>
        <v>0</v>
      </c>
      <c r="BF532" s="248">
        <f t="shared" si="297"/>
        <v>993869.29442638322</v>
      </c>
    </row>
    <row r="533" spans="1:58">
      <c r="A533" s="32">
        <f t="shared" si="298"/>
        <v>-358</v>
      </c>
      <c r="B533" s="32">
        <f t="shared" si="289"/>
        <v>89</v>
      </c>
      <c r="C533" s="32">
        <f t="shared" si="299"/>
        <v>37</v>
      </c>
      <c r="D533" s="32">
        <f t="shared" si="300"/>
        <v>443</v>
      </c>
      <c r="E533" s="74">
        <f>MIN(IF(AV533=0,0,
IF(Investment_Strategy="DIS",VLOOKUP(Investment_Strategy&amp;"_"&amp;Investment_Strategy_Sub1&amp;"_"&amp;$A533,'Investment Strategies'!$AZ:$BP,12,FALSE),
IF(AND(Investment_Strategy="Lifecycle",Investment_Strategy_Sub1="Non-Standard"),VLOOKUP(Investment_Strategy&amp;"_"&amp;Investment_Strategy_Sub2&amp;"_"&amp;$A533,'Investment Strategies'!$C:$P,9,FALSE),
IF(AND(Investment_Strategy="Lifecycle",Investment_Strategy_Sub1="Standard"),VLOOKUP(Investment_Strategy&amp;"_"&amp;Investment_Strategy_Sub2&amp;"_"&amp;$A533,'Investment Strategies'!$AJ:$AV,8,FALSE),
IF(AND(Investment_Strategy="Autopilot",Investment_Strategy_Sub1="Non-Standard"),VLOOKUP(Investment_Strategy&amp;"_"&amp;Investment_Strategy_Sub2&amp;"_"&amp;$A533,'Investment Strategies'!$T:$AF,8,FALSE),
IF(Investment_Strategy ="DIY",DIY_RateOfReturn_CurrentFunds,
"Error")))))),Max_InvReturn)</f>
        <v>0</v>
      </c>
      <c r="F533" s="62">
        <f>IF(AV533=0,0,
IF(Investment_Strategy="DIS",VLOOKUP(Investment_Strategy&amp;"_"&amp;Investment_Strategy_Sub1&amp;"_"&amp;$A533,'Investment Strategies'!$AZ:$BP,15,FALSE),
IF(AND(Investment_Strategy="Lifecycle",Investment_Strategy_Sub1="Non-Standard"),VLOOKUP(Investment_Strategy&amp;"_"&amp;Investment_Strategy_Sub2&amp;"_"&amp;$A533,'Investment Strategies'!$C:$P,12,FALSE),
IF(AND(Investment_Strategy="Lifecycle",Investment_Strategy_Sub1="Standard"),VLOOKUP(Investment_Strategy&amp;"_"&amp;Investment_Strategy_Sub2&amp;"_"&amp;$A533,'Investment Strategies'!$AJ:$AV,11,FALSE),
IF(AND(Investment_Strategy="Autopilot",Investment_Strategy_Sub1="Non-Standard"),VLOOKUP(Investment_Strategy&amp;"_"&amp;Investment_Strategy_Sub2&amp;"_"&amp;$A533,'Investment Strategies'!$T:$AF,11,FALSE),
IF(Investment_Strategy="DIY",DIY_GteeChrge_CurrentFunds,
"Error"))))))</f>
        <v>0</v>
      </c>
      <c r="G533" s="33">
        <f>IF(AV533=0,0,
IF(Investment_Strategy="DIS",VLOOKUP(Investment_Strategy&amp;"_"&amp;Investment_Strategy_Sub1&amp;"_"&amp;$A533,'Investment Strategies'!$AZ:$BP,17,FALSE),
IF(AND(Investment_Strategy="Lifecycle",Investment_Strategy_Sub1="Non-Standard"),VLOOKUP(Investment_Strategy&amp;"_"&amp;Investment_Strategy_Sub2&amp;"_"&amp;$A533,'Investment Strategies'!$C:$P,14,FALSE),
IF(AND(Investment_Strategy="Lifecycle",Investment_Strategy_Sub1="Standard"),VLOOKUP(Investment_Strategy&amp;"_"&amp;Investment_Strategy_Sub2&amp;"_"&amp;$A533,'Investment Strategies'!$AJ:$AV,13,FALSE),
IF(AND(Investment_Strategy="Autopilot",Investment_Strategy_Sub1="Non-Standard"),VLOOKUP(Investment_Strategy&amp;"_"&amp;Investment_Strategy_Sub2&amp;"_"&amp;$A533,'Investment Strategies'!$T:$AF,13,FALSE),
IF(Investment_Strategy="DIY",DIY_ExtManChrge_CurrentFunds,
"Error"))))))</f>
        <v>0</v>
      </c>
      <c r="H533" s="16">
        <f t="shared" si="290"/>
        <v>0</v>
      </c>
      <c r="I533" s="16">
        <f t="shared" si="276"/>
        <v>0</v>
      </c>
      <c r="J533" s="16">
        <f t="shared" si="277"/>
        <v>0</v>
      </c>
      <c r="K533" s="16">
        <f>(Opening_Fund_Value+SUM(K$91:K532))*E533*IF(D533=$A$91,SRP_finalmonthfactor,1)</f>
        <v>0</v>
      </c>
      <c r="L533" s="74">
        <f>MIN(IF($AV533=0,0,
IF(Investment_Strategy="DIS",VLOOKUP(Investment_Strategy&amp;"_"&amp;Investment_Strategy_Sub1&amp;"_"&amp;$A533,'Investment Strategies'!$AZ:$BP,12,FALSE),
IF(AND(Investment_Strategy="Lifecycle",Investment_Strategy_Sub1="Non-Standard"),VLOOKUP(Investment_Strategy&amp;"_"&amp;Investment_Strategy_Sub2&amp;"_"&amp;$A533,'Investment Strategies'!$C:$P,9,FALSE),
IF(AND(Investment_Strategy="Lifecycle",Investment_Strategy_Sub1="Standard"),VLOOKUP(Investment_Strategy&amp;"_"&amp;Investment_Strategy_Sub2&amp;"_"&amp;$A533,'Investment Strategies'!$AJ:$AV,8,FALSE),
IF(AND(Investment_Strategy="Autopilot",Investment_Strategy_Sub1="Non-Standard"),VLOOKUP(Investment_Strategy&amp;"_"&amp;Investment_Strategy_Sub2&amp;"_"&amp;$A533,'Investment Strategies'!$T:$AF,8,FALSE),
IF(Investment_Strategy ="DIY",DIY_RateofReturn_SP,
"Error")))))),Max_InvReturn)</f>
        <v>0</v>
      </c>
      <c r="M533" s="62">
        <f>IF($AV533=0,0,
IF(Investment_Strategy="DIS",VLOOKUP(Investment_Strategy&amp;"_"&amp;Investment_Strategy_Sub1&amp;"_"&amp;$A533,'Investment Strategies'!$AZ:$BP,15,FALSE),
IF(AND(Investment_Strategy="Lifecycle",Investment_Strategy_Sub1="Non-Standard"),VLOOKUP(Investment_Strategy&amp;"_"&amp;Investment_Strategy_Sub2&amp;"_"&amp;$A533,'Investment Strategies'!$C:$P,12,FALSE),
IF(AND(Investment_Strategy="Lifecycle",Investment_Strategy_Sub1="Standard"),VLOOKUP(Investment_Strategy&amp;"_"&amp;Investment_Strategy_Sub2&amp;"_"&amp;$A533,'Investment Strategies'!$AJ:$AV,11,FALSE),
IF(AND(Investment_Strategy="Autopilot",Investment_Strategy_Sub1="Non-Standard"),VLOOKUP(Investment_Strategy&amp;"_"&amp;Investment_Strategy_Sub2&amp;"_"&amp;$A533,'Investment Strategies'!$T:$AF,11,FALSE),
IF(Investment_Strategy="DIY",DIY_GteeChrge_SP,
"Error"))))))</f>
        <v>0</v>
      </c>
      <c r="N533" s="33">
        <f>IF($AV533=0,0,
IF(Investment_Strategy="DIS",VLOOKUP(Investment_Strategy&amp;"_"&amp;Investment_Strategy_Sub1&amp;"_"&amp;$A533,'Investment Strategies'!$AZ:$BP,17,FALSE),
IF(AND(Investment_Strategy="Lifecycle",Investment_Strategy_Sub1="Non-Standard"),VLOOKUP(Investment_Strategy&amp;"_"&amp;Investment_Strategy_Sub2&amp;"_"&amp;$A533,'Investment Strategies'!$C:$P,14,FALSE),
IF(AND(Investment_Strategy="Lifecycle",Investment_Strategy_Sub1="Standard"),VLOOKUP(Investment_Strategy&amp;"_"&amp;Investment_Strategy_Sub2&amp;"_"&amp;$A533,'Investment Strategies'!$AJ:$AV,13,FALSE),
IF(AND(Investment_Strategy="Autopilot",Investment_Strategy_Sub1="Non-Standard"),VLOOKUP(Investment_Strategy&amp;"_"&amp;Investment_Strategy_Sub2&amp;"_"&amp;$A533,'Investment Strategies'!$T:$AF,13,FALSE),
IF(Investment_Strategy="DIY",DIY_ExtManChrge_SP,
"Error"))))))</f>
        <v>0</v>
      </c>
      <c r="O533" s="16">
        <f t="shared" si="301"/>
        <v>0</v>
      </c>
      <c r="Q533" s="16">
        <f t="shared" si="278"/>
        <v>0</v>
      </c>
      <c r="R533" s="16">
        <f t="shared" si="310"/>
        <v>0</v>
      </c>
      <c r="S533" s="16">
        <f>(SRP_SP+SUM(S$91:S532))*L533*IF(D533=$A$91,SRP_finalmonthfactor,1)</f>
        <v>0</v>
      </c>
      <c r="T533" s="74">
        <f>MIN(IF($AV533=0,0,
IF(Investment_Strategy="DIS",VLOOKUP(Investment_Strategy&amp;"_"&amp;Investment_Strategy_Sub1&amp;"_"&amp;$A533,'Investment Strategies'!$AZ:$BP,12,FALSE),
IF(AND(Investment_Strategy="Lifecycle",Investment_Strategy_Sub1="Non-Standard"),VLOOKUP(Investment_Strategy&amp;"_"&amp;Investment_Strategy_Sub2&amp;"_"&amp;$A533,'Investment Strategies'!$C:$P,9,FALSE),
IF(AND(Investment_Strategy="Lifecycle",Investment_Strategy_Sub1="Standard"),VLOOKUP(Investment_Strategy&amp;"_"&amp;Investment_Strategy_Sub2&amp;"_"&amp;$A533,'Investment Strategies'!$AJ:$AV,8,FALSE),
IF(AND(Investment_Strategy="Autopilot",Investment_Strategy_Sub1="Non-Standard"),VLOOKUP(Investment_Strategy&amp;"_"&amp;Investment_Strategy_Sub2&amp;"_"&amp;$A533,'Investment Strategies'!$T:$AF,8,FALSE),
IF(Investment_Strategy ="DIY",DIY_RateOfReturn_FuturePremiums,
"Error")))))),Max_InvReturn)</f>
        <v>0</v>
      </c>
      <c r="U533" s="62">
        <f>IF($AV533=0,0,
IF(Investment_Strategy="DIS",VLOOKUP(Investment_Strategy&amp;"_"&amp;Investment_Strategy_Sub1&amp;"_"&amp;$A533,'Investment Strategies'!$AZ:$BP,15,FALSE),
IF(AND(Investment_Strategy="Lifecycle",Investment_Strategy_Sub1="Non-Standard"),VLOOKUP(Investment_Strategy&amp;"_"&amp;Investment_Strategy_Sub2&amp;"_"&amp;$A533,'Investment Strategies'!$C:$P,12,FALSE),
IF(AND(Investment_Strategy="Lifecycle",Investment_Strategy_Sub1="Standard"),VLOOKUP(Investment_Strategy&amp;"_"&amp;Investment_Strategy_Sub2&amp;"_"&amp;$A533,'Investment Strategies'!$AJ:$AV,11,FALSE),
IF(AND(Investment_Strategy="Autopilot",Investment_Strategy_Sub1="Non-Standard"),VLOOKUP(Investment_Strategy&amp;"_"&amp;Investment_Strategy_Sub2&amp;"_"&amp;$A533,'Investment Strategies'!$T:$AF,11,FALSE),
IF(Investment_Strategy="DIY",DIY_GteeChrge_FuturePremiums,
"Error"))))))</f>
        <v>0</v>
      </c>
      <c r="V533" s="33">
        <f>IF(AV533=0,0,
IF(Investment_Strategy="DIS",VLOOKUP(Investment_Strategy&amp;"_"&amp;Investment_Strategy_Sub1&amp;"_"&amp;$A533,'Investment Strategies'!$AZ:$BP,17,FALSE),
IF(AND(Investment_Strategy="Lifecycle",Investment_Strategy_Sub1="Non-Standard"),VLOOKUP(Investment_Strategy&amp;"_"&amp;Investment_Strategy_Sub2&amp;"_"&amp;$A533,'Investment Strategies'!$C:$P,14,FALSE),
IF(AND(Investment_Strategy="Lifecycle",Investment_Strategy_Sub1="Standard"),VLOOKUP(Investment_Strategy&amp;"_"&amp;Investment_Strategy_Sub2&amp;"_"&amp;$A533,'Investment Strategies'!$AJ:$AV,13,FALSE),
IF(AND(Investment_Strategy="Autopilot",Investment_Strategy_Sub1="Non-Standard"),VLOOKUP(Investment_Strategy&amp;"_"&amp;Investment_Strategy_Sub2&amp;"_"&amp;$A533,'Investment Strategies'!$T:$AF,13,FALSE),
IF(Investment_Strategy="DIY",DIY_ExtManChrge_FuturePremiums,
"Error"))))))</f>
        <v>0</v>
      </c>
      <c r="W533" s="16">
        <f t="shared" si="302"/>
        <v>0</v>
      </c>
      <c r="X533" s="16">
        <f t="shared" si="279"/>
        <v>0</v>
      </c>
      <c r="Y533" s="16">
        <f t="shared" si="280"/>
        <v>0</v>
      </c>
      <c r="Z533" s="31">
        <f t="shared" si="281"/>
        <v>0.02</v>
      </c>
      <c r="AA533" s="16">
        <f t="shared" si="282"/>
        <v>0</v>
      </c>
      <c r="AB533" s="28">
        <f t="shared" si="303"/>
        <v>0</v>
      </c>
      <c r="AC533" s="28">
        <f>(SUM($AC$91:AC532)+SUM($X$91:X532)+X533)*T533*IF(D533=$A$91,SRP_finalmonthfactor,1)</f>
        <v>0</v>
      </c>
      <c r="AD533" s="16">
        <f t="shared" si="283"/>
        <v>0</v>
      </c>
      <c r="AE533" s="106"/>
      <c r="AF533" s="16">
        <f t="shared" si="291"/>
        <v>0</v>
      </c>
      <c r="AG533" s="16">
        <f t="shared" si="292"/>
        <v>0</v>
      </c>
      <c r="AH533" s="16">
        <f t="shared" si="293"/>
        <v>0</v>
      </c>
      <c r="AJ533" s="13">
        <f t="shared" si="309"/>
        <v>0</v>
      </c>
      <c r="AK533" s="13">
        <f t="shared" si="309"/>
        <v>0</v>
      </c>
      <c r="AL533" s="13">
        <f t="shared" si="309"/>
        <v>0</v>
      </c>
      <c r="AM533" s="13">
        <f t="shared" si="309"/>
        <v>0</v>
      </c>
      <c r="AN533" s="13">
        <f t="shared" si="309"/>
        <v>0</v>
      </c>
      <c r="AO533" s="13">
        <f t="shared" si="309"/>
        <v>1</v>
      </c>
      <c r="AP533" s="13">
        <f t="shared" si="309"/>
        <v>1</v>
      </c>
      <c r="AQ533" s="13">
        <f t="shared" si="309"/>
        <v>1</v>
      </c>
      <c r="AR533" s="13">
        <f t="shared" si="309"/>
        <v>0</v>
      </c>
      <c r="AS533" s="13">
        <f t="shared" si="309"/>
        <v>0</v>
      </c>
      <c r="AT533" s="13">
        <f t="shared" si="309"/>
        <v>0</v>
      </c>
      <c r="AU533" s="13">
        <f t="shared" si="309"/>
        <v>1</v>
      </c>
      <c r="AV533" s="13">
        <f t="shared" si="284"/>
        <v>0</v>
      </c>
      <c r="AW533" s="13">
        <f t="shared" si="285"/>
        <v>1</v>
      </c>
      <c r="AY533" s="17">
        <f t="shared" si="286"/>
        <v>443</v>
      </c>
      <c r="AZ533" s="28">
        <f t="shared" si="294"/>
        <v>0</v>
      </c>
      <c r="BA533" s="13">
        <f t="shared" si="287"/>
        <v>0</v>
      </c>
      <c r="BB533" s="13">
        <f t="shared" si="288"/>
        <v>0</v>
      </c>
      <c r="BC533" s="28">
        <f t="shared" si="295"/>
        <v>0</v>
      </c>
      <c r="BD533" s="28">
        <f t="shared" si="296"/>
        <v>0</v>
      </c>
      <c r="BF533" s="248">
        <f t="shared" si="297"/>
        <v>993869.29442638322</v>
      </c>
    </row>
    <row r="534" spans="1:58">
      <c r="A534" s="32">
        <f t="shared" si="298"/>
        <v>-359</v>
      </c>
      <c r="B534" s="32">
        <f t="shared" si="289"/>
        <v>89</v>
      </c>
      <c r="C534" s="32">
        <f t="shared" si="299"/>
        <v>37</v>
      </c>
      <c r="D534" s="32">
        <f t="shared" si="300"/>
        <v>444</v>
      </c>
      <c r="E534" s="74">
        <f>MIN(IF(AV534=0,0,
IF(Investment_Strategy="DIS",VLOOKUP(Investment_Strategy&amp;"_"&amp;Investment_Strategy_Sub1&amp;"_"&amp;$A534,'Investment Strategies'!$AZ:$BP,12,FALSE),
IF(AND(Investment_Strategy="Lifecycle",Investment_Strategy_Sub1="Non-Standard"),VLOOKUP(Investment_Strategy&amp;"_"&amp;Investment_Strategy_Sub2&amp;"_"&amp;$A534,'Investment Strategies'!$C:$P,9,FALSE),
IF(AND(Investment_Strategy="Lifecycle",Investment_Strategy_Sub1="Standard"),VLOOKUP(Investment_Strategy&amp;"_"&amp;Investment_Strategy_Sub2&amp;"_"&amp;$A534,'Investment Strategies'!$AJ:$AV,8,FALSE),
IF(AND(Investment_Strategy="Autopilot",Investment_Strategy_Sub1="Non-Standard"),VLOOKUP(Investment_Strategy&amp;"_"&amp;Investment_Strategy_Sub2&amp;"_"&amp;$A534,'Investment Strategies'!$T:$AF,8,FALSE),
IF(Investment_Strategy ="DIY",DIY_RateOfReturn_CurrentFunds,
"Error")))))),Max_InvReturn)</f>
        <v>0</v>
      </c>
      <c r="F534" s="62">
        <f>IF(AV534=0,0,
IF(Investment_Strategy="DIS",VLOOKUP(Investment_Strategy&amp;"_"&amp;Investment_Strategy_Sub1&amp;"_"&amp;$A534,'Investment Strategies'!$AZ:$BP,15,FALSE),
IF(AND(Investment_Strategy="Lifecycle",Investment_Strategy_Sub1="Non-Standard"),VLOOKUP(Investment_Strategy&amp;"_"&amp;Investment_Strategy_Sub2&amp;"_"&amp;$A534,'Investment Strategies'!$C:$P,12,FALSE),
IF(AND(Investment_Strategy="Lifecycle",Investment_Strategy_Sub1="Standard"),VLOOKUP(Investment_Strategy&amp;"_"&amp;Investment_Strategy_Sub2&amp;"_"&amp;$A534,'Investment Strategies'!$AJ:$AV,11,FALSE),
IF(AND(Investment_Strategy="Autopilot",Investment_Strategy_Sub1="Non-Standard"),VLOOKUP(Investment_Strategy&amp;"_"&amp;Investment_Strategy_Sub2&amp;"_"&amp;$A534,'Investment Strategies'!$T:$AF,11,FALSE),
IF(Investment_Strategy="DIY",DIY_GteeChrge_CurrentFunds,
"Error"))))))</f>
        <v>0</v>
      </c>
      <c r="G534" s="33">
        <f>IF(AV534=0,0,
IF(Investment_Strategy="DIS",VLOOKUP(Investment_Strategy&amp;"_"&amp;Investment_Strategy_Sub1&amp;"_"&amp;$A534,'Investment Strategies'!$AZ:$BP,17,FALSE),
IF(AND(Investment_Strategy="Lifecycle",Investment_Strategy_Sub1="Non-Standard"),VLOOKUP(Investment_Strategy&amp;"_"&amp;Investment_Strategy_Sub2&amp;"_"&amp;$A534,'Investment Strategies'!$C:$P,14,FALSE),
IF(AND(Investment_Strategy="Lifecycle",Investment_Strategy_Sub1="Standard"),VLOOKUP(Investment_Strategy&amp;"_"&amp;Investment_Strategy_Sub2&amp;"_"&amp;$A534,'Investment Strategies'!$AJ:$AV,13,FALSE),
IF(AND(Investment_Strategy="Autopilot",Investment_Strategy_Sub1="Non-Standard"),VLOOKUP(Investment_Strategy&amp;"_"&amp;Investment_Strategy_Sub2&amp;"_"&amp;$A534,'Investment Strategies'!$T:$AF,13,FALSE),
IF(Investment_Strategy="DIY",DIY_ExtManChrge_CurrentFunds,
"Error"))))))</f>
        <v>0</v>
      </c>
      <c r="H534" s="16">
        <f t="shared" si="290"/>
        <v>0</v>
      </c>
      <c r="I534" s="16">
        <f t="shared" si="276"/>
        <v>0</v>
      </c>
      <c r="J534" s="16">
        <f t="shared" si="277"/>
        <v>0</v>
      </c>
      <c r="K534" s="16">
        <f>(Opening_Fund_Value+SUM(K$91:K533))*E534*IF(D534=$A$91,SRP_finalmonthfactor,1)</f>
        <v>0</v>
      </c>
      <c r="L534" s="74">
        <f>MIN(IF($AV534=0,0,
IF(Investment_Strategy="DIS",VLOOKUP(Investment_Strategy&amp;"_"&amp;Investment_Strategy_Sub1&amp;"_"&amp;$A534,'Investment Strategies'!$AZ:$BP,12,FALSE),
IF(AND(Investment_Strategy="Lifecycle",Investment_Strategy_Sub1="Non-Standard"),VLOOKUP(Investment_Strategy&amp;"_"&amp;Investment_Strategy_Sub2&amp;"_"&amp;$A534,'Investment Strategies'!$C:$P,9,FALSE),
IF(AND(Investment_Strategy="Lifecycle",Investment_Strategy_Sub1="Standard"),VLOOKUP(Investment_Strategy&amp;"_"&amp;Investment_Strategy_Sub2&amp;"_"&amp;$A534,'Investment Strategies'!$AJ:$AV,8,FALSE),
IF(AND(Investment_Strategy="Autopilot",Investment_Strategy_Sub1="Non-Standard"),VLOOKUP(Investment_Strategy&amp;"_"&amp;Investment_Strategy_Sub2&amp;"_"&amp;$A534,'Investment Strategies'!$T:$AF,8,FALSE),
IF(Investment_Strategy ="DIY",DIY_RateofReturn_SP,
"Error")))))),Max_InvReturn)</f>
        <v>0</v>
      </c>
      <c r="M534" s="62">
        <f>IF($AV534=0,0,
IF(Investment_Strategy="DIS",VLOOKUP(Investment_Strategy&amp;"_"&amp;Investment_Strategy_Sub1&amp;"_"&amp;$A534,'Investment Strategies'!$AZ:$BP,15,FALSE),
IF(AND(Investment_Strategy="Lifecycle",Investment_Strategy_Sub1="Non-Standard"),VLOOKUP(Investment_Strategy&amp;"_"&amp;Investment_Strategy_Sub2&amp;"_"&amp;$A534,'Investment Strategies'!$C:$P,12,FALSE),
IF(AND(Investment_Strategy="Lifecycle",Investment_Strategy_Sub1="Standard"),VLOOKUP(Investment_Strategy&amp;"_"&amp;Investment_Strategy_Sub2&amp;"_"&amp;$A534,'Investment Strategies'!$AJ:$AV,11,FALSE),
IF(AND(Investment_Strategy="Autopilot",Investment_Strategy_Sub1="Non-Standard"),VLOOKUP(Investment_Strategy&amp;"_"&amp;Investment_Strategy_Sub2&amp;"_"&amp;$A534,'Investment Strategies'!$T:$AF,11,FALSE),
IF(Investment_Strategy="DIY",DIY_GteeChrge_SP,
"Error"))))))</f>
        <v>0</v>
      </c>
      <c r="N534" s="33">
        <f>IF($AV534=0,0,
IF(Investment_Strategy="DIS",VLOOKUP(Investment_Strategy&amp;"_"&amp;Investment_Strategy_Sub1&amp;"_"&amp;$A534,'Investment Strategies'!$AZ:$BP,17,FALSE),
IF(AND(Investment_Strategy="Lifecycle",Investment_Strategy_Sub1="Non-Standard"),VLOOKUP(Investment_Strategy&amp;"_"&amp;Investment_Strategy_Sub2&amp;"_"&amp;$A534,'Investment Strategies'!$C:$P,14,FALSE),
IF(AND(Investment_Strategy="Lifecycle",Investment_Strategy_Sub1="Standard"),VLOOKUP(Investment_Strategy&amp;"_"&amp;Investment_Strategy_Sub2&amp;"_"&amp;$A534,'Investment Strategies'!$AJ:$AV,13,FALSE),
IF(AND(Investment_Strategy="Autopilot",Investment_Strategy_Sub1="Non-Standard"),VLOOKUP(Investment_Strategy&amp;"_"&amp;Investment_Strategy_Sub2&amp;"_"&amp;$A534,'Investment Strategies'!$T:$AF,13,FALSE),
IF(Investment_Strategy="DIY",DIY_ExtManChrge_SP,
"Error"))))))</f>
        <v>0</v>
      </c>
      <c r="O534" s="16">
        <f t="shared" si="301"/>
        <v>0</v>
      </c>
      <c r="Q534" s="16">
        <f t="shared" si="278"/>
        <v>0</v>
      </c>
      <c r="R534" s="16">
        <f t="shared" si="310"/>
        <v>0</v>
      </c>
      <c r="S534" s="16">
        <f>(SRP_SP+SUM(S$91:S533))*L534*IF(D534=$A$91,SRP_finalmonthfactor,1)</f>
        <v>0</v>
      </c>
      <c r="T534" s="74">
        <f>MIN(IF($AV534=0,0,
IF(Investment_Strategy="DIS",VLOOKUP(Investment_Strategy&amp;"_"&amp;Investment_Strategy_Sub1&amp;"_"&amp;$A534,'Investment Strategies'!$AZ:$BP,12,FALSE),
IF(AND(Investment_Strategy="Lifecycle",Investment_Strategy_Sub1="Non-Standard"),VLOOKUP(Investment_Strategy&amp;"_"&amp;Investment_Strategy_Sub2&amp;"_"&amp;$A534,'Investment Strategies'!$C:$P,9,FALSE),
IF(AND(Investment_Strategy="Lifecycle",Investment_Strategy_Sub1="Standard"),VLOOKUP(Investment_Strategy&amp;"_"&amp;Investment_Strategy_Sub2&amp;"_"&amp;$A534,'Investment Strategies'!$AJ:$AV,8,FALSE),
IF(AND(Investment_Strategy="Autopilot",Investment_Strategy_Sub1="Non-Standard"),VLOOKUP(Investment_Strategy&amp;"_"&amp;Investment_Strategy_Sub2&amp;"_"&amp;$A534,'Investment Strategies'!$T:$AF,8,FALSE),
IF(Investment_Strategy ="DIY",DIY_RateOfReturn_FuturePremiums,
"Error")))))),Max_InvReturn)</f>
        <v>0</v>
      </c>
      <c r="U534" s="62">
        <f>IF($AV534=0,0,
IF(Investment_Strategy="DIS",VLOOKUP(Investment_Strategy&amp;"_"&amp;Investment_Strategy_Sub1&amp;"_"&amp;$A534,'Investment Strategies'!$AZ:$BP,15,FALSE),
IF(AND(Investment_Strategy="Lifecycle",Investment_Strategy_Sub1="Non-Standard"),VLOOKUP(Investment_Strategy&amp;"_"&amp;Investment_Strategy_Sub2&amp;"_"&amp;$A534,'Investment Strategies'!$C:$P,12,FALSE),
IF(AND(Investment_Strategy="Lifecycle",Investment_Strategy_Sub1="Standard"),VLOOKUP(Investment_Strategy&amp;"_"&amp;Investment_Strategy_Sub2&amp;"_"&amp;$A534,'Investment Strategies'!$AJ:$AV,11,FALSE),
IF(AND(Investment_Strategy="Autopilot",Investment_Strategy_Sub1="Non-Standard"),VLOOKUP(Investment_Strategy&amp;"_"&amp;Investment_Strategy_Sub2&amp;"_"&amp;$A534,'Investment Strategies'!$T:$AF,11,FALSE),
IF(Investment_Strategy="DIY",DIY_GteeChrge_FuturePremiums,
"Error"))))))</f>
        <v>0</v>
      </c>
      <c r="V534" s="33">
        <f>IF(AV534=0,0,
IF(Investment_Strategy="DIS",VLOOKUP(Investment_Strategy&amp;"_"&amp;Investment_Strategy_Sub1&amp;"_"&amp;$A534,'Investment Strategies'!$AZ:$BP,17,FALSE),
IF(AND(Investment_Strategy="Lifecycle",Investment_Strategy_Sub1="Non-Standard"),VLOOKUP(Investment_Strategy&amp;"_"&amp;Investment_Strategy_Sub2&amp;"_"&amp;$A534,'Investment Strategies'!$C:$P,14,FALSE),
IF(AND(Investment_Strategy="Lifecycle",Investment_Strategy_Sub1="Standard"),VLOOKUP(Investment_Strategy&amp;"_"&amp;Investment_Strategy_Sub2&amp;"_"&amp;$A534,'Investment Strategies'!$AJ:$AV,13,FALSE),
IF(AND(Investment_Strategy="Autopilot",Investment_Strategy_Sub1="Non-Standard"),VLOOKUP(Investment_Strategy&amp;"_"&amp;Investment_Strategy_Sub2&amp;"_"&amp;$A534,'Investment Strategies'!$T:$AF,13,FALSE),
IF(Investment_Strategy="DIY",DIY_ExtManChrge_FuturePremiums,
"Error"))))))</f>
        <v>0</v>
      </c>
      <c r="W534" s="16">
        <f t="shared" si="302"/>
        <v>0</v>
      </c>
      <c r="X534" s="16">
        <f t="shared" si="279"/>
        <v>0</v>
      </c>
      <c r="Y534" s="16">
        <f t="shared" si="280"/>
        <v>0</v>
      </c>
      <c r="Z534" s="31">
        <f t="shared" si="281"/>
        <v>0.02</v>
      </c>
      <c r="AA534" s="16">
        <f t="shared" si="282"/>
        <v>0</v>
      </c>
      <c r="AB534" s="28">
        <f t="shared" si="303"/>
        <v>0</v>
      </c>
      <c r="AC534" s="28">
        <f>(SUM($AC$91:AC533)+SUM($X$91:X533)+X534)*T534*IF(D534=$A$91,SRP_finalmonthfactor,1)</f>
        <v>0</v>
      </c>
      <c r="AD534" s="16">
        <f t="shared" si="283"/>
        <v>0</v>
      </c>
      <c r="AE534" s="106"/>
      <c r="AF534" s="16">
        <f t="shared" si="291"/>
        <v>0</v>
      </c>
      <c r="AG534" s="16">
        <f t="shared" si="292"/>
        <v>0</v>
      </c>
      <c r="AH534" s="16">
        <f t="shared" si="293"/>
        <v>0</v>
      </c>
      <c r="AJ534" s="13">
        <f t="shared" si="309"/>
        <v>0</v>
      </c>
      <c r="AK534" s="13">
        <f t="shared" si="309"/>
        <v>0</v>
      </c>
      <c r="AL534" s="13">
        <f t="shared" si="309"/>
        <v>0</v>
      </c>
      <c r="AM534" s="13">
        <f t="shared" si="309"/>
        <v>0</v>
      </c>
      <c r="AN534" s="13">
        <f t="shared" si="309"/>
        <v>0</v>
      </c>
      <c r="AO534" s="13">
        <f t="shared" si="309"/>
        <v>1</v>
      </c>
      <c r="AP534" s="13">
        <f t="shared" si="309"/>
        <v>1</v>
      </c>
      <c r="AQ534" s="13">
        <f t="shared" si="309"/>
        <v>1</v>
      </c>
      <c r="AR534" s="13">
        <f t="shared" si="309"/>
        <v>0</v>
      </c>
      <c r="AS534" s="13">
        <f t="shared" si="309"/>
        <v>0</v>
      </c>
      <c r="AT534" s="13">
        <f t="shared" si="309"/>
        <v>0</v>
      </c>
      <c r="AU534" s="13">
        <f t="shared" si="309"/>
        <v>1</v>
      </c>
      <c r="AV534" s="13">
        <f t="shared" si="284"/>
        <v>0</v>
      </c>
      <c r="AW534" s="13">
        <f t="shared" si="285"/>
        <v>1</v>
      </c>
      <c r="AY534" s="17">
        <f t="shared" si="286"/>
        <v>444</v>
      </c>
      <c r="AZ534" s="28">
        <f t="shared" si="294"/>
        <v>0</v>
      </c>
      <c r="BA534" s="13">
        <f t="shared" si="287"/>
        <v>0</v>
      </c>
      <c r="BB534" s="13">
        <f t="shared" si="288"/>
        <v>0</v>
      </c>
      <c r="BC534" s="28">
        <f t="shared" si="295"/>
        <v>0</v>
      </c>
      <c r="BD534" s="28">
        <f t="shared" si="296"/>
        <v>0</v>
      </c>
      <c r="BF534" s="248">
        <f t="shared" si="297"/>
        <v>993869.29442638322</v>
      </c>
    </row>
    <row r="535" spans="1:58">
      <c r="A535" s="32">
        <f t="shared" si="298"/>
        <v>-360</v>
      </c>
      <c r="B535" s="32">
        <f t="shared" si="289"/>
        <v>90</v>
      </c>
      <c r="C535" s="32">
        <f t="shared" si="299"/>
        <v>38</v>
      </c>
      <c r="D535" s="32">
        <f t="shared" si="300"/>
        <v>445</v>
      </c>
      <c r="E535" s="74">
        <f>MIN(IF(AV535=0,0,
IF(Investment_Strategy="DIS",VLOOKUP(Investment_Strategy&amp;"_"&amp;Investment_Strategy_Sub1&amp;"_"&amp;$A535,'Investment Strategies'!$AZ:$BP,12,FALSE),
IF(AND(Investment_Strategy="Lifecycle",Investment_Strategy_Sub1="Non-Standard"),VLOOKUP(Investment_Strategy&amp;"_"&amp;Investment_Strategy_Sub2&amp;"_"&amp;$A535,'Investment Strategies'!$C:$P,9,FALSE),
IF(AND(Investment_Strategy="Lifecycle",Investment_Strategy_Sub1="Standard"),VLOOKUP(Investment_Strategy&amp;"_"&amp;Investment_Strategy_Sub2&amp;"_"&amp;$A535,'Investment Strategies'!$AJ:$AV,8,FALSE),
IF(AND(Investment_Strategy="Autopilot",Investment_Strategy_Sub1="Non-Standard"),VLOOKUP(Investment_Strategy&amp;"_"&amp;Investment_Strategy_Sub2&amp;"_"&amp;$A535,'Investment Strategies'!$T:$AF,8,FALSE),
IF(Investment_Strategy ="DIY",DIY_RateOfReturn_CurrentFunds,
"Error")))))),Max_InvReturn)</f>
        <v>0</v>
      </c>
      <c r="F535" s="62">
        <f>IF(AV535=0,0,
IF(Investment_Strategy="DIS",VLOOKUP(Investment_Strategy&amp;"_"&amp;Investment_Strategy_Sub1&amp;"_"&amp;$A535,'Investment Strategies'!$AZ:$BP,15,FALSE),
IF(AND(Investment_Strategy="Lifecycle",Investment_Strategy_Sub1="Non-Standard"),VLOOKUP(Investment_Strategy&amp;"_"&amp;Investment_Strategy_Sub2&amp;"_"&amp;$A535,'Investment Strategies'!$C:$P,12,FALSE),
IF(AND(Investment_Strategy="Lifecycle",Investment_Strategy_Sub1="Standard"),VLOOKUP(Investment_Strategy&amp;"_"&amp;Investment_Strategy_Sub2&amp;"_"&amp;$A535,'Investment Strategies'!$AJ:$AV,11,FALSE),
IF(AND(Investment_Strategy="Autopilot",Investment_Strategy_Sub1="Non-Standard"),VLOOKUP(Investment_Strategy&amp;"_"&amp;Investment_Strategy_Sub2&amp;"_"&amp;$A535,'Investment Strategies'!$T:$AF,11,FALSE),
IF(Investment_Strategy="DIY",DIY_GteeChrge_CurrentFunds,
"Error"))))))</f>
        <v>0</v>
      </c>
      <c r="G535" s="33">
        <f>IF(AV535=0,0,
IF(Investment_Strategy="DIS",VLOOKUP(Investment_Strategy&amp;"_"&amp;Investment_Strategy_Sub1&amp;"_"&amp;$A535,'Investment Strategies'!$AZ:$BP,17,FALSE),
IF(AND(Investment_Strategy="Lifecycle",Investment_Strategy_Sub1="Non-Standard"),VLOOKUP(Investment_Strategy&amp;"_"&amp;Investment_Strategy_Sub2&amp;"_"&amp;$A535,'Investment Strategies'!$C:$P,14,FALSE),
IF(AND(Investment_Strategy="Lifecycle",Investment_Strategy_Sub1="Standard"),VLOOKUP(Investment_Strategy&amp;"_"&amp;Investment_Strategy_Sub2&amp;"_"&amp;$A535,'Investment Strategies'!$AJ:$AV,13,FALSE),
IF(AND(Investment_Strategy="Autopilot",Investment_Strategy_Sub1="Non-Standard"),VLOOKUP(Investment_Strategy&amp;"_"&amp;Investment_Strategy_Sub2&amp;"_"&amp;$A535,'Investment Strategies'!$T:$AF,13,FALSE),
IF(Investment_Strategy="DIY",DIY_ExtManChrge_CurrentFunds,
"Error"))))))</f>
        <v>0</v>
      </c>
      <c r="H535" s="16">
        <f t="shared" si="290"/>
        <v>0</v>
      </c>
      <c r="I535" s="16">
        <f t="shared" si="276"/>
        <v>0</v>
      </c>
      <c r="J535" s="16">
        <f t="shared" si="277"/>
        <v>0</v>
      </c>
      <c r="K535" s="16">
        <f>(Opening_Fund_Value+SUM(K$91:K534))*E535*IF(D535=$A$91,SRP_finalmonthfactor,1)</f>
        <v>0</v>
      </c>
      <c r="L535" s="74">
        <f>MIN(IF($AV535=0,0,
IF(Investment_Strategy="DIS",VLOOKUP(Investment_Strategy&amp;"_"&amp;Investment_Strategy_Sub1&amp;"_"&amp;$A535,'Investment Strategies'!$AZ:$BP,12,FALSE),
IF(AND(Investment_Strategy="Lifecycle",Investment_Strategy_Sub1="Non-Standard"),VLOOKUP(Investment_Strategy&amp;"_"&amp;Investment_Strategy_Sub2&amp;"_"&amp;$A535,'Investment Strategies'!$C:$P,9,FALSE),
IF(AND(Investment_Strategy="Lifecycle",Investment_Strategy_Sub1="Standard"),VLOOKUP(Investment_Strategy&amp;"_"&amp;Investment_Strategy_Sub2&amp;"_"&amp;$A535,'Investment Strategies'!$AJ:$AV,8,FALSE),
IF(AND(Investment_Strategy="Autopilot",Investment_Strategy_Sub1="Non-Standard"),VLOOKUP(Investment_Strategy&amp;"_"&amp;Investment_Strategy_Sub2&amp;"_"&amp;$A535,'Investment Strategies'!$T:$AF,8,FALSE),
IF(Investment_Strategy ="DIY",DIY_RateofReturn_SP,
"Error")))))),Max_InvReturn)</f>
        <v>0</v>
      </c>
      <c r="M535" s="62">
        <f>IF($AV535=0,0,
IF(Investment_Strategy="DIS",VLOOKUP(Investment_Strategy&amp;"_"&amp;Investment_Strategy_Sub1&amp;"_"&amp;$A535,'Investment Strategies'!$AZ:$BP,15,FALSE),
IF(AND(Investment_Strategy="Lifecycle",Investment_Strategy_Sub1="Non-Standard"),VLOOKUP(Investment_Strategy&amp;"_"&amp;Investment_Strategy_Sub2&amp;"_"&amp;$A535,'Investment Strategies'!$C:$P,12,FALSE),
IF(AND(Investment_Strategy="Lifecycle",Investment_Strategy_Sub1="Standard"),VLOOKUP(Investment_Strategy&amp;"_"&amp;Investment_Strategy_Sub2&amp;"_"&amp;$A535,'Investment Strategies'!$AJ:$AV,11,FALSE),
IF(AND(Investment_Strategy="Autopilot",Investment_Strategy_Sub1="Non-Standard"),VLOOKUP(Investment_Strategy&amp;"_"&amp;Investment_Strategy_Sub2&amp;"_"&amp;$A535,'Investment Strategies'!$T:$AF,11,FALSE),
IF(Investment_Strategy="DIY",DIY_GteeChrge_SP,
"Error"))))))</f>
        <v>0</v>
      </c>
      <c r="N535" s="33">
        <f>IF($AV535=0,0,
IF(Investment_Strategy="DIS",VLOOKUP(Investment_Strategy&amp;"_"&amp;Investment_Strategy_Sub1&amp;"_"&amp;$A535,'Investment Strategies'!$AZ:$BP,17,FALSE),
IF(AND(Investment_Strategy="Lifecycle",Investment_Strategy_Sub1="Non-Standard"),VLOOKUP(Investment_Strategy&amp;"_"&amp;Investment_Strategy_Sub2&amp;"_"&amp;$A535,'Investment Strategies'!$C:$P,14,FALSE),
IF(AND(Investment_Strategy="Lifecycle",Investment_Strategy_Sub1="Standard"),VLOOKUP(Investment_Strategy&amp;"_"&amp;Investment_Strategy_Sub2&amp;"_"&amp;$A535,'Investment Strategies'!$AJ:$AV,13,FALSE),
IF(AND(Investment_Strategy="Autopilot",Investment_Strategy_Sub1="Non-Standard"),VLOOKUP(Investment_Strategy&amp;"_"&amp;Investment_Strategy_Sub2&amp;"_"&amp;$A535,'Investment Strategies'!$T:$AF,13,FALSE),
IF(Investment_Strategy="DIY",DIY_ExtManChrge_SP,
"Error"))))))</f>
        <v>0</v>
      </c>
      <c r="O535" s="16">
        <f t="shared" si="301"/>
        <v>0</v>
      </c>
      <c r="Q535" s="16">
        <f t="shared" si="278"/>
        <v>0</v>
      </c>
      <c r="R535" s="16">
        <f t="shared" si="310"/>
        <v>0</v>
      </c>
      <c r="S535" s="16">
        <f>(SRP_SP+SUM(S$91:S534))*L535*IF(D535=$A$91,SRP_finalmonthfactor,1)</f>
        <v>0</v>
      </c>
      <c r="T535" s="74">
        <f>MIN(IF($AV535=0,0,
IF(Investment_Strategy="DIS",VLOOKUP(Investment_Strategy&amp;"_"&amp;Investment_Strategy_Sub1&amp;"_"&amp;$A535,'Investment Strategies'!$AZ:$BP,12,FALSE),
IF(AND(Investment_Strategy="Lifecycle",Investment_Strategy_Sub1="Non-Standard"),VLOOKUP(Investment_Strategy&amp;"_"&amp;Investment_Strategy_Sub2&amp;"_"&amp;$A535,'Investment Strategies'!$C:$P,9,FALSE),
IF(AND(Investment_Strategy="Lifecycle",Investment_Strategy_Sub1="Standard"),VLOOKUP(Investment_Strategy&amp;"_"&amp;Investment_Strategy_Sub2&amp;"_"&amp;$A535,'Investment Strategies'!$AJ:$AV,8,FALSE),
IF(AND(Investment_Strategy="Autopilot",Investment_Strategy_Sub1="Non-Standard"),VLOOKUP(Investment_Strategy&amp;"_"&amp;Investment_Strategy_Sub2&amp;"_"&amp;$A535,'Investment Strategies'!$T:$AF,8,FALSE),
IF(Investment_Strategy ="DIY",DIY_RateOfReturn_FuturePremiums,
"Error")))))),Max_InvReturn)</f>
        <v>0</v>
      </c>
      <c r="U535" s="62">
        <f>IF($AV535=0,0,
IF(Investment_Strategy="DIS",VLOOKUP(Investment_Strategy&amp;"_"&amp;Investment_Strategy_Sub1&amp;"_"&amp;$A535,'Investment Strategies'!$AZ:$BP,15,FALSE),
IF(AND(Investment_Strategy="Lifecycle",Investment_Strategy_Sub1="Non-Standard"),VLOOKUP(Investment_Strategy&amp;"_"&amp;Investment_Strategy_Sub2&amp;"_"&amp;$A535,'Investment Strategies'!$C:$P,12,FALSE),
IF(AND(Investment_Strategy="Lifecycle",Investment_Strategy_Sub1="Standard"),VLOOKUP(Investment_Strategy&amp;"_"&amp;Investment_Strategy_Sub2&amp;"_"&amp;$A535,'Investment Strategies'!$AJ:$AV,11,FALSE),
IF(AND(Investment_Strategy="Autopilot",Investment_Strategy_Sub1="Non-Standard"),VLOOKUP(Investment_Strategy&amp;"_"&amp;Investment_Strategy_Sub2&amp;"_"&amp;$A535,'Investment Strategies'!$T:$AF,11,FALSE),
IF(Investment_Strategy="DIY",DIY_GteeChrge_FuturePremiums,
"Error"))))))</f>
        <v>0</v>
      </c>
      <c r="V535" s="33">
        <f>IF(AV535=0,0,
IF(Investment_Strategy="DIS",VLOOKUP(Investment_Strategy&amp;"_"&amp;Investment_Strategy_Sub1&amp;"_"&amp;$A535,'Investment Strategies'!$AZ:$BP,17,FALSE),
IF(AND(Investment_Strategy="Lifecycle",Investment_Strategy_Sub1="Non-Standard"),VLOOKUP(Investment_Strategy&amp;"_"&amp;Investment_Strategy_Sub2&amp;"_"&amp;$A535,'Investment Strategies'!$C:$P,14,FALSE),
IF(AND(Investment_Strategy="Lifecycle",Investment_Strategy_Sub1="Standard"),VLOOKUP(Investment_Strategy&amp;"_"&amp;Investment_Strategy_Sub2&amp;"_"&amp;$A535,'Investment Strategies'!$AJ:$AV,13,FALSE),
IF(AND(Investment_Strategy="Autopilot",Investment_Strategy_Sub1="Non-Standard"),VLOOKUP(Investment_Strategy&amp;"_"&amp;Investment_Strategy_Sub2&amp;"_"&amp;$A535,'Investment Strategies'!$T:$AF,13,FALSE),
IF(Investment_Strategy="DIY",DIY_ExtManChrge_FuturePremiums,
"Error"))))))</f>
        <v>0</v>
      </c>
      <c r="W535" s="16">
        <f t="shared" si="302"/>
        <v>0</v>
      </c>
      <c r="X535" s="16">
        <f t="shared" si="279"/>
        <v>0</v>
      </c>
      <c r="Y535" s="16">
        <f t="shared" si="280"/>
        <v>0</v>
      </c>
      <c r="Z535" s="31">
        <f t="shared" si="281"/>
        <v>0.02</v>
      </c>
      <c r="AA535" s="16">
        <f t="shared" si="282"/>
        <v>0</v>
      </c>
      <c r="AB535" s="28">
        <f t="shared" si="303"/>
        <v>0</v>
      </c>
      <c r="AC535" s="28">
        <f>(SUM($AC$91:AC534)+SUM($X$91:X534)+X535)*T535*IF(D535=$A$91,SRP_finalmonthfactor,1)</f>
        <v>0</v>
      </c>
      <c r="AD535" s="16">
        <f t="shared" si="283"/>
        <v>0</v>
      </c>
      <c r="AE535" s="106"/>
      <c r="AF535" s="16">
        <f t="shared" si="291"/>
        <v>0</v>
      </c>
      <c r="AG535" s="16">
        <f t="shared" si="292"/>
        <v>0</v>
      </c>
      <c r="AH535" s="16">
        <f t="shared" si="293"/>
        <v>0</v>
      </c>
      <c r="AJ535" s="13">
        <f t="shared" si="309"/>
        <v>0</v>
      </c>
      <c r="AK535" s="13">
        <f t="shared" si="309"/>
        <v>0</v>
      </c>
      <c r="AL535" s="13">
        <f t="shared" si="309"/>
        <v>0</v>
      </c>
      <c r="AM535" s="13">
        <f t="shared" si="309"/>
        <v>0</v>
      </c>
      <c r="AN535" s="13">
        <f t="shared" si="309"/>
        <v>0</v>
      </c>
      <c r="AO535" s="13">
        <f t="shared" si="309"/>
        <v>1</v>
      </c>
      <c r="AP535" s="13">
        <f t="shared" si="309"/>
        <v>1</v>
      </c>
      <c r="AQ535" s="13">
        <f t="shared" si="309"/>
        <v>1</v>
      </c>
      <c r="AR535" s="13">
        <f t="shared" si="309"/>
        <v>0</v>
      </c>
      <c r="AS535" s="13">
        <f t="shared" si="309"/>
        <v>0</v>
      </c>
      <c r="AT535" s="13">
        <f t="shared" si="309"/>
        <v>0</v>
      </c>
      <c r="AU535" s="13">
        <f t="shared" si="309"/>
        <v>1</v>
      </c>
      <c r="AV535" s="13">
        <f t="shared" si="284"/>
        <v>0</v>
      </c>
      <c r="AW535" s="13">
        <f t="shared" si="285"/>
        <v>1</v>
      </c>
      <c r="AY535" s="17">
        <f t="shared" si="286"/>
        <v>445</v>
      </c>
      <c r="AZ535" s="28">
        <f t="shared" si="294"/>
        <v>0</v>
      </c>
      <c r="BA535" s="13">
        <f t="shared" si="287"/>
        <v>0</v>
      </c>
      <c r="BB535" s="13">
        <f t="shared" si="288"/>
        <v>0</v>
      </c>
      <c r="BC535" s="28">
        <f t="shared" si="295"/>
        <v>0</v>
      </c>
      <c r="BD535" s="28">
        <f t="shared" si="296"/>
        <v>0</v>
      </c>
      <c r="BF535" s="248">
        <f t="shared" si="297"/>
        <v>993869.29442638322</v>
      </c>
    </row>
    <row r="536" spans="1:58">
      <c r="A536" s="32">
        <f t="shared" si="298"/>
        <v>-361</v>
      </c>
      <c r="B536" s="32">
        <f t="shared" si="289"/>
        <v>90</v>
      </c>
      <c r="C536" s="32">
        <f t="shared" si="299"/>
        <v>38</v>
      </c>
      <c r="D536" s="32">
        <f t="shared" si="300"/>
        <v>446</v>
      </c>
      <c r="E536" s="74">
        <f>MIN(IF(AV536=0,0,
IF(Investment_Strategy="DIS",VLOOKUP(Investment_Strategy&amp;"_"&amp;Investment_Strategy_Sub1&amp;"_"&amp;$A536,'Investment Strategies'!$AZ:$BP,12,FALSE),
IF(AND(Investment_Strategy="Lifecycle",Investment_Strategy_Sub1="Non-Standard"),VLOOKUP(Investment_Strategy&amp;"_"&amp;Investment_Strategy_Sub2&amp;"_"&amp;$A536,'Investment Strategies'!$C:$P,9,FALSE),
IF(AND(Investment_Strategy="Lifecycle",Investment_Strategy_Sub1="Standard"),VLOOKUP(Investment_Strategy&amp;"_"&amp;Investment_Strategy_Sub2&amp;"_"&amp;$A536,'Investment Strategies'!$AJ:$AV,8,FALSE),
IF(AND(Investment_Strategy="Autopilot",Investment_Strategy_Sub1="Non-Standard"),VLOOKUP(Investment_Strategy&amp;"_"&amp;Investment_Strategy_Sub2&amp;"_"&amp;$A536,'Investment Strategies'!$T:$AF,8,FALSE),
IF(Investment_Strategy ="DIY",DIY_RateOfReturn_CurrentFunds,
"Error")))))),Max_InvReturn)</f>
        <v>0</v>
      </c>
      <c r="F536" s="62">
        <f>IF(AV536=0,0,
IF(Investment_Strategy="DIS",VLOOKUP(Investment_Strategy&amp;"_"&amp;Investment_Strategy_Sub1&amp;"_"&amp;$A536,'Investment Strategies'!$AZ:$BP,15,FALSE),
IF(AND(Investment_Strategy="Lifecycle",Investment_Strategy_Sub1="Non-Standard"),VLOOKUP(Investment_Strategy&amp;"_"&amp;Investment_Strategy_Sub2&amp;"_"&amp;$A536,'Investment Strategies'!$C:$P,12,FALSE),
IF(AND(Investment_Strategy="Lifecycle",Investment_Strategy_Sub1="Standard"),VLOOKUP(Investment_Strategy&amp;"_"&amp;Investment_Strategy_Sub2&amp;"_"&amp;$A536,'Investment Strategies'!$AJ:$AV,11,FALSE),
IF(AND(Investment_Strategy="Autopilot",Investment_Strategy_Sub1="Non-Standard"),VLOOKUP(Investment_Strategy&amp;"_"&amp;Investment_Strategy_Sub2&amp;"_"&amp;$A536,'Investment Strategies'!$T:$AF,11,FALSE),
IF(Investment_Strategy="DIY",DIY_GteeChrge_CurrentFunds,
"Error"))))))</f>
        <v>0</v>
      </c>
      <c r="G536" s="33">
        <f>IF(AV536=0,0,
IF(Investment_Strategy="DIS",VLOOKUP(Investment_Strategy&amp;"_"&amp;Investment_Strategy_Sub1&amp;"_"&amp;$A536,'Investment Strategies'!$AZ:$BP,17,FALSE),
IF(AND(Investment_Strategy="Lifecycle",Investment_Strategy_Sub1="Non-Standard"),VLOOKUP(Investment_Strategy&amp;"_"&amp;Investment_Strategy_Sub2&amp;"_"&amp;$A536,'Investment Strategies'!$C:$P,14,FALSE),
IF(AND(Investment_Strategy="Lifecycle",Investment_Strategy_Sub1="Standard"),VLOOKUP(Investment_Strategy&amp;"_"&amp;Investment_Strategy_Sub2&amp;"_"&amp;$A536,'Investment Strategies'!$AJ:$AV,13,FALSE),
IF(AND(Investment_Strategy="Autopilot",Investment_Strategy_Sub1="Non-Standard"),VLOOKUP(Investment_Strategy&amp;"_"&amp;Investment_Strategy_Sub2&amp;"_"&amp;$A536,'Investment Strategies'!$T:$AF,13,FALSE),
IF(Investment_Strategy="DIY",DIY_ExtManChrge_CurrentFunds,
"Error"))))))</f>
        <v>0</v>
      </c>
      <c r="H536" s="16">
        <f t="shared" si="290"/>
        <v>0</v>
      </c>
      <c r="I536" s="16">
        <f t="shared" si="276"/>
        <v>0</v>
      </c>
      <c r="J536" s="16">
        <f t="shared" si="277"/>
        <v>0</v>
      </c>
      <c r="K536" s="16">
        <f>(Opening_Fund_Value+SUM(K$91:K535))*E536*IF(D536=$A$91,SRP_finalmonthfactor,1)</f>
        <v>0</v>
      </c>
      <c r="L536" s="74">
        <f>MIN(IF($AV536=0,0,
IF(Investment_Strategy="DIS",VLOOKUP(Investment_Strategy&amp;"_"&amp;Investment_Strategy_Sub1&amp;"_"&amp;$A536,'Investment Strategies'!$AZ:$BP,12,FALSE),
IF(AND(Investment_Strategy="Lifecycle",Investment_Strategy_Sub1="Non-Standard"),VLOOKUP(Investment_Strategy&amp;"_"&amp;Investment_Strategy_Sub2&amp;"_"&amp;$A536,'Investment Strategies'!$C:$P,9,FALSE),
IF(AND(Investment_Strategy="Lifecycle",Investment_Strategy_Sub1="Standard"),VLOOKUP(Investment_Strategy&amp;"_"&amp;Investment_Strategy_Sub2&amp;"_"&amp;$A536,'Investment Strategies'!$AJ:$AV,8,FALSE),
IF(AND(Investment_Strategy="Autopilot",Investment_Strategy_Sub1="Non-Standard"),VLOOKUP(Investment_Strategy&amp;"_"&amp;Investment_Strategy_Sub2&amp;"_"&amp;$A536,'Investment Strategies'!$T:$AF,8,FALSE),
IF(Investment_Strategy ="DIY",DIY_RateofReturn_SP,
"Error")))))),Max_InvReturn)</f>
        <v>0</v>
      </c>
      <c r="M536" s="62">
        <f>IF($AV536=0,0,
IF(Investment_Strategy="DIS",VLOOKUP(Investment_Strategy&amp;"_"&amp;Investment_Strategy_Sub1&amp;"_"&amp;$A536,'Investment Strategies'!$AZ:$BP,15,FALSE),
IF(AND(Investment_Strategy="Lifecycle",Investment_Strategy_Sub1="Non-Standard"),VLOOKUP(Investment_Strategy&amp;"_"&amp;Investment_Strategy_Sub2&amp;"_"&amp;$A536,'Investment Strategies'!$C:$P,12,FALSE),
IF(AND(Investment_Strategy="Lifecycle",Investment_Strategy_Sub1="Standard"),VLOOKUP(Investment_Strategy&amp;"_"&amp;Investment_Strategy_Sub2&amp;"_"&amp;$A536,'Investment Strategies'!$AJ:$AV,11,FALSE),
IF(AND(Investment_Strategy="Autopilot",Investment_Strategy_Sub1="Non-Standard"),VLOOKUP(Investment_Strategy&amp;"_"&amp;Investment_Strategy_Sub2&amp;"_"&amp;$A536,'Investment Strategies'!$T:$AF,11,FALSE),
IF(Investment_Strategy="DIY",DIY_GteeChrge_SP,
"Error"))))))</f>
        <v>0</v>
      </c>
      <c r="N536" s="33">
        <f>IF($AV536=0,0,
IF(Investment_Strategy="DIS",VLOOKUP(Investment_Strategy&amp;"_"&amp;Investment_Strategy_Sub1&amp;"_"&amp;$A536,'Investment Strategies'!$AZ:$BP,17,FALSE),
IF(AND(Investment_Strategy="Lifecycle",Investment_Strategy_Sub1="Non-Standard"),VLOOKUP(Investment_Strategy&amp;"_"&amp;Investment_Strategy_Sub2&amp;"_"&amp;$A536,'Investment Strategies'!$C:$P,14,FALSE),
IF(AND(Investment_Strategy="Lifecycle",Investment_Strategy_Sub1="Standard"),VLOOKUP(Investment_Strategy&amp;"_"&amp;Investment_Strategy_Sub2&amp;"_"&amp;$A536,'Investment Strategies'!$AJ:$AV,13,FALSE),
IF(AND(Investment_Strategy="Autopilot",Investment_Strategy_Sub1="Non-Standard"),VLOOKUP(Investment_Strategy&amp;"_"&amp;Investment_Strategy_Sub2&amp;"_"&amp;$A536,'Investment Strategies'!$T:$AF,13,FALSE),
IF(Investment_Strategy="DIY",DIY_ExtManChrge_SP,
"Error"))))))</f>
        <v>0</v>
      </c>
      <c r="O536" s="16">
        <f t="shared" si="301"/>
        <v>0</v>
      </c>
      <c r="Q536" s="16">
        <f t="shared" si="278"/>
        <v>0</v>
      </c>
      <c r="R536" s="16">
        <f t="shared" si="310"/>
        <v>0</v>
      </c>
      <c r="S536" s="16">
        <f>(SRP_SP+SUM(S$91:S535))*L536*IF(D536=$A$91,SRP_finalmonthfactor,1)</f>
        <v>0</v>
      </c>
      <c r="T536" s="74">
        <f>MIN(IF($AV536=0,0,
IF(Investment_Strategy="DIS",VLOOKUP(Investment_Strategy&amp;"_"&amp;Investment_Strategy_Sub1&amp;"_"&amp;$A536,'Investment Strategies'!$AZ:$BP,12,FALSE),
IF(AND(Investment_Strategy="Lifecycle",Investment_Strategy_Sub1="Non-Standard"),VLOOKUP(Investment_Strategy&amp;"_"&amp;Investment_Strategy_Sub2&amp;"_"&amp;$A536,'Investment Strategies'!$C:$P,9,FALSE),
IF(AND(Investment_Strategy="Lifecycle",Investment_Strategy_Sub1="Standard"),VLOOKUP(Investment_Strategy&amp;"_"&amp;Investment_Strategy_Sub2&amp;"_"&amp;$A536,'Investment Strategies'!$AJ:$AV,8,FALSE),
IF(AND(Investment_Strategy="Autopilot",Investment_Strategy_Sub1="Non-Standard"),VLOOKUP(Investment_Strategy&amp;"_"&amp;Investment_Strategy_Sub2&amp;"_"&amp;$A536,'Investment Strategies'!$T:$AF,8,FALSE),
IF(Investment_Strategy ="DIY",DIY_RateOfReturn_FuturePremiums,
"Error")))))),Max_InvReturn)</f>
        <v>0</v>
      </c>
      <c r="U536" s="62">
        <f>IF($AV536=0,0,
IF(Investment_Strategy="DIS",VLOOKUP(Investment_Strategy&amp;"_"&amp;Investment_Strategy_Sub1&amp;"_"&amp;$A536,'Investment Strategies'!$AZ:$BP,15,FALSE),
IF(AND(Investment_Strategy="Lifecycle",Investment_Strategy_Sub1="Non-Standard"),VLOOKUP(Investment_Strategy&amp;"_"&amp;Investment_Strategy_Sub2&amp;"_"&amp;$A536,'Investment Strategies'!$C:$P,12,FALSE),
IF(AND(Investment_Strategy="Lifecycle",Investment_Strategy_Sub1="Standard"),VLOOKUP(Investment_Strategy&amp;"_"&amp;Investment_Strategy_Sub2&amp;"_"&amp;$A536,'Investment Strategies'!$AJ:$AV,11,FALSE),
IF(AND(Investment_Strategy="Autopilot",Investment_Strategy_Sub1="Non-Standard"),VLOOKUP(Investment_Strategy&amp;"_"&amp;Investment_Strategy_Sub2&amp;"_"&amp;$A536,'Investment Strategies'!$T:$AF,11,FALSE),
IF(Investment_Strategy="DIY",DIY_GteeChrge_FuturePremiums,
"Error"))))))</f>
        <v>0</v>
      </c>
      <c r="V536" s="33">
        <f>IF(AV536=0,0,
IF(Investment_Strategy="DIS",VLOOKUP(Investment_Strategy&amp;"_"&amp;Investment_Strategy_Sub1&amp;"_"&amp;$A536,'Investment Strategies'!$AZ:$BP,17,FALSE),
IF(AND(Investment_Strategy="Lifecycle",Investment_Strategy_Sub1="Non-Standard"),VLOOKUP(Investment_Strategy&amp;"_"&amp;Investment_Strategy_Sub2&amp;"_"&amp;$A536,'Investment Strategies'!$C:$P,14,FALSE),
IF(AND(Investment_Strategy="Lifecycle",Investment_Strategy_Sub1="Standard"),VLOOKUP(Investment_Strategy&amp;"_"&amp;Investment_Strategy_Sub2&amp;"_"&amp;$A536,'Investment Strategies'!$AJ:$AV,13,FALSE),
IF(AND(Investment_Strategy="Autopilot",Investment_Strategy_Sub1="Non-Standard"),VLOOKUP(Investment_Strategy&amp;"_"&amp;Investment_Strategy_Sub2&amp;"_"&amp;$A536,'Investment Strategies'!$T:$AF,13,FALSE),
IF(Investment_Strategy="DIY",DIY_ExtManChrge_FuturePremiums,
"Error"))))))</f>
        <v>0</v>
      </c>
      <c r="W536" s="16">
        <f t="shared" si="302"/>
        <v>0</v>
      </c>
      <c r="X536" s="16">
        <f t="shared" si="279"/>
        <v>0</v>
      </c>
      <c r="Y536" s="16">
        <f t="shared" si="280"/>
        <v>0</v>
      </c>
      <c r="Z536" s="31">
        <f t="shared" si="281"/>
        <v>0.02</v>
      </c>
      <c r="AA536" s="16">
        <f t="shared" si="282"/>
        <v>0</v>
      </c>
      <c r="AB536" s="28">
        <f t="shared" si="303"/>
        <v>0</v>
      </c>
      <c r="AC536" s="28">
        <f>(SUM($AC$91:AC535)+SUM($X$91:X535)+X536)*T536*IF(D536=$A$91,SRP_finalmonthfactor,1)</f>
        <v>0</v>
      </c>
      <c r="AD536" s="16">
        <f t="shared" si="283"/>
        <v>0</v>
      </c>
      <c r="AE536" s="106"/>
      <c r="AF536" s="16">
        <f t="shared" si="291"/>
        <v>0</v>
      </c>
      <c r="AG536" s="16">
        <f t="shared" si="292"/>
        <v>0</v>
      </c>
      <c r="AH536" s="16">
        <f t="shared" si="293"/>
        <v>0</v>
      </c>
      <c r="AJ536" s="13">
        <f t="shared" si="309"/>
        <v>0</v>
      </c>
      <c r="AK536" s="13">
        <f t="shared" si="309"/>
        <v>0</v>
      </c>
      <c r="AL536" s="13">
        <f t="shared" si="309"/>
        <v>0</v>
      </c>
      <c r="AM536" s="13">
        <f t="shared" si="309"/>
        <v>0</v>
      </c>
      <c r="AN536" s="13">
        <f t="shared" si="309"/>
        <v>0</v>
      </c>
      <c r="AO536" s="13">
        <f t="shared" si="309"/>
        <v>1</v>
      </c>
      <c r="AP536" s="13">
        <f t="shared" si="309"/>
        <v>1</v>
      </c>
      <c r="AQ536" s="13">
        <f t="shared" si="309"/>
        <v>1</v>
      </c>
      <c r="AR536" s="13">
        <f t="shared" si="309"/>
        <v>0</v>
      </c>
      <c r="AS536" s="13">
        <f t="shared" si="309"/>
        <v>0</v>
      </c>
      <c r="AT536" s="13">
        <f t="shared" si="309"/>
        <v>0</v>
      </c>
      <c r="AU536" s="13">
        <f t="shared" si="309"/>
        <v>1</v>
      </c>
      <c r="AV536" s="13">
        <f t="shared" si="284"/>
        <v>0</v>
      </c>
      <c r="AW536" s="13">
        <f t="shared" si="285"/>
        <v>1</v>
      </c>
      <c r="AY536" s="17">
        <f t="shared" si="286"/>
        <v>446</v>
      </c>
      <c r="AZ536" s="28">
        <f t="shared" si="294"/>
        <v>0</v>
      </c>
      <c r="BA536" s="13">
        <f t="shared" si="287"/>
        <v>0</v>
      </c>
      <c r="BB536" s="13">
        <f t="shared" si="288"/>
        <v>0</v>
      </c>
      <c r="BC536" s="28">
        <f t="shared" si="295"/>
        <v>0</v>
      </c>
      <c r="BD536" s="28">
        <f t="shared" si="296"/>
        <v>0</v>
      </c>
      <c r="BF536" s="248">
        <f t="shared" si="297"/>
        <v>993869.29442638322</v>
      </c>
    </row>
    <row r="537" spans="1:58">
      <c r="A537" s="32">
        <f t="shared" si="298"/>
        <v>-362</v>
      </c>
      <c r="B537" s="32">
        <f t="shared" si="289"/>
        <v>90</v>
      </c>
      <c r="C537" s="32">
        <f t="shared" si="299"/>
        <v>38</v>
      </c>
      <c r="D537" s="32">
        <f t="shared" si="300"/>
        <v>447</v>
      </c>
      <c r="E537" s="74">
        <f>MIN(IF(AV537=0,0,
IF(Investment_Strategy="DIS",VLOOKUP(Investment_Strategy&amp;"_"&amp;Investment_Strategy_Sub1&amp;"_"&amp;$A537,'Investment Strategies'!$AZ:$BP,12,FALSE),
IF(AND(Investment_Strategy="Lifecycle",Investment_Strategy_Sub1="Non-Standard"),VLOOKUP(Investment_Strategy&amp;"_"&amp;Investment_Strategy_Sub2&amp;"_"&amp;$A537,'Investment Strategies'!$C:$P,9,FALSE),
IF(AND(Investment_Strategy="Lifecycle",Investment_Strategy_Sub1="Standard"),VLOOKUP(Investment_Strategy&amp;"_"&amp;Investment_Strategy_Sub2&amp;"_"&amp;$A537,'Investment Strategies'!$AJ:$AV,8,FALSE),
IF(AND(Investment_Strategy="Autopilot",Investment_Strategy_Sub1="Non-Standard"),VLOOKUP(Investment_Strategy&amp;"_"&amp;Investment_Strategy_Sub2&amp;"_"&amp;$A537,'Investment Strategies'!$T:$AF,8,FALSE),
IF(Investment_Strategy ="DIY",DIY_RateOfReturn_CurrentFunds,
"Error")))))),Max_InvReturn)</f>
        <v>0</v>
      </c>
      <c r="F537" s="62">
        <f>IF(AV537=0,0,
IF(Investment_Strategy="DIS",VLOOKUP(Investment_Strategy&amp;"_"&amp;Investment_Strategy_Sub1&amp;"_"&amp;$A537,'Investment Strategies'!$AZ:$BP,15,FALSE),
IF(AND(Investment_Strategy="Lifecycle",Investment_Strategy_Sub1="Non-Standard"),VLOOKUP(Investment_Strategy&amp;"_"&amp;Investment_Strategy_Sub2&amp;"_"&amp;$A537,'Investment Strategies'!$C:$P,12,FALSE),
IF(AND(Investment_Strategy="Lifecycle",Investment_Strategy_Sub1="Standard"),VLOOKUP(Investment_Strategy&amp;"_"&amp;Investment_Strategy_Sub2&amp;"_"&amp;$A537,'Investment Strategies'!$AJ:$AV,11,FALSE),
IF(AND(Investment_Strategy="Autopilot",Investment_Strategy_Sub1="Non-Standard"),VLOOKUP(Investment_Strategy&amp;"_"&amp;Investment_Strategy_Sub2&amp;"_"&amp;$A537,'Investment Strategies'!$T:$AF,11,FALSE),
IF(Investment_Strategy="DIY",DIY_GteeChrge_CurrentFunds,
"Error"))))))</f>
        <v>0</v>
      </c>
      <c r="G537" s="33">
        <f>IF(AV537=0,0,
IF(Investment_Strategy="DIS",VLOOKUP(Investment_Strategy&amp;"_"&amp;Investment_Strategy_Sub1&amp;"_"&amp;$A537,'Investment Strategies'!$AZ:$BP,17,FALSE),
IF(AND(Investment_Strategy="Lifecycle",Investment_Strategy_Sub1="Non-Standard"),VLOOKUP(Investment_Strategy&amp;"_"&amp;Investment_Strategy_Sub2&amp;"_"&amp;$A537,'Investment Strategies'!$C:$P,14,FALSE),
IF(AND(Investment_Strategy="Lifecycle",Investment_Strategy_Sub1="Standard"),VLOOKUP(Investment_Strategy&amp;"_"&amp;Investment_Strategy_Sub2&amp;"_"&amp;$A537,'Investment Strategies'!$AJ:$AV,13,FALSE),
IF(AND(Investment_Strategy="Autopilot",Investment_Strategy_Sub1="Non-Standard"),VLOOKUP(Investment_Strategy&amp;"_"&amp;Investment_Strategy_Sub2&amp;"_"&amp;$A537,'Investment Strategies'!$T:$AF,13,FALSE),
IF(Investment_Strategy="DIY",DIY_ExtManChrge_CurrentFunds,
"Error"))))))</f>
        <v>0</v>
      </c>
      <c r="H537" s="16">
        <f t="shared" si="290"/>
        <v>0</v>
      </c>
      <c r="I537" s="16">
        <f t="shared" si="276"/>
        <v>0</v>
      </c>
      <c r="J537" s="16">
        <f t="shared" si="277"/>
        <v>0</v>
      </c>
      <c r="K537" s="16">
        <f>(Opening_Fund_Value+SUM(K$91:K536))*E537*IF(D537=$A$91,SRP_finalmonthfactor,1)</f>
        <v>0</v>
      </c>
      <c r="L537" s="74">
        <f>MIN(IF($AV537=0,0,
IF(Investment_Strategy="DIS",VLOOKUP(Investment_Strategy&amp;"_"&amp;Investment_Strategy_Sub1&amp;"_"&amp;$A537,'Investment Strategies'!$AZ:$BP,12,FALSE),
IF(AND(Investment_Strategy="Lifecycle",Investment_Strategy_Sub1="Non-Standard"),VLOOKUP(Investment_Strategy&amp;"_"&amp;Investment_Strategy_Sub2&amp;"_"&amp;$A537,'Investment Strategies'!$C:$P,9,FALSE),
IF(AND(Investment_Strategy="Lifecycle",Investment_Strategy_Sub1="Standard"),VLOOKUP(Investment_Strategy&amp;"_"&amp;Investment_Strategy_Sub2&amp;"_"&amp;$A537,'Investment Strategies'!$AJ:$AV,8,FALSE),
IF(AND(Investment_Strategy="Autopilot",Investment_Strategy_Sub1="Non-Standard"),VLOOKUP(Investment_Strategy&amp;"_"&amp;Investment_Strategy_Sub2&amp;"_"&amp;$A537,'Investment Strategies'!$T:$AF,8,FALSE),
IF(Investment_Strategy ="DIY",DIY_RateofReturn_SP,
"Error")))))),Max_InvReturn)</f>
        <v>0</v>
      </c>
      <c r="M537" s="62">
        <f>IF($AV537=0,0,
IF(Investment_Strategy="DIS",VLOOKUP(Investment_Strategy&amp;"_"&amp;Investment_Strategy_Sub1&amp;"_"&amp;$A537,'Investment Strategies'!$AZ:$BP,15,FALSE),
IF(AND(Investment_Strategy="Lifecycle",Investment_Strategy_Sub1="Non-Standard"),VLOOKUP(Investment_Strategy&amp;"_"&amp;Investment_Strategy_Sub2&amp;"_"&amp;$A537,'Investment Strategies'!$C:$P,12,FALSE),
IF(AND(Investment_Strategy="Lifecycle",Investment_Strategy_Sub1="Standard"),VLOOKUP(Investment_Strategy&amp;"_"&amp;Investment_Strategy_Sub2&amp;"_"&amp;$A537,'Investment Strategies'!$AJ:$AV,11,FALSE),
IF(AND(Investment_Strategy="Autopilot",Investment_Strategy_Sub1="Non-Standard"),VLOOKUP(Investment_Strategy&amp;"_"&amp;Investment_Strategy_Sub2&amp;"_"&amp;$A537,'Investment Strategies'!$T:$AF,11,FALSE),
IF(Investment_Strategy="DIY",DIY_GteeChrge_SP,
"Error"))))))</f>
        <v>0</v>
      </c>
      <c r="N537" s="33">
        <f>IF($AV537=0,0,
IF(Investment_Strategy="DIS",VLOOKUP(Investment_Strategy&amp;"_"&amp;Investment_Strategy_Sub1&amp;"_"&amp;$A537,'Investment Strategies'!$AZ:$BP,17,FALSE),
IF(AND(Investment_Strategy="Lifecycle",Investment_Strategy_Sub1="Non-Standard"),VLOOKUP(Investment_Strategy&amp;"_"&amp;Investment_Strategy_Sub2&amp;"_"&amp;$A537,'Investment Strategies'!$C:$P,14,FALSE),
IF(AND(Investment_Strategy="Lifecycle",Investment_Strategy_Sub1="Standard"),VLOOKUP(Investment_Strategy&amp;"_"&amp;Investment_Strategy_Sub2&amp;"_"&amp;$A537,'Investment Strategies'!$AJ:$AV,13,FALSE),
IF(AND(Investment_Strategy="Autopilot",Investment_Strategy_Sub1="Non-Standard"),VLOOKUP(Investment_Strategy&amp;"_"&amp;Investment_Strategy_Sub2&amp;"_"&amp;$A537,'Investment Strategies'!$T:$AF,13,FALSE),
IF(Investment_Strategy="DIY",DIY_ExtManChrge_SP,
"Error"))))))</f>
        <v>0</v>
      </c>
      <c r="O537" s="16">
        <f t="shared" si="301"/>
        <v>0</v>
      </c>
      <c r="Q537" s="16">
        <f t="shared" si="278"/>
        <v>0</v>
      </c>
      <c r="R537" s="16">
        <f t="shared" si="310"/>
        <v>0</v>
      </c>
      <c r="S537" s="16">
        <f>(SRP_SP+SUM(S$91:S536))*L537*IF(D537=$A$91,SRP_finalmonthfactor,1)</f>
        <v>0</v>
      </c>
      <c r="T537" s="74">
        <f>MIN(IF($AV537=0,0,
IF(Investment_Strategy="DIS",VLOOKUP(Investment_Strategy&amp;"_"&amp;Investment_Strategy_Sub1&amp;"_"&amp;$A537,'Investment Strategies'!$AZ:$BP,12,FALSE),
IF(AND(Investment_Strategy="Lifecycle",Investment_Strategy_Sub1="Non-Standard"),VLOOKUP(Investment_Strategy&amp;"_"&amp;Investment_Strategy_Sub2&amp;"_"&amp;$A537,'Investment Strategies'!$C:$P,9,FALSE),
IF(AND(Investment_Strategy="Lifecycle",Investment_Strategy_Sub1="Standard"),VLOOKUP(Investment_Strategy&amp;"_"&amp;Investment_Strategy_Sub2&amp;"_"&amp;$A537,'Investment Strategies'!$AJ:$AV,8,FALSE),
IF(AND(Investment_Strategy="Autopilot",Investment_Strategy_Sub1="Non-Standard"),VLOOKUP(Investment_Strategy&amp;"_"&amp;Investment_Strategy_Sub2&amp;"_"&amp;$A537,'Investment Strategies'!$T:$AF,8,FALSE),
IF(Investment_Strategy ="DIY",DIY_RateOfReturn_FuturePremiums,
"Error")))))),Max_InvReturn)</f>
        <v>0</v>
      </c>
      <c r="U537" s="62">
        <f>IF($AV537=0,0,
IF(Investment_Strategy="DIS",VLOOKUP(Investment_Strategy&amp;"_"&amp;Investment_Strategy_Sub1&amp;"_"&amp;$A537,'Investment Strategies'!$AZ:$BP,15,FALSE),
IF(AND(Investment_Strategy="Lifecycle",Investment_Strategy_Sub1="Non-Standard"),VLOOKUP(Investment_Strategy&amp;"_"&amp;Investment_Strategy_Sub2&amp;"_"&amp;$A537,'Investment Strategies'!$C:$P,12,FALSE),
IF(AND(Investment_Strategy="Lifecycle",Investment_Strategy_Sub1="Standard"),VLOOKUP(Investment_Strategy&amp;"_"&amp;Investment_Strategy_Sub2&amp;"_"&amp;$A537,'Investment Strategies'!$AJ:$AV,11,FALSE),
IF(AND(Investment_Strategy="Autopilot",Investment_Strategy_Sub1="Non-Standard"),VLOOKUP(Investment_Strategy&amp;"_"&amp;Investment_Strategy_Sub2&amp;"_"&amp;$A537,'Investment Strategies'!$T:$AF,11,FALSE),
IF(Investment_Strategy="DIY",DIY_GteeChrge_FuturePremiums,
"Error"))))))</f>
        <v>0</v>
      </c>
      <c r="V537" s="33">
        <f>IF(AV537=0,0,
IF(Investment_Strategy="DIS",VLOOKUP(Investment_Strategy&amp;"_"&amp;Investment_Strategy_Sub1&amp;"_"&amp;$A537,'Investment Strategies'!$AZ:$BP,17,FALSE),
IF(AND(Investment_Strategy="Lifecycle",Investment_Strategy_Sub1="Non-Standard"),VLOOKUP(Investment_Strategy&amp;"_"&amp;Investment_Strategy_Sub2&amp;"_"&amp;$A537,'Investment Strategies'!$C:$P,14,FALSE),
IF(AND(Investment_Strategy="Lifecycle",Investment_Strategy_Sub1="Standard"),VLOOKUP(Investment_Strategy&amp;"_"&amp;Investment_Strategy_Sub2&amp;"_"&amp;$A537,'Investment Strategies'!$AJ:$AV,13,FALSE),
IF(AND(Investment_Strategy="Autopilot",Investment_Strategy_Sub1="Non-Standard"),VLOOKUP(Investment_Strategy&amp;"_"&amp;Investment_Strategy_Sub2&amp;"_"&amp;$A537,'Investment Strategies'!$T:$AF,13,FALSE),
IF(Investment_Strategy="DIY",DIY_ExtManChrge_FuturePremiums,
"Error"))))))</f>
        <v>0</v>
      </c>
      <c r="W537" s="16">
        <f t="shared" si="302"/>
        <v>0</v>
      </c>
      <c r="X537" s="16">
        <f t="shared" si="279"/>
        <v>0</v>
      </c>
      <c r="Y537" s="16">
        <f t="shared" si="280"/>
        <v>0</v>
      </c>
      <c r="Z537" s="31">
        <f t="shared" si="281"/>
        <v>0.02</v>
      </c>
      <c r="AA537" s="16">
        <f t="shared" si="282"/>
        <v>0</v>
      </c>
      <c r="AB537" s="28">
        <f t="shared" si="303"/>
        <v>0</v>
      </c>
      <c r="AC537" s="28">
        <f>(SUM($AC$91:AC536)+SUM($X$91:X536)+X537)*T537*IF(D537=$A$91,SRP_finalmonthfactor,1)</f>
        <v>0</v>
      </c>
      <c r="AD537" s="16">
        <f t="shared" si="283"/>
        <v>0</v>
      </c>
      <c r="AE537" s="106"/>
      <c r="AF537" s="16">
        <f t="shared" si="291"/>
        <v>0</v>
      </c>
      <c r="AG537" s="16">
        <f t="shared" si="292"/>
        <v>0</v>
      </c>
      <c r="AH537" s="16">
        <f t="shared" si="293"/>
        <v>0</v>
      </c>
      <c r="AJ537" s="13">
        <f t="shared" si="309"/>
        <v>0</v>
      </c>
      <c r="AK537" s="13">
        <f t="shared" si="309"/>
        <v>0</v>
      </c>
      <c r="AL537" s="13">
        <f t="shared" si="309"/>
        <v>0</v>
      </c>
      <c r="AM537" s="13">
        <f t="shared" si="309"/>
        <v>0</v>
      </c>
      <c r="AN537" s="13">
        <f t="shared" si="309"/>
        <v>0</v>
      </c>
      <c r="AO537" s="13">
        <f t="shared" si="309"/>
        <v>1</v>
      </c>
      <c r="AP537" s="13">
        <f t="shared" si="309"/>
        <v>1</v>
      </c>
      <c r="AQ537" s="13">
        <f t="shared" si="309"/>
        <v>1</v>
      </c>
      <c r="AR537" s="13">
        <f t="shared" si="309"/>
        <v>0</v>
      </c>
      <c r="AS537" s="13">
        <f t="shared" si="309"/>
        <v>0</v>
      </c>
      <c r="AT537" s="13">
        <f t="shared" si="309"/>
        <v>0</v>
      </c>
      <c r="AU537" s="13">
        <f t="shared" si="309"/>
        <v>1</v>
      </c>
      <c r="AV537" s="13">
        <f t="shared" si="284"/>
        <v>0</v>
      </c>
      <c r="AW537" s="13">
        <f t="shared" si="285"/>
        <v>1</v>
      </c>
      <c r="AY537" s="17">
        <f t="shared" si="286"/>
        <v>447</v>
      </c>
      <c r="AZ537" s="28">
        <f t="shared" si="294"/>
        <v>0</v>
      </c>
      <c r="BA537" s="13">
        <f t="shared" si="287"/>
        <v>0</v>
      </c>
      <c r="BB537" s="13">
        <f t="shared" si="288"/>
        <v>0</v>
      </c>
      <c r="BC537" s="28">
        <f t="shared" si="295"/>
        <v>0</v>
      </c>
      <c r="BD537" s="28">
        <f t="shared" si="296"/>
        <v>0</v>
      </c>
      <c r="BF537" s="248">
        <f t="shared" si="297"/>
        <v>993869.29442638322</v>
      </c>
    </row>
    <row r="538" spans="1:58">
      <c r="A538" s="32">
        <f t="shared" si="298"/>
        <v>-363</v>
      </c>
      <c r="B538" s="32">
        <f t="shared" si="289"/>
        <v>90</v>
      </c>
      <c r="C538" s="32">
        <f t="shared" si="299"/>
        <v>38</v>
      </c>
      <c r="D538" s="32">
        <f t="shared" si="300"/>
        <v>448</v>
      </c>
      <c r="E538" s="74">
        <f>MIN(IF(AV538=0,0,
IF(Investment_Strategy="DIS",VLOOKUP(Investment_Strategy&amp;"_"&amp;Investment_Strategy_Sub1&amp;"_"&amp;$A538,'Investment Strategies'!$AZ:$BP,12,FALSE),
IF(AND(Investment_Strategy="Lifecycle",Investment_Strategy_Sub1="Non-Standard"),VLOOKUP(Investment_Strategy&amp;"_"&amp;Investment_Strategy_Sub2&amp;"_"&amp;$A538,'Investment Strategies'!$C:$P,9,FALSE),
IF(AND(Investment_Strategy="Lifecycle",Investment_Strategy_Sub1="Standard"),VLOOKUP(Investment_Strategy&amp;"_"&amp;Investment_Strategy_Sub2&amp;"_"&amp;$A538,'Investment Strategies'!$AJ:$AV,8,FALSE),
IF(AND(Investment_Strategy="Autopilot",Investment_Strategy_Sub1="Non-Standard"),VLOOKUP(Investment_Strategy&amp;"_"&amp;Investment_Strategy_Sub2&amp;"_"&amp;$A538,'Investment Strategies'!$T:$AF,8,FALSE),
IF(Investment_Strategy ="DIY",DIY_RateOfReturn_CurrentFunds,
"Error")))))),Max_InvReturn)</f>
        <v>0</v>
      </c>
      <c r="F538" s="62">
        <f>IF(AV538=0,0,
IF(Investment_Strategy="DIS",VLOOKUP(Investment_Strategy&amp;"_"&amp;Investment_Strategy_Sub1&amp;"_"&amp;$A538,'Investment Strategies'!$AZ:$BP,15,FALSE),
IF(AND(Investment_Strategy="Lifecycle",Investment_Strategy_Sub1="Non-Standard"),VLOOKUP(Investment_Strategy&amp;"_"&amp;Investment_Strategy_Sub2&amp;"_"&amp;$A538,'Investment Strategies'!$C:$P,12,FALSE),
IF(AND(Investment_Strategy="Lifecycle",Investment_Strategy_Sub1="Standard"),VLOOKUP(Investment_Strategy&amp;"_"&amp;Investment_Strategy_Sub2&amp;"_"&amp;$A538,'Investment Strategies'!$AJ:$AV,11,FALSE),
IF(AND(Investment_Strategy="Autopilot",Investment_Strategy_Sub1="Non-Standard"),VLOOKUP(Investment_Strategy&amp;"_"&amp;Investment_Strategy_Sub2&amp;"_"&amp;$A538,'Investment Strategies'!$T:$AF,11,FALSE),
IF(Investment_Strategy="DIY",DIY_GteeChrge_CurrentFunds,
"Error"))))))</f>
        <v>0</v>
      </c>
      <c r="G538" s="33">
        <f>IF(AV538=0,0,
IF(Investment_Strategy="DIS",VLOOKUP(Investment_Strategy&amp;"_"&amp;Investment_Strategy_Sub1&amp;"_"&amp;$A538,'Investment Strategies'!$AZ:$BP,17,FALSE),
IF(AND(Investment_Strategy="Lifecycle",Investment_Strategy_Sub1="Non-Standard"),VLOOKUP(Investment_Strategy&amp;"_"&amp;Investment_Strategy_Sub2&amp;"_"&amp;$A538,'Investment Strategies'!$C:$P,14,FALSE),
IF(AND(Investment_Strategy="Lifecycle",Investment_Strategy_Sub1="Standard"),VLOOKUP(Investment_Strategy&amp;"_"&amp;Investment_Strategy_Sub2&amp;"_"&amp;$A538,'Investment Strategies'!$AJ:$AV,13,FALSE),
IF(AND(Investment_Strategy="Autopilot",Investment_Strategy_Sub1="Non-Standard"),VLOOKUP(Investment_Strategy&amp;"_"&amp;Investment_Strategy_Sub2&amp;"_"&amp;$A538,'Investment Strategies'!$T:$AF,13,FALSE),
IF(Investment_Strategy="DIY",DIY_ExtManChrge_CurrentFunds,
"Error"))))))</f>
        <v>0</v>
      </c>
      <c r="H538" s="16">
        <f t="shared" si="290"/>
        <v>0</v>
      </c>
      <c r="I538" s="16">
        <f t="shared" si="276"/>
        <v>0</v>
      </c>
      <c r="J538" s="16">
        <f t="shared" si="277"/>
        <v>0</v>
      </c>
      <c r="K538" s="16">
        <f>(Opening_Fund_Value+SUM(K$91:K537))*E538*IF(D538=$A$91,SRP_finalmonthfactor,1)</f>
        <v>0</v>
      </c>
      <c r="L538" s="74">
        <f>MIN(IF($AV538=0,0,
IF(Investment_Strategy="DIS",VLOOKUP(Investment_Strategy&amp;"_"&amp;Investment_Strategy_Sub1&amp;"_"&amp;$A538,'Investment Strategies'!$AZ:$BP,12,FALSE),
IF(AND(Investment_Strategy="Lifecycle",Investment_Strategy_Sub1="Non-Standard"),VLOOKUP(Investment_Strategy&amp;"_"&amp;Investment_Strategy_Sub2&amp;"_"&amp;$A538,'Investment Strategies'!$C:$P,9,FALSE),
IF(AND(Investment_Strategy="Lifecycle",Investment_Strategy_Sub1="Standard"),VLOOKUP(Investment_Strategy&amp;"_"&amp;Investment_Strategy_Sub2&amp;"_"&amp;$A538,'Investment Strategies'!$AJ:$AV,8,FALSE),
IF(AND(Investment_Strategy="Autopilot",Investment_Strategy_Sub1="Non-Standard"),VLOOKUP(Investment_Strategy&amp;"_"&amp;Investment_Strategy_Sub2&amp;"_"&amp;$A538,'Investment Strategies'!$T:$AF,8,FALSE),
IF(Investment_Strategy ="DIY",DIY_RateofReturn_SP,
"Error")))))),Max_InvReturn)</f>
        <v>0</v>
      </c>
      <c r="M538" s="62">
        <f>IF($AV538=0,0,
IF(Investment_Strategy="DIS",VLOOKUP(Investment_Strategy&amp;"_"&amp;Investment_Strategy_Sub1&amp;"_"&amp;$A538,'Investment Strategies'!$AZ:$BP,15,FALSE),
IF(AND(Investment_Strategy="Lifecycle",Investment_Strategy_Sub1="Non-Standard"),VLOOKUP(Investment_Strategy&amp;"_"&amp;Investment_Strategy_Sub2&amp;"_"&amp;$A538,'Investment Strategies'!$C:$P,12,FALSE),
IF(AND(Investment_Strategy="Lifecycle",Investment_Strategy_Sub1="Standard"),VLOOKUP(Investment_Strategy&amp;"_"&amp;Investment_Strategy_Sub2&amp;"_"&amp;$A538,'Investment Strategies'!$AJ:$AV,11,FALSE),
IF(AND(Investment_Strategy="Autopilot",Investment_Strategy_Sub1="Non-Standard"),VLOOKUP(Investment_Strategy&amp;"_"&amp;Investment_Strategy_Sub2&amp;"_"&amp;$A538,'Investment Strategies'!$T:$AF,11,FALSE),
IF(Investment_Strategy="DIY",DIY_GteeChrge_SP,
"Error"))))))</f>
        <v>0</v>
      </c>
      <c r="N538" s="33">
        <f>IF($AV538=0,0,
IF(Investment_Strategy="DIS",VLOOKUP(Investment_Strategy&amp;"_"&amp;Investment_Strategy_Sub1&amp;"_"&amp;$A538,'Investment Strategies'!$AZ:$BP,17,FALSE),
IF(AND(Investment_Strategy="Lifecycle",Investment_Strategy_Sub1="Non-Standard"),VLOOKUP(Investment_Strategy&amp;"_"&amp;Investment_Strategy_Sub2&amp;"_"&amp;$A538,'Investment Strategies'!$C:$P,14,FALSE),
IF(AND(Investment_Strategy="Lifecycle",Investment_Strategy_Sub1="Standard"),VLOOKUP(Investment_Strategy&amp;"_"&amp;Investment_Strategy_Sub2&amp;"_"&amp;$A538,'Investment Strategies'!$AJ:$AV,13,FALSE),
IF(AND(Investment_Strategy="Autopilot",Investment_Strategy_Sub1="Non-Standard"),VLOOKUP(Investment_Strategy&amp;"_"&amp;Investment_Strategy_Sub2&amp;"_"&amp;$A538,'Investment Strategies'!$T:$AF,13,FALSE),
IF(Investment_Strategy="DIY",DIY_ExtManChrge_SP,
"Error"))))))</f>
        <v>0</v>
      </c>
      <c r="O538" s="16">
        <f t="shared" si="301"/>
        <v>0</v>
      </c>
      <c r="Q538" s="16">
        <f t="shared" si="278"/>
        <v>0</v>
      </c>
      <c r="R538" s="16">
        <f t="shared" si="310"/>
        <v>0</v>
      </c>
      <c r="S538" s="16">
        <f>(SRP_SP+SUM(S$91:S537))*L538*IF(D538=$A$91,SRP_finalmonthfactor,1)</f>
        <v>0</v>
      </c>
      <c r="T538" s="74">
        <f>MIN(IF($AV538=0,0,
IF(Investment_Strategy="DIS",VLOOKUP(Investment_Strategy&amp;"_"&amp;Investment_Strategy_Sub1&amp;"_"&amp;$A538,'Investment Strategies'!$AZ:$BP,12,FALSE),
IF(AND(Investment_Strategy="Lifecycle",Investment_Strategy_Sub1="Non-Standard"),VLOOKUP(Investment_Strategy&amp;"_"&amp;Investment_Strategy_Sub2&amp;"_"&amp;$A538,'Investment Strategies'!$C:$P,9,FALSE),
IF(AND(Investment_Strategy="Lifecycle",Investment_Strategy_Sub1="Standard"),VLOOKUP(Investment_Strategy&amp;"_"&amp;Investment_Strategy_Sub2&amp;"_"&amp;$A538,'Investment Strategies'!$AJ:$AV,8,FALSE),
IF(AND(Investment_Strategy="Autopilot",Investment_Strategy_Sub1="Non-Standard"),VLOOKUP(Investment_Strategy&amp;"_"&amp;Investment_Strategy_Sub2&amp;"_"&amp;$A538,'Investment Strategies'!$T:$AF,8,FALSE),
IF(Investment_Strategy ="DIY",DIY_RateOfReturn_FuturePremiums,
"Error")))))),Max_InvReturn)</f>
        <v>0</v>
      </c>
      <c r="U538" s="62">
        <f>IF($AV538=0,0,
IF(Investment_Strategy="DIS",VLOOKUP(Investment_Strategy&amp;"_"&amp;Investment_Strategy_Sub1&amp;"_"&amp;$A538,'Investment Strategies'!$AZ:$BP,15,FALSE),
IF(AND(Investment_Strategy="Lifecycle",Investment_Strategy_Sub1="Non-Standard"),VLOOKUP(Investment_Strategy&amp;"_"&amp;Investment_Strategy_Sub2&amp;"_"&amp;$A538,'Investment Strategies'!$C:$P,12,FALSE),
IF(AND(Investment_Strategy="Lifecycle",Investment_Strategy_Sub1="Standard"),VLOOKUP(Investment_Strategy&amp;"_"&amp;Investment_Strategy_Sub2&amp;"_"&amp;$A538,'Investment Strategies'!$AJ:$AV,11,FALSE),
IF(AND(Investment_Strategy="Autopilot",Investment_Strategy_Sub1="Non-Standard"),VLOOKUP(Investment_Strategy&amp;"_"&amp;Investment_Strategy_Sub2&amp;"_"&amp;$A538,'Investment Strategies'!$T:$AF,11,FALSE),
IF(Investment_Strategy="DIY",DIY_GteeChrge_FuturePremiums,
"Error"))))))</f>
        <v>0</v>
      </c>
      <c r="V538" s="33">
        <f>IF(AV538=0,0,
IF(Investment_Strategy="DIS",VLOOKUP(Investment_Strategy&amp;"_"&amp;Investment_Strategy_Sub1&amp;"_"&amp;$A538,'Investment Strategies'!$AZ:$BP,17,FALSE),
IF(AND(Investment_Strategy="Lifecycle",Investment_Strategy_Sub1="Non-Standard"),VLOOKUP(Investment_Strategy&amp;"_"&amp;Investment_Strategy_Sub2&amp;"_"&amp;$A538,'Investment Strategies'!$C:$P,14,FALSE),
IF(AND(Investment_Strategy="Lifecycle",Investment_Strategy_Sub1="Standard"),VLOOKUP(Investment_Strategy&amp;"_"&amp;Investment_Strategy_Sub2&amp;"_"&amp;$A538,'Investment Strategies'!$AJ:$AV,13,FALSE),
IF(AND(Investment_Strategy="Autopilot",Investment_Strategy_Sub1="Non-Standard"),VLOOKUP(Investment_Strategy&amp;"_"&amp;Investment_Strategy_Sub2&amp;"_"&amp;$A538,'Investment Strategies'!$T:$AF,13,FALSE),
IF(Investment_Strategy="DIY",DIY_ExtManChrge_FuturePremiums,
"Error"))))))</f>
        <v>0</v>
      </c>
      <c r="W538" s="16">
        <f t="shared" si="302"/>
        <v>0</v>
      </c>
      <c r="X538" s="16">
        <f t="shared" si="279"/>
        <v>0</v>
      </c>
      <c r="Y538" s="16">
        <f t="shared" si="280"/>
        <v>0</v>
      </c>
      <c r="Z538" s="31">
        <f t="shared" si="281"/>
        <v>0.02</v>
      </c>
      <c r="AA538" s="16">
        <f t="shared" si="282"/>
        <v>0</v>
      </c>
      <c r="AB538" s="28">
        <f t="shared" si="303"/>
        <v>0</v>
      </c>
      <c r="AC538" s="28">
        <f>(SUM($AC$91:AC537)+SUM($X$91:X537)+X538)*T538*IF(D538=$A$91,SRP_finalmonthfactor,1)</f>
        <v>0</v>
      </c>
      <c r="AD538" s="16">
        <f t="shared" si="283"/>
        <v>0</v>
      </c>
      <c r="AE538" s="106"/>
      <c r="AF538" s="16">
        <f t="shared" si="291"/>
        <v>0</v>
      </c>
      <c r="AG538" s="16">
        <f t="shared" si="292"/>
        <v>0</v>
      </c>
      <c r="AH538" s="16">
        <f t="shared" si="293"/>
        <v>0</v>
      </c>
      <c r="AJ538" s="13">
        <f t="shared" si="309"/>
        <v>0</v>
      </c>
      <c r="AK538" s="13">
        <f t="shared" si="309"/>
        <v>0</v>
      </c>
      <c r="AL538" s="13">
        <f t="shared" si="309"/>
        <v>0</v>
      </c>
      <c r="AM538" s="13">
        <f t="shared" si="309"/>
        <v>0</v>
      </c>
      <c r="AN538" s="13">
        <f t="shared" si="309"/>
        <v>0</v>
      </c>
      <c r="AO538" s="13">
        <f t="shared" si="309"/>
        <v>1</v>
      </c>
      <c r="AP538" s="13">
        <f t="shared" si="309"/>
        <v>1</v>
      </c>
      <c r="AQ538" s="13">
        <f t="shared" si="309"/>
        <v>1</v>
      </c>
      <c r="AR538" s="13">
        <f t="shared" si="309"/>
        <v>0</v>
      </c>
      <c r="AS538" s="13">
        <f t="shared" si="309"/>
        <v>0</v>
      </c>
      <c r="AT538" s="13">
        <f t="shared" si="309"/>
        <v>0</v>
      </c>
      <c r="AU538" s="13">
        <f t="shared" si="309"/>
        <v>1</v>
      </c>
      <c r="AV538" s="13">
        <f t="shared" si="284"/>
        <v>0</v>
      </c>
      <c r="AW538" s="13">
        <f t="shared" si="285"/>
        <v>1</v>
      </c>
      <c r="AY538" s="17">
        <f t="shared" si="286"/>
        <v>448</v>
      </c>
      <c r="AZ538" s="28">
        <f t="shared" si="294"/>
        <v>0</v>
      </c>
      <c r="BA538" s="13">
        <f t="shared" si="287"/>
        <v>0</v>
      </c>
      <c r="BB538" s="13">
        <f t="shared" si="288"/>
        <v>0</v>
      </c>
      <c r="BC538" s="28">
        <f t="shared" si="295"/>
        <v>0</v>
      </c>
      <c r="BD538" s="28">
        <f t="shared" si="296"/>
        <v>0</v>
      </c>
      <c r="BF538" s="248">
        <f t="shared" si="297"/>
        <v>993869.29442638322</v>
      </c>
    </row>
    <row r="539" spans="1:58">
      <c r="A539" s="32">
        <f t="shared" si="298"/>
        <v>-364</v>
      </c>
      <c r="B539" s="32">
        <f t="shared" si="289"/>
        <v>90</v>
      </c>
      <c r="C539" s="32">
        <f t="shared" si="299"/>
        <v>38</v>
      </c>
      <c r="D539" s="32">
        <f t="shared" si="300"/>
        <v>449</v>
      </c>
      <c r="E539" s="74">
        <f>MIN(IF(AV539=0,0,
IF(Investment_Strategy="DIS",VLOOKUP(Investment_Strategy&amp;"_"&amp;Investment_Strategy_Sub1&amp;"_"&amp;$A539,'Investment Strategies'!$AZ:$BP,12,FALSE),
IF(AND(Investment_Strategy="Lifecycle",Investment_Strategy_Sub1="Non-Standard"),VLOOKUP(Investment_Strategy&amp;"_"&amp;Investment_Strategy_Sub2&amp;"_"&amp;$A539,'Investment Strategies'!$C:$P,9,FALSE),
IF(AND(Investment_Strategy="Lifecycle",Investment_Strategy_Sub1="Standard"),VLOOKUP(Investment_Strategy&amp;"_"&amp;Investment_Strategy_Sub2&amp;"_"&amp;$A539,'Investment Strategies'!$AJ:$AV,8,FALSE),
IF(AND(Investment_Strategy="Autopilot",Investment_Strategy_Sub1="Non-Standard"),VLOOKUP(Investment_Strategy&amp;"_"&amp;Investment_Strategy_Sub2&amp;"_"&amp;$A539,'Investment Strategies'!$T:$AF,8,FALSE),
IF(Investment_Strategy ="DIY",DIY_RateOfReturn_CurrentFunds,
"Error")))))),Max_InvReturn)</f>
        <v>0</v>
      </c>
      <c r="F539" s="62">
        <f>IF(AV539=0,0,
IF(Investment_Strategy="DIS",VLOOKUP(Investment_Strategy&amp;"_"&amp;Investment_Strategy_Sub1&amp;"_"&amp;$A539,'Investment Strategies'!$AZ:$BP,15,FALSE),
IF(AND(Investment_Strategy="Lifecycle",Investment_Strategy_Sub1="Non-Standard"),VLOOKUP(Investment_Strategy&amp;"_"&amp;Investment_Strategy_Sub2&amp;"_"&amp;$A539,'Investment Strategies'!$C:$P,12,FALSE),
IF(AND(Investment_Strategy="Lifecycle",Investment_Strategy_Sub1="Standard"),VLOOKUP(Investment_Strategy&amp;"_"&amp;Investment_Strategy_Sub2&amp;"_"&amp;$A539,'Investment Strategies'!$AJ:$AV,11,FALSE),
IF(AND(Investment_Strategy="Autopilot",Investment_Strategy_Sub1="Non-Standard"),VLOOKUP(Investment_Strategy&amp;"_"&amp;Investment_Strategy_Sub2&amp;"_"&amp;$A539,'Investment Strategies'!$T:$AF,11,FALSE),
IF(Investment_Strategy="DIY",DIY_GteeChrge_CurrentFunds,
"Error"))))))</f>
        <v>0</v>
      </c>
      <c r="G539" s="33">
        <f>IF(AV539=0,0,
IF(Investment_Strategy="DIS",VLOOKUP(Investment_Strategy&amp;"_"&amp;Investment_Strategy_Sub1&amp;"_"&amp;$A539,'Investment Strategies'!$AZ:$BP,17,FALSE),
IF(AND(Investment_Strategy="Lifecycle",Investment_Strategy_Sub1="Non-Standard"),VLOOKUP(Investment_Strategy&amp;"_"&amp;Investment_Strategy_Sub2&amp;"_"&amp;$A539,'Investment Strategies'!$C:$P,14,FALSE),
IF(AND(Investment_Strategy="Lifecycle",Investment_Strategy_Sub1="Standard"),VLOOKUP(Investment_Strategy&amp;"_"&amp;Investment_Strategy_Sub2&amp;"_"&amp;$A539,'Investment Strategies'!$AJ:$AV,13,FALSE),
IF(AND(Investment_Strategy="Autopilot",Investment_Strategy_Sub1="Non-Standard"),VLOOKUP(Investment_Strategy&amp;"_"&amp;Investment_Strategy_Sub2&amp;"_"&amp;$A539,'Investment Strategies'!$T:$AF,13,FALSE),
IF(Investment_Strategy="DIY",DIY_ExtManChrge_CurrentFunds,
"Error"))))))</f>
        <v>0</v>
      </c>
      <c r="H539" s="16">
        <f t="shared" si="290"/>
        <v>0</v>
      </c>
      <c r="I539" s="16">
        <f t="shared" ref="I539:I602" si="311">(H539*E539)*IF(D539=$A$91,SRP_finalmonthfactor,1)</f>
        <v>0</v>
      </c>
      <c r="J539" s="16">
        <f t="shared" ref="J539:J602" si="312">IF($AV539=0,0,
-((H539+I539/2)*(SRP_Monthly_Admin_Chge+F539+G539)*IF(D539=$A$91,SRP_finalmonthfactor,1)))</f>
        <v>0</v>
      </c>
      <c r="K539" s="16">
        <f>(Opening_Fund_Value+SUM(K$91:K538))*E539*IF(D539=$A$91,SRP_finalmonthfactor,1)</f>
        <v>0</v>
      </c>
      <c r="L539" s="74">
        <f>MIN(IF($AV539=0,0,
IF(Investment_Strategy="DIS",VLOOKUP(Investment_Strategy&amp;"_"&amp;Investment_Strategy_Sub1&amp;"_"&amp;$A539,'Investment Strategies'!$AZ:$BP,12,FALSE),
IF(AND(Investment_Strategy="Lifecycle",Investment_Strategy_Sub1="Non-Standard"),VLOOKUP(Investment_Strategy&amp;"_"&amp;Investment_Strategy_Sub2&amp;"_"&amp;$A539,'Investment Strategies'!$C:$P,9,FALSE),
IF(AND(Investment_Strategy="Lifecycle",Investment_Strategy_Sub1="Standard"),VLOOKUP(Investment_Strategy&amp;"_"&amp;Investment_Strategy_Sub2&amp;"_"&amp;$A539,'Investment Strategies'!$AJ:$AV,8,FALSE),
IF(AND(Investment_Strategy="Autopilot",Investment_Strategy_Sub1="Non-Standard"),VLOOKUP(Investment_Strategy&amp;"_"&amp;Investment_Strategy_Sub2&amp;"_"&amp;$A539,'Investment Strategies'!$T:$AF,8,FALSE),
IF(Investment_Strategy ="DIY",DIY_RateofReturn_SP,
"Error")))))),Max_InvReturn)</f>
        <v>0</v>
      </c>
      <c r="M539" s="62">
        <f>IF($AV539=0,0,
IF(Investment_Strategy="DIS",VLOOKUP(Investment_Strategy&amp;"_"&amp;Investment_Strategy_Sub1&amp;"_"&amp;$A539,'Investment Strategies'!$AZ:$BP,15,FALSE),
IF(AND(Investment_Strategy="Lifecycle",Investment_Strategy_Sub1="Non-Standard"),VLOOKUP(Investment_Strategy&amp;"_"&amp;Investment_Strategy_Sub2&amp;"_"&amp;$A539,'Investment Strategies'!$C:$P,12,FALSE),
IF(AND(Investment_Strategy="Lifecycle",Investment_Strategy_Sub1="Standard"),VLOOKUP(Investment_Strategy&amp;"_"&amp;Investment_Strategy_Sub2&amp;"_"&amp;$A539,'Investment Strategies'!$AJ:$AV,11,FALSE),
IF(AND(Investment_Strategy="Autopilot",Investment_Strategy_Sub1="Non-Standard"),VLOOKUP(Investment_Strategy&amp;"_"&amp;Investment_Strategy_Sub2&amp;"_"&amp;$A539,'Investment Strategies'!$T:$AF,11,FALSE),
IF(Investment_Strategy="DIY",DIY_GteeChrge_SP,
"Error"))))))</f>
        <v>0</v>
      </c>
      <c r="N539" s="33">
        <f>IF($AV539=0,0,
IF(Investment_Strategy="DIS",VLOOKUP(Investment_Strategy&amp;"_"&amp;Investment_Strategy_Sub1&amp;"_"&amp;$A539,'Investment Strategies'!$AZ:$BP,17,FALSE),
IF(AND(Investment_Strategy="Lifecycle",Investment_Strategy_Sub1="Non-Standard"),VLOOKUP(Investment_Strategy&amp;"_"&amp;Investment_Strategy_Sub2&amp;"_"&amp;$A539,'Investment Strategies'!$C:$P,14,FALSE),
IF(AND(Investment_Strategy="Lifecycle",Investment_Strategy_Sub1="Standard"),VLOOKUP(Investment_Strategy&amp;"_"&amp;Investment_Strategy_Sub2&amp;"_"&amp;$A539,'Investment Strategies'!$AJ:$AV,13,FALSE),
IF(AND(Investment_Strategy="Autopilot",Investment_Strategy_Sub1="Non-Standard"),VLOOKUP(Investment_Strategy&amp;"_"&amp;Investment_Strategy_Sub2&amp;"_"&amp;$A539,'Investment Strategies'!$T:$AF,13,FALSE),
IF(Investment_Strategy="DIY",DIY_ExtManChrge_SP,
"Error"))))))</f>
        <v>0</v>
      </c>
      <c r="O539" s="16">
        <f t="shared" si="301"/>
        <v>0</v>
      </c>
      <c r="Q539" s="16">
        <f t="shared" ref="Q539:Q602" si="313">(O539+(P539*(1-SRP_Contrib_Chge_SP)))*L539*IF(D539=$A$91,SRP_finalmonthfactor,1)</f>
        <v>0</v>
      </c>
      <c r="R539" s="16">
        <f t="shared" si="310"/>
        <v>0</v>
      </c>
      <c r="S539" s="16">
        <f>(SRP_SP+SUM(S$91:S538))*L539*IF(D539=$A$91,SRP_finalmonthfactor,1)</f>
        <v>0</v>
      </c>
      <c r="T539" s="74">
        <f>MIN(IF($AV539=0,0,
IF(Investment_Strategy="DIS",VLOOKUP(Investment_Strategy&amp;"_"&amp;Investment_Strategy_Sub1&amp;"_"&amp;$A539,'Investment Strategies'!$AZ:$BP,12,FALSE),
IF(AND(Investment_Strategy="Lifecycle",Investment_Strategy_Sub1="Non-Standard"),VLOOKUP(Investment_Strategy&amp;"_"&amp;Investment_Strategy_Sub2&amp;"_"&amp;$A539,'Investment Strategies'!$C:$P,9,FALSE),
IF(AND(Investment_Strategy="Lifecycle",Investment_Strategy_Sub1="Standard"),VLOOKUP(Investment_Strategy&amp;"_"&amp;Investment_Strategy_Sub2&amp;"_"&amp;$A539,'Investment Strategies'!$AJ:$AV,8,FALSE),
IF(AND(Investment_Strategy="Autopilot",Investment_Strategy_Sub1="Non-Standard"),VLOOKUP(Investment_Strategy&amp;"_"&amp;Investment_Strategy_Sub2&amp;"_"&amp;$A539,'Investment Strategies'!$T:$AF,8,FALSE),
IF(Investment_Strategy ="DIY",DIY_RateOfReturn_FuturePremiums,
"Error")))))),Max_InvReturn)</f>
        <v>0</v>
      </c>
      <c r="U539" s="62">
        <f>IF($AV539=0,0,
IF(Investment_Strategy="DIS",VLOOKUP(Investment_Strategy&amp;"_"&amp;Investment_Strategy_Sub1&amp;"_"&amp;$A539,'Investment Strategies'!$AZ:$BP,15,FALSE),
IF(AND(Investment_Strategy="Lifecycle",Investment_Strategy_Sub1="Non-Standard"),VLOOKUP(Investment_Strategy&amp;"_"&amp;Investment_Strategy_Sub2&amp;"_"&amp;$A539,'Investment Strategies'!$C:$P,12,FALSE),
IF(AND(Investment_Strategy="Lifecycle",Investment_Strategy_Sub1="Standard"),VLOOKUP(Investment_Strategy&amp;"_"&amp;Investment_Strategy_Sub2&amp;"_"&amp;$A539,'Investment Strategies'!$AJ:$AV,11,FALSE),
IF(AND(Investment_Strategy="Autopilot",Investment_Strategy_Sub1="Non-Standard"),VLOOKUP(Investment_Strategy&amp;"_"&amp;Investment_Strategy_Sub2&amp;"_"&amp;$A539,'Investment Strategies'!$T:$AF,11,FALSE),
IF(Investment_Strategy="DIY",DIY_GteeChrge_FuturePremiums,
"Error"))))))</f>
        <v>0</v>
      </c>
      <c r="V539" s="33">
        <f>IF(AV539=0,0,
IF(Investment_Strategy="DIS",VLOOKUP(Investment_Strategy&amp;"_"&amp;Investment_Strategy_Sub1&amp;"_"&amp;$A539,'Investment Strategies'!$AZ:$BP,17,FALSE),
IF(AND(Investment_Strategy="Lifecycle",Investment_Strategy_Sub1="Non-Standard"),VLOOKUP(Investment_Strategy&amp;"_"&amp;Investment_Strategy_Sub2&amp;"_"&amp;$A539,'Investment Strategies'!$C:$P,14,FALSE),
IF(AND(Investment_Strategy="Lifecycle",Investment_Strategy_Sub1="Standard"),VLOOKUP(Investment_Strategy&amp;"_"&amp;Investment_Strategy_Sub2&amp;"_"&amp;$A539,'Investment Strategies'!$AJ:$AV,13,FALSE),
IF(AND(Investment_Strategy="Autopilot",Investment_Strategy_Sub1="Non-Standard"),VLOOKUP(Investment_Strategy&amp;"_"&amp;Investment_Strategy_Sub2&amp;"_"&amp;$A539,'Investment Strategies'!$T:$AF,13,FALSE),
IF(Investment_Strategy="DIY",DIY_ExtManChrge_FuturePremiums,
"Error"))))))</f>
        <v>0</v>
      </c>
      <c r="W539" s="16">
        <f t="shared" si="302"/>
        <v>0</v>
      </c>
      <c r="X539" s="16">
        <f t="shared" ref="X539:X602" si="314">SRP_AP/Contributions_per_year * (1+MIN(Max_Contrib_Escalation,SRP_Contrib_Escalation))^($C539-1) * $AV539 * $AW539</f>
        <v>0</v>
      </c>
      <c r="Y539" s="16">
        <f t="shared" ref="Y539:Y602" si="315">(W539+(X539*(1-Z539)))*T539*IF(D539=$A$91,SRP_finalmonthfactor,1)</f>
        <v>0</v>
      </c>
      <c r="Z539" s="31">
        <f t="shared" ref="Z539:Z602" si="316">IF(X539/(12/Contributions_per_year)&lt;=99.99,2%,0%)*AW539</f>
        <v>0.02</v>
      </c>
      <c r="AA539" s="16">
        <f t="shared" ref="AA539:AA602" si="317">IF($AV539=0,0,
-(($W539+($X539)*(1-Z539)+Y539/2)*(SRP_Monthly_Admin_Chge+$U539+$V539)*IF(D539=$A$91,SRP_finalmonthfactor,1)+
+($X539)*Z539))</f>
        <v>0</v>
      </c>
      <c r="AB539" s="28">
        <f t="shared" si="303"/>
        <v>0</v>
      </c>
      <c r="AC539" s="28">
        <f>(SUM($AC$91:AC538)+SUM($X$91:X538)+X539)*T539*IF(D539=$A$91,SRP_finalmonthfactor,1)</f>
        <v>0</v>
      </c>
      <c r="AD539" s="16">
        <f t="shared" ref="AD539:AD602" si="318">IF($AV539=0,0,
IF((SRP_ValDate-SRP_PolicyStartDate)+(365*(D539-1)/12)&lt;365,-(($H539+$I539/2+$O539+$P539+Q539/2+$W539+$X539+Y539/2)*(SRP_Ren_Com_Mthly)+($P539*SRP_Init_Com_SP)+($X539*SRP_Init_Com_RP)),
-((H$91+$I539/2+$O539+$P539+Q539/2+$W539+$X539+Y539/2)*(SRP_Ren_Com_Mthly))))</f>
        <v>0</v>
      </c>
      <c r="AE539" s="106"/>
      <c r="AF539" s="16">
        <f t="shared" si="291"/>
        <v>0</v>
      </c>
      <c r="AG539" s="16">
        <f t="shared" si="292"/>
        <v>0</v>
      </c>
      <c r="AH539" s="16">
        <f t="shared" si="293"/>
        <v>0</v>
      </c>
      <c r="AJ539" s="13">
        <f t="shared" si="309"/>
        <v>0</v>
      </c>
      <c r="AK539" s="13">
        <f t="shared" si="309"/>
        <v>0</v>
      </c>
      <c r="AL539" s="13">
        <f t="shared" si="309"/>
        <v>0</v>
      </c>
      <c r="AM539" s="13">
        <f t="shared" si="309"/>
        <v>0</v>
      </c>
      <c r="AN539" s="13">
        <f t="shared" si="309"/>
        <v>0</v>
      </c>
      <c r="AO539" s="13">
        <f t="shared" si="309"/>
        <v>1</v>
      </c>
      <c r="AP539" s="13">
        <f t="shared" si="309"/>
        <v>1</v>
      </c>
      <c r="AQ539" s="13">
        <f t="shared" si="309"/>
        <v>1</v>
      </c>
      <c r="AR539" s="13">
        <f t="shared" si="309"/>
        <v>0</v>
      </c>
      <c r="AS539" s="13">
        <f t="shared" si="309"/>
        <v>0</v>
      </c>
      <c r="AT539" s="13">
        <f t="shared" si="309"/>
        <v>0</v>
      </c>
      <c r="AU539" s="13">
        <f t="shared" si="309"/>
        <v>1</v>
      </c>
      <c r="AV539" s="13">
        <f t="shared" ref="AV539:AV602" si="319">IF($B539&lt;SRP_NRA,1,0)</f>
        <v>0</v>
      </c>
      <c r="AW539" s="13">
        <f t="shared" ref="AW539:AW602" si="320">IF($I$60 = "Yes",IF(SRP_PremFreq = "Annual",IF(MOD(D539-1, 12) = 0, 1, 0), IF(SRP_PremFreq = "Half-Yearly", IF(MOD(D539-1, 6) = 0, 1, 0), IF(SRP_PremFreq = "Quarterly", IF(MOD(D539-1, 3) = 0, 1, 0), IF(SRP_PremFreq = "Monthly", IF(MOD(D539-1, 1) = 0, 1, 0), "Error")))),0)</f>
        <v>1</v>
      </c>
      <c r="AY539" s="17">
        <f t="shared" ref="AY539:AY602" si="321">D539</f>
        <v>449</v>
      </c>
      <c r="AZ539" s="28">
        <f t="shared" si="294"/>
        <v>0</v>
      </c>
      <c r="BA539" s="13">
        <f t="shared" ref="BA539:BA602" si="322">-IF(A539=0,$F$32,0)</f>
        <v>0</v>
      </c>
      <c r="BB539" s="13">
        <f t="shared" ref="BB539:BB602" si="323">-IF(A539=0,$G$32,0)</f>
        <v>0</v>
      </c>
      <c r="BC539" s="28">
        <f t="shared" si="295"/>
        <v>0</v>
      </c>
      <c r="BD539" s="28">
        <f t="shared" si="296"/>
        <v>0</v>
      </c>
      <c r="BF539" s="248">
        <f t="shared" si="297"/>
        <v>993869.29442638322</v>
      </c>
    </row>
    <row r="540" spans="1:58">
      <c r="A540" s="32">
        <f t="shared" si="298"/>
        <v>-365</v>
      </c>
      <c r="B540" s="32">
        <f t="shared" ref="B540:B603" si="324">INT(SRP_Current_Age+D539/12)</f>
        <v>90</v>
      </c>
      <c r="C540" s="32">
        <f t="shared" si="299"/>
        <v>38</v>
      </c>
      <c r="D540" s="32">
        <f t="shared" si="300"/>
        <v>450</v>
      </c>
      <c r="E540" s="74">
        <f>MIN(IF(AV540=0,0,
IF(Investment_Strategy="DIS",VLOOKUP(Investment_Strategy&amp;"_"&amp;Investment_Strategy_Sub1&amp;"_"&amp;$A540,'Investment Strategies'!$AZ:$BP,12,FALSE),
IF(AND(Investment_Strategy="Lifecycle",Investment_Strategy_Sub1="Non-Standard"),VLOOKUP(Investment_Strategy&amp;"_"&amp;Investment_Strategy_Sub2&amp;"_"&amp;$A540,'Investment Strategies'!$C:$P,9,FALSE),
IF(AND(Investment_Strategy="Lifecycle",Investment_Strategy_Sub1="Standard"),VLOOKUP(Investment_Strategy&amp;"_"&amp;Investment_Strategy_Sub2&amp;"_"&amp;$A540,'Investment Strategies'!$AJ:$AV,8,FALSE),
IF(AND(Investment_Strategy="Autopilot",Investment_Strategy_Sub1="Non-Standard"),VLOOKUP(Investment_Strategy&amp;"_"&amp;Investment_Strategy_Sub2&amp;"_"&amp;$A540,'Investment Strategies'!$T:$AF,8,FALSE),
IF(Investment_Strategy ="DIY",DIY_RateOfReturn_CurrentFunds,
"Error")))))),Max_InvReturn)</f>
        <v>0</v>
      </c>
      <c r="F540" s="62">
        <f>IF(AV540=0,0,
IF(Investment_Strategy="DIS",VLOOKUP(Investment_Strategy&amp;"_"&amp;Investment_Strategy_Sub1&amp;"_"&amp;$A540,'Investment Strategies'!$AZ:$BP,15,FALSE),
IF(AND(Investment_Strategy="Lifecycle",Investment_Strategy_Sub1="Non-Standard"),VLOOKUP(Investment_Strategy&amp;"_"&amp;Investment_Strategy_Sub2&amp;"_"&amp;$A540,'Investment Strategies'!$C:$P,12,FALSE),
IF(AND(Investment_Strategy="Lifecycle",Investment_Strategy_Sub1="Standard"),VLOOKUP(Investment_Strategy&amp;"_"&amp;Investment_Strategy_Sub2&amp;"_"&amp;$A540,'Investment Strategies'!$AJ:$AV,11,FALSE),
IF(AND(Investment_Strategy="Autopilot",Investment_Strategy_Sub1="Non-Standard"),VLOOKUP(Investment_Strategy&amp;"_"&amp;Investment_Strategy_Sub2&amp;"_"&amp;$A540,'Investment Strategies'!$T:$AF,11,FALSE),
IF(Investment_Strategy="DIY",DIY_GteeChrge_CurrentFunds,
"Error"))))))</f>
        <v>0</v>
      </c>
      <c r="G540" s="33">
        <f>IF(AV540=0,0,
IF(Investment_Strategy="DIS",VLOOKUP(Investment_Strategy&amp;"_"&amp;Investment_Strategy_Sub1&amp;"_"&amp;$A540,'Investment Strategies'!$AZ:$BP,17,FALSE),
IF(AND(Investment_Strategy="Lifecycle",Investment_Strategy_Sub1="Non-Standard"),VLOOKUP(Investment_Strategy&amp;"_"&amp;Investment_Strategy_Sub2&amp;"_"&amp;$A540,'Investment Strategies'!$C:$P,14,FALSE),
IF(AND(Investment_Strategy="Lifecycle",Investment_Strategy_Sub1="Standard"),VLOOKUP(Investment_Strategy&amp;"_"&amp;Investment_Strategy_Sub2&amp;"_"&amp;$A540,'Investment Strategies'!$AJ:$AV,13,FALSE),
IF(AND(Investment_Strategy="Autopilot",Investment_Strategy_Sub1="Non-Standard"),VLOOKUP(Investment_Strategy&amp;"_"&amp;Investment_Strategy_Sub2&amp;"_"&amp;$A540,'Investment Strategies'!$T:$AF,13,FALSE),
IF(Investment_Strategy="DIY",DIY_ExtManChrge_CurrentFunds,
"Error"))))))</f>
        <v>0</v>
      </c>
      <c r="H540" s="16">
        <f t="shared" ref="H540:H603" si="325">IF($AV539=0,0,SUM(H539:J539))</f>
        <v>0</v>
      </c>
      <c r="I540" s="16">
        <f t="shared" si="311"/>
        <v>0</v>
      </c>
      <c r="J540" s="16">
        <f t="shared" si="312"/>
        <v>0</v>
      </c>
      <c r="K540" s="16">
        <f>(Opening_Fund_Value+SUM(K$91:K539))*E540*IF(D540=$A$91,SRP_finalmonthfactor,1)</f>
        <v>0</v>
      </c>
      <c r="L540" s="74">
        <f>MIN(IF($AV540=0,0,
IF(Investment_Strategy="DIS",VLOOKUP(Investment_Strategy&amp;"_"&amp;Investment_Strategy_Sub1&amp;"_"&amp;$A540,'Investment Strategies'!$AZ:$BP,12,FALSE),
IF(AND(Investment_Strategy="Lifecycle",Investment_Strategy_Sub1="Non-Standard"),VLOOKUP(Investment_Strategy&amp;"_"&amp;Investment_Strategy_Sub2&amp;"_"&amp;$A540,'Investment Strategies'!$C:$P,9,FALSE),
IF(AND(Investment_Strategy="Lifecycle",Investment_Strategy_Sub1="Standard"),VLOOKUP(Investment_Strategy&amp;"_"&amp;Investment_Strategy_Sub2&amp;"_"&amp;$A540,'Investment Strategies'!$AJ:$AV,8,FALSE),
IF(AND(Investment_Strategy="Autopilot",Investment_Strategy_Sub1="Non-Standard"),VLOOKUP(Investment_Strategy&amp;"_"&amp;Investment_Strategy_Sub2&amp;"_"&amp;$A540,'Investment Strategies'!$T:$AF,8,FALSE),
IF(Investment_Strategy ="DIY",DIY_RateofReturn_SP,
"Error")))))),Max_InvReturn)</f>
        <v>0</v>
      </c>
      <c r="M540" s="62">
        <f>IF($AV540=0,0,
IF(Investment_Strategy="DIS",VLOOKUP(Investment_Strategy&amp;"_"&amp;Investment_Strategy_Sub1&amp;"_"&amp;$A540,'Investment Strategies'!$AZ:$BP,15,FALSE),
IF(AND(Investment_Strategy="Lifecycle",Investment_Strategy_Sub1="Non-Standard"),VLOOKUP(Investment_Strategy&amp;"_"&amp;Investment_Strategy_Sub2&amp;"_"&amp;$A540,'Investment Strategies'!$C:$P,12,FALSE),
IF(AND(Investment_Strategy="Lifecycle",Investment_Strategy_Sub1="Standard"),VLOOKUP(Investment_Strategy&amp;"_"&amp;Investment_Strategy_Sub2&amp;"_"&amp;$A540,'Investment Strategies'!$AJ:$AV,11,FALSE),
IF(AND(Investment_Strategy="Autopilot",Investment_Strategy_Sub1="Non-Standard"),VLOOKUP(Investment_Strategy&amp;"_"&amp;Investment_Strategy_Sub2&amp;"_"&amp;$A540,'Investment Strategies'!$T:$AF,11,FALSE),
IF(Investment_Strategy="DIY",DIY_GteeChrge_SP,
"Error"))))))</f>
        <v>0</v>
      </c>
      <c r="N540" s="33">
        <f>IF($AV540=0,0,
IF(Investment_Strategy="DIS",VLOOKUP(Investment_Strategy&amp;"_"&amp;Investment_Strategy_Sub1&amp;"_"&amp;$A540,'Investment Strategies'!$AZ:$BP,17,FALSE),
IF(AND(Investment_Strategy="Lifecycle",Investment_Strategy_Sub1="Non-Standard"),VLOOKUP(Investment_Strategy&amp;"_"&amp;Investment_Strategy_Sub2&amp;"_"&amp;$A540,'Investment Strategies'!$C:$P,14,FALSE),
IF(AND(Investment_Strategy="Lifecycle",Investment_Strategy_Sub1="Standard"),VLOOKUP(Investment_Strategy&amp;"_"&amp;Investment_Strategy_Sub2&amp;"_"&amp;$A540,'Investment Strategies'!$AJ:$AV,13,FALSE),
IF(AND(Investment_Strategy="Autopilot",Investment_Strategy_Sub1="Non-Standard"),VLOOKUP(Investment_Strategy&amp;"_"&amp;Investment_Strategy_Sub2&amp;"_"&amp;$A540,'Investment Strategies'!$T:$AF,13,FALSE),
IF(Investment_Strategy="DIY",DIY_ExtManChrge_SP,
"Error"))))))</f>
        <v>0</v>
      </c>
      <c r="O540" s="16">
        <f t="shared" si="301"/>
        <v>0</v>
      </c>
      <c r="Q540" s="16">
        <f t="shared" si="313"/>
        <v>0</v>
      </c>
      <c r="R540" s="16">
        <f t="shared" si="310"/>
        <v>0</v>
      </c>
      <c r="S540" s="16">
        <f>(SRP_SP+SUM(S$91:S539))*L540*IF(D540=$A$91,SRP_finalmonthfactor,1)</f>
        <v>0</v>
      </c>
      <c r="T540" s="74">
        <f>MIN(IF($AV540=0,0,
IF(Investment_Strategy="DIS",VLOOKUP(Investment_Strategy&amp;"_"&amp;Investment_Strategy_Sub1&amp;"_"&amp;$A540,'Investment Strategies'!$AZ:$BP,12,FALSE),
IF(AND(Investment_Strategy="Lifecycle",Investment_Strategy_Sub1="Non-Standard"),VLOOKUP(Investment_Strategy&amp;"_"&amp;Investment_Strategy_Sub2&amp;"_"&amp;$A540,'Investment Strategies'!$C:$P,9,FALSE),
IF(AND(Investment_Strategy="Lifecycle",Investment_Strategy_Sub1="Standard"),VLOOKUP(Investment_Strategy&amp;"_"&amp;Investment_Strategy_Sub2&amp;"_"&amp;$A540,'Investment Strategies'!$AJ:$AV,8,FALSE),
IF(AND(Investment_Strategy="Autopilot",Investment_Strategy_Sub1="Non-Standard"),VLOOKUP(Investment_Strategy&amp;"_"&amp;Investment_Strategy_Sub2&amp;"_"&amp;$A540,'Investment Strategies'!$T:$AF,8,FALSE),
IF(Investment_Strategy ="DIY",DIY_RateOfReturn_FuturePremiums,
"Error")))))),Max_InvReturn)</f>
        <v>0</v>
      </c>
      <c r="U540" s="62">
        <f>IF($AV540=0,0,
IF(Investment_Strategy="DIS",VLOOKUP(Investment_Strategy&amp;"_"&amp;Investment_Strategy_Sub1&amp;"_"&amp;$A540,'Investment Strategies'!$AZ:$BP,15,FALSE),
IF(AND(Investment_Strategy="Lifecycle",Investment_Strategy_Sub1="Non-Standard"),VLOOKUP(Investment_Strategy&amp;"_"&amp;Investment_Strategy_Sub2&amp;"_"&amp;$A540,'Investment Strategies'!$C:$P,12,FALSE),
IF(AND(Investment_Strategy="Lifecycle",Investment_Strategy_Sub1="Standard"),VLOOKUP(Investment_Strategy&amp;"_"&amp;Investment_Strategy_Sub2&amp;"_"&amp;$A540,'Investment Strategies'!$AJ:$AV,11,FALSE),
IF(AND(Investment_Strategy="Autopilot",Investment_Strategy_Sub1="Non-Standard"),VLOOKUP(Investment_Strategy&amp;"_"&amp;Investment_Strategy_Sub2&amp;"_"&amp;$A540,'Investment Strategies'!$T:$AF,11,FALSE),
IF(Investment_Strategy="DIY",DIY_GteeChrge_FuturePremiums,
"Error"))))))</f>
        <v>0</v>
      </c>
      <c r="V540" s="33">
        <f>IF(AV540=0,0,
IF(Investment_Strategy="DIS",VLOOKUP(Investment_Strategy&amp;"_"&amp;Investment_Strategy_Sub1&amp;"_"&amp;$A540,'Investment Strategies'!$AZ:$BP,17,FALSE),
IF(AND(Investment_Strategy="Lifecycle",Investment_Strategy_Sub1="Non-Standard"),VLOOKUP(Investment_Strategy&amp;"_"&amp;Investment_Strategy_Sub2&amp;"_"&amp;$A540,'Investment Strategies'!$C:$P,14,FALSE),
IF(AND(Investment_Strategy="Lifecycle",Investment_Strategy_Sub1="Standard"),VLOOKUP(Investment_Strategy&amp;"_"&amp;Investment_Strategy_Sub2&amp;"_"&amp;$A540,'Investment Strategies'!$AJ:$AV,13,FALSE),
IF(AND(Investment_Strategy="Autopilot",Investment_Strategy_Sub1="Non-Standard"),VLOOKUP(Investment_Strategy&amp;"_"&amp;Investment_Strategy_Sub2&amp;"_"&amp;$A540,'Investment Strategies'!$T:$AF,13,FALSE),
IF(Investment_Strategy="DIY",DIY_ExtManChrge_FuturePremiums,
"Error"))))))</f>
        <v>0</v>
      </c>
      <c r="W540" s="16">
        <f t="shared" si="302"/>
        <v>0</v>
      </c>
      <c r="X540" s="16">
        <f t="shared" si="314"/>
        <v>0</v>
      </c>
      <c r="Y540" s="16">
        <f t="shared" si="315"/>
        <v>0</v>
      </c>
      <c r="Z540" s="31">
        <f t="shared" si="316"/>
        <v>0.02</v>
      </c>
      <c r="AA540" s="16">
        <f t="shared" si="317"/>
        <v>0</v>
      </c>
      <c r="AB540" s="28">
        <f t="shared" si="303"/>
        <v>0</v>
      </c>
      <c r="AC540" s="28">
        <f>(SUM($AC$91:AC539)+SUM($X$91:X539)+X540)*T540*IF(D540=$A$91,SRP_finalmonthfactor,1)</f>
        <v>0</v>
      </c>
      <c r="AD540" s="16">
        <f t="shared" si="318"/>
        <v>0</v>
      </c>
      <c r="AE540" s="106"/>
      <c r="AF540" s="16">
        <f t="shared" ref="AF540:AF603" si="326">H540+O540+W540</f>
        <v>0</v>
      </c>
      <c r="AG540" s="16">
        <f t="shared" ref="AG540:AG603" si="327">SUM($K540,$S540,$AC540)</f>
        <v>0</v>
      </c>
      <c r="AH540" s="16">
        <f t="shared" ref="AH540:AH603" si="328">SUM($J540,$R540,$AA540)</f>
        <v>0</v>
      </c>
      <c r="AJ540" s="13">
        <f t="shared" si="309"/>
        <v>0</v>
      </c>
      <c r="AK540" s="13">
        <f t="shared" si="309"/>
        <v>0</v>
      </c>
      <c r="AL540" s="13">
        <f t="shared" si="309"/>
        <v>0</v>
      </c>
      <c r="AM540" s="13">
        <f t="shared" si="309"/>
        <v>0</v>
      </c>
      <c r="AN540" s="13">
        <f t="shared" si="309"/>
        <v>0</v>
      </c>
      <c r="AO540" s="13">
        <f t="shared" si="309"/>
        <v>1</v>
      </c>
      <c r="AP540" s="13">
        <f t="shared" si="309"/>
        <v>1</v>
      </c>
      <c r="AQ540" s="13">
        <f t="shared" si="309"/>
        <v>1</v>
      </c>
      <c r="AR540" s="13">
        <f t="shared" si="309"/>
        <v>0</v>
      </c>
      <c r="AS540" s="13">
        <f t="shared" si="309"/>
        <v>0</v>
      </c>
      <c r="AT540" s="13">
        <f t="shared" si="309"/>
        <v>0</v>
      </c>
      <c r="AU540" s="13">
        <f t="shared" si="309"/>
        <v>1</v>
      </c>
      <c r="AV540" s="13">
        <f t="shared" si="319"/>
        <v>0</v>
      </c>
      <c r="AW540" s="13">
        <f t="shared" si="320"/>
        <v>1</v>
      </c>
      <c r="AY540" s="17">
        <f t="shared" si="321"/>
        <v>450</v>
      </c>
      <c r="AZ540" s="28">
        <f t="shared" ref="AZ540:AZ603" si="329">X540+P540</f>
        <v>0</v>
      </c>
      <c r="BA540" s="13">
        <f t="shared" si="322"/>
        <v>0</v>
      </c>
      <c r="BB540" s="13">
        <f t="shared" si="323"/>
        <v>0</v>
      </c>
      <c r="BC540" s="28">
        <f t="shared" ref="BC540:BC603" si="330">SUM(AZ540,BA540)</f>
        <v>0</v>
      </c>
      <c r="BD540" s="28">
        <f t="shared" ref="BD540:BD603" si="331">SUM(AZ540,BB540)</f>
        <v>0</v>
      </c>
      <c r="BF540" s="248">
        <f t="shared" ref="BF540:BF603" si="332">IF(ISNUMBER(BF539), (BF539+X540), (P540+X540))*(1+T540)</f>
        <v>993869.29442638322</v>
      </c>
    </row>
    <row r="541" spans="1:58">
      <c r="A541" s="32">
        <f t="shared" ref="A541:A604" si="333">A540-1</f>
        <v>-366</v>
      </c>
      <c r="B541" s="32">
        <f t="shared" si="324"/>
        <v>90</v>
      </c>
      <c r="C541" s="32">
        <f t="shared" ref="C541:C604" si="334">INT((D541-1)/12)+1</f>
        <v>38</v>
      </c>
      <c r="D541" s="32">
        <f t="shared" ref="D541:D604" si="335">D540+1</f>
        <v>451</v>
      </c>
      <c r="E541" s="74">
        <f>MIN(IF(AV541=0,0,
IF(Investment_Strategy="DIS",VLOOKUP(Investment_Strategy&amp;"_"&amp;Investment_Strategy_Sub1&amp;"_"&amp;$A541,'Investment Strategies'!$AZ:$BP,12,FALSE),
IF(AND(Investment_Strategy="Lifecycle",Investment_Strategy_Sub1="Non-Standard"),VLOOKUP(Investment_Strategy&amp;"_"&amp;Investment_Strategy_Sub2&amp;"_"&amp;$A541,'Investment Strategies'!$C:$P,9,FALSE),
IF(AND(Investment_Strategy="Lifecycle",Investment_Strategy_Sub1="Standard"),VLOOKUP(Investment_Strategy&amp;"_"&amp;Investment_Strategy_Sub2&amp;"_"&amp;$A541,'Investment Strategies'!$AJ:$AV,8,FALSE),
IF(AND(Investment_Strategy="Autopilot",Investment_Strategy_Sub1="Non-Standard"),VLOOKUP(Investment_Strategy&amp;"_"&amp;Investment_Strategy_Sub2&amp;"_"&amp;$A541,'Investment Strategies'!$T:$AF,8,FALSE),
IF(Investment_Strategy ="DIY",DIY_RateOfReturn_CurrentFunds,
"Error")))))),Max_InvReturn)</f>
        <v>0</v>
      </c>
      <c r="F541" s="62">
        <f>IF(AV541=0,0,
IF(Investment_Strategy="DIS",VLOOKUP(Investment_Strategy&amp;"_"&amp;Investment_Strategy_Sub1&amp;"_"&amp;$A541,'Investment Strategies'!$AZ:$BP,15,FALSE),
IF(AND(Investment_Strategy="Lifecycle",Investment_Strategy_Sub1="Non-Standard"),VLOOKUP(Investment_Strategy&amp;"_"&amp;Investment_Strategy_Sub2&amp;"_"&amp;$A541,'Investment Strategies'!$C:$P,12,FALSE),
IF(AND(Investment_Strategy="Lifecycle",Investment_Strategy_Sub1="Standard"),VLOOKUP(Investment_Strategy&amp;"_"&amp;Investment_Strategy_Sub2&amp;"_"&amp;$A541,'Investment Strategies'!$AJ:$AV,11,FALSE),
IF(AND(Investment_Strategy="Autopilot",Investment_Strategy_Sub1="Non-Standard"),VLOOKUP(Investment_Strategy&amp;"_"&amp;Investment_Strategy_Sub2&amp;"_"&amp;$A541,'Investment Strategies'!$T:$AF,11,FALSE),
IF(Investment_Strategy="DIY",DIY_GteeChrge_CurrentFunds,
"Error"))))))</f>
        <v>0</v>
      </c>
      <c r="G541" s="33">
        <f>IF(AV541=0,0,
IF(Investment_Strategy="DIS",VLOOKUP(Investment_Strategy&amp;"_"&amp;Investment_Strategy_Sub1&amp;"_"&amp;$A541,'Investment Strategies'!$AZ:$BP,17,FALSE),
IF(AND(Investment_Strategy="Lifecycle",Investment_Strategy_Sub1="Non-Standard"),VLOOKUP(Investment_Strategy&amp;"_"&amp;Investment_Strategy_Sub2&amp;"_"&amp;$A541,'Investment Strategies'!$C:$P,14,FALSE),
IF(AND(Investment_Strategy="Lifecycle",Investment_Strategy_Sub1="Standard"),VLOOKUP(Investment_Strategy&amp;"_"&amp;Investment_Strategy_Sub2&amp;"_"&amp;$A541,'Investment Strategies'!$AJ:$AV,13,FALSE),
IF(AND(Investment_Strategy="Autopilot",Investment_Strategy_Sub1="Non-Standard"),VLOOKUP(Investment_Strategy&amp;"_"&amp;Investment_Strategy_Sub2&amp;"_"&amp;$A541,'Investment Strategies'!$T:$AF,13,FALSE),
IF(Investment_Strategy="DIY",DIY_ExtManChrge_CurrentFunds,
"Error"))))))</f>
        <v>0</v>
      </c>
      <c r="H541" s="16">
        <f t="shared" si="325"/>
        <v>0</v>
      </c>
      <c r="I541" s="16">
        <f t="shared" si="311"/>
        <v>0</v>
      </c>
      <c r="J541" s="16">
        <f t="shared" si="312"/>
        <v>0</v>
      </c>
      <c r="K541" s="16">
        <f>(Opening_Fund_Value+SUM(K$91:K540))*E541*IF(D541=$A$91,SRP_finalmonthfactor,1)</f>
        <v>0</v>
      </c>
      <c r="L541" s="74">
        <f>MIN(IF($AV541=0,0,
IF(Investment_Strategy="DIS",VLOOKUP(Investment_Strategy&amp;"_"&amp;Investment_Strategy_Sub1&amp;"_"&amp;$A541,'Investment Strategies'!$AZ:$BP,12,FALSE),
IF(AND(Investment_Strategy="Lifecycle",Investment_Strategy_Sub1="Non-Standard"),VLOOKUP(Investment_Strategy&amp;"_"&amp;Investment_Strategy_Sub2&amp;"_"&amp;$A541,'Investment Strategies'!$C:$P,9,FALSE),
IF(AND(Investment_Strategy="Lifecycle",Investment_Strategy_Sub1="Standard"),VLOOKUP(Investment_Strategy&amp;"_"&amp;Investment_Strategy_Sub2&amp;"_"&amp;$A541,'Investment Strategies'!$AJ:$AV,8,FALSE),
IF(AND(Investment_Strategy="Autopilot",Investment_Strategy_Sub1="Non-Standard"),VLOOKUP(Investment_Strategy&amp;"_"&amp;Investment_Strategy_Sub2&amp;"_"&amp;$A541,'Investment Strategies'!$T:$AF,8,FALSE),
IF(Investment_Strategy ="DIY",DIY_RateofReturn_SP,
"Error")))))),Max_InvReturn)</f>
        <v>0</v>
      </c>
      <c r="M541" s="62">
        <f>IF($AV541=0,0,
IF(Investment_Strategy="DIS",VLOOKUP(Investment_Strategy&amp;"_"&amp;Investment_Strategy_Sub1&amp;"_"&amp;$A541,'Investment Strategies'!$AZ:$BP,15,FALSE),
IF(AND(Investment_Strategy="Lifecycle",Investment_Strategy_Sub1="Non-Standard"),VLOOKUP(Investment_Strategy&amp;"_"&amp;Investment_Strategy_Sub2&amp;"_"&amp;$A541,'Investment Strategies'!$C:$P,12,FALSE),
IF(AND(Investment_Strategy="Lifecycle",Investment_Strategy_Sub1="Standard"),VLOOKUP(Investment_Strategy&amp;"_"&amp;Investment_Strategy_Sub2&amp;"_"&amp;$A541,'Investment Strategies'!$AJ:$AV,11,FALSE),
IF(AND(Investment_Strategy="Autopilot",Investment_Strategy_Sub1="Non-Standard"),VLOOKUP(Investment_Strategy&amp;"_"&amp;Investment_Strategy_Sub2&amp;"_"&amp;$A541,'Investment Strategies'!$T:$AF,11,FALSE),
IF(Investment_Strategy="DIY",DIY_GteeChrge_SP,
"Error"))))))</f>
        <v>0</v>
      </c>
      <c r="N541" s="33">
        <f>IF($AV541=0,0,
IF(Investment_Strategy="DIS",VLOOKUP(Investment_Strategy&amp;"_"&amp;Investment_Strategy_Sub1&amp;"_"&amp;$A541,'Investment Strategies'!$AZ:$BP,17,FALSE),
IF(AND(Investment_Strategy="Lifecycle",Investment_Strategy_Sub1="Non-Standard"),VLOOKUP(Investment_Strategy&amp;"_"&amp;Investment_Strategy_Sub2&amp;"_"&amp;$A541,'Investment Strategies'!$C:$P,14,FALSE),
IF(AND(Investment_Strategy="Lifecycle",Investment_Strategy_Sub1="Standard"),VLOOKUP(Investment_Strategy&amp;"_"&amp;Investment_Strategy_Sub2&amp;"_"&amp;$A541,'Investment Strategies'!$AJ:$AV,13,FALSE),
IF(AND(Investment_Strategy="Autopilot",Investment_Strategy_Sub1="Non-Standard"),VLOOKUP(Investment_Strategy&amp;"_"&amp;Investment_Strategy_Sub2&amp;"_"&amp;$A541,'Investment Strategies'!$T:$AF,13,FALSE),
IF(Investment_Strategy="DIY",DIY_ExtManChrge_SP,
"Error"))))))</f>
        <v>0</v>
      </c>
      <c r="O541" s="16">
        <f t="shared" ref="O541:O604" si="336">IF($AV540=0,0,SUM(O540:R540))</f>
        <v>0</v>
      </c>
      <c r="Q541" s="16">
        <f t="shared" si="313"/>
        <v>0</v>
      </c>
      <c r="R541" s="16">
        <f t="shared" si="310"/>
        <v>0</v>
      </c>
      <c r="S541" s="16">
        <f>(SRP_SP+SUM(S$91:S540))*L541*IF(D541=$A$91,SRP_finalmonthfactor,1)</f>
        <v>0</v>
      </c>
      <c r="T541" s="74">
        <f>MIN(IF($AV541=0,0,
IF(Investment_Strategy="DIS",VLOOKUP(Investment_Strategy&amp;"_"&amp;Investment_Strategy_Sub1&amp;"_"&amp;$A541,'Investment Strategies'!$AZ:$BP,12,FALSE),
IF(AND(Investment_Strategy="Lifecycle",Investment_Strategy_Sub1="Non-Standard"),VLOOKUP(Investment_Strategy&amp;"_"&amp;Investment_Strategy_Sub2&amp;"_"&amp;$A541,'Investment Strategies'!$C:$P,9,FALSE),
IF(AND(Investment_Strategy="Lifecycle",Investment_Strategy_Sub1="Standard"),VLOOKUP(Investment_Strategy&amp;"_"&amp;Investment_Strategy_Sub2&amp;"_"&amp;$A541,'Investment Strategies'!$AJ:$AV,8,FALSE),
IF(AND(Investment_Strategy="Autopilot",Investment_Strategy_Sub1="Non-Standard"),VLOOKUP(Investment_Strategy&amp;"_"&amp;Investment_Strategy_Sub2&amp;"_"&amp;$A541,'Investment Strategies'!$T:$AF,8,FALSE),
IF(Investment_Strategy ="DIY",DIY_RateOfReturn_FuturePremiums,
"Error")))))),Max_InvReturn)</f>
        <v>0</v>
      </c>
      <c r="U541" s="62">
        <f>IF($AV541=0,0,
IF(Investment_Strategy="DIS",VLOOKUP(Investment_Strategy&amp;"_"&amp;Investment_Strategy_Sub1&amp;"_"&amp;$A541,'Investment Strategies'!$AZ:$BP,15,FALSE),
IF(AND(Investment_Strategy="Lifecycle",Investment_Strategy_Sub1="Non-Standard"),VLOOKUP(Investment_Strategy&amp;"_"&amp;Investment_Strategy_Sub2&amp;"_"&amp;$A541,'Investment Strategies'!$C:$P,12,FALSE),
IF(AND(Investment_Strategy="Lifecycle",Investment_Strategy_Sub1="Standard"),VLOOKUP(Investment_Strategy&amp;"_"&amp;Investment_Strategy_Sub2&amp;"_"&amp;$A541,'Investment Strategies'!$AJ:$AV,11,FALSE),
IF(AND(Investment_Strategy="Autopilot",Investment_Strategy_Sub1="Non-Standard"),VLOOKUP(Investment_Strategy&amp;"_"&amp;Investment_Strategy_Sub2&amp;"_"&amp;$A541,'Investment Strategies'!$T:$AF,11,FALSE),
IF(Investment_Strategy="DIY",DIY_GteeChrge_FuturePremiums,
"Error"))))))</f>
        <v>0</v>
      </c>
      <c r="V541" s="33">
        <f>IF(AV541=0,0,
IF(Investment_Strategy="DIS",VLOOKUP(Investment_Strategy&amp;"_"&amp;Investment_Strategy_Sub1&amp;"_"&amp;$A541,'Investment Strategies'!$AZ:$BP,17,FALSE),
IF(AND(Investment_Strategy="Lifecycle",Investment_Strategy_Sub1="Non-Standard"),VLOOKUP(Investment_Strategy&amp;"_"&amp;Investment_Strategy_Sub2&amp;"_"&amp;$A541,'Investment Strategies'!$C:$P,14,FALSE),
IF(AND(Investment_Strategy="Lifecycle",Investment_Strategy_Sub1="Standard"),VLOOKUP(Investment_Strategy&amp;"_"&amp;Investment_Strategy_Sub2&amp;"_"&amp;$A541,'Investment Strategies'!$AJ:$AV,13,FALSE),
IF(AND(Investment_Strategy="Autopilot",Investment_Strategy_Sub1="Non-Standard"),VLOOKUP(Investment_Strategy&amp;"_"&amp;Investment_Strategy_Sub2&amp;"_"&amp;$A541,'Investment Strategies'!$T:$AF,13,FALSE),
IF(Investment_Strategy="DIY",DIY_ExtManChrge_FuturePremiums,
"Error"))))))</f>
        <v>0</v>
      </c>
      <c r="W541" s="16">
        <f t="shared" ref="W541:W604" si="337">IF($AV540=0,0,SUM(W540:Y540)+AA540)</f>
        <v>0</v>
      </c>
      <c r="X541" s="16">
        <f t="shared" si="314"/>
        <v>0</v>
      </c>
      <c r="Y541" s="16">
        <f t="shared" si="315"/>
        <v>0</v>
      </c>
      <c r="Z541" s="31">
        <f t="shared" si="316"/>
        <v>0.02</v>
      </c>
      <c r="AA541" s="16">
        <f t="shared" si="317"/>
        <v>0</v>
      </c>
      <c r="AB541" s="28">
        <f t="shared" si="303"/>
        <v>0</v>
      </c>
      <c r="AC541" s="28">
        <f>(SUM($AC$91:AC540)+SUM($X$91:X540)+X541)*T541*IF(D541=$A$91,SRP_finalmonthfactor,1)</f>
        <v>0</v>
      </c>
      <c r="AD541" s="16">
        <f t="shared" si="318"/>
        <v>0</v>
      </c>
      <c r="AE541" s="106"/>
      <c r="AF541" s="16">
        <f t="shared" si="326"/>
        <v>0</v>
      </c>
      <c r="AG541" s="16">
        <f t="shared" si="327"/>
        <v>0</v>
      </c>
      <c r="AH541" s="16">
        <f t="shared" si="328"/>
        <v>0</v>
      </c>
      <c r="AJ541" s="13">
        <f t="shared" ref="AJ541:AU550" si="338">IF($C541&lt;=AJ$90,1,0)</f>
        <v>0</v>
      </c>
      <c r="AK541" s="13">
        <f t="shared" si="338"/>
        <v>0</v>
      </c>
      <c r="AL541" s="13">
        <f t="shared" si="338"/>
        <v>0</v>
      </c>
      <c r="AM541" s="13">
        <f t="shared" si="338"/>
        <v>0</v>
      </c>
      <c r="AN541" s="13">
        <f t="shared" si="338"/>
        <v>0</v>
      </c>
      <c r="AO541" s="13">
        <f t="shared" si="338"/>
        <v>1</v>
      </c>
      <c r="AP541" s="13">
        <f t="shared" si="338"/>
        <v>1</v>
      </c>
      <c r="AQ541" s="13">
        <f t="shared" si="338"/>
        <v>1</v>
      </c>
      <c r="AR541" s="13">
        <f t="shared" si="338"/>
        <v>0</v>
      </c>
      <c r="AS541" s="13">
        <f t="shared" si="338"/>
        <v>0</v>
      </c>
      <c r="AT541" s="13">
        <f t="shared" si="338"/>
        <v>0</v>
      </c>
      <c r="AU541" s="13">
        <f t="shared" si="338"/>
        <v>1</v>
      </c>
      <c r="AV541" s="13">
        <f t="shared" si="319"/>
        <v>0</v>
      </c>
      <c r="AW541" s="13">
        <f t="shared" si="320"/>
        <v>1</v>
      </c>
      <c r="AY541" s="17">
        <f t="shared" si="321"/>
        <v>451</v>
      </c>
      <c r="AZ541" s="28">
        <f t="shared" si="329"/>
        <v>0</v>
      </c>
      <c r="BA541" s="13">
        <f t="shared" si="322"/>
        <v>0</v>
      </c>
      <c r="BB541" s="13">
        <f t="shared" si="323"/>
        <v>0</v>
      </c>
      <c r="BC541" s="28">
        <f t="shared" si="330"/>
        <v>0</v>
      </c>
      <c r="BD541" s="28">
        <f t="shared" si="331"/>
        <v>0</v>
      </c>
      <c r="BF541" s="248">
        <f t="shared" si="332"/>
        <v>993869.29442638322</v>
      </c>
    </row>
    <row r="542" spans="1:58">
      <c r="A542" s="32">
        <f t="shared" si="333"/>
        <v>-367</v>
      </c>
      <c r="B542" s="32">
        <f t="shared" si="324"/>
        <v>90</v>
      </c>
      <c r="C542" s="32">
        <f t="shared" si="334"/>
        <v>38</v>
      </c>
      <c r="D542" s="32">
        <f t="shared" si="335"/>
        <v>452</v>
      </c>
      <c r="E542" s="74">
        <f>MIN(IF(AV542=0,0,
IF(Investment_Strategy="DIS",VLOOKUP(Investment_Strategy&amp;"_"&amp;Investment_Strategy_Sub1&amp;"_"&amp;$A542,'Investment Strategies'!$AZ:$BP,12,FALSE),
IF(AND(Investment_Strategy="Lifecycle",Investment_Strategy_Sub1="Non-Standard"),VLOOKUP(Investment_Strategy&amp;"_"&amp;Investment_Strategy_Sub2&amp;"_"&amp;$A542,'Investment Strategies'!$C:$P,9,FALSE),
IF(AND(Investment_Strategy="Lifecycle",Investment_Strategy_Sub1="Standard"),VLOOKUP(Investment_Strategy&amp;"_"&amp;Investment_Strategy_Sub2&amp;"_"&amp;$A542,'Investment Strategies'!$AJ:$AV,8,FALSE),
IF(AND(Investment_Strategy="Autopilot",Investment_Strategy_Sub1="Non-Standard"),VLOOKUP(Investment_Strategy&amp;"_"&amp;Investment_Strategy_Sub2&amp;"_"&amp;$A542,'Investment Strategies'!$T:$AF,8,FALSE),
IF(Investment_Strategy ="DIY",DIY_RateOfReturn_CurrentFunds,
"Error")))))),Max_InvReturn)</f>
        <v>0</v>
      </c>
      <c r="F542" s="62">
        <f>IF(AV542=0,0,
IF(Investment_Strategy="DIS",VLOOKUP(Investment_Strategy&amp;"_"&amp;Investment_Strategy_Sub1&amp;"_"&amp;$A542,'Investment Strategies'!$AZ:$BP,15,FALSE),
IF(AND(Investment_Strategy="Lifecycle",Investment_Strategy_Sub1="Non-Standard"),VLOOKUP(Investment_Strategy&amp;"_"&amp;Investment_Strategy_Sub2&amp;"_"&amp;$A542,'Investment Strategies'!$C:$P,12,FALSE),
IF(AND(Investment_Strategy="Lifecycle",Investment_Strategy_Sub1="Standard"),VLOOKUP(Investment_Strategy&amp;"_"&amp;Investment_Strategy_Sub2&amp;"_"&amp;$A542,'Investment Strategies'!$AJ:$AV,11,FALSE),
IF(AND(Investment_Strategy="Autopilot",Investment_Strategy_Sub1="Non-Standard"),VLOOKUP(Investment_Strategy&amp;"_"&amp;Investment_Strategy_Sub2&amp;"_"&amp;$A542,'Investment Strategies'!$T:$AF,11,FALSE),
IF(Investment_Strategy="DIY",DIY_GteeChrge_CurrentFunds,
"Error"))))))</f>
        <v>0</v>
      </c>
      <c r="G542" s="33">
        <f>IF(AV542=0,0,
IF(Investment_Strategy="DIS",VLOOKUP(Investment_Strategy&amp;"_"&amp;Investment_Strategy_Sub1&amp;"_"&amp;$A542,'Investment Strategies'!$AZ:$BP,17,FALSE),
IF(AND(Investment_Strategy="Lifecycle",Investment_Strategy_Sub1="Non-Standard"),VLOOKUP(Investment_Strategy&amp;"_"&amp;Investment_Strategy_Sub2&amp;"_"&amp;$A542,'Investment Strategies'!$C:$P,14,FALSE),
IF(AND(Investment_Strategy="Lifecycle",Investment_Strategy_Sub1="Standard"),VLOOKUP(Investment_Strategy&amp;"_"&amp;Investment_Strategy_Sub2&amp;"_"&amp;$A542,'Investment Strategies'!$AJ:$AV,13,FALSE),
IF(AND(Investment_Strategy="Autopilot",Investment_Strategy_Sub1="Non-Standard"),VLOOKUP(Investment_Strategy&amp;"_"&amp;Investment_Strategy_Sub2&amp;"_"&amp;$A542,'Investment Strategies'!$T:$AF,13,FALSE),
IF(Investment_Strategy="DIY",DIY_ExtManChrge_CurrentFunds,
"Error"))))))</f>
        <v>0</v>
      </c>
      <c r="H542" s="16">
        <f t="shared" si="325"/>
        <v>0</v>
      </c>
      <c r="I542" s="16">
        <f t="shared" si="311"/>
        <v>0</v>
      </c>
      <c r="J542" s="16">
        <f t="shared" si="312"/>
        <v>0</v>
      </c>
      <c r="K542" s="16">
        <f>(Opening_Fund_Value+SUM(K$91:K541))*E542*IF(D542=$A$91,SRP_finalmonthfactor,1)</f>
        <v>0</v>
      </c>
      <c r="L542" s="74">
        <f>MIN(IF($AV542=0,0,
IF(Investment_Strategy="DIS",VLOOKUP(Investment_Strategy&amp;"_"&amp;Investment_Strategy_Sub1&amp;"_"&amp;$A542,'Investment Strategies'!$AZ:$BP,12,FALSE),
IF(AND(Investment_Strategy="Lifecycle",Investment_Strategy_Sub1="Non-Standard"),VLOOKUP(Investment_Strategy&amp;"_"&amp;Investment_Strategy_Sub2&amp;"_"&amp;$A542,'Investment Strategies'!$C:$P,9,FALSE),
IF(AND(Investment_Strategy="Lifecycle",Investment_Strategy_Sub1="Standard"),VLOOKUP(Investment_Strategy&amp;"_"&amp;Investment_Strategy_Sub2&amp;"_"&amp;$A542,'Investment Strategies'!$AJ:$AV,8,FALSE),
IF(AND(Investment_Strategy="Autopilot",Investment_Strategy_Sub1="Non-Standard"),VLOOKUP(Investment_Strategy&amp;"_"&amp;Investment_Strategy_Sub2&amp;"_"&amp;$A542,'Investment Strategies'!$T:$AF,8,FALSE),
IF(Investment_Strategy ="DIY",DIY_RateofReturn_SP,
"Error")))))),Max_InvReturn)</f>
        <v>0</v>
      </c>
      <c r="M542" s="62">
        <f>IF($AV542=0,0,
IF(Investment_Strategy="DIS",VLOOKUP(Investment_Strategy&amp;"_"&amp;Investment_Strategy_Sub1&amp;"_"&amp;$A542,'Investment Strategies'!$AZ:$BP,15,FALSE),
IF(AND(Investment_Strategy="Lifecycle",Investment_Strategy_Sub1="Non-Standard"),VLOOKUP(Investment_Strategy&amp;"_"&amp;Investment_Strategy_Sub2&amp;"_"&amp;$A542,'Investment Strategies'!$C:$P,12,FALSE),
IF(AND(Investment_Strategy="Lifecycle",Investment_Strategy_Sub1="Standard"),VLOOKUP(Investment_Strategy&amp;"_"&amp;Investment_Strategy_Sub2&amp;"_"&amp;$A542,'Investment Strategies'!$AJ:$AV,11,FALSE),
IF(AND(Investment_Strategy="Autopilot",Investment_Strategy_Sub1="Non-Standard"),VLOOKUP(Investment_Strategy&amp;"_"&amp;Investment_Strategy_Sub2&amp;"_"&amp;$A542,'Investment Strategies'!$T:$AF,11,FALSE),
IF(Investment_Strategy="DIY",DIY_GteeChrge_SP,
"Error"))))))</f>
        <v>0</v>
      </c>
      <c r="N542" s="33">
        <f>IF($AV542=0,0,
IF(Investment_Strategy="DIS",VLOOKUP(Investment_Strategy&amp;"_"&amp;Investment_Strategy_Sub1&amp;"_"&amp;$A542,'Investment Strategies'!$AZ:$BP,17,FALSE),
IF(AND(Investment_Strategy="Lifecycle",Investment_Strategy_Sub1="Non-Standard"),VLOOKUP(Investment_Strategy&amp;"_"&amp;Investment_Strategy_Sub2&amp;"_"&amp;$A542,'Investment Strategies'!$C:$P,14,FALSE),
IF(AND(Investment_Strategy="Lifecycle",Investment_Strategy_Sub1="Standard"),VLOOKUP(Investment_Strategy&amp;"_"&amp;Investment_Strategy_Sub2&amp;"_"&amp;$A542,'Investment Strategies'!$AJ:$AV,13,FALSE),
IF(AND(Investment_Strategy="Autopilot",Investment_Strategy_Sub1="Non-Standard"),VLOOKUP(Investment_Strategy&amp;"_"&amp;Investment_Strategy_Sub2&amp;"_"&amp;$A542,'Investment Strategies'!$T:$AF,13,FALSE),
IF(Investment_Strategy="DIY",DIY_ExtManChrge_SP,
"Error"))))))</f>
        <v>0</v>
      </c>
      <c r="O542" s="16">
        <f t="shared" si="336"/>
        <v>0</v>
      </c>
      <c r="Q542" s="16">
        <f t="shared" si="313"/>
        <v>0</v>
      </c>
      <c r="R542" s="16">
        <f t="shared" si="310"/>
        <v>0</v>
      </c>
      <c r="S542" s="16">
        <f>(SRP_SP+SUM(S$91:S541))*L542*IF(D542=$A$91,SRP_finalmonthfactor,1)</f>
        <v>0</v>
      </c>
      <c r="T542" s="74">
        <f>MIN(IF($AV542=0,0,
IF(Investment_Strategy="DIS",VLOOKUP(Investment_Strategy&amp;"_"&amp;Investment_Strategy_Sub1&amp;"_"&amp;$A542,'Investment Strategies'!$AZ:$BP,12,FALSE),
IF(AND(Investment_Strategy="Lifecycle",Investment_Strategy_Sub1="Non-Standard"),VLOOKUP(Investment_Strategy&amp;"_"&amp;Investment_Strategy_Sub2&amp;"_"&amp;$A542,'Investment Strategies'!$C:$P,9,FALSE),
IF(AND(Investment_Strategy="Lifecycle",Investment_Strategy_Sub1="Standard"),VLOOKUP(Investment_Strategy&amp;"_"&amp;Investment_Strategy_Sub2&amp;"_"&amp;$A542,'Investment Strategies'!$AJ:$AV,8,FALSE),
IF(AND(Investment_Strategy="Autopilot",Investment_Strategy_Sub1="Non-Standard"),VLOOKUP(Investment_Strategy&amp;"_"&amp;Investment_Strategy_Sub2&amp;"_"&amp;$A542,'Investment Strategies'!$T:$AF,8,FALSE),
IF(Investment_Strategy ="DIY",DIY_RateOfReturn_FuturePremiums,
"Error")))))),Max_InvReturn)</f>
        <v>0</v>
      </c>
      <c r="U542" s="62">
        <f>IF($AV542=0,0,
IF(Investment_Strategy="DIS",VLOOKUP(Investment_Strategy&amp;"_"&amp;Investment_Strategy_Sub1&amp;"_"&amp;$A542,'Investment Strategies'!$AZ:$BP,15,FALSE),
IF(AND(Investment_Strategy="Lifecycle",Investment_Strategy_Sub1="Non-Standard"),VLOOKUP(Investment_Strategy&amp;"_"&amp;Investment_Strategy_Sub2&amp;"_"&amp;$A542,'Investment Strategies'!$C:$P,12,FALSE),
IF(AND(Investment_Strategy="Lifecycle",Investment_Strategy_Sub1="Standard"),VLOOKUP(Investment_Strategy&amp;"_"&amp;Investment_Strategy_Sub2&amp;"_"&amp;$A542,'Investment Strategies'!$AJ:$AV,11,FALSE),
IF(AND(Investment_Strategy="Autopilot",Investment_Strategy_Sub1="Non-Standard"),VLOOKUP(Investment_Strategy&amp;"_"&amp;Investment_Strategy_Sub2&amp;"_"&amp;$A542,'Investment Strategies'!$T:$AF,11,FALSE),
IF(Investment_Strategy="DIY",DIY_GteeChrge_FuturePremiums,
"Error"))))))</f>
        <v>0</v>
      </c>
      <c r="V542" s="33">
        <f>IF(AV542=0,0,
IF(Investment_Strategy="DIS",VLOOKUP(Investment_Strategy&amp;"_"&amp;Investment_Strategy_Sub1&amp;"_"&amp;$A542,'Investment Strategies'!$AZ:$BP,17,FALSE),
IF(AND(Investment_Strategy="Lifecycle",Investment_Strategy_Sub1="Non-Standard"),VLOOKUP(Investment_Strategy&amp;"_"&amp;Investment_Strategy_Sub2&amp;"_"&amp;$A542,'Investment Strategies'!$C:$P,14,FALSE),
IF(AND(Investment_Strategy="Lifecycle",Investment_Strategy_Sub1="Standard"),VLOOKUP(Investment_Strategy&amp;"_"&amp;Investment_Strategy_Sub2&amp;"_"&amp;$A542,'Investment Strategies'!$AJ:$AV,13,FALSE),
IF(AND(Investment_Strategy="Autopilot",Investment_Strategy_Sub1="Non-Standard"),VLOOKUP(Investment_Strategy&amp;"_"&amp;Investment_Strategy_Sub2&amp;"_"&amp;$A542,'Investment Strategies'!$T:$AF,13,FALSE),
IF(Investment_Strategy="DIY",DIY_ExtManChrge_FuturePremiums,
"Error"))))))</f>
        <v>0</v>
      </c>
      <c r="W542" s="16">
        <f t="shared" si="337"/>
        <v>0</v>
      </c>
      <c r="X542" s="16">
        <f t="shared" si="314"/>
        <v>0</v>
      </c>
      <c r="Y542" s="16">
        <f t="shared" si="315"/>
        <v>0</v>
      </c>
      <c r="Z542" s="31">
        <f t="shared" si="316"/>
        <v>0.02</v>
      </c>
      <c r="AA542" s="16">
        <f t="shared" si="317"/>
        <v>0</v>
      </c>
      <c r="AB542" s="28">
        <f t="shared" ref="AB542:AB605" si="339">IF($AV541=0,0,SUM(K541,S541,AB541:AC541)+X541)</f>
        <v>0</v>
      </c>
      <c r="AC542" s="28">
        <f>(SUM($AC$91:AC541)+SUM($X$91:X541)+X542)*T542*IF(D542=$A$91,SRP_finalmonthfactor,1)</f>
        <v>0</v>
      </c>
      <c r="AD542" s="16">
        <f t="shared" si="318"/>
        <v>0</v>
      </c>
      <c r="AE542" s="106"/>
      <c r="AF542" s="16">
        <f t="shared" si="326"/>
        <v>0</v>
      </c>
      <c r="AG542" s="16">
        <f t="shared" si="327"/>
        <v>0</v>
      </c>
      <c r="AH542" s="16">
        <f t="shared" si="328"/>
        <v>0</v>
      </c>
      <c r="AJ542" s="13">
        <f t="shared" si="338"/>
        <v>0</v>
      </c>
      <c r="AK542" s="13">
        <f t="shared" si="338"/>
        <v>0</v>
      </c>
      <c r="AL542" s="13">
        <f t="shared" si="338"/>
        <v>0</v>
      </c>
      <c r="AM542" s="13">
        <f t="shared" si="338"/>
        <v>0</v>
      </c>
      <c r="AN542" s="13">
        <f t="shared" si="338"/>
        <v>0</v>
      </c>
      <c r="AO542" s="13">
        <f t="shared" si="338"/>
        <v>1</v>
      </c>
      <c r="AP542" s="13">
        <f t="shared" si="338"/>
        <v>1</v>
      </c>
      <c r="AQ542" s="13">
        <f t="shared" si="338"/>
        <v>1</v>
      </c>
      <c r="AR542" s="13">
        <f t="shared" si="338"/>
        <v>0</v>
      </c>
      <c r="AS542" s="13">
        <f t="shared" si="338"/>
        <v>0</v>
      </c>
      <c r="AT542" s="13">
        <f t="shared" si="338"/>
        <v>0</v>
      </c>
      <c r="AU542" s="13">
        <f t="shared" si="338"/>
        <v>1</v>
      </c>
      <c r="AV542" s="13">
        <f t="shared" si="319"/>
        <v>0</v>
      </c>
      <c r="AW542" s="13">
        <f t="shared" si="320"/>
        <v>1</v>
      </c>
      <c r="AY542" s="17">
        <f t="shared" si="321"/>
        <v>452</v>
      </c>
      <c r="AZ542" s="28">
        <f t="shared" si="329"/>
        <v>0</v>
      </c>
      <c r="BA542" s="13">
        <f t="shared" si="322"/>
        <v>0</v>
      </c>
      <c r="BB542" s="13">
        <f t="shared" si="323"/>
        <v>0</v>
      </c>
      <c r="BC542" s="28">
        <f t="shared" si="330"/>
        <v>0</v>
      </c>
      <c r="BD542" s="28">
        <f t="shared" si="331"/>
        <v>0</v>
      </c>
      <c r="BF542" s="248">
        <f t="shared" si="332"/>
        <v>993869.29442638322</v>
      </c>
    </row>
    <row r="543" spans="1:58">
      <c r="A543" s="32">
        <f t="shared" si="333"/>
        <v>-368</v>
      </c>
      <c r="B543" s="32">
        <f t="shared" si="324"/>
        <v>90</v>
      </c>
      <c r="C543" s="32">
        <f t="shared" si="334"/>
        <v>38</v>
      </c>
      <c r="D543" s="32">
        <f t="shared" si="335"/>
        <v>453</v>
      </c>
      <c r="E543" s="74">
        <f>MIN(IF(AV543=0,0,
IF(Investment_Strategy="DIS",VLOOKUP(Investment_Strategy&amp;"_"&amp;Investment_Strategy_Sub1&amp;"_"&amp;$A543,'Investment Strategies'!$AZ:$BP,12,FALSE),
IF(AND(Investment_Strategy="Lifecycle",Investment_Strategy_Sub1="Non-Standard"),VLOOKUP(Investment_Strategy&amp;"_"&amp;Investment_Strategy_Sub2&amp;"_"&amp;$A543,'Investment Strategies'!$C:$P,9,FALSE),
IF(AND(Investment_Strategy="Lifecycle",Investment_Strategy_Sub1="Standard"),VLOOKUP(Investment_Strategy&amp;"_"&amp;Investment_Strategy_Sub2&amp;"_"&amp;$A543,'Investment Strategies'!$AJ:$AV,8,FALSE),
IF(AND(Investment_Strategy="Autopilot",Investment_Strategy_Sub1="Non-Standard"),VLOOKUP(Investment_Strategy&amp;"_"&amp;Investment_Strategy_Sub2&amp;"_"&amp;$A543,'Investment Strategies'!$T:$AF,8,FALSE),
IF(Investment_Strategy ="DIY",DIY_RateOfReturn_CurrentFunds,
"Error")))))),Max_InvReturn)</f>
        <v>0</v>
      </c>
      <c r="F543" s="62">
        <f>IF(AV543=0,0,
IF(Investment_Strategy="DIS",VLOOKUP(Investment_Strategy&amp;"_"&amp;Investment_Strategy_Sub1&amp;"_"&amp;$A543,'Investment Strategies'!$AZ:$BP,15,FALSE),
IF(AND(Investment_Strategy="Lifecycle",Investment_Strategy_Sub1="Non-Standard"),VLOOKUP(Investment_Strategy&amp;"_"&amp;Investment_Strategy_Sub2&amp;"_"&amp;$A543,'Investment Strategies'!$C:$P,12,FALSE),
IF(AND(Investment_Strategy="Lifecycle",Investment_Strategy_Sub1="Standard"),VLOOKUP(Investment_Strategy&amp;"_"&amp;Investment_Strategy_Sub2&amp;"_"&amp;$A543,'Investment Strategies'!$AJ:$AV,11,FALSE),
IF(AND(Investment_Strategy="Autopilot",Investment_Strategy_Sub1="Non-Standard"),VLOOKUP(Investment_Strategy&amp;"_"&amp;Investment_Strategy_Sub2&amp;"_"&amp;$A543,'Investment Strategies'!$T:$AF,11,FALSE),
IF(Investment_Strategy="DIY",DIY_GteeChrge_CurrentFunds,
"Error"))))))</f>
        <v>0</v>
      </c>
      <c r="G543" s="33">
        <f>IF(AV543=0,0,
IF(Investment_Strategy="DIS",VLOOKUP(Investment_Strategy&amp;"_"&amp;Investment_Strategy_Sub1&amp;"_"&amp;$A543,'Investment Strategies'!$AZ:$BP,17,FALSE),
IF(AND(Investment_Strategy="Lifecycle",Investment_Strategy_Sub1="Non-Standard"),VLOOKUP(Investment_Strategy&amp;"_"&amp;Investment_Strategy_Sub2&amp;"_"&amp;$A543,'Investment Strategies'!$C:$P,14,FALSE),
IF(AND(Investment_Strategy="Lifecycle",Investment_Strategy_Sub1="Standard"),VLOOKUP(Investment_Strategy&amp;"_"&amp;Investment_Strategy_Sub2&amp;"_"&amp;$A543,'Investment Strategies'!$AJ:$AV,13,FALSE),
IF(AND(Investment_Strategy="Autopilot",Investment_Strategy_Sub1="Non-Standard"),VLOOKUP(Investment_Strategy&amp;"_"&amp;Investment_Strategy_Sub2&amp;"_"&amp;$A543,'Investment Strategies'!$T:$AF,13,FALSE),
IF(Investment_Strategy="DIY",DIY_ExtManChrge_CurrentFunds,
"Error"))))))</f>
        <v>0</v>
      </c>
      <c r="H543" s="16">
        <f t="shared" si="325"/>
        <v>0</v>
      </c>
      <c r="I543" s="16">
        <f t="shared" si="311"/>
        <v>0</v>
      </c>
      <c r="J543" s="16">
        <f t="shared" si="312"/>
        <v>0</v>
      </c>
      <c r="K543" s="16">
        <f>(Opening_Fund_Value+SUM(K$91:K542))*E543*IF(D543=$A$91,SRP_finalmonthfactor,1)</f>
        <v>0</v>
      </c>
      <c r="L543" s="74">
        <f>MIN(IF($AV543=0,0,
IF(Investment_Strategy="DIS",VLOOKUP(Investment_Strategy&amp;"_"&amp;Investment_Strategy_Sub1&amp;"_"&amp;$A543,'Investment Strategies'!$AZ:$BP,12,FALSE),
IF(AND(Investment_Strategy="Lifecycle",Investment_Strategy_Sub1="Non-Standard"),VLOOKUP(Investment_Strategy&amp;"_"&amp;Investment_Strategy_Sub2&amp;"_"&amp;$A543,'Investment Strategies'!$C:$P,9,FALSE),
IF(AND(Investment_Strategy="Lifecycle",Investment_Strategy_Sub1="Standard"),VLOOKUP(Investment_Strategy&amp;"_"&amp;Investment_Strategy_Sub2&amp;"_"&amp;$A543,'Investment Strategies'!$AJ:$AV,8,FALSE),
IF(AND(Investment_Strategy="Autopilot",Investment_Strategy_Sub1="Non-Standard"),VLOOKUP(Investment_Strategy&amp;"_"&amp;Investment_Strategy_Sub2&amp;"_"&amp;$A543,'Investment Strategies'!$T:$AF,8,FALSE),
IF(Investment_Strategy ="DIY",DIY_RateofReturn_SP,
"Error")))))),Max_InvReturn)</f>
        <v>0</v>
      </c>
      <c r="M543" s="62">
        <f>IF($AV543=0,0,
IF(Investment_Strategy="DIS",VLOOKUP(Investment_Strategy&amp;"_"&amp;Investment_Strategy_Sub1&amp;"_"&amp;$A543,'Investment Strategies'!$AZ:$BP,15,FALSE),
IF(AND(Investment_Strategy="Lifecycle",Investment_Strategy_Sub1="Non-Standard"),VLOOKUP(Investment_Strategy&amp;"_"&amp;Investment_Strategy_Sub2&amp;"_"&amp;$A543,'Investment Strategies'!$C:$P,12,FALSE),
IF(AND(Investment_Strategy="Lifecycle",Investment_Strategy_Sub1="Standard"),VLOOKUP(Investment_Strategy&amp;"_"&amp;Investment_Strategy_Sub2&amp;"_"&amp;$A543,'Investment Strategies'!$AJ:$AV,11,FALSE),
IF(AND(Investment_Strategy="Autopilot",Investment_Strategy_Sub1="Non-Standard"),VLOOKUP(Investment_Strategy&amp;"_"&amp;Investment_Strategy_Sub2&amp;"_"&amp;$A543,'Investment Strategies'!$T:$AF,11,FALSE),
IF(Investment_Strategy="DIY",DIY_GteeChrge_SP,
"Error"))))))</f>
        <v>0</v>
      </c>
      <c r="N543" s="33">
        <f>IF($AV543=0,0,
IF(Investment_Strategy="DIS",VLOOKUP(Investment_Strategy&amp;"_"&amp;Investment_Strategy_Sub1&amp;"_"&amp;$A543,'Investment Strategies'!$AZ:$BP,17,FALSE),
IF(AND(Investment_Strategy="Lifecycle",Investment_Strategy_Sub1="Non-Standard"),VLOOKUP(Investment_Strategy&amp;"_"&amp;Investment_Strategy_Sub2&amp;"_"&amp;$A543,'Investment Strategies'!$C:$P,14,FALSE),
IF(AND(Investment_Strategy="Lifecycle",Investment_Strategy_Sub1="Standard"),VLOOKUP(Investment_Strategy&amp;"_"&amp;Investment_Strategy_Sub2&amp;"_"&amp;$A543,'Investment Strategies'!$AJ:$AV,13,FALSE),
IF(AND(Investment_Strategy="Autopilot",Investment_Strategy_Sub1="Non-Standard"),VLOOKUP(Investment_Strategy&amp;"_"&amp;Investment_Strategy_Sub2&amp;"_"&amp;$A543,'Investment Strategies'!$T:$AF,13,FALSE),
IF(Investment_Strategy="DIY",DIY_ExtManChrge_SP,
"Error"))))))</f>
        <v>0</v>
      </c>
      <c r="O543" s="16">
        <f t="shared" si="336"/>
        <v>0</v>
      </c>
      <c r="Q543" s="16">
        <f t="shared" si="313"/>
        <v>0</v>
      </c>
      <c r="R543" s="16">
        <f t="shared" si="310"/>
        <v>0</v>
      </c>
      <c r="S543" s="16">
        <f>(SRP_SP+SUM(S$91:S542))*L543*IF(D543=$A$91,SRP_finalmonthfactor,1)</f>
        <v>0</v>
      </c>
      <c r="T543" s="74">
        <f>MIN(IF($AV543=0,0,
IF(Investment_Strategy="DIS",VLOOKUP(Investment_Strategy&amp;"_"&amp;Investment_Strategy_Sub1&amp;"_"&amp;$A543,'Investment Strategies'!$AZ:$BP,12,FALSE),
IF(AND(Investment_Strategy="Lifecycle",Investment_Strategy_Sub1="Non-Standard"),VLOOKUP(Investment_Strategy&amp;"_"&amp;Investment_Strategy_Sub2&amp;"_"&amp;$A543,'Investment Strategies'!$C:$P,9,FALSE),
IF(AND(Investment_Strategy="Lifecycle",Investment_Strategy_Sub1="Standard"),VLOOKUP(Investment_Strategy&amp;"_"&amp;Investment_Strategy_Sub2&amp;"_"&amp;$A543,'Investment Strategies'!$AJ:$AV,8,FALSE),
IF(AND(Investment_Strategy="Autopilot",Investment_Strategy_Sub1="Non-Standard"),VLOOKUP(Investment_Strategy&amp;"_"&amp;Investment_Strategy_Sub2&amp;"_"&amp;$A543,'Investment Strategies'!$T:$AF,8,FALSE),
IF(Investment_Strategy ="DIY",DIY_RateOfReturn_FuturePremiums,
"Error")))))),Max_InvReturn)</f>
        <v>0</v>
      </c>
      <c r="U543" s="62">
        <f>IF($AV543=0,0,
IF(Investment_Strategy="DIS",VLOOKUP(Investment_Strategy&amp;"_"&amp;Investment_Strategy_Sub1&amp;"_"&amp;$A543,'Investment Strategies'!$AZ:$BP,15,FALSE),
IF(AND(Investment_Strategy="Lifecycle",Investment_Strategy_Sub1="Non-Standard"),VLOOKUP(Investment_Strategy&amp;"_"&amp;Investment_Strategy_Sub2&amp;"_"&amp;$A543,'Investment Strategies'!$C:$P,12,FALSE),
IF(AND(Investment_Strategy="Lifecycle",Investment_Strategy_Sub1="Standard"),VLOOKUP(Investment_Strategy&amp;"_"&amp;Investment_Strategy_Sub2&amp;"_"&amp;$A543,'Investment Strategies'!$AJ:$AV,11,FALSE),
IF(AND(Investment_Strategy="Autopilot",Investment_Strategy_Sub1="Non-Standard"),VLOOKUP(Investment_Strategy&amp;"_"&amp;Investment_Strategy_Sub2&amp;"_"&amp;$A543,'Investment Strategies'!$T:$AF,11,FALSE),
IF(Investment_Strategy="DIY",DIY_GteeChrge_FuturePremiums,
"Error"))))))</f>
        <v>0</v>
      </c>
      <c r="V543" s="33">
        <f>IF(AV543=0,0,
IF(Investment_Strategy="DIS",VLOOKUP(Investment_Strategy&amp;"_"&amp;Investment_Strategy_Sub1&amp;"_"&amp;$A543,'Investment Strategies'!$AZ:$BP,17,FALSE),
IF(AND(Investment_Strategy="Lifecycle",Investment_Strategy_Sub1="Non-Standard"),VLOOKUP(Investment_Strategy&amp;"_"&amp;Investment_Strategy_Sub2&amp;"_"&amp;$A543,'Investment Strategies'!$C:$P,14,FALSE),
IF(AND(Investment_Strategy="Lifecycle",Investment_Strategy_Sub1="Standard"),VLOOKUP(Investment_Strategy&amp;"_"&amp;Investment_Strategy_Sub2&amp;"_"&amp;$A543,'Investment Strategies'!$AJ:$AV,13,FALSE),
IF(AND(Investment_Strategy="Autopilot",Investment_Strategy_Sub1="Non-Standard"),VLOOKUP(Investment_Strategy&amp;"_"&amp;Investment_Strategy_Sub2&amp;"_"&amp;$A543,'Investment Strategies'!$T:$AF,13,FALSE),
IF(Investment_Strategy="DIY",DIY_ExtManChrge_FuturePremiums,
"Error"))))))</f>
        <v>0</v>
      </c>
      <c r="W543" s="16">
        <f t="shared" si="337"/>
        <v>0</v>
      </c>
      <c r="X543" s="16">
        <f t="shared" si="314"/>
        <v>0</v>
      </c>
      <c r="Y543" s="16">
        <f t="shared" si="315"/>
        <v>0</v>
      </c>
      <c r="Z543" s="31">
        <f t="shared" si="316"/>
        <v>0.02</v>
      </c>
      <c r="AA543" s="16">
        <f t="shared" si="317"/>
        <v>0</v>
      </c>
      <c r="AB543" s="28">
        <f t="shared" si="339"/>
        <v>0</v>
      </c>
      <c r="AC543" s="28">
        <f>(SUM($AC$91:AC542)+SUM($X$91:X542)+X543)*T543*IF(D543=$A$91,SRP_finalmonthfactor,1)</f>
        <v>0</v>
      </c>
      <c r="AD543" s="16">
        <f t="shared" si="318"/>
        <v>0</v>
      </c>
      <c r="AE543" s="106"/>
      <c r="AF543" s="16">
        <f t="shared" si="326"/>
        <v>0</v>
      </c>
      <c r="AG543" s="16">
        <f t="shared" si="327"/>
        <v>0</v>
      </c>
      <c r="AH543" s="16">
        <f t="shared" si="328"/>
        <v>0</v>
      </c>
      <c r="AJ543" s="13">
        <f t="shared" si="338"/>
        <v>0</v>
      </c>
      <c r="AK543" s="13">
        <f t="shared" si="338"/>
        <v>0</v>
      </c>
      <c r="AL543" s="13">
        <f t="shared" si="338"/>
        <v>0</v>
      </c>
      <c r="AM543" s="13">
        <f t="shared" si="338"/>
        <v>0</v>
      </c>
      <c r="AN543" s="13">
        <f t="shared" si="338"/>
        <v>0</v>
      </c>
      <c r="AO543" s="13">
        <f t="shared" si="338"/>
        <v>1</v>
      </c>
      <c r="AP543" s="13">
        <f t="shared" si="338"/>
        <v>1</v>
      </c>
      <c r="AQ543" s="13">
        <f t="shared" si="338"/>
        <v>1</v>
      </c>
      <c r="AR543" s="13">
        <f t="shared" si="338"/>
        <v>0</v>
      </c>
      <c r="AS543" s="13">
        <f t="shared" si="338"/>
        <v>0</v>
      </c>
      <c r="AT543" s="13">
        <f t="shared" si="338"/>
        <v>0</v>
      </c>
      <c r="AU543" s="13">
        <f t="shared" si="338"/>
        <v>1</v>
      </c>
      <c r="AV543" s="13">
        <f t="shared" si="319"/>
        <v>0</v>
      </c>
      <c r="AW543" s="13">
        <f t="shared" si="320"/>
        <v>1</v>
      </c>
      <c r="AY543" s="17">
        <f t="shared" si="321"/>
        <v>453</v>
      </c>
      <c r="AZ543" s="28">
        <f t="shared" si="329"/>
        <v>0</v>
      </c>
      <c r="BA543" s="13">
        <f t="shared" si="322"/>
        <v>0</v>
      </c>
      <c r="BB543" s="13">
        <f t="shared" si="323"/>
        <v>0</v>
      </c>
      <c r="BC543" s="28">
        <f t="shared" si="330"/>
        <v>0</v>
      </c>
      <c r="BD543" s="28">
        <f t="shared" si="331"/>
        <v>0</v>
      </c>
      <c r="BF543" s="248">
        <f t="shared" si="332"/>
        <v>993869.29442638322</v>
      </c>
    </row>
    <row r="544" spans="1:58">
      <c r="A544" s="32">
        <f t="shared" si="333"/>
        <v>-369</v>
      </c>
      <c r="B544" s="32">
        <f t="shared" si="324"/>
        <v>90</v>
      </c>
      <c r="C544" s="32">
        <f t="shared" si="334"/>
        <v>38</v>
      </c>
      <c r="D544" s="32">
        <f t="shared" si="335"/>
        <v>454</v>
      </c>
      <c r="E544" s="74">
        <f>MIN(IF(AV544=0,0,
IF(Investment_Strategy="DIS",VLOOKUP(Investment_Strategy&amp;"_"&amp;Investment_Strategy_Sub1&amp;"_"&amp;$A544,'Investment Strategies'!$AZ:$BP,12,FALSE),
IF(AND(Investment_Strategy="Lifecycle",Investment_Strategy_Sub1="Non-Standard"),VLOOKUP(Investment_Strategy&amp;"_"&amp;Investment_Strategy_Sub2&amp;"_"&amp;$A544,'Investment Strategies'!$C:$P,9,FALSE),
IF(AND(Investment_Strategy="Lifecycle",Investment_Strategy_Sub1="Standard"),VLOOKUP(Investment_Strategy&amp;"_"&amp;Investment_Strategy_Sub2&amp;"_"&amp;$A544,'Investment Strategies'!$AJ:$AV,8,FALSE),
IF(AND(Investment_Strategy="Autopilot",Investment_Strategy_Sub1="Non-Standard"),VLOOKUP(Investment_Strategy&amp;"_"&amp;Investment_Strategy_Sub2&amp;"_"&amp;$A544,'Investment Strategies'!$T:$AF,8,FALSE),
IF(Investment_Strategy ="DIY",DIY_RateOfReturn_CurrentFunds,
"Error")))))),Max_InvReturn)</f>
        <v>0</v>
      </c>
      <c r="F544" s="62">
        <f>IF(AV544=0,0,
IF(Investment_Strategy="DIS",VLOOKUP(Investment_Strategy&amp;"_"&amp;Investment_Strategy_Sub1&amp;"_"&amp;$A544,'Investment Strategies'!$AZ:$BP,15,FALSE),
IF(AND(Investment_Strategy="Lifecycle",Investment_Strategy_Sub1="Non-Standard"),VLOOKUP(Investment_Strategy&amp;"_"&amp;Investment_Strategy_Sub2&amp;"_"&amp;$A544,'Investment Strategies'!$C:$P,12,FALSE),
IF(AND(Investment_Strategy="Lifecycle",Investment_Strategy_Sub1="Standard"),VLOOKUP(Investment_Strategy&amp;"_"&amp;Investment_Strategy_Sub2&amp;"_"&amp;$A544,'Investment Strategies'!$AJ:$AV,11,FALSE),
IF(AND(Investment_Strategy="Autopilot",Investment_Strategy_Sub1="Non-Standard"),VLOOKUP(Investment_Strategy&amp;"_"&amp;Investment_Strategy_Sub2&amp;"_"&amp;$A544,'Investment Strategies'!$T:$AF,11,FALSE),
IF(Investment_Strategy="DIY",DIY_GteeChrge_CurrentFunds,
"Error"))))))</f>
        <v>0</v>
      </c>
      <c r="G544" s="33">
        <f>IF(AV544=0,0,
IF(Investment_Strategy="DIS",VLOOKUP(Investment_Strategy&amp;"_"&amp;Investment_Strategy_Sub1&amp;"_"&amp;$A544,'Investment Strategies'!$AZ:$BP,17,FALSE),
IF(AND(Investment_Strategy="Lifecycle",Investment_Strategy_Sub1="Non-Standard"),VLOOKUP(Investment_Strategy&amp;"_"&amp;Investment_Strategy_Sub2&amp;"_"&amp;$A544,'Investment Strategies'!$C:$P,14,FALSE),
IF(AND(Investment_Strategy="Lifecycle",Investment_Strategy_Sub1="Standard"),VLOOKUP(Investment_Strategy&amp;"_"&amp;Investment_Strategy_Sub2&amp;"_"&amp;$A544,'Investment Strategies'!$AJ:$AV,13,FALSE),
IF(AND(Investment_Strategy="Autopilot",Investment_Strategy_Sub1="Non-Standard"),VLOOKUP(Investment_Strategy&amp;"_"&amp;Investment_Strategy_Sub2&amp;"_"&amp;$A544,'Investment Strategies'!$T:$AF,13,FALSE),
IF(Investment_Strategy="DIY",DIY_ExtManChrge_CurrentFunds,
"Error"))))))</f>
        <v>0</v>
      </c>
      <c r="H544" s="16">
        <f t="shared" si="325"/>
        <v>0</v>
      </c>
      <c r="I544" s="16">
        <f t="shared" si="311"/>
        <v>0</v>
      </c>
      <c r="J544" s="16">
        <f t="shared" si="312"/>
        <v>0</v>
      </c>
      <c r="K544" s="16">
        <f>(Opening_Fund_Value+SUM(K$91:K543))*E544*IF(D544=$A$91,SRP_finalmonthfactor,1)</f>
        <v>0</v>
      </c>
      <c r="L544" s="74">
        <f>MIN(IF($AV544=0,0,
IF(Investment_Strategy="DIS",VLOOKUP(Investment_Strategy&amp;"_"&amp;Investment_Strategy_Sub1&amp;"_"&amp;$A544,'Investment Strategies'!$AZ:$BP,12,FALSE),
IF(AND(Investment_Strategy="Lifecycle",Investment_Strategy_Sub1="Non-Standard"),VLOOKUP(Investment_Strategy&amp;"_"&amp;Investment_Strategy_Sub2&amp;"_"&amp;$A544,'Investment Strategies'!$C:$P,9,FALSE),
IF(AND(Investment_Strategy="Lifecycle",Investment_Strategy_Sub1="Standard"),VLOOKUP(Investment_Strategy&amp;"_"&amp;Investment_Strategy_Sub2&amp;"_"&amp;$A544,'Investment Strategies'!$AJ:$AV,8,FALSE),
IF(AND(Investment_Strategy="Autopilot",Investment_Strategy_Sub1="Non-Standard"),VLOOKUP(Investment_Strategy&amp;"_"&amp;Investment_Strategy_Sub2&amp;"_"&amp;$A544,'Investment Strategies'!$T:$AF,8,FALSE),
IF(Investment_Strategy ="DIY",DIY_RateofReturn_SP,
"Error")))))),Max_InvReturn)</f>
        <v>0</v>
      </c>
      <c r="M544" s="62">
        <f>IF($AV544=0,0,
IF(Investment_Strategy="DIS",VLOOKUP(Investment_Strategy&amp;"_"&amp;Investment_Strategy_Sub1&amp;"_"&amp;$A544,'Investment Strategies'!$AZ:$BP,15,FALSE),
IF(AND(Investment_Strategy="Lifecycle",Investment_Strategy_Sub1="Non-Standard"),VLOOKUP(Investment_Strategy&amp;"_"&amp;Investment_Strategy_Sub2&amp;"_"&amp;$A544,'Investment Strategies'!$C:$P,12,FALSE),
IF(AND(Investment_Strategy="Lifecycle",Investment_Strategy_Sub1="Standard"),VLOOKUP(Investment_Strategy&amp;"_"&amp;Investment_Strategy_Sub2&amp;"_"&amp;$A544,'Investment Strategies'!$AJ:$AV,11,FALSE),
IF(AND(Investment_Strategy="Autopilot",Investment_Strategy_Sub1="Non-Standard"),VLOOKUP(Investment_Strategy&amp;"_"&amp;Investment_Strategy_Sub2&amp;"_"&amp;$A544,'Investment Strategies'!$T:$AF,11,FALSE),
IF(Investment_Strategy="DIY",DIY_GteeChrge_SP,
"Error"))))))</f>
        <v>0</v>
      </c>
      <c r="N544" s="33">
        <f>IF($AV544=0,0,
IF(Investment_Strategy="DIS",VLOOKUP(Investment_Strategy&amp;"_"&amp;Investment_Strategy_Sub1&amp;"_"&amp;$A544,'Investment Strategies'!$AZ:$BP,17,FALSE),
IF(AND(Investment_Strategy="Lifecycle",Investment_Strategy_Sub1="Non-Standard"),VLOOKUP(Investment_Strategy&amp;"_"&amp;Investment_Strategy_Sub2&amp;"_"&amp;$A544,'Investment Strategies'!$C:$P,14,FALSE),
IF(AND(Investment_Strategy="Lifecycle",Investment_Strategy_Sub1="Standard"),VLOOKUP(Investment_Strategy&amp;"_"&amp;Investment_Strategy_Sub2&amp;"_"&amp;$A544,'Investment Strategies'!$AJ:$AV,13,FALSE),
IF(AND(Investment_Strategy="Autopilot",Investment_Strategy_Sub1="Non-Standard"),VLOOKUP(Investment_Strategy&amp;"_"&amp;Investment_Strategy_Sub2&amp;"_"&amp;$A544,'Investment Strategies'!$T:$AF,13,FALSE),
IF(Investment_Strategy="DIY",DIY_ExtManChrge_SP,
"Error"))))))</f>
        <v>0</v>
      </c>
      <c r="O544" s="16">
        <f t="shared" si="336"/>
        <v>0</v>
      </c>
      <c r="Q544" s="16">
        <f t="shared" si="313"/>
        <v>0</v>
      </c>
      <c r="R544" s="16">
        <f t="shared" si="310"/>
        <v>0</v>
      </c>
      <c r="S544" s="16">
        <f>(SRP_SP+SUM(S$91:S543))*L544*IF(D544=$A$91,SRP_finalmonthfactor,1)</f>
        <v>0</v>
      </c>
      <c r="T544" s="74">
        <f>MIN(IF($AV544=0,0,
IF(Investment_Strategy="DIS",VLOOKUP(Investment_Strategy&amp;"_"&amp;Investment_Strategy_Sub1&amp;"_"&amp;$A544,'Investment Strategies'!$AZ:$BP,12,FALSE),
IF(AND(Investment_Strategy="Lifecycle",Investment_Strategy_Sub1="Non-Standard"),VLOOKUP(Investment_Strategy&amp;"_"&amp;Investment_Strategy_Sub2&amp;"_"&amp;$A544,'Investment Strategies'!$C:$P,9,FALSE),
IF(AND(Investment_Strategy="Lifecycle",Investment_Strategy_Sub1="Standard"),VLOOKUP(Investment_Strategy&amp;"_"&amp;Investment_Strategy_Sub2&amp;"_"&amp;$A544,'Investment Strategies'!$AJ:$AV,8,FALSE),
IF(AND(Investment_Strategy="Autopilot",Investment_Strategy_Sub1="Non-Standard"),VLOOKUP(Investment_Strategy&amp;"_"&amp;Investment_Strategy_Sub2&amp;"_"&amp;$A544,'Investment Strategies'!$T:$AF,8,FALSE),
IF(Investment_Strategy ="DIY",DIY_RateOfReturn_FuturePremiums,
"Error")))))),Max_InvReturn)</f>
        <v>0</v>
      </c>
      <c r="U544" s="62">
        <f>IF($AV544=0,0,
IF(Investment_Strategy="DIS",VLOOKUP(Investment_Strategy&amp;"_"&amp;Investment_Strategy_Sub1&amp;"_"&amp;$A544,'Investment Strategies'!$AZ:$BP,15,FALSE),
IF(AND(Investment_Strategy="Lifecycle",Investment_Strategy_Sub1="Non-Standard"),VLOOKUP(Investment_Strategy&amp;"_"&amp;Investment_Strategy_Sub2&amp;"_"&amp;$A544,'Investment Strategies'!$C:$P,12,FALSE),
IF(AND(Investment_Strategy="Lifecycle",Investment_Strategy_Sub1="Standard"),VLOOKUP(Investment_Strategy&amp;"_"&amp;Investment_Strategy_Sub2&amp;"_"&amp;$A544,'Investment Strategies'!$AJ:$AV,11,FALSE),
IF(AND(Investment_Strategy="Autopilot",Investment_Strategy_Sub1="Non-Standard"),VLOOKUP(Investment_Strategy&amp;"_"&amp;Investment_Strategy_Sub2&amp;"_"&amp;$A544,'Investment Strategies'!$T:$AF,11,FALSE),
IF(Investment_Strategy="DIY",DIY_GteeChrge_FuturePremiums,
"Error"))))))</f>
        <v>0</v>
      </c>
      <c r="V544" s="33">
        <f>IF(AV544=0,0,
IF(Investment_Strategy="DIS",VLOOKUP(Investment_Strategy&amp;"_"&amp;Investment_Strategy_Sub1&amp;"_"&amp;$A544,'Investment Strategies'!$AZ:$BP,17,FALSE),
IF(AND(Investment_Strategy="Lifecycle",Investment_Strategy_Sub1="Non-Standard"),VLOOKUP(Investment_Strategy&amp;"_"&amp;Investment_Strategy_Sub2&amp;"_"&amp;$A544,'Investment Strategies'!$C:$P,14,FALSE),
IF(AND(Investment_Strategy="Lifecycle",Investment_Strategy_Sub1="Standard"),VLOOKUP(Investment_Strategy&amp;"_"&amp;Investment_Strategy_Sub2&amp;"_"&amp;$A544,'Investment Strategies'!$AJ:$AV,13,FALSE),
IF(AND(Investment_Strategy="Autopilot",Investment_Strategy_Sub1="Non-Standard"),VLOOKUP(Investment_Strategy&amp;"_"&amp;Investment_Strategy_Sub2&amp;"_"&amp;$A544,'Investment Strategies'!$T:$AF,13,FALSE),
IF(Investment_Strategy="DIY",DIY_ExtManChrge_FuturePremiums,
"Error"))))))</f>
        <v>0</v>
      </c>
      <c r="W544" s="16">
        <f t="shared" si="337"/>
        <v>0</v>
      </c>
      <c r="X544" s="16">
        <f t="shared" si="314"/>
        <v>0</v>
      </c>
      <c r="Y544" s="16">
        <f t="shared" si="315"/>
        <v>0</v>
      </c>
      <c r="Z544" s="31">
        <f t="shared" si="316"/>
        <v>0.02</v>
      </c>
      <c r="AA544" s="16">
        <f t="shared" si="317"/>
        <v>0</v>
      </c>
      <c r="AB544" s="28">
        <f t="shared" si="339"/>
        <v>0</v>
      </c>
      <c r="AC544" s="28">
        <f>(SUM($AC$91:AC543)+SUM($X$91:X543)+X544)*T544*IF(D544=$A$91,SRP_finalmonthfactor,1)</f>
        <v>0</v>
      </c>
      <c r="AD544" s="16">
        <f t="shared" si="318"/>
        <v>0</v>
      </c>
      <c r="AE544" s="106"/>
      <c r="AF544" s="16">
        <f t="shared" si="326"/>
        <v>0</v>
      </c>
      <c r="AG544" s="16">
        <f t="shared" si="327"/>
        <v>0</v>
      </c>
      <c r="AH544" s="16">
        <f t="shared" si="328"/>
        <v>0</v>
      </c>
      <c r="AJ544" s="13">
        <f t="shared" si="338"/>
        <v>0</v>
      </c>
      <c r="AK544" s="13">
        <f t="shared" si="338"/>
        <v>0</v>
      </c>
      <c r="AL544" s="13">
        <f t="shared" si="338"/>
        <v>0</v>
      </c>
      <c r="AM544" s="13">
        <f t="shared" si="338"/>
        <v>0</v>
      </c>
      <c r="AN544" s="13">
        <f t="shared" si="338"/>
        <v>0</v>
      </c>
      <c r="AO544" s="13">
        <f t="shared" si="338"/>
        <v>1</v>
      </c>
      <c r="AP544" s="13">
        <f t="shared" si="338"/>
        <v>1</v>
      </c>
      <c r="AQ544" s="13">
        <f t="shared" si="338"/>
        <v>1</v>
      </c>
      <c r="AR544" s="13">
        <f t="shared" si="338"/>
        <v>0</v>
      </c>
      <c r="AS544" s="13">
        <f t="shared" si="338"/>
        <v>0</v>
      </c>
      <c r="AT544" s="13">
        <f t="shared" si="338"/>
        <v>0</v>
      </c>
      <c r="AU544" s="13">
        <f t="shared" si="338"/>
        <v>1</v>
      </c>
      <c r="AV544" s="13">
        <f t="shared" si="319"/>
        <v>0</v>
      </c>
      <c r="AW544" s="13">
        <f t="shared" si="320"/>
        <v>1</v>
      </c>
      <c r="AY544" s="17">
        <f t="shared" si="321"/>
        <v>454</v>
      </c>
      <c r="AZ544" s="28">
        <f t="shared" si="329"/>
        <v>0</v>
      </c>
      <c r="BA544" s="13">
        <f t="shared" si="322"/>
        <v>0</v>
      </c>
      <c r="BB544" s="13">
        <f t="shared" si="323"/>
        <v>0</v>
      </c>
      <c r="BC544" s="28">
        <f t="shared" si="330"/>
        <v>0</v>
      </c>
      <c r="BD544" s="28">
        <f t="shared" si="331"/>
        <v>0</v>
      </c>
      <c r="BF544" s="248">
        <f t="shared" si="332"/>
        <v>993869.29442638322</v>
      </c>
    </row>
    <row r="545" spans="1:58">
      <c r="A545" s="32">
        <f t="shared" si="333"/>
        <v>-370</v>
      </c>
      <c r="B545" s="32">
        <f t="shared" si="324"/>
        <v>90</v>
      </c>
      <c r="C545" s="32">
        <f t="shared" si="334"/>
        <v>38</v>
      </c>
      <c r="D545" s="32">
        <f t="shared" si="335"/>
        <v>455</v>
      </c>
      <c r="E545" s="74">
        <f>MIN(IF(AV545=0,0,
IF(Investment_Strategy="DIS",VLOOKUP(Investment_Strategy&amp;"_"&amp;Investment_Strategy_Sub1&amp;"_"&amp;$A545,'Investment Strategies'!$AZ:$BP,12,FALSE),
IF(AND(Investment_Strategy="Lifecycle",Investment_Strategy_Sub1="Non-Standard"),VLOOKUP(Investment_Strategy&amp;"_"&amp;Investment_Strategy_Sub2&amp;"_"&amp;$A545,'Investment Strategies'!$C:$P,9,FALSE),
IF(AND(Investment_Strategy="Lifecycle",Investment_Strategy_Sub1="Standard"),VLOOKUP(Investment_Strategy&amp;"_"&amp;Investment_Strategy_Sub2&amp;"_"&amp;$A545,'Investment Strategies'!$AJ:$AV,8,FALSE),
IF(AND(Investment_Strategy="Autopilot",Investment_Strategy_Sub1="Non-Standard"),VLOOKUP(Investment_Strategy&amp;"_"&amp;Investment_Strategy_Sub2&amp;"_"&amp;$A545,'Investment Strategies'!$T:$AF,8,FALSE),
IF(Investment_Strategy ="DIY",DIY_RateOfReturn_CurrentFunds,
"Error")))))),Max_InvReturn)</f>
        <v>0</v>
      </c>
      <c r="F545" s="62">
        <f>IF(AV545=0,0,
IF(Investment_Strategy="DIS",VLOOKUP(Investment_Strategy&amp;"_"&amp;Investment_Strategy_Sub1&amp;"_"&amp;$A545,'Investment Strategies'!$AZ:$BP,15,FALSE),
IF(AND(Investment_Strategy="Lifecycle",Investment_Strategy_Sub1="Non-Standard"),VLOOKUP(Investment_Strategy&amp;"_"&amp;Investment_Strategy_Sub2&amp;"_"&amp;$A545,'Investment Strategies'!$C:$P,12,FALSE),
IF(AND(Investment_Strategy="Lifecycle",Investment_Strategy_Sub1="Standard"),VLOOKUP(Investment_Strategy&amp;"_"&amp;Investment_Strategy_Sub2&amp;"_"&amp;$A545,'Investment Strategies'!$AJ:$AV,11,FALSE),
IF(AND(Investment_Strategy="Autopilot",Investment_Strategy_Sub1="Non-Standard"),VLOOKUP(Investment_Strategy&amp;"_"&amp;Investment_Strategy_Sub2&amp;"_"&amp;$A545,'Investment Strategies'!$T:$AF,11,FALSE),
IF(Investment_Strategy="DIY",DIY_GteeChrge_CurrentFunds,
"Error"))))))</f>
        <v>0</v>
      </c>
      <c r="G545" s="33">
        <f>IF(AV545=0,0,
IF(Investment_Strategy="DIS",VLOOKUP(Investment_Strategy&amp;"_"&amp;Investment_Strategy_Sub1&amp;"_"&amp;$A545,'Investment Strategies'!$AZ:$BP,17,FALSE),
IF(AND(Investment_Strategy="Lifecycle",Investment_Strategy_Sub1="Non-Standard"),VLOOKUP(Investment_Strategy&amp;"_"&amp;Investment_Strategy_Sub2&amp;"_"&amp;$A545,'Investment Strategies'!$C:$P,14,FALSE),
IF(AND(Investment_Strategy="Lifecycle",Investment_Strategy_Sub1="Standard"),VLOOKUP(Investment_Strategy&amp;"_"&amp;Investment_Strategy_Sub2&amp;"_"&amp;$A545,'Investment Strategies'!$AJ:$AV,13,FALSE),
IF(AND(Investment_Strategy="Autopilot",Investment_Strategy_Sub1="Non-Standard"),VLOOKUP(Investment_Strategy&amp;"_"&amp;Investment_Strategy_Sub2&amp;"_"&amp;$A545,'Investment Strategies'!$T:$AF,13,FALSE),
IF(Investment_Strategy="DIY",DIY_ExtManChrge_CurrentFunds,
"Error"))))))</f>
        <v>0</v>
      </c>
      <c r="H545" s="16">
        <f t="shared" si="325"/>
        <v>0</v>
      </c>
      <c r="I545" s="16">
        <f t="shared" si="311"/>
        <v>0</v>
      </c>
      <c r="J545" s="16">
        <f t="shared" si="312"/>
        <v>0</v>
      </c>
      <c r="K545" s="16">
        <f>(Opening_Fund_Value+SUM(K$91:K544))*E545*IF(D545=$A$91,SRP_finalmonthfactor,1)</f>
        <v>0</v>
      </c>
      <c r="L545" s="74">
        <f>MIN(IF($AV545=0,0,
IF(Investment_Strategy="DIS",VLOOKUP(Investment_Strategy&amp;"_"&amp;Investment_Strategy_Sub1&amp;"_"&amp;$A545,'Investment Strategies'!$AZ:$BP,12,FALSE),
IF(AND(Investment_Strategy="Lifecycle",Investment_Strategy_Sub1="Non-Standard"),VLOOKUP(Investment_Strategy&amp;"_"&amp;Investment_Strategy_Sub2&amp;"_"&amp;$A545,'Investment Strategies'!$C:$P,9,FALSE),
IF(AND(Investment_Strategy="Lifecycle",Investment_Strategy_Sub1="Standard"),VLOOKUP(Investment_Strategy&amp;"_"&amp;Investment_Strategy_Sub2&amp;"_"&amp;$A545,'Investment Strategies'!$AJ:$AV,8,FALSE),
IF(AND(Investment_Strategy="Autopilot",Investment_Strategy_Sub1="Non-Standard"),VLOOKUP(Investment_Strategy&amp;"_"&amp;Investment_Strategy_Sub2&amp;"_"&amp;$A545,'Investment Strategies'!$T:$AF,8,FALSE),
IF(Investment_Strategy ="DIY",DIY_RateofReturn_SP,
"Error")))))),Max_InvReturn)</f>
        <v>0</v>
      </c>
      <c r="M545" s="62">
        <f>IF($AV545=0,0,
IF(Investment_Strategy="DIS",VLOOKUP(Investment_Strategy&amp;"_"&amp;Investment_Strategy_Sub1&amp;"_"&amp;$A545,'Investment Strategies'!$AZ:$BP,15,FALSE),
IF(AND(Investment_Strategy="Lifecycle",Investment_Strategy_Sub1="Non-Standard"),VLOOKUP(Investment_Strategy&amp;"_"&amp;Investment_Strategy_Sub2&amp;"_"&amp;$A545,'Investment Strategies'!$C:$P,12,FALSE),
IF(AND(Investment_Strategy="Lifecycle",Investment_Strategy_Sub1="Standard"),VLOOKUP(Investment_Strategy&amp;"_"&amp;Investment_Strategy_Sub2&amp;"_"&amp;$A545,'Investment Strategies'!$AJ:$AV,11,FALSE),
IF(AND(Investment_Strategy="Autopilot",Investment_Strategy_Sub1="Non-Standard"),VLOOKUP(Investment_Strategy&amp;"_"&amp;Investment_Strategy_Sub2&amp;"_"&amp;$A545,'Investment Strategies'!$T:$AF,11,FALSE),
IF(Investment_Strategy="DIY",DIY_GteeChrge_SP,
"Error"))))))</f>
        <v>0</v>
      </c>
      <c r="N545" s="33">
        <f>IF($AV545=0,0,
IF(Investment_Strategy="DIS",VLOOKUP(Investment_Strategy&amp;"_"&amp;Investment_Strategy_Sub1&amp;"_"&amp;$A545,'Investment Strategies'!$AZ:$BP,17,FALSE),
IF(AND(Investment_Strategy="Lifecycle",Investment_Strategy_Sub1="Non-Standard"),VLOOKUP(Investment_Strategy&amp;"_"&amp;Investment_Strategy_Sub2&amp;"_"&amp;$A545,'Investment Strategies'!$C:$P,14,FALSE),
IF(AND(Investment_Strategy="Lifecycle",Investment_Strategy_Sub1="Standard"),VLOOKUP(Investment_Strategy&amp;"_"&amp;Investment_Strategy_Sub2&amp;"_"&amp;$A545,'Investment Strategies'!$AJ:$AV,13,FALSE),
IF(AND(Investment_Strategy="Autopilot",Investment_Strategy_Sub1="Non-Standard"),VLOOKUP(Investment_Strategy&amp;"_"&amp;Investment_Strategy_Sub2&amp;"_"&amp;$A545,'Investment Strategies'!$T:$AF,13,FALSE),
IF(Investment_Strategy="DIY",DIY_ExtManChrge_SP,
"Error"))))))</f>
        <v>0</v>
      </c>
      <c r="O545" s="16">
        <f t="shared" si="336"/>
        <v>0</v>
      </c>
      <c r="Q545" s="16">
        <f t="shared" si="313"/>
        <v>0</v>
      </c>
      <c r="R545" s="16">
        <f t="shared" si="310"/>
        <v>0</v>
      </c>
      <c r="S545" s="16">
        <f>(SRP_SP+SUM(S$91:S544))*L545*IF(D545=$A$91,SRP_finalmonthfactor,1)</f>
        <v>0</v>
      </c>
      <c r="T545" s="74">
        <f>MIN(IF($AV545=0,0,
IF(Investment_Strategy="DIS",VLOOKUP(Investment_Strategy&amp;"_"&amp;Investment_Strategy_Sub1&amp;"_"&amp;$A545,'Investment Strategies'!$AZ:$BP,12,FALSE),
IF(AND(Investment_Strategy="Lifecycle",Investment_Strategy_Sub1="Non-Standard"),VLOOKUP(Investment_Strategy&amp;"_"&amp;Investment_Strategy_Sub2&amp;"_"&amp;$A545,'Investment Strategies'!$C:$P,9,FALSE),
IF(AND(Investment_Strategy="Lifecycle",Investment_Strategy_Sub1="Standard"),VLOOKUP(Investment_Strategy&amp;"_"&amp;Investment_Strategy_Sub2&amp;"_"&amp;$A545,'Investment Strategies'!$AJ:$AV,8,FALSE),
IF(AND(Investment_Strategy="Autopilot",Investment_Strategy_Sub1="Non-Standard"),VLOOKUP(Investment_Strategy&amp;"_"&amp;Investment_Strategy_Sub2&amp;"_"&amp;$A545,'Investment Strategies'!$T:$AF,8,FALSE),
IF(Investment_Strategy ="DIY",DIY_RateOfReturn_FuturePremiums,
"Error")))))),Max_InvReturn)</f>
        <v>0</v>
      </c>
      <c r="U545" s="62">
        <f>IF($AV545=0,0,
IF(Investment_Strategy="DIS",VLOOKUP(Investment_Strategy&amp;"_"&amp;Investment_Strategy_Sub1&amp;"_"&amp;$A545,'Investment Strategies'!$AZ:$BP,15,FALSE),
IF(AND(Investment_Strategy="Lifecycle",Investment_Strategy_Sub1="Non-Standard"),VLOOKUP(Investment_Strategy&amp;"_"&amp;Investment_Strategy_Sub2&amp;"_"&amp;$A545,'Investment Strategies'!$C:$P,12,FALSE),
IF(AND(Investment_Strategy="Lifecycle",Investment_Strategy_Sub1="Standard"),VLOOKUP(Investment_Strategy&amp;"_"&amp;Investment_Strategy_Sub2&amp;"_"&amp;$A545,'Investment Strategies'!$AJ:$AV,11,FALSE),
IF(AND(Investment_Strategy="Autopilot",Investment_Strategy_Sub1="Non-Standard"),VLOOKUP(Investment_Strategy&amp;"_"&amp;Investment_Strategy_Sub2&amp;"_"&amp;$A545,'Investment Strategies'!$T:$AF,11,FALSE),
IF(Investment_Strategy="DIY",DIY_GteeChrge_FuturePremiums,
"Error"))))))</f>
        <v>0</v>
      </c>
      <c r="V545" s="33">
        <f>IF(AV545=0,0,
IF(Investment_Strategy="DIS",VLOOKUP(Investment_Strategy&amp;"_"&amp;Investment_Strategy_Sub1&amp;"_"&amp;$A545,'Investment Strategies'!$AZ:$BP,17,FALSE),
IF(AND(Investment_Strategy="Lifecycle",Investment_Strategy_Sub1="Non-Standard"),VLOOKUP(Investment_Strategy&amp;"_"&amp;Investment_Strategy_Sub2&amp;"_"&amp;$A545,'Investment Strategies'!$C:$P,14,FALSE),
IF(AND(Investment_Strategy="Lifecycle",Investment_Strategy_Sub1="Standard"),VLOOKUP(Investment_Strategy&amp;"_"&amp;Investment_Strategy_Sub2&amp;"_"&amp;$A545,'Investment Strategies'!$AJ:$AV,13,FALSE),
IF(AND(Investment_Strategy="Autopilot",Investment_Strategy_Sub1="Non-Standard"),VLOOKUP(Investment_Strategy&amp;"_"&amp;Investment_Strategy_Sub2&amp;"_"&amp;$A545,'Investment Strategies'!$T:$AF,13,FALSE),
IF(Investment_Strategy="DIY",DIY_ExtManChrge_FuturePremiums,
"Error"))))))</f>
        <v>0</v>
      </c>
      <c r="W545" s="16">
        <f t="shared" si="337"/>
        <v>0</v>
      </c>
      <c r="X545" s="16">
        <f t="shared" si="314"/>
        <v>0</v>
      </c>
      <c r="Y545" s="16">
        <f t="shared" si="315"/>
        <v>0</v>
      </c>
      <c r="Z545" s="31">
        <f t="shared" si="316"/>
        <v>0.02</v>
      </c>
      <c r="AA545" s="16">
        <f t="shared" si="317"/>
        <v>0</v>
      </c>
      <c r="AB545" s="28">
        <f t="shared" si="339"/>
        <v>0</v>
      </c>
      <c r="AC545" s="28">
        <f>(SUM($AC$91:AC544)+SUM($X$91:X544)+X545)*T545*IF(D545=$A$91,SRP_finalmonthfactor,1)</f>
        <v>0</v>
      </c>
      <c r="AD545" s="16">
        <f t="shared" si="318"/>
        <v>0</v>
      </c>
      <c r="AE545" s="106"/>
      <c r="AF545" s="16">
        <f t="shared" si="326"/>
        <v>0</v>
      </c>
      <c r="AG545" s="16">
        <f t="shared" si="327"/>
        <v>0</v>
      </c>
      <c r="AH545" s="16">
        <f t="shared" si="328"/>
        <v>0</v>
      </c>
      <c r="AJ545" s="13">
        <f t="shared" si="338"/>
        <v>0</v>
      </c>
      <c r="AK545" s="13">
        <f t="shared" si="338"/>
        <v>0</v>
      </c>
      <c r="AL545" s="13">
        <f t="shared" si="338"/>
        <v>0</v>
      </c>
      <c r="AM545" s="13">
        <f t="shared" si="338"/>
        <v>0</v>
      </c>
      <c r="AN545" s="13">
        <f t="shared" si="338"/>
        <v>0</v>
      </c>
      <c r="AO545" s="13">
        <f t="shared" si="338"/>
        <v>1</v>
      </c>
      <c r="AP545" s="13">
        <f t="shared" si="338"/>
        <v>1</v>
      </c>
      <c r="AQ545" s="13">
        <f t="shared" si="338"/>
        <v>1</v>
      </c>
      <c r="AR545" s="13">
        <f t="shared" si="338"/>
        <v>0</v>
      </c>
      <c r="AS545" s="13">
        <f t="shared" si="338"/>
        <v>0</v>
      </c>
      <c r="AT545" s="13">
        <f t="shared" si="338"/>
        <v>0</v>
      </c>
      <c r="AU545" s="13">
        <f t="shared" si="338"/>
        <v>1</v>
      </c>
      <c r="AV545" s="13">
        <f t="shared" si="319"/>
        <v>0</v>
      </c>
      <c r="AW545" s="13">
        <f t="shared" si="320"/>
        <v>1</v>
      </c>
      <c r="AY545" s="17">
        <f t="shared" si="321"/>
        <v>455</v>
      </c>
      <c r="AZ545" s="28">
        <f t="shared" si="329"/>
        <v>0</v>
      </c>
      <c r="BA545" s="13">
        <f t="shared" si="322"/>
        <v>0</v>
      </c>
      <c r="BB545" s="13">
        <f t="shared" si="323"/>
        <v>0</v>
      </c>
      <c r="BC545" s="28">
        <f t="shared" si="330"/>
        <v>0</v>
      </c>
      <c r="BD545" s="28">
        <f t="shared" si="331"/>
        <v>0</v>
      </c>
      <c r="BF545" s="248">
        <f t="shared" si="332"/>
        <v>993869.29442638322</v>
      </c>
    </row>
    <row r="546" spans="1:58">
      <c r="A546" s="32">
        <f t="shared" si="333"/>
        <v>-371</v>
      </c>
      <c r="B546" s="32">
        <f t="shared" si="324"/>
        <v>90</v>
      </c>
      <c r="C546" s="32">
        <f t="shared" si="334"/>
        <v>38</v>
      </c>
      <c r="D546" s="32">
        <f t="shared" si="335"/>
        <v>456</v>
      </c>
      <c r="E546" s="74">
        <f>MIN(IF(AV546=0,0,
IF(Investment_Strategy="DIS",VLOOKUP(Investment_Strategy&amp;"_"&amp;Investment_Strategy_Sub1&amp;"_"&amp;$A546,'Investment Strategies'!$AZ:$BP,12,FALSE),
IF(AND(Investment_Strategy="Lifecycle",Investment_Strategy_Sub1="Non-Standard"),VLOOKUP(Investment_Strategy&amp;"_"&amp;Investment_Strategy_Sub2&amp;"_"&amp;$A546,'Investment Strategies'!$C:$P,9,FALSE),
IF(AND(Investment_Strategy="Lifecycle",Investment_Strategy_Sub1="Standard"),VLOOKUP(Investment_Strategy&amp;"_"&amp;Investment_Strategy_Sub2&amp;"_"&amp;$A546,'Investment Strategies'!$AJ:$AV,8,FALSE),
IF(AND(Investment_Strategy="Autopilot",Investment_Strategy_Sub1="Non-Standard"),VLOOKUP(Investment_Strategy&amp;"_"&amp;Investment_Strategy_Sub2&amp;"_"&amp;$A546,'Investment Strategies'!$T:$AF,8,FALSE),
IF(Investment_Strategy ="DIY",DIY_RateOfReturn_CurrentFunds,
"Error")))))),Max_InvReturn)</f>
        <v>0</v>
      </c>
      <c r="F546" s="62">
        <f>IF(AV546=0,0,
IF(Investment_Strategy="DIS",VLOOKUP(Investment_Strategy&amp;"_"&amp;Investment_Strategy_Sub1&amp;"_"&amp;$A546,'Investment Strategies'!$AZ:$BP,15,FALSE),
IF(AND(Investment_Strategy="Lifecycle",Investment_Strategy_Sub1="Non-Standard"),VLOOKUP(Investment_Strategy&amp;"_"&amp;Investment_Strategy_Sub2&amp;"_"&amp;$A546,'Investment Strategies'!$C:$P,12,FALSE),
IF(AND(Investment_Strategy="Lifecycle",Investment_Strategy_Sub1="Standard"),VLOOKUP(Investment_Strategy&amp;"_"&amp;Investment_Strategy_Sub2&amp;"_"&amp;$A546,'Investment Strategies'!$AJ:$AV,11,FALSE),
IF(AND(Investment_Strategy="Autopilot",Investment_Strategy_Sub1="Non-Standard"),VLOOKUP(Investment_Strategy&amp;"_"&amp;Investment_Strategy_Sub2&amp;"_"&amp;$A546,'Investment Strategies'!$T:$AF,11,FALSE),
IF(Investment_Strategy="DIY",DIY_GteeChrge_CurrentFunds,
"Error"))))))</f>
        <v>0</v>
      </c>
      <c r="G546" s="33">
        <f>IF(AV546=0,0,
IF(Investment_Strategy="DIS",VLOOKUP(Investment_Strategy&amp;"_"&amp;Investment_Strategy_Sub1&amp;"_"&amp;$A546,'Investment Strategies'!$AZ:$BP,17,FALSE),
IF(AND(Investment_Strategy="Lifecycle",Investment_Strategy_Sub1="Non-Standard"),VLOOKUP(Investment_Strategy&amp;"_"&amp;Investment_Strategy_Sub2&amp;"_"&amp;$A546,'Investment Strategies'!$C:$P,14,FALSE),
IF(AND(Investment_Strategy="Lifecycle",Investment_Strategy_Sub1="Standard"),VLOOKUP(Investment_Strategy&amp;"_"&amp;Investment_Strategy_Sub2&amp;"_"&amp;$A546,'Investment Strategies'!$AJ:$AV,13,FALSE),
IF(AND(Investment_Strategy="Autopilot",Investment_Strategy_Sub1="Non-Standard"),VLOOKUP(Investment_Strategy&amp;"_"&amp;Investment_Strategy_Sub2&amp;"_"&amp;$A546,'Investment Strategies'!$T:$AF,13,FALSE),
IF(Investment_Strategy="DIY",DIY_ExtManChrge_CurrentFunds,
"Error"))))))</f>
        <v>0</v>
      </c>
      <c r="H546" s="16">
        <f t="shared" si="325"/>
        <v>0</v>
      </c>
      <c r="I546" s="16">
        <f t="shared" si="311"/>
        <v>0</v>
      </c>
      <c r="J546" s="16">
        <f t="shared" si="312"/>
        <v>0</v>
      </c>
      <c r="K546" s="16">
        <f>(Opening_Fund_Value+SUM(K$91:K545))*E546*IF(D546=$A$91,SRP_finalmonthfactor,1)</f>
        <v>0</v>
      </c>
      <c r="L546" s="74">
        <f>MIN(IF($AV546=0,0,
IF(Investment_Strategy="DIS",VLOOKUP(Investment_Strategy&amp;"_"&amp;Investment_Strategy_Sub1&amp;"_"&amp;$A546,'Investment Strategies'!$AZ:$BP,12,FALSE),
IF(AND(Investment_Strategy="Lifecycle",Investment_Strategy_Sub1="Non-Standard"),VLOOKUP(Investment_Strategy&amp;"_"&amp;Investment_Strategy_Sub2&amp;"_"&amp;$A546,'Investment Strategies'!$C:$P,9,FALSE),
IF(AND(Investment_Strategy="Lifecycle",Investment_Strategy_Sub1="Standard"),VLOOKUP(Investment_Strategy&amp;"_"&amp;Investment_Strategy_Sub2&amp;"_"&amp;$A546,'Investment Strategies'!$AJ:$AV,8,FALSE),
IF(AND(Investment_Strategy="Autopilot",Investment_Strategy_Sub1="Non-Standard"),VLOOKUP(Investment_Strategy&amp;"_"&amp;Investment_Strategy_Sub2&amp;"_"&amp;$A546,'Investment Strategies'!$T:$AF,8,FALSE),
IF(Investment_Strategy ="DIY",DIY_RateofReturn_SP,
"Error")))))),Max_InvReturn)</f>
        <v>0</v>
      </c>
      <c r="M546" s="62">
        <f>IF($AV546=0,0,
IF(Investment_Strategy="DIS",VLOOKUP(Investment_Strategy&amp;"_"&amp;Investment_Strategy_Sub1&amp;"_"&amp;$A546,'Investment Strategies'!$AZ:$BP,15,FALSE),
IF(AND(Investment_Strategy="Lifecycle",Investment_Strategy_Sub1="Non-Standard"),VLOOKUP(Investment_Strategy&amp;"_"&amp;Investment_Strategy_Sub2&amp;"_"&amp;$A546,'Investment Strategies'!$C:$P,12,FALSE),
IF(AND(Investment_Strategy="Lifecycle",Investment_Strategy_Sub1="Standard"),VLOOKUP(Investment_Strategy&amp;"_"&amp;Investment_Strategy_Sub2&amp;"_"&amp;$A546,'Investment Strategies'!$AJ:$AV,11,FALSE),
IF(AND(Investment_Strategy="Autopilot",Investment_Strategy_Sub1="Non-Standard"),VLOOKUP(Investment_Strategy&amp;"_"&amp;Investment_Strategy_Sub2&amp;"_"&amp;$A546,'Investment Strategies'!$T:$AF,11,FALSE),
IF(Investment_Strategy="DIY",DIY_GteeChrge_SP,
"Error"))))))</f>
        <v>0</v>
      </c>
      <c r="N546" s="33">
        <f>IF($AV546=0,0,
IF(Investment_Strategy="DIS",VLOOKUP(Investment_Strategy&amp;"_"&amp;Investment_Strategy_Sub1&amp;"_"&amp;$A546,'Investment Strategies'!$AZ:$BP,17,FALSE),
IF(AND(Investment_Strategy="Lifecycle",Investment_Strategy_Sub1="Non-Standard"),VLOOKUP(Investment_Strategy&amp;"_"&amp;Investment_Strategy_Sub2&amp;"_"&amp;$A546,'Investment Strategies'!$C:$P,14,FALSE),
IF(AND(Investment_Strategy="Lifecycle",Investment_Strategy_Sub1="Standard"),VLOOKUP(Investment_Strategy&amp;"_"&amp;Investment_Strategy_Sub2&amp;"_"&amp;$A546,'Investment Strategies'!$AJ:$AV,13,FALSE),
IF(AND(Investment_Strategy="Autopilot",Investment_Strategy_Sub1="Non-Standard"),VLOOKUP(Investment_Strategy&amp;"_"&amp;Investment_Strategy_Sub2&amp;"_"&amp;$A546,'Investment Strategies'!$T:$AF,13,FALSE),
IF(Investment_Strategy="DIY",DIY_ExtManChrge_SP,
"Error"))))))</f>
        <v>0</v>
      </c>
      <c r="O546" s="16">
        <f t="shared" si="336"/>
        <v>0</v>
      </c>
      <c r="Q546" s="16">
        <f t="shared" si="313"/>
        <v>0</v>
      </c>
      <c r="R546" s="16">
        <f t="shared" si="310"/>
        <v>0</v>
      </c>
      <c r="S546" s="16">
        <f>(SRP_SP+SUM(S$91:S545))*L546*IF(D546=$A$91,SRP_finalmonthfactor,1)</f>
        <v>0</v>
      </c>
      <c r="T546" s="74">
        <f>MIN(IF($AV546=0,0,
IF(Investment_Strategy="DIS",VLOOKUP(Investment_Strategy&amp;"_"&amp;Investment_Strategy_Sub1&amp;"_"&amp;$A546,'Investment Strategies'!$AZ:$BP,12,FALSE),
IF(AND(Investment_Strategy="Lifecycle",Investment_Strategy_Sub1="Non-Standard"),VLOOKUP(Investment_Strategy&amp;"_"&amp;Investment_Strategy_Sub2&amp;"_"&amp;$A546,'Investment Strategies'!$C:$P,9,FALSE),
IF(AND(Investment_Strategy="Lifecycle",Investment_Strategy_Sub1="Standard"),VLOOKUP(Investment_Strategy&amp;"_"&amp;Investment_Strategy_Sub2&amp;"_"&amp;$A546,'Investment Strategies'!$AJ:$AV,8,FALSE),
IF(AND(Investment_Strategy="Autopilot",Investment_Strategy_Sub1="Non-Standard"),VLOOKUP(Investment_Strategy&amp;"_"&amp;Investment_Strategy_Sub2&amp;"_"&amp;$A546,'Investment Strategies'!$T:$AF,8,FALSE),
IF(Investment_Strategy ="DIY",DIY_RateOfReturn_FuturePremiums,
"Error")))))),Max_InvReturn)</f>
        <v>0</v>
      </c>
      <c r="U546" s="62">
        <f>IF($AV546=0,0,
IF(Investment_Strategy="DIS",VLOOKUP(Investment_Strategy&amp;"_"&amp;Investment_Strategy_Sub1&amp;"_"&amp;$A546,'Investment Strategies'!$AZ:$BP,15,FALSE),
IF(AND(Investment_Strategy="Lifecycle",Investment_Strategy_Sub1="Non-Standard"),VLOOKUP(Investment_Strategy&amp;"_"&amp;Investment_Strategy_Sub2&amp;"_"&amp;$A546,'Investment Strategies'!$C:$P,12,FALSE),
IF(AND(Investment_Strategy="Lifecycle",Investment_Strategy_Sub1="Standard"),VLOOKUP(Investment_Strategy&amp;"_"&amp;Investment_Strategy_Sub2&amp;"_"&amp;$A546,'Investment Strategies'!$AJ:$AV,11,FALSE),
IF(AND(Investment_Strategy="Autopilot",Investment_Strategy_Sub1="Non-Standard"),VLOOKUP(Investment_Strategy&amp;"_"&amp;Investment_Strategy_Sub2&amp;"_"&amp;$A546,'Investment Strategies'!$T:$AF,11,FALSE),
IF(Investment_Strategy="DIY",DIY_GteeChrge_FuturePremiums,
"Error"))))))</f>
        <v>0</v>
      </c>
      <c r="V546" s="33">
        <f>IF(AV546=0,0,
IF(Investment_Strategy="DIS",VLOOKUP(Investment_Strategy&amp;"_"&amp;Investment_Strategy_Sub1&amp;"_"&amp;$A546,'Investment Strategies'!$AZ:$BP,17,FALSE),
IF(AND(Investment_Strategy="Lifecycle",Investment_Strategy_Sub1="Non-Standard"),VLOOKUP(Investment_Strategy&amp;"_"&amp;Investment_Strategy_Sub2&amp;"_"&amp;$A546,'Investment Strategies'!$C:$P,14,FALSE),
IF(AND(Investment_Strategy="Lifecycle",Investment_Strategy_Sub1="Standard"),VLOOKUP(Investment_Strategy&amp;"_"&amp;Investment_Strategy_Sub2&amp;"_"&amp;$A546,'Investment Strategies'!$AJ:$AV,13,FALSE),
IF(AND(Investment_Strategy="Autopilot",Investment_Strategy_Sub1="Non-Standard"),VLOOKUP(Investment_Strategy&amp;"_"&amp;Investment_Strategy_Sub2&amp;"_"&amp;$A546,'Investment Strategies'!$T:$AF,13,FALSE),
IF(Investment_Strategy="DIY",DIY_ExtManChrge_FuturePremiums,
"Error"))))))</f>
        <v>0</v>
      </c>
      <c r="W546" s="16">
        <f t="shared" si="337"/>
        <v>0</v>
      </c>
      <c r="X546" s="16">
        <f t="shared" si="314"/>
        <v>0</v>
      </c>
      <c r="Y546" s="16">
        <f t="shared" si="315"/>
        <v>0</v>
      </c>
      <c r="Z546" s="31">
        <f t="shared" si="316"/>
        <v>0.02</v>
      </c>
      <c r="AA546" s="16">
        <f t="shared" si="317"/>
        <v>0</v>
      </c>
      <c r="AB546" s="28">
        <f t="shared" si="339"/>
        <v>0</v>
      </c>
      <c r="AC546" s="28">
        <f>(SUM($AC$91:AC545)+SUM($X$91:X545)+X546)*T546*IF(D546=$A$91,SRP_finalmonthfactor,1)</f>
        <v>0</v>
      </c>
      <c r="AD546" s="16">
        <f t="shared" si="318"/>
        <v>0</v>
      </c>
      <c r="AE546" s="106"/>
      <c r="AF546" s="16">
        <f t="shared" si="326"/>
        <v>0</v>
      </c>
      <c r="AG546" s="16">
        <f t="shared" si="327"/>
        <v>0</v>
      </c>
      <c r="AH546" s="16">
        <f t="shared" si="328"/>
        <v>0</v>
      </c>
      <c r="AJ546" s="13">
        <f t="shared" si="338"/>
        <v>0</v>
      </c>
      <c r="AK546" s="13">
        <f t="shared" si="338"/>
        <v>0</v>
      </c>
      <c r="AL546" s="13">
        <f t="shared" si="338"/>
        <v>0</v>
      </c>
      <c r="AM546" s="13">
        <f t="shared" si="338"/>
        <v>0</v>
      </c>
      <c r="AN546" s="13">
        <f t="shared" si="338"/>
        <v>0</v>
      </c>
      <c r="AO546" s="13">
        <f t="shared" si="338"/>
        <v>1</v>
      </c>
      <c r="AP546" s="13">
        <f t="shared" si="338"/>
        <v>1</v>
      </c>
      <c r="AQ546" s="13">
        <f t="shared" si="338"/>
        <v>1</v>
      </c>
      <c r="AR546" s="13">
        <f t="shared" si="338"/>
        <v>0</v>
      </c>
      <c r="AS546" s="13">
        <f t="shared" si="338"/>
        <v>0</v>
      </c>
      <c r="AT546" s="13">
        <f t="shared" si="338"/>
        <v>0</v>
      </c>
      <c r="AU546" s="13">
        <f t="shared" si="338"/>
        <v>1</v>
      </c>
      <c r="AV546" s="13">
        <f t="shared" si="319"/>
        <v>0</v>
      </c>
      <c r="AW546" s="13">
        <f t="shared" si="320"/>
        <v>1</v>
      </c>
      <c r="AY546" s="17">
        <f t="shared" si="321"/>
        <v>456</v>
      </c>
      <c r="AZ546" s="28">
        <f t="shared" si="329"/>
        <v>0</v>
      </c>
      <c r="BA546" s="13">
        <f t="shared" si="322"/>
        <v>0</v>
      </c>
      <c r="BB546" s="13">
        <f t="shared" si="323"/>
        <v>0</v>
      </c>
      <c r="BC546" s="28">
        <f t="shared" si="330"/>
        <v>0</v>
      </c>
      <c r="BD546" s="28">
        <f t="shared" si="331"/>
        <v>0</v>
      </c>
      <c r="BF546" s="248">
        <f t="shared" si="332"/>
        <v>993869.29442638322</v>
      </c>
    </row>
    <row r="547" spans="1:58">
      <c r="A547" s="32">
        <f t="shared" si="333"/>
        <v>-372</v>
      </c>
      <c r="B547" s="32">
        <f t="shared" si="324"/>
        <v>91</v>
      </c>
      <c r="C547" s="32">
        <f t="shared" si="334"/>
        <v>39</v>
      </c>
      <c r="D547" s="32">
        <f t="shared" si="335"/>
        <v>457</v>
      </c>
      <c r="E547" s="74">
        <f>MIN(IF(AV547=0,0,
IF(Investment_Strategy="DIS",VLOOKUP(Investment_Strategy&amp;"_"&amp;Investment_Strategy_Sub1&amp;"_"&amp;$A547,'Investment Strategies'!$AZ:$BP,12,FALSE),
IF(AND(Investment_Strategy="Lifecycle",Investment_Strategy_Sub1="Non-Standard"),VLOOKUP(Investment_Strategy&amp;"_"&amp;Investment_Strategy_Sub2&amp;"_"&amp;$A547,'Investment Strategies'!$C:$P,9,FALSE),
IF(AND(Investment_Strategy="Lifecycle",Investment_Strategy_Sub1="Standard"),VLOOKUP(Investment_Strategy&amp;"_"&amp;Investment_Strategy_Sub2&amp;"_"&amp;$A547,'Investment Strategies'!$AJ:$AV,8,FALSE),
IF(AND(Investment_Strategy="Autopilot",Investment_Strategy_Sub1="Non-Standard"),VLOOKUP(Investment_Strategy&amp;"_"&amp;Investment_Strategy_Sub2&amp;"_"&amp;$A547,'Investment Strategies'!$T:$AF,8,FALSE),
IF(Investment_Strategy ="DIY",DIY_RateOfReturn_CurrentFunds,
"Error")))))),Max_InvReturn)</f>
        <v>0</v>
      </c>
      <c r="F547" s="62">
        <f>IF(AV547=0,0,
IF(Investment_Strategy="DIS",VLOOKUP(Investment_Strategy&amp;"_"&amp;Investment_Strategy_Sub1&amp;"_"&amp;$A547,'Investment Strategies'!$AZ:$BP,15,FALSE),
IF(AND(Investment_Strategy="Lifecycle",Investment_Strategy_Sub1="Non-Standard"),VLOOKUP(Investment_Strategy&amp;"_"&amp;Investment_Strategy_Sub2&amp;"_"&amp;$A547,'Investment Strategies'!$C:$P,12,FALSE),
IF(AND(Investment_Strategy="Lifecycle",Investment_Strategy_Sub1="Standard"),VLOOKUP(Investment_Strategy&amp;"_"&amp;Investment_Strategy_Sub2&amp;"_"&amp;$A547,'Investment Strategies'!$AJ:$AV,11,FALSE),
IF(AND(Investment_Strategy="Autopilot",Investment_Strategy_Sub1="Non-Standard"),VLOOKUP(Investment_Strategy&amp;"_"&amp;Investment_Strategy_Sub2&amp;"_"&amp;$A547,'Investment Strategies'!$T:$AF,11,FALSE),
IF(Investment_Strategy="DIY",DIY_GteeChrge_CurrentFunds,
"Error"))))))</f>
        <v>0</v>
      </c>
      <c r="G547" s="33">
        <f>IF(AV547=0,0,
IF(Investment_Strategy="DIS",VLOOKUP(Investment_Strategy&amp;"_"&amp;Investment_Strategy_Sub1&amp;"_"&amp;$A547,'Investment Strategies'!$AZ:$BP,17,FALSE),
IF(AND(Investment_Strategy="Lifecycle",Investment_Strategy_Sub1="Non-Standard"),VLOOKUP(Investment_Strategy&amp;"_"&amp;Investment_Strategy_Sub2&amp;"_"&amp;$A547,'Investment Strategies'!$C:$P,14,FALSE),
IF(AND(Investment_Strategy="Lifecycle",Investment_Strategy_Sub1="Standard"),VLOOKUP(Investment_Strategy&amp;"_"&amp;Investment_Strategy_Sub2&amp;"_"&amp;$A547,'Investment Strategies'!$AJ:$AV,13,FALSE),
IF(AND(Investment_Strategy="Autopilot",Investment_Strategy_Sub1="Non-Standard"),VLOOKUP(Investment_Strategy&amp;"_"&amp;Investment_Strategy_Sub2&amp;"_"&amp;$A547,'Investment Strategies'!$T:$AF,13,FALSE),
IF(Investment_Strategy="DIY",DIY_ExtManChrge_CurrentFunds,
"Error"))))))</f>
        <v>0</v>
      </c>
      <c r="H547" s="16">
        <f t="shared" si="325"/>
        <v>0</v>
      </c>
      <c r="I547" s="16">
        <f t="shared" si="311"/>
        <v>0</v>
      </c>
      <c r="J547" s="16">
        <f t="shared" si="312"/>
        <v>0</v>
      </c>
      <c r="K547" s="16">
        <f>(Opening_Fund_Value+SUM(K$91:K546))*E547*IF(D547=$A$91,SRP_finalmonthfactor,1)</f>
        <v>0</v>
      </c>
      <c r="L547" s="74">
        <f>MIN(IF($AV547=0,0,
IF(Investment_Strategy="DIS",VLOOKUP(Investment_Strategy&amp;"_"&amp;Investment_Strategy_Sub1&amp;"_"&amp;$A547,'Investment Strategies'!$AZ:$BP,12,FALSE),
IF(AND(Investment_Strategy="Lifecycle",Investment_Strategy_Sub1="Non-Standard"),VLOOKUP(Investment_Strategy&amp;"_"&amp;Investment_Strategy_Sub2&amp;"_"&amp;$A547,'Investment Strategies'!$C:$P,9,FALSE),
IF(AND(Investment_Strategy="Lifecycle",Investment_Strategy_Sub1="Standard"),VLOOKUP(Investment_Strategy&amp;"_"&amp;Investment_Strategy_Sub2&amp;"_"&amp;$A547,'Investment Strategies'!$AJ:$AV,8,FALSE),
IF(AND(Investment_Strategy="Autopilot",Investment_Strategy_Sub1="Non-Standard"),VLOOKUP(Investment_Strategy&amp;"_"&amp;Investment_Strategy_Sub2&amp;"_"&amp;$A547,'Investment Strategies'!$T:$AF,8,FALSE),
IF(Investment_Strategy ="DIY",DIY_RateofReturn_SP,
"Error")))))),Max_InvReturn)</f>
        <v>0</v>
      </c>
      <c r="M547" s="62">
        <f>IF($AV547=0,0,
IF(Investment_Strategy="DIS",VLOOKUP(Investment_Strategy&amp;"_"&amp;Investment_Strategy_Sub1&amp;"_"&amp;$A547,'Investment Strategies'!$AZ:$BP,15,FALSE),
IF(AND(Investment_Strategy="Lifecycle",Investment_Strategy_Sub1="Non-Standard"),VLOOKUP(Investment_Strategy&amp;"_"&amp;Investment_Strategy_Sub2&amp;"_"&amp;$A547,'Investment Strategies'!$C:$P,12,FALSE),
IF(AND(Investment_Strategy="Lifecycle",Investment_Strategy_Sub1="Standard"),VLOOKUP(Investment_Strategy&amp;"_"&amp;Investment_Strategy_Sub2&amp;"_"&amp;$A547,'Investment Strategies'!$AJ:$AV,11,FALSE),
IF(AND(Investment_Strategy="Autopilot",Investment_Strategy_Sub1="Non-Standard"),VLOOKUP(Investment_Strategy&amp;"_"&amp;Investment_Strategy_Sub2&amp;"_"&amp;$A547,'Investment Strategies'!$T:$AF,11,FALSE),
IF(Investment_Strategy="DIY",DIY_GteeChrge_SP,
"Error"))))))</f>
        <v>0</v>
      </c>
      <c r="N547" s="33">
        <f>IF($AV547=0,0,
IF(Investment_Strategy="DIS",VLOOKUP(Investment_Strategy&amp;"_"&amp;Investment_Strategy_Sub1&amp;"_"&amp;$A547,'Investment Strategies'!$AZ:$BP,17,FALSE),
IF(AND(Investment_Strategy="Lifecycle",Investment_Strategy_Sub1="Non-Standard"),VLOOKUP(Investment_Strategy&amp;"_"&amp;Investment_Strategy_Sub2&amp;"_"&amp;$A547,'Investment Strategies'!$C:$P,14,FALSE),
IF(AND(Investment_Strategy="Lifecycle",Investment_Strategy_Sub1="Standard"),VLOOKUP(Investment_Strategy&amp;"_"&amp;Investment_Strategy_Sub2&amp;"_"&amp;$A547,'Investment Strategies'!$AJ:$AV,13,FALSE),
IF(AND(Investment_Strategy="Autopilot",Investment_Strategy_Sub1="Non-Standard"),VLOOKUP(Investment_Strategy&amp;"_"&amp;Investment_Strategy_Sub2&amp;"_"&amp;$A547,'Investment Strategies'!$T:$AF,13,FALSE),
IF(Investment_Strategy="DIY",DIY_ExtManChrge_SP,
"Error"))))))</f>
        <v>0</v>
      </c>
      <c r="O547" s="16">
        <f t="shared" si="336"/>
        <v>0</v>
      </c>
      <c r="Q547" s="16">
        <f t="shared" si="313"/>
        <v>0</v>
      </c>
      <c r="R547" s="16">
        <f t="shared" si="310"/>
        <v>0</v>
      </c>
      <c r="S547" s="16">
        <f>(SRP_SP+SUM(S$91:S546))*L547*IF(D547=$A$91,SRP_finalmonthfactor,1)</f>
        <v>0</v>
      </c>
      <c r="T547" s="74">
        <f>MIN(IF($AV547=0,0,
IF(Investment_Strategy="DIS",VLOOKUP(Investment_Strategy&amp;"_"&amp;Investment_Strategy_Sub1&amp;"_"&amp;$A547,'Investment Strategies'!$AZ:$BP,12,FALSE),
IF(AND(Investment_Strategy="Lifecycle",Investment_Strategy_Sub1="Non-Standard"),VLOOKUP(Investment_Strategy&amp;"_"&amp;Investment_Strategy_Sub2&amp;"_"&amp;$A547,'Investment Strategies'!$C:$P,9,FALSE),
IF(AND(Investment_Strategy="Lifecycle",Investment_Strategy_Sub1="Standard"),VLOOKUP(Investment_Strategy&amp;"_"&amp;Investment_Strategy_Sub2&amp;"_"&amp;$A547,'Investment Strategies'!$AJ:$AV,8,FALSE),
IF(AND(Investment_Strategy="Autopilot",Investment_Strategy_Sub1="Non-Standard"),VLOOKUP(Investment_Strategy&amp;"_"&amp;Investment_Strategy_Sub2&amp;"_"&amp;$A547,'Investment Strategies'!$T:$AF,8,FALSE),
IF(Investment_Strategy ="DIY",DIY_RateOfReturn_FuturePremiums,
"Error")))))),Max_InvReturn)</f>
        <v>0</v>
      </c>
      <c r="U547" s="62">
        <f>IF($AV547=0,0,
IF(Investment_Strategy="DIS",VLOOKUP(Investment_Strategy&amp;"_"&amp;Investment_Strategy_Sub1&amp;"_"&amp;$A547,'Investment Strategies'!$AZ:$BP,15,FALSE),
IF(AND(Investment_Strategy="Lifecycle",Investment_Strategy_Sub1="Non-Standard"),VLOOKUP(Investment_Strategy&amp;"_"&amp;Investment_Strategy_Sub2&amp;"_"&amp;$A547,'Investment Strategies'!$C:$P,12,FALSE),
IF(AND(Investment_Strategy="Lifecycle",Investment_Strategy_Sub1="Standard"),VLOOKUP(Investment_Strategy&amp;"_"&amp;Investment_Strategy_Sub2&amp;"_"&amp;$A547,'Investment Strategies'!$AJ:$AV,11,FALSE),
IF(AND(Investment_Strategy="Autopilot",Investment_Strategy_Sub1="Non-Standard"),VLOOKUP(Investment_Strategy&amp;"_"&amp;Investment_Strategy_Sub2&amp;"_"&amp;$A547,'Investment Strategies'!$T:$AF,11,FALSE),
IF(Investment_Strategy="DIY",DIY_GteeChrge_FuturePremiums,
"Error"))))))</f>
        <v>0</v>
      </c>
      <c r="V547" s="33">
        <f>IF(AV547=0,0,
IF(Investment_Strategy="DIS",VLOOKUP(Investment_Strategy&amp;"_"&amp;Investment_Strategy_Sub1&amp;"_"&amp;$A547,'Investment Strategies'!$AZ:$BP,17,FALSE),
IF(AND(Investment_Strategy="Lifecycle",Investment_Strategy_Sub1="Non-Standard"),VLOOKUP(Investment_Strategy&amp;"_"&amp;Investment_Strategy_Sub2&amp;"_"&amp;$A547,'Investment Strategies'!$C:$P,14,FALSE),
IF(AND(Investment_Strategy="Lifecycle",Investment_Strategy_Sub1="Standard"),VLOOKUP(Investment_Strategy&amp;"_"&amp;Investment_Strategy_Sub2&amp;"_"&amp;$A547,'Investment Strategies'!$AJ:$AV,13,FALSE),
IF(AND(Investment_Strategy="Autopilot",Investment_Strategy_Sub1="Non-Standard"),VLOOKUP(Investment_Strategy&amp;"_"&amp;Investment_Strategy_Sub2&amp;"_"&amp;$A547,'Investment Strategies'!$T:$AF,13,FALSE),
IF(Investment_Strategy="DIY",DIY_ExtManChrge_FuturePremiums,
"Error"))))))</f>
        <v>0</v>
      </c>
      <c r="W547" s="16">
        <f t="shared" si="337"/>
        <v>0</v>
      </c>
      <c r="X547" s="16">
        <f t="shared" si="314"/>
        <v>0</v>
      </c>
      <c r="Y547" s="16">
        <f t="shared" si="315"/>
        <v>0</v>
      </c>
      <c r="Z547" s="31">
        <f t="shared" si="316"/>
        <v>0.02</v>
      </c>
      <c r="AA547" s="16">
        <f t="shared" si="317"/>
        <v>0</v>
      </c>
      <c r="AB547" s="28">
        <f t="shared" si="339"/>
        <v>0</v>
      </c>
      <c r="AC547" s="28">
        <f>(SUM($AC$91:AC546)+SUM($X$91:X546)+X547)*T547*IF(D547=$A$91,SRP_finalmonthfactor,1)</f>
        <v>0</v>
      </c>
      <c r="AD547" s="16">
        <f t="shared" si="318"/>
        <v>0</v>
      </c>
      <c r="AE547" s="106"/>
      <c r="AF547" s="16">
        <f t="shared" si="326"/>
        <v>0</v>
      </c>
      <c r="AG547" s="16">
        <f t="shared" si="327"/>
        <v>0</v>
      </c>
      <c r="AH547" s="16">
        <f t="shared" si="328"/>
        <v>0</v>
      </c>
      <c r="AJ547" s="13">
        <f t="shared" si="338"/>
        <v>0</v>
      </c>
      <c r="AK547" s="13">
        <f t="shared" si="338"/>
        <v>0</v>
      </c>
      <c r="AL547" s="13">
        <f t="shared" si="338"/>
        <v>0</v>
      </c>
      <c r="AM547" s="13">
        <f t="shared" si="338"/>
        <v>0</v>
      </c>
      <c r="AN547" s="13">
        <f t="shared" si="338"/>
        <v>0</v>
      </c>
      <c r="AO547" s="13">
        <f t="shared" si="338"/>
        <v>1</v>
      </c>
      <c r="AP547" s="13">
        <f t="shared" si="338"/>
        <v>1</v>
      </c>
      <c r="AQ547" s="13">
        <f t="shared" si="338"/>
        <v>1</v>
      </c>
      <c r="AR547" s="13">
        <f t="shared" si="338"/>
        <v>0</v>
      </c>
      <c r="AS547" s="13">
        <f t="shared" si="338"/>
        <v>0</v>
      </c>
      <c r="AT547" s="13">
        <f t="shared" si="338"/>
        <v>0</v>
      </c>
      <c r="AU547" s="13">
        <f t="shared" si="338"/>
        <v>1</v>
      </c>
      <c r="AV547" s="13">
        <f t="shared" si="319"/>
        <v>0</v>
      </c>
      <c r="AW547" s="13">
        <f t="shared" si="320"/>
        <v>1</v>
      </c>
      <c r="AY547" s="17">
        <f t="shared" si="321"/>
        <v>457</v>
      </c>
      <c r="AZ547" s="28">
        <f t="shared" si="329"/>
        <v>0</v>
      </c>
      <c r="BA547" s="13">
        <f t="shared" si="322"/>
        <v>0</v>
      </c>
      <c r="BB547" s="13">
        <f t="shared" si="323"/>
        <v>0</v>
      </c>
      <c r="BC547" s="28">
        <f t="shared" si="330"/>
        <v>0</v>
      </c>
      <c r="BD547" s="28">
        <f t="shared" si="331"/>
        <v>0</v>
      </c>
      <c r="BF547" s="248">
        <f t="shared" si="332"/>
        <v>993869.29442638322</v>
      </c>
    </row>
    <row r="548" spans="1:58">
      <c r="A548" s="32">
        <f t="shared" si="333"/>
        <v>-373</v>
      </c>
      <c r="B548" s="32">
        <f t="shared" si="324"/>
        <v>91</v>
      </c>
      <c r="C548" s="32">
        <f t="shared" si="334"/>
        <v>39</v>
      </c>
      <c r="D548" s="32">
        <f t="shared" si="335"/>
        <v>458</v>
      </c>
      <c r="E548" s="74">
        <f>MIN(IF(AV548=0,0,
IF(Investment_Strategy="DIS",VLOOKUP(Investment_Strategy&amp;"_"&amp;Investment_Strategy_Sub1&amp;"_"&amp;$A548,'Investment Strategies'!$AZ:$BP,12,FALSE),
IF(AND(Investment_Strategy="Lifecycle",Investment_Strategy_Sub1="Non-Standard"),VLOOKUP(Investment_Strategy&amp;"_"&amp;Investment_Strategy_Sub2&amp;"_"&amp;$A548,'Investment Strategies'!$C:$P,9,FALSE),
IF(AND(Investment_Strategy="Lifecycle",Investment_Strategy_Sub1="Standard"),VLOOKUP(Investment_Strategy&amp;"_"&amp;Investment_Strategy_Sub2&amp;"_"&amp;$A548,'Investment Strategies'!$AJ:$AV,8,FALSE),
IF(AND(Investment_Strategy="Autopilot",Investment_Strategy_Sub1="Non-Standard"),VLOOKUP(Investment_Strategy&amp;"_"&amp;Investment_Strategy_Sub2&amp;"_"&amp;$A548,'Investment Strategies'!$T:$AF,8,FALSE),
IF(Investment_Strategy ="DIY",DIY_RateOfReturn_CurrentFunds,
"Error")))))),Max_InvReturn)</f>
        <v>0</v>
      </c>
      <c r="F548" s="62">
        <f>IF(AV548=0,0,
IF(Investment_Strategy="DIS",VLOOKUP(Investment_Strategy&amp;"_"&amp;Investment_Strategy_Sub1&amp;"_"&amp;$A548,'Investment Strategies'!$AZ:$BP,15,FALSE),
IF(AND(Investment_Strategy="Lifecycle",Investment_Strategy_Sub1="Non-Standard"),VLOOKUP(Investment_Strategy&amp;"_"&amp;Investment_Strategy_Sub2&amp;"_"&amp;$A548,'Investment Strategies'!$C:$P,12,FALSE),
IF(AND(Investment_Strategy="Lifecycle",Investment_Strategy_Sub1="Standard"),VLOOKUP(Investment_Strategy&amp;"_"&amp;Investment_Strategy_Sub2&amp;"_"&amp;$A548,'Investment Strategies'!$AJ:$AV,11,FALSE),
IF(AND(Investment_Strategy="Autopilot",Investment_Strategy_Sub1="Non-Standard"),VLOOKUP(Investment_Strategy&amp;"_"&amp;Investment_Strategy_Sub2&amp;"_"&amp;$A548,'Investment Strategies'!$T:$AF,11,FALSE),
IF(Investment_Strategy="DIY",DIY_GteeChrge_CurrentFunds,
"Error"))))))</f>
        <v>0</v>
      </c>
      <c r="G548" s="33">
        <f>IF(AV548=0,0,
IF(Investment_Strategy="DIS",VLOOKUP(Investment_Strategy&amp;"_"&amp;Investment_Strategy_Sub1&amp;"_"&amp;$A548,'Investment Strategies'!$AZ:$BP,17,FALSE),
IF(AND(Investment_Strategy="Lifecycle",Investment_Strategy_Sub1="Non-Standard"),VLOOKUP(Investment_Strategy&amp;"_"&amp;Investment_Strategy_Sub2&amp;"_"&amp;$A548,'Investment Strategies'!$C:$P,14,FALSE),
IF(AND(Investment_Strategy="Lifecycle",Investment_Strategy_Sub1="Standard"),VLOOKUP(Investment_Strategy&amp;"_"&amp;Investment_Strategy_Sub2&amp;"_"&amp;$A548,'Investment Strategies'!$AJ:$AV,13,FALSE),
IF(AND(Investment_Strategy="Autopilot",Investment_Strategy_Sub1="Non-Standard"),VLOOKUP(Investment_Strategy&amp;"_"&amp;Investment_Strategy_Sub2&amp;"_"&amp;$A548,'Investment Strategies'!$T:$AF,13,FALSE),
IF(Investment_Strategy="DIY",DIY_ExtManChrge_CurrentFunds,
"Error"))))))</f>
        <v>0</v>
      </c>
      <c r="H548" s="16">
        <f t="shared" si="325"/>
        <v>0</v>
      </c>
      <c r="I548" s="16">
        <f t="shared" si="311"/>
        <v>0</v>
      </c>
      <c r="J548" s="16">
        <f t="shared" si="312"/>
        <v>0</v>
      </c>
      <c r="K548" s="16">
        <f>(Opening_Fund_Value+SUM(K$91:K547))*E548*IF(D548=$A$91,SRP_finalmonthfactor,1)</f>
        <v>0</v>
      </c>
      <c r="L548" s="74">
        <f>MIN(IF($AV548=0,0,
IF(Investment_Strategy="DIS",VLOOKUP(Investment_Strategy&amp;"_"&amp;Investment_Strategy_Sub1&amp;"_"&amp;$A548,'Investment Strategies'!$AZ:$BP,12,FALSE),
IF(AND(Investment_Strategy="Lifecycle",Investment_Strategy_Sub1="Non-Standard"),VLOOKUP(Investment_Strategy&amp;"_"&amp;Investment_Strategy_Sub2&amp;"_"&amp;$A548,'Investment Strategies'!$C:$P,9,FALSE),
IF(AND(Investment_Strategy="Lifecycle",Investment_Strategy_Sub1="Standard"),VLOOKUP(Investment_Strategy&amp;"_"&amp;Investment_Strategy_Sub2&amp;"_"&amp;$A548,'Investment Strategies'!$AJ:$AV,8,FALSE),
IF(AND(Investment_Strategy="Autopilot",Investment_Strategy_Sub1="Non-Standard"),VLOOKUP(Investment_Strategy&amp;"_"&amp;Investment_Strategy_Sub2&amp;"_"&amp;$A548,'Investment Strategies'!$T:$AF,8,FALSE),
IF(Investment_Strategy ="DIY",DIY_RateofReturn_SP,
"Error")))))),Max_InvReturn)</f>
        <v>0</v>
      </c>
      <c r="M548" s="62">
        <f>IF($AV548=0,0,
IF(Investment_Strategy="DIS",VLOOKUP(Investment_Strategy&amp;"_"&amp;Investment_Strategy_Sub1&amp;"_"&amp;$A548,'Investment Strategies'!$AZ:$BP,15,FALSE),
IF(AND(Investment_Strategy="Lifecycle",Investment_Strategy_Sub1="Non-Standard"),VLOOKUP(Investment_Strategy&amp;"_"&amp;Investment_Strategy_Sub2&amp;"_"&amp;$A548,'Investment Strategies'!$C:$P,12,FALSE),
IF(AND(Investment_Strategy="Lifecycle",Investment_Strategy_Sub1="Standard"),VLOOKUP(Investment_Strategy&amp;"_"&amp;Investment_Strategy_Sub2&amp;"_"&amp;$A548,'Investment Strategies'!$AJ:$AV,11,FALSE),
IF(AND(Investment_Strategy="Autopilot",Investment_Strategy_Sub1="Non-Standard"),VLOOKUP(Investment_Strategy&amp;"_"&amp;Investment_Strategy_Sub2&amp;"_"&amp;$A548,'Investment Strategies'!$T:$AF,11,FALSE),
IF(Investment_Strategy="DIY",DIY_GteeChrge_SP,
"Error"))))))</f>
        <v>0</v>
      </c>
      <c r="N548" s="33">
        <f>IF($AV548=0,0,
IF(Investment_Strategy="DIS",VLOOKUP(Investment_Strategy&amp;"_"&amp;Investment_Strategy_Sub1&amp;"_"&amp;$A548,'Investment Strategies'!$AZ:$BP,17,FALSE),
IF(AND(Investment_Strategy="Lifecycle",Investment_Strategy_Sub1="Non-Standard"),VLOOKUP(Investment_Strategy&amp;"_"&amp;Investment_Strategy_Sub2&amp;"_"&amp;$A548,'Investment Strategies'!$C:$P,14,FALSE),
IF(AND(Investment_Strategy="Lifecycle",Investment_Strategy_Sub1="Standard"),VLOOKUP(Investment_Strategy&amp;"_"&amp;Investment_Strategy_Sub2&amp;"_"&amp;$A548,'Investment Strategies'!$AJ:$AV,13,FALSE),
IF(AND(Investment_Strategy="Autopilot",Investment_Strategy_Sub1="Non-Standard"),VLOOKUP(Investment_Strategy&amp;"_"&amp;Investment_Strategy_Sub2&amp;"_"&amp;$A548,'Investment Strategies'!$T:$AF,13,FALSE),
IF(Investment_Strategy="DIY",DIY_ExtManChrge_SP,
"Error"))))))</f>
        <v>0</v>
      </c>
      <c r="O548" s="16">
        <f t="shared" si="336"/>
        <v>0</v>
      </c>
      <c r="Q548" s="16">
        <f t="shared" si="313"/>
        <v>0</v>
      </c>
      <c r="R548" s="16">
        <f t="shared" si="310"/>
        <v>0</v>
      </c>
      <c r="S548" s="16">
        <f>(SRP_SP+SUM(S$91:S547))*L548*IF(D548=$A$91,SRP_finalmonthfactor,1)</f>
        <v>0</v>
      </c>
      <c r="T548" s="74">
        <f>MIN(IF($AV548=0,0,
IF(Investment_Strategy="DIS",VLOOKUP(Investment_Strategy&amp;"_"&amp;Investment_Strategy_Sub1&amp;"_"&amp;$A548,'Investment Strategies'!$AZ:$BP,12,FALSE),
IF(AND(Investment_Strategy="Lifecycle",Investment_Strategy_Sub1="Non-Standard"),VLOOKUP(Investment_Strategy&amp;"_"&amp;Investment_Strategy_Sub2&amp;"_"&amp;$A548,'Investment Strategies'!$C:$P,9,FALSE),
IF(AND(Investment_Strategy="Lifecycle",Investment_Strategy_Sub1="Standard"),VLOOKUP(Investment_Strategy&amp;"_"&amp;Investment_Strategy_Sub2&amp;"_"&amp;$A548,'Investment Strategies'!$AJ:$AV,8,FALSE),
IF(AND(Investment_Strategy="Autopilot",Investment_Strategy_Sub1="Non-Standard"),VLOOKUP(Investment_Strategy&amp;"_"&amp;Investment_Strategy_Sub2&amp;"_"&amp;$A548,'Investment Strategies'!$T:$AF,8,FALSE),
IF(Investment_Strategy ="DIY",DIY_RateOfReturn_FuturePremiums,
"Error")))))),Max_InvReturn)</f>
        <v>0</v>
      </c>
      <c r="U548" s="62">
        <f>IF($AV548=0,0,
IF(Investment_Strategy="DIS",VLOOKUP(Investment_Strategy&amp;"_"&amp;Investment_Strategy_Sub1&amp;"_"&amp;$A548,'Investment Strategies'!$AZ:$BP,15,FALSE),
IF(AND(Investment_Strategy="Lifecycle",Investment_Strategy_Sub1="Non-Standard"),VLOOKUP(Investment_Strategy&amp;"_"&amp;Investment_Strategy_Sub2&amp;"_"&amp;$A548,'Investment Strategies'!$C:$P,12,FALSE),
IF(AND(Investment_Strategy="Lifecycle",Investment_Strategy_Sub1="Standard"),VLOOKUP(Investment_Strategy&amp;"_"&amp;Investment_Strategy_Sub2&amp;"_"&amp;$A548,'Investment Strategies'!$AJ:$AV,11,FALSE),
IF(AND(Investment_Strategy="Autopilot",Investment_Strategy_Sub1="Non-Standard"),VLOOKUP(Investment_Strategy&amp;"_"&amp;Investment_Strategy_Sub2&amp;"_"&amp;$A548,'Investment Strategies'!$T:$AF,11,FALSE),
IF(Investment_Strategy="DIY",DIY_GteeChrge_FuturePremiums,
"Error"))))))</f>
        <v>0</v>
      </c>
      <c r="V548" s="33">
        <f>IF(AV548=0,0,
IF(Investment_Strategy="DIS",VLOOKUP(Investment_Strategy&amp;"_"&amp;Investment_Strategy_Sub1&amp;"_"&amp;$A548,'Investment Strategies'!$AZ:$BP,17,FALSE),
IF(AND(Investment_Strategy="Lifecycle",Investment_Strategy_Sub1="Non-Standard"),VLOOKUP(Investment_Strategy&amp;"_"&amp;Investment_Strategy_Sub2&amp;"_"&amp;$A548,'Investment Strategies'!$C:$P,14,FALSE),
IF(AND(Investment_Strategy="Lifecycle",Investment_Strategy_Sub1="Standard"),VLOOKUP(Investment_Strategy&amp;"_"&amp;Investment_Strategy_Sub2&amp;"_"&amp;$A548,'Investment Strategies'!$AJ:$AV,13,FALSE),
IF(AND(Investment_Strategy="Autopilot",Investment_Strategy_Sub1="Non-Standard"),VLOOKUP(Investment_Strategy&amp;"_"&amp;Investment_Strategy_Sub2&amp;"_"&amp;$A548,'Investment Strategies'!$T:$AF,13,FALSE),
IF(Investment_Strategy="DIY",DIY_ExtManChrge_FuturePremiums,
"Error"))))))</f>
        <v>0</v>
      </c>
      <c r="W548" s="16">
        <f t="shared" si="337"/>
        <v>0</v>
      </c>
      <c r="X548" s="16">
        <f t="shared" si="314"/>
        <v>0</v>
      </c>
      <c r="Y548" s="16">
        <f t="shared" si="315"/>
        <v>0</v>
      </c>
      <c r="Z548" s="31">
        <f t="shared" si="316"/>
        <v>0.02</v>
      </c>
      <c r="AA548" s="16">
        <f t="shared" si="317"/>
        <v>0</v>
      </c>
      <c r="AB548" s="28">
        <f t="shared" si="339"/>
        <v>0</v>
      </c>
      <c r="AC548" s="28">
        <f>(SUM($AC$91:AC547)+SUM($X$91:X547)+X548)*T548*IF(D548=$A$91,SRP_finalmonthfactor,1)</f>
        <v>0</v>
      </c>
      <c r="AD548" s="16">
        <f t="shared" si="318"/>
        <v>0</v>
      </c>
      <c r="AE548" s="106"/>
      <c r="AF548" s="16">
        <f t="shared" si="326"/>
        <v>0</v>
      </c>
      <c r="AG548" s="16">
        <f t="shared" si="327"/>
        <v>0</v>
      </c>
      <c r="AH548" s="16">
        <f t="shared" si="328"/>
        <v>0</v>
      </c>
      <c r="AJ548" s="13">
        <f t="shared" si="338"/>
        <v>0</v>
      </c>
      <c r="AK548" s="13">
        <f t="shared" si="338"/>
        <v>0</v>
      </c>
      <c r="AL548" s="13">
        <f t="shared" si="338"/>
        <v>0</v>
      </c>
      <c r="AM548" s="13">
        <f t="shared" si="338"/>
        <v>0</v>
      </c>
      <c r="AN548" s="13">
        <f t="shared" si="338"/>
        <v>0</v>
      </c>
      <c r="AO548" s="13">
        <f t="shared" si="338"/>
        <v>1</v>
      </c>
      <c r="AP548" s="13">
        <f t="shared" si="338"/>
        <v>1</v>
      </c>
      <c r="AQ548" s="13">
        <f t="shared" si="338"/>
        <v>1</v>
      </c>
      <c r="AR548" s="13">
        <f t="shared" si="338"/>
        <v>0</v>
      </c>
      <c r="AS548" s="13">
        <f t="shared" si="338"/>
        <v>0</v>
      </c>
      <c r="AT548" s="13">
        <f t="shared" si="338"/>
        <v>0</v>
      </c>
      <c r="AU548" s="13">
        <f t="shared" si="338"/>
        <v>1</v>
      </c>
      <c r="AV548" s="13">
        <f t="shared" si="319"/>
        <v>0</v>
      </c>
      <c r="AW548" s="13">
        <f t="shared" si="320"/>
        <v>1</v>
      </c>
      <c r="AY548" s="17">
        <f t="shared" si="321"/>
        <v>458</v>
      </c>
      <c r="AZ548" s="28">
        <f t="shared" si="329"/>
        <v>0</v>
      </c>
      <c r="BA548" s="13">
        <f t="shared" si="322"/>
        <v>0</v>
      </c>
      <c r="BB548" s="13">
        <f t="shared" si="323"/>
        <v>0</v>
      </c>
      <c r="BC548" s="28">
        <f t="shared" si="330"/>
        <v>0</v>
      </c>
      <c r="BD548" s="28">
        <f t="shared" si="331"/>
        <v>0</v>
      </c>
      <c r="BF548" s="248">
        <f t="shared" si="332"/>
        <v>993869.29442638322</v>
      </c>
    </row>
    <row r="549" spans="1:58">
      <c r="A549" s="32">
        <f t="shared" si="333"/>
        <v>-374</v>
      </c>
      <c r="B549" s="32">
        <f t="shared" si="324"/>
        <v>91</v>
      </c>
      <c r="C549" s="32">
        <f t="shared" si="334"/>
        <v>39</v>
      </c>
      <c r="D549" s="32">
        <f t="shared" si="335"/>
        <v>459</v>
      </c>
      <c r="E549" s="74">
        <f>MIN(IF(AV549=0,0,
IF(Investment_Strategy="DIS",VLOOKUP(Investment_Strategy&amp;"_"&amp;Investment_Strategy_Sub1&amp;"_"&amp;$A549,'Investment Strategies'!$AZ:$BP,12,FALSE),
IF(AND(Investment_Strategy="Lifecycle",Investment_Strategy_Sub1="Non-Standard"),VLOOKUP(Investment_Strategy&amp;"_"&amp;Investment_Strategy_Sub2&amp;"_"&amp;$A549,'Investment Strategies'!$C:$P,9,FALSE),
IF(AND(Investment_Strategy="Lifecycle",Investment_Strategy_Sub1="Standard"),VLOOKUP(Investment_Strategy&amp;"_"&amp;Investment_Strategy_Sub2&amp;"_"&amp;$A549,'Investment Strategies'!$AJ:$AV,8,FALSE),
IF(AND(Investment_Strategy="Autopilot",Investment_Strategy_Sub1="Non-Standard"),VLOOKUP(Investment_Strategy&amp;"_"&amp;Investment_Strategy_Sub2&amp;"_"&amp;$A549,'Investment Strategies'!$T:$AF,8,FALSE),
IF(Investment_Strategy ="DIY",DIY_RateOfReturn_CurrentFunds,
"Error")))))),Max_InvReturn)</f>
        <v>0</v>
      </c>
      <c r="F549" s="62">
        <f>IF(AV549=0,0,
IF(Investment_Strategy="DIS",VLOOKUP(Investment_Strategy&amp;"_"&amp;Investment_Strategy_Sub1&amp;"_"&amp;$A549,'Investment Strategies'!$AZ:$BP,15,FALSE),
IF(AND(Investment_Strategy="Lifecycle",Investment_Strategy_Sub1="Non-Standard"),VLOOKUP(Investment_Strategy&amp;"_"&amp;Investment_Strategy_Sub2&amp;"_"&amp;$A549,'Investment Strategies'!$C:$P,12,FALSE),
IF(AND(Investment_Strategy="Lifecycle",Investment_Strategy_Sub1="Standard"),VLOOKUP(Investment_Strategy&amp;"_"&amp;Investment_Strategy_Sub2&amp;"_"&amp;$A549,'Investment Strategies'!$AJ:$AV,11,FALSE),
IF(AND(Investment_Strategy="Autopilot",Investment_Strategy_Sub1="Non-Standard"),VLOOKUP(Investment_Strategy&amp;"_"&amp;Investment_Strategy_Sub2&amp;"_"&amp;$A549,'Investment Strategies'!$T:$AF,11,FALSE),
IF(Investment_Strategy="DIY",DIY_GteeChrge_CurrentFunds,
"Error"))))))</f>
        <v>0</v>
      </c>
      <c r="G549" s="33">
        <f>IF(AV549=0,0,
IF(Investment_Strategy="DIS",VLOOKUP(Investment_Strategy&amp;"_"&amp;Investment_Strategy_Sub1&amp;"_"&amp;$A549,'Investment Strategies'!$AZ:$BP,17,FALSE),
IF(AND(Investment_Strategy="Lifecycle",Investment_Strategy_Sub1="Non-Standard"),VLOOKUP(Investment_Strategy&amp;"_"&amp;Investment_Strategy_Sub2&amp;"_"&amp;$A549,'Investment Strategies'!$C:$P,14,FALSE),
IF(AND(Investment_Strategy="Lifecycle",Investment_Strategy_Sub1="Standard"),VLOOKUP(Investment_Strategy&amp;"_"&amp;Investment_Strategy_Sub2&amp;"_"&amp;$A549,'Investment Strategies'!$AJ:$AV,13,FALSE),
IF(AND(Investment_Strategy="Autopilot",Investment_Strategy_Sub1="Non-Standard"),VLOOKUP(Investment_Strategy&amp;"_"&amp;Investment_Strategy_Sub2&amp;"_"&amp;$A549,'Investment Strategies'!$T:$AF,13,FALSE),
IF(Investment_Strategy="DIY",DIY_ExtManChrge_CurrentFunds,
"Error"))))))</f>
        <v>0</v>
      </c>
      <c r="H549" s="16">
        <f t="shared" si="325"/>
        <v>0</v>
      </c>
      <c r="I549" s="16">
        <f t="shared" si="311"/>
        <v>0</v>
      </c>
      <c r="J549" s="16">
        <f t="shared" si="312"/>
        <v>0</v>
      </c>
      <c r="K549" s="16">
        <f>(Opening_Fund_Value+SUM(K$91:K548))*E549*IF(D549=$A$91,SRP_finalmonthfactor,1)</f>
        <v>0</v>
      </c>
      <c r="L549" s="74">
        <f>MIN(IF($AV549=0,0,
IF(Investment_Strategy="DIS",VLOOKUP(Investment_Strategy&amp;"_"&amp;Investment_Strategy_Sub1&amp;"_"&amp;$A549,'Investment Strategies'!$AZ:$BP,12,FALSE),
IF(AND(Investment_Strategy="Lifecycle",Investment_Strategy_Sub1="Non-Standard"),VLOOKUP(Investment_Strategy&amp;"_"&amp;Investment_Strategy_Sub2&amp;"_"&amp;$A549,'Investment Strategies'!$C:$P,9,FALSE),
IF(AND(Investment_Strategy="Lifecycle",Investment_Strategy_Sub1="Standard"),VLOOKUP(Investment_Strategy&amp;"_"&amp;Investment_Strategy_Sub2&amp;"_"&amp;$A549,'Investment Strategies'!$AJ:$AV,8,FALSE),
IF(AND(Investment_Strategy="Autopilot",Investment_Strategy_Sub1="Non-Standard"),VLOOKUP(Investment_Strategy&amp;"_"&amp;Investment_Strategy_Sub2&amp;"_"&amp;$A549,'Investment Strategies'!$T:$AF,8,FALSE),
IF(Investment_Strategy ="DIY",DIY_RateofReturn_SP,
"Error")))))),Max_InvReturn)</f>
        <v>0</v>
      </c>
      <c r="M549" s="62">
        <f>IF($AV549=0,0,
IF(Investment_Strategy="DIS",VLOOKUP(Investment_Strategy&amp;"_"&amp;Investment_Strategy_Sub1&amp;"_"&amp;$A549,'Investment Strategies'!$AZ:$BP,15,FALSE),
IF(AND(Investment_Strategy="Lifecycle",Investment_Strategy_Sub1="Non-Standard"),VLOOKUP(Investment_Strategy&amp;"_"&amp;Investment_Strategy_Sub2&amp;"_"&amp;$A549,'Investment Strategies'!$C:$P,12,FALSE),
IF(AND(Investment_Strategy="Lifecycle",Investment_Strategy_Sub1="Standard"),VLOOKUP(Investment_Strategy&amp;"_"&amp;Investment_Strategy_Sub2&amp;"_"&amp;$A549,'Investment Strategies'!$AJ:$AV,11,FALSE),
IF(AND(Investment_Strategy="Autopilot",Investment_Strategy_Sub1="Non-Standard"),VLOOKUP(Investment_Strategy&amp;"_"&amp;Investment_Strategy_Sub2&amp;"_"&amp;$A549,'Investment Strategies'!$T:$AF,11,FALSE),
IF(Investment_Strategy="DIY",DIY_GteeChrge_SP,
"Error"))))))</f>
        <v>0</v>
      </c>
      <c r="N549" s="33">
        <f>IF($AV549=0,0,
IF(Investment_Strategy="DIS",VLOOKUP(Investment_Strategy&amp;"_"&amp;Investment_Strategy_Sub1&amp;"_"&amp;$A549,'Investment Strategies'!$AZ:$BP,17,FALSE),
IF(AND(Investment_Strategy="Lifecycle",Investment_Strategy_Sub1="Non-Standard"),VLOOKUP(Investment_Strategy&amp;"_"&amp;Investment_Strategy_Sub2&amp;"_"&amp;$A549,'Investment Strategies'!$C:$P,14,FALSE),
IF(AND(Investment_Strategy="Lifecycle",Investment_Strategy_Sub1="Standard"),VLOOKUP(Investment_Strategy&amp;"_"&amp;Investment_Strategy_Sub2&amp;"_"&amp;$A549,'Investment Strategies'!$AJ:$AV,13,FALSE),
IF(AND(Investment_Strategy="Autopilot",Investment_Strategy_Sub1="Non-Standard"),VLOOKUP(Investment_Strategy&amp;"_"&amp;Investment_Strategy_Sub2&amp;"_"&amp;$A549,'Investment Strategies'!$T:$AF,13,FALSE),
IF(Investment_Strategy="DIY",DIY_ExtManChrge_SP,
"Error"))))))</f>
        <v>0</v>
      </c>
      <c r="O549" s="16">
        <f t="shared" si="336"/>
        <v>0</v>
      </c>
      <c r="Q549" s="16">
        <f t="shared" si="313"/>
        <v>0</v>
      </c>
      <c r="R549" s="16">
        <f t="shared" si="310"/>
        <v>0</v>
      </c>
      <c r="S549" s="16">
        <f>(SRP_SP+SUM(S$91:S548))*L549*IF(D549=$A$91,SRP_finalmonthfactor,1)</f>
        <v>0</v>
      </c>
      <c r="T549" s="74">
        <f>MIN(IF($AV549=0,0,
IF(Investment_Strategy="DIS",VLOOKUP(Investment_Strategy&amp;"_"&amp;Investment_Strategy_Sub1&amp;"_"&amp;$A549,'Investment Strategies'!$AZ:$BP,12,FALSE),
IF(AND(Investment_Strategy="Lifecycle",Investment_Strategy_Sub1="Non-Standard"),VLOOKUP(Investment_Strategy&amp;"_"&amp;Investment_Strategy_Sub2&amp;"_"&amp;$A549,'Investment Strategies'!$C:$P,9,FALSE),
IF(AND(Investment_Strategy="Lifecycle",Investment_Strategy_Sub1="Standard"),VLOOKUP(Investment_Strategy&amp;"_"&amp;Investment_Strategy_Sub2&amp;"_"&amp;$A549,'Investment Strategies'!$AJ:$AV,8,FALSE),
IF(AND(Investment_Strategy="Autopilot",Investment_Strategy_Sub1="Non-Standard"),VLOOKUP(Investment_Strategy&amp;"_"&amp;Investment_Strategy_Sub2&amp;"_"&amp;$A549,'Investment Strategies'!$T:$AF,8,FALSE),
IF(Investment_Strategy ="DIY",DIY_RateOfReturn_FuturePremiums,
"Error")))))),Max_InvReturn)</f>
        <v>0</v>
      </c>
      <c r="U549" s="62">
        <f>IF($AV549=0,0,
IF(Investment_Strategy="DIS",VLOOKUP(Investment_Strategy&amp;"_"&amp;Investment_Strategy_Sub1&amp;"_"&amp;$A549,'Investment Strategies'!$AZ:$BP,15,FALSE),
IF(AND(Investment_Strategy="Lifecycle",Investment_Strategy_Sub1="Non-Standard"),VLOOKUP(Investment_Strategy&amp;"_"&amp;Investment_Strategy_Sub2&amp;"_"&amp;$A549,'Investment Strategies'!$C:$P,12,FALSE),
IF(AND(Investment_Strategy="Lifecycle",Investment_Strategy_Sub1="Standard"),VLOOKUP(Investment_Strategy&amp;"_"&amp;Investment_Strategy_Sub2&amp;"_"&amp;$A549,'Investment Strategies'!$AJ:$AV,11,FALSE),
IF(AND(Investment_Strategy="Autopilot",Investment_Strategy_Sub1="Non-Standard"),VLOOKUP(Investment_Strategy&amp;"_"&amp;Investment_Strategy_Sub2&amp;"_"&amp;$A549,'Investment Strategies'!$T:$AF,11,FALSE),
IF(Investment_Strategy="DIY",DIY_GteeChrge_FuturePremiums,
"Error"))))))</f>
        <v>0</v>
      </c>
      <c r="V549" s="33">
        <f>IF(AV549=0,0,
IF(Investment_Strategy="DIS",VLOOKUP(Investment_Strategy&amp;"_"&amp;Investment_Strategy_Sub1&amp;"_"&amp;$A549,'Investment Strategies'!$AZ:$BP,17,FALSE),
IF(AND(Investment_Strategy="Lifecycle",Investment_Strategy_Sub1="Non-Standard"),VLOOKUP(Investment_Strategy&amp;"_"&amp;Investment_Strategy_Sub2&amp;"_"&amp;$A549,'Investment Strategies'!$C:$P,14,FALSE),
IF(AND(Investment_Strategy="Lifecycle",Investment_Strategy_Sub1="Standard"),VLOOKUP(Investment_Strategy&amp;"_"&amp;Investment_Strategy_Sub2&amp;"_"&amp;$A549,'Investment Strategies'!$AJ:$AV,13,FALSE),
IF(AND(Investment_Strategy="Autopilot",Investment_Strategy_Sub1="Non-Standard"),VLOOKUP(Investment_Strategy&amp;"_"&amp;Investment_Strategy_Sub2&amp;"_"&amp;$A549,'Investment Strategies'!$T:$AF,13,FALSE),
IF(Investment_Strategy="DIY",DIY_ExtManChrge_FuturePremiums,
"Error"))))))</f>
        <v>0</v>
      </c>
      <c r="W549" s="16">
        <f t="shared" si="337"/>
        <v>0</v>
      </c>
      <c r="X549" s="16">
        <f t="shared" si="314"/>
        <v>0</v>
      </c>
      <c r="Y549" s="16">
        <f t="shared" si="315"/>
        <v>0</v>
      </c>
      <c r="Z549" s="31">
        <f t="shared" si="316"/>
        <v>0.02</v>
      </c>
      <c r="AA549" s="16">
        <f t="shared" si="317"/>
        <v>0</v>
      </c>
      <c r="AB549" s="28">
        <f t="shared" si="339"/>
        <v>0</v>
      </c>
      <c r="AC549" s="28">
        <f>(SUM($AC$91:AC548)+SUM($X$91:X548)+X549)*T549*IF(D549=$A$91,SRP_finalmonthfactor,1)</f>
        <v>0</v>
      </c>
      <c r="AD549" s="16">
        <f t="shared" si="318"/>
        <v>0</v>
      </c>
      <c r="AE549" s="106"/>
      <c r="AF549" s="16">
        <f t="shared" si="326"/>
        <v>0</v>
      </c>
      <c r="AG549" s="16">
        <f t="shared" si="327"/>
        <v>0</v>
      </c>
      <c r="AH549" s="16">
        <f t="shared" si="328"/>
        <v>0</v>
      </c>
      <c r="AJ549" s="13">
        <f t="shared" si="338"/>
        <v>0</v>
      </c>
      <c r="AK549" s="13">
        <f t="shared" si="338"/>
        <v>0</v>
      </c>
      <c r="AL549" s="13">
        <f t="shared" si="338"/>
        <v>0</v>
      </c>
      <c r="AM549" s="13">
        <f t="shared" si="338"/>
        <v>0</v>
      </c>
      <c r="AN549" s="13">
        <f t="shared" si="338"/>
        <v>0</v>
      </c>
      <c r="AO549" s="13">
        <f t="shared" si="338"/>
        <v>1</v>
      </c>
      <c r="AP549" s="13">
        <f t="shared" si="338"/>
        <v>1</v>
      </c>
      <c r="AQ549" s="13">
        <f t="shared" si="338"/>
        <v>1</v>
      </c>
      <c r="AR549" s="13">
        <f t="shared" si="338"/>
        <v>0</v>
      </c>
      <c r="AS549" s="13">
        <f t="shared" si="338"/>
        <v>0</v>
      </c>
      <c r="AT549" s="13">
        <f t="shared" si="338"/>
        <v>0</v>
      </c>
      <c r="AU549" s="13">
        <f t="shared" si="338"/>
        <v>1</v>
      </c>
      <c r="AV549" s="13">
        <f t="shared" si="319"/>
        <v>0</v>
      </c>
      <c r="AW549" s="13">
        <f t="shared" si="320"/>
        <v>1</v>
      </c>
      <c r="AY549" s="17">
        <f t="shared" si="321"/>
        <v>459</v>
      </c>
      <c r="AZ549" s="28">
        <f t="shared" si="329"/>
        <v>0</v>
      </c>
      <c r="BA549" s="13">
        <f t="shared" si="322"/>
        <v>0</v>
      </c>
      <c r="BB549" s="13">
        <f t="shared" si="323"/>
        <v>0</v>
      </c>
      <c r="BC549" s="28">
        <f t="shared" si="330"/>
        <v>0</v>
      </c>
      <c r="BD549" s="28">
        <f t="shared" si="331"/>
        <v>0</v>
      </c>
      <c r="BF549" s="248">
        <f t="shared" si="332"/>
        <v>993869.29442638322</v>
      </c>
    </row>
    <row r="550" spans="1:58">
      <c r="A550" s="32">
        <f t="shared" si="333"/>
        <v>-375</v>
      </c>
      <c r="B550" s="32">
        <f t="shared" si="324"/>
        <v>91</v>
      </c>
      <c r="C550" s="32">
        <f t="shared" si="334"/>
        <v>39</v>
      </c>
      <c r="D550" s="32">
        <f t="shared" si="335"/>
        <v>460</v>
      </c>
      <c r="E550" s="74">
        <f>MIN(IF(AV550=0,0,
IF(Investment_Strategy="DIS",VLOOKUP(Investment_Strategy&amp;"_"&amp;Investment_Strategy_Sub1&amp;"_"&amp;$A550,'Investment Strategies'!$AZ:$BP,12,FALSE),
IF(AND(Investment_Strategy="Lifecycle",Investment_Strategy_Sub1="Non-Standard"),VLOOKUP(Investment_Strategy&amp;"_"&amp;Investment_Strategy_Sub2&amp;"_"&amp;$A550,'Investment Strategies'!$C:$P,9,FALSE),
IF(AND(Investment_Strategy="Lifecycle",Investment_Strategy_Sub1="Standard"),VLOOKUP(Investment_Strategy&amp;"_"&amp;Investment_Strategy_Sub2&amp;"_"&amp;$A550,'Investment Strategies'!$AJ:$AV,8,FALSE),
IF(AND(Investment_Strategy="Autopilot",Investment_Strategy_Sub1="Non-Standard"),VLOOKUP(Investment_Strategy&amp;"_"&amp;Investment_Strategy_Sub2&amp;"_"&amp;$A550,'Investment Strategies'!$T:$AF,8,FALSE),
IF(Investment_Strategy ="DIY",DIY_RateOfReturn_CurrentFunds,
"Error")))))),Max_InvReturn)</f>
        <v>0</v>
      </c>
      <c r="F550" s="62">
        <f>IF(AV550=0,0,
IF(Investment_Strategy="DIS",VLOOKUP(Investment_Strategy&amp;"_"&amp;Investment_Strategy_Sub1&amp;"_"&amp;$A550,'Investment Strategies'!$AZ:$BP,15,FALSE),
IF(AND(Investment_Strategy="Lifecycle",Investment_Strategy_Sub1="Non-Standard"),VLOOKUP(Investment_Strategy&amp;"_"&amp;Investment_Strategy_Sub2&amp;"_"&amp;$A550,'Investment Strategies'!$C:$P,12,FALSE),
IF(AND(Investment_Strategy="Lifecycle",Investment_Strategy_Sub1="Standard"),VLOOKUP(Investment_Strategy&amp;"_"&amp;Investment_Strategy_Sub2&amp;"_"&amp;$A550,'Investment Strategies'!$AJ:$AV,11,FALSE),
IF(AND(Investment_Strategy="Autopilot",Investment_Strategy_Sub1="Non-Standard"),VLOOKUP(Investment_Strategy&amp;"_"&amp;Investment_Strategy_Sub2&amp;"_"&amp;$A550,'Investment Strategies'!$T:$AF,11,FALSE),
IF(Investment_Strategy="DIY",DIY_GteeChrge_CurrentFunds,
"Error"))))))</f>
        <v>0</v>
      </c>
      <c r="G550" s="33">
        <f>IF(AV550=0,0,
IF(Investment_Strategy="DIS",VLOOKUP(Investment_Strategy&amp;"_"&amp;Investment_Strategy_Sub1&amp;"_"&amp;$A550,'Investment Strategies'!$AZ:$BP,17,FALSE),
IF(AND(Investment_Strategy="Lifecycle",Investment_Strategy_Sub1="Non-Standard"),VLOOKUP(Investment_Strategy&amp;"_"&amp;Investment_Strategy_Sub2&amp;"_"&amp;$A550,'Investment Strategies'!$C:$P,14,FALSE),
IF(AND(Investment_Strategy="Lifecycle",Investment_Strategy_Sub1="Standard"),VLOOKUP(Investment_Strategy&amp;"_"&amp;Investment_Strategy_Sub2&amp;"_"&amp;$A550,'Investment Strategies'!$AJ:$AV,13,FALSE),
IF(AND(Investment_Strategy="Autopilot",Investment_Strategy_Sub1="Non-Standard"),VLOOKUP(Investment_Strategy&amp;"_"&amp;Investment_Strategy_Sub2&amp;"_"&amp;$A550,'Investment Strategies'!$T:$AF,13,FALSE),
IF(Investment_Strategy="DIY",DIY_ExtManChrge_CurrentFunds,
"Error"))))))</f>
        <v>0</v>
      </c>
      <c r="H550" s="16">
        <f t="shared" si="325"/>
        <v>0</v>
      </c>
      <c r="I550" s="16">
        <f t="shared" si="311"/>
        <v>0</v>
      </c>
      <c r="J550" s="16">
        <f t="shared" si="312"/>
        <v>0</v>
      </c>
      <c r="K550" s="16">
        <f>(Opening_Fund_Value+SUM(K$91:K549))*E550*IF(D550=$A$91,SRP_finalmonthfactor,1)</f>
        <v>0</v>
      </c>
      <c r="L550" s="74">
        <f>MIN(IF($AV550=0,0,
IF(Investment_Strategy="DIS",VLOOKUP(Investment_Strategy&amp;"_"&amp;Investment_Strategy_Sub1&amp;"_"&amp;$A550,'Investment Strategies'!$AZ:$BP,12,FALSE),
IF(AND(Investment_Strategy="Lifecycle",Investment_Strategy_Sub1="Non-Standard"),VLOOKUP(Investment_Strategy&amp;"_"&amp;Investment_Strategy_Sub2&amp;"_"&amp;$A550,'Investment Strategies'!$C:$P,9,FALSE),
IF(AND(Investment_Strategy="Lifecycle",Investment_Strategy_Sub1="Standard"),VLOOKUP(Investment_Strategy&amp;"_"&amp;Investment_Strategy_Sub2&amp;"_"&amp;$A550,'Investment Strategies'!$AJ:$AV,8,FALSE),
IF(AND(Investment_Strategy="Autopilot",Investment_Strategy_Sub1="Non-Standard"),VLOOKUP(Investment_Strategy&amp;"_"&amp;Investment_Strategy_Sub2&amp;"_"&amp;$A550,'Investment Strategies'!$T:$AF,8,FALSE),
IF(Investment_Strategy ="DIY",DIY_RateofReturn_SP,
"Error")))))),Max_InvReturn)</f>
        <v>0</v>
      </c>
      <c r="M550" s="62">
        <f>IF($AV550=0,0,
IF(Investment_Strategy="DIS",VLOOKUP(Investment_Strategy&amp;"_"&amp;Investment_Strategy_Sub1&amp;"_"&amp;$A550,'Investment Strategies'!$AZ:$BP,15,FALSE),
IF(AND(Investment_Strategy="Lifecycle",Investment_Strategy_Sub1="Non-Standard"),VLOOKUP(Investment_Strategy&amp;"_"&amp;Investment_Strategy_Sub2&amp;"_"&amp;$A550,'Investment Strategies'!$C:$P,12,FALSE),
IF(AND(Investment_Strategy="Lifecycle",Investment_Strategy_Sub1="Standard"),VLOOKUP(Investment_Strategy&amp;"_"&amp;Investment_Strategy_Sub2&amp;"_"&amp;$A550,'Investment Strategies'!$AJ:$AV,11,FALSE),
IF(AND(Investment_Strategy="Autopilot",Investment_Strategy_Sub1="Non-Standard"),VLOOKUP(Investment_Strategy&amp;"_"&amp;Investment_Strategy_Sub2&amp;"_"&amp;$A550,'Investment Strategies'!$T:$AF,11,FALSE),
IF(Investment_Strategy="DIY",DIY_GteeChrge_SP,
"Error"))))))</f>
        <v>0</v>
      </c>
      <c r="N550" s="33">
        <f>IF($AV550=0,0,
IF(Investment_Strategy="DIS",VLOOKUP(Investment_Strategy&amp;"_"&amp;Investment_Strategy_Sub1&amp;"_"&amp;$A550,'Investment Strategies'!$AZ:$BP,17,FALSE),
IF(AND(Investment_Strategy="Lifecycle",Investment_Strategy_Sub1="Non-Standard"),VLOOKUP(Investment_Strategy&amp;"_"&amp;Investment_Strategy_Sub2&amp;"_"&amp;$A550,'Investment Strategies'!$C:$P,14,FALSE),
IF(AND(Investment_Strategy="Lifecycle",Investment_Strategy_Sub1="Standard"),VLOOKUP(Investment_Strategy&amp;"_"&amp;Investment_Strategy_Sub2&amp;"_"&amp;$A550,'Investment Strategies'!$AJ:$AV,13,FALSE),
IF(AND(Investment_Strategy="Autopilot",Investment_Strategy_Sub1="Non-Standard"),VLOOKUP(Investment_Strategy&amp;"_"&amp;Investment_Strategy_Sub2&amp;"_"&amp;$A550,'Investment Strategies'!$T:$AF,13,FALSE),
IF(Investment_Strategy="DIY",DIY_ExtManChrge_SP,
"Error"))))))</f>
        <v>0</v>
      </c>
      <c r="O550" s="16">
        <f t="shared" si="336"/>
        <v>0</v>
      </c>
      <c r="Q550" s="16">
        <f t="shared" si="313"/>
        <v>0</v>
      </c>
      <c r="R550" s="16">
        <f t="shared" si="310"/>
        <v>0</v>
      </c>
      <c r="S550" s="16">
        <f>(SRP_SP+SUM(S$91:S549))*L550*IF(D550=$A$91,SRP_finalmonthfactor,1)</f>
        <v>0</v>
      </c>
      <c r="T550" s="74">
        <f>MIN(IF($AV550=0,0,
IF(Investment_Strategy="DIS",VLOOKUP(Investment_Strategy&amp;"_"&amp;Investment_Strategy_Sub1&amp;"_"&amp;$A550,'Investment Strategies'!$AZ:$BP,12,FALSE),
IF(AND(Investment_Strategy="Lifecycle",Investment_Strategy_Sub1="Non-Standard"),VLOOKUP(Investment_Strategy&amp;"_"&amp;Investment_Strategy_Sub2&amp;"_"&amp;$A550,'Investment Strategies'!$C:$P,9,FALSE),
IF(AND(Investment_Strategy="Lifecycle",Investment_Strategy_Sub1="Standard"),VLOOKUP(Investment_Strategy&amp;"_"&amp;Investment_Strategy_Sub2&amp;"_"&amp;$A550,'Investment Strategies'!$AJ:$AV,8,FALSE),
IF(AND(Investment_Strategy="Autopilot",Investment_Strategy_Sub1="Non-Standard"),VLOOKUP(Investment_Strategy&amp;"_"&amp;Investment_Strategy_Sub2&amp;"_"&amp;$A550,'Investment Strategies'!$T:$AF,8,FALSE),
IF(Investment_Strategy ="DIY",DIY_RateOfReturn_FuturePremiums,
"Error")))))),Max_InvReturn)</f>
        <v>0</v>
      </c>
      <c r="U550" s="62">
        <f>IF($AV550=0,0,
IF(Investment_Strategy="DIS",VLOOKUP(Investment_Strategy&amp;"_"&amp;Investment_Strategy_Sub1&amp;"_"&amp;$A550,'Investment Strategies'!$AZ:$BP,15,FALSE),
IF(AND(Investment_Strategy="Lifecycle",Investment_Strategy_Sub1="Non-Standard"),VLOOKUP(Investment_Strategy&amp;"_"&amp;Investment_Strategy_Sub2&amp;"_"&amp;$A550,'Investment Strategies'!$C:$P,12,FALSE),
IF(AND(Investment_Strategy="Lifecycle",Investment_Strategy_Sub1="Standard"),VLOOKUP(Investment_Strategy&amp;"_"&amp;Investment_Strategy_Sub2&amp;"_"&amp;$A550,'Investment Strategies'!$AJ:$AV,11,FALSE),
IF(AND(Investment_Strategy="Autopilot",Investment_Strategy_Sub1="Non-Standard"),VLOOKUP(Investment_Strategy&amp;"_"&amp;Investment_Strategy_Sub2&amp;"_"&amp;$A550,'Investment Strategies'!$T:$AF,11,FALSE),
IF(Investment_Strategy="DIY",DIY_GteeChrge_FuturePremiums,
"Error"))))))</f>
        <v>0</v>
      </c>
      <c r="V550" s="33">
        <f>IF(AV550=0,0,
IF(Investment_Strategy="DIS",VLOOKUP(Investment_Strategy&amp;"_"&amp;Investment_Strategy_Sub1&amp;"_"&amp;$A550,'Investment Strategies'!$AZ:$BP,17,FALSE),
IF(AND(Investment_Strategy="Lifecycle",Investment_Strategy_Sub1="Non-Standard"),VLOOKUP(Investment_Strategy&amp;"_"&amp;Investment_Strategy_Sub2&amp;"_"&amp;$A550,'Investment Strategies'!$C:$P,14,FALSE),
IF(AND(Investment_Strategy="Lifecycle",Investment_Strategy_Sub1="Standard"),VLOOKUP(Investment_Strategy&amp;"_"&amp;Investment_Strategy_Sub2&amp;"_"&amp;$A550,'Investment Strategies'!$AJ:$AV,13,FALSE),
IF(AND(Investment_Strategy="Autopilot",Investment_Strategy_Sub1="Non-Standard"),VLOOKUP(Investment_Strategy&amp;"_"&amp;Investment_Strategy_Sub2&amp;"_"&amp;$A550,'Investment Strategies'!$T:$AF,13,FALSE),
IF(Investment_Strategy="DIY",DIY_ExtManChrge_FuturePremiums,
"Error"))))))</f>
        <v>0</v>
      </c>
      <c r="W550" s="16">
        <f t="shared" si="337"/>
        <v>0</v>
      </c>
      <c r="X550" s="16">
        <f t="shared" si="314"/>
        <v>0</v>
      </c>
      <c r="Y550" s="16">
        <f t="shared" si="315"/>
        <v>0</v>
      </c>
      <c r="Z550" s="31">
        <f t="shared" si="316"/>
        <v>0.02</v>
      </c>
      <c r="AA550" s="16">
        <f t="shared" si="317"/>
        <v>0</v>
      </c>
      <c r="AB550" s="28">
        <f t="shared" si="339"/>
        <v>0</v>
      </c>
      <c r="AC550" s="28">
        <f>(SUM($AC$91:AC549)+SUM($X$91:X549)+X550)*T550*IF(D550=$A$91,SRP_finalmonthfactor,1)</f>
        <v>0</v>
      </c>
      <c r="AD550" s="16">
        <f t="shared" si="318"/>
        <v>0</v>
      </c>
      <c r="AE550" s="106"/>
      <c r="AF550" s="16">
        <f t="shared" si="326"/>
        <v>0</v>
      </c>
      <c r="AG550" s="16">
        <f t="shared" si="327"/>
        <v>0</v>
      </c>
      <c r="AH550" s="16">
        <f t="shared" si="328"/>
        <v>0</v>
      </c>
      <c r="AJ550" s="13">
        <f t="shared" si="338"/>
        <v>0</v>
      </c>
      <c r="AK550" s="13">
        <f t="shared" si="338"/>
        <v>0</v>
      </c>
      <c r="AL550" s="13">
        <f t="shared" si="338"/>
        <v>0</v>
      </c>
      <c r="AM550" s="13">
        <f t="shared" si="338"/>
        <v>0</v>
      </c>
      <c r="AN550" s="13">
        <f t="shared" si="338"/>
        <v>0</v>
      </c>
      <c r="AO550" s="13">
        <f t="shared" si="338"/>
        <v>1</v>
      </c>
      <c r="AP550" s="13">
        <f t="shared" si="338"/>
        <v>1</v>
      </c>
      <c r="AQ550" s="13">
        <f t="shared" si="338"/>
        <v>1</v>
      </c>
      <c r="AR550" s="13">
        <f t="shared" si="338"/>
        <v>0</v>
      </c>
      <c r="AS550" s="13">
        <f t="shared" si="338"/>
        <v>0</v>
      </c>
      <c r="AT550" s="13">
        <f t="shared" si="338"/>
        <v>0</v>
      </c>
      <c r="AU550" s="13">
        <f t="shared" si="338"/>
        <v>1</v>
      </c>
      <c r="AV550" s="13">
        <f t="shared" si="319"/>
        <v>0</v>
      </c>
      <c r="AW550" s="13">
        <f t="shared" si="320"/>
        <v>1</v>
      </c>
      <c r="AY550" s="17">
        <f t="shared" si="321"/>
        <v>460</v>
      </c>
      <c r="AZ550" s="28">
        <f t="shared" si="329"/>
        <v>0</v>
      </c>
      <c r="BA550" s="13">
        <f t="shared" si="322"/>
        <v>0</v>
      </c>
      <c r="BB550" s="13">
        <f t="shared" si="323"/>
        <v>0</v>
      </c>
      <c r="BC550" s="28">
        <f t="shared" si="330"/>
        <v>0</v>
      </c>
      <c r="BD550" s="28">
        <f t="shared" si="331"/>
        <v>0</v>
      </c>
      <c r="BF550" s="248">
        <f t="shared" si="332"/>
        <v>993869.29442638322</v>
      </c>
    </row>
    <row r="551" spans="1:58">
      <c r="A551" s="32">
        <f t="shared" si="333"/>
        <v>-376</v>
      </c>
      <c r="B551" s="32">
        <f t="shared" si="324"/>
        <v>91</v>
      </c>
      <c r="C551" s="32">
        <f t="shared" si="334"/>
        <v>39</v>
      </c>
      <c r="D551" s="32">
        <f t="shared" si="335"/>
        <v>461</v>
      </c>
      <c r="E551" s="74">
        <f>MIN(IF(AV551=0,0,
IF(Investment_Strategy="DIS",VLOOKUP(Investment_Strategy&amp;"_"&amp;Investment_Strategy_Sub1&amp;"_"&amp;$A551,'Investment Strategies'!$AZ:$BP,12,FALSE),
IF(AND(Investment_Strategy="Lifecycle",Investment_Strategy_Sub1="Non-Standard"),VLOOKUP(Investment_Strategy&amp;"_"&amp;Investment_Strategy_Sub2&amp;"_"&amp;$A551,'Investment Strategies'!$C:$P,9,FALSE),
IF(AND(Investment_Strategy="Lifecycle",Investment_Strategy_Sub1="Standard"),VLOOKUP(Investment_Strategy&amp;"_"&amp;Investment_Strategy_Sub2&amp;"_"&amp;$A551,'Investment Strategies'!$AJ:$AV,8,FALSE),
IF(AND(Investment_Strategy="Autopilot",Investment_Strategy_Sub1="Non-Standard"),VLOOKUP(Investment_Strategy&amp;"_"&amp;Investment_Strategy_Sub2&amp;"_"&amp;$A551,'Investment Strategies'!$T:$AF,8,FALSE),
IF(Investment_Strategy ="DIY",DIY_RateOfReturn_CurrentFunds,
"Error")))))),Max_InvReturn)</f>
        <v>0</v>
      </c>
      <c r="F551" s="62">
        <f>IF(AV551=0,0,
IF(Investment_Strategy="DIS",VLOOKUP(Investment_Strategy&amp;"_"&amp;Investment_Strategy_Sub1&amp;"_"&amp;$A551,'Investment Strategies'!$AZ:$BP,15,FALSE),
IF(AND(Investment_Strategy="Lifecycle",Investment_Strategy_Sub1="Non-Standard"),VLOOKUP(Investment_Strategy&amp;"_"&amp;Investment_Strategy_Sub2&amp;"_"&amp;$A551,'Investment Strategies'!$C:$P,12,FALSE),
IF(AND(Investment_Strategy="Lifecycle",Investment_Strategy_Sub1="Standard"),VLOOKUP(Investment_Strategy&amp;"_"&amp;Investment_Strategy_Sub2&amp;"_"&amp;$A551,'Investment Strategies'!$AJ:$AV,11,FALSE),
IF(AND(Investment_Strategy="Autopilot",Investment_Strategy_Sub1="Non-Standard"),VLOOKUP(Investment_Strategy&amp;"_"&amp;Investment_Strategy_Sub2&amp;"_"&amp;$A551,'Investment Strategies'!$T:$AF,11,FALSE),
IF(Investment_Strategy="DIY",DIY_GteeChrge_CurrentFunds,
"Error"))))))</f>
        <v>0</v>
      </c>
      <c r="G551" s="33">
        <f>IF(AV551=0,0,
IF(Investment_Strategy="DIS",VLOOKUP(Investment_Strategy&amp;"_"&amp;Investment_Strategy_Sub1&amp;"_"&amp;$A551,'Investment Strategies'!$AZ:$BP,17,FALSE),
IF(AND(Investment_Strategy="Lifecycle",Investment_Strategy_Sub1="Non-Standard"),VLOOKUP(Investment_Strategy&amp;"_"&amp;Investment_Strategy_Sub2&amp;"_"&amp;$A551,'Investment Strategies'!$C:$P,14,FALSE),
IF(AND(Investment_Strategy="Lifecycle",Investment_Strategy_Sub1="Standard"),VLOOKUP(Investment_Strategy&amp;"_"&amp;Investment_Strategy_Sub2&amp;"_"&amp;$A551,'Investment Strategies'!$AJ:$AV,13,FALSE),
IF(AND(Investment_Strategy="Autopilot",Investment_Strategy_Sub1="Non-Standard"),VLOOKUP(Investment_Strategy&amp;"_"&amp;Investment_Strategy_Sub2&amp;"_"&amp;$A551,'Investment Strategies'!$T:$AF,13,FALSE),
IF(Investment_Strategy="DIY",DIY_ExtManChrge_CurrentFunds,
"Error"))))))</f>
        <v>0</v>
      </c>
      <c r="H551" s="16">
        <f t="shared" si="325"/>
        <v>0</v>
      </c>
      <c r="I551" s="16">
        <f t="shared" si="311"/>
        <v>0</v>
      </c>
      <c r="J551" s="16">
        <f t="shared" si="312"/>
        <v>0</v>
      </c>
      <c r="K551" s="16">
        <f>(Opening_Fund_Value+SUM(K$91:K550))*E551*IF(D551=$A$91,SRP_finalmonthfactor,1)</f>
        <v>0</v>
      </c>
      <c r="L551" s="74">
        <f>MIN(IF($AV551=0,0,
IF(Investment_Strategy="DIS",VLOOKUP(Investment_Strategy&amp;"_"&amp;Investment_Strategy_Sub1&amp;"_"&amp;$A551,'Investment Strategies'!$AZ:$BP,12,FALSE),
IF(AND(Investment_Strategy="Lifecycle",Investment_Strategy_Sub1="Non-Standard"),VLOOKUP(Investment_Strategy&amp;"_"&amp;Investment_Strategy_Sub2&amp;"_"&amp;$A551,'Investment Strategies'!$C:$P,9,FALSE),
IF(AND(Investment_Strategy="Lifecycle",Investment_Strategy_Sub1="Standard"),VLOOKUP(Investment_Strategy&amp;"_"&amp;Investment_Strategy_Sub2&amp;"_"&amp;$A551,'Investment Strategies'!$AJ:$AV,8,FALSE),
IF(AND(Investment_Strategy="Autopilot",Investment_Strategy_Sub1="Non-Standard"),VLOOKUP(Investment_Strategy&amp;"_"&amp;Investment_Strategy_Sub2&amp;"_"&amp;$A551,'Investment Strategies'!$T:$AF,8,FALSE),
IF(Investment_Strategy ="DIY",DIY_RateofReturn_SP,
"Error")))))),Max_InvReturn)</f>
        <v>0</v>
      </c>
      <c r="M551" s="62">
        <f>IF($AV551=0,0,
IF(Investment_Strategy="DIS",VLOOKUP(Investment_Strategy&amp;"_"&amp;Investment_Strategy_Sub1&amp;"_"&amp;$A551,'Investment Strategies'!$AZ:$BP,15,FALSE),
IF(AND(Investment_Strategy="Lifecycle",Investment_Strategy_Sub1="Non-Standard"),VLOOKUP(Investment_Strategy&amp;"_"&amp;Investment_Strategy_Sub2&amp;"_"&amp;$A551,'Investment Strategies'!$C:$P,12,FALSE),
IF(AND(Investment_Strategy="Lifecycle",Investment_Strategy_Sub1="Standard"),VLOOKUP(Investment_Strategy&amp;"_"&amp;Investment_Strategy_Sub2&amp;"_"&amp;$A551,'Investment Strategies'!$AJ:$AV,11,FALSE),
IF(AND(Investment_Strategy="Autopilot",Investment_Strategy_Sub1="Non-Standard"),VLOOKUP(Investment_Strategy&amp;"_"&amp;Investment_Strategy_Sub2&amp;"_"&amp;$A551,'Investment Strategies'!$T:$AF,11,FALSE),
IF(Investment_Strategy="DIY",DIY_GteeChrge_SP,
"Error"))))))</f>
        <v>0</v>
      </c>
      <c r="N551" s="33">
        <f>IF($AV551=0,0,
IF(Investment_Strategy="DIS",VLOOKUP(Investment_Strategy&amp;"_"&amp;Investment_Strategy_Sub1&amp;"_"&amp;$A551,'Investment Strategies'!$AZ:$BP,17,FALSE),
IF(AND(Investment_Strategy="Lifecycle",Investment_Strategy_Sub1="Non-Standard"),VLOOKUP(Investment_Strategy&amp;"_"&amp;Investment_Strategy_Sub2&amp;"_"&amp;$A551,'Investment Strategies'!$C:$P,14,FALSE),
IF(AND(Investment_Strategy="Lifecycle",Investment_Strategy_Sub1="Standard"),VLOOKUP(Investment_Strategy&amp;"_"&amp;Investment_Strategy_Sub2&amp;"_"&amp;$A551,'Investment Strategies'!$AJ:$AV,13,FALSE),
IF(AND(Investment_Strategy="Autopilot",Investment_Strategy_Sub1="Non-Standard"),VLOOKUP(Investment_Strategy&amp;"_"&amp;Investment_Strategy_Sub2&amp;"_"&amp;$A551,'Investment Strategies'!$T:$AF,13,FALSE),
IF(Investment_Strategy="DIY",DIY_ExtManChrge_SP,
"Error"))))))</f>
        <v>0</v>
      </c>
      <c r="O551" s="16">
        <f t="shared" si="336"/>
        <v>0</v>
      </c>
      <c r="Q551" s="16">
        <f t="shared" si="313"/>
        <v>0</v>
      </c>
      <c r="R551" s="16">
        <f t="shared" si="310"/>
        <v>0</v>
      </c>
      <c r="S551" s="16">
        <f>(SRP_SP+SUM(S$91:S550))*L551*IF(D551=$A$91,SRP_finalmonthfactor,1)</f>
        <v>0</v>
      </c>
      <c r="T551" s="74">
        <f>MIN(IF($AV551=0,0,
IF(Investment_Strategy="DIS",VLOOKUP(Investment_Strategy&amp;"_"&amp;Investment_Strategy_Sub1&amp;"_"&amp;$A551,'Investment Strategies'!$AZ:$BP,12,FALSE),
IF(AND(Investment_Strategy="Lifecycle",Investment_Strategy_Sub1="Non-Standard"),VLOOKUP(Investment_Strategy&amp;"_"&amp;Investment_Strategy_Sub2&amp;"_"&amp;$A551,'Investment Strategies'!$C:$P,9,FALSE),
IF(AND(Investment_Strategy="Lifecycle",Investment_Strategy_Sub1="Standard"),VLOOKUP(Investment_Strategy&amp;"_"&amp;Investment_Strategy_Sub2&amp;"_"&amp;$A551,'Investment Strategies'!$AJ:$AV,8,FALSE),
IF(AND(Investment_Strategy="Autopilot",Investment_Strategy_Sub1="Non-Standard"),VLOOKUP(Investment_Strategy&amp;"_"&amp;Investment_Strategy_Sub2&amp;"_"&amp;$A551,'Investment Strategies'!$T:$AF,8,FALSE),
IF(Investment_Strategy ="DIY",DIY_RateOfReturn_FuturePremiums,
"Error")))))),Max_InvReturn)</f>
        <v>0</v>
      </c>
      <c r="U551" s="62">
        <f>IF($AV551=0,0,
IF(Investment_Strategy="DIS",VLOOKUP(Investment_Strategy&amp;"_"&amp;Investment_Strategy_Sub1&amp;"_"&amp;$A551,'Investment Strategies'!$AZ:$BP,15,FALSE),
IF(AND(Investment_Strategy="Lifecycle",Investment_Strategy_Sub1="Non-Standard"),VLOOKUP(Investment_Strategy&amp;"_"&amp;Investment_Strategy_Sub2&amp;"_"&amp;$A551,'Investment Strategies'!$C:$P,12,FALSE),
IF(AND(Investment_Strategy="Lifecycle",Investment_Strategy_Sub1="Standard"),VLOOKUP(Investment_Strategy&amp;"_"&amp;Investment_Strategy_Sub2&amp;"_"&amp;$A551,'Investment Strategies'!$AJ:$AV,11,FALSE),
IF(AND(Investment_Strategy="Autopilot",Investment_Strategy_Sub1="Non-Standard"),VLOOKUP(Investment_Strategy&amp;"_"&amp;Investment_Strategy_Sub2&amp;"_"&amp;$A551,'Investment Strategies'!$T:$AF,11,FALSE),
IF(Investment_Strategy="DIY",DIY_GteeChrge_FuturePremiums,
"Error"))))))</f>
        <v>0</v>
      </c>
      <c r="V551" s="33">
        <f>IF(AV551=0,0,
IF(Investment_Strategy="DIS",VLOOKUP(Investment_Strategy&amp;"_"&amp;Investment_Strategy_Sub1&amp;"_"&amp;$A551,'Investment Strategies'!$AZ:$BP,17,FALSE),
IF(AND(Investment_Strategy="Lifecycle",Investment_Strategy_Sub1="Non-Standard"),VLOOKUP(Investment_Strategy&amp;"_"&amp;Investment_Strategy_Sub2&amp;"_"&amp;$A551,'Investment Strategies'!$C:$P,14,FALSE),
IF(AND(Investment_Strategy="Lifecycle",Investment_Strategy_Sub1="Standard"),VLOOKUP(Investment_Strategy&amp;"_"&amp;Investment_Strategy_Sub2&amp;"_"&amp;$A551,'Investment Strategies'!$AJ:$AV,13,FALSE),
IF(AND(Investment_Strategy="Autopilot",Investment_Strategy_Sub1="Non-Standard"),VLOOKUP(Investment_Strategy&amp;"_"&amp;Investment_Strategy_Sub2&amp;"_"&amp;$A551,'Investment Strategies'!$T:$AF,13,FALSE),
IF(Investment_Strategy="DIY",DIY_ExtManChrge_FuturePremiums,
"Error"))))))</f>
        <v>0</v>
      </c>
      <c r="W551" s="16">
        <f t="shared" si="337"/>
        <v>0</v>
      </c>
      <c r="X551" s="16">
        <f t="shared" si="314"/>
        <v>0</v>
      </c>
      <c r="Y551" s="16">
        <f t="shared" si="315"/>
        <v>0</v>
      </c>
      <c r="Z551" s="31">
        <f t="shared" si="316"/>
        <v>0.02</v>
      </c>
      <c r="AA551" s="16">
        <f t="shared" si="317"/>
        <v>0</v>
      </c>
      <c r="AB551" s="28">
        <f t="shared" si="339"/>
        <v>0</v>
      </c>
      <c r="AC551" s="28">
        <f>(SUM($AC$91:AC550)+SUM($X$91:X550)+X551)*T551*IF(D551=$A$91,SRP_finalmonthfactor,1)</f>
        <v>0</v>
      </c>
      <c r="AD551" s="16">
        <f t="shared" si="318"/>
        <v>0</v>
      </c>
      <c r="AE551" s="106"/>
      <c r="AF551" s="16">
        <f t="shared" si="326"/>
        <v>0</v>
      </c>
      <c r="AG551" s="16">
        <f t="shared" si="327"/>
        <v>0</v>
      </c>
      <c r="AH551" s="16">
        <f t="shared" si="328"/>
        <v>0</v>
      </c>
      <c r="AJ551" s="13">
        <f t="shared" ref="AJ551:AU560" si="340">IF($C551&lt;=AJ$90,1,0)</f>
        <v>0</v>
      </c>
      <c r="AK551" s="13">
        <f t="shared" si="340"/>
        <v>0</v>
      </c>
      <c r="AL551" s="13">
        <f t="shared" si="340"/>
        <v>0</v>
      </c>
      <c r="AM551" s="13">
        <f t="shared" si="340"/>
        <v>0</v>
      </c>
      <c r="AN551" s="13">
        <f t="shared" si="340"/>
        <v>0</v>
      </c>
      <c r="AO551" s="13">
        <f t="shared" si="340"/>
        <v>1</v>
      </c>
      <c r="AP551" s="13">
        <f t="shared" si="340"/>
        <v>1</v>
      </c>
      <c r="AQ551" s="13">
        <f t="shared" si="340"/>
        <v>1</v>
      </c>
      <c r="AR551" s="13">
        <f t="shared" si="340"/>
        <v>0</v>
      </c>
      <c r="AS551" s="13">
        <f t="shared" si="340"/>
        <v>0</v>
      </c>
      <c r="AT551" s="13">
        <f t="shared" si="340"/>
        <v>0</v>
      </c>
      <c r="AU551" s="13">
        <f t="shared" si="340"/>
        <v>1</v>
      </c>
      <c r="AV551" s="13">
        <f t="shared" si="319"/>
        <v>0</v>
      </c>
      <c r="AW551" s="13">
        <f t="shared" si="320"/>
        <v>1</v>
      </c>
      <c r="AY551" s="17">
        <f t="shared" si="321"/>
        <v>461</v>
      </c>
      <c r="AZ551" s="28">
        <f t="shared" si="329"/>
        <v>0</v>
      </c>
      <c r="BA551" s="13">
        <f t="shared" si="322"/>
        <v>0</v>
      </c>
      <c r="BB551" s="13">
        <f t="shared" si="323"/>
        <v>0</v>
      </c>
      <c r="BC551" s="28">
        <f t="shared" si="330"/>
        <v>0</v>
      </c>
      <c r="BD551" s="28">
        <f t="shared" si="331"/>
        <v>0</v>
      </c>
      <c r="BF551" s="248">
        <f t="shared" si="332"/>
        <v>993869.29442638322</v>
      </c>
    </row>
    <row r="552" spans="1:58">
      <c r="A552" s="32">
        <f t="shared" si="333"/>
        <v>-377</v>
      </c>
      <c r="B552" s="32">
        <f t="shared" si="324"/>
        <v>91</v>
      </c>
      <c r="C552" s="32">
        <f t="shared" si="334"/>
        <v>39</v>
      </c>
      <c r="D552" s="32">
        <f t="shared" si="335"/>
        <v>462</v>
      </c>
      <c r="E552" s="74">
        <f>MIN(IF(AV552=0,0,
IF(Investment_Strategy="DIS",VLOOKUP(Investment_Strategy&amp;"_"&amp;Investment_Strategy_Sub1&amp;"_"&amp;$A552,'Investment Strategies'!$AZ:$BP,12,FALSE),
IF(AND(Investment_Strategy="Lifecycle",Investment_Strategy_Sub1="Non-Standard"),VLOOKUP(Investment_Strategy&amp;"_"&amp;Investment_Strategy_Sub2&amp;"_"&amp;$A552,'Investment Strategies'!$C:$P,9,FALSE),
IF(AND(Investment_Strategy="Lifecycle",Investment_Strategy_Sub1="Standard"),VLOOKUP(Investment_Strategy&amp;"_"&amp;Investment_Strategy_Sub2&amp;"_"&amp;$A552,'Investment Strategies'!$AJ:$AV,8,FALSE),
IF(AND(Investment_Strategy="Autopilot",Investment_Strategy_Sub1="Non-Standard"),VLOOKUP(Investment_Strategy&amp;"_"&amp;Investment_Strategy_Sub2&amp;"_"&amp;$A552,'Investment Strategies'!$T:$AF,8,FALSE),
IF(Investment_Strategy ="DIY",DIY_RateOfReturn_CurrentFunds,
"Error")))))),Max_InvReturn)</f>
        <v>0</v>
      </c>
      <c r="F552" s="62">
        <f>IF(AV552=0,0,
IF(Investment_Strategy="DIS",VLOOKUP(Investment_Strategy&amp;"_"&amp;Investment_Strategy_Sub1&amp;"_"&amp;$A552,'Investment Strategies'!$AZ:$BP,15,FALSE),
IF(AND(Investment_Strategy="Lifecycle",Investment_Strategy_Sub1="Non-Standard"),VLOOKUP(Investment_Strategy&amp;"_"&amp;Investment_Strategy_Sub2&amp;"_"&amp;$A552,'Investment Strategies'!$C:$P,12,FALSE),
IF(AND(Investment_Strategy="Lifecycle",Investment_Strategy_Sub1="Standard"),VLOOKUP(Investment_Strategy&amp;"_"&amp;Investment_Strategy_Sub2&amp;"_"&amp;$A552,'Investment Strategies'!$AJ:$AV,11,FALSE),
IF(AND(Investment_Strategy="Autopilot",Investment_Strategy_Sub1="Non-Standard"),VLOOKUP(Investment_Strategy&amp;"_"&amp;Investment_Strategy_Sub2&amp;"_"&amp;$A552,'Investment Strategies'!$T:$AF,11,FALSE),
IF(Investment_Strategy="DIY",DIY_GteeChrge_CurrentFunds,
"Error"))))))</f>
        <v>0</v>
      </c>
      <c r="G552" s="33">
        <f>IF(AV552=0,0,
IF(Investment_Strategy="DIS",VLOOKUP(Investment_Strategy&amp;"_"&amp;Investment_Strategy_Sub1&amp;"_"&amp;$A552,'Investment Strategies'!$AZ:$BP,17,FALSE),
IF(AND(Investment_Strategy="Lifecycle",Investment_Strategy_Sub1="Non-Standard"),VLOOKUP(Investment_Strategy&amp;"_"&amp;Investment_Strategy_Sub2&amp;"_"&amp;$A552,'Investment Strategies'!$C:$P,14,FALSE),
IF(AND(Investment_Strategy="Lifecycle",Investment_Strategy_Sub1="Standard"),VLOOKUP(Investment_Strategy&amp;"_"&amp;Investment_Strategy_Sub2&amp;"_"&amp;$A552,'Investment Strategies'!$AJ:$AV,13,FALSE),
IF(AND(Investment_Strategy="Autopilot",Investment_Strategy_Sub1="Non-Standard"),VLOOKUP(Investment_Strategy&amp;"_"&amp;Investment_Strategy_Sub2&amp;"_"&amp;$A552,'Investment Strategies'!$T:$AF,13,FALSE),
IF(Investment_Strategy="DIY",DIY_ExtManChrge_CurrentFunds,
"Error"))))))</f>
        <v>0</v>
      </c>
      <c r="H552" s="16">
        <f t="shared" si="325"/>
        <v>0</v>
      </c>
      <c r="I552" s="16">
        <f t="shared" si="311"/>
        <v>0</v>
      </c>
      <c r="J552" s="16">
        <f t="shared" si="312"/>
        <v>0</v>
      </c>
      <c r="K552" s="16">
        <f>(Opening_Fund_Value+SUM(K$91:K551))*E552*IF(D552=$A$91,SRP_finalmonthfactor,1)</f>
        <v>0</v>
      </c>
      <c r="L552" s="74">
        <f>MIN(IF($AV552=0,0,
IF(Investment_Strategy="DIS",VLOOKUP(Investment_Strategy&amp;"_"&amp;Investment_Strategy_Sub1&amp;"_"&amp;$A552,'Investment Strategies'!$AZ:$BP,12,FALSE),
IF(AND(Investment_Strategy="Lifecycle",Investment_Strategy_Sub1="Non-Standard"),VLOOKUP(Investment_Strategy&amp;"_"&amp;Investment_Strategy_Sub2&amp;"_"&amp;$A552,'Investment Strategies'!$C:$P,9,FALSE),
IF(AND(Investment_Strategy="Lifecycle",Investment_Strategy_Sub1="Standard"),VLOOKUP(Investment_Strategy&amp;"_"&amp;Investment_Strategy_Sub2&amp;"_"&amp;$A552,'Investment Strategies'!$AJ:$AV,8,FALSE),
IF(AND(Investment_Strategy="Autopilot",Investment_Strategy_Sub1="Non-Standard"),VLOOKUP(Investment_Strategy&amp;"_"&amp;Investment_Strategy_Sub2&amp;"_"&amp;$A552,'Investment Strategies'!$T:$AF,8,FALSE),
IF(Investment_Strategy ="DIY",DIY_RateofReturn_SP,
"Error")))))),Max_InvReturn)</f>
        <v>0</v>
      </c>
      <c r="M552" s="62">
        <f>IF($AV552=0,0,
IF(Investment_Strategy="DIS",VLOOKUP(Investment_Strategy&amp;"_"&amp;Investment_Strategy_Sub1&amp;"_"&amp;$A552,'Investment Strategies'!$AZ:$BP,15,FALSE),
IF(AND(Investment_Strategy="Lifecycle",Investment_Strategy_Sub1="Non-Standard"),VLOOKUP(Investment_Strategy&amp;"_"&amp;Investment_Strategy_Sub2&amp;"_"&amp;$A552,'Investment Strategies'!$C:$P,12,FALSE),
IF(AND(Investment_Strategy="Lifecycle",Investment_Strategy_Sub1="Standard"),VLOOKUP(Investment_Strategy&amp;"_"&amp;Investment_Strategy_Sub2&amp;"_"&amp;$A552,'Investment Strategies'!$AJ:$AV,11,FALSE),
IF(AND(Investment_Strategy="Autopilot",Investment_Strategy_Sub1="Non-Standard"),VLOOKUP(Investment_Strategy&amp;"_"&amp;Investment_Strategy_Sub2&amp;"_"&amp;$A552,'Investment Strategies'!$T:$AF,11,FALSE),
IF(Investment_Strategy="DIY",DIY_GteeChrge_SP,
"Error"))))))</f>
        <v>0</v>
      </c>
      <c r="N552" s="33">
        <f>IF($AV552=0,0,
IF(Investment_Strategy="DIS",VLOOKUP(Investment_Strategy&amp;"_"&amp;Investment_Strategy_Sub1&amp;"_"&amp;$A552,'Investment Strategies'!$AZ:$BP,17,FALSE),
IF(AND(Investment_Strategy="Lifecycle",Investment_Strategy_Sub1="Non-Standard"),VLOOKUP(Investment_Strategy&amp;"_"&amp;Investment_Strategy_Sub2&amp;"_"&amp;$A552,'Investment Strategies'!$C:$P,14,FALSE),
IF(AND(Investment_Strategy="Lifecycle",Investment_Strategy_Sub1="Standard"),VLOOKUP(Investment_Strategy&amp;"_"&amp;Investment_Strategy_Sub2&amp;"_"&amp;$A552,'Investment Strategies'!$AJ:$AV,13,FALSE),
IF(AND(Investment_Strategy="Autopilot",Investment_Strategy_Sub1="Non-Standard"),VLOOKUP(Investment_Strategy&amp;"_"&amp;Investment_Strategy_Sub2&amp;"_"&amp;$A552,'Investment Strategies'!$T:$AF,13,FALSE),
IF(Investment_Strategy="DIY",DIY_ExtManChrge_SP,
"Error"))))))</f>
        <v>0</v>
      </c>
      <c r="O552" s="16">
        <f t="shared" si="336"/>
        <v>0</v>
      </c>
      <c r="Q552" s="16">
        <f t="shared" si="313"/>
        <v>0</v>
      </c>
      <c r="R552" s="16">
        <f t="shared" si="310"/>
        <v>0</v>
      </c>
      <c r="S552" s="16">
        <f>(SRP_SP+SUM(S$91:S551))*L552*IF(D552=$A$91,SRP_finalmonthfactor,1)</f>
        <v>0</v>
      </c>
      <c r="T552" s="74">
        <f>MIN(IF($AV552=0,0,
IF(Investment_Strategy="DIS",VLOOKUP(Investment_Strategy&amp;"_"&amp;Investment_Strategy_Sub1&amp;"_"&amp;$A552,'Investment Strategies'!$AZ:$BP,12,FALSE),
IF(AND(Investment_Strategy="Lifecycle",Investment_Strategy_Sub1="Non-Standard"),VLOOKUP(Investment_Strategy&amp;"_"&amp;Investment_Strategy_Sub2&amp;"_"&amp;$A552,'Investment Strategies'!$C:$P,9,FALSE),
IF(AND(Investment_Strategy="Lifecycle",Investment_Strategy_Sub1="Standard"),VLOOKUP(Investment_Strategy&amp;"_"&amp;Investment_Strategy_Sub2&amp;"_"&amp;$A552,'Investment Strategies'!$AJ:$AV,8,FALSE),
IF(AND(Investment_Strategy="Autopilot",Investment_Strategy_Sub1="Non-Standard"),VLOOKUP(Investment_Strategy&amp;"_"&amp;Investment_Strategy_Sub2&amp;"_"&amp;$A552,'Investment Strategies'!$T:$AF,8,FALSE),
IF(Investment_Strategy ="DIY",DIY_RateOfReturn_FuturePremiums,
"Error")))))),Max_InvReturn)</f>
        <v>0</v>
      </c>
      <c r="U552" s="62">
        <f>IF($AV552=0,0,
IF(Investment_Strategy="DIS",VLOOKUP(Investment_Strategy&amp;"_"&amp;Investment_Strategy_Sub1&amp;"_"&amp;$A552,'Investment Strategies'!$AZ:$BP,15,FALSE),
IF(AND(Investment_Strategy="Lifecycle",Investment_Strategy_Sub1="Non-Standard"),VLOOKUP(Investment_Strategy&amp;"_"&amp;Investment_Strategy_Sub2&amp;"_"&amp;$A552,'Investment Strategies'!$C:$P,12,FALSE),
IF(AND(Investment_Strategy="Lifecycle",Investment_Strategy_Sub1="Standard"),VLOOKUP(Investment_Strategy&amp;"_"&amp;Investment_Strategy_Sub2&amp;"_"&amp;$A552,'Investment Strategies'!$AJ:$AV,11,FALSE),
IF(AND(Investment_Strategy="Autopilot",Investment_Strategy_Sub1="Non-Standard"),VLOOKUP(Investment_Strategy&amp;"_"&amp;Investment_Strategy_Sub2&amp;"_"&amp;$A552,'Investment Strategies'!$T:$AF,11,FALSE),
IF(Investment_Strategy="DIY",DIY_GteeChrge_FuturePremiums,
"Error"))))))</f>
        <v>0</v>
      </c>
      <c r="V552" s="33">
        <f>IF(AV552=0,0,
IF(Investment_Strategy="DIS",VLOOKUP(Investment_Strategy&amp;"_"&amp;Investment_Strategy_Sub1&amp;"_"&amp;$A552,'Investment Strategies'!$AZ:$BP,17,FALSE),
IF(AND(Investment_Strategy="Lifecycle",Investment_Strategy_Sub1="Non-Standard"),VLOOKUP(Investment_Strategy&amp;"_"&amp;Investment_Strategy_Sub2&amp;"_"&amp;$A552,'Investment Strategies'!$C:$P,14,FALSE),
IF(AND(Investment_Strategy="Lifecycle",Investment_Strategy_Sub1="Standard"),VLOOKUP(Investment_Strategy&amp;"_"&amp;Investment_Strategy_Sub2&amp;"_"&amp;$A552,'Investment Strategies'!$AJ:$AV,13,FALSE),
IF(AND(Investment_Strategy="Autopilot",Investment_Strategy_Sub1="Non-Standard"),VLOOKUP(Investment_Strategy&amp;"_"&amp;Investment_Strategy_Sub2&amp;"_"&amp;$A552,'Investment Strategies'!$T:$AF,13,FALSE),
IF(Investment_Strategy="DIY",DIY_ExtManChrge_FuturePremiums,
"Error"))))))</f>
        <v>0</v>
      </c>
      <c r="W552" s="16">
        <f t="shared" si="337"/>
        <v>0</v>
      </c>
      <c r="X552" s="16">
        <f t="shared" si="314"/>
        <v>0</v>
      </c>
      <c r="Y552" s="16">
        <f t="shared" si="315"/>
        <v>0</v>
      </c>
      <c r="Z552" s="31">
        <f t="shared" si="316"/>
        <v>0.02</v>
      </c>
      <c r="AA552" s="16">
        <f t="shared" si="317"/>
        <v>0</v>
      </c>
      <c r="AB552" s="28">
        <f t="shared" si="339"/>
        <v>0</v>
      </c>
      <c r="AC552" s="28">
        <f>(SUM($AC$91:AC551)+SUM($X$91:X551)+X552)*T552*IF(D552=$A$91,SRP_finalmonthfactor,1)</f>
        <v>0</v>
      </c>
      <c r="AD552" s="16">
        <f t="shared" si="318"/>
        <v>0</v>
      </c>
      <c r="AE552" s="106"/>
      <c r="AF552" s="16">
        <f t="shared" si="326"/>
        <v>0</v>
      </c>
      <c r="AG552" s="16">
        <f t="shared" si="327"/>
        <v>0</v>
      </c>
      <c r="AH552" s="16">
        <f t="shared" si="328"/>
        <v>0</v>
      </c>
      <c r="AJ552" s="13">
        <f t="shared" si="340"/>
        <v>0</v>
      </c>
      <c r="AK552" s="13">
        <f t="shared" si="340"/>
        <v>0</v>
      </c>
      <c r="AL552" s="13">
        <f t="shared" si="340"/>
        <v>0</v>
      </c>
      <c r="AM552" s="13">
        <f t="shared" si="340"/>
        <v>0</v>
      </c>
      <c r="AN552" s="13">
        <f t="shared" si="340"/>
        <v>0</v>
      </c>
      <c r="AO552" s="13">
        <f t="shared" si="340"/>
        <v>1</v>
      </c>
      <c r="AP552" s="13">
        <f t="shared" si="340"/>
        <v>1</v>
      </c>
      <c r="AQ552" s="13">
        <f t="shared" si="340"/>
        <v>1</v>
      </c>
      <c r="AR552" s="13">
        <f t="shared" si="340"/>
        <v>0</v>
      </c>
      <c r="AS552" s="13">
        <f t="shared" si="340"/>
        <v>0</v>
      </c>
      <c r="AT552" s="13">
        <f t="shared" si="340"/>
        <v>0</v>
      </c>
      <c r="AU552" s="13">
        <f t="shared" si="340"/>
        <v>1</v>
      </c>
      <c r="AV552" s="13">
        <f t="shared" si="319"/>
        <v>0</v>
      </c>
      <c r="AW552" s="13">
        <f t="shared" si="320"/>
        <v>1</v>
      </c>
      <c r="AY552" s="17">
        <f t="shared" si="321"/>
        <v>462</v>
      </c>
      <c r="AZ552" s="28">
        <f t="shared" si="329"/>
        <v>0</v>
      </c>
      <c r="BA552" s="13">
        <f t="shared" si="322"/>
        <v>0</v>
      </c>
      <c r="BB552" s="13">
        <f t="shared" si="323"/>
        <v>0</v>
      </c>
      <c r="BC552" s="28">
        <f t="shared" si="330"/>
        <v>0</v>
      </c>
      <c r="BD552" s="28">
        <f t="shared" si="331"/>
        <v>0</v>
      </c>
      <c r="BF552" s="248">
        <f t="shared" si="332"/>
        <v>993869.29442638322</v>
      </c>
    </row>
    <row r="553" spans="1:58">
      <c r="A553" s="32">
        <f t="shared" si="333"/>
        <v>-378</v>
      </c>
      <c r="B553" s="32">
        <f t="shared" si="324"/>
        <v>91</v>
      </c>
      <c r="C553" s="32">
        <f t="shared" si="334"/>
        <v>39</v>
      </c>
      <c r="D553" s="32">
        <f t="shared" si="335"/>
        <v>463</v>
      </c>
      <c r="E553" s="74">
        <f>MIN(IF(AV553=0,0,
IF(Investment_Strategy="DIS",VLOOKUP(Investment_Strategy&amp;"_"&amp;Investment_Strategy_Sub1&amp;"_"&amp;$A553,'Investment Strategies'!$AZ:$BP,12,FALSE),
IF(AND(Investment_Strategy="Lifecycle",Investment_Strategy_Sub1="Non-Standard"),VLOOKUP(Investment_Strategy&amp;"_"&amp;Investment_Strategy_Sub2&amp;"_"&amp;$A553,'Investment Strategies'!$C:$P,9,FALSE),
IF(AND(Investment_Strategy="Lifecycle",Investment_Strategy_Sub1="Standard"),VLOOKUP(Investment_Strategy&amp;"_"&amp;Investment_Strategy_Sub2&amp;"_"&amp;$A553,'Investment Strategies'!$AJ:$AV,8,FALSE),
IF(AND(Investment_Strategy="Autopilot",Investment_Strategy_Sub1="Non-Standard"),VLOOKUP(Investment_Strategy&amp;"_"&amp;Investment_Strategy_Sub2&amp;"_"&amp;$A553,'Investment Strategies'!$T:$AF,8,FALSE),
IF(Investment_Strategy ="DIY",DIY_RateOfReturn_CurrentFunds,
"Error")))))),Max_InvReturn)</f>
        <v>0</v>
      </c>
      <c r="F553" s="62">
        <f>IF(AV553=0,0,
IF(Investment_Strategy="DIS",VLOOKUP(Investment_Strategy&amp;"_"&amp;Investment_Strategy_Sub1&amp;"_"&amp;$A553,'Investment Strategies'!$AZ:$BP,15,FALSE),
IF(AND(Investment_Strategy="Lifecycle",Investment_Strategy_Sub1="Non-Standard"),VLOOKUP(Investment_Strategy&amp;"_"&amp;Investment_Strategy_Sub2&amp;"_"&amp;$A553,'Investment Strategies'!$C:$P,12,FALSE),
IF(AND(Investment_Strategy="Lifecycle",Investment_Strategy_Sub1="Standard"),VLOOKUP(Investment_Strategy&amp;"_"&amp;Investment_Strategy_Sub2&amp;"_"&amp;$A553,'Investment Strategies'!$AJ:$AV,11,FALSE),
IF(AND(Investment_Strategy="Autopilot",Investment_Strategy_Sub1="Non-Standard"),VLOOKUP(Investment_Strategy&amp;"_"&amp;Investment_Strategy_Sub2&amp;"_"&amp;$A553,'Investment Strategies'!$T:$AF,11,FALSE),
IF(Investment_Strategy="DIY",DIY_GteeChrge_CurrentFunds,
"Error"))))))</f>
        <v>0</v>
      </c>
      <c r="G553" s="33">
        <f>IF(AV553=0,0,
IF(Investment_Strategy="DIS",VLOOKUP(Investment_Strategy&amp;"_"&amp;Investment_Strategy_Sub1&amp;"_"&amp;$A553,'Investment Strategies'!$AZ:$BP,17,FALSE),
IF(AND(Investment_Strategy="Lifecycle",Investment_Strategy_Sub1="Non-Standard"),VLOOKUP(Investment_Strategy&amp;"_"&amp;Investment_Strategy_Sub2&amp;"_"&amp;$A553,'Investment Strategies'!$C:$P,14,FALSE),
IF(AND(Investment_Strategy="Lifecycle",Investment_Strategy_Sub1="Standard"),VLOOKUP(Investment_Strategy&amp;"_"&amp;Investment_Strategy_Sub2&amp;"_"&amp;$A553,'Investment Strategies'!$AJ:$AV,13,FALSE),
IF(AND(Investment_Strategy="Autopilot",Investment_Strategy_Sub1="Non-Standard"),VLOOKUP(Investment_Strategy&amp;"_"&amp;Investment_Strategy_Sub2&amp;"_"&amp;$A553,'Investment Strategies'!$T:$AF,13,FALSE),
IF(Investment_Strategy="DIY",DIY_ExtManChrge_CurrentFunds,
"Error"))))))</f>
        <v>0</v>
      </c>
      <c r="H553" s="16">
        <f t="shared" si="325"/>
        <v>0</v>
      </c>
      <c r="I553" s="16">
        <f t="shared" si="311"/>
        <v>0</v>
      </c>
      <c r="J553" s="16">
        <f t="shared" si="312"/>
        <v>0</v>
      </c>
      <c r="K553" s="16">
        <f>(Opening_Fund_Value+SUM(K$91:K552))*E553*IF(D553=$A$91,SRP_finalmonthfactor,1)</f>
        <v>0</v>
      </c>
      <c r="L553" s="74">
        <f>MIN(IF($AV553=0,0,
IF(Investment_Strategy="DIS",VLOOKUP(Investment_Strategy&amp;"_"&amp;Investment_Strategy_Sub1&amp;"_"&amp;$A553,'Investment Strategies'!$AZ:$BP,12,FALSE),
IF(AND(Investment_Strategy="Lifecycle",Investment_Strategy_Sub1="Non-Standard"),VLOOKUP(Investment_Strategy&amp;"_"&amp;Investment_Strategy_Sub2&amp;"_"&amp;$A553,'Investment Strategies'!$C:$P,9,FALSE),
IF(AND(Investment_Strategy="Lifecycle",Investment_Strategy_Sub1="Standard"),VLOOKUP(Investment_Strategy&amp;"_"&amp;Investment_Strategy_Sub2&amp;"_"&amp;$A553,'Investment Strategies'!$AJ:$AV,8,FALSE),
IF(AND(Investment_Strategy="Autopilot",Investment_Strategy_Sub1="Non-Standard"),VLOOKUP(Investment_Strategy&amp;"_"&amp;Investment_Strategy_Sub2&amp;"_"&amp;$A553,'Investment Strategies'!$T:$AF,8,FALSE),
IF(Investment_Strategy ="DIY",DIY_RateofReturn_SP,
"Error")))))),Max_InvReturn)</f>
        <v>0</v>
      </c>
      <c r="M553" s="62">
        <f>IF($AV553=0,0,
IF(Investment_Strategy="DIS",VLOOKUP(Investment_Strategy&amp;"_"&amp;Investment_Strategy_Sub1&amp;"_"&amp;$A553,'Investment Strategies'!$AZ:$BP,15,FALSE),
IF(AND(Investment_Strategy="Lifecycle",Investment_Strategy_Sub1="Non-Standard"),VLOOKUP(Investment_Strategy&amp;"_"&amp;Investment_Strategy_Sub2&amp;"_"&amp;$A553,'Investment Strategies'!$C:$P,12,FALSE),
IF(AND(Investment_Strategy="Lifecycle",Investment_Strategy_Sub1="Standard"),VLOOKUP(Investment_Strategy&amp;"_"&amp;Investment_Strategy_Sub2&amp;"_"&amp;$A553,'Investment Strategies'!$AJ:$AV,11,FALSE),
IF(AND(Investment_Strategy="Autopilot",Investment_Strategy_Sub1="Non-Standard"),VLOOKUP(Investment_Strategy&amp;"_"&amp;Investment_Strategy_Sub2&amp;"_"&amp;$A553,'Investment Strategies'!$T:$AF,11,FALSE),
IF(Investment_Strategy="DIY",DIY_GteeChrge_SP,
"Error"))))))</f>
        <v>0</v>
      </c>
      <c r="N553" s="33">
        <f>IF($AV553=0,0,
IF(Investment_Strategy="DIS",VLOOKUP(Investment_Strategy&amp;"_"&amp;Investment_Strategy_Sub1&amp;"_"&amp;$A553,'Investment Strategies'!$AZ:$BP,17,FALSE),
IF(AND(Investment_Strategy="Lifecycle",Investment_Strategy_Sub1="Non-Standard"),VLOOKUP(Investment_Strategy&amp;"_"&amp;Investment_Strategy_Sub2&amp;"_"&amp;$A553,'Investment Strategies'!$C:$P,14,FALSE),
IF(AND(Investment_Strategy="Lifecycle",Investment_Strategy_Sub1="Standard"),VLOOKUP(Investment_Strategy&amp;"_"&amp;Investment_Strategy_Sub2&amp;"_"&amp;$A553,'Investment Strategies'!$AJ:$AV,13,FALSE),
IF(AND(Investment_Strategy="Autopilot",Investment_Strategy_Sub1="Non-Standard"),VLOOKUP(Investment_Strategy&amp;"_"&amp;Investment_Strategy_Sub2&amp;"_"&amp;$A553,'Investment Strategies'!$T:$AF,13,FALSE),
IF(Investment_Strategy="DIY",DIY_ExtManChrge_SP,
"Error"))))))</f>
        <v>0</v>
      </c>
      <c r="O553" s="16">
        <f t="shared" si="336"/>
        <v>0</v>
      </c>
      <c r="Q553" s="16">
        <f t="shared" si="313"/>
        <v>0</v>
      </c>
      <c r="R553" s="16">
        <f t="shared" si="310"/>
        <v>0</v>
      </c>
      <c r="S553" s="16">
        <f>(SRP_SP+SUM(S$91:S552))*L553*IF(D553=$A$91,SRP_finalmonthfactor,1)</f>
        <v>0</v>
      </c>
      <c r="T553" s="74">
        <f>MIN(IF($AV553=0,0,
IF(Investment_Strategy="DIS",VLOOKUP(Investment_Strategy&amp;"_"&amp;Investment_Strategy_Sub1&amp;"_"&amp;$A553,'Investment Strategies'!$AZ:$BP,12,FALSE),
IF(AND(Investment_Strategy="Lifecycle",Investment_Strategy_Sub1="Non-Standard"),VLOOKUP(Investment_Strategy&amp;"_"&amp;Investment_Strategy_Sub2&amp;"_"&amp;$A553,'Investment Strategies'!$C:$P,9,FALSE),
IF(AND(Investment_Strategy="Lifecycle",Investment_Strategy_Sub1="Standard"),VLOOKUP(Investment_Strategy&amp;"_"&amp;Investment_Strategy_Sub2&amp;"_"&amp;$A553,'Investment Strategies'!$AJ:$AV,8,FALSE),
IF(AND(Investment_Strategy="Autopilot",Investment_Strategy_Sub1="Non-Standard"),VLOOKUP(Investment_Strategy&amp;"_"&amp;Investment_Strategy_Sub2&amp;"_"&amp;$A553,'Investment Strategies'!$T:$AF,8,FALSE),
IF(Investment_Strategy ="DIY",DIY_RateOfReturn_FuturePremiums,
"Error")))))),Max_InvReturn)</f>
        <v>0</v>
      </c>
      <c r="U553" s="62">
        <f>IF($AV553=0,0,
IF(Investment_Strategy="DIS",VLOOKUP(Investment_Strategy&amp;"_"&amp;Investment_Strategy_Sub1&amp;"_"&amp;$A553,'Investment Strategies'!$AZ:$BP,15,FALSE),
IF(AND(Investment_Strategy="Lifecycle",Investment_Strategy_Sub1="Non-Standard"),VLOOKUP(Investment_Strategy&amp;"_"&amp;Investment_Strategy_Sub2&amp;"_"&amp;$A553,'Investment Strategies'!$C:$P,12,FALSE),
IF(AND(Investment_Strategy="Lifecycle",Investment_Strategy_Sub1="Standard"),VLOOKUP(Investment_Strategy&amp;"_"&amp;Investment_Strategy_Sub2&amp;"_"&amp;$A553,'Investment Strategies'!$AJ:$AV,11,FALSE),
IF(AND(Investment_Strategy="Autopilot",Investment_Strategy_Sub1="Non-Standard"),VLOOKUP(Investment_Strategy&amp;"_"&amp;Investment_Strategy_Sub2&amp;"_"&amp;$A553,'Investment Strategies'!$T:$AF,11,FALSE),
IF(Investment_Strategy="DIY",DIY_GteeChrge_FuturePremiums,
"Error"))))))</f>
        <v>0</v>
      </c>
      <c r="V553" s="33">
        <f>IF(AV553=0,0,
IF(Investment_Strategy="DIS",VLOOKUP(Investment_Strategy&amp;"_"&amp;Investment_Strategy_Sub1&amp;"_"&amp;$A553,'Investment Strategies'!$AZ:$BP,17,FALSE),
IF(AND(Investment_Strategy="Lifecycle",Investment_Strategy_Sub1="Non-Standard"),VLOOKUP(Investment_Strategy&amp;"_"&amp;Investment_Strategy_Sub2&amp;"_"&amp;$A553,'Investment Strategies'!$C:$P,14,FALSE),
IF(AND(Investment_Strategy="Lifecycle",Investment_Strategy_Sub1="Standard"),VLOOKUP(Investment_Strategy&amp;"_"&amp;Investment_Strategy_Sub2&amp;"_"&amp;$A553,'Investment Strategies'!$AJ:$AV,13,FALSE),
IF(AND(Investment_Strategy="Autopilot",Investment_Strategy_Sub1="Non-Standard"),VLOOKUP(Investment_Strategy&amp;"_"&amp;Investment_Strategy_Sub2&amp;"_"&amp;$A553,'Investment Strategies'!$T:$AF,13,FALSE),
IF(Investment_Strategy="DIY",DIY_ExtManChrge_FuturePremiums,
"Error"))))))</f>
        <v>0</v>
      </c>
      <c r="W553" s="16">
        <f t="shared" si="337"/>
        <v>0</v>
      </c>
      <c r="X553" s="16">
        <f t="shared" si="314"/>
        <v>0</v>
      </c>
      <c r="Y553" s="16">
        <f t="shared" si="315"/>
        <v>0</v>
      </c>
      <c r="Z553" s="31">
        <f t="shared" si="316"/>
        <v>0.02</v>
      </c>
      <c r="AA553" s="16">
        <f t="shared" si="317"/>
        <v>0</v>
      </c>
      <c r="AB553" s="28">
        <f t="shared" si="339"/>
        <v>0</v>
      </c>
      <c r="AC553" s="28">
        <f>(SUM($AC$91:AC552)+SUM($X$91:X552)+X553)*T553*IF(D553=$A$91,SRP_finalmonthfactor,1)</f>
        <v>0</v>
      </c>
      <c r="AD553" s="16">
        <f t="shared" si="318"/>
        <v>0</v>
      </c>
      <c r="AE553" s="106"/>
      <c r="AF553" s="16">
        <f t="shared" si="326"/>
        <v>0</v>
      </c>
      <c r="AG553" s="16">
        <f t="shared" si="327"/>
        <v>0</v>
      </c>
      <c r="AH553" s="16">
        <f t="shared" si="328"/>
        <v>0</v>
      </c>
      <c r="AJ553" s="13">
        <f t="shared" si="340"/>
        <v>0</v>
      </c>
      <c r="AK553" s="13">
        <f t="shared" si="340"/>
        <v>0</v>
      </c>
      <c r="AL553" s="13">
        <f t="shared" si="340"/>
        <v>0</v>
      </c>
      <c r="AM553" s="13">
        <f t="shared" si="340"/>
        <v>0</v>
      </c>
      <c r="AN553" s="13">
        <f t="shared" si="340"/>
        <v>0</v>
      </c>
      <c r="AO553" s="13">
        <f t="shared" si="340"/>
        <v>1</v>
      </c>
      <c r="AP553" s="13">
        <f t="shared" si="340"/>
        <v>1</v>
      </c>
      <c r="AQ553" s="13">
        <f t="shared" si="340"/>
        <v>1</v>
      </c>
      <c r="AR553" s="13">
        <f t="shared" si="340"/>
        <v>0</v>
      </c>
      <c r="AS553" s="13">
        <f t="shared" si="340"/>
        <v>0</v>
      </c>
      <c r="AT553" s="13">
        <f t="shared" si="340"/>
        <v>0</v>
      </c>
      <c r="AU553" s="13">
        <f t="shared" si="340"/>
        <v>1</v>
      </c>
      <c r="AV553" s="13">
        <f t="shared" si="319"/>
        <v>0</v>
      </c>
      <c r="AW553" s="13">
        <f t="shared" si="320"/>
        <v>1</v>
      </c>
      <c r="AY553" s="17">
        <f t="shared" si="321"/>
        <v>463</v>
      </c>
      <c r="AZ553" s="28">
        <f t="shared" si="329"/>
        <v>0</v>
      </c>
      <c r="BA553" s="13">
        <f t="shared" si="322"/>
        <v>0</v>
      </c>
      <c r="BB553" s="13">
        <f t="shared" si="323"/>
        <v>0</v>
      </c>
      <c r="BC553" s="28">
        <f t="shared" si="330"/>
        <v>0</v>
      </c>
      <c r="BD553" s="28">
        <f t="shared" si="331"/>
        <v>0</v>
      </c>
      <c r="BF553" s="248">
        <f t="shared" si="332"/>
        <v>993869.29442638322</v>
      </c>
    </row>
    <row r="554" spans="1:58">
      <c r="A554" s="32">
        <f t="shared" si="333"/>
        <v>-379</v>
      </c>
      <c r="B554" s="32">
        <f t="shared" si="324"/>
        <v>91</v>
      </c>
      <c r="C554" s="32">
        <f t="shared" si="334"/>
        <v>39</v>
      </c>
      <c r="D554" s="32">
        <f t="shared" si="335"/>
        <v>464</v>
      </c>
      <c r="E554" s="74">
        <f>MIN(IF(AV554=0,0,
IF(Investment_Strategy="DIS",VLOOKUP(Investment_Strategy&amp;"_"&amp;Investment_Strategy_Sub1&amp;"_"&amp;$A554,'Investment Strategies'!$AZ:$BP,12,FALSE),
IF(AND(Investment_Strategy="Lifecycle",Investment_Strategy_Sub1="Non-Standard"),VLOOKUP(Investment_Strategy&amp;"_"&amp;Investment_Strategy_Sub2&amp;"_"&amp;$A554,'Investment Strategies'!$C:$P,9,FALSE),
IF(AND(Investment_Strategy="Lifecycle",Investment_Strategy_Sub1="Standard"),VLOOKUP(Investment_Strategy&amp;"_"&amp;Investment_Strategy_Sub2&amp;"_"&amp;$A554,'Investment Strategies'!$AJ:$AV,8,FALSE),
IF(AND(Investment_Strategy="Autopilot",Investment_Strategy_Sub1="Non-Standard"),VLOOKUP(Investment_Strategy&amp;"_"&amp;Investment_Strategy_Sub2&amp;"_"&amp;$A554,'Investment Strategies'!$T:$AF,8,FALSE),
IF(Investment_Strategy ="DIY",DIY_RateOfReturn_CurrentFunds,
"Error")))))),Max_InvReturn)</f>
        <v>0</v>
      </c>
      <c r="F554" s="62">
        <f>IF(AV554=0,0,
IF(Investment_Strategy="DIS",VLOOKUP(Investment_Strategy&amp;"_"&amp;Investment_Strategy_Sub1&amp;"_"&amp;$A554,'Investment Strategies'!$AZ:$BP,15,FALSE),
IF(AND(Investment_Strategy="Lifecycle",Investment_Strategy_Sub1="Non-Standard"),VLOOKUP(Investment_Strategy&amp;"_"&amp;Investment_Strategy_Sub2&amp;"_"&amp;$A554,'Investment Strategies'!$C:$P,12,FALSE),
IF(AND(Investment_Strategy="Lifecycle",Investment_Strategy_Sub1="Standard"),VLOOKUP(Investment_Strategy&amp;"_"&amp;Investment_Strategy_Sub2&amp;"_"&amp;$A554,'Investment Strategies'!$AJ:$AV,11,FALSE),
IF(AND(Investment_Strategy="Autopilot",Investment_Strategy_Sub1="Non-Standard"),VLOOKUP(Investment_Strategy&amp;"_"&amp;Investment_Strategy_Sub2&amp;"_"&amp;$A554,'Investment Strategies'!$T:$AF,11,FALSE),
IF(Investment_Strategy="DIY",DIY_GteeChrge_CurrentFunds,
"Error"))))))</f>
        <v>0</v>
      </c>
      <c r="G554" s="33">
        <f>IF(AV554=0,0,
IF(Investment_Strategy="DIS",VLOOKUP(Investment_Strategy&amp;"_"&amp;Investment_Strategy_Sub1&amp;"_"&amp;$A554,'Investment Strategies'!$AZ:$BP,17,FALSE),
IF(AND(Investment_Strategy="Lifecycle",Investment_Strategy_Sub1="Non-Standard"),VLOOKUP(Investment_Strategy&amp;"_"&amp;Investment_Strategy_Sub2&amp;"_"&amp;$A554,'Investment Strategies'!$C:$P,14,FALSE),
IF(AND(Investment_Strategy="Lifecycle",Investment_Strategy_Sub1="Standard"),VLOOKUP(Investment_Strategy&amp;"_"&amp;Investment_Strategy_Sub2&amp;"_"&amp;$A554,'Investment Strategies'!$AJ:$AV,13,FALSE),
IF(AND(Investment_Strategy="Autopilot",Investment_Strategy_Sub1="Non-Standard"),VLOOKUP(Investment_Strategy&amp;"_"&amp;Investment_Strategy_Sub2&amp;"_"&amp;$A554,'Investment Strategies'!$T:$AF,13,FALSE),
IF(Investment_Strategy="DIY",DIY_ExtManChrge_CurrentFunds,
"Error"))))))</f>
        <v>0</v>
      </c>
      <c r="H554" s="16">
        <f t="shared" si="325"/>
        <v>0</v>
      </c>
      <c r="I554" s="16">
        <f t="shared" si="311"/>
        <v>0</v>
      </c>
      <c r="J554" s="16">
        <f t="shared" si="312"/>
        <v>0</v>
      </c>
      <c r="K554" s="16">
        <f>(Opening_Fund_Value+SUM(K$91:K553))*E554*IF(D554=$A$91,SRP_finalmonthfactor,1)</f>
        <v>0</v>
      </c>
      <c r="L554" s="74">
        <f>MIN(IF($AV554=0,0,
IF(Investment_Strategy="DIS",VLOOKUP(Investment_Strategy&amp;"_"&amp;Investment_Strategy_Sub1&amp;"_"&amp;$A554,'Investment Strategies'!$AZ:$BP,12,FALSE),
IF(AND(Investment_Strategy="Lifecycle",Investment_Strategy_Sub1="Non-Standard"),VLOOKUP(Investment_Strategy&amp;"_"&amp;Investment_Strategy_Sub2&amp;"_"&amp;$A554,'Investment Strategies'!$C:$P,9,FALSE),
IF(AND(Investment_Strategy="Lifecycle",Investment_Strategy_Sub1="Standard"),VLOOKUP(Investment_Strategy&amp;"_"&amp;Investment_Strategy_Sub2&amp;"_"&amp;$A554,'Investment Strategies'!$AJ:$AV,8,FALSE),
IF(AND(Investment_Strategy="Autopilot",Investment_Strategy_Sub1="Non-Standard"),VLOOKUP(Investment_Strategy&amp;"_"&amp;Investment_Strategy_Sub2&amp;"_"&amp;$A554,'Investment Strategies'!$T:$AF,8,FALSE),
IF(Investment_Strategy ="DIY",DIY_RateofReturn_SP,
"Error")))))),Max_InvReturn)</f>
        <v>0</v>
      </c>
      <c r="M554" s="62">
        <f>IF($AV554=0,0,
IF(Investment_Strategy="DIS",VLOOKUP(Investment_Strategy&amp;"_"&amp;Investment_Strategy_Sub1&amp;"_"&amp;$A554,'Investment Strategies'!$AZ:$BP,15,FALSE),
IF(AND(Investment_Strategy="Lifecycle",Investment_Strategy_Sub1="Non-Standard"),VLOOKUP(Investment_Strategy&amp;"_"&amp;Investment_Strategy_Sub2&amp;"_"&amp;$A554,'Investment Strategies'!$C:$P,12,FALSE),
IF(AND(Investment_Strategy="Lifecycle",Investment_Strategy_Sub1="Standard"),VLOOKUP(Investment_Strategy&amp;"_"&amp;Investment_Strategy_Sub2&amp;"_"&amp;$A554,'Investment Strategies'!$AJ:$AV,11,FALSE),
IF(AND(Investment_Strategy="Autopilot",Investment_Strategy_Sub1="Non-Standard"),VLOOKUP(Investment_Strategy&amp;"_"&amp;Investment_Strategy_Sub2&amp;"_"&amp;$A554,'Investment Strategies'!$T:$AF,11,FALSE),
IF(Investment_Strategy="DIY",DIY_GteeChrge_SP,
"Error"))))))</f>
        <v>0</v>
      </c>
      <c r="N554" s="33">
        <f>IF($AV554=0,0,
IF(Investment_Strategy="DIS",VLOOKUP(Investment_Strategy&amp;"_"&amp;Investment_Strategy_Sub1&amp;"_"&amp;$A554,'Investment Strategies'!$AZ:$BP,17,FALSE),
IF(AND(Investment_Strategy="Lifecycle",Investment_Strategy_Sub1="Non-Standard"),VLOOKUP(Investment_Strategy&amp;"_"&amp;Investment_Strategy_Sub2&amp;"_"&amp;$A554,'Investment Strategies'!$C:$P,14,FALSE),
IF(AND(Investment_Strategy="Lifecycle",Investment_Strategy_Sub1="Standard"),VLOOKUP(Investment_Strategy&amp;"_"&amp;Investment_Strategy_Sub2&amp;"_"&amp;$A554,'Investment Strategies'!$AJ:$AV,13,FALSE),
IF(AND(Investment_Strategy="Autopilot",Investment_Strategy_Sub1="Non-Standard"),VLOOKUP(Investment_Strategy&amp;"_"&amp;Investment_Strategy_Sub2&amp;"_"&amp;$A554,'Investment Strategies'!$T:$AF,13,FALSE),
IF(Investment_Strategy="DIY",DIY_ExtManChrge_SP,
"Error"))))))</f>
        <v>0</v>
      </c>
      <c r="O554" s="16">
        <f t="shared" si="336"/>
        <v>0</v>
      </c>
      <c r="Q554" s="16">
        <f t="shared" si="313"/>
        <v>0</v>
      </c>
      <c r="R554" s="16">
        <f t="shared" si="310"/>
        <v>0</v>
      </c>
      <c r="S554" s="16">
        <f>(SRP_SP+SUM(S$91:S553))*L554*IF(D554=$A$91,SRP_finalmonthfactor,1)</f>
        <v>0</v>
      </c>
      <c r="T554" s="74">
        <f>MIN(IF($AV554=0,0,
IF(Investment_Strategy="DIS",VLOOKUP(Investment_Strategy&amp;"_"&amp;Investment_Strategy_Sub1&amp;"_"&amp;$A554,'Investment Strategies'!$AZ:$BP,12,FALSE),
IF(AND(Investment_Strategy="Lifecycle",Investment_Strategy_Sub1="Non-Standard"),VLOOKUP(Investment_Strategy&amp;"_"&amp;Investment_Strategy_Sub2&amp;"_"&amp;$A554,'Investment Strategies'!$C:$P,9,FALSE),
IF(AND(Investment_Strategy="Lifecycle",Investment_Strategy_Sub1="Standard"),VLOOKUP(Investment_Strategy&amp;"_"&amp;Investment_Strategy_Sub2&amp;"_"&amp;$A554,'Investment Strategies'!$AJ:$AV,8,FALSE),
IF(AND(Investment_Strategy="Autopilot",Investment_Strategy_Sub1="Non-Standard"),VLOOKUP(Investment_Strategy&amp;"_"&amp;Investment_Strategy_Sub2&amp;"_"&amp;$A554,'Investment Strategies'!$T:$AF,8,FALSE),
IF(Investment_Strategy ="DIY",DIY_RateOfReturn_FuturePremiums,
"Error")))))),Max_InvReturn)</f>
        <v>0</v>
      </c>
      <c r="U554" s="62">
        <f>IF($AV554=0,0,
IF(Investment_Strategy="DIS",VLOOKUP(Investment_Strategy&amp;"_"&amp;Investment_Strategy_Sub1&amp;"_"&amp;$A554,'Investment Strategies'!$AZ:$BP,15,FALSE),
IF(AND(Investment_Strategy="Lifecycle",Investment_Strategy_Sub1="Non-Standard"),VLOOKUP(Investment_Strategy&amp;"_"&amp;Investment_Strategy_Sub2&amp;"_"&amp;$A554,'Investment Strategies'!$C:$P,12,FALSE),
IF(AND(Investment_Strategy="Lifecycle",Investment_Strategy_Sub1="Standard"),VLOOKUP(Investment_Strategy&amp;"_"&amp;Investment_Strategy_Sub2&amp;"_"&amp;$A554,'Investment Strategies'!$AJ:$AV,11,FALSE),
IF(AND(Investment_Strategy="Autopilot",Investment_Strategy_Sub1="Non-Standard"),VLOOKUP(Investment_Strategy&amp;"_"&amp;Investment_Strategy_Sub2&amp;"_"&amp;$A554,'Investment Strategies'!$T:$AF,11,FALSE),
IF(Investment_Strategy="DIY",DIY_GteeChrge_FuturePremiums,
"Error"))))))</f>
        <v>0</v>
      </c>
      <c r="V554" s="33">
        <f>IF(AV554=0,0,
IF(Investment_Strategy="DIS",VLOOKUP(Investment_Strategy&amp;"_"&amp;Investment_Strategy_Sub1&amp;"_"&amp;$A554,'Investment Strategies'!$AZ:$BP,17,FALSE),
IF(AND(Investment_Strategy="Lifecycle",Investment_Strategy_Sub1="Non-Standard"),VLOOKUP(Investment_Strategy&amp;"_"&amp;Investment_Strategy_Sub2&amp;"_"&amp;$A554,'Investment Strategies'!$C:$P,14,FALSE),
IF(AND(Investment_Strategy="Lifecycle",Investment_Strategy_Sub1="Standard"),VLOOKUP(Investment_Strategy&amp;"_"&amp;Investment_Strategy_Sub2&amp;"_"&amp;$A554,'Investment Strategies'!$AJ:$AV,13,FALSE),
IF(AND(Investment_Strategy="Autopilot",Investment_Strategy_Sub1="Non-Standard"),VLOOKUP(Investment_Strategy&amp;"_"&amp;Investment_Strategy_Sub2&amp;"_"&amp;$A554,'Investment Strategies'!$T:$AF,13,FALSE),
IF(Investment_Strategy="DIY",DIY_ExtManChrge_FuturePremiums,
"Error"))))))</f>
        <v>0</v>
      </c>
      <c r="W554" s="16">
        <f t="shared" si="337"/>
        <v>0</v>
      </c>
      <c r="X554" s="16">
        <f t="shared" si="314"/>
        <v>0</v>
      </c>
      <c r="Y554" s="16">
        <f t="shared" si="315"/>
        <v>0</v>
      </c>
      <c r="Z554" s="31">
        <f t="shared" si="316"/>
        <v>0.02</v>
      </c>
      <c r="AA554" s="16">
        <f t="shared" si="317"/>
        <v>0</v>
      </c>
      <c r="AB554" s="28">
        <f t="shared" si="339"/>
        <v>0</v>
      </c>
      <c r="AC554" s="28">
        <f>(SUM($AC$91:AC553)+SUM($X$91:X553)+X554)*T554*IF(D554=$A$91,SRP_finalmonthfactor,1)</f>
        <v>0</v>
      </c>
      <c r="AD554" s="16">
        <f t="shared" si="318"/>
        <v>0</v>
      </c>
      <c r="AE554" s="106"/>
      <c r="AF554" s="16">
        <f t="shared" si="326"/>
        <v>0</v>
      </c>
      <c r="AG554" s="16">
        <f t="shared" si="327"/>
        <v>0</v>
      </c>
      <c r="AH554" s="16">
        <f t="shared" si="328"/>
        <v>0</v>
      </c>
      <c r="AJ554" s="13">
        <f t="shared" si="340"/>
        <v>0</v>
      </c>
      <c r="AK554" s="13">
        <f t="shared" si="340"/>
        <v>0</v>
      </c>
      <c r="AL554" s="13">
        <f t="shared" si="340"/>
        <v>0</v>
      </c>
      <c r="AM554" s="13">
        <f t="shared" si="340"/>
        <v>0</v>
      </c>
      <c r="AN554" s="13">
        <f t="shared" si="340"/>
        <v>0</v>
      </c>
      <c r="AO554" s="13">
        <f t="shared" si="340"/>
        <v>1</v>
      </c>
      <c r="AP554" s="13">
        <f t="shared" si="340"/>
        <v>1</v>
      </c>
      <c r="AQ554" s="13">
        <f t="shared" si="340"/>
        <v>1</v>
      </c>
      <c r="AR554" s="13">
        <f t="shared" si="340"/>
        <v>0</v>
      </c>
      <c r="AS554" s="13">
        <f t="shared" si="340"/>
        <v>0</v>
      </c>
      <c r="AT554" s="13">
        <f t="shared" si="340"/>
        <v>0</v>
      </c>
      <c r="AU554" s="13">
        <f t="shared" si="340"/>
        <v>1</v>
      </c>
      <c r="AV554" s="13">
        <f t="shared" si="319"/>
        <v>0</v>
      </c>
      <c r="AW554" s="13">
        <f t="shared" si="320"/>
        <v>1</v>
      </c>
      <c r="AY554" s="17">
        <f t="shared" si="321"/>
        <v>464</v>
      </c>
      <c r="AZ554" s="28">
        <f t="shared" si="329"/>
        <v>0</v>
      </c>
      <c r="BA554" s="13">
        <f t="shared" si="322"/>
        <v>0</v>
      </c>
      <c r="BB554" s="13">
        <f t="shared" si="323"/>
        <v>0</v>
      </c>
      <c r="BC554" s="28">
        <f t="shared" si="330"/>
        <v>0</v>
      </c>
      <c r="BD554" s="28">
        <f t="shared" si="331"/>
        <v>0</v>
      </c>
      <c r="BF554" s="248">
        <f t="shared" si="332"/>
        <v>993869.29442638322</v>
      </c>
    </row>
    <row r="555" spans="1:58">
      <c r="A555" s="32">
        <f t="shared" si="333"/>
        <v>-380</v>
      </c>
      <c r="B555" s="32">
        <f t="shared" si="324"/>
        <v>91</v>
      </c>
      <c r="C555" s="32">
        <f t="shared" si="334"/>
        <v>39</v>
      </c>
      <c r="D555" s="32">
        <f t="shared" si="335"/>
        <v>465</v>
      </c>
      <c r="E555" s="74">
        <f>MIN(IF(AV555=0,0,
IF(Investment_Strategy="DIS",VLOOKUP(Investment_Strategy&amp;"_"&amp;Investment_Strategy_Sub1&amp;"_"&amp;$A555,'Investment Strategies'!$AZ:$BP,12,FALSE),
IF(AND(Investment_Strategy="Lifecycle",Investment_Strategy_Sub1="Non-Standard"),VLOOKUP(Investment_Strategy&amp;"_"&amp;Investment_Strategy_Sub2&amp;"_"&amp;$A555,'Investment Strategies'!$C:$P,9,FALSE),
IF(AND(Investment_Strategy="Lifecycle",Investment_Strategy_Sub1="Standard"),VLOOKUP(Investment_Strategy&amp;"_"&amp;Investment_Strategy_Sub2&amp;"_"&amp;$A555,'Investment Strategies'!$AJ:$AV,8,FALSE),
IF(AND(Investment_Strategy="Autopilot",Investment_Strategy_Sub1="Non-Standard"),VLOOKUP(Investment_Strategy&amp;"_"&amp;Investment_Strategy_Sub2&amp;"_"&amp;$A555,'Investment Strategies'!$T:$AF,8,FALSE),
IF(Investment_Strategy ="DIY",DIY_RateOfReturn_CurrentFunds,
"Error")))))),Max_InvReturn)</f>
        <v>0</v>
      </c>
      <c r="F555" s="62">
        <f>IF(AV555=0,0,
IF(Investment_Strategy="DIS",VLOOKUP(Investment_Strategy&amp;"_"&amp;Investment_Strategy_Sub1&amp;"_"&amp;$A555,'Investment Strategies'!$AZ:$BP,15,FALSE),
IF(AND(Investment_Strategy="Lifecycle",Investment_Strategy_Sub1="Non-Standard"),VLOOKUP(Investment_Strategy&amp;"_"&amp;Investment_Strategy_Sub2&amp;"_"&amp;$A555,'Investment Strategies'!$C:$P,12,FALSE),
IF(AND(Investment_Strategy="Lifecycle",Investment_Strategy_Sub1="Standard"),VLOOKUP(Investment_Strategy&amp;"_"&amp;Investment_Strategy_Sub2&amp;"_"&amp;$A555,'Investment Strategies'!$AJ:$AV,11,FALSE),
IF(AND(Investment_Strategy="Autopilot",Investment_Strategy_Sub1="Non-Standard"),VLOOKUP(Investment_Strategy&amp;"_"&amp;Investment_Strategy_Sub2&amp;"_"&amp;$A555,'Investment Strategies'!$T:$AF,11,FALSE),
IF(Investment_Strategy="DIY",DIY_GteeChrge_CurrentFunds,
"Error"))))))</f>
        <v>0</v>
      </c>
      <c r="G555" s="33">
        <f>IF(AV555=0,0,
IF(Investment_Strategy="DIS",VLOOKUP(Investment_Strategy&amp;"_"&amp;Investment_Strategy_Sub1&amp;"_"&amp;$A555,'Investment Strategies'!$AZ:$BP,17,FALSE),
IF(AND(Investment_Strategy="Lifecycle",Investment_Strategy_Sub1="Non-Standard"),VLOOKUP(Investment_Strategy&amp;"_"&amp;Investment_Strategy_Sub2&amp;"_"&amp;$A555,'Investment Strategies'!$C:$P,14,FALSE),
IF(AND(Investment_Strategy="Lifecycle",Investment_Strategy_Sub1="Standard"),VLOOKUP(Investment_Strategy&amp;"_"&amp;Investment_Strategy_Sub2&amp;"_"&amp;$A555,'Investment Strategies'!$AJ:$AV,13,FALSE),
IF(AND(Investment_Strategy="Autopilot",Investment_Strategy_Sub1="Non-Standard"),VLOOKUP(Investment_Strategy&amp;"_"&amp;Investment_Strategy_Sub2&amp;"_"&amp;$A555,'Investment Strategies'!$T:$AF,13,FALSE),
IF(Investment_Strategy="DIY",DIY_ExtManChrge_CurrentFunds,
"Error"))))))</f>
        <v>0</v>
      </c>
      <c r="H555" s="16">
        <f t="shared" si="325"/>
        <v>0</v>
      </c>
      <c r="I555" s="16">
        <f t="shared" si="311"/>
        <v>0</v>
      </c>
      <c r="J555" s="16">
        <f t="shared" si="312"/>
        <v>0</v>
      </c>
      <c r="K555" s="16">
        <f>(Opening_Fund_Value+SUM(K$91:K554))*E555*IF(D555=$A$91,SRP_finalmonthfactor,1)</f>
        <v>0</v>
      </c>
      <c r="L555" s="74">
        <f>MIN(IF($AV555=0,0,
IF(Investment_Strategy="DIS",VLOOKUP(Investment_Strategy&amp;"_"&amp;Investment_Strategy_Sub1&amp;"_"&amp;$A555,'Investment Strategies'!$AZ:$BP,12,FALSE),
IF(AND(Investment_Strategy="Lifecycle",Investment_Strategy_Sub1="Non-Standard"),VLOOKUP(Investment_Strategy&amp;"_"&amp;Investment_Strategy_Sub2&amp;"_"&amp;$A555,'Investment Strategies'!$C:$P,9,FALSE),
IF(AND(Investment_Strategy="Lifecycle",Investment_Strategy_Sub1="Standard"),VLOOKUP(Investment_Strategy&amp;"_"&amp;Investment_Strategy_Sub2&amp;"_"&amp;$A555,'Investment Strategies'!$AJ:$AV,8,FALSE),
IF(AND(Investment_Strategy="Autopilot",Investment_Strategy_Sub1="Non-Standard"),VLOOKUP(Investment_Strategy&amp;"_"&amp;Investment_Strategy_Sub2&amp;"_"&amp;$A555,'Investment Strategies'!$T:$AF,8,FALSE),
IF(Investment_Strategy ="DIY",DIY_RateofReturn_SP,
"Error")))))),Max_InvReturn)</f>
        <v>0</v>
      </c>
      <c r="M555" s="62">
        <f>IF($AV555=0,0,
IF(Investment_Strategy="DIS",VLOOKUP(Investment_Strategy&amp;"_"&amp;Investment_Strategy_Sub1&amp;"_"&amp;$A555,'Investment Strategies'!$AZ:$BP,15,FALSE),
IF(AND(Investment_Strategy="Lifecycle",Investment_Strategy_Sub1="Non-Standard"),VLOOKUP(Investment_Strategy&amp;"_"&amp;Investment_Strategy_Sub2&amp;"_"&amp;$A555,'Investment Strategies'!$C:$P,12,FALSE),
IF(AND(Investment_Strategy="Lifecycle",Investment_Strategy_Sub1="Standard"),VLOOKUP(Investment_Strategy&amp;"_"&amp;Investment_Strategy_Sub2&amp;"_"&amp;$A555,'Investment Strategies'!$AJ:$AV,11,FALSE),
IF(AND(Investment_Strategy="Autopilot",Investment_Strategy_Sub1="Non-Standard"),VLOOKUP(Investment_Strategy&amp;"_"&amp;Investment_Strategy_Sub2&amp;"_"&amp;$A555,'Investment Strategies'!$T:$AF,11,FALSE),
IF(Investment_Strategy="DIY",DIY_GteeChrge_SP,
"Error"))))))</f>
        <v>0</v>
      </c>
      <c r="N555" s="33">
        <f>IF($AV555=0,0,
IF(Investment_Strategy="DIS",VLOOKUP(Investment_Strategy&amp;"_"&amp;Investment_Strategy_Sub1&amp;"_"&amp;$A555,'Investment Strategies'!$AZ:$BP,17,FALSE),
IF(AND(Investment_Strategy="Lifecycle",Investment_Strategy_Sub1="Non-Standard"),VLOOKUP(Investment_Strategy&amp;"_"&amp;Investment_Strategy_Sub2&amp;"_"&amp;$A555,'Investment Strategies'!$C:$P,14,FALSE),
IF(AND(Investment_Strategy="Lifecycle",Investment_Strategy_Sub1="Standard"),VLOOKUP(Investment_Strategy&amp;"_"&amp;Investment_Strategy_Sub2&amp;"_"&amp;$A555,'Investment Strategies'!$AJ:$AV,13,FALSE),
IF(AND(Investment_Strategy="Autopilot",Investment_Strategy_Sub1="Non-Standard"),VLOOKUP(Investment_Strategy&amp;"_"&amp;Investment_Strategy_Sub2&amp;"_"&amp;$A555,'Investment Strategies'!$T:$AF,13,FALSE),
IF(Investment_Strategy="DIY",DIY_ExtManChrge_SP,
"Error"))))))</f>
        <v>0</v>
      </c>
      <c r="O555" s="16">
        <f t="shared" si="336"/>
        <v>0</v>
      </c>
      <c r="Q555" s="16">
        <f t="shared" si="313"/>
        <v>0</v>
      </c>
      <c r="R555" s="16">
        <f t="shared" si="310"/>
        <v>0</v>
      </c>
      <c r="S555" s="16">
        <f>(SRP_SP+SUM(S$91:S554))*L555*IF(D555=$A$91,SRP_finalmonthfactor,1)</f>
        <v>0</v>
      </c>
      <c r="T555" s="74">
        <f>MIN(IF($AV555=0,0,
IF(Investment_Strategy="DIS",VLOOKUP(Investment_Strategy&amp;"_"&amp;Investment_Strategy_Sub1&amp;"_"&amp;$A555,'Investment Strategies'!$AZ:$BP,12,FALSE),
IF(AND(Investment_Strategy="Lifecycle",Investment_Strategy_Sub1="Non-Standard"),VLOOKUP(Investment_Strategy&amp;"_"&amp;Investment_Strategy_Sub2&amp;"_"&amp;$A555,'Investment Strategies'!$C:$P,9,FALSE),
IF(AND(Investment_Strategy="Lifecycle",Investment_Strategy_Sub1="Standard"),VLOOKUP(Investment_Strategy&amp;"_"&amp;Investment_Strategy_Sub2&amp;"_"&amp;$A555,'Investment Strategies'!$AJ:$AV,8,FALSE),
IF(AND(Investment_Strategy="Autopilot",Investment_Strategy_Sub1="Non-Standard"),VLOOKUP(Investment_Strategy&amp;"_"&amp;Investment_Strategy_Sub2&amp;"_"&amp;$A555,'Investment Strategies'!$T:$AF,8,FALSE),
IF(Investment_Strategy ="DIY",DIY_RateOfReturn_FuturePremiums,
"Error")))))),Max_InvReturn)</f>
        <v>0</v>
      </c>
      <c r="U555" s="62">
        <f>IF($AV555=0,0,
IF(Investment_Strategy="DIS",VLOOKUP(Investment_Strategy&amp;"_"&amp;Investment_Strategy_Sub1&amp;"_"&amp;$A555,'Investment Strategies'!$AZ:$BP,15,FALSE),
IF(AND(Investment_Strategy="Lifecycle",Investment_Strategy_Sub1="Non-Standard"),VLOOKUP(Investment_Strategy&amp;"_"&amp;Investment_Strategy_Sub2&amp;"_"&amp;$A555,'Investment Strategies'!$C:$P,12,FALSE),
IF(AND(Investment_Strategy="Lifecycle",Investment_Strategy_Sub1="Standard"),VLOOKUP(Investment_Strategy&amp;"_"&amp;Investment_Strategy_Sub2&amp;"_"&amp;$A555,'Investment Strategies'!$AJ:$AV,11,FALSE),
IF(AND(Investment_Strategy="Autopilot",Investment_Strategy_Sub1="Non-Standard"),VLOOKUP(Investment_Strategy&amp;"_"&amp;Investment_Strategy_Sub2&amp;"_"&amp;$A555,'Investment Strategies'!$T:$AF,11,FALSE),
IF(Investment_Strategy="DIY",DIY_GteeChrge_FuturePremiums,
"Error"))))))</f>
        <v>0</v>
      </c>
      <c r="V555" s="33">
        <f>IF(AV555=0,0,
IF(Investment_Strategy="DIS",VLOOKUP(Investment_Strategy&amp;"_"&amp;Investment_Strategy_Sub1&amp;"_"&amp;$A555,'Investment Strategies'!$AZ:$BP,17,FALSE),
IF(AND(Investment_Strategy="Lifecycle",Investment_Strategy_Sub1="Non-Standard"),VLOOKUP(Investment_Strategy&amp;"_"&amp;Investment_Strategy_Sub2&amp;"_"&amp;$A555,'Investment Strategies'!$C:$P,14,FALSE),
IF(AND(Investment_Strategy="Lifecycle",Investment_Strategy_Sub1="Standard"),VLOOKUP(Investment_Strategy&amp;"_"&amp;Investment_Strategy_Sub2&amp;"_"&amp;$A555,'Investment Strategies'!$AJ:$AV,13,FALSE),
IF(AND(Investment_Strategy="Autopilot",Investment_Strategy_Sub1="Non-Standard"),VLOOKUP(Investment_Strategy&amp;"_"&amp;Investment_Strategy_Sub2&amp;"_"&amp;$A555,'Investment Strategies'!$T:$AF,13,FALSE),
IF(Investment_Strategy="DIY",DIY_ExtManChrge_FuturePremiums,
"Error"))))))</f>
        <v>0</v>
      </c>
      <c r="W555" s="16">
        <f t="shared" si="337"/>
        <v>0</v>
      </c>
      <c r="X555" s="16">
        <f t="shared" si="314"/>
        <v>0</v>
      </c>
      <c r="Y555" s="16">
        <f t="shared" si="315"/>
        <v>0</v>
      </c>
      <c r="Z555" s="31">
        <f t="shared" si="316"/>
        <v>0.02</v>
      </c>
      <c r="AA555" s="16">
        <f t="shared" si="317"/>
        <v>0</v>
      </c>
      <c r="AB555" s="28">
        <f t="shared" si="339"/>
        <v>0</v>
      </c>
      <c r="AC555" s="28">
        <f>(SUM($AC$91:AC554)+SUM($X$91:X554)+X555)*T555*IF(D555=$A$91,SRP_finalmonthfactor,1)</f>
        <v>0</v>
      </c>
      <c r="AD555" s="16">
        <f t="shared" si="318"/>
        <v>0</v>
      </c>
      <c r="AE555" s="106"/>
      <c r="AF555" s="16">
        <f t="shared" si="326"/>
        <v>0</v>
      </c>
      <c r="AG555" s="16">
        <f t="shared" si="327"/>
        <v>0</v>
      </c>
      <c r="AH555" s="16">
        <f t="shared" si="328"/>
        <v>0</v>
      </c>
      <c r="AJ555" s="13">
        <f t="shared" si="340"/>
        <v>0</v>
      </c>
      <c r="AK555" s="13">
        <f t="shared" si="340"/>
        <v>0</v>
      </c>
      <c r="AL555" s="13">
        <f t="shared" si="340"/>
        <v>0</v>
      </c>
      <c r="AM555" s="13">
        <f t="shared" si="340"/>
        <v>0</v>
      </c>
      <c r="AN555" s="13">
        <f t="shared" si="340"/>
        <v>0</v>
      </c>
      <c r="AO555" s="13">
        <f t="shared" si="340"/>
        <v>1</v>
      </c>
      <c r="AP555" s="13">
        <f t="shared" si="340"/>
        <v>1</v>
      </c>
      <c r="AQ555" s="13">
        <f t="shared" si="340"/>
        <v>1</v>
      </c>
      <c r="AR555" s="13">
        <f t="shared" si="340"/>
        <v>0</v>
      </c>
      <c r="AS555" s="13">
        <f t="shared" si="340"/>
        <v>0</v>
      </c>
      <c r="AT555" s="13">
        <f t="shared" si="340"/>
        <v>0</v>
      </c>
      <c r="AU555" s="13">
        <f t="shared" si="340"/>
        <v>1</v>
      </c>
      <c r="AV555" s="13">
        <f t="shared" si="319"/>
        <v>0</v>
      </c>
      <c r="AW555" s="13">
        <f t="shared" si="320"/>
        <v>1</v>
      </c>
      <c r="AY555" s="17">
        <f t="shared" si="321"/>
        <v>465</v>
      </c>
      <c r="AZ555" s="28">
        <f t="shared" si="329"/>
        <v>0</v>
      </c>
      <c r="BA555" s="13">
        <f t="shared" si="322"/>
        <v>0</v>
      </c>
      <c r="BB555" s="13">
        <f t="shared" si="323"/>
        <v>0</v>
      </c>
      <c r="BC555" s="28">
        <f t="shared" si="330"/>
        <v>0</v>
      </c>
      <c r="BD555" s="28">
        <f t="shared" si="331"/>
        <v>0</v>
      </c>
      <c r="BF555" s="248">
        <f t="shared" si="332"/>
        <v>993869.29442638322</v>
      </c>
    </row>
    <row r="556" spans="1:58">
      <c r="A556" s="32">
        <f t="shared" si="333"/>
        <v>-381</v>
      </c>
      <c r="B556" s="32">
        <f t="shared" si="324"/>
        <v>91</v>
      </c>
      <c r="C556" s="32">
        <f t="shared" si="334"/>
        <v>39</v>
      </c>
      <c r="D556" s="32">
        <f t="shared" si="335"/>
        <v>466</v>
      </c>
      <c r="E556" s="74">
        <f>MIN(IF(AV556=0,0,
IF(Investment_Strategy="DIS",VLOOKUP(Investment_Strategy&amp;"_"&amp;Investment_Strategy_Sub1&amp;"_"&amp;$A556,'Investment Strategies'!$AZ:$BP,12,FALSE),
IF(AND(Investment_Strategy="Lifecycle",Investment_Strategy_Sub1="Non-Standard"),VLOOKUP(Investment_Strategy&amp;"_"&amp;Investment_Strategy_Sub2&amp;"_"&amp;$A556,'Investment Strategies'!$C:$P,9,FALSE),
IF(AND(Investment_Strategy="Lifecycle",Investment_Strategy_Sub1="Standard"),VLOOKUP(Investment_Strategy&amp;"_"&amp;Investment_Strategy_Sub2&amp;"_"&amp;$A556,'Investment Strategies'!$AJ:$AV,8,FALSE),
IF(AND(Investment_Strategy="Autopilot",Investment_Strategy_Sub1="Non-Standard"),VLOOKUP(Investment_Strategy&amp;"_"&amp;Investment_Strategy_Sub2&amp;"_"&amp;$A556,'Investment Strategies'!$T:$AF,8,FALSE),
IF(Investment_Strategy ="DIY",DIY_RateOfReturn_CurrentFunds,
"Error")))))),Max_InvReturn)</f>
        <v>0</v>
      </c>
      <c r="F556" s="62">
        <f>IF(AV556=0,0,
IF(Investment_Strategy="DIS",VLOOKUP(Investment_Strategy&amp;"_"&amp;Investment_Strategy_Sub1&amp;"_"&amp;$A556,'Investment Strategies'!$AZ:$BP,15,FALSE),
IF(AND(Investment_Strategy="Lifecycle",Investment_Strategy_Sub1="Non-Standard"),VLOOKUP(Investment_Strategy&amp;"_"&amp;Investment_Strategy_Sub2&amp;"_"&amp;$A556,'Investment Strategies'!$C:$P,12,FALSE),
IF(AND(Investment_Strategy="Lifecycle",Investment_Strategy_Sub1="Standard"),VLOOKUP(Investment_Strategy&amp;"_"&amp;Investment_Strategy_Sub2&amp;"_"&amp;$A556,'Investment Strategies'!$AJ:$AV,11,FALSE),
IF(AND(Investment_Strategy="Autopilot",Investment_Strategy_Sub1="Non-Standard"),VLOOKUP(Investment_Strategy&amp;"_"&amp;Investment_Strategy_Sub2&amp;"_"&amp;$A556,'Investment Strategies'!$T:$AF,11,FALSE),
IF(Investment_Strategy="DIY",DIY_GteeChrge_CurrentFunds,
"Error"))))))</f>
        <v>0</v>
      </c>
      <c r="G556" s="33">
        <f>IF(AV556=0,0,
IF(Investment_Strategy="DIS",VLOOKUP(Investment_Strategy&amp;"_"&amp;Investment_Strategy_Sub1&amp;"_"&amp;$A556,'Investment Strategies'!$AZ:$BP,17,FALSE),
IF(AND(Investment_Strategy="Lifecycle",Investment_Strategy_Sub1="Non-Standard"),VLOOKUP(Investment_Strategy&amp;"_"&amp;Investment_Strategy_Sub2&amp;"_"&amp;$A556,'Investment Strategies'!$C:$P,14,FALSE),
IF(AND(Investment_Strategy="Lifecycle",Investment_Strategy_Sub1="Standard"),VLOOKUP(Investment_Strategy&amp;"_"&amp;Investment_Strategy_Sub2&amp;"_"&amp;$A556,'Investment Strategies'!$AJ:$AV,13,FALSE),
IF(AND(Investment_Strategy="Autopilot",Investment_Strategy_Sub1="Non-Standard"),VLOOKUP(Investment_Strategy&amp;"_"&amp;Investment_Strategy_Sub2&amp;"_"&amp;$A556,'Investment Strategies'!$T:$AF,13,FALSE),
IF(Investment_Strategy="DIY",DIY_ExtManChrge_CurrentFunds,
"Error"))))))</f>
        <v>0</v>
      </c>
      <c r="H556" s="16">
        <f t="shared" si="325"/>
        <v>0</v>
      </c>
      <c r="I556" s="16">
        <f t="shared" si="311"/>
        <v>0</v>
      </c>
      <c r="J556" s="16">
        <f t="shared" si="312"/>
        <v>0</v>
      </c>
      <c r="K556" s="16">
        <f>(Opening_Fund_Value+SUM(K$91:K555))*E556*IF(D556=$A$91,SRP_finalmonthfactor,1)</f>
        <v>0</v>
      </c>
      <c r="L556" s="74">
        <f>MIN(IF($AV556=0,0,
IF(Investment_Strategy="DIS",VLOOKUP(Investment_Strategy&amp;"_"&amp;Investment_Strategy_Sub1&amp;"_"&amp;$A556,'Investment Strategies'!$AZ:$BP,12,FALSE),
IF(AND(Investment_Strategy="Lifecycle",Investment_Strategy_Sub1="Non-Standard"),VLOOKUP(Investment_Strategy&amp;"_"&amp;Investment_Strategy_Sub2&amp;"_"&amp;$A556,'Investment Strategies'!$C:$P,9,FALSE),
IF(AND(Investment_Strategy="Lifecycle",Investment_Strategy_Sub1="Standard"),VLOOKUP(Investment_Strategy&amp;"_"&amp;Investment_Strategy_Sub2&amp;"_"&amp;$A556,'Investment Strategies'!$AJ:$AV,8,FALSE),
IF(AND(Investment_Strategy="Autopilot",Investment_Strategy_Sub1="Non-Standard"),VLOOKUP(Investment_Strategy&amp;"_"&amp;Investment_Strategy_Sub2&amp;"_"&amp;$A556,'Investment Strategies'!$T:$AF,8,FALSE),
IF(Investment_Strategy ="DIY",DIY_RateofReturn_SP,
"Error")))))),Max_InvReturn)</f>
        <v>0</v>
      </c>
      <c r="M556" s="62">
        <f>IF($AV556=0,0,
IF(Investment_Strategy="DIS",VLOOKUP(Investment_Strategy&amp;"_"&amp;Investment_Strategy_Sub1&amp;"_"&amp;$A556,'Investment Strategies'!$AZ:$BP,15,FALSE),
IF(AND(Investment_Strategy="Lifecycle",Investment_Strategy_Sub1="Non-Standard"),VLOOKUP(Investment_Strategy&amp;"_"&amp;Investment_Strategy_Sub2&amp;"_"&amp;$A556,'Investment Strategies'!$C:$P,12,FALSE),
IF(AND(Investment_Strategy="Lifecycle",Investment_Strategy_Sub1="Standard"),VLOOKUP(Investment_Strategy&amp;"_"&amp;Investment_Strategy_Sub2&amp;"_"&amp;$A556,'Investment Strategies'!$AJ:$AV,11,FALSE),
IF(AND(Investment_Strategy="Autopilot",Investment_Strategy_Sub1="Non-Standard"),VLOOKUP(Investment_Strategy&amp;"_"&amp;Investment_Strategy_Sub2&amp;"_"&amp;$A556,'Investment Strategies'!$T:$AF,11,FALSE),
IF(Investment_Strategy="DIY",DIY_GteeChrge_SP,
"Error"))))))</f>
        <v>0</v>
      </c>
      <c r="N556" s="33">
        <f>IF($AV556=0,0,
IF(Investment_Strategy="DIS",VLOOKUP(Investment_Strategy&amp;"_"&amp;Investment_Strategy_Sub1&amp;"_"&amp;$A556,'Investment Strategies'!$AZ:$BP,17,FALSE),
IF(AND(Investment_Strategy="Lifecycle",Investment_Strategy_Sub1="Non-Standard"),VLOOKUP(Investment_Strategy&amp;"_"&amp;Investment_Strategy_Sub2&amp;"_"&amp;$A556,'Investment Strategies'!$C:$P,14,FALSE),
IF(AND(Investment_Strategy="Lifecycle",Investment_Strategy_Sub1="Standard"),VLOOKUP(Investment_Strategy&amp;"_"&amp;Investment_Strategy_Sub2&amp;"_"&amp;$A556,'Investment Strategies'!$AJ:$AV,13,FALSE),
IF(AND(Investment_Strategy="Autopilot",Investment_Strategy_Sub1="Non-Standard"),VLOOKUP(Investment_Strategy&amp;"_"&amp;Investment_Strategy_Sub2&amp;"_"&amp;$A556,'Investment Strategies'!$T:$AF,13,FALSE),
IF(Investment_Strategy="DIY",DIY_ExtManChrge_SP,
"Error"))))))</f>
        <v>0</v>
      </c>
      <c r="O556" s="16">
        <f t="shared" si="336"/>
        <v>0</v>
      </c>
      <c r="Q556" s="16">
        <f t="shared" si="313"/>
        <v>0</v>
      </c>
      <c r="R556" s="16">
        <f t="shared" si="310"/>
        <v>0</v>
      </c>
      <c r="S556" s="16">
        <f>(SRP_SP+SUM(S$91:S555))*L556*IF(D556=$A$91,SRP_finalmonthfactor,1)</f>
        <v>0</v>
      </c>
      <c r="T556" s="74">
        <f>MIN(IF($AV556=0,0,
IF(Investment_Strategy="DIS",VLOOKUP(Investment_Strategy&amp;"_"&amp;Investment_Strategy_Sub1&amp;"_"&amp;$A556,'Investment Strategies'!$AZ:$BP,12,FALSE),
IF(AND(Investment_Strategy="Lifecycle",Investment_Strategy_Sub1="Non-Standard"),VLOOKUP(Investment_Strategy&amp;"_"&amp;Investment_Strategy_Sub2&amp;"_"&amp;$A556,'Investment Strategies'!$C:$P,9,FALSE),
IF(AND(Investment_Strategy="Lifecycle",Investment_Strategy_Sub1="Standard"),VLOOKUP(Investment_Strategy&amp;"_"&amp;Investment_Strategy_Sub2&amp;"_"&amp;$A556,'Investment Strategies'!$AJ:$AV,8,FALSE),
IF(AND(Investment_Strategy="Autopilot",Investment_Strategy_Sub1="Non-Standard"),VLOOKUP(Investment_Strategy&amp;"_"&amp;Investment_Strategy_Sub2&amp;"_"&amp;$A556,'Investment Strategies'!$T:$AF,8,FALSE),
IF(Investment_Strategy ="DIY",DIY_RateOfReturn_FuturePremiums,
"Error")))))),Max_InvReturn)</f>
        <v>0</v>
      </c>
      <c r="U556" s="62">
        <f>IF($AV556=0,0,
IF(Investment_Strategy="DIS",VLOOKUP(Investment_Strategy&amp;"_"&amp;Investment_Strategy_Sub1&amp;"_"&amp;$A556,'Investment Strategies'!$AZ:$BP,15,FALSE),
IF(AND(Investment_Strategy="Lifecycle",Investment_Strategy_Sub1="Non-Standard"),VLOOKUP(Investment_Strategy&amp;"_"&amp;Investment_Strategy_Sub2&amp;"_"&amp;$A556,'Investment Strategies'!$C:$P,12,FALSE),
IF(AND(Investment_Strategy="Lifecycle",Investment_Strategy_Sub1="Standard"),VLOOKUP(Investment_Strategy&amp;"_"&amp;Investment_Strategy_Sub2&amp;"_"&amp;$A556,'Investment Strategies'!$AJ:$AV,11,FALSE),
IF(AND(Investment_Strategy="Autopilot",Investment_Strategy_Sub1="Non-Standard"),VLOOKUP(Investment_Strategy&amp;"_"&amp;Investment_Strategy_Sub2&amp;"_"&amp;$A556,'Investment Strategies'!$T:$AF,11,FALSE),
IF(Investment_Strategy="DIY",DIY_GteeChrge_FuturePremiums,
"Error"))))))</f>
        <v>0</v>
      </c>
      <c r="V556" s="33">
        <f>IF(AV556=0,0,
IF(Investment_Strategy="DIS",VLOOKUP(Investment_Strategy&amp;"_"&amp;Investment_Strategy_Sub1&amp;"_"&amp;$A556,'Investment Strategies'!$AZ:$BP,17,FALSE),
IF(AND(Investment_Strategy="Lifecycle",Investment_Strategy_Sub1="Non-Standard"),VLOOKUP(Investment_Strategy&amp;"_"&amp;Investment_Strategy_Sub2&amp;"_"&amp;$A556,'Investment Strategies'!$C:$P,14,FALSE),
IF(AND(Investment_Strategy="Lifecycle",Investment_Strategy_Sub1="Standard"),VLOOKUP(Investment_Strategy&amp;"_"&amp;Investment_Strategy_Sub2&amp;"_"&amp;$A556,'Investment Strategies'!$AJ:$AV,13,FALSE),
IF(AND(Investment_Strategy="Autopilot",Investment_Strategy_Sub1="Non-Standard"),VLOOKUP(Investment_Strategy&amp;"_"&amp;Investment_Strategy_Sub2&amp;"_"&amp;$A556,'Investment Strategies'!$T:$AF,13,FALSE),
IF(Investment_Strategy="DIY",DIY_ExtManChrge_FuturePremiums,
"Error"))))))</f>
        <v>0</v>
      </c>
      <c r="W556" s="16">
        <f t="shared" si="337"/>
        <v>0</v>
      </c>
      <c r="X556" s="16">
        <f t="shared" si="314"/>
        <v>0</v>
      </c>
      <c r="Y556" s="16">
        <f t="shared" si="315"/>
        <v>0</v>
      </c>
      <c r="Z556" s="31">
        <f t="shared" si="316"/>
        <v>0.02</v>
      </c>
      <c r="AA556" s="16">
        <f t="shared" si="317"/>
        <v>0</v>
      </c>
      <c r="AB556" s="28">
        <f t="shared" si="339"/>
        <v>0</v>
      </c>
      <c r="AC556" s="28">
        <f>(SUM($AC$91:AC555)+SUM($X$91:X555)+X556)*T556*IF(D556=$A$91,SRP_finalmonthfactor,1)</f>
        <v>0</v>
      </c>
      <c r="AD556" s="16">
        <f t="shared" si="318"/>
        <v>0</v>
      </c>
      <c r="AE556" s="106"/>
      <c r="AF556" s="16">
        <f t="shared" si="326"/>
        <v>0</v>
      </c>
      <c r="AG556" s="16">
        <f t="shared" si="327"/>
        <v>0</v>
      </c>
      <c r="AH556" s="16">
        <f t="shared" si="328"/>
        <v>0</v>
      </c>
      <c r="AJ556" s="13">
        <f t="shared" si="340"/>
        <v>0</v>
      </c>
      <c r="AK556" s="13">
        <f t="shared" si="340"/>
        <v>0</v>
      </c>
      <c r="AL556" s="13">
        <f t="shared" si="340"/>
        <v>0</v>
      </c>
      <c r="AM556" s="13">
        <f t="shared" si="340"/>
        <v>0</v>
      </c>
      <c r="AN556" s="13">
        <f t="shared" si="340"/>
        <v>0</v>
      </c>
      <c r="AO556" s="13">
        <f t="shared" si="340"/>
        <v>1</v>
      </c>
      <c r="AP556" s="13">
        <f t="shared" si="340"/>
        <v>1</v>
      </c>
      <c r="AQ556" s="13">
        <f t="shared" si="340"/>
        <v>1</v>
      </c>
      <c r="AR556" s="13">
        <f t="shared" si="340"/>
        <v>0</v>
      </c>
      <c r="AS556" s="13">
        <f t="shared" si="340"/>
        <v>0</v>
      </c>
      <c r="AT556" s="13">
        <f t="shared" si="340"/>
        <v>0</v>
      </c>
      <c r="AU556" s="13">
        <f t="shared" si="340"/>
        <v>1</v>
      </c>
      <c r="AV556" s="13">
        <f t="shared" si="319"/>
        <v>0</v>
      </c>
      <c r="AW556" s="13">
        <f t="shared" si="320"/>
        <v>1</v>
      </c>
      <c r="AY556" s="17">
        <f t="shared" si="321"/>
        <v>466</v>
      </c>
      <c r="AZ556" s="28">
        <f t="shared" si="329"/>
        <v>0</v>
      </c>
      <c r="BA556" s="13">
        <f t="shared" si="322"/>
        <v>0</v>
      </c>
      <c r="BB556" s="13">
        <f t="shared" si="323"/>
        <v>0</v>
      </c>
      <c r="BC556" s="28">
        <f t="shared" si="330"/>
        <v>0</v>
      </c>
      <c r="BD556" s="28">
        <f t="shared" si="331"/>
        <v>0</v>
      </c>
      <c r="BF556" s="248">
        <f t="shared" si="332"/>
        <v>993869.29442638322</v>
      </c>
    </row>
    <row r="557" spans="1:58">
      <c r="A557" s="32">
        <f t="shared" si="333"/>
        <v>-382</v>
      </c>
      <c r="B557" s="32">
        <f t="shared" si="324"/>
        <v>91</v>
      </c>
      <c r="C557" s="32">
        <f t="shared" si="334"/>
        <v>39</v>
      </c>
      <c r="D557" s="32">
        <f t="shared" si="335"/>
        <v>467</v>
      </c>
      <c r="E557" s="74">
        <f>MIN(IF(AV557=0,0,
IF(Investment_Strategy="DIS",VLOOKUP(Investment_Strategy&amp;"_"&amp;Investment_Strategy_Sub1&amp;"_"&amp;$A557,'Investment Strategies'!$AZ:$BP,12,FALSE),
IF(AND(Investment_Strategy="Lifecycle",Investment_Strategy_Sub1="Non-Standard"),VLOOKUP(Investment_Strategy&amp;"_"&amp;Investment_Strategy_Sub2&amp;"_"&amp;$A557,'Investment Strategies'!$C:$P,9,FALSE),
IF(AND(Investment_Strategy="Lifecycle",Investment_Strategy_Sub1="Standard"),VLOOKUP(Investment_Strategy&amp;"_"&amp;Investment_Strategy_Sub2&amp;"_"&amp;$A557,'Investment Strategies'!$AJ:$AV,8,FALSE),
IF(AND(Investment_Strategy="Autopilot",Investment_Strategy_Sub1="Non-Standard"),VLOOKUP(Investment_Strategy&amp;"_"&amp;Investment_Strategy_Sub2&amp;"_"&amp;$A557,'Investment Strategies'!$T:$AF,8,FALSE),
IF(Investment_Strategy ="DIY",DIY_RateOfReturn_CurrentFunds,
"Error")))))),Max_InvReturn)</f>
        <v>0</v>
      </c>
      <c r="F557" s="62">
        <f>IF(AV557=0,0,
IF(Investment_Strategy="DIS",VLOOKUP(Investment_Strategy&amp;"_"&amp;Investment_Strategy_Sub1&amp;"_"&amp;$A557,'Investment Strategies'!$AZ:$BP,15,FALSE),
IF(AND(Investment_Strategy="Lifecycle",Investment_Strategy_Sub1="Non-Standard"),VLOOKUP(Investment_Strategy&amp;"_"&amp;Investment_Strategy_Sub2&amp;"_"&amp;$A557,'Investment Strategies'!$C:$P,12,FALSE),
IF(AND(Investment_Strategy="Lifecycle",Investment_Strategy_Sub1="Standard"),VLOOKUP(Investment_Strategy&amp;"_"&amp;Investment_Strategy_Sub2&amp;"_"&amp;$A557,'Investment Strategies'!$AJ:$AV,11,FALSE),
IF(AND(Investment_Strategy="Autopilot",Investment_Strategy_Sub1="Non-Standard"),VLOOKUP(Investment_Strategy&amp;"_"&amp;Investment_Strategy_Sub2&amp;"_"&amp;$A557,'Investment Strategies'!$T:$AF,11,FALSE),
IF(Investment_Strategy="DIY",DIY_GteeChrge_CurrentFunds,
"Error"))))))</f>
        <v>0</v>
      </c>
      <c r="G557" s="33">
        <f>IF(AV557=0,0,
IF(Investment_Strategy="DIS",VLOOKUP(Investment_Strategy&amp;"_"&amp;Investment_Strategy_Sub1&amp;"_"&amp;$A557,'Investment Strategies'!$AZ:$BP,17,FALSE),
IF(AND(Investment_Strategy="Lifecycle",Investment_Strategy_Sub1="Non-Standard"),VLOOKUP(Investment_Strategy&amp;"_"&amp;Investment_Strategy_Sub2&amp;"_"&amp;$A557,'Investment Strategies'!$C:$P,14,FALSE),
IF(AND(Investment_Strategy="Lifecycle",Investment_Strategy_Sub1="Standard"),VLOOKUP(Investment_Strategy&amp;"_"&amp;Investment_Strategy_Sub2&amp;"_"&amp;$A557,'Investment Strategies'!$AJ:$AV,13,FALSE),
IF(AND(Investment_Strategy="Autopilot",Investment_Strategy_Sub1="Non-Standard"),VLOOKUP(Investment_Strategy&amp;"_"&amp;Investment_Strategy_Sub2&amp;"_"&amp;$A557,'Investment Strategies'!$T:$AF,13,FALSE),
IF(Investment_Strategy="DIY",DIY_ExtManChrge_CurrentFunds,
"Error"))))))</f>
        <v>0</v>
      </c>
      <c r="H557" s="16">
        <f t="shared" si="325"/>
        <v>0</v>
      </c>
      <c r="I557" s="16">
        <f t="shared" si="311"/>
        <v>0</v>
      </c>
      <c r="J557" s="16">
        <f t="shared" si="312"/>
        <v>0</v>
      </c>
      <c r="K557" s="16">
        <f>(Opening_Fund_Value+SUM(K$91:K556))*E557*IF(D557=$A$91,SRP_finalmonthfactor,1)</f>
        <v>0</v>
      </c>
      <c r="L557" s="74">
        <f>MIN(IF($AV557=0,0,
IF(Investment_Strategy="DIS",VLOOKUP(Investment_Strategy&amp;"_"&amp;Investment_Strategy_Sub1&amp;"_"&amp;$A557,'Investment Strategies'!$AZ:$BP,12,FALSE),
IF(AND(Investment_Strategy="Lifecycle",Investment_Strategy_Sub1="Non-Standard"),VLOOKUP(Investment_Strategy&amp;"_"&amp;Investment_Strategy_Sub2&amp;"_"&amp;$A557,'Investment Strategies'!$C:$P,9,FALSE),
IF(AND(Investment_Strategy="Lifecycle",Investment_Strategy_Sub1="Standard"),VLOOKUP(Investment_Strategy&amp;"_"&amp;Investment_Strategy_Sub2&amp;"_"&amp;$A557,'Investment Strategies'!$AJ:$AV,8,FALSE),
IF(AND(Investment_Strategy="Autopilot",Investment_Strategy_Sub1="Non-Standard"),VLOOKUP(Investment_Strategy&amp;"_"&amp;Investment_Strategy_Sub2&amp;"_"&amp;$A557,'Investment Strategies'!$T:$AF,8,FALSE),
IF(Investment_Strategy ="DIY",DIY_RateofReturn_SP,
"Error")))))),Max_InvReturn)</f>
        <v>0</v>
      </c>
      <c r="M557" s="62">
        <f>IF($AV557=0,0,
IF(Investment_Strategy="DIS",VLOOKUP(Investment_Strategy&amp;"_"&amp;Investment_Strategy_Sub1&amp;"_"&amp;$A557,'Investment Strategies'!$AZ:$BP,15,FALSE),
IF(AND(Investment_Strategy="Lifecycle",Investment_Strategy_Sub1="Non-Standard"),VLOOKUP(Investment_Strategy&amp;"_"&amp;Investment_Strategy_Sub2&amp;"_"&amp;$A557,'Investment Strategies'!$C:$P,12,FALSE),
IF(AND(Investment_Strategy="Lifecycle",Investment_Strategy_Sub1="Standard"),VLOOKUP(Investment_Strategy&amp;"_"&amp;Investment_Strategy_Sub2&amp;"_"&amp;$A557,'Investment Strategies'!$AJ:$AV,11,FALSE),
IF(AND(Investment_Strategy="Autopilot",Investment_Strategy_Sub1="Non-Standard"),VLOOKUP(Investment_Strategy&amp;"_"&amp;Investment_Strategy_Sub2&amp;"_"&amp;$A557,'Investment Strategies'!$T:$AF,11,FALSE),
IF(Investment_Strategy="DIY",DIY_GteeChrge_SP,
"Error"))))))</f>
        <v>0</v>
      </c>
      <c r="N557" s="33">
        <f>IF($AV557=0,0,
IF(Investment_Strategy="DIS",VLOOKUP(Investment_Strategy&amp;"_"&amp;Investment_Strategy_Sub1&amp;"_"&amp;$A557,'Investment Strategies'!$AZ:$BP,17,FALSE),
IF(AND(Investment_Strategy="Lifecycle",Investment_Strategy_Sub1="Non-Standard"),VLOOKUP(Investment_Strategy&amp;"_"&amp;Investment_Strategy_Sub2&amp;"_"&amp;$A557,'Investment Strategies'!$C:$P,14,FALSE),
IF(AND(Investment_Strategy="Lifecycle",Investment_Strategy_Sub1="Standard"),VLOOKUP(Investment_Strategy&amp;"_"&amp;Investment_Strategy_Sub2&amp;"_"&amp;$A557,'Investment Strategies'!$AJ:$AV,13,FALSE),
IF(AND(Investment_Strategy="Autopilot",Investment_Strategy_Sub1="Non-Standard"),VLOOKUP(Investment_Strategy&amp;"_"&amp;Investment_Strategy_Sub2&amp;"_"&amp;$A557,'Investment Strategies'!$T:$AF,13,FALSE),
IF(Investment_Strategy="DIY",DIY_ExtManChrge_SP,
"Error"))))))</f>
        <v>0</v>
      </c>
      <c r="O557" s="16">
        <f t="shared" si="336"/>
        <v>0</v>
      </c>
      <c r="Q557" s="16">
        <f t="shared" si="313"/>
        <v>0</v>
      </c>
      <c r="R557" s="16">
        <f t="shared" si="310"/>
        <v>0</v>
      </c>
      <c r="S557" s="16">
        <f>(SRP_SP+SUM(S$91:S556))*L557*IF(D557=$A$91,SRP_finalmonthfactor,1)</f>
        <v>0</v>
      </c>
      <c r="T557" s="74">
        <f>MIN(IF($AV557=0,0,
IF(Investment_Strategy="DIS",VLOOKUP(Investment_Strategy&amp;"_"&amp;Investment_Strategy_Sub1&amp;"_"&amp;$A557,'Investment Strategies'!$AZ:$BP,12,FALSE),
IF(AND(Investment_Strategy="Lifecycle",Investment_Strategy_Sub1="Non-Standard"),VLOOKUP(Investment_Strategy&amp;"_"&amp;Investment_Strategy_Sub2&amp;"_"&amp;$A557,'Investment Strategies'!$C:$P,9,FALSE),
IF(AND(Investment_Strategy="Lifecycle",Investment_Strategy_Sub1="Standard"),VLOOKUP(Investment_Strategy&amp;"_"&amp;Investment_Strategy_Sub2&amp;"_"&amp;$A557,'Investment Strategies'!$AJ:$AV,8,FALSE),
IF(AND(Investment_Strategy="Autopilot",Investment_Strategy_Sub1="Non-Standard"),VLOOKUP(Investment_Strategy&amp;"_"&amp;Investment_Strategy_Sub2&amp;"_"&amp;$A557,'Investment Strategies'!$T:$AF,8,FALSE),
IF(Investment_Strategy ="DIY",DIY_RateOfReturn_FuturePremiums,
"Error")))))),Max_InvReturn)</f>
        <v>0</v>
      </c>
      <c r="U557" s="62">
        <f>IF($AV557=0,0,
IF(Investment_Strategy="DIS",VLOOKUP(Investment_Strategy&amp;"_"&amp;Investment_Strategy_Sub1&amp;"_"&amp;$A557,'Investment Strategies'!$AZ:$BP,15,FALSE),
IF(AND(Investment_Strategy="Lifecycle",Investment_Strategy_Sub1="Non-Standard"),VLOOKUP(Investment_Strategy&amp;"_"&amp;Investment_Strategy_Sub2&amp;"_"&amp;$A557,'Investment Strategies'!$C:$P,12,FALSE),
IF(AND(Investment_Strategy="Lifecycle",Investment_Strategy_Sub1="Standard"),VLOOKUP(Investment_Strategy&amp;"_"&amp;Investment_Strategy_Sub2&amp;"_"&amp;$A557,'Investment Strategies'!$AJ:$AV,11,FALSE),
IF(AND(Investment_Strategy="Autopilot",Investment_Strategy_Sub1="Non-Standard"),VLOOKUP(Investment_Strategy&amp;"_"&amp;Investment_Strategy_Sub2&amp;"_"&amp;$A557,'Investment Strategies'!$T:$AF,11,FALSE),
IF(Investment_Strategy="DIY",DIY_GteeChrge_FuturePremiums,
"Error"))))))</f>
        <v>0</v>
      </c>
      <c r="V557" s="33">
        <f>IF(AV557=0,0,
IF(Investment_Strategy="DIS",VLOOKUP(Investment_Strategy&amp;"_"&amp;Investment_Strategy_Sub1&amp;"_"&amp;$A557,'Investment Strategies'!$AZ:$BP,17,FALSE),
IF(AND(Investment_Strategy="Lifecycle",Investment_Strategy_Sub1="Non-Standard"),VLOOKUP(Investment_Strategy&amp;"_"&amp;Investment_Strategy_Sub2&amp;"_"&amp;$A557,'Investment Strategies'!$C:$P,14,FALSE),
IF(AND(Investment_Strategy="Lifecycle",Investment_Strategy_Sub1="Standard"),VLOOKUP(Investment_Strategy&amp;"_"&amp;Investment_Strategy_Sub2&amp;"_"&amp;$A557,'Investment Strategies'!$AJ:$AV,13,FALSE),
IF(AND(Investment_Strategy="Autopilot",Investment_Strategy_Sub1="Non-Standard"),VLOOKUP(Investment_Strategy&amp;"_"&amp;Investment_Strategy_Sub2&amp;"_"&amp;$A557,'Investment Strategies'!$T:$AF,13,FALSE),
IF(Investment_Strategy="DIY",DIY_ExtManChrge_FuturePremiums,
"Error"))))))</f>
        <v>0</v>
      </c>
      <c r="W557" s="16">
        <f t="shared" si="337"/>
        <v>0</v>
      </c>
      <c r="X557" s="16">
        <f t="shared" si="314"/>
        <v>0</v>
      </c>
      <c r="Y557" s="16">
        <f t="shared" si="315"/>
        <v>0</v>
      </c>
      <c r="Z557" s="31">
        <f t="shared" si="316"/>
        <v>0.02</v>
      </c>
      <c r="AA557" s="16">
        <f t="shared" si="317"/>
        <v>0</v>
      </c>
      <c r="AB557" s="28">
        <f t="shared" si="339"/>
        <v>0</v>
      </c>
      <c r="AC557" s="28">
        <f>(SUM($AC$91:AC556)+SUM($X$91:X556)+X557)*T557*IF(D557=$A$91,SRP_finalmonthfactor,1)</f>
        <v>0</v>
      </c>
      <c r="AD557" s="16">
        <f t="shared" si="318"/>
        <v>0</v>
      </c>
      <c r="AE557" s="106"/>
      <c r="AF557" s="16">
        <f t="shared" si="326"/>
        <v>0</v>
      </c>
      <c r="AG557" s="16">
        <f t="shared" si="327"/>
        <v>0</v>
      </c>
      <c r="AH557" s="16">
        <f t="shared" si="328"/>
        <v>0</v>
      </c>
      <c r="AJ557" s="13">
        <f t="shared" si="340"/>
        <v>0</v>
      </c>
      <c r="AK557" s="13">
        <f t="shared" si="340"/>
        <v>0</v>
      </c>
      <c r="AL557" s="13">
        <f t="shared" si="340"/>
        <v>0</v>
      </c>
      <c r="AM557" s="13">
        <f t="shared" si="340"/>
        <v>0</v>
      </c>
      <c r="AN557" s="13">
        <f t="shared" si="340"/>
        <v>0</v>
      </c>
      <c r="AO557" s="13">
        <f t="shared" si="340"/>
        <v>1</v>
      </c>
      <c r="AP557" s="13">
        <f t="shared" si="340"/>
        <v>1</v>
      </c>
      <c r="AQ557" s="13">
        <f t="shared" si="340"/>
        <v>1</v>
      </c>
      <c r="AR557" s="13">
        <f t="shared" si="340"/>
        <v>0</v>
      </c>
      <c r="AS557" s="13">
        <f t="shared" si="340"/>
        <v>0</v>
      </c>
      <c r="AT557" s="13">
        <f t="shared" si="340"/>
        <v>0</v>
      </c>
      <c r="AU557" s="13">
        <f t="shared" si="340"/>
        <v>1</v>
      </c>
      <c r="AV557" s="13">
        <f t="shared" si="319"/>
        <v>0</v>
      </c>
      <c r="AW557" s="13">
        <f t="shared" si="320"/>
        <v>1</v>
      </c>
      <c r="AY557" s="17">
        <f t="shared" si="321"/>
        <v>467</v>
      </c>
      <c r="AZ557" s="28">
        <f t="shared" si="329"/>
        <v>0</v>
      </c>
      <c r="BA557" s="13">
        <f t="shared" si="322"/>
        <v>0</v>
      </c>
      <c r="BB557" s="13">
        <f t="shared" si="323"/>
        <v>0</v>
      </c>
      <c r="BC557" s="28">
        <f t="shared" si="330"/>
        <v>0</v>
      </c>
      <c r="BD557" s="28">
        <f t="shared" si="331"/>
        <v>0</v>
      </c>
      <c r="BF557" s="248">
        <f t="shared" si="332"/>
        <v>993869.29442638322</v>
      </c>
    </row>
    <row r="558" spans="1:58">
      <c r="A558" s="32">
        <f t="shared" si="333"/>
        <v>-383</v>
      </c>
      <c r="B558" s="32">
        <f t="shared" si="324"/>
        <v>91</v>
      </c>
      <c r="C558" s="32">
        <f t="shared" si="334"/>
        <v>39</v>
      </c>
      <c r="D558" s="32">
        <f t="shared" si="335"/>
        <v>468</v>
      </c>
      <c r="E558" s="74">
        <f>MIN(IF(AV558=0,0,
IF(Investment_Strategy="DIS",VLOOKUP(Investment_Strategy&amp;"_"&amp;Investment_Strategy_Sub1&amp;"_"&amp;$A558,'Investment Strategies'!$AZ:$BP,12,FALSE),
IF(AND(Investment_Strategy="Lifecycle",Investment_Strategy_Sub1="Non-Standard"),VLOOKUP(Investment_Strategy&amp;"_"&amp;Investment_Strategy_Sub2&amp;"_"&amp;$A558,'Investment Strategies'!$C:$P,9,FALSE),
IF(AND(Investment_Strategy="Lifecycle",Investment_Strategy_Sub1="Standard"),VLOOKUP(Investment_Strategy&amp;"_"&amp;Investment_Strategy_Sub2&amp;"_"&amp;$A558,'Investment Strategies'!$AJ:$AV,8,FALSE),
IF(AND(Investment_Strategy="Autopilot",Investment_Strategy_Sub1="Non-Standard"),VLOOKUP(Investment_Strategy&amp;"_"&amp;Investment_Strategy_Sub2&amp;"_"&amp;$A558,'Investment Strategies'!$T:$AF,8,FALSE),
IF(Investment_Strategy ="DIY",DIY_RateOfReturn_CurrentFunds,
"Error")))))),Max_InvReturn)</f>
        <v>0</v>
      </c>
      <c r="F558" s="62">
        <f>IF(AV558=0,0,
IF(Investment_Strategy="DIS",VLOOKUP(Investment_Strategy&amp;"_"&amp;Investment_Strategy_Sub1&amp;"_"&amp;$A558,'Investment Strategies'!$AZ:$BP,15,FALSE),
IF(AND(Investment_Strategy="Lifecycle",Investment_Strategy_Sub1="Non-Standard"),VLOOKUP(Investment_Strategy&amp;"_"&amp;Investment_Strategy_Sub2&amp;"_"&amp;$A558,'Investment Strategies'!$C:$P,12,FALSE),
IF(AND(Investment_Strategy="Lifecycle",Investment_Strategy_Sub1="Standard"),VLOOKUP(Investment_Strategy&amp;"_"&amp;Investment_Strategy_Sub2&amp;"_"&amp;$A558,'Investment Strategies'!$AJ:$AV,11,FALSE),
IF(AND(Investment_Strategy="Autopilot",Investment_Strategy_Sub1="Non-Standard"),VLOOKUP(Investment_Strategy&amp;"_"&amp;Investment_Strategy_Sub2&amp;"_"&amp;$A558,'Investment Strategies'!$T:$AF,11,FALSE),
IF(Investment_Strategy="DIY",DIY_GteeChrge_CurrentFunds,
"Error"))))))</f>
        <v>0</v>
      </c>
      <c r="G558" s="33">
        <f>IF(AV558=0,0,
IF(Investment_Strategy="DIS",VLOOKUP(Investment_Strategy&amp;"_"&amp;Investment_Strategy_Sub1&amp;"_"&amp;$A558,'Investment Strategies'!$AZ:$BP,17,FALSE),
IF(AND(Investment_Strategy="Lifecycle",Investment_Strategy_Sub1="Non-Standard"),VLOOKUP(Investment_Strategy&amp;"_"&amp;Investment_Strategy_Sub2&amp;"_"&amp;$A558,'Investment Strategies'!$C:$P,14,FALSE),
IF(AND(Investment_Strategy="Lifecycle",Investment_Strategy_Sub1="Standard"),VLOOKUP(Investment_Strategy&amp;"_"&amp;Investment_Strategy_Sub2&amp;"_"&amp;$A558,'Investment Strategies'!$AJ:$AV,13,FALSE),
IF(AND(Investment_Strategy="Autopilot",Investment_Strategy_Sub1="Non-Standard"),VLOOKUP(Investment_Strategy&amp;"_"&amp;Investment_Strategy_Sub2&amp;"_"&amp;$A558,'Investment Strategies'!$T:$AF,13,FALSE),
IF(Investment_Strategy="DIY",DIY_ExtManChrge_CurrentFunds,
"Error"))))))</f>
        <v>0</v>
      </c>
      <c r="H558" s="16">
        <f t="shared" si="325"/>
        <v>0</v>
      </c>
      <c r="I558" s="16">
        <f t="shared" si="311"/>
        <v>0</v>
      </c>
      <c r="J558" s="16">
        <f t="shared" si="312"/>
        <v>0</v>
      </c>
      <c r="K558" s="16">
        <f>(Opening_Fund_Value+SUM(K$91:K557))*E558*IF(D558=$A$91,SRP_finalmonthfactor,1)</f>
        <v>0</v>
      </c>
      <c r="L558" s="74">
        <f>MIN(IF($AV558=0,0,
IF(Investment_Strategy="DIS",VLOOKUP(Investment_Strategy&amp;"_"&amp;Investment_Strategy_Sub1&amp;"_"&amp;$A558,'Investment Strategies'!$AZ:$BP,12,FALSE),
IF(AND(Investment_Strategy="Lifecycle",Investment_Strategy_Sub1="Non-Standard"),VLOOKUP(Investment_Strategy&amp;"_"&amp;Investment_Strategy_Sub2&amp;"_"&amp;$A558,'Investment Strategies'!$C:$P,9,FALSE),
IF(AND(Investment_Strategy="Lifecycle",Investment_Strategy_Sub1="Standard"),VLOOKUP(Investment_Strategy&amp;"_"&amp;Investment_Strategy_Sub2&amp;"_"&amp;$A558,'Investment Strategies'!$AJ:$AV,8,FALSE),
IF(AND(Investment_Strategy="Autopilot",Investment_Strategy_Sub1="Non-Standard"),VLOOKUP(Investment_Strategy&amp;"_"&amp;Investment_Strategy_Sub2&amp;"_"&amp;$A558,'Investment Strategies'!$T:$AF,8,FALSE),
IF(Investment_Strategy ="DIY",DIY_RateofReturn_SP,
"Error")))))),Max_InvReturn)</f>
        <v>0</v>
      </c>
      <c r="M558" s="62">
        <f>IF($AV558=0,0,
IF(Investment_Strategy="DIS",VLOOKUP(Investment_Strategy&amp;"_"&amp;Investment_Strategy_Sub1&amp;"_"&amp;$A558,'Investment Strategies'!$AZ:$BP,15,FALSE),
IF(AND(Investment_Strategy="Lifecycle",Investment_Strategy_Sub1="Non-Standard"),VLOOKUP(Investment_Strategy&amp;"_"&amp;Investment_Strategy_Sub2&amp;"_"&amp;$A558,'Investment Strategies'!$C:$P,12,FALSE),
IF(AND(Investment_Strategy="Lifecycle",Investment_Strategy_Sub1="Standard"),VLOOKUP(Investment_Strategy&amp;"_"&amp;Investment_Strategy_Sub2&amp;"_"&amp;$A558,'Investment Strategies'!$AJ:$AV,11,FALSE),
IF(AND(Investment_Strategy="Autopilot",Investment_Strategy_Sub1="Non-Standard"),VLOOKUP(Investment_Strategy&amp;"_"&amp;Investment_Strategy_Sub2&amp;"_"&amp;$A558,'Investment Strategies'!$T:$AF,11,FALSE),
IF(Investment_Strategy="DIY",DIY_GteeChrge_SP,
"Error"))))))</f>
        <v>0</v>
      </c>
      <c r="N558" s="33">
        <f>IF($AV558=0,0,
IF(Investment_Strategy="DIS",VLOOKUP(Investment_Strategy&amp;"_"&amp;Investment_Strategy_Sub1&amp;"_"&amp;$A558,'Investment Strategies'!$AZ:$BP,17,FALSE),
IF(AND(Investment_Strategy="Lifecycle",Investment_Strategy_Sub1="Non-Standard"),VLOOKUP(Investment_Strategy&amp;"_"&amp;Investment_Strategy_Sub2&amp;"_"&amp;$A558,'Investment Strategies'!$C:$P,14,FALSE),
IF(AND(Investment_Strategy="Lifecycle",Investment_Strategy_Sub1="Standard"),VLOOKUP(Investment_Strategy&amp;"_"&amp;Investment_Strategy_Sub2&amp;"_"&amp;$A558,'Investment Strategies'!$AJ:$AV,13,FALSE),
IF(AND(Investment_Strategy="Autopilot",Investment_Strategy_Sub1="Non-Standard"),VLOOKUP(Investment_Strategy&amp;"_"&amp;Investment_Strategy_Sub2&amp;"_"&amp;$A558,'Investment Strategies'!$T:$AF,13,FALSE),
IF(Investment_Strategy="DIY",DIY_ExtManChrge_SP,
"Error"))))))</f>
        <v>0</v>
      </c>
      <c r="O558" s="16">
        <f t="shared" si="336"/>
        <v>0</v>
      </c>
      <c r="Q558" s="16">
        <f t="shared" si="313"/>
        <v>0</v>
      </c>
      <c r="R558" s="16">
        <f t="shared" si="310"/>
        <v>0</v>
      </c>
      <c r="S558" s="16">
        <f>(SRP_SP+SUM(S$91:S557))*L558*IF(D558=$A$91,SRP_finalmonthfactor,1)</f>
        <v>0</v>
      </c>
      <c r="T558" s="74">
        <f>MIN(IF($AV558=0,0,
IF(Investment_Strategy="DIS",VLOOKUP(Investment_Strategy&amp;"_"&amp;Investment_Strategy_Sub1&amp;"_"&amp;$A558,'Investment Strategies'!$AZ:$BP,12,FALSE),
IF(AND(Investment_Strategy="Lifecycle",Investment_Strategy_Sub1="Non-Standard"),VLOOKUP(Investment_Strategy&amp;"_"&amp;Investment_Strategy_Sub2&amp;"_"&amp;$A558,'Investment Strategies'!$C:$P,9,FALSE),
IF(AND(Investment_Strategy="Lifecycle",Investment_Strategy_Sub1="Standard"),VLOOKUP(Investment_Strategy&amp;"_"&amp;Investment_Strategy_Sub2&amp;"_"&amp;$A558,'Investment Strategies'!$AJ:$AV,8,FALSE),
IF(AND(Investment_Strategy="Autopilot",Investment_Strategy_Sub1="Non-Standard"),VLOOKUP(Investment_Strategy&amp;"_"&amp;Investment_Strategy_Sub2&amp;"_"&amp;$A558,'Investment Strategies'!$T:$AF,8,FALSE),
IF(Investment_Strategy ="DIY",DIY_RateOfReturn_FuturePremiums,
"Error")))))),Max_InvReturn)</f>
        <v>0</v>
      </c>
      <c r="U558" s="62">
        <f>IF($AV558=0,0,
IF(Investment_Strategy="DIS",VLOOKUP(Investment_Strategy&amp;"_"&amp;Investment_Strategy_Sub1&amp;"_"&amp;$A558,'Investment Strategies'!$AZ:$BP,15,FALSE),
IF(AND(Investment_Strategy="Lifecycle",Investment_Strategy_Sub1="Non-Standard"),VLOOKUP(Investment_Strategy&amp;"_"&amp;Investment_Strategy_Sub2&amp;"_"&amp;$A558,'Investment Strategies'!$C:$P,12,FALSE),
IF(AND(Investment_Strategy="Lifecycle",Investment_Strategy_Sub1="Standard"),VLOOKUP(Investment_Strategy&amp;"_"&amp;Investment_Strategy_Sub2&amp;"_"&amp;$A558,'Investment Strategies'!$AJ:$AV,11,FALSE),
IF(AND(Investment_Strategy="Autopilot",Investment_Strategy_Sub1="Non-Standard"),VLOOKUP(Investment_Strategy&amp;"_"&amp;Investment_Strategy_Sub2&amp;"_"&amp;$A558,'Investment Strategies'!$T:$AF,11,FALSE),
IF(Investment_Strategy="DIY",DIY_GteeChrge_FuturePremiums,
"Error"))))))</f>
        <v>0</v>
      </c>
      <c r="V558" s="33">
        <f>IF(AV558=0,0,
IF(Investment_Strategy="DIS",VLOOKUP(Investment_Strategy&amp;"_"&amp;Investment_Strategy_Sub1&amp;"_"&amp;$A558,'Investment Strategies'!$AZ:$BP,17,FALSE),
IF(AND(Investment_Strategy="Lifecycle",Investment_Strategy_Sub1="Non-Standard"),VLOOKUP(Investment_Strategy&amp;"_"&amp;Investment_Strategy_Sub2&amp;"_"&amp;$A558,'Investment Strategies'!$C:$P,14,FALSE),
IF(AND(Investment_Strategy="Lifecycle",Investment_Strategy_Sub1="Standard"),VLOOKUP(Investment_Strategy&amp;"_"&amp;Investment_Strategy_Sub2&amp;"_"&amp;$A558,'Investment Strategies'!$AJ:$AV,13,FALSE),
IF(AND(Investment_Strategy="Autopilot",Investment_Strategy_Sub1="Non-Standard"),VLOOKUP(Investment_Strategy&amp;"_"&amp;Investment_Strategy_Sub2&amp;"_"&amp;$A558,'Investment Strategies'!$T:$AF,13,FALSE),
IF(Investment_Strategy="DIY",DIY_ExtManChrge_FuturePremiums,
"Error"))))))</f>
        <v>0</v>
      </c>
      <c r="W558" s="16">
        <f t="shared" si="337"/>
        <v>0</v>
      </c>
      <c r="X558" s="16">
        <f t="shared" si="314"/>
        <v>0</v>
      </c>
      <c r="Y558" s="16">
        <f t="shared" si="315"/>
        <v>0</v>
      </c>
      <c r="Z558" s="31">
        <f t="shared" si="316"/>
        <v>0.02</v>
      </c>
      <c r="AA558" s="16">
        <f t="shared" si="317"/>
        <v>0</v>
      </c>
      <c r="AB558" s="28">
        <f t="shared" si="339"/>
        <v>0</v>
      </c>
      <c r="AC558" s="28">
        <f>(SUM($AC$91:AC557)+SUM($X$91:X557)+X558)*T558*IF(D558=$A$91,SRP_finalmonthfactor,1)</f>
        <v>0</v>
      </c>
      <c r="AD558" s="16">
        <f t="shared" si="318"/>
        <v>0</v>
      </c>
      <c r="AE558" s="106"/>
      <c r="AF558" s="16">
        <f t="shared" si="326"/>
        <v>0</v>
      </c>
      <c r="AG558" s="16">
        <f t="shared" si="327"/>
        <v>0</v>
      </c>
      <c r="AH558" s="16">
        <f t="shared" si="328"/>
        <v>0</v>
      </c>
      <c r="AJ558" s="13">
        <f t="shared" si="340"/>
        <v>0</v>
      </c>
      <c r="AK558" s="13">
        <f t="shared" si="340"/>
        <v>0</v>
      </c>
      <c r="AL558" s="13">
        <f t="shared" si="340"/>
        <v>0</v>
      </c>
      <c r="AM558" s="13">
        <f t="shared" si="340"/>
        <v>0</v>
      </c>
      <c r="AN558" s="13">
        <f t="shared" si="340"/>
        <v>0</v>
      </c>
      <c r="AO558" s="13">
        <f t="shared" si="340"/>
        <v>1</v>
      </c>
      <c r="AP558" s="13">
        <f t="shared" si="340"/>
        <v>1</v>
      </c>
      <c r="AQ558" s="13">
        <f t="shared" si="340"/>
        <v>1</v>
      </c>
      <c r="AR558" s="13">
        <f t="shared" si="340"/>
        <v>0</v>
      </c>
      <c r="AS558" s="13">
        <f t="shared" si="340"/>
        <v>0</v>
      </c>
      <c r="AT558" s="13">
        <f t="shared" si="340"/>
        <v>0</v>
      </c>
      <c r="AU558" s="13">
        <f t="shared" si="340"/>
        <v>1</v>
      </c>
      <c r="AV558" s="13">
        <f t="shared" si="319"/>
        <v>0</v>
      </c>
      <c r="AW558" s="13">
        <f t="shared" si="320"/>
        <v>1</v>
      </c>
      <c r="AY558" s="17">
        <f t="shared" si="321"/>
        <v>468</v>
      </c>
      <c r="AZ558" s="28">
        <f t="shared" si="329"/>
        <v>0</v>
      </c>
      <c r="BA558" s="13">
        <f t="shared" si="322"/>
        <v>0</v>
      </c>
      <c r="BB558" s="13">
        <f t="shared" si="323"/>
        <v>0</v>
      </c>
      <c r="BC558" s="28">
        <f t="shared" si="330"/>
        <v>0</v>
      </c>
      <c r="BD558" s="28">
        <f t="shared" si="331"/>
        <v>0</v>
      </c>
      <c r="BF558" s="248">
        <f t="shared" si="332"/>
        <v>993869.29442638322</v>
      </c>
    </row>
    <row r="559" spans="1:58">
      <c r="A559" s="32">
        <f t="shared" si="333"/>
        <v>-384</v>
      </c>
      <c r="B559" s="32">
        <f t="shared" si="324"/>
        <v>92</v>
      </c>
      <c r="C559" s="32">
        <f t="shared" si="334"/>
        <v>40</v>
      </c>
      <c r="D559" s="32">
        <f t="shared" si="335"/>
        <v>469</v>
      </c>
      <c r="E559" s="74">
        <f>MIN(IF(AV559=0,0,
IF(Investment_Strategy="DIS",VLOOKUP(Investment_Strategy&amp;"_"&amp;Investment_Strategy_Sub1&amp;"_"&amp;$A559,'Investment Strategies'!$AZ:$BP,12,FALSE),
IF(AND(Investment_Strategy="Lifecycle",Investment_Strategy_Sub1="Non-Standard"),VLOOKUP(Investment_Strategy&amp;"_"&amp;Investment_Strategy_Sub2&amp;"_"&amp;$A559,'Investment Strategies'!$C:$P,9,FALSE),
IF(AND(Investment_Strategy="Lifecycle",Investment_Strategy_Sub1="Standard"),VLOOKUP(Investment_Strategy&amp;"_"&amp;Investment_Strategy_Sub2&amp;"_"&amp;$A559,'Investment Strategies'!$AJ:$AV,8,FALSE),
IF(AND(Investment_Strategy="Autopilot",Investment_Strategy_Sub1="Non-Standard"),VLOOKUP(Investment_Strategy&amp;"_"&amp;Investment_Strategy_Sub2&amp;"_"&amp;$A559,'Investment Strategies'!$T:$AF,8,FALSE),
IF(Investment_Strategy ="DIY",DIY_RateOfReturn_CurrentFunds,
"Error")))))),Max_InvReturn)</f>
        <v>0</v>
      </c>
      <c r="F559" s="62">
        <f>IF(AV559=0,0,
IF(Investment_Strategy="DIS",VLOOKUP(Investment_Strategy&amp;"_"&amp;Investment_Strategy_Sub1&amp;"_"&amp;$A559,'Investment Strategies'!$AZ:$BP,15,FALSE),
IF(AND(Investment_Strategy="Lifecycle",Investment_Strategy_Sub1="Non-Standard"),VLOOKUP(Investment_Strategy&amp;"_"&amp;Investment_Strategy_Sub2&amp;"_"&amp;$A559,'Investment Strategies'!$C:$P,12,FALSE),
IF(AND(Investment_Strategy="Lifecycle",Investment_Strategy_Sub1="Standard"),VLOOKUP(Investment_Strategy&amp;"_"&amp;Investment_Strategy_Sub2&amp;"_"&amp;$A559,'Investment Strategies'!$AJ:$AV,11,FALSE),
IF(AND(Investment_Strategy="Autopilot",Investment_Strategy_Sub1="Non-Standard"),VLOOKUP(Investment_Strategy&amp;"_"&amp;Investment_Strategy_Sub2&amp;"_"&amp;$A559,'Investment Strategies'!$T:$AF,11,FALSE),
IF(Investment_Strategy="DIY",DIY_GteeChrge_CurrentFunds,
"Error"))))))</f>
        <v>0</v>
      </c>
      <c r="G559" s="33">
        <f>IF(AV559=0,0,
IF(Investment_Strategy="DIS",VLOOKUP(Investment_Strategy&amp;"_"&amp;Investment_Strategy_Sub1&amp;"_"&amp;$A559,'Investment Strategies'!$AZ:$BP,17,FALSE),
IF(AND(Investment_Strategy="Lifecycle",Investment_Strategy_Sub1="Non-Standard"),VLOOKUP(Investment_Strategy&amp;"_"&amp;Investment_Strategy_Sub2&amp;"_"&amp;$A559,'Investment Strategies'!$C:$P,14,FALSE),
IF(AND(Investment_Strategy="Lifecycle",Investment_Strategy_Sub1="Standard"),VLOOKUP(Investment_Strategy&amp;"_"&amp;Investment_Strategy_Sub2&amp;"_"&amp;$A559,'Investment Strategies'!$AJ:$AV,13,FALSE),
IF(AND(Investment_Strategy="Autopilot",Investment_Strategy_Sub1="Non-Standard"),VLOOKUP(Investment_Strategy&amp;"_"&amp;Investment_Strategy_Sub2&amp;"_"&amp;$A559,'Investment Strategies'!$T:$AF,13,FALSE),
IF(Investment_Strategy="DIY",DIY_ExtManChrge_CurrentFunds,
"Error"))))))</f>
        <v>0</v>
      </c>
      <c r="H559" s="16">
        <f t="shared" si="325"/>
        <v>0</v>
      </c>
      <c r="I559" s="16">
        <f t="shared" si="311"/>
        <v>0</v>
      </c>
      <c r="J559" s="16">
        <f t="shared" si="312"/>
        <v>0</v>
      </c>
      <c r="K559" s="16">
        <f>(Opening_Fund_Value+SUM(K$91:K558))*E559*IF(D559=$A$91,SRP_finalmonthfactor,1)</f>
        <v>0</v>
      </c>
      <c r="L559" s="74">
        <f>MIN(IF($AV559=0,0,
IF(Investment_Strategy="DIS",VLOOKUP(Investment_Strategy&amp;"_"&amp;Investment_Strategy_Sub1&amp;"_"&amp;$A559,'Investment Strategies'!$AZ:$BP,12,FALSE),
IF(AND(Investment_Strategy="Lifecycle",Investment_Strategy_Sub1="Non-Standard"),VLOOKUP(Investment_Strategy&amp;"_"&amp;Investment_Strategy_Sub2&amp;"_"&amp;$A559,'Investment Strategies'!$C:$P,9,FALSE),
IF(AND(Investment_Strategy="Lifecycle",Investment_Strategy_Sub1="Standard"),VLOOKUP(Investment_Strategy&amp;"_"&amp;Investment_Strategy_Sub2&amp;"_"&amp;$A559,'Investment Strategies'!$AJ:$AV,8,FALSE),
IF(AND(Investment_Strategy="Autopilot",Investment_Strategy_Sub1="Non-Standard"),VLOOKUP(Investment_Strategy&amp;"_"&amp;Investment_Strategy_Sub2&amp;"_"&amp;$A559,'Investment Strategies'!$T:$AF,8,FALSE),
IF(Investment_Strategy ="DIY",DIY_RateofReturn_SP,
"Error")))))),Max_InvReturn)</f>
        <v>0</v>
      </c>
      <c r="M559" s="62">
        <f>IF($AV559=0,0,
IF(Investment_Strategy="DIS",VLOOKUP(Investment_Strategy&amp;"_"&amp;Investment_Strategy_Sub1&amp;"_"&amp;$A559,'Investment Strategies'!$AZ:$BP,15,FALSE),
IF(AND(Investment_Strategy="Lifecycle",Investment_Strategy_Sub1="Non-Standard"),VLOOKUP(Investment_Strategy&amp;"_"&amp;Investment_Strategy_Sub2&amp;"_"&amp;$A559,'Investment Strategies'!$C:$P,12,FALSE),
IF(AND(Investment_Strategy="Lifecycle",Investment_Strategy_Sub1="Standard"),VLOOKUP(Investment_Strategy&amp;"_"&amp;Investment_Strategy_Sub2&amp;"_"&amp;$A559,'Investment Strategies'!$AJ:$AV,11,FALSE),
IF(AND(Investment_Strategy="Autopilot",Investment_Strategy_Sub1="Non-Standard"),VLOOKUP(Investment_Strategy&amp;"_"&amp;Investment_Strategy_Sub2&amp;"_"&amp;$A559,'Investment Strategies'!$T:$AF,11,FALSE),
IF(Investment_Strategy="DIY",DIY_GteeChrge_SP,
"Error"))))))</f>
        <v>0</v>
      </c>
      <c r="N559" s="33">
        <f>IF($AV559=0,0,
IF(Investment_Strategy="DIS",VLOOKUP(Investment_Strategy&amp;"_"&amp;Investment_Strategy_Sub1&amp;"_"&amp;$A559,'Investment Strategies'!$AZ:$BP,17,FALSE),
IF(AND(Investment_Strategy="Lifecycle",Investment_Strategy_Sub1="Non-Standard"),VLOOKUP(Investment_Strategy&amp;"_"&amp;Investment_Strategy_Sub2&amp;"_"&amp;$A559,'Investment Strategies'!$C:$P,14,FALSE),
IF(AND(Investment_Strategy="Lifecycle",Investment_Strategy_Sub1="Standard"),VLOOKUP(Investment_Strategy&amp;"_"&amp;Investment_Strategy_Sub2&amp;"_"&amp;$A559,'Investment Strategies'!$AJ:$AV,13,FALSE),
IF(AND(Investment_Strategy="Autopilot",Investment_Strategy_Sub1="Non-Standard"),VLOOKUP(Investment_Strategy&amp;"_"&amp;Investment_Strategy_Sub2&amp;"_"&amp;$A559,'Investment Strategies'!$T:$AF,13,FALSE),
IF(Investment_Strategy="DIY",DIY_ExtManChrge_SP,
"Error"))))))</f>
        <v>0</v>
      </c>
      <c r="O559" s="16">
        <f t="shared" si="336"/>
        <v>0</v>
      </c>
      <c r="Q559" s="16">
        <f t="shared" si="313"/>
        <v>0</v>
      </c>
      <c r="R559" s="16">
        <f t="shared" si="310"/>
        <v>0</v>
      </c>
      <c r="S559" s="16">
        <f>(SRP_SP+SUM(S$91:S558))*L559*IF(D559=$A$91,SRP_finalmonthfactor,1)</f>
        <v>0</v>
      </c>
      <c r="T559" s="74">
        <f>MIN(IF($AV559=0,0,
IF(Investment_Strategy="DIS",VLOOKUP(Investment_Strategy&amp;"_"&amp;Investment_Strategy_Sub1&amp;"_"&amp;$A559,'Investment Strategies'!$AZ:$BP,12,FALSE),
IF(AND(Investment_Strategy="Lifecycle",Investment_Strategy_Sub1="Non-Standard"),VLOOKUP(Investment_Strategy&amp;"_"&amp;Investment_Strategy_Sub2&amp;"_"&amp;$A559,'Investment Strategies'!$C:$P,9,FALSE),
IF(AND(Investment_Strategy="Lifecycle",Investment_Strategy_Sub1="Standard"),VLOOKUP(Investment_Strategy&amp;"_"&amp;Investment_Strategy_Sub2&amp;"_"&amp;$A559,'Investment Strategies'!$AJ:$AV,8,FALSE),
IF(AND(Investment_Strategy="Autopilot",Investment_Strategy_Sub1="Non-Standard"),VLOOKUP(Investment_Strategy&amp;"_"&amp;Investment_Strategy_Sub2&amp;"_"&amp;$A559,'Investment Strategies'!$T:$AF,8,FALSE),
IF(Investment_Strategy ="DIY",DIY_RateOfReturn_FuturePremiums,
"Error")))))),Max_InvReturn)</f>
        <v>0</v>
      </c>
      <c r="U559" s="62">
        <f>IF($AV559=0,0,
IF(Investment_Strategy="DIS",VLOOKUP(Investment_Strategy&amp;"_"&amp;Investment_Strategy_Sub1&amp;"_"&amp;$A559,'Investment Strategies'!$AZ:$BP,15,FALSE),
IF(AND(Investment_Strategy="Lifecycle",Investment_Strategy_Sub1="Non-Standard"),VLOOKUP(Investment_Strategy&amp;"_"&amp;Investment_Strategy_Sub2&amp;"_"&amp;$A559,'Investment Strategies'!$C:$P,12,FALSE),
IF(AND(Investment_Strategy="Lifecycle",Investment_Strategy_Sub1="Standard"),VLOOKUP(Investment_Strategy&amp;"_"&amp;Investment_Strategy_Sub2&amp;"_"&amp;$A559,'Investment Strategies'!$AJ:$AV,11,FALSE),
IF(AND(Investment_Strategy="Autopilot",Investment_Strategy_Sub1="Non-Standard"),VLOOKUP(Investment_Strategy&amp;"_"&amp;Investment_Strategy_Sub2&amp;"_"&amp;$A559,'Investment Strategies'!$T:$AF,11,FALSE),
IF(Investment_Strategy="DIY",DIY_GteeChrge_FuturePremiums,
"Error"))))))</f>
        <v>0</v>
      </c>
      <c r="V559" s="33">
        <f>IF(AV559=0,0,
IF(Investment_Strategy="DIS",VLOOKUP(Investment_Strategy&amp;"_"&amp;Investment_Strategy_Sub1&amp;"_"&amp;$A559,'Investment Strategies'!$AZ:$BP,17,FALSE),
IF(AND(Investment_Strategy="Lifecycle",Investment_Strategy_Sub1="Non-Standard"),VLOOKUP(Investment_Strategy&amp;"_"&amp;Investment_Strategy_Sub2&amp;"_"&amp;$A559,'Investment Strategies'!$C:$P,14,FALSE),
IF(AND(Investment_Strategy="Lifecycle",Investment_Strategy_Sub1="Standard"),VLOOKUP(Investment_Strategy&amp;"_"&amp;Investment_Strategy_Sub2&amp;"_"&amp;$A559,'Investment Strategies'!$AJ:$AV,13,FALSE),
IF(AND(Investment_Strategy="Autopilot",Investment_Strategy_Sub1="Non-Standard"),VLOOKUP(Investment_Strategy&amp;"_"&amp;Investment_Strategy_Sub2&amp;"_"&amp;$A559,'Investment Strategies'!$T:$AF,13,FALSE),
IF(Investment_Strategy="DIY",DIY_ExtManChrge_FuturePremiums,
"Error"))))))</f>
        <v>0</v>
      </c>
      <c r="W559" s="16">
        <f t="shared" si="337"/>
        <v>0</v>
      </c>
      <c r="X559" s="16">
        <f t="shared" si="314"/>
        <v>0</v>
      </c>
      <c r="Y559" s="16">
        <f t="shared" si="315"/>
        <v>0</v>
      </c>
      <c r="Z559" s="31">
        <f t="shared" si="316"/>
        <v>0.02</v>
      </c>
      <c r="AA559" s="16">
        <f t="shared" si="317"/>
        <v>0</v>
      </c>
      <c r="AB559" s="28">
        <f t="shared" si="339"/>
        <v>0</v>
      </c>
      <c r="AC559" s="28">
        <f>(SUM($AC$91:AC558)+SUM($X$91:X558)+X559)*T559*IF(D559=$A$91,SRP_finalmonthfactor,1)</f>
        <v>0</v>
      </c>
      <c r="AD559" s="16">
        <f t="shared" si="318"/>
        <v>0</v>
      </c>
      <c r="AE559" s="106"/>
      <c r="AF559" s="16">
        <f t="shared" si="326"/>
        <v>0</v>
      </c>
      <c r="AG559" s="16">
        <f t="shared" si="327"/>
        <v>0</v>
      </c>
      <c r="AH559" s="16">
        <f t="shared" si="328"/>
        <v>0</v>
      </c>
      <c r="AJ559" s="13">
        <f t="shared" si="340"/>
        <v>0</v>
      </c>
      <c r="AK559" s="13">
        <f t="shared" si="340"/>
        <v>0</v>
      </c>
      <c r="AL559" s="13">
        <f t="shared" si="340"/>
        <v>0</v>
      </c>
      <c r="AM559" s="13">
        <f t="shared" si="340"/>
        <v>0</v>
      </c>
      <c r="AN559" s="13">
        <f t="shared" si="340"/>
        <v>0</v>
      </c>
      <c r="AO559" s="13">
        <f t="shared" si="340"/>
        <v>1</v>
      </c>
      <c r="AP559" s="13">
        <f t="shared" si="340"/>
        <v>1</v>
      </c>
      <c r="AQ559" s="13">
        <f t="shared" si="340"/>
        <v>1</v>
      </c>
      <c r="AR559" s="13">
        <f t="shared" si="340"/>
        <v>0</v>
      </c>
      <c r="AS559" s="13">
        <f t="shared" si="340"/>
        <v>0</v>
      </c>
      <c r="AT559" s="13">
        <f t="shared" si="340"/>
        <v>0</v>
      </c>
      <c r="AU559" s="13">
        <f t="shared" si="340"/>
        <v>1</v>
      </c>
      <c r="AV559" s="13">
        <f t="shared" si="319"/>
        <v>0</v>
      </c>
      <c r="AW559" s="13">
        <f t="shared" si="320"/>
        <v>1</v>
      </c>
      <c r="AY559" s="17">
        <f t="shared" si="321"/>
        <v>469</v>
      </c>
      <c r="AZ559" s="28">
        <f t="shared" si="329"/>
        <v>0</v>
      </c>
      <c r="BA559" s="13">
        <f t="shared" si="322"/>
        <v>0</v>
      </c>
      <c r="BB559" s="13">
        <f t="shared" si="323"/>
        <v>0</v>
      </c>
      <c r="BC559" s="28">
        <f t="shared" si="330"/>
        <v>0</v>
      </c>
      <c r="BD559" s="28">
        <f t="shared" si="331"/>
        <v>0</v>
      </c>
      <c r="BF559" s="248">
        <f t="shared" si="332"/>
        <v>993869.29442638322</v>
      </c>
    </row>
    <row r="560" spans="1:58">
      <c r="A560" s="32">
        <f t="shared" si="333"/>
        <v>-385</v>
      </c>
      <c r="B560" s="32">
        <f t="shared" si="324"/>
        <v>92</v>
      </c>
      <c r="C560" s="32">
        <f t="shared" si="334"/>
        <v>40</v>
      </c>
      <c r="D560" s="32">
        <f t="shared" si="335"/>
        <v>470</v>
      </c>
      <c r="E560" s="74">
        <f>MIN(IF(AV560=0,0,
IF(Investment_Strategy="DIS",VLOOKUP(Investment_Strategy&amp;"_"&amp;Investment_Strategy_Sub1&amp;"_"&amp;$A560,'Investment Strategies'!$AZ:$BP,12,FALSE),
IF(AND(Investment_Strategy="Lifecycle",Investment_Strategy_Sub1="Non-Standard"),VLOOKUP(Investment_Strategy&amp;"_"&amp;Investment_Strategy_Sub2&amp;"_"&amp;$A560,'Investment Strategies'!$C:$P,9,FALSE),
IF(AND(Investment_Strategy="Lifecycle",Investment_Strategy_Sub1="Standard"),VLOOKUP(Investment_Strategy&amp;"_"&amp;Investment_Strategy_Sub2&amp;"_"&amp;$A560,'Investment Strategies'!$AJ:$AV,8,FALSE),
IF(AND(Investment_Strategy="Autopilot",Investment_Strategy_Sub1="Non-Standard"),VLOOKUP(Investment_Strategy&amp;"_"&amp;Investment_Strategy_Sub2&amp;"_"&amp;$A560,'Investment Strategies'!$T:$AF,8,FALSE),
IF(Investment_Strategy ="DIY",DIY_RateOfReturn_CurrentFunds,
"Error")))))),Max_InvReturn)</f>
        <v>0</v>
      </c>
      <c r="F560" s="62">
        <f>IF(AV560=0,0,
IF(Investment_Strategy="DIS",VLOOKUP(Investment_Strategy&amp;"_"&amp;Investment_Strategy_Sub1&amp;"_"&amp;$A560,'Investment Strategies'!$AZ:$BP,15,FALSE),
IF(AND(Investment_Strategy="Lifecycle",Investment_Strategy_Sub1="Non-Standard"),VLOOKUP(Investment_Strategy&amp;"_"&amp;Investment_Strategy_Sub2&amp;"_"&amp;$A560,'Investment Strategies'!$C:$P,12,FALSE),
IF(AND(Investment_Strategy="Lifecycle",Investment_Strategy_Sub1="Standard"),VLOOKUP(Investment_Strategy&amp;"_"&amp;Investment_Strategy_Sub2&amp;"_"&amp;$A560,'Investment Strategies'!$AJ:$AV,11,FALSE),
IF(AND(Investment_Strategy="Autopilot",Investment_Strategy_Sub1="Non-Standard"),VLOOKUP(Investment_Strategy&amp;"_"&amp;Investment_Strategy_Sub2&amp;"_"&amp;$A560,'Investment Strategies'!$T:$AF,11,FALSE),
IF(Investment_Strategy="DIY",DIY_GteeChrge_CurrentFunds,
"Error"))))))</f>
        <v>0</v>
      </c>
      <c r="G560" s="33">
        <f>IF(AV560=0,0,
IF(Investment_Strategy="DIS",VLOOKUP(Investment_Strategy&amp;"_"&amp;Investment_Strategy_Sub1&amp;"_"&amp;$A560,'Investment Strategies'!$AZ:$BP,17,FALSE),
IF(AND(Investment_Strategy="Lifecycle",Investment_Strategy_Sub1="Non-Standard"),VLOOKUP(Investment_Strategy&amp;"_"&amp;Investment_Strategy_Sub2&amp;"_"&amp;$A560,'Investment Strategies'!$C:$P,14,FALSE),
IF(AND(Investment_Strategy="Lifecycle",Investment_Strategy_Sub1="Standard"),VLOOKUP(Investment_Strategy&amp;"_"&amp;Investment_Strategy_Sub2&amp;"_"&amp;$A560,'Investment Strategies'!$AJ:$AV,13,FALSE),
IF(AND(Investment_Strategy="Autopilot",Investment_Strategy_Sub1="Non-Standard"),VLOOKUP(Investment_Strategy&amp;"_"&amp;Investment_Strategy_Sub2&amp;"_"&amp;$A560,'Investment Strategies'!$T:$AF,13,FALSE),
IF(Investment_Strategy="DIY",DIY_ExtManChrge_CurrentFunds,
"Error"))))))</f>
        <v>0</v>
      </c>
      <c r="H560" s="16">
        <f t="shared" si="325"/>
        <v>0</v>
      </c>
      <c r="I560" s="16">
        <f t="shared" si="311"/>
        <v>0</v>
      </c>
      <c r="J560" s="16">
        <f t="shared" si="312"/>
        <v>0</v>
      </c>
      <c r="K560" s="16">
        <f>(Opening_Fund_Value+SUM(K$91:K559))*E560*IF(D560=$A$91,SRP_finalmonthfactor,1)</f>
        <v>0</v>
      </c>
      <c r="L560" s="74">
        <f>MIN(IF($AV560=0,0,
IF(Investment_Strategy="DIS",VLOOKUP(Investment_Strategy&amp;"_"&amp;Investment_Strategy_Sub1&amp;"_"&amp;$A560,'Investment Strategies'!$AZ:$BP,12,FALSE),
IF(AND(Investment_Strategy="Lifecycle",Investment_Strategy_Sub1="Non-Standard"),VLOOKUP(Investment_Strategy&amp;"_"&amp;Investment_Strategy_Sub2&amp;"_"&amp;$A560,'Investment Strategies'!$C:$P,9,FALSE),
IF(AND(Investment_Strategy="Lifecycle",Investment_Strategy_Sub1="Standard"),VLOOKUP(Investment_Strategy&amp;"_"&amp;Investment_Strategy_Sub2&amp;"_"&amp;$A560,'Investment Strategies'!$AJ:$AV,8,FALSE),
IF(AND(Investment_Strategy="Autopilot",Investment_Strategy_Sub1="Non-Standard"),VLOOKUP(Investment_Strategy&amp;"_"&amp;Investment_Strategy_Sub2&amp;"_"&amp;$A560,'Investment Strategies'!$T:$AF,8,FALSE),
IF(Investment_Strategy ="DIY",DIY_RateofReturn_SP,
"Error")))))),Max_InvReturn)</f>
        <v>0</v>
      </c>
      <c r="M560" s="62">
        <f>IF($AV560=0,0,
IF(Investment_Strategy="DIS",VLOOKUP(Investment_Strategy&amp;"_"&amp;Investment_Strategy_Sub1&amp;"_"&amp;$A560,'Investment Strategies'!$AZ:$BP,15,FALSE),
IF(AND(Investment_Strategy="Lifecycle",Investment_Strategy_Sub1="Non-Standard"),VLOOKUP(Investment_Strategy&amp;"_"&amp;Investment_Strategy_Sub2&amp;"_"&amp;$A560,'Investment Strategies'!$C:$P,12,FALSE),
IF(AND(Investment_Strategy="Lifecycle",Investment_Strategy_Sub1="Standard"),VLOOKUP(Investment_Strategy&amp;"_"&amp;Investment_Strategy_Sub2&amp;"_"&amp;$A560,'Investment Strategies'!$AJ:$AV,11,FALSE),
IF(AND(Investment_Strategy="Autopilot",Investment_Strategy_Sub1="Non-Standard"),VLOOKUP(Investment_Strategy&amp;"_"&amp;Investment_Strategy_Sub2&amp;"_"&amp;$A560,'Investment Strategies'!$T:$AF,11,FALSE),
IF(Investment_Strategy="DIY",DIY_GteeChrge_SP,
"Error"))))))</f>
        <v>0</v>
      </c>
      <c r="N560" s="33">
        <f>IF($AV560=0,0,
IF(Investment_Strategy="DIS",VLOOKUP(Investment_Strategy&amp;"_"&amp;Investment_Strategy_Sub1&amp;"_"&amp;$A560,'Investment Strategies'!$AZ:$BP,17,FALSE),
IF(AND(Investment_Strategy="Lifecycle",Investment_Strategy_Sub1="Non-Standard"),VLOOKUP(Investment_Strategy&amp;"_"&amp;Investment_Strategy_Sub2&amp;"_"&amp;$A560,'Investment Strategies'!$C:$P,14,FALSE),
IF(AND(Investment_Strategy="Lifecycle",Investment_Strategy_Sub1="Standard"),VLOOKUP(Investment_Strategy&amp;"_"&amp;Investment_Strategy_Sub2&amp;"_"&amp;$A560,'Investment Strategies'!$AJ:$AV,13,FALSE),
IF(AND(Investment_Strategy="Autopilot",Investment_Strategy_Sub1="Non-Standard"),VLOOKUP(Investment_Strategy&amp;"_"&amp;Investment_Strategy_Sub2&amp;"_"&amp;$A560,'Investment Strategies'!$T:$AF,13,FALSE),
IF(Investment_Strategy="DIY",DIY_ExtManChrge_SP,
"Error"))))))</f>
        <v>0</v>
      </c>
      <c r="O560" s="16">
        <f t="shared" si="336"/>
        <v>0</v>
      </c>
      <c r="Q560" s="16">
        <f t="shared" si="313"/>
        <v>0</v>
      </c>
      <c r="R560" s="16">
        <f t="shared" si="310"/>
        <v>0</v>
      </c>
      <c r="S560" s="16">
        <f>(SRP_SP+SUM(S$91:S559))*L560*IF(D560=$A$91,SRP_finalmonthfactor,1)</f>
        <v>0</v>
      </c>
      <c r="T560" s="74">
        <f>MIN(IF($AV560=0,0,
IF(Investment_Strategy="DIS",VLOOKUP(Investment_Strategy&amp;"_"&amp;Investment_Strategy_Sub1&amp;"_"&amp;$A560,'Investment Strategies'!$AZ:$BP,12,FALSE),
IF(AND(Investment_Strategy="Lifecycle",Investment_Strategy_Sub1="Non-Standard"),VLOOKUP(Investment_Strategy&amp;"_"&amp;Investment_Strategy_Sub2&amp;"_"&amp;$A560,'Investment Strategies'!$C:$P,9,FALSE),
IF(AND(Investment_Strategy="Lifecycle",Investment_Strategy_Sub1="Standard"),VLOOKUP(Investment_Strategy&amp;"_"&amp;Investment_Strategy_Sub2&amp;"_"&amp;$A560,'Investment Strategies'!$AJ:$AV,8,FALSE),
IF(AND(Investment_Strategy="Autopilot",Investment_Strategy_Sub1="Non-Standard"),VLOOKUP(Investment_Strategy&amp;"_"&amp;Investment_Strategy_Sub2&amp;"_"&amp;$A560,'Investment Strategies'!$T:$AF,8,FALSE),
IF(Investment_Strategy ="DIY",DIY_RateOfReturn_FuturePremiums,
"Error")))))),Max_InvReturn)</f>
        <v>0</v>
      </c>
      <c r="U560" s="62">
        <f>IF($AV560=0,0,
IF(Investment_Strategy="DIS",VLOOKUP(Investment_Strategy&amp;"_"&amp;Investment_Strategy_Sub1&amp;"_"&amp;$A560,'Investment Strategies'!$AZ:$BP,15,FALSE),
IF(AND(Investment_Strategy="Lifecycle",Investment_Strategy_Sub1="Non-Standard"),VLOOKUP(Investment_Strategy&amp;"_"&amp;Investment_Strategy_Sub2&amp;"_"&amp;$A560,'Investment Strategies'!$C:$P,12,FALSE),
IF(AND(Investment_Strategy="Lifecycle",Investment_Strategy_Sub1="Standard"),VLOOKUP(Investment_Strategy&amp;"_"&amp;Investment_Strategy_Sub2&amp;"_"&amp;$A560,'Investment Strategies'!$AJ:$AV,11,FALSE),
IF(AND(Investment_Strategy="Autopilot",Investment_Strategy_Sub1="Non-Standard"),VLOOKUP(Investment_Strategy&amp;"_"&amp;Investment_Strategy_Sub2&amp;"_"&amp;$A560,'Investment Strategies'!$T:$AF,11,FALSE),
IF(Investment_Strategy="DIY",DIY_GteeChrge_FuturePremiums,
"Error"))))))</f>
        <v>0</v>
      </c>
      <c r="V560" s="33">
        <f>IF(AV560=0,0,
IF(Investment_Strategy="DIS",VLOOKUP(Investment_Strategy&amp;"_"&amp;Investment_Strategy_Sub1&amp;"_"&amp;$A560,'Investment Strategies'!$AZ:$BP,17,FALSE),
IF(AND(Investment_Strategy="Lifecycle",Investment_Strategy_Sub1="Non-Standard"),VLOOKUP(Investment_Strategy&amp;"_"&amp;Investment_Strategy_Sub2&amp;"_"&amp;$A560,'Investment Strategies'!$C:$P,14,FALSE),
IF(AND(Investment_Strategy="Lifecycle",Investment_Strategy_Sub1="Standard"),VLOOKUP(Investment_Strategy&amp;"_"&amp;Investment_Strategy_Sub2&amp;"_"&amp;$A560,'Investment Strategies'!$AJ:$AV,13,FALSE),
IF(AND(Investment_Strategy="Autopilot",Investment_Strategy_Sub1="Non-Standard"),VLOOKUP(Investment_Strategy&amp;"_"&amp;Investment_Strategy_Sub2&amp;"_"&amp;$A560,'Investment Strategies'!$T:$AF,13,FALSE),
IF(Investment_Strategy="DIY",DIY_ExtManChrge_FuturePremiums,
"Error"))))))</f>
        <v>0</v>
      </c>
      <c r="W560" s="16">
        <f t="shared" si="337"/>
        <v>0</v>
      </c>
      <c r="X560" s="16">
        <f t="shared" si="314"/>
        <v>0</v>
      </c>
      <c r="Y560" s="16">
        <f t="shared" si="315"/>
        <v>0</v>
      </c>
      <c r="Z560" s="31">
        <f t="shared" si="316"/>
        <v>0.02</v>
      </c>
      <c r="AA560" s="16">
        <f t="shared" si="317"/>
        <v>0</v>
      </c>
      <c r="AB560" s="28">
        <f t="shared" si="339"/>
        <v>0</v>
      </c>
      <c r="AC560" s="28">
        <f>(SUM($AC$91:AC559)+SUM($X$91:X559)+X560)*T560*IF(D560=$A$91,SRP_finalmonthfactor,1)</f>
        <v>0</v>
      </c>
      <c r="AD560" s="16">
        <f t="shared" si="318"/>
        <v>0</v>
      </c>
      <c r="AE560" s="106"/>
      <c r="AF560" s="16">
        <f t="shared" si="326"/>
        <v>0</v>
      </c>
      <c r="AG560" s="16">
        <f t="shared" si="327"/>
        <v>0</v>
      </c>
      <c r="AH560" s="16">
        <f t="shared" si="328"/>
        <v>0</v>
      </c>
      <c r="AJ560" s="13">
        <f t="shared" si="340"/>
        <v>0</v>
      </c>
      <c r="AK560" s="13">
        <f t="shared" si="340"/>
        <v>0</v>
      </c>
      <c r="AL560" s="13">
        <f t="shared" si="340"/>
        <v>0</v>
      </c>
      <c r="AM560" s="13">
        <f t="shared" si="340"/>
        <v>0</v>
      </c>
      <c r="AN560" s="13">
        <f t="shared" si="340"/>
        <v>0</v>
      </c>
      <c r="AO560" s="13">
        <f t="shared" si="340"/>
        <v>1</v>
      </c>
      <c r="AP560" s="13">
        <f t="shared" si="340"/>
        <v>1</v>
      </c>
      <c r="AQ560" s="13">
        <f t="shared" si="340"/>
        <v>1</v>
      </c>
      <c r="AR560" s="13">
        <f t="shared" si="340"/>
        <v>0</v>
      </c>
      <c r="AS560" s="13">
        <f t="shared" si="340"/>
        <v>0</v>
      </c>
      <c r="AT560" s="13">
        <f t="shared" si="340"/>
        <v>0</v>
      </c>
      <c r="AU560" s="13">
        <f t="shared" si="340"/>
        <v>1</v>
      </c>
      <c r="AV560" s="13">
        <f t="shared" si="319"/>
        <v>0</v>
      </c>
      <c r="AW560" s="13">
        <f t="shared" si="320"/>
        <v>1</v>
      </c>
      <c r="AY560" s="17">
        <f t="shared" si="321"/>
        <v>470</v>
      </c>
      <c r="AZ560" s="28">
        <f t="shared" si="329"/>
        <v>0</v>
      </c>
      <c r="BA560" s="13">
        <f t="shared" si="322"/>
        <v>0</v>
      </c>
      <c r="BB560" s="13">
        <f t="shared" si="323"/>
        <v>0</v>
      </c>
      <c r="BC560" s="28">
        <f t="shared" si="330"/>
        <v>0</v>
      </c>
      <c r="BD560" s="28">
        <f t="shared" si="331"/>
        <v>0</v>
      </c>
      <c r="BF560" s="248">
        <f t="shared" si="332"/>
        <v>993869.29442638322</v>
      </c>
    </row>
    <row r="561" spans="1:58">
      <c r="A561" s="32">
        <f t="shared" si="333"/>
        <v>-386</v>
      </c>
      <c r="B561" s="32">
        <f t="shared" si="324"/>
        <v>92</v>
      </c>
      <c r="C561" s="32">
        <f t="shared" si="334"/>
        <v>40</v>
      </c>
      <c r="D561" s="32">
        <f t="shared" si="335"/>
        <v>471</v>
      </c>
      <c r="E561" s="74">
        <f>MIN(IF(AV561=0,0,
IF(Investment_Strategy="DIS",VLOOKUP(Investment_Strategy&amp;"_"&amp;Investment_Strategy_Sub1&amp;"_"&amp;$A561,'Investment Strategies'!$AZ:$BP,12,FALSE),
IF(AND(Investment_Strategy="Lifecycle",Investment_Strategy_Sub1="Non-Standard"),VLOOKUP(Investment_Strategy&amp;"_"&amp;Investment_Strategy_Sub2&amp;"_"&amp;$A561,'Investment Strategies'!$C:$P,9,FALSE),
IF(AND(Investment_Strategy="Lifecycle",Investment_Strategy_Sub1="Standard"),VLOOKUP(Investment_Strategy&amp;"_"&amp;Investment_Strategy_Sub2&amp;"_"&amp;$A561,'Investment Strategies'!$AJ:$AV,8,FALSE),
IF(AND(Investment_Strategy="Autopilot",Investment_Strategy_Sub1="Non-Standard"),VLOOKUP(Investment_Strategy&amp;"_"&amp;Investment_Strategy_Sub2&amp;"_"&amp;$A561,'Investment Strategies'!$T:$AF,8,FALSE),
IF(Investment_Strategy ="DIY",DIY_RateOfReturn_CurrentFunds,
"Error")))))),Max_InvReturn)</f>
        <v>0</v>
      </c>
      <c r="F561" s="62">
        <f>IF(AV561=0,0,
IF(Investment_Strategy="DIS",VLOOKUP(Investment_Strategy&amp;"_"&amp;Investment_Strategy_Sub1&amp;"_"&amp;$A561,'Investment Strategies'!$AZ:$BP,15,FALSE),
IF(AND(Investment_Strategy="Lifecycle",Investment_Strategy_Sub1="Non-Standard"),VLOOKUP(Investment_Strategy&amp;"_"&amp;Investment_Strategy_Sub2&amp;"_"&amp;$A561,'Investment Strategies'!$C:$P,12,FALSE),
IF(AND(Investment_Strategy="Lifecycle",Investment_Strategy_Sub1="Standard"),VLOOKUP(Investment_Strategy&amp;"_"&amp;Investment_Strategy_Sub2&amp;"_"&amp;$A561,'Investment Strategies'!$AJ:$AV,11,FALSE),
IF(AND(Investment_Strategy="Autopilot",Investment_Strategy_Sub1="Non-Standard"),VLOOKUP(Investment_Strategy&amp;"_"&amp;Investment_Strategy_Sub2&amp;"_"&amp;$A561,'Investment Strategies'!$T:$AF,11,FALSE),
IF(Investment_Strategy="DIY",DIY_GteeChrge_CurrentFunds,
"Error"))))))</f>
        <v>0</v>
      </c>
      <c r="G561" s="33">
        <f>IF(AV561=0,0,
IF(Investment_Strategy="DIS",VLOOKUP(Investment_Strategy&amp;"_"&amp;Investment_Strategy_Sub1&amp;"_"&amp;$A561,'Investment Strategies'!$AZ:$BP,17,FALSE),
IF(AND(Investment_Strategy="Lifecycle",Investment_Strategy_Sub1="Non-Standard"),VLOOKUP(Investment_Strategy&amp;"_"&amp;Investment_Strategy_Sub2&amp;"_"&amp;$A561,'Investment Strategies'!$C:$P,14,FALSE),
IF(AND(Investment_Strategy="Lifecycle",Investment_Strategy_Sub1="Standard"),VLOOKUP(Investment_Strategy&amp;"_"&amp;Investment_Strategy_Sub2&amp;"_"&amp;$A561,'Investment Strategies'!$AJ:$AV,13,FALSE),
IF(AND(Investment_Strategy="Autopilot",Investment_Strategy_Sub1="Non-Standard"),VLOOKUP(Investment_Strategy&amp;"_"&amp;Investment_Strategy_Sub2&amp;"_"&amp;$A561,'Investment Strategies'!$T:$AF,13,FALSE),
IF(Investment_Strategy="DIY",DIY_ExtManChrge_CurrentFunds,
"Error"))))))</f>
        <v>0</v>
      </c>
      <c r="H561" s="16">
        <f t="shared" si="325"/>
        <v>0</v>
      </c>
      <c r="I561" s="16">
        <f t="shared" si="311"/>
        <v>0</v>
      </c>
      <c r="J561" s="16">
        <f t="shared" si="312"/>
        <v>0</v>
      </c>
      <c r="K561" s="16">
        <f>(Opening_Fund_Value+SUM(K$91:K560))*E561*IF(D561=$A$91,SRP_finalmonthfactor,1)</f>
        <v>0</v>
      </c>
      <c r="L561" s="74">
        <f>MIN(IF($AV561=0,0,
IF(Investment_Strategy="DIS",VLOOKUP(Investment_Strategy&amp;"_"&amp;Investment_Strategy_Sub1&amp;"_"&amp;$A561,'Investment Strategies'!$AZ:$BP,12,FALSE),
IF(AND(Investment_Strategy="Lifecycle",Investment_Strategy_Sub1="Non-Standard"),VLOOKUP(Investment_Strategy&amp;"_"&amp;Investment_Strategy_Sub2&amp;"_"&amp;$A561,'Investment Strategies'!$C:$P,9,FALSE),
IF(AND(Investment_Strategy="Lifecycle",Investment_Strategy_Sub1="Standard"),VLOOKUP(Investment_Strategy&amp;"_"&amp;Investment_Strategy_Sub2&amp;"_"&amp;$A561,'Investment Strategies'!$AJ:$AV,8,FALSE),
IF(AND(Investment_Strategy="Autopilot",Investment_Strategy_Sub1="Non-Standard"),VLOOKUP(Investment_Strategy&amp;"_"&amp;Investment_Strategy_Sub2&amp;"_"&amp;$A561,'Investment Strategies'!$T:$AF,8,FALSE),
IF(Investment_Strategy ="DIY",DIY_RateofReturn_SP,
"Error")))))),Max_InvReturn)</f>
        <v>0</v>
      </c>
      <c r="M561" s="62">
        <f>IF($AV561=0,0,
IF(Investment_Strategy="DIS",VLOOKUP(Investment_Strategy&amp;"_"&amp;Investment_Strategy_Sub1&amp;"_"&amp;$A561,'Investment Strategies'!$AZ:$BP,15,FALSE),
IF(AND(Investment_Strategy="Lifecycle",Investment_Strategy_Sub1="Non-Standard"),VLOOKUP(Investment_Strategy&amp;"_"&amp;Investment_Strategy_Sub2&amp;"_"&amp;$A561,'Investment Strategies'!$C:$P,12,FALSE),
IF(AND(Investment_Strategy="Lifecycle",Investment_Strategy_Sub1="Standard"),VLOOKUP(Investment_Strategy&amp;"_"&amp;Investment_Strategy_Sub2&amp;"_"&amp;$A561,'Investment Strategies'!$AJ:$AV,11,FALSE),
IF(AND(Investment_Strategy="Autopilot",Investment_Strategy_Sub1="Non-Standard"),VLOOKUP(Investment_Strategy&amp;"_"&amp;Investment_Strategy_Sub2&amp;"_"&amp;$A561,'Investment Strategies'!$T:$AF,11,FALSE),
IF(Investment_Strategy="DIY",DIY_GteeChrge_SP,
"Error"))))))</f>
        <v>0</v>
      </c>
      <c r="N561" s="33">
        <f>IF($AV561=0,0,
IF(Investment_Strategy="DIS",VLOOKUP(Investment_Strategy&amp;"_"&amp;Investment_Strategy_Sub1&amp;"_"&amp;$A561,'Investment Strategies'!$AZ:$BP,17,FALSE),
IF(AND(Investment_Strategy="Lifecycle",Investment_Strategy_Sub1="Non-Standard"),VLOOKUP(Investment_Strategy&amp;"_"&amp;Investment_Strategy_Sub2&amp;"_"&amp;$A561,'Investment Strategies'!$C:$P,14,FALSE),
IF(AND(Investment_Strategy="Lifecycle",Investment_Strategy_Sub1="Standard"),VLOOKUP(Investment_Strategy&amp;"_"&amp;Investment_Strategy_Sub2&amp;"_"&amp;$A561,'Investment Strategies'!$AJ:$AV,13,FALSE),
IF(AND(Investment_Strategy="Autopilot",Investment_Strategy_Sub1="Non-Standard"),VLOOKUP(Investment_Strategy&amp;"_"&amp;Investment_Strategy_Sub2&amp;"_"&amp;$A561,'Investment Strategies'!$T:$AF,13,FALSE),
IF(Investment_Strategy="DIY",DIY_ExtManChrge_SP,
"Error"))))))</f>
        <v>0</v>
      </c>
      <c r="O561" s="16">
        <f t="shared" si="336"/>
        <v>0</v>
      </c>
      <c r="Q561" s="16">
        <f t="shared" si="313"/>
        <v>0</v>
      </c>
      <c r="R561" s="16">
        <f t="shared" si="310"/>
        <v>0</v>
      </c>
      <c r="S561" s="16">
        <f>(SRP_SP+SUM(S$91:S560))*L561*IF(D561=$A$91,SRP_finalmonthfactor,1)</f>
        <v>0</v>
      </c>
      <c r="T561" s="74">
        <f>MIN(IF($AV561=0,0,
IF(Investment_Strategy="DIS",VLOOKUP(Investment_Strategy&amp;"_"&amp;Investment_Strategy_Sub1&amp;"_"&amp;$A561,'Investment Strategies'!$AZ:$BP,12,FALSE),
IF(AND(Investment_Strategy="Lifecycle",Investment_Strategy_Sub1="Non-Standard"),VLOOKUP(Investment_Strategy&amp;"_"&amp;Investment_Strategy_Sub2&amp;"_"&amp;$A561,'Investment Strategies'!$C:$P,9,FALSE),
IF(AND(Investment_Strategy="Lifecycle",Investment_Strategy_Sub1="Standard"),VLOOKUP(Investment_Strategy&amp;"_"&amp;Investment_Strategy_Sub2&amp;"_"&amp;$A561,'Investment Strategies'!$AJ:$AV,8,FALSE),
IF(AND(Investment_Strategy="Autopilot",Investment_Strategy_Sub1="Non-Standard"),VLOOKUP(Investment_Strategy&amp;"_"&amp;Investment_Strategy_Sub2&amp;"_"&amp;$A561,'Investment Strategies'!$T:$AF,8,FALSE),
IF(Investment_Strategy ="DIY",DIY_RateOfReturn_FuturePremiums,
"Error")))))),Max_InvReturn)</f>
        <v>0</v>
      </c>
      <c r="U561" s="62">
        <f>IF($AV561=0,0,
IF(Investment_Strategy="DIS",VLOOKUP(Investment_Strategy&amp;"_"&amp;Investment_Strategy_Sub1&amp;"_"&amp;$A561,'Investment Strategies'!$AZ:$BP,15,FALSE),
IF(AND(Investment_Strategy="Lifecycle",Investment_Strategy_Sub1="Non-Standard"),VLOOKUP(Investment_Strategy&amp;"_"&amp;Investment_Strategy_Sub2&amp;"_"&amp;$A561,'Investment Strategies'!$C:$P,12,FALSE),
IF(AND(Investment_Strategy="Lifecycle",Investment_Strategy_Sub1="Standard"),VLOOKUP(Investment_Strategy&amp;"_"&amp;Investment_Strategy_Sub2&amp;"_"&amp;$A561,'Investment Strategies'!$AJ:$AV,11,FALSE),
IF(AND(Investment_Strategy="Autopilot",Investment_Strategy_Sub1="Non-Standard"),VLOOKUP(Investment_Strategy&amp;"_"&amp;Investment_Strategy_Sub2&amp;"_"&amp;$A561,'Investment Strategies'!$T:$AF,11,FALSE),
IF(Investment_Strategy="DIY",DIY_GteeChrge_FuturePremiums,
"Error"))))))</f>
        <v>0</v>
      </c>
      <c r="V561" s="33">
        <f>IF(AV561=0,0,
IF(Investment_Strategy="DIS",VLOOKUP(Investment_Strategy&amp;"_"&amp;Investment_Strategy_Sub1&amp;"_"&amp;$A561,'Investment Strategies'!$AZ:$BP,17,FALSE),
IF(AND(Investment_Strategy="Lifecycle",Investment_Strategy_Sub1="Non-Standard"),VLOOKUP(Investment_Strategy&amp;"_"&amp;Investment_Strategy_Sub2&amp;"_"&amp;$A561,'Investment Strategies'!$C:$P,14,FALSE),
IF(AND(Investment_Strategy="Lifecycle",Investment_Strategy_Sub1="Standard"),VLOOKUP(Investment_Strategy&amp;"_"&amp;Investment_Strategy_Sub2&amp;"_"&amp;$A561,'Investment Strategies'!$AJ:$AV,13,FALSE),
IF(AND(Investment_Strategy="Autopilot",Investment_Strategy_Sub1="Non-Standard"),VLOOKUP(Investment_Strategy&amp;"_"&amp;Investment_Strategy_Sub2&amp;"_"&amp;$A561,'Investment Strategies'!$T:$AF,13,FALSE),
IF(Investment_Strategy="DIY",DIY_ExtManChrge_FuturePremiums,
"Error"))))))</f>
        <v>0</v>
      </c>
      <c r="W561" s="16">
        <f t="shared" si="337"/>
        <v>0</v>
      </c>
      <c r="X561" s="16">
        <f t="shared" si="314"/>
        <v>0</v>
      </c>
      <c r="Y561" s="16">
        <f t="shared" si="315"/>
        <v>0</v>
      </c>
      <c r="Z561" s="31">
        <f t="shared" si="316"/>
        <v>0.02</v>
      </c>
      <c r="AA561" s="16">
        <f t="shared" si="317"/>
        <v>0</v>
      </c>
      <c r="AB561" s="28">
        <f t="shared" si="339"/>
        <v>0</v>
      </c>
      <c r="AC561" s="28">
        <f>(SUM($AC$91:AC560)+SUM($X$91:X560)+X561)*T561*IF(D561=$A$91,SRP_finalmonthfactor,1)</f>
        <v>0</v>
      </c>
      <c r="AD561" s="16">
        <f t="shared" si="318"/>
        <v>0</v>
      </c>
      <c r="AE561" s="106"/>
      <c r="AF561" s="16">
        <f t="shared" si="326"/>
        <v>0</v>
      </c>
      <c r="AG561" s="16">
        <f t="shared" si="327"/>
        <v>0</v>
      </c>
      <c r="AH561" s="16">
        <f t="shared" si="328"/>
        <v>0</v>
      </c>
      <c r="AJ561" s="13">
        <f t="shared" ref="AJ561:AU570" si="341">IF($C561&lt;=AJ$90,1,0)</f>
        <v>0</v>
      </c>
      <c r="AK561" s="13">
        <f t="shared" si="341"/>
        <v>0</v>
      </c>
      <c r="AL561" s="13">
        <f t="shared" si="341"/>
        <v>0</v>
      </c>
      <c r="AM561" s="13">
        <f t="shared" si="341"/>
        <v>0</v>
      </c>
      <c r="AN561" s="13">
        <f t="shared" si="341"/>
        <v>0</v>
      </c>
      <c r="AO561" s="13">
        <f t="shared" si="341"/>
        <v>1</v>
      </c>
      <c r="AP561" s="13">
        <f t="shared" si="341"/>
        <v>1</v>
      </c>
      <c r="AQ561" s="13">
        <f t="shared" si="341"/>
        <v>1</v>
      </c>
      <c r="AR561" s="13">
        <f t="shared" si="341"/>
        <v>0</v>
      </c>
      <c r="AS561" s="13">
        <f t="shared" si="341"/>
        <v>0</v>
      </c>
      <c r="AT561" s="13">
        <f t="shared" si="341"/>
        <v>0</v>
      </c>
      <c r="AU561" s="13">
        <f t="shared" si="341"/>
        <v>1</v>
      </c>
      <c r="AV561" s="13">
        <f t="shared" si="319"/>
        <v>0</v>
      </c>
      <c r="AW561" s="13">
        <f t="shared" si="320"/>
        <v>1</v>
      </c>
      <c r="AY561" s="17">
        <f t="shared" si="321"/>
        <v>471</v>
      </c>
      <c r="AZ561" s="28">
        <f t="shared" si="329"/>
        <v>0</v>
      </c>
      <c r="BA561" s="13">
        <f t="shared" si="322"/>
        <v>0</v>
      </c>
      <c r="BB561" s="13">
        <f t="shared" si="323"/>
        <v>0</v>
      </c>
      <c r="BC561" s="28">
        <f t="shared" si="330"/>
        <v>0</v>
      </c>
      <c r="BD561" s="28">
        <f t="shared" si="331"/>
        <v>0</v>
      </c>
      <c r="BF561" s="248">
        <f t="shared" si="332"/>
        <v>993869.29442638322</v>
      </c>
    </row>
    <row r="562" spans="1:58">
      <c r="A562" s="32">
        <f t="shared" si="333"/>
        <v>-387</v>
      </c>
      <c r="B562" s="32">
        <f t="shared" si="324"/>
        <v>92</v>
      </c>
      <c r="C562" s="32">
        <f t="shared" si="334"/>
        <v>40</v>
      </c>
      <c r="D562" s="32">
        <f t="shared" si="335"/>
        <v>472</v>
      </c>
      <c r="E562" s="74">
        <f>MIN(IF(AV562=0,0,
IF(Investment_Strategy="DIS",VLOOKUP(Investment_Strategy&amp;"_"&amp;Investment_Strategy_Sub1&amp;"_"&amp;$A562,'Investment Strategies'!$AZ:$BP,12,FALSE),
IF(AND(Investment_Strategy="Lifecycle",Investment_Strategy_Sub1="Non-Standard"),VLOOKUP(Investment_Strategy&amp;"_"&amp;Investment_Strategy_Sub2&amp;"_"&amp;$A562,'Investment Strategies'!$C:$P,9,FALSE),
IF(AND(Investment_Strategy="Lifecycle",Investment_Strategy_Sub1="Standard"),VLOOKUP(Investment_Strategy&amp;"_"&amp;Investment_Strategy_Sub2&amp;"_"&amp;$A562,'Investment Strategies'!$AJ:$AV,8,FALSE),
IF(AND(Investment_Strategy="Autopilot",Investment_Strategy_Sub1="Non-Standard"),VLOOKUP(Investment_Strategy&amp;"_"&amp;Investment_Strategy_Sub2&amp;"_"&amp;$A562,'Investment Strategies'!$T:$AF,8,FALSE),
IF(Investment_Strategy ="DIY",DIY_RateOfReturn_CurrentFunds,
"Error")))))),Max_InvReturn)</f>
        <v>0</v>
      </c>
      <c r="F562" s="62">
        <f>IF(AV562=0,0,
IF(Investment_Strategy="DIS",VLOOKUP(Investment_Strategy&amp;"_"&amp;Investment_Strategy_Sub1&amp;"_"&amp;$A562,'Investment Strategies'!$AZ:$BP,15,FALSE),
IF(AND(Investment_Strategy="Lifecycle",Investment_Strategy_Sub1="Non-Standard"),VLOOKUP(Investment_Strategy&amp;"_"&amp;Investment_Strategy_Sub2&amp;"_"&amp;$A562,'Investment Strategies'!$C:$P,12,FALSE),
IF(AND(Investment_Strategy="Lifecycle",Investment_Strategy_Sub1="Standard"),VLOOKUP(Investment_Strategy&amp;"_"&amp;Investment_Strategy_Sub2&amp;"_"&amp;$A562,'Investment Strategies'!$AJ:$AV,11,FALSE),
IF(AND(Investment_Strategy="Autopilot",Investment_Strategy_Sub1="Non-Standard"),VLOOKUP(Investment_Strategy&amp;"_"&amp;Investment_Strategy_Sub2&amp;"_"&amp;$A562,'Investment Strategies'!$T:$AF,11,FALSE),
IF(Investment_Strategy="DIY",DIY_GteeChrge_CurrentFunds,
"Error"))))))</f>
        <v>0</v>
      </c>
      <c r="G562" s="33">
        <f>IF(AV562=0,0,
IF(Investment_Strategy="DIS",VLOOKUP(Investment_Strategy&amp;"_"&amp;Investment_Strategy_Sub1&amp;"_"&amp;$A562,'Investment Strategies'!$AZ:$BP,17,FALSE),
IF(AND(Investment_Strategy="Lifecycle",Investment_Strategy_Sub1="Non-Standard"),VLOOKUP(Investment_Strategy&amp;"_"&amp;Investment_Strategy_Sub2&amp;"_"&amp;$A562,'Investment Strategies'!$C:$P,14,FALSE),
IF(AND(Investment_Strategy="Lifecycle",Investment_Strategy_Sub1="Standard"),VLOOKUP(Investment_Strategy&amp;"_"&amp;Investment_Strategy_Sub2&amp;"_"&amp;$A562,'Investment Strategies'!$AJ:$AV,13,FALSE),
IF(AND(Investment_Strategy="Autopilot",Investment_Strategy_Sub1="Non-Standard"),VLOOKUP(Investment_Strategy&amp;"_"&amp;Investment_Strategy_Sub2&amp;"_"&amp;$A562,'Investment Strategies'!$T:$AF,13,FALSE),
IF(Investment_Strategy="DIY",DIY_ExtManChrge_CurrentFunds,
"Error"))))))</f>
        <v>0</v>
      </c>
      <c r="H562" s="16">
        <f t="shared" si="325"/>
        <v>0</v>
      </c>
      <c r="I562" s="16">
        <f t="shared" si="311"/>
        <v>0</v>
      </c>
      <c r="J562" s="16">
        <f t="shared" si="312"/>
        <v>0</v>
      </c>
      <c r="K562" s="16">
        <f>(Opening_Fund_Value+SUM(K$91:K561))*E562*IF(D562=$A$91,SRP_finalmonthfactor,1)</f>
        <v>0</v>
      </c>
      <c r="L562" s="74">
        <f>MIN(IF($AV562=0,0,
IF(Investment_Strategy="DIS",VLOOKUP(Investment_Strategy&amp;"_"&amp;Investment_Strategy_Sub1&amp;"_"&amp;$A562,'Investment Strategies'!$AZ:$BP,12,FALSE),
IF(AND(Investment_Strategy="Lifecycle",Investment_Strategy_Sub1="Non-Standard"),VLOOKUP(Investment_Strategy&amp;"_"&amp;Investment_Strategy_Sub2&amp;"_"&amp;$A562,'Investment Strategies'!$C:$P,9,FALSE),
IF(AND(Investment_Strategy="Lifecycle",Investment_Strategy_Sub1="Standard"),VLOOKUP(Investment_Strategy&amp;"_"&amp;Investment_Strategy_Sub2&amp;"_"&amp;$A562,'Investment Strategies'!$AJ:$AV,8,FALSE),
IF(AND(Investment_Strategy="Autopilot",Investment_Strategy_Sub1="Non-Standard"),VLOOKUP(Investment_Strategy&amp;"_"&amp;Investment_Strategy_Sub2&amp;"_"&amp;$A562,'Investment Strategies'!$T:$AF,8,FALSE),
IF(Investment_Strategy ="DIY",DIY_RateofReturn_SP,
"Error")))))),Max_InvReturn)</f>
        <v>0</v>
      </c>
      <c r="M562" s="62">
        <f>IF($AV562=0,0,
IF(Investment_Strategy="DIS",VLOOKUP(Investment_Strategy&amp;"_"&amp;Investment_Strategy_Sub1&amp;"_"&amp;$A562,'Investment Strategies'!$AZ:$BP,15,FALSE),
IF(AND(Investment_Strategy="Lifecycle",Investment_Strategy_Sub1="Non-Standard"),VLOOKUP(Investment_Strategy&amp;"_"&amp;Investment_Strategy_Sub2&amp;"_"&amp;$A562,'Investment Strategies'!$C:$P,12,FALSE),
IF(AND(Investment_Strategy="Lifecycle",Investment_Strategy_Sub1="Standard"),VLOOKUP(Investment_Strategy&amp;"_"&amp;Investment_Strategy_Sub2&amp;"_"&amp;$A562,'Investment Strategies'!$AJ:$AV,11,FALSE),
IF(AND(Investment_Strategy="Autopilot",Investment_Strategy_Sub1="Non-Standard"),VLOOKUP(Investment_Strategy&amp;"_"&amp;Investment_Strategy_Sub2&amp;"_"&amp;$A562,'Investment Strategies'!$T:$AF,11,FALSE),
IF(Investment_Strategy="DIY",DIY_GteeChrge_SP,
"Error"))))))</f>
        <v>0</v>
      </c>
      <c r="N562" s="33">
        <f>IF($AV562=0,0,
IF(Investment_Strategy="DIS",VLOOKUP(Investment_Strategy&amp;"_"&amp;Investment_Strategy_Sub1&amp;"_"&amp;$A562,'Investment Strategies'!$AZ:$BP,17,FALSE),
IF(AND(Investment_Strategy="Lifecycle",Investment_Strategy_Sub1="Non-Standard"),VLOOKUP(Investment_Strategy&amp;"_"&amp;Investment_Strategy_Sub2&amp;"_"&amp;$A562,'Investment Strategies'!$C:$P,14,FALSE),
IF(AND(Investment_Strategy="Lifecycle",Investment_Strategy_Sub1="Standard"),VLOOKUP(Investment_Strategy&amp;"_"&amp;Investment_Strategy_Sub2&amp;"_"&amp;$A562,'Investment Strategies'!$AJ:$AV,13,FALSE),
IF(AND(Investment_Strategy="Autopilot",Investment_Strategy_Sub1="Non-Standard"),VLOOKUP(Investment_Strategy&amp;"_"&amp;Investment_Strategy_Sub2&amp;"_"&amp;$A562,'Investment Strategies'!$T:$AF,13,FALSE),
IF(Investment_Strategy="DIY",DIY_ExtManChrge_SP,
"Error"))))))</f>
        <v>0</v>
      </c>
      <c r="O562" s="16">
        <f t="shared" si="336"/>
        <v>0</v>
      </c>
      <c r="Q562" s="16">
        <f t="shared" si="313"/>
        <v>0</v>
      </c>
      <c r="R562" s="16">
        <f t="shared" si="310"/>
        <v>0</v>
      </c>
      <c r="S562" s="16">
        <f>(SRP_SP+SUM(S$91:S561))*L562*IF(D562=$A$91,SRP_finalmonthfactor,1)</f>
        <v>0</v>
      </c>
      <c r="T562" s="74">
        <f>MIN(IF($AV562=0,0,
IF(Investment_Strategy="DIS",VLOOKUP(Investment_Strategy&amp;"_"&amp;Investment_Strategy_Sub1&amp;"_"&amp;$A562,'Investment Strategies'!$AZ:$BP,12,FALSE),
IF(AND(Investment_Strategy="Lifecycle",Investment_Strategy_Sub1="Non-Standard"),VLOOKUP(Investment_Strategy&amp;"_"&amp;Investment_Strategy_Sub2&amp;"_"&amp;$A562,'Investment Strategies'!$C:$P,9,FALSE),
IF(AND(Investment_Strategy="Lifecycle",Investment_Strategy_Sub1="Standard"),VLOOKUP(Investment_Strategy&amp;"_"&amp;Investment_Strategy_Sub2&amp;"_"&amp;$A562,'Investment Strategies'!$AJ:$AV,8,FALSE),
IF(AND(Investment_Strategy="Autopilot",Investment_Strategy_Sub1="Non-Standard"),VLOOKUP(Investment_Strategy&amp;"_"&amp;Investment_Strategy_Sub2&amp;"_"&amp;$A562,'Investment Strategies'!$T:$AF,8,FALSE),
IF(Investment_Strategy ="DIY",DIY_RateOfReturn_FuturePremiums,
"Error")))))),Max_InvReturn)</f>
        <v>0</v>
      </c>
      <c r="U562" s="62">
        <f>IF($AV562=0,0,
IF(Investment_Strategy="DIS",VLOOKUP(Investment_Strategy&amp;"_"&amp;Investment_Strategy_Sub1&amp;"_"&amp;$A562,'Investment Strategies'!$AZ:$BP,15,FALSE),
IF(AND(Investment_Strategy="Lifecycle",Investment_Strategy_Sub1="Non-Standard"),VLOOKUP(Investment_Strategy&amp;"_"&amp;Investment_Strategy_Sub2&amp;"_"&amp;$A562,'Investment Strategies'!$C:$P,12,FALSE),
IF(AND(Investment_Strategy="Lifecycle",Investment_Strategy_Sub1="Standard"),VLOOKUP(Investment_Strategy&amp;"_"&amp;Investment_Strategy_Sub2&amp;"_"&amp;$A562,'Investment Strategies'!$AJ:$AV,11,FALSE),
IF(AND(Investment_Strategy="Autopilot",Investment_Strategy_Sub1="Non-Standard"),VLOOKUP(Investment_Strategy&amp;"_"&amp;Investment_Strategy_Sub2&amp;"_"&amp;$A562,'Investment Strategies'!$T:$AF,11,FALSE),
IF(Investment_Strategy="DIY",DIY_GteeChrge_FuturePremiums,
"Error"))))))</f>
        <v>0</v>
      </c>
      <c r="V562" s="33">
        <f>IF(AV562=0,0,
IF(Investment_Strategy="DIS",VLOOKUP(Investment_Strategy&amp;"_"&amp;Investment_Strategy_Sub1&amp;"_"&amp;$A562,'Investment Strategies'!$AZ:$BP,17,FALSE),
IF(AND(Investment_Strategy="Lifecycle",Investment_Strategy_Sub1="Non-Standard"),VLOOKUP(Investment_Strategy&amp;"_"&amp;Investment_Strategy_Sub2&amp;"_"&amp;$A562,'Investment Strategies'!$C:$P,14,FALSE),
IF(AND(Investment_Strategy="Lifecycle",Investment_Strategy_Sub1="Standard"),VLOOKUP(Investment_Strategy&amp;"_"&amp;Investment_Strategy_Sub2&amp;"_"&amp;$A562,'Investment Strategies'!$AJ:$AV,13,FALSE),
IF(AND(Investment_Strategy="Autopilot",Investment_Strategy_Sub1="Non-Standard"),VLOOKUP(Investment_Strategy&amp;"_"&amp;Investment_Strategy_Sub2&amp;"_"&amp;$A562,'Investment Strategies'!$T:$AF,13,FALSE),
IF(Investment_Strategy="DIY",DIY_ExtManChrge_FuturePremiums,
"Error"))))))</f>
        <v>0</v>
      </c>
      <c r="W562" s="16">
        <f t="shared" si="337"/>
        <v>0</v>
      </c>
      <c r="X562" s="16">
        <f t="shared" si="314"/>
        <v>0</v>
      </c>
      <c r="Y562" s="16">
        <f t="shared" si="315"/>
        <v>0</v>
      </c>
      <c r="Z562" s="31">
        <f t="shared" si="316"/>
        <v>0.02</v>
      </c>
      <c r="AA562" s="16">
        <f t="shared" si="317"/>
        <v>0</v>
      </c>
      <c r="AB562" s="28">
        <f t="shared" si="339"/>
        <v>0</v>
      </c>
      <c r="AC562" s="28">
        <f>(SUM($AC$91:AC561)+SUM($X$91:X561)+X562)*T562*IF(D562=$A$91,SRP_finalmonthfactor,1)</f>
        <v>0</v>
      </c>
      <c r="AD562" s="16">
        <f t="shared" si="318"/>
        <v>0</v>
      </c>
      <c r="AE562" s="106"/>
      <c r="AF562" s="16">
        <f t="shared" si="326"/>
        <v>0</v>
      </c>
      <c r="AG562" s="16">
        <f t="shared" si="327"/>
        <v>0</v>
      </c>
      <c r="AH562" s="16">
        <f t="shared" si="328"/>
        <v>0</v>
      </c>
      <c r="AJ562" s="13">
        <f t="shared" si="341"/>
        <v>0</v>
      </c>
      <c r="AK562" s="13">
        <f t="shared" si="341"/>
        <v>0</v>
      </c>
      <c r="AL562" s="13">
        <f t="shared" si="341"/>
        <v>0</v>
      </c>
      <c r="AM562" s="13">
        <f t="shared" si="341"/>
        <v>0</v>
      </c>
      <c r="AN562" s="13">
        <f t="shared" si="341"/>
        <v>0</v>
      </c>
      <c r="AO562" s="13">
        <f t="shared" si="341"/>
        <v>1</v>
      </c>
      <c r="AP562" s="13">
        <f t="shared" si="341"/>
        <v>1</v>
      </c>
      <c r="AQ562" s="13">
        <f t="shared" si="341"/>
        <v>1</v>
      </c>
      <c r="AR562" s="13">
        <f t="shared" si="341"/>
        <v>0</v>
      </c>
      <c r="AS562" s="13">
        <f t="shared" si="341"/>
        <v>0</v>
      </c>
      <c r="AT562" s="13">
        <f t="shared" si="341"/>
        <v>0</v>
      </c>
      <c r="AU562" s="13">
        <f t="shared" si="341"/>
        <v>1</v>
      </c>
      <c r="AV562" s="13">
        <f t="shared" si="319"/>
        <v>0</v>
      </c>
      <c r="AW562" s="13">
        <f t="shared" si="320"/>
        <v>1</v>
      </c>
      <c r="AY562" s="17">
        <f t="shared" si="321"/>
        <v>472</v>
      </c>
      <c r="AZ562" s="28">
        <f t="shared" si="329"/>
        <v>0</v>
      </c>
      <c r="BA562" s="13">
        <f t="shared" si="322"/>
        <v>0</v>
      </c>
      <c r="BB562" s="13">
        <f t="shared" si="323"/>
        <v>0</v>
      </c>
      <c r="BC562" s="28">
        <f t="shared" si="330"/>
        <v>0</v>
      </c>
      <c r="BD562" s="28">
        <f t="shared" si="331"/>
        <v>0</v>
      </c>
      <c r="BF562" s="248">
        <f t="shared" si="332"/>
        <v>993869.29442638322</v>
      </c>
    </row>
    <row r="563" spans="1:58">
      <c r="A563" s="32">
        <f t="shared" si="333"/>
        <v>-388</v>
      </c>
      <c r="B563" s="32">
        <f t="shared" si="324"/>
        <v>92</v>
      </c>
      <c r="C563" s="32">
        <f t="shared" si="334"/>
        <v>40</v>
      </c>
      <c r="D563" s="32">
        <f t="shared" si="335"/>
        <v>473</v>
      </c>
      <c r="E563" s="74">
        <f>MIN(IF(AV563=0,0,
IF(Investment_Strategy="DIS",VLOOKUP(Investment_Strategy&amp;"_"&amp;Investment_Strategy_Sub1&amp;"_"&amp;$A563,'Investment Strategies'!$AZ:$BP,12,FALSE),
IF(AND(Investment_Strategy="Lifecycle",Investment_Strategy_Sub1="Non-Standard"),VLOOKUP(Investment_Strategy&amp;"_"&amp;Investment_Strategy_Sub2&amp;"_"&amp;$A563,'Investment Strategies'!$C:$P,9,FALSE),
IF(AND(Investment_Strategy="Lifecycle",Investment_Strategy_Sub1="Standard"),VLOOKUP(Investment_Strategy&amp;"_"&amp;Investment_Strategy_Sub2&amp;"_"&amp;$A563,'Investment Strategies'!$AJ:$AV,8,FALSE),
IF(AND(Investment_Strategy="Autopilot",Investment_Strategy_Sub1="Non-Standard"),VLOOKUP(Investment_Strategy&amp;"_"&amp;Investment_Strategy_Sub2&amp;"_"&amp;$A563,'Investment Strategies'!$T:$AF,8,FALSE),
IF(Investment_Strategy ="DIY",DIY_RateOfReturn_CurrentFunds,
"Error")))))),Max_InvReturn)</f>
        <v>0</v>
      </c>
      <c r="F563" s="62">
        <f>IF(AV563=0,0,
IF(Investment_Strategy="DIS",VLOOKUP(Investment_Strategy&amp;"_"&amp;Investment_Strategy_Sub1&amp;"_"&amp;$A563,'Investment Strategies'!$AZ:$BP,15,FALSE),
IF(AND(Investment_Strategy="Lifecycle",Investment_Strategy_Sub1="Non-Standard"),VLOOKUP(Investment_Strategy&amp;"_"&amp;Investment_Strategy_Sub2&amp;"_"&amp;$A563,'Investment Strategies'!$C:$P,12,FALSE),
IF(AND(Investment_Strategy="Lifecycle",Investment_Strategy_Sub1="Standard"),VLOOKUP(Investment_Strategy&amp;"_"&amp;Investment_Strategy_Sub2&amp;"_"&amp;$A563,'Investment Strategies'!$AJ:$AV,11,FALSE),
IF(AND(Investment_Strategy="Autopilot",Investment_Strategy_Sub1="Non-Standard"),VLOOKUP(Investment_Strategy&amp;"_"&amp;Investment_Strategy_Sub2&amp;"_"&amp;$A563,'Investment Strategies'!$T:$AF,11,FALSE),
IF(Investment_Strategy="DIY",DIY_GteeChrge_CurrentFunds,
"Error"))))))</f>
        <v>0</v>
      </c>
      <c r="G563" s="33">
        <f>IF(AV563=0,0,
IF(Investment_Strategy="DIS",VLOOKUP(Investment_Strategy&amp;"_"&amp;Investment_Strategy_Sub1&amp;"_"&amp;$A563,'Investment Strategies'!$AZ:$BP,17,FALSE),
IF(AND(Investment_Strategy="Lifecycle",Investment_Strategy_Sub1="Non-Standard"),VLOOKUP(Investment_Strategy&amp;"_"&amp;Investment_Strategy_Sub2&amp;"_"&amp;$A563,'Investment Strategies'!$C:$P,14,FALSE),
IF(AND(Investment_Strategy="Lifecycle",Investment_Strategy_Sub1="Standard"),VLOOKUP(Investment_Strategy&amp;"_"&amp;Investment_Strategy_Sub2&amp;"_"&amp;$A563,'Investment Strategies'!$AJ:$AV,13,FALSE),
IF(AND(Investment_Strategy="Autopilot",Investment_Strategy_Sub1="Non-Standard"),VLOOKUP(Investment_Strategy&amp;"_"&amp;Investment_Strategy_Sub2&amp;"_"&amp;$A563,'Investment Strategies'!$T:$AF,13,FALSE),
IF(Investment_Strategy="DIY",DIY_ExtManChrge_CurrentFunds,
"Error"))))))</f>
        <v>0</v>
      </c>
      <c r="H563" s="16">
        <f t="shared" si="325"/>
        <v>0</v>
      </c>
      <c r="I563" s="16">
        <f t="shared" si="311"/>
        <v>0</v>
      </c>
      <c r="J563" s="16">
        <f t="shared" si="312"/>
        <v>0</v>
      </c>
      <c r="K563" s="16">
        <f>(Opening_Fund_Value+SUM(K$91:K562))*E563*IF(D563=$A$91,SRP_finalmonthfactor,1)</f>
        <v>0</v>
      </c>
      <c r="L563" s="74">
        <f>MIN(IF($AV563=0,0,
IF(Investment_Strategy="DIS",VLOOKUP(Investment_Strategy&amp;"_"&amp;Investment_Strategy_Sub1&amp;"_"&amp;$A563,'Investment Strategies'!$AZ:$BP,12,FALSE),
IF(AND(Investment_Strategy="Lifecycle",Investment_Strategy_Sub1="Non-Standard"),VLOOKUP(Investment_Strategy&amp;"_"&amp;Investment_Strategy_Sub2&amp;"_"&amp;$A563,'Investment Strategies'!$C:$P,9,FALSE),
IF(AND(Investment_Strategy="Lifecycle",Investment_Strategy_Sub1="Standard"),VLOOKUP(Investment_Strategy&amp;"_"&amp;Investment_Strategy_Sub2&amp;"_"&amp;$A563,'Investment Strategies'!$AJ:$AV,8,FALSE),
IF(AND(Investment_Strategy="Autopilot",Investment_Strategy_Sub1="Non-Standard"),VLOOKUP(Investment_Strategy&amp;"_"&amp;Investment_Strategy_Sub2&amp;"_"&amp;$A563,'Investment Strategies'!$T:$AF,8,FALSE),
IF(Investment_Strategy ="DIY",DIY_RateofReturn_SP,
"Error")))))),Max_InvReturn)</f>
        <v>0</v>
      </c>
      <c r="M563" s="62">
        <f>IF($AV563=0,0,
IF(Investment_Strategy="DIS",VLOOKUP(Investment_Strategy&amp;"_"&amp;Investment_Strategy_Sub1&amp;"_"&amp;$A563,'Investment Strategies'!$AZ:$BP,15,FALSE),
IF(AND(Investment_Strategy="Lifecycle",Investment_Strategy_Sub1="Non-Standard"),VLOOKUP(Investment_Strategy&amp;"_"&amp;Investment_Strategy_Sub2&amp;"_"&amp;$A563,'Investment Strategies'!$C:$P,12,FALSE),
IF(AND(Investment_Strategy="Lifecycle",Investment_Strategy_Sub1="Standard"),VLOOKUP(Investment_Strategy&amp;"_"&amp;Investment_Strategy_Sub2&amp;"_"&amp;$A563,'Investment Strategies'!$AJ:$AV,11,FALSE),
IF(AND(Investment_Strategy="Autopilot",Investment_Strategy_Sub1="Non-Standard"),VLOOKUP(Investment_Strategy&amp;"_"&amp;Investment_Strategy_Sub2&amp;"_"&amp;$A563,'Investment Strategies'!$T:$AF,11,FALSE),
IF(Investment_Strategy="DIY",DIY_GteeChrge_SP,
"Error"))))))</f>
        <v>0</v>
      </c>
      <c r="N563" s="33">
        <f>IF($AV563=0,0,
IF(Investment_Strategy="DIS",VLOOKUP(Investment_Strategy&amp;"_"&amp;Investment_Strategy_Sub1&amp;"_"&amp;$A563,'Investment Strategies'!$AZ:$BP,17,FALSE),
IF(AND(Investment_Strategy="Lifecycle",Investment_Strategy_Sub1="Non-Standard"),VLOOKUP(Investment_Strategy&amp;"_"&amp;Investment_Strategy_Sub2&amp;"_"&amp;$A563,'Investment Strategies'!$C:$P,14,FALSE),
IF(AND(Investment_Strategy="Lifecycle",Investment_Strategy_Sub1="Standard"),VLOOKUP(Investment_Strategy&amp;"_"&amp;Investment_Strategy_Sub2&amp;"_"&amp;$A563,'Investment Strategies'!$AJ:$AV,13,FALSE),
IF(AND(Investment_Strategy="Autopilot",Investment_Strategy_Sub1="Non-Standard"),VLOOKUP(Investment_Strategy&amp;"_"&amp;Investment_Strategy_Sub2&amp;"_"&amp;$A563,'Investment Strategies'!$T:$AF,13,FALSE),
IF(Investment_Strategy="DIY",DIY_ExtManChrge_SP,
"Error"))))))</f>
        <v>0</v>
      </c>
      <c r="O563" s="16">
        <f t="shared" si="336"/>
        <v>0</v>
      </c>
      <c r="Q563" s="16">
        <f t="shared" si="313"/>
        <v>0</v>
      </c>
      <c r="R563" s="16">
        <f t="shared" si="310"/>
        <v>0</v>
      </c>
      <c r="S563" s="16">
        <f>(SRP_SP+SUM(S$91:S562))*L563*IF(D563=$A$91,SRP_finalmonthfactor,1)</f>
        <v>0</v>
      </c>
      <c r="T563" s="74">
        <f>MIN(IF($AV563=0,0,
IF(Investment_Strategy="DIS",VLOOKUP(Investment_Strategy&amp;"_"&amp;Investment_Strategy_Sub1&amp;"_"&amp;$A563,'Investment Strategies'!$AZ:$BP,12,FALSE),
IF(AND(Investment_Strategy="Lifecycle",Investment_Strategy_Sub1="Non-Standard"),VLOOKUP(Investment_Strategy&amp;"_"&amp;Investment_Strategy_Sub2&amp;"_"&amp;$A563,'Investment Strategies'!$C:$P,9,FALSE),
IF(AND(Investment_Strategy="Lifecycle",Investment_Strategy_Sub1="Standard"),VLOOKUP(Investment_Strategy&amp;"_"&amp;Investment_Strategy_Sub2&amp;"_"&amp;$A563,'Investment Strategies'!$AJ:$AV,8,FALSE),
IF(AND(Investment_Strategy="Autopilot",Investment_Strategy_Sub1="Non-Standard"),VLOOKUP(Investment_Strategy&amp;"_"&amp;Investment_Strategy_Sub2&amp;"_"&amp;$A563,'Investment Strategies'!$T:$AF,8,FALSE),
IF(Investment_Strategy ="DIY",DIY_RateOfReturn_FuturePremiums,
"Error")))))),Max_InvReturn)</f>
        <v>0</v>
      </c>
      <c r="U563" s="62">
        <f>IF($AV563=0,0,
IF(Investment_Strategy="DIS",VLOOKUP(Investment_Strategy&amp;"_"&amp;Investment_Strategy_Sub1&amp;"_"&amp;$A563,'Investment Strategies'!$AZ:$BP,15,FALSE),
IF(AND(Investment_Strategy="Lifecycle",Investment_Strategy_Sub1="Non-Standard"),VLOOKUP(Investment_Strategy&amp;"_"&amp;Investment_Strategy_Sub2&amp;"_"&amp;$A563,'Investment Strategies'!$C:$P,12,FALSE),
IF(AND(Investment_Strategy="Lifecycle",Investment_Strategy_Sub1="Standard"),VLOOKUP(Investment_Strategy&amp;"_"&amp;Investment_Strategy_Sub2&amp;"_"&amp;$A563,'Investment Strategies'!$AJ:$AV,11,FALSE),
IF(AND(Investment_Strategy="Autopilot",Investment_Strategy_Sub1="Non-Standard"),VLOOKUP(Investment_Strategy&amp;"_"&amp;Investment_Strategy_Sub2&amp;"_"&amp;$A563,'Investment Strategies'!$T:$AF,11,FALSE),
IF(Investment_Strategy="DIY",DIY_GteeChrge_FuturePremiums,
"Error"))))))</f>
        <v>0</v>
      </c>
      <c r="V563" s="33">
        <f>IF(AV563=0,0,
IF(Investment_Strategy="DIS",VLOOKUP(Investment_Strategy&amp;"_"&amp;Investment_Strategy_Sub1&amp;"_"&amp;$A563,'Investment Strategies'!$AZ:$BP,17,FALSE),
IF(AND(Investment_Strategy="Lifecycle",Investment_Strategy_Sub1="Non-Standard"),VLOOKUP(Investment_Strategy&amp;"_"&amp;Investment_Strategy_Sub2&amp;"_"&amp;$A563,'Investment Strategies'!$C:$P,14,FALSE),
IF(AND(Investment_Strategy="Lifecycle",Investment_Strategy_Sub1="Standard"),VLOOKUP(Investment_Strategy&amp;"_"&amp;Investment_Strategy_Sub2&amp;"_"&amp;$A563,'Investment Strategies'!$AJ:$AV,13,FALSE),
IF(AND(Investment_Strategy="Autopilot",Investment_Strategy_Sub1="Non-Standard"),VLOOKUP(Investment_Strategy&amp;"_"&amp;Investment_Strategy_Sub2&amp;"_"&amp;$A563,'Investment Strategies'!$T:$AF,13,FALSE),
IF(Investment_Strategy="DIY",DIY_ExtManChrge_FuturePremiums,
"Error"))))))</f>
        <v>0</v>
      </c>
      <c r="W563" s="16">
        <f t="shared" si="337"/>
        <v>0</v>
      </c>
      <c r="X563" s="16">
        <f t="shared" si="314"/>
        <v>0</v>
      </c>
      <c r="Y563" s="16">
        <f t="shared" si="315"/>
        <v>0</v>
      </c>
      <c r="Z563" s="31">
        <f t="shared" si="316"/>
        <v>0.02</v>
      </c>
      <c r="AA563" s="16">
        <f t="shared" si="317"/>
        <v>0</v>
      </c>
      <c r="AB563" s="28">
        <f t="shared" si="339"/>
        <v>0</v>
      </c>
      <c r="AC563" s="28">
        <f>(SUM($AC$91:AC562)+SUM($X$91:X562)+X563)*T563*IF(D563=$A$91,SRP_finalmonthfactor,1)</f>
        <v>0</v>
      </c>
      <c r="AD563" s="16">
        <f t="shared" si="318"/>
        <v>0</v>
      </c>
      <c r="AE563" s="106"/>
      <c r="AF563" s="16">
        <f t="shared" si="326"/>
        <v>0</v>
      </c>
      <c r="AG563" s="16">
        <f t="shared" si="327"/>
        <v>0</v>
      </c>
      <c r="AH563" s="16">
        <f t="shared" si="328"/>
        <v>0</v>
      </c>
      <c r="AJ563" s="13">
        <f t="shared" si="341"/>
        <v>0</v>
      </c>
      <c r="AK563" s="13">
        <f t="shared" si="341"/>
        <v>0</v>
      </c>
      <c r="AL563" s="13">
        <f t="shared" si="341"/>
        <v>0</v>
      </c>
      <c r="AM563" s="13">
        <f t="shared" si="341"/>
        <v>0</v>
      </c>
      <c r="AN563" s="13">
        <f t="shared" si="341"/>
        <v>0</v>
      </c>
      <c r="AO563" s="13">
        <f t="shared" si="341"/>
        <v>1</v>
      </c>
      <c r="AP563" s="13">
        <f t="shared" si="341"/>
        <v>1</v>
      </c>
      <c r="AQ563" s="13">
        <f t="shared" si="341"/>
        <v>1</v>
      </c>
      <c r="AR563" s="13">
        <f t="shared" si="341"/>
        <v>0</v>
      </c>
      <c r="AS563" s="13">
        <f t="shared" si="341"/>
        <v>0</v>
      </c>
      <c r="AT563" s="13">
        <f t="shared" si="341"/>
        <v>0</v>
      </c>
      <c r="AU563" s="13">
        <f t="shared" si="341"/>
        <v>1</v>
      </c>
      <c r="AV563" s="13">
        <f t="shared" si="319"/>
        <v>0</v>
      </c>
      <c r="AW563" s="13">
        <f t="shared" si="320"/>
        <v>1</v>
      </c>
      <c r="AY563" s="17">
        <f t="shared" si="321"/>
        <v>473</v>
      </c>
      <c r="AZ563" s="28">
        <f t="shared" si="329"/>
        <v>0</v>
      </c>
      <c r="BA563" s="13">
        <f t="shared" si="322"/>
        <v>0</v>
      </c>
      <c r="BB563" s="13">
        <f t="shared" si="323"/>
        <v>0</v>
      </c>
      <c r="BC563" s="28">
        <f t="shared" si="330"/>
        <v>0</v>
      </c>
      <c r="BD563" s="28">
        <f t="shared" si="331"/>
        <v>0</v>
      </c>
      <c r="BF563" s="248">
        <f t="shared" si="332"/>
        <v>993869.29442638322</v>
      </c>
    </row>
    <row r="564" spans="1:58">
      <c r="A564" s="32">
        <f t="shared" si="333"/>
        <v>-389</v>
      </c>
      <c r="B564" s="32">
        <f t="shared" si="324"/>
        <v>92</v>
      </c>
      <c r="C564" s="32">
        <f t="shared" si="334"/>
        <v>40</v>
      </c>
      <c r="D564" s="32">
        <f t="shared" si="335"/>
        <v>474</v>
      </c>
      <c r="E564" s="74">
        <f>MIN(IF(AV564=0,0,
IF(Investment_Strategy="DIS",VLOOKUP(Investment_Strategy&amp;"_"&amp;Investment_Strategy_Sub1&amp;"_"&amp;$A564,'Investment Strategies'!$AZ:$BP,12,FALSE),
IF(AND(Investment_Strategy="Lifecycle",Investment_Strategy_Sub1="Non-Standard"),VLOOKUP(Investment_Strategy&amp;"_"&amp;Investment_Strategy_Sub2&amp;"_"&amp;$A564,'Investment Strategies'!$C:$P,9,FALSE),
IF(AND(Investment_Strategy="Lifecycle",Investment_Strategy_Sub1="Standard"),VLOOKUP(Investment_Strategy&amp;"_"&amp;Investment_Strategy_Sub2&amp;"_"&amp;$A564,'Investment Strategies'!$AJ:$AV,8,FALSE),
IF(AND(Investment_Strategy="Autopilot",Investment_Strategy_Sub1="Non-Standard"),VLOOKUP(Investment_Strategy&amp;"_"&amp;Investment_Strategy_Sub2&amp;"_"&amp;$A564,'Investment Strategies'!$T:$AF,8,FALSE),
IF(Investment_Strategy ="DIY",DIY_RateOfReturn_CurrentFunds,
"Error")))))),Max_InvReturn)</f>
        <v>0</v>
      </c>
      <c r="F564" s="62">
        <f>IF(AV564=0,0,
IF(Investment_Strategy="DIS",VLOOKUP(Investment_Strategy&amp;"_"&amp;Investment_Strategy_Sub1&amp;"_"&amp;$A564,'Investment Strategies'!$AZ:$BP,15,FALSE),
IF(AND(Investment_Strategy="Lifecycle",Investment_Strategy_Sub1="Non-Standard"),VLOOKUP(Investment_Strategy&amp;"_"&amp;Investment_Strategy_Sub2&amp;"_"&amp;$A564,'Investment Strategies'!$C:$P,12,FALSE),
IF(AND(Investment_Strategy="Lifecycle",Investment_Strategy_Sub1="Standard"),VLOOKUP(Investment_Strategy&amp;"_"&amp;Investment_Strategy_Sub2&amp;"_"&amp;$A564,'Investment Strategies'!$AJ:$AV,11,FALSE),
IF(AND(Investment_Strategy="Autopilot",Investment_Strategy_Sub1="Non-Standard"),VLOOKUP(Investment_Strategy&amp;"_"&amp;Investment_Strategy_Sub2&amp;"_"&amp;$A564,'Investment Strategies'!$T:$AF,11,FALSE),
IF(Investment_Strategy="DIY",DIY_GteeChrge_CurrentFunds,
"Error"))))))</f>
        <v>0</v>
      </c>
      <c r="G564" s="33">
        <f>IF(AV564=0,0,
IF(Investment_Strategy="DIS",VLOOKUP(Investment_Strategy&amp;"_"&amp;Investment_Strategy_Sub1&amp;"_"&amp;$A564,'Investment Strategies'!$AZ:$BP,17,FALSE),
IF(AND(Investment_Strategy="Lifecycle",Investment_Strategy_Sub1="Non-Standard"),VLOOKUP(Investment_Strategy&amp;"_"&amp;Investment_Strategy_Sub2&amp;"_"&amp;$A564,'Investment Strategies'!$C:$P,14,FALSE),
IF(AND(Investment_Strategy="Lifecycle",Investment_Strategy_Sub1="Standard"),VLOOKUP(Investment_Strategy&amp;"_"&amp;Investment_Strategy_Sub2&amp;"_"&amp;$A564,'Investment Strategies'!$AJ:$AV,13,FALSE),
IF(AND(Investment_Strategy="Autopilot",Investment_Strategy_Sub1="Non-Standard"),VLOOKUP(Investment_Strategy&amp;"_"&amp;Investment_Strategy_Sub2&amp;"_"&amp;$A564,'Investment Strategies'!$T:$AF,13,FALSE),
IF(Investment_Strategy="DIY",DIY_ExtManChrge_CurrentFunds,
"Error"))))))</f>
        <v>0</v>
      </c>
      <c r="H564" s="16">
        <f t="shared" si="325"/>
        <v>0</v>
      </c>
      <c r="I564" s="16">
        <f t="shared" si="311"/>
        <v>0</v>
      </c>
      <c r="J564" s="16">
        <f t="shared" si="312"/>
        <v>0</v>
      </c>
      <c r="K564" s="16">
        <f>(Opening_Fund_Value+SUM(K$91:K563))*E564*IF(D564=$A$91,SRP_finalmonthfactor,1)</f>
        <v>0</v>
      </c>
      <c r="L564" s="74">
        <f>MIN(IF($AV564=0,0,
IF(Investment_Strategy="DIS",VLOOKUP(Investment_Strategy&amp;"_"&amp;Investment_Strategy_Sub1&amp;"_"&amp;$A564,'Investment Strategies'!$AZ:$BP,12,FALSE),
IF(AND(Investment_Strategy="Lifecycle",Investment_Strategy_Sub1="Non-Standard"),VLOOKUP(Investment_Strategy&amp;"_"&amp;Investment_Strategy_Sub2&amp;"_"&amp;$A564,'Investment Strategies'!$C:$P,9,FALSE),
IF(AND(Investment_Strategy="Lifecycle",Investment_Strategy_Sub1="Standard"),VLOOKUP(Investment_Strategy&amp;"_"&amp;Investment_Strategy_Sub2&amp;"_"&amp;$A564,'Investment Strategies'!$AJ:$AV,8,FALSE),
IF(AND(Investment_Strategy="Autopilot",Investment_Strategy_Sub1="Non-Standard"),VLOOKUP(Investment_Strategy&amp;"_"&amp;Investment_Strategy_Sub2&amp;"_"&amp;$A564,'Investment Strategies'!$T:$AF,8,FALSE),
IF(Investment_Strategy ="DIY",DIY_RateofReturn_SP,
"Error")))))),Max_InvReturn)</f>
        <v>0</v>
      </c>
      <c r="M564" s="62">
        <f>IF($AV564=0,0,
IF(Investment_Strategy="DIS",VLOOKUP(Investment_Strategy&amp;"_"&amp;Investment_Strategy_Sub1&amp;"_"&amp;$A564,'Investment Strategies'!$AZ:$BP,15,FALSE),
IF(AND(Investment_Strategy="Lifecycle",Investment_Strategy_Sub1="Non-Standard"),VLOOKUP(Investment_Strategy&amp;"_"&amp;Investment_Strategy_Sub2&amp;"_"&amp;$A564,'Investment Strategies'!$C:$P,12,FALSE),
IF(AND(Investment_Strategy="Lifecycle",Investment_Strategy_Sub1="Standard"),VLOOKUP(Investment_Strategy&amp;"_"&amp;Investment_Strategy_Sub2&amp;"_"&amp;$A564,'Investment Strategies'!$AJ:$AV,11,FALSE),
IF(AND(Investment_Strategy="Autopilot",Investment_Strategy_Sub1="Non-Standard"),VLOOKUP(Investment_Strategy&amp;"_"&amp;Investment_Strategy_Sub2&amp;"_"&amp;$A564,'Investment Strategies'!$T:$AF,11,FALSE),
IF(Investment_Strategy="DIY",DIY_GteeChrge_SP,
"Error"))))))</f>
        <v>0</v>
      </c>
      <c r="N564" s="33">
        <f>IF($AV564=0,0,
IF(Investment_Strategy="DIS",VLOOKUP(Investment_Strategy&amp;"_"&amp;Investment_Strategy_Sub1&amp;"_"&amp;$A564,'Investment Strategies'!$AZ:$BP,17,FALSE),
IF(AND(Investment_Strategy="Lifecycle",Investment_Strategy_Sub1="Non-Standard"),VLOOKUP(Investment_Strategy&amp;"_"&amp;Investment_Strategy_Sub2&amp;"_"&amp;$A564,'Investment Strategies'!$C:$P,14,FALSE),
IF(AND(Investment_Strategy="Lifecycle",Investment_Strategy_Sub1="Standard"),VLOOKUP(Investment_Strategy&amp;"_"&amp;Investment_Strategy_Sub2&amp;"_"&amp;$A564,'Investment Strategies'!$AJ:$AV,13,FALSE),
IF(AND(Investment_Strategy="Autopilot",Investment_Strategy_Sub1="Non-Standard"),VLOOKUP(Investment_Strategy&amp;"_"&amp;Investment_Strategy_Sub2&amp;"_"&amp;$A564,'Investment Strategies'!$T:$AF,13,FALSE),
IF(Investment_Strategy="DIY",DIY_ExtManChrge_SP,
"Error"))))))</f>
        <v>0</v>
      </c>
      <c r="O564" s="16">
        <f t="shared" si="336"/>
        <v>0</v>
      </c>
      <c r="Q564" s="16">
        <f t="shared" si="313"/>
        <v>0</v>
      </c>
      <c r="R564" s="16">
        <f t="shared" si="310"/>
        <v>0</v>
      </c>
      <c r="S564" s="16">
        <f>(SRP_SP+SUM(S$91:S563))*L564*IF(D564=$A$91,SRP_finalmonthfactor,1)</f>
        <v>0</v>
      </c>
      <c r="T564" s="74">
        <f>MIN(IF($AV564=0,0,
IF(Investment_Strategy="DIS",VLOOKUP(Investment_Strategy&amp;"_"&amp;Investment_Strategy_Sub1&amp;"_"&amp;$A564,'Investment Strategies'!$AZ:$BP,12,FALSE),
IF(AND(Investment_Strategy="Lifecycle",Investment_Strategy_Sub1="Non-Standard"),VLOOKUP(Investment_Strategy&amp;"_"&amp;Investment_Strategy_Sub2&amp;"_"&amp;$A564,'Investment Strategies'!$C:$P,9,FALSE),
IF(AND(Investment_Strategy="Lifecycle",Investment_Strategy_Sub1="Standard"),VLOOKUP(Investment_Strategy&amp;"_"&amp;Investment_Strategy_Sub2&amp;"_"&amp;$A564,'Investment Strategies'!$AJ:$AV,8,FALSE),
IF(AND(Investment_Strategy="Autopilot",Investment_Strategy_Sub1="Non-Standard"),VLOOKUP(Investment_Strategy&amp;"_"&amp;Investment_Strategy_Sub2&amp;"_"&amp;$A564,'Investment Strategies'!$T:$AF,8,FALSE),
IF(Investment_Strategy ="DIY",DIY_RateOfReturn_FuturePremiums,
"Error")))))),Max_InvReturn)</f>
        <v>0</v>
      </c>
      <c r="U564" s="62">
        <f>IF($AV564=0,0,
IF(Investment_Strategy="DIS",VLOOKUP(Investment_Strategy&amp;"_"&amp;Investment_Strategy_Sub1&amp;"_"&amp;$A564,'Investment Strategies'!$AZ:$BP,15,FALSE),
IF(AND(Investment_Strategy="Lifecycle",Investment_Strategy_Sub1="Non-Standard"),VLOOKUP(Investment_Strategy&amp;"_"&amp;Investment_Strategy_Sub2&amp;"_"&amp;$A564,'Investment Strategies'!$C:$P,12,FALSE),
IF(AND(Investment_Strategy="Lifecycle",Investment_Strategy_Sub1="Standard"),VLOOKUP(Investment_Strategy&amp;"_"&amp;Investment_Strategy_Sub2&amp;"_"&amp;$A564,'Investment Strategies'!$AJ:$AV,11,FALSE),
IF(AND(Investment_Strategy="Autopilot",Investment_Strategy_Sub1="Non-Standard"),VLOOKUP(Investment_Strategy&amp;"_"&amp;Investment_Strategy_Sub2&amp;"_"&amp;$A564,'Investment Strategies'!$T:$AF,11,FALSE),
IF(Investment_Strategy="DIY",DIY_GteeChrge_FuturePremiums,
"Error"))))))</f>
        <v>0</v>
      </c>
      <c r="V564" s="33">
        <f>IF(AV564=0,0,
IF(Investment_Strategy="DIS",VLOOKUP(Investment_Strategy&amp;"_"&amp;Investment_Strategy_Sub1&amp;"_"&amp;$A564,'Investment Strategies'!$AZ:$BP,17,FALSE),
IF(AND(Investment_Strategy="Lifecycle",Investment_Strategy_Sub1="Non-Standard"),VLOOKUP(Investment_Strategy&amp;"_"&amp;Investment_Strategy_Sub2&amp;"_"&amp;$A564,'Investment Strategies'!$C:$P,14,FALSE),
IF(AND(Investment_Strategy="Lifecycle",Investment_Strategy_Sub1="Standard"),VLOOKUP(Investment_Strategy&amp;"_"&amp;Investment_Strategy_Sub2&amp;"_"&amp;$A564,'Investment Strategies'!$AJ:$AV,13,FALSE),
IF(AND(Investment_Strategy="Autopilot",Investment_Strategy_Sub1="Non-Standard"),VLOOKUP(Investment_Strategy&amp;"_"&amp;Investment_Strategy_Sub2&amp;"_"&amp;$A564,'Investment Strategies'!$T:$AF,13,FALSE),
IF(Investment_Strategy="DIY",DIY_ExtManChrge_FuturePremiums,
"Error"))))))</f>
        <v>0</v>
      </c>
      <c r="W564" s="16">
        <f t="shared" si="337"/>
        <v>0</v>
      </c>
      <c r="X564" s="16">
        <f t="shared" si="314"/>
        <v>0</v>
      </c>
      <c r="Y564" s="16">
        <f t="shared" si="315"/>
        <v>0</v>
      </c>
      <c r="Z564" s="31">
        <f t="shared" si="316"/>
        <v>0.02</v>
      </c>
      <c r="AA564" s="16">
        <f t="shared" si="317"/>
        <v>0</v>
      </c>
      <c r="AB564" s="28">
        <f t="shared" si="339"/>
        <v>0</v>
      </c>
      <c r="AC564" s="28">
        <f>(SUM($AC$91:AC563)+SUM($X$91:X563)+X564)*T564*IF(D564=$A$91,SRP_finalmonthfactor,1)</f>
        <v>0</v>
      </c>
      <c r="AD564" s="16">
        <f t="shared" si="318"/>
        <v>0</v>
      </c>
      <c r="AE564" s="106"/>
      <c r="AF564" s="16">
        <f t="shared" si="326"/>
        <v>0</v>
      </c>
      <c r="AG564" s="16">
        <f t="shared" si="327"/>
        <v>0</v>
      </c>
      <c r="AH564" s="16">
        <f t="shared" si="328"/>
        <v>0</v>
      </c>
      <c r="AJ564" s="13">
        <f t="shared" si="341"/>
        <v>0</v>
      </c>
      <c r="AK564" s="13">
        <f t="shared" si="341"/>
        <v>0</v>
      </c>
      <c r="AL564" s="13">
        <f t="shared" si="341"/>
        <v>0</v>
      </c>
      <c r="AM564" s="13">
        <f t="shared" si="341"/>
        <v>0</v>
      </c>
      <c r="AN564" s="13">
        <f t="shared" si="341"/>
        <v>0</v>
      </c>
      <c r="AO564" s="13">
        <f t="shared" si="341"/>
        <v>1</v>
      </c>
      <c r="AP564" s="13">
        <f t="shared" si="341"/>
        <v>1</v>
      </c>
      <c r="AQ564" s="13">
        <f t="shared" si="341"/>
        <v>1</v>
      </c>
      <c r="AR564" s="13">
        <f t="shared" si="341"/>
        <v>0</v>
      </c>
      <c r="AS564" s="13">
        <f t="shared" si="341"/>
        <v>0</v>
      </c>
      <c r="AT564" s="13">
        <f t="shared" si="341"/>
        <v>0</v>
      </c>
      <c r="AU564" s="13">
        <f t="shared" si="341"/>
        <v>1</v>
      </c>
      <c r="AV564" s="13">
        <f t="shared" si="319"/>
        <v>0</v>
      </c>
      <c r="AW564" s="13">
        <f t="shared" si="320"/>
        <v>1</v>
      </c>
      <c r="AY564" s="17">
        <f t="shared" si="321"/>
        <v>474</v>
      </c>
      <c r="AZ564" s="28">
        <f t="shared" si="329"/>
        <v>0</v>
      </c>
      <c r="BA564" s="13">
        <f t="shared" si="322"/>
        <v>0</v>
      </c>
      <c r="BB564" s="13">
        <f t="shared" si="323"/>
        <v>0</v>
      </c>
      <c r="BC564" s="28">
        <f t="shared" si="330"/>
        <v>0</v>
      </c>
      <c r="BD564" s="28">
        <f t="shared" si="331"/>
        <v>0</v>
      </c>
      <c r="BF564" s="248">
        <f t="shared" si="332"/>
        <v>993869.29442638322</v>
      </c>
    </row>
    <row r="565" spans="1:58">
      <c r="A565" s="32">
        <f t="shared" si="333"/>
        <v>-390</v>
      </c>
      <c r="B565" s="32">
        <f t="shared" si="324"/>
        <v>92</v>
      </c>
      <c r="C565" s="32">
        <f t="shared" si="334"/>
        <v>40</v>
      </c>
      <c r="D565" s="32">
        <f t="shared" si="335"/>
        <v>475</v>
      </c>
      <c r="E565" s="74">
        <f>MIN(IF(AV565=0,0,
IF(Investment_Strategy="DIS",VLOOKUP(Investment_Strategy&amp;"_"&amp;Investment_Strategy_Sub1&amp;"_"&amp;$A565,'Investment Strategies'!$AZ:$BP,12,FALSE),
IF(AND(Investment_Strategy="Lifecycle",Investment_Strategy_Sub1="Non-Standard"),VLOOKUP(Investment_Strategy&amp;"_"&amp;Investment_Strategy_Sub2&amp;"_"&amp;$A565,'Investment Strategies'!$C:$P,9,FALSE),
IF(AND(Investment_Strategy="Lifecycle",Investment_Strategy_Sub1="Standard"),VLOOKUP(Investment_Strategy&amp;"_"&amp;Investment_Strategy_Sub2&amp;"_"&amp;$A565,'Investment Strategies'!$AJ:$AV,8,FALSE),
IF(AND(Investment_Strategy="Autopilot",Investment_Strategy_Sub1="Non-Standard"),VLOOKUP(Investment_Strategy&amp;"_"&amp;Investment_Strategy_Sub2&amp;"_"&amp;$A565,'Investment Strategies'!$T:$AF,8,FALSE),
IF(Investment_Strategy ="DIY",DIY_RateOfReturn_CurrentFunds,
"Error")))))),Max_InvReturn)</f>
        <v>0</v>
      </c>
      <c r="F565" s="62">
        <f>IF(AV565=0,0,
IF(Investment_Strategy="DIS",VLOOKUP(Investment_Strategy&amp;"_"&amp;Investment_Strategy_Sub1&amp;"_"&amp;$A565,'Investment Strategies'!$AZ:$BP,15,FALSE),
IF(AND(Investment_Strategy="Lifecycle",Investment_Strategy_Sub1="Non-Standard"),VLOOKUP(Investment_Strategy&amp;"_"&amp;Investment_Strategy_Sub2&amp;"_"&amp;$A565,'Investment Strategies'!$C:$P,12,FALSE),
IF(AND(Investment_Strategy="Lifecycle",Investment_Strategy_Sub1="Standard"),VLOOKUP(Investment_Strategy&amp;"_"&amp;Investment_Strategy_Sub2&amp;"_"&amp;$A565,'Investment Strategies'!$AJ:$AV,11,FALSE),
IF(AND(Investment_Strategy="Autopilot",Investment_Strategy_Sub1="Non-Standard"),VLOOKUP(Investment_Strategy&amp;"_"&amp;Investment_Strategy_Sub2&amp;"_"&amp;$A565,'Investment Strategies'!$T:$AF,11,FALSE),
IF(Investment_Strategy="DIY",DIY_GteeChrge_CurrentFunds,
"Error"))))))</f>
        <v>0</v>
      </c>
      <c r="G565" s="33">
        <f>IF(AV565=0,0,
IF(Investment_Strategy="DIS",VLOOKUP(Investment_Strategy&amp;"_"&amp;Investment_Strategy_Sub1&amp;"_"&amp;$A565,'Investment Strategies'!$AZ:$BP,17,FALSE),
IF(AND(Investment_Strategy="Lifecycle",Investment_Strategy_Sub1="Non-Standard"),VLOOKUP(Investment_Strategy&amp;"_"&amp;Investment_Strategy_Sub2&amp;"_"&amp;$A565,'Investment Strategies'!$C:$P,14,FALSE),
IF(AND(Investment_Strategy="Lifecycle",Investment_Strategy_Sub1="Standard"),VLOOKUP(Investment_Strategy&amp;"_"&amp;Investment_Strategy_Sub2&amp;"_"&amp;$A565,'Investment Strategies'!$AJ:$AV,13,FALSE),
IF(AND(Investment_Strategy="Autopilot",Investment_Strategy_Sub1="Non-Standard"),VLOOKUP(Investment_Strategy&amp;"_"&amp;Investment_Strategy_Sub2&amp;"_"&amp;$A565,'Investment Strategies'!$T:$AF,13,FALSE),
IF(Investment_Strategy="DIY",DIY_ExtManChrge_CurrentFunds,
"Error"))))))</f>
        <v>0</v>
      </c>
      <c r="H565" s="16">
        <f t="shared" si="325"/>
        <v>0</v>
      </c>
      <c r="I565" s="16">
        <f t="shared" si="311"/>
        <v>0</v>
      </c>
      <c r="J565" s="16">
        <f t="shared" si="312"/>
        <v>0</v>
      </c>
      <c r="K565" s="16">
        <f>(Opening_Fund_Value+SUM(K$91:K564))*E565*IF(D565=$A$91,SRP_finalmonthfactor,1)</f>
        <v>0</v>
      </c>
      <c r="L565" s="74">
        <f>MIN(IF($AV565=0,0,
IF(Investment_Strategy="DIS",VLOOKUP(Investment_Strategy&amp;"_"&amp;Investment_Strategy_Sub1&amp;"_"&amp;$A565,'Investment Strategies'!$AZ:$BP,12,FALSE),
IF(AND(Investment_Strategy="Lifecycle",Investment_Strategy_Sub1="Non-Standard"),VLOOKUP(Investment_Strategy&amp;"_"&amp;Investment_Strategy_Sub2&amp;"_"&amp;$A565,'Investment Strategies'!$C:$P,9,FALSE),
IF(AND(Investment_Strategy="Lifecycle",Investment_Strategy_Sub1="Standard"),VLOOKUP(Investment_Strategy&amp;"_"&amp;Investment_Strategy_Sub2&amp;"_"&amp;$A565,'Investment Strategies'!$AJ:$AV,8,FALSE),
IF(AND(Investment_Strategy="Autopilot",Investment_Strategy_Sub1="Non-Standard"),VLOOKUP(Investment_Strategy&amp;"_"&amp;Investment_Strategy_Sub2&amp;"_"&amp;$A565,'Investment Strategies'!$T:$AF,8,FALSE),
IF(Investment_Strategy ="DIY",DIY_RateofReturn_SP,
"Error")))))),Max_InvReturn)</f>
        <v>0</v>
      </c>
      <c r="M565" s="62">
        <f>IF($AV565=0,0,
IF(Investment_Strategy="DIS",VLOOKUP(Investment_Strategy&amp;"_"&amp;Investment_Strategy_Sub1&amp;"_"&amp;$A565,'Investment Strategies'!$AZ:$BP,15,FALSE),
IF(AND(Investment_Strategy="Lifecycle",Investment_Strategy_Sub1="Non-Standard"),VLOOKUP(Investment_Strategy&amp;"_"&amp;Investment_Strategy_Sub2&amp;"_"&amp;$A565,'Investment Strategies'!$C:$P,12,FALSE),
IF(AND(Investment_Strategy="Lifecycle",Investment_Strategy_Sub1="Standard"),VLOOKUP(Investment_Strategy&amp;"_"&amp;Investment_Strategy_Sub2&amp;"_"&amp;$A565,'Investment Strategies'!$AJ:$AV,11,FALSE),
IF(AND(Investment_Strategy="Autopilot",Investment_Strategy_Sub1="Non-Standard"),VLOOKUP(Investment_Strategy&amp;"_"&amp;Investment_Strategy_Sub2&amp;"_"&amp;$A565,'Investment Strategies'!$T:$AF,11,FALSE),
IF(Investment_Strategy="DIY",DIY_GteeChrge_SP,
"Error"))))))</f>
        <v>0</v>
      </c>
      <c r="N565" s="33">
        <f>IF($AV565=0,0,
IF(Investment_Strategy="DIS",VLOOKUP(Investment_Strategy&amp;"_"&amp;Investment_Strategy_Sub1&amp;"_"&amp;$A565,'Investment Strategies'!$AZ:$BP,17,FALSE),
IF(AND(Investment_Strategy="Lifecycle",Investment_Strategy_Sub1="Non-Standard"),VLOOKUP(Investment_Strategy&amp;"_"&amp;Investment_Strategy_Sub2&amp;"_"&amp;$A565,'Investment Strategies'!$C:$P,14,FALSE),
IF(AND(Investment_Strategy="Lifecycle",Investment_Strategy_Sub1="Standard"),VLOOKUP(Investment_Strategy&amp;"_"&amp;Investment_Strategy_Sub2&amp;"_"&amp;$A565,'Investment Strategies'!$AJ:$AV,13,FALSE),
IF(AND(Investment_Strategy="Autopilot",Investment_Strategy_Sub1="Non-Standard"),VLOOKUP(Investment_Strategy&amp;"_"&amp;Investment_Strategy_Sub2&amp;"_"&amp;$A565,'Investment Strategies'!$T:$AF,13,FALSE),
IF(Investment_Strategy="DIY",DIY_ExtManChrge_SP,
"Error"))))))</f>
        <v>0</v>
      </c>
      <c r="O565" s="16">
        <f t="shared" si="336"/>
        <v>0</v>
      </c>
      <c r="Q565" s="16">
        <f t="shared" si="313"/>
        <v>0</v>
      </c>
      <c r="R565" s="16">
        <f t="shared" si="310"/>
        <v>0</v>
      </c>
      <c r="S565" s="16">
        <f>(SRP_SP+SUM(S$91:S564))*L565*IF(D565=$A$91,SRP_finalmonthfactor,1)</f>
        <v>0</v>
      </c>
      <c r="T565" s="74">
        <f>MIN(IF($AV565=0,0,
IF(Investment_Strategy="DIS",VLOOKUP(Investment_Strategy&amp;"_"&amp;Investment_Strategy_Sub1&amp;"_"&amp;$A565,'Investment Strategies'!$AZ:$BP,12,FALSE),
IF(AND(Investment_Strategy="Lifecycle",Investment_Strategy_Sub1="Non-Standard"),VLOOKUP(Investment_Strategy&amp;"_"&amp;Investment_Strategy_Sub2&amp;"_"&amp;$A565,'Investment Strategies'!$C:$P,9,FALSE),
IF(AND(Investment_Strategy="Lifecycle",Investment_Strategy_Sub1="Standard"),VLOOKUP(Investment_Strategy&amp;"_"&amp;Investment_Strategy_Sub2&amp;"_"&amp;$A565,'Investment Strategies'!$AJ:$AV,8,FALSE),
IF(AND(Investment_Strategy="Autopilot",Investment_Strategy_Sub1="Non-Standard"),VLOOKUP(Investment_Strategy&amp;"_"&amp;Investment_Strategy_Sub2&amp;"_"&amp;$A565,'Investment Strategies'!$T:$AF,8,FALSE),
IF(Investment_Strategy ="DIY",DIY_RateOfReturn_FuturePremiums,
"Error")))))),Max_InvReturn)</f>
        <v>0</v>
      </c>
      <c r="U565" s="62">
        <f>IF($AV565=0,0,
IF(Investment_Strategy="DIS",VLOOKUP(Investment_Strategy&amp;"_"&amp;Investment_Strategy_Sub1&amp;"_"&amp;$A565,'Investment Strategies'!$AZ:$BP,15,FALSE),
IF(AND(Investment_Strategy="Lifecycle",Investment_Strategy_Sub1="Non-Standard"),VLOOKUP(Investment_Strategy&amp;"_"&amp;Investment_Strategy_Sub2&amp;"_"&amp;$A565,'Investment Strategies'!$C:$P,12,FALSE),
IF(AND(Investment_Strategy="Lifecycle",Investment_Strategy_Sub1="Standard"),VLOOKUP(Investment_Strategy&amp;"_"&amp;Investment_Strategy_Sub2&amp;"_"&amp;$A565,'Investment Strategies'!$AJ:$AV,11,FALSE),
IF(AND(Investment_Strategy="Autopilot",Investment_Strategy_Sub1="Non-Standard"),VLOOKUP(Investment_Strategy&amp;"_"&amp;Investment_Strategy_Sub2&amp;"_"&amp;$A565,'Investment Strategies'!$T:$AF,11,FALSE),
IF(Investment_Strategy="DIY",DIY_GteeChrge_FuturePremiums,
"Error"))))))</f>
        <v>0</v>
      </c>
      <c r="V565" s="33">
        <f>IF(AV565=0,0,
IF(Investment_Strategy="DIS",VLOOKUP(Investment_Strategy&amp;"_"&amp;Investment_Strategy_Sub1&amp;"_"&amp;$A565,'Investment Strategies'!$AZ:$BP,17,FALSE),
IF(AND(Investment_Strategy="Lifecycle",Investment_Strategy_Sub1="Non-Standard"),VLOOKUP(Investment_Strategy&amp;"_"&amp;Investment_Strategy_Sub2&amp;"_"&amp;$A565,'Investment Strategies'!$C:$P,14,FALSE),
IF(AND(Investment_Strategy="Lifecycle",Investment_Strategy_Sub1="Standard"),VLOOKUP(Investment_Strategy&amp;"_"&amp;Investment_Strategy_Sub2&amp;"_"&amp;$A565,'Investment Strategies'!$AJ:$AV,13,FALSE),
IF(AND(Investment_Strategy="Autopilot",Investment_Strategy_Sub1="Non-Standard"),VLOOKUP(Investment_Strategy&amp;"_"&amp;Investment_Strategy_Sub2&amp;"_"&amp;$A565,'Investment Strategies'!$T:$AF,13,FALSE),
IF(Investment_Strategy="DIY",DIY_ExtManChrge_FuturePremiums,
"Error"))))))</f>
        <v>0</v>
      </c>
      <c r="W565" s="16">
        <f t="shared" si="337"/>
        <v>0</v>
      </c>
      <c r="X565" s="16">
        <f t="shared" si="314"/>
        <v>0</v>
      </c>
      <c r="Y565" s="16">
        <f t="shared" si="315"/>
        <v>0</v>
      </c>
      <c r="Z565" s="31">
        <f t="shared" si="316"/>
        <v>0.02</v>
      </c>
      <c r="AA565" s="16">
        <f t="shared" si="317"/>
        <v>0</v>
      </c>
      <c r="AB565" s="28">
        <f t="shared" si="339"/>
        <v>0</v>
      </c>
      <c r="AC565" s="28">
        <f>(SUM($AC$91:AC564)+SUM($X$91:X564)+X565)*T565*IF(D565=$A$91,SRP_finalmonthfactor,1)</f>
        <v>0</v>
      </c>
      <c r="AD565" s="16">
        <f t="shared" si="318"/>
        <v>0</v>
      </c>
      <c r="AE565" s="106"/>
      <c r="AF565" s="16">
        <f t="shared" si="326"/>
        <v>0</v>
      </c>
      <c r="AG565" s="16">
        <f t="shared" si="327"/>
        <v>0</v>
      </c>
      <c r="AH565" s="16">
        <f t="shared" si="328"/>
        <v>0</v>
      </c>
      <c r="AJ565" s="13">
        <f t="shared" si="341"/>
        <v>0</v>
      </c>
      <c r="AK565" s="13">
        <f t="shared" si="341"/>
        <v>0</v>
      </c>
      <c r="AL565" s="13">
        <f t="shared" si="341"/>
        <v>0</v>
      </c>
      <c r="AM565" s="13">
        <f t="shared" si="341"/>
        <v>0</v>
      </c>
      <c r="AN565" s="13">
        <f t="shared" si="341"/>
        <v>0</v>
      </c>
      <c r="AO565" s="13">
        <f t="shared" si="341"/>
        <v>1</v>
      </c>
      <c r="AP565" s="13">
        <f t="shared" si="341"/>
        <v>1</v>
      </c>
      <c r="AQ565" s="13">
        <f t="shared" si="341"/>
        <v>1</v>
      </c>
      <c r="AR565" s="13">
        <f t="shared" si="341"/>
        <v>0</v>
      </c>
      <c r="AS565" s="13">
        <f t="shared" si="341"/>
        <v>0</v>
      </c>
      <c r="AT565" s="13">
        <f t="shared" si="341"/>
        <v>0</v>
      </c>
      <c r="AU565" s="13">
        <f t="shared" si="341"/>
        <v>1</v>
      </c>
      <c r="AV565" s="13">
        <f t="shared" si="319"/>
        <v>0</v>
      </c>
      <c r="AW565" s="13">
        <f t="shared" si="320"/>
        <v>1</v>
      </c>
      <c r="AY565" s="17">
        <f t="shared" si="321"/>
        <v>475</v>
      </c>
      <c r="AZ565" s="28">
        <f t="shared" si="329"/>
        <v>0</v>
      </c>
      <c r="BA565" s="13">
        <f t="shared" si="322"/>
        <v>0</v>
      </c>
      <c r="BB565" s="13">
        <f t="shared" si="323"/>
        <v>0</v>
      </c>
      <c r="BC565" s="28">
        <f t="shared" si="330"/>
        <v>0</v>
      </c>
      <c r="BD565" s="28">
        <f t="shared" si="331"/>
        <v>0</v>
      </c>
      <c r="BF565" s="248">
        <f t="shared" si="332"/>
        <v>993869.29442638322</v>
      </c>
    </row>
    <row r="566" spans="1:58">
      <c r="A566" s="32">
        <f t="shared" si="333"/>
        <v>-391</v>
      </c>
      <c r="B566" s="32">
        <f t="shared" si="324"/>
        <v>92</v>
      </c>
      <c r="C566" s="32">
        <f t="shared" si="334"/>
        <v>40</v>
      </c>
      <c r="D566" s="32">
        <f t="shared" si="335"/>
        <v>476</v>
      </c>
      <c r="E566" s="74">
        <f>MIN(IF(AV566=0,0,
IF(Investment_Strategy="DIS",VLOOKUP(Investment_Strategy&amp;"_"&amp;Investment_Strategy_Sub1&amp;"_"&amp;$A566,'Investment Strategies'!$AZ:$BP,12,FALSE),
IF(AND(Investment_Strategy="Lifecycle",Investment_Strategy_Sub1="Non-Standard"),VLOOKUP(Investment_Strategy&amp;"_"&amp;Investment_Strategy_Sub2&amp;"_"&amp;$A566,'Investment Strategies'!$C:$P,9,FALSE),
IF(AND(Investment_Strategy="Lifecycle",Investment_Strategy_Sub1="Standard"),VLOOKUP(Investment_Strategy&amp;"_"&amp;Investment_Strategy_Sub2&amp;"_"&amp;$A566,'Investment Strategies'!$AJ:$AV,8,FALSE),
IF(AND(Investment_Strategy="Autopilot",Investment_Strategy_Sub1="Non-Standard"),VLOOKUP(Investment_Strategy&amp;"_"&amp;Investment_Strategy_Sub2&amp;"_"&amp;$A566,'Investment Strategies'!$T:$AF,8,FALSE),
IF(Investment_Strategy ="DIY",DIY_RateOfReturn_CurrentFunds,
"Error")))))),Max_InvReturn)</f>
        <v>0</v>
      </c>
      <c r="F566" s="62">
        <f>IF(AV566=0,0,
IF(Investment_Strategy="DIS",VLOOKUP(Investment_Strategy&amp;"_"&amp;Investment_Strategy_Sub1&amp;"_"&amp;$A566,'Investment Strategies'!$AZ:$BP,15,FALSE),
IF(AND(Investment_Strategy="Lifecycle",Investment_Strategy_Sub1="Non-Standard"),VLOOKUP(Investment_Strategy&amp;"_"&amp;Investment_Strategy_Sub2&amp;"_"&amp;$A566,'Investment Strategies'!$C:$P,12,FALSE),
IF(AND(Investment_Strategy="Lifecycle",Investment_Strategy_Sub1="Standard"),VLOOKUP(Investment_Strategy&amp;"_"&amp;Investment_Strategy_Sub2&amp;"_"&amp;$A566,'Investment Strategies'!$AJ:$AV,11,FALSE),
IF(AND(Investment_Strategy="Autopilot",Investment_Strategy_Sub1="Non-Standard"),VLOOKUP(Investment_Strategy&amp;"_"&amp;Investment_Strategy_Sub2&amp;"_"&amp;$A566,'Investment Strategies'!$T:$AF,11,FALSE),
IF(Investment_Strategy="DIY",DIY_GteeChrge_CurrentFunds,
"Error"))))))</f>
        <v>0</v>
      </c>
      <c r="G566" s="33">
        <f>IF(AV566=0,0,
IF(Investment_Strategy="DIS",VLOOKUP(Investment_Strategy&amp;"_"&amp;Investment_Strategy_Sub1&amp;"_"&amp;$A566,'Investment Strategies'!$AZ:$BP,17,FALSE),
IF(AND(Investment_Strategy="Lifecycle",Investment_Strategy_Sub1="Non-Standard"),VLOOKUP(Investment_Strategy&amp;"_"&amp;Investment_Strategy_Sub2&amp;"_"&amp;$A566,'Investment Strategies'!$C:$P,14,FALSE),
IF(AND(Investment_Strategy="Lifecycle",Investment_Strategy_Sub1="Standard"),VLOOKUP(Investment_Strategy&amp;"_"&amp;Investment_Strategy_Sub2&amp;"_"&amp;$A566,'Investment Strategies'!$AJ:$AV,13,FALSE),
IF(AND(Investment_Strategy="Autopilot",Investment_Strategy_Sub1="Non-Standard"),VLOOKUP(Investment_Strategy&amp;"_"&amp;Investment_Strategy_Sub2&amp;"_"&amp;$A566,'Investment Strategies'!$T:$AF,13,FALSE),
IF(Investment_Strategy="DIY",DIY_ExtManChrge_CurrentFunds,
"Error"))))))</f>
        <v>0</v>
      </c>
      <c r="H566" s="16">
        <f t="shared" si="325"/>
        <v>0</v>
      </c>
      <c r="I566" s="16">
        <f t="shared" si="311"/>
        <v>0</v>
      </c>
      <c r="J566" s="16">
        <f t="shared" si="312"/>
        <v>0</v>
      </c>
      <c r="K566" s="16">
        <f>(Opening_Fund_Value+SUM(K$91:K565))*E566*IF(D566=$A$91,SRP_finalmonthfactor,1)</f>
        <v>0</v>
      </c>
      <c r="L566" s="74">
        <f>MIN(IF($AV566=0,0,
IF(Investment_Strategy="DIS",VLOOKUP(Investment_Strategy&amp;"_"&amp;Investment_Strategy_Sub1&amp;"_"&amp;$A566,'Investment Strategies'!$AZ:$BP,12,FALSE),
IF(AND(Investment_Strategy="Lifecycle",Investment_Strategy_Sub1="Non-Standard"),VLOOKUP(Investment_Strategy&amp;"_"&amp;Investment_Strategy_Sub2&amp;"_"&amp;$A566,'Investment Strategies'!$C:$P,9,FALSE),
IF(AND(Investment_Strategy="Lifecycle",Investment_Strategy_Sub1="Standard"),VLOOKUP(Investment_Strategy&amp;"_"&amp;Investment_Strategy_Sub2&amp;"_"&amp;$A566,'Investment Strategies'!$AJ:$AV,8,FALSE),
IF(AND(Investment_Strategy="Autopilot",Investment_Strategy_Sub1="Non-Standard"),VLOOKUP(Investment_Strategy&amp;"_"&amp;Investment_Strategy_Sub2&amp;"_"&amp;$A566,'Investment Strategies'!$T:$AF,8,FALSE),
IF(Investment_Strategy ="DIY",DIY_RateofReturn_SP,
"Error")))))),Max_InvReturn)</f>
        <v>0</v>
      </c>
      <c r="M566" s="62">
        <f>IF($AV566=0,0,
IF(Investment_Strategy="DIS",VLOOKUP(Investment_Strategy&amp;"_"&amp;Investment_Strategy_Sub1&amp;"_"&amp;$A566,'Investment Strategies'!$AZ:$BP,15,FALSE),
IF(AND(Investment_Strategy="Lifecycle",Investment_Strategy_Sub1="Non-Standard"),VLOOKUP(Investment_Strategy&amp;"_"&amp;Investment_Strategy_Sub2&amp;"_"&amp;$A566,'Investment Strategies'!$C:$P,12,FALSE),
IF(AND(Investment_Strategy="Lifecycle",Investment_Strategy_Sub1="Standard"),VLOOKUP(Investment_Strategy&amp;"_"&amp;Investment_Strategy_Sub2&amp;"_"&amp;$A566,'Investment Strategies'!$AJ:$AV,11,FALSE),
IF(AND(Investment_Strategy="Autopilot",Investment_Strategy_Sub1="Non-Standard"),VLOOKUP(Investment_Strategy&amp;"_"&amp;Investment_Strategy_Sub2&amp;"_"&amp;$A566,'Investment Strategies'!$T:$AF,11,FALSE),
IF(Investment_Strategy="DIY",DIY_GteeChrge_SP,
"Error"))))))</f>
        <v>0</v>
      </c>
      <c r="N566" s="33">
        <f>IF($AV566=0,0,
IF(Investment_Strategy="DIS",VLOOKUP(Investment_Strategy&amp;"_"&amp;Investment_Strategy_Sub1&amp;"_"&amp;$A566,'Investment Strategies'!$AZ:$BP,17,FALSE),
IF(AND(Investment_Strategy="Lifecycle",Investment_Strategy_Sub1="Non-Standard"),VLOOKUP(Investment_Strategy&amp;"_"&amp;Investment_Strategy_Sub2&amp;"_"&amp;$A566,'Investment Strategies'!$C:$P,14,FALSE),
IF(AND(Investment_Strategy="Lifecycle",Investment_Strategy_Sub1="Standard"),VLOOKUP(Investment_Strategy&amp;"_"&amp;Investment_Strategy_Sub2&amp;"_"&amp;$A566,'Investment Strategies'!$AJ:$AV,13,FALSE),
IF(AND(Investment_Strategy="Autopilot",Investment_Strategy_Sub1="Non-Standard"),VLOOKUP(Investment_Strategy&amp;"_"&amp;Investment_Strategy_Sub2&amp;"_"&amp;$A566,'Investment Strategies'!$T:$AF,13,FALSE),
IF(Investment_Strategy="DIY",DIY_ExtManChrge_SP,
"Error"))))))</f>
        <v>0</v>
      </c>
      <c r="O566" s="16">
        <f t="shared" si="336"/>
        <v>0</v>
      </c>
      <c r="Q566" s="16">
        <f t="shared" si="313"/>
        <v>0</v>
      </c>
      <c r="R566" s="16">
        <f t="shared" si="310"/>
        <v>0</v>
      </c>
      <c r="S566" s="16">
        <f>(SRP_SP+SUM(S$91:S565))*L566*IF(D566=$A$91,SRP_finalmonthfactor,1)</f>
        <v>0</v>
      </c>
      <c r="T566" s="74">
        <f>MIN(IF($AV566=0,0,
IF(Investment_Strategy="DIS",VLOOKUP(Investment_Strategy&amp;"_"&amp;Investment_Strategy_Sub1&amp;"_"&amp;$A566,'Investment Strategies'!$AZ:$BP,12,FALSE),
IF(AND(Investment_Strategy="Lifecycle",Investment_Strategy_Sub1="Non-Standard"),VLOOKUP(Investment_Strategy&amp;"_"&amp;Investment_Strategy_Sub2&amp;"_"&amp;$A566,'Investment Strategies'!$C:$P,9,FALSE),
IF(AND(Investment_Strategy="Lifecycle",Investment_Strategy_Sub1="Standard"),VLOOKUP(Investment_Strategy&amp;"_"&amp;Investment_Strategy_Sub2&amp;"_"&amp;$A566,'Investment Strategies'!$AJ:$AV,8,FALSE),
IF(AND(Investment_Strategy="Autopilot",Investment_Strategy_Sub1="Non-Standard"),VLOOKUP(Investment_Strategy&amp;"_"&amp;Investment_Strategy_Sub2&amp;"_"&amp;$A566,'Investment Strategies'!$T:$AF,8,FALSE),
IF(Investment_Strategy ="DIY",DIY_RateOfReturn_FuturePremiums,
"Error")))))),Max_InvReturn)</f>
        <v>0</v>
      </c>
      <c r="U566" s="62">
        <f>IF($AV566=0,0,
IF(Investment_Strategy="DIS",VLOOKUP(Investment_Strategy&amp;"_"&amp;Investment_Strategy_Sub1&amp;"_"&amp;$A566,'Investment Strategies'!$AZ:$BP,15,FALSE),
IF(AND(Investment_Strategy="Lifecycle",Investment_Strategy_Sub1="Non-Standard"),VLOOKUP(Investment_Strategy&amp;"_"&amp;Investment_Strategy_Sub2&amp;"_"&amp;$A566,'Investment Strategies'!$C:$P,12,FALSE),
IF(AND(Investment_Strategy="Lifecycle",Investment_Strategy_Sub1="Standard"),VLOOKUP(Investment_Strategy&amp;"_"&amp;Investment_Strategy_Sub2&amp;"_"&amp;$A566,'Investment Strategies'!$AJ:$AV,11,FALSE),
IF(AND(Investment_Strategy="Autopilot",Investment_Strategy_Sub1="Non-Standard"),VLOOKUP(Investment_Strategy&amp;"_"&amp;Investment_Strategy_Sub2&amp;"_"&amp;$A566,'Investment Strategies'!$T:$AF,11,FALSE),
IF(Investment_Strategy="DIY",DIY_GteeChrge_FuturePremiums,
"Error"))))))</f>
        <v>0</v>
      </c>
      <c r="V566" s="33">
        <f>IF(AV566=0,0,
IF(Investment_Strategy="DIS",VLOOKUP(Investment_Strategy&amp;"_"&amp;Investment_Strategy_Sub1&amp;"_"&amp;$A566,'Investment Strategies'!$AZ:$BP,17,FALSE),
IF(AND(Investment_Strategy="Lifecycle",Investment_Strategy_Sub1="Non-Standard"),VLOOKUP(Investment_Strategy&amp;"_"&amp;Investment_Strategy_Sub2&amp;"_"&amp;$A566,'Investment Strategies'!$C:$P,14,FALSE),
IF(AND(Investment_Strategy="Lifecycle",Investment_Strategy_Sub1="Standard"),VLOOKUP(Investment_Strategy&amp;"_"&amp;Investment_Strategy_Sub2&amp;"_"&amp;$A566,'Investment Strategies'!$AJ:$AV,13,FALSE),
IF(AND(Investment_Strategy="Autopilot",Investment_Strategy_Sub1="Non-Standard"),VLOOKUP(Investment_Strategy&amp;"_"&amp;Investment_Strategy_Sub2&amp;"_"&amp;$A566,'Investment Strategies'!$T:$AF,13,FALSE),
IF(Investment_Strategy="DIY",DIY_ExtManChrge_FuturePremiums,
"Error"))))))</f>
        <v>0</v>
      </c>
      <c r="W566" s="16">
        <f t="shared" si="337"/>
        <v>0</v>
      </c>
      <c r="X566" s="16">
        <f t="shared" si="314"/>
        <v>0</v>
      </c>
      <c r="Y566" s="16">
        <f t="shared" si="315"/>
        <v>0</v>
      </c>
      <c r="Z566" s="31">
        <f t="shared" si="316"/>
        <v>0.02</v>
      </c>
      <c r="AA566" s="16">
        <f t="shared" si="317"/>
        <v>0</v>
      </c>
      <c r="AB566" s="28">
        <f t="shared" si="339"/>
        <v>0</v>
      </c>
      <c r="AC566" s="28">
        <f>(SUM($AC$91:AC565)+SUM($X$91:X565)+X566)*T566*IF(D566=$A$91,SRP_finalmonthfactor,1)</f>
        <v>0</v>
      </c>
      <c r="AD566" s="16">
        <f t="shared" si="318"/>
        <v>0</v>
      </c>
      <c r="AE566" s="106"/>
      <c r="AF566" s="16">
        <f t="shared" si="326"/>
        <v>0</v>
      </c>
      <c r="AG566" s="16">
        <f t="shared" si="327"/>
        <v>0</v>
      </c>
      <c r="AH566" s="16">
        <f t="shared" si="328"/>
        <v>0</v>
      </c>
      <c r="AJ566" s="13">
        <f t="shared" si="341"/>
        <v>0</v>
      </c>
      <c r="AK566" s="13">
        <f t="shared" si="341"/>
        <v>0</v>
      </c>
      <c r="AL566" s="13">
        <f t="shared" si="341"/>
        <v>0</v>
      </c>
      <c r="AM566" s="13">
        <f t="shared" si="341"/>
        <v>0</v>
      </c>
      <c r="AN566" s="13">
        <f t="shared" si="341"/>
        <v>0</v>
      </c>
      <c r="AO566" s="13">
        <f t="shared" si="341"/>
        <v>1</v>
      </c>
      <c r="AP566" s="13">
        <f t="shared" si="341"/>
        <v>1</v>
      </c>
      <c r="AQ566" s="13">
        <f t="shared" si="341"/>
        <v>1</v>
      </c>
      <c r="AR566" s="13">
        <f t="shared" si="341"/>
        <v>0</v>
      </c>
      <c r="AS566" s="13">
        <f t="shared" si="341"/>
        <v>0</v>
      </c>
      <c r="AT566" s="13">
        <f t="shared" si="341"/>
        <v>0</v>
      </c>
      <c r="AU566" s="13">
        <f t="shared" si="341"/>
        <v>1</v>
      </c>
      <c r="AV566" s="13">
        <f t="shared" si="319"/>
        <v>0</v>
      </c>
      <c r="AW566" s="13">
        <f t="shared" si="320"/>
        <v>1</v>
      </c>
      <c r="AY566" s="17">
        <f t="shared" si="321"/>
        <v>476</v>
      </c>
      <c r="AZ566" s="28">
        <f t="shared" si="329"/>
        <v>0</v>
      </c>
      <c r="BA566" s="13">
        <f t="shared" si="322"/>
        <v>0</v>
      </c>
      <c r="BB566" s="13">
        <f t="shared" si="323"/>
        <v>0</v>
      </c>
      <c r="BC566" s="28">
        <f t="shared" si="330"/>
        <v>0</v>
      </c>
      <c r="BD566" s="28">
        <f t="shared" si="331"/>
        <v>0</v>
      </c>
      <c r="BF566" s="248">
        <f t="shared" si="332"/>
        <v>993869.29442638322</v>
      </c>
    </row>
    <row r="567" spans="1:58">
      <c r="A567" s="32">
        <f t="shared" si="333"/>
        <v>-392</v>
      </c>
      <c r="B567" s="32">
        <f t="shared" si="324"/>
        <v>92</v>
      </c>
      <c r="C567" s="32">
        <f t="shared" si="334"/>
        <v>40</v>
      </c>
      <c r="D567" s="32">
        <f t="shared" si="335"/>
        <v>477</v>
      </c>
      <c r="E567" s="74">
        <f>MIN(IF(AV567=0,0,
IF(Investment_Strategy="DIS",VLOOKUP(Investment_Strategy&amp;"_"&amp;Investment_Strategy_Sub1&amp;"_"&amp;$A567,'Investment Strategies'!$AZ:$BP,12,FALSE),
IF(AND(Investment_Strategy="Lifecycle",Investment_Strategy_Sub1="Non-Standard"),VLOOKUP(Investment_Strategy&amp;"_"&amp;Investment_Strategy_Sub2&amp;"_"&amp;$A567,'Investment Strategies'!$C:$P,9,FALSE),
IF(AND(Investment_Strategy="Lifecycle",Investment_Strategy_Sub1="Standard"),VLOOKUP(Investment_Strategy&amp;"_"&amp;Investment_Strategy_Sub2&amp;"_"&amp;$A567,'Investment Strategies'!$AJ:$AV,8,FALSE),
IF(AND(Investment_Strategy="Autopilot",Investment_Strategy_Sub1="Non-Standard"),VLOOKUP(Investment_Strategy&amp;"_"&amp;Investment_Strategy_Sub2&amp;"_"&amp;$A567,'Investment Strategies'!$T:$AF,8,FALSE),
IF(Investment_Strategy ="DIY",DIY_RateOfReturn_CurrentFunds,
"Error")))))),Max_InvReturn)</f>
        <v>0</v>
      </c>
      <c r="F567" s="62">
        <f>IF(AV567=0,0,
IF(Investment_Strategy="DIS",VLOOKUP(Investment_Strategy&amp;"_"&amp;Investment_Strategy_Sub1&amp;"_"&amp;$A567,'Investment Strategies'!$AZ:$BP,15,FALSE),
IF(AND(Investment_Strategy="Lifecycle",Investment_Strategy_Sub1="Non-Standard"),VLOOKUP(Investment_Strategy&amp;"_"&amp;Investment_Strategy_Sub2&amp;"_"&amp;$A567,'Investment Strategies'!$C:$P,12,FALSE),
IF(AND(Investment_Strategy="Lifecycle",Investment_Strategy_Sub1="Standard"),VLOOKUP(Investment_Strategy&amp;"_"&amp;Investment_Strategy_Sub2&amp;"_"&amp;$A567,'Investment Strategies'!$AJ:$AV,11,FALSE),
IF(AND(Investment_Strategy="Autopilot",Investment_Strategy_Sub1="Non-Standard"),VLOOKUP(Investment_Strategy&amp;"_"&amp;Investment_Strategy_Sub2&amp;"_"&amp;$A567,'Investment Strategies'!$T:$AF,11,FALSE),
IF(Investment_Strategy="DIY",DIY_GteeChrge_CurrentFunds,
"Error"))))))</f>
        <v>0</v>
      </c>
      <c r="G567" s="33">
        <f>IF(AV567=0,0,
IF(Investment_Strategy="DIS",VLOOKUP(Investment_Strategy&amp;"_"&amp;Investment_Strategy_Sub1&amp;"_"&amp;$A567,'Investment Strategies'!$AZ:$BP,17,FALSE),
IF(AND(Investment_Strategy="Lifecycle",Investment_Strategy_Sub1="Non-Standard"),VLOOKUP(Investment_Strategy&amp;"_"&amp;Investment_Strategy_Sub2&amp;"_"&amp;$A567,'Investment Strategies'!$C:$P,14,FALSE),
IF(AND(Investment_Strategy="Lifecycle",Investment_Strategy_Sub1="Standard"),VLOOKUP(Investment_Strategy&amp;"_"&amp;Investment_Strategy_Sub2&amp;"_"&amp;$A567,'Investment Strategies'!$AJ:$AV,13,FALSE),
IF(AND(Investment_Strategy="Autopilot",Investment_Strategy_Sub1="Non-Standard"),VLOOKUP(Investment_Strategy&amp;"_"&amp;Investment_Strategy_Sub2&amp;"_"&amp;$A567,'Investment Strategies'!$T:$AF,13,FALSE),
IF(Investment_Strategy="DIY",DIY_ExtManChrge_CurrentFunds,
"Error"))))))</f>
        <v>0</v>
      </c>
      <c r="H567" s="16">
        <f t="shared" si="325"/>
        <v>0</v>
      </c>
      <c r="I567" s="16">
        <f t="shared" si="311"/>
        <v>0</v>
      </c>
      <c r="J567" s="16">
        <f t="shared" si="312"/>
        <v>0</v>
      </c>
      <c r="K567" s="16">
        <f>(Opening_Fund_Value+SUM(K$91:K566))*E567*IF(D567=$A$91,SRP_finalmonthfactor,1)</f>
        <v>0</v>
      </c>
      <c r="L567" s="74">
        <f>MIN(IF($AV567=0,0,
IF(Investment_Strategy="DIS",VLOOKUP(Investment_Strategy&amp;"_"&amp;Investment_Strategy_Sub1&amp;"_"&amp;$A567,'Investment Strategies'!$AZ:$BP,12,FALSE),
IF(AND(Investment_Strategy="Lifecycle",Investment_Strategy_Sub1="Non-Standard"),VLOOKUP(Investment_Strategy&amp;"_"&amp;Investment_Strategy_Sub2&amp;"_"&amp;$A567,'Investment Strategies'!$C:$P,9,FALSE),
IF(AND(Investment_Strategy="Lifecycle",Investment_Strategy_Sub1="Standard"),VLOOKUP(Investment_Strategy&amp;"_"&amp;Investment_Strategy_Sub2&amp;"_"&amp;$A567,'Investment Strategies'!$AJ:$AV,8,FALSE),
IF(AND(Investment_Strategy="Autopilot",Investment_Strategy_Sub1="Non-Standard"),VLOOKUP(Investment_Strategy&amp;"_"&amp;Investment_Strategy_Sub2&amp;"_"&amp;$A567,'Investment Strategies'!$T:$AF,8,FALSE),
IF(Investment_Strategy ="DIY",DIY_RateofReturn_SP,
"Error")))))),Max_InvReturn)</f>
        <v>0</v>
      </c>
      <c r="M567" s="62">
        <f>IF($AV567=0,0,
IF(Investment_Strategy="DIS",VLOOKUP(Investment_Strategy&amp;"_"&amp;Investment_Strategy_Sub1&amp;"_"&amp;$A567,'Investment Strategies'!$AZ:$BP,15,FALSE),
IF(AND(Investment_Strategy="Lifecycle",Investment_Strategy_Sub1="Non-Standard"),VLOOKUP(Investment_Strategy&amp;"_"&amp;Investment_Strategy_Sub2&amp;"_"&amp;$A567,'Investment Strategies'!$C:$P,12,FALSE),
IF(AND(Investment_Strategy="Lifecycle",Investment_Strategy_Sub1="Standard"),VLOOKUP(Investment_Strategy&amp;"_"&amp;Investment_Strategy_Sub2&amp;"_"&amp;$A567,'Investment Strategies'!$AJ:$AV,11,FALSE),
IF(AND(Investment_Strategy="Autopilot",Investment_Strategy_Sub1="Non-Standard"),VLOOKUP(Investment_Strategy&amp;"_"&amp;Investment_Strategy_Sub2&amp;"_"&amp;$A567,'Investment Strategies'!$T:$AF,11,FALSE),
IF(Investment_Strategy="DIY",DIY_GteeChrge_SP,
"Error"))))))</f>
        <v>0</v>
      </c>
      <c r="N567" s="33">
        <f>IF($AV567=0,0,
IF(Investment_Strategy="DIS",VLOOKUP(Investment_Strategy&amp;"_"&amp;Investment_Strategy_Sub1&amp;"_"&amp;$A567,'Investment Strategies'!$AZ:$BP,17,FALSE),
IF(AND(Investment_Strategy="Lifecycle",Investment_Strategy_Sub1="Non-Standard"),VLOOKUP(Investment_Strategy&amp;"_"&amp;Investment_Strategy_Sub2&amp;"_"&amp;$A567,'Investment Strategies'!$C:$P,14,FALSE),
IF(AND(Investment_Strategy="Lifecycle",Investment_Strategy_Sub1="Standard"),VLOOKUP(Investment_Strategy&amp;"_"&amp;Investment_Strategy_Sub2&amp;"_"&amp;$A567,'Investment Strategies'!$AJ:$AV,13,FALSE),
IF(AND(Investment_Strategy="Autopilot",Investment_Strategy_Sub1="Non-Standard"),VLOOKUP(Investment_Strategy&amp;"_"&amp;Investment_Strategy_Sub2&amp;"_"&amp;$A567,'Investment Strategies'!$T:$AF,13,FALSE),
IF(Investment_Strategy="DIY",DIY_ExtManChrge_SP,
"Error"))))))</f>
        <v>0</v>
      </c>
      <c r="O567" s="16">
        <f t="shared" si="336"/>
        <v>0</v>
      </c>
      <c r="Q567" s="16">
        <f t="shared" si="313"/>
        <v>0</v>
      </c>
      <c r="R567" s="16">
        <f t="shared" si="310"/>
        <v>0</v>
      </c>
      <c r="S567" s="16">
        <f>(SRP_SP+SUM(S$91:S566))*L567*IF(D567=$A$91,SRP_finalmonthfactor,1)</f>
        <v>0</v>
      </c>
      <c r="T567" s="74">
        <f>MIN(IF($AV567=0,0,
IF(Investment_Strategy="DIS",VLOOKUP(Investment_Strategy&amp;"_"&amp;Investment_Strategy_Sub1&amp;"_"&amp;$A567,'Investment Strategies'!$AZ:$BP,12,FALSE),
IF(AND(Investment_Strategy="Lifecycle",Investment_Strategy_Sub1="Non-Standard"),VLOOKUP(Investment_Strategy&amp;"_"&amp;Investment_Strategy_Sub2&amp;"_"&amp;$A567,'Investment Strategies'!$C:$P,9,FALSE),
IF(AND(Investment_Strategy="Lifecycle",Investment_Strategy_Sub1="Standard"),VLOOKUP(Investment_Strategy&amp;"_"&amp;Investment_Strategy_Sub2&amp;"_"&amp;$A567,'Investment Strategies'!$AJ:$AV,8,FALSE),
IF(AND(Investment_Strategy="Autopilot",Investment_Strategy_Sub1="Non-Standard"),VLOOKUP(Investment_Strategy&amp;"_"&amp;Investment_Strategy_Sub2&amp;"_"&amp;$A567,'Investment Strategies'!$T:$AF,8,FALSE),
IF(Investment_Strategy ="DIY",DIY_RateOfReturn_FuturePremiums,
"Error")))))),Max_InvReturn)</f>
        <v>0</v>
      </c>
      <c r="U567" s="62">
        <f>IF($AV567=0,0,
IF(Investment_Strategy="DIS",VLOOKUP(Investment_Strategy&amp;"_"&amp;Investment_Strategy_Sub1&amp;"_"&amp;$A567,'Investment Strategies'!$AZ:$BP,15,FALSE),
IF(AND(Investment_Strategy="Lifecycle",Investment_Strategy_Sub1="Non-Standard"),VLOOKUP(Investment_Strategy&amp;"_"&amp;Investment_Strategy_Sub2&amp;"_"&amp;$A567,'Investment Strategies'!$C:$P,12,FALSE),
IF(AND(Investment_Strategy="Lifecycle",Investment_Strategy_Sub1="Standard"),VLOOKUP(Investment_Strategy&amp;"_"&amp;Investment_Strategy_Sub2&amp;"_"&amp;$A567,'Investment Strategies'!$AJ:$AV,11,FALSE),
IF(AND(Investment_Strategy="Autopilot",Investment_Strategy_Sub1="Non-Standard"),VLOOKUP(Investment_Strategy&amp;"_"&amp;Investment_Strategy_Sub2&amp;"_"&amp;$A567,'Investment Strategies'!$T:$AF,11,FALSE),
IF(Investment_Strategy="DIY",DIY_GteeChrge_FuturePremiums,
"Error"))))))</f>
        <v>0</v>
      </c>
      <c r="V567" s="33">
        <f>IF(AV567=0,0,
IF(Investment_Strategy="DIS",VLOOKUP(Investment_Strategy&amp;"_"&amp;Investment_Strategy_Sub1&amp;"_"&amp;$A567,'Investment Strategies'!$AZ:$BP,17,FALSE),
IF(AND(Investment_Strategy="Lifecycle",Investment_Strategy_Sub1="Non-Standard"),VLOOKUP(Investment_Strategy&amp;"_"&amp;Investment_Strategy_Sub2&amp;"_"&amp;$A567,'Investment Strategies'!$C:$P,14,FALSE),
IF(AND(Investment_Strategy="Lifecycle",Investment_Strategy_Sub1="Standard"),VLOOKUP(Investment_Strategy&amp;"_"&amp;Investment_Strategy_Sub2&amp;"_"&amp;$A567,'Investment Strategies'!$AJ:$AV,13,FALSE),
IF(AND(Investment_Strategy="Autopilot",Investment_Strategy_Sub1="Non-Standard"),VLOOKUP(Investment_Strategy&amp;"_"&amp;Investment_Strategy_Sub2&amp;"_"&amp;$A567,'Investment Strategies'!$T:$AF,13,FALSE),
IF(Investment_Strategy="DIY",DIY_ExtManChrge_FuturePremiums,
"Error"))))))</f>
        <v>0</v>
      </c>
      <c r="W567" s="16">
        <f t="shared" si="337"/>
        <v>0</v>
      </c>
      <c r="X567" s="16">
        <f t="shared" si="314"/>
        <v>0</v>
      </c>
      <c r="Y567" s="16">
        <f t="shared" si="315"/>
        <v>0</v>
      </c>
      <c r="Z567" s="31">
        <f t="shared" si="316"/>
        <v>0.02</v>
      </c>
      <c r="AA567" s="16">
        <f t="shared" si="317"/>
        <v>0</v>
      </c>
      <c r="AB567" s="28">
        <f t="shared" si="339"/>
        <v>0</v>
      </c>
      <c r="AC567" s="28">
        <f>(SUM($AC$91:AC566)+SUM($X$91:X566)+X567)*T567*IF(D567=$A$91,SRP_finalmonthfactor,1)</f>
        <v>0</v>
      </c>
      <c r="AD567" s="16">
        <f t="shared" si="318"/>
        <v>0</v>
      </c>
      <c r="AE567" s="106"/>
      <c r="AF567" s="16">
        <f t="shared" si="326"/>
        <v>0</v>
      </c>
      <c r="AG567" s="16">
        <f t="shared" si="327"/>
        <v>0</v>
      </c>
      <c r="AH567" s="16">
        <f t="shared" si="328"/>
        <v>0</v>
      </c>
      <c r="AJ567" s="13">
        <f t="shared" si="341"/>
        <v>0</v>
      </c>
      <c r="AK567" s="13">
        <f t="shared" si="341"/>
        <v>0</v>
      </c>
      <c r="AL567" s="13">
        <f t="shared" si="341"/>
        <v>0</v>
      </c>
      <c r="AM567" s="13">
        <f t="shared" si="341"/>
        <v>0</v>
      </c>
      <c r="AN567" s="13">
        <f t="shared" si="341"/>
        <v>0</v>
      </c>
      <c r="AO567" s="13">
        <f t="shared" si="341"/>
        <v>1</v>
      </c>
      <c r="AP567" s="13">
        <f t="shared" si="341"/>
        <v>1</v>
      </c>
      <c r="AQ567" s="13">
        <f t="shared" si="341"/>
        <v>1</v>
      </c>
      <c r="AR567" s="13">
        <f t="shared" si="341"/>
        <v>0</v>
      </c>
      <c r="AS567" s="13">
        <f t="shared" si="341"/>
        <v>0</v>
      </c>
      <c r="AT567" s="13">
        <f t="shared" si="341"/>
        <v>0</v>
      </c>
      <c r="AU567" s="13">
        <f t="shared" si="341"/>
        <v>1</v>
      </c>
      <c r="AV567" s="13">
        <f t="shared" si="319"/>
        <v>0</v>
      </c>
      <c r="AW567" s="13">
        <f t="shared" si="320"/>
        <v>1</v>
      </c>
      <c r="AY567" s="17">
        <f t="shared" si="321"/>
        <v>477</v>
      </c>
      <c r="AZ567" s="28">
        <f t="shared" si="329"/>
        <v>0</v>
      </c>
      <c r="BA567" s="13">
        <f t="shared" si="322"/>
        <v>0</v>
      </c>
      <c r="BB567" s="13">
        <f t="shared" si="323"/>
        <v>0</v>
      </c>
      <c r="BC567" s="28">
        <f t="shared" si="330"/>
        <v>0</v>
      </c>
      <c r="BD567" s="28">
        <f t="shared" si="331"/>
        <v>0</v>
      </c>
      <c r="BF567" s="248">
        <f t="shared" si="332"/>
        <v>993869.29442638322</v>
      </c>
    </row>
    <row r="568" spans="1:58">
      <c r="A568" s="32">
        <f t="shared" si="333"/>
        <v>-393</v>
      </c>
      <c r="B568" s="32">
        <f t="shared" si="324"/>
        <v>92</v>
      </c>
      <c r="C568" s="32">
        <f t="shared" si="334"/>
        <v>40</v>
      </c>
      <c r="D568" s="32">
        <f t="shared" si="335"/>
        <v>478</v>
      </c>
      <c r="E568" s="74">
        <f>MIN(IF(AV568=0,0,
IF(Investment_Strategy="DIS",VLOOKUP(Investment_Strategy&amp;"_"&amp;Investment_Strategy_Sub1&amp;"_"&amp;$A568,'Investment Strategies'!$AZ:$BP,12,FALSE),
IF(AND(Investment_Strategy="Lifecycle",Investment_Strategy_Sub1="Non-Standard"),VLOOKUP(Investment_Strategy&amp;"_"&amp;Investment_Strategy_Sub2&amp;"_"&amp;$A568,'Investment Strategies'!$C:$P,9,FALSE),
IF(AND(Investment_Strategy="Lifecycle",Investment_Strategy_Sub1="Standard"),VLOOKUP(Investment_Strategy&amp;"_"&amp;Investment_Strategy_Sub2&amp;"_"&amp;$A568,'Investment Strategies'!$AJ:$AV,8,FALSE),
IF(AND(Investment_Strategy="Autopilot",Investment_Strategy_Sub1="Non-Standard"),VLOOKUP(Investment_Strategy&amp;"_"&amp;Investment_Strategy_Sub2&amp;"_"&amp;$A568,'Investment Strategies'!$T:$AF,8,FALSE),
IF(Investment_Strategy ="DIY",DIY_RateOfReturn_CurrentFunds,
"Error")))))),Max_InvReturn)</f>
        <v>0</v>
      </c>
      <c r="F568" s="62">
        <f>IF(AV568=0,0,
IF(Investment_Strategy="DIS",VLOOKUP(Investment_Strategy&amp;"_"&amp;Investment_Strategy_Sub1&amp;"_"&amp;$A568,'Investment Strategies'!$AZ:$BP,15,FALSE),
IF(AND(Investment_Strategy="Lifecycle",Investment_Strategy_Sub1="Non-Standard"),VLOOKUP(Investment_Strategy&amp;"_"&amp;Investment_Strategy_Sub2&amp;"_"&amp;$A568,'Investment Strategies'!$C:$P,12,FALSE),
IF(AND(Investment_Strategy="Lifecycle",Investment_Strategy_Sub1="Standard"),VLOOKUP(Investment_Strategy&amp;"_"&amp;Investment_Strategy_Sub2&amp;"_"&amp;$A568,'Investment Strategies'!$AJ:$AV,11,FALSE),
IF(AND(Investment_Strategy="Autopilot",Investment_Strategy_Sub1="Non-Standard"),VLOOKUP(Investment_Strategy&amp;"_"&amp;Investment_Strategy_Sub2&amp;"_"&amp;$A568,'Investment Strategies'!$T:$AF,11,FALSE),
IF(Investment_Strategy="DIY",DIY_GteeChrge_CurrentFunds,
"Error"))))))</f>
        <v>0</v>
      </c>
      <c r="G568" s="33">
        <f>IF(AV568=0,0,
IF(Investment_Strategy="DIS",VLOOKUP(Investment_Strategy&amp;"_"&amp;Investment_Strategy_Sub1&amp;"_"&amp;$A568,'Investment Strategies'!$AZ:$BP,17,FALSE),
IF(AND(Investment_Strategy="Lifecycle",Investment_Strategy_Sub1="Non-Standard"),VLOOKUP(Investment_Strategy&amp;"_"&amp;Investment_Strategy_Sub2&amp;"_"&amp;$A568,'Investment Strategies'!$C:$P,14,FALSE),
IF(AND(Investment_Strategy="Lifecycle",Investment_Strategy_Sub1="Standard"),VLOOKUP(Investment_Strategy&amp;"_"&amp;Investment_Strategy_Sub2&amp;"_"&amp;$A568,'Investment Strategies'!$AJ:$AV,13,FALSE),
IF(AND(Investment_Strategy="Autopilot",Investment_Strategy_Sub1="Non-Standard"),VLOOKUP(Investment_Strategy&amp;"_"&amp;Investment_Strategy_Sub2&amp;"_"&amp;$A568,'Investment Strategies'!$T:$AF,13,FALSE),
IF(Investment_Strategy="DIY",DIY_ExtManChrge_CurrentFunds,
"Error"))))))</f>
        <v>0</v>
      </c>
      <c r="H568" s="16">
        <f t="shared" si="325"/>
        <v>0</v>
      </c>
      <c r="I568" s="16">
        <f t="shared" si="311"/>
        <v>0</v>
      </c>
      <c r="J568" s="16">
        <f t="shared" si="312"/>
        <v>0</v>
      </c>
      <c r="K568" s="16">
        <f>(Opening_Fund_Value+SUM(K$91:K567))*E568*IF(D568=$A$91,SRP_finalmonthfactor,1)</f>
        <v>0</v>
      </c>
      <c r="L568" s="74">
        <f>MIN(IF($AV568=0,0,
IF(Investment_Strategy="DIS",VLOOKUP(Investment_Strategy&amp;"_"&amp;Investment_Strategy_Sub1&amp;"_"&amp;$A568,'Investment Strategies'!$AZ:$BP,12,FALSE),
IF(AND(Investment_Strategy="Lifecycle",Investment_Strategy_Sub1="Non-Standard"),VLOOKUP(Investment_Strategy&amp;"_"&amp;Investment_Strategy_Sub2&amp;"_"&amp;$A568,'Investment Strategies'!$C:$P,9,FALSE),
IF(AND(Investment_Strategy="Lifecycle",Investment_Strategy_Sub1="Standard"),VLOOKUP(Investment_Strategy&amp;"_"&amp;Investment_Strategy_Sub2&amp;"_"&amp;$A568,'Investment Strategies'!$AJ:$AV,8,FALSE),
IF(AND(Investment_Strategy="Autopilot",Investment_Strategy_Sub1="Non-Standard"),VLOOKUP(Investment_Strategy&amp;"_"&amp;Investment_Strategy_Sub2&amp;"_"&amp;$A568,'Investment Strategies'!$T:$AF,8,FALSE),
IF(Investment_Strategy ="DIY",DIY_RateofReturn_SP,
"Error")))))),Max_InvReturn)</f>
        <v>0</v>
      </c>
      <c r="M568" s="62">
        <f>IF($AV568=0,0,
IF(Investment_Strategy="DIS",VLOOKUP(Investment_Strategy&amp;"_"&amp;Investment_Strategy_Sub1&amp;"_"&amp;$A568,'Investment Strategies'!$AZ:$BP,15,FALSE),
IF(AND(Investment_Strategy="Lifecycle",Investment_Strategy_Sub1="Non-Standard"),VLOOKUP(Investment_Strategy&amp;"_"&amp;Investment_Strategy_Sub2&amp;"_"&amp;$A568,'Investment Strategies'!$C:$P,12,FALSE),
IF(AND(Investment_Strategy="Lifecycle",Investment_Strategy_Sub1="Standard"),VLOOKUP(Investment_Strategy&amp;"_"&amp;Investment_Strategy_Sub2&amp;"_"&amp;$A568,'Investment Strategies'!$AJ:$AV,11,FALSE),
IF(AND(Investment_Strategy="Autopilot",Investment_Strategy_Sub1="Non-Standard"),VLOOKUP(Investment_Strategy&amp;"_"&amp;Investment_Strategy_Sub2&amp;"_"&amp;$A568,'Investment Strategies'!$T:$AF,11,FALSE),
IF(Investment_Strategy="DIY",DIY_GteeChrge_SP,
"Error"))))))</f>
        <v>0</v>
      </c>
      <c r="N568" s="33">
        <f>IF($AV568=0,0,
IF(Investment_Strategy="DIS",VLOOKUP(Investment_Strategy&amp;"_"&amp;Investment_Strategy_Sub1&amp;"_"&amp;$A568,'Investment Strategies'!$AZ:$BP,17,FALSE),
IF(AND(Investment_Strategy="Lifecycle",Investment_Strategy_Sub1="Non-Standard"),VLOOKUP(Investment_Strategy&amp;"_"&amp;Investment_Strategy_Sub2&amp;"_"&amp;$A568,'Investment Strategies'!$C:$P,14,FALSE),
IF(AND(Investment_Strategy="Lifecycle",Investment_Strategy_Sub1="Standard"),VLOOKUP(Investment_Strategy&amp;"_"&amp;Investment_Strategy_Sub2&amp;"_"&amp;$A568,'Investment Strategies'!$AJ:$AV,13,FALSE),
IF(AND(Investment_Strategy="Autopilot",Investment_Strategy_Sub1="Non-Standard"),VLOOKUP(Investment_Strategy&amp;"_"&amp;Investment_Strategy_Sub2&amp;"_"&amp;$A568,'Investment Strategies'!$T:$AF,13,FALSE),
IF(Investment_Strategy="DIY",DIY_ExtManChrge_SP,
"Error"))))))</f>
        <v>0</v>
      </c>
      <c r="O568" s="16">
        <f t="shared" si="336"/>
        <v>0</v>
      </c>
      <c r="Q568" s="16">
        <f t="shared" si="313"/>
        <v>0</v>
      </c>
      <c r="R568" s="16">
        <f t="shared" si="310"/>
        <v>0</v>
      </c>
      <c r="S568" s="16">
        <f>(SRP_SP+SUM(S$91:S567))*L568*IF(D568=$A$91,SRP_finalmonthfactor,1)</f>
        <v>0</v>
      </c>
      <c r="T568" s="74">
        <f>MIN(IF($AV568=0,0,
IF(Investment_Strategy="DIS",VLOOKUP(Investment_Strategy&amp;"_"&amp;Investment_Strategy_Sub1&amp;"_"&amp;$A568,'Investment Strategies'!$AZ:$BP,12,FALSE),
IF(AND(Investment_Strategy="Lifecycle",Investment_Strategy_Sub1="Non-Standard"),VLOOKUP(Investment_Strategy&amp;"_"&amp;Investment_Strategy_Sub2&amp;"_"&amp;$A568,'Investment Strategies'!$C:$P,9,FALSE),
IF(AND(Investment_Strategy="Lifecycle",Investment_Strategy_Sub1="Standard"),VLOOKUP(Investment_Strategy&amp;"_"&amp;Investment_Strategy_Sub2&amp;"_"&amp;$A568,'Investment Strategies'!$AJ:$AV,8,FALSE),
IF(AND(Investment_Strategy="Autopilot",Investment_Strategy_Sub1="Non-Standard"),VLOOKUP(Investment_Strategy&amp;"_"&amp;Investment_Strategy_Sub2&amp;"_"&amp;$A568,'Investment Strategies'!$T:$AF,8,FALSE),
IF(Investment_Strategy ="DIY",DIY_RateOfReturn_FuturePremiums,
"Error")))))),Max_InvReturn)</f>
        <v>0</v>
      </c>
      <c r="U568" s="62">
        <f>IF($AV568=0,0,
IF(Investment_Strategy="DIS",VLOOKUP(Investment_Strategy&amp;"_"&amp;Investment_Strategy_Sub1&amp;"_"&amp;$A568,'Investment Strategies'!$AZ:$BP,15,FALSE),
IF(AND(Investment_Strategy="Lifecycle",Investment_Strategy_Sub1="Non-Standard"),VLOOKUP(Investment_Strategy&amp;"_"&amp;Investment_Strategy_Sub2&amp;"_"&amp;$A568,'Investment Strategies'!$C:$P,12,FALSE),
IF(AND(Investment_Strategy="Lifecycle",Investment_Strategy_Sub1="Standard"),VLOOKUP(Investment_Strategy&amp;"_"&amp;Investment_Strategy_Sub2&amp;"_"&amp;$A568,'Investment Strategies'!$AJ:$AV,11,FALSE),
IF(AND(Investment_Strategy="Autopilot",Investment_Strategy_Sub1="Non-Standard"),VLOOKUP(Investment_Strategy&amp;"_"&amp;Investment_Strategy_Sub2&amp;"_"&amp;$A568,'Investment Strategies'!$T:$AF,11,FALSE),
IF(Investment_Strategy="DIY",DIY_GteeChrge_FuturePremiums,
"Error"))))))</f>
        <v>0</v>
      </c>
      <c r="V568" s="33">
        <f>IF(AV568=0,0,
IF(Investment_Strategy="DIS",VLOOKUP(Investment_Strategy&amp;"_"&amp;Investment_Strategy_Sub1&amp;"_"&amp;$A568,'Investment Strategies'!$AZ:$BP,17,FALSE),
IF(AND(Investment_Strategy="Lifecycle",Investment_Strategy_Sub1="Non-Standard"),VLOOKUP(Investment_Strategy&amp;"_"&amp;Investment_Strategy_Sub2&amp;"_"&amp;$A568,'Investment Strategies'!$C:$P,14,FALSE),
IF(AND(Investment_Strategy="Lifecycle",Investment_Strategy_Sub1="Standard"),VLOOKUP(Investment_Strategy&amp;"_"&amp;Investment_Strategy_Sub2&amp;"_"&amp;$A568,'Investment Strategies'!$AJ:$AV,13,FALSE),
IF(AND(Investment_Strategy="Autopilot",Investment_Strategy_Sub1="Non-Standard"),VLOOKUP(Investment_Strategy&amp;"_"&amp;Investment_Strategy_Sub2&amp;"_"&amp;$A568,'Investment Strategies'!$T:$AF,13,FALSE),
IF(Investment_Strategy="DIY",DIY_ExtManChrge_FuturePremiums,
"Error"))))))</f>
        <v>0</v>
      </c>
      <c r="W568" s="16">
        <f t="shared" si="337"/>
        <v>0</v>
      </c>
      <c r="X568" s="16">
        <f t="shared" si="314"/>
        <v>0</v>
      </c>
      <c r="Y568" s="16">
        <f t="shared" si="315"/>
        <v>0</v>
      </c>
      <c r="Z568" s="31">
        <f t="shared" si="316"/>
        <v>0.02</v>
      </c>
      <c r="AA568" s="16">
        <f t="shared" si="317"/>
        <v>0</v>
      </c>
      <c r="AB568" s="28">
        <f t="shared" si="339"/>
        <v>0</v>
      </c>
      <c r="AC568" s="28">
        <f>(SUM($AC$91:AC567)+SUM($X$91:X567)+X568)*T568*IF(D568=$A$91,SRP_finalmonthfactor,1)</f>
        <v>0</v>
      </c>
      <c r="AD568" s="16">
        <f t="shared" si="318"/>
        <v>0</v>
      </c>
      <c r="AE568" s="106"/>
      <c r="AF568" s="16">
        <f t="shared" si="326"/>
        <v>0</v>
      </c>
      <c r="AG568" s="16">
        <f t="shared" si="327"/>
        <v>0</v>
      </c>
      <c r="AH568" s="16">
        <f t="shared" si="328"/>
        <v>0</v>
      </c>
      <c r="AJ568" s="13">
        <f t="shared" si="341"/>
        <v>0</v>
      </c>
      <c r="AK568" s="13">
        <f t="shared" si="341"/>
        <v>0</v>
      </c>
      <c r="AL568" s="13">
        <f t="shared" si="341"/>
        <v>0</v>
      </c>
      <c r="AM568" s="13">
        <f t="shared" si="341"/>
        <v>0</v>
      </c>
      <c r="AN568" s="13">
        <f t="shared" si="341"/>
        <v>0</v>
      </c>
      <c r="AO568" s="13">
        <f t="shared" si="341"/>
        <v>1</v>
      </c>
      <c r="AP568" s="13">
        <f t="shared" si="341"/>
        <v>1</v>
      </c>
      <c r="AQ568" s="13">
        <f t="shared" si="341"/>
        <v>1</v>
      </c>
      <c r="AR568" s="13">
        <f t="shared" si="341"/>
        <v>0</v>
      </c>
      <c r="AS568" s="13">
        <f t="shared" si="341"/>
        <v>0</v>
      </c>
      <c r="AT568" s="13">
        <f t="shared" si="341"/>
        <v>0</v>
      </c>
      <c r="AU568" s="13">
        <f t="shared" si="341"/>
        <v>1</v>
      </c>
      <c r="AV568" s="13">
        <f t="shared" si="319"/>
        <v>0</v>
      </c>
      <c r="AW568" s="13">
        <f t="shared" si="320"/>
        <v>1</v>
      </c>
      <c r="AY568" s="17">
        <f t="shared" si="321"/>
        <v>478</v>
      </c>
      <c r="AZ568" s="28">
        <f t="shared" si="329"/>
        <v>0</v>
      </c>
      <c r="BA568" s="13">
        <f t="shared" si="322"/>
        <v>0</v>
      </c>
      <c r="BB568" s="13">
        <f t="shared" si="323"/>
        <v>0</v>
      </c>
      <c r="BC568" s="28">
        <f t="shared" si="330"/>
        <v>0</v>
      </c>
      <c r="BD568" s="28">
        <f t="shared" si="331"/>
        <v>0</v>
      </c>
      <c r="BF568" s="248">
        <f t="shared" si="332"/>
        <v>993869.29442638322</v>
      </c>
    </row>
    <row r="569" spans="1:58">
      <c r="A569" s="32">
        <f t="shared" si="333"/>
        <v>-394</v>
      </c>
      <c r="B569" s="32">
        <f t="shared" si="324"/>
        <v>92</v>
      </c>
      <c r="C569" s="32">
        <f t="shared" si="334"/>
        <v>40</v>
      </c>
      <c r="D569" s="32">
        <f t="shared" si="335"/>
        <v>479</v>
      </c>
      <c r="E569" s="74">
        <f>MIN(IF(AV569=0,0,
IF(Investment_Strategy="DIS",VLOOKUP(Investment_Strategy&amp;"_"&amp;Investment_Strategy_Sub1&amp;"_"&amp;$A569,'Investment Strategies'!$AZ:$BP,12,FALSE),
IF(AND(Investment_Strategy="Lifecycle",Investment_Strategy_Sub1="Non-Standard"),VLOOKUP(Investment_Strategy&amp;"_"&amp;Investment_Strategy_Sub2&amp;"_"&amp;$A569,'Investment Strategies'!$C:$P,9,FALSE),
IF(AND(Investment_Strategy="Lifecycle",Investment_Strategy_Sub1="Standard"),VLOOKUP(Investment_Strategy&amp;"_"&amp;Investment_Strategy_Sub2&amp;"_"&amp;$A569,'Investment Strategies'!$AJ:$AV,8,FALSE),
IF(AND(Investment_Strategy="Autopilot",Investment_Strategy_Sub1="Non-Standard"),VLOOKUP(Investment_Strategy&amp;"_"&amp;Investment_Strategy_Sub2&amp;"_"&amp;$A569,'Investment Strategies'!$T:$AF,8,FALSE),
IF(Investment_Strategy ="DIY",DIY_RateOfReturn_CurrentFunds,
"Error")))))),Max_InvReturn)</f>
        <v>0</v>
      </c>
      <c r="F569" s="62">
        <f>IF(AV569=0,0,
IF(Investment_Strategy="DIS",VLOOKUP(Investment_Strategy&amp;"_"&amp;Investment_Strategy_Sub1&amp;"_"&amp;$A569,'Investment Strategies'!$AZ:$BP,15,FALSE),
IF(AND(Investment_Strategy="Lifecycle",Investment_Strategy_Sub1="Non-Standard"),VLOOKUP(Investment_Strategy&amp;"_"&amp;Investment_Strategy_Sub2&amp;"_"&amp;$A569,'Investment Strategies'!$C:$P,12,FALSE),
IF(AND(Investment_Strategy="Lifecycle",Investment_Strategy_Sub1="Standard"),VLOOKUP(Investment_Strategy&amp;"_"&amp;Investment_Strategy_Sub2&amp;"_"&amp;$A569,'Investment Strategies'!$AJ:$AV,11,FALSE),
IF(AND(Investment_Strategy="Autopilot",Investment_Strategy_Sub1="Non-Standard"),VLOOKUP(Investment_Strategy&amp;"_"&amp;Investment_Strategy_Sub2&amp;"_"&amp;$A569,'Investment Strategies'!$T:$AF,11,FALSE),
IF(Investment_Strategy="DIY",DIY_GteeChrge_CurrentFunds,
"Error"))))))</f>
        <v>0</v>
      </c>
      <c r="G569" s="33">
        <f>IF(AV569=0,0,
IF(Investment_Strategy="DIS",VLOOKUP(Investment_Strategy&amp;"_"&amp;Investment_Strategy_Sub1&amp;"_"&amp;$A569,'Investment Strategies'!$AZ:$BP,17,FALSE),
IF(AND(Investment_Strategy="Lifecycle",Investment_Strategy_Sub1="Non-Standard"),VLOOKUP(Investment_Strategy&amp;"_"&amp;Investment_Strategy_Sub2&amp;"_"&amp;$A569,'Investment Strategies'!$C:$P,14,FALSE),
IF(AND(Investment_Strategy="Lifecycle",Investment_Strategy_Sub1="Standard"),VLOOKUP(Investment_Strategy&amp;"_"&amp;Investment_Strategy_Sub2&amp;"_"&amp;$A569,'Investment Strategies'!$AJ:$AV,13,FALSE),
IF(AND(Investment_Strategy="Autopilot",Investment_Strategy_Sub1="Non-Standard"),VLOOKUP(Investment_Strategy&amp;"_"&amp;Investment_Strategy_Sub2&amp;"_"&amp;$A569,'Investment Strategies'!$T:$AF,13,FALSE),
IF(Investment_Strategy="DIY",DIY_ExtManChrge_CurrentFunds,
"Error"))))))</f>
        <v>0</v>
      </c>
      <c r="H569" s="16">
        <f t="shared" si="325"/>
        <v>0</v>
      </c>
      <c r="I569" s="16">
        <f t="shared" si="311"/>
        <v>0</v>
      </c>
      <c r="J569" s="16">
        <f t="shared" si="312"/>
        <v>0</v>
      </c>
      <c r="K569" s="16">
        <f>(Opening_Fund_Value+SUM(K$91:K568))*E569*IF(D569=$A$91,SRP_finalmonthfactor,1)</f>
        <v>0</v>
      </c>
      <c r="L569" s="74">
        <f>MIN(IF($AV569=0,0,
IF(Investment_Strategy="DIS",VLOOKUP(Investment_Strategy&amp;"_"&amp;Investment_Strategy_Sub1&amp;"_"&amp;$A569,'Investment Strategies'!$AZ:$BP,12,FALSE),
IF(AND(Investment_Strategy="Lifecycle",Investment_Strategy_Sub1="Non-Standard"),VLOOKUP(Investment_Strategy&amp;"_"&amp;Investment_Strategy_Sub2&amp;"_"&amp;$A569,'Investment Strategies'!$C:$P,9,FALSE),
IF(AND(Investment_Strategy="Lifecycle",Investment_Strategy_Sub1="Standard"),VLOOKUP(Investment_Strategy&amp;"_"&amp;Investment_Strategy_Sub2&amp;"_"&amp;$A569,'Investment Strategies'!$AJ:$AV,8,FALSE),
IF(AND(Investment_Strategy="Autopilot",Investment_Strategy_Sub1="Non-Standard"),VLOOKUP(Investment_Strategy&amp;"_"&amp;Investment_Strategy_Sub2&amp;"_"&amp;$A569,'Investment Strategies'!$T:$AF,8,FALSE),
IF(Investment_Strategy ="DIY",DIY_RateofReturn_SP,
"Error")))))),Max_InvReturn)</f>
        <v>0</v>
      </c>
      <c r="M569" s="62">
        <f>IF($AV569=0,0,
IF(Investment_Strategy="DIS",VLOOKUP(Investment_Strategy&amp;"_"&amp;Investment_Strategy_Sub1&amp;"_"&amp;$A569,'Investment Strategies'!$AZ:$BP,15,FALSE),
IF(AND(Investment_Strategy="Lifecycle",Investment_Strategy_Sub1="Non-Standard"),VLOOKUP(Investment_Strategy&amp;"_"&amp;Investment_Strategy_Sub2&amp;"_"&amp;$A569,'Investment Strategies'!$C:$P,12,FALSE),
IF(AND(Investment_Strategy="Lifecycle",Investment_Strategy_Sub1="Standard"),VLOOKUP(Investment_Strategy&amp;"_"&amp;Investment_Strategy_Sub2&amp;"_"&amp;$A569,'Investment Strategies'!$AJ:$AV,11,FALSE),
IF(AND(Investment_Strategy="Autopilot",Investment_Strategy_Sub1="Non-Standard"),VLOOKUP(Investment_Strategy&amp;"_"&amp;Investment_Strategy_Sub2&amp;"_"&amp;$A569,'Investment Strategies'!$T:$AF,11,FALSE),
IF(Investment_Strategy="DIY",DIY_GteeChrge_SP,
"Error"))))))</f>
        <v>0</v>
      </c>
      <c r="N569" s="33">
        <f>IF($AV569=0,0,
IF(Investment_Strategy="DIS",VLOOKUP(Investment_Strategy&amp;"_"&amp;Investment_Strategy_Sub1&amp;"_"&amp;$A569,'Investment Strategies'!$AZ:$BP,17,FALSE),
IF(AND(Investment_Strategy="Lifecycle",Investment_Strategy_Sub1="Non-Standard"),VLOOKUP(Investment_Strategy&amp;"_"&amp;Investment_Strategy_Sub2&amp;"_"&amp;$A569,'Investment Strategies'!$C:$P,14,FALSE),
IF(AND(Investment_Strategy="Lifecycle",Investment_Strategy_Sub1="Standard"),VLOOKUP(Investment_Strategy&amp;"_"&amp;Investment_Strategy_Sub2&amp;"_"&amp;$A569,'Investment Strategies'!$AJ:$AV,13,FALSE),
IF(AND(Investment_Strategy="Autopilot",Investment_Strategy_Sub1="Non-Standard"),VLOOKUP(Investment_Strategy&amp;"_"&amp;Investment_Strategy_Sub2&amp;"_"&amp;$A569,'Investment Strategies'!$T:$AF,13,FALSE),
IF(Investment_Strategy="DIY",DIY_ExtManChrge_SP,
"Error"))))))</f>
        <v>0</v>
      </c>
      <c r="O569" s="16">
        <f t="shared" si="336"/>
        <v>0</v>
      </c>
      <c r="Q569" s="16">
        <f t="shared" si="313"/>
        <v>0</v>
      </c>
      <c r="R569" s="16">
        <f t="shared" si="310"/>
        <v>0</v>
      </c>
      <c r="S569" s="16">
        <f>(SRP_SP+SUM(S$91:S568))*L569*IF(D569=$A$91,SRP_finalmonthfactor,1)</f>
        <v>0</v>
      </c>
      <c r="T569" s="74">
        <f>MIN(IF($AV569=0,0,
IF(Investment_Strategy="DIS",VLOOKUP(Investment_Strategy&amp;"_"&amp;Investment_Strategy_Sub1&amp;"_"&amp;$A569,'Investment Strategies'!$AZ:$BP,12,FALSE),
IF(AND(Investment_Strategy="Lifecycle",Investment_Strategy_Sub1="Non-Standard"),VLOOKUP(Investment_Strategy&amp;"_"&amp;Investment_Strategy_Sub2&amp;"_"&amp;$A569,'Investment Strategies'!$C:$P,9,FALSE),
IF(AND(Investment_Strategy="Lifecycle",Investment_Strategy_Sub1="Standard"),VLOOKUP(Investment_Strategy&amp;"_"&amp;Investment_Strategy_Sub2&amp;"_"&amp;$A569,'Investment Strategies'!$AJ:$AV,8,FALSE),
IF(AND(Investment_Strategy="Autopilot",Investment_Strategy_Sub1="Non-Standard"),VLOOKUP(Investment_Strategy&amp;"_"&amp;Investment_Strategy_Sub2&amp;"_"&amp;$A569,'Investment Strategies'!$T:$AF,8,FALSE),
IF(Investment_Strategy ="DIY",DIY_RateOfReturn_FuturePremiums,
"Error")))))),Max_InvReturn)</f>
        <v>0</v>
      </c>
      <c r="U569" s="62">
        <f>IF($AV569=0,0,
IF(Investment_Strategy="DIS",VLOOKUP(Investment_Strategy&amp;"_"&amp;Investment_Strategy_Sub1&amp;"_"&amp;$A569,'Investment Strategies'!$AZ:$BP,15,FALSE),
IF(AND(Investment_Strategy="Lifecycle",Investment_Strategy_Sub1="Non-Standard"),VLOOKUP(Investment_Strategy&amp;"_"&amp;Investment_Strategy_Sub2&amp;"_"&amp;$A569,'Investment Strategies'!$C:$P,12,FALSE),
IF(AND(Investment_Strategy="Lifecycle",Investment_Strategy_Sub1="Standard"),VLOOKUP(Investment_Strategy&amp;"_"&amp;Investment_Strategy_Sub2&amp;"_"&amp;$A569,'Investment Strategies'!$AJ:$AV,11,FALSE),
IF(AND(Investment_Strategy="Autopilot",Investment_Strategy_Sub1="Non-Standard"),VLOOKUP(Investment_Strategy&amp;"_"&amp;Investment_Strategy_Sub2&amp;"_"&amp;$A569,'Investment Strategies'!$T:$AF,11,FALSE),
IF(Investment_Strategy="DIY",DIY_GteeChrge_FuturePremiums,
"Error"))))))</f>
        <v>0</v>
      </c>
      <c r="V569" s="33">
        <f>IF(AV569=0,0,
IF(Investment_Strategy="DIS",VLOOKUP(Investment_Strategy&amp;"_"&amp;Investment_Strategy_Sub1&amp;"_"&amp;$A569,'Investment Strategies'!$AZ:$BP,17,FALSE),
IF(AND(Investment_Strategy="Lifecycle",Investment_Strategy_Sub1="Non-Standard"),VLOOKUP(Investment_Strategy&amp;"_"&amp;Investment_Strategy_Sub2&amp;"_"&amp;$A569,'Investment Strategies'!$C:$P,14,FALSE),
IF(AND(Investment_Strategy="Lifecycle",Investment_Strategy_Sub1="Standard"),VLOOKUP(Investment_Strategy&amp;"_"&amp;Investment_Strategy_Sub2&amp;"_"&amp;$A569,'Investment Strategies'!$AJ:$AV,13,FALSE),
IF(AND(Investment_Strategy="Autopilot",Investment_Strategy_Sub1="Non-Standard"),VLOOKUP(Investment_Strategy&amp;"_"&amp;Investment_Strategy_Sub2&amp;"_"&amp;$A569,'Investment Strategies'!$T:$AF,13,FALSE),
IF(Investment_Strategy="DIY",DIY_ExtManChrge_FuturePremiums,
"Error"))))))</f>
        <v>0</v>
      </c>
      <c r="W569" s="16">
        <f t="shared" si="337"/>
        <v>0</v>
      </c>
      <c r="X569" s="16">
        <f t="shared" si="314"/>
        <v>0</v>
      </c>
      <c r="Y569" s="16">
        <f t="shared" si="315"/>
        <v>0</v>
      </c>
      <c r="Z569" s="31">
        <f t="shared" si="316"/>
        <v>0.02</v>
      </c>
      <c r="AA569" s="16">
        <f t="shared" si="317"/>
        <v>0</v>
      </c>
      <c r="AB569" s="28">
        <f t="shared" si="339"/>
        <v>0</v>
      </c>
      <c r="AC569" s="28">
        <f>(SUM($AC$91:AC568)+SUM($X$91:X568)+X569)*T569*IF(D569=$A$91,SRP_finalmonthfactor,1)</f>
        <v>0</v>
      </c>
      <c r="AD569" s="16">
        <f t="shared" si="318"/>
        <v>0</v>
      </c>
      <c r="AE569" s="106"/>
      <c r="AF569" s="16">
        <f t="shared" si="326"/>
        <v>0</v>
      </c>
      <c r="AG569" s="16">
        <f t="shared" si="327"/>
        <v>0</v>
      </c>
      <c r="AH569" s="16">
        <f t="shared" si="328"/>
        <v>0</v>
      </c>
      <c r="AJ569" s="13">
        <f t="shared" si="341"/>
        <v>0</v>
      </c>
      <c r="AK569" s="13">
        <f t="shared" si="341"/>
        <v>0</v>
      </c>
      <c r="AL569" s="13">
        <f t="shared" si="341"/>
        <v>0</v>
      </c>
      <c r="AM569" s="13">
        <f t="shared" si="341"/>
        <v>0</v>
      </c>
      <c r="AN569" s="13">
        <f t="shared" si="341"/>
        <v>0</v>
      </c>
      <c r="AO569" s="13">
        <f t="shared" si="341"/>
        <v>1</v>
      </c>
      <c r="AP569" s="13">
        <f t="shared" si="341"/>
        <v>1</v>
      </c>
      <c r="AQ569" s="13">
        <f t="shared" si="341"/>
        <v>1</v>
      </c>
      <c r="AR569" s="13">
        <f t="shared" si="341"/>
        <v>0</v>
      </c>
      <c r="AS569" s="13">
        <f t="shared" si="341"/>
        <v>0</v>
      </c>
      <c r="AT569" s="13">
        <f t="shared" si="341"/>
        <v>0</v>
      </c>
      <c r="AU569" s="13">
        <f t="shared" si="341"/>
        <v>1</v>
      </c>
      <c r="AV569" s="13">
        <f t="shared" si="319"/>
        <v>0</v>
      </c>
      <c r="AW569" s="13">
        <f t="shared" si="320"/>
        <v>1</v>
      </c>
      <c r="AY569" s="17">
        <f t="shared" si="321"/>
        <v>479</v>
      </c>
      <c r="AZ569" s="28">
        <f t="shared" si="329"/>
        <v>0</v>
      </c>
      <c r="BA569" s="13">
        <f t="shared" si="322"/>
        <v>0</v>
      </c>
      <c r="BB569" s="13">
        <f t="shared" si="323"/>
        <v>0</v>
      </c>
      <c r="BC569" s="28">
        <f t="shared" si="330"/>
        <v>0</v>
      </c>
      <c r="BD569" s="28">
        <f t="shared" si="331"/>
        <v>0</v>
      </c>
      <c r="BF569" s="248">
        <f t="shared" si="332"/>
        <v>993869.29442638322</v>
      </c>
    </row>
    <row r="570" spans="1:58">
      <c r="A570" s="32">
        <f t="shared" si="333"/>
        <v>-395</v>
      </c>
      <c r="B570" s="32">
        <f t="shared" si="324"/>
        <v>92</v>
      </c>
      <c r="C570" s="32">
        <f t="shared" si="334"/>
        <v>40</v>
      </c>
      <c r="D570" s="32">
        <f t="shared" si="335"/>
        <v>480</v>
      </c>
      <c r="E570" s="74">
        <f>MIN(IF(AV570=0,0,
IF(Investment_Strategy="DIS",VLOOKUP(Investment_Strategy&amp;"_"&amp;Investment_Strategy_Sub1&amp;"_"&amp;$A570,'Investment Strategies'!$AZ:$BP,12,FALSE),
IF(AND(Investment_Strategy="Lifecycle",Investment_Strategy_Sub1="Non-Standard"),VLOOKUP(Investment_Strategy&amp;"_"&amp;Investment_Strategy_Sub2&amp;"_"&amp;$A570,'Investment Strategies'!$C:$P,9,FALSE),
IF(AND(Investment_Strategy="Lifecycle",Investment_Strategy_Sub1="Standard"),VLOOKUP(Investment_Strategy&amp;"_"&amp;Investment_Strategy_Sub2&amp;"_"&amp;$A570,'Investment Strategies'!$AJ:$AV,8,FALSE),
IF(AND(Investment_Strategy="Autopilot",Investment_Strategy_Sub1="Non-Standard"),VLOOKUP(Investment_Strategy&amp;"_"&amp;Investment_Strategy_Sub2&amp;"_"&amp;$A570,'Investment Strategies'!$T:$AF,8,FALSE),
IF(Investment_Strategy ="DIY",DIY_RateOfReturn_CurrentFunds,
"Error")))))),Max_InvReturn)</f>
        <v>0</v>
      </c>
      <c r="F570" s="62">
        <f>IF(AV570=0,0,
IF(Investment_Strategy="DIS",VLOOKUP(Investment_Strategy&amp;"_"&amp;Investment_Strategy_Sub1&amp;"_"&amp;$A570,'Investment Strategies'!$AZ:$BP,15,FALSE),
IF(AND(Investment_Strategy="Lifecycle",Investment_Strategy_Sub1="Non-Standard"),VLOOKUP(Investment_Strategy&amp;"_"&amp;Investment_Strategy_Sub2&amp;"_"&amp;$A570,'Investment Strategies'!$C:$P,12,FALSE),
IF(AND(Investment_Strategy="Lifecycle",Investment_Strategy_Sub1="Standard"),VLOOKUP(Investment_Strategy&amp;"_"&amp;Investment_Strategy_Sub2&amp;"_"&amp;$A570,'Investment Strategies'!$AJ:$AV,11,FALSE),
IF(AND(Investment_Strategy="Autopilot",Investment_Strategy_Sub1="Non-Standard"),VLOOKUP(Investment_Strategy&amp;"_"&amp;Investment_Strategy_Sub2&amp;"_"&amp;$A570,'Investment Strategies'!$T:$AF,11,FALSE),
IF(Investment_Strategy="DIY",DIY_GteeChrge_CurrentFunds,
"Error"))))))</f>
        <v>0</v>
      </c>
      <c r="G570" s="33">
        <f>IF(AV570=0,0,
IF(Investment_Strategy="DIS",VLOOKUP(Investment_Strategy&amp;"_"&amp;Investment_Strategy_Sub1&amp;"_"&amp;$A570,'Investment Strategies'!$AZ:$BP,17,FALSE),
IF(AND(Investment_Strategy="Lifecycle",Investment_Strategy_Sub1="Non-Standard"),VLOOKUP(Investment_Strategy&amp;"_"&amp;Investment_Strategy_Sub2&amp;"_"&amp;$A570,'Investment Strategies'!$C:$P,14,FALSE),
IF(AND(Investment_Strategy="Lifecycle",Investment_Strategy_Sub1="Standard"),VLOOKUP(Investment_Strategy&amp;"_"&amp;Investment_Strategy_Sub2&amp;"_"&amp;$A570,'Investment Strategies'!$AJ:$AV,13,FALSE),
IF(AND(Investment_Strategy="Autopilot",Investment_Strategy_Sub1="Non-Standard"),VLOOKUP(Investment_Strategy&amp;"_"&amp;Investment_Strategy_Sub2&amp;"_"&amp;$A570,'Investment Strategies'!$T:$AF,13,FALSE),
IF(Investment_Strategy="DIY",DIY_ExtManChrge_CurrentFunds,
"Error"))))))</f>
        <v>0</v>
      </c>
      <c r="H570" s="16">
        <f t="shared" si="325"/>
        <v>0</v>
      </c>
      <c r="I570" s="16">
        <f t="shared" si="311"/>
        <v>0</v>
      </c>
      <c r="J570" s="16">
        <f t="shared" si="312"/>
        <v>0</v>
      </c>
      <c r="K570" s="16">
        <f>(Opening_Fund_Value+SUM(K$91:K569))*E570*IF(D570=$A$91,SRP_finalmonthfactor,1)</f>
        <v>0</v>
      </c>
      <c r="L570" s="74">
        <f>MIN(IF($AV570=0,0,
IF(Investment_Strategy="DIS",VLOOKUP(Investment_Strategy&amp;"_"&amp;Investment_Strategy_Sub1&amp;"_"&amp;$A570,'Investment Strategies'!$AZ:$BP,12,FALSE),
IF(AND(Investment_Strategy="Lifecycle",Investment_Strategy_Sub1="Non-Standard"),VLOOKUP(Investment_Strategy&amp;"_"&amp;Investment_Strategy_Sub2&amp;"_"&amp;$A570,'Investment Strategies'!$C:$P,9,FALSE),
IF(AND(Investment_Strategy="Lifecycle",Investment_Strategy_Sub1="Standard"),VLOOKUP(Investment_Strategy&amp;"_"&amp;Investment_Strategy_Sub2&amp;"_"&amp;$A570,'Investment Strategies'!$AJ:$AV,8,FALSE),
IF(AND(Investment_Strategy="Autopilot",Investment_Strategy_Sub1="Non-Standard"),VLOOKUP(Investment_Strategy&amp;"_"&amp;Investment_Strategy_Sub2&amp;"_"&amp;$A570,'Investment Strategies'!$T:$AF,8,FALSE),
IF(Investment_Strategy ="DIY",DIY_RateofReturn_SP,
"Error")))))),Max_InvReturn)</f>
        <v>0</v>
      </c>
      <c r="M570" s="62">
        <f>IF($AV570=0,0,
IF(Investment_Strategy="DIS",VLOOKUP(Investment_Strategy&amp;"_"&amp;Investment_Strategy_Sub1&amp;"_"&amp;$A570,'Investment Strategies'!$AZ:$BP,15,FALSE),
IF(AND(Investment_Strategy="Lifecycle",Investment_Strategy_Sub1="Non-Standard"),VLOOKUP(Investment_Strategy&amp;"_"&amp;Investment_Strategy_Sub2&amp;"_"&amp;$A570,'Investment Strategies'!$C:$P,12,FALSE),
IF(AND(Investment_Strategy="Lifecycle",Investment_Strategy_Sub1="Standard"),VLOOKUP(Investment_Strategy&amp;"_"&amp;Investment_Strategy_Sub2&amp;"_"&amp;$A570,'Investment Strategies'!$AJ:$AV,11,FALSE),
IF(AND(Investment_Strategy="Autopilot",Investment_Strategy_Sub1="Non-Standard"),VLOOKUP(Investment_Strategy&amp;"_"&amp;Investment_Strategy_Sub2&amp;"_"&amp;$A570,'Investment Strategies'!$T:$AF,11,FALSE),
IF(Investment_Strategy="DIY",DIY_GteeChrge_SP,
"Error"))))))</f>
        <v>0</v>
      </c>
      <c r="N570" s="33">
        <f>IF($AV570=0,0,
IF(Investment_Strategy="DIS",VLOOKUP(Investment_Strategy&amp;"_"&amp;Investment_Strategy_Sub1&amp;"_"&amp;$A570,'Investment Strategies'!$AZ:$BP,17,FALSE),
IF(AND(Investment_Strategy="Lifecycle",Investment_Strategy_Sub1="Non-Standard"),VLOOKUP(Investment_Strategy&amp;"_"&amp;Investment_Strategy_Sub2&amp;"_"&amp;$A570,'Investment Strategies'!$C:$P,14,FALSE),
IF(AND(Investment_Strategy="Lifecycle",Investment_Strategy_Sub1="Standard"),VLOOKUP(Investment_Strategy&amp;"_"&amp;Investment_Strategy_Sub2&amp;"_"&amp;$A570,'Investment Strategies'!$AJ:$AV,13,FALSE),
IF(AND(Investment_Strategy="Autopilot",Investment_Strategy_Sub1="Non-Standard"),VLOOKUP(Investment_Strategy&amp;"_"&amp;Investment_Strategy_Sub2&amp;"_"&amp;$A570,'Investment Strategies'!$T:$AF,13,FALSE),
IF(Investment_Strategy="DIY",DIY_ExtManChrge_SP,
"Error"))))))</f>
        <v>0</v>
      </c>
      <c r="O570" s="16">
        <f t="shared" si="336"/>
        <v>0</v>
      </c>
      <c r="Q570" s="16">
        <f t="shared" si="313"/>
        <v>0</v>
      </c>
      <c r="R570" s="16">
        <f t="shared" si="310"/>
        <v>0</v>
      </c>
      <c r="S570" s="16">
        <f>(SRP_SP+SUM(S$91:S569))*L570*IF(D570=$A$91,SRP_finalmonthfactor,1)</f>
        <v>0</v>
      </c>
      <c r="T570" s="74">
        <f>MIN(IF($AV570=0,0,
IF(Investment_Strategy="DIS",VLOOKUP(Investment_Strategy&amp;"_"&amp;Investment_Strategy_Sub1&amp;"_"&amp;$A570,'Investment Strategies'!$AZ:$BP,12,FALSE),
IF(AND(Investment_Strategy="Lifecycle",Investment_Strategy_Sub1="Non-Standard"),VLOOKUP(Investment_Strategy&amp;"_"&amp;Investment_Strategy_Sub2&amp;"_"&amp;$A570,'Investment Strategies'!$C:$P,9,FALSE),
IF(AND(Investment_Strategy="Lifecycle",Investment_Strategy_Sub1="Standard"),VLOOKUP(Investment_Strategy&amp;"_"&amp;Investment_Strategy_Sub2&amp;"_"&amp;$A570,'Investment Strategies'!$AJ:$AV,8,FALSE),
IF(AND(Investment_Strategy="Autopilot",Investment_Strategy_Sub1="Non-Standard"),VLOOKUP(Investment_Strategy&amp;"_"&amp;Investment_Strategy_Sub2&amp;"_"&amp;$A570,'Investment Strategies'!$T:$AF,8,FALSE),
IF(Investment_Strategy ="DIY",DIY_RateOfReturn_FuturePremiums,
"Error")))))),Max_InvReturn)</f>
        <v>0</v>
      </c>
      <c r="U570" s="62">
        <f>IF($AV570=0,0,
IF(Investment_Strategy="DIS",VLOOKUP(Investment_Strategy&amp;"_"&amp;Investment_Strategy_Sub1&amp;"_"&amp;$A570,'Investment Strategies'!$AZ:$BP,15,FALSE),
IF(AND(Investment_Strategy="Lifecycle",Investment_Strategy_Sub1="Non-Standard"),VLOOKUP(Investment_Strategy&amp;"_"&amp;Investment_Strategy_Sub2&amp;"_"&amp;$A570,'Investment Strategies'!$C:$P,12,FALSE),
IF(AND(Investment_Strategy="Lifecycle",Investment_Strategy_Sub1="Standard"),VLOOKUP(Investment_Strategy&amp;"_"&amp;Investment_Strategy_Sub2&amp;"_"&amp;$A570,'Investment Strategies'!$AJ:$AV,11,FALSE),
IF(AND(Investment_Strategy="Autopilot",Investment_Strategy_Sub1="Non-Standard"),VLOOKUP(Investment_Strategy&amp;"_"&amp;Investment_Strategy_Sub2&amp;"_"&amp;$A570,'Investment Strategies'!$T:$AF,11,FALSE),
IF(Investment_Strategy="DIY",DIY_GteeChrge_FuturePremiums,
"Error"))))))</f>
        <v>0</v>
      </c>
      <c r="V570" s="33">
        <f>IF(AV570=0,0,
IF(Investment_Strategy="DIS",VLOOKUP(Investment_Strategy&amp;"_"&amp;Investment_Strategy_Sub1&amp;"_"&amp;$A570,'Investment Strategies'!$AZ:$BP,17,FALSE),
IF(AND(Investment_Strategy="Lifecycle",Investment_Strategy_Sub1="Non-Standard"),VLOOKUP(Investment_Strategy&amp;"_"&amp;Investment_Strategy_Sub2&amp;"_"&amp;$A570,'Investment Strategies'!$C:$P,14,FALSE),
IF(AND(Investment_Strategy="Lifecycle",Investment_Strategy_Sub1="Standard"),VLOOKUP(Investment_Strategy&amp;"_"&amp;Investment_Strategy_Sub2&amp;"_"&amp;$A570,'Investment Strategies'!$AJ:$AV,13,FALSE),
IF(AND(Investment_Strategy="Autopilot",Investment_Strategy_Sub1="Non-Standard"),VLOOKUP(Investment_Strategy&amp;"_"&amp;Investment_Strategy_Sub2&amp;"_"&amp;$A570,'Investment Strategies'!$T:$AF,13,FALSE),
IF(Investment_Strategy="DIY",DIY_ExtManChrge_FuturePremiums,
"Error"))))))</f>
        <v>0</v>
      </c>
      <c r="W570" s="16">
        <f t="shared" si="337"/>
        <v>0</v>
      </c>
      <c r="X570" s="16">
        <f t="shared" si="314"/>
        <v>0</v>
      </c>
      <c r="Y570" s="16">
        <f t="shared" si="315"/>
        <v>0</v>
      </c>
      <c r="Z570" s="31">
        <f t="shared" si="316"/>
        <v>0.02</v>
      </c>
      <c r="AA570" s="16">
        <f t="shared" si="317"/>
        <v>0</v>
      </c>
      <c r="AB570" s="28">
        <f t="shared" si="339"/>
        <v>0</v>
      </c>
      <c r="AC570" s="28">
        <f>(SUM($AC$91:AC569)+SUM($X$91:X569)+X570)*T570*IF(D570=$A$91,SRP_finalmonthfactor,1)</f>
        <v>0</v>
      </c>
      <c r="AD570" s="16">
        <f t="shared" si="318"/>
        <v>0</v>
      </c>
      <c r="AE570" s="106"/>
      <c r="AF570" s="16">
        <f t="shared" si="326"/>
        <v>0</v>
      </c>
      <c r="AG570" s="16">
        <f t="shared" si="327"/>
        <v>0</v>
      </c>
      <c r="AH570" s="16">
        <f t="shared" si="328"/>
        <v>0</v>
      </c>
      <c r="AJ570" s="13">
        <f t="shared" si="341"/>
        <v>0</v>
      </c>
      <c r="AK570" s="13">
        <f t="shared" si="341"/>
        <v>0</v>
      </c>
      <c r="AL570" s="13">
        <f t="shared" si="341"/>
        <v>0</v>
      </c>
      <c r="AM570" s="13">
        <f t="shared" si="341"/>
        <v>0</v>
      </c>
      <c r="AN570" s="13">
        <f t="shared" si="341"/>
        <v>0</v>
      </c>
      <c r="AO570" s="13">
        <f t="shared" si="341"/>
        <v>1</v>
      </c>
      <c r="AP570" s="13">
        <f t="shared" si="341"/>
        <v>1</v>
      </c>
      <c r="AQ570" s="13">
        <f t="shared" si="341"/>
        <v>1</v>
      </c>
      <c r="AR570" s="13">
        <f t="shared" si="341"/>
        <v>0</v>
      </c>
      <c r="AS570" s="13">
        <f t="shared" si="341"/>
        <v>0</v>
      </c>
      <c r="AT570" s="13">
        <f t="shared" si="341"/>
        <v>0</v>
      </c>
      <c r="AU570" s="13">
        <f t="shared" si="341"/>
        <v>1</v>
      </c>
      <c r="AV570" s="13">
        <f t="shared" si="319"/>
        <v>0</v>
      </c>
      <c r="AW570" s="13">
        <f t="shared" si="320"/>
        <v>1</v>
      </c>
      <c r="AY570" s="17">
        <f t="shared" si="321"/>
        <v>480</v>
      </c>
      <c r="AZ570" s="28">
        <f t="shared" si="329"/>
        <v>0</v>
      </c>
      <c r="BA570" s="13">
        <f t="shared" si="322"/>
        <v>0</v>
      </c>
      <c r="BB570" s="13">
        <f t="shared" si="323"/>
        <v>0</v>
      </c>
      <c r="BC570" s="28">
        <f t="shared" si="330"/>
        <v>0</v>
      </c>
      <c r="BD570" s="28">
        <f t="shared" si="331"/>
        <v>0</v>
      </c>
      <c r="BF570" s="248">
        <f t="shared" si="332"/>
        <v>993869.29442638322</v>
      </c>
    </row>
    <row r="571" spans="1:58">
      <c r="A571" s="32">
        <f t="shared" si="333"/>
        <v>-396</v>
      </c>
      <c r="B571" s="32">
        <f t="shared" si="324"/>
        <v>93</v>
      </c>
      <c r="C571" s="32">
        <f t="shared" si="334"/>
        <v>41</v>
      </c>
      <c r="D571" s="32">
        <f t="shared" si="335"/>
        <v>481</v>
      </c>
      <c r="E571" s="74">
        <f>MIN(IF(AV571=0,0,
IF(Investment_Strategy="DIS",VLOOKUP(Investment_Strategy&amp;"_"&amp;Investment_Strategy_Sub1&amp;"_"&amp;$A571,'Investment Strategies'!$AZ:$BP,12,FALSE),
IF(AND(Investment_Strategy="Lifecycle",Investment_Strategy_Sub1="Non-Standard"),VLOOKUP(Investment_Strategy&amp;"_"&amp;Investment_Strategy_Sub2&amp;"_"&amp;$A571,'Investment Strategies'!$C:$P,9,FALSE),
IF(AND(Investment_Strategy="Lifecycle",Investment_Strategy_Sub1="Standard"),VLOOKUP(Investment_Strategy&amp;"_"&amp;Investment_Strategy_Sub2&amp;"_"&amp;$A571,'Investment Strategies'!$AJ:$AV,8,FALSE),
IF(AND(Investment_Strategy="Autopilot",Investment_Strategy_Sub1="Non-Standard"),VLOOKUP(Investment_Strategy&amp;"_"&amp;Investment_Strategy_Sub2&amp;"_"&amp;$A571,'Investment Strategies'!$T:$AF,8,FALSE),
IF(Investment_Strategy ="DIY",DIY_RateOfReturn_CurrentFunds,
"Error")))))),Max_InvReturn)</f>
        <v>0</v>
      </c>
      <c r="F571" s="62">
        <f>IF(AV571=0,0,
IF(Investment_Strategy="DIS",VLOOKUP(Investment_Strategy&amp;"_"&amp;Investment_Strategy_Sub1&amp;"_"&amp;$A571,'Investment Strategies'!$AZ:$BP,15,FALSE),
IF(AND(Investment_Strategy="Lifecycle",Investment_Strategy_Sub1="Non-Standard"),VLOOKUP(Investment_Strategy&amp;"_"&amp;Investment_Strategy_Sub2&amp;"_"&amp;$A571,'Investment Strategies'!$C:$P,12,FALSE),
IF(AND(Investment_Strategy="Lifecycle",Investment_Strategy_Sub1="Standard"),VLOOKUP(Investment_Strategy&amp;"_"&amp;Investment_Strategy_Sub2&amp;"_"&amp;$A571,'Investment Strategies'!$AJ:$AV,11,FALSE),
IF(AND(Investment_Strategy="Autopilot",Investment_Strategy_Sub1="Non-Standard"),VLOOKUP(Investment_Strategy&amp;"_"&amp;Investment_Strategy_Sub2&amp;"_"&amp;$A571,'Investment Strategies'!$T:$AF,11,FALSE),
IF(Investment_Strategy="DIY",DIY_GteeChrge_CurrentFunds,
"Error"))))))</f>
        <v>0</v>
      </c>
      <c r="G571" s="33">
        <f>IF(AV571=0,0,
IF(Investment_Strategy="DIS",VLOOKUP(Investment_Strategy&amp;"_"&amp;Investment_Strategy_Sub1&amp;"_"&amp;$A571,'Investment Strategies'!$AZ:$BP,17,FALSE),
IF(AND(Investment_Strategy="Lifecycle",Investment_Strategy_Sub1="Non-Standard"),VLOOKUP(Investment_Strategy&amp;"_"&amp;Investment_Strategy_Sub2&amp;"_"&amp;$A571,'Investment Strategies'!$C:$P,14,FALSE),
IF(AND(Investment_Strategy="Lifecycle",Investment_Strategy_Sub1="Standard"),VLOOKUP(Investment_Strategy&amp;"_"&amp;Investment_Strategy_Sub2&amp;"_"&amp;$A571,'Investment Strategies'!$AJ:$AV,13,FALSE),
IF(AND(Investment_Strategy="Autopilot",Investment_Strategy_Sub1="Non-Standard"),VLOOKUP(Investment_Strategy&amp;"_"&amp;Investment_Strategy_Sub2&amp;"_"&amp;$A571,'Investment Strategies'!$T:$AF,13,FALSE),
IF(Investment_Strategy="DIY",DIY_ExtManChrge_CurrentFunds,
"Error"))))))</f>
        <v>0</v>
      </c>
      <c r="H571" s="16">
        <f t="shared" si="325"/>
        <v>0</v>
      </c>
      <c r="I571" s="16">
        <f t="shared" si="311"/>
        <v>0</v>
      </c>
      <c r="J571" s="16">
        <f t="shared" si="312"/>
        <v>0</v>
      </c>
      <c r="K571" s="16">
        <f>(Opening_Fund_Value+SUM(K$91:K570))*E571*IF(D571=$A$91,SRP_finalmonthfactor,1)</f>
        <v>0</v>
      </c>
      <c r="L571" s="74">
        <f>MIN(IF($AV571=0,0,
IF(Investment_Strategy="DIS",VLOOKUP(Investment_Strategy&amp;"_"&amp;Investment_Strategy_Sub1&amp;"_"&amp;$A571,'Investment Strategies'!$AZ:$BP,12,FALSE),
IF(AND(Investment_Strategy="Lifecycle",Investment_Strategy_Sub1="Non-Standard"),VLOOKUP(Investment_Strategy&amp;"_"&amp;Investment_Strategy_Sub2&amp;"_"&amp;$A571,'Investment Strategies'!$C:$P,9,FALSE),
IF(AND(Investment_Strategy="Lifecycle",Investment_Strategy_Sub1="Standard"),VLOOKUP(Investment_Strategy&amp;"_"&amp;Investment_Strategy_Sub2&amp;"_"&amp;$A571,'Investment Strategies'!$AJ:$AV,8,FALSE),
IF(AND(Investment_Strategy="Autopilot",Investment_Strategy_Sub1="Non-Standard"),VLOOKUP(Investment_Strategy&amp;"_"&amp;Investment_Strategy_Sub2&amp;"_"&amp;$A571,'Investment Strategies'!$T:$AF,8,FALSE),
IF(Investment_Strategy ="DIY",DIY_RateofReturn_SP,
"Error")))))),Max_InvReturn)</f>
        <v>0</v>
      </c>
      <c r="M571" s="62">
        <f>IF($AV571=0,0,
IF(Investment_Strategy="DIS",VLOOKUP(Investment_Strategy&amp;"_"&amp;Investment_Strategy_Sub1&amp;"_"&amp;$A571,'Investment Strategies'!$AZ:$BP,15,FALSE),
IF(AND(Investment_Strategy="Lifecycle",Investment_Strategy_Sub1="Non-Standard"),VLOOKUP(Investment_Strategy&amp;"_"&amp;Investment_Strategy_Sub2&amp;"_"&amp;$A571,'Investment Strategies'!$C:$P,12,FALSE),
IF(AND(Investment_Strategy="Lifecycle",Investment_Strategy_Sub1="Standard"),VLOOKUP(Investment_Strategy&amp;"_"&amp;Investment_Strategy_Sub2&amp;"_"&amp;$A571,'Investment Strategies'!$AJ:$AV,11,FALSE),
IF(AND(Investment_Strategy="Autopilot",Investment_Strategy_Sub1="Non-Standard"),VLOOKUP(Investment_Strategy&amp;"_"&amp;Investment_Strategy_Sub2&amp;"_"&amp;$A571,'Investment Strategies'!$T:$AF,11,FALSE),
IF(Investment_Strategy="DIY",DIY_GteeChrge_SP,
"Error"))))))</f>
        <v>0</v>
      </c>
      <c r="N571" s="33">
        <f>IF($AV571=0,0,
IF(Investment_Strategy="DIS",VLOOKUP(Investment_Strategy&amp;"_"&amp;Investment_Strategy_Sub1&amp;"_"&amp;$A571,'Investment Strategies'!$AZ:$BP,17,FALSE),
IF(AND(Investment_Strategy="Lifecycle",Investment_Strategy_Sub1="Non-Standard"),VLOOKUP(Investment_Strategy&amp;"_"&amp;Investment_Strategy_Sub2&amp;"_"&amp;$A571,'Investment Strategies'!$C:$P,14,FALSE),
IF(AND(Investment_Strategy="Lifecycle",Investment_Strategy_Sub1="Standard"),VLOOKUP(Investment_Strategy&amp;"_"&amp;Investment_Strategy_Sub2&amp;"_"&amp;$A571,'Investment Strategies'!$AJ:$AV,13,FALSE),
IF(AND(Investment_Strategy="Autopilot",Investment_Strategy_Sub1="Non-Standard"),VLOOKUP(Investment_Strategy&amp;"_"&amp;Investment_Strategy_Sub2&amp;"_"&amp;$A571,'Investment Strategies'!$T:$AF,13,FALSE),
IF(Investment_Strategy="DIY",DIY_ExtManChrge_SP,
"Error"))))))</f>
        <v>0</v>
      </c>
      <c r="O571" s="16">
        <f t="shared" si="336"/>
        <v>0</v>
      </c>
      <c r="Q571" s="16">
        <f t="shared" si="313"/>
        <v>0</v>
      </c>
      <c r="R571" s="16">
        <f t="shared" si="310"/>
        <v>0</v>
      </c>
      <c r="S571" s="16">
        <f>(SRP_SP+SUM(S$91:S570))*L571*IF(D571=$A$91,SRP_finalmonthfactor,1)</f>
        <v>0</v>
      </c>
      <c r="T571" s="74">
        <f>MIN(IF($AV571=0,0,
IF(Investment_Strategy="DIS",VLOOKUP(Investment_Strategy&amp;"_"&amp;Investment_Strategy_Sub1&amp;"_"&amp;$A571,'Investment Strategies'!$AZ:$BP,12,FALSE),
IF(AND(Investment_Strategy="Lifecycle",Investment_Strategy_Sub1="Non-Standard"),VLOOKUP(Investment_Strategy&amp;"_"&amp;Investment_Strategy_Sub2&amp;"_"&amp;$A571,'Investment Strategies'!$C:$P,9,FALSE),
IF(AND(Investment_Strategy="Lifecycle",Investment_Strategy_Sub1="Standard"),VLOOKUP(Investment_Strategy&amp;"_"&amp;Investment_Strategy_Sub2&amp;"_"&amp;$A571,'Investment Strategies'!$AJ:$AV,8,FALSE),
IF(AND(Investment_Strategy="Autopilot",Investment_Strategy_Sub1="Non-Standard"),VLOOKUP(Investment_Strategy&amp;"_"&amp;Investment_Strategy_Sub2&amp;"_"&amp;$A571,'Investment Strategies'!$T:$AF,8,FALSE),
IF(Investment_Strategy ="DIY",DIY_RateOfReturn_FuturePremiums,
"Error")))))),Max_InvReturn)</f>
        <v>0</v>
      </c>
      <c r="U571" s="62">
        <f>IF($AV571=0,0,
IF(Investment_Strategy="DIS",VLOOKUP(Investment_Strategy&amp;"_"&amp;Investment_Strategy_Sub1&amp;"_"&amp;$A571,'Investment Strategies'!$AZ:$BP,15,FALSE),
IF(AND(Investment_Strategy="Lifecycle",Investment_Strategy_Sub1="Non-Standard"),VLOOKUP(Investment_Strategy&amp;"_"&amp;Investment_Strategy_Sub2&amp;"_"&amp;$A571,'Investment Strategies'!$C:$P,12,FALSE),
IF(AND(Investment_Strategy="Lifecycle",Investment_Strategy_Sub1="Standard"),VLOOKUP(Investment_Strategy&amp;"_"&amp;Investment_Strategy_Sub2&amp;"_"&amp;$A571,'Investment Strategies'!$AJ:$AV,11,FALSE),
IF(AND(Investment_Strategy="Autopilot",Investment_Strategy_Sub1="Non-Standard"),VLOOKUP(Investment_Strategy&amp;"_"&amp;Investment_Strategy_Sub2&amp;"_"&amp;$A571,'Investment Strategies'!$T:$AF,11,FALSE),
IF(Investment_Strategy="DIY",DIY_GteeChrge_FuturePremiums,
"Error"))))))</f>
        <v>0</v>
      </c>
      <c r="V571" s="33">
        <f>IF(AV571=0,0,
IF(Investment_Strategy="DIS",VLOOKUP(Investment_Strategy&amp;"_"&amp;Investment_Strategy_Sub1&amp;"_"&amp;$A571,'Investment Strategies'!$AZ:$BP,17,FALSE),
IF(AND(Investment_Strategy="Lifecycle",Investment_Strategy_Sub1="Non-Standard"),VLOOKUP(Investment_Strategy&amp;"_"&amp;Investment_Strategy_Sub2&amp;"_"&amp;$A571,'Investment Strategies'!$C:$P,14,FALSE),
IF(AND(Investment_Strategy="Lifecycle",Investment_Strategy_Sub1="Standard"),VLOOKUP(Investment_Strategy&amp;"_"&amp;Investment_Strategy_Sub2&amp;"_"&amp;$A571,'Investment Strategies'!$AJ:$AV,13,FALSE),
IF(AND(Investment_Strategy="Autopilot",Investment_Strategy_Sub1="Non-Standard"),VLOOKUP(Investment_Strategy&amp;"_"&amp;Investment_Strategy_Sub2&amp;"_"&amp;$A571,'Investment Strategies'!$T:$AF,13,FALSE),
IF(Investment_Strategy="DIY",DIY_ExtManChrge_FuturePremiums,
"Error"))))))</f>
        <v>0</v>
      </c>
      <c r="W571" s="16">
        <f t="shared" si="337"/>
        <v>0</v>
      </c>
      <c r="X571" s="16">
        <f t="shared" si="314"/>
        <v>0</v>
      </c>
      <c r="Y571" s="16">
        <f t="shared" si="315"/>
        <v>0</v>
      </c>
      <c r="Z571" s="31">
        <f t="shared" si="316"/>
        <v>0.02</v>
      </c>
      <c r="AA571" s="16">
        <f t="shared" si="317"/>
        <v>0</v>
      </c>
      <c r="AB571" s="28">
        <f t="shared" si="339"/>
        <v>0</v>
      </c>
      <c r="AC571" s="28">
        <f>(SUM($AC$91:AC570)+SUM($X$91:X570)+X571)*T571*IF(D571=$A$91,SRP_finalmonthfactor,1)</f>
        <v>0</v>
      </c>
      <c r="AD571" s="16">
        <f t="shared" si="318"/>
        <v>0</v>
      </c>
      <c r="AE571" s="106"/>
      <c r="AF571" s="16">
        <f t="shared" si="326"/>
        <v>0</v>
      </c>
      <c r="AG571" s="16">
        <f t="shared" si="327"/>
        <v>0</v>
      </c>
      <c r="AH571" s="16">
        <f t="shared" si="328"/>
        <v>0</v>
      </c>
      <c r="AJ571" s="13">
        <f t="shared" ref="AJ571:AU580" si="342">IF($C571&lt;=AJ$90,1,0)</f>
        <v>0</v>
      </c>
      <c r="AK571" s="13">
        <f t="shared" si="342"/>
        <v>0</v>
      </c>
      <c r="AL571" s="13">
        <f t="shared" si="342"/>
        <v>0</v>
      </c>
      <c r="AM571" s="13">
        <f t="shared" si="342"/>
        <v>0</v>
      </c>
      <c r="AN571" s="13">
        <f t="shared" si="342"/>
        <v>0</v>
      </c>
      <c r="AO571" s="13">
        <f t="shared" si="342"/>
        <v>1</v>
      </c>
      <c r="AP571" s="13">
        <f t="shared" si="342"/>
        <v>1</v>
      </c>
      <c r="AQ571" s="13">
        <f t="shared" si="342"/>
        <v>1</v>
      </c>
      <c r="AR571" s="13">
        <f t="shared" si="342"/>
        <v>0</v>
      </c>
      <c r="AS571" s="13">
        <f t="shared" si="342"/>
        <v>0</v>
      </c>
      <c r="AT571" s="13">
        <f t="shared" si="342"/>
        <v>0</v>
      </c>
      <c r="AU571" s="13">
        <f t="shared" si="342"/>
        <v>0</v>
      </c>
      <c r="AV571" s="13">
        <f t="shared" si="319"/>
        <v>0</v>
      </c>
      <c r="AW571" s="13">
        <f t="shared" si="320"/>
        <v>1</v>
      </c>
      <c r="AY571" s="17">
        <f t="shared" si="321"/>
        <v>481</v>
      </c>
      <c r="AZ571" s="28">
        <f t="shared" si="329"/>
        <v>0</v>
      </c>
      <c r="BA571" s="13">
        <f t="shared" si="322"/>
        <v>0</v>
      </c>
      <c r="BB571" s="13">
        <f t="shared" si="323"/>
        <v>0</v>
      </c>
      <c r="BC571" s="28">
        <f t="shared" si="330"/>
        <v>0</v>
      </c>
      <c r="BD571" s="28">
        <f t="shared" si="331"/>
        <v>0</v>
      </c>
      <c r="BF571" s="248">
        <f t="shared" si="332"/>
        <v>993869.29442638322</v>
      </c>
    </row>
    <row r="572" spans="1:58">
      <c r="A572" s="32">
        <f t="shared" si="333"/>
        <v>-397</v>
      </c>
      <c r="B572" s="32">
        <f t="shared" si="324"/>
        <v>93</v>
      </c>
      <c r="C572" s="32">
        <f t="shared" si="334"/>
        <v>41</v>
      </c>
      <c r="D572" s="32">
        <f t="shared" si="335"/>
        <v>482</v>
      </c>
      <c r="E572" s="74">
        <f>MIN(IF(AV572=0,0,
IF(Investment_Strategy="DIS",VLOOKUP(Investment_Strategy&amp;"_"&amp;Investment_Strategy_Sub1&amp;"_"&amp;$A572,'Investment Strategies'!$AZ:$BP,12,FALSE),
IF(AND(Investment_Strategy="Lifecycle",Investment_Strategy_Sub1="Non-Standard"),VLOOKUP(Investment_Strategy&amp;"_"&amp;Investment_Strategy_Sub2&amp;"_"&amp;$A572,'Investment Strategies'!$C:$P,9,FALSE),
IF(AND(Investment_Strategy="Lifecycle",Investment_Strategy_Sub1="Standard"),VLOOKUP(Investment_Strategy&amp;"_"&amp;Investment_Strategy_Sub2&amp;"_"&amp;$A572,'Investment Strategies'!$AJ:$AV,8,FALSE),
IF(AND(Investment_Strategy="Autopilot",Investment_Strategy_Sub1="Non-Standard"),VLOOKUP(Investment_Strategy&amp;"_"&amp;Investment_Strategy_Sub2&amp;"_"&amp;$A572,'Investment Strategies'!$T:$AF,8,FALSE),
IF(Investment_Strategy ="DIY",DIY_RateOfReturn_CurrentFunds,
"Error")))))),Max_InvReturn)</f>
        <v>0</v>
      </c>
      <c r="F572" s="62">
        <f>IF(AV572=0,0,
IF(Investment_Strategy="DIS",VLOOKUP(Investment_Strategy&amp;"_"&amp;Investment_Strategy_Sub1&amp;"_"&amp;$A572,'Investment Strategies'!$AZ:$BP,15,FALSE),
IF(AND(Investment_Strategy="Lifecycle",Investment_Strategy_Sub1="Non-Standard"),VLOOKUP(Investment_Strategy&amp;"_"&amp;Investment_Strategy_Sub2&amp;"_"&amp;$A572,'Investment Strategies'!$C:$P,12,FALSE),
IF(AND(Investment_Strategy="Lifecycle",Investment_Strategy_Sub1="Standard"),VLOOKUP(Investment_Strategy&amp;"_"&amp;Investment_Strategy_Sub2&amp;"_"&amp;$A572,'Investment Strategies'!$AJ:$AV,11,FALSE),
IF(AND(Investment_Strategy="Autopilot",Investment_Strategy_Sub1="Non-Standard"),VLOOKUP(Investment_Strategy&amp;"_"&amp;Investment_Strategy_Sub2&amp;"_"&amp;$A572,'Investment Strategies'!$T:$AF,11,FALSE),
IF(Investment_Strategy="DIY",DIY_GteeChrge_CurrentFunds,
"Error"))))))</f>
        <v>0</v>
      </c>
      <c r="G572" s="33">
        <f>IF(AV572=0,0,
IF(Investment_Strategy="DIS",VLOOKUP(Investment_Strategy&amp;"_"&amp;Investment_Strategy_Sub1&amp;"_"&amp;$A572,'Investment Strategies'!$AZ:$BP,17,FALSE),
IF(AND(Investment_Strategy="Lifecycle",Investment_Strategy_Sub1="Non-Standard"),VLOOKUP(Investment_Strategy&amp;"_"&amp;Investment_Strategy_Sub2&amp;"_"&amp;$A572,'Investment Strategies'!$C:$P,14,FALSE),
IF(AND(Investment_Strategy="Lifecycle",Investment_Strategy_Sub1="Standard"),VLOOKUP(Investment_Strategy&amp;"_"&amp;Investment_Strategy_Sub2&amp;"_"&amp;$A572,'Investment Strategies'!$AJ:$AV,13,FALSE),
IF(AND(Investment_Strategy="Autopilot",Investment_Strategy_Sub1="Non-Standard"),VLOOKUP(Investment_Strategy&amp;"_"&amp;Investment_Strategy_Sub2&amp;"_"&amp;$A572,'Investment Strategies'!$T:$AF,13,FALSE),
IF(Investment_Strategy="DIY",DIY_ExtManChrge_CurrentFunds,
"Error"))))))</f>
        <v>0</v>
      </c>
      <c r="H572" s="16">
        <f t="shared" si="325"/>
        <v>0</v>
      </c>
      <c r="I572" s="16">
        <f t="shared" si="311"/>
        <v>0</v>
      </c>
      <c r="J572" s="16">
        <f t="shared" si="312"/>
        <v>0</v>
      </c>
      <c r="K572" s="16">
        <f>(Opening_Fund_Value+SUM(K$91:K571))*E572*IF(D572=$A$91,SRP_finalmonthfactor,1)</f>
        <v>0</v>
      </c>
      <c r="L572" s="74">
        <f>MIN(IF($AV572=0,0,
IF(Investment_Strategy="DIS",VLOOKUP(Investment_Strategy&amp;"_"&amp;Investment_Strategy_Sub1&amp;"_"&amp;$A572,'Investment Strategies'!$AZ:$BP,12,FALSE),
IF(AND(Investment_Strategy="Lifecycle",Investment_Strategy_Sub1="Non-Standard"),VLOOKUP(Investment_Strategy&amp;"_"&amp;Investment_Strategy_Sub2&amp;"_"&amp;$A572,'Investment Strategies'!$C:$P,9,FALSE),
IF(AND(Investment_Strategy="Lifecycle",Investment_Strategy_Sub1="Standard"),VLOOKUP(Investment_Strategy&amp;"_"&amp;Investment_Strategy_Sub2&amp;"_"&amp;$A572,'Investment Strategies'!$AJ:$AV,8,FALSE),
IF(AND(Investment_Strategy="Autopilot",Investment_Strategy_Sub1="Non-Standard"),VLOOKUP(Investment_Strategy&amp;"_"&amp;Investment_Strategy_Sub2&amp;"_"&amp;$A572,'Investment Strategies'!$T:$AF,8,FALSE),
IF(Investment_Strategy ="DIY",DIY_RateofReturn_SP,
"Error")))))),Max_InvReturn)</f>
        <v>0</v>
      </c>
      <c r="M572" s="62">
        <f>IF($AV572=0,0,
IF(Investment_Strategy="DIS",VLOOKUP(Investment_Strategy&amp;"_"&amp;Investment_Strategy_Sub1&amp;"_"&amp;$A572,'Investment Strategies'!$AZ:$BP,15,FALSE),
IF(AND(Investment_Strategy="Lifecycle",Investment_Strategy_Sub1="Non-Standard"),VLOOKUP(Investment_Strategy&amp;"_"&amp;Investment_Strategy_Sub2&amp;"_"&amp;$A572,'Investment Strategies'!$C:$P,12,FALSE),
IF(AND(Investment_Strategy="Lifecycle",Investment_Strategy_Sub1="Standard"),VLOOKUP(Investment_Strategy&amp;"_"&amp;Investment_Strategy_Sub2&amp;"_"&amp;$A572,'Investment Strategies'!$AJ:$AV,11,FALSE),
IF(AND(Investment_Strategy="Autopilot",Investment_Strategy_Sub1="Non-Standard"),VLOOKUP(Investment_Strategy&amp;"_"&amp;Investment_Strategy_Sub2&amp;"_"&amp;$A572,'Investment Strategies'!$T:$AF,11,FALSE),
IF(Investment_Strategy="DIY",DIY_GteeChrge_SP,
"Error"))))))</f>
        <v>0</v>
      </c>
      <c r="N572" s="33">
        <f>IF($AV572=0,0,
IF(Investment_Strategy="DIS",VLOOKUP(Investment_Strategy&amp;"_"&amp;Investment_Strategy_Sub1&amp;"_"&amp;$A572,'Investment Strategies'!$AZ:$BP,17,FALSE),
IF(AND(Investment_Strategy="Lifecycle",Investment_Strategy_Sub1="Non-Standard"),VLOOKUP(Investment_Strategy&amp;"_"&amp;Investment_Strategy_Sub2&amp;"_"&amp;$A572,'Investment Strategies'!$C:$P,14,FALSE),
IF(AND(Investment_Strategy="Lifecycle",Investment_Strategy_Sub1="Standard"),VLOOKUP(Investment_Strategy&amp;"_"&amp;Investment_Strategy_Sub2&amp;"_"&amp;$A572,'Investment Strategies'!$AJ:$AV,13,FALSE),
IF(AND(Investment_Strategy="Autopilot",Investment_Strategy_Sub1="Non-Standard"),VLOOKUP(Investment_Strategy&amp;"_"&amp;Investment_Strategy_Sub2&amp;"_"&amp;$A572,'Investment Strategies'!$T:$AF,13,FALSE),
IF(Investment_Strategy="DIY",DIY_ExtManChrge_SP,
"Error"))))))</f>
        <v>0</v>
      </c>
      <c r="O572" s="16">
        <f t="shared" si="336"/>
        <v>0</v>
      </c>
      <c r="Q572" s="16">
        <f t="shared" si="313"/>
        <v>0</v>
      </c>
      <c r="R572" s="16">
        <f t="shared" si="310"/>
        <v>0</v>
      </c>
      <c r="S572" s="16">
        <f>(SRP_SP+SUM(S$91:S571))*L572*IF(D572=$A$91,SRP_finalmonthfactor,1)</f>
        <v>0</v>
      </c>
      <c r="T572" s="74">
        <f>MIN(IF($AV572=0,0,
IF(Investment_Strategy="DIS",VLOOKUP(Investment_Strategy&amp;"_"&amp;Investment_Strategy_Sub1&amp;"_"&amp;$A572,'Investment Strategies'!$AZ:$BP,12,FALSE),
IF(AND(Investment_Strategy="Lifecycle",Investment_Strategy_Sub1="Non-Standard"),VLOOKUP(Investment_Strategy&amp;"_"&amp;Investment_Strategy_Sub2&amp;"_"&amp;$A572,'Investment Strategies'!$C:$P,9,FALSE),
IF(AND(Investment_Strategy="Lifecycle",Investment_Strategy_Sub1="Standard"),VLOOKUP(Investment_Strategy&amp;"_"&amp;Investment_Strategy_Sub2&amp;"_"&amp;$A572,'Investment Strategies'!$AJ:$AV,8,FALSE),
IF(AND(Investment_Strategy="Autopilot",Investment_Strategy_Sub1="Non-Standard"),VLOOKUP(Investment_Strategy&amp;"_"&amp;Investment_Strategy_Sub2&amp;"_"&amp;$A572,'Investment Strategies'!$T:$AF,8,FALSE),
IF(Investment_Strategy ="DIY",DIY_RateOfReturn_FuturePremiums,
"Error")))))),Max_InvReturn)</f>
        <v>0</v>
      </c>
      <c r="U572" s="62">
        <f>IF($AV572=0,0,
IF(Investment_Strategy="DIS",VLOOKUP(Investment_Strategy&amp;"_"&amp;Investment_Strategy_Sub1&amp;"_"&amp;$A572,'Investment Strategies'!$AZ:$BP,15,FALSE),
IF(AND(Investment_Strategy="Lifecycle",Investment_Strategy_Sub1="Non-Standard"),VLOOKUP(Investment_Strategy&amp;"_"&amp;Investment_Strategy_Sub2&amp;"_"&amp;$A572,'Investment Strategies'!$C:$P,12,FALSE),
IF(AND(Investment_Strategy="Lifecycle",Investment_Strategy_Sub1="Standard"),VLOOKUP(Investment_Strategy&amp;"_"&amp;Investment_Strategy_Sub2&amp;"_"&amp;$A572,'Investment Strategies'!$AJ:$AV,11,FALSE),
IF(AND(Investment_Strategy="Autopilot",Investment_Strategy_Sub1="Non-Standard"),VLOOKUP(Investment_Strategy&amp;"_"&amp;Investment_Strategy_Sub2&amp;"_"&amp;$A572,'Investment Strategies'!$T:$AF,11,FALSE),
IF(Investment_Strategy="DIY",DIY_GteeChrge_FuturePremiums,
"Error"))))))</f>
        <v>0</v>
      </c>
      <c r="V572" s="33">
        <f>IF(AV572=0,0,
IF(Investment_Strategy="DIS",VLOOKUP(Investment_Strategy&amp;"_"&amp;Investment_Strategy_Sub1&amp;"_"&amp;$A572,'Investment Strategies'!$AZ:$BP,17,FALSE),
IF(AND(Investment_Strategy="Lifecycle",Investment_Strategy_Sub1="Non-Standard"),VLOOKUP(Investment_Strategy&amp;"_"&amp;Investment_Strategy_Sub2&amp;"_"&amp;$A572,'Investment Strategies'!$C:$P,14,FALSE),
IF(AND(Investment_Strategy="Lifecycle",Investment_Strategy_Sub1="Standard"),VLOOKUP(Investment_Strategy&amp;"_"&amp;Investment_Strategy_Sub2&amp;"_"&amp;$A572,'Investment Strategies'!$AJ:$AV,13,FALSE),
IF(AND(Investment_Strategy="Autopilot",Investment_Strategy_Sub1="Non-Standard"),VLOOKUP(Investment_Strategy&amp;"_"&amp;Investment_Strategy_Sub2&amp;"_"&amp;$A572,'Investment Strategies'!$T:$AF,13,FALSE),
IF(Investment_Strategy="DIY",DIY_ExtManChrge_FuturePremiums,
"Error"))))))</f>
        <v>0</v>
      </c>
      <c r="W572" s="16">
        <f t="shared" si="337"/>
        <v>0</v>
      </c>
      <c r="X572" s="16">
        <f t="shared" si="314"/>
        <v>0</v>
      </c>
      <c r="Y572" s="16">
        <f t="shared" si="315"/>
        <v>0</v>
      </c>
      <c r="Z572" s="31">
        <f t="shared" si="316"/>
        <v>0.02</v>
      </c>
      <c r="AA572" s="16">
        <f t="shared" si="317"/>
        <v>0</v>
      </c>
      <c r="AB572" s="28">
        <f t="shared" si="339"/>
        <v>0</v>
      </c>
      <c r="AC572" s="28">
        <f>(SUM($AC$91:AC571)+SUM($X$91:X571)+X572)*T572*IF(D572=$A$91,SRP_finalmonthfactor,1)</f>
        <v>0</v>
      </c>
      <c r="AD572" s="16">
        <f t="shared" si="318"/>
        <v>0</v>
      </c>
      <c r="AE572" s="106"/>
      <c r="AF572" s="16">
        <f t="shared" si="326"/>
        <v>0</v>
      </c>
      <c r="AG572" s="16">
        <f t="shared" si="327"/>
        <v>0</v>
      </c>
      <c r="AH572" s="16">
        <f t="shared" si="328"/>
        <v>0</v>
      </c>
      <c r="AJ572" s="13">
        <f t="shared" si="342"/>
        <v>0</v>
      </c>
      <c r="AK572" s="13">
        <f t="shared" si="342"/>
        <v>0</v>
      </c>
      <c r="AL572" s="13">
        <f t="shared" si="342"/>
        <v>0</v>
      </c>
      <c r="AM572" s="13">
        <f t="shared" si="342"/>
        <v>0</v>
      </c>
      <c r="AN572" s="13">
        <f t="shared" si="342"/>
        <v>0</v>
      </c>
      <c r="AO572" s="13">
        <f t="shared" si="342"/>
        <v>1</v>
      </c>
      <c r="AP572" s="13">
        <f t="shared" si="342"/>
        <v>1</v>
      </c>
      <c r="AQ572" s="13">
        <f t="shared" si="342"/>
        <v>1</v>
      </c>
      <c r="AR572" s="13">
        <f t="shared" si="342"/>
        <v>0</v>
      </c>
      <c r="AS572" s="13">
        <f t="shared" si="342"/>
        <v>0</v>
      </c>
      <c r="AT572" s="13">
        <f t="shared" si="342"/>
        <v>0</v>
      </c>
      <c r="AU572" s="13">
        <f t="shared" si="342"/>
        <v>0</v>
      </c>
      <c r="AV572" s="13">
        <f t="shared" si="319"/>
        <v>0</v>
      </c>
      <c r="AW572" s="13">
        <f t="shared" si="320"/>
        <v>1</v>
      </c>
      <c r="AY572" s="17">
        <f t="shared" si="321"/>
        <v>482</v>
      </c>
      <c r="AZ572" s="28">
        <f t="shared" si="329"/>
        <v>0</v>
      </c>
      <c r="BA572" s="13">
        <f t="shared" si="322"/>
        <v>0</v>
      </c>
      <c r="BB572" s="13">
        <f t="shared" si="323"/>
        <v>0</v>
      </c>
      <c r="BC572" s="28">
        <f t="shared" si="330"/>
        <v>0</v>
      </c>
      <c r="BD572" s="28">
        <f t="shared" si="331"/>
        <v>0</v>
      </c>
      <c r="BF572" s="248">
        <f t="shared" si="332"/>
        <v>993869.29442638322</v>
      </c>
    </row>
    <row r="573" spans="1:58">
      <c r="A573" s="32">
        <f t="shared" si="333"/>
        <v>-398</v>
      </c>
      <c r="B573" s="32">
        <f t="shared" si="324"/>
        <v>93</v>
      </c>
      <c r="C573" s="32">
        <f t="shared" si="334"/>
        <v>41</v>
      </c>
      <c r="D573" s="32">
        <f t="shared" si="335"/>
        <v>483</v>
      </c>
      <c r="E573" s="74">
        <f>MIN(IF(AV573=0,0,
IF(Investment_Strategy="DIS",VLOOKUP(Investment_Strategy&amp;"_"&amp;Investment_Strategy_Sub1&amp;"_"&amp;$A573,'Investment Strategies'!$AZ:$BP,12,FALSE),
IF(AND(Investment_Strategy="Lifecycle",Investment_Strategy_Sub1="Non-Standard"),VLOOKUP(Investment_Strategy&amp;"_"&amp;Investment_Strategy_Sub2&amp;"_"&amp;$A573,'Investment Strategies'!$C:$P,9,FALSE),
IF(AND(Investment_Strategy="Lifecycle",Investment_Strategy_Sub1="Standard"),VLOOKUP(Investment_Strategy&amp;"_"&amp;Investment_Strategy_Sub2&amp;"_"&amp;$A573,'Investment Strategies'!$AJ:$AV,8,FALSE),
IF(AND(Investment_Strategy="Autopilot",Investment_Strategy_Sub1="Non-Standard"),VLOOKUP(Investment_Strategy&amp;"_"&amp;Investment_Strategy_Sub2&amp;"_"&amp;$A573,'Investment Strategies'!$T:$AF,8,FALSE),
IF(Investment_Strategy ="DIY",DIY_RateOfReturn_CurrentFunds,
"Error")))))),Max_InvReturn)</f>
        <v>0</v>
      </c>
      <c r="F573" s="62">
        <f>IF(AV573=0,0,
IF(Investment_Strategy="DIS",VLOOKUP(Investment_Strategy&amp;"_"&amp;Investment_Strategy_Sub1&amp;"_"&amp;$A573,'Investment Strategies'!$AZ:$BP,15,FALSE),
IF(AND(Investment_Strategy="Lifecycle",Investment_Strategy_Sub1="Non-Standard"),VLOOKUP(Investment_Strategy&amp;"_"&amp;Investment_Strategy_Sub2&amp;"_"&amp;$A573,'Investment Strategies'!$C:$P,12,FALSE),
IF(AND(Investment_Strategy="Lifecycle",Investment_Strategy_Sub1="Standard"),VLOOKUP(Investment_Strategy&amp;"_"&amp;Investment_Strategy_Sub2&amp;"_"&amp;$A573,'Investment Strategies'!$AJ:$AV,11,FALSE),
IF(AND(Investment_Strategy="Autopilot",Investment_Strategy_Sub1="Non-Standard"),VLOOKUP(Investment_Strategy&amp;"_"&amp;Investment_Strategy_Sub2&amp;"_"&amp;$A573,'Investment Strategies'!$T:$AF,11,FALSE),
IF(Investment_Strategy="DIY",DIY_GteeChrge_CurrentFunds,
"Error"))))))</f>
        <v>0</v>
      </c>
      <c r="G573" s="33">
        <f>IF(AV573=0,0,
IF(Investment_Strategy="DIS",VLOOKUP(Investment_Strategy&amp;"_"&amp;Investment_Strategy_Sub1&amp;"_"&amp;$A573,'Investment Strategies'!$AZ:$BP,17,FALSE),
IF(AND(Investment_Strategy="Lifecycle",Investment_Strategy_Sub1="Non-Standard"),VLOOKUP(Investment_Strategy&amp;"_"&amp;Investment_Strategy_Sub2&amp;"_"&amp;$A573,'Investment Strategies'!$C:$P,14,FALSE),
IF(AND(Investment_Strategy="Lifecycle",Investment_Strategy_Sub1="Standard"),VLOOKUP(Investment_Strategy&amp;"_"&amp;Investment_Strategy_Sub2&amp;"_"&amp;$A573,'Investment Strategies'!$AJ:$AV,13,FALSE),
IF(AND(Investment_Strategy="Autopilot",Investment_Strategy_Sub1="Non-Standard"),VLOOKUP(Investment_Strategy&amp;"_"&amp;Investment_Strategy_Sub2&amp;"_"&amp;$A573,'Investment Strategies'!$T:$AF,13,FALSE),
IF(Investment_Strategy="DIY",DIY_ExtManChrge_CurrentFunds,
"Error"))))))</f>
        <v>0</v>
      </c>
      <c r="H573" s="16">
        <f t="shared" si="325"/>
        <v>0</v>
      </c>
      <c r="I573" s="16">
        <f t="shared" si="311"/>
        <v>0</v>
      </c>
      <c r="J573" s="16">
        <f t="shared" si="312"/>
        <v>0</v>
      </c>
      <c r="K573" s="16">
        <f>(Opening_Fund_Value+SUM(K$91:K572))*E573*IF(D573=$A$91,SRP_finalmonthfactor,1)</f>
        <v>0</v>
      </c>
      <c r="L573" s="74">
        <f>MIN(IF($AV573=0,0,
IF(Investment_Strategy="DIS",VLOOKUP(Investment_Strategy&amp;"_"&amp;Investment_Strategy_Sub1&amp;"_"&amp;$A573,'Investment Strategies'!$AZ:$BP,12,FALSE),
IF(AND(Investment_Strategy="Lifecycle",Investment_Strategy_Sub1="Non-Standard"),VLOOKUP(Investment_Strategy&amp;"_"&amp;Investment_Strategy_Sub2&amp;"_"&amp;$A573,'Investment Strategies'!$C:$P,9,FALSE),
IF(AND(Investment_Strategy="Lifecycle",Investment_Strategy_Sub1="Standard"),VLOOKUP(Investment_Strategy&amp;"_"&amp;Investment_Strategy_Sub2&amp;"_"&amp;$A573,'Investment Strategies'!$AJ:$AV,8,FALSE),
IF(AND(Investment_Strategy="Autopilot",Investment_Strategy_Sub1="Non-Standard"),VLOOKUP(Investment_Strategy&amp;"_"&amp;Investment_Strategy_Sub2&amp;"_"&amp;$A573,'Investment Strategies'!$T:$AF,8,FALSE),
IF(Investment_Strategy ="DIY",DIY_RateofReturn_SP,
"Error")))))),Max_InvReturn)</f>
        <v>0</v>
      </c>
      <c r="M573" s="62">
        <f>IF($AV573=0,0,
IF(Investment_Strategy="DIS",VLOOKUP(Investment_Strategy&amp;"_"&amp;Investment_Strategy_Sub1&amp;"_"&amp;$A573,'Investment Strategies'!$AZ:$BP,15,FALSE),
IF(AND(Investment_Strategy="Lifecycle",Investment_Strategy_Sub1="Non-Standard"),VLOOKUP(Investment_Strategy&amp;"_"&amp;Investment_Strategy_Sub2&amp;"_"&amp;$A573,'Investment Strategies'!$C:$P,12,FALSE),
IF(AND(Investment_Strategy="Lifecycle",Investment_Strategy_Sub1="Standard"),VLOOKUP(Investment_Strategy&amp;"_"&amp;Investment_Strategy_Sub2&amp;"_"&amp;$A573,'Investment Strategies'!$AJ:$AV,11,FALSE),
IF(AND(Investment_Strategy="Autopilot",Investment_Strategy_Sub1="Non-Standard"),VLOOKUP(Investment_Strategy&amp;"_"&amp;Investment_Strategy_Sub2&amp;"_"&amp;$A573,'Investment Strategies'!$T:$AF,11,FALSE),
IF(Investment_Strategy="DIY",DIY_GteeChrge_SP,
"Error"))))))</f>
        <v>0</v>
      </c>
      <c r="N573" s="33">
        <f>IF($AV573=0,0,
IF(Investment_Strategy="DIS",VLOOKUP(Investment_Strategy&amp;"_"&amp;Investment_Strategy_Sub1&amp;"_"&amp;$A573,'Investment Strategies'!$AZ:$BP,17,FALSE),
IF(AND(Investment_Strategy="Lifecycle",Investment_Strategy_Sub1="Non-Standard"),VLOOKUP(Investment_Strategy&amp;"_"&amp;Investment_Strategy_Sub2&amp;"_"&amp;$A573,'Investment Strategies'!$C:$P,14,FALSE),
IF(AND(Investment_Strategy="Lifecycle",Investment_Strategy_Sub1="Standard"),VLOOKUP(Investment_Strategy&amp;"_"&amp;Investment_Strategy_Sub2&amp;"_"&amp;$A573,'Investment Strategies'!$AJ:$AV,13,FALSE),
IF(AND(Investment_Strategy="Autopilot",Investment_Strategy_Sub1="Non-Standard"),VLOOKUP(Investment_Strategy&amp;"_"&amp;Investment_Strategy_Sub2&amp;"_"&amp;$A573,'Investment Strategies'!$T:$AF,13,FALSE),
IF(Investment_Strategy="DIY",DIY_ExtManChrge_SP,
"Error"))))))</f>
        <v>0</v>
      </c>
      <c r="O573" s="16">
        <f t="shared" si="336"/>
        <v>0</v>
      </c>
      <c r="Q573" s="16">
        <f t="shared" si="313"/>
        <v>0</v>
      </c>
      <c r="R573" s="16">
        <f t="shared" si="310"/>
        <v>0</v>
      </c>
      <c r="S573" s="16">
        <f>(SRP_SP+SUM(S$91:S572))*L573*IF(D573=$A$91,SRP_finalmonthfactor,1)</f>
        <v>0</v>
      </c>
      <c r="T573" s="74">
        <f>MIN(IF($AV573=0,0,
IF(Investment_Strategy="DIS",VLOOKUP(Investment_Strategy&amp;"_"&amp;Investment_Strategy_Sub1&amp;"_"&amp;$A573,'Investment Strategies'!$AZ:$BP,12,FALSE),
IF(AND(Investment_Strategy="Lifecycle",Investment_Strategy_Sub1="Non-Standard"),VLOOKUP(Investment_Strategy&amp;"_"&amp;Investment_Strategy_Sub2&amp;"_"&amp;$A573,'Investment Strategies'!$C:$P,9,FALSE),
IF(AND(Investment_Strategy="Lifecycle",Investment_Strategy_Sub1="Standard"),VLOOKUP(Investment_Strategy&amp;"_"&amp;Investment_Strategy_Sub2&amp;"_"&amp;$A573,'Investment Strategies'!$AJ:$AV,8,FALSE),
IF(AND(Investment_Strategy="Autopilot",Investment_Strategy_Sub1="Non-Standard"),VLOOKUP(Investment_Strategy&amp;"_"&amp;Investment_Strategy_Sub2&amp;"_"&amp;$A573,'Investment Strategies'!$T:$AF,8,FALSE),
IF(Investment_Strategy ="DIY",DIY_RateOfReturn_FuturePremiums,
"Error")))))),Max_InvReturn)</f>
        <v>0</v>
      </c>
      <c r="U573" s="62">
        <f>IF($AV573=0,0,
IF(Investment_Strategy="DIS",VLOOKUP(Investment_Strategy&amp;"_"&amp;Investment_Strategy_Sub1&amp;"_"&amp;$A573,'Investment Strategies'!$AZ:$BP,15,FALSE),
IF(AND(Investment_Strategy="Lifecycle",Investment_Strategy_Sub1="Non-Standard"),VLOOKUP(Investment_Strategy&amp;"_"&amp;Investment_Strategy_Sub2&amp;"_"&amp;$A573,'Investment Strategies'!$C:$P,12,FALSE),
IF(AND(Investment_Strategy="Lifecycle",Investment_Strategy_Sub1="Standard"),VLOOKUP(Investment_Strategy&amp;"_"&amp;Investment_Strategy_Sub2&amp;"_"&amp;$A573,'Investment Strategies'!$AJ:$AV,11,FALSE),
IF(AND(Investment_Strategy="Autopilot",Investment_Strategy_Sub1="Non-Standard"),VLOOKUP(Investment_Strategy&amp;"_"&amp;Investment_Strategy_Sub2&amp;"_"&amp;$A573,'Investment Strategies'!$T:$AF,11,FALSE),
IF(Investment_Strategy="DIY",DIY_GteeChrge_FuturePremiums,
"Error"))))))</f>
        <v>0</v>
      </c>
      <c r="V573" s="33">
        <f>IF(AV573=0,0,
IF(Investment_Strategy="DIS",VLOOKUP(Investment_Strategy&amp;"_"&amp;Investment_Strategy_Sub1&amp;"_"&amp;$A573,'Investment Strategies'!$AZ:$BP,17,FALSE),
IF(AND(Investment_Strategy="Lifecycle",Investment_Strategy_Sub1="Non-Standard"),VLOOKUP(Investment_Strategy&amp;"_"&amp;Investment_Strategy_Sub2&amp;"_"&amp;$A573,'Investment Strategies'!$C:$P,14,FALSE),
IF(AND(Investment_Strategy="Lifecycle",Investment_Strategy_Sub1="Standard"),VLOOKUP(Investment_Strategy&amp;"_"&amp;Investment_Strategy_Sub2&amp;"_"&amp;$A573,'Investment Strategies'!$AJ:$AV,13,FALSE),
IF(AND(Investment_Strategy="Autopilot",Investment_Strategy_Sub1="Non-Standard"),VLOOKUP(Investment_Strategy&amp;"_"&amp;Investment_Strategy_Sub2&amp;"_"&amp;$A573,'Investment Strategies'!$T:$AF,13,FALSE),
IF(Investment_Strategy="DIY",DIY_ExtManChrge_FuturePremiums,
"Error"))))))</f>
        <v>0</v>
      </c>
      <c r="W573" s="16">
        <f t="shared" si="337"/>
        <v>0</v>
      </c>
      <c r="X573" s="16">
        <f t="shared" si="314"/>
        <v>0</v>
      </c>
      <c r="Y573" s="16">
        <f t="shared" si="315"/>
        <v>0</v>
      </c>
      <c r="Z573" s="31">
        <f t="shared" si="316"/>
        <v>0.02</v>
      </c>
      <c r="AA573" s="16">
        <f t="shared" si="317"/>
        <v>0</v>
      </c>
      <c r="AB573" s="28">
        <f t="shared" si="339"/>
        <v>0</v>
      </c>
      <c r="AC573" s="28">
        <f>(SUM($AC$91:AC572)+SUM($X$91:X572)+X573)*T573*IF(D573=$A$91,SRP_finalmonthfactor,1)</f>
        <v>0</v>
      </c>
      <c r="AD573" s="16">
        <f t="shared" si="318"/>
        <v>0</v>
      </c>
      <c r="AE573" s="106"/>
      <c r="AF573" s="16">
        <f t="shared" si="326"/>
        <v>0</v>
      </c>
      <c r="AG573" s="16">
        <f t="shared" si="327"/>
        <v>0</v>
      </c>
      <c r="AH573" s="16">
        <f t="shared" si="328"/>
        <v>0</v>
      </c>
      <c r="AJ573" s="13">
        <f t="shared" si="342"/>
        <v>0</v>
      </c>
      <c r="AK573" s="13">
        <f t="shared" si="342"/>
        <v>0</v>
      </c>
      <c r="AL573" s="13">
        <f t="shared" si="342"/>
        <v>0</v>
      </c>
      <c r="AM573" s="13">
        <f t="shared" si="342"/>
        <v>0</v>
      </c>
      <c r="AN573" s="13">
        <f t="shared" si="342"/>
        <v>0</v>
      </c>
      <c r="AO573" s="13">
        <f t="shared" si="342"/>
        <v>1</v>
      </c>
      <c r="AP573" s="13">
        <f t="shared" si="342"/>
        <v>1</v>
      </c>
      <c r="AQ573" s="13">
        <f t="shared" si="342"/>
        <v>1</v>
      </c>
      <c r="AR573" s="13">
        <f t="shared" si="342"/>
        <v>0</v>
      </c>
      <c r="AS573" s="13">
        <f t="shared" si="342"/>
        <v>0</v>
      </c>
      <c r="AT573" s="13">
        <f t="shared" si="342"/>
        <v>0</v>
      </c>
      <c r="AU573" s="13">
        <f t="shared" si="342"/>
        <v>0</v>
      </c>
      <c r="AV573" s="13">
        <f t="shared" si="319"/>
        <v>0</v>
      </c>
      <c r="AW573" s="13">
        <f t="shared" si="320"/>
        <v>1</v>
      </c>
      <c r="AY573" s="17">
        <f t="shared" si="321"/>
        <v>483</v>
      </c>
      <c r="AZ573" s="28">
        <f t="shared" si="329"/>
        <v>0</v>
      </c>
      <c r="BA573" s="13">
        <f t="shared" si="322"/>
        <v>0</v>
      </c>
      <c r="BB573" s="13">
        <f t="shared" si="323"/>
        <v>0</v>
      </c>
      <c r="BC573" s="28">
        <f t="shared" si="330"/>
        <v>0</v>
      </c>
      <c r="BD573" s="28">
        <f t="shared" si="331"/>
        <v>0</v>
      </c>
      <c r="BF573" s="248">
        <f t="shared" si="332"/>
        <v>993869.29442638322</v>
      </c>
    </row>
    <row r="574" spans="1:58">
      <c r="A574" s="32">
        <f t="shared" si="333"/>
        <v>-399</v>
      </c>
      <c r="B574" s="32">
        <f t="shared" si="324"/>
        <v>93</v>
      </c>
      <c r="C574" s="32">
        <f t="shared" si="334"/>
        <v>41</v>
      </c>
      <c r="D574" s="32">
        <f t="shared" si="335"/>
        <v>484</v>
      </c>
      <c r="E574" s="74">
        <f>MIN(IF(AV574=0,0,
IF(Investment_Strategy="DIS",VLOOKUP(Investment_Strategy&amp;"_"&amp;Investment_Strategy_Sub1&amp;"_"&amp;$A574,'Investment Strategies'!$AZ:$BP,12,FALSE),
IF(AND(Investment_Strategy="Lifecycle",Investment_Strategy_Sub1="Non-Standard"),VLOOKUP(Investment_Strategy&amp;"_"&amp;Investment_Strategy_Sub2&amp;"_"&amp;$A574,'Investment Strategies'!$C:$P,9,FALSE),
IF(AND(Investment_Strategy="Lifecycle",Investment_Strategy_Sub1="Standard"),VLOOKUP(Investment_Strategy&amp;"_"&amp;Investment_Strategy_Sub2&amp;"_"&amp;$A574,'Investment Strategies'!$AJ:$AV,8,FALSE),
IF(AND(Investment_Strategy="Autopilot",Investment_Strategy_Sub1="Non-Standard"),VLOOKUP(Investment_Strategy&amp;"_"&amp;Investment_Strategy_Sub2&amp;"_"&amp;$A574,'Investment Strategies'!$T:$AF,8,FALSE),
IF(Investment_Strategy ="DIY",DIY_RateOfReturn_CurrentFunds,
"Error")))))),Max_InvReturn)</f>
        <v>0</v>
      </c>
      <c r="F574" s="62">
        <f>IF(AV574=0,0,
IF(Investment_Strategy="DIS",VLOOKUP(Investment_Strategy&amp;"_"&amp;Investment_Strategy_Sub1&amp;"_"&amp;$A574,'Investment Strategies'!$AZ:$BP,15,FALSE),
IF(AND(Investment_Strategy="Lifecycle",Investment_Strategy_Sub1="Non-Standard"),VLOOKUP(Investment_Strategy&amp;"_"&amp;Investment_Strategy_Sub2&amp;"_"&amp;$A574,'Investment Strategies'!$C:$P,12,FALSE),
IF(AND(Investment_Strategy="Lifecycle",Investment_Strategy_Sub1="Standard"),VLOOKUP(Investment_Strategy&amp;"_"&amp;Investment_Strategy_Sub2&amp;"_"&amp;$A574,'Investment Strategies'!$AJ:$AV,11,FALSE),
IF(AND(Investment_Strategy="Autopilot",Investment_Strategy_Sub1="Non-Standard"),VLOOKUP(Investment_Strategy&amp;"_"&amp;Investment_Strategy_Sub2&amp;"_"&amp;$A574,'Investment Strategies'!$T:$AF,11,FALSE),
IF(Investment_Strategy="DIY",DIY_GteeChrge_CurrentFunds,
"Error"))))))</f>
        <v>0</v>
      </c>
      <c r="G574" s="33">
        <f>IF(AV574=0,0,
IF(Investment_Strategy="DIS",VLOOKUP(Investment_Strategy&amp;"_"&amp;Investment_Strategy_Sub1&amp;"_"&amp;$A574,'Investment Strategies'!$AZ:$BP,17,FALSE),
IF(AND(Investment_Strategy="Lifecycle",Investment_Strategy_Sub1="Non-Standard"),VLOOKUP(Investment_Strategy&amp;"_"&amp;Investment_Strategy_Sub2&amp;"_"&amp;$A574,'Investment Strategies'!$C:$P,14,FALSE),
IF(AND(Investment_Strategy="Lifecycle",Investment_Strategy_Sub1="Standard"),VLOOKUP(Investment_Strategy&amp;"_"&amp;Investment_Strategy_Sub2&amp;"_"&amp;$A574,'Investment Strategies'!$AJ:$AV,13,FALSE),
IF(AND(Investment_Strategy="Autopilot",Investment_Strategy_Sub1="Non-Standard"),VLOOKUP(Investment_Strategy&amp;"_"&amp;Investment_Strategy_Sub2&amp;"_"&amp;$A574,'Investment Strategies'!$T:$AF,13,FALSE),
IF(Investment_Strategy="DIY",DIY_ExtManChrge_CurrentFunds,
"Error"))))))</f>
        <v>0</v>
      </c>
      <c r="H574" s="16">
        <f t="shared" si="325"/>
        <v>0</v>
      </c>
      <c r="I574" s="16">
        <f t="shared" si="311"/>
        <v>0</v>
      </c>
      <c r="J574" s="16">
        <f t="shared" si="312"/>
        <v>0</v>
      </c>
      <c r="K574" s="16">
        <f>(Opening_Fund_Value+SUM(K$91:K573))*E574*IF(D574=$A$91,SRP_finalmonthfactor,1)</f>
        <v>0</v>
      </c>
      <c r="L574" s="74">
        <f>MIN(IF($AV574=0,0,
IF(Investment_Strategy="DIS",VLOOKUP(Investment_Strategy&amp;"_"&amp;Investment_Strategy_Sub1&amp;"_"&amp;$A574,'Investment Strategies'!$AZ:$BP,12,FALSE),
IF(AND(Investment_Strategy="Lifecycle",Investment_Strategy_Sub1="Non-Standard"),VLOOKUP(Investment_Strategy&amp;"_"&amp;Investment_Strategy_Sub2&amp;"_"&amp;$A574,'Investment Strategies'!$C:$P,9,FALSE),
IF(AND(Investment_Strategy="Lifecycle",Investment_Strategy_Sub1="Standard"),VLOOKUP(Investment_Strategy&amp;"_"&amp;Investment_Strategy_Sub2&amp;"_"&amp;$A574,'Investment Strategies'!$AJ:$AV,8,FALSE),
IF(AND(Investment_Strategy="Autopilot",Investment_Strategy_Sub1="Non-Standard"),VLOOKUP(Investment_Strategy&amp;"_"&amp;Investment_Strategy_Sub2&amp;"_"&amp;$A574,'Investment Strategies'!$T:$AF,8,FALSE),
IF(Investment_Strategy ="DIY",DIY_RateofReturn_SP,
"Error")))))),Max_InvReturn)</f>
        <v>0</v>
      </c>
      <c r="M574" s="62">
        <f>IF($AV574=0,0,
IF(Investment_Strategy="DIS",VLOOKUP(Investment_Strategy&amp;"_"&amp;Investment_Strategy_Sub1&amp;"_"&amp;$A574,'Investment Strategies'!$AZ:$BP,15,FALSE),
IF(AND(Investment_Strategy="Lifecycle",Investment_Strategy_Sub1="Non-Standard"),VLOOKUP(Investment_Strategy&amp;"_"&amp;Investment_Strategy_Sub2&amp;"_"&amp;$A574,'Investment Strategies'!$C:$P,12,FALSE),
IF(AND(Investment_Strategy="Lifecycle",Investment_Strategy_Sub1="Standard"),VLOOKUP(Investment_Strategy&amp;"_"&amp;Investment_Strategy_Sub2&amp;"_"&amp;$A574,'Investment Strategies'!$AJ:$AV,11,FALSE),
IF(AND(Investment_Strategy="Autopilot",Investment_Strategy_Sub1="Non-Standard"),VLOOKUP(Investment_Strategy&amp;"_"&amp;Investment_Strategy_Sub2&amp;"_"&amp;$A574,'Investment Strategies'!$T:$AF,11,FALSE),
IF(Investment_Strategy="DIY",DIY_GteeChrge_SP,
"Error"))))))</f>
        <v>0</v>
      </c>
      <c r="N574" s="33">
        <f>IF($AV574=0,0,
IF(Investment_Strategy="DIS",VLOOKUP(Investment_Strategy&amp;"_"&amp;Investment_Strategy_Sub1&amp;"_"&amp;$A574,'Investment Strategies'!$AZ:$BP,17,FALSE),
IF(AND(Investment_Strategy="Lifecycle",Investment_Strategy_Sub1="Non-Standard"),VLOOKUP(Investment_Strategy&amp;"_"&amp;Investment_Strategy_Sub2&amp;"_"&amp;$A574,'Investment Strategies'!$C:$P,14,FALSE),
IF(AND(Investment_Strategy="Lifecycle",Investment_Strategy_Sub1="Standard"),VLOOKUP(Investment_Strategy&amp;"_"&amp;Investment_Strategy_Sub2&amp;"_"&amp;$A574,'Investment Strategies'!$AJ:$AV,13,FALSE),
IF(AND(Investment_Strategy="Autopilot",Investment_Strategy_Sub1="Non-Standard"),VLOOKUP(Investment_Strategy&amp;"_"&amp;Investment_Strategy_Sub2&amp;"_"&amp;$A574,'Investment Strategies'!$T:$AF,13,FALSE),
IF(Investment_Strategy="DIY",DIY_ExtManChrge_SP,
"Error"))))))</f>
        <v>0</v>
      </c>
      <c r="O574" s="16">
        <f t="shared" si="336"/>
        <v>0</v>
      </c>
      <c r="Q574" s="16">
        <f t="shared" si="313"/>
        <v>0</v>
      </c>
      <c r="R574" s="16">
        <f t="shared" si="310"/>
        <v>0</v>
      </c>
      <c r="S574" s="16">
        <f>(SRP_SP+SUM(S$91:S573))*L574*IF(D574=$A$91,SRP_finalmonthfactor,1)</f>
        <v>0</v>
      </c>
      <c r="T574" s="74">
        <f>MIN(IF($AV574=0,0,
IF(Investment_Strategy="DIS",VLOOKUP(Investment_Strategy&amp;"_"&amp;Investment_Strategy_Sub1&amp;"_"&amp;$A574,'Investment Strategies'!$AZ:$BP,12,FALSE),
IF(AND(Investment_Strategy="Lifecycle",Investment_Strategy_Sub1="Non-Standard"),VLOOKUP(Investment_Strategy&amp;"_"&amp;Investment_Strategy_Sub2&amp;"_"&amp;$A574,'Investment Strategies'!$C:$P,9,FALSE),
IF(AND(Investment_Strategy="Lifecycle",Investment_Strategy_Sub1="Standard"),VLOOKUP(Investment_Strategy&amp;"_"&amp;Investment_Strategy_Sub2&amp;"_"&amp;$A574,'Investment Strategies'!$AJ:$AV,8,FALSE),
IF(AND(Investment_Strategy="Autopilot",Investment_Strategy_Sub1="Non-Standard"),VLOOKUP(Investment_Strategy&amp;"_"&amp;Investment_Strategy_Sub2&amp;"_"&amp;$A574,'Investment Strategies'!$T:$AF,8,FALSE),
IF(Investment_Strategy ="DIY",DIY_RateOfReturn_FuturePremiums,
"Error")))))),Max_InvReturn)</f>
        <v>0</v>
      </c>
      <c r="U574" s="62">
        <f>IF($AV574=0,0,
IF(Investment_Strategy="DIS",VLOOKUP(Investment_Strategy&amp;"_"&amp;Investment_Strategy_Sub1&amp;"_"&amp;$A574,'Investment Strategies'!$AZ:$BP,15,FALSE),
IF(AND(Investment_Strategy="Lifecycle",Investment_Strategy_Sub1="Non-Standard"),VLOOKUP(Investment_Strategy&amp;"_"&amp;Investment_Strategy_Sub2&amp;"_"&amp;$A574,'Investment Strategies'!$C:$P,12,FALSE),
IF(AND(Investment_Strategy="Lifecycle",Investment_Strategy_Sub1="Standard"),VLOOKUP(Investment_Strategy&amp;"_"&amp;Investment_Strategy_Sub2&amp;"_"&amp;$A574,'Investment Strategies'!$AJ:$AV,11,FALSE),
IF(AND(Investment_Strategy="Autopilot",Investment_Strategy_Sub1="Non-Standard"),VLOOKUP(Investment_Strategy&amp;"_"&amp;Investment_Strategy_Sub2&amp;"_"&amp;$A574,'Investment Strategies'!$T:$AF,11,FALSE),
IF(Investment_Strategy="DIY",DIY_GteeChrge_FuturePremiums,
"Error"))))))</f>
        <v>0</v>
      </c>
      <c r="V574" s="33">
        <f>IF(AV574=0,0,
IF(Investment_Strategy="DIS",VLOOKUP(Investment_Strategy&amp;"_"&amp;Investment_Strategy_Sub1&amp;"_"&amp;$A574,'Investment Strategies'!$AZ:$BP,17,FALSE),
IF(AND(Investment_Strategy="Lifecycle",Investment_Strategy_Sub1="Non-Standard"),VLOOKUP(Investment_Strategy&amp;"_"&amp;Investment_Strategy_Sub2&amp;"_"&amp;$A574,'Investment Strategies'!$C:$P,14,FALSE),
IF(AND(Investment_Strategy="Lifecycle",Investment_Strategy_Sub1="Standard"),VLOOKUP(Investment_Strategy&amp;"_"&amp;Investment_Strategy_Sub2&amp;"_"&amp;$A574,'Investment Strategies'!$AJ:$AV,13,FALSE),
IF(AND(Investment_Strategy="Autopilot",Investment_Strategy_Sub1="Non-Standard"),VLOOKUP(Investment_Strategy&amp;"_"&amp;Investment_Strategy_Sub2&amp;"_"&amp;$A574,'Investment Strategies'!$T:$AF,13,FALSE),
IF(Investment_Strategy="DIY",DIY_ExtManChrge_FuturePremiums,
"Error"))))))</f>
        <v>0</v>
      </c>
      <c r="W574" s="16">
        <f t="shared" si="337"/>
        <v>0</v>
      </c>
      <c r="X574" s="16">
        <f t="shared" si="314"/>
        <v>0</v>
      </c>
      <c r="Y574" s="16">
        <f t="shared" si="315"/>
        <v>0</v>
      </c>
      <c r="Z574" s="31">
        <f t="shared" si="316"/>
        <v>0.02</v>
      </c>
      <c r="AA574" s="16">
        <f t="shared" si="317"/>
        <v>0</v>
      </c>
      <c r="AB574" s="28">
        <f t="shared" si="339"/>
        <v>0</v>
      </c>
      <c r="AC574" s="28">
        <f>(SUM($AC$91:AC573)+SUM($X$91:X573)+X574)*T574*IF(D574=$A$91,SRP_finalmonthfactor,1)</f>
        <v>0</v>
      </c>
      <c r="AD574" s="16">
        <f t="shared" si="318"/>
        <v>0</v>
      </c>
      <c r="AE574" s="106"/>
      <c r="AF574" s="16">
        <f t="shared" si="326"/>
        <v>0</v>
      </c>
      <c r="AG574" s="16">
        <f t="shared" si="327"/>
        <v>0</v>
      </c>
      <c r="AH574" s="16">
        <f t="shared" si="328"/>
        <v>0</v>
      </c>
      <c r="AJ574" s="13">
        <f t="shared" si="342"/>
        <v>0</v>
      </c>
      <c r="AK574" s="13">
        <f t="shared" si="342"/>
        <v>0</v>
      </c>
      <c r="AL574" s="13">
        <f t="shared" si="342"/>
        <v>0</v>
      </c>
      <c r="AM574" s="13">
        <f t="shared" si="342"/>
        <v>0</v>
      </c>
      <c r="AN574" s="13">
        <f t="shared" si="342"/>
        <v>0</v>
      </c>
      <c r="AO574" s="13">
        <f t="shared" si="342"/>
        <v>1</v>
      </c>
      <c r="AP574" s="13">
        <f t="shared" si="342"/>
        <v>1</v>
      </c>
      <c r="AQ574" s="13">
        <f t="shared" si="342"/>
        <v>1</v>
      </c>
      <c r="AR574" s="13">
        <f t="shared" si="342"/>
        <v>0</v>
      </c>
      <c r="AS574" s="13">
        <f t="shared" si="342"/>
        <v>0</v>
      </c>
      <c r="AT574" s="13">
        <f t="shared" si="342"/>
        <v>0</v>
      </c>
      <c r="AU574" s="13">
        <f t="shared" si="342"/>
        <v>0</v>
      </c>
      <c r="AV574" s="13">
        <f t="shared" si="319"/>
        <v>0</v>
      </c>
      <c r="AW574" s="13">
        <f t="shared" si="320"/>
        <v>1</v>
      </c>
      <c r="AY574" s="17">
        <f t="shared" si="321"/>
        <v>484</v>
      </c>
      <c r="AZ574" s="28">
        <f t="shared" si="329"/>
        <v>0</v>
      </c>
      <c r="BA574" s="13">
        <f t="shared" si="322"/>
        <v>0</v>
      </c>
      <c r="BB574" s="13">
        <f t="shared" si="323"/>
        <v>0</v>
      </c>
      <c r="BC574" s="28">
        <f t="shared" si="330"/>
        <v>0</v>
      </c>
      <c r="BD574" s="28">
        <f t="shared" si="331"/>
        <v>0</v>
      </c>
      <c r="BF574" s="248">
        <f t="shared" si="332"/>
        <v>993869.29442638322</v>
      </c>
    </row>
    <row r="575" spans="1:58">
      <c r="A575" s="32">
        <f t="shared" si="333"/>
        <v>-400</v>
      </c>
      <c r="B575" s="32">
        <f t="shared" si="324"/>
        <v>93</v>
      </c>
      <c r="C575" s="32">
        <f t="shared" si="334"/>
        <v>41</v>
      </c>
      <c r="D575" s="32">
        <f t="shared" si="335"/>
        <v>485</v>
      </c>
      <c r="E575" s="74">
        <f>MIN(IF(AV575=0,0,
IF(Investment_Strategy="DIS",VLOOKUP(Investment_Strategy&amp;"_"&amp;Investment_Strategy_Sub1&amp;"_"&amp;$A575,'Investment Strategies'!$AZ:$BP,12,FALSE),
IF(AND(Investment_Strategy="Lifecycle",Investment_Strategy_Sub1="Non-Standard"),VLOOKUP(Investment_Strategy&amp;"_"&amp;Investment_Strategy_Sub2&amp;"_"&amp;$A575,'Investment Strategies'!$C:$P,9,FALSE),
IF(AND(Investment_Strategy="Lifecycle",Investment_Strategy_Sub1="Standard"),VLOOKUP(Investment_Strategy&amp;"_"&amp;Investment_Strategy_Sub2&amp;"_"&amp;$A575,'Investment Strategies'!$AJ:$AV,8,FALSE),
IF(AND(Investment_Strategy="Autopilot",Investment_Strategy_Sub1="Non-Standard"),VLOOKUP(Investment_Strategy&amp;"_"&amp;Investment_Strategy_Sub2&amp;"_"&amp;$A575,'Investment Strategies'!$T:$AF,8,FALSE),
IF(Investment_Strategy ="DIY",DIY_RateOfReturn_CurrentFunds,
"Error")))))),Max_InvReturn)</f>
        <v>0</v>
      </c>
      <c r="F575" s="62">
        <f>IF(AV575=0,0,
IF(Investment_Strategy="DIS",VLOOKUP(Investment_Strategy&amp;"_"&amp;Investment_Strategy_Sub1&amp;"_"&amp;$A575,'Investment Strategies'!$AZ:$BP,15,FALSE),
IF(AND(Investment_Strategy="Lifecycle",Investment_Strategy_Sub1="Non-Standard"),VLOOKUP(Investment_Strategy&amp;"_"&amp;Investment_Strategy_Sub2&amp;"_"&amp;$A575,'Investment Strategies'!$C:$P,12,FALSE),
IF(AND(Investment_Strategy="Lifecycle",Investment_Strategy_Sub1="Standard"),VLOOKUP(Investment_Strategy&amp;"_"&amp;Investment_Strategy_Sub2&amp;"_"&amp;$A575,'Investment Strategies'!$AJ:$AV,11,FALSE),
IF(AND(Investment_Strategy="Autopilot",Investment_Strategy_Sub1="Non-Standard"),VLOOKUP(Investment_Strategy&amp;"_"&amp;Investment_Strategy_Sub2&amp;"_"&amp;$A575,'Investment Strategies'!$T:$AF,11,FALSE),
IF(Investment_Strategy="DIY",DIY_GteeChrge_CurrentFunds,
"Error"))))))</f>
        <v>0</v>
      </c>
      <c r="G575" s="33">
        <f>IF(AV575=0,0,
IF(Investment_Strategy="DIS",VLOOKUP(Investment_Strategy&amp;"_"&amp;Investment_Strategy_Sub1&amp;"_"&amp;$A575,'Investment Strategies'!$AZ:$BP,17,FALSE),
IF(AND(Investment_Strategy="Lifecycle",Investment_Strategy_Sub1="Non-Standard"),VLOOKUP(Investment_Strategy&amp;"_"&amp;Investment_Strategy_Sub2&amp;"_"&amp;$A575,'Investment Strategies'!$C:$P,14,FALSE),
IF(AND(Investment_Strategy="Lifecycle",Investment_Strategy_Sub1="Standard"),VLOOKUP(Investment_Strategy&amp;"_"&amp;Investment_Strategy_Sub2&amp;"_"&amp;$A575,'Investment Strategies'!$AJ:$AV,13,FALSE),
IF(AND(Investment_Strategy="Autopilot",Investment_Strategy_Sub1="Non-Standard"),VLOOKUP(Investment_Strategy&amp;"_"&amp;Investment_Strategy_Sub2&amp;"_"&amp;$A575,'Investment Strategies'!$T:$AF,13,FALSE),
IF(Investment_Strategy="DIY",DIY_ExtManChrge_CurrentFunds,
"Error"))))))</f>
        <v>0</v>
      </c>
      <c r="H575" s="16">
        <f t="shared" si="325"/>
        <v>0</v>
      </c>
      <c r="I575" s="16">
        <f t="shared" si="311"/>
        <v>0</v>
      </c>
      <c r="J575" s="16">
        <f t="shared" si="312"/>
        <v>0</v>
      </c>
      <c r="K575" s="16">
        <f>(Opening_Fund_Value+SUM(K$91:K574))*E575*IF(D575=$A$91,SRP_finalmonthfactor,1)</f>
        <v>0</v>
      </c>
      <c r="L575" s="74">
        <f>MIN(IF($AV575=0,0,
IF(Investment_Strategy="DIS",VLOOKUP(Investment_Strategy&amp;"_"&amp;Investment_Strategy_Sub1&amp;"_"&amp;$A575,'Investment Strategies'!$AZ:$BP,12,FALSE),
IF(AND(Investment_Strategy="Lifecycle",Investment_Strategy_Sub1="Non-Standard"),VLOOKUP(Investment_Strategy&amp;"_"&amp;Investment_Strategy_Sub2&amp;"_"&amp;$A575,'Investment Strategies'!$C:$P,9,FALSE),
IF(AND(Investment_Strategy="Lifecycle",Investment_Strategy_Sub1="Standard"),VLOOKUP(Investment_Strategy&amp;"_"&amp;Investment_Strategy_Sub2&amp;"_"&amp;$A575,'Investment Strategies'!$AJ:$AV,8,FALSE),
IF(AND(Investment_Strategy="Autopilot",Investment_Strategy_Sub1="Non-Standard"),VLOOKUP(Investment_Strategy&amp;"_"&amp;Investment_Strategy_Sub2&amp;"_"&amp;$A575,'Investment Strategies'!$T:$AF,8,FALSE),
IF(Investment_Strategy ="DIY",DIY_RateofReturn_SP,
"Error")))))),Max_InvReturn)</f>
        <v>0</v>
      </c>
      <c r="M575" s="62">
        <f>IF($AV575=0,0,
IF(Investment_Strategy="DIS",VLOOKUP(Investment_Strategy&amp;"_"&amp;Investment_Strategy_Sub1&amp;"_"&amp;$A575,'Investment Strategies'!$AZ:$BP,15,FALSE),
IF(AND(Investment_Strategy="Lifecycle",Investment_Strategy_Sub1="Non-Standard"),VLOOKUP(Investment_Strategy&amp;"_"&amp;Investment_Strategy_Sub2&amp;"_"&amp;$A575,'Investment Strategies'!$C:$P,12,FALSE),
IF(AND(Investment_Strategy="Lifecycle",Investment_Strategy_Sub1="Standard"),VLOOKUP(Investment_Strategy&amp;"_"&amp;Investment_Strategy_Sub2&amp;"_"&amp;$A575,'Investment Strategies'!$AJ:$AV,11,FALSE),
IF(AND(Investment_Strategy="Autopilot",Investment_Strategy_Sub1="Non-Standard"),VLOOKUP(Investment_Strategy&amp;"_"&amp;Investment_Strategy_Sub2&amp;"_"&amp;$A575,'Investment Strategies'!$T:$AF,11,FALSE),
IF(Investment_Strategy="DIY",DIY_GteeChrge_SP,
"Error"))))))</f>
        <v>0</v>
      </c>
      <c r="N575" s="33">
        <f>IF($AV575=0,0,
IF(Investment_Strategy="DIS",VLOOKUP(Investment_Strategy&amp;"_"&amp;Investment_Strategy_Sub1&amp;"_"&amp;$A575,'Investment Strategies'!$AZ:$BP,17,FALSE),
IF(AND(Investment_Strategy="Lifecycle",Investment_Strategy_Sub1="Non-Standard"),VLOOKUP(Investment_Strategy&amp;"_"&amp;Investment_Strategy_Sub2&amp;"_"&amp;$A575,'Investment Strategies'!$C:$P,14,FALSE),
IF(AND(Investment_Strategy="Lifecycle",Investment_Strategy_Sub1="Standard"),VLOOKUP(Investment_Strategy&amp;"_"&amp;Investment_Strategy_Sub2&amp;"_"&amp;$A575,'Investment Strategies'!$AJ:$AV,13,FALSE),
IF(AND(Investment_Strategy="Autopilot",Investment_Strategy_Sub1="Non-Standard"),VLOOKUP(Investment_Strategy&amp;"_"&amp;Investment_Strategy_Sub2&amp;"_"&amp;$A575,'Investment Strategies'!$T:$AF,13,FALSE),
IF(Investment_Strategy="DIY",DIY_ExtManChrge_SP,
"Error"))))))</f>
        <v>0</v>
      </c>
      <c r="O575" s="16">
        <f t="shared" si="336"/>
        <v>0</v>
      </c>
      <c r="Q575" s="16">
        <f t="shared" si="313"/>
        <v>0</v>
      </c>
      <c r="R575" s="16">
        <f t="shared" si="310"/>
        <v>0</v>
      </c>
      <c r="S575" s="16">
        <f>(SRP_SP+SUM(S$91:S574))*L575*IF(D575=$A$91,SRP_finalmonthfactor,1)</f>
        <v>0</v>
      </c>
      <c r="T575" s="74">
        <f>MIN(IF($AV575=0,0,
IF(Investment_Strategy="DIS",VLOOKUP(Investment_Strategy&amp;"_"&amp;Investment_Strategy_Sub1&amp;"_"&amp;$A575,'Investment Strategies'!$AZ:$BP,12,FALSE),
IF(AND(Investment_Strategy="Lifecycle",Investment_Strategy_Sub1="Non-Standard"),VLOOKUP(Investment_Strategy&amp;"_"&amp;Investment_Strategy_Sub2&amp;"_"&amp;$A575,'Investment Strategies'!$C:$P,9,FALSE),
IF(AND(Investment_Strategy="Lifecycle",Investment_Strategy_Sub1="Standard"),VLOOKUP(Investment_Strategy&amp;"_"&amp;Investment_Strategy_Sub2&amp;"_"&amp;$A575,'Investment Strategies'!$AJ:$AV,8,FALSE),
IF(AND(Investment_Strategy="Autopilot",Investment_Strategy_Sub1="Non-Standard"),VLOOKUP(Investment_Strategy&amp;"_"&amp;Investment_Strategy_Sub2&amp;"_"&amp;$A575,'Investment Strategies'!$T:$AF,8,FALSE),
IF(Investment_Strategy ="DIY",DIY_RateOfReturn_FuturePremiums,
"Error")))))),Max_InvReturn)</f>
        <v>0</v>
      </c>
      <c r="U575" s="62">
        <f>IF($AV575=0,0,
IF(Investment_Strategy="DIS",VLOOKUP(Investment_Strategy&amp;"_"&amp;Investment_Strategy_Sub1&amp;"_"&amp;$A575,'Investment Strategies'!$AZ:$BP,15,FALSE),
IF(AND(Investment_Strategy="Lifecycle",Investment_Strategy_Sub1="Non-Standard"),VLOOKUP(Investment_Strategy&amp;"_"&amp;Investment_Strategy_Sub2&amp;"_"&amp;$A575,'Investment Strategies'!$C:$P,12,FALSE),
IF(AND(Investment_Strategy="Lifecycle",Investment_Strategy_Sub1="Standard"),VLOOKUP(Investment_Strategy&amp;"_"&amp;Investment_Strategy_Sub2&amp;"_"&amp;$A575,'Investment Strategies'!$AJ:$AV,11,FALSE),
IF(AND(Investment_Strategy="Autopilot",Investment_Strategy_Sub1="Non-Standard"),VLOOKUP(Investment_Strategy&amp;"_"&amp;Investment_Strategy_Sub2&amp;"_"&amp;$A575,'Investment Strategies'!$T:$AF,11,FALSE),
IF(Investment_Strategy="DIY",DIY_GteeChrge_FuturePremiums,
"Error"))))))</f>
        <v>0</v>
      </c>
      <c r="V575" s="33">
        <f>IF(AV575=0,0,
IF(Investment_Strategy="DIS",VLOOKUP(Investment_Strategy&amp;"_"&amp;Investment_Strategy_Sub1&amp;"_"&amp;$A575,'Investment Strategies'!$AZ:$BP,17,FALSE),
IF(AND(Investment_Strategy="Lifecycle",Investment_Strategy_Sub1="Non-Standard"),VLOOKUP(Investment_Strategy&amp;"_"&amp;Investment_Strategy_Sub2&amp;"_"&amp;$A575,'Investment Strategies'!$C:$P,14,FALSE),
IF(AND(Investment_Strategy="Lifecycle",Investment_Strategy_Sub1="Standard"),VLOOKUP(Investment_Strategy&amp;"_"&amp;Investment_Strategy_Sub2&amp;"_"&amp;$A575,'Investment Strategies'!$AJ:$AV,13,FALSE),
IF(AND(Investment_Strategy="Autopilot",Investment_Strategy_Sub1="Non-Standard"),VLOOKUP(Investment_Strategy&amp;"_"&amp;Investment_Strategy_Sub2&amp;"_"&amp;$A575,'Investment Strategies'!$T:$AF,13,FALSE),
IF(Investment_Strategy="DIY",DIY_ExtManChrge_FuturePremiums,
"Error"))))))</f>
        <v>0</v>
      </c>
      <c r="W575" s="16">
        <f t="shared" si="337"/>
        <v>0</v>
      </c>
      <c r="X575" s="16">
        <f t="shared" si="314"/>
        <v>0</v>
      </c>
      <c r="Y575" s="16">
        <f t="shared" si="315"/>
        <v>0</v>
      </c>
      <c r="Z575" s="31">
        <f t="shared" si="316"/>
        <v>0.02</v>
      </c>
      <c r="AA575" s="16">
        <f t="shared" si="317"/>
        <v>0</v>
      </c>
      <c r="AB575" s="28">
        <f t="shared" si="339"/>
        <v>0</v>
      </c>
      <c r="AC575" s="28">
        <f>(SUM($AC$91:AC574)+SUM($X$91:X574)+X575)*T575*IF(D575=$A$91,SRP_finalmonthfactor,1)</f>
        <v>0</v>
      </c>
      <c r="AD575" s="16">
        <f t="shared" si="318"/>
        <v>0</v>
      </c>
      <c r="AE575" s="106"/>
      <c r="AF575" s="16">
        <f t="shared" si="326"/>
        <v>0</v>
      </c>
      <c r="AG575" s="16">
        <f t="shared" si="327"/>
        <v>0</v>
      </c>
      <c r="AH575" s="16">
        <f t="shared" si="328"/>
        <v>0</v>
      </c>
      <c r="AJ575" s="13">
        <f t="shared" si="342"/>
        <v>0</v>
      </c>
      <c r="AK575" s="13">
        <f t="shared" si="342"/>
        <v>0</v>
      </c>
      <c r="AL575" s="13">
        <f t="shared" si="342"/>
        <v>0</v>
      </c>
      <c r="AM575" s="13">
        <f t="shared" si="342"/>
        <v>0</v>
      </c>
      <c r="AN575" s="13">
        <f t="shared" si="342"/>
        <v>0</v>
      </c>
      <c r="AO575" s="13">
        <f t="shared" si="342"/>
        <v>1</v>
      </c>
      <c r="AP575" s="13">
        <f t="shared" si="342"/>
        <v>1</v>
      </c>
      <c r="AQ575" s="13">
        <f t="shared" si="342"/>
        <v>1</v>
      </c>
      <c r="AR575" s="13">
        <f t="shared" si="342"/>
        <v>0</v>
      </c>
      <c r="AS575" s="13">
        <f t="shared" si="342"/>
        <v>0</v>
      </c>
      <c r="AT575" s="13">
        <f t="shared" si="342"/>
        <v>0</v>
      </c>
      <c r="AU575" s="13">
        <f t="shared" si="342"/>
        <v>0</v>
      </c>
      <c r="AV575" s="13">
        <f t="shared" si="319"/>
        <v>0</v>
      </c>
      <c r="AW575" s="13">
        <f t="shared" si="320"/>
        <v>1</v>
      </c>
      <c r="AY575" s="17">
        <f t="shared" si="321"/>
        <v>485</v>
      </c>
      <c r="AZ575" s="28">
        <f t="shared" si="329"/>
        <v>0</v>
      </c>
      <c r="BA575" s="13">
        <f t="shared" si="322"/>
        <v>0</v>
      </c>
      <c r="BB575" s="13">
        <f t="shared" si="323"/>
        <v>0</v>
      </c>
      <c r="BC575" s="28">
        <f t="shared" si="330"/>
        <v>0</v>
      </c>
      <c r="BD575" s="28">
        <f t="shared" si="331"/>
        <v>0</v>
      </c>
      <c r="BF575" s="248">
        <f t="shared" si="332"/>
        <v>993869.29442638322</v>
      </c>
    </row>
    <row r="576" spans="1:58">
      <c r="A576" s="32">
        <f t="shared" si="333"/>
        <v>-401</v>
      </c>
      <c r="B576" s="32">
        <f t="shared" si="324"/>
        <v>93</v>
      </c>
      <c r="C576" s="32">
        <f t="shared" si="334"/>
        <v>41</v>
      </c>
      <c r="D576" s="32">
        <f t="shared" si="335"/>
        <v>486</v>
      </c>
      <c r="E576" s="74">
        <f>MIN(IF(AV576=0,0,
IF(Investment_Strategy="DIS",VLOOKUP(Investment_Strategy&amp;"_"&amp;Investment_Strategy_Sub1&amp;"_"&amp;$A576,'Investment Strategies'!$AZ:$BP,12,FALSE),
IF(AND(Investment_Strategy="Lifecycle",Investment_Strategy_Sub1="Non-Standard"),VLOOKUP(Investment_Strategy&amp;"_"&amp;Investment_Strategy_Sub2&amp;"_"&amp;$A576,'Investment Strategies'!$C:$P,9,FALSE),
IF(AND(Investment_Strategy="Lifecycle",Investment_Strategy_Sub1="Standard"),VLOOKUP(Investment_Strategy&amp;"_"&amp;Investment_Strategy_Sub2&amp;"_"&amp;$A576,'Investment Strategies'!$AJ:$AV,8,FALSE),
IF(AND(Investment_Strategy="Autopilot",Investment_Strategy_Sub1="Non-Standard"),VLOOKUP(Investment_Strategy&amp;"_"&amp;Investment_Strategy_Sub2&amp;"_"&amp;$A576,'Investment Strategies'!$T:$AF,8,FALSE),
IF(Investment_Strategy ="DIY",DIY_RateOfReturn_CurrentFunds,
"Error")))))),Max_InvReturn)</f>
        <v>0</v>
      </c>
      <c r="F576" s="62">
        <f>IF(AV576=0,0,
IF(Investment_Strategy="DIS",VLOOKUP(Investment_Strategy&amp;"_"&amp;Investment_Strategy_Sub1&amp;"_"&amp;$A576,'Investment Strategies'!$AZ:$BP,15,FALSE),
IF(AND(Investment_Strategy="Lifecycle",Investment_Strategy_Sub1="Non-Standard"),VLOOKUP(Investment_Strategy&amp;"_"&amp;Investment_Strategy_Sub2&amp;"_"&amp;$A576,'Investment Strategies'!$C:$P,12,FALSE),
IF(AND(Investment_Strategy="Lifecycle",Investment_Strategy_Sub1="Standard"),VLOOKUP(Investment_Strategy&amp;"_"&amp;Investment_Strategy_Sub2&amp;"_"&amp;$A576,'Investment Strategies'!$AJ:$AV,11,FALSE),
IF(AND(Investment_Strategy="Autopilot",Investment_Strategy_Sub1="Non-Standard"),VLOOKUP(Investment_Strategy&amp;"_"&amp;Investment_Strategy_Sub2&amp;"_"&amp;$A576,'Investment Strategies'!$T:$AF,11,FALSE),
IF(Investment_Strategy="DIY",DIY_GteeChrge_CurrentFunds,
"Error"))))))</f>
        <v>0</v>
      </c>
      <c r="G576" s="33">
        <f>IF(AV576=0,0,
IF(Investment_Strategy="DIS",VLOOKUP(Investment_Strategy&amp;"_"&amp;Investment_Strategy_Sub1&amp;"_"&amp;$A576,'Investment Strategies'!$AZ:$BP,17,FALSE),
IF(AND(Investment_Strategy="Lifecycle",Investment_Strategy_Sub1="Non-Standard"),VLOOKUP(Investment_Strategy&amp;"_"&amp;Investment_Strategy_Sub2&amp;"_"&amp;$A576,'Investment Strategies'!$C:$P,14,FALSE),
IF(AND(Investment_Strategy="Lifecycle",Investment_Strategy_Sub1="Standard"),VLOOKUP(Investment_Strategy&amp;"_"&amp;Investment_Strategy_Sub2&amp;"_"&amp;$A576,'Investment Strategies'!$AJ:$AV,13,FALSE),
IF(AND(Investment_Strategy="Autopilot",Investment_Strategy_Sub1="Non-Standard"),VLOOKUP(Investment_Strategy&amp;"_"&amp;Investment_Strategy_Sub2&amp;"_"&amp;$A576,'Investment Strategies'!$T:$AF,13,FALSE),
IF(Investment_Strategy="DIY",DIY_ExtManChrge_CurrentFunds,
"Error"))))))</f>
        <v>0</v>
      </c>
      <c r="H576" s="16">
        <f t="shared" si="325"/>
        <v>0</v>
      </c>
      <c r="I576" s="16">
        <f t="shared" si="311"/>
        <v>0</v>
      </c>
      <c r="J576" s="16">
        <f t="shared" si="312"/>
        <v>0</v>
      </c>
      <c r="K576" s="16">
        <f>(Opening_Fund_Value+SUM(K$91:K575))*E576*IF(D576=$A$91,SRP_finalmonthfactor,1)</f>
        <v>0</v>
      </c>
      <c r="L576" s="74">
        <f>MIN(IF($AV576=0,0,
IF(Investment_Strategy="DIS",VLOOKUP(Investment_Strategy&amp;"_"&amp;Investment_Strategy_Sub1&amp;"_"&amp;$A576,'Investment Strategies'!$AZ:$BP,12,FALSE),
IF(AND(Investment_Strategy="Lifecycle",Investment_Strategy_Sub1="Non-Standard"),VLOOKUP(Investment_Strategy&amp;"_"&amp;Investment_Strategy_Sub2&amp;"_"&amp;$A576,'Investment Strategies'!$C:$P,9,FALSE),
IF(AND(Investment_Strategy="Lifecycle",Investment_Strategy_Sub1="Standard"),VLOOKUP(Investment_Strategy&amp;"_"&amp;Investment_Strategy_Sub2&amp;"_"&amp;$A576,'Investment Strategies'!$AJ:$AV,8,FALSE),
IF(AND(Investment_Strategy="Autopilot",Investment_Strategy_Sub1="Non-Standard"),VLOOKUP(Investment_Strategy&amp;"_"&amp;Investment_Strategy_Sub2&amp;"_"&amp;$A576,'Investment Strategies'!$T:$AF,8,FALSE),
IF(Investment_Strategy ="DIY",DIY_RateofReturn_SP,
"Error")))))),Max_InvReturn)</f>
        <v>0</v>
      </c>
      <c r="M576" s="62">
        <f>IF($AV576=0,0,
IF(Investment_Strategy="DIS",VLOOKUP(Investment_Strategy&amp;"_"&amp;Investment_Strategy_Sub1&amp;"_"&amp;$A576,'Investment Strategies'!$AZ:$BP,15,FALSE),
IF(AND(Investment_Strategy="Lifecycle",Investment_Strategy_Sub1="Non-Standard"),VLOOKUP(Investment_Strategy&amp;"_"&amp;Investment_Strategy_Sub2&amp;"_"&amp;$A576,'Investment Strategies'!$C:$P,12,FALSE),
IF(AND(Investment_Strategy="Lifecycle",Investment_Strategy_Sub1="Standard"),VLOOKUP(Investment_Strategy&amp;"_"&amp;Investment_Strategy_Sub2&amp;"_"&amp;$A576,'Investment Strategies'!$AJ:$AV,11,FALSE),
IF(AND(Investment_Strategy="Autopilot",Investment_Strategy_Sub1="Non-Standard"),VLOOKUP(Investment_Strategy&amp;"_"&amp;Investment_Strategy_Sub2&amp;"_"&amp;$A576,'Investment Strategies'!$T:$AF,11,FALSE),
IF(Investment_Strategy="DIY",DIY_GteeChrge_SP,
"Error"))))))</f>
        <v>0</v>
      </c>
      <c r="N576" s="33">
        <f>IF($AV576=0,0,
IF(Investment_Strategy="DIS",VLOOKUP(Investment_Strategy&amp;"_"&amp;Investment_Strategy_Sub1&amp;"_"&amp;$A576,'Investment Strategies'!$AZ:$BP,17,FALSE),
IF(AND(Investment_Strategy="Lifecycle",Investment_Strategy_Sub1="Non-Standard"),VLOOKUP(Investment_Strategy&amp;"_"&amp;Investment_Strategy_Sub2&amp;"_"&amp;$A576,'Investment Strategies'!$C:$P,14,FALSE),
IF(AND(Investment_Strategy="Lifecycle",Investment_Strategy_Sub1="Standard"),VLOOKUP(Investment_Strategy&amp;"_"&amp;Investment_Strategy_Sub2&amp;"_"&amp;$A576,'Investment Strategies'!$AJ:$AV,13,FALSE),
IF(AND(Investment_Strategy="Autopilot",Investment_Strategy_Sub1="Non-Standard"),VLOOKUP(Investment_Strategy&amp;"_"&amp;Investment_Strategy_Sub2&amp;"_"&amp;$A576,'Investment Strategies'!$T:$AF,13,FALSE),
IF(Investment_Strategy="DIY",DIY_ExtManChrge_SP,
"Error"))))))</f>
        <v>0</v>
      </c>
      <c r="O576" s="16">
        <f t="shared" si="336"/>
        <v>0</v>
      </c>
      <c r="Q576" s="16">
        <f t="shared" si="313"/>
        <v>0</v>
      </c>
      <c r="R576" s="16">
        <f t="shared" si="310"/>
        <v>0</v>
      </c>
      <c r="S576" s="16">
        <f>(SRP_SP+SUM(S$91:S575))*L576*IF(D576=$A$91,SRP_finalmonthfactor,1)</f>
        <v>0</v>
      </c>
      <c r="T576" s="74">
        <f>MIN(IF($AV576=0,0,
IF(Investment_Strategy="DIS",VLOOKUP(Investment_Strategy&amp;"_"&amp;Investment_Strategy_Sub1&amp;"_"&amp;$A576,'Investment Strategies'!$AZ:$BP,12,FALSE),
IF(AND(Investment_Strategy="Lifecycle",Investment_Strategy_Sub1="Non-Standard"),VLOOKUP(Investment_Strategy&amp;"_"&amp;Investment_Strategy_Sub2&amp;"_"&amp;$A576,'Investment Strategies'!$C:$P,9,FALSE),
IF(AND(Investment_Strategy="Lifecycle",Investment_Strategy_Sub1="Standard"),VLOOKUP(Investment_Strategy&amp;"_"&amp;Investment_Strategy_Sub2&amp;"_"&amp;$A576,'Investment Strategies'!$AJ:$AV,8,FALSE),
IF(AND(Investment_Strategy="Autopilot",Investment_Strategy_Sub1="Non-Standard"),VLOOKUP(Investment_Strategy&amp;"_"&amp;Investment_Strategy_Sub2&amp;"_"&amp;$A576,'Investment Strategies'!$T:$AF,8,FALSE),
IF(Investment_Strategy ="DIY",DIY_RateOfReturn_FuturePremiums,
"Error")))))),Max_InvReturn)</f>
        <v>0</v>
      </c>
      <c r="U576" s="62">
        <f>IF($AV576=0,0,
IF(Investment_Strategy="DIS",VLOOKUP(Investment_Strategy&amp;"_"&amp;Investment_Strategy_Sub1&amp;"_"&amp;$A576,'Investment Strategies'!$AZ:$BP,15,FALSE),
IF(AND(Investment_Strategy="Lifecycle",Investment_Strategy_Sub1="Non-Standard"),VLOOKUP(Investment_Strategy&amp;"_"&amp;Investment_Strategy_Sub2&amp;"_"&amp;$A576,'Investment Strategies'!$C:$P,12,FALSE),
IF(AND(Investment_Strategy="Lifecycle",Investment_Strategy_Sub1="Standard"),VLOOKUP(Investment_Strategy&amp;"_"&amp;Investment_Strategy_Sub2&amp;"_"&amp;$A576,'Investment Strategies'!$AJ:$AV,11,FALSE),
IF(AND(Investment_Strategy="Autopilot",Investment_Strategy_Sub1="Non-Standard"),VLOOKUP(Investment_Strategy&amp;"_"&amp;Investment_Strategy_Sub2&amp;"_"&amp;$A576,'Investment Strategies'!$T:$AF,11,FALSE),
IF(Investment_Strategy="DIY",DIY_GteeChrge_FuturePremiums,
"Error"))))))</f>
        <v>0</v>
      </c>
      <c r="V576" s="33">
        <f>IF(AV576=0,0,
IF(Investment_Strategy="DIS",VLOOKUP(Investment_Strategy&amp;"_"&amp;Investment_Strategy_Sub1&amp;"_"&amp;$A576,'Investment Strategies'!$AZ:$BP,17,FALSE),
IF(AND(Investment_Strategy="Lifecycle",Investment_Strategy_Sub1="Non-Standard"),VLOOKUP(Investment_Strategy&amp;"_"&amp;Investment_Strategy_Sub2&amp;"_"&amp;$A576,'Investment Strategies'!$C:$P,14,FALSE),
IF(AND(Investment_Strategy="Lifecycle",Investment_Strategy_Sub1="Standard"),VLOOKUP(Investment_Strategy&amp;"_"&amp;Investment_Strategy_Sub2&amp;"_"&amp;$A576,'Investment Strategies'!$AJ:$AV,13,FALSE),
IF(AND(Investment_Strategy="Autopilot",Investment_Strategy_Sub1="Non-Standard"),VLOOKUP(Investment_Strategy&amp;"_"&amp;Investment_Strategy_Sub2&amp;"_"&amp;$A576,'Investment Strategies'!$T:$AF,13,FALSE),
IF(Investment_Strategy="DIY",DIY_ExtManChrge_FuturePremiums,
"Error"))))))</f>
        <v>0</v>
      </c>
      <c r="W576" s="16">
        <f t="shared" si="337"/>
        <v>0</v>
      </c>
      <c r="X576" s="16">
        <f t="shared" si="314"/>
        <v>0</v>
      </c>
      <c r="Y576" s="16">
        <f t="shared" si="315"/>
        <v>0</v>
      </c>
      <c r="Z576" s="31">
        <f t="shared" si="316"/>
        <v>0.02</v>
      </c>
      <c r="AA576" s="16">
        <f t="shared" si="317"/>
        <v>0</v>
      </c>
      <c r="AB576" s="28">
        <f t="shared" si="339"/>
        <v>0</v>
      </c>
      <c r="AC576" s="28">
        <f>(SUM($AC$91:AC575)+SUM($X$91:X575)+X576)*T576*IF(D576=$A$91,SRP_finalmonthfactor,1)</f>
        <v>0</v>
      </c>
      <c r="AD576" s="16">
        <f t="shared" si="318"/>
        <v>0</v>
      </c>
      <c r="AE576" s="106"/>
      <c r="AF576" s="16">
        <f t="shared" si="326"/>
        <v>0</v>
      </c>
      <c r="AG576" s="16">
        <f t="shared" si="327"/>
        <v>0</v>
      </c>
      <c r="AH576" s="16">
        <f t="shared" si="328"/>
        <v>0</v>
      </c>
      <c r="AJ576" s="13">
        <f t="shared" si="342"/>
        <v>0</v>
      </c>
      <c r="AK576" s="13">
        <f t="shared" si="342"/>
        <v>0</v>
      </c>
      <c r="AL576" s="13">
        <f t="shared" si="342"/>
        <v>0</v>
      </c>
      <c r="AM576" s="13">
        <f t="shared" si="342"/>
        <v>0</v>
      </c>
      <c r="AN576" s="13">
        <f t="shared" si="342"/>
        <v>0</v>
      </c>
      <c r="AO576" s="13">
        <f t="shared" si="342"/>
        <v>1</v>
      </c>
      <c r="AP576" s="13">
        <f t="shared" si="342"/>
        <v>1</v>
      </c>
      <c r="AQ576" s="13">
        <f t="shared" si="342"/>
        <v>1</v>
      </c>
      <c r="AR576" s="13">
        <f t="shared" si="342"/>
        <v>0</v>
      </c>
      <c r="AS576" s="13">
        <f t="shared" si="342"/>
        <v>0</v>
      </c>
      <c r="AT576" s="13">
        <f t="shared" si="342"/>
        <v>0</v>
      </c>
      <c r="AU576" s="13">
        <f t="shared" si="342"/>
        <v>0</v>
      </c>
      <c r="AV576" s="13">
        <f t="shared" si="319"/>
        <v>0</v>
      </c>
      <c r="AW576" s="13">
        <f t="shared" si="320"/>
        <v>1</v>
      </c>
      <c r="AY576" s="17">
        <f t="shared" si="321"/>
        <v>486</v>
      </c>
      <c r="AZ576" s="28">
        <f t="shared" si="329"/>
        <v>0</v>
      </c>
      <c r="BA576" s="13">
        <f t="shared" si="322"/>
        <v>0</v>
      </c>
      <c r="BB576" s="13">
        <f t="shared" si="323"/>
        <v>0</v>
      </c>
      <c r="BC576" s="28">
        <f t="shared" si="330"/>
        <v>0</v>
      </c>
      <c r="BD576" s="28">
        <f t="shared" si="331"/>
        <v>0</v>
      </c>
      <c r="BF576" s="248">
        <f t="shared" si="332"/>
        <v>993869.29442638322</v>
      </c>
    </row>
    <row r="577" spans="1:58">
      <c r="A577" s="32">
        <f t="shared" si="333"/>
        <v>-402</v>
      </c>
      <c r="B577" s="32">
        <f t="shared" si="324"/>
        <v>93</v>
      </c>
      <c r="C577" s="32">
        <f t="shared" si="334"/>
        <v>41</v>
      </c>
      <c r="D577" s="32">
        <f t="shared" si="335"/>
        <v>487</v>
      </c>
      <c r="E577" s="74">
        <f>MIN(IF(AV577=0,0,
IF(Investment_Strategy="DIS",VLOOKUP(Investment_Strategy&amp;"_"&amp;Investment_Strategy_Sub1&amp;"_"&amp;$A577,'Investment Strategies'!$AZ:$BP,12,FALSE),
IF(AND(Investment_Strategy="Lifecycle",Investment_Strategy_Sub1="Non-Standard"),VLOOKUP(Investment_Strategy&amp;"_"&amp;Investment_Strategy_Sub2&amp;"_"&amp;$A577,'Investment Strategies'!$C:$P,9,FALSE),
IF(AND(Investment_Strategy="Lifecycle",Investment_Strategy_Sub1="Standard"),VLOOKUP(Investment_Strategy&amp;"_"&amp;Investment_Strategy_Sub2&amp;"_"&amp;$A577,'Investment Strategies'!$AJ:$AV,8,FALSE),
IF(AND(Investment_Strategy="Autopilot",Investment_Strategy_Sub1="Non-Standard"),VLOOKUP(Investment_Strategy&amp;"_"&amp;Investment_Strategy_Sub2&amp;"_"&amp;$A577,'Investment Strategies'!$T:$AF,8,FALSE),
IF(Investment_Strategy ="DIY",DIY_RateOfReturn_CurrentFunds,
"Error")))))),Max_InvReturn)</f>
        <v>0</v>
      </c>
      <c r="F577" s="62">
        <f>IF(AV577=0,0,
IF(Investment_Strategy="DIS",VLOOKUP(Investment_Strategy&amp;"_"&amp;Investment_Strategy_Sub1&amp;"_"&amp;$A577,'Investment Strategies'!$AZ:$BP,15,FALSE),
IF(AND(Investment_Strategy="Lifecycle",Investment_Strategy_Sub1="Non-Standard"),VLOOKUP(Investment_Strategy&amp;"_"&amp;Investment_Strategy_Sub2&amp;"_"&amp;$A577,'Investment Strategies'!$C:$P,12,FALSE),
IF(AND(Investment_Strategy="Lifecycle",Investment_Strategy_Sub1="Standard"),VLOOKUP(Investment_Strategy&amp;"_"&amp;Investment_Strategy_Sub2&amp;"_"&amp;$A577,'Investment Strategies'!$AJ:$AV,11,FALSE),
IF(AND(Investment_Strategy="Autopilot",Investment_Strategy_Sub1="Non-Standard"),VLOOKUP(Investment_Strategy&amp;"_"&amp;Investment_Strategy_Sub2&amp;"_"&amp;$A577,'Investment Strategies'!$T:$AF,11,FALSE),
IF(Investment_Strategy="DIY",DIY_GteeChrge_CurrentFunds,
"Error"))))))</f>
        <v>0</v>
      </c>
      <c r="G577" s="33">
        <f>IF(AV577=0,0,
IF(Investment_Strategy="DIS",VLOOKUP(Investment_Strategy&amp;"_"&amp;Investment_Strategy_Sub1&amp;"_"&amp;$A577,'Investment Strategies'!$AZ:$BP,17,FALSE),
IF(AND(Investment_Strategy="Lifecycle",Investment_Strategy_Sub1="Non-Standard"),VLOOKUP(Investment_Strategy&amp;"_"&amp;Investment_Strategy_Sub2&amp;"_"&amp;$A577,'Investment Strategies'!$C:$P,14,FALSE),
IF(AND(Investment_Strategy="Lifecycle",Investment_Strategy_Sub1="Standard"),VLOOKUP(Investment_Strategy&amp;"_"&amp;Investment_Strategy_Sub2&amp;"_"&amp;$A577,'Investment Strategies'!$AJ:$AV,13,FALSE),
IF(AND(Investment_Strategy="Autopilot",Investment_Strategy_Sub1="Non-Standard"),VLOOKUP(Investment_Strategy&amp;"_"&amp;Investment_Strategy_Sub2&amp;"_"&amp;$A577,'Investment Strategies'!$T:$AF,13,FALSE),
IF(Investment_Strategy="DIY",DIY_ExtManChrge_CurrentFunds,
"Error"))))))</f>
        <v>0</v>
      </c>
      <c r="H577" s="16">
        <f t="shared" si="325"/>
        <v>0</v>
      </c>
      <c r="I577" s="16">
        <f t="shared" si="311"/>
        <v>0</v>
      </c>
      <c r="J577" s="16">
        <f t="shared" si="312"/>
        <v>0</v>
      </c>
      <c r="K577" s="16">
        <f>(Opening_Fund_Value+SUM(K$91:K576))*E577*IF(D577=$A$91,SRP_finalmonthfactor,1)</f>
        <v>0</v>
      </c>
      <c r="L577" s="74">
        <f>MIN(IF($AV577=0,0,
IF(Investment_Strategy="DIS",VLOOKUP(Investment_Strategy&amp;"_"&amp;Investment_Strategy_Sub1&amp;"_"&amp;$A577,'Investment Strategies'!$AZ:$BP,12,FALSE),
IF(AND(Investment_Strategy="Lifecycle",Investment_Strategy_Sub1="Non-Standard"),VLOOKUP(Investment_Strategy&amp;"_"&amp;Investment_Strategy_Sub2&amp;"_"&amp;$A577,'Investment Strategies'!$C:$P,9,FALSE),
IF(AND(Investment_Strategy="Lifecycle",Investment_Strategy_Sub1="Standard"),VLOOKUP(Investment_Strategy&amp;"_"&amp;Investment_Strategy_Sub2&amp;"_"&amp;$A577,'Investment Strategies'!$AJ:$AV,8,FALSE),
IF(AND(Investment_Strategy="Autopilot",Investment_Strategy_Sub1="Non-Standard"),VLOOKUP(Investment_Strategy&amp;"_"&amp;Investment_Strategy_Sub2&amp;"_"&amp;$A577,'Investment Strategies'!$T:$AF,8,FALSE),
IF(Investment_Strategy ="DIY",DIY_RateofReturn_SP,
"Error")))))),Max_InvReturn)</f>
        <v>0</v>
      </c>
      <c r="M577" s="62">
        <f>IF($AV577=0,0,
IF(Investment_Strategy="DIS",VLOOKUP(Investment_Strategy&amp;"_"&amp;Investment_Strategy_Sub1&amp;"_"&amp;$A577,'Investment Strategies'!$AZ:$BP,15,FALSE),
IF(AND(Investment_Strategy="Lifecycle",Investment_Strategy_Sub1="Non-Standard"),VLOOKUP(Investment_Strategy&amp;"_"&amp;Investment_Strategy_Sub2&amp;"_"&amp;$A577,'Investment Strategies'!$C:$P,12,FALSE),
IF(AND(Investment_Strategy="Lifecycle",Investment_Strategy_Sub1="Standard"),VLOOKUP(Investment_Strategy&amp;"_"&amp;Investment_Strategy_Sub2&amp;"_"&amp;$A577,'Investment Strategies'!$AJ:$AV,11,FALSE),
IF(AND(Investment_Strategy="Autopilot",Investment_Strategy_Sub1="Non-Standard"),VLOOKUP(Investment_Strategy&amp;"_"&amp;Investment_Strategy_Sub2&amp;"_"&amp;$A577,'Investment Strategies'!$T:$AF,11,FALSE),
IF(Investment_Strategy="DIY",DIY_GteeChrge_SP,
"Error"))))))</f>
        <v>0</v>
      </c>
      <c r="N577" s="33">
        <f>IF($AV577=0,0,
IF(Investment_Strategy="DIS",VLOOKUP(Investment_Strategy&amp;"_"&amp;Investment_Strategy_Sub1&amp;"_"&amp;$A577,'Investment Strategies'!$AZ:$BP,17,FALSE),
IF(AND(Investment_Strategy="Lifecycle",Investment_Strategy_Sub1="Non-Standard"),VLOOKUP(Investment_Strategy&amp;"_"&amp;Investment_Strategy_Sub2&amp;"_"&amp;$A577,'Investment Strategies'!$C:$P,14,FALSE),
IF(AND(Investment_Strategy="Lifecycle",Investment_Strategy_Sub1="Standard"),VLOOKUP(Investment_Strategy&amp;"_"&amp;Investment_Strategy_Sub2&amp;"_"&amp;$A577,'Investment Strategies'!$AJ:$AV,13,FALSE),
IF(AND(Investment_Strategy="Autopilot",Investment_Strategy_Sub1="Non-Standard"),VLOOKUP(Investment_Strategy&amp;"_"&amp;Investment_Strategy_Sub2&amp;"_"&amp;$A577,'Investment Strategies'!$T:$AF,13,FALSE),
IF(Investment_Strategy="DIY",DIY_ExtManChrge_SP,
"Error"))))))</f>
        <v>0</v>
      </c>
      <c r="O577" s="16">
        <f t="shared" si="336"/>
        <v>0</v>
      </c>
      <c r="Q577" s="16">
        <f t="shared" si="313"/>
        <v>0</v>
      </c>
      <c r="R577" s="16">
        <f t="shared" si="310"/>
        <v>0</v>
      </c>
      <c r="S577" s="16">
        <f>(SRP_SP+SUM(S$91:S576))*L577*IF(D577=$A$91,SRP_finalmonthfactor,1)</f>
        <v>0</v>
      </c>
      <c r="T577" s="74">
        <f>MIN(IF($AV577=0,0,
IF(Investment_Strategy="DIS",VLOOKUP(Investment_Strategy&amp;"_"&amp;Investment_Strategy_Sub1&amp;"_"&amp;$A577,'Investment Strategies'!$AZ:$BP,12,FALSE),
IF(AND(Investment_Strategy="Lifecycle",Investment_Strategy_Sub1="Non-Standard"),VLOOKUP(Investment_Strategy&amp;"_"&amp;Investment_Strategy_Sub2&amp;"_"&amp;$A577,'Investment Strategies'!$C:$P,9,FALSE),
IF(AND(Investment_Strategy="Lifecycle",Investment_Strategy_Sub1="Standard"),VLOOKUP(Investment_Strategy&amp;"_"&amp;Investment_Strategy_Sub2&amp;"_"&amp;$A577,'Investment Strategies'!$AJ:$AV,8,FALSE),
IF(AND(Investment_Strategy="Autopilot",Investment_Strategy_Sub1="Non-Standard"),VLOOKUP(Investment_Strategy&amp;"_"&amp;Investment_Strategy_Sub2&amp;"_"&amp;$A577,'Investment Strategies'!$T:$AF,8,FALSE),
IF(Investment_Strategy ="DIY",DIY_RateOfReturn_FuturePremiums,
"Error")))))),Max_InvReturn)</f>
        <v>0</v>
      </c>
      <c r="U577" s="62">
        <f>IF($AV577=0,0,
IF(Investment_Strategy="DIS",VLOOKUP(Investment_Strategy&amp;"_"&amp;Investment_Strategy_Sub1&amp;"_"&amp;$A577,'Investment Strategies'!$AZ:$BP,15,FALSE),
IF(AND(Investment_Strategy="Lifecycle",Investment_Strategy_Sub1="Non-Standard"),VLOOKUP(Investment_Strategy&amp;"_"&amp;Investment_Strategy_Sub2&amp;"_"&amp;$A577,'Investment Strategies'!$C:$P,12,FALSE),
IF(AND(Investment_Strategy="Lifecycle",Investment_Strategy_Sub1="Standard"),VLOOKUP(Investment_Strategy&amp;"_"&amp;Investment_Strategy_Sub2&amp;"_"&amp;$A577,'Investment Strategies'!$AJ:$AV,11,FALSE),
IF(AND(Investment_Strategy="Autopilot",Investment_Strategy_Sub1="Non-Standard"),VLOOKUP(Investment_Strategy&amp;"_"&amp;Investment_Strategy_Sub2&amp;"_"&amp;$A577,'Investment Strategies'!$T:$AF,11,FALSE),
IF(Investment_Strategy="DIY",DIY_GteeChrge_FuturePremiums,
"Error"))))))</f>
        <v>0</v>
      </c>
      <c r="V577" s="33">
        <f>IF(AV577=0,0,
IF(Investment_Strategy="DIS",VLOOKUP(Investment_Strategy&amp;"_"&amp;Investment_Strategy_Sub1&amp;"_"&amp;$A577,'Investment Strategies'!$AZ:$BP,17,FALSE),
IF(AND(Investment_Strategy="Lifecycle",Investment_Strategy_Sub1="Non-Standard"),VLOOKUP(Investment_Strategy&amp;"_"&amp;Investment_Strategy_Sub2&amp;"_"&amp;$A577,'Investment Strategies'!$C:$P,14,FALSE),
IF(AND(Investment_Strategy="Lifecycle",Investment_Strategy_Sub1="Standard"),VLOOKUP(Investment_Strategy&amp;"_"&amp;Investment_Strategy_Sub2&amp;"_"&amp;$A577,'Investment Strategies'!$AJ:$AV,13,FALSE),
IF(AND(Investment_Strategy="Autopilot",Investment_Strategy_Sub1="Non-Standard"),VLOOKUP(Investment_Strategy&amp;"_"&amp;Investment_Strategy_Sub2&amp;"_"&amp;$A577,'Investment Strategies'!$T:$AF,13,FALSE),
IF(Investment_Strategy="DIY",DIY_ExtManChrge_FuturePremiums,
"Error"))))))</f>
        <v>0</v>
      </c>
      <c r="W577" s="16">
        <f t="shared" si="337"/>
        <v>0</v>
      </c>
      <c r="X577" s="16">
        <f t="shared" si="314"/>
        <v>0</v>
      </c>
      <c r="Y577" s="16">
        <f t="shared" si="315"/>
        <v>0</v>
      </c>
      <c r="Z577" s="31">
        <f t="shared" si="316"/>
        <v>0.02</v>
      </c>
      <c r="AA577" s="16">
        <f t="shared" si="317"/>
        <v>0</v>
      </c>
      <c r="AB577" s="28">
        <f t="shared" si="339"/>
        <v>0</v>
      </c>
      <c r="AC577" s="28">
        <f>(SUM($AC$91:AC576)+SUM($X$91:X576)+X577)*T577*IF(D577=$A$91,SRP_finalmonthfactor,1)</f>
        <v>0</v>
      </c>
      <c r="AD577" s="16">
        <f t="shared" si="318"/>
        <v>0</v>
      </c>
      <c r="AE577" s="106"/>
      <c r="AF577" s="16">
        <f t="shared" si="326"/>
        <v>0</v>
      </c>
      <c r="AG577" s="16">
        <f t="shared" si="327"/>
        <v>0</v>
      </c>
      <c r="AH577" s="16">
        <f t="shared" si="328"/>
        <v>0</v>
      </c>
      <c r="AJ577" s="13">
        <f t="shared" si="342"/>
        <v>0</v>
      </c>
      <c r="AK577" s="13">
        <f t="shared" si="342"/>
        <v>0</v>
      </c>
      <c r="AL577" s="13">
        <f t="shared" si="342"/>
        <v>0</v>
      </c>
      <c r="AM577" s="13">
        <f t="shared" si="342"/>
        <v>0</v>
      </c>
      <c r="AN577" s="13">
        <f t="shared" si="342"/>
        <v>0</v>
      </c>
      <c r="AO577" s="13">
        <f t="shared" si="342"/>
        <v>1</v>
      </c>
      <c r="AP577" s="13">
        <f t="shared" si="342"/>
        <v>1</v>
      </c>
      <c r="AQ577" s="13">
        <f t="shared" si="342"/>
        <v>1</v>
      </c>
      <c r="AR577" s="13">
        <f t="shared" si="342"/>
        <v>0</v>
      </c>
      <c r="AS577" s="13">
        <f t="shared" si="342"/>
        <v>0</v>
      </c>
      <c r="AT577" s="13">
        <f t="shared" si="342"/>
        <v>0</v>
      </c>
      <c r="AU577" s="13">
        <f t="shared" si="342"/>
        <v>0</v>
      </c>
      <c r="AV577" s="13">
        <f t="shared" si="319"/>
        <v>0</v>
      </c>
      <c r="AW577" s="13">
        <f t="shared" si="320"/>
        <v>1</v>
      </c>
      <c r="AY577" s="17">
        <f t="shared" si="321"/>
        <v>487</v>
      </c>
      <c r="AZ577" s="28">
        <f t="shared" si="329"/>
        <v>0</v>
      </c>
      <c r="BA577" s="13">
        <f t="shared" si="322"/>
        <v>0</v>
      </c>
      <c r="BB577" s="13">
        <f t="shared" si="323"/>
        <v>0</v>
      </c>
      <c r="BC577" s="28">
        <f t="shared" si="330"/>
        <v>0</v>
      </c>
      <c r="BD577" s="28">
        <f t="shared" si="331"/>
        <v>0</v>
      </c>
      <c r="BF577" s="248">
        <f t="shared" si="332"/>
        <v>993869.29442638322</v>
      </c>
    </row>
    <row r="578" spans="1:58">
      <c r="A578" s="32">
        <f t="shared" si="333"/>
        <v>-403</v>
      </c>
      <c r="B578" s="32">
        <f t="shared" si="324"/>
        <v>93</v>
      </c>
      <c r="C578" s="32">
        <f t="shared" si="334"/>
        <v>41</v>
      </c>
      <c r="D578" s="32">
        <f t="shared" si="335"/>
        <v>488</v>
      </c>
      <c r="E578" s="74">
        <f>MIN(IF(AV578=0,0,
IF(Investment_Strategy="DIS",VLOOKUP(Investment_Strategy&amp;"_"&amp;Investment_Strategy_Sub1&amp;"_"&amp;$A578,'Investment Strategies'!$AZ:$BP,12,FALSE),
IF(AND(Investment_Strategy="Lifecycle",Investment_Strategy_Sub1="Non-Standard"),VLOOKUP(Investment_Strategy&amp;"_"&amp;Investment_Strategy_Sub2&amp;"_"&amp;$A578,'Investment Strategies'!$C:$P,9,FALSE),
IF(AND(Investment_Strategy="Lifecycle",Investment_Strategy_Sub1="Standard"),VLOOKUP(Investment_Strategy&amp;"_"&amp;Investment_Strategy_Sub2&amp;"_"&amp;$A578,'Investment Strategies'!$AJ:$AV,8,FALSE),
IF(AND(Investment_Strategy="Autopilot",Investment_Strategy_Sub1="Non-Standard"),VLOOKUP(Investment_Strategy&amp;"_"&amp;Investment_Strategy_Sub2&amp;"_"&amp;$A578,'Investment Strategies'!$T:$AF,8,FALSE),
IF(Investment_Strategy ="DIY",DIY_RateOfReturn_CurrentFunds,
"Error")))))),Max_InvReturn)</f>
        <v>0</v>
      </c>
      <c r="F578" s="62">
        <f>IF(AV578=0,0,
IF(Investment_Strategy="DIS",VLOOKUP(Investment_Strategy&amp;"_"&amp;Investment_Strategy_Sub1&amp;"_"&amp;$A578,'Investment Strategies'!$AZ:$BP,15,FALSE),
IF(AND(Investment_Strategy="Lifecycle",Investment_Strategy_Sub1="Non-Standard"),VLOOKUP(Investment_Strategy&amp;"_"&amp;Investment_Strategy_Sub2&amp;"_"&amp;$A578,'Investment Strategies'!$C:$P,12,FALSE),
IF(AND(Investment_Strategy="Lifecycle",Investment_Strategy_Sub1="Standard"),VLOOKUP(Investment_Strategy&amp;"_"&amp;Investment_Strategy_Sub2&amp;"_"&amp;$A578,'Investment Strategies'!$AJ:$AV,11,FALSE),
IF(AND(Investment_Strategy="Autopilot",Investment_Strategy_Sub1="Non-Standard"),VLOOKUP(Investment_Strategy&amp;"_"&amp;Investment_Strategy_Sub2&amp;"_"&amp;$A578,'Investment Strategies'!$T:$AF,11,FALSE),
IF(Investment_Strategy="DIY",DIY_GteeChrge_CurrentFunds,
"Error"))))))</f>
        <v>0</v>
      </c>
      <c r="G578" s="33">
        <f>IF(AV578=0,0,
IF(Investment_Strategy="DIS",VLOOKUP(Investment_Strategy&amp;"_"&amp;Investment_Strategy_Sub1&amp;"_"&amp;$A578,'Investment Strategies'!$AZ:$BP,17,FALSE),
IF(AND(Investment_Strategy="Lifecycle",Investment_Strategy_Sub1="Non-Standard"),VLOOKUP(Investment_Strategy&amp;"_"&amp;Investment_Strategy_Sub2&amp;"_"&amp;$A578,'Investment Strategies'!$C:$P,14,FALSE),
IF(AND(Investment_Strategy="Lifecycle",Investment_Strategy_Sub1="Standard"),VLOOKUP(Investment_Strategy&amp;"_"&amp;Investment_Strategy_Sub2&amp;"_"&amp;$A578,'Investment Strategies'!$AJ:$AV,13,FALSE),
IF(AND(Investment_Strategy="Autopilot",Investment_Strategy_Sub1="Non-Standard"),VLOOKUP(Investment_Strategy&amp;"_"&amp;Investment_Strategy_Sub2&amp;"_"&amp;$A578,'Investment Strategies'!$T:$AF,13,FALSE),
IF(Investment_Strategy="DIY",DIY_ExtManChrge_CurrentFunds,
"Error"))))))</f>
        <v>0</v>
      </c>
      <c r="H578" s="16">
        <f t="shared" si="325"/>
        <v>0</v>
      </c>
      <c r="I578" s="16">
        <f t="shared" si="311"/>
        <v>0</v>
      </c>
      <c r="J578" s="16">
        <f t="shared" si="312"/>
        <v>0</v>
      </c>
      <c r="K578" s="16">
        <f>(Opening_Fund_Value+SUM(K$91:K577))*E578*IF(D578=$A$91,SRP_finalmonthfactor,1)</f>
        <v>0</v>
      </c>
      <c r="L578" s="74">
        <f>MIN(IF($AV578=0,0,
IF(Investment_Strategy="DIS",VLOOKUP(Investment_Strategy&amp;"_"&amp;Investment_Strategy_Sub1&amp;"_"&amp;$A578,'Investment Strategies'!$AZ:$BP,12,FALSE),
IF(AND(Investment_Strategy="Lifecycle",Investment_Strategy_Sub1="Non-Standard"),VLOOKUP(Investment_Strategy&amp;"_"&amp;Investment_Strategy_Sub2&amp;"_"&amp;$A578,'Investment Strategies'!$C:$P,9,FALSE),
IF(AND(Investment_Strategy="Lifecycle",Investment_Strategy_Sub1="Standard"),VLOOKUP(Investment_Strategy&amp;"_"&amp;Investment_Strategy_Sub2&amp;"_"&amp;$A578,'Investment Strategies'!$AJ:$AV,8,FALSE),
IF(AND(Investment_Strategy="Autopilot",Investment_Strategy_Sub1="Non-Standard"),VLOOKUP(Investment_Strategy&amp;"_"&amp;Investment_Strategy_Sub2&amp;"_"&amp;$A578,'Investment Strategies'!$T:$AF,8,FALSE),
IF(Investment_Strategy ="DIY",DIY_RateofReturn_SP,
"Error")))))),Max_InvReturn)</f>
        <v>0</v>
      </c>
      <c r="M578" s="62">
        <f>IF($AV578=0,0,
IF(Investment_Strategy="DIS",VLOOKUP(Investment_Strategy&amp;"_"&amp;Investment_Strategy_Sub1&amp;"_"&amp;$A578,'Investment Strategies'!$AZ:$BP,15,FALSE),
IF(AND(Investment_Strategy="Lifecycle",Investment_Strategy_Sub1="Non-Standard"),VLOOKUP(Investment_Strategy&amp;"_"&amp;Investment_Strategy_Sub2&amp;"_"&amp;$A578,'Investment Strategies'!$C:$P,12,FALSE),
IF(AND(Investment_Strategy="Lifecycle",Investment_Strategy_Sub1="Standard"),VLOOKUP(Investment_Strategy&amp;"_"&amp;Investment_Strategy_Sub2&amp;"_"&amp;$A578,'Investment Strategies'!$AJ:$AV,11,FALSE),
IF(AND(Investment_Strategy="Autopilot",Investment_Strategy_Sub1="Non-Standard"),VLOOKUP(Investment_Strategy&amp;"_"&amp;Investment_Strategy_Sub2&amp;"_"&amp;$A578,'Investment Strategies'!$T:$AF,11,FALSE),
IF(Investment_Strategy="DIY",DIY_GteeChrge_SP,
"Error"))))))</f>
        <v>0</v>
      </c>
      <c r="N578" s="33">
        <f>IF($AV578=0,0,
IF(Investment_Strategy="DIS",VLOOKUP(Investment_Strategy&amp;"_"&amp;Investment_Strategy_Sub1&amp;"_"&amp;$A578,'Investment Strategies'!$AZ:$BP,17,FALSE),
IF(AND(Investment_Strategy="Lifecycle",Investment_Strategy_Sub1="Non-Standard"),VLOOKUP(Investment_Strategy&amp;"_"&amp;Investment_Strategy_Sub2&amp;"_"&amp;$A578,'Investment Strategies'!$C:$P,14,FALSE),
IF(AND(Investment_Strategy="Lifecycle",Investment_Strategy_Sub1="Standard"),VLOOKUP(Investment_Strategy&amp;"_"&amp;Investment_Strategy_Sub2&amp;"_"&amp;$A578,'Investment Strategies'!$AJ:$AV,13,FALSE),
IF(AND(Investment_Strategy="Autopilot",Investment_Strategy_Sub1="Non-Standard"),VLOOKUP(Investment_Strategy&amp;"_"&amp;Investment_Strategy_Sub2&amp;"_"&amp;$A578,'Investment Strategies'!$T:$AF,13,FALSE),
IF(Investment_Strategy="DIY",DIY_ExtManChrge_SP,
"Error"))))))</f>
        <v>0</v>
      </c>
      <c r="O578" s="16">
        <f t="shared" si="336"/>
        <v>0</v>
      </c>
      <c r="Q578" s="16">
        <f t="shared" si="313"/>
        <v>0</v>
      </c>
      <c r="R578" s="16">
        <f t="shared" si="310"/>
        <v>0</v>
      </c>
      <c r="S578" s="16">
        <f>(SRP_SP+SUM(S$91:S577))*L578*IF(D578=$A$91,SRP_finalmonthfactor,1)</f>
        <v>0</v>
      </c>
      <c r="T578" s="74">
        <f>MIN(IF($AV578=0,0,
IF(Investment_Strategy="DIS",VLOOKUP(Investment_Strategy&amp;"_"&amp;Investment_Strategy_Sub1&amp;"_"&amp;$A578,'Investment Strategies'!$AZ:$BP,12,FALSE),
IF(AND(Investment_Strategy="Lifecycle",Investment_Strategy_Sub1="Non-Standard"),VLOOKUP(Investment_Strategy&amp;"_"&amp;Investment_Strategy_Sub2&amp;"_"&amp;$A578,'Investment Strategies'!$C:$P,9,FALSE),
IF(AND(Investment_Strategy="Lifecycle",Investment_Strategy_Sub1="Standard"),VLOOKUP(Investment_Strategy&amp;"_"&amp;Investment_Strategy_Sub2&amp;"_"&amp;$A578,'Investment Strategies'!$AJ:$AV,8,FALSE),
IF(AND(Investment_Strategy="Autopilot",Investment_Strategy_Sub1="Non-Standard"),VLOOKUP(Investment_Strategy&amp;"_"&amp;Investment_Strategy_Sub2&amp;"_"&amp;$A578,'Investment Strategies'!$T:$AF,8,FALSE),
IF(Investment_Strategy ="DIY",DIY_RateOfReturn_FuturePremiums,
"Error")))))),Max_InvReturn)</f>
        <v>0</v>
      </c>
      <c r="U578" s="62">
        <f>IF($AV578=0,0,
IF(Investment_Strategy="DIS",VLOOKUP(Investment_Strategy&amp;"_"&amp;Investment_Strategy_Sub1&amp;"_"&amp;$A578,'Investment Strategies'!$AZ:$BP,15,FALSE),
IF(AND(Investment_Strategy="Lifecycle",Investment_Strategy_Sub1="Non-Standard"),VLOOKUP(Investment_Strategy&amp;"_"&amp;Investment_Strategy_Sub2&amp;"_"&amp;$A578,'Investment Strategies'!$C:$P,12,FALSE),
IF(AND(Investment_Strategy="Lifecycle",Investment_Strategy_Sub1="Standard"),VLOOKUP(Investment_Strategy&amp;"_"&amp;Investment_Strategy_Sub2&amp;"_"&amp;$A578,'Investment Strategies'!$AJ:$AV,11,FALSE),
IF(AND(Investment_Strategy="Autopilot",Investment_Strategy_Sub1="Non-Standard"),VLOOKUP(Investment_Strategy&amp;"_"&amp;Investment_Strategy_Sub2&amp;"_"&amp;$A578,'Investment Strategies'!$T:$AF,11,FALSE),
IF(Investment_Strategy="DIY",DIY_GteeChrge_FuturePremiums,
"Error"))))))</f>
        <v>0</v>
      </c>
      <c r="V578" s="33">
        <f>IF(AV578=0,0,
IF(Investment_Strategy="DIS",VLOOKUP(Investment_Strategy&amp;"_"&amp;Investment_Strategy_Sub1&amp;"_"&amp;$A578,'Investment Strategies'!$AZ:$BP,17,FALSE),
IF(AND(Investment_Strategy="Lifecycle",Investment_Strategy_Sub1="Non-Standard"),VLOOKUP(Investment_Strategy&amp;"_"&amp;Investment_Strategy_Sub2&amp;"_"&amp;$A578,'Investment Strategies'!$C:$P,14,FALSE),
IF(AND(Investment_Strategy="Lifecycle",Investment_Strategy_Sub1="Standard"),VLOOKUP(Investment_Strategy&amp;"_"&amp;Investment_Strategy_Sub2&amp;"_"&amp;$A578,'Investment Strategies'!$AJ:$AV,13,FALSE),
IF(AND(Investment_Strategy="Autopilot",Investment_Strategy_Sub1="Non-Standard"),VLOOKUP(Investment_Strategy&amp;"_"&amp;Investment_Strategy_Sub2&amp;"_"&amp;$A578,'Investment Strategies'!$T:$AF,13,FALSE),
IF(Investment_Strategy="DIY",DIY_ExtManChrge_FuturePremiums,
"Error"))))))</f>
        <v>0</v>
      </c>
      <c r="W578" s="16">
        <f t="shared" si="337"/>
        <v>0</v>
      </c>
      <c r="X578" s="16">
        <f t="shared" si="314"/>
        <v>0</v>
      </c>
      <c r="Y578" s="16">
        <f t="shared" si="315"/>
        <v>0</v>
      </c>
      <c r="Z578" s="31">
        <f t="shared" si="316"/>
        <v>0.02</v>
      </c>
      <c r="AA578" s="16">
        <f t="shared" si="317"/>
        <v>0</v>
      </c>
      <c r="AB578" s="28">
        <f t="shared" si="339"/>
        <v>0</v>
      </c>
      <c r="AC578" s="28">
        <f>(SUM($AC$91:AC577)+SUM($X$91:X577)+X578)*T578*IF(D578=$A$91,SRP_finalmonthfactor,1)</f>
        <v>0</v>
      </c>
      <c r="AD578" s="16">
        <f t="shared" si="318"/>
        <v>0</v>
      </c>
      <c r="AE578" s="106"/>
      <c r="AF578" s="16">
        <f t="shared" si="326"/>
        <v>0</v>
      </c>
      <c r="AG578" s="16">
        <f t="shared" si="327"/>
        <v>0</v>
      </c>
      <c r="AH578" s="16">
        <f t="shared" si="328"/>
        <v>0</v>
      </c>
      <c r="AJ578" s="13">
        <f t="shared" si="342"/>
        <v>0</v>
      </c>
      <c r="AK578" s="13">
        <f t="shared" si="342"/>
        <v>0</v>
      </c>
      <c r="AL578" s="13">
        <f t="shared" si="342"/>
        <v>0</v>
      </c>
      <c r="AM578" s="13">
        <f t="shared" si="342"/>
        <v>0</v>
      </c>
      <c r="AN578" s="13">
        <f t="shared" si="342"/>
        <v>0</v>
      </c>
      <c r="AO578" s="13">
        <f t="shared" si="342"/>
        <v>1</v>
      </c>
      <c r="AP578" s="13">
        <f t="shared" si="342"/>
        <v>1</v>
      </c>
      <c r="AQ578" s="13">
        <f t="shared" si="342"/>
        <v>1</v>
      </c>
      <c r="AR578" s="13">
        <f t="shared" si="342"/>
        <v>0</v>
      </c>
      <c r="AS578" s="13">
        <f t="shared" si="342"/>
        <v>0</v>
      </c>
      <c r="AT578" s="13">
        <f t="shared" si="342"/>
        <v>0</v>
      </c>
      <c r="AU578" s="13">
        <f t="shared" si="342"/>
        <v>0</v>
      </c>
      <c r="AV578" s="13">
        <f t="shared" si="319"/>
        <v>0</v>
      </c>
      <c r="AW578" s="13">
        <f t="shared" si="320"/>
        <v>1</v>
      </c>
      <c r="AY578" s="17">
        <f t="shared" si="321"/>
        <v>488</v>
      </c>
      <c r="AZ578" s="28">
        <f t="shared" si="329"/>
        <v>0</v>
      </c>
      <c r="BA578" s="13">
        <f t="shared" si="322"/>
        <v>0</v>
      </c>
      <c r="BB578" s="13">
        <f t="shared" si="323"/>
        <v>0</v>
      </c>
      <c r="BC578" s="28">
        <f t="shared" si="330"/>
        <v>0</v>
      </c>
      <c r="BD578" s="28">
        <f t="shared" si="331"/>
        <v>0</v>
      </c>
      <c r="BF578" s="248">
        <f t="shared" si="332"/>
        <v>993869.29442638322</v>
      </c>
    </row>
    <row r="579" spans="1:58">
      <c r="A579" s="32">
        <f t="shared" si="333"/>
        <v>-404</v>
      </c>
      <c r="B579" s="32">
        <f t="shared" si="324"/>
        <v>93</v>
      </c>
      <c r="C579" s="32">
        <f t="shared" si="334"/>
        <v>41</v>
      </c>
      <c r="D579" s="32">
        <f t="shared" si="335"/>
        <v>489</v>
      </c>
      <c r="E579" s="74">
        <f>MIN(IF(AV579=0,0,
IF(Investment_Strategy="DIS",VLOOKUP(Investment_Strategy&amp;"_"&amp;Investment_Strategy_Sub1&amp;"_"&amp;$A579,'Investment Strategies'!$AZ:$BP,12,FALSE),
IF(AND(Investment_Strategy="Lifecycle",Investment_Strategy_Sub1="Non-Standard"),VLOOKUP(Investment_Strategy&amp;"_"&amp;Investment_Strategy_Sub2&amp;"_"&amp;$A579,'Investment Strategies'!$C:$P,9,FALSE),
IF(AND(Investment_Strategy="Lifecycle",Investment_Strategy_Sub1="Standard"),VLOOKUP(Investment_Strategy&amp;"_"&amp;Investment_Strategy_Sub2&amp;"_"&amp;$A579,'Investment Strategies'!$AJ:$AV,8,FALSE),
IF(AND(Investment_Strategy="Autopilot",Investment_Strategy_Sub1="Non-Standard"),VLOOKUP(Investment_Strategy&amp;"_"&amp;Investment_Strategy_Sub2&amp;"_"&amp;$A579,'Investment Strategies'!$T:$AF,8,FALSE),
IF(Investment_Strategy ="DIY",DIY_RateOfReturn_CurrentFunds,
"Error")))))),Max_InvReturn)</f>
        <v>0</v>
      </c>
      <c r="F579" s="62">
        <f>IF(AV579=0,0,
IF(Investment_Strategy="DIS",VLOOKUP(Investment_Strategy&amp;"_"&amp;Investment_Strategy_Sub1&amp;"_"&amp;$A579,'Investment Strategies'!$AZ:$BP,15,FALSE),
IF(AND(Investment_Strategy="Lifecycle",Investment_Strategy_Sub1="Non-Standard"),VLOOKUP(Investment_Strategy&amp;"_"&amp;Investment_Strategy_Sub2&amp;"_"&amp;$A579,'Investment Strategies'!$C:$P,12,FALSE),
IF(AND(Investment_Strategy="Lifecycle",Investment_Strategy_Sub1="Standard"),VLOOKUP(Investment_Strategy&amp;"_"&amp;Investment_Strategy_Sub2&amp;"_"&amp;$A579,'Investment Strategies'!$AJ:$AV,11,FALSE),
IF(AND(Investment_Strategy="Autopilot",Investment_Strategy_Sub1="Non-Standard"),VLOOKUP(Investment_Strategy&amp;"_"&amp;Investment_Strategy_Sub2&amp;"_"&amp;$A579,'Investment Strategies'!$T:$AF,11,FALSE),
IF(Investment_Strategy="DIY",DIY_GteeChrge_CurrentFunds,
"Error"))))))</f>
        <v>0</v>
      </c>
      <c r="G579" s="33">
        <f>IF(AV579=0,0,
IF(Investment_Strategy="DIS",VLOOKUP(Investment_Strategy&amp;"_"&amp;Investment_Strategy_Sub1&amp;"_"&amp;$A579,'Investment Strategies'!$AZ:$BP,17,FALSE),
IF(AND(Investment_Strategy="Lifecycle",Investment_Strategy_Sub1="Non-Standard"),VLOOKUP(Investment_Strategy&amp;"_"&amp;Investment_Strategy_Sub2&amp;"_"&amp;$A579,'Investment Strategies'!$C:$P,14,FALSE),
IF(AND(Investment_Strategy="Lifecycle",Investment_Strategy_Sub1="Standard"),VLOOKUP(Investment_Strategy&amp;"_"&amp;Investment_Strategy_Sub2&amp;"_"&amp;$A579,'Investment Strategies'!$AJ:$AV,13,FALSE),
IF(AND(Investment_Strategy="Autopilot",Investment_Strategy_Sub1="Non-Standard"),VLOOKUP(Investment_Strategy&amp;"_"&amp;Investment_Strategy_Sub2&amp;"_"&amp;$A579,'Investment Strategies'!$T:$AF,13,FALSE),
IF(Investment_Strategy="DIY",DIY_ExtManChrge_CurrentFunds,
"Error"))))))</f>
        <v>0</v>
      </c>
      <c r="H579" s="16">
        <f t="shared" si="325"/>
        <v>0</v>
      </c>
      <c r="I579" s="16">
        <f t="shared" si="311"/>
        <v>0</v>
      </c>
      <c r="J579" s="16">
        <f t="shared" si="312"/>
        <v>0</v>
      </c>
      <c r="K579" s="16">
        <f>(Opening_Fund_Value+SUM(K$91:K578))*E579*IF(D579=$A$91,SRP_finalmonthfactor,1)</f>
        <v>0</v>
      </c>
      <c r="L579" s="74">
        <f>MIN(IF($AV579=0,0,
IF(Investment_Strategy="DIS",VLOOKUP(Investment_Strategy&amp;"_"&amp;Investment_Strategy_Sub1&amp;"_"&amp;$A579,'Investment Strategies'!$AZ:$BP,12,FALSE),
IF(AND(Investment_Strategy="Lifecycle",Investment_Strategy_Sub1="Non-Standard"),VLOOKUP(Investment_Strategy&amp;"_"&amp;Investment_Strategy_Sub2&amp;"_"&amp;$A579,'Investment Strategies'!$C:$P,9,FALSE),
IF(AND(Investment_Strategy="Lifecycle",Investment_Strategy_Sub1="Standard"),VLOOKUP(Investment_Strategy&amp;"_"&amp;Investment_Strategy_Sub2&amp;"_"&amp;$A579,'Investment Strategies'!$AJ:$AV,8,FALSE),
IF(AND(Investment_Strategy="Autopilot",Investment_Strategy_Sub1="Non-Standard"),VLOOKUP(Investment_Strategy&amp;"_"&amp;Investment_Strategy_Sub2&amp;"_"&amp;$A579,'Investment Strategies'!$T:$AF,8,FALSE),
IF(Investment_Strategy ="DIY",DIY_RateofReturn_SP,
"Error")))))),Max_InvReturn)</f>
        <v>0</v>
      </c>
      <c r="M579" s="62">
        <f>IF($AV579=0,0,
IF(Investment_Strategy="DIS",VLOOKUP(Investment_Strategy&amp;"_"&amp;Investment_Strategy_Sub1&amp;"_"&amp;$A579,'Investment Strategies'!$AZ:$BP,15,FALSE),
IF(AND(Investment_Strategy="Lifecycle",Investment_Strategy_Sub1="Non-Standard"),VLOOKUP(Investment_Strategy&amp;"_"&amp;Investment_Strategy_Sub2&amp;"_"&amp;$A579,'Investment Strategies'!$C:$P,12,FALSE),
IF(AND(Investment_Strategy="Lifecycle",Investment_Strategy_Sub1="Standard"),VLOOKUP(Investment_Strategy&amp;"_"&amp;Investment_Strategy_Sub2&amp;"_"&amp;$A579,'Investment Strategies'!$AJ:$AV,11,FALSE),
IF(AND(Investment_Strategy="Autopilot",Investment_Strategy_Sub1="Non-Standard"),VLOOKUP(Investment_Strategy&amp;"_"&amp;Investment_Strategy_Sub2&amp;"_"&amp;$A579,'Investment Strategies'!$T:$AF,11,FALSE),
IF(Investment_Strategy="DIY",DIY_GteeChrge_SP,
"Error"))))))</f>
        <v>0</v>
      </c>
      <c r="N579" s="33">
        <f>IF($AV579=0,0,
IF(Investment_Strategy="DIS",VLOOKUP(Investment_Strategy&amp;"_"&amp;Investment_Strategy_Sub1&amp;"_"&amp;$A579,'Investment Strategies'!$AZ:$BP,17,FALSE),
IF(AND(Investment_Strategy="Lifecycle",Investment_Strategy_Sub1="Non-Standard"),VLOOKUP(Investment_Strategy&amp;"_"&amp;Investment_Strategy_Sub2&amp;"_"&amp;$A579,'Investment Strategies'!$C:$P,14,FALSE),
IF(AND(Investment_Strategy="Lifecycle",Investment_Strategy_Sub1="Standard"),VLOOKUP(Investment_Strategy&amp;"_"&amp;Investment_Strategy_Sub2&amp;"_"&amp;$A579,'Investment Strategies'!$AJ:$AV,13,FALSE),
IF(AND(Investment_Strategy="Autopilot",Investment_Strategy_Sub1="Non-Standard"),VLOOKUP(Investment_Strategy&amp;"_"&amp;Investment_Strategy_Sub2&amp;"_"&amp;$A579,'Investment Strategies'!$T:$AF,13,FALSE),
IF(Investment_Strategy="DIY",DIY_ExtManChrge_SP,
"Error"))))))</f>
        <v>0</v>
      </c>
      <c r="O579" s="16">
        <f t="shared" si="336"/>
        <v>0</v>
      </c>
      <c r="Q579" s="16">
        <f t="shared" si="313"/>
        <v>0</v>
      </c>
      <c r="R579" s="16">
        <f t="shared" si="310"/>
        <v>0</v>
      </c>
      <c r="S579" s="16">
        <f>(SRP_SP+SUM(S$91:S578))*L579*IF(D579=$A$91,SRP_finalmonthfactor,1)</f>
        <v>0</v>
      </c>
      <c r="T579" s="74">
        <f>MIN(IF($AV579=0,0,
IF(Investment_Strategy="DIS",VLOOKUP(Investment_Strategy&amp;"_"&amp;Investment_Strategy_Sub1&amp;"_"&amp;$A579,'Investment Strategies'!$AZ:$BP,12,FALSE),
IF(AND(Investment_Strategy="Lifecycle",Investment_Strategy_Sub1="Non-Standard"),VLOOKUP(Investment_Strategy&amp;"_"&amp;Investment_Strategy_Sub2&amp;"_"&amp;$A579,'Investment Strategies'!$C:$P,9,FALSE),
IF(AND(Investment_Strategy="Lifecycle",Investment_Strategy_Sub1="Standard"),VLOOKUP(Investment_Strategy&amp;"_"&amp;Investment_Strategy_Sub2&amp;"_"&amp;$A579,'Investment Strategies'!$AJ:$AV,8,FALSE),
IF(AND(Investment_Strategy="Autopilot",Investment_Strategy_Sub1="Non-Standard"),VLOOKUP(Investment_Strategy&amp;"_"&amp;Investment_Strategy_Sub2&amp;"_"&amp;$A579,'Investment Strategies'!$T:$AF,8,FALSE),
IF(Investment_Strategy ="DIY",DIY_RateOfReturn_FuturePremiums,
"Error")))))),Max_InvReturn)</f>
        <v>0</v>
      </c>
      <c r="U579" s="62">
        <f>IF($AV579=0,0,
IF(Investment_Strategy="DIS",VLOOKUP(Investment_Strategy&amp;"_"&amp;Investment_Strategy_Sub1&amp;"_"&amp;$A579,'Investment Strategies'!$AZ:$BP,15,FALSE),
IF(AND(Investment_Strategy="Lifecycle",Investment_Strategy_Sub1="Non-Standard"),VLOOKUP(Investment_Strategy&amp;"_"&amp;Investment_Strategy_Sub2&amp;"_"&amp;$A579,'Investment Strategies'!$C:$P,12,FALSE),
IF(AND(Investment_Strategy="Lifecycle",Investment_Strategy_Sub1="Standard"),VLOOKUP(Investment_Strategy&amp;"_"&amp;Investment_Strategy_Sub2&amp;"_"&amp;$A579,'Investment Strategies'!$AJ:$AV,11,FALSE),
IF(AND(Investment_Strategy="Autopilot",Investment_Strategy_Sub1="Non-Standard"),VLOOKUP(Investment_Strategy&amp;"_"&amp;Investment_Strategy_Sub2&amp;"_"&amp;$A579,'Investment Strategies'!$T:$AF,11,FALSE),
IF(Investment_Strategy="DIY",DIY_GteeChrge_FuturePremiums,
"Error"))))))</f>
        <v>0</v>
      </c>
      <c r="V579" s="33">
        <f>IF(AV579=0,0,
IF(Investment_Strategy="DIS",VLOOKUP(Investment_Strategy&amp;"_"&amp;Investment_Strategy_Sub1&amp;"_"&amp;$A579,'Investment Strategies'!$AZ:$BP,17,FALSE),
IF(AND(Investment_Strategy="Lifecycle",Investment_Strategy_Sub1="Non-Standard"),VLOOKUP(Investment_Strategy&amp;"_"&amp;Investment_Strategy_Sub2&amp;"_"&amp;$A579,'Investment Strategies'!$C:$P,14,FALSE),
IF(AND(Investment_Strategy="Lifecycle",Investment_Strategy_Sub1="Standard"),VLOOKUP(Investment_Strategy&amp;"_"&amp;Investment_Strategy_Sub2&amp;"_"&amp;$A579,'Investment Strategies'!$AJ:$AV,13,FALSE),
IF(AND(Investment_Strategy="Autopilot",Investment_Strategy_Sub1="Non-Standard"),VLOOKUP(Investment_Strategy&amp;"_"&amp;Investment_Strategy_Sub2&amp;"_"&amp;$A579,'Investment Strategies'!$T:$AF,13,FALSE),
IF(Investment_Strategy="DIY",DIY_ExtManChrge_FuturePremiums,
"Error"))))))</f>
        <v>0</v>
      </c>
      <c r="W579" s="16">
        <f t="shared" si="337"/>
        <v>0</v>
      </c>
      <c r="X579" s="16">
        <f t="shared" si="314"/>
        <v>0</v>
      </c>
      <c r="Y579" s="16">
        <f t="shared" si="315"/>
        <v>0</v>
      </c>
      <c r="Z579" s="31">
        <f t="shared" si="316"/>
        <v>0.02</v>
      </c>
      <c r="AA579" s="16">
        <f t="shared" si="317"/>
        <v>0</v>
      </c>
      <c r="AB579" s="28">
        <f t="shared" si="339"/>
        <v>0</v>
      </c>
      <c r="AC579" s="28">
        <f>(SUM($AC$91:AC578)+SUM($X$91:X578)+X579)*T579*IF(D579=$A$91,SRP_finalmonthfactor,1)</f>
        <v>0</v>
      </c>
      <c r="AD579" s="16">
        <f t="shared" si="318"/>
        <v>0</v>
      </c>
      <c r="AE579" s="106"/>
      <c r="AF579" s="16">
        <f t="shared" si="326"/>
        <v>0</v>
      </c>
      <c r="AG579" s="16">
        <f t="shared" si="327"/>
        <v>0</v>
      </c>
      <c r="AH579" s="16">
        <f t="shared" si="328"/>
        <v>0</v>
      </c>
      <c r="AJ579" s="13">
        <f t="shared" si="342"/>
        <v>0</v>
      </c>
      <c r="AK579" s="13">
        <f t="shared" si="342"/>
        <v>0</v>
      </c>
      <c r="AL579" s="13">
        <f t="shared" si="342"/>
        <v>0</v>
      </c>
      <c r="AM579" s="13">
        <f t="shared" si="342"/>
        <v>0</v>
      </c>
      <c r="AN579" s="13">
        <f t="shared" si="342"/>
        <v>0</v>
      </c>
      <c r="AO579" s="13">
        <f t="shared" si="342"/>
        <v>1</v>
      </c>
      <c r="AP579" s="13">
        <f t="shared" si="342"/>
        <v>1</v>
      </c>
      <c r="AQ579" s="13">
        <f t="shared" si="342"/>
        <v>1</v>
      </c>
      <c r="AR579" s="13">
        <f t="shared" si="342"/>
        <v>0</v>
      </c>
      <c r="AS579" s="13">
        <f t="shared" si="342"/>
        <v>0</v>
      </c>
      <c r="AT579" s="13">
        <f t="shared" si="342"/>
        <v>0</v>
      </c>
      <c r="AU579" s="13">
        <f t="shared" si="342"/>
        <v>0</v>
      </c>
      <c r="AV579" s="13">
        <f t="shared" si="319"/>
        <v>0</v>
      </c>
      <c r="AW579" s="13">
        <f t="shared" si="320"/>
        <v>1</v>
      </c>
      <c r="AY579" s="17">
        <f t="shared" si="321"/>
        <v>489</v>
      </c>
      <c r="AZ579" s="28">
        <f t="shared" si="329"/>
        <v>0</v>
      </c>
      <c r="BA579" s="13">
        <f t="shared" si="322"/>
        <v>0</v>
      </c>
      <c r="BB579" s="13">
        <f t="shared" si="323"/>
        <v>0</v>
      </c>
      <c r="BC579" s="28">
        <f t="shared" si="330"/>
        <v>0</v>
      </c>
      <c r="BD579" s="28">
        <f t="shared" si="331"/>
        <v>0</v>
      </c>
      <c r="BF579" s="248">
        <f t="shared" si="332"/>
        <v>993869.29442638322</v>
      </c>
    </row>
    <row r="580" spans="1:58">
      <c r="A580" s="32">
        <f t="shared" si="333"/>
        <v>-405</v>
      </c>
      <c r="B580" s="32">
        <f t="shared" si="324"/>
        <v>93</v>
      </c>
      <c r="C580" s="32">
        <f t="shared" si="334"/>
        <v>41</v>
      </c>
      <c r="D580" s="32">
        <f t="shared" si="335"/>
        <v>490</v>
      </c>
      <c r="E580" s="74">
        <f>MIN(IF(AV580=0,0,
IF(Investment_Strategy="DIS",VLOOKUP(Investment_Strategy&amp;"_"&amp;Investment_Strategy_Sub1&amp;"_"&amp;$A580,'Investment Strategies'!$AZ:$BP,12,FALSE),
IF(AND(Investment_Strategy="Lifecycle",Investment_Strategy_Sub1="Non-Standard"),VLOOKUP(Investment_Strategy&amp;"_"&amp;Investment_Strategy_Sub2&amp;"_"&amp;$A580,'Investment Strategies'!$C:$P,9,FALSE),
IF(AND(Investment_Strategy="Lifecycle",Investment_Strategy_Sub1="Standard"),VLOOKUP(Investment_Strategy&amp;"_"&amp;Investment_Strategy_Sub2&amp;"_"&amp;$A580,'Investment Strategies'!$AJ:$AV,8,FALSE),
IF(AND(Investment_Strategy="Autopilot",Investment_Strategy_Sub1="Non-Standard"),VLOOKUP(Investment_Strategy&amp;"_"&amp;Investment_Strategy_Sub2&amp;"_"&amp;$A580,'Investment Strategies'!$T:$AF,8,FALSE),
IF(Investment_Strategy ="DIY",DIY_RateOfReturn_CurrentFunds,
"Error")))))),Max_InvReturn)</f>
        <v>0</v>
      </c>
      <c r="F580" s="62">
        <f>IF(AV580=0,0,
IF(Investment_Strategy="DIS",VLOOKUP(Investment_Strategy&amp;"_"&amp;Investment_Strategy_Sub1&amp;"_"&amp;$A580,'Investment Strategies'!$AZ:$BP,15,FALSE),
IF(AND(Investment_Strategy="Lifecycle",Investment_Strategy_Sub1="Non-Standard"),VLOOKUP(Investment_Strategy&amp;"_"&amp;Investment_Strategy_Sub2&amp;"_"&amp;$A580,'Investment Strategies'!$C:$P,12,FALSE),
IF(AND(Investment_Strategy="Lifecycle",Investment_Strategy_Sub1="Standard"),VLOOKUP(Investment_Strategy&amp;"_"&amp;Investment_Strategy_Sub2&amp;"_"&amp;$A580,'Investment Strategies'!$AJ:$AV,11,FALSE),
IF(AND(Investment_Strategy="Autopilot",Investment_Strategy_Sub1="Non-Standard"),VLOOKUP(Investment_Strategy&amp;"_"&amp;Investment_Strategy_Sub2&amp;"_"&amp;$A580,'Investment Strategies'!$T:$AF,11,FALSE),
IF(Investment_Strategy="DIY",DIY_GteeChrge_CurrentFunds,
"Error"))))))</f>
        <v>0</v>
      </c>
      <c r="G580" s="33">
        <f>IF(AV580=0,0,
IF(Investment_Strategy="DIS",VLOOKUP(Investment_Strategy&amp;"_"&amp;Investment_Strategy_Sub1&amp;"_"&amp;$A580,'Investment Strategies'!$AZ:$BP,17,FALSE),
IF(AND(Investment_Strategy="Lifecycle",Investment_Strategy_Sub1="Non-Standard"),VLOOKUP(Investment_Strategy&amp;"_"&amp;Investment_Strategy_Sub2&amp;"_"&amp;$A580,'Investment Strategies'!$C:$P,14,FALSE),
IF(AND(Investment_Strategy="Lifecycle",Investment_Strategy_Sub1="Standard"),VLOOKUP(Investment_Strategy&amp;"_"&amp;Investment_Strategy_Sub2&amp;"_"&amp;$A580,'Investment Strategies'!$AJ:$AV,13,FALSE),
IF(AND(Investment_Strategy="Autopilot",Investment_Strategy_Sub1="Non-Standard"),VLOOKUP(Investment_Strategy&amp;"_"&amp;Investment_Strategy_Sub2&amp;"_"&amp;$A580,'Investment Strategies'!$T:$AF,13,FALSE),
IF(Investment_Strategy="DIY",DIY_ExtManChrge_CurrentFunds,
"Error"))))))</f>
        <v>0</v>
      </c>
      <c r="H580" s="16">
        <f t="shared" si="325"/>
        <v>0</v>
      </c>
      <c r="I580" s="16">
        <f t="shared" si="311"/>
        <v>0</v>
      </c>
      <c r="J580" s="16">
        <f t="shared" si="312"/>
        <v>0</v>
      </c>
      <c r="K580" s="16">
        <f>(Opening_Fund_Value+SUM(K$91:K579))*E580*IF(D580=$A$91,SRP_finalmonthfactor,1)</f>
        <v>0</v>
      </c>
      <c r="L580" s="74">
        <f>MIN(IF($AV580=0,0,
IF(Investment_Strategy="DIS",VLOOKUP(Investment_Strategy&amp;"_"&amp;Investment_Strategy_Sub1&amp;"_"&amp;$A580,'Investment Strategies'!$AZ:$BP,12,FALSE),
IF(AND(Investment_Strategy="Lifecycle",Investment_Strategy_Sub1="Non-Standard"),VLOOKUP(Investment_Strategy&amp;"_"&amp;Investment_Strategy_Sub2&amp;"_"&amp;$A580,'Investment Strategies'!$C:$P,9,FALSE),
IF(AND(Investment_Strategy="Lifecycle",Investment_Strategy_Sub1="Standard"),VLOOKUP(Investment_Strategy&amp;"_"&amp;Investment_Strategy_Sub2&amp;"_"&amp;$A580,'Investment Strategies'!$AJ:$AV,8,FALSE),
IF(AND(Investment_Strategy="Autopilot",Investment_Strategy_Sub1="Non-Standard"),VLOOKUP(Investment_Strategy&amp;"_"&amp;Investment_Strategy_Sub2&amp;"_"&amp;$A580,'Investment Strategies'!$T:$AF,8,FALSE),
IF(Investment_Strategy ="DIY",DIY_RateofReturn_SP,
"Error")))))),Max_InvReturn)</f>
        <v>0</v>
      </c>
      <c r="M580" s="62">
        <f>IF($AV580=0,0,
IF(Investment_Strategy="DIS",VLOOKUP(Investment_Strategy&amp;"_"&amp;Investment_Strategy_Sub1&amp;"_"&amp;$A580,'Investment Strategies'!$AZ:$BP,15,FALSE),
IF(AND(Investment_Strategy="Lifecycle",Investment_Strategy_Sub1="Non-Standard"),VLOOKUP(Investment_Strategy&amp;"_"&amp;Investment_Strategy_Sub2&amp;"_"&amp;$A580,'Investment Strategies'!$C:$P,12,FALSE),
IF(AND(Investment_Strategy="Lifecycle",Investment_Strategy_Sub1="Standard"),VLOOKUP(Investment_Strategy&amp;"_"&amp;Investment_Strategy_Sub2&amp;"_"&amp;$A580,'Investment Strategies'!$AJ:$AV,11,FALSE),
IF(AND(Investment_Strategy="Autopilot",Investment_Strategy_Sub1="Non-Standard"),VLOOKUP(Investment_Strategy&amp;"_"&amp;Investment_Strategy_Sub2&amp;"_"&amp;$A580,'Investment Strategies'!$T:$AF,11,FALSE),
IF(Investment_Strategy="DIY",DIY_GteeChrge_SP,
"Error"))))))</f>
        <v>0</v>
      </c>
      <c r="N580" s="33">
        <f>IF($AV580=0,0,
IF(Investment_Strategy="DIS",VLOOKUP(Investment_Strategy&amp;"_"&amp;Investment_Strategy_Sub1&amp;"_"&amp;$A580,'Investment Strategies'!$AZ:$BP,17,FALSE),
IF(AND(Investment_Strategy="Lifecycle",Investment_Strategy_Sub1="Non-Standard"),VLOOKUP(Investment_Strategy&amp;"_"&amp;Investment_Strategy_Sub2&amp;"_"&amp;$A580,'Investment Strategies'!$C:$P,14,FALSE),
IF(AND(Investment_Strategy="Lifecycle",Investment_Strategy_Sub1="Standard"),VLOOKUP(Investment_Strategy&amp;"_"&amp;Investment_Strategy_Sub2&amp;"_"&amp;$A580,'Investment Strategies'!$AJ:$AV,13,FALSE),
IF(AND(Investment_Strategy="Autopilot",Investment_Strategy_Sub1="Non-Standard"),VLOOKUP(Investment_Strategy&amp;"_"&amp;Investment_Strategy_Sub2&amp;"_"&amp;$A580,'Investment Strategies'!$T:$AF,13,FALSE),
IF(Investment_Strategy="DIY",DIY_ExtManChrge_SP,
"Error"))))))</f>
        <v>0</v>
      </c>
      <c r="O580" s="16">
        <f t="shared" si="336"/>
        <v>0</v>
      </c>
      <c r="Q580" s="16">
        <f t="shared" si="313"/>
        <v>0</v>
      </c>
      <c r="R580" s="16">
        <f t="shared" si="310"/>
        <v>0</v>
      </c>
      <c r="S580" s="16">
        <f>(SRP_SP+SUM(S$91:S579))*L580*IF(D580=$A$91,SRP_finalmonthfactor,1)</f>
        <v>0</v>
      </c>
      <c r="T580" s="74">
        <f>MIN(IF($AV580=0,0,
IF(Investment_Strategy="DIS",VLOOKUP(Investment_Strategy&amp;"_"&amp;Investment_Strategy_Sub1&amp;"_"&amp;$A580,'Investment Strategies'!$AZ:$BP,12,FALSE),
IF(AND(Investment_Strategy="Lifecycle",Investment_Strategy_Sub1="Non-Standard"),VLOOKUP(Investment_Strategy&amp;"_"&amp;Investment_Strategy_Sub2&amp;"_"&amp;$A580,'Investment Strategies'!$C:$P,9,FALSE),
IF(AND(Investment_Strategy="Lifecycle",Investment_Strategy_Sub1="Standard"),VLOOKUP(Investment_Strategy&amp;"_"&amp;Investment_Strategy_Sub2&amp;"_"&amp;$A580,'Investment Strategies'!$AJ:$AV,8,FALSE),
IF(AND(Investment_Strategy="Autopilot",Investment_Strategy_Sub1="Non-Standard"),VLOOKUP(Investment_Strategy&amp;"_"&amp;Investment_Strategy_Sub2&amp;"_"&amp;$A580,'Investment Strategies'!$T:$AF,8,FALSE),
IF(Investment_Strategy ="DIY",DIY_RateOfReturn_FuturePremiums,
"Error")))))),Max_InvReturn)</f>
        <v>0</v>
      </c>
      <c r="U580" s="62">
        <f>IF($AV580=0,0,
IF(Investment_Strategy="DIS",VLOOKUP(Investment_Strategy&amp;"_"&amp;Investment_Strategy_Sub1&amp;"_"&amp;$A580,'Investment Strategies'!$AZ:$BP,15,FALSE),
IF(AND(Investment_Strategy="Lifecycle",Investment_Strategy_Sub1="Non-Standard"),VLOOKUP(Investment_Strategy&amp;"_"&amp;Investment_Strategy_Sub2&amp;"_"&amp;$A580,'Investment Strategies'!$C:$P,12,FALSE),
IF(AND(Investment_Strategy="Lifecycle",Investment_Strategy_Sub1="Standard"),VLOOKUP(Investment_Strategy&amp;"_"&amp;Investment_Strategy_Sub2&amp;"_"&amp;$A580,'Investment Strategies'!$AJ:$AV,11,FALSE),
IF(AND(Investment_Strategy="Autopilot",Investment_Strategy_Sub1="Non-Standard"),VLOOKUP(Investment_Strategy&amp;"_"&amp;Investment_Strategy_Sub2&amp;"_"&amp;$A580,'Investment Strategies'!$T:$AF,11,FALSE),
IF(Investment_Strategy="DIY",DIY_GteeChrge_FuturePremiums,
"Error"))))))</f>
        <v>0</v>
      </c>
      <c r="V580" s="33">
        <f>IF(AV580=0,0,
IF(Investment_Strategy="DIS",VLOOKUP(Investment_Strategy&amp;"_"&amp;Investment_Strategy_Sub1&amp;"_"&amp;$A580,'Investment Strategies'!$AZ:$BP,17,FALSE),
IF(AND(Investment_Strategy="Lifecycle",Investment_Strategy_Sub1="Non-Standard"),VLOOKUP(Investment_Strategy&amp;"_"&amp;Investment_Strategy_Sub2&amp;"_"&amp;$A580,'Investment Strategies'!$C:$P,14,FALSE),
IF(AND(Investment_Strategy="Lifecycle",Investment_Strategy_Sub1="Standard"),VLOOKUP(Investment_Strategy&amp;"_"&amp;Investment_Strategy_Sub2&amp;"_"&amp;$A580,'Investment Strategies'!$AJ:$AV,13,FALSE),
IF(AND(Investment_Strategy="Autopilot",Investment_Strategy_Sub1="Non-Standard"),VLOOKUP(Investment_Strategy&amp;"_"&amp;Investment_Strategy_Sub2&amp;"_"&amp;$A580,'Investment Strategies'!$T:$AF,13,FALSE),
IF(Investment_Strategy="DIY",DIY_ExtManChrge_FuturePremiums,
"Error"))))))</f>
        <v>0</v>
      </c>
      <c r="W580" s="16">
        <f t="shared" si="337"/>
        <v>0</v>
      </c>
      <c r="X580" s="16">
        <f t="shared" si="314"/>
        <v>0</v>
      </c>
      <c r="Y580" s="16">
        <f t="shared" si="315"/>
        <v>0</v>
      </c>
      <c r="Z580" s="31">
        <f t="shared" si="316"/>
        <v>0.02</v>
      </c>
      <c r="AA580" s="16">
        <f t="shared" si="317"/>
        <v>0</v>
      </c>
      <c r="AB580" s="28">
        <f t="shared" si="339"/>
        <v>0</v>
      </c>
      <c r="AC580" s="28">
        <f>(SUM($AC$91:AC579)+SUM($X$91:X579)+X580)*T580*IF(D580=$A$91,SRP_finalmonthfactor,1)</f>
        <v>0</v>
      </c>
      <c r="AD580" s="16">
        <f t="shared" si="318"/>
        <v>0</v>
      </c>
      <c r="AE580" s="106"/>
      <c r="AF580" s="16">
        <f t="shared" si="326"/>
        <v>0</v>
      </c>
      <c r="AG580" s="16">
        <f t="shared" si="327"/>
        <v>0</v>
      </c>
      <c r="AH580" s="16">
        <f t="shared" si="328"/>
        <v>0</v>
      </c>
      <c r="AJ580" s="13">
        <f t="shared" si="342"/>
        <v>0</v>
      </c>
      <c r="AK580" s="13">
        <f t="shared" si="342"/>
        <v>0</v>
      </c>
      <c r="AL580" s="13">
        <f t="shared" si="342"/>
        <v>0</v>
      </c>
      <c r="AM580" s="13">
        <f t="shared" si="342"/>
        <v>0</v>
      </c>
      <c r="AN580" s="13">
        <f t="shared" si="342"/>
        <v>0</v>
      </c>
      <c r="AO580" s="13">
        <f t="shared" si="342"/>
        <v>1</v>
      </c>
      <c r="AP580" s="13">
        <f t="shared" si="342"/>
        <v>1</v>
      </c>
      <c r="AQ580" s="13">
        <f t="shared" si="342"/>
        <v>1</v>
      </c>
      <c r="AR580" s="13">
        <f t="shared" si="342"/>
        <v>0</v>
      </c>
      <c r="AS580" s="13">
        <f t="shared" si="342"/>
        <v>0</v>
      </c>
      <c r="AT580" s="13">
        <f t="shared" si="342"/>
        <v>0</v>
      </c>
      <c r="AU580" s="13">
        <f t="shared" si="342"/>
        <v>0</v>
      </c>
      <c r="AV580" s="13">
        <f t="shared" si="319"/>
        <v>0</v>
      </c>
      <c r="AW580" s="13">
        <f t="shared" si="320"/>
        <v>1</v>
      </c>
      <c r="AY580" s="17">
        <f t="shared" si="321"/>
        <v>490</v>
      </c>
      <c r="AZ580" s="28">
        <f t="shared" si="329"/>
        <v>0</v>
      </c>
      <c r="BA580" s="13">
        <f t="shared" si="322"/>
        <v>0</v>
      </c>
      <c r="BB580" s="13">
        <f t="shared" si="323"/>
        <v>0</v>
      </c>
      <c r="BC580" s="28">
        <f t="shared" si="330"/>
        <v>0</v>
      </c>
      <c r="BD580" s="28">
        <f t="shared" si="331"/>
        <v>0</v>
      </c>
      <c r="BF580" s="248">
        <f t="shared" si="332"/>
        <v>993869.29442638322</v>
      </c>
    </row>
    <row r="581" spans="1:58">
      <c r="A581" s="32">
        <f t="shared" si="333"/>
        <v>-406</v>
      </c>
      <c r="B581" s="32">
        <f t="shared" si="324"/>
        <v>93</v>
      </c>
      <c r="C581" s="32">
        <f t="shared" si="334"/>
        <v>41</v>
      </c>
      <c r="D581" s="32">
        <f t="shared" si="335"/>
        <v>491</v>
      </c>
      <c r="E581" s="74">
        <f>MIN(IF(AV581=0,0,
IF(Investment_Strategy="DIS",VLOOKUP(Investment_Strategy&amp;"_"&amp;Investment_Strategy_Sub1&amp;"_"&amp;$A581,'Investment Strategies'!$AZ:$BP,12,FALSE),
IF(AND(Investment_Strategy="Lifecycle",Investment_Strategy_Sub1="Non-Standard"),VLOOKUP(Investment_Strategy&amp;"_"&amp;Investment_Strategy_Sub2&amp;"_"&amp;$A581,'Investment Strategies'!$C:$P,9,FALSE),
IF(AND(Investment_Strategy="Lifecycle",Investment_Strategy_Sub1="Standard"),VLOOKUP(Investment_Strategy&amp;"_"&amp;Investment_Strategy_Sub2&amp;"_"&amp;$A581,'Investment Strategies'!$AJ:$AV,8,FALSE),
IF(AND(Investment_Strategy="Autopilot",Investment_Strategy_Sub1="Non-Standard"),VLOOKUP(Investment_Strategy&amp;"_"&amp;Investment_Strategy_Sub2&amp;"_"&amp;$A581,'Investment Strategies'!$T:$AF,8,FALSE),
IF(Investment_Strategy ="DIY",DIY_RateOfReturn_CurrentFunds,
"Error")))))),Max_InvReturn)</f>
        <v>0</v>
      </c>
      <c r="F581" s="62">
        <f>IF(AV581=0,0,
IF(Investment_Strategy="DIS",VLOOKUP(Investment_Strategy&amp;"_"&amp;Investment_Strategy_Sub1&amp;"_"&amp;$A581,'Investment Strategies'!$AZ:$BP,15,FALSE),
IF(AND(Investment_Strategy="Lifecycle",Investment_Strategy_Sub1="Non-Standard"),VLOOKUP(Investment_Strategy&amp;"_"&amp;Investment_Strategy_Sub2&amp;"_"&amp;$A581,'Investment Strategies'!$C:$P,12,FALSE),
IF(AND(Investment_Strategy="Lifecycle",Investment_Strategy_Sub1="Standard"),VLOOKUP(Investment_Strategy&amp;"_"&amp;Investment_Strategy_Sub2&amp;"_"&amp;$A581,'Investment Strategies'!$AJ:$AV,11,FALSE),
IF(AND(Investment_Strategy="Autopilot",Investment_Strategy_Sub1="Non-Standard"),VLOOKUP(Investment_Strategy&amp;"_"&amp;Investment_Strategy_Sub2&amp;"_"&amp;$A581,'Investment Strategies'!$T:$AF,11,FALSE),
IF(Investment_Strategy="DIY",DIY_GteeChrge_CurrentFunds,
"Error"))))))</f>
        <v>0</v>
      </c>
      <c r="G581" s="33">
        <f>IF(AV581=0,0,
IF(Investment_Strategy="DIS",VLOOKUP(Investment_Strategy&amp;"_"&amp;Investment_Strategy_Sub1&amp;"_"&amp;$A581,'Investment Strategies'!$AZ:$BP,17,FALSE),
IF(AND(Investment_Strategy="Lifecycle",Investment_Strategy_Sub1="Non-Standard"),VLOOKUP(Investment_Strategy&amp;"_"&amp;Investment_Strategy_Sub2&amp;"_"&amp;$A581,'Investment Strategies'!$C:$P,14,FALSE),
IF(AND(Investment_Strategy="Lifecycle",Investment_Strategy_Sub1="Standard"),VLOOKUP(Investment_Strategy&amp;"_"&amp;Investment_Strategy_Sub2&amp;"_"&amp;$A581,'Investment Strategies'!$AJ:$AV,13,FALSE),
IF(AND(Investment_Strategy="Autopilot",Investment_Strategy_Sub1="Non-Standard"),VLOOKUP(Investment_Strategy&amp;"_"&amp;Investment_Strategy_Sub2&amp;"_"&amp;$A581,'Investment Strategies'!$T:$AF,13,FALSE),
IF(Investment_Strategy="DIY",DIY_ExtManChrge_CurrentFunds,
"Error"))))))</f>
        <v>0</v>
      </c>
      <c r="H581" s="16">
        <f t="shared" si="325"/>
        <v>0</v>
      </c>
      <c r="I581" s="16">
        <f t="shared" si="311"/>
        <v>0</v>
      </c>
      <c r="J581" s="16">
        <f t="shared" si="312"/>
        <v>0</v>
      </c>
      <c r="K581" s="16">
        <f>(Opening_Fund_Value+SUM(K$91:K580))*E581*IF(D581=$A$91,SRP_finalmonthfactor,1)</f>
        <v>0</v>
      </c>
      <c r="L581" s="74">
        <f>MIN(IF($AV581=0,0,
IF(Investment_Strategy="DIS",VLOOKUP(Investment_Strategy&amp;"_"&amp;Investment_Strategy_Sub1&amp;"_"&amp;$A581,'Investment Strategies'!$AZ:$BP,12,FALSE),
IF(AND(Investment_Strategy="Lifecycle",Investment_Strategy_Sub1="Non-Standard"),VLOOKUP(Investment_Strategy&amp;"_"&amp;Investment_Strategy_Sub2&amp;"_"&amp;$A581,'Investment Strategies'!$C:$P,9,FALSE),
IF(AND(Investment_Strategy="Lifecycle",Investment_Strategy_Sub1="Standard"),VLOOKUP(Investment_Strategy&amp;"_"&amp;Investment_Strategy_Sub2&amp;"_"&amp;$A581,'Investment Strategies'!$AJ:$AV,8,FALSE),
IF(AND(Investment_Strategy="Autopilot",Investment_Strategy_Sub1="Non-Standard"),VLOOKUP(Investment_Strategy&amp;"_"&amp;Investment_Strategy_Sub2&amp;"_"&amp;$A581,'Investment Strategies'!$T:$AF,8,FALSE),
IF(Investment_Strategy ="DIY",DIY_RateofReturn_SP,
"Error")))))),Max_InvReturn)</f>
        <v>0</v>
      </c>
      <c r="M581" s="62">
        <f>IF($AV581=0,0,
IF(Investment_Strategy="DIS",VLOOKUP(Investment_Strategy&amp;"_"&amp;Investment_Strategy_Sub1&amp;"_"&amp;$A581,'Investment Strategies'!$AZ:$BP,15,FALSE),
IF(AND(Investment_Strategy="Lifecycle",Investment_Strategy_Sub1="Non-Standard"),VLOOKUP(Investment_Strategy&amp;"_"&amp;Investment_Strategy_Sub2&amp;"_"&amp;$A581,'Investment Strategies'!$C:$P,12,FALSE),
IF(AND(Investment_Strategy="Lifecycle",Investment_Strategy_Sub1="Standard"),VLOOKUP(Investment_Strategy&amp;"_"&amp;Investment_Strategy_Sub2&amp;"_"&amp;$A581,'Investment Strategies'!$AJ:$AV,11,FALSE),
IF(AND(Investment_Strategy="Autopilot",Investment_Strategy_Sub1="Non-Standard"),VLOOKUP(Investment_Strategy&amp;"_"&amp;Investment_Strategy_Sub2&amp;"_"&amp;$A581,'Investment Strategies'!$T:$AF,11,FALSE),
IF(Investment_Strategy="DIY",DIY_GteeChrge_SP,
"Error"))))))</f>
        <v>0</v>
      </c>
      <c r="N581" s="33">
        <f>IF($AV581=0,0,
IF(Investment_Strategy="DIS",VLOOKUP(Investment_Strategy&amp;"_"&amp;Investment_Strategy_Sub1&amp;"_"&amp;$A581,'Investment Strategies'!$AZ:$BP,17,FALSE),
IF(AND(Investment_Strategy="Lifecycle",Investment_Strategy_Sub1="Non-Standard"),VLOOKUP(Investment_Strategy&amp;"_"&amp;Investment_Strategy_Sub2&amp;"_"&amp;$A581,'Investment Strategies'!$C:$P,14,FALSE),
IF(AND(Investment_Strategy="Lifecycle",Investment_Strategy_Sub1="Standard"),VLOOKUP(Investment_Strategy&amp;"_"&amp;Investment_Strategy_Sub2&amp;"_"&amp;$A581,'Investment Strategies'!$AJ:$AV,13,FALSE),
IF(AND(Investment_Strategy="Autopilot",Investment_Strategy_Sub1="Non-Standard"),VLOOKUP(Investment_Strategy&amp;"_"&amp;Investment_Strategy_Sub2&amp;"_"&amp;$A581,'Investment Strategies'!$T:$AF,13,FALSE),
IF(Investment_Strategy="DIY",DIY_ExtManChrge_SP,
"Error"))))))</f>
        <v>0</v>
      </c>
      <c r="O581" s="16">
        <f t="shared" si="336"/>
        <v>0</v>
      </c>
      <c r="Q581" s="16">
        <f t="shared" si="313"/>
        <v>0</v>
      </c>
      <c r="R581" s="16">
        <f t="shared" si="310"/>
        <v>0</v>
      </c>
      <c r="S581" s="16">
        <f>(SRP_SP+SUM(S$91:S580))*L581*IF(D581=$A$91,SRP_finalmonthfactor,1)</f>
        <v>0</v>
      </c>
      <c r="T581" s="74">
        <f>MIN(IF($AV581=0,0,
IF(Investment_Strategy="DIS",VLOOKUP(Investment_Strategy&amp;"_"&amp;Investment_Strategy_Sub1&amp;"_"&amp;$A581,'Investment Strategies'!$AZ:$BP,12,FALSE),
IF(AND(Investment_Strategy="Lifecycle",Investment_Strategy_Sub1="Non-Standard"),VLOOKUP(Investment_Strategy&amp;"_"&amp;Investment_Strategy_Sub2&amp;"_"&amp;$A581,'Investment Strategies'!$C:$P,9,FALSE),
IF(AND(Investment_Strategy="Lifecycle",Investment_Strategy_Sub1="Standard"),VLOOKUP(Investment_Strategy&amp;"_"&amp;Investment_Strategy_Sub2&amp;"_"&amp;$A581,'Investment Strategies'!$AJ:$AV,8,FALSE),
IF(AND(Investment_Strategy="Autopilot",Investment_Strategy_Sub1="Non-Standard"),VLOOKUP(Investment_Strategy&amp;"_"&amp;Investment_Strategy_Sub2&amp;"_"&amp;$A581,'Investment Strategies'!$T:$AF,8,FALSE),
IF(Investment_Strategy ="DIY",DIY_RateOfReturn_FuturePremiums,
"Error")))))),Max_InvReturn)</f>
        <v>0</v>
      </c>
      <c r="U581" s="62">
        <f>IF($AV581=0,0,
IF(Investment_Strategy="DIS",VLOOKUP(Investment_Strategy&amp;"_"&amp;Investment_Strategy_Sub1&amp;"_"&amp;$A581,'Investment Strategies'!$AZ:$BP,15,FALSE),
IF(AND(Investment_Strategy="Lifecycle",Investment_Strategy_Sub1="Non-Standard"),VLOOKUP(Investment_Strategy&amp;"_"&amp;Investment_Strategy_Sub2&amp;"_"&amp;$A581,'Investment Strategies'!$C:$P,12,FALSE),
IF(AND(Investment_Strategy="Lifecycle",Investment_Strategy_Sub1="Standard"),VLOOKUP(Investment_Strategy&amp;"_"&amp;Investment_Strategy_Sub2&amp;"_"&amp;$A581,'Investment Strategies'!$AJ:$AV,11,FALSE),
IF(AND(Investment_Strategy="Autopilot",Investment_Strategy_Sub1="Non-Standard"),VLOOKUP(Investment_Strategy&amp;"_"&amp;Investment_Strategy_Sub2&amp;"_"&amp;$A581,'Investment Strategies'!$T:$AF,11,FALSE),
IF(Investment_Strategy="DIY",DIY_GteeChrge_FuturePremiums,
"Error"))))))</f>
        <v>0</v>
      </c>
      <c r="V581" s="33">
        <f>IF(AV581=0,0,
IF(Investment_Strategy="DIS",VLOOKUP(Investment_Strategy&amp;"_"&amp;Investment_Strategy_Sub1&amp;"_"&amp;$A581,'Investment Strategies'!$AZ:$BP,17,FALSE),
IF(AND(Investment_Strategy="Lifecycle",Investment_Strategy_Sub1="Non-Standard"),VLOOKUP(Investment_Strategy&amp;"_"&amp;Investment_Strategy_Sub2&amp;"_"&amp;$A581,'Investment Strategies'!$C:$P,14,FALSE),
IF(AND(Investment_Strategy="Lifecycle",Investment_Strategy_Sub1="Standard"),VLOOKUP(Investment_Strategy&amp;"_"&amp;Investment_Strategy_Sub2&amp;"_"&amp;$A581,'Investment Strategies'!$AJ:$AV,13,FALSE),
IF(AND(Investment_Strategy="Autopilot",Investment_Strategy_Sub1="Non-Standard"),VLOOKUP(Investment_Strategy&amp;"_"&amp;Investment_Strategy_Sub2&amp;"_"&amp;$A581,'Investment Strategies'!$T:$AF,13,FALSE),
IF(Investment_Strategy="DIY",DIY_ExtManChrge_FuturePremiums,
"Error"))))))</f>
        <v>0</v>
      </c>
      <c r="W581" s="16">
        <f t="shared" si="337"/>
        <v>0</v>
      </c>
      <c r="X581" s="16">
        <f t="shared" si="314"/>
        <v>0</v>
      </c>
      <c r="Y581" s="16">
        <f t="shared" si="315"/>
        <v>0</v>
      </c>
      <c r="Z581" s="31">
        <f t="shared" si="316"/>
        <v>0.02</v>
      </c>
      <c r="AA581" s="16">
        <f t="shared" si="317"/>
        <v>0</v>
      </c>
      <c r="AB581" s="28">
        <f t="shared" si="339"/>
        <v>0</v>
      </c>
      <c r="AC581" s="28">
        <f>(SUM($AC$91:AC580)+SUM($X$91:X580)+X581)*T581*IF(D581=$A$91,SRP_finalmonthfactor,1)</f>
        <v>0</v>
      </c>
      <c r="AD581" s="16">
        <f t="shared" si="318"/>
        <v>0</v>
      </c>
      <c r="AE581" s="106"/>
      <c r="AF581" s="16">
        <f t="shared" si="326"/>
        <v>0</v>
      </c>
      <c r="AG581" s="16">
        <f t="shared" si="327"/>
        <v>0</v>
      </c>
      <c r="AH581" s="16">
        <f t="shared" si="328"/>
        <v>0</v>
      </c>
      <c r="AJ581" s="13">
        <f t="shared" ref="AJ581:AU590" si="343">IF($C581&lt;=AJ$90,1,0)</f>
        <v>0</v>
      </c>
      <c r="AK581" s="13">
        <f t="shared" si="343"/>
        <v>0</v>
      </c>
      <c r="AL581" s="13">
        <f t="shared" si="343"/>
        <v>0</v>
      </c>
      <c r="AM581" s="13">
        <f t="shared" si="343"/>
        <v>0</v>
      </c>
      <c r="AN581" s="13">
        <f t="shared" si="343"/>
        <v>0</v>
      </c>
      <c r="AO581" s="13">
        <f t="shared" si="343"/>
        <v>1</v>
      </c>
      <c r="AP581" s="13">
        <f t="shared" si="343"/>
        <v>1</v>
      </c>
      <c r="AQ581" s="13">
        <f t="shared" si="343"/>
        <v>1</v>
      </c>
      <c r="AR581" s="13">
        <f t="shared" si="343"/>
        <v>0</v>
      </c>
      <c r="AS581" s="13">
        <f t="shared" si="343"/>
        <v>0</v>
      </c>
      <c r="AT581" s="13">
        <f t="shared" si="343"/>
        <v>0</v>
      </c>
      <c r="AU581" s="13">
        <f t="shared" si="343"/>
        <v>0</v>
      </c>
      <c r="AV581" s="13">
        <f t="shared" si="319"/>
        <v>0</v>
      </c>
      <c r="AW581" s="13">
        <f t="shared" si="320"/>
        <v>1</v>
      </c>
      <c r="AY581" s="17">
        <f t="shared" si="321"/>
        <v>491</v>
      </c>
      <c r="AZ581" s="28">
        <f t="shared" si="329"/>
        <v>0</v>
      </c>
      <c r="BA581" s="13">
        <f t="shared" si="322"/>
        <v>0</v>
      </c>
      <c r="BB581" s="13">
        <f t="shared" si="323"/>
        <v>0</v>
      </c>
      <c r="BC581" s="28">
        <f t="shared" si="330"/>
        <v>0</v>
      </c>
      <c r="BD581" s="28">
        <f t="shared" si="331"/>
        <v>0</v>
      </c>
      <c r="BF581" s="248">
        <f t="shared" si="332"/>
        <v>993869.29442638322</v>
      </c>
    </row>
    <row r="582" spans="1:58">
      <c r="A582" s="32">
        <f t="shared" si="333"/>
        <v>-407</v>
      </c>
      <c r="B582" s="32">
        <f t="shared" si="324"/>
        <v>93</v>
      </c>
      <c r="C582" s="32">
        <f t="shared" si="334"/>
        <v>41</v>
      </c>
      <c r="D582" s="32">
        <f t="shared" si="335"/>
        <v>492</v>
      </c>
      <c r="E582" s="74">
        <f>MIN(IF(AV582=0,0,
IF(Investment_Strategy="DIS",VLOOKUP(Investment_Strategy&amp;"_"&amp;Investment_Strategy_Sub1&amp;"_"&amp;$A582,'Investment Strategies'!$AZ:$BP,12,FALSE),
IF(AND(Investment_Strategy="Lifecycle",Investment_Strategy_Sub1="Non-Standard"),VLOOKUP(Investment_Strategy&amp;"_"&amp;Investment_Strategy_Sub2&amp;"_"&amp;$A582,'Investment Strategies'!$C:$P,9,FALSE),
IF(AND(Investment_Strategy="Lifecycle",Investment_Strategy_Sub1="Standard"),VLOOKUP(Investment_Strategy&amp;"_"&amp;Investment_Strategy_Sub2&amp;"_"&amp;$A582,'Investment Strategies'!$AJ:$AV,8,FALSE),
IF(AND(Investment_Strategy="Autopilot",Investment_Strategy_Sub1="Non-Standard"),VLOOKUP(Investment_Strategy&amp;"_"&amp;Investment_Strategy_Sub2&amp;"_"&amp;$A582,'Investment Strategies'!$T:$AF,8,FALSE),
IF(Investment_Strategy ="DIY",DIY_RateOfReturn_CurrentFunds,
"Error")))))),Max_InvReturn)</f>
        <v>0</v>
      </c>
      <c r="F582" s="62">
        <f>IF(AV582=0,0,
IF(Investment_Strategy="DIS",VLOOKUP(Investment_Strategy&amp;"_"&amp;Investment_Strategy_Sub1&amp;"_"&amp;$A582,'Investment Strategies'!$AZ:$BP,15,FALSE),
IF(AND(Investment_Strategy="Lifecycle",Investment_Strategy_Sub1="Non-Standard"),VLOOKUP(Investment_Strategy&amp;"_"&amp;Investment_Strategy_Sub2&amp;"_"&amp;$A582,'Investment Strategies'!$C:$P,12,FALSE),
IF(AND(Investment_Strategy="Lifecycle",Investment_Strategy_Sub1="Standard"),VLOOKUP(Investment_Strategy&amp;"_"&amp;Investment_Strategy_Sub2&amp;"_"&amp;$A582,'Investment Strategies'!$AJ:$AV,11,FALSE),
IF(AND(Investment_Strategy="Autopilot",Investment_Strategy_Sub1="Non-Standard"),VLOOKUP(Investment_Strategy&amp;"_"&amp;Investment_Strategy_Sub2&amp;"_"&amp;$A582,'Investment Strategies'!$T:$AF,11,FALSE),
IF(Investment_Strategy="DIY",DIY_GteeChrge_CurrentFunds,
"Error"))))))</f>
        <v>0</v>
      </c>
      <c r="G582" s="33">
        <f>IF(AV582=0,0,
IF(Investment_Strategy="DIS",VLOOKUP(Investment_Strategy&amp;"_"&amp;Investment_Strategy_Sub1&amp;"_"&amp;$A582,'Investment Strategies'!$AZ:$BP,17,FALSE),
IF(AND(Investment_Strategy="Lifecycle",Investment_Strategy_Sub1="Non-Standard"),VLOOKUP(Investment_Strategy&amp;"_"&amp;Investment_Strategy_Sub2&amp;"_"&amp;$A582,'Investment Strategies'!$C:$P,14,FALSE),
IF(AND(Investment_Strategy="Lifecycle",Investment_Strategy_Sub1="Standard"),VLOOKUP(Investment_Strategy&amp;"_"&amp;Investment_Strategy_Sub2&amp;"_"&amp;$A582,'Investment Strategies'!$AJ:$AV,13,FALSE),
IF(AND(Investment_Strategy="Autopilot",Investment_Strategy_Sub1="Non-Standard"),VLOOKUP(Investment_Strategy&amp;"_"&amp;Investment_Strategy_Sub2&amp;"_"&amp;$A582,'Investment Strategies'!$T:$AF,13,FALSE),
IF(Investment_Strategy="DIY",DIY_ExtManChrge_CurrentFunds,
"Error"))))))</f>
        <v>0</v>
      </c>
      <c r="H582" s="16">
        <f t="shared" si="325"/>
        <v>0</v>
      </c>
      <c r="I582" s="16">
        <f t="shared" si="311"/>
        <v>0</v>
      </c>
      <c r="J582" s="16">
        <f t="shared" si="312"/>
        <v>0</v>
      </c>
      <c r="K582" s="16">
        <f>(Opening_Fund_Value+SUM(K$91:K581))*E582*IF(D582=$A$91,SRP_finalmonthfactor,1)</f>
        <v>0</v>
      </c>
      <c r="L582" s="74">
        <f>MIN(IF($AV582=0,0,
IF(Investment_Strategy="DIS",VLOOKUP(Investment_Strategy&amp;"_"&amp;Investment_Strategy_Sub1&amp;"_"&amp;$A582,'Investment Strategies'!$AZ:$BP,12,FALSE),
IF(AND(Investment_Strategy="Lifecycle",Investment_Strategy_Sub1="Non-Standard"),VLOOKUP(Investment_Strategy&amp;"_"&amp;Investment_Strategy_Sub2&amp;"_"&amp;$A582,'Investment Strategies'!$C:$P,9,FALSE),
IF(AND(Investment_Strategy="Lifecycle",Investment_Strategy_Sub1="Standard"),VLOOKUP(Investment_Strategy&amp;"_"&amp;Investment_Strategy_Sub2&amp;"_"&amp;$A582,'Investment Strategies'!$AJ:$AV,8,FALSE),
IF(AND(Investment_Strategy="Autopilot",Investment_Strategy_Sub1="Non-Standard"),VLOOKUP(Investment_Strategy&amp;"_"&amp;Investment_Strategy_Sub2&amp;"_"&amp;$A582,'Investment Strategies'!$T:$AF,8,FALSE),
IF(Investment_Strategy ="DIY",DIY_RateofReturn_SP,
"Error")))))),Max_InvReturn)</f>
        <v>0</v>
      </c>
      <c r="M582" s="62">
        <f>IF($AV582=0,0,
IF(Investment_Strategy="DIS",VLOOKUP(Investment_Strategy&amp;"_"&amp;Investment_Strategy_Sub1&amp;"_"&amp;$A582,'Investment Strategies'!$AZ:$BP,15,FALSE),
IF(AND(Investment_Strategy="Lifecycle",Investment_Strategy_Sub1="Non-Standard"),VLOOKUP(Investment_Strategy&amp;"_"&amp;Investment_Strategy_Sub2&amp;"_"&amp;$A582,'Investment Strategies'!$C:$P,12,FALSE),
IF(AND(Investment_Strategy="Lifecycle",Investment_Strategy_Sub1="Standard"),VLOOKUP(Investment_Strategy&amp;"_"&amp;Investment_Strategy_Sub2&amp;"_"&amp;$A582,'Investment Strategies'!$AJ:$AV,11,FALSE),
IF(AND(Investment_Strategy="Autopilot",Investment_Strategy_Sub1="Non-Standard"),VLOOKUP(Investment_Strategy&amp;"_"&amp;Investment_Strategy_Sub2&amp;"_"&amp;$A582,'Investment Strategies'!$T:$AF,11,FALSE),
IF(Investment_Strategy="DIY",DIY_GteeChrge_SP,
"Error"))))))</f>
        <v>0</v>
      </c>
      <c r="N582" s="33">
        <f>IF($AV582=0,0,
IF(Investment_Strategy="DIS",VLOOKUP(Investment_Strategy&amp;"_"&amp;Investment_Strategy_Sub1&amp;"_"&amp;$A582,'Investment Strategies'!$AZ:$BP,17,FALSE),
IF(AND(Investment_Strategy="Lifecycle",Investment_Strategy_Sub1="Non-Standard"),VLOOKUP(Investment_Strategy&amp;"_"&amp;Investment_Strategy_Sub2&amp;"_"&amp;$A582,'Investment Strategies'!$C:$P,14,FALSE),
IF(AND(Investment_Strategy="Lifecycle",Investment_Strategy_Sub1="Standard"),VLOOKUP(Investment_Strategy&amp;"_"&amp;Investment_Strategy_Sub2&amp;"_"&amp;$A582,'Investment Strategies'!$AJ:$AV,13,FALSE),
IF(AND(Investment_Strategy="Autopilot",Investment_Strategy_Sub1="Non-Standard"),VLOOKUP(Investment_Strategy&amp;"_"&amp;Investment_Strategy_Sub2&amp;"_"&amp;$A582,'Investment Strategies'!$T:$AF,13,FALSE),
IF(Investment_Strategy="DIY",DIY_ExtManChrge_SP,
"Error"))))))</f>
        <v>0</v>
      </c>
      <c r="O582" s="16">
        <f t="shared" si="336"/>
        <v>0</v>
      </c>
      <c r="Q582" s="16">
        <f t="shared" si="313"/>
        <v>0</v>
      </c>
      <c r="R582" s="16">
        <f t="shared" si="310"/>
        <v>0</v>
      </c>
      <c r="S582" s="16">
        <f>(SRP_SP+SUM(S$91:S581))*L582*IF(D582=$A$91,SRP_finalmonthfactor,1)</f>
        <v>0</v>
      </c>
      <c r="T582" s="74">
        <f>MIN(IF($AV582=0,0,
IF(Investment_Strategy="DIS",VLOOKUP(Investment_Strategy&amp;"_"&amp;Investment_Strategy_Sub1&amp;"_"&amp;$A582,'Investment Strategies'!$AZ:$BP,12,FALSE),
IF(AND(Investment_Strategy="Lifecycle",Investment_Strategy_Sub1="Non-Standard"),VLOOKUP(Investment_Strategy&amp;"_"&amp;Investment_Strategy_Sub2&amp;"_"&amp;$A582,'Investment Strategies'!$C:$P,9,FALSE),
IF(AND(Investment_Strategy="Lifecycle",Investment_Strategy_Sub1="Standard"),VLOOKUP(Investment_Strategy&amp;"_"&amp;Investment_Strategy_Sub2&amp;"_"&amp;$A582,'Investment Strategies'!$AJ:$AV,8,FALSE),
IF(AND(Investment_Strategy="Autopilot",Investment_Strategy_Sub1="Non-Standard"),VLOOKUP(Investment_Strategy&amp;"_"&amp;Investment_Strategy_Sub2&amp;"_"&amp;$A582,'Investment Strategies'!$T:$AF,8,FALSE),
IF(Investment_Strategy ="DIY",DIY_RateOfReturn_FuturePremiums,
"Error")))))),Max_InvReturn)</f>
        <v>0</v>
      </c>
      <c r="U582" s="62">
        <f>IF($AV582=0,0,
IF(Investment_Strategy="DIS",VLOOKUP(Investment_Strategy&amp;"_"&amp;Investment_Strategy_Sub1&amp;"_"&amp;$A582,'Investment Strategies'!$AZ:$BP,15,FALSE),
IF(AND(Investment_Strategy="Lifecycle",Investment_Strategy_Sub1="Non-Standard"),VLOOKUP(Investment_Strategy&amp;"_"&amp;Investment_Strategy_Sub2&amp;"_"&amp;$A582,'Investment Strategies'!$C:$P,12,FALSE),
IF(AND(Investment_Strategy="Lifecycle",Investment_Strategy_Sub1="Standard"),VLOOKUP(Investment_Strategy&amp;"_"&amp;Investment_Strategy_Sub2&amp;"_"&amp;$A582,'Investment Strategies'!$AJ:$AV,11,FALSE),
IF(AND(Investment_Strategy="Autopilot",Investment_Strategy_Sub1="Non-Standard"),VLOOKUP(Investment_Strategy&amp;"_"&amp;Investment_Strategy_Sub2&amp;"_"&amp;$A582,'Investment Strategies'!$T:$AF,11,FALSE),
IF(Investment_Strategy="DIY",DIY_GteeChrge_FuturePremiums,
"Error"))))))</f>
        <v>0</v>
      </c>
      <c r="V582" s="33">
        <f>IF(AV582=0,0,
IF(Investment_Strategy="DIS",VLOOKUP(Investment_Strategy&amp;"_"&amp;Investment_Strategy_Sub1&amp;"_"&amp;$A582,'Investment Strategies'!$AZ:$BP,17,FALSE),
IF(AND(Investment_Strategy="Lifecycle",Investment_Strategy_Sub1="Non-Standard"),VLOOKUP(Investment_Strategy&amp;"_"&amp;Investment_Strategy_Sub2&amp;"_"&amp;$A582,'Investment Strategies'!$C:$P,14,FALSE),
IF(AND(Investment_Strategy="Lifecycle",Investment_Strategy_Sub1="Standard"),VLOOKUP(Investment_Strategy&amp;"_"&amp;Investment_Strategy_Sub2&amp;"_"&amp;$A582,'Investment Strategies'!$AJ:$AV,13,FALSE),
IF(AND(Investment_Strategy="Autopilot",Investment_Strategy_Sub1="Non-Standard"),VLOOKUP(Investment_Strategy&amp;"_"&amp;Investment_Strategy_Sub2&amp;"_"&amp;$A582,'Investment Strategies'!$T:$AF,13,FALSE),
IF(Investment_Strategy="DIY",DIY_ExtManChrge_FuturePremiums,
"Error"))))))</f>
        <v>0</v>
      </c>
      <c r="W582" s="16">
        <f t="shared" si="337"/>
        <v>0</v>
      </c>
      <c r="X582" s="16">
        <f t="shared" si="314"/>
        <v>0</v>
      </c>
      <c r="Y582" s="16">
        <f t="shared" si="315"/>
        <v>0</v>
      </c>
      <c r="Z582" s="31">
        <f t="shared" si="316"/>
        <v>0.02</v>
      </c>
      <c r="AA582" s="16">
        <f t="shared" si="317"/>
        <v>0</v>
      </c>
      <c r="AB582" s="28">
        <f t="shared" si="339"/>
        <v>0</v>
      </c>
      <c r="AC582" s="28">
        <f>(SUM($AC$91:AC581)+SUM($X$91:X581)+X582)*T582*IF(D582=$A$91,SRP_finalmonthfactor,1)</f>
        <v>0</v>
      </c>
      <c r="AD582" s="16">
        <f t="shared" si="318"/>
        <v>0</v>
      </c>
      <c r="AE582" s="106"/>
      <c r="AF582" s="16">
        <f t="shared" si="326"/>
        <v>0</v>
      </c>
      <c r="AG582" s="16">
        <f t="shared" si="327"/>
        <v>0</v>
      </c>
      <c r="AH582" s="16">
        <f t="shared" si="328"/>
        <v>0</v>
      </c>
      <c r="AJ582" s="13">
        <f t="shared" si="343"/>
        <v>0</v>
      </c>
      <c r="AK582" s="13">
        <f t="shared" si="343"/>
        <v>0</v>
      </c>
      <c r="AL582" s="13">
        <f t="shared" si="343"/>
        <v>0</v>
      </c>
      <c r="AM582" s="13">
        <f t="shared" si="343"/>
        <v>0</v>
      </c>
      <c r="AN582" s="13">
        <f t="shared" si="343"/>
        <v>0</v>
      </c>
      <c r="AO582" s="13">
        <f t="shared" si="343"/>
        <v>1</v>
      </c>
      <c r="AP582" s="13">
        <f t="shared" si="343"/>
        <v>1</v>
      </c>
      <c r="AQ582" s="13">
        <f t="shared" si="343"/>
        <v>1</v>
      </c>
      <c r="AR582" s="13">
        <f t="shared" si="343"/>
        <v>0</v>
      </c>
      <c r="AS582" s="13">
        <f t="shared" si="343"/>
        <v>0</v>
      </c>
      <c r="AT582" s="13">
        <f t="shared" si="343"/>
        <v>0</v>
      </c>
      <c r="AU582" s="13">
        <f t="shared" si="343"/>
        <v>0</v>
      </c>
      <c r="AV582" s="13">
        <f t="shared" si="319"/>
        <v>0</v>
      </c>
      <c r="AW582" s="13">
        <f t="shared" si="320"/>
        <v>1</v>
      </c>
      <c r="AY582" s="17">
        <f t="shared" si="321"/>
        <v>492</v>
      </c>
      <c r="AZ582" s="28">
        <f t="shared" si="329"/>
        <v>0</v>
      </c>
      <c r="BA582" s="13">
        <f t="shared" si="322"/>
        <v>0</v>
      </c>
      <c r="BB582" s="13">
        <f t="shared" si="323"/>
        <v>0</v>
      </c>
      <c r="BC582" s="28">
        <f t="shared" si="330"/>
        <v>0</v>
      </c>
      <c r="BD582" s="28">
        <f t="shared" si="331"/>
        <v>0</v>
      </c>
      <c r="BF582" s="248">
        <f t="shared" si="332"/>
        <v>993869.29442638322</v>
      </c>
    </row>
    <row r="583" spans="1:58">
      <c r="A583" s="32">
        <f t="shared" si="333"/>
        <v>-408</v>
      </c>
      <c r="B583" s="32">
        <f t="shared" si="324"/>
        <v>94</v>
      </c>
      <c r="C583" s="32">
        <f t="shared" si="334"/>
        <v>42</v>
      </c>
      <c r="D583" s="32">
        <f t="shared" si="335"/>
        <v>493</v>
      </c>
      <c r="E583" s="74">
        <f>MIN(IF(AV583=0,0,
IF(Investment_Strategy="DIS",VLOOKUP(Investment_Strategy&amp;"_"&amp;Investment_Strategy_Sub1&amp;"_"&amp;$A583,'Investment Strategies'!$AZ:$BP,12,FALSE),
IF(AND(Investment_Strategy="Lifecycle",Investment_Strategy_Sub1="Non-Standard"),VLOOKUP(Investment_Strategy&amp;"_"&amp;Investment_Strategy_Sub2&amp;"_"&amp;$A583,'Investment Strategies'!$C:$P,9,FALSE),
IF(AND(Investment_Strategy="Lifecycle",Investment_Strategy_Sub1="Standard"),VLOOKUP(Investment_Strategy&amp;"_"&amp;Investment_Strategy_Sub2&amp;"_"&amp;$A583,'Investment Strategies'!$AJ:$AV,8,FALSE),
IF(AND(Investment_Strategy="Autopilot",Investment_Strategy_Sub1="Non-Standard"),VLOOKUP(Investment_Strategy&amp;"_"&amp;Investment_Strategy_Sub2&amp;"_"&amp;$A583,'Investment Strategies'!$T:$AF,8,FALSE),
IF(Investment_Strategy ="DIY",DIY_RateOfReturn_CurrentFunds,
"Error")))))),Max_InvReturn)</f>
        <v>0</v>
      </c>
      <c r="F583" s="62">
        <f>IF(AV583=0,0,
IF(Investment_Strategy="DIS",VLOOKUP(Investment_Strategy&amp;"_"&amp;Investment_Strategy_Sub1&amp;"_"&amp;$A583,'Investment Strategies'!$AZ:$BP,15,FALSE),
IF(AND(Investment_Strategy="Lifecycle",Investment_Strategy_Sub1="Non-Standard"),VLOOKUP(Investment_Strategy&amp;"_"&amp;Investment_Strategy_Sub2&amp;"_"&amp;$A583,'Investment Strategies'!$C:$P,12,FALSE),
IF(AND(Investment_Strategy="Lifecycle",Investment_Strategy_Sub1="Standard"),VLOOKUP(Investment_Strategy&amp;"_"&amp;Investment_Strategy_Sub2&amp;"_"&amp;$A583,'Investment Strategies'!$AJ:$AV,11,FALSE),
IF(AND(Investment_Strategy="Autopilot",Investment_Strategy_Sub1="Non-Standard"),VLOOKUP(Investment_Strategy&amp;"_"&amp;Investment_Strategy_Sub2&amp;"_"&amp;$A583,'Investment Strategies'!$T:$AF,11,FALSE),
IF(Investment_Strategy="DIY",DIY_GteeChrge_CurrentFunds,
"Error"))))))</f>
        <v>0</v>
      </c>
      <c r="G583" s="33">
        <f>IF(AV583=0,0,
IF(Investment_Strategy="DIS",VLOOKUP(Investment_Strategy&amp;"_"&amp;Investment_Strategy_Sub1&amp;"_"&amp;$A583,'Investment Strategies'!$AZ:$BP,17,FALSE),
IF(AND(Investment_Strategy="Lifecycle",Investment_Strategy_Sub1="Non-Standard"),VLOOKUP(Investment_Strategy&amp;"_"&amp;Investment_Strategy_Sub2&amp;"_"&amp;$A583,'Investment Strategies'!$C:$P,14,FALSE),
IF(AND(Investment_Strategy="Lifecycle",Investment_Strategy_Sub1="Standard"),VLOOKUP(Investment_Strategy&amp;"_"&amp;Investment_Strategy_Sub2&amp;"_"&amp;$A583,'Investment Strategies'!$AJ:$AV,13,FALSE),
IF(AND(Investment_Strategy="Autopilot",Investment_Strategy_Sub1="Non-Standard"),VLOOKUP(Investment_Strategy&amp;"_"&amp;Investment_Strategy_Sub2&amp;"_"&amp;$A583,'Investment Strategies'!$T:$AF,13,FALSE),
IF(Investment_Strategy="DIY",DIY_ExtManChrge_CurrentFunds,
"Error"))))))</f>
        <v>0</v>
      </c>
      <c r="H583" s="16">
        <f t="shared" si="325"/>
        <v>0</v>
      </c>
      <c r="I583" s="16">
        <f t="shared" si="311"/>
        <v>0</v>
      </c>
      <c r="J583" s="16">
        <f t="shared" si="312"/>
        <v>0</v>
      </c>
      <c r="K583" s="16">
        <f>(Opening_Fund_Value+SUM(K$91:K582))*E583*IF(D583=$A$91,SRP_finalmonthfactor,1)</f>
        <v>0</v>
      </c>
      <c r="L583" s="74">
        <f>MIN(IF($AV583=0,0,
IF(Investment_Strategy="DIS",VLOOKUP(Investment_Strategy&amp;"_"&amp;Investment_Strategy_Sub1&amp;"_"&amp;$A583,'Investment Strategies'!$AZ:$BP,12,FALSE),
IF(AND(Investment_Strategy="Lifecycle",Investment_Strategy_Sub1="Non-Standard"),VLOOKUP(Investment_Strategy&amp;"_"&amp;Investment_Strategy_Sub2&amp;"_"&amp;$A583,'Investment Strategies'!$C:$P,9,FALSE),
IF(AND(Investment_Strategy="Lifecycle",Investment_Strategy_Sub1="Standard"),VLOOKUP(Investment_Strategy&amp;"_"&amp;Investment_Strategy_Sub2&amp;"_"&amp;$A583,'Investment Strategies'!$AJ:$AV,8,FALSE),
IF(AND(Investment_Strategy="Autopilot",Investment_Strategy_Sub1="Non-Standard"),VLOOKUP(Investment_Strategy&amp;"_"&amp;Investment_Strategy_Sub2&amp;"_"&amp;$A583,'Investment Strategies'!$T:$AF,8,FALSE),
IF(Investment_Strategy ="DIY",DIY_RateofReturn_SP,
"Error")))))),Max_InvReturn)</f>
        <v>0</v>
      </c>
      <c r="M583" s="62">
        <f>IF($AV583=0,0,
IF(Investment_Strategy="DIS",VLOOKUP(Investment_Strategy&amp;"_"&amp;Investment_Strategy_Sub1&amp;"_"&amp;$A583,'Investment Strategies'!$AZ:$BP,15,FALSE),
IF(AND(Investment_Strategy="Lifecycle",Investment_Strategy_Sub1="Non-Standard"),VLOOKUP(Investment_Strategy&amp;"_"&amp;Investment_Strategy_Sub2&amp;"_"&amp;$A583,'Investment Strategies'!$C:$P,12,FALSE),
IF(AND(Investment_Strategy="Lifecycle",Investment_Strategy_Sub1="Standard"),VLOOKUP(Investment_Strategy&amp;"_"&amp;Investment_Strategy_Sub2&amp;"_"&amp;$A583,'Investment Strategies'!$AJ:$AV,11,FALSE),
IF(AND(Investment_Strategy="Autopilot",Investment_Strategy_Sub1="Non-Standard"),VLOOKUP(Investment_Strategy&amp;"_"&amp;Investment_Strategy_Sub2&amp;"_"&amp;$A583,'Investment Strategies'!$T:$AF,11,FALSE),
IF(Investment_Strategy="DIY",DIY_GteeChrge_SP,
"Error"))))))</f>
        <v>0</v>
      </c>
      <c r="N583" s="33">
        <f>IF($AV583=0,0,
IF(Investment_Strategy="DIS",VLOOKUP(Investment_Strategy&amp;"_"&amp;Investment_Strategy_Sub1&amp;"_"&amp;$A583,'Investment Strategies'!$AZ:$BP,17,FALSE),
IF(AND(Investment_Strategy="Lifecycle",Investment_Strategy_Sub1="Non-Standard"),VLOOKUP(Investment_Strategy&amp;"_"&amp;Investment_Strategy_Sub2&amp;"_"&amp;$A583,'Investment Strategies'!$C:$P,14,FALSE),
IF(AND(Investment_Strategy="Lifecycle",Investment_Strategy_Sub1="Standard"),VLOOKUP(Investment_Strategy&amp;"_"&amp;Investment_Strategy_Sub2&amp;"_"&amp;$A583,'Investment Strategies'!$AJ:$AV,13,FALSE),
IF(AND(Investment_Strategy="Autopilot",Investment_Strategy_Sub1="Non-Standard"),VLOOKUP(Investment_Strategy&amp;"_"&amp;Investment_Strategy_Sub2&amp;"_"&amp;$A583,'Investment Strategies'!$T:$AF,13,FALSE),
IF(Investment_Strategy="DIY",DIY_ExtManChrge_SP,
"Error"))))))</f>
        <v>0</v>
      </c>
      <c r="O583" s="16">
        <f t="shared" si="336"/>
        <v>0</v>
      </c>
      <c r="Q583" s="16">
        <f t="shared" si="313"/>
        <v>0</v>
      </c>
      <c r="R583" s="16">
        <f t="shared" si="310"/>
        <v>0</v>
      </c>
      <c r="S583" s="16">
        <f>(SRP_SP+SUM(S$91:S582))*L583*IF(D583=$A$91,SRP_finalmonthfactor,1)</f>
        <v>0</v>
      </c>
      <c r="T583" s="74">
        <f>MIN(IF($AV583=0,0,
IF(Investment_Strategy="DIS",VLOOKUP(Investment_Strategy&amp;"_"&amp;Investment_Strategy_Sub1&amp;"_"&amp;$A583,'Investment Strategies'!$AZ:$BP,12,FALSE),
IF(AND(Investment_Strategy="Lifecycle",Investment_Strategy_Sub1="Non-Standard"),VLOOKUP(Investment_Strategy&amp;"_"&amp;Investment_Strategy_Sub2&amp;"_"&amp;$A583,'Investment Strategies'!$C:$P,9,FALSE),
IF(AND(Investment_Strategy="Lifecycle",Investment_Strategy_Sub1="Standard"),VLOOKUP(Investment_Strategy&amp;"_"&amp;Investment_Strategy_Sub2&amp;"_"&amp;$A583,'Investment Strategies'!$AJ:$AV,8,FALSE),
IF(AND(Investment_Strategy="Autopilot",Investment_Strategy_Sub1="Non-Standard"),VLOOKUP(Investment_Strategy&amp;"_"&amp;Investment_Strategy_Sub2&amp;"_"&amp;$A583,'Investment Strategies'!$T:$AF,8,FALSE),
IF(Investment_Strategy ="DIY",DIY_RateOfReturn_FuturePremiums,
"Error")))))),Max_InvReturn)</f>
        <v>0</v>
      </c>
      <c r="U583" s="62">
        <f>IF($AV583=0,0,
IF(Investment_Strategy="DIS",VLOOKUP(Investment_Strategy&amp;"_"&amp;Investment_Strategy_Sub1&amp;"_"&amp;$A583,'Investment Strategies'!$AZ:$BP,15,FALSE),
IF(AND(Investment_Strategy="Lifecycle",Investment_Strategy_Sub1="Non-Standard"),VLOOKUP(Investment_Strategy&amp;"_"&amp;Investment_Strategy_Sub2&amp;"_"&amp;$A583,'Investment Strategies'!$C:$P,12,FALSE),
IF(AND(Investment_Strategy="Lifecycle",Investment_Strategy_Sub1="Standard"),VLOOKUP(Investment_Strategy&amp;"_"&amp;Investment_Strategy_Sub2&amp;"_"&amp;$A583,'Investment Strategies'!$AJ:$AV,11,FALSE),
IF(AND(Investment_Strategy="Autopilot",Investment_Strategy_Sub1="Non-Standard"),VLOOKUP(Investment_Strategy&amp;"_"&amp;Investment_Strategy_Sub2&amp;"_"&amp;$A583,'Investment Strategies'!$T:$AF,11,FALSE),
IF(Investment_Strategy="DIY",DIY_GteeChrge_FuturePremiums,
"Error"))))))</f>
        <v>0</v>
      </c>
      <c r="V583" s="33">
        <f>IF(AV583=0,0,
IF(Investment_Strategy="DIS",VLOOKUP(Investment_Strategy&amp;"_"&amp;Investment_Strategy_Sub1&amp;"_"&amp;$A583,'Investment Strategies'!$AZ:$BP,17,FALSE),
IF(AND(Investment_Strategy="Lifecycle",Investment_Strategy_Sub1="Non-Standard"),VLOOKUP(Investment_Strategy&amp;"_"&amp;Investment_Strategy_Sub2&amp;"_"&amp;$A583,'Investment Strategies'!$C:$P,14,FALSE),
IF(AND(Investment_Strategy="Lifecycle",Investment_Strategy_Sub1="Standard"),VLOOKUP(Investment_Strategy&amp;"_"&amp;Investment_Strategy_Sub2&amp;"_"&amp;$A583,'Investment Strategies'!$AJ:$AV,13,FALSE),
IF(AND(Investment_Strategy="Autopilot",Investment_Strategy_Sub1="Non-Standard"),VLOOKUP(Investment_Strategy&amp;"_"&amp;Investment_Strategy_Sub2&amp;"_"&amp;$A583,'Investment Strategies'!$T:$AF,13,FALSE),
IF(Investment_Strategy="DIY",DIY_ExtManChrge_FuturePremiums,
"Error"))))))</f>
        <v>0</v>
      </c>
      <c r="W583" s="16">
        <f t="shared" si="337"/>
        <v>0</v>
      </c>
      <c r="X583" s="16">
        <f t="shared" si="314"/>
        <v>0</v>
      </c>
      <c r="Y583" s="16">
        <f t="shared" si="315"/>
        <v>0</v>
      </c>
      <c r="Z583" s="31">
        <f t="shared" si="316"/>
        <v>0.02</v>
      </c>
      <c r="AA583" s="16">
        <f t="shared" si="317"/>
        <v>0</v>
      </c>
      <c r="AB583" s="28">
        <f t="shared" si="339"/>
        <v>0</v>
      </c>
      <c r="AC583" s="28">
        <f>(SUM($AC$91:AC582)+SUM($X$91:X582)+X583)*T583*IF(D583=$A$91,SRP_finalmonthfactor,1)</f>
        <v>0</v>
      </c>
      <c r="AD583" s="16">
        <f t="shared" si="318"/>
        <v>0</v>
      </c>
      <c r="AE583" s="106"/>
      <c r="AF583" s="16">
        <f t="shared" si="326"/>
        <v>0</v>
      </c>
      <c r="AG583" s="16">
        <f t="shared" si="327"/>
        <v>0</v>
      </c>
      <c r="AH583" s="16">
        <f t="shared" si="328"/>
        <v>0</v>
      </c>
      <c r="AJ583" s="13">
        <f t="shared" si="343"/>
        <v>0</v>
      </c>
      <c r="AK583" s="13">
        <f t="shared" si="343"/>
        <v>0</v>
      </c>
      <c r="AL583" s="13">
        <f t="shared" si="343"/>
        <v>0</v>
      </c>
      <c r="AM583" s="13">
        <f t="shared" si="343"/>
        <v>0</v>
      </c>
      <c r="AN583" s="13">
        <f t="shared" si="343"/>
        <v>0</v>
      </c>
      <c r="AO583" s="13">
        <f t="shared" si="343"/>
        <v>1</v>
      </c>
      <c r="AP583" s="13">
        <f t="shared" si="343"/>
        <v>1</v>
      </c>
      <c r="AQ583" s="13">
        <f t="shared" si="343"/>
        <v>1</v>
      </c>
      <c r="AR583" s="13">
        <f t="shared" si="343"/>
        <v>0</v>
      </c>
      <c r="AS583" s="13">
        <f t="shared" si="343"/>
        <v>0</v>
      </c>
      <c r="AT583" s="13">
        <f t="shared" si="343"/>
        <v>0</v>
      </c>
      <c r="AU583" s="13">
        <f t="shared" si="343"/>
        <v>0</v>
      </c>
      <c r="AV583" s="13">
        <f t="shared" si="319"/>
        <v>0</v>
      </c>
      <c r="AW583" s="13">
        <f t="shared" si="320"/>
        <v>1</v>
      </c>
      <c r="AY583" s="17">
        <f t="shared" si="321"/>
        <v>493</v>
      </c>
      <c r="AZ583" s="28">
        <f t="shared" si="329"/>
        <v>0</v>
      </c>
      <c r="BA583" s="13">
        <f t="shared" si="322"/>
        <v>0</v>
      </c>
      <c r="BB583" s="13">
        <f t="shared" si="323"/>
        <v>0</v>
      </c>
      <c r="BC583" s="28">
        <f t="shared" si="330"/>
        <v>0</v>
      </c>
      <c r="BD583" s="28">
        <f t="shared" si="331"/>
        <v>0</v>
      </c>
      <c r="BF583" s="248">
        <f t="shared" si="332"/>
        <v>993869.29442638322</v>
      </c>
    </row>
    <row r="584" spans="1:58">
      <c r="A584" s="32">
        <f t="shared" si="333"/>
        <v>-409</v>
      </c>
      <c r="B584" s="32">
        <f t="shared" si="324"/>
        <v>94</v>
      </c>
      <c r="C584" s="32">
        <f t="shared" si="334"/>
        <v>42</v>
      </c>
      <c r="D584" s="32">
        <f t="shared" si="335"/>
        <v>494</v>
      </c>
      <c r="E584" s="74">
        <f>MIN(IF(AV584=0,0,
IF(Investment_Strategy="DIS",VLOOKUP(Investment_Strategy&amp;"_"&amp;Investment_Strategy_Sub1&amp;"_"&amp;$A584,'Investment Strategies'!$AZ:$BP,12,FALSE),
IF(AND(Investment_Strategy="Lifecycle",Investment_Strategy_Sub1="Non-Standard"),VLOOKUP(Investment_Strategy&amp;"_"&amp;Investment_Strategy_Sub2&amp;"_"&amp;$A584,'Investment Strategies'!$C:$P,9,FALSE),
IF(AND(Investment_Strategy="Lifecycle",Investment_Strategy_Sub1="Standard"),VLOOKUP(Investment_Strategy&amp;"_"&amp;Investment_Strategy_Sub2&amp;"_"&amp;$A584,'Investment Strategies'!$AJ:$AV,8,FALSE),
IF(AND(Investment_Strategy="Autopilot",Investment_Strategy_Sub1="Non-Standard"),VLOOKUP(Investment_Strategy&amp;"_"&amp;Investment_Strategy_Sub2&amp;"_"&amp;$A584,'Investment Strategies'!$T:$AF,8,FALSE),
IF(Investment_Strategy ="DIY",DIY_RateOfReturn_CurrentFunds,
"Error")))))),Max_InvReturn)</f>
        <v>0</v>
      </c>
      <c r="F584" s="62">
        <f>IF(AV584=0,0,
IF(Investment_Strategy="DIS",VLOOKUP(Investment_Strategy&amp;"_"&amp;Investment_Strategy_Sub1&amp;"_"&amp;$A584,'Investment Strategies'!$AZ:$BP,15,FALSE),
IF(AND(Investment_Strategy="Lifecycle",Investment_Strategy_Sub1="Non-Standard"),VLOOKUP(Investment_Strategy&amp;"_"&amp;Investment_Strategy_Sub2&amp;"_"&amp;$A584,'Investment Strategies'!$C:$P,12,FALSE),
IF(AND(Investment_Strategy="Lifecycle",Investment_Strategy_Sub1="Standard"),VLOOKUP(Investment_Strategy&amp;"_"&amp;Investment_Strategy_Sub2&amp;"_"&amp;$A584,'Investment Strategies'!$AJ:$AV,11,FALSE),
IF(AND(Investment_Strategy="Autopilot",Investment_Strategy_Sub1="Non-Standard"),VLOOKUP(Investment_Strategy&amp;"_"&amp;Investment_Strategy_Sub2&amp;"_"&amp;$A584,'Investment Strategies'!$T:$AF,11,FALSE),
IF(Investment_Strategy="DIY",DIY_GteeChrge_CurrentFunds,
"Error"))))))</f>
        <v>0</v>
      </c>
      <c r="G584" s="33">
        <f>IF(AV584=0,0,
IF(Investment_Strategy="DIS",VLOOKUP(Investment_Strategy&amp;"_"&amp;Investment_Strategy_Sub1&amp;"_"&amp;$A584,'Investment Strategies'!$AZ:$BP,17,FALSE),
IF(AND(Investment_Strategy="Lifecycle",Investment_Strategy_Sub1="Non-Standard"),VLOOKUP(Investment_Strategy&amp;"_"&amp;Investment_Strategy_Sub2&amp;"_"&amp;$A584,'Investment Strategies'!$C:$P,14,FALSE),
IF(AND(Investment_Strategy="Lifecycle",Investment_Strategy_Sub1="Standard"),VLOOKUP(Investment_Strategy&amp;"_"&amp;Investment_Strategy_Sub2&amp;"_"&amp;$A584,'Investment Strategies'!$AJ:$AV,13,FALSE),
IF(AND(Investment_Strategy="Autopilot",Investment_Strategy_Sub1="Non-Standard"),VLOOKUP(Investment_Strategy&amp;"_"&amp;Investment_Strategy_Sub2&amp;"_"&amp;$A584,'Investment Strategies'!$T:$AF,13,FALSE),
IF(Investment_Strategy="DIY",DIY_ExtManChrge_CurrentFunds,
"Error"))))))</f>
        <v>0</v>
      </c>
      <c r="H584" s="16">
        <f t="shared" si="325"/>
        <v>0</v>
      </c>
      <c r="I584" s="16">
        <f t="shared" si="311"/>
        <v>0</v>
      </c>
      <c r="J584" s="16">
        <f t="shared" si="312"/>
        <v>0</v>
      </c>
      <c r="K584" s="16">
        <f>(Opening_Fund_Value+SUM(K$91:K583))*E584*IF(D584=$A$91,SRP_finalmonthfactor,1)</f>
        <v>0</v>
      </c>
      <c r="L584" s="74">
        <f>MIN(IF($AV584=0,0,
IF(Investment_Strategy="DIS",VLOOKUP(Investment_Strategy&amp;"_"&amp;Investment_Strategy_Sub1&amp;"_"&amp;$A584,'Investment Strategies'!$AZ:$BP,12,FALSE),
IF(AND(Investment_Strategy="Lifecycle",Investment_Strategy_Sub1="Non-Standard"),VLOOKUP(Investment_Strategy&amp;"_"&amp;Investment_Strategy_Sub2&amp;"_"&amp;$A584,'Investment Strategies'!$C:$P,9,FALSE),
IF(AND(Investment_Strategy="Lifecycle",Investment_Strategy_Sub1="Standard"),VLOOKUP(Investment_Strategy&amp;"_"&amp;Investment_Strategy_Sub2&amp;"_"&amp;$A584,'Investment Strategies'!$AJ:$AV,8,FALSE),
IF(AND(Investment_Strategy="Autopilot",Investment_Strategy_Sub1="Non-Standard"),VLOOKUP(Investment_Strategy&amp;"_"&amp;Investment_Strategy_Sub2&amp;"_"&amp;$A584,'Investment Strategies'!$T:$AF,8,FALSE),
IF(Investment_Strategy ="DIY",DIY_RateofReturn_SP,
"Error")))))),Max_InvReturn)</f>
        <v>0</v>
      </c>
      <c r="M584" s="62">
        <f>IF($AV584=0,0,
IF(Investment_Strategy="DIS",VLOOKUP(Investment_Strategy&amp;"_"&amp;Investment_Strategy_Sub1&amp;"_"&amp;$A584,'Investment Strategies'!$AZ:$BP,15,FALSE),
IF(AND(Investment_Strategy="Lifecycle",Investment_Strategy_Sub1="Non-Standard"),VLOOKUP(Investment_Strategy&amp;"_"&amp;Investment_Strategy_Sub2&amp;"_"&amp;$A584,'Investment Strategies'!$C:$P,12,FALSE),
IF(AND(Investment_Strategy="Lifecycle",Investment_Strategy_Sub1="Standard"),VLOOKUP(Investment_Strategy&amp;"_"&amp;Investment_Strategy_Sub2&amp;"_"&amp;$A584,'Investment Strategies'!$AJ:$AV,11,FALSE),
IF(AND(Investment_Strategy="Autopilot",Investment_Strategy_Sub1="Non-Standard"),VLOOKUP(Investment_Strategy&amp;"_"&amp;Investment_Strategy_Sub2&amp;"_"&amp;$A584,'Investment Strategies'!$T:$AF,11,FALSE),
IF(Investment_Strategy="DIY",DIY_GteeChrge_SP,
"Error"))))))</f>
        <v>0</v>
      </c>
      <c r="N584" s="33">
        <f>IF($AV584=0,0,
IF(Investment_Strategy="DIS",VLOOKUP(Investment_Strategy&amp;"_"&amp;Investment_Strategy_Sub1&amp;"_"&amp;$A584,'Investment Strategies'!$AZ:$BP,17,FALSE),
IF(AND(Investment_Strategy="Lifecycle",Investment_Strategy_Sub1="Non-Standard"),VLOOKUP(Investment_Strategy&amp;"_"&amp;Investment_Strategy_Sub2&amp;"_"&amp;$A584,'Investment Strategies'!$C:$P,14,FALSE),
IF(AND(Investment_Strategy="Lifecycle",Investment_Strategy_Sub1="Standard"),VLOOKUP(Investment_Strategy&amp;"_"&amp;Investment_Strategy_Sub2&amp;"_"&amp;$A584,'Investment Strategies'!$AJ:$AV,13,FALSE),
IF(AND(Investment_Strategy="Autopilot",Investment_Strategy_Sub1="Non-Standard"),VLOOKUP(Investment_Strategy&amp;"_"&amp;Investment_Strategy_Sub2&amp;"_"&amp;$A584,'Investment Strategies'!$T:$AF,13,FALSE),
IF(Investment_Strategy="DIY",DIY_ExtManChrge_SP,
"Error"))))))</f>
        <v>0</v>
      </c>
      <c r="O584" s="16">
        <f t="shared" si="336"/>
        <v>0</v>
      </c>
      <c r="Q584" s="16">
        <f t="shared" si="313"/>
        <v>0</v>
      </c>
      <c r="R584" s="16">
        <f t="shared" si="310"/>
        <v>0</v>
      </c>
      <c r="S584" s="16">
        <f>(SRP_SP+SUM(S$91:S583))*L584*IF(D584=$A$91,SRP_finalmonthfactor,1)</f>
        <v>0</v>
      </c>
      <c r="T584" s="74">
        <f>MIN(IF($AV584=0,0,
IF(Investment_Strategy="DIS",VLOOKUP(Investment_Strategy&amp;"_"&amp;Investment_Strategy_Sub1&amp;"_"&amp;$A584,'Investment Strategies'!$AZ:$BP,12,FALSE),
IF(AND(Investment_Strategy="Lifecycle",Investment_Strategy_Sub1="Non-Standard"),VLOOKUP(Investment_Strategy&amp;"_"&amp;Investment_Strategy_Sub2&amp;"_"&amp;$A584,'Investment Strategies'!$C:$P,9,FALSE),
IF(AND(Investment_Strategy="Lifecycle",Investment_Strategy_Sub1="Standard"),VLOOKUP(Investment_Strategy&amp;"_"&amp;Investment_Strategy_Sub2&amp;"_"&amp;$A584,'Investment Strategies'!$AJ:$AV,8,FALSE),
IF(AND(Investment_Strategy="Autopilot",Investment_Strategy_Sub1="Non-Standard"),VLOOKUP(Investment_Strategy&amp;"_"&amp;Investment_Strategy_Sub2&amp;"_"&amp;$A584,'Investment Strategies'!$T:$AF,8,FALSE),
IF(Investment_Strategy ="DIY",DIY_RateOfReturn_FuturePremiums,
"Error")))))),Max_InvReturn)</f>
        <v>0</v>
      </c>
      <c r="U584" s="62">
        <f>IF($AV584=0,0,
IF(Investment_Strategy="DIS",VLOOKUP(Investment_Strategy&amp;"_"&amp;Investment_Strategy_Sub1&amp;"_"&amp;$A584,'Investment Strategies'!$AZ:$BP,15,FALSE),
IF(AND(Investment_Strategy="Lifecycle",Investment_Strategy_Sub1="Non-Standard"),VLOOKUP(Investment_Strategy&amp;"_"&amp;Investment_Strategy_Sub2&amp;"_"&amp;$A584,'Investment Strategies'!$C:$P,12,FALSE),
IF(AND(Investment_Strategy="Lifecycle",Investment_Strategy_Sub1="Standard"),VLOOKUP(Investment_Strategy&amp;"_"&amp;Investment_Strategy_Sub2&amp;"_"&amp;$A584,'Investment Strategies'!$AJ:$AV,11,FALSE),
IF(AND(Investment_Strategy="Autopilot",Investment_Strategy_Sub1="Non-Standard"),VLOOKUP(Investment_Strategy&amp;"_"&amp;Investment_Strategy_Sub2&amp;"_"&amp;$A584,'Investment Strategies'!$T:$AF,11,FALSE),
IF(Investment_Strategy="DIY",DIY_GteeChrge_FuturePremiums,
"Error"))))))</f>
        <v>0</v>
      </c>
      <c r="V584" s="33">
        <f>IF(AV584=0,0,
IF(Investment_Strategy="DIS",VLOOKUP(Investment_Strategy&amp;"_"&amp;Investment_Strategy_Sub1&amp;"_"&amp;$A584,'Investment Strategies'!$AZ:$BP,17,FALSE),
IF(AND(Investment_Strategy="Lifecycle",Investment_Strategy_Sub1="Non-Standard"),VLOOKUP(Investment_Strategy&amp;"_"&amp;Investment_Strategy_Sub2&amp;"_"&amp;$A584,'Investment Strategies'!$C:$P,14,FALSE),
IF(AND(Investment_Strategy="Lifecycle",Investment_Strategy_Sub1="Standard"),VLOOKUP(Investment_Strategy&amp;"_"&amp;Investment_Strategy_Sub2&amp;"_"&amp;$A584,'Investment Strategies'!$AJ:$AV,13,FALSE),
IF(AND(Investment_Strategy="Autopilot",Investment_Strategy_Sub1="Non-Standard"),VLOOKUP(Investment_Strategy&amp;"_"&amp;Investment_Strategy_Sub2&amp;"_"&amp;$A584,'Investment Strategies'!$T:$AF,13,FALSE),
IF(Investment_Strategy="DIY",DIY_ExtManChrge_FuturePremiums,
"Error"))))))</f>
        <v>0</v>
      </c>
      <c r="W584" s="16">
        <f t="shared" si="337"/>
        <v>0</v>
      </c>
      <c r="X584" s="16">
        <f t="shared" si="314"/>
        <v>0</v>
      </c>
      <c r="Y584" s="16">
        <f t="shared" si="315"/>
        <v>0</v>
      </c>
      <c r="Z584" s="31">
        <f t="shared" si="316"/>
        <v>0.02</v>
      </c>
      <c r="AA584" s="16">
        <f t="shared" si="317"/>
        <v>0</v>
      </c>
      <c r="AB584" s="28">
        <f t="shared" si="339"/>
        <v>0</v>
      </c>
      <c r="AC584" s="28">
        <f>(SUM($AC$91:AC583)+SUM($X$91:X583)+X584)*T584*IF(D584=$A$91,SRP_finalmonthfactor,1)</f>
        <v>0</v>
      </c>
      <c r="AD584" s="16">
        <f t="shared" si="318"/>
        <v>0</v>
      </c>
      <c r="AE584" s="106"/>
      <c r="AF584" s="16">
        <f t="shared" si="326"/>
        <v>0</v>
      </c>
      <c r="AG584" s="16">
        <f t="shared" si="327"/>
        <v>0</v>
      </c>
      <c r="AH584" s="16">
        <f t="shared" si="328"/>
        <v>0</v>
      </c>
      <c r="AJ584" s="13">
        <f t="shared" si="343"/>
        <v>0</v>
      </c>
      <c r="AK584" s="13">
        <f t="shared" si="343"/>
        <v>0</v>
      </c>
      <c r="AL584" s="13">
        <f t="shared" si="343"/>
        <v>0</v>
      </c>
      <c r="AM584" s="13">
        <f t="shared" si="343"/>
        <v>0</v>
      </c>
      <c r="AN584" s="13">
        <f t="shared" si="343"/>
        <v>0</v>
      </c>
      <c r="AO584" s="13">
        <f t="shared" si="343"/>
        <v>1</v>
      </c>
      <c r="AP584" s="13">
        <f t="shared" si="343"/>
        <v>1</v>
      </c>
      <c r="AQ584" s="13">
        <f t="shared" si="343"/>
        <v>1</v>
      </c>
      <c r="AR584" s="13">
        <f t="shared" si="343"/>
        <v>0</v>
      </c>
      <c r="AS584" s="13">
        <f t="shared" si="343"/>
        <v>0</v>
      </c>
      <c r="AT584" s="13">
        <f t="shared" si="343"/>
        <v>0</v>
      </c>
      <c r="AU584" s="13">
        <f t="shared" si="343"/>
        <v>0</v>
      </c>
      <c r="AV584" s="13">
        <f t="shared" si="319"/>
        <v>0</v>
      </c>
      <c r="AW584" s="13">
        <f t="shared" si="320"/>
        <v>1</v>
      </c>
      <c r="AY584" s="17">
        <f t="shared" si="321"/>
        <v>494</v>
      </c>
      <c r="AZ584" s="28">
        <f t="shared" si="329"/>
        <v>0</v>
      </c>
      <c r="BA584" s="13">
        <f t="shared" si="322"/>
        <v>0</v>
      </c>
      <c r="BB584" s="13">
        <f t="shared" si="323"/>
        <v>0</v>
      </c>
      <c r="BC584" s="28">
        <f t="shared" si="330"/>
        <v>0</v>
      </c>
      <c r="BD584" s="28">
        <f t="shared" si="331"/>
        <v>0</v>
      </c>
      <c r="BF584" s="248">
        <f t="shared" si="332"/>
        <v>993869.29442638322</v>
      </c>
    </row>
    <row r="585" spans="1:58">
      <c r="A585" s="32">
        <f t="shared" si="333"/>
        <v>-410</v>
      </c>
      <c r="B585" s="32">
        <f t="shared" si="324"/>
        <v>94</v>
      </c>
      <c r="C585" s="32">
        <f t="shared" si="334"/>
        <v>42</v>
      </c>
      <c r="D585" s="32">
        <f t="shared" si="335"/>
        <v>495</v>
      </c>
      <c r="E585" s="74">
        <f>MIN(IF(AV585=0,0,
IF(Investment_Strategy="DIS",VLOOKUP(Investment_Strategy&amp;"_"&amp;Investment_Strategy_Sub1&amp;"_"&amp;$A585,'Investment Strategies'!$AZ:$BP,12,FALSE),
IF(AND(Investment_Strategy="Lifecycle",Investment_Strategy_Sub1="Non-Standard"),VLOOKUP(Investment_Strategy&amp;"_"&amp;Investment_Strategy_Sub2&amp;"_"&amp;$A585,'Investment Strategies'!$C:$P,9,FALSE),
IF(AND(Investment_Strategy="Lifecycle",Investment_Strategy_Sub1="Standard"),VLOOKUP(Investment_Strategy&amp;"_"&amp;Investment_Strategy_Sub2&amp;"_"&amp;$A585,'Investment Strategies'!$AJ:$AV,8,FALSE),
IF(AND(Investment_Strategy="Autopilot",Investment_Strategy_Sub1="Non-Standard"),VLOOKUP(Investment_Strategy&amp;"_"&amp;Investment_Strategy_Sub2&amp;"_"&amp;$A585,'Investment Strategies'!$T:$AF,8,FALSE),
IF(Investment_Strategy ="DIY",DIY_RateOfReturn_CurrentFunds,
"Error")))))),Max_InvReturn)</f>
        <v>0</v>
      </c>
      <c r="F585" s="62">
        <f>IF(AV585=0,0,
IF(Investment_Strategy="DIS",VLOOKUP(Investment_Strategy&amp;"_"&amp;Investment_Strategy_Sub1&amp;"_"&amp;$A585,'Investment Strategies'!$AZ:$BP,15,FALSE),
IF(AND(Investment_Strategy="Lifecycle",Investment_Strategy_Sub1="Non-Standard"),VLOOKUP(Investment_Strategy&amp;"_"&amp;Investment_Strategy_Sub2&amp;"_"&amp;$A585,'Investment Strategies'!$C:$P,12,FALSE),
IF(AND(Investment_Strategy="Lifecycle",Investment_Strategy_Sub1="Standard"),VLOOKUP(Investment_Strategy&amp;"_"&amp;Investment_Strategy_Sub2&amp;"_"&amp;$A585,'Investment Strategies'!$AJ:$AV,11,FALSE),
IF(AND(Investment_Strategy="Autopilot",Investment_Strategy_Sub1="Non-Standard"),VLOOKUP(Investment_Strategy&amp;"_"&amp;Investment_Strategy_Sub2&amp;"_"&amp;$A585,'Investment Strategies'!$T:$AF,11,FALSE),
IF(Investment_Strategy="DIY",DIY_GteeChrge_CurrentFunds,
"Error"))))))</f>
        <v>0</v>
      </c>
      <c r="G585" s="33">
        <f>IF(AV585=0,0,
IF(Investment_Strategy="DIS",VLOOKUP(Investment_Strategy&amp;"_"&amp;Investment_Strategy_Sub1&amp;"_"&amp;$A585,'Investment Strategies'!$AZ:$BP,17,FALSE),
IF(AND(Investment_Strategy="Lifecycle",Investment_Strategy_Sub1="Non-Standard"),VLOOKUP(Investment_Strategy&amp;"_"&amp;Investment_Strategy_Sub2&amp;"_"&amp;$A585,'Investment Strategies'!$C:$P,14,FALSE),
IF(AND(Investment_Strategy="Lifecycle",Investment_Strategy_Sub1="Standard"),VLOOKUP(Investment_Strategy&amp;"_"&amp;Investment_Strategy_Sub2&amp;"_"&amp;$A585,'Investment Strategies'!$AJ:$AV,13,FALSE),
IF(AND(Investment_Strategy="Autopilot",Investment_Strategy_Sub1="Non-Standard"),VLOOKUP(Investment_Strategy&amp;"_"&amp;Investment_Strategy_Sub2&amp;"_"&amp;$A585,'Investment Strategies'!$T:$AF,13,FALSE),
IF(Investment_Strategy="DIY",DIY_ExtManChrge_CurrentFunds,
"Error"))))))</f>
        <v>0</v>
      </c>
      <c r="H585" s="16">
        <f t="shared" si="325"/>
        <v>0</v>
      </c>
      <c r="I585" s="16">
        <f t="shared" si="311"/>
        <v>0</v>
      </c>
      <c r="J585" s="16">
        <f t="shared" si="312"/>
        <v>0</v>
      </c>
      <c r="K585" s="16">
        <f>(Opening_Fund_Value+SUM(K$91:K584))*E585*IF(D585=$A$91,SRP_finalmonthfactor,1)</f>
        <v>0</v>
      </c>
      <c r="L585" s="74">
        <f>MIN(IF($AV585=0,0,
IF(Investment_Strategy="DIS",VLOOKUP(Investment_Strategy&amp;"_"&amp;Investment_Strategy_Sub1&amp;"_"&amp;$A585,'Investment Strategies'!$AZ:$BP,12,FALSE),
IF(AND(Investment_Strategy="Lifecycle",Investment_Strategy_Sub1="Non-Standard"),VLOOKUP(Investment_Strategy&amp;"_"&amp;Investment_Strategy_Sub2&amp;"_"&amp;$A585,'Investment Strategies'!$C:$P,9,FALSE),
IF(AND(Investment_Strategy="Lifecycle",Investment_Strategy_Sub1="Standard"),VLOOKUP(Investment_Strategy&amp;"_"&amp;Investment_Strategy_Sub2&amp;"_"&amp;$A585,'Investment Strategies'!$AJ:$AV,8,FALSE),
IF(AND(Investment_Strategy="Autopilot",Investment_Strategy_Sub1="Non-Standard"),VLOOKUP(Investment_Strategy&amp;"_"&amp;Investment_Strategy_Sub2&amp;"_"&amp;$A585,'Investment Strategies'!$T:$AF,8,FALSE),
IF(Investment_Strategy ="DIY",DIY_RateofReturn_SP,
"Error")))))),Max_InvReturn)</f>
        <v>0</v>
      </c>
      <c r="M585" s="62">
        <f>IF($AV585=0,0,
IF(Investment_Strategy="DIS",VLOOKUP(Investment_Strategy&amp;"_"&amp;Investment_Strategy_Sub1&amp;"_"&amp;$A585,'Investment Strategies'!$AZ:$BP,15,FALSE),
IF(AND(Investment_Strategy="Lifecycle",Investment_Strategy_Sub1="Non-Standard"),VLOOKUP(Investment_Strategy&amp;"_"&amp;Investment_Strategy_Sub2&amp;"_"&amp;$A585,'Investment Strategies'!$C:$P,12,FALSE),
IF(AND(Investment_Strategy="Lifecycle",Investment_Strategy_Sub1="Standard"),VLOOKUP(Investment_Strategy&amp;"_"&amp;Investment_Strategy_Sub2&amp;"_"&amp;$A585,'Investment Strategies'!$AJ:$AV,11,FALSE),
IF(AND(Investment_Strategy="Autopilot",Investment_Strategy_Sub1="Non-Standard"),VLOOKUP(Investment_Strategy&amp;"_"&amp;Investment_Strategy_Sub2&amp;"_"&amp;$A585,'Investment Strategies'!$T:$AF,11,FALSE),
IF(Investment_Strategy="DIY",DIY_GteeChrge_SP,
"Error"))))))</f>
        <v>0</v>
      </c>
      <c r="N585" s="33">
        <f>IF($AV585=0,0,
IF(Investment_Strategy="DIS",VLOOKUP(Investment_Strategy&amp;"_"&amp;Investment_Strategy_Sub1&amp;"_"&amp;$A585,'Investment Strategies'!$AZ:$BP,17,FALSE),
IF(AND(Investment_Strategy="Lifecycle",Investment_Strategy_Sub1="Non-Standard"),VLOOKUP(Investment_Strategy&amp;"_"&amp;Investment_Strategy_Sub2&amp;"_"&amp;$A585,'Investment Strategies'!$C:$P,14,FALSE),
IF(AND(Investment_Strategy="Lifecycle",Investment_Strategy_Sub1="Standard"),VLOOKUP(Investment_Strategy&amp;"_"&amp;Investment_Strategy_Sub2&amp;"_"&amp;$A585,'Investment Strategies'!$AJ:$AV,13,FALSE),
IF(AND(Investment_Strategy="Autopilot",Investment_Strategy_Sub1="Non-Standard"),VLOOKUP(Investment_Strategy&amp;"_"&amp;Investment_Strategy_Sub2&amp;"_"&amp;$A585,'Investment Strategies'!$T:$AF,13,FALSE),
IF(Investment_Strategy="DIY",DIY_ExtManChrge_SP,
"Error"))))))</f>
        <v>0</v>
      </c>
      <c r="O585" s="16">
        <f t="shared" si="336"/>
        <v>0</v>
      </c>
      <c r="Q585" s="16">
        <f t="shared" si="313"/>
        <v>0</v>
      </c>
      <c r="R585" s="16">
        <f t="shared" si="310"/>
        <v>0</v>
      </c>
      <c r="S585" s="16">
        <f>(SRP_SP+SUM(S$91:S584))*L585*IF(D585=$A$91,SRP_finalmonthfactor,1)</f>
        <v>0</v>
      </c>
      <c r="T585" s="74">
        <f>MIN(IF($AV585=0,0,
IF(Investment_Strategy="DIS",VLOOKUP(Investment_Strategy&amp;"_"&amp;Investment_Strategy_Sub1&amp;"_"&amp;$A585,'Investment Strategies'!$AZ:$BP,12,FALSE),
IF(AND(Investment_Strategy="Lifecycle",Investment_Strategy_Sub1="Non-Standard"),VLOOKUP(Investment_Strategy&amp;"_"&amp;Investment_Strategy_Sub2&amp;"_"&amp;$A585,'Investment Strategies'!$C:$P,9,FALSE),
IF(AND(Investment_Strategy="Lifecycle",Investment_Strategy_Sub1="Standard"),VLOOKUP(Investment_Strategy&amp;"_"&amp;Investment_Strategy_Sub2&amp;"_"&amp;$A585,'Investment Strategies'!$AJ:$AV,8,FALSE),
IF(AND(Investment_Strategy="Autopilot",Investment_Strategy_Sub1="Non-Standard"),VLOOKUP(Investment_Strategy&amp;"_"&amp;Investment_Strategy_Sub2&amp;"_"&amp;$A585,'Investment Strategies'!$T:$AF,8,FALSE),
IF(Investment_Strategy ="DIY",DIY_RateOfReturn_FuturePremiums,
"Error")))))),Max_InvReturn)</f>
        <v>0</v>
      </c>
      <c r="U585" s="62">
        <f>IF($AV585=0,0,
IF(Investment_Strategy="DIS",VLOOKUP(Investment_Strategy&amp;"_"&amp;Investment_Strategy_Sub1&amp;"_"&amp;$A585,'Investment Strategies'!$AZ:$BP,15,FALSE),
IF(AND(Investment_Strategy="Lifecycle",Investment_Strategy_Sub1="Non-Standard"),VLOOKUP(Investment_Strategy&amp;"_"&amp;Investment_Strategy_Sub2&amp;"_"&amp;$A585,'Investment Strategies'!$C:$P,12,FALSE),
IF(AND(Investment_Strategy="Lifecycle",Investment_Strategy_Sub1="Standard"),VLOOKUP(Investment_Strategy&amp;"_"&amp;Investment_Strategy_Sub2&amp;"_"&amp;$A585,'Investment Strategies'!$AJ:$AV,11,FALSE),
IF(AND(Investment_Strategy="Autopilot",Investment_Strategy_Sub1="Non-Standard"),VLOOKUP(Investment_Strategy&amp;"_"&amp;Investment_Strategy_Sub2&amp;"_"&amp;$A585,'Investment Strategies'!$T:$AF,11,FALSE),
IF(Investment_Strategy="DIY",DIY_GteeChrge_FuturePremiums,
"Error"))))))</f>
        <v>0</v>
      </c>
      <c r="V585" s="33">
        <f>IF(AV585=0,0,
IF(Investment_Strategy="DIS",VLOOKUP(Investment_Strategy&amp;"_"&amp;Investment_Strategy_Sub1&amp;"_"&amp;$A585,'Investment Strategies'!$AZ:$BP,17,FALSE),
IF(AND(Investment_Strategy="Lifecycle",Investment_Strategy_Sub1="Non-Standard"),VLOOKUP(Investment_Strategy&amp;"_"&amp;Investment_Strategy_Sub2&amp;"_"&amp;$A585,'Investment Strategies'!$C:$P,14,FALSE),
IF(AND(Investment_Strategy="Lifecycle",Investment_Strategy_Sub1="Standard"),VLOOKUP(Investment_Strategy&amp;"_"&amp;Investment_Strategy_Sub2&amp;"_"&amp;$A585,'Investment Strategies'!$AJ:$AV,13,FALSE),
IF(AND(Investment_Strategy="Autopilot",Investment_Strategy_Sub1="Non-Standard"),VLOOKUP(Investment_Strategy&amp;"_"&amp;Investment_Strategy_Sub2&amp;"_"&amp;$A585,'Investment Strategies'!$T:$AF,13,FALSE),
IF(Investment_Strategy="DIY",DIY_ExtManChrge_FuturePremiums,
"Error"))))))</f>
        <v>0</v>
      </c>
      <c r="W585" s="16">
        <f t="shared" si="337"/>
        <v>0</v>
      </c>
      <c r="X585" s="16">
        <f t="shared" si="314"/>
        <v>0</v>
      </c>
      <c r="Y585" s="16">
        <f t="shared" si="315"/>
        <v>0</v>
      </c>
      <c r="Z585" s="31">
        <f t="shared" si="316"/>
        <v>0.02</v>
      </c>
      <c r="AA585" s="16">
        <f t="shared" si="317"/>
        <v>0</v>
      </c>
      <c r="AB585" s="28">
        <f t="shared" si="339"/>
        <v>0</v>
      </c>
      <c r="AC585" s="28">
        <f>(SUM($AC$91:AC584)+SUM($X$91:X584)+X585)*T585*IF(D585=$A$91,SRP_finalmonthfactor,1)</f>
        <v>0</v>
      </c>
      <c r="AD585" s="16">
        <f t="shared" si="318"/>
        <v>0</v>
      </c>
      <c r="AE585" s="106"/>
      <c r="AF585" s="16">
        <f t="shared" si="326"/>
        <v>0</v>
      </c>
      <c r="AG585" s="16">
        <f t="shared" si="327"/>
        <v>0</v>
      </c>
      <c r="AH585" s="16">
        <f t="shared" si="328"/>
        <v>0</v>
      </c>
      <c r="AJ585" s="13">
        <f t="shared" si="343"/>
        <v>0</v>
      </c>
      <c r="AK585" s="13">
        <f t="shared" si="343"/>
        <v>0</v>
      </c>
      <c r="AL585" s="13">
        <f t="shared" si="343"/>
        <v>0</v>
      </c>
      <c r="AM585" s="13">
        <f t="shared" si="343"/>
        <v>0</v>
      </c>
      <c r="AN585" s="13">
        <f t="shared" si="343"/>
        <v>0</v>
      </c>
      <c r="AO585" s="13">
        <f t="shared" si="343"/>
        <v>1</v>
      </c>
      <c r="AP585" s="13">
        <f t="shared" si="343"/>
        <v>1</v>
      </c>
      <c r="AQ585" s="13">
        <f t="shared" si="343"/>
        <v>1</v>
      </c>
      <c r="AR585" s="13">
        <f t="shared" si="343"/>
        <v>0</v>
      </c>
      <c r="AS585" s="13">
        <f t="shared" si="343"/>
        <v>0</v>
      </c>
      <c r="AT585" s="13">
        <f t="shared" si="343"/>
        <v>0</v>
      </c>
      <c r="AU585" s="13">
        <f t="shared" si="343"/>
        <v>0</v>
      </c>
      <c r="AV585" s="13">
        <f t="shared" si="319"/>
        <v>0</v>
      </c>
      <c r="AW585" s="13">
        <f t="shared" si="320"/>
        <v>1</v>
      </c>
      <c r="AY585" s="17">
        <f t="shared" si="321"/>
        <v>495</v>
      </c>
      <c r="AZ585" s="28">
        <f t="shared" si="329"/>
        <v>0</v>
      </c>
      <c r="BA585" s="13">
        <f t="shared" si="322"/>
        <v>0</v>
      </c>
      <c r="BB585" s="13">
        <f t="shared" si="323"/>
        <v>0</v>
      </c>
      <c r="BC585" s="28">
        <f t="shared" si="330"/>
        <v>0</v>
      </c>
      <c r="BD585" s="28">
        <f t="shared" si="331"/>
        <v>0</v>
      </c>
      <c r="BF585" s="248">
        <f t="shared" si="332"/>
        <v>993869.29442638322</v>
      </c>
    </row>
    <row r="586" spans="1:58">
      <c r="A586" s="32">
        <f t="shared" si="333"/>
        <v>-411</v>
      </c>
      <c r="B586" s="32">
        <f t="shared" si="324"/>
        <v>94</v>
      </c>
      <c r="C586" s="32">
        <f t="shared" si="334"/>
        <v>42</v>
      </c>
      <c r="D586" s="32">
        <f t="shared" si="335"/>
        <v>496</v>
      </c>
      <c r="E586" s="74">
        <f>MIN(IF(AV586=0,0,
IF(Investment_Strategy="DIS",VLOOKUP(Investment_Strategy&amp;"_"&amp;Investment_Strategy_Sub1&amp;"_"&amp;$A586,'Investment Strategies'!$AZ:$BP,12,FALSE),
IF(AND(Investment_Strategy="Lifecycle",Investment_Strategy_Sub1="Non-Standard"),VLOOKUP(Investment_Strategy&amp;"_"&amp;Investment_Strategy_Sub2&amp;"_"&amp;$A586,'Investment Strategies'!$C:$P,9,FALSE),
IF(AND(Investment_Strategy="Lifecycle",Investment_Strategy_Sub1="Standard"),VLOOKUP(Investment_Strategy&amp;"_"&amp;Investment_Strategy_Sub2&amp;"_"&amp;$A586,'Investment Strategies'!$AJ:$AV,8,FALSE),
IF(AND(Investment_Strategy="Autopilot",Investment_Strategy_Sub1="Non-Standard"),VLOOKUP(Investment_Strategy&amp;"_"&amp;Investment_Strategy_Sub2&amp;"_"&amp;$A586,'Investment Strategies'!$T:$AF,8,FALSE),
IF(Investment_Strategy ="DIY",DIY_RateOfReturn_CurrentFunds,
"Error")))))),Max_InvReturn)</f>
        <v>0</v>
      </c>
      <c r="F586" s="62">
        <f>IF(AV586=0,0,
IF(Investment_Strategy="DIS",VLOOKUP(Investment_Strategy&amp;"_"&amp;Investment_Strategy_Sub1&amp;"_"&amp;$A586,'Investment Strategies'!$AZ:$BP,15,FALSE),
IF(AND(Investment_Strategy="Lifecycle",Investment_Strategy_Sub1="Non-Standard"),VLOOKUP(Investment_Strategy&amp;"_"&amp;Investment_Strategy_Sub2&amp;"_"&amp;$A586,'Investment Strategies'!$C:$P,12,FALSE),
IF(AND(Investment_Strategy="Lifecycle",Investment_Strategy_Sub1="Standard"),VLOOKUP(Investment_Strategy&amp;"_"&amp;Investment_Strategy_Sub2&amp;"_"&amp;$A586,'Investment Strategies'!$AJ:$AV,11,FALSE),
IF(AND(Investment_Strategy="Autopilot",Investment_Strategy_Sub1="Non-Standard"),VLOOKUP(Investment_Strategy&amp;"_"&amp;Investment_Strategy_Sub2&amp;"_"&amp;$A586,'Investment Strategies'!$T:$AF,11,FALSE),
IF(Investment_Strategy="DIY",DIY_GteeChrge_CurrentFunds,
"Error"))))))</f>
        <v>0</v>
      </c>
      <c r="G586" s="33">
        <f>IF(AV586=0,0,
IF(Investment_Strategy="DIS",VLOOKUP(Investment_Strategy&amp;"_"&amp;Investment_Strategy_Sub1&amp;"_"&amp;$A586,'Investment Strategies'!$AZ:$BP,17,FALSE),
IF(AND(Investment_Strategy="Lifecycle",Investment_Strategy_Sub1="Non-Standard"),VLOOKUP(Investment_Strategy&amp;"_"&amp;Investment_Strategy_Sub2&amp;"_"&amp;$A586,'Investment Strategies'!$C:$P,14,FALSE),
IF(AND(Investment_Strategy="Lifecycle",Investment_Strategy_Sub1="Standard"),VLOOKUP(Investment_Strategy&amp;"_"&amp;Investment_Strategy_Sub2&amp;"_"&amp;$A586,'Investment Strategies'!$AJ:$AV,13,FALSE),
IF(AND(Investment_Strategy="Autopilot",Investment_Strategy_Sub1="Non-Standard"),VLOOKUP(Investment_Strategy&amp;"_"&amp;Investment_Strategy_Sub2&amp;"_"&amp;$A586,'Investment Strategies'!$T:$AF,13,FALSE),
IF(Investment_Strategy="DIY",DIY_ExtManChrge_CurrentFunds,
"Error"))))))</f>
        <v>0</v>
      </c>
      <c r="H586" s="16">
        <f t="shared" si="325"/>
        <v>0</v>
      </c>
      <c r="I586" s="16">
        <f t="shared" si="311"/>
        <v>0</v>
      </c>
      <c r="J586" s="16">
        <f t="shared" si="312"/>
        <v>0</v>
      </c>
      <c r="K586" s="16">
        <f>(Opening_Fund_Value+SUM(K$91:K585))*E586*IF(D586=$A$91,SRP_finalmonthfactor,1)</f>
        <v>0</v>
      </c>
      <c r="L586" s="74">
        <f>MIN(IF($AV586=0,0,
IF(Investment_Strategy="DIS",VLOOKUP(Investment_Strategy&amp;"_"&amp;Investment_Strategy_Sub1&amp;"_"&amp;$A586,'Investment Strategies'!$AZ:$BP,12,FALSE),
IF(AND(Investment_Strategy="Lifecycle",Investment_Strategy_Sub1="Non-Standard"),VLOOKUP(Investment_Strategy&amp;"_"&amp;Investment_Strategy_Sub2&amp;"_"&amp;$A586,'Investment Strategies'!$C:$P,9,FALSE),
IF(AND(Investment_Strategy="Lifecycle",Investment_Strategy_Sub1="Standard"),VLOOKUP(Investment_Strategy&amp;"_"&amp;Investment_Strategy_Sub2&amp;"_"&amp;$A586,'Investment Strategies'!$AJ:$AV,8,FALSE),
IF(AND(Investment_Strategy="Autopilot",Investment_Strategy_Sub1="Non-Standard"),VLOOKUP(Investment_Strategy&amp;"_"&amp;Investment_Strategy_Sub2&amp;"_"&amp;$A586,'Investment Strategies'!$T:$AF,8,FALSE),
IF(Investment_Strategy ="DIY",DIY_RateofReturn_SP,
"Error")))))),Max_InvReturn)</f>
        <v>0</v>
      </c>
      <c r="M586" s="62">
        <f>IF($AV586=0,0,
IF(Investment_Strategy="DIS",VLOOKUP(Investment_Strategy&amp;"_"&amp;Investment_Strategy_Sub1&amp;"_"&amp;$A586,'Investment Strategies'!$AZ:$BP,15,FALSE),
IF(AND(Investment_Strategy="Lifecycle",Investment_Strategy_Sub1="Non-Standard"),VLOOKUP(Investment_Strategy&amp;"_"&amp;Investment_Strategy_Sub2&amp;"_"&amp;$A586,'Investment Strategies'!$C:$P,12,FALSE),
IF(AND(Investment_Strategy="Lifecycle",Investment_Strategy_Sub1="Standard"),VLOOKUP(Investment_Strategy&amp;"_"&amp;Investment_Strategy_Sub2&amp;"_"&amp;$A586,'Investment Strategies'!$AJ:$AV,11,FALSE),
IF(AND(Investment_Strategy="Autopilot",Investment_Strategy_Sub1="Non-Standard"),VLOOKUP(Investment_Strategy&amp;"_"&amp;Investment_Strategy_Sub2&amp;"_"&amp;$A586,'Investment Strategies'!$T:$AF,11,FALSE),
IF(Investment_Strategy="DIY",DIY_GteeChrge_SP,
"Error"))))))</f>
        <v>0</v>
      </c>
      <c r="N586" s="33">
        <f>IF($AV586=0,0,
IF(Investment_Strategy="DIS",VLOOKUP(Investment_Strategy&amp;"_"&amp;Investment_Strategy_Sub1&amp;"_"&amp;$A586,'Investment Strategies'!$AZ:$BP,17,FALSE),
IF(AND(Investment_Strategy="Lifecycle",Investment_Strategy_Sub1="Non-Standard"),VLOOKUP(Investment_Strategy&amp;"_"&amp;Investment_Strategy_Sub2&amp;"_"&amp;$A586,'Investment Strategies'!$C:$P,14,FALSE),
IF(AND(Investment_Strategy="Lifecycle",Investment_Strategy_Sub1="Standard"),VLOOKUP(Investment_Strategy&amp;"_"&amp;Investment_Strategy_Sub2&amp;"_"&amp;$A586,'Investment Strategies'!$AJ:$AV,13,FALSE),
IF(AND(Investment_Strategy="Autopilot",Investment_Strategy_Sub1="Non-Standard"),VLOOKUP(Investment_Strategy&amp;"_"&amp;Investment_Strategy_Sub2&amp;"_"&amp;$A586,'Investment Strategies'!$T:$AF,13,FALSE),
IF(Investment_Strategy="DIY",DIY_ExtManChrge_SP,
"Error"))))))</f>
        <v>0</v>
      </c>
      <c r="O586" s="16">
        <f t="shared" si="336"/>
        <v>0</v>
      </c>
      <c r="Q586" s="16">
        <f t="shared" si="313"/>
        <v>0</v>
      </c>
      <c r="R586" s="16">
        <f t="shared" si="310"/>
        <v>0</v>
      </c>
      <c r="S586" s="16">
        <f>(SRP_SP+SUM(S$91:S585))*L586*IF(D586=$A$91,SRP_finalmonthfactor,1)</f>
        <v>0</v>
      </c>
      <c r="T586" s="74">
        <f>MIN(IF($AV586=0,0,
IF(Investment_Strategy="DIS",VLOOKUP(Investment_Strategy&amp;"_"&amp;Investment_Strategy_Sub1&amp;"_"&amp;$A586,'Investment Strategies'!$AZ:$BP,12,FALSE),
IF(AND(Investment_Strategy="Lifecycle",Investment_Strategy_Sub1="Non-Standard"),VLOOKUP(Investment_Strategy&amp;"_"&amp;Investment_Strategy_Sub2&amp;"_"&amp;$A586,'Investment Strategies'!$C:$P,9,FALSE),
IF(AND(Investment_Strategy="Lifecycle",Investment_Strategy_Sub1="Standard"),VLOOKUP(Investment_Strategy&amp;"_"&amp;Investment_Strategy_Sub2&amp;"_"&amp;$A586,'Investment Strategies'!$AJ:$AV,8,FALSE),
IF(AND(Investment_Strategy="Autopilot",Investment_Strategy_Sub1="Non-Standard"),VLOOKUP(Investment_Strategy&amp;"_"&amp;Investment_Strategy_Sub2&amp;"_"&amp;$A586,'Investment Strategies'!$T:$AF,8,FALSE),
IF(Investment_Strategy ="DIY",DIY_RateOfReturn_FuturePremiums,
"Error")))))),Max_InvReturn)</f>
        <v>0</v>
      </c>
      <c r="U586" s="62">
        <f>IF($AV586=0,0,
IF(Investment_Strategy="DIS",VLOOKUP(Investment_Strategy&amp;"_"&amp;Investment_Strategy_Sub1&amp;"_"&amp;$A586,'Investment Strategies'!$AZ:$BP,15,FALSE),
IF(AND(Investment_Strategy="Lifecycle",Investment_Strategy_Sub1="Non-Standard"),VLOOKUP(Investment_Strategy&amp;"_"&amp;Investment_Strategy_Sub2&amp;"_"&amp;$A586,'Investment Strategies'!$C:$P,12,FALSE),
IF(AND(Investment_Strategy="Lifecycle",Investment_Strategy_Sub1="Standard"),VLOOKUP(Investment_Strategy&amp;"_"&amp;Investment_Strategy_Sub2&amp;"_"&amp;$A586,'Investment Strategies'!$AJ:$AV,11,FALSE),
IF(AND(Investment_Strategy="Autopilot",Investment_Strategy_Sub1="Non-Standard"),VLOOKUP(Investment_Strategy&amp;"_"&amp;Investment_Strategy_Sub2&amp;"_"&amp;$A586,'Investment Strategies'!$T:$AF,11,FALSE),
IF(Investment_Strategy="DIY",DIY_GteeChrge_FuturePremiums,
"Error"))))))</f>
        <v>0</v>
      </c>
      <c r="V586" s="33">
        <f>IF(AV586=0,0,
IF(Investment_Strategy="DIS",VLOOKUP(Investment_Strategy&amp;"_"&amp;Investment_Strategy_Sub1&amp;"_"&amp;$A586,'Investment Strategies'!$AZ:$BP,17,FALSE),
IF(AND(Investment_Strategy="Lifecycle",Investment_Strategy_Sub1="Non-Standard"),VLOOKUP(Investment_Strategy&amp;"_"&amp;Investment_Strategy_Sub2&amp;"_"&amp;$A586,'Investment Strategies'!$C:$P,14,FALSE),
IF(AND(Investment_Strategy="Lifecycle",Investment_Strategy_Sub1="Standard"),VLOOKUP(Investment_Strategy&amp;"_"&amp;Investment_Strategy_Sub2&amp;"_"&amp;$A586,'Investment Strategies'!$AJ:$AV,13,FALSE),
IF(AND(Investment_Strategy="Autopilot",Investment_Strategy_Sub1="Non-Standard"),VLOOKUP(Investment_Strategy&amp;"_"&amp;Investment_Strategy_Sub2&amp;"_"&amp;$A586,'Investment Strategies'!$T:$AF,13,FALSE),
IF(Investment_Strategy="DIY",DIY_ExtManChrge_FuturePremiums,
"Error"))))))</f>
        <v>0</v>
      </c>
      <c r="W586" s="16">
        <f t="shared" si="337"/>
        <v>0</v>
      </c>
      <c r="X586" s="16">
        <f t="shared" si="314"/>
        <v>0</v>
      </c>
      <c r="Y586" s="16">
        <f t="shared" si="315"/>
        <v>0</v>
      </c>
      <c r="Z586" s="31">
        <f t="shared" si="316"/>
        <v>0.02</v>
      </c>
      <c r="AA586" s="16">
        <f t="shared" si="317"/>
        <v>0</v>
      </c>
      <c r="AB586" s="28">
        <f t="shared" si="339"/>
        <v>0</v>
      </c>
      <c r="AC586" s="28">
        <f>(SUM($AC$91:AC585)+SUM($X$91:X585)+X586)*T586*IF(D586=$A$91,SRP_finalmonthfactor,1)</f>
        <v>0</v>
      </c>
      <c r="AD586" s="16">
        <f t="shared" si="318"/>
        <v>0</v>
      </c>
      <c r="AE586" s="106"/>
      <c r="AF586" s="16">
        <f t="shared" si="326"/>
        <v>0</v>
      </c>
      <c r="AG586" s="16">
        <f t="shared" si="327"/>
        <v>0</v>
      </c>
      <c r="AH586" s="16">
        <f t="shared" si="328"/>
        <v>0</v>
      </c>
      <c r="AJ586" s="13">
        <f t="shared" si="343"/>
        <v>0</v>
      </c>
      <c r="AK586" s="13">
        <f t="shared" si="343"/>
        <v>0</v>
      </c>
      <c r="AL586" s="13">
        <f t="shared" si="343"/>
        <v>0</v>
      </c>
      <c r="AM586" s="13">
        <f t="shared" si="343"/>
        <v>0</v>
      </c>
      <c r="AN586" s="13">
        <f t="shared" si="343"/>
        <v>0</v>
      </c>
      <c r="AO586" s="13">
        <f t="shared" si="343"/>
        <v>1</v>
      </c>
      <c r="AP586" s="13">
        <f t="shared" si="343"/>
        <v>1</v>
      </c>
      <c r="AQ586" s="13">
        <f t="shared" si="343"/>
        <v>1</v>
      </c>
      <c r="AR586" s="13">
        <f t="shared" si="343"/>
        <v>0</v>
      </c>
      <c r="AS586" s="13">
        <f t="shared" si="343"/>
        <v>0</v>
      </c>
      <c r="AT586" s="13">
        <f t="shared" si="343"/>
        <v>0</v>
      </c>
      <c r="AU586" s="13">
        <f t="shared" si="343"/>
        <v>0</v>
      </c>
      <c r="AV586" s="13">
        <f t="shared" si="319"/>
        <v>0</v>
      </c>
      <c r="AW586" s="13">
        <f t="shared" si="320"/>
        <v>1</v>
      </c>
      <c r="AY586" s="17">
        <f t="shared" si="321"/>
        <v>496</v>
      </c>
      <c r="AZ586" s="28">
        <f t="shared" si="329"/>
        <v>0</v>
      </c>
      <c r="BA586" s="13">
        <f t="shared" si="322"/>
        <v>0</v>
      </c>
      <c r="BB586" s="13">
        <f t="shared" si="323"/>
        <v>0</v>
      </c>
      <c r="BC586" s="28">
        <f t="shared" si="330"/>
        <v>0</v>
      </c>
      <c r="BD586" s="28">
        <f t="shared" si="331"/>
        <v>0</v>
      </c>
      <c r="BF586" s="248">
        <f t="shared" si="332"/>
        <v>993869.29442638322</v>
      </c>
    </row>
    <row r="587" spans="1:58">
      <c r="A587" s="32">
        <f t="shared" si="333"/>
        <v>-412</v>
      </c>
      <c r="B587" s="32">
        <f t="shared" si="324"/>
        <v>94</v>
      </c>
      <c r="C587" s="32">
        <f t="shared" si="334"/>
        <v>42</v>
      </c>
      <c r="D587" s="32">
        <f t="shared" si="335"/>
        <v>497</v>
      </c>
      <c r="E587" s="74">
        <f>MIN(IF(AV587=0,0,
IF(Investment_Strategy="DIS",VLOOKUP(Investment_Strategy&amp;"_"&amp;Investment_Strategy_Sub1&amp;"_"&amp;$A587,'Investment Strategies'!$AZ:$BP,12,FALSE),
IF(AND(Investment_Strategy="Lifecycle",Investment_Strategy_Sub1="Non-Standard"),VLOOKUP(Investment_Strategy&amp;"_"&amp;Investment_Strategy_Sub2&amp;"_"&amp;$A587,'Investment Strategies'!$C:$P,9,FALSE),
IF(AND(Investment_Strategy="Lifecycle",Investment_Strategy_Sub1="Standard"),VLOOKUP(Investment_Strategy&amp;"_"&amp;Investment_Strategy_Sub2&amp;"_"&amp;$A587,'Investment Strategies'!$AJ:$AV,8,FALSE),
IF(AND(Investment_Strategy="Autopilot",Investment_Strategy_Sub1="Non-Standard"),VLOOKUP(Investment_Strategy&amp;"_"&amp;Investment_Strategy_Sub2&amp;"_"&amp;$A587,'Investment Strategies'!$T:$AF,8,FALSE),
IF(Investment_Strategy ="DIY",DIY_RateOfReturn_CurrentFunds,
"Error")))))),Max_InvReturn)</f>
        <v>0</v>
      </c>
      <c r="F587" s="62">
        <f>IF(AV587=0,0,
IF(Investment_Strategy="DIS",VLOOKUP(Investment_Strategy&amp;"_"&amp;Investment_Strategy_Sub1&amp;"_"&amp;$A587,'Investment Strategies'!$AZ:$BP,15,FALSE),
IF(AND(Investment_Strategy="Lifecycle",Investment_Strategy_Sub1="Non-Standard"),VLOOKUP(Investment_Strategy&amp;"_"&amp;Investment_Strategy_Sub2&amp;"_"&amp;$A587,'Investment Strategies'!$C:$P,12,FALSE),
IF(AND(Investment_Strategy="Lifecycle",Investment_Strategy_Sub1="Standard"),VLOOKUP(Investment_Strategy&amp;"_"&amp;Investment_Strategy_Sub2&amp;"_"&amp;$A587,'Investment Strategies'!$AJ:$AV,11,FALSE),
IF(AND(Investment_Strategy="Autopilot",Investment_Strategy_Sub1="Non-Standard"),VLOOKUP(Investment_Strategy&amp;"_"&amp;Investment_Strategy_Sub2&amp;"_"&amp;$A587,'Investment Strategies'!$T:$AF,11,FALSE),
IF(Investment_Strategy="DIY",DIY_GteeChrge_CurrentFunds,
"Error"))))))</f>
        <v>0</v>
      </c>
      <c r="G587" s="33">
        <f>IF(AV587=0,0,
IF(Investment_Strategy="DIS",VLOOKUP(Investment_Strategy&amp;"_"&amp;Investment_Strategy_Sub1&amp;"_"&amp;$A587,'Investment Strategies'!$AZ:$BP,17,FALSE),
IF(AND(Investment_Strategy="Lifecycle",Investment_Strategy_Sub1="Non-Standard"),VLOOKUP(Investment_Strategy&amp;"_"&amp;Investment_Strategy_Sub2&amp;"_"&amp;$A587,'Investment Strategies'!$C:$P,14,FALSE),
IF(AND(Investment_Strategy="Lifecycle",Investment_Strategy_Sub1="Standard"),VLOOKUP(Investment_Strategy&amp;"_"&amp;Investment_Strategy_Sub2&amp;"_"&amp;$A587,'Investment Strategies'!$AJ:$AV,13,FALSE),
IF(AND(Investment_Strategy="Autopilot",Investment_Strategy_Sub1="Non-Standard"),VLOOKUP(Investment_Strategy&amp;"_"&amp;Investment_Strategy_Sub2&amp;"_"&amp;$A587,'Investment Strategies'!$T:$AF,13,FALSE),
IF(Investment_Strategy="DIY",DIY_ExtManChrge_CurrentFunds,
"Error"))))))</f>
        <v>0</v>
      </c>
      <c r="H587" s="16">
        <f t="shared" si="325"/>
        <v>0</v>
      </c>
      <c r="I587" s="16">
        <f t="shared" si="311"/>
        <v>0</v>
      </c>
      <c r="J587" s="16">
        <f t="shared" si="312"/>
        <v>0</v>
      </c>
      <c r="K587" s="16">
        <f>(Opening_Fund_Value+SUM(K$91:K586))*E587*IF(D587=$A$91,SRP_finalmonthfactor,1)</f>
        <v>0</v>
      </c>
      <c r="L587" s="74">
        <f>MIN(IF($AV587=0,0,
IF(Investment_Strategy="DIS",VLOOKUP(Investment_Strategy&amp;"_"&amp;Investment_Strategy_Sub1&amp;"_"&amp;$A587,'Investment Strategies'!$AZ:$BP,12,FALSE),
IF(AND(Investment_Strategy="Lifecycle",Investment_Strategy_Sub1="Non-Standard"),VLOOKUP(Investment_Strategy&amp;"_"&amp;Investment_Strategy_Sub2&amp;"_"&amp;$A587,'Investment Strategies'!$C:$P,9,FALSE),
IF(AND(Investment_Strategy="Lifecycle",Investment_Strategy_Sub1="Standard"),VLOOKUP(Investment_Strategy&amp;"_"&amp;Investment_Strategy_Sub2&amp;"_"&amp;$A587,'Investment Strategies'!$AJ:$AV,8,FALSE),
IF(AND(Investment_Strategy="Autopilot",Investment_Strategy_Sub1="Non-Standard"),VLOOKUP(Investment_Strategy&amp;"_"&amp;Investment_Strategy_Sub2&amp;"_"&amp;$A587,'Investment Strategies'!$T:$AF,8,FALSE),
IF(Investment_Strategy ="DIY",DIY_RateofReturn_SP,
"Error")))))),Max_InvReturn)</f>
        <v>0</v>
      </c>
      <c r="M587" s="62">
        <f>IF($AV587=0,0,
IF(Investment_Strategy="DIS",VLOOKUP(Investment_Strategy&amp;"_"&amp;Investment_Strategy_Sub1&amp;"_"&amp;$A587,'Investment Strategies'!$AZ:$BP,15,FALSE),
IF(AND(Investment_Strategy="Lifecycle",Investment_Strategy_Sub1="Non-Standard"),VLOOKUP(Investment_Strategy&amp;"_"&amp;Investment_Strategy_Sub2&amp;"_"&amp;$A587,'Investment Strategies'!$C:$P,12,FALSE),
IF(AND(Investment_Strategy="Lifecycle",Investment_Strategy_Sub1="Standard"),VLOOKUP(Investment_Strategy&amp;"_"&amp;Investment_Strategy_Sub2&amp;"_"&amp;$A587,'Investment Strategies'!$AJ:$AV,11,FALSE),
IF(AND(Investment_Strategy="Autopilot",Investment_Strategy_Sub1="Non-Standard"),VLOOKUP(Investment_Strategy&amp;"_"&amp;Investment_Strategy_Sub2&amp;"_"&amp;$A587,'Investment Strategies'!$T:$AF,11,FALSE),
IF(Investment_Strategy="DIY",DIY_GteeChrge_SP,
"Error"))))))</f>
        <v>0</v>
      </c>
      <c r="N587" s="33">
        <f>IF($AV587=0,0,
IF(Investment_Strategy="DIS",VLOOKUP(Investment_Strategy&amp;"_"&amp;Investment_Strategy_Sub1&amp;"_"&amp;$A587,'Investment Strategies'!$AZ:$BP,17,FALSE),
IF(AND(Investment_Strategy="Lifecycle",Investment_Strategy_Sub1="Non-Standard"),VLOOKUP(Investment_Strategy&amp;"_"&amp;Investment_Strategy_Sub2&amp;"_"&amp;$A587,'Investment Strategies'!$C:$P,14,FALSE),
IF(AND(Investment_Strategy="Lifecycle",Investment_Strategy_Sub1="Standard"),VLOOKUP(Investment_Strategy&amp;"_"&amp;Investment_Strategy_Sub2&amp;"_"&amp;$A587,'Investment Strategies'!$AJ:$AV,13,FALSE),
IF(AND(Investment_Strategy="Autopilot",Investment_Strategy_Sub1="Non-Standard"),VLOOKUP(Investment_Strategy&amp;"_"&amp;Investment_Strategy_Sub2&amp;"_"&amp;$A587,'Investment Strategies'!$T:$AF,13,FALSE),
IF(Investment_Strategy="DIY",DIY_ExtManChrge_SP,
"Error"))))))</f>
        <v>0</v>
      </c>
      <c r="O587" s="16">
        <f t="shared" si="336"/>
        <v>0</v>
      </c>
      <c r="Q587" s="16">
        <f t="shared" si="313"/>
        <v>0</v>
      </c>
      <c r="R587" s="16">
        <f t="shared" si="310"/>
        <v>0</v>
      </c>
      <c r="S587" s="16">
        <f>(SRP_SP+SUM(S$91:S586))*L587*IF(D587=$A$91,SRP_finalmonthfactor,1)</f>
        <v>0</v>
      </c>
      <c r="T587" s="74">
        <f>MIN(IF($AV587=0,0,
IF(Investment_Strategy="DIS",VLOOKUP(Investment_Strategy&amp;"_"&amp;Investment_Strategy_Sub1&amp;"_"&amp;$A587,'Investment Strategies'!$AZ:$BP,12,FALSE),
IF(AND(Investment_Strategy="Lifecycle",Investment_Strategy_Sub1="Non-Standard"),VLOOKUP(Investment_Strategy&amp;"_"&amp;Investment_Strategy_Sub2&amp;"_"&amp;$A587,'Investment Strategies'!$C:$P,9,FALSE),
IF(AND(Investment_Strategy="Lifecycle",Investment_Strategy_Sub1="Standard"),VLOOKUP(Investment_Strategy&amp;"_"&amp;Investment_Strategy_Sub2&amp;"_"&amp;$A587,'Investment Strategies'!$AJ:$AV,8,FALSE),
IF(AND(Investment_Strategy="Autopilot",Investment_Strategy_Sub1="Non-Standard"),VLOOKUP(Investment_Strategy&amp;"_"&amp;Investment_Strategy_Sub2&amp;"_"&amp;$A587,'Investment Strategies'!$T:$AF,8,FALSE),
IF(Investment_Strategy ="DIY",DIY_RateOfReturn_FuturePremiums,
"Error")))))),Max_InvReturn)</f>
        <v>0</v>
      </c>
      <c r="U587" s="62">
        <f>IF($AV587=0,0,
IF(Investment_Strategy="DIS",VLOOKUP(Investment_Strategy&amp;"_"&amp;Investment_Strategy_Sub1&amp;"_"&amp;$A587,'Investment Strategies'!$AZ:$BP,15,FALSE),
IF(AND(Investment_Strategy="Lifecycle",Investment_Strategy_Sub1="Non-Standard"),VLOOKUP(Investment_Strategy&amp;"_"&amp;Investment_Strategy_Sub2&amp;"_"&amp;$A587,'Investment Strategies'!$C:$P,12,FALSE),
IF(AND(Investment_Strategy="Lifecycle",Investment_Strategy_Sub1="Standard"),VLOOKUP(Investment_Strategy&amp;"_"&amp;Investment_Strategy_Sub2&amp;"_"&amp;$A587,'Investment Strategies'!$AJ:$AV,11,FALSE),
IF(AND(Investment_Strategy="Autopilot",Investment_Strategy_Sub1="Non-Standard"),VLOOKUP(Investment_Strategy&amp;"_"&amp;Investment_Strategy_Sub2&amp;"_"&amp;$A587,'Investment Strategies'!$T:$AF,11,FALSE),
IF(Investment_Strategy="DIY",DIY_GteeChrge_FuturePremiums,
"Error"))))))</f>
        <v>0</v>
      </c>
      <c r="V587" s="33">
        <f>IF(AV587=0,0,
IF(Investment_Strategy="DIS",VLOOKUP(Investment_Strategy&amp;"_"&amp;Investment_Strategy_Sub1&amp;"_"&amp;$A587,'Investment Strategies'!$AZ:$BP,17,FALSE),
IF(AND(Investment_Strategy="Lifecycle",Investment_Strategy_Sub1="Non-Standard"),VLOOKUP(Investment_Strategy&amp;"_"&amp;Investment_Strategy_Sub2&amp;"_"&amp;$A587,'Investment Strategies'!$C:$P,14,FALSE),
IF(AND(Investment_Strategy="Lifecycle",Investment_Strategy_Sub1="Standard"),VLOOKUP(Investment_Strategy&amp;"_"&amp;Investment_Strategy_Sub2&amp;"_"&amp;$A587,'Investment Strategies'!$AJ:$AV,13,FALSE),
IF(AND(Investment_Strategy="Autopilot",Investment_Strategy_Sub1="Non-Standard"),VLOOKUP(Investment_Strategy&amp;"_"&amp;Investment_Strategy_Sub2&amp;"_"&amp;$A587,'Investment Strategies'!$T:$AF,13,FALSE),
IF(Investment_Strategy="DIY",DIY_ExtManChrge_FuturePremiums,
"Error"))))))</f>
        <v>0</v>
      </c>
      <c r="W587" s="16">
        <f t="shared" si="337"/>
        <v>0</v>
      </c>
      <c r="X587" s="16">
        <f t="shared" si="314"/>
        <v>0</v>
      </c>
      <c r="Y587" s="16">
        <f t="shared" si="315"/>
        <v>0</v>
      </c>
      <c r="Z587" s="31">
        <f t="shared" si="316"/>
        <v>0.02</v>
      </c>
      <c r="AA587" s="16">
        <f t="shared" si="317"/>
        <v>0</v>
      </c>
      <c r="AB587" s="28">
        <f t="shared" si="339"/>
        <v>0</v>
      </c>
      <c r="AC587" s="28">
        <f>(SUM($AC$91:AC586)+SUM($X$91:X586)+X587)*T587*IF(D587=$A$91,SRP_finalmonthfactor,1)</f>
        <v>0</v>
      </c>
      <c r="AD587" s="16">
        <f t="shared" si="318"/>
        <v>0</v>
      </c>
      <c r="AE587" s="106"/>
      <c r="AF587" s="16">
        <f t="shared" si="326"/>
        <v>0</v>
      </c>
      <c r="AG587" s="16">
        <f t="shared" si="327"/>
        <v>0</v>
      </c>
      <c r="AH587" s="16">
        <f t="shared" si="328"/>
        <v>0</v>
      </c>
      <c r="AJ587" s="13">
        <f t="shared" si="343"/>
        <v>0</v>
      </c>
      <c r="AK587" s="13">
        <f t="shared" si="343"/>
        <v>0</v>
      </c>
      <c r="AL587" s="13">
        <f t="shared" si="343"/>
        <v>0</v>
      </c>
      <c r="AM587" s="13">
        <f t="shared" si="343"/>
        <v>0</v>
      </c>
      <c r="AN587" s="13">
        <f t="shared" si="343"/>
        <v>0</v>
      </c>
      <c r="AO587" s="13">
        <f t="shared" si="343"/>
        <v>1</v>
      </c>
      <c r="AP587" s="13">
        <f t="shared" si="343"/>
        <v>1</v>
      </c>
      <c r="AQ587" s="13">
        <f t="shared" si="343"/>
        <v>1</v>
      </c>
      <c r="AR587" s="13">
        <f t="shared" si="343"/>
        <v>0</v>
      </c>
      <c r="AS587" s="13">
        <f t="shared" si="343"/>
        <v>0</v>
      </c>
      <c r="AT587" s="13">
        <f t="shared" si="343"/>
        <v>0</v>
      </c>
      <c r="AU587" s="13">
        <f t="shared" si="343"/>
        <v>0</v>
      </c>
      <c r="AV587" s="13">
        <f t="shared" si="319"/>
        <v>0</v>
      </c>
      <c r="AW587" s="13">
        <f t="shared" si="320"/>
        <v>1</v>
      </c>
      <c r="AY587" s="17">
        <f t="shared" si="321"/>
        <v>497</v>
      </c>
      <c r="AZ587" s="28">
        <f t="shared" si="329"/>
        <v>0</v>
      </c>
      <c r="BA587" s="13">
        <f t="shared" si="322"/>
        <v>0</v>
      </c>
      <c r="BB587" s="13">
        <f t="shared" si="323"/>
        <v>0</v>
      </c>
      <c r="BC587" s="28">
        <f t="shared" si="330"/>
        <v>0</v>
      </c>
      <c r="BD587" s="28">
        <f t="shared" si="331"/>
        <v>0</v>
      </c>
      <c r="BF587" s="248">
        <f t="shared" si="332"/>
        <v>993869.29442638322</v>
      </c>
    </row>
    <row r="588" spans="1:58">
      <c r="A588" s="32">
        <f t="shared" si="333"/>
        <v>-413</v>
      </c>
      <c r="B588" s="32">
        <f t="shared" si="324"/>
        <v>94</v>
      </c>
      <c r="C588" s="32">
        <f t="shared" si="334"/>
        <v>42</v>
      </c>
      <c r="D588" s="32">
        <f t="shared" si="335"/>
        <v>498</v>
      </c>
      <c r="E588" s="74">
        <f>MIN(IF(AV588=0,0,
IF(Investment_Strategy="DIS",VLOOKUP(Investment_Strategy&amp;"_"&amp;Investment_Strategy_Sub1&amp;"_"&amp;$A588,'Investment Strategies'!$AZ:$BP,12,FALSE),
IF(AND(Investment_Strategy="Lifecycle",Investment_Strategy_Sub1="Non-Standard"),VLOOKUP(Investment_Strategy&amp;"_"&amp;Investment_Strategy_Sub2&amp;"_"&amp;$A588,'Investment Strategies'!$C:$P,9,FALSE),
IF(AND(Investment_Strategy="Lifecycle",Investment_Strategy_Sub1="Standard"),VLOOKUP(Investment_Strategy&amp;"_"&amp;Investment_Strategy_Sub2&amp;"_"&amp;$A588,'Investment Strategies'!$AJ:$AV,8,FALSE),
IF(AND(Investment_Strategy="Autopilot",Investment_Strategy_Sub1="Non-Standard"),VLOOKUP(Investment_Strategy&amp;"_"&amp;Investment_Strategy_Sub2&amp;"_"&amp;$A588,'Investment Strategies'!$T:$AF,8,FALSE),
IF(Investment_Strategy ="DIY",DIY_RateOfReturn_CurrentFunds,
"Error")))))),Max_InvReturn)</f>
        <v>0</v>
      </c>
      <c r="F588" s="62">
        <f>IF(AV588=0,0,
IF(Investment_Strategy="DIS",VLOOKUP(Investment_Strategy&amp;"_"&amp;Investment_Strategy_Sub1&amp;"_"&amp;$A588,'Investment Strategies'!$AZ:$BP,15,FALSE),
IF(AND(Investment_Strategy="Lifecycle",Investment_Strategy_Sub1="Non-Standard"),VLOOKUP(Investment_Strategy&amp;"_"&amp;Investment_Strategy_Sub2&amp;"_"&amp;$A588,'Investment Strategies'!$C:$P,12,FALSE),
IF(AND(Investment_Strategy="Lifecycle",Investment_Strategy_Sub1="Standard"),VLOOKUP(Investment_Strategy&amp;"_"&amp;Investment_Strategy_Sub2&amp;"_"&amp;$A588,'Investment Strategies'!$AJ:$AV,11,FALSE),
IF(AND(Investment_Strategy="Autopilot",Investment_Strategy_Sub1="Non-Standard"),VLOOKUP(Investment_Strategy&amp;"_"&amp;Investment_Strategy_Sub2&amp;"_"&amp;$A588,'Investment Strategies'!$T:$AF,11,FALSE),
IF(Investment_Strategy="DIY",DIY_GteeChrge_CurrentFunds,
"Error"))))))</f>
        <v>0</v>
      </c>
      <c r="G588" s="33">
        <f>IF(AV588=0,0,
IF(Investment_Strategy="DIS",VLOOKUP(Investment_Strategy&amp;"_"&amp;Investment_Strategy_Sub1&amp;"_"&amp;$A588,'Investment Strategies'!$AZ:$BP,17,FALSE),
IF(AND(Investment_Strategy="Lifecycle",Investment_Strategy_Sub1="Non-Standard"),VLOOKUP(Investment_Strategy&amp;"_"&amp;Investment_Strategy_Sub2&amp;"_"&amp;$A588,'Investment Strategies'!$C:$P,14,FALSE),
IF(AND(Investment_Strategy="Lifecycle",Investment_Strategy_Sub1="Standard"),VLOOKUP(Investment_Strategy&amp;"_"&amp;Investment_Strategy_Sub2&amp;"_"&amp;$A588,'Investment Strategies'!$AJ:$AV,13,FALSE),
IF(AND(Investment_Strategy="Autopilot",Investment_Strategy_Sub1="Non-Standard"),VLOOKUP(Investment_Strategy&amp;"_"&amp;Investment_Strategy_Sub2&amp;"_"&amp;$A588,'Investment Strategies'!$T:$AF,13,FALSE),
IF(Investment_Strategy="DIY",DIY_ExtManChrge_CurrentFunds,
"Error"))))))</f>
        <v>0</v>
      </c>
      <c r="H588" s="16">
        <f t="shared" si="325"/>
        <v>0</v>
      </c>
      <c r="I588" s="16">
        <f t="shared" si="311"/>
        <v>0</v>
      </c>
      <c r="J588" s="16">
        <f t="shared" si="312"/>
        <v>0</v>
      </c>
      <c r="K588" s="16">
        <f>(Opening_Fund_Value+SUM(K$91:K587))*E588*IF(D588=$A$91,SRP_finalmonthfactor,1)</f>
        <v>0</v>
      </c>
      <c r="L588" s="74">
        <f>MIN(IF($AV588=0,0,
IF(Investment_Strategy="DIS",VLOOKUP(Investment_Strategy&amp;"_"&amp;Investment_Strategy_Sub1&amp;"_"&amp;$A588,'Investment Strategies'!$AZ:$BP,12,FALSE),
IF(AND(Investment_Strategy="Lifecycle",Investment_Strategy_Sub1="Non-Standard"),VLOOKUP(Investment_Strategy&amp;"_"&amp;Investment_Strategy_Sub2&amp;"_"&amp;$A588,'Investment Strategies'!$C:$P,9,FALSE),
IF(AND(Investment_Strategy="Lifecycle",Investment_Strategy_Sub1="Standard"),VLOOKUP(Investment_Strategy&amp;"_"&amp;Investment_Strategy_Sub2&amp;"_"&amp;$A588,'Investment Strategies'!$AJ:$AV,8,FALSE),
IF(AND(Investment_Strategy="Autopilot",Investment_Strategy_Sub1="Non-Standard"),VLOOKUP(Investment_Strategy&amp;"_"&amp;Investment_Strategy_Sub2&amp;"_"&amp;$A588,'Investment Strategies'!$T:$AF,8,FALSE),
IF(Investment_Strategy ="DIY",DIY_RateofReturn_SP,
"Error")))))),Max_InvReturn)</f>
        <v>0</v>
      </c>
      <c r="M588" s="62">
        <f>IF($AV588=0,0,
IF(Investment_Strategy="DIS",VLOOKUP(Investment_Strategy&amp;"_"&amp;Investment_Strategy_Sub1&amp;"_"&amp;$A588,'Investment Strategies'!$AZ:$BP,15,FALSE),
IF(AND(Investment_Strategy="Lifecycle",Investment_Strategy_Sub1="Non-Standard"),VLOOKUP(Investment_Strategy&amp;"_"&amp;Investment_Strategy_Sub2&amp;"_"&amp;$A588,'Investment Strategies'!$C:$P,12,FALSE),
IF(AND(Investment_Strategy="Lifecycle",Investment_Strategy_Sub1="Standard"),VLOOKUP(Investment_Strategy&amp;"_"&amp;Investment_Strategy_Sub2&amp;"_"&amp;$A588,'Investment Strategies'!$AJ:$AV,11,FALSE),
IF(AND(Investment_Strategy="Autopilot",Investment_Strategy_Sub1="Non-Standard"),VLOOKUP(Investment_Strategy&amp;"_"&amp;Investment_Strategy_Sub2&amp;"_"&amp;$A588,'Investment Strategies'!$T:$AF,11,FALSE),
IF(Investment_Strategy="DIY",DIY_GteeChrge_SP,
"Error"))))))</f>
        <v>0</v>
      </c>
      <c r="N588" s="33">
        <f>IF($AV588=0,0,
IF(Investment_Strategy="DIS",VLOOKUP(Investment_Strategy&amp;"_"&amp;Investment_Strategy_Sub1&amp;"_"&amp;$A588,'Investment Strategies'!$AZ:$BP,17,FALSE),
IF(AND(Investment_Strategy="Lifecycle",Investment_Strategy_Sub1="Non-Standard"),VLOOKUP(Investment_Strategy&amp;"_"&amp;Investment_Strategy_Sub2&amp;"_"&amp;$A588,'Investment Strategies'!$C:$P,14,FALSE),
IF(AND(Investment_Strategy="Lifecycle",Investment_Strategy_Sub1="Standard"),VLOOKUP(Investment_Strategy&amp;"_"&amp;Investment_Strategy_Sub2&amp;"_"&amp;$A588,'Investment Strategies'!$AJ:$AV,13,FALSE),
IF(AND(Investment_Strategy="Autopilot",Investment_Strategy_Sub1="Non-Standard"),VLOOKUP(Investment_Strategy&amp;"_"&amp;Investment_Strategy_Sub2&amp;"_"&amp;$A588,'Investment Strategies'!$T:$AF,13,FALSE),
IF(Investment_Strategy="DIY",DIY_ExtManChrge_SP,
"Error"))))))</f>
        <v>0</v>
      </c>
      <c r="O588" s="16">
        <f t="shared" si="336"/>
        <v>0</v>
      </c>
      <c r="Q588" s="16">
        <f t="shared" si="313"/>
        <v>0</v>
      </c>
      <c r="R588" s="16">
        <f t="shared" si="310"/>
        <v>0</v>
      </c>
      <c r="S588" s="16">
        <f>(SRP_SP+SUM(S$91:S587))*L588*IF(D588=$A$91,SRP_finalmonthfactor,1)</f>
        <v>0</v>
      </c>
      <c r="T588" s="74">
        <f>MIN(IF($AV588=0,0,
IF(Investment_Strategy="DIS",VLOOKUP(Investment_Strategy&amp;"_"&amp;Investment_Strategy_Sub1&amp;"_"&amp;$A588,'Investment Strategies'!$AZ:$BP,12,FALSE),
IF(AND(Investment_Strategy="Lifecycle",Investment_Strategy_Sub1="Non-Standard"),VLOOKUP(Investment_Strategy&amp;"_"&amp;Investment_Strategy_Sub2&amp;"_"&amp;$A588,'Investment Strategies'!$C:$P,9,FALSE),
IF(AND(Investment_Strategy="Lifecycle",Investment_Strategy_Sub1="Standard"),VLOOKUP(Investment_Strategy&amp;"_"&amp;Investment_Strategy_Sub2&amp;"_"&amp;$A588,'Investment Strategies'!$AJ:$AV,8,FALSE),
IF(AND(Investment_Strategy="Autopilot",Investment_Strategy_Sub1="Non-Standard"),VLOOKUP(Investment_Strategy&amp;"_"&amp;Investment_Strategy_Sub2&amp;"_"&amp;$A588,'Investment Strategies'!$T:$AF,8,FALSE),
IF(Investment_Strategy ="DIY",DIY_RateOfReturn_FuturePremiums,
"Error")))))),Max_InvReturn)</f>
        <v>0</v>
      </c>
      <c r="U588" s="62">
        <f>IF($AV588=0,0,
IF(Investment_Strategy="DIS",VLOOKUP(Investment_Strategy&amp;"_"&amp;Investment_Strategy_Sub1&amp;"_"&amp;$A588,'Investment Strategies'!$AZ:$BP,15,FALSE),
IF(AND(Investment_Strategy="Lifecycle",Investment_Strategy_Sub1="Non-Standard"),VLOOKUP(Investment_Strategy&amp;"_"&amp;Investment_Strategy_Sub2&amp;"_"&amp;$A588,'Investment Strategies'!$C:$P,12,FALSE),
IF(AND(Investment_Strategy="Lifecycle",Investment_Strategy_Sub1="Standard"),VLOOKUP(Investment_Strategy&amp;"_"&amp;Investment_Strategy_Sub2&amp;"_"&amp;$A588,'Investment Strategies'!$AJ:$AV,11,FALSE),
IF(AND(Investment_Strategy="Autopilot",Investment_Strategy_Sub1="Non-Standard"),VLOOKUP(Investment_Strategy&amp;"_"&amp;Investment_Strategy_Sub2&amp;"_"&amp;$A588,'Investment Strategies'!$T:$AF,11,FALSE),
IF(Investment_Strategy="DIY",DIY_GteeChrge_FuturePremiums,
"Error"))))))</f>
        <v>0</v>
      </c>
      <c r="V588" s="33">
        <f>IF(AV588=0,0,
IF(Investment_Strategy="DIS",VLOOKUP(Investment_Strategy&amp;"_"&amp;Investment_Strategy_Sub1&amp;"_"&amp;$A588,'Investment Strategies'!$AZ:$BP,17,FALSE),
IF(AND(Investment_Strategy="Lifecycle",Investment_Strategy_Sub1="Non-Standard"),VLOOKUP(Investment_Strategy&amp;"_"&amp;Investment_Strategy_Sub2&amp;"_"&amp;$A588,'Investment Strategies'!$C:$P,14,FALSE),
IF(AND(Investment_Strategy="Lifecycle",Investment_Strategy_Sub1="Standard"),VLOOKUP(Investment_Strategy&amp;"_"&amp;Investment_Strategy_Sub2&amp;"_"&amp;$A588,'Investment Strategies'!$AJ:$AV,13,FALSE),
IF(AND(Investment_Strategy="Autopilot",Investment_Strategy_Sub1="Non-Standard"),VLOOKUP(Investment_Strategy&amp;"_"&amp;Investment_Strategy_Sub2&amp;"_"&amp;$A588,'Investment Strategies'!$T:$AF,13,FALSE),
IF(Investment_Strategy="DIY",DIY_ExtManChrge_FuturePremiums,
"Error"))))))</f>
        <v>0</v>
      </c>
      <c r="W588" s="16">
        <f t="shared" si="337"/>
        <v>0</v>
      </c>
      <c r="X588" s="16">
        <f t="shared" si="314"/>
        <v>0</v>
      </c>
      <c r="Y588" s="16">
        <f t="shared" si="315"/>
        <v>0</v>
      </c>
      <c r="Z588" s="31">
        <f t="shared" si="316"/>
        <v>0.02</v>
      </c>
      <c r="AA588" s="16">
        <f t="shared" si="317"/>
        <v>0</v>
      </c>
      <c r="AB588" s="28">
        <f t="shared" si="339"/>
        <v>0</v>
      </c>
      <c r="AC588" s="28">
        <f>(SUM($AC$91:AC587)+SUM($X$91:X587)+X588)*T588*IF(D588=$A$91,SRP_finalmonthfactor,1)</f>
        <v>0</v>
      </c>
      <c r="AD588" s="16">
        <f t="shared" si="318"/>
        <v>0</v>
      </c>
      <c r="AE588" s="106"/>
      <c r="AF588" s="16">
        <f t="shared" si="326"/>
        <v>0</v>
      </c>
      <c r="AG588" s="16">
        <f t="shared" si="327"/>
        <v>0</v>
      </c>
      <c r="AH588" s="16">
        <f t="shared" si="328"/>
        <v>0</v>
      </c>
      <c r="AJ588" s="13">
        <f t="shared" si="343"/>
        <v>0</v>
      </c>
      <c r="AK588" s="13">
        <f t="shared" si="343"/>
        <v>0</v>
      </c>
      <c r="AL588" s="13">
        <f t="shared" si="343"/>
        <v>0</v>
      </c>
      <c r="AM588" s="13">
        <f t="shared" si="343"/>
        <v>0</v>
      </c>
      <c r="AN588" s="13">
        <f t="shared" si="343"/>
        <v>0</v>
      </c>
      <c r="AO588" s="13">
        <f t="shared" si="343"/>
        <v>1</v>
      </c>
      <c r="AP588" s="13">
        <f t="shared" si="343"/>
        <v>1</v>
      </c>
      <c r="AQ588" s="13">
        <f t="shared" si="343"/>
        <v>1</v>
      </c>
      <c r="AR588" s="13">
        <f t="shared" si="343"/>
        <v>0</v>
      </c>
      <c r="AS588" s="13">
        <f t="shared" si="343"/>
        <v>0</v>
      </c>
      <c r="AT588" s="13">
        <f t="shared" si="343"/>
        <v>0</v>
      </c>
      <c r="AU588" s="13">
        <f t="shared" si="343"/>
        <v>0</v>
      </c>
      <c r="AV588" s="13">
        <f t="shared" si="319"/>
        <v>0</v>
      </c>
      <c r="AW588" s="13">
        <f t="shared" si="320"/>
        <v>1</v>
      </c>
      <c r="AY588" s="17">
        <f t="shared" si="321"/>
        <v>498</v>
      </c>
      <c r="AZ588" s="28">
        <f t="shared" si="329"/>
        <v>0</v>
      </c>
      <c r="BA588" s="13">
        <f t="shared" si="322"/>
        <v>0</v>
      </c>
      <c r="BB588" s="13">
        <f t="shared" si="323"/>
        <v>0</v>
      </c>
      <c r="BC588" s="28">
        <f t="shared" si="330"/>
        <v>0</v>
      </c>
      <c r="BD588" s="28">
        <f t="shared" si="331"/>
        <v>0</v>
      </c>
      <c r="BF588" s="248">
        <f t="shared" si="332"/>
        <v>993869.29442638322</v>
      </c>
    </row>
    <row r="589" spans="1:58">
      <c r="A589" s="32">
        <f t="shared" si="333"/>
        <v>-414</v>
      </c>
      <c r="B589" s="32">
        <f t="shared" si="324"/>
        <v>94</v>
      </c>
      <c r="C589" s="32">
        <f t="shared" si="334"/>
        <v>42</v>
      </c>
      <c r="D589" s="32">
        <f t="shared" si="335"/>
        <v>499</v>
      </c>
      <c r="E589" s="74">
        <f>MIN(IF(AV589=0,0,
IF(Investment_Strategy="DIS",VLOOKUP(Investment_Strategy&amp;"_"&amp;Investment_Strategy_Sub1&amp;"_"&amp;$A589,'Investment Strategies'!$AZ:$BP,12,FALSE),
IF(AND(Investment_Strategy="Lifecycle",Investment_Strategy_Sub1="Non-Standard"),VLOOKUP(Investment_Strategy&amp;"_"&amp;Investment_Strategy_Sub2&amp;"_"&amp;$A589,'Investment Strategies'!$C:$P,9,FALSE),
IF(AND(Investment_Strategy="Lifecycle",Investment_Strategy_Sub1="Standard"),VLOOKUP(Investment_Strategy&amp;"_"&amp;Investment_Strategy_Sub2&amp;"_"&amp;$A589,'Investment Strategies'!$AJ:$AV,8,FALSE),
IF(AND(Investment_Strategy="Autopilot",Investment_Strategy_Sub1="Non-Standard"),VLOOKUP(Investment_Strategy&amp;"_"&amp;Investment_Strategy_Sub2&amp;"_"&amp;$A589,'Investment Strategies'!$T:$AF,8,FALSE),
IF(Investment_Strategy ="DIY",DIY_RateOfReturn_CurrentFunds,
"Error")))))),Max_InvReturn)</f>
        <v>0</v>
      </c>
      <c r="F589" s="62">
        <f>IF(AV589=0,0,
IF(Investment_Strategy="DIS",VLOOKUP(Investment_Strategy&amp;"_"&amp;Investment_Strategy_Sub1&amp;"_"&amp;$A589,'Investment Strategies'!$AZ:$BP,15,FALSE),
IF(AND(Investment_Strategy="Lifecycle",Investment_Strategy_Sub1="Non-Standard"),VLOOKUP(Investment_Strategy&amp;"_"&amp;Investment_Strategy_Sub2&amp;"_"&amp;$A589,'Investment Strategies'!$C:$P,12,FALSE),
IF(AND(Investment_Strategy="Lifecycle",Investment_Strategy_Sub1="Standard"),VLOOKUP(Investment_Strategy&amp;"_"&amp;Investment_Strategy_Sub2&amp;"_"&amp;$A589,'Investment Strategies'!$AJ:$AV,11,FALSE),
IF(AND(Investment_Strategy="Autopilot",Investment_Strategy_Sub1="Non-Standard"),VLOOKUP(Investment_Strategy&amp;"_"&amp;Investment_Strategy_Sub2&amp;"_"&amp;$A589,'Investment Strategies'!$T:$AF,11,FALSE),
IF(Investment_Strategy="DIY",DIY_GteeChrge_CurrentFunds,
"Error"))))))</f>
        <v>0</v>
      </c>
      <c r="G589" s="33">
        <f>IF(AV589=0,0,
IF(Investment_Strategy="DIS",VLOOKUP(Investment_Strategy&amp;"_"&amp;Investment_Strategy_Sub1&amp;"_"&amp;$A589,'Investment Strategies'!$AZ:$BP,17,FALSE),
IF(AND(Investment_Strategy="Lifecycle",Investment_Strategy_Sub1="Non-Standard"),VLOOKUP(Investment_Strategy&amp;"_"&amp;Investment_Strategy_Sub2&amp;"_"&amp;$A589,'Investment Strategies'!$C:$P,14,FALSE),
IF(AND(Investment_Strategy="Lifecycle",Investment_Strategy_Sub1="Standard"),VLOOKUP(Investment_Strategy&amp;"_"&amp;Investment_Strategy_Sub2&amp;"_"&amp;$A589,'Investment Strategies'!$AJ:$AV,13,FALSE),
IF(AND(Investment_Strategy="Autopilot",Investment_Strategy_Sub1="Non-Standard"),VLOOKUP(Investment_Strategy&amp;"_"&amp;Investment_Strategy_Sub2&amp;"_"&amp;$A589,'Investment Strategies'!$T:$AF,13,FALSE),
IF(Investment_Strategy="DIY",DIY_ExtManChrge_CurrentFunds,
"Error"))))))</f>
        <v>0</v>
      </c>
      <c r="H589" s="16">
        <f t="shared" si="325"/>
        <v>0</v>
      </c>
      <c r="I589" s="16">
        <f t="shared" si="311"/>
        <v>0</v>
      </c>
      <c r="J589" s="16">
        <f t="shared" si="312"/>
        <v>0</v>
      </c>
      <c r="K589" s="16">
        <f>(Opening_Fund_Value+SUM(K$91:K588))*E589*IF(D589=$A$91,SRP_finalmonthfactor,1)</f>
        <v>0</v>
      </c>
      <c r="L589" s="74">
        <f>MIN(IF($AV589=0,0,
IF(Investment_Strategy="DIS",VLOOKUP(Investment_Strategy&amp;"_"&amp;Investment_Strategy_Sub1&amp;"_"&amp;$A589,'Investment Strategies'!$AZ:$BP,12,FALSE),
IF(AND(Investment_Strategy="Lifecycle",Investment_Strategy_Sub1="Non-Standard"),VLOOKUP(Investment_Strategy&amp;"_"&amp;Investment_Strategy_Sub2&amp;"_"&amp;$A589,'Investment Strategies'!$C:$P,9,FALSE),
IF(AND(Investment_Strategy="Lifecycle",Investment_Strategy_Sub1="Standard"),VLOOKUP(Investment_Strategy&amp;"_"&amp;Investment_Strategy_Sub2&amp;"_"&amp;$A589,'Investment Strategies'!$AJ:$AV,8,FALSE),
IF(AND(Investment_Strategy="Autopilot",Investment_Strategy_Sub1="Non-Standard"),VLOOKUP(Investment_Strategy&amp;"_"&amp;Investment_Strategy_Sub2&amp;"_"&amp;$A589,'Investment Strategies'!$T:$AF,8,FALSE),
IF(Investment_Strategy ="DIY",DIY_RateofReturn_SP,
"Error")))))),Max_InvReturn)</f>
        <v>0</v>
      </c>
      <c r="M589" s="62">
        <f>IF($AV589=0,0,
IF(Investment_Strategy="DIS",VLOOKUP(Investment_Strategy&amp;"_"&amp;Investment_Strategy_Sub1&amp;"_"&amp;$A589,'Investment Strategies'!$AZ:$BP,15,FALSE),
IF(AND(Investment_Strategy="Lifecycle",Investment_Strategy_Sub1="Non-Standard"),VLOOKUP(Investment_Strategy&amp;"_"&amp;Investment_Strategy_Sub2&amp;"_"&amp;$A589,'Investment Strategies'!$C:$P,12,FALSE),
IF(AND(Investment_Strategy="Lifecycle",Investment_Strategy_Sub1="Standard"),VLOOKUP(Investment_Strategy&amp;"_"&amp;Investment_Strategy_Sub2&amp;"_"&amp;$A589,'Investment Strategies'!$AJ:$AV,11,FALSE),
IF(AND(Investment_Strategy="Autopilot",Investment_Strategy_Sub1="Non-Standard"),VLOOKUP(Investment_Strategy&amp;"_"&amp;Investment_Strategy_Sub2&amp;"_"&amp;$A589,'Investment Strategies'!$T:$AF,11,FALSE),
IF(Investment_Strategy="DIY",DIY_GteeChrge_SP,
"Error"))))))</f>
        <v>0</v>
      </c>
      <c r="N589" s="33">
        <f>IF($AV589=0,0,
IF(Investment_Strategy="DIS",VLOOKUP(Investment_Strategy&amp;"_"&amp;Investment_Strategy_Sub1&amp;"_"&amp;$A589,'Investment Strategies'!$AZ:$BP,17,FALSE),
IF(AND(Investment_Strategy="Lifecycle",Investment_Strategy_Sub1="Non-Standard"),VLOOKUP(Investment_Strategy&amp;"_"&amp;Investment_Strategy_Sub2&amp;"_"&amp;$A589,'Investment Strategies'!$C:$P,14,FALSE),
IF(AND(Investment_Strategy="Lifecycle",Investment_Strategy_Sub1="Standard"),VLOOKUP(Investment_Strategy&amp;"_"&amp;Investment_Strategy_Sub2&amp;"_"&amp;$A589,'Investment Strategies'!$AJ:$AV,13,FALSE),
IF(AND(Investment_Strategy="Autopilot",Investment_Strategy_Sub1="Non-Standard"),VLOOKUP(Investment_Strategy&amp;"_"&amp;Investment_Strategy_Sub2&amp;"_"&amp;$A589,'Investment Strategies'!$T:$AF,13,FALSE),
IF(Investment_Strategy="DIY",DIY_ExtManChrge_SP,
"Error"))))))</f>
        <v>0</v>
      </c>
      <c r="O589" s="16">
        <f t="shared" si="336"/>
        <v>0</v>
      </c>
      <c r="Q589" s="16">
        <f t="shared" si="313"/>
        <v>0</v>
      </c>
      <c r="R589" s="16">
        <f t="shared" si="310"/>
        <v>0</v>
      </c>
      <c r="S589" s="16">
        <f>(SRP_SP+SUM(S$91:S588))*L589*IF(D589=$A$91,SRP_finalmonthfactor,1)</f>
        <v>0</v>
      </c>
      <c r="T589" s="74">
        <f>MIN(IF($AV589=0,0,
IF(Investment_Strategy="DIS",VLOOKUP(Investment_Strategy&amp;"_"&amp;Investment_Strategy_Sub1&amp;"_"&amp;$A589,'Investment Strategies'!$AZ:$BP,12,FALSE),
IF(AND(Investment_Strategy="Lifecycle",Investment_Strategy_Sub1="Non-Standard"),VLOOKUP(Investment_Strategy&amp;"_"&amp;Investment_Strategy_Sub2&amp;"_"&amp;$A589,'Investment Strategies'!$C:$P,9,FALSE),
IF(AND(Investment_Strategy="Lifecycle",Investment_Strategy_Sub1="Standard"),VLOOKUP(Investment_Strategy&amp;"_"&amp;Investment_Strategy_Sub2&amp;"_"&amp;$A589,'Investment Strategies'!$AJ:$AV,8,FALSE),
IF(AND(Investment_Strategy="Autopilot",Investment_Strategy_Sub1="Non-Standard"),VLOOKUP(Investment_Strategy&amp;"_"&amp;Investment_Strategy_Sub2&amp;"_"&amp;$A589,'Investment Strategies'!$T:$AF,8,FALSE),
IF(Investment_Strategy ="DIY",DIY_RateOfReturn_FuturePremiums,
"Error")))))),Max_InvReturn)</f>
        <v>0</v>
      </c>
      <c r="U589" s="62">
        <f>IF($AV589=0,0,
IF(Investment_Strategy="DIS",VLOOKUP(Investment_Strategy&amp;"_"&amp;Investment_Strategy_Sub1&amp;"_"&amp;$A589,'Investment Strategies'!$AZ:$BP,15,FALSE),
IF(AND(Investment_Strategy="Lifecycle",Investment_Strategy_Sub1="Non-Standard"),VLOOKUP(Investment_Strategy&amp;"_"&amp;Investment_Strategy_Sub2&amp;"_"&amp;$A589,'Investment Strategies'!$C:$P,12,FALSE),
IF(AND(Investment_Strategy="Lifecycle",Investment_Strategy_Sub1="Standard"),VLOOKUP(Investment_Strategy&amp;"_"&amp;Investment_Strategy_Sub2&amp;"_"&amp;$A589,'Investment Strategies'!$AJ:$AV,11,FALSE),
IF(AND(Investment_Strategy="Autopilot",Investment_Strategy_Sub1="Non-Standard"),VLOOKUP(Investment_Strategy&amp;"_"&amp;Investment_Strategy_Sub2&amp;"_"&amp;$A589,'Investment Strategies'!$T:$AF,11,FALSE),
IF(Investment_Strategy="DIY",DIY_GteeChrge_FuturePremiums,
"Error"))))))</f>
        <v>0</v>
      </c>
      <c r="V589" s="33">
        <f>IF(AV589=0,0,
IF(Investment_Strategy="DIS",VLOOKUP(Investment_Strategy&amp;"_"&amp;Investment_Strategy_Sub1&amp;"_"&amp;$A589,'Investment Strategies'!$AZ:$BP,17,FALSE),
IF(AND(Investment_Strategy="Lifecycle",Investment_Strategy_Sub1="Non-Standard"),VLOOKUP(Investment_Strategy&amp;"_"&amp;Investment_Strategy_Sub2&amp;"_"&amp;$A589,'Investment Strategies'!$C:$P,14,FALSE),
IF(AND(Investment_Strategy="Lifecycle",Investment_Strategy_Sub1="Standard"),VLOOKUP(Investment_Strategy&amp;"_"&amp;Investment_Strategy_Sub2&amp;"_"&amp;$A589,'Investment Strategies'!$AJ:$AV,13,FALSE),
IF(AND(Investment_Strategy="Autopilot",Investment_Strategy_Sub1="Non-Standard"),VLOOKUP(Investment_Strategy&amp;"_"&amp;Investment_Strategy_Sub2&amp;"_"&amp;$A589,'Investment Strategies'!$T:$AF,13,FALSE),
IF(Investment_Strategy="DIY",DIY_ExtManChrge_FuturePremiums,
"Error"))))))</f>
        <v>0</v>
      </c>
      <c r="W589" s="16">
        <f t="shared" si="337"/>
        <v>0</v>
      </c>
      <c r="X589" s="16">
        <f t="shared" si="314"/>
        <v>0</v>
      </c>
      <c r="Y589" s="16">
        <f t="shared" si="315"/>
        <v>0</v>
      </c>
      <c r="Z589" s="31">
        <f t="shared" si="316"/>
        <v>0.02</v>
      </c>
      <c r="AA589" s="16">
        <f t="shared" si="317"/>
        <v>0</v>
      </c>
      <c r="AB589" s="28">
        <f t="shared" si="339"/>
        <v>0</v>
      </c>
      <c r="AC589" s="28">
        <f>(SUM($AC$91:AC588)+SUM($X$91:X588)+X589)*T589*IF(D589=$A$91,SRP_finalmonthfactor,1)</f>
        <v>0</v>
      </c>
      <c r="AD589" s="16">
        <f t="shared" si="318"/>
        <v>0</v>
      </c>
      <c r="AE589" s="106"/>
      <c r="AF589" s="16">
        <f t="shared" si="326"/>
        <v>0</v>
      </c>
      <c r="AG589" s="16">
        <f t="shared" si="327"/>
        <v>0</v>
      </c>
      <c r="AH589" s="16">
        <f t="shared" si="328"/>
        <v>0</v>
      </c>
      <c r="AJ589" s="13">
        <f t="shared" si="343"/>
        <v>0</v>
      </c>
      <c r="AK589" s="13">
        <f t="shared" si="343"/>
        <v>0</v>
      </c>
      <c r="AL589" s="13">
        <f t="shared" si="343"/>
        <v>0</v>
      </c>
      <c r="AM589" s="13">
        <f t="shared" si="343"/>
        <v>0</v>
      </c>
      <c r="AN589" s="13">
        <f t="shared" si="343"/>
        <v>0</v>
      </c>
      <c r="AO589" s="13">
        <f t="shared" si="343"/>
        <v>1</v>
      </c>
      <c r="AP589" s="13">
        <f t="shared" si="343"/>
        <v>1</v>
      </c>
      <c r="AQ589" s="13">
        <f t="shared" si="343"/>
        <v>1</v>
      </c>
      <c r="AR589" s="13">
        <f t="shared" si="343"/>
        <v>0</v>
      </c>
      <c r="AS589" s="13">
        <f t="shared" si="343"/>
        <v>0</v>
      </c>
      <c r="AT589" s="13">
        <f t="shared" si="343"/>
        <v>0</v>
      </c>
      <c r="AU589" s="13">
        <f t="shared" si="343"/>
        <v>0</v>
      </c>
      <c r="AV589" s="13">
        <f t="shared" si="319"/>
        <v>0</v>
      </c>
      <c r="AW589" s="13">
        <f t="shared" si="320"/>
        <v>1</v>
      </c>
      <c r="AY589" s="17">
        <f t="shared" si="321"/>
        <v>499</v>
      </c>
      <c r="AZ589" s="28">
        <f t="shared" si="329"/>
        <v>0</v>
      </c>
      <c r="BA589" s="13">
        <f t="shared" si="322"/>
        <v>0</v>
      </c>
      <c r="BB589" s="13">
        <f t="shared" si="323"/>
        <v>0</v>
      </c>
      <c r="BC589" s="28">
        <f t="shared" si="330"/>
        <v>0</v>
      </c>
      <c r="BD589" s="28">
        <f t="shared" si="331"/>
        <v>0</v>
      </c>
      <c r="BF589" s="248">
        <f t="shared" si="332"/>
        <v>993869.29442638322</v>
      </c>
    </row>
    <row r="590" spans="1:58">
      <c r="A590" s="32">
        <f t="shared" si="333"/>
        <v>-415</v>
      </c>
      <c r="B590" s="32">
        <f t="shared" si="324"/>
        <v>94</v>
      </c>
      <c r="C590" s="32">
        <f t="shared" si="334"/>
        <v>42</v>
      </c>
      <c r="D590" s="32">
        <f t="shared" si="335"/>
        <v>500</v>
      </c>
      <c r="E590" s="74">
        <f>MIN(IF(AV590=0,0,
IF(Investment_Strategy="DIS",VLOOKUP(Investment_Strategy&amp;"_"&amp;Investment_Strategy_Sub1&amp;"_"&amp;$A590,'Investment Strategies'!$AZ:$BP,12,FALSE),
IF(AND(Investment_Strategy="Lifecycle",Investment_Strategy_Sub1="Non-Standard"),VLOOKUP(Investment_Strategy&amp;"_"&amp;Investment_Strategy_Sub2&amp;"_"&amp;$A590,'Investment Strategies'!$C:$P,9,FALSE),
IF(AND(Investment_Strategy="Lifecycle",Investment_Strategy_Sub1="Standard"),VLOOKUP(Investment_Strategy&amp;"_"&amp;Investment_Strategy_Sub2&amp;"_"&amp;$A590,'Investment Strategies'!$AJ:$AV,8,FALSE),
IF(AND(Investment_Strategy="Autopilot",Investment_Strategy_Sub1="Non-Standard"),VLOOKUP(Investment_Strategy&amp;"_"&amp;Investment_Strategy_Sub2&amp;"_"&amp;$A590,'Investment Strategies'!$T:$AF,8,FALSE),
IF(Investment_Strategy ="DIY",DIY_RateOfReturn_CurrentFunds,
"Error")))))),Max_InvReturn)</f>
        <v>0</v>
      </c>
      <c r="F590" s="62">
        <f>IF(AV590=0,0,
IF(Investment_Strategy="DIS",VLOOKUP(Investment_Strategy&amp;"_"&amp;Investment_Strategy_Sub1&amp;"_"&amp;$A590,'Investment Strategies'!$AZ:$BP,15,FALSE),
IF(AND(Investment_Strategy="Lifecycle",Investment_Strategy_Sub1="Non-Standard"),VLOOKUP(Investment_Strategy&amp;"_"&amp;Investment_Strategy_Sub2&amp;"_"&amp;$A590,'Investment Strategies'!$C:$P,12,FALSE),
IF(AND(Investment_Strategy="Lifecycle",Investment_Strategy_Sub1="Standard"),VLOOKUP(Investment_Strategy&amp;"_"&amp;Investment_Strategy_Sub2&amp;"_"&amp;$A590,'Investment Strategies'!$AJ:$AV,11,FALSE),
IF(AND(Investment_Strategy="Autopilot",Investment_Strategy_Sub1="Non-Standard"),VLOOKUP(Investment_Strategy&amp;"_"&amp;Investment_Strategy_Sub2&amp;"_"&amp;$A590,'Investment Strategies'!$T:$AF,11,FALSE),
IF(Investment_Strategy="DIY",DIY_GteeChrge_CurrentFunds,
"Error"))))))</f>
        <v>0</v>
      </c>
      <c r="G590" s="33">
        <f>IF(AV590=0,0,
IF(Investment_Strategy="DIS",VLOOKUP(Investment_Strategy&amp;"_"&amp;Investment_Strategy_Sub1&amp;"_"&amp;$A590,'Investment Strategies'!$AZ:$BP,17,FALSE),
IF(AND(Investment_Strategy="Lifecycle",Investment_Strategy_Sub1="Non-Standard"),VLOOKUP(Investment_Strategy&amp;"_"&amp;Investment_Strategy_Sub2&amp;"_"&amp;$A590,'Investment Strategies'!$C:$P,14,FALSE),
IF(AND(Investment_Strategy="Lifecycle",Investment_Strategy_Sub1="Standard"),VLOOKUP(Investment_Strategy&amp;"_"&amp;Investment_Strategy_Sub2&amp;"_"&amp;$A590,'Investment Strategies'!$AJ:$AV,13,FALSE),
IF(AND(Investment_Strategy="Autopilot",Investment_Strategy_Sub1="Non-Standard"),VLOOKUP(Investment_Strategy&amp;"_"&amp;Investment_Strategy_Sub2&amp;"_"&amp;$A590,'Investment Strategies'!$T:$AF,13,FALSE),
IF(Investment_Strategy="DIY",DIY_ExtManChrge_CurrentFunds,
"Error"))))))</f>
        <v>0</v>
      </c>
      <c r="H590" s="16">
        <f t="shared" si="325"/>
        <v>0</v>
      </c>
      <c r="I590" s="16">
        <f t="shared" si="311"/>
        <v>0</v>
      </c>
      <c r="J590" s="16">
        <f t="shared" si="312"/>
        <v>0</v>
      </c>
      <c r="K590" s="16">
        <f>(Opening_Fund_Value+SUM(K$91:K589))*E590*IF(D590=$A$91,SRP_finalmonthfactor,1)</f>
        <v>0</v>
      </c>
      <c r="L590" s="74">
        <f>MIN(IF($AV590=0,0,
IF(Investment_Strategy="DIS",VLOOKUP(Investment_Strategy&amp;"_"&amp;Investment_Strategy_Sub1&amp;"_"&amp;$A590,'Investment Strategies'!$AZ:$BP,12,FALSE),
IF(AND(Investment_Strategy="Lifecycle",Investment_Strategy_Sub1="Non-Standard"),VLOOKUP(Investment_Strategy&amp;"_"&amp;Investment_Strategy_Sub2&amp;"_"&amp;$A590,'Investment Strategies'!$C:$P,9,FALSE),
IF(AND(Investment_Strategy="Lifecycle",Investment_Strategy_Sub1="Standard"),VLOOKUP(Investment_Strategy&amp;"_"&amp;Investment_Strategy_Sub2&amp;"_"&amp;$A590,'Investment Strategies'!$AJ:$AV,8,FALSE),
IF(AND(Investment_Strategy="Autopilot",Investment_Strategy_Sub1="Non-Standard"),VLOOKUP(Investment_Strategy&amp;"_"&amp;Investment_Strategy_Sub2&amp;"_"&amp;$A590,'Investment Strategies'!$T:$AF,8,FALSE),
IF(Investment_Strategy ="DIY",DIY_RateofReturn_SP,
"Error")))))),Max_InvReturn)</f>
        <v>0</v>
      </c>
      <c r="M590" s="62">
        <f>IF($AV590=0,0,
IF(Investment_Strategy="DIS",VLOOKUP(Investment_Strategy&amp;"_"&amp;Investment_Strategy_Sub1&amp;"_"&amp;$A590,'Investment Strategies'!$AZ:$BP,15,FALSE),
IF(AND(Investment_Strategy="Lifecycle",Investment_Strategy_Sub1="Non-Standard"),VLOOKUP(Investment_Strategy&amp;"_"&amp;Investment_Strategy_Sub2&amp;"_"&amp;$A590,'Investment Strategies'!$C:$P,12,FALSE),
IF(AND(Investment_Strategy="Lifecycle",Investment_Strategy_Sub1="Standard"),VLOOKUP(Investment_Strategy&amp;"_"&amp;Investment_Strategy_Sub2&amp;"_"&amp;$A590,'Investment Strategies'!$AJ:$AV,11,FALSE),
IF(AND(Investment_Strategy="Autopilot",Investment_Strategy_Sub1="Non-Standard"),VLOOKUP(Investment_Strategy&amp;"_"&amp;Investment_Strategy_Sub2&amp;"_"&amp;$A590,'Investment Strategies'!$T:$AF,11,FALSE),
IF(Investment_Strategy="DIY",DIY_GteeChrge_SP,
"Error"))))))</f>
        <v>0</v>
      </c>
      <c r="N590" s="33">
        <f>IF($AV590=0,0,
IF(Investment_Strategy="DIS",VLOOKUP(Investment_Strategy&amp;"_"&amp;Investment_Strategy_Sub1&amp;"_"&amp;$A590,'Investment Strategies'!$AZ:$BP,17,FALSE),
IF(AND(Investment_Strategy="Lifecycle",Investment_Strategy_Sub1="Non-Standard"),VLOOKUP(Investment_Strategy&amp;"_"&amp;Investment_Strategy_Sub2&amp;"_"&amp;$A590,'Investment Strategies'!$C:$P,14,FALSE),
IF(AND(Investment_Strategy="Lifecycle",Investment_Strategy_Sub1="Standard"),VLOOKUP(Investment_Strategy&amp;"_"&amp;Investment_Strategy_Sub2&amp;"_"&amp;$A590,'Investment Strategies'!$AJ:$AV,13,FALSE),
IF(AND(Investment_Strategy="Autopilot",Investment_Strategy_Sub1="Non-Standard"),VLOOKUP(Investment_Strategy&amp;"_"&amp;Investment_Strategy_Sub2&amp;"_"&amp;$A590,'Investment Strategies'!$T:$AF,13,FALSE),
IF(Investment_Strategy="DIY",DIY_ExtManChrge_SP,
"Error"))))))</f>
        <v>0</v>
      </c>
      <c r="O590" s="16">
        <f t="shared" si="336"/>
        <v>0</v>
      </c>
      <c r="Q590" s="16">
        <f t="shared" si="313"/>
        <v>0</v>
      </c>
      <c r="R590" s="16">
        <f t="shared" si="310"/>
        <v>0</v>
      </c>
      <c r="S590" s="16">
        <f>(SRP_SP+SUM(S$91:S589))*L590*IF(D590=$A$91,SRP_finalmonthfactor,1)</f>
        <v>0</v>
      </c>
      <c r="T590" s="74">
        <f>MIN(IF($AV590=0,0,
IF(Investment_Strategy="DIS",VLOOKUP(Investment_Strategy&amp;"_"&amp;Investment_Strategy_Sub1&amp;"_"&amp;$A590,'Investment Strategies'!$AZ:$BP,12,FALSE),
IF(AND(Investment_Strategy="Lifecycle",Investment_Strategy_Sub1="Non-Standard"),VLOOKUP(Investment_Strategy&amp;"_"&amp;Investment_Strategy_Sub2&amp;"_"&amp;$A590,'Investment Strategies'!$C:$P,9,FALSE),
IF(AND(Investment_Strategy="Lifecycle",Investment_Strategy_Sub1="Standard"),VLOOKUP(Investment_Strategy&amp;"_"&amp;Investment_Strategy_Sub2&amp;"_"&amp;$A590,'Investment Strategies'!$AJ:$AV,8,FALSE),
IF(AND(Investment_Strategy="Autopilot",Investment_Strategy_Sub1="Non-Standard"),VLOOKUP(Investment_Strategy&amp;"_"&amp;Investment_Strategy_Sub2&amp;"_"&amp;$A590,'Investment Strategies'!$T:$AF,8,FALSE),
IF(Investment_Strategy ="DIY",DIY_RateOfReturn_FuturePremiums,
"Error")))))),Max_InvReturn)</f>
        <v>0</v>
      </c>
      <c r="U590" s="62">
        <f>IF($AV590=0,0,
IF(Investment_Strategy="DIS",VLOOKUP(Investment_Strategy&amp;"_"&amp;Investment_Strategy_Sub1&amp;"_"&amp;$A590,'Investment Strategies'!$AZ:$BP,15,FALSE),
IF(AND(Investment_Strategy="Lifecycle",Investment_Strategy_Sub1="Non-Standard"),VLOOKUP(Investment_Strategy&amp;"_"&amp;Investment_Strategy_Sub2&amp;"_"&amp;$A590,'Investment Strategies'!$C:$P,12,FALSE),
IF(AND(Investment_Strategy="Lifecycle",Investment_Strategy_Sub1="Standard"),VLOOKUP(Investment_Strategy&amp;"_"&amp;Investment_Strategy_Sub2&amp;"_"&amp;$A590,'Investment Strategies'!$AJ:$AV,11,FALSE),
IF(AND(Investment_Strategy="Autopilot",Investment_Strategy_Sub1="Non-Standard"),VLOOKUP(Investment_Strategy&amp;"_"&amp;Investment_Strategy_Sub2&amp;"_"&amp;$A590,'Investment Strategies'!$T:$AF,11,FALSE),
IF(Investment_Strategy="DIY",DIY_GteeChrge_FuturePremiums,
"Error"))))))</f>
        <v>0</v>
      </c>
      <c r="V590" s="33">
        <f>IF(AV590=0,0,
IF(Investment_Strategy="DIS",VLOOKUP(Investment_Strategy&amp;"_"&amp;Investment_Strategy_Sub1&amp;"_"&amp;$A590,'Investment Strategies'!$AZ:$BP,17,FALSE),
IF(AND(Investment_Strategy="Lifecycle",Investment_Strategy_Sub1="Non-Standard"),VLOOKUP(Investment_Strategy&amp;"_"&amp;Investment_Strategy_Sub2&amp;"_"&amp;$A590,'Investment Strategies'!$C:$P,14,FALSE),
IF(AND(Investment_Strategy="Lifecycle",Investment_Strategy_Sub1="Standard"),VLOOKUP(Investment_Strategy&amp;"_"&amp;Investment_Strategy_Sub2&amp;"_"&amp;$A590,'Investment Strategies'!$AJ:$AV,13,FALSE),
IF(AND(Investment_Strategy="Autopilot",Investment_Strategy_Sub1="Non-Standard"),VLOOKUP(Investment_Strategy&amp;"_"&amp;Investment_Strategy_Sub2&amp;"_"&amp;$A590,'Investment Strategies'!$T:$AF,13,FALSE),
IF(Investment_Strategy="DIY",DIY_ExtManChrge_FuturePremiums,
"Error"))))))</f>
        <v>0</v>
      </c>
      <c r="W590" s="16">
        <f t="shared" si="337"/>
        <v>0</v>
      </c>
      <c r="X590" s="16">
        <f t="shared" si="314"/>
        <v>0</v>
      </c>
      <c r="Y590" s="16">
        <f t="shared" si="315"/>
        <v>0</v>
      </c>
      <c r="Z590" s="31">
        <f t="shared" si="316"/>
        <v>0.02</v>
      </c>
      <c r="AA590" s="16">
        <f t="shared" si="317"/>
        <v>0</v>
      </c>
      <c r="AB590" s="28">
        <f t="shared" si="339"/>
        <v>0</v>
      </c>
      <c r="AC590" s="28">
        <f>(SUM($AC$91:AC589)+SUM($X$91:X589)+X590)*T590*IF(D590=$A$91,SRP_finalmonthfactor,1)</f>
        <v>0</v>
      </c>
      <c r="AD590" s="16">
        <f t="shared" si="318"/>
        <v>0</v>
      </c>
      <c r="AE590" s="106"/>
      <c r="AF590" s="16">
        <f t="shared" si="326"/>
        <v>0</v>
      </c>
      <c r="AG590" s="16">
        <f t="shared" si="327"/>
        <v>0</v>
      </c>
      <c r="AH590" s="16">
        <f t="shared" si="328"/>
        <v>0</v>
      </c>
      <c r="AJ590" s="13">
        <f t="shared" si="343"/>
        <v>0</v>
      </c>
      <c r="AK590" s="13">
        <f t="shared" si="343"/>
        <v>0</v>
      </c>
      <c r="AL590" s="13">
        <f t="shared" si="343"/>
        <v>0</v>
      </c>
      <c r="AM590" s="13">
        <f t="shared" si="343"/>
        <v>0</v>
      </c>
      <c r="AN590" s="13">
        <f t="shared" si="343"/>
        <v>0</v>
      </c>
      <c r="AO590" s="13">
        <f t="shared" si="343"/>
        <v>1</v>
      </c>
      <c r="AP590" s="13">
        <f t="shared" si="343"/>
        <v>1</v>
      </c>
      <c r="AQ590" s="13">
        <f t="shared" si="343"/>
        <v>1</v>
      </c>
      <c r="AR590" s="13">
        <f t="shared" si="343"/>
        <v>0</v>
      </c>
      <c r="AS590" s="13">
        <f t="shared" si="343"/>
        <v>0</v>
      </c>
      <c r="AT590" s="13">
        <f t="shared" si="343"/>
        <v>0</v>
      </c>
      <c r="AU590" s="13">
        <f t="shared" si="343"/>
        <v>0</v>
      </c>
      <c r="AV590" s="13">
        <f t="shared" si="319"/>
        <v>0</v>
      </c>
      <c r="AW590" s="13">
        <f t="shared" si="320"/>
        <v>1</v>
      </c>
      <c r="AY590" s="17">
        <f t="shared" si="321"/>
        <v>500</v>
      </c>
      <c r="AZ590" s="28">
        <f t="shared" si="329"/>
        <v>0</v>
      </c>
      <c r="BA590" s="13">
        <f t="shared" si="322"/>
        <v>0</v>
      </c>
      <c r="BB590" s="13">
        <f t="shared" si="323"/>
        <v>0</v>
      </c>
      <c r="BC590" s="28">
        <f t="shared" si="330"/>
        <v>0</v>
      </c>
      <c r="BD590" s="28">
        <f t="shared" si="331"/>
        <v>0</v>
      </c>
      <c r="BF590" s="248">
        <f t="shared" si="332"/>
        <v>993869.29442638322</v>
      </c>
    </row>
    <row r="591" spans="1:58">
      <c r="A591" s="32">
        <f t="shared" si="333"/>
        <v>-416</v>
      </c>
      <c r="B591" s="32">
        <f t="shared" si="324"/>
        <v>94</v>
      </c>
      <c r="C591" s="32">
        <f t="shared" si="334"/>
        <v>42</v>
      </c>
      <c r="D591" s="32">
        <f t="shared" si="335"/>
        <v>501</v>
      </c>
      <c r="E591" s="74">
        <f>MIN(IF(AV591=0,0,
IF(Investment_Strategy="DIS",VLOOKUP(Investment_Strategy&amp;"_"&amp;Investment_Strategy_Sub1&amp;"_"&amp;$A591,'Investment Strategies'!$AZ:$BP,12,FALSE),
IF(AND(Investment_Strategy="Lifecycle",Investment_Strategy_Sub1="Non-Standard"),VLOOKUP(Investment_Strategy&amp;"_"&amp;Investment_Strategy_Sub2&amp;"_"&amp;$A591,'Investment Strategies'!$C:$P,9,FALSE),
IF(AND(Investment_Strategy="Lifecycle",Investment_Strategy_Sub1="Standard"),VLOOKUP(Investment_Strategy&amp;"_"&amp;Investment_Strategy_Sub2&amp;"_"&amp;$A591,'Investment Strategies'!$AJ:$AV,8,FALSE),
IF(AND(Investment_Strategy="Autopilot",Investment_Strategy_Sub1="Non-Standard"),VLOOKUP(Investment_Strategy&amp;"_"&amp;Investment_Strategy_Sub2&amp;"_"&amp;$A591,'Investment Strategies'!$T:$AF,8,FALSE),
IF(Investment_Strategy ="DIY",DIY_RateOfReturn_CurrentFunds,
"Error")))))),Max_InvReturn)</f>
        <v>0</v>
      </c>
      <c r="F591" s="62">
        <f>IF(AV591=0,0,
IF(Investment_Strategy="DIS",VLOOKUP(Investment_Strategy&amp;"_"&amp;Investment_Strategy_Sub1&amp;"_"&amp;$A591,'Investment Strategies'!$AZ:$BP,15,FALSE),
IF(AND(Investment_Strategy="Lifecycle",Investment_Strategy_Sub1="Non-Standard"),VLOOKUP(Investment_Strategy&amp;"_"&amp;Investment_Strategy_Sub2&amp;"_"&amp;$A591,'Investment Strategies'!$C:$P,12,FALSE),
IF(AND(Investment_Strategy="Lifecycle",Investment_Strategy_Sub1="Standard"),VLOOKUP(Investment_Strategy&amp;"_"&amp;Investment_Strategy_Sub2&amp;"_"&amp;$A591,'Investment Strategies'!$AJ:$AV,11,FALSE),
IF(AND(Investment_Strategy="Autopilot",Investment_Strategy_Sub1="Non-Standard"),VLOOKUP(Investment_Strategy&amp;"_"&amp;Investment_Strategy_Sub2&amp;"_"&amp;$A591,'Investment Strategies'!$T:$AF,11,FALSE),
IF(Investment_Strategy="DIY",DIY_GteeChrge_CurrentFunds,
"Error"))))))</f>
        <v>0</v>
      </c>
      <c r="G591" s="33">
        <f>IF(AV591=0,0,
IF(Investment_Strategy="DIS",VLOOKUP(Investment_Strategy&amp;"_"&amp;Investment_Strategy_Sub1&amp;"_"&amp;$A591,'Investment Strategies'!$AZ:$BP,17,FALSE),
IF(AND(Investment_Strategy="Lifecycle",Investment_Strategy_Sub1="Non-Standard"),VLOOKUP(Investment_Strategy&amp;"_"&amp;Investment_Strategy_Sub2&amp;"_"&amp;$A591,'Investment Strategies'!$C:$P,14,FALSE),
IF(AND(Investment_Strategy="Lifecycle",Investment_Strategy_Sub1="Standard"),VLOOKUP(Investment_Strategy&amp;"_"&amp;Investment_Strategy_Sub2&amp;"_"&amp;$A591,'Investment Strategies'!$AJ:$AV,13,FALSE),
IF(AND(Investment_Strategy="Autopilot",Investment_Strategy_Sub1="Non-Standard"),VLOOKUP(Investment_Strategy&amp;"_"&amp;Investment_Strategy_Sub2&amp;"_"&amp;$A591,'Investment Strategies'!$T:$AF,13,FALSE),
IF(Investment_Strategy="DIY",DIY_ExtManChrge_CurrentFunds,
"Error"))))))</f>
        <v>0</v>
      </c>
      <c r="H591" s="16">
        <f t="shared" si="325"/>
        <v>0</v>
      </c>
      <c r="I591" s="16">
        <f t="shared" si="311"/>
        <v>0</v>
      </c>
      <c r="J591" s="16">
        <f t="shared" si="312"/>
        <v>0</v>
      </c>
      <c r="K591" s="16">
        <f>(Opening_Fund_Value+SUM(K$91:K590))*E591*IF(D591=$A$91,SRP_finalmonthfactor,1)</f>
        <v>0</v>
      </c>
      <c r="L591" s="74">
        <f>MIN(IF($AV591=0,0,
IF(Investment_Strategy="DIS",VLOOKUP(Investment_Strategy&amp;"_"&amp;Investment_Strategy_Sub1&amp;"_"&amp;$A591,'Investment Strategies'!$AZ:$BP,12,FALSE),
IF(AND(Investment_Strategy="Lifecycle",Investment_Strategy_Sub1="Non-Standard"),VLOOKUP(Investment_Strategy&amp;"_"&amp;Investment_Strategy_Sub2&amp;"_"&amp;$A591,'Investment Strategies'!$C:$P,9,FALSE),
IF(AND(Investment_Strategy="Lifecycle",Investment_Strategy_Sub1="Standard"),VLOOKUP(Investment_Strategy&amp;"_"&amp;Investment_Strategy_Sub2&amp;"_"&amp;$A591,'Investment Strategies'!$AJ:$AV,8,FALSE),
IF(AND(Investment_Strategy="Autopilot",Investment_Strategy_Sub1="Non-Standard"),VLOOKUP(Investment_Strategy&amp;"_"&amp;Investment_Strategy_Sub2&amp;"_"&amp;$A591,'Investment Strategies'!$T:$AF,8,FALSE),
IF(Investment_Strategy ="DIY",DIY_RateofReturn_SP,
"Error")))))),Max_InvReturn)</f>
        <v>0</v>
      </c>
      <c r="M591" s="62">
        <f>IF($AV591=0,0,
IF(Investment_Strategy="DIS",VLOOKUP(Investment_Strategy&amp;"_"&amp;Investment_Strategy_Sub1&amp;"_"&amp;$A591,'Investment Strategies'!$AZ:$BP,15,FALSE),
IF(AND(Investment_Strategy="Lifecycle",Investment_Strategy_Sub1="Non-Standard"),VLOOKUP(Investment_Strategy&amp;"_"&amp;Investment_Strategy_Sub2&amp;"_"&amp;$A591,'Investment Strategies'!$C:$P,12,FALSE),
IF(AND(Investment_Strategy="Lifecycle",Investment_Strategy_Sub1="Standard"),VLOOKUP(Investment_Strategy&amp;"_"&amp;Investment_Strategy_Sub2&amp;"_"&amp;$A591,'Investment Strategies'!$AJ:$AV,11,FALSE),
IF(AND(Investment_Strategy="Autopilot",Investment_Strategy_Sub1="Non-Standard"),VLOOKUP(Investment_Strategy&amp;"_"&amp;Investment_Strategy_Sub2&amp;"_"&amp;$A591,'Investment Strategies'!$T:$AF,11,FALSE),
IF(Investment_Strategy="DIY",DIY_GteeChrge_SP,
"Error"))))))</f>
        <v>0</v>
      </c>
      <c r="N591" s="33">
        <f>IF($AV591=0,0,
IF(Investment_Strategy="DIS",VLOOKUP(Investment_Strategy&amp;"_"&amp;Investment_Strategy_Sub1&amp;"_"&amp;$A591,'Investment Strategies'!$AZ:$BP,17,FALSE),
IF(AND(Investment_Strategy="Lifecycle",Investment_Strategy_Sub1="Non-Standard"),VLOOKUP(Investment_Strategy&amp;"_"&amp;Investment_Strategy_Sub2&amp;"_"&amp;$A591,'Investment Strategies'!$C:$P,14,FALSE),
IF(AND(Investment_Strategy="Lifecycle",Investment_Strategy_Sub1="Standard"),VLOOKUP(Investment_Strategy&amp;"_"&amp;Investment_Strategy_Sub2&amp;"_"&amp;$A591,'Investment Strategies'!$AJ:$AV,13,FALSE),
IF(AND(Investment_Strategy="Autopilot",Investment_Strategy_Sub1="Non-Standard"),VLOOKUP(Investment_Strategy&amp;"_"&amp;Investment_Strategy_Sub2&amp;"_"&amp;$A591,'Investment Strategies'!$T:$AF,13,FALSE),
IF(Investment_Strategy="DIY",DIY_ExtManChrge_SP,
"Error"))))))</f>
        <v>0</v>
      </c>
      <c r="O591" s="16">
        <f t="shared" si="336"/>
        <v>0</v>
      </c>
      <c r="Q591" s="16">
        <f t="shared" si="313"/>
        <v>0</v>
      </c>
      <c r="R591" s="16">
        <f t="shared" si="310"/>
        <v>0</v>
      </c>
      <c r="S591" s="16">
        <f>(SRP_SP+SUM(S$91:S590))*L591*IF(D591=$A$91,SRP_finalmonthfactor,1)</f>
        <v>0</v>
      </c>
      <c r="T591" s="74">
        <f>MIN(IF($AV591=0,0,
IF(Investment_Strategy="DIS",VLOOKUP(Investment_Strategy&amp;"_"&amp;Investment_Strategy_Sub1&amp;"_"&amp;$A591,'Investment Strategies'!$AZ:$BP,12,FALSE),
IF(AND(Investment_Strategy="Lifecycle",Investment_Strategy_Sub1="Non-Standard"),VLOOKUP(Investment_Strategy&amp;"_"&amp;Investment_Strategy_Sub2&amp;"_"&amp;$A591,'Investment Strategies'!$C:$P,9,FALSE),
IF(AND(Investment_Strategy="Lifecycle",Investment_Strategy_Sub1="Standard"),VLOOKUP(Investment_Strategy&amp;"_"&amp;Investment_Strategy_Sub2&amp;"_"&amp;$A591,'Investment Strategies'!$AJ:$AV,8,FALSE),
IF(AND(Investment_Strategy="Autopilot",Investment_Strategy_Sub1="Non-Standard"),VLOOKUP(Investment_Strategy&amp;"_"&amp;Investment_Strategy_Sub2&amp;"_"&amp;$A591,'Investment Strategies'!$T:$AF,8,FALSE),
IF(Investment_Strategy ="DIY",DIY_RateOfReturn_FuturePremiums,
"Error")))))),Max_InvReturn)</f>
        <v>0</v>
      </c>
      <c r="U591" s="62">
        <f>IF($AV591=0,0,
IF(Investment_Strategy="DIS",VLOOKUP(Investment_Strategy&amp;"_"&amp;Investment_Strategy_Sub1&amp;"_"&amp;$A591,'Investment Strategies'!$AZ:$BP,15,FALSE),
IF(AND(Investment_Strategy="Lifecycle",Investment_Strategy_Sub1="Non-Standard"),VLOOKUP(Investment_Strategy&amp;"_"&amp;Investment_Strategy_Sub2&amp;"_"&amp;$A591,'Investment Strategies'!$C:$P,12,FALSE),
IF(AND(Investment_Strategy="Lifecycle",Investment_Strategy_Sub1="Standard"),VLOOKUP(Investment_Strategy&amp;"_"&amp;Investment_Strategy_Sub2&amp;"_"&amp;$A591,'Investment Strategies'!$AJ:$AV,11,FALSE),
IF(AND(Investment_Strategy="Autopilot",Investment_Strategy_Sub1="Non-Standard"),VLOOKUP(Investment_Strategy&amp;"_"&amp;Investment_Strategy_Sub2&amp;"_"&amp;$A591,'Investment Strategies'!$T:$AF,11,FALSE),
IF(Investment_Strategy="DIY",DIY_GteeChrge_FuturePremiums,
"Error"))))))</f>
        <v>0</v>
      </c>
      <c r="V591" s="33">
        <f>IF(AV591=0,0,
IF(Investment_Strategy="DIS",VLOOKUP(Investment_Strategy&amp;"_"&amp;Investment_Strategy_Sub1&amp;"_"&amp;$A591,'Investment Strategies'!$AZ:$BP,17,FALSE),
IF(AND(Investment_Strategy="Lifecycle",Investment_Strategy_Sub1="Non-Standard"),VLOOKUP(Investment_Strategy&amp;"_"&amp;Investment_Strategy_Sub2&amp;"_"&amp;$A591,'Investment Strategies'!$C:$P,14,FALSE),
IF(AND(Investment_Strategy="Lifecycle",Investment_Strategy_Sub1="Standard"),VLOOKUP(Investment_Strategy&amp;"_"&amp;Investment_Strategy_Sub2&amp;"_"&amp;$A591,'Investment Strategies'!$AJ:$AV,13,FALSE),
IF(AND(Investment_Strategy="Autopilot",Investment_Strategy_Sub1="Non-Standard"),VLOOKUP(Investment_Strategy&amp;"_"&amp;Investment_Strategy_Sub2&amp;"_"&amp;$A591,'Investment Strategies'!$T:$AF,13,FALSE),
IF(Investment_Strategy="DIY",DIY_ExtManChrge_FuturePremiums,
"Error"))))))</f>
        <v>0</v>
      </c>
      <c r="W591" s="16">
        <f t="shared" si="337"/>
        <v>0</v>
      </c>
      <c r="X591" s="16">
        <f t="shared" si="314"/>
        <v>0</v>
      </c>
      <c r="Y591" s="16">
        <f t="shared" si="315"/>
        <v>0</v>
      </c>
      <c r="Z591" s="31">
        <f t="shared" si="316"/>
        <v>0.02</v>
      </c>
      <c r="AA591" s="16">
        <f t="shared" si="317"/>
        <v>0</v>
      </c>
      <c r="AB591" s="28">
        <f t="shared" si="339"/>
        <v>0</v>
      </c>
      <c r="AC591" s="28">
        <f>(SUM($AC$91:AC590)+SUM($X$91:X590)+X591)*T591*IF(D591=$A$91,SRP_finalmonthfactor,1)</f>
        <v>0</v>
      </c>
      <c r="AD591" s="16">
        <f t="shared" si="318"/>
        <v>0</v>
      </c>
      <c r="AE591" s="106"/>
      <c r="AF591" s="16">
        <f t="shared" si="326"/>
        <v>0</v>
      </c>
      <c r="AG591" s="16">
        <f t="shared" si="327"/>
        <v>0</v>
      </c>
      <c r="AH591" s="16">
        <f t="shared" si="328"/>
        <v>0</v>
      </c>
      <c r="AJ591" s="13">
        <f t="shared" ref="AJ591:AU600" si="344">IF($C591&lt;=AJ$90,1,0)</f>
        <v>0</v>
      </c>
      <c r="AK591" s="13">
        <f t="shared" si="344"/>
        <v>0</v>
      </c>
      <c r="AL591" s="13">
        <f t="shared" si="344"/>
        <v>0</v>
      </c>
      <c r="AM591" s="13">
        <f t="shared" si="344"/>
        <v>0</v>
      </c>
      <c r="AN591" s="13">
        <f t="shared" si="344"/>
        <v>0</v>
      </c>
      <c r="AO591" s="13">
        <f t="shared" si="344"/>
        <v>1</v>
      </c>
      <c r="AP591" s="13">
        <f t="shared" si="344"/>
        <v>1</v>
      </c>
      <c r="AQ591" s="13">
        <f t="shared" si="344"/>
        <v>1</v>
      </c>
      <c r="AR591" s="13">
        <f t="shared" si="344"/>
        <v>0</v>
      </c>
      <c r="AS591" s="13">
        <f t="shared" si="344"/>
        <v>0</v>
      </c>
      <c r="AT591" s="13">
        <f t="shared" si="344"/>
        <v>0</v>
      </c>
      <c r="AU591" s="13">
        <f t="shared" si="344"/>
        <v>0</v>
      </c>
      <c r="AV591" s="13">
        <f t="shared" si="319"/>
        <v>0</v>
      </c>
      <c r="AW591" s="13">
        <f t="shared" si="320"/>
        <v>1</v>
      </c>
      <c r="AY591" s="17">
        <f t="shared" si="321"/>
        <v>501</v>
      </c>
      <c r="AZ591" s="28">
        <f t="shared" si="329"/>
        <v>0</v>
      </c>
      <c r="BA591" s="13">
        <f t="shared" si="322"/>
        <v>0</v>
      </c>
      <c r="BB591" s="13">
        <f t="shared" si="323"/>
        <v>0</v>
      </c>
      <c r="BC591" s="28">
        <f t="shared" si="330"/>
        <v>0</v>
      </c>
      <c r="BD591" s="28">
        <f t="shared" si="331"/>
        <v>0</v>
      </c>
      <c r="BF591" s="248">
        <f t="shared" si="332"/>
        <v>993869.29442638322</v>
      </c>
    </row>
    <row r="592" spans="1:58">
      <c r="A592" s="32">
        <f t="shared" si="333"/>
        <v>-417</v>
      </c>
      <c r="B592" s="32">
        <f t="shared" si="324"/>
        <v>94</v>
      </c>
      <c r="C592" s="32">
        <f t="shared" si="334"/>
        <v>42</v>
      </c>
      <c r="D592" s="32">
        <f t="shared" si="335"/>
        <v>502</v>
      </c>
      <c r="E592" s="74">
        <f>MIN(IF(AV592=0,0,
IF(Investment_Strategy="DIS",VLOOKUP(Investment_Strategy&amp;"_"&amp;Investment_Strategy_Sub1&amp;"_"&amp;$A592,'Investment Strategies'!$AZ:$BP,12,FALSE),
IF(AND(Investment_Strategy="Lifecycle",Investment_Strategy_Sub1="Non-Standard"),VLOOKUP(Investment_Strategy&amp;"_"&amp;Investment_Strategy_Sub2&amp;"_"&amp;$A592,'Investment Strategies'!$C:$P,9,FALSE),
IF(AND(Investment_Strategy="Lifecycle",Investment_Strategy_Sub1="Standard"),VLOOKUP(Investment_Strategy&amp;"_"&amp;Investment_Strategy_Sub2&amp;"_"&amp;$A592,'Investment Strategies'!$AJ:$AV,8,FALSE),
IF(AND(Investment_Strategy="Autopilot",Investment_Strategy_Sub1="Non-Standard"),VLOOKUP(Investment_Strategy&amp;"_"&amp;Investment_Strategy_Sub2&amp;"_"&amp;$A592,'Investment Strategies'!$T:$AF,8,FALSE),
IF(Investment_Strategy ="DIY",DIY_RateOfReturn_CurrentFunds,
"Error")))))),Max_InvReturn)</f>
        <v>0</v>
      </c>
      <c r="F592" s="62">
        <f>IF(AV592=0,0,
IF(Investment_Strategy="DIS",VLOOKUP(Investment_Strategy&amp;"_"&amp;Investment_Strategy_Sub1&amp;"_"&amp;$A592,'Investment Strategies'!$AZ:$BP,15,FALSE),
IF(AND(Investment_Strategy="Lifecycle",Investment_Strategy_Sub1="Non-Standard"),VLOOKUP(Investment_Strategy&amp;"_"&amp;Investment_Strategy_Sub2&amp;"_"&amp;$A592,'Investment Strategies'!$C:$P,12,FALSE),
IF(AND(Investment_Strategy="Lifecycle",Investment_Strategy_Sub1="Standard"),VLOOKUP(Investment_Strategy&amp;"_"&amp;Investment_Strategy_Sub2&amp;"_"&amp;$A592,'Investment Strategies'!$AJ:$AV,11,FALSE),
IF(AND(Investment_Strategy="Autopilot",Investment_Strategy_Sub1="Non-Standard"),VLOOKUP(Investment_Strategy&amp;"_"&amp;Investment_Strategy_Sub2&amp;"_"&amp;$A592,'Investment Strategies'!$T:$AF,11,FALSE),
IF(Investment_Strategy="DIY",DIY_GteeChrge_CurrentFunds,
"Error"))))))</f>
        <v>0</v>
      </c>
      <c r="G592" s="33">
        <f>IF(AV592=0,0,
IF(Investment_Strategy="DIS",VLOOKUP(Investment_Strategy&amp;"_"&amp;Investment_Strategy_Sub1&amp;"_"&amp;$A592,'Investment Strategies'!$AZ:$BP,17,FALSE),
IF(AND(Investment_Strategy="Lifecycle",Investment_Strategy_Sub1="Non-Standard"),VLOOKUP(Investment_Strategy&amp;"_"&amp;Investment_Strategy_Sub2&amp;"_"&amp;$A592,'Investment Strategies'!$C:$P,14,FALSE),
IF(AND(Investment_Strategy="Lifecycle",Investment_Strategy_Sub1="Standard"),VLOOKUP(Investment_Strategy&amp;"_"&amp;Investment_Strategy_Sub2&amp;"_"&amp;$A592,'Investment Strategies'!$AJ:$AV,13,FALSE),
IF(AND(Investment_Strategy="Autopilot",Investment_Strategy_Sub1="Non-Standard"),VLOOKUP(Investment_Strategy&amp;"_"&amp;Investment_Strategy_Sub2&amp;"_"&amp;$A592,'Investment Strategies'!$T:$AF,13,FALSE),
IF(Investment_Strategy="DIY",DIY_ExtManChrge_CurrentFunds,
"Error"))))))</f>
        <v>0</v>
      </c>
      <c r="H592" s="16">
        <f t="shared" si="325"/>
        <v>0</v>
      </c>
      <c r="I592" s="16">
        <f t="shared" si="311"/>
        <v>0</v>
      </c>
      <c r="J592" s="16">
        <f t="shared" si="312"/>
        <v>0</v>
      </c>
      <c r="K592" s="16">
        <f>(Opening_Fund_Value+SUM(K$91:K591))*E592*IF(D592=$A$91,SRP_finalmonthfactor,1)</f>
        <v>0</v>
      </c>
      <c r="L592" s="74">
        <f>MIN(IF($AV592=0,0,
IF(Investment_Strategy="DIS",VLOOKUP(Investment_Strategy&amp;"_"&amp;Investment_Strategy_Sub1&amp;"_"&amp;$A592,'Investment Strategies'!$AZ:$BP,12,FALSE),
IF(AND(Investment_Strategy="Lifecycle",Investment_Strategy_Sub1="Non-Standard"),VLOOKUP(Investment_Strategy&amp;"_"&amp;Investment_Strategy_Sub2&amp;"_"&amp;$A592,'Investment Strategies'!$C:$P,9,FALSE),
IF(AND(Investment_Strategy="Lifecycle",Investment_Strategy_Sub1="Standard"),VLOOKUP(Investment_Strategy&amp;"_"&amp;Investment_Strategy_Sub2&amp;"_"&amp;$A592,'Investment Strategies'!$AJ:$AV,8,FALSE),
IF(AND(Investment_Strategy="Autopilot",Investment_Strategy_Sub1="Non-Standard"),VLOOKUP(Investment_Strategy&amp;"_"&amp;Investment_Strategy_Sub2&amp;"_"&amp;$A592,'Investment Strategies'!$T:$AF,8,FALSE),
IF(Investment_Strategy ="DIY",DIY_RateofReturn_SP,
"Error")))))),Max_InvReturn)</f>
        <v>0</v>
      </c>
      <c r="M592" s="62">
        <f>IF($AV592=0,0,
IF(Investment_Strategy="DIS",VLOOKUP(Investment_Strategy&amp;"_"&amp;Investment_Strategy_Sub1&amp;"_"&amp;$A592,'Investment Strategies'!$AZ:$BP,15,FALSE),
IF(AND(Investment_Strategy="Lifecycle",Investment_Strategy_Sub1="Non-Standard"),VLOOKUP(Investment_Strategy&amp;"_"&amp;Investment_Strategy_Sub2&amp;"_"&amp;$A592,'Investment Strategies'!$C:$P,12,FALSE),
IF(AND(Investment_Strategy="Lifecycle",Investment_Strategy_Sub1="Standard"),VLOOKUP(Investment_Strategy&amp;"_"&amp;Investment_Strategy_Sub2&amp;"_"&amp;$A592,'Investment Strategies'!$AJ:$AV,11,FALSE),
IF(AND(Investment_Strategy="Autopilot",Investment_Strategy_Sub1="Non-Standard"),VLOOKUP(Investment_Strategy&amp;"_"&amp;Investment_Strategy_Sub2&amp;"_"&amp;$A592,'Investment Strategies'!$T:$AF,11,FALSE),
IF(Investment_Strategy="DIY",DIY_GteeChrge_SP,
"Error"))))))</f>
        <v>0</v>
      </c>
      <c r="N592" s="33">
        <f>IF($AV592=0,0,
IF(Investment_Strategy="DIS",VLOOKUP(Investment_Strategy&amp;"_"&amp;Investment_Strategy_Sub1&amp;"_"&amp;$A592,'Investment Strategies'!$AZ:$BP,17,FALSE),
IF(AND(Investment_Strategy="Lifecycle",Investment_Strategy_Sub1="Non-Standard"),VLOOKUP(Investment_Strategy&amp;"_"&amp;Investment_Strategy_Sub2&amp;"_"&amp;$A592,'Investment Strategies'!$C:$P,14,FALSE),
IF(AND(Investment_Strategy="Lifecycle",Investment_Strategy_Sub1="Standard"),VLOOKUP(Investment_Strategy&amp;"_"&amp;Investment_Strategy_Sub2&amp;"_"&amp;$A592,'Investment Strategies'!$AJ:$AV,13,FALSE),
IF(AND(Investment_Strategy="Autopilot",Investment_Strategy_Sub1="Non-Standard"),VLOOKUP(Investment_Strategy&amp;"_"&amp;Investment_Strategy_Sub2&amp;"_"&amp;$A592,'Investment Strategies'!$T:$AF,13,FALSE),
IF(Investment_Strategy="DIY",DIY_ExtManChrge_SP,
"Error"))))))</f>
        <v>0</v>
      </c>
      <c r="O592" s="16">
        <f t="shared" si="336"/>
        <v>0</v>
      </c>
      <c r="Q592" s="16">
        <f t="shared" si="313"/>
        <v>0</v>
      </c>
      <c r="R592" s="16">
        <f t="shared" si="310"/>
        <v>0</v>
      </c>
      <c r="S592" s="16">
        <f>(SRP_SP+SUM(S$91:S591))*L592*IF(D592=$A$91,SRP_finalmonthfactor,1)</f>
        <v>0</v>
      </c>
      <c r="T592" s="74">
        <f>MIN(IF($AV592=0,0,
IF(Investment_Strategy="DIS",VLOOKUP(Investment_Strategy&amp;"_"&amp;Investment_Strategy_Sub1&amp;"_"&amp;$A592,'Investment Strategies'!$AZ:$BP,12,FALSE),
IF(AND(Investment_Strategy="Lifecycle",Investment_Strategy_Sub1="Non-Standard"),VLOOKUP(Investment_Strategy&amp;"_"&amp;Investment_Strategy_Sub2&amp;"_"&amp;$A592,'Investment Strategies'!$C:$P,9,FALSE),
IF(AND(Investment_Strategy="Lifecycle",Investment_Strategy_Sub1="Standard"),VLOOKUP(Investment_Strategy&amp;"_"&amp;Investment_Strategy_Sub2&amp;"_"&amp;$A592,'Investment Strategies'!$AJ:$AV,8,FALSE),
IF(AND(Investment_Strategy="Autopilot",Investment_Strategy_Sub1="Non-Standard"),VLOOKUP(Investment_Strategy&amp;"_"&amp;Investment_Strategy_Sub2&amp;"_"&amp;$A592,'Investment Strategies'!$T:$AF,8,FALSE),
IF(Investment_Strategy ="DIY",DIY_RateOfReturn_FuturePremiums,
"Error")))))),Max_InvReturn)</f>
        <v>0</v>
      </c>
      <c r="U592" s="62">
        <f>IF($AV592=0,0,
IF(Investment_Strategy="DIS",VLOOKUP(Investment_Strategy&amp;"_"&amp;Investment_Strategy_Sub1&amp;"_"&amp;$A592,'Investment Strategies'!$AZ:$BP,15,FALSE),
IF(AND(Investment_Strategy="Lifecycle",Investment_Strategy_Sub1="Non-Standard"),VLOOKUP(Investment_Strategy&amp;"_"&amp;Investment_Strategy_Sub2&amp;"_"&amp;$A592,'Investment Strategies'!$C:$P,12,FALSE),
IF(AND(Investment_Strategy="Lifecycle",Investment_Strategy_Sub1="Standard"),VLOOKUP(Investment_Strategy&amp;"_"&amp;Investment_Strategy_Sub2&amp;"_"&amp;$A592,'Investment Strategies'!$AJ:$AV,11,FALSE),
IF(AND(Investment_Strategy="Autopilot",Investment_Strategy_Sub1="Non-Standard"),VLOOKUP(Investment_Strategy&amp;"_"&amp;Investment_Strategy_Sub2&amp;"_"&amp;$A592,'Investment Strategies'!$T:$AF,11,FALSE),
IF(Investment_Strategy="DIY",DIY_GteeChrge_FuturePremiums,
"Error"))))))</f>
        <v>0</v>
      </c>
      <c r="V592" s="33">
        <f>IF(AV592=0,0,
IF(Investment_Strategy="DIS",VLOOKUP(Investment_Strategy&amp;"_"&amp;Investment_Strategy_Sub1&amp;"_"&amp;$A592,'Investment Strategies'!$AZ:$BP,17,FALSE),
IF(AND(Investment_Strategy="Lifecycle",Investment_Strategy_Sub1="Non-Standard"),VLOOKUP(Investment_Strategy&amp;"_"&amp;Investment_Strategy_Sub2&amp;"_"&amp;$A592,'Investment Strategies'!$C:$P,14,FALSE),
IF(AND(Investment_Strategy="Lifecycle",Investment_Strategy_Sub1="Standard"),VLOOKUP(Investment_Strategy&amp;"_"&amp;Investment_Strategy_Sub2&amp;"_"&amp;$A592,'Investment Strategies'!$AJ:$AV,13,FALSE),
IF(AND(Investment_Strategy="Autopilot",Investment_Strategy_Sub1="Non-Standard"),VLOOKUP(Investment_Strategy&amp;"_"&amp;Investment_Strategy_Sub2&amp;"_"&amp;$A592,'Investment Strategies'!$T:$AF,13,FALSE),
IF(Investment_Strategy="DIY",DIY_ExtManChrge_FuturePremiums,
"Error"))))))</f>
        <v>0</v>
      </c>
      <c r="W592" s="16">
        <f t="shared" si="337"/>
        <v>0</v>
      </c>
      <c r="X592" s="16">
        <f t="shared" si="314"/>
        <v>0</v>
      </c>
      <c r="Y592" s="16">
        <f t="shared" si="315"/>
        <v>0</v>
      </c>
      <c r="Z592" s="31">
        <f t="shared" si="316"/>
        <v>0.02</v>
      </c>
      <c r="AA592" s="16">
        <f t="shared" si="317"/>
        <v>0</v>
      </c>
      <c r="AB592" s="28">
        <f t="shared" si="339"/>
        <v>0</v>
      </c>
      <c r="AC592" s="28">
        <f>(SUM($AC$91:AC591)+SUM($X$91:X591)+X592)*T592*IF(D592=$A$91,SRP_finalmonthfactor,1)</f>
        <v>0</v>
      </c>
      <c r="AD592" s="16">
        <f t="shared" si="318"/>
        <v>0</v>
      </c>
      <c r="AE592" s="106"/>
      <c r="AF592" s="16">
        <f t="shared" si="326"/>
        <v>0</v>
      </c>
      <c r="AG592" s="16">
        <f t="shared" si="327"/>
        <v>0</v>
      </c>
      <c r="AH592" s="16">
        <f t="shared" si="328"/>
        <v>0</v>
      </c>
      <c r="AJ592" s="13">
        <f t="shared" si="344"/>
        <v>0</v>
      </c>
      <c r="AK592" s="13">
        <f t="shared" si="344"/>
        <v>0</v>
      </c>
      <c r="AL592" s="13">
        <f t="shared" si="344"/>
        <v>0</v>
      </c>
      <c r="AM592" s="13">
        <f t="shared" si="344"/>
        <v>0</v>
      </c>
      <c r="AN592" s="13">
        <f t="shared" si="344"/>
        <v>0</v>
      </c>
      <c r="AO592" s="13">
        <f t="shared" si="344"/>
        <v>1</v>
      </c>
      <c r="AP592" s="13">
        <f t="shared" si="344"/>
        <v>1</v>
      </c>
      <c r="AQ592" s="13">
        <f t="shared" si="344"/>
        <v>1</v>
      </c>
      <c r="AR592" s="13">
        <f t="shared" si="344"/>
        <v>0</v>
      </c>
      <c r="AS592" s="13">
        <f t="shared" si="344"/>
        <v>0</v>
      </c>
      <c r="AT592" s="13">
        <f t="shared" si="344"/>
        <v>0</v>
      </c>
      <c r="AU592" s="13">
        <f t="shared" si="344"/>
        <v>0</v>
      </c>
      <c r="AV592" s="13">
        <f t="shared" si="319"/>
        <v>0</v>
      </c>
      <c r="AW592" s="13">
        <f t="shared" si="320"/>
        <v>1</v>
      </c>
      <c r="AY592" s="17">
        <f t="shared" si="321"/>
        <v>502</v>
      </c>
      <c r="AZ592" s="28">
        <f t="shared" si="329"/>
        <v>0</v>
      </c>
      <c r="BA592" s="13">
        <f t="shared" si="322"/>
        <v>0</v>
      </c>
      <c r="BB592" s="13">
        <f t="shared" si="323"/>
        <v>0</v>
      </c>
      <c r="BC592" s="28">
        <f t="shared" si="330"/>
        <v>0</v>
      </c>
      <c r="BD592" s="28">
        <f t="shared" si="331"/>
        <v>0</v>
      </c>
      <c r="BF592" s="248">
        <f t="shared" si="332"/>
        <v>993869.29442638322</v>
      </c>
    </row>
    <row r="593" spans="1:58">
      <c r="A593" s="32">
        <f t="shared" si="333"/>
        <v>-418</v>
      </c>
      <c r="B593" s="32">
        <f t="shared" si="324"/>
        <v>94</v>
      </c>
      <c r="C593" s="32">
        <f t="shared" si="334"/>
        <v>42</v>
      </c>
      <c r="D593" s="32">
        <f t="shared" si="335"/>
        <v>503</v>
      </c>
      <c r="E593" s="74">
        <f>MIN(IF(AV593=0,0,
IF(Investment_Strategy="DIS",VLOOKUP(Investment_Strategy&amp;"_"&amp;Investment_Strategy_Sub1&amp;"_"&amp;$A593,'Investment Strategies'!$AZ:$BP,12,FALSE),
IF(AND(Investment_Strategy="Lifecycle",Investment_Strategy_Sub1="Non-Standard"),VLOOKUP(Investment_Strategy&amp;"_"&amp;Investment_Strategy_Sub2&amp;"_"&amp;$A593,'Investment Strategies'!$C:$P,9,FALSE),
IF(AND(Investment_Strategy="Lifecycle",Investment_Strategy_Sub1="Standard"),VLOOKUP(Investment_Strategy&amp;"_"&amp;Investment_Strategy_Sub2&amp;"_"&amp;$A593,'Investment Strategies'!$AJ:$AV,8,FALSE),
IF(AND(Investment_Strategy="Autopilot",Investment_Strategy_Sub1="Non-Standard"),VLOOKUP(Investment_Strategy&amp;"_"&amp;Investment_Strategy_Sub2&amp;"_"&amp;$A593,'Investment Strategies'!$T:$AF,8,FALSE),
IF(Investment_Strategy ="DIY",DIY_RateOfReturn_CurrentFunds,
"Error")))))),Max_InvReturn)</f>
        <v>0</v>
      </c>
      <c r="F593" s="62">
        <f>IF(AV593=0,0,
IF(Investment_Strategy="DIS",VLOOKUP(Investment_Strategy&amp;"_"&amp;Investment_Strategy_Sub1&amp;"_"&amp;$A593,'Investment Strategies'!$AZ:$BP,15,FALSE),
IF(AND(Investment_Strategy="Lifecycle",Investment_Strategy_Sub1="Non-Standard"),VLOOKUP(Investment_Strategy&amp;"_"&amp;Investment_Strategy_Sub2&amp;"_"&amp;$A593,'Investment Strategies'!$C:$P,12,FALSE),
IF(AND(Investment_Strategy="Lifecycle",Investment_Strategy_Sub1="Standard"),VLOOKUP(Investment_Strategy&amp;"_"&amp;Investment_Strategy_Sub2&amp;"_"&amp;$A593,'Investment Strategies'!$AJ:$AV,11,FALSE),
IF(AND(Investment_Strategy="Autopilot",Investment_Strategy_Sub1="Non-Standard"),VLOOKUP(Investment_Strategy&amp;"_"&amp;Investment_Strategy_Sub2&amp;"_"&amp;$A593,'Investment Strategies'!$T:$AF,11,FALSE),
IF(Investment_Strategy="DIY",DIY_GteeChrge_CurrentFunds,
"Error"))))))</f>
        <v>0</v>
      </c>
      <c r="G593" s="33">
        <f>IF(AV593=0,0,
IF(Investment_Strategy="DIS",VLOOKUP(Investment_Strategy&amp;"_"&amp;Investment_Strategy_Sub1&amp;"_"&amp;$A593,'Investment Strategies'!$AZ:$BP,17,FALSE),
IF(AND(Investment_Strategy="Lifecycle",Investment_Strategy_Sub1="Non-Standard"),VLOOKUP(Investment_Strategy&amp;"_"&amp;Investment_Strategy_Sub2&amp;"_"&amp;$A593,'Investment Strategies'!$C:$P,14,FALSE),
IF(AND(Investment_Strategy="Lifecycle",Investment_Strategy_Sub1="Standard"),VLOOKUP(Investment_Strategy&amp;"_"&amp;Investment_Strategy_Sub2&amp;"_"&amp;$A593,'Investment Strategies'!$AJ:$AV,13,FALSE),
IF(AND(Investment_Strategy="Autopilot",Investment_Strategy_Sub1="Non-Standard"),VLOOKUP(Investment_Strategy&amp;"_"&amp;Investment_Strategy_Sub2&amp;"_"&amp;$A593,'Investment Strategies'!$T:$AF,13,FALSE),
IF(Investment_Strategy="DIY",DIY_ExtManChrge_CurrentFunds,
"Error"))))))</f>
        <v>0</v>
      </c>
      <c r="H593" s="16">
        <f t="shared" si="325"/>
        <v>0</v>
      </c>
      <c r="I593" s="16">
        <f t="shared" si="311"/>
        <v>0</v>
      </c>
      <c r="J593" s="16">
        <f t="shared" si="312"/>
        <v>0</v>
      </c>
      <c r="K593" s="16">
        <f>(Opening_Fund_Value+SUM(K$91:K592))*E593*IF(D593=$A$91,SRP_finalmonthfactor,1)</f>
        <v>0</v>
      </c>
      <c r="L593" s="74">
        <f>MIN(IF($AV593=0,0,
IF(Investment_Strategy="DIS",VLOOKUP(Investment_Strategy&amp;"_"&amp;Investment_Strategy_Sub1&amp;"_"&amp;$A593,'Investment Strategies'!$AZ:$BP,12,FALSE),
IF(AND(Investment_Strategy="Lifecycle",Investment_Strategy_Sub1="Non-Standard"),VLOOKUP(Investment_Strategy&amp;"_"&amp;Investment_Strategy_Sub2&amp;"_"&amp;$A593,'Investment Strategies'!$C:$P,9,FALSE),
IF(AND(Investment_Strategy="Lifecycle",Investment_Strategy_Sub1="Standard"),VLOOKUP(Investment_Strategy&amp;"_"&amp;Investment_Strategy_Sub2&amp;"_"&amp;$A593,'Investment Strategies'!$AJ:$AV,8,FALSE),
IF(AND(Investment_Strategy="Autopilot",Investment_Strategy_Sub1="Non-Standard"),VLOOKUP(Investment_Strategy&amp;"_"&amp;Investment_Strategy_Sub2&amp;"_"&amp;$A593,'Investment Strategies'!$T:$AF,8,FALSE),
IF(Investment_Strategy ="DIY",DIY_RateofReturn_SP,
"Error")))))),Max_InvReturn)</f>
        <v>0</v>
      </c>
      <c r="M593" s="62">
        <f>IF($AV593=0,0,
IF(Investment_Strategy="DIS",VLOOKUP(Investment_Strategy&amp;"_"&amp;Investment_Strategy_Sub1&amp;"_"&amp;$A593,'Investment Strategies'!$AZ:$BP,15,FALSE),
IF(AND(Investment_Strategy="Lifecycle",Investment_Strategy_Sub1="Non-Standard"),VLOOKUP(Investment_Strategy&amp;"_"&amp;Investment_Strategy_Sub2&amp;"_"&amp;$A593,'Investment Strategies'!$C:$P,12,FALSE),
IF(AND(Investment_Strategy="Lifecycle",Investment_Strategy_Sub1="Standard"),VLOOKUP(Investment_Strategy&amp;"_"&amp;Investment_Strategy_Sub2&amp;"_"&amp;$A593,'Investment Strategies'!$AJ:$AV,11,FALSE),
IF(AND(Investment_Strategy="Autopilot",Investment_Strategy_Sub1="Non-Standard"),VLOOKUP(Investment_Strategy&amp;"_"&amp;Investment_Strategy_Sub2&amp;"_"&amp;$A593,'Investment Strategies'!$T:$AF,11,FALSE),
IF(Investment_Strategy="DIY",DIY_GteeChrge_SP,
"Error"))))))</f>
        <v>0</v>
      </c>
      <c r="N593" s="33">
        <f>IF($AV593=0,0,
IF(Investment_Strategy="DIS",VLOOKUP(Investment_Strategy&amp;"_"&amp;Investment_Strategy_Sub1&amp;"_"&amp;$A593,'Investment Strategies'!$AZ:$BP,17,FALSE),
IF(AND(Investment_Strategy="Lifecycle",Investment_Strategy_Sub1="Non-Standard"),VLOOKUP(Investment_Strategy&amp;"_"&amp;Investment_Strategy_Sub2&amp;"_"&amp;$A593,'Investment Strategies'!$C:$P,14,FALSE),
IF(AND(Investment_Strategy="Lifecycle",Investment_Strategy_Sub1="Standard"),VLOOKUP(Investment_Strategy&amp;"_"&amp;Investment_Strategy_Sub2&amp;"_"&amp;$A593,'Investment Strategies'!$AJ:$AV,13,FALSE),
IF(AND(Investment_Strategy="Autopilot",Investment_Strategy_Sub1="Non-Standard"),VLOOKUP(Investment_Strategy&amp;"_"&amp;Investment_Strategy_Sub2&amp;"_"&amp;$A593,'Investment Strategies'!$T:$AF,13,FALSE),
IF(Investment_Strategy="DIY",DIY_ExtManChrge_SP,
"Error"))))))</f>
        <v>0</v>
      </c>
      <c r="O593" s="16">
        <f t="shared" si="336"/>
        <v>0</v>
      </c>
      <c r="Q593" s="16">
        <f t="shared" si="313"/>
        <v>0</v>
      </c>
      <c r="R593" s="16">
        <f t="shared" si="310"/>
        <v>0</v>
      </c>
      <c r="S593" s="16">
        <f>(SRP_SP+SUM(S$91:S592))*L593*IF(D593=$A$91,SRP_finalmonthfactor,1)</f>
        <v>0</v>
      </c>
      <c r="T593" s="74">
        <f>MIN(IF($AV593=0,0,
IF(Investment_Strategy="DIS",VLOOKUP(Investment_Strategy&amp;"_"&amp;Investment_Strategy_Sub1&amp;"_"&amp;$A593,'Investment Strategies'!$AZ:$BP,12,FALSE),
IF(AND(Investment_Strategy="Lifecycle",Investment_Strategy_Sub1="Non-Standard"),VLOOKUP(Investment_Strategy&amp;"_"&amp;Investment_Strategy_Sub2&amp;"_"&amp;$A593,'Investment Strategies'!$C:$P,9,FALSE),
IF(AND(Investment_Strategy="Lifecycle",Investment_Strategy_Sub1="Standard"),VLOOKUP(Investment_Strategy&amp;"_"&amp;Investment_Strategy_Sub2&amp;"_"&amp;$A593,'Investment Strategies'!$AJ:$AV,8,FALSE),
IF(AND(Investment_Strategy="Autopilot",Investment_Strategy_Sub1="Non-Standard"),VLOOKUP(Investment_Strategy&amp;"_"&amp;Investment_Strategy_Sub2&amp;"_"&amp;$A593,'Investment Strategies'!$T:$AF,8,FALSE),
IF(Investment_Strategy ="DIY",DIY_RateOfReturn_FuturePremiums,
"Error")))))),Max_InvReturn)</f>
        <v>0</v>
      </c>
      <c r="U593" s="62">
        <f>IF($AV593=0,0,
IF(Investment_Strategy="DIS",VLOOKUP(Investment_Strategy&amp;"_"&amp;Investment_Strategy_Sub1&amp;"_"&amp;$A593,'Investment Strategies'!$AZ:$BP,15,FALSE),
IF(AND(Investment_Strategy="Lifecycle",Investment_Strategy_Sub1="Non-Standard"),VLOOKUP(Investment_Strategy&amp;"_"&amp;Investment_Strategy_Sub2&amp;"_"&amp;$A593,'Investment Strategies'!$C:$P,12,FALSE),
IF(AND(Investment_Strategy="Lifecycle",Investment_Strategy_Sub1="Standard"),VLOOKUP(Investment_Strategy&amp;"_"&amp;Investment_Strategy_Sub2&amp;"_"&amp;$A593,'Investment Strategies'!$AJ:$AV,11,FALSE),
IF(AND(Investment_Strategy="Autopilot",Investment_Strategy_Sub1="Non-Standard"),VLOOKUP(Investment_Strategy&amp;"_"&amp;Investment_Strategy_Sub2&amp;"_"&amp;$A593,'Investment Strategies'!$T:$AF,11,FALSE),
IF(Investment_Strategy="DIY",DIY_GteeChrge_FuturePremiums,
"Error"))))))</f>
        <v>0</v>
      </c>
      <c r="V593" s="33">
        <f>IF(AV593=0,0,
IF(Investment_Strategy="DIS",VLOOKUP(Investment_Strategy&amp;"_"&amp;Investment_Strategy_Sub1&amp;"_"&amp;$A593,'Investment Strategies'!$AZ:$BP,17,FALSE),
IF(AND(Investment_Strategy="Lifecycle",Investment_Strategy_Sub1="Non-Standard"),VLOOKUP(Investment_Strategy&amp;"_"&amp;Investment_Strategy_Sub2&amp;"_"&amp;$A593,'Investment Strategies'!$C:$P,14,FALSE),
IF(AND(Investment_Strategy="Lifecycle",Investment_Strategy_Sub1="Standard"),VLOOKUP(Investment_Strategy&amp;"_"&amp;Investment_Strategy_Sub2&amp;"_"&amp;$A593,'Investment Strategies'!$AJ:$AV,13,FALSE),
IF(AND(Investment_Strategy="Autopilot",Investment_Strategy_Sub1="Non-Standard"),VLOOKUP(Investment_Strategy&amp;"_"&amp;Investment_Strategy_Sub2&amp;"_"&amp;$A593,'Investment Strategies'!$T:$AF,13,FALSE),
IF(Investment_Strategy="DIY",DIY_ExtManChrge_FuturePremiums,
"Error"))))))</f>
        <v>0</v>
      </c>
      <c r="W593" s="16">
        <f t="shared" si="337"/>
        <v>0</v>
      </c>
      <c r="X593" s="16">
        <f t="shared" si="314"/>
        <v>0</v>
      </c>
      <c r="Y593" s="16">
        <f t="shared" si="315"/>
        <v>0</v>
      </c>
      <c r="Z593" s="31">
        <f t="shared" si="316"/>
        <v>0.02</v>
      </c>
      <c r="AA593" s="16">
        <f t="shared" si="317"/>
        <v>0</v>
      </c>
      <c r="AB593" s="28">
        <f t="shared" si="339"/>
        <v>0</v>
      </c>
      <c r="AC593" s="28">
        <f>(SUM($AC$91:AC592)+SUM($X$91:X592)+X593)*T593*IF(D593=$A$91,SRP_finalmonthfactor,1)</f>
        <v>0</v>
      </c>
      <c r="AD593" s="16">
        <f t="shared" si="318"/>
        <v>0</v>
      </c>
      <c r="AE593" s="106"/>
      <c r="AF593" s="16">
        <f t="shared" si="326"/>
        <v>0</v>
      </c>
      <c r="AG593" s="16">
        <f t="shared" si="327"/>
        <v>0</v>
      </c>
      <c r="AH593" s="16">
        <f t="shared" si="328"/>
        <v>0</v>
      </c>
      <c r="AJ593" s="13">
        <f t="shared" si="344"/>
        <v>0</v>
      </c>
      <c r="AK593" s="13">
        <f t="shared" si="344"/>
        <v>0</v>
      </c>
      <c r="AL593" s="13">
        <f t="shared" si="344"/>
        <v>0</v>
      </c>
      <c r="AM593" s="13">
        <f t="shared" si="344"/>
        <v>0</v>
      </c>
      <c r="AN593" s="13">
        <f t="shared" si="344"/>
        <v>0</v>
      </c>
      <c r="AO593" s="13">
        <f t="shared" si="344"/>
        <v>1</v>
      </c>
      <c r="AP593" s="13">
        <f t="shared" si="344"/>
        <v>1</v>
      </c>
      <c r="AQ593" s="13">
        <f t="shared" si="344"/>
        <v>1</v>
      </c>
      <c r="AR593" s="13">
        <f t="shared" si="344"/>
        <v>0</v>
      </c>
      <c r="AS593" s="13">
        <f t="shared" si="344"/>
        <v>0</v>
      </c>
      <c r="AT593" s="13">
        <f t="shared" si="344"/>
        <v>0</v>
      </c>
      <c r="AU593" s="13">
        <f t="shared" si="344"/>
        <v>0</v>
      </c>
      <c r="AV593" s="13">
        <f t="shared" si="319"/>
        <v>0</v>
      </c>
      <c r="AW593" s="13">
        <f t="shared" si="320"/>
        <v>1</v>
      </c>
      <c r="AY593" s="17">
        <f t="shared" si="321"/>
        <v>503</v>
      </c>
      <c r="AZ593" s="28">
        <f t="shared" si="329"/>
        <v>0</v>
      </c>
      <c r="BA593" s="13">
        <f t="shared" si="322"/>
        <v>0</v>
      </c>
      <c r="BB593" s="13">
        <f t="shared" si="323"/>
        <v>0</v>
      </c>
      <c r="BC593" s="28">
        <f t="shared" si="330"/>
        <v>0</v>
      </c>
      <c r="BD593" s="28">
        <f t="shared" si="331"/>
        <v>0</v>
      </c>
      <c r="BF593" s="248">
        <f t="shared" si="332"/>
        <v>993869.29442638322</v>
      </c>
    </row>
    <row r="594" spans="1:58">
      <c r="A594" s="32">
        <f t="shared" si="333"/>
        <v>-419</v>
      </c>
      <c r="B594" s="32">
        <f t="shared" si="324"/>
        <v>94</v>
      </c>
      <c r="C594" s="32">
        <f t="shared" si="334"/>
        <v>42</v>
      </c>
      <c r="D594" s="32">
        <f t="shared" si="335"/>
        <v>504</v>
      </c>
      <c r="E594" s="74">
        <f>MIN(IF(AV594=0,0,
IF(Investment_Strategy="DIS",VLOOKUP(Investment_Strategy&amp;"_"&amp;Investment_Strategy_Sub1&amp;"_"&amp;$A594,'Investment Strategies'!$AZ:$BP,12,FALSE),
IF(AND(Investment_Strategy="Lifecycle",Investment_Strategy_Sub1="Non-Standard"),VLOOKUP(Investment_Strategy&amp;"_"&amp;Investment_Strategy_Sub2&amp;"_"&amp;$A594,'Investment Strategies'!$C:$P,9,FALSE),
IF(AND(Investment_Strategy="Lifecycle",Investment_Strategy_Sub1="Standard"),VLOOKUP(Investment_Strategy&amp;"_"&amp;Investment_Strategy_Sub2&amp;"_"&amp;$A594,'Investment Strategies'!$AJ:$AV,8,FALSE),
IF(AND(Investment_Strategy="Autopilot",Investment_Strategy_Sub1="Non-Standard"),VLOOKUP(Investment_Strategy&amp;"_"&amp;Investment_Strategy_Sub2&amp;"_"&amp;$A594,'Investment Strategies'!$T:$AF,8,FALSE),
IF(Investment_Strategy ="DIY",DIY_RateOfReturn_CurrentFunds,
"Error")))))),Max_InvReturn)</f>
        <v>0</v>
      </c>
      <c r="F594" s="62">
        <f>IF(AV594=0,0,
IF(Investment_Strategy="DIS",VLOOKUP(Investment_Strategy&amp;"_"&amp;Investment_Strategy_Sub1&amp;"_"&amp;$A594,'Investment Strategies'!$AZ:$BP,15,FALSE),
IF(AND(Investment_Strategy="Lifecycle",Investment_Strategy_Sub1="Non-Standard"),VLOOKUP(Investment_Strategy&amp;"_"&amp;Investment_Strategy_Sub2&amp;"_"&amp;$A594,'Investment Strategies'!$C:$P,12,FALSE),
IF(AND(Investment_Strategy="Lifecycle",Investment_Strategy_Sub1="Standard"),VLOOKUP(Investment_Strategy&amp;"_"&amp;Investment_Strategy_Sub2&amp;"_"&amp;$A594,'Investment Strategies'!$AJ:$AV,11,FALSE),
IF(AND(Investment_Strategy="Autopilot",Investment_Strategy_Sub1="Non-Standard"),VLOOKUP(Investment_Strategy&amp;"_"&amp;Investment_Strategy_Sub2&amp;"_"&amp;$A594,'Investment Strategies'!$T:$AF,11,FALSE),
IF(Investment_Strategy="DIY",DIY_GteeChrge_CurrentFunds,
"Error"))))))</f>
        <v>0</v>
      </c>
      <c r="G594" s="33">
        <f>IF(AV594=0,0,
IF(Investment_Strategy="DIS",VLOOKUP(Investment_Strategy&amp;"_"&amp;Investment_Strategy_Sub1&amp;"_"&amp;$A594,'Investment Strategies'!$AZ:$BP,17,FALSE),
IF(AND(Investment_Strategy="Lifecycle",Investment_Strategy_Sub1="Non-Standard"),VLOOKUP(Investment_Strategy&amp;"_"&amp;Investment_Strategy_Sub2&amp;"_"&amp;$A594,'Investment Strategies'!$C:$P,14,FALSE),
IF(AND(Investment_Strategy="Lifecycle",Investment_Strategy_Sub1="Standard"),VLOOKUP(Investment_Strategy&amp;"_"&amp;Investment_Strategy_Sub2&amp;"_"&amp;$A594,'Investment Strategies'!$AJ:$AV,13,FALSE),
IF(AND(Investment_Strategy="Autopilot",Investment_Strategy_Sub1="Non-Standard"),VLOOKUP(Investment_Strategy&amp;"_"&amp;Investment_Strategy_Sub2&amp;"_"&amp;$A594,'Investment Strategies'!$T:$AF,13,FALSE),
IF(Investment_Strategy="DIY",DIY_ExtManChrge_CurrentFunds,
"Error"))))))</f>
        <v>0</v>
      </c>
      <c r="H594" s="16">
        <f t="shared" si="325"/>
        <v>0</v>
      </c>
      <c r="I594" s="16">
        <f t="shared" si="311"/>
        <v>0</v>
      </c>
      <c r="J594" s="16">
        <f t="shared" si="312"/>
        <v>0</v>
      </c>
      <c r="K594" s="16">
        <f>(Opening_Fund_Value+SUM(K$91:K593))*E594*IF(D594=$A$91,SRP_finalmonthfactor,1)</f>
        <v>0</v>
      </c>
      <c r="L594" s="74">
        <f>MIN(IF($AV594=0,0,
IF(Investment_Strategy="DIS",VLOOKUP(Investment_Strategy&amp;"_"&amp;Investment_Strategy_Sub1&amp;"_"&amp;$A594,'Investment Strategies'!$AZ:$BP,12,FALSE),
IF(AND(Investment_Strategy="Lifecycle",Investment_Strategy_Sub1="Non-Standard"),VLOOKUP(Investment_Strategy&amp;"_"&amp;Investment_Strategy_Sub2&amp;"_"&amp;$A594,'Investment Strategies'!$C:$P,9,FALSE),
IF(AND(Investment_Strategy="Lifecycle",Investment_Strategy_Sub1="Standard"),VLOOKUP(Investment_Strategy&amp;"_"&amp;Investment_Strategy_Sub2&amp;"_"&amp;$A594,'Investment Strategies'!$AJ:$AV,8,FALSE),
IF(AND(Investment_Strategy="Autopilot",Investment_Strategy_Sub1="Non-Standard"),VLOOKUP(Investment_Strategy&amp;"_"&amp;Investment_Strategy_Sub2&amp;"_"&amp;$A594,'Investment Strategies'!$T:$AF,8,FALSE),
IF(Investment_Strategy ="DIY",DIY_RateofReturn_SP,
"Error")))))),Max_InvReturn)</f>
        <v>0</v>
      </c>
      <c r="M594" s="62">
        <f>IF($AV594=0,0,
IF(Investment_Strategy="DIS",VLOOKUP(Investment_Strategy&amp;"_"&amp;Investment_Strategy_Sub1&amp;"_"&amp;$A594,'Investment Strategies'!$AZ:$BP,15,FALSE),
IF(AND(Investment_Strategy="Lifecycle",Investment_Strategy_Sub1="Non-Standard"),VLOOKUP(Investment_Strategy&amp;"_"&amp;Investment_Strategy_Sub2&amp;"_"&amp;$A594,'Investment Strategies'!$C:$P,12,FALSE),
IF(AND(Investment_Strategy="Lifecycle",Investment_Strategy_Sub1="Standard"),VLOOKUP(Investment_Strategy&amp;"_"&amp;Investment_Strategy_Sub2&amp;"_"&amp;$A594,'Investment Strategies'!$AJ:$AV,11,FALSE),
IF(AND(Investment_Strategy="Autopilot",Investment_Strategy_Sub1="Non-Standard"),VLOOKUP(Investment_Strategy&amp;"_"&amp;Investment_Strategy_Sub2&amp;"_"&amp;$A594,'Investment Strategies'!$T:$AF,11,FALSE),
IF(Investment_Strategy="DIY",DIY_GteeChrge_SP,
"Error"))))))</f>
        <v>0</v>
      </c>
      <c r="N594" s="33">
        <f>IF($AV594=0,0,
IF(Investment_Strategy="DIS",VLOOKUP(Investment_Strategy&amp;"_"&amp;Investment_Strategy_Sub1&amp;"_"&amp;$A594,'Investment Strategies'!$AZ:$BP,17,FALSE),
IF(AND(Investment_Strategy="Lifecycle",Investment_Strategy_Sub1="Non-Standard"),VLOOKUP(Investment_Strategy&amp;"_"&amp;Investment_Strategy_Sub2&amp;"_"&amp;$A594,'Investment Strategies'!$C:$P,14,FALSE),
IF(AND(Investment_Strategy="Lifecycle",Investment_Strategy_Sub1="Standard"),VLOOKUP(Investment_Strategy&amp;"_"&amp;Investment_Strategy_Sub2&amp;"_"&amp;$A594,'Investment Strategies'!$AJ:$AV,13,FALSE),
IF(AND(Investment_Strategy="Autopilot",Investment_Strategy_Sub1="Non-Standard"),VLOOKUP(Investment_Strategy&amp;"_"&amp;Investment_Strategy_Sub2&amp;"_"&amp;$A594,'Investment Strategies'!$T:$AF,13,FALSE),
IF(Investment_Strategy="DIY",DIY_ExtManChrge_SP,
"Error"))))))</f>
        <v>0</v>
      </c>
      <c r="O594" s="16">
        <f t="shared" si="336"/>
        <v>0</v>
      </c>
      <c r="Q594" s="16">
        <f t="shared" si="313"/>
        <v>0</v>
      </c>
      <c r="R594" s="16">
        <f t="shared" si="310"/>
        <v>0</v>
      </c>
      <c r="S594" s="16">
        <f>(SRP_SP+SUM(S$91:S593))*L594*IF(D594=$A$91,SRP_finalmonthfactor,1)</f>
        <v>0</v>
      </c>
      <c r="T594" s="74">
        <f>MIN(IF($AV594=0,0,
IF(Investment_Strategy="DIS",VLOOKUP(Investment_Strategy&amp;"_"&amp;Investment_Strategy_Sub1&amp;"_"&amp;$A594,'Investment Strategies'!$AZ:$BP,12,FALSE),
IF(AND(Investment_Strategy="Lifecycle",Investment_Strategy_Sub1="Non-Standard"),VLOOKUP(Investment_Strategy&amp;"_"&amp;Investment_Strategy_Sub2&amp;"_"&amp;$A594,'Investment Strategies'!$C:$P,9,FALSE),
IF(AND(Investment_Strategy="Lifecycle",Investment_Strategy_Sub1="Standard"),VLOOKUP(Investment_Strategy&amp;"_"&amp;Investment_Strategy_Sub2&amp;"_"&amp;$A594,'Investment Strategies'!$AJ:$AV,8,FALSE),
IF(AND(Investment_Strategy="Autopilot",Investment_Strategy_Sub1="Non-Standard"),VLOOKUP(Investment_Strategy&amp;"_"&amp;Investment_Strategy_Sub2&amp;"_"&amp;$A594,'Investment Strategies'!$T:$AF,8,FALSE),
IF(Investment_Strategy ="DIY",DIY_RateOfReturn_FuturePremiums,
"Error")))))),Max_InvReturn)</f>
        <v>0</v>
      </c>
      <c r="U594" s="62">
        <f>IF($AV594=0,0,
IF(Investment_Strategy="DIS",VLOOKUP(Investment_Strategy&amp;"_"&amp;Investment_Strategy_Sub1&amp;"_"&amp;$A594,'Investment Strategies'!$AZ:$BP,15,FALSE),
IF(AND(Investment_Strategy="Lifecycle",Investment_Strategy_Sub1="Non-Standard"),VLOOKUP(Investment_Strategy&amp;"_"&amp;Investment_Strategy_Sub2&amp;"_"&amp;$A594,'Investment Strategies'!$C:$P,12,FALSE),
IF(AND(Investment_Strategy="Lifecycle",Investment_Strategy_Sub1="Standard"),VLOOKUP(Investment_Strategy&amp;"_"&amp;Investment_Strategy_Sub2&amp;"_"&amp;$A594,'Investment Strategies'!$AJ:$AV,11,FALSE),
IF(AND(Investment_Strategy="Autopilot",Investment_Strategy_Sub1="Non-Standard"),VLOOKUP(Investment_Strategy&amp;"_"&amp;Investment_Strategy_Sub2&amp;"_"&amp;$A594,'Investment Strategies'!$T:$AF,11,FALSE),
IF(Investment_Strategy="DIY",DIY_GteeChrge_FuturePremiums,
"Error"))))))</f>
        <v>0</v>
      </c>
      <c r="V594" s="33">
        <f>IF(AV594=0,0,
IF(Investment_Strategy="DIS",VLOOKUP(Investment_Strategy&amp;"_"&amp;Investment_Strategy_Sub1&amp;"_"&amp;$A594,'Investment Strategies'!$AZ:$BP,17,FALSE),
IF(AND(Investment_Strategy="Lifecycle",Investment_Strategy_Sub1="Non-Standard"),VLOOKUP(Investment_Strategy&amp;"_"&amp;Investment_Strategy_Sub2&amp;"_"&amp;$A594,'Investment Strategies'!$C:$P,14,FALSE),
IF(AND(Investment_Strategy="Lifecycle",Investment_Strategy_Sub1="Standard"),VLOOKUP(Investment_Strategy&amp;"_"&amp;Investment_Strategy_Sub2&amp;"_"&amp;$A594,'Investment Strategies'!$AJ:$AV,13,FALSE),
IF(AND(Investment_Strategy="Autopilot",Investment_Strategy_Sub1="Non-Standard"),VLOOKUP(Investment_Strategy&amp;"_"&amp;Investment_Strategy_Sub2&amp;"_"&amp;$A594,'Investment Strategies'!$T:$AF,13,FALSE),
IF(Investment_Strategy="DIY",DIY_ExtManChrge_FuturePremiums,
"Error"))))))</f>
        <v>0</v>
      </c>
      <c r="W594" s="16">
        <f t="shared" si="337"/>
        <v>0</v>
      </c>
      <c r="X594" s="16">
        <f t="shared" si="314"/>
        <v>0</v>
      </c>
      <c r="Y594" s="16">
        <f t="shared" si="315"/>
        <v>0</v>
      </c>
      <c r="Z594" s="31">
        <f t="shared" si="316"/>
        <v>0.02</v>
      </c>
      <c r="AA594" s="16">
        <f t="shared" si="317"/>
        <v>0</v>
      </c>
      <c r="AB594" s="28">
        <f t="shared" si="339"/>
        <v>0</v>
      </c>
      <c r="AC594" s="28">
        <f>(SUM($AC$91:AC593)+SUM($X$91:X593)+X594)*T594*IF(D594=$A$91,SRP_finalmonthfactor,1)</f>
        <v>0</v>
      </c>
      <c r="AD594" s="16">
        <f t="shared" si="318"/>
        <v>0</v>
      </c>
      <c r="AE594" s="106"/>
      <c r="AF594" s="16">
        <f t="shared" si="326"/>
        <v>0</v>
      </c>
      <c r="AG594" s="16">
        <f t="shared" si="327"/>
        <v>0</v>
      </c>
      <c r="AH594" s="16">
        <f t="shared" si="328"/>
        <v>0</v>
      </c>
      <c r="AJ594" s="13">
        <f t="shared" si="344"/>
        <v>0</v>
      </c>
      <c r="AK594" s="13">
        <f t="shared" si="344"/>
        <v>0</v>
      </c>
      <c r="AL594" s="13">
        <f t="shared" si="344"/>
        <v>0</v>
      </c>
      <c r="AM594" s="13">
        <f t="shared" si="344"/>
        <v>0</v>
      </c>
      <c r="AN594" s="13">
        <f t="shared" si="344"/>
        <v>0</v>
      </c>
      <c r="AO594" s="13">
        <f t="shared" si="344"/>
        <v>1</v>
      </c>
      <c r="AP594" s="13">
        <f t="shared" si="344"/>
        <v>1</v>
      </c>
      <c r="AQ594" s="13">
        <f t="shared" si="344"/>
        <v>1</v>
      </c>
      <c r="AR594" s="13">
        <f t="shared" si="344"/>
        <v>0</v>
      </c>
      <c r="AS594" s="13">
        <f t="shared" si="344"/>
        <v>0</v>
      </c>
      <c r="AT594" s="13">
        <f t="shared" si="344"/>
        <v>0</v>
      </c>
      <c r="AU594" s="13">
        <f t="shared" si="344"/>
        <v>0</v>
      </c>
      <c r="AV594" s="13">
        <f t="shared" si="319"/>
        <v>0</v>
      </c>
      <c r="AW594" s="13">
        <f t="shared" si="320"/>
        <v>1</v>
      </c>
      <c r="AY594" s="17">
        <f t="shared" si="321"/>
        <v>504</v>
      </c>
      <c r="AZ594" s="28">
        <f t="shared" si="329"/>
        <v>0</v>
      </c>
      <c r="BA594" s="13">
        <f t="shared" si="322"/>
        <v>0</v>
      </c>
      <c r="BB594" s="13">
        <f t="shared" si="323"/>
        <v>0</v>
      </c>
      <c r="BC594" s="28">
        <f t="shared" si="330"/>
        <v>0</v>
      </c>
      <c r="BD594" s="28">
        <f t="shared" si="331"/>
        <v>0</v>
      </c>
      <c r="BF594" s="248">
        <f t="shared" si="332"/>
        <v>993869.29442638322</v>
      </c>
    </row>
    <row r="595" spans="1:58">
      <c r="A595" s="32">
        <f t="shared" si="333"/>
        <v>-420</v>
      </c>
      <c r="B595" s="32">
        <f t="shared" si="324"/>
        <v>95</v>
      </c>
      <c r="C595" s="32">
        <f t="shared" si="334"/>
        <v>43</v>
      </c>
      <c r="D595" s="32">
        <f t="shared" si="335"/>
        <v>505</v>
      </c>
      <c r="E595" s="74">
        <f>MIN(IF(AV595=0,0,
IF(Investment_Strategy="DIS",VLOOKUP(Investment_Strategy&amp;"_"&amp;Investment_Strategy_Sub1&amp;"_"&amp;$A595,'Investment Strategies'!$AZ:$BP,12,FALSE),
IF(AND(Investment_Strategy="Lifecycle",Investment_Strategy_Sub1="Non-Standard"),VLOOKUP(Investment_Strategy&amp;"_"&amp;Investment_Strategy_Sub2&amp;"_"&amp;$A595,'Investment Strategies'!$C:$P,9,FALSE),
IF(AND(Investment_Strategy="Lifecycle",Investment_Strategy_Sub1="Standard"),VLOOKUP(Investment_Strategy&amp;"_"&amp;Investment_Strategy_Sub2&amp;"_"&amp;$A595,'Investment Strategies'!$AJ:$AV,8,FALSE),
IF(AND(Investment_Strategy="Autopilot",Investment_Strategy_Sub1="Non-Standard"),VLOOKUP(Investment_Strategy&amp;"_"&amp;Investment_Strategy_Sub2&amp;"_"&amp;$A595,'Investment Strategies'!$T:$AF,8,FALSE),
IF(Investment_Strategy ="DIY",DIY_RateOfReturn_CurrentFunds,
"Error")))))),Max_InvReturn)</f>
        <v>0</v>
      </c>
      <c r="F595" s="62">
        <f>IF(AV595=0,0,
IF(Investment_Strategy="DIS",VLOOKUP(Investment_Strategy&amp;"_"&amp;Investment_Strategy_Sub1&amp;"_"&amp;$A595,'Investment Strategies'!$AZ:$BP,15,FALSE),
IF(AND(Investment_Strategy="Lifecycle",Investment_Strategy_Sub1="Non-Standard"),VLOOKUP(Investment_Strategy&amp;"_"&amp;Investment_Strategy_Sub2&amp;"_"&amp;$A595,'Investment Strategies'!$C:$P,12,FALSE),
IF(AND(Investment_Strategy="Lifecycle",Investment_Strategy_Sub1="Standard"),VLOOKUP(Investment_Strategy&amp;"_"&amp;Investment_Strategy_Sub2&amp;"_"&amp;$A595,'Investment Strategies'!$AJ:$AV,11,FALSE),
IF(AND(Investment_Strategy="Autopilot",Investment_Strategy_Sub1="Non-Standard"),VLOOKUP(Investment_Strategy&amp;"_"&amp;Investment_Strategy_Sub2&amp;"_"&amp;$A595,'Investment Strategies'!$T:$AF,11,FALSE),
IF(Investment_Strategy="DIY",DIY_GteeChrge_CurrentFunds,
"Error"))))))</f>
        <v>0</v>
      </c>
      <c r="G595" s="33">
        <f>IF(AV595=0,0,
IF(Investment_Strategy="DIS",VLOOKUP(Investment_Strategy&amp;"_"&amp;Investment_Strategy_Sub1&amp;"_"&amp;$A595,'Investment Strategies'!$AZ:$BP,17,FALSE),
IF(AND(Investment_Strategy="Lifecycle",Investment_Strategy_Sub1="Non-Standard"),VLOOKUP(Investment_Strategy&amp;"_"&amp;Investment_Strategy_Sub2&amp;"_"&amp;$A595,'Investment Strategies'!$C:$P,14,FALSE),
IF(AND(Investment_Strategy="Lifecycle",Investment_Strategy_Sub1="Standard"),VLOOKUP(Investment_Strategy&amp;"_"&amp;Investment_Strategy_Sub2&amp;"_"&amp;$A595,'Investment Strategies'!$AJ:$AV,13,FALSE),
IF(AND(Investment_Strategy="Autopilot",Investment_Strategy_Sub1="Non-Standard"),VLOOKUP(Investment_Strategy&amp;"_"&amp;Investment_Strategy_Sub2&amp;"_"&amp;$A595,'Investment Strategies'!$T:$AF,13,FALSE),
IF(Investment_Strategy="DIY",DIY_ExtManChrge_CurrentFunds,
"Error"))))))</f>
        <v>0</v>
      </c>
      <c r="H595" s="16">
        <f t="shared" si="325"/>
        <v>0</v>
      </c>
      <c r="I595" s="16">
        <f t="shared" si="311"/>
        <v>0</v>
      </c>
      <c r="J595" s="16">
        <f t="shared" si="312"/>
        <v>0</v>
      </c>
      <c r="K595" s="16">
        <f>(Opening_Fund_Value+SUM(K$91:K594))*E595*IF(D595=$A$91,SRP_finalmonthfactor,1)</f>
        <v>0</v>
      </c>
      <c r="L595" s="74">
        <f>MIN(IF($AV595=0,0,
IF(Investment_Strategy="DIS",VLOOKUP(Investment_Strategy&amp;"_"&amp;Investment_Strategy_Sub1&amp;"_"&amp;$A595,'Investment Strategies'!$AZ:$BP,12,FALSE),
IF(AND(Investment_Strategy="Lifecycle",Investment_Strategy_Sub1="Non-Standard"),VLOOKUP(Investment_Strategy&amp;"_"&amp;Investment_Strategy_Sub2&amp;"_"&amp;$A595,'Investment Strategies'!$C:$P,9,FALSE),
IF(AND(Investment_Strategy="Lifecycle",Investment_Strategy_Sub1="Standard"),VLOOKUP(Investment_Strategy&amp;"_"&amp;Investment_Strategy_Sub2&amp;"_"&amp;$A595,'Investment Strategies'!$AJ:$AV,8,FALSE),
IF(AND(Investment_Strategy="Autopilot",Investment_Strategy_Sub1="Non-Standard"),VLOOKUP(Investment_Strategy&amp;"_"&amp;Investment_Strategy_Sub2&amp;"_"&amp;$A595,'Investment Strategies'!$T:$AF,8,FALSE),
IF(Investment_Strategy ="DIY",DIY_RateofReturn_SP,
"Error")))))),Max_InvReturn)</f>
        <v>0</v>
      </c>
      <c r="M595" s="62">
        <f>IF($AV595=0,0,
IF(Investment_Strategy="DIS",VLOOKUP(Investment_Strategy&amp;"_"&amp;Investment_Strategy_Sub1&amp;"_"&amp;$A595,'Investment Strategies'!$AZ:$BP,15,FALSE),
IF(AND(Investment_Strategy="Lifecycle",Investment_Strategy_Sub1="Non-Standard"),VLOOKUP(Investment_Strategy&amp;"_"&amp;Investment_Strategy_Sub2&amp;"_"&amp;$A595,'Investment Strategies'!$C:$P,12,FALSE),
IF(AND(Investment_Strategy="Lifecycle",Investment_Strategy_Sub1="Standard"),VLOOKUP(Investment_Strategy&amp;"_"&amp;Investment_Strategy_Sub2&amp;"_"&amp;$A595,'Investment Strategies'!$AJ:$AV,11,FALSE),
IF(AND(Investment_Strategy="Autopilot",Investment_Strategy_Sub1="Non-Standard"),VLOOKUP(Investment_Strategy&amp;"_"&amp;Investment_Strategy_Sub2&amp;"_"&amp;$A595,'Investment Strategies'!$T:$AF,11,FALSE),
IF(Investment_Strategy="DIY",DIY_GteeChrge_SP,
"Error"))))))</f>
        <v>0</v>
      </c>
      <c r="N595" s="33">
        <f>IF($AV595=0,0,
IF(Investment_Strategy="DIS",VLOOKUP(Investment_Strategy&amp;"_"&amp;Investment_Strategy_Sub1&amp;"_"&amp;$A595,'Investment Strategies'!$AZ:$BP,17,FALSE),
IF(AND(Investment_Strategy="Lifecycle",Investment_Strategy_Sub1="Non-Standard"),VLOOKUP(Investment_Strategy&amp;"_"&amp;Investment_Strategy_Sub2&amp;"_"&amp;$A595,'Investment Strategies'!$C:$P,14,FALSE),
IF(AND(Investment_Strategy="Lifecycle",Investment_Strategy_Sub1="Standard"),VLOOKUP(Investment_Strategy&amp;"_"&amp;Investment_Strategy_Sub2&amp;"_"&amp;$A595,'Investment Strategies'!$AJ:$AV,13,FALSE),
IF(AND(Investment_Strategy="Autopilot",Investment_Strategy_Sub1="Non-Standard"),VLOOKUP(Investment_Strategy&amp;"_"&amp;Investment_Strategy_Sub2&amp;"_"&amp;$A595,'Investment Strategies'!$T:$AF,13,FALSE),
IF(Investment_Strategy="DIY",DIY_ExtManChrge_SP,
"Error"))))))</f>
        <v>0</v>
      </c>
      <c r="O595" s="16">
        <f t="shared" si="336"/>
        <v>0</v>
      </c>
      <c r="Q595" s="16">
        <f t="shared" si="313"/>
        <v>0</v>
      </c>
      <c r="R595" s="16">
        <f t="shared" si="310"/>
        <v>0</v>
      </c>
      <c r="S595" s="16">
        <f>(SRP_SP+SUM(S$91:S594))*L595*IF(D595=$A$91,SRP_finalmonthfactor,1)</f>
        <v>0</v>
      </c>
      <c r="T595" s="74">
        <f>MIN(IF($AV595=0,0,
IF(Investment_Strategy="DIS",VLOOKUP(Investment_Strategy&amp;"_"&amp;Investment_Strategy_Sub1&amp;"_"&amp;$A595,'Investment Strategies'!$AZ:$BP,12,FALSE),
IF(AND(Investment_Strategy="Lifecycle",Investment_Strategy_Sub1="Non-Standard"),VLOOKUP(Investment_Strategy&amp;"_"&amp;Investment_Strategy_Sub2&amp;"_"&amp;$A595,'Investment Strategies'!$C:$P,9,FALSE),
IF(AND(Investment_Strategy="Lifecycle",Investment_Strategy_Sub1="Standard"),VLOOKUP(Investment_Strategy&amp;"_"&amp;Investment_Strategy_Sub2&amp;"_"&amp;$A595,'Investment Strategies'!$AJ:$AV,8,FALSE),
IF(AND(Investment_Strategy="Autopilot",Investment_Strategy_Sub1="Non-Standard"),VLOOKUP(Investment_Strategy&amp;"_"&amp;Investment_Strategy_Sub2&amp;"_"&amp;$A595,'Investment Strategies'!$T:$AF,8,FALSE),
IF(Investment_Strategy ="DIY",DIY_RateOfReturn_FuturePremiums,
"Error")))))),Max_InvReturn)</f>
        <v>0</v>
      </c>
      <c r="U595" s="62">
        <f>IF($AV595=0,0,
IF(Investment_Strategy="DIS",VLOOKUP(Investment_Strategy&amp;"_"&amp;Investment_Strategy_Sub1&amp;"_"&amp;$A595,'Investment Strategies'!$AZ:$BP,15,FALSE),
IF(AND(Investment_Strategy="Lifecycle",Investment_Strategy_Sub1="Non-Standard"),VLOOKUP(Investment_Strategy&amp;"_"&amp;Investment_Strategy_Sub2&amp;"_"&amp;$A595,'Investment Strategies'!$C:$P,12,FALSE),
IF(AND(Investment_Strategy="Lifecycle",Investment_Strategy_Sub1="Standard"),VLOOKUP(Investment_Strategy&amp;"_"&amp;Investment_Strategy_Sub2&amp;"_"&amp;$A595,'Investment Strategies'!$AJ:$AV,11,FALSE),
IF(AND(Investment_Strategy="Autopilot",Investment_Strategy_Sub1="Non-Standard"),VLOOKUP(Investment_Strategy&amp;"_"&amp;Investment_Strategy_Sub2&amp;"_"&amp;$A595,'Investment Strategies'!$T:$AF,11,FALSE),
IF(Investment_Strategy="DIY",DIY_GteeChrge_FuturePremiums,
"Error"))))))</f>
        <v>0</v>
      </c>
      <c r="V595" s="33">
        <f>IF(AV595=0,0,
IF(Investment_Strategy="DIS",VLOOKUP(Investment_Strategy&amp;"_"&amp;Investment_Strategy_Sub1&amp;"_"&amp;$A595,'Investment Strategies'!$AZ:$BP,17,FALSE),
IF(AND(Investment_Strategy="Lifecycle",Investment_Strategy_Sub1="Non-Standard"),VLOOKUP(Investment_Strategy&amp;"_"&amp;Investment_Strategy_Sub2&amp;"_"&amp;$A595,'Investment Strategies'!$C:$P,14,FALSE),
IF(AND(Investment_Strategy="Lifecycle",Investment_Strategy_Sub1="Standard"),VLOOKUP(Investment_Strategy&amp;"_"&amp;Investment_Strategy_Sub2&amp;"_"&amp;$A595,'Investment Strategies'!$AJ:$AV,13,FALSE),
IF(AND(Investment_Strategy="Autopilot",Investment_Strategy_Sub1="Non-Standard"),VLOOKUP(Investment_Strategy&amp;"_"&amp;Investment_Strategy_Sub2&amp;"_"&amp;$A595,'Investment Strategies'!$T:$AF,13,FALSE),
IF(Investment_Strategy="DIY",DIY_ExtManChrge_FuturePremiums,
"Error"))))))</f>
        <v>0</v>
      </c>
      <c r="W595" s="16">
        <f t="shared" si="337"/>
        <v>0</v>
      </c>
      <c r="X595" s="16">
        <f t="shared" si="314"/>
        <v>0</v>
      </c>
      <c r="Y595" s="16">
        <f t="shared" si="315"/>
        <v>0</v>
      </c>
      <c r="Z595" s="31">
        <f t="shared" si="316"/>
        <v>0.02</v>
      </c>
      <c r="AA595" s="16">
        <f t="shared" si="317"/>
        <v>0</v>
      </c>
      <c r="AB595" s="28">
        <f t="shared" si="339"/>
        <v>0</v>
      </c>
      <c r="AC595" s="28">
        <f>(SUM($AC$91:AC594)+SUM($X$91:X594)+X595)*T595*IF(D595=$A$91,SRP_finalmonthfactor,1)</f>
        <v>0</v>
      </c>
      <c r="AD595" s="16">
        <f t="shared" si="318"/>
        <v>0</v>
      </c>
      <c r="AE595" s="106"/>
      <c r="AF595" s="16">
        <f t="shared" si="326"/>
        <v>0</v>
      </c>
      <c r="AG595" s="16">
        <f t="shared" si="327"/>
        <v>0</v>
      </c>
      <c r="AH595" s="16">
        <f t="shared" si="328"/>
        <v>0</v>
      </c>
      <c r="AJ595" s="13">
        <f t="shared" si="344"/>
        <v>0</v>
      </c>
      <c r="AK595" s="13">
        <f t="shared" si="344"/>
        <v>0</v>
      </c>
      <c r="AL595" s="13">
        <f t="shared" si="344"/>
        <v>0</v>
      </c>
      <c r="AM595" s="13">
        <f t="shared" si="344"/>
        <v>0</v>
      </c>
      <c r="AN595" s="13">
        <f t="shared" si="344"/>
        <v>0</v>
      </c>
      <c r="AO595" s="13">
        <f t="shared" si="344"/>
        <v>1</v>
      </c>
      <c r="AP595" s="13">
        <f t="shared" si="344"/>
        <v>1</v>
      </c>
      <c r="AQ595" s="13">
        <f t="shared" si="344"/>
        <v>1</v>
      </c>
      <c r="AR595" s="13">
        <f t="shared" si="344"/>
        <v>0</v>
      </c>
      <c r="AS595" s="13">
        <f t="shared" si="344"/>
        <v>0</v>
      </c>
      <c r="AT595" s="13">
        <f t="shared" si="344"/>
        <v>0</v>
      </c>
      <c r="AU595" s="13">
        <f t="shared" si="344"/>
        <v>0</v>
      </c>
      <c r="AV595" s="13">
        <f t="shared" si="319"/>
        <v>0</v>
      </c>
      <c r="AW595" s="13">
        <f t="shared" si="320"/>
        <v>1</v>
      </c>
      <c r="AY595" s="17">
        <f t="shared" si="321"/>
        <v>505</v>
      </c>
      <c r="AZ595" s="28">
        <f t="shared" si="329"/>
        <v>0</v>
      </c>
      <c r="BA595" s="13">
        <f t="shared" si="322"/>
        <v>0</v>
      </c>
      <c r="BB595" s="13">
        <f t="shared" si="323"/>
        <v>0</v>
      </c>
      <c r="BC595" s="28">
        <f t="shared" si="330"/>
        <v>0</v>
      </c>
      <c r="BD595" s="28">
        <f t="shared" si="331"/>
        <v>0</v>
      </c>
      <c r="BF595" s="248">
        <f t="shared" si="332"/>
        <v>993869.29442638322</v>
      </c>
    </row>
    <row r="596" spans="1:58">
      <c r="A596" s="32">
        <f t="shared" si="333"/>
        <v>-421</v>
      </c>
      <c r="B596" s="32">
        <f t="shared" si="324"/>
        <v>95</v>
      </c>
      <c r="C596" s="32">
        <f t="shared" si="334"/>
        <v>43</v>
      </c>
      <c r="D596" s="32">
        <f t="shared" si="335"/>
        <v>506</v>
      </c>
      <c r="E596" s="74">
        <f>MIN(IF(AV596=0,0,
IF(Investment_Strategy="DIS",VLOOKUP(Investment_Strategy&amp;"_"&amp;Investment_Strategy_Sub1&amp;"_"&amp;$A596,'Investment Strategies'!$AZ:$BP,12,FALSE),
IF(AND(Investment_Strategy="Lifecycle",Investment_Strategy_Sub1="Non-Standard"),VLOOKUP(Investment_Strategy&amp;"_"&amp;Investment_Strategy_Sub2&amp;"_"&amp;$A596,'Investment Strategies'!$C:$P,9,FALSE),
IF(AND(Investment_Strategy="Lifecycle",Investment_Strategy_Sub1="Standard"),VLOOKUP(Investment_Strategy&amp;"_"&amp;Investment_Strategy_Sub2&amp;"_"&amp;$A596,'Investment Strategies'!$AJ:$AV,8,FALSE),
IF(AND(Investment_Strategy="Autopilot",Investment_Strategy_Sub1="Non-Standard"),VLOOKUP(Investment_Strategy&amp;"_"&amp;Investment_Strategy_Sub2&amp;"_"&amp;$A596,'Investment Strategies'!$T:$AF,8,FALSE),
IF(Investment_Strategy ="DIY",DIY_RateOfReturn_CurrentFunds,
"Error")))))),Max_InvReturn)</f>
        <v>0</v>
      </c>
      <c r="F596" s="62">
        <f>IF(AV596=0,0,
IF(Investment_Strategy="DIS",VLOOKUP(Investment_Strategy&amp;"_"&amp;Investment_Strategy_Sub1&amp;"_"&amp;$A596,'Investment Strategies'!$AZ:$BP,15,FALSE),
IF(AND(Investment_Strategy="Lifecycle",Investment_Strategy_Sub1="Non-Standard"),VLOOKUP(Investment_Strategy&amp;"_"&amp;Investment_Strategy_Sub2&amp;"_"&amp;$A596,'Investment Strategies'!$C:$P,12,FALSE),
IF(AND(Investment_Strategy="Lifecycle",Investment_Strategy_Sub1="Standard"),VLOOKUP(Investment_Strategy&amp;"_"&amp;Investment_Strategy_Sub2&amp;"_"&amp;$A596,'Investment Strategies'!$AJ:$AV,11,FALSE),
IF(AND(Investment_Strategy="Autopilot",Investment_Strategy_Sub1="Non-Standard"),VLOOKUP(Investment_Strategy&amp;"_"&amp;Investment_Strategy_Sub2&amp;"_"&amp;$A596,'Investment Strategies'!$T:$AF,11,FALSE),
IF(Investment_Strategy="DIY",DIY_GteeChrge_CurrentFunds,
"Error"))))))</f>
        <v>0</v>
      </c>
      <c r="G596" s="33">
        <f>IF(AV596=0,0,
IF(Investment_Strategy="DIS",VLOOKUP(Investment_Strategy&amp;"_"&amp;Investment_Strategy_Sub1&amp;"_"&amp;$A596,'Investment Strategies'!$AZ:$BP,17,FALSE),
IF(AND(Investment_Strategy="Lifecycle",Investment_Strategy_Sub1="Non-Standard"),VLOOKUP(Investment_Strategy&amp;"_"&amp;Investment_Strategy_Sub2&amp;"_"&amp;$A596,'Investment Strategies'!$C:$P,14,FALSE),
IF(AND(Investment_Strategy="Lifecycle",Investment_Strategy_Sub1="Standard"),VLOOKUP(Investment_Strategy&amp;"_"&amp;Investment_Strategy_Sub2&amp;"_"&amp;$A596,'Investment Strategies'!$AJ:$AV,13,FALSE),
IF(AND(Investment_Strategy="Autopilot",Investment_Strategy_Sub1="Non-Standard"),VLOOKUP(Investment_Strategy&amp;"_"&amp;Investment_Strategy_Sub2&amp;"_"&amp;$A596,'Investment Strategies'!$T:$AF,13,FALSE),
IF(Investment_Strategy="DIY",DIY_ExtManChrge_CurrentFunds,
"Error"))))))</f>
        <v>0</v>
      </c>
      <c r="H596" s="16">
        <f t="shared" si="325"/>
        <v>0</v>
      </c>
      <c r="I596" s="16">
        <f t="shared" si="311"/>
        <v>0</v>
      </c>
      <c r="J596" s="16">
        <f t="shared" si="312"/>
        <v>0</v>
      </c>
      <c r="K596" s="16">
        <f>(Opening_Fund_Value+SUM(K$91:K595))*E596*IF(D596=$A$91,SRP_finalmonthfactor,1)</f>
        <v>0</v>
      </c>
      <c r="L596" s="74">
        <f>MIN(IF($AV596=0,0,
IF(Investment_Strategy="DIS",VLOOKUP(Investment_Strategy&amp;"_"&amp;Investment_Strategy_Sub1&amp;"_"&amp;$A596,'Investment Strategies'!$AZ:$BP,12,FALSE),
IF(AND(Investment_Strategy="Lifecycle",Investment_Strategy_Sub1="Non-Standard"),VLOOKUP(Investment_Strategy&amp;"_"&amp;Investment_Strategy_Sub2&amp;"_"&amp;$A596,'Investment Strategies'!$C:$P,9,FALSE),
IF(AND(Investment_Strategy="Lifecycle",Investment_Strategy_Sub1="Standard"),VLOOKUP(Investment_Strategy&amp;"_"&amp;Investment_Strategy_Sub2&amp;"_"&amp;$A596,'Investment Strategies'!$AJ:$AV,8,FALSE),
IF(AND(Investment_Strategy="Autopilot",Investment_Strategy_Sub1="Non-Standard"),VLOOKUP(Investment_Strategy&amp;"_"&amp;Investment_Strategy_Sub2&amp;"_"&amp;$A596,'Investment Strategies'!$T:$AF,8,FALSE),
IF(Investment_Strategy ="DIY",DIY_RateofReturn_SP,
"Error")))))),Max_InvReturn)</f>
        <v>0</v>
      </c>
      <c r="M596" s="62">
        <f>IF($AV596=0,0,
IF(Investment_Strategy="DIS",VLOOKUP(Investment_Strategy&amp;"_"&amp;Investment_Strategy_Sub1&amp;"_"&amp;$A596,'Investment Strategies'!$AZ:$BP,15,FALSE),
IF(AND(Investment_Strategy="Lifecycle",Investment_Strategy_Sub1="Non-Standard"),VLOOKUP(Investment_Strategy&amp;"_"&amp;Investment_Strategy_Sub2&amp;"_"&amp;$A596,'Investment Strategies'!$C:$P,12,FALSE),
IF(AND(Investment_Strategy="Lifecycle",Investment_Strategy_Sub1="Standard"),VLOOKUP(Investment_Strategy&amp;"_"&amp;Investment_Strategy_Sub2&amp;"_"&amp;$A596,'Investment Strategies'!$AJ:$AV,11,FALSE),
IF(AND(Investment_Strategy="Autopilot",Investment_Strategy_Sub1="Non-Standard"),VLOOKUP(Investment_Strategy&amp;"_"&amp;Investment_Strategy_Sub2&amp;"_"&amp;$A596,'Investment Strategies'!$T:$AF,11,FALSE),
IF(Investment_Strategy="DIY",DIY_GteeChrge_SP,
"Error"))))))</f>
        <v>0</v>
      </c>
      <c r="N596" s="33">
        <f>IF($AV596=0,0,
IF(Investment_Strategy="DIS",VLOOKUP(Investment_Strategy&amp;"_"&amp;Investment_Strategy_Sub1&amp;"_"&amp;$A596,'Investment Strategies'!$AZ:$BP,17,FALSE),
IF(AND(Investment_Strategy="Lifecycle",Investment_Strategy_Sub1="Non-Standard"),VLOOKUP(Investment_Strategy&amp;"_"&amp;Investment_Strategy_Sub2&amp;"_"&amp;$A596,'Investment Strategies'!$C:$P,14,FALSE),
IF(AND(Investment_Strategy="Lifecycle",Investment_Strategy_Sub1="Standard"),VLOOKUP(Investment_Strategy&amp;"_"&amp;Investment_Strategy_Sub2&amp;"_"&amp;$A596,'Investment Strategies'!$AJ:$AV,13,FALSE),
IF(AND(Investment_Strategy="Autopilot",Investment_Strategy_Sub1="Non-Standard"),VLOOKUP(Investment_Strategy&amp;"_"&amp;Investment_Strategy_Sub2&amp;"_"&amp;$A596,'Investment Strategies'!$T:$AF,13,FALSE),
IF(Investment_Strategy="DIY",DIY_ExtManChrge_SP,
"Error"))))))</f>
        <v>0</v>
      </c>
      <c r="O596" s="16">
        <f t="shared" si="336"/>
        <v>0</v>
      </c>
      <c r="Q596" s="16">
        <f t="shared" si="313"/>
        <v>0</v>
      </c>
      <c r="R596" s="16">
        <f t="shared" ref="R596:R659" si="345">IF($AV596=0,0,
-(($O596+($P596)*(1-SRP_Contrib_Chge_SP)+Q596/2)*(SRP_Monthly_Admin_Chge+$M596+$N596)*IF(D596=$A$91,SRP_finalmonthfactor,1)+
($P596)*SRP_Contrib_Chge_SP)*IF(D596=$A$91,SRP_finalmonthfactor,1))</f>
        <v>0</v>
      </c>
      <c r="S596" s="16">
        <f>(SRP_SP+SUM(S$91:S595))*L596*IF(D596=$A$91,SRP_finalmonthfactor,1)</f>
        <v>0</v>
      </c>
      <c r="T596" s="74">
        <f>MIN(IF($AV596=0,0,
IF(Investment_Strategy="DIS",VLOOKUP(Investment_Strategy&amp;"_"&amp;Investment_Strategy_Sub1&amp;"_"&amp;$A596,'Investment Strategies'!$AZ:$BP,12,FALSE),
IF(AND(Investment_Strategy="Lifecycle",Investment_Strategy_Sub1="Non-Standard"),VLOOKUP(Investment_Strategy&amp;"_"&amp;Investment_Strategy_Sub2&amp;"_"&amp;$A596,'Investment Strategies'!$C:$P,9,FALSE),
IF(AND(Investment_Strategy="Lifecycle",Investment_Strategy_Sub1="Standard"),VLOOKUP(Investment_Strategy&amp;"_"&amp;Investment_Strategy_Sub2&amp;"_"&amp;$A596,'Investment Strategies'!$AJ:$AV,8,FALSE),
IF(AND(Investment_Strategy="Autopilot",Investment_Strategy_Sub1="Non-Standard"),VLOOKUP(Investment_Strategy&amp;"_"&amp;Investment_Strategy_Sub2&amp;"_"&amp;$A596,'Investment Strategies'!$T:$AF,8,FALSE),
IF(Investment_Strategy ="DIY",DIY_RateOfReturn_FuturePremiums,
"Error")))))),Max_InvReturn)</f>
        <v>0</v>
      </c>
      <c r="U596" s="62">
        <f>IF($AV596=0,0,
IF(Investment_Strategy="DIS",VLOOKUP(Investment_Strategy&amp;"_"&amp;Investment_Strategy_Sub1&amp;"_"&amp;$A596,'Investment Strategies'!$AZ:$BP,15,FALSE),
IF(AND(Investment_Strategy="Lifecycle",Investment_Strategy_Sub1="Non-Standard"),VLOOKUP(Investment_Strategy&amp;"_"&amp;Investment_Strategy_Sub2&amp;"_"&amp;$A596,'Investment Strategies'!$C:$P,12,FALSE),
IF(AND(Investment_Strategy="Lifecycle",Investment_Strategy_Sub1="Standard"),VLOOKUP(Investment_Strategy&amp;"_"&amp;Investment_Strategy_Sub2&amp;"_"&amp;$A596,'Investment Strategies'!$AJ:$AV,11,FALSE),
IF(AND(Investment_Strategy="Autopilot",Investment_Strategy_Sub1="Non-Standard"),VLOOKUP(Investment_Strategy&amp;"_"&amp;Investment_Strategy_Sub2&amp;"_"&amp;$A596,'Investment Strategies'!$T:$AF,11,FALSE),
IF(Investment_Strategy="DIY",DIY_GteeChrge_FuturePremiums,
"Error"))))))</f>
        <v>0</v>
      </c>
      <c r="V596" s="33">
        <f>IF(AV596=0,0,
IF(Investment_Strategy="DIS",VLOOKUP(Investment_Strategy&amp;"_"&amp;Investment_Strategy_Sub1&amp;"_"&amp;$A596,'Investment Strategies'!$AZ:$BP,17,FALSE),
IF(AND(Investment_Strategy="Lifecycle",Investment_Strategy_Sub1="Non-Standard"),VLOOKUP(Investment_Strategy&amp;"_"&amp;Investment_Strategy_Sub2&amp;"_"&amp;$A596,'Investment Strategies'!$C:$P,14,FALSE),
IF(AND(Investment_Strategy="Lifecycle",Investment_Strategy_Sub1="Standard"),VLOOKUP(Investment_Strategy&amp;"_"&amp;Investment_Strategy_Sub2&amp;"_"&amp;$A596,'Investment Strategies'!$AJ:$AV,13,FALSE),
IF(AND(Investment_Strategy="Autopilot",Investment_Strategy_Sub1="Non-Standard"),VLOOKUP(Investment_Strategy&amp;"_"&amp;Investment_Strategy_Sub2&amp;"_"&amp;$A596,'Investment Strategies'!$T:$AF,13,FALSE),
IF(Investment_Strategy="DIY",DIY_ExtManChrge_FuturePremiums,
"Error"))))))</f>
        <v>0</v>
      </c>
      <c r="W596" s="16">
        <f t="shared" si="337"/>
        <v>0</v>
      </c>
      <c r="X596" s="16">
        <f t="shared" si="314"/>
        <v>0</v>
      </c>
      <c r="Y596" s="16">
        <f t="shared" si="315"/>
        <v>0</v>
      </c>
      <c r="Z596" s="31">
        <f t="shared" si="316"/>
        <v>0.02</v>
      </c>
      <c r="AA596" s="16">
        <f t="shared" si="317"/>
        <v>0</v>
      </c>
      <c r="AB596" s="28">
        <f t="shared" si="339"/>
        <v>0</v>
      </c>
      <c r="AC596" s="28">
        <f>(SUM($AC$91:AC595)+SUM($X$91:X595)+X596)*T596*IF(D596=$A$91,SRP_finalmonthfactor,1)</f>
        <v>0</v>
      </c>
      <c r="AD596" s="16">
        <f t="shared" si="318"/>
        <v>0</v>
      </c>
      <c r="AE596" s="106"/>
      <c r="AF596" s="16">
        <f t="shared" si="326"/>
        <v>0</v>
      </c>
      <c r="AG596" s="16">
        <f t="shared" si="327"/>
        <v>0</v>
      </c>
      <c r="AH596" s="16">
        <f t="shared" si="328"/>
        <v>0</v>
      </c>
      <c r="AJ596" s="13">
        <f t="shared" si="344"/>
        <v>0</v>
      </c>
      <c r="AK596" s="13">
        <f t="shared" si="344"/>
        <v>0</v>
      </c>
      <c r="AL596" s="13">
        <f t="shared" si="344"/>
        <v>0</v>
      </c>
      <c r="AM596" s="13">
        <f t="shared" si="344"/>
        <v>0</v>
      </c>
      <c r="AN596" s="13">
        <f t="shared" si="344"/>
        <v>0</v>
      </c>
      <c r="AO596" s="13">
        <f t="shared" si="344"/>
        <v>1</v>
      </c>
      <c r="AP596" s="13">
        <f t="shared" si="344"/>
        <v>1</v>
      </c>
      <c r="AQ596" s="13">
        <f t="shared" si="344"/>
        <v>1</v>
      </c>
      <c r="AR596" s="13">
        <f t="shared" si="344"/>
        <v>0</v>
      </c>
      <c r="AS596" s="13">
        <f t="shared" si="344"/>
        <v>0</v>
      </c>
      <c r="AT596" s="13">
        <f t="shared" si="344"/>
        <v>0</v>
      </c>
      <c r="AU596" s="13">
        <f t="shared" si="344"/>
        <v>0</v>
      </c>
      <c r="AV596" s="13">
        <f t="shared" si="319"/>
        <v>0</v>
      </c>
      <c r="AW596" s="13">
        <f t="shared" si="320"/>
        <v>1</v>
      </c>
      <c r="AY596" s="17">
        <f t="shared" si="321"/>
        <v>506</v>
      </c>
      <c r="AZ596" s="28">
        <f t="shared" si="329"/>
        <v>0</v>
      </c>
      <c r="BA596" s="13">
        <f t="shared" si="322"/>
        <v>0</v>
      </c>
      <c r="BB596" s="13">
        <f t="shared" si="323"/>
        <v>0</v>
      </c>
      <c r="BC596" s="28">
        <f t="shared" si="330"/>
        <v>0</v>
      </c>
      <c r="BD596" s="28">
        <f t="shared" si="331"/>
        <v>0</v>
      </c>
      <c r="BF596" s="248">
        <f t="shared" si="332"/>
        <v>993869.29442638322</v>
      </c>
    </row>
    <row r="597" spans="1:58">
      <c r="A597" s="32">
        <f t="shared" si="333"/>
        <v>-422</v>
      </c>
      <c r="B597" s="32">
        <f t="shared" si="324"/>
        <v>95</v>
      </c>
      <c r="C597" s="32">
        <f t="shared" si="334"/>
        <v>43</v>
      </c>
      <c r="D597" s="32">
        <f t="shared" si="335"/>
        <v>507</v>
      </c>
      <c r="E597" s="74">
        <f>MIN(IF(AV597=0,0,
IF(Investment_Strategy="DIS",VLOOKUP(Investment_Strategy&amp;"_"&amp;Investment_Strategy_Sub1&amp;"_"&amp;$A597,'Investment Strategies'!$AZ:$BP,12,FALSE),
IF(AND(Investment_Strategy="Lifecycle",Investment_Strategy_Sub1="Non-Standard"),VLOOKUP(Investment_Strategy&amp;"_"&amp;Investment_Strategy_Sub2&amp;"_"&amp;$A597,'Investment Strategies'!$C:$P,9,FALSE),
IF(AND(Investment_Strategy="Lifecycle",Investment_Strategy_Sub1="Standard"),VLOOKUP(Investment_Strategy&amp;"_"&amp;Investment_Strategy_Sub2&amp;"_"&amp;$A597,'Investment Strategies'!$AJ:$AV,8,FALSE),
IF(AND(Investment_Strategy="Autopilot",Investment_Strategy_Sub1="Non-Standard"),VLOOKUP(Investment_Strategy&amp;"_"&amp;Investment_Strategy_Sub2&amp;"_"&amp;$A597,'Investment Strategies'!$T:$AF,8,FALSE),
IF(Investment_Strategy ="DIY",DIY_RateOfReturn_CurrentFunds,
"Error")))))),Max_InvReturn)</f>
        <v>0</v>
      </c>
      <c r="F597" s="62">
        <f>IF(AV597=0,0,
IF(Investment_Strategy="DIS",VLOOKUP(Investment_Strategy&amp;"_"&amp;Investment_Strategy_Sub1&amp;"_"&amp;$A597,'Investment Strategies'!$AZ:$BP,15,FALSE),
IF(AND(Investment_Strategy="Lifecycle",Investment_Strategy_Sub1="Non-Standard"),VLOOKUP(Investment_Strategy&amp;"_"&amp;Investment_Strategy_Sub2&amp;"_"&amp;$A597,'Investment Strategies'!$C:$P,12,FALSE),
IF(AND(Investment_Strategy="Lifecycle",Investment_Strategy_Sub1="Standard"),VLOOKUP(Investment_Strategy&amp;"_"&amp;Investment_Strategy_Sub2&amp;"_"&amp;$A597,'Investment Strategies'!$AJ:$AV,11,FALSE),
IF(AND(Investment_Strategy="Autopilot",Investment_Strategy_Sub1="Non-Standard"),VLOOKUP(Investment_Strategy&amp;"_"&amp;Investment_Strategy_Sub2&amp;"_"&amp;$A597,'Investment Strategies'!$T:$AF,11,FALSE),
IF(Investment_Strategy="DIY",DIY_GteeChrge_CurrentFunds,
"Error"))))))</f>
        <v>0</v>
      </c>
      <c r="G597" s="33">
        <f>IF(AV597=0,0,
IF(Investment_Strategy="DIS",VLOOKUP(Investment_Strategy&amp;"_"&amp;Investment_Strategy_Sub1&amp;"_"&amp;$A597,'Investment Strategies'!$AZ:$BP,17,FALSE),
IF(AND(Investment_Strategy="Lifecycle",Investment_Strategy_Sub1="Non-Standard"),VLOOKUP(Investment_Strategy&amp;"_"&amp;Investment_Strategy_Sub2&amp;"_"&amp;$A597,'Investment Strategies'!$C:$P,14,FALSE),
IF(AND(Investment_Strategy="Lifecycle",Investment_Strategy_Sub1="Standard"),VLOOKUP(Investment_Strategy&amp;"_"&amp;Investment_Strategy_Sub2&amp;"_"&amp;$A597,'Investment Strategies'!$AJ:$AV,13,FALSE),
IF(AND(Investment_Strategy="Autopilot",Investment_Strategy_Sub1="Non-Standard"),VLOOKUP(Investment_Strategy&amp;"_"&amp;Investment_Strategy_Sub2&amp;"_"&amp;$A597,'Investment Strategies'!$T:$AF,13,FALSE),
IF(Investment_Strategy="DIY",DIY_ExtManChrge_CurrentFunds,
"Error"))))))</f>
        <v>0</v>
      </c>
      <c r="H597" s="16">
        <f t="shared" si="325"/>
        <v>0</v>
      </c>
      <c r="I597" s="16">
        <f t="shared" si="311"/>
        <v>0</v>
      </c>
      <c r="J597" s="16">
        <f t="shared" si="312"/>
        <v>0</v>
      </c>
      <c r="K597" s="16">
        <f>(Opening_Fund_Value+SUM(K$91:K596))*E597*IF(D597=$A$91,SRP_finalmonthfactor,1)</f>
        <v>0</v>
      </c>
      <c r="L597" s="74">
        <f>MIN(IF($AV597=0,0,
IF(Investment_Strategy="DIS",VLOOKUP(Investment_Strategy&amp;"_"&amp;Investment_Strategy_Sub1&amp;"_"&amp;$A597,'Investment Strategies'!$AZ:$BP,12,FALSE),
IF(AND(Investment_Strategy="Lifecycle",Investment_Strategy_Sub1="Non-Standard"),VLOOKUP(Investment_Strategy&amp;"_"&amp;Investment_Strategy_Sub2&amp;"_"&amp;$A597,'Investment Strategies'!$C:$P,9,FALSE),
IF(AND(Investment_Strategy="Lifecycle",Investment_Strategy_Sub1="Standard"),VLOOKUP(Investment_Strategy&amp;"_"&amp;Investment_Strategy_Sub2&amp;"_"&amp;$A597,'Investment Strategies'!$AJ:$AV,8,FALSE),
IF(AND(Investment_Strategy="Autopilot",Investment_Strategy_Sub1="Non-Standard"),VLOOKUP(Investment_Strategy&amp;"_"&amp;Investment_Strategy_Sub2&amp;"_"&amp;$A597,'Investment Strategies'!$T:$AF,8,FALSE),
IF(Investment_Strategy ="DIY",DIY_RateofReturn_SP,
"Error")))))),Max_InvReturn)</f>
        <v>0</v>
      </c>
      <c r="M597" s="62">
        <f>IF($AV597=0,0,
IF(Investment_Strategy="DIS",VLOOKUP(Investment_Strategy&amp;"_"&amp;Investment_Strategy_Sub1&amp;"_"&amp;$A597,'Investment Strategies'!$AZ:$BP,15,FALSE),
IF(AND(Investment_Strategy="Lifecycle",Investment_Strategy_Sub1="Non-Standard"),VLOOKUP(Investment_Strategy&amp;"_"&amp;Investment_Strategy_Sub2&amp;"_"&amp;$A597,'Investment Strategies'!$C:$P,12,FALSE),
IF(AND(Investment_Strategy="Lifecycle",Investment_Strategy_Sub1="Standard"),VLOOKUP(Investment_Strategy&amp;"_"&amp;Investment_Strategy_Sub2&amp;"_"&amp;$A597,'Investment Strategies'!$AJ:$AV,11,FALSE),
IF(AND(Investment_Strategy="Autopilot",Investment_Strategy_Sub1="Non-Standard"),VLOOKUP(Investment_Strategy&amp;"_"&amp;Investment_Strategy_Sub2&amp;"_"&amp;$A597,'Investment Strategies'!$T:$AF,11,FALSE),
IF(Investment_Strategy="DIY",DIY_GteeChrge_SP,
"Error"))))))</f>
        <v>0</v>
      </c>
      <c r="N597" s="33">
        <f>IF($AV597=0,0,
IF(Investment_Strategy="DIS",VLOOKUP(Investment_Strategy&amp;"_"&amp;Investment_Strategy_Sub1&amp;"_"&amp;$A597,'Investment Strategies'!$AZ:$BP,17,FALSE),
IF(AND(Investment_Strategy="Lifecycle",Investment_Strategy_Sub1="Non-Standard"),VLOOKUP(Investment_Strategy&amp;"_"&amp;Investment_Strategy_Sub2&amp;"_"&amp;$A597,'Investment Strategies'!$C:$P,14,FALSE),
IF(AND(Investment_Strategy="Lifecycle",Investment_Strategy_Sub1="Standard"),VLOOKUP(Investment_Strategy&amp;"_"&amp;Investment_Strategy_Sub2&amp;"_"&amp;$A597,'Investment Strategies'!$AJ:$AV,13,FALSE),
IF(AND(Investment_Strategy="Autopilot",Investment_Strategy_Sub1="Non-Standard"),VLOOKUP(Investment_Strategy&amp;"_"&amp;Investment_Strategy_Sub2&amp;"_"&amp;$A597,'Investment Strategies'!$T:$AF,13,FALSE),
IF(Investment_Strategy="DIY",DIY_ExtManChrge_SP,
"Error"))))))</f>
        <v>0</v>
      </c>
      <c r="O597" s="16">
        <f t="shared" si="336"/>
        <v>0</v>
      </c>
      <c r="Q597" s="16">
        <f t="shared" si="313"/>
        <v>0</v>
      </c>
      <c r="R597" s="16">
        <f t="shared" si="345"/>
        <v>0</v>
      </c>
      <c r="S597" s="16">
        <f>(SRP_SP+SUM(S$91:S596))*L597*IF(D597=$A$91,SRP_finalmonthfactor,1)</f>
        <v>0</v>
      </c>
      <c r="T597" s="74">
        <f>MIN(IF($AV597=0,0,
IF(Investment_Strategy="DIS",VLOOKUP(Investment_Strategy&amp;"_"&amp;Investment_Strategy_Sub1&amp;"_"&amp;$A597,'Investment Strategies'!$AZ:$BP,12,FALSE),
IF(AND(Investment_Strategy="Lifecycle",Investment_Strategy_Sub1="Non-Standard"),VLOOKUP(Investment_Strategy&amp;"_"&amp;Investment_Strategy_Sub2&amp;"_"&amp;$A597,'Investment Strategies'!$C:$P,9,FALSE),
IF(AND(Investment_Strategy="Lifecycle",Investment_Strategy_Sub1="Standard"),VLOOKUP(Investment_Strategy&amp;"_"&amp;Investment_Strategy_Sub2&amp;"_"&amp;$A597,'Investment Strategies'!$AJ:$AV,8,FALSE),
IF(AND(Investment_Strategy="Autopilot",Investment_Strategy_Sub1="Non-Standard"),VLOOKUP(Investment_Strategy&amp;"_"&amp;Investment_Strategy_Sub2&amp;"_"&amp;$A597,'Investment Strategies'!$T:$AF,8,FALSE),
IF(Investment_Strategy ="DIY",DIY_RateOfReturn_FuturePremiums,
"Error")))))),Max_InvReturn)</f>
        <v>0</v>
      </c>
      <c r="U597" s="62">
        <f>IF($AV597=0,0,
IF(Investment_Strategy="DIS",VLOOKUP(Investment_Strategy&amp;"_"&amp;Investment_Strategy_Sub1&amp;"_"&amp;$A597,'Investment Strategies'!$AZ:$BP,15,FALSE),
IF(AND(Investment_Strategy="Lifecycle",Investment_Strategy_Sub1="Non-Standard"),VLOOKUP(Investment_Strategy&amp;"_"&amp;Investment_Strategy_Sub2&amp;"_"&amp;$A597,'Investment Strategies'!$C:$P,12,FALSE),
IF(AND(Investment_Strategy="Lifecycle",Investment_Strategy_Sub1="Standard"),VLOOKUP(Investment_Strategy&amp;"_"&amp;Investment_Strategy_Sub2&amp;"_"&amp;$A597,'Investment Strategies'!$AJ:$AV,11,FALSE),
IF(AND(Investment_Strategy="Autopilot",Investment_Strategy_Sub1="Non-Standard"),VLOOKUP(Investment_Strategy&amp;"_"&amp;Investment_Strategy_Sub2&amp;"_"&amp;$A597,'Investment Strategies'!$T:$AF,11,FALSE),
IF(Investment_Strategy="DIY",DIY_GteeChrge_FuturePremiums,
"Error"))))))</f>
        <v>0</v>
      </c>
      <c r="V597" s="33">
        <f>IF(AV597=0,0,
IF(Investment_Strategy="DIS",VLOOKUP(Investment_Strategy&amp;"_"&amp;Investment_Strategy_Sub1&amp;"_"&amp;$A597,'Investment Strategies'!$AZ:$BP,17,FALSE),
IF(AND(Investment_Strategy="Lifecycle",Investment_Strategy_Sub1="Non-Standard"),VLOOKUP(Investment_Strategy&amp;"_"&amp;Investment_Strategy_Sub2&amp;"_"&amp;$A597,'Investment Strategies'!$C:$P,14,FALSE),
IF(AND(Investment_Strategy="Lifecycle",Investment_Strategy_Sub1="Standard"),VLOOKUP(Investment_Strategy&amp;"_"&amp;Investment_Strategy_Sub2&amp;"_"&amp;$A597,'Investment Strategies'!$AJ:$AV,13,FALSE),
IF(AND(Investment_Strategy="Autopilot",Investment_Strategy_Sub1="Non-Standard"),VLOOKUP(Investment_Strategy&amp;"_"&amp;Investment_Strategy_Sub2&amp;"_"&amp;$A597,'Investment Strategies'!$T:$AF,13,FALSE),
IF(Investment_Strategy="DIY",DIY_ExtManChrge_FuturePremiums,
"Error"))))))</f>
        <v>0</v>
      </c>
      <c r="W597" s="16">
        <f t="shared" si="337"/>
        <v>0</v>
      </c>
      <c r="X597" s="16">
        <f t="shared" si="314"/>
        <v>0</v>
      </c>
      <c r="Y597" s="16">
        <f t="shared" si="315"/>
        <v>0</v>
      </c>
      <c r="Z597" s="31">
        <f t="shared" si="316"/>
        <v>0.02</v>
      </c>
      <c r="AA597" s="16">
        <f t="shared" si="317"/>
        <v>0</v>
      </c>
      <c r="AB597" s="28">
        <f t="shared" si="339"/>
        <v>0</v>
      </c>
      <c r="AC597" s="28">
        <f>(SUM($AC$91:AC596)+SUM($X$91:X596)+X597)*T597*IF(D597=$A$91,SRP_finalmonthfactor,1)</f>
        <v>0</v>
      </c>
      <c r="AD597" s="16">
        <f t="shared" si="318"/>
        <v>0</v>
      </c>
      <c r="AE597" s="106"/>
      <c r="AF597" s="16">
        <f t="shared" si="326"/>
        <v>0</v>
      </c>
      <c r="AG597" s="16">
        <f t="shared" si="327"/>
        <v>0</v>
      </c>
      <c r="AH597" s="16">
        <f t="shared" si="328"/>
        <v>0</v>
      </c>
      <c r="AJ597" s="13">
        <f t="shared" si="344"/>
        <v>0</v>
      </c>
      <c r="AK597" s="13">
        <f t="shared" si="344"/>
        <v>0</v>
      </c>
      <c r="AL597" s="13">
        <f t="shared" si="344"/>
        <v>0</v>
      </c>
      <c r="AM597" s="13">
        <f t="shared" si="344"/>
        <v>0</v>
      </c>
      <c r="AN597" s="13">
        <f t="shared" si="344"/>
        <v>0</v>
      </c>
      <c r="AO597" s="13">
        <f t="shared" si="344"/>
        <v>1</v>
      </c>
      <c r="AP597" s="13">
        <f t="shared" si="344"/>
        <v>1</v>
      </c>
      <c r="AQ597" s="13">
        <f t="shared" si="344"/>
        <v>1</v>
      </c>
      <c r="AR597" s="13">
        <f t="shared" si="344"/>
        <v>0</v>
      </c>
      <c r="AS597" s="13">
        <f t="shared" si="344"/>
        <v>0</v>
      </c>
      <c r="AT597" s="13">
        <f t="shared" si="344"/>
        <v>0</v>
      </c>
      <c r="AU597" s="13">
        <f t="shared" si="344"/>
        <v>0</v>
      </c>
      <c r="AV597" s="13">
        <f t="shared" si="319"/>
        <v>0</v>
      </c>
      <c r="AW597" s="13">
        <f t="shared" si="320"/>
        <v>1</v>
      </c>
      <c r="AY597" s="17">
        <f t="shared" si="321"/>
        <v>507</v>
      </c>
      <c r="AZ597" s="28">
        <f t="shared" si="329"/>
        <v>0</v>
      </c>
      <c r="BA597" s="13">
        <f t="shared" si="322"/>
        <v>0</v>
      </c>
      <c r="BB597" s="13">
        <f t="shared" si="323"/>
        <v>0</v>
      </c>
      <c r="BC597" s="28">
        <f t="shared" si="330"/>
        <v>0</v>
      </c>
      <c r="BD597" s="28">
        <f t="shared" si="331"/>
        <v>0</v>
      </c>
      <c r="BF597" s="248">
        <f t="shared" si="332"/>
        <v>993869.29442638322</v>
      </c>
    </row>
    <row r="598" spans="1:58">
      <c r="A598" s="32">
        <f t="shared" si="333"/>
        <v>-423</v>
      </c>
      <c r="B598" s="32">
        <f t="shared" si="324"/>
        <v>95</v>
      </c>
      <c r="C598" s="32">
        <f t="shared" si="334"/>
        <v>43</v>
      </c>
      <c r="D598" s="32">
        <f t="shared" si="335"/>
        <v>508</v>
      </c>
      <c r="E598" s="74">
        <f>MIN(IF(AV598=0,0,
IF(Investment_Strategy="DIS",VLOOKUP(Investment_Strategy&amp;"_"&amp;Investment_Strategy_Sub1&amp;"_"&amp;$A598,'Investment Strategies'!$AZ:$BP,12,FALSE),
IF(AND(Investment_Strategy="Lifecycle",Investment_Strategy_Sub1="Non-Standard"),VLOOKUP(Investment_Strategy&amp;"_"&amp;Investment_Strategy_Sub2&amp;"_"&amp;$A598,'Investment Strategies'!$C:$P,9,FALSE),
IF(AND(Investment_Strategy="Lifecycle",Investment_Strategy_Sub1="Standard"),VLOOKUP(Investment_Strategy&amp;"_"&amp;Investment_Strategy_Sub2&amp;"_"&amp;$A598,'Investment Strategies'!$AJ:$AV,8,FALSE),
IF(AND(Investment_Strategy="Autopilot",Investment_Strategy_Sub1="Non-Standard"),VLOOKUP(Investment_Strategy&amp;"_"&amp;Investment_Strategy_Sub2&amp;"_"&amp;$A598,'Investment Strategies'!$T:$AF,8,FALSE),
IF(Investment_Strategy ="DIY",DIY_RateOfReturn_CurrentFunds,
"Error")))))),Max_InvReturn)</f>
        <v>0</v>
      </c>
      <c r="F598" s="62">
        <f>IF(AV598=0,0,
IF(Investment_Strategy="DIS",VLOOKUP(Investment_Strategy&amp;"_"&amp;Investment_Strategy_Sub1&amp;"_"&amp;$A598,'Investment Strategies'!$AZ:$BP,15,FALSE),
IF(AND(Investment_Strategy="Lifecycle",Investment_Strategy_Sub1="Non-Standard"),VLOOKUP(Investment_Strategy&amp;"_"&amp;Investment_Strategy_Sub2&amp;"_"&amp;$A598,'Investment Strategies'!$C:$P,12,FALSE),
IF(AND(Investment_Strategy="Lifecycle",Investment_Strategy_Sub1="Standard"),VLOOKUP(Investment_Strategy&amp;"_"&amp;Investment_Strategy_Sub2&amp;"_"&amp;$A598,'Investment Strategies'!$AJ:$AV,11,FALSE),
IF(AND(Investment_Strategy="Autopilot",Investment_Strategy_Sub1="Non-Standard"),VLOOKUP(Investment_Strategy&amp;"_"&amp;Investment_Strategy_Sub2&amp;"_"&amp;$A598,'Investment Strategies'!$T:$AF,11,FALSE),
IF(Investment_Strategy="DIY",DIY_GteeChrge_CurrentFunds,
"Error"))))))</f>
        <v>0</v>
      </c>
      <c r="G598" s="33">
        <f>IF(AV598=0,0,
IF(Investment_Strategy="DIS",VLOOKUP(Investment_Strategy&amp;"_"&amp;Investment_Strategy_Sub1&amp;"_"&amp;$A598,'Investment Strategies'!$AZ:$BP,17,FALSE),
IF(AND(Investment_Strategy="Lifecycle",Investment_Strategy_Sub1="Non-Standard"),VLOOKUP(Investment_Strategy&amp;"_"&amp;Investment_Strategy_Sub2&amp;"_"&amp;$A598,'Investment Strategies'!$C:$P,14,FALSE),
IF(AND(Investment_Strategy="Lifecycle",Investment_Strategy_Sub1="Standard"),VLOOKUP(Investment_Strategy&amp;"_"&amp;Investment_Strategy_Sub2&amp;"_"&amp;$A598,'Investment Strategies'!$AJ:$AV,13,FALSE),
IF(AND(Investment_Strategy="Autopilot",Investment_Strategy_Sub1="Non-Standard"),VLOOKUP(Investment_Strategy&amp;"_"&amp;Investment_Strategy_Sub2&amp;"_"&amp;$A598,'Investment Strategies'!$T:$AF,13,FALSE),
IF(Investment_Strategy="DIY",DIY_ExtManChrge_CurrentFunds,
"Error"))))))</f>
        <v>0</v>
      </c>
      <c r="H598" s="16">
        <f t="shared" si="325"/>
        <v>0</v>
      </c>
      <c r="I598" s="16">
        <f t="shared" si="311"/>
        <v>0</v>
      </c>
      <c r="J598" s="16">
        <f t="shared" si="312"/>
        <v>0</v>
      </c>
      <c r="K598" s="16">
        <f>(Opening_Fund_Value+SUM(K$91:K597))*E598*IF(D598=$A$91,SRP_finalmonthfactor,1)</f>
        <v>0</v>
      </c>
      <c r="L598" s="74">
        <f>MIN(IF($AV598=0,0,
IF(Investment_Strategy="DIS",VLOOKUP(Investment_Strategy&amp;"_"&amp;Investment_Strategy_Sub1&amp;"_"&amp;$A598,'Investment Strategies'!$AZ:$BP,12,FALSE),
IF(AND(Investment_Strategy="Lifecycle",Investment_Strategy_Sub1="Non-Standard"),VLOOKUP(Investment_Strategy&amp;"_"&amp;Investment_Strategy_Sub2&amp;"_"&amp;$A598,'Investment Strategies'!$C:$P,9,FALSE),
IF(AND(Investment_Strategy="Lifecycle",Investment_Strategy_Sub1="Standard"),VLOOKUP(Investment_Strategy&amp;"_"&amp;Investment_Strategy_Sub2&amp;"_"&amp;$A598,'Investment Strategies'!$AJ:$AV,8,FALSE),
IF(AND(Investment_Strategy="Autopilot",Investment_Strategy_Sub1="Non-Standard"),VLOOKUP(Investment_Strategy&amp;"_"&amp;Investment_Strategy_Sub2&amp;"_"&amp;$A598,'Investment Strategies'!$T:$AF,8,FALSE),
IF(Investment_Strategy ="DIY",DIY_RateofReturn_SP,
"Error")))))),Max_InvReturn)</f>
        <v>0</v>
      </c>
      <c r="M598" s="62">
        <f>IF($AV598=0,0,
IF(Investment_Strategy="DIS",VLOOKUP(Investment_Strategy&amp;"_"&amp;Investment_Strategy_Sub1&amp;"_"&amp;$A598,'Investment Strategies'!$AZ:$BP,15,FALSE),
IF(AND(Investment_Strategy="Lifecycle",Investment_Strategy_Sub1="Non-Standard"),VLOOKUP(Investment_Strategy&amp;"_"&amp;Investment_Strategy_Sub2&amp;"_"&amp;$A598,'Investment Strategies'!$C:$P,12,FALSE),
IF(AND(Investment_Strategy="Lifecycle",Investment_Strategy_Sub1="Standard"),VLOOKUP(Investment_Strategy&amp;"_"&amp;Investment_Strategy_Sub2&amp;"_"&amp;$A598,'Investment Strategies'!$AJ:$AV,11,FALSE),
IF(AND(Investment_Strategy="Autopilot",Investment_Strategy_Sub1="Non-Standard"),VLOOKUP(Investment_Strategy&amp;"_"&amp;Investment_Strategy_Sub2&amp;"_"&amp;$A598,'Investment Strategies'!$T:$AF,11,FALSE),
IF(Investment_Strategy="DIY",DIY_GteeChrge_SP,
"Error"))))))</f>
        <v>0</v>
      </c>
      <c r="N598" s="33">
        <f>IF($AV598=0,0,
IF(Investment_Strategy="DIS",VLOOKUP(Investment_Strategy&amp;"_"&amp;Investment_Strategy_Sub1&amp;"_"&amp;$A598,'Investment Strategies'!$AZ:$BP,17,FALSE),
IF(AND(Investment_Strategy="Lifecycle",Investment_Strategy_Sub1="Non-Standard"),VLOOKUP(Investment_Strategy&amp;"_"&amp;Investment_Strategy_Sub2&amp;"_"&amp;$A598,'Investment Strategies'!$C:$P,14,FALSE),
IF(AND(Investment_Strategy="Lifecycle",Investment_Strategy_Sub1="Standard"),VLOOKUP(Investment_Strategy&amp;"_"&amp;Investment_Strategy_Sub2&amp;"_"&amp;$A598,'Investment Strategies'!$AJ:$AV,13,FALSE),
IF(AND(Investment_Strategy="Autopilot",Investment_Strategy_Sub1="Non-Standard"),VLOOKUP(Investment_Strategy&amp;"_"&amp;Investment_Strategy_Sub2&amp;"_"&amp;$A598,'Investment Strategies'!$T:$AF,13,FALSE),
IF(Investment_Strategy="DIY",DIY_ExtManChrge_SP,
"Error"))))))</f>
        <v>0</v>
      </c>
      <c r="O598" s="16">
        <f t="shared" si="336"/>
        <v>0</v>
      </c>
      <c r="Q598" s="16">
        <f t="shared" si="313"/>
        <v>0</v>
      </c>
      <c r="R598" s="16">
        <f t="shared" si="345"/>
        <v>0</v>
      </c>
      <c r="S598" s="16">
        <f>(SRP_SP+SUM(S$91:S597))*L598*IF(D598=$A$91,SRP_finalmonthfactor,1)</f>
        <v>0</v>
      </c>
      <c r="T598" s="74">
        <f>MIN(IF($AV598=0,0,
IF(Investment_Strategy="DIS",VLOOKUP(Investment_Strategy&amp;"_"&amp;Investment_Strategy_Sub1&amp;"_"&amp;$A598,'Investment Strategies'!$AZ:$BP,12,FALSE),
IF(AND(Investment_Strategy="Lifecycle",Investment_Strategy_Sub1="Non-Standard"),VLOOKUP(Investment_Strategy&amp;"_"&amp;Investment_Strategy_Sub2&amp;"_"&amp;$A598,'Investment Strategies'!$C:$P,9,FALSE),
IF(AND(Investment_Strategy="Lifecycle",Investment_Strategy_Sub1="Standard"),VLOOKUP(Investment_Strategy&amp;"_"&amp;Investment_Strategy_Sub2&amp;"_"&amp;$A598,'Investment Strategies'!$AJ:$AV,8,FALSE),
IF(AND(Investment_Strategy="Autopilot",Investment_Strategy_Sub1="Non-Standard"),VLOOKUP(Investment_Strategy&amp;"_"&amp;Investment_Strategy_Sub2&amp;"_"&amp;$A598,'Investment Strategies'!$T:$AF,8,FALSE),
IF(Investment_Strategy ="DIY",DIY_RateOfReturn_FuturePremiums,
"Error")))))),Max_InvReturn)</f>
        <v>0</v>
      </c>
      <c r="U598" s="62">
        <f>IF($AV598=0,0,
IF(Investment_Strategy="DIS",VLOOKUP(Investment_Strategy&amp;"_"&amp;Investment_Strategy_Sub1&amp;"_"&amp;$A598,'Investment Strategies'!$AZ:$BP,15,FALSE),
IF(AND(Investment_Strategy="Lifecycle",Investment_Strategy_Sub1="Non-Standard"),VLOOKUP(Investment_Strategy&amp;"_"&amp;Investment_Strategy_Sub2&amp;"_"&amp;$A598,'Investment Strategies'!$C:$P,12,FALSE),
IF(AND(Investment_Strategy="Lifecycle",Investment_Strategy_Sub1="Standard"),VLOOKUP(Investment_Strategy&amp;"_"&amp;Investment_Strategy_Sub2&amp;"_"&amp;$A598,'Investment Strategies'!$AJ:$AV,11,FALSE),
IF(AND(Investment_Strategy="Autopilot",Investment_Strategy_Sub1="Non-Standard"),VLOOKUP(Investment_Strategy&amp;"_"&amp;Investment_Strategy_Sub2&amp;"_"&amp;$A598,'Investment Strategies'!$T:$AF,11,FALSE),
IF(Investment_Strategy="DIY",DIY_GteeChrge_FuturePremiums,
"Error"))))))</f>
        <v>0</v>
      </c>
      <c r="V598" s="33">
        <f>IF(AV598=0,0,
IF(Investment_Strategy="DIS",VLOOKUP(Investment_Strategy&amp;"_"&amp;Investment_Strategy_Sub1&amp;"_"&amp;$A598,'Investment Strategies'!$AZ:$BP,17,FALSE),
IF(AND(Investment_Strategy="Lifecycle",Investment_Strategy_Sub1="Non-Standard"),VLOOKUP(Investment_Strategy&amp;"_"&amp;Investment_Strategy_Sub2&amp;"_"&amp;$A598,'Investment Strategies'!$C:$P,14,FALSE),
IF(AND(Investment_Strategy="Lifecycle",Investment_Strategy_Sub1="Standard"),VLOOKUP(Investment_Strategy&amp;"_"&amp;Investment_Strategy_Sub2&amp;"_"&amp;$A598,'Investment Strategies'!$AJ:$AV,13,FALSE),
IF(AND(Investment_Strategy="Autopilot",Investment_Strategy_Sub1="Non-Standard"),VLOOKUP(Investment_Strategy&amp;"_"&amp;Investment_Strategy_Sub2&amp;"_"&amp;$A598,'Investment Strategies'!$T:$AF,13,FALSE),
IF(Investment_Strategy="DIY",DIY_ExtManChrge_FuturePremiums,
"Error"))))))</f>
        <v>0</v>
      </c>
      <c r="W598" s="16">
        <f t="shared" si="337"/>
        <v>0</v>
      </c>
      <c r="X598" s="16">
        <f t="shared" si="314"/>
        <v>0</v>
      </c>
      <c r="Y598" s="16">
        <f t="shared" si="315"/>
        <v>0</v>
      </c>
      <c r="Z598" s="31">
        <f t="shared" si="316"/>
        <v>0.02</v>
      </c>
      <c r="AA598" s="16">
        <f t="shared" si="317"/>
        <v>0</v>
      </c>
      <c r="AB598" s="28">
        <f t="shared" si="339"/>
        <v>0</v>
      </c>
      <c r="AC598" s="28">
        <f>(SUM($AC$91:AC597)+SUM($X$91:X597)+X598)*T598*IF(D598=$A$91,SRP_finalmonthfactor,1)</f>
        <v>0</v>
      </c>
      <c r="AD598" s="16">
        <f t="shared" si="318"/>
        <v>0</v>
      </c>
      <c r="AE598" s="106"/>
      <c r="AF598" s="16">
        <f t="shared" si="326"/>
        <v>0</v>
      </c>
      <c r="AG598" s="16">
        <f t="shared" si="327"/>
        <v>0</v>
      </c>
      <c r="AH598" s="16">
        <f t="shared" si="328"/>
        <v>0</v>
      </c>
      <c r="AJ598" s="13">
        <f t="shared" si="344"/>
        <v>0</v>
      </c>
      <c r="AK598" s="13">
        <f t="shared" si="344"/>
        <v>0</v>
      </c>
      <c r="AL598" s="13">
        <f t="shared" si="344"/>
        <v>0</v>
      </c>
      <c r="AM598" s="13">
        <f t="shared" si="344"/>
        <v>0</v>
      </c>
      <c r="AN598" s="13">
        <f t="shared" si="344"/>
        <v>0</v>
      </c>
      <c r="AO598" s="13">
        <f t="shared" si="344"/>
        <v>1</v>
      </c>
      <c r="AP598" s="13">
        <f t="shared" si="344"/>
        <v>1</v>
      </c>
      <c r="AQ598" s="13">
        <f t="shared" si="344"/>
        <v>1</v>
      </c>
      <c r="AR598" s="13">
        <f t="shared" si="344"/>
        <v>0</v>
      </c>
      <c r="AS598" s="13">
        <f t="shared" si="344"/>
        <v>0</v>
      </c>
      <c r="AT598" s="13">
        <f t="shared" si="344"/>
        <v>0</v>
      </c>
      <c r="AU598" s="13">
        <f t="shared" si="344"/>
        <v>0</v>
      </c>
      <c r="AV598" s="13">
        <f t="shared" si="319"/>
        <v>0</v>
      </c>
      <c r="AW598" s="13">
        <f t="shared" si="320"/>
        <v>1</v>
      </c>
      <c r="AY598" s="17">
        <f t="shared" si="321"/>
        <v>508</v>
      </c>
      <c r="AZ598" s="28">
        <f t="shared" si="329"/>
        <v>0</v>
      </c>
      <c r="BA598" s="13">
        <f t="shared" si="322"/>
        <v>0</v>
      </c>
      <c r="BB598" s="13">
        <f t="shared" si="323"/>
        <v>0</v>
      </c>
      <c r="BC598" s="28">
        <f t="shared" si="330"/>
        <v>0</v>
      </c>
      <c r="BD598" s="28">
        <f t="shared" si="331"/>
        <v>0</v>
      </c>
      <c r="BF598" s="248">
        <f t="shared" si="332"/>
        <v>993869.29442638322</v>
      </c>
    </row>
    <row r="599" spans="1:58">
      <c r="A599" s="32">
        <f t="shared" si="333"/>
        <v>-424</v>
      </c>
      <c r="B599" s="32">
        <f t="shared" si="324"/>
        <v>95</v>
      </c>
      <c r="C599" s="32">
        <f t="shared" si="334"/>
        <v>43</v>
      </c>
      <c r="D599" s="32">
        <f t="shared" si="335"/>
        <v>509</v>
      </c>
      <c r="E599" s="74">
        <f>MIN(IF(AV599=0,0,
IF(Investment_Strategy="DIS",VLOOKUP(Investment_Strategy&amp;"_"&amp;Investment_Strategy_Sub1&amp;"_"&amp;$A599,'Investment Strategies'!$AZ:$BP,12,FALSE),
IF(AND(Investment_Strategy="Lifecycle",Investment_Strategy_Sub1="Non-Standard"),VLOOKUP(Investment_Strategy&amp;"_"&amp;Investment_Strategy_Sub2&amp;"_"&amp;$A599,'Investment Strategies'!$C:$P,9,FALSE),
IF(AND(Investment_Strategy="Lifecycle",Investment_Strategy_Sub1="Standard"),VLOOKUP(Investment_Strategy&amp;"_"&amp;Investment_Strategy_Sub2&amp;"_"&amp;$A599,'Investment Strategies'!$AJ:$AV,8,FALSE),
IF(AND(Investment_Strategy="Autopilot",Investment_Strategy_Sub1="Non-Standard"),VLOOKUP(Investment_Strategy&amp;"_"&amp;Investment_Strategy_Sub2&amp;"_"&amp;$A599,'Investment Strategies'!$T:$AF,8,FALSE),
IF(Investment_Strategy ="DIY",DIY_RateOfReturn_CurrentFunds,
"Error")))))),Max_InvReturn)</f>
        <v>0</v>
      </c>
      <c r="F599" s="62">
        <f>IF(AV599=0,0,
IF(Investment_Strategy="DIS",VLOOKUP(Investment_Strategy&amp;"_"&amp;Investment_Strategy_Sub1&amp;"_"&amp;$A599,'Investment Strategies'!$AZ:$BP,15,FALSE),
IF(AND(Investment_Strategy="Lifecycle",Investment_Strategy_Sub1="Non-Standard"),VLOOKUP(Investment_Strategy&amp;"_"&amp;Investment_Strategy_Sub2&amp;"_"&amp;$A599,'Investment Strategies'!$C:$P,12,FALSE),
IF(AND(Investment_Strategy="Lifecycle",Investment_Strategy_Sub1="Standard"),VLOOKUP(Investment_Strategy&amp;"_"&amp;Investment_Strategy_Sub2&amp;"_"&amp;$A599,'Investment Strategies'!$AJ:$AV,11,FALSE),
IF(AND(Investment_Strategy="Autopilot",Investment_Strategy_Sub1="Non-Standard"),VLOOKUP(Investment_Strategy&amp;"_"&amp;Investment_Strategy_Sub2&amp;"_"&amp;$A599,'Investment Strategies'!$T:$AF,11,FALSE),
IF(Investment_Strategy="DIY",DIY_GteeChrge_CurrentFunds,
"Error"))))))</f>
        <v>0</v>
      </c>
      <c r="G599" s="33">
        <f>IF(AV599=0,0,
IF(Investment_Strategy="DIS",VLOOKUP(Investment_Strategy&amp;"_"&amp;Investment_Strategy_Sub1&amp;"_"&amp;$A599,'Investment Strategies'!$AZ:$BP,17,FALSE),
IF(AND(Investment_Strategy="Lifecycle",Investment_Strategy_Sub1="Non-Standard"),VLOOKUP(Investment_Strategy&amp;"_"&amp;Investment_Strategy_Sub2&amp;"_"&amp;$A599,'Investment Strategies'!$C:$P,14,FALSE),
IF(AND(Investment_Strategy="Lifecycle",Investment_Strategy_Sub1="Standard"),VLOOKUP(Investment_Strategy&amp;"_"&amp;Investment_Strategy_Sub2&amp;"_"&amp;$A599,'Investment Strategies'!$AJ:$AV,13,FALSE),
IF(AND(Investment_Strategy="Autopilot",Investment_Strategy_Sub1="Non-Standard"),VLOOKUP(Investment_Strategy&amp;"_"&amp;Investment_Strategy_Sub2&amp;"_"&amp;$A599,'Investment Strategies'!$T:$AF,13,FALSE),
IF(Investment_Strategy="DIY",DIY_ExtManChrge_CurrentFunds,
"Error"))))))</f>
        <v>0</v>
      </c>
      <c r="H599" s="16">
        <f t="shared" si="325"/>
        <v>0</v>
      </c>
      <c r="I599" s="16">
        <f t="shared" si="311"/>
        <v>0</v>
      </c>
      <c r="J599" s="16">
        <f t="shared" si="312"/>
        <v>0</v>
      </c>
      <c r="K599" s="16">
        <f>(Opening_Fund_Value+SUM(K$91:K598))*E599*IF(D599=$A$91,SRP_finalmonthfactor,1)</f>
        <v>0</v>
      </c>
      <c r="L599" s="74">
        <f>MIN(IF($AV599=0,0,
IF(Investment_Strategy="DIS",VLOOKUP(Investment_Strategy&amp;"_"&amp;Investment_Strategy_Sub1&amp;"_"&amp;$A599,'Investment Strategies'!$AZ:$BP,12,FALSE),
IF(AND(Investment_Strategy="Lifecycle",Investment_Strategy_Sub1="Non-Standard"),VLOOKUP(Investment_Strategy&amp;"_"&amp;Investment_Strategy_Sub2&amp;"_"&amp;$A599,'Investment Strategies'!$C:$P,9,FALSE),
IF(AND(Investment_Strategy="Lifecycle",Investment_Strategy_Sub1="Standard"),VLOOKUP(Investment_Strategy&amp;"_"&amp;Investment_Strategy_Sub2&amp;"_"&amp;$A599,'Investment Strategies'!$AJ:$AV,8,FALSE),
IF(AND(Investment_Strategy="Autopilot",Investment_Strategy_Sub1="Non-Standard"),VLOOKUP(Investment_Strategy&amp;"_"&amp;Investment_Strategy_Sub2&amp;"_"&amp;$A599,'Investment Strategies'!$T:$AF,8,FALSE),
IF(Investment_Strategy ="DIY",DIY_RateofReturn_SP,
"Error")))))),Max_InvReturn)</f>
        <v>0</v>
      </c>
      <c r="M599" s="62">
        <f>IF($AV599=0,0,
IF(Investment_Strategy="DIS",VLOOKUP(Investment_Strategy&amp;"_"&amp;Investment_Strategy_Sub1&amp;"_"&amp;$A599,'Investment Strategies'!$AZ:$BP,15,FALSE),
IF(AND(Investment_Strategy="Lifecycle",Investment_Strategy_Sub1="Non-Standard"),VLOOKUP(Investment_Strategy&amp;"_"&amp;Investment_Strategy_Sub2&amp;"_"&amp;$A599,'Investment Strategies'!$C:$P,12,FALSE),
IF(AND(Investment_Strategy="Lifecycle",Investment_Strategy_Sub1="Standard"),VLOOKUP(Investment_Strategy&amp;"_"&amp;Investment_Strategy_Sub2&amp;"_"&amp;$A599,'Investment Strategies'!$AJ:$AV,11,FALSE),
IF(AND(Investment_Strategy="Autopilot",Investment_Strategy_Sub1="Non-Standard"),VLOOKUP(Investment_Strategy&amp;"_"&amp;Investment_Strategy_Sub2&amp;"_"&amp;$A599,'Investment Strategies'!$T:$AF,11,FALSE),
IF(Investment_Strategy="DIY",DIY_GteeChrge_SP,
"Error"))))))</f>
        <v>0</v>
      </c>
      <c r="N599" s="33">
        <f>IF($AV599=0,0,
IF(Investment_Strategy="DIS",VLOOKUP(Investment_Strategy&amp;"_"&amp;Investment_Strategy_Sub1&amp;"_"&amp;$A599,'Investment Strategies'!$AZ:$BP,17,FALSE),
IF(AND(Investment_Strategy="Lifecycle",Investment_Strategy_Sub1="Non-Standard"),VLOOKUP(Investment_Strategy&amp;"_"&amp;Investment_Strategy_Sub2&amp;"_"&amp;$A599,'Investment Strategies'!$C:$P,14,FALSE),
IF(AND(Investment_Strategy="Lifecycle",Investment_Strategy_Sub1="Standard"),VLOOKUP(Investment_Strategy&amp;"_"&amp;Investment_Strategy_Sub2&amp;"_"&amp;$A599,'Investment Strategies'!$AJ:$AV,13,FALSE),
IF(AND(Investment_Strategy="Autopilot",Investment_Strategy_Sub1="Non-Standard"),VLOOKUP(Investment_Strategy&amp;"_"&amp;Investment_Strategy_Sub2&amp;"_"&amp;$A599,'Investment Strategies'!$T:$AF,13,FALSE),
IF(Investment_Strategy="DIY",DIY_ExtManChrge_SP,
"Error"))))))</f>
        <v>0</v>
      </c>
      <c r="O599" s="16">
        <f t="shared" si="336"/>
        <v>0</v>
      </c>
      <c r="Q599" s="16">
        <f t="shared" si="313"/>
        <v>0</v>
      </c>
      <c r="R599" s="16">
        <f t="shared" si="345"/>
        <v>0</v>
      </c>
      <c r="S599" s="16">
        <f>(SRP_SP+SUM(S$91:S598))*L599*IF(D599=$A$91,SRP_finalmonthfactor,1)</f>
        <v>0</v>
      </c>
      <c r="T599" s="74">
        <f>MIN(IF($AV599=0,0,
IF(Investment_Strategy="DIS",VLOOKUP(Investment_Strategy&amp;"_"&amp;Investment_Strategy_Sub1&amp;"_"&amp;$A599,'Investment Strategies'!$AZ:$BP,12,FALSE),
IF(AND(Investment_Strategy="Lifecycle",Investment_Strategy_Sub1="Non-Standard"),VLOOKUP(Investment_Strategy&amp;"_"&amp;Investment_Strategy_Sub2&amp;"_"&amp;$A599,'Investment Strategies'!$C:$P,9,FALSE),
IF(AND(Investment_Strategy="Lifecycle",Investment_Strategy_Sub1="Standard"),VLOOKUP(Investment_Strategy&amp;"_"&amp;Investment_Strategy_Sub2&amp;"_"&amp;$A599,'Investment Strategies'!$AJ:$AV,8,FALSE),
IF(AND(Investment_Strategy="Autopilot",Investment_Strategy_Sub1="Non-Standard"),VLOOKUP(Investment_Strategy&amp;"_"&amp;Investment_Strategy_Sub2&amp;"_"&amp;$A599,'Investment Strategies'!$T:$AF,8,FALSE),
IF(Investment_Strategy ="DIY",DIY_RateOfReturn_FuturePremiums,
"Error")))))),Max_InvReturn)</f>
        <v>0</v>
      </c>
      <c r="U599" s="62">
        <f>IF($AV599=0,0,
IF(Investment_Strategy="DIS",VLOOKUP(Investment_Strategy&amp;"_"&amp;Investment_Strategy_Sub1&amp;"_"&amp;$A599,'Investment Strategies'!$AZ:$BP,15,FALSE),
IF(AND(Investment_Strategy="Lifecycle",Investment_Strategy_Sub1="Non-Standard"),VLOOKUP(Investment_Strategy&amp;"_"&amp;Investment_Strategy_Sub2&amp;"_"&amp;$A599,'Investment Strategies'!$C:$P,12,FALSE),
IF(AND(Investment_Strategy="Lifecycle",Investment_Strategy_Sub1="Standard"),VLOOKUP(Investment_Strategy&amp;"_"&amp;Investment_Strategy_Sub2&amp;"_"&amp;$A599,'Investment Strategies'!$AJ:$AV,11,FALSE),
IF(AND(Investment_Strategy="Autopilot",Investment_Strategy_Sub1="Non-Standard"),VLOOKUP(Investment_Strategy&amp;"_"&amp;Investment_Strategy_Sub2&amp;"_"&amp;$A599,'Investment Strategies'!$T:$AF,11,FALSE),
IF(Investment_Strategy="DIY",DIY_GteeChrge_FuturePremiums,
"Error"))))))</f>
        <v>0</v>
      </c>
      <c r="V599" s="33">
        <f>IF(AV599=0,0,
IF(Investment_Strategy="DIS",VLOOKUP(Investment_Strategy&amp;"_"&amp;Investment_Strategy_Sub1&amp;"_"&amp;$A599,'Investment Strategies'!$AZ:$BP,17,FALSE),
IF(AND(Investment_Strategy="Lifecycle",Investment_Strategy_Sub1="Non-Standard"),VLOOKUP(Investment_Strategy&amp;"_"&amp;Investment_Strategy_Sub2&amp;"_"&amp;$A599,'Investment Strategies'!$C:$P,14,FALSE),
IF(AND(Investment_Strategy="Lifecycle",Investment_Strategy_Sub1="Standard"),VLOOKUP(Investment_Strategy&amp;"_"&amp;Investment_Strategy_Sub2&amp;"_"&amp;$A599,'Investment Strategies'!$AJ:$AV,13,FALSE),
IF(AND(Investment_Strategy="Autopilot",Investment_Strategy_Sub1="Non-Standard"),VLOOKUP(Investment_Strategy&amp;"_"&amp;Investment_Strategy_Sub2&amp;"_"&amp;$A599,'Investment Strategies'!$T:$AF,13,FALSE),
IF(Investment_Strategy="DIY",DIY_ExtManChrge_FuturePremiums,
"Error"))))))</f>
        <v>0</v>
      </c>
      <c r="W599" s="16">
        <f t="shared" si="337"/>
        <v>0</v>
      </c>
      <c r="X599" s="16">
        <f t="shared" si="314"/>
        <v>0</v>
      </c>
      <c r="Y599" s="16">
        <f t="shared" si="315"/>
        <v>0</v>
      </c>
      <c r="Z599" s="31">
        <f t="shared" si="316"/>
        <v>0.02</v>
      </c>
      <c r="AA599" s="16">
        <f t="shared" si="317"/>
        <v>0</v>
      </c>
      <c r="AB599" s="28">
        <f t="shared" si="339"/>
        <v>0</v>
      </c>
      <c r="AC599" s="28">
        <f>(SUM($AC$91:AC598)+SUM($X$91:X598)+X599)*T599*IF(D599=$A$91,SRP_finalmonthfactor,1)</f>
        <v>0</v>
      </c>
      <c r="AD599" s="16">
        <f t="shared" si="318"/>
        <v>0</v>
      </c>
      <c r="AE599" s="106"/>
      <c r="AF599" s="16">
        <f t="shared" si="326"/>
        <v>0</v>
      </c>
      <c r="AG599" s="16">
        <f t="shared" si="327"/>
        <v>0</v>
      </c>
      <c r="AH599" s="16">
        <f t="shared" si="328"/>
        <v>0</v>
      </c>
      <c r="AJ599" s="13">
        <f t="shared" si="344"/>
        <v>0</v>
      </c>
      <c r="AK599" s="13">
        <f t="shared" si="344"/>
        <v>0</v>
      </c>
      <c r="AL599" s="13">
        <f t="shared" si="344"/>
        <v>0</v>
      </c>
      <c r="AM599" s="13">
        <f t="shared" si="344"/>
        <v>0</v>
      </c>
      <c r="AN599" s="13">
        <f t="shared" si="344"/>
        <v>0</v>
      </c>
      <c r="AO599" s="13">
        <f t="shared" si="344"/>
        <v>1</v>
      </c>
      <c r="AP599" s="13">
        <f t="shared" si="344"/>
        <v>1</v>
      </c>
      <c r="AQ599" s="13">
        <f t="shared" si="344"/>
        <v>1</v>
      </c>
      <c r="AR599" s="13">
        <f t="shared" si="344"/>
        <v>0</v>
      </c>
      <c r="AS599" s="13">
        <f t="shared" si="344"/>
        <v>0</v>
      </c>
      <c r="AT599" s="13">
        <f t="shared" si="344"/>
        <v>0</v>
      </c>
      <c r="AU599" s="13">
        <f t="shared" si="344"/>
        <v>0</v>
      </c>
      <c r="AV599" s="13">
        <f t="shared" si="319"/>
        <v>0</v>
      </c>
      <c r="AW599" s="13">
        <f t="shared" si="320"/>
        <v>1</v>
      </c>
      <c r="AY599" s="17">
        <f t="shared" si="321"/>
        <v>509</v>
      </c>
      <c r="AZ599" s="28">
        <f t="shared" si="329"/>
        <v>0</v>
      </c>
      <c r="BA599" s="13">
        <f t="shared" si="322"/>
        <v>0</v>
      </c>
      <c r="BB599" s="13">
        <f t="shared" si="323"/>
        <v>0</v>
      </c>
      <c r="BC599" s="28">
        <f t="shared" si="330"/>
        <v>0</v>
      </c>
      <c r="BD599" s="28">
        <f t="shared" si="331"/>
        <v>0</v>
      </c>
      <c r="BF599" s="248">
        <f t="shared" si="332"/>
        <v>993869.29442638322</v>
      </c>
    </row>
    <row r="600" spans="1:58">
      <c r="A600" s="32">
        <f t="shared" si="333"/>
        <v>-425</v>
      </c>
      <c r="B600" s="32">
        <f t="shared" si="324"/>
        <v>95</v>
      </c>
      <c r="C600" s="32">
        <f t="shared" si="334"/>
        <v>43</v>
      </c>
      <c r="D600" s="32">
        <f t="shared" si="335"/>
        <v>510</v>
      </c>
      <c r="E600" s="74">
        <f>MIN(IF(AV600=0,0,
IF(Investment_Strategy="DIS",VLOOKUP(Investment_Strategy&amp;"_"&amp;Investment_Strategy_Sub1&amp;"_"&amp;$A600,'Investment Strategies'!$AZ:$BP,12,FALSE),
IF(AND(Investment_Strategy="Lifecycle",Investment_Strategy_Sub1="Non-Standard"),VLOOKUP(Investment_Strategy&amp;"_"&amp;Investment_Strategy_Sub2&amp;"_"&amp;$A600,'Investment Strategies'!$C:$P,9,FALSE),
IF(AND(Investment_Strategy="Lifecycle",Investment_Strategy_Sub1="Standard"),VLOOKUP(Investment_Strategy&amp;"_"&amp;Investment_Strategy_Sub2&amp;"_"&amp;$A600,'Investment Strategies'!$AJ:$AV,8,FALSE),
IF(AND(Investment_Strategy="Autopilot",Investment_Strategy_Sub1="Non-Standard"),VLOOKUP(Investment_Strategy&amp;"_"&amp;Investment_Strategy_Sub2&amp;"_"&amp;$A600,'Investment Strategies'!$T:$AF,8,FALSE),
IF(Investment_Strategy ="DIY",DIY_RateOfReturn_CurrentFunds,
"Error")))))),Max_InvReturn)</f>
        <v>0</v>
      </c>
      <c r="F600" s="62">
        <f>IF(AV600=0,0,
IF(Investment_Strategy="DIS",VLOOKUP(Investment_Strategy&amp;"_"&amp;Investment_Strategy_Sub1&amp;"_"&amp;$A600,'Investment Strategies'!$AZ:$BP,15,FALSE),
IF(AND(Investment_Strategy="Lifecycle",Investment_Strategy_Sub1="Non-Standard"),VLOOKUP(Investment_Strategy&amp;"_"&amp;Investment_Strategy_Sub2&amp;"_"&amp;$A600,'Investment Strategies'!$C:$P,12,FALSE),
IF(AND(Investment_Strategy="Lifecycle",Investment_Strategy_Sub1="Standard"),VLOOKUP(Investment_Strategy&amp;"_"&amp;Investment_Strategy_Sub2&amp;"_"&amp;$A600,'Investment Strategies'!$AJ:$AV,11,FALSE),
IF(AND(Investment_Strategy="Autopilot",Investment_Strategy_Sub1="Non-Standard"),VLOOKUP(Investment_Strategy&amp;"_"&amp;Investment_Strategy_Sub2&amp;"_"&amp;$A600,'Investment Strategies'!$T:$AF,11,FALSE),
IF(Investment_Strategy="DIY",DIY_GteeChrge_CurrentFunds,
"Error"))))))</f>
        <v>0</v>
      </c>
      <c r="G600" s="33">
        <f>IF(AV600=0,0,
IF(Investment_Strategy="DIS",VLOOKUP(Investment_Strategy&amp;"_"&amp;Investment_Strategy_Sub1&amp;"_"&amp;$A600,'Investment Strategies'!$AZ:$BP,17,FALSE),
IF(AND(Investment_Strategy="Lifecycle",Investment_Strategy_Sub1="Non-Standard"),VLOOKUP(Investment_Strategy&amp;"_"&amp;Investment_Strategy_Sub2&amp;"_"&amp;$A600,'Investment Strategies'!$C:$P,14,FALSE),
IF(AND(Investment_Strategy="Lifecycle",Investment_Strategy_Sub1="Standard"),VLOOKUP(Investment_Strategy&amp;"_"&amp;Investment_Strategy_Sub2&amp;"_"&amp;$A600,'Investment Strategies'!$AJ:$AV,13,FALSE),
IF(AND(Investment_Strategy="Autopilot",Investment_Strategy_Sub1="Non-Standard"),VLOOKUP(Investment_Strategy&amp;"_"&amp;Investment_Strategy_Sub2&amp;"_"&amp;$A600,'Investment Strategies'!$T:$AF,13,FALSE),
IF(Investment_Strategy="DIY",DIY_ExtManChrge_CurrentFunds,
"Error"))))))</f>
        <v>0</v>
      </c>
      <c r="H600" s="16">
        <f t="shared" si="325"/>
        <v>0</v>
      </c>
      <c r="I600" s="16">
        <f t="shared" si="311"/>
        <v>0</v>
      </c>
      <c r="J600" s="16">
        <f t="shared" si="312"/>
        <v>0</v>
      </c>
      <c r="K600" s="16">
        <f>(Opening_Fund_Value+SUM(K$91:K599))*E600*IF(D600=$A$91,SRP_finalmonthfactor,1)</f>
        <v>0</v>
      </c>
      <c r="L600" s="74">
        <f>MIN(IF($AV600=0,0,
IF(Investment_Strategy="DIS",VLOOKUP(Investment_Strategy&amp;"_"&amp;Investment_Strategy_Sub1&amp;"_"&amp;$A600,'Investment Strategies'!$AZ:$BP,12,FALSE),
IF(AND(Investment_Strategy="Lifecycle",Investment_Strategy_Sub1="Non-Standard"),VLOOKUP(Investment_Strategy&amp;"_"&amp;Investment_Strategy_Sub2&amp;"_"&amp;$A600,'Investment Strategies'!$C:$P,9,FALSE),
IF(AND(Investment_Strategy="Lifecycle",Investment_Strategy_Sub1="Standard"),VLOOKUP(Investment_Strategy&amp;"_"&amp;Investment_Strategy_Sub2&amp;"_"&amp;$A600,'Investment Strategies'!$AJ:$AV,8,FALSE),
IF(AND(Investment_Strategy="Autopilot",Investment_Strategy_Sub1="Non-Standard"),VLOOKUP(Investment_Strategy&amp;"_"&amp;Investment_Strategy_Sub2&amp;"_"&amp;$A600,'Investment Strategies'!$T:$AF,8,FALSE),
IF(Investment_Strategy ="DIY",DIY_RateofReturn_SP,
"Error")))))),Max_InvReturn)</f>
        <v>0</v>
      </c>
      <c r="M600" s="62">
        <f>IF($AV600=0,0,
IF(Investment_Strategy="DIS",VLOOKUP(Investment_Strategy&amp;"_"&amp;Investment_Strategy_Sub1&amp;"_"&amp;$A600,'Investment Strategies'!$AZ:$BP,15,FALSE),
IF(AND(Investment_Strategy="Lifecycle",Investment_Strategy_Sub1="Non-Standard"),VLOOKUP(Investment_Strategy&amp;"_"&amp;Investment_Strategy_Sub2&amp;"_"&amp;$A600,'Investment Strategies'!$C:$P,12,FALSE),
IF(AND(Investment_Strategy="Lifecycle",Investment_Strategy_Sub1="Standard"),VLOOKUP(Investment_Strategy&amp;"_"&amp;Investment_Strategy_Sub2&amp;"_"&amp;$A600,'Investment Strategies'!$AJ:$AV,11,FALSE),
IF(AND(Investment_Strategy="Autopilot",Investment_Strategy_Sub1="Non-Standard"),VLOOKUP(Investment_Strategy&amp;"_"&amp;Investment_Strategy_Sub2&amp;"_"&amp;$A600,'Investment Strategies'!$T:$AF,11,FALSE),
IF(Investment_Strategy="DIY",DIY_GteeChrge_SP,
"Error"))))))</f>
        <v>0</v>
      </c>
      <c r="N600" s="33">
        <f>IF($AV600=0,0,
IF(Investment_Strategy="DIS",VLOOKUP(Investment_Strategy&amp;"_"&amp;Investment_Strategy_Sub1&amp;"_"&amp;$A600,'Investment Strategies'!$AZ:$BP,17,FALSE),
IF(AND(Investment_Strategy="Lifecycle",Investment_Strategy_Sub1="Non-Standard"),VLOOKUP(Investment_Strategy&amp;"_"&amp;Investment_Strategy_Sub2&amp;"_"&amp;$A600,'Investment Strategies'!$C:$P,14,FALSE),
IF(AND(Investment_Strategy="Lifecycle",Investment_Strategy_Sub1="Standard"),VLOOKUP(Investment_Strategy&amp;"_"&amp;Investment_Strategy_Sub2&amp;"_"&amp;$A600,'Investment Strategies'!$AJ:$AV,13,FALSE),
IF(AND(Investment_Strategy="Autopilot",Investment_Strategy_Sub1="Non-Standard"),VLOOKUP(Investment_Strategy&amp;"_"&amp;Investment_Strategy_Sub2&amp;"_"&amp;$A600,'Investment Strategies'!$T:$AF,13,FALSE),
IF(Investment_Strategy="DIY",DIY_ExtManChrge_SP,
"Error"))))))</f>
        <v>0</v>
      </c>
      <c r="O600" s="16">
        <f t="shared" si="336"/>
        <v>0</v>
      </c>
      <c r="Q600" s="16">
        <f t="shared" si="313"/>
        <v>0</v>
      </c>
      <c r="R600" s="16">
        <f t="shared" si="345"/>
        <v>0</v>
      </c>
      <c r="S600" s="16">
        <f>(SRP_SP+SUM(S$91:S599))*L600*IF(D600=$A$91,SRP_finalmonthfactor,1)</f>
        <v>0</v>
      </c>
      <c r="T600" s="74">
        <f>MIN(IF($AV600=0,0,
IF(Investment_Strategy="DIS",VLOOKUP(Investment_Strategy&amp;"_"&amp;Investment_Strategy_Sub1&amp;"_"&amp;$A600,'Investment Strategies'!$AZ:$BP,12,FALSE),
IF(AND(Investment_Strategy="Lifecycle",Investment_Strategy_Sub1="Non-Standard"),VLOOKUP(Investment_Strategy&amp;"_"&amp;Investment_Strategy_Sub2&amp;"_"&amp;$A600,'Investment Strategies'!$C:$P,9,FALSE),
IF(AND(Investment_Strategy="Lifecycle",Investment_Strategy_Sub1="Standard"),VLOOKUP(Investment_Strategy&amp;"_"&amp;Investment_Strategy_Sub2&amp;"_"&amp;$A600,'Investment Strategies'!$AJ:$AV,8,FALSE),
IF(AND(Investment_Strategy="Autopilot",Investment_Strategy_Sub1="Non-Standard"),VLOOKUP(Investment_Strategy&amp;"_"&amp;Investment_Strategy_Sub2&amp;"_"&amp;$A600,'Investment Strategies'!$T:$AF,8,FALSE),
IF(Investment_Strategy ="DIY",DIY_RateOfReturn_FuturePremiums,
"Error")))))),Max_InvReturn)</f>
        <v>0</v>
      </c>
      <c r="U600" s="62">
        <f>IF($AV600=0,0,
IF(Investment_Strategy="DIS",VLOOKUP(Investment_Strategy&amp;"_"&amp;Investment_Strategy_Sub1&amp;"_"&amp;$A600,'Investment Strategies'!$AZ:$BP,15,FALSE),
IF(AND(Investment_Strategy="Lifecycle",Investment_Strategy_Sub1="Non-Standard"),VLOOKUP(Investment_Strategy&amp;"_"&amp;Investment_Strategy_Sub2&amp;"_"&amp;$A600,'Investment Strategies'!$C:$P,12,FALSE),
IF(AND(Investment_Strategy="Lifecycle",Investment_Strategy_Sub1="Standard"),VLOOKUP(Investment_Strategy&amp;"_"&amp;Investment_Strategy_Sub2&amp;"_"&amp;$A600,'Investment Strategies'!$AJ:$AV,11,FALSE),
IF(AND(Investment_Strategy="Autopilot",Investment_Strategy_Sub1="Non-Standard"),VLOOKUP(Investment_Strategy&amp;"_"&amp;Investment_Strategy_Sub2&amp;"_"&amp;$A600,'Investment Strategies'!$T:$AF,11,FALSE),
IF(Investment_Strategy="DIY",DIY_GteeChrge_FuturePremiums,
"Error"))))))</f>
        <v>0</v>
      </c>
      <c r="V600" s="33">
        <f>IF(AV600=0,0,
IF(Investment_Strategy="DIS",VLOOKUP(Investment_Strategy&amp;"_"&amp;Investment_Strategy_Sub1&amp;"_"&amp;$A600,'Investment Strategies'!$AZ:$BP,17,FALSE),
IF(AND(Investment_Strategy="Lifecycle",Investment_Strategy_Sub1="Non-Standard"),VLOOKUP(Investment_Strategy&amp;"_"&amp;Investment_Strategy_Sub2&amp;"_"&amp;$A600,'Investment Strategies'!$C:$P,14,FALSE),
IF(AND(Investment_Strategy="Lifecycle",Investment_Strategy_Sub1="Standard"),VLOOKUP(Investment_Strategy&amp;"_"&amp;Investment_Strategy_Sub2&amp;"_"&amp;$A600,'Investment Strategies'!$AJ:$AV,13,FALSE),
IF(AND(Investment_Strategy="Autopilot",Investment_Strategy_Sub1="Non-Standard"),VLOOKUP(Investment_Strategy&amp;"_"&amp;Investment_Strategy_Sub2&amp;"_"&amp;$A600,'Investment Strategies'!$T:$AF,13,FALSE),
IF(Investment_Strategy="DIY",DIY_ExtManChrge_FuturePremiums,
"Error"))))))</f>
        <v>0</v>
      </c>
      <c r="W600" s="16">
        <f t="shared" si="337"/>
        <v>0</v>
      </c>
      <c r="X600" s="16">
        <f t="shared" si="314"/>
        <v>0</v>
      </c>
      <c r="Y600" s="16">
        <f t="shared" si="315"/>
        <v>0</v>
      </c>
      <c r="Z600" s="31">
        <f t="shared" si="316"/>
        <v>0.02</v>
      </c>
      <c r="AA600" s="16">
        <f t="shared" si="317"/>
        <v>0</v>
      </c>
      <c r="AB600" s="28">
        <f t="shared" si="339"/>
        <v>0</v>
      </c>
      <c r="AC600" s="28">
        <f>(SUM($AC$91:AC599)+SUM($X$91:X599)+X600)*T600*IF(D600=$A$91,SRP_finalmonthfactor,1)</f>
        <v>0</v>
      </c>
      <c r="AD600" s="16">
        <f t="shared" si="318"/>
        <v>0</v>
      </c>
      <c r="AE600" s="106"/>
      <c r="AF600" s="16">
        <f t="shared" si="326"/>
        <v>0</v>
      </c>
      <c r="AG600" s="16">
        <f t="shared" si="327"/>
        <v>0</v>
      </c>
      <c r="AH600" s="16">
        <f t="shared" si="328"/>
        <v>0</v>
      </c>
      <c r="AJ600" s="13">
        <f t="shared" si="344"/>
        <v>0</v>
      </c>
      <c r="AK600" s="13">
        <f t="shared" si="344"/>
        <v>0</v>
      </c>
      <c r="AL600" s="13">
        <f t="shared" si="344"/>
        <v>0</v>
      </c>
      <c r="AM600" s="13">
        <f t="shared" si="344"/>
        <v>0</v>
      </c>
      <c r="AN600" s="13">
        <f t="shared" si="344"/>
        <v>0</v>
      </c>
      <c r="AO600" s="13">
        <f t="shared" si="344"/>
        <v>1</v>
      </c>
      <c r="AP600" s="13">
        <f t="shared" si="344"/>
        <v>1</v>
      </c>
      <c r="AQ600" s="13">
        <f t="shared" si="344"/>
        <v>1</v>
      </c>
      <c r="AR600" s="13">
        <f t="shared" si="344"/>
        <v>0</v>
      </c>
      <c r="AS600" s="13">
        <f t="shared" si="344"/>
        <v>0</v>
      </c>
      <c r="AT600" s="13">
        <f t="shared" si="344"/>
        <v>0</v>
      </c>
      <c r="AU600" s="13">
        <f t="shared" si="344"/>
        <v>0</v>
      </c>
      <c r="AV600" s="13">
        <f t="shared" si="319"/>
        <v>0</v>
      </c>
      <c r="AW600" s="13">
        <f t="shared" si="320"/>
        <v>1</v>
      </c>
      <c r="AY600" s="17">
        <f t="shared" si="321"/>
        <v>510</v>
      </c>
      <c r="AZ600" s="28">
        <f t="shared" si="329"/>
        <v>0</v>
      </c>
      <c r="BA600" s="13">
        <f t="shared" si="322"/>
        <v>0</v>
      </c>
      <c r="BB600" s="13">
        <f t="shared" si="323"/>
        <v>0</v>
      </c>
      <c r="BC600" s="28">
        <f t="shared" si="330"/>
        <v>0</v>
      </c>
      <c r="BD600" s="28">
        <f t="shared" si="331"/>
        <v>0</v>
      </c>
      <c r="BF600" s="248">
        <f t="shared" si="332"/>
        <v>993869.29442638322</v>
      </c>
    </row>
    <row r="601" spans="1:58">
      <c r="A601" s="32">
        <f t="shared" si="333"/>
        <v>-426</v>
      </c>
      <c r="B601" s="32">
        <f t="shared" si="324"/>
        <v>95</v>
      </c>
      <c r="C601" s="32">
        <f t="shared" si="334"/>
        <v>43</v>
      </c>
      <c r="D601" s="32">
        <f t="shared" si="335"/>
        <v>511</v>
      </c>
      <c r="E601" s="74">
        <f>MIN(IF(AV601=0,0,
IF(Investment_Strategy="DIS",VLOOKUP(Investment_Strategy&amp;"_"&amp;Investment_Strategy_Sub1&amp;"_"&amp;$A601,'Investment Strategies'!$AZ:$BP,12,FALSE),
IF(AND(Investment_Strategy="Lifecycle",Investment_Strategy_Sub1="Non-Standard"),VLOOKUP(Investment_Strategy&amp;"_"&amp;Investment_Strategy_Sub2&amp;"_"&amp;$A601,'Investment Strategies'!$C:$P,9,FALSE),
IF(AND(Investment_Strategy="Lifecycle",Investment_Strategy_Sub1="Standard"),VLOOKUP(Investment_Strategy&amp;"_"&amp;Investment_Strategy_Sub2&amp;"_"&amp;$A601,'Investment Strategies'!$AJ:$AV,8,FALSE),
IF(AND(Investment_Strategy="Autopilot",Investment_Strategy_Sub1="Non-Standard"),VLOOKUP(Investment_Strategy&amp;"_"&amp;Investment_Strategy_Sub2&amp;"_"&amp;$A601,'Investment Strategies'!$T:$AF,8,FALSE),
IF(Investment_Strategy ="DIY",DIY_RateOfReturn_CurrentFunds,
"Error")))))),Max_InvReturn)</f>
        <v>0</v>
      </c>
      <c r="F601" s="62">
        <f>IF(AV601=0,0,
IF(Investment_Strategy="DIS",VLOOKUP(Investment_Strategy&amp;"_"&amp;Investment_Strategy_Sub1&amp;"_"&amp;$A601,'Investment Strategies'!$AZ:$BP,15,FALSE),
IF(AND(Investment_Strategy="Lifecycle",Investment_Strategy_Sub1="Non-Standard"),VLOOKUP(Investment_Strategy&amp;"_"&amp;Investment_Strategy_Sub2&amp;"_"&amp;$A601,'Investment Strategies'!$C:$P,12,FALSE),
IF(AND(Investment_Strategy="Lifecycle",Investment_Strategy_Sub1="Standard"),VLOOKUP(Investment_Strategy&amp;"_"&amp;Investment_Strategy_Sub2&amp;"_"&amp;$A601,'Investment Strategies'!$AJ:$AV,11,FALSE),
IF(AND(Investment_Strategy="Autopilot",Investment_Strategy_Sub1="Non-Standard"),VLOOKUP(Investment_Strategy&amp;"_"&amp;Investment_Strategy_Sub2&amp;"_"&amp;$A601,'Investment Strategies'!$T:$AF,11,FALSE),
IF(Investment_Strategy="DIY",DIY_GteeChrge_CurrentFunds,
"Error"))))))</f>
        <v>0</v>
      </c>
      <c r="G601" s="33">
        <f>IF(AV601=0,0,
IF(Investment_Strategy="DIS",VLOOKUP(Investment_Strategy&amp;"_"&amp;Investment_Strategy_Sub1&amp;"_"&amp;$A601,'Investment Strategies'!$AZ:$BP,17,FALSE),
IF(AND(Investment_Strategy="Lifecycle",Investment_Strategy_Sub1="Non-Standard"),VLOOKUP(Investment_Strategy&amp;"_"&amp;Investment_Strategy_Sub2&amp;"_"&amp;$A601,'Investment Strategies'!$C:$P,14,FALSE),
IF(AND(Investment_Strategy="Lifecycle",Investment_Strategy_Sub1="Standard"),VLOOKUP(Investment_Strategy&amp;"_"&amp;Investment_Strategy_Sub2&amp;"_"&amp;$A601,'Investment Strategies'!$AJ:$AV,13,FALSE),
IF(AND(Investment_Strategy="Autopilot",Investment_Strategy_Sub1="Non-Standard"),VLOOKUP(Investment_Strategy&amp;"_"&amp;Investment_Strategy_Sub2&amp;"_"&amp;$A601,'Investment Strategies'!$T:$AF,13,FALSE),
IF(Investment_Strategy="DIY",DIY_ExtManChrge_CurrentFunds,
"Error"))))))</f>
        <v>0</v>
      </c>
      <c r="H601" s="16">
        <f t="shared" si="325"/>
        <v>0</v>
      </c>
      <c r="I601" s="16">
        <f t="shared" si="311"/>
        <v>0</v>
      </c>
      <c r="J601" s="16">
        <f t="shared" si="312"/>
        <v>0</v>
      </c>
      <c r="K601" s="16">
        <f>(Opening_Fund_Value+SUM(K$91:K600))*E601*IF(D601=$A$91,SRP_finalmonthfactor,1)</f>
        <v>0</v>
      </c>
      <c r="L601" s="74">
        <f>MIN(IF($AV601=0,0,
IF(Investment_Strategy="DIS",VLOOKUP(Investment_Strategy&amp;"_"&amp;Investment_Strategy_Sub1&amp;"_"&amp;$A601,'Investment Strategies'!$AZ:$BP,12,FALSE),
IF(AND(Investment_Strategy="Lifecycle",Investment_Strategy_Sub1="Non-Standard"),VLOOKUP(Investment_Strategy&amp;"_"&amp;Investment_Strategy_Sub2&amp;"_"&amp;$A601,'Investment Strategies'!$C:$P,9,FALSE),
IF(AND(Investment_Strategy="Lifecycle",Investment_Strategy_Sub1="Standard"),VLOOKUP(Investment_Strategy&amp;"_"&amp;Investment_Strategy_Sub2&amp;"_"&amp;$A601,'Investment Strategies'!$AJ:$AV,8,FALSE),
IF(AND(Investment_Strategy="Autopilot",Investment_Strategy_Sub1="Non-Standard"),VLOOKUP(Investment_Strategy&amp;"_"&amp;Investment_Strategy_Sub2&amp;"_"&amp;$A601,'Investment Strategies'!$T:$AF,8,FALSE),
IF(Investment_Strategy ="DIY",DIY_RateofReturn_SP,
"Error")))))),Max_InvReturn)</f>
        <v>0</v>
      </c>
      <c r="M601" s="62">
        <f>IF($AV601=0,0,
IF(Investment_Strategy="DIS",VLOOKUP(Investment_Strategy&amp;"_"&amp;Investment_Strategy_Sub1&amp;"_"&amp;$A601,'Investment Strategies'!$AZ:$BP,15,FALSE),
IF(AND(Investment_Strategy="Lifecycle",Investment_Strategy_Sub1="Non-Standard"),VLOOKUP(Investment_Strategy&amp;"_"&amp;Investment_Strategy_Sub2&amp;"_"&amp;$A601,'Investment Strategies'!$C:$P,12,FALSE),
IF(AND(Investment_Strategy="Lifecycle",Investment_Strategy_Sub1="Standard"),VLOOKUP(Investment_Strategy&amp;"_"&amp;Investment_Strategy_Sub2&amp;"_"&amp;$A601,'Investment Strategies'!$AJ:$AV,11,FALSE),
IF(AND(Investment_Strategy="Autopilot",Investment_Strategy_Sub1="Non-Standard"),VLOOKUP(Investment_Strategy&amp;"_"&amp;Investment_Strategy_Sub2&amp;"_"&amp;$A601,'Investment Strategies'!$T:$AF,11,FALSE),
IF(Investment_Strategy="DIY",DIY_GteeChrge_SP,
"Error"))))))</f>
        <v>0</v>
      </c>
      <c r="N601" s="33">
        <f>IF($AV601=0,0,
IF(Investment_Strategy="DIS",VLOOKUP(Investment_Strategy&amp;"_"&amp;Investment_Strategy_Sub1&amp;"_"&amp;$A601,'Investment Strategies'!$AZ:$BP,17,FALSE),
IF(AND(Investment_Strategy="Lifecycle",Investment_Strategy_Sub1="Non-Standard"),VLOOKUP(Investment_Strategy&amp;"_"&amp;Investment_Strategy_Sub2&amp;"_"&amp;$A601,'Investment Strategies'!$C:$P,14,FALSE),
IF(AND(Investment_Strategy="Lifecycle",Investment_Strategy_Sub1="Standard"),VLOOKUP(Investment_Strategy&amp;"_"&amp;Investment_Strategy_Sub2&amp;"_"&amp;$A601,'Investment Strategies'!$AJ:$AV,13,FALSE),
IF(AND(Investment_Strategy="Autopilot",Investment_Strategy_Sub1="Non-Standard"),VLOOKUP(Investment_Strategy&amp;"_"&amp;Investment_Strategy_Sub2&amp;"_"&amp;$A601,'Investment Strategies'!$T:$AF,13,FALSE),
IF(Investment_Strategy="DIY",DIY_ExtManChrge_SP,
"Error"))))))</f>
        <v>0</v>
      </c>
      <c r="O601" s="16">
        <f t="shared" si="336"/>
        <v>0</v>
      </c>
      <c r="Q601" s="16">
        <f t="shared" si="313"/>
        <v>0</v>
      </c>
      <c r="R601" s="16">
        <f t="shared" si="345"/>
        <v>0</v>
      </c>
      <c r="S601" s="16">
        <f>(SRP_SP+SUM(S$91:S600))*L601*IF(D601=$A$91,SRP_finalmonthfactor,1)</f>
        <v>0</v>
      </c>
      <c r="T601" s="74">
        <f>MIN(IF($AV601=0,0,
IF(Investment_Strategy="DIS",VLOOKUP(Investment_Strategy&amp;"_"&amp;Investment_Strategy_Sub1&amp;"_"&amp;$A601,'Investment Strategies'!$AZ:$BP,12,FALSE),
IF(AND(Investment_Strategy="Lifecycle",Investment_Strategy_Sub1="Non-Standard"),VLOOKUP(Investment_Strategy&amp;"_"&amp;Investment_Strategy_Sub2&amp;"_"&amp;$A601,'Investment Strategies'!$C:$P,9,FALSE),
IF(AND(Investment_Strategy="Lifecycle",Investment_Strategy_Sub1="Standard"),VLOOKUP(Investment_Strategy&amp;"_"&amp;Investment_Strategy_Sub2&amp;"_"&amp;$A601,'Investment Strategies'!$AJ:$AV,8,FALSE),
IF(AND(Investment_Strategy="Autopilot",Investment_Strategy_Sub1="Non-Standard"),VLOOKUP(Investment_Strategy&amp;"_"&amp;Investment_Strategy_Sub2&amp;"_"&amp;$A601,'Investment Strategies'!$T:$AF,8,FALSE),
IF(Investment_Strategy ="DIY",DIY_RateOfReturn_FuturePremiums,
"Error")))))),Max_InvReturn)</f>
        <v>0</v>
      </c>
      <c r="U601" s="62">
        <f>IF($AV601=0,0,
IF(Investment_Strategy="DIS",VLOOKUP(Investment_Strategy&amp;"_"&amp;Investment_Strategy_Sub1&amp;"_"&amp;$A601,'Investment Strategies'!$AZ:$BP,15,FALSE),
IF(AND(Investment_Strategy="Lifecycle",Investment_Strategy_Sub1="Non-Standard"),VLOOKUP(Investment_Strategy&amp;"_"&amp;Investment_Strategy_Sub2&amp;"_"&amp;$A601,'Investment Strategies'!$C:$P,12,FALSE),
IF(AND(Investment_Strategy="Lifecycle",Investment_Strategy_Sub1="Standard"),VLOOKUP(Investment_Strategy&amp;"_"&amp;Investment_Strategy_Sub2&amp;"_"&amp;$A601,'Investment Strategies'!$AJ:$AV,11,FALSE),
IF(AND(Investment_Strategy="Autopilot",Investment_Strategy_Sub1="Non-Standard"),VLOOKUP(Investment_Strategy&amp;"_"&amp;Investment_Strategy_Sub2&amp;"_"&amp;$A601,'Investment Strategies'!$T:$AF,11,FALSE),
IF(Investment_Strategy="DIY",DIY_GteeChrge_FuturePremiums,
"Error"))))))</f>
        <v>0</v>
      </c>
      <c r="V601" s="33">
        <f>IF(AV601=0,0,
IF(Investment_Strategy="DIS",VLOOKUP(Investment_Strategy&amp;"_"&amp;Investment_Strategy_Sub1&amp;"_"&amp;$A601,'Investment Strategies'!$AZ:$BP,17,FALSE),
IF(AND(Investment_Strategy="Lifecycle",Investment_Strategy_Sub1="Non-Standard"),VLOOKUP(Investment_Strategy&amp;"_"&amp;Investment_Strategy_Sub2&amp;"_"&amp;$A601,'Investment Strategies'!$C:$P,14,FALSE),
IF(AND(Investment_Strategy="Lifecycle",Investment_Strategy_Sub1="Standard"),VLOOKUP(Investment_Strategy&amp;"_"&amp;Investment_Strategy_Sub2&amp;"_"&amp;$A601,'Investment Strategies'!$AJ:$AV,13,FALSE),
IF(AND(Investment_Strategy="Autopilot",Investment_Strategy_Sub1="Non-Standard"),VLOOKUP(Investment_Strategy&amp;"_"&amp;Investment_Strategy_Sub2&amp;"_"&amp;$A601,'Investment Strategies'!$T:$AF,13,FALSE),
IF(Investment_Strategy="DIY",DIY_ExtManChrge_FuturePremiums,
"Error"))))))</f>
        <v>0</v>
      </c>
      <c r="W601" s="16">
        <f t="shared" si="337"/>
        <v>0</v>
      </c>
      <c r="X601" s="16">
        <f t="shared" si="314"/>
        <v>0</v>
      </c>
      <c r="Y601" s="16">
        <f t="shared" si="315"/>
        <v>0</v>
      </c>
      <c r="Z601" s="31">
        <f t="shared" si="316"/>
        <v>0.02</v>
      </c>
      <c r="AA601" s="16">
        <f t="shared" si="317"/>
        <v>0</v>
      </c>
      <c r="AB601" s="28">
        <f t="shared" si="339"/>
        <v>0</v>
      </c>
      <c r="AC601" s="28">
        <f>(SUM($AC$91:AC600)+SUM($X$91:X600)+X601)*T601*IF(D601=$A$91,SRP_finalmonthfactor,1)</f>
        <v>0</v>
      </c>
      <c r="AD601" s="16">
        <f t="shared" si="318"/>
        <v>0</v>
      </c>
      <c r="AE601" s="106"/>
      <c r="AF601" s="16">
        <f t="shared" si="326"/>
        <v>0</v>
      </c>
      <c r="AG601" s="16">
        <f t="shared" si="327"/>
        <v>0</v>
      </c>
      <c r="AH601" s="16">
        <f t="shared" si="328"/>
        <v>0</v>
      </c>
      <c r="AJ601" s="13">
        <f t="shared" ref="AJ601:AU610" si="346">IF($C601&lt;=AJ$90,1,0)</f>
        <v>0</v>
      </c>
      <c r="AK601" s="13">
        <f t="shared" si="346"/>
        <v>0</v>
      </c>
      <c r="AL601" s="13">
        <f t="shared" si="346"/>
        <v>0</v>
      </c>
      <c r="AM601" s="13">
        <f t="shared" si="346"/>
        <v>0</v>
      </c>
      <c r="AN601" s="13">
        <f t="shared" si="346"/>
        <v>0</v>
      </c>
      <c r="AO601" s="13">
        <f t="shared" si="346"/>
        <v>1</v>
      </c>
      <c r="AP601" s="13">
        <f t="shared" si="346"/>
        <v>1</v>
      </c>
      <c r="AQ601" s="13">
        <f t="shared" si="346"/>
        <v>1</v>
      </c>
      <c r="AR601" s="13">
        <f t="shared" si="346"/>
        <v>0</v>
      </c>
      <c r="AS601" s="13">
        <f t="shared" si="346"/>
        <v>0</v>
      </c>
      <c r="AT601" s="13">
        <f t="shared" si="346"/>
        <v>0</v>
      </c>
      <c r="AU601" s="13">
        <f t="shared" si="346"/>
        <v>0</v>
      </c>
      <c r="AV601" s="13">
        <f t="shared" si="319"/>
        <v>0</v>
      </c>
      <c r="AW601" s="13">
        <f t="shared" si="320"/>
        <v>1</v>
      </c>
      <c r="AY601" s="17">
        <f t="shared" si="321"/>
        <v>511</v>
      </c>
      <c r="AZ601" s="28">
        <f t="shared" si="329"/>
        <v>0</v>
      </c>
      <c r="BA601" s="13">
        <f t="shared" si="322"/>
        <v>0</v>
      </c>
      <c r="BB601" s="13">
        <f t="shared" si="323"/>
        <v>0</v>
      </c>
      <c r="BC601" s="28">
        <f t="shared" si="330"/>
        <v>0</v>
      </c>
      <c r="BD601" s="28">
        <f t="shared" si="331"/>
        <v>0</v>
      </c>
      <c r="BF601" s="248">
        <f t="shared" si="332"/>
        <v>993869.29442638322</v>
      </c>
    </row>
    <row r="602" spans="1:58">
      <c r="A602" s="32">
        <f t="shared" si="333"/>
        <v>-427</v>
      </c>
      <c r="B602" s="32">
        <f t="shared" si="324"/>
        <v>95</v>
      </c>
      <c r="C602" s="32">
        <f t="shared" si="334"/>
        <v>43</v>
      </c>
      <c r="D602" s="32">
        <f t="shared" si="335"/>
        <v>512</v>
      </c>
      <c r="E602" s="74">
        <f>MIN(IF(AV602=0,0,
IF(Investment_Strategy="DIS",VLOOKUP(Investment_Strategy&amp;"_"&amp;Investment_Strategy_Sub1&amp;"_"&amp;$A602,'Investment Strategies'!$AZ:$BP,12,FALSE),
IF(AND(Investment_Strategy="Lifecycle",Investment_Strategy_Sub1="Non-Standard"),VLOOKUP(Investment_Strategy&amp;"_"&amp;Investment_Strategy_Sub2&amp;"_"&amp;$A602,'Investment Strategies'!$C:$P,9,FALSE),
IF(AND(Investment_Strategy="Lifecycle",Investment_Strategy_Sub1="Standard"),VLOOKUP(Investment_Strategy&amp;"_"&amp;Investment_Strategy_Sub2&amp;"_"&amp;$A602,'Investment Strategies'!$AJ:$AV,8,FALSE),
IF(AND(Investment_Strategy="Autopilot",Investment_Strategy_Sub1="Non-Standard"),VLOOKUP(Investment_Strategy&amp;"_"&amp;Investment_Strategy_Sub2&amp;"_"&amp;$A602,'Investment Strategies'!$T:$AF,8,FALSE),
IF(Investment_Strategy ="DIY",DIY_RateOfReturn_CurrentFunds,
"Error")))))),Max_InvReturn)</f>
        <v>0</v>
      </c>
      <c r="F602" s="62">
        <f>IF(AV602=0,0,
IF(Investment_Strategy="DIS",VLOOKUP(Investment_Strategy&amp;"_"&amp;Investment_Strategy_Sub1&amp;"_"&amp;$A602,'Investment Strategies'!$AZ:$BP,15,FALSE),
IF(AND(Investment_Strategy="Lifecycle",Investment_Strategy_Sub1="Non-Standard"),VLOOKUP(Investment_Strategy&amp;"_"&amp;Investment_Strategy_Sub2&amp;"_"&amp;$A602,'Investment Strategies'!$C:$P,12,FALSE),
IF(AND(Investment_Strategy="Lifecycle",Investment_Strategy_Sub1="Standard"),VLOOKUP(Investment_Strategy&amp;"_"&amp;Investment_Strategy_Sub2&amp;"_"&amp;$A602,'Investment Strategies'!$AJ:$AV,11,FALSE),
IF(AND(Investment_Strategy="Autopilot",Investment_Strategy_Sub1="Non-Standard"),VLOOKUP(Investment_Strategy&amp;"_"&amp;Investment_Strategy_Sub2&amp;"_"&amp;$A602,'Investment Strategies'!$T:$AF,11,FALSE),
IF(Investment_Strategy="DIY",DIY_GteeChrge_CurrentFunds,
"Error"))))))</f>
        <v>0</v>
      </c>
      <c r="G602" s="33">
        <f>IF(AV602=0,0,
IF(Investment_Strategy="DIS",VLOOKUP(Investment_Strategy&amp;"_"&amp;Investment_Strategy_Sub1&amp;"_"&amp;$A602,'Investment Strategies'!$AZ:$BP,17,FALSE),
IF(AND(Investment_Strategy="Lifecycle",Investment_Strategy_Sub1="Non-Standard"),VLOOKUP(Investment_Strategy&amp;"_"&amp;Investment_Strategy_Sub2&amp;"_"&amp;$A602,'Investment Strategies'!$C:$P,14,FALSE),
IF(AND(Investment_Strategy="Lifecycle",Investment_Strategy_Sub1="Standard"),VLOOKUP(Investment_Strategy&amp;"_"&amp;Investment_Strategy_Sub2&amp;"_"&amp;$A602,'Investment Strategies'!$AJ:$AV,13,FALSE),
IF(AND(Investment_Strategy="Autopilot",Investment_Strategy_Sub1="Non-Standard"),VLOOKUP(Investment_Strategy&amp;"_"&amp;Investment_Strategy_Sub2&amp;"_"&amp;$A602,'Investment Strategies'!$T:$AF,13,FALSE),
IF(Investment_Strategy="DIY",DIY_ExtManChrge_CurrentFunds,
"Error"))))))</f>
        <v>0</v>
      </c>
      <c r="H602" s="16">
        <f t="shared" si="325"/>
        <v>0</v>
      </c>
      <c r="I602" s="16">
        <f t="shared" si="311"/>
        <v>0</v>
      </c>
      <c r="J602" s="16">
        <f t="shared" si="312"/>
        <v>0</v>
      </c>
      <c r="K602" s="16">
        <f>(Opening_Fund_Value+SUM(K$91:K601))*E602*IF(D602=$A$91,SRP_finalmonthfactor,1)</f>
        <v>0</v>
      </c>
      <c r="L602" s="74">
        <f>MIN(IF($AV602=0,0,
IF(Investment_Strategy="DIS",VLOOKUP(Investment_Strategy&amp;"_"&amp;Investment_Strategy_Sub1&amp;"_"&amp;$A602,'Investment Strategies'!$AZ:$BP,12,FALSE),
IF(AND(Investment_Strategy="Lifecycle",Investment_Strategy_Sub1="Non-Standard"),VLOOKUP(Investment_Strategy&amp;"_"&amp;Investment_Strategy_Sub2&amp;"_"&amp;$A602,'Investment Strategies'!$C:$P,9,FALSE),
IF(AND(Investment_Strategy="Lifecycle",Investment_Strategy_Sub1="Standard"),VLOOKUP(Investment_Strategy&amp;"_"&amp;Investment_Strategy_Sub2&amp;"_"&amp;$A602,'Investment Strategies'!$AJ:$AV,8,FALSE),
IF(AND(Investment_Strategy="Autopilot",Investment_Strategy_Sub1="Non-Standard"),VLOOKUP(Investment_Strategy&amp;"_"&amp;Investment_Strategy_Sub2&amp;"_"&amp;$A602,'Investment Strategies'!$T:$AF,8,FALSE),
IF(Investment_Strategy ="DIY",DIY_RateofReturn_SP,
"Error")))))),Max_InvReturn)</f>
        <v>0</v>
      </c>
      <c r="M602" s="62">
        <f>IF($AV602=0,0,
IF(Investment_Strategy="DIS",VLOOKUP(Investment_Strategy&amp;"_"&amp;Investment_Strategy_Sub1&amp;"_"&amp;$A602,'Investment Strategies'!$AZ:$BP,15,FALSE),
IF(AND(Investment_Strategy="Lifecycle",Investment_Strategy_Sub1="Non-Standard"),VLOOKUP(Investment_Strategy&amp;"_"&amp;Investment_Strategy_Sub2&amp;"_"&amp;$A602,'Investment Strategies'!$C:$P,12,FALSE),
IF(AND(Investment_Strategy="Lifecycle",Investment_Strategy_Sub1="Standard"),VLOOKUP(Investment_Strategy&amp;"_"&amp;Investment_Strategy_Sub2&amp;"_"&amp;$A602,'Investment Strategies'!$AJ:$AV,11,FALSE),
IF(AND(Investment_Strategy="Autopilot",Investment_Strategy_Sub1="Non-Standard"),VLOOKUP(Investment_Strategy&amp;"_"&amp;Investment_Strategy_Sub2&amp;"_"&amp;$A602,'Investment Strategies'!$T:$AF,11,FALSE),
IF(Investment_Strategy="DIY",DIY_GteeChrge_SP,
"Error"))))))</f>
        <v>0</v>
      </c>
      <c r="N602" s="33">
        <f>IF($AV602=0,0,
IF(Investment_Strategy="DIS",VLOOKUP(Investment_Strategy&amp;"_"&amp;Investment_Strategy_Sub1&amp;"_"&amp;$A602,'Investment Strategies'!$AZ:$BP,17,FALSE),
IF(AND(Investment_Strategy="Lifecycle",Investment_Strategy_Sub1="Non-Standard"),VLOOKUP(Investment_Strategy&amp;"_"&amp;Investment_Strategy_Sub2&amp;"_"&amp;$A602,'Investment Strategies'!$C:$P,14,FALSE),
IF(AND(Investment_Strategy="Lifecycle",Investment_Strategy_Sub1="Standard"),VLOOKUP(Investment_Strategy&amp;"_"&amp;Investment_Strategy_Sub2&amp;"_"&amp;$A602,'Investment Strategies'!$AJ:$AV,13,FALSE),
IF(AND(Investment_Strategy="Autopilot",Investment_Strategy_Sub1="Non-Standard"),VLOOKUP(Investment_Strategy&amp;"_"&amp;Investment_Strategy_Sub2&amp;"_"&amp;$A602,'Investment Strategies'!$T:$AF,13,FALSE),
IF(Investment_Strategy="DIY",DIY_ExtManChrge_SP,
"Error"))))))</f>
        <v>0</v>
      </c>
      <c r="O602" s="16">
        <f t="shared" si="336"/>
        <v>0</v>
      </c>
      <c r="Q602" s="16">
        <f t="shared" si="313"/>
        <v>0</v>
      </c>
      <c r="R602" s="16">
        <f t="shared" si="345"/>
        <v>0</v>
      </c>
      <c r="S602" s="16">
        <f>(SRP_SP+SUM(S$91:S601))*L602*IF(D602=$A$91,SRP_finalmonthfactor,1)</f>
        <v>0</v>
      </c>
      <c r="T602" s="74">
        <f>MIN(IF($AV602=0,0,
IF(Investment_Strategy="DIS",VLOOKUP(Investment_Strategy&amp;"_"&amp;Investment_Strategy_Sub1&amp;"_"&amp;$A602,'Investment Strategies'!$AZ:$BP,12,FALSE),
IF(AND(Investment_Strategy="Lifecycle",Investment_Strategy_Sub1="Non-Standard"),VLOOKUP(Investment_Strategy&amp;"_"&amp;Investment_Strategy_Sub2&amp;"_"&amp;$A602,'Investment Strategies'!$C:$P,9,FALSE),
IF(AND(Investment_Strategy="Lifecycle",Investment_Strategy_Sub1="Standard"),VLOOKUP(Investment_Strategy&amp;"_"&amp;Investment_Strategy_Sub2&amp;"_"&amp;$A602,'Investment Strategies'!$AJ:$AV,8,FALSE),
IF(AND(Investment_Strategy="Autopilot",Investment_Strategy_Sub1="Non-Standard"),VLOOKUP(Investment_Strategy&amp;"_"&amp;Investment_Strategy_Sub2&amp;"_"&amp;$A602,'Investment Strategies'!$T:$AF,8,FALSE),
IF(Investment_Strategy ="DIY",DIY_RateOfReturn_FuturePremiums,
"Error")))))),Max_InvReturn)</f>
        <v>0</v>
      </c>
      <c r="U602" s="62">
        <f>IF($AV602=0,0,
IF(Investment_Strategy="DIS",VLOOKUP(Investment_Strategy&amp;"_"&amp;Investment_Strategy_Sub1&amp;"_"&amp;$A602,'Investment Strategies'!$AZ:$BP,15,FALSE),
IF(AND(Investment_Strategy="Lifecycle",Investment_Strategy_Sub1="Non-Standard"),VLOOKUP(Investment_Strategy&amp;"_"&amp;Investment_Strategy_Sub2&amp;"_"&amp;$A602,'Investment Strategies'!$C:$P,12,FALSE),
IF(AND(Investment_Strategy="Lifecycle",Investment_Strategy_Sub1="Standard"),VLOOKUP(Investment_Strategy&amp;"_"&amp;Investment_Strategy_Sub2&amp;"_"&amp;$A602,'Investment Strategies'!$AJ:$AV,11,FALSE),
IF(AND(Investment_Strategy="Autopilot",Investment_Strategy_Sub1="Non-Standard"),VLOOKUP(Investment_Strategy&amp;"_"&amp;Investment_Strategy_Sub2&amp;"_"&amp;$A602,'Investment Strategies'!$T:$AF,11,FALSE),
IF(Investment_Strategy="DIY",DIY_GteeChrge_FuturePremiums,
"Error"))))))</f>
        <v>0</v>
      </c>
      <c r="V602" s="33">
        <f>IF(AV602=0,0,
IF(Investment_Strategy="DIS",VLOOKUP(Investment_Strategy&amp;"_"&amp;Investment_Strategy_Sub1&amp;"_"&amp;$A602,'Investment Strategies'!$AZ:$BP,17,FALSE),
IF(AND(Investment_Strategy="Lifecycle",Investment_Strategy_Sub1="Non-Standard"),VLOOKUP(Investment_Strategy&amp;"_"&amp;Investment_Strategy_Sub2&amp;"_"&amp;$A602,'Investment Strategies'!$C:$P,14,FALSE),
IF(AND(Investment_Strategy="Lifecycle",Investment_Strategy_Sub1="Standard"),VLOOKUP(Investment_Strategy&amp;"_"&amp;Investment_Strategy_Sub2&amp;"_"&amp;$A602,'Investment Strategies'!$AJ:$AV,13,FALSE),
IF(AND(Investment_Strategy="Autopilot",Investment_Strategy_Sub1="Non-Standard"),VLOOKUP(Investment_Strategy&amp;"_"&amp;Investment_Strategy_Sub2&amp;"_"&amp;$A602,'Investment Strategies'!$T:$AF,13,FALSE),
IF(Investment_Strategy="DIY",DIY_ExtManChrge_FuturePremiums,
"Error"))))))</f>
        <v>0</v>
      </c>
      <c r="W602" s="16">
        <f t="shared" si="337"/>
        <v>0</v>
      </c>
      <c r="X602" s="16">
        <f t="shared" si="314"/>
        <v>0</v>
      </c>
      <c r="Y602" s="16">
        <f t="shared" si="315"/>
        <v>0</v>
      </c>
      <c r="Z602" s="31">
        <f t="shared" si="316"/>
        <v>0.02</v>
      </c>
      <c r="AA602" s="16">
        <f t="shared" si="317"/>
        <v>0</v>
      </c>
      <c r="AB602" s="28">
        <f t="shared" si="339"/>
        <v>0</v>
      </c>
      <c r="AC602" s="28">
        <f>(SUM($AC$91:AC601)+SUM($X$91:X601)+X602)*T602*IF(D602=$A$91,SRP_finalmonthfactor,1)</f>
        <v>0</v>
      </c>
      <c r="AD602" s="16">
        <f t="shared" si="318"/>
        <v>0</v>
      </c>
      <c r="AE602" s="106"/>
      <c r="AF602" s="16">
        <f t="shared" si="326"/>
        <v>0</v>
      </c>
      <c r="AG602" s="16">
        <f t="shared" si="327"/>
        <v>0</v>
      </c>
      <c r="AH602" s="16">
        <f t="shared" si="328"/>
        <v>0</v>
      </c>
      <c r="AJ602" s="13">
        <f t="shared" si="346"/>
        <v>0</v>
      </c>
      <c r="AK602" s="13">
        <f t="shared" si="346"/>
        <v>0</v>
      </c>
      <c r="AL602" s="13">
        <f t="shared" si="346"/>
        <v>0</v>
      </c>
      <c r="AM602" s="13">
        <f t="shared" si="346"/>
        <v>0</v>
      </c>
      <c r="AN602" s="13">
        <f t="shared" si="346"/>
        <v>0</v>
      </c>
      <c r="AO602" s="13">
        <f t="shared" si="346"/>
        <v>1</v>
      </c>
      <c r="AP602" s="13">
        <f t="shared" si="346"/>
        <v>1</v>
      </c>
      <c r="AQ602" s="13">
        <f t="shared" si="346"/>
        <v>1</v>
      </c>
      <c r="AR602" s="13">
        <f t="shared" si="346"/>
        <v>0</v>
      </c>
      <c r="AS602" s="13">
        <f t="shared" si="346"/>
        <v>0</v>
      </c>
      <c r="AT602" s="13">
        <f t="shared" si="346"/>
        <v>0</v>
      </c>
      <c r="AU602" s="13">
        <f t="shared" si="346"/>
        <v>0</v>
      </c>
      <c r="AV602" s="13">
        <f t="shared" si="319"/>
        <v>0</v>
      </c>
      <c r="AW602" s="13">
        <f t="shared" si="320"/>
        <v>1</v>
      </c>
      <c r="AY602" s="17">
        <f t="shared" si="321"/>
        <v>512</v>
      </c>
      <c r="AZ602" s="28">
        <f t="shared" si="329"/>
        <v>0</v>
      </c>
      <c r="BA602" s="13">
        <f t="shared" si="322"/>
        <v>0</v>
      </c>
      <c r="BB602" s="13">
        <f t="shared" si="323"/>
        <v>0</v>
      </c>
      <c r="BC602" s="28">
        <f t="shared" si="330"/>
        <v>0</v>
      </c>
      <c r="BD602" s="28">
        <f t="shared" si="331"/>
        <v>0</v>
      </c>
      <c r="BF602" s="248">
        <f t="shared" si="332"/>
        <v>993869.29442638322</v>
      </c>
    </row>
    <row r="603" spans="1:58">
      <c r="A603" s="32">
        <f t="shared" si="333"/>
        <v>-428</v>
      </c>
      <c r="B603" s="32">
        <f t="shared" si="324"/>
        <v>95</v>
      </c>
      <c r="C603" s="32">
        <f t="shared" si="334"/>
        <v>43</v>
      </c>
      <c r="D603" s="32">
        <f t="shared" si="335"/>
        <v>513</v>
      </c>
      <c r="E603" s="74">
        <f>MIN(IF(AV603=0,0,
IF(Investment_Strategy="DIS",VLOOKUP(Investment_Strategy&amp;"_"&amp;Investment_Strategy_Sub1&amp;"_"&amp;$A603,'Investment Strategies'!$AZ:$BP,12,FALSE),
IF(AND(Investment_Strategy="Lifecycle",Investment_Strategy_Sub1="Non-Standard"),VLOOKUP(Investment_Strategy&amp;"_"&amp;Investment_Strategy_Sub2&amp;"_"&amp;$A603,'Investment Strategies'!$C:$P,9,FALSE),
IF(AND(Investment_Strategy="Lifecycle",Investment_Strategy_Sub1="Standard"),VLOOKUP(Investment_Strategy&amp;"_"&amp;Investment_Strategy_Sub2&amp;"_"&amp;$A603,'Investment Strategies'!$AJ:$AV,8,FALSE),
IF(AND(Investment_Strategy="Autopilot",Investment_Strategy_Sub1="Non-Standard"),VLOOKUP(Investment_Strategy&amp;"_"&amp;Investment_Strategy_Sub2&amp;"_"&amp;$A603,'Investment Strategies'!$T:$AF,8,FALSE),
IF(Investment_Strategy ="DIY",DIY_RateOfReturn_CurrentFunds,
"Error")))))),Max_InvReturn)</f>
        <v>0</v>
      </c>
      <c r="F603" s="62">
        <f>IF(AV603=0,0,
IF(Investment_Strategy="DIS",VLOOKUP(Investment_Strategy&amp;"_"&amp;Investment_Strategy_Sub1&amp;"_"&amp;$A603,'Investment Strategies'!$AZ:$BP,15,FALSE),
IF(AND(Investment_Strategy="Lifecycle",Investment_Strategy_Sub1="Non-Standard"),VLOOKUP(Investment_Strategy&amp;"_"&amp;Investment_Strategy_Sub2&amp;"_"&amp;$A603,'Investment Strategies'!$C:$P,12,FALSE),
IF(AND(Investment_Strategy="Lifecycle",Investment_Strategy_Sub1="Standard"),VLOOKUP(Investment_Strategy&amp;"_"&amp;Investment_Strategy_Sub2&amp;"_"&amp;$A603,'Investment Strategies'!$AJ:$AV,11,FALSE),
IF(AND(Investment_Strategy="Autopilot",Investment_Strategy_Sub1="Non-Standard"),VLOOKUP(Investment_Strategy&amp;"_"&amp;Investment_Strategy_Sub2&amp;"_"&amp;$A603,'Investment Strategies'!$T:$AF,11,FALSE),
IF(Investment_Strategy="DIY",DIY_GteeChrge_CurrentFunds,
"Error"))))))</f>
        <v>0</v>
      </c>
      <c r="G603" s="33">
        <f>IF(AV603=0,0,
IF(Investment_Strategy="DIS",VLOOKUP(Investment_Strategy&amp;"_"&amp;Investment_Strategy_Sub1&amp;"_"&amp;$A603,'Investment Strategies'!$AZ:$BP,17,FALSE),
IF(AND(Investment_Strategy="Lifecycle",Investment_Strategy_Sub1="Non-Standard"),VLOOKUP(Investment_Strategy&amp;"_"&amp;Investment_Strategy_Sub2&amp;"_"&amp;$A603,'Investment Strategies'!$C:$P,14,FALSE),
IF(AND(Investment_Strategy="Lifecycle",Investment_Strategy_Sub1="Standard"),VLOOKUP(Investment_Strategy&amp;"_"&amp;Investment_Strategy_Sub2&amp;"_"&amp;$A603,'Investment Strategies'!$AJ:$AV,13,FALSE),
IF(AND(Investment_Strategy="Autopilot",Investment_Strategy_Sub1="Non-Standard"),VLOOKUP(Investment_Strategy&amp;"_"&amp;Investment_Strategy_Sub2&amp;"_"&amp;$A603,'Investment Strategies'!$T:$AF,13,FALSE),
IF(Investment_Strategy="DIY",DIY_ExtManChrge_CurrentFunds,
"Error"))))))</f>
        <v>0</v>
      </c>
      <c r="H603" s="16">
        <f t="shared" si="325"/>
        <v>0</v>
      </c>
      <c r="I603" s="16">
        <f t="shared" ref="I603:I666" si="347">(H603*E603)*IF(D603=$A$91,SRP_finalmonthfactor,1)</f>
        <v>0</v>
      </c>
      <c r="J603" s="16">
        <f t="shared" ref="J603:J666" si="348">IF($AV603=0,0,
-((H603+I603/2)*(SRP_Monthly_Admin_Chge+F603+G603)*IF(D603=$A$91,SRP_finalmonthfactor,1)))</f>
        <v>0</v>
      </c>
      <c r="K603" s="16">
        <f>(Opening_Fund_Value+SUM(K$91:K602))*E603*IF(D603=$A$91,SRP_finalmonthfactor,1)</f>
        <v>0</v>
      </c>
      <c r="L603" s="74">
        <f>MIN(IF($AV603=0,0,
IF(Investment_Strategy="DIS",VLOOKUP(Investment_Strategy&amp;"_"&amp;Investment_Strategy_Sub1&amp;"_"&amp;$A603,'Investment Strategies'!$AZ:$BP,12,FALSE),
IF(AND(Investment_Strategy="Lifecycle",Investment_Strategy_Sub1="Non-Standard"),VLOOKUP(Investment_Strategy&amp;"_"&amp;Investment_Strategy_Sub2&amp;"_"&amp;$A603,'Investment Strategies'!$C:$P,9,FALSE),
IF(AND(Investment_Strategy="Lifecycle",Investment_Strategy_Sub1="Standard"),VLOOKUP(Investment_Strategy&amp;"_"&amp;Investment_Strategy_Sub2&amp;"_"&amp;$A603,'Investment Strategies'!$AJ:$AV,8,FALSE),
IF(AND(Investment_Strategy="Autopilot",Investment_Strategy_Sub1="Non-Standard"),VLOOKUP(Investment_Strategy&amp;"_"&amp;Investment_Strategy_Sub2&amp;"_"&amp;$A603,'Investment Strategies'!$T:$AF,8,FALSE),
IF(Investment_Strategy ="DIY",DIY_RateofReturn_SP,
"Error")))))),Max_InvReturn)</f>
        <v>0</v>
      </c>
      <c r="M603" s="62">
        <f>IF($AV603=0,0,
IF(Investment_Strategy="DIS",VLOOKUP(Investment_Strategy&amp;"_"&amp;Investment_Strategy_Sub1&amp;"_"&amp;$A603,'Investment Strategies'!$AZ:$BP,15,FALSE),
IF(AND(Investment_Strategy="Lifecycle",Investment_Strategy_Sub1="Non-Standard"),VLOOKUP(Investment_Strategy&amp;"_"&amp;Investment_Strategy_Sub2&amp;"_"&amp;$A603,'Investment Strategies'!$C:$P,12,FALSE),
IF(AND(Investment_Strategy="Lifecycle",Investment_Strategy_Sub1="Standard"),VLOOKUP(Investment_Strategy&amp;"_"&amp;Investment_Strategy_Sub2&amp;"_"&amp;$A603,'Investment Strategies'!$AJ:$AV,11,FALSE),
IF(AND(Investment_Strategy="Autopilot",Investment_Strategy_Sub1="Non-Standard"),VLOOKUP(Investment_Strategy&amp;"_"&amp;Investment_Strategy_Sub2&amp;"_"&amp;$A603,'Investment Strategies'!$T:$AF,11,FALSE),
IF(Investment_Strategy="DIY",DIY_GteeChrge_SP,
"Error"))))))</f>
        <v>0</v>
      </c>
      <c r="N603" s="33">
        <f>IF($AV603=0,0,
IF(Investment_Strategy="DIS",VLOOKUP(Investment_Strategy&amp;"_"&amp;Investment_Strategy_Sub1&amp;"_"&amp;$A603,'Investment Strategies'!$AZ:$BP,17,FALSE),
IF(AND(Investment_Strategy="Lifecycle",Investment_Strategy_Sub1="Non-Standard"),VLOOKUP(Investment_Strategy&amp;"_"&amp;Investment_Strategy_Sub2&amp;"_"&amp;$A603,'Investment Strategies'!$C:$P,14,FALSE),
IF(AND(Investment_Strategy="Lifecycle",Investment_Strategy_Sub1="Standard"),VLOOKUP(Investment_Strategy&amp;"_"&amp;Investment_Strategy_Sub2&amp;"_"&amp;$A603,'Investment Strategies'!$AJ:$AV,13,FALSE),
IF(AND(Investment_Strategy="Autopilot",Investment_Strategy_Sub1="Non-Standard"),VLOOKUP(Investment_Strategy&amp;"_"&amp;Investment_Strategy_Sub2&amp;"_"&amp;$A603,'Investment Strategies'!$T:$AF,13,FALSE),
IF(Investment_Strategy="DIY",DIY_ExtManChrge_SP,
"Error"))))))</f>
        <v>0</v>
      </c>
      <c r="O603" s="16">
        <f t="shared" si="336"/>
        <v>0</v>
      </c>
      <c r="Q603" s="16">
        <f t="shared" ref="Q603:Q666" si="349">(O603+(P603*(1-SRP_Contrib_Chge_SP)))*L603*IF(D603=$A$91,SRP_finalmonthfactor,1)</f>
        <v>0</v>
      </c>
      <c r="R603" s="16">
        <f t="shared" si="345"/>
        <v>0</v>
      </c>
      <c r="S603" s="16">
        <f>(SRP_SP+SUM(S$91:S602))*L603*IF(D603=$A$91,SRP_finalmonthfactor,1)</f>
        <v>0</v>
      </c>
      <c r="T603" s="74">
        <f>MIN(IF($AV603=0,0,
IF(Investment_Strategy="DIS",VLOOKUP(Investment_Strategy&amp;"_"&amp;Investment_Strategy_Sub1&amp;"_"&amp;$A603,'Investment Strategies'!$AZ:$BP,12,FALSE),
IF(AND(Investment_Strategy="Lifecycle",Investment_Strategy_Sub1="Non-Standard"),VLOOKUP(Investment_Strategy&amp;"_"&amp;Investment_Strategy_Sub2&amp;"_"&amp;$A603,'Investment Strategies'!$C:$P,9,FALSE),
IF(AND(Investment_Strategy="Lifecycle",Investment_Strategy_Sub1="Standard"),VLOOKUP(Investment_Strategy&amp;"_"&amp;Investment_Strategy_Sub2&amp;"_"&amp;$A603,'Investment Strategies'!$AJ:$AV,8,FALSE),
IF(AND(Investment_Strategy="Autopilot",Investment_Strategy_Sub1="Non-Standard"),VLOOKUP(Investment_Strategy&amp;"_"&amp;Investment_Strategy_Sub2&amp;"_"&amp;$A603,'Investment Strategies'!$T:$AF,8,FALSE),
IF(Investment_Strategy ="DIY",DIY_RateOfReturn_FuturePremiums,
"Error")))))),Max_InvReturn)</f>
        <v>0</v>
      </c>
      <c r="U603" s="62">
        <f>IF($AV603=0,0,
IF(Investment_Strategy="DIS",VLOOKUP(Investment_Strategy&amp;"_"&amp;Investment_Strategy_Sub1&amp;"_"&amp;$A603,'Investment Strategies'!$AZ:$BP,15,FALSE),
IF(AND(Investment_Strategy="Lifecycle",Investment_Strategy_Sub1="Non-Standard"),VLOOKUP(Investment_Strategy&amp;"_"&amp;Investment_Strategy_Sub2&amp;"_"&amp;$A603,'Investment Strategies'!$C:$P,12,FALSE),
IF(AND(Investment_Strategy="Lifecycle",Investment_Strategy_Sub1="Standard"),VLOOKUP(Investment_Strategy&amp;"_"&amp;Investment_Strategy_Sub2&amp;"_"&amp;$A603,'Investment Strategies'!$AJ:$AV,11,FALSE),
IF(AND(Investment_Strategy="Autopilot",Investment_Strategy_Sub1="Non-Standard"),VLOOKUP(Investment_Strategy&amp;"_"&amp;Investment_Strategy_Sub2&amp;"_"&amp;$A603,'Investment Strategies'!$T:$AF,11,FALSE),
IF(Investment_Strategy="DIY",DIY_GteeChrge_FuturePremiums,
"Error"))))))</f>
        <v>0</v>
      </c>
      <c r="V603" s="33">
        <f>IF(AV603=0,0,
IF(Investment_Strategy="DIS",VLOOKUP(Investment_Strategy&amp;"_"&amp;Investment_Strategy_Sub1&amp;"_"&amp;$A603,'Investment Strategies'!$AZ:$BP,17,FALSE),
IF(AND(Investment_Strategy="Lifecycle",Investment_Strategy_Sub1="Non-Standard"),VLOOKUP(Investment_Strategy&amp;"_"&amp;Investment_Strategy_Sub2&amp;"_"&amp;$A603,'Investment Strategies'!$C:$P,14,FALSE),
IF(AND(Investment_Strategy="Lifecycle",Investment_Strategy_Sub1="Standard"),VLOOKUP(Investment_Strategy&amp;"_"&amp;Investment_Strategy_Sub2&amp;"_"&amp;$A603,'Investment Strategies'!$AJ:$AV,13,FALSE),
IF(AND(Investment_Strategy="Autopilot",Investment_Strategy_Sub1="Non-Standard"),VLOOKUP(Investment_Strategy&amp;"_"&amp;Investment_Strategy_Sub2&amp;"_"&amp;$A603,'Investment Strategies'!$T:$AF,13,FALSE),
IF(Investment_Strategy="DIY",DIY_ExtManChrge_FuturePremiums,
"Error"))))))</f>
        <v>0</v>
      </c>
      <c r="W603" s="16">
        <f t="shared" si="337"/>
        <v>0</v>
      </c>
      <c r="X603" s="16">
        <f t="shared" ref="X603:X666" si="350">SRP_AP/Contributions_per_year * (1+MIN(Max_Contrib_Escalation,SRP_Contrib_Escalation))^($C603-1) * $AV603 * $AW603</f>
        <v>0</v>
      </c>
      <c r="Y603" s="16">
        <f t="shared" ref="Y603:Y666" si="351">(W603+(X603*(1-Z603)))*T603*IF(D603=$A$91,SRP_finalmonthfactor,1)</f>
        <v>0</v>
      </c>
      <c r="Z603" s="31">
        <f t="shared" ref="Z603:Z666" si="352">IF(X603/(12/Contributions_per_year)&lt;=99.99,2%,0%)*AW603</f>
        <v>0.02</v>
      </c>
      <c r="AA603" s="16">
        <f t="shared" ref="AA603:AA666" si="353">IF($AV603=0,0,
-(($W603+($X603)*(1-Z603)+Y603/2)*(SRP_Monthly_Admin_Chge+$U603+$V603)*IF(D603=$A$91,SRP_finalmonthfactor,1)+
+($X603)*Z603))</f>
        <v>0</v>
      </c>
      <c r="AB603" s="28">
        <f t="shared" si="339"/>
        <v>0</v>
      </c>
      <c r="AC603" s="28">
        <f>(SUM($AC$91:AC602)+SUM($X$91:X602)+X603)*T603*IF(D603=$A$91,SRP_finalmonthfactor,1)</f>
        <v>0</v>
      </c>
      <c r="AD603" s="16">
        <f t="shared" ref="AD603:AD666" si="354">IF($AV603=0,0,
IF((SRP_ValDate-SRP_PolicyStartDate)+(365*(D603-1)/12)&lt;365,-(($H603+$I603/2+$O603+$P603+Q603/2+$W603+$X603+Y603/2)*(SRP_Ren_Com_Mthly)+($P603*SRP_Init_Com_SP)+($X603*SRP_Init_Com_RP)),
-((H$91+$I603/2+$O603+$P603+Q603/2+$W603+$X603+Y603/2)*(SRP_Ren_Com_Mthly))))</f>
        <v>0</v>
      </c>
      <c r="AE603" s="106"/>
      <c r="AF603" s="16">
        <f t="shared" si="326"/>
        <v>0</v>
      </c>
      <c r="AG603" s="16">
        <f t="shared" si="327"/>
        <v>0</v>
      </c>
      <c r="AH603" s="16">
        <f t="shared" si="328"/>
        <v>0</v>
      </c>
      <c r="AJ603" s="13">
        <f t="shared" si="346"/>
        <v>0</v>
      </c>
      <c r="AK603" s="13">
        <f t="shared" si="346"/>
        <v>0</v>
      </c>
      <c r="AL603" s="13">
        <f t="shared" si="346"/>
        <v>0</v>
      </c>
      <c r="AM603" s="13">
        <f t="shared" si="346"/>
        <v>0</v>
      </c>
      <c r="AN603" s="13">
        <f t="shared" si="346"/>
        <v>0</v>
      </c>
      <c r="AO603" s="13">
        <f t="shared" si="346"/>
        <v>1</v>
      </c>
      <c r="AP603" s="13">
        <f t="shared" si="346"/>
        <v>1</v>
      </c>
      <c r="AQ603" s="13">
        <f t="shared" si="346"/>
        <v>1</v>
      </c>
      <c r="AR603" s="13">
        <f t="shared" si="346"/>
        <v>0</v>
      </c>
      <c r="AS603" s="13">
        <f t="shared" si="346"/>
        <v>0</v>
      </c>
      <c r="AT603" s="13">
        <f t="shared" si="346"/>
        <v>0</v>
      </c>
      <c r="AU603" s="13">
        <f t="shared" si="346"/>
        <v>0</v>
      </c>
      <c r="AV603" s="13">
        <f t="shared" ref="AV603:AV666" si="355">IF($B603&lt;SRP_NRA,1,0)</f>
        <v>0</v>
      </c>
      <c r="AW603" s="13">
        <f t="shared" ref="AW603:AW666" si="356">IF($I$60 = "Yes",IF(SRP_PremFreq = "Annual",IF(MOD(D603-1, 12) = 0, 1, 0), IF(SRP_PremFreq = "Half-Yearly", IF(MOD(D603-1, 6) = 0, 1, 0), IF(SRP_PremFreq = "Quarterly", IF(MOD(D603-1, 3) = 0, 1, 0), IF(SRP_PremFreq = "Monthly", IF(MOD(D603-1, 1) = 0, 1, 0), "Error")))),0)</f>
        <v>1</v>
      </c>
      <c r="AY603" s="17">
        <f t="shared" ref="AY603:AY666" si="357">D603</f>
        <v>513</v>
      </c>
      <c r="AZ603" s="28">
        <f t="shared" si="329"/>
        <v>0</v>
      </c>
      <c r="BA603" s="13">
        <f t="shared" ref="BA603:BA666" si="358">-IF(A603=0,$F$32,0)</f>
        <v>0</v>
      </c>
      <c r="BB603" s="13">
        <f t="shared" ref="BB603:BB666" si="359">-IF(A603=0,$G$32,0)</f>
        <v>0</v>
      </c>
      <c r="BC603" s="28">
        <f t="shared" si="330"/>
        <v>0</v>
      </c>
      <c r="BD603" s="28">
        <f t="shared" si="331"/>
        <v>0</v>
      </c>
      <c r="BF603" s="248">
        <f t="shared" si="332"/>
        <v>993869.29442638322</v>
      </c>
    </row>
    <row r="604" spans="1:58">
      <c r="A604" s="32">
        <f t="shared" si="333"/>
        <v>-429</v>
      </c>
      <c r="B604" s="32">
        <f t="shared" ref="B604:B667" si="360">INT(SRP_Current_Age+D603/12)</f>
        <v>95</v>
      </c>
      <c r="C604" s="32">
        <f t="shared" si="334"/>
        <v>43</v>
      </c>
      <c r="D604" s="32">
        <f t="shared" si="335"/>
        <v>514</v>
      </c>
      <c r="E604" s="74">
        <f>MIN(IF(AV604=0,0,
IF(Investment_Strategy="DIS",VLOOKUP(Investment_Strategy&amp;"_"&amp;Investment_Strategy_Sub1&amp;"_"&amp;$A604,'Investment Strategies'!$AZ:$BP,12,FALSE),
IF(AND(Investment_Strategy="Lifecycle",Investment_Strategy_Sub1="Non-Standard"),VLOOKUP(Investment_Strategy&amp;"_"&amp;Investment_Strategy_Sub2&amp;"_"&amp;$A604,'Investment Strategies'!$C:$P,9,FALSE),
IF(AND(Investment_Strategy="Lifecycle",Investment_Strategy_Sub1="Standard"),VLOOKUP(Investment_Strategy&amp;"_"&amp;Investment_Strategy_Sub2&amp;"_"&amp;$A604,'Investment Strategies'!$AJ:$AV,8,FALSE),
IF(AND(Investment_Strategy="Autopilot",Investment_Strategy_Sub1="Non-Standard"),VLOOKUP(Investment_Strategy&amp;"_"&amp;Investment_Strategy_Sub2&amp;"_"&amp;$A604,'Investment Strategies'!$T:$AF,8,FALSE),
IF(Investment_Strategy ="DIY",DIY_RateOfReturn_CurrentFunds,
"Error")))))),Max_InvReturn)</f>
        <v>0</v>
      </c>
      <c r="F604" s="62">
        <f>IF(AV604=0,0,
IF(Investment_Strategy="DIS",VLOOKUP(Investment_Strategy&amp;"_"&amp;Investment_Strategy_Sub1&amp;"_"&amp;$A604,'Investment Strategies'!$AZ:$BP,15,FALSE),
IF(AND(Investment_Strategy="Lifecycle",Investment_Strategy_Sub1="Non-Standard"),VLOOKUP(Investment_Strategy&amp;"_"&amp;Investment_Strategy_Sub2&amp;"_"&amp;$A604,'Investment Strategies'!$C:$P,12,FALSE),
IF(AND(Investment_Strategy="Lifecycle",Investment_Strategy_Sub1="Standard"),VLOOKUP(Investment_Strategy&amp;"_"&amp;Investment_Strategy_Sub2&amp;"_"&amp;$A604,'Investment Strategies'!$AJ:$AV,11,FALSE),
IF(AND(Investment_Strategy="Autopilot",Investment_Strategy_Sub1="Non-Standard"),VLOOKUP(Investment_Strategy&amp;"_"&amp;Investment_Strategy_Sub2&amp;"_"&amp;$A604,'Investment Strategies'!$T:$AF,11,FALSE),
IF(Investment_Strategy="DIY",DIY_GteeChrge_CurrentFunds,
"Error"))))))</f>
        <v>0</v>
      </c>
      <c r="G604" s="33">
        <f>IF(AV604=0,0,
IF(Investment_Strategy="DIS",VLOOKUP(Investment_Strategy&amp;"_"&amp;Investment_Strategy_Sub1&amp;"_"&amp;$A604,'Investment Strategies'!$AZ:$BP,17,FALSE),
IF(AND(Investment_Strategy="Lifecycle",Investment_Strategy_Sub1="Non-Standard"),VLOOKUP(Investment_Strategy&amp;"_"&amp;Investment_Strategy_Sub2&amp;"_"&amp;$A604,'Investment Strategies'!$C:$P,14,FALSE),
IF(AND(Investment_Strategy="Lifecycle",Investment_Strategy_Sub1="Standard"),VLOOKUP(Investment_Strategy&amp;"_"&amp;Investment_Strategy_Sub2&amp;"_"&amp;$A604,'Investment Strategies'!$AJ:$AV,13,FALSE),
IF(AND(Investment_Strategy="Autopilot",Investment_Strategy_Sub1="Non-Standard"),VLOOKUP(Investment_Strategy&amp;"_"&amp;Investment_Strategy_Sub2&amp;"_"&amp;$A604,'Investment Strategies'!$T:$AF,13,FALSE),
IF(Investment_Strategy="DIY",DIY_ExtManChrge_CurrentFunds,
"Error"))))))</f>
        <v>0</v>
      </c>
      <c r="H604" s="16">
        <f t="shared" ref="H604:H667" si="361">IF($AV603=0,0,SUM(H603:J603))</f>
        <v>0</v>
      </c>
      <c r="I604" s="16">
        <f t="shared" si="347"/>
        <v>0</v>
      </c>
      <c r="J604" s="16">
        <f t="shared" si="348"/>
        <v>0</v>
      </c>
      <c r="K604" s="16">
        <f>(Opening_Fund_Value+SUM(K$91:K603))*E604*IF(D604=$A$91,SRP_finalmonthfactor,1)</f>
        <v>0</v>
      </c>
      <c r="L604" s="74">
        <f>MIN(IF($AV604=0,0,
IF(Investment_Strategy="DIS",VLOOKUP(Investment_Strategy&amp;"_"&amp;Investment_Strategy_Sub1&amp;"_"&amp;$A604,'Investment Strategies'!$AZ:$BP,12,FALSE),
IF(AND(Investment_Strategy="Lifecycle",Investment_Strategy_Sub1="Non-Standard"),VLOOKUP(Investment_Strategy&amp;"_"&amp;Investment_Strategy_Sub2&amp;"_"&amp;$A604,'Investment Strategies'!$C:$P,9,FALSE),
IF(AND(Investment_Strategy="Lifecycle",Investment_Strategy_Sub1="Standard"),VLOOKUP(Investment_Strategy&amp;"_"&amp;Investment_Strategy_Sub2&amp;"_"&amp;$A604,'Investment Strategies'!$AJ:$AV,8,FALSE),
IF(AND(Investment_Strategy="Autopilot",Investment_Strategy_Sub1="Non-Standard"),VLOOKUP(Investment_Strategy&amp;"_"&amp;Investment_Strategy_Sub2&amp;"_"&amp;$A604,'Investment Strategies'!$T:$AF,8,FALSE),
IF(Investment_Strategy ="DIY",DIY_RateofReturn_SP,
"Error")))))),Max_InvReturn)</f>
        <v>0</v>
      </c>
      <c r="M604" s="62">
        <f>IF($AV604=0,0,
IF(Investment_Strategy="DIS",VLOOKUP(Investment_Strategy&amp;"_"&amp;Investment_Strategy_Sub1&amp;"_"&amp;$A604,'Investment Strategies'!$AZ:$BP,15,FALSE),
IF(AND(Investment_Strategy="Lifecycle",Investment_Strategy_Sub1="Non-Standard"),VLOOKUP(Investment_Strategy&amp;"_"&amp;Investment_Strategy_Sub2&amp;"_"&amp;$A604,'Investment Strategies'!$C:$P,12,FALSE),
IF(AND(Investment_Strategy="Lifecycle",Investment_Strategy_Sub1="Standard"),VLOOKUP(Investment_Strategy&amp;"_"&amp;Investment_Strategy_Sub2&amp;"_"&amp;$A604,'Investment Strategies'!$AJ:$AV,11,FALSE),
IF(AND(Investment_Strategy="Autopilot",Investment_Strategy_Sub1="Non-Standard"),VLOOKUP(Investment_Strategy&amp;"_"&amp;Investment_Strategy_Sub2&amp;"_"&amp;$A604,'Investment Strategies'!$T:$AF,11,FALSE),
IF(Investment_Strategy="DIY",DIY_GteeChrge_SP,
"Error"))))))</f>
        <v>0</v>
      </c>
      <c r="N604" s="33">
        <f>IF($AV604=0,0,
IF(Investment_Strategy="DIS",VLOOKUP(Investment_Strategy&amp;"_"&amp;Investment_Strategy_Sub1&amp;"_"&amp;$A604,'Investment Strategies'!$AZ:$BP,17,FALSE),
IF(AND(Investment_Strategy="Lifecycle",Investment_Strategy_Sub1="Non-Standard"),VLOOKUP(Investment_Strategy&amp;"_"&amp;Investment_Strategy_Sub2&amp;"_"&amp;$A604,'Investment Strategies'!$C:$P,14,FALSE),
IF(AND(Investment_Strategy="Lifecycle",Investment_Strategy_Sub1="Standard"),VLOOKUP(Investment_Strategy&amp;"_"&amp;Investment_Strategy_Sub2&amp;"_"&amp;$A604,'Investment Strategies'!$AJ:$AV,13,FALSE),
IF(AND(Investment_Strategy="Autopilot",Investment_Strategy_Sub1="Non-Standard"),VLOOKUP(Investment_Strategy&amp;"_"&amp;Investment_Strategy_Sub2&amp;"_"&amp;$A604,'Investment Strategies'!$T:$AF,13,FALSE),
IF(Investment_Strategy="DIY",DIY_ExtManChrge_SP,
"Error"))))))</f>
        <v>0</v>
      </c>
      <c r="O604" s="16">
        <f t="shared" si="336"/>
        <v>0</v>
      </c>
      <c r="Q604" s="16">
        <f t="shared" si="349"/>
        <v>0</v>
      </c>
      <c r="R604" s="16">
        <f t="shared" si="345"/>
        <v>0</v>
      </c>
      <c r="S604" s="16">
        <f>(SRP_SP+SUM(S$91:S603))*L604*IF(D604=$A$91,SRP_finalmonthfactor,1)</f>
        <v>0</v>
      </c>
      <c r="T604" s="74">
        <f>MIN(IF($AV604=0,0,
IF(Investment_Strategy="DIS",VLOOKUP(Investment_Strategy&amp;"_"&amp;Investment_Strategy_Sub1&amp;"_"&amp;$A604,'Investment Strategies'!$AZ:$BP,12,FALSE),
IF(AND(Investment_Strategy="Lifecycle",Investment_Strategy_Sub1="Non-Standard"),VLOOKUP(Investment_Strategy&amp;"_"&amp;Investment_Strategy_Sub2&amp;"_"&amp;$A604,'Investment Strategies'!$C:$P,9,FALSE),
IF(AND(Investment_Strategy="Lifecycle",Investment_Strategy_Sub1="Standard"),VLOOKUP(Investment_Strategy&amp;"_"&amp;Investment_Strategy_Sub2&amp;"_"&amp;$A604,'Investment Strategies'!$AJ:$AV,8,FALSE),
IF(AND(Investment_Strategy="Autopilot",Investment_Strategy_Sub1="Non-Standard"),VLOOKUP(Investment_Strategy&amp;"_"&amp;Investment_Strategy_Sub2&amp;"_"&amp;$A604,'Investment Strategies'!$T:$AF,8,FALSE),
IF(Investment_Strategy ="DIY",DIY_RateOfReturn_FuturePremiums,
"Error")))))),Max_InvReturn)</f>
        <v>0</v>
      </c>
      <c r="U604" s="62">
        <f>IF($AV604=0,0,
IF(Investment_Strategy="DIS",VLOOKUP(Investment_Strategy&amp;"_"&amp;Investment_Strategy_Sub1&amp;"_"&amp;$A604,'Investment Strategies'!$AZ:$BP,15,FALSE),
IF(AND(Investment_Strategy="Lifecycle",Investment_Strategy_Sub1="Non-Standard"),VLOOKUP(Investment_Strategy&amp;"_"&amp;Investment_Strategy_Sub2&amp;"_"&amp;$A604,'Investment Strategies'!$C:$P,12,FALSE),
IF(AND(Investment_Strategy="Lifecycle",Investment_Strategy_Sub1="Standard"),VLOOKUP(Investment_Strategy&amp;"_"&amp;Investment_Strategy_Sub2&amp;"_"&amp;$A604,'Investment Strategies'!$AJ:$AV,11,FALSE),
IF(AND(Investment_Strategy="Autopilot",Investment_Strategy_Sub1="Non-Standard"),VLOOKUP(Investment_Strategy&amp;"_"&amp;Investment_Strategy_Sub2&amp;"_"&amp;$A604,'Investment Strategies'!$T:$AF,11,FALSE),
IF(Investment_Strategy="DIY",DIY_GteeChrge_FuturePremiums,
"Error"))))))</f>
        <v>0</v>
      </c>
      <c r="V604" s="33">
        <f>IF(AV604=0,0,
IF(Investment_Strategy="DIS",VLOOKUP(Investment_Strategy&amp;"_"&amp;Investment_Strategy_Sub1&amp;"_"&amp;$A604,'Investment Strategies'!$AZ:$BP,17,FALSE),
IF(AND(Investment_Strategy="Lifecycle",Investment_Strategy_Sub1="Non-Standard"),VLOOKUP(Investment_Strategy&amp;"_"&amp;Investment_Strategy_Sub2&amp;"_"&amp;$A604,'Investment Strategies'!$C:$P,14,FALSE),
IF(AND(Investment_Strategy="Lifecycle",Investment_Strategy_Sub1="Standard"),VLOOKUP(Investment_Strategy&amp;"_"&amp;Investment_Strategy_Sub2&amp;"_"&amp;$A604,'Investment Strategies'!$AJ:$AV,13,FALSE),
IF(AND(Investment_Strategy="Autopilot",Investment_Strategy_Sub1="Non-Standard"),VLOOKUP(Investment_Strategy&amp;"_"&amp;Investment_Strategy_Sub2&amp;"_"&amp;$A604,'Investment Strategies'!$T:$AF,13,FALSE),
IF(Investment_Strategy="DIY",DIY_ExtManChrge_FuturePremiums,
"Error"))))))</f>
        <v>0</v>
      </c>
      <c r="W604" s="16">
        <f t="shared" si="337"/>
        <v>0</v>
      </c>
      <c r="X604" s="16">
        <f t="shared" si="350"/>
        <v>0</v>
      </c>
      <c r="Y604" s="16">
        <f t="shared" si="351"/>
        <v>0</v>
      </c>
      <c r="Z604" s="31">
        <f t="shared" si="352"/>
        <v>0.02</v>
      </c>
      <c r="AA604" s="16">
        <f t="shared" si="353"/>
        <v>0</v>
      </c>
      <c r="AB604" s="28">
        <f t="shared" si="339"/>
        <v>0</v>
      </c>
      <c r="AC604" s="28">
        <f>(SUM($AC$91:AC603)+SUM($X$91:X603)+X604)*T604*IF(D604=$A$91,SRP_finalmonthfactor,1)</f>
        <v>0</v>
      </c>
      <c r="AD604" s="16">
        <f t="shared" si="354"/>
        <v>0</v>
      </c>
      <c r="AE604" s="106"/>
      <c r="AF604" s="16">
        <f t="shared" ref="AF604:AF667" si="362">H604+O604+W604</f>
        <v>0</v>
      </c>
      <c r="AG604" s="16">
        <f t="shared" ref="AG604:AG667" si="363">SUM($K604,$S604,$AC604)</f>
        <v>0</v>
      </c>
      <c r="AH604" s="16">
        <f t="shared" ref="AH604:AH667" si="364">SUM($J604,$R604,$AA604)</f>
        <v>0</v>
      </c>
      <c r="AJ604" s="13">
        <f t="shared" si="346"/>
        <v>0</v>
      </c>
      <c r="AK604" s="13">
        <f t="shared" si="346"/>
        <v>0</v>
      </c>
      <c r="AL604" s="13">
        <f t="shared" si="346"/>
        <v>0</v>
      </c>
      <c r="AM604" s="13">
        <f t="shared" si="346"/>
        <v>0</v>
      </c>
      <c r="AN604" s="13">
        <f t="shared" si="346"/>
        <v>0</v>
      </c>
      <c r="AO604" s="13">
        <f t="shared" si="346"/>
        <v>1</v>
      </c>
      <c r="AP604" s="13">
        <f t="shared" si="346"/>
        <v>1</v>
      </c>
      <c r="AQ604" s="13">
        <f t="shared" si="346"/>
        <v>1</v>
      </c>
      <c r="AR604" s="13">
        <f t="shared" si="346"/>
        <v>0</v>
      </c>
      <c r="AS604" s="13">
        <f t="shared" si="346"/>
        <v>0</v>
      </c>
      <c r="AT604" s="13">
        <f t="shared" si="346"/>
        <v>0</v>
      </c>
      <c r="AU604" s="13">
        <f t="shared" si="346"/>
        <v>0</v>
      </c>
      <c r="AV604" s="13">
        <f t="shared" si="355"/>
        <v>0</v>
      </c>
      <c r="AW604" s="13">
        <f t="shared" si="356"/>
        <v>1</v>
      </c>
      <c r="AY604" s="17">
        <f t="shared" si="357"/>
        <v>514</v>
      </c>
      <c r="AZ604" s="28">
        <f t="shared" ref="AZ604:AZ667" si="365">X604+P604</f>
        <v>0</v>
      </c>
      <c r="BA604" s="13">
        <f t="shared" si="358"/>
        <v>0</v>
      </c>
      <c r="BB604" s="13">
        <f t="shared" si="359"/>
        <v>0</v>
      </c>
      <c r="BC604" s="28">
        <f t="shared" ref="BC604:BC667" si="366">SUM(AZ604,BA604)</f>
        <v>0</v>
      </c>
      <c r="BD604" s="28">
        <f t="shared" ref="BD604:BD667" si="367">SUM(AZ604,BB604)</f>
        <v>0</v>
      </c>
      <c r="BF604" s="248">
        <f t="shared" ref="BF604:BF667" si="368">IF(ISNUMBER(BF603), (BF603+X604), (P604+X604))*(1+T604)</f>
        <v>993869.29442638322</v>
      </c>
    </row>
    <row r="605" spans="1:58">
      <c r="A605" s="32">
        <f t="shared" ref="A605:A668" si="369">A604-1</f>
        <v>-430</v>
      </c>
      <c r="B605" s="32">
        <f t="shared" si="360"/>
        <v>95</v>
      </c>
      <c r="C605" s="32">
        <f t="shared" ref="C605:C668" si="370">INT((D605-1)/12)+1</f>
        <v>43</v>
      </c>
      <c r="D605" s="32">
        <f t="shared" ref="D605:D668" si="371">D604+1</f>
        <v>515</v>
      </c>
      <c r="E605" s="74">
        <f>MIN(IF(AV605=0,0,
IF(Investment_Strategy="DIS",VLOOKUP(Investment_Strategy&amp;"_"&amp;Investment_Strategy_Sub1&amp;"_"&amp;$A605,'Investment Strategies'!$AZ:$BP,12,FALSE),
IF(AND(Investment_Strategy="Lifecycle",Investment_Strategy_Sub1="Non-Standard"),VLOOKUP(Investment_Strategy&amp;"_"&amp;Investment_Strategy_Sub2&amp;"_"&amp;$A605,'Investment Strategies'!$C:$P,9,FALSE),
IF(AND(Investment_Strategy="Lifecycle",Investment_Strategy_Sub1="Standard"),VLOOKUP(Investment_Strategy&amp;"_"&amp;Investment_Strategy_Sub2&amp;"_"&amp;$A605,'Investment Strategies'!$AJ:$AV,8,FALSE),
IF(AND(Investment_Strategy="Autopilot",Investment_Strategy_Sub1="Non-Standard"),VLOOKUP(Investment_Strategy&amp;"_"&amp;Investment_Strategy_Sub2&amp;"_"&amp;$A605,'Investment Strategies'!$T:$AF,8,FALSE),
IF(Investment_Strategy ="DIY",DIY_RateOfReturn_CurrentFunds,
"Error")))))),Max_InvReturn)</f>
        <v>0</v>
      </c>
      <c r="F605" s="62">
        <f>IF(AV605=0,0,
IF(Investment_Strategy="DIS",VLOOKUP(Investment_Strategy&amp;"_"&amp;Investment_Strategy_Sub1&amp;"_"&amp;$A605,'Investment Strategies'!$AZ:$BP,15,FALSE),
IF(AND(Investment_Strategy="Lifecycle",Investment_Strategy_Sub1="Non-Standard"),VLOOKUP(Investment_Strategy&amp;"_"&amp;Investment_Strategy_Sub2&amp;"_"&amp;$A605,'Investment Strategies'!$C:$P,12,FALSE),
IF(AND(Investment_Strategy="Lifecycle",Investment_Strategy_Sub1="Standard"),VLOOKUP(Investment_Strategy&amp;"_"&amp;Investment_Strategy_Sub2&amp;"_"&amp;$A605,'Investment Strategies'!$AJ:$AV,11,FALSE),
IF(AND(Investment_Strategy="Autopilot",Investment_Strategy_Sub1="Non-Standard"),VLOOKUP(Investment_Strategy&amp;"_"&amp;Investment_Strategy_Sub2&amp;"_"&amp;$A605,'Investment Strategies'!$T:$AF,11,FALSE),
IF(Investment_Strategy="DIY",DIY_GteeChrge_CurrentFunds,
"Error"))))))</f>
        <v>0</v>
      </c>
      <c r="G605" s="33">
        <f>IF(AV605=0,0,
IF(Investment_Strategy="DIS",VLOOKUP(Investment_Strategy&amp;"_"&amp;Investment_Strategy_Sub1&amp;"_"&amp;$A605,'Investment Strategies'!$AZ:$BP,17,FALSE),
IF(AND(Investment_Strategy="Lifecycle",Investment_Strategy_Sub1="Non-Standard"),VLOOKUP(Investment_Strategy&amp;"_"&amp;Investment_Strategy_Sub2&amp;"_"&amp;$A605,'Investment Strategies'!$C:$P,14,FALSE),
IF(AND(Investment_Strategy="Lifecycle",Investment_Strategy_Sub1="Standard"),VLOOKUP(Investment_Strategy&amp;"_"&amp;Investment_Strategy_Sub2&amp;"_"&amp;$A605,'Investment Strategies'!$AJ:$AV,13,FALSE),
IF(AND(Investment_Strategy="Autopilot",Investment_Strategy_Sub1="Non-Standard"),VLOOKUP(Investment_Strategy&amp;"_"&amp;Investment_Strategy_Sub2&amp;"_"&amp;$A605,'Investment Strategies'!$T:$AF,13,FALSE),
IF(Investment_Strategy="DIY",DIY_ExtManChrge_CurrentFunds,
"Error"))))))</f>
        <v>0</v>
      </c>
      <c r="H605" s="16">
        <f t="shared" si="361"/>
        <v>0</v>
      </c>
      <c r="I605" s="16">
        <f t="shared" si="347"/>
        <v>0</v>
      </c>
      <c r="J605" s="16">
        <f t="shared" si="348"/>
        <v>0</v>
      </c>
      <c r="K605" s="16">
        <f>(Opening_Fund_Value+SUM(K$91:K604))*E605*IF(D605=$A$91,SRP_finalmonthfactor,1)</f>
        <v>0</v>
      </c>
      <c r="L605" s="74">
        <f>MIN(IF($AV605=0,0,
IF(Investment_Strategy="DIS",VLOOKUP(Investment_Strategy&amp;"_"&amp;Investment_Strategy_Sub1&amp;"_"&amp;$A605,'Investment Strategies'!$AZ:$BP,12,FALSE),
IF(AND(Investment_Strategy="Lifecycle",Investment_Strategy_Sub1="Non-Standard"),VLOOKUP(Investment_Strategy&amp;"_"&amp;Investment_Strategy_Sub2&amp;"_"&amp;$A605,'Investment Strategies'!$C:$P,9,FALSE),
IF(AND(Investment_Strategy="Lifecycle",Investment_Strategy_Sub1="Standard"),VLOOKUP(Investment_Strategy&amp;"_"&amp;Investment_Strategy_Sub2&amp;"_"&amp;$A605,'Investment Strategies'!$AJ:$AV,8,FALSE),
IF(AND(Investment_Strategy="Autopilot",Investment_Strategy_Sub1="Non-Standard"),VLOOKUP(Investment_Strategy&amp;"_"&amp;Investment_Strategy_Sub2&amp;"_"&amp;$A605,'Investment Strategies'!$T:$AF,8,FALSE),
IF(Investment_Strategy ="DIY",DIY_RateofReturn_SP,
"Error")))))),Max_InvReturn)</f>
        <v>0</v>
      </c>
      <c r="M605" s="62">
        <f>IF($AV605=0,0,
IF(Investment_Strategy="DIS",VLOOKUP(Investment_Strategy&amp;"_"&amp;Investment_Strategy_Sub1&amp;"_"&amp;$A605,'Investment Strategies'!$AZ:$BP,15,FALSE),
IF(AND(Investment_Strategy="Lifecycle",Investment_Strategy_Sub1="Non-Standard"),VLOOKUP(Investment_Strategy&amp;"_"&amp;Investment_Strategy_Sub2&amp;"_"&amp;$A605,'Investment Strategies'!$C:$P,12,FALSE),
IF(AND(Investment_Strategy="Lifecycle",Investment_Strategy_Sub1="Standard"),VLOOKUP(Investment_Strategy&amp;"_"&amp;Investment_Strategy_Sub2&amp;"_"&amp;$A605,'Investment Strategies'!$AJ:$AV,11,FALSE),
IF(AND(Investment_Strategy="Autopilot",Investment_Strategy_Sub1="Non-Standard"),VLOOKUP(Investment_Strategy&amp;"_"&amp;Investment_Strategy_Sub2&amp;"_"&amp;$A605,'Investment Strategies'!$T:$AF,11,FALSE),
IF(Investment_Strategy="DIY",DIY_GteeChrge_SP,
"Error"))))))</f>
        <v>0</v>
      </c>
      <c r="N605" s="33">
        <f>IF($AV605=0,0,
IF(Investment_Strategy="DIS",VLOOKUP(Investment_Strategy&amp;"_"&amp;Investment_Strategy_Sub1&amp;"_"&amp;$A605,'Investment Strategies'!$AZ:$BP,17,FALSE),
IF(AND(Investment_Strategy="Lifecycle",Investment_Strategy_Sub1="Non-Standard"),VLOOKUP(Investment_Strategy&amp;"_"&amp;Investment_Strategy_Sub2&amp;"_"&amp;$A605,'Investment Strategies'!$C:$P,14,FALSE),
IF(AND(Investment_Strategy="Lifecycle",Investment_Strategy_Sub1="Standard"),VLOOKUP(Investment_Strategy&amp;"_"&amp;Investment_Strategy_Sub2&amp;"_"&amp;$A605,'Investment Strategies'!$AJ:$AV,13,FALSE),
IF(AND(Investment_Strategy="Autopilot",Investment_Strategy_Sub1="Non-Standard"),VLOOKUP(Investment_Strategy&amp;"_"&amp;Investment_Strategy_Sub2&amp;"_"&amp;$A605,'Investment Strategies'!$T:$AF,13,FALSE),
IF(Investment_Strategy="DIY",DIY_ExtManChrge_SP,
"Error"))))))</f>
        <v>0</v>
      </c>
      <c r="O605" s="16">
        <f t="shared" ref="O605:O668" si="372">IF($AV604=0,0,SUM(O604:R604))</f>
        <v>0</v>
      </c>
      <c r="Q605" s="16">
        <f t="shared" si="349"/>
        <v>0</v>
      </c>
      <c r="R605" s="16">
        <f t="shared" si="345"/>
        <v>0</v>
      </c>
      <c r="S605" s="16">
        <f>(SRP_SP+SUM(S$91:S604))*L605*IF(D605=$A$91,SRP_finalmonthfactor,1)</f>
        <v>0</v>
      </c>
      <c r="T605" s="74">
        <f>MIN(IF($AV605=0,0,
IF(Investment_Strategy="DIS",VLOOKUP(Investment_Strategy&amp;"_"&amp;Investment_Strategy_Sub1&amp;"_"&amp;$A605,'Investment Strategies'!$AZ:$BP,12,FALSE),
IF(AND(Investment_Strategy="Lifecycle",Investment_Strategy_Sub1="Non-Standard"),VLOOKUP(Investment_Strategy&amp;"_"&amp;Investment_Strategy_Sub2&amp;"_"&amp;$A605,'Investment Strategies'!$C:$P,9,FALSE),
IF(AND(Investment_Strategy="Lifecycle",Investment_Strategy_Sub1="Standard"),VLOOKUP(Investment_Strategy&amp;"_"&amp;Investment_Strategy_Sub2&amp;"_"&amp;$A605,'Investment Strategies'!$AJ:$AV,8,FALSE),
IF(AND(Investment_Strategy="Autopilot",Investment_Strategy_Sub1="Non-Standard"),VLOOKUP(Investment_Strategy&amp;"_"&amp;Investment_Strategy_Sub2&amp;"_"&amp;$A605,'Investment Strategies'!$T:$AF,8,FALSE),
IF(Investment_Strategy ="DIY",DIY_RateOfReturn_FuturePremiums,
"Error")))))),Max_InvReturn)</f>
        <v>0</v>
      </c>
      <c r="U605" s="62">
        <f>IF($AV605=0,0,
IF(Investment_Strategy="DIS",VLOOKUP(Investment_Strategy&amp;"_"&amp;Investment_Strategy_Sub1&amp;"_"&amp;$A605,'Investment Strategies'!$AZ:$BP,15,FALSE),
IF(AND(Investment_Strategy="Lifecycle",Investment_Strategy_Sub1="Non-Standard"),VLOOKUP(Investment_Strategy&amp;"_"&amp;Investment_Strategy_Sub2&amp;"_"&amp;$A605,'Investment Strategies'!$C:$P,12,FALSE),
IF(AND(Investment_Strategy="Lifecycle",Investment_Strategy_Sub1="Standard"),VLOOKUP(Investment_Strategy&amp;"_"&amp;Investment_Strategy_Sub2&amp;"_"&amp;$A605,'Investment Strategies'!$AJ:$AV,11,FALSE),
IF(AND(Investment_Strategy="Autopilot",Investment_Strategy_Sub1="Non-Standard"),VLOOKUP(Investment_Strategy&amp;"_"&amp;Investment_Strategy_Sub2&amp;"_"&amp;$A605,'Investment Strategies'!$T:$AF,11,FALSE),
IF(Investment_Strategy="DIY",DIY_GteeChrge_FuturePremiums,
"Error"))))))</f>
        <v>0</v>
      </c>
      <c r="V605" s="33">
        <f>IF(AV605=0,0,
IF(Investment_Strategy="DIS",VLOOKUP(Investment_Strategy&amp;"_"&amp;Investment_Strategy_Sub1&amp;"_"&amp;$A605,'Investment Strategies'!$AZ:$BP,17,FALSE),
IF(AND(Investment_Strategy="Lifecycle",Investment_Strategy_Sub1="Non-Standard"),VLOOKUP(Investment_Strategy&amp;"_"&amp;Investment_Strategy_Sub2&amp;"_"&amp;$A605,'Investment Strategies'!$C:$P,14,FALSE),
IF(AND(Investment_Strategy="Lifecycle",Investment_Strategy_Sub1="Standard"),VLOOKUP(Investment_Strategy&amp;"_"&amp;Investment_Strategy_Sub2&amp;"_"&amp;$A605,'Investment Strategies'!$AJ:$AV,13,FALSE),
IF(AND(Investment_Strategy="Autopilot",Investment_Strategy_Sub1="Non-Standard"),VLOOKUP(Investment_Strategy&amp;"_"&amp;Investment_Strategy_Sub2&amp;"_"&amp;$A605,'Investment Strategies'!$T:$AF,13,FALSE),
IF(Investment_Strategy="DIY",DIY_ExtManChrge_FuturePremiums,
"Error"))))))</f>
        <v>0</v>
      </c>
      <c r="W605" s="16">
        <f t="shared" ref="W605:W668" si="373">IF($AV604=0,0,SUM(W604:Y604)+AA604)</f>
        <v>0</v>
      </c>
      <c r="X605" s="16">
        <f t="shared" si="350"/>
        <v>0</v>
      </c>
      <c r="Y605" s="16">
        <f t="shared" si="351"/>
        <v>0</v>
      </c>
      <c r="Z605" s="31">
        <f t="shared" si="352"/>
        <v>0.02</v>
      </c>
      <c r="AA605" s="16">
        <f t="shared" si="353"/>
        <v>0</v>
      </c>
      <c r="AB605" s="28">
        <f t="shared" si="339"/>
        <v>0</v>
      </c>
      <c r="AC605" s="28">
        <f>(SUM($AC$91:AC604)+SUM($X$91:X604)+X605)*T605*IF(D605=$A$91,SRP_finalmonthfactor,1)</f>
        <v>0</v>
      </c>
      <c r="AD605" s="16">
        <f t="shared" si="354"/>
        <v>0</v>
      </c>
      <c r="AE605" s="106"/>
      <c r="AF605" s="16">
        <f t="shared" si="362"/>
        <v>0</v>
      </c>
      <c r="AG605" s="16">
        <f t="shared" si="363"/>
        <v>0</v>
      </c>
      <c r="AH605" s="16">
        <f t="shared" si="364"/>
        <v>0</v>
      </c>
      <c r="AJ605" s="13">
        <f t="shared" si="346"/>
        <v>0</v>
      </c>
      <c r="AK605" s="13">
        <f t="shared" si="346"/>
        <v>0</v>
      </c>
      <c r="AL605" s="13">
        <f t="shared" si="346"/>
        <v>0</v>
      </c>
      <c r="AM605" s="13">
        <f t="shared" si="346"/>
        <v>0</v>
      </c>
      <c r="AN605" s="13">
        <f t="shared" si="346"/>
        <v>0</v>
      </c>
      <c r="AO605" s="13">
        <f t="shared" si="346"/>
        <v>1</v>
      </c>
      <c r="AP605" s="13">
        <f t="shared" si="346"/>
        <v>1</v>
      </c>
      <c r="AQ605" s="13">
        <f t="shared" si="346"/>
        <v>1</v>
      </c>
      <c r="AR605" s="13">
        <f t="shared" si="346"/>
        <v>0</v>
      </c>
      <c r="AS605" s="13">
        <f t="shared" si="346"/>
        <v>0</v>
      </c>
      <c r="AT605" s="13">
        <f t="shared" si="346"/>
        <v>0</v>
      </c>
      <c r="AU605" s="13">
        <f t="shared" si="346"/>
        <v>0</v>
      </c>
      <c r="AV605" s="13">
        <f t="shared" si="355"/>
        <v>0</v>
      </c>
      <c r="AW605" s="13">
        <f t="shared" si="356"/>
        <v>1</v>
      </c>
      <c r="AY605" s="17">
        <f t="shared" si="357"/>
        <v>515</v>
      </c>
      <c r="AZ605" s="28">
        <f t="shared" si="365"/>
        <v>0</v>
      </c>
      <c r="BA605" s="13">
        <f t="shared" si="358"/>
        <v>0</v>
      </c>
      <c r="BB605" s="13">
        <f t="shared" si="359"/>
        <v>0</v>
      </c>
      <c r="BC605" s="28">
        <f t="shared" si="366"/>
        <v>0</v>
      </c>
      <c r="BD605" s="28">
        <f t="shared" si="367"/>
        <v>0</v>
      </c>
      <c r="BF605" s="248">
        <f t="shared" si="368"/>
        <v>993869.29442638322</v>
      </c>
    </row>
    <row r="606" spans="1:58">
      <c r="A606" s="32">
        <f t="shared" si="369"/>
        <v>-431</v>
      </c>
      <c r="B606" s="32">
        <f t="shared" si="360"/>
        <v>95</v>
      </c>
      <c r="C606" s="32">
        <f t="shared" si="370"/>
        <v>43</v>
      </c>
      <c r="D606" s="32">
        <f t="shared" si="371"/>
        <v>516</v>
      </c>
      <c r="E606" s="74">
        <f>MIN(IF(AV606=0,0,
IF(Investment_Strategy="DIS",VLOOKUP(Investment_Strategy&amp;"_"&amp;Investment_Strategy_Sub1&amp;"_"&amp;$A606,'Investment Strategies'!$AZ:$BP,12,FALSE),
IF(AND(Investment_Strategy="Lifecycle",Investment_Strategy_Sub1="Non-Standard"),VLOOKUP(Investment_Strategy&amp;"_"&amp;Investment_Strategy_Sub2&amp;"_"&amp;$A606,'Investment Strategies'!$C:$P,9,FALSE),
IF(AND(Investment_Strategy="Lifecycle",Investment_Strategy_Sub1="Standard"),VLOOKUP(Investment_Strategy&amp;"_"&amp;Investment_Strategy_Sub2&amp;"_"&amp;$A606,'Investment Strategies'!$AJ:$AV,8,FALSE),
IF(AND(Investment_Strategy="Autopilot",Investment_Strategy_Sub1="Non-Standard"),VLOOKUP(Investment_Strategy&amp;"_"&amp;Investment_Strategy_Sub2&amp;"_"&amp;$A606,'Investment Strategies'!$T:$AF,8,FALSE),
IF(Investment_Strategy ="DIY",DIY_RateOfReturn_CurrentFunds,
"Error")))))),Max_InvReturn)</f>
        <v>0</v>
      </c>
      <c r="F606" s="62">
        <f>IF(AV606=0,0,
IF(Investment_Strategy="DIS",VLOOKUP(Investment_Strategy&amp;"_"&amp;Investment_Strategy_Sub1&amp;"_"&amp;$A606,'Investment Strategies'!$AZ:$BP,15,FALSE),
IF(AND(Investment_Strategy="Lifecycle",Investment_Strategy_Sub1="Non-Standard"),VLOOKUP(Investment_Strategy&amp;"_"&amp;Investment_Strategy_Sub2&amp;"_"&amp;$A606,'Investment Strategies'!$C:$P,12,FALSE),
IF(AND(Investment_Strategy="Lifecycle",Investment_Strategy_Sub1="Standard"),VLOOKUP(Investment_Strategy&amp;"_"&amp;Investment_Strategy_Sub2&amp;"_"&amp;$A606,'Investment Strategies'!$AJ:$AV,11,FALSE),
IF(AND(Investment_Strategy="Autopilot",Investment_Strategy_Sub1="Non-Standard"),VLOOKUP(Investment_Strategy&amp;"_"&amp;Investment_Strategy_Sub2&amp;"_"&amp;$A606,'Investment Strategies'!$T:$AF,11,FALSE),
IF(Investment_Strategy="DIY",DIY_GteeChrge_CurrentFunds,
"Error"))))))</f>
        <v>0</v>
      </c>
      <c r="G606" s="33">
        <f>IF(AV606=0,0,
IF(Investment_Strategy="DIS",VLOOKUP(Investment_Strategy&amp;"_"&amp;Investment_Strategy_Sub1&amp;"_"&amp;$A606,'Investment Strategies'!$AZ:$BP,17,FALSE),
IF(AND(Investment_Strategy="Lifecycle",Investment_Strategy_Sub1="Non-Standard"),VLOOKUP(Investment_Strategy&amp;"_"&amp;Investment_Strategy_Sub2&amp;"_"&amp;$A606,'Investment Strategies'!$C:$P,14,FALSE),
IF(AND(Investment_Strategy="Lifecycle",Investment_Strategy_Sub1="Standard"),VLOOKUP(Investment_Strategy&amp;"_"&amp;Investment_Strategy_Sub2&amp;"_"&amp;$A606,'Investment Strategies'!$AJ:$AV,13,FALSE),
IF(AND(Investment_Strategy="Autopilot",Investment_Strategy_Sub1="Non-Standard"),VLOOKUP(Investment_Strategy&amp;"_"&amp;Investment_Strategy_Sub2&amp;"_"&amp;$A606,'Investment Strategies'!$T:$AF,13,FALSE),
IF(Investment_Strategy="DIY",DIY_ExtManChrge_CurrentFunds,
"Error"))))))</f>
        <v>0</v>
      </c>
      <c r="H606" s="16">
        <f t="shared" si="361"/>
        <v>0</v>
      </c>
      <c r="I606" s="16">
        <f t="shared" si="347"/>
        <v>0</v>
      </c>
      <c r="J606" s="16">
        <f t="shared" si="348"/>
        <v>0</v>
      </c>
      <c r="K606" s="16">
        <f>(Opening_Fund_Value+SUM(K$91:K605))*E606*IF(D606=$A$91,SRP_finalmonthfactor,1)</f>
        <v>0</v>
      </c>
      <c r="L606" s="74">
        <f>MIN(IF($AV606=0,0,
IF(Investment_Strategy="DIS",VLOOKUP(Investment_Strategy&amp;"_"&amp;Investment_Strategy_Sub1&amp;"_"&amp;$A606,'Investment Strategies'!$AZ:$BP,12,FALSE),
IF(AND(Investment_Strategy="Lifecycle",Investment_Strategy_Sub1="Non-Standard"),VLOOKUP(Investment_Strategy&amp;"_"&amp;Investment_Strategy_Sub2&amp;"_"&amp;$A606,'Investment Strategies'!$C:$P,9,FALSE),
IF(AND(Investment_Strategy="Lifecycle",Investment_Strategy_Sub1="Standard"),VLOOKUP(Investment_Strategy&amp;"_"&amp;Investment_Strategy_Sub2&amp;"_"&amp;$A606,'Investment Strategies'!$AJ:$AV,8,FALSE),
IF(AND(Investment_Strategy="Autopilot",Investment_Strategy_Sub1="Non-Standard"),VLOOKUP(Investment_Strategy&amp;"_"&amp;Investment_Strategy_Sub2&amp;"_"&amp;$A606,'Investment Strategies'!$T:$AF,8,FALSE),
IF(Investment_Strategy ="DIY",DIY_RateofReturn_SP,
"Error")))))),Max_InvReturn)</f>
        <v>0</v>
      </c>
      <c r="M606" s="62">
        <f>IF($AV606=0,0,
IF(Investment_Strategy="DIS",VLOOKUP(Investment_Strategy&amp;"_"&amp;Investment_Strategy_Sub1&amp;"_"&amp;$A606,'Investment Strategies'!$AZ:$BP,15,FALSE),
IF(AND(Investment_Strategy="Lifecycle",Investment_Strategy_Sub1="Non-Standard"),VLOOKUP(Investment_Strategy&amp;"_"&amp;Investment_Strategy_Sub2&amp;"_"&amp;$A606,'Investment Strategies'!$C:$P,12,FALSE),
IF(AND(Investment_Strategy="Lifecycle",Investment_Strategy_Sub1="Standard"),VLOOKUP(Investment_Strategy&amp;"_"&amp;Investment_Strategy_Sub2&amp;"_"&amp;$A606,'Investment Strategies'!$AJ:$AV,11,FALSE),
IF(AND(Investment_Strategy="Autopilot",Investment_Strategy_Sub1="Non-Standard"),VLOOKUP(Investment_Strategy&amp;"_"&amp;Investment_Strategy_Sub2&amp;"_"&amp;$A606,'Investment Strategies'!$T:$AF,11,FALSE),
IF(Investment_Strategy="DIY",DIY_GteeChrge_SP,
"Error"))))))</f>
        <v>0</v>
      </c>
      <c r="N606" s="33">
        <f>IF($AV606=0,0,
IF(Investment_Strategy="DIS",VLOOKUP(Investment_Strategy&amp;"_"&amp;Investment_Strategy_Sub1&amp;"_"&amp;$A606,'Investment Strategies'!$AZ:$BP,17,FALSE),
IF(AND(Investment_Strategy="Lifecycle",Investment_Strategy_Sub1="Non-Standard"),VLOOKUP(Investment_Strategy&amp;"_"&amp;Investment_Strategy_Sub2&amp;"_"&amp;$A606,'Investment Strategies'!$C:$P,14,FALSE),
IF(AND(Investment_Strategy="Lifecycle",Investment_Strategy_Sub1="Standard"),VLOOKUP(Investment_Strategy&amp;"_"&amp;Investment_Strategy_Sub2&amp;"_"&amp;$A606,'Investment Strategies'!$AJ:$AV,13,FALSE),
IF(AND(Investment_Strategy="Autopilot",Investment_Strategy_Sub1="Non-Standard"),VLOOKUP(Investment_Strategy&amp;"_"&amp;Investment_Strategy_Sub2&amp;"_"&amp;$A606,'Investment Strategies'!$T:$AF,13,FALSE),
IF(Investment_Strategy="DIY",DIY_ExtManChrge_SP,
"Error"))))))</f>
        <v>0</v>
      </c>
      <c r="O606" s="16">
        <f t="shared" si="372"/>
        <v>0</v>
      </c>
      <c r="Q606" s="16">
        <f t="shared" si="349"/>
        <v>0</v>
      </c>
      <c r="R606" s="16">
        <f t="shared" si="345"/>
        <v>0</v>
      </c>
      <c r="S606" s="16">
        <f>(SRP_SP+SUM(S$91:S605))*L606*IF(D606=$A$91,SRP_finalmonthfactor,1)</f>
        <v>0</v>
      </c>
      <c r="T606" s="74">
        <f>MIN(IF($AV606=0,0,
IF(Investment_Strategy="DIS",VLOOKUP(Investment_Strategy&amp;"_"&amp;Investment_Strategy_Sub1&amp;"_"&amp;$A606,'Investment Strategies'!$AZ:$BP,12,FALSE),
IF(AND(Investment_Strategy="Lifecycle",Investment_Strategy_Sub1="Non-Standard"),VLOOKUP(Investment_Strategy&amp;"_"&amp;Investment_Strategy_Sub2&amp;"_"&amp;$A606,'Investment Strategies'!$C:$P,9,FALSE),
IF(AND(Investment_Strategy="Lifecycle",Investment_Strategy_Sub1="Standard"),VLOOKUP(Investment_Strategy&amp;"_"&amp;Investment_Strategy_Sub2&amp;"_"&amp;$A606,'Investment Strategies'!$AJ:$AV,8,FALSE),
IF(AND(Investment_Strategy="Autopilot",Investment_Strategy_Sub1="Non-Standard"),VLOOKUP(Investment_Strategy&amp;"_"&amp;Investment_Strategy_Sub2&amp;"_"&amp;$A606,'Investment Strategies'!$T:$AF,8,FALSE),
IF(Investment_Strategy ="DIY",DIY_RateOfReturn_FuturePremiums,
"Error")))))),Max_InvReturn)</f>
        <v>0</v>
      </c>
      <c r="U606" s="62">
        <f>IF($AV606=0,0,
IF(Investment_Strategy="DIS",VLOOKUP(Investment_Strategy&amp;"_"&amp;Investment_Strategy_Sub1&amp;"_"&amp;$A606,'Investment Strategies'!$AZ:$BP,15,FALSE),
IF(AND(Investment_Strategy="Lifecycle",Investment_Strategy_Sub1="Non-Standard"),VLOOKUP(Investment_Strategy&amp;"_"&amp;Investment_Strategy_Sub2&amp;"_"&amp;$A606,'Investment Strategies'!$C:$P,12,FALSE),
IF(AND(Investment_Strategy="Lifecycle",Investment_Strategy_Sub1="Standard"),VLOOKUP(Investment_Strategy&amp;"_"&amp;Investment_Strategy_Sub2&amp;"_"&amp;$A606,'Investment Strategies'!$AJ:$AV,11,FALSE),
IF(AND(Investment_Strategy="Autopilot",Investment_Strategy_Sub1="Non-Standard"),VLOOKUP(Investment_Strategy&amp;"_"&amp;Investment_Strategy_Sub2&amp;"_"&amp;$A606,'Investment Strategies'!$T:$AF,11,FALSE),
IF(Investment_Strategy="DIY",DIY_GteeChrge_FuturePremiums,
"Error"))))))</f>
        <v>0</v>
      </c>
      <c r="V606" s="33">
        <f>IF(AV606=0,0,
IF(Investment_Strategy="DIS",VLOOKUP(Investment_Strategy&amp;"_"&amp;Investment_Strategy_Sub1&amp;"_"&amp;$A606,'Investment Strategies'!$AZ:$BP,17,FALSE),
IF(AND(Investment_Strategy="Lifecycle",Investment_Strategy_Sub1="Non-Standard"),VLOOKUP(Investment_Strategy&amp;"_"&amp;Investment_Strategy_Sub2&amp;"_"&amp;$A606,'Investment Strategies'!$C:$P,14,FALSE),
IF(AND(Investment_Strategy="Lifecycle",Investment_Strategy_Sub1="Standard"),VLOOKUP(Investment_Strategy&amp;"_"&amp;Investment_Strategy_Sub2&amp;"_"&amp;$A606,'Investment Strategies'!$AJ:$AV,13,FALSE),
IF(AND(Investment_Strategy="Autopilot",Investment_Strategy_Sub1="Non-Standard"),VLOOKUP(Investment_Strategy&amp;"_"&amp;Investment_Strategy_Sub2&amp;"_"&amp;$A606,'Investment Strategies'!$T:$AF,13,FALSE),
IF(Investment_Strategy="DIY",DIY_ExtManChrge_FuturePremiums,
"Error"))))))</f>
        <v>0</v>
      </c>
      <c r="W606" s="16">
        <f t="shared" si="373"/>
        <v>0</v>
      </c>
      <c r="X606" s="16">
        <f t="shared" si="350"/>
        <v>0</v>
      </c>
      <c r="Y606" s="16">
        <f t="shared" si="351"/>
        <v>0</v>
      </c>
      <c r="Z606" s="31">
        <f t="shared" si="352"/>
        <v>0.02</v>
      </c>
      <c r="AA606" s="16">
        <f t="shared" si="353"/>
        <v>0</v>
      </c>
      <c r="AB606" s="28">
        <f t="shared" ref="AB606:AB669" si="374">IF($AV605=0,0,SUM(K605,S605,AB605:AC605)+X605)</f>
        <v>0</v>
      </c>
      <c r="AC606" s="28">
        <f>(SUM($AC$91:AC605)+SUM($X$91:X605)+X606)*T606*IF(D606=$A$91,SRP_finalmonthfactor,1)</f>
        <v>0</v>
      </c>
      <c r="AD606" s="16">
        <f t="shared" si="354"/>
        <v>0</v>
      </c>
      <c r="AE606" s="106"/>
      <c r="AF606" s="16">
        <f t="shared" si="362"/>
        <v>0</v>
      </c>
      <c r="AG606" s="16">
        <f t="shared" si="363"/>
        <v>0</v>
      </c>
      <c r="AH606" s="16">
        <f t="shared" si="364"/>
        <v>0</v>
      </c>
      <c r="AJ606" s="13">
        <f t="shared" si="346"/>
        <v>0</v>
      </c>
      <c r="AK606" s="13">
        <f t="shared" si="346"/>
        <v>0</v>
      </c>
      <c r="AL606" s="13">
        <f t="shared" si="346"/>
        <v>0</v>
      </c>
      <c r="AM606" s="13">
        <f t="shared" si="346"/>
        <v>0</v>
      </c>
      <c r="AN606" s="13">
        <f t="shared" si="346"/>
        <v>0</v>
      </c>
      <c r="AO606" s="13">
        <f t="shared" si="346"/>
        <v>1</v>
      </c>
      <c r="AP606" s="13">
        <f t="shared" si="346"/>
        <v>1</v>
      </c>
      <c r="AQ606" s="13">
        <f t="shared" si="346"/>
        <v>1</v>
      </c>
      <c r="AR606" s="13">
        <f t="shared" si="346"/>
        <v>0</v>
      </c>
      <c r="AS606" s="13">
        <f t="shared" si="346"/>
        <v>0</v>
      </c>
      <c r="AT606" s="13">
        <f t="shared" si="346"/>
        <v>0</v>
      </c>
      <c r="AU606" s="13">
        <f t="shared" si="346"/>
        <v>0</v>
      </c>
      <c r="AV606" s="13">
        <f t="shared" si="355"/>
        <v>0</v>
      </c>
      <c r="AW606" s="13">
        <f t="shared" si="356"/>
        <v>1</v>
      </c>
      <c r="AY606" s="17">
        <f t="shared" si="357"/>
        <v>516</v>
      </c>
      <c r="AZ606" s="28">
        <f t="shared" si="365"/>
        <v>0</v>
      </c>
      <c r="BA606" s="13">
        <f t="shared" si="358"/>
        <v>0</v>
      </c>
      <c r="BB606" s="13">
        <f t="shared" si="359"/>
        <v>0</v>
      </c>
      <c r="BC606" s="28">
        <f t="shared" si="366"/>
        <v>0</v>
      </c>
      <c r="BD606" s="28">
        <f t="shared" si="367"/>
        <v>0</v>
      </c>
      <c r="BF606" s="248">
        <f t="shared" si="368"/>
        <v>993869.29442638322</v>
      </c>
    </row>
    <row r="607" spans="1:58">
      <c r="A607" s="32">
        <f t="shared" si="369"/>
        <v>-432</v>
      </c>
      <c r="B607" s="32">
        <f t="shared" si="360"/>
        <v>96</v>
      </c>
      <c r="C607" s="32">
        <f t="shared" si="370"/>
        <v>44</v>
      </c>
      <c r="D607" s="32">
        <f t="shared" si="371"/>
        <v>517</v>
      </c>
      <c r="E607" s="74">
        <f>MIN(IF(AV607=0,0,
IF(Investment_Strategy="DIS",VLOOKUP(Investment_Strategy&amp;"_"&amp;Investment_Strategy_Sub1&amp;"_"&amp;$A607,'Investment Strategies'!$AZ:$BP,12,FALSE),
IF(AND(Investment_Strategy="Lifecycle",Investment_Strategy_Sub1="Non-Standard"),VLOOKUP(Investment_Strategy&amp;"_"&amp;Investment_Strategy_Sub2&amp;"_"&amp;$A607,'Investment Strategies'!$C:$P,9,FALSE),
IF(AND(Investment_Strategy="Lifecycle",Investment_Strategy_Sub1="Standard"),VLOOKUP(Investment_Strategy&amp;"_"&amp;Investment_Strategy_Sub2&amp;"_"&amp;$A607,'Investment Strategies'!$AJ:$AV,8,FALSE),
IF(AND(Investment_Strategy="Autopilot",Investment_Strategy_Sub1="Non-Standard"),VLOOKUP(Investment_Strategy&amp;"_"&amp;Investment_Strategy_Sub2&amp;"_"&amp;$A607,'Investment Strategies'!$T:$AF,8,FALSE),
IF(Investment_Strategy ="DIY",DIY_RateOfReturn_CurrentFunds,
"Error")))))),Max_InvReturn)</f>
        <v>0</v>
      </c>
      <c r="F607" s="62">
        <f>IF(AV607=0,0,
IF(Investment_Strategy="DIS",VLOOKUP(Investment_Strategy&amp;"_"&amp;Investment_Strategy_Sub1&amp;"_"&amp;$A607,'Investment Strategies'!$AZ:$BP,15,FALSE),
IF(AND(Investment_Strategy="Lifecycle",Investment_Strategy_Sub1="Non-Standard"),VLOOKUP(Investment_Strategy&amp;"_"&amp;Investment_Strategy_Sub2&amp;"_"&amp;$A607,'Investment Strategies'!$C:$P,12,FALSE),
IF(AND(Investment_Strategy="Lifecycle",Investment_Strategy_Sub1="Standard"),VLOOKUP(Investment_Strategy&amp;"_"&amp;Investment_Strategy_Sub2&amp;"_"&amp;$A607,'Investment Strategies'!$AJ:$AV,11,FALSE),
IF(AND(Investment_Strategy="Autopilot",Investment_Strategy_Sub1="Non-Standard"),VLOOKUP(Investment_Strategy&amp;"_"&amp;Investment_Strategy_Sub2&amp;"_"&amp;$A607,'Investment Strategies'!$T:$AF,11,FALSE),
IF(Investment_Strategy="DIY",DIY_GteeChrge_CurrentFunds,
"Error"))))))</f>
        <v>0</v>
      </c>
      <c r="G607" s="33">
        <f>IF(AV607=0,0,
IF(Investment_Strategy="DIS",VLOOKUP(Investment_Strategy&amp;"_"&amp;Investment_Strategy_Sub1&amp;"_"&amp;$A607,'Investment Strategies'!$AZ:$BP,17,FALSE),
IF(AND(Investment_Strategy="Lifecycle",Investment_Strategy_Sub1="Non-Standard"),VLOOKUP(Investment_Strategy&amp;"_"&amp;Investment_Strategy_Sub2&amp;"_"&amp;$A607,'Investment Strategies'!$C:$P,14,FALSE),
IF(AND(Investment_Strategy="Lifecycle",Investment_Strategy_Sub1="Standard"),VLOOKUP(Investment_Strategy&amp;"_"&amp;Investment_Strategy_Sub2&amp;"_"&amp;$A607,'Investment Strategies'!$AJ:$AV,13,FALSE),
IF(AND(Investment_Strategy="Autopilot",Investment_Strategy_Sub1="Non-Standard"),VLOOKUP(Investment_Strategy&amp;"_"&amp;Investment_Strategy_Sub2&amp;"_"&amp;$A607,'Investment Strategies'!$T:$AF,13,FALSE),
IF(Investment_Strategy="DIY",DIY_ExtManChrge_CurrentFunds,
"Error"))))))</f>
        <v>0</v>
      </c>
      <c r="H607" s="16">
        <f t="shared" si="361"/>
        <v>0</v>
      </c>
      <c r="I607" s="16">
        <f t="shared" si="347"/>
        <v>0</v>
      </c>
      <c r="J607" s="16">
        <f t="shared" si="348"/>
        <v>0</v>
      </c>
      <c r="K607" s="16">
        <f>(Opening_Fund_Value+SUM(K$91:K606))*E607*IF(D607=$A$91,SRP_finalmonthfactor,1)</f>
        <v>0</v>
      </c>
      <c r="L607" s="74">
        <f>MIN(IF($AV607=0,0,
IF(Investment_Strategy="DIS",VLOOKUP(Investment_Strategy&amp;"_"&amp;Investment_Strategy_Sub1&amp;"_"&amp;$A607,'Investment Strategies'!$AZ:$BP,12,FALSE),
IF(AND(Investment_Strategy="Lifecycle",Investment_Strategy_Sub1="Non-Standard"),VLOOKUP(Investment_Strategy&amp;"_"&amp;Investment_Strategy_Sub2&amp;"_"&amp;$A607,'Investment Strategies'!$C:$P,9,FALSE),
IF(AND(Investment_Strategy="Lifecycle",Investment_Strategy_Sub1="Standard"),VLOOKUP(Investment_Strategy&amp;"_"&amp;Investment_Strategy_Sub2&amp;"_"&amp;$A607,'Investment Strategies'!$AJ:$AV,8,FALSE),
IF(AND(Investment_Strategy="Autopilot",Investment_Strategy_Sub1="Non-Standard"),VLOOKUP(Investment_Strategy&amp;"_"&amp;Investment_Strategy_Sub2&amp;"_"&amp;$A607,'Investment Strategies'!$T:$AF,8,FALSE),
IF(Investment_Strategy ="DIY",DIY_RateofReturn_SP,
"Error")))))),Max_InvReturn)</f>
        <v>0</v>
      </c>
      <c r="M607" s="62">
        <f>IF($AV607=0,0,
IF(Investment_Strategy="DIS",VLOOKUP(Investment_Strategy&amp;"_"&amp;Investment_Strategy_Sub1&amp;"_"&amp;$A607,'Investment Strategies'!$AZ:$BP,15,FALSE),
IF(AND(Investment_Strategy="Lifecycle",Investment_Strategy_Sub1="Non-Standard"),VLOOKUP(Investment_Strategy&amp;"_"&amp;Investment_Strategy_Sub2&amp;"_"&amp;$A607,'Investment Strategies'!$C:$P,12,FALSE),
IF(AND(Investment_Strategy="Lifecycle",Investment_Strategy_Sub1="Standard"),VLOOKUP(Investment_Strategy&amp;"_"&amp;Investment_Strategy_Sub2&amp;"_"&amp;$A607,'Investment Strategies'!$AJ:$AV,11,FALSE),
IF(AND(Investment_Strategy="Autopilot",Investment_Strategy_Sub1="Non-Standard"),VLOOKUP(Investment_Strategy&amp;"_"&amp;Investment_Strategy_Sub2&amp;"_"&amp;$A607,'Investment Strategies'!$T:$AF,11,FALSE),
IF(Investment_Strategy="DIY",DIY_GteeChrge_SP,
"Error"))))))</f>
        <v>0</v>
      </c>
      <c r="N607" s="33">
        <f>IF($AV607=0,0,
IF(Investment_Strategy="DIS",VLOOKUP(Investment_Strategy&amp;"_"&amp;Investment_Strategy_Sub1&amp;"_"&amp;$A607,'Investment Strategies'!$AZ:$BP,17,FALSE),
IF(AND(Investment_Strategy="Lifecycle",Investment_Strategy_Sub1="Non-Standard"),VLOOKUP(Investment_Strategy&amp;"_"&amp;Investment_Strategy_Sub2&amp;"_"&amp;$A607,'Investment Strategies'!$C:$P,14,FALSE),
IF(AND(Investment_Strategy="Lifecycle",Investment_Strategy_Sub1="Standard"),VLOOKUP(Investment_Strategy&amp;"_"&amp;Investment_Strategy_Sub2&amp;"_"&amp;$A607,'Investment Strategies'!$AJ:$AV,13,FALSE),
IF(AND(Investment_Strategy="Autopilot",Investment_Strategy_Sub1="Non-Standard"),VLOOKUP(Investment_Strategy&amp;"_"&amp;Investment_Strategy_Sub2&amp;"_"&amp;$A607,'Investment Strategies'!$T:$AF,13,FALSE),
IF(Investment_Strategy="DIY",DIY_ExtManChrge_SP,
"Error"))))))</f>
        <v>0</v>
      </c>
      <c r="O607" s="16">
        <f t="shared" si="372"/>
        <v>0</v>
      </c>
      <c r="Q607" s="16">
        <f t="shared" si="349"/>
        <v>0</v>
      </c>
      <c r="R607" s="16">
        <f t="shared" si="345"/>
        <v>0</v>
      </c>
      <c r="S607" s="16">
        <f>(SRP_SP+SUM(S$91:S606))*L607*IF(D607=$A$91,SRP_finalmonthfactor,1)</f>
        <v>0</v>
      </c>
      <c r="T607" s="74">
        <f>MIN(IF($AV607=0,0,
IF(Investment_Strategy="DIS",VLOOKUP(Investment_Strategy&amp;"_"&amp;Investment_Strategy_Sub1&amp;"_"&amp;$A607,'Investment Strategies'!$AZ:$BP,12,FALSE),
IF(AND(Investment_Strategy="Lifecycle",Investment_Strategy_Sub1="Non-Standard"),VLOOKUP(Investment_Strategy&amp;"_"&amp;Investment_Strategy_Sub2&amp;"_"&amp;$A607,'Investment Strategies'!$C:$P,9,FALSE),
IF(AND(Investment_Strategy="Lifecycle",Investment_Strategy_Sub1="Standard"),VLOOKUP(Investment_Strategy&amp;"_"&amp;Investment_Strategy_Sub2&amp;"_"&amp;$A607,'Investment Strategies'!$AJ:$AV,8,FALSE),
IF(AND(Investment_Strategy="Autopilot",Investment_Strategy_Sub1="Non-Standard"),VLOOKUP(Investment_Strategy&amp;"_"&amp;Investment_Strategy_Sub2&amp;"_"&amp;$A607,'Investment Strategies'!$T:$AF,8,FALSE),
IF(Investment_Strategy ="DIY",DIY_RateOfReturn_FuturePremiums,
"Error")))))),Max_InvReturn)</f>
        <v>0</v>
      </c>
      <c r="U607" s="62">
        <f>IF($AV607=0,0,
IF(Investment_Strategy="DIS",VLOOKUP(Investment_Strategy&amp;"_"&amp;Investment_Strategy_Sub1&amp;"_"&amp;$A607,'Investment Strategies'!$AZ:$BP,15,FALSE),
IF(AND(Investment_Strategy="Lifecycle",Investment_Strategy_Sub1="Non-Standard"),VLOOKUP(Investment_Strategy&amp;"_"&amp;Investment_Strategy_Sub2&amp;"_"&amp;$A607,'Investment Strategies'!$C:$P,12,FALSE),
IF(AND(Investment_Strategy="Lifecycle",Investment_Strategy_Sub1="Standard"),VLOOKUP(Investment_Strategy&amp;"_"&amp;Investment_Strategy_Sub2&amp;"_"&amp;$A607,'Investment Strategies'!$AJ:$AV,11,FALSE),
IF(AND(Investment_Strategy="Autopilot",Investment_Strategy_Sub1="Non-Standard"),VLOOKUP(Investment_Strategy&amp;"_"&amp;Investment_Strategy_Sub2&amp;"_"&amp;$A607,'Investment Strategies'!$T:$AF,11,FALSE),
IF(Investment_Strategy="DIY",DIY_GteeChrge_FuturePremiums,
"Error"))))))</f>
        <v>0</v>
      </c>
      <c r="V607" s="33">
        <f>IF(AV607=0,0,
IF(Investment_Strategy="DIS",VLOOKUP(Investment_Strategy&amp;"_"&amp;Investment_Strategy_Sub1&amp;"_"&amp;$A607,'Investment Strategies'!$AZ:$BP,17,FALSE),
IF(AND(Investment_Strategy="Lifecycle",Investment_Strategy_Sub1="Non-Standard"),VLOOKUP(Investment_Strategy&amp;"_"&amp;Investment_Strategy_Sub2&amp;"_"&amp;$A607,'Investment Strategies'!$C:$P,14,FALSE),
IF(AND(Investment_Strategy="Lifecycle",Investment_Strategy_Sub1="Standard"),VLOOKUP(Investment_Strategy&amp;"_"&amp;Investment_Strategy_Sub2&amp;"_"&amp;$A607,'Investment Strategies'!$AJ:$AV,13,FALSE),
IF(AND(Investment_Strategy="Autopilot",Investment_Strategy_Sub1="Non-Standard"),VLOOKUP(Investment_Strategy&amp;"_"&amp;Investment_Strategy_Sub2&amp;"_"&amp;$A607,'Investment Strategies'!$T:$AF,13,FALSE),
IF(Investment_Strategy="DIY",DIY_ExtManChrge_FuturePremiums,
"Error"))))))</f>
        <v>0</v>
      </c>
      <c r="W607" s="16">
        <f t="shared" si="373"/>
        <v>0</v>
      </c>
      <c r="X607" s="16">
        <f t="shared" si="350"/>
        <v>0</v>
      </c>
      <c r="Y607" s="16">
        <f t="shared" si="351"/>
        <v>0</v>
      </c>
      <c r="Z607" s="31">
        <f t="shared" si="352"/>
        <v>0.02</v>
      </c>
      <c r="AA607" s="16">
        <f t="shared" si="353"/>
        <v>0</v>
      </c>
      <c r="AB607" s="28">
        <f t="shared" si="374"/>
        <v>0</v>
      </c>
      <c r="AC607" s="28">
        <f>(SUM($AC$91:AC606)+SUM($X$91:X606)+X607)*T607*IF(D607=$A$91,SRP_finalmonthfactor,1)</f>
        <v>0</v>
      </c>
      <c r="AD607" s="16">
        <f t="shared" si="354"/>
        <v>0</v>
      </c>
      <c r="AE607" s="106"/>
      <c r="AF607" s="16">
        <f t="shared" si="362"/>
        <v>0</v>
      </c>
      <c r="AG607" s="16">
        <f t="shared" si="363"/>
        <v>0</v>
      </c>
      <c r="AH607" s="16">
        <f t="shared" si="364"/>
        <v>0</v>
      </c>
      <c r="AJ607" s="13">
        <f t="shared" si="346"/>
        <v>0</v>
      </c>
      <c r="AK607" s="13">
        <f t="shared" si="346"/>
        <v>0</v>
      </c>
      <c r="AL607" s="13">
        <f t="shared" si="346"/>
        <v>0</v>
      </c>
      <c r="AM607" s="13">
        <f t="shared" si="346"/>
        <v>0</v>
      </c>
      <c r="AN607" s="13">
        <f t="shared" si="346"/>
        <v>0</v>
      </c>
      <c r="AO607" s="13">
        <f t="shared" si="346"/>
        <v>1</v>
      </c>
      <c r="AP607" s="13">
        <f t="shared" si="346"/>
        <v>1</v>
      </c>
      <c r="AQ607" s="13">
        <f t="shared" si="346"/>
        <v>1</v>
      </c>
      <c r="AR607" s="13">
        <f t="shared" si="346"/>
        <v>0</v>
      </c>
      <c r="AS607" s="13">
        <f t="shared" si="346"/>
        <v>0</v>
      </c>
      <c r="AT607" s="13">
        <f t="shared" si="346"/>
        <v>0</v>
      </c>
      <c r="AU607" s="13">
        <f t="shared" si="346"/>
        <v>0</v>
      </c>
      <c r="AV607" s="13">
        <f t="shared" si="355"/>
        <v>0</v>
      </c>
      <c r="AW607" s="13">
        <f t="shared" si="356"/>
        <v>1</v>
      </c>
      <c r="AY607" s="17">
        <f t="shared" si="357"/>
        <v>517</v>
      </c>
      <c r="AZ607" s="28">
        <f t="shared" si="365"/>
        <v>0</v>
      </c>
      <c r="BA607" s="13">
        <f t="shared" si="358"/>
        <v>0</v>
      </c>
      <c r="BB607" s="13">
        <f t="shared" si="359"/>
        <v>0</v>
      </c>
      <c r="BC607" s="28">
        <f t="shared" si="366"/>
        <v>0</v>
      </c>
      <c r="BD607" s="28">
        <f t="shared" si="367"/>
        <v>0</v>
      </c>
      <c r="BF607" s="248">
        <f t="shared" si="368"/>
        <v>993869.29442638322</v>
      </c>
    </row>
    <row r="608" spans="1:58">
      <c r="A608" s="32">
        <f t="shared" si="369"/>
        <v>-433</v>
      </c>
      <c r="B608" s="32">
        <f t="shared" si="360"/>
        <v>96</v>
      </c>
      <c r="C608" s="32">
        <f t="shared" si="370"/>
        <v>44</v>
      </c>
      <c r="D608" s="32">
        <f t="shared" si="371"/>
        <v>518</v>
      </c>
      <c r="E608" s="74">
        <f>MIN(IF(AV608=0,0,
IF(Investment_Strategy="DIS",VLOOKUP(Investment_Strategy&amp;"_"&amp;Investment_Strategy_Sub1&amp;"_"&amp;$A608,'Investment Strategies'!$AZ:$BP,12,FALSE),
IF(AND(Investment_Strategy="Lifecycle",Investment_Strategy_Sub1="Non-Standard"),VLOOKUP(Investment_Strategy&amp;"_"&amp;Investment_Strategy_Sub2&amp;"_"&amp;$A608,'Investment Strategies'!$C:$P,9,FALSE),
IF(AND(Investment_Strategy="Lifecycle",Investment_Strategy_Sub1="Standard"),VLOOKUP(Investment_Strategy&amp;"_"&amp;Investment_Strategy_Sub2&amp;"_"&amp;$A608,'Investment Strategies'!$AJ:$AV,8,FALSE),
IF(AND(Investment_Strategy="Autopilot",Investment_Strategy_Sub1="Non-Standard"),VLOOKUP(Investment_Strategy&amp;"_"&amp;Investment_Strategy_Sub2&amp;"_"&amp;$A608,'Investment Strategies'!$T:$AF,8,FALSE),
IF(Investment_Strategy ="DIY",DIY_RateOfReturn_CurrentFunds,
"Error")))))),Max_InvReturn)</f>
        <v>0</v>
      </c>
      <c r="F608" s="62">
        <f>IF(AV608=0,0,
IF(Investment_Strategy="DIS",VLOOKUP(Investment_Strategy&amp;"_"&amp;Investment_Strategy_Sub1&amp;"_"&amp;$A608,'Investment Strategies'!$AZ:$BP,15,FALSE),
IF(AND(Investment_Strategy="Lifecycle",Investment_Strategy_Sub1="Non-Standard"),VLOOKUP(Investment_Strategy&amp;"_"&amp;Investment_Strategy_Sub2&amp;"_"&amp;$A608,'Investment Strategies'!$C:$P,12,FALSE),
IF(AND(Investment_Strategy="Lifecycle",Investment_Strategy_Sub1="Standard"),VLOOKUP(Investment_Strategy&amp;"_"&amp;Investment_Strategy_Sub2&amp;"_"&amp;$A608,'Investment Strategies'!$AJ:$AV,11,FALSE),
IF(AND(Investment_Strategy="Autopilot",Investment_Strategy_Sub1="Non-Standard"),VLOOKUP(Investment_Strategy&amp;"_"&amp;Investment_Strategy_Sub2&amp;"_"&amp;$A608,'Investment Strategies'!$T:$AF,11,FALSE),
IF(Investment_Strategy="DIY",DIY_GteeChrge_CurrentFunds,
"Error"))))))</f>
        <v>0</v>
      </c>
      <c r="G608" s="33">
        <f>IF(AV608=0,0,
IF(Investment_Strategy="DIS",VLOOKUP(Investment_Strategy&amp;"_"&amp;Investment_Strategy_Sub1&amp;"_"&amp;$A608,'Investment Strategies'!$AZ:$BP,17,FALSE),
IF(AND(Investment_Strategy="Lifecycle",Investment_Strategy_Sub1="Non-Standard"),VLOOKUP(Investment_Strategy&amp;"_"&amp;Investment_Strategy_Sub2&amp;"_"&amp;$A608,'Investment Strategies'!$C:$P,14,FALSE),
IF(AND(Investment_Strategy="Lifecycle",Investment_Strategy_Sub1="Standard"),VLOOKUP(Investment_Strategy&amp;"_"&amp;Investment_Strategy_Sub2&amp;"_"&amp;$A608,'Investment Strategies'!$AJ:$AV,13,FALSE),
IF(AND(Investment_Strategy="Autopilot",Investment_Strategy_Sub1="Non-Standard"),VLOOKUP(Investment_Strategy&amp;"_"&amp;Investment_Strategy_Sub2&amp;"_"&amp;$A608,'Investment Strategies'!$T:$AF,13,FALSE),
IF(Investment_Strategy="DIY",DIY_ExtManChrge_CurrentFunds,
"Error"))))))</f>
        <v>0</v>
      </c>
      <c r="H608" s="16">
        <f t="shared" si="361"/>
        <v>0</v>
      </c>
      <c r="I608" s="16">
        <f t="shared" si="347"/>
        <v>0</v>
      </c>
      <c r="J608" s="16">
        <f t="shared" si="348"/>
        <v>0</v>
      </c>
      <c r="K608" s="16">
        <f>(Opening_Fund_Value+SUM(K$91:K607))*E608*IF(D608=$A$91,SRP_finalmonthfactor,1)</f>
        <v>0</v>
      </c>
      <c r="L608" s="74">
        <f>MIN(IF($AV608=0,0,
IF(Investment_Strategy="DIS",VLOOKUP(Investment_Strategy&amp;"_"&amp;Investment_Strategy_Sub1&amp;"_"&amp;$A608,'Investment Strategies'!$AZ:$BP,12,FALSE),
IF(AND(Investment_Strategy="Lifecycle",Investment_Strategy_Sub1="Non-Standard"),VLOOKUP(Investment_Strategy&amp;"_"&amp;Investment_Strategy_Sub2&amp;"_"&amp;$A608,'Investment Strategies'!$C:$P,9,FALSE),
IF(AND(Investment_Strategy="Lifecycle",Investment_Strategy_Sub1="Standard"),VLOOKUP(Investment_Strategy&amp;"_"&amp;Investment_Strategy_Sub2&amp;"_"&amp;$A608,'Investment Strategies'!$AJ:$AV,8,FALSE),
IF(AND(Investment_Strategy="Autopilot",Investment_Strategy_Sub1="Non-Standard"),VLOOKUP(Investment_Strategy&amp;"_"&amp;Investment_Strategy_Sub2&amp;"_"&amp;$A608,'Investment Strategies'!$T:$AF,8,FALSE),
IF(Investment_Strategy ="DIY",DIY_RateofReturn_SP,
"Error")))))),Max_InvReturn)</f>
        <v>0</v>
      </c>
      <c r="M608" s="62">
        <f>IF($AV608=0,0,
IF(Investment_Strategy="DIS",VLOOKUP(Investment_Strategy&amp;"_"&amp;Investment_Strategy_Sub1&amp;"_"&amp;$A608,'Investment Strategies'!$AZ:$BP,15,FALSE),
IF(AND(Investment_Strategy="Lifecycle",Investment_Strategy_Sub1="Non-Standard"),VLOOKUP(Investment_Strategy&amp;"_"&amp;Investment_Strategy_Sub2&amp;"_"&amp;$A608,'Investment Strategies'!$C:$P,12,FALSE),
IF(AND(Investment_Strategy="Lifecycle",Investment_Strategy_Sub1="Standard"),VLOOKUP(Investment_Strategy&amp;"_"&amp;Investment_Strategy_Sub2&amp;"_"&amp;$A608,'Investment Strategies'!$AJ:$AV,11,FALSE),
IF(AND(Investment_Strategy="Autopilot",Investment_Strategy_Sub1="Non-Standard"),VLOOKUP(Investment_Strategy&amp;"_"&amp;Investment_Strategy_Sub2&amp;"_"&amp;$A608,'Investment Strategies'!$T:$AF,11,FALSE),
IF(Investment_Strategy="DIY",DIY_GteeChrge_SP,
"Error"))))))</f>
        <v>0</v>
      </c>
      <c r="N608" s="33">
        <f>IF($AV608=0,0,
IF(Investment_Strategy="DIS",VLOOKUP(Investment_Strategy&amp;"_"&amp;Investment_Strategy_Sub1&amp;"_"&amp;$A608,'Investment Strategies'!$AZ:$BP,17,FALSE),
IF(AND(Investment_Strategy="Lifecycle",Investment_Strategy_Sub1="Non-Standard"),VLOOKUP(Investment_Strategy&amp;"_"&amp;Investment_Strategy_Sub2&amp;"_"&amp;$A608,'Investment Strategies'!$C:$P,14,FALSE),
IF(AND(Investment_Strategy="Lifecycle",Investment_Strategy_Sub1="Standard"),VLOOKUP(Investment_Strategy&amp;"_"&amp;Investment_Strategy_Sub2&amp;"_"&amp;$A608,'Investment Strategies'!$AJ:$AV,13,FALSE),
IF(AND(Investment_Strategy="Autopilot",Investment_Strategy_Sub1="Non-Standard"),VLOOKUP(Investment_Strategy&amp;"_"&amp;Investment_Strategy_Sub2&amp;"_"&amp;$A608,'Investment Strategies'!$T:$AF,13,FALSE),
IF(Investment_Strategy="DIY",DIY_ExtManChrge_SP,
"Error"))))))</f>
        <v>0</v>
      </c>
      <c r="O608" s="16">
        <f t="shared" si="372"/>
        <v>0</v>
      </c>
      <c r="Q608" s="16">
        <f t="shared" si="349"/>
        <v>0</v>
      </c>
      <c r="R608" s="16">
        <f t="shared" si="345"/>
        <v>0</v>
      </c>
      <c r="S608" s="16">
        <f>(SRP_SP+SUM(S$91:S607))*L608*IF(D608=$A$91,SRP_finalmonthfactor,1)</f>
        <v>0</v>
      </c>
      <c r="T608" s="74">
        <f>MIN(IF($AV608=0,0,
IF(Investment_Strategy="DIS",VLOOKUP(Investment_Strategy&amp;"_"&amp;Investment_Strategy_Sub1&amp;"_"&amp;$A608,'Investment Strategies'!$AZ:$BP,12,FALSE),
IF(AND(Investment_Strategy="Lifecycle",Investment_Strategy_Sub1="Non-Standard"),VLOOKUP(Investment_Strategy&amp;"_"&amp;Investment_Strategy_Sub2&amp;"_"&amp;$A608,'Investment Strategies'!$C:$P,9,FALSE),
IF(AND(Investment_Strategy="Lifecycle",Investment_Strategy_Sub1="Standard"),VLOOKUP(Investment_Strategy&amp;"_"&amp;Investment_Strategy_Sub2&amp;"_"&amp;$A608,'Investment Strategies'!$AJ:$AV,8,FALSE),
IF(AND(Investment_Strategy="Autopilot",Investment_Strategy_Sub1="Non-Standard"),VLOOKUP(Investment_Strategy&amp;"_"&amp;Investment_Strategy_Sub2&amp;"_"&amp;$A608,'Investment Strategies'!$T:$AF,8,FALSE),
IF(Investment_Strategy ="DIY",DIY_RateOfReturn_FuturePremiums,
"Error")))))),Max_InvReturn)</f>
        <v>0</v>
      </c>
      <c r="U608" s="62">
        <f>IF($AV608=0,0,
IF(Investment_Strategy="DIS",VLOOKUP(Investment_Strategy&amp;"_"&amp;Investment_Strategy_Sub1&amp;"_"&amp;$A608,'Investment Strategies'!$AZ:$BP,15,FALSE),
IF(AND(Investment_Strategy="Lifecycle",Investment_Strategy_Sub1="Non-Standard"),VLOOKUP(Investment_Strategy&amp;"_"&amp;Investment_Strategy_Sub2&amp;"_"&amp;$A608,'Investment Strategies'!$C:$P,12,FALSE),
IF(AND(Investment_Strategy="Lifecycle",Investment_Strategy_Sub1="Standard"),VLOOKUP(Investment_Strategy&amp;"_"&amp;Investment_Strategy_Sub2&amp;"_"&amp;$A608,'Investment Strategies'!$AJ:$AV,11,FALSE),
IF(AND(Investment_Strategy="Autopilot",Investment_Strategy_Sub1="Non-Standard"),VLOOKUP(Investment_Strategy&amp;"_"&amp;Investment_Strategy_Sub2&amp;"_"&amp;$A608,'Investment Strategies'!$T:$AF,11,FALSE),
IF(Investment_Strategy="DIY",DIY_GteeChrge_FuturePremiums,
"Error"))))))</f>
        <v>0</v>
      </c>
      <c r="V608" s="33">
        <f>IF(AV608=0,0,
IF(Investment_Strategy="DIS",VLOOKUP(Investment_Strategy&amp;"_"&amp;Investment_Strategy_Sub1&amp;"_"&amp;$A608,'Investment Strategies'!$AZ:$BP,17,FALSE),
IF(AND(Investment_Strategy="Lifecycle",Investment_Strategy_Sub1="Non-Standard"),VLOOKUP(Investment_Strategy&amp;"_"&amp;Investment_Strategy_Sub2&amp;"_"&amp;$A608,'Investment Strategies'!$C:$P,14,FALSE),
IF(AND(Investment_Strategy="Lifecycle",Investment_Strategy_Sub1="Standard"),VLOOKUP(Investment_Strategy&amp;"_"&amp;Investment_Strategy_Sub2&amp;"_"&amp;$A608,'Investment Strategies'!$AJ:$AV,13,FALSE),
IF(AND(Investment_Strategy="Autopilot",Investment_Strategy_Sub1="Non-Standard"),VLOOKUP(Investment_Strategy&amp;"_"&amp;Investment_Strategy_Sub2&amp;"_"&amp;$A608,'Investment Strategies'!$T:$AF,13,FALSE),
IF(Investment_Strategy="DIY",DIY_ExtManChrge_FuturePremiums,
"Error"))))))</f>
        <v>0</v>
      </c>
      <c r="W608" s="16">
        <f t="shared" si="373"/>
        <v>0</v>
      </c>
      <c r="X608" s="16">
        <f t="shared" si="350"/>
        <v>0</v>
      </c>
      <c r="Y608" s="16">
        <f t="shared" si="351"/>
        <v>0</v>
      </c>
      <c r="Z608" s="31">
        <f t="shared" si="352"/>
        <v>0.02</v>
      </c>
      <c r="AA608" s="16">
        <f t="shared" si="353"/>
        <v>0</v>
      </c>
      <c r="AB608" s="28">
        <f t="shared" si="374"/>
        <v>0</v>
      </c>
      <c r="AC608" s="28">
        <f>(SUM($AC$91:AC607)+SUM($X$91:X607)+X608)*T608*IF(D608=$A$91,SRP_finalmonthfactor,1)</f>
        <v>0</v>
      </c>
      <c r="AD608" s="16">
        <f t="shared" si="354"/>
        <v>0</v>
      </c>
      <c r="AE608" s="106"/>
      <c r="AF608" s="16">
        <f t="shared" si="362"/>
        <v>0</v>
      </c>
      <c r="AG608" s="16">
        <f t="shared" si="363"/>
        <v>0</v>
      </c>
      <c r="AH608" s="16">
        <f t="shared" si="364"/>
        <v>0</v>
      </c>
      <c r="AJ608" s="13">
        <f t="shared" si="346"/>
        <v>0</v>
      </c>
      <c r="AK608" s="13">
        <f t="shared" si="346"/>
        <v>0</v>
      </c>
      <c r="AL608" s="13">
        <f t="shared" si="346"/>
        <v>0</v>
      </c>
      <c r="AM608" s="13">
        <f t="shared" si="346"/>
        <v>0</v>
      </c>
      <c r="AN608" s="13">
        <f t="shared" si="346"/>
        <v>0</v>
      </c>
      <c r="AO608" s="13">
        <f t="shared" si="346"/>
        <v>1</v>
      </c>
      <c r="AP608" s="13">
        <f t="shared" si="346"/>
        <v>1</v>
      </c>
      <c r="AQ608" s="13">
        <f t="shared" si="346"/>
        <v>1</v>
      </c>
      <c r="AR608" s="13">
        <f t="shared" si="346"/>
        <v>0</v>
      </c>
      <c r="AS608" s="13">
        <f t="shared" si="346"/>
        <v>0</v>
      </c>
      <c r="AT608" s="13">
        <f t="shared" si="346"/>
        <v>0</v>
      </c>
      <c r="AU608" s="13">
        <f t="shared" si="346"/>
        <v>0</v>
      </c>
      <c r="AV608" s="13">
        <f t="shared" si="355"/>
        <v>0</v>
      </c>
      <c r="AW608" s="13">
        <f t="shared" si="356"/>
        <v>1</v>
      </c>
      <c r="AY608" s="17">
        <f t="shared" si="357"/>
        <v>518</v>
      </c>
      <c r="AZ608" s="28">
        <f t="shared" si="365"/>
        <v>0</v>
      </c>
      <c r="BA608" s="13">
        <f t="shared" si="358"/>
        <v>0</v>
      </c>
      <c r="BB608" s="13">
        <f t="shared" si="359"/>
        <v>0</v>
      </c>
      <c r="BC608" s="28">
        <f t="shared" si="366"/>
        <v>0</v>
      </c>
      <c r="BD608" s="28">
        <f t="shared" si="367"/>
        <v>0</v>
      </c>
      <c r="BF608" s="248">
        <f t="shared" si="368"/>
        <v>993869.29442638322</v>
      </c>
    </row>
    <row r="609" spans="1:58">
      <c r="A609" s="32">
        <f t="shared" si="369"/>
        <v>-434</v>
      </c>
      <c r="B609" s="32">
        <f t="shared" si="360"/>
        <v>96</v>
      </c>
      <c r="C609" s="32">
        <f t="shared" si="370"/>
        <v>44</v>
      </c>
      <c r="D609" s="32">
        <f t="shared" si="371"/>
        <v>519</v>
      </c>
      <c r="E609" s="74">
        <f>MIN(IF(AV609=0,0,
IF(Investment_Strategy="DIS",VLOOKUP(Investment_Strategy&amp;"_"&amp;Investment_Strategy_Sub1&amp;"_"&amp;$A609,'Investment Strategies'!$AZ:$BP,12,FALSE),
IF(AND(Investment_Strategy="Lifecycle",Investment_Strategy_Sub1="Non-Standard"),VLOOKUP(Investment_Strategy&amp;"_"&amp;Investment_Strategy_Sub2&amp;"_"&amp;$A609,'Investment Strategies'!$C:$P,9,FALSE),
IF(AND(Investment_Strategy="Lifecycle",Investment_Strategy_Sub1="Standard"),VLOOKUP(Investment_Strategy&amp;"_"&amp;Investment_Strategy_Sub2&amp;"_"&amp;$A609,'Investment Strategies'!$AJ:$AV,8,FALSE),
IF(AND(Investment_Strategy="Autopilot",Investment_Strategy_Sub1="Non-Standard"),VLOOKUP(Investment_Strategy&amp;"_"&amp;Investment_Strategy_Sub2&amp;"_"&amp;$A609,'Investment Strategies'!$T:$AF,8,FALSE),
IF(Investment_Strategy ="DIY",DIY_RateOfReturn_CurrentFunds,
"Error")))))),Max_InvReturn)</f>
        <v>0</v>
      </c>
      <c r="F609" s="62">
        <f>IF(AV609=0,0,
IF(Investment_Strategy="DIS",VLOOKUP(Investment_Strategy&amp;"_"&amp;Investment_Strategy_Sub1&amp;"_"&amp;$A609,'Investment Strategies'!$AZ:$BP,15,FALSE),
IF(AND(Investment_Strategy="Lifecycle",Investment_Strategy_Sub1="Non-Standard"),VLOOKUP(Investment_Strategy&amp;"_"&amp;Investment_Strategy_Sub2&amp;"_"&amp;$A609,'Investment Strategies'!$C:$P,12,FALSE),
IF(AND(Investment_Strategy="Lifecycle",Investment_Strategy_Sub1="Standard"),VLOOKUP(Investment_Strategy&amp;"_"&amp;Investment_Strategy_Sub2&amp;"_"&amp;$A609,'Investment Strategies'!$AJ:$AV,11,FALSE),
IF(AND(Investment_Strategy="Autopilot",Investment_Strategy_Sub1="Non-Standard"),VLOOKUP(Investment_Strategy&amp;"_"&amp;Investment_Strategy_Sub2&amp;"_"&amp;$A609,'Investment Strategies'!$T:$AF,11,FALSE),
IF(Investment_Strategy="DIY",DIY_GteeChrge_CurrentFunds,
"Error"))))))</f>
        <v>0</v>
      </c>
      <c r="G609" s="33">
        <f>IF(AV609=0,0,
IF(Investment_Strategy="DIS",VLOOKUP(Investment_Strategy&amp;"_"&amp;Investment_Strategy_Sub1&amp;"_"&amp;$A609,'Investment Strategies'!$AZ:$BP,17,FALSE),
IF(AND(Investment_Strategy="Lifecycle",Investment_Strategy_Sub1="Non-Standard"),VLOOKUP(Investment_Strategy&amp;"_"&amp;Investment_Strategy_Sub2&amp;"_"&amp;$A609,'Investment Strategies'!$C:$P,14,FALSE),
IF(AND(Investment_Strategy="Lifecycle",Investment_Strategy_Sub1="Standard"),VLOOKUP(Investment_Strategy&amp;"_"&amp;Investment_Strategy_Sub2&amp;"_"&amp;$A609,'Investment Strategies'!$AJ:$AV,13,FALSE),
IF(AND(Investment_Strategy="Autopilot",Investment_Strategy_Sub1="Non-Standard"),VLOOKUP(Investment_Strategy&amp;"_"&amp;Investment_Strategy_Sub2&amp;"_"&amp;$A609,'Investment Strategies'!$T:$AF,13,FALSE),
IF(Investment_Strategy="DIY",DIY_ExtManChrge_CurrentFunds,
"Error"))))))</f>
        <v>0</v>
      </c>
      <c r="H609" s="16">
        <f t="shared" si="361"/>
        <v>0</v>
      </c>
      <c r="I609" s="16">
        <f t="shared" si="347"/>
        <v>0</v>
      </c>
      <c r="J609" s="16">
        <f t="shared" si="348"/>
        <v>0</v>
      </c>
      <c r="K609" s="16">
        <f>(Opening_Fund_Value+SUM(K$91:K608))*E609*IF(D609=$A$91,SRP_finalmonthfactor,1)</f>
        <v>0</v>
      </c>
      <c r="L609" s="74">
        <f>MIN(IF($AV609=0,0,
IF(Investment_Strategy="DIS",VLOOKUP(Investment_Strategy&amp;"_"&amp;Investment_Strategy_Sub1&amp;"_"&amp;$A609,'Investment Strategies'!$AZ:$BP,12,FALSE),
IF(AND(Investment_Strategy="Lifecycle",Investment_Strategy_Sub1="Non-Standard"),VLOOKUP(Investment_Strategy&amp;"_"&amp;Investment_Strategy_Sub2&amp;"_"&amp;$A609,'Investment Strategies'!$C:$P,9,FALSE),
IF(AND(Investment_Strategy="Lifecycle",Investment_Strategy_Sub1="Standard"),VLOOKUP(Investment_Strategy&amp;"_"&amp;Investment_Strategy_Sub2&amp;"_"&amp;$A609,'Investment Strategies'!$AJ:$AV,8,FALSE),
IF(AND(Investment_Strategy="Autopilot",Investment_Strategy_Sub1="Non-Standard"),VLOOKUP(Investment_Strategy&amp;"_"&amp;Investment_Strategy_Sub2&amp;"_"&amp;$A609,'Investment Strategies'!$T:$AF,8,FALSE),
IF(Investment_Strategy ="DIY",DIY_RateofReturn_SP,
"Error")))))),Max_InvReturn)</f>
        <v>0</v>
      </c>
      <c r="M609" s="62">
        <f>IF($AV609=0,0,
IF(Investment_Strategy="DIS",VLOOKUP(Investment_Strategy&amp;"_"&amp;Investment_Strategy_Sub1&amp;"_"&amp;$A609,'Investment Strategies'!$AZ:$BP,15,FALSE),
IF(AND(Investment_Strategy="Lifecycle",Investment_Strategy_Sub1="Non-Standard"),VLOOKUP(Investment_Strategy&amp;"_"&amp;Investment_Strategy_Sub2&amp;"_"&amp;$A609,'Investment Strategies'!$C:$P,12,FALSE),
IF(AND(Investment_Strategy="Lifecycle",Investment_Strategy_Sub1="Standard"),VLOOKUP(Investment_Strategy&amp;"_"&amp;Investment_Strategy_Sub2&amp;"_"&amp;$A609,'Investment Strategies'!$AJ:$AV,11,FALSE),
IF(AND(Investment_Strategy="Autopilot",Investment_Strategy_Sub1="Non-Standard"),VLOOKUP(Investment_Strategy&amp;"_"&amp;Investment_Strategy_Sub2&amp;"_"&amp;$A609,'Investment Strategies'!$T:$AF,11,FALSE),
IF(Investment_Strategy="DIY",DIY_GteeChrge_SP,
"Error"))))))</f>
        <v>0</v>
      </c>
      <c r="N609" s="33">
        <f>IF($AV609=0,0,
IF(Investment_Strategy="DIS",VLOOKUP(Investment_Strategy&amp;"_"&amp;Investment_Strategy_Sub1&amp;"_"&amp;$A609,'Investment Strategies'!$AZ:$BP,17,FALSE),
IF(AND(Investment_Strategy="Lifecycle",Investment_Strategy_Sub1="Non-Standard"),VLOOKUP(Investment_Strategy&amp;"_"&amp;Investment_Strategy_Sub2&amp;"_"&amp;$A609,'Investment Strategies'!$C:$P,14,FALSE),
IF(AND(Investment_Strategy="Lifecycle",Investment_Strategy_Sub1="Standard"),VLOOKUP(Investment_Strategy&amp;"_"&amp;Investment_Strategy_Sub2&amp;"_"&amp;$A609,'Investment Strategies'!$AJ:$AV,13,FALSE),
IF(AND(Investment_Strategy="Autopilot",Investment_Strategy_Sub1="Non-Standard"),VLOOKUP(Investment_Strategy&amp;"_"&amp;Investment_Strategy_Sub2&amp;"_"&amp;$A609,'Investment Strategies'!$T:$AF,13,FALSE),
IF(Investment_Strategy="DIY",DIY_ExtManChrge_SP,
"Error"))))))</f>
        <v>0</v>
      </c>
      <c r="O609" s="16">
        <f t="shared" si="372"/>
        <v>0</v>
      </c>
      <c r="Q609" s="16">
        <f t="shared" si="349"/>
        <v>0</v>
      </c>
      <c r="R609" s="16">
        <f t="shared" si="345"/>
        <v>0</v>
      </c>
      <c r="S609" s="16">
        <f>(SRP_SP+SUM(S$91:S608))*L609*IF(D609=$A$91,SRP_finalmonthfactor,1)</f>
        <v>0</v>
      </c>
      <c r="T609" s="74">
        <f>MIN(IF($AV609=0,0,
IF(Investment_Strategy="DIS",VLOOKUP(Investment_Strategy&amp;"_"&amp;Investment_Strategy_Sub1&amp;"_"&amp;$A609,'Investment Strategies'!$AZ:$BP,12,FALSE),
IF(AND(Investment_Strategy="Lifecycle",Investment_Strategy_Sub1="Non-Standard"),VLOOKUP(Investment_Strategy&amp;"_"&amp;Investment_Strategy_Sub2&amp;"_"&amp;$A609,'Investment Strategies'!$C:$P,9,FALSE),
IF(AND(Investment_Strategy="Lifecycle",Investment_Strategy_Sub1="Standard"),VLOOKUP(Investment_Strategy&amp;"_"&amp;Investment_Strategy_Sub2&amp;"_"&amp;$A609,'Investment Strategies'!$AJ:$AV,8,FALSE),
IF(AND(Investment_Strategy="Autopilot",Investment_Strategy_Sub1="Non-Standard"),VLOOKUP(Investment_Strategy&amp;"_"&amp;Investment_Strategy_Sub2&amp;"_"&amp;$A609,'Investment Strategies'!$T:$AF,8,FALSE),
IF(Investment_Strategy ="DIY",DIY_RateOfReturn_FuturePremiums,
"Error")))))),Max_InvReturn)</f>
        <v>0</v>
      </c>
      <c r="U609" s="62">
        <f>IF($AV609=0,0,
IF(Investment_Strategy="DIS",VLOOKUP(Investment_Strategy&amp;"_"&amp;Investment_Strategy_Sub1&amp;"_"&amp;$A609,'Investment Strategies'!$AZ:$BP,15,FALSE),
IF(AND(Investment_Strategy="Lifecycle",Investment_Strategy_Sub1="Non-Standard"),VLOOKUP(Investment_Strategy&amp;"_"&amp;Investment_Strategy_Sub2&amp;"_"&amp;$A609,'Investment Strategies'!$C:$P,12,FALSE),
IF(AND(Investment_Strategy="Lifecycle",Investment_Strategy_Sub1="Standard"),VLOOKUP(Investment_Strategy&amp;"_"&amp;Investment_Strategy_Sub2&amp;"_"&amp;$A609,'Investment Strategies'!$AJ:$AV,11,FALSE),
IF(AND(Investment_Strategy="Autopilot",Investment_Strategy_Sub1="Non-Standard"),VLOOKUP(Investment_Strategy&amp;"_"&amp;Investment_Strategy_Sub2&amp;"_"&amp;$A609,'Investment Strategies'!$T:$AF,11,FALSE),
IF(Investment_Strategy="DIY",DIY_GteeChrge_FuturePremiums,
"Error"))))))</f>
        <v>0</v>
      </c>
      <c r="V609" s="33">
        <f>IF(AV609=0,0,
IF(Investment_Strategy="DIS",VLOOKUP(Investment_Strategy&amp;"_"&amp;Investment_Strategy_Sub1&amp;"_"&amp;$A609,'Investment Strategies'!$AZ:$BP,17,FALSE),
IF(AND(Investment_Strategy="Lifecycle",Investment_Strategy_Sub1="Non-Standard"),VLOOKUP(Investment_Strategy&amp;"_"&amp;Investment_Strategy_Sub2&amp;"_"&amp;$A609,'Investment Strategies'!$C:$P,14,FALSE),
IF(AND(Investment_Strategy="Lifecycle",Investment_Strategy_Sub1="Standard"),VLOOKUP(Investment_Strategy&amp;"_"&amp;Investment_Strategy_Sub2&amp;"_"&amp;$A609,'Investment Strategies'!$AJ:$AV,13,FALSE),
IF(AND(Investment_Strategy="Autopilot",Investment_Strategy_Sub1="Non-Standard"),VLOOKUP(Investment_Strategy&amp;"_"&amp;Investment_Strategy_Sub2&amp;"_"&amp;$A609,'Investment Strategies'!$T:$AF,13,FALSE),
IF(Investment_Strategy="DIY",DIY_ExtManChrge_FuturePremiums,
"Error"))))))</f>
        <v>0</v>
      </c>
      <c r="W609" s="16">
        <f t="shared" si="373"/>
        <v>0</v>
      </c>
      <c r="X609" s="16">
        <f t="shared" si="350"/>
        <v>0</v>
      </c>
      <c r="Y609" s="16">
        <f t="shared" si="351"/>
        <v>0</v>
      </c>
      <c r="Z609" s="31">
        <f t="shared" si="352"/>
        <v>0.02</v>
      </c>
      <c r="AA609" s="16">
        <f t="shared" si="353"/>
        <v>0</v>
      </c>
      <c r="AB609" s="28">
        <f t="shared" si="374"/>
        <v>0</v>
      </c>
      <c r="AC609" s="28">
        <f>(SUM($AC$91:AC608)+SUM($X$91:X608)+X609)*T609*IF(D609=$A$91,SRP_finalmonthfactor,1)</f>
        <v>0</v>
      </c>
      <c r="AD609" s="16">
        <f t="shared" si="354"/>
        <v>0</v>
      </c>
      <c r="AE609" s="106"/>
      <c r="AF609" s="16">
        <f t="shared" si="362"/>
        <v>0</v>
      </c>
      <c r="AG609" s="16">
        <f t="shared" si="363"/>
        <v>0</v>
      </c>
      <c r="AH609" s="16">
        <f t="shared" si="364"/>
        <v>0</v>
      </c>
      <c r="AJ609" s="13">
        <f t="shared" si="346"/>
        <v>0</v>
      </c>
      <c r="AK609" s="13">
        <f t="shared" si="346"/>
        <v>0</v>
      </c>
      <c r="AL609" s="13">
        <f t="shared" si="346"/>
        <v>0</v>
      </c>
      <c r="AM609" s="13">
        <f t="shared" si="346"/>
        <v>0</v>
      </c>
      <c r="AN609" s="13">
        <f t="shared" si="346"/>
        <v>0</v>
      </c>
      <c r="AO609" s="13">
        <f t="shared" si="346"/>
        <v>1</v>
      </c>
      <c r="AP609" s="13">
        <f t="shared" si="346"/>
        <v>1</v>
      </c>
      <c r="AQ609" s="13">
        <f t="shared" si="346"/>
        <v>1</v>
      </c>
      <c r="AR609" s="13">
        <f t="shared" si="346"/>
        <v>0</v>
      </c>
      <c r="AS609" s="13">
        <f t="shared" si="346"/>
        <v>0</v>
      </c>
      <c r="AT609" s="13">
        <f t="shared" si="346"/>
        <v>0</v>
      </c>
      <c r="AU609" s="13">
        <f t="shared" si="346"/>
        <v>0</v>
      </c>
      <c r="AV609" s="13">
        <f t="shared" si="355"/>
        <v>0</v>
      </c>
      <c r="AW609" s="13">
        <f t="shared" si="356"/>
        <v>1</v>
      </c>
      <c r="AY609" s="17">
        <f t="shared" si="357"/>
        <v>519</v>
      </c>
      <c r="AZ609" s="28">
        <f t="shared" si="365"/>
        <v>0</v>
      </c>
      <c r="BA609" s="13">
        <f t="shared" si="358"/>
        <v>0</v>
      </c>
      <c r="BB609" s="13">
        <f t="shared" si="359"/>
        <v>0</v>
      </c>
      <c r="BC609" s="28">
        <f t="shared" si="366"/>
        <v>0</v>
      </c>
      <c r="BD609" s="28">
        <f t="shared" si="367"/>
        <v>0</v>
      </c>
      <c r="BF609" s="248">
        <f t="shared" si="368"/>
        <v>993869.29442638322</v>
      </c>
    </row>
    <row r="610" spans="1:58">
      <c r="A610" s="32">
        <f t="shared" si="369"/>
        <v>-435</v>
      </c>
      <c r="B610" s="32">
        <f t="shared" si="360"/>
        <v>96</v>
      </c>
      <c r="C610" s="32">
        <f t="shared" si="370"/>
        <v>44</v>
      </c>
      <c r="D610" s="32">
        <f t="shared" si="371"/>
        <v>520</v>
      </c>
      <c r="E610" s="74">
        <f>MIN(IF(AV610=0,0,
IF(Investment_Strategy="DIS",VLOOKUP(Investment_Strategy&amp;"_"&amp;Investment_Strategy_Sub1&amp;"_"&amp;$A610,'Investment Strategies'!$AZ:$BP,12,FALSE),
IF(AND(Investment_Strategy="Lifecycle",Investment_Strategy_Sub1="Non-Standard"),VLOOKUP(Investment_Strategy&amp;"_"&amp;Investment_Strategy_Sub2&amp;"_"&amp;$A610,'Investment Strategies'!$C:$P,9,FALSE),
IF(AND(Investment_Strategy="Lifecycle",Investment_Strategy_Sub1="Standard"),VLOOKUP(Investment_Strategy&amp;"_"&amp;Investment_Strategy_Sub2&amp;"_"&amp;$A610,'Investment Strategies'!$AJ:$AV,8,FALSE),
IF(AND(Investment_Strategy="Autopilot",Investment_Strategy_Sub1="Non-Standard"),VLOOKUP(Investment_Strategy&amp;"_"&amp;Investment_Strategy_Sub2&amp;"_"&amp;$A610,'Investment Strategies'!$T:$AF,8,FALSE),
IF(Investment_Strategy ="DIY",DIY_RateOfReturn_CurrentFunds,
"Error")))))),Max_InvReturn)</f>
        <v>0</v>
      </c>
      <c r="F610" s="62">
        <f>IF(AV610=0,0,
IF(Investment_Strategy="DIS",VLOOKUP(Investment_Strategy&amp;"_"&amp;Investment_Strategy_Sub1&amp;"_"&amp;$A610,'Investment Strategies'!$AZ:$BP,15,FALSE),
IF(AND(Investment_Strategy="Lifecycle",Investment_Strategy_Sub1="Non-Standard"),VLOOKUP(Investment_Strategy&amp;"_"&amp;Investment_Strategy_Sub2&amp;"_"&amp;$A610,'Investment Strategies'!$C:$P,12,FALSE),
IF(AND(Investment_Strategy="Lifecycle",Investment_Strategy_Sub1="Standard"),VLOOKUP(Investment_Strategy&amp;"_"&amp;Investment_Strategy_Sub2&amp;"_"&amp;$A610,'Investment Strategies'!$AJ:$AV,11,FALSE),
IF(AND(Investment_Strategy="Autopilot",Investment_Strategy_Sub1="Non-Standard"),VLOOKUP(Investment_Strategy&amp;"_"&amp;Investment_Strategy_Sub2&amp;"_"&amp;$A610,'Investment Strategies'!$T:$AF,11,FALSE),
IF(Investment_Strategy="DIY",DIY_GteeChrge_CurrentFunds,
"Error"))))))</f>
        <v>0</v>
      </c>
      <c r="G610" s="33">
        <f>IF(AV610=0,0,
IF(Investment_Strategy="DIS",VLOOKUP(Investment_Strategy&amp;"_"&amp;Investment_Strategy_Sub1&amp;"_"&amp;$A610,'Investment Strategies'!$AZ:$BP,17,FALSE),
IF(AND(Investment_Strategy="Lifecycle",Investment_Strategy_Sub1="Non-Standard"),VLOOKUP(Investment_Strategy&amp;"_"&amp;Investment_Strategy_Sub2&amp;"_"&amp;$A610,'Investment Strategies'!$C:$P,14,FALSE),
IF(AND(Investment_Strategy="Lifecycle",Investment_Strategy_Sub1="Standard"),VLOOKUP(Investment_Strategy&amp;"_"&amp;Investment_Strategy_Sub2&amp;"_"&amp;$A610,'Investment Strategies'!$AJ:$AV,13,FALSE),
IF(AND(Investment_Strategy="Autopilot",Investment_Strategy_Sub1="Non-Standard"),VLOOKUP(Investment_Strategy&amp;"_"&amp;Investment_Strategy_Sub2&amp;"_"&amp;$A610,'Investment Strategies'!$T:$AF,13,FALSE),
IF(Investment_Strategy="DIY",DIY_ExtManChrge_CurrentFunds,
"Error"))))))</f>
        <v>0</v>
      </c>
      <c r="H610" s="16">
        <f t="shared" si="361"/>
        <v>0</v>
      </c>
      <c r="I610" s="16">
        <f t="shared" si="347"/>
        <v>0</v>
      </c>
      <c r="J610" s="16">
        <f t="shared" si="348"/>
        <v>0</v>
      </c>
      <c r="K610" s="16">
        <f>(Opening_Fund_Value+SUM(K$91:K609))*E610*IF(D610=$A$91,SRP_finalmonthfactor,1)</f>
        <v>0</v>
      </c>
      <c r="L610" s="74">
        <f>MIN(IF($AV610=0,0,
IF(Investment_Strategy="DIS",VLOOKUP(Investment_Strategy&amp;"_"&amp;Investment_Strategy_Sub1&amp;"_"&amp;$A610,'Investment Strategies'!$AZ:$BP,12,FALSE),
IF(AND(Investment_Strategy="Lifecycle",Investment_Strategy_Sub1="Non-Standard"),VLOOKUP(Investment_Strategy&amp;"_"&amp;Investment_Strategy_Sub2&amp;"_"&amp;$A610,'Investment Strategies'!$C:$P,9,FALSE),
IF(AND(Investment_Strategy="Lifecycle",Investment_Strategy_Sub1="Standard"),VLOOKUP(Investment_Strategy&amp;"_"&amp;Investment_Strategy_Sub2&amp;"_"&amp;$A610,'Investment Strategies'!$AJ:$AV,8,FALSE),
IF(AND(Investment_Strategy="Autopilot",Investment_Strategy_Sub1="Non-Standard"),VLOOKUP(Investment_Strategy&amp;"_"&amp;Investment_Strategy_Sub2&amp;"_"&amp;$A610,'Investment Strategies'!$T:$AF,8,FALSE),
IF(Investment_Strategy ="DIY",DIY_RateofReturn_SP,
"Error")))))),Max_InvReturn)</f>
        <v>0</v>
      </c>
      <c r="M610" s="62">
        <f>IF($AV610=0,0,
IF(Investment_Strategy="DIS",VLOOKUP(Investment_Strategy&amp;"_"&amp;Investment_Strategy_Sub1&amp;"_"&amp;$A610,'Investment Strategies'!$AZ:$BP,15,FALSE),
IF(AND(Investment_Strategy="Lifecycle",Investment_Strategy_Sub1="Non-Standard"),VLOOKUP(Investment_Strategy&amp;"_"&amp;Investment_Strategy_Sub2&amp;"_"&amp;$A610,'Investment Strategies'!$C:$P,12,FALSE),
IF(AND(Investment_Strategy="Lifecycle",Investment_Strategy_Sub1="Standard"),VLOOKUP(Investment_Strategy&amp;"_"&amp;Investment_Strategy_Sub2&amp;"_"&amp;$A610,'Investment Strategies'!$AJ:$AV,11,FALSE),
IF(AND(Investment_Strategy="Autopilot",Investment_Strategy_Sub1="Non-Standard"),VLOOKUP(Investment_Strategy&amp;"_"&amp;Investment_Strategy_Sub2&amp;"_"&amp;$A610,'Investment Strategies'!$T:$AF,11,FALSE),
IF(Investment_Strategy="DIY",DIY_GteeChrge_SP,
"Error"))))))</f>
        <v>0</v>
      </c>
      <c r="N610" s="33">
        <f>IF($AV610=0,0,
IF(Investment_Strategy="DIS",VLOOKUP(Investment_Strategy&amp;"_"&amp;Investment_Strategy_Sub1&amp;"_"&amp;$A610,'Investment Strategies'!$AZ:$BP,17,FALSE),
IF(AND(Investment_Strategy="Lifecycle",Investment_Strategy_Sub1="Non-Standard"),VLOOKUP(Investment_Strategy&amp;"_"&amp;Investment_Strategy_Sub2&amp;"_"&amp;$A610,'Investment Strategies'!$C:$P,14,FALSE),
IF(AND(Investment_Strategy="Lifecycle",Investment_Strategy_Sub1="Standard"),VLOOKUP(Investment_Strategy&amp;"_"&amp;Investment_Strategy_Sub2&amp;"_"&amp;$A610,'Investment Strategies'!$AJ:$AV,13,FALSE),
IF(AND(Investment_Strategy="Autopilot",Investment_Strategy_Sub1="Non-Standard"),VLOOKUP(Investment_Strategy&amp;"_"&amp;Investment_Strategy_Sub2&amp;"_"&amp;$A610,'Investment Strategies'!$T:$AF,13,FALSE),
IF(Investment_Strategy="DIY",DIY_ExtManChrge_SP,
"Error"))))))</f>
        <v>0</v>
      </c>
      <c r="O610" s="16">
        <f t="shared" si="372"/>
        <v>0</v>
      </c>
      <c r="Q610" s="16">
        <f t="shared" si="349"/>
        <v>0</v>
      </c>
      <c r="R610" s="16">
        <f t="shared" si="345"/>
        <v>0</v>
      </c>
      <c r="S610" s="16">
        <f>(SRP_SP+SUM(S$91:S609))*L610*IF(D610=$A$91,SRP_finalmonthfactor,1)</f>
        <v>0</v>
      </c>
      <c r="T610" s="74">
        <f>MIN(IF($AV610=0,0,
IF(Investment_Strategy="DIS",VLOOKUP(Investment_Strategy&amp;"_"&amp;Investment_Strategy_Sub1&amp;"_"&amp;$A610,'Investment Strategies'!$AZ:$BP,12,FALSE),
IF(AND(Investment_Strategy="Lifecycle",Investment_Strategy_Sub1="Non-Standard"),VLOOKUP(Investment_Strategy&amp;"_"&amp;Investment_Strategy_Sub2&amp;"_"&amp;$A610,'Investment Strategies'!$C:$P,9,FALSE),
IF(AND(Investment_Strategy="Lifecycle",Investment_Strategy_Sub1="Standard"),VLOOKUP(Investment_Strategy&amp;"_"&amp;Investment_Strategy_Sub2&amp;"_"&amp;$A610,'Investment Strategies'!$AJ:$AV,8,FALSE),
IF(AND(Investment_Strategy="Autopilot",Investment_Strategy_Sub1="Non-Standard"),VLOOKUP(Investment_Strategy&amp;"_"&amp;Investment_Strategy_Sub2&amp;"_"&amp;$A610,'Investment Strategies'!$T:$AF,8,FALSE),
IF(Investment_Strategy ="DIY",DIY_RateOfReturn_FuturePremiums,
"Error")))))),Max_InvReturn)</f>
        <v>0</v>
      </c>
      <c r="U610" s="62">
        <f>IF($AV610=0,0,
IF(Investment_Strategy="DIS",VLOOKUP(Investment_Strategy&amp;"_"&amp;Investment_Strategy_Sub1&amp;"_"&amp;$A610,'Investment Strategies'!$AZ:$BP,15,FALSE),
IF(AND(Investment_Strategy="Lifecycle",Investment_Strategy_Sub1="Non-Standard"),VLOOKUP(Investment_Strategy&amp;"_"&amp;Investment_Strategy_Sub2&amp;"_"&amp;$A610,'Investment Strategies'!$C:$P,12,FALSE),
IF(AND(Investment_Strategy="Lifecycle",Investment_Strategy_Sub1="Standard"),VLOOKUP(Investment_Strategy&amp;"_"&amp;Investment_Strategy_Sub2&amp;"_"&amp;$A610,'Investment Strategies'!$AJ:$AV,11,FALSE),
IF(AND(Investment_Strategy="Autopilot",Investment_Strategy_Sub1="Non-Standard"),VLOOKUP(Investment_Strategy&amp;"_"&amp;Investment_Strategy_Sub2&amp;"_"&amp;$A610,'Investment Strategies'!$T:$AF,11,FALSE),
IF(Investment_Strategy="DIY",DIY_GteeChrge_FuturePremiums,
"Error"))))))</f>
        <v>0</v>
      </c>
      <c r="V610" s="33">
        <f>IF(AV610=0,0,
IF(Investment_Strategy="DIS",VLOOKUP(Investment_Strategy&amp;"_"&amp;Investment_Strategy_Sub1&amp;"_"&amp;$A610,'Investment Strategies'!$AZ:$BP,17,FALSE),
IF(AND(Investment_Strategy="Lifecycle",Investment_Strategy_Sub1="Non-Standard"),VLOOKUP(Investment_Strategy&amp;"_"&amp;Investment_Strategy_Sub2&amp;"_"&amp;$A610,'Investment Strategies'!$C:$P,14,FALSE),
IF(AND(Investment_Strategy="Lifecycle",Investment_Strategy_Sub1="Standard"),VLOOKUP(Investment_Strategy&amp;"_"&amp;Investment_Strategy_Sub2&amp;"_"&amp;$A610,'Investment Strategies'!$AJ:$AV,13,FALSE),
IF(AND(Investment_Strategy="Autopilot",Investment_Strategy_Sub1="Non-Standard"),VLOOKUP(Investment_Strategy&amp;"_"&amp;Investment_Strategy_Sub2&amp;"_"&amp;$A610,'Investment Strategies'!$T:$AF,13,FALSE),
IF(Investment_Strategy="DIY",DIY_ExtManChrge_FuturePremiums,
"Error"))))))</f>
        <v>0</v>
      </c>
      <c r="W610" s="16">
        <f t="shared" si="373"/>
        <v>0</v>
      </c>
      <c r="X610" s="16">
        <f t="shared" si="350"/>
        <v>0</v>
      </c>
      <c r="Y610" s="16">
        <f t="shared" si="351"/>
        <v>0</v>
      </c>
      <c r="Z610" s="31">
        <f t="shared" si="352"/>
        <v>0.02</v>
      </c>
      <c r="AA610" s="16">
        <f t="shared" si="353"/>
        <v>0</v>
      </c>
      <c r="AB610" s="28">
        <f t="shared" si="374"/>
        <v>0</v>
      </c>
      <c r="AC610" s="28">
        <f>(SUM($AC$91:AC609)+SUM($X$91:X609)+X610)*T610*IF(D610=$A$91,SRP_finalmonthfactor,1)</f>
        <v>0</v>
      </c>
      <c r="AD610" s="16">
        <f t="shared" si="354"/>
        <v>0</v>
      </c>
      <c r="AE610" s="106"/>
      <c r="AF610" s="16">
        <f t="shared" si="362"/>
        <v>0</v>
      </c>
      <c r="AG610" s="16">
        <f t="shared" si="363"/>
        <v>0</v>
      </c>
      <c r="AH610" s="16">
        <f t="shared" si="364"/>
        <v>0</v>
      </c>
      <c r="AJ610" s="13">
        <f t="shared" si="346"/>
        <v>0</v>
      </c>
      <c r="AK610" s="13">
        <f t="shared" si="346"/>
        <v>0</v>
      </c>
      <c r="AL610" s="13">
        <f t="shared" si="346"/>
        <v>0</v>
      </c>
      <c r="AM610" s="13">
        <f t="shared" si="346"/>
        <v>0</v>
      </c>
      <c r="AN610" s="13">
        <f t="shared" si="346"/>
        <v>0</v>
      </c>
      <c r="AO610" s="13">
        <f t="shared" si="346"/>
        <v>1</v>
      </c>
      <c r="AP610" s="13">
        <f t="shared" si="346"/>
        <v>1</v>
      </c>
      <c r="AQ610" s="13">
        <f t="shared" si="346"/>
        <v>1</v>
      </c>
      <c r="AR610" s="13">
        <f t="shared" si="346"/>
        <v>0</v>
      </c>
      <c r="AS610" s="13">
        <f t="shared" si="346"/>
        <v>0</v>
      </c>
      <c r="AT610" s="13">
        <f t="shared" si="346"/>
        <v>0</v>
      </c>
      <c r="AU610" s="13">
        <f t="shared" si="346"/>
        <v>0</v>
      </c>
      <c r="AV610" s="13">
        <f t="shared" si="355"/>
        <v>0</v>
      </c>
      <c r="AW610" s="13">
        <f t="shared" si="356"/>
        <v>1</v>
      </c>
      <c r="AY610" s="17">
        <f t="shared" si="357"/>
        <v>520</v>
      </c>
      <c r="AZ610" s="28">
        <f t="shared" si="365"/>
        <v>0</v>
      </c>
      <c r="BA610" s="13">
        <f t="shared" si="358"/>
        <v>0</v>
      </c>
      <c r="BB610" s="13">
        <f t="shared" si="359"/>
        <v>0</v>
      </c>
      <c r="BC610" s="28">
        <f t="shared" si="366"/>
        <v>0</v>
      </c>
      <c r="BD610" s="28">
        <f t="shared" si="367"/>
        <v>0</v>
      </c>
      <c r="BF610" s="248">
        <f t="shared" si="368"/>
        <v>993869.29442638322</v>
      </c>
    </row>
    <row r="611" spans="1:58">
      <c r="A611" s="32">
        <f t="shared" si="369"/>
        <v>-436</v>
      </c>
      <c r="B611" s="32">
        <f t="shared" si="360"/>
        <v>96</v>
      </c>
      <c r="C611" s="32">
        <f t="shared" si="370"/>
        <v>44</v>
      </c>
      <c r="D611" s="32">
        <f t="shared" si="371"/>
        <v>521</v>
      </c>
      <c r="E611" s="74">
        <f>MIN(IF(AV611=0,0,
IF(Investment_Strategy="DIS",VLOOKUP(Investment_Strategy&amp;"_"&amp;Investment_Strategy_Sub1&amp;"_"&amp;$A611,'Investment Strategies'!$AZ:$BP,12,FALSE),
IF(AND(Investment_Strategy="Lifecycle",Investment_Strategy_Sub1="Non-Standard"),VLOOKUP(Investment_Strategy&amp;"_"&amp;Investment_Strategy_Sub2&amp;"_"&amp;$A611,'Investment Strategies'!$C:$P,9,FALSE),
IF(AND(Investment_Strategy="Lifecycle",Investment_Strategy_Sub1="Standard"),VLOOKUP(Investment_Strategy&amp;"_"&amp;Investment_Strategy_Sub2&amp;"_"&amp;$A611,'Investment Strategies'!$AJ:$AV,8,FALSE),
IF(AND(Investment_Strategy="Autopilot",Investment_Strategy_Sub1="Non-Standard"),VLOOKUP(Investment_Strategy&amp;"_"&amp;Investment_Strategy_Sub2&amp;"_"&amp;$A611,'Investment Strategies'!$T:$AF,8,FALSE),
IF(Investment_Strategy ="DIY",DIY_RateOfReturn_CurrentFunds,
"Error")))))),Max_InvReturn)</f>
        <v>0</v>
      </c>
      <c r="F611" s="62">
        <f>IF(AV611=0,0,
IF(Investment_Strategy="DIS",VLOOKUP(Investment_Strategy&amp;"_"&amp;Investment_Strategy_Sub1&amp;"_"&amp;$A611,'Investment Strategies'!$AZ:$BP,15,FALSE),
IF(AND(Investment_Strategy="Lifecycle",Investment_Strategy_Sub1="Non-Standard"),VLOOKUP(Investment_Strategy&amp;"_"&amp;Investment_Strategy_Sub2&amp;"_"&amp;$A611,'Investment Strategies'!$C:$P,12,FALSE),
IF(AND(Investment_Strategy="Lifecycle",Investment_Strategy_Sub1="Standard"),VLOOKUP(Investment_Strategy&amp;"_"&amp;Investment_Strategy_Sub2&amp;"_"&amp;$A611,'Investment Strategies'!$AJ:$AV,11,FALSE),
IF(AND(Investment_Strategy="Autopilot",Investment_Strategy_Sub1="Non-Standard"),VLOOKUP(Investment_Strategy&amp;"_"&amp;Investment_Strategy_Sub2&amp;"_"&amp;$A611,'Investment Strategies'!$T:$AF,11,FALSE),
IF(Investment_Strategy="DIY",DIY_GteeChrge_CurrentFunds,
"Error"))))))</f>
        <v>0</v>
      </c>
      <c r="G611" s="33">
        <f>IF(AV611=0,0,
IF(Investment_Strategy="DIS",VLOOKUP(Investment_Strategy&amp;"_"&amp;Investment_Strategy_Sub1&amp;"_"&amp;$A611,'Investment Strategies'!$AZ:$BP,17,FALSE),
IF(AND(Investment_Strategy="Lifecycle",Investment_Strategy_Sub1="Non-Standard"),VLOOKUP(Investment_Strategy&amp;"_"&amp;Investment_Strategy_Sub2&amp;"_"&amp;$A611,'Investment Strategies'!$C:$P,14,FALSE),
IF(AND(Investment_Strategy="Lifecycle",Investment_Strategy_Sub1="Standard"),VLOOKUP(Investment_Strategy&amp;"_"&amp;Investment_Strategy_Sub2&amp;"_"&amp;$A611,'Investment Strategies'!$AJ:$AV,13,FALSE),
IF(AND(Investment_Strategy="Autopilot",Investment_Strategy_Sub1="Non-Standard"),VLOOKUP(Investment_Strategy&amp;"_"&amp;Investment_Strategy_Sub2&amp;"_"&amp;$A611,'Investment Strategies'!$T:$AF,13,FALSE),
IF(Investment_Strategy="DIY",DIY_ExtManChrge_CurrentFunds,
"Error"))))))</f>
        <v>0</v>
      </c>
      <c r="H611" s="16">
        <f t="shared" si="361"/>
        <v>0</v>
      </c>
      <c r="I611" s="16">
        <f t="shared" si="347"/>
        <v>0</v>
      </c>
      <c r="J611" s="16">
        <f t="shared" si="348"/>
        <v>0</v>
      </c>
      <c r="K611" s="16">
        <f>(Opening_Fund_Value+SUM(K$91:K610))*E611*IF(D611=$A$91,SRP_finalmonthfactor,1)</f>
        <v>0</v>
      </c>
      <c r="L611" s="74">
        <f>MIN(IF($AV611=0,0,
IF(Investment_Strategy="DIS",VLOOKUP(Investment_Strategy&amp;"_"&amp;Investment_Strategy_Sub1&amp;"_"&amp;$A611,'Investment Strategies'!$AZ:$BP,12,FALSE),
IF(AND(Investment_Strategy="Lifecycle",Investment_Strategy_Sub1="Non-Standard"),VLOOKUP(Investment_Strategy&amp;"_"&amp;Investment_Strategy_Sub2&amp;"_"&amp;$A611,'Investment Strategies'!$C:$P,9,FALSE),
IF(AND(Investment_Strategy="Lifecycle",Investment_Strategy_Sub1="Standard"),VLOOKUP(Investment_Strategy&amp;"_"&amp;Investment_Strategy_Sub2&amp;"_"&amp;$A611,'Investment Strategies'!$AJ:$AV,8,FALSE),
IF(AND(Investment_Strategy="Autopilot",Investment_Strategy_Sub1="Non-Standard"),VLOOKUP(Investment_Strategy&amp;"_"&amp;Investment_Strategy_Sub2&amp;"_"&amp;$A611,'Investment Strategies'!$T:$AF,8,FALSE),
IF(Investment_Strategy ="DIY",DIY_RateofReturn_SP,
"Error")))))),Max_InvReturn)</f>
        <v>0</v>
      </c>
      <c r="M611" s="62">
        <f>IF($AV611=0,0,
IF(Investment_Strategy="DIS",VLOOKUP(Investment_Strategy&amp;"_"&amp;Investment_Strategy_Sub1&amp;"_"&amp;$A611,'Investment Strategies'!$AZ:$BP,15,FALSE),
IF(AND(Investment_Strategy="Lifecycle",Investment_Strategy_Sub1="Non-Standard"),VLOOKUP(Investment_Strategy&amp;"_"&amp;Investment_Strategy_Sub2&amp;"_"&amp;$A611,'Investment Strategies'!$C:$P,12,FALSE),
IF(AND(Investment_Strategy="Lifecycle",Investment_Strategy_Sub1="Standard"),VLOOKUP(Investment_Strategy&amp;"_"&amp;Investment_Strategy_Sub2&amp;"_"&amp;$A611,'Investment Strategies'!$AJ:$AV,11,FALSE),
IF(AND(Investment_Strategy="Autopilot",Investment_Strategy_Sub1="Non-Standard"),VLOOKUP(Investment_Strategy&amp;"_"&amp;Investment_Strategy_Sub2&amp;"_"&amp;$A611,'Investment Strategies'!$T:$AF,11,FALSE),
IF(Investment_Strategy="DIY",DIY_GteeChrge_SP,
"Error"))))))</f>
        <v>0</v>
      </c>
      <c r="N611" s="33">
        <f>IF($AV611=0,0,
IF(Investment_Strategy="DIS",VLOOKUP(Investment_Strategy&amp;"_"&amp;Investment_Strategy_Sub1&amp;"_"&amp;$A611,'Investment Strategies'!$AZ:$BP,17,FALSE),
IF(AND(Investment_Strategy="Lifecycle",Investment_Strategy_Sub1="Non-Standard"),VLOOKUP(Investment_Strategy&amp;"_"&amp;Investment_Strategy_Sub2&amp;"_"&amp;$A611,'Investment Strategies'!$C:$P,14,FALSE),
IF(AND(Investment_Strategy="Lifecycle",Investment_Strategy_Sub1="Standard"),VLOOKUP(Investment_Strategy&amp;"_"&amp;Investment_Strategy_Sub2&amp;"_"&amp;$A611,'Investment Strategies'!$AJ:$AV,13,FALSE),
IF(AND(Investment_Strategy="Autopilot",Investment_Strategy_Sub1="Non-Standard"),VLOOKUP(Investment_Strategy&amp;"_"&amp;Investment_Strategy_Sub2&amp;"_"&amp;$A611,'Investment Strategies'!$T:$AF,13,FALSE),
IF(Investment_Strategy="DIY",DIY_ExtManChrge_SP,
"Error"))))))</f>
        <v>0</v>
      </c>
      <c r="O611" s="16">
        <f t="shared" si="372"/>
        <v>0</v>
      </c>
      <c r="Q611" s="16">
        <f t="shared" si="349"/>
        <v>0</v>
      </c>
      <c r="R611" s="16">
        <f t="shared" si="345"/>
        <v>0</v>
      </c>
      <c r="S611" s="16">
        <f>(SRP_SP+SUM(S$91:S610))*L611*IF(D611=$A$91,SRP_finalmonthfactor,1)</f>
        <v>0</v>
      </c>
      <c r="T611" s="74">
        <f>MIN(IF($AV611=0,0,
IF(Investment_Strategy="DIS",VLOOKUP(Investment_Strategy&amp;"_"&amp;Investment_Strategy_Sub1&amp;"_"&amp;$A611,'Investment Strategies'!$AZ:$BP,12,FALSE),
IF(AND(Investment_Strategy="Lifecycle",Investment_Strategy_Sub1="Non-Standard"),VLOOKUP(Investment_Strategy&amp;"_"&amp;Investment_Strategy_Sub2&amp;"_"&amp;$A611,'Investment Strategies'!$C:$P,9,FALSE),
IF(AND(Investment_Strategy="Lifecycle",Investment_Strategy_Sub1="Standard"),VLOOKUP(Investment_Strategy&amp;"_"&amp;Investment_Strategy_Sub2&amp;"_"&amp;$A611,'Investment Strategies'!$AJ:$AV,8,FALSE),
IF(AND(Investment_Strategy="Autopilot",Investment_Strategy_Sub1="Non-Standard"),VLOOKUP(Investment_Strategy&amp;"_"&amp;Investment_Strategy_Sub2&amp;"_"&amp;$A611,'Investment Strategies'!$T:$AF,8,FALSE),
IF(Investment_Strategy ="DIY",DIY_RateOfReturn_FuturePremiums,
"Error")))))),Max_InvReturn)</f>
        <v>0</v>
      </c>
      <c r="U611" s="62">
        <f>IF($AV611=0,0,
IF(Investment_Strategy="DIS",VLOOKUP(Investment_Strategy&amp;"_"&amp;Investment_Strategy_Sub1&amp;"_"&amp;$A611,'Investment Strategies'!$AZ:$BP,15,FALSE),
IF(AND(Investment_Strategy="Lifecycle",Investment_Strategy_Sub1="Non-Standard"),VLOOKUP(Investment_Strategy&amp;"_"&amp;Investment_Strategy_Sub2&amp;"_"&amp;$A611,'Investment Strategies'!$C:$P,12,FALSE),
IF(AND(Investment_Strategy="Lifecycle",Investment_Strategy_Sub1="Standard"),VLOOKUP(Investment_Strategy&amp;"_"&amp;Investment_Strategy_Sub2&amp;"_"&amp;$A611,'Investment Strategies'!$AJ:$AV,11,FALSE),
IF(AND(Investment_Strategy="Autopilot",Investment_Strategy_Sub1="Non-Standard"),VLOOKUP(Investment_Strategy&amp;"_"&amp;Investment_Strategy_Sub2&amp;"_"&amp;$A611,'Investment Strategies'!$T:$AF,11,FALSE),
IF(Investment_Strategy="DIY",DIY_GteeChrge_FuturePremiums,
"Error"))))))</f>
        <v>0</v>
      </c>
      <c r="V611" s="33">
        <f>IF(AV611=0,0,
IF(Investment_Strategy="DIS",VLOOKUP(Investment_Strategy&amp;"_"&amp;Investment_Strategy_Sub1&amp;"_"&amp;$A611,'Investment Strategies'!$AZ:$BP,17,FALSE),
IF(AND(Investment_Strategy="Lifecycle",Investment_Strategy_Sub1="Non-Standard"),VLOOKUP(Investment_Strategy&amp;"_"&amp;Investment_Strategy_Sub2&amp;"_"&amp;$A611,'Investment Strategies'!$C:$P,14,FALSE),
IF(AND(Investment_Strategy="Lifecycle",Investment_Strategy_Sub1="Standard"),VLOOKUP(Investment_Strategy&amp;"_"&amp;Investment_Strategy_Sub2&amp;"_"&amp;$A611,'Investment Strategies'!$AJ:$AV,13,FALSE),
IF(AND(Investment_Strategy="Autopilot",Investment_Strategy_Sub1="Non-Standard"),VLOOKUP(Investment_Strategy&amp;"_"&amp;Investment_Strategy_Sub2&amp;"_"&amp;$A611,'Investment Strategies'!$T:$AF,13,FALSE),
IF(Investment_Strategy="DIY",DIY_ExtManChrge_FuturePremiums,
"Error"))))))</f>
        <v>0</v>
      </c>
      <c r="W611" s="16">
        <f t="shared" si="373"/>
        <v>0</v>
      </c>
      <c r="X611" s="16">
        <f t="shared" si="350"/>
        <v>0</v>
      </c>
      <c r="Y611" s="16">
        <f t="shared" si="351"/>
        <v>0</v>
      </c>
      <c r="Z611" s="31">
        <f t="shared" si="352"/>
        <v>0.02</v>
      </c>
      <c r="AA611" s="16">
        <f t="shared" si="353"/>
        <v>0</v>
      </c>
      <c r="AB611" s="28">
        <f t="shared" si="374"/>
        <v>0</v>
      </c>
      <c r="AC611" s="28">
        <f>(SUM($AC$91:AC610)+SUM($X$91:X610)+X611)*T611*IF(D611=$A$91,SRP_finalmonthfactor,1)</f>
        <v>0</v>
      </c>
      <c r="AD611" s="16">
        <f t="shared" si="354"/>
        <v>0</v>
      </c>
      <c r="AE611" s="106"/>
      <c r="AF611" s="16">
        <f t="shared" si="362"/>
        <v>0</v>
      </c>
      <c r="AG611" s="16">
        <f t="shared" si="363"/>
        <v>0</v>
      </c>
      <c r="AH611" s="16">
        <f t="shared" si="364"/>
        <v>0</v>
      </c>
      <c r="AJ611" s="13">
        <f t="shared" ref="AJ611:AU620" si="375">IF($C611&lt;=AJ$90,1,0)</f>
        <v>0</v>
      </c>
      <c r="AK611" s="13">
        <f t="shared" si="375"/>
        <v>0</v>
      </c>
      <c r="AL611" s="13">
        <f t="shared" si="375"/>
        <v>0</v>
      </c>
      <c r="AM611" s="13">
        <f t="shared" si="375"/>
        <v>0</v>
      </c>
      <c r="AN611" s="13">
        <f t="shared" si="375"/>
        <v>0</v>
      </c>
      <c r="AO611" s="13">
        <f t="shared" si="375"/>
        <v>1</v>
      </c>
      <c r="AP611" s="13">
        <f t="shared" si="375"/>
        <v>1</v>
      </c>
      <c r="AQ611" s="13">
        <f t="shared" si="375"/>
        <v>1</v>
      </c>
      <c r="AR611" s="13">
        <f t="shared" si="375"/>
        <v>0</v>
      </c>
      <c r="AS611" s="13">
        <f t="shared" si="375"/>
        <v>0</v>
      </c>
      <c r="AT611" s="13">
        <f t="shared" si="375"/>
        <v>0</v>
      </c>
      <c r="AU611" s="13">
        <f t="shared" si="375"/>
        <v>0</v>
      </c>
      <c r="AV611" s="13">
        <f t="shared" si="355"/>
        <v>0</v>
      </c>
      <c r="AW611" s="13">
        <f t="shared" si="356"/>
        <v>1</v>
      </c>
      <c r="AY611" s="17">
        <f t="shared" si="357"/>
        <v>521</v>
      </c>
      <c r="AZ611" s="28">
        <f t="shared" si="365"/>
        <v>0</v>
      </c>
      <c r="BA611" s="13">
        <f t="shared" si="358"/>
        <v>0</v>
      </c>
      <c r="BB611" s="13">
        <f t="shared" si="359"/>
        <v>0</v>
      </c>
      <c r="BC611" s="28">
        <f t="shared" si="366"/>
        <v>0</v>
      </c>
      <c r="BD611" s="28">
        <f t="shared" si="367"/>
        <v>0</v>
      </c>
      <c r="BF611" s="248">
        <f t="shared" si="368"/>
        <v>993869.29442638322</v>
      </c>
    </row>
    <row r="612" spans="1:58">
      <c r="A612" s="32">
        <f t="shared" si="369"/>
        <v>-437</v>
      </c>
      <c r="B612" s="32">
        <f t="shared" si="360"/>
        <v>96</v>
      </c>
      <c r="C612" s="32">
        <f t="shared" si="370"/>
        <v>44</v>
      </c>
      <c r="D612" s="32">
        <f t="shared" si="371"/>
        <v>522</v>
      </c>
      <c r="E612" s="74">
        <f>MIN(IF(AV612=0,0,
IF(Investment_Strategy="DIS",VLOOKUP(Investment_Strategy&amp;"_"&amp;Investment_Strategy_Sub1&amp;"_"&amp;$A612,'Investment Strategies'!$AZ:$BP,12,FALSE),
IF(AND(Investment_Strategy="Lifecycle",Investment_Strategy_Sub1="Non-Standard"),VLOOKUP(Investment_Strategy&amp;"_"&amp;Investment_Strategy_Sub2&amp;"_"&amp;$A612,'Investment Strategies'!$C:$P,9,FALSE),
IF(AND(Investment_Strategy="Lifecycle",Investment_Strategy_Sub1="Standard"),VLOOKUP(Investment_Strategy&amp;"_"&amp;Investment_Strategy_Sub2&amp;"_"&amp;$A612,'Investment Strategies'!$AJ:$AV,8,FALSE),
IF(AND(Investment_Strategy="Autopilot",Investment_Strategy_Sub1="Non-Standard"),VLOOKUP(Investment_Strategy&amp;"_"&amp;Investment_Strategy_Sub2&amp;"_"&amp;$A612,'Investment Strategies'!$T:$AF,8,FALSE),
IF(Investment_Strategy ="DIY",DIY_RateOfReturn_CurrentFunds,
"Error")))))),Max_InvReturn)</f>
        <v>0</v>
      </c>
      <c r="F612" s="62">
        <f>IF(AV612=0,0,
IF(Investment_Strategy="DIS",VLOOKUP(Investment_Strategy&amp;"_"&amp;Investment_Strategy_Sub1&amp;"_"&amp;$A612,'Investment Strategies'!$AZ:$BP,15,FALSE),
IF(AND(Investment_Strategy="Lifecycle",Investment_Strategy_Sub1="Non-Standard"),VLOOKUP(Investment_Strategy&amp;"_"&amp;Investment_Strategy_Sub2&amp;"_"&amp;$A612,'Investment Strategies'!$C:$P,12,FALSE),
IF(AND(Investment_Strategy="Lifecycle",Investment_Strategy_Sub1="Standard"),VLOOKUP(Investment_Strategy&amp;"_"&amp;Investment_Strategy_Sub2&amp;"_"&amp;$A612,'Investment Strategies'!$AJ:$AV,11,FALSE),
IF(AND(Investment_Strategy="Autopilot",Investment_Strategy_Sub1="Non-Standard"),VLOOKUP(Investment_Strategy&amp;"_"&amp;Investment_Strategy_Sub2&amp;"_"&amp;$A612,'Investment Strategies'!$T:$AF,11,FALSE),
IF(Investment_Strategy="DIY",DIY_GteeChrge_CurrentFunds,
"Error"))))))</f>
        <v>0</v>
      </c>
      <c r="G612" s="33">
        <f>IF(AV612=0,0,
IF(Investment_Strategy="DIS",VLOOKUP(Investment_Strategy&amp;"_"&amp;Investment_Strategy_Sub1&amp;"_"&amp;$A612,'Investment Strategies'!$AZ:$BP,17,FALSE),
IF(AND(Investment_Strategy="Lifecycle",Investment_Strategy_Sub1="Non-Standard"),VLOOKUP(Investment_Strategy&amp;"_"&amp;Investment_Strategy_Sub2&amp;"_"&amp;$A612,'Investment Strategies'!$C:$P,14,FALSE),
IF(AND(Investment_Strategy="Lifecycle",Investment_Strategy_Sub1="Standard"),VLOOKUP(Investment_Strategy&amp;"_"&amp;Investment_Strategy_Sub2&amp;"_"&amp;$A612,'Investment Strategies'!$AJ:$AV,13,FALSE),
IF(AND(Investment_Strategy="Autopilot",Investment_Strategy_Sub1="Non-Standard"),VLOOKUP(Investment_Strategy&amp;"_"&amp;Investment_Strategy_Sub2&amp;"_"&amp;$A612,'Investment Strategies'!$T:$AF,13,FALSE),
IF(Investment_Strategy="DIY",DIY_ExtManChrge_CurrentFunds,
"Error"))))))</f>
        <v>0</v>
      </c>
      <c r="H612" s="16">
        <f t="shared" si="361"/>
        <v>0</v>
      </c>
      <c r="I612" s="16">
        <f t="shared" si="347"/>
        <v>0</v>
      </c>
      <c r="J612" s="16">
        <f t="shared" si="348"/>
        <v>0</v>
      </c>
      <c r="K612" s="16">
        <f>(Opening_Fund_Value+SUM(K$91:K611))*E612*IF(D612=$A$91,SRP_finalmonthfactor,1)</f>
        <v>0</v>
      </c>
      <c r="L612" s="74">
        <f>MIN(IF($AV612=0,0,
IF(Investment_Strategy="DIS",VLOOKUP(Investment_Strategy&amp;"_"&amp;Investment_Strategy_Sub1&amp;"_"&amp;$A612,'Investment Strategies'!$AZ:$BP,12,FALSE),
IF(AND(Investment_Strategy="Lifecycle",Investment_Strategy_Sub1="Non-Standard"),VLOOKUP(Investment_Strategy&amp;"_"&amp;Investment_Strategy_Sub2&amp;"_"&amp;$A612,'Investment Strategies'!$C:$P,9,FALSE),
IF(AND(Investment_Strategy="Lifecycle",Investment_Strategy_Sub1="Standard"),VLOOKUP(Investment_Strategy&amp;"_"&amp;Investment_Strategy_Sub2&amp;"_"&amp;$A612,'Investment Strategies'!$AJ:$AV,8,FALSE),
IF(AND(Investment_Strategy="Autopilot",Investment_Strategy_Sub1="Non-Standard"),VLOOKUP(Investment_Strategy&amp;"_"&amp;Investment_Strategy_Sub2&amp;"_"&amp;$A612,'Investment Strategies'!$T:$AF,8,FALSE),
IF(Investment_Strategy ="DIY",DIY_RateofReturn_SP,
"Error")))))),Max_InvReturn)</f>
        <v>0</v>
      </c>
      <c r="M612" s="62">
        <f>IF($AV612=0,0,
IF(Investment_Strategy="DIS",VLOOKUP(Investment_Strategy&amp;"_"&amp;Investment_Strategy_Sub1&amp;"_"&amp;$A612,'Investment Strategies'!$AZ:$BP,15,FALSE),
IF(AND(Investment_Strategy="Lifecycle",Investment_Strategy_Sub1="Non-Standard"),VLOOKUP(Investment_Strategy&amp;"_"&amp;Investment_Strategy_Sub2&amp;"_"&amp;$A612,'Investment Strategies'!$C:$P,12,FALSE),
IF(AND(Investment_Strategy="Lifecycle",Investment_Strategy_Sub1="Standard"),VLOOKUP(Investment_Strategy&amp;"_"&amp;Investment_Strategy_Sub2&amp;"_"&amp;$A612,'Investment Strategies'!$AJ:$AV,11,FALSE),
IF(AND(Investment_Strategy="Autopilot",Investment_Strategy_Sub1="Non-Standard"),VLOOKUP(Investment_Strategy&amp;"_"&amp;Investment_Strategy_Sub2&amp;"_"&amp;$A612,'Investment Strategies'!$T:$AF,11,FALSE),
IF(Investment_Strategy="DIY",DIY_GteeChrge_SP,
"Error"))))))</f>
        <v>0</v>
      </c>
      <c r="N612" s="33">
        <f>IF($AV612=0,0,
IF(Investment_Strategy="DIS",VLOOKUP(Investment_Strategy&amp;"_"&amp;Investment_Strategy_Sub1&amp;"_"&amp;$A612,'Investment Strategies'!$AZ:$BP,17,FALSE),
IF(AND(Investment_Strategy="Lifecycle",Investment_Strategy_Sub1="Non-Standard"),VLOOKUP(Investment_Strategy&amp;"_"&amp;Investment_Strategy_Sub2&amp;"_"&amp;$A612,'Investment Strategies'!$C:$P,14,FALSE),
IF(AND(Investment_Strategy="Lifecycle",Investment_Strategy_Sub1="Standard"),VLOOKUP(Investment_Strategy&amp;"_"&amp;Investment_Strategy_Sub2&amp;"_"&amp;$A612,'Investment Strategies'!$AJ:$AV,13,FALSE),
IF(AND(Investment_Strategy="Autopilot",Investment_Strategy_Sub1="Non-Standard"),VLOOKUP(Investment_Strategy&amp;"_"&amp;Investment_Strategy_Sub2&amp;"_"&amp;$A612,'Investment Strategies'!$T:$AF,13,FALSE),
IF(Investment_Strategy="DIY",DIY_ExtManChrge_SP,
"Error"))))))</f>
        <v>0</v>
      </c>
      <c r="O612" s="16">
        <f t="shared" si="372"/>
        <v>0</v>
      </c>
      <c r="Q612" s="16">
        <f t="shared" si="349"/>
        <v>0</v>
      </c>
      <c r="R612" s="16">
        <f t="shared" si="345"/>
        <v>0</v>
      </c>
      <c r="S612" s="16">
        <f>(SRP_SP+SUM(S$91:S611))*L612*IF(D612=$A$91,SRP_finalmonthfactor,1)</f>
        <v>0</v>
      </c>
      <c r="T612" s="74">
        <f>MIN(IF($AV612=0,0,
IF(Investment_Strategy="DIS",VLOOKUP(Investment_Strategy&amp;"_"&amp;Investment_Strategy_Sub1&amp;"_"&amp;$A612,'Investment Strategies'!$AZ:$BP,12,FALSE),
IF(AND(Investment_Strategy="Lifecycle",Investment_Strategy_Sub1="Non-Standard"),VLOOKUP(Investment_Strategy&amp;"_"&amp;Investment_Strategy_Sub2&amp;"_"&amp;$A612,'Investment Strategies'!$C:$P,9,FALSE),
IF(AND(Investment_Strategy="Lifecycle",Investment_Strategy_Sub1="Standard"),VLOOKUP(Investment_Strategy&amp;"_"&amp;Investment_Strategy_Sub2&amp;"_"&amp;$A612,'Investment Strategies'!$AJ:$AV,8,FALSE),
IF(AND(Investment_Strategy="Autopilot",Investment_Strategy_Sub1="Non-Standard"),VLOOKUP(Investment_Strategy&amp;"_"&amp;Investment_Strategy_Sub2&amp;"_"&amp;$A612,'Investment Strategies'!$T:$AF,8,FALSE),
IF(Investment_Strategy ="DIY",DIY_RateOfReturn_FuturePremiums,
"Error")))))),Max_InvReturn)</f>
        <v>0</v>
      </c>
      <c r="U612" s="62">
        <f>IF($AV612=0,0,
IF(Investment_Strategy="DIS",VLOOKUP(Investment_Strategy&amp;"_"&amp;Investment_Strategy_Sub1&amp;"_"&amp;$A612,'Investment Strategies'!$AZ:$BP,15,FALSE),
IF(AND(Investment_Strategy="Lifecycle",Investment_Strategy_Sub1="Non-Standard"),VLOOKUP(Investment_Strategy&amp;"_"&amp;Investment_Strategy_Sub2&amp;"_"&amp;$A612,'Investment Strategies'!$C:$P,12,FALSE),
IF(AND(Investment_Strategy="Lifecycle",Investment_Strategy_Sub1="Standard"),VLOOKUP(Investment_Strategy&amp;"_"&amp;Investment_Strategy_Sub2&amp;"_"&amp;$A612,'Investment Strategies'!$AJ:$AV,11,FALSE),
IF(AND(Investment_Strategy="Autopilot",Investment_Strategy_Sub1="Non-Standard"),VLOOKUP(Investment_Strategy&amp;"_"&amp;Investment_Strategy_Sub2&amp;"_"&amp;$A612,'Investment Strategies'!$T:$AF,11,FALSE),
IF(Investment_Strategy="DIY",DIY_GteeChrge_FuturePremiums,
"Error"))))))</f>
        <v>0</v>
      </c>
      <c r="V612" s="33">
        <f>IF(AV612=0,0,
IF(Investment_Strategy="DIS",VLOOKUP(Investment_Strategy&amp;"_"&amp;Investment_Strategy_Sub1&amp;"_"&amp;$A612,'Investment Strategies'!$AZ:$BP,17,FALSE),
IF(AND(Investment_Strategy="Lifecycle",Investment_Strategy_Sub1="Non-Standard"),VLOOKUP(Investment_Strategy&amp;"_"&amp;Investment_Strategy_Sub2&amp;"_"&amp;$A612,'Investment Strategies'!$C:$P,14,FALSE),
IF(AND(Investment_Strategy="Lifecycle",Investment_Strategy_Sub1="Standard"),VLOOKUP(Investment_Strategy&amp;"_"&amp;Investment_Strategy_Sub2&amp;"_"&amp;$A612,'Investment Strategies'!$AJ:$AV,13,FALSE),
IF(AND(Investment_Strategy="Autopilot",Investment_Strategy_Sub1="Non-Standard"),VLOOKUP(Investment_Strategy&amp;"_"&amp;Investment_Strategy_Sub2&amp;"_"&amp;$A612,'Investment Strategies'!$T:$AF,13,FALSE),
IF(Investment_Strategy="DIY",DIY_ExtManChrge_FuturePremiums,
"Error"))))))</f>
        <v>0</v>
      </c>
      <c r="W612" s="16">
        <f t="shared" si="373"/>
        <v>0</v>
      </c>
      <c r="X612" s="16">
        <f t="shared" si="350"/>
        <v>0</v>
      </c>
      <c r="Y612" s="16">
        <f t="shared" si="351"/>
        <v>0</v>
      </c>
      <c r="Z612" s="31">
        <f t="shared" si="352"/>
        <v>0.02</v>
      </c>
      <c r="AA612" s="16">
        <f t="shared" si="353"/>
        <v>0</v>
      </c>
      <c r="AB612" s="28">
        <f t="shared" si="374"/>
        <v>0</v>
      </c>
      <c r="AC612" s="28">
        <f>(SUM($AC$91:AC611)+SUM($X$91:X611)+X612)*T612*IF(D612=$A$91,SRP_finalmonthfactor,1)</f>
        <v>0</v>
      </c>
      <c r="AD612" s="16">
        <f t="shared" si="354"/>
        <v>0</v>
      </c>
      <c r="AE612" s="106"/>
      <c r="AF612" s="16">
        <f t="shared" si="362"/>
        <v>0</v>
      </c>
      <c r="AG612" s="16">
        <f t="shared" si="363"/>
        <v>0</v>
      </c>
      <c r="AH612" s="16">
        <f t="shared" si="364"/>
        <v>0</v>
      </c>
      <c r="AJ612" s="13">
        <f t="shared" si="375"/>
        <v>0</v>
      </c>
      <c r="AK612" s="13">
        <f t="shared" si="375"/>
        <v>0</v>
      </c>
      <c r="AL612" s="13">
        <f t="shared" si="375"/>
        <v>0</v>
      </c>
      <c r="AM612" s="13">
        <f t="shared" si="375"/>
        <v>0</v>
      </c>
      <c r="AN612" s="13">
        <f t="shared" si="375"/>
        <v>0</v>
      </c>
      <c r="AO612" s="13">
        <f t="shared" si="375"/>
        <v>1</v>
      </c>
      <c r="AP612" s="13">
        <f t="shared" si="375"/>
        <v>1</v>
      </c>
      <c r="AQ612" s="13">
        <f t="shared" si="375"/>
        <v>1</v>
      </c>
      <c r="AR612" s="13">
        <f t="shared" si="375"/>
        <v>0</v>
      </c>
      <c r="AS612" s="13">
        <f t="shared" si="375"/>
        <v>0</v>
      </c>
      <c r="AT612" s="13">
        <f t="shared" si="375"/>
        <v>0</v>
      </c>
      <c r="AU612" s="13">
        <f t="shared" si="375"/>
        <v>0</v>
      </c>
      <c r="AV612" s="13">
        <f t="shared" si="355"/>
        <v>0</v>
      </c>
      <c r="AW612" s="13">
        <f t="shared" si="356"/>
        <v>1</v>
      </c>
      <c r="AY612" s="17">
        <f t="shared" si="357"/>
        <v>522</v>
      </c>
      <c r="AZ612" s="28">
        <f t="shared" si="365"/>
        <v>0</v>
      </c>
      <c r="BA612" s="13">
        <f t="shared" si="358"/>
        <v>0</v>
      </c>
      <c r="BB612" s="13">
        <f t="shared" si="359"/>
        <v>0</v>
      </c>
      <c r="BC612" s="28">
        <f t="shared" si="366"/>
        <v>0</v>
      </c>
      <c r="BD612" s="28">
        <f t="shared" si="367"/>
        <v>0</v>
      </c>
      <c r="BF612" s="248">
        <f t="shared" si="368"/>
        <v>993869.29442638322</v>
      </c>
    </row>
    <row r="613" spans="1:58">
      <c r="A613" s="32">
        <f t="shared" si="369"/>
        <v>-438</v>
      </c>
      <c r="B613" s="32">
        <f t="shared" si="360"/>
        <v>96</v>
      </c>
      <c r="C613" s="32">
        <f t="shared" si="370"/>
        <v>44</v>
      </c>
      <c r="D613" s="32">
        <f t="shared" si="371"/>
        <v>523</v>
      </c>
      <c r="E613" s="74">
        <f>MIN(IF(AV613=0,0,
IF(Investment_Strategy="DIS",VLOOKUP(Investment_Strategy&amp;"_"&amp;Investment_Strategy_Sub1&amp;"_"&amp;$A613,'Investment Strategies'!$AZ:$BP,12,FALSE),
IF(AND(Investment_Strategy="Lifecycle",Investment_Strategy_Sub1="Non-Standard"),VLOOKUP(Investment_Strategy&amp;"_"&amp;Investment_Strategy_Sub2&amp;"_"&amp;$A613,'Investment Strategies'!$C:$P,9,FALSE),
IF(AND(Investment_Strategy="Lifecycle",Investment_Strategy_Sub1="Standard"),VLOOKUP(Investment_Strategy&amp;"_"&amp;Investment_Strategy_Sub2&amp;"_"&amp;$A613,'Investment Strategies'!$AJ:$AV,8,FALSE),
IF(AND(Investment_Strategy="Autopilot",Investment_Strategy_Sub1="Non-Standard"),VLOOKUP(Investment_Strategy&amp;"_"&amp;Investment_Strategy_Sub2&amp;"_"&amp;$A613,'Investment Strategies'!$T:$AF,8,FALSE),
IF(Investment_Strategy ="DIY",DIY_RateOfReturn_CurrentFunds,
"Error")))))),Max_InvReturn)</f>
        <v>0</v>
      </c>
      <c r="F613" s="62">
        <f>IF(AV613=0,0,
IF(Investment_Strategy="DIS",VLOOKUP(Investment_Strategy&amp;"_"&amp;Investment_Strategy_Sub1&amp;"_"&amp;$A613,'Investment Strategies'!$AZ:$BP,15,FALSE),
IF(AND(Investment_Strategy="Lifecycle",Investment_Strategy_Sub1="Non-Standard"),VLOOKUP(Investment_Strategy&amp;"_"&amp;Investment_Strategy_Sub2&amp;"_"&amp;$A613,'Investment Strategies'!$C:$P,12,FALSE),
IF(AND(Investment_Strategy="Lifecycle",Investment_Strategy_Sub1="Standard"),VLOOKUP(Investment_Strategy&amp;"_"&amp;Investment_Strategy_Sub2&amp;"_"&amp;$A613,'Investment Strategies'!$AJ:$AV,11,FALSE),
IF(AND(Investment_Strategy="Autopilot",Investment_Strategy_Sub1="Non-Standard"),VLOOKUP(Investment_Strategy&amp;"_"&amp;Investment_Strategy_Sub2&amp;"_"&amp;$A613,'Investment Strategies'!$T:$AF,11,FALSE),
IF(Investment_Strategy="DIY",DIY_GteeChrge_CurrentFunds,
"Error"))))))</f>
        <v>0</v>
      </c>
      <c r="G613" s="33">
        <f>IF(AV613=0,0,
IF(Investment_Strategy="DIS",VLOOKUP(Investment_Strategy&amp;"_"&amp;Investment_Strategy_Sub1&amp;"_"&amp;$A613,'Investment Strategies'!$AZ:$BP,17,FALSE),
IF(AND(Investment_Strategy="Lifecycle",Investment_Strategy_Sub1="Non-Standard"),VLOOKUP(Investment_Strategy&amp;"_"&amp;Investment_Strategy_Sub2&amp;"_"&amp;$A613,'Investment Strategies'!$C:$P,14,FALSE),
IF(AND(Investment_Strategy="Lifecycle",Investment_Strategy_Sub1="Standard"),VLOOKUP(Investment_Strategy&amp;"_"&amp;Investment_Strategy_Sub2&amp;"_"&amp;$A613,'Investment Strategies'!$AJ:$AV,13,FALSE),
IF(AND(Investment_Strategy="Autopilot",Investment_Strategy_Sub1="Non-Standard"),VLOOKUP(Investment_Strategy&amp;"_"&amp;Investment_Strategy_Sub2&amp;"_"&amp;$A613,'Investment Strategies'!$T:$AF,13,FALSE),
IF(Investment_Strategy="DIY",DIY_ExtManChrge_CurrentFunds,
"Error"))))))</f>
        <v>0</v>
      </c>
      <c r="H613" s="16">
        <f t="shared" si="361"/>
        <v>0</v>
      </c>
      <c r="I613" s="16">
        <f t="shared" si="347"/>
        <v>0</v>
      </c>
      <c r="J613" s="16">
        <f t="shared" si="348"/>
        <v>0</v>
      </c>
      <c r="K613" s="16">
        <f>(Opening_Fund_Value+SUM(K$91:K612))*E613*IF(D613=$A$91,SRP_finalmonthfactor,1)</f>
        <v>0</v>
      </c>
      <c r="L613" s="74">
        <f>MIN(IF($AV613=0,0,
IF(Investment_Strategy="DIS",VLOOKUP(Investment_Strategy&amp;"_"&amp;Investment_Strategy_Sub1&amp;"_"&amp;$A613,'Investment Strategies'!$AZ:$BP,12,FALSE),
IF(AND(Investment_Strategy="Lifecycle",Investment_Strategy_Sub1="Non-Standard"),VLOOKUP(Investment_Strategy&amp;"_"&amp;Investment_Strategy_Sub2&amp;"_"&amp;$A613,'Investment Strategies'!$C:$P,9,FALSE),
IF(AND(Investment_Strategy="Lifecycle",Investment_Strategy_Sub1="Standard"),VLOOKUP(Investment_Strategy&amp;"_"&amp;Investment_Strategy_Sub2&amp;"_"&amp;$A613,'Investment Strategies'!$AJ:$AV,8,FALSE),
IF(AND(Investment_Strategy="Autopilot",Investment_Strategy_Sub1="Non-Standard"),VLOOKUP(Investment_Strategy&amp;"_"&amp;Investment_Strategy_Sub2&amp;"_"&amp;$A613,'Investment Strategies'!$T:$AF,8,FALSE),
IF(Investment_Strategy ="DIY",DIY_RateofReturn_SP,
"Error")))))),Max_InvReturn)</f>
        <v>0</v>
      </c>
      <c r="M613" s="62">
        <f>IF($AV613=0,0,
IF(Investment_Strategy="DIS",VLOOKUP(Investment_Strategy&amp;"_"&amp;Investment_Strategy_Sub1&amp;"_"&amp;$A613,'Investment Strategies'!$AZ:$BP,15,FALSE),
IF(AND(Investment_Strategy="Lifecycle",Investment_Strategy_Sub1="Non-Standard"),VLOOKUP(Investment_Strategy&amp;"_"&amp;Investment_Strategy_Sub2&amp;"_"&amp;$A613,'Investment Strategies'!$C:$P,12,FALSE),
IF(AND(Investment_Strategy="Lifecycle",Investment_Strategy_Sub1="Standard"),VLOOKUP(Investment_Strategy&amp;"_"&amp;Investment_Strategy_Sub2&amp;"_"&amp;$A613,'Investment Strategies'!$AJ:$AV,11,FALSE),
IF(AND(Investment_Strategy="Autopilot",Investment_Strategy_Sub1="Non-Standard"),VLOOKUP(Investment_Strategy&amp;"_"&amp;Investment_Strategy_Sub2&amp;"_"&amp;$A613,'Investment Strategies'!$T:$AF,11,FALSE),
IF(Investment_Strategy="DIY",DIY_GteeChrge_SP,
"Error"))))))</f>
        <v>0</v>
      </c>
      <c r="N613" s="33">
        <f>IF($AV613=0,0,
IF(Investment_Strategy="DIS",VLOOKUP(Investment_Strategy&amp;"_"&amp;Investment_Strategy_Sub1&amp;"_"&amp;$A613,'Investment Strategies'!$AZ:$BP,17,FALSE),
IF(AND(Investment_Strategy="Lifecycle",Investment_Strategy_Sub1="Non-Standard"),VLOOKUP(Investment_Strategy&amp;"_"&amp;Investment_Strategy_Sub2&amp;"_"&amp;$A613,'Investment Strategies'!$C:$P,14,FALSE),
IF(AND(Investment_Strategy="Lifecycle",Investment_Strategy_Sub1="Standard"),VLOOKUP(Investment_Strategy&amp;"_"&amp;Investment_Strategy_Sub2&amp;"_"&amp;$A613,'Investment Strategies'!$AJ:$AV,13,FALSE),
IF(AND(Investment_Strategy="Autopilot",Investment_Strategy_Sub1="Non-Standard"),VLOOKUP(Investment_Strategy&amp;"_"&amp;Investment_Strategy_Sub2&amp;"_"&amp;$A613,'Investment Strategies'!$T:$AF,13,FALSE),
IF(Investment_Strategy="DIY",DIY_ExtManChrge_SP,
"Error"))))))</f>
        <v>0</v>
      </c>
      <c r="O613" s="16">
        <f t="shared" si="372"/>
        <v>0</v>
      </c>
      <c r="Q613" s="16">
        <f t="shared" si="349"/>
        <v>0</v>
      </c>
      <c r="R613" s="16">
        <f t="shared" si="345"/>
        <v>0</v>
      </c>
      <c r="S613" s="16">
        <f>(SRP_SP+SUM(S$91:S612))*L613*IF(D613=$A$91,SRP_finalmonthfactor,1)</f>
        <v>0</v>
      </c>
      <c r="T613" s="74">
        <f>MIN(IF($AV613=0,0,
IF(Investment_Strategy="DIS",VLOOKUP(Investment_Strategy&amp;"_"&amp;Investment_Strategy_Sub1&amp;"_"&amp;$A613,'Investment Strategies'!$AZ:$BP,12,FALSE),
IF(AND(Investment_Strategy="Lifecycle",Investment_Strategy_Sub1="Non-Standard"),VLOOKUP(Investment_Strategy&amp;"_"&amp;Investment_Strategy_Sub2&amp;"_"&amp;$A613,'Investment Strategies'!$C:$P,9,FALSE),
IF(AND(Investment_Strategy="Lifecycle",Investment_Strategy_Sub1="Standard"),VLOOKUP(Investment_Strategy&amp;"_"&amp;Investment_Strategy_Sub2&amp;"_"&amp;$A613,'Investment Strategies'!$AJ:$AV,8,FALSE),
IF(AND(Investment_Strategy="Autopilot",Investment_Strategy_Sub1="Non-Standard"),VLOOKUP(Investment_Strategy&amp;"_"&amp;Investment_Strategy_Sub2&amp;"_"&amp;$A613,'Investment Strategies'!$T:$AF,8,FALSE),
IF(Investment_Strategy ="DIY",DIY_RateOfReturn_FuturePremiums,
"Error")))))),Max_InvReturn)</f>
        <v>0</v>
      </c>
      <c r="U613" s="62">
        <f>IF($AV613=0,0,
IF(Investment_Strategy="DIS",VLOOKUP(Investment_Strategy&amp;"_"&amp;Investment_Strategy_Sub1&amp;"_"&amp;$A613,'Investment Strategies'!$AZ:$BP,15,FALSE),
IF(AND(Investment_Strategy="Lifecycle",Investment_Strategy_Sub1="Non-Standard"),VLOOKUP(Investment_Strategy&amp;"_"&amp;Investment_Strategy_Sub2&amp;"_"&amp;$A613,'Investment Strategies'!$C:$P,12,FALSE),
IF(AND(Investment_Strategy="Lifecycle",Investment_Strategy_Sub1="Standard"),VLOOKUP(Investment_Strategy&amp;"_"&amp;Investment_Strategy_Sub2&amp;"_"&amp;$A613,'Investment Strategies'!$AJ:$AV,11,FALSE),
IF(AND(Investment_Strategy="Autopilot",Investment_Strategy_Sub1="Non-Standard"),VLOOKUP(Investment_Strategy&amp;"_"&amp;Investment_Strategy_Sub2&amp;"_"&amp;$A613,'Investment Strategies'!$T:$AF,11,FALSE),
IF(Investment_Strategy="DIY",DIY_GteeChrge_FuturePremiums,
"Error"))))))</f>
        <v>0</v>
      </c>
      <c r="V613" s="33">
        <f>IF(AV613=0,0,
IF(Investment_Strategy="DIS",VLOOKUP(Investment_Strategy&amp;"_"&amp;Investment_Strategy_Sub1&amp;"_"&amp;$A613,'Investment Strategies'!$AZ:$BP,17,FALSE),
IF(AND(Investment_Strategy="Lifecycle",Investment_Strategy_Sub1="Non-Standard"),VLOOKUP(Investment_Strategy&amp;"_"&amp;Investment_Strategy_Sub2&amp;"_"&amp;$A613,'Investment Strategies'!$C:$P,14,FALSE),
IF(AND(Investment_Strategy="Lifecycle",Investment_Strategy_Sub1="Standard"),VLOOKUP(Investment_Strategy&amp;"_"&amp;Investment_Strategy_Sub2&amp;"_"&amp;$A613,'Investment Strategies'!$AJ:$AV,13,FALSE),
IF(AND(Investment_Strategy="Autopilot",Investment_Strategy_Sub1="Non-Standard"),VLOOKUP(Investment_Strategy&amp;"_"&amp;Investment_Strategy_Sub2&amp;"_"&amp;$A613,'Investment Strategies'!$T:$AF,13,FALSE),
IF(Investment_Strategy="DIY",DIY_ExtManChrge_FuturePremiums,
"Error"))))))</f>
        <v>0</v>
      </c>
      <c r="W613" s="16">
        <f t="shared" si="373"/>
        <v>0</v>
      </c>
      <c r="X613" s="16">
        <f t="shared" si="350"/>
        <v>0</v>
      </c>
      <c r="Y613" s="16">
        <f t="shared" si="351"/>
        <v>0</v>
      </c>
      <c r="Z613" s="31">
        <f t="shared" si="352"/>
        <v>0.02</v>
      </c>
      <c r="AA613" s="16">
        <f t="shared" si="353"/>
        <v>0</v>
      </c>
      <c r="AB613" s="28">
        <f t="shared" si="374"/>
        <v>0</v>
      </c>
      <c r="AC613" s="28">
        <f>(SUM($AC$91:AC612)+SUM($X$91:X612)+X613)*T613*IF(D613=$A$91,SRP_finalmonthfactor,1)</f>
        <v>0</v>
      </c>
      <c r="AD613" s="16">
        <f t="shared" si="354"/>
        <v>0</v>
      </c>
      <c r="AE613" s="106"/>
      <c r="AF613" s="16">
        <f t="shared" si="362"/>
        <v>0</v>
      </c>
      <c r="AG613" s="16">
        <f t="shared" si="363"/>
        <v>0</v>
      </c>
      <c r="AH613" s="16">
        <f t="shared" si="364"/>
        <v>0</v>
      </c>
      <c r="AJ613" s="13">
        <f t="shared" si="375"/>
        <v>0</v>
      </c>
      <c r="AK613" s="13">
        <f t="shared" si="375"/>
        <v>0</v>
      </c>
      <c r="AL613" s="13">
        <f t="shared" si="375"/>
        <v>0</v>
      </c>
      <c r="AM613" s="13">
        <f t="shared" si="375"/>
        <v>0</v>
      </c>
      <c r="AN613" s="13">
        <f t="shared" si="375"/>
        <v>0</v>
      </c>
      <c r="AO613" s="13">
        <f t="shared" si="375"/>
        <v>1</v>
      </c>
      <c r="AP613" s="13">
        <f t="shared" si="375"/>
        <v>1</v>
      </c>
      <c r="AQ613" s="13">
        <f t="shared" si="375"/>
        <v>1</v>
      </c>
      <c r="AR613" s="13">
        <f t="shared" si="375"/>
        <v>0</v>
      </c>
      <c r="AS613" s="13">
        <f t="shared" si="375"/>
        <v>0</v>
      </c>
      <c r="AT613" s="13">
        <f t="shared" si="375"/>
        <v>0</v>
      </c>
      <c r="AU613" s="13">
        <f t="shared" si="375"/>
        <v>0</v>
      </c>
      <c r="AV613" s="13">
        <f t="shared" si="355"/>
        <v>0</v>
      </c>
      <c r="AW613" s="13">
        <f t="shared" si="356"/>
        <v>1</v>
      </c>
      <c r="AY613" s="17">
        <f t="shared" si="357"/>
        <v>523</v>
      </c>
      <c r="AZ613" s="28">
        <f t="shared" si="365"/>
        <v>0</v>
      </c>
      <c r="BA613" s="13">
        <f t="shared" si="358"/>
        <v>0</v>
      </c>
      <c r="BB613" s="13">
        <f t="shared" si="359"/>
        <v>0</v>
      </c>
      <c r="BC613" s="28">
        <f t="shared" si="366"/>
        <v>0</v>
      </c>
      <c r="BD613" s="28">
        <f t="shared" si="367"/>
        <v>0</v>
      </c>
      <c r="BF613" s="248">
        <f t="shared" si="368"/>
        <v>993869.29442638322</v>
      </c>
    </row>
    <row r="614" spans="1:58">
      <c r="A614" s="32">
        <f t="shared" si="369"/>
        <v>-439</v>
      </c>
      <c r="B614" s="32">
        <f t="shared" si="360"/>
        <v>96</v>
      </c>
      <c r="C614" s="32">
        <f t="shared" si="370"/>
        <v>44</v>
      </c>
      <c r="D614" s="32">
        <f t="shared" si="371"/>
        <v>524</v>
      </c>
      <c r="E614" s="74">
        <f>MIN(IF(AV614=0,0,
IF(Investment_Strategy="DIS",VLOOKUP(Investment_Strategy&amp;"_"&amp;Investment_Strategy_Sub1&amp;"_"&amp;$A614,'Investment Strategies'!$AZ:$BP,12,FALSE),
IF(AND(Investment_Strategy="Lifecycle",Investment_Strategy_Sub1="Non-Standard"),VLOOKUP(Investment_Strategy&amp;"_"&amp;Investment_Strategy_Sub2&amp;"_"&amp;$A614,'Investment Strategies'!$C:$P,9,FALSE),
IF(AND(Investment_Strategy="Lifecycle",Investment_Strategy_Sub1="Standard"),VLOOKUP(Investment_Strategy&amp;"_"&amp;Investment_Strategy_Sub2&amp;"_"&amp;$A614,'Investment Strategies'!$AJ:$AV,8,FALSE),
IF(AND(Investment_Strategy="Autopilot",Investment_Strategy_Sub1="Non-Standard"),VLOOKUP(Investment_Strategy&amp;"_"&amp;Investment_Strategy_Sub2&amp;"_"&amp;$A614,'Investment Strategies'!$T:$AF,8,FALSE),
IF(Investment_Strategy ="DIY",DIY_RateOfReturn_CurrentFunds,
"Error")))))),Max_InvReturn)</f>
        <v>0</v>
      </c>
      <c r="F614" s="62">
        <f>IF(AV614=0,0,
IF(Investment_Strategy="DIS",VLOOKUP(Investment_Strategy&amp;"_"&amp;Investment_Strategy_Sub1&amp;"_"&amp;$A614,'Investment Strategies'!$AZ:$BP,15,FALSE),
IF(AND(Investment_Strategy="Lifecycle",Investment_Strategy_Sub1="Non-Standard"),VLOOKUP(Investment_Strategy&amp;"_"&amp;Investment_Strategy_Sub2&amp;"_"&amp;$A614,'Investment Strategies'!$C:$P,12,FALSE),
IF(AND(Investment_Strategy="Lifecycle",Investment_Strategy_Sub1="Standard"),VLOOKUP(Investment_Strategy&amp;"_"&amp;Investment_Strategy_Sub2&amp;"_"&amp;$A614,'Investment Strategies'!$AJ:$AV,11,FALSE),
IF(AND(Investment_Strategy="Autopilot",Investment_Strategy_Sub1="Non-Standard"),VLOOKUP(Investment_Strategy&amp;"_"&amp;Investment_Strategy_Sub2&amp;"_"&amp;$A614,'Investment Strategies'!$T:$AF,11,FALSE),
IF(Investment_Strategy="DIY",DIY_GteeChrge_CurrentFunds,
"Error"))))))</f>
        <v>0</v>
      </c>
      <c r="G614" s="33">
        <f>IF(AV614=0,0,
IF(Investment_Strategy="DIS",VLOOKUP(Investment_Strategy&amp;"_"&amp;Investment_Strategy_Sub1&amp;"_"&amp;$A614,'Investment Strategies'!$AZ:$BP,17,FALSE),
IF(AND(Investment_Strategy="Lifecycle",Investment_Strategy_Sub1="Non-Standard"),VLOOKUP(Investment_Strategy&amp;"_"&amp;Investment_Strategy_Sub2&amp;"_"&amp;$A614,'Investment Strategies'!$C:$P,14,FALSE),
IF(AND(Investment_Strategy="Lifecycle",Investment_Strategy_Sub1="Standard"),VLOOKUP(Investment_Strategy&amp;"_"&amp;Investment_Strategy_Sub2&amp;"_"&amp;$A614,'Investment Strategies'!$AJ:$AV,13,FALSE),
IF(AND(Investment_Strategy="Autopilot",Investment_Strategy_Sub1="Non-Standard"),VLOOKUP(Investment_Strategy&amp;"_"&amp;Investment_Strategy_Sub2&amp;"_"&amp;$A614,'Investment Strategies'!$T:$AF,13,FALSE),
IF(Investment_Strategy="DIY",DIY_ExtManChrge_CurrentFunds,
"Error"))))))</f>
        <v>0</v>
      </c>
      <c r="H614" s="16">
        <f t="shared" si="361"/>
        <v>0</v>
      </c>
      <c r="I614" s="16">
        <f t="shared" si="347"/>
        <v>0</v>
      </c>
      <c r="J614" s="16">
        <f t="shared" si="348"/>
        <v>0</v>
      </c>
      <c r="K614" s="16">
        <f>(Opening_Fund_Value+SUM(K$91:K613))*E614*IF(D614=$A$91,SRP_finalmonthfactor,1)</f>
        <v>0</v>
      </c>
      <c r="L614" s="74">
        <f>MIN(IF($AV614=0,0,
IF(Investment_Strategy="DIS",VLOOKUP(Investment_Strategy&amp;"_"&amp;Investment_Strategy_Sub1&amp;"_"&amp;$A614,'Investment Strategies'!$AZ:$BP,12,FALSE),
IF(AND(Investment_Strategy="Lifecycle",Investment_Strategy_Sub1="Non-Standard"),VLOOKUP(Investment_Strategy&amp;"_"&amp;Investment_Strategy_Sub2&amp;"_"&amp;$A614,'Investment Strategies'!$C:$P,9,FALSE),
IF(AND(Investment_Strategy="Lifecycle",Investment_Strategy_Sub1="Standard"),VLOOKUP(Investment_Strategy&amp;"_"&amp;Investment_Strategy_Sub2&amp;"_"&amp;$A614,'Investment Strategies'!$AJ:$AV,8,FALSE),
IF(AND(Investment_Strategy="Autopilot",Investment_Strategy_Sub1="Non-Standard"),VLOOKUP(Investment_Strategy&amp;"_"&amp;Investment_Strategy_Sub2&amp;"_"&amp;$A614,'Investment Strategies'!$T:$AF,8,FALSE),
IF(Investment_Strategy ="DIY",DIY_RateofReturn_SP,
"Error")))))),Max_InvReturn)</f>
        <v>0</v>
      </c>
      <c r="M614" s="62">
        <f>IF($AV614=0,0,
IF(Investment_Strategy="DIS",VLOOKUP(Investment_Strategy&amp;"_"&amp;Investment_Strategy_Sub1&amp;"_"&amp;$A614,'Investment Strategies'!$AZ:$BP,15,FALSE),
IF(AND(Investment_Strategy="Lifecycle",Investment_Strategy_Sub1="Non-Standard"),VLOOKUP(Investment_Strategy&amp;"_"&amp;Investment_Strategy_Sub2&amp;"_"&amp;$A614,'Investment Strategies'!$C:$P,12,FALSE),
IF(AND(Investment_Strategy="Lifecycle",Investment_Strategy_Sub1="Standard"),VLOOKUP(Investment_Strategy&amp;"_"&amp;Investment_Strategy_Sub2&amp;"_"&amp;$A614,'Investment Strategies'!$AJ:$AV,11,FALSE),
IF(AND(Investment_Strategy="Autopilot",Investment_Strategy_Sub1="Non-Standard"),VLOOKUP(Investment_Strategy&amp;"_"&amp;Investment_Strategy_Sub2&amp;"_"&amp;$A614,'Investment Strategies'!$T:$AF,11,FALSE),
IF(Investment_Strategy="DIY",DIY_GteeChrge_SP,
"Error"))))))</f>
        <v>0</v>
      </c>
      <c r="N614" s="33">
        <f>IF($AV614=0,0,
IF(Investment_Strategy="DIS",VLOOKUP(Investment_Strategy&amp;"_"&amp;Investment_Strategy_Sub1&amp;"_"&amp;$A614,'Investment Strategies'!$AZ:$BP,17,FALSE),
IF(AND(Investment_Strategy="Lifecycle",Investment_Strategy_Sub1="Non-Standard"),VLOOKUP(Investment_Strategy&amp;"_"&amp;Investment_Strategy_Sub2&amp;"_"&amp;$A614,'Investment Strategies'!$C:$P,14,FALSE),
IF(AND(Investment_Strategy="Lifecycle",Investment_Strategy_Sub1="Standard"),VLOOKUP(Investment_Strategy&amp;"_"&amp;Investment_Strategy_Sub2&amp;"_"&amp;$A614,'Investment Strategies'!$AJ:$AV,13,FALSE),
IF(AND(Investment_Strategy="Autopilot",Investment_Strategy_Sub1="Non-Standard"),VLOOKUP(Investment_Strategy&amp;"_"&amp;Investment_Strategy_Sub2&amp;"_"&amp;$A614,'Investment Strategies'!$T:$AF,13,FALSE),
IF(Investment_Strategy="DIY",DIY_ExtManChrge_SP,
"Error"))))))</f>
        <v>0</v>
      </c>
      <c r="O614" s="16">
        <f t="shared" si="372"/>
        <v>0</v>
      </c>
      <c r="Q614" s="16">
        <f t="shared" si="349"/>
        <v>0</v>
      </c>
      <c r="R614" s="16">
        <f t="shared" si="345"/>
        <v>0</v>
      </c>
      <c r="S614" s="16">
        <f>(SRP_SP+SUM(S$91:S613))*L614*IF(D614=$A$91,SRP_finalmonthfactor,1)</f>
        <v>0</v>
      </c>
      <c r="T614" s="74">
        <f>MIN(IF($AV614=0,0,
IF(Investment_Strategy="DIS",VLOOKUP(Investment_Strategy&amp;"_"&amp;Investment_Strategy_Sub1&amp;"_"&amp;$A614,'Investment Strategies'!$AZ:$BP,12,FALSE),
IF(AND(Investment_Strategy="Lifecycle",Investment_Strategy_Sub1="Non-Standard"),VLOOKUP(Investment_Strategy&amp;"_"&amp;Investment_Strategy_Sub2&amp;"_"&amp;$A614,'Investment Strategies'!$C:$P,9,FALSE),
IF(AND(Investment_Strategy="Lifecycle",Investment_Strategy_Sub1="Standard"),VLOOKUP(Investment_Strategy&amp;"_"&amp;Investment_Strategy_Sub2&amp;"_"&amp;$A614,'Investment Strategies'!$AJ:$AV,8,FALSE),
IF(AND(Investment_Strategy="Autopilot",Investment_Strategy_Sub1="Non-Standard"),VLOOKUP(Investment_Strategy&amp;"_"&amp;Investment_Strategy_Sub2&amp;"_"&amp;$A614,'Investment Strategies'!$T:$AF,8,FALSE),
IF(Investment_Strategy ="DIY",DIY_RateOfReturn_FuturePremiums,
"Error")))))),Max_InvReturn)</f>
        <v>0</v>
      </c>
      <c r="U614" s="62">
        <f>IF($AV614=0,0,
IF(Investment_Strategy="DIS",VLOOKUP(Investment_Strategy&amp;"_"&amp;Investment_Strategy_Sub1&amp;"_"&amp;$A614,'Investment Strategies'!$AZ:$BP,15,FALSE),
IF(AND(Investment_Strategy="Lifecycle",Investment_Strategy_Sub1="Non-Standard"),VLOOKUP(Investment_Strategy&amp;"_"&amp;Investment_Strategy_Sub2&amp;"_"&amp;$A614,'Investment Strategies'!$C:$P,12,FALSE),
IF(AND(Investment_Strategy="Lifecycle",Investment_Strategy_Sub1="Standard"),VLOOKUP(Investment_Strategy&amp;"_"&amp;Investment_Strategy_Sub2&amp;"_"&amp;$A614,'Investment Strategies'!$AJ:$AV,11,FALSE),
IF(AND(Investment_Strategy="Autopilot",Investment_Strategy_Sub1="Non-Standard"),VLOOKUP(Investment_Strategy&amp;"_"&amp;Investment_Strategy_Sub2&amp;"_"&amp;$A614,'Investment Strategies'!$T:$AF,11,FALSE),
IF(Investment_Strategy="DIY",DIY_GteeChrge_FuturePremiums,
"Error"))))))</f>
        <v>0</v>
      </c>
      <c r="V614" s="33">
        <f>IF(AV614=0,0,
IF(Investment_Strategy="DIS",VLOOKUP(Investment_Strategy&amp;"_"&amp;Investment_Strategy_Sub1&amp;"_"&amp;$A614,'Investment Strategies'!$AZ:$BP,17,FALSE),
IF(AND(Investment_Strategy="Lifecycle",Investment_Strategy_Sub1="Non-Standard"),VLOOKUP(Investment_Strategy&amp;"_"&amp;Investment_Strategy_Sub2&amp;"_"&amp;$A614,'Investment Strategies'!$C:$P,14,FALSE),
IF(AND(Investment_Strategy="Lifecycle",Investment_Strategy_Sub1="Standard"),VLOOKUP(Investment_Strategy&amp;"_"&amp;Investment_Strategy_Sub2&amp;"_"&amp;$A614,'Investment Strategies'!$AJ:$AV,13,FALSE),
IF(AND(Investment_Strategy="Autopilot",Investment_Strategy_Sub1="Non-Standard"),VLOOKUP(Investment_Strategy&amp;"_"&amp;Investment_Strategy_Sub2&amp;"_"&amp;$A614,'Investment Strategies'!$T:$AF,13,FALSE),
IF(Investment_Strategy="DIY",DIY_ExtManChrge_FuturePremiums,
"Error"))))))</f>
        <v>0</v>
      </c>
      <c r="W614" s="16">
        <f t="shared" si="373"/>
        <v>0</v>
      </c>
      <c r="X614" s="16">
        <f t="shared" si="350"/>
        <v>0</v>
      </c>
      <c r="Y614" s="16">
        <f t="shared" si="351"/>
        <v>0</v>
      </c>
      <c r="Z614" s="31">
        <f t="shared" si="352"/>
        <v>0.02</v>
      </c>
      <c r="AA614" s="16">
        <f t="shared" si="353"/>
        <v>0</v>
      </c>
      <c r="AB614" s="28">
        <f t="shared" si="374"/>
        <v>0</v>
      </c>
      <c r="AC614" s="28">
        <f>(SUM($AC$91:AC613)+SUM($X$91:X613)+X614)*T614*IF(D614=$A$91,SRP_finalmonthfactor,1)</f>
        <v>0</v>
      </c>
      <c r="AD614" s="16">
        <f t="shared" si="354"/>
        <v>0</v>
      </c>
      <c r="AE614" s="106"/>
      <c r="AF614" s="16">
        <f t="shared" si="362"/>
        <v>0</v>
      </c>
      <c r="AG614" s="16">
        <f t="shared" si="363"/>
        <v>0</v>
      </c>
      <c r="AH614" s="16">
        <f t="shared" si="364"/>
        <v>0</v>
      </c>
      <c r="AJ614" s="13">
        <f t="shared" si="375"/>
        <v>0</v>
      </c>
      <c r="AK614" s="13">
        <f t="shared" si="375"/>
        <v>0</v>
      </c>
      <c r="AL614" s="13">
        <f t="shared" si="375"/>
        <v>0</v>
      </c>
      <c r="AM614" s="13">
        <f t="shared" si="375"/>
        <v>0</v>
      </c>
      <c r="AN614" s="13">
        <f t="shared" si="375"/>
        <v>0</v>
      </c>
      <c r="AO614" s="13">
        <f t="shared" si="375"/>
        <v>1</v>
      </c>
      <c r="AP614" s="13">
        <f t="shared" si="375"/>
        <v>1</v>
      </c>
      <c r="AQ614" s="13">
        <f t="shared" si="375"/>
        <v>1</v>
      </c>
      <c r="AR614" s="13">
        <f t="shared" si="375"/>
        <v>0</v>
      </c>
      <c r="AS614" s="13">
        <f t="shared" si="375"/>
        <v>0</v>
      </c>
      <c r="AT614" s="13">
        <f t="shared" si="375"/>
        <v>0</v>
      </c>
      <c r="AU614" s="13">
        <f t="shared" si="375"/>
        <v>0</v>
      </c>
      <c r="AV614" s="13">
        <f t="shared" si="355"/>
        <v>0</v>
      </c>
      <c r="AW614" s="13">
        <f t="shared" si="356"/>
        <v>1</v>
      </c>
      <c r="AY614" s="17">
        <f t="shared" si="357"/>
        <v>524</v>
      </c>
      <c r="AZ614" s="28">
        <f t="shared" si="365"/>
        <v>0</v>
      </c>
      <c r="BA614" s="13">
        <f t="shared" si="358"/>
        <v>0</v>
      </c>
      <c r="BB614" s="13">
        <f t="shared" si="359"/>
        <v>0</v>
      </c>
      <c r="BC614" s="28">
        <f t="shared" si="366"/>
        <v>0</v>
      </c>
      <c r="BD614" s="28">
        <f t="shared" si="367"/>
        <v>0</v>
      </c>
      <c r="BF614" s="248">
        <f t="shared" si="368"/>
        <v>993869.29442638322</v>
      </c>
    </row>
    <row r="615" spans="1:58">
      <c r="A615" s="32">
        <f t="shared" si="369"/>
        <v>-440</v>
      </c>
      <c r="B615" s="32">
        <f t="shared" si="360"/>
        <v>96</v>
      </c>
      <c r="C615" s="32">
        <f t="shared" si="370"/>
        <v>44</v>
      </c>
      <c r="D615" s="32">
        <f t="shared" si="371"/>
        <v>525</v>
      </c>
      <c r="E615" s="74">
        <f>MIN(IF(AV615=0,0,
IF(Investment_Strategy="DIS",VLOOKUP(Investment_Strategy&amp;"_"&amp;Investment_Strategy_Sub1&amp;"_"&amp;$A615,'Investment Strategies'!$AZ:$BP,12,FALSE),
IF(AND(Investment_Strategy="Lifecycle",Investment_Strategy_Sub1="Non-Standard"),VLOOKUP(Investment_Strategy&amp;"_"&amp;Investment_Strategy_Sub2&amp;"_"&amp;$A615,'Investment Strategies'!$C:$P,9,FALSE),
IF(AND(Investment_Strategy="Lifecycle",Investment_Strategy_Sub1="Standard"),VLOOKUP(Investment_Strategy&amp;"_"&amp;Investment_Strategy_Sub2&amp;"_"&amp;$A615,'Investment Strategies'!$AJ:$AV,8,FALSE),
IF(AND(Investment_Strategy="Autopilot",Investment_Strategy_Sub1="Non-Standard"),VLOOKUP(Investment_Strategy&amp;"_"&amp;Investment_Strategy_Sub2&amp;"_"&amp;$A615,'Investment Strategies'!$T:$AF,8,FALSE),
IF(Investment_Strategy ="DIY",DIY_RateOfReturn_CurrentFunds,
"Error")))))),Max_InvReturn)</f>
        <v>0</v>
      </c>
      <c r="F615" s="62">
        <f>IF(AV615=0,0,
IF(Investment_Strategy="DIS",VLOOKUP(Investment_Strategy&amp;"_"&amp;Investment_Strategy_Sub1&amp;"_"&amp;$A615,'Investment Strategies'!$AZ:$BP,15,FALSE),
IF(AND(Investment_Strategy="Lifecycle",Investment_Strategy_Sub1="Non-Standard"),VLOOKUP(Investment_Strategy&amp;"_"&amp;Investment_Strategy_Sub2&amp;"_"&amp;$A615,'Investment Strategies'!$C:$P,12,FALSE),
IF(AND(Investment_Strategy="Lifecycle",Investment_Strategy_Sub1="Standard"),VLOOKUP(Investment_Strategy&amp;"_"&amp;Investment_Strategy_Sub2&amp;"_"&amp;$A615,'Investment Strategies'!$AJ:$AV,11,FALSE),
IF(AND(Investment_Strategy="Autopilot",Investment_Strategy_Sub1="Non-Standard"),VLOOKUP(Investment_Strategy&amp;"_"&amp;Investment_Strategy_Sub2&amp;"_"&amp;$A615,'Investment Strategies'!$T:$AF,11,FALSE),
IF(Investment_Strategy="DIY",DIY_GteeChrge_CurrentFunds,
"Error"))))))</f>
        <v>0</v>
      </c>
      <c r="G615" s="33">
        <f>IF(AV615=0,0,
IF(Investment_Strategy="DIS",VLOOKUP(Investment_Strategy&amp;"_"&amp;Investment_Strategy_Sub1&amp;"_"&amp;$A615,'Investment Strategies'!$AZ:$BP,17,FALSE),
IF(AND(Investment_Strategy="Lifecycle",Investment_Strategy_Sub1="Non-Standard"),VLOOKUP(Investment_Strategy&amp;"_"&amp;Investment_Strategy_Sub2&amp;"_"&amp;$A615,'Investment Strategies'!$C:$P,14,FALSE),
IF(AND(Investment_Strategy="Lifecycle",Investment_Strategy_Sub1="Standard"),VLOOKUP(Investment_Strategy&amp;"_"&amp;Investment_Strategy_Sub2&amp;"_"&amp;$A615,'Investment Strategies'!$AJ:$AV,13,FALSE),
IF(AND(Investment_Strategy="Autopilot",Investment_Strategy_Sub1="Non-Standard"),VLOOKUP(Investment_Strategy&amp;"_"&amp;Investment_Strategy_Sub2&amp;"_"&amp;$A615,'Investment Strategies'!$T:$AF,13,FALSE),
IF(Investment_Strategy="DIY",DIY_ExtManChrge_CurrentFunds,
"Error"))))))</f>
        <v>0</v>
      </c>
      <c r="H615" s="16">
        <f t="shared" si="361"/>
        <v>0</v>
      </c>
      <c r="I615" s="16">
        <f t="shared" si="347"/>
        <v>0</v>
      </c>
      <c r="J615" s="16">
        <f t="shared" si="348"/>
        <v>0</v>
      </c>
      <c r="K615" s="16">
        <f>(Opening_Fund_Value+SUM(K$91:K614))*E615*IF(D615=$A$91,SRP_finalmonthfactor,1)</f>
        <v>0</v>
      </c>
      <c r="L615" s="74">
        <f>MIN(IF($AV615=0,0,
IF(Investment_Strategy="DIS",VLOOKUP(Investment_Strategy&amp;"_"&amp;Investment_Strategy_Sub1&amp;"_"&amp;$A615,'Investment Strategies'!$AZ:$BP,12,FALSE),
IF(AND(Investment_Strategy="Lifecycle",Investment_Strategy_Sub1="Non-Standard"),VLOOKUP(Investment_Strategy&amp;"_"&amp;Investment_Strategy_Sub2&amp;"_"&amp;$A615,'Investment Strategies'!$C:$P,9,FALSE),
IF(AND(Investment_Strategy="Lifecycle",Investment_Strategy_Sub1="Standard"),VLOOKUP(Investment_Strategy&amp;"_"&amp;Investment_Strategy_Sub2&amp;"_"&amp;$A615,'Investment Strategies'!$AJ:$AV,8,FALSE),
IF(AND(Investment_Strategy="Autopilot",Investment_Strategy_Sub1="Non-Standard"),VLOOKUP(Investment_Strategy&amp;"_"&amp;Investment_Strategy_Sub2&amp;"_"&amp;$A615,'Investment Strategies'!$T:$AF,8,FALSE),
IF(Investment_Strategy ="DIY",DIY_RateofReturn_SP,
"Error")))))),Max_InvReturn)</f>
        <v>0</v>
      </c>
      <c r="M615" s="62">
        <f>IF($AV615=0,0,
IF(Investment_Strategy="DIS",VLOOKUP(Investment_Strategy&amp;"_"&amp;Investment_Strategy_Sub1&amp;"_"&amp;$A615,'Investment Strategies'!$AZ:$BP,15,FALSE),
IF(AND(Investment_Strategy="Lifecycle",Investment_Strategy_Sub1="Non-Standard"),VLOOKUP(Investment_Strategy&amp;"_"&amp;Investment_Strategy_Sub2&amp;"_"&amp;$A615,'Investment Strategies'!$C:$P,12,FALSE),
IF(AND(Investment_Strategy="Lifecycle",Investment_Strategy_Sub1="Standard"),VLOOKUP(Investment_Strategy&amp;"_"&amp;Investment_Strategy_Sub2&amp;"_"&amp;$A615,'Investment Strategies'!$AJ:$AV,11,FALSE),
IF(AND(Investment_Strategy="Autopilot",Investment_Strategy_Sub1="Non-Standard"),VLOOKUP(Investment_Strategy&amp;"_"&amp;Investment_Strategy_Sub2&amp;"_"&amp;$A615,'Investment Strategies'!$T:$AF,11,FALSE),
IF(Investment_Strategy="DIY",DIY_GteeChrge_SP,
"Error"))))))</f>
        <v>0</v>
      </c>
      <c r="N615" s="33">
        <f>IF($AV615=0,0,
IF(Investment_Strategy="DIS",VLOOKUP(Investment_Strategy&amp;"_"&amp;Investment_Strategy_Sub1&amp;"_"&amp;$A615,'Investment Strategies'!$AZ:$BP,17,FALSE),
IF(AND(Investment_Strategy="Lifecycle",Investment_Strategy_Sub1="Non-Standard"),VLOOKUP(Investment_Strategy&amp;"_"&amp;Investment_Strategy_Sub2&amp;"_"&amp;$A615,'Investment Strategies'!$C:$P,14,FALSE),
IF(AND(Investment_Strategy="Lifecycle",Investment_Strategy_Sub1="Standard"),VLOOKUP(Investment_Strategy&amp;"_"&amp;Investment_Strategy_Sub2&amp;"_"&amp;$A615,'Investment Strategies'!$AJ:$AV,13,FALSE),
IF(AND(Investment_Strategy="Autopilot",Investment_Strategy_Sub1="Non-Standard"),VLOOKUP(Investment_Strategy&amp;"_"&amp;Investment_Strategy_Sub2&amp;"_"&amp;$A615,'Investment Strategies'!$T:$AF,13,FALSE),
IF(Investment_Strategy="DIY",DIY_ExtManChrge_SP,
"Error"))))))</f>
        <v>0</v>
      </c>
      <c r="O615" s="16">
        <f t="shared" si="372"/>
        <v>0</v>
      </c>
      <c r="Q615" s="16">
        <f t="shared" si="349"/>
        <v>0</v>
      </c>
      <c r="R615" s="16">
        <f t="shared" si="345"/>
        <v>0</v>
      </c>
      <c r="S615" s="16">
        <f>(SRP_SP+SUM(S$91:S614))*L615*IF(D615=$A$91,SRP_finalmonthfactor,1)</f>
        <v>0</v>
      </c>
      <c r="T615" s="74">
        <f>MIN(IF($AV615=0,0,
IF(Investment_Strategy="DIS",VLOOKUP(Investment_Strategy&amp;"_"&amp;Investment_Strategy_Sub1&amp;"_"&amp;$A615,'Investment Strategies'!$AZ:$BP,12,FALSE),
IF(AND(Investment_Strategy="Lifecycle",Investment_Strategy_Sub1="Non-Standard"),VLOOKUP(Investment_Strategy&amp;"_"&amp;Investment_Strategy_Sub2&amp;"_"&amp;$A615,'Investment Strategies'!$C:$P,9,FALSE),
IF(AND(Investment_Strategy="Lifecycle",Investment_Strategy_Sub1="Standard"),VLOOKUP(Investment_Strategy&amp;"_"&amp;Investment_Strategy_Sub2&amp;"_"&amp;$A615,'Investment Strategies'!$AJ:$AV,8,FALSE),
IF(AND(Investment_Strategy="Autopilot",Investment_Strategy_Sub1="Non-Standard"),VLOOKUP(Investment_Strategy&amp;"_"&amp;Investment_Strategy_Sub2&amp;"_"&amp;$A615,'Investment Strategies'!$T:$AF,8,FALSE),
IF(Investment_Strategy ="DIY",DIY_RateOfReturn_FuturePremiums,
"Error")))))),Max_InvReturn)</f>
        <v>0</v>
      </c>
      <c r="U615" s="62">
        <f>IF($AV615=0,0,
IF(Investment_Strategy="DIS",VLOOKUP(Investment_Strategy&amp;"_"&amp;Investment_Strategy_Sub1&amp;"_"&amp;$A615,'Investment Strategies'!$AZ:$BP,15,FALSE),
IF(AND(Investment_Strategy="Lifecycle",Investment_Strategy_Sub1="Non-Standard"),VLOOKUP(Investment_Strategy&amp;"_"&amp;Investment_Strategy_Sub2&amp;"_"&amp;$A615,'Investment Strategies'!$C:$P,12,FALSE),
IF(AND(Investment_Strategy="Lifecycle",Investment_Strategy_Sub1="Standard"),VLOOKUP(Investment_Strategy&amp;"_"&amp;Investment_Strategy_Sub2&amp;"_"&amp;$A615,'Investment Strategies'!$AJ:$AV,11,FALSE),
IF(AND(Investment_Strategy="Autopilot",Investment_Strategy_Sub1="Non-Standard"),VLOOKUP(Investment_Strategy&amp;"_"&amp;Investment_Strategy_Sub2&amp;"_"&amp;$A615,'Investment Strategies'!$T:$AF,11,FALSE),
IF(Investment_Strategy="DIY",DIY_GteeChrge_FuturePremiums,
"Error"))))))</f>
        <v>0</v>
      </c>
      <c r="V615" s="33">
        <f>IF(AV615=0,0,
IF(Investment_Strategy="DIS",VLOOKUP(Investment_Strategy&amp;"_"&amp;Investment_Strategy_Sub1&amp;"_"&amp;$A615,'Investment Strategies'!$AZ:$BP,17,FALSE),
IF(AND(Investment_Strategy="Lifecycle",Investment_Strategy_Sub1="Non-Standard"),VLOOKUP(Investment_Strategy&amp;"_"&amp;Investment_Strategy_Sub2&amp;"_"&amp;$A615,'Investment Strategies'!$C:$P,14,FALSE),
IF(AND(Investment_Strategy="Lifecycle",Investment_Strategy_Sub1="Standard"),VLOOKUP(Investment_Strategy&amp;"_"&amp;Investment_Strategy_Sub2&amp;"_"&amp;$A615,'Investment Strategies'!$AJ:$AV,13,FALSE),
IF(AND(Investment_Strategy="Autopilot",Investment_Strategy_Sub1="Non-Standard"),VLOOKUP(Investment_Strategy&amp;"_"&amp;Investment_Strategy_Sub2&amp;"_"&amp;$A615,'Investment Strategies'!$T:$AF,13,FALSE),
IF(Investment_Strategy="DIY",DIY_ExtManChrge_FuturePremiums,
"Error"))))))</f>
        <v>0</v>
      </c>
      <c r="W615" s="16">
        <f t="shared" si="373"/>
        <v>0</v>
      </c>
      <c r="X615" s="16">
        <f t="shared" si="350"/>
        <v>0</v>
      </c>
      <c r="Y615" s="16">
        <f t="shared" si="351"/>
        <v>0</v>
      </c>
      <c r="Z615" s="31">
        <f t="shared" si="352"/>
        <v>0.02</v>
      </c>
      <c r="AA615" s="16">
        <f t="shared" si="353"/>
        <v>0</v>
      </c>
      <c r="AB615" s="28">
        <f t="shared" si="374"/>
        <v>0</v>
      </c>
      <c r="AC615" s="28">
        <f>(SUM($AC$91:AC614)+SUM($X$91:X614)+X615)*T615*IF(D615=$A$91,SRP_finalmonthfactor,1)</f>
        <v>0</v>
      </c>
      <c r="AD615" s="16">
        <f t="shared" si="354"/>
        <v>0</v>
      </c>
      <c r="AE615" s="106"/>
      <c r="AF615" s="16">
        <f t="shared" si="362"/>
        <v>0</v>
      </c>
      <c r="AG615" s="16">
        <f t="shared" si="363"/>
        <v>0</v>
      </c>
      <c r="AH615" s="16">
        <f t="shared" si="364"/>
        <v>0</v>
      </c>
      <c r="AJ615" s="13">
        <f t="shared" si="375"/>
        <v>0</v>
      </c>
      <c r="AK615" s="13">
        <f t="shared" si="375"/>
        <v>0</v>
      </c>
      <c r="AL615" s="13">
        <f t="shared" si="375"/>
        <v>0</v>
      </c>
      <c r="AM615" s="13">
        <f t="shared" si="375"/>
        <v>0</v>
      </c>
      <c r="AN615" s="13">
        <f t="shared" si="375"/>
        <v>0</v>
      </c>
      <c r="AO615" s="13">
        <f t="shared" si="375"/>
        <v>1</v>
      </c>
      <c r="AP615" s="13">
        <f t="shared" si="375"/>
        <v>1</v>
      </c>
      <c r="AQ615" s="13">
        <f t="shared" si="375"/>
        <v>1</v>
      </c>
      <c r="AR615" s="13">
        <f t="shared" si="375"/>
        <v>0</v>
      </c>
      <c r="AS615" s="13">
        <f t="shared" si="375"/>
        <v>0</v>
      </c>
      <c r="AT615" s="13">
        <f t="shared" si="375"/>
        <v>0</v>
      </c>
      <c r="AU615" s="13">
        <f t="shared" si="375"/>
        <v>0</v>
      </c>
      <c r="AV615" s="13">
        <f t="shared" si="355"/>
        <v>0</v>
      </c>
      <c r="AW615" s="13">
        <f t="shared" si="356"/>
        <v>1</v>
      </c>
      <c r="AY615" s="17">
        <f t="shared" si="357"/>
        <v>525</v>
      </c>
      <c r="AZ615" s="28">
        <f t="shared" si="365"/>
        <v>0</v>
      </c>
      <c r="BA615" s="13">
        <f t="shared" si="358"/>
        <v>0</v>
      </c>
      <c r="BB615" s="13">
        <f t="shared" si="359"/>
        <v>0</v>
      </c>
      <c r="BC615" s="28">
        <f t="shared" si="366"/>
        <v>0</v>
      </c>
      <c r="BD615" s="28">
        <f t="shared" si="367"/>
        <v>0</v>
      </c>
      <c r="BF615" s="248">
        <f t="shared" si="368"/>
        <v>993869.29442638322</v>
      </c>
    </row>
    <row r="616" spans="1:58">
      <c r="A616" s="32">
        <f t="shared" si="369"/>
        <v>-441</v>
      </c>
      <c r="B616" s="32">
        <f t="shared" si="360"/>
        <v>96</v>
      </c>
      <c r="C616" s="32">
        <f t="shared" si="370"/>
        <v>44</v>
      </c>
      <c r="D616" s="32">
        <f t="shared" si="371"/>
        <v>526</v>
      </c>
      <c r="E616" s="74">
        <f>MIN(IF(AV616=0,0,
IF(Investment_Strategy="DIS",VLOOKUP(Investment_Strategy&amp;"_"&amp;Investment_Strategy_Sub1&amp;"_"&amp;$A616,'Investment Strategies'!$AZ:$BP,12,FALSE),
IF(AND(Investment_Strategy="Lifecycle",Investment_Strategy_Sub1="Non-Standard"),VLOOKUP(Investment_Strategy&amp;"_"&amp;Investment_Strategy_Sub2&amp;"_"&amp;$A616,'Investment Strategies'!$C:$P,9,FALSE),
IF(AND(Investment_Strategy="Lifecycle",Investment_Strategy_Sub1="Standard"),VLOOKUP(Investment_Strategy&amp;"_"&amp;Investment_Strategy_Sub2&amp;"_"&amp;$A616,'Investment Strategies'!$AJ:$AV,8,FALSE),
IF(AND(Investment_Strategy="Autopilot",Investment_Strategy_Sub1="Non-Standard"),VLOOKUP(Investment_Strategy&amp;"_"&amp;Investment_Strategy_Sub2&amp;"_"&amp;$A616,'Investment Strategies'!$T:$AF,8,FALSE),
IF(Investment_Strategy ="DIY",DIY_RateOfReturn_CurrentFunds,
"Error")))))),Max_InvReturn)</f>
        <v>0</v>
      </c>
      <c r="F616" s="62">
        <f>IF(AV616=0,0,
IF(Investment_Strategy="DIS",VLOOKUP(Investment_Strategy&amp;"_"&amp;Investment_Strategy_Sub1&amp;"_"&amp;$A616,'Investment Strategies'!$AZ:$BP,15,FALSE),
IF(AND(Investment_Strategy="Lifecycle",Investment_Strategy_Sub1="Non-Standard"),VLOOKUP(Investment_Strategy&amp;"_"&amp;Investment_Strategy_Sub2&amp;"_"&amp;$A616,'Investment Strategies'!$C:$P,12,FALSE),
IF(AND(Investment_Strategy="Lifecycle",Investment_Strategy_Sub1="Standard"),VLOOKUP(Investment_Strategy&amp;"_"&amp;Investment_Strategy_Sub2&amp;"_"&amp;$A616,'Investment Strategies'!$AJ:$AV,11,FALSE),
IF(AND(Investment_Strategy="Autopilot",Investment_Strategy_Sub1="Non-Standard"),VLOOKUP(Investment_Strategy&amp;"_"&amp;Investment_Strategy_Sub2&amp;"_"&amp;$A616,'Investment Strategies'!$T:$AF,11,FALSE),
IF(Investment_Strategy="DIY",DIY_GteeChrge_CurrentFunds,
"Error"))))))</f>
        <v>0</v>
      </c>
      <c r="G616" s="33">
        <f>IF(AV616=0,0,
IF(Investment_Strategy="DIS",VLOOKUP(Investment_Strategy&amp;"_"&amp;Investment_Strategy_Sub1&amp;"_"&amp;$A616,'Investment Strategies'!$AZ:$BP,17,FALSE),
IF(AND(Investment_Strategy="Lifecycle",Investment_Strategy_Sub1="Non-Standard"),VLOOKUP(Investment_Strategy&amp;"_"&amp;Investment_Strategy_Sub2&amp;"_"&amp;$A616,'Investment Strategies'!$C:$P,14,FALSE),
IF(AND(Investment_Strategy="Lifecycle",Investment_Strategy_Sub1="Standard"),VLOOKUP(Investment_Strategy&amp;"_"&amp;Investment_Strategy_Sub2&amp;"_"&amp;$A616,'Investment Strategies'!$AJ:$AV,13,FALSE),
IF(AND(Investment_Strategy="Autopilot",Investment_Strategy_Sub1="Non-Standard"),VLOOKUP(Investment_Strategy&amp;"_"&amp;Investment_Strategy_Sub2&amp;"_"&amp;$A616,'Investment Strategies'!$T:$AF,13,FALSE),
IF(Investment_Strategy="DIY",DIY_ExtManChrge_CurrentFunds,
"Error"))))))</f>
        <v>0</v>
      </c>
      <c r="H616" s="16">
        <f t="shared" si="361"/>
        <v>0</v>
      </c>
      <c r="I616" s="16">
        <f t="shared" si="347"/>
        <v>0</v>
      </c>
      <c r="J616" s="16">
        <f t="shared" si="348"/>
        <v>0</v>
      </c>
      <c r="K616" s="16">
        <f>(Opening_Fund_Value+SUM(K$91:K615))*E616*IF(D616=$A$91,SRP_finalmonthfactor,1)</f>
        <v>0</v>
      </c>
      <c r="L616" s="74">
        <f>MIN(IF($AV616=0,0,
IF(Investment_Strategy="DIS",VLOOKUP(Investment_Strategy&amp;"_"&amp;Investment_Strategy_Sub1&amp;"_"&amp;$A616,'Investment Strategies'!$AZ:$BP,12,FALSE),
IF(AND(Investment_Strategy="Lifecycle",Investment_Strategy_Sub1="Non-Standard"),VLOOKUP(Investment_Strategy&amp;"_"&amp;Investment_Strategy_Sub2&amp;"_"&amp;$A616,'Investment Strategies'!$C:$P,9,FALSE),
IF(AND(Investment_Strategy="Lifecycle",Investment_Strategy_Sub1="Standard"),VLOOKUP(Investment_Strategy&amp;"_"&amp;Investment_Strategy_Sub2&amp;"_"&amp;$A616,'Investment Strategies'!$AJ:$AV,8,FALSE),
IF(AND(Investment_Strategy="Autopilot",Investment_Strategy_Sub1="Non-Standard"),VLOOKUP(Investment_Strategy&amp;"_"&amp;Investment_Strategy_Sub2&amp;"_"&amp;$A616,'Investment Strategies'!$T:$AF,8,FALSE),
IF(Investment_Strategy ="DIY",DIY_RateofReturn_SP,
"Error")))))),Max_InvReturn)</f>
        <v>0</v>
      </c>
      <c r="M616" s="62">
        <f>IF($AV616=0,0,
IF(Investment_Strategy="DIS",VLOOKUP(Investment_Strategy&amp;"_"&amp;Investment_Strategy_Sub1&amp;"_"&amp;$A616,'Investment Strategies'!$AZ:$BP,15,FALSE),
IF(AND(Investment_Strategy="Lifecycle",Investment_Strategy_Sub1="Non-Standard"),VLOOKUP(Investment_Strategy&amp;"_"&amp;Investment_Strategy_Sub2&amp;"_"&amp;$A616,'Investment Strategies'!$C:$P,12,FALSE),
IF(AND(Investment_Strategy="Lifecycle",Investment_Strategy_Sub1="Standard"),VLOOKUP(Investment_Strategy&amp;"_"&amp;Investment_Strategy_Sub2&amp;"_"&amp;$A616,'Investment Strategies'!$AJ:$AV,11,FALSE),
IF(AND(Investment_Strategy="Autopilot",Investment_Strategy_Sub1="Non-Standard"),VLOOKUP(Investment_Strategy&amp;"_"&amp;Investment_Strategy_Sub2&amp;"_"&amp;$A616,'Investment Strategies'!$T:$AF,11,FALSE),
IF(Investment_Strategy="DIY",DIY_GteeChrge_SP,
"Error"))))))</f>
        <v>0</v>
      </c>
      <c r="N616" s="33">
        <f>IF($AV616=0,0,
IF(Investment_Strategy="DIS",VLOOKUP(Investment_Strategy&amp;"_"&amp;Investment_Strategy_Sub1&amp;"_"&amp;$A616,'Investment Strategies'!$AZ:$BP,17,FALSE),
IF(AND(Investment_Strategy="Lifecycle",Investment_Strategy_Sub1="Non-Standard"),VLOOKUP(Investment_Strategy&amp;"_"&amp;Investment_Strategy_Sub2&amp;"_"&amp;$A616,'Investment Strategies'!$C:$P,14,FALSE),
IF(AND(Investment_Strategy="Lifecycle",Investment_Strategy_Sub1="Standard"),VLOOKUP(Investment_Strategy&amp;"_"&amp;Investment_Strategy_Sub2&amp;"_"&amp;$A616,'Investment Strategies'!$AJ:$AV,13,FALSE),
IF(AND(Investment_Strategy="Autopilot",Investment_Strategy_Sub1="Non-Standard"),VLOOKUP(Investment_Strategy&amp;"_"&amp;Investment_Strategy_Sub2&amp;"_"&amp;$A616,'Investment Strategies'!$T:$AF,13,FALSE),
IF(Investment_Strategy="DIY",DIY_ExtManChrge_SP,
"Error"))))))</f>
        <v>0</v>
      </c>
      <c r="O616" s="16">
        <f t="shared" si="372"/>
        <v>0</v>
      </c>
      <c r="Q616" s="16">
        <f t="shared" si="349"/>
        <v>0</v>
      </c>
      <c r="R616" s="16">
        <f t="shared" si="345"/>
        <v>0</v>
      </c>
      <c r="S616" s="16">
        <f>(SRP_SP+SUM(S$91:S615))*L616*IF(D616=$A$91,SRP_finalmonthfactor,1)</f>
        <v>0</v>
      </c>
      <c r="T616" s="74">
        <f>MIN(IF($AV616=0,0,
IF(Investment_Strategy="DIS",VLOOKUP(Investment_Strategy&amp;"_"&amp;Investment_Strategy_Sub1&amp;"_"&amp;$A616,'Investment Strategies'!$AZ:$BP,12,FALSE),
IF(AND(Investment_Strategy="Lifecycle",Investment_Strategy_Sub1="Non-Standard"),VLOOKUP(Investment_Strategy&amp;"_"&amp;Investment_Strategy_Sub2&amp;"_"&amp;$A616,'Investment Strategies'!$C:$P,9,FALSE),
IF(AND(Investment_Strategy="Lifecycle",Investment_Strategy_Sub1="Standard"),VLOOKUP(Investment_Strategy&amp;"_"&amp;Investment_Strategy_Sub2&amp;"_"&amp;$A616,'Investment Strategies'!$AJ:$AV,8,FALSE),
IF(AND(Investment_Strategy="Autopilot",Investment_Strategy_Sub1="Non-Standard"),VLOOKUP(Investment_Strategy&amp;"_"&amp;Investment_Strategy_Sub2&amp;"_"&amp;$A616,'Investment Strategies'!$T:$AF,8,FALSE),
IF(Investment_Strategy ="DIY",DIY_RateOfReturn_FuturePremiums,
"Error")))))),Max_InvReturn)</f>
        <v>0</v>
      </c>
      <c r="U616" s="62">
        <f>IF($AV616=0,0,
IF(Investment_Strategy="DIS",VLOOKUP(Investment_Strategy&amp;"_"&amp;Investment_Strategy_Sub1&amp;"_"&amp;$A616,'Investment Strategies'!$AZ:$BP,15,FALSE),
IF(AND(Investment_Strategy="Lifecycle",Investment_Strategy_Sub1="Non-Standard"),VLOOKUP(Investment_Strategy&amp;"_"&amp;Investment_Strategy_Sub2&amp;"_"&amp;$A616,'Investment Strategies'!$C:$P,12,FALSE),
IF(AND(Investment_Strategy="Lifecycle",Investment_Strategy_Sub1="Standard"),VLOOKUP(Investment_Strategy&amp;"_"&amp;Investment_Strategy_Sub2&amp;"_"&amp;$A616,'Investment Strategies'!$AJ:$AV,11,FALSE),
IF(AND(Investment_Strategy="Autopilot",Investment_Strategy_Sub1="Non-Standard"),VLOOKUP(Investment_Strategy&amp;"_"&amp;Investment_Strategy_Sub2&amp;"_"&amp;$A616,'Investment Strategies'!$T:$AF,11,FALSE),
IF(Investment_Strategy="DIY",DIY_GteeChrge_FuturePremiums,
"Error"))))))</f>
        <v>0</v>
      </c>
      <c r="V616" s="33">
        <f>IF(AV616=0,0,
IF(Investment_Strategy="DIS",VLOOKUP(Investment_Strategy&amp;"_"&amp;Investment_Strategy_Sub1&amp;"_"&amp;$A616,'Investment Strategies'!$AZ:$BP,17,FALSE),
IF(AND(Investment_Strategy="Lifecycle",Investment_Strategy_Sub1="Non-Standard"),VLOOKUP(Investment_Strategy&amp;"_"&amp;Investment_Strategy_Sub2&amp;"_"&amp;$A616,'Investment Strategies'!$C:$P,14,FALSE),
IF(AND(Investment_Strategy="Lifecycle",Investment_Strategy_Sub1="Standard"),VLOOKUP(Investment_Strategy&amp;"_"&amp;Investment_Strategy_Sub2&amp;"_"&amp;$A616,'Investment Strategies'!$AJ:$AV,13,FALSE),
IF(AND(Investment_Strategy="Autopilot",Investment_Strategy_Sub1="Non-Standard"),VLOOKUP(Investment_Strategy&amp;"_"&amp;Investment_Strategy_Sub2&amp;"_"&amp;$A616,'Investment Strategies'!$T:$AF,13,FALSE),
IF(Investment_Strategy="DIY",DIY_ExtManChrge_FuturePremiums,
"Error"))))))</f>
        <v>0</v>
      </c>
      <c r="W616" s="16">
        <f t="shared" si="373"/>
        <v>0</v>
      </c>
      <c r="X616" s="16">
        <f t="shared" si="350"/>
        <v>0</v>
      </c>
      <c r="Y616" s="16">
        <f t="shared" si="351"/>
        <v>0</v>
      </c>
      <c r="Z616" s="31">
        <f t="shared" si="352"/>
        <v>0.02</v>
      </c>
      <c r="AA616" s="16">
        <f t="shared" si="353"/>
        <v>0</v>
      </c>
      <c r="AB616" s="28">
        <f t="shared" si="374"/>
        <v>0</v>
      </c>
      <c r="AC616" s="28">
        <f>(SUM($AC$91:AC615)+SUM($X$91:X615)+X616)*T616*IF(D616=$A$91,SRP_finalmonthfactor,1)</f>
        <v>0</v>
      </c>
      <c r="AD616" s="16">
        <f t="shared" si="354"/>
        <v>0</v>
      </c>
      <c r="AE616" s="106"/>
      <c r="AF616" s="16">
        <f t="shared" si="362"/>
        <v>0</v>
      </c>
      <c r="AG616" s="16">
        <f t="shared" si="363"/>
        <v>0</v>
      </c>
      <c r="AH616" s="16">
        <f t="shared" si="364"/>
        <v>0</v>
      </c>
      <c r="AJ616" s="13">
        <f t="shared" si="375"/>
        <v>0</v>
      </c>
      <c r="AK616" s="13">
        <f t="shared" si="375"/>
        <v>0</v>
      </c>
      <c r="AL616" s="13">
        <f t="shared" si="375"/>
        <v>0</v>
      </c>
      <c r="AM616" s="13">
        <f t="shared" si="375"/>
        <v>0</v>
      </c>
      <c r="AN616" s="13">
        <f t="shared" si="375"/>
        <v>0</v>
      </c>
      <c r="AO616" s="13">
        <f t="shared" si="375"/>
        <v>1</v>
      </c>
      <c r="AP616" s="13">
        <f t="shared" si="375"/>
        <v>1</v>
      </c>
      <c r="AQ616" s="13">
        <f t="shared" si="375"/>
        <v>1</v>
      </c>
      <c r="AR616" s="13">
        <f t="shared" si="375"/>
        <v>0</v>
      </c>
      <c r="AS616" s="13">
        <f t="shared" si="375"/>
        <v>0</v>
      </c>
      <c r="AT616" s="13">
        <f t="shared" si="375"/>
        <v>0</v>
      </c>
      <c r="AU616" s="13">
        <f t="shared" si="375"/>
        <v>0</v>
      </c>
      <c r="AV616" s="13">
        <f t="shared" si="355"/>
        <v>0</v>
      </c>
      <c r="AW616" s="13">
        <f t="shared" si="356"/>
        <v>1</v>
      </c>
      <c r="AY616" s="17">
        <f t="shared" si="357"/>
        <v>526</v>
      </c>
      <c r="AZ616" s="28">
        <f t="shared" si="365"/>
        <v>0</v>
      </c>
      <c r="BA616" s="13">
        <f t="shared" si="358"/>
        <v>0</v>
      </c>
      <c r="BB616" s="13">
        <f t="shared" si="359"/>
        <v>0</v>
      </c>
      <c r="BC616" s="28">
        <f t="shared" si="366"/>
        <v>0</v>
      </c>
      <c r="BD616" s="28">
        <f t="shared" si="367"/>
        <v>0</v>
      </c>
      <c r="BF616" s="248">
        <f t="shared" si="368"/>
        <v>993869.29442638322</v>
      </c>
    </row>
    <row r="617" spans="1:58">
      <c r="A617" s="32">
        <f t="shared" si="369"/>
        <v>-442</v>
      </c>
      <c r="B617" s="32">
        <f t="shared" si="360"/>
        <v>96</v>
      </c>
      <c r="C617" s="32">
        <f t="shared" si="370"/>
        <v>44</v>
      </c>
      <c r="D617" s="32">
        <f t="shared" si="371"/>
        <v>527</v>
      </c>
      <c r="E617" s="74">
        <f>MIN(IF(AV617=0,0,
IF(Investment_Strategy="DIS",VLOOKUP(Investment_Strategy&amp;"_"&amp;Investment_Strategy_Sub1&amp;"_"&amp;$A617,'Investment Strategies'!$AZ:$BP,12,FALSE),
IF(AND(Investment_Strategy="Lifecycle",Investment_Strategy_Sub1="Non-Standard"),VLOOKUP(Investment_Strategy&amp;"_"&amp;Investment_Strategy_Sub2&amp;"_"&amp;$A617,'Investment Strategies'!$C:$P,9,FALSE),
IF(AND(Investment_Strategy="Lifecycle",Investment_Strategy_Sub1="Standard"),VLOOKUP(Investment_Strategy&amp;"_"&amp;Investment_Strategy_Sub2&amp;"_"&amp;$A617,'Investment Strategies'!$AJ:$AV,8,FALSE),
IF(AND(Investment_Strategy="Autopilot",Investment_Strategy_Sub1="Non-Standard"),VLOOKUP(Investment_Strategy&amp;"_"&amp;Investment_Strategy_Sub2&amp;"_"&amp;$A617,'Investment Strategies'!$T:$AF,8,FALSE),
IF(Investment_Strategy ="DIY",DIY_RateOfReturn_CurrentFunds,
"Error")))))),Max_InvReturn)</f>
        <v>0</v>
      </c>
      <c r="F617" s="62">
        <f>IF(AV617=0,0,
IF(Investment_Strategy="DIS",VLOOKUP(Investment_Strategy&amp;"_"&amp;Investment_Strategy_Sub1&amp;"_"&amp;$A617,'Investment Strategies'!$AZ:$BP,15,FALSE),
IF(AND(Investment_Strategy="Lifecycle",Investment_Strategy_Sub1="Non-Standard"),VLOOKUP(Investment_Strategy&amp;"_"&amp;Investment_Strategy_Sub2&amp;"_"&amp;$A617,'Investment Strategies'!$C:$P,12,FALSE),
IF(AND(Investment_Strategy="Lifecycle",Investment_Strategy_Sub1="Standard"),VLOOKUP(Investment_Strategy&amp;"_"&amp;Investment_Strategy_Sub2&amp;"_"&amp;$A617,'Investment Strategies'!$AJ:$AV,11,FALSE),
IF(AND(Investment_Strategy="Autopilot",Investment_Strategy_Sub1="Non-Standard"),VLOOKUP(Investment_Strategy&amp;"_"&amp;Investment_Strategy_Sub2&amp;"_"&amp;$A617,'Investment Strategies'!$T:$AF,11,FALSE),
IF(Investment_Strategy="DIY",DIY_GteeChrge_CurrentFunds,
"Error"))))))</f>
        <v>0</v>
      </c>
      <c r="G617" s="33">
        <f>IF(AV617=0,0,
IF(Investment_Strategy="DIS",VLOOKUP(Investment_Strategy&amp;"_"&amp;Investment_Strategy_Sub1&amp;"_"&amp;$A617,'Investment Strategies'!$AZ:$BP,17,FALSE),
IF(AND(Investment_Strategy="Lifecycle",Investment_Strategy_Sub1="Non-Standard"),VLOOKUP(Investment_Strategy&amp;"_"&amp;Investment_Strategy_Sub2&amp;"_"&amp;$A617,'Investment Strategies'!$C:$P,14,FALSE),
IF(AND(Investment_Strategy="Lifecycle",Investment_Strategy_Sub1="Standard"),VLOOKUP(Investment_Strategy&amp;"_"&amp;Investment_Strategy_Sub2&amp;"_"&amp;$A617,'Investment Strategies'!$AJ:$AV,13,FALSE),
IF(AND(Investment_Strategy="Autopilot",Investment_Strategy_Sub1="Non-Standard"),VLOOKUP(Investment_Strategy&amp;"_"&amp;Investment_Strategy_Sub2&amp;"_"&amp;$A617,'Investment Strategies'!$T:$AF,13,FALSE),
IF(Investment_Strategy="DIY",DIY_ExtManChrge_CurrentFunds,
"Error"))))))</f>
        <v>0</v>
      </c>
      <c r="H617" s="16">
        <f t="shared" si="361"/>
        <v>0</v>
      </c>
      <c r="I617" s="16">
        <f t="shared" si="347"/>
        <v>0</v>
      </c>
      <c r="J617" s="16">
        <f t="shared" si="348"/>
        <v>0</v>
      </c>
      <c r="K617" s="16">
        <f>(Opening_Fund_Value+SUM(K$91:K616))*E617*IF(D617=$A$91,SRP_finalmonthfactor,1)</f>
        <v>0</v>
      </c>
      <c r="L617" s="74">
        <f>MIN(IF($AV617=0,0,
IF(Investment_Strategy="DIS",VLOOKUP(Investment_Strategy&amp;"_"&amp;Investment_Strategy_Sub1&amp;"_"&amp;$A617,'Investment Strategies'!$AZ:$BP,12,FALSE),
IF(AND(Investment_Strategy="Lifecycle",Investment_Strategy_Sub1="Non-Standard"),VLOOKUP(Investment_Strategy&amp;"_"&amp;Investment_Strategy_Sub2&amp;"_"&amp;$A617,'Investment Strategies'!$C:$P,9,FALSE),
IF(AND(Investment_Strategy="Lifecycle",Investment_Strategy_Sub1="Standard"),VLOOKUP(Investment_Strategy&amp;"_"&amp;Investment_Strategy_Sub2&amp;"_"&amp;$A617,'Investment Strategies'!$AJ:$AV,8,FALSE),
IF(AND(Investment_Strategy="Autopilot",Investment_Strategy_Sub1="Non-Standard"),VLOOKUP(Investment_Strategy&amp;"_"&amp;Investment_Strategy_Sub2&amp;"_"&amp;$A617,'Investment Strategies'!$T:$AF,8,FALSE),
IF(Investment_Strategy ="DIY",DIY_RateofReturn_SP,
"Error")))))),Max_InvReturn)</f>
        <v>0</v>
      </c>
      <c r="M617" s="62">
        <f>IF($AV617=0,0,
IF(Investment_Strategy="DIS",VLOOKUP(Investment_Strategy&amp;"_"&amp;Investment_Strategy_Sub1&amp;"_"&amp;$A617,'Investment Strategies'!$AZ:$BP,15,FALSE),
IF(AND(Investment_Strategy="Lifecycle",Investment_Strategy_Sub1="Non-Standard"),VLOOKUP(Investment_Strategy&amp;"_"&amp;Investment_Strategy_Sub2&amp;"_"&amp;$A617,'Investment Strategies'!$C:$P,12,FALSE),
IF(AND(Investment_Strategy="Lifecycle",Investment_Strategy_Sub1="Standard"),VLOOKUP(Investment_Strategy&amp;"_"&amp;Investment_Strategy_Sub2&amp;"_"&amp;$A617,'Investment Strategies'!$AJ:$AV,11,FALSE),
IF(AND(Investment_Strategy="Autopilot",Investment_Strategy_Sub1="Non-Standard"),VLOOKUP(Investment_Strategy&amp;"_"&amp;Investment_Strategy_Sub2&amp;"_"&amp;$A617,'Investment Strategies'!$T:$AF,11,FALSE),
IF(Investment_Strategy="DIY",DIY_GteeChrge_SP,
"Error"))))))</f>
        <v>0</v>
      </c>
      <c r="N617" s="33">
        <f>IF($AV617=0,0,
IF(Investment_Strategy="DIS",VLOOKUP(Investment_Strategy&amp;"_"&amp;Investment_Strategy_Sub1&amp;"_"&amp;$A617,'Investment Strategies'!$AZ:$BP,17,FALSE),
IF(AND(Investment_Strategy="Lifecycle",Investment_Strategy_Sub1="Non-Standard"),VLOOKUP(Investment_Strategy&amp;"_"&amp;Investment_Strategy_Sub2&amp;"_"&amp;$A617,'Investment Strategies'!$C:$P,14,FALSE),
IF(AND(Investment_Strategy="Lifecycle",Investment_Strategy_Sub1="Standard"),VLOOKUP(Investment_Strategy&amp;"_"&amp;Investment_Strategy_Sub2&amp;"_"&amp;$A617,'Investment Strategies'!$AJ:$AV,13,FALSE),
IF(AND(Investment_Strategy="Autopilot",Investment_Strategy_Sub1="Non-Standard"),VLOOKUP(Investment_Strategy&amp;"_"&amp;Investment_Strategy_Sub2&amp;"_"&amp;$A617,'Investment Strategies'!$T:$AF,13,FALSE),
IF(Investment_Strategy="DIY",DIY_ExtManChrge_SP,
"Error"))))))</f>
        <v>0</v>
      </c>
      <c r="O617" s="16">
        <f t="shared" si="372"/>
        <v>0</v>
      </c>
      <c r="Q617" s="16">
        <f t="shared" si="349"/>
        <v>0</v>
      </c>
      <c r="R617" s="16">
        <f t="shared" si="345"/>
        <v>0</v>
      </c>
      <c r="S617" s="16">
        <f>(SRP_SP+SUM(S$91:S616))*L617*IF(D617=$A$91,SRP_finalmonthfactor,1)</f>
        <v>0</v>
      </c>
      <c r="T617" s="74">
        <f>MIN(IF($AV617=0,0,
IF(Investment_Strategy="DIS",VLOOKUP(Investment_Strategy&amp;"_"&amp;Investment_Strategy_Sub1&amp;"_"&amp;$A617,'Investment Strategies'!$AZ:$BP,12,FALSE),
IF(AND(Investment_Strategy="Lifecycle",Investment_Strategy_Sub1="Non-Standard"),VLOOKUP(Investment_Strategy&amp;"_"&amp;Investment_Strategy_Sub2&amp;"_"&amp;$A617,'Investment Strategies'!$C:$P,9,FALSE),
IF(AND(Investment_Strategy="Lifecycle",Investment_Strategy_Sub1="Standard"),VLOOKUP(Investment_Strategy&amp;"_"&amp;Investment_Strategy_Sub2&amp;"_"&amp;$A617,'Investment Strategies'!$AJ:$AV,8,FALSE),
IF(AND(Investment_Strategy="Autopilot",Investment_Strategy_Sub1="Non-Standard"),VLOOKUP(Investment_Strategy&amp;"_"&amp;Investment_Strategy_Sub2&amp;"_"&amp;$A617,'Investment Strategies'!$T:$AF,8,FALSE),
IF(Investment_Strategy ="DIY",DIY_RateOfReturn_FuturePremiums,
"Error")))))),Max_InvReturn)</f>
        <v>0</v>
      </c>
      <c r="U617" s="62">
        <f>IF($AV617=0,0,
IF(Investment_Strategy="DIS",VLOOKUP(Investment_Strategy&amp;"_"&amp;Investment_Strategy_Sub1&amp;"_"&amp;$A617,'Investment Strategies'!$AZ:$BP,15,FALSE),
IF(AND(Investment_Strategy="Lifecycle",Investment_Strategy_Sub1="Non-Standard"),VLOOKUP(Investment_Strategy&amp;"_"&amp;Investment_Strategy_Sub2&amp;"_"&amp;$A617,'Investment Strategies'!$C:$P,12,FALSE),
IF(AND(Investment_Strategy="Lifecycle",Investment_Strategy_Sub1="Standard"),VLOOKUP(Investment_Strategy&amp;"_"&amp;Investment_Strategy_Sub2&amp;"_"&amp;$A617,'Investment Strategies'!$AJ:$AV,11,FALSE),
IF(AND(Investment_Strategy="Autopilot",Investment_Strategy_Sub1="Non-Standard"),VLOOKUP(Investment_Strategy&amp;"_"&amp;Investment_Strategy_Sub2&amp;"_"&amp;$A617,'Investment Strategies'!$T:$AF,11,FALSE),
IF(Investment_Strategy="DIY",DIY_GteeChrge_FuturePremiums,
"Error"))))))</f>
        <v>0</v>
      </c>
      <c r="V617" s="33">
        <f>IF(AV617=0,0,
IF(Investment_Strategy="DIS",VLOOKUP(Investment_Strategy&amp;"_"&amp;Investment_Strategy_Sub1&amp;"_"&amp;$A617,'Investment Strategies'!$AZ:$BP,17,FALSE),
IF(AND(Investment_Strategy="Lifecycle",Investment_Strategy_Sub1="Non-Standard"),VLOOKUP(Investment_Strategy&amp;"_"&amp;Investment_Strategy_Sub2&amp;"_"&amp;$A617,'Investment Strategies'!$C:$P,14,FALSE),
IF(AND(Investment_Strategy="Lifecycle",Investment_Strategy_Sub1="Standard"),VLOOKUP(Investment_Strategy&amp;"_"&amp;Investment_Strategy_Sub2&amp;"_"&amp;$A617,'Investment Strategies'!$AJ:$AV,13,FALSE),
IF(AND(Investment_Strategy="Autopilot",Investment_Strategy_Sub1="Non-Standard"),VLOOKUP(Investment_Strategy&amp;"_"&amp;Investment_Strategy_Sub2&amp;"_"&amp;$A617,'Investment Strategies'!$T:$AF,13,FALSE),
IF(Investment_Strategy="DIY",DIY_ExtManChrge_FuturePremiums,
"Error"))))))</f>
        <v>0</v>
      </c>
      <c r="W617" s="16">
        <f t="shared" si="373"/>
        <v>0</v>
      </c>
      <c r="X617" s="16">
        <f t="shared" si="350"/>
        <v>0</v>
      </c>
      <c r="Y617" s="16">
        <f t="shared" si="351"/>
        <v>0</v>
      </c>
      <c r="Z617" s="31">
        <f t="shared" si="352"/>
        <v>0.02</v>
      </c>
      <c r="AA617" s="16">
        <f t="shared" si="353"/>
        <v>0</v>
      </c>
      <c r="AB617" s="28">
        <f t="shared" si="374"/>
        <v>0</v>
      </c>
      <c r="AC617" s="28">
        <f>(SUM($AC$91:AC616)+SUM($X$91:X616)+X617)*T617*IF(D617=$A$91,SRP_finalmonthfactor,1)</f>
        <v>0</v>
      </c>
      <c r="AD617" s="16">
        <f t="shared" si="354"/>
        <v>0</v>
      </c>
      <c r="AE617" s="106"/>
      <c r="AF617" s="16">
        <f t="shared" si="362"/>
        <v>0</v>
      </c>
      <c r="AG617" s="16">
        <f t="shared" si="363"/>
        <v>0</v>
      </c>
      <c r="AH617" s="16">
        <f t="shared" si="364"/>
        <v>0</v>
      </c>
      <c r="AJ617" s="13">
        <f t="shared" si="375"/>
        <v>0</v>
      </c>
      <c r="AK617" s="13">
        <f t="shared" si="375"/>
        <v>0</v>
      </c>
      <c r="AL617" s="13">
        <f t="shared" si="375"/>
        <v>0</v>
      </c>
      <c r="AM617" s="13">
        <f t="shared" si="375"/>
        <v>0</v>
      </c>
      <c r="AN617" s="13">
        <f t="shared" si="375"/>
        <v>0</v>
      </c>
      <c r="AO617" s="13">
        <f t="shared" si="375"/>
        <v>1</v>
      </c>
      <c r="AP617" s="13">
        <f t="shared" si="375"/>
        <v>1</v>
      </c>
      <c r="AQ617" s="13">
        <f t="shared" si="375"/>
        <v>1</v>
      </c>
      <c r="AR617" s="13">
        <f t="shared" si="375"/>
        <v>0</v>
      </c>
      <c r="AS617" s="13">
        <f t="shared" si="375"/>
        <v>0</v>
      </c>
      <c r="AT617" s="13">
        <f t="shared" si="375"/>
        <v>0</v>
      </c>
      <c r="AU617" s="13">
        <f t="shared" si="375"/>
        <v>0</v>
      </c>
      <c r="AV617" s="13">
        <f t="shared" si="355"/>
        <v>0</v>
      </c>
      <c r="AW617" s="13">
        <f t="shared" si="356"/>
        <v>1</v>
      </c>
      <c r="AY617" s="17">
        <f t="shared" si="357"/>
        <v>527</v>
      </c>
      <c r="AZ617" s="28">
        <f t="shared" si="365"/>
        <v>0</v>
      </c>
      <c r="BA617" s="13">
        <f t="shared" si="358"/>
        <v>0</v>
      </c>
      <c r="BB617" s="13">
        <f t="shared" si="359"/>
        <v>0</v>
      </c>
      <c r="BC617" s="28">
        <f t="shared" si="366"/>
        <v>0</v>
      </c>
      <c r="BD617" s="28">
        <f t="shared" si="367"/>
        <v>0</v>
      </c>
      <c r="BF617" s="248">
        <f t="shared" si="368"/>
        <v>993869.29442638322</v>
      </c>
    </row>
    <row r="618" spans="1:58">
      <c r="A618" s="32">
        <f t="shared" si="369"/>
        <v>-443</v>
      </c>
      <c r="B618" s="32">
        <f t="shared" si="360"/>
        <v>96</v>
      </c>
      <c r="C618" s="32">
        <f t="shared" si="370"/>
        <v>44</v>
      </c>
      <c r="D618" s="32">
        <f t="shared" si="371"/>
        <v>528</v>
      </c>
      <c r="E618" s="74">
        <f>MIN(IF(AV618=0,0,
IF(Investment_Strategy="DIS",VLOOKUP(Investment_Strategy&amp;"_"&amp;Investment_Strategy_Sub1&amp;"_"&amp;$A618,'Investment Strategies'!$AZ:$BP,12,FALSE),
IF(AND(Investment_Strategy="Lifecycle",Investment_Strategy_Sub1="Non-Standard"),VLOOKUP(Investment_Strategy&amp;"_"&amp;Investment_Strategy_Sub2&amp;"_"&amp;$A618,'Investment Strategies'!$C:$P,9,FALSE),
IF(AND(Investment_Strategy="Lifecycle",Investment_Strategy_Sub1="Standard"),VLOOKUP(Investment_Strategy&amp;"_"&amp;Investment_Strategy_Sub2&amp;"_"&amp;$A618,'Investment Strategies'!$AJ:$AV,8,FALSE),
IF(AND(Investment_Strategy="Autopilot",Investment_Strategy_Sub1="Non-Standard"),VLOOKUP(Investment_Strategy&amp;"_"&amp;Investment_Strategy_Sub2&amp;"_"&amp;$A618,'Investment Strategies'!$T:$AF,8,FALSE),
IF(Investment_Strategy ="DIY",DIY_RateOfReturn_CurrentFunds,
"Error")))))),Max_InvReturn)</f>
        <v>0</v>
      </c>
      <c r="F618" s="62">
        <f>IF(AV618=0,0,
IF(Investment_Strategy="DIS",VLOOKUP(Investment_Strategy&amp;"_"&amp;Investment_Strategy_Sub1&amp;"_"&amp;$A618,'Investment Strategies'!$AZ:$BP,15,FALSE),
IF(AND(Investment_Strategy="Lifecycle",Investment_Strategy_Sub1="Non-Standard"),VLOOKUP(Investment_Strategy&amp;"_"&amp;Investment_Strategy_Sub2&amp;"_"&amp;$A618,'Investment Strategies'!$C:$P,12,FALSE),
IF(AND(Investment_Strategy="Lifecycle",Investment_Strategy_Sub1="Standard"),VLOOKUP(Investment_Strategy&amp;"_"&amp;Investment_Strategy_Sub2&amp;"_"&amp;$A618,'Investment Strategies'!$AJ:$AV,11,FALSE),
IF(AND(Investment_Strategy="Autopilot",Investment_Strategy_Sub1="Non-Standard"),VLOOKUP(Investment_Strategy&amp;"_"&amp;Investment_Strategy_Sub2&amp;"_"&amp;$A618,'Investment Strategies'!$T:$AF,11,FALSE),
IF(Investment_Strategy="DIY",DIY_GteeChrge_CurrentFunds,
"Error"))))))</f>
        <v>0</v>
      </c>
      <c r="G618" s="33">
        <f>IF(AV618=0,0,
IF(Investment_Strategy="DIS",VLOOKUP(Investment_Strategy&amp;"_"&amp;Investment_Strategy_Sub1&amp;"_"&amp;$A618,'Investment Strategies'!$AZ:$BP,17,FALSE),
IF(AND(Investment_Strategy="Lifecycle",Investment_Strategy_Sub1="Non-Standard"),VLOOKUP(Investment_Strategy&amp;"_"&amp;Investment_Strategy_Sub2&amp;"_"&amp;$A618,'Investment Strategies'!$C:$P,14,FALSE),
IF(AND(Investment_Strategy="Lifecycle",Investment_Strategy_Sub1="Standard"),VLOOKUP(Investment_Strategy&amp;"_"&amp;Investment_Strategy_Sub2&amp;"_"&amp;$A618,'Investment Strategies'!$AJ:$AV,13,FALSE),
IF(AND(Investment_Strategy="Autopilot",Investment_Strategy_Sub1="Non-Standard"),VLOOKUP(Investment_Strategy&amp;"_"&amp;Investment_Strategy_Sub2&amp;"_"&amp;$A618,'Investment Strategies'!$T:$AF,13,FALSE),
IF(Investment_Strategy="DIY",DIY_ExtManChrge_CurrentFunds,
"Error"))))))</f>
        <v>0</v>
      </c>
      <c r="H618" s="16">
        <f t="shared" si="361"/>
        <v>0</v>
      </c>
      <c r="I618" s="16">
        <f t="shared" si="347"/>
        <v>0</v>
      </c>
      <c r="J618" s="16">
        <f t="shared" si="348"/>
        <v>0</v>
      </c>
      <c r="K618" s="16">
        <f>(Opening_Fund_Value+SUM(K$91:K617))*E618*IF(D618=$A$91,SRP_finalmonthfactor,1)</f>
        <v>0</v>
      </c>
      <c r="L618" s="74">
        <f>MIN(IF($AV618=0,0,
IF(Investment_Strategy="DIS",VLOOKUP(Investment_Strategy&amp;"_"&amp;Investment_Strategy_Sub1&amp;"_"&amp;$A618,'Investment Strategies'!$AZ:$BP,12,FALSE),
IF(AND(Investment_Strategy="Lifecycle",Investment_Strategy_Sub1="Non-Standard"),VLOOKUP(Investment_Strategy&amp;"_"&amp;Investment_Strategy_Sub2&amp;"_"&amp;$A618,'Investment Strategies'!$C:$P,9,FALSE),
IF(AND(Investment_Strategy="Lifecycle",Investment_Strategy_Sub1="Standard"),VLOOKUP(Investment_Strategy&amp;"_"&amp;Investment_Strategy_Sub2&amp;"_"&amp;$A618,'Investment Strategies'!$AJ:$AV,8,FALSE),
IF(AND(Investment_Strategy="Autopilot",Investment_Strategy_Sub1="Non-Standard"),VLOOKUP(Investment_Strategy&amp;"_"&amp;Investment_Strategy_Sub2&amp;"_"&amp;$A618,'Investment Strategies'!$T:$AF,8,FALSE),
IF(Investment_Strategy ="DIY",DIY_RateofReturn_SP,
"Error")))))),Max_InvReturn)</f>
        <v>0</v>
      </c>
      <c r="M618" s="62">
        <f>IF($AV618=0,0,
IF(Investment_Strategy="DIS",VLOOKUP(Investment_Strategy&amp;"_"&amp;Investment_Strategy_Sub1&amp;"_"&amp;$A618,'Investment Strategies'!$AZ:$BP,15,FALSE),
IF(AND(Investment_Strategy="Lifecycle",Investment_Strategy_Sub1="Non-Standard"),VLOOKUP(Investment_Strategy&amp;"_"&amp;Investment_Strategy_Sub2&amp;"_"&amp;$A618,'Investment Strategies'!$C:$P,12,FALSE),
IF(AND(Investment_Strategy="Lifecycle",Investment_Strategy_Sub1="Standard"),VLOOKUP(Investment_Strategy&amp;"_"&amp;Investment_Strategy_Sub2&amp;"_"&amp;$A618,'Investment Strategies'!$AJ:$AV,11,FALSE),
IF(AND(Investment_Strategy="Autopilot",Investment_Strategy_Sub1="Non-Standard"),VLOOKUP(Investment_Strategy&amp;"_"&amp;Investment_Strategy_Sub2&amp;"_"&amp;$A618,'Investment Strategies'!$T:$AF,11,FALSE),
IF(Investment_Strategy="DIY",DIY_GteeChrge_SP,
"Error"))))))</f>
        <v>0</v>
      </c>
      <c r="N618" s="33">
        <f>IF($AV618=0,0,
IF(Investment_Strategy="DIS",VLOOKUP(Investment_Strategy&amp;"_"&amp;Investment_Strategy_Sub1&amp;"_"&amp;$A618,'Investment Strategies'!$AZ:$BP,17,FALSE),
IF(AND(Investment_Strategy="Lifecycle",Investment_Strategy_Sub1="Non-Standard"),VLOOKUP(Investment_Strategy&amp;"_"&amp;Investment_Strategy_Sub2&amp;"_"&amp;$A618,'Investment Strategies'!$C:$P,14,FALSE),
IF(AND(Investment_Strategy="Lifecycle",Investment_Strategy_Sub1="Standard"),VLOOKUP(Investment_Strategy&amp;"_"&amp;Investment_Strategy_Sub2&amp;"_"&amp;$A618,'Investment Strategies'!$AJ:$AV,13,FALSE),
IF(AND(Investment_Strategy="Autopilot",Investment_Strategy_Sub1="Non-Standard"),VLOOKUP(Investment_Strategy&amp;"_"&amp;Investment_Strategy_Sub2&amp;"_"&amp;$A618,'Investment Strategies'!$T:$AF,13,FALSE),
IF(Investment_Strategy="DIY",DIY_ExtManChrge_SP,
"Error"))))))</f>
        <v>0</v>
      </c>
      <c r="O618" s="16">
        <f t="shared" si="372"/>
        <v>0</v>
      </c>
      <c r="Q618" s="16">
        <f t="shared" si="349"/>
        <v>0</v>
      </c>
      <c r="R618" s="16">
        <f t="shared" si="345"/>
        <v>0</v>
      </c>
      <c r="S618" s="16">
        <f>(SRP_SP+SUM(S$91:S617))*L618*IF(D618=$A$91,SRP_finalmonthfactor,1)</f>
        <v>0</v>
      </c>
      <c r="T618" s="74">
        <f>MIN(IF($AV618=0,0,
IF(Investment_Strategy="DIS",VLOOKUP(Investment_Strategy&amp;"_"&amp;Investment_Strategy_Sub1&amp;"_"&amp;$A618,'Investment Strategies'!$AZ:$BP,12,FALSE),
IF(AND(Investment_Strategy="Lifecycle",Investment_Strategy_Sub1="Non-Standard"),VLOOKUP(Investment_Strategy&amp;"_"&amp;Investment_Strategy_Sub2&amp;"_"&amp;$A618,'Investment Strategies'!$C:$P,9,FALSE),
IF(AND(Investment_Strategy="Lifecycle",Investment_Strategy_Sub1="Standard"),VLOOKUP(Investment_Strategy&amp;"_"&amp;Investment_Strategy_Sub2&amp;"_"&amp;$A618,'Investment Strategies'!$AJ:$AV,8,FALSE),
IF(AND(Investment_Strategy="Autopilot",Investment_Strategy_Sub1="Non-Standard"),VLOOKUP(Investment_Strategy&amp;"_"&amp;Investment_Strategy_Sub2&amp;"_"&amp;$A618,'Investment Strategies'!$T:$AF,8,FALSE),
IF(Investment_Strategy ="DIY",DIY_RateOfReturn_FuturePremiums,
"Error")))))),Max_InvReturn)</f>
        <v>0</v>
      </c>
      <c r="U618" s="62">
        <f>IF($AV618=0,0,
IF(Investment_Strategy="DIS",VLOOKUP(Investment_Strategy&amp;"_"&amp;Investment_Strategy_Sub1&amp;"_"&amp;$A618,'Investment Strategies'!$AZ:$BP,15,FALSE),
IF(AND(Investment_Strategy="Lifecycle",Investment_Strategy_Sub1="Non-Standard"),VLOOKUP(Investment_Strategy&amp;"_"&amp;Investment_Strategy_Sub2&amp;"_"&amp;$A618,'Investment Strategies'!$C:$P,12,FALSE),
IF(AND(Investment_Strategy="Lifecycle",Investment_Strategy_Sub1="Standard"),VLOOKUP(Investment_Strategy&amp;"_"&amp;Investment_Strategy_Sub2&amp;"_"&amp;$A618,'Investment Strategies'!$AJ:$AV,11,FALSE),
IF(AND(Investment_Strategy="Autopilot",Investment_Strategy_Sub1="Non-Standard"),VLOOKUP(Investment_Strategy&amp;"_"&amp;Investment_Strategy_Sub2&amp;"_"&amp;$A618,'Investment Strategies'!$T:$AF,11,FALSE),
IF(Investment_Strategy="DIY",DIY_GteeChrge_FuturePremiums,
"Error"))))))</f>
        <v>0</v>
      </c>
      <c r="V618" s="33">
        <f>IF(AV618=0,0,
IF(Investment_Strategy="DIS",VLOOKUP(Investment_Strategy&amp;"_"&amp;Investment_Strategy_Sub1&amp;"_"&amp;$A618,'Investment Strategies'!$AZ:$BP,17,FALSE),
IF(AND(Investment_Strategy="Lifecycle",Investment_Strategy_Sub1="Non-Standard"),VLOOKUP(Investment_Strategy&amp;"_"&amp;Investment_Strategy_Sub2&amp;"_"&amp;$A618,'Investment Strategies'!$C:$P,14,FALSE),
IF(AND(Investment_Strategy="Lifecycle",Investment_Strategy_Sub1="Standard"),VLOOKUP(Investment_Strategy&amp;"_"&amp;Investment_Strategy_Sub2&amp;"_"&amp;$A618,'Investment Strategies'!$AJ:$AV,13,FALSE),
IF(AND(Investment_Strategy="Autopilot",Investment_Strategy_Sub1="Non-Standard"),VLOOKUP(Investment_Strategy&amp;"_"&amp;Investment_Strategy_Sub2&amp;"_"&amp;$A618,'Investment Strategies'!$T:$AF,13,FALSE),
IF(Investment_Strategy="DIY",DIY_ExtManChrge_FuturePremiums,
"Error"))))))</f>
        <v>0</v>
      </c>
      <c r="W618" s="16">
        <f t="shared" si="373"/>
        <v>0</v>
      </c>
      <c r="X618" s="16">
        <f t="shared" si="350"/>
        <v>0</v>
      </c>
      <c r="Y618" s="16">
        <f t="shared" si="351"/>
        <v>0</v>
      </c>
      <c r="Z618" s="31">
        <f t="shared" si="352"/>
        <v>0.02</v>
      </c>
      <c r="AA618" s="16">
        <f t="shared" si="353"/>
        <v>0</v>
      </c>
      <c r="AB618" s="28">
        <f t="shared" si="374"/>
        <v>0</v>
      </c>
      <c r="AC618" s="28">
        <f>(SUM($AC$91:AC617)+SUM($X$91:X617)+X618)*T618*IF(D618=$A$91,SRP_finalmonthfactor,1)</f>
        <v>0</v>
      </c>
      <c r="AD618" s="16">
        <f t="shared" si="354"/>
        <v>0</v>
      </c>
      <c r="AE618" s="106"/>
      <c r="AF618" s="16">
        <f t="shared" si="362"/>
        <v>0</v>
      </c>
      <c r="AG618" s="16">
        <f t="shared" si="363"/>
        <v>0</v>
      </c>
      <c r="AH618" s="16">
        <f t="shared" si="364"/>
        <v>0</v>
      </c>
      <c r="AJ618" s="13">
        <f t="shared" si="375"/>
        <v>0</v>
      </c>
      <c r="AK618" s="13">
        <f t="shared" si="375"/>
        <v>0</v>
      </c>
      <c r="AL618" s="13">
        <f t="shared" si="375"/>
        <v>0</v>
      </c>
      <c r="AM618" s="13">
        <f t="shared" si="375"/>
        <v>0</v>
      </c>
      <c r="AN618" s="13">
        <f t="shared" si="375"/>
        <v>0</v>
      </c>
      <c r="AO618" s="13">
        <f t="shared" si="375"/>
        <v>1</v>
      </c>
      <c r="AP618" s="13">
        <f t="shared" si="375"/>
        <v>1</v>
      </c>
      <c r="AQ618" s="13">
        <f t="shared" si="375"/>
        <v>1</v>
      </c>
      <c r="AR618" s="13">
        <f t="shared" si="375"/>
        <v>0</v>
      </c>
      <c r="AS618" s="13">
        <f t="shared" si="375"/>
        <v>0</v>
      </c>
      <c r="AT618" s="13">
        <f t="shared" si="375"/>
        <v>0</v>
      </c>
      <c r="AU618" s="13">
        <f t="shared" si="375"/>
        <v>0</v>
      </c>
      <c r="AV618" s="13">
        <f t="shared" si="355"/>
        <v>0</v>
      </c>
      <c r="AW618" s="13">
        <f t="shared" si="356"/>
        <v>1</v>
      </c>
      <c r="AY618" s="17">
        <f t="shared" si="357"/>
        <v>528</v>
      </c>
      <c r="AZ618" s="28">
        <f t="shared" si="365"/>
        <v>0</v>
      </c>
      <c r="BA618" s="13">
        <f t="shared" si="358"/>
        <v>0</v>
      </c>
      <c r="BB618" s="13">
        <f t="shared" si="359"/>
        <v>0</v>
      </c>
      <c r="BC618" s="28">
        <f t="shared" si="366"/>
        <v>0</v>
      </c>
      <c r="BD618" s="28">
        <f t="shared" si="367"/>
        <v>0</v>
      </c>
      <c r="BF618" s="248">
        <f t="shared" si="368"/>
        <v>993869.29442638322</v>
      </c>
    </row>
    <row r="619" spans="1:58">
      <c r="A619" s="32">
        <f t="shared" si="369"/>
        <v>-444</v>
      </c>
      <c r="B619" s="32">
        <f t="shared" si="360"/>
        <v>97</v>
      </c>
      <c r="C619" s="32">
        <f t="shared" si="370"/>
        <v>45</v>
      </c>
      <c r="D619" s="32">
        <f t="shared" si="371"/>
        <v>529</v>
      </c>
      <c r="E619" s="74">
        <f>MIN(IF(AV619=0,0,
IF(Investment_Strategy="DIS",VLOOKUP(Investment_Strategy&amp;"_"&amp;Investment_Strategy_Sub1&amp;"_"&amp;$A619,'Investment Strategies'!$AZ:$BP,12,FALSE),
IF(AND(Investment_Strategy="Lifecycle",Investment_Strategy_Sub1="Non-Standard"),VLOOKUP(Investment_Strategy&amp;"_"&amp;Investment_Strategy_Sub2&amp;"_"&amp;$A619,'Investment Strategies'!$C:$P,9,FALSE),
IF(AND(Investment_Strategy="Lifecycle",Investment_Strategy_Sub1="Standard"),VLOOKUP(Investment_Strategy&amp;"_"&amp;Investment_Strategy_Sub2&amp;"_"&amp;$A619,'Investment Strategies'!$AJ:$AV,8,FALSE),
IF(AND(Investment_Strategy="Autopilot",Investment_Strategy_Sub1="Non-Standard"),VLOOKUP(Investment_Strategy&amp;"_"&amp;Investment_Strategy_Sub2&amp;"_"&amp;$A619,'Investment Strategies'!$T:$AF,8,FALSE),
IF(Investment_Strategy ="DIY",DIY_RateOfReturn_CurrentFunds,
"Error")))))),Max_InvReturn)</f>
        <v>0</v>
      </c>
      <c r="F619" s="62">
        <f>IF(AV619=0,0,
IF(Investment_Strategy="DIS",VLOOKUP(Investment_Strategy&amp;"_"&amp;Investment_Strategy_Sub1&amp;"_"&amp;$A619,'Investment Strategies'!$AZ:$BP,15,FALSE),
IF(AND(Investment_Strategy="Lifecycle",Investment_Strategy_Sub1="Non-Standard"),VLOOKUP(Investment_Strategy&amp;"_"&amp;Investment_Strategy_Sub2&amp;"_"&amp;$A619,'Investment Strategies'!$C:$P,12,FALSE),
IF(AND(Investment_Strategy="Lifecycle",Investment_Strategy_Sub1="Standard"),VLOOKUP(Investment_Strategy&amp;"_"&amp;Investment_Strategy_Sub2&amp;"_"&amp;$A619,'Investment Strategies'!$AJ:$AV,11,FALSE),
IF(AND(Investment_Strategy="Autopilot",Investment_Strategy_Sub1="Non-Standard"),VLOOKUP(Investment_Strategy&amp;"_"&amp;Investment_Strategy_Sub2&amp;"_"&amp;$A619,'Investment Strategies'!$T:$AF,11,FALSE),
IF(Investment_Strategy="DIY",DIY_GteeChrge_CurrentFunds,
"Error"))))))</f>
        <v>0</v>
      </c>
      <c r="G619" s="33">
        <f>IF(AV619=0,0,
IF(Investment_Strategy="DIS",VLOOKUP(Investment_Strategy&amp;"_"&amp;Investment_Strategy_Sub1&amp;"_"&amp;$A619,'Investment Strategies'!$AZ:$BP,17,FALSE),
IF(AND(Investment_Strategy="Lifecycle",Investment_Strategy_Sub1="Non-Standard"),VLOOKUP(Investment_Strategy&amp;"_"&amp;Investment_Strategy_Sub2&amp;"_"&amp;$A619,'Investment Strategies'!$C:$P,14,FALSE),
IF(AND(Investment_Strategy="Lifecycle",Investment_Strategy_Sub1="Standard"),VLOOKUP(Investment_Strategy&amp;"_"&amp;Investment_Strategy_Sub2&amp;"_"&amp;$A619,'Investment Strategies'!$AJ:$AV,13,FALSE),
IF(AND(Investment_Strategy="Autopilot",Investment_Strategy_Sub1="Non-Standard"),VLOOKUP(Investment_Strategy&amp;"_"&amp;Investment_Strategy_Sub2&amp;"_"&amp;$A619,'Investment Strategies'!$T:$AF,13,FALSE),
IF(Investment_Strategy="DIY",DIY_ExtManChrge_CurrentFunds,
"Error"))))))</f>
        <v>0</v>
      </c>
      <c r="H619" s="16">
        <f t="shared" si="361"/>
        <v>0</v>
      </c>
      <c r="I619" s="16">
        <f t="shared" si="347"/>
        <v>0</v>
      </c>
      <c r="J619" s="16">
        <f t="shared" si="348"/>
        <v>0</v>
      </c>
      <c r="K619" s="16">
        <f>(Opening_Fund_Value+SUM(K$91:K618))*E619*IF(D619=$A$91,SRP_finalmonthfactor,1)</f>
        <v>0</v>
      </c>
      <c r="L619" s="74">
        <f>MIN(IF($AV619=0,0,
IF(Investment_Strategy="DIS",VLOOKUP(Investment_Strategy&amp;"_"&amp;Investment_Strategy_Sub1&amp;"_"&amp;$A619,'Investment Strategies'!$AZ:$BP,12,FALSE),
IF(AND(Investment_Strategy="Lifecycle",Investment_Strategy_Sub1="Non-Standard"),VLOOKUP(Investment_Strategy&amp;"_"&amp;Investment_Strategy_Sub2&amp;"_"&amp;$A619,'Investment Strategies'!$C:$P,9,FALSE),
IF(AND(Investment_Strategy="Lifecycle",Investment_Strategy_Sub1="Standard"),VLOOKUP(Investment_Strategy&amp;"_"&amp;Investment_Strategy_Sub2&amp;"_"&amp;$A619,'Investment Strategies'!$AJ:$AV,8,FALSE),
IF(AND(Investment_Strategy="Autopilot",Investment_Strategy_Sub1="Non-Standard"),VLOOKUP(Investment_Strategy&amp;"_"&amp;Investment_Strategy_Sub2&amp;"_"&amp;$A619,'Investment Strategies'!$T:$AF,8,FALSE),
IF(Investment_Strategy ="DIY",DIY_RateofReturn_SP,
"Error")))))),Max_InvReturn)</f>
        <v>0</v>
      </c>
      <c r="M619" s="62">
        <f>IF($AV619=0,0,
IF(Investment_Strategy="DIS",VLOOKUP(Investment_Strategy&amp;"_"&amp;Investment_Strategy_Sub1&amp;"_"&amp;$A619,'Investment Strategies'!$AZ:$BP,15,FALSE),
IF(AND(Investment_Strategy="Lifecycle",Investment_Strategy_Sub1="Non-Standard"),VLOOKUP(Investment_Strategy&amp;"_"&amp;Investment_Strategy_Sub2&amp;"_"&amp;$A619,'Investment Strategies'!$C:$P,12,FALSE),
IF(AND(Investment_Strategy="Lifecycle",Investment_Strategy_Sub1="Standard"),VLOOKUP(Investment_Strategy&amp;"_"&amp;Investment_Strategy_Sub2&amp;"_"&amp;$A619,'Investment Strategies'!$AJ:$AV,11,FALSE),
IF(AND(Investment_Strategy="Autopilot",Investment_Strategy_Sub1="Non-Standard"),VLOOKUP(Investment_Strategy&amp;"_"&amp;Investment_Strategy_Sub2&amp;"_"&amp;$A619,'Investment Strategies'!$T:$AF,11,FALSE),
IF(Investment_Strategy="DIY",DIY_GteeChrge_SP,
"Error"))))))</f>
        <v>0</v>
      </c>
      <c r="N619" s="33">
        <f>IF($AV619=0,0,
IF(Investment_Strategy="DIS",VLOOKUP(Investment_Strategy&amp;"_"&amp;Investment_Strategy_Sub1&amp;"_"&amp;$A619,'Investment Strategies'!$AZ:$BP,17,FALSE),
IF(AND(Investment_Strategy="Lifecycle",Investment_Strategy_Sub1="Non-Standard"),VLOOKUP(Investment_Strategy&amp;"_"&amp;Investment_Strategy_Sub2&amp;"_"&amp;$A619,'Investment Strategies'!$C:$P,14,FALSE),
IF(AND(Investment_Strategy="Lifecycle",Investment_Strategy_Sub1="Standard"),VLOOKUP(Investment_Strategy&amp;"_"&amp;Investment_Strategy_Sub2&amp;"_"&amp;$A619,'Investment Strategies'!$AJ:$AV,13,FALSE),
IF(AND(Investment_Strategy="Autopilot",Investment_Strategy_Sub1="Non-Standard"),VLOOKUP(Investment_Strategy&amp;"_"&amp;Investment_Strategy_Sub2&amp;"_"&amp;$A619,'Investment Strategies'!$T:$AF,13,FALSE),
IF(Investment_Strategy="DIY",DIY_ExtManChrge_SP,
"Error"))))))</f>
        <v>0</v>
      </c>
      <c r="O619" s="16">
        <f t="shared" si="372"/>
        <v>0</v>
      </c>
      <c r="Q619" s="16">
        <f t="shared" si="349"/>
        <v>0</v>
      </c>
      <c r="R619" s="16">
        <f t="shared" si="345"/>
        <v>0</v>
      </c>
      <c r="S619" s="16">
        <f>(SRP_SP+SUM(S$91:S618))*L619*IF(D619=$A$91,SRP_finalmonthfactor,1)</f>
        <v>0</v>
      </c>
      <c r="T619" s="74">
        <f>MIN(IF($AV619=0,0,
IF(Investment_Strategy="DIS",VLOOKUP(Investment_Strategy&amp;"_"&amp;Investment_Strategy_Sub1&amp;"_"&amp;$A619,'Investment Strategies'!$AZ:$BP,12,FALSE),
IF(AND(Investment_Strategy="Lifecycle",Investment_Strategy_Sub1="Non-Standard"),VLOOKUP(Investment_Strategy&amp;"_"&amp;Investment_Strategy_Sub2&amp;"_"&amp;$A619,'Investment Strategies'!$C:$P,9,FALSE),
IF(AND(Investment_Strategy="Lifecycle",Investment_Strategy_Sub1="Standard"),VLOOKUP(Investment_Strategy&amp;"_"&amp;Investment_Strategy_Sub2&amp;"_"&amp;$A619,'Investment Strategies'!$AJ:$AV,8,FALSE),
IF(AND(Investment_Strategy="Autopilot",Investment_Strategy_Sub1="Non-Standard"),VLOOKUP(Investment_Strategy&amp;"_"&amp;Investment_Strategy_Sub2&amp;"_"&amp;$A619,'Investment Strategies'!$T:$AF,8,FALSE),
IF(Investment_Strategy ="DIY",DIY_RateOfReturn_FuturePremiums,
"Error")))))),Max_InvReturn)</f>
        <v>0</v>
      </c>
      <c r="U619" s="62">
        <f>IF($AV619=0,0,
IF(Investment_Strategy="DIS",VLOOKUP(Investment_Strategy&amp;"_"&amp;Investment_Strategy_Sub1&amp;"_"&amp;$A619,'Investment Strategies'!$AZ:$BP,15,FALSE),
IF(AND(Investment_Strategy="Lifecycle",Investment_Strategy_Sub1="Non-Standard"),VLOOKUP(Investment_Strategy&amp;"_"&amp;Investment_Strategy_Sub2&amp;"_"&amp;$A619,'Investment Strategies'!$C:$P,12,FALSE),
IF(AND(Investment_Strategy="Lifecycle",Investment_Strategy_Sub1="Standard"),VLOOKUP(Investment_Strategy&amp;"_"&amp;Investment_Strategy_Sub2&amp;"_"&amp;$A619,'Investment Strategies'!$AJ:$AV,11,FALSE),
IF(AND(Investment_Strategy="Autopilot",Investment_Strategy_Sub1="Non-Standard"),VLOOKUP(Investment_Strategy&amp;"_"&amp;Investment_Strategy_Sub2&amp;"_"&amp;$A619,'Investment Strategies'!$T:$AF,11,FALSE),
IF(Investment_Strategy="DIY",DIY_GteeChrge_FuturePremiums,
"Error"))))))</f>
        <v>0</v>
      </c>
      <c r="V619" s="33">
        <f>IF(AV619=0,0,
IF(Investment_Strategy="DIS",VLOOKUP(Investment_Strategy&amp;"_"&amp;Investment_Strategy_Sub1&amp;"_"&amp;$A619,'Investment Strategies'!$AZ:$BP,17,FALSE),
IF(AND(Investment_Strategy="Lifecycle",Investment_Strategy_Sub1="Non-Standard"),VLOOKUP(Investment_Strategy&amp;"_"&amp;Investment_Strategy_Sub2&amp;"_"&amp;$A619,'Investment Strategies'!$C:$P,14,FALSE),
IF(AND(Investment_Strategy="Lifecycle",Investment_Strategy_Sub1="Standard"),VLOOKUP(Investment_Strategy&amp;"_"&amp;Investment_Strategy_Sub2&amp;"_"&amp;$A619,'Investment Strategies'!$AJ:$AV,13,FALSE),
IF(AND(Investment_Strategy="Autopilot",Investment_Strategy_Sub1="Non-Standard"),VLOOKUP(Investment_Strategy&amp;"_"&amp;Investment_Strategy_Sub2&amp;"_"&amp;$A619,'Investment Strategies'!$T:$AF,13,FALSE),
IF(Investment_Strategy="DIY",DIY_ExtManChrge_FuturePremiums,
"Error"))))))</f>
        <v>0</v>
      </c>
      <c r="W619" s="16">
        <f t="shared" si="373"/>
        <v>0</v>
      </c>
      <c r="X619" s="16">
        <f t="shared" si="350"/>
        <v>0</v>
      </c>
      <c r="Y619" s="16">
        <f t="shared" si="351"/>
        <v>0</v>
      </c>
      <c r="Z619" s="31">
        <f t="shared" si="352"/>
        <v>0.02</v>
      </c>
      <c r="AA619" s="16">
        <f t="shared" si="353"/>
        <v>0</v>
      </c>
      <c r="AB619" s="28">
        <f t="shared" si="374"/>
        <v>0</v>
      </c>
      <c r="AC619" s="28">
        <f>(SUM($AC$91:AC618)+SUM($X$91:X618)+X619)*T619*IF(D619=$A$91,SRP_finalmonthfactor,1)</f>
        <v>0</v>
      </c>
      <c r="AD619" s="16">
        <f t="shared" si="354"/>
        <v>0</v>
      </c>
      <c r="AE619" s="106"/>
      <c r="AF619" s="16">
        <f t="shared" si="362"/>
        <v>0</v>
      </c>
      <c r="AG619" s="16">
        <f t="shared" si="363"/>
        <v>0</v>
      </c>
      <c r="AH619" s="16">
        <f t="shared" si="364"/>
        <v>0</v>
      </c>
      <c r="AJ619" s="13">
        <f t="shared" si="375"/>
        <v>0</v>
      </c>
      <c r="AK619" s="13">
        <f t="shared" si="375"/>
        <v>0</v>
      </c>
      <c r="AL619" s="13">
        <f t="shared" si="375"/>
        <v>0</v>
      </c>
      <c r="AM619" s="13">
        <f t="shared" si="375"/>
        <v>0</v>
      </c>
      <c r="AN619" s="13">
        <f t="shared" si="375"/>
        <v>0</v>
      </c>
      <c r="AO619" s="13">
        <f t="shared" si="375"/>
        <v>1</v>
      </c>
      <c r="AP619" s="13">
        <f t="shared" si="375"/>
        <v>1</v>
      </c>
      <c r="AQ619" s="13">
        <f t="shared" si="375"/>
        <v>1</v>
      </c>
      <c r="AR619" s="13">
        <f t="shared" si="375"/>
        <v>0</v>
      </c>
      <c r="AS619" s="13">
        <f t="shared" si="375"/>
        <v>0</v>
      </c>
      <c r="AT619" s="13">
        <f t="shared" si="375"/>
        <v>0</v>
      </c>
      <c r="AU619" s="13">
        <f t="shared" si="375"/>
        <v>0</v>
      </c>
      <c r="AV619" s="13">
        <f t="shared" si="355"/>
        <v>0</v>
      </c>
      <c r="AW619" s="13">
        <f t="shared" si="356"/>
        <v>1</v>
      </c>
      <c r="AY619" s="17">
        <f t="shared" si="357"/>
        <v>529</v>
      </c>
      <c r="AZ619" s="28">
        <f t="shared" si="365"/>
        <v>0</v>
      </c>
      <c r="BA619" s="13">
        <f t="shared" si="358"/>
        <v>0</v>
      </c>
      <c r="BB619" s="13">
        <f t="shared" si="359"/>
        <v>0</v>
      </c>
      <c r="BC619" s="28">
        <f t="shared" si="366"/>
        <v>0</v>
      </c>
      <c r="BD619" s="28">
        <f t="shared" si="367"/>
        <v>0</v>
      </c>
      <c r="BF619" s="248">
        <f t="shared" si="368"/>
        <v>993869.29442638322</v>
      </c>
    </row>
    <row r="620" spans="1:58">
      <c r="A620" s="32">
        <f t="shared" si="369"/>
        <v>-445</v>
      </c>
      <c r="B620" s="32">
        <f t="shared" si="360"/>
        <v>97</v>
      </c>
      <c r="C620" s="32">
        <f t="shared" si="370"/>
        <v>45</v>
      </c>
      <c r="D620" s="32">
        <f t="shared" si="371"/>
        <v>530</v>
      </c>
      <c r="E620" s="74">
        <f>MIN(IF(AV620=0,0,
IF(Investment_Strategy="DIS",VLOOKUP(Investment_Strategy&amp;"_"&amp;Investment_Strategy_Sub1&amp;"_"&amp;$A620,'Investment Strategies'!$AZ:$BP,12,FALSE),
IF(AND(Investment_Strategy="Lifecycle",Investment_Strategy_Sub1="Non-Standard"),VLOOKUP(Investment_Strategy&amp;"_"&amp;Investment_Strategy_Sub2&amp;"_"&amp;$A620,'Investment Strategies'!$C:$P,9,FALSE),
IF(AND(Investment_Strategy="Lifecycle",Investment_Strategy_Sub1="Standard"),VLOOKUP(Investment_Strategy&amp;"_"&amp;Investment_Strategy_Sub2&amp;"_"&amp;$A620,'Investment Strategies'!$AJ:$AV,8,FALSE),
IF(AND(Investment_Strategy="Autopilot",Investment_Strategy_Sub1="Non-Standard"),VLOOKUP(Investment_Strategy&amp;"_"&amp;Investment_Strategy_Sub2&amp;"_"&amp;$A620,'Investment Strategies'!$T:$AF,8,FALSE),
IF(Investment_Strategy ="DIY",DIY_RateOfReturn_CurrentFunds,
"Error")))))),Max_InvReturn)</f>
        <v>0</v>
      </c>
      <c r="F620" s="62">
        <f>IF(AV620=0,0,
IF(Investment_Strategy="DIS",VLOOKUP(Investment_Strategy&amp;"_"&amp;Investment_Strategy_Sub1&amp;"_"&amp;$A620,'Investment Strategies'!$AZ:$BP,15,FALSE),
IF(AND(Investment_Strategy="Lifecycle",Investment_Strategy_Sub1="Non-Standard"),VLOOKUP(Investment_Strategy&amp;"_"&amp;Investment_Strategy_Sub2&amp;"_"&amp;$A620,'Investment Strategies'!$C:$P,12,FALSE),
IF(AND(Investment_Strategy="Lifecycle",Investment_Strategy_Sub1="Standard"),VLOOKUP(Investment_Strategy&amp;"_"&amp;Investment_Strategy_Sub2&amp;"_"&amp;$A620,'Investment Strategies'!$AJ:$AV,11,FALSE),
IF(AND(Investment_Strategy="Autopilot",Investment_Strategy_Sub1="Non-Standard"),VLOOKUP(Investment_Strategy&amp;"_"&amp;Investment_Strategy_Sub2&amp;"_"&amp;$A620,'Investment Strategies'!$T:$AF,11,FALSE),
IF(Investment_Strategy="DIY",DIY_GteeChrge_CurrentFunds,
"Error"))))))</f>
        <v>0</v>
      </c>
      <c r="G620" s="33">
        <f>IF(AV620=0,0,
IF(Investment_Strategy="DIS",VLOOKUP(Investment_Strategy&amp;"_"&amp;Investment_Strategy_Sub1&amp;"_"&amp;$A620,'Investment Strategies'!$AZ:$BP,17,FALSE),
IF(AND(Investment_Strategy="Lifecycle",Investment_Strategy_Sub1="Non-Standard"),VLOOKUP(Investment_Strategy&amp;"_"&amp;Investment_Strategy_Sub2&amp;"_"&amp;$A620,'Investment Strategies'!$C:$P,14,FALSE),
IF(AND(Investment_Strategy="Lifecycle",Investment_Strategy_Sub1="Standard"),VLOOKUP(Investment_Strategy&amp;"_"&amp;Investment_Strategy_Sub2&amp;"_"&amp;$A620,'Investment Strategies'!$AJ:$AV,13,FALSE),
IF(AND(Investment_Strategy="Autopilot",Investment_Strategy_Sub1="Non-Standard"),VLOOKUP(Investment_Strategy&amp;"_"&amp;Investment_Strategy_Sub2&amp;"_"&amp;$A620,'Investment Strategies'!$T:$AF,13,FALSE),
IF(Investment_Strategy="DIY",DIY_ExtManChrge_CurrentFunds,
"Error"))))))</f>
        <v>0</v>
      </c>
      <c r="H620" s="16">
        <f t="shared" si="361"/>
        <v>0</v>
      </c>
      <c r="I620" s="16">
        <f t="shared" si="347"/>
        <v>0</v>
      </c>
      <c r="J620" s="16">
        <f t="shared" si="348"/>
        <v>0</v>
      </c>
      <c r="K620" s="16">
        <f>(Opening_Fund_Value+SUM(K$91:K619))*E620*IF(D620=$A$91,SRP_finalmonthfactor,1)</f>
        <v>0</v>
      </c>
      <c r="L620" s="74">
        <f>MIN(IF($AV620=0,0,
IF(Investment_Strategy="DIS",VLOOKUP(Investment_Strategy&amp;"_"&amp;Investment_Strategy_Sub1&amp;"_"&amp;$A620,'Investment Strategies'!$AZ:$BP,12,FALSE),
IF(AND(Investment_Strategy="Lifecycle",Investment_Strategy_Sub1="Non-Standard"),VLOOKUP(Investment_Strategy&amp;"_"&amp;Investment_Strategy_Sub2&amp;"_"&amp;$A620,'Investment Strategies'!$C:$P,9,FALSE),
IF(AND(Investment_Strategy="Lifecycle",Investment_Strategy_Sub1="Standard"),VLOOKUP(Investment_Strategy&amp;"_"&amp;Investment_Strategy_Sub2&amp;"_"&amp;$A620,'Investment Strategies'!$AJ:$AV,8,FALSE),
IF(AND(Investment_Strategy="Autopilot",Investment_Strategy_Sub1="Non-Standard"),VLOOKUP(Investment_Strategy&amp;"_"&amp;Investment_Strategy_Sub2&amp;"_"&amp;$A620,'Investment Strategies'!$T:$AF,8,FALSE),
IF(Investment_Strategy ="DIY",DIY_RateofReturn_SP,
"Error")))))),Max_InvReturn)</f>
        <v>0</v>
      </c>
      <c r="M620" s="62">
        <f>IF($AV620=0,0,
IF(Investment_Strategy="DIS",VLOOKUP(Investment_Strategy&amp;"_"&amp;Investment_Strategy_Sub1&amp;"_"&amp;$A620,'Investment Strategies'!$AZ:$BP,15,FALSE),
IF(AND(Investment_Strategy="Lifecycle",Investment_Strategy_Sub1="Non-Standard"),VLOOKUP(Investment_Strategy&amp;"_"&amp;Investment_Strategy_Sub2&amp;"_"&amp;$A620,'Investment Strategies'!$C:$P,12,FALSE),
IF(AND(Investment_Strategy="Lifecycle",Investment_Strategy_Sub1="Standard"),VLOOKUP(Investment_Strategy&amp;"_"&amp;Investment_Strategy_Sub2&amp;"_"&amp;$A620,'Investment Strategies'!$AJ:$AV,11,FALSE),
IF(AND(Investment_Strategy="Autopilot",Investment_Strategy_Sub1="Non-Standard"),VLOOKUP(Investment_Strategy&amp;"_"&amp;Investment_Strategy_Sub2&amp;"_"&amp;$A620,'Investment Strategies'!$T:$AF,11,FALSE),
IF(Investment_Strategy="DIY",DIY_GteeChrge_SP,
"Error"))))))</f>
        <v>0</v>
      </c>
      <c r="N620" s="33">
        <f>IF($AV620=0,0,
IF(Investment_Strategy="DIS",VLOOKUP(Investment_Strategy&amp;"_"&amp;Investment_Strategy_Sub1&amp;"_"&amp;$A620,'Investment Strategies'!$AZ:$BP,17,FALSE),
IF(AND(Investment_Strategy="Lifecycle",Investment_Strategy_Sub1="Non-Standard"),VLOOKUP(Investment_Strategy&amp;"_"&amp;Investment_Strategy_Sub2&amp;"_"&amp;$A620,'Investment Strategies'!$C:$P,14,FALSE),
IF(AND(Investment_Strategy="Lifecycle",Investment_Strategy_Sub1="Standard"),VLOOKUP(Investment_Strategy&amp;"_"&amp;Investment_Strategy_Sub2&amp;"_"&amp;$A620,'Investment Strategies'!$AJ:$AV,13,FALSE),
IF(AND(Investment_Strategy="Autopilot",Investment_Strategy_Sub1="Non-Standard"),VLOOKUP(Investment_Strategy&amp;"_"&amp;Investment_Strategy_Sub2&amp;"_"&amp;$A620,'Investment Strategies'!$T:$AF,13,FALSE),
IF(Investment_Strategy="DIY",DIY_ExtManChrge_SP,
"Error"))))))</f>
        <v>0</v>
      </c>
      <c r="O620" s="16">
        <f t="shared" si="372"/>
        <v>0</v>
      </c>
      <c r="Q620" s="16">
        <f t="shared" si="349"/>
        <v>0</v>
      </c>
      <c r="R620" s="16">
        <f t="shared" si="345"/>
        <v>0</v>
      </c>
      <c r="S620" s="16">
        <f>(SRP_SP+SUM(S$91:S619))*L620*IF(D620=$A$91,SRP_finalmonthfactor,1)</f>
        <v>0</v>
      </c>
      <c r="T620" s="74">
        <f>MIN(IF($AV620=0,0,
IF(Investment_Strategy="DIS",VLOOKUP(Investment_Strategy&amp;"_"&amp;Investment_Strategy_Sub1&amp;"_"&amp;$A620,'Investment Strategies'!$AZ:$BP,12,FALSE),
IF(AND(Investment_Strategy="Lifecycle",Investment_Strategy_Sub1="Non-Standard"),VLOOKUP(Investment_Strategy&amp;"_"&amp;Investment_Strategy_Sub2&amp;"_"&amp;$A620,'Investment Strategies'!$C:$P,9,FALSE),
IF(AND(Investment_Strategy="Lifecycle",Investment_Strategy_Sub1="Standard"),VLOOKUP(Investment_Strategy&amp;"_"&amp;Investment_Strategy_Sub2&amp;"_"&amp;$A620,'Investment Strategies'!$AJ:$AV,8,FALSE),
IF(AND(Investment_Strategy="Autopilot",Investment_Strategy_Sub1="Non-Standard"),VLOOKUP(Investment_Strategy&amp;"_"&amp;Investment_Strategy_Sub2&amp;"_"&amp;$A620,'Investment Strategies'!$T:$AF,8,FALSE),
IF(Investment_Strategy ="DIY",DIY_RateOfReturn_FuturePremiums,
"Error")))))),Max_InvReturn)</f>
        <v>0</v>
      </c>
      <c r="U620" s="62">
        <f>IF($AV620=0,0,
IF(Investment_Strategy="DIS",VLOOKUP(Investment_Strategy&amp;"_"&amp;Investment_Strategy_Sub1&amp;"_"&amp;$A620,'Investment Strategies'!$AZ:$BP,15,FALSE),
IF(AND(Investment_Strategy="Lifecycle",Investment_Strategy_Sub1="Non-Standard"),VLOOKUP(Investment_Strategy&amp;"_"&amp;Investment_Strategy_Sub2&amp;"_"&amp;$A620,'Investment Strategies'!$C:$P,12,FALSE),
IF(AND(Investment_Strategy="Lifecycle",Investment_Strategy_Sub1="Standard"),VLOOKUP(Investment_Strategy&amp;"_"&amp;Investment_Strategy_Sub2&amp;"_"&amp;$A620,'Investment Strategies'!$AJ:$AV,11,FALSE),
IF(AND(Investment_Strategy="Autopilot",Investment_Strategy_Sub1="Non-Standard"),VLOOKUP(Investment_Strategy&amp;"_"&amp;Investment_Strategy_Sub2&amp;"_"&amp;$A620,'Investment Strategies'!$T:$AF,11,FALSE),
IF(Investment_Strategy="DIY",DIY_GteeChrge_FuturePremiums,
"Error"))))))</f>
        <v>0</v>
      </c>
      <c r="V620" s="33">
        <f>IF(AV620=0,0,
IF(Investment_Strategy="DIS",VLOOKUP(Investment_Strategy&amp;"_"&amp;Investment_Strategy_Sub1&amp;"_"&amp;$A620,'Investment Strategies'!$AZ:$BP,17,FALSE),
IF(AND(Investment_Strategy="Lifecycle",Investment_Strategy_Sub1="Non-Standard"),VLOOKUP(Investment_Strategy&amp;"_"&amp;Investment_Strategy_Sub2&amp;"_"&amp;$A620,'Investment Strategies'!$C:$P,14,FALSE),
IF(AND(Investment_Strategy="Lifecycle",Investment_Strategy_Sub1="Standard"),VLOOKUP(Investment_Strategy&amp;"_"&amp;Investment_Strategy_Sub2&amp;"_"&amp;$A620,'Investment Strategies'!$AJ:$AV,13,FALSE),
IF(AND(Investment_Strategy="Autopilot",Investment_Strategy_Sub1="Non-Standard"),VLOOKUP(Investment_Strategy&amp;"_"&amp;Investment_Strategy_Sub2&amp;"_"&amp;$A620,'Investment Strategies'!$T:$AF,13,FALSE),
IF(Investment_Strategy="DIY",DIY_ExtManChrge_FuturePremiums,
"Error"))))))</f>
        <v>0</v>
      </c>
      <c r="W620" s="16">
        <f t="shared" si="373"/>
        <v>0</v>
      </c>
      <c r="X620" s="16">
        <f t="shared" si="350"/>
        <v>0</v>
      </c>
      <c r="Y620" s="16">
        <f t="shared" si="351"/>
        <v>0</v>
      </c>
      <c r="Z620" s="31">
        <f t="shared" si="352"/>
        <v>0.02</v>
      </c>
      <c r="AA620" s="16">
        <f t="shared" si="353"/>
        <v>0</v>
      </c>
      <c r="AB620" s="28">
        <f t="shared" si="374"/>
        <v>0</v>
      </c>
      <c r="AC620" s="28">
        <f>(SUM($AC$91:AC619)+SUM($X$91:X619)+X620)*T620*IF(D620=$A$91,SRP_finalmonthfactor,1)</f>
        <v>0</v>
      </c>
      <c r="AD620" s="16">
        <f t="shared" si="354"/>
        <v>0</v>
      </c>
      <c r="AE620" s="106"/>
      <c r="AF620" s="16">
        <f t="shared" si="362"/>
        <v>0</v>
      </c>
      <c r="AG620" s="16">
        <f t="shared" si="363"/>
        <v>0</v>
      </c>
      <c r="AH620" s="16">
        <f t="shared" si="364"/>
        <v>0</v>
      </c>
      <c r="AJ620" s="13">
        <f t="shared" si="375"/>
        <v>0</v>
      </c>
      <c r="AK620" s="13">
        <f t="shared" si="375"/>
        <v>0</v>
      </c>
      <c r="AL620" s="13">
        <f t="shared" si="375"/>
        <v>0</v>
      </c>
      <c r="AM620" s="13">
        <f t="shared" si="375"/>
        <v>0</v>
      </c>
      <c r="AN620" s="13">
        <f t="shared" si="375"/>
        <v>0</v>
      </c>
      <c r="AO620" s="13">
        <f t="shared" si="375"/>
        <v>1</v>
      </c>
      <c r="AP620" s="13">
        <f t="shared" si="375"/>
        <v>1</v>
      </c>
      <c r="AQ620" s="13">
        <f t="shared" si="375"/>
        <v>1</v>
      </c>
      <c r="AR620" s="13">
        <f t="shared" si="375"/>
        <v>0</v>
      </c>
      <c r="AS620" s="13">
        <f t="shared" si="375"/>
        <v>0</v>
      </c>
      <c r="AT620" s="13">
        <f t="shared" si="375"/>
        <v>0</v>
      </c>
      <c r="AU620" s="13">
        <f t="shared" si="375"/>
        <v>0</v>
      </c>
      <c r="AV620" s="13">
        <f t="shared" si="355"/>
        <v>0</v>
      </c>
      <c r="AW620" s="13">
        <f t="shared" si="356"/>
        <v>1</v>
      </c>
      <c r="AY620" s="17">
        <f t="shared" si="357"/>
        <v>530</v>
      </c>
      <c r="AZ620" s="28">
        <f t="shared" si="365"/>
        <v>0</v>
      </c>
      <c r="BA620" s="13">
        <f t="shared" si="358"/>
        <v>0</v>
      </c>
      <c r="BB620" s="13">
        <f t="shared" si="359"/>
        <v>0</v>
      </c>
      <c r="BC620" s="28">
        <f t="shared" si="366"/>
        <v>0</v>
      </c>
      <c r="BD620" s="28">
        <f t="shared" si="367"/>
        <v>0</v>
      </c>
      <c r="BF620" s="248">
        <f t="shared" si="368"/>
        <v>993869.29442638322</v>
      </c>
    </row>
    <row r="621" spans="1:58">
      <c r="A621" s="32">
        <f t="shared" si="369"/>
        <v>-446</v>
      </c>
      <c r="B621" s="32">
        <f t="shared" si="360"/>
        <v>97</v>
      </c>
      <c r="C621" s="32">
        <f t="shared" si="370"/>
        <v>45</v>
      </c>
      <c r="D621" s="32">
        <f t="shared" si="371"/>
        <v>531</v>
      </c>
      <c r="E621" s="74">
        <f>MIN(IF(AV621=0,0,
IF(Investment_Strategy="DIS",VLOOKUP(Investment_Strategy&amp;"_"&amp;Investment_Strategy_Sub1&amp;"_"&amp;$A621,'Investment Strategies'!$AZ:$BP,12,FALSE),
IF(AND(Investment_Strategy="Lifecycle",Investment_Strategy_Sub1="Non-Standard"),VLOOKUP(Investment_Strategy&amp;"_"&amp;Investment_Strategy_Sub2&amp;"_"&amp;$A621,'Investment Strategies'!$C:$P,9,FALSE),
IF(AND(Investment_Strategy="Lifecycle",Investment_Strategy_Sub1="Standard"),VLOOKUP(Investment_Strategy&amp;"_"&amp;Investment_Strategy_Sub2&amp;"_"&amp;$A621,'Investment Strategies'!$AJ:$AV,8,FALSE),
IF(AND(Investment_Strategy="Autopilot",Investment_Strategy_Sub1="Non-Standard"),VLOOKUP(Investment_Strategy&amp;"_"&amp;Investment_Strategy_Sub2&amp;"_"&amp;$A621,'Investment Strategies'!$T:$AF,8,FALSE),
IF(Investment_Strategy ="DIY",DIY_RateOfReturn_CurrentFunds,
"Error")))))),Max_InvReturn)</f>
        <v>0</v>
      </c>
      <c r="F621" s="62">
        <f>IF(AV621=0,0,
IF(Investment_Strategy="DIS",VLOOKUP(Investment_Strategy&amp;"_"&amp;Investment_Strategy_Sub1&amp;"_"&amp;$A621,'Investment Strategies'!$AZ:$BP,15,FALSE),
IF(AND(Investment_Strategy="Lifecycle",Investment_Strategy_Sub1="Non-Standard"),VLOOKUP(Investment_Strategy&amp;"_"&amp;Investment_Strategy_Sub2&amp;"_"&amp;$A621,'Investment Strategies'!$C:$P,12,FALSE),
IF(AND(Investment_Strategy="Lifecycle",Investment_Strategy_Sub1="Standard"),VLOOKUP(Investment_Strategy&amp;"_"&amp;Investment_Strategy_Sub2&amp;"_"&amp;$A621,'Investment Strategies'!$AJ:$AV,11,FALSE),
IF(AND(Investment_Strategy="Autopilot",Investment_Strategy_Sub1="Non-Standard"),VLOOKUP(Investment_Strategy&amp;"_"&amp;Investment_Strategy_Sub2&amp;"_"&amp;$A621,'Investment Strategies'!$T:$AF,11,FALSE),
IF(Investment_Strategy="DIY",DIY_GteeChrge_CurrentFunds,
"Error"))))))</f>
        <v>0</v>
      </c>
      <c r="G621" s="33">
        <f>IF(AV621=0,0,
IF(Investment_Strategy="DIS",VLOOKUP(Investment_Strategy&amp;"_"&amp;Investment_Strategy_Sub1&amp;"_"&amp;$A621,'Investment Strategies'!$AZ:$BP,17,FALSE),
IF(AND(Investment_Strategy="Lifecycle",Investment_Strategy_Sub1="Non-Standard"),VLOOKUP(Investment_Strategy&amp;"_"&amp;Investment_Strategy_Sub2&amp;"_"&amp;$A621,'Investment Strategies'!$C:$P,14,FALSE),
IF(AND(Investment_Strategy="Lifecycle",Investment_Strategy_Sub1="Standard"),VLOOKUP(Investment_Strategy&amp;"_"&amp;Investment_Strategy_Sub2&amp;"_"&amp;$A621,'Investment Strategies'!$AJ:$AV,13,FALSE),
IF(AND(Investment_Strategy="Autopilot",Investment_Strategy_Sub1="Non-Standard"),VLOOKUP(Investment_Strategy&amp;"_"&amp;Investment_Strategy_Sub2&amp;"_"&amp;$A621,'Investment Strategies'!$T:$AF,13,FALSE),
IF(Investment_Strategy="DIY",DIY_ExtManChrge_CurrentFunds,
"Error"))))))</f>
        <v>0</v>
      </c>
      <c r="H621" s="16">
        <f t="shared" si="361"/>
        <v>0</v>
      </c>
      <c r="I621" s="16">
        <f t="shared" si="347"/>
        <v>0</v>
      </c>
      <c r="J621" s="16">
        <f t="shared" si="348"/>
        <v>0</v>
      </c>
      <c r="K621" s="16">
        <f>(Opening_Fund_Value+SUM(K$91:K620))*E621*IF(D621=$A$91,SRP_finalmonthfactor,1)</f>
        <v>0</v>
      </c>
      <c r="L621" s="74">
        <f>MIN(IF($AV621=0,0,
IF(Investment_Strategy="DIS",VLOOKUP(Investment_Strategy&amp;"_"&amp;Investment_Strategy_Sub1&amp;"_"&amp;$A621,'Investment Strategies'!$AZ:$BP,12,FALSE),
IF(AND(Investment_Strategy="Lifecycle",Investment_Strategy_Sub1="Non-Standard"),VLOOKUP(Investment_Strategy&amp;"_"&amp;Investment_Strategy_Sub2&amp;"_"&amp;$A621,'Investment Strategies'!$C:$P,9,FALSE),
IF(AND(Investment_Strategy="Lifecycle",Investment_Strategy_Sub1="Standard"),VLOOKUP(Investment_Strategy&amp;"_"&amp;Investment_Strategy_Sub2&amp;"_"&amp;$A621,'Investment Strategies'!$AJ:$AV,8,FALSE),
IF(AND(Investment_Strategy="Autopilot",Investment_Strategy_Sub1="Non-Standard"),VLOOKUP(Investment_Strategy&amp;"_"&amp;Investment_Strategy_Sub2&amp;"_"&amp;$A621,'Investment Strategies'!$T:$AF,8,FALSE),
IF(Investment_Strategy ="DIY",DIY_RateofReturn_SP,
"Error")))))),Max_InvReturn)</f>
        <v>0</v>
      </c>
      <c r="M621" s="62">
        <f>IF($AV621=0,0,
IF(Investment_Strategy="DIS",VLOOKUP(Investment_Strategy&amp;"_"&amp;Investment_Strategy_Sub1&amp;"_"&amp;$A621,'Investment Strategies'!$AZ:$BP,15,FALSE),
IF(AND(Investment_Strategy="Lifecycle",Investment_Strategy_Sub1="Non-Standard"),VLOOKUP(Investment_Strategy&amp;"_"&amp;Investment_Strategy_Sub2&amp;"_"&amp;$A621,'Investment Strategies'!$C:$P,12,FALSE),
IF(AND(Investment_Strategy="Lifecycle",Investment_Strategy_Sub1="Standard"),VLOOKUP(Investment_Strategy&amp;"_"&amp;Investment_Strategy_Sub2&amp;"_"&amp;$A621,'Investment Strategies'!$AJ:$AV,11,FALSE),
IF(AND(Investment_Strategy="Autopilot",Investment_Strategy_Sub1="Non-Standard"),VLOOKUP(Investment_Strategy&amp;"_"&amp;Investment_Strategy_Sub2&amp;"_"&amp;$A621,'Investment Strategies'!$T:$AF,11,FALSE),
IF(Investment_Strategy="DIY",DIY_GteeChrge_SP,
"Error"))))))</f>
        <v>0</v>
      </c>
      <c r="N621" s="33">
        <f>IF($AV621=0,0,
IF(Investment_Strategy="DIS",VLOOKUP(Investment_Strategy&amp;"_"&amp;Investment_Strategy_Sub1&amp;"_"&amp;$A621,'Investment Strategies'!$AZ:$BP,17,FALSE),
IF(AND(Investment_Strategy="Lifecycle",Investment_Strategy_Sub1="Non-Standard"),VLOOKUP(Investment_Strategy&amp;"_"&amp;Investment_Strategy_Sub2&amp;"_"&amp;$A621,'Investment Strategies'!$C:$P,14,FALSE),
IF(AND(Investment_Strategy="Lifecycle",Investment_Strategy_Sub1="Standard"),VLOOKUP(Investment_Strategy&amp;"_"&amp;Investment_Strategy_Sub2&amp;"_"&amp;$A621,'Investment Strategies'!$AJ:$AV,13,FALSE),
IF(AND(Investment_Strategy="Autopilot",Investment_Strategy_Sub1="Non-Standard"),VLOOKUP(Investment_Strategy&amp;"_"&amp;Investment_Strategy_Sub2&amp;"_"&amp;$A621,'Investment Strategies'!$T:$AF,13,FALSE),
IF(Investment_Strategy="DIY",DIY_ExtManChrge_SP,
"Error"))))))</f>
        <v>0</v>
      </c>
      <c r="O621" s="16">
        <f t="shared" si="372"/>
        <v>0</v>
      </c>
      <c r="Q621" s="16">
        <f t="shared" si="349"/>
        <v>0</v>
      </c>
      <c r="R621" s="16">
        <f t="shared" si="345"/>
        <v>0</v>
      </c>
      <c r="S621" s="16">
        <f>(SRP_SP+SUM(S$91:S620))*L621*IF(D621=$A$91,SRP_finalmonthfactor,1)</f>
        <v>0</v>
      </c>
      <c r="T621" s="74">
        <f>MIN(IF($AV621=0,0,
IF(Investment_Strategy="DIS",VLOOKUP(Investment_Strategy&amp;"_"&amp;Investment_Strategy_Sub1&amp;"_"&amp;$A621,'Investment Strategies'!$AZ:$BP,12,FALSE),
IF(AND(Investment_Strategy="Lifecycle",Investment_Strategy_Sub1="Non-Standard"),VLOOKUP(Investment_Strategy&amp;"_"&amp;Investment_Strategy_Sub2&amp;"_"&amp;$A621,'Investment Strategies'!$C:$P,9,FALSE),
IF(AND(Investment_Strategy="Lifecycle",Investment_Strategy_Sub1="Standard"),VLOOKUP(Investment_Strategy&amp;"_"&amp;Investment_Strategy_Sub2&amp;"_"&amp;$A621,'Investment Strategies'!$AJ:$AV,8,FALSE),
IF(AND(Investment_Strategy="Autopilot",Investment_Strategy_Sub1="Non-Standard"),VLOOKUP(Investment_Strategy&amp;"_"&amp;Investment_Strategy_Sub2&amp;"_"&amp;$A621,'Investment Strategies'!$T:$AF,8,FALSE),
IF(Investment_Strategy ="DIY",DIY_RateOfReturn_FuturePremiums,
"Error")))))),Max_InvReturn)</f>
        <v>0</v>
      </c>
      <c r="U621" s="62">
        <f>IF($AV621=0,0,
IF(Investment_Strategy="DIS",VLOOKUP(Investment_Strategy&amp;"_"&amp;Investment_Strategy_Sub1&amp;"_"&amp;$A621,'Investment Strategies'!$AZ:$BP,15,FALSE),
IF(AND(Investment_Strategy="Lifecycle",Investment_Strategy_Sub1="Non-Standard"),VLOOKUP(Investment_Strategy&amp;"_"&amp;Investment_Strategy_Sub2&amp;"_"&amp;$A621,'Investment Strategies'!$C:$P,12,FALSE),
IF(AND(Investment_Strategy="Lifecycle",Investment_Strategy_Sub1="Standard"),VLOOKUP(Investment_Strategy&amp;"_"&amp;Investment_Strategy_Sub2&amp;"_"&amp;$A621,'Investment Strategies'!$AJ:$AV,11,FALSE),
IF(AND(Investment_Strategy="Autopilot",Investment_Strategy_Sub1="Non-Standard"),VLOOKUP(Investment_Strategy&amp;"_"&amp;Investment_Strategy_Sub2&amp;"_"&amp;$A621,'Investment Strategies'!$T:$AF,11,FALSE),
IF(Investment_Strategy="DIY",DIY_GteeChrge_FuturePremiums,
"Error"))))))</f>
        <v>0</v>
      </c>
      <c r="V621" s="33">
        <f>IF(AV621=0,0,
IF(Investment_Strategy="DIS",VLOOKUP(Investment_Strategy&amp;"_"&amp;Investment_Strategy_Sub1&amp;"_"&amp;$A621,'Investment Strategies'!$AZ:$BP,17,FALSE),
IF(AND(Investment_Strategy="Lifecycle",Investment_Strategy_Sub1="Non-Standard"),VLOOKUP(Investment_Strategy&amp;"_"&amp;Investment_Strategy_Sub2&amp;"_"&amp;$A621,'Investment Strategies'!$C:$P,14,FALSE),
IF(AND(Investment_Strategy="Lifecycle",Investment_Strategy_Sub1="Standard"),VLOOKUP(Investment_Strategy&amp;"_"&amp;Investment_Strategy_Sub2&amp;"_"&amp;$A621,'Investment Strategies'!$AJ:$AV,13,FALSE),
IF(AND(Investment_Strategy="Autopilot",Investment_Strategy_Sub1="Non-Standard"),VLOOKUP(Investment_Strategy&amp;"_"&amp;Investment_Strategy_Sub2&amp;"_"&amp;$A621,'Investment Strategies'!$T:$AF,13,FALSE),
IF(Investment_Strategy="DIY",DIY_ExtManChrge_FuturePremiums,
"Error"))))))</f>
        <v>0</v>
      </c>
      <c r="W621" s="16">
        <f t="shared" si="373"/>
        <v>0</v>
      </c>
      <c r="X621" s="16">
        <f t="shared" si="350"/>
        <v>0</v>
      </c>
      <c r="Y621" s="16">
        <f t="shared" si="351"/>
        <v>0</v>
      </c>
      <c r="Z621" s="31">
        <f t="shared" si="352"/>
        <v>0.02</v>
      </c>
      <c r="AA621" s="16">
        <f t="shared" si="353"/>
        <v>0</v>
      </c>
      <c r="AB621" s="28">
        <f t="shared" si="374"/>
        <v>0</v>
      </c>
      <c r="AC621" s="28">
        <f>(SUM($AC$91:AC620)+SUM($X$91:X620)+X621)*T621*IF(D621=$A$91,SRP_finalmonthfactor,1)</f>
        <v>0</v>
      </c>
      <c r="AD621" s="16">
        <f t="shared" si="354"/>
        <v>0</v>
      </c>
      <c r="AE621" s="106"/>
      <c r="AF621" s="16">
        <f t="shared" si="362"/>
        <v>0</v>
      </c>
      <c r="AG621" s="16">
        <f t="shared" si="363"/>
        <v>0</v>
      </c>
      <c r="AH621" s="16">
        <f t="shared" si="364"/>
        <v>0</v>
      </c>
      <c r="AJ621" s="13">
        <f t="shared" ref="AJ621:AU630" si="376">IF($C621&lt;=AJ$90,1,0)</f>
        <v>0</v>
      </c>
      <c r="AK621" s="13">
        <f t="shared" si="376"/>
        <v>0</v>
      </c>
      <c r="AL621" s="13">
        <f t="shared" si="376"/>
        <v>0</v>
      </c>
      <c r="AM621" s="13">
        <f t="shared" si="376"/>
        <v>0</v>
      </c>
      <c r="AN621" s="13">
        <f t="shared" si="376"/>
        <v>0</v>
      </c>
      <c r="AO621" s="13">
        <f t="shared" si="376"/>
        <v>1</v>
      </c>
      <c r="AP621" s="13">
        <f t="shared" si="376"/>
        <v>1</v>
      </c>
      <c r="AQ621" s="13">
        <f t="shared" si="376"/>
        <v>1</v>
      </c>
      <c r="AR621" s="13">
        <f t="shared" si="376"/>
        <v>0</v>
      </c>
      <c r="AS621" s="13">
        <f t="shared" si="376"/>
        <v>0</v>
      </c>
      <c r="AT621" s="13">
        <f t="shared" si="376"/>
        <v>0</v>
      </c>
      <c r="AU621" s="13">
        <f t="shared" si="376"/>
        <v>0</v>
      </c>
      <c r="AV621" s="13">
        <f t="shared" si="355"/>
        <v>0</v>
      </c>
      <c r="AW621" s="13">
        <f t="shared" si="356"/>
        <v>1</v>
      </c>
      <c r="AY621" s="17">
        <f t="shared" si="357"/>
        <v>531</v>
      </c>
      <c r="AZ621" s="28">
        <f t="shared" si="365"/>
        <v>0</v>
      </c>
      <c r="BA621" s="13">
        <f t="shared" si="358"/>
        <v>0</v>
      </c>
      <c r="BB621" s="13">
        <f t="shared" si="359"/>
        <v>0</v>
      </c>
      <c r="BC621" s="28">
        <f t="shared" si="366"/>
        <v>0</v>
      </c>
      <c r="BD621" s="28">
        <f t="shared" si="367"/>
        <v>0</v>
      </c>
      <c r="BF621" s="248">
        <f t="shared" si="368"/>
        <v>993869.29442638322</v>
      </c>
    </row>
    <row r="622" spans="1:58">
      <c r="A622" s="32">
        <f t="shared" si="369"/>
        <v>-447</v>
      </c>
      <c r="B622" s="32">
        <f t="shared" si="360"/>
        <v>97</v>
      </c>
      <c r="C622" s="32">
        <f t="shared" si="370"/>
        <v>45</v>
      </c>
      <c r="D622" s="32">
        <f t="shared" si="371"/>
        <v>532</v>
      </c>
      <c r="E622" s="74">
        <f>MIN(IF(AV622=0,0,
IF(Investment_Strategy="DIS",VLOOKUP(Investment_Strategy&amp;"_"&amp;Investment_Strategy_Sub1&amp;"_"&amp;$A622,'Investment Strategies'!$AZ:$BP,12,FALSE),
IF(AND(Investment_Strategy="Lifecycle",Investment_Strategy_Sub1="Non-Standard"),VLOOKUP(Investment_Strategy&amp;"_"&amp;Investment_Strategy_Sub2&amp;"_"&amp;$A622,'Investment Strategies'!$C:$P,9,FALSE),
IF(AND(Investment_Strategy="Lifecycle",Investment_Strategy_Sub1="Standard"),VLOOKUP(Investment_Strategy&amp;"_"&amp;Investment_Strategy_Sub2&amp;"_"&amp;$A622,'Investment Strategies'!$AJ:$AV,8,FALSE),
IF(AND(Investment_Strategy="Autopilot",Investment_Strategy_Sub1="Non-Standard"),VLOOKUP(Investment_Strategy&amp;"_"&amp;Investment_Strategy_Sub2&amp;"_"&amp;$A622,'Investment Strategies'!$T:$AF,8,FALSE),
IF(Investment_Strategy ="DIY",DIY_RateOfReturn_CurrentFunds,
"Error")))))),Max_InvReturn)</f>
        <v>0</v>
      </c>
      <c r="F622" s="62">
        <f>IF(AV622=0,0,
IF(Investment_Strategy="DIS",VLOOKUP(Investment_Strategy&amp;"_"&amp;Investment_Strategy_Sub1&amp;"_"&amp;$A622,'Investment Strategies'!$AZ:$BP,15,FALSE),
IF(AND(Investment_Strategy="Lifecycle",Investment_Strategy_Sub1="Non-Standard"),VLOOKUP(Investment_Strategy&amp;"_"&amp;Investment_Strategy_Sub2&amp;"_"&amp;$A622,'Investment Strategies'!$C:$P,12,FALSE),
IF(AND(Investment_Strategy="Lifecycle",Investment_Strategy_Sub1="Standard"),VLOOKUP(Investment_Strategy&amp;"_"&amp;Investment_Strategy_Sub2&amp;"_"&amp;$A622,'Investment Strategies'!$AJ:$AV,11,FALSE),
IF(AND(Investment_Strategy="Autopilot",Investment_Strategy_Sub1="Non-Standard"),VLOOKUP(Investment_Strategy&amp;"_"&amp;Investment_Strategy_Sub2&amp;"_"&amp;$A622,'Investment Strategies'!$T:$AF,11,FALSE),
IF(Investment_Strategy="DIY",DIY_GteeChrge_CurrentFunds,
"Error"))))))</f>
        <v>0</v>
      </c>
      <c r="G622" s="33">
        <f>IF(AV622=0,0,
IF(Investment_Strategy="DIS",VLOOKUP(Investment_Strategy&amp;"_"&amp;Investment_Strategy_Sub1&amp;"_"&amp;$A622,'Investment Strategies'!$AZ:$BP,17,FALSE),
IF(AND(Investment_Strategy="Lifecycle",Investment_Strategy_Sub1="Non-Standard"),VLOOKUP(Investment_Strategy&amp;"_"&amp;Investment_Strategy_Sub2&amp;"_"&amp;$A622,'Investment Strategies'!$C:$P,14,FALSE),
IF(AND(Investment_Strategy="Lifecycle",Investment_Strategy_Sub1="Standard"),VLOOKUP(Investment_Strategy&amp;"_"&amp;Investment_Strategy_Sub2&amp;"_"&amp;$A622,'Investment Strategies'!$AJ:$AV,13,FALSE),
IF(AND(Investment_Strategy="Autopilot",Investment_Strategy_Sub1="Non-Standard"),VLOOKUP(Investment_Strategy&amp;"_"&amp;Investment_Strategy_Sub2&amp;"_"&amp;$A622,'Investment Strategies'!$T:$AF,13,FALSE),
IF(Investment_Strategy="DIY",DIY_ExtManChrge_CurrentFunds,
"Error"))))))</f>
        <v>0</v>
      </c>
      <c r="H622" s="16">
        <f t="shared" si="361"/>
        <v>0</v>
      </c>
      <c r="I622" s="16">
        <f t="shared" si="347"/>
        <v>0</v>
      </c>
      <c r="J622" s="16">
        <f t="shared" si="348"/>
        <v>0</v>
      </c>
      <c r="K622" s="16">
        <f>(Opening_Fund_Value+SUM(K$91:K621))*E622*IF(D622=$A$91,SRP_finalmonthfactor,1)</f>
        <v>0</v>
      </c>
      <c r="L622" s="74">
        <f>MIN(IF($AV622=0,0,
IF(Investment_Strategy="DIS",VLOOKUP(Investment_Strategy&amp;"_"&amp;Investment_Strategy_Sub1&amp;"_"&amp;$A622,'Investment Strategies'!$AZ:$BP,12,FALSE),
IF(AND(Investment_Strategy="Lifecycle",Investment_Strategy_Sub1="Non-Standard"),VLOOKUP(Investment_Strategy&amp;"_"&amp;Investment_Strategy_Sub2&amp;"_"&amp;$A622,'Investment Strategies'!$C:$P,9,FALSE),
IF(AND(Investment_Strategy="Lifecycle",Investment_Strategy_Sub1="Standard"),VLOOKUP(Investment_Strategy&amp;"_"&amp;Investment_Strategy_Sub2&amp;"_"&amp;$A622,'Investment Strategies'!$AJ:$AV,8,FALSE),
IF(AND(Investment_Strategy="Autopilot",Investment_Strategy_Sub1="Non-Standard"),VLOOKUP(Investment_Strategy&amp;"_"&amp;Investment_Strategy_Sub2&amp;"_"&amp;$A622,'Investment Strategies'!$T:$AF,8,FALSE),
IF(Investment_Strategy ="DIY",DIY_RateofReturn_SP,
"Error")))))),Max_InvReturn)</f>
        <v>0</v>
      </c>
      <c r="M622" s="62">
        <f>IF($AV622=0,0,
IF(Investment_Strategy="DIS",VLOOKUP(Investment_Strategy&amp;"_"&amp;Investment_Strategy_Sub1&amp;"_"&amp;$A622,'Investment Strategies'!$AZ:$BP,15,FALSE),
IF(AND(Investment_Strategy="Lifecycle",Investment_Strategy_Sub1="Non-Standard"),VLOOKUP(Investment_Strategy&amp;"_"&amp;Investment_Strategy_Sub2&amp;"_"&amp;$A622,'Investment Strategies'!$C:$P,12,FALSE),
IF(AND(Investment_Strategy="Lifecycle",Investment_Strategy_Sub1="Standard"),VLOOKUP(Investment_Strategy&amp;"_"&amp;Investment_Strategy_Sub2&amp;"_"&amp;$A622,'Investment Strategies'!$AJ:$AV,11,FALSE),
IF(AND(Investment_Strategy="Autopilot",Investment_Strategy_Sub1="Non-Standard"),VLOOKUP(Investment_Strategy&amp;"_"&amp;Investment_Strategy_Sub2&amp;"_"&amp;$A622,'Investment Strategies'!$T:$AF,11,FALSE),
IF(Investment_Strategy="DIY",DIY_GteeChrge_SP,
"Error"))))))</f>
        <v>0</v>
      </c>
      <c r="N622" s="33">
        <f>IF($AV622=0,0,
IF(Investment_Strategy="DIS",VLOOKUP(Investment_Strategy&amp;"_"&amp;Investment_Strategy_Sub1&amp;"_"&amp;$A622,'Investment Strategies'!$AZ:$BP,17,FALSE),
IF(AND(Investment_Strategy="Lifecycle",Investment_Strategy_Sub1="Non-Standard"),VLOOKUP(Investment_Strategy&amp;"_"&amp;Investment_Strategy_Sub2&amp;"_"&amp;$A622,'Investment Strategies'!$C:$P,14,FALSE),
IF(AND(Investment_Strategy="Lifecycle",Investment_Strategy_Sub1="Standard"),VLOOKUP(Investment_Strategy&amp;"_"&amp;Investment_Strategy_Sub2&amp;"_"&amp;$A622,'Investment Strategies'!$AJ:$AV,13,FALSE),
IF(AND(Investment_Strategy="Autopilot",Investment_Strategy_Sub1="Non-Standard"),VLOOKUP(Investment_Strategy&amp;"_"&amp;Investment_Strategy_Sub2&amp;"_"&amp;$A622,'Investment Strategies'!$T:$AF,13,FALSE),
IF(Investment_Strategy="DIY",DIY_ExtManChrge_SP,
"Error"))))))</f>
        <v>0</v>
      </c>
      <c r="O622" s="16">
        <f t="shared" si="372"/>
        <v>0</v>
      </c>
      <c r="Q622" s="16">
        <f t="shared" si="349"/>
        <v>0</v>
      </c>
      <c r="R622" s="16">
        <f t="shared" si="345"/>
        <v>0</v>
      </c>
      <c r="S622" s="16">
        <f>(SRP_SP+SUM(S$91:S621))*L622*IF(D622=$A$91,SRP_finalmonthfactor,1)</f>
        <v>0</v>
      </c>
      <c r="T622" s="74">
        <f>MIN(IF($AV622=0,0,
IF(Investment_Strategy="DIS",VLOOKUP(Investment_Strategy&amp;"_"&amp;Investment_Strategy_Sub1&amp;"_"&amp;$A622,'Investment Strategies'!$AZ:$BP,12,FALSE),
IF(AND(Investment_Strategy="Lifecycle",Investment_Strategy_Sub1="Non-Standard"),VLOOKUP(Investment_Strategy&amp;"_"&amp;Investment_Strategy_Sub2&amp;"_"&amp;$A622,'Investment Strategies'!$C:$P,9,FALSE),
IF(AND(Investment_Strategy="Lifecycle",Investment_Strategy_Sub1="Standard"),VLOOKUP(Investment_Strategy&amp;"_"&amp;Investment_Strategy_Sub2&amp;"_"&amp;$A622,'Investment Strategies'!$AJ:$AV,8,FALSE),
IF(AND(Investment_Strategy="Autopilot",Investment_Strategy_Sub1="Non-Standard"),VLOOKUP(Investment_Strategy&amp;"_"&amp;Investment_Strategy_Sub2&amp;"_"&amp;$A622,'Investment Strategies'!$T:$AF,8,FALSE),
IF(Investment_Strategy ="DIY",DIY_RateOfReturn_FuturePremiums,
"Error")))))),Max_InvReturn)</f>
        <v>0</v>
      </c>
      <c r="U622" s="62">
        <f>IF($AV622=0,0,
IF(Investment_Strategy="DIS",VLOOKUP(Investment_Strategy&amp;"_"&amp;Investment_Strategy_Sub1&amp;"_"&amp;$A622,'Investment Strategies'!$AZ:$BP,15,FALSE),
IF(AND(Investment_Strategy="Lifecycle",Investment_Strategy_Sub1="Non-Standard"),VLOOKUP(Investment_Strategy&amp;"_"&amp;Investment_Strategy_Sub2&amp;"_"&amp;$A622,'Investment Strategies'!$C:$P,12,FALSE),
IF(AND(Investment_Strategy="Lifecycle",Investment_Strategy_Sub1="Standard"),VLOOKUP(Investment_Strategy&amp;"_"&amp;Investment_Strategy_Sub2&amp;"_"&amp;$A622,'Investment Strategies'!$AJ:$AV,11,FALSE),
IF(AND(Investment_Strategy="Autopilot",Investment_Strategy_Sub1="Non-Standard"),VLOOKUP(Investment_Strategy&amp;"_"&amp;Investment_Strategy_Sub2&amp;"_"&amp;$A622,'Investment Strategies'!$T:$AF,11,FALSE),
IF(Investment_Strategy="DIY",DIY_GteeChrge_FuturePremiums,
"Error"))))))</f>
        <v>0</v>
      </c>
      <c r="V622" s="33">
        <f>IF(AV622=0,0,
IF(Investment_Strategy="DIS",VLOOKUP(Investment_Strategy&amp;"_"&amp;Investment_Strategy_Sub1&amp;"_"&amp;$A622,'Investment Strategies'!$AZ:$BP,17,FALSE),
IF(AND(Investment_Strategy="Lifecycle",Investment_Strategy_Sub1="Non-Standard"),VLOOKUP(Investment_Strategy&amp;"_"&amp;Investment_Strategy_Sub2&amp;"_"&amp;$A622,'Investment Strategies'!$C:$P,14,FALSE),
IF(AND(Investment_Strategy="Lifecycle",Investment_Strategy_Sub1="Standard"),VLOOKUP(Investment_Strategy&amp;"_"&amp;Investment_Strategy_Sub2&amp;"_"&amp;$A622,'Investment Strategies'!$AJ:$AV,13,FALSE),
IF(AND(Investment_Strategy="Autopilot",Investment_Strategy_Sub1="Non-Standard"),VLOOKUP(Investment_Strategy&amp;"_"&amp;Investment_Strategy_Sub2&amp;"_"&amp;$A622,'Investment Strategies'!$T:$AF,13,FALSE),
IF(Investment_Strategy="DIY",DIY_ExtManChrge_FuturePremiums,
"Error"))))))</f>
        <v>0</v>
      </c>
      <c r="W622" s="16">
        <f t="shared" si="373"/>
        <v>0</v>
      </c>
      <c r="X622" s="16">
        <f t="shared" si="350"/>
        <v>0</v>
      </c>
      <c r="Y622" s="16">
        <f t="shared" si="351"/>
        <v>0</v>
      </c>
      <c r="Z622" s="31">
        <f t="shared" si="352"/>
        <v>0.02</v>
      </c>
      <c r="AA622" s="16">
        <f t="shared" si="353"/>
        <v>0</v>
      </c>
      <c r="AB622" s="28">
        <f t="shared" si="374"/>
        <v>0</v>
      </c>
      <c r="AC622" s="28">
        <f>(SUM($AC$91:AC621)+SUM($X$91:X621)+X622)*T622*IF(D622=$A$91,SRP_finalmonthfactor,1)</f>
        <v>0</v>
      </c>
      <c r="AD622" s="16">
        <f t="shared" si="354"/>
        <v>0</v>
      </c>
      <c r="AE622" s="106"/>
      <c r="AF622" s="16">
        <f t="shared" si="362"/>
        <v>0</v>
      </c>
      <c r="AG622" s="16">
        <f t="shared" si="363"/>
        <v>0</v>
      </c>
      <c r="AH622" s="16">
        <f t="shared" si="364"/>
        <v>0</v>
      </c>
      <c r="AJ622" s="13">
        <f t="shared" si="376"/>
        <v>0</v>
      </c>
      <c r="AK622" s="13">
        <f t="shared" si="376"/>
        <v>0</v>
      </c>
      <c r="AL622" s="13">
        <f t="shared" si="376"/>
        <v>0</v>
      </c>
      <c r="AM622" s="13">
        <f t="shared" si="376"/>
        <v>0</v>
      </c>
      <c r="AN622" s="13">
        <f t="shared" si="376"/>
        <v>0</v>
      </c>
      <c r="AO622" s="13">
        <f t="shared" si="376"/>
        <v>1</v>
      </c>
      <c r="AP622" s="13">
        <f t="shared" si="376"/>
        <v>1</v>
      </c>
      <c r="AQ622" s="13">
        <f t="shared" si="376"/>
        <v>1</v>
      </c>
      <c r="AR622" s="13">
        <f t="shared" si="376"/>
        <v>0</v>
      </c>
      <c r="AS622" s="13">
        <f t="shared" si="376"/>
        <v>0</v>
      </c>
      <c r="AT622" s="13">
        <f t="shared" si="376"/>
        <v>0</v>
      </c>
      <c r="AU622" s="13">
        <f t="shared" si="376"/>
        <v>0</v>
      </c>
      <c r="AV622" s="13">
        <f t="shared" si="355"/>
        <v>0</v>
      </c>
      <c r="AW622" s="13">
        <f t="shared" si="356"/>
        <v>1</v>
      </c>
      <c r="AY622" s="17">
        <f t="shared" si="357"/>
        <v>532</v>
      </c>
      <c r="AZ622" s="28">
        <f t="shared" si="365"/>
        <v>0</v>
      </c>
      <c r="BA622" s="13">
        <f t="shared" si="358"/>
        <v>0</v>
      </c>
      <c r="BB622" s="13">
        <f t="shared" si="359"/>
        <v>0</v>
      </c>
      <c r="BC622" s="28">
        <f t="shared" si="366"/>
        <v>0</v>
      </c>
      <c r="BD622" s="28">
        <f t="shared" si="367"/>
        <v>0</v>
      </c>
      <c r="BF622" s="248">
        <f t="shared" si="368"/>
        <v>993869.29442638322</v>
      </c>
    </row>
    <row r="623" spans="1:58">
      <c r="A623" s="32">
        <f t="shared" si="369"/>
        <v>-448</v>
      </c>
      <c r="B623" s="32">
        <f t="shared" si="360"/>
        <v>97</v>
      </c>
      <c r="C623" s="32">
        <f t="shared" si="370"/>
        <v>45</v>
      </c>
      <c r="D623" s="32">
        <f t="shared" si="371"/>
        <v>533</v>
      </c>
      <c r="E623" s="74">
        <f>MIN(IF(AV623=0,0,
IF(Investment_Strategy="DIS",VLOOKUP(Investment_Strategy&amp;"_"&amp;Investment_Strategy_Sub1&amp;"_"&amp;$A623,'Investment Strategies'!$AZ:$BP,12,FALSE),
IF(AND(Investment_Strategy="Lifecycle",Investment_Strategy_Sub1="Non-Standard"),VLOOKUP(Investment_Strategy&amp;"_"&amp;Investment_Strategy_Sub2&amp;"_"&amp;$A623,'Investment Strategies'!$C:$P,9,FALSE),
IF(AND(Investment_Strategy="Lifecycle",Investment_Strategy_Sub1="Standard"),VLOOKUP(Investment_Strategy&amp;"_"&amp;Investment_Strategy_Sub2&amp;"_"&amp;$A623,'Investment Strategies'!$AJ:$AV,8,FALSE),
IF(AND(Investment_Strategy="Autopilot",Investment_Strategy_Sub1="Non-Standard"),VLOOKUP(Investment_Strategy&amp;"_"&amp;Investment_Strategy_Sub2&amp;"_"&amp;$A623,'Investment Strategies'!$T:$AF,8,FALSE),
IF(Investment_Strategy ="DIY",DIY_RateOfReturn_CurrentFunds,
"Error")))))),Max_InvReturn)</f>
        <v>0</v>
      </c>
      <c r="F623" s="62">
        <f>IF(AV623=0,0,
IF(Investment_Strategy="DIS",VLOOKUP(Investment_Strategy&amp;"_"&amp;Investment_Strategy_Sub1&amp;"_"&amp;$A623,'Investment Strategies'!$AZ:$BP,15,FALSE),
IF(AND(Investment_Strategy="Lifecycle",Investment_Strategy_Sub1="Non-Standard"),VLOOKUP(Investment_Strategy&amp;"_"&amp;Investment_Strategy_Sub2&amp;"_"&amp;$A623,'Investment Strategies'!$C:$P,12,FALSE),
IF(AND(Investment_Strategy="Lifecycle",Investment_Strategy_Sub1="Standard"),VLOOKUP(Investment_Strategy&amp;"_"&amp;Investment_Strategy_Sub2&amp;"_"&amp;$A623,'Investment Strategies'!$AJ:$AV,11,FALSE),
IF(AND(Investment_Strategy="Autopilot",Investment_Strategy_Sub1="Non-Standard"),VLOOKUP(Investment_Strategy&amp;"_"&amp;Investment_Strategy_Sub2&amp;"_"&amp;$A623,'Investment Strategies'!$T:$AF,11,FALSE),
IF(Investment_Strategy="DIY",DIY_GteeChrge_CurrentFunds,
"Error"))))))</f>
        <v>0</v>
      </c>
      <c r="G623" s="33">
        <f>IF(AV623=0,0,
IF(Investment_Strategy="DIS",VLOOKUP(Investment_Strategy&amp;"_"&amp;Investment_Strategy_Sub1&amp;"_"&amp;$A623,'Investment Strategies'!$AZ:$BP,17,FALSE),
IF(AND(Investment_Strategy="Lifecycle",Investment_Strategy_Sub1="Non-Standard"),VLOOKUP(Investment_Strategy&amp;"_"&amp;Investment_Strategy_Sub2&amp;"_"&amp;$A623,'Investment Strategies'!$C:$P,14,FALSE),
IF(AND(Investment_Strategy="Lifecycle",Investment_Strategy_Sub1="Standard"),VLOOKUP(Investment_Strategy&amp;"_"&amp;Investment_Strategy_Sub2&amp;"_"&amp;$A623,'Investment Strategies'!$AJ:$AV,13,FALSE),
IF(AND(Investment_Strategy="Autopilot",Investment_Strategy_Sub1="Non-Standard"),VLOOKUP(Investment_Strategy&amp;"_"&amp;Investment_Strategy_Sub2&amp;"_"&amp;$A623,'Investment Strategies'!$T:$AF,13,FALSE),
IF(Investment_Strategy="DIY",DIY_ExtManChrge_CurrentFunds,
"Error"))))))</f>
        <v>0</v>
      </c>
      <c r="H623" s="16">
        <f t="shared" si="361"/>
        <v>0</v>
      </c>
      <c r="I623" s="16">
        <f t="shared" si="347"/>
        <v>0</v>
      </c>
      <c r="J623" s="16">
        <f t="shared" si="348"/>
        <v>0</v>
      </c>
      <c r="K623" s="16">
        <f>(Opening_Fund_Value+SUM(K$91:K622))*E623*IF(D623=$A$91,SRP_finalmonthfactor,1)</f>
        <v>0</v>
      </c>
      <c r="L623" s="74">
        <f>MIN(IF($AV623=0,0,
IF(Investment_Strategy="DIS",VLOOKUP(Investment_Strategy&amp;"_"&amp;Investment_Strategy_Sub1&amp;"_"&amp;$A623,'Investment Strategies'!$AZ:$BP,12,FALSE),
IF(AND(Investment_Strategy="Lifecycle",Investment_Strategy_Sub1="Non-Standard"),VLOOKUP(Investment_Strategy&amp;"_"&amp;Investment_Strategy_Sub2&amp;"_"&amp;$A623,'Investment Strategies'!$C:$P,9,FALSE),
IF(AND(Investment_Strategy="Lifecycle",Investment_Strategy_Sub1="Standard"),VLOOKUP(Investment_Strategy&amp;"_"&amp;Investment_Strategy_Sub2&amp;"_"&amp;$A623,'Investment Strategies'!$AJ:$AV,8,FALSE),
IF(AND(Investment_Strategy="Autopilot",Investment_Strategy_Sub1="Non-Standard"),VLOOKUP(Investment_Strategy&amp;"_"&amp;Investment_Strategy_Sub2&amp;"_"&amp;$A623,'Investment Strategies'!$T:$AF,8,FALSE),
IF(Investment_Strategy ="DIY",DIY_RateofReturn_SP,
"Error")))))),Max_InvReturn)</f>
        <v>0</v>
      </c>
      <c r="M623" s="62">
        <f>IF($AV623=0,0,
IF(Investment_Strategy="DIS",VLOOKUP(Investment_Strategy&amp;"_"&amp;Investment_Strategy_Sub1&amp;"_"&amp;$A623,'Investment Strategies'!$AZ:$BP,15,FALSE),
IF(AND(Investment_Strategy="Lifecycle",Investment_Strategy_Sub1="Non-Standard"),VLOOKUP(Investment_Strategy&amp;"_"&amp;Investment_Strategy_Sub2&amp;"_"&amp;$A623,'Investment Strategies'!$C:$P,12,FALSE),
IF(AND(Investment_Strategy="Lifecycle",Investment_Strategy_Sub1="Standard"),VLOOKUP(Investment_Strategy&amp;"_"&amp;Investment_Strategy_Sub2&amp;"_"&amp;$A623,'Investment Strategies'!$AJ:$AV,11,FALSE),
IF(AND(Investment_Strategy="Autopilot",Investment_Strategy_Sub1="Non-Standard"),VLOOKUP(Investment_Strategy&amp;"_"&amp;Investment_Strategy_Sub2&amp;"_"&amp;$A623,'Investment Strategies'!$T:$AF,11,FALSE),
IF(Investment_Strategy="DIY",DIY_GteeChrge_SP,
"Error"))))))</f>
        <v>0</v>
      </c>
      <c r="N623" s="33">
        <f>IF($AV623=0,0,
IF(Investment_Strategy="DIS",VLOOKUP(Investment_Strategy&amp;"_"&amp;Investment_Strategy_Sub1&amp;"_"&amp;$A623,'Investment Strategies'!$AZ:$BP,17,FALSE),
IF(AND(Investment_Strategy="Lifecycle",Investment_Strategy_Sub1="Non-Standard"),VLOOKUP(Investment_Strategy&amp;"_"&amp;Investment_Strategy_Sub2&amp;"_"&amp;$A623,'Investment Strategies'!$C:$P,14,FALSE),
IF(AND(Investment_Strategy="Lifecycle",Investment_Strategy_Sub1="Standard"),VLOOKUP(Investment_Strategy&amp;"_"&amp;Investment_Strategy_Sub2&amp;"_"&amp;$A623,'Investment Strategies'!$AJ:$AV,13,FALSE),
IF(AND(Investment_Strategy="Autopilot",Investment_Strategy_Sub1="Non-Standard"),VLOOKUP(Investment_Strategy&amp;"_"&amp;Investment_Strategy_Sub2&amp;"_"&amp;$A623,'Investment Strategies'!$T:$AF,13,FALSE),
IF(Investment_Strategy="DIY",DIY_ExtManChrge_SP,
"Error"))))))</f>
        <v>0</v>
      </c>
      <c r="O623" s="16">
        <f t="shared" si="372"/>
        <v>0</v>
      </c>
      <c r="Q623" s="16">
        <f t="shared" si="349"/>
        <v>0</v>
      </c>
      <c r="R623" s="16">
        <f t="shared" si="345"/>
        <v>0</v>
      </c>
      <c r="S623" s="16">
        <f>(SRP_SP+SUM(S$91:S622))*L623*IF(D623=$A$91,SRP_finalmonthfactor,1)</f>
        <v>0</v>
      </c>
      <c r="T623" s="74">
        <f>MIN(IF($AV623=0,0,
IF(Investment_Strategy="DIS",VLOOKUP(Investment_Strategy&amp;"_"&amp;Investment_Strategy_Sub1&amp;"_"&amp;$A623,'Investment Strategies'!$AZ:$BP,12,FALSE),
IF(AND(Investment_Strategy="Lifecycle",Investment_Strategy_Sub1="Non-Standard"),VLOOKUP(Investment_Strategy&amp;"_"&amp;Investment_Strategy_Sub2&amp;"_"&amp;$A623,'Investment Strategies'!$C:$P,9,FALSE),
IF(AND(Investment_Strategy="Lifecycle",Investment_Strategy_Sub1="Standard"),VLOOKUP(Investment_Strategy&amp;"_"&amp;Investment_Strategy_Sub2&amp;"_"&amp;$A623,'Investment Strategies'!$AJ:$AV,8,FALSE),
IF(AND(Investment_Strategy="Autopilot",Investment_Strategy_Sub1="Non-Standard"),VLOOKUP(Investment_Strategy&amp;"_"&amp;Investment_Strategy_Sub2&amp;"_"&amp;$A623,'Investment Strategies'!$T:$AF,8,FALSE),
IF(Investment_Strategy ="DIY",DIY_RateOfReturn_FuturePremiums,
"Error")))))),Max_InvReturn)</f>
        <v>0</v>
      </c>
      <c r="U623" s="62">
        <f>IF($AV623=0,0,
IF(Investment_Strategy="DIS",VLOOKUP(Investment_Strategy&amp;"_"&amp;Investment_Strategy_Sub1&amp;"_"&amp;$A623,'Investment Strategies'!$AZ:$BP,15,FALSE),
IF(AND(Investment_Strategy="Lifecycle",Investment_Strategy_Sub1="Non-Standard"),VLOOKUP(Investment_Strategy&amp;"_"&amp;Investment_Strategy_Sub2&amp;"_"&amp;$A623,'Investment Strategies'!$C:$P,12,FALSE),
IF(AND(Investment_Strategy="Lifecycle",Investment_Strategy_Sub1="Standard"),VLOOKUP(Investment_Strategy&amp;"_"&amp;Investment_Strategy_Sub2&amp;"_"&amp;$A623,'Investment Strategies'!$AJ:$AV,11,FALSE),
IF(AND(Investment_Strategy="Autopilot",Investment_Strategy_Sub1="Non-Standard"),VLOOKUP(Investment_Strategy&amp;"_"&amp;Investment_Strategy_Sub2&amp;"_"&amp;$A623,'Investment Strategies'!$T:$AF,11,FALSE),
IF(Investment_Strategy="DIY",DIY_GteeChrge_FuturePremiums,
"Error"))))))</f>
        <v>0</v>
      </c>
      <c r="V623" s="33">
        <f>IF(AV623=0,0,
IF(Investment_Strategy="DIS",VLOOKUP(Investment_Strategy&amp;"_"&amp;Investment_Strategy_Sub1&amp;"_"&amp;$A623,'Investment Strategies'!$AZ:$BP,17,FALSE),
IF(AND(Investment_Strategy="Lifecycle",Investment_Strategy_Sub1="Non-Standard"),VLOOKUP(Investment_Strategy&amp;"_"&amp;Investment_Strategy_Sub2&amp;"_"&amp;$A623,'Investment Strategies'!$C:$P,14,FALSE),
IF(AND(Investment_Strategy="Lifecycle",Investment_Strategy_Sub1="Standard"),VLOOKUP(Investment_Strategy&amp;"_"&amp;Investment_Strategy_Sub2&amp;"_"&amp;$A623,'Investment Strategies'!$AJ:$AV,13,FALSE),
IF(AND(Investment_Strategy="Autopilot",Investment_Strategy_Sub1="Non-Standard"),VLOOKUP(Investment_Strategy&amp;"_"&amp;Investment_Strategy_Sub2&amp;"_"&amp;$A623,'Investment Strategies'!$T:$AF,13,FALSE),
IF(Investment_Strategy="DIY",DIY_ExtManChrge_FuturePremiums,
"Error"))))))</f>
        <v>0</v>
      </c>
      <c r="W623" s="16">
        <f t="shared" si="373"/>
        <v>0</v>
      </c>
      <c r="X623" s="16">
        <f t="shared" si="350"/>
        <v>0</v>
      </c>
      <c r="Y623" s="16">
        <f t="shared" si="351"/>
        <v>0</v>
      </c>
      <c r="Z623" s="31">
        <f t="shared" si="352"/>
        <v>0.02</v>
      </c>
      <c r="AA623" s="16">
        <f t="shared" si="353"/>
        <v>0</v>
      </c>
      <c r="AB623" s="28">
        <f t="shared" si="374"/>
        <v>0</v>
      </c>
      <c r="AC623" s="28">
        <f>(SUM($AC$91:AC622)+SUM($X$91:X622)+X623)*T623*IF(D623=$A$91,SRP_finalmonthfactor,1)</f>
        <v>0</v>
      </c>
      <c r="AD623" s="16">
        <f t="shared" si="354"/>
        <v>0</v>
      </c>
      <c r="AE623" s="106"/>
      <c r="AF623" s="16">
        <f t="shared" si="362"/>
        <v>0</v>
      </c>
      <c r="AG623" s="16">
        <f t="shared" si="363"/>
        <v>0</v>
      </c>
      <c r="AH623" s="16">
        <f t="shared" si="364"/>
        <v>0</v>
      </c>
      <c r="AJ623" s="13">
        <f t="shared" si="376"/>
        <v>0</v>
      </c>
      <c r="AK623" s="13">
        <f t="shared" si="376"/>
        <v>0</v>
      </c>
      <c r="AL623" s="13">
        <f t="shared" si="376"/>
        <v>0</v>
      </c>
      <c r="AM623" s="13">
        <f t="shared" si="376"/>
        <v>0</v>
      </c>
      <c r="AN623" s="13">
        <f t="shared" si="376"/>
        <v>0</v>
      </c>
      <c r="AO623" s="13">
        <f t="shared" si="376"/>
        <v>1</v>
      </c>
      <c r="AP623" s="13">
        <f t="shared" si="376"/>
        <v>1</v>
      </c>
      <c r="AQ623" s="13">
        <f t="shared" si="376"/>
        <v>1</v>
      </c>
      <c r="AR623" s="13">
        <f t="shared" si="376"/>
        <v>0</v>
      </c>
      <c r="AS623" s="13">
        <f t="shared" si="376"/>
        <v>0</v>
      </c>
      <c r="AT623" s="13">
        <f t="shared" si="376"/>
        <v>0</v>
      </c>
      <c r="AU623" s="13">
        <f t="shared" si="376"/>
        <v>0</v>
      </c>
      <c r="AV623" s="13">
        <f t="shared" si="355"/>
        <v>0</v>
      </c>
      <c r="AW623" s="13">
        <f t="shared" si="356"/>
        <v>1</v>
      </c>
      <c r="AY623" s="17">
        <f t="shared" si="357"/>
        <v>533</v>
      </c>
      <c r="AZ623" s="28">
        <f t="shared" si="365"/>
        <v>0</v>
      </c>
      <c r="BA623" s="13">
        <f t="shared" si="358"/>
        <v>0</v>
      </c>
      <c r="BB623" s="13">
        <f t="shared" si="359"/>
        <v>0</v>
      </c>
      <c r="BC623" s="28">
        <f t="shared" si="366"/>
        <v>0</v>
      </c>
      <c r="BD623" s="28">
        <f t="shared" si="367"/>
        <v>0</v>
      </c>
      <c r="BF623" s="248">
        <f t="shared" si="368"/>
        <v>993869.29442638322</v>
      </c>
    </row>
    <row r="624" spans="1:58">
      <c r="A624" s="32">
        <f t="shared" si="369"/>
        <v>-449</v>
      </c>
      <c r="B624" s="32">
        <f t="shared" si="360"/>
        <v>97</v>
      </c>
      <c r="C624" s="32">
        <f t="shared" si="370"/>
        <v>45</v>
      </c>
      <c r="D624" s="32">
        <f t="shared" si="371"/>
        <v>534</v>
      </c>
      <c r="E624" s="74">
        <f>MIN(IF(AV624=0,0,
IF(Investment_Strategy="DIS",VLOOKUP(Investment_Strategy&amp;"_"&amp;Investment_Strategy_Sub1&amp;"_"&amp;$A624,'Investment Strategies'!$AZ:$BP,12,FALSE),
IF(AND(Investment_Strategy="Lifecycle",Investment_Strategy_Sub1="Non-Standard"),VLOOKUP(Investment_Strategy&amp;"_"&amp;Investment_Strategy_Sub2&amp;"_"&amp;$A624,'Investment Strategies'!$C:$P,9,FALSE),
IF(AND(Investment_Strategy="Lifecycle",Investment_Strategy_Sub1="Standard"),VLOOKUP(Investment_Strategy&amp;"_"&amp;Investment_Strategy_Sub2&amp;"_"&amp;$A624,'Investment Strategies'!$AJ:$AV,8,FALSE),
IF(AND(Investment_Strategy="Autopilot",Investment_Strategy_Sub1="Non-Standard"),VLOOKUP(Investment_Strategy&amp;"_"&amp;Investment_Strategy_Sub2&amp;"_"&amp;$A624,'Investment Strategies'!$T:$AF,8,FALSE),
IF(Investment_Strategy ="DIY",DIY_RateOfReturn_CurrentFunds,
"Error")))))),Max_InvReturn)</f>
        <v>0</v>
      </c>
      <c r="F624" s="62">
        <f>IF(AV624=0,0,
IF(Investment_Strategy="DIS",VLOOKUP(Investment_Strategy&amp;"_"&amp;Investment_Strategy_Sub1&amp;"_"&amp;$A624,'Investment Strategies'!$AZ:$BP,15,FALSE),
IF(AND(Investment_Strategy="Lifecycle",Investment_Strategy_Sub1="Non-Standard"),VLOOKUP(Investment_Strategy&amp;"_"&amp;Investment_Strategy_Sub2&amp;"_"&amp;$A624,'Investment Strategies'!$C:$P,12,FALSE),
IF(AND(Investment_Strategy="Lifecycle",Investment_Strategy_Sub1="Standard"),VLOOKUP(Investment_Strategy&amp;"_"&amp;Investment_Strategy_Sub2&amp;"_"&amp;$A624,'Investment Strategies'!$AJ:$AV,11,FALSE),
IF(AND(Investment_Strategy="Autopilot",Investment_Strategy_Sub1="Non-Standard"),VLOOKUP(Investment_Strategy&amp;"_"&amp;Investment_Strategy_Sub2&amp;"_"&amp;$A624,'Investment Strategies'!$T:$AF,11,FALSE),
IF(Investment_Strategy="DIY",DIY_GteeChrge_CurrentFunds,
"Error"))))))</f>
        <v>0</v>
      </c>
      <c r="G624" s="33">
        <f>IF(AV624=0,0,
IF(Investment_Strategy="DIS",VLOOKUP(Investment_Strategy&amp;"_"&amp;Investment_Strategy_Sub1&amp;"_"&amp;$A624,'Investment Strategies'!$AZ:$BP,17,FALSE),
IF(AND(Investment_Strategy="Lifecycle",Investment_Strategy_Sub1="Non-Standard"),VLOOKUP(Investment_Strategy&amp;"_"&amp;Investment_Strategy_Sub2&amp;"_"&amp;$A624,'Investment Strategies'!$C:$P,14,FALSE),
IF(AND(Investment_Strategy="Lifecycle",Investment_Strategy_Sub1="Standard"),VLOOKUP(Investment_Strategy&amp;"_"&amp;Investment_Strategy_Sub2&amp;"_"&amp;$A624,'Investment Strategies'!$AJ:$AV,13,FALSE),
IF(AND(Investment_Strategy="Autopilot",Investment_Strategy_Sub1="Non-Standard"),VLOOKUP(Investment_Strategy&amp;"_"&amp;Investment_Strategy_Sub2&amp;"_"&amp;$A624,'Investment Strategies'!$T:$AF,13,FALSE),
IF(Investment_Strategy="DIY",DIY_ExtManChrge_CurrentFunds,
"Error"))))))</f>
        <v>0</v>
      </c>
      <c r="H624" s="16">
        <f t="shared" si="361"/>
        <v>0</v>
      </c>
      <c r="I624" s="16">
        <f t="shared" si="347"/>
        <v>0</v>
      </c>
      <c r="J624" s="16">
        <f t="shared" si="348"/>
        <v>0</v>
      </c>
      <c r="K624" s="16">
        <f>(Opening_Fund_Value+SUM(K$91:K623))*E624*IF(D624=$A$91,SRP_finalmonthfactor,1)</f>
        <v>0</v>
      </c>
      <c r="L624" s="74">
        <f>MIN(IF($AV624=0,0,
IF(Investment_Strategy="DIS",VLOOKUP(Investment_Strategy&amp;"_"&amp;Investment_Strategy_Sub1&amp;"_"&amp;$A624,'Investment Strategies'!$AZ:$BP,12,FALSE),
IF(AND(Investment_Strategy="Lifecycle",Investment_Strategy_Sub1="Non-Standard"),VLOOKUP(Investment_Strategy&amp;"_"&amp;Investment_Strategy_Sub2&amp;"_"&amp;$A624,'Investment Strategies'!$C:$P,9,FALSE),
IF(AND(Investment_Strategy="Lifecycle",Investment_Strategy_Sub1="Standard"),VLOOKUP(Investment_Strategy&amp;"_"&amp;Investment_Strategy_Sub2&amp;"_"&amp;$A624,'Investment Strategies'!$AJ:$AV,8,FALSE),
IF(AND(Investment_Strategy="Autopilot",Investment_Strategy_Sub1="Non-Standard"),VLOOKUP(Investment_Strategy&amp;"_"&amp;Investment_Strategy_Sub2&amp;"_"&amp;$A624,'Investment Strategies'!$T:$AF,8,FALSE),
IF(Investment_Strategy ="DIY",DIY_RateofReturn_SP,
"Error")))))),Max_InvReturn)</f>
        <v>0</v>
      </c>
      <c r="M624" s="62">
        <f>IF($AV624=0,0,
IF(Investment_Strategy="DIS",VLOOKUP(Investment_Strategy&amp;"_"&amp;Investment_Strategy_Sub1&amp;"_"&amp;$A624,'Investment Strategies'!$AZ:$BP,15,FALSE),
IF(AND(Investment_Strategy="Lifecycle",Investment_Strategy_Sub1="Non-Standard"),VLOOKUP(Investment_Strategy&amp;"_"&amp;Investment_Strategy_Sub2&amp;"_"&amp;$A624,'Investment Strategies'!$C:$P,12,FALSE),
IF(AND(Investment_Strategy="Lifecycle",Investment_Strategy_Sub1="Standard"),VLOOKUP(Investment_Strategy&amp;"_"&amp;Investment_Strategy_Sub2&amp;"_"&amp;$A624,'Investment Strategies'!$AJ:$AV,11,FALSE),
IF(AND(Investment_Strategy="Autopilot",Investment_Strategy_Sub1="Non-Standard"),VLOOKUP(Investment_Strategy&amp;"_"&amp;Investment_Strategy_Sub2&amp;"_"&amp;$A624,'Investment Strategies'!$T:$AF,11,FALSE),
IF(Investment_Strategy="DIY",DIY_GteeChrge_SP,
"Error"))))))</f>
        <v>0</v>
      </c>
      <c r="N624" s="33">
        <f>IF($AV624=0,0,
IF(Investment_Strategy="DIS",VLOOKUP(Investment_Strategy&amp;"_"&amp;Investment_Strategy_Sub1&amp;"_"&amp;$A624,'Investment Strategies'!$AZ:$BP,17,FALSE),
IF(AND(Investment_Strategy="Lifecycle",Investment_Strategy_Sub1="Non-Standard"),VLOOKUP(Investment_Strategy&amp;"_"&amp;Investment_Strategy_Sub2&amp;"_"&amp;$A624,'Investment Strategies'!$C:$P,14,FALSE),
IF(AND(Investment_Strategy="Lifecycle",Investment_Strategy_Sub1="Standard"),VLOOKUP(Investment_Strategy&amp;"_"&amp;Investment_Strategy_Sub2&amp;"_"&amp;$A624,'Investment Strategies'!$AJ:$AV,13,FALSE),
IF(AND(Investment_Strategy="Autopilot",Investment_Strategy_Sub1="Non-Standard"),VLOOKUP(Investment_Strategy&amp;"_"&amp;Investment_Strategy_Sub2&amp;"_"&amp;$A624,'Investment Strategies'!$T:$AF,13,FALSE),
IF(Investment_Strategy="DIY",DIY_ExtManChrge_SP,
"Error"))))))</f>
        <v>0</v>
      </c>
      <c r="O624" s="16">
        <f t="shared" si="372"/>
        <v>0</v>
      </c>
      <c r="Q624" s="16">
        <f t="shared" si="349"/>
        <v>0</v>
      </c>
      <c r="R624" s="16">
        <f t="shared" si="345"/>
        <v>0</v>
      </c>
      <c r="S624" s="16">
        <f>(SRP_SP+SUM(S$91:S623))*L624*IF(D624=$A$91,SRP_finalmonthfactor,1)</f>
        <v>0</v>
      </c>
      <c r="T624" s="74">
        <f>MIN(IF($AV624=0,0,
IF(Investment_Strategy="DIS",VLOOKUP(Investment_Strategy&amp;"_"&amp;Investment_Strategy_Sub1&amp;"_"&amp;$A624,'Investment Strategies'!$AZ:$BP,12,FALSE),
IF(AND(Investment_Strategy="Lifecycle",Investment_Strategy_Sub1="Non-Standard"),VLOOKUP(Investment_Strategy&amp;"_"&amp;Investment_Strategy_Sub2&amp;"_"&amp;$A624,'Investment Strategies'!$C:$P,9,FALSE),
IF(AND(Investment_Strategy="Lifecycle",Investment_Strategy_Sub1="Standard"),VLOOKUP(Investment_Strategy&amp;"_"&amp;Investment_Strategy_Sub2&amp;"_"&amp;$A624,'Investment Strategies'!$AJ:$AV,8,FALSE),
IF(AND(Investment_Strategy="Autopilot",Investment_Strategy_Sub1="Non-Standard"),VLOOKUP(Investment_Strategy&amp;"_"&amp;Investment_Strategy_Sub2&amp;"_"&amp;$A624,'Investment Strategies'!$T:$AF,8,FALSE),
IF(Investment_Strategy ="DIY",DIY_RateOfReturn_FuturePremiums,
"Error")))))),Max_InvReturn)</f>
        <v>0</v>
      </c>
      <c r="U624" s="62">
        <f>IF($AV624=0,0,
IF(Investment_Strategy="DIS",VLOOKUP(Investment_Strategy&amp;"_"&amp;Investment_Strategy_Sub1&amp;"_"&amp;$A624,'Investment Strategies'!$AZ:$BP,15,FALSE),
IF(AND(Investment_Strategy="Lifecycle",Investment_Strategy_Sub1="Non-Standard"),VLOOKUP(Investment_Strategy&amp;"_"&amp;Investment_Strategy_Sub2&amp;"_"&amp;$A624,'Investment Strategies'!$C:$P,12,FALSE),
IF(AND(Investment_Strategy="Lifecycle",Investment_Strategy_Sub1="Standard"),VLOOKUP(Investment_Strategy&amp;"_"&amp;Investment_Strategy_Sub2&amp;"_"&amp;$A624,'Investment Strategies'!$AJ:$AV,11,FALSE),
IF(AND(Investment_Strategy="Autopilot",Investment_Strategy_Sub1="Non-Standard"),VLOOKUP(Investment_Strategy&amp;"_"&amp;Investment_Strategy_Sub2&amp;"_"&amp;$A624,'Investment Strategies'!$T:$AF,11,FALSE),
IF(Investment_Strategy="DIY",DIY_GteeChrge_FuturePremiums,
"Error"))))))</f>
        <v>0</v>
      </c>
      <c r="V624" s="33">
        <f>IF(AV624=0,0,
IF(Investment_Strategy="DIS",VLOOKUP(Investment_Strategy&amp;"_"&amp;Investment_Strategy_Sub1&amp;"_"&amp;$A624,'Investment Strategies'!$AZ:$BP,17,FALSE),
IF(AND(Investment_Strategy="Lifecycle",Investment_Strategy_Sub1="Non-Standard"),VLOOKUP(Investment_Strategy&amp;"_"&amp;Investment_Strategy_Sub2&amp;"_"&amp;$A624,'Investment Strategies'!$C:$P,14,FALSE),
IF(AND(Investment_Strategy="Lifecycle",Investment_Strategy_Sub1="Standard"),VLOOKUP(Investment_Strategy&amp;"_"&amp;Investment_Strategy_Sub2&amp;"_"&amp;$A624,'Investment Strategies'!$AJ:$AV,13,FALSE),
IF(AND(Investment_Strategy="Autopilot",Investment_Strategy_Sub1="Non-Standard"),VLOOKUP(Investment_Strategy&amp;"_"&amp;Investment_Strategy_Sub2&amp;"_"&amp;$A624,'Investment Strategies'!$T:$AF,13,FALSE),
IF(Investment_Strategy="DIY",DIY_ExtManChrge_FuturePremiums,
"Error"))))))</f>
        <v>0</v>
      </c>
      <c r="W624" s="16">
        <f t="shared" si="373"/>
        <v>0</v>
      </c>
      <c r="X624" s="16">
        <f t="shared" si="350"/>
        <v>0</v>
      </c>
      <c r="Y624" s="16">
        <f t="shared" si="351"/>
        <v>0</v>
      </c>
      <c r="Z624" s="31">
        <f t="shared" si="352"/>
        <v>0.02</v>
      </c>
      <c r="AA624" s="16">
        <f t="shared" si="353"/>
        <v>0</v>
      </c>
      <c r="AB624" s="28">
        <f t="shared" si="374"/>
        <v>0</v>
      </c>
      <c r="AC624" s="28">
        <f>(SUM($AC$91:AC623)+SUM($X$91:X623)+X624)*T624*IF(D624=$A$91,SRP_finalmonthfactor,1)</f>
        <v>0</v>
      </c>
      <c r="AD624" s="16">
        <f t="shared" si="354"/>
        <v>0</v>
      </c>
      <c r="AE624" s="106"/>
      <c r="AF624" s="16">
        <f t="shared" si="362"/>
        <v>0</v>
      </c>
      <c r="AG624" s="16">
        <f t="shared" si="363"/>
        <v>0</v>
      </c>
      <c r="AH624" s="16">
        <f t="shared" si="364"/>
        <v>0</v>
      </c>
      <c r="AJ624" s="13">
        <f t="shared" si="376"/>
        <v>0</v>
      </c>
      <c r="AK624" s="13">
        <f t="shared" si="376"/>
        <v>0</v>
      </c>
      <c r="AL624" s="13">
        <f t="shared" si="376"/>
        <v>0</v>
      </c>
      <c r="AM624" s="13">
        <f t="shared" si="376"/>
        <v>0</v>
      </c>
      <c r="AN624" s="13">
        <f t="shared" si="376"/>
        <v>0</v>
      </c>
      <c r="AO624" s="13">
        <f t="shared" si="376"/>
        <v>1</v>
      </c>
      <c r="AP624" s="13">
        <f t="shared" si="376"/>
        <v>1</v>
      </c>
      <c r="AQ624" s="13">
        <f t="shared" si="376"/>
        <v>1</v>
      </c>
      <c r="AR624" s="13">
        <f t="shared" si="376"/>
        <v>0</v>
      </c>
      <c r="AS624" s="13">
        <f t="shared" si="376"/>
        <v>0</v>
      </c>
      <c r="AT624" s="13">
        <f t="shared" si="376"/>
        <v>0</v>
      </c>
      <c r="AU624" s="13">
        <f t="shared" si="376"/>
        <v>0</v>
      </c>
      <c r="AV624" s="13">
        <f t="shared" si="355"/>
        <v>0</v>
      </c>
      <c r="AW624" s="13">
        <f t="shared" si="356"/>
        <v>1</v>
      </c>
      <c r="AY624" s="17">
        <f t="shared" si="357"/>
        <v>534</v>
      </c>
      <c r="AZ624" s="28">
        <f t="shared" si="365"/>
        <v>0</v>
      </c>
      <c r="BA624" s="13">
        <f t="shared" si="358"/>
        <v>0</v>
      </c>
      <c r="BB624" s="13">
        <f t="shared" si="359"/>
        <v>0</v>
      </c>
      <c r="BC624" s="28">
        <f t="shared" si="366"/>
        <v>0</v>
      </c>
      <c r="BD624" s="28">
        <f t="shared" si="367"/>
        <v>0</v>
      </c>
      <c r="BF624" s="248">
        <f t="shared" si="368"/>
        <v>993869.29442638322</v>
      </c>
    </row>
    <row r="625" spans="1:58">
      <c r="A625" s="32">
        <f t="shared" si="369"/>
        <v>-450</v>
      </c>
      <c r="B625" s="32">
        <f t="shared" si="360"/>
        <v>97</v>
      </c>
      <c r="C625" s="32">
        <f t="shared" si="370"/>
        <v>45</v>
      </c>
      <c r="D625" s="32">
        <f t="shared" si="371"/>
        <v>535</v>
      </c>
      <c r="E625" s="74">
        <f>MIN(IF(AV625=0,0,
IF(Investment_Strategy="DIS",VLOOKUP(Investment_Strategy&amp;"_"&amp;Investment_Strategy_Sub1&amp;"_"&amp;$A625,'Investment Strategies'!$AZ:$BP,12,FALSE),
IF(AND(Investment_Strategy="Lifecycle",Investment_Strategy_Sub1="Non-Standard"),VLOOKUP(Investment_Strategy&amp;"_"&amp;Investment_Strategy_Sub2&amp;"_"&amp;$A625,'Investment Strategies'!$C:$P,9,FALSE),
IF(AND(Investment_Strategy="Lifecycle",Investment_Strategy_Sub1="Standard"),VLOOKUP(Investment_Strategy&amp;"_"&amp;Investment_Strategy_Sub2&amp;"_"&amp;$A625,'Investment Strategies'!$AJ:$AV,8,FALSE),
IF(AND(Investment_Strategy="Autopilot",Investment_Strategy_Sub1="Non-Standard"),VLOOKUP(Investment_Strategy&amp;"_"&amp;Investment_Strategy_Sub2&amp;"_"&amp;$A625,'Investment Strategies'!$T:$AF,8,FALSE),
IF(Investment_Strategy ="DIY",DIY_RateOfReturn_CurrentFunds,
"Error")))))),Max_InvReturn)</f>
        <v>0</v>
      </c>
      <c r="F625" s="62">
        <f>IF(AV625=0,0,
IF(Investment_Strategy="DIS",VLOOKUP(Investment_Strategy&amp;"_"&amp;Investment_Strategy_Sub1&amp;"_"&amp;$A625,'Investment Strategies'!$AZ:$BP,15,FALSE),
IF(AND(Investment_Strategy="Lifecycle",Investment_Strategy_Sub1="Non-Standard"),VLOOKUP(Investment_Strategy&amp;"_"&amp;Investment_Strategy_Sub2&amp;"_"&amp;$A625,'Investment Strategies'!$C:$P,12,FALSE),
IF(AND(Investment_Strategy="Lifecycle",Investment_Strategy_Sub1="Standard"),VLOOKUP(Investment_Strategy&amp;"_"&amp;Investment_Strategy_Sub2&amp;"_"&amp;$A625,'Investment Strategies'!$AJ:$AV,11,FALSE),
IF(AND(Investment_Strategy="Autopilot",Investment_Strategy_Sub1="Non-Standard"),VLOOKUP(Investment_Strategy&amp;"_"&amp;Investment_Strategy_Sub2&amp;"_"&amp;$A625,'Investment Strategies'!$T:$AF,11,FALSE),
IF(Investment_Strategy="DIY",DIY_GteeChrge_CurrentFunds,
"Error"))))))</f>
        <v>0</v>
      </c>
      <c r="G625" s="33">
        <f>IF(AV625=0,0,
IF(Investment_Strategy="DIS",VLOOKUP(Investment_Strategy&amp;"_"&amp;Investment_Strategy_Sub1&amp;"_"&amp;$A625,'Investment Strategies'!$AZ:$BP,17,FALSE),
IF(AND(Investment_Strategy="Lifecycle",Investment_Strategy_Sub1="Non-Standard"),VLOOKUP(Investment_Strategy&amp;"_"&amp;Investment_Strategy_Sub2&amp;"_"&amp;$A625,'Investment Strategies'!$C:$P,14,FALSE),
IF(AND(Investment_Strategy="Lifecycle",Investment_Strategy_Sub1="Standard"),VLOOKUP(Investment_Strategy&amp;"_"&amp;Investment_Strategy_Sub2&amp;"_"&amp;$A625,'Investment Strategies'!$AJ:$AV,13,FALSE),
IF(AND(Investment_Strategy="Autopilot",Investment_Strategy_Sub1="Non-Standard"),VLOOKUP(Investment_Strategy&amp;"_"&amp;Investment_Strategy_Sub2&amp;"_"&amp;$A625,'Investment Strategies'!$T:$AF,13,FALSE),
IF(Investment_Strategy="DIY",DIY_ExtManChrge_CurrentFunds,
"Error"))))))</f>
        <v>0</v>
      </c>
      <c r="H625" s="16">
        <f t="shared" si="361"/>
        <v>0</v>
      </c>
      <c r="I625" s="16">
        <f t="shared" si="347"/>
        <v>0</v>
      </c>
      <c r="J625" s="16">
        <f t="shared" si="348"/>
        <v>0</v>
      </c>
      <c r="K625" s="16">
        <f>(Opening_Fund_Value+SUM(K$91:K624))*E625*IF(D625=$A$91,SRP_finalmonthfactor,1)</f>
        <v>0</v>
      </c>
      <c r="L625" s="74">
        <f>MIN(IF($AV625=0,0,
IF(Investment_Strategy="DIS",VLOOKUP(Investment_Strategy&amp;"_"&amp;Investment_Strategy_Sub1&amp;"_"&amp;$A625,'Investment Strategies'!$AZ:$BP,12,FALSE),
IF(AND(Investment_Strategy="Lifecycle",Investment_Strategy_Sub1="Non-Standard"),VLOOKUP(Investment_Strategy&amp;"_"&amp;Investment_Strategy_Sub2&amp;"_"&amp;$A625,'Investment Strategies'!$C:$P,9,FALSE),
IF(AND(Investment_Strategy="Lifecycle",Investment_Strategy_Sub1="Standard"),VLOOKUP(Investment_Strategy&amp;"_"&amp;Investment_Strategy_Sub2&amp;"_"&amp;$A625,'Investment Strategies'!$AJ:$AV,8,FALSE),
IF(AND(Investment_Strategy="Autopilot",Investment_Strategy_Sub1="Non-Standard"),VLOOKUP(Investment_Strategy&amp;"_"&amp;Investment_Strategy_Sub2&amp;"_"&amp;$A625,'Investment Strategies'!$T:$AF,8,FALSE),
IF(Investment_Strategy ="DIY",DIY_RateofReturn_SP,
"Error")))))),Max_InvReturn)</f>
        <v>0</v>
      </c>
      <c r="M625" s="62">
        <f>IF($AV625=0,0,
IF(Investment_Strategy="DIS",VLOOKUP(Investment_Strategy&amp;"_"&amp;Investment_Strategy_Sub1&amp;"_"&amp;$A625,'Investment Strategies'!$AZ:$BP,15,FALSE),
IF(AND(Investment_Strategy="Lifecycle",Investment_Strategy_Sub1="Non-Standard"),VLOOKUP(Investment_Strategy&amp;"_"&amp;Investment_Strategy_Sub2&amp;"_"&amp;$A625,'Investment Strategies'!$C:$P,12,FALSE),
IF(AND(Investment_Strategy="Lifecycle",Investment_Strategy_Sub1="Standard"),VLOOKUP(Investment_Strategy&amp;"_"&amp;Investment_Strategy_Sub2&amp;"_"&amp;$A625,'Investment Strategies'!$AJ:$AV,11,FALSE),
IF(AND(Investment_Strategy="Autopilot",Investment_Strategy_Sub1="Non-Standard"),VLOOKUP(Investment_Strategy&amp;"_"&amp;Investment_Strategy_Sub2&amp;"_"&amp;$A625,'Investment Strategies'!$T:$AF,11,FALSE),
IF(Investment_Strategy="DIY",DIY_GteeChrge_SP,
"Error"))))))</f>
        <v>0</v>
      </c>
      <c r="N625" s="33">
        <f>IF($AV625=0,0,
IF(Investment_Strategy="DIS",VLOOKUP(Investment_Strategy&amp;"_"&amp;Investment_Strategy_Sub1&amp;"_"&amp;$A625,'Investment Strategies'!$AZ:$BP,17,FALSE),
IF(AND(Investment_Strategy="Lifecycle",Investment_Strategy_Sub1="Non-Standard"),VLOOKUP(Investment_Strategy&amp;"_"&amp;Investment_Strategy_Sub2&amp;"_"&amp;$A625,'Investment Strategies'!$C:$P,14,FALSE),
IF(AND(Investment_Strategy="Lifecycle",Investment_Strategy_Sub1="Standard"),VLOOKUP(Investment_Strategy&amp;"_"&amp;Investment_Strategy_Sub2&amp;"_"&amp;$A625,'Investment Strategies'!$AJ:$AV,13,FALSE),
IF(AND(Investment_Strategy="Autopilot",Investment_Strategy_Sub1="Non-Standard"),VLOOKUP(Investment_Strategy&amp;"_"&amp;Investment_Strategy_Sub2&amp;"_"&amp;$A625,'Investment Strategies'!$T:$AF,13,FALSE),
IF(Investment_Strategy="DIY",DIY_ExtManChrge_SP,
"Error"))))))</f>
        <v>0</v>
      </c>
      <c r="O625" s="16">
        <f t="shared" si="372"/>
        <v>0</v>
      </c>
      <c r="Q625" s="16">
        <f t="shared" si="349"/>
        <v>0</v>
      </c>
      <c r="R625" s="16">
        <f t="shared" si="345"/>
        <v>0</v>
      </c>
      <c r="S625" s="16">
        <f>(SRP_SP+SUM(S$91:S624))*L625*IF(D625=$A$91,SRP_finalmonthfactor,1)</f>
        <v>0</v>
      </c>
      <c r="T625" s="74">
        <f>MIN(IF($AV625=0,0,
IF(Investment_Strategy="DIS",VLOOKUP(Investment_Strategy&amp;"_"&amp;Investment_Strategy_Sub1&amp;"_"&amp;$A625,'Investment Strategies'!$AZ:$BP,12,FALSE),
IF(AND(Investment_Strategy="Lifecycle",Investment_Strategy_Sub1="Non-Standard"),VLOOKUP(Investment_Strategy&amp;"_"&amp;Investment_Strategy_Sub2&amp;"_"&amp;$A625,'Investment Strategies'!$C:$P,9,FALSE),
IF(AND(Investment_Strategy="Lifecycle",Investment_Strategy_Sub1="Standard"),VLOOKUP(Investment_Strategy&amp;"_"&amp;Investment_Strategy_Sub2&amp;"_"&amp;$A625,'Investment Strategies'!$AJ:$AV,8,FALSE),
IF(AND(Investment_Strategy="Autopilot",Investment_Strategy_Sub1="Non-Standard"),VLOOKUP(Investment_Strategy&amp;"_"&amp;Investment_Strategy_Sub2&amp;"_"&amp;$A625,'Investment Strategies'!$T:$AF,8,FALSE),
IF(Investment_Strategy ="DIY",DIY_RateOfReturn_FuturePremiums,
"Error")))))),Max_InvReturn)</f>
        <v>0</v>
      </c>
      <c r="U625" s="62">
        <f>IF($AV625=0,0,
IF(Investment_Strategy="DIS",VLOOKUP(Investment_Strategy&amp;"_"&amp;Investment_Strategy_Sub1&amp;"_"&amp;$A625,'Investment Strategies'!$AZ:$BP,15,FALSE),
IF(AND(Investment_Strategy="Lifecycle",Investment_Strategy_Sub1="Non-Standard"),VLOOKUP(Investment_Strategy&amp;"_"&amp;Investment_Strategy_Sub2&amp;"_"&amp;$A625,'Investment Strategies'!$C:$P,12,FALSE),
IF(AND(Investment_Strategy="Lifecycle",Investment_Strategy_Sub1="Standard"),VLOOKUP(Investment_Strategy&amp;"_"&amp;Investment_Strategy_Sub2&amp;"_"&amp;$A625,'Investment Strategies'!$AJ:$AV,11,FALSE),
IF(AND(Investment_Strategy="Autopilot",Investment_Strategy_Sub1="Non-Standard"),VLOOKUP(Investment_Strategy&amp;"_"&amp;Investment_Strategy_Sub2&amp;"_"&amp;$A625,'Investment Strategies'!$T:$AF,11,FALSE),
IF(Investment_Strategy="DIY",DIY_GteeChrge_FuturePremiums,
"Error"))))))</f>
        <v>0</v>
      </c>
      <c r="V625" s="33">
        <f>IF(AV625=0,0,
IF(Investment_Strategy="DIS",VLOOKUP(Investment_Strategy&amp;"_"&amp;Investment_Strategy_Sub1&amp;"_"&amp;$A625,'Investment Strategies'!$AZ:$BP,17,FALSE),
IF(AND(Investment_Strategy="Lifecycle",Investment_Strategy_Sub1="Non-Standard"),VLOOKUP(Investment_Strategy&amp;"_"&amp;Investment_Strategy_Sub2&amp;"_"&amp;$A625,'Investment Strategies'!$C:$P,14,FALSE),
IF(AND(Investment_Strategy="Lifecycle",Investment_Strategy_Sub1="Standard"),VLOOKUP(Investment_Strategy&amp;"_"&amp;Investment_Strategy_Sub2&amp;"_"&amp;$A625,'Investment Strategies'!$AJ:$AV,13,FALSE),
IF(AND(Investment_Strategy="Autopilot",Investment_Strategy_Sub1="Non-Standard"),VLOOKUP(Investment_Strategy&amp;"_"&amp;Investment_Strategy_Sub2&amp;"_"&amp;$A625,'Investment Strategies'!$T:$AF,13,FALSE),
IF(Investment_Strategy="DIY",DIY_ExtManChrge_FuturePremiums,
"Error"))))))</f>
        <v>0</v>
      </c>
      <c r="W625" s="16">
        <f t="shared" si="373"/>
        <v>0</v>
      </c>
      <c r="X625" s="16">
        <f t="shared" si="350"/>
        <v>0</v>
      </c>
      <c r="Y625" s="16">
        <f t="shared" si="351"/>
        <v>0</v>
      </c>
      <c r="Z625" s="31">
        <f t="shared" si="352"/>
        <v>0.02</v>
      </c>
      <c r="AA625" s="16">
        <f t="shared" si="353"/>
        <v>0</v>
      </c>
      <c r="AB625" s="28">
        <f t="shared" si="374"/>
        <v>0</v>
      </c>
      <c r="AC625" s="28">
        <f>(SUM($AC$91:AC624)+SUM($X$91:X624)+X625)*T625*IF(D625=$A$91,SRP_finalmonthfactor,1)</f>
        <v>0</v>
      </c>
      <c r="AD625" s="16">
        <f t="shared" si="354"/>
        <v>0</v>
      </c>
      <c r="AE625" s="106"/>
      <c r="AF625" s="16">
        <f t="shared" si="362"/>
        <v>0</v>
      </c>
      <c r="AG625" s="16">
        <f t="shared" si="363"/>
        <v>0</v>
      </c>
      <c r="AH625" s="16">
        <f t="shared" si="364"/>
        <v>0</v>
      </c>
      <c r="AJ625" s="13">
        <f t="shared" si="376"/>
        <v>0</v>
      </c>
      <c r="AK625" s="13">
        <f t="shared" si="376"/>
        <v>0</v>
      </c>
      <c r="AL625" s="13">
        <f t="shared" si="376"/>
        <v>0</v>
      </c>
      <c r="AM625" s="13">
        <f t="shared" si="376"/>
        <v>0</v>
      </c>
      <c r="AN625" s="13">
        <f t="shared" si="376"/>
        <v>0</v>
      </c>
      <c r="AO625" s="13">
        <f t="shared" si="376"/>
        <v>1</v>
      </c>
      <c r="AP625" s="13">
        <f t="shared" si="376"/>
        <v>1</v>
      </c>
      <c r="AQ625" s="13">
        <f t="shared" si="376"/>
        <v>1</v>
      </c>
      <c r="AR625" s="13">
        <f t="shared" si="376"/>
        <v>0</v>
      </c>
      <c r="AS625" s="13">
        <f t="shared" si="376"/>
        <v>0</v>
      </c>
      <c r="AT625" s="13">
        <f t="shared" si="376"/>
        <v>0</v>
      </c>
      <c r="AU625" s="13">
        <f t="shared" si="376"/>
        <v>0</v>
      </c>
      <c r="AV625" s="13">
        <f t="shared" si="355"/>
        <v>0</v>
      </c>
      <c r="AW625" s="13">
        <f t="shared" si="356"/>
        <v>1</v>
      </c>
      <c r="AY625" s="17">
        <f t="shared" si="357"/>
        <v>535</v>
      </c>
      <c r="AZ625" s="28">
        <f t="shared" si="365"/>
        <v>0</v>
      </c>
      <c r="BA625" s="13">
        <f t="shared" si="358"/>
        <v>0</v>
      </c>
      <c r="BB625" s="13">
        <f t="shared" si="359"/>
        <v>0</v>
      </c>
      <c r="BC625" s="28">
        <f t="shared" si="366"/>
        <v>0</v>
      </c>
      <c r="BD625" s="28">
        <f t="shared" si="367"/>
        <v>0</v>
      </c>
      <c r="BF625" s="248">
        <f t="shared" si="368"/>
        <v>993869.29442638322</v>
      </c>
    </row>
    <row r="626" spans="1:58">
      <c r="A626" s="32">
        <f t="shared" si="369"/>
        <v>-451</v>
      </c>
      <c r="B626" s="32">
        <f t="shared" si="360"/>
        <v>97</v>
      </c>
      <c r="C626" s="32">
        <f t="shared" si="370"/>
        <v>45</v>
      </c>
      <c r="D626" s="32">
        <f t="shared" si="371"/>
        <v>536</v>
      </c>
      <c r="E626" s="74">
        <f>MIN(IF(AV626=0,0,
IF(Investment_Strategy="DIS",VLOOKUP(Investment_Strategy&amp;"_"&amp;Investment_Strategy_Sub1&amp;"_"&amp;$A626,'Investment Strategies'!$AZ:$BP,12,FALSE),
IF(AND(Investment_Strategy="Lifecycle",Investment_Strategy_Sub1="Non-Standard"),VLOOKUP(Investment_Strategy&amp;"_"&amp;Investment_Strategy_Sub2&amp;"_"&amp;$A626,'Investment Strategies'!$C:$P,9,FALSE),
IF(AND(Investment_Strategy="Lifecycle",Investment_Strategy_Sub1="Standard"),VLOOKUP(Investment_Strategy&amp;"_"&amp;Investment_Strategy_Sub2&amp;"_"&amp;$A626,'Investment Strategies'!$AJ:$AV,8,FALSE),
IF(AND(Investment_Strategy="Autopilot",Investment_Strategy_Sub1="Non-Standard"),VLOOKUP(Investment_Strategy&amp;"_"&amp;Investment_Strategy_Sub2&amp;"_"&amp;$A626,'Investment Strategies'!$T:$AF,8,FALSE),
IF(Investment_Strategy ="DIY",DIY_RateOfReturn_CurrentFunds,
"Error")))))),Max_InvReturn)</f>
        <v>0</v>
      </c>
      <c r="F626" s="62">
        <f>IF(AV626=0,0,
IF(Investment_Strategy="DIS",VLOOKUP(Investment_Strategy&amp;"_"&amp;Investment_Strategy_Sub1&amp;"_"&amp;$A626,'Investment Strategies'!$AZ:$BP,15,FALSE),
IF(AND(Investment_Strategy="Lifecycle",Investment_Strategy_Sub1="Non-Standard"),VLOOKUP(Investment_Strategy&amp;"_"&amp;Investment_Strategy_Sub2&amp;"_"&amp;$A626,'Investment Strategies'!$C:$P,12,FALSE),
IF(AND(Investment_Strategy="Lifecycle",Investment_Strategy_Sub1="Standard"),VLOOKUP(Investment_Strategy&amp;"_"&amp;Investment_Strategy_Sub2&amp;"_"&amp;$A626,'Investment Strategies'!$AJ:$AV,11,FALSE),
IF(AND(Investment_Strategy="Autopilot",Investment_Strategy_Sub1="Non-Standard"),VLOOKUP(Investment_Strategy&amp;"_"&amp;Investment_Strategy_Sub2&amp;"_"&amp;$A626,'Investment Strategies'!$T:$AF,11,FALSE),
IF(Investment_Strategy="DIY",DIY_GteeChrge_CurrentFunds,
"Error"))))))</f>
        <v>0</v>
      </c>
      <c r="G626" s="33">
        <f>IF(AV626=0,0,
IF(Investment_Strategy="DIS",VLOOKUP(Investment_Strategy&amp;"_"&amp;Investment_Strategy_Sub1&amp;"_"&amp;$A626,'Investment Strategies'!$AZ:$BP,17,FALSE),
IF(AND(Investment_Strategy="Lifecycle",Investment_Strategy_Sub1="Non-Standard"),VLOOKUP(Investment_Strategy&amp;"_"&amp;Investment_Strategy_Sub2&amp;"_"&amp;$A626,'Investment Strategies'!$C:$P,14,FALSE),
IF(AND(Investment_Strategy="Lifecycle",Investment_Strategy_Sub1="Standard"),VLOOKUP(Investment_Strategy&amp;"_"&amp;Investment_Strategy_Sub2&amp;"_"&amp;$A626,'Investment Strategies'!$AJ:$AV,13,FALSE),
IF(AND(Investment_Strategy="Autopilot",Investment_Strategy_Sub1="Non-Standard"),VLOOKUP(Investment_Strategy&amp;"_"&amp;Investment_Strategy_Sub2&amp;"_"&amp;$A626,'Investment Strategies'!$T:$AF,13,FALSE),
IF(Investment_Strategy="DIY",DIY_ExtManChrge_CurrentFunds,
"Error"))))))</f>
        <v>0</v>
      </c>
      <c r="H626" s="16">
        <f t="shared" si="361"/>
        <v>0</v>
      </c>
      <c r="I626" s="16">
        <f t="shared" si="347"/>
        <v>0</v>
      </c>
      <c r="J626" s="16">
        <f t="shared" si="348"/>
        <v>0</v>
      </c>
      <c r="K626" s="16">
        <f>(Opening_Fund_Value+SUM(K$91:K625))*E626*IF(D626=$A$91,SRP_finalmonthfactor,1)</f>
        <v>0</v>
      </c>
      <c r="L626" s="74">
        <f>MIN(IF($AV626=0,0,
IF(Investment_Strategy="DIS",VLOOKUP(Investment_Strategy&amp;"_"&amp;Investment_Strategy_Sub1&amp;"_"&amp;$A626,'Investment Strategies'!$AZ:$BP,12,FALSE),
IF(AND(Investment_Strategy="Lifecycle",Investment_Strategy_Sub1="Non-Standard"),VLOOKUP(Investment_Strategy&amp;"_"&amp;Investment_Strategy_Sub2&amp;"_"&amp;$A626,'Investment Strategies'!$C:$P,9,FALSE),
IF(AND(Investment_Strategy="Lifecycle",Investment_Strategy_Sub1="Standard"),VLOOKUP(Investment_Strategy&amp;"_"&amp;Investment_Strategy_Sub2&amp;"_"&amp;$A626,'Investment Strategies'!$AJ:$AV,8,FALSE),
IF(AND(Investment_Strategy="Autopilot",Investment_Strategy_Sub1="Non-Standard"),VLOOKUP(Investment_Strategy&amp;"_"&amp;Investment_Strategy_Sub2&amp;"_"&amp;$A626,'Investment Strategies'!$T:$AF,8,FALSE),
IF(Investment_Strategy ="DIY",DIY_RateofReturn_SP,
"Error")))))),Max_InvReturn)</f>
        <v>0</v>
      </c>
      <c r="M626" s="62">
        <f>IF($AV626=0,0,
IF(Investment_Strategy="DIS",VLOOKUP(Investment_Strategy&amp;"_"&amp;Investment_Strategy_Sub1&amp;"_"&amp;$A626,'Investment Strategies'!$AZ:$BP,15,FALSE),
IF(AND(Investment_Strategy="Lifecycle",Investment_Strategy_Sub1="Non-Standard"),VLOOKUP(Investment_Strategy&amp;"_"&amp;Investment_Strategy_Sub2&amp;"_"&amp;$A626,'Investment Strategies'!$C:$P,12,FALSE),
IF(AND(Investment_Strategy="Lifecycle",Investment_Strategy_Sub1="Standard"),VLOOKUP(Investment_Strategy&amp;"_"&amp;Investment_Strategy_Sub2&amp;"_"&amp;$A626,'Investment Strategies'!$AJ:$AV,11,FALSE),
IF(AND(Investment_Strategy="Autopilot",Investment_Strategy_Sub1="Non-Standard"),VLOOKUP(Investment_Strategy&amp;"_"&amp;Investment_Strategy_Sub2&amp;"_"&amp;$A626,'Investment Strategies'!$T:$AF,11,FALSE),
IF(Investment_Strategy="DIY",DIY_GteeChrge_SP,
"Error"))))))</f>
        <v>0</v>
      </c>
      <c r="N626" s="33">
        <f>IF($AV626=0,0,
IF(Investment_Strategy="DIS",VLOOKUP(Investment_Strategy&amp;"_"&amp;Investment_Strategy_Sub1&amp;"_"&amp;$A626,'Investment Strategies'!$AZ:$BP,17,FALSE),
IF(AND(Investment_Strategy="Lifecycle",Investment_Strategy_Sub1="Non-Standard"),VLOOKUP(Investment_Strategy&amp;"_"&amp;Investment_Strategy_Sub2&amp;"_"&amp;$A626,'Investment Strategies'!$C:$P,14,FALSE),
IF(AND(Investment_Strategy="Lifecycle",Investment_Strategy_Sub1="Standard"),VLOOKUP(Investment_Strategy&amp;"_"&amp;Investment_Strategy_Sub2&amp;"_"&amp;$A626,'Investment Strategies'!$AJ:$AV,13,FALSE),
IF(AND(Investment_Strategy="Autopilot",Investment_Strategy_Sub1="Non-Standard"),VLOOKUP(Investment_Strategy&amp;"_"&amp;Investment_Strategy_Sub2&amp;"_"&amp;$A626,'Investment Strategies'!$T:$AF,13,FALSE),
IF(Investment_Strategy="DIY",DIY_ExtManChrge_SP,
"Error"))))))</f>
        <v>0</v>
      </c>
      <c r="O626" s="16">
        <f t="shared" si="372"/>
        <v>0</v>
      </c>
      <c r="Q626" s="16">
        <f t="shared" si="349"/>
        <v>0</v>
      </c>
      <c r="R626" s="16">
        <f t="shared" si="345"/>
        <v>0</v>
      </c>
      <c r="S626" s="16">
        <f>(SRP_SP+SUM(S$91:S625))*L626*IF(D626=$A$91,SRP_finalmonthfactor,1)</f>
        <v>0</v>
      </c>
      <c r="T626" s="74">
        <f>MIN(IF($AV626=0,0,
IF(Investment_Strategy="DIS",VLOOKUP(Investment_Strategy&amp;"_"&amp;Investment_Strategy_Sub1&amp;"_"&amp;$A626,'Investment Strategies'!$AZ:$BP,12,FALSE),
IF(AND(Investment_Strategy="Lifecycle",Investment_Strategy_Sub1="Non-Standard"),VLOOKUP(Investment_Strategy&amp;"_"&amp;Investment_Strategy_Sub2&amp;"_"&amp;$A626,'Investment Strategies'!$C:$P,9,FALSE),
IF(AND(Investment_Strategy="Lifecycle",Investment_Strategy_Sub1="Standard"),VLOOKUP(Investment_Strategy&amp;"_"&amp;Investment_Strategy_Sub2&amp;"_"&amp;$A626,'Investment Strategies'!$AJ:$AV,8,FALSE),
IF(AND(Investment_Strategy="Autopilot",Investment_Strategy_Sub1="Non-Standard"),VLOOKUP(Investment_Strategy&amp;"_"&amp;Investment_Strategy_Sub2&amp;"_"&amp;$A626,'Investment Strategies'!$T:$AF,8,FALSE),
IF(Investment_Strategy ="DIY",DIY_RateOfReturn_FuturePremiums,
"Error")))))),Max_InvReturn)</f>
        <v>0</v>
      </c>
      <c r="U626" s="62">
        <f>IF($AV626=0,0,
IF(Investment_Strategy="DIS",VLOOKUP(Investment_Strategy&amp;"_"&amp;Investment_Strategy_Sub1&amp;"_"&amp;$A626,'Investment Strategies'!$AZ:$BP,15,FALSE),
IF(AND(Investment_Strategy="Lifecycle",Investment_Strategy_Sub1="Non-Standard"),VLOOKUP(Investment_Strategy&amp;"_"&amp;Investment_Strategy_Sub2&amp;"_"&amp;$A626,'Investment Strategies'!$C:$P,12,FALSE),
IF(AND(Investment_Strategy="Lifecycle",Investment_Strategy_Sub1="Standard"),VLOOKUP(Investment_Strategy&amp;"_"&amp;Investment_Strategy_Sub2&amp;"_"&amp;$A626,'Investment Strategies'!$AJ:$AV,11,FALSE),
IF(AND(Investment_Strategy="Autopilot",Investment_Strategy_Sub1="Non-Standard"),VLOOKUP(Investment_Strategy&amp;"_"&amp;Investment_Strategy_Sub2&amp;"_"&amp;$A626,'Investment Strategies'!$T:$AF,11,FALSE),
IF(Investment_Strategy="DIY",DIY_GteeChrge_FuturePremiums,
"Error"))))))</f>
        <v>0</v>
      </c>
      <c r="V626" s="33">
        <f>IF(AV626=0,0,
IF(Investment_Strategy="DIS",VLOOKUP(Investment_Strategy&amp;"_"&amp;Investment_Strategy_Sub1&amp;"_"&amp;$A626,'Investment Strategies'!$AZ:$BP,17,FALSE),
IF(AND(Investment_Strategy="Lifecycle",Investment_Strategy_Sub1="Non-Standard"),VLOOKUP(Investment_Strategy&amp;"_"&amp;Investment_Strategy_Sub2&amp;"_"&amp;$A626,'Investment Strategies'!$C:$P,14,FALSE),
IF(AND(Investment_Strategy="Lifecycle",Investment_Strategy_Sub1="Standard"),VLOOKUP(Investment_Strategy&amp;"_"&amp;Investment_Strategy_Sub2&amp;"_"&amp;$A626,'Investment Strategies'!$AJ:$AV,13,FALSE),
IF(AND(Investment_Strategy="Autopilot",Investment_Strategy_Sub1="Non-Standard"),VLOOKUP(Investment_Strategy&amp;"_"&amp;Investment_Strategy_Sub2&amp;"_"&amp;$A626,'Investment Strategies'!$T:$AF,13,FALSE),
IF(Investment_Strategy="DIY",DIY_ExtManChrge_FuturePremiums,
"Error"))))))</f>
        <v>0</v>
      </c>
      <c r="W626" s="16">
        <f t="shared" si="373"/>
        <v>0</v>
      </c>
      <c r="X626" s="16">
        <f t="shared" si="350"/>
        <v>0</v>
      </c>
      <c r="Y626" s="16">
        <f t="shared" si="351"/>
        <v>0</v>
      </c>
      <c r="Z626" s="31">
        <f t="shared" si="352"/>
        <v>0.02</v>
      </c>
      <c r="AA626" s="16">
        <f t="shared" si="353"/>
        <v>0</v>
      </c>
      <c r="AB626" s="28">
        <f t="shared" si="374"/>
        <v>0</v>
      </c>
      <c r="AC626" s="28">
        <f>(SUM($AC$91:AC625)+SUM($X$91:X625)+X626)*T626*IF(D626=$A$91,SRP_finalmonthfactor,1)</f>
        <v>0</v>
      </c>
      <c r="AD626" s="16">
        <f t="shared" si="354"/>
        <v>0</v>
      </c>
      <c r="AE626" s="106"/>
      <c r="AF626" s="16">
        <f t="shared" si="362"/>
        <v>0</v>
      </c>
      <c r="AG626" s="16">
        <f t="shared" si="363"/>
        <v>0</v>
      </c>
      <c r="AH626" s="16">
        <f t="shared" si="364"/>
        <v>0</v>
      </c>
      <c r="AJ626" s="13">
        <f t="shared" si="376"/>
        <v>0</v>
      </c>
      <c r="AK626" s="13">
        <f t="shared" si="376"/>
        <v>0</v>
      </c>
      <c r="AL626" s="13">
        <f t="shared" si="376"/>
        <v>0</v>
      </c>
      <c r="AM626" s="13">
        <f t="shared" si="376"/>
        <v>0</v>
      </c>
      <c r="AN626" s="13">
        <f t="shared" si="376"/>
        <v>0</v>
      </c>
      <c r="AO626" s="13">
        <f t="shared" si="376"/>
        <v>1</v>
      </c>
      <c r="AP626" s="13">
        <f t="shared" si="376"/>
        <v>1</v>
      </c>
      <c r="AQ626" s="13">
        <f t="shared" si="376"/>
        <v>1</v>
      </c>
      <c r="AR626" s="13">
        <f t="shared" si="376"/>
        <v>0</v>
      </c>
      <c r="AS626" s="13">
        <f t="shared" si="376"/>
        <v>0</v>
      </c>
      <c r="AT626" s="13">
        <f t="shared" si="376"/>
        <v>0</v>
      </c>
      <c r="AU626" s="13">
        <f t="shared" si="376"/>
        <v>0</v>
      </c>
      <c r="AV626" s="13">
        <f t="shared" si="355"/>
        <v>0</v>
      </c>
      <c r="AW626" s="13">
        <f t="shared" si="356"/>
        <v>1</v>
      </c>
      <c r="AY626" s="17">
        <f t="shared" si="357"/>
        <v>536</v>
      </c>
      <c r="AZ626" s="28">
        <f t="shared" si="365"/>
        <v>0</v>
      </c>
      <c r="BA626" s="13">
        <f t="shared" si="358"/>
        <v>0</v>
      </c>
      <c r="BB626" s="13">
        <f t="shared" si="359"/>
        <v>0</v>
      </c>
      <c r="BC626" s="28">
        <f t="shared" si="366"/>
        <v>0</v>
      </c>
      <c r="BD626" s="28">
        <f t="shared" si="367"/>
        <v>0</v>
      </c>
      <c r="BF626" s="248">
        <f t="shared" si="368"/>
        <v>993869.29442638322</v>
      </c>
    </row>
    <row r="627" spans="1:58">
      <c r="A627" s="32">
        <f t="shared" si="369"/>
        <v>-452</v>
      </c>
      <c r="B627" s="32">
        <f t="shared" si="360"/>
        <v>97</v>
      </c>
      <c r="C627" s="32">
        <f t="shared" si="370"/>
        <v>45</v>
      </c>
      <c r="D627" s="32">
        <f t="shared" si="371"/>
        <v>537</v>
      </c>
      <c r="E627" s="74">
        <f>MIN(IF(AV627=0,0,
IF(Investment_Strategy="DIS",VLOOKUP(Investment_Strategy&amp;"_"&amp;Investment_Strategy_Sub1&amp;"_"&amp;$A627,'Investment Strategies'!$AZ:$BP,12,FALSE),
IF(AND(Investment_Strategy="Lifecycle",Investment_Strategy_Sub1="Non-Standard"),VLOOKUP(Investment_Strategy&amp;"_"&amp;Investment_Strategy_Sub2&amp;"_"&amp;$A627,'Investment Strategies'!$C:$P,9,FALSE),
IF(AND(Investment_Strategy="Lifecycle",Investment_Strategy_Sub1="Standard"),VLOOKUP(Investment_Strategy&amp;"_"&amp;Investment_Strategy_Sub2&amp;"_"&amp;$A627,'Investment Strategies'!$AJ:$AV,8,FALSE),
IF(AND(Investment_Strategy="Autopilot",Investment_Strategy_Sub1="Non-Standard"),VLOOKUP(Investment_Strategy&amp;"_"&amp;Investment_Strategy_Sub2&amp;"_"&amp;$A627,'Investment Strategies'!$T:$AF,8,FALSE),
IF(Investment_Strategy ="DIY",DIY_RateOfReturn_CurrentFunds,
"Error")))))),Max_InvReturn)</f>
        <v>0</v>
      </c>
      <c r="F627" s="62">
        <f>IF(AV627=0,0,
IF(Investment_Strategy="DIS",VLOOKUP(Investment_Strategy&amp;"_"&amp;Investment_Strategy_Sub1&amp;"_"&amp;$A627,'Investment Strategies'!$AZ:$BP,15,FALSE),
IF(AND(Investment_Strategy="Lifecycle",Investment_Strategy_Sub1="Non-Standard"),VLOOKUP(Investment_Strategy&amp;"_"&amp;Investment_Strategy_Sub2&amp;"_"&amp;$A627,'Investment Strategies'!$C:$P,12,FALSE),
IF(AND(Investment_Strategy="Lifecycle",Investment_Strategy_Sub1="Standard"),VLOOKUP(Investment_Strategy&amp;"_"&amp;Investment_Strategy_Sub2&amp;"_"&amp;$A627,'Investment Strategies'!$AJ:$AV,11,FALSE),
IF(AND(Investment_Strategy="Autopilot",Investment_Strategy_Sub1="Non-Standard"),VLOOKUP(Investment_Strategy&amp;"_"&amp;Investment_Strategy_Sub2&amp;"_"&amp;$A627,'Investment Strategies'!$T:$AF,11,FALSE),
IF(Investment_Strategy="DIY",DIY_GteeChrge_CurrentFunds,
"Error"))))))</f>
        <v>0</v>
      </c>
      <c r="G627" s="33">
        <f>IF(AV627=0,0,
IF(Investment_Strategy="DIS",VLOOKUP(Investment_Strategy&amp;"_"&amp;Investment_Strategy_Sub1&amp;"_"&amp;$A627,'Investment Strategies'!$AZ:$BP,17,FALSE),
IF(AND(Investment_Strategy="Lifecycle",Investment_Strategy_Sub1="Non-Standard"),VLOOKUP(Investment_Strategy&amp;"_"&amp;Investment_Strategy_Sub2&amp;"_"&amp;$A627,'Investment Strategies'!$C:$P,14,FALSE),
IF(AND(Investment_Strategy="Lifecycle",Investment_Strategy_Sub1="Standard"),VLOOKUP(Investment_Strategy&amp;"_"&amp;Investment_Strategy_Sub2&amp;"_"&amp;$A627,'Investment Strategies'!$AJ:$AV,13,FALSE),
IF(AND(Investment_Strategy="Autopilot",Investment_Strategy_Sub1="Non-Standard"),VLOOKUP(Investment_Strategy&amp;"_"&amp;Investment_Strategy_Sub2&amp;"_"&amp;$A627,'Investment Strategies'!$T:$AF,13,FALSE),
IF(Investment_Strategy="DIY",DIY_ExtManChrge_CurrentFunds,
"Error"))))))</f>
        <v>0</v>
      </c>
      <c r="H627" s="16">
        <f t="shared" si="361"/>
        <v>0</v>
      </c>
      <c r="I627" s="16">
        <f t="shared" si="347"/>
        <v>0</v>
      </c>
      <c r="J627" s="16">
        <f t="shared" si="348"/>
        <v>0</v>
      </c>
      <c r="K627" s="16">
        <f>(Opening_Fund_Value+SUM(K$91:K626))*E627*IF(D627=$A$91,SRP_finalmonthfactor,1)</f>
        <v>0</v>
      </c>
      <c r="L627" s="74">
        <f>MIN(IF($AV627=0,0,
IF(Investment_Strategy="DIS",VLOOKUP(Investment_Strategy&amp;"_"&amp;Investment_Strategy_Sub1&amp;"_"&amp;$A627,'Investment Strategies'!$AZ:$BP,12,FALSE),
IF(AND(Investment_Strategy="Lifecycle",Investment_Strategy_Sub1="Non-Standard"),VLOOKUP(Investment_Strategy&amp;"_"&amp;Investment_Strategy_Sub2&amp;"_"&amp;$A627,'Investment Strategies'!$C:$P,9,FALSE),
IF(AND(Investment_Strategy="Lifecycle",Investment_Strategy_Sub1="Standard"),VLOOKUP(Investment_Strategy&amp;"_"&amp;Investment_Strategy_Sub2&amp;"_"&amp;$A627,'Investment Strategies'!$AJ:$AV,8,FALSE),
IF(AND(Investment_Strategy="Autopilot",Investment_Strategy_Sub1="Non-Standard"),VLOOKUP(Investment_Strategy&amp;"_"&amp;Investment_Strategy_Sub2&amp;"_"&amp;$A627,'Investment Strategies'!$T:$AF,8,FALSE),
IF(Investment_Strategy ="DIY",DIY_RateofReturn_SP,
"Error")))))),Max_InvReturn)</f>
        <v>0</v>
      </c>
      <c r="M627" s="62">
        <f>IF($AV627=0,0,
IF(Investment_Strategy="DIS",VLOOKUP(Investment_Strategy&amp;"_"&amp;Investment_Strategy_Sub1&amp;"_"&amp;$A627,'Investment Strategies'!$AZ:$BP,15,FALSE),
IF(AND(Investment_Strategy="Lifecycle",Investment_Strategy_Sub1="Non-Standard"),VLOOKUP(Investment_Strategy&amp;"_"&amp;Investment_Strategy_Sub2&amp;"_"&amp;$A627,'Investment Strategies'!$C:$P,12,FALSE),
IF(AND(Investment_Strategy="Lifecycle",Investment_Strategy_Sub1="Standard"),VLOOKUP(Investment_Strategy&amp;"_"&amp;Investment_Strategy_Sub2&amp;"_"&amp;$A627,'Investment Strategies'!$AJ:$AV,11,FALSE),
IF(AND(Investment_Strategy="Autopilot",Investment_Strategy_Sub1="Non-Standard"),VLOOKUP(Investment_Strategy&amp;"_"&amp;Investment_Strategy_Sub2&amp;"_"&amp;$A627,'Investment Strategies'!$T:$AF,11,FALSE),
IF(Investment_Strategy="DIY",DIY_GteeChrge_SP,
"Error"))))))</f>
        <v>0</v>
      </c>
      <c r="N627" s="33">
        <f>IF($AV627=0,0,
IF(Investment_Strategy="DIS",VLOOKUP(Investment_Strategy&amp;"_"&amp;Investment_Strategy_Sub1&amp;"_"&amp;$A627,'Investment Strategies'!$AZ:$BP,17,FALSE),
IF(AND(Investment_Strategy="Lifecycle",Investment_Strategy_Sub1="Non-Standard"),VLOOKUP(Investment_Strategy&amp;"_"&amp;Investment_Strategy_Sub2&amp;"_"&amp;$A627,'Investment Strategies'!$C:$P,14,FALSE),
IF(AND(Investment_Strategy="Lifecycle",Investment_Strategy_Sub1="Standard"),VLOOKUP(Investment_Strategy&amp;"_"&amp;Investment_Strategy_Sub2&amp;"_"&amp;$A627,'Investment Strategies'!$AJ:$AV,13,FALSE),
IF(AND(Investment_Strategy="Autopilot",Investment_Strategy_Sub1="Non-Standard"),VLOOKUP(Investment_Strategy&amp;"_"&amp;Investment_Strategy_Sub2&amp;"_"&amp;$A627,'Investment Strategies'!$T:$AF,13,FALSE),
IF(Investment_Strategy="DIY",DIY_ExtManChrge_SP,
"Error"))))))</f>
        <v>0</v>
      </c>
      <c r="O627" s="16">
        <f t="shared" si="372"/>
        <v>0</v>
      </c>
      <c r="Q627" s="16">
        <f t="shared" si="349"/>
        <v>0</v>
      </c>
      <c r="R627" s="16">
        <f t="shared" si="345"/>
        <v>0</v>
      </c>
      <c r="S627" s="16">
        <f>(SRP_SP+SUM(S$91:S626))*L627*IF(D627=$A$91,SRP_finalmonthfactor,1)</f>
        <v>0</v>
      </c>
      <c r="T627" s="74">
        <f>MIN(IF($AV627=0,0,
IF(Investment_Strategy="DIS",VLOOKUP(Investment_Strategy&amp;"_"&amp;Investment_Strategy_Sub1&amp;"_"&amp;$A627,'Investment Strategies'!$AZ:$BP,12,FALSE),
IF(AND(Investment_Strategy="Lifecycle",Investment_Strategy_Sub1="Non-Standard"),VLOOKUP(Investment_Strategy&amp;"_"&amp;Investment_Strategy_Sub2&amp;"_"&amp;$A627,'Investment Strategies'!$C:$P,9,FALSE),
IF(AND(Investment_Strategy="Lifecycle",Investment_Strategy_Sub1="Standard"),VLOOKUP(Investment_Strategy&amp;"_"&amp;Investment_Strategy_Sub2&amp;"_"&amp;$A627,'Investment Strategies'!$AJ:$AV,8,FALSE),
IF(AND(Investment_Strategy="Autopilot",Investment_Strategy_Sub1="Non-Standard"),VLOOKUP(Investment_Strategy&amp;"_"&amp;Investment_Strategy_Sub2&amp;"_"&amp;$A627,'Investment Strategies'!$T:$AF,8,FALSE),
IF(Investment_Strategy ="DIY",DIY_RateOfReturn_FuturePremiums,
"Error")))))),Max_InvReturn)</f>
        <v>0</v>
      </c>
      <c r="U627" s="62">
        <f>IF($AV627=0,0,
IF(Investment_Strategy="DIS",VLOOKUP(Investment_Strategy&amp;"_"&amp;Investment_Strategy_Sub1&amp;"_"&amp;$A627,'Investment Strategies'!$AZ:$BP,15,FALSE),
IF(AND(Investment_Strategy="Lifecycle",Investment_Strategy_Sub1="Non-Standard"),VLOOKUP(Investment_Strategy&amp;"_"&amp;Investment_Strategy_Sub2&amp;"_"&amp;$A627,'Investment Strategies'!$C:$P,12,FALSE),
IF(AND(Investment_Strategy="Lifecycle",Investment_Strategy_Sub1="Standard"),VLOOKUP(Investment_Strategy&amp;"_"&amp;Investment_Strategy_Sub2&amp;"_"&amp;$A627,'Investment Strategies'!$AJ:$AV,11,FALSE),
IF(AND(Investment_Strategy="Autopilot",Investment_Strategy_Sub1="Non-Standard"),VLOOKUP(Investment_Strategy&amp;"_"&amp;Investment_Strategy_Sub2&amp;"_"&amp;$A627,'Investment Strategies'!$T:$AF,11,FALSE),
IF(Investment_Strategy="DIY",DIY_GteeChrge_FuturePremiums,
"Error"))))))</f>
        <v>0</v>
      </c>
      <c r="V627" s="33">
        <f>IF(AV627=0,0,
IF(Investment_Strategy="DIS",VLOOKUP(Investment_Strategy&amp;"_"&amp;Investment_Strategy_Sub1&amp;"_"&amp;$A627,'Investment Strategies'!$AZ:$BP,17,FALSE),
IF(AND(Investment_Strategy="Lifecycle",Investment_Strategy_Sub1="Non-Standard"),VLOOKUP(Investment_Strategy&amp;"_"&amp;Investment_Strategy_Sub2&amp;"_"&amp;$A627,'Investment Strategies'!$C:$P,14,FALSE),
IF(AND(Investment_Strategy="Lifecycle",Investment_Strategy_Sub1="Standard"),VLOOKUP(Investment_Strategy&amp;"_"&amp;Investment_Strategy_Sub2&amp;"_"&amp;$A627,'Investment Strategies'!$AJ:$AV,13,FALSE),
IF(AND(Investment_Strategy="Autopilot",Investment_Strategy_Sub1="Non-Standard"),VLOOKUP(Investment_Strategy&amp;"_"&amp;Investment_Strategy_Sub2&amp;"_"&amp;$A627,'Investment Strategies'!$T:$AF,13,FALSE),
IF(Investment_Strategy="DIY",DIY_ExtManChrge_FuturePremiums,
"Error"))))))</f>
        <v>0</v>
      </c>
      <c r="W627" s="16">
        <f t="shared" si="373"/>
        <v>0</v>
      </c>
      <c r="X627" s="16">
        <f t="shared" si="350"/>
        <v>0</v>
      </c>
      <c r="Y627" s="16">
        <f t="shared" si="351"/>
        <v>0</v>
      </c>
      <c r="Z627" s="31">
        <f t="shared" si="352"/>
        <v>0.02</v>
      </c>
      <c r="AA627" s="16">
        <f t="shared" si="353"/>
        <v>0</v>
      </c>
      <c r="AB627" s="28">
        <f t="shared" si="374"/>
        <v>0</v>
      </c>
      <c r="AC627" s="28">
        <f>(SUM($AC$91:AC626)+SUM($X$91:X626)+X627)*T627*IF(D627=$A$91,SRP_finalmonthfactor,1)</f>
        <v>0</v>
      </c>
      <c r="AD627" s="16">
        <f t="shared" si="354"/>
        <v>0</v>
      </c>
      <c r="AE627" s="106"/>
      <c r="AF627" s="16">
        <f t="shared" si="362"/>
        <v>0</v>
      </c>
      <c r="AG627" s="16">
        <f t="shared" si="363"/>
        <v>0</v>
      </c>
      <c r="AH627" s="16">
        <f t="shared" si="364"/>
        <v>0</v>
      </c>
      <c r="AJ627" s="13">
        <f t="shared" si="376"/>
        <v>0</v>
      </c>
      <c r="AK627" s="13">
        <f t="shared" si="376"/>
        <v>0</v>
      </c>
      <c r="AL627" s="13">
        <f t="shared" si="376"/>
        <v>0</v>
      </c>
      <c r="AM627" s="13">
        <f t="shared" si="376"/>
        <v>0</v>
      </c>
      <c r="AN627" s="13">
        <f t="shared" si="376"/>
        <v>0</v>
      </c>
      <c r="AO627" s="13">
        <f t="shared" si="376"/>
        <v>1</v>
      </c>
      <c r="AP627" s="13">
        <f t="shared" si="376"/>
        <v>1</v>
      </c>
      <c r="AQ627" s="13">
        <f t="shared" si="376"/>
        <v>1</v>
      </c>
      <c r="AR627" s="13">
        <f t="shared" si="376"/>
        <v>0</v>
      </c>
      <c r="AS627" s="13">
        <f t="shared" si="376"/>
        <v>0</v>
      </c>
      <c r="AT627" s="13">
        <f t="shared" si="376"/>
        <v>0</v>
      </c>
      <c r="AU627" s="13">
        <f t="shared" si="376"/>
        <v>0</v>
      </c>
      <c r="AV627" s="13">
        <f t="shared" si="355"/>
        <v>0</v>
      </c>
      <c r="AW627" s="13">
        <f t="shared" si="356"/>
        <v>1</v>
      </c>
      <c r="AY627" s="17">
        <f t="shared" si="357"/>
        <v>537</v>
      </c>
      <c r="AZ627" s="28">
        <f t="shared" si="365"/>
        <v>0</v>
      </c>
      <c r="BA627" s="13">
        <f t="shared" si="358"/>
        <v>0</v>
      </c>
      <c r="BB627" s="13">
        <f t="shared" si="359"/>
        <v>0</v>
      </c>
      <c r="BC627" s="28">
        <f t="shared" si="366"/>
        <v>0</v>
      </c>
      <c r="BD627" s="28">
        <f t="shared" si="367"/>
        <v>0</v>
      </c>
      <c r="BF627" s="248">
        <f t="shared" si="368"/>
        <v>993869.29442638322</v>
      </c>
    </row>
    <row r="628" spans="1:58">
      <c r="A628" s="32">
        <f t="shared" si="369"/>
        <v>-453</v>
      </c>
      <c r="B628" s="32">
        <f t="shared" si="360"/>
        <v>97</v>
      </c>
      <c r="C628" s="32">
        <f t="shared" si="370"/>
        <v>45</v>
      </c>
      <c r="D628" s="32">
        <f t="shared" si="371"/>
        <v>538</v>
      </c>
      <c r="E628" s="74">
        <f>MIN(IF(AV628=0,0,
IF(Investment_Strategy="DIS",VLOOKUP(Investment_Strategy&amp;"_"&amp;Investment_Strategy_Sub1&amp;"_"&amp;$A628,'Investment Strategies'!$AZ:$BP,12,FALSE),
IF(AND(Investment_Strategy="Lifecycle",Investment_Strategy_Sub1="Non-Standard"),VLOOKUP(Investment_Strategy&amp;"_"&amp;Investment_Strategy_Sub2&amp;"_"&amp;$A628,'Investment Strategies'!$C:$P,9,FALSE),
IF(AND(Investment_Strategy="Lifecycle",Investment_Strategy_Sub1="Standard"),VLOOKUP(Investment_Strategy&amp;"_"&amp;Investment_Strategy_Sub2&amp;"_"&amp;$A628,'Investment Strategies'!$AJ:$AV,8,FALSE),
IF(AND(Investment_Strategy="Autopilot",Investment_Strategy_Sub1="Non-Standard"),VLOOKUP(Investment_Strategy&amp;"_"&amp;Investment_Strategy_Sub2&amp;"_"&amp;$A628,'Investment Strategies'!$T:$AF,8,FALSE),
IF(Investment_Strategy ="DIY",DIY_RateOfReturn_CurrentFunds,
"Error")))))),Max_InvReturn)</f>
        <v>0</v>
      </c>
      <c r="F628" s="62">
        <f>IF(AV628=0,0,
IF(Investment_Strategy="DIS",VLOOKUP(Investment_Strategy&amp;"_"&amp;Investment_Strategy_Sub1&amp;"_"&amp;$A628,'Investment Strategies'!$AZ:$BP,15,FALSE),
IF(AND(Investment_Strategy="Lifecycle",Investment_Strategy_Sub1="Non-Standard"),VLOOKUP(Investment_Strategy&amp;"_"&amp;Investment_Strategy_Sub2&amp;"_"&amp;$A628,'Investment Strategies'!$C:$P,12,FALSE),
IF(AND(Investment_Strategy="Lifecycle",Investment_Strategy_Sub1="Standard"),VLOOKUP(Investment_Strategy&amp;"_"&amp;Investment_Strategy_Sub2&amp;"_"&amp;$A628,'Investment Strategies'!$AJ:$AV,11,FALSE),
IF(AND(Investment_Strategy="Autopilot",Investment_Strategy_Sub1="Non-Standard"),VLOOKUP(Investment_Strategy&amp;"_"&amp;Investment_Strategy_Sub2&amp;"_"&amp;$A628,'Investment Strategies'!$T:$AF,11,FALSE),
IF(Investment_Strategy="DIY",DIY_GteeChrge_CurrentFunds,
"Error"))))))</f>
        <v>0</v>
      </c>
      <c r="G628" s="33">
        <f>IF(AV628=0,0,
IF(Investment_Strategy="DIS",VLOOKUP(Investment_Strategy&amp;"_"&amp;Investment_Strategy_Sub1&amp;"_"&amp;$A628,'Investment Strategies'!$AZ:$BP,17,FALSE),
IF(AND(Investment_Strategy="Lifecycle",Investment_Strategy_Sub1="Non-Standard"),VLOOKUP(Investment_Strategy&amp;"_"&amp;Investment_Strategy_Sub2&amp;"_"&amp;$A628,'Investment Strategies'!$C:$P,14,FALSE),
IF(AND(Investment_Strategy="Lifecycle",Investment_Strategy_Sub1="Standard"),VLOOKUP(Investment_Strategy&amp;"_"&amp;Investment_Strategy_Sub2&amp;"_"&amp;$A628,'Investment Strategies'!$AJ:$AV,13,FALSE),
IF(AND(Investment_Strategy="Autopilot",Investment_Strategy_Sub1="Non-Standard"),VLOOKUP(Investment_Strategy&amp;"_"&amp;Investment_Strategy_Sub2&amp;"_"&amp;$A628,'Investment Strategies'!$T:$AF,13,FALSE),
IF(Investment_Strategy="DIY",DIY_ExtManChrge_CurrentFunds,
"Error"))))))</f>
        <v>0</v>
      </c>
      <c r="H628" s="16">
        <f t="shared" si="361"/>
        <v>0</v>
      </c>
      <c r="I628" s="16">
        <f t="shared" si="347"/>
        <v>0</v>
      </c>
      <c r="J628" s="16">
        <f t="shared" si="348"/>
        <v>0</v>
      </c>
      <c r="K628" s="16">
        <f>(Opening_Fund_Value+SUM(K$91:K627))*E628*IF(D628=$A$91,SRP_finalmonthfactor,1)</f>
        <v>0</v>
      </c>
      <c r="L628" s="74">
        <f>MIN(IF($AV628=0,0,
IF(Investment_Strategy="DIS",VLOOKUP(Investment_Strategy&amp;"_"&amp;Investment_Strategy_Sub1&amp;"_"&amp;$A628,'Investment Strategies'!$AZ:$BP,12,FALSE),
IF(AND(Investment_Strategy="Lifecycle",Investment_Strategy_Sub1="Non-Standard"),VLOOKUP(Investment_Strategy&amp;"_"&amp;Investment_Strategy_Sub2&amp;"_"&amp;$A628,'Investment Strategies'!$C:$P,9,FALSE),
IF(AND(Investment_Strategy="Lifecycle",Investment_Strategy_Sub1="Standard"),VLOOKUP(Investment_Strategy&amp;"_"&amp;Investment_Strategy_Sub2&amp;"_"&amp;$A628,'Investment Strategies'!$AJ:$AV,8,FALSE),
IF(AND(Investment_Strategy="Autopilot",Investment_Strategy_Sub1="Non-Standard"),VLOOKUP(Investment_Strategy&amp;"_"&amp;Investment_Strategy_Sub2&amp;"_"&amp;$A628,'Investment Strategies'!$T:$AF,8,FALSE),
IF(Investment_Strategy ="DIY",DIY_RateofReturn_SP,
"Error")))))),Max_InvReturn)</f>
        <v>0</v>
      </c>
      <c r="M628" s="62">
        <f>IF($AV628=0,0,
IF(Investment_Strategy="DIS",VLOOKUP(Investment_Strategy&amp;"_"&amp;Investment_Strategy_Sub1&amp;"_"&amp;$A628,'Investment Strategies'!$AZ:$BP,15,FALSE),
IF(AND(Investment_Strategy="Lifecycle",Investment_Strategy_Sub1="Non-Standard"),VLOOKUP(Investment_Strategy&amp;"_"&amp;Investment_Strategy_Sub2&amp;"_"&amp;$A628,'Investment Strategies'!$C:$P,12,FALSE),
IF(AND(Investment_Strategy="Lifecycle",Investment_Strategy_Sub1="Standard"),VLOOKUP(Investment_Strategy&amp;"_"&amp;Investment_Strategy_Sub2&amp;"_"&amp;$A628,'Investment Strategies'!$AJ:$AV,11,FALSE),
IF(AND(Investment_Strategy="Autopilot",Investment_Strategy_Sub1="Non-Standard"),VLOOKUP(Investment_Strategy&amp;"_"&amp;Investment_Strategy_Sub2&amp;"_"&amp;$A628,'Investment Strategies'!$T:$AF,11,FALSE),
IF(Investment_Strategy="DIY",DIY_GteeChrge_SP,
"Error"))))))</f>
        <v>0</v>
      </c>
      <c r="N628" s="33">
        <f>IF($AV628=0,0,
IF(Investment_Strategy="DIS",VLOOKUP(Investment_Strategy&amp;"_"&amp;Investment_Strategy_Sub1&amp;"_"&amp;$A628,'Investment Strategies'!$AZ:$BP,17,FALSE),
IF(AND(Investment_Strategy="Lifecycle",Investment_Strategy_Sub1="Non-Standard"),VLOOKUP(Investment_Strategy&amp;"_"&amp;Investment_Strategy_Sub2&amp;"_"&amp;$A628,'Investment Strategies'!$C:$P,14,FALSE),
IF(AND(Investment_Strategy="Lifecycle",Investment_Strategy_Sub1="Standard"),VLOOKUP(Investment_Strategy&amp;"_"&amp;Investment_Strategy_Sub2&amp;"_"&amp;$A628,'Investment Strategies'!$AJ:$AV,13,FALSE),
IF(AND(Investment_Strategy="Autopilot",Investment_Strategy_Sub1="Non-Standard"),VLOOKUP(Investment_Strategy&amp;"_"&amp;Investment_Strategy_Sub2&amp;"_"&amp;$A628,'Investment Strategies'!$T:$AF,13,FALSE),
IF(Investment_Strategy="DIY",DIY_ExtManChrge_SP,
"Error"))))))</f>
        <v>0</v>
      </c>
      <c r="O628" s="16">
        <f t="shared" si="372"/>
        <v>0</v>
      </c>
      <c r="Q628" s="16">
        <f t="shared" si="349"/>
        <v>0</v>
      </c>
      <c r="R628" s="16">
        <f t="shared" si="345"/>
        <v>0</v>
      </c>
      <c r="S628" s="16">
        <f>(SRP_SP+SUM(S$91:S627))*L628*IF(D628=$A$91,SRP_finalmonthfactor,1)</f>
        <v>0</v>
      </c>
      <c r="T628" s="74">
        <f>MIN(IF($AV628=0,0,
IF(Investment_Strategy="DIS",VLOOKUP(Investment_Strategy&amp;"_"&amp;Investment_Strategy_Sub1&amp;"_"&amp;$A628,'Investment Strategies'!$AZ:$BP,12,FALSE),
IF(AND(Investment_Strategy="Lifecycle",Investment_Strategy_Sub1="Non-Standard"),VLOOKUP(Investment_Strategy&amp;"_"&amp;Investment_Strategy_Sub2&amp;"_"&amp;$A628,'Investment Strategies'!$C:$P,9,FALSE),
IF(AND(Investment_Strategy="Lifecycle",Investment_Strategy_Sub1="Standard"),VLOOKUP(Investment_Strategy&amp;"_"&amp;Investment_Strategy_Sub2&amp;"_"&amp;$A628,'Investment Strategies'!$AJ:$AV,8,FALSE),
IF(AND(Investment_Strategy="Autopilot",Investment_Strategy_Sub1="Non-Standard"),VLOOKUP(Investment_Strategy&amp;"_"&amp;Investment_Strategy_Sub2&amp;"_"&amp;$A628,'Investment Strategies'!$T:$AF,8,FALSE),
IF(Investment_Strategy ="DIY",DIY_RateOfReturn_FuturePremiums,
"Error")))))),Max_InvReturn)</f>
        <v>0</v>
      </c>
      <c r="U628" s="62">
        <f>IF($AV628=0,0,
IF(Investment_Strategy="DIS",VLOOKUP(Investment_Strategy&amp;"_"&amp;Investment_Strategy_Sub1&amp;"_"&amp;$A628,'Investment Strategies'!$AZ:$BP,15,FALSE),
IF(AND(Investment_Strategy="Lifecycle",Investment_Strategy_Sub1="Non-Standard"),VLOOKUP(Investment_Strategy&amp;"_"&amp;Investment_Strategy_Sub2&amp;"_"&amp;$A628,'Investment Strategies'!$C:$P,12,FALSE),
IF(AND(Investment_Strategy="Lifecycle",Investment_Strategy_Sub1="Standard"),VLOOKUP(Investment_Strategy&amp;"_"&amp;Investment_Strategy_Sub2&amp;"_"&amp;$A628,'Investment Strategies'!$AJ:$AV,11,FALSE),
IF(AND(Investment_Strategy="Autopilot",Investment_Strategy_Sub1="Non-Standard"),VLOOKUP(Investment_Strategy&amp;"_"&amp;Investment_Strategy_Sub2&amp;"_"&amp;$A628,'Investment Strategies'!$T:$AF,11,FALSE),
IF(Investment_Strategy="DIY",DIY_GteeChrge_FuturePremiums,
"Error"))))))</f>
        <v>0</v>
      </c>
      <c r="V628" s="33">
        <f>IF(AV628=0,0,
IF(Investment_Strategy="DIS",VLOOKUP(Investment_Strategy&amp;"_"&amp;Investment_Strategy_Sub1&amp;"_"&amp;$A628,'Investment Strategies'!$AZ:$BP,17,FALSE),
IF(AND(Investment_Strategy="Lifecycle",Investment_Strategy_Sub1="Non-Standard"),VLOOKUP(Investment_Strategy&amp;"_"&amp;Investment_Strategy_Sub2&amp;"_"&amp;$A628,'Investment Strategies'!$C:$P,14,FALSE),
IF(AND(Investment_Strategy="Lifecycle",Investment_Strategy_Sub1="Standard"),VLOOKUP(Investment_Strategy&amp;"_"&amp;Investment_Strategy_Sub2&amp;"_"&amp;$A628,'Investment Strategies'!$AJ:$AV,13,FALSE),
IF(AND(Investment_Strategy="Autopilot",Investment_Strategy_Sub1="Non-Standard"),VLOOKUP(Investment_Strategy&amp;"_"&amp;Investment_Strategy_Sub2&amp;"_"&amp;$A628,'Investment Strategies'!$T:$AF,13,FALSE),
IF(Investment_Strategy="DIY",DIY_ExtManChrge_FuturePremiums,
"Error"))))))</f>
        <v>0</v>
      </c>
      <c r="W628" s="16">
        <f t="shared" si="373"/>
        <v>0</v>
      </c>
      <c r="X628" s="16">
        <f t="shared" si="350"/>
        <v>0</v>
      </c>
      <c r="Y628" s="16">
        <f t="shared" si="351"/>
        <v>0</v>
      </c>
      <c r="Z628" s="31">
        <f t="shared" si="352"/>
        <v>0.02</v>
      </c>
      <c r="AA628" s="16">
        <f t="shared" si="353"/>
        <v>0</v>
      </c>
      <c r="AB628" s="28">
        <f t="shared" si="374"/>
        <v>0</v>
      </c>
      <c r="AC628" s="28">
        <f>(SUM($AC$91:AC627)+SUM($X$91:X627)+X628)*T628*IF(D628=$A$91,SRP_finalmonthfactor,1)</f>
        <v>0</v>
      </c>
      <c r="AD628" s="16">
        <f t="shared" si="354"/>
        <v>0</v>
      </c>
      <c r="AE628" s="106"/>
      <c r="AF628" s="16">
        <f t="shared" si="362"/>
        <v>0</v>
      </c>
      <c r="AG628" s="16">
        <f t="shared" si="363"/>
        <v>0</v>
      </c>
      <c r="AH628" s="16">
        <f t="shared" si="364"/>
        <v>0</v>
      </c>
      <c r="AJ628" s="13">
        <f t="shared" si="376"/>
        <v>0</v>
      </c>
      <c r="AK628" s="13">
        <f t="shared" si="376"/>
        <v>0</v>
      </c>
      <c r="AL628" s="13">
        <f t="shared" si="376"/>
        <v>0</v>
      </c>
      <c r="AM628" s="13">
        <f t="shared" si="376"/>
        <v>0</v>
      </c>
      <c r="AN628" s="13">
        <f t="shared" si="376"/>
        <v>0</v>
      </c>
      <c r="AO628" s="13">
        <f t="shared" si="376"/>
        <v>1</v>
      </c>
      <c r="AP628" s="13">
        <f t="shared" si="376"/>
        <v>1</v>
      </c>
      <c r="AQ628" s="13">
        <f t="shared" si="376"/>
        <v>1</v>
      </c>
      <c r="AR628" s="13">
        <f t="shared" si="376"/>
        <v>0</v>
      </c>
      <c r="AS628" s="13">
        <f t="shared" si="376"/>
        <v>0</v>
      </c>
      <c r="AT628" s="13">
        <f t="shared" si="376"/>
        <v>0</v>
      </c>
      <c r="AU628" s="13">
        <f t="shared" si="376"/>
        <v>0</v>
      </c>
      <c r="AV628" s="13">
        <f t="shared" si="355"/>
        <v>0</v>
      </c>
      <c r="AW628" s="13">
        <f t="shared" si="356"/>
        <v>1</v>
      </c>
      <c r="AY628" s="17">
        <f t="shared" si="357"/>
        <v>538</v>
      </c>
      <c r="AZ628" s="28">
        <f t="shared" si="365"/>
        <v>0</v>
      </c>
      <c r="BA628" s="13">
        <f t="shared" si="358"/>
        <v>0</v>
      </c>
      <c r="BB628" s="13">
        <f t="shared" si="359"/>
        <v>0</v>
      </c>
      <c r="BC628" s="28">
        <f t="shared" si="366"/>
        <v>0</v>
      </c>
      <c r="BD628" s="28">
        <f t="shared" si="367"/>
        <v>0</v>
      </c>
      <c r="BF628" s="248">
        <f t="shared" si="368"/>
        <v>993869.29442638322</v>
      </c>
    </row>
    <row r="629" spans="1:58">
      <c r="A629" s="32">
        <f t="shared" si="369"/>
        <v>-454</v>
      </c>
      <c r="B629" s="32">
        <f t="shared" si="360"/>
        <v>97</v>
      </c>
      <c r="C629" s="32">
        <f t="shared" si="370"/>
        <v>45</v>
      </c>
      <c r="D629" s="32">
        <f t="shared" si="371"/>
        <v>539</v>
      </c>
      <c r="E629" s="74">
        <f>MIN(IF(AV629=0,0,
IF(Investment_Strategy="DIS",VLOOKUP(Investment_Strategy&amp;"_"&amp;Investment_Strategy_Sub1&amp;"_"&amp;$A629,'Investment Strategies'!$AZ:$BP,12,FALSE),
IF(AND(Investment_Strategy="Lifecycle",Investment_Strategy_Sub1="Non-Standard"),VLOOKUP(Investment_Strategy&amp;"_"&amp;Investment_Strategy_Sub2&amp;"_"&amp;$A629,'Investment Strategies'!$C:$P,9,FALSE),
IF(AND(Investment_Strategy="Lifecycle",Investment_Strategy_Sub1="Standard"),VLOOKUP(Investment_Strategy&amp;"_"&amp;Investment_Strategy_Sub2&amp;"_"&amp;$A629,'Investment Strategies'!$AJ:$AV,8,FALSE),
IF(AND(Investment_Strategy="Autopilot",Investment_Strategy_Sub1="Non-Standard"),VLOOKUP(Investment_Strategy&amp;"_"&amp;Investment_Strategy_Sub2&amp;"_"&amp;$A629,'Investment Strategies'!$T:$AF,8,FALSE),
IF(Investment_Strategy ="DIY",DIY_RateOfReturn_CurrentFunds,
"Error")))))),Max_InvReturn)</f>
        <v>0</v>
      </c>
      <c r="F629" s="62">
        <f>IF(AV629=0,0,
IF(Investment_Strategy="DIS",VLOOKUP(Investment_Strategy&amp;"_"&amp;Investment_Strategy_Sub1&amp;"_"&amp;$A629,'Investment Strategies'!$AZ:$BP,15,FALSE),
IF(AND(Investment_Strategy="Lifecycle",Investment_Strategy_Sub1="Non-Standard"),VLOOKUP(Investment_Strategy&amp;"_"&amp;Investment_Strategy_Sub2&amp;"_"&amp;$A629,'Investment Strategies'!$C:$P,12,FALSE),
IF(AND(Investment_Strategy="Lifecycle",Investment_Strategy_Sub1="Standard"),VLOOKUP(Investment_Strategy&amp;"_"&amp;Investment_Strategy_Sub2&amp;"_"&amp;$A629,'Investment Strategies'!$AJ:$AV,11,FALSE),
IF(AND(Investment_Strategy="Autopilot",Investment_Strategy_Sub1="Non-Standard"),VLOOKUP(Investment_Strategy&amp;"_"&amp;Investment_Strategy_Sub2&amp;"_"&amp;$A629,'Investment Strategies'!$T:$AF,11,FALSE),
IF(Investment_Strategy="DIY",DIY_GteeChrge_CurrentFunds,
"Error"))))))</f>
        <v>0</v>
      </c>
      <c r="G629" s="33">
        <f>IF(AV629=0,0,
IF(Investment_Strategy="DIS",VLOOKUP(Investment_Strategy&amp;"_"&amp;Investment_Strategy_Sub1&amp;"_"&amp;$A629,'Investment Strategies'!$AZ:$BP,17,FALSE),
IF(AND(Investment_Strategy="Lifecycle",Investment_Strategy_Sub1="Non-Standard"),VLOOKUP(Investment_Strategy&amp;"_"&amp;Investment_Strategy_Sub2&amp;"_"&amp;$A629,'Investment Strategies'!$C:$P,14,FALSE),
IF(AND(Investment_Strategy="Lifecycle",Investment_Strategy_Sub1="Standard"),VLOOKUP(Investment_Strategy&amp;"_"&amp;Investment_Strategy_Sub2&amp;"_"&amp;$A629,'Investment Strategies'!$AJ:$AV,13,FALSE),
IF(AND(Investment_Strategy="Autopilot",Investment_Strategy_Sub1="Non-Standard"),VLOOKUP(Investment_Strategy&amp;"_"&amp;Investment_Strategy_Sub2&amp;"_"&amp;$A629,'Investment Strategies'!$T:$AF,13,FALSE),
IF(Investment_Strategy="DIY",DIY_ExtManChrge_CurrentFunds,
"Error"))))))</f>
        <v>0</v>
      </c>
      <c r="H629" s="16">
        <f t="shared" si="361"/>
        <v>0</v>
      </c>
      <c r="I629" s="16">
        <f t="shared" si="347"/>
        <v>0</v>
      </c>
      <c r="J629" s="16">
        <f t="shared" si="348"/>
        <v>0</v>
      </c>
      <c r="K629" s="16">
        <f>(Opening_Fund_Value+SUM(K$91:K628))*E629*IF(D629=$A$91,SRP_finalmonthfactor,1)</f>
        <v>0</v>
      </c>
      <c r="L629" s="74">
        <f>MIN(IF($AV629=0,0,
IF(Investment_Strategy="DIS",VLOOKUP(Investment_Strategy&amp;"_"&amp;Investment_Strategy_Sub1&amp;"_"&amp;$A629,'Investment Strategies'!$AZ:$BP,12,FALSE),
IF(AND(Investment_Strategy="Lifecycle",Investment_Strategy_Sub1="Non-Standard"),VLOOKUP(Investment_Strategy&amp;"_"&amp;Investment_Strategy_Sub2&amp;"_"&amp;$A629,'Investment Strategies'!$C:$P,9,FALSE),
IF(AND(Investment_Strategy="Lifecycle",Investment_Strategy_Sub1="Standard"),VLOOKUP(Investment_Strategy&amp;"_"&amp;Investment_Strategy_Sub2&amp;"_"&amp;$A629,'Investment Strategies'!$AJ:$AV,8,FALSE),
IF(AND(Investment_Strategy="Autopilot",Investment_Strategy_Sub1="Non-Standard"),VLOOKUP(Investment_Strategy&amp;"_"&amp;Investment_Strategy_Sub2&amp;"_"&amp;$A629,'Investment Strategies'!$T:$AF,8,FALSE),
IF(Investment_Strategy ="DIY",DIY_RateofReturn_SP,
"Error")))))),Max_InvReturn)</f>
        <v>0</v>
      </c>
      <c r="M629" s="62">
        <f>IF($AV629=0,0,
IF(Investment_Strategy="DIS",VLOOKUP(Investment_Strategy&amp;"_"&amp;Investment_Strategy_Sub1&amp;"_"&amp;$A629,'Investment Strategies'!$AZ:$BP,15,FALSE),
IF(AND(Investment_Strategy="Lifecycle",Investment_Strategy_Sub1="Non-Standard"),VLOOKUP(Investment_Strategy&amp;"_"&amp;Investment_Strategy_Sub2&amp;"_"&amp;$A629,'Investment Strategies'!$C:$P,12,FALSE),
IF(AND(Investment_Strategy="Lifecycle",Investment_Strategy_Sub1="Standard"),VLOOKUP(Investment_Strategy&amp;"_"&amp;Investment_Strategy_Sub2&amp;"_"&amp;$A629,'Investment Strategies'!$AJ:$AV,11,FALSE),
IF(AND(Investment_Strategy="Autopilot",Investment_Strategy_Sub1="Non-Standard"),VLOOKUP(Investment_Strategy&amp;"_"&amp;Investment_Strategy_Sub2&amp;"_"&amp;$A629,'Investment Strategies'!$T:$AF,11,FALSE),
IF(Investment_Strategy="DIY",DIY_GteeChrge_SP,
"Error"))))))</f>
        <v>0</v>
      </c>
      <c r="N629" s="33">
        <f>IF($AV629=0,0,
IF(Investment_Strategy="DIS",VLOOKUP(Investment_Strategy&amp;"_"&amp;Investment_Strategy_Sub1&amp;"_"&amp;$A629,'Investment Strategies'!$AZ:$BP,17,FALSE),
IF(AND(Investment_Strategy="Lifecycle",Investment_Strategy_Sub1="Non-Standard"),VLOOKUP(Investment_Strategy&amp;"_"&amp;Investment_Strategy_Sub2&amp;"_"&amp;$A629,'Investment Strategies'!$C:$P,14,FALSE),
IF(AND(Investment_Strategy="Lifecycle",Investment_Strategy_Sub1="Standard"),VLOOKUP(Investment_Strategy&amp;"_"&amp;Investment_Strategy_Sub2&amp;"_"&amp;$A629,'Investment Strategies'!$AJ:$AV,13,FALSE),
IF(AND(Investment_Strategy="Autopilot",Investment_Strategy_Sub1="Non-Standard"),VLOOKUP(Investment_Strategy&amp;"_"&amp;Investment_Strategy_Sub2&amp;"_"&amp;$A629,'Investment Strategies'!$T:$AF,13,FALSE),
IF(Investment_Strategy="DIY",DIY_ExtManChrge_SP,
"Error"))))))</f>
        <v>0</v>
      </c>
      <c r="O629" s="16">
        <f t="shared" si="372"/>
        <v>0</v>
      </c>
      <c r="Q629" s="16">
        <f t="shared" si="349"/>
        <v>0</v>
      </c>
      <c r="R629" s="16">
        <f t="shared" si="345"/>
        <v>0</v>
      </c>
      <c r="S629" s="16">
        <f>(SRP_SP+SUM(S$91:S628))*L629*IF(D629=$A$91,SRP_finalmonthfactor,1)</f>
        <v>0</v>
      </c>
      <c r="T629" s="74">
        <f>MIN(IF($AV629=0,0,
IF(Investment_Strategy="DIS",VLOOKUP(Investment_Strategy&amp;"_"&amp;Investment_Strategy_Sub1&amp;"_"&amp;$A629,'Investment Strategies'!$AZ:$BP,12,FALSE),
IF(AND(Investment_Strategy="Lifecycle",Investment_Strategy_Sub1="Non-Standard"),VLOOKUP(Investment_Strategy&amp;"_"&amp;Investment_Strategy_Sub2&amp;"_"&amp;$A629,'Investment Strategies'!$C:$P,9,FALSE),
IF(AND(Investment_Strategy="Lifecycle",Investment_Strategy_Sub1="Standard"),VLOOKUP(Investment_Strategy&amp;"_"&amp;Investment_Strategy_Sub2&amp;"_"&amp;$A629,'Investment Strategies'!$AJ:$AV,8,FALSE),
IF(AND(Investment_Strategy="Autopilot",Investment_Strategy_Sub1="Non-Standard"),VLOOKUP(Investment_Strategy&amp;"_"&amp;Investment_Strategy_Sub2&amp;"_"&amp;$A629,'Investment Strategies'!$T:$AF,8,FALSE),
IF(Investment_Strategy ="DIY",DIY_RateOfReturn_FuturePremiums,
"Error")))))),Max_InvReturn)</f>
        <v>0</v>
      </c>
      <c r="U629" s="62">
        <f>IF($AV629=0,0,
IF(Investment_Strategy="DIS",VLOOKUP(Investment_Strategy&amp;"_"&amp;Investment_Strategy_Sub1&amp;"_"&amp;$A629,'Investment Strategies'!$AZ:$BP,15,FALSE),
IF(AND(Investment_Strategy="Lifecycle",Investment_Strategy_Sub1="Non-Standard"),VLOOKUP(Investment_Strategy&amp;"_"&amp;Investment_Strategy_Sub2&amp;"_"&amp;$A629,'Investment Strategies'!$C:$P,12,FALSE),
IF(AND(Investment_Strategy="Lifecycle",Investment_Strategy_Sub1="Standard"),VLOOKUP(Investment_Strategy&amp;"_"&amp;Investment_Strategy_Sub2&amp;"_"&amp;$A629,'Investment Strategies'!$AJ:$AV,11,FALSE),
IF(AND(Investment_Strategy="Autopilot",Investment_Strategy_Sub1="Non-Standard"),VLOOKUP(Investment_Strategy&amp;"_"&amp;Investment_Strategy_Sub2&amp;"_"&amp;$A629,'Investment Strategies'!$T:$AF,11,FALSE),
IF(Investment_Strategy="DIY",DIY_GteeChrge_FuturePremiums,
"Error"))))))</f>
        <v>0</v>
      </c>
      <c r="V629" s="33">
        <f>IF(AV629=0,0,
IF(Investment_Strategy="DIS",VLOOKUP(Investment_Strategy&amp;"_"&amp;Investment_Strategy_Sub1&amp;"_"&amp;$A629,'Investment Strategies'!$AZ:$BP,17,FALSE),
IF(AND(Investment_Strategy="Lifecycle",Investment_Strategy_Sub1="Non-Standard"),VLOOKUP(Investment_Strategy&amp;"_"&amp;Investment_Strategy_Sub2&amp;"_"&amp;$A629,'Investment Strategies'!$C:$P,14,FALSE),
IF(AND(Investment_Strategy="Lifecycle",Investment_Strategy_Sub1="Standard"),VLOOKUP(Investment_Strategy&amp;"_"&amp;Investment_Strategy_Sub2&amp;"_"&amp;$A629,'Investment Strategies'!$AJ:$AV,13,FALSE),
IF(AND(Investment_Strategy="Autopilot",Investment_Strategy_Sub1="Non-Standard"),VLOOKUP(Investment_Strategy&amp;"_"&amp;Investment_Strategy_Sub2&amp;"_"&amp;$A629,'Investment Strategies'!$T:$AF,13,FALSE),
IF(Investment_Strategy="DIY",DIY_ExtManChrge_FuturePremiums,
"Error"))))))</f>
        <v>0</v>
      </c>
      <c r="W629" s="16">
        <f t="shared" si="373"/>
        <v>0</v>
      </c>
      <c r="X629" s="16">
        <f t="shared" si="350"/>
        <v>0</v>
      </c>
      <c r="Y629" s="16">
        <f t="shared" si="351"/>
        <v>0</v>
      </c>
      <c r="Z629" s="31">
        <f t="shared" si="352"/>
        <v>0.02</v>
      </c>
      <c r="AA629" s="16">
        <f t="shared" si="353"/>
        <v>0</v>
      </c>
      <c r="AB629" s="28">
        <f t="shared" si="374"/>
        <v>0</v>
      </c>
      <c r="AC629" s="28">
        <f>(SUM($AC$91:AC628)+SUM($X$91:X628)+X629)*T629*IF(D629=$A$91,SRP_finalmonthfactor,1)</f>
        <v>0</v>
      </c>
      <c r="AD629" s="16">
        <f t="shared" si="354"/>
        <v>0</v>
      </c>
      <c r="AE629" s="106"/>
      <c r="AF629" s="16">
        <f t="shared" si="362"/>
        <v>0</v>
      </c>
      <c r="AG629" s="16">
        <f t="shared" si="363"/>
        <v>0</v>
      </c>
      <c r="AH629" s="16">
        <f t="shared" si="364"/>
        <v>0</v>
      </c>
      <c r="AJ629" s="13">
        <f t="shared" si="376"/>
        <v>0</v>
      </c>
      <c r="AK629" s="13">
        <f t="shared" si="376"/>
        <v>0</v>
      </c>
      <c r="AL629" s="13">
        <f t="shared" si="376"/>
        <v>0</v>
      </c>
      <c r="AM629" s="13">
        <f t="shared" si="376"/>
        <v>0</v>
      </c>
      <c r="AN629" s="13">
        <f t="shared" si="376"/>
        <v>0</v>
      </c>
      <c r="AO629" s="13">
        <f t="shared" si="376"/>
        <v>1</v>
      </c>
      <c r="AP629" s="13">
        <f t="shared" si="376"/>
        <v>1</v>
      </c>
      <c r="AQ629" s="13">
        <f t="shared" si="376"/>
        <v>1</v>
      </c>
      <c r="AR629" s="13">
        <f t="shared" si="376"/>
        <v>0</v>
      </c>
      <c r="AS629" s="13">
        <f t="shared" si="376"/>
        <v>0</v>
      </c>
      <c r="AT629" s="13">
        <f t="shared" si="376"/>
        <v>0</v>
      </c>
      <c r="AU629" s="13">
        <f t="shared" si="376"/>
        <v>0</v>
      </c>
      <c r="AV629" s="13">
        <f t="shared" si="355"/>
        <v>0</v>
      </c>
      <c r="AW629" s="13">
        <f t="shared" si="356"/>
        <v>1</v>
      </c>
      <c r="AY629" s="17">
        <f t="shared" si="357"/>
        <v>539</v>
      </c>
      <c r="AZ629" s="28">
        <f t="shared" si="365"/>
        <v>0</v>
      </c>
      <c r="BA629" s="13">
        <f t="shared" si="358"/>
        <v>0</v>
      </c>
      <c r="BB629" s="13">
        <f t="shared" si="359"/>
        <v>0</v>
      </c>
      <c r="BC629" s="28">
        <f t="shared" si="366"/>
        <v>0</v>
      </c>
      <c r="BD629" s="28">
        <f t="shared" si="367"/>
        <v>0</v>
      </c>
      <c r="BF629" s="248">
        <f t="shared" si="368"/>
        <v>993869.29442638322</v>
      </c>
    </row>
    <row r="630" spans="1:58">
      <c r="A630" s="32">
        <f t="shared" si="369"/>
        <v>-455</v>
      </c>
      <c r="B630" s="32">
        <f t="shared" si="360"/>
        <v>97</v>
      </c>
      <c r="C630" s="32">
        <f t="shared" si="370"/>
        <v>45</v>
      </c>
      <c r="D630" s="32">
        <f t="shared" si="371"/>
        <v>540</v>
      </c>
      <c r="E630" s="74">
        <f>MIN(IF(AV630=0,0,
IF(Investment_Strategy="DIS",VLOOKUP(Investment_Strategy&amp;"_"&amp;Investment_Strategy_Sub1&amp;"_"&amp;$A630,'Investment Strategies'!$AZ:$BP,12,FALSE),
IF(AND(Investment_Strategy="Lifecycle",Investment_Strategy_Sub1="Non-Standard"),VLOOKUP(Investment_Strategy&amp;"_"&amp;Investment_Strategy_Sub2&amp;"_"&amp;$A630,'Investment Strategies'!$C:$P,9,FALSE),
IF(AND(Investment_Strategy="Lifecycle",Investment_Strategy_Sub1="Standard"),VLOOKUP(Investment_Strategy&amp;"_"&amp;Investment_Strategy_Sub2&amp;"_"&amp;$A630,'Investment Strategies'!$AJ:$AV,8,FALSE),
IF(AND(Investment_Strategy="Autopilot",Investment_Strategy_Sub1="Non-Standard"),VLOOKUP(Investment_Strategy&amp;"_"&amp;Investment_Strategy_Sub2&amp;"_"&amp;$A630,'Investment Strategies'!$T:$AF,8,FALSE),
IF(Investment_Strategy ="DIY",DIY_RateOfReturn_CurrentFunds,
"Error")))))),Max_InvReturn)</f>
        <v>0</v>
      </c>
      <c r="F630" s="62">
        <f>IF(AV630=0,0,
IF(Investment_Strategy="DIS",VLOOKUP(Investment_Strategy&amp;"_"&amp;Investment_Strategy_Sub1&amp;"_"&amp;$A630,'Investment Strategies'!$AZ:$BP,15,FALSE),
IF(AND(Investment_Strategy="Lifecycle",Investment_Strategy_Sub1="Non-Standard"),VLOOKUP(Investment_Strategy&amp;"_"&amp;Investment_Strategy_Sub2&amp;"_"&amp;$A630,'Investment Strategies'!$C:$P,12,FALSE),
IF(AND(Investment_Strategy="Lifecycle",Investment_Strategy_Sub1="Standard"),VLOOKUP(Investment_Strategy&amp;"_"&amp;Investment_Strategy_Sub2&amp;"_"&amp;$A630,'Investment Strategies'!$AJ:$AV,11,FALSE),
IF(AND(Investment_Strategy="Autopilot",Investment_Strategy_Sub1="Non-Standard"),VLOOKUP(Investment_Strategy&amp;"_"&amp;Investment_Strategy_Sub2&amp;"_"&amp;$A630,'Investment Strategies'!$T:$AF,11,FALSE),
IF(Investment_Strategy="DIY",DIY_GteeChrge_CurrentFunds,
"Error"))))))</f>
        <v>0</v>
      </c>
      <c r="G630" s="33">
        <f>IF(AV630=0,0,
IF(Investment_Strategy="DIS",VLOOKUP(Investment_Strategy&amp;"_"&amp;Investment_Strategy_Sub1&amp;"_"&amp;$A630,'Investment Strategies'!$AZ:$BP,17,FALSE),
IF(AND(Investment_Strategy="Lifecycle",Investment_Strategy_Sub1="Non-Standard"),VLOOKUP(Investment_Strategy&amp;"_"&amp;Investment_Strategy_Sub2&amp;"_"&amp;$A630,'Investment Strategies'!$C:$P,14,FALSE),
IF(AND(Investment_Strategy="Lifecycle",Investment_Strategy_Sub1="Standard"),VLOOKUP(Investment_Strategy&amp;"_"&amp;Investment_Strategy_Sub2&amp;"_"&amp;$A630,'Investment Strategies'!$AJ:$AV,13,FALSE),
IF(AND(Investment_Strategy="Autopilot",Investment_Strategy_Sub1="Non-Standard"),VLOOKUP(Investment_Strategy&amp;"_"&amp;Investment_Strategy_Sub2&amp;"_"&amp;$A630,'Investment Strategies'!$T:$AF,13,FALSE),
IF(Investment_Strategy="DIY",DIY_ExtManChrge_CurrentFunds,
"Error"))))))</f>
        <v>0</v>
      </c>
      <c r="H630" s="16">
        <f t="shared" si="361"/>
        <v>0</v>
      </c>
      <c r="I630" s="16">
        <f t="shared" si="347"/>
        <v>0</v>
      </c>
      <c r="J630" s="16">
        <f t="shared" si="348"/>
        <v>0</v>
      </c>
      <c r="K630" s="16">
        <f>(Opening_Fund_Value+SUM(K$91:K629))*E630*IF(D630=$A$91,SRP_finalmonthfactor,1)</f>
        <v>0</v>
      </c>
      <c r="L630" s="74">
        <f>MIN(IF($AV630=0,0,
IF(Investment_Strategy="DIS",VLOOKUP(Investment_Strategy&amp;"_"&amp;Investment_Strategy_Sub1&amp;"_"&amp;$A630,'Investment Strategies'!$AZ:$BP,12,FALSE),
IF(AND(Investment_Strategy="Lifecycle",Investment_Strategy_Sub1="Non-Standard"),VLOOKUP(Investment_Strategy&amp;"_"&amp;Investment_Strategy_Sub2&amp;"_"&amp;$A630,'Investment Strategies'!$C:$P,9,FALSE),
IF(AND(Investment_Strategy="Lifecycle",Investment_Strategy_Sub1="Standard"),VLOOKUP(Investment_Strategy&amp;"_"&amp;Investment_Strategy_Sub2&amp;"_"&amp;$A630,'Investment Strategies'!$AJ:$AV,8,FALSE),
IF(AND(Investment_Strategy="Autopilot",Investment_Strategy_Sub1="Non-Standard"),VLOOKUP(Investment_Strategy&amp;"_"&amp;Investment_Strategy_Sub2&amp;"_"&amp;$A630,'Investment Strategies'!$T:$AF,8,FALSE),
IF(Investment_Strategy ="DIY",DIY_RateofReturn_SP,
"Error")))))),Max_InvReturn)</f>
        <v>0</v>
      </c>
      <c r="M630" s="62">
        <f>IF($AV630=0,0,
IF(Investment_Strategy="DIS",VLOOKUP(Investment_Strategy&amp;"_"&amp;Investment_Strategy_Sub1&amp;"_"&amp;$A630,'Investment Strategies'!$AZ:$BP,15,FALSE),
IF(AND(Investment_Strategy="Lifecycle",Investment_Strategy_Sub1="Non-Standard"),VLOOKUP(Investment_Strategy&amp;"_"&amp;Investment_Strategy_Sub2&amp;"_"&amp;$A630,'Investment Strategies'!$C:$P,12,FALSE),
IF(AND(Investment_Strategy="Lifecycle",Investment_Strategy_Sub1="Standard"),VLOOKUP(Investment_Strategy&amp;"_"&amp;Investment_Strategy_Sub2&amp;"_"&amp;$A630,'Investment Strategies'!$AJ:$AV,11,FALSE),
IF(AND(Investment_Strategy="Autopilot",Investment_Strategy_Sub1="Non-Standard"),VLOOKUP(Investment_Strategy&amp;"_"&amp;Investment_Strategy_Sub2&amp;"_"&amp;$A630,'Investment Strategies'!$T:$AF,11,FALSE),
IF(Investment_Strategy="DIY",DIY_GteeChrge_SP,
"Error"))))))</f>
        <v>0</v>
      </c>
      <c r="N630" s="33">
        <f>IF($AV630=0,0,
IF(Investment_Strategy="DIS",VLOOKUP(Investment_Strategy&amp;"_"&amp;Investment_Strategy_Sub1&amp;"_"&amp;$A630,'Investment Strategies'!$AZ:$BP,17,FALSE),
IF(AND(Investment_Strategy="Lifecycle",Investment_Strategy_Sub1="Non-Standard"),VLOOKUP(Investment_Strategy&amp;"_"&amp;Investment_Strategy_Sub2&amp;"_"&amp;$A630,'Investment Strategies'!$C:$P,14,FALSE),
IF(AND(Investment_Strategy="Lifecycle",Investment_Strategy_Sub1="Standard"),VLOOKUP(Investment_Strategy&amp;"_"&amp;Investment_Strategy_Sub2&amp;"_"&amp;$A630,'Investment Strategies'!$AJ:$AV,13,FALSE),
IF(AND(Investment_Strategy="Autopilot",Investment_Strategy_Sub1="Non-Standard"),VLOOKUP(Investment_Strategy&amp;"_"&amp;Investment_Strategy_Sub2&amp;"_"&amp;$A630,'Investment Strategies'!$T:$AF,13,FALSE),
IF(Investment_Strategy="DIY",DIY_ExtManChrge_SP,
"Error"))))))</f>
        <v>0</v>
      </c>
      <c r="O630" s="16">
        <f t="shared" si="372"/>
        <v>0</v>
      </c>
      <c r="Q630" s="16">
        <f t="shared" si="349"/>
        <v>0</v>
      </c>
      <c r="R630" s="16">
        <f t="shared" si="345"/>
        <v>0</v>
      </c>
      <c r="S630" s="16">
        <f>(SRP_SP+SUM(S$91:S629))*L630*IF(D630=$A$91,SRP_finalmonthfactor,1)</f>
        <v>0</v>
      </c>
      <c r="T630" s="74">
        <f>MIN(IF($AV630=0,0,
IF(Investment_Strategy="DIS",VLOOKUP(Investment_Strategy&amp;"_"&amp;Investment_Strategy_Sub1&amp;"_"&amp;$A630,'Investment Strategies'!$AZ:$BP,12,FALSE),
IF(AND(Investment_Strategy="Lifecycle",Investment_Strategy_Sub1="Non-Standard"),VLOOKUP(Investment_Strategy&amp;"_"&amp;Investment_Strategy_Sub2&amp;"_"&amp;$A630,'Investment Strategies'!$C:$P,9,FALSE),
IF(AND(Investment_Strategy="Lifecycle",Investment_Strategy_Sub1="Standard"),VLOOKUP(Investment_Strategy&amp;"_"&amp;Investment_Strategy_Sub2&amp;"_"&amp;$A630,'Investment Strategies'!$AJ:$AV,8,FALSE),
IF(AND(Investment_Strategy="Autopilot",Investment_Strategy_Sub1="Non-Standard"),VLOOKUP(Investment_Strategy&amp;"_"&amp;Investment_Strategy_Sub2&amp;"_"&amp;$A630,'Investment Strategies'!$T:$AF,8,FALSE),
IF(Investment_Strategy ="DIY",DIY_RateOfReturn_FuturePremiums,
"Error")))))),Max_InvReturn)</f>
        <v>0</v>
      </c>
      <c r="U630" s="62">
        <f>IF($AV630=0,0,
IF(Investment_Strategy="DIS",VLOOKUP(Investment_Strategy&amp;"_"&amp;Investment_Strategy_Sub1&amp;"_"&amp;$A630,'Investment Strategies'!$AZ:$BP,15,FALSE),
IF(AND(Investment_Strategy="Lifecycle",Investment_Strategy_Sub1="Non-Standard"),VLOOKUP(Investment_Strategy&amp;"_"&amp;Investment_Strategy_Sub2&amp;"_"&amp;$A630,'Investment Strategies'!$C:$P,12,FALSE),
IF(AND(Investment_Strategy="Lifecycle",Investment_Strategy_Sub1="Standard"),VLOOKUP(Investment_Strategy&amp;"_"&amp;Investment_Strategy_Sub2&amp;"_"&amp;$A630,'Investment Strategies'!$AJ:$AV,11,FALSE),
IF(AND(Investment_Strategy="Autopilot",Investment_Strategy_Sub1="Non-Standard"),VLOOKUP(Investment_Strategy&amp;"_"&amp;Investment_Strategy_Sub2&amp;"_"&amp;$A630,'Investment Strategies'!$T:$AF,11,FALSE),
IF(Investment_Strategy="DIY",DIY_GteeChrge_FuturePremiums,
"Error"))))))</f>
        <v>0</v>
      </c>
      <c r="V630" s="33">
        <f>IF(AV630=0,0,
IF(Investment_Strategy="DIS",VLOOKUP(Investment_Strategy&amp;"_"&amp;Investment_Strategy_Sub1&amp;"_"&amp;$A630,'Investment Strategies'!$AZ:$BP,17,FALSE),
IF(AND(Investment_Strategy="Lifecycle",Investment_Strategy_Sub1="Non-Standard"),VLOOKUP(Investment_Strategy&amp;"_"&amp;Investment_Strategy_Sub2&amp;"_"&amp;$A630,'Investment Strategies'!$C:$P,14,FALSE),
IF(AND(Investment_Strategy="Lifecycle",Investment_Strategy_Sub1="Standard"),VLOOKUP(Investment_Strategy&amp;"_"&amp;Investment_Strategy_Sub2&amp;"_"&amp;$A630,'Investment Strategies'!$AJ:$AV,13,FALSE),
IF(AND(Investment_Strategy="Autopilot",Investment_Strategy_Sub1="Non-Standard"),VLOOKUP(Investment_Strategy&amp;"_"&amp;Investment_Strategy_Sub2&amp;"_"&amp;$A630,'Investment Strategies'!$T:$AF,13,FALSE),
IF(Investment_Strategy="DIY",DIY_ExtManChrge_FuturePremiums,
"Error"))))))</f>
        <v>0</v>
      </c>
      <c r="W630" s="16">
        <f t="shared" si="373"/>
        <v>0</v>
      </c>
      <c r="X630" s="16">
        <f t="shared" si="350"/>
        <v>0</v>
      </c>
      <c r="Y630" s="16">
        <f t="shared" si="351"/>
        <v>0</v>
      </c>
      <c r="Z630" s="31">
        <f t="shared" si="352"/>
        <v>0.02</v>
      </c>
      <c r="AA630" s="16">
        <f t="shared" si="353"/>
        <v>0</v>
      </c>
      <c r="AB630" s="28">
        <f t="shared" si="374"/>
        <v>0</v>
      </c>
      <c r="AC630" s="28">
        <f>(SUM($AC$91:AC629)+SUM($X$91:X629)+X630)*T630*IF(D630=$A$91,SRP_finalmonthfactor,1)</f>
        <v>0</v>
      </c>
      <c r="AD630" s="16">
        <f t="shared" si="354"/>
        <v>0</v>
      </c>
      <c r="AE630" s="106"/>
      <c r="AF630" s="16">
        <f t="shared" si="362"/>
        <v>0</v>
      </c>
      <c r="AG630" s="16">
        <f t="shared" si="363"/>
        <v>0</v>
      </c>
      <c r="AH630" s="16">
        <f t="shared" si="364"/>
        <v>0</v>
      </c>
      <c r="AJ630" s="13">
        <f t="shared" si="376"/>
        <v>0</v>
      </c>
      <c r="AK630" s="13">
        <f t="shared" si="376"/>
        <v>0</v>
      </c>
      <c r="AL630" s="13">
        <f t="shared" si="376"/>
        <v>0</v>
      </c>
      <c r="AM630" s="13">
        <f t="shared" si="376"/>
        <v>0</v>
      </c>
      <c r="AN630" s="13">
        <f t="shared" si="376"/>
        <v>0</v>
      </c>
      <c r="AO630" s="13">
        <f t="shared" si="376"/>
        <v>1</v>
      </c>
      <c r="AP630" s="13">
        <f t="shared" si="376"/>
        <v>1</v>
      </c>
      <c r="AQ630" s="13">
        <f t="shared" si="376"/>
        <v>1</v>
      </c>
      <c r="AR630" s="13">
        <f t="shared" si="376"/>
        <v>0</v>
      </c>
      <c r="AS630" s="13">
        <f t="shared" si="376"/>
        <v>0</v>
      </c>
      <c r="AT630" s="13">
        <f t="shared" si="376"/>
        <v>0</v>
      </c>
      <c r="AU630" s="13">
        <f t="shared" si="376"/>
        <v>0</v>
      </c>
      <c r="AV630" s="13">
        <f t="shared" si="355"/>
        <v>0</v>
      </c>
      <c r="AW630" s="13">
        <f t="shared" si="356"/>
        <v>1</v>
      </c>
      <c r="AY630" s="17">
        <f t="shared" si="357"/>
        <v>540</v>
      </c>
      <c r="AZ630" s="28">
        <f t="shared" si="365"/>
        <v>0</v>
      </c>
      <c r="BA630" s="13">
        <f t="shared" si="358"/>
        <v>0</v>
      </c>
      <c r="BB630" s="13">
        <f t="shared" si="359"/>
        <v>0</v>
      </c>
      <c r="BC630" s="28">
        <f t="shared" si="366"/>
        <v>0</v>
      </c>
      <c r="BD630" s="28">
        <f t="shared" si="367"/>
        <v>0</v>
      </c>
      <c r="BF630" s="248">
        <f t="shared" si="368"/>
        <v>993869.29442638322</v>
      </c>
    </row>
    <row r="631" spans="1:58">
      <c r="A631" s="32">
        <f t="shared" si="369"/>
        <v>-456</v>
      </c>
      <c r="B631" s="32">
        <f t="shared" si="360"/>
        <v>98</v>
      </c>
      <c r="C631" s="32">
        <f t="shared" si="370"/>
        <v>46</v>
      </c>
      <c r="D631" s="32">
        <f t="shared" si="371"/>
        <v>541</v>
      </c>
      <c r="E631" s="74">
        <f>MIN(IF(AV631=0,0,
IF(Investment_Strategy="DIS",VLOOKUP(Investment_Strategy&amp;"_"&amp;Investment_Strategy_Sub1&amp;"_"&amp;$A631,'Investment Strategies'!$AZ:$BP,12,FALSE),
IF(AND(Investment_Strategy="Lifecycle",Investment_Strategy_Sub1="Non-Standard"),VLOOKUP(Investment_Strategy&amp;"_"&amp;Investment_Strategy_Sub2&amp;"_"&amp;$A631,'Investment Strategies'!$C:$P,9,FALSE),
IF(AND(Investment_Strategy="Lifecycle",Investment_Strategy_Sub1="Standard"),VLOOKUP(Investment_Strategy&amp;"_"&amp;Investment_Strategy_Sub2&amp;"_"&amp;$A631,'Investment Strategies'!$AJ:$AV,8,FALSE),
IF(AND(Investment_Strategy="Autopilot",Investment_Strategy_Sub1="Non-Standard"),VLOOKUP(Investment_Strategy&amp;"_"&amp;Investment_Strategy_Sub2&amp;"_"&amp;$A631,'Investment Strategies'!$T:$AF,8,FALSE),
IF(Investment_Strategy ="DIY",DIY_RateOfReturn_CurrentFunds,
"Error")))))),Max_InvReturn)</f>
        <v>0</v>
      </c>
      <c r="F631" s="62">
        <f>IF(AV631=0,0,
IF(Investment_Strategy="DIS",VLOOKUP(Investment_Strategy&amp;"_"&amp;Investment_Strategy_Sub1&amp;"_"&amp;$A631,'Investment Strategies'!$AZ:$BP,15,FALSE),
IF(AND(Investment_Strategy="Lifecycle",Investment_Strategy_Sub1="Non-Standard"),VLOOKUP(Investment_Strategy&amp;"_"&amp;Investment_Strategy_Sub2&amp;"_"&amp;$A631,'Investment Strategies'!$C:$P,12,FALSE),
IF(AND(Investment_Strategy="Lifecycle",Investment_Strategy_Sub1="Standard"),VLOOKUP(Investment_Strategy&amp;"_"&amp;Investment_Strategy_Sub2&amp;"_"&amp;$A631,'Investment Strategies'!$AJ:$AV,11,FALSE),
IF(AND(Investment_Strategy="Autopilot",Investment_Strategy_Sub1="Non-Standard"),VLOOKUP(Investment_Strategy&amp;"_"&amp;Investment_Strategy_Sub2&amp;"_"&amp;$A631,'Investment Strategies'!$T:$AF,11,FALSE),
IF(Investment_Strategy="DIY",DIY_GteeChrge_CurrentFunds,
"Error"))))))</f>
        <v>0</v>
      </c>
      <c r="G631" s="33">
        <f>IF(AV631=0,0,
IF(Investment_Strategy="DIS",VLOOKUP(Investment_Strategy&amp;"_"&amp;Investment_Strategy_Sub1&amp;"_"&amp;$A631,'Investment Strategies'!$AZ:$BP,17,FALSE),
IF(AND(Investment_Strategy="Lifecycle",Investment_Strategy_Sub1="Non-Standard"),VLOOKUP(Investment_Strategy&amp;"_"&amp;Investment_Strategy_Sub2&amp;"_"&amp;$A631,'Investment Strategies'!$C:$P,14,FALSE),
IF(AND(Investment_Strategy="Lifecycle",Investment_Strategy_Sub1="Standard"),VLOOKUP(Investment_Strategy&amp;"_"&amp;Investment_Strategy_Sub2&amp;"_"&amp;$A631,'Investment Strategies'!$AJ:$AV,13,FALSE),
IF(AND(Investment_Strategy="Autopilot",Investment_Strategy_Sub1="Non-Standard"),VLOOKUP(Investment_Strategy&amp;"_"&amp;Investment_Strategy_Sub2&amp;"_"&amp;$A631,'Investment Strategies'!$T:$AF,13,FALSE),
IF(Investment_Strategy="DIY",DIY_ExtManChrge_CurrentFunds,
"Error"))))))</f>
        <v>0</v>
      </c>
      <c r="H631" s="16">
        <f t="shared" si="361"/>
        <v>0</v>
      </c>
      <c r="I631" s="16">
        <f t="shared" si="347"/>
        <v>0</v>
      </c>
      <c r="J631" s="16">
        <f t="shared" si="348"/>
        <v>0</v>
      </c>
      <c r="K631" s="16">
        <f>(Opening_Fund_Value+SUM(K$91:K630))*E631*IF(D631=$A$91,SRP_finalmonthfactor,1)</f>
        <v>0</v>
      </c>
      <c r="L631" s="74">
        <f>MIN(IF($AV631=0,0,
IF(Investment_Strategy="DIS",VLOOKUP(Investment_Strategy&amp;"_"&amp;Investment_Strategy_Sub1&amp;"_"&amp;$A631,'Investment Strategies'!$AZ:$BP,12,FALSE),
IF(AND(Investment_Strategy="Lifecycle",Investment_Strategy_Sub1="Non-Standard"),VLOOKUP(Investment_Strategy&amp;"_"&amp;Investment_Strategy_Sub2&amp;"_"&amp;$A631,'Investment Strategies'!$C:$P,9,FALSE),
IF(AND(Investment_Strategy="Lifecycle",Investment_Strategy_Sub1="Standard"),VLOOKUP(Investment_Strategy&amp;"_"&amp;Investment_Strategy_Sub2&amp;"_"&amp;$A631,'Investment Strategies'!$AJ:$AV,8,FALSE),
IF(AND(Investment_Strategy="Autopilot",Investment_Strategy_Sub1="Non-Standard"),VLOOKUP(Investment_Strategy&amp;"_"&amp;Investment_Strategy_Sub2&amp;"_"&amp;$A631,'Investment Strategies'!$T:$AF,8,FALSE),
IF(Investment_Strategy ="DIY",DIY_RateofReturn_SP,
"Error")))))),Max_InvReturn)</f>
        <v>0</v>
      </c>
      <c r="M631" s="62">
        <f>IF($AV631=0,0,
IF(Investment_Strategy="DIS",VLOOKUP(Investment_Strategy&amp;"_"&amp;Investment_Strategy_Sub1&amp;"_"&amp;$A631,'Investment Strategies'!$AZ:$BP,15,FALSE),
IF(AND(Investment_Strategy="Lifecycle",Investment_Strategy_Sub1="Non-Standard"),VLOOKUP(Investment_Strategy&amp;"_"&amp;Investment_Strategy_Sub2&amp;"_"&amp;$A631,'Investment Strategies'!$C:$P,12,FALSE),
IF(AND(Investment_Strategy="Lifecycle",Investment_Strategy_Sub1="Standard"),VLOOKUP(Investment_Strategy&amp;"_"&amp;Investment_Strategy_Sub2&amp;"_"&amp;$A631,'Investment Strategies'!$AJ:$AV,11,FALSE),
IF(AND(Investment_Strategy="Autopilot",Investment_Strategy_Sub1="Non-Standard"),VLOOKUP(Investment_Strategy&amp;"_"&amp;Investment_Strategy_Sub2&amp;"_"&amp;$A631,'Investment Strategies'!$T:$AF,11,FALSE),
IF(Investment_Strategy="DIY",DIY_GteeChrge_SP,
"Error"))))))</f>
        <v>0</v>
      </c>
      <c r="N631" s="33">
        <f>IF($AV631=0,0,
IF(Investment_Strategy="DIS",VLOOKUP(Investment_Strategy&amp;"_"&amp;Investment_Strategy_Sub1&amp;"_"&amp;$A631,'Investment Strategies'!$AZ:$BP,17,FALSE),
IF(AND(Investment_Strategy="Lifecycle",Investment_Strategy_Sub1="Non-Standard"),VLOOKUP(Investment_Strategy&amp;"_"&amp;Investment_Strategy_Sub2&amp;"_"&amp;$A631,'Investment Strategies'!$C:$P,14,FALSE),
IF(AND(Investment_Strategy="Lifecycle",Investment_Strategy_Sub1="Standard"),VLOOKUP(Investment_Strategy&amp;"_"&amp;Investment_Strategy_Sub2&amp;"_"&amp;$A631,'Investment Strategies'!$AJ:$AV,13,FALSE),
IF(AND(Investment_Strategy="Autopilot",Investment_Strategy_Sub1="Non-Standard"),VLOOKUP(Investment_Strategy&amp;"_"&amp;Investment_Strategy_Sub2&amp;"_"&amp;$A631,'Investment Strategies'!$T:$AF,13,FALSE),
IF(Investment_Strategy="DIY",DIY_ExtManChrge_SP,
"Error"))))))</f>
        <v>0</v>
      </c>
      <c r="O631" s="16">
        <f t="shared" si="372"/>
        <v>0</v>
      </c>
      <c r="Q631" s="16">
        <f t="shared" si="349"/>
        <v>0</v>
      </c>
      <c r="R631" s="16">
        <f t="shared" si="345"/>
        <v>0</v>
      </c>
      <c r="S631" s="16">
        <f>(SRP_SP+SUM(S$91:S630))*L631*IF(D631=$A$91,SRP_finalmonthfactor,1)</f>
        <v>0</v>
      </c>
      <c r="T631" s="74">
        <f>MIN(IF($AV631=0,0,
IF(Investment_Strategy="DIS",VLOOKUP(Investment_Strategy&amp;"_"&amp;Investment_Strategy_Sub1&amp;"_"&amp;$A631,'Investment Strategies'!$AZ:$BP,12,FALSE),
IF(AND(Investment_Strategy="Lifecycle",Investment_Strategy_Sub1="Non-Standard"),VLOOKUP(Investment_Strategy&amp;"_"&amp;Investment_Strategy_Sub2&amp;"_"&amp;$A631,'Investment Strategies'!$C:$P,9,FALSE),
IF(AND(Investment_Strategy="Lifecycle",Investment_Strategy_Sub1="Standard"),VLOOKUP(Investment_Strategy&amp;"_"&amp;Investment_Strategy_Sub2&amp;"_"&amp;$A631,'Investment Strategies'!$AJ:$AV,8,FALSE),
IF(AND(Investment_Strategy="Autopilot",Investment_Strategy_Sub1="Non-Standard"),VLOOKUP(Investment_Strategy&amp;"_"&amp;Investment_Strategy_Sub2&amp;"_"&amp;$A631,'Investment Strategies'!$T:$AF,8,FALSE),
IF(Investment_Strategy ="DIY",DIY_RateOfReturn_FuturePremiums,
"Error")))))),Max_InvReturn)</f>
        <v>0</v>
      </c>
      <c r="U631" s="62">
        <f>IF($AV631=0,0,
IF(Investment_Strategy="DIS",VLOOKUP(Investment_Strategy&amp;"_"&amp;Investment_Strategy_Sub1&amp;"_"&amp;$A631,'Investment Strategies'!$AZ:$BP,15,FALSE),
IF(AND(Investment_Strategy="Lifecycle",Investment_Strategy_Sub1="Non-Standard"),VLOOKUP(Investment_Strategy&amp;"_"&amp;Investment_Strategy_Sub2&amp;"_"&amp;$A631,'Investment Strategies'!$C:$P,12,FALSE),
IF(AND(Investment_Strategy="Lifecycle",Investment_Strategy_Sub1="Standard"),VLOOKUP(Investment_Strategy&amp;"_"&amp;Investment_Strategy_Sub2&amp;"_"&amp;$A631,'Investment Strategies'!$AJ:$AV,11,FALSE),
IF(AND(Investment_Strategy="Autopilot",Investment_Strategy_Sub1="Non-Standard"),VLOOKUP(Investment_Strategy&amp;"_"&amp;Investment_Strategy_Sub2&amp;"_"&amp;$A631,'Investment Strategies'!$T:$AF,11,FALSE),
IF(Investment_Strategy="DIY",DIY_GteeChrge_FuturePremiums,
"Error"))))))</f>
        <v>0</v>
      </c>
      <c r="V631" s="33">
        <f>IF(AV631=0,0,
IF(Investment_Strategy="DIS",VLOOKUP(Investment_Strategy&amp;"_"&amp;Investment_Strategy_Sub1&amp;"_"&amp;$A631,'Investment Strategies'!$AZ:$BP,17,FALSE),
IF(AND(Investment_Strategy="Lifecycle",Investment_Strategy_Sub1="Non-Standard"),VLOOKUP(Investment_Strategy&amp;"_"&amp;Investment_Strategy_Sub2&amp;"_"&amp;$A631,'Investment Strategies'!$C:$P,14,FALSE),
IF(AND(Investment_Strategy="Lifecycle",Investment_Strategy_Sub1="Standard"),VLOOKUP(Investment_Strategy&amp;"_"&amp;Investment_Strategy_Sub2&amp;"_"&amp;$A631,'Investment Strategies'!$AJ:$AV,13,FALSE),
IF(AND(Investment_Strategy="Autopilot",Investment_Strategy_Sub1="Non-Standard"),VLOOKUP(Investment_Strategy&amp;"_"&amp;Investment_Strategy_Sub2&amp;"_"&amp;$A631,'Investment Strategies'!$T:$AF,13,FALSE),
IF(Investment_Strategy="DIY",DIY_ExtManChrge_FuturePremiums,
"Error"))))))</f>
        <v>0</v>
      </c>
      <c r="W631" s="16">
        <f t="shared" si="373"/>
        <v>0</v>
      </c>
      <c r="X631" s="16">
        <f t="shared" si="350"/>
        <v>0</v>
      </c>
      <c r="Y631" s="16">
        <f t="shared" si="351"/>
        <v>0</v>
      </c>
      <c r="Z631" s="31">
        <f t="shared" si="352"/>
        <v>0.02</v>
      </c>
      <c r="AA631" s="16">
        <f t="shared" si="353"/>
        <v>0</v>
      </c>
      <c r="AB631" s="28">
        <f t="shared" si="374"/>
        <v>0</v>
      </c>
      <c r="AC631" s="28">
        <f>(SUM($AC$91:AC630)+SUM($X$91:X630)+X631)*T631*IF(D631=$A$91,SRP_finalmonthfactor,1)</f>
        <v>0</v>
      </c>
      <c r="AD631" s="16">
        <f t="shared" si="354"/>
        <v>0</v>
      </c>
      <c r="AE631" s="106"/>
      <c r="AF631" s="16">
        <f t="shared" si="362"/>
        <v>0</v>
      </c>
      <c r="AG631" s="16">
        <f t="shared" si="363"/>
        <v>0</v>
      </c>
      <c r="AH631" s="16">
        <f t="shared" si="364"/>
        <v>0</v>
      </c>
      <c r="AJ631" s="13">
        <f t="shared" ref="AJ631:AU640" si="377">IF($C631&lt;=AJ$90,1,0)</f>
        <v>0</v>
      </c>
      <c r="AK631" s="13">
        <f t="shared" si="377"/>
        <v>0</v>
      </c>
      <c r="AL631" s="13">
        <f t="shared" si="377"/>
        <v>0</v>
      </c>
      <c r="AM631" s="13">
        <f t="shared" si="377"/>
        <v>0</v>
      </c>
      <c r="AN631" s="13">
        <f t="shared" si="377"/>
        <v>0</v>
      </c>
      <c r="AO631" s="13">
        <f t="shared" si="377"/>
        <v>1</v>
      </c>
      <c r="AP631" s="13">
        <f t="shared" si="377"/>
        <v>1</v>
      </c>
      <c r="AQ631" s="13">
        <f t="shared" si="377"/>
        <v>1</v>
      </c>
      <c r="AR631" s="13">
        <f t="shared" si="377"/>
        <v>0</v>
      </c>
      <c r="AS631" s="13">
        <f t="shared" si="377"/>
        <v>0</v>
      </c>
      <c r="AT631" s="13">
        <f t="shared" si="377"/>
        <v>0</v>
      </c>
      <c r="AU631" s="13">
        <f t="shared" si="377"/>
        <v>0</v>
      </c>
      <c r="AV631" s="13">
        <f t="shared" si="355"/>
        <v>0</v>
      </c>
      <c r="AW631" s="13">
        <f t="shared" si="356"/>
        <v>1</v>
      </c>
      <c r="AY631" s="17">
        <f t="shared" si="357"/>
        <v>541</v>
      </c>
      <c r="AZ631" s="28">
        <f t="shared" si="365"/>
        <v>0</v>
      </c>
      <c r="BA631" s="13">
        <f t="shared" si="358"/>
        <v>0</v>
      </c>
      <c r="BB631" s="13">
        <f t="shared" si="359"/>
        <v>0</v>
      </c>
      <c r="BC631" s="28">
        <f t="shared" si="366"/>
        <v>0</v>
      </c>
      <c r="BD631" s="28">
        <f t="shared" si="367"/>
        <v>0</v>
      </c>
      <c r="BF631" s="248">
        <f t="shared" si="368"/>
        <v>993869.29442638322</v>
      </c>
    </row>
    <row r="632" spans="1:58">
      <c r="A632" s="32">
        <f t="shared" si="369"/>
        <v>-457</v>
      </c>
      <c r="B632" s="32">
        <f t="shared" si="360"/>
        <v>98</v>
      </c>
      <c r="C632" s="32">
        <f t="shared" si="370"/>
        <v>46</v>
      </c>
      <c r="D632" s="32">
        <f t="shared" si="371"/>
        <v>542</v>
      </c>
      <c r="E632" s="74">
        <f>MIN(IF(AV632=0,0,
IF(Investment_Strategy="DIS",VLOOKUP(Investment_Strategy&amp;"_"&amp;Investment_Strategy_Sub1&amp;"_"&amp;$A632,'Investment Strategies'!$AZ:$BP,12,FALSE),
IF(AND(Investment_Strategy="Lifecycle",Investment_Strategy_Sub1="Non-Standard"),VLOOKUP(Investment_Strategy&amp;"_"&amp;Investment_Strategy_Sub2&amp;"_"&amp;$A632,'Investment Strategies'!$C:$P,9,FALSE),
IF(AND(Investment_Strategy="Lifecycle",Investment_Strategy_Sub1="Standard"),VLOOKUP(Investment_Strategy&amp;"_"&amp;Investment_Strategy_Sub2&amp;"_"&amp;$A632,'Investment Strategies'!$AJ:$AV,8,FALSE),
IF(AND(Investment_Strategy="Autopilot",Investment_Strategy_Sub1="Non-Standard"),VLOOKUP(Investment_Strategy&amp;"_"&amp;Investment_Strategy_Sub2&amp;"_"&amp;$A632,'Investment Strategies'!$T:$AF,8,FALSE),
IF(Investment_Strategy ="DIY",DIY_RateOfReturn_CurrentFunds,
"Error")))))),Max_InvReturn)</f>
        <v>0</v>
      </c>
      <c r="F632" s="62">
        <f>IF(AV632=0,0,
IF(Investment_Strategy="DIS",VLOOKUP(Investment_Strategy&amp;"_"&amp;Investment_Strategy_Sub1&amp;"_"&amp;$A632,'Investment Strategies'!$AZ:$BP,15,FALSE),
IF(AND(Investment_Strategy="Lifecycle",Investment_Strategy_Sub1="Non-Standard"),VLOOKUP(Investment_Strategy&amp;"_"&amp;Investment_Strategy_Sub2&amp;"_"&amp;$A632,'Investment Strategies'!$C:$P,12,FALSE),
IF(AND(Investment_Strategy="Lifecycle",Investment_Strategy_Sub1="Standard"),VLOOKUP(Investment_Strategy&amp;"_"&amp;Investment_Strategy_Sub2&amp;"_"&amp;$A632,'Investment Strategies'!$AJ:$AV,11,FALSE),
IF(AND(Investment_Strategy="Autopilot",Investment_Strategy_Sub1="Non-Standard"),VLOOKUP(Investment_Strategy&amp;"_"&amp;Investment_Strategy_Sub2&amp;"_"&amp;$A632,'Investment Strategies'!$T:$AF,11,FALSE),
IF(Investment_Strategy="DIY",DIY_GteeChrge_CurrentFunds,
"Error"))))))</f>
        <v>0</v>
      </c>
      <c r="G632" s="33">
        <f>IF(AV632=0,0,
IF(Investment_Strategy="DIS",VLOOKUP(Investment_Strategy&amp;"_"&amp;Investment_Strategy_Sub1&amp;"_"&amp;$A632,'Investment Strategies'!$AZ:$BP,17,FALSE),
IF(AND(Investment_Strategy="Lifecycle",Investment_Strategy_Sub1="Non-Standard"),VLOOKUP(Investment_Strategy&amp;"_"&amp;Investment_Strategy_Sub2&amp;"_"&amp;$A632,'Investment Strategies'!$C:$P,14,FALSE),
IF(AND(Investment_Strategy="Lifecycle",Investment_Strategy_Sub1="Standard"),VLOOKUP(Investment_Strategy&amp;"_"&amp;Investment_Strategy_Sub2&amp;"_"&amp;$A632,'Investment Strategies'!$AJ:$AV,13,FALSE),
IF(AND(Investment_Strategy="Autopilot",Investment_Strategy_Sub1="Non-Standard"),VLOOKUP(Investment_Strategy&amp;"_"&amp;Investment_Strategy_Sub2&amp;"_"&amp;$A632,'Investment Strategies'!$T:$AF,13,FALSE),
IF(Investment_Strategy="DIY",DIY_ExtManChrge_CurrentFunds,
"Error"))))))</f>
        <v>0</v>
      </c>
      <c r="H632" s="16">
        <f t="shared" si="361"/>
        <v>0</v>
      </c>
      <c r="I632" s="16">
        <f t="shared" si="347"/>
        <v>0</v>
      </c>
      <c r="J632" s="16">
        <f t="shared" si="348"/>
        <v>0</v>
      </c>
      <c r="K632" s="16">
        <f>(Opening_Fund_Value+SUM(K$91:K631))*E632*IF(D632=$A$91,SRP_finalmonthfactor,1)</f>
        <v>0</v>
      </c>
      <c r="L632" s="74">
        <f>MIN(IF($AV632=0,0,
IF(Investment_Strategy="DIS",VLOOKUP(Investment_Strategy&amp;"_"&amp;Investment_Strategy_Sub1&amp;"_"&amp;$A632,'Investment Strategies'!$AZ:$BP,12,FALSE),
IF(AND(Investment_Strategy="Lifecycle",Investment_Strategy_Sub1="Non-Standard"),VLOOKUP(Investment_Strategy&amp;"_"&amp;Investment_Strategy_Sub2&amp;"_"&amp;$A632,'Investment Strategies'!$C:$P,9,FALSE),
IF(AND(Investment_Strategy="Lifecycle",Investment_Strategy_Sub1="Standard"),VLOOKUP(Investment_Strategy&amp;"_"&amp;Investment_Strategy_Sub2&amp;"_"&amp;$A632,'Investment Strategies'!$AJ:$AV,8,FALSE),
IF(AND(Investment_Strategy="Autopilot",Investment_Strategy_Sub1="Non-Standard"),VLOOKUP(Investment_Strategy&amp;"_"&amp;Investment_Strategy_Sub2&amp;"_"&amp;$A632,'Investment Strategies'!$T:$AF,8,FALSE),
IF(Investment_Strategy ="DIY",DIY_RateofReturn_SP,
"Error")))))),Max_InvReturn)</f>
        <v>0</v>
      </c>
      <c r="M632" s="62">
        <f>IF($AV632=0,0,
IF(Investment_Strategy="DIS",VLOOKUP(Investment_Strategy&amp;"_"&amp;Investment_Strategy_Sub1&amp;"_"&amp;$A632,'Investment Strategies'!$AZ:$BP,15,FALSE),
IF(AND(Investment_Strategy="Lifecycle",Investment_Strategy_Sub1="Non-Standard"),VLOOKUP(Investment_Strategy&amp;"_"&amp;Investment_Strategy_Sub2&amp;"_"&amp;$A632,'Investment Strategies'!$C:$P,12,FALSE),
IF(AND(Investment_Strategy="Lifecycle",Investment_Strategy_Sub1="Standard"),VLOOKUP(Investment_Strategy&amp;"_"&amp;Investment_Strategy_Sub2&amp;"_"&amp;$A632,'Investment Strategies'!$AJ:$AV,11,FALSE),
IF(AND(Investment_Strategy="Autopilot",Investment_Strategy_Sub1="Non-Standard"),VLOOKUP(Investment_Strategy&amp;"_"&amp;Investment_Strategy_Sub2&amp;"_"&amp;$A632,'Investment Strategies'!$T:$AF,11,FALSE),
IF(Investment_Strategy="DIY",DIY_GteeChrge_SP,
"Error"))))))</f>
        <v>0</v>
      </c>
      <c r="N632" s="33">
        <f>IF($AV632=0,0,
IF(Investment_Strategy="DIS",VLOOKUP(Investment_Strategy&amp;"_"&amp;Investment_Strategy_Sub1&amp;"_"&amp;$A632,'Investment Strategies'!$AZ:$BP,17,FALSE),
IF(AND(Investment_Strategy="Lifecycle",Investment_Strategy_Sub1="Non-Standard"),VLOOKUP(Investment_Strategy&amp;"_"&amp;Investment_Strategy_Sub2&amp;"_"&amp;$A632,'Investment Strategies'!$C:$P,14,FALSE),
IF(AND(Investment_Strategy="Lifecycle",Investment_Strategy_Sub1="Standard"),VLOOKUP(Investment_Strategy&amp;"_"&amp;Investment_Strategy_Sub2&amp;"_"&amp;$A632,'Investment Strategies'!$AJ:$AV,13,FALSE),
IF(AND(Investment_Strategy="Autopilot",Investment_Strategy_Sub1="Non-Standard"),VLOOKUP(Investment_Strategy&amp;"_"&amp;Investment_Strategy_Sub2&amp;"_"&amp;$A632,'Investment Strategies'!$T:$AF,13,FALSE),
IF(Investment_Strategy="DIY",DIY_ExtManChrge_SP,
"Error"))))))</f>
        <v>0</v>
      </c>
      <c r="O632" s="16">
        <f t="shared" si="372"/>
        <v>0</v>
      </c>
      <c r="Q632" s="16">
        <f t="shared" si="349"/>
        <v>0</v>
      </c>
      <c r="R632" s="16">
        <f t="shared" si="345"/>
        <v>0</v>
      </c>
      <c r="S632" s="16">
        <f>(SRP_SP+SUM(S$91:S631))*L632*IF(D632=$A$91,SRP_finalmonthfactor,1)</f>
        <v>0</v>
      </c>
      <c r="T632" s="74">
        <f>MIN(IF($AV632=0,0,
IF(Investment_Strategy="DIS",VLOOKUP(Investment_Strategy&amp;"_"&amp;Investment_Strategy_Sub1&amp;"_"&amp;$A632,'Investment Strategies'!$AZ:$BP,12,FALSE),
IF(AND(Investment_Strategy="Lifecycle",Investment_Strategy_Sub1="Non-Standard"),VLOOKUP(Investment_Strategy&amp;"_"&amp;Investment_Strategy_Sub2&amp;"_"&amp;$A632,'Investment Strategies'!$C:$P,9,FALSE),
IF(AND(Investment_Strategy="Lifecycle",Investment_Strategy_Sub1="Standard"),VLOOKUP(Investment_Strategy&amp;"_"&amp;Investment_Strategy_Sub2&amp;"_"&amp;$A632,'Investment Strategies'!$AJ:$AV,8,FALSE),
IF(AND(Investment_Strategy="Autopilot",Investment_Strategy_Sub1="Non-Standard"),VLOOKUP(Investment_Strategy&amp;"_"&amp;Investment_Strategy_Sub2&amp;"_"&amp;$A632,'Investment Strategies'!$T:$AF,8,FALSE),
IF(Investment_Strategy ="DIY",DIY_RateOfReturn_FuturePremiums,
"Error")))))),Max_InvReturn)</f>
        <v>0</v>
      </c>
      <c r="U632" s="62">
        <f>IF($AV632=0,0,
IF(Investment_Strategy="DIS",VLOOKUP(Investment_Strategy&amp;"_"&amp;Investment_Strategy_Sub1&amp;"_"&amp;$A632,'Investment Strategies'!$AZ:$BP,15,FALSE),
IF(AND(Investment_Strategy="Lifecycle",Investment_Strategy_Sub1="Non-Standard"),VLOOKUP(Investment_Strategy&amp;"_"&amp;Investment_Strategy_Sub2&amp;"_"&amp;$A632,'Investment Strategies'!$C:$P,12,FALSE),
IF(AND(Investment_Strategy="Lifecycle",Investment_Strategy_Sub1="Standard"),VLOOKUP(Investment_Strategy&amp;"_"&amp;Investment_Strategy_Sub2&amp;"_"&amp;$A632,'Investment Strategies'!$AJ:$AV,11,FALSE),
IF(AND(Investment_Strategy="Autopilot",Investment_Strategy_Sub1="Non-Standard"),VLOOKUP(Investment_Strategy&amp;"_"&amp;Investment_Strategy_Sub2&amp;"_"&amp;$A632,'Investment Strategies'!$T:$AF,11,FALSE),
IF(Investment_Strategy="DIY",DIY_GteeChrge_FuturePremiums,
"Error"))))))</f>
        <v>0</v>
      </c>
      <c r="V632" s="33">
        <f>IF(AV632=0,0,
IF(Investment_Strategy="DIS",VLOOKUP(Investment_Strategy&amp;"_"&amp;Investment_Strategy_Sub1&amp;"_"&amp;$A632,'Investment Strategies'!$AZ:$BP,17,FALSE),
IF(AND(Investment_Strategy="Lifecycle",Investment_Strategy_Sub1="Non-Standard"),VLOOKUP(Investment_Strategy&amp;"_"&amp;Investment_Strategy_Sub2&amp;"_"&amp;$A632,'Investment Strategies'!$C:$P,14,FALSE),
IF(AND(Investment_Strategy="Lifecycle",Investment_Strategy_Sub1="Standard"),VLOOKUP(Investment_Strategy&amp;"_"&amp;Investment_Strategy_Sub2&amp;"_"&amp;$A632,'Investment Strategies'!$AJ:$AV,13,FALSE),
IF(AND(Investment_Strategy="Autopilot",Investment_Strategy_Sub1="Non-Standard"),VLOOKUP(Investment_Strategy&amp;"_"&amp;Investment_Strategy_Sub2&amp;"_"&amp;$A632,'Investment Strategies'!$T:$AF,13,FALSE),
IF(Investment_Strategy="DIY",DIY_ExtManChrge_FuturePremiums,
"Error"))))))</f>
        <v>0</v>
      </c>
      <c r="W632" s="16">
        <f t="shared" si="373"/>
        <v>0</v>
      </c>
      <c r="X632" s="16">
        <f t="shared" si="350"/>
        <v>0</v>
      </c>
      <c r="Y632" s="16">
        <f t="shared" si="351"/>
        <v>0</v>
      </c>
      <c r="Z632" s="31">
        <f t="shared" si="352"/>
        <v>0.02</v>
      </c>
      <c r="AA632" s="16">
        <f t="shared" si="353"/>
        <v>0</v>
      </c>
      <c r="AB632" s="28">
        <f t="shared" si="374"/>
        <v>0</v>
      </c>
      <c r="AC632" s="28">
        <f>(SUM($AC$91:AC631)+SUM($X$91:X631)+X632)*T632*IF(D632=$A$91,SRP_finalmonthfactor,1)</f>
        <v>0</v>
      </c>
      <c r="AD632" s="16">
        <f t="shared" si="354"/>
        <v>0</v>
      </c>
      <c r="AE632" s="106"/>
      <c r="AF632" s="16">
        <f t="shared" si="362"/>
        <v>0</v>
      </c>
      <c r="AG632" s="16">
        <f t="shared" si="363"/>
        <v>0</v>
      </c>
      <c r="AH632" s="16">
        <f t="shared" si="364"/>
        <v>0</v>
      </c>
      <c r="AJ632" s="13">
        <f t="shared" si="377"/>
        <v>0</v>
      </c>
      <c r="AK632" s="13">
        <f t="shared" si="377"/>
        <v>0</v>
      </c>
      <c r="AL632" s="13">
        <f t="shared" si="377"/>
        <v>0</v>
      </c>
      <c r="AM632" s="13">
        <f t="shared" si="377"/>
        <v>0</v>
      </c>
      <c r="AN632" s="13">
        <f t="shared" si="377"/>
        <v>0</v>
      </c>
      <c r="AO632" s="13">
        <f t="shared" si="377"/>
        <v>1</v>
      </c>
      <c r="AP632" s="13">
        <f t="shared" si="377"/>
        <v>1</v>
      </c>
      <c r="AQ632" s="13">
        <f t="shared" si="377"/>
        <v>1</v>
      </c>
      <c r="AR632" s="13">
        <f t="shared" si="377"/>
        <v>0</v>
      </c>
      <c r="AS632" s="13">
        <f t="shared" si="377"/>
        <v>0</v>
      </c>
      <c r="AT632" s="13">
        <f t="shared" si="377"/>
        <v>0</v>
      </c>
      <c r="AU632" s="13">
        <f t="shared" si="377"/>
        <v>0</v>
      </c>
      <c r="AV632" s="13">
        <f t="shared" si="355"/>
        <v>0</v>
      </c>
      <c r="AW632" s="13">
        <f t="shared" si="356"/>
        <v>1</v>
      </c>
      <c r="AY632" s="17">
        <f t="shared" si="357"/>
        <v>542</v>
      </c>
      <c r="AZ632" s="28">
        <f t="shared" si="365"/>
        <v>0</v>
      </c>
      <c r="BA632" s="13">
        <f t="shared" si="358"/>
        <v>0</v>
      </c>
      <c r="BB632" s="13">
        <f t="shared" si="359"/>
        <v>0</v>
      </c>
      <c r="BC632" s="28">
        <f t="shared" si="366"/>
        <v>0</v>
      </c>
      <c r="BD632" s="28">
        <f t="shared" si="367"/>
        <v>0</v>
      </c>
      <c r="BF632" s="248">
        <f t="shared" si="368"/>
        <v>993869.29442638322</v>
      </c>
    </row>
    <row r="633" spans="1:58">
      <c r="A633" s="32">
        <f t="shared" si="369"/>
        <v>-458</v>
      </c>
      <c r="B633" s="32">
        <f t="shared" si="360"/>
        <v>98</v>
      </c>
      <c r="C633" s="32">
        <f t="shared" si="370"/>
        <v>46</v>
      </c>
      <c r="D633" s="32">
        <f t="shared" si="371"/>
        <v>543</v>
      </c>
      <c r="E633" s="74">
        <f>MIN(IF(AV633=0,0,
IF(Investment_Strategy="DIS",VLOOKUP(Investment_Strategy&amp;"_"&amp;Investment_Strategy_Sub1&amp;"_"&amp;$A633,'Investment Strategies'!$AZ:$BP,12,FALSE),
IF(AND(Investment_Strategy="Lifecycle",Investment_Strategy_Sub1="Non-Standard"),VLOOKUP(Investment_Strategy&amp;"_"&amp;Investment_Strategy_Sub2&amp;"_"&amp;$A633,'Investment Strategies'!$C:$P,9,FALSE),
IF(AND(Investment_Strategy="Lifecycle",Investment_Strategy_Sub1="Standard"),VLOOKUP(Investment_Strategy&amp;"_"&amp;Investment_Strategy_Sub2&amp;"_"&amp;$A633,'Investment Strategies'!$AJ:$AV,8,FALSE),
IF(AND(Investment_Strategy="Autopilot",Investment_Strategy_Sub1="Non-Standard"),VLOOKUP(Investment_Strategy&amp;"_"&amp;Investment_Strategy_Sub2&amp;"_"&amp;$A633,'Investment Strategies'!$T:$AF,8,FALSE),
IF(Investment_Strategy ="DIY",DIY_RateOfReturn_CurrentFunds,
"Error")))))),Max_InvReturn)</f>
        <v>0</v>
      </c>
      <c r="F633" s="62">
        <f>IF(AV633=0,0,
IF(Investment_Strategy="DIS",VLOOKUP(Investment_Strategy&amp;"_"&amp;Investment_Strategy_Sub1&amp;"_"&amp;$A633,'Investment Strategies'!$AZ:$BP,15,FALSE),
IF(AND(Investment_Strategy="Lifecycle",Investment_Strategy_Sub1="Non-Standard"),VLOOKUP(Investment_Strategy&amp;"_"&amp;Investment_Strategy_Sub2&amp;"_"&amp;$A633,'Investment Strategies'!$C:$P,12,FALSE),
IF(AND(Investment_Strategy="Lifecycle",Investment_Strategy_Sub1="Standard"),VLOOKUP(Investment_Strategy&amp;"_"&amp;Investment_Strategy_Sub2&amp;"_"&amp;$A633,'Investment Strategies'!$AJ:$AV,11,FALSE),
IF(AND(Investment_Strategy="Autopilot",Investment_Strategy_Sub1="Non-Standard"),VLOOKUP(Investment_Strategy&amp;"_"&amp;Investment_Strategy_Sub2&amp;"_"&amp;$A633,'Investment Strategies'!$T:$AF,11,FALSE),
IF(Investment_Strategy="DIY",DIY_GteeChrge_CurrentFunds,
"Error"))))))</f>
        <v>0</v>
      </c>
      <c r="G633" s="33">
        <f>IF(AV633=0,0,
IF(Investment_Strategy="DIS",VLOOKUP(Investment_Strategy&amp;"_"&amp;Investment_Strategy_Sub1&amp;"_"&amp;$A633,'Investment Strategies'!$AZ:$BP,17,FALSE),
IF(AND(Investment_Strategy="Lifecycle",Investment_Strategy_Sub1="Non-Standard"),VLOOKUP(Investment_Strategy&amp;"_"&amp;Investment_Strategy_Sub2&amp;"_"&amp;$A633,'Investment Strategies'!$C:$P,14,FALSE),
IF(AND(Investment_Strategy="Lifecycle",Investment_Strategy_Sub1="Standard"),VLOOKUP(Investment_Strategy&amp;"_"&amp;Investment_Strategy_Sub2&amp;"_"&amp;$A633,'Investment Strategies'!$AJ:$AV,13,FALSE),
IF(AND(Investment_Strategy="Autopilot",Investment_Strategy_Sub1="Non-Standard"),VLOOKUP(Investment_Strategy&amp;"_"&amp;Investment_Strategy_Sub2&amp;"_"&amp;$A633,'Investment Strategies'!$T:$AF,13,FALSE),
IF(Investment_Strategy="DIY",DIY_ExtManChrge_CurrentFunds,
"Error"))))))</f>
        <v>0</v>
      </c>
      <c r="H633" s="16">
        <f t="shared" si="361"/>
        <v>0</v>
      </c>
      <c r="I633" s="16">
        <f t="shared" si="347"/>
        <v>0</v>
      </c>
      <c r="J633" s="16">
        <f t="shared" si="348"/>
        <v>0</v>
      </c>
      <c r="K633" s="16">
        <f>(Opening_Fund_Value+SUM(K$91:K632))*E633*IF(D633=$A$91,SRP_finalmonthfactor,1)</f>
        <v>0</v>
      </c>
      <c r="L633" s="74">
        <f>MIN(IF($AV633=0,0,
IF(Investment_Strategy="DIS",VLOOKUP(Investment_Strategy&amp;"_"&amp;Investment_Strategy_Sub1&amp;"_"&amp;$A633,'Investment Strategies'!$AZ:$BP,12,FALSE),
IF(AND(Investment_Strategy="Lifecycle",Investment_Strategy_Sub1="Non-Standard"),VLOOKUP(Investment_Strategy&amp;"_"&amp;Investment_Strategy_Sub2&amp;"_"&amp;$A633,'Investment Strategies'!$C:$P,9,FALSE),
IF(AND(Investment_Strategy="Lifecycle",Investment_Strategy_Sub1="Standard"),VLOOKUP(Investment_Strategy&amp;"_"&amp;Investment_Strategy_Sub2&amp;"_"&amp;$A633,'Investment Strategies'!$AJ:$AV,8,FALSE),
IF(AND(Investment_Strategy="Autopilot",Investment_Strategy_Sub1="Non-Standard"),VLOOKUP(Investment_Strategy&amp;"_"&amp;Investment_Strategy_Sub2&amp;"_"&amp;$A633,'Investment Strategies'!$T:$AF,8,FALSE),
IF(Investment_Strategy ="DIY",DIY_RateofReturn_SP,
"Error")))))),Max_InvReturn)</f>
        <v>0</v>
      </c>
      <c r="M633" s="62">
        <f>IF($AV633=0,0,
IF(Investment_Strategy="DIS",VLOOKUP(Investment_Strategy&amp;"_"&amp;Investment_Strategy_Sub1&amp;"_"&amp;$A633,'Investment Strategies'!$AZ:$BP,15,FALSE),
IF(AND(Investment_Strategy="Lifecycle",Investment_Strategy_Sub1="Non-Standard"),VLOOKUP(Investment_Strategy&amp;"_"&amp;Investment_Strategy_Sub2&amp;"_"&amp;$A633,'Investment Strategies'!$C:$P,12,FALSE),
IF(AND(Investment_Strategy="Lifecycle",Investment_Strategy_Sub1="Standard"),VLOOKUP(Investment_Strategy&amp;"_"&amp;Investment_Strategy_Sub2&amp;"_"&amp;$A633,'Investment Strategies'!$AJ:$AV,11,FALSE),
IF(AND(Investment_Strategy="Autopilot",Investment_Strategy_Sub1="Non-Standard"),VLOOKUP(Investment_Strategy&amp;"_"&amp;Investment_Strategy_Sub2&amp;"_"&amp;$A633,'Investment Strategies'!$T:$AF,11,FALSE),
IF(Investment_Strategy="DIY",DIY_GteeChrge_SP,
"Error"))))))</f>
        <v>0</v>
      </c>
      <c r="N633" s="33">
        <f>IF($AV633=0,0,
IF(Investment_Strategy="DIS",VLOOKUP(Investment_Strategy&amp;"_"&amp;Investment_Strategy_Sub1&amp;"_"&amp;$A633,'Investment Strategies'!$AZ:$BP,17,FALSE),
IF(AND(Investment_Strategy="Lifecycle",Investment_Strategy_Sub1="Non-Standard"),VLOOKUP(Investment_Strategy&amp;"_"&amp;Investment_Strategy_Sub2&amp;"_"&amp;$A633,'Investment Strategies'!$C:$P,14,FALSE),
IF(AND(Investment_Strategy="Lifecycle",Investment_Strategy_Sub1="Standard"),VLOOKUP(Investment_Strategy&amp;"_"&amp;Investment_Strategy_Sub2&amp;"_"&amp;$A633,'Investment Strategies'!$AJ:$AV,13,FALSE),
IF(AND(Investment_Strategy="Autopilot",Investment_Strategy_Sub1="Non-Standard"),VLOOKUP(Investment_Strategy&amp;"_"&amp;Investment_Strategy_Sub2&amp;"_"&amp;$A633,'Investment Strategies'!$T:$AF,13,FALSE),
IF(Investment_Strategy="DIY",DIY_ExtManChrge_SP,
"Error"))))))</f>
        <v>0</v>
      </c>
      <c r="O633" s="16">
        <f t="shared" si="372"/>
        <v>0</v>
      </c>
      <c r="Q633" s="16">
        <f t="shared" si="349"/>
        <v>0</v>
      </c>
      <c r="R633" s="16">
        <f t="shared" si="345"/>
        <v>0</v>
      </c>
      <c r="S633" s="16">
        <f>(SRP_SP+SUM(S$91:S632))*L633*IF(D633=$A$91,SRP_finalmonthfactor,1)</f>
        <v>0</v>
      </c>
      <c r="T633" s="74">
        <f>MIN(IF($AV633=0,0,
IF(Investment_Strategy="DIS",VLOOKUP(Investment_Strategy&amp;"_"&amp;Investment_Strategy_Sub1&amp;"_"&amp;$A633,'Investment Strategies'!$AZ:$BP,12,FALSE),
IF(AND(Investment_Strategy="Lifecycle",Investment_Strategy_Sub1="Non-Standard"),VLOOKUP(Investment_Strategy&amp;"_"&amp;Investment_Strategy_Sub2&amp;"_"&amp;$A633,'Investment Strategies'!$C:$P,9,FALSE),
IF(AND(Investment_Strategy="Lifecycle",Investment_Strategy_Sub1="Standard"),VLOOKUP(Investment_Strategy&amp;"_"&amp;Investment_Strategy_Sub2&amp;"_"&amp;$A633,'Investment Strategies'!$AJ:$AV,8,FALSE),
IF(AND(Investment_Strategy="Autopilot",Investment_Strategy_Sub1="Non-Standard"),VLOOKUP(Investment_Strategy&amp;"_"&amp;Investment_Strategy_Sub2&amp;"_"&amp;$A633,'Investment Strategies'!$T:$AF,8,FALSE),
IF(Investment_Strategy ="DIY",DIY_RateOfReturn_FuturePremiums,
"Error")))))),Max_InvReturn)</f>
        <v>0</v>
      </c>
      <c r="U633" s="62">
        <f>IF($AV633=0,0,
IF(Investment_Strategy="DIS",VLOOKUP(Investment_Strategy&amp;"_"&amp;Investment_Strategy_Sub1&amp;"_"&amp;$A633,'Investment Strategies'!$AZ:$BP,15,FALSE),
IF(AND(Investment_Strategy="Lifecycle",Investment_Strategy_Sub1="Non-Standard"),VLOOKUP(Investment_Strategy&amp;"_"&amp;Investment_Strategy_Sub2&amp;"_"&amp;$A633,'Investment Strategies'!$C:$P,12,FALSE),
IF(AND(Investment_Strategy="Lifecycle",Investment_Strategy_Sub1="Standard"),VLOOKUP(Investment_Strategy&amp;"_"&amp;Investment_Strategy_Sub2&amp;"_"&amp;$A633,'Investment Strategies'!$AJ:$AV,11,FALSE),
IF(AND(Investment_Strategy="Autopilot",Investment_Strategy_Sub1="Non-Standard"),VLOOKUP(Investment_Strategy&amp;"_"&amp;Investment_Strategy_Sub2&amp;"_"&amp;$A633,'Investment Strategies'!$T:$AF,11,FALSE),
IF(Investment_Strategy="DIY",DIY_GteeChrge_FuturePremiums,
"Error"))))))</f>
        <v>0</v>
      </c>
      <c r="V633" s="33">
        <f>IF(AV633=0,0,
IF(Investment_Strategy="DIS",VLOOKUP(Investment_Strategy&amp;"_"&amp;Investment_Strategy_Sub1&amp;"_"&amp;$A633,'Investment Strategies'!$AZ:$BP,17,FALSE),
IF(AND(Investment_Strategy="Lifecycle",Investment_Strategy_Sub1="Non-Standard"),VLOOKUP(Investment_Strategy&amp;"_"&amp;Investment_Strategy_Sub2&amp;"_"&amp;$A633,'Investment Strategies'!$C:$P,14,FALSE),
IF(AND(Investment_Strategy="Lifecycle",Investment_Strategy_Sub1="Standard"),VLOOKUP(Investment_Strategy&amp;"_"&amp;Investment_Strategy_Sub2&amp;"_"&amp;$A633,'Investment Strategies'!$AJ:$AV,13,FALSE),
IF(AND(Investment_Strategy="Autopilot",Investment_Strategy_Sub1="Non-Standard"),VLOOKUP(Investment_Strategy&amp;"_"&amp;Investment_Strategy_Sub2&amp;"_"&amp;$A633,'Investment Strategies'!$T:$AF,13,FALSE),
IF(Investment_Strategy="DIY",DIY_ExtManChrge_FuturePremiums,
"Error"))))))</f>
        <v>0</v>
      </c>
      <c r="W633" s="16">
        <f t="shared" si="373"/>
        <v>0</v>
      </c>
      <c r="X633" s="16">
        <f t="shared" si="350"/>
        <v>0</v>
      </c>
      <c r="Y633" s="16">
        <f t="shared" si="351"/>
        <v>0</v>
      </c>
      <c r="Z633" s="31">
        <f t="shared" si="352"/>
        <v>0.02</v>
      </c>
      <c r="AA633" s="16">
        <f t="shared" si="353"/>
        <v>0</v>
      </c>
      <c r="AB633" s="28">
        <f t="shared" si="374"/>
        <v>0</v>
      </c>
      <c r="AC633" s="28">
        <f>(SUM($AC$91:AC632)+SUM($X$91:X632)+X633)*T633*IF(D633=$A$91,SRP_finalmonthfactor,1)</f>
        <v>0</v>
      </c>
      <c r="AD633" s="16">
        <f t="shared" si="354"/>
        <v>0</v>
      </c>
      <c r="AE633" s="106"/>
      <c r="AF633" s="16">
        <f t="shared" si="362"/>
        <v>0</v>
      </c>
      <c r="AG633" s="16">
        <f t="shared" si="363"/>
        <v>0</v>
      </c>
      <c r="AH633" s="16">
        <f t="shared" si="364"/>
        <v>0</v>
      </c>
      <c r="AJ633" s="13">
        <f t="shared" si="377"/>
        <v>0</v>
      </c>
      <c r="AK633" s="13">
        <f t="shared" si="377"/>
        <v>0</v>
      </c>
      <c r="AL633" s="13">
        <f t="shared" si="377"/>
        <v>0</v>
      </c>
      <c r="AM633" s="13">
        <f t="shared" si="377"/>
        <v>0</v>
      </c>
      <c r="AN633" s="13">
        <f t="shared" si="377"/>
        <v>0</v>
      </c>
      <c r="AO633" s="13">
        <f t="shared" si="377"/>
        <v>1</v>
      </c>
      <c r="AP633" s="13">
        <f t="shared" si="377"/>
        <v>1</v>
      </c>
      <c r="AQ633" s="13">
        <f t="shared" si="377"/>
        <v>1</v>
      </c>
      <c r="AR633" s="13">
        <f t="shared" si="377"/>
        <v>0</v>
      </c>
      <c r="AS633" s="13">
        <f t="shared" si="377"/>
        <v>0</v>
      </c>
      <c r="AT633" s="13">
        <f t="shared" si="377"/>
        <v>0</v>
      </c>
      <c r="AU633" s="13">
        <f t="shared" si="377"/>
        <v>0</v>
      </c>
      <c r="AV633" s="13">
        <f t="shared" si="355"/>
        <v>0</v>
      </c>
      <c r="AW633" s="13">
        <f t="shared" si="356"/>
        <v>1</v>
      </c>
      <c r="AY633" s="17">
        <f t="shared" si="357"/>
        <v>543</v>
      </c>
      <c r="AZ633" s="28">
        <f t="shared" si="365"/>
        <v>0</v>
      </c>
      <c r="BA633" s="13">
        <f t="shared" si="358"/>
        <v>0</v>
      </c>
      <c r="BB633" s="13">
        <f t="shared" si="359"/>
        <v>0</v>
      </c>
      <c r="BC633" s="28">
        <f t="shared" si="366"/>
        <v>0</v>
      </c>
      <c r="BD633" s="28">
        <f t="shared" si="367"/>
        <v>0</v>
      </c>
      <c r="BF633" s="248">
        <f t="shared" si="368"/>
        <v>993869.29442638322</v>
      </c>
    </row>
    <row r="634" spans="1:58">
      <c r="A634" s="32">
        <f t="shared" si="369"/>
        <v>-459</v>
      </c>
      <c r="B634" s="32">
        <f t="shared" si="360"/>
        <v>98</v>
      </c>
      <c r="C634" s="32">
        <f t="shared" si="370"/>
        <v>46</v>
      </c>
      <c r="D634" s="32">
        <f t="shared" si="371"/>
        <v>544</v>
      </c>
      <c r="E634" s="74">
        <f>MIN(IF(AV634=0,0,
IF(Investment_Strategy="DIS",VLOOKUP(Investment_Strategy&amp;"_"&amp;Investment_Strategy_Sub1&amp;"_"&amp;$A634,'Investment Strategies'!$AZ:$BP,12,FALSE),
IF(AND(Investment_Strategy="Lifecycle",Investment_Strategy_Sub1="Non-Standard"),VLOOKUP(Investment_Strategy&amp;"_"&amp;Investment_Strategy_Sub2&amp;"_"&amp;$A634,'Investment Strategies'!$C:$P,9,FALSE),
IF(AND(Investment_Strategy="Lifecycle",Investment_Strategy_Sub1="Standard"),VLOOKUP(Investment_Strategy&amp;"_"&amp;Investment_Strategy_Sub2&amp;"_"&amp;$A634,'Investment Strategies'!$AJ:$AV,8,FALSE),
IF(AND(Investment_Strategy="Autopilot",Investment_Strategy_Sub1="Non-Standard"),VLOOKUP(Investment_Strategy&amp;"_"&amp;Investment_Strategy_Sub2&amp;"_"&amp;$A634,'Investment Strategies'!$T:$AF,8,FALSE),
IF(Investment_Strategy ="DIY",DIY_RateOfReturn_CurrentFunds,
"Error")))))),Max_InvReturn)</f>
        <v>0</v>
      </c>
      <c r="F634" s="62">
        <f>IF(AV634=0,0,
IF(Investment_Strategy="DIS",VLOOKUP(Investment_Strategy&amp;"_"&amp;Investment_Strategy_Sub1&amp;"_"&amp;$A634,'Investment Strategies'!$AZ:$BP,15,FALSE),
IF(AND(Investment_Strategy="Lifecycle",Investment_Strategy_Sub1="Non-Standard"),VLOOKUP(Investment_Strategy&amp;"_"&amp;Investment_Strategy_Sub2&amp;"_"&amp;$A634,'Investment Strategies'!$C:$P,12,FALSE),
IF(AND(Investment_Strategy="Lifecycle",Investment_Strategy_Sub1="Standard"),VLOOKUP(Investment_Strategy&amp;"_"&amp;Investment_Strategy_Sub2&amp;"_"&amp;$A634,'Investment Strategies'!$AJ:$AV,11,FALSE),
IF(AND(Investment_Strategy="Autopilot",Investment_Strategy_Sub1="Non-Standard"),VLOOKUP(Investment_Strategy&amp;"_"&amp;Investment_Strategy_Sub2&amp;"_"&amp;$A634,'Investment Strategies'!$T:$AF,11,FALSE),
IF(Investment_Strategy="DIY",DIY_GteeChrge_CurrentFunds,
"Error"))))))</f>
        <v>0</v>
      </c>
      <c r="G634" s="33">
        <f>IF(AV634=0,0,
IF(Investment_Strategy="DIS",VLOOKUP(Investment_Strategy&amp;"_"&amp;Investment_Strategy_Sub1&amp;"_"&amp;$A634,'Investment Strategies'!$AZ:$BP,17,FALSE),
IF(AND(Investment_Strategy="Lifecycle",Investment_Strategy_Sub1="Non-Standard"),VLOOKUP(Investment_Strategy&amp;"_"&amp;Investment_Strategy_Sub2&amp;"_"&amp;$A634,'Investment Strategies'!$C:$P,14,FALSE),
IF(AND(Investment_Strategy="Lifecycle",Investment_Strategy_Sub1="Standard"),VLOOKUP(Investment_Strategy&amp;"_"&amp;Investment_Strategy_Sub2&amp;"_"&amp;$A634,'Investment Strategies'!$AJ:$AV,13,FALSE),
IF(AND(Investment_Strategy="Autopilot",Investment_Strategy_Sub1="Non-Standard"),VLOOKUP(Investment_Strategy&amp;"_"&amp;Investment_Strategy_Sub2&amp;"_"&amp;$A634,'Investment Strategies'!$T:$AF,13,FALSE),
IF(Investment_Strategy="DIY",DIY_ExtManChrge_CurrentFunds,
"Error"))))))</f>
        <v>0</v>
      </c>
      <c r="H634" s="16">
        <f t="shared" si="361"/>
        <v>0</v>
      </c>
      <c r="I634" s="16">
        <f t="shared" si="347"/>
        <v>0</v>
      </c>
      <c r="J634" s="16">
        <f t="shared" si="348"/>
        <v>0</v>
      </c>
      <c r="K634" s="16">
        <f>(Opening_Fund_Value+SUM(K$91:K633))*E634*IF(D634=$A$91,SRP_finalmonthfactor,1)</f>
        <v>0</v>
      </c>
      <c r="L634" s="74">
        <f>MIN(IF($AV634=0,0,
IF(Investment_Strategy="DIS",VLOOKUP(Investment_Strategy&amp;"_"&amp;Investment_Strategy_Sub1&amp;"_"&amp;$A634,'Investment Strategies'!$AZ:$BP,12,FALSE),
IF(AND(Investment_Strategy="Lifecycle",Investment_Strategy_Sub1="Non-Standard"),VLOOKUP(Investment_Strategy&amp;"_"&amp;Investment_Strategy_Sub2&amp;"_"&amp;$A634,'Investment Strategies'!$C:$P,9,FALSE),
IF(AND(Investment_Strategy="Lifecycle",Investment_Strategy_Sub1="Standard"),VLOOKUP(Investment_Strategy&amp;"_"&amp;Investment_Strategy_Sub2&amp;"_"&amp;$A634,'Investment Strategies'!$AJ:$AV,8,FALSE),
IF(AND(Investment_Strategy="Autopilot",Investment_Strategy_Sub1="Non-Standard"),VLOOKUP(Investment_Strategy&amp;"_"&amp;Investment_Strategy_Sub2&amp;"_"&amp;$A634,'Investment Strategies'!$T:$AF,8,FALSE),
IF(Investment_Strategy ="DIY",DIY_RateofReturn_SP,
"Error")))))),Max_InvReturn)</f>
        <v>0</v>
      </c>
      <c r="M634" s="62">
        <f>IF($AV634=0,0,
IF(Investment_Strategy="DIS",VLOOKUP(Investment_Strategy&amp;"_"&amp;Investment_Strategy_Sub1&amp;"_"&amp;$A634,'Investment Strategies'!$AZ:$BP,15,FALSE),
IF(AND(Investment_Strategy="Lifecycle",Investment_Strategy_Sub1="Non-Standard"),VLOOKUP(Investment_Strategy&amp;"_"&amp;Investment_Strategy_Sub2&amp;"_"&amp;$A634,'Investment Strategies'!$C:$P,12,FALSE),
IF(AND(Investment_Strategy="Lifecycle",Investment_Strategy_Sub1="Standard"),VLOOKUP(Investment_Strategy&amp;"_"&amp;Investment_Strategy_Sub2&amp;"_"&amp;$A634,'Investment Strategies'!$AJ:$AV,11,FALSE),
IF(AND(Investment_Strategy="Autopilot",Investment_Strategy_Sub1="Non-Standard"),VLOOKUP(Investment_Strategy&amp;"_"&amp;Investment_Strategy_Sub2&amp;"_"&amp;$A634,'Investment Strategies'!$T:$AF,11,FALSE),
IF(Investment_Strategy="DIY",DIY_GteeChrge_SP,
"Error"))))))</f>
        <v>0</v>
      </c>
      <c r="N634" s="33">
        <f>IF($AV634=0,0,
IF(Investment_Strategy="DIS",VLOOKUP(Investment_Strategy&amp;"_"&amp;Investment_Strategy_Sub1&amp;"_"&amp;$A634,'Investment Strategies'!$AZ:$BP,17,FALSE),
IF(AND(Investment_Strategy="Lifecycle",Investment_Strategy_Sub1="Non-Standard"),VLOOKUP(Investment_Strategy&amp;"_"&amp;Investment_Strategy_Sub2&amp;"_"&amp;$A634,'Investment Strategies'!$C:$P,14,FALSE),
IF(AND(Investment_Strategy="Lifecycle",Investment_Strategy_Sub1="Standard"),VLOOKUP(Investment_Strategy&amp;"_"&amp;Investment_Strategy_Sub2&amp;"_"&amp;$A634,'Investment Strategies'!$AJ:$AV,13,FALSE),
IF(AND(Investment_Strategy="Autopilot",Investment_Strategy_Sub1="Non-Standard"),VLOOKUP(Investment_Strategy&amp;"_"&amp;Investment_Strategy_Sub2&amp;"_"&amp;$A634,'Investment Strategies'!$T:$AF,13,FALSE),
IF(Investment_Strategy="DIY",DIY_ExtManChrge_SP,
"Error"))))))</f>
        <v>0</v>
      </c>
      <c r="O634" s="16">
        <f t="shared" si="372"/>
        <v>0</v>
      </c>
      <c r="Q634" s="16">
        <f t="shared" si="349"/>
        <v>0</v>
      </c>
      <c r="R634" s="16">
        <f t="shared" si="345"/>
        <v>0</v>
      </c>
      <c r="S634" s="16">
        <f>(SRP_SP+SUM(S$91:S633))*L634*IF(D634=$A$91,SRP_finalmonthfactor,1)</f>
        <v>0</v>
      </c>
      <c r="T634" s="74">
        <f>MIN(IF($AV634=0,0,
IF(Investment_Strategy="DIS",VLOOKUP(Investment_Strategy&amp;"_"&amp;Investment_Strategy_Sub1&amp;"_"&amp;$A634,'Investment Strategies'!$AZ:$BP,12,FALSE),
IF(AND(Investment_Strategy="Lifecycle",Investment_Strategy_Sub1="Non-Standard"),VLOOKUP(Investment_Strategy&amp;"_"&amp;Investment_Strategy_Sub2&amp;"_"&amp;$A634,'Investment Strategies'!$C:$P,9,FALSE),
IF(AND(Investment_Strategy="Lifecycle",Investment_Strategy_Sub1="Standard"),VLOOKUP(Investment_Strategy&amp;"_"&amp;Investment_Strategy_Sub2&amp;"_"&amp;$A634,'Investment Strategies'!$AJ:$AV,8,FALSE),
IF(AND(Investment_Strategy="Autopilot",Investment_Strategy_Sub1="Non-Standard"),VLOOKUP(Investment_Strategy&amp;"_"&amp;Investment_Strategy_Sub2&amp;"_"&amp;$A634,'Investment Strategies'!$T:$AF,8,FALSE),
IF(Investment_Strategy ="DIY",DIY_RateOfReturn_FuturePremiums,
"Error")))))),Max_InvReturn)</f>
        <v>0</v>
      </c>
      <c r="U634" s="62">
        <f>IF($AV634=0,0,
IF(Investment_Strategy="DIS",VLOOKUP(Investment_Strategy&amp;"_"&amp;Investment_Strategy_Sub1&amp;"_"&amp;$A634,'Investment Strategies'!$AZ:$BP,15,FALSE),
IF(AND(Investment_Strategy="Lifecycle",Investment_Strategy_Sub1="Non-Standard"),VLOOKUP(Investment_Strategy&amp;"_"&amp;Investment_Strategy_Sub2&amp;"_"&amp;$A634,'Investment Strategies'!$C:$P,12,FALSE),
IF(AND(Investment_Strategy="Lifecycle",Investment_Strategy_Sub1="Standard"),VLOOKUP(Investment_Strategy&amp;"_"&amp;Investment_Strategy_Sub2&amp;"_"&amp;$A634,'Investment Strategies'!$AJ:$AV,11,FALSE),
IF(AND(Investment_Strategy="Autopilot",Investment_Strategy_Sub1="Non-Standard"),VLOOKUP(Investment_Strategy&amp;"_"&amp;Investment_Strategy_Sub2&amp;"_"&amp;$A634,'Investment Strategies'!$T:$AF,11,FALSE),
IF(Investment_Strategy="DIY",DIY_GteeChrge_FuturePremiums,
"Error"))))))</f>
        <v>0</v>
      </c>
      <c r="V634" s="33">
        <f>IF(AV634=0,0,
IF(Investment_Strategy="DIS",VLOOKUP(Investment_Strategy&amp;"_"&amp;Investment_Strategy_Sub1&amp;"_"&amp;$A634,'Investment Strategies'!$AZ:$BP,17,FALSE),
IF(AND(Investment_Strategy="Lifecycle",Investment_Strategy_Sub1="Non-Standard"),VLOOKUP(Investment_Strategy&amp;"_"&amp;Investment_Strategy_Sub2&amp;"_"&amp;$A634,'Investment Strategies'!$C:$P,14,FALSE),
IF(AND(Investment_Strategy="Lifecycle",Investment_Strategy_Sub1="Standard"),VLOOKUP(Investment_Strategy&amp;"_"&amp;Investment_Strategy_Sub2&amp;"_"&amp;$A634,'Investment Strategies'!$AJ:$AV,13,FALSE),
IF(AND(Investment_Strategy="Autopilot",Investment_Strategy_Sub1="Non-Standard"),VLOOKUP(Investment_Strategy&amp;"_"&amp;Investment_Strategy_Sub2&amp;"_"&amp;$A634,'Investment Strategies'!$T:$AF,13,FALSE),
IF(Investment_Strategy="DIY",DIY_ExtManChrge_FuturePremiums,
"Error"))))))</f>
        <v>0</v>
      </c>
      <c r="W634" s="16">
        <f t="shared" si="373"/>
        <v>0</v>
      </c>
      <c r="X634" s="16">
        <f t="shared" si="350"/>
        <v>0</v>
      </c>
      <c r="Y634" s="16">
        <f t="shared" si="351"/>
        <v>0</v>
      </c>
      <c r="Z634" s="31">
        <f t="shared" si="352"/>
        <v>0.02</v>
      </c>
      <c r="AA634" s="16">
        <f t="shared" si="353"/>
        <v>0</v>
      </c>
      <c r="AB634" s="28">
        <f t="shared" si="374"/>
        <v>0</v>
      </c>
      <c r="AC634" s="28">
        <f>(SUM($AC$91:AC633)+SUM($X$91:X633)+X634)*T634*IF(D634=$A$91,SRP_finalmonthfactor,1)</f>
        <v>0</v>
      </c>
      <c r="AD634" s="16">
        <f t="shared" si="354"/>
        <v>0</v>
      </c>
      <c r="AE634" s="106"/>
      <c r="AF634" s="16">
        <f t="shared" si="362"/>
        <v>0</v>
      </c>
      <c r="AG634" s="16">
        <f t="shared" si="363"/>
        <v>0</v>
      </c>
      <c r="AH634" s="16">
        <f t="shared" si="364"/>
        <v>0</v>
      </c>
      <c r="AJ634" s="13">
        <f t="shared" si="377"/>
        <v>0</v>
      </c>
      <c r="AK634" s="13">
        <f t="shared" si="377"/>
        <v>0</v>
      </c>
      <c r="AL634" s="13">
        <f t="shared" si="377"/>
        <v>0</v>
      </c>
      <c r="AM634" s="13">
        <f t="shared" si="377"/>
        <v>0</v>
      </c>
      <c r="AN634" s="13">
        <f t="shared" si="377"/>
        <v>0</v>
      </c>
      <c r="AO634" s="13">
        <f t="shared" si="377"/>
        <v>1</v>
      </c>
      <c r="AP634" s="13">
        <f t="shared" si="377"/>
        <v>1</v>
      </c>
      <c r="AQ634" s="13">
        <f t="shared" si="377"/>
        <v>1</v>
      </c>
      <c r="AR634" s="13">
        <f t="shared" si="377"/>
        <v>0</v>
      </c>
      <c r="AS634" s="13">
        <f t="shared" si="377"/>
        <v>0</v>
      </c>
      <c r="AT634" s="13">
        <f t="shared" si="377"/>
        <v>0</v>
      </c>
      <c r="AU634" s="13">
        <f t="shared" si="377"/>
        <v>0</v>
      </c>
      <c r="AV634" s="13">
        <f t="shared" si="355"/>
        <v>0</v>
      </c>
      <c r="AW634" s="13">
        <f t="shared" si="356"/>
        <v>1</v>
      </c>
      <c r="AY634" s="17">
        <f t="shared" si="357"/>
        <v>544</v>
      </c>
      <c r="AZ634" s="28">
        <f t="shared" si="365"/>
        <v>0</v>
      </c>
      <c r="BA634" s="13">
        <f t="shared" si="358"/>
        <v>0</v>
      </c>
      <c r="BB634" s="13">
        <f t="shared" si="359"/>
        <v>0</v>
      </c>
      <c r="BC634" s="28">
        <f t="shared" si="366"/>
        <v>0</v>
      </c>
      <c r="BD634" s="28">
        <f t="shared" si="367"/>
        <v>0</v>
      </c>
      <c r="BF634" s="248">
        <f t="shared" si="368"/>
        <v>993869.29442638322</v>
      </c>
    </row>
    <row r="635" spans="1:58">
      <c r="A635" s="32">
        <f t="shared" si="369"/>
        <v>-460</v>
      </c>
      <c r="B635" s="32">
        <f t="shared" si="360"/>
        <v>98</v>
      </c>
      <c r="C635" s="32">
        <f t="shared" si="370"/>
        <v>46</v>
      </c>
      <c r="D635" s="32">
        <f t="shared" si="371"/>
        <v>545</v>
      </c>
      <c r="E635" s="74">
        <f>MIN(IF(AV635=0,0,
IF(Investment_Strategy="DIS",VLOOKUP(Investment_Strategy&amp;"_"&amp;Investment_Strategy_Sub1&amp;"_"&amp;$A635,'Investment Strategies'!$AZ:$BP,12,FALSE),
IF(AND(Investment_Strategy="Lifecycle",Investment_Strategy_Sub1="Non-Standard"),VLOOKUP(Investment_Strategy&amp;"_"&amp;Investment_Strategy_Sub2&amp;"_"&amp;$A635,'Investment Strategies'!$C:$P,9,FALSE),
IF(AND(Investment_Strategy="Lifecycle",Investment_Strategy_Sub1="Standard"),VLOOKUP(Investment_Strategy&amp;"_"&amp;Investment_Strategy_Sub2&amp;"_"&amp;$A635,'Investment Strategies'!$AJ:$AV,8,FALSE),
IF(AND(Investment_Strategy="Autopilot",Investment_Strategy_Sub1="Non-Standard"),VLOOKUP(Investment_Strategy&amp;"_"&amp;Investment_Strategy_Sub2&amp;"_"&amp;$A635,'Investment Strategies'!$T:$AF,8,FALSE),
IF(Investment_Strategy ="DIY",DIY_RateOfReturn_CurrentFunds,
"Error")))))),Max_InvReturn)</f>
        <v>0</v>
      </c>
      <c r="F635" s="62">
        <f>IF(AV635=0,0,
IF(Investment_Strategy="DIS",VLOOKUP(Investment_Strategy&amp;"_"&amp;Investment_Strategy_Sub1&amp;"_"&amp;$A635,'Investment Strategies'!$AZ:$BP,15,FALSE),
IF(AND(Investment_Strategy="Lifecycle",Investment_Strategy_Sub1="Non-Standard"),VLOOKUP(Investment_Strategy&amp;"_"&amp;Investment_Strategy_Sub2&amp;"_"&amp;$A635,'Investment Strategies'!$C:$P,12,FALSE),
IF(AND(Investment_Strategy="Lifecycle",Investment_Strategy_Sub1="Standard"),VLOOKUP(Investment_Strategy&amp;"_"&amp;Investment_Strategy_Sub2&amp;"_"&amp;$A635,'Investment Strategies'!$AJ:$AV,11,FALSE),
IF(AND(Investment_Strategy="Autopilot",Investment_Strategy_Sub1="Non-Standard"),VLOOKUP(Investment_Strategy&amp;"_"&amp;Investment_Strategy_Sub2&amp;"_"&amp;$A635,'Investment Strategies'!$T:$AF,11,FALSE),
IF(Investment_Strategy="DIY",DIY_GteeChrge_CurrentFunds,
"Error"))))))</f>
        <v>0</v>
      </c>
      <c r="G635" s="33">
        <f>IF(AV635=0,0,
IF(Investment_Strategy="DIS",VLOOKUP(Investment_Strategy&amp;"_"&amp;Investment_Strategy_Sub1&amp;"_"&amp;$A635,'Investment Strategies'!$AZ:$BP,17,FALSE),
IF(AND(Investment_Strategy="Lifecycle",Investment_Strategy_Sub1="Non-Standard"),VLOOKUP(Investment_Strategy&amp;"_"&amp;Investment_Strategy_Sub2&amp;"_"&amp;$A635,'Investment Strategies'!$C:$P,14,FALSE),
IF(AND(Investment_Strategy="Lifecycle",Investment_Strategy_Sub1="Standard"),VLOOKUP(Investment_Strategy&amp;"_"&amp;Investment_Strategy_Sub2&amp;"_"&amp;$A635,'Investment Strategies'!$AJ:$AV,13,FALSE),
IF(AND(Investment_Strategy="Autopilot",Investment_Strategy_Sub1="Non-Standard"),VLOOKUP(Investment_Strategy&amp;"_"&amp;Investment_Strategy_Sub2&amp;"_"&amp;$A635,'Investment Strategies'!$T:$AF,13,FALSE),
IF(Investment_Strategy="DIY",DIY_ExtManChrge_CurrentFunds,
"Error"))))))</f>
        <v>0</v>
      </c>
      <c r="H635" s="16">
        <f t="shared" si="361"/>
        <v>0</v>
      </c>
      <c r="I635" s="16">
        <f t="shared" si="347"/>
        <v>0</v>
      </c>
      <c r="J635" s="16">
        <f t="shared" si="348"/>
        <v>0</v>
      </c>
      <c r="K635" s="16">
        <f>(Opening_Fund_Value+SUM(K$91:K634))*E635*IF(D635=$A$91,SRP_finalmonthfactor,1)</f>
        <v>0</v>
      </c>
      <c r="L635" s="74">
        <f>MIN(IF($AV635=0,0,
IF(Investment_Strategy="DIS",VLOOKUP(Investment_Strategy&amp;"_"&amp;Investment_Strategy_Sub1&amp;"_"&amp;$A635,'Investment Strategies'!$AZ:$BP,12,FALSE),
IF(AND(Investment_Strategy="Lifecycle",Investment_Strategy_Sub1="Non-Standard"),VLOOKUP(Investment_Strategy&amp;"_"&amp;Investment_Strategy_Sub2&amp;"_"&amp;$A635,'Investment Strategies'!$C:$P,9,FALSE),
IF(AND(Investment_Strategy="Lifecycle",Investment_Strategy_Sub1="Standard"),VLOOKUP(Investment_Strategy&amp;"_"&amp;Investment_Strategy_Sub2&amp;"_"&amp;$A635,'Investment Strategies'!$AJ:$AV,8,FALSE),
IF(AND(Investment_Strategy="Autopilot",Investment_Strategy_Sub1="Non-Standard"),VLOOKUP(Investment_Strategy&amp;"_"&amp;Investment_Strategy_Sub2&amp;"_"&amp;$A635,'Investment Strategies'!$T:$AF,8,FALSE),
IF(Investment_Strategy ="DIY",DIY_RateofReturn_SP,
"Error")))))),Max_InvReturn)</f>
        <v>0</v>
      </c>
      <c r="M635" s="62">
        <f>IF($AV635=0,0,
IF(Investment_Strategy="DIS",VLOOKUP(Investment_Strategy&amp;"_"&amp;Investment_Strategy_Sub1&amp;"_"&amp;$A635,'Investment Strategies'!$AZ:$BP,15,FALSE),
IF(AND(Investment_Strategy="Lifecycle",Investment_Strategy_Sub1="Non-Standard"),VLOOKUP(Investment_Strategy&amp;"_"&amp;Investment_Strategy_Sub2&amp;"_"&amp;$A635,'Investment Strategies'!$C:$P,12,FALSE),
IF(AND(Investment_Strategy="Lifecycle",Investment_Strategy_Sub1="Standard"),VLOOKUP(Investment_Strategy&amp;"_"&amp;Investment_Strategy_Sub2&amp;"_"&amp;$A635,'Investment Strategies'!$AJ:$AV,11,FALSE),
IF(AND(Investment_Strategy="Autopilot",Investment_Strategy_Sub1="Non-Standard"),VLOOKUP(Investment_Strategy&amp;"_"&amp;Investment_Strategy_Sub2&amp;"_"&amp;$A635,'Investment Strategies'!$T:$AF,11,FALSE),
IF(Investment_Strategy="DIY",DIY_GteeChrge_SP,
"Error"))))))</f>
        <v>0</v>
      </c>
      <c r="N635" s="33">
        <f>IF($AV635=0,0,
IF(Investment_Strategy="DIS",VLOOKUP(Investment_Strategy&amp;"_"&amp;Investment_Strategy_Sub1&amp;"_"&amp;$A635,'Investment Strategies'!$AZ:$BP,17,FALSE),
IF(AND(Investment_Strategy="Lifecycle",Investment_Strategy_Sub1="Non-Standard"),VLOOKUP(Investment_Strategy&amp;"_"&amp;Investment_Strategy_Sub2&amp;"_"&amp;$A635,'Investment Strategies'!$C:$P,14,FALSE),
IF(AND(Investment_Strategy="Lifecycle",Investment_Strategy_Sub1="Standard"),VLOOKUP(Investment_Strategy&amp;"_"&amp;Investment_Strategy_Sub2&amp;"_"&amp;$A635,'Investment Strategies'!$AJ:$AV,13,FALSE),
IF(AND(Investment_Strategy="Autopilot",Investment_Strategy_Sub1="Non-Standard"),VLOOKUP(Investment_Strategy&amp;"_"&amp;Investment_Strategy_Sub2&amp;"_"&amp;$A635,'Investment Strategies'!$T:$AF,13,FALSE),
IF(Investment_Strategy="DIY",DIY_ExtManChrge_SP,
"Error"))))))</f>
        <v>0</v>
      </c>
      <c r="O635" s="16">
        <f t="shared" si="372"/>
        <v>0</v>
      </c>
      <c r="Q635" s="16">
        <f t="shared" si="349"/>
        <v>0</v>
      </c>
      <c r="R635" s="16">
        <f t="shared" si="345"/>
        <v>0</v>
      </c>
      <c r="S635" s="16">
        <f>(SRP_SP+SUM(S$91:S634))*L635*IF(D635=$A$91,SRP_finalmonthfactor,1)</f>
        <v>0</v>
      </c>
      <c r="T635" s="74">
        <f>MIN(IF($AV635=0,0,
IF(Investment_Strategy="DIS",VLOOKUP(Investment_Strategy&amp;"_"&amp;Investment_Strategy_Sub1&amp;"_"&amp;$A635,'Investment Strategies'!$AZ:$BP,12,FALSE),
IF(AND(Investment_Strategy="Lifecycle",Investment_Strategy_Sub1="Non-Standard"),VLOOKUP(Investment_Strategy&amp;"_"&amp;Investment_Strategy_Sub2&amp;"_"&amp;$A635,'Investment Strategies'!$C:$P,9,FALSE),
IF(AND(Investment_Strategy="Lifecycle",Investment_Strategy_Sub1="Standard"),VLOOKUP(Investment_Strategy&amp;"_"&amp;Investment_Strategy_Sub2&amp;"_"&amp;$A635,'Investment Strategies'!$AJ:$AV,8,FALSE),
IF(AND(Investment_Strategy="Autopilot",Investment_Strategy_Sub1="Non-Standard"),VLOOKUP(Investment_Strategy&amp;"_"&amp;Investment_Strategy_Sub2&amp;"_"&amp;$A635,'Investment Strategies'!$T:$AF,8,FALSE),
IF(Investment_Strategy ="DIY",DIY_RateOfReturn_FuturePremiums,
"Error")))))),Max_InvReturn)</f>
        <v>0</v>
      </c>
      <c r="U635" s="62">
        <f>IF($AV635=0,0,
IF(Investment_Strategy="DIS",VLOOKUP(Investment_Strategy&amp;"_"&amp;Investment_Strategy_Sub1&amp;"_"&amp;$A635,'Investment Strategies'!$AZ:$BP,15,FALSE),
IF(AND(Investment_Strategy="Lifecycle",Investment_Strategy_Sub1="Non-Standard"),VLOOKUP(Investment_Strategy&amp;"_"&amp;Investment_Strategy_Sub2&amp;"_"&amp;$A635,'Investment Strategies'!$C:$P,12,FALSE),
IF(AND(Investment_Strategy="Lifecycle",Investment_Strategy_Sub1="Standard"),VLOOKUP(Investment_Strategy&amp;"_"&amp;Investment_Strategy_Sub2&amp;"_"&amp;$A635,'Investment Strategies'!$AJ:$AV,11,FALSE),
IF(AND(Investment_Strategy="Autopilot",Investment_Strategy_Sub1="Non-Standard"),VLOOKUP(Investment_Strategy&amp;"_"&amp;Investment_Strategy_Sub2&amp;"_"&amp;$A635,'Investment Strategies'!$T:$AF,11,FALSE),
IF(Investment_Strategy="DIY",DIY_GteeChrge_FuturePremiums,
"Error"))))))</f>
        <v>0</v>
      </c>
      <c r="V635" s="33">
        <f>IF(AV635=0,0,
IF(Investment_Strategy="DIS",VLOOKUP(Investment_Strategy&amp;"_"&amp;Investment_Strategy_Sub1&amp;"_"&amp;$A635,'Investment Strategies'!$AZ:$BP,17,FALSE),
IF(AND(Investment_Strategy="Lifecycle",Investment_Strategy_Sub1="Non-Standard"),VLOOKUP(Investment_Strategy&amp;"_"&amp;Investment_Strategy_Sub2&amp;"_"&amp;$A635,'Investment Strategies'!$C:$P,14,FALSE),
IF(AND(Investment_Strategy="Lifecycle",Investment_Strategy_Sub1="Standard"),VLOOKUP(Investment_Strategy&amp;"_"&amp;Investment_Strategy_Sub2&amp;"_"&amp;$A635,'Investment Strategies'!$AJ:$AV,13,FALSE),
IF(AND(Investment_Strategy="Autopilot",Investment_Strategy_Sub1="Non-Standard"),VLOOKUP(Investment_Strategy&amp;"_"&amp;Investment_Strategy_Sub2&amp;"_"&amp;$A635,'Investment Strategies'!$T:$AF,13,FALSE),
IF(Investment_Strategy="DIY",DIY_ExtManChrge_FuturePremiums,
"Error"))))))</f>
        <v>0</v>
      </c>
      <c r="W635" s="16">
        <f t="shared" si="373"/>
        <v>0</v>
      </c>
      <c r="X635" s="16">
        <f t="shared" si="350"/>
        <v>0</v>
      </c>
      <c r="Y635" s="16">
        <f t="shared" si="351"/>
        <v>0</v>
      </c>
      <c r="Z635" s="31">
        <f t="shared" si="352"/>
        <v>0.02</v>
      </c>
      <c r="AA635" s="16">
        <f t="shared" si="353"/>
        <v>0</v>
      </c>
      <c r="AB635" s="28">
        <f t="shared" si="374"/>
        <v>0</v>
      </c>
      <c r="AC635" s="28">
        <f>(SUM($AC$91:AC634)+SUM($X$91:X634)+X635)*T635*IF(D635=$A$91,SRP_finalmonthfactor,1)</f>
        <v>0</v>
      </c>
      <c r="AD635" s="16">
        <f t="shared" si="354"/>
        <v>0</v>
      </c>
      <c r="AE635" s="106"/>
      <c r="AF635" s="16">
        <f t="shared" si="362"/>
        <v>0</v>
      </c>
      <c r="AG635" s="16">
        <f t="shared" si="363"/>
        <v>0</v>
      </c>
      <c r="AH635" s="16">
        <f t="shared" si="364"/>
        <v>0</v>
      </c>
      <c r="AJ635" s="13">
        <f t="shared" si="377"/>
        <v>0</v>
      </c>
      <c r="AK635" s="13">
        <f t="shared" si="377"/>
        <v>0</v>
      </c>
      <c r="AL635" s="13">
        <f t="shared" si="377"/>
        <v>0</v>
      </c>
      <c r="AM635" s="13">
        <f t="shared" si="377"/>
        <v>0</v>
      </c>
      <c r="AN635" s="13">
        <f t="shared" si="377"/>
        <v>0</v>
      </c>
      <c r="AO635" s="13">
        <f t="shared" si="377"/>
        <v>1</v>
      </c>
      <c r="AP635" s="13">
        <f t="shared" si="377"/>
        <v>1</v>
      </c>
      <c r="AQ635" s="13">
        <f t="shared" si="377"/>
        <v>1</v>
      </c>
      <c r="AR635" s="13">
        <f t="shared" si="377"/>
        <v>0</v>
      </c>
      <c r="AS635" s="13">
        <f t="shared" si="377"/>
        <v>0</v>
      </c>
      <c r="AT635" s="13">
        <f t="shared" si="377"/>
        <v>0</v>
      </c>
      <c r="AU635" s="13">
        <f t="shared" si="377"/>
        <v>0</v>
      </c>
      <c r="AV635" s="13">
        <f t="shared" si="355"/>
        <v>0</v>
      </c>
      <c r="AW635" s="13">
        <f t="shared" si="356"/>
        <v>1</v>
      </c>
      <c r="AY635" s="17">
        <f t="shared" si="357"/>
        <v>545</v>
      </c>
      <c r="AZ635" s="28">
        <f t="shared" si="365"/>
        <v>0</v>
      </c>
      <c r="BA635" s="13">
        <f t="shared" si="358"/>
        <v>0</v>
      </c>
      <c r="BB635" s="13">
        <f t="shared" si="359"/>
        <v>0</v>
      </c>
      <c r="BC635" s="28">
        <f t="shared" si="366"/>
        <v>0</v>
      </c>
      <c r="BD635" s="28">
        <f t="shared" si="367"/>
        <v>0</v>
      </c>
      <c r="BF635" s="248">
        <f t="shared" si="368"/>
        <v>993869.29442638322</v>
      </c>
    </row>
    <row r="636" spans="1:58">
      <c r="A636" s="32">
        <f t="shared" si="369"/>
        <v>-461</v>
      </c>
      <c r="B636" s="32">
        <f t="shared" si="360"/>
        <v>98</v>
      </c>
      <c r="C636" s="32">
        <f t="shared" si="370"/>
        <v>46</v>
      </c>
      <c r="D636" s="32">
        <f t="shared" si="371"/>
        <v>546</v>
      </c>
      <c r="E636" s="74">
        <f>MIN(IF(AV636=0,0,
IF(Investment_Strategy="DIS",VLOOKUP(Investment_Strategy&amp;"_"&amp;Investment_Strategy_Sub1&amp;"_"&amp;$A636,'Investment Strategies'!$AZ:$BP,12,FALSE),
IF(AND(Investment_Strategy="Lifecycle",Investment_Strategy_Sub1="Non-Standard"),VLOOKUP(Investment_Strategy&amp;"_"&amp;Investment_Strategy_Sub2&amp;"_"&amp;$A636,'Investment Strategies'!$C:$P,9,FALSE),
IF(AND(Investment_Strategy="Lifecycle",Investment_Strategy_Sub1="Standard"),VLOOKUP(Investment_Strategy&amp;"_"&amp;Investment_Strategy_Sub2&amp;"_"&amp;$A636,'Investment Strategies'!$AJ:$AV,8,FALSE),
IF(AND(Investment_Strategy="Autopilot",Investment_Strategy_Sub1="Non-Standard"),VLOOKUP(Investment_Strategy&amp;"_"&amp;Investment_Strategy_Sub2&amp;"_"&amp;$A636,'Investment Strategies'!$T:$AF,8,FALSE),
IF(Investment_Strategy ="DIY",DIY_RateOfReturn_CurrentFunds,
"Error")))))),Max_InvReturn)</f>
        <v>0</v>
      </c>
      <c r="F636" s="62">
        <f>IF(AV636=0,0,
IF(Investment_Strategy="DIS",VLOOKUP(Investment_Strategy&amp;"_"&amp;Investment_Strategy_Sub1&amp;"_"&amp;$A636,'Investment Strategies'!$AZ:$BP,15,FALSE),
IF(AND(Investment_Strategy="Lifecycle",Investment_Strategy_Sub1="Non-Standard"),VLOOKUP(Investment_Strategy&amp;"_"&amp;Investment_Strategy_Sub2&amp;"_"&amp;$A636,'Investment Strategies'!$C:$P,12,FALSE),
IF(AND(Investment_Strategy="Lifecycle",Investment_Strategy_Sub1="Standard"),VLOOKUP(Investment_Strategy&amp;"_"&amp;Investment_Strategy_Sub2&amp;"_"&amp;$A636,'Investment Strategies'!$AJ:$AV,11,FALSE),
IF(AND(Investment_Strategy="Autopilot",Investment_Strategy_Sub1="Non-Standard"),VLOOKUP(Investment_Strategy&amp;"_"&amp;Investment_Strategy_Sub2&amp;"_"&amp;$A636,'Investment Strategies'!$T:$AF,11,FALSE),
IF(Investment_Strategy="DIY",DIY_GteeChrge_CurrentFunds,
"Error"))))))</f>
        <v>0</v>
      </c>
      <c r="G636" s="33">
        <f>IF(AV636=0,0,
IF(Investment_Strategy="DIS",VLOOKUP(Investment_Strategy&amp;"_"&amp;Investment_Strategy_Sub1&amp;"_"&amp;$A636,'Investment Strategies'!$AZ:$BP,17,FALSE),
IF(AND(Investment_Strategy="Lifecycle",Investment_Strategy_Sub1="Non-Standard"),VLOOKUP(Investment_Strategy&amp;"_"&amp;Investment_Strategy_Sub2&amp;"_"&amp;$A636,'Investment Strategies'!$C:$P,14,FALSE),
IF(AND(Investment_Strategy="Lifecycle",Investment_Strategy_Sub1="Standard"),VLOOKUP(Investment_Strategy&amp;"_"&amp;Investment_Strategy_Sub2&amp;"_"&amp;$A636,'Investment Strategies'!$AJ:$AV,13,FALSE),
IF(AND(Investment_Strategy="Autopilot",Investment_Strategy_Sub1="Non-Standard"),VLOOKUP(Investment_Strategy&amp;"_"&amp;Investment_Strategy_Sub2&amp;"_"&amp;$A636,'Investment Strategies'!$T:$AF,13,FALSE),
IF(Investment_Strategy="DIY",DIY_ExtManChrge_CurrentFunds,
"Error"))))))</f>
        <v>0</v>
      </c>
      <c r="H636" s="16">
        <f t="shared" si="361"/>
        <v>0</v>
      </c>
      <c r="I636" s="16">
        <f t="shared" si="347"/>
        <v>0</v>
      </c>
      <c r="J636" s="16">
        <f t="shared" si="348"/>
        <v>0</v>
      </c>
      <c r="K636" s="16">
        <f>(Opening_Fund_Value+SUM(K$91:K635))*E636*IF(D636=$A$91,SRP_finalmonthfactor,1)</f>
        <v>0</v>
      </c>
      <c r="L636" s="74">
        <f>MIN(IF($AV636=0,0,
IF(Investment_Strategy="DIS",VLOOKUP(Investment_Strategy&amp;"_"&amp;Investment_Strategy_Sub1&amp;"_"&amp;$A636,'Investment Strategies'!$AZ:$BP,12,FALSE),
IF(AND(Investment_Strategy="Lifecycle",Investment_Strategy_Sub1="Non-Standard"),VLOOKUP(Investment_Strategy&amp;"_"&amp;Investment_Strategy_Sub2&amp;"_"&amp;$A636,'Investment Strategies'!$C:$P,9,FALSE),
IF(AND(Investment_Strategy="Lifecycle",Investment_Strategy_Sub1="Standard"),VLOOKUP(Investment_Strategy&amp;"_"&amp;Investment_Strategy_Sub2&amp;"_"&amp;$A636,'Investment Strategies'!$AJ:$AV,8,FALSE),
IF(AND(Investment_Strategy="Autopilot",Investment_Strategy_Sub1="Non-Standard"),VLOOKUP(Investment_Strategy&amp;"_"&amp;Investment_Strategy_Sub2&amp;"_"&amp;$A636,'Investment Strategies'!$T:$AF,8,FALSE),
IF(Investment_Strategy ="DIY",DIY_RateofReturn_SP,
"Error")))))),Max_InvReturn)</f>
        <v>0</v>
      </c>
      <c r="M636" s="62">
        <f>IF($AV636=0,0,
IF(Investment_Strategy="DIS",VLOOKUP(Investment_Strategy&amp;"_"&amp;Investment_Strategy_Sub1&amp;"_"&amp;$A636,'Investment Strategies'!$AZ:$BP,15,FALSE),
IF(AND(Investment_Strategy="Lifecycle",Investment_Strategy_Sub1="Non-Standard"),VLOOKUP(Investment_Strategy&amp;"_"&amp;Investment_Strategy_Sub2&amp;"_"&amp;$A636,'Investment Strategies'!$C:$P,12,FALSE),
IF(AND(Investment_Strategy="Lifecycle",Investment_Strategy_Sub1="Standard"),VLOOKUP(Investment_Strategy&amp;"_"&amp;Investment_Strategy_Sub2&amp;"_"&amp;$A636,'Investment Strategies'!$AJ:$AV,11,FALSE),
IF(AND(Investment_Strategy="Autopilot",Investment_Strategy_Sub1="Non-Standard"),VLOOKUP(Investment_Strategy&amp;"_"&amp;Investment_Strategy_Sub2&amp;"_"&amp;$A636,'Investment Strategies'!$T:$AF,11,FALSE),
IF(Investment_Strategy="DIY",DIY_GteeChrge_SP,
"Error"))))))</f>
        <v>0</v>
      </c>
      <c r="N636" s="33">
        <f>IF($AV636=0,0,
IF(Investment_Strategy="DIS",VLOOKUP(Investment_Strategy&amp;"_"&amp;Investment_Strategy_Sub1&amp;"_"&amp;$A636,'Investment Strategies'!$AZ:$BP,17,FALSE),
IF(AND(Investment_Strategy="Lifecycle",Investment_Strategy_Sub1="Non-Standard"),VLOOKUP(Investment_Strategy&amp;"_"&amp;Investment_Strategy_Sub2&amp;"_"&amp;$A636,'Investment Strategies'!$C:$P,14,FALSE),
IF(AND(Investment_Strategy="Lifecycle",Investment_Strategy_Sub1="Standard"),VLOOKUP(Investment_Strategy&amp;"_"&amp;Investment_Strategy_Sub2&amp;"_"&amp;$A636,'Investment Strategies'!$AJ:$AV,13,FALSE),
IF(AND(Investment_Strategy="Autopilot",Investment_Strategy_Sub1="Non-Standard"),VLOOKUP(Investment_Strategy&amp;"_"&amp;Investment_Strategy_Sub2&amp;"_"&amp;$A636,'Investment Strategies'!$T:$AF,13,FALSE),
IF(Investment_Strategy="DIY",DIY_ExtManChrge_SP,
"Error"))))))</f>
        <v>0</v>
      </c>
      <c r="O636" s="16">
        <f t="shared" si="372"/>
        <v>0</v>
      </c>
      <c r="Q636" s="16">
        <f t="shared" si="349"/>
        <v>0</v>
      </c>
      <c r="R636" s="16">
        <f t="shared" si="345"/>
        <v>0</v>
      </c>
      <c r="S636" s="16">
        <f>(SRP_SP+SUM(S$91:S635))*L636*IF(D636=$A$91,SRP_finalmonthfactor,1)</f>
        <v>0</v>
      </c>
      <c r="T636" s="74">
        <f>MIN(IF($AV636=0,0,
IF(Investment_Strategy="DIS",VLOOKUP(Investment_Strategy&amp;"_"&amp;Investment_Strategy_Sub1&amp;"_"&amp;$A636,'Investment Strategies'!$AZ:$BP,12,FALSE),
IF(AND(Investment_Strategy="Lifecycle",Investment_Strategy_Sub1="Non-Standard"),VLOOKUP(Investment_Strategy&amp;"_"&amp;Investment_Strategy_Sub2&amp;"_"&amp;$A636,'Investment Strategies'!$C:$P,9,FALSE),
IF(AND(Investment_Strategy="Lifecycle",Investment_Strategy_Sub1="Standard"),VLOOKUP(Investment_Strategy&amp;"_"&amp;Investment_Strategy_Sub2&amp;"_"&amp;$A636,'Investment Strategies'!$AJ:$AV,8,FALSE),
IF(AND(Investment_Strategy="Autopilot",Investment_Strategy_Sub1="Non-Standard"),VLOOKUP(Investment_Strategy&amp;"_"&amp;Investment_Strategy_Sub2&amp;"_"&amp;$A636,'Investment Strategies'!$T:$AF,8,FALSE),
IF(Investment_Strategy ="DIY",DIY_RateOfReturn_FuturePremiums,
"Error")))))),Max_InvReturn)</f>
        <v>0</v>
      </c>
      <c r="U636" s="62">
        <f>IF($AV636=0,0,
IF(Investment_Strategy="DIS",VLOOKUP(Investment_Strategy&amp;"_"&amp;Investment_Strategy_Sub1&amp;"_"&amp;$A636,'Investment Strategies'!$AZ:$BP,15,FALSE),
IF(AND(Investment_Strategy="Lifecycle",Investment_Strategy_Sub1="Non-Standard"),VLOOKUP(Investment_Strategy&amp;"_"&amp;Investment_Strategy_Sub2&amp;"_"&amp;$A636,'Investment Strategies'!$C:$P,12,FALSE),
IF(AND(Investment_Strategy="Lifecycle",Investment_Strategy_Sub1="Standard"),VLOOKUP(Investment_Strategy&amp;"_"&amp;Investment_Strategy_Sub2&amp;"_"&amp;$A636,'Investment Strategies'!$AJ:$AV,11,FALSE),
IF(AND(Investment_Strategy="Autopilot",Investment_Strategy_Sub1="Non-Standard"),VLOOKUP(Investment_Strategy&amp;"_"&amp;Investment_Strategy_Sub2&amp;"_"&amp;$A636,'Investment Strategies'!$T:$AF,11,FALSE),
IF(Investment_Strategy="DIY",DIY_GteeChrge_FuturePremiums,
"Error"))))))</f>
        <v>0</v>
      </c>
      <c r="V636" s="33">
        <f>IF(AV636=0,0,
IF(Investment_Strategy="DIS",VLOOKUP(Investment_Strategy&amp;"_"&amp;Investment_Strategy_Sub1&amp;"_"&amp;$A636,'Investment Strategies'!$AZ:$BP,17,FALSE),
IF(AND(Investment_Strategy="Lifecycle",Investment_Strategy_Sub1="Non-Standard"),VLOOKUP(Investment_Strategy&amp;"_"&amp;Investment_Strategy_Sub2&amp;"_"&amp;$A636,'Investment Strategies'!$C:$P,14,FALSE),
IF(AND(Investment_Strategy="Lifecycle",Investment_Strategy_Sub1="Standard"),VLOOKUP(Investment_Strategy&amp;"_"&amp;Investment_Strategy_Sub2&amp;"_"&amp;$A636,'Investment Strategies'!$AJ:$AV,13,FALSE),
IF(AND(Investment_Strategy="Autopilot",Investment_Strategy_Sub1="Non-Standard"),VLOOKUP(Investment_Strategy&amp;"_"&amp;Investment_Strategy_Sub2&amp;"_"&amp;$A636,'Investment Strategies'!$T:$AF,13,FALSE),
IF(Investment_Strategy="DIY",DIY_ExtManChrge_FuturePremiums,
"Error"))))))</f>
        <v>0</v>
      </c>
      <c r="W636" s="16">
        <f t="shared" si="373"/>
        <v>0</v>
      </c>
      <c r="X636" s="16">
        <f t="shared" si="350"/>
        <v>0</v>
      </c>
      <c r="Y636" s="16">
        <f t="shared" si="351"/>
        <v>0</v>
      </c>
      <c r="Z636" s="31">
        <f t="shared" si="352"/>
        <v>0.02</v>
      </c>
      <c r="AA636" s="16">
        <f t="shared" si="353"/>
        <v>0</v>
      </c>
      <c r="AB636" s="28">
        <f t="shared" si="374"/>
        <v>0</v>
      </c>
      <c r="AC636" s="28">
        <f>(SUM($AC$91:AC635)+SUM($X$91:X635)+X636)*T636*IF(D636=$A$91,SRP_finalmonthfactor,1)</f>
        <v>0</v>
      </c>
      <c r="AD636" s="16">
        <f t="shared" si="354"/>
        <v>0</v>
      </c>
      <c r="AE636" s="106"/>
      <c r="AF636" s="16">
        <f t="shared" si="362"/>
        <v>0</v>
      </c>
      <c r="AG636" s="16">
        <f t="shared" si="363"/>
        <v>0</v>
      </c>
      <c r="AH636" s="16">
        <f t="shared" si="364"/>
        <v>0</v>
      </c>
      <c r="AJ636" s="13">
        <f t="shared" si="377"/>
        <v>0</v>
      </c>
      <c r="AK636" s="13">
        <f t="shared" si="377"/>
        <v>0</v>
      </c>
      <c r="AL636" s="13">
        <f t="shared" si="377"/>
        <v>0</v>
      </c>
      <c r="AM636" s="13">
        <f t="shared" si="377"/>
        <v>0</v>
      </c>
      <c r="AN636" s="13">
        <f t="shared" si="377"/>
        <v>0</v>
      </c>
      <c r="AO636" s="13">
        <f t="shared" si="377"/>
        <v>1</v>
      </c>
      <c r="AP636" s="13">
        <f t="shared" si="377"/>
        <v>1</v>
      </c>
      <c r="AQ636" s="13">
        <f t="shared" si="377"/>
        <v>1</v>
      </c>
      <c r="AR636" s="13">
        <f t="shared" si="377"/>
        <v>0</v>
      </c>
      <c r="AS636" s="13">
        <f t="shared" si="377"/>
        <v>0</v>
      </c>
      <c r="AT636" s="13">
        <f t="shared" si="377"/>
        <v>0</v>
      </c>
      <c r="AU636" s="13">
        <f t="shared" si="377"/>
        <v>0</v>
      </c>
      <c r="AV636" s="13">
        <f t="shared" si="355"/>
        <v>0</v>
      </c>
      <c r="AW636" s="13">
        <f t="shared" si="356"/>
        <v>1</v>
      </c>
      <c r="AY636" s="17">
        <f t="shared" si="357"/>
        <v>546</v>
      </c>
      <c r="AZ636" s="28">
        <f t="shared" si="365"/>
        <v>0</v>
      </c>
      <c r="BA636" s="13">
        <f t="shared" si="358"/>
        <v>0</v>
      </c>
      <c r="BB636" s="13">
        <f t="shared" si="359"/>
        <v>0</v>
      </c>
      <c r="BC636" s="28">
        <f t="shared" si="366"/>
        <v>0</v>
      </c>
      <c r="BD636" s="28">
        <f t="shared" si="367"/>
        <v>0</v>
      </c>
      <c r="BF636" s="248">
        <f t="shared" si="368"/>
        <v>993869.29442638322</v>
      </c>
    </row>
    <row r="637" spans="1:58">
      <c r="A637" s="32">
        <f t="shared" si="369"/>
        <v>-462</v>
      </c>
      <c r="B637" s="32">
        <f t="shared" si="360"/>
        <v>98</v>
      </c>
      <c r="C637" s="32">
        <f t="shared" si="370"/>
        <v>46</v>
      </c>
      <c r="D637" s="32">
        <f t="shared" si="371"/>
        <v>547</v>
      </c>
      <c r="E637" s="74">
        <f>MIN(IF(AV637=0,0,
IF(Investment_Strategy="DIS",VLOOKUP(Investment_Strategy&amp;"_"&amp;Investment_Strategy_Sub1&amp;"_"&amp;$A637,'Investment Strategies'!$AZ:$BP,12,FALSE),
IF(AND(Investment_Strategy="Lifecycle",Investment_Strategy_Sub1="Non-Standard"),VLOOKUP(Investment_Strategy&amp;"_"&amp;Investment_Strategy_Sub2&amp;"_"&amp;$A637,'Investment Strategies'!$C:$P,9,FALSE),
IF(AND(Investment_Strategy="Lifecycle",Investment_Strategy_Sub1="Standard"),VLOOKUP(Investment_Strategy&amp;"_"&amp;Investment_Strategy_Sub2&amp;"_"&amp;$A637,'Investment Strategies'!$AJ:$AV,8,FALSE),
IF(AND(Investment_Strategy="Autopilot",Investment_Strategy_Sub1="Non-Standard"),VLOOKUP(Investment_Strategy&amp;"_"&amp;Investment_Strategy_Sub2&amp;"_"&amp;$A637,'Investment Strategies'!$T:$AF,8,FALSE),
IF(Investment_Strategy ="DIY",DIY_RateOfReturn_CurrentFunds,
"Error")))))),Max_InvReturn)</f>
        <v>0</v>
      </c>
      <c r="F637" s="62">
        <f>IF(AV637=0,0,
IF(Investment_Strategy="DIS",VLOOKUP(Investment_Strategy&amp;"_"&amp;Investment_Strategy_Sub1&amp;"_"&amp;$A637,'Investment Strategies'!$AZ:$BP,15,FALSE),
IF(AND(Investment_Strategy="Lifecycle",Investment_Strategy_Sub1="Non-Standard"),VLOOKUP(Investment_Strategy&amp;"_"&amp;Investment_Strategy_Sub2&amp;"_"&amp;$A637,'Investment Strategies'!$C:$P,12,FALSE),
IF(AND(Investment_Strategy="Lifecycle",Investment_Strategy_Sub1="Standard"),VLOOKUP(Investment_Strategy&amp;"_"&amp;Investment_Strategy_Sub2&amp;"_"&amp;$A637,'Investment Strategies'!$AJ:$AV,11,FALSE),
IF(AND(Investment_Strategy="Autopilot",Investment_Strategy_Sub1="Non-Standard"),VLOOKUP(Investment_Strategy&amp;"_"&amp;Investment_Strategy_Sub2&amp;"_"&amp;$A637,'Investment Strategies'!$T:$AF,11,FALSE),
IF(Investment_Strategy="DIY",DIY_GteeChrge_CurrentFunds,
"Error"))))))</f>
        <v>0</v>
      </c>
      <c r="G637" s="33">
        <f>IF(AV637=0,0,
IF(Investment_Strategy="DIS",VLOOKUP(Investment_Strategy&amp;"_"&amp;Investment_Strategy_Sub1&amp;"_"&amp;$A637,'Investment Strategies'!$AZ:$BP,17,FALSE),
IF(AND(Investment_Strategy="Lifecycle",Investment_Strategy_Sub1="Non-Standard"),VLOOKUP(Investment_Strategy&amp;"_"&amp;Investment_Strategy_Sub2&amp;"_"&amp;$A637,'Investment Strategies'!$C:$P,14,FALSE),
IF(AND(Investment_Strategy="Lifecycle",Investment_Strategy_Sub1="Standard"),VLOOKUP(Investment_Strategy&amp;"_"&amp;Investment_Strategy_Sub2&amp;"_"&amp;$A637,'Investment Strategies'!$AJ:$AV,13,FALSE),
IF(AND(Investment_Strategy="Autopilot",Investment_Strategy_Sub1="Non-Standard"),VLOOKUP(Investment_Strategy&amp;"_"&amp;Investment_Strategy_Sub2&amp;"_"&amp;$A637,'Investment Strategies'!$T:$AF,13,FALSE),
IF(Investment_Strategy="DIY",DIY_ExtManChrge_CurrentFunds,
"Error"))))))</f>
        <v>0</v>
      </c>
      <c r="H637" s="16">
        <f t="shared" si="361"/>
        <v>0</v>
      </c>
      <c r="I637" s="16">
        <f t="shared" si="347"/>
        <v>0</v>
      </c>
      <c r="J637" s="16">
        <f t="shared" si="348"/>
        <v>0</v>
      </c>
      <c r="K637" s="16">
        <f>(Opening_Fund_Value+SUM(K$91:K636))*E637*IF(D637=$A$91,SRP_finalmonthfactor,1)</f>
        <v>0</v>
      </c>
      <c r="L637" s="74">
        <f>MIN(IF($AV637=0,0,
IF(Investment_Strategy="DIS",VLOOKUP(Investment_Strategy&amp;"_"&amp;Investment_Strategy_Sub1&amp;"_"&amp;$A637,'Investment Strategies'!$AZ:$BP,12,FALSE),
IF(AND(Investment_Strategy="Lifecycle",Investment_Strategy_Sub1="Non-Standard"),VLOOKUP(Investment_Strategy&amp;"_"&amp;Investment_Strategy_Sub2&amp;"_"&amp;$A637,'Investment Strategies'!$C:$P,9,FALSE),
IF(AND(Investment_Strategy="Lifecycle",Investment_Strategy_Sub1="Standard"),VLOOKUP(Investment_Strategy&amp;"_"&amp;Investment_Strategy_Sub2&amp;"_"&amp;$A637,'Investment Strategies'!$AJ:$AV,8,FALSE),
IF(AND(Investment_Strategy="Autopilot",Investment_Strategy_Sub1="Non-Standard"),VLOOKUP(Investment_Strategy&amp;"_"&amp;Investment_Strategy_Sub2&amp;"_"&amp;$A637,'Investment Strategies'!$T:$AF,8,FALSE),
IF(Investment_Strategy ="DIY",DIY_RateofReturn_SP,
"Error")))))),Max_InvReturn)</f>
        <v>0</v>
      </c>
      <c r="M637" s="62">
        <f>IF($AV637=0,0,
IF(Investment_Strategy="DIS",VLOOKUP(Investment_Strategy&amp;"_"&amp;Investment_Strategy_Sub1&amp;"_"&amp;$A637,'Investment Strategies'!$AZ:$BP,15,FALSE),
IF(AND(Investment_Strategy="Lifecycle",Investment_Strategy_Sub1="Non-Standard"),VLOOKUP(Investment_Strategy&amp;"_"&amp;Investment_Strategy_Sub2&amp;"_"&amp;$A637,'Investment Strategies'!$C:$P,12,FALSE),
IF(AND(Investment_Strategy="Lifecycle",Investment_Strategy_Sub1="Standard"),VLOOKUP(Investment_Strategy&amp;"_"&amp;Investment_Strategy_Sub2&amp;"_"&amp;$A637,'Investment Strategies'!$AJ:$AV,11,FALSE),
IF(AND(Investment_Strategy="Autopilot",Investment_Strategy_Sub1="Non-Standard"),VLOOKUP(Investment_Strategy&amp;"_"&amp;Investment_Strategy_Sub2&amp;"_"&amp;$A637,'Investment Strategies'!$T:$AF,11,FALSE),
IF(Investment_Strategy="DIY",DIY_GteeChrge_SP,
"Error"))))))</f>
        <v>0</v>
      </c>
      <c r="N637" s="33">
        <f>IF($AV637=0,0,
IF(Investment_Strategy="DIS",VLOOKUP(Investment_Strategy&amp;"_"&amp;Investment_Strategy_Sub1&amp;"_"&amp;$A637,'Investment Strategies'!$AZ:$BP,17,FALSE),
IF(AND(Investment_Strategy="Lifecycle",Investment_Strategy_Sub1="Non-Standard"),VLOOKUP(Investment_Strategy&amp;"_"&amp;Investment_Strategy_Sub2&amp;"_"&amp;$A637,'Investment Strategies'!$C:$P,14,FALSE),
IF(AND(Investment_Strategy="Lifecycle",Investment_Strategy_Sub1="Standard"),VLOOKUP(Investment_Strategy&amp;"_"&amp;Investment_Strategy_Sub2&amp;"_"&amp;$A637,'Investment Strategies'!$AJ:$AV,13,FALSE),
IF(AND(Investment_Strategy="Autopilot",Investment_Strategy_Sub1="Non-Standard"),VLOOKUP(Investment_Strategy&amp;"_"&amp;Investment_Strategy_Sub2&amp;"_"&amp;$A637,'Investment Strategies'!$T:$AF,13,FALSE),
IF(Investment_Strategy="DIY",DIY_ExtManChrge_SP,
"Error"))))))</f>
        <v>0</v>
      </c>
      <c r="O637" s="16">
        <f t="shared" si="372"/>
        <v>0</v>
      </c>
      <c r="Q637" s="16">
        <f t="shared" si="349"/>
        <v>0</v>
      </c>
      <c r="R637" s="16">
        <f t="shared" si="345"/>
        <v>0</v>
      </c>
      <c r="S637" s="16">
        <f>(SRP_SP+SUM(S$91:S636))*L637*IF(D637=$A$91,SRP_finalmonthfactor,1)</f>
        <v>0</v>
      </c>
      <c r="T637" s="74">
        <f>MIN(IF($AV637=0,0,
IF(Investment_Strategy="DIS",VLOOKUP(Investment_Strategy&amp;"_"&amp;Investment_Strategy_Sub1&amp;"_"&amp;$A637,'Investment Strategies'!$AZ:$BP,12,FALSE),
IF(AND(Investment_Strategy="Lifecycle",Investment_Strategy_Sub1="Non-Standard"),VLOOKUP(Investment_Strategy&amp;"_"&amp;Investment_Strategy_Sub2&amp;"_"&amp;$A637,'Investment Strategies'!$C:$P,9,FALSE),
IF(AND(Investment_Strategy="Lifecycle",Investment_Strategy_Sub1="Standard"),VLOOKUP(Investment_Strategy&amp;"_"&amp;Investment_Strategy_Sub2&amp;"_"&amp;$A637,'Investment Strategies'!$AJ:$AV,8,FALSE),
IF(AND(Investment_Strategy="Autopilot",Investment_Strategy_Sub1="Non-Standard"),VLOOKUP(Investment_Strategy&amp;"_"&amp;Investment_Strategy_Sub2&amp;"_"&amp;$A637,'Investment Strategies'!$T:$AF,8,FALSE),
IF(Investment_Strategy ="DIY",DIY_RateOfReturn_FuturePremiums,
"Error")))))),Max_InvReturn)</f>
        <v>0</v>
      </c>
      <c r="U637" s="62">
        <f>IF($AV637=0,0,
IF(Investment_Strategy="DIS",VLOOKUP(Investment_Strategy&amp;"_"&amp;Investment_Strategy_Sub1&amp;"_"&amp;$A637,'Investment Strategies'!$AZ:$BP,15,FALSE),
IF(AND(Investment_Strategy="Lifecycle",Investment_Strategy_Sub1="Non-Standard"),VLOOKUP(Investment_Strategy&amp;"_"&amp;Investment_Strategy_Sub2&amp;"_"&amp;$A637,'Investment Strategies'!$C:$P,12,FALSE),
IF(AND(Investment_Strategy="Lifecycle",Investment_Strategy_Sub1="Standard"),VLOOKUP(Investment_Strategy&amp;"_"&amp;Investment_Strategy_Sub2&amp;"_"&amp;$A637,'Investment Strategies'!$AJ:$AV,11,FALSE),
IF(AND(Investment_Strategy="Autopilot",Investment_Strategy_Sub1="Non-Standard"),VLOOKUP(Investment_Strategy&amp;"_"&amp;Investment_Strategy_Sub2&amp;"_"&amp;$A637,'Investment Strategies'!$T:$AF,11,FALSE),
IF(Investment_Strategy="DIY",DIY_GteeChrge_FuturePremiums,
"Error"))))))</f>
        <v>0</v>
      </c>
      <c r="V637" s="33">
        <f>IF(AV637=0,0,
IF(Investment_Strategy="DIS",VLOOKUP(Investment_Strategy&amp;"_"&amp;Investment_Strategy_Sub1&amp;"_"&amp;$A637,'Investment Strategies'!$AZ:$BP,17,FALSE),
IF(AND(Investment_Strategy="Lifecycle",Investment_Strategy_Sub1="Non-Standard"),VLOOKUP(Investment_Strategy&amp;"_"&amp;Investment_Strategy_Sub2&amp;"_"&amp;$A637,'Investment Strategies'!$C:$P,14,FALSE),
IF(AND(Investment_Strategy="Lifecycle",Investment_Strategy_Sub1="Standard"),VLOOKUP(Investment_Strategy&amp;"_"&amp;Investment_Strategy_Sub2&amp;"_"&amp;$A637,'Investment Strategies'!$AJ:$AV,13,FALSE),
IF(AND(Investment_Strategy="Autopilot",Investment_Strategy_Sub1="Non-Standard"),VLOOKUP(Investment_Strategy&amp;"_"&amp;Investment_Strategy_Sub2&amp;"_"&amp;$A637,'Investment Strategies'!$T:$AF,13,FALSE),
IF(Investment_Strategy="DIY",DIY_ExtManChrge_FuturePremiums,
"Error"))))))</f>
        <v>0</v>
      </c>
      <c r="W637" s="16">
        <f t="shared" si="373"/>
        <v>0</v>
      </c>
      <c r="X637" s="16">
        <f t="shared" si="350"/>
        <v>0</v>
      </c>
      <c r="Y637" s="16">
        <f t="shared" si="351"/>
        <v>0</v>
      </c>
      <c r="Z637" s="31">
        <f t="shared" si="352"/>
        <v>0.02</v>
      </c>
      <c r="AA637" s="16">
        <f t="shared" si="353"/>
        <v>0</v>
      </c>
      <c r="AB637" s="28">
        <f t="shared" si="374"/>
        <v>0</v>
      </c>
      <c r="AC637" s="28">
        <f>(SUM($AC$91:AC636)+SUM($X$91:X636)+X637)*T637*IF(D637=$A$91,SRP_finalmonthfactor,1)</f>
        <v>0</v>
      </c>
      <c r="AD637" s="16">
        <f t="shared" si="354"/>
        <v>0</v>
      </c>
      <c r="AE637" s="106"/>
      <c r="AF637" s="16">
        <f t="shared" si="362"/>
        <v>0</v>
      </c>
      <c r="AG637" s="16">
        <f t="shared" si="363"/>
        <v>0</v>
      </c>
      <c r="AH637" s="16">
        <f t="shared" si="364"/>
        <v>0</v>
      </c>
      <c r="AJ637" s="13">
        <f t="shared" si="377"/>
        <v>0</v>
      </c>
      <c r="AK637" s="13">
        <f t="shared" si="377"/>
        <v>0</v>
      </c>
      <c r="AL637" s="13">
        <f t="shared" si="377"/>
        <v>0</v>
      </c>
      <c r="AM637" s="13">
        <f t="shared" si="377"/>
        <v>0</v>
      </c>
      <c r="AN637" s="13">
        <f t="shared" si="377"/>
        <v>0</v>
      </c>
      <c r="AO637" s="13">
        <f t="shared" si="377"/>
        <v>1</v>
      </c>
      <c r="AP637" s="13">
        <f t="shared" si="377"/>
        <v>1</v>
      </c>
      <c r="AQ637" s="13">
        <f t="shared" si="377"/>
        <v>1</v>
      </c>
      <c r="AR637" s="13">
        <f t="shared" si="377"/>
        <v>0</v>
      </c>
      <c r="AS637" s="13">
        <f t="shared" si="377"/>
        <v>0</v>
      </c>
      <c r="AT637" s="13">
        <f t="shared" si="377"/>
        <v>0</v>
      </c>
      <c r="AU637" s="13">
        <f t="shared" si="377"/>
        <v>0</v>
      </c>
      <c r="AV637" s="13">
        <f t="shared" si="355"/>
        <v>0</v>
      </c>
      <c r="AW637" s="13">
        <f t="shared" si="356"/>
        <v>1</v>
      </c>
      <c r="AY637" s="17">
        <f t="shared" si="357"/>
        <v>547</v>
      </c>
      <c r="AZ637" s="28">
        <f t="shared" si="365"/>
        <v>0</v>
      </c>
      <c r="BA637" s="13">
        <f t="shared" si="358"/>
        <v>0</v>
      </c>
      <c r="BB637" s="13">
        <f t="shared" si="359"/>
        <v>0</v>
      </c>
      <c r="BC637" s="28">
        <f t="shared" si="366"/>
        <v>0</v>
      </c>
      <c r="BD637" s="28">
        <f t="shared" si="367"/>
        <v>0</v>
      </c>
      <c r="BF637" s="248">
        <f t="shared" si="368"/>
        <v>993869.29442638322</v>
      </c>
    </row>
    <row r="638" spans="1:58">
      <c r="A638" s="32">
        <f t="shared" si="369"/>
        <v>-463</v>
      </c>
      <c r="B638" s="32">
        <f t="shared" si="360"/>
        <v>98</v>
      </c>
      <c r="C638" s="32">
        <f t="shared" si="370"/>
        <v>46</v>
      </c>
      <c r="D638" s="32">
        <f t="shared" si="371"/>
        <v>548</v>
      </c>
      <c r="E638" s="74">
        <f>MIN(IF(AV638=0,0,
IF(Investment_Strategy="DIS",VLOOKUP(Investment_Strategy&amp;"_"&amp;Investment_Strategy_Sub1&amp;"_"&amp;$A638,'Investment Strategies'!$AZ:$BP,12,FALSE),
IF(AND(Investment_Strategy="Lifecycle",Investment_Strategy_Sub1="Non-Standard"),VLOOKUP(Investment_Strategy&amp;"_"&amp;Investment_Strategy_Sub2&amp;"_"&amp;$A638,'Investment Strategies'!$C:$P,9,FALSE),
IF(AND(Investment_Strategy="Lifecycle",Investment_Strategy_Sub1="Standard"),VLOOKUP(Investment_Strategy&amp;"_"&amp;Investment_Strategy_Sub2&amp;"_"&amp;$A638,'Investment Strategies'!$AJ:$AV,8,FALSE),
IF(AND(Investment_Strategy="Autopilot",Investment_Strategy_Sub1="Non-Standard"),VLOOKUP(Investment_Strategy&amp;"_"&amp;Investment_Strategy_Sub2&amp;"_"&amp;$A638,'Investment Strategies'!$T:$AF,8,FALSE),
IF(Investment_Strategy ="DIY",DIY_RateOfReturn_CurrentFunds,
"Error")))))),Max_InvReturn)</f>
        <v>0</v>
      </c>
      <c r="F638" s="62">
        <f>IF(AV638=0,0,
IF(Investment_Strategy="DIS",VLOOKUP(Investment_Strategy&amp;"_"&amp;Investment_Strategy_Sub1&amp;"_"&amp;$A638,'Investment Strategies'!$AZ:$BP,15,FALSE),
IF(AND(Investment_Strategy="Lifecycle",Investment_Strategy_Sub1="Non-Standard"),VLOOKUP(Investment_Strategy&amp;"_"&amp;Investment_Strategy_Sub2&amp;"_"&amp;$A638,'Investment Strategies'!$C:$P,12,FALSE),
IF(AND(Investment_Strategy="Lifecycle",Investment_Strategy_Sub1="Standard"),VLOOKUP(Investment_Strategy&amp;"_"&amp;Investment_Strategy_Sub2&amp;"_"&amp;$A638,'Investment Strategies'!$AJ:$AV,11,FALSE),
IF(AND(Investment_Strategy="Autopilot",Investment_Strategy_Sub1="Non-Standard"),VLOOKUP(Investment_Strategy&amp;"_"&amp;Investment_Strategy_Sub2&amp;"_"&amp;$A638,'Investment Strategies'!$T:$AF,11,FALSE),
IF(Investment_Strategy="DIY",DIY_GteeChrge_CurrentFunds,
"Error"))))))</f>
        <v>0</v>
      </c>
      <c r="G638" s="33">
        <f>IF(AV638=0,0,
IF(Investment_Strategy="DIS",VLOOKUP(Investment_Strategy&amp;"_"&amp;Investment_Strategy_Sub1&amp;"_"&amp;$A638,'Investment Strategies'!$AZ:$BP,17,FALSE),
IF(AND(Investment_Strategy="Lifecycle",Investment_Strategy_Sub1="Non-Standard"),VLOOKUP(Investment_Strategy&amp;"_"&amp;Investment_Strategy_Sub2&amp;"_"&amp;$A638,'Investment Strategies'!$C:$P,14,FALSE),
IF(AND(Investment_Strategy="Lifecycle",Investment_Strategy_Sub1="Standard"),VLOOKUP(Investment_Strategy&amp;"_"&amp;Investment_Strategy_Sub2&amp;"_"&amp;$A638,'Investment Strategies'!$AJ:$AV,13,FALSE),
IF(AND(Investment_Strategy="Autopilot",Investment_Strategy_Sub1="Non-Standard"),VLOOKUP(Investment_Strategy&amp;"_"&amp;Investment_Strategy_Sub2&amp;"_"&amp;$A638,'Investment Strategies'!$T:$AF,13,FALSE),
IF(Investment_Strategy="DIY",DIY_ExtManChrge_CurrentFunds,
"Error"))))))</f>
        <v>0</v>
      </c>
      <c r="H638" s="16">
        <f t="shared" si="361"/>
        <v>0</v>
      </c>
      <c r="I638" s="16">
        <f t="shared" si="347"/>
        <v>0</v>
      </c>
      <c r="J638" s="16">
        <f t="shared" si="348"/>
        <v>0</v>
      </c>
      <c r="K638" s="16">
        <f>(Opening_Fund_Value+SUM(K$91:K637))*E638*IF(D638=$A$91,SRP_finalmonthfactor,1)</f>
        <v>0</v>
      </c>
      <c r="L638" s="74">
        <f>MIN(IF($AV638=0,0,
IF(Investment_Strategy="DIS",VLOOKUP(Investment_Strategy&amp;"_"&amp;Investment_Strategy_Sub1&amp;"_"&amp;$A638,'Investment Strategies'!$AZ:$BP,12,FALSE),
IF(AND(Investment_Strategy="Lifecycle",Investment_Strategy_Sub1="Non-Standard"),VLOOKUP(Investment_Strategy&amp;"_"&amp;Investment_Strategy_Sub2&amp;"_"&amp;$A638,'Investment Strategies'!$C:$P,9,FALSE),
IF(AND(Investment_Strategy="Lifecycle",Investment_Strategy_Sub1="Standard"),VLOOKUP(Investment_Strategy&amp;"_"&amp;Investment_Strategy_Sub2&amp;"_"&amp;$A638,'Investment Strategies'!$AJ:$AV,8,FALSE),
IF(AND(Investment_Strategy="Autopilot",Investment_Strategy_Sub1="Non-Standard"),VLOOKUP(Investment_Strategy&amp;"_"&amp;Investment_Strategy_Sub2&amp;"_"&amp;$A638,'Investment Strategies'!$T:$AF,8,FALSE),
IF(Investment_Strategy ="DIY",DIY_RateofReturn_SP,
"Error")))))),Max_InvReturn)</f>
        <v>0</v>
      </c>
      <c r="M638" s="62">
        <f>IF($AV638=0,0,
IF(Investment_Strategy="DIS",VLOOKUP(Investment_Strategy&amp;"_"&amp;Investment_Strategy_Sub1&amp;"_"&amp;$A638,'Investment Strategies'!$AZ:$BP,15,FALSE),
IF(AND(Investment_Strategy="Lifecycle",Investment_Strategy_Sub1="Non-Standard"),VLOOKUP(Investment_Strategy&amp;"_"&amp;Investment_Strategy_Sub2&amp;"_"&amp;$A638,'Investment Strategies'!$C:$P,12,FALSE),
IF(AND(Investment_Strategy="Lifecycle",Investment_Strategy_Sub1="Standard"),VLOOKUP(Investment_Strategy&amp;"_"&amp;Investment_Strategy_Sub2&amp;"_"&amp;$A638,'Investment Strategies'!$AJ:$AV,11,FALSE),
IF(AND(Investment_Strategy="Autopilot",Investment_Strategy_Sub1="Non-Standard"),VLOOKUP(Investment_Strategy&amp;"_"&amp;Investment_Strategy_Sub2&amp;"_"&amp;$A638,'Investment Strategies'!$T:$AF,11,FALSE),
IF(Investment_Strategy="DIY",DIY_GteeChrge_SP,
"Error"))))))</f>
        <v>0</v>
      </c>
      <c r="N638" s="33">
        <f>IF($AV638=0,0,
IF(Investment_Strategy="DIS",VLOOKUP(Investment_Strategy&amp;"_"&amp;Investment_Strategy_Sub1&amp;"_"&amp;$A638,'Investment Strategies'!$AZ:$BP,17,FALSE),
IF(AND(Investment_Strategy="Lifecycle",Investment_Strategy_Sub1="Non-Standard"),VLOOKUP(Investment_Strategy&amp;"_"&amp;Investment_Strategy_Sub2&amp;"_"&amp;$A638,'Investment Strategies'!$C:$P,14,FALSE),
IF(AND(Investment_Strategy="Lifecycle",Investment_Strategy_Sub1="Standard"),VLOOKUP(Investment_Strategy&amp;"_"&amp;Investment_Strategy_Sub2&amp;"_"&amp;$A638,'Investment Strategies'!$AJ:$AV,13,FALSE),
IF(AND(Investment_Strategy="Autopilot",Investment_Strategy_Sub1="Non-Standard"),VLOOKUP(Investment_Strategy&amp;"_"&amp;Investment_Strategy_Sub2&amp;"_"&amp;$A638,'Investment Strategies'!$T:$AF,13,FALSE),
IF(Investment_Strategy="DIY",DIY_ExtManChrge_SP,
"Error"))))))</f>
        <v>0</v>
      </c>
      <c r="O638" s="16">
        <f t="shared" si="372"/>
        <v>0</v>
      </c>
      <c r="Q638" s="16">
        <f t="shared" si="349"/>
        <v>0</v>
      </c>
      <c r="R638" s="16">
        <f t="shared" si="345"/>
        <v>0</v>
      </c>
      <c r="S638" s="16">
        <f>(SRP_SP+SUM(S$91:S637))*L638*IF(D638=$A$91,SRP_finalmonthfactor,1)</f>
        <v>0</v>
      </c>
      <c r="T638" s="74">
        <f>MIN(IF($AV638=0,0,
IF(Investment_Strategy="DIS",VLOOKUP(Investment_Strategy&amp;"_"&amp;Investment_Strategy_Sub1&amp;"_"&amp;$A638,'Investment Strategies'!$AZ:$BP,12,FALSE),
IF(AND(Investment_Strategy="Lifecycle",Investment_Strategy_Sub1="Non-Standard"),VLOOKUP(Investment_Strategy&amp;"_"&amp;Investment_Strategy_Sub2&amp;"_"&amp;$A638,'Investment Strategies'!$C:$P,9,FALSE),
IF(AND(Investment_Strategy="Lifecycle",Investment_Strategy_Sub1="Standard"),VLOOKUP(Investment_Strategy&amp;"_"&amp;Investment_Strategy_Sub2&amp;"_"&amp;$A638,'Investment Strategies'!$AJ:$AV,8,FALSE),
IF(AND(Investment_Strategy="Autopilot",Investment_Strategy_Sub1="Non-Standard"),VLOOKUP(Investment_Strategy&amp;"_"&amp;Investment_Strategy_Sub2&amp;"_"&amp;$A638,'Investment Strategies'!$T:$AF,8,FALSE),
IF(Investment_Strategy ="DIY",DIY_RateOfReturn_FuturePremiums,
"Error")))))),Max_InvReturn)</f>
        <v>0</v>
      </c>
      <c r="U638" s="62">
        <f>IF($AV638=0,0,
IF(Investment_Strategy="DIS",VLOOKUP(Investment_Strategy&amp;"_"&amp;Investment_Strategy_Sub1&amp;"_"&amp;$A638,'Investment Strategies'!$AZ:$BP,15,FALSE),
IF(AND(Investment_Strategy="Lifecycle",Investment_Strategy_Sub1="Non-Standard"),VLOOKUP(Investment_Strategy&amp;"_"&amp;Investment_Strategy_Sub2&amp;"_"&amp;$A638,'Investment Strategies'!$C:$P,12,FALSE),
IF(AND(Investment_Strategy="Lifecycle",Investment_Strategy_Sub1="Standard"),VLOOKUP(Investment_Strategy&amp;"_"&amp;Investment_Strategy_Sub2&amp;"_"&amp;$A638,'Investment Strategies'!$AJ:$AV,11,FALSE),
IF(AND(Investment_Strategy="Autopilot",Investment_Strategy_Sub1="Non-Standard"),VLOOKUP(Investment_Strategy&amp;"_"&amp;Investment_Strategy_Sub2&amp;"_"&amp;$A638,'Investment Strategies'!$T:$AF,11,FALSE),
IF(Investment_Strategy="DIY",DIY_GteeChrge_FuturePremiums,
"Error"))))))</f>
        <v>0</v>
      </c>
      <c r="V638" s="33">
        <f>IF(AV638=0,0,
IF(Investment_Strategy="DIS",VLOOKUP(Investment_Strategy&amp;"_"&amp;Investment_Strategy_Sub1&amp;"_"&amp;$A638,'Investment Strategies'!$AZ:$BP,17,FALSE),
IF(AND(Investment_Strategy="Lifecycle",Investment_Strategy_Sub1="Non-Standard"),VLOOKUP(Investment_Strategy&amp;"_"&amp;Investment_Strategy_Sub2&amp;"_"&amp;$A638,'Investment Strategies'!$C:$P,14,FALSE),
IF(AND(Investment_Strategy="Lifecycle",Investment_Strategy_Sub1="Standard"),VLOOKUP(Investment_Strategy&amp;"_"&amp;Investment_Strategy_Sub2&amp;"_"&amp;$A638,'Investment Strategies'!$AJ:$AV,13,FALSE),
IF(AND(Investment_Strategy="Autopilot",Investment_Strategy_Sub1="Non-Standard"),VLOOKUP(Investment_Strategy&amp;"_"&amp;Investment_Strategy_Sub2&amp;"_"&amp;$A638,'Investment Strategies'!$T:$AF,13,FALSE),
IF(Investment_Strategy="DIY",DIY_ExtManChrge_FuturePremiums,
"Error"))))))</f>
        <v>0</v>
      </c>
      <c r="W638" s="16">
        <f t="shared" si="373"/>
        <v>0</v>
      </c>
      <c r="X638" s="16">
        <f t="shared" si="350"/>
        <v>0</v>
      </c>
      <c r="Y638" s="16">
        <f t="shared" si="351"/>
        <v>0</v>
      </c>
      <c r="Z638" s="31">
        <f t="shared" si="352"/>
        <v>0.02</v>
      </c>
      <c r="AA638" s="16">
        <f t="shared" si="353"/>
        <v>0</v>
      </c>
      <c r="AB638" s="28">
        <f t="shared" si="374"/>
        <v>0</v>
      </c>
      <c r="AC638" s="28">
        <f>(SUM($AC$91:AC637)+SUM($X$91:X637)+X638)*T638*IF(D638=$A$91,SRP_finalmonthfactor,1)</f>
        <v>0</v>
      </c>
      <c r="AD638" s="16">
        <f t="shared" si="354"/>
        <v>0</v>
      </c>
      <c r="AE638" s="106"/>
      <c r="AF638" s="16">
        <f t="shared" si="362"/>
        <v>0</v>
      </c>
      <c r="AG638" s="16">
        <f t="shared" si="363"/>
        <v>0</v>
      </c>
      <c r="AH638" s="16">
        <f t="shared" si="364"/>
        <v>0</v>
      </c>
      <c r="AJ638" s="13">
        <f t="shared" si="377"/>
        <v>0</v>
      </c>
      <c r="AK638" s="13">
        <f t="shared" si="377"/>
        <v>0</v>
      </c>
      <c r="AL638" s="13">
        <f t="shared" si="377"/>
        <v>0</v>
      </c>
      <c r="AM638" s="13">
        <f t="shared" si="377"/>
        <v>0</v>
      </c>
      <c r="AN638" s="13">
        <f t="shared" si="377"/>
        <v>0</v>
      </c>
      <c r="AO638" s="13">
        <f t="shared" si="377"/>
        <v>1</v>
      </c>
      <c r="AP638" s="13">
        <f t="shared" si="377"/>
        <v>1</v>
      </c>
      <c r="AQ638" s="13">
        <f t="shared" si="377"/>
        <v>1</v>
      </c>
      <c r="AR638" s="13">
        <f t="shared" si="377"/>
        <v>0</v>
      </c>
      <c r="AS638" s="13">
        <f t="shared" si="377"/>
        <v>0</v>
      </c>
      <c r="AT638" s="13">
        <f t="shared" si="377"/>
        <v>0</v>
      </c>
      <c r="AU638" s="13">
        <f t="shared" si="377"/>
        <v>0</v>
      </c>
      <c r="AV638" s="13">
        <f t="shared" si="355"/>
        <v>0</v>
      </c>
      <c r="AW638" s="13">
        <f t="shared" si="356"/>
        <v>1</v>
      </c>
      <c r="AY638" s="17">
        <f t="shared" si="357"/>
        <v>548</v>
      </c>
      <c r="AZ638" s="28">
        <f t="shared" si="365"/>
        <v>0</v>
      </c>
      <c r="BA638" s="13">
        <f t="shared" si="358"/>
        <v>0</v>
      </c>
      <c r="BB638" s="13">
        <f t="shared" si="359"/>
        <v>0</v>
      </c>
      <c r="BC638" s="28">
        <f t="shared" si="366"/>
        <v>0</v>
      </c>
      <c r="BD638" s="28">
        <f t="shared" si="367"/>
        <v>0</v>
      </c>
      <c r="BF638" s="248">
        <f t="shared" si="368"/>
        <v>993869.29442638322</v>
      </c>
    </row>
    <row r="639" spans="1:58">
      <c r="A639" s="32">
        <f t="shared" si="369"/>
        <v>-464</v>
      </c>
      <c r="B639" s="32">
        <f t="shared" si="360"/>
        <v>98</v>
      </c>
      <c r="C639" s="32">
        <f t="shared" si="370"/>
        <v>46</v>
      </c>
      <c r="D639" s="32">
        <f t="shared" si="371"/>
        <v>549</v>
      </c>
      <c r="E639" s="74">
        <f>MIN(IF(AV639=0,0,
IF(Investment_Strategy="DIS",VLOOKUP(Investment_Strategy&amp;"_"&amp;Investment_Strategy_Sub1&amp;"_"&amp;$A639,'Investment Strategies'!$AZ:$BP,12,FALSE),
IF(AND(Investment_Strategy="Lifecycle",Investment_Strategy_Sub1="Non-Standard"),VLOOKUP(Investment_Strategy&amp;"_"&amp;Investment_Strategy_Sub2&amp;"_"&amp;$A639,'Investment Strategies'!$C:$P,9,FALSE),
IF(AND(Investment_Strategy="Lifecycle",Investment_Strategy_Sub1="Standard"),VLOOKUP(Investment_Strategy&amp;"_"&amp;Investment_Strategy_Sub2&amp;"_"&amp;$A639,'Investment Strategies'!$AJ:$AV,8,FALSE),
IF(AND(Investment_Strategy="Autopilot",Investment_Strategy_Sub1="Non-Standard"),VLOOKUP(Investment_Strategy&amp;"_"&amp;Investment_Strategy_Sub2&amp;"_"&amp;$A639,'Investment Strategies'!$T:$AF,8,FALSE),
IF(Investment_Strategy ="DIY",DIY_RateOfReturn_CurrentFunds,
"Error")))))),Max_InvReturn)</f>
        <v>0</v>
      </c>
      <c r="F639" s="62">
        <f>IF(AV639=0,0,
IF(Investment_Strategy="DIS",VLOOKUP(Investment_Strategy&amp;"_"&amp;Investment_Strategy_Sub1&amp;"_"&amp;$A639,'Investment Strategies'!$AZ:$BP,15,FALSE),
IF(AND(Investment_Strategy="Lifecycle",Investment_Strategy_Sub1="Non-Standard"),VLOOKUP(Investment_Strategy&amp;"_"&amp;Investment_Strategy_Sub2&amp;"_"&amp;$A639,'Investment Strategies'!$C:$P,12,FALSE),
IF(AND(Investment_Strategy="Lifecycle",Investment_Strategy_Sub1="Standard"),VLOOKUP(Investment_Strategy&amp;"_"&amp;Investment_Strategy_Sub2&amp;"_"&amp;$A639,'Investment Strategies'!$AJ:$AV,11,FALSE),
IF(AND(Investment_Strategy="Autopilot",Investment_Strategy_Sub1="Non-Standard"),VLOOKUP(Investment_Strategy&amp;"_"&amp;Investment_Strategy_Sub2&amp;"_"&amp;$A639,'Investment Strategies'!$T:$AF,11,FALSE),
IF(Investment_Strategy="DIY",DIY_GteeChrge_CurrentFunds,
"Error"))))))</f>
        <v>0</v>
      </c>
      <c r="G639" s="33">
        <f>IF(AV639=0,0,
IF(Investment_Strategy="DIS",VLOOKUP(Investment_Strategy&amp;"_"&amp;Investment_Strategy_Sub1&amp;"_"&amp;$A639,'Investment Strategies'!$AZ:$BP,17,FALSE),
IF(AND(Investment_Strategy="Lifecycle",Investment_Strategy_Sub1="Non-Standard"),VLOOKUP(Investment_Strategy&amp;"_"&amp;Investment_Strategy_Sub2&amp;"_"&amp;$A639,'Investment Strategies'!$C:$P,14,FALSE),
IF(AND(Investment_Strategy="Lifecycle",Investment_Strategy_Sub1="Standard"),VLOOKUP(Investment_Strategy&amp;"_"&amp;Investment_Strategy_Sub2&amp;"_"&amp;$A639,'Investment Strategies'!$AJ:$AV,13,FALSE),
IF(AND(Investment_Strategy="Autopilot",Investment_Strategy_Sub1="Non-Standard"),VLOOKUP(Investment_Strategy&amp;"_"&amp;Investment_Strategy_Sub2&amp;"_"&amp;$A639,'Investment Strategies'!$T:$AF,13,FALSE),
IF(Investment_Strategy="DIY",DIY_ExtManChrge_CurrentFunds,
"Error"))))))</f>
        <v>0</v>
      </c>
      <c r="H639" s="16">
        <f t="shared" si="361"/>
        <v>0</v>
      </c>
      <c r="I639" s="16">
        <f t="shared" si="347"/>
        <v>0</v>
      </c>
      <c r="J639" s="16">
        <f t="shared" si="348"/>
        <v>0</v>
      </c>
      <c r="K639" s="16">
        <f>(Opening_Fund_Value+SUM(K$91:K638))*E639*IF(D639=$A$91,SRP_finalmonthfactor,1)</f>
        <v>0</v>
      </c>
      <c r="L639" s="74">
        <f>MIN(IF($AV639=0,0,
IF(Investment_Strategy="DIS",VLOOKUP(Investment_Strategy&amp;"_"&amp;Investment_Strategy_Sub1&amp;"_"&amp;$A639,'Investment Strategies'!$AZ:$BP,12,FALSE),
IF(AND(Investment_Strategy="Lifecycle",Investment_Strategy_Sub1="Non-Standard"),VLOOKUP(Investment_Strategy&amp;"_"&amp;Investment_Strategy_Sub2&amp;"_"&amp;$A639,'Investment Strategies'!$C:$P,9,FALSE),
IF(AND(Investment_Strategy="Lifecycle",Investment_Strategy_Sub1="Standard"),VLOOKUP(Investment_Strategy&amp;"_"&amp;Investment_Strategy_Sub2&amp;"_"&amp;$A639,'Investment Strategies'!$AJ:$AV,8,FALSE),
IF(AND(Investment_Strategy="Autopilot",Investment_Strategy_Sub1="Non-Standard"),VLOOKUP(Investment_Strategy&amp;"_"&amp;Investment_Strategy_Sub2&amp;"_"&amp;$A639,'Investment Strategies'!$T:$AF,8,FALSE),
IF(Investment_Strategy ="DIY",DIY_RateofReturn_SP,
"Error")))))),Max_InvReturn)</f>
        <v>0</v>
      </c>
      <c r="M639" s="62">
        <f>IF($AV639=0,0,
IF(Investment_Strategy="DIS",VLOOKUP(Investment_Strategy&amp;"_"&amp;Investment_Strategy_Sub1&amp;"_"&amp;$A639,'Investment Strategies'!$AZ:$BP,15,FALSE),
IF(AND(Investment_Strategy="Lifecycle",Investment_Strategy_Sub1="Non-Standard"),VLOOKUP(Investment_Strategy&amp;"_"&amp;Investment_Strategy_Sub2&amp;"_"&amp;$A639,'Investment Strategies'!$C:$P,12,FALSE),
IF(AND(Investment_Strategy="Lifecycle",Investment_Strategy_Sub1="Standard"),VLOOKUP(Investment_Strategy&amp;"_"&amp;Investment_Strategy_Sub2&amp;"_"&amp;$A639,'Investment Strategies'!$AJ:$AV,11,FALSE),
IF(AND(Investment_Strategy="Autopilot",Investment_Strategy_Sub1="Non-Standard"),VLOOKUP(Investment_Strategy&amp;"_"&amp;Investment_Strategy_Sub2&amp;"_"&amp;$A639,'Investment Strategies'!$T:$AF,11,FALSE),
IF(Investment_Strategy="DIY",DIY_GteeChrge_SP,
"Error"))))))</f>
        <v>0</v>
      </c>
      <c r="N639" s="33">
        <f>IF($AV639=0,0,
IF(Investment_Strategy="DIS",VLOOKUP(Investment_Strategy&amp;"_"&amp;Investment_Strategy_Sub1&amp;"_"&amp;$A639,'Investment Strategies'!$AZ:$BP,17,FALSE),
IF(AND(Investment_Strategy="Lifecycle",Investment_Strategy_Sub1="Non-Standard"),VLOOKUP(Investment_Strategy&amp;"_"&amp;Investment_Strategy_Sub2&amp;"_"&amp;$A639,'Investment Strategies'!$C:$P,14,FALSE),
IF(AND(Investment_Strategy="Lifecycle",Investment_Strategy_Sub1="Standard"),VLOOKUP(Investment_Strategy&amp;"_"&amp;Investment_Strategy_Sub2&amp;"_"&amp;$A639,'Investment Strategies'!$AJ:$AV,13,FALSE),
IF(AND(Investment_Strategy="Autopilot",Investment_Strategy_Sub1="Non-Standard"),VLOOKUP(Investment_Strategy&amp;"_"&amp;Investment_Strategy_Sub2&amp;"_"&amp;$A639,'Investment Strategies'!$T:$AF,13,FALSE),
IF(Investment_Strategy="DIY",DIY_ExtManChrge_SP,
"Error"))))))</f>
        <v>0</v>
      </c>
      <c r="O639" s="16">
        <f t="shared" si="372"/>
        <v>0</v>
      </c>
      <c r="Q639" s="16">
        <f t="shared" si="349"/>
        <v>0</v>
      </c>
      <c r="R639" s="16">
        <f t="shared" si="345"/>
        <v>0</v>
      </c>
      <c r="S639" s="16">
        <f>(SRP_SP+SUM(S$91:S638))*L639*IF(D639=$A$91,SRP_finalmonthfactor,1)</f>
        <v>0</v>
      </c>
      <c r="T639" s="74">
        <f>MIN(IF($AV639=0,0,
IF(Investment_Strategy="DIS",VLOOKUP(Investment_Strategy&amp;"_"&amp;Investment_Strategy_Sub1&amp;"_"&amp;$A639,'Investment Strategies'!$AZ:$BP,12,FALSE),
IF(AND(Investment_Strategy="Lifecycle",Investment_Strategy_Sub1="Non-Standard"),VLOOKUP(Investment_Strategy&amp;"_"&amp;Investment_Strategy_Sub2&amp;"_"&amp;$A639,'Investment Strategies'!$C:$P,9,FALSE),
IF(AND(Investment_Strategy="Lifecycle",Investment_Strategy_Sub1="Standard"),VLOOKUP(Investment_Strategy&amp;"_"&amp;Investment_Strategy_Sub2&amp;"_"&amp;$A639,'Investment Strategies'!$AJ:$AV,8,FALSE),
IF(AND(Investment_Strategy="Autopilot",Investment_Strategy_Sub1="Non-Standard"),VLOOKUP(Investment_Strategy&amp;"_"&amp;Investment_Strategy_Sub2&amp;"_"&amp;$A639,'Investment Strategies'!$T:$AF,8,FALSE),
IF(Investment_Strategy ="DIY",DIY_RateOfReturn_FuturePremiums,
"Error")))))),Max_InvReturn)</f>
        <v>0</v>
      </c>
      <c r="U639" s="62">
        <f>IF($AV639=0,0,
IF(Investment_Strategy="DIS",VLOOKUP(Investment_Strategy&amp;"_"&amp;Investment_Strategy_Sub1&amp;"_"&amp;$A639,'Investment Strategies'!$AZ:$BP,15,FALSE),
IF(AND(Investment_Strategy="Lifecycle",Investment_Strategy_Sub1="Non-Standard"),VLOOKUP(Investment_Strategy&amp;"_"&amp;Investment_Strategy_Sub2&amp;"_"&amp;$A639,'Investment Strategies'!$C:$P,12,FALSE),
IF(AND(Investment_Strategy="Lifecycle",Investment_Strategy_Sub1="Standard"),VLOOKUP(Investment_Strategy&amp;"_"&amp;Investment_Strategy_Sub2&amp;"_"&amp;$A639,'Investment Strategies'!$AJ:$AV,11,FALSE),
IF(AND(Investment_Strategy="Autopilot",Investment_Strategy_Sub1="Non-Standard"),VLOOKUP(Investment_Strategy&amp;"_"&amp;Investment_Strategy_Sub2&amp;"_"&amp;$A639,'Investment Strategies'!$T:$AF,11,FALSE),
IF(Investment_Strategy="DIY",DIY_GteeChrge_FuturePremiums,
"Error"))))))</f>
        <v>0</v>
      </c>
      <c r="V639" s="33">
        <f>IF(AV639=0,0,
IF(Investment_Strategy="DIS",VLOOKUP(Investment_Strategy&amp;"_"&amp;Investment_Strategy_Sub1&amp;"_"&amp;$A639,'Investment Strategies'!$AZ:$BP,17,FALSE),
IF(AND(Investment_Strategy="Lifecycle",Investment_Strategy_Sub1="Non-Standard"),VLOOKUP(Investment_Strategy&amp;"_"&amp;Investment_Strategy_Sub2&amp;"_"&amp;$A639,'Investment Strategies'!$C:$P,14,FALSE),
IF(AND(Investment_Strategy="Lifecycle",Investment_Strategy_Sub1="Standard"),VLOOKUP(Investment_Strategy&amp;"_"&amp;Investment_Strategy_Sub2&amp;"_"&amp;$A639,'Investment Strategies'!$AJ:$AV,13,FALSE),
IF(AND(Investment_Strategy="Autopilot",Investment_Strategy_Sub1="Non-Standard"),VLOOKUP(Investment_Strategy&amp;"_"&amp;Investment_Strategy_Sub2&amp;"_"&amp;$A639,'Investment Strategies'!$T:$AF,13,FALSE),
IF(Investment_Strategy="DIY",DIY_ExtManChrge_FuturePremiums,
"Error"))))))</f>
        <v>0</v>
      </c>
      <c r="W639" s="16">
        <f t="shared" si="373"/>
        <v>0</v>
      </c>
      <c r="X639" s="16">
        <f t="shared" si="350"/>
        <v>0</v>
      </c>
      <c r="Y639" s="16">
        <f t="shared" si="351"/>
        <v>0</v>
      </c>
      <c r="Z639" s="31">
        <f t="shared" si="352"/>
        <v>0.02</v>
      </c>
      <c r="AA639" s="16">
        <f t="shared" si="353"/>
        <v>0</v>
      </c>
      <c r="AB639" s="28">
        <f t="shared" si="374"/>
        <v>0</v>
      </c>
      <c r="AC639" s="28">
        <f>(SUM($AC$91:AC638)+SUM($X$91:X638)+X639)*T639*IF(D639=$A$91,SRP_finalmonthfactor,1)</f>
        <v>0</v>
      </c>
      <c r="AD639" s="16">
        <f t="shared" si="354"/>
        <v>0</v>
      </c>
      <c r="AE639" s="106"/>
      <c r="AF639" s="16">
        <f t="shared" si="362"/>
        <v>0</v>
      </c>
      <c r="AG639" s="16">
        <f t="shared" si="363"/>
        <v>0</v>
      </c>
      <c r="AH639" s="16">
        <f t="shared" si="364"/>
        <v>0</v>
      </c>
      <c r="AJ639" s="13">
        <f t="shared" si="377"/>
        <v>0</v>
      </c>
      <c r="AK639" s="13">
        <f t="shared" si="377"/>
        <v>0</v>
      </c>
      <c r="AL639" s="13">
        <f t="shared" si="377"/>
        <v>0</v>
      </c>
      <c r="AM639" s="13">
        <f t="shared" si="377"/>
        <v>0</v>
      </c>
      <c r="AN639" s="13">
        <f t="shared" si="377"/>
        <v>0</v>
      </c>
      <c r="AO639" s="13">
        <f t="shared" si="377"/>
        <v>1</v>
      </c>
      <c r="AP639" s="13">
        <f t="shared" si="377"/>
        <v>1</v>
      </c>
      <c r="AQ639" s="13">
        <f t="shared" si="377"/>
        <v>1</v>
      </c>
      <c r="AR639" s="13">
        <f t="shared" si="377"/>
        <v>0</v>
      </c>
      <c r="AS639" s="13">
        <f t="shared" si="377"/>
        <v>0</v>
      </c>
      <c r="AT639" s="13">
        <f t="shared" si="377"/>
        <v>0</v>
      </c>
      <c r="AU639" s="13">
        <f t="shared" si="377"/>
        <v>0</v>
      </c>
      <c r="AV639" s="13">
        <f t="shared" si="355"/>
        <v>0</v>
      </c>
      <c r="AW639" s="13">
        <f t="shared" si="356"/>
        <v>1</v>
      </c>
      <c r="AY639" s="17">
        <f t="shared" si="357"/>
        <v>549</v>
      </c>
      <c r="AZ639" s="28">
        <f t="shared" si="365"/>
        <v>0</v>
      </c>
      <c r="BA639" s="13">
        <f t="shared" si="358"/>
        <v>0</v>
      </c>
      <c r="BB639" s="13">
        <f t="shared" si="359"/>
        <v>0</v>
      </c>
      <c r="BC639" s="28">
        <f t="shared" si="366"/>
        <v>0</v>
      </c>
      <c r="BD639" s="28">
        <f t="shared" si="367"/>
        <v>0</v>
      </c>
      <c r="BF639" s="248">
        <f t="shared" si="368"/>
        <v>993869.29442638322</v>
      </c>
    </row>
    <row r="640" spans="1:58">
      <c r="A640" s="32">
        <f t="shared" si="369"/>
        <v>-465</v>
      </c>
      <c r="B640" s="32">
        <f t="shared" si="360"/>
        <v>98</v>
      </c>
      <c r="C640" s="32">
        <f t="shared" si="370"/>
        <v>46</v>
      </c>
      <c r="D640" s="32">
        <f t="shared" si="371"/>
        <v>550</v>
      </c>
      <c r="E640" s="74">
        <f>MIN(IF(AV640=0,0,
IF(Investment_Strategy="DIS",VLOOKUP(Investment_Strategy&amp;"_"&amp;Investment_Strategy_Sub1&amp;"_"&amp;$A640,'Investment Strategies'!$AZ:$BP,12,FALSE),
IF(AND(Investment_Strategy="Lifecycle",Investment_Strategy_Sub1="Non-Standard"),VLOOKUP(Investment_Strategy&amp;"_"&amp;Investment_Strategy_Sub2&amp;"_"&amp;$A640,'Investment Strategies'!$C:$P,9,FALSE),
IF(AND(Investment_Strategy="Lifecycle",Investment_Strategy_Sub1="Standard"),VLOOKUP(Investment_Strategy&amp;"_"&amp;Investment_Strategy_Sub2&amp;"_"&amp;$A640,'Investment Strategies'!$AJ:$AV,8,FALSE),
IF(AND(Investment_Strategy="Autopilot",Investment_Strategy_Sub1="Non-Standard"),VLOOKUP(Investment_Strategy&amp;"_"&amp;Investment_Strategy_Sub2&amp;"_"&amp;$A640,'Investment Strategies'!$T:$AF,8,FALSE),
IF(Investment_Strategy ="DIY",DIY_RateOfReturn_CurrentFunds,
"Error")))))),Max_InvReturn)</f>
        <v>0</v>
      </c>
      <c r="F640" s="62">
        <f>IF(AV640=0,0,
IF(Investment_Strategy="DIS",VLOOKUP(Investment_Strategy&amp;"_"&amp;Investment_Strategy_Sub1&amp;"_"&amp;$A640,'Investment Strategies'!$AZ:$BP,15,FALSE),
IF(AND(Investment_Strategy="Lifecycle",Investment_Strategy_Sub1="Non-Standard"),VLOOKUP(Investment_Strategy&amp;"_"&amp;Investment_Strategy_Sub2&amp;"_"&amp;$A640,'Investment Strategies'!$C:$P,12,FALSE),
IF(AND(Investment_Strategy="Lifecycle",Investment_Strategy_Sub1="Standard"),VLOOKUP(Investment_Strategy&amp;"_"&amp;Investment_Strategy_Sub2&amp;"_"&amp;$A640,'Investment Strategies'!$AJ:$AV,11,FALSE),
IF(AND(Investment_Strategy="Autopilot",Investment_Strategy_Sub1="Non-Standard"),VLOOKUP(Investment_Strategy&amp;"_"&amp;Investment_Strategy_Sub2&amp;"_"&amp;$A640,'Investment Strategies'!$T:$AF,11,FALSE),
IF(Investment_Strategy="DIY",DIY_GteeChrge_CurrentFunds,
"Error"))))))</f>
        <v>0</v>
      </c>
      <c r="G640" s="33">
        <f>IF(AV640=0,0,
IF(Investment_Strategy="DIS",VLOOKUP(Investment_Strategy&amp;"_"&amp;Investment_Strategy_Sub1&amp;"_"&amp;$A640,'Investment Strategies'!$AZ:$BP,17,FALSE),
IF(AND(Investment_Strategy="Lifecycle",Investment_Strategy_Sub1="Non-Standard"),VLOOKUP(Investment_Strategy&amp;"_"&amp;Investment_Strategy_Sub2&amp;"_"&amp;$A640,'Investment Strategies'!$C:$P,14,FALSE),
IF(AND(Investment_Strategy="Lifecycle",Investment_Strategy_Sub1="Standard"),VLOOKUP(Investment_Strategy&amp;"_"&amp;Investment_Strategy_Sub2&amp;"_"&amp;$A640,'Investment Strategies'!$AJ:$AV,13,FALSE),
IF(AND(Investment_Strategy="Autopilot",Investment_Strategy_Sub1="Non-Standard"),VLOOKUP(Investment_Strategy&amp;"_"&amp;Investment_Strategy_Sub2&amp;"_"&amp;$A640,'Investment Strategies'!$T:$AF,13,FALSE),
IF(Investment_Strategy="DIY",DIY_ExtManChrge_CurrentFunds,
"Error"))))))</f>
        <v>0</v>
      </c>
      <c r="H640" s="16">
        <f t="shared" si="361"/>
        <v>0</v>
      </c>
      <c r="I640" s="16">
        <f t="shared" si="347"/>
        <v>0</v>
      </c>
      <c r="J640" s="16">
        <f t="shared" si="348"/>
        <v>0</v>
      </c>
      <c r="K640" s="16">
        <f>(Opening_Fund_Value+SUM(K$91:K639))*E640*IF(D640=$A$91,SRP_finalmonthfactor,1)</f>
        <v>0</v>
      </c>
      <c r="L640" s="74">
        <f>MIN(IF($AV640=0,0,
IF(Investment_Strategy="DIS",VLOOKUP(Investment_Strategy&amp;"_"&amp;Investment_Strategy_Sub1&amp;"_"&amp;$A640,'Investment Strategies'!$AZ:$BP,12,FALSE),
IF(AND(Investment_Strategy="Lifecycle",Investment_Strategy_Sub1="Non-Standard"),VLOOKUP(Investment_Strategy&amp;"_"&amp;Investment_Strategy_Sub2&amp;"_"&amp;$A640,'Investment Strategies'!$C:$P,9,FALSE),
IF(AND(Investment_Strategy="Lifecycle",Investment_Strategy_Sub1="Standard"),VLOOKUP(Investment_Strategy&amp;"_"&amp;Investment_Strategy_Sub2&amp;"_"&amp;$A640,'Investment Strategies'!$AJ:$AV,8,FALSE),
IF(AND(Investment_Strategy="Autopilot",Investment_Strategy_Sub1="Non-Standard"),VLOOKUP(Investment_Strategy&amp;"_"&amp;Investment_Strategy_Sub2&amp;"_"&amp;$A640,'Investment Strategies'!$T:$AF,8,FALSE),
IF(Investment_Strategy ="DIY",DIY_RateofReturn_SP,
"Error")))))),Max_InvReturn)</f>
        <v>0</v>
      </c>
      <c r="M640" s="62">
        <f>IF($AV640=0,0,
IF(Investment_Strategy="DIS",VLOOKUP(Investment_Strategy&amp;"_"&amp;Investment_Strategy_Sub1&amp;"_"&amp;$A640,'Investment Strategies'!$AZ:$BP,15,FALSE),
IF(AND(Investment_Strategy="Lifecycle",Investment_Strategy_Sub1="Non-Standard"),VLOOKUP(Investment_Strategy&amp;"_"&amp;Investment_Strategy_Sub2&amp;"_"&amp;$A640,'Investment Strategies'!$C:$P,12,FALSE),
IF(AND(Investment_Strategy="Lifecycle",Investment_Strategy_Sub1="Standard"),VLOOKUP(Investment_Strategy&amp;"_"&amp;Investment_Strategy_Sub2&amp;"_"&amp;$A640,'Investment Strategies'!$AJ:$AV,11,FALSE),
IF(AND(Investment_Strategy="Autopilot",Investment_Strategy_Sub1="Non-Standard"),VLOOKUP(Investment_Strategy&amp;"_"&amp;Investment_Strategy_Sub2&amp;"_"&amp;$A640,'Investment Strategies'!$T:$AF,11,FALSE),
IF(Investment_Strategy="DIY",DIY_GteeChrge_SP,
"Error"))))))</f>
        <v>0</v>
      </c>
      <c r="N640" s="33">
        <f>IF($AV640=0,0,
IF(Investment_Strategy="DIS",VLOOKUP(Investment_Strategy&amp;"_"&amp;Investment_Strategy_Sub1&amp;"_"&amp;$A640,'Investment Strategies'!$AZ:$BP,17,FALSE),
IF(AND(Investment_Strategy="Lifecycle",Investment_Strategy_Sub1="Non-Standard"),VLOOKUP(Investment_Strategy&amp;"_"&amp;Investment_Strategy_Sub2&amp;"_"&amp;$A640,'Investment Strategies'!$C:$P,14,FALSE),
IF(AND(Investment_Strategy="Lifecycle",Investment_Strategy_Sub1="Standard"),VLOOKUP(Investment_Strategy&amp;"_"&amp;Investment_Strategy_Sub2&amp;"_"&amp;$A640,'Investment Strategies'!$AJ:$AV,13,FALSE),
IF(AND(Investment_Strategy="Autopilot",Investment_Strategy_Sub1="Non-Standard"),VLOOKUP(Investment_Strategy&amp;"_"&amp;Investment_Strategy_Sub2&amp;"_"&amp;$A640,'Investment Strategies'!$T:$AF,13,FALSE),
IF(Investment_Strategy="DIY",DIY_ExtManChrge_SP,
"Error"))))))</f>
        <v>0</v>
      </c>
      <c r="O640" s="16">
        <f t="shared" si="372"/>
        <v>0</v>
      </c>
      <c r="Q640" s="16">
        <f t="shared" si="349"/>
        <v>0</v>
      </c>
      <c r="R640" s="16">
        <f t="shared" si="345"/>
        <v>0</v>
      </c>
      <c r="S640" s="16">
        <f>(SRP_SP+SUM(S$91:S639))*L640*IF(D640=$A$91,SRP_finalmonthfactor,1)</f>
        <v>0</v>
      </c>
      <c r="T640" s="74">
        <f>MIN(IF($AV640=0,0,
IF(Investment_Strategy="DIS",VLOOKUP(Investment_Strategy&amp;"_"&amp;Investment_Strategy_Sub1&amp;"_"&amp;$A640,'Investment Strategies'!$AZ:$BP,12,FALSE),
IF(AND(Investment_Strategy="Lifecycle",Investment_Strategy_Sub1="Non-Standard"),VLOOKUP(Investment_Strategy&amp;"_"&amp;Investment_Strategy_Sub2&amp;"_"&amp;$A640,'Investment Strategies'!$C:$P,9,FALSE),
IF(AND(Investment_Strategy="Lifecycle",Investment_Strategy_Sub1="Standard"),VLOOKUP(Investment_Strategy&amp;"_"&amp;Investment_Strategy_Sub2&amp;"_"&amp;$A640,'Investment Strategies'!$AJ:$AV,8,FALSE),
IF(AND(Investment_Strategy="Autopilot",Investment_Strategy_Sub1="Non-Standard"),VLOOKUP(Investment_Strategy&amp;"_"&amp;Investment_Strategy_Sub2&amp;"_"&amp;$A640,'Investment Strategies'!$T:$AF,8,FALSE),
IF(Investment_Strategy ="DIY",DIY_RateOfReturn_FuturePremiums,
"Error")))))),Max_InvReturn)</f>
        <v>0</v>
      </c>
      <c r="U640" s="62">
        <f>IF($AV640=0,0,
IF(Investment_Strategy="DIS",VLOOKUP(Investment_Strategy&amp;"_"&amp;Investment_Strategy_Sub1&amp;"_"&amp;$A640,'Investment Strategies'!$AZ:$BP,15,FALSE),
IF(AND(Investment_Strategy="Lifecycle",Investment_Strategy_Sub1="Non-Standard"),VLOOKUP(Investment_Strategy&amp;"_"&amp;Investment_Strategy_Sub2&amp;"_"&amp;$A640,'Investment Strategies'!$C:$P,12,FALSE),
IF(AND(Investment_Strategy="Lifecycle",Investment_Strategy_Sub1="Standard"),VLOOKUP(Investment_Strategy&amp;"_"&amp;Investment_Strategy_Sub2&amp;"_"&amp;$A640,'Investment Strategies'!$AJ:$AV,11,FALSE),
IF(AND(Investment_Strategy="Autopilot",Investment_Strategy_Sub1="Non-Standard"),VLOOKUP(Investment_Strategy&amp;"_"&amp;Investment_Strategy_Sub2&amp;"_"&amp;$A640,'Investment Strategies'!$T:$AF,11,FALSE),
IF(Investment_Strategy="DIY",DIY_GteeChrge_FuturePremiums,
"Error"))))))</f>
        <v>0</v>
      </c>
      <c r="V640" s="33">
        <f>IF(AV640=0,0,
IF(Investment_Strategy="DIS",VLOOKUP(Investment_Strategy&amp;"_"&amp;Investment_Strategy_Sub1&amp;"_"&amp;$A640,'Investment Strategies'!$AZ:$BP,17,FALSE),
IF(AND(Investment_Strategy="Lifecycle",Investment_Strategy_Sub1="Non-Standard"),VLOOKUP(Investment_Strategy&amp;"_"&amp;Investment_Strategy_Sub2&amp;"_"&amp;$A640,'Investment Strategies'!$C:$P,14,FALSE),
IF(AND(Investment_Strategy="Lifecycle",Investment_Strategy_Sub1="Standard"),VLOOKUP(Investment_Strategy&amp;"_"&amp;Investment_Strategy_Sub2&amp;"_"&amp;$A640,'Investment Strategies'!$AJ:$AV,13,FALSE),
IF(AND(Investment_Strategy="Autopilot",Investment_Strategy_Sub1="Non-Standard"),VLOOKUP(Investment_Strategy&amp;"_"&amp;Investment_Strategy_Sub2&amp;"_"&amp;$A640,'Investment Strategies'!$T:$AF,13,FALSE),
IF(Investment_Strategy="DIY",DIY_ExtManChrge_FuturePremiums,
"Error"))))))</f>
        <v>0</v>
      </c>
      <c r="W640" s="16">
        <f t="shared" si="373"/>
        <v>0</v>
      </c>
      <c r="X640" s="16">
        <f t="shared" si="350"/>
        <v>0</v>
      </c>
      <c r="Y640" s="16">
        <f t="shared" si="351"/>
        <v>0</v>
      </c>
      <c r="Z640" s="31">
        <f t="shared" si="352"/>
        <v>0.02</v>
      </c>
      <c r="AA640" s="16">
        <f t="shared" si="353"/>
        <v>0</v>
      </c>
      <c r="AB640" s="28">
        <f t="shared" si="374"/>
        <v>0</v>
      </c>
      <c r="AC640" s="28">
        <f>(SUM($AC$91:AC639)+SUM($X$91:X639)+X640)*T640*IF(D640=$A$91,SRP_finalmonthfactor,1)</f>
        <v>0</v>
      </c>
      <c r="AD640" s="16">
        <f t="shared" si="354"/>
        <v>0</v>
      </c>
      <c r="AE640" s="106"/>
      <c r="AF640" s="16">
        <f t="shared" si="362"/>
        <v>0</v>
      </c>
      <c r="AG640" s="16">
        <f t="shared" si="363"/>
        <v>0</v>
      </c>
      <c r="AH640" s="16">
        <f t="shared" si="364"/>
        <v>0</v>
      </c>
      <c r="AJ640" s="13">
        <f t="shared" si="377"/>
        <v>0</v>
      </c>
      <c r="AK640" s="13">
        <f t="shared" si="377"/>
        <v>0</v>
      </c>
      <c r="AL640" s="13">
        <f t="shared" si="377"/>
        <v>0</v>
      </c>
      <c r="AM640" s="13">
        <f t="shared" si="377"/>
        <v>0</v>
      </c>
      <c r="AN640" s="13">
        <f t="shared" si="377"/>
        <v>0</v>
      </c>
      <c r="AO640" s="13">
        <f t="shared" si="377"/>
        <v>1</v>
      </c>
      <c r="AP640" s="13">
        <f t="shared" si="377"/>
        <v>1</v>
      </c>
      <c r="AQ640" s="13">
        <f t="shared" si="377"/>
        <v>1</v>
      </c>
      <c r="AR640" s="13">
        <f t="shared" si="377"/>
        <v>0</v>
      </c>
      <c r="AS640" s="13">
        <f t="shared" si="377"/>
        <v>0</v>
      </c>
      <c r="AT640" s="13">
        <f t="shared" si="377"/>
        <v>0</v>
      </c>
      <c r="AU640" s="13">
        <f t="shared" si="377"/>
        <v>0</v>
      </c>
      <c r="AV640" s="13">
        <f t="shared" si="355"/>
        <v>0</v>
      </c>
      <c r="AW640" s="13">
        <f t="shared" si="356"/>
        <v>1</v>
      </c>
      <c r="AY640" s="17">
        <f t="shared" si="357"/>
        <v>550</v>
      </c>
      <c r="AZ640" s="28">
        <f t="shared" si="365"/>
        <v>0</v>
      </c>
      <c r="BA640" s="13">
        <f t="shared" si="358"/>
        <v>0</v>
      </c>
      <c r="BB640" s="13">
        <f t="shared" si="359"/>
        <v>0</v>
      </c>
      <c r="BC640" s="28">
        <f t="shared" si="366"/>
        <v>0</v>
      </c>
      <c r="BD640" s="28">
        <f t="shared" si="367"/>
        <v>0</v>
      </c>
      <c r="BF640" s="248">
        <f t="shared" si="368"/>
        <v>993869.29442638322</v>
      </c>
    </row>
    <row r="641" spans="1:58">
      <c r="A641" s="32">
        <f t="shared" si="369"/>
        <v>-466</v>
      </c>
      <c r="B641" s="32">
        <f t="shared" si="360"/>
        <v>98</v>
      </c>
      <c r="C641" s="32">
        <f t="shared" si="370"/>
        <v>46</v>
      </c>
      <c r="D641" s="32">
        <f t="shared" si="371"/>
        <v>551</v>
      </c>
      <c r="E641" s="74">
        <f>MIN(IF(AV641=0,0,
IF(Investment_Strategy="DIS",VLOOKUP(Investment_Strategy&amp;"_"&amp;Investment_Strategy_Sub1&amp;"_"&amp;$A641,'Investment Strategies'!$AZ:$BP,12,FALSE),
IF(AND(Investment_Strategy="Lifecycle",Investment_Strategy_Sub1="Non-Standard"),VLOOKUP(Investment_Strategy&amp;"_"&amp;Investment_Strategy_Sub2&amp;"_"&amp;$A641,'Investment Strategies'!$C:$P,9,FALSE),
IF(AND(Investment_Strategy="Lifecycle",Investment_Strategy_Sub1="Standard"),VLOOKUP(Investment_Strategy&amp;"_"&amp;Investment_Strategy_Sub2&amp;"_"&amp;$A641,'Investment Strategies'!$AJ:$AV,8,FALSE),
IF(AND(Investment_Strategy="Autopilot",Investment_Strategy_Sub1="Non-Standard"),VLOOKUP(Investment_Strategy&amp;"_"&amp;Investment_Strategy_Sub2&amp;"_"&amp;$A641,'Investment Strategies'!$T:$AF,8,FALSE),
IF(Investment_Strategy ="DIY",DIY_RateOfReturn_CurrentFunds,
"Error")))))),Max_InvReturn)</f>
        <v>0</v>
      </c>
      <c r="F641" s="62">
        <f>IF(AV641=0,0,
IF(Investment_Strategy="DIS",VLOOKUP(Investment_Strategy&amp;"_"&amp;Investment_Strategy_Sub1&amp;"_"&amp;$A641,'Investment Strategies'!$AZ:$BP,15,FALSE),
IF(AND(Investment_Strategy="Lifecycle",Investment_Strategy_Sub1="Non-Standard"),VLOOKUP(Investment_Strategy&amp;"_"&amp;Investment_Strategy_Sub2&amp;"_"&amp;$A641,'Investment Strategies'!$C:$P,12,FALSE),
IF(AND(Investment_Strategy="Lifecycle",Investment_Strategy_Sub1="Standard"),VLOOKUP(Investment_Strategy&amp;"_"&amp;Investment_Strategy_Sub2&amp;"_"&amp;$A641,'Investment Strategies'!$AJ:$AV,11,FALSE),
IF(AND(Investment_Strategy="Autopilot",Investment_Strategy_Sub1="Non-Standard"),VLOOKUP(Investment_Strategy&amp;"_"&amp;Investment_Strategy_Sub2&amp;"_"&amp;$A641,'Investment Strategies'!$T:$AF,11,FALSE),
IF(Investment_Strategy="DIY",DIY_GteeChrge_CurrentFunds,
"Error"))))))</f>
        <v>0</v>
      </c>
      <c r="G641" s="33">
        <f>IF(AV641=0,0,
IF(Investment_Strategy="DIS",VLOOKUP(Investment_Strategy&amp;"_"&amp;Investment_Strategy_Sub1&amp;"_"&amp;$A641,'Investment Strategies'!$AZ:$BP,17,FALSE),
IF(AND(Investment_Strategy="Lifecycle",Investment_Strategy_Sub1="Non-Standard"),VLOOKUP(Investment_Strategy&amp;"_"&amp;Investment_Strategy_Sub2&amp;"_"&amp;$A641,'Investment Strategies'!$C:$P,14,FALSE),
IF(AND(Investment_Strategy="Lifecycle",Investment_Strategy_Sub1="Standard"),VLOOKUP(Investment_Strategy&amp;"_"&amp;Investment_Strategy_Sub2&amp;"_"&amp;$A641,'Investment Strategies'!$AJ:$AV,13,FALSE),
IF(AND(Investment_Strategy="Autopilot",Investment_Strategy_Sub1="Non-Standard"),VLOOKUP(Investment_Strategy&amp;"_"&amp;Investment_Strategy_Sub2&amp;"_"&amp;$A641,'Investment Strategies'!$T:$AF,13,FALSE),
IF(Investment_Strategy="DIY",DIY_ExtManChrge_CurrentFunds,
"Error"))))))</f>
        <v>0</v>
      </c>
      <c r="H641" s="16">
        <f t="shared" si="361"/>
        <v>0</v>
      </c>
      <c r="I641" s="16">
        <f t="shared" si="347"/>
        <v>0</v>
      </c>
      <c r="J641" s="16">
        <f t="shared" si="348"/>
        <v>0</v>
      </c>
      <c r="K641" s="16">
        <f>(Opening_Fund_Value+SUM(K$91:K640))*E641*IF(D641=$A$91,SRP_finalmonthfactor,1)</f>
        <v>0</v>
      </c>
      <c r="L641" s="74">
        <f>MIN(IF($AV641=0,0,
IF(Investment_Strategy="DIS",VLOOKUP(Investment_Strategy&amp;"_"&amp;Investment_Strategy_Sub1&amp;"_"&amp;$A641,'Investment Strategies'!$AZ:$BP,12,FALSE),
IF(AND(Investment_Strategy="Lifecycle",Investment_Strategy_Sub1="Non-Standard"),VLOOKUP(Investment_Strategy&amp;"_"&amp;Investment_Strategy_Sub2&amp;"_"&amp;$A641,'Investment Strategies'!$C:$P,9,FALSE),
IF(AND(Investment_Strategy="Lifecycle",Investment_Strategy_Sub1="Standard"),VLOOKUP(Investment_Strategy&amp;"_"&amp;Investment_Strategy_Sub2&amp;"_"&amp;$A641,'Investment Strategies'!$AJ:$AV,8,FALSE),
IF(AND(Investment_Strategy="Autopilot",Investment_Strategy_Sub1="Non-Standard"),VLOOKUP(Investment_Strategy&amp;"_"&amp;Investment_Strategy_Sub2&amp;"_"&amp;$A641,'Investment Strategies'!$T:$AF,8,FALSE),
IF(Investment_Strategy ="DIY",DIY_RateofReturn_SP,
"Error")))))),Max_InvReturn)</f>
        <v>0</v>
      </c>
      <c r="M641" s="62">
        <f>IF($AV641=0,0,
IF(Investment_Strategy="DIS",VLOOKUP(Investment_Strategy&amp;"_"&amp;Investment_Strategy_Sub1&amp;"_"&amp;$A641,'Investment Strategies'!$AZ:$BP,15,FALSE),
IF(AND(Investment_Strategy="Lifecycle",Investment_Strategy_Sub1="Non-Standard"),VLOOKUP(Investment_Strategy&amp;"_"&amp;Investment_Strategy_Sub2&amp;"_"&amp;$A641,'Investment Strategies'!$C:$P,12,FALSE),
IF(AND(Investment_Strategy="Lifecycle",Investment_Strategy_Sub1="Standard"),VLOOKUP(Investment_Strategy&amp;"_"&amp;Investment_Strategy_Sub2&amp;"_"&amp;$A641,'Investment Strategies'!$AJ:$AV,11,FALSE),
IF(AND(Investment_Strategy="Autopilot",Investment_Strategy_Sub1="Non-Standard"),VLOOKUP(Investment_Strategy&amp;"_"&amp;Investment_Strategy_Sub2&amp;"_"&amp;$A641,'Investment Strategies'!$T:$AF,11,FALSE),
IF(Investment_Strategy="DIY",DIY_GteeChrge_SP,
"Error"))))))</f>
        <v>0</v>
      </c>
      <c r="N641" s="33">
        <f>IF($AV641=0,0,
IF(Investment_Strategy="DIS",VLOOKUP(Investment_Strategy&amp;"_"&amp;Investment_Strategy_Sub1&amp;"_"&amp;$A641,'Investment Strategies'!$AZ:$BP,17,FALSE),
IF(AND(Investment_Strategy="Lifecycle",Investment_Strategy_Sub1="Non-Standard"),VLOOKUP(Investment_Strategy&amp;"_"&amp;Investment_Strategy_Sub2&amp;"_"&amp;$A641,'Investment Strategies'!$C:$P,14,FALSE),
IF(AND(Investment_Strategy="Lifecycle",Investment_Strategy_Sub1="Standard"),VLOOKUP(Investment_Strategy&amp;"_"&amp;Investment_Strategy_Sub2&amp;"_"&amp;$A641,'Investment Strategies'!$AJ:$AV,13,FALSE),
IF(AND(Investment_Strategy="Autopilot",Investment_Strategy_Sub1="Non-Standard"),VLOOKUP(Investment_Strategy&amp;"_"&amp;Investment_Strategy_Sub2&amp;"_"&amp;$A641,'Investment Strategies'!$T:$AF,13,FALSE),
IF(Investment_Strategy="DIY",DIY_ExtManChrge_SP,
"Error"))))))</f>
        <v>0</v>
      </c>
      <c r="O641" s="16">
        <f t="shared" si="372"/>
        <v>0</v>
      </c>
      <c r="Q641" s="16">
        <f t="shared" si="349"/>
        <v>0</v>
      </c>
      <c r="R641" s="16">
        <f t="shared" si="345"/>
        <v>0</v>
      </c>
      <c r="S641" s="16">
        <f>(SRP_SP+SUM(S$91:S640))*L641*IF(D641=$A$91,SRP_finalmonthfactor,1)</f>
        <v>0</v>
      </c>
      <c r="T641" s="74">
        <f>MIN(IF($AV641=0,0,
IF(Investment_Strategy="DIS",VLOOKUP(Investment_Strategy&amp;"_"&amp;Investment_Strategy_Sub1&amp;"_"&amp;$A641,'Investment Strategies'!$AZ:$BP,12,FALSE),
IF(AND(Investment_Strategy="Lifecycle",Investment_Strategy_Sub1="Non-Standard"),VLOOKUP(Investment_Strategy&amp;"_"&amp;Investment_Strategy_Sub2&amp;"_"&amp;$A641,'Investment Strategies'!$C:$P,9,FALSE),
IF(AND(Investment_Strategy="Lifecycle",Investment_Strategy_Sub1="Standard"),VLOOKUP(Investment_Strategy&amp;"_"&amp;Investment_Strategy_Sub2&amp;"_"&amp;$A641,'Investment Strategies'!$AJ:$AV,8,FALSE),
IF(AND(Investment_Strategy="Autopilot",Investment_Strategy_Sub1="Non-Standard"),VLOOKUP(Investment_Strategy&amp;"_"&amp;Investment_Strategy_Sub2&amp;"_"&amp;$A641,'Investment Strategies'!$T:$AF,8,FALSE),
IF(Investment_Strategy ="DIY",DIY_RateOfReturn_FuturePremiums,
"Error")))))),Max_InvReturn)</f>
        <v>0</v>
      </c>
      <c r="U641" s="62">
        <f>IF($AV641=0,0,
IF(Investment_Strategy="DIS",VLOOKUP(Investment_Strategy&amp;"_"&amp;Investment_Strategy_Sub1&amp;"_"&amp;$A641,'Investment Strategies'!$AZ:$BP,15,FALSE),
IF(AND(Investment_Strategy="Lifecycle",Investment_Strategy_Sub1="Non-Standard"),VLOOKUP(Investment_Strategy&amp;"_"&amp;Investment_Strategy_Sub2&amp;"_"&amp;$A641,'Investment Strategies'!$C:$P,12,FALSE),
IF(AND(Investment_Strategy="Lifecycle",Investment_Strategy_Sub1="Standard"),VLOOKUP(Investment_Strategy&amp;"_"&amp;Investment_Strategy_Sub2&amp;"_"&amp;$A641,'Investment Strategies'!$AJ:$AV,11,FALSE),
IF(AND(Investment_Strategy="Autopilot",Investment_Strategy_Sub1="Non-Standard"),VLOOKUP(Investment_Strategy&amp;"_"&amp;Investment_Strategy_Sub2&amp;"_"&amp;$A641,'Investment Strategies'!$T:$AF,11,FALSE),
IF(Investment_Strategy="DIY",DIY_GteeChrge_FuturePremiums,
"Error"))))))</f>
        <v>0</v>
      </c>
      <c r="V641" s="33">
        <f>IF(AV641=0,0,
IF(Investment_Strategy="DIS",VLOOKUP(Investment_Strategy&amp;"_"&amp;Investment_Strategy_Sub1&amp;"_"&amp;$A641,'Investment Strategies'!$AZ:$BP,17,FALSE),
IF(AND(Investment_Strategy="Lifecycle",Investment_Strategy_Sub1="Non-Standard"),VLOOKUP(Investment_Strategy&amp;"_"&amp;Investment_Strategy_Sub2&amp;"_"&amp;$A641,'Investment Strategies'!$C:$P,14,FALSE),
IF(AND(Investment_Strategy="Lifecycle",Investment_Strategy_Sub1="Standard"),VLOOKUP(Investment_Strategy&amp;"_"&amp;Investment_Strategy_Sub2&amp;"_"&amp;$A641,'Investment Strategies'!$AJ:$AV,13,FALSE),
IF(AND(Investment_Strategy="Autopilot",Investment_Strategy_Sub1="Non-Standard"),VLOOKUP(Investment_Strategy&amp;"_"&amp;Investment_Strategy_Sub2&amp;"_"&amp;$A641,'Investment Strategies'!$T:$AF,13,FALSE),
IF(Investment_Strategy="DIY",DIY_ExtManChrge_FuturePremiums,
"Error"))))))</f>
        <v>0</v>
      </c>
      <c r="W641" s="16">
        <f t="shared" si="373"/>
        <v>0</v>
      </c>
      <c r="X641" s="16">
        <f t="shared" si="350"/>
        <v>0</v>
      </c>
      <c r="Y641" s="16">
        <f t="shared" si="351"/>
        <v>0</v>
      </c>
      <c r="Z641" s="31">
        <f t="shared" si="352"/>
        <v>0.02</v>
      </c>
      <c r="AA641" s="16">
        <f t="shared" si="353"/>
        <v>0</v>
      </c>
      <c r="AB641" s="28">
        <f t="shared" si="374"/>
        <v>0</v>
      </c>
      <c r="AC641" s="28">
        <f>(SUM($AC$91:AC640)+SUM($X$91:X640)+X641)*T641*IF(D641=$A$91,SRP_finalmonthfactor,1)</f>
        <v>0</v>
      </c>
      <c r="AD641" s="16">
        <f t="shared" si="354"/>
        <v>0</v>
      </c>
      <c r="AE641" s="106"/>
      <c r="AF641" s="16">
        <f t="shared" si="362"/>
        <v>0</v>
      </c>
      <c r="AG641" s="16">
        <f t="shared" si="363"/>
        <v>0</v>
      </c>
      <c r="AH641" s="16">
        <f t="shared" si="364"/>
        <v>0</v>
      </c>
      <c r="AJ641" s="13">
        <f t="shared" ref="AJ641:AU650" si="378">IF($C641&lt;=AJ$90,1,0)</f>
        <v>0</v>
      </c>
      <c r="AK641" s="13">
        <f t="shared" si="378"/>
        <v>0</v>
      </c>
      <c r="AL641" s="13">
        <f t="shared" si="378"/>
        <v>0</v>
      </c>
      <c r="AM641" s="13">
        <f t="shared" si="378"/>
        <v>0</v>
      </c>
      <c r="AN641" s="13">
        <f t="shared" si="378"/>
        <v>0</v>
      </c>
      <c r="AO641" s="13">
        <f t="shared" si="378"/>
        <v>1</v>
      </c>
      <c r="AP641" s="13">
        <f t="shared" si="378"/>
        <v>1</v>
      </c>
      <c r="AQ641" s="13">
        <f t="shared" si="378"/>
        <v>1</v>
      </c>
      <c r="AR641" s="13">
        <f t="shared" si="378"/>
        <v>0</v>
      </c>
      <c r="AS641" s="13">
        <f t="shared" si="378"/>
        <v>0</v>
      </c>
      <c r="AT641" s="13">
        <f t="shared" si="378"/>
        <v>0</v>
      </c>
      <c r="AU641" s="13">
        <f t="shared" si="378"/>
        <v>0</v>
      </c>
      <c r="AV641" s="13">
        <f t="shared" si="355"/>
        <v>0</v>
      </c>
      <c r="AW641" s="13">
        <f t="shared" si="356"/>
        <v>1</v>
      </c>
      <c r="AY641" s="17">
        <f t="shared" si="357"/>
        <v>551</v>
      </c>
      <c r="AZ641" s="28">
        <f t="shared" si="365"/>
        <v>0</v>
      </c>
      <c r="BA641" s="13">
        <f t="shared" si="358"/>
        <v>0</v>
      </c>
      <c r="BB641" s="13">
        <f t="shared" si="359"/>
        <v>0</v>
      </c>
      <c r="BC641" s="28">
        <f t="shared" si="366"/>
        <v>0</v>
      </c>
      <c r="BD641" s="28">
        <f t="shared" si="367"/>
        <v>0</v>
      </c>
      <c r="BF641" s="248">
        <f t="shared" si="368"/>
        <v>993869.29442638322</v>
      </c>
    </row>
    <row r="642" spans="1:58">
      <c r="A642" s="32">
        <f t="shared" si="369"/>
        <v>-467</v>
      </c>
      <c r="B642" s="32">
        <f t="shared" si="360"/>
        <v>98</v>
      </c>
      <c r="C642" s="32">
        <f t="shared" si="370"/>
        <v>46</v>
      </c>
      <c r="D642" s="32">
        <f t="shared" si="371"/>
        <v>552</v>
      </c>
      <c r="E642" s="74">
        <f>MIN(IF(AV642=0,0,
IF(Investment_Strategy="DIS",VLOOKUP(Investment_Strategy&amp;"_"&amp;Investment_Strategy_Sub1&amp;"_"&amp;$A642,'Investment Strategies'!$AZ:$BP,12,FALSE),
IF(AND(Investment_Strategy="Lifecycle",Investment_Strategy_Sub1="Non-Standard"),VLOOKUP(Investment_Strategy&amp;"_"&amp;Investment_Strategy_Sub2&amp;"_"&amp;$A642,'Investment Strategies'!$C:$P,9,FALSE),
IF(AND(Investment_Strategy="Lifecycle",Investment_Strategy_Sub1="Standard"),VLOOKUP(Investment_Strategy&amp;"_"&amp;Investment_Strategy_Sub2&amp;"_"&amp;$A642,'Investment Strategies'!$AJ:$AV,8,FALSE),
IF(AND(Investment_Strategy="Autopilot",Investment_Strategy_Sub1="Non-Standard"),VLOOKUP(Investment_Strategy&amp;"_"&amp;Investment_Strategy_Sub2&amp;"_"&amp;$A642,'Investment Strategies'!$T:$AF,8,FALSE),
IF(Investment_Strategy ="DIY",DIY_RateOfReturn_CurrentFunds,
"Error")))))),Max_InvReturn)</f>
        <v>0</v>
      </c>
      <c r="F642" s="62">
        <f>IF(AV642=0,0,
IF(Investment_Strategy="DIS",VLOOKUP(Investment_Strategy&amp;"_"&amp;Investment_Strategy_Sub1&amp;"_"&amp;$A642,'Investment Strategies'!$AZ:$BP,15,FALSE),
IF(AND(Investment_Strategy="Lifecycle",Investment_Strategy_Sub1="Non-Standard"),VLOOKUP(Investment_Strategy&amp;"_"&amp;Investment_Strategy_Sub2&amp;"_"&amp;$A642,'Investment Strategies'!$C:$P,12,FALSE),
IF(AND(Investment_Strategy="Lifecycle",Investment_Strategy_Sub1="Standard"),VLOOKUP(Investment_Strategy&amp;"_"&amp;Investment_Strategy_Sub2&amp;"_"&amp;$A642,'Investment Strategies'!$AJ:$AV,11,FALSE),
IF(AND(Investment_Strategy="Autopilot",Investment_Strategy_Sub1="Non-Standard"),VLOOKUP(Investment_Strategy&amp;"_"&amp;Investment_Strategy_Sub2&amp;"_"&amp;$A642,'Investment Strategies'!$T:$AF,11,FALSE),
IF(Investment_Strategy="DIY",DIY_GteeChrge_CurrentFunds,
"Error"))))))</f>
        <v>0</v>
      </c>
      <c r="G642" s="33">
        <f>IF(AV642=0,0,
IF(Investment_Strategy="DIS",VLOOKUP(Investment_Strategy&amp;"_"&amp;Investment_Strategy_Sub1&amp;"_"&amp;$A642,'Investment Strategies'!$AZ:$BP,17,FALSE),
IF(AND(Investment_Strategy="Lifecycle",Investment_Strategy_Sub1="Non-Standard"),VLOOKUP(Investment_Strategy&amp;"_"&amp;Investment_Strategy_Sub2&amp;"_"&amp;$A642,'Investment Strategies'!$C:$P,14,FALSE),
IF(AND(Investment_Strategy="Lifecycle",Investment_Strategy_Sub1="Standard"),VLOOKUP(Investment_Strategy&amp;"_"&amp;Investment_Strategy_Sub2&amp;"_"&amp;$A642,'Investment Strategies'!$AJ:$AV,13,FALSE),
IF(AND(Investment_Strategy="Autopilot",Investment_Strategy_Sub1="Non-Standard"),VLOOKUP(Investment_Strategy&amp;"_"&amp;Investment_Strategy_Sub2&amp;"_"&amp;$A642,'Investment Strategies'!$T:$AF,13,FALSE),
IF(Investment_Strategy="DIY",DIY_ExtManChrge_CurrentFunds,
"Error"))))))</f>
        <v>0</v>
      </c>
      <c r="H642" s="16">
        <f t="shared" si="361"/>
        <v>0</v>
      </c>
      <c r="I642" s="16">
        <f t="shared" si="347"/>
        <v>0</v>
      </c>
      <c r="J642" s="16">
        <f t="shared" si="348"/>
        <v>0</v>
      </c>
      <c r="K642" s="16">
        <f>(Opening_Fund_Value+SUM(K$91:K641))*E642*IF(D642=$A$91,SRP_finalmonthfactor,1)</f>
        <v>0</v>
      </c>
      <c r="L642" s="74">
        <f>MIN(IF($AV642=0,0,
IF(Investment_Strategy="DIS",VLOOKUP(Investment_Strategy&amp;"_"&amp;Investment_Strategy_Sub1&amp;"_"&amp;$A642,'Investment Strategies'!$AZ:$BP,12,FALSE),
IF(AND(Investment_Strategy="Lifecycle",Investment_Strategy_Sub1="Non-Standard"),VLOOKUP(Investment_Strategy&amp;"_"&amp;Investment_Strategy_Sub2&amp;"_"&amp;$A642,'Investment Strategies'!$C:$P,9,FALSE),
IF(AND(Investment_Strategy="Lifecycle",Investment_Strategy_Sub1="Standard"),VLOOKUP(Investment_Strategy&amp;"_"&amp;Investment_Strategy_Sub2&amp;"_"&amp;$A642,'Investment Strategies'!$AJ:$AV,8,FALSE),
IF(AND(Investment_Strategy="Autopilot",Investment_Strategy_Sub1="Non-Standard"),VLOOKUP(Investment_Strategy&amp;"_"&amp;Investment_Strategy_Sub2&amp;"_"&amp;$A642,'Investment Strategies'!$T:$AF,8,FALSE),
IF(Investment_Strategy ="DIY",DIY_RateofReturn_SP,
"Error")))))),Max_InvReturn)</f>
        <v>0</v>
      </c>
      <c r="M642" s="62">
        <f>IF($AV642=0,0,
IF(Investment_Strategy="DIS",VLOOKUP(Investment_Strategy&amp;"_"&amp;Investment_Strategy_Sub1&amp;"_"&amp;$A642,'Investment Strategies'!$AZ:$BP,15,FALSE),
IF(AND(Investment_Strategy="Lifecycle",Investment_Strategy_Sub1="Non-Standard"),VLOOKUP(Investment_Strategy&amp;"_"&amp;Investment_Strategy_Sub2&amp;"_"&amp;$A642,'Investment Strategies'!$C:$P,12,FALSE),
IF(AND(Investment_Strategy="Lifecycle",Investment_Strategy_Sub1="Standard"),VLOOKUP(Investment_Strategy&amp;"_"&amp;Investment_Strategy_Sub2&amp;"_"&amp;$A642,'Investment Strategies'!$AJ:$AV,11,FALSE),
IF(AND(Investment_Strategy="Autopilot",Investment_Strategy_Sub1="Non-Standard"),VLOOKUP(Investment_Strategy&amp;"_"&amp;Investment_Strategy_Sub2&amp;"_"&amp;$A642,'Investment Strategies'!$T:$AF,11,FALSE),
IF(Investment_Strategy="DIY",DIY_GteeChrge_SP,
"Error"))))))</f>
        <v>0</v>
      </c>
      <c r="N642" s="33">
        <f>IF($AV642=0,0,
IF(Investment_Strategy="DIS",VLOOKUP(Investment_Strategy&amp;"_"&amp;Investment_Strategy_Sub1&amp;"_"&amp;$A642,'Investment Strategies'!$AZ:$BP,17,FALSE),
IF(AND(Investment_Strategy="Lifecycle",Investment_Strategy_Sub1="Non-Standard"),VLOOKUP(Investment_Strategy&amp;"_"&amp;Investment_Strategy_Sub2&amp;"_"&amp;$A642,'Investment Strategies'!$C:$P,14,FALSE),
IF(AND(Investment_Strategy="Lifecycle",Investment_Strategy_Sub1="Standard"),VLOOKUP(Investment_Strategy&amp;"_"&amp;Investment_Strategy_Sub2&amp;"_"&amp;$A642,'Investment Strategies'!$AJ:$AV,13,FALSE),
IF(AND(Investment_Strategy="Autopilot",Investment_Strategy_Sub1="Non-Standard"),VLOOKUP(Investment_Strategy&amp;"_"&amp;Investment_Strategy_Sub2&amp;"_"&amp;$A642,'Investment Strategies'!$T:$AF,13,FALSE),
IF(Investment_Strategy="DIY",DIY_ExtManChrge_SP,
"Error"))))))</f>
        <v>0</v>
      </c>
      <c r="O642" s="16">
        <f t="shared" si="372"/>
        <v>0</v>
      </c>
      <c r="Q642" s="16">
        <f t="shared" si="349"/>
        <v>0</v>
      </c>
      <c r="R642" s="16">
        <f t="shared" si="345"/>
        <v>0</v>
      </c>
      <c r="S642" s="16">
        <f>(SRP_SP+SUM(S$91:S641))*L642*IF(D642=$A$91,SRP_finalmonthfactor,1)</f>
        <v>0</v>
      </c>
      <c r="T642" s="74">
        <f>MIN(IF($AV642=0,0,
IF(Investment_Strategy="DIS",VLOOKUP(Investment_Strategy&amp;"_"&amp;Investment_Strategy_Sub1&amp;"_"&amp;$A642,'Investment Strategies'!$AZ:$BP,12,FALSE),
IF(AND(Investment_Strategy="Lifecycle",Investment_Strategy_Sub1="Non-Standard"),VLOOKUP(Investment_Strategy&amp;"_"&amp;Investment_Strategy_Sub2&amp;"_"&amp;$A642,'Investment Strategies'!$C:$P,9,FALSE),
IF(AND(Investment_Strategy="Lifecycle",Investment_Strategy_Sub1="Standard"),VLOOKUP(Investment_Strategy&amp;"_"&amp;Investment_Strategy_Sub2&amp;"_"&amp;$A642,'Investment Strategies'!$AJ:$AV,8,FALSE),
IF(AND(Investment_Strategy="Autopilot",Investment_Strategy_Sub1="Non-Standard"),VLOOKUP(Investment_Strategy&amp;"_"&amp;Investment_Strategy_Sub2&amp;"_"&amp;$A642,'Investment Strategies'!$T:$AF,8,FALSE),
IF(Investment_Strategy ="DIY",DIY_RateOfReturn_FuturePremiums,
"Error")))))),Max_InvReturn)</f>
        <v>0</v>
      </c>
      <c r="U642" s="62">
        <f>IF($AV642=0,0,
IF(Investment_Strategy="DIS",VLOOKUP(Investment_Strategy&amp;"_"&amp;Investment_Strategy_Sub1&amp;"_"&amp;$A642,'Investment Strategies'!$AZ:$BP,15,FALSE),
IF(AND(Investment_Strategy="Lifecycle",Investment_Strategy_Sub1="Non-Standard"),VLOOKUP(Investment_Strategy&amp;"_"&amp;Investment_Strategy_Sub2&amp;"_"&amp;$A642,'Investment Strategies'!$C:$P,12,FALSE),
IF(AND(Investment_Strategy="Lifecycle",Investment_Strategy_Sub1="Standard"),VLOOKUP(Investment_Strategy&amp;"_"&amp;Investment_Strategy_Sub2&amp;"_"&amp;$A642,'Investment Strategies'!$AJ:$AV,11,FALSE),
IF(AND(Investment_Strategy="Autopilot",Investment_Strategy_Sub1="Non-Standard"),VLOOKUP(Investment_Strategy&amp;"_"&amp;Investment_Strategy_Sub2&amp;"_"&amp;$A642,'Investment Strategies'!$T:$AF,11,FALSE),
IF(Investment_Strategy="DIY",DIY_GteeChrge_FuturePremiums,
"Error"))))))</f>
        <v>0</v>
      </c>
      <c r="V642" s="33">
        <f>IF(AV642=0,0,
IF(Investment_Strategy="DIS",VLOOKUP(Investment_Strategy&amp;"_"&amp;Investment_Strategy_Sub1&amp;"_"&amp;$A642,'Investment Strategies'!$AZ:$BP,17,FALSE),
IF(AND(Investment_Strategy="Lifecycle",Investment_Strategy_Sub1="Non-Standard"),VLOOKUP(Investment_Strategy&amp;"_"&amp;Investment_Strategy_Sub2&amp;"_"&amp;$A642,'Investment Strategies'!$C:$P,14,FALSE),
IF(AND(Investment_Strategy="Lifecycle",Investment_Strategy_Sub1="Standard"),VLOOKUP(Investment_Strategy&amp;"_"&amp;Investment_Strategy_Sub2&amp;"_"&amp;$A642,'Investment Strategies'!$AJ:$AV,13,FALSE),
IF(AND(Investment_Strategy="Autopilot",Investment_Strategy_Sub1="Non-Standard"),VLOOKUP(Investment_Strategy&amp;"_"&amp;Investment_Strategy_Sub2&amp;"_"&amp;$A642,'Investment Strategies'!$T:$AF,13,FALSE),
IF(Investment_Strategy="DIY",DIY_ExtManChrge_FuturePremiums,
"Error"))))))</f>
        <v>0</v>
      </c>
      <c r="W642" s="16">
        <f t="shared" si="373"/>
        <v>0</v>
      </c>
      <c r="X642" s="16">
        <f t="shared" si="350"/>
        <v>0</v>
      </c>
      <c r="Y642" s="16">
        <f t="shared" si="351"/>
        <v>0</v>
      </c>
      <c r="Z642" s="31">
        <f t="shared" si="352"/>
        <v>0.02</v>
      </c>
      <c r="AA642" s="16">
        <f t="shared" si="353"/>
        <v>0</v>
      </c>
      <c r="AB642" s="28">
        <f t="shared" si="374"/>
        <v>0</v>
      </c>
      <c r="AC642" s="28">
        <f>(SUM($AC$91:AC641)+SUM($X$91:X641)+X642)*T642*IF(D642=$A$91,SRP_finalmonthfactor,1)</f>
        <v>0</v>
      </c>
      <c r="AD642" s="16">
        <f t="shared" si="354"/>
        <v>0</v>
      </c>
      <c r="AE642" s="106"/>
      <c r="AF642" s="16">
        <f t="shared" si="362"/>
        <v>0</v>
      </c>
      <c r="AG642" s="16">
        <f t="shared" si="363"/>
        <v>0</v>
      </c>
      <c r="AH642" s="16">
        <f t="shared" si="364"/>
        <v>0</v>
      </c>
      <c r="AJ642" s="13">
        <f t="shared" si="378"/>
        <v>0</v>
      </c>
      <c r="AK642" s="13">
        <f t="shared" si="378"/>
        <v>0</v>
      </c>
      <c r="AL642" s="13">
        <f t="shared" si="378"/>
        <v>0</v>
      </c>
      <c r="AM642" s="13">
        <f t="shared" si="378"/>
        <v>0</v>
      </c>
      <c r="AN642" s="13">
        <f t="shared" si="378"/>
        <v>0</v>
      </c>
      <c r="AO642" s="13">
        <f t="shared" si="378"/>
        <v>1</v>
      </c>
      <c r="AP642" s="13">
        <f t="shared" si="378"/>
        <v>1</v>
      </c>
      <c r="AQ642" s="13">
        <f t="shared" si="378"/>
        <v>1</v>
      </c>
      <c r="AR642" s="13">
        <f t="shared" si="378"/>
        <v>0</v>
      </c>
      <c r="AS642" s="13">
        <f t="shared" si="378"/>
        <v>0</v>
      </c>
      <c r="AT642" s="13">
        <f t="shared" si="378"/>
        <v>0</v>
      </c>
      <c r="AU642" s="13">
        <f t="shared" si="378"/>
        <v>0</v>
      </c>
      <c r="AV642" s="13">
        <f t="shared" si="355"/>
        <v>0</v>
      </c>
      <c r="AW642" s="13">
        <f t="shared" si="356"/>
        <v>1</v>
      </c>
      <c r="AY642" s="17">
        <f t="shared" si="357"/>
        <v>552</v>
      </c>
      <c r="AZ642" s="28">
        <f t="shared" si="365"/>
        <v>0</v>
      </c>
      <c r="BA642" s="13">
        <f t="shared" si="358"/>
        <v>0</v>
      </c>
      <c r="BB642" s="13">
        <f t="shared" si="359"/>
        <v>0</v>
      </c>
      <c r="BC642" s="28">
        <f t="shared" si="366"/>
        <v>0</v>
      </c>
      <c r="BD642" s="28">
        <f t="shared" si="367"/>
        <v>0</v>
      </c>
      <c r="BF642" s="248">
        <f t="shared" si="368"/>
        <v>993869.29442638322</v>
      </c>
    </row>
    <row r="643" spans="1:58">
      <c r="A643" s="32">
        <f t="shared" si="369"/>
        <v>-468</v>
      </c>
      <c r="B643" s="32">
        <f t="shared" si="360"/>
        <v>99</v>
      </c>
      <c r="C643" s="32">
        <f t="shared" si="370"/>
        <v>47</v>
      </c>
      <c r="D643" s="32">
        <f t="shared" si="371"/>
        <v>553</v>
      </c>
      <c r="E643" s="74">
        <f>MIN(IF(AV643=0,0,
IF(Investment_Strategy="DIS",VLOOKUP(Investment_Strategy&amp;"_"&amp;Investment_Strategy_Sub1&amp;"_"&amp;$A643,'Investment Strategies'!$AZ:$BP,12,FALSE),
IF(AND(Investment_Strategy="Lifecycle",Investment_Strategy_Sub1="Non-Standard"),VLOOKUP(Investment_Strategy&amp;"_"&amp;Investment_Strategy_Sub2&amp;"_"&amp;$A643,'Investment Strategies'!$C:$P,9,FALSE),
IF(AND(Investment_Strategy="Lifecycle",Investment_Strategy_Sub1="Standard"),VLOOKUP(Investment_Strategy&amp;"_"&amp;Investment_Strategy_Sub2&amp;"_"&amp;$A643,'Investment Strategies'!$AJ:$AV,8,FALSE),
IF(AND(Investment_Strategy="Autopilot",Investment_Strategy_Sub1="Non-Standard"),VLOOKUP(Investment_Strategy&amp;"_"&amp;Investment_Strategy_Sub2&amp;"_"&amp;$A643,'Investment Strategies'!$T:$AF,8,FALSE),
IF(Investment_Strategy ="DIY",DIY_RateOfReturn_CurrentFunds,
"Error")))))),Max_InvReturn)</f>
        <v>0</v>
      </c>
      <c r="F643" s="62">
        <f>IF(AV643=0,0,
IF(Investment_Strategy="DIS",VLOOKUP(Investment_Strategy&amp;"_"&amp;Investment_Strategy_Sub1&amp;"_"&amp;$A643,'Investment Strategies'!$AZ:$BP,15,FALSE),
IF(AND(Investment_Strategy="Lifecycle",Investment_Strategy_Sub1="Non-Standard"),VLOOKUP(Investment_Strategy&amp;"_"&amp;Investment_Strategy_Sub2&amp;"_"&amp;$A643,'Investment Strategies'!$C:$P,12,FALSE),
IF(AND(Investment_Strategy="Lifecycle",Investment_Strategy_Sub1="Standard"),VLOOKUP(Investment_Strategy&amp;"_"&amp;Investment_Strategy_Sub2&amp;"_"&amp;$A643,'Investment Strategies'!$AJ:$AV,11,FALSE),
IF(AND(Investment_Strategy="Autopilot",Investment_Strategy_Sub1="Non-Standard"),VLOOKUP(Investment_Strategy&amp;"_"&amp;Investment_Strategy_Sub2&amp;"_"&amp;$A643,'Investment Strategies'!$T:$AF,11,FALSE),
IF(Investment_Strategy="DIY",DIY_GteeChrge_CurrentFunds,
"Error"))))))</f>
        <v>0</v>
      </c>
      <c r="G643" s="33">
        <f>IF(AV643=0,0,
IF(Investment_Strategy="DIS",VLOOKUP(Investment_Strategy&amp;"_"&amp;Investment_Strategy_Sub1&amp;"_"&amp;$A643,'Investment Strategies'!$AZ:$BP,17,FALSE),
IF(AND(Investment_Strategy="Lifecycle",Investment_Strategy_Sub1="Non-Standard"),VLOOKUP(Investment_Strategy&amp;"_"&amp;Investment_Strategy_Sub2&amp;"_"&amp;$A643,'Investment Strategies'!$C:$P,14,FALSE),
IF(AND(Investment_Strategy="Lifecycle",Investment_Strategy_Sub1="Standard"),VLOOKUP(Investment_Strategy&amp;"_"&amp;Investment_Strategy_Sub2&amp;"_"&amp;$A643,'Investment Strategies'!$AJ:$AV,13,FALSE),
IF(AND(Investment_Strategy="Autopilot",Investment_Strategy_Sub1="Non-Standard"),VLOOKUP(Investment_Strategy&amp;"_"&amp;Investment_Strategy_Sub2&amp;"_"&amp;$A643,'Investment Strategies'!$T:$AF,13,FALSE),
IF(Investment_Strategy="DIY",DIY_ExtManChrge_CurrentFunds,
"Error"))))))</f>
        <v>0</v>
      </c>
      <c r="H643" s="16">
        <f t="shared" si="361"/>
        <v>0</v>
      </c>
      <c r="I643" s="16">
        <f t="shared" si="347"/>
        <v>0</v>
      </c>
      <c r="J643" s="16">
        <f t="shared" si="348"/>
        <v>0</v>
      </c>
      <c r="K643" s="16">
        <f>(Opening_Fund_Value+SUM(K$91:K642))*E643*IF(D643=$A$91,SRP_finalmonthfactor,1)</f>
        <v>0</v>
      </c>
      <c r="L643" s="74">
        <f>MIN(IF($AV643=0,0,
IF(Investment_Strategy="DIS",VLOOKUP(Investment_Strategy&amp;"_"&amp;Investment_Strategy_Sub1&amp;"_"&amp;$A643,'Investment Strategies'!$AZ:$BP,12,FALSE),
IF(AND(Investment_Strategy="Lifecycle",Investment_Strategy_Sub1="Non-Standard"),VLOOKUP(Investment_Strategy&amp;"_"&amp;Investment_Strategy_Sub2&amp;"_"&amp;$A643,'Investment Strategies'!$C:$P,9,FALSE),
IF(AND(Investment_Strategy="Lifecycle",Investment_Strategy_Sub1="Standard"),VLOOKUP(Investment_Strategy&amp;"_"&amp;Investment_Strategy_Sub2&amp;"_"&amp;$A643,'Investment Strategies'!$AJ:$AV,8,FALSE),
IF(AND(Investment_Strategy="Autopilot",Investment_Strategy_Sub1="Non-Standard"),VLOOKUP(Investment_Strategy&amp;"_"&amp;Investment_Strategy_Sub2&amp;"_"&amp;$A643,'Investment Strategies'!$T:$AF,8,FALSE),
IF(Investment_Strategy ="DIY",DIY_RateofReturn_SP,
"Error")))))),Max_InvReturn)</f>
        <v>0</v>
      </c>
      <c r="M643" s="62">
        <f>IF($AV643=0,0,
IF(Investment_Strategy="DIS",VLOOKUP(Investment_Strategy&amp;"_"&amp;Investment_Strategy_Sub1&amp;"_"&amp;$A643,'Investment Strategies'!$AZ:$BP,15,FALSE),
IF(AND(Investment_Strategy="Lifecycle",Investment_Strategy_Sub1="Non-Standard"),VLOOKUP(Investment_Strategy&amp;"_"&amp;Investment_Strategy_Sub2&amp;"_"&amp;$A643,'Investment Strategies'!$C:$P,12,FALSE),
IF(AND(Investment_Strategy="Lifecycle",Investment_Strategy_Sub1="Standard"),VLOOKUP(Investment_Strategy&amp;"_"&amp;Investment_Strategy_Sub2&amp;"_"&amp;$A643,'Investment Strategies'!$AJ:$AV,11,FALSE),
IF(AND(Investment_Strategy="Autopilot",Investment_Strategy_Sub1="Non-Standard"),VLOOKUP(Investment_Strategy&amp;"_"&amp;Investment_Strategy_Sub2&amp;"_"&amp;$A643,'Investment Strategies'!$T:$AF,11,FALSE),
IF(Investment_Strategy="DIY",DIY_GteeChrge_SP,
"Error"))))))</f>
        <v>0</v>
      </c>
      <c r="N643" s="33">
        <f>IF($AV643=0,0,
IF(Investment_Strategy="DIS",VLOOKUP(Investment_Strategy&amp;"_"&amp;Investment_Strategy_Sub1&amp;"_"&amp;$A643,'Investment Strategies'!$AZ:$BP,17,FALSE),
IF(AND(Investment_Strategy="Lifecycle",Investment_Strategy_Sub1="Non-Standard"),VLOOKUP(Investment_Strategy&amp;"_"&amp;Investment_Strategy_Sub2&amp;"_"&amp;$A643,'Investment Strategies'!$C:$P,14,FALSE),
IF(AND(Investment_Strategy="Lifecycle",Investment_Strategy_Sub1="Standard"),VLOOKUP(Investment_Strategy&amp;"_"&amp;Investment_Strategy_Sub2&amp;"_"&amp;$A643,'Investment Strategies'!$AJ:$AV,13,FALSE),
IF(AND(Investment_Strategy="Autopilot",Investment_Strategy_Sub1="Non-Standard"),VLOOKUP(Investment_Strategy&amp;"_"&amp;Investment_Strategy_Sub2&amp;"_"&amp;$A643,'Investment Strategies'!$T:$AF,13,FALSE),
IF(Investment_Strategy="DIY",DIY_ExtManChrge_SP,
"Error"))))))</f>
        <v>0</v>
      </c>
      <c r="O643" s="16">
        <f t="shared" si="372"/>
        <v>0</v>
      </c>
      <c r="Q643" s="16">
        <f t="shared" si="349"/>
        <v>0</v>
      </c>
      <c r="R643" s="16">
        <f t="shared" si="345"/>
        <v>0</v>
      </c>
      <c r="S643" s="16">
        <f>(SRP_SP+SUM(S$91:S642))*L643*IF(D643=$A$91,SRP_finalmonthfactor,1)</f>
        <v>0</v>
      </c>
      <c r="T643" s="74">
        <f>MIN(IF($AV643=0,0,
IF(Investment_Strategy="DIS",VLOOKUP(Investment_Strategy&amp;"_"&amp;Investment_Strategy_Sub1&amp;"_"&amp;$A643,'Investment Strategies'!$AZ:$BP,12,FALSE),
IF(AND(Investment_Strategy="Lifecycle",Investment_Strategy_Sub1="Non-Standard"),VLOOKUP(Investment_Strategy&amp;"_"&amp;Investment_Strategy_Sub2&amp;"_"&amp;$A643,'Investment Strategies'!$C:$P,9,FALSE),
IF(AND(Investment_Strategy="Lifecycle",Investment_Strategy_Sub1="Standard"),VLOOKUP(Investment_Strategy&amp;"_"&amp;Investment_Strategy_Sub2&amp;"_"&amp;$A643,'Investment Strategies'!$AJ:$AV,8,FALSE),
IF(AND(Investment_Strategy="Autopilot",Investment_Strategy_Sub1="Non-Standard"),VLOOKUP(Investment_Strategy&amp;"_"&amp;Investment_Strategy_Sub2&amp;"_"&amp;$A643,'Investment Strategies'!$T:$AF,8,FALSE),
IF(Investment_Strategy ="DIY",DIY_RateOfReturn_FuturePremiums,
"Error")))))),Max_InvReturn)</f>
        <v>0</v>
      </c>
      <c r="U643" s="62">
        <f>IF($AV643=0,0,
IF(Investment_Strategy="DIS",VLOOKUP(Investment_Strategy&amp;"_"&amp;Investment_Strategy_Sub1&amp;"_"&amp;$A643,'Investment Strategies'!$AZ:$BP,15,FALSE),
IF(AND(Investment_Strategy="Lifecycle",Investment_Strategy_Sub1="Non-Standard"),VLOOKUP(Investment_Strategy&amp;"_"&amp;Investment_Strategy_Sub2&amp;"_"&amp;$A643,'Investment Strategies'!$C:$P,12,FALSE),
IF(AND(Investment_Strategy="Lifecycle",Investment_Strategy_Sub1="Standard"),VLOOKUP(Investment_Strategy&amp;"_"&amp;Investment_Strategy_Sub2&amp;"_"&amp;$A643,'Investment Strategies'!$AJ:$AV,11,FALSE),
IF(AND(Investment_Strategy="Autopilot",Investment_Strategy_Sub1="Non-Standard"),VLOOKUP(Investment_Strategy&amp;"_"&amp;Investment_Strategy_Sub2&amp;"_"&amp;$A643,'Investment Strategies'!$T:$AF,11,FALSE),
IF(Investment_Strategy="DIY",DIY_GteeChrge_FuturePremiums,
"Error"))))))</f>
        <v>0</v>
      </c>
      <c r="V643" s="33">
        <f>IF(AV643=0,0,
IF(Investment_Strategy="DIS",VLOOKUP(Investment_Strategy&amp;"_"&amp;Investment_Strategy_Sub1&amp;"_"&amp;$A643,'Investment Strategies'!$AZ:$BP,17,FALSE),
IF(AND(Investment_Strategy="Lifecycle",Investment_Strategy_Sub1="Non-Standard"),VLOOKUP(Investment_Strategy&amp;"_"&amp;Investment_Strategy_Sub2&amp;"_"&amp;$A643,'Investment Strategies'!$C:$P,14,FALSE),
IF(AND(Investment_Strategy="Lifecycle",Investment_Strategy_Sub1="Standard"),VLOOKUP(Investment_Strategy&amp;"_"&amp;Investment_Strategy_Sub2&amp;"_"&amp;$A643,'Investment Strategies'!$AJ:$AV,13,FALSE),
IF(AND(Investment_Strategy="Autopilot",Investment_Strategy_Sub1="Non-Standard"),VLOOKUP(Investment_Strategy&amp;"_"&amp;Investment_Strategy_Sub2&amp;"_"&amp;$A643,'Investment Strategies'!$T:$AF,13,FALSE),
IF(Investment_Strategy="DIY",DIY_ExtManChrge_FuturePremiums,
"Error"))))))</f>
        <v>0</v>
      </c>
      <c r="W643" s="16">
        <f t="shared" si="373"/>
        <v>0</v>
      </c>
      <c r="X643" s="16">
        <f t="shared" si="350"/>
        <v>0</v>
      </c>
      <c r="Y643" s="16">
        <f t="shared" si="351"/>
        <v>0</v>
      </c>
      <c r="Z643" s="31">
        <f t="shared" si="352"/>
        <v>0.02</v>
      </c>
      <c r="AA643" s="16">
        <f t="shared" si="353"/>
        <v>0</v>
      </c>
      <c r="AB643" s="28">
        <f t="shared" si="374"/>
        <v>0</v>
      </c>
      <c r="AC643" s="28">
        <f>(SUM($AC$91:AC642)+SUM($X$91:X642)+X643)*T643*IF(D643=$A$91,SRP_finalmonthfactor,1)</f>
        <v>0</v>
      </c>
      <c r="AD643" s="16">
        <f t="shared" si="354"/>
        <v>0</v>
      </c>
      <c r="AE643" s="106"/>
      <c r="AF643" s="16">
        <f t="shared" si="362"/>
        <v>0</v>
      </c>
      <c r="AG643" s="16">
        <f t="shared" si="363"/>
        <v>0</v>
      </c>
      <c r="AH643" s="16">
        <f t="shared" si="364"/>
        <v>0</v>
      </c>
      <c r="AJ643" s="13">
        <f t="shared" si="378"/>
        <v>0</v>
      </c>
      <c r="AK643" s="13">
        <f t="shared" si="378"/>
        <v>0</v>
      </c>
      <c r="AL643" s="13">
        <f t="shared" si="378"/>
        <v>0</v>
      </c>
      <c r="AM643" s="13">
        <f t="shared" si="378"/>
        <v>0</v>
      </c>
      <c r="AN643" s="13">
        <f t="shared" si="378"/>
        <v>0</v>
      </c>
      <c r="AO643" s="13">
        <f t="shared" si="378"/>
        <v>1</v>
      </c>
      <c r="AP643" s="13">
        <f t="shared" si="378"/>
        <v>1</v>
      </c>
      <c r="AQ643" s="13">
        <f t="shared" si="378"/>
        <v>1</v>
      </c>
      <c r="AR643" s="13">
        <f t="shared" si="378"/>
        <v>0</v>
      </c>
      <c r="AS643" s="13">
        <f t="shared" si="378"/>
        <v>0</v>
      </c>
      <c r="AT643" s="13">
        <f t="shared" si="378"/>
        <v>0</v>
      </c>
      <c r="AU643" s="13">
        <f t="shared" si="378"/>
        <v>0</v>
      </c>
      <c r="AV643" s="13">
        <f t="shared" si="355"/>
        <v>0</v>
      </c>
      <c r="AW643" s="13">
        <f t="shared" si="356"/>
        <v>1</v>
      </c>
      <c r="AY643" s="17">
        <f t="shared" si="357"/>
        <v>553</v>
      </c>
      <c r="AZ643" s="28">
        <f t="shared" si="365"/>
        <v>0</v>
      </c>
      <c r="BA643" s="13">
        <f t="shared" si="358"/>
        <v>0</v>
      </c>
      <c r="BB643" s="13">
        <f t="shared" si="359"/>
        <v>0</v>
      </c>
      <c r="BC643" s="28">
        <f t="shared" si="366"/>
        <v>0</v>
      </c>
      <c r="BD643" s="28">
        <f t="shared" si="367"/>
        <v>0</v>
      </c>
      <c r="BF643" s="248">
        <f t="shared" si="368"/>
        <v>993869.29442638322</v>
      </c>
    </row>
    <row r="644" spans="1:58">
      <c r="A644" s="32">
        <f t="shared" si="369"/>
        <v>-469</v>
      </c>
      <c r="B644" s="32">
        <f t="shared" si="360"/>
        <v>99</v>
      </c>
      <c r="C644" s="32">
        <f t="shared" si="370"/>
        <v>47</v>
      </c>
      <c r="D644" s="32">
        <f t="shared" si="371"/>
        <v>554</v>
      </c>
      <c r="E644" s="74">
        <f>MIN(IF(AV644=0,0,
IF(Investment_Strategy="DIS",VLOOKUP(Investment_Strategy&amp;"_"&amp;Investment_Strategy_Sub1&amp;"_"&amp;$A644,'Investment Strategies'!$AZ:$BP,12,FALSE),
IF(AND(Investment_Strategy="Lifecycle",Investment_Strategy_Sub1="Non-Standard"),VLOOKUP(Investment_Strategy&amp;"_"&amp;Investment_Strategy_Sub2&amp;"_"&amp;$A644,'Investment Strategies'!$C:$P,9,FALSE),
IF(AND(Investment_Strategy="Lifecycle",Investment_Strategy_Sub1="Standard"),VLOOKUP(Investment_Strategy&amp;"_"&amp;Investment_Strategy_Sub2&amp;"_"&amp;$A644,'Investment Strategies'!$AJ:$AV,8,FALSE),
IF(AND(Investment_Strategy="Autopilot",Investment_Strategy_Sub1="Non-Standard"),VLOOKUP(Investment_Strategy&amp;"_"&amp;Investment_Strategy_Sub2&amp;"_"&amp;$A644,'Investment Strategies'!$T:$AF,8,FALSE),
IF(Investment_Strategy ="DIY",DIY_RateOfReturn_CurrentFunds,
"Error")))))),Max_InvReturn)</f>
        <v>0</v>
      </c>
      <c r="F644" s="62">
        <f>IF(AV644=0,0,
IF(Investment_Strategy="DIS",VLOOKUP(Investment_Strategy&amp;"_"&amp;Investment_Strategy_Sub1&amp;"_"&amp;$A644,'Investment Strategies'!$AZ:$BP,15,FALSE),
IF(AND(Investment_Strategy="Lifecycle",Investment_Strategy_Sub1="Non-Standard"),VLOOKUP(Investment_Strategy&amp;"_"&amp;Investment_Strategy_Sub2&amp;"_"&amp;$A644,'Investment Strategies'!$C:$P,12,FALSE),
IF(AND(Investment_Strategy="Lifecycle",Investment_Strategy_Sub1="Standard"),VLOOKUP(Investment_Strategy&amp;"_"&amp;Investment_Strategy_Sub2&amp;"_"&amp;$A644,'Investment Strategies'!$AJ:$AV,11,FALSE),
IF(AND(Investment_Strategy="Autopilot",Investment_Strategy_Sub1="Non-Standard"),VLOOKUP(Investment_Strategy&amp;"_"&amp;Investment_Strategy_Sub2&amp;"_"&amp;$A644,'Investment Strategies'!$T:$AF,11,FALSE),
IF(Investment_Strategy="DIY",DIY_GteeChrge_CurrentFunds,
"Error"))))))</f>
        <v>0</v>
      </c>
      <c r="G644" s="33">
        <f>IF(AV644=0,0,
IF(Investment_Strategy="DIS",VLOOKUP(Investment_Strategy&amp;"_"&amp;Investment_Strategy_Sub1&amp;"_"&amp;$A644,'Investment Strategies'!$AZ:$BP,17,FALSE),
IF(AND(Investment_Strategy="Lifecycle",Investment_Strategy_Sub1="Non-Standard"),VLOOKUP(Investment_Strategy&amp;"_"&amp;Investment_Strategy_Sub2&amp;"_"&amp;$A644,'Investment Strategies'!$C:$P,14,FALSE),
IF(AND(Investment_Strategy="Lifecycle",Investment_Strategy_Sub1="Standard"),VLOOKUP(Investment_Strategy&amp;"_"&amp;Investment_Strategy_Sub2&amp;"_"&amp;$A644,'Investment Strategies'!$AJ:$AV,13,FALSE),
IF(AND(Investment_Strategy="Autopilot",Investment_Strategy_Sub1="Non-Standard"),VLOOKUP(Investment_Strategy&amp;"_"&amp;Investment_Strategy_Sub2&amp;"_"&amp;$A644,'Investment Strategies'!$T:$AF,13,FALSE),
IF(Investment_Strategy="DIY",DIY_ExtManChrge_CurrentFunds,
"Error"))))))</f>
        <v>0</v>
      </c>
      <c r="H644" s="16">
        <f t="shared" si="361"/>
        <v>0</v>
      </c>
      <c r="I644" s="16">
        <f t="shared" si="347"/>
        <v>0</v>
      </c>
      <c r="J644" s="16">
        <f t="shared" si="348"/>
        <v>0</v>
      </c>
      <c r="K644" s="16">
        <f>(Opening_Fund_Value+SUM(K$91:K643))*E644*IF(D644=$A$91,SRP_finalmonthfactor,1)</f>
        <v>0</v>
      </c>
      <c r="L644" s="74">
        <f>MIN(IF($AV644=0,0,
IF(Investment_Strategy="DIS",VLOOKUP(Investment_Strategy&amp;"_"&amp;Investment_Strategy_Sub1&amp;"_"&amp;$A644,'Investment Strategies'!$AZ:$BP,12,FALSE),
IF(AND(Investment_Strategy="Lifecycle",Investment_Strategy_Sub1="Non-Standard"),VLOOKUP(Investment_Strategy&amp;"_"&amp;Investment_Strategy_Sub2&amp;"_"&amp;$A644,'Investment Strategies'!$C:$P,9,FALSE),
IF(AND(Investment_Strategy="Lifecycle",Investment_Strategy_Sub1="Standard"),VLOOKUP(Investment_Strategy&amp;"_"&amp;Investment_Strategy_Sub2&amp;"_"&amp;$A644,'Investment Strategies'!$AJ:$AV,8,FALSE),
IF(AND(Investment_Strategy="Autopilot",Investment_Strategy_Sub1="Non-Standard"),VLOOKUP(Investment_Strategy&amp;"_"&amp;Investment_Strategy_Sub2&amp;"_"&amp;$A644,'Investment Strategies'!$T:$AF,8,FALSE),
IF(Investment_Strategy ="DIY",DIY_RateofReturn_SP,
"Error")))))),Max_InvReturn)</f>
        <v>0</v>
      </c>
      <c r="M644" s="62">
        <f>IF($AV644=0,0,
IF(Investment_Strategy="DIS",VLOOKUP(Investment_Strategy&amp;"_"&amp;Investment_Strategy_Sub1&amp;"_"&amp;$A644,'Investment Strategies'!$AZ:$BP,15,FALSE),
IF(AND(Investment_Strategy="Lifecycle",Investment_Strategy_Sub1="Non-Standard"),VLOOKUP(Investment_Strategy&amp;"_"&amp;Investment_Strategy_Sub2&amp;"_"&amp;$A644,'Investment Strategies'!$C:$P,12,FALSE),
IF(AND(Investment_Strategy="Lifecycle",Investment_Strategy_Sub1="Standard"),VLOOKUP(Investment_Strategy&amp;"_"&amp;Investment_Strategy_Sub2&amp;"_"&amp;$A644,'Investment Strategies'!$AJ:$AV,11,FALSE),
IF(AND(Investment_Strategy="Autopilot",Investment_Strategy_Sub1="Non-Standard"),VLOOKUP(Investment_Strategy&amp;"_"&amp;Investment_Strategy_Sub2&amp;"_"&amp;$A644,'Investment Strategies'!$T:$AF,11,FALSE),
IF(Investment_Strategy="DIY",DIY_GteeChrge_SP,
"Error"))))))</f>
        <v>0</v>
      </c>
      <c r="N644" s="33">
        <f>IF($AV644=0,0,
IF(Investment_Strategy="DIS",VLOOKUP(Investment_Strategy&amp;"_"&amp;Investment_Strategy_Sub1&amp;"_"&amp;$A644,'Investment Strategies'!$AZ:$BP,17,FALSE),
IF(AND(Investment_Strategy="Lifecycle",Investment_Strategy_Sub1="Non-Standard"),VLOOKUP(Investment_Strategy&amp;"_"&amp;Investment_Strategy_Sub2&amp;"_"&amp;$A644,'Investment Strategies'!$C:$P,14,FALSE),
IF(AND(Investment_Strategy="Lifecycle",Investment_Strategy_Sub1="Standard"),VLOOKUP(Investment_Strategy&amp;"_"&amp;Investment_Strategy_Sub2&amp;"_"&amp;$A644,'Investment Strategies'!$AJ:$AV,13,FALSE),
IF(AND(Investment_Strategy="Autopilot",Investment_Strategy_Sub1="Non-Standard"),VLOOKUP(Investment_Strategy&amp;"_"&amp;Investment_Strategy_Sub2&amp;"_"&amp;$A644,'Investment Strategies'!$T:$AF,13,FALSE),
IF(Investment_Strategy="DIY",DIY_ExtManChrge_SP,
"Error"))))))</f>
        <v>0</v>
      </c>
      <c r="O644" s="16">
        <f t="shared" si="372"/>
        <v>0</v>
      </c>
      <c r="Q644" s="16">
        <f t="shared" si="349"/>
        <v>0</v>
      </c>
      <c r="R644" s="16">
        <f t="shared" si="345"/>
        <v>0</v>
      </c>
      <c r="S644" s="16">
        <f>(SRP_SP+SUM(S$91:S643))*L644*IF(D644=$A$91,SRP_finalmonthfactor,1)</f>
        <v>0</v>
      </c>
      <c r="T644" s="74">
        <f>MIN(IF($AV644=0,0,
IF(Investment_Strategy="DIS",VLOOKUP(Investment_Strategy&amp;"_"&amp;Investment_Strategy_Sub1&amp;"_"&amp;$A644,'Investment Strategies'!$AZ:$BP,12,FALSE),
IF(AND(Investment_Strategy="Lifecycle",Investment_Strategy_Sub1="Non-Standard"),VLOOKUP(Investment_Strategy&amp;"_"&amp;Investment_Strategy_Sub2&amp;"_"&amp;$A644,'Investment Strategies'!$C:$P,9,FALSE),
IF(AND(Investment_Strategy="Lifecycle",Investment_Strategy_Sub1="Standard"),VLOOKUP(Investment_Strategy&amp;"_"&amp;Investment_Strategy_Sub2&amp;"_"&amp;$A644,'Investment Strategies'!$AJ:$AV,8,FALSE),
IF(AND(Investment_Strategy="Autopilot",Investment_Strategy_Sub1="Non-Standard"),VLOOKUP(Investment_Strategy&amp;"_"&amp;Investment_Strategy_Sub2&amp;"_"&amp;$A644,'Investment Strategies'!$T:$AF,8,FALSE),
IF(Investment_Strategy ="DIY",DIY_RateOfReturn_FuturePremiums,
"Error")))))),Max_InvReturn)</f>
        <v>0</v>
      </c>
      <c r="U644" s="62">
        <f>IF($AV644=0,0,
IF(Investment_Strategy="DIS",VLOOKUP(Investment_Strategy&amp;"_"&amp;Investment_Strategy_Sub1&amp;"_"&amp;$A644,'Investment Strategies'!$AZ:$BP,15,FALSE),
IF(AND(Investment_Strategy="Lifecycle",Investment_Strategy_Sub1="Non-Standard"),VLOOKUP(Investment_Strategy&amp;"_"&amp;Investment_Strategy_Sub2&amp;"_"&amp;$A644,'Investment Strategies'!$C:$P,12,FALSE),
IF(AND(Investment_Strategy="Lifecycle",Investment_Strategy_Sub1="Standard"),VLOOKUP(Investment_Strategy&amp;"_"&amp;Investment_Strategy_Sub2&amp;"_"&amp;$A644,'Investment Strategies'!$AJ:$AV,11,FALSE),
IF(AND(Investment_Strategy="Autopilot",Investment_Strategy_Sub1="Non-Standard"),VLOOKUP(Investment_Strategy&amp;"_"&amp;Investment_Strategy_Sub2&amp;"_"&amp;$A644,'Investment Strategies'!$T:$AF,11,FALSE),
IF(Investment_Strategy="DIY",DIY_GteeChrge_FuturePremiums,
"Error"))))))</f>
        <v>0</v>
      </c>
      <c r="V644" s="33">
        <f>IF(AV644=0,0,
IF(Investment_Strategy="DIS",VLOOKUP(Investment_Strategy&amp;"_"&amp;Investment_Strategy_Sub1&amp;"_"&amp;$A644,'Investment Strategies'!$AZ:$BP,17,FALSE),
IF(AND(Investment_Strategy="Lifecycle",Investment_Strategy_Sub1="Non-Standard"),VLOOKUP(Investment_Strategy&amp;"_"&amp;Investment_Strategy_Sub2&amp;"_"&amp;$A644,'Investment Strategies'!$C:$P,14,FALSE),
IF(AND(Investment_Strategy="Lifecycle",Investment_Strategy_Sub1="Standard"),VLOOKUP(Investment_Strategy&amp;"_"&amp;Investment_Strategy_Sub2&amp;"_"&amp;$A644,'Investment Strategies'!$AJ:$AV,13,FALSE),
IF(AND(Investment_Strategy="Autopilot",Investment_Strategy_Sub1="Non-Standard"),VLOOKUP(Investment_Strategy&amp;"_"&amp;Investment_Strategy_Sub2&amp;"_"&amp;$A644,'Investment Strategies'!$T:$AF,13,FALSE),
IF(Investment_Strategy="DIY",DIY_ExtManChrge_FuturePremiums,
"Error"))))))</f>
        <v>0</v>
      </c>
      <c r="W644" s="16">
        <f t="shared" si="373"/>
        <v>0</v>
      </c>
      <c r="X644" s="16">
        <f t="shared" si="350"/>
        <v>0</v>
      </c>
      <c r="Y644" s="16">
        <f t="shared" si="351"/>
        <v>0</v>
      </c>
      <c r="Z644" s="31">
        <f t="shared" si="352"/>
        <v>0.02</v>
      </c>
      <c r="AA644" s="16">
        <f t="shared" si="353"/>
        <v>0</v>
      </c>
      <c r="AB644" s="28">
        <f t="shared" si="374"/>
        <v>0</v>
      </c>
      <c r="AC644" s="28">
        <f>(SUM($AC$91:AC643)+SUM($X$91:X643)+X644)*T644*IF(D644=$A$91,SRP_finalmonthfactor,1)</f>
        <v>0</v>
      </c>
      <c r="AD644" s="16">
        <f t="shared" si="354"/>
        <v>0</v>
      </c>
      <c r="AE644" s="106"/>
      <c r="AF644" s="16">
        <f t="shared" si="362"/>
        <v>0</v>
      </c>
      <c r="AG644" s="16">
        <f t="shared" si="363"/>
        <v>0</v>
      </c>
      <c r="AH644" s="16">
        <f t="shared" si="364"/>
        <v>0</v>
      </c>
      <c r="AJ644" s="13">
        <f t="shared" si="378"/>
        <v>0</v>
      </c>
      <c r="AK644" s="13">
        <f t="shared" si="378"/>
        <v>0</v>
      </c>
      <c r="AL644" s="13">
        <f t="shared" si="378"/>
        <v>0</v>
      </c>
      <c r="AM644" s="13">
        <f t="shared" si="378"/>
        <v>0</v>
      </c>
      <c r="AN644" s="13">
        <f t="shared" si="378"/>
        <v>0</v>
      </c>
      <c r="AO644" s="13">
        <f t="shared" si="378"/>
        <v>1</v>
      </c>
      <c r="AP644" s="13">
        <f t="shared" si="378"/>
        <v>1</v>
      </c>
      <c r="AQ644" s="13">
        <f t="shared" si="378"/>
        <v>1</v>
      </c>
      <c r="AR644" s="13">
        <f t="shared" si="378"/>
        <v>0</v>
      </c>
      <c r="AS644" s="13">
        <f t="shared" si="378"/>
        <v>0</v>
      </c>
      <c r="AT644" s="13">
        <f t="shared" si="378"/>
        <v>0</v>
      </c>
      <c r="AU644" s="13">
        <f t="shared" si="378"/>
        <v>0</v>
      </c>
      <c r="AV644" s="13">
        <f t="shared" si="355"/>
        <v>0</v>
      </c>
      <c r="AW644" s="13">
        <f t="shared" si="356"/>
        <v>1</v>
      </c>
      <c r="AY644" s="17">
        <f t="shared" si="357"/>
        <v>554</v>
      </c>
      <c r="AZ644" s="28">
        <f t="shared" si="365"/>
        <v>0</v>
      </c>
      <c r="BA644" s="13">
        <f t="shared" si="358"/>
        <v>0</v>
      </c>
      <c r="BB644" s="13">
        <f t="shared" si="359"/>
        <v>0</v>
      </c>
      <c r="BC644" s="28">
        <f t="shared" si="366"/>
        <v>0</v>
      </c>
      <c r="BD644" s="28">
        <f t="shared" si="367"/>
        <v>0</v>
      </c>
      <c r="BF644" s="248">
        <f t="shared" si="368"/>
        <v>993869.29442638322</v>
      </c>
    </row>
    <row r="645" spans="1:58">
      <c r="A645" s="32">
        <f t="shared" si="369"/>
        <v>-470</v>
      </c>
      <c r="B645" s="32">
        <f t="shared" si="360"/>
        <v>99</v>
      </c>
      <c r="C645" s="32">
        <f t="shared" si="370"/>
        <v>47</v>
      </c>
      <c r="D645" s="32">
        <f t="shared" si="371"/>
        <v>555</v>
      </c>
      <c r="E645" s="74">
        <f>MIN(IF(AV645=0,0,
IF(Investment_Strategy="DIS",VLOOKUP(Investment_Strategy&amp;"_"&amp;Investment_Strategy_Sub1&amp;"_"&amp;$A645,'Investment Strategies'!$AZ:$BP,12,FALSE),
IF(AND(Investment_Strategy="Lifecycle",Investment_Strategy_Sub1="Non-Standard"),VLOOKUP(Investment_Strategy&amp;"_"&amp;Investment_Strategy_Sub2&amp;"_"&amp;$A645,'Investment Strategies'!$C:$P,9,FALSE),
IF(AND(Investment_Strategy="Lifecycle",Investment_Strategy_Sub1="Standard"),VLOOKUP(Investment_Strategy&amp;"_"&amp;Investment_Strategy_Sub2&amp;"_"&amp;$A645,'Investment Strategies'!$AJ:$AV,8,FALSE),
IF(AND(Investment_Strategy="Autopilot",Investment_Strategy_Sub1="Non-Standard"),VLOOKUP(Investment_Strategy&amp;"_"&amp;Investment_Strategy_Sub2&amp;"_"&amp;$A645,'Investment Strategies'!$T:$AF,8,FALSE),
IF(Investment_Strategy ="DIY",DIY_RateOfReturn_CurrentFunds,
"Error")))))),Max_InvReturn)</f>
        <v>0</v>
      </c>
      <c r="F645" s="62">
        <f>IF(AV645=0,0,
IF(Investment_Strategy="DIS",VLOOKUP(Investment_Strategy&amp;"_"&amp;Investment_Strategy_Sub1&amp;"_"&amp;$A645,'Investment Strategies'!$AZ:$BP,15,FALSE),
IF(AND(Investment_Strategy="Lifecycle",Investment_Strategy_Sub1="Non-Standard"),VLOOKUP(Investment_Strategy&amp;"_"&amp;Investment_Strategy_Sub2&amp;"_"&amp;$A645,'Investment Strategies'!$C:$P,12,FALSE),
IF(AND(Investment_Strategy="Lifecycle",Investment_Strategy_Sub1="Standard"),VLOOKUP(Investment_Strategy&amp;"_"&amp;Investment_Strategy_Sub2&amp;"_"&amp;$A645,'Investment Strategies'!$AJ:$AV,11,FALSE),
IF(AND(Investment_Strategy="Autopilot",Investment_Strategy_Sub1="Non-Standard"),VLOOKUP(Investment_Strategy&amp;"_"&amp;Investment_Strategy_Sub2&amp;"_"&amp;$A645,'Investment Strategies'!$T:$AF,11,FALSE),
IF(Investment_Strategy="DIY",DIY_GteeChrge_CurrentFunds,
"Error"))))))</f>
        <v>0</v>
      </c>
      <c r="G645" s="33">
        <f>IF(AV645=0,0,
IF(Investment_Strategy="DIS",VLOOKUP(Investment_Strategy&amp;"_"&amp;Investment_Strategy_Sub1&amp;"_"&amp;$A645,'Investment Strategies'!$AZ:$BP,17,FALSE),
IF(AND(Investment_Strategy="Lifecycle",Investment_Strategy_Sub1="Non-Standard"),VLOOKUP(Investment_Strategy&amp;"_"&amp;Investment_Strategy_Sub2&amp;"_"&amp;$A645,'Investment Strategies'!$C:$P,14,FALSE),
IF(AND(Investment_Strategy="Lifecycle",Investment_Strategy_Sub1="Standard"),VLOOKUP(Investment_Strategy&amp;"_"&amp;Investment_Strategy_Sub2&amp;"_"&amp;$A645,'Investment Strategies'!$AJ:$AV,13,FALSE),
IF(AND(Investment_Strategy="Autopilot",Investment_Strategy_Sub1="Non-Standard"),VLOOKUP(Investment_Strategy&amp;"_"&amp;Investment_Strategy_Sub2&amp;"_"&amp;$A645,'Investment Strategies'!$T:$AF,13,FALSE),
IF(Investment_Strategy="DIY",DIY_ExtManChrge_CurrentFunds,
"Error"))))))</f>
        <v>0</v>
      </c>
      <c r="H645" s="16">
        <f t="shared" si="361"/>
        <v>0</v>
      </c>
      <c r="I645" s="16">
        <f t="shared" si="347"/>
        <v>0</v>
      </c>
      <c r="J645" s="16">
        <f t="shared" si="348"/>
        <v>0</v>
      </c>
      <c r="K645" s="16">
        <f>(Opening_Fund_Value+SUM(K$91:K644))*E645*IF(D645=$A$91,SRP_finalmonthfactor,1)</f>
        <v>0</v>
      </c>
      <c r="L645" s="74">
        <f>MIN(IF($AV645=0,0,
IF(Investment_Strategy="DIS",VLOOKUP(Investment_Strategy&amp;"_"&amp;Investment_Strategy_Sub1&amp;"_"&amp;$A645,'Investment Strategies'!$AZ:$BP,12,FALSE),
IF(AND(Investment_Strategy="Lifecycle",Investment_Strategy_Sub1="Non-Standard"),VLOOKUP(Investment_Strategy&amp;"_"&amp;Investment_Strategy_Sub2&amp;"_"&amp;$A645,'Investment Strategies'!$C:$P,9,FALSE),
IF(AND(Investment_Strategy="Lifecycle",Investment_Strategy_Sub1="Standard"),VLOOKUP(Investment_Strategy&amp;"_"&amp;Investment_Strategy_Sub2&amp;"_"&amp;$A645,'Investment Strategies'!$AJ:$AV,8,FALSE),
IF(AND(Investment_Strategy="Autopilot",Investment_Strategy_Sub1="Non-Standard"),VLOOKUP(Investment_Strategy&amp;"_"&amp;Investment_Strategy_Sub2&amp;"_"&amp;$A645,'Investment Strategies'!$T:$AF,8,FALSE),
IF(Investment_Strategy ="DIY",DIY_RateofReturn_SP,
"Error")))))),Max_InvReturn)</f>
        <v>0</v>
      </c>
      <c r="M645" s="62">
        <f>IF($AV645=0,0,
IF(Investment_Strategy="DIS",VLOOKUP(Investment_Strategy&amp;"_"&amp;Investment_Strategy_Sub1&amp;"_"&amp;$A645,'Investment Strategies'!$AZ:$BP,15,FALSE),
IF(AND(Investment_Strategy="Lifecycle",Investment_Strategy_Sub1="Non-Standard"),VLOOKUP(Investment_Strategy&amp;"_"&amp;Investment_Strategy_Sub2&amp;"_"&amp;$A645,'Investment Strategies'!$C:$P,12,FALSE),
IF(AND(Investment_Strategy="Lifecycle",Investment_Strategy_Sub1="Standard"),VLOOKUP(Investment_Strategy&amp;"_"&amp;Investment_Strategy_Sub2&amp;"_"&amp;$A645,'Investment Strategies'!$AJ:$AV,11,FALSE),
IF(AND(Investment_Strategy="Autopilot",Investment_Strategy_Sub1="Non-Standard"),VLOOKUP(Investment_Strategy&amp;"_"&amp;Investment_Strategy_Sub2&amp;"_"&amp;$A645,'Investment Strategies'!$T:$AF,11,FALSE),
IF(Investment_Strategy="DIY",DIY_GteeChrge_SP,
"Error"))))))</f>
        <v>0</v>
      </c>
      <c r="N645" s="33">
        <f>IF($AV645=0,0,
IF(Investment_Strategy="DIS",VLOOKUP(Investment_Strategy&amp;"_"&amp;Investment_Strategy_Sub1&amp;"_"&amp;$A645,'Investment Strategies'!$AZ:$BP,17,FALSE),
IF(AND(Investment_Strategy="Lifecycle",Investment_Strategy_Sub1="Non-Standard"),VLOOKUP(Investment_Strategy&amp;"_"&amp;Investment_Strategy_Sub2&amp;"_"&amp;$A645,'Investment Strategies'!$C:$P,14,FALSE),
IF(AND(Investment_Strategy="Lifecycle",Investment_Strategy_Sub1="Standard"),VLOOKUP(Investment_Strategy&amp;"_"&amp;Investment_Strategy_Sub2&amp;"_"&amp;$A645,'Investment Strategies'!$AJ:$AV,13,FALSE),
IF(AND(Investment_Strategy="Autopilot",Investment_Strategy_Sub1="Non-Standard"),VLOOKUP(Investment_Strategy&amp;"_"&amp;Investment_Strategy_Sub2&amp;"_"&amp;$A645,'Investment Strategies'!$T:$AF,13,FALSE),
IF(Investment_Strategy="DIY",DIY_ExtManChrge_SP,
"Error"))))))</f>
        <v>0</v>
      </c>
      <c r="O645" s="16">
        <f t="shared" si="372"/>
        <v>0</v>
      </c>
      <c r="Q645" s="16">
        <f t="shared" si="349"/>
        <v>0</v>
      </c>
      <c r="R645" s="16">
        <f t="shared" si="345"/>
        <v>0</v>
      </c>
      <c r="S645" s="16">
        <f>(SRP_SP+SUM(S$91:S644))*L645*IF(D645=$A$91,SRP_finalmonthfactor,1)</f>
        <v>0</v>
      </c>
      <c r="T645" s="74">
        <f>MIN(IF($AV645=0,0,
IF(Investment_Strategy="DIS",VLOOKUP(Investment_Strategy&amp;"_"&amp;Investment_Strategy_Sub1&amp;"_"&amp;$A645,'Investment Strategies'!$AZ:$BP,12,FALSE),
IF(AND(Investment_Strategy="Lifecycle",Investment_Strategy_Sub1="Non-Standard"),VLOOKUP(Investment_Strategy&amp;"_"&amp;Investment_Strategy_Sub2&amp;"_"&amp;$A645,'Investment Strategies'!$C:$P,9,FALSE),
IF(AND(Investment_Strategy="Lifecycle",Investment_Strategy_Sub1="Standard"),VLOOKUP(Investment_Strategy&amp;"_"&amp;Investment_Strategy_Sub2&amp;"_"&amp;$A645,'Investment Strategies'!$AJ:$AV,8,FALSE),
IF(AND(Investment_Strategy="Autopilot",Investment_Strategy_Sub1="Non-Standard"),VLOOKUP(Investment_Strategy&amp;"_"&amp;Investment_Strategy_Sub2&amp;"_"&amp;$A645,'Investment Strategies'!$T:$AF,8,FALSE),
IF(Investment_Strategy ="DIY",DIY_RateOfReturn_FuturePremiums,
"Error")))))),Max_InvReturn)</f>
        <v>0</v>
      </c>
      <c r="U645" s="62">
        <f>IF($AV645=0,0,
IF(Investment_Strategy="DIS",VLOOKUP(Investment_Strategy&amp;"_"&amp;Investment_Strategy_Sub1&amp;"_"&amp;$A645,'Investment Strategies'!$AZ:$BP,15,FALSE),
IF(AND(Investment_Strategy="Lifecycle",Investment_Strategy_Sub1="Non-Standard"),VLOOKUP(Investment_Strategy&amp;"_"&amp;Investment_Strategy_Sub2&amp;"_"&amp;$A645,'Investment Strategies'!$C:$P,12,FALSE),
IF(AND(Investment_Strategy="Lifecycle",Investment_Strategy_Sub1="Standard"),VLOOKUP(Investment_Strategy&amp;"_"&amp;Investment_Strategy_Sub2&amp;"_"&amp;$A645,'Investment Strategies'!$AJ:$AV,11,FALSE),
IF(AND(Investment_Strategy="Autopilot",Investment_Strategy_Sub1="Non-Standard"),VLOOKUP(Investment_Strategy&amp;"_"&amp;Investment_Strategy_Sub2&amp;"_"&amp;$A645,'Investment Strategies'!$T:$AF,11,FALSE),
IF(Investment_Strategy="DIY",DIY_GteeChrge_FuturePremiums,
"Error"))))))</f>
        <v>0</v>
      </c>
      <c r="V645" s="33">
        <f>IF(AV645=0,0,
IF(Investment_Strategy="DIS",VLOOKUP(Investment_Strategy&amp;"_"&amp;Investment_Strategy_Sub1&amp;"_"&amp;$A645,'Investment Strategies'!$AZ:$BP,17,FALSE),
IF(AND(Investment_Strategy="Lifecycle",Investment_Strategy_Sub1="Non-Standard"),VLOOKUP(Investment_Strategy&amp;"_"&amp;Investment_Strategy_Sub2&amp;"_"&amp;$A645,'Investment Strategies'!$C:$P,14,FALSE),
IF(AND(Investment_Strategy="Lifecycle",Investment_Strategy_Sub1="Standard"),VLOOKUP(Investment_Strategy&amp;"_"&amp;Investment_Strategy_Sub2&amp;"_"&amp;$A645,'Investment Strategies'!$AJ:$AV,13,FALSE),
IF(AND(Investment_Strategy="Autopilot",Investment_Strategy_Sub1="Non-Standard"),VLOOKUP(Investment_Strategy&amp;"_"&amp;Investment_Strategy_Sub2&amp;"_"&amp;$A645,'Investment Strategies'!$T:$AF,13,FALSE),
IF(Investment_Strategy="DIY",DIY_ExtManChrge_FuturePremiums,
"Error"))))))</f>
        <v>0</v>
      </c>
      <c r="W645" s="16">
        <f t="shared" si="373"/>
        <v>0</v>
      </c>
      <c r="X645" s="16">
        <f t="shared" si="350"/>
        <v>0</v>
      </c>
      <c r="Y645" s="16">
        <f t="shared" si="351"/>
        <v>0</v>
      </c>
      <c r="Z645" s="31">
        <f t="shared" si="352"/>
        <v>0.02</v>
      </c>
      <c r="AA645" s="16">
        <f t="shared" si="353"/>
        <v>0</v>
      </c>
      <c r="AB645" s="28">
        <f t="shared" si="374"/>
        <v>0</v>
      </c>
      <c r="AC645" s="28">
        <f>(SUM($AC$91:AC644)+SUM($X$91:X644)+X645)*T645*IF(D645=$A$91,SRP_finalmonthfactor,1)</f>
        <v>0</v>
      </c>
      <c r="AD645" s="16">
        <f t="shared" si="354"/>
        <v>0</v>
      </c>
      <c r="AE645" s="106"/>
      <c r="AF645" s="16">
        <f t="shared" si="362"/>
        <v>0</v>
      </c>
      <c r="AG645" s="16">
        <f t="shared" si="363"/>
        <v>0</v>
      </c>
      <c r="AH645" s="16">
        <f t="shared" si="364"/>
        <v>0</v>
      </c>
      <c r="AJ645" s="13">
        <f t="shared" si="378"/>
        <v>0</v>
      </c>
      <c r="AK645" s="13">
        <f t="shared" si="378"/>
        <v>0</v>
      </c>
      <c r="AL645" s="13">
        <f t="shared" si="378"/>
        <v>0</v>
      </c>
      <c r="AM645" s="13">
        <f t="shared" si="378"/>
        <v>0</v>
      </c>
      <c r="AN645" s="13">
        <f t="shared" si="378"/>
        <v>0</v>
      </c>
      <c r="AO645" s="13">
        <f t="shared" si="378"/>
        <v>1</v>
      </c>
      <c r="AP645" s="13">
        <f t="shared" si="378"/>
        <v>1</v>
      </c>
      <c r="AQ645" s="13">
        <f t="shared" si="378"/>
        <v>1</v>
      </c>
      <c r="AR645" s="13">
        <f t="shared" si="378"/>
        <v>0</v>
      </c>
      <c r="AS645" s="13">
        <f t="shared" si="378"/>
        <v>0</v>
      </c>
      <c r="AT645" s="13">
        <f t="shared" si="378"/>
        <v>0</v>
      </c>
      <c r="AU645" s="13">
        <f t="shared" si="378"/>
        <v>0</v>
      </c>
      <c r="AV645" s="13">
        <f t="shared" si="355"/>
        <v>0</v>
      </c>
      <c r="AW645" s="13">
        <f t="shared" si="356"/>
        <v>1</v>
      </c>
      <c r="AY645" s="17">
        <f t="shared" si="357"/>
        <v>555</v>
      </c>
      <c r="AZ645" s="28">
        <f t="shared" si="365"/>
        <v>0</v>
      </c>
      <c r="BA645" s="13">
        <f t="shared" si="358"/>
        <v>0</v>
      </c>
      <c r="BB645" s="13">
        <f t="shared" si="359"/>
        <v>0</v>
      </c>
      <c r="BC645" s="28">
        <f t="shared" si="366"/>
        <v>0</v>
      </c>
      <c r="BD645" s="28">
        <f t="shared" si="367"/>
        <v>0</v>
      </c>
      <c r="BF645" s="248">
        <f t="shared" si="368"/>
        <v>993869.29442638322</v>
      </c>
    </row>
    <row r="646" spans="1:58">
      <c r="A646" s="32">
        <f t="shared" si="369"/>
        <v>-471</v>
      </c>
      <c r="B646" s="32">
        <f t="shared" si="360"/>
        <v>99</v>
      </c>
      <c r="C646" s="32">
        <f t="shared" si="370"/>
        <v>47</v>
      </c>
      <c r="D646" s="32">
        <f t="shared" si="371"/>
        <v>556</v>
      </c>
      <c r="E646" s="74">
        <f>MIN(IF(AV646=0,0,
IF(Investment_Strategy="DIS",VLOOKUP(Investment_Strategy&amp;"_"&amp;Investment_Strategy_Sub1&amp;"_"&amp;$A646,'Investment Strategies'!$AZ:$BP,12,FALSE),
IF(AND(Investment_Strategy="Lifecycle",Investment_Strategy_Sub1="Non-Standard"),VLOOKUP(Investment_Strategy&amp;"_"&amp;Investment_Strategy_Sub2&amp;"_"&amp;$A646,'Investment Strategies'!$C:$P,9,FALSE),
IF(AND(Investment_Strategy="Lifecycle",Investment_Strategy_Sub1="Standard"),VLOOKUP(Investment_Strategy&amp;"_"&amp;Investment_Strategy_Sub2&amp;"_"&amp;$A646,'Investment Strategies'!$AJ:$AV,8,FALSE),
IF(AND(Investment_Strategy="Autopilot",Investment_Strategy_Sub1="Non-Standard"),VLOOKUP(Investment_Strategy&amp;"_"&amp;Investment_Strategy_Sub2&amp;"_"&amp;$A646,'Investment Strategies'!$T:$AF,8,FALSE),
IF(Investment_Strategy ="DIY",DIY_RateOfReturn_CurrentFunds,
"Error")))))),Max_InvReturn)</f>
        <v>0</v>
      </c>
      <c r="F646" s="62">
        <f>IF(AV646=0,0,
IF(Investment_Strategy="DIS",VLOOKUP(Investment_Strategy&amp;"_"&amp;Investment_Strategy_Sub1&amp;"_"&amp;$A646,'Investment Strategies'!$AZ:$BP,15,FALSE),
IF(AND(Investment_Strategy="Lifecycle",Investment_Strategy_Sub1="Non-Standard"),VLOOKUP(Investment_Strategy&amp;"_"&amp;Investment_Strategy_Sub2&amp;"_"&amp;$A646,'Investment Strategies'!$C:$P,12,FALSE),
IF(AND(Investment_Strategy="Lifecycle",Investment_Strategy_Sub1="Standard"),VLOOKUP(Investment_Strategy&amp;"_"&amp;Investment_Strategy_Sub2&amp;"_"&amp;$A646,'Investment Strategies'!$AJ:$AV,11,FALSE),
IF(AND(Investment_Strategy="Autopilot",Investment_Strategy_Sub1="Non-Standard"),VLOOKUP(Investment_Strategy&amp;"_"&amp;Investment_Strategy_Sub2&amp;"_"&amp;$A646,'Investment Strategies'!$T:$AF,11,FALSE),
IF(Investment_Strategy="DIY",DIY_GteeChrge_CurrentFunds,
"Error"))))))</f>
        <v>0</v>
      </c>
      <c r="G646" s="33">
        <f>IF(AV646=0,0,
IF(Investment_Strategy="DIS",VLOOKUP(Investment_Strategy&amp;"_"&amp;Investment_Strategy_Sub1&amp;"_"&amp;$A646,'Investment Strategies'!$AZ:$BP,17,FALSE),
IF(AND(Investment_Strategy="Lifecycle",Investment_Strategy_Sub1="Non-Standard"),VLOOKUP(Investment_Strategy&amp;"_"&amp;Investment_Strategy_Sub2&amp;"_"&amp;$A646,'Investment Strategies'!$C:$P,14,FALSE),
IF(AND(Investment_Strategy="Lifecycle",Investment_Strategy_Sub1="Standard"),VLOOKUP(Investment_Strategy&amp;"_"&amp;Investment_Strategy_Sub2&amp;"_"&amp;$A646,'Investment Strategies'!$AJ:$AV,13,FALSE),
IF(AND(Investment_Strategy="Autopilot",Investment_Strategy_Sub1="Non-Standard"),VLOOKUP(Investment_Strategy&amp;"_"&amp;Investment_Strategy_Sub2&amp;"_"&amp;$A646,'Investment Strategies'!$T:$AF,13,FALSE),
IF(Investment_Strategy="DIY",DIY_ExtManChrge_CurrentFunds,
"Error"))))))</f>
        <v>0</v>
      </c>
      <c r="H646" s="16">
        <f t="shared" si="361"/>
        <v>0</v>
      </c>
      <c r="I646" s="16">
        <f t="shared" si="347"/>
        <v>0</v>
      </c>
      <c r="J646" s="16">
        <f t="shared" si="348"/>
        <v>0</v>
      </c>
      <c r="K646" s="16">
        <f>(Opening_Fund_Value+SUM(K$91:K645))*E646*IF(D646=$A$91,SRP_finalmonthfactor,1)</f>
        <v>0</v>
      </c>
      <c r="L646" s="74">
        <f>MIN(IF($AV646=0,0,
IF(Investment_Strategy="DIS",VLOOKUP(Investment_Strategy&amp;"_"&amp;Investment_Strategy_Sub1&amp;"_"&amp;$A646,'Investment Strategies'!$AZ:$BP,12,FALSE),
IF(AND(Investment_Strategy="Lifecycle",Investment_Strategy_Sub1="Non-Standard"),VLOOKUP(Investment_Strategy&amp;"_"&amp;Investment_Strategy_Sub2&amp;"_"&amp;$A646,'Investment Strategies'!$C:$P,9,FALSE),
IF(AND(Investment_Strategy="Lifecycle",Investment_Strategy_Sub1="Standard"),VLOOKUP(Investment_Strategy&amp;"_"&amp;Investment_Strategy_Sub2&amp;"_"&amp;$A646,'Investment Strategies'!$AJ:$AV,8,FALSE),
IF(AND(Investment_Strategy="Autopilot",Investment_Strategy_Sub1="Non-Standard"),VLOOKUP(Investment_Strategy&amp;"_"&amp;Investment_Strategy_Sub2&amp;"_"&amp;$A646,'Investment Strategies'!$T:$AF,8,FALSE),
IF(Investment_Strategy ="DIY",DIY_RateofReturn_SP,
"Error")))))),Max_InvReturn)</f>
        <v>0</v>
      </c>
      <c r="M646" s="62">
        <f>IF($AV646=0,0,
IF(Investment_Strategy="DIS",VLOOKUP(Investment_Strategy&amp;"_"&amp;Investment_Strategy_Sub1&amp;"_"&amp;$A646,'Investment Strategies'!$AZ:$BP,15,FALSE),
IF(AND(Investment_Strategy="Lifecycle",Investment_Strategy_Sub1="Non-Standard"),VLOOKUP(Investment_Strategy&amp;"_"&amp;Investment_Strategy_Sub2&amp;"_"&amp;$A646,'Investment Strategies'!$C:$P,12,FALSE),
IF(AND(Investment_Strategy="Lifecycle",Investment_Strategy_Sub1="Standard"),VLOOKUP(Investment_Strategy&amp;"_"&amp;Investment_Strategy_Sub2&amp;"_"&amp;$A646,'Investment Strategies'!$AJ:$AV,11,FALSE),
IF(AND(Investment_Strategy="Autopilot",Investment_Strategy_Sub1="Non-Standard"),VLOOKUP(Investment_Strategy&amp;"_"&amp;Investment_Strategy_Sub2&amp;"_"&amp;$A646,'Investment Strategies'!$T:$AF,11,FALSE),
IF(Investment_Strategy="DIY",DIY_GteeChrge_SP,
"Error"))))))</f>
        <v>0</v>
      </c>
      <c r="N646" s="33">
        <f>IF($AV646=0,0,
IF(Investment_Strategy="DIS",VLOOKUP(Investment_Strategy&amp;"_"&amp;Investment_Strategy_Sub1&amp;"_"&amp;$A646,'Investment Strategies'!$AZ:$BP,17,FALSE),
IF(AND(Investment_Strategy="Lifecycle",Investment_Strategy_Sub1="Non-Standard"),VLOOKUP(Investment_Strategy&amp;"_"&amp;Investment_Strategy_Sub2&amp;"_"&amp;$A646,'Investment Strategies'!$C:$P,14,FALSE),
IF(AND(Investment_Strategy="Lifecycle",Investment_Strategy_Sub1="Standard"),VLOOKUP(Investment_Strategy&amp;"_"&amp;Investment_Strategy_Sub2&amp;"_"&amp;$A646,'Investment Strategies'!$AJ:$AV,13,FALSE),
IF(AND(Investment_Strategy="Autopilot",Investment_Strategy_Sub1="Non-Standard"),VLOOKUP(Investment_Strategy&amp;"_"&amp;Investment_Strategy_Sub2&amp;"_"&amp;$A646,'Investment Strategies'!$T:$AF,13,FALSE),
IF(Investment_Strategy="DIY",DIY_ExtManChrge_SP,
"Error"))))))</f>
        <v>0</v>
      </c>
      <c r="O646" s="16">
        <f t="shared" si="372"/>
        <v>0</v>
      </c>
      <c r="Q646" s="16">
        <f t="shared" si="349"/>
        <v>0</v>
      </c>
      <c r="R646" s="16">
        <f t="shared" si="345"/>
        <v>0</v>
      </c>
      <c r="S646" s="16">
        <f>(SRP_SP+SUM(S$91:S645))*L646*IF(D646=$A$91,SRP_finalmonthfactor,1)</f>
        <v>0</v>
      </c>
      <c r="T646" s="74">
        <f>MIN(IF($AV646=0,0,
IF(Investment_Strategy="DIS",VLOOKUP(Investment_Strategy&amp;"_"&amp;Investment_Strategy_Sub1&amp;"_"&amp;$A646,'Investment Strategies'!$AZ:$BP,12,FALSE),
IF(AND(Investment_Strategy="Lifecycle",Investment_Strategy_Sub1="Non-Standard"),VLOOKUP(Investment_Strategy&amp;"_"&amp;Investment_Strategy_Sub2&amp;"_"&amp;$A646,'Investment Strategies'!$C:$P,9,FALSE),
IF(AND(Investment_Strategy="Lifecycle",Investment_Strategy_Sub1="Standard"),VLOOKUP(Investment_Strategy&amp;"_"&amp;Investment_Strategy_Sub2&amp;"_"&amp;$A646,'Investment Strategies'!$AJ:$AV,8,FALSE),
IF(AND(Investment_Strategy="Autopilot",Investment_Strategy_Sub1="Non-Standard"),VLOOKUP(Investment_Strategy&amp;"_"&amp;Investment_Strategy_Sub2&amp;"_"&amp;$A646,'Investment Strategies'!$T:$AF,8,FALSE),
IF(Investment_Strategy ="DIY",DIY_RateOfReturn_FuturePremiums,
"Error")))))),Max_InvReturn)</f>
        <v>0</v>
      </c>
      <c r="U646" s="62">
        <f>IF($AV646=0,0,
IF(Investment_Strategy="DIS",VLOOKUP(Investment_Strategy&amp;"_"&amp;Investment_Strategy_Sub1&amp;"_"&amp;$A646,'Investment Strategies'!$AZ:$BP,15,FALSE),
IF(AND(Investment_Strategy="Lifecycle",Investment_Strategy_Sub1="Non-Standard"),VLOOKUP(Investment_Strategy&amp;"_"&amp;Investment_Strategy_Sub2&amp;"_"&amp;$A646,'Investment Strategies'!$C:$P,12,FALSE),
IF(AND(Investment_Strategy="Lifecycle",Investment_Strategy_Sub1="Standard"),VLOOKUP(Investment_Strategy&amp;"_"&amp;Investment_Strategy_Sub2&amp;"_"&amp;$A646,'Investment Strategies'!$AJ:$AV,11,FALSE),
IF(AND(Investment_Strategy="Autopilot",Investment_Strategy_Sub1="Non-Standard"),VLOOKUP(Investment_Strategy&amp;"_"&amp;Investment_Strategy_Sub2&amp;"_"&amp;$A646,'Investment Strategies'!$T:$AF,11,FALSE),
IF(Investment_Strategy="DIY",DIY_GteeChrge_FuturePremiums,
"Error"))))))</f>
        <v>0</v>
      </c>
      <c r="V646" s="33">
        <f>IF(AV646=0,0,
IF(Investment_Strategy="DIS",VLOOKUP(Investment_Strategy&amp;"_"&amp;Investment_Strategy_Sub1&amp;"_"&amp;$A646,'Investment Strategies'!$AZ:$BP,17,FALSE),
IF(AND(Investment_Strategy="Lifecycle",Investment_Strategy_Sub1="Non-Standard"),VLOOKUP(Investment_Strategy&amp;"_"&amp;Investment_Strategy_Sub2&amp;"_"&amp;$A646,'Investment Strategies'!$C:$P,14,FALSE),
IF(AND(Investment_Strategy="Lifecycle",Investment_Strategy_Sub1="Standard"),VLOOKUP(Investment_Strategy&amp;"_"&amp;Investment_Strategy_Sub2&amp;"_"&amp;$A646,'Investment Strategies'!$AJ:$AV,13,FALSE),
IF(AND(Investment_Strategy="Autopilot",Investment_Strategy_Sub1="Non-Standard"),VLOOKUP(Investment_Strategy&amp;"_"&amp;Investment_Strategy_Sub2&amp;"_"&amp;$A646,'Investment Strategies'!$T:$AF,13,FALSE),
IF(Investment_Strategy="DIY",DIY_ExtManChrge_FuturePremiums,
"Error"))))))</f>
        <v>0</v>
      </c>
      <c r="W646" s="16">
        <f t="shared" si="373"/>
        <v>0</v>
      </c>
      <c r="X646" s="16">
        <f t="shared" si="350"/>
        <v>0</v>
      </c>
      <c r="Y646" s="16">
        <f t="shared" si="351"/>
        <v>0</v>
      </c>
      <c r="Z646" s="31">
        <f t="shared" si="352"/>
        <v>0.02</v>
      </c>
      <c r="AA646" s="16">
        <f t="shared" si="353"/>
        <v>0</v>
      </c>
      <c r="AB646" s="28">
        <f t="shared" si="374"/>
        <v>0</v>
      </c>
      <c r="AC646" s="28">
        <f>(SUM($AC$91:AC645)+SUM($X$91:X645)+X646)*T646*IF(D646=$A$91,SRP_finalmonthfactor,1)</f>
        <v>0</v>
      </c>
      <c r="AD646" s="16">
        <f t="shared" si="354"/>
        <v>0</v>
      </c>
      <c r="AE646" s="106"/>
      <c r="AF646" s="16">
        <f t="shared" si="362"/>
        <v>0</v>
      </c>
      <c r="AG646" s="16">
        <f t="shared" si="363"/>
        <v>0</v>
      </c>
      <c r="AH646" s="16">
        <f t="shared" si="364"/>
        <v>0</v>
      </c>
      <c r="AJ646" s="13">
        <f t="shared" si="378"/>
        <v>0</v>
      </c>
      <c r="AK646" s="13">
        <f t="shared" si="378"/>
        <v>0</v>
      </c>
      <c r="AL646" s="13">
        <f t="shared" si="378"/>
        <v>0</v>
      </c>
      <c r="AM646" s="13">
        <f t="shared" si="378"/>
        <v>0</v>
      </c>
      <c r="AN646" s="13">
        <f t="shared" si="378"/>
        <v>0</v>
      </c>
      <c r="AO646" s="13">
        <f t="shared" si="378"/>
        <v>1</v>
      </c>
      <c r="AP646" s="13">
        <f t="shared" si="378"/>
        <v>1</v>
      </c>
      <c r="AQ646" s="13">
        <f t="shared" si="378"/>
        <v>1</v>
      </c>
      <c r="AR646" s="13">
        <f t="shared" si="378"/>
        <v>0</v>
      </c>
      <c r="AS646" s="13">
        <f t="shared" si="378"/>
        <v>0</v>
      </c>
      <c r="AT646" s="13">
        <f t="shared" si="378"/>
        <v>0</v>
      </c>
      <c r="AU646" s="13">
        <f t="shared" si="378"/>
        <v>0</v>
      </c>
      <c r="AV646" s="13">
        <f t="shared" si="355"/>
        <v>0</v>
      </c>
      <c r="AW646" s="13">
        <f t="shared" si="356"/>
        <v>1</v>
      </c>
      <c r="AY646" s="17">
        <f t="shared" si="357"/>
        <v>556</v>
      </c>
      <c r="AZ646" s="28">
        <f t="shared" si="365"/>
        <v>0</v>
      </c>
      <c r="BA646" s="13">
        <f t="shared" si="358"/>
        <v>0</v>
      </c>
      <c r="BB646" s="13">
        <f t="shared" si="359"/>
        <v>0</v>
      </c>
      <c r="BC646" s="28">
        <f t="shared" si="366"/>
        <v>0</v>
      </c>
      <c r="BD646" s="28">
        <f t="shared" si="367"/>
        <v>0</v>
      </c>
      <c r="BF646" s="248">
        <f t="shared" si="368"/>
        <v>993869.29442638322</v>
      </c>
    </row>
    <row r="647" spans="1:58">
      <c r="A647" s="32">
        <f t="shared" si="369"/>
        <v>-472</v>
      </c>
      <c r="B647" s="32">
        <f t="shared" si="360"/>
        <v>99</v>
      </c>
      <c r="C647" s="32">
        <f t="shared" si="370"/>
        <v>47</v>
      </c>
      <c r="D647" s="32">
        <f t="shared" si="371"/>
        <v>557</v>
      </c>
      <c r="E647" s="74">
        <f>MIN(IF(AV647=0,0,
IF(Investment_Strategy="DIS",VLOOKUP(Investment_Strategy&amp;"_"&amp;Investment_Strategy_Sub1&amp;"_"&amp;$A647,'Investment Strategies'!$AZ:$BP,12,FALSE),
IF(AND(Investment_Strategy="Lifecycle",Investment_Strategy_Sub1="Non-Standard"),VLOOKUP(Investment_Strategy&amp;"_"&amp;Investment_Strategy_Sub2&amp;"_"&amp;$A647,'Investment Strategies'!$C:$P,9,FALSE),
IF(AND(Investment_Strategy="Lifecycle",Investment_Strategy_Sub1="Standard"),VLOOKUP(Investment_Strategy&amp;"_"&amp;Investment_Strategy_Sub2&amp;"_"&amp;$A647,'Investment Strategies'!$AJ:$AV,8,FALSE),
IF(AND(Investment_Strategy="Autopilot",Investment_Strategy_Sub1="Non-Standard"),VLOOKUP(Investment_Strategy&amp;"_"&amp;Investment_Strategy_Sub2&amp;"_"&amp;$A647,'Investment Strategies'!$T:$AF,8,FALSE),
IF(Investment_Strategy ="DIY",DIY_RateOfReturn_CurrentFunds,
"Error")))))),Max_InvReturn)</f>
        <v>0</v>
      </c>
      <c r="F647" s="62">
        <f>IF(AV647=0,0,
IF(Investment_Strategy="DIS",VLOOKUP(Investment_Strategy&amp;"_"&amp;Investment_Strategy_Sub1&amp;"_"&amp;$A647,'Investment Strategies'!$AZ:$BP,15,FALSE),
IF(AND(Investment_Strategy="Lifecycle",Investment_Strategy_Sub1="Non-Standard"),VLOOKUP(Investment_Strategy&amp;"_"&amp;Investment_Strategy_Sub2&amp;"_"&amp;$A647,'Investment Strategies'!$C:$P,12,FALSE),
IF(AND(Investment_Strategy="Lifecycle",Investment_Strategy_Sub1="Standard"),VLOOKUP(Investment_Strategy&amp;"_"&amp;Investment_Strategy_Sub2&amp;"_"&amp;$A647,'Investment Strategies'!$AJ:$AV,11,FALSE),
IF(AND(Investment_Strategy="Autopilot",Investment_Strategy_Sub1="Non-Standard"),VLOOKUP(Investment_Strategy&amp;"_"&amp;Investment_Strategy_Sub2&amp;"_"&amp;$A647,'Investment Strategies'!$T:$AF,11,FALSE),
IF(Investment_Strategy="DIY",DIY_GteeChrge_CurrentFunds,
"Error"))))))</f>
        <v>0</v>
      </c>
      <c r="G647" s="33">
        <f>IF(AV647=0,0,
IF(Investment_Strategy="DIS",VLOOKUP(Investment_Strategy&amp;"_"&amp;Investment_Strategy_Sub1&amp;"_"&amp;$A647,'Investment Strategies'!$AZ:$BP,17,FALSE),
IF(AND(Investment_Strategy="Lifecycle",Investment_Strategy_Sub1="Non-Standard"),VLOOKUP(Investment_Strategy&amp;"_"&amp;Investment_Strategy_Sub2&amp;"_"&amp;$A647,'Investment Strategies'!$C:$P,14,FALSE),
IF(AND(Investment_Strategy="Lifecycle",Investment_Strategy_Sub1="Standard"),VLOOKUP(Investment_Strategy&amp;"_"&amp;Investment_Strategy_Sub2&amp;"_"&amp;$A647,'Investment Strategies'!$AJ:$AV,13,FALSE),
IF(AND(Investment_Strategy="Autopilot",Investment_Strategy_Sub1="Non-Standard"),VLOOKUP(Investment_Strategy&amp;"_"&amp;Investment_Strategy_Sub2&amp;"_"&amp;$A647,'Investment Strategies'!$T:$AF,13,FALSE),
IF(Investment_Strategy="DIY",DIY_ExtManChrge_CurrentFunds,
"Error"))))))</f>
        <v>0</v>
      </c>
      <c r="H647" s="16">
        <f t="shared" si="361"/>
        <v>0</v>
      </c>
      <c r="I647" s="16">
        <f t="shared" si="347"/>
        <v>0</v>
      </c>
      <c r="J647" s="16">
        <f t="shared" si="348"/>
        <v>0</v>
      </c>
      <c r="K647" s="16">
        <f>(Opening_Fund_Value+SUM(K$91:K646))*E647*IF(D647=$A$91,SRP_finalmonthfactor,1)</f>
        <v>0</v>
      </c>
      <c r="L647" s="74">
        <f>MIN(IF($AV647=0,0,
IF(Investment_Strategy="DIS",VLOOKUP(Investment_Strategy&amp;"_"&amp;Investment_Strategy_Sub1&amp;"_"&amp;$A647,'Investment Strategies'!$AZ:$BP,12,FALSE),
IF(AND(Investment_Strategy="Lifecycle",Investment_Strategy_Sub1="Non-Standard"),VLOOKUP(Investment_Strategy&amp;"_"&amp;Investment_Strategy_Sub2&amp;"_"&amp;$A647,'Investment Strategies'!$C:$P,9,FALSE),
IF(AND(Investment_Strategy="Lifecycle",Investment_Strategy_Sub1="Standard"),VLOOKUP(Investment_Strategy&amp;"_"&amp;Investment_Strategy_Sub2&amp;"_"&amp;$A647,'Investment Strategies'!$AJ:$AV,8,FALSE),
IF(AND(Investment_Strategy="Autopilot",Investment_Strategy_Sub1="Non-Standard"),VLOOKUP(Investment_Strategy&amp;"_"&amp;Investment_Strategy_Sub2&amp;"_"&amp;$A647,'Investment Strategies'!$T:$AF,8,FALSE),
IF(Investment_Strategy ="DIY",DIY_RateofReturn_SP,
"Error")))))),Max_InvReturn)</f>
        <v>0</v>
      </c>
      <c r="M647" s="62">
        <f>IF($AV647=0,0,
IF(Investment_Strategy="DIS",VLOOKUP(Investment_Strategy&amp;"_"&amp;Investment_Strategy_Sub1&amp;"_"&amp;$A647,'Investment Strategies'!$AZ:$BP,15,FALSE),
IF(AND(Investment_Strategy="Lifecycle",Investment_Strategy_Sub1="Non-Standard"),VLOOKUP(Investment_Strategy&amp;"_"&amp;Investment_Strategy_Sub2&amp;"_"&amp;$A647,'Investment Strategies'!$C:$P,12,FALSE),
IF(AND(Investment_Strategy="Lifecycle",Investment_Strategy_Sub1="Standard"),VLOOKUP(Investment_Strategy&amp;"_"&amp;Investment_Strategy_Sub2&amp;"_"&amp;$A647,'Investment Strategies'!$AJ:$AV,11,FALSE),
IF(AND(Investment_Strategy="Autopilot",Investment_Strategy_Sub1="Non-Standard"),VLOOKUP(Investment_Strategy&amp;"_"&amp;Investment_Strategy_Sub2&amp;"_"&amp;$A647,'Investment Strategies'!$T:$AF,11,FALSE),
IF(Investment_Strategy="DIY",DIY_GteeChrge_SP,
"Error"))))))</f>
        <v>0</v>
      </c>
      <c r="N647" s="33">
        <f>IF($AV647=0,0,
IF(Investment_Strategy="DIS",VLOOKUP(Investment_Strategy&amp;"_"&amp;Investment_Strategy_Sub1&amp;"_"&amp;$A647,'Investment Strategies'!$AZ:$BP,17,FALSE),
IF(AND(Investment_Strategy="Lifecycle",Investment_Strategy_Sub1="Non-Standard"),VLOOKUP(Investment_Strategy&amp;"_"&amp;Investment_Strategy_Sub2&amp;"_"&amp;$A647,'Investment Strategies'!$C:$P,14,FALSE),
IF(AND(Investment_Strategy="Lifecycle",Investment_Strategy_Sub1="Standard"),VLOOKUP(Investment_Strategy&amp;"_"&amp;Investment_Strategy_Sub2&amp;"_"&amp;$A647,'Investment Strategies'!$AJ:$AV,13,FALSE),
IF(AND(Investment_Strategy="Autopilot",Investment_Strategy_Sub1="Non-Standard"),VLOOKUP(Investment_Strategy&amp;"_"&amp;Investment_Strategy_Sub2&amp;"_"&amp;$A647,'Investment Strategies'!$T:$AF,13,FALSE),
IF(Investment_Strategy="DIY",DIY_ExtManChrge_SP,
"Error"))))))</f>
        <v>0</v>
      </c>
      <c r="O647" s="16">
        <f t="shared" si="372"/>
        <v>0</v>
      </c>
      <c r="Q647" s="16">
        <f t="shared" si="349"/>
        <v>0</v>
      </c>
      <c r="R647" s="16">
        <f t="shared" si="345"/>
        <v>0</v>
      </c>
      <c r="S647" s="16">
        <f>(SRP_SP+SUM(S$91:S646))*L647*IF(D647=$A$91,SRP_finalmonthfactor,1)</f>
        <v>0</v>
      </c>
      <c r="T647" s="74">
        <f>MIN(IF($AV647=0,0,
IF(Investment_Strategy="DIS",VLOOKUP(Investment_Strategy&amp;"_"&amp;Investment_Strategy_Sub1&amp;"_"&amp;$A647,'Investment Strategies'!$AZ:$BP,12,FALSE),
IF(AND(Investment_Strategy="Lifecycle",Investment_Strategy_Sub1="Non-Standard"),VLOOKUP(Investment_Strategy&amp;"_"&amp;Investment_Strategy_Sub2&amp;"_"&amp;$A647,'Investment Strategies'!$C:$P,9,FALSE),
IF(AND(Investment_Strategy="Lifecycle",Investment_Strategy_Sub1="Standard"),VLOOKUP(Investment_Strategy&amp;"_"&amp;Investment_Strategy_Sub2&amp;"_"&amp;$A647,'Investment Strategies'!$AJ:$AV,8,FALSE),
IF(AND(Investment_Strategy="Autopilot",Investment_Strategy_Sub1="Non-Standard"),VLOOKUP(Investment_Strategy&amp;"_"&amp;Investment_Strategy_Sub2&amp;"_"&amp;$A647,'Investment Strategies'!$T:$AF,8,FALSE),
IF(Investment_Strategy ="DIY",DIY_RateOfReturn_FuturePremiums,
"Error")))))),Max_InvReturn)</f>
        <v>0</v>
      </c>
      <c r="U647" s="62">
        <f>IF($AV647=0,0,
IF(Investment_Strategy="DIS",VLOOKUP(Investment_Strategy&amp;"_"&amp;Investment_Strategy_Sub1&amp;"_"&amp;$A647,'Investment Strategies'!$AZ:$BP,15,FALSE),
IF(AND(Investment_Strategy="Lifecycle",Investment_Strategy_Sub1="Non-Standard"),VLOOKUP(Investment_Strategy&amp;"_"&amp;Investment_Strategy_Sub2&amp;"_"&amp;$A647,'Investment Strategies'!$C:$P,12,FALSE),
IF(AND(Investment_Strategy="Lifecycle",Investment_Strategy_Sub1="Standard"),VLOOKUP(Investment_Strategy&amp;"_"&amp;Investment_Strategy_Sub2&amp;"_"&amp;$A647,'Investment Strategies'!$AJ:$AV,11,FALSE),
IF(AND(Investment_Strategy="Autopilot",Investment_Strategy_Sub1="Non-Standard"),VLOOKUP(Investment_Strategy&amp;"_"&amp;Investment_Strategy_Sub2&amp;"_"&amp;$A647,'Investment Strategies'!$T:$AF,11,FALSE),
IF(Investment_Strategy="DIY",DIY_GteeChrge_FuturePremiums,
"Error"))))))</f>
        <v>0</v>
      </c>
      <c r="V647" s="33">
        <f>IF(AV647=0,0,
IF(Investment_Strategy="DIS",VLOOKUP(Investment_Strategy&amp;"_"&amp;Investment_Strategy_Sub1&amp;"_"&amp;$A647,'Investment Strategies'!$AZ:$BP,17,FALSE),
IF(AND(Investment_Strategy="Lifecycle",Investment_Strategy_Sub1="Non-Standard"),VLOOKUP(Investment_Strategy&amp;"_"&amp;Investment_Strategy_Sub2&amp;"_"&amp;$A647,'Investment Strategies'!$C:$P,14,FALSE),
IF(AND(Investment_Strategy="Lifecycle",Investment_Strategy_Sub1="Standard"),VLOOKUP(Investment_Strategy&amp;"_"&amp;Investment_Strategy_Sub2&amp;"_"&amp;$A647,'Investment Strategies'!$AJ:$AV,13,FALSE),
IF(AND(Investment_Strategy="Autopilot",Investment_Strategy_Sub1="Non-Standard"),VLOOKUP(Investment_Strategy&amp;"_"&amp;Investment_Strategy_Sub2&amp;"_"&amp;$A647,'Investment Strategies'!$T:$AF,13,FALSE),
IF(Investment_Strategy="DIY",DIY_ExtManChrge_FuturePremiums,
"Error"))))))</f>
        <v>0</v>
      </c>
      <c r="W647" s="16">
        <f t="shared" si="373"/>
        <v>0</v>
      </c>
      <c r="X647" s="16">
        <f t="shared" si="350"/>
        <v>0</v>
      </c>
      <c r="Y647" s="16">
        <f t="shared" si="351"/>
        <v>0</v>
      </c>
      <c r="Z647" s="31">
        <f t="shared" si="352"/>
        <v>0.02</v>
      </c>
      <c r="AA647" s="16">
        <f t="shared" si="353"/>
        <v>0</v>
      </c>
      <c r="AB647" s="28">
        <f t="shared" si="374"/>
        <v>0</v>
      </c>
      <c r="AC647" s="28">
        <f>(SUM($AC$91:AC646)+SUM($X$91:X646)+X647)*T647*IF(D647=$A$91,SRP_finalmonthfactor,1)</f>
        <v>0</v>
      </c>
      <c r="AD647" s="16">
        <f t="shared" si="354"/>
        <v>0</v>
      </c>
      <c r="AE647" s="106"/>
      <c r="AF647" s="16">
        <f t="shared" si="362"/>
        <v>0</v>
      </c>
      <c r="AG647" s="16">
        <f t="shared" si="363"/>
        <v>0</v>
      </c>
      <c r="AH647" s="16">
        <f t="shared" si="364"/>
        <v>0</v>
      </c>
      <c r="AJ647" s="13">
        <f t="shared" si="378"/>
        <v>0</v>
      </c>
      <c r="AK647" s="13">
        <f t="shared" si="378"/>
        <v>0</v>
      </c>
      <c r="AL647" s="13">
        <f t="shared" si="378"/>
        <v>0</v>
      </c>
      <c r="AM647" s="13">
        <f t="shared" si="378"/>
        <v>0</v>
      </c>
      <c r="AN647" s="13">
        <f t="shared" si="378"/>
        <v>0</v>
      </c>
      <c r="AO647" s="13">
        <f t="shared" si="378"/>
        <v>1</v>
      </c>
      <c r="AP647" s="13">
        <f t="shared" si="378"/>
        <v>1</v>
      </c>
      <c r="AQ647" s="13">
        <f t="shared" si="378"/>
        <v>1</v>
      </c>
      <c r="AR647" s="13">
        <f t="shared" si="378"/>
        <v>0</v>
      </c>
      <c r="AS647" s="13">
        <f t="shared" si="378"/>
        <v>0</v>
      </c>
      <c r="AT647" s="13">
        <f t="shared" si="378"/>
        <v>0</v>
      </c>
      <c r="AU647" s="13">
        <f t="shared" si="378"/>
        <v>0</v>
      </c>
      <c r="AV647" s="13">
        <f t="shared" si="355"/>
        <v>0</v>
      </c>
      <c r="AW647" s="13">
        <f t="shared" si="356"/>
        <v>1</v>
      </c>
      <c r="AY647" s="17">
        <f t="shared" si="357"/>
        <v>557</v>
      </c>
      <c r="AZ647" s="28">
        <f t="shared" si="365"/>
        <v>0</v>
      </c>
      <c r="BA647" s="13">
        <f t="shared" si="358"/>
        <v>0</v>
      </c>
      <c r="BB647" s="13">
        <f t="shared" si="359"/>
        <v>0</v>
      </c>
      <c r="BC647" s="28">
        <f t="shared" si="366"/>
        <v>0</v>
      </c>
      <c r="BD647" s="28">
        <f t="shared" si="367"/>
        <v>0</v>
      </c>
      <c r="BF647" s="248">
        <f t="shared" si="368"/>
        <v>993869.29442638322</v>
      </c>
    </row>
    <row r="648" spans="1:58">
      <c r="A648" s="32">
        <f t="shared" si="369"/>
        <v>-473</v>
      </c>
      <c r="B648" s="32">
        <f t="shared" si="360"/>
        <v>99</v>
      </c>
      <c r="C648" s="32">
        <f t="shared" si="370"/>
        <v>47</v>
      </c>
      <c r="D648" s="32">
        <f t="shared" si="371"/>
        <v>558</v>
      </c>
      <c r="E648" s="74">
        <f>MIN(IF(AV648=0,0,
IF(Investment_Strategy="DIS",VLOOKUP(Investment_Strategy&amp;"_"&amp;Investment_Strategy_Sub1&amp;"_"&amp;$A648,'Investment Strategies'!$AZ:$BP,12,FALSE),
IF(AND(Investment_Strategy="Lifecycle",Investment_Strategy_Sub1="Non-Standard"),VLOOKUP(Investment_Strategy&amp;"_"&amp;Investment_Strategy_Sub2&amp;"_"&amp;$A648,'Investment Strategies'!$C:$P,9,FALSE),
IF(AND(Investment_Strategy="Lifecycle",Investment_Strategy_Sub1="Standard"),VLOOKUP(Investment_Strategy&amp;"_"&amp;Investment_Strategy_Sub2&amp;"_"&amp;$A648,'Investment Strategies'!$AJ:$AV,8,FALSE),
IF(AND(Investment_Strategy="Autopilot",Investment_Strategy_Sub1="Non-Standard"),VLOOKUP(Investment_Strategy&amp;"_"&amp;Investment_Strategy_Sub2&amp;"_"&amp;$A648,'Investment Strategies'!$T:$AF,8,FALSE),
IF(Investment_Strategy ="DIY",DIY_RateOfReturn_CurrentFunds,
"Error")))))),Max_InvReturn)</f>
        <v>0</v>
      </c>
      <c r="F648" s="62">
        <f>IF(AV648=0,0,
IF(Investment_Strategy="DIS",VLOOKUP(Investment_Strategy&amp;"_"&amp;Investment_Strategy_Sub1&amp;"_"&amp;$A648,'Investment Strategies'!$AZ:$BP,15,FALSE),
IF(AND(Investment_Strategy="Lifecycle",Investment_Strategy_Sub1="Non-Standard"),VLOOKUP(Investment_Strategy&amp;"_"&amp;Investment_Strategy_Sub2&amp;"_"&amp;$A648,'Investment Strategies'!$C:$P,12,FALSE),
IF(AND(Investment_Strategy="Lifecycle",Investment_Strategy_Sub1="Standard"),VLOOKUP(Investment_Strategy&amp;"_"&amp;Investment_Strategy_Sub2&amp;"_"&amp;$A648,'Investment Strategies'!$AJ:$AV,11,FALSE),
IF(AND(Investment_Strategy="Autopilot",Investment_Strategy_Sub1="Non-Standard"),VLOOKUP(Investment_Strategy&amp;"_"&amp;Investment_Strategy_Sub2&amp;"_"&amp;$A648,'Investment Strategies'!$T:$AF,11,FALSE),
IF(Investment_Strategy="DIY",DIY_GteeChrge_CurrentFunds,
"Error"))))))</f>
        <v>0</v>
      </c>
      <c r="G648" s="33">
        <f>IF(AV648=0,0,
IF(Investment_Strategy="DIS",VLOOKUP(Investment_Strategy&amp;"_"&amp;Investment_Strategy_Sub1&amp;"_"&amp;$A648,'Investment Strategies'!$AZ:$BP,17,FALSE),
IF(AND(Investment_Strategy="Lifecycle",Investment_Strategy_Sub1="Non-Standard"),VLOOKUP(Investment_Strategy&amp;"_"&amp;Investment_Strategy_Sub2&amp;"_"&amp;$A648,'Investment Strategies'!$C:$P,14,FALSE),
IF(AND(Investment_Strategy="Lifecycle",Investment_Strategy_Sub1="Standard"),VLOOKUP(Investment_Strategy&amp;"_"&amp;Investment_Strategy_Sub2&amp;"_"&amp;$A648,'Investment Strategies'!$AJ:$AV,13,FALSE),
IF(AND(Investment_Strategy="Autopilot",Investment_Strategy_Sub1="Non-Standard"),VLOOKUP(Investment_Strategy&amp;"_"&amp;Investment_Strategy_Sub2&amp;"_"&amp;$A648,'Investment Strategies'!$T:$AF,13,FALSE),
IF(Investment_Strategy="DIY",DIY_ExtManChrge_CurrentFunds,
"Error"))))))</f>
        <v>0</v>
      </c>
      <c r="H648" s="16">
        <f t="shared" si="361"/>
        <v>0</v>
      </c>
      <c r="I648" s="16">
        <f t="shared" si="347"/>
        <v>0</v>
      </c>
      <c r="J648" s="16">
        <f t="shared" si="348"/>
        <v>0</v>
      </c>
      <c r="K648" s="16">
        <f>(Opening_Fund_Value+SUM(K$91:K647))*E648*IF(D648=$A$91,SRP_finalmonthfactor,1)</f>
        <v>0</v>
      </c>
      <c r="L648" s="74">
        <f>MIN(IF($AV648=0,0,
IF(Investment_Strategy="DIS",VLOOKUP(Investment_Strategy&amp;"_"&amp;Investment_Strategy_Sub1&amp;"_"&amp;$A648,'Investment Strategies'!$AZ:$BP,12,FALSE),
IF(AND(Investment_Strategy="Lifecycle",Investment_Strategy_Sub1="Non-Standard"),VLOOKUP(Investment_Strategy&amp;"_"&amp;Investment_Strategy_Sub2&amp;"_"&amp;$A648,'Investment Strategies'!$C:$P,9,FALSE),
IF(AND(Investment_Strategy="Lifecycle",Investment_Strategy_Sub1="Standard"),VLOOKUP(Investment_Strategy&amp;"_"&amp;Investment_Strategy_Sub2&amp;"_"&amp;$A648,'Investment Strategies'!$AJ:$AV,8,FALSE),
IF(AND(Investment_Strategy="Autopilot",Investment_Strategy_Sub1="Non-Standard"),VLOOKUP(Investment_Strategy&amp;"_"&amp;Investment_Strategy_Sub2&amp;"_"&amp;$A648,'Investment Strategies'!$T:$AF,8,FALSE),
IF(Investment_Strategy ="DIY",DIY_RateofReturn_SP,
"Error")))))),Max_InvReturn)</f>
        <v>0</v>
      </c>
      <c r="M648" s="62">
        <f>IF($AV648=0,0,
IF(Investment_Strategy="DIS",VLOOKUP(Investment_Strategy&amp;"_"&amp;Investment_Strategy_Sub1&amp;"_"&amp;$A648,'Investment Strategies'!$AZ:$BP,15,FALSE),
IF(AND(Investment_Strategy="Lifecycle",Investment_Strategy_Sub1="Non-Standard"),VLOOKUP(Investment_Strategy&amp;"_"&amp;Investment_Strategy_Sub2&amp;"_"&amp;$A648,'Investment Strategies'!$C:$P,12,FALSE),
IF(AND(Investment_Strategy="Lifecycle",Investment_Strategy_Sub1="Standard"),VLOOKUP(Investment_Strategy&amp;"_"&amp;Investment_Strategy_Sub2&amp;"_"&amp;$A648,'Investment Strategies'!$AJ:$AV,11,FALSE),
IF(AND(Investment_Strategy="Autopilot",Investment_Strategy_Sub1="Non-Standard"),VLOOKUP(Investment_Strategy&amp;"_"&amp;Investment_Strategy_Sub2&amp;"_"&amp;$A648,'Investment Strategies'!$T:$AF,11,FALSE),
IF(Investment_Strategy="DIY",DIY_GteeChrge_SP,
"Error"))))))</f>
        <v>0</v>
      </c>
      <c r="N648" s="33">
        <f>IF($AV648=0,0,
IF(Investment_Strategy="DIS",VLOOKUP(Investment_Strategy&amp;"_"&amp;Investment_Strategy_Sub1&amp;"_"&amp;$A648,'Investment Strategies'!$AZ:$BP,17,FALSE),
IF(AND(Investment_Strategy="Lifecycle",Investment_Strategy_Sub1="Non-Standard"),VLOOKUP(Investment_Strategy&amp;"_"&amp;Investment_Strategy_Sub2&amp;"_"&amp;$A648,'Investment Strategies'!$C:$P,14,FALSE),
IF(AND(Investment_Strategy="Lifecycle",Investment_Strategy_Sub1="Standard"),VLOOKUP(Investment_Strategy&amp;"_"&amp;Investment_Strategy_Sub2&amp;"_"&amp;$A648,'Investment Strategies'!$AJ:$AV,13,FALSE),
IF(AND(Investment_Strategy="Autopilot",Investment_Strategy_Sub1="Non-Standard"),VLOOKUP(Investment_Strategy&amp;"_"&amp;Investment_Strategy_Sub2&amp;"_"&amp;$A648,'Investment Strategies'!$T:$AF,13,FALSE),
IF(Investment_Strategy="DIY",DIY_ExtManChrge_SP,
"Error"))))))</f>
        <v>0</v>
      </c>
      <c r="O648" s="16">
        <f t="shared" si="372"/>
        <v>0</v>
      </c>
      <c r="Q648" s="16">
        <f t="shared" si="349"/>
        <v>0</v>
      </c>
      <c r="R648" s="16">
        <f t="shared" si="345"/>
        <v>0</v>
      </c>
      <c r="S648" s="16">
        <f>(SRP_SP+SUM(S$91:S647))*L648*IF(D648=$A$91,SRP_finalmonthfactor,1)</f>
        <v>0</v>
      </c>
      <c r="T648" s="74">
        <f>MIN(IF($AV648=0,0,
IF(Investment_Strategy="DIS",VLOOKUP(Investment_Strategy&amp;"_"&amp;Investment_Strategy_Sub1&amp;"_"&amp;$A648,'Investment Strategies'!$AZ:$BP,12,FALSE),
IF(AND(Investment_Strategy="Lifecycle",Investment_Strategy_Sub1="Non-Standard"),VLOOKUP(Investment_Strategy&amp;"_"&amp;Investment_Strategy_Sub2&amp;"_"&amp;$A648,'Investment Strategies'!$C:$P,9,FALSE),
IF(AND(Investment_Strategy="Lifecycle",Investment_Strategy_Sub1="Standard"),VLOOKUP(Investment_Strategy&amp;"_"&amp;Investment_Strategy_Sub2&amp;"_"&amp;$A648,'Investment Strategies'!$AJ:$AV,8,FALSE),
IF(AND(Investment_Strategy="Autopilot",Investment_Strategy_Sub1="Non-Standard"),VLOOKUP(Investment_Strategy&amp;"_"&amp;Investment_Strategy_Sub2&amp;"_"&amp;$A648,'Investment Strategies'!$T:$AF,8,FALSE),
IF(Investment_Strategy ="DIY",DIY_RateOfReturn_FuturePremiums,
"Error")))))),Max_InvReturn)</f>
        <v>0</v>
      </c>
      <c r="U648" s="62">
        <f>IF($AV648=0,0,
IF(Investment_Strategy="DIS",VLOOKUP(Investment_Strategy&amp;"_"&amp;Investment_Strategy_Sub1&amp;"_"&amp;$A648,'Investment Strategies'!$AZ:$BP,15,FALSE),
IF(AND(Investment_Strategy="Lifecycle",Investment_Strategy_Sub1="Non-Standard"),VLOOKUP(Investment_Strategy&amp;"_"&amp;Investment_Strategy_Sub2&amp;"_"&amp;$A648,'Investment Strategies'!$C:$P,12,FALSE),
IF(AND(Investment_Strategy="Lifecycle",Investment_Strategy_Sub1="Standard"),VLOOKUP(Investment_Strategy&amp;"_"&amp;Investment_Strategy_Sub2&amp;"_"&amp;$A648,'Investment Strategies'!$AJ:$AV,11,FALSE),
IF(AND(Investment_Strategy="Autopilot",Investment_Strategy_Sub1="Non-Standard"),VLOOKUP(Investment_Strategy&amp;"_"&amp;Investment_Strategy_Sub2&amp;"_"&amp;$A648,'Investment Strategies'!$T:$AF,11,FALSE),
IF(Investment_Strategy="DIY",DIY_GteeChrge_FuturePremiums,
"Error"))))))</f>
        <v>0</v>
      </c>
      <c r="V648" s="33">
        <f>IF(AV648=0,0,
IF(Investment_Strategy="DIS",VLOOKUP(Investment_Strategy&amp;"_"&amp;Investment_Strategy_Sub1&amp;"_"&amp;$A648,'Investment Strategies'!$AZ:$BP,17,FALSE),
IF(AND(Investment_Strategy="Lifecycle",Investment_Strategy_Sub1="Non-Standard"),VLOOKUP(Investment_Strategy&amp;"_"&amp;Investment_Strategy_Sub2&amp;"_"&amp;$A648,'Investment Strategies'!$C:$P,14,FALSE),
IF(AND(Investment_Strategy="Lifecycle",Investment_Strategy_Sub1="Standard"),VLOOKUP(Investment_Strategy&amp;"_"&amp;Investment_Strategy_Sub2&amp;"_"&amp;$A648,'Investment Strategies'!$AJ:$AV,13,FALSE),
IF(AND(Investment_Strategy="Autopilot",Investment_Strategy_Sub1="Non-Standard"),VLOOKUP(Investment_Strategy&amp;"_"&amp;Investment_Strategy_Sub2&amp;"_"&amp;$A648,'Investment Strategies'!$T:$AF,13,FALSE),
IF(Investment_Strategy="DIY",DIY_ExtManChrge_FuturePremiums,
"Error"))))))</f>
        <v>0</v>
      </c>
      <c r="W648" s="16">
        <f t="shared" si="373"/>
        <v>0</v>
      </c>
      <c r="X648" s="16">
        <f t="shared" si="350"/>
        <v>0</v>
      </c>
      <c r="Y648" s="16">
        <f t="shared" si="351"/>
        <v>0</v>
      </c>
      <c r="Z648" s="31">
        <f t="shared" si="352"/>
        <v>0.02</v>
      </c>
      <c r="AA648" s="16">
        <f t="shared" si="353"/>
        <v>0</v>
      </c>
      <c r="AB648" s="28">
        <f t="shared" si="374"/>
        <v>0</v>
      </c>
      <c r="AC648" s="28">
        <f>(SUM($AC$91:AC647)+SUM($X$91:X647)+X648)*T648*IF(D648=$A$91,SRP_finalmonthfactor,1)</f>
        <v>0</v>
      </c>
      <c r="AD648" s="16">
        <f t="shared" si="354"/>
        <v>0</v>
      </c>
      <c r="AE648" s="106"/>
      <c r="AF648" s="16">
        <f t="shared" si="362"/>
        <v>0</v>
      </c>
      <c r="AG648" s="16">
        <f t="shared" si="363"/>
        <v>0</v>
      </c>
      <c r="AH648" s="16">
        <f t="shared" si="364"/>
        <v>0</v>
      </c>
      <c r="AJ648" s="13">
        <f t="shared" si="378"/>
        <v>0</v>
      </c>
      <c r="AK648" s="13">
        <f t="shared" si="378"/>
        <v>0</v>
      </c>
      <c r="AL648" s="13">
        <f t="shared" si="378"/>
        <v>0</v>
      </c>
      <c r="AM648" s="13">
        <f t="shared" si="378"/>
        <v>0</v>
      </c>
      <c r="AN648" s="13">
        <f t="shared" si="378"/>
        <v>0</v>
      </c>
      <c r="AO648" s="13">
        <f t="shared" si="378"/>
        <v>1</v>
      </c>
      <c r="AP648" s="13">
        <f t="shared" si="378"/>
        <v>1</v>
      </c>
      <c r="AQ648" s="13">
        <f t="shared" si="378"/>
        <v>1</v>
      </c>
      <c r="AR648" s="13">
        <f t="shared" si="378"/>
        <v>0</v>
      </c>
      <c r="AS648" s="13">
        <f t="shared" si="378"/>
        <v>0</v>
      </c>
      <c r="AT648" s="13">
        <f t="shared" si="378"/>
        <v>0</v>
      </c>
      <c r="AU648" s="13">
        <f t="shared" si="378"/>
        <v>0</v>
      </c>
      <c r="AV648" s="13">
        <f t="shared" si="355"/>
        <v>0</v>
      </c>
      <c r="AW648" s="13">
        <f t="shared" si="356"/>
        <v>1</v>
      </c>
      <c r="AY648" s="17">
        <f t="shared" si="357"/>
        <v>558</v>
      </c>
      <c r="AZ648" s="28">
        <f t="shared" si="365"/>
        <v>0</v>
      </c>
      <c r="BA648" s="13">
        <f t="shared" si="358"/>
        <v>0</v>
      </c>
      <c r="BB648" s="13">
        <f t="shared" si="359"/>
        <v>0</v>
      </c>
      <c r="BC648" s="28">
        <f t="shared" si="366"/>
        <v>0</v>
      </c>
      <c r="BD648" s="28">
        <f t="shared" si="367"/>
        <v>0</v>
      </c>
      <c r="BF648" s="248">
        <f t="shared" si="368"/>
        <v>993869.29442638322</v>
      </c>
    </row>
    <row r="649" spans="1:58">
      <c r="A649" s="32">
        <f t="shared" si="369"/>
        <v>-474</v>
      </c>
      <c r="B649" s="32">
        <f t="shared" si="360"/>
        <v>99</v>
      </c>
      <c r="C649" s="32">
        <f t="shared" si="370"/>
        <v>47</v>
      </c>
      <c r="D649" s="32">
        <f t="shared" si="371"/>
        <v>559</v>
      </c>
      <c r="E649" s="74">
        <f>MIN(IF(AV649=0,0,
IF(Investment_Strategy="DIS",VLOOKUP(Investment_Strategy&amp;"_"&amp;Investment_Strategy_Sub1&amp;"_"&amp;$A649,'Investment Strategies'!$AZ:$BP,12,FALSE),
IF(AND(Investment_Strategy="Lifecycle",Investment_Strategy_Sub1="Non-Standard"),VLOOKUP(Investment_Strategy&amp;"_"&amp;Investment_Strategy_Sub2&amp;"_"&amp;$A649,'Investment Strategies'!$C:$P,9,FALSE),
IF(AND(Investment_Strategy="Lifecycle",Investment_Strategy_Sub1="Standard"),VLOOKUP(Investment_Strategy&amp;"_"&amp;Investment_Strategy_Sub2&amp;"_"&amp;$A649,'Investment Strategies'!$AJ:$AV,8,FALSE),
IF(AND(Investment_Strategy="Autopilot",Investment_Strategy_Sub1="Non-Standard"),VLOOKUP(Investment_Strategy&amp;"_"&amp;Investment_Strategy_Sub2&amp;"_"&amp;$A649,'Investment Strategies'!$T:$AF,8,FALSE),
IF(Investment_Strategy ="DIY",DIY_RateOfReturn_CurrentFunds,
"Error")))))),Max_InvReturn)</f>
        <v>0</v>
      </c>
      <c r="F649" s="62">
        <f>IF(AV649=0,0,
IF(Investment_Strategy="DIS",VLOOKUP(Investment_Strategy&amp;"_"&amp;Investment_Strategy_Sub1&amp;"_"&amp;$A649,'Investment Strategies'!$AZ:$BP,15,FALSE),
IF(AND(Investment_Strategy="Lifecycle",Investment_Strategy_Sub1="Non-Standard"),VLOOKUP(Investment_Strategy&amp;"_"&amp;Investment_Strategy_Sub2&amp;"_"&amp;$A649,'Investment Strategies'!$C:$P,12,FALSE),
IF(AND(Investment_Strategy="Lifecycle",Investment_Strategy_Sub1="Standard"),VLOOKUP(Investment_Strategy&amp;"_"&amp;Investment_Strategy_Sub2&amp;"_"&amp;$A649,'Investment Strategies'!$AJ:$AV,11,FALSE),
IF(AND(Investment_Strategy="Autopilot",Investment_Strategy_Sub1="Non-Standard"),VLOOKUP(Investment_Strategy&amp;"_"&amp;Investment_Strategy_Sub2&amp;"_"&amp;$A649,'Investment Strategies'!$T:$AF,11,FALSE),
IF(Investment_Strategy="DIY",DIY_GteeChrge_CurrentFunds,
"Error"))))))</f>
        <v>0</v>
      </c>
      <c r="G649" s="33">
        <f>IF(AV649=0,0,
IF(Investment_Strategy="DIS",VLOOKUP(Investment_Strategy&amp;"_"&amp;Investment_Strategy_Sub1&amp;"_"&amp;$A649,'Investment Strategies'!$AZ:$BP,17,FALSE),
IF(AND(Investment_Strategy="Lifecycle",Investment_Strategy_Sub1="Non-Standard"),VLOOKUP(Investment_Strategy&amp;"_"&amp;Investment_Strategy_Sub2&amp;"_"&amp;$A649,'Investment Strategies'!$C:$P,14,FALSE),
IF(AND(Investment_Strategy="Lifecycle",Investment_Strategy_Sub1="Standard"),VLOOKUP(Investment_Strategy&amp;"_"&amp;Investment_Strategy_Sub2&amp;"_"&amp;$A649,'Investment Strategies'!$AJ:$AV,13,FALSE),
IF(AND(Investment_Strategy="Autopilot",Investment_Strategy_Sub1="Non-Standard"),VLOOKUP(Investment_Strategy&amp;"_"&amp;Investment_Strategy_Sub2&amp;"_"&amp;$A649,'Investment Strategies'!$T:$AF,13,FALSE),
IF(Investment_Strategy="DIY",DIY_ExtManChrge_CurrentFunds,
"Error"))))))</f>
        <v>0</v>
      </c>
      <c r="H649" s="16">
        <f t="shared" si="361"/>
        <v>0</v>
      </c>
      <c r="I649" s="16">
        <f t="shared" si="347"/>
        <v>0</v>
      </c>
      <c r="J649" s="16">
        <f t="shared" si="348"/>
        <v>0</v>
      </c>
      <c r="K649" s="16">
        <f>(Opening_Fund_Value+SUM(K$91:K648))*E649*IF(D649=$A$91,SRP_finalmonthfactor,1)</f>
        <v>0</v>
      </c>
      <c r="L649" s="74">
        <f>MIN(IF($AV649=0,0,
IF(Investment_Strategy="DIS",VLOOKUP(Investment_Strategy&amp;"_"&amp;Investment_Strategy_Sub1&amp;"_"&amp;$A649,'Investment Strategies'!$AZ:$BP,12,FALSE),
IF(AND(Investment_Strategy="Lifecycle",Investment_Strategy_Sub1="Non-Standard"),VLOOKUP(Investment_Strategy&amp;"_"&amp;Investment_Strategy_Sub2&amp;"_"&amp;$A649,'Investment Strategies'!$C:$P,9,FALSE),
IF(AND(Investment_Strategy="Lifecycle",Investment_Strategy_Sub1="Standard"),VLOOKUP(Investment_Strategy&amp;"_"&amp;Investment_Strategy_Sub2&amp;"_"&amp;$A649,'Investment Strategies'!$AJ:$AV,8,FALSE),
IF(AND(Investment_Strategy="Autopilot",Investment_Strategy_Sub1="Non-Standard"),VLOOKUP(Investment_Strategy&amp;"_"&amp;Investment_Strategy_Sub2&amp;"_"&amp;$A649,'Investment Strategies'!$T:$AF,8,FALSE),
IF(Investment_Strategy ="DIY",DIY_RateofReturn_SP,
"Error")))))),Max_InvReturn)</f>
        <v>0</v>
      </c>
      <c r="M649" s="62">
        <f>IF($AV649=0,0,
IF(Investment_Strategy="DIS",VLOOKUP(Investment_Strategy&amp;"_"&amp;Investment_Strategy_Sub1&amp;"_"&amp;$A649,'Investment Strategies'!$AZ:$BP,15,FALSE),
IF(AND(Investment_Strategy="Lifecycle",Investment_Strategy_Sub1="Non-Standard"),VLOOKUP(Investment_Strategy&amp;"_"&amp;Investment_Strategy_Sub2&amp;"_"&amp;$A649,'Investment Strategies'!$C:$P,12,FALSE),
IF(AND(Investment_Strategy="Lifecycle",Investment_Strategy_Sub1="Standard"),VLOOKUP(Investment_Strategy&amp;"_"&amp;Investment_Strategy_Sub2&amp;"_"&amp;$A649,'Investment Strategies'!$AJ:$AV,11,FALSE),
IF(AND(Investment_Strategy="Autopilot",Investment_Strategy_Sub1="Non-Standard"),VLOOKUP(Investment_Strategy&amp;"_"&amp;Investment_Strategy_Sub2&amp;"_"&amp;$A649,'Investment Strategies'!$T:$AF,11,FALSE),
IF(Investment_Strategy="DIY",DIY_GteeChrge_SP,
"Error"))))))</f>
        <v>0</v>
      </c>
      <c r="N649" s="33">
        <f>IF($AV649=0,0,
IF(Investment_Strategy="DIS",VLOOKUP(Investment_Strategy&amp;"_"&amp;Investment_Strategy_Sub1&amp;"_"&amp;$A649,'Investment Strategies'!$AZ:$BP,17,FALSE),
IF(AND(Investment_Strategy="Lifecycle",Investment_Strategy_Sub1="Non-Standard"),VLOOKUP(Investment_Strategy&amp;"_"&amp;Investment_Strategy_Sub2&amp;"_"&amp;$A649,'Investment Strategies'!$C:$P,14,FALSE),
IF(AND(Investment_Strategy="Lifecycle",Investment_Strategy_Sub1="Standard"),VLOOKUP(Investment_Strategy&amp;"_"&amp;Investment_Strategy_Sub2&amp;"_"&amp;$A649,'Investment Strategies'!$AJ:$AV,13,FALSE),
IF(AND(Investment_Strategy="Autopilot",Investment_Strategy_Sub1="Non-Standard"),VLOOKUP(Investment_Strategy&amp;"_"&amp;Investment_Strategy_Sub2&amp;"_"&amp;$A649,'Investment Strategies'!$T:$AF,13,FALSE),
IF(Investment_Strategy="DIY",DIY_ExtManChrge_SP,
"Error"))))))</f>
        <v>0</v>
      </c>
      <c r="O649" s="16">
        <f t="shared" si="372"/>
        <v>0</v>
      </c>
      <c r="Q649" s="16">
        <f t="shared" si="349"/>
        <v>0</v>
      </c>
      <c r="R649" s="16">
        <f t="shared" si="345"/>
        <v>0</v>
      </c>
      <c r="S649" s="16">
        <f>(SRP_SP+SUM(S$91:S648))*L649*IF(D649=$A$91,SRP_finalmonthfactor,1)</f>
        <v>0</v>
      </c>
      <c r="T649" s="74">
        <f>MIN(IF($AV649=0,0,
IF(Investment_Strategy="DIS",VLOOKUP(Investment_Strategy&amp;"_"&amp;Investment_Strategy_Sub1&amp;"_"&amp;$A649,'Investment Strategies'!$AZ:$BP,12,FALSE),
IF(AND(Investment_Strategy="Lifecycle",Investment_Strategy_Sub1="Non-Standard"),VLOOKUP(Investment_Strategy&amp;"_"&amp;Investment_Strategy_Sub2&amp;"_"&amp;$A649,'Investment Strategies'!$C:$P,9,FALSE),
IF(AND(Investment_Strategy="Lifecycle",Investment_Strategy_Sub1="Standard"),VLOOKUP(Investment_Strategy&amp;"_"&amp;Investment_Strategy_Sub2&amp;"_"&amp;$A649,'Investment Strategies'!$AJ:$AV,8,FALSE),
IF(AND(Investment_Strategy="Autopilot",Investment_Strategy_Sub1="Non-Standard"),VLOOKUP(Investment_Strategy&amp;"_"&amp;Investment_Strategy_Sub2&amp;"_"&amp;$A649,'Investment Strategies'!$T:$AF,8,FALSE),
IF(Investment_Strategy ="DIY",DIY_RateOfReturn_FuturePremiums,
"Error")))))),Max_InvReturn)</f>
        <v>0</v>
      </c>
      <c r="U649" s="62">
        <f>IF($AV649=0,0,
IF(Investment_Strategy="DIS",VLOOKUP(Investment_Strategy&amp;"_"&amp;Investment_Strategy_Sub1&amp;"_"&amp;$A649,'Investment Strategies'!$AZ:$BP,15,FALSE),
IF(AND(Investment_Strategy="Lifecycle",Investment_Strategy_Sub1="Non-Standard"),VLOOKUP(Investment_Strategy&amp;"_"&amp;Investment_Strategy_Sub2&amp;"_"&amp;$A649,'Investment Strategies'!$C:$P,12,FALSE),
IF(AND(Investment_Strategy="Lifecycle",Investment_Strategy_Sub1="Standard"),VLOOKUP(Investment_Strategy&amp;"_"&amp;Investment_Strategy_Sub2&amp;"_"&amp;$A649,'Investment Strategies'!$AJ:$AV,11,FALSE),
IF(AND(Investment_Strategy="Autopilot",Investment_Strategy_Sub1="Non-Standard"),VLOOKUP(Investment_Strategy&amp;"_"&amp;Investment_Strategy_Sub2&amp;"_"&amp;$A649,'Investment Strategies'!$T:$AF,11,FALSE),
IF(Investment_Strategy="DIY",DIY_GteeChrge_FuturePremiums,
"Error"))))))</f>
        <v>0</v>
      </c>
      <c r="V649" s="33">
        <f>IF(AV649=0,0,
IF(Investment_Strategy="DIS",VLOOKUP(Investment_Strategy&amp;"_"&amp;Investment_Strategy_Sub1&amp;"_"&amp;$A649,'Investment Strategies'!$AZ:$BP,17,FALSE),
IF(AND(Investment_Strategy="Lifecycle",Investment_Strategy_Sub1="Non-Standard"),VLOOKUP(Investment_Strategy&amp;"_"&amp;Investment_Strategy_Sub2&amp;"_"&amp;$A649,'Investment Strategies'!$C:$P,14,FALSE),
IF(AND(Investment_Strategy="Lifecycle",Investment_Strategy_Sub1="Standard"),VLOOKUP(Investment_Strategy&amp;"_"&amp;Investment_Strategy_Sub2&amp;"_"&amp;$A649,'Investment Strategies'!$AJ:$AV,13,FALSE),
IF(AND(Investment_Strategy="Autopilot",Investment_Strategy_Sub1="Non-Standard"),VLOOKUP(Investment_Strategy&amp;"_"&amp;Investment_Strategy_Sub2&amp;"_"&amp;$A649,'Investment Strategies'!$T:$AF,13,FALSE),
IF(Investment_Strategy="DIY",DIY_ExtManChrge_FuturePremiums,
"Error"))))))</f>
        <v>0</v>
      </c>
      <c r="W649" s="16">
        <f t="shared" si="373"/>
        <v>0</v>
      </c>
      <c r="X649" s="16">
        <f t="shared" si="350"/>
        <v>0</v>
      </c>
      <c r="Y649" s="16">
        <f t="shared" si="351"/>
        <v>0</v>
      </c>
      <c r="Z649" s="31">
        <f t="shared" si="352"/>
        <v>0.02</v>
      </c>
      <c r="AA649" s="16">
        <f t="shared" si="353"/>
        <v>0</v>
      </c>
      <c r="AB649" s="28">
        <f t="shared" si="374"/>
        <v>0</v>
      </c>
      <c r="AC649" s="28">
        <f>(SUM($AC$91:AC648)+SUM($X$91:X648)+X649)*T649*IF(D649=$A$91,SRP_finalmonthfactor,1)</f>
        <v>0</v>
      </c>
      <c r="AD649" s="16">
        <f t="shared" si="354"/>
        <v>0</v>
      </c>
      <c r="AE649" s="106"/>
      <c r="AF649" s="16">
        <f t="shared" si="362"/>
        <v>0</v>
      </c>
      <c r="AG649" s="16">
        <f t="shared" si="363"/>
        <v>0</v>
      </c>
      <c r="AH649" s="16">
        <f t="shared" si="364"/>
        <v>0</v>
      </c>
      <c r="AJ649" s="13">
        <f t="shared" si="378"/>
        <v>0</v>
      </c>
      <c r="AK649" s="13">
        <f t="shared" si="378"/>
        <v>0</v>
      </c>
      <c r="AL649" s="13">
        <f t="shared" si="378"/>
        <v>0</v>
      </c>
      <c r="AM649" s="13">
        <f t="shared" si="378"/>
        <v>0</v>
      </c>
      <c r="AN649" s="13">
        <f t="shared" si="378"/>
        <v>0</v>
      </c>
      <c r="AO649" s="13">
        <f t="shared" si="378"/>
        <v>1</v>
      </c>
      <c r="AP649" s="13">
        <f t="shared" si="378"/>
        <v>1</v>
      </c>
      <c r="AQ649" s="13">
        <f t="shared" si="378"/>
        <v>1</v>
      </c>
      <c r="AR649" s="13">
        <f t="shared" si="378"/>
        <v>0</v>
      </c>
      <c r="AS649" s="13">
        <f t="shared" si="378"/>
        <v>0</v>
      </c>
      <c r="AT649" s="13">
        <f t="shared" si="378"/>
        <v>0</v>
      </c>
      <c r="AU649" s="13">
        <f t="shared" si="378"/>
        <v>0</v>
      </c>
      <c r="AV649" s="13">
        <f t="shared" si="355"/>
        <v>0</v>
      </c>
      <c r="AW649" s="13">
        <f t="shared" si="356"/>
        <v>1</v>
      </c>
      <c r="AY649" s="17">
        <f t="shared" si="357"/>
        <v>559</v>
      </c>
      <c r="AZ649" s="28">
        <f t="shared" si="365"/>
        <v>0</v>
      </c>
      <c r="BA649" s="13">
        <f t="shared" si="358"/>
        <v>0</v>
      </c>
      <c r="BB649" s="13">
        <f t="shared" si="359"/>
        <v>0</v>
      </c>
      <c r="BC649" s="28">
        <f t="shared" si="366"/>
        <v>0</v>
      </c>
      <c r="BD649" s="28">
        <f t="shared" si="367"/>
        <v>0</v>
      </c>
      <c r="BF649" s="248">
        <f t="shared" si="368"/>
        <v>993869.29442638322</v>
      </c>
    </row>
    <row r="650" spans="1:58">
      <c r="A650" s="32">
        <f t="shared" si="369"/>
        <v>-475</v>
      </c>
      <c r="B650" s="32">
        <f t="shared" si="360"/>
        <v>99</v>
      </c>
      <c r="C650" s="32">
        <f t="shared" si="370"/>
        <v>47</v>
      </c>
      <c r="D650" s="32">
        <f t="shared" si="371"/>
        <v>560</v>
      </c>
      <c r="E650" s="74">
        <f>MIN(IF(AV650=0,0,
IF(Investment_Strategy="DIS",VLOOKUP(Investment_Strategy&amp;"_"&amp;Investment_Strategy_Sub1&amp;"_"&amp;$A650,'Investment Strategies'!$AZ:$BP,12,FALSE),
IF(AND(Investment_Strategy="Lifecycle",Investment_Strategy_Sub1="Non-Standard"),VLOOKUP(Investment_Strategy&amp;"_"&amp;Investment_Strategy_Sub2&amp;"_"&amp;$A650,'Investment Strategies'!$C:$P,9,FALSE),
IF(AND(Investment_Strategy="Lifecycle",Investment_Strategy_Sub1="Standard"),VLOOKUP(Investment_Strategy&amp;"_"&amp;Investment_Strategy_Sub2&amp;"_"&amp;$A650,'Investment Strategies'!$AJ:$AV,8,FALSE),
IF(AND(Investment_Strategy="Autopilot",Investment_Strategy_Sub1="Non-Standard"),VLOOKUP(Investment_Strategy&amp;"_"&amp;Investment_Strategy_Sub2&amp;"_"&amp;$A650,'Investment Strategies'!$T:$AF,8,FALSE),
IF(Investment_Strategy ="DIY",DIY_RateOfReturn_CurrentFunds,
"Error")))))),Max_InvReturn)</f>
        <v>0</v>
      </c>
      <c r="F650" s="62">
        <f>IF(AV650=0,0,
IF(Investment_Strategy="DIS",VLOOKUP(Investment_Strategy&amp;"_"&amp;Investment_Strategy_Sub1&amp;"_"&amp;$A650,'Investment Strategies'!$AZ:$BP,15,FALSE),
IF(AND(Investment_Strategy="Lifecycle",Investment_Strategy_Sub1="Non-Standard"),VLOOKUP(Investment_Strategy&amp;"_"&amp;Investment_Strategy_Sub2&amp;"_"&amp;$A650,'Investment Strategies'!$C:$P,12,FALSE),
IF(AND(Investment_Strategy="Lifecycle",Investment_Strategy_Sub1="Standard"),VLOOKUP(Investment_Strategy&amp;"_"&amp;Investment_Strategy_Sub2&amp;"_"&amp;$A650,'Investment Strategies'!$AJ:$AV,11,FALSE),
IF(AND(Investment_Strategy="Autopilot",Investment_Strategy_Sub1="Non-Standard"),VLOOKUP(Investment_Strategy&amp;"_"&amp;Investment_Strategy_Sub2&amp;"_"&amp;$A650,'Investment Strategies'!$T:$AF,11,FALSE),
IF(Investment_Strategy="DIY",DIY_GteeChrge_CurrentFunds,
"Error"))))))</f>
        <v>0</v>
      </c>
      <c r="G650" s="33">
        <f>IF(AV650=0,0,
IF(Investment_Strategy="DIS",VLOOKUP(Investment_Strategy&amp;"_"&amp;Investment_Strategy_Sub1&amp;"_"&amp;$A650,'Investment Strategies'!$AZ:$BP,17,FALSE),
IF(AND(Investment_Strategy="Lifecycle",Investment_Strategy_Sub1="Non-Standard"),VLOOKUP(Investment_Strategy&amp;"_"&amp;Investment_Strategy_Sub2&amp;"_"&amp;$A650,'Investment Strategies'!$C:$P,14,FALSE),
IF(AND(Investment_Strategy="Lifecycle",Investment_Strategy_Sub1="Standard"),VLOOKUP(Investment_Strategy&amp;"_"&amp;Investment_Strategy_Sub2&amp;"_"&amp;$A650,'Investment Strategies'!$AJ:$AV,13,FALSE),
IF(AND(Investment_Strategy="Autopilot",Investment_Strategy_Sub1="Non-Standard"),VLOOKUP(Investment_Strategy&amp;"_"&amp;Investment_Strategy_Sub2&amp;"_"&amp;$A650,'Investment Strategies'!$T:$AF,13,FALSE),
IF(Investment_Strategy="DIY",DIY_ExtManChrge_CurrentFunds,
"Error"))))))</f>
        <v>0</v>
      </c>
      <c r="H650" s="16">
        <f t="shared" si="361"/>
        <v>0</v>
      </c>
      <c r="I650" s="16">
        <f t="shared" si="347"/>
        <v>0</v>
      </c>
      <c r="J650" s="16">
        <f t="shared" si="348"/>
        <v>0</v>
      </c>
      <c r="K650" s="16">
        <f>(Opening_Fund_Value+SUM(K$91:K649))*E650*IF(D650=$A$91,SRP_finalmonthfactor,1)</f>
        <v>0</v>
      </c>
      <c r="L650" s="74">
        <f>MIN(IF($AV650=0,0,
IF(Investment_Strategy="DIS",VLOOKUP(Investment_Strategy&amp;"_"&amp;Investment_Strategy_Sub1&amp;"_"&amp;$A650,'Investment Strategies'!$AZ:$BP,12,FALSE),
IF(AND(Investment_Strategy="Lifecycle",Investment_Strategy_Sub1="Non-Standard"),VLOOKUP(Investment_Strategy&amp;"_"&amp;Investment_Strategy_Sub2&amp;"_"&amp;$A650,'Investment Strategies'!$C:$P,9,FALSE),
IF(AND(Investment_Strategy="Lifecycle",Investment_Strategy_Sub1="Standard"),VLOOKUP(Investment_Strategy&amp;"_"&amp;Investment_Strategy_Sub2&amp;"_"&amp;$A650,'Investment Strategies'!$AJ:$AV,8,FALSE),
IF(AND(Investment_Strategy="Autopilot",Investment_Strategy_Sub1="Non-Standard"),VLOOKUP(Investment_Strategy&amp;"_"&amp;Investment_Strategy_Sub2&amp;"_"&amp;$A650,'Investment Strategies'!$T:$AF,8,FALSE),
IF(Investment_Strategy ="DIY",DIY_RateofReturn_SP,
"Error")))))),Max_InvReturn)</f>
        <v>0</v>
      </c>
      <c r="M650" s="62">
        <f>IF($AV650=0,0,
IF(Investment_Strategy="DIS",VLOOKUP(Investment_Strategy&amp;"_"&amp;Investment_Strategy_Sub1&amp;"_"&amp;$A650,'Investment Strategies'!$AZ:$BP,15,FALSE),
IF(AND(Investment_Strategy="Lifecycle",Investment_Strategy_Sub1="Non-Standard"),VLOOKUP(Investment_Strategy&amp;"_"&amp;Investment_Strategy_Sub2&amp;"_"&amp;$A650,'Investment Strategies'!$C:$P,12,FALSE),
IF(AND(Investment_Strategy="Lifecycle",Investment_Strategy_Sub1="Standard"),VLOOKUP(Investment_Strategy&amp;"_"&amp;Investment_Strategy_Sub2&amp;"_"&amp;$A650,'Investment Strategies'!$AJ:$AV,11,FALSE),
IF(AND(Investment_Strategy="Autopilot",Investment_Strategy_Sub1="Non-Standard"),VLOOKUP(Investment_Strategy&amp;"_"&amp;Investment_Strategy_Sub2&amp;"_"&amp;$A650,'Investment Strategies'!$T:$AF,11,FALSE),
IF(Investment_Strategy="DIY",DIY_GteeChrge_SP,
"Error"))))))</f>
        <v>0</v>
      </c>
      <c r="N650" s="33">
        <f>IF($AV650=0,0,
IF(Investment_Strategy="DIS",VLOOKUP(Investment_Strategy&amp;"_"&amp;Investment_Strategy_Sub1&amp;"_"&amp;$A650,'Investment Strategies'!$AZ:$BP,17,FALSE),
IF(AND(Investment_Strategy="Lifecycle",Investment_Strategy_Sub1="Non-Standard"),VLOOKUP(Investment_Strategy&amp;"_"&amp;Investment_Strategy_Sub2&amp;"_"&amp;$A650,'Investment Strategies'!$C:$P,14,FALSE),
IF(AND(Investment_Strategy="Lifecycle",Investment_Strategy_Sub1="Standard"),VLOOKUP(Investment_Strategy&amp;"_"&amp;Investment_Strategy_Sub2&amp;"_"&amp;$A650,'Investment Strategies'!$AJ:$AV,13,FALSE),
IF(AND(Investment_Strategy="Autopilot",Investment_Strategy_Sub1="Non-Standard"),VLOOKUP(Investment_Strategy&amp;"_"&amp;Investment_Strategy_Sub2&amp;"_"&amp;$A650,'Investment Strategies'!$T:$AF,13,FALSE),
IF(Investment_Strategy="DIY",DIY_ExtManChrge_SP,
"Error"))))))</f>
        <v>0</v>
      </c>
      <c r="O650" s="16">
        <f t="shared" si="372"/>
        <v>0</v>
      </c>
      <c r="Q650" s="16">
        <f t="shared" si="349"/>
        <v>0</v>
      </c>
      <c r="R650" s="16">
        <f t="shared" si="345"/>
        <v>0</v>
      </c>
      <c r="S650" s="16">
        <f>(SRP_SP+SUM(S$91:S649))*L650*IF(D650=$A$91,SRP_finalmonthfactor,1)</f>
        <v>0</v>
      </c>
      <c r="T650" s="74">
        <f>MIN(IF($AV650=0,0,
IF(Investment_Strategy="DIS",VLOOKUP(Investment_Strategy&amp;"_"&amp;Investment_Strategy_Sub1&amp;"_"&amp;$A650,'Investment Strategies'!$AZ:$BP,12,FALSE),
IF(AND(Investment_Strategy="Lifecycle",Investment_Strategy_Sub1="Non-Standard"),VLOOKUP(Investment_Strategy&amp;"_"&amp;Investment_Strategy_Sub2&amp;"_"&amp;$A650,'Investment Strategies'!$C:$P,9,FALSE),
IF(AND(Investment_Strategy="Lifecycle",Investment_Strategy_Sub1="Standard"),VLOOKUP(Investment_Strategy&amp;"_"&amp;Investment_Strategy_Sub2&amp;"_"&amp;$A650,'Investment Strategies'!$AJ:$AV,8,FALSE),
IF(AND(Investment_Strategy="Autopilot",Investment_Strategy_Sub1="Non-Standard"),VLOOKUP(Investment_Strategy&amp;"_"&amp;Investment_Strategy_Sub2&amp;"_"&amp;$A650,'Investment Strategies'!$T:$AF,8,FALSE),
IF(Investment_Strategy ="DIY",DIY_RateOfReturn_FuturePremiums,
"Error")))))),Max_InvReturn)</f>
        <v>0</v>
      </c>
      <c r="U650" s="62">
        <f>IF($AV650=0,0,
IF(Investment_Strategy="DIS",VLOOKUP(Investment_Strategy&amp;"_"&amp;Investment_Strategy_Sub1&amp;"_"&amp;$A650,'Investment Strategies'!$AZ:$BP,15,FALSE),
IF(AND(Investment_Strategy="Lifecycle",Investment_Strategy_Sub1="Non-Standard"),VLOOKUP(Investment_Strategy&amp;"_"&amp;Investment_Strategy_Sub2&amp;"_"&amp;$A650,'Investment Strategies'!$C:$P,12,FALSE),
IF(AND(Investment_Strategy="Lifecycle",Investment_Strategy_Sub1="Standard"),VLOOKUP(Investment_Strategy&amp;"_"&amp;Investment_Strategy_Sub2&amp;"_"&amp;$A650,'Investment Strategies'!$AJ:$AV,11,FALSE),
IF(AND(Investment_Strategy="Autopilot",Investment_Strategy_Sub1="Non-Standard"),VLOOKUP(Investment_Strategy&amp;"_"&amp;Investment_Strategy_Sub2&amp;"_"&amp;$A650,'Investment Strategies'!$T:$AF,11,FALSE),
IF(Investment_Strategy="DIY",DIY_GteeChrge_FuturePremiums,
"Error"))))))</f>
        <v>0</v>
      </c>
      <c r="V650" s="33">
        <f>IF(AV650=0,0,
IF(Investment_Strategy="DIS",VLOOKUP(Investment_Strategy&amp;"_"&amp;Investment_Strategy_Sub1&amp;"_"&amp;$A650,'Investment Strategies'!$AZ:$BP,17,FALSE),
IF(AND(Investment_Strategy="Lifecycle",Investment_Strategy_Sub1="Non-Standard"),VLOOKUP(Investment_Strategy&amp;"_"&amp;Investment_Strategy_Sub2&amp;"_"&amp;$A650,'Investment Strategies'!$C:$P,14,FALSE),
IF(AND(Investment_Strategy="Lifecycle",Investment_Strategy_Sub1="Standard"),VLOOKUP(Investment_Strategy&amp;"_"&amp;Investment_Strategy_Sub2&amp;"_"&amp;$A650,'Investment Strategies'!$AJ:$AV,13,FALSE),
IF(AND(Investment_Strategy="Autopilot",Investment_Strategy_Sub1="Non-Standard"),VLOOKUP(Investment_Strategy&amp;"_"&amp;Investment_Strategy_Sub2&amp;"_"&amp;$A650,'Investment Strategies'!$T:$AF,13,FALSE),
IF(Investment_Strategy="DIY",DIY_ExtManChrge_FuturePremiums,
"Error"))))))</f>
        <v>0</v>
      </c>
      <c r="W650" s="16">
        <f t="shared" si="373"/>
        <v>0</v>
      </c>
      <c r="X650" s="16">
        <f t="shared" si="350"/>
        <v>0</v>
      </c>
      <c r="Y650" s="16">
        <f t="shared" si="351"/>
        <v>0</v>
      </c>
      <c r="Z650" s="31">
        <f t="shared" si="352"/>
        <v>0.02</v>
      </c>
      <c r="AA650" s="16">
        <f t="shared" si="353"/>
        <v>0</v>
      </c>
      <c r="AB650" s="28">
        <f t="shared" si="374"/>
        <v>0</v>
      </c>
      <c r="AC650" s="28">
        <f>(SUM($AC$91:AC649)+SUM($X$91:X649)+X650)*T650*IF(D650=$A$91,SRP_finalmonthfactor,1)</f>
        <v>0</v>
      </c>
      <c r="AD650" s="16">
        <f t="shared" si="354"/>
        <v>0</v>
      </c>
      <c r="AE650" s="106"/>
      <c r="AF650" s="16">
        <f t="shared" si="362"/>
        <v>0</v>
      </c>
      <c r="AG650" s="16">
        <f t="shared" si="363"/>
        <v>0</v>
      </c>
      <c r="AH650" s="16">
        <f t="shared" si="364"/>
        <v>0</v>
      </c>
      <c r="AJ650" s="13">
        <f t="shared" si="378"/>
        <v>0</v>
      </c>
      <c r="AK650" s="13">
        <f t="shared" si="378"/>
        <v>0</v>
      </c>
      <c r="AL650" s="13">
        <f t="shared" si="378"/>
        <v>0</v>
      </c>
      <c r="AM650" s="13">
        <f t="shared" si="378"/>
        <v>0</v>
      </c>
      <c r="AN650" s="13">
        <f t="shared" si="378"/>
        <v>0</v>
      </c>
      <c r="AO650" s="13">
        <f t="shared" si="378"/>
        <v>1</v>
      </c>
      <c r="AP650" s="13">
        <f t="shared" si="378"/>
        <v>1</v>
      </c>
      <c r="AQ650" s="13">
        <f t="shared" si="378"/>
        <v>1</v>
      </c>
      <c r="AR650" s="13">
        <f t="shared" si="378"/>
        <v>0</v>
      </c>
      <c r="AS650" s="13">
        <f t="shared" si="378"/>
        <v>0</v>
      </c>
      <c r="AT650" s="13">
        <f t="shared" si="378"/>
        <v>0</v>
      </c>
      <c r="AU650" s="13">
        <f t="shared" si="378"/>
        <v>0</v>
      </c>
      <c r="AV650" s="13">
        <f t="shared" si="355"/>
        <v>0</v>
      </c>
      <c r="AW650" s="13">
        <f t="shared" si="356"/>
        <v>1</v>
      </c>
      <c r="AY650" s="17">
        <f t="shared" si="357"/>
        <v>560</v>
      </c>
      <c r="AZ650" s="28">
        <f t="shared" si="365"/>
        <v>0</v>
      </c>
      <c r="BA650" s="13">
        <f t="shared" si="358"/>
        <v>0</v>
      </c>
      <c r="BB650" s="13">
        <f t="shared" si="359"/>
        <v>0</v>
      </c>
      <c r="BC650" s="28">
        <f t="shared" si="366"/>
        <v>0</v>
      </c>
      <c r="BD650" s="28">
        <f t="shared" si="367"/>
        <v>0</v>
      </c>
      <c r="BF650" s="248">
        <f t="shared" si="368"/>
        <v>993869.29442638322</v>
      </c>
    </row>
    <row r="651" spans="1:58">
      <c r="A651" s="32">
        <f t="shared" si="369"/>
        <v>-476</v>
      </c>
      <c r="B651" s="32">
        <f t="shared" si="360"/>
        <v>99</v>
      </c>
      <c r="C651" s="32">
        <f t="shared" si="370"/>
        <v>47</v>
      </c>
      <c r="D651" s="32">
        <f t="shared" si="371"/>
        <v>561</v>
      </c>
      <c r="E651" s="74">
        <f>MIN(IF(AV651=0,0,
IF(Investment_Strategy="DIS",VLOOKUP(Investment_Strategy&amp;"_"&amp;Investment_Strategy_Sub1&amp;"_"&amp;$A651,'Investment Strategies'!$AZ:$BP,12,FALSE),
IF(AND(Investment_Strategy="Lifecycle",Investment_Strategy_Sub1="Non-Standard"),VLOOKUP(Investment_Strategy&amp;"_"&amp;Investment_Strategy_Sub2&amp;"_"&amp;$A651,'Investment Strategies'!$C:$P,9,FALSE),
IF(AND(Investment_Strategy="Lifecycle",Investment_Strategy_Sub1="Standard"),VLOOKUP(Investment_Strategy&amp;"_"&amp;Investment_Strategy_Sub2&amp;"_"&amp;$A651,'Investment Strategies'!$AJ:$AV,8,FALSE),
IF(AND(Investment_Strategy="Autopilot",Investment_Strategy_Sub1="Non-Standard"),VLOOKUP(Investment_Strategy&amp;"_"&amp;Investment_Strategy_Sub2&amp;"_"&amp;$A651,'Investment Strategies'!$T:$AF,8,FALSE),
IF(Investment_Strategy ="DIY",DIY_RateOfReturn_CurrentFunds,
"Error")))))),Max_InvReturn)</f>
        <v>0</v>
      </c>
      <c r="F651" s="62">
        <f>IF(AV651=0,0,
IF(Investment_Strategy="DIS",VLOOKUP(Investment_Strategy&amp;"_"&amp;Investment_Strategy_Sub1&amp;"_"&amp;$A651,'Investment Strategies'!$AZ:$BP,15,FALSE),
IF(AND(Investment_Strategy="Lifecycle",Investment_Strategy_Sub1="Non-Standard"),VLOOKUP(Investment_Strategy&amp;"_"&amp;Investment_Strategy_Sub2&amp;"_"&amp;$A651,'Investment Strategies'!$C:$P,12,FALSE),
IF(AND(Investment_Strategy="Lifecycle",Investment_Strategy_Sub1="Standard"),VLOOKUP(Investment_Strategy&amp;"_"&amp;Investment_Strategy_Sub2&amp;"_"&amp;$A651,'Investment Strategies'!$AJ:$AV,11,FALSE),
IF(AND(Investment_Strategy="Autopilot",Investment_Strategy_Sub1="Non-Standard"),VLOOKUP(Investment_Strategy&amp;"_"&amp;Investment_Strategy_Sub2&amp;"_"&amp;$A651,'Investment Strategies'!$T:$AF,11,FALSE),
IF(Investment_Strategy="DIY",DIY_GteeChrge_CurrentFunds,
"Error"))))))</f>
        <v>0</v>
      </c>
      <c r="G651" s="33">
        <f>IF(AV651=0,0,
IF(Investment_Strategy="DIS",VLOOKUP(Investment_Strategy&amp;"_"&amp;Investment_Strategy_Sub1&amp;"_"&amp;$A651,'Investment Strategies'!$AZ:$BP,17,FALSE),
IF(AND(Investment_Strategy="Lifecycle",Investment_Strategy_Sub1="Non-Standard"),VLOOKUP(Investment_Strategy&amp;"_"&amp;Investment_Strategy_Sub2&amp;"_"&amp;$A651,'Investment Strategies'!$C:$P,14,FALSE),
IF(AND(Investment_Strategy="Lifecycle",Investment_Strategy_Sub1="Standard"),VLOOKUP(Investment_Strategy&amp;"_"&amp;Investment_Strategy_Sub2&amp;"_"&amp;$A651,'Investment Strategies'!$AJ:$AV,13,FALSE),
IF(AND(Investment_Strategy="Autopilot",Investment_Strategy_Sub1="Non-Standard"),VLOOKUP(Investment_Strategy&amp;"_"&amp;Investment_Strategy_Sub2&amp;"_"&amp;$A651,'Investment Strategies'!$T:$AF,13,FALSE),
IF(Investment_Strategy="DIY",DIY_ExtManChrge_CurrentFunds,
"Error"))))))</f>
        <v>0</v>
      </c>
      <c r="H651" s="16">
        <f t="shared" si="361"/>
        <v>0</v>
      </c>
      <c r="I651" s="16">
        <f t="shared" si="347"/>
        <v>0</v>
      </c>
      <c r="J651" s="16">
        <f t="shared" si="348"/>
        <v>0</v>
      </c>
      <c r="K651" s="16">
        <f>(Opening_Fund_Value+SUM(K$91:K650))*E651*IF(D651=$A$91,SRP_finalmonthfactor,1)</f>
        <v>0</v>
      </c>
      <c r="L651" s="74">
        <f>MIN(IF($AV651=0,0,
IF(Investment_Strategy="DIS",VLOOKUP(Investment_Strategy&amp;"_"&amp;Investment_Strategy_Sub1&amp;"_"&amp;$A651,'Investment Strategies'!$AZ:$BP,12,FALSE),
IF(AND(Investment_Strategy="Lifecycle",Investment_Strategy_Sub1="Non-Standard"),VLOOKUP(Investment_Strategy&amp;"_"&amp;Investment_Strategy_Sub2&amp;"_"&amp;$A651,'Investment Strategies'!$C:$P,9,FALSE),
IF(AND(Investment_Strategy="Lifecycle",Investment_Strategy_Sub1="Standard"),VLOOKUP(Investment_Strategy&amp;"_"&amp;Investment_Strategy_Sub2&amp;"_"&amp;$A651,'Investment Strategies'!$AJ:$AV,8,FALSE),
IF(AND(Investment_Strategy="Autopilot",Investment_Strategy_Sub1="Non-Standard"),VLOOKUP(Investment_Strategy&amp;"_"&amp;Investment_Strategy_Sub2&amp;"_"&amp;$A651,'Investment Strategies'!$T:$AF,8,FALSE),
IF(Investment_Strategy ="DIY",DIY_RateofReturn_SP,
"Error")))))),Max_InvReturn)</f>
        <v>0</v>
      </c>
      <c r="M651" s="62">
        <f>IF($AV651=0,0,
IF(Investment_Strategy="DIS",VLOOKUP(Investment_Strategy&amp;"_"&amp;Investment_Strategy_Sub1&amp;"_"&amp;$A651,'Investment Strategies'!$AZ:$BP,15,FALSE),
IF(AND(Investment_Strategy="Lifecycle",Investment_Strategy_Sub1="Non-Standard"),VLOOKUP(Investment_Strategy&amp;"_"&amp;Investment_Strategy_Sub2&amp;"_"&amp;$A651,'Investment Strategies'!$C:$P,12,FALSE),
IF(AND(Investment_Strategy="Lifecycle",Investment_Strategy_Sub1="Standard"),VLOOKUP(Investment_Strategy&amp;"_"&amp;Investment_Strategy_Sub2&amp;"_"&amp;$A651,'Investment Strategies'!$AJ:$AV,11,FALSE),
IF(AND(Investment_Strategy="Autopilot",Investment_Strategy_Sub1="Non-Standard"),VLOOKUP(Investment_Strategy&amp;"_"&amp;Investment_Strategy_Sub2&amp;"_"&amp;$A651,'Investment Strategies'!$T:$AF,11,FALSE),
IF(Investment_Strategy="DIY",DIY_GteeChrge_SP,
"Error"))))))</f>
        <v>0</v>
      </c>
      <c r="N651" s="33">
        <f>IF($AV651=0,0,
IF(Investment_Strategy="DIS",VLOOKUP(Investment_Strategy&amp;"_"&amp;Investment_Strategy_Sub1&amp;"_"&amp;$A651,'Investment Strategies'!$AZ:$BP,17,FALSE),
IF(AND(Investment_Strategy="Lifecycle",Investment_Strategy_Sub1="Non-Standard"),VLOOKUP(Investment_Strategy&amp;"_"&amp;Investment_Strategy_Sub2&amp;"_"&amp;$A651,'Investment Strategies'!$C:$P,14,FALSE),
IF(AND(Investment_Strategy="Lifecycle",Investment_Strategy_Sub1="Standard"),VLOOKUP(Investment_Strategy&amp;"_"&amp;Investment_Strategy_Sub2&amp;"_"&amp;$A651,'Investment Strategies'!$AJ:$AV,13,FALSE),
IF(AND(Investment_Strategy="Autopilot",Investment_Strategy_Sub1="Non-Standard"),VLOOKUP(Investment_Strategy&amp;"_"&amp;Investment_Strategy_Sub2&amp;"_"&amp;$A651,'Investment Strategies'!$T:$AF,13,FALSE),
IF(Investment_Strategy="DIY",DIY_ExtManChrge_SP,
"Error"))))))</f>
        <v>0</v>
      </c>
      <c r="O651" s="16">
        <f t="shared" si="372"/>
        <v>0</v>
      </c>
      <c r="Q651" s="16">
        <f t="shared" si="349"/>
        <v>0</v>
      </c>
      <c r="R651" s="16">
        <f t="shared" si="345"/>
        <v>0</v>
      </c>
      <c r="S651" s="16">
        <f>(SRP_SP+SUM(S$91:S650))*L651*IF(D651=$A$91,SRP_finalmonthfactor,1)</f>
        <v>0</v>
      </c>
      <c r="T651" s="74">
        <f>MIN(IF($AV651=0,0,
IF(Investment_Strategy="DIS",VLOOKUP(Investment_Strategy&amp;"_"&amp;Investment_Strategy_Sub1&amp;"_"&amp;$A651,'Investment Strategies'!$AZ:$BP,12,FALSE),
IF(AND(Investment_Strategy="Lifecycle",Investment_Strategy_Sub1="Non-Standard"),VLOOKUP(Investment_Strategy&amp;"_"&amp;Investment_Strategy_Sub2&amp;"_"&amp;$A651,'Investment Strategies'!$C:$P,9,FALSE),
IF(AND(Investment_Strategy="Lifecycle",Investment_Strategy_Sub1="Standard"),VLOOKUP(Investment_Strategy&amp;"_"&amp;Investment_Strategy_Sub2&amp;"_"&amp;$A651,'Investment Strategies'!$AJ:$AV,8,FALSE),
IF(AND(Investment_Strategy="Autopilot",Investment_Strategy_Sub1="Non-Standard"),VLOOKUP(Investment_Strategy&amp;"_"&amp;Investment_Strategy_Sub2&amp;"_"&amp;$A651,'Investment Strategies'!$T:$AF,8,FALSE),
IF(Investment_Strategy ="DIY",DIY_RateOfReturn_FuturePremiums,
"Error")))))),Max_InvReturn)</f>
        <v>0</v>
      </c>
      <c r="U651" s="62">
        <f>IF($AV651=0,0,
IF(Investment_Strategy="DIS",VLOOKUP(Investment_Strategy&amp;"_"&amp;Investment_Strategy_Sub1&amp;"_"&amp;$A651,'Investment Strategies'!$AZ:$BP,15,FALSE),
IF(AND(Investment_Strategy="Lifecycle",Investment_Strategy_Sub1="Non-Standard"),VLOOKUP(Investment_Strategy&amp;"_"&amp;Investment_Strategy_Sub2&amp;"_"&amp;$A651,'Investment Strategies'!$C:$P,12,FALSE),
IF(AND(Investment_Strategy="Lifecycle",Investment_Strategy_Sub1="Standard"),VLOOKUP(Investment_Strategy&amp;"_"&amp;Investment_Strategy_Sub2&amp;"_"&amp;$A651,'Investment Strategies'!$AJ:$AV,11,FALSE),
IF(AND(Investment_Strategy="Autopilot",Investment_Strategy_Sub1="Non-Standard"),VLOOKUP(Investment_Strategy&amp;"_"&amp;Investment_Strategy_Sub2&amp;"_"&amp;$A651,'Investment Strategies'!$T:$AF,11,FALSE),
IF(Investment_Strategy="DIY",DIY_GteeChrge_FuturePremiums,
"Error"))))))</f>
        <v>0</v>
      </c>
      <c r="V651" s="33">
        <f>IF(AV651=0,0,
IF(Investment_Strategy="DIS",VLOOKUP(Investment_Strategy&amp;"_"&amp;Investment_Strategy_Sub1&amp;"_"&amp;$A651,'Investment Strategies'!$AZ:$BP,17,FALSE),
IF(AND(Investment_Strategy="Lifecycle",Investment_Strategy_Sub1="Non-Standard"),VLOOKUP(Investment_Strategy&amp;"_"&amp;Investment_Strategy_Sub2&amp;"_"&amp;$A651,'Investment Strategies'!$C:$P,14,FALSE),
IF(AND(Investment_Strategy="Lifecycle",Investment_Strategy_Sub1="Standard"),VLOOKUP(Investment_Strategy&amp;"_"&amp;Investment_Strategy_Sub2&amp;"_"&amp;$A651,'Investment Strategies'!$AJ:$AV,13,FALSE),
IF(AND(Investment_Strategy="Autopilot",Investment_Strategy_Sub1="Non-Standard"),VLOOKUP(Investment_Strategy&amp;"_"&amp;Investment_Strategy_Sub2&amp;"_"&amp;$A651,'Investment Strategies'!$T:$AF,13,FALSE),
IF(Investment_Strategy="DIY",DIY_ExtManChrge_FuturePremiums,
"Error"))))))</f>
        <v>0</v>
      </c>
      <c r="W651" s="16">
        <f t="shared" si="373"/>
        <v>0</v>
      </c>
      <c r="X651" s="16">
        <f t="shared" si="350"/>
        <v>0</v>
      </c>
      <c r="Y651" s="16">
        <f t="shared" si="351"/>
        <v>0</v>
      </c>
      <c r="Z651" s="31">
        <f t="shared" si="352"/>
        <v>0.02</v>
      </c>
      <c r="AA651" s="16">
        <f t="shared" si="353"/>
        <v>0</v>
      </c>
      <c r="AB651" s="28">
        <f t="shared" si="374"/>
        <v>0</v>
      </c>
      <c r="AC651" s="28">
        <f>(SUM($AC$91:AC650)+SUM($X$91:X650)+X651)*T651*IF(D651=$A$91,SRP_finalmonthfactor,1)</f>
        <v>0</v>
      </c>
      <c r="AD651" s="16">
        <f t="shared" si="354"/>
        <v>0</v>
      </c>
      <c r="AE651" s="106"/>
      <c r="AF651" s="16">
        <f t="shared" si="362"/>
        <v>0</v>
      </c>
      <c r="AG651" s="16">
        <f t="shared" si="363"/>
        <v>0</v>
      </c>
      <c r="AH651" s="16">
        <f t="shared" si="364"/>
        <v>0</v>
      </c>
      <c r="AJ651" s="13">
        <f t="shared" ref="AJ651:AU660" si="379">IF($C651&lt;=AJ$90,1,0)</f>
        <v>0</v>
      </c>
      <c r="AK651" s="13">
        <f t="shared" si="379"/>
        <v>0</v>
      </c>
      <c r="AL651" s="13">
        <f t="shared" si="379"/>
        <v>0</v>
      </c>
      <c r="AM651" s="13">
        <f t="shared" si="379"/>
        <v>0</v>
      </c>
      <c r="AN651" s="13">
        <f t="shared" si="379"/>
        <v>0</v>
      </c>
      <c r="AO651" s="13">
        <f t="shared" si="379"/>
        <v>1</v>
      </c>
      <c r="AP651" s="13">
        <f t="shared" si="379"/>
        <v>1</v>
      </c>
      <c r="AQ651" s="13">
        <f t="shared" si="379"/>
        <v>1</v>
      </c>
      <c r="AR651" s="13">
        <f t="shared" si="379"/>
        <v>0</v>
      </c>
      <c r="AS651" s="13">
        <f t="shared" si="379"/>
        <v>0</v>
      </c>
      <c r="AT651" s="13">
        <f t="shared" si="379"/>
        <v>0</v>
      </c>
      <c r="AU651" s="13">
        <f t="shared" si="379"/>
        <v>0</v>
      </c>
      <c r="AV651" s="13">
        <f t="shared" si="355"/>
        <v>0</v>
      </c>
      <c r="AW651" s="13">
        <f t="shared" si="356"/>
        <v>1</v>
      </c>
      <c r="AY651" s="17">
        <f t="shared" si="357"/>
        <v>561</v>
      </c>
      <c r="AZ651" s="28">
        <f t="shared" si="365"/>
        <v>0</v>
      </c>
      <c r="BA651" s="13">
        <f t="shared" si="358"/>
        <v>0</v>
      </c>
      <c r="BB651" s="13">
        <f t="shared" si="359"/>
        <v>0</v>
      </c>
      <c r="BC651" s="28">
        <f t="shared" si="366"/>
        <v>0</v>
      </c>
      <c r="BD651" s="28">
        <f t="shared" si="367"/>
        <v>0</v>
      </c>
      <c r="BF651" s="248">
        <f t="shared" si="368"/>
        <v>993869.29442638322</v>
      </c>
    </row>
    <row r="652" spans="1:58">
      <c r="A652" s="32">
        <f t="shared" si="369"/>
        <v>-477</v>
      </c>
      <c r="B652" s="32">
        <f t="shared" si="360"/>
        <v>99</v>
      </c>
      <c r="C652" s="32">
        <f t="shared" si="370"/>
        <v>47</v>
      </c>
      <c r="D652" s="32">
        <f t="shared" si="371"/>
        <v>562</v>
      </c>
      <c r="E652" s="74">
        <f>MIN(IF(AV652=0,0,
IF(Investment_Strategy="DIS",VLOOKUP(Investment_Strategy&amp;"_"&amp;Investment_Strategy_Sub1&amp;"_"&amp;$A652,'Investment Strategies'!$AZ:$BP,12,FALSE),
IF(AND(Investment_Strategy="Lifecycle",Investment_Strategy_Sub1="Non-Standard"),VLOOKUP(Investment_Strategy&amp;"_"&amp;Investment_Strategy_Sub2&amp;"_"&amp;$A652,'Investment Strategies'!$C:$P,9,FALSE),
IF(AND(Investment_Strategy="Lifecycle",Investment_Strategy_Sub1="Standard"),VLOOKUP(Investment_Strategy&amp;"_"&amp;Investment_Strategy_Sub2&amp;"_"&amp;$A652,'Investment Strategies'!$AJ:$AV,8,FALSE),
IF(AND(Investment_Strategy="Autopilot",Investment_Strategy_Sub1="Non-Standard"),VLOOKUP(Investment_Strategy&amp;"_"&amp;Investment_Strategy_Sub2&amp;"_"&amp;$A652,'Investment Strategies'!$T:$AF,8,FALSE),
IF(Investment_Strategy ="DIY",DIY_RateOfReturn_CurrentFunds,
"Error")))))),Max_InvReturn)</f>
        <v>0</v>
      </c>
      <c r="F652" s="62">
        <f>IF(AV652=0,0,
IF(Investment_Strategy="DIS",VLOOKUP(Investment_Strategy&amp;"_"&amp;Investment_Strategy_Sub1&amp;"_"&amp;$A652,'Investment Strategies'!$AZ:$BP,15,FALSE),
IF(AND(Investment_Strategy="Lifecycle",Investment_Strategy_Sub1="Non-Standard"),VLOOKUP(Investment_Strategy&amp;"_"&amp;Investment_Strategy_Sub2&amp;"_"&amp;$A652,'Investment Strategies'!$C:$P,12,FALSE),
IF(AND(Investment_Strategy="Lifecycle",Investment_Strategy_Sub1="Standard"),VLOOKUP(Investment_Strategy&amp;"_"&amp;Investment_Strategy_Sub2&amp;"_"&amp;$A652,'Investment Strategies'!$AJ:$AV,11,FALSE),
IF(AND(Investment_Strategy="Autopilot",Investment_Strategy_Sub1="Non-Standard"),VLOOKUP(Investment_Strategy&amp;"_"&amp;Investment_Strategy_Sub2&amp;"_"&amp;$A652,'Investment Strategies'!$T:$AF,11,FALSE),
IF(Investment_Strategy="DIY",DIY_GteeChrge_CurrentFunds,
"Error"))))))</f>
        <v>0</v>
      </c>
      <c r="G652" s="33">
        <f>IF(AV652=0,0,
IF(Investment_Strategy="DIS",VLOOKUP(Investment_Strategy&amp;"_"&amp;Investment_Strategy_Sub1&amp;"_"&amp;$A652,'Investment Strategies'!$AZ:$BP,17,FALSE),
IF(AND(Investment_Strategy="Lifecycle",Investment_Strategy_Sub1="Non-Standard"),VLOOKUP(Investment_Strategy&amp;"_"&amp;Investment_Strategy_Sub2&amp;"_"&amp;$A652,'Investment Strategies'!$C:$P,14,FALSE),
IF(AND(Investment_Strategy="Lifecycle",Investment_Strategy_Sub1="Standard"),VLOOKUP(Investment_Strategy&amp;"_"&amp;Investment_Strategy_Sub2&amp;"_"&amp;$A652,'Investment Strategies'!$AJ:$AV,13,FALSE),
IF(AND(Investment_Strategy="Autopilot",Investment_Strategy_Sub1="Non-Standard"),VLOOKUP(Investment_Strategy&amp;"_"&amp;Investment_Strategy_Sub2&amp;"_"&amp;$A652,'Investment Strategies'!$T:$AF,13,FALSE),
IF(Investment_Strategy="DIY",DIY_ExtManChrge_CurrentFunds,
"Error"))))))</f>
        <v>0</v>
      </c>
      <c r="H652" s="16">
        <f t="shared" si="361"/>
        <v>0</v>
      </c>
      <c r="I652" s="16">
        <f t="shared" si="347"/>
        <v>0</v>
      </c>
      <c r="J652" s="16">
        <f t="shared" si="348"/>
        <v>0</v>
      </c>
      <c r="K652" s="16">
        <f>(Opening_Fund_Value+SUM(K$91:K651))*E652*IF(D652=$A$91,SRP_finalmonthfactor,1)</f>
        <v>0</v>
      </c>
      <c r="L652" s="74">
        <f>MIN(IF($AV652=0,0,
IF(Investment_Strategy="DIS",VLOOKUP(Investment_Strategy&amp;"_"&amp;Investment_Strategy_Sub1&amp;"_"&amp;$A652,'Investment Strategies'!$AZ:$BP,12,FALSE),
IF(AND(Investment_Strategy="Lifecycle",Investment_Strategy_Sub1="Non-Standard"),VLOOKUP(Investment_Strategy&amp;"_"&amp;Investment_Strategy_Sub2&amp;"_"&amp;$A652,'Investment Strategies'!$C:$P,9,FALSE),
IF(AND(Investment_Strategy="Lifecycle",Investment_Strategy_Sub1="Standard"),VLOOKUP(Investment_Strategy&amp;"_"&amp;Investment_Strategy_Sub2&amp;"_"&amp;$A652,'Investment Strategies'!$AJ:$AV,8,FALSE),
IF(AND(Investment_Strategy="Autopilot",Investment_Strategy_Sub1="Non-Standard"),VLOOKUP(Investment_Strategy&amp;"_"&amp;Investment_Strategy_Sub2&amp;"_"&amp;$A652,'Investment Strategies'!$T:$AF,8,FALSE),
IF(Investment_Strategy ="DIY",DIY_RateofReturn_SP,
"Error")))))),Max_InvReturn)</f>
        <v>0</v>
      </c>
      <c r="M652" s="62">
        <f>IF($AV652=0,0,
IF(Investment_Strategy="DIS",VLOOKUP(Investment_Strategy&amp;"_"&amp;Investment_Strategy_Sub1&amp;"_"&amp;$A652,'Investment Strategies'!$AZ:$BP,15,FALSE),
IF(AND(Investment_Strategy="Lifecycle",Investment_Strategy_Sub1="Non-Standard"),VLOOKUP(Investment_Strategy&amp;"_"&amp;Investment_Strategy_Sub2&amp;"_"&amp;$A652,'Investment Strategies'!$C:$P,12,FALSE),
IF(AND(Investment_Strategy="Lifecycle",Investment_Strategy_Sub1="Standard"),VLOOKUP(Investment_Strategy&amp;"_"&amp;Investment_Strategy_Sub2&amp;"_"&amp;$A652,'Investment Strategies'!$AJ:$AV,11,FALSE),
IF(AND(Investment_Strategy="Autopilot",Investment_Strategy_Sub1="Non-Standard"),VLOOKUP(Investment_Strategy&amp;"_"&amp;Investment_Strategy_Sub2&amp;"_"&amp;$A652,'Investment Strategies'!$T:$AF,11,FALSE),
IF(Investment_Strategy="DIY",DIY_GteeChrge_SP,
"Error"))))))</f>
        <v>0</v>
      </c>
      <c r="N652" s="33">
        <f>IF($AV652=0,0,
IF(Investment_Strategy="DIS",VLOOKUP(Investment_Strategy&amp;"_"&amp;Investment_Strategy_Sub1&amp;"_"&amp;$A652,'Investment Strategies'!$AZ:$BP,17,FALSE),
IF(AND(Investment_Strategy="Lifecycle",Investment_Strategy_Sub1="Non-Standard"),VLOOKUP(Investment_Strategy&amp;"_"&amp;Investment_Strategy_Sub2&amp;"_"&amp;$A652,'Investment Strategies'!$C:$P,14,FALSE),
IF(AND(Investment_Strategy="Lifecycle",Investment_Strategy_Sub1="Standard"),VLOOKUP(Investment_Strategy&amp;"_"&amp;Investment_Strategy_Sub2&amp;"_"&amp;$A652,'Investment Strategies'!$AJ:$AV,13,FALSE),
IF(AND(Investment_Strategy="Autopilot",Investment_Strategy_Sub1="Non-Standard"),VLOOKUP(Investment_Strategy&amp;"_"&amp;Investment_Strategy_Sub2&amp;"_"&amp;$A652,'Investment Strategies'!$T:$AF,13,FALSE),
IF(Investment_Strategy="DIY",DIY_ExtManChrge_SP,
"Error"))))))</f>
        <v>0</v>
      </c>
      <c r="O652" s="16">
        <f t="shared" si="372"/>
        <v>0</v>
      </c>
      <c r="Q652" s="16">
        <f t="shared" si="349"/>
        <v>0</v>
      </c>
      <c r="R652" s="16">
        <f t="shared" si="345"/>
        <v>0</v>
      </c>
      <c r="S652" s="16">
        <f>(SRP_SP+SUM(S$91:S651))*L652*IF(D652=$A$91,SRP_finalmonthfactor,1)</f>
        <v>0</v>
      </c>
      <c r="T652" s="74">
        <f>MIN(IF($AV652=0,0,
IF(Investment_Strategy="DIS",VLOOKUP(Investment_Strategy&amp;"_"&amp;Investment_Strategy_Sub1&amp;"_"&amp;$A652,'Investment Strategies'!$AZ:$BP,12,FALSE),
IF(AND(Investment_Strategy="Lifecycle",Investment_Strategy_Sub1="Non-Standard"),VLOOKUP(Investment_Strategy&amp;"_"&amp;Investment_Strategy_Sub2&amp;"_"&amp;$A652,'Investment Strategies'!$C:$P,9,FALSE),
IF(AND(Investment_Strategy="Lifecycle",Investment_Strategy_Sub1="Standard"),VLOOKUP(Investment_Strategy&amp;"_"&amp;Investment_Strategy_Sub2&amp;"_"&amp;$A652,'Investment Strategies'!$AJ:$AV,8,FALSE),
IF(AND(Investment_Strategy="Autopilot",Investment_Strategy_Sub1="Non-Standard"),VLOOKUP(Investment_Strategy&amp;"_"&amp;Investment_Strategy_Sub2&amp;"_"&amp;$A652,'Investment Strategies'!$T:$AF,8,FALSE),
IF(Investment_Strategy ="DIY",DIY_RateOfReturn_FuturePremiums,
"Error")))))),Max_InvReturn)</f>
        <v>0</v>
      </c>
      <c r="U652" s="62">
        <f>IF($AV652=0,0,
IF(Investment_Strategy="DIS",VLOOKUP(Investment_Strategy&amp;"_"&amp;Investment_Strategy_Sub1&amp;"_"&amp;$A652,'Investment Strategies'!$AZ:$BP,15,FALSE),
IF(AND(Investment_Strategy="Lifecycle",Investment_Strategy_Sub1="Non-Standard"),VLOOKUP(Investment_Strategy&amp;"_"&amp;Investment_Strategy_Sub2&amp;"_"&amp;$A652,'Investment Strategies'!$C:$P,12,FALSE),
IF(AND(Investment_Strategy="Lifecycle",Investment_Strategy_Sub1="Standard"),VLOOKUP(Investment_Strategy&amp;"_"&amp;Investment_Strategy_Sub2&amp;"_"&amp;$A652,'Investment Strategies'!$AJ:$AV,11,FALSE),
IF(AND(Investment_Strategy="Autopilot",Investment_Strategy_Sub1="Non-Standard"),VLOOKUP(Investment_Strategy&amp;"_"&amp;Investment_Strategy_Sub2&amp;"_"&amp;$A652,'Investment Strategies'!$T:$AF,11,FALSE),
IF(Investment_Strategy="DIY",DIY_GteeChrge_FuturePremiums,
"Error"))))))</f>
        <v>0</v>
      </c>
      <c r="V652" s="33">
        <f>IF(AV652=0,0,
IF(Investment_Strategy="DIS",VLOOKUP(Investment_Strategy&amp;"_"&amp;Investment_Strategy_Sub1&amp;"_"&amp;$A652,'Investment Strategies'!$AZ:$BP,17,FALSE),
IF(AND(Investment_Strategy="Lifecycle",Investment_Strategy_Sub1="Non-Standard"),VLOOKUP(Investment_Strategy&amp;"_"&amp;Investment_Strategy_Sub2&amp;"_"&amp;$A652,'Investment Strategies'!$C:$P,14,FALSE),
IF(AND(Investment_Strategy="Lifecycle",Investment_Strategy_Sub1="Standard"),VLOOKUP(Investment_Strategy&amp;"_"&amp;Investment_Strategy_Sub2&amp;"_"&amp;$A652,'Investment Strategies'!$AJ:$AV,13,FALSE),
IF(AND(Investment_Strategy="Autopilot",Investment_Strategy_Sub1="Non-Standard"),VLOOKUP(Investment_Strategy&amp;"_"&amp;Investment_Strategy_Sub2&amp;"_"&amp;$A652,'Investment Strategies'!$T:$AF,13,FALSE),
IF(Investment_Strategy="DIY",DIY_ExtManChrge_FuturePremiums,
"Error"))))))</f>
        <v>0</v>
      </c>
      <c r="W652" s="16">
        <f t="shared" si="373"/>
        <v>0</v>
      </c>
      <c r="X652" s="16">
        <f t="shared" si="350"/>
        <v>0</v>
      </c>
      <c r="Y652" s="16">
        <f t="shared" si="351"/>
        <v>0</v>
      </c>
      <c r="Z652" s="31">
        <f t="shared" si="352"/>
        <v>0.02</v>
      </c>
      <c r="AA652" s="16">
        <f t="shared" si="353"/>
        <v>0</v>
      </c>
      <c r="AB652" s="28">
        <f t="shared" si="374"/>
        <v>0</v>
      </c>
      <c r="AC652" s="28">
        <f>(SUM($AC$91:AC651)+SUM($X$91:X651)+X652)*T652*IF(D652=$A$91,SRP_finalmonthfactor,1)</f>
        <v>0</v>
      </c>
      <c r="AD652" s="16">
        <f t="shared" si="354"/>
        <v>0</v>
      </c>
      <c r="AE652" s="106"/>
      <c r="AF652" s="16">
        <f t="shared" si="362"/>
        <v>0</v>
      </c>
      <c r="AG652" s="16">
        <f t="shared" si="363"/>
        <v>0</v>
      </c>
      <c r="AH652" s="16">
        <f t="shared" si="364"/>
        <v>0</v>
      </c>
      <c r="AJ652" s="13">
        <f t="shared" si="379"/>
        <v>0</v>
      </c>
      <c r="AK652" s="13">
        <f t="shared" si="379"/>
        <v>0</v>
      </c>
      <c r="AL652" s="13">
        <f t="shared" si="379"/>
        <v>0</v>
      </c>
      <c r="AM652" s="13">
        <f t="shared" si="379"/>
        <v>0</v>
      </c>
      <c r="AN652" s="13">
        <f t="shared" si="379"/>
        <v>0</v>
      </c>
      <c r="AO652" s="13">
        <f t="shared" si="379"/>
        <v>1</v>
      </c>
      <c r="AP652" s="13">
        <f t="shared" si="379"/>
        <v>1</v>
      </c>
      <c r="AQ652" s="13">
        <f t="shared" si="379"/>
        <v>1</v>
      </c>
      <c r="AR652" s="13">
        <f t="shared" si="379"/>
        <v>0</v>
      </c>
      <c r="AS652" s="13">
        <f t="shared" si="379"/>
        <v>0</v>
      </c>
      <c r="AT652" s="13">
        <f t="shared" si="379"/>
        <v>0</v>
      </c>
      <c r="AU652" s="13">
        <f t="shared" si="379"/>
        <v>0</v>
      </c>
      <c r="AV652" s="13">
        <f t="shared" si="355"/>
        <v>0</v>
      </c>
      <c r="AW652" s="13">
        <f t="shared" si="356"/>
        <v>1</v>
      </c>
      <c r="AY652" s="17">
        <f t="shared" si="357"/>
        <v>562</v>
      </c>
      <c r="AZ652" s="28">
        <f t="shared" si="365"/>
        <v>0</v>
      </c>
      <c r="BA652" s="13">
        <f t="shared" si="358"/>
        <v>0</v>
      </c>
      <c r="BB652" s="13">
        <f t="shared" si="359"/>
        <v>0</v>
      </c>
      <c r="BC652" s="28">
        <f t="shared" si="366"/>
        <v>0</v>
      </c>
      <c r="BD652" s="28">
        <f t="shared" si="367"/>
        <v>0</v>
      </c>
      <c r="BF652" s="248">
        <f t="shared" si="368"/>
        <v>993869.29442638322</v>
      </c>
    </row>
    <row r="653" spans="1:58">
      <c r="A653" s="32">
        <f t="shared" si="369"/>
        <v>-478</v>
      </c>
      <c r="B653" s="32">
        <f t="shared" si="360"/>
        <v>99</v>
      </c>
      <c r="C653" s="32">
        <f t="shared" si="370"/>
        <v>47</v>
      </c>
      <c r="D653" s="32">
        <f t="shared" si="371"/>
        <v>563</v>
      </c>
      <c r="E653" s="74">
        <f>MIN(IF(AV653=0,0,
IF(Investment_Strategy="DIS",VLOOKUP(Investment_Strategy&amp;"_"&amp;Investment_Strategy_Sub1&amp;"_"&amp;$A653,'Investment Strategies'!$AZ:$BP,12,FALSE),
IF(AND(Investment_Strategy="Lifecycle",Investment_Strategy_Sub1="Non-Standard"),VLOOKUP(Investment_Strategy&amp;"_"&amp;Investment_Strategy_Sub2&amp;"_"&amp;$A653,'Investment Strategies'!$C:$P,9,FALSE),
IF(AND(Investment_Strategy="Lifecycle",Investment_Strategy_Sub1="Standard"),VLOOKUP(Investment_Strategy&amp;"_"&amp;Investment_Strategy_Sub2&amp;"_"&amp;$A653,'Investment Strategies'!$AJ:$AV,8,FALSE),
IF(AND(Investment_Strategy="Autopilot",Investment_Strategy_Sub1="Non-Standard"),VLOOKUP(Investment_Strategy&amp;"_"&amp;Investment_Strategy_Sub2&amp;"_"&amp;$A653,'Investment Strategies'!$T:$AF,8,FALSE),
IF(Investment_Strategy ="DIY",DIY_RateOfReturn_CurrentFunds,
"Error")))))),Max_InvReturn)</f>
        <v>0</v>
      </c>
      <c r="F653" s="62">
        <f>IF(AV653=0,0,
IF(Investment_Strategy="DIS",VLOOKUP(Investment_Strategy&amp;"_"&amp;Investment_Strategy_Sub1&amp;"_"&amp;$A653,'Investment Strategies'!$AZ:$BP,15,FALSE),
IF(AND(Investment_Strategy="Lifecycle",Investment_Strategy_Sub1="Non-Standard"),VLOOKUP(Investment_Strategy&amp;"_"&amp;Investment_Strategy_Sub2&amp;"_"&amp;$A653,'Investment Strategies'!$C:$P,12,FALSE),
IF(AND(Investment_Strategy="Lifecycle",Investment_Strategy_Sub1="Standard"),VLOOKUP(Investment_Strategy&amp;"_"&amp;Investment_Strategy_Sub2&amp;"_"&amp;$A653,'Investment Strategies'!$AJ:$AV,11,FALSE),
IF(AND(Investment_Strategy="Autopilot",Investment_Strategy_Sub1="Non-Standard"),VLOOKUP(Investment_Strategy&amp;"_"&amp;Investment_Strategy_Sub2&amp;"_"&amp;$A653,'Investment Strategies'!$T:$AF,11,FALSE),
IF(Investment_Strategy="DIY",DIY_GteeChrge_CurrentFunds,
"Error"))))))</f>
        <v>0</v>
      </c>
      <c r="G653" s="33">
        <f>IF(AV653=0,0,
IF(Investment_Strategy="DIS",VLOOKUP(Investment_Strategy&amp;"_"&amp;Investment_Strategy_Sub1&amp;"_"&amp;$A653,'Investment Strategies'!$AZ:$BP,17,FALSE),
IF(AND(Investment_Strategy="Lifecycle",Investment_Strategy_Sub1="Non-Standard"),VLOOKUP(Investment_Strategy&amp;"_"&amp;Investment_Strategy_Sub2&amp;"_"&amp;$A653,'Investment Strategies'!$C:$P,14,FALSE),
IF(AND(Investment_Strategy="Lifecycle",Investment_Strategy_Sub1="Standard"),VLOOKUP(Investment_Strategy&amp;"_"&amp;Investment_Strategy_Sub2&amp;"_"&amp;$A653,'Investment Strategies'!$AJ:$AV,13,FALSE),
IF(AND(Investment_Strategy="Autopilot",Investment_Strategy_Sub1="Non-Standard"),VLOOKUP(Investment_Strategy&amp;"_"&amp;Investment_Strategy_Sub2&amp;"_"&amp;$A653,'Investment Strategies'!$T:$AF,13,FALSE),
IF(Investment_Strategy="DIY",DIY_ExtManChrge_CurrentFunds,
"Error"))))))</f>
        <v>0</v>
      </c>
      <c r="H653" s="16">
        <f t="shared" si="361"/>
        <v>0</v>
      </c>
      <c r="I653" s="16">
        <f t="shared" si="347"/>
        <v>0</v>
      </c>
      <c r="J653" s="16">
        <f t="shared" si="348"/>
        <v>0</v>
      </c>
      <c r="K653" s="16">
        <f>(Opening_Fund_Value+SUM(K$91:K652))*E653*IF(D653=$A$91,SRP_finalmonthfactor,1)</f>
        <v>0</v>
      </c>
      <c r="L653" s="74">
        <f>MIN(IF($AV653=0,0,
IF(Investment_Strategy="DIS",VLOOKUP(Investment_Strategy&amp;"_"&amp;Investment_Strategy_Sub1&amp;"_"&amp;$A653,'Investment Strategies'!$AZ:$BP,12,FALSE),
IF(AND(Investment_Strategy="Lifecycle",Investment_Strategy_Sub1="Non-Standard"),VLOOKUP(Investment_Strategy&amp;"_"&amp;Investment_Strategy_Sub2&amp;"_"&amp;$A653,'Investment Strategies'!$C:$P,9,FALSE),
IF(AND(Investment_Strategy="Lifecycle",Investment_Strategy_Sub1="Standard"),VLOOKUP(Investment_Strategy&amp;"_"&amp;Investment_Strategy_Sub2&amp;"_"&amp;$A653,'Investment Strategies'!$AJ:$AV,8,FALSE),
IF(AND(Investment_Strategy="Autopilot",Investment_Strategy_Sub1="Non-Standard"),VLOOKUP(Investment_Strategy&amp;"_"&amp;Investment_Strategy_Sub2&amp;"_"&amp;$A653,'Investment Strategies'!$T:$AF,8,FALSE),
IF(Investment_Strategy ="DIY",DIY_RateofReturn_SP,
"Error")))))),Max_InvReturn)</f>
        <v>0</v>
      </c>
      <c r="M653" s="62">
        <f>IF($AV653=0,0,
IF(Investment_Strategy="DIS",VLOOKUP(Investment_Strategy&amp;"_"&amp;Investment_Strategy_Sub1&amp;"_"&amp;$A653,'Investment Strategies'!$AZ:$BP,15,FALSE),
IF(AND(Investment_Strategy="Lifecycle",Investment_Strategy_Sub1="Non-Standard"),VLOOKUP(Investment_Strategy&amp;"_"&amp;Investment_Strategy_Sub2&amp;"_"&amp;$A653,'Investment Strategies'!$C:$P,12,FALSE),
IF(AND(Investment_Strategy="Lifecycle",Investment_Strategy_Sub1="Standard"),VLOOKUP(Investment_Strategy&amp;"_"&amp;Investment_Strategy_Sub2&amp;"_"&amp;$A653,'Investment Strategies'!$AJ:$AV,11,FALSE),
IF(AND(Investment_Strategy="Autopilot",Investment_Strategy_Sub1="Non-Standard"),VLOOKUP(Investment_Strategy&amp;"_"&amp;Investment_Strategy_Sub2&amp;"_"&amp;$A653,'Investment Strategies'!$T:$AF,11,FALSE),
IF(Investment_Strategy="DIY",DIY_GteeChrge_SP,
"Error"))))))</f>
        <v>0</v>
      </c>
      <c r="N653" s="33">
        <f>IF($AV653=0,0,
IF(Investment_Strategy="DIS",VLOOKUP(Investment_Strategy&amp;"_"&amp;Investment_Strategy_Sub1&amp;"_"&amp;$A653,'Investment Strategies'!$AZ:$BP,17,FALSE),
IF(AND(Investment_Strategy="Lifecycle",Investment_Strategy_Sub1="Non-Standard"),VLOOKUP(Investment_Strategy&amp;"_"&amp;Investment_Strategy_Sub2&amp;"_"&amp;$A653,'Investment Strategies'!$C:$P,14,FALSE),
IF(AND(Investment_Strategy="Lifecycle",Investment_Strategy_Sub1="Standard"),VLOOKUP(Investment_Strategy&amp;"_"&amp;Investment_Strategy_Sub2&amp;"_"&amp;$A653,'Investment Strategies'!$AJ:$AV,13,FALSE),
IF(AND(Investment_Strategy="Autopilot",Investment_Strategy_Sub1="Non-Standard"),VLOOKUP(Investment_Strategy&amp;"_"&amp;Investment_Strategy_Sub2&amp;"_"&amp;$A653,'Investment Strategies'!$T:$AF,13,FALSE),
IF(Investment_Strategy="DIY",DIY_ExtManChrge_SP,
"Error"))))))</f>
        <v>0</v>
      </c>
      <c r="O653" s="16">
        <f t="shared" si="372"/>
        <v>0</v>
      </c>
      <c r="Q653" s="16">
        <f t="shared" si="349"/>
        <v>0</v>
      </c>
      <c r="R653" s="16">
        <f t="shared" si="345"/>
        <v>0</v>
      </c>
      <c r="S653" s="16">
        <f>(SRP_SP+SUM(S$91:S652))*L653*IF(D653=$A$91,SRP_finalmonthfactor,1)</f>
        <v>0</v>
      </c>
      <c r="T653" s="74">
        <f>MIN(IF($AV653=0,0,
IF(Investment_Strategy="DIS",VLOOKUP(Investment_Strategy&amp;"_"&amp;Investment_Strategy_Sub1&amp;"_"&amp;$A653,'Investment Strategies'!$AZ:$BP,12,FALSE),
IF(AND(Investment_Strategy="Lifecycle",Investment_Strategy_Sub1="Non-Standard"),VLOOKUP(Investment_Strategy&amp;"_"&amp;Investment_Strategy_Sub2&amp;"_"&amp;$A653,'Investment Strategies'!$C:$P,9,FALSE),
IF(AND(Investment_Strategy="Lifecycle",Investment_Strategy_Sub1="Standard"),VLOOKUP(Investment_Strategy&amp;"_"&amp;Investment_Strategy_Sub2&amp;"_"&amp;$A653,'Investment Strategies'!$AJ:$AV,8,FALSE),
IF(AND(Investment_Strategy="Autopilot",Investment_Strategy_Sub1="Non-Standard"),VLOOKUP(Investment_Strategy&amp;"_"&amp;Investment_Strategy_Sub2&amp;"_"&amp;$A653,'Investment Strategies'!$T:$AF,8,FALSE),
IF(Investment_Strategy ="DIY",DIY_RateOfReturn_FuturePremiums,
"Error")))))),Max_InvReturn)</f>
        <v>0</v>
      </c>
      <c r="U653" s="62">
        <f>IF($AV653=0,0,
IF(Investment_Strategy="DIS",VLOOKUP(Investment_Strategy&amp;"_"&amp;Investment_Strategy_Sub1&amp;"_"&amp;$A653,'Investment Strategies'!$AZ:$BP,15,FALSE),
IF(AND(Investment_Strategy="Lifecycle",Investment_Strategy_Sub1="Non-Standard"),VLOOKUP(Investment_Strategy&amp;"_"&amp;Investment_Strategy_Sub2&amp;"_"&amp;$A653,'Investment Strategies'!$C:$P,12,FALSE),
IF(AND(Investment_Strategy="Lifecycle",Investment_Strategy_Sub1="Standard"),VLOOKUP(Investment_Strategy&amp;"_"&amp;Investment_Strategy_Sub2&amp;"_"&amp;$A653,'Investment Strategies'!$AJ:$AV,11,FALSE),
IF(AND(Investment_Strategy="Autopilot",Investment_Strategy_Sub1="Non-Standard"),VLOOKUP(Investment_Strategy&amp;"_"&amp;Investment_Strategy_Sub2&amp;"_"&amp;$A653,'Investment Strategies'!$T:$AF,11,FALSE),
IF(Investment_Strategy="DIY",DIY_GteeChrge_FuturePremiums,
"Error"))))))</f>
        <v>0</v>
      </c>
      <c r="V653" s="33">
        <f>IF(AV653=0,0,
IF(Investment_Strategy="DIS",VLOOKUP(Investment_Strategy&amp;"_"&amp;Investment_Strategy_Sub1&amp;"_"&amp;$A653,'Investment Strategies'!$AZ:$BP,17,FALSE),
IF(AND(Investment_Strategy="Lifecycle",Investment_Strategy_Sub1="Non-Standard"),VLOOKUP(Investment_Strategy&amp;"_"&amp;Investment_Strategy_Sub2&amp;"_"&amp;$A653,'Investment Strategies'!$C:$P,14,FALSE),
IF(AND(Investment_Strategy="Lifecycle",Investment_Strategy_Sub1="Standard"),VLOOKUP(Investment_Strategy&amp;"_"&amp;Investment_Strategy_Sub2&amp;"_"&amp;$A653,'Investment Strategies'!$AJ:$AV,13,FALSE),
IF(AND(Investment_Strategy="Autopilot",Investment_Strategy_Sub1="Non-Standard"),VLOOKUP(Investment_Strategy&amp;"_"&amp;Investment_Strategy_Sub2&amp;"_"&amp;$A653,'Investment Strategies'!$T:$AF,13,FALSE),
IF(Investment_Strategy="DIY",DIY_ExtManChrge_FuturePremiums,
"Error"))))))</f>
        <v>0</v>
      </c>
      <c r="W653" s="16">
        <f t="shared" si="373"/>
        <v>0</v>
      </c>
      <c r="X653" s="16">
        <f t="shared" si="350"/>
        <v>0</v>
      </c>
      <c r="Y653" s="16">
        <f t="shared" si="351"/>
        <v>0</v>
      </c>
      <c r="Z653" s="31">
        <f t="shared" si="352"/>
        <v>0.02</v>
      </c>
      <c r="AA653" s="16">
        <f t="shared" si="353"/>
        <v>0</v>
      </c>
      <c r="AB653" s="28">
        <f t="shared" si="374"/>
        <v>0</v>
      </c>
      <c r="AC653" s="28">
        <f>(SUM($AC$91:AC652)+SUM($X$91:X652)+X653)*T653*IF(D653=$A$91,SRP_finalmonthfactor,1)</f>
        <v>0</v>
      </c>
      <c r="AD653" s="16">
        <f t="shared" si="354"/>
        <v>0</v>
      </c>
      <c r="AE653" s="106"/>
      <c r="AF653" s="16">
        <f t="shared" si="362"/>
        <v>0</v>
      </c>
      <c r="AG653" s="16">
        <f t="shared" si="363"/>
        <v>0</v>
      </c>
      <c r="AH653" s="16">
        <f t="shared" si="364"/>
        <v>0</v>
      </c>
      <c r="AJ653" s="13">
        <f t="shared" si="379"/>
        <v>0</v>
      </c>
      <c r="AK653" s="13">
        <f t="shared" si="379"/>
        <v>0</v>
      </c>
      <c r="AL653" s="13">
        <f t="shared" si="379"/>
        <v>0</v>
      </c>
      <c r="AM653" s="13">
        <f t="shared" si="379"/>
        <v>0</v>
      </c>
      <c r="AN653" s="13">
        <f t="shared" si="379"/>
        <v>0</v>
      </c>
      <c r="AO653" s="13">
        <f t="shared" si="379"/>
        <v>1</v>
      </c>
      <c r="AP653" s="13">
        <f t="shared" si="379"/>
        <v>1</v>
      </c>
      <c r="AQ653" s="13">
        <f t="shared" si="379"/>
        <v>1</v>
      </c>
      <c r="AR653" s="13">
        <f t="shared" si="379"/>
        <v>0</v>
      </c>
      <c r="AS653" s="13">
        <f t="shared" si="379"/>
        <v>0</v>
      </c>
      <c r="AT653" s="13">
        <f t="shared" si="379"/>
        <v>0</v>
      </c>
      <c r="AU653" s="13">
        <f t="shared" si="379"/>
        <v>0</v>
      </c>
      <c r="AV653" s="13">
        <f t="shared" si="355"/>
        <v>0</v>
      </c>
      <c r="AW653" s="13">
        <f t="shared" si="356"/>
        <v>1</v>
      </c>
      <c r="AY653" s="17">
        <f t="shared" si="357"/>
        <v>563</v>
      </c>
      <c r="AZ653" s="28">
        <f t="shared" si="365"/>
        <v>0</v>
      </c>
      <c r="BA653" s="13">
        <f t="shared" si="358"/>
        <v>0</v>
      </c>
      <c r="BB653" s="13">
        <f t="shared" si="359"/>
        <v>0</v>
      </c>
      <c r="BC653" s="28">
        <f t="shared" si="366"/>
        <v>0</v>
      </c>
      <c r="BD653" s="28">
        <f t="shared" si="367"/>
        <v>0</v>
      </c>
      <c r="BF653" s="248">
        <f t="shared" si="368"/>
        <v>993869.29442638322</v>
      </c>
    </row>
    <row r="654" spans="1:58">
      <c r="A654" s="32">
        <f t="shared" si="369"/>
        <v>-479</v>
      </c>
      <c r="B654" s="32">
        <f t="shared" si="360"/>
        <v>99</v>
      </c>
      <c r="C654" s="32">
        <f t="shared" si="370"/>
        <v>47</v>
      </c>
      <c r="D654" s="32">
        <f t="shared" si="371"/>
        <v>564</v>
      </c>
      <c r="E654" s="74">
        <f>MIN(IF(AV654=0,0,
IF(Investment_Strategy="DIS",VLOOKUP(Investment_Strategy&amp;"_"&amp;Investment_Strategy_Sub1&amp;"_"&amp;$A654,'Investment Strategies'!$AZ:$BP,12,FALSE),
IF(AND(Investment_Strategy="Lifecycle",Investment_Strategy_Sub1="Non-Standard"),VLOOKUP(Investment_Strategy&amp;"_"&amp;Investment_Strategy_Sub2&amp;"_"&amp;$A654,'Investment Strategies'!$C:$P,9,FALSE),
IF(AND(Investment_Strategy="Lifecycle",Investment_Strategy_Sub1="Standard"),VLOOKUP(Investment_Strategy&amp;"_"&amp;Investment_Strategy_Sub2&amp;"_"&amp;$A654,'Investment Strategies'!$AJ:$AV,8,FALSE),
IF(AND(Investment_Strategy="Autopilot",Investment_Strategy_Sub1="Non-Standard"),VLOOKUP(Investment_Strategy&amp;"_"&amp;Investment_Strategy_Sub2&amp;"_"&amp;$A654,'Investment Strategies'!$T:$AF,8,FALSE),
IF(Investment_Strategy ="DIY",DIY_RateOfReturn_CurrentFunds,
"Error")))))),Max_InvReturn)</f>
        <v>0</v>
      </c>
      <c r="F654" s="62">
        <f>IF(AV654=0,0,
IF(Investment_Strategy="DIS",VLOOKUP(Investment_Strategy&amp;"_"&amp;Investment_Strategy_Sub1&amp;"_"&amp;$A654,'Investment Strategies'!$AZ:$BP,15,FALSE),
IF(AND(Investment_Strategy="Lifecycle",Investment_Strategy_Sub1="Non-Standard"),VLOOKUP(Investment_Strategy&amp;"_"&amp;Investment_Strategy_Sub2&amp;"_"&amp;$A654,'Investment Strategies'!$C:$P,12,FALSE),
IF(AND(Investment_Strategy="Lifecycle",Investment_Strategy_Sub1="Standard"),VLOOKUP(Investment_Strategy&amp;"_"&amp;Investment_Strategy_Sub2&amp;"_"&amp;$A654,'Investment Strategies'!$AJ:$AV,11,FALSE),
IF(AND(Investment_Strategy="Autopilot",Investment_Strategy_Sub1="Non-Standard"),VLOOKUP(Investment_Strategy&amp;"_"&amp;Investment_Strategy_Sub2&amp;"_"&amp;$A654,'Investment Strategies'!$T:$AF,11,FALSE),
IF(Investment_Strategy="DIY",DIY_GteeChrge_CurrentFunds,
"Error"))))))</f>
        <v>0</v>
      </c>
      <c r="G654" s="33">
        <f>IF(AV654=0,0,
IF(Investment_Strategy="DIS",VLOOKUP(Investment_Strategy&amp;"_"&amp;Investment_Strategy_Sub1&amp;"_"&amp;$A654,'Investment Strategies'!$AZ:$BP,17,FALSE),
IF(AND(Investment_Strategy="Lifecycle",Investment_Strategy_Sub1="Non-Standard"),VLOOKUP(Investment_Strategy&amp;"_"&amp;Investment_Strategy_Sub2&amp;"_"&amp;$A654,'Investment Strategies'!$C:$P,14,FALSE),
IF(AND(Investment_Strategy="Lifecycle",Investment_Strategy_Sub1="Standard"),VLOOKUP(Investment_Strategy&amp;"_"&amp;Investment_Strategy_Sub2&amp;"_"&amp;$A654,'Investment Strategies'!$AJ:$AV,13,FALSE),
IF(AND(Investment_Strategy="Autopilot",Investment_Strategy_Sub1="Non-Standard"),VLOOKUP(Investment_Strategy&amp;"_"&amp;Investment_Strategy_Sub2&amp;"_"&amp;$A654,'Investment Strategies'!$T:$AF,13,FALSE),
IF(Investment_Strategy="DIY",DIY_ExtManChrge_CurrentFunds,
"Error"))))))</f>
        <v>0</v>
      </c>
      <c r="H654" s="16">
        <f t="shared" si="361"/>
        <v>0</v>
      </c>
      <c r="I654" s="16">
        <f t="shared" si="347"/>
        <v>0</v>
      </c>
      <c r="J654" s="16">
        <f t="shared" si="348"/>
        <v>0</v>
      </c>
      <c r="K654" s="16">
        <f>(Opening_Fund_Value+SUM(K$91:K653))*E654*IF(D654=$A$91,SRP_finalmonthfactor,1)</f>
        <v>0</v>
      </c>
      <c r="L654" s="74">
        <f>MIN(IF($AV654=0,0,
IF(Investment_Strategy="DIS",VLOOKUP(Investment_Strategy&amp;"_"&amp;Investment_Strategy_Sub1&amp;"_"&amp;$A654,'Investment Strategies'!$AZ:$BP,12,FALSE),
IF(AND(Investment_Strategy="Lifecycle",Investment_Strategy_Sub1="Non-Standard"),VLOOKUP(Investment_Strategy&amp;"_"&amp;Investment_Strategy_Sub2&amp;"_"&amp;$A654,'Investment Strategies'!$C:$P,9,FALSE),
IF(AND(Investment_Strategy="Lifecycle",Investment_Strategy_Sub1="Standard"),VLOOKUP(Investment_Strategy&amp;"_"&amp;Investment_Strategy_Sub2&amp;"_"&amp;$A654,'Investment Strategies'!$AJ:$AV,8,FALSE),
IF(AND(Investment_Strategy="Autopilot",Investment_Strategy_Sub1="Non-Standard"),VLOOKUP(Investment_Strategy&amp;"_"&amp;Investment_Strategy_Sub2&amp;"_"&amp;$A654,'Investment Strategies'!$T:$AF,8,FALSE),
IF(Investment_Strategy ="DIY",DIY_RateofReturn_SP,
"Error")))))),Max_InvReturn)</f>
        <v>0</v>
      </c>
      <c r="M654" s="62">
        <f>IF($AV654=0,0,
IF(Investment_Strategy="DIS",VLOOKUP(Investment_Strategy&amp;"_"&amp;Investment_Strategy_Sub1&amp;"_"&amp;$A654,'Investment Strategies'!$AZ:$BP,15,FALSE),
IF(AND(Investment_Strategy="Lifecycle",Investment_Strategy_Sub1="Non-Standard"),VLOOKUP(Investment_Strategy&amp;"_"&amp;Investment_Strategy_Sub2&amp;"_"&amp;$A654,'Investment Strategies'!$C:$P,12,FALSE),
IF(AND(Investment_Strategy="Lifecycle",Investment_Strategy_Sub1="Standard"),VLOOKUP(Investment_Strategy&amp;"_"&amp;Investment_Strategy_Sub2&amp;"_"&amp;$A654,'Investment Strategies'!$AJ:$AV,11,FALSE),
IF(AND(Investment_Strategy="Autopilot",Investment_Strategy_Sub1="Non-Standard"),VLOOKUP(Investment_Strategy&amp;"_"&amp;Investment_Strategy_Sub2&amp;"_"&amp;$A654,'Investment Strategies'!$T:$AF,11,FALSE),
IF(Investment_Strategy="DIY",DIY_GteeChrge_SP,
"Error"))))))</f>
        <v>0</v>
      </c>
      <c r="N654" s="33">
        <f>IF($AV654=0,0,
IF(Investment_Strategy="DIS",VLOOKUP(Investment_Strategy&amp;"_"&amp;Investment_Strategy_Sub1&amp;"_"&amp;$A654,'Investment Strategies'!$AZ:$BP,17,FALSE),
IF(AND(Investment_Strategy="Lifecycle",Investment_Strategy_Sub1="Non-Standard"),VLOOKUP(Investment_Strategy&amp;"_"&amp;Investment_Strategy_Sub2&amp;"_"&amp;$A654,'Investment Strategies'!$C:$P,14,FALSE),
IF(AND(Investment_Strategy="Lifecycle",Investment_Strategy_Sub1="Standard"),VLOOKUP(Investment_Strategy&amp;"_"&amp;Investment_Strategy_Sub2&amp;"_"&amp;$A654,'Investment Strategies'!$AJ:$AV,13,FALSE),
IF(AND(Investment_Strategy="Autopilot",Investment_Strategy_Sub1="Non-Standard"),VLOOKUP(Investment_Strategy&amp;"_"&amp;Investment_Strategy_Sub2&amp;"_"&amp;$A654,'Investment Strategies'!$T:$AF,13,FALSE),
IF(Investment_Strategy="DIY",DIY_ExtManChrge_SP,
"Error"))))))</f>
        <v>0</v>
      </c>
      <c r="O654" s="16">
        <f t="shared" si="372"/>
        <v>0</v>
      </c>
      <c r="Q654" s="16">
        <f t="shared" si="349"/>
        <v>0</v>
      </c>
      <c r="R654" s="16">
        <f t="shared" si="345"/>
        <v>0</v>
      </c>
      <c r="S654" s="16">
        <f>(SRP_SP+SUM(S$91:S653))*L654*IF(D654=$A$91,SRP_finalmonthfactor,1)</f>
        <v>0</v>
      </c>
      <c r="T654" s="74">
        <f>MIN(IF($AV654=0,0,
IF(Investment_Strategy="DIS",VLOOKUP(Investment_Strategy&amp;"_"&amp;Investment_Strategy_Sub1&amp;"_"&amp;$A654,'Investment Strategies'!$AZ:$BP,12,FALSE),
IF(AND(Investment_Strategy="Lifecycle",Investment_Strategy_Sub1="Non-Standard"),VLOOKUP(Investment_Strategy&amp;"_"&amp;Investment_Strategy_Sub2&amp;"_"&amp;$A654,'Investment Strategies'!$C:$P,9,FALSE),
IF(AND(Investment_Strategy="Lifecycle",Investment_Strategy_Sub1="Standard"),VLOOKUP(Investment_Strategy&amp;"_"&amp;Investment_Strategy_Sub2&amp;"_"&amp;$A654,'Investment Strategies'!$AJ:$AV,8,FALSE),
IF(AND(Investment_Strategy="Autopilot",Investment_Strategy_Sub1="Non-Standard"),VLOOKUP(Investment_Strategy&amp;"_"&amp;Investment_Strategy_Sub2&amp;"_"&amp;$A654,'Investment Strategies'!$T:$AF,8,FALSE),
IF(Investment_Strategy ="DIY",DIY_RateOfReturn_FuturePremiums,
"Error")))))),Max_InvReturn)</f>
        <v>0</v>
      </c>
      <c r="U654" s="62">
        <f>IF($AV654=0,0,
IF(Investment_Strategy="DIS",VLOOKUP(Investment_Strategy&amp;"_"&amp;Investment_Strategy_Sub1&amp;"_"&amp;$A654,'Investment Strategies'!$AZ:$BP,15,FALSE),
IF(AND(Investment_Strategy="Lifecycle",Investment_Strategy_Sub1="Non-Standard"),VLOOKUP(Investment_Strategy&amp;"_"&amp;Investment_Strategy_Sub2&amp;"_"&amp;$A654,'Investment Strategies'!$C:$P,12,FALSE),
IF(AND(Investment_Strategy="Lifecycle",Investment_Strategy_Sub1="Standard"),VLOOKUP(Investment_Strategy&amp;"_"&amp;Investment_Strategy_Sub2&amp;"_"&amp;$A654,'Investment Strategies'!$AJ:$AV,11,FALSE),
IF(AND(Investment_Strategy="Autopilot",Investment_Strategy_Sub1="Non-Standard"),VLOOKUP(Investment_Strategy&amp;"_"&amp;Investment_Strategy_Sub2&amp;"_"&amp;$A654,'Investment Strategies'!$T:$AF,11,FALSE),
IF(Investment_Strategy="DIY",DIY_GteeChrge_FuturePremiums,
"Error"))))))</f>
        <v>0</v>
      </c>
      <c r="V654" s="33">
        <f>IF(AV654=0,0,
IF(Investment_Strategy="DIS",VLOOKUP(Investment_Strategy&amp;"_"&amp;Investment_Strategy_Sub1&amp;"_"&amp;$A654,'Investment Strategies'!$AZ:$BP,17,FALSE),
IF(AND(Investment_Strategy="Lifecycle",Investment_Strategy_Sub1="Non-Standard"),VLOOKUP(Investment_Strategy&amp;"_"&amp;Investment_Strategy_Sub2&amp;"_"&amp;$A654,'Investment Strategies'!$C:$P,14,FALSE),
IF(AND(Investment_Strategy="Lifecycle",Investment_Strategy_Sub1="Standard"),VLOOKUP(Investment_Strategy&amp;"_"&amp;Investment_Strategy_Sub2&amp;"_"&amp;$A654,'Investment Strategies'!$AJ:$AV,13,FALSE),
IF(AND(Investment_Strategy="Autopilot",Investment_Strategy_Sub1="Non-Standard"),VLOOKUP(Investment_Strategy&amp;"_"&amp;Investment_Strategy_Sub2&amp;"_"&amp;$A654,'Investment Strategies'!$T:$AF,13,FALSE),
IF(Investment_Strategy="DIY",DIY_ExtManChrge_FuturePremiums,
"Error"))))))</f>
        <v>0</v>
      </c>
      <c r="W654" s="16">
        <f t="shared" si="373"/>
        <v>0</v>
      </c>
      <c r="X654" s="16">
        <f t="shared" si="350"/>
        <v>0</v>
      </c>
      <c r="Y654" s="16">
        <f t="shared" si="351"/>
        <v>0</v>
      </c>
      <c r="Z654" s="31">
        <f t="shared" si="352"/>
        <v>0.02</v>
      </c>
      <c r="AA654" s="16">
        <f t="shared" si="353"/>
        <v>0</v>
      </c>
      <c r="AB654" s="28">
        <f t="shared" si="374"/>
        <v>0</v>
      </c>
      <c r="AC654" s="28">
        <f>(SUM($AC$91:AC653)+SUM($X$91:X653)+X654)*T654*IF(D654=$A$91,SRP_finalmonthfactor,1)</f>
        <v>0</v>
      </c>
      <c r="AD654" s="16">
        <f t="shared" si="354"/>
        <v>0</v>
      </c>
      <c r="AE654" s="106"/>
      <c r="AF654" s="16">
        <f t="shared" si="362"/>
        <v>0</v>
      </c>
      <c r="AG654" s="16">
        <f t="shared" si="363"/>
        <v>0</v>
      </c>
      <c r="AH654" s="16">
        <f t="shared" si="364"/>
        <v>0</v>
      </c>
      <c r="AJ654" s="13">
        <f t="shared" si="379"/>
        <v>0</v>
      </c>
      <c r="AK654" s="13">
        <f t="shared" si="379"/>
        <v>0</v>
      </c>
      <c r="AL654" s="13">
        <f t="shared" si="379"/>
        <v>0</v>
      </c>
      <c r="AM654" s="13">
        <f t="shared" si="379"/>
        <v>0</v>
      </c>
      <c r="AN654" s="13">
        <f t="shared" si="379"/>
        <v>0</v>
      </c>
      <c r="AO654" s="13">
        <f t="shared" si="379"/>
        <v>1</v>
      </c>
      <c r="AP654" s="13">
        <f t="shared" si="379"/>
        <v>1</v>
      </c>
      <c r="AQ654" s="13">
        <f t="shared" si="379"/>
        <v>1</v>
      </c>
      <c r="AR654" s="13">
        <f t="shared" si="379"/>
        <v>0</v>
      </c>
      <c r="AS654" s="13">
        <f t="shared" si="379"/>
        <v>0</v>
      </c>
      <c r="AT654" s="13">
        <f t="shared" si="379"/>
        <v>0</v>
      </c>
      <c r="AU654" s="13">
        <f t="shared" si="379"/>
        <v>0</v>
      </c>
      <c r="AV654" s="13">
        <f t="shared" si="355"/>
        <v>0</v>
      </c>
      <c r="AW654" s="13">
        <f t="shared" si="356"/>
        <v>1</v>
      </c>
      <c r="AY654" s="17">
        <f t="shared" si="357"/>
        <v>564</v>
      </c>
      <c r="AZ654" s="28">
        <f t="shared" si="365"/>
        <v>0</v>
      </c>
      <c r="BA654" s="13">
        <f t="shared" si="358"/>
        <v>0</v>
      </c>
      <c r="BB654" s="13">
        <f t="shared" si="359"/>
        <v>0</v>
      </c>
      <c r="BC654" s="28">
        <f t="shared" si="366"/>
        <v>0</v>
      </c>
      <c r="BD654" s="28">
        <f t="shared" si="367"/>
        <v>0</v>
      </c>
      <c r="BF654" s="248">
        <f t="shared" si="368"/>
        <v>993869.29442638322</v>
      </c>
    </row>
    <row r="655" spans="1:58">
      <c r="A655" s="32">
        <f t="shared" si="369"/>
        <v>-480</v>
      </c>
      <c r="B655" s="32">
        <f t="shared" si="360"/>
        <v>100</v>
      </c>
      <c r="C655" s="32">
        <f t="shared" si="370"/>
        <v>48</v>
      </c>
      <c r="D655" s="32">
        <f t="shared" si="371"/>
        <v>565</v>
      </c>
      <c r="E655" s="74">
        <f>MIN(IF(AV655=0,0,
IF(Investment_Strategy="DIS",VLOOKUP(Investment_Strategy&amp;"_"&amp;Investment_Strategy_Sub1&amp;"_"&amp;$A655,'Investment Strategies'!$AZ:$BP,12,FALSE),
IF(AND(Investment_Strategy="Lifecycle",Investment_Strategy_Sub1="Non-Standard"),VLOOKUP(Investment_Strategy&amp;"_"&amp;Investment_Strategy_Sub2&amp;"_"&amp;$A655,'Investment Strategies'!$C:$P,9,FALSE),
IF(AND(Investment_Strategy="Lifecycle",Investment_Strategy_Sub1="Standard"),VLOOKUP(Investment_Strategy&amp;"_"&amp;Investment_Strategy_Sub2&amp;"_"&amp;$A655,'Investment Strategies'!$AJ:$AV,8,FALSE),
IF(AND(Investment_Strategy="Autopilot",Investment_Strategy_Sub1="Non-Standard"),VLOOKUP(Investment_Strategy&amp;"_"&amp;Investment_Strategy_Sub2&amp;"_"&amp;$A655,'Investment Strategies'!$T:$AF,8,FALSE),
IF(Investment_Strategy ="DIY",DIY_RateOfReturn_CurrentFunds,
"Error")))))),Max_InvReturn)</f>
        <v>0</v>
      </c>
      <c r="F655" s="62">
        <f>IF(AV655=0,0,
IF(Investment_Strategy="DIS",VLOOKUP(Investment_Strategy&amp;"_"&amp;Investment_Strategy_Sub1&amp;"_"&amp;$A655,'Investment Strategies'!$AZ:$BP,15,FALSE),
IF(AND(Investment_Strategy="Lifecycle",Investment_Strategy_Sub1="Non-Standard"),VLOOKUP(Investment_Strategy&amp;"_"&amp;Investment_Strategy_Sub2&amp;"_"&amp;$A655,'Investment Strategies'!$C:$P,12,FALSE),
IF(AND(Investment_Strategy="Lifecycle",Investment_Strategy_Sub1="Standard"),VLOOKUP(Investment_Strategy&amp;"_"&amp;Investment_Strategy_Sub2&amp;"_"&amp;$A655,'Investment Strategies'!$AJ:$AV,11,FALSE),
IF(AND(Investment_Strategy="Autopilot",Investment_Strategy_Sub1="Non-Standard"),VLOOKUP(Investment_Strategy&amp;"_"&amp;Investment_Strategy_Sub2&amp;"_"&amp;$A655,'Investment Strategies'!$T:$AF,11,FALSE),
IF(Investment_Strategy="DIY",DIY_GteeChrge_CurrentFunds,
"Error"))))))</f>
        <v>0</v>
      </c>
      <c r="G655" s="33">
        <f>IF(AV655=0,0,
IF(Investment_Strategy="DIS",VLOOKUP(Investment_Strategy&amp;"_"&amp;Investment_Strategy_Sub1&amp;"_"&amp;$A655,'Investment Strategies'!$AZ:$BP,17,FALSE),
IF(AND(Investment_Strategy="Lifecycle",Investment_Strategy_Sub1="Non-Standard"),VLOOKUP(Investment_Strategy&amp;"_"&amp;Investment_Strategy_Sub2&amp;"_"&amp;$A655,'Investment Strategies'!$C:$P,14,FALSE),
IF(AND(Investment_Strategy="Lifecycle",Investment_Strategy_Sub1="Standard"),VLOOKUP(Investment_Strategy&amp;"_"&amp;Investment_Strategy_Sub2&amp;"_"&amp;$A655,'Investment Strategies'!$AJ:$AV,13,FALSE),
IF(AND(Investment_Strategy="Autopilot",Investment_Strategy_Sub1="Non-Standard"),VLOOKUP(Investment_Strategy&amp;"_"&amp;Investment_Strategy_Sub2&amp;"_"&amp;$A655,'Investment Strategies'!$T:$AF,13,FALSE),
IF(Investment_Strategy="DIY",DIY_ExtManChrge_CurrentFunds,
"Error"))))))</f>
        <v>0</v>
      </c>
      <c r="H655" s="16">
        <f t="shared" si="361"/>
        <v>0</v>
      </c>
      <c r="I655" s="16">
        <f t="shared" si="347"/>
        <v>0</v>
      </c>
      <c r="J655" s="16">
        <f t="shared" si="348"/>
        <v>0</v>
      </c>
      <c r="K655" s="16">
        <f>(Opening_Fund_Value+SUM(K$91:K654))*E655*IF(D655=$A$91,SRP_finalmonthfactor,1)</f>
        <v>0</v>
      </c>
      <c r="L655" s="74">
        <f>MIN(IF($AV655=0,0,
IF(Investment_Strategy="DIS",VLOOKUP(Investment_Strategy&amp;"_"&amp;Investment_Strategy_Sub1&amp;"_"&amp;$A655,'Investment Strategies'!$AZ:$BP,12,FALSE),
IF(AND(Investment_Strategy="Lifecycle",Investment_Strategy_Sub1="Non-Standard"),VLOOKUP(Investment_Strategy&amp;"_"&amp;Investment_Strategy_Sub2&amp;"_"&amp;$A655,'Investment Strategies'!$C:$P,9,FALSE),
IF(AND(Investment_Strategy="Lifecycle",Investment_Strategy_Sub1="Standard"),VLOOKUP(Investment_Strategy&amp;"_"&amp;Investment_Strategy_Sub2&amp;"_"&amp;$A655,'Investment Strategies'!$AJ:$AV,8,FALSE),
IF(AND(Investment_Strategy="Autopilot",Investment_Strategy_Sub1="Non-Standard"),VLOOKUP(Investment_Strategy&amp;"_"&amp;Investment_Strategy_Sub2&amp;"_"&amp;$A655,'Investment Strategies'!$T:$AF,8,FALSE),
IF(Investment_Strategy ="DIY",DIY_RateofReturn_SP,
"Error")))))),Max_InvReturn)</f>
        <v>0</v>
      </c>
      <c r="M655" s="62">
        <f>IF($AV655=0,0,
IF(Investment_Strategy="DIS",VLOOKUP(Investment_Strategy&amp;"_"&amp;Investment_Strategy_Sub1&amp;"_"&amp;$A655,'Investment Strategies'!$AZ:$BP,15,FALSE),
IF(AND(Investment_Strategy="Lifecycle",Investment_Strategy_Sub1="Non-Standard"),VLOOKUP(Investment_Strategy&amp;"_"&amp;Investment_Strategy_Sub2&amp;"_"&amp;$A655,'Investment Strategies'!$C:$P,12,FALSE),
IF(AND(Investment_Strategy="Lifecycle",Investment_Strategy_Sub1="Standard"),VLOOKUP(Investment_Strategy&amp;"_"&amp;Investment_Strategy_Sub2&amp;"_"&amp;$A655,'Investment Strategies'!$AJ:$AV,11,FALSE),
IF(AND(Investment_Strategy="Autopilot",Investment_Strategy_Sub1="Non-Standard"),VLOOKUP(Investment_Strategy&amp;"_"&amp;Investment_Strategy_Sub2&amp;"_"&amp;$A655,'Investment Strategies'!$T:$AF,11,FALSE),
IF(Investment_Strategy="DIY",DIY_GteeChrge_SP,
"Error"))))))</f>
        <v>0</v>
      </c>
      <c r="N655" s="33">
        <f>IF($AV655=0,0,
IF(Investment_Strategy="DIS",VLOOKUP(Investment_Strategy&amp;"_"&amp;Investment_Strategy_Sub1&amp;"_"&amp;$A655,'Investment Strategies'!$AZ:$BP,17,FALSE),
IF(AND(Investment_Strategy="Lifecycle",Investment_Strategy_Sub1="Non-Standard"),VLOOKUP(Investment_Strategy&amp;"_"&amp;Investment_Strategy_Sub2&amp;"_"&amp;$A655,'Investment Strategies'!$C:$P,14,FALSE),
IF(AND(Investment_Strategy="Lifecycle",Investment_Strategy_Sub1="Standard"),VLOOKUP(Investment_Strategy&amp;"_"&amp;Investment_Strategy_Sub2&amp;"_"&amp;$A655,'Investment Strategies'!$AJ:$AV,13,FALSE),
IF(AND(Investment_Strategy="Autopilot",Investment_Strategy_Sub1="Non-Standard"),VLOOKUP(Investment_Strategy&amp;"_"&amp;Investment_Strategy_Sub2&amp;"_"&amp;$A655,'Investment Strategies'!$T:$AF,13,FALSE),
IF(Investment_Strategy="DIY",DIY_ExtManChrge_SP,
"Error"))))))</f>
        <v>0</v>
      </c>
      <c r="O655" s="16">
        <f t="shared" si="372"/>
        <v>0</v>
      </c>
      <c r="Q655" s="16">
        <f t="shared" si="349"/>
        <v>0</v>
      </c>
      <c r="R655" s="16">
        <f t="shared" si="345"/>
        <v>0</v>
      </c>
      <c r="S655" s="16">
        <f>(SRP_SP+SUM(S$91:S654))*L655*IF(D655=$A$91,SRP_finalmonthfactor,1)</f>
        <v>0</v>
      </c>
      <c r="T655" s="74">
        <f>MIN(IF($AV655=0,0,
IF(Investment_Strategy="DIS",VLOOKUP(Investment_Strategy&amp;"_"&amp;Investment_Strategy_Sub1&amp;"_"&amp;$A655,'Investment Strategies'!$AZ:$BP,12,FALSE),
IF(AND(Investment_Strategy="Lifecycle",Investment_Strategy_Sub1="Non-Standard"),VLOOKUP(Investment_Strategy&amp;"_"&amp;Investment_Strategy_Sub2&amp;"_"&amp;$A655,'Investment Strategies'!$C:$P,9,FALSE),
IF(AND(Investment_Strategy="Lifecycle",Investment_Strategy_Sub1="Standard"),VLOOKUP(Investment_Strategy&amp;"_"&amp;Investment_Strategy_Sub2&amp;"_"&amp;$A655,'Investment Strategies'!$AJ:$AV,8,FALSE),
IF(AND(Investment_Strategy="Autopilot",Investment_Strategy_Sub1="Non-Standard"),VLOOKUP(Investment_Strategy&amp;"_"&amp;Investment_Strategy_Sub2&amp;"_"&amp;$A655,'Investment Strategies'!$T:$AF,8,FALSE),
IF(Investment_Strategy ="DIY",DIY_RateOfReturn_FuturePremiums,
"Error")))))),Max_InvReturn)</f>
        <v>0</v>
      </c>
      <c r="U655" s="62">
        <f>IF($AV655=0,0,
IF(Investment_Strategy="DIS",VLOOKUP(Investment_Strategy&amp;"_"&amp;Investment_Strategy_Sub1&amp;"_"&amp;$A655,'Investment Strategies'!$AZ:$BP,15,FALSE),
IF(AND(Investment_Strategy="Lifecycle",Investment_Strategy_Sub1="Non-Standard"),VLOOKUP(Investment_Strategy&amp;"_"&amp;Investment_Strategy_Sub2&amp;"_"&amp;$A655,'Investment Strategies'!$C:$P,12,FALSE),
IF(AND(Investment_Strategy="Lifecycle",Investment_Strategy_Sub1="Standard"),VLOOKUP(Investment_Strategy&amp;"_"&amp;Investment_Strategy_Sub2&amp;"_"&amp;$A655,'Investment Strategies'!$AJ:$AV,11,FALSE),
IF(AND(Investment_Strategy="Autopilot",Investment_Strategy_Sub1="Non-Standard"),VLOOKUP(Investment_Strategy&amp;"_"&amp;Investment_Strategy_Sub2&amp;"_"&amp;$A655,'Investment Strategies'!$T:$AF,11,FALSE),
IF(Investment_Strategy="DIY",DIY_GteeChrge_FuturePremiums,
"Error"))))))</f>
        <v>0</v>
      </c>
      <c r="V655" s="33">
        <f>IF(AV655=0,0,
IF(Investment_Strategy="DIS",VLOOKUP(Investment_Strategy&amp;"_"&amp;Investment_Strategy_Sub1&amp;"_"&amp;$A655,'Investment Strategies'!$AZ:$BP,17,FALSE),
IF(AND(Investment_Strategy="Lifecycle",Investment_Strategy_Sub1="Non-Standard"),VLOOKUP(Investment_Strategy&amp;"_"&amp;Investment_Strategy_Sub2&amp;"_"&amp;$A655,'Investment Strategies'!$C:$P,14,FALSE),
IF(AND(Investment_Strategy="Lifecycle",Investment_Strategy_Sub1="Standard"),VLOOKUP(Investment_Strategy&amp;"_"&amp;Investment_Strategy_Sub2&amp;"_"&amp;$A655,'Investment Strategies'!$AJ:$AV,13,FALSE),
IF(AND(Investment_Strategy="Autopilot",Investment_Strategy_Sub1="Non-Standard"),VLOOKUP(Investment_Strategy&amp;"_"&amp;Investment_Strategy_Sub2&amp;"_"&amp;$A655,'Investment Strategies'!$T:$AF,13,FALSE),
IF(Investment_Strategy="DIY",DIY_ExtManChrge_FuturePremiums,
"Error"))))))</f>
        <v>0</v>
      </c>
      <c r="W655" s="16">
        <f t="shared" si="373"/>
        <v>0</v>
      </c>
      <c r="X655" s="16">
        <f t="shared" si="350"/>
        <v>0</v>
      </c>
      <c r="Y655" s="16">
        <f t="shared" si="351"/>
        <v>0</v>
      </c>
      <c r="Z655" s="31">
        <f t="shared" si="352"/>
        <v>0.02</v>
      </c>
      <c r="AA655" s="16">
        <f t="shared" si="353"/>
        <v>0</v>
      </c>
      <c r="AB655" s="28">
        <f t="shared" si="374"/>
        <v>0</v>
      </c>
      <c r="AC655" s="28">
        <f>(SUM($AC$91:AC654)+SUM($X$91:X654)+X655)*T655*IF(D655=$A$91,SRP_finalmonthfactor,1)</f>
        <v>0</v>
      </c>
      <c r="AD655" s="16">
        <f t="shared" si="354"/>
        <v>0</v>
      </c>
      <c r="AE655" s="106"/>
      <c r="AF655" s="16">
        <f t="shared" si="362"/>
        <v>0</v>
      </c>
      <c r="AG655" s="16">
        <f t="shared" si="363"/>
        <v>0</v>
      </c>
      <c r="AH655" s="16">
        <f t="shared" si="364"/>
        <v>0</v>
      </c>
      <c r="AJ655" s="13">
        <f t="shared" si="379"/>
        <v>0</v>
      </c>
      <c r="AK655" s="13">
        <f t="shared" si="379"/>
        <v>0</v>
      </c>
      <c r="AL655" s="13">
        <f t="shared" si="379"/>
        <v>0</v>
      </c>
      <c r="AM655" s="13">
        <f t="shared" si="379"/>
        <v>0</v>
      </c>
      <c r="AN655" s="13">
        <f t="shared" si="379"/>
        <v>0</v>
      </c>
      <c r="AO655" s="13">
        <f t="shared" si="379"/>
        <v>1</v>
      </c>
      <c r="AP655" s="13">
        <f t="shared" si="379"/>
        <v>1</v>
      </c>
      <c r="AQ655" s="13">
        <f t="shared" si="379"/>
        <v>1</v>
      </c>
      <c r="AR655" s="13">
        <f t="shared" si="379"/>
        <v>0</v>
      </c>
      <c r="AS655" s="13">
        <f t="shared" si="379"/>
        <v>0</v>
      </c>
      <c r="AT655" s="13">
        <f t="shared" si="379"/>
        <v>0</v>
      </c>
      <c r="AU655" s="13">
        <f t="shared" si="379"/>
        <v>0</v>
      </c>
      <c r="AV655" s="13">
        <f t="shared" si="355"/>
        <v>0</v>
      </c>
      <c r="AW655" s="13">
        <f t="shared" si="356"/>
        <v>1</v>
      </c>
      <c r="AY655" s="17">
        <f t="shared" si="357"/>
        <v>565</v>
      </c>
      <c r="AZ655" s="28">
        <f t="shared" si="365"/>
        <v>0</v>
      </c>
      <c r="BA655" s="13">
        <f t="shared" si="358"/>
        <v>0</v>
      </c>
      <c r="BB655" s="13">
        <f t="shared" si="359"/>
        <v>0</v>
      </c>
      <c r="BC655" s="28">
        <f t="shared" si="366"/>
        <v>0</v>
      </c>
      <c r="BD655" s="28">
        <f t="shared" si="367"/>
        <v>0</v>
      </c>
      <c r="BF655" s="248">
        <f t="shared" si="368"/>
        <v>993869.29442638322</v>
      </c>
    </row>
    <row r="656" spans="1:58">
      <c r="A656" s="32">
        <f t="shared" si="369"/>
        <v>-481</v>
      </c>
      <c r="B656" s="32">
        <f t="shared" si="360"/>
        <v>100</v>
      </c>
      <c r="C656" s="32">
        <f t="shared" si="370"/>
        <v>48</v>
      </c>
      <c r="D656" s="32">
        <f t="shared" si="371"/>
        <v>566</v>
      </c>
      <c r="E656" s="74">
        <f>MIN(IF(AV656=0,0,
IF(Investment_Strategy="DIS",VLOOKUP(Investment_Strategy&amp;"_"&amp;Investment_Strategy_Sub1&amp;"_"&amp;$A656,'Investment Strategies'!$AZ:$BP,12,FALSE),
IF(AND(Investment_Strategy="Lifecycle",Investment_Strategy_Sub1="Non-Standard"),VLOOKUP(Investment_Strategy&amp;"_"&amp;Investment_Strategy_Sub2&amp;"_"&amp;$A656,'Investment Strategies'!$C:$P,9,FALSE),
IF(AND(Investment_Strategy="Lifecycle",Investment_Strategy_Sub1="Standard"),VLOOKUP(Investment_Strategy&amp;"_"&amp;Investment_Strategy_Sub2&amp;"_"&amp;$A656,'Investment Strategies'!$AJ:$AV,8,FALSE),
IF(AND(Investment_Strategy="Autopilot",Investment_Strategy_Sub1="Non-Standard"),VLOOKUP(Investment_Strategy&amp;"_"&amp;Investment_Strategy_Sub2&amp;"_"&amp;$A656,'Investment Strategies'!$T:$AF,8,FALSE),
IF(Investment_Strategy ="DIY",DIY_RateOfReturn_CurrentFunds,
"Error")))))),Max_InvReturn)</f>
        <v>0</v>
      </c>
      <c r="F656" s="62">
        <f>IF(AV656=0,0,
IF(Investment_Strategy="DIS",VLOOKUP(Investment_Strategy&amp;"_"&amp;Investment_Strategy_Sub1&amp;"_"&amp;$A656,'Investment Strategies'!$AZ:$BP,15,FALSE),
IF(AND(Investment_Strategy="Lifecycle",Investment_Strategy_Sub1="Non-Standard"),VLOOKUP(Investment_Strategy&amp;"_"&amp;Investment_Strategy_Sub2&amp;"_"&amp;$A656,'Investment Strategies'!$C:$P,12,FALSE),
IF(AND(Investment_Strategy="Lifecycle",Investment_Strategy_Sub1="Standard"),VLOOKUP(Investment_Strategy&amp;"_"&amp;Investment_Strategy_Sub2&amp;"_"&amp;$A656,'Investment Strategies'!$AJ:$AV,11,FALSE),
IF(AND(Investment_Strategy="Autopilot",Investment_Strategy_Sub1="Non-Standard"),VLOOKUP(Investment_Strategy&amp;"_"&amp;Investment_Strategy_Sub2&amp;"_"&amp;$A656,'Investment Strategies'!$T:$AF,11,FALSE),
IF(Investment_Strategy="DIY",DIY_GteeChrge_CurrentFunds,
"Error"))))))</f>
        <v>0</v>
      </c>
      <c r="G656" s="33">
        <f>IF(AV656=0,0,
IF(Investment_Strategy="DIS",VLOOKUP(Investment_Strategy&amp;"_"&amp;Investment_Strategy_Sub1&amp;"_"&amp;$A656,'Investment Strategies'!$AZ:$BP,17,FALSE),
IF(AND(Investment_Strategy="Lifecycle",Investment_Strategy_Sub1="Non-Standard"),VLOOKUP(Investment_Strategy&amp;"_"&amp;Investment_Strategy_Sub2&amp;"_"&amp;$A656,'Investment Strategies'!$C:$P,14,FALSE),
IF(AND(Investment_Strategy="Lifecycle",Investment_Strategy_Sub1="Standard"),VLOOKUP(Investment_Strategy&amp;"_"&amp;Investment_Strategy_Sub2&amp;"_"&amp;$A656,'Investment Strategies'!$AJ:$AV,13,FALSE),
IF(AND(Investment_Strategy="Autopilot",Investment_Strategy_Sub1="Non-Standard"),VLOOKUP(Investment_Strategy&amp;"_"&amp;Investment_Strategy_Sub2&amp;"_"&amp;$A656,'Investment Strategies'!$T:$AF,13,FALSE),
IF(Investment_Strategy="DIY",DIY_ExtManChrge_CurrentFunds,
"Error"))))))</f>
        <v>0</v>
      </c>
      <c r="H656" s="16">
        <f t="shared" si="361"/>
        <v>0</v>
      </c>
      <c r="I656" s="16">
        <f t="shared" si="347"/>
        <v>0</v>
      </c>
      <c r="J656" s="16">
        <f t="shared" si="348"/>
        <v>0</v>
      </c>
      <c r="K656" s="16">
        <f>(Opening_Fund_Value+SUM(K$91:K655))*E656*IF(D656=$A$91,SRP_finalmonthfactor,1)</f>
        <v>0</v>
      </c>
      <c r="L656" s="74">
        <f>MIN(IF($AV656=0,0,
IF(Investment_Strategy="DIS",VLOOKUP(Investment_Strategy&amp;"_"&amp;Investment_Strategy_Sub1&amp;"_"&amp;$A656,'Investment Strategies'!$AZ:$BP,12,FALSE),
IF(AND(Investment_Strategy="Lifecycle",Investment_Strategy_Sub1="Non-Standard"),VLOOKUP(Investment_Strategy&amp;"_"&amp;Investment_Strategy_Sub2&amp;"_"&amp;$A656,'Investment Strategies'!$C:$P,9,FALSE),
IF(AND(Investment_Strategy="Lifecycle",Investment_Strategy_Sub1="Standard"),VLOOKUP(Investment_Strategy&amp;"_"&amp;Investment_Strategy_Sub2&amp;"_"&amp;$A656,'Investment Strategies'!$AJ:$AV,8,FALSE),
IF(AND(Investment_Strategy="Autopilot",Investment_Strategy_Sub1="Non-Standard"),VLOOKUP(Investment_Strategy&amp;"_"&amp;Investment_Strategy_Sub2&amp;"_"&amp;$A656,'Investment Strategies'!$T:$AF,8,FALSE),
IF(Investment_Strategy ="DIY",DIY_RateofReturn_SP,
"Error")))))),Max_InvReturn)</f>
        <v>0</v>
      </c>
      <c r="M656" s="62">
        <f>IF($AV656=0,0,
IF(Investment_Strategy="DIS",VLOOKUP(Investment_Strategy&amp;"_"&amp;Investment_Strategy_Sub1&amp;"_"&amp;$A656,'Investment Strategies'!$AZ:$BP,15,FALSE),
IF(AND(Investment_Strategy="Lifecycle",Investment_Strategy_Sub1="Non-Standard"),VLOOKUP(Investment_Strategy&amp;"_"&amp;Investment_Strategy_Sub2&amp;"_"&amp;$A656,'Investment Strategies'!$C:$P,12,FALSE),
IF(AND(Investment_Strategy="Lifecycle",Investment_Strategy_Sub1="Standard"),VLOOKUP(Investment_Strategy&amp;"_"&amp;Investment_Strategy_Sub2&amp;"_"&amp;$A656,'Investment Strategies'!$AJ:$AV,11,FALSE),
IF(AND(Investment_Strategy="Autopilot",Investment_Strategy_Sub1="Non-Standard"),VLOOKUP(Investment_Strategy&amp;"_"&amp;Investment_Strategy_Sub2&amp;"_"&amp;$A656,'Investment Strategies'!$T:$AF,11,FALSE),
IF(Investment_Strategy="DIY",DIY_GteeChrge_SP,
"Error"))))))</f>
        <v>0</v>
      </c>
      <c r="N656" s="33">
        <f>IF($AV656=0,0,
IF(Investment_Strategy="DIS",VLOOKUP(Investment_Strategy&amp;"_"&amp;Investment_Strategy_Sub1&amp;"_"&amp;$A656,'Investment Strategies'!$AZ:$BP,17,FALSE),
IF(AND(Investment_Strategy="Lifecycle",Investment_Strategy_Sub1="Non-Standard"),VLOOKUP(Investment_Strategy&amp;"_"&amp;Investment_Strategy_Sub2&amp;"_"&amp;$A656,'Investment Strategies'!$C:$P,14,FALSE),
IF(AND(Investment_Strategy="Lifecycle",Investment_Strategy_Sub1="Standard"),VLOOKUP(Investment_Strategy&amp;"_"&amp;Investment_Strategy_Sub2&amp;"_"&amp;$A656,'Investment Strategies'!$AJ:$AV,13,FALSE),
IF(AND(Investment_Strategy="Autopilot",Investment_Strategy_Sub1="Non-Standard"),VLOOKUP(Investment_Strategy&amp;"_"&amp;Investment_Strategy_Sub2&amp;"_"&amp;$A656,'Investment Strategies'!$T:$AF,13,FALSE),
IF(Investment_Strategy="DIY",DIY_ExtManChrge_SP,
"Error"))))))</f>
        <v>0</v>
      </c>
      <c r="O656" s="16">
        <f t="shared" si="372"/>
        <v>0</v>
      </c>
      <c r="Q656" s="16">
        <f t="shared" si="349"/>
        <v>0</v>
      </c>
      <c r="R656" s="16">
        <f t="shared" si="345"/>
        <v>0</v>
      </c>
      <c r="S656" s="16">
        <f>(SRP_SP+SUM(S$91:S655))*L656*IF(D656=$A$91,SRP_finalmonthfactor,1)</f>
        <v>0</v>
      </c>
      <c r="T656" s="74">
        <f>MIN(IF($AV656=0,0,
IF(Investment_Strategy="DIS",VLOOKUP(Investment_Strategy&amp;"_"&amp;Investment_Strategy_Sub1&amp;"_"&amp;$A656,'Investment Strategies'!$AZ:$BP,12,FALSE),
IF(AND(Investment_Strategy="Lifecycle",Investment_Strategy_Sub1="Non-Standard"),VLOOKUP(Investment_Strategy&amp;"_"&amp;Investment_Strategy_Sub2&amp;"_"&amp;$A656,'Investment Strategies'!$C:$P,9,FALSE),
IF(AND(Investment_Strategy="Lifecycle",Investment_Strategy_Sub1="Standard"),VLOOKUP(Investment_Strategy&amp;"_"&amp;Investment_Strategy_Sub2&amp;"_"&amp;$A656,'Investment Strategies'!$AJ:$AV,8,FALSE),
IF(AND(Investment_Strategy="Autopilot",Investment_Strategy_Sub1="Non-Standard"),VLOOKUP(Investment_Strategy&amp;"_"&amp;Investment_Strategy_Sub2&amp;"_"&amp;$A656,'Investment Strategies'!$T:$AF,8,FALSE),
IF(Investment_Strategy ="DIY",DIY_RateOfReturn_FuturePremiums,
"Error")))))),Max_InvReturn)</f>
        <v>0</v>
      </c>
      <c r="U656" s="62">
        <f>IF($AV656=0,0,
IF(Investment_Strategy="DIS",VLOOKUP(Investment_Strategy&amp;"_"&amp;Investment_Strategy_Sub1&amp;"_"&amp;$A656,'Investment Strategies'!$AZ:$BP,15,FALSE),
IF(AND(Investment_Strategy="Lifecycle",Investment_Strategy_Sub1="Non-Standard"),VLOOKUP(Investment_Strategy&amp;"_"&amp;Investment_Strategy_Sub2&amp;"_"&amp;$A656,'Investment Strategies'!$C:$P,12,FALSE),
IF(AND(Investment_Strategy="Lifecycle",Investment_Strategy_Sub1="Standard"),VLOOKUP(Investment_Strategy&amp;"_"&amp;Investment_Strategy_Sub2&amp;"_"&amp;$A656,'Investment Strategies'!$AJ:$AV,11,FALSE),
IF(AND(Investment_Strategy="Autopilot",Investment_Strategy_Sub1="Non-Standard"),VLOOKUP(Investment_Strategy&amp;"_"&amp;Investment_Strategy_Sub2&amp;"_"&amp;$A656,'Investment Strategies'!$T:$AF,11,FALSE),
IF(Investment_Strategy="DIY",DIY_GteeChrge_FuturePremiums,
"Error"))))))</f>
        <v>0</v>
      </c>
      <c r="V656" s="33">
        <f>IF(AV656=0,0,
IF(Investment_Strategy="DIS",VLOOKUP(Investment_Strategy&amp;"_"&amp;Investment_Strategy_Sub1&amp;"_"&amp;$A656,'Investment Strategies'!$AZ:$BP,17,FALSE),
IF(AND(Investment_Strategy="Lifecycle",Investment_Strategy_Sub1="Non-Standard"),VLOOKUP(Investment_Strategy&amp;"_"&amp;Investment_Strategy_Sub2&amp;"_"&amp;$A656,'Investment Strategies'!$C:$P,14,FALSE),
IF(AND(Investment_Strategy="Lifecycle",Investment_Strategy_Sub1="Standard"),VLOOKUP(Investment_Strategy&amp;"_"&amp;Investment_Strategy_Sub2&amp;"_"&amp;$A656,'Investment Strategies'!$AJ:$AV,13,FALSE),
IF(AND(Investment_Strategy="Autopilot",Investment_Strategy_Sub1="Non-Standard"),VLOOKUP(Investment_Strategy&amp;"_"&amp;Investment_Strategy_Sub2&amp;"_"&amp;$A656,'Investment Strategies'!$T:$AF,13,FALSE),
IF(Investment_Strategy="DIY",DIY_ExtManChrge_FuturePremiums,
"Error"))))))</f>
        <v>0</v>
      </c>
      <c r="W656" s="16">
        <f t="shared" si="373"/>
        <v>0</v>
      </c>
      <c r="X656" s="16">
        <f t="shared" si="350"/>
        <v>0</v>
      </c>
      <c r="Y656" s="16">
        <f t="shared" si="351"/>
        <v>0</v>
      </c>
      <c r="Z656" s="31">
        <f t="shared" si="352"/>
        <v>0.02</v>
      </c>
      <c r="AA656" s="16">
        <f t="shared" si="353"/>
        <v>0</v>
      </c>
      <c r="AB656" s="28">
        <f t="shared" si="374"/>
        <v>0</v>
      </c>
      <c r="AC656" s="28">
        <f>(SUM($AC$91:AC655)+SUM($X$91:X655)+X656)*T656*IF(D656=$A$91,SRP_finalmonthfactor,1)</f>
        <v>0</v>
      </c>
      <c r="AD656" s="16">
        <f t="shared" si="354"/>
        <v>0</v>
      </c>
      <c r="AE656" s="106"/>
      <c r="AF656" s="16">
        <f t="shared" si="362"/>
        <v>0</v>
      </c>
      <c r="AG656" s="16">
        <f t="shared" si="363"/>
        <v>0</v>
      </c>
      <c r="AH656" s="16">
        <f t="shared" si="364"/>
        <v>0</v>
      </c>
      <c r="AJ656" s="13">
        <f t="shared" si="379"/>
        <v>0</v>
      </c>
      <c r="AK656" s="13">
        <f t="shared" si="379"/>
        <v>0</v>
      </c>
      <c r="AL656" s="13">
        <f t="shared" si="379"/>
        <v>0</v>
      </c>
      <c r="AM656" s="13">
        <f t="shared" si="379"/>
        <v>0</v>
      </c>
      <c r="AN656" s="13">
        <f t="shared" si="379"/>
        <v>0</v>
      </c>
      <c r="AO656" s="13">
        <f t="shared" si="379"/>
        <v>1</v>
      </c>
      <c r="AP656" s="13">
        <f t="shared" si="379"/>
        <v>1</v>
      </c>
      <c r="AQ656" s="13">
        <f t="shared" si="379"/>
        <v>1</v>
      </c>
      <c r="AR656" s="13">
        <f t="shared" si="379"/>
        <v>0</v>
      </c>
      <c r="AS656" s="13">
        <f t="shared" si="379"/>
        <v>0</v>
      </c>
      <c r="AT656" s="13">
        <f t="shared" si="379"/>
        <v>0</v>
      </c>
      <c r="AU656" s="13">
        <f t="shared" si="379"/>
        <v>0</v>
      </c>
      <c r="AV656" s="13">
        <f t="shared" si="355"/>
        <v>0</v>
      </c>
      <c r="AW656" s="13">
        <f t="shared" si="356"/>
        <v>1</v>
      </c>
      <c r="AY656" s="17">
        <f t="shared" si="357"/>
        <v>566</v>
      </c>
      <c r="AZ656" s="28">
        <f t="shared" si="365"/>
        <v>0</v>
      </c>
      <c r="BA656" s="13">
        <f t="shared" si="358"/>
        <v>0</v>
      </c>
      <c r="BB656" s="13">
        <f t="shared" si="359"/>
        <v>0</v>
      </c>
      <c r="BC656" s="28">
        <f t="shared" si="366"/>
        <v>0</v>
      </c>
      <c r="BD656" s="28">
        <f t="shared" si="367"/>
        <v>0</v>
      </c>
      <c r="BF656" s="248">
        <f t="shared" si="368"/>
        <v>993869.29442638322</v>
      </c>
    </row>
    <row r="657" spans="1:58">
      <c r="A657" s="32">
        <f t="shared" si="369"/>
        <v>-482</v>
      </c>
      <c r="B657" s="32">
        <f t="shared" si="360"/>
        <v>100</v>
      </c>
      <c r="C657" s="32">
        <f t="shared" si="370"/>
        <v>48</v>
      </c>
      <c r="D657" s="32">
        <f t="shared" si="371"/>
        <v>567</v>
      </c>
      <c r="E657" s="74">
        <f>MIN(IF(AV657=0,0,
IF(Investment_Strategy="DIS",VLOOKUP(Investment_Strategy&amp;"_"&amp;Investment_Strategy_Sub1&amp;"_"&amp;$A657,'Investment Strategies'!$AZ:$BP,12,FALSE),
IF(AND(Investment_Strategy="Lifecycle",Investment_Strategy_Sub1="Non-Standard"),VLOOKUP(Investment_Strategy&amp;"_"&amp;Investment_Strategy_Sub2&amp;"_"&amp;$A657,'Investment Strategies'!$C:$P,9,FALSE),
IF(AND(Investment_Strategy="Lifecycle",Investment_Strategy_Sub1="Standard"),VLOOKUP(Investment_Strategy&amp;"_"&amp;Investment_Strategy_Sub2&amp;"_"&amp;$A657,'Investment Strategies'!$AJ:$AV,8,FALSE),
IF(AND(Investment_Strategy="Autopilot",Investment_Strategy_Sub1="Non-Standard"),VLOOKUP(Investment_Strategy&amp;"_"&amp;Investment_Strategy_Sub2&amp;"_"&amp;$A657,'Investment Strategies'!$T:$AF,8,FALSE),
IF(Investment_Strategy ="DIY",DIY_RateOfReturn_CurrentFunds,
"Error")))))),Max_InvReturn)</f>
        <v>0</v>
      </c>
      <c r="F657" s="62">
        <f>IF(AV657=0,0,
IF(Investment_Strategy="DIS",VLOOKUP(Investment_Strategy&amp;"_"&amp;Investment_Strategy_Sub1&amp;"_"&amp;$A657,'Investment Strategies'!$AZ:$BP,15,FALSE),
IF(AND(Investment_Strategy="Lifecycle",Investment_Strategy_Sub1="Non-Standard"),VLOOKUP(Investment_Strategy&amp;"_"&amp;Investment_Strategy_Sub2&amp;"_"&amp;$A657,'Investment Strategies'!$C:$P,12,FALSE),
IF(AND(Investment_Strategy="Lifecycle",Investment_Strategy_Sub1="Standard"),VLOOKUP(Investment_Strategy&amp;"_"&amp;Investment_Strategy_Sub2&amp;"_"&amp;$A657,'Investment Strategies'!$AJ:$AV,11,FALSE),
IF(AND(Investment_Strategy="Autopilot",Investment_Strategy_Sub1="Non-Standard"),VLOOKUP(Investment_Strategy&amp;"_"&amp;Investment_Strategy_Sub2&amp;"_"&amp;$A657,'Investment Strategies'!$T:$AF,11,FALSE),
IF(Investment_Strategy="DIY",DIY_GteeChrge_CurrentFunds,
"Error"))))))</f>
        <v>0</v>
      </c>
      <c r="G657" s="33">
        <f>IF(AV657=0,0,
IF(Investment_Strategy="DIS",VLOOKUP(Investment_Strategy&amp;"_"&amp;Investment_Strategy_Sub1&amp;"_"&amp;$A657,'Investment Strategies'!$AZ:$BP,17,FALSE),
IF(AND(Investment_Strategy="Lifecycle",Investment_Strategy_Sub1="Non-Standard"),VLOOKUP(Investment_Strategy&amp;"_"&amp;Investment_Strategy_Sub2&amp;"_"&amp;$A657,'Investment Strategies'!$C:$P,14,FALSE),
IF(AND(Investment_Strategy="Lifecycle",Investment_Strategy_Sub1="Standard"),VLOOKUP(Investment_Strategy&amp;"_"&amp;Investment_Strategy_Sub2&amp;"_"&amp;$A657,'Investment Strategies'!$AJ:$AV,13,FALSE),
IF(AND(Investment_Strategy="Autopilot",Investment_Strategy_Sub1="Non-Standard"),VLOOKUP(Investment_Strategy&amp;"_"&amp;Investment_Strategy_Sub2&amp;"_"&amp;$A657,'Investment Strategies'!$T:$AF,13,FALSE),
IF(Investment_Strategy="DIY",DIY_ExtManChrge_CurrentFunds,
"Error"))))))</f>
        <v>0</v>
      </c>
      <c r="H657" s="16">
        <f t="shared" si="361"/>
        <v>0</v>
      </c>
      <c r="I657" s="16">
        <f t="shared" si="347"/>
        <v>0</v>
      </c>
      <c r="J657" s="16">
        <f t="shared" si="348"/>
        <v>0</v>
      </c>
      <c r="K657" s="16">
        <f>(Opening_Fund_Value+SUM(K$91:K656))*E657*IF(D657=$A$91,SRP_finalmonthfactor,1)</f>
        <v>0</v>
      </c>
      <c r="L657" s="74">
        <f>MIN(IF($AV657=0,0,
IF(Investment_Strategy="DIS",VLOOKUP(Investment_Strategy&amp;"_"&amp;Investment_Strategy_Sub1&amp;"_"&amp;$A657,'Investment Strategies'!$AZ:$BP,12,FALSE),
IF(AND(Investment_Strategy="Lifecycle",Investment_Strategy_Sub1="Non-Standard"),VLOOKUP(Investment_Strategy&amp;"_"&amp;Investment_Strategy_Sub2&amp;"_"&amp;$A657,'Investment Strategies'!$C:$P,9,FALSE),
IF(AND(Investment_Strategy="Lifecycle",Investment_Strategy_Sub1="Standard"),VLOOKUP(Investment_Strategy&amp;"_"&amp;Investment_Strategy_Sub2&amp;"_"&amp;$A657,'Investment Strategies'!$AJ:$AV,8,FALSE),
IF(AND(Investment_Strategy="Autopilot",Investment_Strategy_Sub1="Non-Standard"),VLOOKUP(Investment_Strategy&amp;"_"&amp;Investment_Strategy_Sub2&amp;"_"&amp;$A657,'Investment Strategies'!$T:$AF,8,FALSE),
IF(Investment_Strategy ="DIY",DIY_RateofReturn_SP,
"Error")))))),Max_InvReturn)</f>
        <v>0</v>
      </c>
      <c r="M657" s="62">
        <f>IF($AV657=0,0,
IF(Investment_Strategy="DIS",VLOOKUP(Investment_Strategy&amp;"_"&amp;Investment_Strategy_Sub1&amp;"_"&amp;$A657,'Investment Strategies'!$AZ:$BP,15,FALSE),
IF(AND(Investment_Strategy="Lifecycle",Investment_Strategy_Sub1="Non-Standard"),VLOOKUP(Investment_Strategy&amp;"_"&amp;Investment_Strategy_Sub2&amp;"_"&amp;$A657,'Investment Strategies'!$C:$P,12,FALSE),
IF(AND(Investment_Strategy="Lifecycle",Investment_Strategy_Sub1="Standard"),VLOOKUP(Investment_Strategy&amp;"_"&amp;Investment_Strategy_Sub2&amp;"_"&amp;$A657,'Investment Strategies'!$AJ:$AV,11,FALSE),
IF(AND(Investment_Strategy="Autopilot",Investment_Strategy_Sub1="Non-Standard"),VLOOKUP(Investment_Strategy&amp;"_"&amp;Investment_Strategy_Sub2&amp;"_"&amp;$A657,'Investment Strategies'!$T:$AF,11,FALSE),
IF(Investment_Strategy="DIY",DIY_GteeChrge_SP,
"Error"))))))</f>
        <v>0</v>
      </c>
      <c r="N657" s="33">
        <f>IF($AV657=0,0,
IF(Investment_Strategy="DIS",VLOOKUP(Investment_Strategy&amp;"_"&amp;Investment_Strategy_Sub1&amp;"_"&amp;$A657,'Investment Strategies'!$AZ:$BP,17,FALSE),
IF(AND(Investment_Strategy="Lifecycle",Investment_Strategy_Sub1="Non-Standard"),VLOOKUP(Investment_Strategy&amp;"_"&amp;Investment_Strategy_Sub2&amp;"_"&amp;$A657,'Investment Strategies'!$C:$P,14,FALSE),
IF(AND(Investment_Strategy="Lifecycle",Investment_Strategy_Sub1="Standard"),VLOOKUP(Investment_Strategy&amp;"_"&amp;Investment_Strategy_Sub2&amp;"_"&amp;$A657,'Investment Strategies'!$AJ:$AV,13,FALSE),
IF(AND(Investment_Strategy="Autopilot",Investment_Strategy_Sub1="Non-Standard"),VLOOKUP(Investment_Strategy&amp;"_"&amp;Investment_Strategy_Sub2&amp;"_"&amp;$A657,'Investment Strategies'!$T:$AF,13,FALSE),
IF(Investment_Strategy="DIY",DIY_ExtManChrge_SP,
"Error"))))))</f>
        <v>0</v>
      </c>
      <c r="O657" s="16">
        <f t="shared" si="372"/>
        <v>0</v>
      </c>
      <c r="Q657" s="16">
        <f t="shared" si="349"/>
        <v>0</v>
      </c>
      <c r="R657" s="16">
        <f t="shared" si="345"/>
        <v>0</v>
      </c>
      <c r="S657" s="16">
        <f>(SRP_SP+SUM(S$91:S656))*L657*IF(D657=$A$91,SRP_finalmonthfactor,1)</f>
        <v>0</v>
      </c>
      <c r="T657" s="74">
        <f>MIN(IF($AV657=0,0,
IF(Investment_Strategy="DIS",VLOOKUP(Investment_Strategy&amp;"_"&amp;Investment_Strategy_Sub1&amp;"_"&amp;$A657,'Investment Strategies'!$AZ:$BP,12,FALSE),
IF(AND(Investment_Strategy="Lifecycle",Investment_Strategy_Sub1="Non-Standard"),VLOOKUP(Investment_Strategy&amp;"_"&amp;Investment_Strategy_Sub2&amp;"_"&amp;$A657,'Investment Strategies'!$C:$P,9,FALSE),
IF(AND(Investment_Strategy="Lifecycle",Investment_Strategy_Sub1="Standard"),VLOOKUP(Investment_Strategy&amp;"_"&amp;Investment_Strategy_Sub2&amp;"_"&amp;$A657,'Investment Strategies'!$AJ:$AV,8,FALSE),
IF(AND(Investment_Strategy="Autopilot",Investment_Strategy_Sub1="Non-Standard"),VLOOKUP(Investment_Strategy&amp;"_"&amp;Investment_Strategy_Sub2&amp;"_"&amp;$A657,'Investment Strategies'!$T:$AF,8,FALSE),
IF(Investment_Strategy ="DIY",DIY_RateOfReturn_FuturePremiums,
"Error")))))),Max_InvReturn)</f>
        <v>0</v>
      </c>
      <c r="U657" s="62">
        <f>IF($AV657=0,0,
IF(Investment_Strategy="DIS",VLOOKUP(Investment_Strategy&amp;"_"&amp;Investment_Strategy_Sub1&amp;"_"&amp;$A657,'Investment Strategies'!$AZ:$BP,15,FALSE),
IF(AND(Investment_Strategy="Lifecycle",Investment_Strategy_Sub1="Non-Standard"),VLOOKUP(Investment_Strategy&amp;"_"&amp;Investment_Strategy_Sub2&amp;"_"&amp;$A657,'Investment Strategies'!$C:$P,12,FALSE),
IF(AND(Investment_Strategy="Lifecycle",Investment_Strategy_Sub1="Standard"),VLOOKUP(Investment_Strategy&amp;"_"&amp;Investment_Strategy_Sub2&amp;"_"&amp;$A657,'Investment Strategies'!$AJ:$AV,11,FALSE),
IF(AND(Investment_Strategy="Autopilot",Investment_Strategy_Sub1="Non-Standard"),VLOOKUP(Investment_Strategy&amp;"_"&amp;Investment_Strategy_Sub2&amp;"_"&amp;$A657,'Investment Strategies'!$T:$AF,11,FALSE),
IF(Investment_Strategy="DIY",DIY_GteeChrge_FuturePremiums,
"Error"))))))</f>
        <v>0</v>
      </c>
      <c r="V657" s="33">
        <f>IF(AV657=0,0,
IF(Investment_Strategy="DIS",VLOOKUP(Investment_Strategy&amp;"_"&amp;Investment_Strategy_Sub1&amp;"_"&amp;$A657,'Investment Strategies'!$AZ:$BP,17,FALSE),
IF(AND(Investment_Strategy="Lifecycle",Investment_Strategy_Sub1="Non-Standard"),VLOOKUP(Investment_Strategy&amp;"_"&amp;Investment_Strategy_Sub2&amp;"_"&amp;$A657,'Investment Strategies'!$C:$P,14,FALSE),
IF(AND(Investment_Strategy="Lifecycle",Investment_Strategy_Sub1="Standard"),VLOOKUP(Investment_Strategy&amp;"_"&amp;Investment_Strategy_Sub2&amp;"_"&amp;$A657,'Investment Strategies'!$AJ:$AV,13,FALSE),
IF(AND(Investment_Strategy="Autopilot",Investment_Strategy_Sub1="Non-Standard"),VLOOKUP(Investment_Strategy&amp;"_"&amp;Investment_Strategy_Sub2&amp;"_"&amp;$A657,'Investment Strategies'!$T:$AF,13,FALSE),
IF(Investment_Strategy="DIY",DIY_ExtManChrge_FuturePremiums,
"Error"))))))</f>
        <v>0</v>
      </c>
      <c r="W657" s="16">
        <f t="shared" si="373"/>
        <v>0</v>
      </c>
      <c r="X657" s="16">
        <f t="shared" si="350"/>
        <v>0</v>
      </c>
      <c r="Y657" s="16">
        <f t="shared" si="351"/>
        <v>0</v>
      </c>
      <c r="Z657" s="31">
        <f t="shared" si="352"/>
        <v>0.02</v>
      </c>
      <c r="AA657" s="16">
        <f t="shared" si="353"/>
        <v>0</v>
      </c>
      <c r="AB657" s="28">
        <f t="shared" si="374"/>
        <v>0</v>
      </c>
      <c r="AC657" s="28">
        <f>(SUM($AC$91:AC656)+SUM($X$91:X656)+X657)*T657*IF(D657=$A$91,SRP_finalmonthfactor,1)</f>
        <v>0</v>
      </c>
      <c r="AD657" s="16">
        <f t="shared" si="354"/>
        <v>0</v>
      </c>
      <c r="AE657" s="106"/>
      <c r="AF657" s="16">
        <f t="shared" si="362"/>
        <v>0</v>
      </c>
      <c r="AG657" s="16">
        <f t="shared" si="363"/>
        <v>0</v>
      </c>
      <c r="AH657" s="16">
        <f t="shared" si="364"/>
        <v>0</v>
      </c>
      <c r="AJ657" s="13">
        <f t="shared" si="379"/>
        <v>0</v>
      </c>
      <c r="AK657" s="13">
        <f t="shared" si="379"/>
        <v>0</v>
      </c>
      <c r="AL657" s="13">
        <f t="shared" si="379"/>
        <v>0</v>
      </c>
      <c r="AM657" s="13">
        <f t="shared" si="379"/>
        <v>0</v>
      </c>
      <c r="AN657" s="13">
        <f t="shared" si="379"/>
        <v>0</v>
      </c>
      <c r="AO657" s="13">
        <f t="shared" si="379"/>
        <v>1</v>
      </c>
      <c r="AP657" s="13">
        <f t="shared" si="379"/>
        <v>1</v>
      </c>
      <c r="AQ657" s="13">
        <f t="shared" si="379"/>
        <v>1</v>
      </c>
      <c r="AR657" s="13">
        <f t="shared" si="379"/>
        <v>0</v>
      </c>
      <c r="AS657" s="13">
        <f t="shared" si="379"/>
        <v>0</v>
      </c>
      <c r="AT657" s="13">
        <f t="shared" si="379"/>
        <v>0</v>
      </c>
      <c r="AU657" s="13">
        <f t="shared" si="379"/>
        <v>0</v>
      </c>
      <c r="AV657" s="13">
        <f t="shared" si="355"/>
        <v>0</v>
      </c>
      <c r="AW657" s="13">
        <f t="shared" si="356"/>
        <v>1</v>
      </c>
      <c r="AY657" s="17">
        <f t="shared" si="357"/>
        <v>567</v>
      </c>
      <c r="AZ657" s="28">
        <f t="shared" si="365"/>
        <v>0</v>
      </c>
      <c r="BA657" s="13">
        <f t="shared" si="358"/>
        <v>0</v>
      </c>
      <c r="BB657" s="13">
        <f t="shared" si="359"/>
        <v>0</v>
      </c>
      <c r="BC657" s="28">
        <f t="shared" si="366"/>
        <v>0</v>
      </c>
      <c r="BD657" s="28">
        <f t="shared" si="367"/>
        <v>0</v>
      </c>
      <c r="BF657" s="248">
        <f t="shared" si="368"/>
        <v>993869.29442638322</v>
      </c>
    </row>
    <row r="658" spans="1:58">
      <c r="A658" s="32">
        <f t="shared" si="369"/>
        <v>-483</v>
      </c>
      <c r="B658" s="32">
        <f t="shared" si="360"/>
        <v>100</v>
      </c>
      <c r="C658" s="32">
        <f t="shared" si="370"/>
        <v>48</v>
      </c>
      <c r="D658" s="32">
        <f t="shared" si="371"/>
        <v>568</v>
      </c>
      <c r="E658" s="74">
        <f>MIN(IF(AV658=0,0,
IF(Investment_Strategy="DIS",VLOOKUP(Investment_Strategy&amp;"_"&amp;Investment_Strategy_Sub1&amp;"_"&amp;$A658,'Investment Strategies'!$AZ:$BP,12,FALSE),
IF(AND(Investment_Strategy="Lifecycle",Investment_Strategy_Sub1="Non-Standard"),VLOOKUP(Investment_Strategy&amp;"_"&amp;Investment_Strategy_Sub2&amp;"_"&amp;$A658,'Investment Strategies'!$C:$P,9,FALSE),
IF(AND(Investment_Strategy="Lifecycle",Investment_Strategy_Sub1="Standard"),VLOOKUP(Investment_Strategy&amp;"_"&amp;Investment_Strategy_Sub2&amp;"_"&amp;$A658,'Investment Strategies'!$AJ:$AV,8,FALSE),
IF(AND(Investment_Strategy="Autopilot",Investment_Strategy_Sub1="Non-Standard"),VLOOKUP(Investment_Strategy&amp;"_"&amp;Investment_Strategy_Sub2&amp;"_"&amp;$A658,'Investment Strategies'!$T:$AF,8,FALSE),
IF(Investment_Strategy ="DIY",DIY_RateOfReturn_CurrentFunds,
"Error")))))),Max_InvReturn)</f>
        <v>0</v>
      </c>
      <c r="F658" s="62">
        <f>IF(AV658=0,0,
IF(Investment_Strategy="DIS",VLOOKUP(Investment_Strategy&amp;"_"&amp;Investment_Strategy_Sub1&amp;"_"&amp;$A658,'Investment Strategies'!$AZ:$BP,15,FALSE),
IF(AND(Investment_Strategy="Lifecycle",Investment_Strategy_Sub1="Non-Standard"),VLOOKUP(Investment_Strategy&amp;"_"&amp;Investment_Strategy_Sub2&amp;"_"&amp;$A658,'Investment Strategies'!$C:$P,12,FALSE),
IF(AND(Investment_Strategy="Lifecycle",Investment_Strategy_Sub1="Standard"),VLOOKUP(Investment_Strategy&amp;"_"&amp;Investment_Strategy_Sub2&amp;"_"&amp;$A658,'Investment Strategies'!$AJ:$AV,11,FALSE),
IF(AND(Investment_Strategy="Autopilot",Investment_Strategy_Sub1="Non-Standard"),VLOOKUP(Investment_Strategy&amp;"_"&amp;Investment_Strategy_Sub2&amp;"_"&amp;$A658,'Investment Strategies'!$T:$AF,11,FALSE),
IF(Investment_Strategy="DIY",DIY_GteeChrge_CurrentFunds,
"Error"))))))</f>
        <v>0</v>
      </c>
      <c r="G658" s="33">
        <f>IF(AV658=0,0,
IF(Investment_Strategy="DIS",VLOOKUP(Investment_Strategy&amp;"_"&amp;Investment_Strategy_Sub1&amp;"_"&amp;$A658,'Investment Strategies'!$AZ:$BP,17,FALSE),
IF(AND(Investment_Strategy="Lifecycle",Investment_Strategy_Sub1="Non-Standard"),VLOOKUP(Investment_Strategy&amp;"_"&amp;Investment_Strategy_Sub2&amp;"_"&amp;$A658,'Investment Strategies'!$C:$P,14,FALSE),
IF(AND(Investment_Strategy="Lifecycle",Investment_Strategy_Sub1="Standard"),VLOOKUP(Investment_Strategy&amp;"_"&amp;Investment_Strategy_Sub2&amp;"_"&amp;$A658,'Investment Strategies'!$AJ:$AV,13,FALSE),
IF(AND(Investment_Strategy="Autopilot",Investment_Strategy_Sub1="Non-Standard"),VLOOKUP(Investment_Strategy&amp;"_"&amp;Investment_Strategy_Sub2&amp;"_"&amp;$A658,'Investment Strategies'!$T:$AF,13,FALSE),
IF(Investment_Strategy="DIY",DIY_ExtManChrge_CurrentFunds,
"Error"))))))</f>
        <v>0</v>
      </c>
      <c r="H658" s="16">
        <f t="shared" si="361"/>
        <v>0</v>
      </c>
      <c r="I658" s="16">
        <f t="shared" si="347"/>
        <v>0</v>
      </c>
      <c r="J658" s="16">
        <f t="shared" si="348"/>
        <v>0</v>
      </c>
      <c r="K658" s="16">
        <f>(Opening_Fund_Value+SUM(K$91:K657))*E658*IF(D658=$A$91,SRP_finalmonthfactor,1)</f>
        <v>0</v>
      </c>
      <c r="L658" s="74">
        <f>MIN(IF($AV658=0,0,
IF(Investment_Strategy="DIS",VLOOKUP(Investment_Strategy&amp;"_"&amp;Investment_Strategy_Sub1&amp;"_"&amp;$A658,'Investment Strategies'!$AZ:$BP,12,FALSE),
IF(AND(Investment_Strategy="Lifecycle",Investment_Strategy_Sub1="Non-Standard"),VLOOKUP(Investment_Strategy&amp;"_"&amp;Investment_Strategy_Sub2&amp;"_"&amp;$A658,'Investment Strategies'!$C:$P,9,FALSE),
IF(AND(Investment_Strategy="Lifecycle",Investment_Strategy_Sub1="Standard"),VLOOKUP(Investment_Strategy&amp;"_"&amp;Investment_Strategy_Sub2&amp;"_"&amp;$A658,'Investment Strategies'!$AJ:$AV,8,FALSE),
IF(AND(Investment_Strategy="Autopilot",Investment_Strategy_Sub1="Non-Standard"),VLOOKUP(Investment_Strategy&amp;"_"&amp;Investment_Strategy_Sub2&amp;"_"&amp;$A658,'Investment Strategies'!$T:$AF,8,FALSE),
IF(Investment_Strategy ="DIY",DIY_RateofReturn_SP,
"Error")))))),Max_InvReturn)</f>
        <v>0</v>
      </c>
      <c r="M658" s="62">
        <f>IF($AV658=0,0,
IF(Investment_Strategy="DIS",VLOOKUP(Investment_Strategy&amp;"_"&amp;Investment_Strategy_Sub1&amp;"_"&amp;$A658,'Investment Strategies'!$AZ:$BP,15,FALSE),
IF(AND(Investment_Strategy="Lifecycle",Investment_Strategy_Sub1="Non-Standard"),VLOOKUP(Investment_Strategy&amp;"_"&amp;Investment_Strategy_Sub2&amp;"_"&amp;$A658,'Investment Strategies'!$C:$P,12,FALSE),
IF(AND(Investment_Strategy="Lifecycle",Investment_Strategy_Sub1="Standard"),VLOOKUP(Investment_Strategy&amp;"_"&amp;Investment_Strategy_Sub2&amp;"_"&amp;$A658,'Investment Strategies'!$AJ:$AV,11,FALSE),
IF(AND(Investment_Strategy="Autopilot",Investment_Strategy_Sub1="Non-Standard"),VLOOKUP(Investment_Strategy&amp;"_"&amp;Investment_Strategy_Sub2&amp;"_"&amp;$A658,'Investment Strategies'!$T:$AF,11,FALSE),
IF(Investment_Strategy="DIY",DIY_GteeChrge_SP,
"Error"))))))</f>
        <v>0</v>
      </c>
      <c r="N658" s="33">
        <f>IF($AV658=0,0,
IF(Investment_Strategy="DIS",VLOOKUP(Investment_Strategy&amp;"_"&amp;Investment_Strategy_Sub1&amp;"_"&amp;$A658,'Investment Strategies'!$AZ:$BP,17,FALSE),
IF(AND(Investment_Strategy="Lifecycle",Investment_Strategy_Sub1="Non-Standard"),VLOOKUP(Investment_Strategy&amp;"_"&amp;Investment_Strategy_Sub2&amp;"_"&amp;$A658,'Investment Strategies'!$C:$P,14,FALSE),
IF(AND(Investment_Strategy="Lifecycle",Investment_Strategy_Sub1="Standard"),VLOOKUP(Investment_Strategy&amp;"_"&amp;Investment_Strategy_Sub2&amp;"_"&amp;$A658,'Investment Strategies'!$AJ:$AV,13,FALSE),
IF(AND(Investment_Strategy="Autopilot",Investment_Strategy_Sub1="Non-Standard"),VLOOKUP(Investment_Strategy&amp;"_"&amp;Investment_Strategy_Sub2&amp;"_"&amp;$A658,'Investment Strategies'!$T:$AF,13,FALSE),
IF(Investment_Strategy="DIY",DIY_ExtManChrge_SP,
"Error"))))))</f>
        <v>0</v>
      </c>
      <c r="O658" s="16">
        <f t="shared" si="372"/>
        <v>0</v>
      </c>
      <c r="Q658" s="16">
        <f t="shared" si="349"/>
        <v>0</v>
      </c>
      <c r="R658" s="16">
        <f t="shared" si="345"/>
        <v>0</v>
      </c>
      <c r="S658" s="16">
        <f>(SRP_SP+SUM(S$91:S657))*L658*IF(D658=$A$91,SRP_finalmonthfactor,1)</f>
        <v>0</v>
      </c>
      <c r="T658" s="74">
        <f>MIN(IF($AV658=0,0,
IF(Investment_Strategy="DIS",VLOOKUP(Investment_Strategy&amp;"_"&amp;Investment_Strategy_Sub1&amp;"_"&amp;$A658,'Investment Strategies'!$AZ:$BP,12,FALSE),
IF(AND(Investment_Strategy="Lifecycle",Investment_Strategy_Sub1="Non-Standard"),VLOOKUP(Investment_Strategy&amp;"_"&amp;Investment_Strategy_Sub2&amp;"_"&amp;$A658,'Investment Strategies'!$C:$P,9,FALSE),
IF(AND(Investment_Strategy="Lifecycle",Investment_Strategy_Sub1="Standard"),VLOOKUP(Investment_Strategy&amp;"_"&amp;Investment_Strategy_Sub2&amp;"_"&amp;$A658,'Investment Strategies'!$AJ:$AV,8,FALSE),
IF(AND(Investment_Strategy="Autopilot",Investment_Strategy_Sub1="Non-Standard"),VLOOKUP(Investment_Strategy&amp;"_"&amp;Investment_Strategy_Sub2&amp;"_"&amp;$A658,'Investment Strategies'!$T:$AF,8,FALSE),
IF(Investment_Strategy ="DIY",DIY_RateOfReturn_FuturePremiums,
"Error")))))),Max_InvReturn)</f>
        <v>0</v>
      </c>
      <c r="U658" s="62">
        <f>IF($AV658=0,0,
IF(Investment_Strategy="DIS",VLOOKUP(Investment_Strategy&amp;"_"&amp;Investment_Strategy_Sub1&amp;"_"&amp;$A658,'Investment Strategies'!$AZ:$BP,15,FALSE),
IF(AND(Investment_Strategy="Lifecycle",Investment_Strategy_Sub1="Non-Standard"),VLOOKUP(Investment_Strategy&amp;"_"&amp;Investment_Strategy_Sub2&amp;"_"&amp;$A658,'Investment Strategies'!$C:$P,12,FALSE),
IF(AND(Investment_Strategy="Lifecycle",Investment_Strategy_Sub1="Standard"),VLOOKUP(Investment_Strategy&amp;"_"&amp;Investment_Strategy_Sub2&amp;"_"&amp;$A658,'Investment Strategies'!$AJ:$AV,11,FALSE),
IF(AND(Investment_Strategy="Autopilot",Investment_Strategy_Sub1="Non-Standard"),VLOOKUP(Investment_Strategy&amp;"_"&amp;Investment_Strategy_Sub2&amp;"_"&amp;$A658,'Investment Strategies'!$T:$AF,11,FALSE),
IF(Investment_Strategy="DIY",DIY_GteeChrge_FuturePremiums,
"Error"))))))</f>
        <v>0</v>
      </c>
      <c r="V658" s="33">
        <f>IF(AV658=0,0,
IF(Investment_Strategy="DIS",VLOOKUP(Investment_Strategy&amp;"_"&amp;Investment_Strategy_Sub1&amp;"_"&amp;$A658,'Investment Strategies'!$AZ:$BP,17,FALSE),
IF(AND(Investment_Strategy="Lifecycle",Investment_Strategy_Sub1="Non-Standard"),VLOOKUP(Investment_Strategy&amp;"_"&amp;Investment_Strategy_Sub2&amp;"_"&amp;$A658,'Investment Strategies'!$C:$P,14,FALSE),
IF(AND(Investment_Strategy="Lifecycle",Investment_Strategy_Sub1="Standard"),VLOOKUP(Investment_Strategy&amp;"_"&amp;Investment_Strategy_Sub2&amp;"_"&amp;$A658,'Investment Strategies'!$AJ:$AV,13,FALSE),
IF(AND(Investment_Strategy="Autopilot",Investment_Strategy_Sub1="Non-Standard"),VLOOKUP(Investment_Strategy&amp;"_"&amp;Investment_Strategy_Sub2&amp;"_"&amp;$A658,'Investment Strategies'!$T:$AF,13,FALSE),
IF(Investment_Strategy="DIY",DIY_ExtManChrge_FuturePremiums,
"Error"))))))</f>
        <v>0</v>
      </c>
      <c r="W658" s="16">
        <f t="shared" si="373"/>
        <v>0</v>
      </c>
      <c r="X658" s="16">
        <f t="shared" si="350"/>
        <v>0</v>
      </c>
      <c r="Y658" s="16">
        <f t="shared" si="351"/>
        <v>0</v>
      </c>
      <c r="Z658" s="31">
        <f t="shared" si="352"/>
        <v>0.02</v>
      </c>
      <c r="AA658" s="16">
        <f t="shared" si="353"/>
        <v>0</v>
      </c>
      <c r="AB658" s="28">
        <f t="shared" si="374"/>
        <v>0</v>
      </c>
      <c r="AC658" s="28">
        <f>(SUM($AC$91:AC657)+SUM($X$91:X657)+X658)*T658*IF(D658=$A$91,SRP_finalmonthfactor,1)</f>
        <v>0</v>
      </c>
      <c r="AD658" s="16">
        <f t="shared" si="354"/>
        <v>0</v>
      </c>
      <c r="AE658" s="106"/>
      <c r="AF658" s="16">
        <f t="shared" si="362"/>
        <v>0</v>
      </c>
      <c r="AG658" s="16">
        <f t="shared" si="363"/>
        <v>0</v>
      </c>
      <c r="AH658" s="16">
        <f t="shared" si="364"/>
        <v>0</v>
      </c>
      <c r="AJ658" s="13">
        <f t="shared" si="379"/>
        <v>0</v>
      </c>
      <c r="AK658" s="13">
        <f t="shared" si="379"/>
        <v>0</v>
      </c>
      <c r="AL658" s="13">
        <f t="shared" si="379"/>
        <v>0</v>
      </c>
      <c r="AM658" s="13">
        <f t="shared" si="379"/>
        <v>0</v>
      </c>
      <c r="AN658" s="13">
        <f t="shared" si="379"/>
        <v>0</v>
      </c>
      <c r="AO658" s="13">
        <f t="shared" si="379"/>
        <v>1</v>
      </c>
      <c r="AP658" s="13">
        <f t="shared" si="379"/>
        <v>1</v>
      </c>
      <c r="AQ658" s="13">
        <f t="shared" si="379"/>
        <v>1</v>
      </c>
      <c r="AR658" s="13">
        <f t="shared" si="379"/>
        <v>0</v>
      </c>
      <c r="AS658" s="13">
        <f t="shared" si="379"/>
        <v>0</v>
      </c>
      <c r="AT658" s="13">
        <f t="shared" si="379"/>
        <v>0</v>
      </c>
      <c r="AU658" s="13">
        <f t="shared" si="379"/>
        <v>0</v>
      </c>
      <c r="AV658" s="13">
        <f t="shared" si="355"/>
        <v>0</v>
      </c>
      <c r="AW658" s="13">
        <f t="shared" si="356"/>
        <v>1</v>
      </c>
      <c r="AY658" s="17">
        <f t="shared" si="357"/>
        <v>568</v>
      </c>
      <c r="AZ658" s="28">
        <f t="shared" si="365"/>
        <v>0</v>
      </c>
      <c r="BA658" s="13">
        <f t="shared" si="358"/>
        <v>0</v>
      </c>
      <c r="BB658" s="13">
        <f t="shared" si="359"/>
        <v>0</v>
      </c>
      <c r="BC658" s="28">
        <f t="shared" si="366"/>
        <v>0</v>
      </c>
      <c r="BD658" s="28">
        <f t="shared" si="367"/>
        <v>0</v>
      </c>
      <c r="BF658" s="248">
        <f t="shared" si="368"/>
        <v>993869.29442638322</v>
      </c>
    </row>
    <row r="659" spans="1:58">
      <c r="A659" s="32">
        <f t="shared" si="369"/>
        <v>-484</v>
      </c>
      <c r="B659" s="32">
        <f t="shared" si="360"/>
        <v>100</v>
      </c>
      <c r="C659" s="32">
        <f t="shared" si="370"/>
        <v>48</v>
      </c>
      <c r="D659" s="32">
        <f t="shared" si="371"/>
        <v>569</v>
      </c>
      <c r="E659" s="74">
        <f>MIN(IF(AV659=0,0,
IF(Investment_Strategy="DIS",VLOOKUP(Investment_Strategy&amp;"_"&amp;Investment_Strategy_Sub1&amp;"_"&amp;$A659,'Investment Strategies'!$AZ:$BP,12,FALSE),
IF(AND(Investment_Strategy="Lifecycle",Investment_Strategy_Sub1="Non-Standard"),VLOOKUP(Investment_Strategy&amp;"_"&amp;Investment_Strategy_Sub2&amp;"_"&amp;$A659,'Investment Strategies'!$C:$P,9,FALSE),
IF(AND(Investment_Strategy="Lifecycle",Investment_Strategy_Sub1="Standard"),VLOOKUP(Investment_Strategy&amp;"_"&amp;Investment_Strategy_Sub2&amp;"_"&amp;$A659,'Investment Strategies'!$AJ:$AV,8,FALSE),
IF(AND(Investment_Strategy="Autopilot",Investment_Strategy_Sub1="Non-Standard"),VLOOKUP(Investment_Strategy&amp;"_"&amp;Investment_Strategy_Sub2&amp;"_"&amp;$A659,'Investment Strategies'!$T:$AF,8,FALSE),
IF(Investment_Strategy ="DIY",DIY_RateOfReturn_CurrentFunds,
"Error")))))),Max_InvReturn)</f>
        <v>0</v>
      </c>
      <c r="F659" s="62">
        <f>IF(AV659=0,0,
IF(Investment_Strategy="DIS",VLOOKUP(Investment_Strategy&amp;"_"&amp;Investment_Strategy_Sub1&amp;"_"&amp;$A659,'Investment Strategies'!$AZ:$BP,15,FALSE),
IF(AND(Investment_Strategy="Lifecycle",Investment_Strategy_Sub1="Non-Standard"),VLOOKUP(Investment_Strategy&amp;"_"&amp;Investment_Strategy_Sub2&amp;"_"&amp;$A659,'Investment Strategies'!$C:$P,12,FALSE),
IF(AND(Investment_Strategy="Lifecycle",Investment_Strategy_Sub1="Standard"),VLOOKUP(Investment_Strategy&amp;"_"&amp;Investment_Strategy_Sub2&amp;"_"&amp;$A659,'Investment Strategies'!$AJ:$AV,11,FALSE),
IF(AND(Investment_Strategy="Autopilot",Investment_Strategy_Sub1="Non-Standard"),VLOOKUP(Investment_Strategy&amp;"_"&amp;Investment_Strategy_Sub2&amp;"_"&amp;$A659,'Investment Strategies'!$T:$AF,11,FALSE),
IF(Investment_Strategy="DIY",DIY_GteeChrge_CurrentFunds,
"Error"))))))</f>
        <v>0</v>
      </c>
      <c r="G659" s="33">
        <f>IF(AV659=0,0,
IF(Investment_Strategy="DIS",VLOOKUP(Investment_Strategy&amp;"_"&amp;Investment_Strategy_Sub1&amp;"_"&amp;$A659,'Investment Strategies'!$AZ:$BP,17,FALSE),
IF(AND(Investment_Strategy="Lifecycle",Investment_Strategy_Sub1="Non-Standard"),VLOOKUP(Investment_Strategy&amp;"_"&amp;Investment_Strategy_Sub2&amp;"_"&amp;$A659,'Investment Strategies'!$C:$P,14,FALSE),
IF(AND(Investment_Strategy="Lifecycle",Investment_Strategy_Sub1="Standard"),VLOOKUP(Investment_Strategy&amp;"_"&amp;Investment_Strategy_Sub2&amp;"_"&amp;$A659,'Investment Strategies'!$AJ:$AV,13,FALSE),
IF(AND(Investment_Strategy="Autopilot",Investment_Strategy_Sub1="Non-Standard"),VLOOKUP(Investment_Strategy&amp;"_"&amp;Investment_Strategy_Sub2&amp;"_"&amp;$A659,'Investment Strategies'!$T:$AF,13,FALSE),
IF(Investment_Strategy="DIY",DIY_ExtManChrge_CurrentFunds,
"Error"))))))</f>
        <v>0</v>
      </c>
      <c r="H659" s="16">
        <f t="shared" si="361"/>
        <v>0</v>
      </c>
      <c r="I659" s="16">
        <f t="shared" si="347"/>
        <v>0</v>
      </c>
      <c r="J659" s="16">
        <f t="shared" si="348"/>
        <v>0</v>
      </c>
      <c r="K659" s="16">
        <f>(Opening_Fund_Value+SUM(K$91:K658))*E659*IF(D659=$A$91,SRP_finalmonthfactor,1)</f>
        <v>0</v>
      </c>
      <c r="L659" s="74">
        <f>MIN(IF($AV659=0,0,
IF(Investment_Strategy="DIS",VLOOKUP(Investment_Strategy&amp;"_"&amp;Investment_Strategy_Sub1&amp;"_"&amp;$A659,'Investment Strategies'!$AZ:$BP,12,FALSE),
IF(AND(Investment_Strategy="Lifecycle",Investment_Strategy_Sub1="Non-Standard"),VLOOKUP(Investment_Strategy&amp;"_"&amp;Investment_Strategy_Sub2&amp;"_"&amp;$A659,'Investment Strategies'!$C:$P,9,FALSE),
IF(AND(Investment_Strategy="Lifecycle",Investment_Strategy_Sub1="Standard"),VLOOKUP(Investment_Strategy&amp;"_"&amp;Investment_Strategy_Sub2&amp;"_"&amp;$A659,'Investment Strategies'!$AJ:$AV,8,FALSE),
IF(AND(Investment_Strategy="Autopilot",Investment_Strategy_Sub1="Non-Standard"),VLOOKUP(Investment_Strategy&amp;"_"&amp;Investment_Strategy_Sub2&amp;"_"&amp;$A659,'Investment Strategies'!$T:$AF,8,FALSE),
IF(Investment_Strategy ="DIY",DIY_RateofReturn_SP,
"Error")))))),Max_InvReturn)</f>
        <v>0</v>
      </c>
      <c r="M659" s="62">
        <f>IF($AV659=0,0,
IF(Investment_Strategy="DIS",VLOOKUP(Investment_Strategy&amp;"_"&amp;Investment_Strategy_Sub1&amp;"_"&amp;$A659,'Investment Strategies'!$AZ:$BP,15,FALSE),
IF(AND(Investment_Strategy="Lifecycle",Investment_Strategy_Sub1="Non-Standard"),VLOOKUP(Investment_Strategy&amp;"_"&amp;Investment_Strategy_Sub2&amp;"_"&amp;$A659,'Investment Strategies'!$C:$P,12,FALSE),
IF(AND(Investment_Strategy="Lifecycle",Investment_Strategy_Sub1="Standard"),VLOOKUP(Investment_Strategy&amp;"_"&amp;Investment_Strategy_Sub2&amp;"_"&amp;$A659,'Investment Strategies'!$AJ:$AV,11,FALSE),
IF(AND(Investment_Strategy="Autopilot",Investment_Strategy_Sub1="Non-Standard"),VLOOKUP(Investment_Strategy&amp;"_"&amp;Investment_Strategy_Sub2&amp;"_"&amp;$A659,'Investment Strategies'!$T:$AF,11,FALSE),
IF(Investment_Strategy="DIY",DIY_GteeChrge_SP,
"Error"))))))</f>
        <v>0</v>
      </c>
      <c r="N659" s="33">
        <f>IF($AV659=0,0,
IF(Investment_Strategy="DIS",VLOOKUP(Investment_Strategy&amp;"_"&amp;Investment_Strategy_Sub1&amp;"_"&amp;$A659,'Investment Strategies'!$AZ:$BP,17,FALSE),
IF(AND(Investment_Strategy="Lifecycle",Investment_Strategy_Sub1="Non-Standard"),VLOOKUP(Investment_Strategy&amp;"_"&amp;Investment_Strategy_Sub2&amp;"_"&amp;$A659,'Investment Strategies'!$C:$P,14,FALSE),
IF(AND(Investment_Strategy="Lifecycle",Investment_Strategy_Sub1="Standard"),VLOOKUP(Investment_Strategy&amp;"_"&amp;Investment_Strategy_Sub2&amp;"_"&amp;$A659,'Investment Strategies'!$AJ:$AV,13,FALSE),
IF(AND(Investment_Strategy="Autopilot",Investment_Strategy_Sub1="Non-Standard"),VLOOKUP(Investment_Strategy&amp;"_"&amp;Investment_Strategy_Sub2&amp;"_"&amp;$A659,'Investment Strategies'!$T:$AF,13,FALSE),
IF(Investment_Strategy="DIY",DIY_ExtManChrge_SP,
"Error"))))))</f>
        <v>0</v>
      </c>
      <c r="O659" s="16">
        <f t="shared" si="372"/>
        <v>0</v>
      </c>
      <c r="Q659" s="16">
        <f t="shared" si="349"/>
        <v>0</v>
      </c>
      <c r="R659" s="16">
        <f t="shared" si="345"/>
        <v>0</v>
      </c>
      <c r="S659" s="16">
        <f>(SRP_SP+SUM(S$91:S658))*L659*IF(D659=$A$91,SRP_finalmonthfactor,1)</f>
        <v>0</v>
      </c>
      <c r="T659" s="74">
        <f>MIN(IF($AV659=0,0,
IF(Investment_Strategy="DIS",VLOOKUP(Investment_Strategy&amp;"_"&amp;Investment_Strategy_Sub1&amp;"_"&amp;$A659,'Investment Strategies'!$AZ:$BP,12,FALSE),
IF(AND(Investment_Strategy="Lifecycle",Investment_Strategy_Sub1="Non-Standard"),VLOOKUP(Investment_Strategy&amp;"_"&amp;Investment_Strategy_Sub2&amp;"_"&amp;$A659,'Investment Strategies'!$C:$P,9,FALSE),
IF(AND(Investment_Strategy="Lifecycle",Investment_Strategy_Sub1="Standard"),VLOOKUP(Investment_Strategy&amp;"_"&amp;Investment_Strategy_Sub2&amp;"_"&amp;$A659,'Investment Strategies'!$AJ:$AV,8,FALSE),
IF(AND(Investment_Strategy="Autopilot",Investment_Strategy_Sub1="Non-Standard"),VLOOKUP(Investment_Strategy&amp;"_"&amp;Investment_Strategy_Sub2&amp;"_"&amp;$A659,'Investment Strategies'!$T:$AF,8,FALSE),
IF(Investment_Strategy ="DIY",DIY_RateOfReturn_FuturePremiums,
"Error")))))),Max_InvReturn)</f>
        <v>0</v>
      </c>
      <c r="U659" s="62">
        <f>IF($AV659=0,0,
IF(Investment_Strategy="DIS",VLOOKUP(Investment_Strategy&amp;"_"&amp;Investment_Strategy_Sub1&amp;"_"&amp;$A659,'Investment Strategies'!$AZ:$BP,15,FALSE),
IF(AND(Investment_Strategy="Lifecycle",Investment_Strategy_Sub1="Non-Standard"),VLOOKUP(Investment_Strategy&amp;"_"&amp;Investment_Strategy_Sub2&amp;"_"&amp;$A659,'Investment Strategies'!$C:$P,12,FALSE),
IF(AND(Investment_Strategy="Lifecycle",Investment_Strategy_Sub1="Standard"),VLOOKUP(Investment_Strategy&amp;"_"&amp;Investment_Strategy_Sub2&amp;"_"&amp;$A659,'Investment Strategies'!$AJ:$AV,11,FALSE),
IF(AND(Investment_Strategy="Autopilot",Investment_Strategy_Sub1="Non-Standard"),VLOOKUP(Investment_Strategy&amp;"_"&amp;Investment_Strategy_Sub2&amp;"_"&amp;$A659,'Investment Strategies'!$T:$AF,11,FALSE),
IF(Investment_Strategy="DIY",DIY_GteeChrge_FuturePremiums,
"Error"))))))</f>
        <v>0</v>
      </c>
      <c r="V659" s="33">
        <f>IF(AV659=0,0,
IF(Investment_Strategy="DIS",VLOOKUP(Investment_Strategy&amp;"_"&amp;Investment_Strategy_Sub1&amp;"_"&amp;$A659,'Investment Strategies'!$AZ:$BP,17,FALSE),
IF(AND(Investment_Strategy="Lifecycle",Investment_Strategy_Sub1="Non-Standard"),VLOOKUP(Investment_Strategy&amp;"_"&amp;Investment_Strategy_Sub2&amp;"_"&amp;$A659,'Investment Strategies'!$C:$P,14,FALSE),
IF(AND(Investment_Strategy="Lifecycle",Investment_Strategy_Sub1="Standard"),VLOOKUP(Investment_Strategy&amp;"_"&amp;Investment_Strategy_Sub2&amp;"_"&amp;$A659,'Investment Strategies'!$AJ:$AV,13,FALSE),
IF(AND(Investment_Strategy="Autopilot",Investment_Strategy_Sub1="Non-Standard"),VLOOKUP(Investment_Strategy&amp;"_"&amp;Investment_Strategy_Sub2&amp;"_"&amp;$A659,'Investment Strategies'!$T:$AF,13,FALSE),
IF(Investment_Strategy="DIY",DIY_ExtManChrge_FuturePremiums,
"Error"))))))</f>
        <v>0</v>
      </c>
      <c r="W659" s="16">
        <f t="shared" si="373"/>
        <v>0</v>
      </c>
      <c r="X659" s="16">
        <f t="shared" si="350"/>
        <v>0</v>
      </c>
      <c r="Y659" s="16">
        <f t="shared" si="351"/>
        <v>0</v>
      </c>
      <c r="Z659" s="31">
        <f t="shared" si="352"/>
        <v>0.02</v>
      </c>
      <c r="AA659" s="16">
        <f t="shared" si="353"/>
        <v>0</v>
      </c>
      <c r="AB659" s="28">
        <f t="shared" si="374"/>
        <v>0</v>
      </c>
      <c r="AC659" s="28">
        <f>(SUM($AC$91:AC658)+SUM($X$91:X658)+X659)*T659*IF(D659=$A$91,SRP_finalmonthfactor,1)</f>
        <v>0</v>
      </c>
      <c r="AD659" s="16">
        <f t="shared" si="354"/>
        <v>0</v>
      </c>
      <c r="AE659" s="106"/>
      <c r="AF659" s="16">
        <f t="shared" si="362"/>
        <v>0</v>
      </c>
      <c r="AG659" s="16">
        <f t="shared" si="363"/>
        <v>0</v>
      </c>
      <c r="AH659" s="16">
        <f t="shared" si="364"/>
        <v>0</v>
      </c>
      <c r="AJ659" s="13">
        <f t="shared" si="379"/>
        <v>0</v>
      </c>
      <c r="AK659" s="13">
        <f t="shared" si="379"/>
        <v>0</v>
      </c>
      <c r="AL659" s="13">
        <f t="shared" si="379"/>
        <v>0</v>
      </c>
      <c r="AM659" s="13">
        <f t="shared" si="379"/>
        <v>0</v>
      </c>
      <c r="AN659" s="13">
        <f t="shared" si="379"/>
        <v>0</v>
      </c>
      <c r="AO659" s="13">
        <f t="shared" si="379"/>
        <v>1</v>
      </c>
      <c r="AP659" s="13">
        <f t="shared" si="379"/>
        <v>1</v>
      </c>
      <c r="AQ659" s="13">
        <f t="shared" si="379"/>
        <v>1</v>
      </c>
      <c r="AR659" s="13">
        <f t="shared" si="379"/>
        <v>0</v>
      </c>
      <c r="AS659" s="13">
        <f t="shared" si="379"/>
        <v>0</v>
      </c>
      <c r="AT659" s="13">
        <f t="shared" si="379"/>
        <v>0</v>
      </c>
      <c r="AU659" s="13">
        <f t="shared" si="379"/>
        <v>0</v>
      </c>
      <c r="AV659" s="13">
        <f t="shared" si="355"/>
        <v>0</v>
      </c>
      <c r="AW659" s="13">
        <f t="shared" si="356"/>
        <v>1</v>
      </c>
      <c r="AY659" s="17">
        <f t="shared" si="357"/>
        <v>569</v>
      </c>
      <c r="AZ659" s="28">
        <f t="shared" si="365"/>
        <v>0</v>
      </c>
      <c r="BA659" s="13">
        <f t="shared" si="358"/>
        <v>0</v>
      </c>
      <c r="BB659" s="13">
        <f t="shared" si="359"/>
        <v>0</v>
      </c>
      <c r="BC659" s="28">
        <f t="shared" si="366"/>
        <v>0</v>
      </c>
      <c r="BD659" s="28">
        <f t="shared" si="367"/>
        <v>0</v>
      </c>
      <c r="BF659" s="248">
        <f t="shared" si="368"/>
        <v>993869.29442638322</v>
      </c>
    </row>
    <row r="660" spans="1:58">
      <c r="A660" s="32">
        <f t="shared" si="369"/>
        <v>-485</v>
      </c>
      <c r="B660" s="32">
        <f t="shared" si="360"/>
        <v>100</v>
      </c>
      <c r="C660" s="32">
        <f t="shared" si="370"/>
        <v>48</v>
      </c>
      <c r="D660" s="32">
        <f t="shared" si="371"/>
        <v>570</v>
      </c>
      <c r="E660" s="74">
        <f>MIN(IF(AV660=0,0,
IF(Investment_Strategy="DIS",VLOOKUP(Investment_Strategy&amp;"_"&amp;Investment_Strategy_Sub1&amp;"_"&amp;$A660,'Investment Strategies'!$AZ:$BP,12,FALSE),
IF(AND(Investment_Strategy="Lifecycle",Investment_Strategy_Sub1="Non-Standard"),VLOOKUP(Investment_Strategy&amp;"_"&amp;Investment_Strategy_Sub2&amp;"_"&amp;$A660,'Investment Strategies'!$C:$P,9,FALSE),
IF(AND(Investment_Strategy="Lifecycle",Investment_Strategy_Sub1="Standard"),VLOOKUP(Investment_Strategy&amp;"_"&amp;Investment_Strategy_Sub2&amp;"_"&amp;$A660,'Investment Strategies'!$AJ:$AV,8,FALSE),
IF(AND(Investment_Strategy="Autopilot",Investment_Strategy_Sub1="Non-Standard"),VLOOKUP(Investment_Strategy&amp;"_"&amp;Investment_Strategy_Sub2&amp;"_"&amp;$A660,'Investment Strategies'!$T:$AF,8,FALSE),
IF(Investment_Strategy ="DIY",DIY_RateOfReturn_CurrentFunds,
"Error")))))),Max_InvReturn)</f>
        <v>0</v>
      </c>
      <c r="F660" s="62">
        <f>IF(AV660=0,0,
IF(Investment_Strategy="DIS",VLOOKUP(Investment_Strategy&amp;"_"&amp;Investment_Strategy_Sub1&amp;"_"&amp;$A660,'Investment Strategies'!$AZ:$BP,15,FALSE),
IF(AND(Investment_Strategy="Lifecycle",Investment_Strategy_Sub1="Non-Standard"),VLOOKUP(Investment_Strategy&amp;"_"&amp;Investment_Strategy_Sub2&amp;"_"&amp;$A660,'Investment Strategies'!$C:$P,12,FALSE),
IF(AND(Investment_Strategy="Lifecycle",Investment_Strategy_Sub1="Standard"),VLOOKUP(Investment_Strategy&amp;"_"&amp;Investment_Strategy_Sub2&amp;"_"&amp;$A660,'Investment Strategies'!$AJ:$AV,11,FALSE),
IF(AND(Investment_Strategy="Autopilot",Investment_Strategy_Sub1="Non-Standard"),VLOOKUP(Investment_Strategy&amp;"_"&amp;Investment_Strategy_Sub2&amp;"_"&amp;$A660,'Investment Strategies'!$T:$AF,11,FALSE),
IF(Investment_Strategy="DIY",DIY_GteeChrge_CurrentFunds,
"Error"))))))</f>
        <v>0</v>
      </c>
      <c r="G660" s="33">
        <f>IF(AV660=0,0,
IF(Investment_Strategy="DIS",VLOOKUP(Investment_Strategy&amp;"_"&amp;Investment_Strategy_Sub1&amp;"_"&amp;$A660,'Investment Strategies'!$AZ:$BP,17,FALSE),
IF(AND(Investment_Strategy="Lifecycle",Investment_Strategy_Sub1="Non-Standard"),VLOOKUP(Investment_Strategy&amp;"_"&amp;Investment_Strategy_Sub2&amp;"_"&amp;$A660,'Investment Strategies'!$C:$P,14,FALSE),
IF(AND(Investment_Strategy="Lifecycle",Investment_Strategy_Sub1="Standard"),VLOOKUP(Investment_Strategy&amp;"_"&amp;Investment_Strategy_Sub2&amp;"_"&amp;$A660,'Investment Strategies'!$AJ:$AV,13,FALSE),
IF(AND(Investment_Strategy="Autopilot",Investment_Strategy_Sub1="Non-Standard"),VLOOKUP(Investment_Strategy&amp;"_"&amp;Investment_Strategy_Sub2&amp;"_"&amp;$A660,'Investment Strategies'!$T:$AF,13,FALSE),
IF(Investment_Strategy="DIY",DIY_ExtManChrge_CurrentFunds,
"Error"))))))</f>
        <v>0</v>
      </c>
      <c r="H660" s="16">
        <f t="shared" si="361"/>
        <v>0</v>
      </c>
      <c r="I660" s="16">
        <f t="shared" si="347"/>
        <v>0</v>
      </c>
      <c r="J660" s="16">
        <f t="shared" si="348"/>
        <v>0</v>
      </c>
      <c r="K660" s="16">
        <f>(Opening_Fund_Value+SUM(K$91:K659))*E660*IF(D660=$A$91,SRP_finalmonthfactor,1)</f>
        <v>0</v>
      </c>
      <c r="L660" s="74">
        <f>MIN(IF($AV660=0,0,
IF(Investment_Strategy="DIS",VLOOKUP(Investment_Strategy&amp;"_"&amp;Investment_Strategy_Sub1&amp;"_"&amp;$A660,'Investment Strategies'!$AZ:$BP,12,FALSE),
IF(AND(Investment_Strategy="Lifecycle",Investment_Strategy_Sub1="Non-Standard"),VLOOKUP(Investment_Strategy&amp;"_"&amp;Investment_Strategy_Sub2&amp;"_"&amp;$A660,'Investment Strategies'!$C:$P,9,FALSE),
IF(AND(Investment_Strategy="Lifecycle",Investment_Strategy_Sub1="Standard"),VLOOKUP(Investment_Strategy&amp;"_"&amp;Investment_Strategy_Sub2&amp;"_"&amp;$A660,'Investment Strategies'!$AJ:$AV,8,FALSE),
IF(AND(Investment_Strategy="Autopilot",Investment_Strategy_Sub1="Non-Standard"),VLOOKUP(Investment_Strategy&amp;"_"&amp;Investment_Strategy_Sub2&amp;"_"&amp;$A660,'Investment Strategies'!$T:$AF,8,FALSE),
IF(Investment_Strategy ="DIY",DIY_RateofReturn_SP,
"Error")))))),Max_InvReturn)</f>
        <v>0</v>
      </c>
      <c r="M660" s="62">
        <f>IF($AV660=0,0,
IF(Investment_Strategy="DIS",VLOOKUP(Investment_Strategy&amp;"_"&amp;Investment_Strategy_Sub1&amp;"_"&amp;$A660,'Investment Strategies'!$AZ:$BP,15,FALSE),
IF(AND(Investment_Strategy="Lifecycle",Investment_Strategy_Sub1="Non-Standard"),VLOOKUP(Investment_Strategy&amp;"_"&amp;Investment_Strategy_Sub2&amp;"_"&amp;$A660,'Investment Strategies'!$C:$P,12,FALSE),
IF(AND(Investment_Strategy="Lifecycle",Investment_Strategy_Sub1="Standard"),VLOOKUP(Investment_Strategy&amp;"_"&amp;Investment_Strategy_Sub2&amp;"_"&amp;$A660,'Investment Strategies'!$AJ:$AV,11,FALSE),
IF(AND(Investment_Strategy="Autopilot",Investment_Strategy_Sub1="Non-Standard"),VLOOKUP(Investment_Strategy&amp;"_"&amp;Investment_Strategy_Sub2&amp;"_"&amp;$A660,'Investment Strategies'!$T:$AF,11,FALSE),
IF(Investment_Strategy="DIY",DIY_GteeChrge_SP,
"Error"))))))</f>
        <v>0</v>
      </c>
      <c r="N660" s="33">
        <f>IF($AV660=0,0,
IF(Investment_Strategy="DIS",VLOOKUP(Investment_Strategy&amp;"_"&amp;Investment_Strategy_Sub1&amp;"_"&amp;$A660,'Investment Strategies'!$AZ:$BP,17,FALSE),
IF(AND(Investment_Strategy="Lifecycle",Investment_Strategy_Sub1="Non-Standard"),VLOOKUP(Investment_Strategy&amp;"_"&amp;Investment_Strategy_Sub2&amp;"_"&amp;$A660,'Investment Strategies'!$C:$P,14,FALSE),
IF(AND(Investment_Strategy="Lifecycle",Investment_Strategy_Sub1="Standard"),VLOOKUP(Investment_Strategy&amp;"_"&amp;Investment_Strategy_Sub2&amp;"_"&amp;$A660,'Investment Strategies'!$AJ:$AV,13,FALSE),
IF(AND(Investment_Strategy="Autopilot",Investment_Strategy_Sub1="Non-Standard"),VLOOKUP(Investment_Strategy&amp;"_"&amp;Investment_Strategy_Sub2&amp;"_"&amp;$A660,'Investment Strategies'!$T:$AF,13,FALSE),
IF(Investment_Strategy="DIY",DIY_ExtManChrge_SP,
"Error"))))))</f>
        <v>0</v>
      </c>
      <c r="O660" s="16">
        <f t="shared" si="372"/>
        <v>0</v>
      </c>
      <c r="Q660" s="16">
        <f t="shared" si="349"/>
        <v>0</v>
      </c>
      <c r="R660" s="16">
        <f t="shared" ref="R660:R689" si="380">IF($AV660=0,0,
-(($O660+($P660)*(1-SRP_Contrib_Chge_SP)+Q660/2)*(SRP_Monthly_Admin_Chge+$M660+$N660)*IF(D660=$A$91,SRP_finalmonthfactor,1)+
($P660)*SRP_Contrib_Chge_SP)*IF(D660=$A$91,SRP_finalmonthfactor,1))</f>
        <v>0</v>
      </c>
      <c r="S660" s="16">
        <f>(SRP_SP+SUM(S$91:S659))*L660*IF(D660=$A$91,SRP_finalmonthfactor,1)</f>
        <v>0</v>
      </c>
      <c r="T660" s="74">
        <f>MIN(IF($AV660=0,0,
IF(Investment_Strategy="DIS",VLOOKUP(Investment_Strategy&amp;"_"&amp;Investment_Strategy_Sub1&amp;"_"&amp;$A660,'Investment Strategies'!$AZ:$BP,12,FALSE),
IF(AND(Investment_Strategy="Lifecycle",Investment_Strategy_Sub1="Non-Standard"),VLOOKUP(Investment_Strategy&amp;"_"&amp;Investment_Strategy_Sub2&amp;"_"&amp;$A660,'Investment Strategies'!$C:$P,9,FALSE),
IF(AND(Investment_Strategy="Lifecycle",Investment_Strategy_Sub1="Standard"),VLOOKUP(Investment_Strategy&amp;"_"&amp;Investment_Strategy_Sub2&amp;"_"&amp;$A660,'Investment Strategies'!$AJ:$AV,8,FALSE),
IF(AND(Investment_Strategy="Autopilot",Investment_Strategy_Sub1="Non-Standard"),VLOOKUP(Investment_Strategy&amp;"_"&amp;Investment_Strategy_Sub2&amp;"_"&amp;$A660,'Investment Strategies'!$T:$AF,8,FALSE),
IF(Investment_Strategy ="DIY",DIY_RateOfReturn_FuturePremiums,
"Error")))))),Max_InvReturn)</f>
        <v>0</v>
      </c>
      <c r="U660" s="62">
        <f>IF($AV660=0,0,
IF(Investment_Strategy="DIS",VLOOKUP(Investment_Strategy&amp;"_"&amp;Investment_Strategy_Sub1&amp;"_"&amp;$A660,'Investment Strategies'!$AZ:$BP,15,FALSE),
IF(AND(Investment_Strategy="Lifecycle",Investment_Strategy_Sub1="Non-Standard"),VLOOKUP(Investment_Strategy&amp;"_"&amp;Investment_Strategy_Sub2&amp;"_"&amp;$A660,'Investment Strategies'!$C:$P,12,FALSE),
IF(AND(Investment_Strategy="Lifecycle",Investment_Strategy_Sub1="Standard"),VLOOKUP(Investment_Strategy&amp;"_"&amp;Investment_Strategy_Sub2&amp;"_"&amp;$A660,'Investment Strategies'!$AJ:$AV,11,FALSE),
IF(AND(Investment_Strategy="Autopilot",Investment_Strategy_Sub1="Non-Standard"),VLOOKUP(Investment_Strategy&amp;"_"&amp;Investment_Strategy_Sub2&amp;"_"&amp;$A660,'Investment Strategies'!$T:$AF,11,FALSE),
IF(Investment_Strategy="DIY",DIY_GteeChrge_FuturePremiums,
"Error"))))))</f>
        <v>0</v>
      </c>
      <c r="V660" s="33">
        <f>IF(AV660=0,0,
IF(Investment_Strategy="DIS",VLOOKUP(Investment_Strategy&amp;"_"&amp;Investment_Strategy_Sub1&amp;"_"&amp;$A660,'Investment Strategies'!$AZ:$BP,17,FALSE),
IF(AND(Investment_Strategy="Lifecycle",Investment_Strategy_Sub1="Non-Standard"),VLOOKUP(Investment_Strategy&amp;"_"&amp;Investment_Strategy_Sub2&amp;"_"&amp;$A660,'Investment Strategies'!$C:$P,14,FALSE),
IF(AND(Investment_Strategy="Lifecycle",Investment_Strategy_Sub1="Standard"),VLOOKUP(Investment_Strategy&amp;"_"&amp;Investment_Strategy_Sub2&amp;"_"&amp;$A660,'Investment Strategies'!$AJ:$AV,13,FALSE),
IF(AND(Investment_Strategy="Autopilot",Investment_Strategy_Sub1="Non-Standard"),VLOOKUP(Investment_Strategy&amp;"_"&amp;Investment_Strategy_Sub2&amp;"_"&amp;$A660,'Investment Strategies'!$T:$AF,13,FALSE),
IF(Investment_Strategy="DIY",DIY_ExtManChrge_FuturePremiums,
"Error"))))))</f>
        <v>0</v>
      </c>
      <c r="W660" s="16">
        <f t="shared" si="373"/>
        <v>0</v>
      </c>
      <c r="X660" s="16">
        <f t="shared" si="350"/>
        <v>0</v>
      </c>
      <c r="Y660" s="16">
        <f t="shared" si="351"/>
        <v>0</v>
      </c>
      <c r="Z660" s="31">
        <f t="shared" si="352"/>
        <v>0.02</v>
      </c>
      <c r="AA660" s="16">
        <f t="shared" si="353"/>
        <v>0</v>
      </c>
      <c r="AB660" s="28">
        <f t="shared" si="374"/>
        <v>0</v>
      </c>
      <c r="AC660" s="28">
        <f>(SUM($AC$91:AC659)+SUM($X$91:X659)+X660)*T660*IF(D660=$A$91,SRP_finalmonthfactor,1)</f>
        <v>0</v>
      </c>
      <c r="AD660" s="16">
        <f t="shared" si="354"/>
        <v>0</v>
      </c>
      <c r="AE660" s="106"/>
      <c r="AF660" s="16">
        <f t="shared" si="362"/>
        <v>0</v>
      </c>
      <c r="AG660" s="16">
        <f t="shared" si="363"/>
        <v>0</v>
      </c>
      <c r="AH660" s="16">
        <f t="shared" si="364"/>
        <v>0</v>
      </c>
      <c r="AJ660" s="13">
        <f t="shared" si="379"/>
        <v>0</v>
      </c>
      <c r="AK660" s="13">
        <f t="shared" si="379"/>
        <v>0</v>
      </c>
      <c r="AL660" s="13">
        <f t="shared" si="379"/>
        <v>0</v>
      </c>
      <c r="AM660" s="13">
        <f t="shared" si="379"/>
        <v>0</v>
      </c>
      <c r="AN660" s="13">
        <f t="shared" si="379"/>
        <v>0</v>
      </c>
      <c r="AO660" s="13">
        <f t="shared" si="379"/>
        <v>1</v>
      </c>
      <c r="AP660" s="13">
        <f t="shared" si="379"/>
        <v>1</v>
      </c>
      <c r="AQ660" s="13">
        <f t="shared" si="379"/>
        <v>1</v>
      </c>
      <c r="AR660" s="13">
        <f t="shared" si="379"/>
        <v>0</v>
      </c>
      <c r="AS660" s="13">
        <f t="shared" si="379"/>
        <v>0</v>
      </c>
      <c r="AT660" s="13">
        <f t="shared" si="379"/>
        <v>0</v>
      </c>
      <c r="AU660" s="13">
        <f t="shared" si="379"/>
        <v>0</v>
      </c>
      <c r="AV660" s="13">
        <f t="shared" si="355"/>
        <v>0</v>
      </c>
      <c r="AW660" s="13">
        <f t="shared" si="356"/>
        <v>1</v>
      </c>
      <c r="AY660" s="17">
        <f t="shared" si="357"/>
        <v>570</v>
      </c>
      <c r="AZ660" s="28">
        <f t="shared" si="365"/>
        <v>0</v>
      </c>
      <c r="BA660" s="13">
        <f t="shared" si="358"/>
        <v>0</v>
      </c>
      <c r="BB660" s="13">
        <f t="shared" si="359"/>
        <v>0</v>
      </c>
      <c r="BC660" s="28">
        <f t="shared" si="366"/>
        <v>0</v>
      </c>
      <c r="BD660" s="28">
        <f t="shared" si="367"/>
        <v>0</v>
      </c>
      <c r="BF660" s="248">
        <f t="shared" si="368"/>
        <v>993869.29442638322</v>
      </c>
    </row>
    <row r="661" spans="1:58">
      <c r="A661" s="32">
        <f t="shared" si="369"/>
        <v>-486</v>
      </c>
      <c r="B661" s="32">
        <f t="shared" si="360"/>
        <v>100</v>
      </c>
      <c r="C661" s="32">
        <f t="shared" si="370"/>
        <v>48</v>
      </c>
      <c r="D661" s="32">
        <f t="shared" si="371"/>
        <v>571</v>
      </c>
      <c r="E661" s="74">
        <f>MIN(IF(AV661=0,0,
IF(Investment_Strategy="DIS",VLOOKUP(Investment_Strategy&amp;"_"&amp;Investment_Strategy_Sub1&amp;"_"&amp;$A661,'Investment Strategies'!$AZ:$BP,12,FALSE),
IF(AND(Investment_Strategy="Lifecycle",Investment_Strategy_Sub1="Non-Standard"),VLOOKUP(Investment_Strategy&amp;"_"&amp;Investment_Strategy_Sub2&amp;"_"&amp;$A661,'Investment Strategies'!$C:$P,9,FALSE),
IF(AND(Investment_Strategy="Lifecycle",Investment_Strategy_Sub1="Standard"),VLOOKUP(Investment_Strategy&amp;"_"&amp;Investment_Strategy_Sub2&amp;"_"&amp;$A661,'Investment Strategies'!$AJ:$AV,8,FALSE),
IF(AND(Investment_Strategy="Autopilot",Investment_Strategy_Sub1="Non-Standard"),VLOOKUP(Investment_Strategy&amp;"_"&amp;Investment_Strategy_Sub2&amp;"_"&amp;$A661,'Investment Strategies'!$T:$AF,8,FALSE),
IF(Investment_Strategy ="DIY",DIY_RateOfReturn_CurrentFunds,
"Error")))))),Max_InvReturn)</f>
        <v>0</v>
      </c>
      <c r="F661" s="62">
        <f>IF(AV661=0,0,
IF(Investment_Strategy="DIS",VLOOKUP(Investment_Strategy&amp;"_"&amp;Investment_Strategy_Sub1&amp;"_"&amp;$A661,'Investment Strategies'!$AZ:$BP,15,FALSE),
IF(AND(Investment_Strategy="Lifecycle",Investment_Strategy_Sub1="Non-Standard"),VLOOKUP(Investment_Strategy&amp;"_"&amp;Investment_Strategy_Sub2&amp;"_"&amp;$A661,'Investment Strategies'!$C:$P,12,FALSE),
IF(AND(Investment_Strategy="Lifecycle",Investment_Strategy_Sub1="Standard"),VLOOKUP(Investment_Strategy&amp;"_"&amp;Investment_Strategy_Sub2&amp;"_"&amp;$A661,'Investment Strategies'!$AJ:$AV,11,FALSE),
IF(AND(Investment_Strategy="Autopilot",Investment_Strategy_Sub1="Non-Standard"),VLOOKUP(Investment_Strategy&amp;"_"&amp;Investment_Strategy_Sub2&amp;"_"&amp;$A661,'Investment Strategies'!$T:$AF,11,FALSE),
IF(Investment_Strategy="DIY",DIY_GteeChrge_CurrentFunds,
"Error"))))))</f>
        <v>0</v>
      </c>
      <c r="G661" s="33">
        <f>IF(AV661=0,0,
IF(Investment_Strategy="DIS",VLOOKUP(Investment_Strategy&amp;"_"&amp;Investment_Strategy_Sub1&amp;"_"&amp;$A661,'Investment Strategies'!$AZ:$BP,17,FALSE),
IF(AND(Investment_Strategy="Lifecycle",Investment_Strategy_Sub1="Non-Standard"),VLOOKUP(Investment_Strategy&amp;"_"&amp;Investment_Strategy_Sub2&amp;"_"&amp;$A661,'Investment Strategies'!$C:$P,14,FALSE),
IF(AND(Investment_Strategy="Lifecycle",Investment_Strategy_Sub1="Standard"),VLOOKUP(Investment_Strategy&amp;"_"&amp;Investment_Strategy_Sub2&amp;"_"&amp;$A661,'Investment Strategies'!$AJ:$AV,13,FALSE),
IF(AND(Investment_Strategy="Autopilot",Investment_Strategy_Sub1="Non-Standard"),VLOOKUP(Investment_Strategy&amp;"_"&amp;Investment_Strategy_Sub2&amp;"_"&amp;$A661,'Investment Strategies'!$T:$AF,13,FALSE),
IF(Investment_Strategy="DIY",DIY_ExtManChrge_CurrentFunds,
"Error"))))))</f>
        <v>0</v>
      </c>
      <c r="H661" s="16">
        <f t="shared" si="361"/>
        <v>0</v>
      </c>
      <c r="I661" s="16">
        <f t="shared" si="347"/>
        <v>0</v>
      </c>
      <c r="J661" s="16">
        <f t="shared" si="348"/>
        <v>0</v>
      </c>
      <c r="K661" s="16">
        <f>(Opening_Fund_Value+SUM(K$91:K660))*E661*IF(D661=$A$91,SRP_finalmonthfactor,1)</f>
        <v>0</v>
      </c>
      <c r="L661" s="74">
        <f>MIN(IF($AV661=0,0,
IF(Investment_Strategy="DIS",VLOOKUP(Investment_Strategy&amp;"_"&amp;Investment_Strategy_Sub1&amp;"_"&amp;$A661,'Investment Strategies'!$AZ:$BP,12,FALSE),
IF(AND(Investment_Strategy="Lifecycle",Investment_Strategy_Sub1="Non-Standard"),VLOOKUP(Investment_Strategy&amp;"_"&amp;Investment_Strategy_Sub2&amp;"_"&amp;$A661,'Investment Strategies'!$C:$P,9,FALSE),
IF(AND(Investment_Strategy="Lifecycle",Investment_Strategy_Sub1="Standard"),VLOOKUP(Investment_Strategy&amp;"_"&amp;Investment_Strategy_Sub2&amp;"_"&amp;$A661,'Investment Strategies'!$AJ:$AV,8,FALSE),
IF(AND(Investment_Strategy="Autopilot",Investment_Strategy_Sub1="Non-Standard"),VLOOKUP(Investment_Strategy&amp;"_"&amp;Investment_Strategy_Sub2&amp;"_"&amp;$A661,'Investment Strategies'!$T:$AF,8,FALSE),
IF(Investment_Strategy ="DIY",DIY_RateofReturn_SP,
"Error")))))),Max_InvReturn)</f>
        <v>0</v>
      </c>
      <c r="M661" s="62">
        <f>IF($AV661=0,0,
IF(Investment_Strategy="DIS",VLOOKUP(Investment_Strategy&amp;"_"&amp;Investment_Strategy_Sub1&amp;"_"&amp;$A661,'Investment Strategies'!$AZ:$BP,15,FALSE),
IF(AND(Investment_Strategy="Lifecycle",Investment_Strategy_Sub1="Non-Standard"),VLOOKUP(Investment_Strategy&amp;"_"&amp;Investment_Strategy_Sub2&amp;"_"&amp;$A661,'Investment Strategies'!$C:$P,12,FALSE),
IF(AND(Investment_Strategy="Lifecycle",Investment_Strategy_Sub1="Standard"),VLOOKUP(Investment_Strategy&amp;"_"&amp;Investment_Strategy_Sub2&amp;"_"&amp;$A661,'Investment Strategies'!$AJ:$AV,11,FALSE),
IF(AND(Investment_Strategy="Autopilot",Investment_Strategy_Sub1="Non-Standard"),VLOOKUP(Investment_Strategy&amp;"_"&amp;Investment_Strategy_Sub2&amp;"_"&amp;$A661,'Investment Strategies'!$T:$AF,11,FALSE),
IF(Investment_Strategy="DIY",DIY_GteeChrge_SP,
"Error"))))))</f>
        <v>0</v>
      </c>
      <c r="N661" s="33">
        <f>IF($AV661=0,0,
IF(Investment_Strategy="DIS",VLOOKUP(Investment_Strategy&amp;"_"&amp;Investment_Strategy_Sub1&amp;"_"&amp;$A661,'Investment Strategies'!$AZ:$BP,17,FALSE),
IF(AND(Investment_Strategy="Lifecycle",Investment_Strategy_Sub1="Non-Standard"),VLOOKUP(Investment_Strategy&amp;"_"&amp;Investment_Strategy_Sub2&amp;"_"&amp;$A661,'Investment Strategies'!$C:$P,14,FALSE),
IF(AND(Investment_Strategy="Lifecycle",Investment_Strategy_Sub1="Standard"),VLOOKUP(Investment_Strategy&amp;"_"&amp;Investment_Strategy_Sub2&amp;"_"&amp;$A661,'Investment Strategies'!$AJ:$AV,13,FALSE),
IF(AND(Investment_Strategy="Autopilot",Investment_Strategy_Sub1="Non-Standard"),VLOOKUP(Investment_Strategy&amp;"_"&amp;Investment_Strategy_Sub2&amp;"_"&amp;$A661,'Investment Strategies'!$T:$AF,13,FALSE),
IF(Investment_Strategy="DIY",DIY_ExtManChrge_SP,
"Error"))))))</f>
        <v>0</v>
      </c>
      <c r="O661" s="16">
        <f t="shared" si="372"/>
        <v>0</v>
      </c>
      <c r="Q661" s="16">
        <f t="shared" si="349"/>
        <v>0</v>
      </c>
      <c r="R661" s="16">
        <f t="shared" si="380"/>
        <v>0</v>
      </c>
      <c r="S661" s="16">
        <f>(SRP_SP+SUM(S$91:S660))*L661*IF(D661=$A$91,SRP_finalmonthfactor,1)</f>
        <v>0</v>
      </c>
      <c r="T661" s="74">
        <f>MIN(IF($AV661=0,0,
IF(Investment_Strategy="DIS",VLOOKUP(Investment_Strategy&amp;"_"&amp;Investment_Strategy_Sub1&amp;"_"&amp;$A661,'Investment Strategies'!$AZ:$BP,12,FALSE),
IF(AND(Investment_Strategy="Lifecycle",Investment_Strategy_Sub1="Non-Standard"),VLOOKUP(Investment_Strategy&amp;"_"&amp;Investment_Strategy_Sub2&amp;"_"&amp;$A661,'Investment Strategies'!$C:$P,9,FALSE),
IF(AND(Investment_Strategy="Lifecycle",Investment_Strategy_Sub1="Standard"),VLOOKUP(Investment_Strategy&amp;"_"&amp;Investment_Strategy_Sub2&amp;"_"&amp;$A661,'Investment Strategies'!$AJ:$AV,8,FALSE),
IF(AND(Investment_Strategy="Autopilot",Investment_Strategy_Sub1="Non-Standard"),VLOOKUP(Investment_Strategy&amp;"_"&amp;Investment_Strategy_Sub2&amp;"_"&amp;$A661,'Investment Strategies'!$T:$AF,8,FALSE),
IF(Investment_Strategy ="DIY",DIY_RateOfReturn_FuturePremiums,
"Error")))))),Max_InvReturn)</f>
        <v>0</v>
      </c>
      <c r="U661" s="62">
        <f>IF($AV661=0,0,
IF(Investment_Strategy="DIS",VLOOKUP(Investment_Strategy&amp;"_"&amp;Investment_Strategy_Sub1&amp;"_"&amp;$A661,'Investment Strategies'!$AZ:$BP,15,FALSE),
IF(AND(Investment_Strategy="Lifecycle",Investment_Strategy_Sub1="Non-Standard"),VLOOKUP(Investment_Strategy&amp;"_"&amp;Investment_Strategy_Sub2&amp;"_"&amp;$A661,'Investment Strategies'!$C:$P,12,FALSE),
IF(AND(Investment_Strategy="Lifecycle",Investment_Strategy_Sub1="Standard"),VLOOKUP(Investment_Strategy&amp;"_"&amp;Investment_Strategy_Sub2&amp;"_"&amp;$A661,'Investment Strategies'!$AJ:$AV,11,FALSE),
IF(AND(Investment_Strategy="Autopilot",Investment_Strategy_Sub1="Non-Standard"),VLOOKUP(Investment_Strategy&amp;"_"&amp;Investment_Strategy_Sub2&amp;"_"&amp;$A661,'Investment Strategies'!$T:$AF,11,FALSE),
IF(Investment_Strategy="DIY",DIY_GteeChrge_FuturePremiums,
"Error"))))))</f>
        <v>0</v>
      </c>
      <c r="V661" s="33">
        <f>IF(AV661=0,0,
IF(Investment_Strategy="DIS",VLOOKUP(Investment_Strategy&amp;"_"&amp;Investment_Strategy_Sub1&amp;"_"&amp;$A661,'Investment Strategies'!$AZ:$BP,17,FALSE),
IF(AND(Investment_Strategy="Lifecycle",Investment_Strategy_Sub1="Non-Standard"),VLOOKUP(Investment_Strategy&amp;"_"&amp;Investment_Strategy_Sub2&amp;"_"&amp;$A661,'Investment Strategies'!$C:$P,14,FALSE),
IF(AND(Investment_Strategy="Lifecycle",Investment_Strategy_Sub1="Standard"),VLOOKUP(Investment_Strategy&amp;"_"&amp;Investment_Strategy_Sub2&amp;"_"&amp;$A661,'Investment Strategies'!$AJ:$AV,13,FALSE),
IF(AND(Investment_Strategy="Autopilot",Investment_Strategy_Sub1="Non-Standard"),VLOOKUP(Investment_Strategy&amp;"_"&amp;Investment_Strategy_Sub2&amp;"_"&amp;$A661,'Investment Strategies'!$T:$AF,13,FALSE),
IF(Investment_Strategy="DIY",DIY_ExtManChrge_FuturePremiums,
"Error"))))))</f>
        <v>0</v>
      </c>
      <c r="W661" s="16">
        <f t="shared" si="373"/>
        <v>0</v>
      </c>
      <c r="X661" s="16">
        <f t="shared" si="350"/>
        <v>0</v>
      </c>
      <c r="Y661" s="16">
        <f t="shared" si="351"/>
        <v>0</v>
      </c>
      <c r="Z661" s="31">
        <f t="shared" si="352"/>
        <v>0.02</v>
      </c>
      <c r="AA661" s="16">
        <f t="shared" si="353"/>
        <v>0</v>
      </c>
      <c r="AB661" s="28">
        <f t="shared" si="374"/>
        <v>0</v>
      </c>
      <c r="AC661" s="28">
        <f>(SUM($AC$91:AC660)+SUM($X$91:X660)+X661)*T661*IF(D661=$A$91,SRP_finalmonthfactor,1)</f>
        <v>0</v>
      </c>
      <c r="AD661" s="16">
        <f t="shared" si="354"/>
        <v>0</v>
      </c>
      <c r="AE661" s="106"/>
      <c r="AF661" s="16">
        <f t="shared" si="362"/>
        <v>0</v>
      </c>
      <c r="AG661" s="16">
        <f t="shared" si="363"/>
        <v>0</v>
      </c>
      <c r="AH661" s="16">
        <f t="shared" si="364"/>
        <v>0</v>
      </c>
      <c r="AJ661" s="13">
        <f t="shared" ref="AJ661:AU670" si="381">IF($C661&lt;=AJ$90,1,0)</f>
        <v>0</v>
      </c>
      <c r="AK661" s="13">
        <f t="shared" si="381"/>
        <v>0</v>
      </c>
      <c r="AL661" s="13">
        <f t="shared" si="381"/>
        <v>0</v>
      </c>
      <c r="AM661" s="13">
        <f t="shared" si="381"/>
        <v>0</v>
      </c>
      <c r="AN661" s="13">
        <f t="shared" si="381"/>
        <v>0</v>
      </c>
      <c r="AO661" s="13">
        <f t="shared" si="381"/>
        <v>1</v>
      </c>
      <c r="AP661" s="13">
        <f t="shared" si="381"/>
        <v>1</v>
      </c>
      <c r="AQ661" s="13">
        <f t="shared" si="381"/>
        <v>1</v>
      </c>
      <c r="AR661" s="13">
        <f t="shared" si="381"/>
        <v>0</v>
      </c>
      <c r="AS661" s="13">
        <f t="shared" si="381"/>
        <v>0</v>
      </c>
      <c r="AT661" s="13">
        <f t="shared" si="381"/>
        <v>0</v>
      </c>
      <c r="AU661" s="13">
        <f t="shared" si="381"/>
        <v>0</v>
      </c>
      <c r="AV661" s="13">
        <f t="shared" si="355"/>
        <v>0</v>
      </c>
      <c r="AW661" s="13">
        <f t="shared" si="356"/>
        <v>1</v>
      </c>
      <c r="AY661" s="17">
        <f t="shared" si="357"/>
        <v>571</v>
      </c>
      <c r="AZ661" s="28">
        <f t="shared" si="365"/>
        <v>0</v>
      </c>
      <c r="BA661" s="13">
        <f t="shared" si="358"/>
        <v>0</v>
      </c>
      <c r="BB661" s="13">
        <f t="shared" si="359"/>
        <v>0</v>
      </c>
      <c r="BC661" s="28">
        <f t="shared" si="366"/>
        <v>0</v>
      </c>
      <c r="BD661" s="28">
        <f t="shared" si="367"/>
        <v>0</v>
      </c>
      <c r="BF661" s="248">
        <f t="shared" si="368"/>
        <v>993869.29442638322</v>
      </c>
    </row>
    <row r="662" spans="1:58">
      <c r="A662" s="32">
        <f t="shared" si="369"/>
        <v>-487</v>
      </c>
      <c r="B662" s="32">
        <f t="shared" si="360"/>
        <v>100</v>
      </c>
      <c r="C662" s="32">
        <f t="shared" si="370"/>
        <v>48</v>
      </c>
      <c r="D662" s="32">
        <f t="shared" si="371"/>
        <v>572</v>
      </c>
      <c r="E662" s="74">
        <f>MIN(IF(AV662=0,0,
IF(Investment_Strategy="DIS",VLOOKUP(Investment_Strategy&amp;"_"&amp;Investment_Strategy_Sub1&amp;"_"&amp;$A662,'Investment Strategies'!$AZ:$BP,12,FALSE),
IF(AND(Investment_Strategy="Lifecycle",Investment_Strategy_Sub1="Non-Standard"),VLOOKUP(Investment_Strategy&amp;"_"&amp;Investment_Strategy_Sub2&amp;"_"&amp;$A662,'Investment Strategies'!$C:$P,9,FALSE),
IF(AND(Investment_Strategy="Lifecycle",Investment_Strategy_Sub1="Standard"),VLOOKUP(Investment_Strategy&amp;"_"&amp;Investment_Strategy_Sub2&amp;"_"&amp;$A662,'Investment Strategies'!$AJ:$AV,8,FALSE),
IF(AND(Investment_Strategy="Autopilot",Investment_Strategy_Sub1="Non-Standard"),VLOOKUP(Investment_Strategy&amp;"_"&amp;Investment_Strategy_Sub2&amp;"_"&amp;$A662,'Investment Strategies'!$T:$AF,8,FALSE),
IF(Investment_Strategy ="DIY",DIY_RateOfReturn_CurrentFunds,
"Error")))))),Max_InvReturn)</f>
        <v>0</v>
      </c>
      <c r="F662" s="62">
        <f>IF(AV662=0,0,
IF(Investment_Strategy="DIS",VLOOKUP(Investment_Strategy&amp;"_"&amp;Investment_Strategy_Sub1&amp;"_"&amp;$A662,'Investment Strategies'!$AZ:$BP,15,FALSE),
IF(AND(Investment_Strategy="Lifecycle",Investment_Strategy_Sub1="Non-Standard"),VLOOKUP(Investment_Strategy&amp;"_"&amp;Investment_Strategy_Sub2&amp;"_"&amp;$A662,'Investment Strategies'!$C:$P,12,FALSE),
IF(AND(Investment_Strategy="Lifecycle",Investment_Strategy_Sub1="Standard"),VLOOKUP(Investment_Strategy&amp;"_"&amp;Investment_Strategy_Sub2&amp;"_"&amp;$A662,'Investment Strategies'!$AJ:$AV,11,FALSE),
IF(AND(Investment_Strategy="Autopilot",Investment_Strategy_Sub1="Non-Standard"),VLOOKUP(Investment_Strategy&amp;"_"&amp;Investment_Strategy_Sub2&amp;"_"&amp;$A662,'Investment Strategies'!$T:$AF,11,FALSE),
IF(Investment_Strategy="DIY",DIY_GteeChrge_CurrentFunds,
"Error"))))))</f>
        <v>0</v>
      </c>
      <c r="G662" s="33">
        <f>IF(AV662=0,0,
IF(Investment_Strategy="DIS",VLOOKUP(Investment_Strategy&amp;"_"&amp;Investment_Strategy_Sub1&amp;"_"&amp;$A662,'Investment Strategies'!$AZ:$BP,17,FALSE),
IF(AND(Investment_Strategy="Lifecycle",Investment_Strategy_Sub1="Non-Standard"),VLOOKUP(Investment_Strategy&amp;"_"&amp;Investment_Strategy_Sub2&amp;"_"&amp;$A662,'Investment Strategies'!$C:$P,14,FALSE),
IF(AND(Investment_Strategy="Lifecycle",Investment_Strategy_Sub1="Standard"),VLOOKUP(Investment_Strategy&amp;"_"&amp;Investment_Strategy_Sub2&amp;"_"&amp;$A662,'Investment Strategies'!$AJ:$AV,13,FALSE),
IF(AND(Investment_Strategy="Autopilot",Investment_Strategy_Sub1="Non-Standard"),VLOOKUP(Investment_Strategy&amp;"_"&amp;Investment_Strategy_Sub2&amp;"_"&amp;$A662,'Investment Strategies'!$T:$AF,13,FALSE),
IF(Investment_Strategy="DIY",DIY_ExtManChrge_CurrentFunds,
"Error"))))))</f>
        <v>0</v>
      </c>
      <c r="H662" s="16">
        <f t="shared" si="361"/>
        <v>0</v>
      </c>
      <c r="I662" s="16">
        <f t="shared" si="347"/>
        <v>0</v>
      </c>
      <c r="J662" s="16">
        <f t="shared" si="348"/>
        <v>0</v>
      </c>
      <c r="K662" s="16">
        <f>(Opening_Fund_Value+SUM(K$91:K661))*E662*IF(D662=$A$91,SRP_finalmonthfactor,1)</f>
        <v>0</v>
      </c>
      <c r="L662" s="74">
        <f>MIN(IF($AV662=0,0,
IF(Investment_Strategy="DIS",VLOOKUP(Investment_Strategy&amp;"_"&amp;Investment_Strategy_Sub1&amp;"_"&amp;$A662,'Investment Strategies'!$AZ:$BP,12,FALSE),
IF(AND(Investment_Strategy="Lifecycle",Investment_Strategy_Sub1="Non-Standard"),VLOOKUP(Investment_Strategy&amp;"_"&amp;Investment_Strategy_Sub2&amp;"_"&amp;$A662,'Investment Strategies'!$C:$P,9,FALSE),
IF(AND(Investment_Strategy="Lifecycle",Investment_Strategy_Sub1="Standard"),VLOOKUP(Investment_Strategy&amp;"_"&amp;Investment_Strategy_Sub2&amp;"_"&amp;$A662,'Investment Strategies'!$AJ:$AV,8,FALSE),
IF(AND(Investment_Strategy="Autopilot",Investment_Strategy_Sub1="Non-Standard"),VLOOKUP(Investment_Strategy&amp;"_"&amp;Investment_Strategy_Sub2&amp;"_"&amp;$A662,'Investment Strategies'!$T:$AF,8,FALSE),
IF(Investment_Strategy ="DIY",DIY_RateofReturn_SP,
"Error")))))),Max_InvReturn)</f>
        <v>0</v>
      </c>
      <c r="M662" s="62">
        <f>IF($AV662=0,0,
IF(Investment_Strategy="DIS",VLOOKUP(Investment_Strategy&amp;"_"&amp;Investment_Strategy_Sub1&amp;"_"&amp;$A662,'Investment Strategies'!$AZ:$BP,15,FALSE),
IF(AND(Investment_Strategy="Lifecycle",Investment_Strategy_Sub1="Non-Standard"),VLOOKUP(Investment_Strategy&amp;"_"&amp;Investment_Strategy_Sub2&amp;"_"&amp;$A662,'Investment Strategies'!$C:$P,12,FALSE),
IF(AND(Investment_Strategy="Lifecycle",Investment_Strategy_Sub1="Standard"),VLOOKUP(Investment_Strategy&amp;"_"&amp;Investment_Strategy_Sub2&amp;"_"&amp;$A662,'Investment Strategies'!$AJ:$AV,11,FALSE),
IF(AND(Investment_Strategy="Autopilot",Investment_Strategy_Sub1="Non-Standard"),VLOOKUP(Investment_Strategy&amp;"_"&amp;Investment_Strategy_Sub2&amp;"_"&amp;$A662,'Investment Strategies'!$T:$AF,11,FALSE),
IF(Investment_Strategy="DIY",DIY_GteeChrge_SP,
"Error"))))))</f>
        <v>0</v>
      </c>
      <c r="N662" s="33">
        <f>IF($AV662=0,0,
IF(Investment_Strategy="DIS",VLOOKUP(Investment_Strategy&amp;"_"&amp;Investment_Strategy_Sub1&amp;"_"&amp;$A662,'Investment Strategies'!$AZ:$BP,17,FALSE),
IF(AND(Investment_Strategy="Lifecycle",Investment_Strategy_Sub1="Non-Standard"),VLOOKUP(Investment_Strategy&amp;"_"&amp;Investment_Strategy_Sub2&amp;"_"&amp;$A662,'Investment Strategies'!$C:$P,14,FALSE),
IF(AND(Investment_Strategy="Lifecycle",Investment_Strategy_Sub1="Standard"),VLOOKUP(Investment_Strategy&amp;"_"&amp;Investment_Strategy_Sub2&amp;"_"&amp;$A662,'Investment Strategies'!$AJ:$AV,13,FALSE),
IF(AND(Investment_Strategy="Autopilot",Investment_Strategy_Sub1="Non-Standard"),VLOOKUP(Investment_Strategy&amp;"_"&amp;Investment_Strategy_Sub2&amp;"_"&amp;$A662,'Investment Strategies'!$T:$AF,13,FALSE),
IF(Investment_Strategy="DIY",DIY_ExtManChrge_SP,
"Error"))))))</f>
        <v>0</v>
      </c>
      <c r="O662" s="16">
        <f t="shared" si="372"/>
        <v>0</v>
      </c>
      <c r="Q662" s="16">
        <f t="shared" si="349"/>
        <v>0</v>
      </c>
      <c r="R662" s="16">
        <f t="shared" si="380"/>
        <v>0</v>
      </c>
      <c r="S662" s="16">
        <f>(SRP_SP+SUM(S$91:S661))*L662*IF(D662=$A$91,SRP_finalmonthfactor,1)</f>
        <v>0</v>
      </c>
      <c r="T662" s="74">
        <f>MIN(IF($AV662=0,0,
IF(Investment_Strategy="DIS",VLOOKUP(Investment_Strategy&amp;"_"&amp;Investment_Strategy_Sub1&amp;"_"&amp;$A662,'Investment Strategies'!$AZ:$BP,12,FALSE),
IF(AND(Investment_Strategy="Lifecycle",Investment_Strategy_Sub1="Non-Standard"),VLOOKUP(Investment_Strategy&amp;"_"&amp;Investment_Strategy_Sub2&amp;"_"&amp;$A662,'Investment Strategies'!$C:$P,9,FALSE),
IF(AND(Investment_Strategy="Lifecycle",Investment_Strategy_Sub1="Standard"),VLOOKUP(Investment_Strategy&amp;"_"&amp;Investment_Strategy_Sub2&amp;"_"&amp;$A662,'Investment Strategies'!$AJ:$AV,8,FALSE),
IF(AND(Investment_Strategy="Autopilot",Investment_Strategy_Sub1="Non-Standard"),VLOOKUP(Investment_Strategy&amp;"_"&amp;Investment_Strategy_Sub2&amp;"_"&amp;$A662,'Investment Strategies'!$T:$AF,8,FALSE),
IF(Investment_Strategy ="DIY",DIY_RateOfReturn_FuturePremiums,
"Error")))))),Max_InvReturn)</f>
        <v>0</v>
      </c>
      <c r="U662" s="62">
        <f>IF($AV662=0,0,
IF(Investment_Strategy="DIS",VLOOKUP(Investment_Strategy&amp;"_"&amp;Investment_Strategy_Sub1&amp;"_"&amp;$A662,'Investment Strategies'!$AZ:$BP,15,FALSE),
IF(AND(Investment_Strategy="Lifecycle",Investment_Strategy_Sub1="Non-Standard"),VLOOKUP(Investment_Strategy&amp;"_"&amp;Investment_Strategy_Sub2&amp;"_"&amp;$A662,'Investment Strategies'!$C:$P,12,FALSE),
IF(AND(Investment_Strategy="Lifecycle",Investment_Strategy_Sub1="Standard"),VLOOKUP(Investment_Strategy&amp;"_"&amp;Investment_Strategy_Sub2&amp;"_"&amp;$A662,'Investment Strategies'!$AJ:$AV,11,FALSE),
IF(AND(Investment_Strategy="Autopilot",Investment_Strategy_Sub1="Non-Standard"),VLOOKUP(Investment_Strategy&amp;"_"&amp;Investment_Strategy_Sub2&amp;"_"&amp;$A662,'Investment Strategies'!$T:$AF,11,FALSE),
IF(Investment_Strategy="DIY",DIY_GteeChrge_FuturePremiums,
"Error"))))))</f>
        <v>0</v>
      </c>
      <c r="V662" s="33">
        <f>IF(AV662=0,0,
IF(Investment_Strategy="DIS",VLOOKUP(Investment_Strategy&amp;"_"&amp;Investment_Strategy_Sub1&amp;"_"&amp;$A662,'Investment Strategies'!$AZ:$BP,17,FALSE),
IF(AND(Investment_Strategy="Lifecycle",Investment_Strategy_Sub1="Non-Standard"),VLOOKUP(Investment_Strategy&amp;"_"&amp;Investment_Strategy_Sub2&amp;"_"&amp;$A662,'Investment Strategies'!$C:$P,14,FALSE),
IF(AND(Investment_Strategy="Lifecycle",Investment_Strategy_Sub1="Standard"),VLOOKUP(Investment_Strategy&amp;"_"&amp;Investment_Strategy_Sub2&amp;"_"&amp;$A662,'Investment Strategies'!$AJ:$AV,13,FALSE),
IF(AND(Investment_Strategy="Autopilot",Investment_Strategy_Sub1="Non-Standard"),VLOOKUP(Investment_Strategy&amp;"_"&amp;Investment_Strategy_Sub2&amp;"_"&amp;$A662,'Investment Strategies'!$T:$AF,13,FALSE),
IF(Investment_Strategy="DIY",DIY_ExtManChrge_FuturePremiums,
"Error"))))))</f>
        <v>0</v>
      </c>
      <c r="W662" s="16">
        <f t="shared" si="373"/>
        <v>0</v>
      </c>
      <c r="X662" s="16">
        <f t="shared" si="350"/>
        <v>0</v>
      </c>
      <c r="Y662" s="16">
        <f t="shared" si="351"/>
        <v>0</v>
      </c>
      <c r="Z662" s="31">
        <f t="shared" si="352"/>
        <v>0.02</v>
      </c>
      <c r="AA662" s="16">
        <f t="shared" si="353"/>
        <v>0</v>
      </c>
      <c r="AB662" s="28">
        <f t="shared" si="374"/>
        <v>0</v>
      </c>
      <c r="AC662" s="28">
        <f>(SUM($AC$91:AC661)+SUM($X$91:X661)+X662)*T662*IF(D662=$A$91,SRP_finalmonthfactor,1)</f>
        <v>0</v>
      </c>
      <c r="AD662" s="16">
        <f t="shared" si="354"/>
        <v>0</v>
      </c>
      <c r="AE662" s="106"/>
      <c r="AF662" s="16">
        <f t="shared" si="362"/>
        <v>0</v>
      </c>
      <c r="AG662" s="16">
        <f t="shared" si="363"/>
        <v>0</v>
      </c>
      <c r="AH662" s="16">
        <f t="shared" si="364"/>
        <v>0</v>
      </c>
      <c r="AJ662" s="13">
        <f t="shared" si="381"/>
        <v>0</v>
      </c>
      <c r="AK662" s="13">
        <f t="shared" si="381"/>
        <v>0</v>
      </c>
      <c r="AL662" s="13">
        <f t="shared" si="381"/>
        <v>0</v>
      </c>
      <c r="AM662" s="13">
        <f t="shared" si="381"/>
        <v>0</v>
      </c>
      <c r="AN662" s="13">
        <f t="shared" si="381"/>
        <v>0</v>
      </c>
      <c r="AO662" s="13">
        <f t="shared" si="381"/>
        <v>1</v>
      </c>
      <c r="AP662" s="13">
        <f t="shared" si="381"/>
        <v>1</v>
      </c>
      <c r="AQ662" s="13">
        <f t="shared" si="381"/>
        <v>1</v>
      </c>
      <c r="AR662" s="13">
        <f t="shared" si="381"/>
        <v>0</v>
      </c>
      <c r="AS662" s="13">
        <f t="shared" si="381"/>
        <v>0</v>
      </c>
      <c r="AT662" s="13">
        <f t="shared" si="381"/>
        <v>0</v>
      </c>
      <c r="AU662" s="13">
        <f t="shared" si="381"/>
        <v>0</v>
      </c>
      <c r="AV662" s="13">
        <f t="shared" si="355"/>
        <v>0</v>
      </c>
      <c r="AW662" s="13">
        <f t="shared" si="356"/>
        <v>1</v>
      </c>
      <c r="AY662" s="17">
        <f t="shared" si="357"/>
        <v>572</v>
      </c>
      <c r="AZ662" s="28">
        <f t="shared" si="365"/>
        <v>0</v>
      </c>
      <c r="BA662" s="13">
        <f t="shared" si="358"/>
        <v>0</v>
      </c>
      <c r="BB662" s="13">
        <f t="shared" si="359"/>
        <v>0</v>
      </c>
      <c r="BC662" s="28">
        <f t="shared" si="366"/>
        <v>0</v>
      </c>
      <c r="BD662" s="28">
        <f t="shared" si="367"/>
        <v>0</v>
      </c>
      <c r="BF662" s="248">
        <f t="shared" si="368"/>
        <v>993869.29442638322</v>
      </c>
    </row>
    <row r="663" spans="1:58">
      <c r="A663" s="32">
        <f t="shared" si="369"/>
        <v>-488</v>
      </c>
      <c r="B663" s="32">
        <f t="shared" si="360"/>
        <v>100</v>
      </c>
      <c r="C663" s="32">
        <f t="shared" si="370"/>
        <v>48</v>
      </c>
      <c r="D663" s="32">
        <f t="shared" si="371"/>
        <v>573</v>
      </c>
      <c r="E663" s="74">
        <f>MIN(IF(AV663=0,0,
IF(Investment_Strategy="DIS",VLOOKUP(Investment_Strategy&amp;"_"&amp;Investment_Strategy_Sub1&amp;"_"&amp;$A663,'Investment Strategies'!$AZ:$BP,12,FALSE),
IF(AND(Investment_Strategy="Lifecycle",Investment_Strategy_Sub1="Non-Standard"),VLOOKUP(Investment_Strategy&amp;"_"&amp;Investment_Strategy_Sub2&amp;"_"&amp;$A663,'Investment Strategies'!$C:$P,9,FALSE),
IF(AND(Investment_Strategy="Lifecycle",Investment_Strategy_Sub1="Standard"),VLOOKUP(Investment_Strategy&amp;"_"&amp;Investment_Strategy_Sub2&amp;"_"&amp;$A663,'Investment Strategies'!$AJ:$AV,8,FALSE),
IF(AND(Investment_Strategy="Autopilot",Investment_Strategy_Sub1="Non-Standard"),VLOOKUP(Investment_Strategy&amp;"_"&amp;Investment_Strategy_Sub2&amp;"_"&amp;$A663,'Investment Strategies'!$T:$AF,8,FALSE),
IF(Investment_Strategy ="DIY",DIY_RateOfReturn_CurrentFunds,
"Error")))))),Max_InvReturn)</f>
        <v>0</v>
      </c>
      <c r="F663" s="62">
        <f>IF(AV663=0,0,
IF(Investment_Strategy="DIS",VLOOKUP(Investment_Strategy&amp;"_"&amp;Investment_Strategy_Sub1&amp;"_"&amp;$A663,'Investment Strategies'!$AZ:$BP,15,FALSE),
IF(AND(Investment_Strategy="Lifecycle",Investment_Strategy_Sub1="Non-Standard"),VLOOKUP(Investment_Strategy&amp;"_"&amp;Investment_Strategy_Sub2&amp;"_"&amp;$A663,'Investment Strategies'!$C:$P,12,FALSE),
IF(AND(Investment_Strategy="Lifecycle",Investment_Strategy_Sub1="Standard"),VLOOKUP(Investment_Strategy&amp;"_"&amp;Investment_Strategy_Sub2&amp;"_"&amp;$A663,'Investment Strategies'!$AJ:$AV,11,FALSE),
IF(AND(Investment_Strategy="Autopilot",Investment_Strategy_Sub1="Non-Standard"),VLOOKUP(Investment_Strategy&amp;"_"&amp;Investment_Strategy_Sub2&amp;"_"&amp;$A663,'Investment Strategies'!$T:$AF,11,FALSE),
IF(Investment_Strategy="DIY",DIY_GteeChrge_CurrentFunds,
"Error"))))))</f>
        <v>0</v>
      </c>
      <c r="G663" s="33">
        <f>IF(AV663=0,0,
IF(Investment_Strategy="DIS",VLOOKUP(Investment_Strategy&amp;"_"&amp;Investment_Strategy_Sub1&amp;"_"&amp;$A663,'Investment Strategies'!$AZ:$BP,17,FALSE),
IF(AND(Investment_Strategy="Lifecycle",Investment_Strategy_Sub1="Non-Standard"),VLOOKUP(Investment_Strategy&amp;"_"&amp;Investment_Strategy_Sub2&amp;"_"&amp;$A663,'Investment Strategies'!$C:$P,14,FALSE),
IF(AND(Investment_Strategy="Lifecycle",Investment_Strategy_Sub1="Standard"),VLOOKUP(Investment_Strategy&amp;"_"&amp;Investment_Strategy_Sub2&amp;"_"&amp;$A663,'Investment Strategies'!$AJ:$AV,13,FALSE),
IF(AND(Investment_Strategy="Autopilot",Investment_Strategy_Sub1="Non-Standard"),VLOOKUP(Investment_Strategy&amp;"_"&amp;Investment_Strategy_Sub2&amp;"_"&amp;$A663,'Investment Strategies'!$T:$AF,13,FALSE),
IF(Investment_Strategy="DIY",DIY_ExtManChrge_CurrentFunds,
"Error"))))))</f>
        <v>0</v>
      </c>
      <c r="H663" s="16">
        <f t="shared" si="361"/>
        <v>0</v>
      </c>
      <c r="I663" s="16">
        <f t="shared" si="347"/>
        <v>0</v>
      </c>
      <c r="J663" s="16">
        <f t="shared" si="348"/>
        <v>0</v>
      </c>
      <c r="K663" s="16">
        <f>(Opening_Fund_Value+SUM(K$91:K662))*E663*IF(D663=$A$91,SRP_finalmonthfactor,1)</f>
        <v>0</v>
      </c>
      <c r="L663" s="74">
        <f>MIN(IF($AV663=0,0,
IF(Investment_Strategy="DIS",VLOOKUP(Investment_Strategy&amp;"_"&amp;Investment_Strategy_Sub1&amp;"_"&amp;$A663,'Investment Strategies'!$AZ:$BP,12,FALSE),
IF(AND(Investment_Strategy="Lifecycle",Investment_Strategy_Sub1="Non-Standard"),VLOOKUP(Investment_Strategy&amp;"_"&amp;Investment_Strategy_Sub2&amp;"_"&amp;$A663,'Investment Strategies'!$C:$P,9,FALSE),
IF(AND(Investment_Strategy="Lifecycle",Investment_Strategy_Sub1="Standard"),VLOOKUP(Investment_Strategy&amp;"_"&amp;Investment_Strategy_Sub2&amp;"_"&amp;$A663,'Investment Strategies'!$AJ:$AV,8,FALSE),
IF(AND(Investment_Strategy="Autopilot",Investment_Strategy_Sub1="Non-Standard"),VLOOKUP(Investment_Strategy&amp;"_"&amp;Investment_Strategy_Sub2&amp;"_"&amp;$A663,'Investment Strategies'!$T:$AF,8,FALSE),
IF(Investment_Strategy ="DIY",DIY_RateofReturn_SP,
"Error")))))),Max_InvReturn)</f>
        <v>0</v>
      </c>
      <c r="M663" s="62">
        <f>IF($AV663=0,0,
IF(Investment_Strategy="DIS",VLOOKUP(Investment_Strategy&amp;"_"&amp;Investment_Strategy_Sub1&amp;"_"&amp;$A663,'Investment Strategies'!$AZ:$BP,15,FALSE),
IF(AND(Investment_Strategy="Lifecycle",Investment_Strategy_Sub1="Non-Standard"),VLOOKUP(Investment_Strategy&amp;"_"&amp;Investment_Strategy_Sub2&amp;"_"&amp;$A663,'Investment Strategies'!$C:$P,12,FALSE),
IF(AND(Investment_Strategy="Lifecycle",Investment_Strategy_Sub1="Standard"),VLOOKUP(Investment_Strategy&amp;"_"&amp;Investment_Strategy_Sub2&amp;"_"&amp;$A663,'Investment Strategies'!$AJ:$AV,11,FALSE),
IF(AND(Investment_Strategy="Autopilot",Investment_Strategy_Sub1="Non-Standard"),VLOOKUP(Investment_Strategy&amp;"_"&amp;Investment_Strategy_Sub2&amp;"_"&amp;$A663,'Investment Strategies'!$T:$AF,11,FALSE),
IF(Investment_Strategy="DIY",DIY_GteeChrge_SP,
"Error"))))))</f>
        <v>0</v>
      </c>
      <c r="N663" s="33">
        <f>IF($AV663=0,0,
IF(Investment_Strategy="DIS",VLOOKUP(Investment_Strategy&amp;"_"&amp;Investment_Strategy_Sub1&amp;"_"&amp;$A663,'Investment Strategies'!$AZ:$BP,17,FALSE),
IF(AND(Investment_Strategy="Lifecycle",Investment_Strategy_Sub1="Non-Standard"),VLOOKUP(Investment_Strategy&amp;"_"&amp;Investment_Strategy_Sub2&amp;"_"&amp;$A663,'Investment Strategies'!$C:$P,14,FALSE),
IF(AND(Investment_Strategy="Lifecycle",Investment_Strategy_Sub1="Standard"),VLOOKUP(Investment_Strategy&amp;"_"&amp;Investment_Strategy_Sub2&amp;"_"&amp;$A663,'Investment Strategies'!$AJ:$AV,13,FALSE),
IF(AND(Investment_Strategy="Autopilot",Investment_Strategy_Sub1="Non-Standard"),VLOOKUP(Investment_Strategy&amp;"_"&amp;Investment_Strategy_Sub2&amp;"_"&amp;$A663,'Investment Strategies'!$T:$AF,13,FALSE),
IF(Investment_Strategy="DIY",DIY_ExtManChrge_SP,
"Error"))))))</f>
        <v>0</v>
      </c>
      <c r="O663" s="16">
        <f t="shared" si="372"/>
        <v>0</v>
      </c>
      <c r="Q663" s="16">
        <f t="shared" si="349"/>
        <v>0</v>
      </c>
      <c r="R663" s="16">
        <f t="shared" si="380"/>
        <v>0</v>
      </c>
      <c r="S663" s="16">
        <f>(SRP_SP+SUM(S$91:S662))*L663*IF(D663=$A$91,SRP_finalmonthfactor,1)</f>
        <v>0</v>
      </c>
      <c r="T663" s="74">
        <f>MIN(IF($AV663=0,0,
IF(Investment_Strategy="DIS",VLOOKUP(Investment_Strategy&amp;"_"&amp;Investment_Strategy_Sub1&amp;"_"&amp;$A663,'Investment Strategies'!$AZ:$BP,12,FALSE),
IF(AND(Investment_Strategy="Lifecycle",Investment_Strategy_Sub1="Non-Standard"),VLOOKUP(Investment_Strategy&amp;"_"&amp;Investment_Strategy_Sub2&amp;"_"&amp;$A663,'Investment Strategies'!$C:$P,9,FALSE),
IF(AND(Investment_Strategy="Lifecycle",Investment_Strategy_Sub1="Standard"),VLOOKUP(Investment_Strategy&amp;"_"&amp;Investment_Strategy_Sub2&amp;"_"&amp;$A663,'Investment Strategies'!$AJ:$AV,8,FALSE),
IF(AND(Investment_Strategy="Autopilot",Investment_Strategy_Sub1="Non-Standard"),VLOOKUP(Investment_Strategy&amp;"_"&amp;Investment_Strategy_Sub2&amp;"_"&amp;$A663,'Investment Strategies'!$T:$AF,8,FALSE),
IF(Investment_Strategy ="DIY",DIY_RateOfReturn_FuturePremiums,
"Error")))))),Max_InvReturn)</f>
        <v>0</v>
      </c>
      <c r="U663" s="62">
        <f>IF($AV663=0,0,
IF(Investment_Strategy="DIS",VLOOKUP(Investment_Strategy&amp;"_"&amp;Investment_Strategy_Sub1&amp;"_"&amp;$A663,'Investment Strategies'!$AZ:$BP,15,FALSE),
IF(AND(Investment_Strategy="Lifecycle",Investment_Strategy_Sub1="Non-Standard"),VLOOKUP(Investment_Strategy&amp;"_"&amp;Investment_Strategy_Sub2&amp;"_"&amp;$A663,'Investment Strategies'!$C:$P,12,FALSE),
IF(AND(Investment_Strategy="Lifecycle",Investment_Strategy_Sub1="Standard"),VLOOKUP(Investment_Strategy&amp;"_"&amp;Investment_Strategy_Sub2&amp;"_"&amp;$A663,'Investment Strategies'!$AJ:$AV,11,FALSE),
IF(AND(Investment_Strategy="Autopilot",Investment_Strategy_Sub1="Non-Standard"),VLOOKUP(Investment_Strategy&amp;"_"&amp;Investment_Strategy_Sub2&amp;"_"&amp;$A663,'Investment Strategies'!$T:$AF,11,FALSE),
IF(Investment_Strategy="DIY",DIY_GteeChrge_FuturePremiums,
"Error"))))))</f>
        <v>0</v>
      </c>
      <c r="V663" s="33">
        <f>IF(AV663=0,0,
IF(Investment_Strategy="DIS",VLOOKUP(Investment_Strategy&amp;"_"&amp;Investment_Strategy_Sub1&amp;"_"&amp;$A663,'Investment Strategies'!$AZ:$BP,17,FALSE),
IF(AND(Investment_Strategy="Lifecycle",Investment_Strategy_Sub1="Non-Standard"),VLOOKUP(Investment_Strategy&amp;"_"&amp;Investment_Strategy_Sub2&amp;"_"&amp;$A663,'Investment Strategies'!$C:$P,14,FALSE),
IF(AND(Investment_Strategy="Lifecycle",Investment_Strategy_Sub1="Standard"),VLOOKUP(Investment_Strategy&amp;"_"&amp;Investment_Strategy_Sub2&amp;"_"&amp;$A663,'Investment Strategies'!$AJ:$AV,13,FALSE),
IF(AND(Investment_Strategy="Autopilot",Investment_Strategy_Sub1="Non-Standard"),VLOOKUP(Investment_Strategy&amp;"_"&amp;Investment_Strategy_Sub2&amp;"_"&amp;$A663,'Investment Strategies'!$T:$AF,13,FALSE),
IF(Investment_Strategy="DIY",DIY_ExtManChrge_FuturePremiums,
"Error"))))))</f>
        <v>0</v>
      </c>
      <c r="W663" s="16">
        <f t="shared" si="373"/>
        <v>0</v>
      </c>
      <c r="X663" s="16">
        <f t="shared" si="350"/>
        <v>0</v>
      </c>
      <c r="Y663" s="16">
        <f t="shared" si="351"/>
        <v>0</v>
      </c>
      <c r="Z663" s="31">
        <f t="shared" si="352"/>
        <v>0.02</v>
      </c>
      <c r="AA663" s="16">
        <f t="shared" si="353"/>
        <v>0</v>
      </c>
      <c r="AB663" s="28">
        <f t="shared" si="374"/>
        <v>0</v>
      </c>
      <c r="AC663" s="28">
        <f>(SUM($AC$91:AC662)+SUM($X$91:X662)+X663)*T663*IF(D663=$A$91,SRP_finalmonthfactor,1)</f>
        <v>0</v>
      </c>
      <c r="AD663" s="16">
        <f t="shared" si="354"/>
        <v>0</v>
      </c>
      <c r="AE663" s="106"/>
      <c r="AF663" s="16">
        <f t="shared" si="362"/>
        <v>0</v>
      </c>
      <c r="AG663" s="16">
        <f t="shared" si="363"/>
        <v>0</v>
      </c>
      <c r="AH663" s="16">
        <f t="shared" si="364"/>
        <v>0</v>
      </c>
      <c r="AJ663" s="13">
        <f t="shared" si="381"/>
        <v>0</v>
      </c>
      <c r="AK663" s="13">
        <f t="shared" si="381"/>
        <v>0</v>
      </c>
      <c r="AL663" s="13">
        <f t="shared" si="381"/>
        <v>0</v>
      </c>
      <c r="AM663" s="13">
        <f t="shared" si="381"/>
        <v>0</v>
      </c>
      <c r="AN663" s="13">
        <f t="shared" si="381"/>
        <v>0</v>
      </c>
      <c r="AO663" s="13">
        <f t="shared" si="381"/>
        <v>1</v>
      </c>
      <c r="AP663" s="13">
        <f t="shared" si="381"/>
        <v>1</v>
      </c>
      <c r="AQ663" s="13">
        <f t="shared" si="381"/>
        <v>1</v>
      </c>
      <c r="AR663" s="13">
        <f t="shared" si="381"/>
        <v>0</v>
      </c>
      <c r="AS663" s="13">
        <f t="shared" si="381"/>
        <v>0</v>
      </c>
      <c r="AT663" s="13">
        <f t="shared" si="381"/>
        <v>0</v>
      </c>
      <c r="AU663" s="13">
        <f t="shared" si="381"/>
        <v>0</v>
      </c>
      <c r="AV663" s="13">
        <f t="shared" si="355"/>
        <v>0</v>
      </c>
      <c r="AW663" s="13">
        <f t="shared" si="356"/>
        <v>1</v>
      </c>
      <c r="AY663" s="17">
        <f t="shared" si="357"/>
        <v>573</v>
      </c>
      <c r="AZ663" s="28">
        <f t="shared" si="365"/>
        <v>0</v>
      </c>
      <c r="BA663" s="13">
        <f t="shared" si="358"/>
        <v>0</v>
      </c>
      <c r="BB663" s="13">
        <f t="shared" si="359"/>
        <v>0</v>
      </c>
      <c r="BC663" s="28">
        <f t="shared" si="366"/>
        <v>0</v>
      </c>
      <c r="BD663" s="28">
        <f t="shared" si="367"/>
        <v>0</v>
      </c>
      <c r="BF663" s="248">
        <f t="shared" si="368"/>
        <v>993869.29442638322</v>
      </c>
    </row>
    <row r="664" spans="1:58">
      <c r="A664" s="32">
        <f t="shared" si="369"/>
        <v>-489</v>
      </c>
      <c r="B664" s="32">
        <f t="shared" si="360"/>
        <v>100</v>
      </c>
      <c r="C664" s="32">
        <f t="shared" si="370"/>
        <v>48</v>
      </c>
      <c r="D664" s="32">
        <f t="shared" si="371"/>
        <v>574</v>
      </c>
      <c r="E664" s="74">
        <f>MIN(IF(AV664=0,0,
IF(Investment_Strategy="DIS",VLOOKUP(Investment_Strategy&amp;"_"&amp;Investment_Strategy_Sub1&amp;"_"&amp;$A664,'Investment Strategies'!$AZ:$BP,12,FALSE),
IF(AND(Investment_Strategy="Lifecycle",Investment_Strategy_Sub1="Non-Standard"),VLOOKUP(Investment_Strategy&amp;"_"&amp;Investment_Strategy_Sub2&amp;"_"&amp;$A664,'Investment Strategies'!$C:$P,9,FALSE),
IF(AND(Investment_Strategy="Lifecycle",Investment_Strategy_Sub1="Standard"),VLOOKUP(Investment_Strategy&amp;"_"&amp;Investment_Strategy_Sub2&amp;"_"&amp;$A664,'Investment Strategies'!$AJ:$AV,8,FALSE),
IF(AND(Investment_Strategy="Autopilot",Investment_Strategy_Sub1="Non-Standard"),VLOOKUP(Investment_Strategy&amp;"_"&amp;Investment_Strategy_Sub2&amp;"_"&amp;$A664,'Investment Strategies'!$T:$AF,8,FALSE),
IF(Investment_Strategy ="DIY",DIY_RateOfReturn_CurrentFunds,
"Error")))))),Max_InvReturn)</f>
        <v>0</v>
      </c>
      <c r="F664" s="62">
        <f>IF(AV664=0,0,
IF(Investment_Strategy="DIS",VLOOKUP(Investment_Strategy&amp;"_"&amp;Investment_Strategy_Sub1&amp;"_"&amp;$A664,'Investment Strategies'!$AZ:$BP,15,FALSE),
IF(AND(Investment_Strategy="Lifecycle",Investment_Strategy_Sub1="Non-Standard"),VLOOKUP(Investment_Strategy&amp;"_"&amp;Investment_Strategy_Sub2&amp;"_"&amp;$A664,'Investment Strategies'!$C:$P,12,FALSE),
IF(AND(Investment_Strategy="Lifecycle",Investment_Strategy_Sub1="Standard"),VLOOKUP(Investment_Strategy&amp;"_"&amp;Investment_Strategy_Sub2&amp;"_"&amp;$A664,'Investment Strategies'!$AJ:$AV,11,FALSE),
IF(AND(Investment_Strategy="Autopilot",Investment_Strategy_Sub1="Non-Standard"),VLOOKUP(Investment_Strategy&amp;"_"&amp;Investment_Strategy_Sub2&amp;"_"&amp;$A664,'Investment Strategies'!$T:$AF,11,FALSE),
IF(Investment_Strategy="DIY",DIY_GteeChrge_CurrentFunds,
"Error"))))))</f>
        <v>0</v>
      </c>
      <c r="G664" s="33">
        <f>IF(AV664=0,0,
IF(Investment_Strategy="DIS",VLOOKUP(Investment_Strategy&amp;"_"&amp;Investment_Strategy_Sub1&amp;"_"&amp;$A664,'Investment Strategies'!$AZ:$BP,17,FALSE),
IF(AND(Investment_Strategy="Lifecycle",Investment_Strategy_Sub1="Non-Standard"),VLOOKUP(Investment_Strategy&amp;"_"&amp;Investment_Strategy_Sub2&amp;"_"&amp;$A664,'Investment Strategies'!$C:$P,14,FALSE),
IF(AND(Investment_Strategy="Lifecycle",Investment_Strategy_Sub1="Standard"),VLOOKUP(Investment_Strategy&amp;"_"&amp;Investment_Strategy_Sub2&amp;"_"&amp;$A664,'Investment Strategies'!$AJ:$AV,13,FALSE),
IF(AND(Investment_Strategy="Autopilot",Investment_Strategy_Sub1="Non-Standard"),VLOOKUP(Investment_Strategy&amp;"_"&amp;Investment_Strategy_Sub2&amp;"_"&amp;$A664,'Investment Strategies'!$T:$AF,13,FALSE),
IF(Investment_Strategy="DIY",DIY_ExtManChrge_CurrentFunds,
"Error"))))))</f>
        <v>0</v>
      </c>
      <c r="H664" s="16">
        <f t="shared" si="361"/>
        <v>0</v>
      </c>
      <c r="I664" s="16">
        <f t="shared" si="347"/>
        <v>0</v>
      </c>
      <c r="J664" s="16">
        <f t="shared" si="348"/>
        <v>0</v>
      </c>
      <c r="K664" s="16">
        <f>(Opening_Fund_Value+SUM(K$91:K663))*E664*IF(D664=$A$91,SRP_finalmonthfactor,1)</f>
        <v>0</v>
      </c>
      <c r="L664" s="74">
        <f>MIN(IF($AV664=0,0,
IF(Investment_Strategy="DIS",VLOOKUP(Investment_Strategy&amp;"_"&amp;Investment_Strategy_Sub1&amp;"_"&amp;$A664,'Investment Strategies'!$AZ:$BP,12,FALSE),
IF(AND(Investment_Strategy="Lifecycle",Investment_Strategy_Sub1="Non-Standard"),VLOOKUP(Investment_Strategy&amp;"_"&amp;Investment_Strategy_Sub2&amp;"_"&amp;$A664,'Investment Strategies'!$C:$P,9,FALSE),
IF(AND(Investment_Strategy="Lifecycle",Investment_Strategy_Sub1="Standard"),VLOOKUP(Investment_Strategy&amp;"_"&amp;Investment_Strategy_Sub2&amp;"_"&amp;$A664,'Investment Strategies'!$AJ:$AV,8,FALSE),
IF(AND(Investment_Strategy="Autopilot",Investment_Strategy_Sub1="Non-Standard"),VLOOKUP(Investment_Strategy&amp;"_"&amp;Investment_Strategy_Sub2&amp;"_"&amp;$A664,'Investment Strategies'!$T:$AF,8,FALSE),
IF(Investment_Strategy ="DIY",DIY_RateofReturn_SP,
"Error")))))),Max_InvReturn)</f>
        <v>0</v>
      </c>
      <c r="M664" s="62">
        <f>IF($AV664=0,0,
IF(Investment_Strategy="DIS",VLOOKUP(Investment_Strategy&amp;"_"&amp;Investment_Strategy_Sub1&amp;"_"&amp;$A664,'Investment Strategies'!$AZ:$BP,15,FALSE),
IF(AND(Investment_Strategy="Lifecycle",Investment_Strategy_Sub1="Non-Standard"),VLOOKUP(Investment_Strategy&amp;"_"&amp;Investment_Strategy_Sub2&amp;"_"&amp;$A664,'Investment Strategies'!$C:$P,12,FALSE),
IF(AND(Investment_Strategy="Lifecycle",Investment_Strategy_Sub1="Standard"),VLOOKUP(Investment_Strategy&amp;"_"&amp;Investment_Strategy_Sub2&amp;"_"&amp;$A664,'Investment Strategies'!$AJ:$AV,11,FALSE),
IF(AND(Investment_Strategy="Autopilot",Investment_Strategy_Sub1="Non-Standard"),VLOOKUP(Investment_Strategy&amp;"_"&amp;Investment_Strategy_Sub2&amp;"_"&amp;$A664,'Investment Strategies'!$T:$AF,11,FALSE),
IF(Investment_Strategy="DIY",DIY_GteeChrge_SP,
"Error"))))))</f>
        <v>0</v>
      </c>
      <c r="N664" s="33">
        <f>IF($AV664=0,0,
IF(Investment_Strategy="DIS",VLOOKUP(Investment_Strategy&amp;"_"&amp;Investment_Strategy_Sub1&amp;"_"&amp;$A664,'Investment Strategies'!$AZ:$BP,17,FALSE),
IF(AND(Investment_Strategy="Lifecycle",Investment_Strategy_Sub1="Non-Standard"),VLOOKUP(Investment_Strategy&amp;"_"&amp;Investment_Strategy_Sub2&amp;"_"&amp;$A664,'Investment Strategies'!$C:$P,14,FALSE),
IF(AND(Investment_Strategy="Lifecycle",Investment_Strategy_Sub1="Standard"),VLOOKUP(Investment_Strategy&amp;"_"&amp;Investment_Strategy_Sub2&amp;"_"&amp;$A664,'Investment Strategies'!$AJ:$AV,13,FALSE),
IF(AND(Investment_Strategy="Autopilot",Investment_Strategy_Sub1="Non-Standard"),VLOOKUP(Investment_Strategy&amp;"_"&amp;Investment_Strategy_Sub2&amp;"_"&amp;$A664,'Investment Strategies'!$T:$AF,13,FALSE),
IF(Investment_Strategy="DIY",DIY_ExtManChrge_SP,
"Error"))))))</f>
        <v>0</v>
      </c>
      <c r="O664" s="16">
        <f t="shared" si="372"/>
        <v>0</v>
      </c>
      <c r="Q664" s="16">
        <f t="shared" si="349"/>
        <v>0</v>
      </c>
      <c r="R664" s="16">
        <f t="shared" si="380"/>
        <v>0</v>
      </c>
      <c r="S664" s="16">
        <f>(SRP_SP+SUM(S$91:S663))*L664*IF(D664=$A$91,SRP_finalmonthfactor,1)</f>
        <v>0</v>
      </c>
      <c r="T664" s="74">
        <f>MIN(IF($AV664=0,0,
IF(Investment_Strategy="DIS",VLOOKUP(Investment_Strategy&amp;"_"&amp;Investment_Strategy_Sub1&amp;"_"&amp;$A664,'Investment Strategies'!$AZ:$BP,12,FALSE),
IF(AND(Investment_Strategy="Lifecycle",Investment_Strategy_Sub1="Non-Standard"),VLOOKUP(Investment_Strategy&amp;"_"&amp;Investment_Strategy_Sub2&amp;"_"&amp;$A664,'Investment Strategies'!$C:$P,9,FALSE),
IF(AND(Investment_Strategy="Lifecycle",Investment_Strategy_Sub1="Standard"),VLOOKUP(Investment_Strategy&amp;"_"&amp;Investment_Strategy_Sub2&amp;"_"&amp;$A664,'Investment Strategies'!$AJ:$AV,8,FALSE),
IF(AND(Investment_Strategy="Autopilot",Investment_Strategy_Sub1="Non-Standard"),VLOOKUP(Investment_Strategy&amp;"_"&amp;Investment_Strategy_Sub2&amp;"_"&amp;$A664,'Investment Strategies'!$T:$AF,8,FALSE),
IF(Investment_Strategy ="DIY",DIY_RateOfReturn_FuturePremiums,
"Error")))))),Max_InvReturn)</f>
        <v>0</v>
      </c>
      <c r="U664" s="62">
        <f>IF($AV664=0,0,
IF(Investment_Strategy="DIS",VLOOKUP(Investment_Strategy&amp;"_"&amp;Investment_Strategy_Sub1&amp;"_"&amp;$A664,'Investment Strategies'!$AZ:$BP,15,FALSE),
IF(AND(Investment_Strategy="Lifecycle",Investment_Strategy_Sub1="Non-Standard"),VLOOKUP(Investment_Strategy&amp;"_"&amp;Investment_Strategy_Sub2&amp;"_"&amp;$A664,'Investment Strategies'!$C:$P,12,FALSE),
IF(AND(Investment_Strategy="Lifecycle",Investment_Strategy_Sub1="Standard"),VLOOKUP(Investment_Strategy&amp;"_"&amp;Investment_Strategy_Sub2&amp;"_"&amp;$A664,'Investment Strategies'!$AJ:$AV,11,FALSE),
IF(AND(Investment_Strategy="Autopilot",Investment_Strategy_Sub1="Non-Standard"),VLOOKUP(Investment_Strategy&amp;"_"&amp;Investment_Strategy_Sub2&amp;"_"&amp;$A664,'Investment Strategies'!$T:$AF,11,FALSE),
IF(Investment_Strategy="DIY",DIY_GteeChrge_FuturePremiums,
"Error"))))))</f>
        <v>0</v>
      </c>
      <c r="V664" s="33">
        <f>IF(AV664=0,0,
IF(Investment_Strategy="DIS",VLOOKUP(Investment_Strategy&amp;"_"&amp;Investment_Strategy_Sub1&amp;"_"&amp;$A664,'Investment Strategies'!$AZ:$BP,17,FALSE),
IF(AND(Investment_Strategy="Lifecycle",Investment_Strategy_Sub1="Non-Standard"),VLOOKUP(Investment_Strategy&amp;"_"&amp;Investment_Strategy_Sub2&amp;"_"&amp;$A664,'Investment Strategies'!$C:$P,14,FALSE),
IF(AND(Investment_Strategy="Lifecycle",Investment_Strategy_Sub1="Standard"),VLOOKUP(Investment_Strategy&amp;"_"&amp;Investment_Strategy_Sub2&amp;"_"&amp;$A664,'Investment Strategies'!$AJ:$AV,13,FALSE),
IF(AND(Investment_Strategy="Autopilot",Investment_Strategy_Sub1="Non-Standard"),VLOOKUP(Investment_Strategy&amp;"_"&amp;Investment_Strategy_Sub2&amp;"_"&amp;$A664,'Investment Strategies'!$T:$AF,13,FALSE),
IF(Investment_Strategy="DIY",DIY_ExtManChrge_FuturePremiums,
"Error"))))))</f>
        <v>0</v>
      </c>
      <c r="W664" s="16">
        <f t="shared" si="373"/>
        <v>0</v>
      </c>
      <c r="X664" s="16">
        <f t="shared" si="350"/>
        <v>0</v>
      </c>
      <c r="Y664" s="16">
        <f t="shared" si="351"/>
        <v>0</v>
      </c>
      <c r="Z664" s="31">
        <f t="shared" si="352"/>
        <v>0.02</v>
      </c>
      <c r="AA664" s="16">
        <f t="shared" si="353"/>
        <v>0</v>
      </c>
      <c r="AB664" s="28">
        <f t="shared" si="374"/>
        <v>0</v>
      </c>
      <c r="AC664" s="28">
        <f>(SUM($AC$91:AC663)+SUM($X$91:X663)+X664)*T664*IF(D664=$A$91,SRP_finalmonthfactor,1)</f>
        <v>0</v>
      </c>
      <c r="AD664" s="16">
        <f t="shared" si="354"/>
        <v>0</v>
      </c>
      <c r="AE664" s="106"/>
      <c r="AF664" s="16">
        <f t="shared" si="362"/>
        <v>0</v>
      </c>
      <c r="AG664" s="16">
        <f t="shared" si="363"/>
        <v>0</v>
      </c>
      <c r="AH664" s="16">
        <f t="shared" si="364"/>
        <v>0</v>
      </c>
      <c r="AJ664" s="13">
        <f t="shared" si="381"/>
        <v>0</v>
      </c>
      <c r="AK664" s="13">
        <f t="shared" si="381"/>
        <v>0</v>
      </c>
      <c r="AL664" s="13">
        <f t="shared" si="381"/>
        <v>0</v>
      </c>
      <c r="AM664" s="13">
        <f t="shared" si="381"/>
        <v>0</v>
      </c>
      <c r="AN664" s="13">
        <f t="shared" si="381"/>
        <v>0</v>
      </c>
      <c r="AO664" s="13">
        <f t="shared" si="381"/>
        <v>1</v>
      </c>
      <c r="AP664" s="13">
        <f t="shared" si="381"/>
        <v>1</v>
      </c>
      <c r="AQ664" s="13">
        <f t="shared" si="381"/>
        <v>1</v>
      </c>
      <c r="AR664" s="13">
        <f t="shared" si="381"/>
        <v>0</v>
      </c>
      <c r="AS664" s="13">
        <f t="shared" si="381"/>
        <v>0</v>
      </c>
      <c r="AT664" s="13">
        <f t="shared" si="381"/>
        <v>0</v>
      </c>
      <c r="AU664" s="13">
        <f t="shared" si="381"/>
        <v>0</v>
      </c>
      <c r="AV664" s="13">
        <f t="shared" si="355"/>
        <v>0</v>
      </c>
      <c r="AW664" s="13">
        <f t="shared" si="356"/>
        <v>1</v>
      </c>
      <c r="AY664" s="17">
        <f t="shared" si="357"/>
        <v>574</v>
      </c>
      <c r="AZ664" s="28">
        <f t="shared" si="365"/>
        <v>0</v>
      </c>
      <c r="BA664" s="13">
        <f t="shared" si="358"/>
        <v>0</v>
      </c>
      <c r="BB664" s="13">
        <f t="shared" si="359"/>
        <v>0</v>
      </c>
      <c r="BC664" s="28">
        <f t="shared" si="366"/>
        <v>0</v>
      </c>
      <c r="BD664" s="28">
        <f t="shared" si="367"/>
        <v>0</v>
      </c>
      <c r="BF664" s="248">
        <f t="shared" si="368"/>
        <v>993869.29442638322</v>
      </c>
    </row>
    <row r="665" spans="1:58">
      <c r="A665" s="32">
        <f t="shared" si="369"/>
        <v>-490</v>
      </c>
      <c r="B665" s="32">
        <f t="shared" si="360"/>
        <v>100</v>
      </c>
      <c r="C665" s="32">
        <f t="shared" si="370"/>
        <v>48</v>
      </c>
      <c r="D665" s="32">
        <f t="shared" si="371"/>
        <v>575</v>
      </c>
      <c r="E665" s="74">
        <f>MIN(IF(AV665=0,0,
IF(Investment_Strategy="DIS",VLOOKUP(Investment_Strategy&amp;"_"&amp;Investment_Strategy_Sub1&amp;"_"&amp;$A665,'Investment Strategies'!$AZ:$BP,12,FALSE),
IF(AND(Investment_Strategy="Lifecycle",Investment_Strategy_Sub1="Non-Standard"),VLOOKUP(Investment_Strategy&amp;"_"&amp;Investment_Strategy_Sub2&amp;"_"&amp;$A665,'Investment Strategies'!$C:$P,9,FALSE),
IF(AND(Investment_Strategy="Lifecycle",Investment_Strategy_Sub1="Standard"),VLOOKUP(Investment_Strategy&amp;"_"&amp;Investment_Strategy_Sub2&amp;"_"&amp;$A665,'Investment Strategies'!$AJ:$AV,8,FALSE),
IF(AND(Investment_Strategy="Autopilot",Investment_Strategy_Sub1="Non-Standard"),VLOOKUP(Investment_Strategy&amp;"_"&amp;Investment_Strategy_Sub2&amp;"_"&amp;$A665,'Investment Strategies'!$T:$AF,8,FALSE),
IF(Investment_Strategy ="DIY",DIY_RateOfReturn_CurrentFunds,
"Error")))))),Max_InvReturn)</f>
        <v>0</v>
      </c>
      <c r="F665" s="62">
        <f>IF(AV665=0,0,
IF(Investment_Strategy="DIS",VLOOKUP(Investment_Strategy&amp;"_"&amp;Investment_Strategy_Sub1&amp;"_"&amp;$A665,'Investment Strategies'!$AZ:$BP,15,FALSE),
IF(AND(Investment_Strategy="Lifecycle",Investment_Strategy_Sub1="Non-Standard"),VLOOKUP(Investment_Strategy&amp;"_"&amp;Investment_Strategy_Sub2&amp;"_"&amp;$A665,'Investment Strategies'!$C:$P,12,FALSE),
IF(AND(Investment_Strategy="Lifecycle",Investment_Strategy_Sub1="Standard"),VLOOKUP(Investment_Strategy&amp;"_"&amp;Investment_Strategy_Sub2&amp;"_"&amp;$A665,'Investment Strategies'!$AJ:$AV,11,FALSE),
IF(AND(Investment_Strategy="Autopilot",Investment_Strategy_Sub1="Non-Standard"),VLOOKUP(Investment_Strategy&amp;"_"&amp;Investment_Strategy_Sub2&amp;"_"&amp;$A665,'Investment Strategies'!$T:$AF,11,FALSE),
IF(Investment_Strategy="DIY",DIY_GteeChrge_CurrentFunds,
"Error"))))))</f>
        <v>0</v>
      </c>
      <c r="G665" s="33">
        <f>IF(AV665=0,0,
IF(Investment_Strategy="DIS",VLOOKUP(Investment_Strategy&amp;"_"&amp;Investment_Strategy_Sub1&amp;"_"&amp;$A665,'Investment Strategies'!$AZ:$BP,17,FALSE),
IF(AND(Investment_Strategy="Lifecycle",Investment_Strategy_Sub1="Non-Standard"),VLOOKUP(Investment_Strategy&amp;"_"&amp;Investment_Strategy_Sub2&amp;"_"&amp;$A665,'Investment Strategies'!$C:$P,14,FALSE),
IF(AND(Investment_Strategy="Lifecycle",Investment_Strategy_Sub1="Standard"),VLOOKUP(Investment_Strategy&amp;"_"&amp;Investment_Strategy_Sub2&amp;"_"&amp;$A665,'Investment Strategies'!$AJ:$AV,13,FALSE),
IF(AND(Investment_Strategy="Autopilot",Investment_Strategy_Sub1="Non-Standard"),VLOOKUP(Investment_Strategy&amp;"_"&amp;Investment_Strategy_Sub2&amp;"_"&amp;$A665,'Investment Strategies'!$T:$AF,13,FALSE),
IF(Investment_Strategy="DIY",DIY_ExtManChrge_CurrentFunds,
"Error"))))))</f>
        <v>0</v>
      </c>
      <c r="H665" s="16">
        <f t="shared" si="361"/>
        <v>0</v>
      </c>
      <c r="I665" s="16">
        <f t="shared" si="347"/>
        <v>0</v>
      </c>
      <c r="J665" s="16">
        <f t="shared" si="348"/>
        <v>0</v>
      </c>
      <c r="K665" s="16">
        <f>(Opening_Fund_Value+SUM(K$91:K664))*E665*IF(D665=$A$91,SRP_finalmonthfactor,1)</f>
        <v>0</v>
      </c>
      <c r="L665" s="74">
        <f>MIN(IF($AV665=0,0,
IF(Investment_Strategy="DIS",VLOOKUP(Investment_Strategy&amp;"_"&amp;Investment_Strategy_Sub1&amp;"_"&amp;$A665,'Investment Strategies'!$AZ:$BP,12,FALSE),
IF(AND(Investment_Strategy="Lifecycle",Investment_Strategy_Sub1="Non-Standard"),VLOOKUP(Investment_Strategy&amp;"_"&amp;Investment_Strategy_Sub2&amp;"_"&amp;$A665,'Investment Strategies'!$C:$P,9,FALSE),
IF(AND(Investment_Strategy="Lifecycle",Investment_Strategy_Sub1="Standard"),VLOOKUP(Investment_Strategy&amp;"_"&amp;Investment_Strategy_Sub2&amp;"_"&amp;$A665,'Investment Strategies'!$AJ:$AV,8,FALSE),
IF(AND(Investment_Strategy="Autopilot",Investment_Strategy_Sub1="Non-Standard"),VLOOKUP(Investment_Strategy&amp;"_"&amp;Investment_Strategy_Sub2&amp;"_"&amp;$A665,'Investment Strategies'!$T:$AF,8,FALSE),
IF(Investment_Strategy ="DIY",DIY_RateofReturn_SP,
"Error")))))),Max_InvReturn)</f>
        <v>0</v>
      </c>
      <c r="M665" s="62">
        <f>IF($AV665=0,0,
IF(Investment_Strategy="DIS",VLOOKUP(Investment_Strategy&amp;"_"&amp;Investment_Strategy_Sub1&amp;"_"&amp;$A665,'Investment Strategies'!$AZ:$BP,15,FALSE),
IF(AND(Investment_Strategy="Lifecycle",Investment_Strategy_Sub1="Non-Standard"),VLOOKUP(Investment_Strategy&amp;"_"&amp;Investment_Strategy_Sub2&amp;"_"&amp;$A665,'Investment Strategies'!$C:$P,12,FALSE),
IF(AND(Investment_Strategy="Lifecycle",Investment_Strategy_Sub1="Standard"),VLOOKUP(Investment_Strategy&amp;"_"&amp;Investment_Strategy_Sub2&amp;"_"&amp;$A665,'Investment Strategies'!$AJ:$AV,11,FALSE),
IF(AND(Investment_Strategy="Autopilot",Investment_Strategy_Sub1="Non-Standard"),VLOOKUP(Investment_Strategy&amp;"_"&amp;Investment_Strategy_Sub2&amp;"_"&amp;$A665,'Investment Strategies'!$T:$AF,11,FALSE),
IF(Investment_Strategy="DIY",DIY_GteeChrge_SP,
"Error"))))))</f>
        <v>0</v>
      </c>
      <c r="N665" s="33">
        <f>IF($AV665=0,0,
IF(Investment_Strategy="DIS",VLOOKUP(Investment_Strategy&amp;"_"&amp;Investment_Strategy_Sub1&amp;"_"&amp;$A665,'Investment Strategies'!$AZ:$BP,17,FALSE),
IF(AND(Investment_Strategy="Lifecycle",Investment_Strategy_Sub1="Non-Standard"),VLOOKUP(Investment_Strategy&amp;"_"&amp;Investment_Strategy_Sub2&amp;"_"&amp;$A665,'Investment Strategies'!$C:$P,14,FALSE),
IF(AND(Investment_Strategy="Lifecycle",Investment_Strategy_Sub1="Standard"),VLOOKUP(Investment_Strategy&amp;"_"&amp;Investment_Strategy_Sub2&amp;"_"&amp;$A665,'Investment Strategies'!$AJ:$AV,13,FALSE),
IF(AND(Investment_Strategy="Autopilot",Investment_Strategy_Sub1="Non-Standard"),VLOOKUP(Investment_Strategy&amp;"_"&amp;Investment_Strategy_Sub2&amp;"_"&amp;$A665,'Investment Strategies'!$T:$AF,13,FALSE),
IF(Investment_Strategy="DIY",DIY_ExtManChrge_SP,
"Error"))))))</f>
        <v>0</v>
      </c>
      <c r="O665" s="16">
        <f t="shared" si="372"/>
        <v>0</v>
      </c>
      <c r="Q665" s="16">
        <f t="shared" si="349"/>
        <v>0</v>
      </c>
      <c r="R665" s="16">
        <f t="shared" si="380"/>
        <v>0</v>
      </c>
      <c r="S665" s="16">
        <f>(SRP_SP+SUM(S$91:S664))*L665*IF(D665=$A$91,SRP_finalmonthfactor,1)</f>
        <v>0</v>
      </c>
      <c r="T665" s="74">
        <f>MIN(IF($AV665=0,0,
IF(Investment_Strategy="DIS",VLOOKUP(Investment_Strategy&amp;"_"&amp;Investment_Strategy_Sub1&amp;"_"&amp;$A665,'Investment Strategies'!$AZ:$BP,12,FALSE),
IF(AND(Investment_Strategy="Lifecycle",Investment_Strategy_Sub1="Non-Standard"),VLOOKUP(Investment_Strategy&amp;"_"&amp;Investment_Strategy_Sub2&amp;"_"&amp;$A665,'Investment Strategies'!$C:$P,9,FALSE),
IF(AND(Investment_Strategy="Lifecycle",Investment_Strategy_Sub1="Standard"),VLOOKUP(Investment_Strategy&amp;"_"&amp;Investment_Strategy_Sub2&amp;"_"&amp;$A665,'Investment Strategies'!$AJ:$AV,8,FALSE),
IF(AND(Investment_Strategy="Autopilot",Investment_Strategy_Sub1="Non-Standard"),VLOOKUP(Investment_Strategy&amp;"_"&amp;Investment_Strategy_Sub2&amp;"_"&amp;$A665,'Investment Strategies'!$T:$AF,8,FALSE),
IF(Investment_Strategy ="DIY",DIY_RateOfReturn_FuturePremiums,
"Error")))))),Max_InvReturn)</f>
        <v>0</v>
      </c>
      <c r="U665" s="62">
        <f>IF($AV665=0,0,
IF(Investment_Strategy="DIS",VLOOKUP(Investment_Strategy&amp;"_"&amp;Investment_Strategy_Sub1&amp;"_"&amp;$A665,'Investment Strategies'!$AZ:$BP,15,FALSE),
IF(AND(Investment_Strategy="Lifecycle",Investment_Strategy_Sub1="Non-Standard"),VLOOKUP(Investment_Strategy&amp;"_"&amp;Investment_Strategy_Sub2&amp;"_"&amp;$A665,'Investment Strategies'!$C:$P,12,FALSE),
IF(AND(Investment_Strategy="Lifecycle",Investment_Strategy_Sub1="Standard"),VLOOKUP(Investment_Strategy&amp;"_"&amp;Investment_Strategy_Sub2&amp;"_"&amp;$A665,'Investment Strategies'!$AJ:$AV,11,FALSE),
IF(AND(Investment_Strategy="Autopilot",Investment_Strategy_Sub1="Non-Standard"),VLOOKUP(Investment_Strategy&amp;"_"&amp;Investment_Strategy_Sub2&amp;"_"&amp;$A665,'Investment Strategies'!$T:$AF,11,FALSE),
IF(Investment_Strategy="DIY",DIY_GteeChrge_FuturePremiums,
"Error"))))))</f>
        <v>0</v>
      </c>
      <c r="V665" s="33">
        <f>IF(AV665=0,0,
IF(Investment_Strategy="DIS",VLOOKUP(Investment_Strategy&amp;"_"&amp;Investment_Strategy_Sub1&amp;"_"&amp;$A665,'Investment Strategies'!$AZ:$BP,17,FALSE),
IF(AND(Investment_Strategy="Lifecycle",Investment_Strategy_Sub1="Non-Standard"),VLOOKUP(Investment_Strategy&amp;"_"&amp;Investment_Strategy_Sub2&amp;"_"&amp;$A665,'Investment Strategies'!$C:$P,14,FALSE),
IF(AND(Investment_Strategy="Lifecycle",Investment_Strategy_Sub1="Standard"),VLOOKUP(Investment_Strategy&amp;"_"&amp;Investment_Strategy_Sub2&amp;"_"&amp;$A665,'Investment Strategies'!$AJ:$AV,13,FALSE),
IF(AND(Investment_Strategy="Autopilot",Investment_Strategy_Sub1="Non-Standard"),VLOOKUP(Investment_Strategy&amp;"_"&amp;Investment_Strategy_Sub2&amp;"_"&amp;$A665,'Investment Strategies'!$T:$AF,13,FALSE),
IF(Investment_Strategy="DIY",DIY_ExtManChrge_FuturePremiums,
"Error"))))))</f>
        <v>0</v>
      </c>
      <c r="W665" s="16">
        <f t="shared" si="373"/>
        <v>0</v>
      </c>
      <c r="X665" s="16">
        <f t="shared" si="350"/>
        <v>0</v>
      </c>
      <c r="Y665" s="16">
        <f t="shared" si="351"/>
        <v>0</v>
      </c>
      <c r="Z665" s="31">
        <f t="shared" si="352"/>
        <v>0.02</v>
      </c>
      <c r="AA665" s="16">
        <f t="shared" si="353"/>
        <v>0</v>
      </c>
      <c r="AB665" s="28">
        <f t="shared" si="374"/>
        <v>0</v>
      </c>
      <c r="AC665" s="28">
        <f>(SUM($AC$91:AC664)+SUM($X$91:X664)+X665)*T665*IF(D665=$A$91,SRP_finalmonthfactor,1)</f>
        <v>0</v>
      </c>
      <c r="AD665" s="16">
        <f t="shared" si="354"/>
        <v>0</v>
      </c>
      <c r="AE665" s="106"/>
      <c r="AF665" s="16">
        <f t="shared" si="362"/>
        <v>0</v>
      </c>
      <c r="AG665" s="16">
        <f t="shared" si="363"/>
        <v>0</v>
      </c>
      <c r="AH665" s="16">
        <f t="shared" si="364"/>
        <v>0</v>
      </c>
      <c r="AJ665" s="13">
        <f t="shared" si="381"/>
        <v>0</v>
      </c>
      <c r="AK665" s="13">
        <f t="shared" si="381"/>
        <v>0</v>
      </c>
      <c r="AL665" s="13">
        <f t="shared" si="381"/>
        <v>0</v>
      </c>
      <c r="AM665" s="13">
        <f t="shared" si="381"/>
        <v>0</v>
      </c>
      <c r="AN665" s="13">
        <f t="shared" si="381"/>
        <v>0</v>
      </c>
      <c r="AO665" s="13">
        <f t="shared" si="381"/>
        <v>1</v>
      </c>
      <c r="AP665" s="13">
        <f t="shared" si="381"/>
        <v>1</v>
      </c>
      <c r="AQ665" s="13">
        <f t="shared" si="381"/>
        <v>1</v>
      </c>
      <c r="AR665" s="13">
        <f t="shared" si="381"/>
        <v>0</v>
      </c>
      <c r="AS665" s="13">
        <f t="shared" si="381"/>
        <v>0</v>
      </c>
      <c r="AT665" s="13">
        <f t="shared" si="381"/>
        <v>0</v>
      </c>
      <c r="AU665" s="13">
        <f t="shared" si="381"/>
        <v>0</v>
      </c>
      <c r="AV665" s="13">
        <f t="shared" si="355"/>
        <v>0</v>
      </c>
      <c r="AW665" s="13">
        <f t="shared" si="356"/>
        <v>1</v>
      </c>
      <c r="AY665" s="17">
        <f t="shared" si="357"/>
        <v>575</v>
      </c>
      <c r="AZ665" s="28">
        <f t="shared" si="365"/>
        <v>0</v>
      </c>
      <c r="BA665" s="13">
        <f t="shared" si="358"/>
        <v>0</v>
      </c>
      <c r="BB665" s="13">
        <f t="shared" si="359"/>
        <v>0</v>
      </c>
      <c r="BC665" s="28">
        <f t="shared" si="366"/>
        <v>0</v>
      </c>
      <c r="BD665" s="28">
        <f t="shared" si="367"/>
        <v>0</v>
      </c>
      <c r="BF665" s="248">
        <f t="shared" si="368"/>
        <v>993869.29442638322</v>
      </c>
    </row>
    <row r="666" spans="1:58">
      <c r="A666" s="32">
        <f t="shared" si="369"/>
        <v>-491</v>
      </c>
      <c r="B666" s="32">
        <f t="shared" si="360"/>
        <v>100</v>
      </c>
      <c r="C666" s="32">
        <f t="shared" si="370"/>
        <v>48</v>
      </c>
      <c r="D666" s="32">
        <f t="shared" si="371"/>
        <v>576</v>
      </c>
      <c r="E666" s="74">
        <f>MIN(IF(AV666=0,0,
IF(Investment_Strategy="DIS",VLOOKUP(Investment_Strategy&amp;"_"&amp;Investment_Strategy_Sub1&amp;"_"&amp;$A666,'Investment Strategies'!$AZ:$BP,12,FALSE),
IF(AND(Investment_Strategy="Lifecycle",Investment_Strategy_Sub1="Non-Standard"),VLOOKUP(Investment_Strategy&amp;"_"&amp;Investment_Strategy_Sub2&amp;"_"&amp;$A666,'Investment Strategies'!$C:$P,9,FALSE),
IF(AND(Investment_Strategy="Lifecycle",Investment_Strategy_Sub1="Standard"),VLOOKUP(Investment_Strategy&amp;"_"&amp;Investment_Strategy_Sub2&amp;"_"&amp;$A666,'Investment Strategies'!$AJ:$AV,8,FALSE),
IF(AND(Investment_Strategy="Autopilot",Investment_Strategy_Sub1="Non-Standard"),VLOOKUP(Investment_Strategy&amp;"_"&amp;Investment_Strategy_Sub2&amp;"_"&amp;$A666,'Investment Strategies'!$T:$AF,8,FALSE),
IF(Investment_Strategy ="DIY",DIY_RateOfReturn_CurrentFunds,
"Error")))))),Max_InvReturn)</f>
        <v>0</v>
      </c>
      <c r="F666" s="62">
        <f>IF(AV666=0,0,
IF(Investment_Strategy="DIS",VLOOKUP(Investment_Strategy&amp;"_"&amp;Investment_Strategy_Sub1&amp;"_"&amp;$A666,'Investment Strategies'!$AZ:$BP,15,FALSE),
IF(AND(Investment_Strategy="Lifecycle",Investment_Strategy_Sub1="Non-Standard"),VLOOKUP(Investment_Strategy&amp;"_"&amp;Investment_Strategy_Sub2&amp;"_"&amp;$A666,'Investment Strategies'!$C:$P,12,FALSE),
IF(AND(Investment_Strategy="Lifecycle",Investment_Strategy_Sub1="Standard"),VLOOKUP(Investment_Strategy&amp;"_"&amp;Investment_Strategy_Sub2&amp;"_"&amp;$A666,'Investment Strategies'!$AJ:$AV,11,FALSE),
IF(AND(Investment_Strategy="Autopilot",Investment_Strategy_Sub1="Non-Standard"),VLOOKUP(Investment_Strategy&amp;"_"&amp;Investment_Strategy_Sub2&amp;"_"&amp;$A666,'Investment Strategies'!$T:$AF,11,FALSE),
IF(Investment_Strategy="DIY",DIY_GteeChrge_CurrentFunds,
"Error"))))))</f>
        <v>0</v>
      </c>
      <c r="G666" s="33">
        <f>IF(AV666=0,0,
IF(Investment_Strategy="DIS",VLOOKUP(Investment_Strategy&amp;"_"&amp;Investment_Strategy_Sub1&amp;"_"&amp;$A666,'Investment Strategies'!$AZ:$BP,17,FALSE),
IF(AND(Investment_Strategy="Lifecycle",Investment_Strategy_Sub1="Non-Standard"),VLOOKUP(Investment_Strategy&amp;"_"&amp;Investment_Strategy_Sub2&amp;"_"&amp;$A666,'Investment Strategies'!$C:$P,14,FALSE),
IF(AND(Investment_Strategy="Lifecycle",Investment_Strategy_Sub1="Standard"),VLOOKUP(Investment_Strategy&amp;"_"&amp;Investment_Strategy_Sub2&amp;"_"&amp;$A666,'Investment Strategies'!$AJ:$AV,13,FALSE),
IF(AND(Investment_Strategy="Autopilot",Investment_Strategy_Sub1="Non-Standard"),VLOOKUP(Investment_Strategy&amp;"_"&amp;Investment_Strategy_Sub2&amp;"_"&amp;$A666,'Investment Strategies'!$T:$AF,13,FALSE),
IF(Investment_Strategy="DIY",DIY_ExtManChrge_CurrentFunds,
"Error"))))))</f>
        <v>0</v>
      </c>
      <c r="H666" s="16">
        <f t="shared" si="361"/>
        <v>0</v>
      </c>
      <c r="I666" s="16">
        <f t="shared" si="347"/>
        <v>0</v>
      </c>
      <c r="J666" s="16">
        <f t="shared" si="348"/>
        <v>0</v>
      </c>
      <c r="K666" s="16">
        <f>(Opening_Fund_Value+SUM(K$91:K665))*E666*IF(D666=$A$91,SRP_finalmonthfactor,1)</f>
        <v>0</v>
      </c>
      <c r="L666" s="74">
        <f>MIN(IF($AV666=0,0,
IF(Investment_Strategy="DIS",VLOOKUP(Investment_Strategy&amp;"_"&amp;Investment_Strategy_Sub1&amp;"_"&amp;$A666,'Investment Strategies'!$AZ:$BP,12,FALSE),
IF(AND(Investment_Strategy="Lifecycle",Investment_Strategy_Sub1="Non-Standard"),VLOOKUP(Investment_Strategy&amp;"_"&amp;Investment_Strategy_Sub2&amp;"_"&amp;$A666,'Investment Strategies'!$C:$P,9,FALSE),
IF(AND(Investment_Strategy="Lifecycle",Investment_Strategy_Sub1="Standard"),VLOOKUP(Investment_Strategy&amp;"_"&amp;Investment_Strategy_Sub2&amp;"_"&amp;$A666,'Investment Strategies'!$AJ:$AV,8,FALSE),
IF(AND(Investment_Strategy="Autopilot",Investment_Strategy_Sub1="Non-Standard"),VLOOKUP(Investment_Strategy&amp;"_"&amp;Investment_Strategy_Sub2&amp;"_"&amp;$A666,'Investment Strategies'!$T:$AF,8,FALSE),
IF(Investment_Strategy ="DIY",DIY_RateofReturn_SP,
"Error")))))),Max_InvReturn)</f>
        <v>0</v>
      </c>
      <c r="M666" s="62">
        <f>IF($AV666=0,0,
IF(Investment_Strategy="DIS",VLOOKUP(Investment_Strategy&amp;"_"&amp;Investment_Strategy_Sub1&amp;"_"&amp;$A666,'Investment Strategies'!$AZ:$BP,15,FALSE),
IF(AND(Investment_Strategy="Lifecycle",Investment_Strategy_Sub1="Non-Standard"),VLOOKUP(Investment_Strategy&amp;"_"&amp;Investment_Strategy_Sub2&amp;"_"&amp;$A666,'Investment Strategies'!$C:$P,12,FALSE),
IF(AND(Investment_Strategy="Lifecycle",Investment_Strategy_Sub1="Standard"),VLOOKUP(Investment_Strategy&amp;"_"&amp;Investment_Strategy_Sub2&amp;"_"&amp;$A666,'Investment Strategies'!$AJ:$AV,11,FALSE),
IF(AND(Investment_Strategy="Autopilot",Investment_Strategy_Sub1="Non-Standard"),VLOOKUP(Investment_Strategy&amp;"_"&amp;Investment_Strategy_Sub2&amp;"_"&amp;$A666,'Investment Strategies'!$T:$AF,11,FALSE),
IF(Investment_Strategy="DIY",DIY_GteeChrge_SP,
"Error"))))))</f>
        <v>0</v>
      </c>
      <c r="N666" s="33">
        <f>IF($AV666=0,0,
IF(Investment_Strategy="DIS",VLOOKUP(Investment_Strategy&amp;"_"&amp;Investment_Strategy_Sub1&amp;"_"&amp;$A666,'Investment Strategies'!$AZ:$BP,17,FALSE),
IF(AND(Investment_Strategy="Lifecycle",Investment_Strategy_Sub1="Non-Standard"),VLOOKUP(Investment_Strategy&amp;"_"&amp;Investment_Strategy_Sub2&amp;"_"&amp;$A666,'Investment Strategies'!$C:$P,14,FALSE),
IF(AND(Investment_Strategy="Lifecycle",Investment_Strategy_Sub1="Standard"),VLOOKUP(Investment_Strategy&amp;"_"&amp;Investment_Strategy_Sub2&amp;"_"&amp;$A666,'Investment Strategies'!$AJ:$AV,13,FALSE),
IF(AND(Investment_Strategy="Autopilot",Investment_Strategy_Sub1="Non-Standard"),VLOOKUP(Investment_Strategy&amp;"_"&amp;Investment_Strategy_Sub2&amp;"_"&amp;$A666,'Investment Strategies'!$T:$AF,13,FALSE),
IF(Investment_Strategy="DIY",DIY_ExtManChrge_SP,
"Error"))))))</f>
        <v>0</v>
      </c>
      <c r="O666" s="16">
        <f t="shared" si="372"/>
        <v>0</v>
      </c>
      <c r="Q666" s="16">
        <f t="shared" si="349"/>
        <v>0</v>
      </c>
      <c r="R666" s="16">
        <f t="shared" si="380"/>
        <v>0</v>
      </c>
      <c r="S666" s="16">
        <f>(SRP_SP+SUM(S$91:S665))*L666*IF(D666=$A$91,SRP_finalmonthfactor,1)</f>
        <v>0</v>
      </c>
      <c r="T666" s="74">
        <f>MIN(IF($AV666=0,0,
IF(Investment_Strategy="DIS",VLOOKUP(Investment_Strategy&amp;"_"&amp;Investment_Strategy_Sub1&amp;"_"&amp;$A666,'Investment Strategies'!$AZ:$BP,12,FALSE),
IF(AND(Investment_Strategy="Lifecycle",Investment_Strategy_Sub1="Non-Standard"),VLOOKUP(Investment_Strategy&amp;"_"&amp;Investment_Strategy_Sub2&amp;"_"&amp;$A666,'Investment Strategies'!$C:$P,9,FALSE),
IF(AND(Investment_Strategy="Lifecycle",Investment_Strategy_Sub1="Standard"),VLOOKUP(Investment_Strategy&amp;"_"&amp;Investment_Strategy_Sub2&amp;"_"&amp;$A666,'Investment Strategies'!$AJ:$AV,8,FALSE),
IF(AND(Investment_Strategy="Autopilot",Investment_Strategy_Sub1="Non-Standard"),VLOOKUP(Investment_Strategy&amp;"_"&amp;Investment_Strategy_Sub2&amp;"_"&amp;$A666,'Investment Strategies'!$T:$AF,8,FALSE),
IF(Investment_Strategy ="DIY",DIY_RateOfReturn_FuturePremiums,
"Error")))))),Max_InvReturn)</f>
        <v>0</v>
      </c>
      <c r="U666" s="62">
        <f>IF($AV666=0,0,
IF(Investment_Strategy="DIS",VLOOKUP(Investment_Strategy&amp;"_"&amp;Investment_Strategy_Sub1&amp;"_"&amp;$A666,'Investment Strategies'!$AZ:$BP,15,FALSE),
IF(AND(Investment_Strategy="Lifecycle",Investment_Strategy_Sub1="Non-Standard"),VLOOKUP(Investment_Strategy&amp;"_"&amp;Investment_Strategy_Sub2&amp;"_"&amp;$A666,'Investment Strategies'!$C:$P,12,FALSE),
IF(AND(Investment_Strategy="Lifecycle",Investment_Strategy_Sub1="Standard"),VLOOKUP(Investment_Strategy&amp;"_"&amp;Investment_Strategy_Sub2&amp;"_"&amp;$A666,'Investment Strategies'!$AJ:$AV,11,FALSE),
IF(AND(Investment_Strategy="Autopilot",Investment_Strategy_Sub1="Non-Standard"),VLOOKUP(Investment_Strategy&amp;"_"&amp;Investment_Strategy_Sub2&amp;"_"&amp;$A666,'Investment Strategies'!$T:$AF,11,FALSE),
IF(Investment_Strategy="DIY",DIY_GteeChrge_FuturePremiums,
"Error"))))))</f>
        <v>0</v>
      </c>
      <c r="V666" s="33">
        <f>IF(AV666=0,0,
IF(Investment_Strategy="DIS",VLOOKUP(Investment_Strategy&amp;"_"&amp;Investment_Strategy_Sub1&amp;"_"&amp;$A666,'Investment Strategies'!$AZ:$BP,17,FALSE),
IF(AND(Investment_Strategy="Lifecycle",Investment_Strategy_Sub1="Non-Standard"),VLOOKUP(Investment_Strategy&amp;"_"&amp;Investment_Strategy_Sub2&amp;"_"&amp;$A666,'Investment Strategies'!$C:$P,14,FALSE),
IF(AND(Investment_Strategy="Lifecycle",Investment_Strategy_Sub1="Standard"),VLOOKUP(Investment_Strategy&amp;"_"&amp;Investment_Strategy_Sub2&amp;"_"&amp;$A666,'Investment Strategies'!$AJ:$AV,13,FALSE),
IF(AND(Investment_Strategy="Autopilot",Investment_Strategy_Sub1="Non-Standard"),VLOOKUP(Investment_Strategy&amp;"_"&amp;Investment_Strategy_Sub2&amp;"_"&amp;$A666,'Investment Strategies'!$T:$AF,13,FALSE),
IF(Investment_Strategy="DIY",DIY_ExtManChrge_FuturePremiums,
"Error"))))))</f>
        <v>0</v>
      </c>
      <c r="W666" s="16">
        <f t="shared" si="373"/>
        <v>0</v>
      </c>
      <c r="X666" s="16">
        <f t="shared" si="350"/>
        <v>0</v>
      </c>
      <c r="Y666" s="16">
        <f t="shared" si="351"/>
        <v>0</v>
      </c>
      <c r="Z666" s="31">
        <f t="shared" si="352"/>
        <v>0.02</v>
      </c>
      <c r="AA666" s="16">
        <f t="shared" si="353"/>
        <v>0</v>
      </c>
      <c r="AB666" s="28">
        <f t="shared" si="374"/>
        <v>0</v>
      </c>
      <c r="AC666" s="28">
        <f>(SUM($AC$91:AC665)+SUM($X$91:X665)+X666)*T666*IF(D666=$A$91,SRP_finalmonthfactor,1)</f>
        <v>0</v>
      </c>
      <c r="AD666" s="16">
        <f t="shared" si="354"/>
        <v>0</v>
      </c>
      <c r="AE666" s="106"/>
      <c r="AF666" s="16">
        <f t="shared" si="362"/>
        <v>0</v>
      </c>
      <c r="AG666" s="16">
        <f t="shared" si="363"/>
        <v>0</v>
      </c>
      <c r="AH666" s="16">
        <f t="shared" si="364"/>
        <v>0</v>
      </c>
      <c r="AJ666" s="13">
        <f t="shared" si="381"/>
        <v>0</v>
      </c>
      <c r="AK666" s="13">
        <f t="shared" si="381"/>
        <v>0</v>
      </c>
      <c r="AL666" s="13">
        <f t="shared" si="381"/>
        <v>0</v>
      </c>
      <c r="AM666" s="13">
        <f t="shared" si="381"/>
        <v>0</v>
      </c>
      <c r="AN666" s="13">
        <f t="shared" si="381"/>
        <v>0</v>
      </c>
      <c r="AO666" s="13">
        <f t="shared" si="381"/>
        <v>1</v>
      </c>
      <c r="AP666" s="13">
        <f t="shared" si="381"/>
        <v>1</v>
      </c>
      <c r="AQ666" s="13">
        <f t="shared" si="381"/>
        <v>1</v>
      </c>
      <c r="AR666" s="13">
        <f t="shared" si="381"/>
        <v>0</v>
      </c>
      <c r="AS666" s="13">
        <f t="shared" si="381"/>
        <v>0</v>
      </c>
      <c r="AT666" s="13">
        <f t="shared" si="381"/>
        <v>0</v>
      </c>
      <c r="AU666" s="13">
        <f t="shared" si="381"/>
        <v>0</v>
      </c>
      <c r="AV666" s="13">
        <f t="shared" si="355"/>
        <v>0</v>
      </c>
      <c r="AW666" s="13">
        <f t="shared" si="356"/>
        <v>1</v>
      </c>
      <c r="AY666" s="17">
        <f t="shared" si="357"/>
        <v>576</v>
      </c>
      <c r="AZ666" s="28">
        <f t="shared" si="365"/>
        <v>0</v>
      </c>
      <c r="BA666" s="13">
        <f t="shared" si="358"/>
        <v>0</v>
      </c>
      <c r="BB666" s="13">
        <f t="shared" si="359"/>
        <v>0</v>
      </c>
      <c r="BC666" s="28">
        <f t="shared" si="366"/>
        <v>0</v>
      </c>
      <c r="BD666" s="28">
        <f t="shared" si="367"/>
        <v>0</v>
      </c>
      <c r="BF666" s="248">
        <f t="shared" si="368"/>
        <v>993869.29442638322</v>
      </c>
    </row>
    <row r="667" spans="1:58">
      <c r="A667" s="32">
        <f t="shared" si="369"/>
        <v>-492</v>
      </c>
      <c r="B667" s="32">
        <f t="shared" si="360"/>
        <v>101</v>
      </c>
      <c r="C667" s="32">
        <f t="shared" si="370"/>
        <v>49</v>
      </c>
      <c r="D667" s="32">
        <f t="shared" si="371"/>
        <v>577</v>
      </c>
      <c r="E667" s="74">
        <f>MIN(IF(AV667=0,0,
IF(Investment_Strategy="DIS",VLOOKUP(Investment_Strategy&amp;"_"&amp;Investment_Strategy_Sub1&amp;"_"&amp;$A667,'Investment Strategies'!$AZ:$BP,12,FALSE),
IF(AND(Investment_Strategy="Lifecycle",Investment_Strategy_Sub1="Non-Standard"),VLOOKUP(Investment_Strategy&amp;"_"&amp;Investment_Strategy_Sub2&amp;"_"&amp;$A667,'Investment Strategies'!$C:$P,9,FALSE),
IF(AND(Investment_Strategy="Lifecycle",Investment_Strategy_Sub1="Standard"),VLOOKUP(Investment_Strategy&amp;"_"&amp;Investment_Strategy_Sub2&amp;"_"&amp;$A667,'Investment Strategies'!$AJ:$AV,8,FALSE),
IF(AND(Investment_Strategy="Autopilot",Investment_Strategy_Sub1="Non-Standard"),VLOOKUP(Investment_Strategy&amp;"_"&amp;Investment_Strategy_Sub2&amp;"_"&amp;$A667,'Investment Strategies'!$T:$AF,8,FALSE),
IF(Investment_Strategy ="DIY",DIY_RateOfReturn_CurrentFunds,
"Error")))))),Max_InvReturn)</f>
        <v>0</v>
      </c>
      <c r="F667" s="62">
        <f>IF(AV667=0,0,
IF(Investment_Strategy="DIS",VLOOKUP(Investment_Strategy&amp;"_"&amp;Investment_Strategy_Sub1&amp;"_"&amp;$A667,'Investment Strategies'!$AZ:$BP,15,FALSE),
IF(AND(Investment_Strategy="Lifecycle",Investment_Strategy_Sub1="Non-Standard"),VLOOKUP(Investment_Strategy&amp;"_"&amp;Investment_Strategy_Sub2&amp;"_"&amp;$A667,'Investment Strategies'!$C:$P,12,FALSE),
IF(AND(Investment_Strategy="Lifecycle",Investment_Strategy_Sub1="Standard"),VLOOKUP(Investment_Strategy&amp;"_"&amp;Investment_Strategy_Sub2&amp;"_"&amp;$A667,'Investment Strategies'!$AJ:$AV,11,FALSE),
IF(AND(Investment_Strategy="Autopilot",Investment_Strategy_Sub1="Non-Standard"),VLOOKUP(Investment_Strategy&amp;"_"&amp;Investment_Strategy_Sub2&amp;"_"&amp;$A667,'Investment Strategies'!$T:$AF,11,FALSE),
IF(Investment_Strategy="DIY",DIY_GteeChrge_CurrentFunds,
"Error"))))))</f>
        <v>0</v>
      </c>
      <c r="G667" s="33">
        <f>IF(AV667=0,0,
IF(Investment_Strategy="DIS",VLOOKUP(Investment_Strategy&amp;"_"&amp;Investment_Strategy_Sub1&amp;"_"&amp;$A667,'Investment Strategies'!$AZ:$BP,17,FALSE),
IF(AND(Investment_Strategy="Lifecycle",Investment_Strategy_Sub1="Non-Standard"),VLOOKUP(Investment_Strategy&amp;"_"&amp;Investment_Strategy_Sub2&amp;"_"&amp;$A667,'Investment Strategies'!$C:$P,14,FALSE),
IF(AND(Investment_Strategy="Lifecycle",Investment_Strategy_Sub1="Standard"),VLOOKUP(Investment_Strategy&amp;"_"&amp;Investment_Strategy_Sub2&amp;"_"&amp;$A667,'Investment Strategies'!$AJ:$AV,13,FALSE),
IF(AND(Investment_Strategy="Autopilot",Investment_Strategy_Sub1="Non-Standard"),VLOOKUP(Investment_Strategy&amp;"_"&amp;Investment_Strategy_Sub2&amp;"_"&amp;$A667,'Investment Strategies'!$T:$AF,13,FALSE),
IF(Investment_Strategy="DIY",DIY_ExtManChrge_CurrentFunds,
"Error"))))))</f>
        <v>0</v>
      </c>
      <c r="H667" s="16">
        <f t="shared" si="361"/>
        <v>0</v>
      </c>
      <c r="I667" s="16">
        <f t="shared" ref="I667:I689" si="382">(H667*E667)*IF(D667=$A$91,SRP_finalmonthfactor,1)</f>
        <v>0</v>
      </c>
      <c r="J667" s="16">
        <f t="shared" ref="J667:J689" si="383">IF($AV667=0,0,
-((H667+I667/2)*(SRP_Monthly_Admin_Chge+F667+G667)*IF(D667=$A$91,SRP_finalmonthfactor,1)))</f>
        <v>0</v>
      </c>
      <c r="K667" s="16">
        <f>(Opening_Fund_Value+SUM(K$91:K666))*E667*IF(D667=$A$91,SRP_finalmonthfactor,1)</f>
        <v>0</v>
      </c>
      <c r="L667" s="74">
        <f>MIN(IF($AV667=0,0,
IF(Investment_Strategy="DIS",VLOOKUP(Investment_Strategy&amp;"_"&amp;Investment_Strategy_Sub1&amp;"_"&amp;$A667,'Investment Strategies'!$AZ:$BP,12,FALSE),
IF(AND(Investment_Strategy="Lifecycle",Investment_Strategy_Sub1="Non-Standard"),VLOOKUP(Investment_Strategy&amp;"_"&amp;Investment_Strategy_Sub2&amp;"_"&amp;$A667,'Investment Strategies'!$C:$P,9,FALSE),
IF(AND(Investment_Strategy="Lifecycle",Investment_Strategy_Sub1="Standard"),VLOOKUP(Investment_Strategy&amp;"_"&amp;Investment_Strategy_Sub2&amp;"_"&amp;$A667,'Investment Strategies'!$AJ:$AV,8,FALSE),
IF(AND(Investment_Strategy="Autopilot",Investment_Strategy_Sub1="Non-Standard"),VLOOKUP(Investment_Strategy&amp;"_"&amp;Investment_Strategy_Sub2&amp;"_"&amp;$A667,'Investment Strategies'!$T:$AF,8,FALSE),
IF(Investment_Strategy ="DIY",DIY_RateofReturn_SP,
"Error")))))),Max_InvReturn)</f>
        <v>0</v>
      </c>
      <c r="M667" s="62">
        <f>IF($AV667=0,0,
IF(Investment_Strategy="DIS",VLOOKUP(Investment_Strategy&amp;"_"&amp;Investment_Strategy_Sub1&amp;"_"&amp;$A667,'Investment Strategies'!$AZ:$BP,15,FALSE),
IF(AND(Investment_Strategy="Lifecycle",Investment_Strategy_Sub1="Non-Standard"),VLOOKUP(Investment_Strategy&amp;"_"&amp;Investment_Strategy_Sub2&amp;"_"&amp;$A667,'Investment Strategies'!$C:$P,12,FALSE),
IF(AND(Investment_Strategy="Lifecycle",Investment_Strategy_Sub1="Standard"),VLOOKUP(Investment_Strategy&amp;"_"&amp;Investment_Strategy_Sub2&amp;"_"&amp;$A667,'Investment Strategies'!$AJ:$AV,11,FALSE),
IF(AND(Investment_Strategy="Autopilot",Investment_Strategy_Sub1="Non-Standard"),VLOOKUP(Investment_Strategy&amp;"_"&amp;Investment_Strategy_Sub2&amp;"_"&amp;$A667,'Investment Strategies'!$T:$AF,11,FALSE),
IF(Investment_Strategy="DIY",DIY_GteeChrge_SP,
"Error"))))))</f>
        <v>0</v>
      </c>
      <c r="N667" s="33">
        <f>IF($AV667=0,0,
IF(Investment_Strategy="DIS",VLOOKUP(Investment_Strategy&amp;"_"&amp;Investment_Strategy_Sub1&amp;"_"&amp;$A667,'Investment Strategies'!$AZ:$BP,17,FALSE),
IF(AND(Investment_Strategy="Lifecycle",Investment_Strategy_Sub1="Non-Standard"),VLOOKUP(Investment_Strategy&amp;"_"&amp;Investment_Strategy_Sub2&amp;"_"&amp;$A667,'Investment Strategies'!$C:$P,14,FALSE),
IF(AND(Investment_Strategy="Lifecycle",Investment_Strategy_Sub1="Standard"),VLOOKUP(Investment_Strategy&amp;"_"&amp;Investment_Strategy_Sub2&amp;"_"&amp;$A667,'Investment Strategies'!$AJ:$AV,13,FALSE),
IF(AND(Investment_Strategy="Autopilot",Investment_Strategy_Sub1="Non-Standard"),VLOOKUP(Investment_Strategy&amp;"_"&amp;Investment_Strategy_Sub2&amp;"_"&amp;$A667,'Investment Strategies'!$T:$AF,13,FALSE),
IF(Investment_Strategy="DIY",DIY_ExtManChrge_SP,
"Error"))))))</f>
        <v>0</v>
      </c>
      <c r="O667" s="16">
        <f t="shared" si="372"/>
        <v>0</v>
      </c>
      <c r="Q667" s="16">
        <f t="shared" ref="Q667:Q689" si="384">(O667+(P667*(1-SRP_Contrib_Chge_SP)))*L667*IF(D667=$A$91,SRP_finalmonthfactor,1)</f>
        <v>0</v>
      </c>
      <c r="R667" s="16">
        <f t="shared" si="380"/>
        <v>0</v>
      </c>
      <c r="S667" s="16">
        <f>(SRP_SP+SUM(S$91:S666))*L667*IF(D667=$A$91,SRP_finalmonthfactor,1)</f>
        <v>0</v>
      </c>
      <c r="T667" s="74">
        <f>MIN(IF($AV667=0,0,
IF(Investment_Strategy="DIS",VLOOKUP(Investment_Strategy&amp;"_"&amp;Investment_Strategy_Sub1&amp;"_"&amp;$A667,'Investment Strategies'!$AZ:$BP,12,FALSE),
IF(AND(Investment_Strategy="Lifecycle",Investment_Strategy_Sub1="Non-Standard"),VLOOKUP(Investment_Strategy&amp;"_"&amp;Investment_Strategy_Sub2&amp;"_"&amp;$A667,'Investment Strategies'!$C:$P,9,FALSE),
IF(AND(Investment_Strategy="Lifecycle",Investment_Strategy_Sub1="Standard"),VLOOKUP(Investment_Strategy&amp;"_"&amp;Investment_Strategy_Sub2&amp;"_"&amp;$A667,'Investment Strategies'!$AJ:$AV,8,FALSE),
IF(AND(Investment_Strategy="Autopilot",Investment_Strategy_Sub1="Non-Standard"),VLOOKUP(Investment_Strategy&amp;"_"&amp;Investment_Strategy_Sub2&amp;"_"&amp;$A667,'Investment Strategies'!$T:$AF,8,FALSE),
IF(Investment_Strategy ="DIY",DIY_RateOfReturn_FuturePremiums,
"Error")))))),Max_InvReturn)</f>
        <v>0</v>
      </c>
      <c r="U667" s="62">
        <f>IF($AV667=0,0,
IF(Investment_Strategy="DIS",VLOOKUP(Investment_Strategy&amp;"_"&amp;Investment_Strategy_Sub1&amp;"_"&amp;$A667,'Investment Strategies'!$AZ:$BP,15,FALSE),
IF(AND(Investment_Strategy="Lifecycle",Investment_Strategy_Sub1="Non-Standard"),VLOOKUP(Investment_Strategy&amp;"_"&amp;Investment_Strategy_Sub2&amp;"_"&amp;$A667,'Investment Strategies'!$C:$P,12,FALSE),
IF(AND(Investment_Strategy="Lifecycle",Investment_Strategy_Sub1="Standard"),VLOOKUP(Investment_Strategy&amp;"_"&amp;Investment_Strategy_Sub2&amp;"_"&amp;$A667,'Investment Strategies'!$AJ:$AV,11,FALSE),
IF(AND(Investment_Strategy="Autopilot",Investment_Strategy_Sub1="Non-Standard"),VLOOKUP(Investment_Strategy&amp;"_"&amp;Investment_Strategy_Sub2&amp;"_"&amp;$A667,'Investment Strategies'!$T:$AF,11,FALSE),
IF(Investment_Strategy="DIY",DIY_GteeChrge_FuturePremiums,
"Error"))))))</f>
        <v>0</v>
      </c>
      <c r="V667" s="33">
        <f>IF(AV667=0,0,
IF(Investment_Strategy="DIS",VLOOKUP(Investment_Strategy&amp;"_"&amp;Investment_Strategy_Sub1&amp;"_"&amp;$A667,'Investment Strategies'!$AZ:$BP,17,FALSE),
IF(AND(Investment_Strategy="Lifecycle",Investment_Strategy_Sub1="Non-Standard"),VLOOKUP(Investment_Strategy&amp;"_"&amp;Investment_Strategy_Sub2&amp;"_"&amp;$A667,'Investment Strategies'!$C:$P,14,FALSE),
IF(AND(Investment_Strategy="Lifecycle",Investment_Strategy_Sub1="Standard"),VLOOKUP(Investment_Strategy&amp;"_"&amp;Investment_Strategy_Sub2&amp;"_"&amp;$A667,'Investment Strategies'!$AJ:$AV,13,FALSE),
IF(AND(Investment_Strategy="Autopilot",Investment_Strategy_Sub1="Non-Standard"),VLOOKUP(Investment_Strategy&amp;"_"&amp;Investment_Strategy_Sub2&amp;"_"&amp;$A667,'Investment Strategies'!$T:$AF,13,FALSE),
IF(Investment_Strategy="DIY",DIY_ExtManChrge_FuturePremiums,
"Error"))))))</f>
        <v>0</v>
      </c>
      <c r="W667" s="16">
        <f t="shared" si="373"/>
        <v>0</v>
      </c>
      <c r="X667" s="16">
        <f t="shared" ref="X667:X690" si="385">SRP_AP/Contributions_per_year * (1+MIN(Max_Contrib_Escalation,SRP_Contrib_Escalation))^($C667-1) * $AV667 * $AW667</f>
        <v>0</v>
      </c>
      <c r="Y667" s="16">
        <f t="shared" ref="Y667:Y689" si="386">(W667+(X667*(1-Z667)))*T667*IF(D667=$A$91,SRP_finalmonthfactor,1)</f>
        <v>0</v>
      </c>
      <c r="Z667" s="31">
        <f t="shared" ref="Z667:Z690" si="387">IF(X667/(12/Contributions_per_year)&lt;=99.99,2%,0%)*AW667</f>
        <v>0.02</v>
      </c>
      <c r="AA667" s="16">
        <f t="shared" ref="AA667:AA689" si="388">IF($AV667=0,0,
-(($W667+($X667)*(1-Z667)+Y667/2)*(SRP_Monthly_Admin_Chge+$U667+$V667)*IF(D667=$A$91,SRP_finalmonthfactor,1)+
+($X667)*Z667))</f>
        <v>0</v>
      </c>
      <c r="AB667" s="28">
        <f t="shared" si="374"/>
        <v>0</v>
      </c>
      <c r="AC667" s="28">
        <f>(SUM($AC$91:AC666)+SUM($X$91:X666)+X667)*T667*IF(D667=$A$91,SRP_finalmonthfactor,1)</f>
        <v>0</v>
      </c>
      <c r="AD667" s="16">
        <f t="shared" ref="AD667:AD689" si="389">IF($AV667=0,0,
IF((SRP_ValDate-SRP_PolicyStartDate)+(365*(D667-1)/12)&lt;365,-(($H667+$I667/2+$O667+$P667+Q667/2+$W667+$X667+Y667/2)*(SRP_Ren_Com_Mthly)+($P667*SRP_Init_Com_SP)+($X667*SRP_Init_Com_RP)),
-((H$91+$I667/2+$O667+$P667+Q667/2+$W667+$X667+Y667/2)*(SRP_Ren_Com_Mthly))))</f>
        <v>0</v>
      </c>
      <c r="AE667" s="106"/>
      <c r="AF667" s="16">
        <f t="shared" si="362"/>
        <v>0</v>
      </c>
      <c r="AG667" s="16">
        <f t="shared" si="363"/>
        <v>0</v>
      </c>
      <c r="AH667" s="16">
        <f t="shared" si="364"/>
        <v>0</v>
      </c>
      <c r="AJ667" s="13">
        <f t="shared" si="381"/>
        <v>0</v>
      </c>
      <c r="AK667" s="13">
        <f t="shared" si="381"/>
        <v>0</v>
      </c>
      <c r="AL667" s="13">
        <f t="shared" si="381"/>
        <v>0</v>
      </c>
      <c r="AM667" s="13">
        <f t="shared" si="381"/>
        <v>0</v>
      </c>
      <c r="AN667" s="13">
        <f t="shared" si="381"/>
        <v>0</v>
      </c>
      <c r="AO667" s="13">
        <f t="shared" si="381"/>
        <v>1</v>
      </c>
      <c r="AP667" s="13">
        <f t="shared" si="381"/>
        <v>1</v>
      </c>
      <c r="AQ667" s="13">
        <f t="shared" si="381"/>
        <v>1</v>
      </c>
      <c r="AR667" s="13">
        <f t="shared" si="381"/>
        <v>0</v>
      </c>
      <c r="AS667" s="13">
        <f t="shared" si="381"/>
        <v>0</v>
      </c>
      <c r="AT667" s="13">
        <f t="shared" si="381"/>
        <v>0</v>
      </c>
      <c r="AU667" s="13">
        <f t="shared" si="381"/>
        <v>0</v>
      </c>
      <c r="AV667" s="13">
        <f t="shared" ref="AV667:AV690" si="390">IF($B667&lt;SRP_NRA,1,0)</f>
        <v>0</v>
      </c>
      <c r="AW667" s="13">
        <f t="shared" ref="AW667:AW690" si="391">IF($I$60 = "Yes",IF(SRP_PremFreq = "Annual",IF(MOD(D667-1, 12) = 0, 1, 0), IF(SRP_PremFreq = "Half-Yearly", IF(MOD(D667-1, 6) = 0, 1, 0), IF(SRP_PremFreq = "Quarterly", IF(MOD(D667-1, 3) = 0, 1, 0), IF(SRP_PremFreq = "Monthly", IF(MOD(D667-1, 1) = 0, 1, 0), "Error")))),0)</f>
        <v>1</v>
      </c>
      <c r="AY667" s="17">
        <f t="shared" ref="AY667:AY690" si="392">D667</f>
        <v>577</v>
      </c>
      <c r="AZ667" s="28">
        <f t="shared" si="365"/>
        <v>0</v>
      </c>
      <c r="BA667" s="13">
        <f t="shared" ref="BA667:BA690" si="393">-IF(A667=0,$F$32,0)</f>
        <v>0</v>
      </c>
      <c r="BB667" s="13">
        <f t="shared" ref="BB667:BB690" si="394">-IF(A667=0,$G$32,0)</f>
        <v>0</v>
      </c>
      <c r="BC667" s="28">
        <f t="shared" si="366"/>
        <v>0</v>
      </c>
      <c r="BD667" s="28">
        <f t="shared" si="367"/>
        <v>0</v>
      </c>
      <c r="BF667" s="248">
        <f t="shared" si="368"/>
        <v>993869.29442638322</v>
      </c>
    </row>
    <row r="668" spans="1:58">
      <c r="A668" s="32">
        <f t="shared" si="369"/>
        <v>-493</v>
      </c>
      <c r="B668" s="32">
        <f t="shared" ref="B668:B690" si="395">INT(SRP_Current_Age+D667/12)</f>
        <v>101</v>
      </c>
      <c r="C668" s="32">
        <f t="shared" si="370"/>
        <v>49</v>
      </c>
      <c r="D668" s="32">
        <f t="shared" si="371"/>
        <v>578</v>
      </c>
      <c r="E668" s="74">
        <f>MIN(IF(AV668=0,0,
IF(Investment_Strategy="DIS",VLOOKUP(Investment_Strategy&amp;"_"&amp;Investment_Strategy_Sub1&amp;"_"&amp;$A668,'Investment Strategies'!$AZ:$BP,12,FALSE),
IF(AND(Investment_Strategy="Lifecycle",Investment_Strategy_Sub1="Non-Standard"),VLOOKUP(Investment_Strategy&amp;"_"&amp;Investment_Strategy_Sub2&amp;"_"&amp;$A668,'Investment Strategies'!$C:$P,9,FALSE),
IF(AND(Investment_Strategy="Lifecycle",Investment_Strategy_Sub1="Standard"),VLOOKUP(Investment_Strategy&amp;"_"&amp;Investment_Strategy_Sub2&amp;"_"&amp;$A668,'Investment Strategies'!$AJ:$AV,8,FALSE),
IF(AND(Investment_Strategy="Autopilot",Investment_Strategy_Sub1="Non-Standard"),VLOOKUP(Investment_Strategy&amp;"_"&amp;Investment_Strategy_Sub2&amp;"_"&amp;$A668,'Investment Strategies'!$T:$AF,8,FALSE),
IF(Investment_Strategy ="DIY",DIY_RateOfReturn_CurrentFunds,
"Error")))))),Max_InvReturn)</f>
        <v>0</v>
      </c>
      <c r="F668" s="62">
        <f>IF(AV668=0,0,
IF(Investment_Strategy="DIS",VLOOKUP(Investment_Strategy&amp;"_"&amp;Investment_Strategy_Sub1&amp;"_"&amp;$A668,'Investment Strategies'!$AZ:$BP,15,FALSE),
IF(AND(Investment_Strategy="Lifecycle",Investment_Strategy_Sub1="Non-Standard"),VLOOKUP(Investment_Strategy&amp;"_"&amp;Investment_Strategy_Sub2&amp;"_"&amp;$A668,'Investment Strategies'!$C:$P,12,FALSE),
IF(AND(Investment_Strategy="Lifecycle",Investment_Strategy_Sub1="Standard"),VLOOKUP(Investment_Strategy&amp;"_"&amp;Investment_Strategy_Sub2&amp;"_"&amp;$A668,'Investment Strategies'!$AJ:$AV,11,FALSE),
IF(AND(Investment_Strategy="Autopilot",Investment_Strategy_Sub1="Non-Standard"),VLOOKUP(Investment_Strategy&amp;"_"&amp;Investment_Strategy_Sub2&amp;"_"&amp;$A668,'Investment Strategies'!$T:$AF,11,FALSE),
IF(Investment_Strategy="DIY",DIY_GteeChrge_CurrentFunds,
"Error"))))))</f>
        <v>0</v>
      </c>
      <c r="G668" s="33">
        <f>IF(AV668=0,0,
IF(Investment_Strategy="DIS",VLOOKUP(Investment_Strategy&amp;"_"&amp;Investment_Strategy_Sub1&amp;"_"&amp;$A668,'Investment Strategies'!$AZ:$BP,17,FALSE),
IF(AND(Investment_Strategy="Lifecycle",Investment_Strategy_Sub1="Non-Standard"),VLOOKUP(Investment_Strategy&amp;"_"&amp;Investment_Strategy_Sub2&amp;"_"&amp;$A668,'Investment Strategies'!$C:$P,14,FALSE),
IF(AND(Investment_Strategy="Lifecycle",Investment_Strategy_Sub1="Standard"),VLOOKUP(Investment_Strategy&amp;"_"&amp;Investment_Strategy_Sub2&amp;"_"&amp;$A668,'Investment Strategies'!$AJ:$AV,13,FALSE),
IF(AND(Investment_Strategy="Autopilot",Investment_Strategy_Sub1="Non-Standard"),VLOOKUP(Investment_Strategy&amp;"_"&amp;Investment_Strategy_Sub2&amp;"_"&amp;$A668,'Investment Strategies'!$T:$AF,13,FALSE),
IF(Investment_Strategy="DIY",DIY_ExtManChrge_CurrentFunds,
"Error"))))))</f>
        <v>0</v>
      </c>
      <c r="H668" s="16">
        <f t="shared" ref="H668:H689" si="396">IF($AV667=0,0,SUM(H667:J667))</f>
        <v>0</v>
      </c>
      <c r="I668" s="16">
        <f t="shared" si="382"/>
        <v>0</v>
      </c>
      <c r="J668" s="16">
        <f t="shared" si="383"/>
        <v>0</v>
      </c>
      <c r="K668" s="16">
        <f>(Opening_Fund_Value+SUM(K$91:K667))*E668*IF(D668=$A$91,SRP_finalmonthfactor,1)</f>
        <v>0</v>
      </c>
      <c r="L668" s="74">
        <f>MIN(IF($AV668=0,0,
IF(Investment_Strategy="DIS",VLOOKUP(Investment_Strategy&amp;"_"&amp;Investment_Strategy_Sub1&amp;"_"&amp;$A668,'Investment Strategies'!$AZ:$BP,12,FALSE),
IF(AND(Investment_Strategy="Lifecycle",Investment_Strategy_Sub1="Non-Standard"),VLOOKUP(Investment_Strategy&amp;"_"&amp;Investment_Strategy_Sub2&amp;"_"&amp;$A668,'Investment Strategies'!$C:$P,9,FALSE),
IF(AND(Investment_Strategy="Lifecycle",Investment_Strategy_Sub1="Standard"),VLOOKUP(Investment_Strategy&amp;"_"&amp;Investment_Strategy_Sub2&amp;"_"&amp;$A668,'Investment Strategies'!$AJ:$AV,8,FALSE),
IF(AND(Investment_Strategy="Autopilot",Investment_Strategy_Sub1="Non-Standard"),VLOOKUP(Investment_Strategy&amp;"_"&amp;Investment_Strategy_Sub2&amp;"_"&amp;$A668,'Investment Strategies'!$T:$AF,8,FALSE),
IF(Investment_Strategy ="DIY",DIY_RateofReturn_SP,
"Error")))))),Max_InvReturn)</f>
        <v>0</v>
      </c>
      <c r="M668" s="62">
        <f>IF($AV668=0,0,
IF(Investment_Strategy="DIS",VLOOKUP(Investment_Strategy&amp;"_"&amp;Investment_Strategy_Sub1&amp;"_"&amp;$A668,'Investment Strategies'!$AZ:$BP,15,FALSE),
IF(AND(Investment_Strategy="Lifecycle",Investment_Strategy_Sub1="Non-Standard"),VLOOKUP(Investment_Strategy&amp;"_"&amp;Investment_Strategy_Sub2&amp;"_"&amp;$A668,'Investment Strategies'!$C:$P,12,FALSE),
IF(AND(Investment_Strategy="Lifecycle",Investment_Strategy_Sub1="Standard"),VLOOKUP(Investment_Strategy&amp;"_"&amp;Investment_Strategy_Sub2&amp;"_"&amp;$A668,'Investment Strategies'!$AJ:$AV,11,FALSE),
IF(AND(Investment_Strategy="Autopilot",Investment_Strategy_Sub1="Non-Standard"),VLOOKUP(Investment_Strategy&amp;"_"&amp;Investment_Strategy_Sub2&amp;"_"&amp;$A668,'Investment Strategies'!$T:$AF,11,FALSE),
IF(Investment_Strategy="DIY",DIY_GteeChrge_SP,
"Error"))))))</f>
        <v>0</v>
      </c>
      <c r="N668" s="33">
        <f>IF($AV668=0,0,
IF(Investment_Strategy="DIS",VLOOKUP(Investment_Strategy&amp;"_"&amp;Investment_Strategy_Sub1&amp;"_"&amp;$A668,'Investment Strategies'!$AZ:$BP,17,FALSE),
IF(AND(Investment_Strategy="Lifecycle",Investment_Strategy_Sub1="Non-Standard"),VLOOKUP(Investment_Strategy&amp;"_"&amp;Investment_Strategy_Sub2&amp;"_"&amp;$A668,'Investment Strategies'!$C:$P,14,FALSE),
IF(AND(Investment_Strategy="Lifecycle",Investment_Strategy_Sub1="Standard"),VLOOKUP(Investment_Strategy&amp;"_"&amp;Investment_Strategy_Sub2&amp;"_"&amp;$A668,'Investment Strategies'!$AJ:$AV,13,FALSE),
IF(AND(Investment_Strategy="Autopilot",Investment_Strategy_Sub1="Non-Standard"),VLOOKUP(Investment_Strategy&amp;"_"&amp;Investment_Strategy_Sub2&amp;"_"&amp;$A668,'Investment Strategies'!$T:$AF,13,FALSE),
IF(Investment_Strategy="DIY",DIY_ExtManChrge_SP,
"Error"))))))</f>
        <v>0</v>
      </c>
      <c r="O668" s="16">
        <f t="shared" si="372"/>
        <v>0</v>
      </c>
      <c r="Q668" s="16">
        <f t="shared" si="384"/>
        <v>0</v>
      </c>
      <c r="R668" s="16">
        <f t="shared" si="380"/>
        <v>0</v>
      </c>
      <c r="S668" s="16">
        <f>(SRP_SP+SUM(S$91:S667))*L668*IF(D668=$A$91,SRP_finalmonthfactor,1)</f>
        <v>0</v>
      </c>
      <c r="T668" s="74">
        <f>MIN(IF($AV668=0,0,
IF(Investment_Strategy="DIS",VLOOKUP(Investment_Strategy&amp;"_"&amp;Investment_Strategy_Sub1&amp;"_"&amp;$A668,'Investment Strategies'!$AZ:$BP,12,FALSE),
IF(AND(Investment_Strategy="Lifecycle",Investment_Strategy_Sub1="Non-Standard"),VLOOKUP(Investment_Strategy&amp;"_"&amp;Investment_Strategy_Sub2&amp;"_"&amp;$A668,'Investment Strategies'!$C:$P,9,FALSE),
IF(AND(Investment_Strategy="Lifecycle",Investment_Strategy_Sub1="Standard"),VLOOKUP(Investment_Strategy&amp;"_"&amp;Investment_Strategy_Sub2&amp;"_"&amp;$A668,'Investment Strategies'!$AJ:$AV,8,FALSE),
IF(AND(Investment_Strategy="Autopilot",Investment_Strategy_Sub1="Non-Standard"),VLOOKUP(Investment_Strategy&amp;"_"&amp;Investment_Strategy_Sub2&amp;"_"&amp;$A668,'Investment Strategies'!$T:$AF,8,FALSE),
IF(Investment_Strategy ="DIY",DIY_RateOfReturn_FuturePremiums,
"Error")))))),Max_InvReturn)</f>
        <v>0</v>
      </c>
      <c r="U668" s="62">
        <f>IF($AV668=0,0,
IF(Investment_Strategy="DIS",VLOOKUP(Investment_Strategy&amp;"_"&amp;Investment_Strategy_Sub1&amp;"_"&amp;$A668,'Investment Strategies'!$AZ:$BP,15,FALSE),
IF(AND(Investment_Strategy="Lifecycle",Investment_Strategy_Sub1="Non-Standard"),VLOOKUP(Investment_Strategy&amp;"_"&amp;Investment_Strategy_Sub2&amp;"_"&amp;$A668,'Investment Strategies'!$C:$P,12,FALSE),
IF(AND(Investment_Strategy="Lifecycle",Investment_Strategy_Sub1="Standard"),VLOOKUP(Investment_Strategy&amp;"_"&amp;Investment_Strategy_Sub2&amp;"_"&amp;$A668,'Investment Strategies'!$AJ:$AV,11,FALSE),
IF(AND(Investment_Strategy="Autopilot",Investment_Strategy_Sub1="Non-Standard"),VLOOKUP(Investment_Strategy&amp;"_"&amp;Investment_Strategy_Sub2&amp;"_"&amp;$A668,'Investment Strategies'!$T:$AF,11,FALSE),
IF(Investment_Strategy="DIY",DIY_GteeChrge_FuturePremiums,
"Error"))))))</f>
        <v>0</v>
      </c>
      <c r="V668" s="33">
        <f>IF(AV668=0,0,
IF(Investment_Strategy="DIS",VLOOKUP(Investment_Strategy&amp;"_"&amp;Investment_Strategy_Sub1&amp;"_"&amp;$A668,'Investment Strategies'!$AZ:$BP,17,FALSE),
IF(AND(Investment_Strategy="Lifecycle",Investment_Strategy_Sub1="Non-Standard"),VLOOKUP(Investment_Strategy&amp;"_"&amp;Investment_Strategy_Sub2&amp;"_"&amp;$A668,'Investment Strategies'!$C:$P,14,FALSE),
IF(AND(Investment_Strategy="Lifecycle",Investment_Strategy_Sub1="Standard"),VLOOKUP(Investment_Strategy&amp;"_"&amp;Investment_Strategy_Sub2&amp;"_"&amp;$A668,'Investment Strategies'!$AJ:$AV,13,FALSE),
IF(AND(Investment_Strategy="Autopilot",Investment_Strategy_Sub1="Non-Standard"),VLOOKUP(Investment_Strategy&amp;"_"&amp;Investment_Strategy_Sub2&amp;"_"&amp;$A668,'Investment Strategies'!$T:$AF,13,FALSE),
IF(Investment_Strategy="DIY",DIY_ExtManChrge_FuturePremiums,
"Error"))))))</f>
        <v>0</v>
      </c>
      <c r="W668" s="16">
        <f t="shared" si="373"/>
        <v>0</v>
      </c>
      <c r="X668" s="16">
        <f t="shared" si="385"/>
        <v>0</v>
      </c>
      <c r="Y668" s="16">
        <f t="shared" si="386"/>
        <v>0</v>
      </c>
      <c r="Z668" s="31">
        <f t="shared" si="387"/>
        <v>0.02</v>
      </c>
      <c r="AA668" s="16">
        <f t="shared" si="388"/>
        <v>0</v>
      </c>
      <c r="AB668" s="28">
        <f t="shared" si="374"/>
        <v>0</v>
      </c>
      <c r="AC668" s="28">
        <f>(SUM($AC$91:AC667)+SUM($X$91:X667)+X668)*T668*IF(D668=$A$91,SRP_finalmonthfactor,1)</f>
        <v>0</v>
      </c>
      <c r="AD668" s="16">
        <f t="shared" si="389"/>
        <v>0</v>
      </c>
      <c r="AE668" s="106"/>
      <c r="AF668" s="16">
        <f t="shared" ref="AF668:AF690" si="397">H668+O668+W668</f>
        <v>0</v>
      </c>
      <c r="AG668" s="16">
        <f t="shared" ref="AG668:AG690" si="398">SUM($K668,$S668,$AC668)</f>
        <v>0</v>
      </c>
      <c r="AH668" s="16">
        <f t="shared" ref="AH668:AH690" si="399">SUM($J668,$R668,$AA668)</f>
        <v>0</v>
      </c>
      <c r="AJ668" s="13">
        <f t="shared" si="381"/>
        <v>0</v>
      </c>
      <c r="AK668" s="13">
        <f t="shared" si="381"/>
        <v>0</v>
      </c>
      <c r="AL668" s="13">
        <f t="shared" si="381"/>
        <v>0</v>
      </c>
      <c r="AM668" s="13">
        <f t="shared" si="381"/>
        <v>0</v>
      </c>
      <c r="AN668" s="13">
        <f t="shared" si="381"/>
        <v>0</v>
      </c>
      <c r="AO668" s="13">
        <f t="shared" si="381"/>
        <v>1</v>
      </c>
      <c r="AP668" s="13">
        <f t="shared" si="381"/>
        <v>1</v>
      </c>
      <c r="AQ668" s="13">
        <f t="shared" si="381"/>
        <v>1</v>
      </c>
      <c r="AR668" s="13">
        <f t="shared" si="381"/>
        <v>0</v>
      </c>
      <c r="AS668" s="13">
        <f t="shared" si="381"/>
        <v>0</v>
      </c>
      <c r="AT668" s="13">
        <f t="shared" si="381"/>
        <v>0</v>
      </c>
      <c r="AU668" s="13">
        <f t="shared" si="381"/>
        <v>0</v>
      </c>
      <c r="AV668" s="13">
        <f t="shared" si="390"/>
        <v>0</v>
      </c>
      <c r="AW668" s="13">
        <f t="shared" si="391"/>
        <v>1</v>
      </c>
      <c r="AY668" s="17">
        <f t="shared" si="392"/>
        <v>578</v>
      </c>
      <c r="AZ668" s="28">
        <f t="shared" ref="AZ668:AZ690" si="400">X668+P668</f>
        <v>0</v>
      </c>
      <c r="BA668" s="13">
        <f t="shared" si="393"/>
        <v>0</v>
      </c>
      <c r="BB668" s="13">
        <f t="shared" si="394"/>
        <v>0</v>
      </c>
      <c r="BC668" s="28">
        <f t="shared" ref="BC668:BC690" si="401">SUM(AZ668,BA668)</f>
        <v>0</v>
      </c>
      <c r="BD668" s="28">
        <f t="shared" ref="BD668:BD690" si="402">SUM(AZ668,BB668)</f>
        <v>0</v>
      </c>
      <c r="BF668" s="248">
        <f t="shared" ref="BF668:BF690" si="403">IF(ISNUMBER(BF667), (BF667+X668), (P668+X668))*(1+T668)</f>
        <v>993869.29442638322</v>
      </c>
    </row>
    <row r="669" spans="1:58">
      <c r="A669" s="32">
        <f t="shared" ref="A669:A690" si="404">A668-1</f>
        <v>-494</v>
      </c>
      <c r="B669" s="32">
        <f t="shared" si="395"/>
        <v>101</v>
      </c>
      <c r="C669" s="32">
        <f t="shared" ref="C669:C690" si="405">INT((D669-1)/12)+1</f>
        <v>49</v>
      </c>
      <c r="D669" s="32">
        <f t="shared" ref="D669:D690" si="406">D668+1</f>
        <v>579</v>
      </c>
      <c r="E669" s="74">
        <f>MIN(IF(AV669=0,0,
IF(Investment_Strategy="DIS",VLOOKUP(Investment_Strategy&amp;"_"&amp;Investment_Strategy_Sub1&amp;"_"&amp;$A669,'Investment Strategies'!$AZ:$BP,12,FALSE),
IF(AND(Investment_Strategy="Lifecycle",Investment_Strategy_Sub1="Non-Standard"),VLOOKUP(Investment_Strategy&amp;"_"&amp;Investment_Strategy_Sub2&amp;"_"&amp;$A669,'Investment Strategies'!$C:$P,9,FALSE),
IF(AND(Investment_Strategy="Lifecycle",Investment_Strategy_Sub1="Standard"),VLOOKUP(Investment_Strategy&amp;"_"&amp;Investment_Strategy_Sub2&amp;"_"&amp;$A669,'Investment Strategies'!$AJ:$AV,8,FALSE),
IF(AND(Investment_Strategy="Autopilot",Investment_Strategy_Sub1="Non-Standard"),VLOOKUP(Investment_Strategy&amp;"_"&amp;Investment_Strategy_Sub2&amp;"_"&amp;$A669,'Investment Strategies'!$T:$AF,8,FALSE),
IF(Investment_Strategy ="DIY",DIY_RateOfReturn_CurrentFunds,
"Error")))))),Max_InvReturn)</f>
        <v>0</v>
      </c>
      <c r="F669" s="62">
        <f>IF(AV669=0,0,
IF(Investment_Strategy="DIS",VLOOKUP(Investment_Strategy&amp;"_"&amp;Investment_Strategy_Sub1&amp;"_"&amp;$A669,'Investment Strategies'!$AZ:$BP,15,FALSE),
IF(AND(Investment_Strategy="Lifecycle",Investment_Strategy_Sub1="Non-Standard"),VLOOKUP(Investment_Strategy&amp;"_"&amp;Investment_Strategy_Sub2&amp;"_"&amp;$A669,'Investment Strategies'!$C:$P,12,FALSE),
IF(AND(Investment_Strategy="Lifecycle",Investment_Strategy_Sub1="Standard"),VLOOKUP(Investment_Strategy&amp;"_"&amp;Investment_Strategy_Sub2&amp;"_"&amp;$A669,'Investment Strategies'!$AJ:$AV,11,FALSE),
IF(AND(Investment_Strategy="Autopilot",Investment_Strategy_Sub1="Non-Standard"),VLOOKUP(Investment_Strategy&amp;"_"&amp;Investment_Strategy_Sub2&amp;"_"&amp;$A669,'Investment Strategies'!$T:$AF,11,FALSE),
IF(Investment_Strategy="DIY",DIY_GteeChrge_CurrentFunds,
"Error"))))))</f>
        <v>0</v>
      </c>
      <c r="G669" s="33">
        <f>IF(AV669=0,0,
IF(Investment_Strategy="DIS",VLOOKUP(Investment_Strategy&amp;"_"&amp;Investment_Strategy_Sub1&amp;"_"&amp;$A669,'Investment Strategies'!$AZ:$BP,17,FALSE),
IF(AND(Investment_Strategy="Lifecycle",Investment_Strategy_Sub1="Non-Standard"),VLOOKUP(Investment_Strategy&amp;"_"&amp;Investment_Strategy_Sub2&amp;"_"&amp;$A669,'Investment Strategies'!$C:$P,14,FALSE),
IF(AND(Investment_Strategy="Lifecycle",Investment_Strategy_Sub1="Standard"),VLOOKUP(Investment_Strategy&amp;"_"&amp;Investment_Strategy_Sub2&amp;"_"&amp;$A669,'Investment Strategies'!$AJ:$AV,13,FALSE),
IF(AND(Investment_Strategy="Autopilot",Investment_Strategy_Sub1="Non-Standard"),VLOOKUP(Investment_Strategy&amp;"_"&amp;Investment_Strategy_Sub2&amp;"_"&amp;$A669,'Investment Strategies'!$T:$AF,13,FALSE),
IF(Investment_Strategy="DIY",DIY_ExtManChrge_CurrentFunds,
"Error"))))))</f>
        <v>0</v>
      </c>
      <c r="H669" s="16">
        <f t="shared" si="396"/>
        <v>0</v>
      </c>
      <c r="I669" s="16">
        <f t="shared" si="382"/>
        <v>0</v>
      </c>
      <c r="J669" s="16">
        <f t="shared" si="383"/>
        <v>0</v>
      </c>
      <c r="K669" s="16">
        <f>(Opening_Fund_Value+SUM(K$91:K668))*E669*IF(D669=$A$91,SRP_finalmonthfactor,1)</f>
        <v>0</v>
      </c>
      <c r="L669" s="74">
        <f>MIN(IF($AV669=0,0,
IF(Investment_Strategy="DIS",VLOOKUP(Investment_Strategy&amp;"_"&amp;Investment_Strategy_Sub1&amp;"_"&amp;$A669,'Investment Strategies'!$AZ:$BP,12,FALSE),
IF(AND(Investment_Strategy="Lifecycle",Investment_Strategy_Sub1="Non-Standard"),VLOOKUP(Investment_Strategy&amp;"_"&amp;Investment_Strategy_Sub2&amp;"_"&amp;$A669,'Investment Strategies'!$C:$P,9,FALSE),
IF(AND(Investment_Strategy="Lifecycle",Investment_Strategy_Sub1="Standard"),VLOOKUP(Investment_Strategy&amp;"_"&amp;Investment_Strategy_Sub2&amp;"_"&amp;$A669,'Investment Strategies'!$AJ:$AV,8,FALSE),
IF(AND(Investment_Strategy="Autopilot",Investment_Strategy_Sub1="Non-Standard"),VLOOKUP(Investment_Strategy&amp;"_"&amp;Investment_Strategy_Sub2&amp;"_"&amp;$A669,'Investment Strategies'!$T:$AF,8,FALSE),
IF(Investment_Strategy ="DIY",DIY_RateofReturn_SP,
"Error")))))),Max_InvReturn)</f>
        <v>0</v>
      </c>
      <c r="M669" s="62">
        <f>IF($AV669=0,0,
IF(Investment_Strategy="DIS",VLOOKUP(Investment_Strategy&amp;"_"&amp;Investment_Strategy_Sub1&amp;"_"&amp;$A669,'Investment Strategies'!$AZ:$BP,15,FALSE),
IF(AND(Investment_Strategy="Lifecycle",Investment_Strategy_Sub1="Non-Standard"),VLOOKUP(Investment_Strategy&amp;"_"&amp;Investment_Strategy_Sub2&amp;"_"&amp;$A669,'Investment Strategies'!$C:$P,12,FALSE),
IF(AND(Investment_Strategy="Lifecycle",Investment_Strategy_Sub1="Standard"),VLOOKUP(Investment_Strategy&amp;"_"&amp;Investment_Strategy_Sub2&amp;"_"&amp;$A669,'Investment Strategies'!$AJ:$AV,11,FALSE),
IF(AND(Investment_Strategy="Autopilot",Investment_Strategy_Sub1="Non-Standard"),VLOOKUP(Investment_Strategy&amp;"_"&amp;Investment_Strategy_Sub2&amp;"_"&amp;$A669,'Investment Strategies'!$T:$AF,11,FALSE),
IF(Investment_Strategy="DIY",DIY_GteeChrge_SP,
"Error"))))))</f>
        <v>0</v>
      </c>
      <c r="N669" s="33">
        <f>IF($AV669=0,0,
IF(Investment_Strategy="DIS",VLOOKUP(Investment_Strategy&amp;"_"&amp;Investment_Strategy_Sub1&amp;"_"&amp;$A669,'Investment Strategies'!$AZ:$BP,17,FALSE),
IF(AND(Investment_Strategy="Lifecycle",Investment_Strategy_Sub1="Non-Standard"),VLOOKUP(Investment_Strategy&amp;"_"&amp;Investment_Strategy_Sub2&amp;"_"&amp;$A669,'Investment Strategies'!$C:$P,14,FALSE),
IF(AND(Investment_Strategy="Lifecycle",Investment_Strategy_Sub1="Standard"),VLOOKUP(Investment_Strategy&amp;"_"&amp;Investment_Strategy_Sub2&amp;"_"&amp;$A669,'Investment Strategies'!$AJ:$AV,13,FALSE),
IF(AND(Investment_Strategy="Autopilot",Investment_Strategy_Sub1="Non-Standard"),VLOOKUP(Investment_Strategy&amp;"_"&amp;Investment_Strategy_Sub2&amp;"_"&amp;$A669,'Investment Strategies'!$T:$AF,13,FALSE),
IF(Investment_Strategy="DIY",DIY_ExtManChrge_SP,
"Error"))))))</f>
        <v>0</v>
      </c>
      <c r="O669" s="16">
        <f t="shared" ref="O669:O689" si="407">IF($AV668=0,0,SUM(O668:R668))</f>
        <v>0</v>
      </c>
      <c r="Q669" s="16">
        <f t="shared" si="384"/>
        <v>0</v>
      </c>
      <c r="R669" s="16">
        <f t="shared" si="380"/>
        <v>0</v>
      </c>
      <c r="S669" s="16">
        <f>(SRP_SP+SUM(S$91:S668))*L669*IF(D669=$A$91,SRP_finalmonthfactor,1)</f>
        <v>0</v>
      </c>
      <c r="T669" s="74">
        <f>MIN(IF($AV669=0,0,
IF(Investment_Strategy="DIS",VLOOKUP(Investment_Strategy&amp;"_"&amp;Investment_Strategy_Sub1&amp;"_"&amp;$A669,'Investment Strategies'!$AZ:$BP,12,FALSE),
IF(AND(Investment_Strategy="Lifecycle",Investment_Strategy_Sub1="Non-Standard"),VLOOKUP(Investment_Strategy&amp;"_"&amp;Investment_Strategy_Sub2&amp;"_"&amp;$A669,'Investment Strategies'!$C:$P,9,FALSE),
IF(AND(Investment_Strategy="Lifecycle",Investment_Strategy_Sub1="Standard"),VLOOKUP(Investment_Strategy&amp;"_"&amp;Investment_Strategy_Sub2&amp;"_"&amp;$A669,'Investment Strategies'!$AJ:$AV,8,FALSE),
IF(AND(Investment_Strategy="Autopilot",Investment_Strategy_Sub1="Non-Standard"),VLOOKUP(Investment_Strategy&amp;"_"&amp;Investment_Strategy_Sub2&amp;"_"&amp;$A669,'Investment Strategies'!$T:$AF,8,FALSE),
IF(Investment_Strategy ="DIY",DIY_RateOfReturn_FuturePremiums,
"Error")))))),Max_InvReturn)</f>
        <v>0</v>
      </c>
      <c r="U669" s="62">
        <f>IF($AV669=0,0,
IF(Investment_Strategy="DIS",VLOOKUP(Investment_Strategy&amp;"_"&amp;Investment_Strategy_Sub1&amp;"_"&amp;$A669,'Investment Strategies'!$AZ:$BP,15,FALSE),
IF(AND(Investment_Strategy="Lifecycle",Investment_Strategy_Sub1="Non-Standard"),VLOOKUP(Investment_Strategy&amp;"_"&amp;Investment_Strategy_Sub2&amp;"_"&amp;$A669,'Investment Strategies'!$C:$P,12,FALSE),
IF(AND(Investment_Strategy="Lifecycle",Investment_Strategy_Sub1="Standard"),VLOOKUP(Investment_Strategy&amp;"_"&amp;Investment_Strategy_Sub2&amp;"_"&amp;$A669,'Investment Strategies'!$AJ:$AV,11,FALSE),
IF(AND(Investment_Strategy="Autopilot",Investment_Strategy_Sub1="Non-Standard"),VLOOKUP(Investment_Strategy&amp;"_"&amp;Investment_Strategy_Sub2&amp;"_"&amp;$A669,'Investment Strategies'!$T:$AF,11,FALSE),
IF(Investment_Strategy="DIY",DIY_GteeChrge_FuturePremiums,
"Error"))))))</f>
        <v>0</v>
      </c>
      <c r="V669" s="33">
        <f>IF(AV669=0,0,
IF(Investment_Strategy="DIS",VLOOKUP(Investment_Strategy&amp;"_"&amp;Investment_Strategy_Sub1&amp;"_"&amp;$A669,'Investment Strategies'!$AZ:$BP,17,FALSE),
IF(AND(Investment_Strategy="Lifecycle",Investment_Strategy_Sub1="Non-Standard"),VLOOKUP(Investment_Strategy&amp;"_"&amp;Investment_Strategy_Sub2&amp;"_"&amp;$A669,'Investment Strategies'!$C:$P,14,FALSE),
IF(AND(Investment_Strategy="Lifecycle",Investment_Strategy_Sub1="Standard"),VLOOKUP(Investment_Strategy&amp;"_"&amp;Investment_Strategy_Sub2&amp;"_"&amp;$A669,'Investment Strategies'!$AJ:$AV,13,FALSE),
IF(AND(Investment_Strategy="Autopilot",Investment_Strategy_Sub1="Non-Standard"),VLOOKUP(Investment_Strategy&amp;"_"&amp;Investment_Strategy_Sub2&amp;"_"&amp;$A669,'Investment Strategies'!$T:$AF,13,FALSE),
IF(Investment_Strategy="DIY",DIY_ExtManChrge_FuturePremiums,
"Error"))))))</f>
        <v>0</v>
      </c>
      <c r="W669" s="16">
        <f t="shared" ref="W669:W689" si="408">IF($AV668=0,0,SUM(W668:Y668)+AA668)</f>
        <v>0</v>
      </c>
      <c r="X669" s="16">
        <f t="shared" si="385"/>
        <v>0</v>
      </c>
      <c r="Y669" s="16">
        <f t="shared" si="386"/>
        <v>0</v>
      </c>
      <c r="Z669" s="31">
        <f t="shared" si="387"/>
        <v>0.02</v>
      </c>
      <c r="AA669" s="16">
        <f t="shared" si="388"/>
        <v>0</v>
      </c>
      <c r="AB669" s="28">
        <f t="shared" si="374"/>
        <v>0</v>
      </c>
      <c r="AC669" s="28">
        <f>(SUM($AC$91:AC668)+SUM($X$91:X668)+X669)*T669*IF(D669=$A$91,SRP_finalmonthfactor,1)</f>
        <v>0</v>
      </c>
      <c r="AD669" s="16">
        <f t="shared" si="389"/>
        <v>0</v>
      </c>
      <c r="AE669" s="106"/>
      <c r="AF669" s="16">
        <f t="shared" si="397"/>
        <v>0</v>
      </c>
      <c r="AG669" s="16">
        <f t="shared" si="398"/>
        <v>0</v>
      </c>
      <c r="AH669" s="16">
        <f t="shared" si="399"/>
        <v>0</v>
      </c>
      <c r="AJ669" s="13">
        <f t="shared" si="381"/>
        <v>0</v>
      </c>
      <c r="AK669" s="13">
        <f t="shared" si="381"/>
        <v>0</v>
      </c>
      <c r="AL669" s="13">
        <f t="shared" si="381"/>
        <v>0</v>
      </c>
      <c r="AM669" s="13">
        <f t="shared" si="381"/>
        <v>0</v>
      </c>
      <c r="AN669" s="13">
        <f t="shared" si="381"/>
        <v>0</v>
      </c>
      <c r="AO669" s="13">
        <f t="shared" si="381"/>
        <v>1</v>
      </c>
      <c r="AP669" s="13">
        <f t="shared" si="381"/>
        <v>1</v>
      </c>
      <c r="AQ669" s="13">
        <f t="shared" si="381"/>
        <v>1</v>
      </c>
      <c r="AR669" s="13">
        <f t="shared" si="381"/>
        <v>0</v>
      </c>
      <c r="AS669" s="13">
        <f t="shared" si="381"/>
        <v>0</v>
      </c>
      <c r="AT669" s="13">
        <f t="shared" si="381"/>
        <v>0</v>
      </c>
      <c r="AU669" s="13">
        <f t="shared" si="381"/>
        <v>0</v>
      </c>
      <c r="AV669" s="13">
        <f t="shared" si="390"/>
        <v>0</v>
      </c>
      <c r="AW669" s="13">
        <f t="shared" si="391"/>
        <v>1</v>
      </c>
      <c r="AY669" s="17">
        <f t="shared" si="392"/>
        <v>579</v>
      </c>
      <c r="AZ669" s="28">
        <f t="shared" si="400"/>
        <v>0</v>
      </c>
      <c r="BA669" s="13">
        <f t="shared" si="393"/>
        <v>0</v>
      </c>
      <c r="BB669" s="13">
        <f t="shared" si="394"/>
        <v>0</v>
      </c>
      <c r="BC669" s="28">
        <f t="shared" si="401"/>
        <v>0</v>
      </c>
      <c r="BD669" s="28">
        <f t="shared" si="402"/>
        <v>0</v>
      </c>
      <c r="BF669" s="248">
        <f t="shared" si="403"/>
        <v>993869.29442638322</v>
      </c>
    </row>
    <row r="670" spans="1:58">
      <c r="A670" s="32">
        <f t="shared" si="404"/>
        <v>-495</v>
      </c>
      <c r="B670" s="32">
        <f t="shared" si="395"/>
        <v>101</v>
      </c>
      <c r="C670" s="32">
        <f t="shared" si="405"/>
        <v>49</v>
      </c>
      <c r="D670" s="32">
        <f t="shared" si="406"/>
        <v>580</v>
      </c>
      <c r="E670" s="74">
        <f>MIN(IF(AV670=0,0,
IF(Investment_Strategy="DIS",VLOOKUP(Investment_Strategy&amp;"_"&amp;Investment_Strategy_Sub1&amp;"_"&amp;$A670,'Investment Strategies'!$AZ:$BP,12,FALSE),
IF(AND(Investment_Strategy="Lifecycle",Investment_Strategy_Sub1="Non-Standard"),VLOOKUP(Investment_Strategy&amp;"_"&amp;Investment_Strategy_Sub2&amp;"_"&amp;$A670,'Investment Strategies'!$C:$P,9,FALSE),
IF(AND(Investment_Strategy="Lifecycle",Investment_Strategy_Sub1="Standard"),VLOOKUP(Investment_Strategy&amp;"_"&amp;Investment_Strategy_Sub2&amp;"_"&amp;$A670,'Investment Strategies'!$AJ:$AV,8,FALSE),
IF(AND(Investment_Strategy="Autopilot",Investment_Strategy_Sub1="Non-Standard"),VLOOKUP(Investment_Strategy&amp;"_"&amp;Investment_Strategy_Sub2&amp;"_"&amp;$A670,'Investment Strategies'!$T:$AF,8,FALSE),
IF(Investment_Strategy ="DIY",DIY_RateOfReturn_CurrentFunds,
"Error")))))),Max_InvReturn)</f>
        <v>0</v>
      </c>
      <c r="F670" s="62">
        <f>IF(AV670=0,0,
IF(Investment_Strategy="DIS",VLOOKUP(Investment_Strategy&amp;"_"&amp;Investment_Strategy_Sub1&amp;"_"&amp;$A670,'Investment Strategies'!$AZ:$BP,15,FALSE),
IF(AND(Investment_Strategy="Lifecycle",Investment_Strategy_Sub1="Non-Standard"),VLOOKUP(Investment_Strategy&amp;"_"&amp;Investment_Strategy_Sub2&amp;"_"&amp;$A670,'Investment Strategies'!$C:$P,12,FALSE),
IF(AND(Investment_Strategy="Lifecycle",Investment_Strategy_Sub1="Standard"),VLOOKUP(Investment_Strategy&amp;"_"&amp;Investment_Strategy_Sub2&amp;"_"&amp;$A670,'Investment Strategies'!$AJ:$AV,11,FALSE),
IF(AND(Investment_Strategy="Autopilot",Investment_Strategy_Sub1="Non-Standard"),VLOOKUP(Investment_Strategy&amp;"_"&amp;Investment_Strategy_Sub2&amp;"_"&amp;$A670,'Investment Strategies'!$T:$AF,11,FALSE),
IF(Investment_Strategy="DIY",DIY_GteeChrge_CurrentFunds,
"Error"))))))</f>
        <v>0</v>
      </c>
      <c r="G670" s="33">
        <f>IF(AV670=0,0,
IF(Investment_Strategy="DIS",VLOOKUP(Investment_Strategy&amp;"_"&amp;Investment_Strategy_Sub1&amp;"_"&amp;$A670,'Investment Strategies'!$AZ:$BP,17,FALSE),
IF(AND(Investment_Strategy="Lifecycle",Investment_Strategy_Sub1="Non-Standard"),VLOOKUP(Investment_Strategy&amp;"_"&amp;Investment_Strategy_Sub2&amp;"_"&amp;$A670,'Investment Strategies'!$C:$P,14,FALSE),
IF(AND(Investment_Strategy="Lifecycle",Investment_Strategy_Sub1="Standard"),VLOOKUP(Investment_Strategy&amp;"_"&amp;Investment_Strategy_Sub2&amp;"_"&amp;$A670,'Investment Strategies'!$AJ:$AV,13,FALSE),
IF(AND(Investment_Strategy="Autopilot",Investment_Strategy_Sub1="Non-Standard"),VLOOKUP(Investment_Strategy&amp;"_"&amp;Investment_Strategy_Sub2&amp;"_"&amp;$A670,'Investment Strategies'!$T:$AF,13,FALSE),
IF(Investment_Strategy="DIY",DIY_ExtManChrge_CurrentFunds,
"Error"))))))</f>
        <v>0</v>
      </c>
      <c r="H670" s="16">
        <f t="shared" si="396"/>
        <v>0</v>
      </c>
      <c r="I670" s="16">
        <f t="shared" si="382"/>
        <v>0</v>
      </c>
      <c r="J670" s="16">
        <f t="shared" si="383"/>
        <v>0</v>
      </c>
      <c r="K670" s="16">
        <f>(Opening_Fund_Value+SUM(K$91:K669))*E670*IF(D670=$A$91,SRP_finalmonthfactor,1)</f>
        <v>0</v>
      </c>
      <c r="L670" s="74">
        <f>MIN(IF($AV670=0,0,
IF(Investment_Strategy="DIS",VLOOKUP(Investment_Strategy&amp;"_"&amp;Investment_Strategy_Sub1&amp;"_"&amp;$A670,'Investment Strategies'!$AZ:$BP,12,FALSE),
IF(AND(Investment_Strategy="Lifecycle",Investment_Strategy_Sub1="Non-Standard"),VLOOKUP(Investment_Strategy&amp;"_"&amp;Investment_Strategy_Sub2&amp;"_"&amp;$A670,'Investment Strategies'!$C:$P,9,FALSE),
IF(AND(Investment_Strategy="Lifecycle",Investment_Strategy_Sub1="Standard"),VLOOKUP(Investment_Strategy&amp;"_"&amp;Investment_Strategy_Sub2&amp;"_"&amp;$A670,'Investment Strategies'!$AJ:$AV,8,FALSE),
IF(AND(Investment_Strategy="Autopilot",Investment_Strategy_Sub1="Non-Standard"),VLOOKUP(Investment_Strategy&amp;"_"&amp;Investment_Strategy_Sub2&amp;"_"&amp;$A670,'Investment Strategies'!$T:$AF,8,FALSE),
IF(Investment_Strategy ="DIY",DIY_RateofReturn_SP,
"Error")))))),Max_InvReturn)</f>
        <v>0</v>
      </c>
      <c r="M670" s="62">
        <f>IF($AV670=0,0,
IF(Investment_Strategy="DIS",VLOOKUP(Investment_Strategy&amp;"_"&amp;Investment_Strategy_Sub1&amp;"_"&amp;$A670,'Investment Strategies'!$AZ:$BP,15,FALSE),
IF(AND(Investment_Strategy="Lifecycle",Investment_Strategy_Sub1="Non-Standard"),VLOOKUP(Investment_Strategy&amp;"_"&amp;Investment_Strategy_Sub2&amp;"_"&amp;$A670,'Investment Strategies'!$C:$P,12,FALSE),
IF(AND(Investment_Strategy="Lifecycle",Investment_Strategy_Sub1="Standard"),VLOOKUP(Investment_Strategy&amp;"_"&amp;Investment_Strategy_Sub2&amp;"_"&amp;$A670,'Investment Strategies'!$AJ:$AV,11,FALSE),
IF(AND(Investment_Strategy="Autopilot",Investment_Strategy_Sub1="Non-Standard"),VLOOKUP(Investment_Strategy&amp;"_"&amp;Investment_Strategy_Sub2&amp;"_"&amp;$A670,'Investment Strategies'!$T:$AF,11,FALSE),
IF(Investment_Strategy="DIY",DIY_GteeChrge_SP,
"Error"))))))</f>
        <v>0</v>
      </c>
      <c r="N670" s="33">
        <f>IF($AV670=0,0,
IF(Investment_Strategy="DIS",VLOOKUP(Investment_Strategy&amp;"_"&amp;Investment_Strategy_Sub1&amp;"_"&amp;$A670,'Investment Strategies'!$AZ:$BP,17,FALSE),
IF(AND(Investment_Strategy="Lifecycle",Investment_Strategy_Sub1="Non-Standard"),VLOOKUP(Investment_Strategy&amp;"_"&amp;Investment_Strategy_Sub2&amp;"_"&amp;$A670,'Investment Strategies'!$C:$P,14,FALSE),
IF(AND(Investment_Strategy="Lifecycle",Investment_Strategy_Sub1="Standard"),VLOOKUP(Investment_Strategy&amp;"_"&amp;Investment_Strategy_Sub2&amp;"_"&amp;$A670,'Investment Strategies'!$AJ:$AV,13,FALSE),
IF(AND(Investment_Strategy="Autopilot",Investment_Strategy_Sub1="Non-Standard"),VLOOKUP(Investment_Strategy&amp;"_"&amp;Investment_Strategy_Sub2&amp;"_"&amp;$A670,'Investment Strategies'!$T:$AF,13,FALSE),
IF(Investment_Strategy="DIY",DIY_ExtManChrge_SP,
"Error"))))))</f>
        <v>0</v>
      </c>
      <c r="O670" s="16">
        <f t="shared" si="407"/>
        <v>0</v>
      </c>
      <c r="Q670" s="16">
        <f t="shared" si="384"/>
        <v>0</v>
      </c>
      <c r="R670" s="16">
        <f t="shared" si="380"/>
        <v>0</v>
      </c>
      <c r="S670" s="16">
        <f>(SRP_SP+SUM(S$91:S669))*L670*IF(D670=$A$91,SRP_finalmonthfactor,1)</f>
        <v>0</v>
      </c>
      <c r="T670" s="74">
        <f>MIN(IF($AV670=0,0,
IF(Investment_Strategy="DIS",VLOOKUP(Investment_Strategy&amp;"_"&amp;Investment_Strategy_Sub1&amp;"_"&amp;$A670,'Investment Strategies'!$AZ:$BP,12,FALSE),
IF(AND(Investment_Strategy="Lifecycle",Investment_Strategy_Sub1="Non-Standard"),VLOOKUP(Investment_Strategy&amp;"_"&amp;Investment_Strategy_Sub2&amp;"_"&amp;$A670,'Investment Strategies'!$C:$P,9,FALSE),
IF(AND(Investment_Strategy="Lifecycle",Investment_Strategy_Sub1="Standard"),VLOOKUP(Investment_Strategy&amp;"_"&amp;Investment_Strategy_Sub2&amp;"_"&amp;$A670,'Investment Strategies'!$AJ:$AV,8,FALSE),
IF(AND(Investment_Strategy="Autopilot",Investment_Strategy_Sub1="Non-Standard"),VLOOKUP(Investment_Strategy&amp;"_"&amp;Investment_Strategy_Sub2&amp;"_"&amp;$A670,'Investment Strategies'!$T:$AF,8,FALSE),
IF(Investment_Strategy ="DIY",DIY_RateOfReturn_FuturePremiums,
"Error")))))),Max_InvReturn)</f>
        <v>0</v>
      </c>
      <c r="U670" s="62">
        <f>IF($AV670=0,0,
IF(Investment_Strategy="DIS",VLOOKUP(Investment_Strategy&amp;"_"&amp;Investment_Strategy_Sub1&amp;"_"&amp;$A670,'Investment Strategies'!$AZ:$BP,15,FALSE),
IF(AND(Investment_Strategy="Lifecycle",Investment_Strategy_Sub1="Non-Standard"),VLOOKUP(Investment_Strategy&amp;"_"&amp;Investment_Strategy_Sub2&amp;"_"&amp;$A670,'Investment Strategies'!$C:$P,12,FALSE),
IF(AND(Investment_Strategy="Lifecycle",Investment_Strategy_Sub1="Standard"),VLOOKUP(Investment_Strategy&amp;"_"&amp;Investment_Strategy_Sub2&amp;"_"&amp;$A670,'Investment Strategies'!$AJ:$AV,11,FALSE),
IF(AND(Investment_Strategy="Autopilot",Investment_Strategy_Sub1="Non-Standard"),VLOOKUP(Investment_Strategy&amp;"_"&amp;Investment_Strategy_Sub2&amp;"_"&amp;$A670,'Investment Strategies'!$T:$AF,11,FALSE),
IF(Investment_Strategy="DIY",DIY_GteeChrge_FuturePremiums,
"Error"))))))</f>
        <v>0</v>
      </c>
      <c r="V670" s="33">
        <f>IF(AV670=0,0,
IF(Investment_Strategy="DIS",VLOOKUP(Investment_Strategy&amp;"_"&amp;Investment_Strategy_Sub1&amp;"_"&amp;$A670,'Investment Strategies'!$AZ:$BP,17,FALSE),
IF(AND(Investment_Strategy="Lifecycle",Investment_Strategy_Sub1="Non-Standard"),VLOOKUP(Investment_Strategy&amp;"_"&amp;Investment_Strategy_Sub2&amp;"_"&amp;$A670,'Investment Strategies'!$C:$P,14,FALSE),
IF(AND(Investment_Strategy="Lifecycle",Investment_Strategy_Sub1="Standard"),VLOOKUP(Investment_Strategy&amp;"_"&amp;Investment_Strategy_Sub2&amp;"_"&amp;$A670,'Investment Strategies'!$AJ:$AV,13,FALSE),
IF(AND(Investment_Strategy="Autopilot",Investment_Strategy_Sub1="Non-Standard"),VLOOKUP(Investment_Strategy&amp;"_"&amp;Investment_Strategy_Sub2&amp;"_"&amp;$A670,'Investment Strategies'!$T:$AF,13,FALSE),
IF(Investment_Strategy="DIY",DIY_ExtManChrge_FuturePremiums,
"Error"))))))</f>
        <v>0</v>
      </c>
      <c r="W670" s="16">
        <f t="shared" si="408"/>
        <v>0</v>
      </c>
      <c r="X670" s="16">
        <f t="shared" si="385"/>
        <v>0</v>
      </c>
      <c r="Y670" s="16">
        <f t="shared" si="386"/>
        <v>0</v>
      </c>
      <c r="Z670" s="31">
        <f t="shared" si="387"/>
        <v>0.02</v>
      </c>
      <c r="AA670" s="16">
        <f t="shared" si="388"/>
        <v>0</v>
      </c>
      <c r="AB670" s="28">
        <f t="shared" ref="AB670:AB689" si="409">IF($AV669=0,0,SUM(K669,S669,AB669:AC669)+X669)</f>
        <v>0</v>
      </c>
      <c r="AC670" s="28">
        <f>(SUM($AC$91:AC669)+SUM($X$91:X669)+X670)*T670*IF(D670=$A$91,SRP_finalmonthfactor,1)</f>
        <v>0</v>
      </c>
      <c r="AD670" s="16">
        <f t="shared" si="389"/>
        <v>0</v>
      </c>
      <c r="AE670" s="106"/>
      <c r="AF670" s="16">
        <f t="shared" si="397"/>
        <v>0</v>
      </c>
      <c r="AG670" s="16">
        <f t="shared" si="398"/>
        <v>0</v>
      </c>
      <c r="AH670" s="16">
        <f t="shared" si="399"/>
        <v>0</v>
      </c>
      <c r="AJ670" s="13">
        <f t="shared" si="381"/>
        <v>0</v>
      </c>
      <c r="AK670" s="13">
        <f t="shared" si="381"/>
        <v>0</v>
      </c>
      <c r="AL670" s="13">
        <f t="shared" si="381"/>
        <v>0</v>
      </c>
      <c r="AM670" s="13">
        <f t="shared" si="381"/>
        <v>0</v>
      </c>
      <c r="AN670" s="13">
        <f t="shared" si="381"/>
        <v>0</v>
      </c>
      <c r="AO670" s="13">
        <f t="shared" si="381"/>
        <v>1</v>
      </c>
      <c r="AP670" s="13">
        <f t="shared" si="381"/>
        <v>1</v>
      </c>
      <c r="AQ670" s="13">
        <f t="shared" si="381"/>
        <v>1</v>
      </c>
      <c r="AR670" s="13">
        <f t="shared" si="381"/>
        <v>0</v>
      </c>
      <c r="AS670" s="13">
        <f t="shared" si="381"/>
        <v>0</v>
      </c>
      <c r="AT670" s="13">
        <f t="shared" si="381"/>
        <v>0</v>
      </c>
      <c r="AU670" s="13">
        <f t="shared" si="381"/>
        <v>0</v>
      </c>
      <c r="AV670" s="13">
        <f t="shared" si="390"/>
        <v>0</v>
      </c>
      <c r="AW670" s="13">
        <f t="shared" si="391"/>
        <v>1</v>
      </c>
      <c r="AY670" s="17">
        <f t="shared" si="392"/>
        <v>580</v>
      </c>
      <c r="AZ670" s="28">
        <f t="shared" si="400"/>
        <v>0</v>
      </c>
      <c r="BA670" s="13">
        <f t="shared" si="393"/>
        <v>0</v>
      </c>
      <c r="BB670" s="13">
        <f t="shared" si="394"/>
        <v>0</v>
      </c>
      <c r="BC670" s="28">
        <f t="shared" si="401"/>
        <v>0</v>
      </c>
      <c r="BD670" s="28">
        <f t="shared" si="402"/>
        <v>0</v>
      </c>
      <c r="BF670" s="248">
        <f t="shared" si="403"/>
        <v>993869.29442638322</v>
      </c>
    </row>
    <row r="671" spans="1:58">
      <c r="A671" s="32">
        <f t="shared" si="404"/>
        <v>-496</v>
      </c>
      <c r="B671" s="32">
        <f t="shared" si="395"/>
        <v>101</v>
      </c>
      <c r="C671" s="32">
        <f t="shared" si="405"/>
        <v>49</v>
      </c>
      <c r="D671" s="32">
        <f t="shared" si="406"/>
        <v>581</v>
      </c>
      <c r="E671" s="74">
        <f>MIN(IF(AV671=0,0,
IF(Investment_Strategy="DIS",VLOOKUP(Investment_Strategy&amp;"_"&amp;Investment_Strategy_Sub1&amp;"_"&amp;$A671,'Investment Strategies'!$AZ:$BP,12,FALSE),
IF(AND(Investment_Strategy="Lifecycle",Investment_Strategy_Sub1="Non-Standard"),VLOOKUP(Investment_Strategy&amp;"_"&amp;Investment_Strategy_Sub2&amp;"_"&amp;$A671,'Investment Strategies'!$C:$P,9,FALSE),
IF(AND(Investment_Strategy="Lifecycle",Investment_Strategy_Sub1="Standard"),VLOOKUP(Investment_Strategy&amp;"_"&amp;Investment_Strategy_Sub2&amp;"_"&amp;$A671,'Investment Strategies'!$AJ:$AV,8,FALSE),
IF(AND(Investment_Strategy="Autopilot",Investment_Strategy_Sub1="Non-Standard"),VLOOKUP(Investment_Strategy&amp;"_"&amp;Investment_Strategy_Sub2&amp;"_"&amp;$A671,'Investment Strategies'!$T:$AF,8,FALSE),
IF(Investment_Strategy ="DIY",DIY_RateOfReturn_CurrentFunds,
"Error")))))),Max_InvReturn)</f>
        <v>0</v>
      </c>
      <c r="F671" s="62">
        <f>IF(AV671=0,0,
IF(Investment_Strategy="DIS",VLOOKUP(Investment_Strategy&amp;"_"&amp;Investment_Strategy_Sub1&amp;"_"&amp;$A671,'Investment Strategies'!$AZ:$BP,15,FALSE),
IF(AND(Investment_Strategy="Lifecycle",Investment_Strategy_Sub1="Non-Standard"),VLOOKUP(Investment_Strategy&amp;"_"&amp;Investment_Strategy_Sub2&amp;"_"&amp;$A671,'Investment Strategies'!$C:$P,12,FALSE),
IF(AND(Investment_Strategy="Lifecycle",Investment_Strategy_Sub1="Standard"),VLOOKUP(Investment_Strategy&amp;"_"&amp;Investment_Strategy_Sub2&amp;"_"&amp;$A671,'Investment Strategies'!$AJ:$AV,11,FALSE),
IF(AND(Investment_Strategy="Autopilot",Investment_Strategy_Sub1="Non-Standard"),VLOOKUP(Investment_Strategy&amp;"_"&amp;Investment_Strategy_Sub2&amp;"_"&amp;$A671,'Investment Strategies'!$T:$AF,11,FALSE),
IF(Investment_Strategy="DIY",DIY_GteeChrge_CurrentFunds,
"Error"))))))</f>
        <v>0</v>
      </c>
      <c r="G671" s="33">
        <f>IF(AV671=0,0,
IF(Investment_Strategy="DIS",VLOOKUP(Investment_Strategy&amp;"_"&amp;Investment_Strategy_Sub1&amp;"_"&amp;$A671,'Investment Strategies'!$AZ:$BP,17,FALSE),
IF(AND(Investment_Strategy="Lifecycle",Investment_Strategy_Sub1="Non-Standard"),VLOOKUP(Investment_Strategy&amp;"_"&amp;Investment_Strategy_Sub2&amp;"_"&amp;$A671,'Investment Strategies'!$C:$P,14,FALSE),
IF(AND(Investment_Strategy="Lifecycle",Investment_Strategy_Sub1="Standard"),VLOOKUP(Investment_Strategy&amp;"_"&amp;Investment_Strategy_Sub2&amp;"_"&amp;$A671,'Investment Strategies'!$AJ:$AV,13,FALSE),
IF(AND(Investment_Strategy="Autopilot",Investment_Strategy_Sub1="Non-Standard"),VLOOKUP(Investment_Strategy&amp;"_"&amp;Investment_Strategy_Sub2&amp;"_"&amp;$A671,'Investment Strategies'!$T:$AF,13,FALSE),
IF(Investment_Strategy="DIY",DIY_ExtManChrge_CurrentFunds,
"Error"))))))</f>
        <v>0</v>
      </c>
      <c r="H671" s="16">
        <f t="shared" si="396"/>
        <v>0</v>
      </c>
      <c r="I671" s="16">
        <f t="shared" si="382"/>
        <v>0</v>
      </c>
      <c r="J671" s="16">
        <f t="shared" si="383"/>
        <v>0</v>
      </c>
      <c r="K671" s="16">
        <f>(Opening_Fund_Value+SUM(K$91:K670))*E671*IF(D671=$A$91,SRP_finalmonthfactor,1)</f>
        <v>0</v>
      </c>
      <c r="L671" s="74">
        <f>MIN(IF($AV671=0,0,
IF(Investment_Strategy="DIS",VLOOKUP(Investment_Strategy&amp;"_"&amp;Investment_Strategy_Sub1&amp;"_"&amp;$A671,'Investment Strategies'!$AZ:$BP,12,FALSE),
IF(AND(Investment_Strategy="Lifecycle",Investment_Strategy_Sub1="Non-Standard"),VLOOKUP(Investment_Strategy&amp;"_"&amp;Investment_Strategy_Sub2&amp;"_"&amp;$A671,'Investment Strategies'!$C:$P,9,FALSE),
IF(AND(Investment_Strategy="Lifecycle",Investment_Strategy_Sub1="Standard"),VLOOKUP(Investment_Strategy&amp;"_"&amp;Investment_Strategy_Sub2&amp;"_"&amp;$A671,'Investment Strategies'!$AJ:$AV,8,FALSE),
IF(AND(Investment_Strategy="Autopilot",Investment_Strategy_Sub1="Non-Standard"),VLOOKUP(Investment_Strategy&amp;"_"&amp;Investment_Strategy_Sub2&amp;"_"&amp;$A671,'Investment Strategies'!$T:$AF,8,FALSE),
IF(Investment_Strategy ="DIY",DIY_RateofReturn_SP,
"Error")))))),Max_InvReturn)</f>
        <v>0</v>
      </c>
      <c r="M671" s="62">
        <f>IF($AV671=0,0,
IF(Investment_Strategy="DIS",VLOOKUP(Investment_Strategy&amp;"_"&amp;Investment_Strategy_Sub1&amp;"_"&amp;$A671,'Investment Strategies'!$AZ:$BP,15,FALSE),
IF(AND(Investment_Strategy="Lifecycle",Investment_Strategy_Sub1="Non-Standard"),VLOOKUP(Investment_Strategy&amp;"_"&amp;Investment_Strategy_Sub2&amp;"_"&amp;$A671,'Investment Strategies'!$C:$P,12,FALSE),
IF(AND(Investment_Strategy="Lifecycle",Investment_Strategy_Sub1="Standard"),VLOOKUP(Investment_Strategy&amp;"_"&amp;Investment_Strategy_Sub2&amp;"_"&amp;$A671,'Investment Strategies'!$AJ:$AV,11,FALSE),
IF(AND(Investment_Strategy="Autopilot",Investment_Strategy_Sub1="Non-Standard"),VLOOKUP(Investment_Strategy&amp;"_"&amp;Investment_Strategy_Sub2&amp;"_"&amp;$A671,'Investment Strategies'!$T:$AF,11,FALSE),
IF(Investment_Strategy="DIY",DIY_GteeChrge_SP,
"Error"))))))</f>
        <v>0</v>
      </c>
      <c r="N671" s="33">
        <f>IF($AV671=0,0,
IF(Investment_Strategy="DIS",VLOOKUP(Investment_Strategy&amp;"_"&amp;Investment_Strategy_Sub1&amp;"_"&amp;$A671,'Investment Strategies'!$AZ:$BP,17,FALSE),
IF(AND(Investment_Strategy="Lifecycle",Investment_Strategy_Sub1="Non-Standard"),VLOOKUP(Investment_Strategy&amp;"_"&amp;Investment_Strategy_Sub2&amp;"_"&amp;$A671,'Investment Strategies'!$C:$P,14,FALSE),
IF(AND(Investment_Strategy="Lifecycle",Investment_Strategy_Sub1="Standard"),VLOOKUP(Investment_Strategy&amp;"_"&amp;Investment_Strategy_Sub2&amp;"_"&amp;$A671,'Investment Strategies'!$AJ:$AV,13,FALSE),
IF(AND(Investment_Strategy="Autopilot",Investment_Strategy_Sub1="Non-Standard"),VLOOKUP(Investment_Strategy&amp;"_"&amp;Investment_Strategy_Sub2&amp;"_"&amp;$A671,'Investment Strategies'!$T:$AF,13,FALSE),
IF(Investment_Strategy="DIY",DIY_ExtManChrge_SP,
"Error"))))))</f>
        <v>0</v>
      </c>
      <c r="O671" s="16">
        <f t="shared" si="407"/>
        <v>0</v>
      </c>
      <c r="Q671" s="16">
        <f t="shared" si="384"/>
        <v>0</v>
      </c>
      <c r="R671" s="16">
        <f t="shared" si="380"/>
        <v>0</v>
      </c>
      <c r="S671" s="16">
        <f>(SRP_SP+SUM(S$91:S670))*L671*IF(D671=$A$91,SRP_finalmonthfactor,1)</f>
        <v>0</v>
      </c>
      <c r="T671" s="74">
        <f>MIN(IF($AV671=0,0,
IF(Investment_Strategy="DIS",VLOOKUP(Investment_Strategy&amp;"_"&amp;Investment_Strategy_Sub1&amp;"_"&amp;$A671,'Investment Strategies'!$AZ:$BP,12,FALSE),
IF(AND(Investment_Strategy="Lifecycle",Investment_Strategy_Sub1="Non-Standard"),VLOOKUP(Investment_Strategy&amp;"_"&amp;Investment_Strategy_Sub2&amp;"_"&amp;$A671,'Investment Strategies'!$C:$P,9,FALSE),
IF(AND(Investment_Strategy="Lifecycle",Investment_Strategy_Sub1="Standard"),VLOOKUP(Investment_Strategy&amp;"_"&amp;Investment_Strategy_Sub2&amp;"_"&amp;$A671,'Investment Strategies'!$AJ:$AV,8,FALSE),
IF(AND(Investment_Strategy="Autopilot",Investment_Strategy_Sub1="Non-Standard"),VLOOKUP(Investment_Strategy&amp;"_"&amp;Investment_Strategy_Sub2&amp;"_"&amp;$A671,'Investment Strategies'!$T:$AF,8,FALSE),
IF(Investment_Strategy ="DIY",DIY_RateOfReturn_FuturePremiums,
"Error")))))),Max_InvReturn)</f>
        <v>0</v>
      </c>
      <c r="U671" s="62">
        <f>IF($AV671=0,0,
IF(Investment_Strategy="DIS",VLOOKUP(Investment_Strategy&amp;"_"&amp;Investment_Strategy_Sub1&amp;"_"&amp;$A671,'Investment Strategies'!$AZ:$BP,15,FALSE),
IF(AND(Investment_Strategy="Lifecycle",Investment_Strategy_Sub1="Non-Standard"),VLOOKUP(Investment_Strategy&amp;"_"&amp;Investment_Strategy_Sub2&amp;"_"&amp;$A671,'Investment Strategies'!$C:$P,12,FALSE),
IF(AND(Investment_Strategy="Lifecycle",Investment_Strategy_Sub1="Standard"),VLOOKUP(Investment_Strategy&amp;"_"&amp;Investment_Strategy_Sub2&amp;"_"&amp;$A671,'Investment Strategies'!$AJ:$AV,11,FALSE),
IF(AND(Investment_Strategy="Autopilot",Investment_Strategy_Sub1="Non-Standard"),VLOOKUP(Investment_Strategy&amp;"_"&amp;Investment_Strategy_Sub2&amp;"_"&amp;$A671,'Investment Strategies'!$T:$AF,11,FALSE),
IF(Investment_Strategy="DIY",DIY_GteeChrge_FuturePremiums,
"Error"))))))</f>
        <v>0</v>
      </c>
      <c r="V671" s="33">
        <f>IF(AV671=0,0,
IF(Investment_Strategy="DIS",VLOOKUP(Investment_Strategy&amp;"_"&amp;Investment_Strategy_Sub1&amp;"_"&amp;$A671,'Investment Strategies'!$AZ:$BP,17,FALSE),
IF(AND(Investment_Strategy="Lifecycle",Investment_Strategy_Sub1="Non-Standard"),VLOOKUP(Investment_Strategy&amp;"_"&amp;Investment_Strategy_Sub2&amp;"_"&amp;$A671,'Investment Strategies'!$C:$P,14,FALSE),
IF(AND(Investment_Strategy="Lifecycle",Investment_Strategy_Sub1="Standard"),VLOOKUP(Investment_Strategy&amp;"_"&amp;Investment_Strategy_Sub2&amp;"_"&amp;$A671,'Investment Strategies'!$AJ:$AV,13,FALSE),
IF(AND(Investment_Strategy="Autopilot",Investment_Strategy_Sub1="Non-Standard"),VLOOKUP(Investment_Strategy&amp;"_"&amp;Investment_Strategy_Sub2&amp;"_"&amp;$A671,'Investment Strategies'!$T:$AF,13,FALSE),
IF(Investment_Strategy="DIY",DIY_ExtManChrge_FuturePremiums,
"Error"))))))</f>
        <v>0</v>
      </c>
      <c r="W671" s="16">
        <f t="shared" si="408"/>
        <v>0</v>
      </c>
      <c r="X671" s="16">
        <f t="shared" si="385"/>
        <v>0</v>
      </c>
      <c r="Y671" s="16">
        <f t="shared" si="386"/>
        <v>0</v>
      </c>
      <c r="Z671" s="31">
        <f t="shared" si="387"/>
        <v>0.02</v>
      </c>
      <c r="AA671" s="16">
        <f t="shared" si="388"/>
        <v>0</v>
      </c>
      <c r="AB671" s="28">
        <f t="shared" si="409"/>
        <v>0</v>
      </c>
      <c r="AC671" s="28">
        <f>(SUM($AC$91:AC670)+SUM($X$91:X670)+X671)*T671*IF(D671=$A$91,SRP_finalmonthfactor,1)</f>
        <v>0</v>
      </c>
      <c r="AD671" s="16">
        <f t="shared" si="389"/>
        <v>0</v>
      </c>
      <c r="AE671" s="106"/>
      <c r="AF671" s="16">
        <f t="shared" si="397"/>
        <v>0</v>
      </c>
      <c r="AG671" s="16">
        <f t="shared" si="398"/>
        <v>0</v>
      </c>
      <c r="AH671" s="16">
        <f t="shared" si="399"/>
        <v>0</v>
      </c>
      <c r="AJ671" s="13">
        <f t="shared" ref="AJ671:AU680" si="410">IF($C671&lt;=AJ$90,1,0)</f>
        <v>0</v>
      </c>
      <c r="AK671" s="13">
        <f t="shared" si="410"/>
        <v>0</v>
      </c>
      <c r="AL671" s="13">
        <f t="shared" si="410"/>
        <v>0</v>
      </c>
      <c r="AM671" s="13">
        <f t="shared" si="410"/>
        <v>0</v>
      </c>
      <c r="AN671" s="13">
        <f t="shared" si="410"/>
        <v>0</v>
      </c>
      <c r="AO671" s="13">
        <f t="shared" si="410"/>
        <v>1</v>
      </c>
      <c r="AP671" s="13">
        <f t="shared" si="410"/>
        <v>1</v>
      </c>
      <c r="AQ671" s="13">
        <f t="shared" si="410"/>
        <v>1</v>
      </c>
      <c r="AR671" s="13">
        <f t="shared" si="410"/>
        <v>0</v>
      </c>
      <c r="AS671" s="13">
        <f t="shared" si="410"/>
        <v>0</v>
      </c>
      <c r="AT671" s="13">
        <f t="shared" si="410"/>
        <v>0</v>
      </c>
      <c r="AU671" s="13">
        <f t="shared" si="410"/>
        <v>0</v>
      </c>
      <c r="AV671" s="13">
        <f t="shared" si="390"/>
        <v>0</v>
      </c>
      <c r="AW671" s="13">
        <f t="shared" si="391"/>
        <v>1</v>
      </c>
      <c r="AY671" s="17">
        <f t="shared" si="392"/>
        <v>581</v>
      </c>
      <c r="AZ671" s="28">
        <f t="shared" si="400"/>
        <v>0</v>
      </c>
      <c r="BA671" s="13">
        <f t="shared" si="393"/>
        <v>0</v>
      </c>
      <c r="BB671" s="13">
        <f t="shared" si="394"/>
        <v>0</v>
      </c>
      <c r="BC671" s="28">
        <f t="shared" si="401"/>
        <v>0</v>
      </c>
      <c r="BD671" s="28">
        <f t="shared" si="402"/>
        <v>0</v>
      </c>
      <c r="BF671" s="248">
        <f t="shared" si="403"/>
        <v>993869.29442638322</v>
      </c>
    </row>
    <row r="672" spans="1:58">
      <c r="A672" s="32">
        <f t="shared" si="404"/>
        <v>-497</v>
      </c>
      <c r="B672" s="32">
        <f t="shared" si="395"/>
        <v>101</v>
      </c>
      <c r="C672" s="32">
        <f t="shared" si="405"/>
        <v>49</v>
      </c>
      <c r="D672" s="32">
        <f t="shared" si="406"/>
        <v>582</v>
      </c>
      <c r="E672" s="74">
        <f>MIN(IF(AV672=0,0,
IF(Investment_Strategy="DIS",VLOOKUP(Investment_Strategy&amp;"_"&amp;Investment_Strategy_Sub1&amp;"_"&amp;$A672,'Investment Strategies'!$AZ:$BP,12,FALSE),
IF(AND(Investment_Strategy="Lifecycle",Investment_Strategy_Sub1="Non-Standard"),VLOOKUP(Investment_Strategy&amp;"_"&amp;Investment_Strategy_Sub2&amp;"_"&amp;$A672,'Investment Strategies'!$C:$P,9,FALSE),
IF(AND(Investment_Strategy="Lifecycle",Investment_Strategy_Sub1="Standard"),VLOOKUP(Investment_Strategy&amp;"_"&amp;Investment_Strategy_Sub2&amp;"_"&amp;$A672,'Investment Strategies'!$AJ:$AV,8,FALSE),
IF(AND(Investment_Strategy="Autopilot",Investment_Strategy_Sub1="Non-Standard"),VLOOKUP(Investment_Strategy&amp;"_"&amp;Investment_Strategy_Sub2&amp;"_"&amp;$A672,'Investment Strategies'!$T:$AF,8,FALSE),
IF(Investment_Strategy ="DIY",DIY_RateOfReturn_CurrentFunds,
"Error")))))),Max_InvReturn)</f>
        <v>0</v>
      </c>
      <c r="F672" s="62">
        <f>IF(AV672=0,0,
IF(Investment_Strategy="DIS",VLOOKUP(Investment_Strategy&amp;"_"&amp;Investment_Strategy_Sub1&amp;"_"&amp;$A672,'Investment Strategies'!$AZ:$BP,15,FALSE),
IF(AND(Investment_Strategy="Lifecycle",Investment_Strategy_Sub1="Non-Standard"),VLOOKUP(Investment_Strategy&amp;"_"&amp;Investment_Strategy_Sub2&amp;"_"&amp;$A672,'Investment Strategies'!$C:$P,12,FALSE),
IF(AND(Investment_Strategy="Lifecycle",Investment_Strategy_Sub1="Standard"),VLOOKUP(Investment_Strategy&amp;"_"&amp;Investment_Strategy_Sub2&amp;"_"&amp;$A672,'Investment Strategies'!$AJ:$AV,11,FALSE),
IF(AND(Investment_Strategy="Autopilot",Investment_Strategy_Sub1="Non-Standard"),VLOOKUP(Investment_Strategy&amp;"_"&amp;Investment_Strategy_Sub2&amp;"_"&amp;$A672,'Investment Strategies'!$T:$AF,11,FALSE),
IF(Investment_Strategy="DIY",DIY_GteeChrge_CurrentFunds,
"Error"))))))</f>
        <v>0</v>
      </c>
      <c r="G672" s="33">
        <f>IF(AV672=0,0,
IF(Investment_Strategy="DIS",VLOOKUP(Investment_Strategy&amp;"_"&amp;Investment_Strategy_Sub1&amp;"_"&amp;$A672,'Investment Strategies'!$AZ:$BP,17,FALSE),
IF(AND(Investment_Strategy="Lifecycle",Investment_Strategy_Sub1="Non-Standard"),VLOOKUP(Investment_Strategy&amp;"_"&amp;Investment_Strategy_Sub2&amp;"_"&amp;$A672,'Investment Strategies'!$C:$P,14,FALSE),
IF(AND(Investment_Strategy="Lifecycle",Investment_Strategy_Sub1="Standard"),VLOOKUP(Investment_Strategy&amp;"_"&amp;Investment_Strategy_Sub2&amp;"_"&amp;$A672,'Investment Strategies'!$AJ:$AV,13,FALSE),
IF(AND(Investment_Strategy="Autopilot",Investment_Strategy_Sub1="Non-Standard"),VLOOKUP(Investment_Strategy&amp;"_"&amp;Investment_Strategy_Sub2&amp;"_"&amp;$A672,'Investment Strategies'!$T:$AF,13,FALSE),
IF(Investment_Strategy="DIY",DIY_ExtManChrge_CurrentFunds,
"Error"))))))</f>
        <v>0</v>
      </c>
      <c r="H672" s="16">
        <f t="shared" si="396"/>
        <v>0</v>
      </c>
      <c r="I672" s="16">
        <f t="shared" si="382"/>
        <v>0</v>
      </c>
      <c r="J672" s="16">
        <f t="shared" si="383"/>
        <v>0</v>
      </c>
      <c r="K672" s="16">
        <f>(Opening_Fund_Value+SUM(K$91:K671))*E672*IF(D672=$A$91,SRP_finalmonthfactor,1)</f>
        <v>0</v>
      </c>
      <c r="L672" s="74">
        <f>MIN(IF($AV672=0,0,
IF(Investment_Strategy="DIS",VLOOKUP(Investment_Strategy&amp;"_"&amp;Investment_Strategy_Sub1&amp;"_"&amp;$A672,'Investment Strategies'!$AZ:$BP,12,FALSE),
IF(AND(Investment_Strategy="Lifecycle",Investment_Strategy_Sub1="Non-Standard"),VLOOKUP(Investment_Strategy&amp;"_"&amp;Investment_Strategy_Sub2&amp;"_"&amp;$A672,'Investment Strategies'!$C:$P,9,FALSE),
IF(AND(Investment_Strategy="Lifecycle",Investment_Strategy_Sub1="Standard"),VLOOKUP(Investment_Strategy&amp;"_"&amp;Investment_Strategy_Sub2&amp;"_"&amp;$A672,'Investment Strategies'!$AJ:$AV,8,FALSE),
IF(AND(Investment_Strategy="Autopilot",Investment_Strategy_Sub1="Non-Standard"),VLOOKUP(Investment_Strategy&amp;"_"&amp;Investment_Strategy_Sub2&amp;"_"&amp;$A672,'Investment Strategies'!$T:$AF,8,FALSE),
IF(Investment_Strategy ="DIY",DIY_RateofReturn_SP,
"Error")))))),Max_InvReturn)</f>
        <v>0</v>
      </c>
      <c r="M672" s="62">
        <f>IF($AV672=0,0,
IF(Investment_Strategy="DIS",VLOOKUP(Investment_Strategy&amp;"_"&amp;Investment_Strategy_Sub1&amp;"_"&amp;$A672,'Investment Strategies'!$AZ:$BP,15,FALSE),
IF(AND(Investment_Strategy="Lifecycle",Investment_Strategy_Sub1="Non-Standard"),VLOOKUP(Investment_Strategy&amp;"_"&amp;Investment_Strategy_Sub2&amp;"_"&amp;$A672,'Investment Strategies'!$C:$P,12,FALSE),
IF(AND(Investment_Strategy="Lifecycle",Investment_Strategy_Sub1="Standard"),VLOOKUP(Investment_Strategy&amp;"_"&amp;Investment_Strategy_Sub2&amp;"_"&amp;$A672,'Investment Strategies'!$AJ:$AV,11,FALSE),
IF(AND(Investment_Strategy="Autopilot",Investment_Strategy_Sub1="Non-Standard"),VLOOKUP(Investment_Strategy&amp;"_"&amp;Investment_Strategy_Sub2&amp;"_"&amp;$A672,'Investment Strategies'!$T:$AF,11,FALSE),
IF(Investment_Strategy="DIY",DIY_GteeChrge_SP,
"Error"))))))</f>
        <v>0</v>
      </c>
      <c r="N672" s="33">
        <f>IF($AV672=0,0,
IF(Investment_Strategy="DIS",VLOOKUP(Investment_Strategy&amp;"_"&amp;Investment_Strategy_Sub1&amp;"_"&amp;$A672,'Investment Strategies'!$AZ:$BP,17,FALSE),
IF(AND(Investment_Strategy="Lifecycle",Investment_Strategy_Sub1="Non-Standard"),VLOOKUP(Investment_Strategy&amp;"_"&amp;Investment_Strategy_Sub2&amp;"_"&amp;$A672,'Investment Strategies'!$C:$P,14,FALSE),
IF(AND(Investment_Strategy="Lifecycle",Investment_Strategy_Sub1="Standard"),VLOOKUP(Investment_Strategy&amp;"_"&amp;Investment_Strategy_Sub2&amp;"_"&amp;$A672,'Investment Strategies'!$AJ:$AV,13,FALSE),
IF(AND(Investment_Strategy="Autopilot",Investment_Strategy_Sub1="Non-Standard"),VLOOKUP(Investment_Strategy&amp;"_"&amp;Investment_Strategy_Sub2&amp;"_"&amp;$A672,'Investment Strategies'!$T:$AF,13,FALSE),
IF(Investment_Strategy="DIY",DIY_ExtManChrge_SP,
"Error"))))))</f>
        <v>0</v>
      </c>
      <c r="O672" s="16">
        <f t="shared" si="407"/>
        <v>0</v>
      </c>
      <c r="Q672" s="16">
        <f t="shared" si="384"/>
        <v>0</v>
      </c>
      <c r="R672" s="16">
        <f t="shared" si="380"/>
        <v>0</v>
      </c>
      <c r="S672" s="16">
        <f>(SRP_SP+SUM(S$91:S671))*L672*IF(D672=$A$91,SRP_finalmonthfactor,1)</f>
        <v>0</v>
      </c>
      <c r="T672" s="74">
        <f>MIN(IF($AV672=0,0,
IF(Investment_Strategy="DIS",VLOOKUP(Investment_Strategy&amp;"_"&amp;Investment_Strategy_Sub1&amp;"_"&amp;$A672,'Investment Strategies'!$AZ:$BP,12,FALSE),
IF(AND(Investment_Strategy="Lifecycle",Investment_Strategy_Sub1="Non-Standard"),VLOOKUP(Investment_Strategy&amp;"_"&amp;Investment_Strategy_Sub2&amp;"_"&amp;$A672,'Investment Strategies'!$C:$P,9,FALSE),
IF(AND(Investment_Strategy="Lifecycle",Investment_Strategy_Sub1="Standard"),VLOOKUP(Investment_Strategy&amp;"_"&amp;Investment_Strategy_Sub2&amp;"_"&amp;$A672,'Investment Strategies'!$AJ:$AV,8,FALSE),
IF(AND(Investment_Strategy="Autopilot",Investment_Strategy_Sub1="Non-Standard"),VLOOKUP(Investment_Strategy&amp;"_"&amp;Investment_Strategy_Sub2&amp;"_"&amp;$A672,'Investment Strategies'!$T:$AF,8,FALSE),
IF(Investment_Strategy ="DIY",DIY_RateOfReturn_FuturePremiums,
"Error")))))),Max_InvReturn)</f>
        <v>0</v>
      </c>
      <c r="U672" s="62">
        <f>IF($AV672=0,0,
IF(Investment_Strategy="DIS",VLOOKUP(Investment_Strategy&amp;"_"&amp;Investment_Strategy_Sub1&amp;"_"&amp;$A672,'Investment Strategies'!$AZ:$BP,15,FALSE),
IF(AND(Investment_Strategy="Lifecycle",Investment_Strategy_Sub1="Non-Standard"),VLOOKUP(Investment_Strategy&amp;"_"&amp;Investment_Strategy_Sub2&amp;"_"&amp;$A672,'Investment Strategies'!$C:$P,12,FALSE),
IF(AND(Investment_Strategy="Lifecycle",Investment_Strategy_Sub1="Standard"),VLOOKUP(Investment_Strategy&amp;"_"&amp;Investment_Strategy_Sub2&amp;"_"&amp;$A672,'Investment Strategies'!$AJ:$AV,11,FALSE),
IF(AND(Investment_Strategy="Autopilot",Investment_Strategy_Sub1="Non-Standard"),VLOOKUP(Investment_Strategy&amp;"_"&amp;Investment_Strategy_Sub2&amp;"_"&amp;$A672,'Investment Strategies'!$T:$AF,11,FALSE),
IF(Investment_Strategy="DIY",DIY_GteeChrge_FuturePremiums,
"Error"))))))</f>
        <v>0</v>
      </c>
      <c r="V672" s="33">
        <f>IF(AV672=0,0,
IF(Investment_Strategy="DIS",VLOOKUP(Investment_Strategy&amp;"_"&amp;Investment_Strategy_Sub1&amp;"_"&amp;$A672,'Investment Strategies'!$AZ:$BP,17,FALSE),
IF(AND(Investment_Strategy="Lifecycle",Investment_Strategy_Sub1="Non-Standard"),VLOOKUP(Investment_Strategy&amp;"_"&amp;Investment_Strategy_Sub2&amp;"_"&amp;$A672,'Investment Strategies'!$C:$P,14,FALSE),
IF(AND(Investment_Strategy="Lifecycle",Investment_Strategy_Sub1="Standard"),VLOOKUP(Investment_Strategy&amp;"_"&amp;Investment_Strategy_Sub2&amp;"_"&amp;$A672,'Investment Strategies'!$AJ:$AV,13,FALSE),
IF(AND(Investment_Strategy="Autopilot",Investment_Strategy_Sub1="Non-Standard"),VLOOKUP(Investment_Strategy&amp;"_"&amp;Investment_Strategy_Sub2&amp;"_"&amp;$A672,'Investment Strategies'!$T:$AF,13,FALSE),
IF(Investment_Strategy="DIY",DIY_ExtManChrge_FuturePremiums,
"Error"))))))</f>
        <v>0</v>
      </c>
      <c r="W672" s="16">
        <f t="shared" si="408"/>
        <v>0</v>
      </c>
      <c r="X672" s="16">
        <f t="shared" si="385"/>
        <v>0</v>
      </c>
      <c r="Y672" s="16">
        <f t="shared" si="386"/>
        <v>0</v>
      </c>
      <c r="Z672" s="31">
        <f t="shared" si="387"/>
        <v>0.02</v>
      </c>
      <c r="AA672" s="16">
        <f t="shared" si="388"/>
        <v>0</v>
      </c>
      <c r="AB672" s="28">
        <f t="shared" si="409"/>
        <v>0</v>
      </c>
      <c r="AC672" s="28">
        <f>(SUM($AC$91:AC671)+SUM($X$91:X671)+X672)*T672*IF(D672=$A$91,SRP_finalmonthfactor,1)</f>
        <v>0</v>
      </c>
      <c r="AD672" s="16">
        <f t="shared" si="389"/>
        <v>0</v>
      </c>
      <c r="AE672" s="106"/>
      <c r="AF672" s="16">
        <f t="shared" si="397"/>
        <v>0</v>
      </c>
      <c r="AG672" s="16">
        <f t="shared" si="398"/>
        <v>0</v>
      </c>
      <c r="AH672" s="16">
        <f t="shared" si="399"/>
        <v>0</v>
      </c>
      <c r="AJ672" s="13">
        <f t="shared" si="410"/>
        <v>0</v>
      </c>
      <c r="AK672" s="13">
        <f t="shared" si="410"/>
        <v>0</v>
      </c>
      <c r="AL672" s="13">
        <f t="shared" si="410"/>
        <v>0</v>
      </c>
      <c r="AM672" s="13">
        <f t="shared" si="410"/>
        <v>0</v>
      </c>
      <c r="AN672" s="13">
        <f t="shared" si="410"/>
        <v>0</v>
      </c>
      <c r="AO672" s="13">
        <f t="shared" si="410"/>
        <v>1</v>
      </c>
      <c r="AP672" s="13">
        <f t="shared" si="410"/>
        <v>1</v>
      </c>
      <c r="AQ672" s="13">
        <f t="shared" si="410"/>
        <v>1</v>
      </c>
      <c r="AR672" s="13">
        <f t="shared" si="410"/>
        <v>0</v>
      </c>
      <c r="AS672" s="13">
        <f t="shared" si="410"/>
        <v>0</v>
      </c>
      <c r="AT672" s="13">
        <f t="shared" si="410"/>
        <v>0</v>
      </c>
      <c r="AU672" s="13">
        <f t="shared" si="410"/>
        <v>0</v>
      </c>
      <c r="AV672" s="13">
        <f t="shared" si="390"/>
        <v>0</v>
      </c>
      <c r="AW672" s="13">
        <f t="shared" si="391"/>
        <v>1</v>
      </c>
      <c r="AY672" s="17">
        <f t="shared" si="392"/>
        <v>582</v>
      </c>
      <c r="AZ672" s="28">
        <f t="shared" si="400"/>
        <v>0</v>
      </c>
      <c r="BA672" s="13">
        <f t="shared" si="393"/>
        <v>0</v>
      </c>
      <c r="BB672" s="13">
        <f t="shared" si="394"/>
        <v>0</v>
      </c>
      <c r="BC672" s="28">
        <f t="shared" si="401"/>
        <v>0</v>
      </c>
      <c r="BD672" s="28">
        <f t="shared" si="402"/>
        <v>0</v>
      </c>
      <c r="BF672" s="248">
        <f t="shared" si="403"/>
        <v>993869.29442638322</v>
      </c>
    </row>
    <row r="673" spans="1:58">
      <c r="A673" s="32">
        <f t="shared" si="404"/>
        <v>-498</v>
      </c>
      <c r="B673" s="32">
        <f t="shared" si="395"/>
        <v>101</v>
      </c>
      <c r="C673" s="32">
        <f t="shared" si="405"/>
        <v>49</v>
      </c>
      <c r="D673" s="32">
        <f t="shared" si="406"/>
        <v>583</v>
      </c>
      <c r="E673" s="74">
        <f>MIN(IF(AV673=0,0,
IF(Investment_Strategy="DIS",VLOOKUP(Investment_Strategy&amp;"_"&amp;Investment_Strategy_Sub1&amp;"_"&amp;$A673,'Investment Strategies'!$AZ:$BP,12,FALSE),
IF(AND(Investment_Strategy="Lifecycle",Investment_Strategy_Sub1="Non-Standard"),VLOOKUP(Investment_Strategy&amp;"_"&amp;Investment_Strategy_Sub2&amp;"_"&amp;$A673,'Investment Strategies'!$C:$P,9,FALSE),
IF(AND(Investment_Strategy="Lifecycle",Investment_Strategy_Sub1="Standard"),VLOOKUP(Investment_Strategy&amp;"_"&amp;Investment_Strategy_Sub2&amp;"_"&amp;$A673,'Investment Strategies'!$AJ:$AV,8,FALSE),
IF(AND(Investment_Strategy="Autopilot",Investment_Strategy_Sub1="Non-Standard"),VLOOKUP(Investment_Strategy&amp;"_"&amp;Investment_Strategy_Sub2&amp;"_"&amp;$A673,'Investment Strategies'!$T:$AF,8,FALSE),
IF(Investment_Strategy ="DIY",DIY_RateOfReturn_CurrentFunds,
"Error")))))),Max_InvReturn)</f>
        <v>0</v>
      </c>
      <c r="F673" s="62">
        <f>IF(AV673=0,0,
IF(Investment_Strategy="DIS",VLOOKUP(Investment_Strategy&amp;"_"&amp;Investment_Strategy_Sub1&amp;"_"&amp;$A673,'Investment Strategies'!$AZ:$BP,15,FALSE),
IF(AND(Investment_Strategy="Lifecycle",Investment_Strategy_Sub1="Non-Standard"),VLOOKUP(Investment_Strategy&amp;"_"&amp;Investment_Strategy_Sub2&amp;"_"&amp;$A673,'Investment Strategies'!$C:$P,12,FALSE),
IF(AND(Investment_Strategy="Lifecycle",Investment_Strategy_Sub1="Standard"),VLOOKUP(Investment_Strategy&amp;"_"&amp;Investment_Strategy_Sub2&amp;"_"&amp;$A673,'Investment Strategies'!$AJ:$AV,11,FALSE),
IF(AND(Investment_Strategy="Autopilot",Investment_Strategy_Sub1="Non-Standard"),VLOOKUP(Investment_Strategy&amp;"_"&amp;Investment_Strategy_Sub2&amp;"_"&amp;$A673,'Investment Strategies'!$T:$AF,11,FALSE),
IF(Investment_Strategy="DIY",DIY_GteeChrge_CurrentFunds,
"Error"))))))</f>
        <v>0</v>
      </c>
      <c r="G673" s="33">
        <f>IF(AV673=0,0,
IF(Investment_Strategy="DIS",VLOOKUP(Investment_Strategy&amp;"_"&amp;Investment_Strategy_Sub1&amp;"_"&amp;$A673,'Investment Strategies'!$AZ:$BP,17,FALSE),
IF(AND(Investment_Strategy="Lifecycle",Investment_Strategy_Sub1="Non-Standard"),VLOOKUP(Investment_Strategy&amp;"_"&amp;Investment_Strategy_Sub2&amp;"_"&amp;$A673,'Investment Strategies'!$C:$P,14,FALSE),
IF(AND(Investment_Strategy="Lifecycle",Investment_Strategy_Sub1="Standard"),VLOOKUP(Investment_Strategy&amp;"_"&amp;Investment_Strategy_Sub2&amp;"_"&amp;$A673,'Investment Strategies'!$AJ:$AV,13,FALSE),
IF(AND(Investment_Strategy="Autopilot",Investment_Strategy_Sub1="Non-Standard"),VLOOKUP(Investment_Strategy&amp;"_"&amp;Investment_Strategy_Sub2&amp;"_"&amp;$A673,'Investment Strategies'!$T:$AF,13,FALSE),
IF(Investment_Strategy="DIY",DIY_ExtManChrge_CurrentFunds,
"Error"))))))</f>
        <v>0</v>
      </c>
      <c r="H673" s="16">
        <f t="shared" si="396"/>
        <v>0</v>
      </c>
      <c r="I673" s="16">
        <f t="shared" si="382"/>
        <v>0</v>
      </c>
      <c r="J673" s="16">
        <f t="shared" si="383"/>
        <v>0</v>
      </c>
      <c r="K673" s="16">
        <f>(Opening_Fund_Value+SUM(K$91:K672))*E673*IF(D673=$A$91,SRP_finalmonthfactor,1)</f>
        <v>0</v>
      </c>
      <c r="L673" s="74">
        <f>MIN(IF($AV673=0,0,
IF(Investment_Strategy="DIS",VLOOKUP(Investment_Strategy&amp;"_"&amp;Investment_Strategy_Sub1&amp;"_"&amp;$A673,'Investment Strategies'!$AZ:$BP,12,FALSE),
IF(AND(Investment_Strategy="Lifecycle",Investment_Strategy_Sub1="Non-Standard"),VLOOKUP(Investment_Strategy&amp;"_"&amp;Investment_Strategy_Sub2&amp;"_"&amp;$A673,'Investment Strategies'!$C:$P,9,FALSE),
IF(AND(Investment_Strategy="Lifecycle",Investment_Strategy_Sub1="Standard"),VLOOKUP(Investment_Strategy&amp;"_"&amp;Investment_Strategy_Sub2&amp;"_"&amp;$A673,'Investment Strategies'!$AJ:$AV,8,FALSE),
IF(AND(Investment_Strategy="Autopilot",Investment_Strategy_Sub1="Non-Standard"),VLOOKUP(Investment_Strategy&amp;"_"&amp;Investment_Strategy_Sub2&amp;"_"&amp;$A673,'Investment Strategies'!$T:$AF,8,FALSE),
IF(Investment_Strategy ="DIY",DIY_RateofReturn_SP,
"Error")))))),Max_InvReturn)</f>
        <v>0</v>
      </c>
      <c r="M673" s="62">
        <f>IF($AV673=0,0,
IF(Investment_Strategy="DIS",VLOOKUP(Investment_Strategy&amp;"_"&amp;Investment_Strategy_Sub1&amp;"_"&amp;$A673,'Investment Strategies'!$AZ:$BP,15,FALSE),
IF(AND(Investment_Strategy="Lifecycle",Investment_Strategy_Sub1="Non-Standard"),VLOOKUP(Investment_Strategy&amp;"_"&amp;Investment_Strategy_Sub2&amp;"_"&amp;$A673,'Investment Strategies'!$C:$P,12,FALSE),
IF(AND(Investment_Strategy="Lifecycle",Investment_Strategy_Sub1="Standard"),VLOOKUP(Investment_Strategy&amp;"_"&amp;Investment_Strategy_Sub2&amp;"_"&amp;$A673,'Investment Strategies'!$AJ:$AV,11,FALSE),
IF(AND(Investment_Strategy="Autopilot",Investment_Strategy_Sub1="Non-Standard"),VLOOKUP(Investment_Strategy&amp;"_"&amp;Investment_Strategy_Sub2&amp;"_"&amp;$A673,'Investment Strategies'!$T:$AF,11,FALSE),
IF(Investment_Strategy="DIY",DIY_GteeChrge_SP,
"Error"))))))</f>
        <v>0</v>
      </c>
      <c r="N673" s="33">
        <f>IF($AV673=0,0,
IF(Investment_Strategy="DIS",VLOOKUP(Investment_Strategy&amp;"_"&amp;Investment_Strategy_Sub1&amp;"_"&amp;$A673,'Investment Strategies'!$AZ:$BP,17,FALSE),
IF(AND(Investment_Strategy="Lifecycle",Investment_Strategy_Sub1="Non-Standard"),VLOOKUP(Investment_Strategy&amp;"_"&amp;Investment_Strategy_Sub2&amp;"_"&amp;$A673,'Investment Strategies'!$C:$P,14,FALSE),
IF(AND(Investment_Strategy="Lifecycle",Investment_Strategy_Sub1="Standard"),VLOOKUP(Investment_Strategy&amp;"_"&amp;Investment_Strategy_Sub2&amp;"_"&amp;$A673,'Investment Strategies'!$AJ:$AV,13,FALSE),
IF(AND(Investment_Strategy="Autopilot",Investment_Strategy_Sub1="Non-Standard"),VLOOKUP(Investment_Strategy&amp;"_"&amp;Investment_Strategy_Sub2&amp;"_"&amp;$A673,'Investment Strategies'!$T:$AF,13,FALSE),
IF(Investment_Strategy="DIY",DIY_ExtManChrge_SP,
"Error"))))))</f>
        <v>0</v>
      </c>
      <c r="O673" s="16">
        <f t="shared" si="407"/>
        <v>0</v>
      </c>
      <c r="Q673" s="16">
        <f t="shared" si="384"/>
        <v>0</v>
      </c>
      <c r="R673" s="16">
        <f t="shared" si="380"/>
        <v>0</v>
      </c>
      <c r="S673" s="16">
        <f>(SRP_SP+SUM(S$91:S672))*L673*IF(D673=$A$91,SRP_finalmonthfactor,1)</f>
        <v>0</v>
      </c>
      <c r="T673" s="74">
        <f>MIN(IF($AV673=0,0,
IF(Investment_Strategy="DIS",VLOOKUP(Investment_Strategy&amp;"_"&amp;Investment_Strategy_Sub1&amp;"_"&amp;$A673,'Investment Strategies'!$AZ:$BP,12,FALSE),
IF(AND(Investment_Strategy="Lifecycle",Investment_Strategy_Sub1="Non-Standard"),VLOOKUP(Investment_Strategy&amp;"_"&amp;Investment_Strategy_Sub2&amp;"_"&amp;$A673,'Investment Strategies'!$C:$P,9,FALSE),
IF(AND(Investment_Strategy="Lifecycle",Investment_Strategy_Sub1="Standard"),VLOOKUP(Investment_Strategy&amp;"_"&amp;Investment_Strategy_Sub2&amp;"_"&amp;$A673,'Investment Strategies'!$AJ:$AV,8,FALSE),
IF(AND(Investment_Strategy="Autopilot",Investment_Strategy_Sub1="Non-Standard"),VLOOKUP(Investment_Strategy&amp;"_"&amp;Investment_Strategy_Sub2&amp;"_"&amp;$A673,'Investment Strategies'!$T:$AF,8,FALSE),
IF(Investment_Strategy ="DIY",DIY_RateOfReturn_FuturePremiums,
"Error")))))),Max_InvReturn)</f>
        <v>0</v>
      </c>
      <c r="U673" s="62">
        <f>IF($AV673=0,0,
IF(Investment_Strategy="DIS",VLOOKUP(Investment_Strategy&amp;"_"&amp;Investment_Strategy_Sub1&amp;"_"&amp;$A673,'Investment Strategies'!$AZ:$BP,15,FALSE),
IF(AND(Investment_Strategy="Lifecycle",Investment_Strategy_Sub1="Non-Standard"),VLOOKUP(Investment_Strategy&amp;"_"&amp;Investment_Strategy_Sub2&amp;"_"&amp;$A673,'Investment Strategies'!$C:$P,12,FALSE),
IF(AND(Investment_Strategy="Lifecycle",Investment_Strategy_Sub1="Standard"),VLOOKUP(Investment_Strategy&amp;"_"&amp;Investment_Strategy_Sub2&amp;"_"&amp;$A673,'Investment Strategies'!$AJ:$AV,11,FALSE),
IF(AND(Investment_Strategy="Autopilot",Investment_Strategy_Sub1="Non-Standard"),VLOOKUP(Investment_Strategy&amp;"_"&amp;Investment_Strategy_Sub2&amp;"_"&amp;$A673,'Investment Strategies'!$T:$AF,11,FALSE),
IF(Investment_Strategy="DIY",DIY_GteeChrge_FuturePremiums,
"Error"))))))</f>
        <v>0</v>
      </c>
      <c r="V673" s="33">
        <f>IF(AV673=0,0,
IF(Investment_Strategy="DIS",VLOOKUP(Investment_Strategy&amp;"_"&amp;Investment_Strategy_Sub1&amp;"_"&amp;$A673,'Investment Strategies'!$AZ:$BP,17,FALSE),
IF(AND(Investment_Strategy="Lifecycle",Investment_Strategy_Sub1="Non-Standard"),VLOOKUP(Investment_Strategy&amp;"_"&amp;Investment_Strategy_Sub2&amp;"_"&amp;$A673,'Investment Strategies'!$C:$P,14,FALSE),
IF(AND(Investment_Strategy="Lifecycle",Investment_Strategy_Sub1="Standard"),VLOOKUP(Investment_Strategy&amp;"_"&amp;Investment_Strategy_Sub2&amp;"_"&amp;$A673,'Investment Strategies'!$AJ:$AV,13,FALSE),
IF(AND(Investment_Strategy="Autopilot",Investment_Strategy_Sub1="Non-Standard"),VLOOKUP(Investment_Strategy&amp;"_"&amp;Investment_Strategy_Sub2&amp;"_"&amp;$A673,'Investment Strategies'!$T:$AF,13,FALSE),
IF(Investment_Strategy="DIY",DIY_ExtManChrge_FuturePremiums,
"Error"))))))</f>
        <v>0</v>
      </c>
      <c r="W673" s="16">
        <f t="shared" si="408"/>
        <v>0</v>
      </c>
      <c r="X673" s="16">
        <f t="shared" si="385"/>
        <v>0</v>
      </c>
      <c r="Y673" s="16">
        <f t="shared" si="386"/>
        <v>0</v>
      </c>
      <c r="Z673" s="31">
        <f t="shared" si="387"/>
        <v>0.02</v>
      </c>
      <c r="AA673" s="16">
        <f t="shared" si="388"/>
        <v>0</v>
      </c>
      <c r="AB673" s="28">
        <f t="shared" si="409"/>
        <v>0</v>
      </c>
      <c r="AC673" s="28">
        <f>(SUM($AC$91:AC672)+SUM($X$91:X672)+X673)*T673*IF(D673=$A$91,SRP_finalmonthfactor,1)</f>
        <v>0</v>
      </c>
      <c r="AD673" s="16">
        <f t="shared" si="389"/>
        <v>0</v>
      </c>
      <c r="AE673" s="106"/>
      <c r="AF673" s="16">
        <f t="shared" si="397"/>
        <v>0</v>
      </c>
      <c r="AG673" s="16">
        <f t="shared" si="398"/>
        <v>0</v>
      </c>
      <c r="AH673" s="16">
        <f t="shared" si="399"/>
        <v>0</v>
      </c>
      <c r="AJ673" s="13">
        <f t="shared" si="410"/>
        <v>0</v>
      </c>
      <c r="AK673" s="13">
        <f t="shared" si="410"/>
        <v>0</v>
      </c>
      <c r="AL673" s="13">
        <f t="shared" si="410"/>
        <v>0</v>
      </c>
      <c r="AM673" s="13">
        <f t="shared" si="410"/>
        <v>0</v>
      </c>
      <c r="AN673" s="13">
        <f t="shared" si="410"/>
        <v>0</v>
      </c>
      <c r="AO673" s="13">
        <f t="shared" si="410"/>
        <v>1</v>
      </c>
      <c r="AP673" s="13">
        <f t="shared" si="410"/>
        <v>1</v>
      </c>
      <c r="AQ673" s="13">
        <f t="shared" si="410"/>
        <v>1</v>
      </c>
      <c r="AR673" s="13">
        <f t="shared" si="410"/>
        <v>0</v>
      </c>
      <c r="AS673" s="13">
        <f t="shared" si="410"/>
        <v>0</v>
      </c>
      <c r="AT673" s="13">
        <f t="shared" si="410"/>
        <v>0</v>
      </c>
      <c r="AU673" s="13">
        <f t="shared" si="410"/>
        <v>0</v>
      </c>
      <c r="AV673" s="13">
        <f t="shared" si="390"/>
        <v>0</v>
      </c>
      <c r="AW673" s="13">
        <f t="shared" si="391"/>
        <v>1</v>
      </c>
      <c r="AY673" s="17">
        <f t="shared" si="392"/>
        <v>583</v>
      </c>
      <c r="AZ673" s="28">
        <f t="shared" si="400"/>
        <v>0</v>
      </c>
      <c r="BA673" s="13">
        <f t="shared" si="393"/>
        <v>0</v>
      </c>
      <c r="BB673" s="13">
        <f t="shared" si="394"/>
        <v>0</v>
      </c>
      <c r="BC673" s="28">
        <f t="shared" si="401"/>
        <v>0</v>
      </c>
      <c r="BD673" s="28">
        <f t="shared" si="402"/>
        <v>0</v>
      </c>
      <c r="BF673" s="248">
        <f t="shared" si="403"/>
        <v>993869.29442638322</v>
      </c>
    </row>
    <row r="674" spans="1:58">
      <c r="A674" s="32">
        <f t="shared" si="404"/>
        <v>-499</v>
      </c>
      <c r="B674" s="32">
        <f t="shared" si="395"/>
        <v>101</v>
      </c>
      <c r="C674" s="32">
        <f t="shared" si="405"/>
        <v>49</v>
      </c>
      <c r="D674" s="32">
        <f t="shared" si="406"/>
        <v>584</v>
      </c>
      <c r="E674" s="74">
        <f>MIN(IF(AV674=0,0,
IF(Investment_Strategy="DIS",VLOOKUP(Investment_Strategy&amp;"_"&amp;Investment_Strategy_Sub1&amp;"_"&amp;$A674,'Investment Strategies'!$AZ:$BP,12,FALSE),
IF(AND(Investment_Strategy="Lifecycle",Investment_Strategy_Sub1="Non-Standard"),VLOOKUP(Investment_Strategy&amp;"_"&amp;Investment_Strategy_Sub2&amp;"_"&amp;$A674,'Investment Strategies'!$C:$P,9,FALSE),
IF(AND(Investment_Strategy="Lifecycle",Investment_Strategy_Sub1="Standard"),VLOOKUP(Investment_Strategy&amp;"_"&amp;Investment_Strategy_Sub2&amp;"_"&amp;$A674,'Investment Strategies'!$AJ:$AV,8,FALSE),
IF(AND(Investment_Strategy="Autopilot",Investment_Strategy_Sub1="Non-Standard"),VLOOKUP(Investment_Strategy&amp;"_"&amp;Investment_Strategy_Sub2&amp;"_"&amp;$A674,'Investment Strategies'!$T:$AF,8,FALSE),
IF(Investment_Strategy ="DIY",DIY_RateOfReturn_CurrentFunds,
"Error")))))),Max_InvReturn)</f>
        <v>0</v>
      </c>
      <c r="F674" s="62">
        <f>IF(AV674=0,0,
IF(Investment_Strategy="DIS",VLOOKUP(Investment_Strategy&amp;"_"&amp;Investment_Strategy_Sub1&amp;"_"&amp;$A674,'Investment Strategies'!$AZ:$BP,15,FALSE),
IF(AND(Investment_Strategy="Lifecycle",Investment_Strategy_Sub1="Non-Standard"),VLOOKUP(Investment_Strategy&amp;"_"&amp;Investment_Strategy_Sub2&amp;"_"&amp;$A674,'Investment Strategies'!$C:$P,12,FALSE),
IF(AND(Investment_Strategy="Lifecycle",Investment_Strategy_Sub1="Standard"),VLOOKUP(Investment_Strategy&amp;"_"&amp;Investment_Strategy_Sub2&amp;"_"&amp;$A674,'Investment Strategies'!$AJ:$AV,11,FALSE),
IF(AND(Investment_Strategy="Autopilot",Investment_Strategy_Sub1="Non-Standard"),VLOOKUP(Investment_Strategy&amp;"_"&amp;Investment_Strategy_Sub2&amp;"_"&amp;$A674,'Investment Strategies'!$T:$AF,11,FALSE),
IF(Investment_Strategy="DIY",DIY_GteeChrge_CurrentFunds,
"Error"))))))</f>
        <v>0</v>
      </c>
      <c r="G674" s="33">
        <f>IF(AV674=0,0,
IF(Investment_Strategy="DIS",VLOOKUP(Investment_Strategy&amp;"_"&amp;Investment_Strategy_Sub1&amp;"_"&amp;$A674,'Investment Strategies'!$AZ:$BP,17,FALSE),
IF(AND(Investment_Strategy="Lifecycle",Investment_Strategy_Sub1="Non-Standard"),VLOOKUP(Investment_Strategy&amp;"_"&amp;Investment_Strategy_Sub2&amp;"_"&amp;$A674,'Investment Strategies'!$C:$P,14,FALSE),
IF(AND(Investment_Strategy="Lifecycle",Investment_Strategy_Sub1="Standard"),VLOOKUP(Investment_Strategy&amp;"_"&amp;Investment_Strategy_Sub2&amp;"_"&amp;$A674,'Investment Strategies'!$AJ:$AV,13,FALSE),
IF(AND(Investment_Strategy="Autopilot",Investment_Strategy_Sub1="Non-Standard"),VLOOKUP(Investment_Strategy&amp;"_"&amp;Investment_Strategy_Sub2&amp;"_"&amp;$A674,'Investment Strategies'!$T:$AF,13,FALSE),
IF(Investment_Strategy="DIY",DIY_ExtManChrge_CurrentFunds,
"Error"))))))</f>
        <v>0</v>
      </c>
      <c r="H674" s="16">
        <f t="shared" si="396"/>
        <v>0</v>
      </c>
      <c r="I674" s="16">
        <f t="shared" si="382"/>
        <v>0</v>
      </c>
      <c r="J674" s="16">
        <f t="shared" si="383"/>
        <v>0</v>
      </c>
      <c r="K674" s="16">
        <f>(Opening_Fund_Value+SUM(K$91:K673))*E674*IF(D674=$A$91,SRP_finalmonthfactor,1)</f>
        <v>0</v>
      </c>
      <c r="L674" s="74">
        <f>MIN(IF($AV674=0,0,
IF(Investment_Strategy="DIS",VLOOKUP(Investment_Strategy&amp;"_"&amp;Investment_Strategy_Sub1&amp;"_"&amp;$A674,'Investment Strategies'!$AZ:$BP,12,FALSE),
IF(AND(Investment_Strategy="Lifecycle",Investment_Strategy_Sub1="Non-Standard"),VLOOKUP(Investment_Strategy&amp;"_"&amp;Investment_Strategy_Sub2&amp;"_"&amp;$A674,'Investment Strategies'!$C:$P,9,FALSE),
IF(AND(Investment_Strategy="Lifecycle",Investment_Strategy_Sub1="Standard"),VLOOKUP(Investment_Strategy&amp;"_"&amp;Investment_Strategy_Sub2&amp;"_"&amp;$A674,'Investment Strategies'!$AJ:$AV,8,FALSE),
IF(AND(Investment_Strategy="Autopilot",Investment_Strategy_Sub1="Non-Standard"),VLOOKUP(Investment_Strategy&amp;"_"&amp;Investment_Strategy_Sub2&amp;"_"&amp;$A674,'Investment Strategies'!$T:$AF,8,FALSE),
IF(Investment_Strategy ="DIY",DIY_RateofReturn_SP,
"Error")))))),Max_InvReturn)</f>
        <v>0</v>
      </c>
      <c r="M674" s="62">
        <f>IF($AV674=0,0,
IF(Investment_Strategy="DIS",VLOOKUP(Investment_Strategy&amp;"_"&amp;Investment_Strategy_Sub1&amp;"_"&amp;$A674,'Investment Strategies'!$AZ:$BP,15,FALSE),
IF(AND(Investment_Strategy="Lifecycle",Investment_Strategy_Sub1="Non-Standard"),VLOOKUP(Investment_Strategy&amp;"_"&amp;Investment_Strategy_Sub2&amp;"_"&amp;$A674,'Investment Strategies'!$C:$P,12,FALSE),
IF(AND(Investment_Strategy="Lifecycle",Investment_Strategy_Sub1="Standard"),VLOOKUP(Investment_Strategy&amp;"_"&amp;Investment_Strategy_Sub2&amp;"_"&amp;$A674,'Investment Strategies'!$AJ:$AV,11,FALSE),
IF(AND(Investment_Strategy="Autopilot",Investment_Strategy_Sub1="Non-Standard"),VLOOKUP(Investment_Strategy&amp;"_"&amp;Investment_Strategy_Sub2&amp;"_"&amp;$A674,'Investment Strategies'!$T:$AF,11,FALSE),
IF(Investment_Strategy="DIY",DIY_GteeChrge_SP,
"Error"))))))</f>
        <v>0</v>
      </c>
      <c r="N674" s="33">
        <f>IF($AV674=0,0,
IF(Investment_Strategy="DIS",VLOOKUP(Investment_Strategy&amp;"_"&amp;Investment_Strategy_Sub1&amp;"_"&amp;$A674,'Investment Strategies'!$AZ:$BP,17,FALSE),
IF(AND(Investment_Strategy="Lifecycle",Investment_Strategy_Sub1="Non-Standard"),VLOOKUP(Investment_Strategy&amp;"_"&amp;Investment_Strategy_Sub2&amp;"_"&amp;$A674,'Investment Strategies'!$C:$P,14,FALSE),
IF(AND(Investment_Strategy="Lifecycle",Investment_Strategy_Sub1="Standard"),VLOOKUP(Investment_Strategy&amp;"_"&amp;Investment_Strategy_Sub2&amp;"_"&amp;$A674,'Investment Strategies'!$AJ:$AV,13,FALSE),
IF(AND(Investment_Strategy="Autopilot",Investment_Strategy_Sub1="Non-Standard"),VLOOKUP(Investment_Strategy&amp;"_"&amp;Investment_Strategy_Sub2&amp;"_"&amp;$A674,'Investment Strategies'!$T:$AF,13,FALSE),
IF(Investment_Strategy="DIY",DIY_ExtManChrge_SP,
"Error"))))))</f>
        <v>0</v>
      </c>
      <c r="O674" s="16">
        <f t="shared" si="407"/>
        <v>0</v>
      </c>
      <c r="Q674" s="16">
        <f t="shared" si="384"/>
        <v>0</v>
      </c>
      <c r="R674" s="16">
        <f t="shared" si="380"/>
        <v>0</v>
      </c>
      <c r="S674" s="16">
        <f>(SRP_SP+SUM(S$91:S673))*L674*IF(D674=$A$91,SRP_finalmonthfactor,1)</f>
        <v>0</v>
      </c>
      <c r="T674" s="74">
        <f>MIN(IF($AV674=0,0,
IF(Investment_Strategy="DIS",VLOOKUP(Investment_Strategy&amp;"_"&amp;Investment_Strategy_Sub1&amp;"_"&amp;$A674,'Investment Strategies'!$AZ:$BP,12,FALSE),
IF(AND(Investment_Strategy="Lifecycle",Investment_Strategy_Sub1="Non-Standard"),VLOOKUP(Investment_Strategy&amp;"_"&amp;Investment_Strategy_Sub2&amp;"_"&amp;$A674,'Investment Strategies'!$C:$P,9,FALSE),
IF(AND(Investment_Strategy="Lifecycle",Investment_Strategy_Sub1="Standard"),VLOOKUP(Investment_Strategy&amp;"_"&amp;Investment_Strategy_Sub2&amp;"_"&amp;$A674,'Investment Strategies'!$AJ:$AV,8,FALSE),
IF(AND(Investment_Strategy="Autopilot",Investment_Strategy_Sub1="Non-Standard"),VLOOKUP(Investment_Strategy&amp;"_"&amp;Investment_Strategy_Sub2&amp;"_"&amp;$A674,'Investment Strategies'!$T:$AF,8,FALSE),
IF(Investment_Strategy ="DIY",DIY_RateOfReturn_FuturePremiums,
"Error")))))),Max_InvReturn)</f>
        <v>0</v>
      </c>
      <c r="U674" s="62">
        <f>IF($AV674=0,0,
IF(Investment_Strategy="DIS",VLOOKUP(Investment_Strategy&amp;"_"&amp;Investment_Strategy_Sub1&amp;"_"&amp;$A674,'Investment Strategies'!$AZ:$BP,15,FALSE),
IF(AND(Investment_Strategy="Lifecycle",Investment_Strategy_Sub1="Non-Standard"),VLOOKUP(Investment_Strategy&amp;"_"&amp;Investment_Strategy_Sub2&amp;"_"&amp;$A674,'Investment Strategies'!$C:$P,12,FALSE),
IF(AND(Investment_Strategy="Lifecycle",Investment_Strategy_Sub1="Standard"),VLOOKUP(Investment_Strategy&amp;"_"&amp;Investment_Strategy_Sub2&amp;"_"&amp;$A674,'Investment Strategies'!$AJ:$AV,11,FALSE),
IF(AND(Investment_Strategy="Autopilot",Investment_Strategy_Sub1="Non-Standard"),VLOOKUP(Investment_Strategy&amp;"_"&amp;Investment_Strategy_Sub2&amp;"_"&amp;$A674,'Investment Strategies'!$T:$AF,11,FALSE),
IF(Investment_Strategy="DIY",DIY_GteeChrge_FuturePremiums,
"Error"))))))</f>
        <v>0</v>
      </c>
      <c r="V674" s="33">
        <f>IF(AV674=0,0,
IF(Investment_Strategy="DIS",VLOOKUP(Investment_Strategy&amp;"_"&amp;Investment_Strategy_Sub1&amp;"_"&amp;$A674,'Investment Strategies'!$AZ:$BP,17,FALSE),
IF(AND(Investment_Strategy="Lifecycle",Investment_Strategy_Sub1="Non-Standard"),VLOOKUP(Investment_Strategy&amp;"_"&amp;Investment_Strategy_Sub2&amp;"_"&amp;$A674,'Investment Strategies'!$C:$P,14,FALSE),
IF(AND(Investment_Strategy="Lifecycle",Investment_Strategy_Sub1="Standard"),VLOOKUP(Investment_Strategy&amp;"_"&amp;Investment_Strategy_Sub2&amp;"_"&amp;$A674,'Investment Strategies'!$AJ:$AV,13,FALSE),
IF(AND(Investment_Strategy="Autopilot",Investment_Strategy_Sub1="Non-Standard"),VLOOKUP(Investment_Strategy&amp;"_"&amp;Investment_Strategy_Sub2&amp;"_"&amp;$A674,'Investment Strategies'!$T:$AF,13,FALSE),
IF(Investment_Strategy="DIY",DIY_ExtManChrge_FuturePremiums,
"Error"))))))</f>
        <v>0</v>
      </c>
      <c r="W674" s="16">
        <f t="shared" si="408"/>
        <v>0</v>
      </c>
      <c r="X674" s="16">
        <f t="shared" si="385"/>
        <v>0</v>
      </c>
      <c r="Y674" s="16">
        <f t="shared" si="386"/>
        <v>0</v>
      </c>
      <c r="Z674" s="31">
        <f t="shared" si="387"/>
        <v>0.02</v>
      </c>
      <c r="AA674" s="16">
        <f t="shared" si="388"/>
        <v>0</v>
      </c>
      <c r="AB674" s="28">
        <f t="shared" si="409"/>
        <v>0</v>
      </c>
      <c r="AC674" s="28">
        <f>(SUM($AC$91:AC673)+SUM($X$91:X673)+X674)*T674*IF(D674=$A$91,SRP_finalmonthfactor,1)</f>
        <v>0</v>
      </c>
      <c r="AD674" s="16">
        <f t="shared" si="389"/>
        <v>0</v>
      </c>
      <c r="AE674" s="106"/>
      <c r="AF674" s="16">
        <f t="shared" si="397"/>
        <v>0</v>
      </c>
      <c r="AG674" s="16">
        <f t="shared" si="398"/>
        <v>0</v>
      </c>
      <c r="AH674" s="16">
        <f t="shared" si="399"/>
        <v>0</v>
      </c>
      <c r="AJ674" s="13">
        <f t="shared" si="410"/>
        <v>0</v>
      </c>
      <c r="AK674" s="13">
        <f t="shared" si="410"/>
        <v>0</v>
      </c>
      <c r="AL674" s="13">
        <f t="shared" si="410"/>
        <v>0</v>
      </c>
      <c r="AM674" s="13">
        <f t="shared" si="410"/>
        <v>0</v>
      </c>
      <c r="AN674" s="13">
        <f t="shared" si="410"/>
        <v>0</v>
      </c>
      <c r="AO674" s="13">
        <f t="shared" si="410"/>
        <v>1</v>
      </c>
      <c r="AP674" s="13">
        <f t="shared" si="410"/>
        <v>1</v>
      </c>
      <c r="AQ674" s="13">
        <f t="shared" si="410"/>
        <v>1</v>
      </c>
      <c r="AR674" s="13">
        <f t="shared" si="410"/>
        <v>0</v>
      </c>
      <c r="AS674" s="13">
        <f t="shared" si="410"/>
        <v>0</v>
      </c>
      <c r="AT674" s="13">
        <f t="shared" si="410"/>
        <v>0</v>
      </c>
      <c r="AU674" s="13">
        <f t="shared" si="410"/>
        <v>0</v>
      </c>
      <c r="AV674" s="13">
        <f t="shared" si="390"/>
        <v>0</v>
      </c>
      <c r="AW674" s="13">
        <f t="shared" si="391"/>
        <v>1</v>
      </c>
      <c r="AY674" s="17">
        <f t="shared" si="392"/>
        <v>584</v>
      </c>
      <c r="AZ674" s="28">
        <f t="shared" si="400"/>
        <v>0</v>
      </c>
      <c r="BA674" s="13">
        <f t="shared" si="393"/>
        <v>0</v>
      </c>
      <c r="BB674" s="13">
        <f t="shared" si="394"/>
        <v>0</v>
      </c>
      <c r="BC674" s="28">
        <f t="shared" si="401"/>
        <v>0</v>
      </c>
      <c r="BD674" s="28">
        <f t="shared" si="402"/>
        <v>0</v>
      </c>
      <c r="BF674" s="248">
        <f t="shared" si="403"/>
        <v>993869.29442638322</v>
      </c>
    </row>
    <row r="675" spans="1:58">
      <c r="A675" s="32">
        <f t="shared" si="404"/>
        <v>-500</v>
      </c>
      <c r="B675" s="32">
        <f t="shared" si="395"/>
        <v>101</v>
      </c>
      <c r="C675" s="32">
        <f t="shared" si="405"/>
        <v>49</v>
      </c>
      <c r="D675" s="32">
        <f t="shared" si="406"/>
        <v>585</v>
      </c>
      <c r="E675" s="74">
        <f>MIN(IF(AV675=0,0,
IF(Investment_Strategy="DIS",VLOOKUP(Investment_Strategy&amp;"_"&amp;Investment_Strategy_Sub1&amp;"_"&amp;$A675,'Investment Strategies'!$AZ:$BP,12,FALSE),
IF(AND(Investment_Strategy="Lifecycle",Investment_Strategy_Sub1="Non-Standard"),VLOOKUP(Investment_Strategy&amp;"_"&amp;Investment_Strategy_Sub2&amp;"_"&amp;$A675,'Investment Strategies'!$C:$P,9,FALSE),
IF(AND(Investment_Strategy="Lifecycle",Investment_Strategy_Sub1="Standard"),VLOOKUP(Investment_Strategy&amp;"_"&amp;Investment_Strategy_Sub2&amp;"_"&amp;$A675,'Investment Strategies'!$AJ:$AV,8,FALSE),
IF(AND(Investment_Strategy="Autopilot",Investment_Strategy_Sub1="Non-Standard"),VLOOKUP(Investment_Strategy&amp;"_"&amp;Investment_Strategy_Sub2&amp;"_"&amp;$A675,'Investment Strategies'!$T:$AF,8,FALSE),
IF(Investment_Strategy ="DIY",DIY_RateOfReturn_CurrentFunds,
"Error")))))),Max_InvReturn)</f>
        <v>0</v>
      </c>
      <c r="F675" s="62">
        <f>IF(AV675=0,0,
IF(Investment_Strategy="DIS",VLOOKUP(Investment_Strategy&amp;"_"&amp;Investment_Strategy_Sub1&amp;"_"&amp;$A675,'Investment Strategies'!$AZ:$BP,15,FALSE),
IF(AND(Investment_Strategy="Lifecycle",Investment_Strategy_Sub1="Non-Standard"),VLOOKUP(Investment_Strategy&amp;"_"&amp;Investment_Strategy_Sub2&amp;"_"&amp;$A675,'Investment Strategies'!$C:$P,12,FALSE),
IF(AND(Investment_Strategy="Lifecycle",Investment_Strategy_Sub1="Standard"),VLOOKUP(Investment_Strategy&amp;"_"&amp;Investment_Strategy_Sub2&amp;"_"&amp;$A675,'Investment Strategies'!$AJ:$AV,11,FALSE),
IF(AND(Investment_Strategy="Autopilot",Investment_Strategy_Sub1="Non-Standard"),VLOOKUP(Investment_Strategy&amp;"_"&amp;Investment_Strategy_Sub2&amp;"_"&amp;$A675,'Investment Strategies'!$T:$AF,11,FALSE),
IF(Investment_Strategy="DIY",DIY_GteeChrge_CurrentFunds,
"Error"))))))</f>
        <v>0</v>
      </c>
      <c r="G675" s="33">
        <f>IF(AV675=0,0,
IF(Investment_Strategy="DIS",VLOOKUP(Investment_Strategy&amp;"_"&amp;Investment_Strategy_Sub1&amp;"_"&amp;$A675,'Investment Strategies'!$AZ:$BP,17,FALSE),
IF(AND(Investment_Strategy="Lifecycle",Investment_Strategy_Sub1="Non-Standard"),VLOOKUP(Investment_Strategy&amp;"_"&amp;Investment_Strategy_Sub2&amp;"_"&amp;$A675,'Investment Strategies'!$C:$P,14,FALSE),
IF(AND(Investment_Strategy="Lifecycle",Investment_Strategy_Sub1="Standard"),VLOOKUP(Investment_Strategy&amp;"_"&amp;Investment_Strategy_Sub2&amp;"_"&amp;$A675,'Investment Strategies'!$AJ:$AV,13,FALSE),
IF(AND(Investment_Strategy="Autopilot",Investment_Strategy_Sub1="Non-Standard"),VLOOKUP(Investment_Strategy&amp;"_"&amp;Investment_Strategy_Sub2&amp;"_"&amp;$A675,'Investment Strategies'!$T:$AF,13,FALSE),
IF(Investment_Strategy="DIY",DIY_ExtManChrge_CurrentFunds,
"Error"))))))</f>
        <v>0</v>
      </c>
      <c r="H675" s="16">
        <f t="shared" si="396"/>
        <v>0</v>
      </c>
      <c r="I675" s="16">
        <f t="shared" si="382"/>
        <v>0</v>
      </c>
      <c r="J675" s="16">
        <f t="shared" si="383"/>
        <v>0</v>
      </c>
      <c r="K675" s="16">
        <f>(Opening_Fund_Value+SUM(K$91:K674))*E675*IF(D675=$A$91,SRP_finalmonthfactor,1)</f>
        <v>0</v>
      </c>
      <c r="L675" s="74">
        <f>MIN(IF($AV675=0,0,
IF(Investment_Strategy="DIS",VLOOKUP(Investment_Strategy&amp;"_"&amp;Investment_Strategy_Sub1&amp;"_"&amp;$A675,'Investment Strategies'!$AZ:$BP,12,FALSE),
IF(AND(Investment_Strategy="Lifecycle",Investment_Strategy_Sub1="Non-Standard"),VLOOKUP(Investment_Strategy&amp;"_"&amp;Investment_Strategy_Sub2&amp;"_"&amp;$A675,'Investment Strategies'!$C:$P,9,FALSE),
IF(AND(Investment_Strategy="Lifecycle",Investment_Strategy_Sub1="Standard"),VLOOKUP(Investment_Strategy&amp;"_"&amp;Investment_Strategy_Sub2&amp;"_"&amp;$A675,'Investment Strategies'!$AJ:$AV,8,FALSE),
IF(AND(Investment_Strategy="Autopilot",Investment_Strategy_Sub1="Non-Standard"),VLOOKUP(Investment_Strategy&amp;"_"&amp;Investment_Strategy_Sub2&amp;"_"&amp;$A675,'Investment Strategies'!$T:$AF,8,FALSE),
IF(Investment_Strategy ="DIY",DIY_RateofReturn_SP,
"Error")))))),Max_InvReturn)</f>
        <v>0</v>
      </c>
      <c r="M675" s="62">
        <f>IF($AV675=0,0,
IF(Investment_Strategy="DIS",VLOOKUP(Investment_Strategy&amp;"_"&amp;Investment_Strategy_Sub1&amp;"_"&amp;$A675,'Investment Strategies'!$AZ:$BP,15,FALSE),
IF(AND(Investment_Strategy="Lifecycle",Investment_Strategy_Sub1="Non-Standard"),VLOOKUP(Investment_Strategy&amp;"_"&amp;Investment_Strategy_Sub2&amp;"_"&amp;$A675,'Investment Strategies'!$C:$P,12,FALSE),
IF(AND(Investment_Strategy="Lifecycle",Investment_Strategy_Sub1="Standard"),VLOOKUP(Investment_Strategy&amp;"_"&amp;Investment_Strategy_Sub2&amp;"_"&amp;$A675,'Investment Strategies'!$AJ:$AV,11,FALSE),
IF(AND(Investment_Strategy="Autopilot",Investment_Strategy_Sub1="Non-Standard"),VLOOKUP(Investment_Strategy&amp;"_"&amp;Investment_Strategy_Sub2&amp;"_"&amp;$A675,'Investment Strategies'!$T:$AF,11,FALSE),
IF(Investment_Strategy="DIY",DIY_GteeChrge_SP,
"Error"))))))</f>
        <v>0</v>
      </c>
      <c r="N675" s="33">
        <f>IF($AV675=0,0,
IF(Investment_Strategy="DIS",VLOOKUP(Investment_Strategy&amp;"_"&amp;Investment_Strategy_Sub1&amp;"_"&amp;$A675,'Investment Strategies'!$AZ:$BP,17,FALSE),
IF(AND(Investment_Strategy="Lifecycle",Investment_Strategy_Sub1="Non-Standard"),VLOOKUP(Investment_Strategy&amp;"_"&amp;Investment_Strategy_Sub2&amp;"_"&amp;$A675,'Investment Strategies'!$C:$P,14,FALSE),
IF(AND(Investment_Strategy="Lifecycle",Investment_Strategy_Sub1="Standard"),VLOOKUP(Investment_Strategy&amp;"_"&amp;Investment_Strategy_Sub2&amp;"_"&amp;$A675,'Investment Strategies'!$AJ:$AV,13,FALSE),
IF(AND(Investment_Strategy="Autopilot",Investment_Strategy_Sub1="Non-Standard"),VLOOKUP(Investment_Strategy&amp;"_"&amp;Investment_Strategy_Sub2&amp;"_"&amp;$A675,'Investment Strategies'!$T:$AF,13,FALSE),
IF(Investment_Strategy="DIY",DIY_ExtManChrge_SP,
"Error"))))))</f>
        <v>0</v>
      </c>
      <c r="O675" s="16">
        <f t="shared" si="407"/>
        <v>0</v>
      </c>
      <c r="Q675" s="16">
        <f t="shared" si="384"/>
        <v>0</v>
      </c>
      <c r="R675" s="16">
        <f t="shared" si="380"/>
        <v>0</v>
      </c>
      <c r="S675" s="16">
        <f>(SRP_SP+SUM(S$91:S674))*L675*IF(D675=$A$91,SRP_finalmonthfactor,1)</f>
        <v>0</v>
      </c>
      <c r="T675" s="74">
        <f>MIN(IF($AV675=0,0,
IF(Investment_Strategy="DIS",VLOOKUP(Investment_Strategy&amp;"_"&amp;Investment_Strategy_Sub1&amp;"_"&amp;$A675,'Investment Strategies'!$AZ:$BP,12,FALSE),
IF(AND(Investment_Strategy="Lifecycle",Investment_Strategy_Sub1="Non-Standard"),VLOOKUP(Investment_Strategy&amp;"_"&amp;Investment_Strategy_Sub2&amp;"_"&amp;$A675,'Investment Strategies'!$C:$P,9,FALSE),
IF(AND(Investment_Strategy="Lifecycle",Investment_Strategy_Sub1="Standard"),VLOOKUP(Investment_Strategy&amp;"_"&amp;Investment_Strategy_Sub2&amp;"_"&amp;$A675,'Investment Strategies'!$AJ:$AV,8,FALSE),
IF(AND(Investment_Strategy="Autopilot",Investment_Strategy_Sub1="Non-Standard"),VLOOKUP(Investment_Strategy&amp;"_"&amp;Investment_Strategy_Sub2&amp;"_"&amp;$A675,'Investment Strategies'!$T:$AF,8,FALSE),
IF(Investment_Strategy ="DIY",DIY_RateOfReturn_FuturePremiums,
"Error")))))),Max_InvReturn)</f>
        <v>0</v>
      </c>
      <c r="U675" s="62">
        <f>IF($AV675=0,0,
IF(Investment_Strategy="DIS",VLOOKUP(Investment_Strategy&amp;"_"&amp;Investment_Strategy_Sub1&amp;"_"&amp;$A675,'Investment Strategies'!$AZ:$BP,15,FALSE),
IF(AND(Investment_Strategy="Lifecycle",Investment_Strategy_Sub1="Non-Standard"),VLOOKUP(Investment_Strategy&amp;"_"&amp;Investment_Strategy_Sub2&amp;"_"&amp;$A675,'Investment Strategies'!$C:$P,12,FALSE),
IF(AND(Investment_Strategy="Lifecycle",Investment_Strategy_Sub1="Standard"),VLOOKUP(Investment_Strategy&amp;"_"&amp;Investment_Strategy_Sub2&amp;"_"&amp;$A675,'Investment Strategies'!$AJ:$AV,11,FALSE),
IF(AND(Investment_Strategy="Autopilot",Investment_Strategy_Sub1="Non-Standard"),VLOOKUP(Investment_Strategy&amp;"_"&amp;Investment_Strategy_Sub2&amp;"_"&amp;$A675,'Investment Strategies'!$T:$AF,11,FALSE),
IF(Investment_Strategy="DIY",DIY_GteeChrge_FuturePremiums,
"Error"))))))</f>
        <v>0</v>
      </c>
      <c r="V675" s="33">
        <f>IF(AV675=0,0,
IF(Investment_Strategy="DIS",VLOOKUP(Investment_Strategy&amp;"_"&amp;Investment_Strategy_Sub1&amp;"_"&amp;$A675,'Investment Strategies'!$AZ:$BP,17,FALSE),
IF(AND(Investment_Strategy="Lifecycle",Investment_Strategy_Sub1="Non-Standard"),VLOOKUP(Investment_Strategy&amp;"_"&amp;Investment_Strategy_Sub2&amp;"_"&amp;$A675,'Investment Strategies'!$C:$P,14,FALSE),
IF(AND(Investment_Strategy="Lifecycle",Investment_Strategy_Sub1="Standard"),VLOOKUP(Investment_Strategy&amp;"_"&amp;Investment_Strategy_Sub2&amp;"_"&amp;$A675,'Investment Strategies'!$AJ:$AV,13,FALSE),
IF(AND(Investment_Strategy="Autopilot",Investment_Strategy_Sub1="Non-Standard"),VLOOKUP(Investment_Strategy&amp;"_"&amp;Investment_Strategy_Sub2&amp;"_"&amp;$A675,'Investment Strategies'!$T:$AF,13,FALSE),
IF(Investment_Strategy="DIY",DIY_ExtManChrge_FuturePremiums,
"Error"))))))</f>
        <v>0</v>
      </c>
      <c r="W675" s="16">
        <f t="shared" si="408"/>
        <v>0</v>
      </c>
      <c r="X675" s="16">
        <f t="shared" si="385"/>
        <v>0</v>
      </c>
      <c r="Y675" s="16">
        <f t="shared" si="386"/>
        <v>0</v>
      </c>
      <c r="Z675" s="31">
        <f t="shared" si="387"/>
        <v>0.02</v>
      </c>
      <c r="AA675" s="16">
        <f t="shared" si="388"/>
        <v>0</v>
      </c>
      <c r="AB675" s="28">
        <f t="shared" si="409"/>
        <v>0</v>
      </c>
      <c r="AC675" s="28">
        <f>(SUM($AC$91:AC674)+SUM($X$91:X674)+X675)*T675*IF(D675=$A$91,SRP_finalmonthfactor,1)</f>
        <v>0</v>
      </c>
      <c r="AD675" s="16">
        <f t="shared" si="389"/>
        <v>0</v>
      </c>
      <c r="AE675" s="106"/>
      <c r="AF675" s="16">
        <f t="shared" si="397"/>
        <v>0</v>
      </c>
      <c r="AG675" s="16">
        <f t="shared" si="398"/>
        <v>0</v>
      </c>
      <c r="AH675" s="16">
        <f t="shared" si="399"/>
        <v>0</v>
      </c>
      <c r="AJ675" s="13">
        <f t="shared" si="410"/>
        <v>0</v>
      </c>
      <c r="AK675" s="13">
        <f t="shared" si="410"/>
        <v>0</v>
      </c>
      <c r="AL675" s="13">
        <f t="shared" si="410"/>
        <v>0</v>
      </c>
      <c r="AM675" s="13">
        <f t="shared" si="410"/>
        <v>0</v>
      </c>
      <c r="AN675" s="13">
        <f t="shared" si="410"/>
        <v>0</v>
      </c>
      <c r="AO675" s="13">
        <f t="shared" si="410"/>
        <v>1</v>
      </c>
      <c r="AP675" s="13">
        <f t="shared" si="410"/>
        <v>1</v>
      </c>
      <c r="AQ675" s="13">
        <f t="shared" si="410"/>
        <v>1</v>
      </c>
      <c r="AR675" s="13">
        <f t="shared" si="410"/>
        <v>0</v>
      </c>
      <c r="AS675" s="13">
        <f t="shared" si="410"/>
        <v>0</v>
      </c>
      <c r="AT675" s="13">
        <f t="shared" si="410"/>
        <v>0</v>
      </c>
      <c r="AU675" s="13">
        <f t="shared" si="410"/>
        <v>0</v>
      </c>
      <c r="AV675" s="13">
        <f t="shared" si="390"/>
        <v>0</v>
      </c>
      <c r="AW675" s="13">
        <f t="shared" si="391"/>
        <v>1</v>
      </c>
      <c r="AY675" s="17">
        <f t="shared" si="392"/>
        <v>585</v>
      </c>
      <c r="AZ675" s="28">
        <f t="shared" si="400"/>
        <v>0</v>
      </c>
      <c r="BA675" s="13">
        <f t="shared" si="393"/>
        <v>0</v>
      </c>
      <c r="BB675" s="13">
        <f t="shared" si="394"/>
        <v>0</v>
      </c>
      <c r="BC675" s="28">
        <f t="shared" si="401"/>
        <v>0</v>
      </c>
      <c r="BD675" s="28">
        <f t="shared" si="402"/>
        <v>0</v>
      </c>
      <c r="BF675" s="248">
        <f t="shared" si="403"/>
        <v>993869.29442638322</v>
      </c>
    </row>
    <row r="676" spans="1:58">
      <c r="A676" s="32">
        <f t="shared" si="404"/>
        <v>-501</v>
      </c>
      <c r="B676" s="32">
        <f t="shared" si="395"/>
        <v>101</v>
      </c>
      <c r="C676" s="32">
        <f t="shared" si="405"/>
        <v>49</v>
      </c>
      <c r="D676" s="32">
        <f t="shared" si="406"/>
        <v>586</v>
      </c>
      <c r="E676" s="74">
        <f>MIN(IF(AV676=0,0,
IF(Investment_Strategy="DIS",VLOOKUP(Investment_Strategy&amp;"_"&amp;Investment_Strategy_Sub1&amp;"_"&amp;$A676,'Investment Strategies'!$AZ:$BP,12,FALSE),
IF(AND(Investment_Strategy="Lifecycle",Investment_Strategy_Sub1="Non-Standard"),VLOOKUP(Investment_Strategy&amp;"_"&amp;Investment_Strategy_Sub2&amp;"_"&amp;$A676,'Investment Strategies'!$C:$P,9,FALSE),
IF(AND(Investment_Strategy="Lifecycle",Investment_Strategy_Sub1="Standard"),VLOOKUP(Investment_Strategy&amp;"_"&amp;Investment_Strategy_Sub2&amp;"_"&amp;$A676,'Investment Strategies'!$AJ:$AV,8,FALSE),
IF(AND(Investment_Strategy="Autopilot",Investment_Strategy_Sub1="Non-Standard"),VLOOKUP(Investment_Strategy&amp;"_"&amp;Investment_Strategy_Sub2&amp;"_"&amp;$A676,'Investment Strategies'!$T:$AF,8,FALSE),
IF(Investment_Strategy ="DIY",DIY_RateOfReturn_CurrentFunds,
"Error")))))),Max_InvReturn)</f>
        <v>0</v>
      </c>
      <c r="F676" s="62">
        <f>IF(AV676=0,0,
IF(Investment_Strategy="DIS",VLOOKUP(Investment_Strategy&amp;"_"&amp;Investment_Strategy_Sub1&amp;"_"&amp;$A676,'Investment Strategies'!$AZ:$BP,15,FALSE),
IF(AND(Investment_Strategy="Lifecycle",Investment_Strategy_Sub1="Non-Standard"),VLOOKUP(Investment_Strategy&amp;"_"&amp;Investment_Strategy_Sub2&amp;"_"&amp;$A676,'Investment Strategies'!$C:$P,12,FALSE),
IF(AND(Investment_Strategy="Lifecycle",Investment_Strategy_Sub1="Standard"),VLOOKUP(Investment_Strategy&amp;"_"&amp;Investment_Strategy_Sub2&amp;"_"&amp;$A676,'Investment Strategies'!$AJ:$AV,11,FALSE),
IF(AND(Investment_Strategy="Autopilot",Investment_Strategy_Sub1="Non-Standard"),VLOOKUP(Investment_Strategy&amp;"_"&amp;Investment_Strategy_Sub2&amp;"_"&amp;$A676,'Investment Strategies'!$T:$AF,11,FALSE),
IF(Investment_Strategy="DIY",DIY_GteeChrge_CurrentFunds,
"Error"))))))</f>
        <v>0</v>
      </c>
      <c r="G676" s="33">
        <f>IF(AV676=0,0,
IF(Investment_Strategy="DIS",VLOOKUP(Investment_Strategy&amp;"_"&amp;Investment_Strategy_Sub1&amp;"_"&amp;$A676,'Investment Strategies'!$AZ:$BP,17,FALSE),
IF(AND(Investment_Strategy="Lifecycle",Investment_Strategy_Sub1="Non-Standard"),VLOOKUP(Investment_Strategy&amp;"_"&amp;Investment_Strategy_Sub2&amp;"_"&amp;$A676,'Investment Strategies'!$C:$P,14,FALSE),
IF(AND(Investment_Strategy="Lifecycle",Investment_Strategy_Sub1="Standard"),VLOOKUP(Investment_Strategy&amp;"_"&amp;Investment_Strategy_Sub2&amp;"_"&amp;$A676,'Investment Strategies'!$AJ:$AV,13,FALSE),
IF(AND(Investment_Strategy="Autopilot",Investment_Strategy_Sub1="Non-Standard"),VLOOKUP(Investment_Strategy&amp;"_"&amp;Investment_Strategy_Sub2&amp;"_"&amp;$A676,'Investment Strategies'!$T:$AF,13,FALSE),
IF(Investment_Strategy="DIY",DIY_ExtManChrge_CurrentFunds,
"Error"))))))</f>
        <v>0</v>
      </c>
      <c r="H676" s="16">
        <f t="shared" si="396"/>
        <v>0</v>
      </c>
      <c r="I676" s="16">
        <f t="shared" si="382"/>
        <v>0</v>
      </c>
      <c r="J676" s="16">
        <f t="shared" si="383"/>
        <v>0</v>
      </c>
      <c r="K676" s="16">
        <f>(Opening_Fund_Value+SUM(K$91:K675))*E676*IF(D676=$A$91,SRP_finalmonthfactor,1)</f>
        <v>0</v>
      </c>
      <c r="L676" s="74">
        <f>MIN(IF($AV676=0,0,
IF(Investment_Strategy="DIS",VLOOKUP(Investment_Strategy&amp;"_"&amp;Investment_Strategy_Sub1&amp;"_"&amp;$A676,'Investment Strategies'!$AZ:$BP,12,FALSE),
IF(AND(Investment_Strategy="Lifecycle",Investment_Strategy_Sub1="Non-Standard"),VLOOKUP(Investment_Strategy&amp;"_"&amp;Investment_Strategy_Sub2&amp;"_"&amp;$A676,'Investment Strategies'!$C:$P,9,FALSE),
IF(AND(Investment_Strategy="Lifecycle",Investment_Strategy_Sub1="Standard"),VLOOKUP(Investment_Strategy&amp;"_"&amp;Investment_Strategy_Sub2&amp;"_"&amp;$A676,'Investment Strategies'!$AJ:$AV,8,FALSE),
IF(AND(Investment_Strategy="Autopilot",Investment_Strategy_Sub1="Non-Standard"),VLOOKUP(Investment_Strategy&amp;"_"&amp;Investment_Strategy_Sub2&amp;"_"&amp;$A676,'Investment Strategies'!$T:$AF,8,FALSE),
IF(Investment_Strategy ="DIY",DIY_RateofReturn_SP,
"Error")))))),Max_InvReturn)</f>
        <v>0</v>
      </c>
      <c r="M676" s="62">
        <f>IF($AV676=0,0,
IF(Investment_Strategy="DIS",VLOOKUP(Investment_Strategy&amp;"_"&amp;Investment_Strategy_Sub1&amp;"_"&amp;$A676,'Investment Strategies'!$AZ:$BP,15,FALSE),
IF(AND(Investment_Strategy="Lifecycle",Investment_Strategy_Sub1="Non-Standard"),VLOOKUP(Investment_Strategy&amp;"_"&amp;Investment_Strategy_Sub2&amp;"_"&amp;$A676,'Investment Strategies'!$C:$P,12,FALSE),
IF(AND(Investment_Strategy="Lifecycle",Investment_Strategy_Sub1="Standard"),VLOOKUP(Investment_Strategy&amp;"_"&amp;Investment_Strategy_Sub2&amp;"_"&amp;$A676,'Investment Strategies'!$AJ:$AV,11,FALSE),
IF(AND(Investment_Strategy="Autopilot",Investment_Strategy_Sub1="Non-Standard"),VLOOKUP(Investment_Strategy&amp;"_"&amp;Investment_Strategy_Sub2&amp;"_"&amp;$A676,'Investment Strategies'!$T:$AF,11,FALSE),
IF(Investment_Strategy="DIY",DIY_GteeChrge_SP,
"Error"))))))</f>
        <v>0</v>
      </c>
      <c r="N676" s="33">
        <f>IF($AV676=0,0,
IF(Investment_Strategy="DIS",VLOOKUP(Investment_Strategy&amp;"_"&amp;Investment_Strategy_Sub1&amp;"_"&amp;$A676,'Investment Strategies'!$AZ:$BP,17,FALSE),
IF(AND(Investment_Strategy="Lifecycle",Investment_Strategy_Sub1="Non-Standard"),VLOOKUP(Investment_Strategy&amp;"_"&amp;Investment_Strategy_Sub2&amp;"_"&amp;$A676,'Investment Strategies'!$C:$P,14,FALSE),
IF(AND(Investment_Strategy="Lifecycle",Investment_Strategy_Sub1="Standard"),VLOOKUP(Investment_Strategy&amp;"_"&amp;Investment_Strategy_Sub2&amp;"_"&amp;$A676,'Investment Strategies'!$AJ:$AV,13,FALSE),
IF(AND(Investment_Strategy="Autopilot",Investment_Strategy_Sub1="Non-Standard"),VLOOKUP(Investment_Strategy&amp;"_"&amp;Investment_Strategy_Sub2&amp;"_"&amp;$A676,'Investment Strategies'!$T:$AF,13,FALSE),
IF(Investment_Strategy="DIY",DIY_ExtManChrge_SP,
"Error"))))))</f>
        <v>0</v>
      </c>
      <c r="O676" s="16">
        <f t="shared" si="407"/>
        <v>0</v>
      </c>
      <c r="Q676" s="16">
        <f t="shared" si="384"/>
        <v>0</v>
      </c>
      <c r="R676" s="16">
        <f t="shared" si="380"/>
        <v>0</v>
      </c>
      <c r="S676" s="16">
        <f>(SRP_SP+SUM(S$91:S675))*L676*IF(D676=$A$91,SRP_finalmonthfactor,1)</f>
        <v>0</v>
      </c>
      <c r="T676" s="74">
        <f>MIN(IF($AV676=0,0,
IF(Investment_Strategy="DIS",VLOOKUP(Investment_Strategy&amp;"_"&amp;Investment_Strategy_Sub1&amp;"_"&amp;$A676,'Investment Strategies'!$AZ:$BP,12,FALSE),
IF(AND(Investment_Strategy="Lifecycle",Investment_Strategy_Sub1="Non-Standard"),VLOOKUP(Investment_Strategy&amp;"_"&amp;Investment_Strategy_Sub2&amp;"_"&amp;$A676,'Investment Strategies'!$C:$P,9,FALSE),
IF(AND(Investment_Strategy="Lifecycle",Investment_Strategy_Sub1="Standard"),VLOOKUP(Investment_Strategy&amp;"_"&amp;Investment_Strategy_Sub2&amp;"_"&amp;$A676,'Investment Strategies'!$AJ:$AV,8,FALSE),
IF(AND(Investment_Strategy="Autopilot",Investment_Strategy_Sub1="Non-Standard"),VLOOKUP(Investment_Strategy&amp;"_"&amp;Investment_Strategy_Sub2&amp;"_"&amp;$A676,'Investment Strategies'!$T:$AF,8,FALSE),
IF(Investment_Strategy ="DIY",DIY_RateOfReturn_FuturePremiums,
"Error")))))),Max_InvReturn)</f>
        <v>0</v>
      </c>
      <c r="U676" s="62">
        <f>IF($AV676=0,0,
IF(Investment_Strategy="DIS",VLOOKUP(Investment_Strategy&amp;"_"&amp;Investment_Strategy_Sub1&amp;"_"&amp;$A676,'Investment Strategies'!$AZ:$BP,15,FALSE),
IF(AND(Investment_Strategy="Lifecycle",Investment_Strategy_Sub1="Non-Standard"),VLOOKUP(Investment_Strategy&amp;"_"&amp;Investment_Strategy_Sub2&amp;"_"&amp;$A676,'Investment Strategies'!$C:$P,12,FALSE),
IF(AND(Investment_Strategy="Lifecycle",Investment_Strategy_Sub1="Standard"),VLOOKUP(Investment_Strategy&amp;"_"&amp;Investment_Strategy_Sub2&amp;"_"&amp;$A676,'Investment Strategies'!$AJ:$AV,11,FALSE),
IF(AND(Investment_Strategy="Autopilot",Investment_Strategy_Sub1="Non-Standard"),VLOOKUP(Investment_Strategy&amp;"_"&amp;Investment_Strategy_Sub2&amp;"_"&amp;$A676,'Investment Strategies'!$T:$AF,11,FALSE),
IF(Investment_Strategy="DIY",DIY_GteeChrge_FuturePremiums,
"Error"))))))</f>
        <v>0</v>
      </c>
      <c r="V676" s="33">
        <f>IF(AV676=0,0,
IF(Investment_Strategy="DIS",VLOOKUP(Investment_Strategy&amp;"_"&amp;Investment_Strategy_Sub1&amp;"_"&amp;$A676,'Investment Strategies'!$AZ:$BP,17,FALSE),
IF(AND(Investment_Strategy="Lifecycle",Investment_Strategy_Sub1="Non-Standard"),VLOOKUP(Investment_Strategy&amp;"_"&amp;Investment_Strategy_Sub2&amp;"_"&amp;$A676,'Investment Strategies'!$C:$P,14,FALSE),
IF(AND(Investment_Strategy="Lifecycle",Investment_Strategy_Sub1="Standard"),VLOOKUP(Investment_Strategy&amp;"_"&amp;Investment_Strategy_Sub2&amp;"_"&amp;$A676,'Investment Strategies'!$AJ:$AV,13,FALSE),
IF(AND(Investment_Strategy="Autopilot",Investment_Strategy_Sub1="Non-Standard"),VLOOKUP(Investment_Strategy&amp;"_"&amp;Investment_Strategy_Sub2&amp;"_"&amp;$A676,'Investment Strategies'!$T:$AF,13,FALSE),
IF(Investment_Strategy="DIY",DIY_ExtManChrge_FuturePremiums,
"Error"))))))</f>
        <v>0</v>
      </c>
      <c r="W676" s="16">
        <f t="shared" si="408"/>
        <v>0</v>
      </c>
      <c r="X676" s="16">
        <f t="shared" si="385"/>
        <v>0</v>
      </c>
      <c r="Y676" s="16">
        <f t="shared" si="386"/>
        <v>0</v>
      </c>
      <c r="Z676" s="31">
        <f t="shared" si="387"/>
        <v>0.02</v>
      </c>
      <c r="AA676" s="16">
        <f t="shared" si="388"/>
        <v>0</v>
      </c>
      <c r="AB676" s="28">
        <f t="shared" si="409"/>
        <v>0</v>
      </c>
      <c r="AC676" s="28">
        <f>(SUM($AC$91:AC675)+SUM($X$91:X675)+X676)*T676*IF(D676=$A$91,SRP_finalmonthfactor,1)</f>
        <v>0</v>
      </c>
      <c r="AD676" s="16">
        <f t="shared" si="389"/>
        <v>0</v>
      </c>
      <c r="AE676" s="106"/>
      <c r="AF676" s="16">
        <f t="shared" si="397"/>
        <v>0</v>
      </c>
      <c r="AG676" s="16">
        <f t="shared" si="398"/>
        <v>0</v>
      </c>
      <c r="AH676" s="16">
        <f t="shared" si="399"/>
        <v>0</v>
      </c>
      <c r="AJ676" s="13">
        <f t="shared" si="410"/>
        <v>0</v>
      </c>
      <c r="AK676" s="13">
        <f t="shared" si="410"/>
        <v>0</v>
      </c>
      <c r="AL676" s="13">
        <f t="shared" si="410"/>
        <v>0</v>
      </c>
      <c r="AM676" s="13">
        <f t="shared" si="410"/>
        <v>0</v>
      </c>
      <c r="AN676" s="13">
        <f t="shared" si="410"/>
        <v>0</v>
      </c>
      <c r="AO676" s="13">
        <f t="shared" si="410"/>
        <v>1</v>
      </c>
      <c r="AP676" s="13">
        <f t="shared" si="410"/>
        <v>1</v>
      </c>
      <c r="AQ676" s="13">
        <f t="shared" si="410"/>
        <v>1</v>
      </c>
      <c r="AR676" s="13">
        <f t="shared" si="410"/>
        <v>0</v>
      </c>
      <c r="AS676" s="13">
        <f t="shared" si="410"/>
        <v>0</v>
      </c>
      <c r="AT676" s="13">
        <f t="shared" si="410"/>
        <v>0</v>
      </c>
      <c r="AU676" s="13">
        <f t="shared" si="410"/>
        <v>0</v>
      </c>
      <c r="AV676" s="13">
        <f t="shared" si="390"/>
        <v>0</v>
      </c>
      <c r="AW676" s="13">
        <f t="shared" si="391"/>
        <v>1</v>
      </c>
      <c r="AY676" s="17">
        <f t="shared" si="392"/>
        <v>586</v>
      </c>
      <c r="AZ676" s="28">
        <f t="shared" si="400"/>
        <v>0</v>
      </c>
      <c r="BA676" s="13">
        <f t="shared" si="393"/>
        <v>0</v>
      </c>
      <c r="BB676" s="13">
        <f t="shared" si="394"/>
        <v>0</v>
      </c>
      <c r="BC676" s="28">
        <f t="shared" si="401"/>
        <v>0</v>
      </c>
      <c r="BD676" s="28">
        <f t="shared" si="402"/>
        <v>0</v>
      </c>
      <c r="BF676" s="248">
        <f t="shared" si="403"/>
        <v>993869.29442638322</v>
      </c>
    </row>
    <row r="677" spans="1:58">
      <c r="A677" s="32">
        <f t="shared" si="404"/>
        <v>-502</v>
      </c>
      <c r="B677" s="32">
        <f t="shared" si="395"/>
        <v>101</v>
      </c>
      <c r="C677" s="32">
        <f t="shared" si="405"/>
        <v>49</v>
      </c>
      <c r="D677" s="32">
        <f t="shared" si="406"/>
        <v>587</v>
      </c>
      <c r="E677" s="74">
        <f>MIN(IF(AV677=0,0,
IF(Investment_Strategy="DIS",VLOOKUP(Investment_Strategy&amp;"_"&amp;Investment_Strategy_Sub1&amp;"_"&amp;$A677,'Investment Strategies'!$AZ:$BP,12,FALSE),
IF(AND(Investment_Strategy="Lifecycle",Investment_Strategy_Sub1="Non-Standard"),VLOOKUP(Investment_Strategy&amp;"_"&amp;Investment_Strategy_Sub2&amp;"_"&amp;$A677,'Investment Strategies'!$C:$P,9,FALSE),
IF(AND(Investment_Strategy="Lifecycle",Investment_Strategy_Sub1="Standard"),VLOOKUP(Investment_Strategy&amp;"_"&amp;Investment_Strategy_Sub2&amp;"_"&amp;$A677,'Investment Strategies'!$AJ:$AV,8,FALSE),
IF(AND(Investment_Strategy="Autopilot",Investment_Strategy_Sub1="Non-Standard"),VLOOKUP(Investment_Strategy&amp;"_"&amp;Investment_Strategy_Sub2&amp;"_"&amp;$A677,'Investment Strategies'!$T:$AF,8,FALSE),
IF(Investment_Strategy ="DIY",DIY_RateOfReturn_CurrentFunds,
"Error")))))),Max_InvReturn)</f>
        <v>0</v>
      </c>
      <c r="F677" s="62">
        <f>IF(AV677=0,0,
IF(Investment_Strategy="DIS",VLOOKUP(Investment_Strategy&amp;"_"&amp;Investment_Strategy_Sub1&amp;"_"&amp;$A677,'Investment Strategies'!$AZ:$BP,15,FALSE),
IF(AND(Investment_Strategy="Lifecycle",Investment_Strategy_Sub1="Non-Standard"),VLOOKUP(Investment_Strategy&amp;"_"&amp;Investment_Strategy_Sub2&amp;"_"&amp;$A677,'Investment Strategies'!$C:$P,12,FALSE),
IF(AND(Investment_Strategy="Lifecycle",Investment_Strategy_Sub1="Standard"),VLOOKUP(Investment_Strategy&amp;"_"&amp;Investment_Strategy_Sub2&amp;"_"&amp;$A677,'Investment Strategies'!$AJ:$AV,11,FALSE),
IF(AND(Investment_Strategy="Autopilot",Investment_Strategy_Sub1="Non-Standard"),VLOOKUP(Investment_Strategy&amp;"_"&amp;Investment_Strategy_Sub2&amp;"_"&amp;$A677,'Investment Strategies'!$T:$AF,11,FALSE),
IF(Investment_Strategy="DIY",DIY_GteeChrge_CurrentFunds,
"Error"))))))</f>
        <v>0</v>
      </c>
      <c r="G677" s="33">
        <f>IF(AV677=0,0,
IF(Investment_Strategy="DIS",VLOOKUP(Investment_Strategy&amp;"_"&amp;Investment_Strategy_Sub1&amp;"_"&amp;$A677,'Investment Strategies'!$AZ:$BP,17,FALSE),
IF(AND(Investment_Strategy="Lifecycle",Investment_Strategy_Sub1="Non-Standard"),VLOOKUP(Investment_Strategy&amp;"_"&amp;Investment_Strategy_Sub2&amp;"_"&amp;$A677,'Investment Strategies'!$C:$P,14,FALSE),
IF(AND(Investment_Strategy="Lifecycle",Investment_Strategy_Sub1="Standard"),VLOOKUP(Investment_Strategy&amp;"_"&amp;Investment_Strategy_Sub2&amp;"_"&amp;$A677,'Investment Strategies'!$AJ:$AV,13,FALSE),
IF(AND(Investment_Strategy="Autopilot",Investment_Strategy_Sub1="Non-Standard"),VLOOKUP(Investment_Strategy&amp;"_"&amp;Investment_Strategy_Sub2&amp;"_"&amp;$A677,'Investment Strategies'!$T:$AF,13,FALSE),
IF(Investment_Strategy="DIY",DIY_ExtManChrge_CurrentFunds,
"Error"))))))</f>
        <v>0</v>
      </c>
      <c r="H677" s="16">
        <f t="shared" si="396"/>
        <v>0</v>
      </c>
      <c r="I677" s="16">
        <f t="shared" si="382"/>
        <v>0</v>
      </c>
      <c r="J677" s="16">
        <f t="shared" si="383"/>
        <v>0</v>
      </c>
      <c r="K677" s="16">
        <f>(Opening_Fund_Value+SUM(K$91:K676))*E677*IF(D677=$A$91,SRP_finalmonthfactor,1)</f>
        <v>0</v>
      </c>
      <c r="L677" s="74">
        <f>MIN(IF($AV677=0,0,
IF(Investment_Strategy="DIS",VLOOKUP(Investment_Strategy&amp;"_"&amp;Investment_Strategy_Sub1&amp;"_"&amp;$A677,'Investment Strategies'!$AZ:$BP,12,FALSE),
IF(AND(Investment_Strategy="Lifecycle",Investment_Strategy_Sub1="Non-Standard"),VLOOKUP(Investment_Strategy&amp;"_"&amp;Investment_Strategy_Sub2&amp;"_"&amp;$A677,'Investment Strategies'!$C:$P,9,FALSE),
IF(AND(Investment_Strategy="Lifecycle",Investment_Strategy_Sub1="Standard"),VLOOKUP(Investment_Strategy&amp;"_"&amp;Investment_Strategy_Sub2&amp;"_"&amp;$A677,'Investment Strategies'!$AJ:$AV,8,FALSE),
IF(AND(Investment_Strategy="Autopilot",Investment_Strategy_Sub1="Non-Standard"),VLOOKUP(Investment_Strategy&amp;"_"&amp;Investment_Strategy_Sub2&amp;"_"&amp;$A677,'Investment Strategies'!$T:$AF,8,FALSE),
IF(Investment_Strategy ="DIY",DIY_RateofReturn_SP,
"Error")))))),Max_InvReturn)</f>
        <v>0</v>
      </c>
      <c r="M677" s="62">
        <f>IF($AV677=0,0,
IF(Investment_Strategy="DIS",VLOOKUP(Investment_Strategy&amp;"_"&amp;Investment_Strategy_Sub1&amp;"_"&amp;$A677,'Investment Strategies'!$AZ:$BP,15,FALSE),
IF(AND(Investment_Strategy="Lifecycle",Investment_Strategy_Sub1="Non-Standard"),VLOOKUP(Investment_Strategy&amp;"_"&amp;Investment_Strategy_Sub2&amp;"_"&amp;$A677,'Investment Strategies'!$C:$P,12,FALSE),
IF(AND(Investment_Strategy="Lifecycle",Investment_Strategy_Sub1="Standard"),VLOOKUP(Investment_Strategy&amp;"_"&amp;Investment_Strategy_Sub2&amp;"_"&amp;$A677,'Investment Strategies'!$AJ:$AV,11,FALSE),
IF(AND(Investment_Strategy="Autopilot",Investment_Strategy_Sub1="Non-Standard"),VLOOKUP(Investment_Strategy&amp;"_"&amp;Investment_Strategy_Sub2&amp;"_"&amp;$A677,'Investment Strategies'!$T:$AF,11,FALSE),
IF(Investment_Strategy="DIY",DIY_GteeChrge_SP,
"Error"))))))</f>
        <v>0</v>
      </c>
      <c r="N677" s="33">
        <f>IF($AV677=0,0,
IF(Investment_Strategy="DIS",VLOOKUP(Investment_Strategy&amp;"_"&amp;Investment_Strategy_Sub1&amp;"_"&amp;$A677,'Investment Strategies'!$AZ:$BP,17,FALSE),
IF(AND(Investment_Strategy="Lifecycle",Investment_Strategy_Sub1="Non-Standard"),VLOOKUP(Investment_Strategy&amp;"_"&amp;Investment_Strategy_Sub2&amp;"_"&amp;$A677,'Investment Strategies'!$C:$P,14,FALSE),
IF(AND(Investment_Strategy="Lifecycle",Investment_Strategy_Sub1="Standard"),VLOOKUP(Investment_Strategy&amp;"_"&amp;Investment_Strategy_Sub2&amp;"_"&amp;$A677,'Investment Strategies'!$AJ:$AV,13,FALSE),
IF(AND(Investment_Strategy="Autopilot",Investment_Strategy_Sub1="Non-Standard"),VLOOKUP(Investment_Strategy&amp;"_"&amp;Investment_Strategy_Sub2&amp;"_"&amp;$A677,'Investment Strategies'!$T:$AF,13,FALSE),
IF(Investment_Strategy="DIY",DIY_ExtManChrge_SP,
"Error"))))))</f>
        <v>0</v>
      </c>
      <c r="O677" s="16">
        <f t="shared" si="407"/>
        <v>0</v>
      </c>
      <c r="Q677" s="16">
        <f t="shared" si="384"/>
        <v>0</v>
      </c>
      <c r="R677" s="16">
        <f t="shared" si="380"/>
        <v>0</v>
      </c>
      <c r="S677" s="16">
        <f>(SRP_SP+SUM(S$91:S676))*L677*IF(D677=$A$91,SRP_finalmonthfactor,1)</f>
        <v>0</v>
      </c>
      <c r="T677" s="74">
        <f>MIN(IF($AV677=0,0,
IF(Investment_Strategy="DIS",VLOOKUP(Investment_Strategy&amp;"_"&amp;Investment_Strategy_Sub1&amp;"_"&amp;$A677,'Investment Strategies'!$AZ:$BP,12,FALSE),
IF(AND(Investment_Strategy="Lifecycle",Investment_Strategy_Sub1="Non-Standard"),VLOOKUP(Investment_Strategy&amp;"_"&amp;Investment_Strategy_Sub2&amp;"_"&amp;$A677,'Investment Strategies'!$C:$P,9,FALSE),
IF(AND(Investment_Strategy="Lifecycle",Investment_Strategy_Sub1="Standard"),VLOOKUP(Investment_Strategy&amp;"_"&amp;Investment_Strategy_Sub2&amp;"_"&amp;$A677,'Investment Strategies'!$AJ:$AV,8,FALSE),
IF(AND(Investment_Strategy="Autopilot",Investment_Strategy_Sub1="Non-Standard"),VLOOKUP(Investment_Strategy&amp;"_"&amp;Investment_Strategy_Sub2&amp;"_"&amp;$A677,'Investment Strategies'!$T:$AF,8,FALSE),
IF(Investment_Strategy ="DIY",DIY_RateOfReturn_FuturePremiums,
"Error")))))),Max_InvReturn)</f>
        <v>0</v>
      </c>
      <c r="U677" s="62">
        <f>IF($AV677=0,0,
IF(Investment_Strategy="DIS",VLOOKUP(Investment_Strategy&amp;"_"&amp;Investment_Strategy_Sub1&amp;"_"&amp;$A677,'Investment Strategies'!$AZ:$BP,15,FALSE),
IF(AND(Investment_Strategy="Lifecycle",Investment_Strategy_Sub1="Non-Standard"),VLOOKUP(Investment_Strategy&amp;"_"&amp;Investment_Strategy_Sub2&amp;"_"&amp;$A677,'Investment Strategies'!$C:$P,12,FALSE),
IF(AND(Investment_Strategy="Lifecycle",Investment_Strategy_Sub1="Standard"),VLOOKUP(Investment_Strategy&amp;"_"&amp;Investment_Strategy_Sub2&amp;"_"&amp;$A677,'Investment Strategies'!$AJ:$AV,11,FALSE),
IF(AND(Investment_Strategy="Autopilot",Investment_Strategy_Sub1="Non-Standard"),VLOOKUP(Investment_Strategy&amp;"_"&amp;Investment_Strategy_Sub2&amp;"_"&amp;$A677,'Investment Strategies'!$T:$AF,11,FALSE),
IF(Investment_Strategy="DIY",DIY_GteeChrge_FuturePremiums,
"Error"))))))</f>
        <v>0</v>
      </c>
      <c r="V677" s="33">
        <f>IF(AV677=0,0,
IF(Investment_Strategy="DIS",VLOOKUP(Investment_Strategy&amp;"_"&amp;Investment_Strategy_Sub1&amp;"_"&amp;$A677,'Investment Strategies'!$AZ:$BP,17,FALSE),
IF(AND(Investment_Strategy="Lifecycle",Investment_Strategy_Sub1="Non-Standard"),VLOOKUP(Investment_Strategy&amp;"_"&amp;Investment_Strategy_Sub2&amp;"_"&amp;$A677,'Investment Strategies'!$C:$P,14,FALSE),
IF(AND(Investment_Strategy="Lifecycle",Investment_Strategy_Sub1="Standard"),VLOOKUP(Investment_Strategy&amp;"_"&amp;Investment_Strategy_Sub2&amp;"_"&amp;$A677,'Investment Strategies'!$AJ:$AV,13,FALSE),
IF(AND(Investment_Strategy="Autopilot",Investment_Strategy_Sub1="Non-Standard"),VLOOKUP(Investment_Strategy&amp;"_"&amp;Investment_Strategy_Sub2&amp;"_"&amp;$A677,'Investment Strategies'!$T:$AF,13,FALSE),
IF(Investment_Strategy="DIY",DIY_ExtManChrge_FuturePremiums,
"Error"))))))</f>
        <v>0</v>
      </c>
      <c r="W677" s="16">
        <f t="shared" si="408"/>
        <v>0</v>
      </c>
      <c r="X677" s="16">
        <f t="shared" si="385"/>
        <v>0</v>
      </c>
      <c r="Y677" s="16">
        <f t="shared" si="386"/>
        <v>0</v>
      </c>
      <c r="Z677" s="31">
        <f t="shared" si="387"/>
        <v>0.02</v>
      </c>
      <c r="AA677" s="16">
        <f t="shared" si="388"/>
        <v>0</v>
      </c>
      <c r="AB677" s="28">
        <f t="shared" si="409"/>
        <v>0</v>
      </c>
      <c r="AC677" s="28">
        <f>(SUM($AC$91:AC676)+SUM($X$91:X676)+X677)*T677*IF(D677=$A$91,SRP_finalmonthfactor,1)</f>
        <v>0</v>
      </c>
      <c r="AD677" s="16">
        <f t="shared" si="389"/>
        <v>0</v>
      </c>
      <c r="AE677" s="106"/>
      <c r="AF677" s="16">
        <f t="shared" si="397"/>
        <v>0</v>
      </c>
      <c r="AG677" s="16">
        <f t="shared" si="398"/>
        <v>0</v>
      </c>
      <c r="AH677" s="16">
        <f t="shared" si="399"/>
        <v>0</v>
      </c>
      <c r="AJ677" s="13">
        <f t="shared" si="410"/>
        <v>0</v>
      </c>
      <c r="AK677" s="13">
        <f t="shared" si="410"/>
        <v>0</v>
      </c>
      <c r="AL677" s="13">
        <f t="shared" si="410"/>
        <v>0</v>
      </c>
      <c r="AM677" s="13">
        <f t="shared" si="410"/>
        <v>0</v>
      </c>
      <c r="AN677" s="13">
        <f t="shared" si="410"/>
        <v>0</v>
      </c>
      <c r="AO677" s="13">
        <f t="shared" si="410"/>
        <v>1</v>
      </c>
      <c r="AP677" s="13">
        <f t="shared" si="410"/>
        <v>1</v>
      </c>
      <c r="AQ677" s="13">
        <f t="shared" si="410"/>
        <v>1</v>
      </c>
      <c r="AR677" s="13">
        <f t="shared" si="410"/>
        <v>0</v>
      </c>
      <c r="AS677" s="13">
        <f t="shared" si="410"/>
        <v>0</v>
      </c>
      <c r="AT677" s="13">
        <f t="shared" si="410"/>
        <v>0</v>
      </c>
      <c r="AU677" s="13">
        <f t="shared" si="410"/>
        <v>0</v>
      </c>
      <c r="AV677" s="13">
        <f t="shared" si="390"/>
        <v>0</v>
      </c>
      <c r="AW677" s="13">
        <f t="shared" si="391"/>
        <v>1</v>
      </c>
      <c r="AY677" s="17">
        <f t="shared" si="392"/>
        <v>587</v>
      </c>
      <c r="AZ677" s="28">
        <f t="shared" si="400"/>
        <v>0</v>
      </c>
      <c r="BA677" s="13">
        <f t="shared" si="393"/>
        <v>0</v>
      </c>
      <c r="BB677" s="13">
        <f t="shared" si="394"/>
        <v>0</v>
      </c>
      <c r="BC677" s="28">
        <f t="shared" si="401"/>
        <v>0</v>
      </c>
      <c r="BD677" s="28">
        <f t="shared" si="402"/>
        <v>0</v>
      </c>
      <c r="BF677" s="248">
        <f t="shared" si="403"/>
        <v>993869.29442638322</v>
      </c>
    </row>
    <row r="678" spans="1:58">
      <c r="A678" s="32">
        <f t="shared" si="404"/>
        <v>-503</v>
      </c>
      <c r="B678" s="32">
        <f t="shared" si="395"/>
        <v>101</v>
      </c>
      <c r="C678" s="32">
        <f t="shared" si="405"/>
        <v>49</v>
      </c>
      <c r="D678" s="32">
        <f t="shared" si="406"/>
        <v>588</v>
      </c>
      <c r="E678" s="74">
        <f>MIN(IF(AV678=0,0,
IF(Investment_Strategy="DIS",VLOOKUP(Investment_Strategy&amp;"_"&amp;Investment_Strategy_Sub1&amp;"_"&amp;$A678,'Investment Strategies'!$AZ:$BP,12,FALSE),
IF(AND(Investment_Strategy="Lifecycle",Investment_Strategy_Sub1="Non-Standard"),VLOOKUP(Investment_Strategy&amp;"_"&amp;Investment_Strategy_Sub2&amp;"_"&amp;$A678,'Investment Strategies'!$C:$P,9,FALSE),
IF(AND(Investment_Strategy="Lifecycle",Investment_Strategy_Sub1="Standard"),VLOOKUP(Investment_Strategy&amp;"_"&amp;Investment_Strategy_Sub2&amp;"_"&amp;$A678,'Investment Strategies'!$AJ:$AV,8,FALSE),
IF(AND(Investment_Strategy="Autopilot",Investment_Strategy_Sub1="Non-Standard"),VLOOKUP(Investment_Strategy&amp;"_"&amp;Investment_Strategy_Sub2&amp;"_"&amp;$A678,'Investment Strategies'!$T:$AF,8,FALSE),
IF(Investment_Strategy ="DIY",DIY_RateOfReturn_CurrentFunds,
"Error")))))),Max_InvReturn)</f>
        <v>0</v>
      </c>
      <c r="F678" s="62">
        <f>IF(AV678=0,0,
IF(Investment_Strategy="DIS",VLOOKUP(Investment_Strategy&amp;"_"&amp;Investment_Strategy_Sub1&amp;"_"&amp;$A678,'Investment Strategies'!$AZ:$BP,15,FALSE),
IF(AND(Investment_Strategy="Lifecycle",Investment_Strategy_Sub1="Non-Standard"),VLOOKUP(Investment_Strategy&amp;"_"&amp;Investment_Strategy_Sub2&amp;"_"&amp;$A678,'Investment Strategies'!$C:$P,12,FALSE),
IF(AND(Investment_Strategy="Lifecycle",Investment_Strategy_Sub1="Standard"),VLOOKUP(Investment_Strategy&amp;"_"&amp;Investment_Strategy_Sub2&amp;"_"&amp;$A678,'Investment Strategies'!$AJ:$AV,11,FALSE),
IF(AND(Investment_Strategy="Autopilot",Investment_Strategy_Sub1="Non-Standard"),VLOOKUP(Investment_Strategy&amp;"_"&amp;Investment_Strategy_Sub2&amp;"_"&amp;$A678,'Investment Strategies'!$T:$AF,11,FALSE),
IF(Investment_Strategy="DIY",DIY_GteeChrge_CurrentFunds,
"Error"))))))</f>
        <v>0</v>
      </c>
      <c r="G678" s="33">
        <f>IF(AV678=0,0,
IF(Investment_Strategy="DIS",VLOOKUP(Investment_Strategy&amp;"_"&amp;Investment_Strategy_Sub1&amp;"_"&amp;$A678,'Investment Strategies'!$AZ:$BP,17,FALSE),
IF(AND(Investment_Strategy="Lifecycle",Investment_Strategy_Sub1="Non-Standard"),VLOOKUP(Investment_Strategy&amp;"_"&amp;Investment_Strategy_Sub2&amp;"_"&amp;$A678,'Investment Strategies'!$C:$P,14,FALSE),
IF(AND(Investment_Strategy="Lifecycle",Investment_Strategy_Sub1="Standard"),VLOOKUP(Investment_Strategy&amp;"_"&amp;Investment_Strategy_Sub2&amp;"_"&amp;$A678,'Investment Strategies'!$AJ:$AV,13,FALSE),
IF(AND(Investment_Strategy="Autopilot",Investment_Strategy_Sub1="Non-Standard"),VLOOKUP(Investment_Strategy&amp;"_"&amp;Investment_Strategy_Sub2&amp;"_"&amp;$A678,'Investment Strategies'!$T:$AF,13,FALSE),
IF(Investment_Strategy="DIY",DIY_ExtManChrge_CurrentFunds,
"Error"))))))</f>
        <v>0</v>
      </c>
      <c r="H678" s="16">
        <f t="shared" si="396"/>
        <v>0</v>
      </c>
      <c r="I678" s="16">
        <f t="shared" si="382"/>
        <v>0</v>
      </c>
      <c r="J678" s="16">
        <f t="shared" si="383"/>
        <v>0</v>
      </c>
      <c r="K678" s="16">
        <f>(Opening_Fund_Value+SUM(K$91:K677))*E678*IF(D678=$A$91,SRP_finalmonthfactor,1)</f>
        <v>0</v>
      </c>
      <c r="L678" s="74">
        <f>MIN(IF($AV678=0,0,
IF(Investment_Strategy="DIS",VLOOKUP(Investment_Strategy&amp;"_"&amp;Investment_Strategy_Sub1&amp;"_"&amp;$A678,'Investment Strategies'!$AZ:$BP,12,FALSE),
IF(AND(Investment_Strategy="Lifecycle",Investment_Strategy_Sub1="Non-Standard"),VLOOKUP(Investment_Strategy&amp;"_"&amp;Investment_Strategy_Sub2&amp;"_"&amp;$A678,'Investment Strategies'!$C:$P,9,FALSE),
IF(AND(Investment_Strategy="Lifecycle",Investment_Strategy_Sub1="Standard"),VLOOKUP(Investment_Strategy&amp;"_"&amp;Investment_Strategy_Sub2&amp;"_"&amp;$A678,'Investment Strategies'!$AJ:$AV,8,FALSE),
IF(AND(Investment_Strategy="Autopilot",Investment_Strategy_Sub1="Non-Standard"),VLOOKUP(Investment_Strategy&amp;"_"&amp;Investment_Strategy_Sub2&amp;"_"&amp;$A678,'Investment Strategies'!$T:$AF,8,FALSE),
IF(Investment_Strategy ="DIY",DIY_RateofReturn_SP,
"Error")))))),Max_InvReturn)</f>
        <v>0</v>
      </c>
      <c r="M678" s="62">
        <f>IF($AV678=0,0,
IF(Investment_Strategy="DIS",VLOOKUP(Investment_Strategy&amp;"_"&amp;Investment_Strategy_Sub1&amp;"_"&amp;$A678,'Investment Strategies'!$AZ:$BP,15,FALSE),
IF(AND(Investment_Strategy="Lifecycle",Investment_Strategy_Sub1="Non-Standard"),VLOOKUP(Investment_Strategy&amp;"_"&amp;Investment_Strategy_Sub2&amp;"_"&amp;$A678,'Investment Strategies'!$C:$P,12,FALSE),
IF(AND(Investment_Strategy="Lifecycle",Investment_Strategy_Sub1="Standard"),VLOOKUP(Investment_Strategy&amp;"_"&amp;Investment_Strategy_Sub2&amp;"_"&amp;$A678,'Investment Strategies'!$AJ:$AV,11,FALSE),
IF(AND(Investment_Strategy="Autopilot",Investment_Strategy_Sub1="Non-Standard"),VLOOKUP(Investment_Strategy&amp;"_"&amp;Investment_Strategy_Sub2&amp;"_"&amp;$A678,'Investment Strategies'!$T:$AF,11,FALSE),
IF(Investment_Strategy="DIY",DIY_GteeChrge_SP,
"Error"))))))</f>
        <v>0</v>
      </c>
      <c r="N678" s="33">
        <f>IF($AV678=0,0,
IF(Investment_Strategy="DIS",VLOOKUP(Investment_Strategy&amp;"_"&amp;Investment_Strategy_Sub1&amp;"_"&amp;$A678,'Investment Strategies'!$AZ:$BP,17,FALSE),
IF(AND(Investment_Strategy="Lifecycle",Investment_Strategy_Sub1="Non-Standard"),VLOOKUP(Investment_Strategy&amp;"_"&amp;Investment_Strategy_Sub2&amp;"_"&amp;$A678,'Investment Strategies'!$C:$P,14,FALSE),
IF(AND(Investment_Strategy="Lifecycle",Investment_Strategy_Sub1="Standard"),VLOOKUP(Investment_Strategy&amp;"_"&amp;Investment_Strategy_Sub2&amp;"_"&amp;$A678,'Investment Strategies'!$AJ:$AV,13,FALSE),
IF(AND(Investment_Strategy="Autopilot",Investment_Strategy_Sub1="Non-Standard"),VLOOKUP(Investment_Strategy&amp;"_"&amp;Investment_Strategy_Sub2&amp;"_"&amp;$A678,'Investment Strategies'!$T:$AF,13,FALSE),
IF(Investment_Strategy="DIY",DIY_ExtManChrge_SP,
"Error"))))))</f>
        <v>0</v>
      </c>
      <c r="O678" s="16">
        <f t="shared" si="407"/>
        <v>0</v>
      </c>
      <c r="Q678" s="16">
        <f t="shared" si="384"/>
        <v>0</v>
      </c>
      <c r="R678" s="16">
        <f t="shared" si="380"/>
        <v>0</v>
      </c>
      <c r="S678" s="16">
        <f>(SRP_SP+SUM(S$91:S677))*L678*IF(D678=$A$91,SRP_finalmonthfactor,1)</f>
        <v>0</v>
      </c>
      <c r="T678" s="74">
        <f>MIN(IF($AV678=0,0,
IF(Investment_Strategy="DIS",VLOOKUP(Investment_Strategy&amp;"_"&amp;Investment_Strategy_Sub1&amp;"_"&amp;$A678,'Investment Strategies'!$AZ:$BP,12,FALSE),
IF(AND(Investment_Strategy="Lifecycle",Investment_Strategy_Sub1="Non-Standard"),VLOOKUP(Investment_Strategy&amp;"_"&amp;Investment_Strategy_Sub2&amp;"_"&amp;$A678,'Investment Strategies'!$C:$P,9,FALSE),
IF(AND(Investment_Strategy="Lifecycle",Investment_Strategy_Sub1="Standard"),VLOOKUP(Investment_Strategy&amp;"_"&amp;Investment_Strategy_Sub2&amp;"_"&amp;$A678,'Investment Strategies'!$AJ:$AV,8,FALSE),
IF(AND(Investment_Strategy="Autopilot",Investment_Strategy_Sub1="Non-Standard"),VLOOKUP(Investment_Strategy&amp;"_"&amp;Investment_Strategy_Sub2&amp;"_"&amp;$A678,'Investment Strategies'!$T:$AF,8,FALSE),
IF(Investment_Strategy ="DIY",DIY_RateOfReturn_FuturePremiums,
"Error")))))),Max_InvReturn)</f>
        <v>0</v>
      </c>
      <c r="U678" s="62">
        <f>IF($AV678=0,0,
IF(Investment_Strategy="DIS",VLOOKUP(Investment_Strategy&amp;"_"&amp;Investment_Strategy_Sub1&amp;"_"&amp;$A678,'Investment Strategies'!$AZ:$BP,15,FALSE),
IF(AND(Investment_Strategy="Lifecycle",Investment_Strategy_Sub1="Non-Standard"),VLOOKUP(Investment_Strategy&amp;"_"&amp;Investment_Strategy_Sub2&amp;"_"&amp;$A678,'Investment Strategies'!$C:$P,12,FALSE),
IF(AND(Investment_Strategy="Lifecycle",Investment_Strategy_Sub1="Standard"),VLOOKUP(Investment_Strategy&amp;"_"&amp;Investment_Strategy_Sub2&amp;"_"&amp;$A678,'Investment Strategies'!$AJ:$AV,11,FALSE),
IF(AND(Investment_Strategy="Autopilot",Investment_Strategy_Sub1="Non-Standard"),VLOOKUP(Investment_Strategy&amp;"_"&amp;Investment_Strategy_Sub2&amp;"_"&amp;$A678,'Investment Strategies'!$T:$AF,11,FALSE),
IF(Investment_Strategy="DIY",DIY_GteeChrge_FuturePremiums,
"Error"))))))</f>
        <v>0</v>
      </c>
      <c r="V678" s="33">
        <f>IF(AV678=0,0,
IF(Investment_Strategy="DIS",VLOOKUP(Investment_Strategy&amp;"_"&amp;Investment_Strategy_Sub1&amp;"_"&amp;$A678,'Investment Strategies'!$AZ:$BP,17,FALSE),
IF(AND(Investment_Strategy="Lifecycle",Investment_Strategy_Sub1="Non-Standard"),VLOOKUP(Investment_Strategy&amp;"_"&amp;Investment_Strategy_Sub2&amp;"_"&amp;$A678,'Investment Strategies'!$C:$P,14,FALSE),
IF(AND(Investment_Strategy="Lifecycle",Investment_Strategy_Sub1="Standard"),VLOOKUP(Investment_Strategy&amp;"_"&amp;Investment_Strategy_Sub2&amp;"_"&amp;$A678,'Investment Strategies'!$AJ:$AV,13,FALSE),
IF(AND(Investment_Strategy="Autopilot",Investment_Strategy_Sub1="Non-Standard"),VLOOKUP(Investment_Strategy&amp;"_"&amp;Investment_Strategy_Sub2&amp;"_"&amp;$A678,'Investment Strategies'!$T:$AF,13,FALSE),
IF(Investment_Strategy="DIY",DIY_ExtManChrge_FuturePremiums,
"Error"))))))</f>
        <v>0</v>
      </c>
      <c r="W678" s="16">
        <f t="shared" si="408"/>
        <v>0</v>
      </c>
      <c r="X678" s="16">
        <f t="shared" si="385"/>
        <v>0</v>
      </c>
      <c r="Y678" s="16">
        <f t="shared" si="386"/>
        <v>0</v>
      </c>
      <c r="Z678" s="31">
        <f t="shared" si="387"/>
        <v>0.02</v>
      </c>
      <c r="AA678" s="16">
        <f t="shared" si="388"/>
        <v>0</v>
      </c>
      <c r="AB678" s="28">
        <f t="shared" si="409"/>
        <v>0</v>
      </c>
      <c r="AC678" s="28">
        <f>(SUM($AC$91:AC677)+SUM($X$91:X677)+X678)*T678*IF(D678=$A$91,SRP_finalmonthfactor,1)</f>
        <v>0</v>
      </c>
      <c r="AD678" s="16">
        <f t="shared" si="389"/>
        <v>0</v>
      </c>
      <c r="AE678" s="106"/>
      <c r="AF678" s="16">
        <f t="shared" si="397"/>
        <v>0</v>
      </c>
      <c r="AG678" s="16">
        <f t="shared" si="398"/>
        <v>0</v>
      </c>
      <c r="AH678" s="16">
        <f t="shared" si="399"/>
        <v>0</v>
      </c>
      <c r="AJ678" s="13">
        <f t="shared" si="410"/>
        <v>0</v>
      </c>
      <c r="AK678" s="13">
        <f t="shared" si="410"/>
        <v>0</v>
      </c>
      <c r="AL678" s="13">
        <f t="shared" si="410"/>
        <v>0</v>
      </c>
      <c r="AM678" s="13">
        <f t="shared" si="410"/>
        <v>0</v>
      </c>
      <c r="AN678" s="13">
        <f t="shared" si="410"/>
        <v>0</v>
      </c>
      <c r="AO678" s="13">
        <f t="shared" si="410"/>
        <v>1</v>
      </c>
      <c r="AP678" s="13">
        <f t="shared" si="410"/>
        <v>1</v>
      </c>
      <c r="AQ678" s="13">
        <f t="shared" si="410"/>
        <v>1</v>
      </c>
      <c r="AR678" s="13">
        <f t="shared" si="410"/>
        <v>0</v>
      </c>
      <c r="AS678" s="13">
        <f t="shared" si="410"/>
        <v>0</v>
      </c>
      <c r="AT678" s="13">
        <f t="shared" si="410"/>
        <v>0</v>
      </c>
      <c r="AU678" s="13">
        <f t="shared" si="410"/>
        <v>0</v>
      </c>
      <c r="AV678" s="13">
        <f t="shared" si="390"/>
        <v>0</v>
      </c>
      <c r="AW678" s="13">
        <f t="shared" si="391"/>
        <v>1</v>
      </c>
      <c r="AY678" s="17">
        <f t="shared" si="392"/>
        <v>588</v>
      </c>
      <c r="AZ678" s="28">
        <f t="shared" si="400"/>
        <v>0</v>
      </c>
      <c r="BA678" s="13">
        <f t="shared" si="393"/>
        <v>0</v>
      </c>
      <c r="BB678" s="13">
        <f t="shared" si="394"/>
        <v>0</v>
      </c>
      <c r="BC678" s="28">
        <f t="shared" si="401"/>
        <v>0</v>
      </c>
      <c r="BD678" s="28">
        <f t="shared" si="402"/>
        <v>0</v>
      </c>
      <c r="BF678" s="248">
        <f t="shared" si="403"/>
        <v>993869.29442638322</v>
      </c>
    </row>
    <row r="679" spans="1:58">
      <c r="A679" s="32">
        <f t="shared" si="404"/>
        <v>-504</v>
      </c>
      <c r="B679" s="32">
        <f t="shared" si="395"/>
        <v>102</v>
      </c>
      <c r="C679" s="32">
        <f t="shared" si="405"/>
        <v>50</v>
      </c>
      <c r="D679" s="32">
        <f t="shared" si="406"/>
        <v>589</v>
      </c>
      <c r="E679" s="74">
        <f>MIN(IF(AV679=0,0,
IF(Investment_Strategy="DIS",VLOOKUP(Investment_Strategy&amp;"_"&amp;Investment_Strategy_Sub1&amp;"_"&amp;$A679,'Investment Strategies'!$AZ:$BP,12,FALSE),
IF(AND(Investment_Strategy="Lifecycle",Investment_Strategy_Sub1="Non-Standard"),VLOOKUP(Investment_Strategy&amp;"_"&amp;Investment_Strategy_Sub2&amp;"_"&amp;$A679,'Investment Strategies'!$C:$P,9,FALSE),
IF(AND(Investment_Strategy="Lifecycle",Investment_Strategy_Sub1="Standard"),VLOOKUP(Investment_Strategy&amp;"_"&amp;Investment_Strategy_Sub2&amp;"_"&amp;$A679,'Investment Strategies'!$AJ:$AV,8,FALSE),
IF(AND(Investment_Strategy="Autopilot",Investment_Strategy_Sub1="Non-Standard"),VLOOKUP(Investment_Strategy&amp;"_"&amp;Investment_Strategy_Sub2&amp;"_"&amp;$A679,'Investment Strategies'!$T:$AF,8,FALSE),
IF(Investment_Strategy ="DIY",DIY_RateOfReturn_CurrentFunds,
"Error")))))),Max_InvReturn)</f>
        <v>0</v>
      </c>
      <c r="F679" s="62">
        <f>IF(AV679=0,0,
IF(Investment_Strategy="DIS",VLOOKUP(Investment_Strategy&amp;"_"&amp;Investment_Strategy_Sub1&amp;"_"&amp;$A679,'Investment Strategies'!$AZ:$BP,15,FALSE),
IF(AND(Investment_Strategy="Lifecycle",Investment_Strategy_Sub1="Non-Standard"),VLOOKUP(Investment_Strategy&amp;"_"&amp;Investment_Strategy_Sub2&amp;"_"&amp;$A679,'Investment Strategies'!$C:$P,12,FALSE),
IF(AND(Investment_Strategy="Lifecycle",Investment_Strategy_Sub1="Standard"),VLOOKUP(Investment_Strategy&amp;"_"&amp;Investment_Strategy_Sub2&amp;"_"&amp;$A679,'Investment Strategies'!$AJ:$AV,11,FALSE),
IF(AND(Investment_Strategy="Autopilot",Investment_Strategy_Sub1="Non-Standard"),VLOOKUP(Investment_Strategy&amp;"_"&amp;Investment_Strategy_Sub2&amp;"_"&amp;$A679,'Investment Strategies'!$T:$AF,11,FALSE),
IF(Investment_Strategy="DIY",DIY_GteeChrge_CurrentFunds,
"Error"))))))</f>
        <v>0</v>
      </c>
      <c r="G679" s="33">
        <f>IF(AV679=0,0,
IF(Investment_Strategy="DIS",VLOOKUP(Investment_Strategy&amp;"_"&amp;Investment_Strategy_Sub1&amp;"_"&amp;$A679,'Investment Strategies'!$AZ:$BP,17,FALSE),
IF(AND(Investment_Strategy="Lifecycle",Investment_Strategy_Sub1="Non-Standard"),VLOOKUP(Investment_Strategy&amp;"_"&amp;Investment_Strategy_Sub2&amp;"_"&amp;$A679,'Investment Strategies'!$C:$P,14,FALSE),
IF(AND(Investment_Strategy="Lifecycle",Investment_Strategy_Sub1="Standard"),VLOOKUP(Investment_Strategy&amp;"_"&amp;Investment_Strategy_Sub2&amp;"_"&amp;$A679,'Investment Strategies'!$AJ:$AV,13,FALSE),
IF(AND(Investment_Strategy="Autopilot",Investment_Strategy_Sub1="Non-Standard"),VLOOKUP(Investment_Strategy&amp;"_"&amp;Investment_Strategy_Sub2&amp;"_"&amp;$A679,'Investment Strategies'!$T:$AF,13,FALSE),
IF(Investment_Strategy="DIY",DIY_ExtManChrge_CurrentFunds,
"Error"))))))</f>
        <v>0</v>
      </c>
      <c r="H679" s="16">
        <f t="shared" si="396"/>
        <v>0</v>
      </c>
      <c r="I679" s="16">
        <f t="shared" si="382"/>
        <v>0</v>
      </c>
      <c r="J679" s="16">
        <f t="shared" si="383"/>
        <v>0</v>
      </c>
      <c r="K679" s="16">
        <f>(Opening_Fund_Value+SUM(K$91:K678))*E679*IF(D679=$A$91,SRP_finalmonthfactor,1)</f>
        <v>0</v>
      </c>
      <c r="L679" s="74">
        <f>MIN(IF($AV679=0,0,
IF(Investment_Strategy="DIS",VLOOKUP(Investment_Strategy&amp;"_"&amp;Investment_Strategy_Sub1&amp;"_"&amp;$A679,'Investment Strategies'!$AZ:$BP,12,FALSE),
IF(AND(Investment_Strategy="Lifecycle",Investment_Strategy_Sub1="Non-Standard"),VLOOKUP(Investment_Strategy&amp;"_"&amp;Investment_Strategy_Sub2&amp;"_"&amp;$A679,'Investment Strategies'!$C:$P,9,FALSE),
IF(AND(Investment_Strategy="Lifecycle",Investment_Strategy_Sub1="Standard"),VLOOKUP(Investment_Strategy&amp;"_"&amp;Investment_Strategy_Sub2&amp;"_"&amp;$A679,'Investment Strategies'!$AJ:$AV,8,FALSE),
IF(AND(Investment_Strategy="Autopilot",Investment_Strategy_Sub1="Non-Standard"),VLOOKUP(Investment_Strategy&amp;"_"&amp;Investment_Strategy_Sub2&amp;"_"&amp;$A679,'Investment Strategies'!$T:$AF,8,FALSE),
IF(Investment_Strategy ="DIY",DIY_RateofReturn_SP,
"Error")))))),Max_InvReturn)</f>
        <v>0</v>
      </c>
      <c r="M679" s="62">
        <f>IF($AV679=0,0,
IF(Investment_Strategy="DIS",VLOOKUP(Investment_Strategy&amp;"_"&amp;Investment_Strategy_Sub1&amp;"_"&amp;$A679,'Investment Strategies'!$AZ:$BP,15,FALSE),
IF(AND(Investment_Strategy="Lifecycle",Investment_Strategy_Sub1="Non-Standard"),VLOOKUP(Investment_Strategy&amp;"_"&amp;Investment_Strategy_Sub2&amp;"_"&amp;$A679,'Investment Strategies'!$C:$P,12,FALSE),
IF(AND(Investment_Strategy="Lifecycle",Investment_Strategy_Sub1="Standard"),VLOOKUP(Investment_Strategy&amp;"_"&amp;Investment_Strategy_Sub2&amp;"_"&amp;$A679,'Investment Strategies'!$AJ:$AV,11,FALSE),
IF(AND(Investment_Strategy="Autopilot",Investment_Strategy_Sub1="Non-Standard"),VLOOKUP(Investment_Strategy&amp;"_"&amp;Investment_Strategy_Sub2&amp;"_"&amp;$A679,'Investment Strategies'!$T:$AF,11,FALSE),
IF(Investment_Strategy="DIY",DIY_GteeChrge_SP,
"Error"))))))</f>
        <v>0</v>
      </c>
      <c r="N679" s="33">
        <f>IF($AV679=0,0,
IF(Investment_Strategy="DIS",VLOOKUP(Investment_Strategy&amp;"_"&amp;Investment_Strategy_Sub1&amp;"_"&amp;$A679,'Investment Strategies'!$AZ:$BP,17,FALSE),
IF(AND(Investment_Strategy="Lifecycle",Investment_Strategy_Sub1="Non-Standard"),VLOOKUP(Investment_Strategy&amp;"_"&amp;Investment_Strategy_Sub2&amp;"_"&amp;$A679,'Investment Strategies'!$C:$P,14,FALSE),
IF(AND(Investment_Strategy="Lifecycle",Investment_Strategy_Sub1="Standard"),VLOOKUP(Investment_Strategy&amp;"_"&amp;Investment_Strategy_Sub2&amp;"_"&amp;$A679,'Investment Strategies'!$AJ:$AV,13,FALSE),
IF(AND(Investment_Strategy="Autopilot",Investment_Strategy_Sub1="Non-Standard"),VLOOKUP(Investment_Strategy&amp;"_"&amp;Investment_Strategy_Sub2&amp;"_"&amp;$A679,'Investment Strategies'!$T:$AF,13,FALSE),
IF(Investment_Strategy="DIY",DIY_ExtManChrge_SP,
"Error"))))))</f>
        <v>0</v>
      </c>
      <c r="O679" s="16">
        <f t="shared" si="407"/>
        <v>0</v>
      </c>
      <c r="Q679" s="16">
        <f t="shared" si="384"/>
        <v>0</v>
      </c>
      <c r="R679" s="16">
        <f t="shared" si="380"/>
        <v>0</v>
      </c>
      <c r="S679" s="16">
        <f>(SRP_SP+SUM(S$91:S678))*L679*IF(D679=$A$91,SRP_finalmonthfactor,1)</f>
        <v>0</v>
      </c>
      <c r="T679" s="74">
        <f>MIN(IF($AV679=0,0,
IF(Investment_Strategy="DIS",VLOOKUP(Investment_Strategy&amp;"_"&amp;Investment_Strategy_Sub1&amp;"_"&amp;$A679,'Investment Strategies'!$AZ:$BP,12,FALSE),
IF(AND(Investment_Strategy="Lifecycle",Investment_Strategy_Sub1="Non-Standard"),VLOOKUP(Investment_Strategy&amp;"_"&amp;Investment_Strategy_Sub2&amp;"_"&amp;$A679,'Investment Strategies'!$C:$P,9,FALSE),
IF(AND(Investment_Strategy="Lifecycle",Investment_Strategy_Sub1="Standard"),VLOOKUP(Investment_Strategy&amp;"_"&amp;Investment_Strategy_Sub2&amp;"_"&amp;$A679,'Investment Strategies'!$AJ:$AV,8,FALSE),
IF(AND(Investment_Strategy="Autopilot",Investment_Strategy_Sub1="Non-Standard"),VLOOKUP(Investment_Strategy&amp;"_"&amp;Investment_Strategy_Sub2&amp;"_"&amp;$A679,'Investment Strategies'!$T:$AF,8,FALSE),
IF(Investment_Strategy ="DIY",DIY_RateOfReturn_FuturePremiums,
"Error")))))),Max_InvReturn)</f>
        <v>0</v>
      </c>
      <c r="U679" s="62">
        <f>IF($AV679=0,0,
IF(Investment_Strategy="DIS",VLOOKUP(Investment_Strategy&amp;"_"&amp;Investment_Strategy_Sub1&amp;"_"&amp;$A679,'Investment Strategies'!$AZ:$BP,15,FALSE),
IF(AND(Investment_Strategy="Lifecycle",Investment_Strategy_Sub1="Non-Standard"),VLOOKUP(Investment_Strategy&amp;"_"&amp;Investment_Strategy_Sub2&amp;"_"&amp;$A679,'Investment Strategies'!$C:$P,12,FALSE),
IF(AND(Investment_Strategy="Lifecycle",Investment_Strategy_Sub1="Standard"),VLOOKUP(Investment_Strategy&amp;"_"&amp;Investment_Strategy_Sub2&amp;"_"&amp;$A679,'Investment Strategies'!$AJ:$AV,11,FALSE),
IF(AND(Investment_Strategy="Autopilot",Investment_Strategy_Sub1="Non-Standard"),VLOOKUP(Investment_Strategy&amp;"_"&amp;Investment_Strategy_Sub2&amp;"_"&amp;$A679,'Investment Strategies'!$T:$AF,11,FALSE),
IF(Investment_Strategy="DIY",DIY_GteeChrge_FuturePremiums,
"Error"))))))</f>
        <v>0</v>
      </c>
      <c r="V679" s="33">
        <f>IF(AV679=0,0,
IF(Investment_Strategy="DIS",VLOOKUP(Investment_Strategy&amp;"_"&amp;Investment_Strategy_Sub1&amp;"_"&amp;$A679,'Investment Strategies'!$AZ:$BP,17,FALSE),
IF(AND(Investment_Strategy="Lifecycle",Investment_Strategy_Sub1="Non-Standard"),VLOOKUP(Investment_Strategy&amp;"_"&amp;Investment_Strategy_Sub2&amp;"_"&amp;$A679,'Investment Strategies'!$C:$P,14,FALSE),
IF(AND(Investment_Strategy="Lifecycle",Investment_Strategy_Sub1="Standard"),VLOOKUP(Investment_Strategy&amp;"_"&amp;Investment_Strategy_Sub2&amp;"_"&amp;$A679,'Investment Strategies'!$AJ:$AV,13,FALSE),
IF(AND(Investment_Strategy="Autopilot",Investment_Strategy_Sub1="Non-Standard"),VLOOKUP(Investment_Strategy&amp;"_"&amp;Investment_Strategy_Sub2&amp;"_"&amp;$A679,'Investment Strategies'!$T:$AF,13,FALSE),
IF(Investment_Strategy="DIY",DIY_ExtManChrge_FuturePremiums,
"Error"))))))</f>
        <v>0</v>
      </c>
      <c r="W679" s="16">
        <f t="shared" si="408"/>
        <v>0</v>
      </c>
      <c r="X679" s="16">
        <f t="shared" si="385"/>
        <v>0</v>
      </c>
      <c r="Y679" s="16">
        <f t="shared" si="386"/>
        <v>0</v>
      </c>
      <c r="Z679" s="31">
        <f t="shared" si="387"/>
        <v>0.02</v>
      </c>
      <c r="AA679" s="16">
        <f t="shared" si="388"/>
        <v>0</v>
      </c>
      <c r="AB679" s="28">
        <f t="shared" si="409"/>
        <v>0</v>
      </c>
      <c r="AC679" s="28">
        <f>(SUM($AC$91:AC678)+SUM($X$91:X678)+X679)*T679*IF(D679=$A$91,SRP_finalmonthfactor,1)</f>
        <v>0</v>
      </c>
      <c r="AD679" s="16">
        <f t="shared" si="389"/>
        <v>0</v>
      </c>
      <c r="AE679" s="106"/>
      <c r="AF679" s="16">
        <f t="shared" si="397"/>
        <v>0</v>
      </c>
      <c r="AG679" s="16">
        <f t="shared" si="398"/>
        <v>0</v>
      </c>
      <c r="AH679" s="16">
        <f t="shared" si="399"/>
        <v>0</v>
      </c>
      <c r="AJ679" s="13">
        <f t="shared" si="410"/>
        <v>0</v>
      </c>
      <c r="AK679" s="13">
        <f t="shared" si="410"/>
        <v>0</v>
      </c>
      <c r="AL679" s="13">
        <f t="shared" si="410"/>
        <v>0</v>
      </c>
      <c r="AM679" s="13">
        <f t="shared" si="410"/>
        <v>0</v>
      </c>
      <c r="AN679" s="13">
        <f t="shared" si="410"/>
        <v>0</v>
      </c>
      <c r="AO679" s="13">
        <f t="shared" si="410"/>
        <v>1</v>
      </c>
      <c r="AP679" s="13">
        <f t="shared" si="410"/>
        <v>1</v>
      </c>
      <c r="AQ679" s="13">
        <f t="shared" si="410"/>
        <v>1</v>
      </c>
      <c r="AR679" s="13">
        <f t="shared" si="410"/>
        <v>0</v>
      </c>
      <c r="AS679" s="13">
        <f t="shared" si="410"/>
        <v>0</v>
      </c>
      <c r="AT679" s="13">
        <f t="shared" si="410"/>
        <v>0</v>
      </c>
      <c r="AU679" s="13">
        <f t="shared" si="410"/>
        <v>0</v>
      </c>
      <c r="AV679" s="13">
        <f t="shared" si="390"/>
        <v>0</v>
      </c>
      <c r="AW679" s="13">
        <f t="shared" si="391"/>
        <v>1</v>
      </c>
      <c r="AY679" s="17">
        <f t="shared" si="392"/>
        <v>589</v>
      </c>
      <c r="AZ679" s="28">
        <f t="shared" si="400"/>
        <v>0</v>
      </c>
      <c r="BA679" s="13">
        <f t="shared" si="393"/>
        <v>0</v>
      </c>
      <c r="BB679" s="13">
        <f t="shared" si="394"/>
        <v>0</v>
      </c>
      <c r="BC679" s="28">
        <f t="shared" si="401"/>
        <v>0</v>
      </c>
      <c r="BD679" s="28">
        <f t="shared" si="402"/>
        <v>0</v>
      </c>
      <c r="BF679" s="248">
        <f t="shared" si="403"/>
        <v>993869.29442638322</v>
      </c>
    </row>
    <row r="680" spans="1:58">
      <c r="A680" s="32">
        <f t="shared" si="404"/>
        <v>-505</v>
      </c>
      <c r="B680" s="32">
        <f t="shared" si="395"/>
        <v>102</v>
      </c>
      <c r="C680" s="32">
        <f t="shared" si="405"/>
        <v>50</v>
      </c>
      <c r="D680" s="32">
        <f t="shared" si="406"/>
        <v>590</v>
      </c>
      <c r="E680" s="74">
        <f>MIN(IF(AV680=0,0,
IF(Investment_Strategy="DIS",VLOOKUP(Investment_Strategy&amp;"_"&amp;Investment_Strategy_Sub1&amp;"_"&amp;$A680,'Investment Strategies'!$AZ:$BP,12,FALSE),
IF(AND(Investment_Strategy="Lifecycle",Investment_Strategy_Sub1="Non-Standard"),VLOOKUP(Investment_Strategy&amp;"_"&amp;Investment_Strategy_Sub2&amp;"_"&amp;$A680,'Investment Strategies'!$C:$P,9,FALSE),
IF(AND(Investment_Strategy="Lifecycle",Investment_Strategy_Sub1="Standard"),VLOOKUP(Investment_Strategy&amp;"_"&amp;Investment_Strategy_Sub2&amp;"_"&amp;$A680,'Investment Strategies'!$AJ:$AV,8,FALSE),
IF(AND(Investment_Strategy="Autopilot",Investment_Strategy_Sub1="Non-Standard"),VLOOKUP(Investment_Strategy&amp;"_"&amp;Investment_Strategy_Sub2&amp;"_"&amp;$A680,'Investment Strategies'!$T:$AF,8,FALSE),
IF(Investment_Strategy ="DIY",DIY_RateOfReturn_CurrentFunds,
"Error")))))),Max_InvReturn)</f>
        <v>0</v>
      </c>
      <c r="F680" s="62">
        <f>IF(AV680=0,0,
IF(Investment_Strategy="DIS",VLOOKUP(Investment_Strategy&amp;"_"&amp;Investment_Strategy_Sub1&amp;"_"&amp;$A680,'Investment Strategies'!$AZ:$BP,15,FALSE),
IF(AND(Investment_Strategy="Lifecycle",Investment_Strategy_Sub1="Non-Standard"),VLOOKUP(Investment_Strategy&amp;"_"&amp;Investment_Strategy_Sub2&amp;"_"&amp;$A680,'Investment Strategies'!$C:$P,12,FALSE),
IF(AND(Investment_Strategy="Lifecycle",Investment_Strategy_Sub1="Standard"),VLOOKUP(Investment_Strategy&amp;"_"&amp;Investment_Strategy_Sub2&amp;"_"&amp;$A680,'Investment Strategies'!$AJ:$AV,11,FALSE),
IF(AND(Investment_Strategy="Autopilot",Investment_Strategy_Sub1="Non-Standard"),VLOOKUP(Investment_Strategy&amp;"_"&amp;Investment_Strategy_Sub2&amp;"_"&amp;$A680,'Investment Strategies'!$T:$AF,11,FALSE),
IF(Investment_Strategy="DIY",DIY_GteeChrge_CurrentFunds,
"Error"))))))</f>
        <v>0</v>
      </c>
      <c r="G680" s="33">
        <f>IF(AV680=0,0,
IF(Investment_Strategy="DIS",VLOOKUP(Investment_Strategy&amp;"_"&amp;Investment_Strategy_Sub1&amp;"_"&amp;$A680,'Investment Strategies'!$AZ:$BP,17,FALSE),
IF(AND(Investment_Strategy="Lifecycle",Investment_Strategy_Sub1="Non-Standard"),VLOOKUP(Investment_Strategy&amp;"_"&amp;Investment_Strategy_Sub2&amp;"_"&amp;$A680,'Investment Strategies'!$C:$P,14,FALSE),
IF(AND(Investment_Strategy="Lifecycle",Investment_Strategy_Sub1="Standard"),VLOOKUP(Investment_Strategy&amp;"_"&amp;Investment_Strategy_Sub2&amp;"_"&amp;$A680,'Investment Strategies'!$AJ:$AV,13,FALSE),
IF(AND(Investment_Strategy="Autopilot",Investment_Strategy_Sub1="Non-Standard"),VLOOKUP(Investment_Strategy&amp;"_"&amp;Investment_Strategy_Sub2&amp;"_"&amp;$A680,'Investment Strategies'!$T:$AF,13,FALSE),
IF(Investment_Strategy="DIY",DIY_ExtManChrge_CurrentFunds,
"Error"))))))</f>
        <v>0</v>
      </c>
      <c r="H680" s="16">
        <f t="shared" si="396"/>
        <v>0</v>
      </c>
      <c r="I680" s="16">
        <f t="shared" si="382"/>
        <v>0</v>
      </c>
      <c r="J680" s="16">
        <f t="shared" si="383"/>
        <v>0</v>
      </c>
      <c r="K680" s="16">
        <f>(Opening_Fund_Value+SUM(K$91:K679))*E680*IF(D680=$A$91,SRP_finalmonthfactor,1)</f>
        <v>0</v>
      </c>
      <c r="L680" s="74">
        <f>MIN(IF($AV680=0,0,
IF(Investment_Strategy="DIS",VLOOKUP(Investment_Strategy&amp;"_"&amp;Investment_Strategy_Sub1&amp;"_"&amp;$A680,'Investment Strategies'!$AZ:$BP,12,FALSE),
IF(AND(Investment_Strategy="Lifecycle",Investment_Strategy_Sub1="Non-Standard"),VLOOKUP(Investment_Strategy&amp;"_"&amp;Investment_Strategy_Sub2&amp;"_"&amp;$A680,'Investment Strategies'!$C:$P,9,FALSE),
IF(AND(Investment_Strategy="Lifecycle",Investment_Strategy_Sub1="Standard"),VLOOKUP(Investment_Strategy&amp;"_"&amp;Investment_Strategy_Sub2&amp;"_"&amp;$A680,'Investment Strategies'!$AJ:$AV,8,FALSE),
IF(AND(Investment_Strategy="Autopilot",Investment_Strategy_Sub1="Non-Standard"),VLOOKUP(Investment_Strategy&amp;"_"&amp;Investment_Strategy_Sub2&amp;"_"&amp;$A680,'Investment Strategies'!$T:$AF,8,FALSE),
IF(Investment_Strategy ="DIY",DIY_RateofReturn_SP,
"Error")))))),Max_InvReturn)</f>
        <v>0</v>
      </c>
      <c r="M680" s="62">
        <f>IF($AV680=0,0,
IF(Investment_Strategy="DIS",VLOOKUP(Investment_Strategy&amp;"_"&amp;Investment_Strategy_Sub1&amp;"_"&amp;$A680,'Investment Strategies'!$AZ:$BP,15,FALSE),
IF(AND(Investment_Strategy="Lifecycle",Investment_Strategy_Sub1="Non-Standard"),VLOOKUP(Investment_Strategy&amp;"_"&amp;Investment_Strategy_Sub2&amp;"_"&amp;$A680,'Investment Strategies'!$C:$P,12,FALSE),
IF(AND(Investment_Strategy="Lifecycle",Investment_Strategy_Sub1="Standard"),VLOOKUP(Investment_Strategy&amp;"_"&amp;Investment_Strategy_Sub2&amp;"_"&amp;$A680,'Investment Strategies'!$AJ:$AV,11,FALSE),
IF(AND(Investment_Strategy="Autopilot",Investment_Strategy_Sub1="Non-Standard"),VLOOKUP(Investment_Strategy&amp;"_"&amp;Investment_Strategy_Sub2&amp;"_"&amp;$A680,'Investment Strategies'!$T:$AF,11,FALSE),
IF(Investment_Strategy="DIY",DIY_GteeChrge_SP,
"Error"))))))</f>
        <v>0</v>
      </c>
      <c r="N680" s="33">
        <f>IF($AV680=0,0,
IF(Investment_Strategy="DIS",VLOOKUP(Investment_Strategy&amp;"_"&amp;Investment_Strategy_Sub1&amp;"_"&amp;$A680,'Investment Strategies'!$AZ:$BP,17,FALSE),
IF(AND(Investment_Strategy="Lifecycle",Investment_Strategy_Sub1="Non-Standard"),VLOOKUP(Investment_Strategy&amp;"_"&amp;Investment_Strategy_Sub2&amp;"_"&amp;$A680,'Investment Strategies'!$C:$P,14,FALSE),
IF(AND(Investment_Strategy="Lifecycle",Investment_Strategy_Sub1="Standard"),VLOOKUP(Investment_Strategy&amp;"_"&amp;Investment_Strategy_Sub2&amp;"_"&amp;$A680,'Investment Strategies'!$AJ:$AV,13,FALSE),
IF(AND(Investment_Strategy="Autopilot",Investment_Strategy_Sub1="Non-Standard"),VLOOKUP(Investment_Strategy&amp;"_"&amp;Investment_Strategy_Sub2&amp;"_"&amp;$A680,'Investment Strategies'!$T:$AF,13,FALSE),
IF(Investment_Strategy="DIY",DIY_ExtManChrge_SP,
"Error"))))))</f>
        <v>0</v>
      </c>
      <c r="O680" s="16">
        <f t="shared" si="407"/>
        <v>0</v>
      </c>
      <c r="Q680" s="16">
        <f t="shared" si="384"/>
        <v>0</v>
      </c>
      <c r="R680" s="16">
        <f t="shared" si="380"/>
        <v>0</v>
      </c>
      <c r="S680" s="16">
        <f>(SRP_SP+SUM(S$91:S679))*L680*IF(D680=$A$91,SRP_finalmonthfactor,1)</f>
        <v>0</v>
      </c>
      <c r="T680" s="74">
        <f>MIN(IF($AV680=0,0,
IF(Investment_Strategy="DIS",VLOOKUP(Investment_Strategy&amp;"_"&amp;Investment_Strategy_Sub1&amp;"_"&amp;$A680,'Investment Strategies'!$AZ:$BP,12,FALSE),
IF(AND(Investment_Strategy="Lifecycle",Investment_Strategy_Sub1="Non-Standard"),VLOOKUP(Investment_Strategy&amp;"_"&amp;Investment_Strategy_Sub2&amp;"_"&amp;$A680,'Investment Strategies'!$C:$P,9,FALSE),
IF(AND(Investment_Strategy="Lifecycle",Investment_Strategy_Sub1="Standard"),VLOOKUP(Investment_Strategy&amp;"_"&amp;Investment_Strategy_Sub2&amp;"_"&amp;$A680,'Investment Strategies'!$AJ:$AV,8,FALSE),
IF(AND(Investment_Strategy="Autopilot",Investment_Strategy_Sub1="Non-Standard"),VLOOKUP(Investment_Strategy&amp;"_"&amp;Investment_Strategy_Sub2&amp;"_"&amp;$A680,'Investment Strategies'!$T:$AF,8,FALSE),
IF(Investment_Strategy ="DIY",DIY_RateOfReturn_FuturePremiums,
"Error")))))),Max_InvReturn)</f>
        <v>0</v>
      </c>
      <c r="U680" s="62">
        <f>IF($AV680=0,0,
IF(Investment_Strategy="DIS",VLOOKUP(Investment_Strategy&amp;"_"&amp;Investment_Strategy_Sub1&amp;"_"&amp;$A680,'Investment Strategies'!$AZ:$BP,15,FALSE),
IF(AND(Investment_Strategy="Lifecycle",Investment_Strategy_Sub1="Non-Standard"),VLOOKUP(Investment_Strategy&amp;"_"&amp;Investment_Strategy_Sub2&amp;"_"&amp;$A680,'Investment Strategies'!$C:$P,12,FALSE),
IF(AND(Investment_Strategy="Lifecycle",Investment_Strategy_Sub1="Standard"),VLOOKUP(Investment_Strategy&amp;"_"&amp;Investment_Strategy_Sub2&amp;"_"&amp;$A680,'Investment Strategies'!$AJ:$AV,11,FALSE),
IF(AND(Investment_Strategy="Autopilot",Investment_Strategy_Sub1="Non-Standard"),VLOOKUP(Investment_Strategy&amp;"_"&amp;Investment_Strategy_Sub2&amp;"_"&amp;$A680,'Investment Strategies'!$T:$AF,11,FALSE),
IF(Investment_Strategy="DIY",DIY_GteeChrge_FuturePremiums,
"Error"))))))</f>
        <v>0</v>
      </c>
      <c r="V680" s="33">
        <f>IF(AV680=0,0,
IF(Investment_Strategy="DIS",VLOOKUP(Investment_Strategy&amp;"_"&amp;Investment_Strategy_Sub1&amp;"_"&amp;$A680,'Investment Strategies'!$AZ:$BP,17,FALSE),
IF(AND(Investment_Strategy="Lifecycle",Investment_Strategy_Sub1="Non-Standard"),VLOOKUP(Investment_Strategy&amp;"_"&amp;Investment_Strategy_Sub2&amp;"_"&amp;$A680,'Investment Strategies'!$C:$P,14,FALSE),
IF(AND(Investment_Strategy="Lifecycle",Investment_Strategy_Sub1="Standard"),VLOOKUP(Investment_Strategy&amp;"_"&amp;Investment_Strategy_Sub2&amp;"_"&amp;$A680,'Investment Strategies'!$AJ:$AV,13,FALSE),
IF(AND(Investment_Strategy="Autopilot",Investment_Strategy_Sub1="Non-Standard"),VLOOKUP(Investment_Strategy&amp;"_"&amp;Investment_Strategy_Sub2&amp;"_"&amp;$A680,'Investment Strategies'!$T:$AF,13,FALSE),
IF(Investment_Strategy="DIY",DIY_ExtManChrge_FuturePremiums,
"Error"))))))</f>
        <v>0</v>
      </c>
      <c r="W680" s="16">
        <f t="shared" si="408"/>
        <v>0</v>
      </c>
      <c r="X680" s="16">
        <f t="shared" si="385"/>
        <v>0</v>
      </c>
      <c r="Y680" s="16">
        <f t="shared" si="386"/>
        <v>0</v>
      </c>
      <c r="Z680" s="31">
        <f t="shared" si="387"/>
        <v>0.02</v>
      </c>
      <c r="AA680" s="16">
        <f t="shared" si="388"/>
        <v>0</v>
      </c>
      <c r="AB680" s="28">
        <f t="shared" si="409"/>
        <v>0</v>
      </c>
      <c r="AC680" s="28">
        <f>(SUM($AC$91:AC679)+SUM($X$91:X679)+X680)*T680*IF(D680=$A$91,SRP_finalmonthfactor,1)</f>
        <v>0</v>
      </c>
      <c r="AD680" s="16">
        <f t="shared" si="389"/>
        <v>0</v>
      </c>
      <c r="AE680" s="106"/>
      <c r="AF680" s="16">
        <f t="shared" si="397"/>
        <v>0</v>
      </c>
      <c r="AG680" s="16">
        <f t="shared" si="398"/>
        <v>0</v>
      </c>
      <c r="AH680" s="16">
        <f t="shared" si="399"/>
        <v>0</v>
      </c>
      <c r="AJ680" s="13">
        <f t="shared" si="410"/>
        <v>0</v>
      </c>
      <c r="AK680" s="13">
        <f t="shared" si="410"/>
        <v>0</v>
      </c>
      <c r="AL680" s="13">
        <f t="shared" si="410"/>
        <v>0</v>
      </c>
      <c r="AM680" s="13">
        <f t="shared" si="410"/>
        <v>0</v>
      </c>
      <c r="AN680" s="13">
        <f t="shared" si="410"/>
        <v>0</v>
      </c>
      <c r="AO680" s="13">
        <f t="shared" si="410"/>
        <v>1</v>
      </c>
      <c r="AP680" s="13">
        <f t="shared" si="410"/>
        <v>1</v>
      </c>
      <c r="AQ680" s="13">
        <f t="shared" si="410"/>
        <v>1</v>
      </c>
      <c r="AR680" s="13">
        <f t="shared" si="410"/>
        <v>0</v>
      </c>
      <c r="AS680" s="13">
        <f t="shared" si="410"/>
        <v>0</v>
      </c>
      <c r="AT680" s="13">
        <f t="shared" si="410"/>
        <v>0</v>
      </c>
      <c r="AU680" s="13">
        <f t="shared" si="410"/>
        <v>0</v>
      </c>
      <c r="AV680" s="13">
        <f t="shared" si="390"/>
        <v>0</v>
      </c>
      <c r="AW680" s="13">
        <f t="shared" si="391"/>
        <v>1</v>
      </c>
      <c r="AY680" s="17">
        <f t="shared" si="392"/>
        <v>590</v>
      </c>
      <c r="AZ680" s="28">
        <f t="shared" si="400"/>
        <v>0</v>
      </c>
      <c r="BA680" s="13">
        <f t="shared" si="393"/>
        <v>0</v>
      </c>
      <c r="BB680" s="13">
        <f t="shared" si="394"/>
        <v>0</v>
      </c>
      <c r="BC680" s="28">
        <f t="shared" si="401"/>
        <v>0</v>
      </c>
      <c r="BD680" s="28">
        <f t="shared" si="402"/>
        <v>0</v>
      </c>
      <c r="BF680" s="248">
        <f t="shared" si="403"/>
        <v>993869.29442638322</v>
      </c>
    </row>
    <row r="681" spans="1:58">
      <c r="A681" s="32">
        <f t="shared" si="404"/>
        <v>-506</v>
      </c>
      <c r="B681" s="32">
        <f t="shared" si="395"/>
        <v>102</v>
      </c>
      <c r="C681" s="32">
        <f t="shared" si="405"/>
        <v>50</v>
      </c>
      <c r="D681" s="32">
        <f t="shared" si="406"/>
        <v>591</v>
      </c>
      <c r="E681" s="74">
        <f>MIN(IF(AV681=0,0,
IF(Investment_Strategy="DIS",VLOOKUP(Investment_Strategy&amp;"_"&amp;Investment_Strategy_Sub1&amp;"_"&amp;$A681,'Investment Strategies'!$AZ:$BP,12,FALSE),
IF(AND(Investment_Strategy="Lifecycle",Investment_Strategy_Sub1="Non-Standard"),VLOOKUP(Investment_Strategy&amp;"_"&amp;Investment_Strategy_Sub2&amp;"_"&amp;$A681,'Investment Strategies'!$C:$P,9,FALSE),
IF(AND(Investment_Strategy="Lifecycle",Investment_Strategy_Sub1="Standard"),VLOOKUP(Investment_Strategy&amp;"_"&amp;Investment_Strategy_Sub2&amp;"_"&amp;$A681,'Investment Strategies'!$AJ:$AV,8,FALSE),
IF(AND(Investment_Strategy="Autopilot",Investment_Strategy_Sub1="Non-Standard"),VLOOKUP(Investment_Strategy&amp;"_"&amp;Investment_Strategy_Sub2&amp;"_"&amp;$A681,'Investment Strategies'!$T:$AF,8,FALSE),
IF(Investment_Strategy ="DIY",DIY_RateOfReturn_CurrentFunds,
"Error")))))),Max_InvReturn)</f>
        <v>0</v>
      </c>
      <c r="F681" s="62">
        <f>IF(AV681=0,0,
IF(Investment_Strategy="DIS",VLOOKUP(Investment_Strategy&amp;"_"&amp;Investment_Strategy_Sub1&amp;"_"&amp;$A681,'Investment Strategies'!$AZ:$BP,15,FALSE),
IF(AND(Investment_Strategy="Lifecycle",Investment_Strategy_Sub1="Non-Standard"),VLOOKUP(Investment_Strategy&amp;"_"&amp;Investment_Strategy_Sub2&amp;"_"&amp;$A681,'Investment Strategies'!$C:$P,12,FALSE),
IF(AND(Investment_Strategy="Lifecycle",Investment_Strategy_Sub1="Standard"),VLOOKUP(Investment_Strategy&amp;"_"&amp;Investment_Strategy_Sub2&amp;"_"&amp;$A681,'Investment Strategies'!$AJ:$AV,11,FALSE),
IF(AND(Investment_Strategy="Autopilot",Investment_Strategy_Sub1="Non-Standard"),VLOOKUP(Investment_Strategy&amp;"_"&amp;Investment_Strategy_Sub2&amp;"_"&amp;$A681,'Investment Strategies'!$T:$AF,11,FALSE),
IF(Investment_Strategy="DIY",DIY_GteeChrge_CurrentFunds,
"Error"))))))</f>
        <v>0</v>
      </c>
      <c r="G681" s="33">
        <f>IF(AV681=0,0,
IF(Investment_Strategy="DIS",VLOOKUP(Investment_Strategy&amp;"_"&amp;Investment_Strategy_Sub1&amp;"_"&amp;$A681,'Investment Strategies'!$AZ:$BP,17,FALSE),
IF(AND(Investment_Strategy="Lifecycle",Investment_Strategy_Sub1="Non-Standard"),VLOOKUP(Investment_Strategy&amp;"_"&amp;Investment_Strategy_Sub2&amp;"_"&amp;$A681,'Investment Strategies'!$C:$P,14,FALSE),
IF(AND(Investment_Strategy="Lifecycle",Investment_Strategy_Sub1="Standard"),VLOOKUP(Investment_Strategy&amp;"_"&amp;Investment_Strategy_Sub2&amp;"_"&amp;$A681,'Investment Strategies'!$AJ:$AV,13,FALSE),
IF(AND(Investment_Strategy="Autopilot",Investment_Strategy_Sub1="Non-Standard"),VLOOKUP(Investment_Strategy&amp;"_"&amp;Investment_Strategy_Sub2&amp;"_"&amp;$A681,'Investment Strategies'!$T:$AF,13,FALSE),
IF(Investment_Strategy="DIY",DIY_ExtManChrge_CurrentFunds,
"Error"))))))</f>
        <v>0</v>
      </c>
      <c r="H681" s="16">
        <f t="shared" si="396"/>
        <v>0</v>
      </c>
      <c r="I681" s="16">
        <f t="shared" si="382"/>
        <v>0</v>
      </c>
      <c r="J681" s="16">
        <f t="shared" si="383"/>
        <v>0</v>
      </c>
      <c r="K681" s="16">
        <f>(Opening_Fund_Value+SUM(K$91:K680))*E681*IF(D681=$A$91,SRP_finalmonthfactor,1)</f>
        <v>0</v>
      </c>
      <c r="L681" s="74">
        <f>MIN(IF($AV681=0,0,
IF(Investment_Strategy="DIS",VLOOKUP(Investment_Strategy&amp;"_"&amp;Investment_Strategy_Sub1&amp;"_"&amp;$A681,'Investment Strategies'!$AZ:$BP,12,FALSE),
IF(AND(Investment_Strategy="Lifecycle",Investment_Strategy_Sub1="Non-Standard"),VLOOKUP(Investment_Strategy&amp;"_"&amp;Investment_Strategy_Sub2&amp;"_"&amp;$A681,'Investment Strategies'!$C:$P,9,FALSE),
IF(AND(Investment_Strategy="Lifecycle",Investment_Strategy_Sub1="Standard"),VLOOKUP(Investment_Strategy&amp;"_"&amp;Investment_Strategy_Sub2&amp;"_"&amp;$A681,'Investment Strategies'!$AJ:$AV,8,FALSE),
IF(AND(Investment_Strategy="Autopilot",Investment_Strategy_Sub1="Non-Standard"),VLOOKUP(Investment_Strategy&amp;"_"&amp;Investment_Strategy_Sub2&amp;"_"&amp;$A681,'Investment Strategies'!$T:$AF,8,FALSE),
IF(Investment_Strategy ="DIY",DIY_RateofReturn_SP,
"Error")))))),Max_InvReturn)</f>
        <v>0</v>
      </c>
      <c r="M681" s="62">
        <f>IF($AV681=0,0,
IF(Investment_Strategy="DIS",VLOOKUP(Investment_Strategy&amp;"_"&amp;Investment_Strategy_Sub1&amp;"_"&amp;$A681,'Investment Strategies'!$AZ:$BP,15,FALSE),
IF(AND(Investment_Strategy="Lifecycle",Investment_Strategy_Sub1="Non-Standard"),VLOOKUP(Investment_Strategy&amp;"_"&amp;Investment_Strategy_Sub2&amp;"_"&amp;$A681,'Investment Strategies'!$C:$P,12,FALSE),
IF(AND(Investment_Strategy="Lifecycle",Investment_Strategy_Sub1="Standard"),VLOOKUP(Investment_Strategy&amp;"_"&amp;Investment_Strategy_Sub2&amp;"_"&amp;$A681,'Investment Strategies'!$AJ:$AV,11,FALSE),
IF(AND(Investment_Strategy="Autopilot",Investment_Strategy_Sub1="Non-Standard"),VLOOKUP(Investment_Strategy&amp;"_"&amp;Investment_Strategy_Sub2&amp;"_"&amp;$A681,'Investment Strategies'!$T:$AF,11,FALSE),
IF(Investment_Strategy="DIY",DIY_GteeChrge_SP,
"Error"))))))</f>
        <v>0</v>
      </c>
      <c r="N681" s="33">
        <f>IF($AV681=0,0,
IF(Investment_Strategy="DIS",VLOOKUP(Investment_Strategy&amp;"_"&amp;Investment_Strategy_Sub1&amp;"_"&amp;$A681,'Investment Strategies'!$AZ:$BP,17,FALSE),
IF(AND(Investment_Strategy="Lifecycle",Investment_Strategy_Sub1="Non-Standard"),VLOOKUP(Investment_Strategy&amp;"_"&amp;Investment_Strategy_Sub2&amp;"_"&amp;$A681,'Investment Strategies'!$C:$P,14,FALSE),
IF(AND(Investment_Strategy="Lifecycle",Investment_Strategy_Sub1="Standard"),VLOOKUP(Investment_Strategy&amp;"_"&amp;Investment_Strategy_Sub2&amp;"_"&amp;$A681,'Investment Strategies'!$AJ:$AV,13,FALSE),
IF(AND(Investment_Strategy="Autopilot",Investment_Strategy_Sub1="Non-Standard"),VLOOKUP(Investment_Strategy&amp;"_"&amp;Investment_Strategy_Sub2&amp;"_"&amp;$A681,'Investment Strategies'!$T:$AF,13,FALSE),
IF(Investment_Strategy="DIY",DIY_ExtManChrge_SP,
"Error"))))))</f>
        <v>0</v>
      </c>
      <c r="O681" s="16">
        <f t="shared" si="407"/>
        <v>0</v>
      </c>
      <c r="Q681" s="16">
        <f t="shared" si="384"/>
        <v>0</v>
      </c>
      <c r="R681" s="16">
        <f t="shared" si="380"/>
        <v>0</v>
      </c>
      <c r="S681" s="16">
        <f>(SRP_SP+SUM(S$91:S680))*L681*IF(D681=$A$91,SRP_finalmonthfactor,1)</f>
        <v>0</v>
      </c>
      <c r="T681" s="74">
        <f>MIN(IF($AV681=0,0,
IF(Investment_Strategy="DIS",VLOOKUP(Investment_Strategy&amp;"_"&amp;Investment_Strategy_Sub1&amp;"_"&amp;$A681,'Investment Strategies'!$AZ:$BP,12,FALSE),
IF(AND(Investment_Strategy="Lifecycle",Investment_Strategy_Sub1="Non-Standard"),VLOOKUP(Investment_Strategy&amp;"_"&amp;Investment_Strategy_Sub2&amp;"_"&amp;$A681,'Investment Strategies'!$C:$P,9,FALSE),
IF(AND(Investment_Strategy="Lifecycle",Investment_Strategy_Sub1="Standard"),VLOOKUP(Investment_Strategy&amp;"_"&amp;Investment_Strategy_Sub2&amp;"_"&amp;$A681,'Investment Strategies'!$AJ:$AV,8,FALSE),
IF(AND(Investment_Strategy="Autopilot",Investment_Strategy_Sub1="Non-Standard"),VLOOKUP(Investment_Strategy&amp;"_"&amp;Investment_Strategy_Sub2&amp;"_"&amp;$A681,'Investment Strategies'!$T:$AF,8,FALSE),
IF(Investment_Strategy ="DIY",DIY_RateOfReturn_FuturePremiums,
"Error")))))),Max_InvReturn)</f>
        <v>0</v>
      </c>
      <c r="U681" s="62">
        <f>IF($AV681=0,0,
IF(Investment_Strategy="DIS",VLOOKUP(Investment_Strategy&amp;"_"&amp;Investment_Strategy_Sub1&amp;"_"&amp;$A681,'Investment Strategies'!$AZ:$BP,15,FALSE),
IF(AND(Investment_Strategy="Lifecycle",Investment_Strategy_Sub1="Non-Standard"),VLOOKUP(Investment_Strategy&amp;"_"&amp;Investment_Strategy_Sub2&amp;"_"&amp;$A681,'Investment Strategies'!$C:$P,12,FALSE),
IF(AND(Investment_Strategy="Lifecycle",Investment_Strategy_Sub1="Standard"),VLOOKUP(Investment_Strategy&amp;"_"&amp;Investment_Strategy_Sub2&amp;"_"&amp;$A681,'Investment Strategies'!$AJ:$AV,11,FALSE),
IF(AND(Investment_Strategy="Autopilot",Investment_Strategy_Sub1="Non-Standard"),VLOOKUP(Investment_Strategy&amp;"_"&amp;Investment_Strategy_Sub2&amp;"_"&amp;$A681,'Investment Strategies'!$T:$AF,11,FALSE),
IF(Investment_Strategy="DIY",DIY_GteeChrge_FuturePremiums,
"Error"))))))</f>
        <v>0</v>
      </c>
      <c r="V681" s="33">
        <f>IF(AV681=0,0,
IF(Investment_Strategy="DIS",VLOOKUP(Investment_Strategy&amp;"_"&amp;Investment_Strategy_Sub1&amp;"_"&amp;$A681,'Investment Strategies'!$AZ:$BP,17,FALSE),
IF(AND(Investment_Strategy="Lifecycle",Investment_Strategy_Sub1="Non-Standard"),VLOOKUP(Investment_Strategy&amp;"_"&amp;Investment_Strategy_Sub2&amp;"_"&amp;$A681,'Investment Strategies'!$C:$P,14,FALSE),
IF(AND(Investment_Strategy="Lifecycle",Investment_Strategy_Sub1="Standard"),VLOOKUP(Investment_Strategy&amp;"_"&amp;Investment_Strategy_Sub2&amp;"_"&amp;$A681,'Investment Strategies'!$AJ:$AV,13,FALSE),
IF(AND(Investment_Strategy="Autopilot",Investment_Strategy_Sub1="Non-Standard"),VLOOKUP(Investment_Strategy&amp;"_"&amp;Investment_Strategy_Sub2&amp;"_"&amp;$A681,'Investment Strategies'!$T:$AF,13,FALSE),
IF(Investment_Strategy="DIY",DIY_ExtManChrge_FuturePremiums,
"Error"))))))</f>
        <v>0</v>
      </c>
      <c r="W681" s="16">
        <f t="shared" si="408"/>
        <v>0</v>
      </c>
      <c r="X681" s="16">
        <f t="shared" si="385"/>
        <v>0</v>
      </c>
      <c r="Y681" s="16">
        <f t="shared" si="386"/>
        <v>0</v>
      </c>
      <c r="Z681" s="31">
        <f t="shared" si="387"/>
        <v>0.02</v>
      </c>
      <c r="AA681" s="16">
        <f t="shared" si="388"/>
        <v>0</v>
      </c>
      <c r="AB681" s="28">
        <f t="shared" si="409"/>
        <v>0</v>
      </c>
      <c r="AC681" s="28">
        <f>(SUM($AC$91:AC680)+SUM($X$91:X680)+X681)*T681*IF(D681=$A$91,SRP_finalmonthfactor,1)</f>
        <v>0</v>
      </c>
      <c r="AD681" s="16">
        <f t="shared" si="389"/>
        <v>0</v>
      </c>
      <c r="AE681" s="106"/>
      <c r="AF681" s="16">
        <f t="shared" si="397"/>
        <v>0</v>
      </c>
      <c r="AG681" s="16">
        <f t="shared" si="398"/>
        <v>0</v>
      </c>
      <c r="AH681" s="16">
        <f t="shared" si="399"/>
        <v>0</v>
      </c>
      <c r="AJ681" s="13">
        <f t="shared" ref="AJ681:AU690" si="411">IF($C681&lt;=AJ$90,1,0)</f>
        <v>0</v>
      </c>
      <c r="AK681" s="13">
        <f t="shared" si="411"/>
        <v>0</v>
      </c>
      <c r="AL681" s="13">
        <f t="shared" si="411"/>
        <v>0</v>
      </c>
      <c r="AM681" s="13">
        <f t="shared" si="411"/>
        <v>0</v>
      </c>
      <c r="AN681" s="13">
        <f t="shared" si="411"/>
        <v>0</v>
      </c>
      <c r="AO681" s="13">
        <f t="shared" si="411"/>
        <v>1</v>
      </c>
      <c r="AP681" s="13">
        <f t="shared" si="411"/>
        <v>1</v>
      </c>
      <c r="AQ681" s="13">
        <f t="shared" si="411"/>
        <v>1</v>
      </c>
      <c r="AR681" s="13">
        <f t="shared" si="411"/>
        <v>0</v>
      </c>
      <c r="AS681" s="13">
        <f t="shared" si="411"/>
        <v>0</v>
      </c>
      <c r="AT681" s="13">
        <f t="shared" si="411"/>
        <v>0</v>
      </c>
      <c r="AU681" s="13">
        <f t="shared" si="411"/>
        <v>0</v>
      </c>
      <c r="AV681" s="13">
        <f t="shared" si="390"/>
        <v>0</v>
      </c>
      <c r="AW681" s="13">
        <f t="shared" si="391"/>
        <v>1</v>
      </c>
      <c r="AY681" s="17">
        <f t="shared" si="392"/>
        <v>591</v>
      </c>
      <c r="AZ681" s="28">
        <f t="shared" si="400"/>
        <v>0</v>
      </c>
      <c r="BA681" s="13">
        <f t="shared" si="393"/>
        <v>0</v>
      </c>
      <c r="BB681" s="13">
        <f t="shared" si="394"/>
        <v>0</v>
      </c>
      <c r="BC681" s="28">
        <f t="shared" si="401"/>
        <v>0</v>
      </c>
      <c r="BD681" s="28">
        <f t="shared" si="402"/>
        <v>0</v>
      </c>
      <c r="BF681" s="248">
        <f t="shared" si="403"/>
        <v>993869.29442638322</v>
      </c>
    </row>
    <row r="682" spans="1:58">
      <c r="A682" s="32">
        <f t="shared" si="404"/>
        <v>-507</v>
      </c>
      <c r="B682" s="32">
        <f t="shared" si="395"/>
        <v>102</v>
      </c>
      <c r="C682" s="32">
        <f t="shared" si="405"/>
        <v>50</v>
      </c>
      <c r="D682" s="32">
        <f t="shared" si="406"/>
        <v>592</v>
      </c>
      <c r="E682" s="74">
        <f>MIN(IF(AV682=0,0,
IF(Investment_Strategy="DIS",VLOOKUP(Investment_Strategy&amp;"_"&amp;Investment_Strategy_Sub1&amp;"_"&amp;$A682,'Investment Strategies'!$AZ:$BP,12,FALSE),
IF(AND(Investment_Strategy="Lifecycle",Investment_Strategy_Sub1="Non-Standard"),VLOOKUP(Investment_Strategy&amp;"_"&amp;Investment_Strategy_Sub2&amp;"_"&amp;$A682,'Investment Strategies'!$C:$P,9,FALSE),
IF(AND(Investment_Strategy="Lifecycle",Investment_Strategy_Sub1="Standard"),VLOOKUP(Investment_Strategy&amp;"_"&amp;Investment_Strategy_Sub2&amp;"_"&amp;$A682,'Investment Strategies'!$AJ:$AV,8,FALSE),
IF(AND(Investment_Strategy="Autopilot",Investment_Strategy_Sub1="Non-Standard"),VLOOKUP(Investment_Strategy&amp;"_"&amp;Investment_Strategy_Sub2&amp;"_"&amp;$A682,'Investment Strategies'!$T:$AF,8,FALSE),
IF(Investment_Strategy ="DIY",DIY_RateOfReturn_CurrentFunds,
"Error")))))),Max_InvReturn)</f>
        <v>0</v>
      </c>
      <c r="F682" s="62">
        <f>IF(AV682=0,0,
IF(Investment_Strategy="DIS",VLOOKUP(Investment_Strategy&amp;"_"&amp;Investment_Strategy_Sub1&amp;"_"&amp;$A682,'Investment Strategies'!$AZ:$BP,15,FALSE),
IF(AND(Investment_Strategy="Lifecycle",Investment_Strategy_Sub1="Non-Standard"),VLOOKUP(Investment_Strategy&amp;"_"&amp;Investment_Strategy_Sub2&amp;"_"&amp;$A682,'Investment Strategies'!$C:$P,12,FALSE),
IF(AND(Investment_Strategy="Lifecycle",Investment_Strategy_Sub1="Standard"),VLOOKUP(Investment_Strategy&amp;"_"&amp;Investment_Strategy_Sub2&amp;"_"&amp;$A682,'Investment Strategies'!$AJ:$AV,11,FALSE),
IF(AND(Investment_Strategy="Autopilot",Investment_Strategy_Sub1="Non-Standard"),VLOOKUP(Investment_Strategy&amp;"_"&amp;Investment_Strategy_Sub2&amp;"_"&amp;$A682,'Investment Strategies'!$T:$AF,11,FALSE),
IF(Investment_Strategy="DIY",DIY_GteeChrge_CurrentFunds,
"Error"))))))</f>
        <v>0</v>
      </c>
      <c r="G682" s="33">
        <f>IF(AV682=0,0,
IF(Investment_Strategy="DIS",VLOOKUP(Investment_Strategy&amp;"_"&amp;Investment_Strategy_Sub1&amp;"_"&amp;$A682,'Investment Strategies'!$AZ:$BP,17,FALSE),
IF(AND(Investment_Strategy="Lifecycle",Investment_Strategy_Sub1="Non-Standard"),VLOOKUP(Investment_Strategy&amp;"_"&amp;Investment_Strategy_Sub2&amp;"_"&amp;$A682,'Investment Strategies'!$C:$P,14,FALSE),
IF(AND(Investment_Strategy="Lifecycle",Investment_Strategy_Sub1="Standard"),VLOOKUP(Investment_Strategy&amp;"_"&amp;Investment_Strategy_Sub2&amp;"_"&amp;$A682,'Investment Strategies'!$AJ:$AV,13,FALSE),
IF(AND(Investment_Strategy="Autopilot",Investment_Strategy_Sub1="Non-Standard"),VLOOKUP(Investment_Strategy&amp;"_"&amp;Investment_Strategy_Sub2&amp;"_"&amp;$A682,'Investment Strategies'!$T:$AF,13,FALSE),
IF(Investment_Strategy="DIY",DIY_ExtManChrge_CurrentFunds,
"Error"))))))</f>
        <v>0</v>
      </c>
      <c r="H682" s="16">
        <f t="shared" si="396"/>
        <v>0</v>
      </c>
      <c r="I682" s="16">
        <f t="shared" si="382"/>
        <v>0</v>
      </c>
      <c r="J682" s="16">
        <f t="shared" si="383"/>
        <v>0</v>
      </c>
      <c r="K682" s="16">
        <f>(Opening_Fund_Value+SUM(K$91:K681))*E682*IF(D682=$A$91,SRP_finalmonthfactor,1)</f>
        <v>0</v>
      </c>
      <c r="L682" s="74">
        <f>MIN(IF($AV682=0,0,
IF(Investment_Strategy="DIS",VLOOKUP(Investment_Strategy&amp;"_"&amp;Investment_Strategy_Sub1&amp;"_"&amp;$A682,'Investment Strategies'!$AZ:$BP,12,FALSE),
IF(AND(Investment_Strategy="Lifecycle",Investment_Strategy_Sub1="Non-Standard"),VLOOKUP(Investment_Strategy&amp;"_"&amp;Investment_Strategy_Sub2&amp;"_"&amp;$A682,'Investment Strategies'!$C:$P,9,FALSE),
IF(AND(Investment_Strategy="Lifecycle",Investment_Strategy_Sub1="Standard"),VLOOKUP(Investment_Strategy&amp;"_"&amp;Investment_Strategy_Sub2&amp;"_"&amp;$A682,'Investment Strategies'!$AJ:$AV,8,FALSE),
IF(AND(Investment_Strategy="Autopilot",Investment_Strategy_Sub1="Non-Standard"),VLOOKUP(Investment_Strategy&amp;"_"&amp;Investment_Strategy_Sub2&amp;"_"&amp;$A682,'Investment Strategies'!$T:$AF,8,FALSE),
IF(Investment_Strategy ="DIY",DIY_RateofReturn_SP,
"Error")))))),Max_InvReturn)</f>
        <v>0</v>
      </c>
      <c r="M682" s="62">
        <f>IF($AV682=0,0,
IF(Investment_Strategy="DIS",VLOOKUP(Investment_Strategy&amp;"_"&amp;Investment_Strategy_Sub1&amp;"_"&amp;$A682,'Investment Strategies'!$AZ:$BP,15,FALSE),
IF(AND(Investment_Strategy="Lifecycle",Investment_Strategy_Sub1="Non-Standard"),VLOOKUP(Investment_Strategy&amp;"_"&amp;Investment_Strategy_Sub2&amp;"_"&amp;$A682,'Investment Strategies'!$C:$P,12,FALSE),
IF(AND(Investment_Strategy="Lifecycle",Investment_Strategy_Sub1="Standard"),VLOOKUP(Investment_Strategy&amp;"_"&amp;Investment_Strategy_Sub2&amp;"_"&amp;$A682,'Investment Strategies'!$AJ:$AV,11,FALSE),
IF(AND(Investment_Strategy="Autopilot",Investment_Strategy_Sub1="Non-Standard"),VLOOKUP(Investment_Strategy&amp;"_"&amp;Investment_Strategy_Sub2&amp;"_"&amp;$A682,'Investment Strategies'!$T:$AF,11,FALSE),
IF(Investment_Strategy="DIY",DIY_GteeChrge_SP,
"Error"))))))</f>
        <v>0</v>
      </c>
      <c r="N682" s="33">
        <f>IF($AV682=0,0,
IF(Investment_Strategy="DIS",VLOOKUP(Investment_Strategy&amp;"_"&amp;Investment_Strategy_Sub1&amp;"_"&amp;$A682,'Investment Strategies'!$AZ:$BP,17,FALSE),
IF(AND(Investment_Strategy="Lifecycle",Investment_Strategy_Sub1="Non-Standard"),VLOOKUP(Investment_Strategy&amp;"_"&amp;Investment_Strategy_Sub2&amp;"_"&amp;$A682,'Investment Strategies'!$C:$P,14,FALSE),
IF(AND(Investment_Strategy="Lifecycle",Investment_Strategy_Sub1="Standard"),VLOOKUP(Investment_Strategy&amp;"_"&amp;Investment_Strategy_Sub2&amp;"_"&amp;$A682,'Investment Strategies'!$AJ:$AV,13,FALSE),
IF(AND(Investment_Strategy="Autopilot",Investment_Strategy_Sub1="Non-Standard"),VLOOKUP(Investment_Strategy&amp;"_"&amp;Investment_Strategy_Sub2&amp;"_"&amp;$A682,'Investment Strategies'!$T:$AF,13,FALSE),
IF(Investment_Strategy="DIY",DIY_ExtManChrge_SP,
"Error"))))))</f>
        <v>0</v>
      </c>
      <c r="O682" s="16">
        <f t="shared" si="407"/>
        <v>0</v>
      </c>
      <c r="Q682" s="16">
        <f t="shared" si="384"/>
        <v>0</v>
      </c>
      <c r="R682" s="16">
        <f t="shared" si="380"/>
        <v>0</v>
      </c>
      <c r="S682" s="16">
        <f>(SRP_SP+SUM(S$91:S681))*L682*IF(D682=$A$91,SRP_finalmonthfactor,1)</f>
        <v>0</v>
      </c>
      <c r="T682" s="74">
        <f>MIN(IF($AV682=0,0,
IF(Investment_Strategy="DIS",VLOOKUP(Investment_Strategy&amp;"_"&amp;Investment_Strategy_Sub1&amp;"_"&amp;$A682,'Investment Strategies'!$AZ:$BP,12,FALSE),
IF(AND(Investment_Strategy="Lifecycle",Investment_Strategy_Sub1="Non-Standard"),VLOOKUP(Investment_Strategy&amp;"_"&amp;Investment_Strategy_Sub2&amp;"_"&amp;$A682,'Investment Strategies'!$C:$P,9,FALSE),
IF(AND(Investment_Strategy="Lifecycle",Investment_Strategy_Sub1="Standard"),VLOOKUP(Investment_Strategy&amp;"_"&amp;Investment_Strategy_Sub2&amp;"_"&amp;$A682,'Investment Strategies'!$AJ:$AV,8,FALSE),
IF(AND(Investment_Strategy="Autopilot",Investment_Strategy_Sub1="Non-Standard"),VLOOKUP(Investment_Strategy&amp;"_"&amp;Investment_Strategy_Sub2&amp;"_"&amp;$A682,'Investment Strategies'!$T:$AF,8,FALSE),
IF(Investment_Strategy ="DIY",DIY_RateOfReturn_FuturePremiums,
"Error")))))),Max_InvReturn)</f>
        <v>0</v>
      </c>
      <c r="U682" s="62">
        <f>IF($AV682=0,0,
IF(Investment_Strategy="DIS",VLOOKUP(Investment_Strategy&amp;"_"&amp;Investment_Strategy_Sub1&amp;"_"&amp;$A682,'Investment Strategies'!$AZ:$BP,15,FALSE),
IF(AND(Investment_Strategy="Lifecycle",Investment_Strategy_Sub1="Non-Standard"),VLOOKUP(Investment_Strategy&amp;"_"&amp;Investment_Strategy_Sub2&amp;"_"&amp;$A682,'Investment Strategies'!$C:$P,12,FALSE),
IF(AND(Investment_Strategy="Lifecycle",Investment_Strategy_Sub1="Standard"),VLOOKUP(Investment_Strategy&amp;"_"&amp;Investment_Strategy_Sub2&amp;"_"&amp;$A682,'Investment Strategies'!$AJ:$AV,11,FALSE),
IF(AND(Investment_Strategy="Autopilot",Investment_Strategy_Sub1="Non-Standard"),VLOOKUP(Investment_Strategy&amp;"_"&amp;Investment_Strategy_Sub2&amp;"_"&amp;$A682,'Investment Strategies'!$T:$AF,11,FALSE),
IF(Investment_Strategy="DIY",DIY_GteeChrge_FuturePremiums,
"Error"))))))</f>
        <v>0</v>
      </c>
      <c r="V682" s="33">
        <f>IF(AV682=0,0,
IF(Investment_Strategy="DIS",VLOOKUP(Investment_Strategy&amp;"_"&amp;Investment_Strategy_Sub1&amp;"_"&amp;$A682,'Investment Strategies'!$AZ:$BP,17,FALSE),
IF(AND(Investment_Strategy="Lifecycle",Investment_Strategy_Sub1="Non-Standard"),VLOOKUP(Investment_Strategy&amp;"_"&amp;Investment_Strategy_Sub2&amp;"_"&amp;$A682,'Investment Strategies'!$C:$P,14,FALSE),
IF(AND(Investment_Strategy="Lifecycle",Investment_Strategy_Sub1="Standard"),VLOOKUP(Investment_Strategy&amp;"_"&amp;Investment_Strategy_Sub2&amp;"_"&amp;$A682,'Investment Strategies'!$AJ:$AV,13,FALSE),
IF(AND(Investment_Strategy="Autopilot",Investment_Strategy_Sub1="Non-Standard"),VLOOKUP(Investment_Strategy&amp;"_"&amp;Investment_Strategy_Sub2&amp;"_"&amp;$A682,'Investment Strategies'!$T:$AF,13,FALSE),
IF(Investment_Strategy="DIY",DIY_ExtManChrge_FuturePremiums,
"Error"))))))</f>
        <v>0</v>
      </c>
      <c r="W682" s="16">
        <f t="shared" si="408"/>
        <v>0</v>
      </c>
      <c r="X682" s="16">
        <f t="shared" si="385"/>
        <v>0</v>
      </c>
      <c r="Y682" s="16">
        <f t="shared" si="386"/>
        <v>0</v>
      </c>
      <c r="Z682" s="31">
        <f t="shared" si="387"/>
        <v>0.02</v>
      </c>
      <c r="AA682" s="16">
        <f t="shared" si="388"/>
        <v>0</v>
      </c>
      <c r="AB682" s="28">
        <f t="shared" si="409"/>
        <v>0</v>
      </c>
      <c r="AC682" s="28">
        <f>(SUM($AC$91:AC681)+SUM($X$91:X681)+X682)*T682*IF(D682=$A$91,SRP_finalmonthfactor,1)</f>
        <v>0</v>
      </c>
      <c r="AD682" s="16">
        <f t="shared" si="389"/>
        <v>0</v>
      </c>
      <c r="AE682" s="106"/>
      <c r="AF682" s="16">
        <f t="shared" si="397"/>
        <v>0</v>
      </c>
      <c r="AG682" s="16">
        <f t="shared" si="398"/>
        <v>0</v>
      </c>
      <c r="AH682" s="16">
        <f t="shared" si="399"/>
        <v>0</v>
      </c>
      <c r="AJ682" s="13">
        <f t="shared" si="411"/>
        <v>0</v>
      </c>
      <c r="AK682" s="13">
        <f t="shared" si="411"/>
        <v>0</v>
      </c>
      <c r="AL682" s="13">
        <f t="shared" si="411"/>
        <v>0</v>
      </c>
      <c r="AM682" s="13">
        <f t="shared" si="411"/>
        <v>0</v>
      </c>
      <c r="AN682" s="13">
        <f t="shared" si="411"/>
        <v>0</v>
      </c>
      <c r="AO682" s="13">
        <f t="shared" si="411"/>
        <v>1</v>
      </c>
      <c r="AP682" s="13">
        <f t="shared" si="411"/>
        <v>1</v>
      </c>
      <c r="AQ682" s="13">
        <f t="shared" si="411"/>
        <v>1</v>
      </c>
      <c r="AR682" s="13">
        <f t="shared" si="411"/>
        <v>0</v>
      </c>
      <c r="AS682" s="13">
        <f t="shared" si="411"/>
        <v>0</v>
      </c>
      <c r="AT682" s="13">
        <f t="shared" si="411"/>
        <v>0</v>
      </c>
      <c r="AU682" s="13">
        <f t="shared" si="411"/>
        <v>0</v>
      </c>
      <c r="AV682" s="13">
        <f t="shared" si="390"/>
        <v>0</v>
      </c>
      <c r="AW682" s="13">
        <f t="shared" si="391"/>
        <v>1</v>
      </c>
      <c r="AY682" s="17">
        <f t="shared" si="392"/>
        <v>592</v>
      </c>
      <c r="AZ682" s="28">
        <f t="shared" si="400"/>
        <v>0</v>
      </c>
      <c r="BA682" s="13">
        <f t="shared" si="393"/>
        <v>0</v>
      </c>
      <c r="BB682" s="13">
        <f t="shared" si="394"/>
        <v>0</v>
      </c>
      <c r="BC682" s="28">
        <f t="shared" si="401"/>
        <v>0</v>
      </c>
      <c r="BD682" s="28">
        <f t="shared" si="402"/>
        <v>0</v>
      </c>
      <c r="BF682" s="248">
        <f t="shared" si="403"/>
        <v>993869.29442638322</v>
      </c>
    </row>
    <row r="683" spans="1:58">
      <c r="A683" s="32">
        <f t="shared" si="404"/>
        <v>-508</v>
      </c>
      <c r="B683" s="32">
        <f t="shared" si="395"/>
        <v>102</v>
      </c>
      <c r="C683" s="32">
        <f t="shared" si="405"/>
        <v>50</v>
      </c>
      <c r="D683" s="32">
        <f t="shared" si="406"/>
        <v>593</v>
      </c>
      <c r="E683" s="74">
        <f>MIN(IF(AV683=0,0,
IF(Investment_Strategy="DIS",VLOOKUP(Investment_Strategy&amp;"_"&amp;Investment_Strategy_Sub1&amp;"_"&amp;$A683,'Investment Strategies'!$AZ:$BP,12,FALSE),
IF(AND(Investment_Strategy="Lifecycle",Investment_Strategy_Sub1="Non-Standard"),VLOOKUP(Investment_Strategy&amp;"_"&amp;Investment_Strategy_Sub2&amp;"_"&amp;$A683,'Investment Strategies'!$C:$P,9,FALSE),
IF(AND(Investment_Strategy="Lifecycle",Investment_Strategy_Sub1="Standard"),VLOOKUP(Investment_Strategy&amp;"_"&amp;Investment_Strategy_Sub2&amp;"_"&amp;$A683,'Investment Strategies'!$AJ:$AV,8,FALSE),
IF(AND(Investment_Strategy="Autopilot",Investment_Strategy_Sub1="Non-Standard"),VLOOKUP(Investment_Strategy&amp;"_"&amp;Investment_Strategy_Sub2&amp;"_"&amp;$A683,'Investment Strategies'!$T:$AF,8,FALSE),
IF(Investment_Strategy ="DIY",DIY_RateOfReturn_CurrentFunds,
"Error")))))),Max_InvReturn)</f>
        <v>0</v>
      </c>
      <c r="F683" s="62">
        <f>IF(AV683=0,0,
IF(Investment_Strategy="DIS",VLOOKUP(Investment_Strategy&amp;"_"&amp;Investment_Strategy_Sub1&amp;"_"&amp;$A683,'Investment Strategies'!$AZ:$BP,15,FALSE),
IF(AND(Investment_Strategy="Lifecycle",Investment_Strategy_Sub1="Non-Standard"),VLOOKUP(Investment_Strategy&amp;"_"&amp;Investment_Strategy_Sub2&amp;"_"&amp;$A683,'Investment Strategies'!$C:$P,12,FALSE),
IF(AND(Investment_Strategy="Lifecycle",Investment_Strategy_Sub1="Standard"),VLOOKUP(Investment_Strategy&amp;"_"&amp;Investment_Strategy_Sub2&amp;"_"&amp;$A683,'Investment Strategies'!$AJ:$AV,11,FALSE),
IF(AND(Investment_Strategy="Autopilot",Investment_Strategy_Sub1="Non-Standard"),VLOOKUP(Investment_Strategy&amp;"_"&amp;Investment_Strategy_Sub2&amp;"_"&amp;$A683,'Investment Strategies'!$T:$AF,11,FALSE),
IF(Investment_Strategy="DIY",DIY_GteeChrge_CurrentFunds,
"Error"))))))</f>
        <v>0</v>
      </c>
      <c r="G683" s="33">
        <f>IF(AV683=0,0,
IF(Investment_Strategy="DIS",VLOOKUP(Investment_Strategy&amp;"_"&amp;Investment_Strategy_Sub1&amp;"_"&amp;$A683,'Investment Strategies'!$AZ:$BP,17,FALSE),
IF(AND(Investment_Strategy="Lifecycle",Investment_Strategy_Sub1="Non-Standard"),VLOOKUP(Investment_Strategy&amp;"_"&amp;Investment_Strategy_Sub2&amp;"_"&amp;$A683,'Investment Strategies'!$C:$P,14,FALSE),
IF(AND(Investment_Strategy="Lifecycle",Investment_Strategy_Sub1="Standard"),VLOOKUP(Investment_Strategy&amp;"_"&amp;Investment_Strategy_Sub2&amp;"_"&amp;$A683,'Investment Strategies'!$AJ:$AV,13,FALSE),
IF(AND(Investment_Strategy="Autopilot",Investment_Strategy_Sub1="Non-Standard"),VLOOKUP(Investment_Strategy&amp;"_"&amp;Investment_Strategy_Sub2&amp;"_"&amp;$A683,'Investment Strategies'!$T:$AF,13,FALSE),
IF(Investment_Strategy="DIY",DIY_ExtManChrge_CurrentFunds,
"Error"))))))</f>
        <v>0</v>
      </c>
      <c r="H683" s="16">
        <f t="shared" si="396"/>
        <v>0</v>
      </c>
      <c r="I683" s="16">
        <f t="shared" si="382"/>
        <v>0</v>
      </c>
      <c r="J683" s="16">
        <f t="shared" si="383"/>
        <v>0</v>
      </c>
      <c r="K683" s="16">
        <f>(Opening_Fund_Value+SUM(K$91:K682))*E683*IF(D683=$A$91,SRP_finalmonthfactor,1)</f>
        <v>0</v>
      </c>
      <c r="L683" s="74">
        <f>MIN(IF($AV683=0,0,
IF(Investment_Strategy="DIS",VLOOKUP(Investment_Strategy&amp;"_"&amp;Investment_Strategy_Sub1&amp;"_"&amp;$A683,'Investment Strategies'!$AZ:$BP,12,FALSE),
IF(AND(Investment_Strategy="Lifecycle",Investment_Strategy_Sub1="Non-Standard"),VLOOKUP(Investment_Strategy&amp;"_"&amp;Investment_Strategy_Sub2&amp;"_"&amp;$A683,'Investment Strategies'!$C:$P,9,FALSE),
IF(AND(Investment_Strategy="Lifecycle",Investment_Strategy_Sub1="Standard"),VLOOKUP(Investment_Strategy&amp;"_"&amp;Investment_Strategy_Sub2&amp;"_"&amp;$A683,'Investment Strategies'!$AJ:$AV,8,FALSE),
IF(AND(Investment_Strategy="Autopilot",Investment_Strategy_Sub1="Non-Standard"),VLOOKUP(Investment_Strategy&amp;"_"&amp;Investment_Strategy_Sub2&amp;"_"&amp;$A683,'Investment Strategies'!$T:$AF,8,FALSE),
IF(Investment_Strategy ="DIY",DIY_RateofReturn_SP,
"Error")))))),Max_InvReturn)</f>
        <v>0</v>
      </c>
      <c r="M683" s="62">
        <f>IF($AV683=0,0,
IF(Investment_Strategy="DIS",VLOOKUP(Investment_Strategy&amp;"_"&amp;Investment_Strategy_Sub1&amp;"_"&amp;$A683,'Investment Strategies'!$AZ:$BP,15,FALSE),
IF(AND(Investment_Strategy="Lifecycle",Investment_Strategy_Sub1="Non-Standard"),VLOOKUP(Investment_Strategy&amp;"_"&amp;Investment_Strategy_Sub2&amp;"_"&amp;$A683,'Investment Strategies'!$C:$P,12,FALSE),
IF(AND(Investment_Strategy="Lifecycle",Investment_Strategy_Sub1="Standard"),VLOOKUP(Investment_Strategy&amp;"_"&amp;Investment_Strategy_Sub2&amp;"_"&amp;$A683,'Investment Strategies'!$AJ:$AV,11,FALSE),
IF(AND(Investment_Strategy="Autopilot",Investment_Strategy_Sub1="Non-Standard"),VLOOKUP(Investment_Strategy&amp;"_"&amp;Investment_Strategy_Sub2&amp;"_"&amp;$A683,'Investment Strategies'!$T:$AF,11,FALSE),
IF(Investment_Strategy="DIY",DIY_GteeChrge_SP,
"Error"))))))</f>
        <v>0</v>
      </c>
      <c r="N683" s="33">
        <f>IF($AV683=0,0,
IF(Investment_Strategy="DIS",VLOOKUP(Investment_Strategy&amp;"_"&amp;Investment_Strategy_Sub1&amp;"_"&amp;$A683,'Investment Strategies'!$AZ:$BP,17,FALSE),
IF(AND(Investment_Strategy="Lifecycle",Investment_Strategy_Sub1="Non-Standard"),VLOOKUP(Investment_Strategy&amp;"_"&amp;Investment_Strategy_Sub2&amp;"_"&amp;$A683,'Investment Strategies'!$C:$P,14,FALSE),
IF(AND(Investment_Strategy="Lifecycle",Investment_Strategy_Sub1="Standard"),VLOOKUP(Investment_Strategy&amp;"_"&amp;Investment_Strategy_Sub2&amp;"_"&amp;$A683,'Investment Strategies'!$AJ:$AV,13,FALSE),
IF(AND(Investment_Strategy="Autopilot",Investment_Strategy_Sub1="Non-Standard"),VLOOKUP(Investment_Strategy&amp;"_"&amp;Investment_Strategy_Sub2&amp;"_"&amp;$A683,'Investment Strategies'!$T:$AF,13,FALSE),
IF(Investment_Strategy="DIY",DIY_ExtManChrge_SP,
"Error"))))))</f>
        <v>0</v>
      </c>
      <c r="O683" s="16">
        <f t="shared" si="407"/>
        <v>0</v>
      </c>
      <c r="Q683" s="16">
        <f t="shared" si="384"/>
        <v>0</v>
      </c>
      <c r="R683" s="16">
        <f t="shared" si="380"/>
        <v>0</v>
      </c>
      <c r="S683" s="16">
        <f>(SRP_SP+SUM(S$91:S682))*L683*IF(D683=$A$91,SRP_finalmonthfactor,1)</f>
        <v>0</v>
      </c>
      <c r="T683" s="74">
        <f>MIN(IF($AV683=0,0,
IF(Investment_Strategy="DIS",VLOOKUP(Investment_Strategy&amp;"_"&amp;Investment_Strategy_Sub1&amp;"_"&amp;$A683,'Investment Strategies'!$AZ:$BP,12,FALSE),
IF(AND(Investment_Strategy="Lifecycle",Investment_Strategy_Sub1="Non-Standard"),VLOOKUP(Investment_Strategy&amp;"_"&amp;Investment_Strategy_Sub2&amp;"_"&amp;$A683,'Investment Strategies'!$C:$P,9,FALSE),
IF(AND(Investment_Strategy="Lifecycle",Investment_Strategy_Sub1="Standard"),VLOOKUP(Investment_Strategy&amp;"_"&amp;Investment_Strategy_Sub2&amp;"_"&amp;$A683,'Investment Strategies'!$AJ:$AV,8,FALSE),
IF(AND(Investment_Strategy="Autopilot",Investment_Strategy_Sub1="Non-Standard"),VLOOKUP(Investment_Strategy&amp;"_"&amp;Investment_Strategy_Sub2&amp;"_"&amp;$A683,'Investment Strategies'!$T:$AF,8,FALSE),
IF(Investment_Strategy ="DIY",DIY_RateOfReturn_FuturePremiums,
"Error")))))),Max_InvReturn)</f>
        <v>0</v>
      </c>
      <c r="U683" s="62">
        <f>IF($AV683=0,0,
IF(Investment_Strategy="DIS",VLOOKUP(Investment_Strategy&amp;"_"&amp;Investment_Strategy_Sub1&amp;"_"&amp;$A683,'Investment Strategies'!$AZ:$BP,15,FALSE),
IF(AND(Investment_Strategy="Lifecycle",Investment_Strategy_Sub1="Non-Standard"),VLOOKUP(Investment_Strategy&amp;"_"&amp;Investment_Strategy_Sub2&amp;"_"&amp;$A683,'Investment Strategies'!$C:$P,12,FALSE),
IF(AND(Investment_Strategy="Lifecycle",Investment_Strategy_Sub1="Standard"),VLOOKUP(Investment_Strategy&amp;"_"&amp;Investment_Strategy_Sub2&amp;"_"&amp;$A683,'Investment Strategies'!$AJ:$AV,11,FALSE),
IF(AND(Investment_Strategy="Autopilot",Investment_Strategy_Sub1="Non-Standard"),VLOOKUP(Investment_Strategy&amp;"_"&amp;Investment_Strategy_Sub2&amp;"_"&amp;$A683,'Investment Strategies'!$T:$AF,11,FALSE),
IF(Investment_Strategy="DIY",DIY_GteeChrge_FuturePremiums,
"Error"))))))</f>
        <v>0</v>
      </c>
      <c r="V683" s="33">
        <f>IF(AV683=0,0,
IF(Investment_Strategy="DIS",VLOOKUP(Investment_Strategy&amp;"_"&amp;Investment_Strategy_Sub1&amp;"_"&amp;$A683,'Investment Strategies'!$AZ:$BP,17,FALSE),
IF(AND(Investment_Strategy="Lifecycle",Investment_Strategy_Sub1="Non-Standard"),VLOOKUP(Investment_Strategy&amp;"_"&amp;Investment_Strategy_Sub2&amp;"_"&amp;$A683,'Investment Strategies'!$C:$P,14,FALSE),
IF(AND(Investment_Strategy="Lifecycle",Investment_Strategy_Sub1="Standard"),VLOOKUP(Investment_Strategy&amp;"_"&amp;Investment_Strategy_Sub2&amp;"_"&amp;$A683,'Investment Strategies'!$AJ:$AV,13,FALSE),
IF(AND(Investment_Strategy="Autopilot",Investment_Strategy_Sub1="Non-Standard"),VLOOKUP(Investment_Strategy&amp;"_"&amp;Investment_Strategy_Sub2&amp;"_"&amp;$A683,'Investment Strategies'!$T:$AF,13,FALSE),
IF(Investment_Strategy="DIY",DIY_ExtManChrge_FuturePremiums,
"Error"))))))</f>
        <v>0</v>
      </c>
      <c r="W683" s="16">
        <f t="shared" si="408"/>
        <v>0</v>
      </c>
      <c r="X683" s="16">
        <f t="shared" si="385"/>
        <v>0</v>
      </c>
      <c r="Y683" s="16">
        <f t="shared" si="386"/>
        <v>0</v>
      </c>
      <c r="Z683" s="31">
        <f t="shared" si="387"/>
        <v>0.02</v>
      </c>
      <c r="AA683" s="16">
        <f t="shared" si="388"/>
        <v>0</v>
      </c>
      <c r="AB683" s="28">
        <f t="shared" si="409"/>
        <v>0</v>
      </c>
      <c r="AC683" s="28">
        <f>(SUM($AC$91:AC682)+SUM($X$91:X682)+X683)*T683*IF(D683=$A$91,SRP_finalmonthfactor,1)</f>
        <v>0</v>
      </c>
      <c r="AD683" s="16">
        <f t="shared" si="389"/>
        <v>0</v>
      </c>
      <c r="AE683" s="106"/>
      <c r="AF683" s="16">
        <f t="shared" si="397"/>
        <v>0</v>
      </c>
      <c r="AG683" s="16">
        <f t="shared" si="398"/>
        <v>0</v>
      </c>
      <c r="AH683" s="16">
        <f t="shared" si="399"/>
        <v>0</v>
      </c>
      <c r="AJ683" s="13">
        <f t="shared" si="411"/>
        <v>0</v>
      </c>
      <c r="AK683" s="13">
        <f t="shared" si="411"/>
        <v>0</v>
      </c>
      <c r="AL683" s="13">
        <f t="shared" si="411"/>
        <v>0</v>
      </c>
      <c r="AM683" s="13">
        <f t="shared" si="411"/>
        <v>0</v>
      </c>
      <c r="AN683" s="13">
        <f t="shared" si="411"/>
        <v>0</v>
      </c>
      <c r="AO683" s="13">
        <f t="shared" si="411"/>
        <v>1</v>
      </c>
      <c r="AP683" s="13">
        <f t="shared" si="411"/>
        <v>1</v>
      </c>
      <c r="AQ683" s="13">
        <f t="shared" si="411"/>
        <v>1</v>
      </c>
      <c r="AR683" s="13">
        <f t="shared" si="411"/>
        <v>0</v>
      </c>
      <c r="AS683" s="13">
        <f t="shared" si="411"/>
        <v>0</v>
      </c>
      <c r="AT683" s="13">
        <f t="shared" si="411"/>
        <v>0</v>
      </c>
      <c r="AU683" s="13">
        <f t="shared" si="411"/>
        <v>0</v>
      </c>
      <c r="AV683" s="13">
        <f t="shared" si="390"/>
        <v>0</v>
      </c>
      <c r="AW683" s="13">
        <f t="shared" si="391"/>
        <v>1</v>
      </c>
      <c r="AY683" s="17">
        <f t="shared" si="392"/>
        <v>593</v>
      </c>
      <c r="AZ683" s="28">
        <f t="shared" si="400"/>
        <v>0</v>
      </c>
      <c r="BA683" s="13">
        <f t="shared" si="393"/>
        <v>0</v>
      </c>
      <c r="BB683" s="13">
        <f t="shared" si="394"/>
        <v>0</v>
      </c>
      <c r="BC683" s="28">
        <f t="shared" si="401"/>
        <v>0</v>
      </c>
      <c r="BD683" s="28">
        <f t="shared" si="402"/>
        <v>0</v>
      </c>
      <c r="BF683" s="248">
        <f t="shared" si="403"/>
        <v>993869.29442638322</v>
      </c>
    </row>
    <row r="684" spans="1:58">
      <c r="A684" s="32">
        <f t="shared" si="404"/>
        <v>-509</v>
      </c>
      <c r="B684" s="32">
        <f t="shared" si="395"/>
        <v>102</v>
      </c>
      <c r="C684" s="32">
        <f t="shared" si="405"/>
        <v>50</v>
      </c>
      <c r="D684" s="32">
        <f t="shared" si="406"/>
        <v>594</v>
      </c>
      <c r="E684" s="74">
        <f>MIN(IF(AV684=0,0,
IF(Investment_Strategy="DIS",VLOOKUP(Investment_Strategy&amp;"_"&amp;Investment_Strategy_Sub1&amp;"_"&amp;$A684,'Investment Strategies'!$AZ:$BP,12,FALSE),
IF(AND(Investment_Strategy="Lifecycle",Investment_Strategy_Sub1="Non-Standard"),VLOOKUP(Investment_Strategy&amp;"_"&amp;Investment_Strategy_Sub2&amp;"_"&amp;$A684,'Investment Strategies'!$C:$P,9,FALSE),
IF(AND(Investment_Strategy="Lifecycle",Investment_Strategy_Sub1="Standard"),VLOOKUP(Investment_Strategy&amp;"_"&amp;Investment_Strategy_Sub2&amp;"_"&amp;$A684,'Investment Strategies'!$AJ:$AV,8,FALSE),
IF(AND(Investment_Strategy="Autopilot",Investment_Strategy_Sub1="Non-Standard"),VLOOKUP(Investment_Strategy&amp;"_"&amp;Investment_Strategy_Sub2&amp;"_"&amp;$A684,'Investment Strategies'!$T:$AF,8,FALSE),
IF(Investment_Strategy ="DIY",DIY_RateOfReturn_CurrentFunds,
"Error")))))),Max_InvReturn)</f>
        <v>0</v>
      </c>
      <c r="F684" s="62">
        <f>IF(AV684=0,0,
IF(Investment_Strategy="DIS",VLOOKUP(Investment_Strategy&amp;"_"&amp;Investment_Strategy_Sub1&amp;"_"&amp;$A684,'Investment Strategies'!$AZ:$BP,15,FALSE),
IF(AND(Investment_Strategy="Lifecycle",Investment_Strategy_Sub1="Non-Standard"),VLOOKUP(Investment_Strategy&amp;"_"&amp;Investment_Strategy_Sub2&amp;"_"&amp;$A684,'Investment Strategies'!$C:$P,12,FALSE),
IF(AND(Investment_Strategy="Lifecycle",Investment_Strategy_Sub1="Standard"),VLOOKUP(Investment_Strategy&amp;"_"&amp;Investment_Strategy_Sub2&amp;"_"&amp;$A684,'Investment Strategies'!$AJ:$AV,11,FALSE),
IF(AND(Investment_Strategy="Autopilot",Investment_Strategy_Sub1="Non-Standard"),VLOOKUP(Investment_Strategy&amp;"_"&amp;Investment_Strategy_Sub2&amp;"_"&amp;$A684,'Investment Strategies'!$T:$AF,11,FALSE),
IF(Investment_Strategy="DIY",DIY_GteeChrge_CurrentFunds,
"Error"))))))</f>
        <v>0</v>
      </c>
      <c r="G684" s="33">
        <f>IF(AV684=0,0,
IF(Investment_Strategy="DIS",VLOOKUP(Investment_Strategy&amp;"_"&amp;Investment_Strategy_Sub1&amp;"_"&amp;$A684,'Investment Strategies'!$AZ:$BP,17,FALSE),
IF(AND(Investment_Strategy="Lifecycle",Investment_Strategy_Sub1="Non-Standard"),VLOOKUP(Investment_Strategy&amp;"_"&amp;Investment_Strategy_Sub2&amp;"_"&amp;$A684,'Investment Strategies'!$C:$P,14,FALSE),
IF(AND(Investment_Strategy="Lifecycle",Investment_Strategy_Sub1="Standard"),VLOOKUP(Investment_Strategy&amp;"_"&amp;Investment_Strategy_Sub2&amp;"_"&amp;$A684,'Investment Strategies'!$AJ:$AV,13,FALSE),
IF(AND(Investment_Strategy="Autopilot",Investment_Strategy_Sub1="Non-Standard"),VLOOKUP(Investment_Strategy&amp;"_"&amp;Investment_Strategy_Sub2&amp;"_"&amp;$A684,'Investment Strategies'!$T:$AF,13,FALSE),
IF(Investment_Strategy="DIY",DIY_ExtManChrge_CurrentFunds,
"Error"))))))</f>
        <v>0</v>
      </c>
      <c r="H684" s="16">
        <f t="shared" si="396"/>
        <v>0</v>
      </c>
      <c r="I684" s="16">
        <f t="shared" si="382"/>
        <v>0</v>
      </c>
      <c r="J684" s="16">
        <f t="shared" si="383"/>
        <v>0</v>
      </c>
      <c r="K684" s="16">
        <f>(Opening_Fund_Value+SUM(K$91:K683))*E684*IF(D684=$A$91,SRP_finalmonthfactor,1)</f>
        <v>0</v>
      </c>
      <c r="L684" s="74">
        <f>MIN(IF($AV684=0,0,
IF(Investment_Strategy="DIS",VLOOKUP(Investment_Strategy&amp;"_"&amp;Investment_Strategy_Sub1&amp;"_"&amp;$A684,'Investment Strategies'!$AZ:$BP,12,FALSE),
IF(AND(Investment_Strategy="Lifecycle",Investment_Strategy_Sub1="Non-Standard"),VLOOKUP(Investment_Strategy&amp;"_"&amp;Investment_Strategy_Sub2&amp;"_"&amp;$A684,'Investment Strategies'!$C:$P,9,FALSE),
IF(AND(Investment_Strategy="Lifecycle",Investment_Strategy_Sub1="Standard"),VLOOKUP(Investment_Strategy&amp;"_"&amp;Investment_Strategy_Sub2&amp;"_"&amp;$A684,'Investment Strategies'!$AJ:$AV,8,FALSE),
IF(AND(Investment_Strategy="Autopilot",Investment_Strategy_Sub1="Non-Standard"),VLOOKUP(Investment_Strategy&amp;"_"&amp;Investment_Strategy_Sub2&amp;"_"&amp;$A684,'Investment Strategies'!$T:$AF,8,FALSE),
IF(Investment_Strategy ="DIY",DIY_RateofReturn_SP,
"Error")))))),Max_InvReturn)</f>
        <v>0</v>
      </c>
      <c r="M684" s="62">
        <f>IF($AV684=0,0,
IF(Investment_Strategy="DIS",VLOOKUP(Investment_Strategy&amp;"_"&amp;Investment_Strategy_Sub1&amp;"_"&amp;$A684,'Investment Strategies'!$AZ:$BP,15,FALSE),
IF(AND(Investment_Strategy="Lifecycle",Investment_Strategy_Sub1="Non-Standard"),VLOOKUP(Investment_Strategy&amp;"_"&amp;Investment_Strategy_Sub2&amp;"_"&amp;$A684,'Investment Strategies'!$C:$P,12,FALSE),
IF(AND(Investment_Strategy="Lifecycle",Investment_Strategy_Sub1="Standard"),VLOOKUP(Investment_Strategy&amp;"_"&amp;Investment_Strategy_Sub2&amp;"_"&amp;$A684,'Investment Strategies'!$AJ:$AV,11,FALSE),
IF(AND(Investment_Strategy="Autopilot",Investment_Strategy_Sub1="Non-Standard"),VLOOKUP(Investment_Strategy&amp;"_"&amp;Investment_Strategy_Sub2&amp;"_"&amp;$A684,'Investment Strategies'!$T:$AF,11,FALSE),
IF(Investment_Strategy="DIY",DIY_GteeChrge_SP,
"Error"))))))</f>
        <v>0</v>
      </c>
      <c r="N684" s="33">
        <f>IF($AV684=0,0,
IF(Investment_Strategy="DIS",VLOOKUP(Investment_Strategy&amp;"_"&amp;Investment_Strategy_Sub1&amp;"_"&amp;$A684,'Investment Strategies'!$AZ:$BP,17,FALSE),
IF(AND(Investment_Strategy="Lifecycle",Investment_Strategy_Sub1="Non-Standard"),VLOOKUP(Investment_Strategy&amp;"_"&amp;Investment_Strategy_Sub2&amp;"_"&amp;$A684,'Investment Strategies'!$C:$P,14,FALSE),
IF(AND(Investment_Strategy="Lifecycle",Investment_Strategy_Sub1="Standard"),VLOOKUP(Investment_Strategy&amp;"_"&amp;Investment_Strategy_Sub2&amp;"_"&amp;$A684,'Investment Strategies'!$AJ:$AV,13,FALSE),
IF(AND(Investment_Strategy="Autopilot",Investment_Strategy_Sub1="Non-Standard"),VLOOKUP(Investment_Strategy&amp;"_"&amp;Investment_Strategy_Sub2&amp;"_"&amp;$A684,'Investment Strategies'!$T:$AF,13,FALSE),
IF(Investment_Strategy="DIY",DIY_ExtManChrge_SP,
"Error"))))))</f>
        <v>0</v>
      </c>
      <c r="O684" s="16">
        <f t="shared" si="407"/>
        <v>0</v>
      </c>
      <c r="Q684" s="16">
        <f t="shared" si="384"/>
        <v>0</v>
      </c>
      <c r="R684" s="16">
        <f t="shared" si="380"/>
        <v>0</v>
      </c>
      <c r="S684" s="16">
        <f>(SRP_SP+SUM(S$91:S683))*L684*IF(D684=$A$91,SRP_finalmonthfactor,1)</f>
        <v>0</v>
      </c>
      <c r="T684" s="74">
        <f>MIN(IF($AV684=0,0,
IF(Investment_Strategy="DIS",VLOOKUP(Investment_Strategy&amp;"_"&amp;Investment_Strategy_Sub1&amp;"_"&amp;$A684,'Investment Strategies'!$AZ:$BP,12,FALSE),
IF(AND(Investment_Strategy="Lifecycle",Investment_Strategy_Sub1="Non-Standard"),VLOOKUP(Investment_Strategy&amp;"_"&amp;Investment_Strategy_Sub2&amp;"_"&amp;$A684,'Investment Strategies'!$C:$P,9,FALSE),
IF(AND(Investment_Strategy="Lifecycle",Investment_Strategy_Sub1="Standard"),VLOOKUP(Investment_Strategy&amp;"_"&amp;Investment_Strategy_Sub2&amp;"_"&amp;$A684,'Investment Strategies'!$AJ:$AV,8,FALSE),
IF(AND(Investment_Strategy="Autopilot",Investment_Strategy_Sub1="Non-Standard"),VLOOKUP(Investment_Strategy&amp;"_"&amp;Investment_Strategy_Sub2&amp;"_"&amp;$A684,'Investment Strategies'!$T:$AF,8,FALSE),
IF(Investment_Strategy ="DIY",DIY_RateOfReturn_FuturePremiums,
"Error")))))),Max_InvReturn)</f>
        <v>0</v>
      </c>
      <c r="U684" s="62">
        <f>IF($AV684=0,0,
IF(Investment_Strategy="DIS",VLOOKUP(Investment_Strategy&amp;"_"&amp;Investment_Strategy_Sub1&amp;"_"&amp;$A684,'Investment Strategies'!$AZ:$BP,15,FALSE),
IF(AND(Investment_Strategy="Lifecycle",Investment_Strategy_Sub1="Non-Standard"),VLOOKUP(Investment_Strategy&amp;"_"&amp;Investment_Strategy_Sub2&amp;"_"&amp;$A684,'Investment Strategies'!$C:$P,12,FALSE),
IF(AND(Investment_Strategy="Lifecycle",Investment_Strategy_Sub1="Standard"),VLOOKUP(Investment_Strategy&amp;"_"&amp;Investment_Strategy_Sub2&amp;"_"&amp;$A684,'Investment Strategies'!$AJ:$AV,11,FALSE),
IF(AND(Investment_Strategy="Autopilot",Investment_Strategy_Sub1="Non-Standard"),VLOOKUP(Investment_Strategy&amp;"_"&amp;Investment_Strategy_Sub2&amp;"_"&amp;$A684,'Investment Strategies'!$T:$AF,11,FALSE),
IF(Investment_Strategy="DIY",DIY_GteeChrge_FuturePremiums,
"Error"))))))</f>
        <v>0</v>
      </c>
      <c r="V684" s="33">
        <f>IF(AV684=0,0,
IF(Investment_Strategy="DIS",VLOOKUP(Investment_Strategy&amp;"_"&amp;Investment_Strategy_Sub1&amp;"_"&amp;$A684,'Investment Strategies'!$AZ:$BP,17,FALSE),
IF(AND(Investment_Strategy="Lifecycle",Investment_Strategy_Sub1="Non-Standard"),VLOOKUP(Investment_Strategy&amp;"_"&amp;Investment_Strategy_Sub2&amp;"_"&amp;$A684,'Investment Strategies'!$C:$P,14,FALSE),
IF(AND(Investment_Strategy="Lifecycle",Investment_Strategy_Sub1="Standard"),VLOOKUP(Investment_Strategy&amp;"_"&amp;Investment_Strategy_Sub2&amp;"_"&amp;$A684,'Investment Strategies'!$AJ:$AV,13,FALSE),
IF(AND(Investment_Strategy="Autopilot",Investment_Strategy_Sub1="Non-Standard"),VLOOKUP(Investment_Strategy&amp;"_"&amp;Investment_Strategy_Sub2&amp;"_"&amp;$A684,'Investment Strategies'!$T:$AF,13,FALSE),
IF(Investment_Strategy="DIY",DIY_ExtManChrge_FuturePremiums,
"Error"))))))</f>
        <v>0</v>
      </c>
      <c r="W684" s="16">
        <f t="shared" si="408"/>
        <v>0</v>
      </c>
      <c r="X684" s="16">
        <f t="shared" si="385"/>
        <v>0</v>
      </c>
      <c r="Y684" s="16">
        <f t="shared" si="386"/>
        <v>0</v>
      </c>
      <c r="Z684" s="31">
        <f t="shared" si="387"/>
        <v>0.02</v>
      </c>
      <c r="AA684" s="16">
        <f t="shared" si="388"/>
        <v>0</v>
      </c>
      <c r="AB684" s="28">
        <f t="shared" si="409"/>
        <v>0</v>
      </c>
      <c r="AC684" s="28">
        <f>(SUM($AC$91:AC683)+SUM($X$91:X683)+X684)*T684*IF(D684=$A$91,SRP_finalmonthfactor,1)</f>
        <v>0</v>
      </c>
      <c r="AD684" s="16">
        <f t="shared" si="389"/>
        <v>0</v>
      </c>
      <c r="AE684" s="106"/>
      <c r="AF684" s="16">
        <f t="shared" si="397"/>
        <v>0</v>
      </c>
      <c r="AG684" s="16">
        <f t="shared" si="398"/>
        <v>0</v>
      </c>
      <c r="AH684" s="16">
        <f t="shared" si="399"/>
        <v>0</v>
      </c>
      <c r="AJ684" s="13">
        <f t="shared" si="411"/>
        <v>0</v>
      </c>
      <c r="AK684" s="13">
        <f t="shared" si="411"/>
        <v>0</v>
      </c>
      <c r="AL684" s="13">
        <f t="shared" si="411"/>
        <v>0</v>
      </c>
      <c r="AM684" s="13">
        <f t="shared" si="411"/>
        <v>0</v>
      </c>
      <c r="AN684" s="13">
        <f t="shared" si="411"/>
        <v>0</v>
      </c>
      <c r="AO684" s="13">
        <f t="shared" si="411"/>
        <v>1</v>
      </c>
      <c r="AP684" s="13">
        <f t="shared" si="411"/>
        <v>1</v>
      </c>
      <c r="AQ684" s="13">
        <f t="shared" si="411"/>
        <v>1</v>
      </c>
      <c r="AR684" s="13">
        <f t="shared" si="411"/>
        <v>0</v>
      </c>
      <c r="AS684" s="13">
        <f t="shared" si="411"/>
        <v>0</v>
      </c>
      <c r="AT684" s="13">
        <f t="shared" si="411"/>
        <v>0</v>
      </c>
      <c r="AU684" s="13">
        <f t="shared" si="411"/>
        <v>0</v>
      </c>
      <c r="AV684" s="13">
        <f t="shared" si="390"/>
        <v>0</v>
      </c>
      <c r="AW684" s="13">
        <f t="shared" si="391"/>
        <v>1</v>
      </c>
      <c r="AY684" s="17">
        <f t="shared" si="392"/>
        <v>594</v>
      </c>
      <c r="AZ684" s="28">
        <f t="shared" si="400"/>
        <v>0</v>
      </c>
      <c r="BA684" s="13">
        <f t="shared" si="393"/>
        <v>0</v>
      </c>
      <c r="BB684" s="13">
        <f t="shared" si="394"/>
        <v>0</v>
      </c>
      <c r="BC684" s="28">
        <f t="shared" si="401"/>
        <v>0</v>
      </c>
      <c r="BD684" s="28">
        <f t="shared" si="402"/>
        <v>0</v>
      </c>
      <c r="BF684" s="248">
        <f t="shared" si="403"/>
        <v>993869.29442638322</v>
      </c>
    </row>
    <row r="685" spans="1:58">
      <c r="A685" s="32">
        <f t="shared" si="404"/>
        <v>-510</v>
      </c>
      <c r="B685" s="32">
        <f t="shared" si="395"/>
        <v>102</v>
      </c>
      <c r="C685" s="32">
        <f t="shared" si="405"/>
        <v>50</v>
      </c>
      <c r="D685" s="32">
        <f t="shared" si="406"/>
        <v>595</v>
      </c>
      <c r="E685" s="74">
        <f>MIN(IF(AV685=0,0,
IF(Investment_Strategy="DIS",VLOOKUP(Investment_Strategy&amp;"_"&amp;Investment_Strategy_Sub1&amp;"_"&amp;$A685,'Investment Strategies'!$AZ:$BP,12,FALSE),
IF(AND(Investment_Strategy="Lifecycle",Investment_Strategy_Sub1="Non-Standard"),VLOOKUP(Investment_Strategy&amp;"_"&amp;Investment_Strategy_Sub2&amp;"_"&amp;$A685,'Investment Strategies'!$C:$P,9,FALSE),
IF(AND(Investment_Strategy="Lifecycle",Investment_Strategy_Sub1="Standard"),VLOOKUP(Investment_Strategy&amp;"_"&amp;Investment_Strategy_Sub2&amp;"_"&amp;$A685,'Investment Strategies'!$AJ:$AV,8,FALSE),
IF(AND(Investment_Strategy="Autopilot",Investment_Strategy_Sub1="Non-Standard"),VLOOKUP(Investment_Strategy&amp;"_"&amp;Investment_Strategy_Sub2&amp;"_"&amp;$A685,'Investment Strategies'!$T:$AF,8,FALSE),
IF(Investment_Strategy ="DIY",DIY_RateOfReturn_CurrentFunds,
"Error")))))),Max_InvReturn)</f>
        <v>0</v>
      </c>
      <c r="F685" s="62">
        <f>IF(AV685=0,0,
IF(Investment_Strategy="DIS",VLOOKUP(Investment_Strategy&amp;"_"&amp;Investment_Strategy_Sub1&amp;"_"&amp;$A685,'Investment Strategies'!$AZ:$BP,15,FALSE),
IF(AND(Investment_Strategy="Lifecycle",Investment_Strategy_Sub1="Non-Standard"),VLOOKUP(Investment_Strategy&amp;"_"&amp;Investment_Strategy_Sub2&amp;"_"&amp;$A685,'Investment Strategies'!$C:$P,12,FALSE),
IF(AND(Investment_Strategy="Lifecycle",Investment_Strategy_Sub1="Standard"),VLOOKUP(Investment_Strategy&amp;"_"&amp;Investment_Strategy_Sub2&amp;"_"&amp;$A685,'Investment Strategies'!$AJ:$AV,11,FALSE),
IF(AND(Investment_Strategy="Autopilot",Investment_Strategy_Sub1="Non-Standard"),VLOOKUP(Investment_Strategy&amp;"_"&amp;Investment_Strategy_Sub2&amp;"_"&amp;$A685,'Investment Strategies'!$T:$AF,11,FALSE),
IF(Investment_Strategy="DIY",DIY_GteeChrge_CurrentFunds,
"Error"))))))</f>
        <v>0</v>
      </c>
      <c r="G685" s="33">
        <f>IF(AV685=0,0,
IF(Investment_Strategy="DIS",VLOOKUP(Investment_Strategy&amp;"_"&amp;Investment_Strategy_Sub1&amp;"_"&amp;$A685,'Investment Strategies'!$AZ:$BP,17,FALSE),
IF(AND(Investment_Strategy="Lifecycle",Investment_Strategy_Sub1="Non-Standard"),VLOOKUP(Investment_Strategy&amp;"_"&amp;Investment_Strategy_Sub2&amp;"_"&amp;$A685,'Investment Strategies'!$C:$P,14,FALSE),
IF(AND(Investment_Strategy="Lifecycle",Investment_Strategy_Sub1="Standard"),VLOOKUP(Investment_Strategy&amp;"_"&amp;Investment_Strategy_Sub2&amp;"_"&amp;$A685,'Investment Strategies'!$AJ:$AV,13,FALSE),
IF(AND(Investment_Strategy="Autopilot",Investment_Strategy_Sub1="Non-Standard"),VLOOKUP(Investment_Strategy&amp;"_"&amp;Investment_Strategy_Sub2&amp;"_"&amp;$A685,'Investment Strategies'!$T:$AF,13,FALSE),
IF(Investment_Strategy="DIY",DIY_ExtManChrge_CurrentFunds,
"Error"))))))</f>
        <v>0</v>
      </c>
      <c r="H685" s="16">
        <f t="shared" si="396"/>
        <v>0</v>
      </c>
      <c r="I685" s="16">
        <f t="shared" si="382"/>
        <v>0</v>
      </c>
      <c r="J685" s="16">
        <f t="shared" si="383"/>
        <v>0</v>
      </c>
      <c r="K685" s="16">
        <f>(Opening_Fund_Value+SUM(K$91:K684))*E685*IF(D685=$A$91,SRP_finalmonthfactor,1)</f>
        <v>0</v>
      </c>
      <c r="L685" s="74">
        <f>MIN(IF($AV685=0,0,
IF(Investment_Strategy="DIS",VLOOKUP(Investment_Strategy&amp;"_"&amp;Investment_Strategy_Sub1&amp;"_"&amp;$A685,'Investment Strategies'!$AZ:$BP,12,FALSE),
IF(AND(Investment_Strategy="Lifecycle",Investment_Strategy_Sub1="Non-Standard"),VLOOKUP(Investment_Strategy&amp;"_"&amp;Investment_Strategy_Sub2&amp;"_"&amp;$A685,'Investment Strategies'!$C:$P,9,FALSE),
IF(AND(Investment_Strategy="Lifecycle",Investment_Strategy_Sub1="Standard"),VLOOKUP(Investment_Strategy&amp;"_"&amp;Investment_Strategy_Sub2&amp;"_"&amp;$A685,'Investment Strategies'!$AJ:$AV,8,FALSE),
IF(AND(Investment_Strategy="Autopilot",Investment_Strategy_Sub1="Non-Standard"),VLOOKUP(Investment_Strategy&amp;"_"&amp;Investment_Strategy_Sub2&amp;"_"&amp;$A685,'Investment Strategies'!$T:$AF,8,FALSE),
IF(Investment_Strategy ="DIY",DIY_RateofReturn_SP,
"Error")))))),Max_InvReturn)</f>
        <v>0</v>
      </c>
      <c r="M685" s="62">
        <f>IF($AV685=0,0,
IF(Investment_Strategy="DIS",VLOOKUP(Investment_Strategy&amp;"_"&amp;Investment_Strategy_Sub1&amp;"_"&amp;$A685,'Investment Strategies'!$AZ:$BP,15,FALSE),
IF(AND(Investment_Strategy="Lifecycle",Investment_Strategy_Sub1="Non-Standard"),VLOOKUP(Investment_Strategy&amp;"_"&amp;Investment_Strategy_Sub2&amp;"_"&amp;$A685,'Investment Strategies'!$C:$P,12,FALSE),
IF(AND(Investment_Strategy="Lifecycle",Investment_Strategy_Sub1="Standard"),VLOOKUP(Investment_Strategy&amp;"_"&amp;Investment_Strategy_Sub2&amp;"_"&amp;$A685,'Investment Strategies'!$AJ:$AV,11,FALSE),
IF(AND(Investment_Strategy="Autopilot",Investment_Strategy_Sub1="Non-Standard"),VLOOKUP(Investment_Strategy&amp;"_"&amp;Investment_Strategy_Sub2&amp;"_"&amp;$A685,'Investment Strategies'!$T:$AF,11,FALSE),
IF(Investment_Strategy="DIY",DIY_GteeChrge_SP,
"Error"))))))</f>
        <v>0</v>
      </c>
      <c r="N685" s="33">
        <f>IF($AV685=0,0,
IF(Investment_Strategy="DIS",VLOOKUP(Investment_Strategy&amp;"_"&amp;Investment_Strategy_Sub1&amp;"_"&amp;$A685,'Investment Strategies'!$AZ:$BP,17,FALSE),
IF(AND(Investment_Strategy="Lifecycle",Investment_Strategy_Sub1="Non-Standard"),VLOOKUP(Investment_Strategy&amp;"_"&amp;Investment_Strategy_Sub2&amp;"_"&amp;$A685,'Investment Strategies'!$C:$P,14,FALSE),
IF(AND(Investment_Strategy="Lifecycle",Investment_Strategy_Sub1="Standard"),VLOOKUP(Investment_Strategy&amp;"_"&amp;Investment_Strategy_Sub2&amp;"_"&amp;$A685,'Investment Strategies'!$AJ:$AV,13,FALSE),
IF(AND(Investment_Strategy="Autopilot",Investment_Strategy_Sub1="Non-Standard"),VLOOKUP(Investment_Strategy&amp;"_"&amp;Investment_Strategy_Sub2&amp;"_"&amp;$A685,'Investment Strategies'!$T:$AF,13,FALSE),
IF(Investment_Strategy="DIY",DIY_ExtManChrge_SP,
"Error"))))))</f>
        <v>0</v>
      </c>
      <c r="O685" s="16">
        <f t="shared" si="407"/>
        <v>0</v>
      </c>
      <c r="Q685" s="16">
        <f t="shared" si="384"/>
        <v>0</v>
      </c>
      <c r="R685" s="16">
        <f t="shared" si="380"/>
        <v>0</v>
      </c>
      <c r="S685" s="16">
        <f>(SRP_SP+SUM(S$91:S684))*L685*IF(D685=$A$91,SRP_finalmonthfactor,1)</f>
        <v>0</v>
      </c>
      <c r="T685" s="74">
        <f>MIN(IF($AV685=0,0,
IF(Investment_Strategy="DIS",VLOOKUP(Investment_Strategy&amp;"_"&amp;Investment_Strategy_Sub1&amp;"_"&amp;$A685,'Investment Strategies'!$AZ:$BP,12,FALSE),
IF(AND(Investment_Strategy="Lifecycle",Investment_Strategy_Sub1="Non-Standard"),VLOOKUP(Investment_Strategy&amp;"_"&amp;Investment_Strategy_Sub2&amp;"_"&amp;$A685,'Investment Strategies'!$C:$P,9,FALSE),
IF(AND(Investment_Strategy="Lifecycle",Investment_Strategy_Sub1="Standard"),VLOOKUP(Investment_Strategy&amp;"_"&amp;Investment_Strategy_Sub2&amp;"_"&amp;$A685,'Investment Strategies'!$AJ:$AV,8,FALSE),
IF(AND(Investment_Strategy="Autopilot",Investment_Strategy_Sub1="Non-Standard"),VLOOKUP(Investment_Strategy&amp;"_"&amp;Investment_Strategy_Sub2&amp;"_"&amp;$A685,'Investment Strategies'!$T:$AF,8,FALSE),
IF(Investment_Strategy ="DIY",DIY_RateOfReturn_FuturePremiums,
"Error")))))),Max_InvReturn)</f>
        <v>0</v>
      </c>
      <c r="U685" s="62">
        <f>IF($AV685=0,0,
IF(Investment_Strategy="DIS",VLOOKUP(Investment_Strategy&amp;"_"&amp;Investment_Strategy_Sub1&amp;"_"&amp;$A685,'Investment Strategies'!$AZ:$BP,15,FALSE),
IF(AND(Investment_Strategy="Lifecycle",Investment_Strategy_Sub1="Non-Standard"),VLOOKUP(Investment_Strategy&amp;"_"&amp;Investment_Strategy_Sub2&amp;"_"&amp;$A685,'Investment Strategies'!$C:$P,12,FALSE),
IF(AND(Investment_Strategy="Lifecycle",Investment_Strategy_Sub1="Standard"),VLOOKUP(Investment_Strategy&amp;"_"&amp;Investment_Strategy_Sub2&amp;"_"&amp;$A685,'Investment Strategies'!$AJ:$AV,11,FALSE),
IF(AND(Investment_Strategy="Autopilot",Investment_Strategy_Sub1="Non-Standard"),VLOOKUP(Investment_Strategy&amp;"_"&amp;Investment_Strategy_Sub2&amp;"_"&amp;$A685,'Investment Strategies'!$T:$AF,11,FALSE),
IF(Investment_Strategy="DIY",DIY_GteeChrge_FuturePremiums,
"Error"))))))</f>
        <v>0</v>
      </c>
      <c r="V685" s="33">
        <f>IF(AV685=0,0,
IF(Investment_Strategy="DIS",VLOOKUP(Investment_Strategy&amp;"_"&amp;Investment_Strategy_Sub1&amp;"_"&amp;$A685,'Investment Strategies'!$AZ:$BP,17,FALSE),
IF(AND(Investment_Strategy="Lifecycle",Investment_Strategy_Sub1="Non-Standard"),VLOOKUP(Investment_Strategy&amp;"_"&amp;Investment_Strategy_Sub2&amp;"_"&amp;$A685,'Investment Strategies'!$C:$P,14,FALSE),
IF(AND(Investment_Strategy="Lifecycle",Investment_Strategy_Sub1="Standard"),VLOOKUP(Investment_Strategy&amp;"_"&amp;Investment_Strategy_Sub2&amp;"_"&amp;$A685,'Investment Strategies'!$AJ:$AV,13,FALSE),
IF(AND(Investment_Strategy="Autopilot",Investment_Strategy_Sub1="Non-Standard"),VLOOKUP(Investment_Strategy&amp;"_"&amp;Investment_Strategy_Sub2&amp;"_"&amp;$A685,'Investment Strategies'!$T:$AF,13,FALSE),
IF(Investment_Strategy="DIY",DIY_ExtManChrge_FuturePremiums,
"Error"))))))</f>
        <v>0</v>
      </c>
      <c r="W685" s="16">
        <f t="shared" si="408"/>
        <v>0</v>
      </c>
      <c r="X685" s="16">
        <f t="shared" si="385"/>
        <v>0</v>
      </c>
      <c r="Y685" s="16">
        <f t="shared" si="386"/>
        <v>0</v>
      </c>
      <c r="Z685" s="31">
        <f t="shared" si="387"/>
        <v>0.02</v>
      </c>
      <c r="AA685" s="16">
        <f t="shared" si="388"/>
        <v>0</v>
      </c>
      <c r="AB685" s="28">
        <f t="shared" si="409"/>
        <v>0</v>
      </c>
      <c r="AC685" s="28">
        <f>(SUM($AC$91:AC684)+SUM($X$91:X684)+X685)*T685*IF(D685=$A$91,SRP_finalmonthfactor,1)</f>
        <v>0</v>
      </c>
      <c r="AD685" s="16">
        <f t="shared" si="389"/>
        <v>0</v>
      </c>
      <c r="AE685" s="106"/>
      <c r="AF685" s="16">
        <f t="shared" si="397"/>
        <v>0</v>
      </c>
      <c r="AG685" s="16">
        <f t="shared" si="398"/>
        <v>0</v>
      </c>
      <c r="AH685" s="16">
        <f t="shared" si="399"/>
        <v>0</v>
      </c>
      <c r="AJ685" s="13">
        <f t="shared" si="411"/>
        <v>0</v>
      </c>
      <c r="AK685" s="13">
        <f t="shared" si="411"/>
        <v>0</v>
      </c>
      <c r="AL685" s="13">
        <f t="shared" si="411"/>
        <v>0</v>
      </c>
      <c r="AM685" s="13">
        <f t="shared" si="411"/>
        <v>0</v>
      </c>
      <c r="AN685" s="13">
        <f t="shared" si="411"/>
        <v>0</v>
      </c>
      <c r="AO685" s="13">
        <f t="shared" si="411"/>
        <v>1</v>
      </c>
      <c r="AP685" s="13">
        <f t="shared" si="411"/>
        <v>1</v>
      </c>
      <c r="AQ685" s="13">
        <f t="shared" si="411"/>
        <v>1</v>
      </c>
      <c r="AR685" s="13">
        <f t="shared" si="411"/>
        <v>0</v>
      </c>
      <c r="AS685" s="13">
        <f t="shared" si="411"/>
        <v>0</v>
      </c>
      <c r="AT685" s="13">
        <f t="shared" si="411"/>
        <v>0</v>
      </c>
      <c r="AU685" s="13">
        <f t="shared" si="411"/>
        <v>0</v>
      </c>
      <c r="AV685" s="13">
        <f t="shared" si="390"/>
        <v>0</v>
      </c>
      <c r="AW685" s="13">
        <f t="shared" si="391"/>
        <v>1</v>
      </c>
      <c r="AY685" s="17">
        <f t="shared" si="392"/>
        <v>595</v>
      </c>
      <c r="AZ685" s="28">
        <f t="shared" si="400"/>
        <v>0</v>
      </c>
      <c r="BA685" s="13">
        <f t="shared" si="393"/>
        <v>0</v>
      </c>
      <c r="BB685" s="13">
        <f t="shared" si="394"/>
        <v>0</v>
      </c>
      <c r="BC685" s="28">
        <f t="shared" si="401"/>
        <v>0</v>
      </c>
      <c r="BD685" s="28">
        <f t="shared" si="402"/>
        <v>0</v>
      </c>
      <c r="BF685" s="248">
        <f t="shared" si="403"/>
        <v>993869.29442638322</v>
      </c>
    </row>
    <row r="686" spans="1:58">
      <c r="A686" s="32">
        <f t="shared" si="404"/>
        <v>-511</v>
      </c>
      <c r="B686" s="32">
        <f t="shared" si="395"/>
        <v>102</v>
      </c>
      <c r="C686" s="32">
        <f t="shared" si="405"/>
        <v>50</v>
      </c>
      <c r="D686" s="32">
        <f t="shared" si="406"/>
        <v>596</v>
      </c>
      <c r="E686" s="74">
        <f>MIN(IF(AV686=0,0,
IF(Investment_Strategy="DIS",VLOOKUP(Investment_Strategy&amp;"_"&amp;Investment_Strategy_Sub1&amp;"_"&amp;$A686,'Investment Strategies'!$AZ:$BP,12,FALSE),
IF(AND(Investment_Strategy="Lifecycle",Investment_Strategy_Sub1="Non-Standard"),VLOOKUP(Investment_Strategy&amp;"_"&amp;Investment_Strategy_Sub2&amp;"_"&amp;$A686,'Investment Strategies'!$C:$P,9,FALSE),
IF(AND(Investment_Strategy="Lifecycle",Investment_Strategy_Sub1="Standard"),VLOOKUP(Investment_Strategy&amp;"_"&amp;Investment_Strategy_Sub2&amp;"_"&amp;$A686,'Investment Strategies'!$AJ:$AV,8,FALSE),
IF(AND(Investment_Strategy="Autopilot",Investment_Strategy_Sub1="Non-Standard"),VLOOKUP(Investment_Strategy&amp;"_"&amp;Investment_Strategy_Sub2&amp;"_"&amp;$A686,'Investment Strategies'!$T:$AF,8,FALSE),
IF(Investment_Strategy ="DIY",DIY_RateOfReturn_CurrentFunds,
"Error")))))),Max_InvReturn)</f>
        <v>0</v>
      </c>
      <c r="F686" s="62">
        <f>IF(AV686=0,0,
IF(Investment_Strategy="DIS",VLOOKUP(Investment_Strategy&amp;"_"&amp;Investment_Strategy_Sub1&amp;"_"&amp;$A686,'Investment Strategies'!$AZ:$BP,15,FALSE),
IF(AND(Investment_Strategy="Lifecycle",Investment_Strategy_Sub1="Non-Standard"),VLOOKUP(Investment_Strategy&amp;"_"&amp;Investment_Strategy_Sub2&amp;"_"&amp;$A686,'Investment Strategies'!$C:$P,12,FALSE),
IF(AND(Investment_Strategy="Lifecycle",Investment_Strategy_Sub1="Standard"),VLOOKUP(Investment_Strategy&amp;"_"&amp;Investment_Strategy_Sub2&amp;"_"&amp;$A686,'Investment Strategies'!$AJ:$AV,11,FALSE),
IF(AND(Investment_Strategy="Autopilot",Investment_Strategy_Sub1="Non-Standard"),VLOOKUP(Investment_Strategy&amp;"_"&amp;Investment_Strategy_Sub2&amp;"_"&amp;$A686,'Investment Strategies'!$T:$AF,11,FALSE),
IF(Investment_Strategy="DIY",DIY_GteeChrge_CurrentFunds,
"Error"))))))</f>
        <v>0</v>
      </c>
      <c r="G686" s="33">
        <f>IF(AV686=0,0,
IF(Investment_Strategy="DIS",VLOOKUP(Investment_Strategy&amp;"_"&amp;Investment_Strategy_Sub1&amp;"_"&amp;$A686,'Investment Strategies'!$AZ:$BP,17,FALSE),
IF(AND(Investment_Strategy="Lifecycle",Investment_Strategy_Sub1="Non-Standard"),VLOOKUP(Investment_Strategy&amp;"_"&amp;Investment_Strategy_Sub2&amp;"_"&amp;$A686,'Investment Strategies'!$C:$P,14,FALSE),
IF(AND(Investment_Strategy="Lifecycle",Investment_Strategy_Sub1="Standard"),VLOOKUP(Investment_Strategy&amp;"_"&amp;Investment_Strategy_Sub2&amp;"_"&amp;$A686,'Investment Strategies'!$AJ:$AV,13,FALSE),
IF(AND(Investment_Strategy="Autopilot",Investment_Strategy_Sub1="Non-Standard"),VLOOKUP(Investment_Strategy&amp;"_"&amp;Investment_Strategy_Sub2&amp;"_"&amp;$A686,'Investment Strategies'!$T:$AF,13,FALSE),
IF(Investment_Strategy="DIY",DIY_ExtManChrge_CurrentFunds,
"Error"))))))</f>
        <v>0</v>
      </c>
      <c r="H686" s="16">
        <f t="shared" si="396"/>
        <v>0</v>
      </c>
      <c r="I686" s="16">
        <f t="shared" si="382"/>
        <v>0</v>
      </c>
      <c r="J686" s="16">
        <f t="shared" si="383"/>
        <v>0</v>
      </c>
      <c r="K686" s="16">
        <f>(Opening_Fund_Value+SUM(K$91:K685))*E686*IF(D686=$A$91,SRP_finalmonthfactor,1)</f>
        <v>0</v>
      </c>
      <c r="L686" s="74">
        <f>MIN(IF($AV686=0,0,
IF(Investment_Strategy="DIS",VLOOKUP(Investment_Strategy&amp;"_"&amp;Investment_Strategy_Sub1&amp;"_"&amp;$A686,'Investment Strategies'!$AZ:$BP,12,FALSE),
IF(AND(Investment_Strategy="Lifecycle",Investment_Strategy_Sub1="Non-Standard"),VLOOKUP(Investment_Strategy&amp;"_"&amp;Investment_Strategy_Sub2&amp;"_"&amp;$A686,'Investment Strategies'!$C:$P,9,FALSE),
IF(AND(Investment_Strategy="Lifecycle",Investment_Strategy_Sub1="Standard"),VLOOKUP(Investment_Strategy&amp;"_"&amp;Investment_Strategy_Sub2&amp;"_"&amp;$A686,'Investment Strategies'!$AJ:$AV,8,FALSE),
IF(AND(Investment_Strategy="Autopilot",Investment_Strategy_Sub1="Non-Standard"),VLOOKUP(Investment_Strategy&amp;"_"&amp;Investment_Strategy_Sub2&amp;"_"&amp;$A686,'Investment Strategies'!$T:$AF,8,FALSE),
IF(Investment_Strategy ="DIY",DIY_RateofReturn_SP,
"Error")))))),Max_InvReturn)</f>
        <v>0</v>
      </c>
      <c r="M686" s="62">
        <f>IF($AV686=0,0,
IF(Investment_Strategy="DIS",VLOOKUP(Investment_Strategy&amp;"_"&amp;Investment_Strategy_Sub1&amp;"_"&amp;$A686,'Investment Strategies'!$AZ:$BP,15,FALSE),
IF(AND(Investment_Strategy="Lifecycle",Investment_Strategy_Sub1="Non-Standard"),VLOOKUP(Investment_Strategy&amp;"_"&amp;Investment_Strategy_Sub2&amp;"_"&amp;$A686,'Investment Strategies'!$C:$P,12,FALSE),
IF(AND(Investment_Strategy="Lifecycle",Investment_Strategy_Sub1="Standard"),VLOOKUP(Investment_Strategy&amp;"_"&amp;Investment_Strategy_Sub2&amp;"_"&amp;$A686,'Investment Strategies'!$AJ:$AV,11,FALSE),
IF(AND(Investment_Strategy="Autopilot",Investment_Strategy_Sub1="Non-Standard"),VLOOKUP(Investment_Strategy&amp;"_"&amp;Investment_Strategy_Sub2&amp;"_"&amp;$A686,'Investment Strategies'!$T:$AF,11,FALSE),
IF(Investment_Strategy="DIY",DIY_GteeChrge_SP,
"Error"))))))</f>
        <v>0</v>
      </c>
      <c r="N686" s="33">
        <f>IF($AV686=0,0,
IF(Investment_Strategy="DIS",VLOOKUP(Investment_Strategy&amp;"_"&amp;Investment_Strategy_Sub1&amp;"_"&amp;$A686,'Investment Strategies'!$AZ:$BP,17,FALSE),
IF(AND(Investment_Strategy="Lifecycle",Investment_Strategy_Sub1="Non-Standard"),VLOOKUP(Investment_Strategy&amp;"_"&amp;Investment_Strategy_Sub2&amp;"_"&amp;$A686,'Investment Strategies'!$C:$P,14,FALSE),
IF(AND(Investment_Strategy="Lifecycle",Investment_Strategy_Sub1="Standard"),VLOOKUP(Investment_Strategy&amp;"_"&amp;Investment_Strategy_Sub2&amp;"_"&amp;$A686,'Investment Strategies'!$AJ:$AV,13,FALSE),
IF(AND(Investment_Strategy="Autopilot",Investment_Strategy_Sub1="Non-Standard"),VLOOKUP(Investment_Strategy&amp;"_"&amp;Investment_Strategy_Sub2&amp;"_"&amp;$A686,'Investment Strategies'!$T:$AF,13,FALSE),
IF(Investment_Strategy="DIY",DIY_ExtManChrge_SP,
"Error"))))))</f>
        <v>0</v>
      </c>
      <c r="O686" s="16">
        <f t="shared" si="407"/>
        <v>0</v>
      </c>
      <c r="Q686" s="16">
        <f t="shared" si="384"/>
        <v>0</v>
      </c>
      <c r="R686" s="16">
        <f t="shared" si="380"/>
        <v>0</v>
      </c>
      <c r="S686" s="16">
        <f>(SRP_SP+SUM(S$91:S685))*L686*IF(D686=$A$91,SRP_finalmonthfactor,1)</f>
        <v>0</v>
      </c>
      <c r="T686" s="74">
        <f>MIN(IF($AV686=0,0,
IF(Investment_Strategy="DIS",VLOOKUP(Investment_Strategy&amp;"_"&amp;Investment_Strategy_Sub1&amp;"_"&amp;$A686,'Investment Strategies'!$AZ:$BP,12,FALSE),
IF(AND(Investment_Strategy="Lifecycle",Investment_Strategy_Sub1="Non-Standard"),VLOOKUP(Investment_Strategy&amp;"_"&amp;Investment_Strategy_Sub2&amp;"_"&amp;$A686,'Investment Strategies'!$C:$P,9,FALSE),
IF(AND(Investment_Strategy="Lifecycle",Investment_Strategy_Sub1="Standard"),VLOOKUP(Investment_Strategy&amp;"_"&amp;Investment_Strategy_Sub2&amp;"_"&amp;$A686,'Investment Strategies'!$AJ:$AV,8,FALSE),
IF(AND(Investment_Strategy="Autopilot",Investment_Strategy_Sub1="Non-Standard"),VLOOKUP(Investment_Strategy&amp;"_"&amp;Investment_Strategy_Sub2&amp;"_"&amp;$A686,'Investment Strategies'!$T:$AF,8,FALSE),
IF(Investment_Strategy ="DIY",DIY_RateOfReturn_FuturePremiums,
"Error")))))),Max_InvReturn)</f>
        <v>0</v>
      </c>
      <c r="U686" s="62">
        <f>IF($AV686=0,0,
IF(Investment_Strategy="DIS",VLOOKUP(Investment_Strategy&amp;"_"&amp;Investment_Strategy_Sub1&amp;"_"&amp;$A686,'Investment Strategies'!$AZ:$BP,15,FALSE),
IF(AND(Investment_Strategy="Lifecycle",Investment_Strategy_Sub1="Non-Standard"),VLOOKUP(Investment_Strategy&amp;"_"&amp;Investment_Strategy_Sub2&amp;"_"&amp;$A686,'Investment Strategies'!$C:$P,12,FALSE),
IF(AND(Investment_Strategy="Lifecycle",Investment_Strategy_Sub1="Standard"),VLOOKUP(Investment_Strategy&amp;"_"&amp;Investment_Strategy_Sub2&amp;"_"&amp;$A686,'Investment Strategies'!$AJ:$AV,11,FALSE),
IF(AND(Investment_Strategy="Autopilot",Investment_Strategy_Sub1="Non-Standard"),VLOOKUP(Investment_Strategy&amp;"_"&amp;Investment_Strategy_Sub2&amp;"_"&amp;$A686,'Investment Strategies'!$T:$AF,11,FALSE),
IF(Investment_Strategy="DIY",DIY_GteeChrge_FuturePremiums,
"Error"))))))</f>
        <v>0</v>
      </c>
      <c r="V686" s="33">
        <f>IF(AV686=0,0,
IF(Investment_Strategy="DIS",VLOOKUP(Investment_Strategy&amp;"_"&amp;Investment_Strategy_Sub1&amp;"_"&amp;$A686,'Investment Strategies'!$AZ:$BP,17,FALSE),
IF(AND(Investment_Strategy="Lifecycle",Investment_Strategy_Sub1="Non-Standard"),VLOOKUP(Investment_Strategy&amp;"_"&amp;Investment_Strategy_Sub2&amp;"_"&amp;$A686,'Investment Strategies'!$C:$P,14,FALSE),
IF(AND(Investment_Strategy="Lifecycle",Investment_Strategy_Sub1="Standard"),VLOOKUP(Investment_Strategy&amp;"_"&amp;Investment_Strategy_Sub2&amp;"_"&amp;$A686,'Investment Strategies'!$AJ:$AV,13,FALSE),
IF(AND(Investment_Strategy="Autopilot",Investment_Strategy_Sub1="Non-Standard"),VLOOKUP(Investment_Strategy&amp;"_"&amp;Investment_Strategy_Sub2&amp;"_"&amp;$A686,'Investment Strategies'!$T:$AF,13,FALSE),
IF(Investment_Strategy="DIY",DIY_ExtManChrge_FuturePremiums,
"Error"))))))</f>
        <v>0</v>
      </c>
      <c r="W686" s="16">
        <f t="shared" si="408"/>
        <v>0</v>
      </c>
      <c r="X686" s="16">
        <f t="shared" si="385"/>
        <v>0</v>
      </c>
      <c r="Y686" s="16">
        <f t="shared" si="386"/>
        <v>0</v>
      </c>
      <c r="Z686" s="31">
        <f t="shared" si="387"/>
        <v>0.02</v>
      </c>
      <c r="AA686" s="16">
        <f t="shared" si="388"/>
        <v>0</v>
      </c>
      <c r="AB686" s="28">
        <f t="shared" si="409"/>
        <v>0</v>
      </c>
      <c r="AC686" s="28">
        <f>(SUM($AC$91:AC685)+SUM($X$91:X685)+X686)*T686*IF(D686=$A$91,SRP_finalmonthfactor,1)</f>
        <v>0</v>
      </c>
      <c r="AD686" s="16">
        <f t="shared" si="389"/>
        <v>0</v>
      </c>
      <c r="AE686" s="106"/>
      <c r="AF686" s="16">
        <f t="shared" si="397"/>
        <v>0</v>
      </c>
      <c r="AG686" s="16">
        <f t="shared" si="398"/>
        <v>0</v>
      </c>
      <c r="AH686" s="16">
        <f t="shared" si="399"/>
        <v>0</v>
      </c>
      <c r="AJ686" s="13">
        <f t="shared" si="411"/>
        <v>0</v>
      </c>
      <c r="AK686" s="13">
        <f t="shared" si="411"/>
        <v>0</v>
      </c>
      <c r="AL686" s="13">
        <f t="shared" si="411"/>
        <v>0</v>
      </c>
      <c r="AM686" s="13">
        <f t="shared" si="411"/>
        <v>0</v>
      </c>
      <c r="AN686" s="13">
        <f t="shared" si="411"/>
        <v>0</v>
      </c>
      <c r="AO686" s="13">
        <f t="shared" si="411"/>
        <v>1</v>
      </c>
      <c r="AP686" s="13">
        <f t="shared" si="411"/>
        <v>1</v>
      </c>
      <c r="AQ686" s="13">
        <f t="shared" si="411"/>
        <v>1</v>
      </c>
      <c r="AR686" s="13">
        <f t="shared" si="411"/>
        <v>0</v>
      </c>
      <c r="AS686" s="13">
        <f t="shared" si="411"/>
        <v>0</v>
      </c>
      <c r="AT686" s="13">
        <f t="shared" si="411"/>
        <v>0</v>
      </c>
      <c r="AU686" s="13">
        <f t="shared" si="411"/>
        <v>0</v>
      </c>
      <c r="AV686" s="13">
        <f t="shared" si="390"/>
        <v>0</v>
      </c>
      <c r="AW686" s="13">
        <f t="shared" si="391"/>
        <v>1</v>
      </c>
      <c r="AY686" s="17">
        <f t="shared" si="392"/>
        <v>596</v>
      </c>
      <c r="AZ686" s="28">
        <f t="shared" si="400"/>
        <v>0</v>
      </c>
      <c r="BA686" s="13">
        <f t="shared" si="393"/>
        <v>0</v>
      </c>
      <c r="BB686" s="13">
        <f t="shared" si="394"/>
        <v>0</v>
      </c>
      <c r="BC686" s="28">
        <f t="shared" si="401"/>
        <v>0</v>
      </c>
      <c r="BD686" s="28">
        <f t="shared" si="402"/>
        <v>0</v>
      </c>
      <c r="BF686" s="248">
        <f t="shared" si="403"/>
        <v>993869.29442638322</v>
      </c>
    </row>
    <row r="687" spans="1:58">
      <c r="A687" s="32">
        <f t="shared" si="404"/>
        <v>-512</v>
      </c>
      <c r="B687" s="32">
        <f t="shared" si="395"/>
        <v>102</v>
      </c>
      <c r="C687" s="32">
        <f t="shared" si="405"/>
        <v>50</v>
      </c>
      <c r="D687" s="32">
        <f t="shared" si="406"/>
        <v>597</v>
      </c>
      <c r="E687" s="74">
        <f>MIN(IF(AV687=0,0,
IF(Investment_Strategy="DIS",VLOOKUP(Investment_Strategy&amp;"_"&amp;Investment_Strategy_Sub1&amp;"_"&amp;$A687,'Investment Strategies'!$AZ:$BP,12,FALSE),
IF(AND(Investment_Strategy="Lifecycle",Investment_Strategy_Sub1="Non-Standard"),VLOOKUP(Investment_Strategy&amp;"_"&amp;Investment_Strategy_Sub2&amp;"_"&amp;$A687,'Investment Strategies'!$C:$P,9,FALSE),
IF(AND(Investment_Strategy="Lifecycle",Investment_Strategy_Sub1="Standard"),VLOOKUP(Investment_Strategy&amp;"_"&amp;Investment_Strategy_Sub2&amp;"_"&amp;$A687,'Investment Strategies'!$AJ:$AV,8,FALSE),
IF(AND(Investment_Strategy="Autopilot",Investment_Strategy_Sub1="Non-Standard"),VLOOKUP(Investment_Strategy&amp;"_"&amp;Investment_Strategy_Sub2&amp;"_"&amp;$A687,'Investment Strategies'!$T:$AF,8,FALSE),
IF(Investment_Strategy ="DIY",DIY_RateOfReturn_CurrentFunds,
"Error")))))),Max_InvReturn)</f>
        <v>0</v>
      </c>
      <c r="F687" s="62">
        <f>IF(AV687=0,0,
IF(Investment_Strategy="DIS",VLOOKUP(Investment_Strategy&amp;"_"&amp;Investment_Strategy_Sub1&amp;"_"&amp;$A687,'Investment Strategies'!$AZ:$BP,15,FALSE),
IF(AND(Investment_Strategy="Lifecycle",Investment_Strategy_Sub1="Non-Standard"),VLOOKUP(Investment_Strategy&amp;"_"&amp;Investment_Strategy_Sub2&amp;"_"&amp;$A687,'Investment Strategies'!$C:$P,12,FALSE),
IF(AND(Investment_Strategy="Lifecycle",Investment_Strategy_Sub1="Standard"),VLOOKUP(Investment_Strategy&amp;"_"&amp;Investment_Strategy_Sub2&amp;"_"&amp;$A687,'Investment Strategies'!$AJ:$AV,11,FALSE),
IF(AND(Investment_Strategy="Autopilot",Investment_Strategy_Sub1="Non-Standard"),VLOOKUP(Investment_Strategy&amp;"_"&amp;Investment_Strategy_Sub2&amp;"_"&amp;$A687,'Investment Strategies'!$T:$AF,11,FALSE),
IF(Investment_Strategy="DIY",DIY_GteeChrge_CurrentFunds,
"Error"))))))</f>
        <v>0</v>
      </c>
      <c r="G687" s="33">
        <f>IF(AV687=0,0,
IF(Investment_Strategy="DIS",VLOOKUP(Investment_Strategy&amp;"_"&amp;Investment_Strategy_Sub1&amp;"_"&amp;$A687,'Investment Strategies'!$AZ:$BP,17,FALSE),
IF(AND(Investment_Strategy="Lifecycle",Investment_Strategy_Sub1="Non-Standard"),VLOOKUP(Investment_Strategy&amp;"_"&amp;Investment_Strategy_Sub2&amp;"_"&amp;$A687,'Investment Strategies'!$C:$P,14,FALSE),
IF(AND(Investment_Strategy="Lifecycle",Investment_Strategy_Sub1="Standard"),VLOOKUP(Investment_Strategy&amp;"_"&amp;Investment_Strategy_Sub2&amp;"_"&amp;$A687,'Investment Strategies'!$AJ:$AV,13,FALSE),
IF(AND(Investment_Strategy="Autopilot",Investment_Strategy_Sub1="Non-Standard"),VLOOKUP(Investment_Strategy&amp;"_"&amp;Investment_Strategy_Sub2&amp;"_"&amp;$A687,'Investment Strategies'!$T:$AF,13,FALSE),
IF(Investment_Strategy="DIY",DIY_ExtManChrge_CurrentFunds,
"Error"))))))</f>
        <v>0</v>
      </c>
      <c r="H687" s="16">
        <f t="shared" si="396"/>
        <v>0</v>
      </c>
      <c r="I687" s="16">
        <f t="shared" si="382"/>
        <v>0</v>
      </c>
      <c r="J687" s="16">
        <f t="shared" si="383"/>
        <v>0</v>
      </c>
      <c r="K687" s="16">
        <f>(Opening_Fund_Value+SUM(K$91:K686))*E687*IF(D687=$A$91,SRP_finalmonthfactor,1)</f>
        <v>0</v>
      </c>
      <c r="L687" s="74">
        <f>MIN(IF($AV687=0,0,
IF(Investment_Strategy="DIS",VLOOKUP(Investment_Strategy&amp;"_"&amp;Investment_Strategy_Sub1&amp;"_"&amp;$A687,'Investment Strategies'!$AZ:$BP,12,FALSE),
IF(AND(Investment_Strategy="Lifecycle",Investment_Strategy_Sub1="Non-Standard"),VLOOKUP(Investment_Strategy&amp;"_"&amp;Investment_Strategy_Sub2&amp;"_"&amp;$A687,'Investment Strategies'!$C:$P,9,FALSE),
IF(AND(Investment_Strategy="Lifecycle",Investment_Strategy_Sub1="Standard"),VLOOKUP(Investment_Strategy&amp;"_"&amp;Investment_Strategy_Sub2&amp;"_"&amp;$A687,'Investment Strategies'!$AJ:$AV,8,FALSE),
IF(AND(Investment_Strategy="Autopilot",Investment_Strategy_Sub1="Non-Standard"),VLOOKUP(Investment_Strategy&amp;"_"&amp;Investment_Strategy_Sub2&amp;"_"&amp;$A687,'Investment Strategies'!$T:$AF,8,FALSE),
IF(Investment_Strategy ="DIY",DIY_RateofReturn_SP,
"Error")))))),Max_InvReturn)</f>
        <v>0</v>
      </c>
      <c r="M687" s="62">
        <f>IF($AV687=0,0,
IF(Investment_Strategy="DIS",VLOOKUP(Investment_Strategy&amp;"_"&amp;Investment_Strategy_Sub1&amp;"_"&amp;$A687,'Investment Strategies'!$AZ:$BP,15,FALSE),
IF(AND(Investment_Strategy="Lifecycle",Investment_Strategy_Sub1="Non-Standard"),VLOOKUP(Investment_Strategy&amp;"_"&amp;Investment_Strategy_Sub2&amp;"_"&amp;$A687,'Investment Strategies'!$C:$P,12,FALSE),
IF(AND(Investment_Strategy="Lifecycle",Investment_Strategy_Sub1="Standard"),VLOOKUP(Investment_Strategy&amp;"_"&amp;Investment_Strategy_Sub2&amp;"_"&amp;$A687,'Investment Strategies'!$AJ:$AV,11,FALSE),
IF(AND(Investment_Strategy="Autopilot",Investment_Strategy_Sub1="Non-Standard"),VLOOKUP(Investment_Strategy&amp;"_"&amp;Investment_Strategy_Sub2&amp;"_"&amp;$A687,'Investment Strategies'!$T:$AF,11,FALSE),
IF(Investment_Strategy="DIY",DIY_GteeChrge_SP,
"Error"))))))</f>
        <v>0</v>
      </c>
      <c r="N687" s="33">
        <f>IF($AV687=0,0,
IF(Investment_Strategy="DIS",VLOOKUP(Investment_Strategy&amp;"_"&amp;Investment_Strategy_Sub1&amp;"_"&amp;$A687,'Investment Strategies'!$AZ:$BP,17,FALSE),
IF(AND(Investment_Strategy="Lifecycle",Investment_Strategy_Sub1="Non-Standard"),VLOOKUP(Investment_Strategy&amp;"_"&amp;Investment_Strategy_Sub2&amp;"_"&amp;$A687,'Investment Strategies'!$C:$P,14,FALSE),
IF(AND(Investment_Strategy="Lifecycle",Investment_Strategy_Sub1="Standard"),VLOOKUP(Investment_Strategy&amp;"_"&amp;Investment_Strategy_Sub2&amp;"_"&amp;$A687,'Investment Strategies'!$AJ:$AV,13,FALSE),
IF(AND(Investment_Strategy="Autopilot",Investment_Strategy_Sub1="Non-Standard"),VLOOKUP(Investment_Strategy&amp;"_"&amp;Investment_Strategy_Sub2&amp;"_"&amp;$A687,'Investment Strategies'!$T:$AF,13,FALSE),
IF(Investment_Strategy="DIY",DIY_ExtManChrge_SP,
"Error"))))))</f>
        <v>0</v>
      </c>
      <c r="O687" s="16">
        <f t="shared" si="407"/>
        <v>0</v>
      </c>
      <c r="Q687" s="16">
        <f t="shared" si="384"/>
        <v>0</v>
      </c>
      <c r="R687" s="16">
        <f t="shared" si="380"/>
        <v>0</v>
      </c>
      <c r="S687" s="16">
        <f>(SRP_SP+SUM(S$91:S686))*L687*IF(D687=$A$91,SRP_finalmonthfactor,1)</f>
        <v>0</v>
      </c>
      <c r="T687" s="74">
        <f>MIN(IF($AV687=0,0,
IF(Investment_Strategy="DIS",VLOOKUP(Investment_Strategy&amp;"_"&amp;Investment_Strategy_Sub1&amp;"_"&amp;$A687,'Investment Strategies'!$AZ:$BP,12,FALSE),
IF(AND(Investment_Strategy="Lifecycle",Investment_Strategy_Sub1="Non-Standard"),VLOOKUP(Investment_Strategy&amp;"_"&amp;Investment_Strategy_Sub2&amp;"_"&amp;$A687,'Investment Strategies'!$C:$P,9,FALSE),
IF(AND(Investment_Strategy="Lifecycle",Investment_Strategy_Sub1="Standard"),VLOOKUP(Investment_Strategy&amp;"_"&amp;Investment_Strategy_Sub2&amp;"_"&amp;$A687,'Investment Strategies'!$AJ:$AV,8,FALSE),
IF(AND(Investment_Strategy="Autopilot",Investment_Strategy_Sub1="Non-Standard"),VLOOKUP(Investment_Strategy&amp;"_"&amp;Investment_Strategy_Sub2&amp;"_"&amp;$A687,'Investment Strategies'!$T:$AF,8,FALSE),
IF(Investment_Strategy ="DIY",DIY_RateOfReturn_FuturePremiums,
"Error")))))),Max_InvReturn)</f>
        <v>0</v>
      </c>
      <c r="U687" s="62">
        <f>IF($AV687=0,0,
IF(Investment_Strategy="DIS",VLOOKUP(Investment_Strategy&amp;"_"&amp;Investment_Strategy_Sub1&amp;"_"&amp;$A687,'Investment Strategies'!$AZ:$BP,15,FALSE),
IF(AND(Investment_Strategy="Lifecycle",Investment_Strategy_Sub1="Non-Standard"),VLOOKUP(Investment_Strategy&amp;"_"&amp;Investment_Strategy_Sub2&amp;"_"&amp;$A687,'Investment Strategies'!$C:$P,12,FALSE),
IF(AND(Investment_Strategy="Lifecycle",Investment_Strategy_Sub1="Standard"),VLOOKUP(Investment_Strategy&amp;"_"&amp;Investment_Strategy_Sub2&amp;"_"&amp;$A687,'Investment Strategies'!$AJ:$AV,11,FALSE),
IF(AND(Investment_Strategy="Autopilot",Investment_Strategy_Sub1="Non-Standard"),VLOOKUP(Investment_Strategy&amp;"_"&amp;Investment_Strategy_Sub2&amp;"_"&amp;$A687,'Investment Strategies'!$T:$AF,11,FALSE),
IF(Investment_Strategy="DIY",DIY_GteeChrge_FuturePremiums,
"Error"))))))</f>
        <v>0</v>
      </c>
      <c r="V687" s="33">
        <f>IF(AV687=0,0,
IF(Investment_Strategy="DIS",VLOOKUP(Investment_Strategy&amp;"_"&amp;Investment_Strategy_Sub1&amp;"_"&amp;$A687,'Investment Strategies'!$AZ:$BP,17,FALSE),
IF(AND(Investment_Strategy="Lifecycle",Investment_Strategy_Sub1="Non-Standard"),VLOOKUP(Investment_Strategy&amp;"_"&amp;Investment_Strategy_Sub2&amp;"_"&amp;$A687,'Investment Strategies'!$C:$P,14,FALSE),
IF(AND(Investment_Strategy="Lifecycle",Investment_Strategy_Sub1="Standard"),VLOOKUP(Investment_Strategy&amp;"_"&amp;Investment_Strategy_Sub2&amp;"_"&amp;$A687,'Investment Strategies'!$AJ:$AV,13,FALSE),
IF(AND(Investment_Strategy="Autopilot",Investment_Strategy_Sub1="Non-Standard"),VLOOKUP(Investment_Strategy&amp;"_"&amp;Investment_Strategy_Sub2&amp;"_"&amp;$A687,'Investment Strategies'!$T:$AF,13,FALSE),
IF(Investment_Strategy="DIY",DIY_ExtManChrge_FuturePremiums,
"Error"))))))</f>
        <v>0</v>
      </c>
      <c r="W687" s="16">
        <f t="shared" si="408"/>
        <v>0</v>
      </c>
      <c r="X687" s="16">
        <f t="shared" si="385"/>
        <v>0</v>
      </c>
      <c r="Y687" s="16">
        <f t="shared" si="386"/>
        <v>0</v>
      </c>
      <c r="Z687" s="31">
        <f t="shared" si="387"/>
        <v>0.02</v>
      </c>
      <c r="AA687" s="16">
        <f t="shared" si="388"/>
        <v>0</v>
      </c>
      <c r="AB687" s="28">
        <f t="shared" si="409"/>
        <v>0</v>
      </c>
      <c r="AC687" s="28">
        <f>(SUM($AC$91:AC686)+SUM($X$91:X686)+X687)*T687*IF(D687=$A$91,SRP_finalmonthfactor,1)</f>
        <v>0</v>
      </c>
      <c r="AD687" s="16">
        <f t="shared" si="389"/>
        <v>0</v>
      </c>
      <c r="AE687" s="106"/>
      <c r="AF687" s="16">
        <f t="shared" si="397"/>
        <v>0</v>
      </c>
      <c r="AG687" s="16">
        <f t="shared" si="398"/>
        <v>0</v>
      </c>
      <c r="AH687" s="16">
        <f t="shared" si="399"/>
        <v>0</v>
      </c>
      <c r="AJ687" s="13">
        <f t="shared" si="411"/>
        <v>0</v>
      </c>
      <c r="AK687" s="13">
        <f t="shared" si="411"/>
        <v>0</v>
      </c>
      <c r="AL687" s="13">
        <f t="shared" si="411"/>
        <v>0</v>
      </c>
      <c r="AM687" s="13">
        <f t="shared" si="411"/>
        <v>0</v>
      </c>
      <c r="AN687" s="13">
        <f t="shared" si="411"/>
        <v>0</v>
      </c>
      <c r="AO687" s="13">
        <f t="shared" si="411"/>
        <v>1</v>
      </c>
      <c r="AP687" s="13">
        <f t="shared" si="411"/>
        <v>1</v>
      </c>
      <c r="AQ687" s="13">
        <f t="shared" si="411"/>
        <v>1</v>
      </c>
      <c r="AR687" s="13">
        <f t="shared" si="411"/>
        <v>0</v>
      </c>
      <c r="AS687" s="13">
        <f t="shared" si="411"/>
        <v>0</v>
      </c>
      <c r="AT687" s="13">
        <f t="shared" si="411"/>
        <v>0</v>
      </c>
      <c r="AU687" s="13">
        <f t="shared" si="411"/>
        <v>0</v>
      </c>
      <c r="AV687" s="13">
        <f t="shared" si="390"/>
        <v>0</v>
      </c>
      <c r="AW687" s="13">
        <f t="shared" si="391"/>
        <v>1</v>
      </c>
      <c r="AY687" s="17">
        <f t="shared" si="392"/>
        <v>597</v>
      </c>
      <c r="AZ687" s="28">
        <f t="shared" si="400"/>
        <v>0</v>
      </c>
      <c r="BA687" s="13">
        <f t="shared" si="393"/>
        <v>0</v>
      </c>
      <c r="BB687" s="13">
        <f t="shared" si="394"/>
        <v>0</v>
      </c>
      <c r="BC687" s="28">
        <f t="shared" si="401"/>
        <v>0</v>
      </c>
      <c r="BD687" s="28">
        <f t="shared" si="402"/>
        <v>0</v>
      </c>
      <c r="BF687" s="248">
        <f t="shared" si="403"/>
        <v>993869.29442638322</v>
      </c>
    </row>
    <row r="688" spans="1:58">
      <c r="A688" s="32">
        <f t="shared" si="404"/>
        <v>-513</v>
      </c>
      <c r="B688" s="32">
        <f t="shared" si="395"/>
        <v>102</v>
      </c>
      <c r="C688" s="32">
        <f t="shared" si="405"/>
        <v>50</v>
      </c>
      <c r="D688" s="32">
        <f t="shared" si="406"/>
        <v>598</v>
      </c>
      <c r="E688" s="74">
        <f>MIN(IF(AV688=0,0,
IF(Investment_Strategy="DIS",VLOOKUP(Investment_Strategy&amp;"_"&amp;Investment_Strategy_Sub1&amp;"_"&amp;$A688,'Investment Strategies'!$AZ:$BP,12,FALSE),
IF(AND(Investment_Strategy="Lifecycle",Investment_Strategy_Sub1="Non-Standard"),VLOOKUP(Investment_Strategy&amp;"_"&amp;Investment_Strategy_Sub2&amp;"_"&amp;$A688,'Investment Strategies'!$C:$P,9,FALSE),
IF(AND(Investment_Strategy="Lifecycle",Investment_Strategy_Sub1="Standard"),VLOOKUP(Investment_Strategy&amp;"_"&amp;Investment_Strategy_Sub2&amp;"_"&amp;$A688,'Investment Strategies'!$AJ:$AV,8,FALSE),
IF(AND(Investment_Strategy="Autopilot",Investment_Strategy_Sub1="Non-Standard"),VLOOKUP(Investment_Strategy&amp;"_"&amp;Investment_Strategy_Sub2&amp;"_"&amp;$A688,'Investment Strategies'!$T:$AF,8,FALSE),
IF(Investment_Strategy ="DIY",DIY_RateOfReturn_CurrentFunds,
"Error")))))),Max_InvReturn)</f>
        <v>0</v>
      </c>
      <c r="F688" s="62">
        <f>IF(AV688=0,0,
IF(Investment_Strategy="DIS",VLOOKUP(Investment_Strategy&amp;"_"&amp;Investment_Strategy_Sub1&amp;"_"&amp;$A688,'Investment Strategies'!$AZ:$BP,15,FALSE),
IF(AND(Investment_Strategy="Lifecycle",Investment_Strategy_Sub1="Non-Standard"),VLOOKUP(Investment_Strategy&amp;"_"&amp;Investment_Strategy_Sub2&amp;"_"&amp;$A688,'Investment Strategies'!$C:$P,12,FALSE),
IF(AND(Investment_Strategy="Lifecycle",Investment_Strategy_Sub1="Standard"),VLOOKUP(Investment_Strategy&amp;"_"&amp;Investment_Strategy_Sub2&amp;"_"&amp;$A688,'Investment Strategies'!$AJ:$AV,11,FALSE),
IF(AND(Investment_Strategy="Autopilot",Investment_Strategy_Sub1="Non-Standard"),VLOOKUP(Investment_Strategy&amp;"_"&amp;Investment_Strategy_Sub2&amp;"_"&amp;$A688,'Investment Strategies'!$T:$AF,11,FALSE),
IF(Investment_Strategy="DIY",DIY_GteeChrge_CurrentFunds,
"Error"))))))</f>
        <v>0</v>
      </c>
      <c r="G688" s="33">
        <f>IF(AV688=0,0,
IF(Investment_Strategy="DIS",VLOOKUP(Investment_Strategy&amp;"_"&amp;Investment_Strategy_Sub1&amp;"_"&amp;$A688,'Investment Strategies'!$AZ:$BP,17,FALSE),
IF(AND(Investment_Strategy="Lifecycle",Investment_Strategy_Sub1="Non-Standard"),VLOOKUP(Investment_Strategy&amp;"_"&amp;Investment_Strategy_Sub2&amp;"_"&amp;$A688,'Investment Strategies'!$C:$P,14,FALSE),
IF(AND(Investment_Strategy="Lifecycle",Investment_Strategy_Sub1="Standard"),VLOOKUP(Investment_Strategy&amp;"_"&amp;Investment_Strategy_Sub2&amp;"_"&amp;$A688,'Investment Strategies'!$AJ:$AV,13,FALSE),
IF(AND(Investment_Strategy="Autopilot",Investment_Strategy_Sub1="Non-Standard"),VLOOKUP(Investment_Strategy&amp;"_"&amp;Investment_Strategy_Sub2&amp;"_"&amp;$A688,'Investment Strategies'!$T:$AF,13,FALSE),
IF(Investment_Strategy="DIY",DIY_ExtManChrge_CurrentFunds,
"Error"))))))</f>
        <v>0</v>
      </c>
      <c r="H688" s="16">
        <f t="shared" si="396"/>
        <v>0</v>
      </c>
      <c r="I688" s="16">
        <f t="shared" si="382"/>
        <v>0</v>
      </c>
      <c r="J688" s="16">
        <f t="shared" si="383"/>
        <v>0</v>
      </c>
      <c r="K688" s="16">
        <f>(Opening_Fund_Value+SUM(K$91:K687))*E688*IF(D688=$A$91,SRP_finalmonthfactor,1)</f>
        <v>0</v>
      </c>
      <c r="L688" s="74">
        <f>MIN(IF($AV688=0,0,
IF(Investment_Strategy="DIS",VLOOKUP(Investment_Strategy&amp;"_"&amp;Investment_Strategy_Sub1&amp;"_"&amp;$A688,'Investment Strategies'!$AZ:$BP,12,FALSE),
IF(AND(Investment_Strategy="Lifecycle",Investment_Strategy_Sub1="Non-Standard"),VLOOKUP(Investment_Strategy&amp;"_"&amp;Investment_Strategy_Sub2&amp;"_"&amp;$A688,'Investment Strategies'!$C:$P,9,FALSE),
IF(AND(Investment_Strategy="Lifecycle",Investment_Strategy_Sub1="Standard"),VLOOKUP(Investment_Strategy&amp;"_"&amp;Investment_Strategy_Sub2&amp;"_"&amp;$A688,'Investment Strategies'!$AJ:$AV,8,FALSE),
IF(AND(Investment_Strategy="Autopilot",Investment_Strategy_Sub1="Non-Standard"),VLOOKUP(Investment_Strategy&amp;"_"&amp;Investment_Strategy_Sub2&amp;"_"&amp;$A688,'Investment Strategies'!$T:$AF,8,FALSE),
IF(Investment_Strategy ="DIY",DIY_RateofReturn_SP,
"Error")))))),Max_InvReturn)</f>
        <v>0</v>
      </c>
      <c r="M688" s="62">
        <f>IF($AV688=0,0,
IF(Investment_Strategy="DIS",VLOOKUP(Investment_Strategy&amp;"_"&amp;Investment_Strategy_Sub1&amp;"_"&amp;$A688,'Investment Strategies'!$AZ:$BP,15,FALSE),
IF(AND(Investment_Strategy="Lifecycle",Investment_Strategy_Sub1="Non-Standard"),VLOOKUP(Investment_Strategy&amp;"_"&amp;Investment_Strategy_Sub2&amp;"_"&amp;$A688,'Investment Strategies'!$C:$P,12,FALSE),
IF(AND(Investment_Strategy="Lifecycle",Investment_Strategy_Sub1="Standard"),VLOOKUP(Investment_Strategy&amp;"_"&amp;Investment_Strategy_Sub2&amp;"_"&amp;$A688,'Investment Strategies'!$AJ:$AV,11,FALSE),
IF(AND(Investment_Strategy="Autopilot",Investment_Strategy_Sub1="Non-Standard"),VLOOKUP(Investment_Strategy&amp;"_"&amp;Investment_Strategy_Sub2&amp;"_"&amp;$A688,'Investment Strategies'!$T:$AF,11,FALSE),
IF(Investment_Strategy="DIY",DIY_GteeChrge_SP,
"Error"))))))</f>
        <v>0</v>
      </c>
      <c r="N688" s="33">
        <f>IF($AV688=0,0,
IF(Investment_Strategy="DIS",VLOOKUP(Investment_Strategy&amp;"_"&amp;Investment_Strategy_Sub1&amp;"_"&amp;$A688,'Investment Strategies'!$AZ:$BP,17,FALSE),
IF(AND(Investment_Strategy="Lifecycle",Investment_Strategy_Sub1="Non-Standard"),VLOOKUP(Investment_Strategy&amp;"_"&amp;Investment_Strategy_Sub2&amp;"_"&amp;$A688,'Investment Strategies'!$C:$P,14,FALSE),
IF(AND(Investment_Strategy="Lifecycle",Investment_Strategy_Sub1="Standard"),VLOOKUP(Investment_Strategy&amp;"_"&amp;Investment_Strategy_Sub2&amp;"_"&amp;$A688,'Investment Strategies'!$AJ:$AV,13,FALSE),
IF(AND(Investment_Strategy="Autopilot",Investment_Strategy_Sub1="Non-Standard"),VLOOKUP(Investment_Strategy&amp;"_"&amp;Investment_Strategy_Sub2&amp;"_"&amp;$A688,'Investment Strategies'!$T:$AF,13,FALSE),
IF(Investment_Strategy="DIY",DIY_ExtManChrge_SP,
"Error"))))))</f>
        <v>0</v>
      </c>
      <c r="O688" s="16">
        <f t="shared" si="407"/>
        <v>0</v>
      </c>
      <c r="Q688" s="16">
        <f t="shared" si="384"/>
        <v>0</v>
      </c>
      <c r="R688" s="16">
        <f t="shared" si="380"/>
        <v>0</v>
      </c>
      <c r="S688" s="16">
        <f>(SRP_SP+SUM(S$91:S687))*L688*IF(D688=$A$91,SRP_finalmonthfactor,1)</f>
        <v>0</v>
      </c>
      <c r="T688" s="74">
        <f>MIN(IF($AV688=0,0,
IF(Investment_Strategy="DIS",VLOOKUP(Investment_Strategy&amp;"_"&amp;Investment_Strategy_Sub1&amp;"_"&amp;$A688,'Investment Strategies'!$AZ:$BP,12,FALSE),
IF(AND(Investment_Strategy="Lifecycle",Investment_Strategy_Sub1="Non-Standard"),VLOOKUP(Investment_Strategy&amp;"_"&amp;Investment_Strategy_Sub2&amp;"_"&amp;$A688,'Investment Strategies'!$C:$P,9,FALSE),
IF(AND(Investment_Strategy="Lifecycle",Investment_Strategy_Sub1="Standard"),VLOOKUP(Investment_Strategy&amp;"_"&amp;Investment_Strategy_Sub2&amp;"_"&amp;$A688,'Investment Strategies'!$AJ:$AV,8,FALSE),
IF(AND(Investment_Strategy="Autopilot",Investment_Strategy_Sub1="Non-Standard"),VLOOKUP(Investment_Strategy&amp;"_"&amp;Investment_Strategy_Sub2&amp;"_"&amp;$A688,'Investment Strategies'!$T:$AF,8,FALSE),
IF(Investment_Strategy ="DIY",DIY_RateOfReturn_FuturePremiums,
"Error")))))),Max_InvReturn)</f>
        <v>0</v>
      </c>
      <c r="U688" s="62">
        <f>IF($AV688=0,0,
IF(Investment_Strategy="DIS",VLOOKUP(Investment_Strategy&amp;"_"&amp;Investment_Strategy_Sub1&amp;"_"&amp;$A688,'Investment Strategies'!$AZ:$BP,15,FALSE),
IF(AND(Investment_Strategy="Lifecycle",Investment_Strategy_Sub1="Non-Standard"),VLOOKUP(Investment_Strategy&amp;"_"&amp;Investment_Strategy_Sub2&amp;"_"&amp;$A688,'Investment Strategies'!$C:$P,12,FALSE),
IF(AND(Investment_Strategy="Lifecycle",Investment_Strategy_Sub1="Standard"),VLOOKUP(Investment_Strategy&amp;"_"&amp;Investment_Strategy_Sub2&amp;"_"&amp;$A688,'Investment Strategies'!$AJ:$AV,11,FALSE),
IF(AND(Investment_Strategy="Autopilot",Investment_Strategy_Sub1="Non-Standard"),VLOOKUP(Investment_Strategy&amp;"_"&amp;Investment_Strategy_Sub2&amp;"_"&amp;$A688,'Investment Strategies'!$T:$AF,11,FALSE),
IF(Investment_Strategy="DIY",DIY_GteeChrge_FuturePremiums,
"Error"))))))</f>
        <v>0</v>
      </c>
      <c r="V688" s="33">
        <f>IF(AV688=0,0,
IF(Investment_Strategy="DIS",VLOOKUP(Investment_Strategy&amp;"_"&amp;Investment_Strategy_Sub1&amp;"_"&amp;$A688,'Investment Strategies'!$AZ:$BP,17,FALSE),
IF(AND(Investment_Strategy="Lifecycle",Investment_Strategy_Sub1="Non-Standard"),VLOOKUP(Investment_Strategy&amp;"_"&amp;Investment_Strategy_Sub2&amp;"_"&amp;$A688,'Investment Strategies'!$C:$P,14,FALSE),
IF(AND(Investment_Strategy="Lifecycle",Investment_Strategy_Sub1="Standard"),VLOOKUP(Investment_Strategy&amp;"_"&amp;Investment_Strategy_Sub2&amp;"_"&amp;$A688,'Investment Strategies'!$AJ:$AV,13,FALSE),
IF(AND(Investment_Strategy="Autopilot",Investment_Strategy_Sub1="Non-Standard"),VLOOKUP(Investment_Strategy&amp;"_"&amp;Investment_Strategy_Sub2&amp;"_"&amp;$A688,'Investment Strategies'!$T:$AF,13,FALSE),
IF(Investment_Strategy="DIY",DIY_ExtManChrge_FuturePremiums,
"Error"))))))</f>
        <v>0</v>
      </c>
      <c r="W688" s="16">
        <f t="shared" si="408"/>
        <v>0</v>
      </c>
      <c r="X688" s="16">
        <f t="shared" si="385"/>
        <v>0</v>
      </c>
      <c r="Y688" s="16">
        <f t="shared" si="386"/>
        <v>0</v>
      </c>
      <c r="Z688" s="31">
        <f t="shared" si="387"/>
        <v>0.02</v>
      </c>
      <c r="AA688" s="16">
        <f t="shared" si="388"/>
        <v>0</v>
      </c>
      <c r="AB688" s="28">
        <f t="shared" si="409"/>
        <v>0</v>
      </c>
      <c r="AC688" s="28">
        <f>(SUM($AC$91:AC687)+SUM($X$91:X687)+X688)*T688*IF(D688=$A$91,SRP_finalmonthfactor,1)</f>
        <v>0</v>
      </c>
      <c r="AD688" s="16">
        <f t="shared" si="389"/>
        <v>0</v>
      </c>
      <c r="AE688" s="106"/>
      <c r="AF688" s="16">
        <f t="shared" si="397"/>
        <v>0</v>
      </c>
      <c r="AG688" s="16">
        <f t="shared" si="398"/>
        <v>0</v>
      </c>
      <c r="AH688" s="16">
        <f t="shared" si="399"/>
        <v>0</v>
      </c>
      <c r="AJ688" s="13">
        <f t="shared" si="411"/>
        <v>0</v>
      </c>
      <c r="AK688" s="13">
        <f t="shared" si="411"/>
        <v>0</v>
      </c>
      <c r="AL688" s="13">
        <f t="shared" si="411"/>
        <v>0</v>
      </c>
      <c r="AM688" s="13">
        <f t="shared" si="411"/>
        <v>0</v>
      </c>
      <c r="AN688" s="13">
        <f t="shared" si="411"/>
        <v>0</v>
      </c>
      <c r="AO688" s="13">
        <f t="shared" si="411"/>
        <v>1</v>
      </c>
      <c r="AP688" s="13">
        <f t="shared" si="411"/>
        <v>1</v>
      </c>
      <c r="AQ688" s="13">
        <f t="shared" si="411"/>
        <v>1</v>
      </c>
      <c r="AR688" s="13">
        <f t="shared" si="411"/>
        <v>0</v>
      </c>
      <c r="AS688" s="13">
        <f t="shared" si="411"/>
        <v>0</v>
      </c>
      <c r="AT688" s="13">
        <f t="shared" si="411"/>
        <v>0</v>
      </c>
      <c r="AU688" s="13">
        <f t="shared" si="411"/>
        <v>0</v>
      </c>
      <c r="AV688" s="13">
        <f t="shared" si="390"/>
        <v>0</v>
      </c>
      <c r="AW688" s="13">
        <f t="shared" si="391"/>
        <v>1</v>
      </c>
      <c r="AY688" s="17">
        <f t="shared" si="392"/>
        <v>598</v>
      </c>
      <c r="AZ688" s="28">
        <f t="shared" si="400"/>
        <v>0</v>
      </c>
      <c r="BA688" s="13">
        <f t="shared" si="393"/>
        <v>0</v>
      </c>
      <c r="BB688" s="13">
        <f t="shared" si="394"/>
        <v>0</v>
      </c>
      <c r="BC688" s="28">
        <f t="shared" si="401"/>
        <v>0</v>
      </c>
      <c r="BD688" s="28">
        <f t="shared" si="402"/>
        <v>0</v>
      </c>
      <c r="BF688" s="248">
        <f t="shared" si="403"/>
        <v>993869.29442638322</v>
      </c>
    </row>
    <row r="689" spans="1:58">
      <c r="A689" s="32">
        <f t="shared" si="404"/>
        <v>-514</v>
      </c>
      <c r="B689" s="32">
        <f t="shared" si="395"/>
        <v>102</v>
      </c>
      <c r="C689" s="32">
        <f t="shared" si="405"/>
        <v>50</v>
      </c>
      <c r="D689" s="32">
        <f t="shared" si="406"/>
        <v>599</v>
      </c>
      <c r="E689" s="74">
        <f>MIN(IF(AV689=0,0,
IF(Investment_Strategy="DIS",VLOOKUP(Investment_Strategy&amp;"_"&amp;Investment_Strategy_Sub1&amp;"_"&amp;$A689,'Investment Strategies'!$AZ:$BP,12,FALSE),
IF(AND(Investment_Strategy="Lifecycle",Investment_Strategy_Sub1="Non-Standard"),VLOOKUP(Investment_Strategy&amp;"_"&amp;Investment_Strategy_Sub2&amp;"_"&amp;$A689,'Investment Strategies'!$C:$P,9,FALSE),
IF(AND(Investment_Strategy="Lifecycle",Investment_Strategy_Sub1="Standard"),VLOOKUP(Investment_Strategy&amp;"_"&amp;Investment_Strategy_Sub2&amp;"_"&amp;$A689,'Investment Strategies'!$AJ:$AV,8,FALSE),
IF(AND(Investment_Strategy="Autopilot",Investment_Strategy_Sub1="Non-Standard"),VLOOKUP(Investment_Strategy&amp;"_"&amp;Investment_Strategy_Sub2&amp;"_"&amp;$A689,'Investment Strategies'!$T:$AF,8,FALSE),
IF(Investment_Strategy ="DIY",DIY_RateOfReturn_CurrentFunds,
"Error")))))),Max_InvReturn)</f>
        <v>0</v>
      </c>
      <c r="F689" s="62">
        <f>IF(AV689=0,0,
IF(Investment_Strategy="DIS",VLOOKUP(Investment_Strategy&amp;"_"&amp;Investment_Strategy_Sub1&amp;"_"&amp;$A689,'Investment Strategies'!$AZ:$BP,15,FALSE),
IF(AND(Investment_Strategy="Lifecycle",Investment_Strategy_Sub1="Non-Standard"),VLOOKUP(Investment_Strategy&amp;"_"&amp;Investment_Strategy_Sub2&amp;"_"&amp;$A689,'Investment Strategies'!$C:$P,12,FALSE),
IF(AND(Investment_Strategy="Lifecycle",Investment_Strategy_Sub1="Standard"),VLOOKUP(Investment_Strategy&amp;"_"&amp;Investment_Strategy_Sub2&amp;"_"&amp;$A689,'Investment Strategies'!$AJ:$AV,11,FALSE),
IF(AND(Investment_Strategy="Autopilot",Investment_Strategy_Sub1="Non-Standard"),VLOOKUP(Investment_Strategy&amp;"_"&amp;Investment_Strategy_Sub2&amp;"_"&amp;$A689,'Investment Strategies'!$T:$AF,11,FALSE),
IF(Investment_Strategy="DIY",DIY_GteeChrge_CurrentFunds,
"Error"))))))</f>
        <v>0</v>
      </c>
      <c r="G689" s="33">
        <f>IF(AV689=0,0,
IF(Investment_Strategy="DIS",VLOOKUP(Investment_Strategy&amp;"_"&amp;Investment_Strategy_Sub1&amp;"_"&amp;$A689,'Investment Strategies'!$AZ:$BP,17,FALSE),
IF(AND(Investment_Strategy="Lifecycle",Investment_Strategy_Sub1="Non-Standard"),VLOOKUP(Investment_Strategy&amp;"_"&amp;Investment_Strategy_Sub2&amp;"_"&amp;$A689,'Investment Strategies'!$C:$P,14,FALSE),
IF(AND(Investment_Strategy="Lifecycle",Investment_Strategy_Sub1="Standard"),VLOOKUP(Investment_Strategy&amp;"_"&amp;Investment_Strategy_Sub2&amp;"_"&amp;$A689,'Investment Strategies'!$AJ:$AV,13,FALSE),
IF(AND(Investment_Strategy="Autopilot",Investment_Strategy_Sub1="Non-Standard"),VLOOKUP(Investment_Strategy&amp;"_"&amp;Investment_Strategy_Sub2&amp;"_"&amp;$A689,'Investment Strategies'!$T:$AF,13,FALSE),
IF(Investment_Strategy="DIY",DIY_ExtManChrge_CurrentFunds,
"Error"))))))</f>
        <v>0</v>
      </c>
      <c r="H689" s="16">
        <f t="shared" si="396"/>
        <v>0</v>
      </c>
      <c r="I689" s="16">
        <f t="shared" si="382"/>
        <v>0</v>
      </c>
      <c r="J689" s="16">
        <f t="shared" si="383"/>
        <v>0</v>
      </c>
      <c r="K689" s="16">
        <f>(Opening_Fund_Value+SUM(K$91:K688))*E689*IF(D689=$A$91,SRP_finalmonthfactor,1)</f>
        <v>0</v>
      </c>
      <c r="L689" s="74">
        <f>MIN(IF($AV689=0,0,
IF(Investment_Strategy="DIS",VLOOKUP(Investment_Strategy&amp;"_"&amp;Investment_Strategy_Sub1&amp;"_"&amp;$A689,'Investment Strategies'!$AZ:$BP,12,FALSE),
IF(AND(Investment_Strategy="Lifecycle",Investment_Strategy_Sub1="Non-Standard"),VLOOKUP(Investment_Strategy&amp;"_"&amp;Investment_Strategy_Sub2&amp;"_"&amp;$A689,'Investment Strategies'!$C:$P,9,FALSE),
IF(AND(Investment_Strategy="Lifecycle",Investment_Strategy_Sub1="Standard"),VLOOKUP(Investment_Strategy&amp;"_"&amp;Investment_Strategy_Sub2&amp;"_"&amp;$A689,'Investment Strategies'!$AJ:$AV,8,FALSE),
IF(AND(Investment_Strategy="Autopilot",Investment_Strategy_Sub1="Non-Standard"),VLOOKUP(Investment_Strategy&amp;"_"&amp;Investment_Strategy_Sub2&amp;"_"&amp;$A689,'Investment Strategies'!$T:$AF,8,FALSE),
IF(Investment_Strategy ="DIY",DIY_RateofReturn_SP,
"Error")))))),Max_InvReturn)</f>
        <v>0</v>
      </c>
      <c r="M689" s="62">
        <f>IF($AV689=0,0,
IF(Investment_Strategy="DIS",VLOOKUP(Investment_Strategy&amp;"_"&amp;Investment_Strategy_Sub1&amp;"_"&amp;$A689,'Investment Strategies'!$AZ:$BP,15,FALSE),
IF(AND(Investment_Strategy="Lifecycle",Investment_Strategy_Sub1="Non-Standard"),VLOOKUP(Investment_Strategy&amp;"_"&amp;Investment_Strategy_Sub2&amp;"_"&amp;$A689,'Investment Strategies'!$C:$P,12,FALSE),
IF(AND(Investment_Strategy="Lifecycle",Investment_Strategy_Sub1="Standard"),VLOOKUP(Investment_Strategy&amp;"_"&amp;Investment_Strategy_Sub2&amp;"_"&amp;$A689,'Investment Strategies'!$AJ:$AV,11,FALSE),
IF(AND(Investment_Strategy="Autopilot",Investment_Strategy_Sub1="Non-Standard"),VLOOKUP(Investment_Strategy&amp;"_"&amp;Investment_Strategy_Sub2&amp;"_"&amp;$A689,'Investment Strategies'!$T:$AF,11,FALSE),
IF(Investment_Strategy="DIY",DIY_GteeChrge_SP,
"Error"))))))</f>
        <v>0</v>
      </c>
      <c r="N689" s="33">
        <f>IF($AV689=0,0,
IF(Investment_Strategy="DIS",VLOOKUP(Investment_Strategy&amp;"_"&amp;Investment_Strategy_Sub1&amp;"_"&amp;$A689,'Investment Strategies'!$AZ:$BP,17,FALSE),
IF(AND(Investment_Strategy="Lifecycle",Investment_Strategy_Sub1="Non-Standard"),VLOOKUP(Investment_Strategy&amp;"_"&amp;Investment_Strategy_Sub2&amp;"_"&amp;$A689,'Investment Strategies'!$C:$P,14,FALSE),
IF(AND(Investment_Strategy="Lifecycle",Investment_Strategy_Sub1="Standard"),VLOOKUP(Investment_Strategy&amp;"_"&amp;Investment_Strategy_Sub2&amp;"_"&amp;$A689,'Investment Strategies'!$AJ:$AV,13,FALSE),
IF(AND(Investment_Strategy="Autopilot",Investment_Strategy_Sub1="Non-Standard"),VLOOKUP(Investment_Strategy&amp;"_"&amp;Investment_Strategy_Sub2&amp;"_"&amp;$A689,'Investment Strategies'!$T:$AF,13,FALSE),
IF(Investment_Strategy="DIY",DIY_ExtManChrge_SP,
"Error"))))))</f>
        <v>0</v>
      </c>
      <c r="O689" s="16">
        <f t="shared" si="407"/>
        <v>0</v>
      </c>
      <c r="Q689" s="16">
        <f t="shared" si="384"/>
        <v>0</v>
      </c>
      <c r="R689" s="16">
        <f t="shared" si="380"/>
        <v>0</v>
      </c>
      <c r="S689" s="16">
        <f>(SRP_SP+SUM(S$91:S688))*L689*IF(D689=$A$91,SRP_finalmonthfactor,1)</f>
        <v>0</v>
      </c>
      <c r="T689" s="74">
        <f>MIN(IF($AV689=0,0,
IF(Investment_Strategy="DIS",VLOOKUP(Investment_Strategy&amp;"_"&amp;Investment_Strategy_Sub1&amp;"_"&amp;$A689,'Investment Strategies'!$AZ:$BP,12,FALSE),
IF(AND(Investment_Strategy="Lifecycle",Investment_Strategy_Sub1="Non-Standard"),VLOOKUP(Investment_Strategy&amp;"_"&amp;Investment_Strategy_Sub2&amp;"_"&amp;$A689,'Investment Strategies'!$C:$P,9,FALSE),
IF(AND(Investment_Strategy="Lifecycle",Investment_Strategy_Sub1="Standard"),VLOOKUP(Investment_Strategy&amp;"_"&amp;Investment_Strategy_Sub2&amp;"_"&amp;$A689,'Investment Strategies'!$AJ:$AV,8,FALSE),
IF(AND(Investment_Strategy="Autopilot",Investment_Strategy_Sub1="Non-Standard"),VLOOKUP(Investment_Strategy&amp;"_"&amp;Investment_Strategy_Sub2&amp;"_"&amp;$A689,'Investment Strategies'!$T:$AF,8,FALSE),
IF(Investment_Strategy ="DIY",DIY_RateOfReturn_FuturePremiums,
"Error")))))),Max_InvReturn)</f>
        <v>0</v>
      </c>
      <c r="U689" s="62">
        <f>IF($AV689=0,0,
IF(Investment_Strategy="DIS",VLOOKUP(Investment_Strategy&amp;"_"&amp;Investment_Strategy_Sub1&amp;"_"&amp;$A689,'Investment Strategies'!$AZ:$BP,15,FALSE),
IF(AND(Investment_Strategy="Lifecycle",Investment_Strategy_Sub1="Non-Standard"),VLOOKUP(Investment_Strategy&amp;"_"&amp;Investment_Strategy_Sub2&amp;"_"&amp;$A689,'Investment Strategies'!$C:$P,12,FALSE),
IF(AND(Investment_Strategy="Lifecycle",Investment_Strategy_Sub1="Standard"),VLOOKUP(Investment_Strategy&amp;"_"&amp;Investment_Strategy_Sub2&amp;"_"&amp;$A689,'Investment Strategies'!$AJ:$AV,11,FALSE),
IF(AND(Investment_Strategy="Autopilot",Investment_Strategy_Sub1="Non-Standard"),VLOOKUP(Investment_Strategy&amp;"_"&amp;Investment_Strategy_Sub2&amp;"_"&amp;$A689,'Investment Strategies'!$T:$AF,11,FALSE),
IF(Investment_Strategy="DIY",DIY_GteeChrge_FuturePremiums,
"Error"))))))</f>
        <v>0</v>
      </c>
      <c r="V689" s="33">
        <f>IF(AV689=0,0,
IF(Investment_Strategy="DIS",VLOOKUP(Investment_Strategy&amp;"_"&amp;Investment_Strategy_Sub1&amp;"_"&amp;$A689,'Investment Strategies'!$AZ:$BP,17,FALSE),
IF(AND(Investment_Strategy="Lifecycle",Investment_Strategy_Sub1="Non-Standard"),VLOOKUP(Investment_Strategy&amp;"_"&amp;Investment_Strategy_Sub2&amp;"_"&amp;$A689,'Investment Strategies'!$C:$P,14,FALSE),
IF(AND(Investment_Strategy="Lifecycle",Investment_Strategy_Sub1="Standard"),VLOOKUP(Investment_Strategy&amp;"_"&amp;Investment_Strategy_Sub2&amp;"_"&amp;$A689,'Investment Strategies'!$AJ:$AV,13,FALSE),
IF(AND(Investment_Strategy="Autopilot",Investment_Strategy_Sub1="Non-Standard"),VLOOKUP(Investment_Strategy&amp;"_"&amp;Investment_Strategy_Sub2&amp;"_"&amp;$A689,'Investment Strategies'!$T:$AF,13,FALSE),
IF(Investment_Strategy="DIY",DIY_ExtManChrge_FuturePremiums,
"Error"))))))</f>
        <v>0</v>
      </c>
      <c r="W689" s="16">
        <f t="shared" si="408"/>
        <v>0</v>
      </c>
      <c r="X689" s="16">
        <f t="shared" si="385"/>
        <v>0</v>
      </c>
      <c r="Y689" s="16">
        <f t="shared" si="386"/>
        <v>0</v>
      </c>
      <c r="Z689" s="31">
        <f t="shared" si="387"/>
        <v>0.02</v>
      </c>
      <c r="AA689" s="16">
        <f t="shared" si="388"/>
        <v>0</v>
      </c>
      <c r="AB689" s="28">
        <f t="shared" si="409"/>
        <v>0</v>
      </c>
      <c r="AC689" s="28">
        <f>(SUM($AC$91:AC688)+SUM($X$91:X688)+X689)*T689*IF(D689=$A$91,SRP_finalmonthfactor,1)</f>
        <v>0</v>
      </c>
      <c r="AD689" s="16">
        <f t="shared" si="389"/>
        <v>0</v>
      </c>
      <c r="AE689" s="106"/>
      <c r="AF689" s="16">
        <f t="shared" si="397"/>
        <v>0</v>
      </c>
      <c r="AG689" s="16">
        <f t="shared" si="398"/>
        <v>0</v>
      </c>
      <c r="AH689" s="16">
        <f t="shared" si="399"/>
        <v>0</v>
      </c>
      <c r="AJ689" s="13">
        <f t="shared" si="411"/>
        <v>0</v>
      </c>
      <c r="AK689" s="13">
        <f t="shared" si="411"/>
        <v>0</v>
      </c>
      <c r="AL689" s="13">
        <f t="shared" si="411"/>
        <v>0</v>
      </c>
      <c r="AM689" s="13">
        <f t="shared" si="411"/>
        <v>0</v>
      </c>
      <c r="AN689" s="13">
        <f t="shared" si="411"/>
        <v>0</v>
      </c>
      <c r="AO689" s="13">
        <f t="shared" si="411"/>
        <v>1</v>
      </c>
      <c r="AP689" s="13">
        <f t="shared" si="411"/>
        <v>1</v>
      </c>
      <c r="AQ689" s="13">
        <f t="shared" si="411"/>
        <v>1</v>
      </c>
      <c r="AR689" s="13">
        <f t="shared" si="411"/>
        <v>0</v>
      </c>
      <c r="AS689" s="13">
        <f t="shared" si="411"/>
        <v>0</v>
      </c>
      <c r="AT689" s="13">
        <f t="shared" si="411"/>
        <v>0</v>
      </c>
      <c r="AU689" s="13">
        <f t="shared" si="411"/>
        <v>0</v>
      </c>
      <c r="AV689" s="13">
        <f t="shared" si="390"/>
        <v>0</v>
      </c>
      <c r="AW689" s="13">
        <f t="shared" si="391"/>
        <v>1</v>
      </c>
      <c r="AY689" s="17">
        <f t="shared" si="392"/>
        <v>599</v>
      </c>
      <c r="AZ689" s="28">
        <f t="shared" si="400"/>
        <v>0</v>
      </c>
      <c r="BA689" s="13">
        <f t="shared" si="393"/>
        <v>0</v>
      </c>
      <c r="BB689" s="13">
        <f t="shared" si="394"/>
        <v>0</v>
      </c>
      <c r="BC689" s="28">
        <f t="shared" si="401"/>
        <v>0</v>
      </c>
      <c r="BD689" s="28">
        <f t="shared" si="402"/>
        <v>0</v>
      </c>
      <c r="BF689" s="248">
        <f t="shared" si="403"/>
        <v>993869.29442638322</v>
      </c>
    </row>
    <row r="690" spans="1:58">
      <c r="A690" s="32">
        <f t="shared" si="404"/>
        <v>-515</v>
      </c>
      <c r="B690" s="32">
        <f t="shared" si="395"/>
        <v>102</v>
      </c>
      <c r="C690" s="32">
        <f t="shared" si="405"/>
        <v>50</v>
      </c>
      <c r="D690" s="32">
        <f t="shared" si="406"/>
        <v>600</v>
      </c>
      <c r="E690" s="32"/>
      <c r="F690" s="32"/>
      <c r="G690" s="32"/>
      <c r="H690" s="32"/>
      <c r="I690" s="32"/>
      <c r="J690" s="32"/>
      <c r="K690" s="16">
        <f>(Opening_Fund_Value+SUM(K$91:K689))*E690*IF(D690=$A$91,SRP_finalmonthfactor,1)</f>
        <v>0</v>
      </c>
      <c r="L690" s="16"/>
      <c r="M690" s="16"/>
      <c r="N690" s="16"/>
      <c r="O690" s="16"/>
      <c r="Q690" s="16"/>
      <c r="R690" s="16"/>
      <c r="S690" s="16"/>
      <c r="T690" s="74">
        <f>IF(AV690=0,0,
IF($C$4="Standard",VLOOKUP(Investment_Strategy&amp;"_"&amp;Investment_Strategy_Sub1&amp;"_"&amp;$A690,'Investment Strategies'!$C:$K,11,FALSE),
IF(Investment_Strategy="Autopilot",VLOOKUP(Investment_Strategy&amp;"_"&amp;Investment_Strategy_Sub1&amp;"_"&amp;$A690,'Investment Strategies'!$T:$AA,8,FALSE),VLOOKUP(Investment_Strategy&amp;"_"&amp;Investment_Strategy_Sub1&amp;"_"&amp;$A690,'Investment Strategies'!$AZ:$BK,14,FALSE))))</f>
        <v>0</v>
      </c>
      <c r="U690" s="33">
        <f>IF(AV690=0,0,VLOOKUP(Investment_Strategy&amp;"_"&amp;Investment_Strategy_Sub1&amp;"_"&amp;$A690,'Investment Strategies'!$AZ:$BP,15,FALSE))</f>
        <v>0</v>
      </c>
      <c r="V690" s="33">
        <f>IF(AV690=0,0,VLOOKUP(Investment_Strategy&amp;"_"&amp;Investment_Strategy_Sub1&amp;"_"&amp;$A690,'Investment Strategies'!$AZ:$BP,17,FALSE))</f>
        <v>0</v>
      </c>
      <c r="W690" s="16">
        <f t="shared" ref="W690" si="412">IF($AV689=0,0,SUM(W689:AA689))</f>
        <v>0</v>
      </c>
      <c r="X690" s="64">
        <f t="shared" si="385"/>
        <v>0</v>
      </c>
      <c r="Y690" s="64">
        <f>(W690+(P690*(1-SRP_Contrib_Chge_SP))+(X690*(1-Z690)))*T690*IF(D690=$A$91,SRP_finalmonthfactor,1)</f>
        <v>0</v>
      </c>
      <c r="Z690" s="64">
        <f t="shared" si="387"/>
        <v>0.02</v>
      </c>
      <c r="AA690" s="64" cm="1">
        <f t="array" ref="AA690">IF($AV690=0,0,IF($X690&gt;=SRP_PremiumThreshold_Monthly,
-(($W690+(P690)*(1-SRP_Contrib_Chge_SP)+($X690)*(1-Z690)+Y690/2)*(SRP_Monthly_Admin_Chge+SRP_Monthly_Gtee_Chge*$U690)*IF(D690=$A$91,SRP_finalmonthfactor,1)+
($P690)*SRP_Contrib_Chge_SP+($X690)*Z690),
-(($W690+(P690)*(1-SRP_Contrib_Chge_SP)+($X690)*(1-_xlfn.SINGLE(SRP_Contrib_Chge_RP_LowerBand))+Y690/2)*(SRP_Monthly_Admin_Chge+SRP_Monthly_Gtee_Chge*$U690)*IF(D690=$A$91,SRP_finalmonthfactor,1)+
($P690)*SRP_Contrib_Chge_SP+($X690)*_xlfn.SINGLE(SRP_Contrib_Chge_RP_LowerBand))))</f>
        <v>0</v>
      </c>
      <c r="AB690" s="28">
        <f>IF($AV689=0,0,SUM(K689,P689:X689,AB689:AC689))</f>
        <v>0</v>
      </c>
      <c r="AC690" s="28">
        <f>(SUM($AC$91:AC689)+SUM($P$91:X689)+P690+X690)*T690*IF(D690=$A$91,SRP_finalmonthfactor,1)</f>
        <v>0</v>
      </c>
      <c r="AD690" s="16">
        <f>IF($AV690=0,0,-(($W690+P690+$X690+Y690/2)*(SRP_Ren_Com_Mthly)+(P690*SRP_Init_Com_SP)+($X690*SRP_Init_Com_RP)))</f>
        <v>0</v>
      </c>
      <c r="AE690" s="106"/>
      <c r="AF690" s="16">
        <f t="shared" si="397"/>
        <v>0</v>
      </c>
      <c r="AG690" s="16">
        <f t="shared" si="398"/>
        <v>0</v>
      </c>
      <c r="AH690" s="16">
        <f t="shared" si="399"/>
        <v>0</v>
      </c>
      <c r="AJ690" s="13">
        <f t="shared" si="411"/>
        <v>0</v>
      </c>
      <c r="AK690" s="13">
        <f t="shared" si="411"/>
        <v>0</v>
      </c>
      <c r="AL690" s="13">
        <f t="shared" si="411"/>
        <v>0</v>
      </c>
      <c r="AM690" s="13">
        <f t="shared" si="411"/>
        <v>0</v>
      </c>
      <c r="AN690" s="13">
        <f t="shared" si="411"/>
        <v>0</v>
      </c>
      <c r="AO690" s="13">
        <f t="shared" si="411"/>
        <v>1</v>
      </c>
      <c r="AP690" s="13">
        <f t="shared" si="411"/>
        <v>1</v>
      </c>
      <c r="AQ690" s="13">
        <f t="shared" si="411"/>
        <v>1</v>
      </c>
      <c r="AR690" s="13">
        <f t="shared" si="411"/>
        <v>0</v>
      </c>
      <c r="AS690" s="13">
        <f t="shared" si="411"/>
        <v>0</v>
      </c>
      <c r="AT690" s="13">
        <f t="shared" si="411"/>
        <v>0</v>
      </c>
      <c r="AU690" s="13">
        <f t="shared" si="411"/>
        <v>0</v>
      </c>
      <c r="AV690" s="13">
        <f t="shared" si="390"/>
        <v>0</v>
      </c>
      <c r="AW690" s="13">
        <f t="shared" si="391"/>
        <v>1</v>
      </c>
      <c r="AY690" s="17">
        <f t="shared" si="392"/>
        <v>600</v>
      </c>
      <c r="AZ690" s="28">
        <f t="shared" si="400"/>
        <v>0</v>
      </c>
      <c r="BA690" s="13">
        <f t="shared" si="393"/>
        <v>0</v>
      </c>
      <c r="BB690" s="13">
        <f t="shared" si="394"/>
        <v>0</v>
      </c>
      <c r="BC690" s="28">
        <f t="shared" si="401"/>
        <v>0</v>
      </c>
      <c r="BD690" s="28">
        <f t="shared" si="402"/>
        <v>0</v>
      </c>
      <c r="BF690" s="248">
        <f t="shared" si="403"/>
        <v>993869.29442638322</v>
      </c>
    </row>
    <row r="691" spans="1:58">
      <c r="K691" s="106"/>
      <c r="L691" s="106"/>
      <c r="M691" s="106"/>
      <c r="N691" s="106"/>
      <c r="O691" s="106"/>
      <c r="P691" s="106"/>
      <c r="Q691" s="106"/>
      <c r="R691" s="106"/>
      <c r="AH691" s="106"/>
    </row>
    <row r="692" spans="1:58">
      <c r="K692" s="106"/>
      <c r="L692" s="106"/>
      <c r="M692" s="106"/>
      <c r="N692" s="106"/>
      <c r="O692" s="106"/>
      <c r="P692" s="106"/>
      <c r="Q692" s="106"/>
      <c r="R692" s="106"/>
      <c r="AH692" s="106"/>
    </row>
    <row r="693" spans="1:58">
      <c r="K693" s="106"/>
      <c r="L693" s="106"/>
      <c r="M693" s="106"/>
      <c r="N693" s="106"/>
      <c r="O693" s="106"/>
      <c r="P693" s="106"/>
      <c r="Q693" s="106"/>
      <c r="R693" s="106"/>
      <c r="AH693" s="106"/>
    </row>
    <row r="694" spans="1:58">
      <c r="K694" s="106"/>
      <c r="L694" s="106"/>
      <c r="M694" s="106"/>
      <c r="N694" s="106"/>
      <c r="O694" s="106"/>
      <c r="P694" s="106"/>
      <c r="Q694" s="106"/>
      <c r="R694" s="106"/>
      <c r="AH694" s="106"/>
    </row>
    <row r="695" spans="1:58">
      <c r="B695" s="2" t="s">
        <v>309</v>
      </c>
      <c r="K695" s="106"/>
      <c r="AA695" s="106"/>
    </row>
    <row r="696" spans="1:58">
      <c r="C696" s="3" t="s">
        <v>267</v>
      </c>
      <c r="D696" s="3" t="s">
        <v>174</v>
      </c>
      <c r="E696" s="3" t="s">
        <v>310</v>
      </c>
      <c r="F696" s="3" t="s">
        <v>311</v>
      </c>
      <c r="G696" s="3" t="s">
        <v>312</v>
      </c>
      <c r="H696" s="3" t="s">
        <v>313</v>
      </c>
      <c r="I696" s="3" t="s">
        <v>314</v>
      </c>
      <c r="J696" s="3" t="s">
        <v>315</v>
      </c>
      <c r="K696" s="106"/>
      <c r="L696" s="3"/>
      <c r="AA696" s="106"/>
    </row>
    <row r="697" spans="1:58">
      <c r="C697" s="56">
        <f>$D$74</f>
        <v>60</v>
      </c>
      <c r="D697" s="45">
        <v>1</v>
      </c>
      <c r="E697" s="13">
        <f>VLOOKUP(C697,'Mortality Table'!$A$5:$E$153,IF(SRP_Gender="female",5,4),FALSE)</f>
        <v>2.82E-3</v>
      </c>
      <c r="F697" s="13">
        <f>1-(1-E697)^(1/12)</f>
        <v>2.3530428586149288E-4</v>
      </c>
      <c r="G697" s="54">
        <v>1</v>
      </c>
      <c r="H697" s="57">
        <f>1/12</f>
        <v>8.3333333333333329E-2</v>
      </c>
      <c r="I697" s="13">
        <f t="shared" ref="I697:I760" si="413">IF(D697&lt;=12*SRP_Annuity_Gtee_Period,H697,H697*G697)</f>
        <v>8.3333333333333329E-2</v>
      </c>
      <c r="J697" s="13">
        <f t="shared" ref="J697:J760" si="414">((1+$D$79)^(-D697/12))</f>
        <v>0.99693686989174457</v>
      </c>
      <c r="K697" s="106"/>
      <c r="AA697" s="106"/>
    </row>
    <row r="698" spans="1:58">
      <c r="C698" s="17">
        <f>IF(MOD(D698,12)=1,C697+1,C697)</f>
        <v>60</v>
      </c>
      <c r="D698" s="13">
        <f>D697+1</f>
        <v>2</v>
      </c>
      <c r="E698" s="13">
        <f>VLOOKUP(C698,'Mortality Table'!$A$5:$E$153,IF(SRP_Gender="female",5,4),FALSE)</f>
        <v>2.82E-3</v>
      </c>
      <c r="F698" s="13">
        <f t="shared" ref="F698:F761" si="415">1-(1-E698)^(1/12)</f>
        <v>2.3530428586149288E-4</v>
      </c>
      <c r="G698" s="18">
        <f>G697*(1-F697)</f>
        <v>0.99976469571413851</v>
      </c>
      <c r="H698" s="35">
        <f>IF(MOD(D698,12)=1,H697*(1+$D$81),H697)</f>
        <v>8.3333333333333329E-2</v>
      </c>
      <c r="I698" s="13">
        <f t="shared" si="413"/>
        <v>8.3333333333333329E-2</v>
      </c>
      <c r="J698" s="13">
        <f t="shared" si="414"/>
        <v>0.99388312254954936</v>
      </c>
      <c r="K698" s="106"/>
      <c r="AA698" s="106"/>
    </row>
    <row r="699" spans="1:58">
      <c r="C699" s="17">
        <f t="shared" ref="C699:C762" si="416">IF(MOD(D699,12)=1,C698+1,C698)</f>
        <v>60</v>
      </c>
      <c r="D699" s="13">
        <f t="shared" ref="D699:D762" si="417">D698+1</f>
        <v>3</v>
      </c>
      <c r="E699" s="13">
        <f>VLOOKUP(C699,'Mortality Table'!$A$5:$E$153,IF(SRP_Gender="female",5,4),FALSE)</f>
        <v>2.82E-3</v>
      </c>
      <c r="F699" s="13">
        <f t="shared" si="415"/>
        <v>2.3530428586149288E-4</v>
      </c>
      <c r="G699" s="18">
        <f t="shared" ref="G699:G762" si="418">G698*(1-F698)</f>
        <v>0.999529446796384</v>
      </c>
      <c r="H699" s="35">
        <f t="shared" ref="H699:H762" si="419">IF(MOD(D699,12)=1,H698*(1+$D$81),H698)</f>
        <v>8.3333333333333329E-2</v>
      </c>
      <c r="I699" s="13">
        <f t="shared" si="413"/>
        <v>8.3333333333333329E-2</v>
      </c>
      <c r="J699" s="13">
        <f t="shared" si="414"/>
        <v>0.99083872923278082</v>
      </c>
      <c r="K699" s="106"/>
      <c r="AA699" s="106"/>
    </row>
    <row r="700" spans="1:58">
      <c r="C700" s="17">
        <f t="shared" si="416"/>
        <v>60</v>
      </c>
      <c r="D700" s="13">
        <f t="shared" si="417"/>
        <v>4</v>
      </c>
      <c r="E700" s="13">
        <f>VLOOKUP(C700,'Mortality Table'!$A$5:$E$153,IF(SRP_Gender="female",5,4),FALSE)</f>
        <v>2.82E-3</v>
      </c>
      <c r="F700" s="13">
        <f t="shared" si="415"/>
        <v>2.3530428586149288E-4</v>
      </c>
      <c r="G700" s="18">
        <f t="shared" si="418"/>
        <v>0.99929425323370802</v>
      </c>
      <c r="H700" s="35">
        <f t="shared" si="419"/>
        <v>8.3333333333333329E-2</v>
      </c>
      <c r="I700" s="13">
        <f t="shared" si="413"/>
        <v>8.3333333333333329E-2</v>
      </c>
      <c r="J700" s="13">
        <f t="shared" si="414"/>
        <v>0.98780366128884245</v>
      </c>
      <c r="K700" s="106"/>
      <c r="AA700" s="106"/>
    </row>
    <row r="701" spans="1:58">
      <c r="C701" s="17">
        <f t="shared" si="416"/>
        <v>60</v>
      </c>
      <c r="D701" s="13">
        <f t="shared" si="417"/>
        <v>5</v>
      </c>
      <c r="E701" s="13">
        <f>VLOOKUP(C701,'Mortality Table'!$A$5:$E$153,IF(SRP_Gender="female",5,4),FALSE)</f>
        <v>2.82E-3</v>
      </c>
      <c r="F701" s="13">
        <f t="shared" si="415"/>
        <v>2.3530428586149288E-4</v>
      </c>
      <c r="G701" s="18">
        <f t="shared" si="418"/>
        <v>0.99905911501308542</v>
      </c>
      <c r="H701" s="35">
        <f t="shared" si="419"/>
        <v>8.3333333333333329E-2</v>
      </c>
      <c r="I701" s="13">
        <f t="shared" si="413"/>
        <v>8.3333333333333329E-2</v>
      </c>
      <c r="J701" s="13">
        <f t="shared" si="414"/>
        <v>0.98477789015290351</v>
      </c>
      <c r="K701" s="106"/>
      <c r="AA701" s="106"/>
    </row>
    <row r="702" spans="1:58">
      <c r="C702" s="17">
        <f t="shared" si="416"/>
        <v>60</v>
      </c>
      <c r="D702" s="13">
        <f t="shared" si="417"/>
        <v>6</v>
      </c>
      <c r="E702" s="13">
        <f>VLOOKUP(C702,'Mortality Table'!$A$5:$E$153,IF(SRP_Gender="female",5,4),FALSE)</f>
        <v>2.82E-3</v>
      </c>
      <c r="F702" s="13">
        <f t="shared" si="415"/>
        <v>2.3530428586149288E-4</v>
      </c>
      <c r="G702" s="18">
        <f t="shared" si="418"/>
        <v>0.99882403212149384</v>
      </c>
      <c r="H702" s="35">
        <f t="shared" si="419"/>
        <v>8.3333333333333329E-2</v>
      </c>
      <c r="I702" s="13">
        <f t="shared" si="413"/>
        <v>8.3333333333333329E-2</v>
      </c>
      <c r="J702" s="13">
        <f t="shared" si="414"/>
        <v>0.98176138734763196</v>
      </c>
      <c r="K702" s="106"/>
      <c r="AA702" s="106"/>
    </row>
    <row r="703" spans="1:58">
      <c r="C703" s="17">
        <f t="shared" si="416"/>
        <v>60</v>
      </c>
      <c r="D703" s="13">
        <f t="shared" si="417"/>
        <v>7</v>
      </c>
      <c r="E703" s="13">
        <f>VLOOKUP(C703,'Mortality Table'!$A$5:$E$153,IF(SRP_Gender="female",5,4),FALSE)</f>
        <v>2.82E-3</v>
      </c>
      <c r="F703" s="13">
        <f t="shared" si="415"/>
        <v>2.3530428586149288E-4</v>
      </c>
      <c r="G703" s="18">
        <f t="shared" si="418"/>
        <v>0.99858900454591415</v>
      </c>
      <c r="H703" s="35">
        <f t="shared" si="419"/>
        <v>8.3333333333333329E-2</v>
      </c>
      <c r="I703" s="13">
        <f t="shared" si="413"/>
        <v>8.3333333333333329E-2</v>
      </c>
      <c r="J703" s="13">
        <f t="shared" si="414"/>
        <v>0.97875412448292487</v>
      </c>
      <c r="K703" s="106"/>
      <c r="AA703" s="106"/>
    </row>
    <row r="704" spans="1:58">
      <c r="C704" s="17">
        <f t="shared" si="416"/>
        <v>60</v>
      </c>
      <c r="D704" s="13">
        <f t="shared" si="417"/>
        <v>8</v>
      </c>
      <c r="E704" s="13">
        <f>VLOOKUP(C704,'Mortality Table'!$A$5:$E$153,IF(SRP_Gender="female",5,4),FALSE)</f>
        <v>2.82E-3</v>
      </c>
      <c r="F704" s="13">
        <f t="shared" si="415"/>
        <v>2.3530428586149288E-4</v>
      </c>
      <c r="G704" s="18">
        <f t="shared" si="418"/>
        <v>0.99835403227333031</v>
      </c>
      <c r="H704" s="35">
        <f t="shared" si="419"/>
        <v>8.3333333333333329E-2</v>
      </c>
      <c r="I704" s="13">
        <f t="shared" si="413"/>
        <v>8.3333333333333329E-2</v>
      </c>
      <c r="J704" s="13">
        <f t="shared" si="414"/>
        <v>0.97575607325564184</v>
      </c>
      <c r="K704" s="106"/>
      <c r="AA704" s="106"/>
    </row>
    <row r="705" spans="3:27">
      <c r="C705" s="17">
        <f t="shared" si="416"/>
        <v>60</v>
      </c>
      <c r="D705" s="13">
        <f t="shared" si="417"/>
        <v>9</v>
      </c>
      <c r="E705" s="13">
        <f>VLOOKUP(C705,'Mortality Table'!$A$5:$E$153,IF(SRP_Gender="female",5,4),FALSE)</f>
        <v>2.82E-3</v>
      </c>
      <c r="F705" s="13">
        <f t="shared" si="415"/>
        <v>2.3530428586149288E-4</v>
      </c>
      <c r="G705" s="18">
        <f t="shared" si="418"/>
        <v>0.99811911529072928</v>
      </c>
      <c r="H705" s="35">
        <f t="shared" si="419"/>
        <v>8.3333333333333329E-2</v>
      </c>
      <c r="I705" s="13">
        <f t="shared" si="413"/>
        <v>8.3333333333333329E-2</v>
      </c>
      <c r="J705" s="13">
        <f t="shared" si="414"/>
        <v>0.97276720544933937</v>
      </c>
      <c r="K705" s="106"/>
      <c r="AA705" s="106"/>
    </row>
    <row r="706" spans="3:27">
      <c r="C706" s="17">
        <f t="shared" si="416"/>
        <v>60</v>
      </c>
      <c r="D706" s="13">
        <f t="shared" si="417"/>
        <v>10</v>
      </c>
      <c r="E706" s="13">
        <f>VLOOKUP(C706,'Mortality Table'!$A$5:$E$153,IF(SRP_Gender="female",5,4),FALSE)</f>
        <v>2.82E-3</v>
      </c>
      <c r="F706" s="13">
        <f t="shared" si="415"/>
        <v>2.3530428586149288E-4</v>
      </c>
      <c r="G706" s="18">
        <f t="shared" si="418"/>
        <v>0.99788425358510113</v>
      </c>
      <c r="H706" s="35">
        <f t="shared" si="419"/>
        <v>8.3333333333333329E-2</v>
      </c>
      <c r="I706" s="13">
        <f t="shared" si="413"/>
        <v>8.3333333333333329E-2</v>
      </c>
      <c r="J706" s="13">
        <f t="shared" si="414"/>
        <v>0.96978749293400413</v>
      </c>
      <c r="K706" s="106"/>
      <c r="AA706" s="106"/>
    </row>
    <row r="707" spans="3:27">
      <c r="C707" s="17">
        <f t="shared" si="416"/>
        <v>60</v>
      </c>
      <c r="D707" s="13">
        <f t="shared" si="417"/>
        <v>11</v>
      </c>
      <c r="E707" s="13">
        <f>VLOOKUP(C707,'Mortality Table'!$A$5:$E$153,IF(SRP_Gender="female",5,4),FALSE)</f>
        <v>2.82E-3</v>
      </c>
      <c r="F707" s="13">
        <f t="shared" si="415"/>
        <v>2.3530428586149288E-4</v>
      </c>
      <c r="G707" s="18">
        <f t="shared" si="418"/>
        <v>0.99764944714343884</v>
      </c>
      <c r="H707" s="35">
        <f t="shared" si="419"/>
        <v>8.3333333333333329E-2</v>
      </c>
      <c r="I707" s="13">
        <f t="shared" si="413"/>
        <v>8.3333333333333329E-2</v>
      </c>
      <c r="J707" s="13">
        <f t="shared" si="414"/>
        <v>0.96681690766578832</v>
      </c>
      <c r="K707" s="106"/>
      <c r="AA707" s="106"/>
    </row>
    <row r="708" spans="3:27">
      <c r="C708" s="17">
        <f t="shared" si="416"/>
        <v>60</v>
      </c>
      <c r="D708" s="13">
        <f t="shared" si="417"/>
        <v>12</v>
      </c>
      <c r="E708" s="13">
        <f>VLOOKUP(C708,'Mortality Table'!$A$5:$E$153,IF(SRP_Gender="female",5,4),FALSE)</f>
        <v>2.82E-3</v>
      </c>
      <c r="F708" s="13">
        <f t="shared" si="415"/>
        <v>2.3530428586149288E-4</v>
      </c>
      <c r="G708" s="18">
        <f t="shared" si="418"/>
        <v>0.99741469595273868</v>
      </c>
      <c r="H708" s="35">
        <f t="shared" si="419"/>
        <v>8.3333333333333329E-2</v>
      </c>
      <c r="I708" s="13">
        <f t="shared" si="413"/>
        <v>8.3333333333333329E-2</v>
      </c>
      <c r="J708" s="13">
        <f t="shared" si="414"/>
        <v>0.96385542168674687</v>
      </c>
      <c r="K708" s="106"/>
      <c r="AA708" s="106"/>
    </row>
    <row r="709" spans="3:27">
      <c r="C709" s="17">
        <f t="shared" si="416"/>
        <v>61</v>
      </c>
      <c r="D709" s="13">
        <f t="shared" si="417"/>
        <v>13</v>
      </c>
      <c r="E709" s="13">
        <f>VLOOKUP(C709,'Mortality Table'!$A$5:$E$153,IF(SRP_Gender="female",5,4),FALSE)</f>
        <v>3.0999999999999999E-3</v>
      </c>
      <c r="F709" s="13">
        <f t="shared" si="415"/>
        <v>2.5870111055181777E-4</v>
      </c>
      <c r="G709" s="18">
        <f t="shared" si="418"/>
        <v>0.99717999999999973</v>
      </c>
      <c r="H709" s="35">
        <f t="shared" si="419"/>
        <v>8.4999999999999992E-2</v>
      </c>
      <c r="I709" s="13">
        <f t="shared" si="413"/>
        <v>8.4999999999999992E-2</v>
      </c>
      <c r="J709" s="13">
        <f t="shared" si="414"/>
        <v>0.96090300712457299</v>
      </c>
      <c r="K709" s="106"/>
      <c r="AA709" s="106"/>
    </row>
    <row r="710" spans="3:27">
      <c r="C710" s="17">
        <f t="shared" si="416"/>
        <v>61</v>
      </c>
      <c r="D710" s="13">
        <f t="shared" si="417"/>
        <v>14</v>
      </c>
      <c r="E710" s="13">
        <f>VLOOKUP(C710,'Mortality Table'!$A$5:$E$153,IF(SRP_Gender="female",5,4),FALSE)</f>
        <v>3.0999999999999999E-3</v>
      </c>
      <c r="F710" s="13">
        <f t="shared" si="415"/>
        <v>2.5870111055181777E-4</v>
      </c>
      <c r="G710" s="18">
        <f t="shared" si="418"/>
        <v>0.99692202842657962</v>
      </c>
      <c r="H710" s="35">
        <f t="shared" si="419"/>
        <v>8.4999999999999992E-2</v>
      </c>
      <c r="I710" s="13">
        <f t="shared" si="413"/>
        <v>8.4999999999999992E-2</v>
      </c>
      <c r="J710" s="13">
        <f t="shared" si="414"/>
        <v>0.95795963619233648</v>
      </c>
      <c r="K710" s="106"/>
      <c r="AA710" s="106"/>
    </row>
    <row r="711" spans="3:27">
      <c r="C711" s="17">
        <f t="shared" si="416"/>
        <v>61</v>
      </c>
      <c r="D711" s="13">
        <f t="shared" si="417"/>
        <v>15</v>
      </c>
      <c r="E711" s="13">
        <f>VLOOKUP(C711,'Mortality Table'!$A$5:$E$153,IF(SRP_Gender="female",5,4),FALSE)</f>
        <v>3.0999999999999999E-3</v>
      </c>
      <c r="F711" s="13">
        <f t="shared" si="415"/>
        <v>2.5870111055181777E-4</v>
      </c>
      <c r="G711" s="18">
        <f t="shared" si="418"/>
        <v>0.99666412359069212</v>
      </c>
      <c r="H711" s="35">
        <f t="shared" si="419"/>
        <v>8.4999999999999992E-2</v>
      </c>
      <c r="I711" s="13">
        <f t="shared" si="413"/>
        <v>8.4999999999999992E-2</v>
      </c>
      <c r="J711" s="13">
        <f t="shared" si="414"/>
        <v>0.95502528118822227</v>
      </c>
      <c r="K711" s="106"/>
      <c r="AA711" s="106"/>
    </row>
    <row r="712" spans="3:27">
      <c r="C712" s="17">
        <f t="shared" si="416"/>
        <v>61</v>
      </c>
      <c r="D712" s="13">
        <f t="shared" si="417"/>
        <v>16</v>
      </c>
      <c r="E712" s="13">
        <f>VLOOKUP(C712,'Mortality Table'!$A$5:$E$153,IF(SRP_Gender="female",5,4),FALSE)</f>
        <v>3.0999999999999999E-3</v>
      </c>
      <c r="F712" s="13">
        <f t="shared" si="415"/>
        <v>2.5870111055181777E-4</v>
      </c>
      <c r="G712" s="18">
        <f t="shared" si="418"/>
        <v>0.99640628547507204</v>
      </c>
      <c r="H712" s="35">
        <f t="shared" si="419"/>
        <v>8.4999999999999992E-2</v>
      </c>
      <c r="I712" s="13">
        <f t="shared" si="413"/>
        <v>8.4999999999999992E-2</v>
      </c>
      <c r="J712" s="13">
        <f t="shared" si="414"/>
        <v>0.95209991449526965</v>
      </c>
      <c r="K712" s="106"/>
      <c r="AA712" s="106"/>
    </row>
    <row r="713" spans="3:27">
      <c r="C713" s="17">
        <f t="shared" si="416"/>
        <v>61</v>
      </c>
      <c r="D713" s="13">
        <f t="shared" si="417"/>
        <v>17</v>
      </c>
      <c r="E713" s="13">
        <f>VLOOKUP(C713,'Mortality Table'!$A$5:$E$153,IF(SRP_Gender="female",5,4),FALSE)</f>
        <v>3.0999999999999999E-3</v>
      </c>
      <c r="F713" s="13">
        <f t="shared" si="415"/>
        <v>2.5870111055181777E-4</v>
      </c>
      <c r="G713" s="18">
        <f t="shared" si="418"/>
        <v>0.99614851406245886</v>
      </c>
      <c r="H713" s="35">
        <f t="shared" si="419"/>
        <v>8.4999999999999992E-2</v>
      </c>
      <c r="I713" s="13">
        <f t="shared" si="413"/>
        <v>8.4999999999999992E-2</v>
      </c>
      <c r="J713" s="13">
        <f t="shared" si="414"/>
        <v>0.94918350858111167</v>
      </c>
      <c r="K713" s="106"/>
      <c r="AA713" s="106"/>
    </row>
    <row r="714" spans="3:27">
      <c r="C714" s="17">
        <f t="shared" si="416"/>
        <v>61</v>
      </c>
      <c r="D714" s="13">
        <f t="shared" si="417"/>
        <v>18</v>
      </c>
      <c r="E714" s="13">
        <f>VLOOKUP(C714,'Mortality Table'!$A$5:$E$153,IF(SRP_Gender="female",5,4),FALSE)</f>
        <v>3.0999999999999999E-3</v>
      </c>
      <c r="F714" s="13">
        <f t="shared" si="415"/>
        <v>2.5870111055181777E-4</v>
      </c>
      <c r="G714" s="18">
        <f t="shared" si="418"/>
        <v>0.99589080933559637</v>
      </c>
      <c r="H714" s="35">
        <f t="shared" si="419"/>
        <v>8.4999999999999992E-2</v>
      </c>
      <c r="I714" s="13">
        <f t="shared" si="413"/>
        <v>8.4999999999999992E-2</v>
      </c>
      <c r="J714" s="13">
        <f t="shared" si="414"/>
        <v>0.94627603599771737</v>
      </c>
      <c r="K714" s="106"/>
      <c r="AA714" s="106"/>
    </row>
    <row r="715" spans="3:27">
      <c r="C715" s="17">
        <f t="shared" si="416"/>
        <v>61</v>
      </c>
      <c r="D715" s="13">
        <f t="shared" si="417"/>
        <v>19</v>
      </c>
      <c r="E715" s="13">
        <f>VLOOKUP(C715,'Mortality Table'!$A$5:$E$153,IF(SRP_Gender="female",5,4),FALSE)</f>
        <v>3.0999999999999999E-3</v>
      </c>
      <c r="F715" s="13">
        <f t="shared" si="415"/>
        <v>2.5870111055181777E-4</v>
      </c>
      <c r="G715" s="18">
        <f t="shared" si="418"/>
        <v>0.99563317127723294</v>
      </c>
      <c r="H715" s="35">
        <f t="shared" si="419"/>
        <v>8.4999999999999992E-2</v>
      </c>
      <c r="I715" s="13">
        <f t="shared" si="413"/>
        <v>8.4999999999999992E-2</v>
      </c>
      <c r="J715" s="13">
        <f t="shared" si="414"/>
        <v>0.94337746938113221</v>
      </c>
      <c r="K715" s="106"/>
      <c r="AA715" s="106"/>
    </row>
    <row r="716" spans="3:27">
      <c r="C716" s="17">
        <f t="shared" si="416"/>
        <v>61</v>
      </c>
      <c r="D716" s="13">
        <f t="shared" si="417"/>
        <v>20</v>
      </c>
      <c r="E716" s="13">
        <f>VLOOKUP(C716,'Mortality Table'!$A$5:$E$153,IF(SRP_Gender="female",5,4),FALSE)</f>
        <v>3.0999999999999999E-3</v>
      </c>
      <c r="F716" s="13">
        <f t="shared" si="415"/>
        <v>2.5870111055181777E-4</v>
      </c>
      <c r="G716" s="18">
        <f t="shared" si="418"/>
        <v>0.99537559987012125</v>
      </c>
      <c r="H716" s="35">
        <f t="shared" si="419"/>
        <v>8.4999999999999992E-2</v>
      </c>
      <c r="I716" s="13">
        <f t="shared" si="413"/>
        <v>8.4999999999999992E-2</v>
      </c>
      <c r="J716" s="13">
        <f t="shared" si="414"/>
        <v>0.94048778145122114</v>
      </c>
      <c r="K716" s="106"/>
      <c r="AA716" s="106"/>
    </row>
    <row r="717" spans="3:27">
      <c r="C717" s="17">
        <f t="shared" si="416"/>
        <v>61</v>
      </c>
      <c r="D717" s="13">
        <f t="shared" si="417"/>
        <v>21</v>
      </c>
      <c r="E717" s="13">
        <f>VLOOKUP(C717,'Mortality Table'!$A$5:$E$153,IF(SRP_Gender="female",5,4),FALSE)</f>
        <v>3.0999999999999999E-3</v>
      </c>
      <c r="F717" s="13">
        <f t="shared" si="415"/>
        <v>2.5870111055181777E-4</v>
      </c>
      <c r="G717" s="18">
        <f t="shared" si="418"/>
        <v>0.99511809509701865</v>
      </c>
      <c r="H717" s="35">
        <f t="shared" si="419"/>
        <v>8.4999999999999992E-2</v>
      </c>
      <c r="I717" s="13">
        <f t="shared" si="413"/>
        <v>8.4999999999999992E-2</v>
      </c>
      <c r="J717" s="13">
        <f t="shared" si="414"/>
        <v>0.93760694501141151</v>
      </c>
      <c r="K717" s="106"/>
      <c r="AA717" s="106"/>
    </row>
    <row r="718" spans="3:27">
      <c r="C718" s="17">
        <f t="shared" si="416"/>
        <v>61</v>
      </c>
      <c r="D718" s="13">
        <f t="shared" si="417"/>
        <v>22</v>
      </c>
      <c r="E718" s="13">
        <f>VLOOKUP(C718,'Mortality Table'!$A$5:$E$153,IF(SRP_Gender="female",5,4),FALSE)</f>
        <v>3.0999999999999999E-3</v>
      </c>
      <c r="F718" s="13">
        <f t="shared" si="415"/>
        <v>2.5870111055181777E-4</v>
      </c>
      <c r="G718" s="18">
        <f t="shared" si="418"/>
        <v>0.99486065694068682</v>
      </c>
      <c r="H718" s="35">
        <f t="shared" si="419"/>
        <v>8.4999999999999992E-2</v>
      </c>
      <c r="I718" s="13">
        <f t="shared" si="413"/>
        <v>8.4999999999999992E-2</v>
      </c>
      <c r="J718" s="13">
        <f t="shared" si="414"/>
        <v>0.93473493294843757</v>
      </c>
      <c r="K718" s="106"/>
      <c r="AA718" s="106"/>
    </row>
    <row r="719" spans="3:27">
      <c r="C719" s="17">
        <f t="shared" si="416"/>
        <v>61</v>
      </c>
      <c r="D719" s="13">
        <f t="shared" si="417"/>
        <v>23</v>
      </c>
      <c r="E719" s="13">
        <f>VLOOKUP(C719,'Mortality Table'!$A$5:$E$153,IF(SRP_Gender="female",5,4),FALSE)</f>
        <v>3.0999999999999999E-3</v>
      </c>
      <c r="F719" s="13">
        <f t="shared" si="415"/>
        <v>2.5870111055181777E-4</v>
      </c>
      <c r="G719" s="18">
        <f t="shared" si="418"/>
        <v>0.99460328538389198</v>
      </c>
      <c r="H719" s="35">
        <f t="shared" si="419"/>
        <v>8.4999999999999992E-2</v>
      </c>
      <c r="I719" s="13">
        <f t="shared" si="413"/>
        <v>8.4999999999999992E-2</v>
      </c>
      <c r="J719" s="13">
        <f t="shared" si="414"/>
        <v>0.93187171823208526</v>
      </c>
      <c r="K719" s="106"/>
      <c r="AA719" s="106"/>
    </row>
    <row r="720" spans="3:27">
      <c r="C720" s="17">
        <f t="shared" si="416"/>
        <v>61</v>
      </c>
      <c r="D720" s="13">
        <f t="shared" si="417"/>
        <v>24</v>
      </c>
      <c r="E720" s="13">
        <f>VLOOKUP(C720,'Mortality Table'!$A$5:$E$153,IF(SRP_Gender="female",5,4),FALSE)</f>
        <v>3.0999999999999999E-3</v>
      </c>
      <c r="F720" s="13">
        <f t="shared" si="415"/>
        <v>2.5870111055181777E-4</v>
      </c>
      <c r="G720" s="18">
        <f t="shared" si="418"/>
        <v>0.99434598040940469</v>
      </c>
      <c r="H720" s="35">
        <f t="shared" si="419"/>
        <v>8.4999999999999992E-2</v>
      </c>
      <c r="I720" s="13">
        <f t="shared" si="413"/>
        <v>8.4999999999999992E-2</v>
      </c>
      <c r="J720" s="13">
        <f t="shared" si="414"/>
        <v>0.9290172739149366</v>
      </c>
      <c r="K720" s="106"/>
      <c r="AA720" s="106"/>
    </row>
    <row r="721" spans="3:27">
      <c r="C721" s="17">
        <f t="shared" si="416"/>
        <v>62</v>
      </c>
      <c r="D721" s="13">
        <f t="shared" si="417"/>
        <v>25</v>
      </c>
      <c r="E721" s="13">
        <f>VLOOKUP(C721,'Mortality Table'!$A$5:$E$153,IF(SRP_Gender="female",5,4),FALSE)</f>
        <v>3.405E-3</v>
      </c>
      <c r="F721" s="13">
        <f t="shared" si="415"/>
        <v>2.8419379307587089E-4</v>
      </c>
      <c r="G721" s="18">
        <f t="shared" si="418"/>
        <v>0.99408874200000008</v>
      </c>
      <c r="H721" s="35">
        <f t="shared" si="419"/>
        <v>8.6699999999999999E-2</v>
      </c>
      <c r="I721" s="13">
        <f t="shared" si="413"/>
        <v>8.6699999999999999E-2</v>
      </c>
      <c r="J721" s="13">
        <f t="shared" si="414"/>
        <v>0.9261715731321184</v>
      </c>
      <c r="K721" s="106"/>
      <c r="AA721" s="106"/>
    </row>
    <row r="722" spans="3:27">
      <c r="C722" s="17">
        <f t="shared" si="416"/>
        <v>62</v>
      </c>
      <c r="D722" s="13">
        <f t="shared" si="417"/>
        <v>26</v>
      </c>
      <c r="E722" s="13">
        <f>VLOOKUP(C722,'Mortality Table'!$A$5:$E$153,IF(SRP_Gender="female",5,4),FALSE)</f>
        <v>3.405E-3</v>
      </c>
      <c r="F722" s="13">
        <f t="shared" si="415"/>
        <v>2.8419379307587089E-4</v>
      </c>
      <c r="G722" s="18">
        <f t="shared" si="418"/>
        <v>0.99380622814975705</v>
      </c>
      <c r="H722" s="35">
        <f t="shared" si="419"/>
        <v>8.6699999999999999E-2</v>
      </c>
      <c r="I722" s="13">
        <f t="shared" si="413"/>
        <v>8.6699999999999999E-2</v>
      </c>
      <c r="J722" s="13">
        <f t="shared" si="414"/>
        <v>0.92333458910104727</v>
      </c>
      <c r="K722" s="106"/>
      <c r="AA722" s="106"/>
    </row>
    <row r="723" spans="3:27">
      <c r="C723" s="17">
        <f t="shared" si="416"/>
        <v>62</v>
      </c>
      <c r="D723" s="13">
        <f t="shared" si="417"/>
        <v>27</v>
      </c>
      <c r="E723" s="13">
        <f>VLOOKUP(C723,'Mortality Table'!$A$5:$E$153,IF(SRP_Gender="female",5,4),FALSE)</f>
        <v>3.405E-3</v>
      </c>
      <c r="F723" s="13">
        <f t="shared" si="415"/>
        <v>2.8419379307587089E-4</v>
      </c>
      <c r="G723" s="18">
        <f t="shared" si="418"/>
        <v>0.99352379458819673</v>
      </c>
      <c r="H723" s="35">
        <f t="shared" si="419"/>
        <v>8.6699999999999999E-2</v>
      </c>
      <c r="I723" s="13">
        <f t="shared" si="413"/>
        <v>8.6699999999999999E-2</v>
      </c>
      <c r="J723" s="13">
        <f t="shared" si="414"/>
        <v>0.92050629512117799</v>
      </c>
      <c r="K723" s="106"/>
      <c r="AA723" s="106"/>
    </row>
    <row r="724" spans="3:27">
      <c r="C724" s="17">
        <f t="shared" si="416"/>
        <v>62</v>
      </c>
      <c r="D724" s="13">
        <f t="shared" si="417"/>
        <v>28</v>
      </c>
      <c r="E724" s="13">
        <f>VLOOKUP(C724,'Mortality Table'!$A$5:$E$153,IF(SRP_Gender="female",5,4),FALSE)</f>
        <v>3.405E-3</v>
      </c>
      <c r="F724" s="13">
        <f t="shared" si="415"/>
        <v>2.8419379307587089E-4</v>
      </c>
      <c r="G724" s="18">
        <f t="shared" si="418"/>
        <v>0.99324144129250158</v>
      </c>
      <c r="H724" s="35">
        <f t="shared" si="419"/>
        <v>8.6699999999999999E-2</v>
      </c>
      <c r="I724" s="13">
        <f t="shared" si="413"/>
        <v>8.6699999999999999E-2</v>
      </c>
      <c r="J724" s="13">
        <f t="shared" si="414"/>
        <v>0.9176866645737537</v>
      </c>
      <c r="K724" s="106"/>
      <c r="AA724" s="106"/>
    </row>
    <row r="725" spans="3:27">
      <c r="C725" s="17">
        <f t="shared" si="416"/>
        <v>62</v>
      </c>
      <c r="D725" s="13">
        <f t="shared" si="417"/>
        <v>29</v>
      </c>
      <c r="E725" s="13">
        <f>VLOOKUP(C725,'Mortality Table'!$A$5:$E$153,IF(SRP_Gender="female",5,4),FALSE)</f>
        <v>3.405E-3</v>
      </c>
      <c r="F725" s="13">
        <f t="shared" si="415"/>
        <v>2.8419379307587089E-4</v>
      </c>
      <c r="G725" s="18">
        <f t="shared" si="418"/>
        <v>0.99295916823986052</v>
      </c>
      <c r="H725" s="35">
        <f t="shared" si="419"/>
        <v>8.6699999999999999E-2</v>
      </c>
      <c r="I725" s="13">
        <f t="shared" si="413"/>
        <v>8.6699999999999999E-2</v>
      </c>
      <c r="J725" s="13">
        <f t="shared" si="414"/>
        <v>0.91487567092155353</v>
      </c>
      <c r="K725" s="106"/>
      <c r="AA725" s="106"/>
    </row>
    <row r="726" spans="3:27">
      <c r="C726" s="17">
        <f t="shared" si="416"/>
        <v>62</v>
      </c>
      <c r="D726" s="13">
        <f t="shared" si="417"/>
        <v>30</v>
      </c>
      <c r="E726" s="13">
        <f>VLOOKUP(C726,'Mortality Table'!$A$5:$E$153,IF(SRP_Gender="female",5,4),FALSE)</f>
        <v>3.405E-3</v>
      </c>
      <c r="F726" s="13">
        <f t="shared" si="415"/>
        <v>2.8419379307587089E-4</v>
      </c>
      <c r="G726" s="18">
        <f t="shared" si="418"/>
        <v>0.99267697540746902</v>
      </c>
      <c r="H726" s="35">
        <f t="shared" si="419"/>
        <v>8.6699999999999999E-2</v>
      </c>
      <c r="I726" s="13">
        <f t="shared" si="413"/>
        <v>8.6699999999999999E-2</v>
      </c>
      <c r="J726" s="13">
        <f t="shared" si="414"/>
        <v>0.91207328770864315</v>
      </c>
      <c r="K726" s="106"/>
      <c r="AA726" s="106"/>
    </row>
    <row r="727" spans="3:27">
      <c r="C727" s="17">
        <f t="shared" si="416"/>
        <v>62</v>
      </c>
      <c r="D727" s="13">
        <f t="shared" si="417"/>
        <v>31</v>
      </c>
      <c r="E727" s="13">
        <f>VLOOKUP(C727,'Mortality Table'!$A$5:$E$153,IF(SRP_Gender="female",5,4),FALSE)</f>
        <v>3.405E-3</v>
      </c>
      <c r="F727" s="13">
        <f t="shared" si="415"/>
        <v>2.8419379307587089E-4</v>
      </c>
      <c r="G727" s="18">
        <f t="shared" si="418"/>
        <v>0.99239486277252886</v>
      </c>
      <c r="H727" s="35">
        <f t="shared" si="419"/>
        <v>8.6699999999999999E-2</v>
      </c>
      <c r="I727" s="13">
        <f t="shared" si="413"/>
        <v>8.6699999999999999E-2</v>
      </c>
      <c r="J727" s="13">
        <f t="shared" si="414"/>
        <v>0.90927948856012741</v>
      </c>
      <c r="K727" s="106"/>
      <c r="AA727" s="106"/>
    </row>
    <row r="728" spans="3:27">
      <c r="C728" s="17">
        <f t="shared" si="416"/>
        <v>62</v>
      </c>
      <c r="D728" s="13">
        <f t="shared" si="417"/>
        <v>32</v>
      </c>
      <c r="E728" s="13">
        <f>VLOOKUP(C728,'Mortality Table'!$A$5:$E$153,IF(SRP_Gender="female",5,4),FALSE)</f>
        <v>3.405E-3</v>
      </c>
      <c r="F728" s="13">
        <f t="shared" si="415"/>
        <v>2.8419379307587089E-4</v>
      </c>
      <c r="G728" s="18">
        <f t="shared" si="418"/>
        <v>0.99211283031224851</v>
      </c>
      <c r="H728" s="35">
        <f t="shared" si="419"/>
        <v>8.6699999999999999E-2</v>
      </c>
      <c r="I728" s="13">
        <f t="shared" si="413"/>
        <v>8.6699999999999999E-2</v>
      </c>
      <c r="J728" s="13">
        <f t="shared" si="414"/>
        <v>0.90649424718189975</v>
      </c>
      <c r="K728" s="106"/>
      <c r="AA728" s="106"/>
    </row>
    <row r="729" spans="3:27">
      <c r="C729" s="17">
        <f t="shared" si="416"/>
        <v>62</v>
      </c>
      <c r="D729" s="13">
        <f t="shared" si="417"/>
        <v>33</v>
      </c>
      <c r="E729" s="13">
        <f>VLOOKUP(C729,'Mortality Table'!$A$5:$E$153,IF(SRP_Gender="female",5,4),FALSE)</f>
        <v>3.405E-3</v>
      </c>
      <c r="F729" s="13">
        <f t="shared" si="415"/>
        <v>2.8419379307587089E-4</v>
      </c>
      <c r="G729" s="18">
        <f t="shared" si="418"/>
        <v>0.99183087800384284</v>
      </c>
      <c r="H729" s="35">
        <f t="shared" si="419"/>
        <v>8.6699999999999999E-2</v>
      </c>
      <c r="I729" s="13">
        <f t="shared" si="413"/>
        <v>8.6699999999999999E-2</v>
      </c>
      <c r="J729" s="13">
        <f t="shared" si="414"/>
        <v>0.90371753736039651</v>
      </c>
      <c r="K729" s="106"/>
      <c r="AA729" s="106"/>
    </row>
    <row r="730" spans="3:27">
      <c r="C730" s="17">
        <f t="shared" si="416"/>
        <v>62</v>
      </c>
      <c r="D730" s="13">
        <f t="shared" si="417"/>
        <v>34</v>
      </c>
      <c r="E730" s="13">
        <f>VLOOKUP(C730,'Mortality Table'!$A$5:$E$153,IF(SRP_Gender="female",5,4),FALSE)</f>
        <v>3.405E-3</v>
      </c>
      <c r="F730" s="13">
        <f t="shared" si="415"/>
        <v>2.8419379307587089E-4</v>
      </c>
      <c r="G730" s="18">
        <f t="shared" si="418"/>
        <v>0.9915490058245332</v>
      </c>
      <c r="H730" s="35">
        <f t="shared" si="419"/>
        <v>8.6699999999999999E-2</v>
      </c>
      <c r="I730" s="13">
        <f t="shared" si="413"/>
        <v>8.6699999999999999E-2</v>
      </c>
      <c r="J730" s="13">
        <f t="shared" si="414"/>
        <v>0.90094933296234936</v>
      </c>
      <c r="K730" s="106"/>
      <c r="AA730" s="106"/>
    </row>
    <row r="731" spans="3:27">
      <c r="C731" s="17">
        <f t="shared" si="416"/>
        <v>62</v>
      </c>
      <c r="D731" s="13">
        <f t="shared" si="417"/>
        <v>35</v>
      </c>
      <c r="E731" s="13">
        <f>VLOOKUP(C731,'Mortality Table'!$A$5:$E$153,IF(SRP_Gender="female",5,4),FALSE)</f>
        <v>3.405E-3</v>
      </c>
      <c r="F731" s="13">
        <f t="shared" si="415"/>
        <v>2.8419379307587089E-4</v>
      </c>
      <c r="G731" s="18">
        <f t="shared" si="418"/>
        <v>0.99126721375154736</v>
      </c>
      <c r="H731" s="35">
        <f t="shared" si="419"/>
        <v>8.6699999999999999E-2</v>
      </c>
      <c r="I731" s="13">
        <f t="shared" si="413"/>
        <v>8.6699999999999999E-2</v>
      </c>
      <c r="J731" s="13">
        <f t="shared" si="414"/>
        <v>0.89818960793453984</v>
      </c>
      <c r="K731" s="106"/>
      <c r="AA731" s="106"/>
    </row>
    <row r="732" spans="3:27">
      <c r="C732" s="17">
        <f t="shared" si="416"/>
        <v>62</v>
      </c>
      <c r="D732" s="13">
        <f t="shared" si="417"/>
        <v>36</v>
      </c>
      <c r="E732" s="13">
        <f>VLOOKUP(C732,'Mortality Table'!$A$5:$E$153,IF(SRP_Gender="female",5,4),FALSE)</f>
        <v>3.405E-3</v>
      </c>
      <c r="F732" s="13">
        <f t="shared" si="415"/>
        <v>2.8419379307587089E-4</v>
      </c>
      <c r="G732" s="18">
        <f t="shared" si="418"/>
        <v>0.99098550176211953</v>
      </c>
      <c r="H732" s="35">
        <f t="shared" si="419"/>
        <v>8.6699999999999999E-2</v>
      </c>
      <c r="I732" s="13">
        <f t="shared" si="413"/>
        <v>8.6699999999999999E-2</v>
      </c>
      <c r="J732" s="13">
        <f t="shared" si="414"/>
        <v>0.89543833630355341</v>
      </c>
      <c r="K732" s="106"/>
      <c r="AA732" s="106"/>
    </row>
    <row r="733" spans="3:27">
      <c r="C733" s="17">
        <f t="shared" si="416"/>
        <v>63</v>
      </c>
      <c r="D733" s="13">
        <f t="shared" si="417"/>
        <v>37</v>
      </c>
      <c r="E733" s="13">
        <f>VLOOKUP(C733,'Mortality Table'!$A$5:$E$153,IF(SRP_Gender="female",5,4),FALSE)</f>
        <v>3.725E-3</v>
      </c>
      <c r="F733" s="13">
        <f t="shared" si="415"/>
        <v>3.1094790314989407E-4</v>
      </c>
      <c r="G733" s="18">
        <f t="shared" si="418"/>
        <v>0.99070386983349057</v>
      </c>
      <c r="H733" s="35">
        <f t="shared" si="419"/>
        <v>8.8433999999999999E-2</v>
      </c>
      <c r="I733" s="13">
        <f t="shared" si="413"/>
        <v>8.8433999999999999E-2</v>
      </c>
      <c r="J733" s="13">
        <f t="shared" si="414"/>
        <v>0.8926954921755359</v>
      </c>
      <c r="K733" s="106"/>
      <c r="AA733" s="106"/>
    </row>
    <row r="734" spans="3:27">
      <c r="C734" s="17">
        <f t="shared" si="416"/>
        <v>63</v>
      </c>
      <c r="D734" s="13">
        <f t="shared" si="417"/>
        <v>38</v>
      </c>
      <c r="E734" s="13">
        <f>VLOOKUP(C734,'Mortality Table'!$A$5:$E$153,IF(SRP_Gender="female",5,4),FALSE)</f>
        <v>3.725E-3</v>
      </c>
      <c r="F734" s="13">
        <f t="shared" si="415"/>
        <v>3.1094790314989407E-4</v>
      </c>
      <c r="G734" s="18">
        <f t="shared" si="418"/>
        <v>0.9903958125425234</v>
      </c>
      <c r="H734" s="35">
        <f t="shared" si="419"/>
        <v>8.8433999999999999E-2</v>
      </c>
      <c r="I734" s="13">
        <f t="shared" si="413"/>
        <v>8.8433999999999999E-2</v>
      </c>
      <c r="J734" s="13">
        <f t="shared" si="414"/>
        <v>0.88996104973594903</v>
      </c>
      <c r="K734" s="106"/>
      <c r="AA734" s="106"/>
    </row>
    <row r="735" spans="3:27">
      <c r="C735" s="17">
        <f t="shared" si="416"/>
        <v>63</v>
      </c>
      <c r="D735" s="13">
        <f t="shared" si="417"/>
        <v>39</v>
      </c>
      <c r="E735" s="13">
        <f>VLOOKUP(C735,'Mortality Table'!$A$5:$E$153,IF(SRP_Gender="female",5,4),FALSE)</f>
        <v>3.725E-3</v>
      </c>
      <c r="F735" s="13">
        <f t="shared" si="415"/>
        <v>3.1094790314989407E-4</v>
      </c>
      <c r="G735" s="18">
        <f t="shared" si="418"/>
        <v>0.99008785104132491</v>
      </c>
      <c r="H735" s="35">
        <f t="shared" si="419"/>
        <v>8.8433999999999999E-2</v>
      </c>
      <c r="I735" s="13">
        <f t="shared" si="413"/>
        <v>8.8433999999999999E-2</v>
      </c>
      <c r="J735" s="13">
        <f t="shared" si="414"/>
        <v>0.88723498324932826</v>
      </c>
      <c r="K735" s="106"/>
      <c r="AA735" s="106"/>
    </row>
    <row r="736" spans="3:27">
      <c r="C736" s="17">
        <f t="shared" si="416"/>
        <v>63</v>
      </c>
      <c r="D736" s="13">
        <f t="shared" si="417"/>
        <v>40</v>
      </c>
      <c r="E736" s="13">
        <f>VLOOKUP(C736,'Mortality Table'!$A$5:$E$153,IF(SRP_Gender="female",5,4),FALSE)</f>
        <v>3.725E-3</v>
      </c>
      <c r="F736" s="13">
        <f t="shared" si="415"/>
        <v>3.1094790314989407E-4</v>
      </c>
      <c r="G736" s="18">
        <f t="shared" si="418"/>
        <v>0.98977998530010947</v>
      </c>
      <c r="H736" s="35">
        <f t="shared" si="419"/>
        <v>8.8433999999999999E-2</v>
      </c>
      <c r="I736" s="13">
        <f t="shared" si="413"/>
        <v>8.8433999999999999E-2</v>
      </c>
      <c r="J736" s="13">
        <f t="shared" si="414"/>
        <v>0.88451726705903977</v>
      </c>
      <c r="K736" s="106"/>
      <c r="AA736" s="106"/>
    </row>
    <row r="737" spans="3:27">
      <c r="C737" s="17">
        <f t="shared" si="416"/>
        <v>63</v>
      </c>
      <c r="D737" s="13">
        <f t="shared" si="417"/>
        <v>41</v>
      </c>
      <c r="E737" s="13">
        <f>VLOOKUP(C737,'Mortality Table'!$A$5:$E$153,IF(SRP_Gender="female",5,4),FALSE)</f>
        <v>3.725E-3</v>
      </c>
      <c r="F737" s="13">
        <f t="shared" si="415"/>
        <v>3.1094790314989407E-4</v>
      </c>
      <c r="G737" s="18">
        <f t="shared" si="418"/>
        <v>0.98947221528910068</v>
      </c>
      <c r="H737" s="35">
        <f t="shared" si="419"/>
        <v>8.8433999999999999E-2</v>
      </c>
      <c r="I737" s="13">
        <f t="shared" si="413"/>
        <v>8.8433999999999999E-2</v>
      </c>
      <c r="J737" s="13">
        <f t="shared" si="414"/>
        <v>0.88180787558703932</v>
      </c>
      <c r="K737" s="106"/>
      <c r="AA737" s="106"/>
    </row>
    <row r="738" spans="3:27">
      <c r="C738" s="17">
        <f t="shared" si="416"/>
        <v>63</v>
      </c>
      <c r="D738" s="13">
        <f t="shared" si="417"/>
        <v>42</v>
      </c>
      <c r="E738" s="13">
        <f>VLOOKUP(C738,'Mortality Table'!$A$5:$E$153,IF(SRP_Gender="female",5,4),FALSE)</f>
        <v>3.725E-3</v>
      </c>
      <c r="F738" s="13">
        <f t="shared" si="415"/>
        <v>3.1094790314989407E-4</v>
      </c>
      <c r="G738" s="18">
        <f t="shared" si="418"/>
        <v>0.98916454097853146</v>
      </c>
      <c r="H738" s="35">
        <f t="shared" si="419"/>
        <v>8.8433999999999999E-2</v>
      </c>
      <c r="I738" s="13">
        <f t="shared" si="413"/>
        <v>8.8433999999999999E-2</v>
      </c>
      <c r="J738" s="13">
        <f t="shared" si="414"/>
        <v>0.8791067833336319</v>
      </c>
      <c r="K738" s="106"/>
      <c r="AA738" s="106"/>
    </row>
    <row r="739" spans="3:27">
      <c r="C739" s="17">
        <f t="shared" si="416"/>
        <v>63</v>
      </c>
      <c r="D739" s="13">
        <f t="shared" si="417"/>
        <v>43</v>
      </c>
      <c r="E739" s="13">
        <f>VLOOKUP(C739,'Mortality Table'!$A$5:$E$153,IF(SRP_Gender="female",5,4),FALSE)</f>
        <v>3.725E-3</v>
      </c>
      <c r="F739" s="13">
        <f t="shared" si="415"/>
        <v>3.1094790314989407E-4</v>
      </c>
      <c r="G739" s="18">
        <f t="shared" si="418"/>
        <v>0.98885696233864395</v>
      </c>
      <c r="H739" s="35">
        <f t="shared" si="419"/>
        <v>8.8433999999999999E-2</v>
      </c>
      <c r="I739" s="13">
        <f t="shared" si="413"/>
        <v>8.8433999999999999E-2</v>
      </c>
      <c r="J739" s="13">
        <f t="shared" si="414"/>
        <v>0.87641396487723111</v>
      </c>
      <c r="K739" s="106"/>
      <c r="AA739" s="106"/>
    </row>
    <row r="740" spans="3:27">
      <c r="C740" s="17">
        <f t="shared" si="416"/>
        <v>63</v>
      </c>
      <c r="D740" s="13">
        <f t="shared" si="417"/>
        <v>44</v>
      </c>
      <c r="E740" s="13">
        <f>VLOOKUP(C740,'Mortality Table'!$A$5:$E$153,IF(SRP_Gender="female",5,4),FALSE)</f>
        <v>3.725E-3</v>
      </c>
      <c r="F740" s="13">
        <f t="shared" si="415"/>
        <v>3.1094790314989407E-4</v>
      </c>
      <c r="G740" s="18">
        <f t="shared" si="418"/>
        <v>0.98854947933968962</v>
      </c>
      <c r="H740" s="35">
        <f t="shared" si="419"/>
        <v>8.8433999999999999E-2</v>
      </c>
      <c r="I740" s="13">
        <f t="shared" si="413"/>
        <v>8.8433999999999999E-2</v>
      </c>
      <c r="J740" s="13">
        <f t="shared" si="414"/>
        <v>0.87372939487412016</v>
      </c>
      <c r="K740" s="106"/>
      <c r="AA740" s="106"/>
    </row>
    <row r="741" spans="3:27">
      <c r="C741" s="17">
        <f t="shared" si="416"/>
        <v>63</v>
      </c>
      <c r="D741" s="13">
        <f t="shared" si="417"/>
        <v>45</v>
      </c>
      <c r="E741" s="13">
        <f>VLOOKUP(C741,'Mortality Table'!$A$5:$E$153,IF(SRP_Gender="female",5,4),FALSE)</f>
        <v>3.725E-3</v>
      </c>
      <c r="F741" s="13">
        <f t="shared" si="415"/>
        <v>3.1094790314989407E-4</v>
      </c>
      <c r="G741" s="18">
        <f t="shared" si="418"/>
        <v>0.98824209195192902</v>
      </c>
      <c r="H741" s="35">
        <f t="shared" si="419"/>
        <v>8.8433999999999999E-2</v>
      </c>
      <c r="I741" s="13">
        <f t="shared" si="413"/>
        <v>8.8433999999999999E-2</v>
      </c>
      <c r="J741" s="13">
        <f t="shared" si="414"/>
        <v>0.87105304805821349</v>
      </c>
      <c r="K741" s="106"/>
      <c r="AA741" s="106"/>
    </row>
    <row r="742" spans="3:27">
      <c r="C742" s="17">
        <f t="shared" si="416"/>
        <v>63</v>
      </c>
      <c r="D742" s="13">
        <f t="shared" si="417"/>
        <v>46</v>
      </c>
      <c r="E742" s="13">
        <f>VLOOKUP(C742,'Mortality Table'!$A$5:$E$153,IF(SRP_Gender="female",5,4),FALSE)</f>
        <v>3.725E-3</v>
      </c>
      <c r="F742" s="13">
        <f t="shared" si="415"/>
        <v>3.1094790314989407E-4</v>
      </c>
      <c r="G742" s="18">
        <f t="shared" si="418"/>
        <v>0.98793480014563206</v>
      </c>
      <c r="H742" s="35">
        <f t="shared" si="419"/>
        <v>8.8433999999999999E-2</v>
      </c>
      <c r="I742" s="13">
        <f t="shared" si="413"/>
        <v>8.8433999999999999E-2</v>
      </c>
      <c r="J742" s="13">
        <f t="shared" si="414"/>
        <v>0.86838489924081863</v>
      </c>
      <c r="K742" s="106"/>
      <c r="AA742" s="106"/>
    </row>
    <row r="743" spans="3:27">
      <c r="C743" s="17">
        <f t="shared" si="416"/>
        <v>63</v>
      </c>
      <c r="D743" s="13">
        <f t="shared" si="417"/>
        <v>47</v>
      </c>
      <c r="E743" s="13">
        <f>VLOOKUP(C743,'Mortality Table'!$A$5:$E$153,IF(SRP_Gender="female",5,4),FALSE)</f>
        <v>3.725E-3</v>
      </c>
      <c r="F743" s="13">
        <f t="shared" si="415"/>
        <v>3.1094790314989407E-4</v>
      </c>
      <c r="G743" s="18">
        <f t="shared" si="418"/>
        <v>0.98762760389107795</v>
      </c>
      <c r="H743" s="35">
        <f t="shared" si="419"/>
        <v>8.8433999999999999E-2</v>
      </c>
      <c r="I743" s="13">
        <f t="shared" si="413"/>
        <v>8.8433999999999999E-2</v>
      </c>
      <c r="J743" s="13">
        <f t="shared" si="414"/>
        <v>0.86572492331039974</v>
      </c>
      <c r="K743" s="106"/>
      <c r="AA743" s="106"/>
    </row>
    <row r="744" spans="3:27">
      <c r="C744" s="17">
        <f t="shared" si="416"/>
        <v>63</v>
      </c>
      <c r="D744" s="13">
        <f t="shared" si="417"/>
        <v>48</v>
      </c>
      <c r="E744" s="13">
        <f>VLOOKUP(C744,'Mortality Table'!$A$5:$E$153,IF(SRP_Gender="female",5,4),FALSE)</f>
        <v>3.725E-3</v>
      </c>
      <c r="F744" s="13">
        <f t="shared" si="415"/>
        <v>3.1094790314989407E-4</v>
      </c>
      <c r="G744" s="18">
        <f t="shared" si="418"/>
        <v>0.98732050315855502</v>
      </c>
      <c r="H744" s="35">
        <f t="shared" si="419"/>
        <v>8.8433999999999999E-2</v>
      </c>
      <c r="I744" s="13">
        <f t="shared" si="413"/>
        <v>8.8433999999999999E-2</v>
      </c>
      <c r="J744" s="13">
        <f t="shared" si="414"/>
        <v>0.86307309523234044</v>
      </c>
      <c r="K744" s="106"/>
      <c r="AA744" s="106"/>
    </row>
    <row r="745" spans="3:27">
      <c r="C745" s="17">
        <f t="shared" si="416"/>
        <v>64</v>
      </c>
      <c r="D745" s="13">
        <f t="shared" si="417"/>
        <v>49</v>
      </c>
      <c r="E745" s="13">
        <f>VLOOKUP(C745,'Mortality Table'!$A$5:$E$153,IF(SRP_Gender="female",5,4),FALSE)</f>
        <v>4.0600000000000002E-3</v>
      </c>
      <c r="F745" s="13">
        <f t="shared" si="415"/>
        <v>3.3896455319337715E-4</v>
      </c>
      <c r="G745" s="18">
        <f t="shared" si="418"/>
        <v>0.98701349791836102</v>
      </c>
      <c r="H745" s="35">
        <f t="shared" si="419"/>
        <v>9.0202679999999993E-2</v>
      </c>
      <c r="I745" s="13">
        <f t="shared" si="413"/>
        <v>9.0202679999999993E-2</v>
      </c>
      <c r="J745" s="13">
        <f t="shared" si="414"/>
        <v>0.86042939004870911</v>
      </c>
      <c r="K745" s="106"/>
      <c r="AA745" s="106"/>
    </row>
    <row r="746" spans="3:27">
      <c r="C746" s="17">
        <f t="shared" si="416"/>
        <v>64</v>
      </c>
      <c r="D746" s="13">
        <f t="shared" si="417"/>
        <v>50</v>
      </c>
      <c r="E746" s="13">
        <f>VLOOKUP(C746,'Mortality Table'!$A$5:$E$153,IF(SRP_Gender="female",5,4),FALSE)</f>
        <v>4.0600000000000002E-3</v>
      </c>
      <c r="F746" s="13">
        <f t="shared" si="415"/>
        <v>3.3896455319337715E-4</v>
      </c>
      <c r="G746" s="18">
        <f t="shared" si="418"/>
        <v>0.98667893532904327</v>
      </c>
      <c r="H746" s="35">
        <f t="shared" si="419"/>
        <v>9.0202679999999993E-2</v>
      </c>
      <c r="I746" s="13">
        <f t="shared" si="413"/>
        <v>9.0202679999999993E-2</v>
      </c>
      <c r="J746" s="13">
        <f t="shared" si="414"/>
        <v>0.85779378287802299</v>
      </c>
      <c r="K746" s="106"/>
      <c r="AA746" s="106"/>
    </row>
    <row r="747" spans="3:27">
      <c r="C747" s="17">
        <f t="shared" si="416"/>
        <v>64</v>
      </c>
      <c r="D747" s="13">
        <f t="shared" si="417"/>
        <v>51</v>
      </c>
      <c r="E747" s="13">
        <f>VLOOKUP(C747,'Mortality Table'!$A$5:$E$153,IF(SRP_Gender="female",5,4),FALSE)</f>
        <v>4.0600000000000002E-3</v>
      </c>
      <c r="F747" s="13">
        <f t="shared" si="415"/>
        <v>3.3896455319337715E-4</v>
      </c>
      <c r="G747" s="18">
        <f t="shared" si="418"/>
        <v>0.98634448614458414</v>
      </c>
      <c r="H747" s="35">
        <f t="shared" si="419"/>
        <v>9.0202679999999993E-2</v>
      </c>
      <c r="I747" s="13">
        <f t="shared" si="413"/>
        <v>9.0202679999999993E-2</v>
      </c>
      <c r="J747" s="13">
        <f t="shared" si="414"/>
        <v>0.85516624891501514</v>
      </c>
      <c r="K747" s="106"/>
      <c r="AA747" s="106"/>
    </row>
    <row r="748" spans="3:27">
      <c r="C748" s="17">
        <f t="shared" si="416"/>
        <v>64</v>
      </c>
      <c r="D748" s="13">
        <f t="shared" si="417"/>
        <v>52</v>
      </c>
      <c r="E748" s="13">
        <f>VLOOKUP(C748,'Mortality Table'!$A$5:$E$153,IF(SRP_Gender="female",5,4),FALSE)</f>
        <v>4.0600000000000002E-3</v>
      </c>
      <c r="F748" s="13">
        <f t="shared" si="415"/>
        <v>3.3896455319337715E-4</v>
      </c>
      <c r="G748" s="18">
        <f t="shared" si="418"/>
        <v>0.98601015032654338</v>
      </c>
      <c r="H748" s="35">
        <f t="shared" si="419"/>
        <v>9.0202679999999993E-2</v>
      </c>
      <c r="I748" s="13">
        <f t="shared" si="413"/>
        <v>9.0202679999999993E-2</v>
      </c>
      <c r="J748" s="13">
        <f t="shared" si="414"/>
        <v>0.8525467634303997</v>
      </c>
      <c r="K748" s="106"/>
      <c r="AA748" s="106"/>
    </row>
    <row r="749" spans="3:27">
      <c r="C749" s="17">
        <f t="shared" si="416"/>
        <v>64</v>
      </c>
      <c r="D749" s="13">
        <f t="shared" si="417"/>
        <v>53</v>
      </c>
      <c r="E749" s="13">
        <f>VLOOKUP(C749,'Mortality Table'!$A$5:$E$153,IF(SRP_Gender="female",5,4),FALSE)</f>
        <v>4.0600000000000002E-3</v>
      </c>
      <c r="F749" s="13">
        <f t="shared" si="415"/>
        <v>3.3896455319337715E-4</v>
      </c>
      <c r="G749" s="18">
        <f t="shared" si="418"/>
        <v>0.98567592783649383</v>
      </c>
      <c r="H749" s="35">
        <f t="shared" si="419"/>
        <v>9.0202679999999993E-2</v>
      </c>
      <c r="I749" s="13">
        <f t="shared" si="413"/>
        <v>9.0202679999999993E-2</v>
      </c>
      <c r="J749" s="13">
        <f t="shared" si="414"/>
        <v>0.84993530177064036</v>
      </c>
      <c r="K749" s="106"/>
      <c r="AA749" s="106"/>
    </row>
    <row r="750" spans="3:27">
      <c r="C750" s="17">
        <f t="shared" si="416"/>
        <v>64</v>
      </c>
      <c r="D750" s="13">
        <f t="shared" si="417"/>
        <v>54</v>
      </c>
      <c r="E750" s="13">
        <f>VLOOKUP(C750,'Mortality Table'!$A$5:$E$153,IF(SRP_Gender="female",5,4),FALSE)</f>
        <v>4.0600000000000002E-3</v>
      </c>
      <c r="F750" s="13">
        <f t="shared" si="415"/>
        <v>3.3896455319337715E-4</v>
      </c>
      <c r="G750" s="18">
        <f t="shared" si="418"/>
        <v>0.98534181863602122</v>
      </c>
      <c r="H750" s="35">
        <f t="shared" si="419"/>
        <v>9.0202679999999993E-2</v>
      </c>
      <c r="I750" s="13">
        <f t="shared" si="413"/>
        <v>9.0202679999999993E-2</v>
      </c>
      <c r="J750" s="13">
        <f t="shared" si="414"/>
        <v>0.8473318393577175</v>
      </c>
      <c r="K750" s="106"/>
      <c r="AA750" s="106"/>
    </row>
    <row r="751" spans="3:27">
      <c r="C751" s="17">
        <f t="shared" si="416"/>
        <v>64</v>
      </c>
      <c r="D751" s="13">
        <f t="shared" si="417"/>
        <v>55</v>
      </c>
      <c r="E751" s="13">
        <f>VLOOKUP(C751,'Mortality Table'!$A$5:$E$153,IF(SRP_Gender="female",5,4),FALSE)</f>
        <v>4.0600000000000002E-3</v>
      </c>
      <c r="F751" s="13">
        <f t="shared" si="415"/>
        <v>3.3896455319337715E-4</v>
      </c>
      <c r="G751" s="18">
        <f t="shared" si="418"/>
        <v>0.98500782268672449</v>
      </c>
      <c r="H751" s="35">
        <f t="shared" si="419"/>
        <v>9.0202679999999993E-2</v>
      </c>
      <c r="I751" s="13">
        <f t="shared" si="413"/>
        <v>9.0202679999999993E-2</v>
      </c>
      <c r="J751" s="13">
        <f t="shared" si="414"/>
        <v>0.84473635168889738</v>
      </c>
      <c r="K751" s="106"/>
      <c r="AA751" s="106"/>
    </row>
    <row r="752" spans="3:27">
      <c r="C752" s="17">
        <f t="shared" si="416"/>
        <v>64</v>
      </c>
      <c r="D752" s="13">
        <f t="shared" si="417"/>
        <v>56</v>
      </c>
      <c r="E752" s="13">
        <f>VLOOKUP(C752,'Mortality Table'!$A$5:$E$153,IF(SRP_Gender="female",5,4),FALSE)</f>
        <v>4.0600000000000002E-3</v>
      </c>
      <c r="F752" s="13">
        <f t="shared" si="415"/>
        <v>3.3896455319337715E-4</v>
      </c>
      <c r="G752" s="18">
        <f t="shared" si="418"/>
        <v>0.98467393995021546</v>
      </c>
      <c r="H752" s="35">
        <f t="shared" si="419"/>
        <v>9.0202679999999993E-2</v>
      </c>
      <c r="I752" s="13">
        <f t="shared" si="413"/>
        <v>9.0202679999999993E-2</v>
      </c>
      <c r="J752" s="13">
        <f t="shared" si="414"/>
        <v>0.84214881433650124</v>
      </c>
      <c r="K752" s="106"/>
      <c r="AA752" s="106"/>
    </row>
    <row r="753" spans="3:27">
      <c r="C753" s="17">
        <f t="shared" si="416"/>
        <v>64</v>
      </c>
      <c r="D753" s="13">
        <f t="shared" si="417"/>
        <v>57</v>
      </c>
      <c r="E753" s="13">
        <f>VLOOKUP(C753,'Mortality Table'!$A$5:$E$153,IF(SRP_Gender="female",5,4),FALSE)</f>
        <v>4.0600000000000002E-3</v>
      </c>
      <c r="F753" s="13">
        <f t="shared" si="415"/>
        <v>3.3896455319337715E-4</v>
      </c>
      <c r="G753" s="18">
        <f t="shared" si="418"/>
        <v>0.98434017038811905</v>
      </c>
      <c r="H753" s="35">
        <f t="shared" si="419"/>
        <v>9.0202679999999993E-2</v>
      </c>
      <c r="I753" s="13">
        <f t="shared" si="413"/>
        <v>9.0202679999999993E-2</v>
      </c>
      <c r="J753" s="13">
        <f t="shared" si="414"/>
        <v>0.83956920294767545</v>
      </c>
      <c r="K753" s="106"/>
      <c r="AA753" s="106"/>
    </row>
    <row r="754" spans="3:27">
      <c r="C754" s="17">
        <f t="shared" si="416"/>
        <v>64</v>
      </c>
      <c r="D754" s="13">
        <f t="shared" si="417"/>
        <v>58</v>
      </c>
      <c r="E754" s="13">
        <f>VLOOKUP(C754,'Mortality Table'!$A$5:$E$153,IF(SRP_Gender="female",5,4),FALSE)</f>
        <v>4.0600000000000002E-3</v>
      </c>
      <c r="F754" s="13">
        <f t="shared" si="415"/>
        <v>3.3896455319337715E-4</v>
      </c>
      <c r="G754" s="18">
        <f t="shared" si="418"/>
        <v>0.98400651396207317</v>
      </c>
      <c r="H754" s="35">
        <f t="shared" si="419"/>
        <v>9.0202679999999993E-2</v>
      </c>
      <c r="I754" s="13">
        <f t="shared" si="413"/>
        <v>9.0202679999999993E-2</v>
      </c>
      <c r="J754" s="13">
        <f t="shared" si="414"/>
        <v>0.8369974932441625</v>
      </c>
      <c r="K754" s="106"/>
      <c r="AA754" s="106"/>
    </row>
    <row r="755" spans="3:27">
      <c r="C755" s="17">
        <f t="shared" si="416"/>
        <v>64</v>
      </c>
      <c r="D755" s="13">
        <f t="shared" si="417"/>
        <v>59</v>
      </c>
      <c r="E755" s="13">
        <f>VLOOKUP(C755,'Mortality Table'!$A$5:$E$153,IF(SRP_Gender="female",5,4),FALSE)</f>
        <v>4.0600000000000002E-3</v>
      </c>
      <c r="F755" s="13">
        <f t="shared" si="415"/>
        <v>3.3896455319337715E-4</v>
      </c>
      <c r="G755" s="18">
        <f t="shared" si="418"/>
        <v>0.9836729706337286</v>
      </c>
      <c r="H755" s="35">
        <f t="shared" si="419"/>
        <v>9.0202679999999993E-2</v>
      </c>
      <c r="I755" s="13">
        <f t="shared" si="413"/>
        <v>9.0202679999999993E-2</v>
      </c>
      <c r="J755" s="13">
        <f t="shared" si="414"/>
        <v>0.83443366102207184</v>
      </c>
      <c r="K755" s="106"/>
      <c r="AA755" s="106"/>
    </row>
    <row r="756" spans="3:27">
      <c r="C756" s="17">
        <f t="shared" si="416"/>
        <v>64</v>
      </c>
      <c r="D756" s="13">
        <f t="shared" si="417"/>
        <v>60</v>
      </c>
      <c r="E756" s="13">
        <f>VLOOKUP(C756,'Mortality Table'!$A$5:$E$153,IF(SRP_Gender="female",5,4),FALSE)</f>
        <v>4.0600000000000002E-3</v>
      </c>
      <c r="F756" s="13">
        <f t="shared" si="415"/>
        <v>3.3896455319337715E-4</v>
      </c>
      <c r="G756" s="18">
        <f t="shared" si="418"/>
        <v>0.98333954036474935</v>
      </c>
      <c r="H756" s="35">
        <f t="shared" si="419"/>
        <v>9.0202679999999993E-2</v>
      </c>
      <c r="I756" s="13">
        <f t="shared" si="413"/>
        <v>9.0202679999999993E-2</v>
      </c>
      <c r="J756" s="13">
        <f t="shared" si="414"/>
        <v>0.83187768215165325</v>
      </c>
      <c r="K756" s="106"/>
      <c r="AA756" s="106"/>
    </row>
    <row r="757" spans="3:27">
      <c r="C757" s="17">
        <f t="shared" si="416"/>
        <v>65</v>
      </c>
      <c r="D757" s="13">
        <f t="shared" si="417"/>
        <v>61</v>
      </c>
      <c r="E757" s="13">
        <f>VLOOKUP(C757,'Mortality Table'!$A$5:$E$153,IF(SRP_Gender="female",5,4),FALSE)</f>
        <v>4.4349999999999997E-3</v>
      </c>
      <c r="F757" s="13">
        <f t="shared" si="415"/>
        <v>3.7033672402320139E-4</v>
      </c>
      <c r="G757" s="18">
        <f t="shared" si="418"/>
        <v>0.98300622311681218</v>
      </c>
      <c r="H757" s="35">
        <f t="shared" si="419"/>
        <v>9.2006733600000001E-2</v>
      </c>
      <c r="I757" s="13">
        <f t="shared" si="413"/>
        <v>9.0443191697450701E-2</v>
      </c>
      <c r="J757" s="13">
        <f t="shared" si="414"/>
        <v>0.82932953257706898</v>
      </c>
      <c r="K757" s="106"/>
      <c r="AA757" s="106"/>
    </row>
    <row r="758" spans="3:27">
      <c r="C758" s="17">
        <f t="shared" si="416"/>
        <v>65</v>
      </c>
      <c r="D758" s="13">
        <f t="shared" si="417"/>
        <v>62</v>
      </c>
      <c r="E758" s="13">
        <f>VLOOKUP(C758,'Mortality Table'!$A$5:$E$153,IF(SRP_Gender="female",5,4),FALSE)</f>
        <v>4.4349999999999997E-3</v>
      </c>
      <c r="F758" s="13">
        <f t="shared" si="415"/>
        <v>3.7033672402320139E-4</v>
      </c>
      <c r="G758" s="18">
        <f t="shared" si="418"/>
        <v>0.98264217981244872</v>
      </c>
      <c r="H758" s="35">
        <f t="shared" si="419"/>
        <v>9.2006733600000001E-2</v>
      </c>
      <c r="I758" s="13">
        <f t="shared" si="413"/>
        <v>9.0409697262127275E-2</v>
      </c>
      <c r="J758" s="13">
        <f t="shared" si="414"/>
        <v>0.82678918831616677</v>
      </c>
      <c r="K758" s="106"/>
      <c r="AA758" s="106"/>
    </row>
    <row r="759" spans="3:27">
      <c r="C759" s="17">
        <f t="shared" si="416"/>
        <v>65</v>
      </c>
      <c r="D759" s="13">
        <f t="shared" si="417"/>
        <v>63</v>
      </c>
      <c r="E759" s="13">
        <f>VLOOKUP(C759,'Mortality Table'!$A$5:$E$153,IF(SRP_Gender="female",5,4),FALSE)</f>
        <v>4.4349999999999997E-3</v>
      </c>
      <c r="F759" s="13">
        <f t="shared" si="415"/>
        <v>3.7033672402320139E-4</v>
      </c>
      <c r="G759" s="18">
        <f t="shared" si="418"/>
        <v>0.98227827132668999</v>
      </c>
      <c r="H759" s="35">
        <f t="shared" si="419"/>
        <v>9.2006733600000001E-2</v>
      </c>
      <c r="I759" s="13">
        <f t="shared" si="413"/>
        <v>9.037621523102328E-2</v>
      </c>
      <c r="J759" s="13">
        <f t="shared" si="414"/>
        <v>0.82425662546025547</v>
      </c>
      <c r="K759" s="106"/>
      <c r="AA759" s="106"/>
    </row>
    <row r="760" spans="3:27">
      <c r="C760" s="17">
        <f t="shared" si="416"/>
        <v>65</v>
      </c>
      <c r="D760" s="13">
        <f t="shared" si="417"/>
        <v>64</v>
      </c>
      <c r="E760" s="13">
        <f>VLOOKUP(C760,'Mortality Table'!$A$5:$E$153,IF(SRP_Gender="female",5,4),FALSE)</f>
        <v>4.4349999999999997E-3</v>
      </c>
      <c r="F760" s="13">
        <f t="shared" si="415"/>
        <v>3.7033672402320139E-4</v>
      </c>
      <c r="G760" s="18">
        <f t="shared" si="418"/>
        <v>0.98191449760960769</v>
      </c>
      <c r="H760" s="35">
        <f t="shared" si="419"/>
        <v>9.2006733600000001E-2</v>
      </c>
      <c r="I760" s="13">
        <f t="shared" si="413"/>
        <v>9.0342745599545013E-2</v>
      </c>
      <c r="J760" s="13">
        <f t="shared" si="414"/>
        <v>0.82173182017387902</v>
      </c>
      <c r="K760" s="106"/>
      <c r="AA760" s="106"/>
    </row>
    <row r="761" spans="3:27">
      <c r="C761" s="17">
        <f t="shared" si="416"/>
        <v>65</v>
      </c>
      <c r="D761" s="13">
        <f t="shared" si="417"/>
        <v>65</v>
      </c>
      <c r="E761" s="13">
        <f>VLOOKUP(C761,'Mortality Table'!$A$5:$E$153,IF(SRP_Gender="female",5,4),FALSE)</f>
        <v>4.4349999999999997E-3</v>
      </c>
      <c r="F761" s="13">
        <f t="shared" si="415"/>
        <v>3.7033672402320139E-4</v>
      </c>
      <c r="G761" s="18">
        <f t="shared" si="418"/>
        <v>0.9815508586112921</v>
      </c>
      <c r="H761" s="35">
        <f t="shared" si="419"/>
        <v>9.2006733600000001E-2</v>
      </c>
      <c r="I761" s="13">
        <f t="shared" ref="I761:I824" si="420">IF(D761&lt;=12*SRP_Annuity_Gtee_Period,H761,H761*G761)</f>
        <v>9.0309288363100426E-2</v>
      </c>
      <c r="J761" s="13">
        <f t="shared" ref="J761:J824" si="421">((1+$D$79)^(-D761/12))</f>
        <v>0.81921474869459299</v>
      </c>
      <c r="K761" s="106"/>
      <c r="AA761" s="106"/>
    </row>
    <row r="762" spans="3:27">
      <c r="C762" s="17">
        <f t="shared" si="416"/>
        <v>65</v>
      </c>
      <c r="D762" s="13">
        <f t="shared" si="417"/>
        <v>66</v>
      </c>
      <c r="E762" s="13">
        <f>VLOOKUP(C762,'Mortality Table'!$A$5:$E$153,IF(SRP_Gender="female",5,4),FALSE)</f>
        <v>4.4349999999999997E-3</v>
      </c>
      <c r="F762" s="13">
        <f t="shared" ref="F762:F825" si="422">1-(1-E762)^(1/12)</f>
        <v>3.7033672402320139E-4</v>
      </c>
      <c r="G762" s="18">
        <f t="shared" si="418"/>
        <v>0.98118735428185189</v>
      </c>
      <c r="H762" s="35">
        <f t="shared" si="419"/>
        <v>9.2006733600000001E-2</v>
      </c>
      <c r="I762" s="13">
        <f t="shared" si="420"/>
        <v>9.0275843517099164E-2</v>
      </c>
      <c r="J762" s="13">
        <f t="shared" si="421"/>
        <v>0.81670538733273967</v>
      </c>
      <c r="K762" s="106"/>
      <c r="AA762" s="106"/>
    </row>
    <row r="763" spans="3:27">
      <c r="C763" s="17">
        <f t="shared" ref="C763:C826" si="423">IF(MOD(D763,12)=1,C762+1,C762)</f>
        <v>65</v>
      </c>
      <c r="D763" s="13">
        <f t="shared" ref="D763:D826" si="424">D762+1</f>
        <v>67</v>
      </c>
      <c r="E763" s="13">
        <f>VLOOKUP(C763,'Mortality Table'!$A$5:$E$153,IF(SRP_Gender="female",5,4),FALSE)</f>
        <v>4.4349999999999997E-3</v>
      </c>
      <c r="F763" s="13">
        <f t="shared" si="422"/>
        <v>3.7033672402320139E-4</v>
      </c>
      <c r="G763" s="18">
        <f t="shared" ref="G763:G826" si="425">G762*(1-F762)</f>
        <v>0.98082398457141418</v>
      </c>
      <c r="H763" s="35">
        <f t="shared" ref="H763:H826" si="426">IF(MOD(D763,12)=1,H762*(1+$D$81),H762)</f>
        <v>9.2006733600000001E-2</v>
      </c>
      <c r="I763" s="13">
        <f t="shared" si="420"/>
        <v>9.0242411056952618E-2</v>
      </c>
      <c r="J763" s="13">
        <f t="shared" si="421"/>
        <v>0.81420371247122636</v>
      </c>
      <c r="K763" s="106"/>
      <c r="AA763" s="106"/>
    </row>
    <row r="764" spans="3:27">
      <c r="C764" s="17">
        <f t="shared" si="423"/>
        <v>65</v>
      </c>
      <c r="D764" s="13">
        <f t="shared" si="424"/>
        <v>68</v>
      </c>
      <c r="E764" s="13">
        <f>VLOOKUP(C764,'Mortality Table'!$A$5:$E$153,IF(SRP_Gender="female",5,4),FALSE)</f>
        <v>4.4349999999999997E-3</v>
      </c>
      <c r="F764" s="13">
        <f t="shared" si="422"/>
        <v>3.7033672402320139E-4</v>
      </c>
      <c r="G764" s="18">
        <f t="shared" si="425"/>
        <v>0.98046074943012462</v>
      </c>
      <c r="H764" s="35">
        <f t="shared" si="426"/>
        <v>9.2006733600000001E-2</v>
      </c>
      <c r="I764" s="13">
        <f t="shared" si="420"/>
        <v>9.0208990978073833E-2</v>
      </c>
      <c r="J764" s="13">
        <f t="shared" si="421"/>
        <v>0.81170970056530234</v>
      </c>
      <c r="K764" s="106"/>
      <c r="AA764" s="106"/>
    </row>
    <row r="765" spans="3:27">
      <c r="C765" s="17">
        <f t="shared" si="423"/>
        <v>65</v>
      </c>
      <c r="D765" s="13">
        <f t="shared" si="424"/>
        <v>69</v>
      </c>
      <c r="E765" s="13">
        <f>VLOOKUP(C765,'Mortality Table'!$A$5:$E$153,IF(SRP_Gender="female",5,4),FALSE)</f>
        <v>4.4349999999999997E-3</v>
      </c>
      <c r="F765" s="13">
        <f t="shared" si="422"/>
        <v>3.7033672402320139E-4</v>
      </c>
      <c r="G765" s="18">
        <f t="shared" si="425"/>
        <v>0.98009764880814731</v>
      </c>
      <c r="H765" s="35">
        <f t="shared" si="426"/>
        <v>9.2006733600000001E-2</v>
      </c>
      <c r="I765" s="13">
        <f t="shared" si="420"/>
        <v>9.0175583275877574E-2</v>
      </c>
      <c r="J765" s="13">
        <f t="shared" si="421"/>
        <v>0.80922332814233777</v>
      </c>
      <c r="K765" s="106"/>
      <c r="AA765" s="106"/>
    </row>
    <row r="766" spans="3:27">
      <c r="C766" s="17">
        <f t="shared" si="423"/>
        <v>65</v>
      </c>
      <c r="D766" s="13">
        <f t="shared" si="424"/>
        <v>70</v>
      </c>
      <c r="E766" s="13">
        <f>VLOOKUP(C766,'Mortality Table'!$A$5:$E$153,IF(SRP_Gender="female",5,4),FALSE)</f>
        <v>4.4349999999999997E-3</v>
      </c>
      <c r="F766" s="13">
        <f t="shared" si="422"/>
        <v>3.7033672402320139E-4</v>
      </c>
      <c r="G766" s="18">
        <f t="shared" si="425"/>
        <v>0.97973468265566488</v>
      </c>
      <c r="H766" s="35">
        <f t="shared" si="426"/>
        <v>9.2006733600000001E-2</v>
      </c>
      <c r="I766" s="13">
        <f t="shared" si="420"/>
        <v>9.01421879457803E-2</v>
      </c>
      <c r="J766" s="13">
        <f t="shared" si="421"/>
        <v>0.80674457180160231</v>
      </c>
      <c r="K766" s="106"/>
      <c r="AA766" s="106"/>
    </row>
    <row r="767" spans="3:27">
      <c r="C767" s="17">
        <f t="shared" si="423"/>
        <v>65</v>
      </c>
      <c r="D767" s="13">
        <f t="shared" si="424"/>
        <v>71</v>
      </c>
      <c r="E767" s="13">
        <f>VLOOKUP(C767,'Mortality Table'!$A$5:$E$153,IF(SRP_Gender="female",5,4),FALSE)</f>
        <v>4.4349999999999997E-3</v>
      </c>
      <c r="F767" s="13">
        <f t="shared" si="422"/>
        <v>3.7033672402320139E-4</v>
      </c>
      <c r="G767" s="18">
        <f t="shared" si="425"/>
        <v>0.97937185092287826</v>
      </c>
      <c r="H767" s="35">
        <f t="shared" si="426"/>
        <v>9.2006733600000001E-2</v>
      </c>
      <c r="I767" s="13">
        <f t="shared" si="420"/>
        <v>9.0108804983200175E-2</v>
      </c>
      <c r="J767" s="13">
        <f t="shared" si="421"/>
        <v>0.80427340821404525</v>
      </c>
      <c r="K767" s="106"/>
      <c r="AA767" s="106"/>
    </row>
    <row r="768" spans="3:27">
      <c r="C768" s="17">
        <f t="shared" si="423"/>
        <v>65</v>
      </c>
      <c r="D768" s="13">
        <f t="shared" si="424"/>
        <v>72</v>
      </c>
      <c r="E768" s="13">
        <f>VLOOKUP(C768,'Mortality Table'!$A$5:$E$153,IF(SRP_Gender="female",5,4),FALSE)</f>
        <v>4.4349999999999997E-3</v>
      </c>
      <c r="F768" s="13">
        <f t="shared" si="422"/>
        <v>3.7033672402320139E-4</v>
      </c>
      <c r="G768" s="18">
        <f t="shared" si="425"/>
        <v>0.97900915356000695</v>
      </c>
      <c r="H768" s="35">
        <f t="shared" si="426"/>
        <v>9.2006733600000001E-2</v>
      </c>
      <c r="I768" s="13">
        <f t="shared" si="420"/>
        <v>9.0075434383557057E-2</v>
      </c>
      <c r="J768" s="13">
        <f t="shared" si="421"/>
        <v>0.80180981412207541</v>
      </c>
      <c r="K768" s="106"/>
      <c r="AA768" s="106"/>
    </row>
    <row r="769" spans="3:27">
      <c r="C769" s="17">
        <f t="shared" si="423"/>
        <v>66</v>
      </c>
      <c r="D769" s="13">
        <f t="shared" si="424"/>
        <v>73</v>
      </c>
      <c r="E769" s="13">
        <f>VLOOKUP(C769,'Mortality Table'!$A$5:$E$153,IF(SRP_Gender="female",5,4),FALSE)</f>
        <v>4.8650000000000004E-3</v>
      </c>
      <c r="F769" s="13">
        <f t="shared" si="422"/>
        <v>4.0632348116842465E-4</v>
      </c>
      <c r="G769" s="18">
        <f t="shared" si="425"/>
        <v>0.97864659051728886</v>
      </c>
      <c r="H769" s="35">
        <f t="shared" si="426"/>
        <v>9.3846868272000006E-2</v>
      </c>
      <c r="I769" s="13">
        <f t="shared" si="420"/>
        <v>9.1842917665117943E-2</v>
      </c>
      <c r="J769" s="13">
        <f t="shared" si="421"/>
        <v>0.79935376633934352</v>
      </c>
      <c r="K769" s="106"/>
      <c r="AA769" s="106"/>
    </row>
    <row r="770" spans="3:27">
      <c r="C770" s="17">
        <f t="shared" si="423"/>
        <v>66</v>
      </c>
      <c r="D770" s="13">
        <f t="shared" si="424"/>
        <v>74</v>
      </c>
      <c r="E770" s="13">
        <f>VLOOKUP(C770,'Mortality Table'!$A$5:$E$153,IF(SRP_Gender="female",5,4),FALSE)</f>
        <v>4.8650000000000004E-3</v>
      </c>
      <c r="F770" s="13">
        <f t="shared" si="422"/>
        <v>4.0632348116842465E-4</v>
      </c>
      <c r="G770" s="18">
        <f t="shared" si="425"/>
        <v>0.97824894342779622</v>
      </c>
      <c r="H770" s="35">
        <f t="shared" si="426"/>
        <v>9.3846868272000006E-2</v>
      </c>
      <c r="I770" s="13">
        <f t="shared" si="420"/>
        <v>9.1805599731091578E-2</v>
      </c>
      <c r="J770" s="13">
        <f t="shared" si="421"/>
        <v>0.79690524175052213</v>
      </c>
      <c r="K770" s="106"/>
      <c r="AA770" s="106"/>
    </row>
    <row r="771" spans="3:27">
      <c r="C771" s="17">
        <f t="shared" si="423"/>
        <v>66</v>
      </c>
      <c r="D771" s="13">
        <f t="shared" si="424"/>
        <v>75</v>
      </c>
      <c r="E771" s="13">
        <f>VLOOKUP(C771,'Mortality Table'!$A$5:$E$153,IF(SRP_Gender="female",5,4),FALSE)</f>
        <v>4.8650000000000004E-3</v>
      </c>
      <c r="F771" s="13">
        <f t="shared" si="422"/>
        <v>4.0632348116842465E-4</v>
      </c>
      <c r="G771" s="18">
        <f t="shared" si="425"/>
        <v>0.97785145791165329</v>
      </c>
      <c r="H771" s="35">
        <f t="shared" si="426"/>
        <v>9.3846868272000006E-2</v>
      </c>
      <c r="I771" s="13">
        <f t="shared" si="420"/>
        <v>9.1768296960218085E-2</v>
      </c>
      <c r="J771" s="13">
        <f t="shared" si="421"/>
        <v>0.79446421731108952</v>
      </c>
      <c r="K771" s="106"/>
      <c r="AA771" s="106"/>
    </row>
    <row r="772" spans="3:27">
      <c r="C772" s="17">
        <f t="shared" si="423"/>
        <v>66</v>
      </c>
      <c r="D772" s="13">
        <f t="shared" si="424"/>
        <v>76</v>
      </c>
      <c r="E772" s="13">
        <f>VLOOKUP(C772,'Mortality Table'!$A$5:$E$153,IF(SRP_Gender="female",5,4),FALSE)</f>
        <v>4.8650000000000004E-3</v>
      </c>
      <c r="F772" s="13">
        <f t="shared" si="422"/>
        <v>4.0632348116842465E-4</v>
      </c>
      <c r="G772" s="18">
        <f t="shared" si="425"/>
        <v>0.97745413390320901</v>
      </c>
      <c r="H772" s="35">
        <f t="shared" si="426"/>
        <v>9.3846868272000006E-2</v>
      </c>
      <c r="I772" s="13">
        <f t="shared" si="420"/>
        <v>9.1731009346336309E-2</v>
      </c>
      <c r="J772" s="13">
        <f t="shared" si="421"/>
        <v>0.79203067004711236</v>
      </c>
      <c r="K772" s="106"/>
      <c r="AA772" s="106"/>
    </row>
    <row r="773" spans="3:27">
      <c r="C773" s="17">
        <f t="shared" si="423"/>
        <v>66</v>
      </c>
      <c r="D773" s="13">
        <f t="shared" si="424"/>
        <v>77</v>
      </c>
      <c r="E773" s="13">
        <f>VLOOKUP(C773,'Mortality Table'!$A$5:$E$153,IF(SRP_Gender="female",5,4),FALSE)</f>
        <v>4.8650000000000004E-3</v>
      </c>
      <c r="F773" s="13">
        <f t="shared" si="422"/>
        <v>4.0632348116842465E-4</v>
      </c>
      <c r="G773" s="18">
        <f t="shared" si="425"/>
        <v>0.977056971336839</v>
      </c>
      <c r="H773" s="35">
        <f t="shared" si="426"/>
        <v>9.3846868272000006E-2</v>
      </c>
      <c r="I773" s="13">
        <f t="shared" si="420"/>
        <v>9.1693736883287622E-2</v>
      </c>
      <c r="J773" s="13">
        <f t="shared" si="421"/>
        <v>0.78960457705502929</v>
      </c>
      <c r="K773" s="106"/>
      <c r="AA773" s="106"/>
    </row>
    <row r="774" spans="3:27">
      <c r="C774" s="17">
        <f t="shared" si="423"/>
        <v>66</v>
      </c>
      <c r="D774" s="13">
        <f t="shared" si="424"/>
        <v>78</v>
      </c>
      <c r="E774" s="13">
        <f>VLOOKUP(C774,'Mortality Table'!$A$5:$E$153,IF(SRP_Gender="female",5,4),FALSE)</f>
        <v>4.8650000000000004E-3</v>
      </c>
      <c r="F774" s="13">
        <f t="shared" si="422"/>
        <v>4.0632348116842465E-4</v>
      </c>
      <c r="G774" s="18">
        <f t="shared" si="425"/>
        <v>0.9766599701469455</v>
      </c>
      <c r="H774" s="35">
        <f t="shared" si="426"/>
        <v>9.3846868272000006E-2</v>
      </c>
      <c r="I774" s="13">
        <f t="shared" si="420"/>
        <v>9.1656479564915849E-2</v>
      </c>
      <c r="J774" s="13">
        <f t="shared" si="421"/>
        <v>0.78718591550143568</v>
      </c>
      <c r="K774" s="106"/>
      <c r="AA774" s="106"/>
    </row>
    <row r="775" spans="3:27">
      <c r="C775" s="17">
        <f t="shared" si="423"/>
        <v>66</v>
      </c>
      <c r="D775" s="13">
        <f t="shared" si="424"/>
        <v>79</v>
      </c>
      <c r="E775" s="13">
        <f>VLOOKUP(C775,'Mortality Table'!$A$5:$E$153,IF(SRP_Gender="female",5,4),FALSE)</f>
        <v>4.8650000000000004E-3</v>
      </c>
      <c r="F775" s="13">
        <f t="shared" si="422"/>
        <v>4.0632348116842465E-4</v>
      </c>
      <c r="G775" s="18">
        <f t="shared" si="425"/>
        <v>0.97626313026795752</v>
      </c>
      <c r="H775" s="35">
        <f t="shared" si="426"/>
        <v>9.3846868272000006E-2</v>
      </c>
      <c r="I775" s="13">
        <f t="shared" si="420"/>
        <v>9.1619237385067387E-2</v>
      </c>
      <c r="J775" s="13">
        <f t="shared" si="421"/>
        <v>0.78477466262286866</v>
      </c>
      <c r="K775" s="106"/>
      <c r="AA775" s="106"/>
    </row>
    <row r="776" spans="3:27">
      <c r="C776" s="17">
        <f t="shared" si="423"/>
        <v>66</v>
      </c>
      <c r="D776" s="13">
        <f t="shared" si="424"/>
        <v>80</v>
      </c>
      <c r="E776" s="13">
        <f>VLOOKUP(C776,'Mortality Table'!$A$5:$E$153,IF(SRP_Gender="female",5,4),FALSE)</f>
        <v>4.8650000000000004E-3</v>
      </c>
      <c r="F776" s="13">
        <f t="shared" si="422"/>
        <v>4.0632348116842465E-4</v>
      </c>
      <c r="G776" s="18">
        <f t="shared" si="425"/>
        <v>0.97586645163433061</v>
      </c>
      <c r="H776" s="35">
        <f t="shared" si="426"/>
        <v>9.3846868272000006E-2</v>
      </c>
      <c r="I776" s="13">
        <f t="shared" si="420"/>
        <v>9.1582010337591085E-2</v>
      </c>
      <c r="J776" s="13">
        <f t="shared" si="421"/>
        <v>0.78237079572559243</v>
      </c>
      <c r="K776" s="106"/>
      <c r="AA776" s="106"/>
    </row>
    <row r="777" spans="3:27">
      <c r="C777" s="17">
        <f t="shared" si="423"/>
        <v>66</v>
      </c>
      <c r="D777" s="13">
        <f t="shared" si="424"/>
        <v>81</v>
      </c>
      <c r="E777" s="13">
        <f>VLOOKUP(C777,'Mortality Table'!$A$5:$E$153,IF(SRP_Gender="female",5,4),FALSE)</f>
        <v>4.8650000000000004E-3</v>
      </c>
      <c r="F777" s="13">
        <f t="shared" si="422"/>
        <v>4.0632348116842465E-4</v>
      </c>
      <c r="G777" s="18">
        <f t="shared" si="425"/>
        <v>0.97546993418054706</v>
      </c>
      <c r="H777" s="35">
        <f t="shared" si="426"/>
        <v>9.3846868272000006E-2</v>
      </c>
      <c r="I777" s="13">
        <f t="shared" si="420"/>
        <v>9.1544798416338322E-2</v>
      </c>
      <c r="J777" s="13">
        <f t="shared" si="421"/>
        <v>0.77997429218538583</v>
      </c>
      <c r="K777" s="106"/>
      <c r="AA777" s="106"/>
    </row>
    <row r="778" spans="3:27">
      <c r="C778" s="17">
        <f t="shared" si="423"/>
        <v>66</v>
      </c>
      <c r="D778" s="13">
        <f t="shared" si="424"/>
        <v>82</v>
      </c>
      <c r="E778" s="13">
        <f>VLOOKUP(C778,'Mortality Table'!$A$5:$E$153,IF(SRP_Gender="female",5,4),FALSE)</f>
        <v>4.8650000000000004E-3</v>
      </c>
      <c r="F778" s="13">
        <f t="shared" si="422"/>
        <v>4.0632348116842465E-4</v>
      </c>
      <c r="G778" s="18">
        <f t="shared" si="425"/>
        <v>0.9750735778411157</v>
      </c>
      <c r="H778" s="35">
        <f t="shared" si="426"/>
        <v>9.3846868272000006E-2</v>
      </c>
      <c r="I778" s="13">
        <f t="shared" si="420"/>
        <v>9.1507601615162928E-2</v>
      </c>
      <c r="J778" s="13">
        <f t="shared" si="421"/>
        <v>0.77758512944732749</v>
      </c>
      <c r="K778" s="106"/>
      <c r="AA778" s="106"/>
    </row>
    <row r="779" spans="3:27">
      <c r="C779" s="17">
        <f t="shared" si="423"/>
        <v>66</v>
      </c>
      <c r="D779" s="13">
        <f t="shared" si="424"/>
        <v>83</v>
      </c>
      <c r="E779" s="13">
        <f>VLOOKUP(C779,'Mortality Table'!$A$5:$E$153,IF(SRP_Gender="female",5,4),FALSE)</f>
        <v>4.8650000000000004E-3</v>
      </c>
      <c r="F779" s="13">
        <f t="shared" si="422"/>
        <v>4.0632348116842465E-4</v>
      </c>
      <c r="G779" s="18">
        <f t="shared" si="425"/>
        <v>0.9746773825505719</v>
      </c>
      <c r="H779" s="35">
        <f t="shared" si="426"/>
        <v>9.3846868272000006E-2</v>
      </c>
      <c r="I779" s="13">
        <f t="shared" si="420"/>
        <v>9.1470419927921279E-2</v>
      </c>
      <c r="J779" s="13">
        <f t="shared" si="421"/>
        <v>0.77520328502558555</v>
      </c>
      <c r="K779" s="106"/>
      <c r="AA779" s="106"/>
    </row>
    <row r="780" spans="3:27">
      <c r="C780" s="17">
        <f t="shared" si="423"/>
        <v>66</v>
      </c>
      <c r="D780" s="13">
        <f t="shared" si="424"/>
        <v>84</v>
      </c>
      <c r="E780" s="13">
        <f>VLOOKUP(C780,'Mortality Table'!$A$5:$E$153,IF(SRP_Gender="female",5,4),FALSE)</f>
        <v>4.8650000000000004E-3</v>
      </c>
      <c r="F780" s="13">
        <f t="shared" si="422"/>
        <v>4.0632348116842465E-4</v>
      </c>
      <c r="G780" s="18">
        <f t="shared" si="425"/>
        <v>0.97428134824347778</v>
      </c>
      <c r="H780" s="35">
        <f t="shared" si="426"/>
        <v>9.3846868272000006E-2</v>
      </c>
      <c r="I780" s="13">
        <f t="shared" si="420"/>
        <v>9.1433253348472229E-2</v>
      </c>
      <c r="J780" s="13">
        <f t="shared" si="421"/>
        <v>0.77282873650320516</v>
      </c>
      <c r="K780" s="106"/>
      <c r="AA780" s="106"/>
    </row>
    <row r="781" spans="3:27">
      <c r="C781" s="17">
        <f t="shared" si="423"/>
        <v>67</v>
      </c>
      <c r="D781" s="13">
        <f t="shared" si="424"/>
        <v>85</v>
      </c>
      <c r="E781" s="13">
        <f>VLOOKUP(C781,'Mortality Table'!$A$5:$E$153,IF(SRP_Gender="female",5,4),FALSE)</f>
        <v>5.3899999999999998E-3</v>
      </c>
      <c r="F781" s="13">
        <f t="shared" si="422"/>
        <v>4.5028013169778891E-4</v>
      </c>
      <c r="G781" s="18">
        <f t="shared" si="425"/>
        <v>0.97388547485442201</v>
      </c>
      <c r="H781" s="35">
        <f t="shared" si="426"/>
        <v>9.5723805637440013E-2</v>
      </c>
      <c r="I781" s="13">
        <f t="shared" si="420"/>
        <v>9.3224023908090661E-2</v>
      </c>
      <c r="J781" s="13">
        <f t="shared" si="421"/>
        <v>0.77046146153189732</v>
      </c>
      <c r="K781" s="106"/>
      <c r="AA781" s="106"/>
    </row>
    <row r="782" spans="3:27">
      <c r="C782" s="17">
        <f t="shared" si="423"/>
        <v>67</v>
      </c>
      <c r="D782" s="13">
        <f t="shared" si="424"/>
        <v>86</v>
      </c>
      <c r="E782" s="13">
        <f>VLOOKUP(C782,'Mortality Table'!$A$5:$E$153,IF(SRP_Gender="female",5,4),FALSE)</f>
        <v>5.3899999999999998E-3</v>
      </c>
      <c r="F782" s="13">
        <f t="shared" si="422"/>
        <v>4.5028013169778891E-4</v>
      </c>
      <c r="G782" s="18">
        <f t="shared" si="425"/>
        <v>0.97344695357454603</v>
      </c>
      <c r="H782" s="35">
        <f t="shared" si="426"/>
        <v>9.5723805637440013E-2</v>
      </c>
      <c r="I782" s="13">
        <f t="shared" si="420"/>
        <v>9.3182046982327932E-2</v>
      </c>
      <c r="J782" s="13">
        <f t="shared" si="421"/>
        <v>0.76810143783182849</v>
      </c>
      <c r="K782" s="106"/>
      <c r="AA782" s="106"/>
    </row>
    <row r="783" spans="3:27">
      <c r="C783" s="17">
        <f t="shared" si="423"/>
        <v>67</v>
      </c>
      <c r="D783" s="13">
        <f t="shared" si="424"/>
        <v>87</v>
      </c>
      <c r="E783" s="13">
        <f>VLOOKUP(C783,'Mortality Table'!$A$5:$E$153,IF(SRP_Gender="female",5,4),FALSE)</f>
        <v>5.3899999999999998E-3</v>
      </c>
      <c r="F783" s="13">
        <f t="shared" si="422"/>
        <v>4.5028013169778891E-4</v>
      </c>
      <c r="G783" s="18">
        <f t="shared" si="425"/>
        <v>0.97300862975208968</v>
      </c>
      <c r="H783" s="35">
        <f t="shared" si="426"/>
        <v>9.5723805637440013E-2</v>
      </c>
      <c r="I783" s="13">
        <f t="shared" si="420"/>
        <v>9.3140088957940861E-2</v>
      </c>
      <c r="J783" s="13">
        <f t="shared" si="421"/>
        <v>0.76574864319141145</v>
      </c>
      <c r="K783" s="106"/>
      <c r="AA783" s="106"/>
    </row>
    <row r="784" spans="3:27">
      <c r="C784" s="17">
        <f t="shared" si="423"/>
        <v>67</v>
      </c>
      <c r="D784" s="13">
        <f t="shared" si="424"/>
        <v>88</v>
      </c>
      <c r="E784" s="13">
        <f>VLOOKUP(C784,'Mortality Table'!$A$5:$E$153,IF(SRP_Gender="female",5,4),FALSE)</f>
        <v>5.3899999999999998E-3</v>
      </c>
      <c r="F784" s="13">
        <f t="shared" si="422"/>
        <v>4.5028013169778891E-4</v>
      </c>
      <c r="G784" s="18">
        <f t="shared" si="425"/>
        <v>0.97257050329814188</v>
      </c>
      <c r="H784" s="35">
        <f t="shared" si="426"/>
        <v>9.5723805637440013E-2</v>
      </c>
      <c r="I784" s="13">
        <f t="shared" si="420"/>
        <v>9.309814982641855E-2</v>
      </c>
      <c r="J784" s="13">
        <f t="shared" si="421"/>
        <v>0.76340305546709608</v>
      </c>
      <c r="K784" s="106"/>
      <c r="AA784" s="106"/>
    </row>
    <row r="785" spans="3:27">
      <c r="C785" s="17">
        <f t="shared" si="423"/>
        <v>67</v>
      </c>
      <c r="D785" s="13">
        <f t="shared" si="424"/>
        <v>89</v>
      </c>
      <c r="E785" s="13">
        <f>VLOOKUP(C785,'Mortality Table'!$A$5:$E$153,IF(SRP_Gender="female",5,4),FALSE)</f>
        <v>5.3899999999999998E-3</v>
      </c>
      <c r="F785" s="13">
        <f t="shared" si="422"/>
        <v>4.5028013169778891E-4</v>
      </c>
      <c r="G785" s="18">
        <f t="shared" si="425"/>
        <v>0.97213257412383136</v>
      </c>
      <c r="H785" s="35">
        <f t="shared" si="426"/>
        <v>9.5723805637440013E-2</v>
      </c>
      <c r="I785" s="13">
        <f t="shared" si="420"/>
        <v>9.3056229579253885E-2</v>
      </c>
      <c r="J785" s="13">
        <f t="shared" si="421"/>
        <v>0.76106465258316058</v>
      </c>
      <c r="K785" s="106"/>
      <c r="AA785" s="106"/>
    </row>
    <row r="786" spans="3:27">
      <c r="C786" s="17">
        <f t="shared" si="423"/>
        <v>67</v>
      </c>
      <c r="D786" s="13">
        <f t="shared" si="424"/>
        <v>90</v>
      </c>
      <c r="E786" s="13">
        <f>VLOOKUP(C786,'Mortality Table'!$A$5:$E$153,IF(SRP_Gender="female",5,4),FALSE)</f>
        <v>5.3899999999999998E-3</v>
      </c>
      <c r="F786" s="13">
        <f t="shared" si="422"/>
        <v>4.5028013169778891E-4</v>
      </c>
      <c r="G786" s="18">
        <f t="shared" si="425"/>
        <v>0.9716948421403272</v>
      </c>
      <c r="H786" s="35">
        <f t="shared" si="426"/>
        <v>9.5723805637440013E-2</v>
      </c>
      <c r="I786" s="13">
        <f t="shared" si="420"/>
        <v>9.3014328207943642E-2</v>
      </c>
      <c r="J786" s="13">
        <f t="shared" si="421"/>
        <v>0.75873341253150428</v>
      </c>
      <c r="K786" s="106"/>
      <c r="AA786" s="106"/>
    </row>
    <row r="787" spans="3:27">
      <c r="C787" s="17">
        <f t="shared" si="423"/>
        <v>67</v>
      </c>
      <c r="D787" s="13">
        <f t="shared" si="424"/>
        <v>91</v>
      </c>
      <c r="E787" s="13">
        <f>VLOOKUP(C787,'Mortality Table'!$A$5:$E$153,IF(SRP_Gender="female",5,4),FALSE)</f>
        <v>5.3899999999999998E-3</v>
      </c>
      <c r="F787" s="13">
        <f t="shared" si="422"/>
        <v>4.5028013169778891E-4</v>
      </c>
      <c r="G787" s="18">
        <f t="shared" si="425"/>
        <v>0.97125730725883819</v>
      </c>
      <c r="H787" s="35">
        <f t="shared" si="426"/>
        <v>9.5723805637440013E-2</v>
      </c>
      <c r="I787" s="13">
        <f t="shared" si="420"/>
        <v>9.2972445703988382E-2</v>
      </c>
      <c r="J787" s="13">
        <f t="shared" si="421"/>
        <v>0.75640931337143968</v>
      </c>
      <c r="K787" s="106"/>
      <c r="AA787" s="106"/>
    </row>
    <row r="788" spans="3:27">
      <c r="C788" s="17">
        <f t="shared" si="423"/>
        <v>67</v>
      </c>
      <c r="D788" s="13">
        <f t="shared" si="424"/>
        <v>92</v>
      </c>
      <c r="E788" s="13">
        <f>VLOOKUP(C788,'Mortality Table'!$A$5:$E$153,IF(SRP_Gender="female",5,4),FALSE)</f>
        <v>5.3899999999999998E-3</v>
      </c>
      <c r="F788" s="13">
        <f t="shared" si="422"/>
        <v>4.5028013169778891E-4</v>
      </c>
      <c r="G788" s="18">
        <f t="shared" si="425"/>
        <v>0.97081996939061321</v>
      </c>
      <c r="H788" s="35">
        <f t="shared" si="426"/>
        <v>9.5723805637440013E-2</v>
      </c>
      <c r="I788" s="13">
        <f t="shared" si="420"/>
        <v>9.2930582058892527E-2</v>
      </c>
      <c r="J788" s="13">
        <f t="shared" si="421"/>
        <v>0.75409233322948666</v>
      </c>
      <c r="K788" s="106"/>
      <c r="AA788" s="106"/>
    </row>
    <row r="789" spans="3:27">
      <c r="C789" s="17">
        <f t="shared" si="423"/>
        <v>67</v>
      </c>
      <c r="D789" s="13">
        <f t="shared" si="424"/>
        <v>93</v>
      </c>
      <c r="E789" s="13">
        <f>VLOOKUP(C789,'Mortality Table'!$A$5:$E$153,IF(SRP_Gender="female",5,4),FALSE)</f>
        <v>5.3899999999999998E-3</v>
      </c>
      <c r="F789" s="13">
        <f t="shared" si="422"/>
        <v>4.5028013169778891E-4</v>
      </c>
      <c r="G789" s="18">
        <f t="shared" si="425"/>
        <v>0.97038282844694113</v>
      </c>
      <c r="H789" s="35">
        <f t="shared" si="426"/>
        <v>9.5723805637440013E-2</v>
      </c>
      <c r="I789" s="13">
        <f t="shared" si="420"/>
        <v>9.2888737264164287E-2</v>
      </c>
      <c r="J789" s="13">
        <f t="shared" si="421"/>
        <v>0.7517824502991669</v>
      </c>
      <c r="K789" s="106"/>
      <c r="AA789" s="106"/>
    </row>
    <row r="790" spans="3:27">
      <c r="C790" s="17">
        <f t="shared" si="423"/>
        <v>67</v>
      </c>
      <c r="D790" s="13">
        <f t="shared" si="424"/>
        <v>94</v>
      </c>
      <c r="E790" s="13">
        <f>VLOOKUP(C790,'Mortality Table'!$A$5:$E$153,IF(SRP_Gender="female",5,4),FALSE)</f>
        <v>5.3899999999999998E-3</v>
      </c>
      <c r="F790" s="13">
        <f t="shared" si="422"/>
        <v>4.5028013169778891E-4</v>
      </c>
      <c r="G790" s="18">
        <f t="shared" si="425"/>
        <v>0.96994588433915074</v>
      </c>
      <c r="H790" s="35">
        <f t="shared" si="426"/>
        <v>9.5723805637440013E-2</v>
      </c>
      <c r="I790" s="13">
        <f t="shared" si="420"/>
        <v>9.2846911311315741E-2</v>
      </c>
      <c r="J790" s="13">
        <f t="shared" si="421"/>
        <v>0.74947964284079749</v>
      </c>
      <c r="K790" s="106"/>
      <c r="AA790" s="106"/>
    </row>
    <row r="791" spans="3:27">
      <c r="C791" s="17">
        <f t="shared" si="423"/>
        <v>67</v>
      </c>
      <c r="D791" s="13">
        <f t="shared" si="424"/>
        <v>95</v>
      </c>
      <c r="E791" s="13">
        <f>VLOOKUP(C791,'Mortality Table'!$A$5:$E$153,IF(SRP_Gender="female",5,4),FALSE)</f>
        <v>5.3899999999999998E-3</v>
      </c>
      <c r="F791" s="13">
        <f t="shared" si="422"/>
        <v>4.5028013169778891E-4</v>
      </c>
      <c r="G791" s="18">
        <f t="shared" si="425"/>
        <v>0.96950913697861074</v>
      </c>
      <c r="H791" s="35">
        <f t="shared" si="426"/>
        <v>9.5723805637440013E-2</v>
      </c>
      <c r="I791" s="13">
        <f t="shared" si="420"/>
        <v>9.2805104191862733E-2</v>
      </c>
      <c r="J791" s="13">
        <f t="shared" si="421"/>
        <v>0.74718388918128731</v>
      </c>
      <c r="K791" s="106"/>
      <c r="AA791" s="106"/>
    </row>
    <row r="792" spans="3:27">
      <c r="C792" s="17">
        <f t="shared" si="423"/>
        <v>67</v>
      </c>
      <c r="D792" s="13">
        <f t="shared" si="424"/>
        <v>96</v>
      </c>
      <c r="E792" s="13">
        <f>VLOOKUP(C792,'Mortality Table'!$A$5:$E$153,IF(SRP_Gender="female",5,4),FALSE)</f>
        <v>5.3899999999999998E-3</v>
      </c>
      <c r="F792" s="13">
        <f t="shared" si="422"/>
        <v>4.5028013169778891E-4</v>
      </c>
      <c r="G792" s="18">
        <f t="shared" si="425"/>
        <v>0.96907258627672976</v>
      </c>
      <c r="H792" s="35">
        <f t="shared" si="426"/>
        <v>9.5723805637440013E-2</v>
      </c>
      <c r="I792" s="13">
        <f t="shared" si="420"/>
        <v>9.2763315897324991E-2</v>
      </c>
      <c r="J792" s="13">
        <f t="shared" si="421"/>
        <v>0.74489516771393249</v>
      </c>
      <c r="K792" s="106"/>
      <c r="AA792" s="106"/>
    </row>
    <row r="793" spans="3:27">
      <c r="C793" s="17">
        <f t="shared" si="423"/>
        <v>68</v>
      </c>
      <c r="D793" s="13">
        <f t="shared" si="424"/>
        <v>97</v>
      </c>
      <c r="E793" s="13">
        <f>VLOOKUP(C793,'Mortality Table'!$A$5:$E$153,IF(SRP_Gender="female",5,4),FALSE)</f>
        <v>6.0049999999999999E-3</v>
      </c>
      <c r="F793" s="13">
        <f t="shared" si="422"/>
        <v>5.0179926655580243E-4</v>
      </c>
      <c r="G793" s="18">
        <f t="shared" si="425"/>
        <v>0.96863623214495631</v>
      </c>
      <c r="H793" s="35">
        <f t="shared" si="426"/>
        <v>9.7638281750188821E-2</v>
      </c>
      <c r="I793" s="13">
        <f t="shared" si="420"/>
        <v>9.4575977347610557E-2</v>
      </c>
      <c r="J793" s="13">
        <f t="shared" si="421"/>
        <v>0.74261345689821423</v>
      </c>
      <c r="K793" s="106"/>
      <c r="AA793" s="106"/>
    </row>
    <row r="794" spans="3:27">
      <c r="C794" s="17">
        <f t="shared" si="423"/>
        <v>68</v>
      </c>
      <c r="D794" s="13">
        <f t="shared" si="424"/>
        <v>98</v>
      </c>
      <c r="E794" s="13">
        <f>VLOOKUP(C794,'Mortality Table'!$A$5:$E$153,IF(SRP_Gender="female",5,4),FALSE)</f>
        <v>6.0049999999999999E-3</v>
      </c>
      <c r="F794" s="13">
        <f t="shared" si="422"/>
        <v>5.0179926655580243E-4</v>
      </c>
      <c r="G794" s="18">
        <f t="shared" si="425"/>
        <v>0.96815017119410662</v>
      </c>
      <c r="H794" s="35">
        <f t="shared" si="426"/>
        <v>9.7638281750188821E-2</v>
      </c>
      <c r="I794" s="13">
        <f t="shared" si="420"/>
        <v>9.4528519191543731E-2</v>
      </c>
      <c r="J794" s="13">
        <f t="shared" si="421"/>
        <v>0.74033873525959371</v>
      </c>
      <c r="K794" s="106"/>
      <c r="AA794" s="106"/>
    </row>
    <row r="795" spans="3:27">
      <c r="C795" s="17">
        <f t="shared" si="423"/>
        <v>68</v>
      </c>
      <c r="D795" s="13">
        <f t="shared" si="424"/>
        <v>99</v>
      </c>
      <c r="E795" s="13">
        <f>VLOOKUP(C795,'Mortality Table'!$A$5:$E$153,IF(SRP_Gender="female",5,4),FALSE)</f>
        <v>6.0049999999999999E-3</v>
      </c>
      <c r="F795" s="13">
        <f t="shared" si="422"/>
        <v>5.0179926655580243E-4</v>
      </c>
      <c r="G795" s="18">
        <f t="shared" si="425"/>
        <v>0.96766435414828555</v>
      </c>
      <c r="H795" s="35">
        <f t="shared" si="426"/>
        <v>9.7638281750188821E-2</v>
      </c>
      <c r="I795" s="13">
        <f t="shared" si="420"/>
        <v>9.4481084849944802E-2</v>
      </c>
      <c r="J795" s="13">
        <f t="shared" si="421"/>
        <v>0.73807098138931226</v>
      </c>
      <c r="K795" s="106"/>
      <c r="AA795" s="106"/>
    </row>
    <row r="796" spans="3:27">
      <c r="C796" s="17">
        <f t="shared" si="423"/>
        <v>68</v>
      </c>
      <c r="D796" s="13">
        <f t="shared" si="424"/>
        <v>100</v>
      </c>
      <c r="E796" s="13">
        <f>VLOOKUP(C796,'Mortality Table'!$A$5:$E$153,IF(SRP_Gender="female",5,4),FALSE)</f>
        <v>6.0049999999999999E-3</v>
      </c>
      <c r="F796" s="13">
        <f t="shared" si="422"/>
        <v>5.0179926655580243E-4</v>
      </c>
      <c r="G796" s="18">
        <f t="shared" si="425"/>
        <v>0.96717878088510179</v>
      </c>
      <c r="H796" s="35">
        <f t="shared" si="426"/>
        <v>9.7638281750188821E-2</v>
      </c>
      <c r="I796" s="13">
        <f t="shared" si="420"/>
        <v>9.4433674310863705E-2</v>
      </c>
      <c r="J796" s="13">
        <f t="shared" si="421"/>
        <v>0.73581017394418902</v>
      </c>
      <c r="K796" s="106"/>
      <c r="AA796" s="106"/>
    </row>
    <row r="797" spans="3:27">
      <c r="C797" s="17">
        <f t="shared" si="423"/>
        <v>68</v>
      </c>
      <c r="D797" s="13">
        <f t="shared" si="424"/>
        <v>101</v>
      </c>
      <c r="E797" s="13">
        <f>VLOOKUP(C797,'Mortality Table'!$A$5:$E$153,IF(SRP_Gender="female",5,4),FALSE)</f>
        <v>6.0049999999999999E-3</v>
      </c>
      <c r="F797" s="13">
        <f t="shared" si="422"/>
        <v>5.0179926655580243E-4</v>
      </c>
      <c r="G797" s="18">
        <f t="shared" si="425"/>
        <v>0.96669345128222528</v>
      </c>
      <c r="H797" s="35">
        <f t="shared" si="426"/>
        <v>9.7638281750188821E-2</v>
      </c>
      <c r="I797" s="13">
        <f t="shared" si="420"/>
        <v>9.4386287562356341E-2</v>
      </c>
      <c r="J797" s="13">
        <f t="shared" si="421"/>
        <v>0.73355629164641989</v>
      </c>
      <c r="K797" s="106"/>
      <c r="AA797" s="106"/>
    </row>
    <row r="798" spans="3:27">
      <c r="C798" s="17">
        <f t="shared" si="423"/>
        <v>68</v>
      </c>
      <c r="D798" s="13">
        <f t="shared" si="424"/>
        <v>102</v>
      </c>
      <c r="E798" s="13">
        <f>VLOOKUP(C798,'Mortality Table'!$A$5:$E$153,IF(SRP_Gender="female",5,4),FALSE)</f>
        <v>6.0049999999999999E-3</v>
      </c>
      <c r="F798" s="13">
        <f t="shared" si="422"/>
        <v>5.0179926655580243E-4</v>
      </c>
      <c r="G798" s="18">
        <f t="shared" si="425"/>
        <v>0.96620836521738751</v>
      </c>
      <c r="H798" s="35">
        <f t="shared" si="426"/>
        <v>9.7638281750188821E-2</v>
      </c>
      <c r="I798" s="13">
        <f t="shared" si="420"/>
        <v>9.4338924592484621E-2</v>
      </c>
      <c r="J798" s="13">
        <f t="shared" si="421"/>
        <v>0.73130931328337745</v>
      </c>
      <c r="K798" s="106"/>
      <c r="AA798" s="106"/>
    </row>
    <row r="799" spans="3:27">
      <c r="C799" s="17">
        <f t="shared" si="423"/>
        <v>68</v>
      </c>
      <c r="D799" s="13">
        <f t="shared" si="424"/>
        <v>103</v>
      </c>
      <c r="E799" s="13">
        <f>VLOOKUP(C799,'Mortality Table'!$A$5:$E$153,IF(SRP_Gender="female",5,4),FALSE)</f>
        <v>6.0049999999999999E-3</v>
      </c>
      <c r="F799" s="13">
        <f t="shared" si="422"/>
        <v>5.0179926655580243E-4</v>
      </c>
      <c r="G799" s="18">
        <f t="shared" si="425"/>
        <v>0.96572352256838134</v>
      </c>
      <c r="H799" s="35">
        <f t="shared" si="426"/>
        <v>9.7638281750188821E-2</v>
      </c>
      <c r="I799" s="13">
        <f t="shared" si="420"/>
        <v>9.4291585389316451E-2</v>
      </c>
      <c r="J799" s="13">
        <f t="shared" si="421"/>
        <v>0.72906921770741162</v>
      </c>
      <c r="K799" s="106"/>
      <c r="AA799" s="106"/>
    </row>
    <row r="800" spans="3:27">
      <c r="C800" s="17">
        <f t="shared" si="423"/>
        <v>68</v>
      </c>
      <c r="D800" s="13">
        <f t="shared" si="424"/>
        <v>104</v>
      </c>
      <c r="E800" s="13">
        <f>VLOOKUP(C800,'Mortality Table'!$A$5:$E$153,IF(SRP_Gender="female",5,4),FALSE)</f>
        <v>6.0049999999999999E-3</v>
      </c>
      <c r="F800" s="13">
        <f t="shared" si="422"/>
        <v>5.0179926655580243E-4</v>
      </c>
      <c r="G800" s="18">
        <f t="shared" si="425"/>
        <v>0.96523892321306082</v>
      </c>
      <c r="H800" s="35">
        <f t="shared" si="426"/>
        <v>9.7638281750188821E-2</v>
      </c>
      <c r="I800" s="13">
        <f t="shared" si="420"/>
        <v>9.4244269940925704E-2</v>
      </c>
      <c r="J800" s="13">
        <f t="shared" si="421"/>
        <v>0.72683598383564973</v>
      </c>
      <c r="K800" s="106"/>
      <c r="AA800" s="106"/>
    </row>
    <row r="801" spans="3:27">
      <c r="C801" s="17">
        <f t="shared" si="423"/>
        <v>68</v>
      </c>
      <c r="D801" s="13">
        <f t="shared" si="424"/>
        <v>105</v>
      </c>
      <c r="E801" s="13">
        <f>VLOOKUP(C801,'Mortality Table'!$A$5:$E$153,IF(SRP_Gender="female",5,4),FALSE)</f>
        <v>6.0049999999999999E-3</v>
      </c>
      <c r="F801" s="13">
        <f t="shared" si="422"/>
        <v>5.0179926655580243E-4</v>
      </c>
      <c r="G801" s="18">
        <f t="shared" si="425"/>
        <v>0.96475456702934137</v>
      </c>
      <c r="H801" s="35">
        <f t="shared" si="426"/>
        <v>9.7638281750188821E-2</v>
      </c>
      <c r="I801" s="13">
        <f t="shared" si="420"/>
        <v>9.4196978235392262E-2</v>
      </c>
      <c r="J801" s="13">
        <f t="shared" si="421"/>
        <v>0.72460959064979935</v>
      </c>
      <c r="K801" s="106"/>
      <c r="AA801" s="106"/>
    </row>
    <row r="802" spans="3:27">
      <c r="C802" s="17">
        <f t="shared" si="423"/>
        <v>68</v>
      </c>
      <c r="D802" s="13">
        <f t="shared" si="424"/>
        <v>106</v>
      </c>
      <c r="E802" s="13">
        <f>VLOOKUP(C802,'Mortality Table'!$A$5:$E$153,IF(SRP_Gender="female",5,4),FALSE)</f>
        <v>6.0049999999999999E-3</v>
      </c>
      <c r="F802" s="13">
        <f t="shared" si="422"/>
        <v>5.0179926655580243E-4</v>
      </c>
      <c r="G802" s="18">
        <f t="shared" si="425"/>
        <v>0.96427045389519972</v>
      </c>
      <c r="H802" s="35">
        <f t="shared" si="426"/>
        <v>9.7638281750188821E-2</v>
      </c>
      <c r="I802" s="13">
        <f t="shared" si="420"/>
        <v>9.4149710260801975E-2</v>
      </c>
      <c r="J802" s="13">
        <f t="shared" si="421"/>
        <v>0.72239001719594931</v>
      </c>
      <c r="K802" s="106"/>
      <c r="AA802" s="106"/>
    </row>
    <row r="803" spans="3:27">
      <c r="C803" s="17">
        <f t="shared" si="423"/>
        <v>68</v>
      </c>
      <c r="D803" s="13">
        <f t="shared" si="424"/>
        <v>107</v>
      </c>
      <c r="E803" s="13">
        <f>VLOOKUP(C803,'Mortality Table'!$A$5:$E$153,IF(SRP_Gender="female",5,4),FALSE)</f>
        <v>6.0049999999999999E-3</v>
      </c>
      <c r="F803" s="13">
        <f t="shared" si="422"/>
        <v>5.0179926655580243E-4</v>
      </c>
      <c r="G803" s="18">
        <f t="shared" si="425"/>
        <v>0.96378658368867365</v>
      </c>
      <c r="H803" s="35">
        <f t="shared" si="426"/>
        <v>9.7638281750188821E-2</v>
      </c>
      <c r="I803" s="13">
        <f t="shared" si="420"/>
        <v>9.410246600524666E-2</v>
      </c>
      <c r="J803" s="13">
        <f t="shared" si="421"/>
        <v>0.72017724258437321</v>
      </c>
      <c r="K803" s="106"/>
      <c r="AA803" s="106"/>
    </row>
    <row r="804" spans="3:27">
      <c r="C804" s="17">
        <f t="shared" si="423"/>
        <v>68</v>
      </c>
      <c r="D804" s="13">
        <f t="shared" si="424"/>
        <v>108</v>
      </c>
      <c r="E804" s="13">
        <f>VLOOKUP(C804,'Mortality Table'!$A$5:$E$153,IF(SRP_Gender="female",5,4),FALSE)</f>
        <v>6.0049999999999999E-3</v>
      </c>
      <c r="F804" s="13">
        <f t="shared" si="422"/>
        <v>5.0179926655580243E-4</v>
      </c>
      <c r="G804" s="18">
        <f t="shared" si="425"/>
        <v>0.96330295628786233</v>
      </c>
      <c r="H804" s="35">
        <f t="shared" si="426"/>
        <v>9.7638281750188821E-2</v>
      </c>
      <c r="I804" s="13">
        <f t="shared" si="420"/>
        <v>9.405524545682413E-2</v>
      </c>
      <c r="J804" s="13">
        <f t="shared" si="421"/>
        <v>0.71797124598933248</v>
      </c>
      <c r="K804" s="106"/>
      <c r="AA804" s="106"/>
    </row>
    <row r="805" spans="3:27">
      <c r="C805" s="17">
        <f t="shared" si="423"/>
        <v>69</v>
      </c>
      <c r="D805" s="13">
        <f t="shared" si="424"/>
        <v>109</v>
      </c>
      <c r="E805" s="13">
        <f>VLOOKUP(C805,'Mortality Table'!$A$5:$E$153,IF(SRP_Gender="female",5,4),FALSE)</f>
        <v>6.6899999999999998E-3</v>
      </c>
      <c r="F805" s="13">
        <f t="shared" si="422"/>
        <v>5.592167766117484E-4</v>
      </c>
      <c r="G805" s="18">
        <f t="shared" si="425"/>
        <v>0.96281957157092601</v>
      </c>
      <c r="H805" s="35">
        <f t="shared" si="426"/>
        <v>9.9591047385192602E-2</v>
      </c>
      <c r="I805" s="13">
        <f t="shared" si="420"/>
        <v>9.5888209575710939E-2</v>
      </c>
      <c r="J805" s="13">
        <f t="shared" si="421"/>
        <v>0.71577200664888108</v>
      </c>
      <c r="K805" s="106"/>
      <c r="AA805" s="106"/>
    </row>
    <row r="806" spans="3:27">
      <c r="C806" s="17">
        <f t="shared" si="423"/>
        <v>69</v>
      </c>
      <c r="D806" s="13">
        <f t="shared" si="424"/>
        <v>110</v>
      </c>
      <c r="E806" s="13">
        <f>VLOOKUP(C806,'Mortality Table'!$A$5:$E$153,IF(SRP_Gender="female",5,4),FALSE)</f>
        <v>6.6899999999999998E-3</v>
      </c>
      <c r="F806" s="13">
        <f t="shared" si="422"/>
        <v>5.592167766117484E-4</v>
      </c>
      <c r="G806" s="18">
        <f t="shared" si="425"/>
        <v>0.96228114671365339</v>
      </c>
      <c r="H806" s="35">
        <f t="shared" si="426"/>
        <v>9.9591047385192602E-2</v>
      </c>
      <c r="I806" s="13">
        <f t="shared" si="420"/>
        <v>9.583458728023693E-2</v>
      </c>
      <c r="J806" s="13">
        <f t="shared" si="421"/>
        <v>0.71357950386466862</v>
      </c>
      <c r="K806" s="106"/>
      <c r="AA806" s="106"/>
    </row>
    <row r="807" spans="3:27">
      <c r="C807" s="17">
        <f t="shared" si="423"/>
        <v>69</v>
      </c>
      <c r="D807" s="13">
        <f t="shared" si="424"/>
        <v>111</v>
      </c>
      <c r="E807" s="13">
        <f>VLOOKUP(C807,'Mortality Table'!$A$5:$E$153,IF(SRP_Gender="female",5,4),FALSE)</f>
        <v>6.6899999999999998E-3</v>
      </c>
      <c r="F807" s="13">
        <f t="shared" si="422"/>
        <v>5.592167766117484E-4</v>
      </c>
      <c r="G807" s="18">
        <f t="shared" si="425"/>
        <v>0.96174302295259395</v>
      </c>
      <c r="H807" s="35">
        <f t="shared" si="426"/>
        <v>9.9591047385192602E-2</v>
      </c>
      <c r="I807" s="13">
        <f t="shared" si="420"/>
        <v>9.5780994971250158E-2</v>
      </c>
      <c r="J807" s="13">
        <f t="shared" si="421"/>
        <v>0.71139371700174658</v>
      </c>
      <c r="K807" s="106"/>
      <c r="AA807" s="106"/>
    </row>
    <row r="808" spans="3:27">
      <c r="C808" s="17">
        <f t="shared" si="423"/>
        <v>69</v>
      </c>
      <c r="D808" s="13">
        <f t="shared" si="424"/>
        <v>112</v>
      </c>
      <c r="E808" s="13">
        <f>VLOOKUP(C808,'Mortality Table'!$A$5:$E$153,IF(SRP_Gender="female",5,4),FALSE)</f>
        <v>6.6899999999999998E-3</v>
      </c>
      <c r="F808" s="13">
        <f t="shared" si="422"/>
        <v>5.592167766117484E-4</v>
      </c>
      <c r="G808" s="18">
        <f t="shared" si="425"/>
        <v>0.96120520011936961</v>
      </c>
      <c r="H808" s="35">
        <f t="shared" si="426"/>
        <v>9.9591047385192602E-2</v>
      </c>
      <c r="I808" s="13">
        <f t="shared" si="420"/>
        <v>9.5727432631981677E-2</v>
      </c>
      <c r="J808" s="13">
        <f t="shared" si="421"/>
        <v>0.70921462548837488</v>
      </c>
      <c r="K808" s="106"/>
      <c r="AA808" s="106"/>
    </row>
    <row r="809" spans="3:27">
      <c r="C809" s="17">
        <f t="shared" si="423"/>
        <v>69</v>
      </c>
      <c r="D809" s="13">
        <f t="shared" si="424"/>
        <v>113</v>
      </c>
      <c r="E809" s="13">
        <f>VLOOKUP(C809,'Mortality Table'!$A$5:$E$153,IF(SRP_Gender="female",5,4),FALSE)</f>
        <v>6.6899999999999998E-3</v>
      </c>
      <c r="F809" s="13">
        <f t="shared" si="422"/>
        <v>5.592167766117484E-4</v>
      </c>
      <c r="G809" s="18">
        <f t="shared" si="425"/>
        <v>0.96066767804569642</v>
      </c>
      <c r="H809" s="35">
        <f t="shared" si="426"/>
        <v>9.9591047385192602E-2</v>
      </c>
      <c r="I809" s="13">
        <f t="shared" si="420"/>
        <v>9.5673900245671906E-2</v>
      </c>
      <c r="J809" s="13">
        <f t="shared" si="421"/>
        <v>0.70704220881582636</v>
      </c>
      <c r="K809" s="106"/>
      <c r="AA809" s="106"/>
    </row>
    <row r="810" spans="3:27">
      <c r="C810" s="17">
        <f t="shared" si="423"/>
        <v>69</v>
      </c>
      <c r="D810" s="13">
        <f t="shared" si="424"/>
        <v>114</v>
      </c>
      <c r="E810" s="13">
        <f>VLOOKUP(C810,'Mortality Table'!$A$5:$E$153,IF(SRP_Gender="female",5,4),FALSE)</f>
        <v>6.6899999999999998E-3</v>
      </c>
      <c r="F810" s="13">
        <f t="shared" si="422"/>
        <v>5.592167766117484E-4</v>
      </c>
      <c r="G810" s="18">
        <f t="shared" si="425"/>
        <v>0.96013045656338458</v>
      </c>
      <c r="H810" s="35">
        <f t="shared" si="426"/>
        <v>9.9591047385192602E-2</v>
      </c>
      <c r="I810" s="13">
        <f t="shared" si="420"/>
        <v>9.5620397795570647E-2</v>
      </c>
      <c r="J810" s="13">
        <f t="shared" si="421"/>
        <v>0.70487644653819514</v>
      </c>
      <c r="K810" s="106"/>
      <c r="AA810" s="106"/>
    </row>
    <row r="811" spans="3:27">
      <c r="C811" s="17">
        <f t="shared" si="423"/>
        <v>69</v>
      </c>
      <c r="D811" s="13">
        <f t="shared" si="424"/>
        <v>115</v>
      </c>
      <c r="E811" s="13">
        <f>VLOOKUP(C811,'Mortality Table'!$A$5:$E$153,IF(SRP_Gender="female",5,4),FALSE)</f>
        <v>6.6899999999999998E-3</v>
      </c>
      <c r="F811" s="13">
        <f t="shared" si="422"/>
        <v>5.592167766117484E-4</v>
      </c>
      <c r="G811" s="18">
        <f t="shared" si="425"/>
        <v>0.95959353550433846</v>
      </c>
      <c r="H811" s="35">
        <f t="shared" si="426"/>
        <v>9.9591047385192602E-2</v>
      </c>
      <c r="I811" s="13">
        <f t="shared" si="420"/>
        <v>9.5566925264937069E-2</v>
      </c>
      <c r="J811" s="13">
        <f t="shared" si="421"/>
        <v>0.70271731827220385</v>
      </c>
      <c r="K811" s="106"/>
      <c r="AA811" s="106"/>
    </row>
    <row r="812" spans="3:27">
      <c r="C812" s="17">
        <f t="shared" si="423"/>
        <v>69</v>
      </c>
      <c r="D812" s="13">
        <f t="shared" si="424"/>
        <v>116</v>
      </c>
      <c r="E812" s="13">
        <f>VLOOKUP(C812,'Mortality Table'!$A$5:$E$153,IF(SRP_Gender="female",5,4),FALSE)</f>
        <v>6.6899999999999998E-3</v>
      </c>
      <c r="F812" s="13">
        <f t="shared" si="422"/>
        <v>5.592167766117484E-4</v>
      </c>
      <c r="G812" s="18">
        <f t="shared" si="425"/>
        <v>0.95905691470055621</v>
      </c>
      <c r="H812" s="35">
        <f t="shared" si="426"/>
        <v>9.9591047385192602E-2</v>
      </c>
      <c r="I812" s="13">
        <f t="shared" si="420"/>
        <v>9.5513482637039709E-2</v>
      </c>
      <c r="J812" s="13">
        <f t="shared" si="421"/>
        <v>0.7005648036970118</v>
      </c>
      <c r="K812" s="106"/>
      <c r="AA812" s="106"/>
    </row>
    <row r="813" spans="3:27">
      <c r="C813" s="17">
        <f t="shared" si="423"/>
        <v>69</v>
      </c>
      <c r="D813" s="13">
        <f t="shared" si="424"/>
        <v>117</v>
      </c>
      <c r="E813" s="13">
        <f>VLOOKUP(C813,'Mortality Table'!$A$5:$E$153,IF(SRP_Gender="female",5,4),FALSE)</f>
        <v>6.6899999999999998E-3</v>
      </c>
      <c r="F813" s="13">
        <f t="shared" si="422"/>
        <v>5.592167766117484E-4</v>
      </c>
      <c r="G813" s="18">
        <f t="shared" si="425"/>
        <v>0.95852059398413014</v>
      </c>
      <c r="H813" s="35">
        <f t="shared" si="426"/>
        <v>9.9591047385192602E-2</v>
      </c>
      <c r="I813" s="13">
        <f t="shared" si="420"/>
        <v>9.5460069895156457E-2</v>
      </c>
      <c r="J813" s="13">
        <f t="shared" si="421"/>
        <v>0.69841888255402351</v>
      </c>
      <c r="K813" s="106"/>
      <c r="AA813" s="106"/>
    </row>
    <row r="814" spans="3:27">
      <c r="C814" s="17">
        <f t="shared" si="423"/>
        <v>69</v>
      </c>
      <c r="D814" s="13">
        <f t="shared" si="424"/>
        <v>118</v>
      </c>
      <c r="E814" s="13">
        <f>VLOOKUP(C814,'Mortality Table'!$A$5:$E$153,IF(SRP_Gender="female",5,4),FALSE)</f>
        <v>6.6899999999999998E-3</v>
      </c>
      <c r="F814" s="13">
        <f t="shared" si="422"/>
        <v>5.592167766117484E-4</v>
      </c>
      <c r="G814" s="18">
        <f t="shared" si="425"/>
        <v>0.95798457318724639</v>
      </c>
      <c r="H814" s="35">
        <f t="shared" si="426"/>
        <v>9.9591047385192602E-2</v>
      </c>
      <c r="I814" s="13">
        <f t="shared" si="420"/>
        <v>9.5406687022574571E-2</v>
      </c>
      <c r="J814" s="13">
        <f t="shared" si="421"/>
        <v>0.69627953464669801</v>
      </c>
      <c r="K814" s="106"/>
      <c r="AA814" s="106"/>
    </row>
    <row r="815" spans="3:27">
      <c r="C815" s="17">
        <f t="shared" si="423"/>
        <v>69</v>
      </c>
      <c r="D815" s="13">
        <f t="shared" si="424"/>
        <v>119</v>
      </c>
      <c r="E815" s="13">
        <f>VLOOKUP(C815,'Mortality Table'!$A$5:$E$153,IF(SRP_Gender="female",5,4),FALSE)</f>
        <v>6.6899999999999998E-3</v>
      </c>
      <c r="F815" s="13">
        <f t="shared" si="422"/>
        <v>5.592167766117484E-4</v>
      </c>
      <c r="G815" s="18">
        <f t="shared" si="425"/>
        <v>0.95744885214218489</v>
      </c>
      <c r="H815" s="35">
        <f t="shared" si="426"/>
        <v>9.9591047385192602E-2</v>
      </c>
      <c r="I815" s="13">
        <f t="shared" si="420"/>
        <v>9.5353334002590606E-2</v>
      </c>
      <c r="J815" s="13">
        <f t="shared" si="421"/>
        <v>0.69414673984035968</v>
      </c>
      <c r="K815" s="106"/>
      <c r="AA815" s="106"/>
    </row>
    <row r="816" spans="3:27">
      <c r="C816" s="17">
        <f t="shared" si="423"/>
        <v>69</v>
      </c>
      <c r="D816" s="13">
        <f t="shared" si="424"/>
        <v>120</v>
      </c>
      <c r="E816" s="13">
        <f>VLOOKUP(C816,'Mortality Table'!$A$5:$E$153,IF(SRP_Gender="female",5,4),FALSE)</f>
        <v>6.6899999999999998E-3</v>
      </c>
      <c r="F816" s="13">
        <f t="shared" si="422"/>
        <v>5.592167766117484E-4</v>
      </c>
      <c r="G816" s="18">
        <f t="shared" si="425"/>
        <v>0.95691343068131929</v>
      </c>
      <c r="H816" s="35">
        <f t="shared" si="426"/>
        <v>9.9591047385192602E-2</v>
      </c>
      <c r="I816" s="13">
        <f t="shared" si="420"/>
        <v>9.5300010818510486E-2</v>
      </c>
      <c r="J816" s="13">
        <f t="shared" si="421"/>
        <v>0.69202047806200706</v>
      </c>
      <c r="K816" s="106"/>
      <c r="AA816" s="106"/>
    </row>
    <row r="817" spans="3:27">
      <c r="C817" s="17">
        <f t="shared" si="423"/>
        <v>70</v>
      </c>
      <c r="D817" s="13">
        <f t="shared" si="424"/>
        <v>121</v>
      </c>
      <c r="E817" s="13">
        <f>VLOOKUP(C817,'Mortality Table'!$A$5:$E$153,IF(SRP_Gender="female",5,4),FALSE)</f>
        <v>7.4599999999999996E-3</v>
      </c>
      <c r="F817" s="13">
        <f t="shared" si="422"/>
        <v>6.2380243480197883E-4</v>
      </c>
      <c r="G817" s="18">
        <f t="shared" si="425"/>
        <v>0.95637830863711715</v>
      </c>
      <c r="H817" s="35">
        <f t="shared" si="426"/>
        <v>0.10158286833289645</v>
      </c>
      <c r="I817" s="13">
        <f t="shared" si="420"/>
        <v>9.7151651802722477E-2</v>
      </c>
      <c r="J817" s="13">
        <f t="shared" si="421"/>
        <v>0.68990072930012625</v>
      </c>
      <c r="K817" s="106"/>
      <c r="AA817" s="106"/>
    </row>
    <row r="818" spans="3:27">
      <c r="C818" s="17">
        <f t="shared" si="423"/>
        <v>70</v>
      </c>
      <c r="D818" s="13">
        <f t="shared" si="424"/>
        <v>122</v>
      </c>
      <c r="E818" s="13">
        <f>VLOOKUP(C818,'Mortality Table'!$A$5:$E$153,IF(SRP_Gender="female",5,4),FALSE)</f>
        <v>7.4599999999999996E-3</v>
      </c>
      <c r="F818" s="13">
        <f t="shared" si="422"/>
        <v>6.2380243480197883E-4</v>
      </c>
      <c r="G818" s="18">
        <f t="shared" si="425"/>
        <v>0.95578171751959751</v>
      </c>
      <c r="H818" s="35">
        <f t="shared" si="426"/>
        <v>0.10158286833289645</v>
      </c>
      <c r="I818" s="13">
        <f t="shared" si="420"/>
        <v>9.7091048365782903E-2</v>
      </c>
      <c r="J818" s="13">
        <f t="shared" si="421"/>
        <v>0.68778747360449966</v>
      </c>
      <c r="K818" s="106"/>
      <c r="AA818" s="106"/>
    </row>
    <row r="819" spans="3:27">
      <c r="C819" s="17">
        <f t="shared" si="423"/>
        <v>70</v>
      </c>
      <c r="D819" s="13">
        <f t="shared" si="424"/>
        <v>123</v>
      </c>
      <c r="E819" s="13">
        <f>VLOOKUP(C819,'Mortality Table'!$A$5:$E$153,IF(SRP_Gender="female",5,4),FALSE)</f>
        <v>7.4599999999999996E-3</v>
      </c>
      <c r="F819" s="13">
        <f t="shared" si="422"/>
        <v>6.2380243480197883E-4</v>
      </c>
      <c r="G819" s="18">
        <f t="shared" si="425"/>
        <v>0.95518549855706958</v>
      </c>
      <c r="H819" s="35">
        <f t="shared" si="426"/>
        <v>0.10158286833289645</v>
      </c>
      <c r="I819" s="13">
        <f t="shared" si="420"/>
        <v>9.7030482733414858E-2</v>
      </c>
      <c r="J819" s="13">
        <f t="shared" si="421"/>
        <v>0.68568069108602081</v>
      </c>
      <c r="K819" s="106"/>
      <c r="AA819" s="106"/>
    </row>
    <row r="820" spans="3:27">
      <c r="C820" s="17">
        <f t="shared" si="423"/>
        <v>70</v>
      </c>
      <c r="D820" s="13">
        <f t="shared" si="424"/>
        <v>124</v>
      </c>
      <c r="E820" s="13">
        <f>VLOOKUP(C820,'Mortality Table'!$A$5:$E$153,IF(SRP_Gender="female",5,4),FALSE)</f>
        <v>7.4599999999999996E-3</v>
      </c>
      <c r="F820" s="13">
        <f t="shared" si="422"/>
        <v>6.2380243480197883E-4</v>
      </c>
      <c r="G820" s="18">
        <f t="shared" si="425"/>
        <v>0.95458965151738218</v>
      </c>
      <c r="H820" s="35">
        <f t="shared" si="426"/>
        <v>0.10158286833289645</v>
      </c>
      <c r="I820" s="13">
        <f t="shared" si="420"/>
        <v>9.6969954882035747E-2</v>
      </c>
      <c r="J820" s="13">
        <f t="shared" si="421"/>
        <v>0.68358036191650573</v>
      </c>
      <c r="K820" s="106"/>
      <c r="AA820" s="106"/>
    </row>
    <row r="821" spans="3:27">
      <c r="C821" s="17">
        <f t="shared" si="423"/>
        <v>70</v>
      </c>
      <c r="D821" s="13">
        <f t="shared" si="424"/>
        <v>125</v>
      </c>
      <c r="E821" s="13">
        <f>VLOOKUP(C821,'Mortality Table'!$A$5:$E$153,IF(SRP_Gender="female",5,4),FALSE)</f>
        <v>7.4599999999999996E-3</v>
      </c>
      <c r="F821" s="13">
        <f t="shared" si="422"/>
        <v>6.2380243480197883E-4</v>
      </c>
      <c r="G821" s="18">
        <f t="shared" si="425"/>
        <v>0.95399417616852888</v>
      </c>
      <c r="H821" s="35">
        <f t="shared" si="426"/>
        <v>0.10158286833289645</v>
      </c>
      <c r="I821" s="13">
        <f t="shared" si="420"/>
        <v>9.6909464788077687E-2</v>
      </c>
      <c r="J821" s="13">
        <f t="shared" si="421"/>
        <v>0.68148646632850729</v>
      </c>
      <c r="K821" s="106"/>
      <c r="AA821" s="106"/>
    </row>
    <row r="822" spans="3:27">
      <c r="C822" s="17">
        <f t="shared" si="423"/>
        <v>70</v>
      </c>
      <c r="D822" s="13">
        <f t="shared" si="424"/>
        <v>126</v>
      </c>
      <c r="E822" s="13">
        <f>VLOOKUP(C822,'Mortality Table'!$A$5:$E$153,IF(SRP_Gender="female",5,4),FALSE)</f>
        <v>7.4599999999999996E-3</v>
      </c>
      <c r="F822" s="13">
        <f t="shared" si="422"/>
        <v>6.2380243480197883E-4</v>
      </c>
      <c r="G822" s="18">
        <f t="shared" si="425"/>
        <v>0.95339907227864806</v>
      </c>
      <c r="H822" s="35">
        <f t="shared" si="426"/>
        <v>0.10158286833289645</v>
      </c>
      <c r="I822" s="13">
        <f t="shared" si="420"/>
        <v>9.6849012427987533E-2</v>
      </c>
      <c r="J822" s="13">
        <f t="shared" si="421"/>
        <v>0.67939898461512782</v>
      </c>
      <c r="K822" s="106"/>
      <c r="AA822" s="106"/>
    </row>
    <row r="823" spans="3:27">
      <c r="C823" s="17">
        <f t="shared" si="423"/>
        <v>70</v>
      </c>
      <c r="D823" s="13">
        <f t="shared" si="424"/>
        <v>127</v>
      </c>
      <c r="E823" s="13">
        <f>VLOOKUP(C823,'Mortality Table'!$A$5:$E$153,IF(SRP_Gender="female",5,4),FALSE)</f>
        <v>7.4599999999999996E-3</v>
      </c>
      <c r="F823" s="13">
        <f t="shared" si="422"/>
        <v>6.2380243480197883E-4</v>
      </c>
      <c r="G823" s="18">
        <f t="shared" si="425"/>
        <v>0.95280433961602273</v>
      </c>
      <c r="H823" s="35">
        <f t="shared" si="426"/>
        <v>0.10158286833289645</v>
      </c>
      <c r="I823" s="13">
        <f t="shared" si="420"/>
        <v>9.6788597778226793E-2</v>
      </c>
      <c r="J823" s="13">
        <f t="shared" si="421"/>
        <v>0.67731789712983503</v>
      </c>
      <c r="K823" s="106"/>
      <c r="AA823" s="106"/>
    </row>
    <row r="824" spans="3:27">
      <c r="C824" s="17">
        <f t="shared" si="423"/>
        <v>70</v>
      </c>
      <c r="D824" s="13">
        <f t="shared" si="424"/>
        <v>128</v>
      </c>
      <c r="E824" s="13">
        <f>VLOOKUP(C824,'Mortality Table'!$A$5:$E$153,IF(SRP_Gender="female",5,4),FALSE)</f>
        <v>7.4599999999999996E-3</v>
      </c>
      <c r="F824" s="13">
        <f t="shared" si="422"/>
        <v>6.2380243480197883E-4</v>
      </c>
      <c r="G824" s="18">
        <f t="shared" si="425"/>
        <v>0.95220997794908036</v>
      </c>
      <c r="H824" s="35">
        <f t="shared" si="426"/>
        <v>0.10158286833289645</v>
      </c>
      <c r="I824" s="13">
        <f t="shared" si="420"/>
        <v>9.6728220815271659E-2</v>
      </c>
      <c r="J824" s="13">
        <f t="shared" si="421"/>
        <v>0.67524318428627639</v>
      </c>
      <c r="K824" s="106"/>
      <c r="AA824" s="106"/>
    </row>
    <row r="825" spans="3:27">
      <c r="C825" s="17">
        <f t="shared" si="423"/>
        <v>70</v>
      </c>
      <c r="D825" s="13">
        <f t="shared" si="424"/>
        <v>129</v>
      </c>
      <c r="E825" s="13">
        <f>VLOOKUP(C825,'Mortality Table'!$A$5:$E$153,IF(SRP_Gender="female",5,4),FALSE)</f>
        <v>7.4599999999999996E-3</v>
      </c>
      <c r="F825" s="13">
        <f t="shared" si="422"/>
        <v>6.2380243480197883E-4</v>
      </c>
      <c r="G825" s="18">
        <f t="shared" si="425"/>
        <v>0.95161598704639294</v>
      </c>
      <c r="H825" s="35">
        <f t="shared" si="426"/>
        <v>0.10158286833289645</v>
      </c>
      <c r="I825" s="13">
        <f t="shared" ref="I825:I888" si="427">IF(D825&lt;=12*SRP_Annuity_Gtee_Period,H825,H825*G825)</f>
        <v>9.6667881515613036E-2</v>
      </c>
      <c r="J825" s="13">
        <f t="shared" ref="J825:J888" si="428">((1+$D$79)^(-D825/12))</f>
        <v>0.6731748265580948</v>
      </c>
      <c r="K825" s="106"/>
      <c r="AA825" s="106"/>
    </row>
    <row r="826" spans="3:27">
      <c r="C826" s="17">
        <f t="shared" si="423"/>
        <v>70</v>
      </c>
      <c r="D826" s="13">
        <f t="shared" si="424"/>
        <v>130</v>
      </c>
      <c r="E826" s="13">
        <f>VLOOKUP(C826,'Mortality Table'!$A$5:$E$153,IF(SRP_Gender="female",5,4),FALSE)</f>
        <v>7.4599999999999996E-3</v>
      </c>
      <c r="F826" s="13">
        <f t="shared" ref="F826:F889" si="429">1-(1-E826)^(1/12)</f>
        <v>6.2380243480197883E-4</v>
      </c>
      <c r="G826" s="18">
        <f t="shared" si="425"/>
        <v>0.95102236667667694</v>
      </c>
      <c r="H826" s="35">
        <f t="shared" si="426"/>
        <v>0.10158286833289645</v>
      </c>
      <c r="I826" s="13">
        <f t="shared" si="427"/>
        <v>9.6607579855756451E-2</v>
      </c>
      <c r="J826" s="13">
        <f t="shared" si="428"/>
        <v>0.67111280447874511</v>
      </c>
      <c r="K826" s="106"/>
      <c r="AA826" s="106"/>
    </row>
    <row r="827" spans="3:27">
      <c r="C827" s="17">
        <f t="shared" ref="C827:C890" si="430">IF(MOD(D827,12)=1,C826+1,C826)</f>
        <v>70</v>
      </c>
      <c r="D827" s="13">
        <f t="shared" ref="D827:D890" si="431">D826+1</f>
        <v>131</v>
      </c>
      <c r="E827" s="13">
        <f>VLOOKUP(C827,'Mortality Table'!$A$5:$E$153,IF(SRP_Gender="female",5,4),FALSE)</f>
        <v>7.4599999999999996E-3</v>
      </c>
      <c r="F827" s="13">
        <f t="shared" si="429"/>
        <v>6.2380243480197883E-4</v>
      </c>
      <c r="G827" s="18">
        <f t="shared" ref="G827:G890" si="432">G826*(1-F826)</f>
        <v>0.95042911660879292</v>
      </c>
      <c r="H827" s="35">
        <f t="shared" ref="H827:H890" si="433">IF(MOD(D827,12)=1,H826*(1+$D$81),H826)</f>
        <v>0.10158286833289645</v>
      </c>
      <c r="I827" s="13">
        <f t="shared" si="427"/>
        <v>9.6547315812222104E-2</v>
      </c>
      <c r="J827" s="13">
        <f t="shared" si="428"/>
        <v>0.66905709864131047</v>
      </c>
      <c r="K827" s="106"/>
      <c r="AA827" s="106"/>
    </row>
    <row r="828" spans="3:27">
      <c r="C828" s="17">
        <f t="shared" si="430"/>
        <v>70</v>
      </c>
      <c r="D828" s="13">
        <f t="shared" si="431"/>
        <v>132</v>
      </c>
      <c r="E828" s="13">
        <f>VLOOKUP(C828,'Mortality Table'!$A$5:$E$153,IF(SRP_Gender="female",5,4),FALSE)</f>
        <v>7.4599999999999996E-3</v>
      </c>
      <c r="F828" s="13">
        <f t="shared" si="429"/>
        <v>6.2380243480197883E-4</v>
      </c>
      <c r="G828" s="18">
        <f t="shared" si="432"/>
        <v>0.94983623661174565</v>
      </c>
      <c r="H828" s="35">
        <f t="shared" si="433"/>
        <v>0.10158286833289645</v>
      </c>
      <c r="I828" s="13">
        <f t="shared" si="427"/>
        <v>9.6487089361544834E-2</v>
      </c>
      <c r="J828" s="13">
        <f t="shared" si="428"/>
        <v>0.66700768969832003</v>
      </c>
      <c r="K828" s="106"/>
      <c r="AA828" s="106"/>
    </row>
    <row r="829" spans="3:27">
      <c r="C829" s="17">
        <f t="shared" si="430"/>
        <v>71</v>
      </c>
      <c r="D829" s="13">
        <f t="shared" si="431"/>
        <v>133</v>
      </c>
      <c r="E829" s="13">
        <f>VLOOKUP(C829,'Mortality Table'!$A$5:$E$153,IF(SRP_Gender="female",5,4),FALSE)</f>
        <v>8.3250000000000008E-3</v>
      </c>
      <c r="F829" s="13">
        <f t="shared" si="429"/>
        <v>6.964112550792434E-4</v>
      </c>
      <c r="G829" s="18">
        <f t="shared" si="432"/>
        <v>0.94924372645468413</v>
      </c>
      <c r="H829" s="35">
        <f t="shared" si="433"/>
        <v>0.10361452569955439</v>
      </c>
      <c r="I829" s="13">
        <f t="shared" si="427"/>
        <v>9.835543848987964E-2</v>
      </c>
      <c r="J829" s="13">
        <f t="shared" si="428"/>
        <v>0.66496455836156743</v>
      </c>
      <c r="K829" s="106"/>
      <c r="AA829" s="106"/>
    </row>
    <row r="830" spans="3:27">
      <c r="C830" s="17">
        <f t="shared" si="430"/>
        <v>71</v>
      </c>
      <c r="D830" s="13">
        <f t="shared" si="431"/>
        <v>134</v>
      </c>
      <c r="E830" s="13">
        <f>VLOOKUP(C830,'Mortality Table'!$A$5:$E$153,IF(SRP_Gender="female",5,4),FALSE)</f>
        <v>8.3250000000000008E-3</v>
      </c>
      <c r="F830" s="13">
        <f t="shared" si="429"/>
        <v>6.964112550792434E-4</v>
      </c>
      <c r="G830" s="18">
        <f t="shared" si="432"/>
        <v>0.94858266243976774</v>
      </c>
      <c r="H830" s="35">
        <f t="shared" si="433"/>
        <v>0.10361452569955439</v>
      </c>
      <c r="I830" s="13">
        <f t="shared" si="427"/>
        <v>9.8286942655517032E-2</v>
      </c>
      <c r="J830" s="13">
        <f t="shared" si="428"/>
        <v>0.66292768540192737</v>
      </c>
      <c r="K830" s="106"/>
      <c r="AA830" s="106"/>
    </row>
    <row r="831" spans="3:27">
      <c r="C831" s="17">
        <f t="shared" si="430"/>
        <v>71</v>
      </c>
      <c r="D831" s="13">
        <f t="shared" si="431"/>
        <v>135</v>
      </c>
      <c r="E831" s="13">
        <f>VLOOKUP(C831,'Mortality Table'!$A$5:$E$153,IF(SRP_Gender="female",5,4),FALSE)</f>
        <v>8.3250000000000008E-3</v>
      </c>
      <c r="F831" s="13">
        <f t="shared" si="429"/>
        <v>6.964112550792434E-4</v>
      </c>
      <c r="G831" s="18">
        <f t="shared" si="432"/>
        <v>0.94792205879727165</v>
      </c>
      <c r="H831" s="35">
        <f t="shared" si="433"/>
        <v>0.10361452569955439</v>
      </c>
      <c r="I831" s="13">
        <f t="shared" si="427"/>
        <v>9.8218494522424413E-2</v>
      </c>
      <c r="J831" s="13">
        <f t="shared" si="428"/>
        <v>0.66089705164917667</v>
      </c>
      <c r="K831" s="106"/>
      <c r="AA831" s="106"/>
    </row>
    <row r="832" spans="3:27">
      <c r="C832" s="17">
        <f t="shared" si="430"/>
        <v>71</v>
      </c>
      <c r="D832" s="13">
        <f t="shared" si="431"/>
        <v>136</v>
      </c>
      <c r="E832" s="13">
        <f>VLOOKUP(C832,'Mortality Table'!$A$5:$E$153,IF(SRP_Gender="female",5,4),FALSE)</f>
        <v>8.3250000000000008E-3</v>
      </c>
      <c r="F832" s="13">
        <f t="shared" si="429"/>
        <v>6.964112550792434E-4</v>
      </c>
      <c r="G832" s="18">
        <f t="shared" si="432"/>
        <v>0.94726191520658731</v>
      </c>
      <c r="H832" s="35">
        <f t="shared" si="433"/>
        <v>0.10361452569955439</v>
      </c>
      <c r="I832" s="13">
        <f t="shared" si="427"/>
        <v>9.8150094057382051E-2</v>
      </c>
      <c r="J832" s="13">
        <f t="shared" si="428"/>
        <v>0.65887263799181284</v>
      </c>
      <c r="K832" s="106"/>
      <c r="AA832" s="106"/>
    </row>
    <row r="833" spans="3:27">
      <c r="C833" s="17">
        <f t="shared" si="430"/>
        <v>71</v>
      </c>
      <c r="D833" s="13">
        <f t="shared" si="431"/>
        <v>137</v>
      </c>
      <c r="E833" s="13">
        <f>VLOOKUP(C833,'Mortality Table'!$A$5:$E$153,IF(SRP_Gender="female",5,4),FALSE)</f>
        <v>8.3250000000000008E-3</v>
      </c>
      <c r="F833" s="13">
        <f t="shared" si="429"/>
        <v>6.964112550792434E-4</v>
      </c>
      <c r="G833" s="18">
        <f t="shared" si="432"/>
        <v>0.94660223134732957</v>
      </c>
      <c r="H833" s="35">
        <f t="shared" si="433"/>
        <v>0.10361452569955439</v>
      </c>
      <c r="I833" s="13">
        <f t="shared" si="427"/>
        <v>9.8081741227193403E-2</v>
      </c>
      <c r="J833" s="13">
        <f t="shared" si="428"/>
        <v>0.65685442537687444</v>
      </c>
      <c r="K833" s="106"/>
      <c r="AA833" s="106"/>
    </row>
    <row r="834" spans="3:27">
      <c r="C834" s="17">
        <f t="shared" si="430"/>
        <v>71</v>
      </c>
      <c r="D834" s="13">
        <f t="shared" si="431"/>
        <v>138</v>
      </c>
      <c r="E834" s="13">
        <f>VLOOKUP(C834,'Mortality Table'!$A$5:$E$153,IF(SRP_Gender="female",5,4),FALSE)</f>
        <v>8.3250000000000008E-3</v>
      </c>
      <c r="F834" s="13">
        <f t="shared" si="429"/>
        <v>6.964112550792434E-4</v>
      </c>
      <c r="G834" s="18">
        <f t="shared" si="432"/>
        <v>0.94594300689933619</v>
      </c>
      <c r="H834" s="35">
        <f t="shared" si="433"/>
        <v>0.10361452569955439</v>
      </c>
      <c r="I834" s="13">
        <f t="shared" si="427"/>
        <v>9.801343599868502E-2</v>
      </c>
      <c r="J834" s="13">
        <f t="shared" si="428"/>
        <v>0.6548423948097617</v>
      </c>
      <c r="K834" s="106"/>
      <c r="AA834" s="106"/>
    </row>
    <row r="835" spans="3:27">
      <c r="C835" s="17">
        <f t="shared" si="430"/>
        <v>71</v>
      </c>
      <c r="D835" s="13">
        <f t="shared" si="431"/>
        <v>139</v>
      </c>
      <c r="E835" s="13">
        <f>VLOOKUP(C835,'Mortality Table'!$A$5:$E$153,IF(SRP_Gender="female",5,4),FALSE)</f>
        <v>8.3250000000000008E-3</v>
      </c>
      <c r="F835" s="13">
        <f t="shared" si="429"/>
        <v>6.964112550792434E-4</v>
      </c>
      <c r="G835" s="18">
        <f t="shared" si="432"/>
        <v>0.94528424154266799</v>
      </c>
      <c r="H835" s="35">
        <f t="shared" si="433"/>
        <v>0.10361452569955439</v>
      </c>
      <c r="I835" s="13">
        <f t="shared" si="427"/>
        <v>9.7945178338706543E-2</v>
      </c>
      <c r="J835" s="13">
        <f t="shared" si="428"/>
        <v>0.65283652735405773</v>
      </c>
      <c r="K835" s="106"/>
      <c r="AA835" s="106"/>
    </row>
    <row r="836" spans="3:27">
      <c r="C836" s="17">
        <f t="shared" si="430"/>
        <v>71</v>
      </c>
      <c r="D836" s="13">
        <f t="shared" si="431"/>
        <v>140</v>
      </c>
      <c r="E836" s="13">
        <f>VLOOKUP(C836,'Mortality Table'!$A$5:$E$153,IF(SRP_Gender="female",5,4),FALSE)</f>
        <v>8.3250000000000008E-3</v>
      </c>
      <c r="F836" s="13">
        <f t="shared" si="429"/>
        <v>6.964112550792434E-4</v>
      </c>
      <c r="G836" s="18">
        <f t="shared" si="432"/>
        <v>0.9446259349576086</v>
      </c>
      <c r="H836" s="35">
        <f t="shared" si="433"/>
        <v>0.10361452569955439</v>
      </c>
      <c r="I836" s="13">
        <f t="shared" si="427"/>
        <v>9.7876968214130722E-2</v>
      </c>
      <c r="J836" s="13">
        <f t="shared" si="428"/>
        <v>0.65083680413135059</v>
      </c>
      <c r="K836" s="106"/>
      <c r="AA836" s="106"/>
    </row>
    <row r="837" spans="3:27">
      <c r="C837" s="17">
        <f t="shared" si="430"/>
        <v>71</v>
      </c>
      <c r="D837" s="13">
        <f t="shared" si="431"/>
        <v>141</v>
      </c>
      <c r="E837" s="13">
        <f>VLOOKUP(C837,'Mortality Table'!$A$5:$E$153,IF(SRP_Gender="female",5,4),FALSE)</f>
        <v>8.3250000000000008E-3</v>
      </c>
      <c r="F837" s="13">
        <f t="shared" si="429"/>
        <v>6.964112550792434E-4</v>
      </c>
      <c r="G837" s="18">
        <f t="shared" si="432"/>
        <v>0.94396808682466438</v>
      </c>
      <c r="H837" s="35">
        <f t="shared" si="433"/>
        <v>0.10361452569955439</v>
      </c>
      <c r="I837" s="13">
        <f t="shared" si="427"/>
        <v>9.7808805591853371E-2</v>
      </c>
      <c r="J837" s="13">
        <f t="shared" si="428"/>
        <v>0.64884320632105519</v>
      </c>
      <c r="K837" s="106"/>
      <c r="AA837" s="106"/>
    </row>
    <row r="838" spans="3:27">
      <c r="C838" s="17">
        <f t="shared" si="430"/>
        <v>71</v>
      </c>
      <c r="D838" s="13">
        <f t="shared" si="431"/>
        <v>142</v>
      </c>
      <c r="E838" s="13">
        <f>VLOOKUP(C838,'Mortality Table'!$A$5:$E$153,IF(SRP_Gender="female",5,4),FALSE)</f>
        <v>8.3250000000000008E-3</v>
      </c>
      <c r="F838" s="13">
        <f t="shared" si="429"/>
        <v>6.964112550792434E-4</v>
      </c>
      <c r="G838" s="18">
        <f t="shared" si="432"/>
        <v>0.94331069682456403</v>
      </c>
      <c r="H838" s="35">
        <f t="shared" si="433"/>
        <v>0.10361452569955439</v>
      </c>
      <c r="I838" s="13">
        <f t="shared" si="427"/>
        <v>9.774069043879334E-2</v>
      </c>
      <c r="J838" s="13">
        <f t="shared" si="428"/>
        <v>0.6468557151602361</v>
      </c>
      <c r="K838" s="106"/>
      <c r="AA838" s="106"/>
    </row>
    <row r="839" spans="3:27">
      <c r="C839" s="17">
        <f t="shared" si="430"/>
        <v>71</v>
      </c>
      <c r="D839" s="13">
        <f t="shared" si="431"/>
        <v>143</v>
      </c>
      <c r="E839" s="13">
        <f>VLOOKUP(C839,'Mortality Table'!$A$5:$E$153,IF(SRP_Gender="female",5,4),FALSE)</f>
        <v>8.3250000000000008E-3</v>
      </c>
      <c r="F839" s="13">
        <f t="shared" si="429"/>
        <v>6.964112550792434E-4</v>
      </c>
      <c r="G839" s="18">
        <f t="shared" si="432"/>
        <v>0.94265376463825878</v>
      </c>
      <c r="H839" s="35">
        <f t="shared" si="433"/>
        <v>0.10361452569955439</v>
      </c>
      <c r="I839" s="13">
        <f t="shared" si="427"/>
        <v>9.767262272189256E-2</v>
      </c>
      <c r="J839" s="13">
        <f t="shared" si="428"/>
        <v>0.6448743119434317</v>
      </c>
      <c r="K839" s="106"/>
      <c r="AA839" s="106"/>
    </row>
    <row r="840" spans="3:27">
      <c r="C840" s="17">
        <f t="shared" si="430"/>
        <v>71</v>
      </c>
      <c r="D840" s="13">
        <f t="shared" si="431"/>
        <v>144</v>
      </c>
      <c r="E840" s="13">
        <f>VLOOKUP(C840,'Mortality Table'!$A$5:$E$153,IF(SRP_Gender="female",5,4),FALSE)</f>
        <v>8.3250000000000008E-3</v>
      </c>
      <c r="F840" s="13">
        <f t="shared" si="429"/>
        <v>6.964112550792434E-4</v>
      </c>
      <c r="G840" s="18">
        <f t="shared" si="432"/>
        <v>0.94199728994692189</v>
      </c>
      <c r="H840" s="35">
        <f t="shared" si="433"/>
        <v>0.10361452569955439</v>
      </c>
      <c r="I840" s="13">
        <f t="shared" si="427"/>
        <v>9.7604602408115929E-2</v>
      </c>
      <c r="J840" s="13">
        <f t="shared" si="428"/>
        <v>0.64289897802247697</v>
      </c>
      <c r="K840" s="106"/>
      <c r="AA840" s="106"/>
    </row>
    <row r="841" spans="3:27">
      <c r="C841" s="17">
        <f t="shared" si="430"/>
        <v>72</v>
      </c>
      <c r="D841" s="13">
        <f t="shared" si="431"/>
        <v>145</v>
      </c>
      <c r="E841" s="13">
        <f>VLOOKUP(C841,'Mortality Table'!$A$5:$E$153,IF(SRP_Gender="female",5,4),FALSE)</f>
        <v>9.2949999999999994E-3</v>
      </c>
      <c r="F841" s="13">
        <f t="shared" si="429"/>
        <v>7.7790294977875263E-4</v>
      </c>
      <c r="G841" s="18">
        <f t="shared" si="432"/>
        <v>0.94134127243194876</v>
      </c>
      <c r="H841" s="35">
        <f t="shared" si="433"/>
        <v>0.10568681621354548</v>
      </c>
      <c r="I841" s="13">
        <f t="shared" si="427"/>
        <v>9.9487362053740411E-2</v>
      </c>
      <c r="J841" s="13">
        <f t="shared" si="428"/>
        <v>0.64092969480633</v>
      </c>
      <c r="K841" s="106"/>
      <c r="AA841" s="106"/>
    </row>
    <row r="842" spans="3:27">
      <c r="C842" s="17">
        <f t="shared" si="430"/>
        <v>72</v>
      </c>
      <c r="D842" s="13">
        <f t="shared" si="431"/>
        <v>146</v>
      </c>
      <c r="E842" s="13">
        <f>VLOOKUP(C842,'Mortality Table'!$A$5:$E$153,IF(SRP_Gender="female",5,4),FALSE)</f>
        <v>9.2949999999999994E-3</v>
      </c>
      <c r="F842" s="13">
        <f t="shared" si="429"/>
        <v>7.7790294977875263E-4</v>
      </c>
      <c r="G842" s="18">
        <f t="shared" si="432"/>
        <v>0.94060900027937544</v>
      </c>
      <c r="H842" s="35">
        <f t="shared" si="433"/>
        <v>0.10568681621354548</v>
      </c>
      <c r="I842" s="13">
        <f t="shared" si="427"/>
        <v>9.9409970541333104E-2</v>
      </c>
      <c r="J842" s="13">
        <f t="shared" si="428"/>
        <v>0.63896644376089373</v>
      </c>
      <c r="K842" s="106"/>
      <c r="AA842" s="106"/>
    </row>
    <row r="843" spans="3:27">
      <c r="C843" s="17">
        <f t="shared" si="430"/>
        <v>72</v>
      </c>
      <c r="D843" s="13">
        <f t="shared" si="431"/>
        <v>147</v>
      </c>
      <c r="E843" s="13">
        <f>VLOOKUP(C843,'Mortality Table'!$A$5:$E$153,IF(SRP_Gender="female",5,4),FALSE)</f>
        <v>9.2949999999999994E-3</v>
      </c>
      <c r="F843" s="13">
        <f t="shared" si="429"/>
        <v>7.7790294977875263E-4</v>
      </c>
      <c r="G843" s="18">
        <f t="shared" si="432"/>
        <v>0.93987729776346962</v>
      </c>
      <c r="H843" s="35">
        <f t="shared" si="433"/>
        <v>0.10568681621354548</v>
      </c>
      <c r="I843" s="13">
        <f t="shared" si="427"/>
        <v>9.9332639232011577E-2</v>
      </c>
      <c r="J843" s="13">
        <f t="shared" si="428"/>
        <v>0.63700920640884484</v>
      </c>
      <c r="K843" s="106"/>
      <c r="AA843" s="106"/>
    </row>
    <row r="844" spans="3:27">
      <c r="C844" s="17">
        <f t="shared" si="430"/>
        <v>72</v>
      </c>
      <c r="D844" s="13">
        <f t="shared" si="431"/>
        <v>148</v>
      </c>
      <c r="E844" s="13">
        <f>VLOOKUP(C844,'Mortality Table'!$A$5:$E$153,IF(SRP_Gender="female",5,4),FALSE)</f>
        <v>9.2949999999999994E-3</v>
      </c>
      <c r="F844" s="13">
        <f t="shared" si="429"/>
        <v>7.7790294977875263E-4</v>
      </c>
      <c r="G844" s="18">
        <f t="shared" si="432"/>
        <v>0.93914616444110932</v>
      </c>
      <c r="H844" s="35">
        <f t="shared" si="433"/>
        <v>0.10568681621354548</v>
      </c>
      <c r="I844" s="13">
        <f t="shared" si="427"/>
        <v>9.9255368078943682E-2</v>
      </c>
      <c r="J844" s="13">
        <f t="shared" si="428"/>
        <v>0.63505796432945805</v>
      </c>
      <c r="K844" s="106"/>
      <c r="AA844" s="106"/>
    </row>
    <row r="845" spans="3:27">
      <c r="C845" s="17">
        <f t="shared" si="430"/>
        <v>72</v>
      </c>
      <c r="D845" s="13">
        <f t="shared" si="431"/>
        <v>149</v>
      </c>
      <c r="E845" s="13">
        <f>VLOOKUP(C845,'Mortality Table'!$A$5:$E$153,IF(SRP_Gender="female",5,4),FALSE)</f>
        <v>9.2949999999999994E-3</v>
      </c>
      <c r="F845" s="13">
        <f t="shared" si="429"/>
        <v>7.7790294977875263E-4</v>
      </c>
      <c r="G845" s="18">
        <f t="shared" si="432"/>
        <v>0.93841559986951717</v>
      </c>
      <c r="H845" s="35">
        <f t="shared" si="433"/>
        <v>0.10568681621354548</v>
      </c>
      <c r="I845" s="13">
        <f t="shared" si="427"/>
        <v>9.9178157035333697E-2</v>
      </c>
      <c r="J845" s="13">
        <f t="shared" si="428"/>
        <v>0.63311269915843316</v>
      </c>
      <c r="K845" s="106"/>
      <c r="AA845" s="106"/>
    </row>
    <row r="846" spans="3:27">
      <c r="C846" s="17">
        <f t="shared" si="430"/>
        <v>72</v>
      </c>
      <c r="D846" s="13">
        <f t="shared" si="431"/>
        <v>150</v>
      </c>
      <c r="E846" s="13">
        <f>VLOOKUP(C846,'Mortality Table'!$A$5:$E$153,IF(SRP_Gender="female",5,4),FALSE)</f>
        <v>9.2949999999999994E-3</v>
      </c>
      <c r="F846" s="13">
        <f t="shared" si="429"/>
        <v>7.7790294977875263E-4</v>
      </c>
      <c r="G846" s="18">
        <f t="shared" si="432"/>
        <v>0.9376856036062603</v>
      </c>
      <c r="H846" s="35">
        <f t="shared" si="433"/>
        <v>0.10568681621354548</v>
      </c>
      <c r="I846" s="13">
        <f t="shared" si="427"/>
        <v>9.9101006054422291E-2</v>
      </c>
      <c r="J846" s="13">
        <f t="shared" si="428"/>
        <v>0.63117339258772198</v>
      </c>
      <c r="K846" s="106"/>
      <c r="AA846" s="106"/>
    </row>
    <row r="847" spans="3:27">
      <c r="C847" s="17">
        <f t="shared" si="430"/>
        <v>72</v>
      </c>
      <c r="D847" s="13">
        <f t="shared" si="431"/>
        <v>151</v>
      </c>
      <c r="E847" s="13">
        <f>VLOOKUP(C847,'Mortality Table'!$A$5:$E$153,IF(SRP_Gender="female",5,4),FALSE)</f>
        <v>9.2949999999999994E-3</v>
      </c>
      <c r="F847" s="13">
        <f t="shared" si="429"/>
        <v>7.7790294977875263E-4</v>
      </c>
      <c r="G847" s="18">
        <f t="shared" si="432"/>
        <v>0.9369561752092499</v>
      </c>
      <c r="H847" s="35">
        <f t="shared" si="433"/>
        <v>0.10568681621354548</v>
      </c>
      <c r="I847" s="13">
        <f t="shared" si="427"/>
        <v>9.9023915089486506E-2</v>
      </c>
      <c r="J847" s="13">
        <f t="shared" si="428"/>
        <v>0.62924002636535692</v>
      </c>
      <c r="K847" s="106"/>
      <c r="AA847" s="106"/>
    </row>
    <row r="848" spans="3:27">
      <c r="C848" s="17">
        <f t="shared" si="430"/>
        <v>72</v>
      </c>
      <c r="D848" s="13">
        <f t="shared" si="431"/>
        <v>152</v>
      </c>
      <c r="E848" s="13">
        <f>VLOOKUP(C848,'Mortality Table'!$A$5:$E$153,IF(SRP_Gender="female",5,4),FALSE)</f>
        <v>9.2949999999999994E-3</v>
      </c>
      <c r="F848" s="13">
        <f t="shared" si="429"/>
        <v>7.7790294977875263E-4</v>
      </c>
      <c r="G848" s="18">
        <f t="shared" si="432"/>
        <v>0.93622731423674121</v>
      </c>
      <c r="H848" s="35">
        <f t="shared" si="433"/>
        <v>0.10568681621354548</v>
      </c>
      <c r="I848" s="13">
        <f t="shared" si="427"/>
        <v>9.8946884093839754E-2</v>
      </c>
      <c r="J848" s="13">
        <f t="shared" si="428"/>
        <v>0.62731258229527764</v>
      </c>
      <c r="K848" s="106"/>
      <c r="AA848" s="106"/>
    </row>
    <row r="849" spans="3:27">
      <c r="C849" s="17">
        <f t="shared" si="430"/>
        <v>72</v>
      </c>
      <c r="D849" s="13">
        <f t="shared" si="431"/>
        <v>153</v>
      </c>
      <c r="E849" s="13">
        <f>VLOOKUP(C849,'Mortality Table'!$A$5:$E$153,IF(SRP_Gender="female",5,4),FALSE)</f>
        <v>9.2949999999999994E-3</v>
      </c>
      <c r="F849" s="13">
        <f t="shared" si="429"/>
        <v>7.7790294977875263E-4</v>
      </c>
      <c r="G849" s="18">
        <f t="shared" si="432"/>
        <v>0.935499020247333</v>
      </c>
      <c r="H849" s="35">
        <f t="shared" si="433"/>
        <v>0.10568681621354548</v>
      </c>
      <c r="I849" s="13">
        <f t="shared" si="427"/>
        <v>9.8869913020831743E-2</v>
      </c>
      <c r="J849" s="13">
        <f t="shared" si="428"/>
        <v>0.62539104223716158</v>
      </c>
      <c r="K849" s="106"/>
      <c r="AA849" s="106"/>
    </row>
    <row r="850" spans="3:27">
      <c r="C850" s="17">
        <f t="shared" si="430"/>
        <v>72</v>
      </c>
      <c r="D850" s="13">
        <f t="shared" si="431"/>
        <v>154</v>
      </c>
      <c r="E850" s="13">
        <f>VLOOKUP(C850,'Mortality Table'!$A$5:$E$153,IF(SRP_Gender="female",5,4),FALSE)</f>
        <v>9.2949999999999994E-3</v>
      </c>
      <c r="F850" s="13">
        <f t="shared" si="429"/>
        <v>7.7790294977875263E-4</v>
      </c>
      <c r="G850" s="18">
        <f t="shared" si="432"/>
        <v>0.93477129279996751</v>
      </c>
      <c r="H850" s="35">
        <f t="shared" si="433"/>
        <v>0.10568681621354548</v>
      </c>
      <c r="I850" s="13">
        <f t="shared" si="427"/>
        <v>9.8793001823848467E-2</v>
      </c>
      <c r="J850" s="13">
        <f t="shared" si="428"/>
        <v>0.62347538810625169</v>
      </c>
      <c r="K850" s="106"/>
      <c r="AA850" s="106"/>
    </row>
    <row r="851" spans="3:27">
      <c r="C851" s="17">
        <f t="shared" si="430"/>
        <v>72</v>
      </c>
      <c r="D851" s="13">
        <f t="shared" si="431"/>
        <v>155</v>
      </c>
      <c r="E851" s="13">
        <f>VLOOKUP(C851,'Mortality Table'!$A$5:$E$153,IF(SRP_Gender="female",5,4),FALSE)</f>
        <v>9.2949999999999994E-3</v>
      </c>
      <c r="F851" s="13">
        <f t="shared" si="429"/>
        <v>7.7790294977875263E-4</v>
      </c>
      <c r="G851" s="18">
        <f t="shared" si="432"/>
        <v>0.93404413145392995</v>
      </c>
      <c r="H851" s="35">
        <f t="shared" si="433"/>
        <v>0.10568681621354548</v>
      </c>
      <c r="I851" s="13">
        <f t="shared" si="427"/>
        <v>9.8716150456312199E-2</v>
      </c>
      <c r="J851" s="13">
        <f t="shared" si="428"/>
        <v>0.62156560187318721</v>
      </c>
      <c r="K851" s="106"/>
      <c r="AA851" s="106"/>
    </row>
    <row r="852" spans="3:27">
      <c r="C852" s="17">
        <f t="shared" si="430"/>
        <v>72</v>
      </c>
      <c r="D852" s="13">
        <f t="shared" si="431"/>
        <v>156</v>
      </c>
      <c r="E852" s="13">
        <f>VLOOKUP(C852,'Mortality Table'!$A$5:$E$153,IF(SRP_Gender="female",5,4),FALSE)</f>
        <v>9.2949999999999994E-3</v>
      </c>
      <c r="F852" s="13">
        <f t="shared" si="429"/>
        <v>7.7790294977875263E-4</v>
      </c>
      <c r="G852" s="18">
        <f t="shared" si="432"/>
        <v>0.93331753576884835</v>
      </c>
      <c r="H852" s="35">
        <f t="shared" si="433"/>
        <v>0.10568681621354548</v>
      </c>
      <c r="I852" s="13">
        <f t="shared" si="427"/>
        <v>9.8639358871681432E-2</v>
      </c>
      <c r="J852" s="13">
        <f t="shared" si="428"/>
        <v>0.61966166556383329</v>
      </c>
      <c r="K852" s="106"/>
      <c r="AA852" s="106"/>
    </row>
    <row r="853" spans="3:27">
      <c r="C853" s="17">
        <f t="shared" si="430"/>
        <v>73</v>
      </c>
      <c r="D853" s="13">
        <f t="shared" si="431"/>
        <v>157</v>
      </c>
      <c r="E853" s="13">
        <f>VLOOKUP(C853,'Mortality Table'!$A$5:$E$153,IF(SRP_Gender="female",5,4),FALSE)</f>
        <v>1.0305E-2</v>
      </c>
      <c r="F853" s="13">
        <f t="shared" si="429"/>
        <v>8.6283288946165104E-4</v>
      </c>
      <c r="G853" s="18">
        <f t="shared" si="432"/>
        <v>0.93259150530469348</v>
      </c>
      <c r="H853" s="35">
        <f t="shared" si="433"/>
        <v>0.10780055253781638</v>
      </c>
      <c r="I853" s="13">
        <f t="shared" si="427"/>
        <v>0.10053387956391988</v>
      </c>
      <c r="J853" s="13">
        <f t="shared" si="428"/>
        <v>0.61776356125911314</v>
      </c>
      <c r="K853" s="106"/>
      <c r="AA853" s="106"/>
    </row>
    <row r="854" spans="3:27">
      <c r="C854" s="17">
        <f t="shared" si="430"/>
        <v>73</v>
      </c>
      <c r="D854" s="13">
        <f t="shared" si="431"/>
        <v>158</v>
      </c>
      <c r="E854" s="13">
        <f>VLOOKUP(C854,'Mortality Table'!$A$5:$E$153,IF(SRP_Gender="female",5,4),FALSE)</f>
        <v>1.0305E-2</v>
      </c>
      <c r="F854" s="13">
        <f t="shared" si="429"/>
        <v>8.6283288946165104E-4</v>
      </c>
      <c r="G854" s="18">
        <f t="shared" si="432"/>
        <v>0.93178683468148404</v>
      </c>
      <c r="H854" s="35">
        <f t="shared" si="433"/>
        <v>0.10780055253781638</v>
      </c>
      <c r="I854" s="13">
        <f t="shared" si="427"/>
        <v>0.10044713562612695</v>
      </c>
      <c r="J854" s="13">
        <f t="shared" si="428"/>
        <v>0.6158712710948373</v>
      </c>
      <c r="K854" s="106"/>
      <c r="AA854" s="106"/>
    </row>
    <row r="855" spans="3:27">
      <c r="C855" s="17">
        <f t="shared" si="430"/>
        <v>73</v>
      </c>
      <c r="D855" s="13">
        <f t="shared" si="431"/>
        <v>159</v>
      </c>
      <c r="E855" s="13">
        <f>VLOOKUP(C855,'Mortality Table'!$A$5:$E$153,IF(SRP_Gender="female",5,4),FALSE)</f>
        <v>1.0305E-2</v>
      </c>
      <c r="F855" s="13">
        <f t="shared" si="429"/>
        <v>8.6283288946165104E-4</v>
      </c>
      <c r="G855" s="18">
        <f t="shared" si="432"/>
        <v>0.93098285835455352</v>
      </c>
      <c r="H855" s="35">
        <f t="shared" si="433"/>
        <v>0.10780055253781638</v>
      </c>
      <c r="I855" s="13">
        <f t="shared" si="427"/>
        <v>0.10036046653385651</v>
      </c>
      <c r="J855" s="13">
        <f t="shared" si="428"/>
        <v>0.61398477726153722</v>
      </c>
      <c r="K855" s="106"/>
      <c r="AA855" s="106"/>
    </row>
    <row r="856" spans="3:27">
      <c r="C856" s="17">
        <f t="shared" si="430"/>
        <v>73</v>
      </c>
      <c r="D856" s="13">
        <f t="shared" si="431"/>
        <v>160</v>
      </c>
      <c r="E856" s="13">
        <f>VLOOKUP(C856,'Mortality Table'!$A$5:$E$153,IF(SRP_Gender="female",5,4),FALSE)</f>
        <v>1.0305E-2</v>
      </c>
      <c r="F856" s="13">
        <f t="shared" si="429"/>
        <v>8.6283288946165104E-4</v>
      </c>
      <c r="G856" s="18">
        <f t="shared" si="432"/>
        <v>0.93017957572484022</v>
      </c>
      <c r="H856" s="35">
        <f t="shared" si="433"/>
        <v>0.10780055253781638</v>
      </c>
      <c r="I856" s="13">
        <f t="shared" si="427"/>
        <v>0.1002738722225294</v>
      </c>
      <c r="J856" s="13">
        <f t="shared" si="428"/>
        <v>0.6121040620042969</v>
      </c>
      <c r="K856" s="106"/>
      <c r="AA856" s="106"/>
    </row>
    <row r="857" spans="3:27">
      <c r="C857" s="17">
        <f t="shared" si="430"/>
        <v>73</v>
      </c>
      <c r="D857" s="13">
        <f t="shared" si="431"/>
        <v>161</v>
      </c>
      <c r="E857" s="13">
        <f>VLOOKUP(C857,'Mortality Table'!$A$5:$E$153,IF(SRP_Gender="female",5,4),FALSE)</f>
        <v>1.0305E-2</v>
      </c>
      <c r="F857" s="13">
        <f t="shared" si="429"/>
        <v>8.6283288946165104E-4</v>
      </c>
      <c r="G857" s="18">
        <f t="shared" si="432"/>
        <v>0.92937698619379938</v>
      </c>
      <c r="H857" s="35">
        <f t="shared" si="433"/>
        <v>0.10780055253781638</v>
      </c>
      <c r="I857" s="13">
        <f t="shared" si="427"/>
        <v>0.10018735262762211</v>
      </c>
      <c r="J857" s="13">
        <f t="shared" si="428"/>
        <v>0.61022910762258609</v>
      </c>
      <c r="K857" s="106"/>
      <c r="AA857" s="106"/>
    </row>
    <row r="858" spans="3:27">
      <c r="C858" s="17">
        <f t="shared" si="430"/>
        <v>73</v>
      </c>
      <c r="D858" s="13">
        <f t="shared" si="431"/>
        <v>162</v>
      </c>
      <c r="E858" s="13">
        <f>VLOOKUP(C858,'Mortality Table'!$A$5:$E$153,IF(SRP_Gender="female",5,4),FALSE)</f>
        <v>1.0305E-2</v>
      </c>
      <c r="F858" s="13">
        <f t="shared" si="429"/>
        <v>8.6283288946165104E-4</v>
      </c>
      <c r="G858" s="18">
        <f t="shared" si="432"/>
        <v>0.92857508916340259</v>
      </c>
      <c r="H858" s="35">
        <f t="shared" si="433"/>
        <v>0.10780055253781638</v>
      </c>
      <c r="I858" s="13">
        <f t="shared" si="427"/>
        <v>0.10010090768466691</v>
      </c>
      <c r="J858" s="13">
        <f t="shared" si="428"/>
        <v>0.60835989647009348</v>
      </c>
      <c r="K858" s="106"/>
      <c r="AA858" s="106"/>
    </row>
    <row r="859" spans="3:27">
      <c r="C859" s="17">
        <f t="shared" si="430"/>
        <v>73</v>
      </c>
      <c r="D859" s="13">
        <f t="shared" si="431"/>
        <v>163</v>
      </c>
      <c r="E859" s="13">
        <f>VLOOKUP(C859,'Mortality Table'!$A$5:$E$153,IF(SRP_Gender="female",5,4),FALSE)</f>
        <v>1.0305E-2</v>
      </c>
      <c r="F859" s="13">
        <f t="shared" si="429"/>
        <v>8.6283288946165104E-4</v>
      </c>
      <c r="G859" s="18">
        <f t="shared" si="432"/>
        <v>0.92777388403613759</v>
      </c>
      <c r="H859" s="35">
        <f t="shared" si="433"/>
        <v>0.10780055253781638</v>
      </c>
      <c r="I859" s="13">
        <f t="shared" si="427"/>
        <v>0.10001453732925161</v>
      </c>
      <c r="J859" s="13">
        <f t="shared" si="428"/>
        <v>0.60649641095456075</v>
      </c>
      <c r="K859" s="106"/>
      <c r="AA859" s="106"/>
    </row>
    <row r="860" spans="3:27">
      <c r="C860" s="17">
        <f t="shared" si="430"/>
        <v>73</v>
      </c>
      <c r="D860" s="13">
        <f t="shared" si="431"/>
        <v>164</v>
      </c>
      <c r="E860" s="13">
        <f>VLOOKUP(C860,'Mortality Table'!$A$5:$E$153,IF(SRP_Gender="female",5,4),FALSE)</f>
        <v>1.0305E-2</v>
      </c>
      <c r="F860" s="13">
        <f t="shared" si="429"/>
        <v>8.6283288946165104E-4</v>
      </c>
      <c r="G860" s="18">
        <f t="shared" si="432"/>
        <v>0.92697337021500759</v>
      </c>
      <c r="H860" s="35">
        <f t="shared" si="433"/>
        <v>0.10780055253781638</v>
      </c>
      <c r="I860" s="13">
        <f t="shared" si="427"/>
        <v>9.9928241497019635E-2</v>
      </c>
      <c r="J860" s="13">
        <f t="shared" si="428"/>
        <v>0.60463863353761704</v>
      </c>
      <c r="K860" s="106"/>
      <c r="AA860" s="106"/>
    </row>
    <row r="861" spans="3:27">
      <c r="C861" s="17">
        <f t="shared" si="430"/>
        <v>73</v>
      </c>
      <c r="D861" s="13">
        <f t="shared" si="431"/>
        <v>165</v>
      </c>
      <c r="E861" s="13">
        <f>VLOOKUP(C861,'Mortality Table'!$A$5:$E$153,IF(SRP_Gender="female",5,4),FALSE)</f>
        <v>1.0305E-2</v>
      </c>
      <c r="F861" s="13">
        <f t="shared" si="429"/>
        <v>8.6283288946165104E-4</v>
      </c>
      <c r="G861" s="18">
        <f t="shared" si="432"/>
        <v>0.92617354710353095</v>
      </c>
      <c r="H861" s="35">
        <f t="shared" si="433"/>
        <v>0.10780055253781638</v>
      </c>
      <c r="I861" s="13">
        <f t="shared" si="427"/>
        <v>9.9842020123669939E-2</v>
      </c>
      <c r="J861" s="13">
        <f t="shared" si="428"/>
        <v>0.60278654673461352</v>
      </c>
      <c r="K861" s="106"/>
      <c r="AA861" s="106"/>
    </row>
    <row r="862" spans="3:27">
      <c r="C862" s="17">
        <f t="shared" si="430"/>
        <v>73</v>
      </c>
      <c r="D862" s="13">
        <f t="shared" si="431"/>
        <v>166</v>
      </c>
      <c r="E862" s="13">
        <f>VLOOKUP(C862,'Mortality Table'!$A$5:$E$153,IF(SRP_Gender="female",5,4),FALSE)</f>
        <v>1.0305E-2</v>
      </c>
      <c r="F862" s="13">
        <f t="shared" si="429"/>
        <v>8.6283288946165104E-4</v>
      </c>
      <c r="G862" s="18">
        <f t="shared" si="432"/>
        <v>0.92537441410574062</v>
      </c>
      <c r="H862" s="35">
        <f t="shared" si="433"/>
        <v>0.10780055253781638</v>
      </c>
      <c r="I862" s="13">
        <f t="shared" si="427"/>
        <v>9.9755873144956944E-2</v>
      </c>
      <c r="J862" s="13">
        <f t="shared" si="428"/>
        <v>0.60094013311445937</v>
      </c>
      <c r="K862" s="106"/>
      <c r="AA862" s="106"/>
    </row>
    <row r="863" spans="3:27">
      <c r="C863" s="17">
        <f t="shared" si="430"/>
        <v>73</v>
      </c>
      <c r="D863" s="13">
        <f t="shared" si="431"/>
        <v>167</v>
      </c>
      <c r="E863" s="13">
        <f>VLOOKUP(C863,'Mortality Table'!$A$5:$E$153,IF(SRP_Gender="female",5,4),FALSE)</f>
        <v>1.0305E-2</v>
      </c>
      <c r="F863" s="13">
        <f t="shared" si="429"/>
        <v>8.6283288946165104E-4</v>
      </c>
      <c r="G863" s="18">
        <f t="shared" si="432"/>
        <v>0.92457597062618391</v>
      </c>
      <c r="H863" s="35">
        <f t="shared" si="433"/>
        <v>0.10780055253781638</v>
      </c>
      <c r="I863" s="13">
        <f t="shared" si="427"/>
        <v>9.9669800496690511E-2</v>
      </c>
      <c r="J863" s="13">
        <f t="shared" si="428"/>
        <v>0.59909937529945745</v>
      </c>
      <c r="K863" s="106"/>
      <c r="AA863" s="106"/>
    </row>
    <row r="864" spans="3:27">
      <c r="C864" s="17">
        <f t="shared" si="430"/>
        <v>73</v>
      </c>
      <c r="D864" s="13">
        <f t="shared" si="431"/>
        <v>168</v>
      </c>
      <c r="E864" s="13">
        <f>VLOOKUP(C864,'Mortality Table'!$A$5:$E$153,IF(SRP_Gender="female",5,4),FALSE)</f>
        <v>1.0305E-2</v>
      </c>
      <c r="F864" s="13">
        <f t="shared" si="429"/>
        <v>8.6283288946165104E-4</v>
      </c>
      <c r="G864" s="18">
        <f t="shared" si="432"/>
        <v>0.92377821606992172</v>
      </c>
      <c r="H864" s="35">
        <f t="shared" si="433"/>
        <v>0.10780055253781638</v>
      </c>
      <c r="I864" s="13">
        <f t="shared" si="427"/>
        <v>9.9583802114735887E-2</v>
      </c>
      <c r="J864" s="13">
        <f t="shared" si="428"/>
        <v>0.59726425596514043</v>
      </c>
      <c r="K864" s="106"/>
      <c r="AA864" s="106"/>
    </row>
    <row r="865" spans="3:27">
      <c r="C865" s="17">
        <f t="shared" si="430"/>
        <v>74</v>
      </c>
      <c r="D865" s="13">
        <f t="shared" si="431"/>
        <v>169</v>
      </c>
      <c r="E865" s="13">
        <f>VLOOKUP(C865,'Mortality Table'!$A$5:$E$153,IF(SRP_Gender="female",5,4),FALSE)</f>
        <v>1.1350000000000001E-2</v>
      </c>
      <c r="F865" s="13">
        <f t="shared" si="429"/>
        <v>9.5078961412031759E-4</v>
      </c>
      <c r="G865" s="18">
        <f t="shared" si="432"/>
        <v>0.92298114984252833</v>
      </c>
      <c r="H865" s="35">
        <f t="shared" si="433"/>
        <v>0.10995656358857271</v>
      </c>
      <c r="I865" s="13">
        <f t="shared" si="427"/>
        <v>0.10148783549371393</v>
      </c>
      <c r="J865" s="13">
        <f t="shared" si="428"/>
        <v>0.59543475784010913</v>
      </c>
      <c r="K865" s="106"/>
      <c r="AA865" s="106"/>
    </row>
    <row r="866" spans="3:27">
      <c r="C866" s="17">
        <f t="shared" si="430"/>
        <v>74</v>
      </c>
      <c r="D866" s="13">
        <f t="shared" si="431"/>
        <v>170</v>
      </c>
      <c r="E866" s="13">
        <f>VLOOKUP(C866,'Mortality Table'!$A$5:$E$153,IF(SRP_Gender="female",5,4),FALSE)</f>
        <v>1.1350000000000001E-2</v>
      </c>
      <c r="F866" s="13">
        <f t="shared" si="429"/>
        <v>9.5078961412031759E-4</v>
      </c>
      <c r="G866" s="18">
        <f t="shared" si="432"/>
        <v>0.92210358895122924</v>
      </c>
      <c r="H866" s="35">
        <f t="shared" si="433"/>
        <v>0.10995656358857271</v>
      </c>
      <c r="I866" s="13">
        <f t="shared" si="427"/>
        <v>0.10139134191376695</v>
      </c>
      <c r="J866" s="13">
        <f t="shared" si="428"/>
        <v>0.59361086370586724</v>
      </c>
      <c r="K866" s="106"/>
      <c r="AA866" s="106"/>
    </row>
    <row r="867" spans="3:27">
      <c r="C867" s="17">
        <f t="shared" si="430"/>
        <v>74</v>
      </c>
      <c r="D867" s="13">
        <f t="shared" si="431"/>
        <v>171</v>
      </c>
      <c r="E867" s="13">
        <f>VLOOKUP(C867,'Mortality Table'!$A$5:$E$153,IF(SRP_Gender="female",5,4),FALSE)</f>
        <v>1.1350000000000001E-2</v>
      </c>
      <c r="F867" s="13">
        <f t="shared" si="429"/>
        <v>9.5078961412031759E-4</v>
      </c>
      <c r="G867" s="18">
        <f t="shared" si="432"/>
        <v>0.92122686243571139</v>
      </c>
      <c r="H867" s="35">
        <f t="shared" si="433"/>
        <v>0.10995656358857271</v>
      </c>
      <c r="I867" s="13">
        <f t="shared" si="427"/>
        <v>0.10129494007891363</v>
      </c>
      <c r="J867" s="13">
        <f t="shared" si="428"/>
        <v>0.59179255639666228</v>
      </c>
      <c r="K867" s="106"/>
      <c r="AA867" s="106"/>
    </row>
    <row r="868" spans="3:27">
      <c r="C868" s="17">
        <f t="shared" si="430"/>
        <v>74</v>
      </c>
      <c r="D868" s="13">
        <f t="shared" si="431"/>
        <v>172</v>
      </c>
      <c r="E868" s="13">
        <f>VLOOKUP(C868,'Mortality Table'!$A$5:$E$153,IF(SRP_Gender="female",5,4),FALSE)</f>
        <v>1.1350000000000001E-2</v>
      </c>
      <c r="F868" s="13">
        <f t="shared" si="429"/>
        <v>9.5078961412031759E-4</v>
      </c>
      <c r="G868" s="18">
        <f t="shared" si="432"/>
        <v>0.92035096950265882</v>
      </c>
      <c r="H868" s="35">
        <f t="shared" si="433"/>
        <v>0.10995656358857271</v>
      </c>
      <c r="I868" s="13">
        <f t="shared" si="427"/>
        <v>0.10119862990192365</v>
      </c>
      <c r="J868" s="13">
        <f t="shared" si="428"/>
        <v>0.58997981879932215</v>
      </c>
      <c r="K868" s="106"/>
      <c r="AA868" s="106"/>
    </row>
    <row r="869" spans="3:27">
      <c r="C869" s="17">
        <f t="shared" si="430"/>
        <v>74</v>
      </c>
      <c r="D869" s="13">
        <f t="shared" si="431"/>
        <v>173</v>
      </c>
      <c r="E869" s="13">
        <f>VLOOKUP(C869,'Mortality Table'!$A$5:$E$153,IF(SRP_Gender="female",5,4),FALSE)</f>
        <v>1.1350000000000001E-2</v>
      </c>
      <c r="F869" s="13">
        <f t="shared" si="429"/>
        <v>9.5078961412031759E-4</v>
      </c>
      <c r="G869" s="18">
        <f t="shared" si="432"/>
        <v>0.91947590935951018</v>
      </c>
      <c r="H869" s="35">
        <f t="shared" si="433"/>
        <v>0.10995656358857271</v>
      </c>
      <c r="I869" s="13">
        <f t="shared" si="427"/>
        <v>0.1011024112956497</v>
      </c>
      <c r="J869" s="13">
        <f t="shared" si="428"/>
        <v>0.58817263385309493</v>
      </c>
      <c r="K869" s="106"/>
      <c r="AA869" s="106"/>
    </row>
    <row r="870" spans="3:27">
      <c r="C870" s="17">
        <f t="shared" si="430"/>
        <v>74</v>
      </c>
      <c r="D870" s="13">
        <f t="shared" si="431"/>
        <v>174</v>
      </c>
      <c r="E870" s="13">
        <f>VLOOKUP(C870,'Mortality Table'!$A$5:$E$153,IF(SRP_Gender="female",5,4),FALSE)</f>
        <v>1.1350000000000001E-2</v>
      </c>
      <c r="F870" s="13">
        <f t="shared" si="429"/>
        <v>9.5078961412031759E-4</v>
      </c>
      <c r="G870" s="18">
        <f t="shared" si="432"/>
        <v>0.91860168121445729</v>
      </c>
      <c r="H870" s="35">
        <f t="shared" si="433"/>
        <v>0.10995656358857271</v>
      </c>
      <c r="I870" s="13">
        <f t="shared" si="427"/>
        <v>0.10100628417302727</v>
      </c>
      <c r="J870" s="13">
        <f t="shared" si="428"/>
        <v>0.58637098454948755</v>
      </c>
      <c r="K870" s="106"/>
      <c r="AA870" s="106"/>
    </row>
    <row r="871" spans="3:27">
      <c r="C871" s="17">
        <f t="shared" si="430"/>
        <v>74</v>
      </c>
      <c r="D871" s="13">
        <f t="shared" si="431"/>
        <v>175</v>
      </c>
      <c r="E871" s="13">
        <f>VLOOKUP(C871,'Mortality Table'!$A$5:$E$153,IF(SRP_Gender="female",5,4),FALSE)</f>
        <v>1.1350000000000001E-2</v>
      </c>
      <c r="F871" s="13">
        <f t="shared" si="429"/>
        <v>9.5078961412031759E-4</v>
      </c>
      <c r="G871" s="18">
        <f t="shared" si="432"/>
        <v>0.91772828427644515</v>
      </c>
      <c r="H871" s="35">
        <f t="shared" si="433"/>
        <v>0.10995656358857271</v>
      </c>
      <c r="I871" s="13">
        <f t="shared" si="427"/>
        <v>0.10091024844707468</v>
      </c>
      <c r="J871" s="13">
        <f t="shared" si="428"/>
        <v>0.58457485393210673</v>
      </c>
      <c r="K871" s="106"/>
      <c r="AA871" s="106"/>
    </row>
    <row r="872" spans="3:27">
      <c r="C872" s="17">
        <f t="shared" si="430"/>
        <v>74</v>
      </c>
      <c r="D872" s="13">
        <f t="shared" si="431"/>
        <v>176</v>
      </c>
      <c r="E872" s="13">
        <f>VLOOKUP(C872,'Mortality Table'!$A$5:$E$153,IF(SRP_Gender="female",5,4),FALSE)</f>
        <v>1.1350000000000001E-2</v>
      </c>
      <c r="F872" s="13">
        <f t="shared" si="429"/>
        <v>9.5078961412031759E-4</v>
      </c>
      <c r="G872" s="18">
        <f t="shared" si="432"/>
        <v>0.91685571775517061</v>
      </c>
      <c r="H872" s="35">
        <f t="shared" si="433"/>
        <v>0.10995656358857271</v>
      </c>
      <c r="I872" s="13">
        <f t="shared" si="427"/>
        <v>0.10081430403089289</v>
      </c>
      <c r="J872" s="13">
        <f t="shared" si="428"/>
        <v>0.5827842250964983</v>
      </c>
      <c r="K872" s="106"/>
      <c r="AA872" s="106"/>
    </row>
    <row r="873" spans="3:27">
      <c r="C873" s="17">
        <f t="shared" si="430"/>
        <v>74</v>
      </c>
      <c r="D873" s="13">
        <f t="shared" si="431"/>
        <v>177</v>
      </c>
      <c r="E873" s="13">
        <f>VLOOKUP(C873,'Mortality Table'!$A$5:$E$153,IF(SRP_Gender="female",5,4),FALSE)</f>
        <v>1.1350000000000001E-2</v>
      </c>
      <c r="F873" s="13">
        <f t="shared" si="429"/>
        <v>9.5078961412031759E-4</v>
      </c>
      <c r="G873" s="18">
        <f t="shared" si="432"/>
        <v>0.91598398086108213</v>
      </c>
      <c r="H873" s="35">
        <f t="shared" si="433"/>
        <v>0.10995656358857271</v>
      </c>
      <c r="I873" s="13">
        <f t="shared" si="427"/>
        <v>0.10071845083766555</v>
      </c>
      <c r="J873" s="13">
        <f t="shared" si="428"/>
        <v>0.58099908118998889</v>
      </c>
      <c r="K873" s="106"/>
      <c r="AA873" s="106"/>
    </row>
    <row r="874" spans="3:27">
      <c r="C874" s="17">
        <f t="shared" si="430"/>
        <v>74</v>
      </c>
      <c r="D874" s="13">
        <f t="shared" si="431"/>
        <v>178</v>
      </c>
      <c r="E874" s="13">
        <f>VLOOKUP(C874,'Mortality Table'!$A$5:$E$153,IF(SRP_Gender="female",5,4),FALSE)</f>
        <v>1.1350000000000001E-2</v>
      </c>
      <c r="F874" s="13">
        <f t="shared" si="429"/>
        <v>9.5078961412031759E-4</v>
      </c>
      <c r="G874" s="18">
        <f t="shared" si="432"/>
        <v>0.91511307280537879</v>
      </c>
      <c r="H874" s="35">
        <f t="shared" si="433"/>
        <v>0.10995656358857271</v>
      </c>
      <c r="I874" s="13">
        <f t="shared" si="427"/>
        <v>0.1006226887806588</v>
      </c>
      <c r="J874" s="13">
        <f t="shared" si="428"/>
        <v>0.57921940541152706</v>
      </c>
      <c r="K874" s="106"/>
      <c r="AA874" s="106"/>
    </row>
    <row r="875" spans="3:27">
      <c r="C875" s="17">
        <f t="shared" si="430"/>
        <v>74</v>
      </c>
      <c r="D875" s="13">
        <f t="shared" si="431"/>
        <v>179</v>
      </c>
      <c r="E875" s="13">
        <f>VLOOKUP(C875,'Mortality Table'!$A$5:$E$153,IF(SRP_Gender="female",5,4),FALSE)</f>
        <v>1.1350000000000001E-2</v>
      </c>
      <c r="F875" s="13">
        <f t="shared" si="429"/>
        <v>9.5078961412031759E-4</v>
      </c>
      <c r="G875" s="18">
        <f t="shared" si="432"/>
        <v>0.91424299280000976</v>
      </c>
      <c r="H875" s="35">
        <f t="shared" si="433"/>
        <v>0.10995656358857271</v>
      </c>
      <c r="I875" s="13">
        <f t="shared" si="427"/>
        <v>0.1005270177732213</v>
      </c>
      <c r="J875" s="13">
        <f t="shared" si="428"/>
        <v>0.5774451810115252</v>
      </c>
      <c r="K875" s="106"/>
      <c r="AA875" s="106"/>
    </row>
    <row r="876" spans="3:27">
      <c r="C876" s="17">
        <f t="shared" si="430"/>
        <v>74</v>
      </c>
      <c r="D876" s="13">
        <f t="shared" si="431"/>
        <v>180</v>
      </c>
      <c r="E876" s="13">
        <f>VLOOKUP(C876,'Mortality Table'!$A$5:$E$153,IF(SRP_Gender="female",5,4),FALSE)</f>
        <v>1.1350000000000001E-2</v>
      </c>
      <c r="F876" s="13">
        <f t="shared" si="429"/>
        <v>9.5078961412031759E-4</v>
      </c>
      <c r="G876" s="18">
        <f t="shared" si="432"/>
        <v>0.91337374005767324</v>
      </c>
      <c r="H876" s="35">
        <f t="shared" si="433"/>
        <v>0.10995656358857271</v>
      </c>
      <c r="I876" s="13">
        <f t="shared" si="427"/>
        <v>0.10043143772878403</v>
      </c>
      <c r="J876" s="13">
        <f t="shared" si="428"/>
        <v>0.57567639129170156</v>
      </c>
      <c r="K876" s="106"/>
      <c r="AA876" s="106"/>
    </row>
    <row r="877" spans="3:27">
      <c r="C877" s="17">
        <f t="shared" si="430"/>
        <v>75</v>
      </c>
      <c r="D877" s="13">
        <f t="shared" si="431"/>
        <v>181</v>
      </c>
      <c r="E877" s="13">
        <f>VLOOKUP(C877,'Mortality Table'!$A$5:$E$153,IF(SRP_Gender="female",5,4),FALSE)</f>
        <v>1.2545000000000001E-2</v>
      </c>
      <c r="F877" s="13">
        <f t="shared" si="429"/>
        <v>1.0514762165256819E-3</v>
      </c>
      <c r="G877" s="18">
        <f t="shared" si="432"/>
        <v>0.91250531379181621</v>
      </c>
      <c r="H877" s="35">
        <f t="shared" si="433"/>
        <v>0.11215569486034417</v>
      </c>
      <c r="I877" s="13">
        <f t="shared" si="427"/>
        <v>0.10234266753207755</v>
      </c>
      <c r="J877" s="13">
        <f t="shared" si="428"/>
        <v>0.57391301960492436</v>
      </c>
      <c r="K877" s="106"/>
      <c r="AA877" s="106"/>
    </row>
    <row r="878" spans="3:27">
      <c r="C878" s="17">
        <f t="shared" si="430"/>
        <v>75</v>
      </c>
      <c r="D878" s="13">
        <f t="shared" si="431"/>
        <v>182</v>
      </c>
      <c r="E878" s="13">
        <f>VLOOKUP(C878,'Mortality Table'!$A$5:$E$153,IF(SRP_Gender="female",5,4),FALSE)</f>
        <v>1.2545000000000001E-2</v>
      </c>
      <c r="F878" s="13">
        <f t="shared" si="429"/>
        <v>1.0514762165256819E-3</v>
      </c>
      <c r="G878" s="18">
        <f t="shared" si="432"/>
        <v>0.91154583615691076</v>
      </c>
      <c r="H878" s="35">
        <f t="shared" si="433"/>
        <v>0.11215569486034417</v>
      </c>
      <c r="I878" s="13">
        <f t="shared" si="427"/>
        <v>0.10223505665123177</v>
      </c>
      <c r="J878" s="13">
        <f t="shared" si="428"/>
        <v>0.57215504935505279</v>
      </c>
      <c r="K878" s="106"/>
      <c r="AA878" s="106"/>
    </row>
    <row r="879" spans="3:27">
      <c r="C879" s="17">
        <f t="shared" si="430"/>
        <v>75</v>
      </c>
      <c r="D879" s="13">
        <f t="shared" si="431"/>
        <v>183</v>
      </c>
      <c r="E879" s="13">
        <f>VLOOKUP(C879,'Mortality Table'!$A$5:$E$153,IF(SRP_Gender="female",5,4),FALSE)</f>
        <v>1.2545000000000001E-2</v>
      </c>
      <c r="F879" s="13">
        <f t="shared" si="429"/>
        <v>1.0514762165256819E-3</v>
      </c>
      <c r="G879" s="18">
        <f t="shared" si="432"/>
        <v>0.91058736738991874</v>
      </c>
      <c r="H879" s="35">
        <f t="shared" si="433"/>
        <v>0.11215569486034417</v>
      </c>
      <c r="I879" s="13">
        <f t="shared" si="427"/>
        <v>0.10212755892066784</v>
      </c>
      <c r="J879" s="13">
        <f t="shared" si="428"/>
        <v>0.57040246399678296</v>
      </c>
      <c r="K879" s="106"/>
      <c r="AA879" s="106"/>
    </row>
    <row r="880" spans="3:27">
      <c r="C880" s="17">
        <f t="shared" si="430"/>
        <v>75</v>
      </c>
      <c r="D880" s="13">
        <f t="shared" si="431"/>
        <v>184</v>
      </c>
      <c r="E880" s="13">
        <f>VLOOKUP(C880,'Mortality Table'!$A$5:$E$153,IF(SRP_Gender="female",5,4),FALSE)</f>
        <v>1.2545000000000001E-2</v>
      </c>
      <c r="F880" s="13">
        <f t="shared" si="429"/>
        <v>1.0514762165256819E-3</v>
      </c>
      <c r="G880" s="18">
        <f t="shared" si="432"/>
        <v>0.90962990643003949</v>
      </c>
      <c r="H880" s="35">
        <f t="shared" si="433"/>
        <v>0.11215569486034417</v>
      </c>
      <c r="I880" s="13">
        <f t="shared" si="427"/>
        <v>0.10202017422141094</v>
      </c>
      <c r="J880" s="13">
        <f t="shared" si="428"/>
        <v>0.5686552470354912</v>
      </c>
      <c r="K880" s="106"/>
      <c r="AA880" s="106"/>
    </row>
    <row r="881" spans="3:27">
      <c r="C881" s="17">
        <f t="shared" si="430"/>
        <v>75</v>
      </c>
      <c r="D881" s="13">
        <f t="shared" si="431"/>
        <v>185</v>
      </c>
      <c r="E881" s="13">
        <f>VLOOKUP(C881,'Mortality Table'!$A$5:$E$153,IF(SRP_Gender="female",5,4),FALSE)</f>
        <v>1.2545000000000001E-2</v>
      </c>
      <c r="F881" s="13">
        <f t="shared" si="429"/>
        <v>1.0514762165256819E-3</v>
      </c>
      <c r="G881" s="18">
        <f t="shared" si="432"/>
        <v>0.90867345221758777</v>
      </c>
      <c r="H881" s="35">
        <f t="shared" si="433"/>
        <v>0.11215569486034417</v>
      </c>
      <c r="I881" s="13">
        <f t="shared" si="427"/>
        <v>0.1019129024346113</v>
      </c>
      <c r="J881" s="13">
        <f t="shared" si="428"/>
        <v>0.56691338202707942</v>
      </c>
      <c r="K881" s="106"/>
      <c r="AA881" s="106"/>
    </row>
    <row r="882" spans="3:27">
      <c r="C882" s="17">
        <f t="shared" si="430"/>
        <v>75</v>
      </c>
      <c r="D882" s="13">
        <f t="shared" si="431"/>
        <v>186</v>
      </c>
      <c r="E882" s="13">
        <f>VLOOKUP(C882,'Mortality Table'!$A$5:$E$153,IF(SRP_Gender="female",5,4),FALSE)</f>
        <v>1.2545000000000001E-2</v>
      </c>
      <c r="F882" s="13">
        <f t="shared" si="429"/>
        <v>1.0514762165256819E-3</v>
      </c>
      <c r="G882" s="18">
        <f t="shared" si="432"/>
        <v>0.90771800369399269</v>
      </c>
      <c r="H882" s="35">
        <f t="shared" si="433"/>
        <v>0.11215569486034417</v>
      </c>
      <c r="I882" s="13">
        <f t="shared" si="427"/>
        <v>0.10180574344154421</v>
      </c>
      <c r="J882" s="13">
        <f t="shared" si="428"/>
        <v>0.56517685257781936</v>
      </c>
      <c r="K882" s="106"/>
      <c r="AA882" s="106"/>
    </row>
    <row r="883" spans="3:27">
      <c r="C883" s="17">
        <f t="shared" si="430"/>
        <v>75</v>
      </c>
      <c r="D883" s="13">
        <f t="shared" si="431"/>
        <v>187</v>
      </c>
      <c r="E883" s="13">
        <f>VLOOKUP(C883,'Mortality Table'!$A$5:$E$153,IF(SRP_Gender="female",5,4),FALSE)</f>
        <v>1.2545000000000001E-2</v>
      </c>
      <c r="F883" s="13">
        <f t="shared" si="429"/>
        <v>1.0514762165256819E-3</v>
      </c>
      <c r="G883" s="18">
        <f t="shared" si="432"/>
        <v>0.90676355980179624</v>
      </c>
      <c r="H883" s="35">
        <f t="shared" si="433"/>
        <v>0.11215569486034417</v>
      </c>
      <c r="I883" s="13">
        <f t="shared" si="427"/>
        <v>0.1016986971236097</v>
      </c>
      <c r="J883" s="13">
        <f t="shared" si="428"/>
        <v>0.56344564234419914</v>
      </c>
      <c r="K883" s="106"/>
      <c r="AA883" s="106"/>
    </row>
    <row r="884" spans="3:27">
      <c r="C884" s="17">
        <f t="shared" si="430"/>
        <v>75</v>
      </c>
      <c r="D884" s="13">
        <f t="shared" si="431"/>
        <v>188</v>
      </c>
      <c r="E884" s="13">
        <f>VLOOKUP(C884,'Mortality Table'!$A$5:$E$153,IF(SRP_Gender="female",5,4),FALSE)</f>
        <v>1.2545000000000001E-2</v>
      </c>
      <c r="F884" s="13">
        <f t="shared" si="429"/>
        <v>1.0514762165256819E-3</v>
      </c>
      <c r="G884" s="18">
        <f t="shared" si="432"/>
        <v>0.90581011948465251</v>
      </c>
      <c r="H884" s="35">
        <f t="shared" si="433"/>
        <v>0.11215569486034417</v>
      </c>
      <c r="I884" s="13">
        <f t="shared" si="427"/>
        <v>0.10159176336233258</v>
      </c>
      <c r="J884" s="13">
        <f t="shared" si="428"/>
        <v>0.5617197350327694</v>
      </c>
      <c r="K884" s="106"/>
      <c r="AA884" s="106"/>
    </row>
    <row r="885" spans="3:27">
      <c r="C885" s="17">
        <f t="shared" si="430"/>
        <v>75</v>
      </c>
      <c r="D885" s="13">
        <f t="shared" si="431"/>
        <v>189</v>
      </c>
      <c r="E885" s="13">
        <f>VLOOKUP(C885,'Mortality Table'!$A$5:$E$153,IF(SRP_Gender="female",5,4),FALSE)</f>
        <v>1.2545000000000001E-2</v>
      </c>
      <c r="F885" s="13">
        <f t="shared" si="429"/>
        <v>1.0514762165256819E-3</v>
      </c>
      <c r="G885" s="18">
        <f t="shared" si="432"/>
        <v>0.90485768168732617</v>
      </c>
      <c r="H885" s="35">
        <f t="shared" si="433"/>
        <v>0.11215569486034417</v>
      </c>
      <c r="I885" s="13">
        <f t="shared" si="427"/>
        <v>0.10148494203936219</v>
      </c>
      <c r="J885" s="13">
        <f t="shared" si="428"/>
        <v>0.55999911439998928</v>
      </c>
      <c r="K885" s="106"/>
      <c r="AA885" s="106"/>
    </row>
    <row r="886" spans="3:27">
      <c r="C886" s="17">
        <f t="shared" si="430"/>
        <v>75</v>
      </c>
      <c r="D886" s="13">
        <f t="shared" si="431"/>
        <v>190</v>
      </c>
      <c r="E886" s="13">
        <f>VLOOKUP(C886,'Mortality Table'!$A$5:$E$153,IF(SRP_Gender="female",5,4),FALSE)</f>
        <v>1.2545000000000001E-2</v>
      </c>
      <c r="F886" s="13">
        <f t="shared" si="429"/>
        <v>1.0514762165256819E-3</v>
      </c>
      <c r="G886" s="18">
        <f t="shared" si="432"/>
        <v>0.90390624535569142</v>
      </c>
      <c r="H886" s="35">
        <f t="shared" si="433"/>
        <v>0.11215569486034417</v>
      </c>
      <c r="I886" s="13">
        <f t="shared" si="427"/>
        <v>0.10137823303647232</v>
      </c>
      <c r="J886" s="13">
        <f t="shared" si="428"/>
        <v>0.55828376425207416</v>
      </c>
      <c r="K886" s="106"/>
      <c r="AA886" s="106"/>
    </row>
    <row r="887" spans="3:27">
      <c r="C887" s="17">
        <f t="shared" si="430"/>
        <v>75</v>
      </c>
      <c r="D887" s="13">
        <f t="shared" si="431"/>
        <v>191</v>
      </c>
      <c r="E887" s="13">
        <f>VLOOKUP(C887,'Mortality Table'!$A$5:$E$153,IF(SRP_Gender="female",5,4),FALSE)</f>
        <v>1.2545000000000001E-2</v>
      </c>
      <c r="F887" s="13">
        <f t="shared" si="429"/>
        <v>1.0514762165256819E-3</v>
      </c>
      <c r="G887" s="18">
        <f t="shared" si="432"/>
        <v>0.90295580943673093</v>
      </c>
      <c r="H887" s="35">
        <f t="shared" si="433"/>
        <v>0.11215569486034417</v>
      </c>
      <c r="I887" s="13">
        <f t="shared" si="427"/>
        <v>0.10127163623556107</v>
      </c>
      <c r="J887" s="13">
        <f t="shared" si="428"/>
        <v>0.55657366844484346</v>
      </c>
      <c r="K887" s="106"/>
      <c r="AA887" s="106"/>
    </row>
    <row r="888" spans="3:27">
      <c r="C888" s="17">
        <f t="shared" si="430"/>
        <v>75</v>
      </c>
      <c r="D888" s="13">
        <f t="shared" si="431"/>
        <v>192</v>
      </c>
      <c r="E888" s="13">
        <f>VLOOKUP(C888,'Mortality Table'!$A$5:$E$153,IF(SRP_Gender="female",5,4),FALSE)</f>
        <v>1.2545000000000001E-2</v>
      </c>
      <c r="F888" s="13">
        <f t="shared" si="429"/>
        <v>1.0514762165256819E-3</v>
      </c>
      <c r="G888" s="18">
        <f t="shared" si="432"/>
        <v>0.90200637287853447</v>
      </c>
      <c r="H888" s="35">
        <f t="shared" si="433"/>
        <v>0.11215569486034417</v>
      </c>
      <c r="I888" s="13">
        <f t="shared" si="427"/>
        <v>0.10116515151865074</v>
      </c>
      <c r="J888" s="13">
        <f t="shared" si="428"/>
        <v>0.55486881088356765</v>
      </c>
      <c r="K888" s="106"/>
      <c r="AA888" s="106"/>
    </row>
    <row r="889" spans="3:27">
      <c r="C889" s="17">
        <f t="shared" si="430"/>
        <v>76</v>
      </c>
      <c r="D889" s="13">
        <f t="shared" si="431"/>
        <v>193</v>
      </c>
      <c r="E889" s="13">
        <f>VLOOKUP(C889,'Mortality Table'!$A$5:$E$153,IF(SRP_Gender="female",5,4),FALSE)</f>
        <v>1.401E-2</v>
      </c>
      <c r="F889" s="13">
        <f t="shared" si="429"/>
        <v>1.1750646051725822E-3</v>
      </c>
      <c r="G889" s="18">
        <f t="shared" si="432"/>
        <v>0.90105793463029804</v>
      </c>
      <c r="H889" s="35">
        <f t="shared" si="433"/>
        <v>0.11439880875755105</v>
      </c>
      <c r="I889" s="13">
        <f t="shared" ref="I889:I952" si="434">IF(D889&lt;=12*SRP_Annuity_Gtee_Period,H889,H889*G889)</f>
        <v>0.10307995434324541</v>
      </c>
      <c r="J889" s="13">
        <f t="shared" ref="J889:J952" si="435">((1+$D$79)^(-D889/12))</f>
        <v>0.55316917552281852</v>
      </c>
      <c r="K889" s="106"/>
      <c r="AA889" s="106"/>
    </row>
    <row r="890" spans="3:27">
      <c r="C890" s="17">
        <f t="shared" si="430"/>
        <v>76</v>
      </c>
      <c r="D890" s="13">
        <f t="shared" si="431"/>
        <v>194</v>
      </c>
      <c r="E890" s="13">
        <f>VLOOKUP(C890,'Mortality Table'!$A$5:$E$153,IF(SRP_Gender="female",5,4),FALSE)</f>
        <v>1.401E-2</v>
      </c>
      <c r="F890" s="13">
        <f t="shared" ref="F890:F953" si="436">1-(1-E890)^(1/12)</f>
        <v>1.1750646051725822E-3</v>
      </c>
      <c r="G890" s="18">
        <f t="shared" si="432"/>
        <v>0.89999913334410409</v>
      </c>
      <c r="H890" s="35">
        <f t="shared" si="433"/>
        <v>0.11439880875755105</v>
      </c>
      <c r="I890" s="13">
        <f t="shared" si="434"/>
        <v>0.10295882873739386</v>
      </c>
      <c r="J890" s="13">
        <f t="shared" si="435"/>
        <v>0.55147474636631577</v>
      </c>
      <c r="K890" s="106"/>
      <c r="AA890" s="106"/>
    </row>
    <row r="891" spans="3:27">
      <c r="C891" s="17">
        <f t="shared" ref="C891:C954" si="437">IF(MOD(D891,12)=1,C890+1,C890)</f>
        <v>76</v>
      </c>
      <c r="D891" s="13">
        <f t="shared" ref="D891:D954" si="438">D890+1</f>
        <v>195</v>
      </c>
      <c r="E891" s="13">
        <f>VLOOKUP(C891,'Mortality Table'!$A$5:$E$153,IF(SRP_Gender="female",5,4),FALSE)</f>
        <v>1.401E-2</v>
      </c>
      <c r="F891" s="13">
        <f t="shared" si="436"/>
        <v>1.1750646051725822E-3</v>
      </c>
      <c r="G891" s="18">
        <f t="shared" ref="G891:G954" si="439">G890*(1-F890)</f>
        <v>0.89894157621782544</v>
      </c>
      <c r="H891" s="35">
        <f t="shared" ref="H891:H954" si="440">IF(MOD(D891,12)=1,H890*(1+$D$81),H890)</f>
        <v>0.11439880875755105</v>
      </c>
      <c r="I891" s="13">
        <f t="shared" si="434"/>
        <v>0.10283784546195451</v>
      </c>
      <c r="J891" s="13">
        <f t="shared" si="435"/>
        <v>0.54978550746677857</v>
      </c>
      <c r="K891" s="106"/>
      <c r="AA891" s="106"/>
    </row>
    <row r="892" spans="3:27">
      <c r="C892" s="17">
        <f t="shared" si="437"/>
        <v>76</v>
      </c>
      <c r="D892" s="13">
        <f t="shared" si="438"/>
        <v>196</v>
      </c>
      <c r="E892" s="13">
        <f>VLOOKUP(C892,'Mortality Table'!$A$5:$E$153,IF(SRP_Gender="female",5,4),FALSE)</f>
        <v>1.401E-2</v>
      </c>
      <c r="F892" s="13">
        <f t="shared" si="436"/>
        <v>1.1750646051725822E-3</v>
      </c>
      <c r="G892" s="18">
        <f t="shared" si="439"/>
        <v>0.89788526178949379</v>
      </c>
      <c r="H892" s="35">
        <f t="shared" si="440"/>
        <v>0.11439880875755105</v>
      </c>
      <c r="I892" s="13">
        <f t="shared" si="434"/>
        <v>0.10271700434967997</v>
      </c>
      <c r="J892" s="13">
        <f t="shared" si="435"/>
        <v>0.54810144292577467</v>
      </c>
      <c r="K892" s="106"/>
      <c r="AA892" s="106"/>
    </row>
    <row r="893" spans="3:27">
      <c r="C893" s="17">
        <f t="shared" si="437"/>
        <v>76</v>
      </c>
      <c r="D893" s="13">
        <f t="shared" si="438"/>
        <v>197</v>
      </c>
      <c r="E893" s="13">
        <f>VLOOKUP(C893,'Mortality Table'!$A$5:$E$153,IF(SRP_Gender="female",5,4),FALSE)</f>
        <v>1.401E-2</v>
      </c>
      <c r="F893" s="13">
        <f t="shared" si="436"/>
        <v>1.1750646051725822E-3</v>
      </c>
      <c r="G893" s="18">
        <f t="shared" si="439"/>
        <v>0.89683018859885888</v>
      </c>
      <c r="H893" s="35">
        <f t="shared" si="440"/>
        <v>0.11439880875755105</v>
      </c>
      <c r="I893" s="13">
        <f t="shared" si="434"/>
        <v>0.1025963052335193</v>
      </c>
      <c r="J893" s="13">
        <f t="shared" si="435"/>
        <v>0.54642253689357045</v>
      </c>
      <c r="K893" s="106"/>
      <c r="AA893" s="106"/>
    </row>
    <row r="894" spans="3:27">
      <c r="C894" s="17">
        <f t="shared" si="437"/>
        <v>76</v>
      </c>
      <c r="D894" s="13">
        <f t="shared" si="438"/>
        <v>198</v>
      </c>
      <c r="E894" s="13">
        <f>VLOOKUP(C894,'Mortality Table'!$A$5:$E$153,IF(SRP_Gender="female",5,4),FALSE)</f>
        <v>1.401E-2</v>
      </c>
      <c r="F894" s="13">
        <f t="shared" si="436"/>
        <v>1.1750646051725822E-3</v>
      </c>
      <c r="G894" s="18">
        <f t="shared" si="439"/>
        <v>0.89577635518738608</v>
      </c>
      <c r="H894" s="35">
        <f t="shared" si="440"/>
        <v>0.11439880875755105</v>
      </c>
      <c r="I894" s="13">
        <f t="shared" si="434"/>
        <v>0.1024757479466179</v>
      </c>
      <c r="J894" s="13">
        <f t="shared" si="435"/>
        <v>0.54474877356898244</v>
      </c>
      <c r="K894" s="106"/>
      <c r="AA894" s="106"/>
    </row>
    <row r="895" spans="3:27">
      <c r="C895" s="17">
        <f t="shared" si="437"/>
        <v>76</v>
      </c>
      <c r="D895" s="13">
        <f t="shared" si="438"/>
        <v>199</v>
      </c>
      <c r="E895" s="13">
        <f>VLOOKUP(C895,'Mortality Table'!$A$5:$E$153,IF(SRP_Gender="female",5,4),FALSE)</f>
        <v>1.401E-2</v>
      </c>
      <c r="F895" s="13">
        <f t="shared" si="436"/>
        <v>1.1750646051725822E-3</v>
      </c>
      <c r="G895" s="18">
        <f t="shared" si="439"/>
        <v>0.89472376009825483</v>
      </c>
      <c r="H895" s="35">
        <f t="shared" si="440"/>
        <v>0.11439880875755105</v>
      </c>
      <c r="I895" s="13">
        <f t="shared" si="434"/>
        <v>0.10235533232231725</v>
      </c>
      <c r="J895" s="13">
        <f t="shared" si="435"/>
        <v>0.5430801371992281</v>
      </c>
      <c r="K895" s="106"/>
      <c r="AA895" s="106"/>
    </row>
    <row r="896" spans="3:27">
      <c r="C896" s="17">
        <f t="shared" si="437"/>
        <v>76</v>
      </c>
      <c r="D896" s="13">
        <f t="shared" si="438"/>
        <v>200</v>
      </c>
      <c r="E896" s="13">
        <f>VLOOKUP(C896,'Mortality Table'!$A$5:$E$153,IF(SRP_Gender="female",5,4),FALSE)</f>
        <v>1.401E-2</v>
      </c>
      <c r="F896" s="13">
        <f t="shared" si="436"/>
        <v>1.1750646051725822E-3</v>
      </c>
      <c r="G896" s="18">
        <f t="shared" si="439"/>
        <v>0.89367240187635644</v>
      </c>
      <c r="H896" s="35">
        <f t="shared" si="440"/>
        <v>0.11439880875755105</v>
      </c>
      <c r="I896" s="13">
        <f t="shared" si="434"/>
        <v>0.10223505819415461</v>
      </c>
      <c r="J896" s="13">
        <f t="shared" si="435"/>
        <v>0.54141661207977765</v>
      </c>
      <c r="K896" s="106"/>
      <c r="AA896" s="106"/>
    </row>
    <row r="897" spans="3:27">
      <c r="C897" s="17">
        <f t="shared" si="437"/>
        <v>76</v>
      </c>
      <c r="D897" s="13">
        <f t="shared" si="438"/>
        <v>201</v>
      </c>
      <c r="E897" s="13">
        <f>VLOOKUP(C897,'Mortality Table'!$A$5:$E$153,IF(SRP_Gender="female",5,4),FALSE)</f>
        <v>1.401E-2</v>
      </c>
      <c r="F897" s="13">
        <f t="shared" si="436"/>
        <v>1.1750646051725822E-3</v>
      </c>
      <c r="G897" s="18">
        <f t="shared" si="439"/>
        <v>0.89262227906829195</v>
      </c>
      <c r="H897" s="35">
        <f t="shared" si="440"/>
        <v>0.11439880875755105</v>
      </c>
      <c r="I897" s="13">
        <f t="shared" si="434"/>
        <v>0.10211492539586289</v>
      </c>
      <c r="J897" s="13">
        <f t="shared" si="435"/>
        <v>0.53975818255420638</v>
      </c>
      <c r="K897" s="106"/>
      <c r="AA897" s="106"/>
    </row>
    <row r="898" spans="3:27">
      <c r="C898" s="17">
        <f t="shared" si="437"/>
        <v>76</v>
      </c>
      <c r="D898" s="13">
        <f t="shared" si="438"/>
        <v>202</v>
      </c>
      <c r="E898" s="13">
        <f>VLOOKUP(C898,'Mortality Table'!$A$5:$E$153,IF(SRP_Gender="female",5,4),FALSE)</f>
        <v>1.401E-2</v>
      </c>
      <c r="F898" s="13">
        <f t="shared" si="436"/>
        <v>1.1750646051725822E-3</v>
      </c>
      <c r="G898" s="18">
        <f t="shared" si="439"/>
        <v>0.89157339022237037</v>
      </c>
      <c r="H898" s="35">
        <f t="shared" si="440"/>
        <v>0.11439880875755105</v>
      </c>
      <c r="I898" s="13">
        <f t="shared" si="434"/>
        <v>0.10199493376137039</v>
      </c>
      <c r="J898" s="13">
        <f t="shared" si="435"/>
        <v>0.53810483301404743</v>
      </c>
      <c r="K898" s="106"/>
      <c r="AA898" s="106"/>
    </row>
    <row r="899" spans="3:27">
      <c r="C899" s="17">
        <f t="shared" si="437"/>
        <v>76</v>
      </c>
      <c r="D899" s="13">
        <f t="shared" si="438"/>
        <v>203</v>
      </c>
      <c r="E899" s="13">
        <f>VLOOKUP(C899,'Mortality Table'!$A$5:$E$153,IF(SRP_Gender="female",5,4),FALSE)</f>
        <v>1.401E-2</v>
      </c>
      <c r="F899" s="13">
        <f t="shared" si="436"/>
        <v>1.1750646051725822E-3</v>
      </c>
      <c r="G899" s="18">
        <f t="shared" si="439"/>
        <v>0.89052573388860634</v>
      </c>
      <c r="H899" s="35">
        <f t="shared" si="440"/>
        <v>0.11439880875755105</v>
      </c>
      <c r="I899" s="13">
        <f t="shared" si="434"/>
        <v>0.10187508312480048</v>
      </c>
      <c r="J899" s="13">
        <f t="shared" si="435"/>
        <v>0.53645654789864428</v>
      </c>
      <c r="K899" s="106"/>
      <c r="AA899" s="106"/>
    </row>
    <row r="900" spans="3:27">
      <c r="C900" s="17">
        <f t="shared" si="437"/>
        <v>76</v>
      </c>
      <c r="D900" s="13">
        <f t="shared" si="438"/>
        <v>204</v>
      </c>
      <c r="E900" s="13">
        <f>VLOOKUP(C900,'Mortality Table'!$A$5:$E$153,IF(SRP_Gender="female",5,4),FALSE)</f>
        <v>1.401E-2</v>
      </c>
      <c r="F900" s="13">
        <f t="shared" si="436"/>
        <v>1.1750646051725822E-3</v>
      </c>
      <c r="G900" s="18">
        <f t="shared" si="439"/>
        <v>0.88947930861871849</v>
      </c>
      <c r="H900" s="35">
        <f t="shared" si="440"/>
        <v>0.11439880875755105</v>
      </c>
      <c r="I900" s="13">
        <f t="shared" si="434"/>
        <v>0.10175537332047151</v>
      </c>
      <c r="J900" s="13">
        <f t="shared" si="435"/>
        <v>0.53481331169500501</v>
      </c>
      <c r="K900" s="106"/>
      <c r="AA900" s="106"/>
    </row>
    <row r="901" spans="3:27">
      <c r="C901" s="17">
        <f t="shared" si="437"/>
        <v>77</v>
      </c>
      <c r="D901" s="13">
        <f t="shared" si="438"/>
        <v>205</v>
      </c>
      <c r="E901" s="13">
        <f>VLOOKUP(C901,'Mortality Table'!$A$5:$E$153,IF(SRP_Gender="female",5,4),FALSE)</f>
        <v>1.5890000000000001E-2</v>
      </c>
      <c r="F901" s="13">
        <f t="shared" si="436"/>
        <v>1.3339095140868507E-3</v>
      </c>
      <c r="G901" s="18">
        <f t="shared" si="439"/>
        <v>0.88843411296612729</v>
      </c>
      <c r="H901" s="35">
        <f t="shared" si="440"/>
        <v>0.11668678493270208</v>
      </c>
      <c r="I901" s="13">
        <f t="shared" si="434"/>
        <v>0.10366852026655445</v>
      </c>
      <c r="J901" s="13">
        <f t="shared" si="435"/>
        <v>0.53317510893765641</v>
      </c>
      <c r="K901" s="106"/>
      <c r="AA901" s="106"/>
    </row>
    <row r="902" spans="3:27">
      <c r="C902" s="17">
        <f t="shared" si="437"/>
        <v>77</v>
      </c>
      <c r="D902" s="13">
        <f t="shared" si="438"/>
        <v>206</v>
      </c>
      <c r="E902" s="13">
        <f>VLOOKUP(C902,'Mortality Table'!$A$5:$E$153,IF(SRP_Gender="female",5,4),FALSE)</f>
        <v>1.5890000000000001E-2</v>
      </c>
      <c r="F902" s="13">
        <f t="shared" si="436"/>
        <v>1.3339095140868507E-3</v>
      </c>
      <c r="G902" s="18">
        <f t="shared" si="439"/>
        <v>0.88724902225020241</v>
      </c>
      <c r="H902" s="35">
        <f t="shared" si="440"/>
        <v>0.11668678493270208</v>
      </c>
      <c r="I902" s="13">
        <f t="shared" si="434"/>
        <v>0.10353023584105958</v>
      </c>
      <c r="J902" s="13">
        <f t="shared" si="435"/>
        <v>0.53154192420849711</v>
      </c>
      <c r="K902" s="106"/>
      <c r="AA902" s="106"/>
    </row>
    <row r="903" spans="3:27">
      <c r="C903" s="17">
        <f t="shared" si="437"/>
        <v>77</v>
      </c>
      <c r="D903" s="13">
        <f t="shared" si="438"/>
        <v>207</v>
      </c>
      <c r="E903" s="13">
        <f>VLOOKUP(C903,'Mortality Table'!$A$5:$E$153,IF(SRP_Gender="female",5,4),FALSE)</f>
        <v>1.5890000000000001E-2</v>
      </c>
      <c r="F903" s="13">
        <f t="shared" si="436"/>
        <v>1.3339095140868507E-3</v>
      </c>
      <c r="G903" s="18">
        <f t="shared" si="439"/>
        <v>0.88606551233805864</v>
      </c>
      <c r="H903" s="35">
        <f t="shared" si="440"/>
        <v>0.11668678493270208</v>
      </c>
      <c r="I903" s="13">
        <f t="shared" si="434"/>
        <v>0.10339213587447553</v>
      </c>
      <c r="J903" s="13">
        <f t="shared" si="435"/>
        <v>0.5299137421366541</v>
      </c>
      <c r="K903" s="106"/>
      <c r="AA903" s="106"/>
    </row>
    <row r="904" spans="3:27">
      <c r="C904" s="17">
        <f t="shared" si="437"/>
        <v>77</v>
      </c>
      <c r="D904" s="13">
        <f t="shared" si="438"/>
        <v>208</v>
      </c>
      <c r="E904" s="13">
        <f>VLOOKUP(C904,'Mortality Table'!$A$5:$E$153,IF(SRP_Gender="female",5,4),FALSE)</f>
        <v>1.5890000000000001E-2</v>
      </c>
      <c r="F904" s="13">
        <f t="shared" si="436"/>
        <v>1.3339095140868507E-3</v>
      </c>
      <c r="G904" s="18">
        <f t="shared" si="439"/>
        <v>0.8848835811210467</v>
      </c>
      <c r="H904" s="35">
        <f t="shared" si="440"/>
        <v>0.11668678493270208</v>
      </c>
      <c r="I904" s="13">
        <f t="shared" si="434"/>
        <v>0.10325422012075082</v>
      </c>
      <c r="J904" s="13">
        <f t="shared" si="435"/>
        <v>0.52829054739833703</v>
      </c>
      <c r="K904" s="106"/>
      <c r="AA904" s="106"/>
    </row>
    <row r="905" spans="3:27">
      <c r="C905" s="17">
        <f t="shared" si="437"/>
        <v>77</v>
      </c>
      <c r="D905" s="13">
        <f t="shared" si="438"/>
        <v>209</v>
      </c>
      <c r="E905" s="13">
        <f>VLOOKUP(C905,'Mortality Table'!$A$5:$E$153,IF(SRP_Gender="female",5,4),FALSE)</f>
        <v>1.5890000000000001E-2</v>
      </c>
      <c r="F905" s="13">
        <f t="shared" si="436"/>
        <v>1.3339095140868507E-3</v>
      </c>
      <c r="G905" s="18">
        <f t="shared" si="439"/>
        <v>0.88370322649333011</v>
      </c>
      <c r="H905" s="35">
        <f t="shared" si="440"/>
        <v>0.11668678493270208</v>
      </c>
      <c r="I905" s="13">
        <f t="shared" si="434"/>
        <v>0.10311648833416213</v>
      </c>
      <c r="J905" s="13">
        <f t="shared" si="435"/>
        <v>0.52667232471669434</v>
      </c>
      <c r="K905" s="106"/>
      <c r="AA905" s="106"/>
    </row>
    <row r="906" spans="3:27">
      <c r="C906" s="17">
        <f t="shared" si="437"/>
        <v>77</v>
      </c>
      <c r="D906" s="13">
        <f t="shared" si="438"/>
        <v>210</v>
      </c>
      <c r="E906" s="13">
        <f>VLOOKUP(C906,'Mortality Table'!$A$5:$E$153,IF(SRP_Gender="female",5,4),FALSE)</f>
        <v>1.5890000000000001E-2</v>
      </c>
      <c r="F906" s="13">
        <f t="shared" si="436"/>
        <v>1.3339095140868507E-3</v>
      </c>
      <c r="G906" s="18">
        <f t="shared" si="439"/>
        <v>0.88252444635188143</v>
      </c>
      <c r="H906" s="35">
        <f t="shared" si="440"/>
        <v>0.11668678493270208</v>
      </c>
      <c r="I906" s="13">
        <f t="shared" si="434"/>
        <v>0.10297894026931396</v>
      </c>
      <c r="J906" s="13">
        <f t="shared" si="435"/>
        <v>0.52505905886166981</v>
      </c>
      <c r="K906" s="106"/>
      <c r="AA906" s="106"/>
    </row>
    <row r="907" spans="3:27">
      <c r="C907" s="17">
        <f t="shared" si="437"/>
        <v>77</v>
      </c>
      <c r="D907" s="13">
        <f t="shared" si="438"/>
        <v>211</v>
      </c>
      <c r="E907" s="13">
        <f>VLOOKUP(C907,'Mortality Table'!$A$5:$E$153,IF(SRP_Gender="female",5,4),FALSE)</f>
        <v>1.5890000000000001E-2</v>
      </c>
      <c r="F907" s="13">
        <f t="shared" si="436"/>
        <v>1.3339095140868507E-3</v>
      </c>
      <c r="G907" s="18">
        <f t="shared" si="439"/>
        <v>0.88134723859647846</v>
      </c>
      <c r="H907" s="35">
        <f t="shared" si="440"/>
        <v>0.11668678493270208</v>
      </c>
      <c r="I907" s="13">
        <f t="shared" si="434"/>
        <v>0.10284157568113815</v>
      </c>
      <c r="J907" s="13">
        <f t="shared" si="435"/>
        <v>0.52345073464985836</v>
      </c>
      <c r="K907" s="106"/>
      <c r="AA907" s="106"/>
    </row>
    <row r="908" spans="3:27">
      <c r="C908" s="17">
        <f t="shared" si="437"/>
        <v>77</v>
      </c>
      <c r="D908" s="13">
        <f t="shared" si="438"/>
        <v>212</v>
      </c>
      <c r="E908" s="13">
        <f>VLOOKUP(C908,'Mortality Table'!$A$5:$E$153,IF(SRP_Gender="female",5,4),FALSE)</f>
        <v>1.5890000000000001E-2</v>
      </c>
      <c r="F908" s="13">
        <f t="shared" si="436"/>
        <v>1.3339095140868507E-3</v>
      </c>
      <c r="G908" s="18">
        <f t="shared" si="439"/>
        <v>0.88017160112970039</v>
      </c>
      <c r="H908" s="35">
        <f t="shared" si="440"/>
        <v>0.11668678493270208</v>
      </c>
      <c r="I908" s="13">
        <f t="shared" si="434"/>
        <v>0.10270439432489339</v>
      </c>
      <c r="J908" s="13">
        <f t="shared" si="435"/>
        <v>0.52184733694436392</v>
      </c>
      <c r="K908" s="106"/>
      <c r="AA908" s="106"/>
    </row>
    <row r="909" spans="3:27">
      <c r="C909" s="17">
        <f t="shared" si="437"/>
        <v>77</v>
      </c>
      <c r="D909" s="13">
        <f t="shared" si="438"/>
        <v>213</v>
      </c>
      <c r="E909" s="13">
        <f>VLOOKUP(C909,'Mortality Table'!$A$5:$E$153,IF(SRP_Gender="female",5,4),FALSE)</f>
        <v>1.5890000000000001E-2</v>
      </c>
      <c r="F909" s="13">
        <f t="shared" si="436"/>
        <v>1.3339095140868507E-3</v>
      </c>
      <c r="G909" s="18">
        <f t="shared" si="439"/>
        <v>0.87899753185692442</v>
      </c>
      <c r="H909" s="35">
        <f t="shared" si="440"/>
        <v>0.11668678493270208</v>
      </c>
      <c r="I909" s="13">
        <f t="shared" si="434"/>
        <v>0.10256739595616489</v>
      </c>
      <c r="J909" s="13">
        <f t="shared" si="435"/>
        <v>0.52024885065465665</v>
      </c>
      <c r="K909" s="106"/>
      <c r="AA909" s="106"/>
    </row>
    <row r="910" spans="3:27">
      <c r="C910" s="17">
        <f t="shared" si="437"/>
        <v>77</v>
      </c>
      <c r="D910" s="13">
        <f t="shared" si="438"/>
        <v>214</v>
      </c>
      <c r="E910" s="13">
        <f>VLOOKUP(C910,'Mortality Table'!$A$5:$E$153,IF(SRP_Gender="female",5,4),FALSE)</f>
        <v>1.5890000000000001E-2</v>
      </c>
      <c r="F910" s="13">
        <f t="shared" si="436"/>
        <v>1.3339095140868507E-3</v>
      </c>
      <c r="G910" s="18">
        <f t="shared" si="439"/>
        <v>0.87782502868632162</v>
      </c>
      <c r="H910" s="35">
        <f t="shared" si="440"/>
        <v>0.11668678493270208</v>
      </c>
      <c r="I910" s="13">
        <f t="shared" si="434"/>
        <v>0.10243058033086384</v>
      </c>
      <c r="J910" s="13">
        <f t="shared" si="435"/>
        <v>0.5186552607364312</v>
      </c>
      <c r="K910" s="106"/>
      <c r="AA910" s="106"/>
    </row>
    <row r="911" spans="3:27">
      <c r="C911" s="17">
        <f t="shared" si="437"/>
        <v>77</v>
      </c>
      <c r="D911" s="13">
        <f t="shared" si="438"/>
        <v>215</v>
      </c>
      <c r="E911" s="13">
        <f>VLOOKUP(C911,'Mortality Table'!$A$5:$E$153,IF(SRP_Gender="female",5,4),FALSE)</f>
        <v>1.5890000000000001E-2</v>
      </c>
      <c r="F911" s="13">
        <f t="shared" si="436"/>
        <v>1.3339095140868507E-3</v>
      </c>
      <c r="G911" s="18">
        <f t="shared" si="439"/>
        <v>0.87665408952885338</v>
      </c>
      <c r="H911" s="35">
        <f t="shared" si="440"/>
        <v>0.11668678493270208</v>
      </c>
      <c r="I911" s="13">
        <f t="shared" si="434"/>
        <v>0.10229394720522707</v>
      </c>
      <c r="J911" s="13">
        <f t="shared" si="435"/>
        <v>0.51706655219146436</v>
      </c>
      <c r="K911" s="106"/>
      <c r="AA911" s="106"/>
    </row>
    <row r="912" spans="3:27">
      <c r="C912" s="17">
        <f t="shared" si="437"/>
        <v>77</v>
      </c>
      <c r="D912" s="13">
        <f t="shared" si="438"/>
        <v>216</v>
      </c>
      <c r="E912" s="13">
        <f>VLOOKUP(C912,'Mortality Table'!$A$5:$E$153,IF(SRP_Gender="female",5,4),FALSE)</f>
        <v>1.5890000000000001E-2</v>
      </c>
      <c r="F912" s="13">
        <f t="shared" si="436"/>
        <v>1.3339095140868507E-3</v>
      </c>
      <c r="G912" s="18">
        <f t="shared" si="439"/>
        <v>0.87548471229826774</v>
      </c>
      <c r="H912" s="35">
        <f t="shared" si="440"/>
        <v>0.11668678493270208</v>
      </c>
      <c r="I912" s="13">
        <f t="shared" si="434"/>
        <v>0.10215749633581653</v>
      </c>
      <c r="J912" s="13">
        <f t="shared" si="435"/>
        <v>0.51548271006747459</v>
      </c>
      <c r="K912" s="106"/>
      <c r="AA912" s="106"/>
    </row>
    <row r="913" spans="3:27">
      <c r="C913" s="17">
        <f t="shared" si="437"/>
        <v>78</v>
      </c>
      <c r="D913" s="13">
        <f t="shared" si="438"/>
        <v>217</v>
      </c>
      <c r="E913" s="13">
        <f>VLOOKUP(C913,'Mortality Table'!$A$5:$E$153,IF(SRP_Gender="female",5,4),FALSE)</f>
        <v>1.8275E-2</v>
      </c>
      <c r="F913" s="13">
        <f t="shared" si="436"/>
        <v>1.535823628920685E-3</v>
      </c>
      <c r="G913" s="18">
        <f t="shared" si="439"/>
        <v>0.87431689491109554</v>
      </c>
      <c r="H913" s="35">
        <f t="shared" si="440"/>
        <v>0.11902052063135612</v>
      </c>
      <c r="I913" s="13">
        <f t="shared" si="434"/>
        <v>0.10406165202910928</v>
      </c>
      <c r="J913" s="13">
        <f t="shared" si="435"/>
        <v>0.51390371945798208</v>
      </c>
      <c r="K913" s="106"/>
      <c r="AA913" s="106"/>
    </row>
    <row r="914" spans="3:27">
      <c r="C914" s="17">
        <f t="shared" si="437"/>
        <v>78</v>
      </c>
      <c r="D914" s="13">
        <f t="shared" si="438"/>
        <v>218</v>
      </c>
      <c r="E914" s="13">
        <f>VLOOKUP(C914,'Mortality Table'!$A$5:$E$153,IF(SRP_Gender="female",5,4),FALSE)</f>
        <v>1.8275E-2</v>
      </c>
      <c r="F914" s="13">
        <f t="shared" si="436"/>
        <v>1.535823628920685E-3</v>
      </c>
      <c r="G914" s="18">
        <f t="shared" si="439"/>
        <v>0.8729740983647265</v>
      </c>
      <c r="H914" s="35">
        <f t="shared" si="440"/>
        <v>0.11902052063135612</v>
      </c>
      <c r="I914" s="13">
        <f t="shared" si="434"/>
        <v>0.10390183168505844</v>
      </c>
      <c r="J914" s="13">
        <f t="shared" si="435"/>
        <v>0.5123295655021658</v>
      </c>
      <c r="K914" s="106"/>
      <c r="AA914" s="106"/>
    </row>
    <row r="915" spans="3:27">
      <c r="C915" s="17">
        <f t="shared" si="437"/>
        <v>78</v>
      </c>
      <c r="D915" s="13">
        <f t="shared" si="438"/>
        <v>219</v>
      </c>
      <c r="E915" s="13">
        <f>VLOOKUP(C915,'Mortality Table'!$A$5:$E$153,IF(SRP_Gender="female",5,4),FALSE)</f>
        <v>1.8275E-2</v>
      </c>
      <c r="F915" s="13">
        <f t="shared" si="436"/>
        <v>1.535823628920685E-3</v>
      </c>
      <c r="G915" s="18">
        <f t="shared" si="439"/>
        <v>0.87163336411702219</v>
      </c>
      <c r="H915" s="35">
        <f t="shared" si="440"/>
        <v>0.11902052063135612</v>
      </c>
      <c r="I915" s="13">
        <f t="shared" si="434"/>
        <v>0.10374225679686838</v>
      </c>
      <c r="J915" s="13">
        <f t="shared" si="435"/>
        <v>0.51076023338472676</v>
      </c>
      <c r="K915" s="106"/>
      <c r="AA915" s="106"/>
    </row>
    <row r="916" spans="3:27">
      <c r="C916" s="17">
        <f t="shared" si="437"/>
        <v>78</v>
      </c>
      <c r="D916" s="13">
        <f t="shared" si="438"/>
        <v>220</v>
      </c>
      <c r="E916" s="13">
        <f>VLOOKUP(C916,'Mortality Table'!$A$5:$E$153,IF(SRP_Gender="female",5,4),FALSE)</f>
        <v>1.8275E-2</v>
      </c>
      <c r="F916" s="13">
        <f t="shared" si="436"/>
        <v>1.535823628920685E-3</v>
      </c>
      <c r="G916" s="18">
        <f t="shared" si="439"/>
        <v>0.87029468900065565</v>
      </c>
      <c r="H916" s="35">
        <f t="shared" si="440"/>
        <v>0.11902052063135612</v>
      </c>
      <c r="I916" s="13">
        <f t="shared" si="434"/>
        <v>0.1035829269875622</v>
      </c>
      <c r="J916" s="13">
        <f t="shared" si="435"/>
        <v>0.50919570833574646</v>
      </c>
      <c r="K916" s="106"/>
      <c r="AA916" s="106"/>
    </row>
    <row r="917" spans="3:27">
      <c r="C917" s="17">
        <f t="shared" si="437"/>
        <v>78</v>
      </c>
      <c r="D917" s="13">
        <f t="shared" si="438"/>
        <v>221</v>
      </c>
      <c r="E917" s="13">
        <f>VLOOKUP(C917,'Mortality Table'!$A$5:$E$153,IF(SRP_Gender="female",5,4),FALSE)</f>
        <v>1.8275E-2</v>
      </c>
      <c r="F917" s="13">
        <f t="shared" si="436"/>
        <v>1.535823628920685E-3</v>
      </c>
      <c r="G917" s="18">
        <f t="shared" si="439"/>
        <v>0.86895806985316426</v>
      </c>
      <c r="H917" s="35">
        <f t="shared" si="440"/>
        <v>0.11902052063135612</v>
      </c>
      <c r="I917" s="13">
        <f t="shared" si="434"/>
        <v>0.10342384188074194</v>
      </c>
      <c r="J917" s="13">
        <f t="shared" si="435"/>
        <v>0.50763597563054874</v>
      </c>
      <c r="K917" s="106"/>
      <c r="AA917" s="106"/>
    </row>
    <row r="918" spans="3:27">
      <c r="C918" s="17">
        <f t="shared" si="437"/>
        <v>78</v>
      </c>
      <c r="D918" s="13">
        <f t="shared" si="438"/>
        <v>222</v>
      </c>
      <c r="E918" s="13">
        <f>VLOOKUP(C918,'Mortality Table'!$A$5:$E$153,IF(SRP_Gender="female",5,4),FALSE)</f>
        <v>1.8275E-2</v>
      </c>
      <c r="F918" s="13">
        <f t="shared" si="436"/>
        <v>1.535823628920685E-3</v>
      </c>
      <c r="G918" s="18">
        <f t="shared" si="439"/>
        <v>0.86762350351694251</v>
      </c>
      <c r="H918" s="35">
        <f t="shared" si="440"/>
        <v>0.11902052063135612</v>
      </c>
      <c r="I918" s="13">
        <f t="shared" si="434"/>
        <v>0.10326500110058774</v>
      </c>
      <c r="J918" s="13">
        <f t="shared" si="435"/>
        <v>0.50608102058956117</v>
      </c>
      <c r="K918" s="106"/>
      <c r="AA918" s="106"/>
    </row>
    <row r="919" spans="3:27">
      <c r="C919" s="17">
        <f t="shared" si="437"/>
        <v>78</v>
      </c>
      <c r="D919" s="13">
        <f t="shared" si="438"/>
        <v>223</v>
      </c>
      <c r="E919" s="13">
        <f>VLOOKUP(C919,'Mortality Table'!$A$5:$E$153,IF(SRP_Gender="female",5,4),FALSE)</f>
        <v>1.8275E-2</v>
      </c>
      <c r="F919" s="13">
        <f t="shared" si="436"/>
        <v>1.535823628920685E-3</v>
      </c>
      <c r="G919" s="18">
        <f t="shared" si="439"/>
        <v>0.86629098683923422</v>
      </c>
      <c r="H919" s="35">
        <f t="shared" si="440"/>
        <v>0.11902052063135612</v>
      </c>
      <c r="I919" s="13">
        <f t="shared" si="434"/>
        <v>0.10310640427185694</v>
      </c>
      <c r="J919" s="13">
        <f t="shared" si="435"/>
        <v>0.50453082857817666</v>
      </c>
      <c r="K919" s="106"/>
      <c r="AA919" s="106"/>
    </row>
    <row r="920" spans="3:27">
      <c r="C920" s="17">
        <f t="shared" si="437"/>
        <v>78</v>
      </c>
      <c r="D920" s="13">
        <f t="shared" si="438"/>
        <v>224</v>
      </c>
      <c r="E920" s="13">
        <f>VLOOKUP(C920,'Mortality Table'!$A$5:$E$153,IF(SRP_Gender="female",5,4),FALSE)</f>
        <v>1.8275E-2</v>
      </c>
      <c r="F920" s="13">
        <f t="shared" si="436"/>
        <v>1.535823628920685E-3</v>
      </c>
      <c r="G920" s="18">
        <f t="shared" si="439"/>
        <v>0.86496051667212548</v>
      </c>
      <c r="H920" s="35">
        <f t="shared" si="440"/>
        <v>0.11902052063135612</v>
      </c>
      <c r="I920" s="13">
        <f t="shared" si="434"/>
        <v>0.10294805101988316</v>
      </c>
      <c r="J920" s="13">
        <f t="shared" si="435"/>
        <v>0.50298538500661583</v>
      </c>
      <c r="K920" s="106"/>
      <c r="AA920" s="106"/>
    </row>
    <row r="921" spans="3:27">
      <c r="C921" s="17">
        <f t="shared" si="437"/>
        <v>78</v>
      </c>
      <c r="D921" s="13">
        <f t="shared" si="438"/>
        <v>225</v>
      </c>
      <c r="E921" s="13">
        <f>VLOOKUP(C921,'Mortality Table'!$A$5:$E$153,IF(SRP_Gender="female",5,4),FALSE)</f>
        <v>1.8275E-2</v>
      </c>
      <c r="F921" s="13">
        <f t="shared" si="436"/>
        <v>1.535823628920685E-3</v>
      </c>
      <c r="G921" s="18">
        <f t="shared" si="439"/>
        <v>0.86363208987253703</v>
      </c>
      <c r="H921" s="35">
        <f t="shared" si="440"/>
        <v>0.11902052063135612</v>
      </c>
      <c r="I921" s="13">
        <f t="shared" si="434"/>
        <v>0.10278994097057551</v>
      </c>
      <c r="J921" s="13">
        <f t="shared" si="435"/>
        <v>0.50144467532978965</v>
      </c>
      <c r="K921" s="106"/>
      <c r="AA921" s="106"/>
    </row>
    <row r="922" spans="3:27">
      <c r="C922" s="17">
        <f t="shared" si="437"/>
        <v>78</v>
      </c>
      <c r="D922" s="13">
        <f t="shared" si="438"/>
        <v>226</v>
      </c>
      <c r="E922" s="13">
        <f>VLOOKUP(C922,'Mortality Table'!$A$5:$E$153,IF(SRP_Gender="female",5,4),FALSE)</f>
        <v>1.8275E-2</v>
      </c>
      <c r="F922" s="13">
        <f t="shared" si="436"/>
        <v>1.535823628920685E-3</v>
      </c>
      <c r="G922" s="18">
        <f t="shared" si="439"/>
        <v>0.86230570330221668</v>
      </c>
      <c r="H922" s="35">
        <f t="shared" si="440"/>
        <v>0.11902052063135612</v>
      </c>
      <c r="I922" s="13">
        <f t="shared" si="434"/>
        <v>0.10263207375041754</v>
      </c>
      <c r="J922" s="13">
        <f t="shared" si="435"/>
        <v>0.49990868504716257</v>
      </c>
      <c r="K922" s="106"/>
      <c r="AA922" s="106"/>
    </row>
    <row r="923" spans="3:27">
      <c r="C923" s="17">
        <f t="shared" si="437"/>
        <v>78</v>
      </c>
      <c r="D923" s="13">
        <f t="shared" si="438"/>
        <v>227</v>
      </c>
      <c r="E923" s="13">
        <f>VLOOKUP(C923,'Mortality Table'!$A$5:$E$153,IF(SRP_Gender="female",5,4),FALSE)</f>
        <v>1.8275E-2</v>
      </c>
      <c r="F923" s="13">
        <f t="shared" si="436"/>
        <v>1.535823628920685E-3</v>
      </c>
      <c r="G923" s="18">
        <f t="shared" si="439"/>
        <v>0.86098135382773211</v>
      </c>
      <c r="H923" s="35">
        <f t="shared" si="440"/>
        <v>0.11902052063135612</v>
      </c>
      <c r="I923" s="13">
        <f t="shared" si="434"/>
        <v>0.10247444898646652</v>
      </c>
      <c r="J923" s="13">
        <f t="shared" si="435"/>
        <v>0.49837739970261624</v>
      </c>
      <c r="K923" s="106"/>
      <c r="AA923" s="106"/>
    </row>
    <row r="924" spans="3:27">
      <c r="C924" s="17">
        <f t="shared" si="437"/>
        <v>78</v>
      </c>
      <c r="D924" s="13">
        <f t="shared" si="438"/>
        <v>228</v>
      </c>
      <c r="E924" s="13">
        <f>VLOOKUP(C924,'Mortality Table'!$A$5:$E$153,IF(SRP_Gender="female",5,4),FALSE)</f>
        <v>1.8275E-2</v>
      </c>
      <c r="F924" s="13">
        <f t="shared" si="436"/>
        <v>1.535823628920685E-3</v>
      </c>
      <c r="G924" s="18">
        <f t="shared" si="439"/>
        <v>0.85965903832046331</v>
      </c>
      <c r="H924" s="35">
        <f t="shared" si="440"/>
        <v>0.11902052063135612</v>
      </c>
      <c r="I924" s="13">
        <f t="shared" si="434"/>
        <v>0.10231706630635247</v>
      </c>
      <c r="J924" s="13">
        <f t="shared" si="435"/>
        <v>0.49685080488431282</v>
      </c>
      <c r="K924" s="106"/>
      <c r="AA924" s="106"/>
    </row>
    <row r="925" spans="3:27">
      <c r="C925" s="17">
        <f t="shared" si="437"/>
        <v>79</v>
      </c>
      <c r="D925" s="13">
        <f t="shared" si="438"/>
        <v>229</v>
      </c>
      <c r="E925" s="13">
        <f>VLOOKUP(C925,'Mortality Table'!$A$5:$E$153,IF(SRP_Gender="female",5,4),FALSE)</f>
        <v>2.1139999999999999E-2</v>
      </c>
      <c r="F925" s="13">
        <f t="shared" si="436"/>
        <v>1.778969899043803E-3</v>
      </c>
      <c r="G925" s="18">
        <f t="shared" si="439"/>
        <v>0.85833875365659551</v>
      </c>
      <c r="H925" s="35">
        <f t="shared" si="440"/>
        <v>0.12140093104398325</v>
      </c>
      <c r="I925" s="13">
        <f t="shared" si="434"/>
        <v>0.10420312384504288</v>
      </c>
      <c r="J925" s="13">
        <f t="shared" si="435"/>
        <v>0.49532888622456106</v>
      </c>
      <c r="K925" s="106"/>
      <c r="AA925" s="106"/>
    </row>
    <row r="926" spans="3:27">
      <c r="C926" s="17">
        <f t="shared" si="437"/>
        <v>79</v>
      </c>
      <c r="D926" s="13">
        <f t="shared" si="438"/>
        <v>230</v>
      </c>
      <c r="E926" s="13">
        <f>VLOOKUP(C926,'Mortality Table'!$A$5:$E$153,IF(SRP_Gender="female",5,4),FALSE)</f>
        <v>2.1139999999999999E-2</v>
      </c>
      <c r="F926" s="13">
        <f t="shared" si="436"/>
        <v>1.778969899043803E-3</v>
      </c>
      <c r="G926" s="18">
        <f t="shared" si="439"/>
        <v>0.85681179485065762</v>
      </c>
      <c r="H926" s="35">
        <f t="shared" si="440"/>
        <v>0.12140093104398325</v>
      </c>
      <c r="I926" s="13">
        <f t="shared" si="434"/>
        <v>0.10401774962433621</v>
      </c>
      <c r="J926" s="13">
        <f t="shared" si="435"/>
        <v>0.49381162939967782</v>
      </c>
      <c r="K926" s="106"/>
      <c r="AA926" s="106"/>
    </row>
    <row r="927" spans="3:27">
      <c r="C927" s="17">
        <f t="shared" si="437"/>
        <v>79</v>
      </c>
      <c r="D927" s="13">
        <f t="shared" si="438"/>
        <v>231</v>
      </c>
      <c r="E927" s="13">
        <f>VLOOKUP(C927,'Mortality Table'!$A$5:$E$153,IF(SRP_Gender="female",5,4),FALSE)</f>
        <v>2.1139999999999999E-2</v>
      </c>
      <c r="F927" s="13">
        <f t="shared" si="436"/>
        <v>1.778969899043803E-3</v>
      </c>
      <c r="G927" s="18">
        <f t="shared" si="439"/>
        <v>0.85528755245847266</v>
      </c>
      <c r="H927" s="35">
        <f t="shared" si="440"/>
        <v>0.12140093104398325</v>
      </c>
      <c r="I927" s="13">
        <f t="shared" si="434"/>
        <v>0.10383270517878825</v>
      </c>
      <c r="J927" s="13">
        <f t="shared" si="435"/>
        <v>0.4922990201298571</v>
      </c>
      <c r="K927" s="106"/>
      <c r="AA927" s="106"/>
    </row>
    <row r="928" spans="3:27">
      <c r="C928" s="17">
        <f t="shared" si="437"/>
        <v>79</v>
      </c>
      <c r="D928" s="13">
        <f t="shared" si="438"/>
        <v>232</v>
      </c>
      <c r="E928" s="13">
        <f>VLOOKUP(C928,'Mortality Table'!$A$5:$E$153,IF(SRP_Gender="female",5,4),FALSE)</f>
        <v>2.1139999999999999E-2</v>
      </c>
      <c r="F928" s="13">
        <f t="shared" si="436"/>
        <v>1.778969899043803E-3</v>
      </c>
      <c r="G928" s="18">
        <f t="shared" si="439"/>
        <v>0.85376602164762216</v>
      </c>
      <c r="H928" s="35">
        <f t="shared" si="440"/>
        <v>0.12140093104398325</v>
      </c>
      <c r="I928" s="13">
        <f t="shared" si="434"/>
        <v>0.10364798992173889</v>
      </c>
      <c r="J928" s="13">
        <f t="shared" si="435"/>
        <v>0.49079104417903274</v>
      </c>
      <c r="K928" s="106"/>
      <c r="AA928" s="106"/>
    </row>
    <row r="929" spans="3:27">
      <c r="C929" s="17">
        <f t="shared" si="437"/>
        <v>79</v>
      </c>
      <c r="D929" s="13">
        <f t="shared" si="438"/>
        <v>233</v>
      </c>
      <c r="E929" s="13">
        <f>VLOOKUP(C929,'Mortality Table'!$A$5:$E$153,IF(SRP_Gender="female",5,4),FALSE)</f>
        <v>2.1139999999999999E-2</v>
      </c>
      <c r="F929" s="13">
        <f t="shared" si="436"/>
        <v>1.778969899043803E-3</v>
      </c>
      <c r="G929" s="18">
        <f t="shared" si="439"/>
        <v>0.85224719759428469</v>
      </c>
      <c r="H929" s="35">
        <f t="shared" si="440"/>
        <v>0.12140093104398325</v>
      </c>
      <c r="I929" s="13">
        <f t="shared" si="434"/>
        <v>0.10346360326757173</v>
      </c>
      <c r="J929" s="13">
        <f t="shared" si="435"/>
        <v>0.48928768735474576</v>
      </c>
      <c r="K929" s="106"/>
      <c r="AA929" s="106"/>
    </row>
    <row r="930" spans="3:27">
      <c r="C930" s="17">
        <f t="shared" si="437"/>
        <v>79</v>
      </c>
      <c r="D930" s="13">
        <f t="shared" si="438"/>
        <v>234</v>
      </c>
      <c r="E930" s="13">
        <f>VLOOKUP(C930,'Mortality Table'!$A$5:$E$153,IF(SRP_Gender="female",5,4),FALSE)</f>
        <v>2.1139999999999999E-2</v>
      </c>
      <c r="F930" s="13">
        <f t="shared" si="436"/>
        <v>1.778969899043803E-3</v>
      </c>
      <c r="G930" s="18">
        <f t="shared" si="439"/>
        <v>0.85073107548322002</v>
      </c>
      <c r="H930" s="35">
        <f t="shared" si="440"/>
        <v>0.12140093104398325</v>
      </c>
      <c r="I930" s="13">
        <f t="shared" si="434"/>
        <v>0.1032795446317121</v>
      </c>
      <c r="J930" s="13">
        <f t="shared" si="435"/>
        <v>0.48778893550801072</v>
      </c>
      <c r="K930" s="106"/>
      <c r="AA930" s="106"/>
    </row>
    <row r="931" spans="3:27">
      <c r="C931" s="17">
        <f t="shared" si="437"/>
        <v>79</v>
      </c>
      <c r="D931" s="13">
        <f t="shared" si="438"/>
        <v>235</v>
      </c>
      <c r="E931" s="13">
        <f>VLOOKUP(C931,'Mortality Table'!$A$5:$E$153,IF(SRP_Gender="female",5,4),FALSE)</f>
        <v>2.1139999999999999E-2</v>
      </c>
      <c r="F931" s="13">
        <f t="shared" si="436"/>
        <v>1.778969899043803E-3</v>
      </c>
      <c r="G931" s="18">
        <f t="shared" si="439"/>
        <v>0.84921765050775422</v>
      </c>
      <c r="H931" s="35">
        <f t="shared" si="440"/>
        <v>0.12140093104398325</v>
      </c>
      <c r="I931" s="13">
        <f t="shared" si="434"/>
        <v>0.10309581343062534</v>
      </c>
      <c r="J931" s="13">
        <f t="shared" si="435"/>
        <v>0.48629477453318232</v>
      </c>
      <c r="K931" s="106"/>
      <c r="AA931" s="106"/>
    </row>
    <row r="932" spans="3:27">
      <c r="C932" s="17">
        <f t="shared" si="437"/>
        <v>79</v>
      </c>
      <c r="D932" s="13">
        <f t="shared" si="438"/>
        <v>236</v>
      </c>
      <c r="E932" s="13">
        <f>VLOOKUP(C932,'Mortality Table'!$A$5:$E$153,IF(SRP_Gender="female",5,4),FALSE)</f>
        <v>2.1139999999999999E-2</v>
      </c>
      <c r="F932" s="13">
        <f t="shared" si="436"/>
        <v>1.778969899043803E-3</v>
      </c>
      <c r="G932" s="18">
        <f t="shared" si="439"/>
        <v>0.84770691786976426</v>
      </c>
      <c r="H932" s="35">
        <f t="shared" si="440"/>
        <v>0.12140093104398325</v>
      </c>
      <c r="I932" s="13">
        <f t="shared" si="434"/>
        <v>0.10291240908181483</v>
      </c>
      <c r="J932" s="13">
        <f t="shared" si="435"/>
        <v>0.48480519036782238</v>
      </c>
      <c r="K932" s="106"/>
      <c r="AA932" s="106"/>
    </row>
    <row r="933" spans="3:27">
      <c r="C933" s="17">
        <f t="shared" si="437"/>
        <v>79</v>
      </c>
      <c r="D933" s="13">
        <f t="shared" si="438"/>
        <v>237</v>
      </c>
      <c r="E933" s="13">
        <f>VLOOKUP(C933,'Mortality Table'!$A$5:$E$153,IF(SRP_Gender="female",5,4),FALSE)</f>
        <v>2.1139999999999999E-2</v>
      </c>
      <c r="F933" s="13">
        <f t="shared" si="436"/>
        <v>1.778969899043803E-3</v>
      </c>
      <c r="G933" s="18">
        <f t="shared" si="439"/>
        <v>0.84619887277966277</v>
      </c>
      <c r="H933" s="35">
        <f t="shared" si="440"/>
        <v>0.12140093104398325</v>
      </c>
      <c r="I933" s="13">
        <f t="shared" si="434"/>
        <v>0.1027293310038202</v>
      </c>
      <c r="J933" s="13">
        <f t="shared" si="435"/>
        <v>0.48332016899256824</v>
      </c>
      <c r="K933" s="106"/>
      <c r="AA933" s="106"/>
    </row>
    <row r="934" spans="3:27">
      <c r="C934" s="17">
        <f t="shared" si="437"/>
        <v>79</v>
      </c>
      <c r="D934" s="13">
        <f t="shared" si="438"/>
        <v>238</v>
      </c>
      <c r="E934" s="13">
        <f>VLOOKUP(C934,'Mortality Table'!$A$5:$E$153,IF(SRP_Gender="female",5,4),FALSE)</f>
        <v>2.1139999999999999E-2</v>
      </c>
      <c r="F934" s="13">
        <f t="shared" si="436"/>
        <v>1.778969899043803E-3</v>
      </c>
      <c r="G934" s="18">
        <f t="shared" si="439"/>
        <v>0.84469351045638297</v>
      </c>
      <c r="H934" s="35">
        <f t="shared" si="440"/>
        <v>0.12140093104398325</v>
      </c>
      <c r="I934" s="13">
        <f t="shared" si="434"/>
        <v>0.10254657861621549</v>
      </c>
      <c r="J934" s="13">
        <f t="shared" si="435"/>
        <v>0.48183969643100005</v>
      </c>
      <c r="K934" s="106"/>
      <c r="AA934" s="106"/>
    </row>
    <row r="935" spans="3:27">
      <c r="C935" s="17">
        <f t="shared" si="437"/>
        <v>79</v>
      </c>
      <c r="D935" s="13">
        <f t="shared" si="438"/>
        <v>239</v>
      </c>
      <c r="E935" s="13">
        <f>VLOOKUP(C935,'Mortality Table'!$A$5:$E$153,IF(SRP_Gender="female",5,4),FALSE)</f>
        <v>2.1139999999999999E-2</v>
      </c>
      <c r="F935" s="13">
        <f t="shared" si="436"/>
        <v>1.778969899043803E-3</v>
      </c>
      <c r="G935" s="18">
        <f t="shared" si="439"/>
        <v>0.8431908261273634</v>
      </c>
      <c r="H935" s="35">
        <f t="shared" si="440"/>
        <v>0.12140093104398325</v>
      </c>
      <c r="I935" s="13">
        <f t="shared" si="434"/>
        <v>0.10236415133960731</v>
      </c>
      <c r="J935" s="13">
        <f t="shared" si="435"/>
        <v>0.4803637587495096</v>
      </c>
      <c r="K935" s="106"/>
      <c r="AA935" s="106"/>
    </row>
    <row r="936" spans="3:27">
      <c r="C936" s="17">
        <f t="shared" si="437"/>
        <v>79</v>
      </c>
      <c r="D936" s="13">
        <f t="shared" si="438"/>
        <v>240</v>
      </c>
      <c r="E936" s="13">
        <f>VLOOKUP(C936,'Mortality Table'!$A$5:$E$153,IF(SRP_Gender="female",5,4),FALSE)</f>
        <v>2.1139999999999999E-2</v>
      </c>
      <c r="F936" s="13">
        <f t="shared" si="436"/>
        <v>1.778969899043803E-3</v>
      </c>
      <c r="G936" s="18">
        <f t="shared" si="439"/>
        <v>0.84169081502853293</v>
      </c>
      <c r="H936" s="35">
        <f t="shared" si="440"/>
        <v>0.12140093104398325</v>
      </c>
      <c r="I936" s="13">
        <f t="shared" si="434"/>
        <v>0.10218204859563298</v>
      </c>
      <c r="J936" s="13">
        <f t="shared" si="435"/>
        <v>0.47889234205716891</v>
      </c>
      <c r="K936" s="106"/>
      <c r="AA936" s="106"/>
    </row>
    <row r="937" spans="3:27">
      <c r="C937" s="17">
        <f t="shared" si="437"/>
        <v>80</v>
      </c>
      <c r="D937" s="13">
        <f t="shared" si="438"/>
        <v>241</v>
      </c>
      <c r="E937" s="13">
        <f>VLOOKUP(C937,'Mortality Table'!$A$5:$E$153,IF(SRP_Gender="female",5,4),FALSE)</f>
        <v>2.4424999999999999E-2</v>
      </c>
      <c r="F937" s="13">
        <f t="shared" si="436"/>
        <v>2.0585647619575376E-3</v>
      </c>
      <c r="G937" s="18">
        <f t="shared" si="439"/>
        <v>0.84019347240429554</v>
      </c>
      <c r="H937" s="35">
        <f t="shared" si="440"/>
        <v>0.12382894966486292</v>
      </c>
      <c r="I937" s="13">
        <f t="shared" si="434"/>
        <v>0.1040402752030979</v>
      </c>
      <c r="J937" s="13">
        <f t="shared" si="435"/>
        <v>0.47742543250560088</v>
      </c>
      <c r="K937" s="106"/>
      <c r="AA937" s="106"/>
    </row>
    <row r="938" spans="3:27">
      <c r="C938" s="17">
        <f t="shared" si="437"/>
        <v>80</v>
      </c>
      <c r="D938" s="13">
        <f t="shared" si="438"/>
        <v>242</v>
      </c>
      <c r="E938" s="13">
        <f>VLOOKUP(C938,'Mortality Table'!$A$5:$E$153,IF(SRP_Gender="female",5,4),FALSE)</f>
        <v>2.4424999999999999E-2</v>
      </c>
      <c r="F938" s="13">
        <f t="shared" si="436"/>
        <v>2.0585647619575376E-3</v>
      </c>
      <c r="G938" s="18">
        <f t="shared" si="439"/>
        <v>0.83846387972877734</v>
      </c>
      <c r="H938" s="35">
        <f t="shared" si="440"/>
        <v>0.12382894966486292</v>
      </c>
      <c r="I938" s="13">
        <f t="shared" si="434"/>
        <v>0.10382610155874045</v>
      </c>
      <c r="J938" s="13">
        <f t="shared" si="435"/>
        <v>0.47596301628884607</v>
      </c>
      <c r="K938" s="106"/>
      <c r="AA938" s="106"/>
    </row>
    <row r="939" spans="3:27">
      <c r="C939" s="17">
        <f t="shared" si="437"/>
        <v>80</v>
      </c>
      <c r="D939" s="13">
        <f t="shared" si="438"/>
        <v>243</v>
      </c>
      <c r="E939" s="13">
        <f>VLOOKUP(C939,'Mortality Table'!$A$5:$E$153,IF(SRP_Gender="female",5,4),FALSE)</f>
        <v>2.4424999999999999E-2</v>
      </c>
      <c r="F939" s="13">
        <f t="shared" si="436"/>
        <v>2.0585647619575376E-3</v>
      </c>
      <c r="G939" s="18">
        <f t="shared" si="439"/>
        <v>0.83673784753179348</v>
      </c>
      <c r="H939" s="35">
        <f t="shared" si="440"/>
        <v>0.12382894966486292</v>
      </c>
      <c r="I939" s="13">
        <f t="shared" si="434"/>
        <v>0.10361236880470021</v>
      </c>
      <c r="J939" s="13">
        <f t="shared" si="435"/>
        <v>0.47450507964323568</v>
      </c>
      <c r="K939" s="106"/>
      <c r="AA939" s="106"/>
    </row>
    <row r="940" spans="3:27">
      <c r="C940" s="17">
        <f t="shared" si="437"/>
        <v>80</v>
      </c>
      <c r="D940" s="13">
        <f t="shared" si="438"/>
        <v>244</v>
      </c>
      <c r="E940" s="13">
        <f>VLOOKUP(C940,'Mortality Table'!$A$5:$E$153,IF(SRP_Gender="female",5,4),FALSE)</f>
        <v>2.4424999999999999E-2</v>
      </c>
      <c r="F940" s="13">
        <f t="shared" si="436"/>
        <v>2.0585647619575376E-3</v>
      </c>
      <c r="G940" s="18">
        <f t="shared" si="439"/>
        <v>0.83501536848386837</v>
      </c>
      <c r="H940" s="35">
        <f t="shared" si="440"/>
        <v>0.12382894966486292</v>
      </c>
      <c r="I940" s="13">
        <f t="shared" si="434"/>
        <v>0.10339907603337591</v>
      </c>
      <c r="J940" s="13">
        <f t="shared" si="435"/>
        <v>0.47305160884726039</v>
      </c>
      <c r="K940" s="106"/>
      <c r="AA940" s="106"/>
    </row>
    <row r="941" spans="3:27">
      <c r="C941" s="17">
        <f t="shared" si="437"/>
        <v>80</v>
      </c>
      <c r="D941" s="13">
        <f t="shared" si="438"/>
        <v>245</v>
      </c>
      <c r="E941" s="13">
        <f>VLOOKUP(C941,'Mortality Table'!$A$5:$E$153,IF(SRP_Gender="female",5,4),FALSE)</f>
        <v>2.4424999999999999E-2</v>
      </c>
      <c r="F941" s="13">
        <f t="shared" si="436"/>
        <v>2.0585647619575376E-3</v>
      </c>
      <c r="G941" s="18">
        <f t="shared" si="439"/>
        <v>0.83329643527061448</v>
      </c>
      <c r="H941" s="35">
        <f t="shared" si="440"/>
        <v>0.12382894966486292</v>
      </c>
      <c r="I941" s="13">
        <f t="shared" si="434"/>
        <v>0.10318622233903463</v>
      </c>
      <c r="J941" s="13">
        <f t="shared" si="435"/>
        <v>0.47160259022144158</v>
      </c>
      <c r="K941" s="106"/>
      <c r="AA941" s="106"/>
    </row>
    <row r="942" spans="3:27">
      <c r="C942" s="17">
        <f t="shared" si="437"/>
        <v>80</v>
      </c>
      <c r="D942" s="13">
        <f t="shared" si="438"/>
        <v>246</v>
      </c>
      <c r="E942" s="13">
        <f>VLOOKUP(C942,'Mortality Table'!$A$5:$E$153,IF(SRP_Gender="female",5,4),FALSE)</f>
        <v>2.4424999999999999E-2</v>
      </c>
      <c r="F942" s="13">
        <f t="shared" si="436"/>
        <v>2.0585647619575376E-3</v>
      </c>
      <c r="G942" s="18">
        <f t="shared" si="439"/>
        <v>0.83158104059270155</v>
      </c>
      <c r="H942" s="35">
        <f t="shared" si="440"/>
        <v>0.12382894966486292</v>
      </c>
      <c r="I942" s="13">
        <f t="shared" si="434"/>
        <v>0.10297380681780798</v>
      </c>
      <c r="J942" s="13">
        <f t="shared" si="435"/>
        <v>0.47015801012820313</v>
      </c>
      <c r="K942" s="106"/>
      <c r="AA942" s="106"/>
    </row>
    <row r="943" spans="3:27">
      <c r="C943" s="17">
        <f t="shared" si="437"/>
        <v>80</v>
      </c>
      <c r="D943" s="13">
        <f t="shared" si="438"/>
        <v>247</v>
      </c>
      <c r="E943" s="13">
        <f>VLOOKUP(C943,'Mortality Table'!$A$5:$E$153,IF(SRP_Gender="female",5,4),FALSE)</f>
        <v>2.4424999999999999E-2</v>
      </c>
      <c r="F943" s="13">
        <f t="shared" si="436"/>
        <v>2.0585647619575376E-3</v>
      </c>
      <c r="G943" s="18">
        <f t="shared" si="439"/>
        <v>0.82986917716582542</v>
      </c>
      <c r="H943" s="35">
        <f t="shared" si="440"/>
        <v>0.12382894966486292</v>
      </c>
      <c r="I943" s="13">
        <f t="shared" si="434"/>
        <v>0.1027618285676882</v>
      </c>
      <c r="J943" s="13">
        <f t="shared" si="435"/>
        <v>0.4687178549717419</v>
      </c>
      <c r="K943" s="106"/>
      <c r="AA943" s="106"/>
    </row>
    <row r="944" spans="3:27">
      <c r="C944" s="17">
        <f t="shared" si="437"/>
        <v>80</v>
      </c>
      <c r="D944" s="13">
        <f t="shared" si="438"/>
        <v>248</v>
      </c>
      <c r="E944" s="13">
        <f>VLOOKUP(C944,'Mortality Table'!$A$5:$E$153,IF(SRP_Gender="female",5,4),FALSE)</f>
        <v>2.4424999999999999E-2</v>
      </c>
      <c r="F944" s="13">
        <f t="shared" si="436"/>
        <v>2.0585647619575376E-3</v>
      </c>
      <c r="G944" s="18">
        <f t="shared" si="439"/>
        <v>0.82816083772067717</v>
      </c>
      <c r="H944" s="35">
        <f t="shared" si="440"/>
        <v>0.12382894966486292</v>
      </c>
      <c r="I944" s="13">
        <f t="shared" si="434"/>
        <v>0.10255028668852445</v>
      </c>
      <c r="J944" s="13">
        <f t="shared" si="435"/>
        <v>0.46728211119790108</v>
      </c>
      <c r="K944" s="106"/>
      <c r="AA944" s="106"/>
    </row>
    <row r="945" spans="3:27">
      <c r="C945" s="17">
        <f t="shared" si="437"/>
        <v>80</v>
      </c>
      <c r="D945" s="13">
        <f t="shared" si="438"/>
        <v>249</v>
      </c>
      <c r="E945" s="13">
        <f>VLOOKUP(C945,'Mortality Table'!$A$5:$E$153,IF(SRP_Gender="female",5,4),FALSE)</f>
        <v>2.4424999999999999E-2</v>
      </c>
      <c r="F945" s="13">
        <f t="shared" si="436"/>
        <v>2.0585647619575376E-3</v>
      </c>
      <c r="G945" s="18">
        <f t="shared" si="439"/>
        <v>0.8264560150029121</v>
      </c>
      <c r="H945" s="35">
        <f t="shared" si="440"/>
        <v>0.12382894966486292</v>
      </c>
      <c r="I945" s="13">
        <f t="shared" si="434"/>
        <v>0.1023391802820188</v>
      </c>
      <c r="J945" s="13">
        <f t="shared" si="435"/>
        <v>0.46585076529404157</v>
      </c>
      <c r="K945" s="106"/>
      <c r="AA945" s="106"/>
    </row>
    <row r="946" spans="3:27">
      <c r="C946" s="17">
        <f t="shared" si="437"/>
        <v>80</v>
      </c>
      <c r="D946" s="13">
        <f t="shared" si="438"/>
        <v>250</v>
      </c>
      <c r="E946" s="13">
        <f>VLOOKUP(C946,'Mortality Table'!$A$5:$E$153,IF(SRP_Gender="female",5,4),FALSE)</f>
        <v>2.4424999999999999E-2</v>
      </c>
      <c r="F946" s="13">
        <f t="shared" si="436"/>
        <v>2.0585647619575376E-3</v>
      </c>
      <c r="G946" s="18">
        <f t="shared" si="439"/>
        <v>0.82475470177311927</v>
      </c>
      <c r="H946" s="35">
        <f t="shared" si="440"/>
        <v>0.12382894966486292</v>
      </c>
      <c r="I946" s="13">
        <f t="shared" si="434"/>
        <v>0.10212850845172261</v>
      </c>
      <c r="J946" s="13">
        <f t="shared" si="435"/>
        <v>0.46442380378891562</v>
      </c>
      <c r="K946" s="106"/>
      <c r="AA946" s="106"/>
    </row>
    <row r="947" spans="3:27">
      <c r="C947" s="17">
        <f t="shared" si="437"/>
        <v>80</v>
      </c>
      <c r="D947" s="13">
        <f t="shared" si="438"/>
        <v>251</v>
      </c>
      <c r="E947" s="13">
        <f>VLOOKUP(C947,'Mortality Table'!$A$5:$E$153,IF(SRP_Gender="female",5,4),FALSE)</f>
        <v>2.4424999999999999E-2</v>
      </c>
      <c r="F947" s="13">
        <f t="shared" si="436"/>
        <v>2.0585647619575376E-3</v>
      </c>
      <c r="G947" s="18">
        <f t="shared" si="439"/>
        <v>0.82305689080679034</v>
      </c>
      <c r="H947" s="35">
        <f t="shared" si="440"/>
        <v>0.12382894966486292</v>
      </c>
      <c r="I947" s="13">
        <f t="shared" si="434"/>
        <v>0.10191827030303262</v>
      </c>
      <c r="J947" s="13">
        <f t="shared" si="435"/>
        <v>0.46300121325253918</v>
      </c>
      <c r="K947" s="106"/>
      <c r="AA947" s="106"/>
    </row>
    <row r="948" spans="3:27">
      <c r="C948" s="17">
        <f t="shared" si="437"/>
        <v>80</v>
      </c>
      <c r="D948" s="13">
        <f t="shared" si="438"/>
        <v>252</v>
      </c>
      <c r="E948" s="13">
        <f>VLOOKUP(C948,'Mortality Table'!$A$5:$E$153,IF(SRP_Gender="female",5,4),FALSE)</f>
        <v>2.4424999999999999E-2</v>
      </c>
      <c r="F948" s="13">
        <f t="shared" si="436"/>
        <v>2.0585647619575376E-3</v>
      </c>
      <c r="G948" s="18">
        <f t="shared" si="439"/>
        <v>0.8213625748942891</v>
      </c>
      <c r="H948" s="35">
        <f t="shared" si="440"/>
        <v>0.12382894966486292</v>
      </c>
      <c r="I948" s="13">
        <f t="shared" si="434"/>
        <v>0.10170846494318712</v>
      </c>
      <c r="J948" s="13">
        <f t="shared" si="435"/>
        <v>0.46158298029606631</v>
      </c>
      <c r="K948" s="106"/>
      <c r="AA948" s="106"/>
    </row>
    <row r="949" spans="3:27">
      <c r="C949" s="17">
        <f t="shared" si="437"/>
        <v>81</v>
      </c>
      <c r="D949" s="13">
        <f t="shared" si="438"/>
        <v>253</v>
      </c>
      <c r="E949" s="13">
        <f>VLOOKUP(C949,'Mortality Table'!$A$5:$E$153,IF(SRP_Gender="female",5,4),FALSE)</f>
        <v>2.8065E-2</v>
      </c>
      <c r="F949" s="13">
        <f t="shared" si="436"/>
        <v>2.3693843326326736E-3</v>
      </c>
      <c r="G949" s="18">
        <f t="shared" si="439"/>
        <v>0.819671746840821</v>
      </c>
      <c r="H949" s="35">
        <f t="shared" si="440"/>
        <v>0.12630552865816019</v>
      </c>
      <c r="I949" s="13">
        <f t="shared" si="434"/>
        <v>0.10352907331088754</v>
      </c>
      <c r="J949" s="13">
        <f t="shared" si="435"/>
        <v>0.46016909157166352</v>
      </c>
      <c r="K949" s="106"/>
      <c r="AA949" s="106"/>
    </row>
    <row r="950" spans="3:27">
      <c r="C950" s="17">
        <f t="shared" si="437"/>
        <v>81</v>
      </c>
      <c r="D950" s="13">
        <f t="shared" si="438"/>
        <v>254</v>
      </c>
      <c r="E950" s="13">
        <f>VLOOKUP(C950,'Mortality Table'!$A$5:$E$153,IF(SRP_Gender="female",5,4),FALSE)</f>
        <v>2.8065E-2</v>
      </c>
      <c r="F950" s="13">
        <f t="shared" si="436"/>
        <v>2.3693843326326736E-3</v>
      </c>
      <c r="G950" s="18">
        <f t="shared" si="439"/>
        <v>0.81772962944595473</v>
      </c>
      <c r="H950" s="35">
        <f t="shared" si="440"/>
        <v>0.12630552865816019</v>
      </c>
      <c r="I950" s="13">
        <f t="shared" si="434"/>
        <v>0.10328377314661275</v>
      </c>
      <c r="J950" s="13">
        <f t="shared" si="435"/>
        <v>0.45875953377238177</v>
      </c>
      <c r="K950" s="106"/>
      <c r="AA950" s="106"/>
    </row>
    <row r="951" spans="3:27">
      <c r="C951" s="17">
        <f t="shared" si="437"/>
        <v>81</v>
      </c>
      <c r="D951" s="13">
        <f t="shared" si="438"/>
        <v>255</v>
      </c>
      <c r="E951" s="13">
        <f>VLOOKUP(C951,'Mortality Table'!$A$5:$E$153,IF(SRP_Gender="female",5,4),FALSE)</f>
        <v>2.8065E-2</v>
      </c>
      <c r="F951" s="13">
        <f t="shared" si="436"/>
        <v>2.3693843326326736E-3</v>
      </c>
      <c r="G951" s="18">
        <f t="shared" si="439"/>
        <v>0.81579211367361593</v>
      </c>
      <c r="H951" s="35">
        <f t="shared" si="440"/>
        <v>0.12630552865816019</v>
      </c>
      <c r="I951" s="13">
        <f t="shared" si="434"/>
        <v>0.10303905419270397</v>
      </c>
      <c r="J951" s="13">
        <f t="shared" si="435"/>
        <v>0.45735429363203434</v>
      </c>
      <c r="K951" s="106"/>
      <c r="AA951" s="106"/>
    </row>
    <row r="952" spans="3:27">
      <c r="C952" s="17">
        <f t="shared" si="437"/>
        <v>81</v>
      </c>
      <c r="D952" s="13">
        <f t="shared" si="438"/>
        <v>256</v>
      </c>
      <c r="E952" s="13">
        <f>VLOOKUP(C952,'Mortality Table'!$A$5:$E$153,IF(SRP_Gender="female",5,4),FALSE)</f>
        <v>2.8065E-2</v>
      </c>
      <c r="F952" s="13">
        <f t="shared" si="436"/>
        <v>2.3693843326326736E-3</v>
      </c>
      <c r="G952" s="18">
        <f t="shared" si="439"/>
        <v>0.81385918862079232</v>
      </c>
      <c r="H952" s="35">
        <f t="shared" si="440"/>
        <v>0.12630552865816019</v>
      </c>
      <c r="I952" s="13">
        <f t="shared" si="434"/>
        <v>0.10279491507205049</v>
      </c>
      <c r="J952" s="13">
        <f t="shared" si="435"/>
        <v>0.45595335792507019</v>
      </c>
      <c r="K952" s="106"/>
      <c r="AA952" s="106"/>
    </row>
    <row r="953" spans="3:27">
      <c r="C953" s="17">
        <f t="shared" si="437"/>
        <v>81</v>
      </c>
      <c r="D953" s="13">
        <f t="shared" si="438"/>
        <v>257</v>
      </c>
      <c r="E953" s="13">
        <f>VLOOKUP(C953,'Mortality Table'!$A$5:$E$153,IF(SRP_Gender="female",5,4),FALSE)</f>
        <v>2.8065E-2</v>
      </c>
      <c r="F953" s="13">
        <f t="shared" si="436"/>
        <v>2.3693843326326736E-3</v>
      </c>
      <c r="G953" s="18">
        <f t="shared" si="439"/>
        <v>0.81193084341030508</v>
      </c>
      <c r="H953" s="35">
        <f t="shared" si="440"/>
        <v>0.12630552865816019</v>
      </c>
      <c r="I953" s="13">
        <f t="shared" ref="I953:I1016" si="441">IF(D953&lt;=12*SRP_Annuity_Gtee_Period,H953,H953*G953)</f>
        <v>0.10255135441080447</v>
      </c>
      <c r="J953" s="13">
        <f t="shared" ref="J953:J1016" si="442">((1+$D$79)^(-D953/12))</f>
        <v>0.45455671346644966</v>
      </c>
      <c r="K953" s="106"/>
      <c r="AA953" s="106"/>
    </row>
    <row r="954" spans="3:27">
      <c r="C954" s="17">
        <f t="shared" si="437"/>
        <v>81</v>
      </c>
      <c r="D954" s="13">
        <f t="shared" si="438"/>
        <v>258</v>
      </c>
      <c r="E954" s="13">
        <f>VLOOKUP(C954,'Mortality Table'!$A$5:$E$153,IF(SRP_Gender="female",5,4),FALSE)</f>
        <v>2.8065E-2</v>
      </c>
      <c r="F954" s="13">
        <f t="shared" ref="F954:F1017" si="443">1-(1-E954)^(1/12)</f>
        <v>2.3693843326326736E-3</v>
      </c>
      <c r="G954" s="18">
        <f t="shared" si="439"/>
        <v>0.81000706719074744</v>
      </c>
      <c r="H954" s="35">
        <f t="shared" si="440"/>
        <v>0.12630552865816019</v>
      </c>
      <c r="I954" s="13">
        <f t="shared" si="441"/>
        <v>0.10230837083837324</v>
      </c>
      <c r="J954" s="13">
        <f t="shared" si="442"/>
        <v>0.45316434711152104</v>
      </c>
      <c r="K954" s="106"/>
      <c r="AA954" s="106"/>
    </row>
    <row r="955" spans="3:27">
      <c r="C955" s="17">
        <f t="shared" ref="C955:C1018" si="444">IF(MOD(D955,12)=1,C954+1,C954)</f>
        <v>81</v>
      </c>
      <c r="D955" s="13">
        <f t="shared" ref="D955:D1018" si="445">D954+1</f>
        <v>259</v>
      </c>
      <c r="E955" s="13">
        <f>VLOOKUP(C955,'Mortality Table'!$A$5:$E$153,IF(SRP_Gender="female",5,4),FALSE)</f>
        <v>2.8065E-2</v>
      </c>
      <c r="F955" s="13">
        <f t="shared" si="443"/>
        <v>2.3693843326326736E-3</v>
      </c>
      <c r="G955" s="18">
        <f t="shared" ref="G955:G1018" si="446">G954*(1-F954)</f>
        <v>0.80808784913642395</v>
      </c>
      <c r="H955" s="35">
        <f t="shared" ref="H955:H1018" si="447">IF(MOD(D955,12)=1,H954*(1+$D$81),H954)</f>
        <v>0.12630552865816019</v>
      </c>
      <c r="I955" s="13">
        <f t="shared" si="441"/>
        <v>0.10206596298741162</v>
      </c>
      <c r="J955" s="13">
        <f t="shared" si="442"/>
        <v>0.45177624575589587</v>
      </c>
      <c r="K955" s="106"/>
      <c r="AA955" s="106"/>
    </row>
    <row r="956" spans="3:27">
      <c r="C956" s="17">
        <f t="shared" si="444"/>
        <v>81</v>
      </c>
      <c r="D956" s="13">
        <f t="shared" si="445"/>
        <v>260</v>
      </c>
      <c r="E956" s="13">
        <f>VLOOKUP(C956,'Mortality Table'!$A$5:$E$153,IF(SRP_Gender="female",5,4),FALSE)</f>
        <v>2.8065E-2</v>
      </c>
      <c r="F956" s="13">
        <f t="shared" si="443"/>
        <v>2.3693843326326736E-3</v>
      </c>
      <c r="G956" s="18">
        <f t="shared" si="446"/>
        <v>0.80617317844728931</v>
      </c>
      <c r="H956" s="35">
        <f t="shared" si="447"/>
        <v>0.12630552865816019</v>
      </c>
      <c r="I956" s="13">
        <f t="shared" si="441"/>
        <v>0.1018241294938142</v>
      </c>
      <c r="J956" s="13">
        <f t="shared" si="442"/>
        <v>0.45039239633532635</v>
      </c>
      <c r="K956" s="106"/>
      <c r="AA956" s="106"/>
    </row>
    <row r="957" spans="3:27">
      <c r="C957" s="17">
        <f t="shared" si="444"/>
        <v>81</v>
      </c>
      <c r="D957" s="13">
        <f t="shared" si="445"/>
        <v>261</v>
      </c>
      <c r="E957" s="13">
        <f>VLOOKUP(C957,'Mortality Table'!$A$5:$E$153,IF(SRP_Gender="female",5,4),FALSE)</f>
        <v>2.8065E-2</v>
      </c>
      <c r="F957" s="13">
        <f t="shared" si="443"/>
        <v>2.3693843326326736E-3</v>
      </c>
      <c r="G957" s="18">
        <f t="shared" si="446"/>
        <v>0.80426304434888762</v>
      </c>
      <c r="H957" s="35">
        <f t="shared" si="447"/>
        <v>0.12630552865816019</v>
      </c>
      <c r="I957" s="13">
        <f t="shared" si="441"/>
        <v>0.10158286899670758</v>
      </c>
      <c r="J957" s="13">
        <f t="shared" si="442"/>
        <v>0.44901278582558224</v>
      </c>
      <c r="K957" s="106"/>
      <c r="AA957" s="106"/>
    </row>
    <row r="958" spans="3:27">
      <c r="C958" s="17">
        <f t="shared" si="444"/>
        <v>81</v>
      </c>
      <c r="D958" s="13">
        <f t="shared" si="445"/>
        <v>262</v>
      </c>
      <c r="E958" s="13">
        <f>VLOOKUP(C958,'Mortality Table'!$A$5:$E$153,IF(SRP_Gender="female",5,4),FALSE)</f>
        <v>2.8065E-2</v>
      </c>
      <c r="F958" s="13">
        <f t="shared" si="443"/>
        <v>2.3693843326326736E-3</v>
      </c>
      <c r="G958" s="18">
        <f t="shared" si="446"/>
        <v>0.80235743609229193</v>
      </c>
      <c r="H958" s="35">
        <f t="shared" si="447"/>
        <v>0.12630552865816019</v>
      </c>
      <c r="I958" s="13">
        <f t="shared" si="441"/>
        <v>0.10134218013844291</v>
      </c>
      <c r="J958" s="13">
        <f t="shared" si="442"/>
        <v>0.44763740124232826</v>
      </c>
      <c r="K958" s="106"/>
      <c r="AA958" s="106"/>
    </row>
    <row r="959" spans="3:27">
      <c r="C959" s="17">
        <f t="shared" si="444"/>
        <v>81</v>
      </c>
      <c r="D959" s="13">
        <f t="shared" si="445"/>
        <v>263</v>
      </c>
      <c r="E959" s="13">
        <f>VLOOKUP(C959,'Mortality Table'!$A$5:$E$153,IF(SRP_Gender="female",5,4),FALSE)</f>
        <v>2.8065E-2</v>
      </c>
      <c r="F959" s="13">
        <f t="shared" si="443"/>
        <v>2.3693843326326736E-3</v>
      </c>
      <c r="G959" s="18">
        <f t="shared" si="446"/>
        <v>0.80045634295404355</v>
      </c>
      <c r="H959" s="35">
        <f t="shared" si="447"/>
        <v>0.12630552865816019</v>
      </c>
      <c r="I959" s="13">
        <f t="shared" si="441"/>
        <v>0.10110206156458805</v>
      </c>
      <c r="J959" s="13">
        <f t="shared" si="442"/>
        <v>0.44626622964100165</v>
      </c>
      <c r="K959" s="106"/>
      <c r="AA959" s="106"/>
    </row>
    <row r="960" spans="3:27">
      <c r="C960" s="17">
        <f t="shared" si="444"/>
        <v>81</v>
      </c>
      <c r="D960" s="13">
        <f t="shared" si="445"/>
        <v>264</v>
      </c>
      <c r="E960" s="13">
        <f>VLOOKUP(C960,'Mortality Table'!$A$5:$E$153,IF(SRP_Gender="female",5,4),FALSE)</f>
        <v>2.8065E-2</v>
      </c>
      <c r="F960" s="13">
        <f t="shared" si="443"/>
        <v>2.3693843326326736E-3</v>
      </c>
      <c r="G960" s="18">
        <f t="shared" si="446"/>
        <v>0.79855975423609182</v>
      </c>
      <c r="H960" s="35">
        <f t="shared" si="447"/>
        <v>0.12630552865816019</v>
      </c>
      <c r="I960" s="13">
        <f t="shared" si="441"/>
        <v>0.10086251192392005</v>
      </c>
      <c r="J960" s="13">
        <f t="shared" si="442"/>
        <v>0.44489925811669045</v>
      </c>
      <c r="K960" s="106"/>
      <c r="AA960" s="106"/>
    </row>
    <row r="961" spans="3:27">
      <c r="C961" s="17">
        <f t="shared" si="444"/>
        <v>82</v>
      </c>
      <c r="D961" s="13">
        <f t="shared" si="445"/>
        <v>265</v>
      </c>
      <c r="E961" s="13">
        <f>VLOOKUP(C961,'Mortality Table'!$A$5:$E$153,IF(SRP_Gender="female",5,4),FALSE)</f>
        <v>3.1975000000000003E-2</v>
      </c>
      <c r="F961" s="13">
        <f t="shared" si="443"/>
        <v>2.7044501671465992E-3</v>
      </c>
      <c r="G961" s="18">
        <f t="shared" si="446"/>
        <v>0.7966676592657338</v>
      </c>
      <c r="H961" s="35">
        <f t="shared" si="447"/>
        <v>0.1288316392313234</v>
      </c>
      <c r="I961" s="13">
        <f t="shared" si="441"/>
        <v>0.1026360004657859</v>
      </c>
      <c r="J961" s="13">
        <f t="shared" si="442"/>
        <v>0.44353647380401295</v>
      </c>
      <c r="K961" s="106"/>
      <c r="AA961" s="106"/>
    </row>
    <row r="962" spans="3:27">
      <c r="C962" s="17">
        <f t="shared" si="444"/>
        <v>82</v>
      </c>
      <c r="D962" s="13">
        <f t="shared" si="445"/>
        <v>266</v>
      </c>
      <c r="E962" s="13">
        <f>VLOOKUP(C962,'Mortality Table'!$A$5:$E$153,IF(SRP_Gender="female",5,4),FALSE)</f>
        <v>3.1975000000000003E-2</v>
      </c>
      <c r="F962" s="13">
        <f t="shared" si="443"/>
        <v>2.7044501671465992E-3</v>
      </c>
      <c r="G962" s="18">
        <f t="shared" si="446"/>
        <v>0.79451311128147228</v>
      </c>
      <c r="H962" s="35">
        <f t="shared" si="447"/>
        <v>0.1288316392313234</v>
      </c>
      <c r="I962" s="13">
        <f t="shared" si="441"/>
        <v>0.10235842651717095</v>
      </c>
      <c r="J962" s="13">
        <f t="shared" si="442"/>
        <v>0.44217786387699443</v>
      </c>
      <c r="K962" s="106"/>
      <c r="AA962" s="106"/>
    </row>
    <row r="963" spans="3:27">
      <c r="C963" s="17">
        <f t="shared" si="444"/>
        <v>82</v>
      </c>
      <c r="D963" s="13">
        <f t="shared" si="445"/>
        <v>267</v>
      </c>
      <c r="E963" s="13">
        <f>VLOOKUP(C963,'Mortality Table'!$A$5:$E$153,IF(SRP_Gender="female",5,4),FALSE)</f>
        <v>3.1975000000000003E-2</v>
      </c>
      <c r="F963" s="13">
        <f t="shared" si="443"/>
        <v>2.7044501671465992E-3</v>
      </c>
      <c r="G963" s="18">
        <f t="shared" si="446"/>
        <v>0.79236439016486693</v>
      </c>
      <c r="H963" s="35">
        <f t="shared" si="447"/>
        <v>0.1288316392313234</v>
      </c>
      <c r="I963" s="13">
        <f t="shared" si="441"/>
        <v>0.10208160325346771</v>
      </c>
      <c r="J963" s="13">
        <f t="shared" si="442"/>
        <v>0.44082341554894877</v>
      </c>
      <c r="K963" s="106"/>
      <c r="AA963" s="106"/>
    </row>
    <row r="964" spans="3:27">
      <c r="C964" s="17">
        <f t="shared" si="444"/>
        <v>82</v>
      </c>
      <c r="D964" s="13">
        <f t="shared" si="445"/>
        <v>268</v>
      </c>
      <c r="E964" s="13">
        <f>VLOOKUP(C964,'Mortality Table'!$A$5:$E$153,IF(SRP_Gender="female",5,4),FALSE)</f>
        <v>3.1975000000000003E-2</v>
      </c>
      <c r="F964" s="13">
        <f t="shared" si="443"/>
        <v>2.7044501671465992E-3</v>
      </c>
      <c r="G964" s="18">
        <f t="shared" si="446"/>
        <v>0.79022148015744453</v>
      </c>
      <c r="H964" s="35">
        <f t="shared" si="447"/>
        <v>0.1288316392313234</v>
      </c>
      <c r="I964" s="13">
        <f t="shared" si="441"/>
        <v>0.10180552864448628</v>
      </c>
      <c r="J964" s="13">
        <f t="shared" si="442"/>
        <v>0.43947311607235678</v>
      </c>
      <c r="K964" s="106"/>
      <c r="AA964" s="106"/>
    </row>
    <row r="965" spans="3:27">
      <c r="C965" s="17">
        <f t="shared" si="444"/>
        <v>82</v>
      </c>
      <c r="D965" s="13">
        <f t="shared" si="445"/>
        <v>269</v>
      </c>
      <c r="E965" s="13">
        <f>VLOOKUP(C965,'Mortality Table'!$A$5:$E$153,IF(SRP_Gender="female",5,4),FALSE)</f>
        <v>3.1975000000000003E-2</v>
      </c>
      <c r="F965" s="13">
        <f t="shared" si="443"/>
        <v>2.7044501671465992E-3</v>
      </c>
      <c r="G965" s="18">
        <f t="shared" si="446"/>
        <v>0.78808436554334993</v>
      </c>
      <c r="H965" s="35">
        <f t="shared" si="447"/>
        <v>0.1288316392313234</v>
      </c>
      <c r="I965" s="13">
        <f t="shared" si="441"/>
        <v>0.10153020066552726</v>
      </c>
      <c r="J965" s="13">
        <f t="shared" si="442"/>
        <v>0.43812695273874663</v>
      </c>
      <c r="K965" s="106"/>
      <c r="AA965" s="106"/>
    </row>
    <row r="966" spans="3:27">
      <c r="C966" s="17">
        <f t="shared" si="444"/>
        <v>82</v>
      </c>
      <c r="D966" s="13">
        <f t="shared" si="445"/>
        <v>270</v>
      </c>
      <c r="E966" s="13">
        <f>VLOOKUP(C966,'Mortality Table'!$A$5:$E$153,IF(SRP_Gender="female",5,4),FALSE)</f>
        <v>3.1975000000000003E-2</v>
      </c>
      <c r="F966" s="13">
        <f t="shared" si="443"/>
        <v>2.7044501671465992E-3</v>
      </c>
      <c r="G966" s="18">
        <f t="shared" si="446"/>
        <v>0.78595303064923061</v>
      </c>
      <c r="H966" s="35">
        <f t="shared" si="447"/>
        <v>0.1288316392313234</v>
      </c>
      <c r="I966" s="13">
        <f t="shared" si="441"/>
        <v>0.10125561729736694</v>
      </c>
      <c r="J966" s="13">
        <f t="shared" si="442"/>
        <v>0.43678491287857441</v>
      </c>
      <c r="K966" s="106"/>
      <c r="AA966" s="106"/>
    </row>
    <row r="967" spans="3:27">
      <c r="C967" s="17">
        <f t="shared" si="444"/>
        <v>82</v>
      </c>
      <c r="D967" s="13">
        <f t="shared" si="445"/>
        <v>271</v>
      </c>
      <c r="E967" s="13">
        <f>VLOOKUP(C967,'Mortality Table'!$A$5:$E$153,IF(SRP_Gender="female",5,4),FALSE)</f>
        <v>3.1975000000000003E-2</v>
      </c>
      <c r="F967" s="13">
        <f t="shared" si="443"/>
        <v>2.7044501671465992E-3</v>
      </c>
      <c r="G967" s="18">
        <f t="shared" si="446"/>
        <v>0.78382745984412194</v>
      </c>
      <c r="H967" s="35">
        <f t="shared" si="447"/>
        <v>0.1288316392313234</v>
      </c>
      <c r="I967" s="13">
        <f t="shared" si="441"/>
        <v>0.10098177652624254</v>
      </c>
      <c r="J967" s="13">
        <f t="shared" si="442"/>
        <v>0.43544698386110436</v>
      </c>
      <c r="K967" s="106"/>
      <c r="AA967" s="106"/>
    </row>
    <row r="968" spans="3:27">
      <c r="C968" s="17">
        <f t="shared" si="444"/>
        <v>82</v>
      </c>
      <c r="D968" s="13">
        <f t="shared" si="445"/>
        <v>272</v>
      </c>
      <c r="E968" s="13">
        <f>VLOOKUP(C968,'Mortality Table'!$A$5:$E$153,IF(SRP_Gender="female",5,4),FALSE)</f>
        <v>3.1975000000000003E-2</v>
      </c>
      <c r="F968" s="13">
        <f t="shared" si="443"/>
        <v>2.7044501671465992E-3</v>
      </c>
      <c r="G968" s="18">
        <f t="shared" si="446"/>
        <v>0.78170763753933237</v>
      </c>
      <c r="H968" s="35">
        <f t="shared" si="447"/>
        <v>0.1288316392313234</v>
      </c>
      <c r="I968" s="13">
        <f t="shared" si="441"/>
        <v>0.10070867634383739</v>
      </c>
      <c r="J968" s="13">
        <f t="shared" si="442"/>
        <v>0.43411315309429033</v>
      </c>
      <c r="K968" s="106"/>
      <c r="AA968" s="106"/>
    </row>
    <row r="969" spans="3:27">
      <c r="C969" s="17">
        <f t="shared" si="444"/>
        <v>82</v>
      </c>
      <c r="D969" s="13">
        <f t="shared" si="445"/>
        <v>273</v>
      </c>
      <c r="E969" s="13">
        <f>VLOOKUP(C969,'Mortality Table'!$A$5:$E$153,IF(SRP_Gender="female",5,4),FALSE)</f>
        <v>3.1975000000000003E-2</v>
      </c>
      <c r="F969" s="13">
        <f t="shared" si="443"/>
        <v>2.7044501671465992E-3</v>
      </c>
      <c r="G969" s="18">
        <f t="shared" si="446"/>
        <v>0.77959354818832938</v>
      </c>
      <c r="H969" s="35">
        <f t="shared" si="447"/>
        <v>0.1288316392313234</v>
      </c>
      <c r="I969" s="13">
        <f t="shared" si="441"/>
        <v>0.10043631474726619</v>
      </c>
      <c r="J969" s="13">
        <f t="shared" si="442"/>
        <v>0.43278340802465753</v>
      </c>
      <c r="K969" s="106"/>
      <c r="AA969" s="106"/>
    </row>
    <row r="970" spans="3:27">
      <c r="C970" s="17">
        <f t="shared" si="444"/>
        <v>82</v>
      </c>
      <c r="D970" s="13">
        <f t="shared" si="445"/>
        <v>274</v>
      </c>
      <c r="E970" s="13">
        <f>VLOOKUP(C970,'Mortality Table'!$A$5:$E$153,IF(SRP_Gender="female",5,4),FALSE)</f>
        <v>3.1975000000000003E-2</v>
      </c>
      <c r="F970" s="13">
        <f t="shared" si="443"/>
        <v>2.7044501671465992E-3</v>
      </c>
      <c r="G970" s="18">
        <f t="shared" si="446"/>
        <v>0.77748517628662506</v>
      </c>
      <c r="H970" s="35">
        <f t="shared" si="447"/>
        <v>0.1288316392313234</v>
      </c>
      <c r="I970" s="13">
        <f t="shared" si="441"/>
        <v>0.10016468973906036</v>
      </c>
      <c r="J970" s="13">
        <f t="shared" si="442"/>
        <v>0.43145773613718386</v>
      </c>
      <c r="K970" s="106"/>
      <c r="AA970" s="106"/>
    </row>
    <row r="971" spans="3:27">
      <c r="C971" s="17">
        <f t="shared" si="444"/>
        <v>82</v>
      </c>
      <c r="D971" s="13">
        <f t="shared" si="445"/>
        <v>275</v>
      </c>
      <c r="E971" s="13">
        <f>VLOOKUP(C971,'Mortality Table'!$A$5:$E$153,IF(SRP_Gender="female",5,4),FALSE)</f>
        <v>3.1975000000000003E-2</v>
      </c>
      <c r="F971" s="13">
        <f t="shared" si="443"/>
        <v>2.7044501671465992E-3</v>
      </c>
      <c r="G971" s="18">
        <f t="shared" si="446"/>
        <v>0.77538250637166273</v>
      </c>
      <c r="H971" s="35">
        <f t="shared" si="447"/>
        <v>0.1288316392313234</v>
      </c>
      <c r="I971" s="13">
        <f t="shared" si="441"/>
        <v>9.9893799327153365E-2</v>
      </c>
      <c r="J971" s="13">
        <f t="shared" si="442"/>
        <v>0.43013612495518222</v>
      </c>
      <c r="K971" s="106"/>
      <c r="AA971" s="106"/>
    </row>
    <row r="972" spans="3:27">
      <c r="C972" s="17">
        <f t="shared" si="444"/>
        <v>82</v>
      </c>
      <c r="D972" s="13">
        <f t="shared" si="445"/>
        <v>276</v>
      </c>
      <c r="E972" s="13">
        <f>VLOOKUP(C972,'Mortality Table'!$A$5:$E$153,IF(SRP_Gender="female",5,4),FALSE)</f>
        <v>3.1975000000000003E-2</v>
      </c>
      <c r="F972" s="13">
        <f t="shared" si="443"/>
        <v>2.7044501671465992E-3</v>
      </c>
      <c r="G972" s="18">
        <f t="shared" si="446"/>
        <v>0.77328552302270337</v>
      </c>
      <c r="H972" s="35">
        <f t="shared" si="447"/>
        <v>0.1288316392313234</v>
      </c>
      <c r="I972" s="13">
        <f t="shared" si="441"/>
        <v>9.9623641524866149E-2</v>
      </c>
      <c r="J972" s="13">
        <f t="shared" si="442"/>
        <v>0.42881856204018354</v>
      </c>
      <c r="K972" s="106"/>
      <c r="AA972" s="106"/>
    </row>
    <row r="973" spans="3:27">
      <c r="C973" s="17">
        <f t="shared" si="444"/>
        <v>83</v>
      </c>
      <c r="D973" s="13">
        <f t="shared" si="445"/>
        <v>277</v>
      </c>
      <c r="E973" s="13">
        <f>VLOOKUP(C973,'Mortality Table'!$A$5:$E$153,IF(SRP_Gender="female",5,4),FALSE)</f>
        <v>3.6244999999999999E-2</v>
      </c>
      <c r="F973" s="13">
        <f t="shared" si="443"/>
        <v>3.071786218292627E-3</v>
      </c>
      <c r="G973" s="18">
        <f t="shared" si="446"/>
        <v>0.7711942108607126</v>
      </c>
      <c r="H973" s="35">
        <f t="shared" si="447"/>
        <v>0.13140827201594987</v>
      </c>
      <c r="I973" s="13">
        <f t="shared" si="441"/>
        <v>0.10134129863791033</v>
      </c>
      <c r="J973" s="13">
        <f t="shared" si="442"/>
        <v>0.42750503499181969</v>
      </c>
      <c r="K973" s="106"/>
      <c r="AA973" s="106"/>
    </row>
    <row r="974" spans="3:27">
      <c r="C974" s="17">
        <f t="shared" si="444"/>
        <v>83</v>
      </c>
      <c r="D974" s="13">
        <f t="shared" si="445"/>
        <v>278</v>
      </c>
      <c r="E974" s="13">
        <f>VLOOKUP(C974,'Mortality Table'!$A$5:$E$153,IF(SRP_Gender="female",5,4),FALSE)</f>
        <v>3.6244999999999999E-2</v>
      </c>
      <c r="F974" s="13">
        <f t="shared" si="443"/>
        <v>3.071786218292627E-3</v>
      </c>
      <c r="G974" s="18">
        <f t="shared" si="446"/>
        <v>0.76882526711216359</v>
      </c>
      <c r="H974" s="35">
        <f t="shared" si="447"/>
        <v>0.13140827201594987</v>
      </c>
      <c r="I974" s="13">
        <f t="shared" si="441"/>
        <v>0.10102999983341052</v>
      </c>
      <c r="J974" s="13">
        <f t="shared" si="442"/>
        <v>0.42619553144770544</v>
      </c>
      <c r="K974" s="106"/>
      <c r="AA974" s="106"/>
    </row>
    <row r="975" spans="3:27">
      <c r="C975" s="17">
        <f t="shared" si="444"/>
        <v>83</v>
      </c>
      <c r="D975" s="13">
        <f t="shared" si="445"/>
        <v>279</v>
      </c>
      <c r="E975" s="13">
        <f>VLOOKUP(C975,'Mortality Table'!$A$5:$E$153,IF(SRP_Gender="female",5,4),FALSE)</f>
        <v>3.6244999999999999E-2</v>
      </c>
      <c r="F975" s="13">
        <f t="shared" si="443"/>
        <v>3.071786218292627E-3</v>
      </c>
      <c r="G975" s="18">
        <f t="shared" si="446"/>
        <v>0.76646360025237326</v>
      </c>
      <c r="H975" s="35">
        <f t="shared" si="447"/>
        <v>0.13140827201594987</v>
      </c>
      <c r="I975" s="13">
        <f t="shared" si="441"/>
        <v>0.10071965727228813</v>
      </c>
      <c r="J975" s="13">
        <f t="shared" si="442"/>
        <v>0.42489003908332407</v>
      </c>
      <c r="K975" s="106"/>
      <c r="AA975" s="106"/>
    </row>
    <row r="976" spans="3:27">
      <c r="C976" s="17">
        <f t="shared" si="444"/>
        <v>83</v>
      </c>
      <c r="D976" s="13">
        <f t="shared" si="445"/>
        <v>280</v>
      </c>
      <c r="E976" s="13">
        <f>VLOOKUP(C976,'Mortality Table'!$A$5:$E$153,IF(SRP_Gender="female",5,4),FALSE)</f>
        <v>3.6244999999999999E-2</v>
      </c>
      <c r="F976" s="13">
        <f t="shared" si="443"/>
        <v>3.071786218292627E-3</v>
      </c>
      <c r="G976" s="18">
        <f t="shared" si="446"/>
        <v>0.76410918792829507</v>
      </c>
      <c r="H976" s="35">
        <f t="shared" si="447"/>
        <v>0.13140827201594987</v>
      </c>
      <c r="I976" s="13">
        <f t="shared" si="441"/>
        <v>0.10041026801716796</v>
      </c>
      <c r="J976" s="13">
        <f t="shared" si="442"/>
        <v>0.42358854561191012</v>
      </c>
      <c r="K976" s="106"/>
      <c r="AA976" s="106"/>
    </row>
    <row r="977" spans="3:27">
      <c r="C977" s="17">
        <f t="shared" si="444"/>
        <v>83</v>
      </c>
      <c r="D977" s="13">
        <f t="shared" si="445"/>
        <v>281</v>
      </c>
      <c r="E977" s="13">
        <f>VLOOKUP(C977,'Mortality Table'!$A$5:$E$153,IF(SRP_Gender="female",5,4),FALSE)</f>
        <v>3.6244999999999999E-2</v>
      </c>
      <c r="F977" s="13">
        <f t="shared" si="443"/>
        <v>3.071786218292627E-3</v>
      </c>
      <c r="G977" s="18">
        <f t="shared" si="446"/>
        <v>0.76176200785554615</v>
      </c>
      <c r="H977" s="35">
        <f t="shared" si="447"/>
        <v>0.13140827201594987</v>
      </c>
      <c r="I977" s="13">
        <f t="shared" si="441"/>
        <v>0.10010182913969776</v>
      </c>
      <c r="J977" s="13">
        <f t="shared" si="442"/>
        <v>0.42229103878433411</v>
      </c>
      <c r="K977" s="106"/>
      <c r="AA977" s="106"/>
    </row>
    <row r="978" spans="3:27">
      <c r="C978" s="17">
        <f t="shared" si="444"/>
        <v>83</v>
      </c>
      <c r="D978" s="13">
        <f t="shared" si="445"/>
        <v>282</v>
      </c>
      <c r="E978" s="13">
        <f>VLOOKUP(C978,'Mortality Table'!$A$5:$E$153,IF(SRP_Gender="female",5,4),FALSE)</f>
        <v>3.6244999999999999E-2</v>
      </c>
      <c r="F978" s="13">
        <f t="shared" si="443"/>
        <v>3.071786218292627E-3</v>
      </c>
      <c r="G978" s="18">
        <f t="shared" si="446"/>
        <v>0.75942203781819662</v>
      </c>
      <c r="H978" s="35">
        <f t="shared" si="447"/>
        <v>0.13140827201594987</v>
      </c>
      <c r="I978" s="13">
        <f t="shared" si="441"/>
        <v>9.9794337720520557E-2</v>
      </c>
      <c r="J978" s="13">
        <f t="shared" si="442"/>
        <v>0.42099750638898736</v>
      </c>
      <c r="K978" s="106"/>
      <c r="AA978" s="106"/>
    </row>
    <row r="979" spans="3:27">
      <c r="C979" s="17">
        <f t="shared" si="444"/>
        <v>83</v>
      </c>
      <c r="D979" s="13">
        <f t="shared" si="445"/>
        <v>283</v>
      </c>
      <c r="E979" s="13">
        <f>VLOOKUP(C979,'Mortality Table'!$A$5:$E$153,IF(SRP_Gender="female",5,4),FALSE)</f>
        <v>3.6244999999999999E-2</v>
      </c>
      <c r="F979" s="13">
        <f t="shared" si="443"/>
        <v>3.071786218292627E-3</v>
      </c>
      <c r="G979" s="18">
        <f t="shared" si="446"/>
        <v>0.757089255668559</v>
      </c>
      <c r="H979" s="35">
        <f t="shared" si="447"/>
        <v>0.13140827201594987</v>
      </c>
      <c r="I979" s="13">
        <f t="shared" si="441"/>
        <v>9.9487790849247026E-2</v>
      </c>
      <c r="J979" s="13">
        <f t="shared" si="442"/>
        <v>0.4197079362516668</v>
      </c>
      <c r="K979" s="106"/>
      <c r="AA979" s="106"/>
    </row>
    <row r="980" spans="3:27">
      <c r="C980" s="17">
        <f t="shared" si="444"/>
        <v>83</v>
      </c>
      <c r="D980" s="13">
        <f t="shared" si="445"/>
        <v>284</v>
      </c>
      <c r="E980" s="13">
        <f>VLOOKUP(C980,'Mortality Table'!$A$5:$E$153,IF(SRP_Gender="female",5,4),FALSE)</f>
        <v>3.6244999999999999E-2</v>
      </c>
      <c r="F980" s="13">
        <f t="shared" si="443"/>
        <v>3.071786218292627E-3</v>
      </c>
      <c r="G980" s="18">
        <f t="shared" si="446"/>
        <v>0.75476363932697887</v>
      </c>
      <c r="H980" s="35">
        <f t="shared" si="447"/>
        <v>0.13140827201594987</v>
      </c>
      <c r="I980" s="13">
        <f t="shared" si="441"/>
        <v>9.9182185624427918E-2</v>
      </c>
      <c r="J980" s="13">
        <f t="shared" si="442"/>
        <v>0.41842231623546056</v>
      </c>
      <c r="K980" s="106"/>
      <c r="AA980" s="106"/>
    </row>
    <row r="981" spans="3:27">
      <c r="C981" s="17">
        <f t="shared" si="444"/>
        <v>83</v>
      </c>
      <c r="D981" s="13">
        <f t="shared" si="445"/>
        <v>285</v>
      </c>
      <c r="E981" s="13">
        <f>VLOOKUP(C981,'Mortality Table'!$A$5:$E$153,IF(SRP_Gender="female",5,4),FALSE)</f>
        <v>3.6244999999999999E-2</v>
      </c>
      <c r="F981" s="13">
        <f t="shared" si="443"/>
        <v>3.071786218292627E-3</v>
      </c>
      <c r="G981" s="18">
        <f t="shared" si="446"/>
        <v>0.75244516678162587</v>
      </c>
      <c r="H981" s="35">
        <f t="shared" si="447"/>
        <v>0.13140827201594987</v>
      </c>
      <c r="I981" s="13">
        <f t="shared" si="441"/>
        <v>9.8877519153526661E-2</v>
      </c>
      <c r="J981" s="13">
        <f t="shared" si="442"/>
        <v>0.41714063424063375</v>
      </c>
      <c r="K981" s="106"/>
      <c r="AA981" s="106"/>
    </row>
    <row r="982" spans="3:27">
      <c r="C982" s="17">
        <f t="shared" si="444"/>
        <v>83</v>
      </c>
      <c r="D982" s="13">
        <f t="shared" si="445"/>
        <v>286</v>
      </c>
      <c r="E982" s="13">
        <f>VLOOKUP(C982,'Mortality Table'!$A$5:$E$153,IF(SRP_Gender="female",5,4),FALSE)</f>
        <v>3.6244999999999999E-2</v>
      </c>
      <c r="F982" s="13">
        <f t="shared" si="443"/>
        <v>3.071786218292627E-3</v>
      </c>
      <c r="G982" s="18">
        <f t="shared" si="446"/>
        <v>0.75013381608828522</v>
      </c>
      <c r="H982" s="35">
        <f t="shared" si="447"/>
        <v>0.13140827201594987</v>
      </c>
      <c r="I982" s="13">
        <f t="shared" si="441"/>
        <v>9.8573788552891894E-2</v>
      </c>
      <c r="J982" s="13">
        <f t="shared" si="442"/>
        <v>0.41586287820451451</v>
      </c>
      <c r="K982" s="106"/>
      <c r="AA982" s="106"/>
    </row>
    <row r="983" spans="3:27">
      <c r="C983" s="17">
        <f t="shared" si="444"/>
        <v>83</v>
      </c>
      <c r="D983" s="13">
        <f t="shared" si="445"/>
        <v>287</v>
      </c>
      <c r="E983" s="13">
        <f>VLOOKUP(C983,'Mortality Table'!$A$5:$E$153,IF(SRP_Gender="female",5,4),FALSE)</f>
        <v>3.6244999999999999E-2</v>
      </c>
      <c r="F983" s="13">
        <f t="shared" si="443"/>
        <v>3.071786218292627E-3</v>
      </c>
      <c r="G983" s="18">
        <f t="shared" si="446"/>
        <v>0.74782956537015</v>
      </c>
      <c r="H983" s="35">
        <f t="shared" si="447"/>
        <v>0.13140827201594987</v>
      </c>
      <c r="I983" s="13">
        <f t="shared" si="441"/>
        <v>9.8270990947730244E-2</v>
      </c>
      <c r="J983" s="13">
        <f t="shared" si="442"/>
        <v>0.41458903610138043</v>
      </c>
      <c r="K983" s="106"/>
      <c r="AA983" s="106"/>
    </row>
    <row r="984" spans="3:27">
      <c r="C984" s="17">
        <f t="shared" si="444"/>
        <v>83</v>
      </c>
      <c r="D984" s="13">
        <f t="shared" si="445"/>
        <v>288</v>
      </c>
      <c r="E984" s="13">
        <f>VLOOKUP(C984,'Mortality Table'!$A$5:$E$153,IF(SRP_Gender="female",5,4),FALSE)</f>
        <v>3.6244999999999999E-2</v>
      </c>
      <c r="F984" s="13">
        <f t="shared" si="443"/>
        <v>3.071786218292627E-3</v>
      </c>
      <c r="G984" s="18">
        <f t="shared" si="446"/>
        <v>0.74553239281761419</v>
      </c>
      <c r="H984" s="35">
        <f t="shared" si="447"/>
        <v>0.13140827201594987</v>
      </c>
      <c r="I984" s="13">
        <f t="shared" si="441"/>
        <v>9.7969123472079034E-2</v>
      </c>
      <c r="J984" s="13">
        <f t="shared" si="442"/>
        <v>0.4133190959423455</v>
      </c>
      <c r="K984" s="106"/>
      <c r="AA984" s="106"/>
    </row>
    <row r="985" spans="3:27">
      <c r="C985" s="17">
        <f t="shared" si="444"/>
        <v>84</v>
      </c>
      <c r="D985" s="13">
        <f t="shared" si="445"/>
        <v>289</v>
      </c>
      <c r="E985" s="13">
        <f>VLOOKUP(C985,'Mortality Table'!$A$5:$E$153,IF(SRP_Gender="female",5,4),FALSE)</f>
        <v>4.0989999999999999E-2</v>
      </c>
      <c r="F985" s="13">
        <f t="shared" si="443"/>
        <v>3.4817393582394773E-3</v>
      </c>
      <c r="G985" s="18">
        <f t="shared" si="446"/>
        <v>0.74324227668806631</v>
      </c>
      <c r="H985" s="35">
        <f t="shared" si="447"/>
        <v>0.13403643745626886</v>
      </c>
      <c r="I985" s="13">
        <f t="shared" si="441"/>
        <v>9.9621546934154884E-2</v>
      </c>
      <c r="J985" s="13">
        <f t="shared" si="442"/>
        <v>0.41205304577524787</v>
      </c>
      <c r="K985" s="106"/>
      <c r="AA985" s="106"/>
    </row>
    <row r="986" spans="3:27">
      <c r="C986" s="17">
        <f t="shared" si="444"/>
        <v>84</v>
      </c>
      <c r="D986" s="13">
        <f t="shared" si="445"/>
        <v>290</v>
      </c>
      <c r="E986" s="13">
        <f>VLOOKUP(C986,'Mortality Table'!$A$5:$E$153,IF(SRP_Gender="female",5,4),FALSE)</f>
        <v>4.0989999999999999E-2</v>
      </c>
      <c r="F986" s="13">
        <f t="shared" si="443"/>
        <v>3.4817393582394773E-3</v>
      </c>
      <c r="G986" s="18">
        <f t="shared" si="446"/>
        <v>0.7406545008006139</v>
      </c>
      <c r="H986" s="35">
        <f t="shared" si="447"/>
        <v>0.13403643745626886</v>
      </c>
      <c r="I986" s="13">
        <f t="shared" si="441"/>
        <v>9.9274690673265525E-2</v>
      </c>
      <c r="J986" s="13">
        <f t="shared" si="442"/>
        <v>0.41079087368453532</v>
      </c>
      <c r="K986" s="106"/>
      <c r="AA986" s="106"/>
    </row>
    <row r="987" spans="3:27">
      <c r="C987" s="17">
        <f t="shared" si="444"/>
        <v>84</v>
      </c>
      <c r="D987" s="13">
        <f t="shared" si="445"/>
        <v>291</v>
      </c>
      <c r="E987" s="13">
        <f>VLOOKUP(C987,'Mortality Table'!$A$5:$E$153,IF(SRP_Gender="female",5,4),FALSE)</f>
        <v>4.0989999999999999E-2</v>
      </c>
      <c r="F987" s="13">
        <f t="shared" si="443"/>
        <v>3.4817393582394773E-3</v>
      </c>
      <c r="G987" s="18">
        <f t="shared" si="446"/>
        <v>0.73807573487431921</v>
      </c>
      <c r="H987" s="35">
        <f t="shared" si="447"/>
        <v>0.13403643745626886</v>
      </c>
      <c r="I987" s="13">
        <f t="shared" si="441"/>
        <v>9.8929042075471374E-2</v>
      </c>
      <c r="J987" s="13">
        <f t="shared" si="442"/>
        <v>0.40953256779115566</v>
      </c>
      <c r="K987" s="106"/>
      <c r="AA987" s="106"/>
    </row>
    <row r="988" spans="3:27">
      <c r="C988" s="17">
        <f t="shared" si="444"/>
        <v>84</v>
      </c>
      <c r="D988" s="13">
        <f t="shared" si="445"/>
        <v>292</v>
      </c>
      <c r="E988" s="13">
        <f>VLOOKUP(C988,'Mortality Table'!$A$5:$E$153,IF(SRP_Gender="female",5,4),FALSE)</f>
        <v>4.0989999999999999E-2</v>
      </c>
      <c r="F988" s="13">
        <f t="shared" si="443"/>
        <v>3.4817393582394773E-3</v>
      </c>
      <c r="G988" s="18">
        <f t="shared" si="446"/>
        <v>0.73550594753884579</v>
      </c>
      <c r="H988" s="35">
        <f t="shared" si="447"/>
        <v>0.13403643745626886</v>
      </c>
      <c r="I988" s="13">
        <f t="shared" si="441"/>
        <v>9.8584596936004271E-2</v>
      </c>
      <c r="J988" s="13">
        <f t="shared" si="442"/>
        <v>0.40827811625244342</v>
      </c>
      <c r="K988" s="106"/>
      <c r="AA988" s="106"/>
    </row>
    <row r="989" spans="3:27">
      <c r="C989" s="17">
        <f t="shared" si="444"/>
        <v>84</v>
      </c>
      <c r="D989" s="13">
        <f t="shared" si="445"/>
        <v>293</v>
      </c>
      <c r="E989" s="13">
        <f>VLOOKUP(C989,'Mortality Table'!$A$5:$E$153,IF(SRP_Gender="female",5,4),FALSE)</f>
        <v>4.0989999999999999E-2</v>
      </c>
      <c r="F989" s="13">
        <f t="shared" si="443"/>
        <v>3.4817393582394773E-3</v>
      </c>
      <c r="G989" s="18">
        <f t="shared" si="446"/>
        <v>0.73294510753308062</v>
      </c>
      <c r="H989" s="35">
        <f t="shared" si="447"/>
        <v>0.13403643745626886</v>
      </c>
      <c r="I989" s="13">
        <f t="shared" si="441"/>
        <v>9.8241351064736013E-2</v>
      </c>
      <c r="J989" s="13">
        <f t="shared" si="442"/>
        <v>0.40702750726200876</v>
      </c>
      <c r="K989" s="106"/>
      <c r="AA989" s="106"/>
    </row>
    <row r="990" spans="3:27">
      <c r="C990" s="17">
        <f t="shared" si="444"/>
        <v>84</v>
      </c>
      <c r="D990" s="13">
        <f t="shared" si="445"/>
        <v>294</v>
      </c>
      <c r="E990" s="13">
        <f>VLOOKUP(C990,'Mortality Table'!$A$5:$E$153,IF(SRP_Gender="female",5,4),FALSE)</f>
        <v>4.0989999999999999E-2</v>
      </c>
      <c r="F990" s="13">
        <f t="shared" si="443"/>
        <v>3.4817393582394773E-3</v>
      </c>
      <c r="G990" s="18">
        <f t="shared" si="446"/>
        <v>0.73039318370475359</v>
      </c>
      <c r="H990" s="35">
        <f t="shared" si="447"/>
        <v>0.13403643745626886</v>
      </c>
      <c r="I990" s="13">
        <f t="shared" si="441"/>
        <v>9.7899300286127297E-2</v>
      </c>
      <c r="J990" s="13">
        <f t="shared" si="442"/>
        <v>0.40578072904962631</v>
      </c>
      <c r="K990" s="106"/>
      <c r="AA990" s="106"/>
    </row>
    <row r="991" spans="3:27">
      <c r="C991" s="17">
        <f t="shared" si="444"/>
        <v>84</v>
      </c>
      <c r="D991" s="13">
        <f t="shared" si="445"/>
        <v>295</v>
      </c>
      <c r="E991" s="13">
        <f>VLOOKUP(C991,'Mortality Table'!$A$5:$E$153,IF(SRP_Gender="female",5,4),FALSE)</f>
        <v>4.0989999999999999E-2</v>
      </c>
      <c r="F991" s="13">
        <f t="shared" si="443"/>
        <v>3.4817393582394773E-3</v>
      </c>
      <c r="G991" s="18">
        <f t="shared" si="446"/>
        <v>0.72785014501005896</v>
      </c>
      <c r="H991" s="35">
        <f t="shared" si="447"/>
        <v>0.13403643745626886</v>
      </c>
      <c r="I991" s="13">
        <f t="shared" si="441"/>
        <v>9.7558440439176997E-2</v>
      </c>
      <c r="J991" s="13">
        <f t="shared" si="442"/>
        <v>0.40453776988112461</v>
      </c>
      <c r="K991" s="106"/>
      <c r="AA991" s="106"/>
    </row>
    <row r="992" spans="3:27">
      <c r="C992" s="17">
        <f t="shared" si="444"/>
        <v>84</v>
      </c>
      <c r="D992" s="13">
        <f t="shared" si="445"/>
        <v>296</v>
      </c>
      <c r="E992" s="13">
        <f>VLOOKUP(C992,'Mortality Table'!$A$5:$E$153,IF(SRP_Gender="female",5,4),FALSE)</f>
        <v>4.0989999999999999E-2</v>
      </c>
      <c r="F992" s="13">
        <f t="shared" si="443"/>
        <v>3.4817393582394773E-3</v>
      </c>
      <c r="G992" s="18">
        <f t="shared" si="446"/>
        <v>0.72531596051327707</v>
      </c>
      <c r="H992" s="35">
        <f t="shared" si="447"/>
        <v>0.13403643745626886</v>
      </c>
      <c r="I992" s="13">
        <f t="shared" si="441"/>
        <v>9.7218767377371437E-2</v>
      </c>
      <c r="J992" s="13">
        <f t="shared" si="442"/>
        <v>0.40329861805827522</v>
      </c>
      <c r="K992" s="106"/>
      <c r="AA992" s="106"/>
    </row>
    <row r="993" spans="3:27">
      <c r="C993" s="17">
        <f t="shared" si="444"/>
        <v>84</v>
      </c>
      <c r="D993" s="13">
        <f t="shared" si="445"/>
        <v>297</v>
      </c>
      <c r="E993" s="13">
        <f>VLOOKUP(C993,'Mortality Table'!$A$5:$E$153,IF(SRP_Gender="female",5,4),FALSE)</f>
        <v>4.0989999999999999E-2</v>
      </c>
      <c r="F993" s="13">
        <f t="shared" si="443"/>
        <v>3.4817393582394773E-3</v>
      </c>
      <c r="G993" s="18">
        <f t="shared" si="446"/>
        <v>0.72279059938639867</v>
      </c>
      <c r="H993" s="35">
        <f t="shared" si="447"/>
        <v>0.13403643745626886</v>
      </c>
      <c r="I993" s="13">
        <f t="shared" si="441"/>
        <v>9.6880276968634105E-2</v>
      </c>
      <c r="J993" s="13">
        <f t="shared" si="442"/>
        <v>0.40206326191868313</v>
      </c>
      <c r="K993" s="106"/>
      <c r="AA993" s="106"/>
    </row>
    <row r="994" spans="3:27">
      <c r="C994" s="17">
        <f t="shared" si="444"/>
        <v>84</v>
      </c>
      <c r="D994" s="13">
        <f t="shared" si="445"/>
        <v>298</v>
      </c>
      <c r="E994" s="13">
        <f>VLOOKUP(C994,'Mortality Table'!$A$5:$E$153,IF(SRP_Gender="female",5,4),FALSE)</f>
        <v>4.0989999999999999E-2</v>
      </c>
      <c r="F994" s="13">
        <f t="shared" si="443"/>
        <v>3.4817393582394773E-3</v>
      </c>
      <c r="G994" s="18">
        <f t="shared" si="446"/>
        <v>0.72027403090874953</v>
      </c>
      <c r="H994" s="35">
        <f t="shared" si="447"/>
        <v>0.13403643745626886</v>
      </c>
      <c r="I994" s="13">
        <f t="shared" si="441"/>
        <v>9.6542965095275268E-2</v>
      </c>
      <c r="J994" s="13">
        <f t="shared" si="442"/>
        <v>0.40083168983567663</v>
      </c>
      <c r="K994" s="106"/>
      <c r="AA994" s="106"/>
    </row>
    <row r="995" spans="3:27">
      <c r="C995" s="17">
        <f t="shared" si="444"/>
        <v>84</v>
      </c>
      <c r="D995" s="13">
        <f t="shared" si="445"/>
        <v>299</v>
      </c>
      <c r="E995" s="13">
        <f>VLOOKUP(C995,'Mortality Table'!$A$5:$E$153,IF(SRP_Gender="female",5,4),FALSE)</f>
        <v>4.0989999999999999E-2</v>
      </c>
      <c r="F995" s="13">
        <f t="shared" si="443"/>
        <v>3.4817393582394773E-3</v>
      </c>
      <c r="G995" s="18">
        <f t="shared" si="446"/>
        <v>0.71776622446661675</v>
      </c>
      <c r="H995" s="35">
        <f t="shared" si="447"/>
        <v>0.13403643745626886</v>
      </c>
      <c r="I995" s="13">
        <f t="shared" si="441"/>
        <v>9.6206827653941909E-2</v>
      </c>
      <c r="J995" s="13">
        <f t="shared" si="442"/>
        <v>0.39960389021819798</v>
      </c>
      <c r="K995" s="106"/>
      <c r="AA995" s="106"/>
    </row>
    <row r="996" spans="3:27">
      <c r="C996" s="17">
        <f t="shared" si="444"/>
        <v>84</v>
      </c>
      <c r="D996" s="13">
        <f t="shared" si="445"/>
        <v>300</v>
      </c>
      <c r="E996" s="13">
        <f>VLOOKUP(C996,'Mortality Table'!$A$5:$E$153,IF(SRP_Gender="female",5,4),FALSE)</f>
        <v>4.0989999999999999E-2</v>
      </c>
      <c r="F996" s="13">
        <f t="shared" si="443"/>
        <v>3.4817393582394773E-3</v>
      </c>
      <c r="G996" s="18">
        <f t="shared" si="446"/>
        <v>0.7152671495528764</v>
      </c>
      <c r="H996" s="35">
        <f t="shared" si="447"/>
        <v>0.13403643745626886</v>
      </c>
      <c r="I996" s="13">
        <f t="shared" si="441"/>
        <v>9.5871860555567831E-2</v>
      </c>
      <c r="J996" s="13">
        <f t="shared" si="442"/>
        <v>0.39837985151069433</v>
      </c>
      <c r="K996" s="106"/>
      <c r="AA996" s="106"/>
    </row>
    <row r="997" spans="3:27">
      <c r="C997" s="17">
        <f t="shared" si="444"/>
        <v>85</v>
      </c>
      <c r="D997" s="13">
        <f t="shared" si="445"/>
        <v>301</v>
      </c>
      <c r="E997" s="13">
        <f>VLOOKUP(C997,'Mortality Table'!$A$5:$E$153,IF(SRP_Gender="female",5,4),FALSE)</f>
        <v>4.6164999999999998E-2</v>
      </c>
      <c r="F997" s="13">
        <f t="shared" si="443"/>
        <v>3.9309683086917735E-3</v>
      </c>
      <c r="G997" s="18">
        <f t="shared" si="446"/>
        <v>0.71277677576662235</v>
      </c>
      <c r="H997" s="35">
        <f t="shared" si="447"/>
        <v>0.13671716620539423</v>
      </c>
      <c r="I997" s="13">
        <f t="shared" si="441"/>
        <v>9.7448820919830328E-2</v>
      </c>
      <c r="J997" s="13">
        <f t="shared" si="442"/>
        <v>0.39715956219300996</v>
      </c>
      <c r="K997" s="106"/>
      <c r="AA997" s="106"/>
    </row>
    <row r="998" spans="3:27">
      <c r="C998" s="17">
        <f t="shared" si="444"/>
        <v>85</v>
      </c>
      <c r="D998" s="13">
        <f t="shared" si="445"/>
        <v>302</v>
      </c>
      <c r="E998" s="13">
        <f>VLOOKUP(C998,'Mortality Table'!$A$5:$E$153,IF(SRP_Gender="female",5,4),FALSE)</f>
        <v>4.6164999999999998E-2</v>
      </c>
      <c r="F998" s="13">
        <f t="shared" si="443"/>
        <v>3.9309683086917735E-3</v>
      </c>
      <c r="G998" s="18">
        <f t="shared" si="446"/>
        <v>0.70997487284991223</v>
      </c>
      <c r="H998" s="35">
        <f t="shared" si="447"/>
        <v>0.13671716620539423</v>
      </c>
      <c r="I998" s="13">
        <f t="shared" si="441"/>
        <v>9.7065752693075089E-2</v>
      </c>
      <c r="J998" s="13">
        <f t="shared" si="442"/>
        <v>0.395943010780275</v>
      </c>
      <c r="K998" s="106"/>
      <c r="AA998" s="106"/>
    </row>
    <row r="999" spans="3:27">
      <c r="C999" s="17">
        <f t="shared" si="444"/>
        <v>85</v>
      </c>
      <c r="D999" s="13">
        <f t="shared" si="445"/>
        <v>303</v>
      </c>
      <c r="E999" s="13">
        <f>VLOOKUP(C999,'Mortality Table'!$A$5:$E$153,IF(SRP_Gender="female",5,4),FALSE)</f>
        <v>4.6164999999999998E-2</v>
      </c>
      <c r="F999" s="13">
        <f t="shared" si="443"/>
        <v>3.9309683086917735E-3</v>
      </c>
      <c r="G999" s="18">
        <f t="shared" si="446"/>
        <v>0.70718398412477179</v>
      </c>
      <c r="H999" s="35">
        <f t="shared" si="447"/>
        <v>0.13671716620539423</v>
      </c>
      <c r="I999" s="13">
        <f t="shared" si="441"/>
        <v>9.6684190295379294E-2</v>
      </c>
      <c r="J999" s="13">
        <f t="shared" si="442"/>
        <v>0.39473018582280062</v>
      </c>
      <c r="K999" s="106"/>
      <c r="AA999" s="106"/>
    </row>
    <row r="1000" spans="3:27">
      <c r="C1000" s="17">
        <f t="shared" si="444"/>
        <v>85</v>
      </c>
      <c r="D1000" s="13">
        <f t="shared" si="445"/>
        <v>304</v>
      </c>
      <c r="E1000" s="13">
        <f>VLOOKUP(C1000,'Mortality Table'!$A$5:$E$153,IF(SRP_Gender="female",5,4),FALSE)</f>
        <v>4.6164999999999998E-2</v>
      </c>
      <c r="F1000" s="13">
        <f t="shared" si="443"/>
        <v>3.9309683086917735E-3</v>
      </c>
      <c r="G1000" s="18">
        <f t="shared" si="446"/>
        <v>0.70440406629476293</v>
      </c>
      <c r="H1000" s="35">
        <f t="shared" si="447"/>
        <v>0.13671716620539423</v>
      </c>
      <c r="I1000" s="13">
        <f t="shared" si="441"/>
        <v>9.6304127807376641E-2</v>
      </c>
      <c r="J1000" s="13">
        <f t="shared" si="442"/>
        <v>0.39352107590596958</v>
      </c>
      <c r="K1000" s="106"/>
      <c r="AA1000" s="106"/>
    </row>
    <row r="1001" spans="3:27">
      <c r="C1001" s="17">
        <f t="shared" si="444"/>
        <v>85</v>
      </c>
      <c r="D1001" s="13">
        <f t="shared" si="445"/>
        <v>305</v>
      </c>
      <c r="E1001" s="13">
        <f>VLOOKUP(C1001,'Mortality Table'!$A$5:$E$153,IF(SRP_Gender="female",5,4),FALSE)</f>
        <v>4.6164999999999998E-2</v>
      </c>
      <c r="F1001" s="13">
        <f t="shared" si="443"/>
        <v>3.9309683086917735E-3</v>
      </c>
      <c r="G1001" s="18">
        <f t="shared" si="446"/>
        <v>0.70163507623364463</v>
      </c>
      <c r="H1001" s="35">
        <f t="shared" si="447"/>
        <v>0.13671716620539423</v>
      </c>
      <c r="I1001" s="13">
        <f t="shared" si="441"/>
        <v>9.5925559332969645E-2</v>
      </c>
      <c r="J1001" s="13">
        <f t="shared" si="442"/>
        <v>0.39231566965012887</v>
      </c>
      <c r="K1001" s="106"/>
      <c r="AA1001" s="106"/>
    </row>
    <row r="1002" spans="3:27">
      <c r="C1002" s="17">
        <f t="shared" si="444"/>
        <v>85</v>
      </c>
      <c r="D1002" s="13">
        <f t="shared" si="445"/>
        <v>306</v>
      </c>
      <c r="E1002" s="13">
        <f>VLOOKUP(C1002,'Mortality Table'!$A$5:$E$153,IF(SRP_Gender="female",5,4),FALSE)</f>
        <v>4.6164999999999998E-2</v>
      </c>
      <c r="F1002" s="13">
        <f t="shared" si="443"/>
        <v>3.9309683086917735E-3</v>
      </c>
      <c r="G1002" s="18">
        <f t="shared" si="446"/>
        <v>0.69887697098470358</v>
      </c>
      <c r="H1002" s="35">
        <f t="shared" si="447"/>
        <v>0.13671716620539423</v>
      </c>
      <c r="I1002" s="13">
        <f t="shared" si="441"/>
        <v>9.5548478999238198E-2</v>
      </c>
      <c r="J1002" s="13">
        <f t="shared" si="442"/>
        <v>0.39111395571048319</v>
      </c>
      <c r="K1002" s="106"/>
      <c r="AA1002" s="106"/>
    </row>
    <row r="1003" spans="3:27">
      <c r="C1003" s="17">
        <f t="shared" si="444"/>
        <v>85</v>
      </c>
      <c r="D1003" s="13">
        <f t="shared" si="445"/>
        <v>307</v>
      </c>
      <c r="E1003" s="13">
        <f>VLOOKUP(C1003,'Mortality Table'!$A$5:$E$153,IF(SRP_Gender="female",5,4),FALSE)</f>
        <v>4.6164999999999998E-2</v>
      </c>
      <c r="F1003" s="13">
        <f t="shared" si="443"/>
        <v>3.9309683086917735E-3</v>
      </c>
      <c r="G1003" s="18">
        <f t="shared" si="446"/>
        <v>0.6961297077600882</v>
      </c>
      <c r="H1003" s="35">
        <f t="shared" si="447"/>
        <v>0.13671716620539423</v>
      </c>
      <c r="I1003" s="13">
        <f t="shared" si="441"/>
        <v>9.5172880956348488E-2</v>
      </c>
      <c r="J1003" s="13">
        <f t="shared" si="442"/>
        <v>0.38991592277698756</v>
      </c>
      <c r="K1003" s="106"/>
      <c r="AA1003" s="106"/>
    </row>
    <row r="1004" spans="3:27">
      <c r="C1004" s="17">
        <f t="shared" si="444"/>
        <v>85</v>
      </c>
      <c r="D1004" s="13">
        <f t="shared" si="445"/>
        <v>308</v>
      </c>
      <c r="E1004" s="13">
        <f>VLOOKUP(C1004,'Mortality Table'!$A$5:$E$153,IF(SRP_Gender="female",5,4),FALSE)</f>
        <v>4.6164999999999998E-2</v>
      </c>
      <c r="F1004" s="13">
        <f t="shared" si="443"/>
        <v>3.9309683086917735E-3</v>
      </c>
      <c r="G1004" s="18">
        <f t="shared" si="446"/>
        <v>0.69339324394014445</v>
      </c>
      <c r="H1004" s="35">
        <f t="shared" si="447"/>
        <v>0.13671716620539423</v>
      </c>
      <c r="I1004" s="13">
        <f t="shared" si="441"/>
        <v>9.4798759377462197E-2</v>
      </c>
      <c r="J1004" s="13">
        <f t="shared" si="442"/>
        <v>0.38872155957424115</v>
      </c>
      <c r="K1004" s="106"/>
      <c r="AA1004" s="106"/>
    </row>
    <row r="1005" spans="3:27">
      <c r="C1005" s="17">
        <f t="shared" si="444"/>
        <v>85</v>
      </c>
      <c r="D1005" s="13">
        <f t="shared" si="445"/>
        <v>309</v>
      </c>
      <c r="E1005" s="13">
        <f>VLOOKUP(C1005,'Mortality Table'!$A$5:$E$153,IF(SRP_Gender="female",5,4),FALSE)</f>
        <v>4.6164999999999998E-2</v>
      </c>
      <c r="F1005" s="13">
        <f t="shared" si="443"/>
        <v>3.9309683086917735E-3</v>
      </c>
      <c r="G1005" s="18">
        <f t="shared" si="446"/>
        <v>0.69066753707275474</v>
      </c>
      <c r="H1005" s="35">
        <f t="shared" si="447"/>
        <v>0.13671716620539423</v>
      </c>
      <c r="I1005" s="13">
        <f t="shared" si="441"/>
        <v>9.4426108458646088E-2</v>
      </c>
      <c r="J1005" s="13">
        <f t="shared" si="442"/>
        <v>0.38753085486138128</v>
      </c>
      <c r="K1005" s="106"/>
      <c r="AA1005" s="106"/>
    </row>
    <row r="1006" spans="3:27">
      <c r="C1006" s="17">
        <f t="shared" si="444"/>
        <v>85</v>
      </c>
      <c r="D1006" s="13">
        <f t="shared" si="445"/>
        <v>310</v>
      </c>
      <c r="E1006" s="13">
        <f>VLOOKUP(C1006,'Mortality Table'!$A$5:$E$153,IF(SRP_Gender="female",5,4),FALSE)</f>
        <v>4.6164999999999998E-2</v>
      </c>
      <c r="F1006" s="13">
        <f t="shared" si="443"/>
        <v>3.9309683086917735E-3</v>
      </c>
      <c r="G1006" s="18">
        <f t="shared" si="446"/>
        <v>0.68795254487267954</v>
      </c>
      <c r="H1006" s="35">
        <f t="shared" si="447"/>
        <v>0.13671716620539423</v>
      </c>
      <c r="I1006" s="13">
        <f t="shared" si="441"/>
        <v>9.4054922418782064E-2</v>
      </c>
      <c r="J1006" s="13">
        <f t="shared" si="442"/>
        <v>0.38634379743197744</v>
      </c>
      <c r="K1006" s="106"/>
      <c r="AA1006" s="106"/>
    </row>
    <row r="1007" spans="3:27">
      <c r="C1007" s="17">
        <f t="shared" si="444"/>
        <v>85</v>
      </c>
      <c r="D1007" s="13">
        <f t="shared" si="445"/>
        <v>311</v>
      </c>
      <c r="E1007" s="13">
        <f>VLOOKUP(C1007,'Mortality Table'!$A$5:$E$153,IF(SRP_Gender="female",5,4),FALSE)</f>
        <v>4.6164999999999998E-2</v>
      </c>
      <c r="F1007" s="13">
        <f t="shared" si="443"/>
        <v>3.9309683086917735E-3</v>
      </c>
      <c r="G1007" s="18">
        <f t="shared" si="446"/>
        <v>0.68524822522090123</v>
      </c>
      <c r="H1007" s="35">
        <f t="shared" si="447"/>
        <v>0.13671716620539423</v>
      </c>
      <c r="I1007" s="13">
        <f t="shared" si="441"/>
        <v>9.3685195499477375E-2</v>
      </c>
      <c r="J1007" s="13">
        <f t="shared" si="442"/>
        <v>0.38516037611392573</v>
      </c>
      <c r="K1007" s="106"/>
      <c r="AA1007" s="106"/>
    </row>
    <row r="1008" spans="3:27">
      <c r="C1008" s="17">
        <f t="shared" si="444"/>
        <v>85</v>
      </c>
      <c r="D1008" s="13">
        <f t="shared" si="445"/>
        <v>312</v>
      </c>
      <c r="E1008" s="13">
        <f>VLOOKUP(C1008,'Mortality Table'!$A$5:$E$153,IF(SRP_Gender="female",5,4),FALSE)</f>
        <v>4.6164999999999998E-2</v>
      </c>
      <c r="F1008" s="13">
        <f t="shared" si="443"/>
        <v>3.9309683086917735E-3</v>
      </c>
      <c r="G1008" s="18">
        <f t="shared" si="446"/>
        <v>0.68255453616397055</v>
      </c>
      <c r="H1008" s="35">
        <f t="shared" si="447"/>
        <v>0.13671716620539423</v>
      </c>
      <c r="I1008" s="13">
        <f t="shared" si="441"/>
        <v>9.3316921964975333E-2</v>
      </c>
      <c r="J1008" s="13">
        <f t="shared" si="442"/>
        <v>0.38398057976934391</v>
      </c>
      <c r="K1008" s="106"/>
      <c r="AA1008" s="106"/>
    </row>
    <row r="1009" spans="3:27">
      <c r="C1009" s="17">
        <f t="shared" si="444"/>
        <v>86</v>
      </c>
      <c r="D1009" s="13">
        <f t="shared" si="445"/>
        <v>313</v>
      </c>
      <c r="E1009" s="13">
        <f>VLOOKUP(C1009,'Mortality Table'!$A$5:$E$153,IF(SRP_Gender="female",5,4),FALSE)</f>
        <v>5.1714999999999997E-2</v>
      </c>
      <c r="F1009" s="13">
        <f t="shared" si="443"/>
        <v>4.4152397924397402E-3</v>
      </c>
      <c r="G1009" s="18">
        <f t="shared" si="446"/>
        <v>0.67987143591335619</v>
      </c>
      <c r="H1009" s="35">
        <f t="shared" si="447"/>
        <v>0.13945150952950211</v>
      </c>
      <c r="I1009" s="13">
        <f t="shared" si="441"/>
        <v>9.4809098024107669E-2</v>
      </c>
      <c r="J1009" s="13">
        <f t="shared" si="442"/>
        <v>0.38280439729446741</v>
      </c>
      <c r="K1009" s="106"/>
      <c r="AA1009" s="106"/>
    </row>
    <row r="1010" spans="3:27">
      <c r="C1010" s="17">
        <f t="shared" si="444"/>
        <v>86</v>
      </c>
      <c r="D1010" s="13">
        <f t="shared" si="445"/>
        <v>314</v>
      </c>
      <c r="E1010" s="13">
        <f>VLOOKUP(C1010,'Mortality Table'!$A$5:$E$153,IF(SRP_Gender="female",5,4),FALSE)</f>
        <v>5.1714999999999997E-2</v>
      </c>
      <c r="F1010" s="13">
        <f t="shared" si="443"/>
        <v>4.4152397924397402E-3</v>
      </c>
      <c r="G1010" s="18">
        <f t="shared" si="446"/>
        <v>0.67686964049576837</v>
      </c>
      <c r="H1010" s="35">
        <f t="shared" si="447"/>
        <v>0.13945150952950211</v>
      </c>
      <c r="I1010" s="13">
        <f t="shared" si="441"/>
        <v>9.4390493121826305E-2</v>
      </c>
      <c r="J1010" s="13">
        <f t="shared" si="442"/>
        <v>0.38163181761954212</v>
      </c>
      <c r="K1010" s="106"/>
      <c r="AA1010" s="106"/>
    </row>
    <row r="1011" spans="3:27">
      <c r="C1011" s="17">
        <f t="shared" si="444"/>
        <v>86</v>
      </c>
      <c r="D1011" s="13">
        <f t="shared" si="445"/>
        <v>315</v>
      </c>
      <c r="E1011" s="13">
        <f>VLOOKUP(C1011,'Mortality Table'!$A$5:$E$153,IF(SRP_Gender="female",5,4),FALSE)</f>
        <v>5.1714999999999997E-2</v>
      </c>
      <c r="F1011" s="13">
        <f t="shared" si="443"/>
        <v>4.4152397924397402E-3</v>
      </c>
      <c r="G1011" s="18">
        <f t="shared" si="446"/>
        <v>0.6738810987247571</v>
      </c>
      <c r="H1011" s="35">
        <f t="shared" si="447"/>
        <v>0.13945150952950211</v>
      </c>
      <c r="I1011" s="13">
        <f t="shared" si="441"/>
        <v>9.3973736460566823E-2</v>
      </c>
      <c r="J1011" s="13">
        <f t="shared" si="442"/>
        <v>0.38046282970872342</v>
      </c>
      <c r="K1011" s="106"/>
      <c r="AA1011" s="106"/>
    </row>
    <row r="1012" spans="3:27">
      <c r="C1012" s="17">
        <f t="shared" si="444"/>
        <v>86</v>
      </c>
      <c r="D1012" s="13">
        <f t="shared" si="445"/>
        <v>316</v>
      </c>
      <c r="E1012" s="13">
        <f>VLOOKUP(C1012,'Mortality Table'!$A$5:$E$153,IF(SRP_Gender="female",5,4),FALSE)</f>
        <v>5.1714999999999997E-2</v>
      </c>
      <c r="F1012" s="13">
        <f t="shared" si="443"/>
        <v>4.4152397924397402E-3</v>
      </c>
      <c r="G1012" s="18">
        <f t="shared" si="446"/>
        <v>0.67090575208229453</v>
      </c>
      <c r="H1012" s="35">
        <f t="shared" si="447"/>
        <v>0.13945150952950211</v>
      </c>
      <c r="I1012" s="13">
        <f t="shared" si="441"/>
        <v>9.3558819879901875E-2</v>
      </c>
      <c r="J1012" s="13">
        <f t="shared" si="442"/>
        <v>0.37929742255997062</v>
      </c>
      <c r="K1012" s="106"/>
      <c r="AA1012" s="106"/>
    </row>
    <row r="1013" spans="3:27">
      <c r="C1013" s="17">
        <f t="shared" si="444"/>
        <v>86</v>
      </c>
      <c r="D1013" s="13">
        <f t="shared" si="445"/>
        <v>317</v>
      </c>
      <c r="E1013" s="13">
        <f>VLOOKUP(C1013,'Mortality Table'!$A$5:$E$153,IF(SRP_Gender="female",5,4),FALSE)</f>
        <v>5.1714999999999997E-2</v>
      </c>
      <c r="F1013" s="13">
        <f t="shared" si="443"/>
        <v>4.4152397924397402E-3</v>
      </c>
      <c r="G1013" s="18">
        <f t="shared" si="446"/>
        <v>0.6679435423087241</v>
      </c>
      <c r="H1013" s="35">
        <f t="shared" si="447"/>
        <v>0.13945150952950211</v>
      </c>
      <c r="I1013" s="13">
        <f t="shared" si="441"/>
        <v>9.3145735255434431E-2</v>
      </c>
      <c r="J1013" s="13">
        <f t="shared" si="442"/>
        <v>0.37813558520494345</v>
      </c>
      <c r="K1013" s="106"/>
      <c r="AA1013" s="106"/>
    </row>
    <row r="1014" spans="3:27">
      <c r="C1014" s="17">
        <f t="shared" si="444"/>
        <v>86</v>
      </c>
      <c r="D1014" s="13">
        <f t="shared" si="445"/>
        <v>318</v>
      </c>
      <c r="E1014" s="13">
        <f>VLOOKUP(C1014,'Mortality Table'!$A$5:$E$153,IF(SRP_Gender="female",5,4),FALSE)</f>
        <v>5.1714999999999997E-2</v>
      </c>
      <c r="F1014" s="13">
        <f t="shared" si="443"/>
        <v>4.4152397924397402E-3</v>
      </c>
      <c r="G1014" s="18">
        <f t="shared" si="446"/>
        <v>0.66499441140161941</v>
      </c>
      <c r="H1014" s="35">
        <f t="shared" si="447"/>
        <v>0.13945150952950211</v>
      </c>
      <c r="I1014" s="13">
        <f t="shared" si="441"/>
        <v>9.2734474498638572E-2</v>
      </c>
      <c r="J1014" s="13">
        <f t="shared" si="442"/>
        <v>0.37697730670889945</v>
      </c>
      <c r="K1014" s="106"/>
      <c r="AA1014" s="106"/>
    </row>
    <row r="1015" spans="3:27">
      <c r="C1015" s="17">
        <f t="shared" si="444"/>
        <v>86</v>
      </c>
      <c r="D1015" s="13">
        <f t="shared" si="445"/>
        <v>319</v>
      </c>
      <c r="E1015" s="13">
        <f>VLOOKUP(C1015,'Mortality Table'!$A$5:$E$153,IF(SRP_Gender="female",5,4),FALSE)</f>
        <v>5.1714999999999997E-2</v>
      </c>
      <c r="F1015" s="13">
        <f t="shared" si="443"/>
        <v>4.4152397924397402E-3</v>
      </c>
      <c r="G1015" s="18">
        <f t="shared" si="446"/>
        <v>0.66205830161464896</v>
      </c>
      <c r="H1015" s="35">
        <f t="shared" si="447"/>
        <v>0.13945150952950211</v>
      </c>
      <c r="I1015" s="13">
        <f t="shared" si="441"/>
        <v>9.2325029556701202E-2</v>
      </c>
      <c r="J1015" s="13">
        <f t="shared" si="442"/>
        <v>0.37582257617059039</v>
      </c>
      <c r="K1015" s="106"/>
      <c r="AA1015" s="106"/>
    </row>
    <row r="1016" spans="3:27">
      <c r="C1016" s="17">
        <f t="shared" si="444"/>
        <v>86</v>
      </c>
      <c r="D1016" s="13">
        <f t="shared" si="445"/>
        <v>320</v>
      </c>
      <c r="E1016" s="13">
        <f>VLOOKUP(C1016,'Mortality Table'!$A$5:$E$153,IF(SRP_Gender="female",5,4),FALSE)</f>
        <v>5.1714999999999997E-2</v>
      </c>
      <c r="F1016" s="13">
        <f t="shared" si="443"/>
        <v>4.4152397924397402E-3</v>
      </c>
      <c r="G1016" s="18">
        <f t="shared" si="446"/>
        <v>0.65913515545644485</v>
      </c>
      <c r="H1016" s="35">
        <f t="shared" si="447"/>
        <v>0.13945150952950211</v>
      </c>
      <c r="I1016" s="13">
        <f t="shared" si="441"/>
        <v>9.1917392412364268E-2</v>
      </c>
      <c r="J1016" s="13">
        <f t="shared" si="442"/>
        <v>0.37467138272216011</v>
      </c>
      <c r="K1016" s="106"/>
      <c r="AA1016" s="106"/>
    </row>
    <row r="1017" spans="3:27">
      <c r="C1017" s="17">
        <f t="shared" si="444"/>
        <v>86</v>
      </c>
      <c r="D1017" s="13">
        <f t="shared" si="445"/>
        <v>321</v>
      </c>
      <c r="E1017" s="13">
        <f>VLOOKUP(C1017,'Mortality Table'!$A$5:$E$153,IF(SRP_Gender="female",5,4),FALSE)</f>
        <v>5.1714999999999997E-2</v>
      </c>
      <c r="F1017" s="13">
        <f t="shared" si="443"/>
        <v>4.4152397924397402E-3</v>
      </c>
      <c r="G1017" s="18">
        <f t="shared" si="446"/>
        <v>0.65622491568947761</v>
      </c>
      <c r="H1017" s="35">
        <f t="shared" si="447"/>
        <v>0.13945150952950211</v>
      </c>
      <c r="I1017" s="13">
        <f t="shared" ref="I1017:I1080" si="448">IF(D1017&lt;=12*SRP_Annuity_Gtee_Period,H1017,H1017*G1017)</f>
        <v>9.1511555083767904E-2</v>
      </c>
      <c r="J1017" s="13">
        <f t="shared" ref="J1017:J1080" si="449">((1+$D$79)^(-D1017/12))</f>
        <v>0.37352371552904218</v>
      </c>
      <c r="K1017" s="106"/>
      <c r="AA1017" s="106"/>
    </row>
    <row r="1018" spans="3:27">
      <c r="C1018" s="17">
        <f t="shared" si="444"/>
        <v>86</v>
      </c>
      <c r="D1018" s="13">
        <f t="shared" si="445"/>
        <v>322</v>
      </c>
      <c r="E1018" s="13">
        <f>VLOOKUP(C1018,'Mortality Table'!$A$5:$E$153,IF(SRP_Gender="female",5,4),FALSE)</f>
        <v>5.1714999999999997E-2</v>
      </c>
      <c r="F1018" s="13">
        <f t="shared" ref="F1018:F1081" si="450">1-(1-E1018)^(1/12)</f>
        <v>4.4152397924397402E-3</v>
      </c>
      <c r="G1018" s="18">
        <f t="shared" si="446"/>
        <v>0.65332752532893501</v>
      </c>
      <c r="H1018" s="35">
        <f t="shared" si="447"/>
        <v>0.13945150952950211</v>
      </c>
      <c r="I1018" s="13">
        <f t="shared" si="448"/>
        <v>9.1107509624294009E-2</v>
      </c>
      <c r="J1018" s="13">
        <f t="shared" si="449"/>
        <v>0.37237956378985776</v>
      </c>
      <c r="K1018" s="106"/>
      <c r="AA1018" s="106"/>
    </row>
    <row r="1019" spans="3:27">
      <c r="C1019" s="17">
        <f t="shared" ref="C1019:C1082" si="451">IF(MOD(D1019,12)=1,C1018+1,C1018)</f>
        <v>86</v>
      </c>
      <c r="D1019" s="13">
        <f t="shared" ref="D1019:D1082" si="452">D1018+1</f>
        <v>323</v>
      </c>
      <c r="E1019" s="13">
        <f>VLOOKUP(C1019,'Mortality Table'!$A$5:$E$153,IF(SRP_Gender="female",5,4),FALSE)</f>
        <v>5.1714999999999997E-2</v>
      </c>
      <c r="F1019" s="13">
        <f t="shared" si="450"/>
        <v>4.4152397924397402E-3</v>
      </c>
      <c r="G1019" s="18">
        <f t="shared" ref="G1019:G1082" si="453">G1018*(1-F1018)</f>
        <v>0.65044292764160649</v>
      </c>
      <c r="H1019" s="35">
        <f t="shared" ref="H1019:H1082" si="454">IF(MOD(D1019,12)=1,H1018*(1+$D$81),H1018)</f>
        <v>0.13945150952950211</v>
      </c>
      <c r="I1019" s="13">
        <f t="shared" si="448"/>
        <v>9.0705248122410737E-2</v>
      </c>
      <c r="J1019" s="13">
        <f t="shared" si="449"/>
        <v>0.37123891673631398</v>
      </c>
      <c r="K1019" s="106"/>
      <c r="AA1019" s="106"/>
    </row>
    <row r="1020" spans="3:27">
      <c r="C1020" s="17">
        <f t="shared" si="451"/>
        <v>86</v>
      </c>
      <c r="D1020" s="13">
        <f t="shared" si="452"/>
        <v>324</v>
      </c>
      <c r="E1020" s="13">
        <f>VLOOKUP(C1020,'Mortality Table'!$A$5:$E$153,IF(SRP_Gender="female",5,4),FALSE)</f>
        <v>5.1714999999999997E-2</v>
      </c>
      <c r="F1020" s="13">
        <f t="shared" si="450"/>
        <v>4.4152397924397402E-3</v>
      </c>
      <c r="G1020" s="18">
        <f t="shared" si="453"/>
        <v>0.64757106614477222</v>
      </c>
      <c r="H1020" s="35">
        <f t="shared" si="454"/>
        <v>0.13945150952950211</v>
      </c>
      <c r="I1020" s="13">
        <f t="shared" si="448"/>
        <v>9.0304762701517549E-2</v>
      </c>
      <c r="J1020" s="13">
        <f t="shared" si="449"/>
        <v>0.3701017636331026</v>
      </c>
      <c r="K1020" s="106"/>
      <c r="AA1020" s="106"/>
    </row>
    <row r="1021" spans="3:27">
      <c r="C1021" s="17">
        <f t="shared" si="451"/>
        <v>87</v>
      </c>
      <c r="D1021" s="13">
        <f t="shared" si="452"/>
        <v>325</v>
      </c>
      <c r="E1021" s="13">
        <f>VLOOKUP(C1021,'Mortality Table'!$A$5:$E$153,IF(SRP_Gender="female",5,4),FALSE)</f>
        <v>5.756E-2</v>
      </c>
      <c r="F1021" s="13">
        <f t="shared" si="450"/>
        <v>4.928068873406688E-3</v>
      </c>
      <c r="G1021" s="18">
        <f t="shared" si="453"/>
        <v>0.64471188460509721</v>
      </c>
      <c r="H1021" s="35">
        <f t="shared" si="454"/>
        <v>0.14224053972009215</v>
      </c>
      <c r="I1021" s="13">
        <f t="shared" si="448"/>
        <v>9.1704166430186793E-2</v>
      </c>
      <c r="J1021" s="13">
        <f t="shared" si="449"/>
        <v>0.36896809377779988</v>
      </c>
      <c r="K1021" s="106"/>
      <c r="AA1021" s="106"/>
    </row>
    <row r="1022" spans="3:27">
      <c r="C1022" s="17">
        <f t="shared" si="451"/>
        <v>87</v>
      </c>
      <c r="D1022" s="13">
        <f t="shared" si="452"/>
        <v>326</v>
      </c>
      <c r="E1022" s="13">
        <f>VLOOKUP(C1022,'Mortality Table'!$A$5:$E$153,IF(SRP_Gender="female",5,4),FALSE)</f>
        <v>5.756E-2</v>
      </c>
      <c r="F1022" s="13">
        <f t="shared" si="450"/>
        <v>4.928068873406688E-3</v>
      </c>
      <c r="G1022" s="18">
        <f t="shared" si="453"/>
        <v>0.6415347000342595</v>
      </c>
      <c r="H1022" s="35">
        <f t="shared" si="454"/>
        <v>0.14224053972009215</v>
      </c>
      <c r="I1022" s="13">
        <f t="shared" si="448"/>
        <v>9.1252241982040488E-2</v>
      </c>
      <c r="J1022" s="13">
        <f t="shared" si="449"/>
        <v>0.36783789650076348</v>
      </c>
      <c r="K1022" s="106"/>
      <c r="AA1022" s="106"/>
    </row>
    <row r="1023" spans="3:27">
      <c r="C1023" s="17">
        <f t="shared" si="451"/>
        <v>87</v>
      </c>
      <c r="D1023" s="13">
        <f t="shared" si="452"/>
        <v>327</v>
      </c>
      <c r="E1023" s="13">
        <f>VLOOKUP(C1023,'Mortality Table'!$A$5:$E$153,IF(SRP_Gender="female",5,4),FALSE)</f>
        <v>5.756E-2</v>
      </c>
      <c r="F1023" s="13">
        <f t="shared" si="450"/>
        <v>4.928068873406688E-3</v>
      </c>
      <c r="G1023" s="18">
        <f t="shared" si="453"/>
        <v>0.63837317284781037</v>
      </c>
      <c r="H1023" s="35">
        <f t="shared" si="454"/>
        <v>0.14224053972009215</v>
      </c>
      <c r="I1023" s="13">
        <f t="shared" si="448"/>
        <v>9.0802544648700217E-2</v>
      </c>
      <c r="J1023" s="13">
        <f t="shared" si="449"/>
        <v>0.3667111611650346</v>
      </c>
      <c r="K1023" s="106"/>
      <c r="AA1023" s="106"/>
    </row>
    <row r="1024" spans="3:27">
      <c r="C1024" s="17">
        <f t="shared" si="451"/>
        <v>87</v>
      </c>
      <c r="D1024" s="13">
        <f t="shared" si="452"/>
        <v>328</v>
      </c>
      <c r="E1024" s="13">
        <f>VLOOKUP(C1024,'Mortality Table'!$A$5:$E$153,IF(SRP_Gender="female",5,4),FALSE)</f>
        <v>5.756E-2</v>
      </c>
      <c r="F1024" s="13">
        <f t="shared" si="450"/>
        <v>4.928068873406688E-3</v>
      </c>
      <c r="G1024" s="18">
        <f t="shared" si="453"/>
        <v>0.63522722588508118</v>
      </c>
      <c r="H1024" s="35">
        <f t="shared" si="454"/>
        <v>0.14224053972009215</v>
      </c>
      <c r="I1024" s="13">
        <f t="shared" si="448"/>
        <v>9.0355063454790843E-2</v>
      </c>
      <c r="J1024" s="13">
        <f t="shared" si="449"/>
        <v>0.3655878771662367</v>
      </c>
      <c r="K1024" s="106"/>
      <c r="AA1024" s="106"/>
    </row>
    <row r="1025" spans="3:27">
      <c r="C1025" s="17">
        <f t="shared" si="451"/>
        <v>87</v>
      </c>
      <c r="D1025" s="13">
        <f t="shared" si="452"/>
        <v>329</v>
      </c>
      <c r="E1025" s="13">
        <f>VLOOKUP(C1025,'Mortality Table'!$A$5:$E$153,IF(SRP_Gender="female",5,4),FALSE)</f>
        <v>5.756E-2</v>
      </c>
      <c r="F1025" s="13">
        <f t="shared" si="450"/>
        <v>4.928068873406688E-3</v>
      </c>
      <c r="G1025" s="18">
        <f t="shared" si="453"/>
        <v>0.63209678236565647</v>
      </c>
      <c r="H1025" s="35">
        <f t="shared" si="454"/>
        <v>0.14224053972009215</v>
      </c>
      <c r="I1025" s="13">
        <f t="shared" si="448"/>
        <v>8.9909787479024603E-2</v>
      </c>
      <c r="J1025" s="13">
        <f t="shared" si="449"/>
        <v>0.36446803393247562</v>
      </c>
      <c r="K1025" s="106"/>
      <c r="AA1025" s="106"/>
    </row>
    <row r="1026" spans="3:27">
      <c r="C1026" s="17">
        <f t="shared" si="451"/>
        <v>87</v>
      </c>
      <c r="D1026" s="13">
        <f t="shared" si="452"/>
        <v>330</v>
      </c>
      <c r="E1026" s="13">
        <f>VLOOKUP(C1026,'Mortality Table'!$A$5:$E$153,IF(SRP_Gender="female",5,4),FALSE)</f>
        <v>5.756E-2</v>
      </c>
      <c r="F1026" s="13">
        <f t="shared" si="450"/>
        <v>4.928068873406688E-3</v>
      </c>
      <c r="G1026" s="18">
        <f t="shared" si="453"/>
        <v>0.62898176588749977</v>
      </c>
      <c r="H1026" s="35">
        <f t="shared" si="454"/>
        <v>0.14224053972009215</v>
      </c>
      <c r="I1026" s="13">
        <f t="shared" si="448"/>
        <v>8.9466705853934611E-2</v>
      </c>
      <c r="J1026" s="13">
        <f t="shared" si="449"/>
        <v>0.36335162092424039</v>
      </c>
      <c r="K1026" s="106"/>
      <c r="AA1026" s="106"/>
    </row>
    <row r="1027" spans="3:27">
      <c r="C1027" s="17">
        <f t="shared" si="451"/>
        <v>87</v>
      </c>
      <c r="D1027" s="13">
        <f t="shared" si="452"/>
        <v>331</v>
      </c>
      <c r="E1027" s="13">
        <f>VLOOKUP(C1027,'Mortality Table'!$A$5:$E$153,IF(SRP_Gender="female",5,4),FALSE)</f>
        <v>5.756E-2</v>
      </c>
      <c r="F1027" s="13">
        <f t="shared" si="450"/>
        <v>4.928068873406688E-3</v>
      </c>
      <c r="G1027" s="18">
        <f t="shared" si="453"/>
        <v>0.62588210042508918</v>
      </c>
      <c r="H1027" s="35">
        <f t="shared" si="454"/>
        <v>0.14224053972009215</v>
      </c>
      <c r="I1027" s="13">
        <f t="shared" si="448"/>
        <v>8.9025807765609602E-2</v>
      </c>
      <c r="J1027" s="13">
        <f t="shared" si="449"/>
        <v>0.36223862763430392</v>
      </c>
      <c r="K1027" s="106"/>
      <c r="AA1027" s="106"/>
    </row>
    <row r="1028" spans="3:27">
      <c r="C1028" s="17">
        <f t="shared" si="451"/>
        <v>87</v>
      </c>
      <c r="D1028" s="13">
        <f t="shared" si="452"/>
        <v>332</v>
      </c>
      <c r="E1028" s="13">
        <f>VLOOKUP(C1028,'Mortality Table'!$A$5:$E$153,IF(SRP_Gender="female",5,4),FALSE)</f>
        <v>5.756E-2</v>
      </c>
      <c r="F1028" s="13">
        <f t="shared" si="450"/>
        <v>4.928068873406688E-3</v>
      </c>
      <c r="G1028" s="18">
        <f t="shared" si="453"/>
        <v>0.62279771032756193</v>
      </c>
      <c r="H1028" s="35">
        <f t="shared" si="454"/>
        <v>0.14224053972009215</v>
      </c>
      <c r="I1028" s="13">
        <f t="shared" si="448"/>
        <v>8.8587082453430013E-2</v>
      </c>
      <c r="J1028" s="13">
        <f t="shared" si="449"/>
        <v>0.3611290435876241</v>
      </c>
      <c r="K1028" s="106"/>
      <c r="AA1028" s="106"/>
    </row>
    <row r="1029" spans="3:27">
      <c r="C1029" s="17">
        <f t="shared" si="451"/>
        <v>87</v>
      </c>
      <c r="D1029" s="13">
        <f t="shared" si="452"/>
        <v>333</v>
      </c>
      <c r="E1029" s="13">
        <f>VLOOKUP(C1029,'Mortality Table'!$A$5:$E$153,IF(SRP_Gender="female",5,4),FALSE)</f>
        <v>5.756E-2</v>
      </c>
      <c r="F1029" s="13">
        <f t="shared" si="450"/>
        <v>4.928068873406688E-3</v>
      </c>
      <c r="G1029" s="18">
        <f t="shared" si="453"/>
        <v>0.61972852031686776</v>
      </c>
      <c r="H1029" s="35">
        <f t="shared" si="454"/>
        <v>0.14224053972009215</v>
      </c>
      <c r="I1029" s="13">
        <f t="shared" si="448"/>
        <v>8.8150519209805364E-2</v>
      </c>
      <c r="J1029" s="13">
        <f t="shared" si="449"/>
        <v>0.36002285834124537</v>
      </c>
      <c r="K1029" s="106"/>
      <c r="AA1029" s="106"/>
    </row>
    <row r="1030" spans="3:27">
      <c r="C1030" s="17">
        <f t="shared" si="451"/>
        <v>87</v>
      </c>
      <c r="D1030" s="13">
        <f t="shared" si="452"/>
        <v>334</v>
      </c>
      <c r="E1030" s="13">
        <f>VLOOKUP(C1030,'Mortality Table'!$A$5:$E$153,IF(SRP_Gender="female",5,4),FALSE)</f>
        <v>5.756E-2</v>
      </c>
      <c r="F1030" s="13">
        <f t="shared" si="450"/>
        <v>4.928068873406688E-3</v>
      </c>
      <c r="G1030" s="18">
        <f t="shared" si="453"/>
        <v>0.61667445548593181</v>
      </c>
      <c r="H1030" s="35">
        <f t="shared" si="454"/>
        <v>0.14224053972009215</v>
      </c>
      <c r="I1030" s="13">
        <f t="shared" si="448"/>
        <v>8.771610737991288E-2</v>
      </c>
      <c r="J1030" s="13">
        <f t="shared" si="449"/>
        <v>0.35892006148420014</v>
      </c>
      <c r="K1030" s="106"/>
      <c r="AA1030" s="106"/>
    </row>
    <row r="1031" spans="3:27">
      <c r="C1031" s="17">
        <f t="shared" si="451"/>
        <v>87</v>
      </c>
      <c r="D1031" s="13">
        <f t="shared" si="452"/>
        <v>335</v>
      </c>
      <c r="E1031" s="13">
        <f>VLOOKUP(C1031,'Mortality Table'!$A$5:$E$153,IF(SRP_Gender="female",5,4),FALSE)</f>
        <v>5.756E-2</v>
      </c>
      <c r="F1031" s="13">
        <f t="shared" si="450"/>
        <v>4.928068873406688E-3</v>
      </c>
      <c r="G1031" s="18">
        <f t="shared" si="453"/>
        <v>0.61363544129682657</v>
      </c>
      <c r="H1031" s="35">
        <f t="shared" si="454"/>
        <v>0.14224053972009215</v>
      </c>
      <c r="I1031" s="13">
        <f t="shared" si="448"/>
        <v>8.7283836361437536E-2</v>
      </c>
      <c r="J1031" s="13">
        <f t="shared" si="449"/>
        <v>0.35782064263741098</v>
      </c>
      <c r="K1031" s="106"/>
      <c r="AA1031" s="106"/>
    </row>
    <row r="1032" spans="3:27">
      <c r="C1032" s="17">
        <f t="shared" si="451"/>
        <v>87</v>
      </c>
      <c r="D1032" s="13">
        <f t="shared" si="452"/>
        <v>336</v>
      </c>
      <c r="E1032" s="13">
        <f>VLOOKUP(C1032,'Mortality Table'!$A$5:$E$153,IF(SRP_Gender="female",5,4),FALSE)</f>
        <v>5.756E-2</v>
      </c>
      <c r="F1032" s="13">
        <f t="shared" si="450"/>
        <v>4.928068873406688E-3</v>
      </c>
      <c r="G1032" s="18">
        <f t="shared" si="453"/>
        <v>0.61061140357895249</v>
      </c>
      <c r="H1032" s="35">
        <f t="shared" si="454"/>
        <v>0.14224053972009215</v>
      </c>
      <c r="I1032" s="13">
        <f t="shared" si="448"/>
        <v>8.6853695604313205E-2</v>
      </c>
      <c r="J1032" s="13">
        <f t="shared" si="449"/>
        <v>0.3567245914535927</v>
      </c>
      <c r="K1032" s="106"/>
      <c r="AA1032" s="106"/>
    </row>
    <row r="1033" spans="3:27">
      <c r="C1033" s="17">
        <f t="shared" si="451"/>
        <v>88</v>
      </c>
      <c r="D1033" s="13">
        <f t="shared" si="452"/>
        <v>337</v>
      </c>
      <c r="E1033" s="13">
        <f>VLOOKUP(C1033,'Mortality Table'!$A$5:$E$153,IF(SRP_Gender="female",5,4),FALSE)</f>
        <v>6.3814999999999997E-2</v>
      </c>
      <c r="F1033" s="13">
        <f t="shared" si="450"/>
        <v>5.4801101495682847E-3</v>
      </c>
      <c r="G1033" s="18">
        <f t="shared" si="453"/>
        <v>0.60760226852722787</v>
      </c>
      <c r="H1033" s="35">
        <f t="shared" si="454"/>
        <v>0.145085350514494</v>
      </c>
      <c r="I1033" s="13">
        <f t="shared" si="448"/>
        <v>8.8154188102674572E-2</v>
      </c>
      <c r="J1033" s="13">
        <f t="shared" si="449"/>
        <v>0.35563189761715647</v>
      </c>
      <c r="K1033" s="106"/>
      <c r="AA1033" s="106"/>
    </row>
    <row r="1034" spans="3:27">
      <c r="C1034" s="17">
        <f t="shared" si="451"/>
        <v>88</v>
      </c>
      <c r="D1034" s="13">
        <f t="shared" si="452"/>
        <v>338</v>
      </c>
      <c r="E1034" s="13">
        <f>VLOOKUP(C1034,'Mortality Table'!$A$5:$E$153,IF(SRP_Gender="female",5,4),FALSE)</f>
        <v>6.3814999999999997E-2</v>
      </c>
      <c r="F1034" s="13">
        <f t="shared" si="450"/>
        <v>5.4801101495682847E-3</v>
      </c>
      <c r="G1034" s="18">
        <f t="shared" si="453"/>
        <v>0.6042725411685711</v>
      </c>
      <c r="H1034" s="35">
        <f t="shared" si="454"/>
        <v>0.145085350514494</v>
      </c>
      <c r="I1034" s="13">
        <f t="shared" si="448"/>
        <v>8.7671093441726147E-2</v>
      </c>
      <c r="J1034" s="13">
        <f t="shared" si="449"/>
        <v>0.35454255084410935</v>
      </c>
      <c r="K1034" s="106"/>
      <c r="AA1034" s="106"/>
    </row>
    <row r="1035" spans="3:27">
      <c r="C1035" s="17">
        <f t="shared" si="451"/>
        <v>88</v>
      </c>
      <c r="D1035" s="13">
        <f t="shared" si="452"/>
        <v>339</v>
      </c>
      <c r="E1035" s="13">
        <f>VLOOKUP(C1035,'Mortality Table'!$A$5:$E$153,IF(SRP_Gender="female",5,4),FALSE)</f>
        <v>6.3814999999999997E-2</v>
      </c>
      <c r="F1035" s="13">
        <f t="shared" si="450"/>
        <v>5.4801101495682847E-3</v>
      </c>
      <c r="G1035" s="18">
        <f t="shared" si="453"/>
        <v>0.60096106108260783</v>
      </c>
      <c r="H1035" s="35">
        <f t="shared" si="454"/>
        <v>0.145085350514494</v>
      </c>
      <c r="I1035" s="13">
        <f t="shared" si="448"/>
        <v>8.7190646192732396E-2</v>
      </c>
      <c r="J1035" s="13">
        <f t="shared" si="449"/>
        <v>0.35345654088196105</v>
      </c>
      <c r="K1035" s="106"/>
      <c r="AA1035" s="106"/>
    </row>
    <row r="1036" spans="3:27">
      <c r="C1036" s="17">
        <f t="shared" si="451"/>
        <v>88</v>
      </c>
      <c r="D1036" s="13">
        <f t="shared" si="452"/>
        <v>340</v>
      </c>
      <c r="E1036" s="13">
        <f>VLOOKUP(C1036,'Mortality Table'!$A$5:$E$153,IF(SRP_Gender="female",5,4),FALSE)</f>
        <v>6.3814999999999997E-2</v>
      </c>
      <c r="F1036" s="13">
        <f t="shared" si="450"/>
        <v>5.4801101495682847E-3</v>
      </c>
      <c r="G1036" s="18">
        <f t="shared" si="453"/>
        <v>0.59766772827227366</v>
      </c>
      <c r="H1036" s="35">
        <f t="shared" si="454"/>
        <v>0.145085350514494</v>
      </c>
      <c r="I1036" s="13">
        <f t="shared" si="448"/>
        <v>8.6712831847584187E-2</v>
      </c>
      <c r="J1036" s="13">
        <f t="shared" si="449"/>
        <v>0.35237385750962569</v>
      </c>
      <c r="K1036" s="106"/>
      <c r="AA1036" s="106"/>
    </row>
    <row r="1037" spans="3:27">
      <c r="C1037" s="17">
        <f t="shared" si="451"/>
        <v>88</v>
      </c>
      <c r="D1037" s="13">
        <f t="shared" si="452"/>
        <v>341</v>
      </c>
      <c r="E1037" s="13">
        <f>VLOOKUP(C1037,'Mortality Table'!$A$5:$E$153,IF(SRP_Gender="female",5,4),FALSE)</f>
        <v>6.3814999999999997E-2</v>
      </c>
      <c r="F1037" s="13">
        <f t="shared" si="450"/>
        <v>5.4801101495682847E-3</v>
      </c>
      <c r="G1037" s="18">
        <f t="shared" si="453"/>
        <v>0.59439244328849938</v>
      </c>
      <c r="H1037" s="35">
        <f t="shared" si="454"/>
        <v>0.145085350514494</v>
      </c>
      <c r="I1037" s="13">
        <f t="shared" si="448"/>
        <v>8.6237635977678431E-2</v>
      </c>
      <c r="J1037" s="13">
        <f t="shared" si="449"/>
        <v>0.35129449053732581</v>
      </c>
      <c r="K1037" s="106"/>
      <c r="AA1037" s="106"/>
    </row>
    <row r="1038" spans="3:27">
      <c r="C1038" s="17">
        <f t="shared" si="451"/>
        <v>88</v>
      </c>
      <c r="D1038" s="13">
        <f t="shared" si="452"/>
        <v>342</v>
      </c>
      <c r="E1038" s="13">
        <f>VLOOKUP(C1038,'Mortality Table'!$A$5:$E$153,IF(SRP_Gender="female",5,4),FALSE)</f>
        <v>6.3814999999999997E-2</v>
      </c>
      <c r="F1038" s="13">
        <f t="shared" si="450"/>
        <v>5.4801101495682847E-3</v>
      </c>
      <c r="G1038" s="18">
        <f t="shared" si="453"/>
        <v>0.59113510722720741</v>
      </c>
      <c r="H1038" s="35">
        <f t="shared" si="454"/>
        <v>0.145085350514494</v>
      </c>
      <c r="I1038" s="13">
        <f t="shared" si="448"/>
        <v>8.5765044233482385E-2</v>
      </c>
      <c r="J1038" s="13">
        <f t="shared" si="449"/>
        <v>0.3502184298064967</v>
      </c>
      <c r="K1038" s="106"/>
      <c r="AA1038" s="106"/>
    </row>
    <row r="1039" spans="3:27">
      <c r="C1039" s="17">
        <f t="shared" si="451"/>
        <v>88</v>
      </c>
      <c r="D1039" s="13">
        <f t="shared" si="452"/>
        <v>343</v>
      </c>
      <c r="E1039" s="13">
        <f>VLOOKUP(C1039,'Mortality Table'!$A$5:$E$153,IF(SRP_Gender="female",5,4),FALSE)</f>
        <v>6.3814999999999997E-2</v>
      </c>
      <c r="F1039" s="13">
        <f t="shared" si="450"/>
        <v>5.4801101495682847E-3</v>
      </c>
      <c r="G1039" s="18">
        <f t="shared" si="453"/>
        <v>0.58789562172632548</v>
      </c>
      <c r="H1039" s="35">
        <f t="shared" si="454"/>
        <v>0.145085350514494</v>
      </c>
      <c r="I1039" s="13">
        <f t="shared" si="448"/>
        <v>8.5295042344100305E-2</v>
      </c>
      <c r="J1039" s="13">
        <f t="shared" si="449"/>
        <v>0.34914566518969048</v>
      </c>
      <c r="K1039" s="106"/>
      <c r="AA1039" s="106"/>
    </row>
    <row r="1040" spans="3:27">
      <c r="C1040" s="17">
        <f t="shared" si="451"/>
        <v>88</v>
      </c>
      <c r="D1040" s="13">
        <f t="shared" si="452"/>
        <v>344</v>
      </c>
      <c r="E1040" s="13">
        <f>VLOOKUP(C1040,'Mortality Table'!$A$5:$E$153,IF(SRP_Gender="female",5,4),FALSE)</f>
        <v>6.3814999999999997E-2</v>
      </c>
      <c r="F1040" s="13">
        <f t="shared" si="450"/>
        <v>5.4801101495682847E-3</v>
      </c>
      <c r="G1040" s="18">
        <f t="shared" si="453"/>
        <v>0.58467388896281625</v>
      </c>
      <c r="H1040" s="35">
        <f t="shared" si="454"/>
        <v>0.145085350514494</v>
      </c>
      <c r="I1040" s="13">
        <f t="shared" si="448"/>
        <v>8.4827616116842544E-2</v>
      </c>
      <c r="J1040" s="13">
        <f t="shared" si="449"/>
        <v>0.34807618659048106</v>
      </c>
      <c r="K1040" s="106"/>
      <c r="AA1040" s="106"/>
    </row>
    <row r="1041" spans="3:27">
      <c r="C1041" s="17">
        <f t="shared" si="451"/>
        <v>88</v>
      </c>
      <c r="D1041" s="13">
        <f t="shared" si="452"/>
        <v>345</v>
      </c>
      <c r="E1041" s="13">
        <f>VLOOKUP(C1041,'Mortality Table'!$A$5:$E$153,IF(SRP_Gender="female",5,4),FALSE)</f>
        <v>6.3814999999999997E-2</v>
      </c>
      <c r="F1041" s="13">
        <f t="shared" si="450"/>
        <v>5.4801101495682847E-3</v>
      </c>
      <c r="G1041" s="18">
        <f t="shared" si="453"/>
        <v>0.58146981164972356</v>
      </c>
      <c r="H1041" s="35">
        <f t="shared" si="454"/>
        <v>0.145085350514494</v>
      </c>
      <c r="I1041" s="13">
        <f t="shared" si="448"/>
        <v>8.4362751436796946E-2</v>
      </c>
      <c r="J1041" s="13">
        <f t="shared" si="449"/>
        <v>0.34700998394336902</v>
      </c>
      <c r="K1041" s="106"/>
      <c r="AA1041" s="106"/>
    </row>
    <row r="1042" spans="3:27">
      <c r="C1042" s="17">
        <f t="shared" si="451"/>
        <v>88</v>
      </c>
      <c r="D1042" s="13">
        <f t="shared" si="452"/>
        <v>346</v>
      </c>
      <c r="E1042" s="13">
        <f>VLOOKUP(C1042,'Mortality Table'!$A$5:$E$153,IF(SRP_Gender="female",5,4),FALSE)</f>
        <v>6.3814999999999997E-2</v>
      </c>
      <c r="F1042" s="13">
        <f t="shared" si="450"/>
        <v>5.4801101495682847E-3</v>
      </c>
      <c r="G1042" s="18">
        <f t="shared" si="453"/>
        <v>0.57828329303323434</v>
      </c>
      <c r="H1042" s="35">
        <f t="shared" si="454"/>
        <v>0.145085350514494</v>
      </c>
      <c r="I1042" s="13">
        <f t="shared" si="448"/>
        <v>8.3900434266402646E-2</v>
      </c>
      <c r="J1042" s="13">
        <f t="shared" si="449"/>
        <v>0.34594704721368685</v>
      </c>
      <c r="K1042" s="106"/>
      <c r="AA1042" s="106"/>
    </row>
    <row r="1043" spans="3:27">
      <c r="C1043" s="17">
        <f t="shared" si="451"/>
        <v>88</v>
      </c>
      <c r="D1043" s="13">
        <f t="shared" si="452"/>
        <v>347</v>
      </c>
      <c r="E1043" s="13">
        <f>VLOOKUP(C1043,'Mortality Table'!$A$5:$E$153,IF(SRP_Gender="female",5,4),FALSE)</f>
        <v>6.3814999999999997E-2</v>
      </c>
      <c r="F1043" s="13">
        <f t="shared" si="450"/>
        <v>5.4801101495682847E-3</v>
      </c>
      <c r="G1043" s="18">
        <f t="shared" si="453"/>
        <v>0.57511423688975716</v>
      </c>
      <c r="H1043" s="35">
        <f t="shared" si="454"/>
        <v>0.145085350514494</v>
      </c>
      <c r="I1043" s="13">
        <f t="shared" si="448"/>
        <v>8.3440650645026149E-2</v>
      </c>
      <c r="J1043" s="13">
        <f t="shared" si="449"/>
        <v>0.34488736639750456</v>
      </c>
      <c r="K1043" s="106"/>
      <c r="AA1043" s="106"/>
    </row>
    <row r="1044" spans="3:27">
      <c r="C1044" s="17">
        <f t="shared" si="451"/>
        <v>88</v>
      </c>
      <c r="D1044" s="13">
        <f t="shared" si="452"/>
        <v>348</v>
      </c>
      <c r="E1044" s="13">
        <f>VLOOKUP(C1044,'Mortality Table'!$A$5:$E$153,IF(SRP_Gender="female",5,4),FALSE)</f>
        <v>6.3814999999999997E-2</v>
      </c>
      <c r="F1044" s="13">
        <f t="shared" si="450"/>
        <v>5.4801101495682847E-3</v>
      </c>
      <c r="G1044" s="18">
        <f t="shared" si="453"/>
        <v>0.57196254752301634</v>
      </c>
      <c r="H1044" s="35">
        <f t="shared" si="454"/>
        <v>0.145085350514494</v>
      </c>
      <c r="I1044" s="13">
        <f t="shared" si="448"/>
        <v>8.2983386688539759E-2</v>
      </c>
      <c r="J1044" s="13">
        <f t="shared" si="449"/>
        <v>0.34383093152153521</v>
      </c>
      <c r="K1044" s="106"/>
      <c r="AA1044" s="106"/>
    </row>
    <row r="1045" spans="3:27">
      <c r="C1045" s="17">
        <f t="shared" si="451"/>
        <v>89</v>
      </c>
      <c r="D1045" s="13">
        <f t="shared" si="452"/>
        <v>349</v>
      </c>
      <c r="E1045" s="13">
        <f>VLOOKUP(C1045,'Mortality Table'!$A$5:$E$153,IF(SRP_Gender="female",5,4),FALSE)</f>
        <v>7.0449999999999999E-2</v>
      </c>
      <c r="F1045" s="13">
        <f t="shared" si="450"/>
        <v>6.0693964208508033E-3</v>
      </c>
      <c r="G1045" s="18">
        <f t="shared" si="453"/>
        <v>0.56882812976116248</v>
      </c>
      <c r="H1045" s="35">
        <f t="shared" si="454"/>
        <v>0.14798705752478389</v>
      </c>
      <c r="I1045" s="13">
        <f t="shared" si="448"/>
        <v>8.4179201160680381E-2</v>
      </c>
      <c r="J1045" s="13">
        <f t="shared" si="449"/>
        <v>0.34277773264304234</v>
      </c>
      <c r="K1045" s="106"/>
      <c r="AA1045" s="106"/>
    </row>
    <row r="1046" spans="3:27">
      <c r="C1046" s="17">
        <f t="shared" si="451"/>
        <v>89</v>
      </c>
      <c r="D1046" s="13">
        <f t="shared" si="452"/>
        <v>350</v>
      </c>
      <c r="E1046" s="13">
        <f>VLOOKUP(C1046,'Mortality Table'!$A$5:$E$153,IF(SRP_Gender="female",5,4),FALSE)</f>
        <v>7.0449999999999999E-2</v>
      </c>
      <c r="F1046" s="13">
        <f t="shared" si="450"/>
        <v>6.0693964208508033E-3</v>
      </c>
      <c r="G1046" s="18">
        <f t="shared" si="453"/>
        <v>0.56537568634631086</v>
      </c>
      <c r="H1046" s="35">
        <f t="shared" si="454"/>
        <v>0.14798705752478389</v>
      </c>
      <c r="I1046" s="13">
        <f t="shared" si="448"/>
        <v>8.3668284218445674E-2</v>
      </c>
      <c r="J1046" s="13">
        <f t="shared" si="449"/>
        <v>0.34172775984974391</v>
      </c>
      <c r="K1046" s="106"/>
      <c r="AA1046" s="106"/>
    </row>
    <row r="1047" spans="3:27">
      <c r="C1047" s="17">
        <f t="shared" si="451"/>
        <v>89</v>
      </c>
      <c r="D1047" s="13">
        <f t="shared" si="452"/>
        <v>351</v>
      </c>
      <c r="E1047" s="13">
        <f>VLOOKUP(C1047,'Mortality Table'!$A$5:$E$153,IF(SRP_Gender="female",5,4),FALSE)</f>
        <v>7.0449999999999999E-2</v>
      </c>
      <c r="F1047" s="13">
        <f t="shared" si="450"/>
        <v>6.0693964208508033E-3</v>
      </c>
      <c r="G1047" s="18">
        <f t="shared" si="453"/>
        <v>0.56194419717916444</v>
      </c>
      <c r="H1047" s="35">
        <f t="shared" si="454"/>
        <v>0.14798705752478389</v>
      </c>
      <c r="I1047" s="13">
        <f t="shared" si="448"/>
        <v>8.3160468233671514E-2</v>
      </c>
      <c r="J1047" s="13">
        <f t="shared" si="449"/>
        <v>0.34068100325972145</v>
      </c>
      <c r="K1047" s="106"/>
      <c r="AA1047" s="106"/>
    </row>
    <row r="1048" spans="3:27">
      <c r="C1048" s="17">
        <f t="shared" si="451"/>
        <v>89</v>
      </c>
      <c r="D1048" s="13">
        <f t="shared" si="452"/>
        <v>352</v>
      </c>
      <c r="E1048" s="13">
        <f>VLOOKUP(C1048,'Mortality Table'!$A$5:$E$153,IF(SRP_Gender="female",5,4),FALSE)</f>
        <v>7.0449999999999999E-2</v>
      </c>
      <c r="F1048" s="13">
        <f t="shared" si="450"/>
        <v>6.0693964208508033E-3</v>
      </c>
      <c r="G1048" s="18">
        <f t="shared" si="453"/>
        <v>0.5585335350800873</v>
      </c>
      <c r="H1048" s="35">
        <f t="shared" si="454"/>
        <v>0.14798705752478389</v>
      </c>
      <c r="I1048" s="13">
        <f t="shared" si="448"/>
        <v>8.2655734385417776E-2</v>
      </c>
      <c r="J1048" s="13">
        <f t="shared" si="449"/>
        <v>0.33963745302132597</v>
      </c>
      <c r="K1048" s="106"/>
      <c r="AA1048" s="106"/>
    </row>
    <row r="1049" spans="3:27">
      <c r="C1049" s="17">
        <f t="shared" si="451"/>
        <v>89</v>
      </c>
      <c r="D1049" s="13">
        <f t="shared" si="452"/>
        <v>353</v>
      </c>
      <c r="E1049" s="13">
        <f>VLOOKUP(C1049,'Mortality Table'!$A$5:$E$153,IF(SRP_Gender="female",5,4),FALSE)</f>
        <v>7.0449999999999999E-2</v>
      </c>
      <c r="F1049" s="13">
        <f t="shared" si="450"/>
        <v>6.0693964208508033E-3</v>
      </c>
      <c r="G1049" s="18">
        <f t="shared" si="453"/>
        <v>0.55514357364134703</v>
      </c>
      <c r="H1049" s="35">
        <f t="shared" si="454"/>
        <v>0.14798705752478389</v>
      </c>
      <c r="I1049" s="13">
        <f t="shared" si="448"/>
        <v>8.2154063966976124E-2</v>
      </c>
      <c r="J1049" s="13">
        <f t="shared" si="449"/>
        <v>0.33859709931308507</v>
      </c>
      <c r="K1049" s="106"/>
      <c r="AA1049" s="106"/>
    </row>
    <row r="1050" spans="3:27">
      <c r="C1050" s="17">
        <f t="shared" si="451"/>
        <v>89</v>
      </c>
      <c r="D1050" s="13">
        <f t="shared" si="452"/>
        <v>354</v>
      </c>
      <c r="E1050" s="13">
        <f>VLOOKUP(C1050,'Mortality Table'!$A$5:$E$153,IF(SRP_Gender="female",5,4),FALSE)</f>
        <v>7.0449999999999999E-2</v>
      </c>
      <c r="F1050" s="13">
        <f t="shared" si="450"/>
        <v>6.0693964208508033E-3</v>
      </c>
      <c r="G1050" s="18">
        <f t="shared" si="453"/>
        <v>0.55177418722242988</v>
      </c>
      <c r="H1050" s="35">
        <f t="shared" si="454"/>
        <v>0.14798705752478389</v>
      </c>
      <c r="I1050" s="13">
        <f t="shared" si="448"/>
        <v>8.165543838517661E-2</v>
      </c>
      <c r="J1050" s="13">
        <f t="shared" si="449"/>
        <v>0.33755993234361131</v>
      </c>
      <c r="K1050" s="106"/>
      <c r="AA1050" s="106"/>
    </row>
    <row r="1051" spans="3:27">
      <c r="C1051" s="17">
        <f t="shared" si="451"/>
        <v>89</v>
      </c>
      <c r="D1051" s="13">
        <f t="shared" si="452"/>
        <v>355</v>
      </c>
      <c r="E1051" s="13">
        <f>VLOOKUP(C1051,'Mortality Table'!$A$5:$E$153,IF(SRP_Gender="female",5,4),FALSE)</f>
        <v>7.0449999999999999E-2</v>
      </c>
      <c r="F1051" s="13">
        <f t="shared" si="450"/>
        <v>6.0693964208508033E-3</v>
      </c>
      <c r="G1051" s="18">
        <f t="shared" si="453"/>
        <v>0.54842525094538419</v>
      </c>
      <c r="H1051" s="35">
        <f t="shared" si="454"/>
        <v>0.14798705752478389</v>
      </c>
      <c r="I1051" s="13">
        <f t="shared" si="448"/>
        <v>8.1159839159698613E-2</v>
      </c>
      <c r="J1051" s="13">
        <f t="shared" si="449"/>
        <v>0.3365259423515089</v>
      </c>
      <c r="K1051" s="106"/>
      <c r="AA1051" s="106"/>
    </row>
    <row r="1052" spans="3:27">
      <c r="C1052" s="17">
        <f t="shared" si="451"/>
        <v>89</v>
      </c>
      <c r="D1052" s="13">
        <f t="shared" si="452"/>
        <v>356</v>
      </c>
      <c r="E1052" s="13">
        <f>VLOOKUP(C1052,'Mortality Table'!$A$5:$E$153,IF(SRP_Gender="female",5,4),FALSE)</f>
        <v>7.0449999999999999E-2</v>
      </c>
      <c r="F1052" s="13">
        <f t="shared" si="450"/>
        <v>6.0693964208508033E-3</v>
      </c>
      <c r="G1052" s="18">
        <f t="shared" si="453"/>
        <v>0.54509664069019204</v>
      </c>
      <c r="H1052" s="35">
        <f t="shared" si="454"/>
        <v>0.14798705752478389</v>
      </c>
      <c r="I1052" s="13">
        <f t="shared" si="448"/>
        <v>8.0667247922385901E-2</v>
      </c>
      <c r="J1052" s="13">
        <f t="shared" si="449"/>
        <v>0.33549511960528294</v>
      </c>
      <c r="K1052" s="106"/>
      <c r="AA1052" s="106"/>
    </row>
    <row r="1053" spans="3:27">
      <c r="C1053" s="17">
        <f t="shared" si="451"/>
        <v>89</v>
      </c>
      <c r="D1053" s="13">
        <f t="shared" si="452"/>
        <v>357</v>
      </c>
      <c r="E1053" s="13">
        <f>VLOOKUP(C1053,'Mortality Table'!$A$5:$E$153,IF(SRP_Gender="female",5,4),FALSE)</f>
        <v>7.0449999999999999E-2</v>
      </c>
      <c r="F1053" s="13">
        <f t="shared" si="450"/>
        <v>6.0693964208508033E-3</v>
      </c>
      <c r="G1053" s="18">
        <f t="shared" si="453"/>
        <v>0.54178823309016921</v>
      </c>
      <c r="H1053" s="35">
        <f t="shared" si="454"/>
        <v>0.14798705752478389</v>
      </c>
      <c r="I1053" s="13">
        <f t="shared" si="448"/>
        <v>8.0177646416565898E-2</v>
      </c>
      <c r="J1053" s="13">
        <f t="shared" si="449"/>
        <v>0.33446745440324721</v>
      </c>
      <c r="K1053" s="106"/>
      <c r="AA1053" s="106"/>
    </row>
    <row r="1054" spans="3:27">
      <c r="C1054" s="17">
        <f t="shared" si="451"/>
        <v>89</v>
      </c>
      <c r="D1054" s="13">
        <f t="shared" si="452"/>
        <v>358</v>
      </c>
      <c r="E1054" s="13">
        <f>VLOOKUP(C1054,'Mortality Table'!$A$5:$E$153,IF(SRP_Gender="female",5,4),FALSE)</f>
        <v>7.0449999999999999E-2</v>
      </c>
      <c r="F1054" s="13">
        <f t="shared" si="450"/>
        <v>6.0693964208508033E-3</v>
      </c>
      <c r="G1054" s="18">
        <f t="shared" si="453"/>
        <v>0.53849990552739269</v>
      </c>
      <c r="H1054" s="35">
        <f t="shared" si="454"/>
        <v>0.14798705752478389</v>
      </c>
      <c r="I1054" s="13">
        <f t="shared" si="448"/>
        <v>7.9691016496372946E-2</v>
      </c>
      <c r="J1054" s="13">
        <f t="shared" si="449"/>
        <v>0.33344293707343309</v>
      </c>
      <c r="K1054" s="106"/>
      <c r="AA1054" s="106"/>
    </row>
    <row r="1055" spans="3:27">
      <c r="C1055" s="17">
        <f t="shared" si="451"/>
        <v>89</v>
      </c>
      <c r="D1055" s="13">
        <f t="shared" si="452"/>
        <v>359</v>
      </c>
      <c r="E1055" s="13">
        <f>VLOOKUP(C1055,'Mortality Table'!$A$5:$E$153,IF(SRP_Gender="female",5,4),FALSE)</f>
        <v>7.0449999999999999E-2</v>
      </c>
      <c r="F1055" s="13">
        <f t="shared" si="450"/>
        <v>6.0693964208508033E-3</v>
      </c>
      <c r="G1055" s="18">
        <f t="shared" si="453"/>
        <v>0.53523153612815622</v>
      </c>
      <c r="H1055" s="35">
        <f t="shared" si="454"/>
        <v>0.14798705752478389</v>
      </c>
      <c r="I1055" s="13">
        <f t="shared" si="448"/>
        <v>7.9207340126075901E-2</v>
      </c>
      <c r="J1055" s="13">
        <f t="shared" si="449"/>
        <v>0.33242155797349837</v>
      </c>
      <c r="K1055" s="106"/>
      <c r="AA1055" s="106"/>
    </row>
    <row r="1056" spans="3:27">
      <c r="C1056" s="17">
        <f t="shared" si="451"/>
        <v>89</v>
      </c>
      <c r="D1056" s="13">
        <f t="shared" si="452"/>
        <v>360</v>
      </c>
      <c r="E1056" s="13">
        <f>VLOOKUP(C1056,'Mortality Table'!$A$5:$E$153,IF(SRP_Gender="female",5,4),FALSE)</f>
        <v>7.0449999999999999E-2</v>
      </c>
      <c r="F1056" s="13">
        <f t="shared" si="450"/>
        <v>6.0693964208508033E-3</v>
      </c>
      <c r="G1056" s="18">
        <f t="shared" si="453"/>
        <v>0.53198300375845353</v>
      </c>
      <c r="H1056" s="35">
        <f t="shared" si="454"/>
        <v>0.14798705752478389</v>
      </c>
      <c r="I1056" s="13">
        <f t="shared" si="448"/>
        <v>7.8726599379409581E-2</v>
      </c>
      <c r="J1056" s="13">
        <f t="shared" si="449"/>
        <v>0.33140330749063629</v>
      </c>
      <c r="K1056" s="106"/>
      <c r="AA1056" s="106"/>
    </row>
    <row r="1057" spans="3:27">
      <c r="C1057" s="17">
        <f t="shared" si="451"/>
        <v>90</v>
      </c>
      <c r="D1057" s="13">
        <f t="shared" si="452"/>
        <v>361</v>
      </c>
      <c r="E1057" s="13">
        <f>VLOOKUP(C1057,'Mortality Table'!$A$5:$E$153,IF(SRP_Gender="female",5,4),FALSE)</f>
        <v>7.7465000000000006E-2</v>
      </c>
      <c r="F1057" s="13">
        <f t="shared" si="450"/>
        <v>6.6966405111676952E-3</v>
      </c>
      <c r="G1057" s="18">
        <f t="shared" si="453"/>
        <v>0.52875418801948848</v>
      </c>
      <c r="H1057" s="35">
        <f t="shared" si="454"/>
        <v>0.15094679867527958</v>
      </c>
      <c r="I1057" s="13">
        <f t="shared" si="448"/>
        <v>7.9813751967688654E-2</v>
      </c>
      <c r="J1057" s="13">
        <f t="shared" si="449"/>
        <v>0.33038817604148657</v>
      </c>
      <c r="K1057" s="106"/>
      <c r="AA1057" s="106"/>
    </row>
    <row r="1058" spans="3:27">
      <c r="C1058" s="17">
        <f t="shared" si="451"/>
        <v>90</v>
      </c>
      <c r="D1058" s="13">
        <f t="shared" si="452"/>
        <v>362</v>
      </c>
      <c r="E1058" s="13">
        <f>VLOOKUP(C1058,'Mortality Table'!$A$5:$E$153,IF(SRP_Gender="female",5,4),FALSE)</f>
        <v>7.7465000000000006E-2</v>
      </c>
      <c r="F1058" s="13">
        <f t="shared" si="450"/>
        <v>6.6966405111676952E-3</v>
      </c>
      <c r="G1058" s="18">
        <f t="shared" si="453"/>
        <v>0.52521331130354765</v>
      </c>
      <c r="H1058" s="35">
        <f t="shared" si="454"/>
        <v>0.15094679867527958</v>
      </c>
      <c r="I1058" s="13">
        <f t="shared" si="448"/>
        <v>7.9279267962913541E-2</v>
      </c>
      <c r="J1058" s="13">
        <f t="shared" si="449"/>
        <v>0.32937615407204229</v>
      </c>
      <c r="K1058" s="106"/>
      <c r="AA1058" s="106"/>
    </row>
    <row r="1059" spans="3:27">
      <c r="C1059" s="17">
        <f t="shared" si="451"/>
        <v>90</v>
      </c>
      <c r="D1059" s="13">
        <f t="shared" si="452"/>
        <v>363</v>
      </c>
      <c r="E1059" s="13">
        <f>VLOOKUP(C1059,'Mortality Table'!$A$5:$E$153,IF(SRP_Gender="female",5,4),FALSE)</f>
        <v>7.7465000000000006E-2</v>
      </c>
      <c r="F1059" s="13">
        <f t="shared" si="450"/>
        <v>6.6966405111676952E-3</v>
      </c>
      <c r="G1059" s="18">
        <f t="shared" si="453"/>
        <v>0.52169614656606778</v>
      </c>
      <c r="H1059" s="35">
        <f t="shared" si="454"/>
        <v>0.15094679867527958</v>
      </c>
      <c r="I1059" s="13">
        <f t="shared" si="448"/>
        <v>7.8748363205377384E-2</v>
      </c>
      <c r="J1059" s="13">
        <f t="shared" si="449"/>
        <v>0.3283672320575628</v>
      </c>
      <c r="K1059" s="106"/>
      <c r="AA1059" s="106"/>
    </row>
    <row r="1060" spans="3:27">
      <c r="C1060" s="17">
        <f t="shared" si="451"/>
        <v>90</v>
      </c>
      <c r="D1060" s="13">
        <f t="shared" si="452"/>
        <v>364</v>
      </c>
      <c r="E1060" s="13">
        <f>VLOOKUP(C1060,'Mortality Table'!$A$5:$E$153,IF(SRP_Gender="female",5,4),FALSE)</f>
        <v>7.7465000000000006E-2</v>
      </c>
      <c r="F1060" s="13">
        <f t="shared" si="450"/>
        <v>6.6966405111676952E-3</v>
      </c>
      <c r="G1060" s="18">
        <f t="shared" si="453"/>
        <v>0.51820253501645341</v>
      </c>
      <c r="H1060" s="35">
        <f t="shared" si="454"/>
        <v>0.15094679867527958</v>
      </c>
      <c r="I1060" s="13">
        <f t="shared" si="448"/>
        <v>7.8221013726148106E-2</v>
      </c>
      <c r="J1060" s="13">
        <f t="shared" si="449"/>
        <v>0.32736140050248286</v>
      </c>
      <c r="K1060" s="106"/>
      <c r="AA1060" s="106"/>
    </row>
    <row r="1061" spans="3:27">
      <c r="C1061" s="17">
        <f t="shared" si="451"/>
        <v>90</v>
      </c>
      <c r="D1061" s="13">
        <f t="shared" si="452"/>
        <v>365</v>
      </c>
      <c r="E1061" s="13">
        <f>VLOOKUP(C1061,'Mortality Table'!$A$5:$E$153,IF(SRP_Gender="female",5,4),FALSE)</f>
        <v>7.7465000000000006E-2</v>
      </c>
      <c r="F1061" s="13">
        <f t="shared" si="450"/>
        <v>6.6966405111676952E-3</v>
      </c>
      <c r="G1061" s="18">
        <f t="shared" si="453"/>
        <v>0.5147323189274724</v>
      </c>
      <c r="H1061" s="35">
        <f t="shared" si="454"/>
        <v>0.15094679867527958</v>
      </c>
      <c r="I1061" s="13">
        <f t="shared" si="448"/>
        <v>7.7697195716804973E-2</v>
      </c>
      <c r="J1061" s="13">
        <f t="shared" si="449"/>
        <v>0.32635864994032293</v>
      </c>
      <c r="K1061" s="106"/>
      <c r="AA1061" s="106"/>
    </row>
    <row r="1062" spans="3:27">
      <c r="C1062" s="17">
        <f t="shared" si="451"/>
        <v>90</v>
      </c>
      <c r="D1062" s="13">
        <f t="shared" si="452"/>
        <v>366</v>
      </c>
      <c r="E1062" s="13">
        <f>VLOOKUP(C1062,'Mortality Table'!$A$5:$E$153,IF(SRP_Gender="female",5,4),FALSE)</f>
        <v>7.7465000000000006E-2</v>
      </c>
      <c r="F1062" s="13">
        <f t="shared" si="450"/>
        <v>6.6966405111676952E-3</v>
      </c>
      <c r="G1062" s="18">
        <f t="shared" si="453"/>
        <v>0.51128534162813544</v>
      </c>
      <c r="H1062" s="35">
        <f t="shared" si="454"/>
        <v>0.15094679867527958</v>
      </c>
      <c r="I1062" s="13">
        <f t="shared" si="448"/>
        <v>7.7176885528363701E-2</v>
      </c>
      <c r="J1062" s="13">
        <f t="shared" si="449"/>
        <v>0.32535897093360122</v>
      </c>
      <c r="K1062" s="106"/>
      <c r="AA1062" s="106"/>
    </row>
    <row r="1063" spans="3:27">
      <c r="C1063" s="17">
        <f t="shared" si="451"/>
        <v>90</v>
      </c>
      <c r="D1063" s="13">
        <f t="shared" si="452"/>
        <v>367</v>
      </c>
      <c r="E1063" s="13">
        <f>VLOOKUP(C1063,'Mortality Table'!$A$5:$E$153,IF(SRP_Gender="female",5,4),FALSE)</f>
        <v>7.7465000000000006E-2</v>
      </c>
      <c r="F1063" s="13">
        <f t="shared" si="450"/>
        <v>6.6966405111676952E-3</v>
      </c>
      <c r="G1063" s="18">
        <f t="shared" si="453"/>
        <v>0.50786144749662221</v>
      </c>
      <c r="H1063" s="35">
        <f t="shared" si="454"/>
        <v>0.15094679867527958</v>
      </c>
      <c r="I1063" s="13">
        <f t="shared" si="448"/>
        <v>7.6660059670208697E-2</v>
      </c>
      <c r="J1063" s="13">
        <f t="shared" si="449"/>
        <v>0.32436235407374353</v>
      </c>
      <c r="K1063" s="106"/>
      <c r="AA1063" s="106"/>
    </row>
    <row r="1064" spans="3:27">
      <c r="C1064" s="17">
        <f t="shared" si="451"/>
        <v>90</v>
      </c>
      <c r="D1064" s="13">
        <f t="shared" si="452"/>
        <v>368</v>
      </c>
      <c r="E1064" s="13">
        <f>VLOOKUP(C1064,'Mortality Table'!$A$5:$E$153,IF(SRP_Gender="female",5,4),FALSE)</f>
        <v>7.7465000000000006E-2</v>
      </c>
      <c r="F1064" s="13">
        <f t="shared" si="450"/>
        <v>6.6966405111676952E-3</v>
      </c>
      <c r="G1064" s="18">
        <f t="shared" si="453"/>
        <v>0.5044604819532561</v>
      </c>
      <c r="H1064" s="35">
        <f t="shared" si="454"/>
        <v>0.15094679867527958</v>
      </c>
      <c r="I1064" s="13">
        <f t="shared" si="448"/>
        <v>7.6146694809032647E-2</v>
      </c>
      <c r="J1064" s="13">
        <f t="shared" si="449"/>
        <v>0.32336878998099555</v>
      </c>
      <c r="K1064" s="106"/>
      <c r="AA1064" s="106"/>
    </row>
    <row r="1065" spans="3:27">
      <c r="C1065" s="17">
        <f t="shared" si="451"/>
        <v>90</v>
      </c>
      <c r="D1065" s="13">
        <f t="shared" si="452"/>
        <v>369</v>
      </c>
      <c r="E1065" s="13">
        <f>VLOOKUP(C1065,'Mortality Table'!$A$5:$E$153,IF(SRP_Gender="female",5,4),FALSE)</f>
        <v>7.7465000000000006E-2</v>
      </c>
      <c r="F1065" s="13">
        <f t="shared" si="450"/>
        <v>6.6966405111676952E-3</v>
      </c>
      <c r="G1065" s="18">
        <f t="shared" si="453"/>
        <v>0.50108229145352479</v>
      </c>
      <c r="H1065" s="35">
        <f t="shared" si="454"/>
        <v>0.15094679867527958</v>
      </c>
      <c r="I1065" s="13">
        <f t="shared" si="448"/>
        <v>7.563676776778297E-2</v>
      </c>
      <c r="J1065" s="13">
        <f t="shared" si="449"/>
        <v>0.32237826930433466</v>
      </c>
      <c r="K1065" s="106"/>
      <c r="AA1065" s="106"/>
    </row>
    <row r="1066" spans="3:27">
      <c r="C1066" s="17">
        <f t="shared" si="451"/>
        <v>90</v>
      </c>
      <c r="D1066" s="13">
        <f t="shared" si="452"/>
        <v>370</v>
      </c>
      <c r="E1066" s="13">
        <f>VLOOKUP(C1066,'Mortality Table'!$A$5:$E$153,IF(SRP_Gender="female",5,4),FALSE)</f>
        <v>7.7465000000000006E-2</v>
      </c>
      <c r="F1066" s="13">
        <f t="shared" si="450"/>
        <v>6.6966405111676952E-3</v>
      </c>
      <c r="G1066" s="18">
        <f t="shared" si="453"/>
        <v>0.49772672348114838</v>
      </c>
      <c r="H1066" s="35">
        <f t="shared" si="454"/>
        <v>0.15094679867527958</v>
      </c>
      <c r="I1066" s="13">
        <f t="shared" si="448"/>
        <v>7.5130255524615455E-2</v>
      </c>
      <c r="J1066" s="13">
        <f t="shared" si="449"/>
        <v>0.32139078272138122</v>
      </c>
      <c r="K1066" s="106"/>
      <c r="AA1066" s="106"/>
    </row>
    <row r="1067" spans="3:27">
      <c r="C1067" s="17">
        <f t="shared" si="451"/>
        <v>90</v>
      </c>
      <c r="D1067" s="13">
        <f t="shared" si="452"/>
        <v>371</v>
      </c>
      <c r="E1067" s="13">
        <f>VLOOKUP(C1067,'Mortality Table'!$A$5:$E$153,IF(SRP_Gender="female",5,4),FALSE)</f>
        <v>7.7465000000000006E-2</v>
      </c>
      <c r="F1067" s="13">
        <f t="shared" si="450"/>
        <v>6.6966405111676952E-3</v>
      </c>
      <c r="G1067" s="18">
        <f t="shared" si="453"/>
        <v>0.49439362654119379</v>
      </c>
      <c r="H1067" s="35">
        <f t="shared" si="454"/>
        <v>0.15094679867527958</v>
      </c>
      <c r="I1067" s="13">
        <f t="shared" si="448"/>
        <v>7.4627135211854934E-2</v>
      </c>
      <c r="J1067" s="13">
        <f t="shared" si="449"/>
        <v>0.32040632093831162</v>
      </c>
      <c r="K1067" s="106"/>
      <c r="AA1067" s="106"/>
    </row>
    <row r="1068" spans="3:27">
      <c r="C1068" s="17">
        <f t="shared" si="451"/>
        <v>90</v>
      </c>
      <c r="D1068" s="13">
        <f t="shared" si="452"/>
        <v>372</v>
      </c>
      <c r="E1068" s="13">
        <f>VLOOKUP(C1068,'Mortality Table'!$A$5:$E$153,IF(SRP_Gender="female",5,4),FALSE)</f>
        <v>7.7465000000000006E-2</v>
      </c>
      <c r="F1068" s="13">
        <f t="shared" si="450"/>
        <v>6.6966405111676952E-3</v>
      </c>
      <c r="G1068" s="18">
        <f t="shared" si="453"/>
        <v>0.49108285015323494</v>
      </c>
      <c r="H1068" s="35">
        <f t="shared" si="454"/>
        <v>0.15094679867527958</v>
      </c>
      <c r="I1068" s="13">
        <f t="shared" si="448"/>
        <v>7.4127384114962835E-2</v>
      </c>
      <c r="J1068" s="13">
        <f t="shared" si="449"/>
        <v>0.31942487468976988</v>
      </c>
      <c r="K1068" s="106"/>
      <c r="AA1068" s="106"/>
    </row>
    <row r="1069" spans="3:27">
      <c r="C1069" s="17">
        <f t="shared" si="451"/>
        <v>91</v>
      </c>
      <c r="D1069" s="13">
        <f t="shared" si="452"/>
        <v>373</v>
      </c>
      <c r="E1069" s="13">
        <f>VLOOKUP(C1069,'Mortality Table'!$A$5:$E$153,IF(SRP_Gender="female",5,4),FALSE)</f>
        <v>8.4860000000000005E-2</v>
      </c>
      <c r="F1069" s="13">
        <f t="shared" si="450"/>
        <v>7.3626138441712508E-3</v>
      </c>
      <c r="G1069" s="18">
        <f t="shared" si="453"/>
        <v>0.48779424484455908</v>
      </c>
      <c r="H1069" s="35">
        <f t="shared" si="454"/>
        <v>0.15396573464878516</v>
      </c>
      <c r="I1069" s="13">
        <f t="shared" si="448"/>
        <v>7.5103599264941923E-2</v>
      </c>
      <c r="J1069" s="13">
        <f t="shared" si="449"/>
        <v>0.3184464347387822</v>
      </c>
      <c r="K1069" s="106"/>
      <c r="AA1069" s="106"/>
    </row>
    <row r="1070" spans="3:27">
      <c r="C1070" s="17">
        <f t="shared" si="451"/>
        <v>91</v>
      </c>
      <c r="D1070" s="13">
        <f t="shared" si="452"/>
        <v>374</v>
      </c>
      <c r="E1070" s="13">
        <f>VLOOKUP(C1070,'Mortality Table'!$A$5:$E$153,IF(SRP_Gender="female",5,4),FALSE)</f>
        <v>8.4860000000000005E-2</v>
      </c>
      <c r="F1070" s="13">
        <f t="shared" si="450"/>
        <v>7.3626138441712508E-3</v>
      </c>
      <c r="G1070" s="18">
        <f t="shared" si="453"/>
        <v>0.48420280418435946</v>
      </c>
      <c r="H1070" s="35">
        <f t="shared" si="454"/>
        <v>0.15396573464878516</v>
      </c>
      <c r="I1070" s="13">
        <f t="shared" si="448"/>
        <v>7.4550640465246773E-2</v>
      </c>
      <c r="J1070" s="13">
        <f t="shared" si="449"/>
        <v>0.31747099187666722</v>
      </c>
      <c r="K1070" s="106"/>
      <c r="AA1070" s="106"/>
    </row>
    <row r="1071" spans="3:27">
      <c r="C1071" s="17">
        <f t="shared" si="451"/>
        <v>91</v>
      </c>
      <c r="D1071" s="13">
        <f t="shared" si="452"/>
        <v>375</v>
      </c>
      <c r="E1071" s="13">
        <f>VLOOKUP(C1071,'Mortality Table'!$A$5:$E$153,IF(SRP_Gender="female",5,4),FALSE)</f>
        <v>8.4860000000000005E-2</v>
      </c>
      <c r="F1071" s="13">
        <f t="shared" si="450"/>
        <v>7.3626138441712508E-3</v>
      </c>
      <c r="G1071" s="18">
        <f t="shared" si="453"/>
        <v>0.48063780591488514</v>
      </c>
      <c r="H1071" s="35">
        <f t="shared" si="454"/>
        <v>0.15396573464878516</v>
      </c>
      <c r="I1071" s="13">
        <f t="shared" si="448"/>
        <v>7.4001752887665501E-2</v>
      </c>
      <c r="J1071" s="13">
        <f t="shared" si="449"/>
        <v>0.3164985369229521</v>
      </c>
      <c r="K1071" s="106"/>
      <c r="AA1071" s="106"/>
    </row>
    <row r="1072" spans="3:27">
      <c r="C1072" s="17">
        <f t="shared" si="451"/>
        <v>91</v>
      </c>
      <c r="D1072" s="13">
        <f t="shared" si="452"/>
        <v>376</v>
      </c>
      <c r="E1072" s="13">
        <f>VLOOKUP(C1072,'Mortality Table'!$A$5:$E$153,IF(SRP_Gender="female",5,4),FALSE)</f>
        <v>8.4860000000000005E-2</v>
      </c>
      <c r="F1072" s="13">
        <f t="shared" si="450"/>
        <v>7.3626138441712508E-3</v>
      </c>
      <c r="G1072" s="18">
        <f t="shared" si="453"/>
        <v>0.47709905535102409</v>
      </c>
      <c r="H1072" s="35">
        <f t="shared" si="454"/>
        <v>0.15396573464878516</v>
      </c>
      <c r="I1072" s="13">
        <f t="shared" si="448"/>
        <v>7.345690655736184E-2</v>
      </c>
      <c r="J1072" s="13">
        <f t="shared" si="449"/>
        <v>0.31552906072528464</v>
      </c>
      <c r="K1072" s="106"/>
      <c r="AA1072" s="106"/>
    </row>
    <row r="1073" spans="3:27">
      <c r="C1073" s="17">
        <f t="shared" si="451"/>
        <v>91</v>
      </c>
      <c r="D1073" s="13">
        <f t="shared" si="452"/>
        <v>377</v>
      </c>
      <c r="E1073" s="13">
        <f>VLOOKUP(C1073,'Mortality Table'!$A$5:$E$153,IF(SRP_Gender="female",5,4),FALSE)</f>
        <v>8.4860000000000005E-2</v>
      </c>
      <c r="F1073" s="13">
        <f t="shared" si="450"/>
        <v>7.3626138441712508E-3</v>
      </c>
      <c r="G1073" s="18">
        <f t="shared" si="453"/>
        <v>0.47358635924105563</v>
      </c>
      <c r="H1073" s="35">
        <f t="shared" si="454"/>
        <v>0.15396573464878516</v>
      </c>
      <c r="I1073" s="13">
        <f t="shared" si="448"/>
        <v>7.2916071720192613E-2</v>
      </c>
      <c r="J1073" s="13">
        <f t="shared" si="449"/>
        <v>0.31456255415934742</v>
      </c>
      <c r="K1073" s="106"/>
      <c r="AA1073" s="106"/>
    </row>
    <row r="1074" spans="3:27">
      <c r="C1074" s="17">
        <f t="shared" si="451"/>
        <v>91</v>
      </c>
      <c r="D1074" s="13">
        <f t="shared" si="452"/>
        <v>378</v>
      </c>
      <c r="E1074" s="13">
        <f>VLOOKUP(C1074,'Mortality Table'!$A$5:$E$153,IF(SRP_Gender="female",5,4),FALSE)</f>
        <v>8.4860000000000005E-2</v>
      </c>
      <c r="F1074" s="13">
        <f t="shared" si="450"/>
        <v>7.3626138441712508E-3</v>
      </c>
      <c r="G1074" s="18">
        <f t="shared" si="453"/>
        <v>0.47009952575609676</v>
      </c>
      <c r="H1074" s="35">
        <f t="shared" si="454"/>
        <v>0.15396573464878516</v>
      </c>
      <c r="I1074" s="13">
        <f t="shared" si="448"/>
        <v>7.2379218841082935E-2</v>
      </c>
      <c r="J1074" s="13">
        <f t="shared" si="449"/>
        <v>0.31359900812877223</v>
      </c>
      <c r="K1074" s="106"/>
      <c r="AA1074" s="106"/>
    </row>
    <row r="1075" spans="3:27">
      <c r="C1075" s="17">
        <f t="shared" si="451"/>
        <v>91</v>
      </c>
      <c r="D1075" s="13">
        <f t="shared" si="452"/>
        <v>379</v>
      </c>
      <c r="E1075" s="13">
        <f>VLOOKUP(C1075,'Mortality Table'!$A$5:$E$153,IF(SRP_Gender="female",5,4),FALSE)</f>
        <v>8.4860000000000005E-2</v>
      </c>
      <c r="F1075" s="13">
        <f t="shared" si="450"/>
        <v>7.3626138441712508E-3</v>
      </c>
      <c r="G1075" s="18">
        <f t="shared" si="453"/>
        <v>0.46663836447962659</v>
      </c>
      <c r="H1075" s="35">
        <f t="shared" si="454"/>
        <v>0.15396573464878516</v>
      </c>
      <c r="I1075" s="13">
        <f t="shared" si="448"/>
        <v>7.1846318602413278E-2</v>
      </c>
      <c r="J1075" s="13">
        <f t="shared" si="449"/>
        <v>0.31263841356505395</v>
      </c>
      <c r="K1075" s="106"/>
      <c r="AA1075" s="106"/>
    </row>
    <row r="1076" spans="3:27">
      <c r="C1076" s="17">
        <f t="shared" si="451"/>
        <v>91</v>
      </c>
      <c r="D1076" s="13">
        <f t="shared" si="452"/>
        <v>380</v>
      </c>
      <c r="E1076" s="13">
        <f>VLOOKUP(C1076,'Mortality Table'!$A$5:$E$153,IF(SRP_Gender="female",5,4),FALSE)</f>
        <v>8.4860000000000005E-2</v>
      </c>
      <c r="F1076" s="13">
        <f t="shared" si="450"/>
        <v>7.3626138441712508E-3</v>
      </c>
      <c r="G1076" s="18">
        <f t="shared" si="453"/>
        <v>0.46320268639708745</v>
      </c>
      <c r="H1076" s="35">
        <f t="shared" si="454"/>
        <v>0.15396573464878516</v>
      </c>
      <c r="I1076" s="13">
        <f t="shared" si="448"/>
        <v>7.131734190241841E-2</v>
      </c>
      <c r="J1076" s="13">
        <f t="shared" si="449"/>
        <v>0.31168076142746554</v>
      </c>
      <c r="K1076" s="106"/>
      <c r="AA1076" s="106"/>
    </row>
    <row r="1077" spans="3:27">
      <c r="C1077" s="17">
        <f t="shared" si="451"/>
        <v>91</v>
      </c>
      <c r="D1077" s="13">
        <f t="shared" si="452"/>
        <v>381</v>
      </c>
      <c r="E1077" s="13">
        <f>VLOOKUP(C1077,'Mortality Table'!$A$5:$E$153,IF(SRP_Gender="female",5,4),FALSE)</f>
        <v>8.4860000000000005E-2</v>
      </c>
      <c r="F1077" s="13">
        <f t="shared" si="450"/>
        <v>7.3626138441712508E-3</v>
      </c>
      <c r="G1077" s="18">
        <f t="shared" si="453"/>
        <v>0.45979230388556291</v>
      </c>
      <c r="H1077" s="35">
        <f t="shared" si="454"/>
        <v>0.15396573464878516</v>
      </c>
      <c r="I1077" s="13">
        <f t="shared" si="448"/>
        <v>7.0792259853598175E-2</v>
      </c>
      <c r="J1077" s="13">
        <f t="shared" si="449"/>
        <v>0.31072604270297316</v>
      </c>
      <c r="K1077" s="106"/>
      <c r="AA1077" s="106"/>
    </row>
    <row r="1078" spans="3:27">
      <c r="C1078" s="17">
        <f t="shared" si="451"/>
        <v>91</v>
      </c>
      <c r="D1078" s="13">
        <f t="shared" si="452"/>
        <v>382</v>
      </c>
      <c r="E1078" s="13">
        <f>VLOOKUP(C1078,'Mortality Table'!$A$5:$E$153,IF(SRP_Gender="female",5,4),FALSE)</f>
        <v>8.4860000000000005E-2</v>
      </c>
      <c r="F1078" s="13">
        <f t="shared" si="450"/>
        <v>7.3626138441712508E-3</v>
      </c>
      <c r="G1078" s="18">
        <f t="shared" si="453"/>
        <v>0.45640703070353167</v>
      </c>
      <c r="H1078" s="35">
        <f t="shared" si="454"/>
        <v>0.15396573464878516</v>
      </c>
      <c r="I1078" s="13">
        <f t="shared" si="448"/>
        <v>7.0271043781139894E-2</v>
      </c>
      <c r="J1078" s="13">
        <f t="shared" si="449"/>
        <v>0.30977424840615059</v>
      </c>
      <c r="K1078" s="106"/>
      <c r="AA1078" s="106"/>
    </row>
    <row r="1079" spans="3:27">
      <c r="C1079" s="17">
        <f t="shared" si="451"/>
        <v>91</v>
      </c>
      <c r="D1079" s="13">
        <f t="shared" si="452"/>
        <v>383</v>
      </c>
      <c r="E1079" s="13">
        <f>VLOOKUP(C1079,'Mortality Table'!$A$5:$E$153,IF(SRP_Gender="female",5,4),FALSE)</f>
        <v>8.4860000000000005E-2</v>
      </c>
      <c r="F1079" s="13">
        <f t="shared" si="450"/>
        <v>7.3626138441712508E-3</v>
      </c>
      <c r="G1079" s="18">
        <f t="shared" si="453"/>
        <v>0.45304668198069675</v>
      </c>
      <c r="H1079" s="35">
        <f t="shared" si="454"/>
        <v>0.15396573464878516</v>
      </c>
      <c r="I1079" s="13">
        <f t="shared" si="448"/>
        <v>6.9753665221352512E-2</v>
      </c>
      <c r="J1079" s="13">
        <f t="shared" si="449"/>
        <v>0.30882536957909551</v>
      </c>
      <c r="K1079" s="106"/>
      <c r="AA1079" s="106"/>
    </row>
    <row r="1080" spans="3:27">
      <c r="C1080" s="17">
        <f t="shared" si="451"/>
        <v>91</v>
      </c>
      <c r="D1080" s="13">
        <f t="shared" si="452"/>
        <v>384</v>
      </c>
      <c r="E1080" s="13">
        <f>VLOOKUP(C1080,'Mortality Table'!$A$5:$E$153,IF(SRP_Gender="female",5,4),FALSE)</f>
        <v>8.4860000000000005E-2</v>
      </c>
      <c r="F1080" s="13">
        <f t="shared" si="450"/>
        <v>7.3626138441712508E-3</v>
      </c>
      <c r="G1080" s="18">
        <f t="shared" si="453"/>
        <v>0.4497110742078898</v>
      </c>
      <c r="H1080" s="35">
        <f t="shared" si="454"/>
        <v>0.15396573464878516</v>
      </c>
      <c r="I1080" s="13">
        <f t="shared" si="448"/>
        <v>6.9240095920112099E-2</v>
      </c>
      <c r="J1080" s="13">
        <f t="shared" si="449"/>
        <v>0.30787939729134445</v>
      </c>
      <c r="K1080" s="106"/>
      <c r="AA1080" s="106"/>
    </row>
    <row r="1081" spans="3:27">
      <c r="C1081" s="17">
        <f t="shared" si="451"/>
        <v>92</v>
      </c>
      <c r="D1081" s="13">
        <f t="shared" si="452"/>
        <v>385</v>
      </c>
      <c r="E1081" s="13">
        <f>VLOOKUP(C1081,'Mortality Table'!$A$5:$E$153,IF(SRP_Gender="female",5,4),FALSE)</f>
        <v>9.2634999999999995E-2</v>
      </c>
      <c r="F1081" s="13">
        <f t="shared" si="450"/>
        <v>8.0681500324080169E-3</v>
      </c>
      <c r="G1081" s="18">
        <f t="shared" si="453"/>
        <v>0.44640002522704969</v>
      </c>
      <c r="H1081" s="35">
        <f t="shared" si="454"/>
        <v>0.15704504934176086</v>
      </c>
      <c r="I1081" s="13">
        <f t="shared" ref="I1081:I1144" si="455">IF(D1081&lt;=12*SRP_Annuity_Gtee_Period,H1081,H1081*G1081)</f>
        <v>7.0104913987945314E-2</v>
      </c>
      <c r="J1081" s="13">
        <f t="shared" ref="J1081:J1144" si="456">((1+$D$79)^(-D1081/12))</f>
        <v>0.30693632263979004</v>
      </c>
      <c r="K1081" s="106"/>
      <c r="AA1081" s="106"/>
    </row>
    <row r="1082" spans="3:27">
      <c r="C1082" s="17">
        <f t="shared" si="451"/>
        <v>92</v>
      </c>
      <c r="D1082" s="13">
        <f t="shared" si="452"/>
        <v>386</v>
      </c>
      <c r="E1082" s="13">
        <f>VLOOKUP(C1082,'Mortality Table'!$A$5:$E$153,IF(SRP_Gender="female",5,4),FALSE)</f>
        <v>9.2634999999999995E-2</v>
      </c>
      <c r="F1082" s="13">
        <f t="shared" ref="F1082:F1145" si="457">1-(1-E1082)^(1/12)</f>
        <v>8.0681500324080169E-3</v>
      </c>
      <c r="G1082" s="18">
        <f t="shared" si="453"/>
        <v>0.44279840284904715</v>
      </c>
      <c r="H1082" s="35">
        <f t="shared" si="454"/>
        <v>0.15704504934176086</v>
      </c>
      <c r="I1082" s="13">
        <f t="shared" si="455"/>
        <v>6.9539297023881508E-2</v>
      </c>
      <c r="J1082" s="13">
        <f t="shared" si="456"/>
        <v>0.30599613674859494</v>
      </c>
      <c r="K1082" s="106"/>
      <c r="AA1082" s="106"/>
    </row>
    <row r="1083" spans="3:27">
      <c r="C1083" s="17">
        <f t="shared" ref="C1083:C1146" si="458">IF(MOD(D1083,12)=1,C1082+1,C1082)</f>
        <v>92</v>
      </c>
      <c r="D1083" s="13">
        <f t="shared" ref="D1083:D1146" si="459">D1082+1</f>
        <v>387</v>
      </c>
      <c r="E1083" s="13">
        <f>VLOOKUP(C1083,'Mortality Table'!$A$5:$E$153,IF(SRP_Gender="female",5,4),FALSE)</f>
        <v>9.2634999999999995E-2</v>
      </c>
      <c r="F1083" s="13">
        <f t="shared" si="457"/>
        <v>8.0681500324080169E-3</v>
      </c>
      <c r="G1083" s="18">
        <f t="shared" ref="G1083:G1146" si="460">G1082*(1-F1082)</f>
        <v>0.4392258389007504</v>
      </c>
      <c r="H1083" s="35">
        <f t="shared" ref="H1083:H1146" si="461">IF(MOD(D1083,12)=1,H1082*(1+$D$81),H1082)</f>
        <v>0.15704504934176086</v>
      </c>
      <c r="I1083" s="13">
        <f t="shared" si="455"/>
        <v>6.897824354234465E-2</v>
      </c>
      <c r="J1083" s="13">
        <f t="shared" si="456"/>
        <v>0.30505883076911045</v>
      </c>
      <c r="K1083" s="106"/>
      <c r="AA1083" s="106"/>
    </row>
    <row r="1084" spans="3:27">
      <c r="C1084" s="17">
        <f t="shared" si="458"/>
        <v>92</v>
      </c>
      <c r="D1084" s="13">
        <f t="shared" si="459"/>
        <v>388</v>
      </c>
      <c r="E1084" s="13">
        <f>VLOOKUP(C1084,'Mortality Table'!$A$5:$E$153,IF(SRP_Gender="female",5,4),FALSE)</f>
        <v>9.2634999999999995E-2</v>
      </c>
      <c r="F1084" s="13">
        <f t="shared" si="457"/>
        <v>8.0681500324080169E-3</v>
      </c>
      <c r="G1084" s="18">
        <f t="shared" si="460"/>
        <v>0.43568209893438886</v>
      </c>
      <c r="H1084" s="35">
        <f t="shared" si="461"/>
        <v>0.15704504934176086</v>
      </c>
      <c r="I1084" s="13">
        <f t="shared" si="455"/>
        <v>6.8421716724473031E-2</v>
      </c>
      <c r="J1084" s="13">
        <f t="shared" si="456"/>
        <v>0.30412439587979234</v>
      </c>
      <c r="K1084" s="106"/>
      <c r="AA1084" s="106"/>
    </row>
    <row r="1085" spans="3:27">
      <c r="C1085" s="17">
        <f t="shared" si="458"/>
        <v>92</v>
      </c>
      <c r="D1085" s="13">
        <f t="shared" si="459"/>
        <v>389</v>
      </c>
      <c r="E1085" s="13">
        <f>VLOOKUP(C1085,'Mortality Table'!$A$5:$E$153,IF(SRP_Gender="female",5,4),FALSE)</f>
        <v>9.2634999999999995E-2</v>
      </c>
      <c r="F1085" s="13">
        <f t="shared" si="457"/>
        <v>8.0681500324080169E-3</v>
      </c>
      <c r="G1085" s="18">
        <f t="shared" si="460"/>
        <v>0.4321669503937518</v>
      </c>
      <c r="H1085" s="35">
        <f t="shared" si="461"/>
        <v>0.15704504934176086</v>
      </c>
      <c r="I1085" s="13">
        <f t="shared" si="455"/>
        <v>6.7869680048465067E-2</v>
      </c>
      <c r="J1085" s="13">
        <f t="shared" si="456"/>
        <v>0.30319282328611796</v>
      </c>
      <c r="K1085" s="106"/>
      <c r="AA1085" s="106"/>
    </row>
    <row r="1086" spans="3:27">
      <c r="C1086" s="17">
        <f t="shared" si="458"/>
        <v>92</v>
      </c>
      <c r="D1086" s="13">
        <f t="shared" si="459"/>
        <v>390</v>
      </c>
      <c r="E1086" s="13">
        <f>VLOOKUP(C1086,'Mortality Table'!$A$5:$E$153,IF(SRP_Gender="female",5,4),FALSE)</f>
        <v>9.2634999999999995E-2</v>
      </c>
      <c r="F1086" s="13">
        <f t="shared" si="457"/>
        <v>8.0681500324080169E-3</v>
      </c>
      <c r="G1086" s="18">
        <f t="shared" si="460"/>
        <v>0.42868016259892677</v>
      </c>
      <c r="H1086" s="35">
        <f t="shared" si="461"/>
        <v>0.15704504934176086</v>
      </c>
      <c r="I1086" s="13">
        <f t="shared" si="455"/>
        <v>6.7322097287182525E-2</v>
      </c>
      <c r="J1086" s="13">
        <f t="shared" si="456"/>
        <v>0.30226410422050326</v>
      </c>
      <c r="K1086" s="106"/>
      <c r="AA1086" s="106"/>
    </row>
    <row r="1087" spans="3:27">
      <c r="C1087" s="17">
        <f t="shared" si="458"/>
        <v>92</v>
      </c>
      <c r="D1087" s="13">
        <f t="shared" si="459"/>
        <v>391</v>
      </c>
      <c r="E1087" s="13">
        <f>VLOOKUP(C1087,'Mortality Table'!$A$5:$E$153,IF(SRP_Gender="female",5,4),FALSE)</f>
        <v>9.2634999999999995E-2</v>
      </c>
      <c r="F1087" s="13">
        <f t="shared" si="457"/>
        <v>8.0681500324080169E-3</v>
      </c>
      <c r="G1087" s="18">
        <f t="shared" si="460"/>
        <v>0.42522150673116155</v>
      </c>
      <c r="H1087" s="35">
        <f t="shared" si="461"/>
        <v>0.15704504934176086</v>
      </c>
      <c r="I1087" s="13">
        <f t="shared" si="455"/>
        <v>6.6778932505773159E-2</v>
      </c>
      <c r="J1087" s="13">
        <f t="shared" si="456"/>
        <v>0.30133822994222059</v>
      </c>
      <c r="K1087" s="106"/>
      <c r="AA1087" s="106"/>
    </row>
    <row r="1088" spans="3:27">
      <c r="C1088" s="17">
        <f t="shared" si="458"/>
        <v>92</v>
      </c>
      <c r="D1088" s="13">
        <f t="shared" si="459"/>
        <v>392</v>
      </c>
      <c r="E1088" s="13">
        <f>VLOOKUP(C1088,'Mortality Table'!$A$5:$E$153,IF(SRP_Gender="female",5,4),FALSE)</f>
        <v>9.2634999999999995E-2</v>
      </c>
      <c r="F1088" s="13">
        <f t="shared" si="457"/>
        <v>8.0681500324080169E-3</v>
      </c>
      <c r="G1088" s="18">
        <f t="shared" si="460"/>
        <v>0.42179075581784792</v>
      </c>
      <c r="H1088" s="35">
        <f t="shared" si="461"/>
        <v>0.15704504934176086</v>
      </c>
      <c r="I1088" s="13">
        <f t="shared" si="455"/>
        <v>6.6240150059312539E-2</v>
      </c>
      <c r="J1088" s="13">
        <f t="shared" si="456"/>
        <v>0.30041519173731629</v>
      </c>
      <c r="K1088" s="106"/>
      <c r="AA1088" s="106"/>
    </row>
    <row r="1089" spans="3:27">
      <c r="C1089" s="17">
        <f t="shared" si="458"/>
        <v>92</v>
      </c>
      <c r="D1089" s="13">
        <f t="shared" si="459"/>
        <v>393</v>
      </c>
      <c r="E1089" s="13">
        <f>VLOOKUP(C1089,'Mortality Table'!$A$5:$E$153,IF(SRP_Gender="female",5,4),FALSE)</f>
        <v>9.2634999999999995E-2</v>
      </c>
      <c r="F1089" s="13">
        <f t="shared" si="457"/>
        <v>8.0681500324080169E-3</v>
      </c>
      <c r="G1089" s="18">
        <f t="shared" si="460"/>
        <v>0.41838768471762677</v>
      </c>
      <c r="H1089" s="35">
        <f t="shared" si="461"/>
        <v>0.15704504934176086</v>
      </c>
      <c r="I1089" s="13">
        <f t="shared" si="455"/>
        <v>6.5705714590464787E-2</v>
      </c>
      <c r="J1089" s="13">
        <f t="shared" si="456"/>
        <v>0.29949498091852828</v>
      </c>
      <c r="K1089" s="106"/>
      <c r="AA1089" s="106"/>
    </row>
    <row r="1090" spans="3:27">
      <c r="C1090" s="17">
        <f t="shared" si="458"/>
        <v>92</v>
      </c>
      <c r="D1090" s="13">
        <f t="shared" si="459"/>
        <v>394</v>
      </c>
      <c r="E1090" s="13">
        <f>VLOOKUP(C1090,'Mortality Table'!$A$5:$E$153,IF(SRP_Gender="female",5,4),FALSE)</f>
        <v>9.2634999999999995E-2</v>
      </c>
      <c r="F1090" s="13">
        <f t="shared" si="457"/>
        <v>8.0681500324080169E-3</v>
      </c>
      <c r="G1090" s="18">
        <f t="shared" si="460"/>
        <v>0.41501207010561314</v>
      </c>
      <c r="H1090" s="35">
        <f t="shared" si="461"/>
        <v>0.15704504934176086</v>
      </c>
      <c r="I1090" s="13">
        <f t="shared" si="455"/>
        <v>6.5175591027162333E-2</v>
      </c>
      <c r="J1090" s="13">
        <f t="shared" si="456"/>
        <v>0.29857758882520535</v>
      </c>
      <c r="K1090" s="106"/>
      <c r="AA1090" s="106"/>
    </row>
    <row r="1091" spans="3:27">
      <c r="C1091" s="17">
        <f t="shared" si="458"/>
        <v>92</v>
      </c>
      <c r="D1091" s="13">
        <f t="shared" si="459"/>
        <v>395</v>
      </c>
      <c r="E1091" s="13">
        <f>VLOOKUP(C1091,'Mortality Table'!$A$5:$E$153,IF(SRP_Gender="female",5,4),FALSE)</f>
        <v>9.2634999999999995E-2</v>
      </c>
      <c r="F1091" s="13">
        <f t="shared" si="457"/>
        <v>8.0681500324080169E-3</v>
      </c>
      <c r="G1091" s="18">
        <f t="shared" si="460"/>
        <v>0.41166369045874079</v>
      </c>
      <c r="H1091" s="35">
        <f t="shared" si="461"/>
        <v>0.15704504934176086</v>
      </c>
      <c r="I1091" s="13">
        <f t="shared" si="455"/>
        <v>6.4649744580304314E-2</v>
      </c>
      <c r="J1091" s="13">
        <f t="shared" si="456"/>
        <v>0.29766300682322455</v>
      </c>
      <c r="K1091" s="106"/>
      <c r="AA1091" s="106"/>
    </row>
    <row r="1092" spans="3:27">
      <c r="C1092" s="17">
        <f t="shared" si="458"/>
        <v>92</v>
      </c>
      <c r="D1092" s="13">
        <f t="shared" si="459"/>
        <v>396</v>
      </c>
      <c r="E1092" s="13">
        <f>VLOOKUP(C1092,'Mortality Table'!$A$5:$E$153,IF(SRP_Gender="female",5,4),FALSE)</f>
        <v>9.2634999999999995E-2</v>
      </c>
      <c r="F1092" s="13">
        <f t="shared" si="457"/>
        <v>8.0681500324080169E-3</v>
      </c>
      <c r="G1092" s="18">
        <f t="shared" si="460"/>
        <v>0.40834232604122489</v>
      </c>
      <c r="H1092" s="35">
        <f t="shared" si="461"/>
        <v>0.15704504934176086</v>
      </c>
      <c r="I1092" s="13">
        <f t="shared" si="455"/>
        <v>6.4128140741473563E-2</v>
      </c>
      <c r="J1092" s="13">
        <f t="shared" si="456"/>
        <v>0.29675122630491024</v>
      </c>
      <c r="K1092" s="106"/>
      <c r="AA1092" s="106"/>
    </row>
    <row r="1093" spans="3:27">
      <c r="C1093" s="17">
        <f t="shared" si="458"/>
        <v>93</v>
      </c>
      <c r="D1093" s="13">
        <f t="shared" si="459"/>
        <v>397</v>
      </c>
      <c r="E1093" s="13">
        <f>VLOOKUP(C1093,'Mortality Table'!$A$5:$E$153,IF(SRP_Gender="female",5,4),FALSE)</f>
        <v>0.10079</v>
      </c>
      <c r="F1093" s="13">
        <f t="shared" si="457"/>
        <v>8.8141488578920013E-3</v>
      </c>
      <c r="G1093" s="18">
        <f t="shared" si="460"/>
        <v>0.40504775889014183</v>
      </c>
      <c r="H1093" s="35">
        <f t="shared" si="461"/>
        <v>0.16018595032859609</v>
      </c>
      <c r="I1093" s="13">
        <f t="shared" si="455"/>
        <v>6.4882960186285421E-2</v>
      </c>
      <c r="J1093" s="13">
        <f t="shared" si="456"/>
        <v>0.29584223868895415</v>
      </c>
      <c r="K1093" s="106"/>
      <c r="AA1093" s="106"/>
    </row>
    <row r="1094" spans="3:27">
      <c r="C1094" s="17">
        <f t="shared" si="458"/>
        <v>93</v>
      </c>
      <c r="D1094" s="13">
        <f t="shared" si="459"/>
        <v>398</v>
      </c>
      <c r="E1094" s="13">
        <f>VLOOKUP(C1094,'Mortality Table'!$A$5:$E$153,IF(SRP_Gender="female",5,4),FALSE)</f>
        <v>0.10079</v>
      </c>
      <c r="F1094" s="13">
        <f t="shared" si="457"/>
        <v>8.8141488578920013E-3</v>
      </c>
      <c r="G1094" s="18">
        <f t="shared" si="460"/>
        <v>0.40147760764872858</v>
      </c>
      <c r="H1094" s="35">
        <f t="shared" si="461"/>
        <v>0.16018595032859609</v>
      </c>
      <c r="I1094" s="13">
        <f t="shared" si="455"/>
        <v>6.4311072116862822E-2</v>
      </c>
      <c r="J1094" s="13">
        <f t="shared" si="456"/>
        <v>0.29493603542033242</v>
      </c>
      <c r="K1094" s="106"/>
      <c r="AA1094" s="106"/>
    </row>
    <row r="1095" spans="3:27">
      <c r="C1095" s="17">
        <f t="shared" si="458"/>
        <v>93</v>
      </c>
      <c r="D1095" s="13">
        <f t="shared" si="459"/>
        <v>399</v>
      </c>
      <c r="E1095" s="13">
        <f>VLOOKUP(C1095,'Mortality Table'!$A$5:$E$153,IF(SRP_Gender="female",5,4),FALSE)</f>
        <v>0.10079</v>
      </c>
      <c r="F1095" s="13">
        <f t="shared" si="457"/>
        <v>8.8141488578920013E-3</v>
      </c>
      <c r="G1095" s="18">
        <f t="shared" si="460"/>
        <v>0.39793892425180233</v>
      </c>
      <c r="H1095" s="35">
        <f t="shared" si="461"/>
        <v>0.16018595032859609</v>
      </c>
      <c r="I1095" s="13">
        <f t="shared" si="455"/>
        <v>6.3744224754014173E-2</v>
      </c>
      <c r="J1095" s="13">
        <f t="shared" si="456"/>
        <v>0.2940326079702269</v>
      </c>
      <c r="K1095" s="106"/>
      <c r="AA1095" s="106"/>
    </row>
    <row r="1096" spans="3:27">
      <c r="C1096" s="17">
        <f t="shared" si="458"/>
        <v>93</v>
      </c>
      <c r="D1096" s="13">
        <f t="shared" si="459"/>
        <v>400</v>
      </c>
      <c r="E1096" s="13">
        <f>VLOOKUP(C1096,'Mortality Table'!$A$5:$E$153,IF(SRP_Gender="female",5,4),FALSE)</f>
        <v>0.10079</v>
      </c>
      <c r="F1096" s="13">
        <f t="shared" si="457"/>
        <v>8.8141488578920013E-3</v>
      </c>
      <c r="G1096" s="18">
        <f t="shared" si="460"/>
        <v>0.39443143133709752</v>
      </c>
      <c r="H1096" s="35">
        <f t="shared" si="461"/>
        <v>0.16018595032859609</v>
      </c>
      <c r="I1096" s="13">
        <f t="shared" si="455"/>
        <v>6.3182373668201355E-2</v>
      </c>
      <c r="J1096" s="13">
        <f t="shared" si="456"/>
        <v>0.29313194783594437</v>
      </c>
      <c r="K1096" s="106"/>
      <c r="AA1096" s="106"/>
    </row>
    <row r="1097" spans="3:27">
      <c r="C1097" s="17">
        <f t="shared" si="458"/>
        <v>93</v>
      </c>
      <c r="D1097" s="13">
        <f t="shared" si="459"/>
        <v>401</v>
      </c>
      <c r="E1097" s="13">
        <f>VLOOKUP(C1097,'Mortality Table'!$A$5:$E$153,IF(SRP_Gender="female",5,4),FALSE)</f>
        <v>0.10079</v>
      </c>
      <c r="F1097" s="13">
        <f t="shared" si="457"/>
        <v>8.8141488578920013E-3</v>
      </c>
      <c r="G1097" s="18">
        <f t="shared" si="460"/>
        <v>0.39095485398706092</v>
      </c>
      <c r="H1097" s="35">
        <f t="shared" si="461"/>
        <v>0.16018595032859609</v>
      </c>
      <c r="I1097" s="13">
        <f t="shared" si="455"/>
        <v>6.2625474821494873E-2</v>
      </c>
      <c r="J1097" s="13">
        <f t="shared" si="456"/>
        <v>0.29223404654083662</v>
      </c>
      <c r="K1097" s="106"/>
      <c r="AA1097" s="106"/>
    </row>
    <row r="1098" spans="3:27">
      <c r="C1098" s="17">
        <f t="shared" si="458"/>
        <v>93</v>
      </c>
      <c r="D1098" s="13">
        <f t="shared" si="459"/>
        <v>402</v>
      </c>
      <c r="E1098" s="13">
        <f>VLOOKUP(C1098,'Mortality Table'!$A$5:$E$153,IF(SRP_Gender="female",5,4),FALSE)</f>
        <v>0.10079</v>
      </c>
      <c r="F1098" s="13">
        <f t="shared" si="457"/>
        <v>8.8141488578920013E-3</v>
      </c>
      <c r="G1098" s="18">
        <f t="shared" si="460"/>
        <v>0.38750891970730356</v>
      </c>
      <c r="H1098" s="35">
        <f t="shared" si="461"/>
        <v>0.16018595032859609</v>
      </c>
      <c r="I1098" s="13">
        <f t="shared" si="455"/>
        <v>6.207348456412206E-2</v>
      </c>
      <c r="J1098" s="13">
        <f t="shared" si="456"/>
        <v>0.29133889563422</v>
      </c>
      <c r="K1098" s="106"/>
      <c r="AA1098" s="106"/>
    </row>
    <row r="1099" spans="3:27">
      <c r="C1099" s="17">
        <f t="shared" si="458"/>
        <v>93</v>
      </c>
      <c r="D1099" s="13">
        <f t="shared" si="459"/>
        <v>403</v>
      </c>
      <c r="E1099" s="13">
        <f>VLOOKUP(C1099,'Mortality Table'!$A$5:$E$153,IF(SRP_Gender="female",5,4),FALSE)</f>
        <v>0.10079</v>
      </c>
      <c r="F1099" s="13">
        <f t="shared" si="457"/>
        <v>8.8141488578920013E-3</v>
      </c>
      <c r="G1099" s="18">
        <f t="shared" si="460"/>
        <v>0.38409335840524245</v>
      </c>
      <c r="H1099" s="35">
        <f t="shared" si="461"/>
        <v>0.16018595032859609</v>
      </c>
      <c r="I1099" s="13">
        <f t="shared" si="455"/>
        <v>6.1526359631045822E-2</v>
      </c>
      <c r="J1099" s="13">
        <f t="shared" si="456"/>
        <v>0.29044648669129691</v>
      </c>
      <c r="K1099" s="106"/>
      <c r="AA1099" s="106"/>
    </row>
    <row r="1100" spans="3:27">
      <c r="C1100" s="17">
        <f t="shared" si="458"/>
        <v>93</v>
      </c>
      <c r="D1100" s="13">
        <f t="shared" si="459"/>
        <v>404</v>
      </c>
      <c r="E1100" s="13">
        <f>VLOOKUP(C1100,'Mortality Table'!$A$5:$E$153,IF(SRP_Gender="female",5,4),FALSE)</f>
        <v>0.10079</v>
      </c>
      <c r="F1100" s="13">
        <f t="shared" si="457"/>
        <v>8.8141488578920013E-3</v>
      </c>
      <c r="G1100" s="18">
        <f t="shared" si="460"/>
        <v>0.38070790236893098</v>
      </c>
      <c r="H1100" s="35">
        <f t="shared" si="461"/>
        <v>0.16018595032859609</v>
      </c>
      <c r="I1100" s="13">
        <f t="shared" si="455"/>
        <v>6.0984057138573584E-2</v>
      </c>
      <c r="J1100" s="13">
        <f t="shared" si="456"/>
        <v>0.28955681131307587</v>
      </c>
      <c r="K1100" s="106"/>
      <c r="AA1100" s="106"/>
    </row>
    <row r="1101" spans="3:27">
      <c r="C1101" s="17">
        <f t="shared" si="458"/>
        <v>93</v>
      </c>
      <c r="D1101" s="13">
        <f t="shared" si="459"/>
        <v>405</v>
      </c>
      <c r="E1101" s="13">
        <f>VLOOKUP(C1101,'Mortality Table'!$A$5:$E$153,IF(SRP_Gender="female",5,4),FALSE)</f>
        <v>0.10079</v>
      </c>
      <c r="F1101" s="13">
        <f t="shared" si="457"/>
        <v>8.8141488578920013E-3</v>
      </c>
      <c r="G1101" s="18">
        <f t="shared" si="460"/>
        <v>0.37735228624607542</v>
      </c>
      <c r="H1101" s="35">
        <f t="shared" si="461"/>
        <v>0.16018595032859609</v>
      </c>
      <c r="I1101" s="13">
        <f t="shared" si="455"/>
        <v>6.0446534580996011E-2</v>
      </c>
      <c r="J1101" s="13">
        <f t="shared" si="456"/>
        <v>0.28866986112629234</v>
      </c>
      <c r="K1101" s="106"/>
      <c r="AA1101" s="106"/>
    </row>
    <row r="1102" spans="3:27">
      <c r="C1102" s="17">
        <f t="shared" si="458"/>
        <v>93</v>
      </c>
      <c r="D1102" s="13">
        <f t="shared" si="459"/>
        <v>406</v>
      </c>
      <c r="E1102" s="13">
        <f>VLOOKUP(C1102,'Mortality Table'!$A$5:$E$153,IF(SRP_Gender="female",5,4),FALSE)</f>
        <v>0.10079</v>
      </c>
      <c r="F1102" s="13">
        <f t="shared" si="457"/>
        <v>8.8141488578920013E-3</v>
      </c>
      <c r="G1102" s="18">
        <f t="shared" si="460"/>
        <v>0.37402624702323661</v>
      </c>
      <c r="H1102" s="35">
        <f t="shared" si="461"/>
        <v>0.16018595032859609</v>
      </c>
      <c r="I1102" s="13">
        <f t="shared" si="455"/>
        <v>5.9913749827255391E-2</v>
      </c>
      <c r="J1102" s="13">
        <f t="shared" si="456"/>
        <v>0.28778562778333044</v>
      </c>
      <c r="K1102" s="106"/>
      <c r="AA1102" s="106"/>
    </row>
    <row r="1103" spans="3:27">
      <c r="C1103" s="17">
        <f t="shared" si="458"/>
        <v>93</v>
      </c>
      <c r="D1103" s="13">
        <f t="shared" si="459"/>
        <v>407</v>
      </c>
      <c r="E1103" s="13">
        <f>VLOOKUP(C1103,'Mortality Table'!$A$5:$E$153,IF(SRP_Gender="female",5,4),FALSE)</f>
        <v>0.10079</v>
      </c>
      <c r="F1103" s="13">
        <f t="shared" si="457"/>
        <v>8.8141488578920013E-3</v>
      </c>
      <c r="G1103" s="18">
        <f t="shared" si="460"/>
        <v>0.37072952400521514</v>
      </c>
      <c r="H1103" s="35">
        <f t="shared" si="461"/>
        <v>0.16018595032859609</v>
      </c>
      <c r="I1103" s="13">
        <f t="shared" si="455"/>
        <v>5.9385661117643464E-2</v>
      </c>
      <c r="J1103" s="13">
        <f t="shared" si="456"/>
        <v>0.28690410296214414</v>
      </c>
      <c r="K1103" s="106"/>
      <c r="AA1103" s="106"/>
    </row>
    <row r="1104" spans="3:27">
      <c r="C1104" s="17">
        <f t="shared" si="458"/>
        <v>93</v>
      </c>
      <c r="D1104" s="13">
        <f t="shared" si="459"/>
        <v>408</v>
      </c>
      <c r="E1104" s="13">
        <f>VLOOKUP(C1104,'Mortality Table'!$A$5:$E$153,IF(SRP_Gender="female",5,4),FALSE)</f>
        <v>0.10079</v>
      </c>
      <c r="F1104" s="13">
        <f t="shared" si="457"/>
        <v>8.8141488578920013E-3</v>
      </c>
      <c r="G1104" s="18">
        <f t="shared" si="460"/>
        <v>0.36746185879461774</v>
      </c>
      <c r="H1104" s="35">
        <f t="shared" si="461"/>
        <v>0.16018595032859609</v>
      </c>
      <c r="I1104" s="13">
        <f t="shared" si="455"/>
        <v>5.8862227060528224E-2</v>
      </c>
      <c r="J1104" s="13">
        <f t="shared" si="456"/>
        <v>0.28602527836617853</v>
      </c>
      <c r="K1104" s="106"/>
      <c r="AA1104" s="106"/>
    </row>
    <row r="1105" spans="3:27">
      <c r="C1105" s="17">
        <f t="shared" si="458"/>
        <v>94</v>
      </c>
      <c r="D1105" s="13">
        <f t="shared" si="459"/>
        <v>409</v>
      </c>
      <c r="E1105" s="13">
        <f>VLOOKUP(C1105,'Mortality Table'!$A$5:$E$153,IF(SRP_Gender="female",5,4),FALSE)</f>
        <v>0.10932500000000001</v>
      </c>
      <c r="F1105" s="13">
        <f t="shared" si="457"/>
        <v>9.6015806877350895E-3</v>
      </c>
      <c r="G1105" s="18">
        <f t="shared" si="460"/>
        <v>0.36422299527160429</v>
      </c>
      <c r="H1105" s="35">
        <f t="shared" si="461"/>
        <v>0.16338966933516802</v>
      </c>
      <c r="I1105" s="13">
        <f t="shared" si="455"/>
        <v>5.9510274761691892E-2</v>
      </c>
      <c r="J1105" s="13">
        <f t="shared" si="456"/>
        <v>0.28514914572429317</v>
      </c>
      <c r="K1105" s="106"/>
      <c r="AA1105" s="106"/>
    </row>
    <row r="1106" spans="3:27">
      <c r="C1106" s="17">
        <f t="shared" si="458"/>
        <v>94</v>
      </c>
      <c r="D1106" s="13">
        <f t="shared" si="459"/>
        <v>410</v>
      </c>
      <c r="E1106" s="13">
        <f>VLOOKUP(C1106,'Mortality Table'!$A$5:$E$153,IF(SRP_Gender="female",5,4),FALSE)</f>
        <v>0.10932500000000001</v>
      </c>
      <c r="F1106" s="13">
        <f t="shared" si="457"/>
        <v>9.6015806877350895E-3</v>
      </c>
      <c r="G1106" s="18">
        <f t="shared" si="460"/>
        <v>0.36072587879417545</v>
      </c>
      <c r="H1106" s="35">
        <f t="shared" si="461"/>
        <v>0.16338966933516802</v>
      </c>
      <c r="I1106" s="13">
        <f t="shared" si="455"/>
        <v>5.8938882056818222E-2</v>
      </c>
      <c r="J1106" s="13">
        <f t="shared" si="456"/>
        <v>0.28427569679068182</v>
      </c>
      <c r="K1106" s="106"/>
      <c r="AA1106" s="106"/>
    </row>
    <row r="1107" spans="3:27">
      <c r="C1107" s="17">
        <f t="shared" si="458"/>
        <v>94</v>
      </c>
      <c r="D1107" s="13">
        <f t="shared" si="459"/>
        <v>411</v>
      </c>
      <c r="E1107" s="13">
        <f>VLOOKUP(C1107,'Mortality Table'!$A$5:$E$153,IF(SRP_Gender="female",5,4),FALSE)</f>
        <v>0.10932500000000001</v>
      </c>
      <c r="F1107" s="13">
        <f t="shared" si="457"/>
        <v>9.6015806877350895E-3</v>
      </c>
      <c r="G1107" s="18">
        <f t="shared" si="460"/>
        <v>0.35726234016277902</v>
      </c>
      <c r="H1107" s="35">
        <f t="shared" si="461"/>
        <v>0.16338966933516802</v>
      </c>
      <c r="I1107" s="13">
        <f t="shared" si="455"/>
        <v>5.8372975625104781E-2</v>
      </c>
      <c r="J1107" s="13">
        <f t="shared" si="456"/>
        <v>0.283404923344797</v>
      </c>
      <c r="K1107" s="106"/>
      <c r="AA1107" s="106"/>
    </row>
    <row r="1108" spans="3:27">
      <c r="C1108" s="17">
        <f t="shared" si="458"/>
        <v>94</v>
      </c>
      <c r="D1108" s="13">
        <f t="shared" si="459"/>
        <v>412</v>
      </c>
      <c r="E1108" s="13">
        <f>VLOOKUP(C1108,'Mortality Table'!$A$5:$E$153,IF(SRP_Gender="female",5,4),FALSE)</f>
        <v>0.10932500000000001</v>
      </c>
      <c r="F1108" s="13">
        <f t="shared" si="457"/>
        <v>9.6015806877350895E-3</v>
      </c>
      <c r="G1108" s="18">
        <f t="shared" si="460"/>
        <v>0.35383205697701703</v>
      </c>
      <c r="H1108" s="35">
        <f t="shared" si="461"/>
        <v>0.16338966933516802</v>
      </c>
      <c r="I1108" s="13">
        <f t="shared" si="455"/>
        <v>5.781250278965714E-2</v>
      </c>
      <c r="J1108" s="13">
        <f t="shared" si="456"/>
        <v>0.28253681719127166</v>
      </c>
      <c r="K1108" s="106"/>
      <c r="AA1108" s="106"/>
    </row>
    <row r="1109" spans="3:27">
      <c r="C1109" s="17">
        <f t="shared" si="458"/>
        <v>94</v>
      </c>
      <c r="D1109" s="13">
        <f t="shared" si="459"/>
        <v>413</v>
      </c>
      <c r="E1109" s="13">
        <f>VLOOKUP(C1109,'Mortality Table'!$A$5:$E$153,IF(SRP_Gender="female",5,4),FALSE)</f>
        <v>0.10932500000000001</v>
      </c>
      <c r="F1109" s="13">
        <f t="shared" si="457"/>
        <v>9.6015806877350895E-3</v>
      </c>
      <c r="G1109" s="18">
        <f t="shared" si="460"/>
        <v>0.3504347099320449</v>
      </c>
      <c r="H1109" s="35">
        <f t="shared" si="461"/>
        <v>0.16338966933516802</v>
      </c>
      <c r="I1109" s="13">
        <f t="shared" si="455"/>
        <v>5.7257411379362334E-2</v>
      </c>
      <c r="J1109" s="13">
        <f t="shared" si="456"/>
        <v>0.2816713701598425</v>
      </c>
      <c r="K1109" s="106"/>
      <c r="AA1109" s="106"/>
    </row>
    <row r="1110" spans="3:27">
      <c r="C1110" s="17">
        <f t="shared" si="458"/>
        <v>94</v>
      </c>
      <c r="D1110" s="13">
        <f t="shared" si="459"/>
        <v>414</v>
      </c>
      <c r="E1110" s="13">
        <f>VLOOKUP(C1110,'Mortality Table'!$A$5:$E$153,IF(SRP_Gender="female",5,4),FALSE)</f>
        <v>0.10932500000000001</v>
      </c>
      <c r="F1110" s="13">
        <f t="shared" si="457"/>
        <v>9.6015806877350895E-3</v>
      </c>
      <c r="G1110" s="18">
        <f t="shared" si="460"/>
        <v>0.34706998278884932</v>
      </c>
      <c r="H1110" s="35">
        <f t="shared" si="461"/>
        <v>0.16338966933516802</v>
      </c>
      <c r="I1110" s="13">
        <f t="shared" si="455"/>
        <v>5.6707649724032548E-2</v>
      </c>
      <c r="J1110" s="13">
        <f t="shared" si="456"/>
        <v>0.28080857410527227</v>
      </c>
      <c r="K1110" s="106"/>
      <c r="AA1110" s="106"/>
    </row>
    <row r="1111" spans="3:27">
      <c r="C1111" s="17">
        <f t="shared" si="458"/>
        <v>94</v>
      </c>
      <c r="D1111" s="13">
        <f t="shared" si="459"/>
        <v>415</v>
      </c>
      <c r="E1111" s="13">
        <f>VLOOKUP(C1111,'Mortality Table'!$A$5:$E$153,IF(SRP_Gender="female",5,4),FALSE)</f>
        <v>0.10932500000000001</v>
      </c>
      <c r="F1111" s="13">
        <f t="shared" si="457"/>
        <v>9.6015806877350895E-3</v>
      </c>
      <c r="G1111" s="18">
        <f t="shared" si="460"/>
        <v>0.34373756234481134</v>
      </c>
      <c r="H1111" s="35">
        <f t="shared" si="461"/>
        <v>0.16338966933516802</v>
      </c>
      <c r="I1111" s="13">
        <f t="shared" si="455"/>
        <v>5.6163166649595427E-2</v>
      </c>
      <c r="J1111" s="13">
        <f t="shared" si="456"/>
        <v>0.27994842090727412</v>
      </c>
      <c r="K1111" s="106"/>
      <c r="AA1111" s="106"/>
    </row>
    <row r="1112" spans="3:27">
      <c r="C1112" s="17">
        <f t="shared" si="458"/>
        <v>94</v>
      </c>
      <c r="D1112" s="13">
        <f t="shared" si="459"/>
        <v>416</v>
      </c>
      <c r="E1112" s="13">
        <f>VLOOKUP(C1112,'Mortality Table'!$A$5:$E$153,IF(SRP_Gender="female",5,4),FALSE)</f>
        <v>0.10932500000000001</v>
      </c>
      <c r="F1112" s="13">
        <f t="shared" si="457"/>
        <v>9.6015806877350895E-3</v>
      </c>
      <c r="G1112" s="18">
        <f t="shared" si="460"/>
        <v>0.34043713840455225</v>
      </c>
      <c r="H1112" s="35">
        <f t="shared" si="461"/>
        <v>0.16338966933516802</v>
      </c>
      <c r="I1112" s="13">
        <f t="shared" si="455"/>
        <v>5.5623911473330623E-2</v>
      </c>
      <c r="J1112" s="13">
        <f t="shared" si="456"/>
        <v>0.27909090247043455</v>
      </c>
      <c r="K1112" s="106"/>
      <c r="AA1112" s="106"/>
    </row>
    <row r="1113" spans="3:27">
      <c r="C1113" s="17">
        <f t="shared" si="458"/>
        <v>94</v>
      </c>
      <c r="D1113" s="13">
        <f t="shared" si="459"/>
        <v>417</v>
      </c>
      <c r="E1113" s="13">
        <f>VLOOKUP(C1113,'Mortality Table'!$A$5:$E$153,IF(SRP_Gender="female",5,4),FALSE)</f>
        <v>0.10932500000000001</v>
      </c>
      <c r="F1113" s="13">
        <f t="shared" si="457"/>
        <v>9.6015806877350895E-3</v>
      </c>
      <c r="G1113" s="18">
        <f t="shared" si="460"/>
        <v>0.33716840375105933</v>
      </c>
      <c r="H1113" s="35">
        <f t="shared" si="461"/>
        <v>0.16338966933516802</v>
      </c>
      <c r="I1113" s="13">
        <f t="shared" si="455"/>
        <v>5.5089833999152009E-2</v>
      </c>
      <c r="J1113" s="13">
        <f t="shared" si="456"/>
        <v>0.27823601072413712</v>
      </c>
      <c r="K1113" s="106"/>
      <c r="AA1113" s="106"/>
    </row>
    <row r="1114" spans="3:27">
      <c r="C1114" s="17">
        <f t="shared" si="458"/>
        <v>94</v>
      </c>
      <c r="D1114" s="13">
        <f t="shared" si="459"/>
        <v>418</v>
      </c>
      <c r="E1114" s="13">
        <f>VLOOKUP(C1114,'Mortality Table'!$A$5:$E$153,IF(SRP_Gender="female",5,4),FALSE)</f>
        <v>0.10932500000000001</v>
      </c>
      <c r="F1114" s="13">
        <f t="shared" si="457"/>
        <v>9.6015806877350895E-3</v>
      </c>
      <c r="G1114" s="18">
        <f t="shared" si="460"/>
        <v>0.33393105411708868</v>
      </c>
      <c r="H1114" s="35">
        <f t="shared" si="461"/>
        <v>0.16338966933516802</v>
      </c>
      <c r="I1114" s="13">
        <f t="shared" si="455"/>
        <v>5.4560884512935219E-2</v>
      </c>
      <c r="J1114" s="13">
        <f t="shared" si="456"/>
        <v>0.27738373762248714</v>
      </c>
      <c r="K1114" s="106"/>
      <c r="AA1114" s="106"/>
    </row>
    <row r="1115" spans="3:27">
      <c r="C1115" s="17">
        <f t="shared" si="458"/>
        <v>94</v>
      </c>
      <c r="D1115" s="13">
        <f t="shared" si="459"/>
        <v>419</v>
      </c>
      <c r="E1115" s="13">
        <f>VLOOKUP(C1115,'Mortality Table'!$A$5:$E$153,IF(SRP_Gender="female",5,4),FALSE)</f>
        <v>0.10932500000000001</v>
      </c>
      <c r="F1115" s="13">
        <f t="shared" si="457"/>
        <v>9.6015806877350895E-3</v>
      </c>
      <c r="G1115" s="18">
        <f t="shared" si="460"/>
        <v>0.33072478815684303</v>
      </c>
      <c r="H1115" s="35">
        <f t="shared" si="461"/>
        <v>0.16338966933516802</v>
      </c>
      <c r="I1115" s="13">
        <f t="shared" si="455"/>
        <v>5.4037013777890074E-2</v>
      </c>
      <c r="J1115" s="13">
        <f t="shared" si="456"/>
        <v>0.27653407514423528</v>
      </c>
      <c r="K1115" s="106"/>
      <c r="AA1115" s="106"/>
    </row>
    <row r="1116" spans="3:27">
      <c r="C1116" s="17">
        <f t="shared" si="458"/>
        <v>94</v>
      </c>
      <c r="D1116" s="13">
        <f t="shared" si="459"/>
        <v>420</v>
      </c>
      <c r="E1116" s="13">
        <f>VLOOKUP(C1116,'Mortality Table'!$A$5:$E$153,IF(SRP_Gender="female",5,4),FALSE)</f>
        <v>0.10932500000000001</v>
      </c>
      <c r="F1116" s="13">
        <f t="shared" si="457"/>
        <v>9.6015806877350895E-3</v>
      </c>
      <c r="G1116" s="18">
        <f t="shared" si="460"/>
        <v>0.32754930741792099</v>
      </c>
      <c r="H1116" s="35">
        <f t="shared" si="461"/>
        <v>0.16338966933516802</v>
      </c>
      <c r="I1116" s="13">
        <f t="shared" si="455"/>
        <v>5.3518173029977405E-2</v>
      </c>
      <c r="J1116" s="13">
        <f t="shared" si="456"/>
        <v>0.27568701529270218</v>
      </c>
      <c r="K1116" s="106"/>
      <c r="AA1116" s="106"/>
    </row>
    <row r="1117" spans="3:27">
      <c r="C1117" s="17">
        <f t="shared" si="458"/>
        <v>95</v>
      </c>
      <c r="D1117" s="13">
        <f t="shared" si="459"/>
        <v>421</v>
      </c>
      <c r="E1117" s="13">
        <f>VLOOKUP(C1117,'Mortality Table'!$A$5:$E$153,IF(SRP_Gender="female",5,4),FALSE)</f>
        <v>0.11824</v>
      </c>
      <c r="F1117" s="13">
        <f t="shared" si="457"/>
        <v>1.0431491374866209E-2</v>
      </c>
      <c r="G1117" s="18">
        <f t="shared" si="460"/>
        <v>0.32440431631353606</v>
      </c>
      <c r="H1117" s="35">
        <f t="shared" si="461"/>
        <v>0.16665746272187137</v>
      </c>
      <c r="I1117" s="13">
        <f t="shared" si="455"/>
        <v>5.4064400252837305E-2</v>
      </c>
      <c r="J1117" s="13">
        <f t="shared" si="456"/>
        <v>0.27484255009570424</v>
      </c>
      <c r="K1117" s="106"/>
      <c r="AA1117" s="106"/>
    </row>
    <row r="1118" spans="3:27">
      <c r="C1118" s="17">
        <f t="shared" si="458"/>
        <v>95</v>
      </c>
      <c r="D1118" s="13">
        <f t="shared" si="459"/>
        <v>422</v>
      </c>
      <c r="E1118" s="13">
        <f>VLOOKUP(C1118,'Mortality Table'!$A$5:$E$153,IF(SRP_Gender="female",5,4),FALSE)</f>
        <v>0.11824</v>
      </c>
      <c r="F1118" s="13">
        <f t="shared" si="457"/>
        <v>1.0431491374866209E-2</v>
      </c>
      <c r="G1118" s="18">
        <f t="shared" si="460"/>
        <v>0.32102029548594202</v>
      </c>
      <c r="H1118" s="35">
        <f t="shared" si="461"/>
        <v>0.16665746272187137</v>
      </c>
      <c r="I1118" s="13">
        <f t="shared" si="455"/>
        <v>5.3500427927912514E-2</v>
      </c>
      <c r="J1118" s="13">
        <f t="shared" si="456"/>
        <v>0.27400067160547642</v>
      </c>
      <c r="K1118" s="106"/>
      <c r="AA1118" s="106"/>
    </row>
    <row r="1119" spans="3:27">
      <c r="C1119" s="17">
        <f t="shared" si="458"/>
        <v>95</v>
      </c>
      <c r="D1119" s="13">
        <f t="shared" si="459"/>
        <v>423</v>
      </c>
      <c r="E1119" s="13">
        <f>VLOOKUP(C1119,'Mortality Table'!$A$5:$E$153,IF(SRP_Gender="female",5,4),FALSE)</f>
        <v>0.11824</v>
      </c>
      <c r="F1119" s="13">
        <f t="shared" si="457"/>
        <v>1.0431491374866209E-2</v>
      </c>
      <c r="G1119" s="18">
        <f t="shared" si="460"/>
        <v>0.31767157504242344</v>
      </c>
      <c r="H1119" s="35">
        <f t="shared" si="461"/>
        <v>0.16665746272187137</v>
      </c>
      <c r="I1119" s="13">
        <f t="shared" si="455"/>
        <v>5.2942338675430849E-2</v>
      </c>
      <c r="J1119" s="13">
        <f t="shared" si="456"/>
        <v>0.27316137189859951</v>
      </c>
      <c r="K1119" s="106"/>
      <c r="AA1119" s="106"/>
    </row>
    <row r="1120" spans="3:27">
      <c r="C1120" s="17">
        <f t="shared" si="458"/>
        <v>95</v>
      </c>
      <c r="D1120" s="13">
        <f t="shared" si="459"/>
        <v>424</v>
      </c>
      <c r="E1120" s="13">
        <f>VLOOKUP(C1120,'Mortality Table'!$A$5:$E$153,IF(SRP_Gender="female",5,4),FALSE)</f>
        <v>0.11824</v>
      </c>
      <c r="F1120" s="13">
        <f t="shared" si="457"/>
        <v>1.0431491374866209E-2</v>
      </c>
      <c r="G1120" s="18">
        <f t="shared" si="460"/>
        <v>0.31435778674732823</v>
      </c>
      <c r="H1120" s="35">
        <f t="shared" si="461"/>
        <v>0.16665746272187137</v>
      </c>
      <c r="I1120" s="13">
        <f t="shared" si="455"/>
        <v>5.2390071126172846E-2</v>
      </c>
      <c r="J1120" s="13">
        <f t="shared" si="456"/>
        <v>0.27232464307592447</v>
      </c>
      <c r="K1120" s="106"/>
      <c r="AA1120" s="106"/>
    </row>
    <row r="1121" spans="3:27">
      <c r="C1121" s="17">
        <f t="shared" si="458"/>
        <v>95</v>
      </c>
      <c r="D1121" s="13">
        <f t="shared" si="459"/>
        <v>425</v>
      </c>
      <c r="E1121" s="13">
        <f>VLOOKUP(C1121,'Mortality Table'!$A$5:$E$153,IF(SRP_Gender="female",5,4),FALSE)</f>
        <v>0.11824</v>
      </c>
      <c r="F1121" s="13">
        <f t="shared" si="457"/>
        <v>1.0431491374866209E-2</v>
      </c>
      <c r="G1121" s="18">
        <f t="shared" si="460"/>
        <v>0.31107856620625146</v>
      </c>
      <c r="H1121" s="35">
        <f t="shared" si="461"/>
        <v>0.16665746272187137</v>
      </c>
      <c r="I1121" s="13">
        <f t="shared" si="455"/>
        <v>5.1843564551091549E-2</v>
      </c>
      <c r="J1121" s="13">
        <f t="shared" si="456"/>
        <v>0.27149047726249875</v>
      </c>
      <c r="K1121" s="106"/>
      <c r="AA1121" s="106"/>
    </row>
    <row r="1122" spans="3:27">
      <c r="C1122" s="17">
        <f t="shared" si="458"/>
        <v>95</v>
      </c>
      <c r="D1122" s="13">
        <f t="shared" si="459"/>
        <v>426</v>
      </c>
      <c r="E1122" s="13">
        <f>VLOOKUP(C1122,'Mortality Table'!$A$5:$E$153,IF(SRP_Gender="female",5,4),FALSE)</f>
        <v>0.11824</v>
      </c>
      <c r="F1122" s="13">
        <f t="shared" si="457"/>
        <v>1.0431491374866209E-2</v>
      </c>
      <c r="G1122" s="18">
        <f t="shared" si="460"/>
        <v>0.3078335528259652</v>
      </c>
      <c r="H1122" s="35">
        <f t="shared" si="461"/>
        <v>0.16665746272187137</v>
      </c>
      <c r="I1122" s="13">
        <f t="shared" si="455"/>
        <v>5.130275885463452E-2</v>
      </c>
      <c r="J1122" s="13">
        <f t="shared" si="456"/>
        <v>0.27065886660749133</v>
      </c>
      <c r="K1122" s="106"/>
      <c r="AA1122" s="106"/>
    </row>
    <row r="1123" spans="3:27">
      <c r="C1123" s="17">
        <f t="shared" si="458"/>
        <v>95</v>
      </c>
      <c r="D1123" s="13">
        <f t="shared" si="459"/>
        <v>427</v>
      </c>
      <c r="E1123" s="13">
        <f>VLOOKUP(C1123,'Mortality Table'!$A$5:$E$153,IF(SRP_Gender="female",5,4),FALSE)</f>
        <v>0.11824</v>
      </c>
      <c r="F1123" s="13">
        <f t="shared" si="457"/>
        <v>1.0431491374866209E-2</v>
      </c>
      <c r="G1123" s="18">
        <f t="shared" si="460"/>
        <v>0.30462238977476674</v>
      </c>
      <c r="H1123" s="35">
        <f t="shared" si="461"/>
        <v>0.16665746272187137</v>
      </c>
      <c r="I1123" s="13">
        <f t="shared" si="455"/>
        <v>5.0767594568135559E-2</v>
      </c>
      <c r="J1123" s="13">
        <f t="shared" si="456"/>
        <v>0.2698298032841196</v>
      </c>
      <c r="K1123" s="106"/>
      <c r="AA1123" s="106"/>
    </row>
    <row r="1124" spans="3:27">
      <c r="C1124" s="17">
        <f t="shared" si="458"/>
        <v>95</v>
      </c>
      <c r="D1124" s="13">
        <f t="shared" si="459"/>
        <v>428</v>
      </c>
      <c r="E1124" s="13">
        <f>VLOOKUP(C1124,'Mortality Table'!$A$5:$E$153,IF(SRP_Gender="female",5,4),FALSE)</f>
        <v>0.11824</v>
      </c>
      <c r="F1124" s="13">
        <f t="shared" si="457"/>
        <v>1.0431491374866209E-2</v>
      </c>
      <c r="G1124" s="18">
        <f t="shared" si="460"/>
        <v>0.30144472394324012</v>
      </c>
      <c r="H1124" s="35">
        <f t="shared" si="461"/>
        <v>0.16665746272187137</v>
      </c>
      <c r="I1124" s="13">
        <f t="shared" si="455"/>
        <v>5.0238012843275351E-2</v>
      </c>
      <c r="J1124" s="13">
        <f t="shared" si="456"/>
        <v>0.26900327948957548</v>
      </c>
      <c r="K1124" s="106"/>
      <c r="AA1124" s="106"/>
    </row>
    <row r="1125" spans="3:27">
      <c r="C1125" s="17">
        <f t="shared" si="458"/>
        <v>95</v>
      </c>
      <c r="D1125" s="13">
        <f t="shared" si="459"/>
        <v>429</v>
      </c>
      <c r="E1125" s="13">
        <f>VLOOKUP(C1125,'Mortality Table'!$A$5:$E$153,IF(SRP_Gender="female",5,4),FALSE)</f>
        <v>0.11824</v>
      </c>
      <c r="F1125" s="13">
        <f t="shared" si="457"/>
        <v>1.0431491374866209E-2</v>
      </c>
      <c r="G1125" s="18">
        <f t="shared" si="460"/>
        <v>0.29830020590542727</v>
      </c>
      <c r="H1125" s="35">
        <f t="shared" si="461"/>
        <v>0.16665746272187137</v>
      </c>
      <c r="I1125" s="13">
        <f t="shared" si="455"/>
        <v>4.9713955445610303E-2</v>
      </c>
      <c r="J1125" s="13">
        <f t="shared" si="456"/>
        <v>0.26817928744495145</v>
      </c>
      <c r="K1125" s="106"/>
      <c r="AA1125" s="106"/>
    </row>
    <row r="1126" spans="3:27">
      <c r="C1126" s="17">
        <f t="shared" si="458"/>
        <v>95</v>
      </c>
      <c r="D1126" s="13">
        <f t="shared" si="459"/>
        <v>430</v>
      </c>
      <c r="E1126" s="13">
        <f>VLOOKUP(C1126,'Mortality Table'!$A$5:$E$153,IF(SRP_Gender="female",5,4),FALSE)</f>
        <v>0.11824</v>
      </c>
      <c r="F1126" s="13">
        <f t="shared" si="457"/>
        <v>1.0431491374866209E-2</v>
      </c>
      <c r="G1126" s="18">
        <f t="shared" si="460"/>
        <v>0.29518848988040397</v>
      </c>
      <c r="H1126" s="35">
        <f t="shared" si="461"/>
        <v>0.16665746272187137</v>
      </c>
      <c r="I1126" s="13">
        <f t="shared" si="455"/>
        <v>4.9195364748168928E-2</v>
      </c>
      <c r="J1126" s="13">
        <f t="shared" si="456"/>
        <v>0.26735781939516834</v>
      </c>
      <c r="K1126" s="106"/>
      <c r="AA1126" s="106"/>
    </row>
    <row r="1127" spans="3:27">
      <c r="C1127" s="17">
        <f t="shared" si="458"/>
        <v>95</v>
      </c>
      <c r="D1127" s="13">
        <f t="shared" si="459"/>
        <v>431</v>
      </c>
      <c r="E1127" s="13">
        <f>VLOOKUP(C1127,'Mortality Table'!$A$5:$E$153,IF(SRP_Gender="female",5,4),FALSE)</f>
        <v>0.11824</v>
      </c>
      <c r="F1127" s="13">
        <f t="shared" si="457"/>
        <v>1.0431491374866209E-2</v>
      </c>
      <c r="G1127" s="18">
        <f t="shared" si="460"/>
        <v>0.29210923369425673</v>
      </c>
      <c r="H1127" s="35">
        <f t="shared" si="461"/>
        <v>0.16665746272187137</v>
      </c>
      <c r="I1127" s="13">
        <f t="shared" si="455"/>
        <v>4.8682183725115007E-2</v>
      </c>
      <c r="J1127" s="13">
        <f t="shared" si="456"/>
        <v>0.2665388676089015</v>
      </c>
      <c r="K1127" s="106"/>
      <c r="AA1127" s="106"/>
    </row>
    <row r="1128" spans="3:27">
      <c r="C1128" s="17">
        <f t="shared" si="458"/>
        <v>95</v>
      </c>
      <c r="D1128" s="13">
        <f t="shared" si="459"/>
        <v>432</v>
      </c>
      <c r="E1128" s="13">
        <f>VLOOKUP(C1128,'Mortality Table'!$A$5:$E$153,IF(SRP_Gender="female",5,4),FALSE)</f>
        <v>0.11824</v>
      </c>
      <c r="F1128" s="13">
        <f t="shared" si="457"/>
        <v>1.0431491374866209E-2</v>
      </c>
      <c r="G1128" s="18">
        <f t="shared" si="460"/>
        <v>0.28906209874245631</v>
      </c>
      <c r="H1128" s="35">
        <f t="shared" si="461"/>
        <v>0.16665746272187137</v>
      </c>
      <c r="I1128" s="13">
        <f t="shared" si="455"/>
        <v>4.8174355945476817E-2</v>
      </c>
      <c r="J1128" s="13">
        <f t="shared" si="456"/>
        <v>0.26572242437850807</v>
      </c>
      <c r="K1128" s="106"/>
      <c r="AA1128" s="106"/>
    </row>
    <row r="1129" spans="3:27">
      <c r="C1129" s="17">
        <f t="shared" si="458"/>
        <v>96</v>
      </c>
      <c r="D1129" s="13">
        <f t="shared" si="459"/>
        <v>433</v>
      </c>
      <c r="E1129" s="13">
        <f>VLOOKUP(C1129,'Mortality Table'!$A$5:$E$153,IF(SRP_Gender="female",5,4),FALSE)</f>
        <v>0.12753500000000001</v>
      </c>
      <c r="F1129" s="13">
        <f t="shared" si="457"/>
        <v>1.1305007701302716E-2</v>
      </c>
      <c r="G1129" s="18">
        <f t="shared" si="460"/>
        <v>0.28604674995262364</v>
      </c>
      <c r="H1129" s="35">
        <f t="shared" si="461"/>
        <v>0.1699906119763088</v>
      </c>
      <c r="I1129" s="13">
        <f t="shared" si="455"/>
        <v>4.8625262078280669E-2</v>
      </c>
      <c r="J1129" s="13">
        <f t="shared" si="456"/>
        <v>0.26490848201995587</v>
      </c>
      <c r="K1129" s="106"/>
      <c r="AA1129" s="106"/>
    </row>
    <row r="1130" spans="3:27">
      <c r="C1130" s="17">
        <f t="shared" si="458"/>
        <v>96</v>
      </c>
      <c r="D1130" s="13">
        <f t="shared" si="459"/>
        <v>434</v>
      </c>
      <c r="E1130" s="13">
        <f>VLOOKUP(C1130,'Mortality Table'!$A$5:$E$153,IF(SRP_Gender="female",5,4),FALSE)</f>
        <v>0.12753500000000001</v>
      </c>
      <c r="F1130" s="13">
        <f t="shared" si="457"/>
        <v>1.1305007701302716E-2</v>
      </c>
      <c r="G1130" s="18">
        <f t="shared" si="460"/>
        <v>0.28281298924147663</v>
      </c>
      <c r="H1130" s="35">
        <f t="shared" si="461"/>
        <v>0.1699906119763088</v>
      </c>
      <c r="I1130" s="13">
        <f t="shared" si="455"/>
        <v>4.8075553116007849E-2</v>
      </c>
      <c r="J1130" s="13">
        <f t="shared" si="456"/>
        <v>0.26409703287274833</v>
      </c>
      <c r="K1130" s="106"/>
      <c r="AA1130" s="106"/>
    </row>
    <row r="1131" spans="3:27">
      <c r="C1131" s="17">
        <f t="shared" si="458"/>
        <v>96</v>
      </c>
      <c r="D1131" s="13">
        <f t="shared" si="459"/>
        <v>435</v>
      </c>
      <c r="E1131" s="13">
        <f>VLOOKUP(C1131,'Mortality Table'!$A$5:$E$153,IF(SRP_Gender="female",5,4),FALSE)</f>
        <v>0.12753500000000001</v>
      </c>
      <c r="F1131" s="13">
        <f t="shared" si="457"/>
        <v>1.1305007701302716E-2</v>
      </c>
      <c r="G1131" s="18">
        <f t="shared" si="460"/>
        <v>0.27961578622007327</v>
      </c>
      <c r="H1131" s="35">
        <f t="shared" si="461"/>
        <v>0.1699906119763088</v>
      </c>
      <c r="I1131" s="13">
        <f t="shared" si="455"/>
        <v>4.753205861778699E-2</v>
      </c>
      <c r="J1131" s="13">
        <f t="shared" si="456"/>
        <v>0.26328806929985493</v>
      </c>
      <c r="K1131" s="106"/>
      <c r="AA1131" s="106"/>
    </row>
    <row r="1132" spans="3:27">
      <c r="C1132" s="17">
        <f t="shared" si="458"/>
        <v>96</v>
      </c>
      <c r="D1132" s="13">
        <f t="shared" si="459"/>
        <v>436</v>
      </c>
      <c r="E1132" s="13">
        <f>VLOOKUP(C1132,'Mortality Table'!$A$5:$E$153,IF(SRP_Gender="female",5,4),FALSE)</f>
        <v>0.12753500000000001</v>
      </c>
      <c r="F1132" s="13">
        <f t="shared" si="457"/>
        <v>1.1305007701302716E-2</v>
      </c>
      <c r="G1132" s="18">
        <f t="shared" si="460"/>
        <v>0.27645472760344952</v>
      </c>
      <c r="H1132" s="35">
        <f t="shared" si="461"/>
        <v>0.1699906119763088</v>
      </c>
      <c r="I1132" s="13">
        <f t="shared" si="455"/>
        <v>4.6994708329054134E-2</v>
      </c>
      <c r="J1132" s="13">
        <f t="shared" si="456"/>
        <v>0.26248158368763802</v>
      </c>
      <c r="K1132" s="106"/>
      <c r="AA1132" s="106"/>
    </row>
    <row r="1133" spans="3:27">
      <c r="C1133" s="17">
        <f t="shared" si="458"/>
        <v>96</v>
      </c>
      <c r="D1133" s="13">
        <f t="shared" si="459"/>
        <v>437</v>
      </c>
      <c r="E1133" s="13">
        <f>VLOOKUP(C1133,'Mortality Table'!$A$5:$E$153,IF(SRP_Gender="female",5,4),FALSE)</f>
        <v>0.12753500000000001</v>
      </c>
      <c r="F1133" s="13">
        <f t="shared" si="457"/>
        <v>1.1305007701302716E-2</v>
      </c>
      <c r="G1133" s="18">
        <f t="shared" si="460"/>
        <v>0.273329404778831</v>
      </c>
      <c r="H1133" s="35">
        <f t="shared" si="461"/>
        <v>0.1699906119763088</v>
      </c>
      <c r="I1133" s="13">
        <f t="shared" si="455"/>
        <v>4.6463432789473701E-2</v>
      </c>
      <c r="J1133" s="13">
        <f t="shared" si="456"/>
        <v>0.26167756844578194</v>
      </c>
      <c r="K1133" s="106"/>
      <c r="AA1133" s="106"/>
    </row>
    <row r="1134" spans="3:27">
      <c r="C1134" s="17">
        <f t="shared" si="458"/>
        <v>96</v>
      </c>
      <c r="D1134" s="13">
        <f t="shared" si="459"/>
        <v>438</v>
      </c>
      <c r="E1134" s="13">
        <f>VLOOKUP(C1134,'Mortality Table'!$A$5:$E$153,IF(SRP_Gender="female",5,4),FALSE)</f>
        <v>0.12753500000000001</v>
      </c>
      <c r="F1134" s="13">
        <f t="shared" si="457"/>
        <v>1.1305007701302716E-2</v>
      </c>
      <c r="G1134" s="18">
        <f t="shared" si="460"/>
        <v>0.27023941375281385</v>
      </c>
      <c r="H1134" s="35">
        <f t="shared" si="461"/>
        <v>0.1699906119763088</v>
      </c>
      <c r="I1134" s="13">
        <f t="shared" si="455"/>
        <v>4.5938163323959745E-2</v>
      </c>
      <c r="J1134" s="13">
        <f t="shared" si="456"/>
        <v>0.26087601600722055</v>
      </c>
      <c r="K1134" s="106"/>
      <c r="AA1134" s="106"/>
    </row>
    <row r="1135" spans="3:27">
      <c r="C1135" s="17">
        <f t="shared" si="458"/>
        <v>96</v>
      </c>
      <c r="D1135" s="13">
        <f t="shared" si="459"/>
        <v>439</v>
      </c>
      <c r="E1135" s="13">
        <f>VLOOKUP(C1135,'Mortality Table'!$A$5:$E$153,IF(SRP_Gender="female",5,4),FALSE)</f>
        <v>0.12753500000000001</v>
      </c>
      <c r="F1135" s="13">
        <f t="shared" si="457"/>
        <v>1.1305007701302716E-2</v>
      </c>
      <c r="G1135" s="18">
        <f t="shared" si="460"/>
        <v>0.26718435509914273</v>
      </c>
      <c r="H1135" s="35">
        <f t="shared" si="461"/>
        <v>0.1699906119763088</v>
      </c>
      <c r="I1135" s="13">
        <f t="shared" si="455"/>
        <v>4.5418832033798678E-2</v>
      </c>
      <c r="J1135" s="13">
        <f t="shared" si="456"/>
        <v>0.26007691882806705</v>
      </c>
      <c r="K1135" s="106"/>
      <c r="AA1135" s="106"/>
    </row>
    <row r="1136" spans="3:27">
      <c r="C1136" s="17">
        <f t="shared" si="458"/>
        <v>96</v>
      </c>
      <c r="D1136" s="13">
        <f t="shared" si="459"/>
        <v>440</v>
      </c>
      <c r="E1136" s="13">
        <f>VLOOKUP(C1136,'Mortality Table'!$A$5:$E$153,IF(SRP_Gender="female",5,4),FALSE)</f>
        <v>0.12753500000000001</v>
      </c>
      <c r="F1136" s="13">
        <f t="shared" si="457"/>
        <v>1.1305007701302716E-2</v>
      </c>
      <c r="G1136" s="18">
        <f t="shared" si="460"/>
        <v>0.26416383390707932</v>
      </c>
      <c r="H1136" s="35">
        <f t="shared" si="461"/>
        <v>0.1699906119763088</v>
      </c>
      <c r="I1136" s="13">
        <f t="shared" si="455"/>
        <v>4.4905371787872406E-2</v>
      </c>
      <c r="J1136" s="13">
        <f t="shared" si="456"/>
        <v>0.25928026938754256</v>
      </c>
      <c r="K1136" s="106"/>
      <c r="AA1136" s="106"/>
    </row>
    <row r="1137" spans="3:27">
      <c r="C1137" s="17">
        <f t="shared" si="458"/>
        <v>96</v>
      </c>
      <c r="D1137" s="13">
        <f t="shared" si="459"/>
        <v>441</v>
      </c>
      <c r="E1137" s="13">
        <f>VLOOKUP(C1137,'Mortality Table'!$A$5:$E$153,IF(SRP_Gender="female",5,4),FALSE)</f>
        <v>0.12753500000000001</v>
      </c>
      <c r="F1137" s="13">
        <f t="shared" si="457"/>
        <v>1.1305007701302716E-2</v>
      </c>
      <c r="G1137" s="18">
        <f t="shared" si="460"/>
        <v>0.26117745973035411</v>
      </c>
      <c r="H1137" s="35">
        <f t="shared" si="461"/>
        <v>0.1699906119763088</v>
      </c>
      <c r="I1137" s="13">
        <f t="shared" si="455"/>
        <v>4.4397716213980642E-2</v>
      </c>
      <c r="J1137" s="13">
        <f t="shared" si="456"/>
        <v>0.25848606018790499</v>
      </c>
      <c r="K1137" s="106"/>
      <c r="AA1137" s="106"/>
    </row>
    <row r="1138" spans="3:27">
      <c r="C1138" s="17">
        <f t="shared" si="458"/>
        <v>96</v>
      </c>
      <c r="D1138" s="13">
        <f t="shared" si="459"/>
        <v>442</v>
      </c>
      <c r="E1138" s="13">
        <f>VLOOKUP(C1138,'Mortality Table'!$A$5:$E$153,IF(SRP_Gender="female",5,4),FALSE)</f>
        <v>0.12753500000000001</v>
      </c>
      <c r="F1138" s="13">
        <f t="shared" si="457"/>
        <v>1.1305007701302716E-2</v>
      </c>
      <c r="G1138" s="18">
        <f t="shared" si="460"/>
        <v>0.25822484653669575</v>
      </c>
      <c r="H1138" s="35">
        <f t="shared" si="461"/>
        <v>0.1699906119763088</v>
      </c>
      <c r="I1138" s="13">
        <f t="shared" si="455"/>
        <v>4.3895799690261333E-2</v>
      </c>
      <c r="J1138" s="13">
        <f t="shared" si="456"/>
        <v>0.25769428375437908</v>
      </c>
      <c r="K1138" s="106"/>
      <c r="AA1138" s="106"/>
    </row>
    <row r="1139" spans="3:27">
      <c r="C1139" s="17">
        <f t="shared" si="458"/>
        <v>96</v>
      </c>
      <c r="D1139" s="13">
        <f t="shared" si="459"/>
        <v>443</v>
      </c>
      <c r="E1139" s="13">
        <f>VLOOKUP(C1139,'Mortality Table'!$A$5:$E$153,IF(SRP_Gender="female",5,4),FALSE)</f>
        <v>0.12753500000000001</v>
      </c>
      <c r="F1139" s="13">
        <f t="shared" si="457"/>
        <v>1.1305007701302716E-2</v>
      </c>
      <c r="G1139" s="18">
        <f t="shared" si="460"/>
        <v>0.25530561265793067</v>
      </c>
      <c r="H1139" s="35">
        <f t="shared" si="461"/>
        <v>0.1699906119763088</v>
      </c>
      <c r="I1139" s="13">
        <f t="shared" si="455"/>
        <v>4.3399557336708083E-2</v>
      </c>
      <c r="J1139" s="13">
        <f t="shared" si="456"/>
        <v>0.25690493263508574</v>
      </c>
      <c r="K1139" s="106"/>
      <c r="AA1139" s="106"/>
    </row>
    <row r="1140" spans="3:27">
      <c r="C1140" s="17">
        <f t="shared" si="458"/>
        <v>96</v>
      </c>
      <c r="D1140" s="13">
        <f t="shared" si="459"/>
        <v>444</v>
      </c>
      <c r="E1140" s="13">
        <f>VLOOKUP(C1140,'Mortality Table'!$A$5:$E$153,IF(SRP_Gender="female",5,4),FALSE)</f>
        <v>0.12753500000000001</v>
      </c>
      <c r="F1140" s="13">
        <f t="shared" si="457"/>
        <v>1.1305007701302716E-2</v>
      </c>
      <c r="G1140" s="18">
        <f t="shared" si="460"/>
        <v>0.25241938074064696</v>
      </c>
      <c r="H1140" s="35">
        <f t="shared" si="461"/>
        <v>0.1699906119763088</v>
      </c>
      <c r="I1140" s="13">
        <f t="shared" si="455"/>
        <v>4.290892500678347E-2</v>
      </c>
      <c r="J1140" s="13">
        <f t="shared" si="456"/>
        <v>0.25611799940097163</v>
      </c>
      <c r="K1140" s="106"/>
      <c r="AA1140" s="106"/>
    </row>
    <row r="1141" spans="3:27">
      <c r="C1141" s="17">
        <f t="shared" si="458"/>
        <v>97</v>
      </c>
      <c r="D1141" s="13">
        <f t="shared" si="459"/>
        <v>445</v>
      </c>
      <c r="E1141" s="13">
        <f>VLOOKUP(C1141,'Mortality Table'!$A$5:$E$153,IF(SRP_Gender="female",5,4),FALSE)</f>
        <v>0.13720499999999999</v>
      </c>
      <c r="F1141" s="13">
        <f t="shared" si="457"/>
        <v>1.2222866404979382E-2</v>
      </c>
      <c r="G1141" s="18">
        <f t="shared" si="460"/>
        <v>0.24956577769741589</v>
      </c>
      <c r="H1141" s="35">
        <f t="shared" si="461"/>
        <v>0.17339042421583498</v>
      </c>
      <c r="I1141" s="13">
        <f t="shared" si="455"/>
        <v>4.3272316064709708E-2</v>
      </c>
      <c r="J1141" s="13">
        <f t="shared" si="456"/>
        <v>0.25533347664574058</v>
      </c>
      <c r="K1141" s="106"/>
      <c r="AA1141" s="106"/>
    </row>
    <row r="1142" spans="3:27">
      <c r="C1142" s="17">
        <f t="shared" si="458"/>
        <v>97</v>
      </c>
      <c r="D1142" s="13">
        <f t="shared" si="459"/>
        <v>446</v>
      </c>
      <c r="E1142" s="13">
        <f>VLOOKUP(C1142,'Mortality Table'!$A$5:$E$153,IF(SRP_Gender="female",5,4),FALSE)</f>
        <v>0.13720499999999999</v>
      </c>
      <c r="F1142" s="13">
        <f t="shared" si="457"/>
        <v>1.2222866404979382E-2</v>
      </c>
      <c r="G1142" s="18">
        <f t="shared" si="460"/>
        <v>0.24651536853736558</v>
      </c>
      <c r="H1142" s="35">
        <f t="shared" si="461"/>
        <v>0.17339042421583498</v>
      </c>
      <c r="I1142" s="13">
        <f t="shared" si="455"/>
        <v>4.2743404326416719E-2</v>
      </c>
      <c r="J1142" s="13">
        <f t="shared" si="456"/>
        <v>0.25455135698578152</v>
      </c>
      <c r="K1142" s="106"/>
      <c r="AA1142" s="106"/>
    </row>
    <row r="1143" spans="3:27">
      <c r="C1143" s="17">
        <f t="shared" si="458"/>
        <v>97</v>
      </c>
      <c r="D1143" s="13">
        <f t="shared" si="459"/>
        <v>447</v>
      </c>
      <c r="E1143" s="13">
        <f>VLOOKUP(C1143,'Mortality Table'!$A$5:$E$153,IF(SRP_Gender="female",5,4),FALSE)</f>
        <v>0.13720499999999999</v>
      </c>
      <c r="F1143" s="13">
        <f t="shared" si="457"/>
        <v>1.2222866404979382E-2</v>
      </c>
      <c r="G1143" s="18">
        <f t="shared" si="460"/>
        <v>0.24350224412095911</v>
      </c>
      <c r="H1143" s="35">
        <f t="shared" si="461"/>
        <v>0.17339042421583498</v>
      </c>
      <c r="I1143" s="13">
        <f t="shared" si="455"/>
        <v>4.2220957405640906E-2</v>
      </c>
      <c r="J1143" s="13">
        <f t="shared" si="456"/>
        <v>0.25377163306010109</v>
      </c>
      <c r="K1143" s="106"/>
      <c r="AA1143" s="106"/>
    </row>
    <row r="1144" spans="3:27">
      <c r="C1144" s="17">
        <f t="shared" si="458"/>
        <v>97</v>
      </c>
      <c r="D1144" s="13">
        <f t="shared" si="459"/>
        <v>448</v>
      </c>
      <c r="E1144" s="13">
        <f>VLOOKUP(C1144,'Mortality Table'!$A$5:$E$153,IF(SRP_Gender="female",5,4),FALSE)</f>
        <v>0.13720499999999999</v>
      </c>
      <c r="F1144" s="13">
        <f t="shared" si="457"/>
        <v>1.2222866404979382E-2</v>
      </c>
      <c r="G1144" s="18">
        <f t="shared" si="460"/>
        <v>0.24052594872175595</v>
      </c>
      <c r="H1144" s="35">
        <f t="shared" si="461"/>
        <v>0.17339042421583498</v>
      </c>
      <c r="I1144" s="13">
        <f t="shared" si="455"/>
        <v>4.1704896283781434E-2</v>
      </c>
      <c r="J1144" s="13">
        <f t="shared" si="456"/>
        <v>0.25299429753025349</v>
      </c>
      <c r="K1144" s="106"/>
      <c r="AA1144" s="106"/>
    </row>
    <row r="1145" spans="3:27">
      <c r="C1145" s="17">
        <f t="shared" si="458"/>
        <v>97</v>
      </c>
      <c r="D1145" s="13">
        <f t="shared" si="459"/>
        <v>449</v>
      </c>
      <c r="E1145" s="13">
        <f>VLOOKUP(C1145,'Mortality Table'!$A$5:$E$153,IF(SRP_Gender="female",5,4),FALSE)</f>
        <v>0.13720499999999999</v>
      </c>
      <c r="F1145" s="13">
        <f t="shared" si="457"/>
        <v>1.2222866404979382E-2</v>
      </c>
      <c r="G1145" s="18">
        <f t="shared" si="460"/>
        <v>0.237586032183599</v>
      </c>
      <c r="H1145" s="35">
        <f t="shared" si="461"/>
        <v>0.17339042421583498</v>
      </c>
      <c r="I1145" s="13">
        <f t="shared" ref="I1145:I1208" si="462">IF(D1145&lt;=12*SRP_Annuity_Gtee_Period,H1145,H1145*G1145)</f>
        <v>4.1195142908071254E-2</v>
      </c>
      <c r="J1145" s="13">
        <f t="shared" ref="J1145:J1208" si="463">((1+$D$79)^(-D1145/12))</f>
        <v>0.25221934308027172</v>
      </c>
      <c r="K1145" s="106"/>
      <c r="AA1145" s="106"/>
    </row>
    <row r="1146" spans="3:27">
      <c r="C1146" s="17">
        <f t="shared" si="458"/>
        <v>97</v>
      </c>
      <c r="D1146" s="13">
        <f t="shared" si="459"/>
        <v>450</v>
      </c>
      <c r="E1146" s="13">
        <f>VLOOKUP(C1146,'Mortality Table'!$A$5:$E$153,IF(SRP_Gender="female",5,4),FALSE)</f>
        <v>0.13720499999999999</v>
      </c>
      <c r="F1146" s="13">
        <f t="shared" ref="F1146:F1209" si="464">1-(1-E1146)^(1/12)</f>
        <v>1.2222866404979382E-2</v>
      </c>
      <c r="G1146" s="18">
        <f t="shared" si="460"/>
        <v>0.23468204985252974</v>
      </c>
      <c r="H1146" s="35">
        <f t="shared" si="461"/>
        <v>0.17339042421583498</v>
      </c>
      <c r="I1146" s="13">
        <f t="shared" si="462"/>
        <v>4.0691620179771862E-2</v>
      </c>
      <c r="J1146" s="13">
        <f t="shared" si="463"/>
        <v>0.25144676241659808</v>
      </c>
      <c r="K1146" s="106"/>
      <c r="AA1146" s="106"/>
    </row>
    <row r="1147" spans="3:27">
      <c r="C1147" s="17">
        <f t="shared" ref="C1147:C1210" si="465">IF(MOD(D1147,12)=1,C1146+1,C1146)</f>
        <v>97</v>
      </c>
      <c r="D1147" s="13">
        <f t="shared" ref="D1147:D1210" si="466">D1146+1</f>
        <v>451</v>
      </c>
      <c r="E1147" s="13">
        <f>VLOOKUP(C1147,'Mortality Table'!$A$5:$E$153,IF(SRP_Gender="female",5,4),FALSE)</f>
        <v>0.13720499999999999</v>
      </c>
      <c r="F1147" s="13">
        <f t="shared" si="464"/>
        <v>1.2222866404979382E-2</v>
      </c>
      <c r="G1147" s="18">
        <f t="shared" ref="G1147:G1210" si="467">G1146*(1-F1146)</f>
        <v>0.23181356250953555</v>
      </c>
      <c r="H1147" s="35">
        <f t="shared" ref="H1147:H1210" si="468">IF(MOD(D1147,12)=1,H1146*(1+$D$81),H1146)</f>
        <v>0.17339042421583498</v>
      </c>
      <c r="I1147" s="13">
        <f t="shared" si="462"/>
        <v>4.0194251942512346E-2</v>
      </c>
      <c r="J1147" s="13">
        <f t="shared" si="463"/>
        <v>0.25067654826801644</v>
      </c>
      <c r="K1147" s="106"/>
      <c r="AA1147" s="106"/>
    </row>
    <row r="1148" spans="3:27">
      <c r="C1148" s="17">
        <f t="shared" si="465"/>
        <v>97</v>
      </c>
      <c r="D1148" s="13">
        <f t="shared" si="466"/>
        <v>452</v>
      </c>
      <c r="E1148" s="13">
        <f>VLOOKUP(C1148,'Mortality Table'!$A$5:$E$153,IF(SRP_Gender="female",5,4),FALSE)</f>
        <v>0.13720499999999999</v>
      </c>
      <c r="F1148" s="13">
        <f t="shared" si="464"/>
        <v>1.2222866404979382E-2</v>
      </c>
      <c r="G1148" s="18">
        <f t="shared" si="467"/>
        <v>0.22898013630411918</v>
      </c>
      <c r="H1148" s="35">
        <f t="shared" si="468"/>
        <v>0.17339042421583498</v>
      </c>
      <c r="I1148" s="13">
        <f t="shared" si="462"/>
        <v>3.9702962970770937E-2</v>
      </c>
      <c r="J1148" s="13">
        <f t="shared" si="463"/>
        <v>0.24990869338558319</v>
      </c>
      <c r="K1148" s="106"/>
      <c r="AA1148" s="106"/>
    </row>
    <row r="1149" spans="3:27">
      <c r="C1149" s="17">
        <f t="shared" si="465"/>
        <v>97</v>
      </c>
      <c r="D1149" s="13">
        <f t="shared" si="466"/>
        <v>453</v>
      </c>
      <c r="E1149" s="13">
        <f>VLOOKUP(C1149,'Mortality Table'!$A$5:$E$153,IF(SRP_Gender="female",5,4),FALSE)</f>
        <v>0.13720499999999999</v>
      </c>
      <c r="F1149" s="13">
        <f t="shared" si="464"/>
        <v>1.2222866404979382E-2</v>
      </c>
      <c r="G1149" s="18">
        <f t="shared" si="467"/>
        <v>0.22618134268867995</v>
      </c>
      <c r="H1149" s="35">
        <f t="shared" si="468"/>
        <v>0.17339042421583498</v>
      </c>
      <c r="I1149" s="13">
        <f t="shared" si="462"/>
        <v>3.9217678958497364E-2</v>
      </c>
      <c r="J1149" s="13">
        <f t="shared" si="463"/>
        <v>0.24914319054255898</v>
      </c>
      <c r="K1149" s="106"/>
      <c r="AA1149" s="106"/>
    </row>
    <row r="1150" spans="3:27">
      <c r="C1150" s="17">
        <f t="shared" si="465"/>
        <v>97</v>
      </c>
      <c r="D1150" s="13">
        <f t="shared" si="466"/>
        <v>454</v>
      </c>
      <c r="E1150" s="13">
        <f>VLOOKUP(C1150,'Mortality Table'!$A$5:$E$153,IF(SRP_Gender="female",5,4),FALSE)</f>
        <v>0.13720499999999999</v>
      </c>
      <c r="F1150" s="13">
        <f t="shared" si="464"/>
        <v>1.2222866404979382E-2</v>
      </c>
      <c r="G1150" s="18">
        <f t="shared" si="467"/>
        <v>0.22341675835369737</v>
      </c>
      <c r="H1150" s="35">
        <f t="shared" si="468"/>
        <v>0.17339042421583498</v>
      </c>
      <c r="I1150" s="13">
        <f t="shared" si="462"/>
        <v>3.8738326507874281E-2</v>
      </c>
      <c r="J1150" s="13">
        <f t="shared" si="463"/>
        <v>0.24838003253434127</v>
      </c>
      <c r="K1150" s="106"/>
      <c r="AA1150" s="106"/>
    </row>
    <row r="1151" spans="3:27">
      <c r="C1151" s="17">
        <f t="shared" si="465"/>
        <v>97</v>
      </c>
      <c r="D1151" s="13">
        <f t="shared" si="466"/>
        <v>455</v>
      </c>
      <c r="E1151" s="13">
        <f>VLOOKUP(C1151,'Mortality Table'!$A$5:$E$153,IF(SRP_Gender="female",5,4),FALSE)</f>
        <v>0.13720499999999999</v>
      </c>
      <c r="F1151" s="13">
        <f t="shared" si="464"/>
        <v>1.2222866404979382E-2</v>
      </c>
      <c r="G1151" s="18">
        <f t="shared" si="467"/>
        <v>0.22068596516370656</v>
      </c>
      <c r="H1151" s="35">
        <f t="shared" si="468"/>
        <v>0.17339042421583498</v>
      </c>
      <c r="I1151" s="13">
        <f t="shared" si="462"/>
        <v>3.826483311821606E-2</v>
      </c>
      <c r="J1151" s="13">
        <f t="shared" si="463"/>
        <v>0.24761921217839586</v>
      </c>
      <c r="K1151" s="106"/>
      <c r="AA1151" s="106"/>
    </row>
    <row r="1152" spans="3:27">
      <c r="C1152" s="17">
        <f t="shared" si="465"/>
        <v>97</v>
      </c>
      <c r="D1152" s="13">
        <f t="shared" si="466"/>
        <v>456</v>
      </c>
      <c r="E1152" s="13">
        <f>VLOOKUP(C1152,'Mortality Table'!$A$5:$E$153,IF(SRP_Gender="female",5,4),FALSE)</f>
        <v>0.13720499999999999</v>
      </c>
      <c r="F1152" s="13">
        <f t="shared" si="464"/>
        <v>1.2222866404979382E-2</v>
      </c>
      <c r="G1152" s="18">
        <f t="shared" si="467"/>
        <v>0.21798855009405665</v>
      </c>
      <c r="H1152" s="35">
        <f t="shared" si="468"/>
        <v>0.17339042421583498</v>
      </c>
      <c r="I1152" s="13">
        <f t="shared" si="462"/>
        <v>3.7797127175003276E-2</v>
      </c>
      <c r="J1152" s="13">
        <f t="shared" si="463"/>
        <v>0.24686072231418951</v>
      </c>
      <c r="K1152" s="106"/>
      <c r="AA1152" s="106"/>
    </row>
    <row r="1153" spans="3:27">
      <c r="C1153" s="17">
        <f t="shared" si="465"/>
        <v>98</v>
      </c>
      <c r="D1153" s="13">
        <f t="shared" si="466"/>
        <v>457</v>
      </c>
      <c r="E1153" s="13">
        <f>VLOOKUP(C1153,'Mortality Table'!$A$5:$E$153,IF(SRP_Gender="female",5,4),FALSE)</f>
        <v>0.14726</v>
      </c>
      <c r="F1153" s="13">
        <f t="shared" si="464"/>
        <v>1.3187323863667277E-2</v>
      </c>
      <c r="G1153" s="18">
        <f t="shared" si="467"/>
        <v>0.21532410516844183</v>
      </c>
      <c r="H1153" s="35">
        <f t="shared" si="468"/>
        <v>0.17685823270015169</v>
      </c>
      <c r="I1153" s="13">
        <f t="shared" si="462"/>
        <v>3.8081840697832221E-2</v>
      </c>
      <c r="J1153" s="13">
        <f t="shared" si="463"/>
        <v>0.24610455580312343</v>
      </c>
      <c r="K1153" s="106"/>
      <c r="AA1153" s="106"/>
    </row>
    <row r="1154" spans="3:27">
      <c r="C1154" s="17">
        <f t="shared" si="465"/>
        <v>98</v>
      </c>
      <c r="D1154" s="13">
        <f t="shared" si="466"/>
        <v>458</v>
      </c>
      <c r="E1154" s="13">
        <f>VLOOKUP(C1154,'Mortality Table'!$A$5:$E$153,IF(SRP_Gender="female",5,4),FALSE)</f>
        <v>0.14726</v>
      </c>
      <c r="F1154" s="13">
        <f t="shared" si="464"/>
        <v>1.3187323863667277E-2</v>
      </c>
      <c r="G1154" s="18">
        <f t="shared" si="467"/>
        <v>0.21248455645793124</v>
      </c>
      <c r="H1154" s="35">
        <f t="shared" si="468"/>
        <v>0.17685823270015169</v>
      </c>
      <c r="I1154" s="13">
        <f t="shared" si="462"/>
        <v>3.7579643131225325E-2</v>
      </c>
      <c r="J1154" s="13">
        <f t="shared" si="463"/>
        <v>0.24535070552846411</v>
      </c>
      <c r="K1154" s="106"/>
      <c r="AA1154" s="106"/>
    </row>
    <row r="1155" spans="3:27">
      <c r="C1155" s="17">
        <f t="shared" si="465"/>
        <v>98</v>
      </c>
      <c r="D1155" s="13">
        <f t="shared" si="466"/>
        <v>459</v>
      </c>
      <c r="E1155" s="13">
        <f>VLOOKUP(C1155,'Mortality Table'!$A$5:$E$153,IF(SRP_Gender="female",5,4),FALSE)</f>
        <v>0.14726</v>
      </c>
      <c r="F1155" s="13">
        <f t="shared" si="464"/>
        <v>1.3187323863667277E-2</v>
      </c>
      <c r="G1155" s="18">
        <f t="shared" si="467"/>
        <v>0.20968245379589281</v>
      </c>
      <c r="H1155" s="35">
        <f t="shared" si="468"/>
        <v>0.17685823270015169</v>
      </c>
      <c r="I1155" s="13">
        <f t="shared" si="462"/>
        <v>3.7084068206572819E-2</v>
      </c>
      <c r="J1155" s="13">
        <f t="shared" si="463"/>
        <v>0.24459916439527812</v>
      </c>
      <c r="K1155" s="106"/>
      <c r="AA1155" s="106"/>
    </row>
    <row r="1156" spans="3:27">
      <c r="C1156" s="17">
        <f t="shared" si="465"/>
        <v>98</v>
      </c>
      <c r="D1156" s="13">
        <f t="shared" si="466"/>
        <v>460</v>
      </c>
      <c r="E1156" s="13">
        <f>VLOOKUP(C1156,'Mortality Table'!$A$5:$E$153,IF(SRP_Gender="female",5,4),FALSE)</f>
        <v>0.14726</v>
      </c>
      <c r="F1156" s="13">
        <f t="shared" si="464"/>
        <v>1.3187323863667277E-2</v>
      </c>
      <c r="G1156" s="18">
        <f t="shared" si="467"/>
        <v>0.20691730336915792</v>
      </c>
      <c r="H1156" s="35">
        <f t="shared" si="468"/>
        <v>0.17685823270015169</v>
      </c>
      <c r="I1156" s="13">
        <f t="shared" si="462"/>
        <v>3.6595028588950411E-2</v>
      </c>
      <c r="J1156" s="13">
        <f t="shared" si="463"/>
        <v>0.24384992533036481</v>
      </c>
      <c r="K1156" s="106"/>
      <c r="AA1156" s="106"/>
    </row>
    <row r="1157" spans="3:27">
      <c r="C1157" s="17">
        <f t="shared" si="465"/>
        <v>98</v>
      </c>
      <c r="D1157" s="13">
        <f t="shared" si="466"/>
        <v>461</v>
      </c>
      <c r="E1157" s="13">
        <f>VLOOKUP(C1157,'Mortality Table'!$A$5:$E$153,IF(SRP_Gender="female",5,4),FALSE)</f>
        <v>0.14726</v>
      </c>
      <c r="F1157" s="13">
        <f t="shared" si="464"/>
        <v>1.3187323863667277E-2</v>
      </c>
      <c r="G1157" s="18">
        <f t="shared" si="467"/>
        <v>0.20418861787663214</v>
      </c>
      <c r="H1157" s="35">
        <f t="shared" si="468"/>
        <v>0.17685823270015169</v>
      </c>
      <c r="I1157" s="13">
        <f t="shared" si="462"/>
        <v>3.6112438095147761E-2</v>
      </c>
      <c r="J1157" s="13">
        <f t="shared" si="463"/>
        <v>0.24310298128218957</v>
      </c>
      <c r="K1157" s="106"/>
      <c r="AA1157" s="106"/>
    </row>
    <row r="1158" spans="3:27">
      <c r="C1158" s="17">
        <f t="shared" si="465"/>
        <v>98</v>
      </c>
      <c r="D1158" s="13">
        <f t="shared" si="466"/>
        <v>462</v>
      </c>
      <c r="E1158" s="13">
        <f>VLOOKUP(C1158,'Mortality Table'!$A$5:$E$153,IF(SRP_Gender="female",5,4),FALSE)</f>
        <v>0.14726</v>
      </c>
      <c r="F1158" s="13">
        <f t="shared" si="464"/>
        <v>1.3187323863667277E-2</v>
      </c>
      <c r="G1158" s="18">
        <f t="shared" si="467"/>
        <v>0.20149591644341838</v>
      </c>
      <c r="H1158" s="35">
        <f t="shared" si="468"/>
        <v>0.17685823270015169</v>
      </c>
      <c r="I1158" s="13">
        <f t="shared" si="462"/>
        <v>3.5636211678480412E-2</v>
      </c>
      <c r="J1158" s="13">
        <f t="shared" si="463"/>
        <v>0.24235832522081738</v>
      </c>
      <c r="K1158" s="106"/>
      <c r="AA1158" s="106"/>
    </row>
    <row r="1159" spans="3:27">
      <c r="C1159" s="17">
        <f t="shared" si="465"/>
        <v>98</v>
      </c>
      <c r="D1159" s="13">
        <f t="shared" si="466"/>
        <v>463</v>
      </c>
      <c r="E1159" s="13">
        <f>VLOOKUP(C1159,'Mortality Table'!$A$5:$E$153,IF(SRP_Gender="female",5,4),FALSE)</f>
        <v>0.14726</v>
      </c>
      <c r="F1159" s="13">
        <f t="shared" si="464"/>
        <v>1.3187323863667277E-2</v>
      </c>
      <c r="G1159" s="18">
        <f t="shared" si="467"/>
        <v>0.19883872453607257</v>
      </c>
      <c r="H1159" s="35">
        <f t="shared" si="468"/>
        <v>0.17685823270015169</v>
      </c>
      <c r="I1159" s="13">
        <f t="shared" si="462"/>
        <v>3.5166265413802085E-2</v>
      </c>
      <c r="J1159" s="13">
        <f t="shared" si="463"/>
        <v>0.24161595013784715</v>
      </c>
      <c r="K1159" s="106"/>
      <c r="AA1159" s="106"/>
    </row>
    <row r="1160" spans="3:27">
      <c r="C1160" s="17">
        <f t="shared" si="465"/>
        <v>98</v>
      </c>
      <c r="D1160" s="13">
        <f t="shared" si="466"/>
        <v>464</v>
      </c>
      <c r="E1160" s="13">
        <f>VLOOKUP(C1160,'Mortality Table'!$A$5:$E$153,IF(SRP_Gender="female",5,4),FALSE)</f>
        <v>0.14726</v>
      </c>
      <c r="F1160" s="13">
        <f t="shared" si="464"/>
        <v>1.3187323863667277E-2</v>
      </c>
      <c r="G1160" s="18">
        <f t="shared" si="467"/>
        <v>0.19621657387897687</v>
      </c>
      <c r="H1160" s="35">
        <f t="shared" si="468"/>
        <v>0.17685823270015169</v>
      </c>
      <c r="I1160" s="13">
        <f t="shared" si="462"/>
        <v>3.47025164827146E-2</v>
      </c>
      <c r="J1160" s="13">
        <f t="shared" si="463"/>
        <v>0.24087584904634524</v>
      </c>
      <c r="K1160" s="106"/>
      <c r="AA1160" s="106"/>
    </row>
    <row r="1161" spans="3:27">
      <c r="C1161" s="17">
        <f t="shared" si="465"/>
        <v>98</v>
      </c>
      <c r="D1161" s="13">
        <f t="shared" si="466"/>
        <v>465</v>
      </c>
      <c r="E1161" s="13">
        <f>VLOOKUP(C1161,'Mortality Table'!$A$5:$E$153,IF(SRP_Gender="female",5,4),FALSE)</f>
        <v>0.14726</v>
      </c>
      <c r="F1161" s="13">
        <f t="shared" si="464"/>
        <v>1.3187323863667277E-2</v>
      </c>
      <c r="G1161" s="18">
        <f t="shared" si="467"/>
        <v>0.1936290023718156</v>
      </c>
      <c r="H1161" s="35">
        <f t="shared" si="468"/>
        <v>0.17685823270015169</v>
      </c>
      <c r="I1161" s="13">
        <f t="shared" si="462"/>
        <v>3.424488315897279E-2</v>
      </c>
      <c r="J1161" s="13">
        <f t="shared" si="463"/>
        <v>0.24013801498077975</v>
      </c>
      <c r="K1161" s="106"/>
      <c r="AA1161" s="106"/>
    </row>
    <row r="1162" spans="3:27">
      <c r="C1162" s="17">
        <f t="shared" si="465"/>
        <v>98</v>
      </c>
      <c r="D1162" s="13">
        <f t="shared" si="466"/>
        <v>466</v>
      </c>
      <c r="E1162" s="13">
        <f>VLOOKUP(C1162,'Mortality Table'!$A$5:$E$153,IF(SRP_Gender="female",5,4),FALSE)</f>
        <v>0.14726</v>
      </c>
      <c r="F1162" s="13">
        <f t="shared" si="464"/>
        <v>1.3187323863667277E-2</v>
      </c>
      <c r="G1162" s="18">
        <f t="shared" si="467"/>
        <v>0.19107555400813966</v>
      </c>
      <c r="H1162" s="35">
        <f t="shared" si="468"/>
        <v>0.17685823270015169</v>
      </c>
      <c r="I1162" s="13">
        <f t="shared" si="462"/>
        <v>3.3793284794081967E-2</v>
      </c>
      <c r="J1162" s="13">
        <f t="shared" si="463"/>
        <v>0.23940244099695543</v>
      </c>
      <c r="K1162" s="106"/>
      <c r="AA1162" s="106"/>
    </row>
    <row r="1163" spans="3:27">
      <c r="C1163" s="17">
        <f t="shared" si="465"/>
        <v>98</v>
      </c>
      <c r="D1163" s="13">
        <f t="shared" si="466"/>
        <v>467</v>
      </c>
      <c r="E1163" s="13">
        <f>VLOOKUP(C1163,'Mortality Table'!$A$5:$E$153,IF(SRP_Gender="female",5,4),FALSE)</f>
        <v>0.14726</v>
      </c>
      <c r="F1163" s="13">
        <f t="shared" si="464"/>
        <v>1.3187323863667277E-2</v>
      </c>
      <c r="G1163" s="18">
        <f t="shared" si="467"/>
        <v>0.18855577879500468</v>
      </c>
      <c r="H1163" s="35">
        <f t="shared" si="468"/>
        <v>0.17685823270015169</v>
      </c>
      <c r="I1163" s="13">
        <f t="shared" si="462"/>
        <v>3.3347641803085262E-2</v>
      </c>
      <c r="J1163" s="13">
        <f t="shared" si="463"/>
        <v>0.2386691201719478</v>
      </c>
      <c r="K1163" s="106"/>
      <c r="AA1163" s="106"/>
    </row>
    <row r="1164" spans="3:27">
      <c r="C1164" s="17">
        <f t="shared" si="465"/>
        <v>98</v>
      </c>
      <c r="D1164" s="13">
        <f t="shared" si="466"/>
        <v>468</v>
      </c>
      <c r="E1164" s="13">
        <f>VLOOKUP(C1164,'Mortality Table'!$A$5:$E$153,IF(SRP_Gender="female",5,4),FALSE)</f>
        <v>0.14726</v>
      </c>
      <c r="F1164" s="13">
        <f t="shared" si="464"/>
        <v>1.3187323863667277E-2</v>
      </c>
      <c r="G1164" s="18">
        <f t="shared" si="467"/>
        <v>0.18606923267366896</v>
      </c>
      <c r="H1164" s="35">
        <f t="shared" si="468"/>
        <v>0.17685823270015169</v>
      </c>
      <c r="I1164" s="13">
        <f t="shared" si="462"/>
        <v>3.2907875650538411E-2</v>
      </c>
      <c r="J1164" s="13">
        <f t="shared" si="463"/>
        <v>0.23793804560403806</v>
      </c>
      <c r="K1164" s="106"/>
      <c r="AA1164" s="106"/>
    </row>
    <row r="1165" spans="3:27">
      <c r="C1165" s="17">
        <f t="shared" si="465"/>
        <v>99</v>
      </c>
      <c r="D1165" s="13">
        <f t="shared" si="466"/>
        <v>469</v>
      </c>
      <c r="E1165" s="13">
        <f>VLOOKUP(C1165,'Mortality Table'!$A$5:$E$153,IF(SRP_Gender="female",5,4),FALSE)</f>
        <v>0.157695</v>
      </c>
      <c r="F1165" s="13">
        <f t="shared" si="464"/>
        <v>1.419931659562601E-2</v>
      </c>
      <c r="G1165" s="18">
        <f t="shared" si="467"/>
        <v>0.18361547744133722</v>
      </c>
      <c r="H1165" s="35">
        <f t="shared" si="468"/>
        <v>0.18039539735415472</v>
      </c>
      <c r="I1165" s="13">
        <f t="shared" si="462"/>
        <v>3.3123387013402859E-2</v>
      </c>
      <c r="J1165" s="13">
        <f t="shared" si="463"/>
        <v>0.23720921041264906</v>
      </c>
      <c r="K1165" s="106"/>
      <c r="AA1165" s="106"/>
    </row>
    <row r="1166" spans="3:27">
      <c r="C1166" s="17">
        <f t="shared" si="465"/>
        <v>99</v>
      </c>
      <c r="D1166" s="13">
        <f t="shared" si="466"/>
        <v>470</v>
      </c>
      <c r="E1166" s="13">
        <f>VLOOKUP(C1166,'Mortality Table'!$A$5:$E$153,IF(SRP_Gender="female",5,4),FALSE)</f>
        <v>0.157695</v>
      </c>
      <c r="F1166" s="13">
        <f t="shared" si="464"/>
        <v>1.419931659562601E-2</v>
      </c>
      <c r="G1166" s="18">
        <f t="shared" si="467"/>
        <v>0.18100826314529064</v>
      </c>
      <c r="H1166" s="35">
        <f t="shared" si="468"/>
        <v>0.18039539735415472</v>
      </c>
      <c r="I1166" s="13">
        <f t="shared" si="462"/>
        <v>3.2653057554480107E-2</v>
      </c>
      <c r="J1166" s="13">
        <f t="shared" si="463"/>
        <v>0.23648260773827859</v>
      </c>
      <c r="K1166" s="106"/>
      <c r="AA1166" s="106"/>
    </row>
    <row r="1167" spans="3:27">
      <c r="C1167" s="17">
        <f t="shared" si="465"/>
        <v>99</v>
      </c>
      <c r="D1167" s="13">
        <f t="shared" si="466"/>
        <v>471</v>
      </c>
      <c r="E1167" s="13">
        <f>VLOOKUP(C1167,'Mortality Table'!$A$5:$E$153,IF(SRP_Gender="female",5,4),FALSE)</f>
        <v>0.157695</v>
      </c>
      <c r="F1167" s="13">
        <f t="shared" si="464"/>
        <v>1.419931659562601E-2</v>
      </c>
      <c r="G1167" s="18">
        <f t="shared" si="467"/>
        <v>0.17843806951046629</v>
      </c>
      <c r="H1167" s="35">
        <f t="shared" si="468"/>
        <v>0.18039539735415472</v>
      </c>
      <c r="I1167" s="13">
        <f t="shared" si="462"/>
        <v>3.2189406452448846E-2</v>
      </c>
      <c r="J1167" s="13">
        <f t="shared" si="463"/>
        <v>0.23575823074243676</v>
      </c>
      <c r="K1167" s="106"/>
      <c r="AA1167" s="106"/>
    </row>
    <row r="1168" spans="3:27">
      <c r="C1168" s="17">
        <f t="shared" si="465"/>
        <v>99</v>
      </c>
      <c r="D1168" s="13">
        <f t="shared" si="466"/>
        <v>472</v>
      </c>
      <c r="E1168" s="13">
        <f>VLOOKUP(C1168,'Mortality Table'!$A$5:$E$153,IF(SRP_Gender="female",5,4),FALSE)</f>
        <v>0.157695</v>
      </c>
      <c r="F1168" s="13">
        <f t="shared" si="464"/>
        <v>1.419931659562601E-2</v>
      </c>
      <c r="G1168" s="18">
        <f t="shared" si="467"/>
        <v>0.17590437086877486</v>
      </c>
      <c r="H1168" s="35">
        <f t="shared" si="468"/>
        <v>0.18039539735415472</v>
      </c>
      <c r="I1168" s="13">
        <f t="shared" si="462"/>
        <v>3.1732338879205242E-2</v>
      </c>
      <c r="J1168" s="13">
        <f t="shared" si="463"/>
        <v>0.23503607260758053</v>
      </c>
      <c r="K1168" s="106"/>
      <c r="AA1168" s="106"/>
    </row>
    <row r="1169" spans="3:27">
      <c r="C1169" s="17">
        <f t="shared" si="465"/>
        <v>99</v>
      </c>
      <c r="D1169" s="13">
        <f t="shared" si="466"/>
        <v>473</v>
      </c>
      <c r="E1169" s="13">
        <f>VLOOKUP(C1169,'Mortality Table'!$A$5:$E$153,IF(SRP_Gender="female",5,4),FALSE)</f>
        <v>0.157695</v>
      </c>
      <c r="F1169" s="13">
        <f t="shared" si="464"/>
        <v>1.419931659562601E-2</v>
      </c>
      <c r="G1169" s="18">
        <f t="shared" si="467"/>
        <v>0.17340664901625472</v>
      </c>
      <c r="H1169" s="35">
        <f t="shared" si="468"/>
        <v>0.18039539735415472</v>
      </c>
      <c r="I1169" s="13">
        <f t="shared" si="462"/>
        <v>3.128176135313971E-2</v>
      </c>
      <c r="J1169" s="13">
        <f t="shared" si="463"/>
        <v>0.2343161265370502</v>
      </c>
      <c r="K1169" s="106"/>
      <c r="AA1169" s="106"/>
    </row>
    <row r="1170" spans="3:27">
      <c r="C1170" s="17">
        <f t="shared" si="465"/>
        <v>99</v>
      </c>
      <c r="D1170" s="13">
        <f t="shared" si="466"/>
        <v>474</v>
      </c>
      <c r="E1170" s="13">
        <f>VLOOKUP(C1170,'Mortality Table'!$A$5:$E$153,IF(SRP_Gender="female",5,4),FALSE)</f>
        <v>0.157695</v>
      </c>
      <c r="F1170" s="13">
        <f t="shared" si="464"/>
        <v>1.419931659562601E-2</v>
      </c>
      <c r="G1170" s="18">
        <f t="shared" si="467"/>
        <v>0.17094439310708631</v>
      </c>
      <c r="H1170" s="35">
        <f t="shared" si="468"/>
        <v>0.18039539735415472</v>
      </c>
      <c r="I1170" s="13">
        <f t="shared" si="462"/>
        <v>3.0837581720017663E-2</v>
      </c>
      <c r="J1170" s="13">
        <f t="shared" si="463"/>
        <v>0.23359838575500469</v>
      </c>
      <c r="K1170" s="106"/>
      <c r="AA1170" s="106"/>
    </row>
    <row r="1171" spans="3:27">
      <c r="C1171" s="17">
        <f t="shared" si="465"/>
        <v>99</v>
      </c>
      <c r="D1171" s="13">
        <f t="shared" si="466"/>
        <v>475</v>
      </c>
      <c r="E1171" s="13">
        <f>VLOOKUP(C1171,'Mortality Table'!$A$5:$E$153,IF(SRP_Gender="female",5,4),FALSE)</f>
        <v>0.157695</v>
      </c>
      <c r="F1171" s="13">
        <f t="shared" si="464"/>
        <v>1.419931659562601E-2</v>
      </c>
      <c r="G1171" s="18">
        <f t="shared" si="467"/>
        <v>0.16851709954911165</v>
      </c>
      <c r="H1171" s="35">
        <f t="shared" si="468"/>
        <v>0.18039539735415472</v>
      </c>
      <c r="I1171" s="13">
        <f t="shared" si="462"/>
        <v>3.0399709134131644E-2</v>
      </c>
      <c r="J1171" s="13">
        <f t="shared" si="463"/>
        <v>0.23288284350635868</v>
      </c>
      <c r="K1171" s="106"/>
      <c r="AA1171" s="106"/>
    </row>
    <row r="1172" spans="3:27">
      <c r="C1172" s="17">
        <f t="shared" si="465"/>
        <v>99</v>
      </c>
      <c r="D1172" s="13">
        <f t="shared" si="466"/>
        <v>476</v>
      </c>
      <c r="E1172" s="13">
        <f>VLOOKUP(C1172,'Mortality Table'!$A$5:$E$153,IF(SRP_Gender="female",5,4),FALSE)</f>
        <v>0.157695</v>
      </c>
      <c r="F1172" s="13">
        <f t="shared" si="464"/>
        <v>1.419931659562601E-2</v>
      </c>
      <c r="G1172" s="18">
        <f t="shared" si="467"/>
        <v>0.1661242719008372</v>
      </c>
      <c r="H1172" s="35">
        <f t="shared" si="468"/>
        <v>0.18039539735415472</v>
      </c>
      <c r="I1172" s="13">
        <f t="shared" si="462"/>
        <v>2.9968054039721165E-2</v>
      </c>
      <c r="J1172" s="13">
        <f t="shared" si="463"/>
        <v>0.23216949305671822</v>
      </c>
      <c r="K1172" s="106"/>
      <c r="AA1172" s="106"/>
    </row>
    <row r="1173" spans="3:27">
      <c r="C1173" s="17">
        <f t="shared" si="465"/>
        <v>99</v>
      </c>
      <c r="D1173" s="13">
        <f t="shared" si="466"/>
        <v>477</v>
      </c>
      <c r="E1173" s="13">
        <f>VLOOKUP(C1173,'Mortality Table'!$A$5:$E$153,IF(SRP_Gender="female",5,4),FALSE)</f>
        <v>0.157695</v>
      </c>
      <c r="F1173" s="13">
        <f t="shared" si="464"/>
        <v>1.419931659562601E-2</v>
      </c>
      <c r="G1173" s="18">
        <f t="shared" si="467"/>
        <v>0.16376542076989936</v>
      </c>
      <c r="H1173" s="35">
        <f t="shared" si="468"/>
        <v>0.18039539735415472</v>
      </c>
      <c r="I1173" s="13">
        <f t="shared" si="462"/>
        <v>2.9542528152656337E-2</v>
      </c>
      <c r="J1173" s="13">
        <f t="shared" si="463"/>
        <v>0.23145832769231781</v>
      </c>
      <c r="K1173" s="106"/>
      <c r="AA1173" s="106"/>
    </row>
    <row r="1174" spans="3:27">
      <c r="C1174" s="17">
        <f t="shared" si="465"/>
        <v>99</v>
      </c>
      <c r="D1174" s="13">
        <f t="shared" si="466"/>
        <v>478</v>
      </c>
      <c r="E1174" s="13">
        <f>VLOOKUP(C1174,'Mortality Table'!$A$5:$E$153,IF(SRP_Gender="female",5,4),FALSE)</f>
        <v>0.157695</v>
      </c>
      <c r="F1174" s="13">
        <f t="shared" si="464"/>
        <v>1.419931659562601E-2</v>
      </c>
      <c r="G1174" s="18">
        <f t="shared" si="467"/>
        <v>0.16144006371297165</v>
      </c>
      <c r="H1174" s="35">
        <f t="shared" si="468"/>
        <v>0.18039539735415472</v>
      </c>
      <c r="I1174" s="13">
        <f t="shared" si="462"/>
        <v>2.9123044442381577E-2</v>
      </c>
      <c r="J1174" s="13">
        <f t="shared" si="463"/>
        <v>0.23074934071995704</v>
      </c>
      <c r="K1174" s="106"/>
      <c r="AA1174" s="106"/>
    </row>
    <row r="1175" spans="3:27">
      <c r="C1175" s="17">
        <f t="shared" si="465"/>
        <v>99</v>
      </c>
      <c r="D1175" s="13">
        <f t="shared" si="466"/>
        <v>479</v>
      </c>
      <c r="E1175" s="13">
        <f>VLOOKUP(C1175,'Mortality Table'!$A$5:$E$153,IF(SRP_Gender="female",5,4),FALSE)</f>
        <v>0.157695</v>
      </c>
      <c r="F1175" s="13">
        <f t="shared" si="464"/>
        <v>1.419931659562601E-2</v>
      </c>
      <c r="G1175" s="18">
        <f t="shared" si="467"/>
        <v>0.15914772513709313</v>
      </c>
      <c r="H1175" s="35">
        <f t="shared" si="468"/>
        <v>0.18039539735415472</v>
      </c>
      <c r="I1175" s="13">
        <f t="shared" si="462"/>
        <v>2.8709517114115714E-2</v>
      </c>
      <c r="J1175" s="13">
        <f t="shared" si="463"/>
        <v>0.23004252546693765</v>
      </c>
      <c r="K1175" s="106"/>
      <c r="AA1175" s="106"/>
    </row>
    <row r="1176" spans="3:27">
      <c r="C1176" s="17">
        <f t="shared" si="465"/>
        <v>99</v>
      </c>
      <c r="D1176" s="13">
        <f t="shared" si="466"/>
        <v>480</v>
      </c>
      <c r="E1176" s="13">
        <f>VLOOKUP(C1176,'Mortality Table'!$A$5:$E$153,IF(SRP_Gender="female",5,4),FALSE)</f>
        <v>0.157695</v>
      </c>
      <c r="F1176" s="13">
        <f t="shared" si="464"/>
        <v>1.419931659562601E-2</v>
      </c>
      <c r="G1176" s="18">
        <f t="shared" si="467"/>
        <v>0.15688793620239788</v>
      </c>
      <c r="H1176" s="35">
        <f t="shared" si="468"/>
        <v>0.18039539735415472</v>
      </c>
      <c r="I1176" s="13">
        <f t="shared" si="462"/>
        <v>2.8301861591304839E-2</v>
      </c>
      <c r="J1176" s="13">
        <f t="shared" si="463"/>
        <v>0.2293378752810005</v>
      </c>
      <c r="K1176" s="106"/>
      <c r="AA1176" s="106"/>
    </row>
    <row r="1177" spans="3:27">
      <c r="C1177" s="17">
        <f t="shared" si="465"/>
        <v>100</v>
      </c>
      <c r="D1177" s="13">
        <f t="shared" si="466"/>
        <v>481</v>
      </c>
      <c r="E1177" s="13">
        <f>VLOOKUP(C1177,'Mortality Table'!$A$5:$E$153,IF(SRP_Gender="female",5,4),FALSE)</f>
        <v>0.16850999999999999</v>
      </c>
      <c r="F1177" s="13">
        <f t="shared" si="464"/>
        <v>1.5260362905164859E-2</v>
      </c>
      <c r="G1177" s="18">
        <f t="shared" si="467"/>
        <v>0.15466023472622567</v>
      </c>
      <c r="H1177" s="35">
        <f t="shared" si="468"/>
        <v>0.18400330530123782</v>
      </c>
      <c r="I1177" s="13">
        <f t="shared" si="462"/>
        <v>2.8457994388290806E-2</v>
      </c>
      <c r="J1177" s="13">
        <f t="shared" si="463"/>
        <v>0.22863538353026411</v>
      </c>
      <c r="K1177" s="106"/>
      <c r="AA1177" s="106"/>
    </row>
    <row r="1178" spans="3:27">
      <c r="C1178" s="17">
        <f t="shared" si="465"/>
        <v>100</v>
      </c>
      <c r="D1178" s="13">
        <f t="shared" si="466"/>
        <v>482</v>
      </c>
      <c r="E1178" s="13">
        <f>VLOOKUP(C1178,'Mortality Table'!$A$5:$E$153,IF(SRP_Gender="female",5,4),FALSE)</f>
        <v>0.16850999999999999</v>
      </c>
      <c r="F1178" s="13">
        <f t="shared" si="464"/>
        <v>1.5260362905164859E-2</v>
      </c>
      <c r="G1178" s="18">
        <f t="shared" si="467"/>
        <v>0.15230006341730548</v>
      </c>
      <c r="H1178" s="35">
        <f t="shared" si="468"/>
        <v>0.18400330530123782</v>
      </c>
      <c r="I1178" s="13">
        <f t="shared" si="462"/>
        <v>2.8023715066372343E-2</v>
      </c>
      <c r="J1178" s="13">
        <f t="shared" si="463"/>
        <v>0.22793504360316011</v>
      </c>
      <c r="K1178" s="106"/>
      <c r="AA1178" s="106"/>
    </row>
    <row r="1179" spans="3:27">
      <c r="C1179" s="17">
        <f t="shared" si="465"/>
        <v>100</v>
      </c>
      <c r="D1179" s="13">
        <f t="shared" si="466"/>
        <v>483</v>
      </c>
      <c r="E1179" s="13">
        <f>VLOOKUP(C1179,'Mortality Table'!$A$5:$E$153,IF(SRP_Gender="female",5,4),FALSE)</f>
        <v>0.16850999999999999</v>
      </c>
      <c r="F1179" s="13">
        <f t="shared" si="464"/>
        <v>1.5260362905164859E-2</v>
      </c>
      <c r="G1179" s="18">
        <f t="shared" si="467"/>
        <v>0.14997590917907777</v>
      </c>
      <c r="H1179" s="35">
        <f t="shared" si="468"/>
        <v>0.18400330530123782</v>
      </c>
      <c r="I1179" s="13">
        <f t="shared" si="462"/>
        <v>2.7596063004508561E-2</v>
      </c>
      <c r="J1179" s="13">
        <f t="shared" si="463"/>
        <v>0.2272368489083727</v>
      </c>
      <c r="K1179" s="106"/>
      <c r="AA1179" s="106"/>
    </row>
    <row r="1180" spans="3:27">
      <c r="C1180" s="17">
        <f t="shared" si="465"/>
        <v>100</v>
      </c>
      <c r="D1180" s="13">
        <f t="shared" si="466"/>
        <v>484</v>
      </c>
      <c r="E1180" s="13">
        <f>VLOOKUP(C1180,'Mortality Table'!$A$5:$E$153,IF(SRP_Gender="female",5,4),FALSE)</f>
        <v>0.16850999999999999</v>
      </c>
      <c r="F1180" s="13">
        <f t="shared" si="464"/>
        <v>1.5260362905164859E-2</v>
      </c>
      <c r="G1180" s="18">
        <f t="shared" si="467"/>
        <v>0.14768722237797299</v>
      </c>
      <c r="H1180" s="35">
        <f t="shared" si="468"/>
        <v>0.18400330530123782</v>
      </c>
      <c r="I1180" s="13">
        <f t="shared" si="462"/>
        <v>2.7174937068305968E-2</v>
      </c>
      <c r="J1180" s="13">
        <f t="shared" si="463"/>
        <v>0.22654079287477641</v>
      </c>
      <c r="K1180" s="106"/>
      <c r="AA1180" s="106"/>
    </row>
    <row r="1181" spans="3:27">
      <c r="C1181" s="17">
        <f t="shared" si="465"/>
        <v>100</v>
      </c>
      <c r="D1181" s="13">
        <f t="shared" si="466"/>
        <v>485</v>
      </c>
      <c r="E1181" s="13">
        <f>VLOOKUP(C1181,'Mortality Table'!$A$5:$E$153,IF(SRP_Gender="female",5,4),FALSE)</f>
        <v>0.16850999999999999</v>
      </c>
      <c r="F1181" s="13">
        <f t="shared" si="464"/>
        <v>1.5260362905164859E-2</v>
      </c>
      <c r="G1181" s="18">
        <f t="shared" si="467"/>
        <v>0.14543346176802935</v>
      </c>
      <c r="H1181" s="35">
        <f t="shared" si="468"/>
        <v>0.18400330530123782</v>
      </c>
      <c r="I1181" s="13">
        <f t="shared" si="462"/>
        <v>2.6760237666718603E-2</v>
      </c>
      <c r="J1181" s="13">
        <f t="shared" si="463"/>
        <v>0.22584686895137365</v>
      </c>
      <c r="K1181" s="106"/>
      <c r="AA1181" s="106"/>
    </row>
    <row r="1182" spans="3:27">
      <c r="C1182" s="17">
        <f t="shared" si="465"/>
        <v>100</v>
      </c>
      <c r="D1182" s="13">
        <f t="shared" si="466"/>
        <v>486</v>
      </c>
      <c r="E1182" s="13">
        <f>VLOOKUP(C1182,'Mortality Table'!$A$5:$E$153,IF(SRP_Gender="female",5,4),FALSE)</f>
        <v>0.16850999999999999</v>
      </c>
      <c r="F1182" s="13">
        <f t="shared" si="464"/>
        <v>1.5260362905164859E-2</v>
      </c>
      <c r="G1182" s="18">
        <f t="shared" si="467"/>
        <v>0.14321409436289481</v>
      </c>
      <c r="H1182" s="35">
        <f t="shared" si="468"/>
        <v>0.18400330530123782</v>
      </c>
      <c r="I1182" s="13">
        <f t="shared" si="462"/>
        <v>2.6351866728496015E-2</v>
      </c>
      <c r="J1182" s="13">
        <f t="shared" si="463"/>
        <v>0.22515507060723344</v>
      </c>
      <c r="K1182" s="106"/>
      <c r="AA1182" s="106"/>
    </row>
    <row r="1183" spans="3:27">
      <c r="C1183" s="17">
        <f t="shared" si="465"/>
        <v>100</v>
      </c>
      <c r="D1183" s="13">
        <f t="shared" si="466"/>
        <v>487</v>
      </c>
      <c r="E1183" s="13">
        <f>VLOOKUP(C1183,'Mortality Table'!$A$5:$E$153,IF(SRP_Gender="female",5,4),FALSE)</f>
        <v>0.16850999999999999</v>
      </c>
      <c r="F1183" s="13">
        <f t="shared" si="464"/>
        <v>1.5260362905164859E-2</v>
      </c>
      <c r="G1183" s="18">
        <f t="shared" si="467"/>
        <v>0.14102859530978251</v>
      </c>
      <c r="H1183" s="35">
        <f t="shared" si="468"/>
        <v>0.18400330530123782</v>
      </c>
      <c r="I1183" s="13">
        <f t="shared" si="462"/>
        <v>2.5949727678990626E-2</v>
      </c>
      <c r="J1183" s="13">
        <f t="shared" si="463"/>
        <v>0.22446539133143006</v>
      </c>
      <c r="K1183" s="106"/>
      <c r="AA1183" s="106"/>
    </row>
    <row r="1184" spans="3:27">
      <c r="C1184" s="17">
        <f t="shared" si="465"/>
        <v>100</v>
      </c>
      <c r="D1184" s="13">
        <f t="shared" si="466"/>
        <v>488</v>
      </c>
      <c r="E1184" s="13">
        <f>VLOOKUP(C1184,'Mortality Table'!$A$5:$E$153,IF(SRP_Gender="female",5,4),FALSE)</f>
        <v>0.16850999999999999</v>
      </c>
      <c r="F1184" s="13">
        <f t="shared" si="464"/>
        <v>1.5260362905164859E-2</v>
      </c>
      <c r="G1184" s="18">
        <f t="shared" si="467"/>
        <v>0.1388764477653496</v>
      </c>
      <c r="H1184" s="35">
        <f t="shared" si="468"/>
        <v>0.18400330530123782</v>
      </c>
      <c r="I1184" s="13">
        <f t="shared" si="462"/>
        <v>2.5553725417319029E-2</v>
      </c>
      <c r="J1184" s="13">
        <f t="shared" si="463"/>
        <v>0.2237778246329814</v>
      </c>
      <c r="K1184" s="106"/>
      <c r="AA1184" s="106"/>
    </row>
    <row r="1185" spans="3:27">
      <c r="C1185" s="17">
        <f t="shared" si="465"/>
        <v>100</v>
      </c>
      <c r="D1185" s="13">
        <f t="shared" si="466"/>
        <v>489</v>
      </c>
      <c r="E1185" s="13">
        <f>VLOOKUP(C1185,'Mortality Table'!$A$5:$E$153,IF(SRP_Gender="female",5,4),FALSE)</f>
        <v>0.16850999999999999</v>
      </c>
      <c r="F1185" s="13">
        <f t="shared" si="464"/>
        <v>1.5260362905164859E-2</v>
      </c>
      <c r="G1185" s="18">
        <f t="shared" si="467"/>
        <v>0.1367571427734702</v>
      </c>
      <c r="H1185" s="35">
        <f t="shared" si="468"/>
        <v>0.18400330530123782</v>
      </c>
      <c r="I1185" s="13">
        <f t="shared" si="462"/>
        <v>2.5163766293871806E-2</v>
      </c>
      <c r="J1185" s="13">
        <f t="shared" si="463"/>
        <v>0.22309236404078822</v>
      </c>
      <c r="K1185" s="106"/>
      <c r="AA1185" s="106"/>
    </row>
    <row r="1186" spans="3:27">
      <c r="C1186" s="17">
        <f t="shared" si="465"/>
        <v>100</v>
      </c>
      <c r="D1186" s="13">
        <f t="shared" si="466"/>
        <v>490</v>
      </c>
      <c r="E1186" s="13">
        <f>VLOOKUP(C1186,'Mortality Table'!$A$5:$E$153,IF(SRP_Gender="female",5,4),FALSE)</f>
        <v>0.16850999999999999</v>
      </c>
      <c r="F1186" s="13">
        <f t="shared" si="464"/>
        <v>1.5260362905164859E-2</v>
      </c>
      <c r="G1186" s="18">
        <f t="shared" si="467"/>
        <v>0.13467017914487361</v>
      </c>
      <c r="H1186" s="35">
        <f t="shared" si="468"/>
        <v>0.18400330530123782</v>
      </c>
      <c r="I1186" s="13">
        <f t="shared" si="462"/>
        <v>2.477975808816657E-2</v>
      </c>
      <c r="J1186" s="13">
        <f t="shared" si="463"/>
        <v>0.22240900310357295</v>
      </c>
      <c r="K1186" s="106"/>
      <c r="AA1186" s="106"/>
    </row>
    <row r="1187" spans="3:27">
      <c r="C1187" s="17">
        <f t="shared" si="465"/>
        <v>100</v>
      </c>
      <c r="D1187" s="13">
        <f t="shared" si="466"/>
        <v>491</v>
      </c>
      <c r="E1187" s="13">
        <f>VLOOKUP(C1187,'Mortality Table'!$A$5:$E$153,IF(SRP_Gender="female",5,4),FALSE)</f>
        <v>0.16850999999999999</v>
      </c>
      <c r="F1187" s="13">
        <f t="shared" si="464"/>
        <v>1.5260362905164859E-2</v>
      </c>
      <c r="G1187" s="18">
        <f t="shared" si="467"/>
        <v>0.13261506333861928</v>
      </c>
      <c r="H1187" s="35">
        <f t="shared" si="468"/>
        <v>0.18400330530123782</v>
      </c>
      <c r="I1187" s="13">
        <f t="shared" si="462"/>
        <v>2.4401609987038952E-2</v>
      </c>
      <c r="J1187" s="13">
        <f t="shared" si="463"/>
        <v>0.22172773538981938</v>
      </c>
      <c r="K1187" s="106"/>
      <c r="AA1187" s="106"/>
    </row>
    <row r="1188" spans="3:27">
      <c r="C1188" s="17">
        <f t="shared" si="465"/>
        <v>100</v>
      </c>
      <c r="D1188" s="13">
        <f t="shared" si="466"/>
        <v>492</v>
      </c>
      <c r="E1188" s="13">
        <f>VLOOKUP(C1188,'Mortality Table'!$A$5:$E$153,IF(SRP_Gender="female",5,4),FALSE)</f>
        <v>0.16850999999999999</v>
      </c>
      <c r="F1188" s="13">
        <f t="shared" si="464"/>
        <v>1.5260362905164859E-2</v>
      </c>
      <c r="G1188" s="18">
        <f t="shared" si="467"/>
        <v>0.13059130934538052</v>
      </c>
      <c r="H1188" s="35">
        <f t="shared" si="468"/>
        <v>0.18400330530123782</v>
      </c>
      <c r="I1188" s="13">
        <f t="shared" si="462"/>
        <v>2.4029232563166442E-2</v>
      </c>
      <c r="J1188" s="13">
        <f t="shared" si="463"/>
        <v>0.22104855448771127</v>
      </c>
      <c r="K1188" s="106"/>
      <c r="AA1188" s="106"/>
    </row>
    <row r="1189" spans="3:27">
      <c r="C1189" s="17">
        <f t="shared" si="465"/>
        <v>101</v>
      </c>
      <c r="D1189" s="13">
        <f t="shared" si="466"/>
        <v>493</v>
      </c>
      <c r="E1189" s="13">
        <f>VLOOKUP(C1189,'Mortality Table'!$A$5:$E$153,IF(SRP_Gender="female",5,4),FALSE)</f>
        <v>0.1797</v>
      </c>
      <c r="F1189" s="13">
        <f t="shared" si="464"/>
        <v>1.6371600459037516E-2</v>
      </c>
      <c r="G1189" s="18">
        <f t="shared" si="467"/>
        <v>0.12859843857250935</v>
      </c>
      <c r="H1189" s="35">
        <f t="shared" si="468"/>
        <v>0.18768337140726257</v>
      </c>
      <c r="I1189" s="13">
        <f t="shared" si="462"/>
        <v>2.4135788508998314E-2</v>
      </c>
      <c r="J1189" s="13">
        <f t="shared" si="463"/>
        <v>0.22037145400507382</v>
      </c>
      <c r="K1189" s="106"/>
      <c r="AA1189" s="106"/>
    </row>
    <row r="1190" spans="3:27">
      <c r="C1190" s="17">
        <f t="shared" si="465"/>
        <v>101</v>
      </c>
      <c r="D1190" s="13">
        <f t="shared" si="466"/>
        <v>494</v>
      </c>
      <c r="E1190" s="13">
        <f>VLOOKUP(C1190,'Mortality Table'!$A$5:$E$153,IF(SRP_Gender="female",5,4),FALSE)</f>
        <v>0.1797</v>
      </c>
      <c r="F1190" s="13">
        <f t="shared" si="464"/>
        <v>1.6371600459037516E-2</v>
      </c>
      <c r="G1190" s="18">
        <f t="shared" si="467"/>
        <v>0.12649307631654416</v>
      </c>
      <c r="H1190" s="35">
        <f t="shared" si="468"/>
        <v>0.18768337140726257</v>
      </c>
      <c r="I1190" s="13">
        <f t="shared" si="462"/>
        <v>2.3740647022765168E-2</v>
      </c>
      <c r="J1190" s="13">
        <f t="shared" si="463"/>
        <v>0.21969642756931093</v>
      </c>
      <c r="K1190" s="106"/>
      <c r="AA1190" s="106"/>
    </row>
    <row r="1191" spans="3:27">
      <c r="C1191" s="17">
        <f t="shared" si="465"/>
        <v>101</v>
      </c>
      <c r="D1191" s="13">
        <f t="shared" si="466"/>
        <v>495</v>
      </c>
      <c r="E1191" s="13">
        <f>VLOOKUP(C1191,'Mortality Table'!$A$5:$E$153,IF(SRP_Gender="female",5,4),FALSE)</f>
        <v>0.1797</v>
      </c>
      <c r="F1191" s="13">
        <f t="shared" si="464"/>
        <v>1.6371600459037516E-2</v>
      </c>
      <c r="G1191" s="18">
        <f t="shared" si="467"/>
        <v>0.12442218221025517</v>
      </c>
      <c r="H1191" s="35">
        <f t="shared" si="468"/>
        <v>0.18768337140726257</v>
      </c>
      <c r="I1191" s="13">
        <f t="shared" si="462"/>
        <v>2.3351974635069418E-2</v>
      </c>
      <c r="J1191" s="13">
        <f t="shared" si="463"/>
        <v>0.21902346882734719</v>
      </c>
      <c r="K1191" s="106"/>
      <c r="AA1191" s="106"/>
    </row>
    <row r="1192" spans="3:27">
      <c r="C1192" s="17">
        <f t="shared" si="465"/>
        <v>101</v>
      </c>
      <c r="D1192" s="13">
        <f t="shared" si="466"/>
        <v>496</v>
      </c>
      <c r="E1192" s="13">
        <f>VLOOKUP(C1192,'Mortality Table'!$A$5:$E$153,IF(SRP_Gender="female",5,4),FALSE)</f>
        <v>0.1797</v>
      </c>
      <c r="F1192" s="13">
        <f t="shared" si="464"/>
        <v>1.6371600459037516E-2</v>
      </c>
      <c r="G1192" s="18">
        <f t="shared" si="467"/>
        <v>0.1223851919548673</v>
      </c>
      <c r="H1192" s="35">
        <f t="shared" si="468"/>
        <v>0.18768337140726257</v>
      </c>
      <c r="I1192" s="13">
        <f t="shared" si="462"/>
        <v>2.2969665436414485E-2</v>
      </c>
      <c r="J1192" s="13">
        <f t="shared" si="463"/>
        <v>0.21835257144556758</v>
      </c>
      <c r="K1192" s="106"/>
      <c r="AA1192" s="106"/>
    </row>
    <row r="1193" spans="3:27">
      <c r="C1193" s="17">
        <f t="shared" si="465"/>
        <v>101</v>
      </c>
      <c r="D1193" s="13">
        <f t="shared" si="466"/>
        <v>497</v>
      </c>
      <c r="E1193" s="13">
        <f>VLOOKUP(C1193,'Mortality Table'!$A$5:$E$153,IF(SRP_Gender="female",5,4),FALSE)</f>
        <v>0.1797</v>
      </c>
      <c r="F1193" s="13">
        <f t="shared" si="464"/>
        <v>1.6371600459037516E-2</v>
      </c>
      <c r="G1193" s="18">
        <f t="shared" si="467"/>
        <v>0.12038155049007961</v>
      </c>
      <c r="H1193" s="35">
        <f t="shared" si="468"/>
        <v>0.18768337140726257</v>
      </c>
      <c r="I1193" s="13">
        <f t="shared" si="462"/>
        <v>2.2593615251211743E-2</v>
      </c>
      <c r="J1193" s="13">
        <f t="shared" si="463"/>
        <v>0.2176837291097577</v>
      </c>
      <c r="K1193" s="106"/>
      <c r="AA1193" s="106"/>
    </row>
    <row r="1194" spans="3:27">
      <c r="C1194" s="17">
        <f t="shared" si="465"/>
        <v>101</v>
      </c>
      <c r="D1194" s="13">
        <f t="shared" si="466"/>
        <v>498</v>
      </c>
      <c r="E1194" s="13">
        <f>VLOOKUP(C1194,'Mortality Table'!$A$5:$E$153,IF(SRP_Gender="female",5,4),FALSE)</f>
        <v>0.1797</v>
      </c>
      <c r="F1194" s="13">
        <f t="shared" si="464"/>
        <v>1.6371600459037516E-2</v>
      </c>
      <c r="G1194" s="18">
        <f t="shared" si="467"/>
        <v>0.11841071184281657</v>
      </c>
      <c r="H1194" s="35">
        <f t="shared" si="468"/>
        <v>0.18768337140726257</v>
      </c>
      <c r="I1194" s="13">
        <f t="shared" si="462"/>
        <v>2.2223721609393687E-2</v>
      </c>
      <c r="J1194" s="13">
        <f t="shared" si="463"/>
        <v>0.21701693552504428</v>
      </c>
      <c r="K1194" s="106"/>
      <c r="AA1194" s="106"/>
    </row>
    <row r="1195" spans="3:27">
      <c r="C1195" s="17">
        <f t="shared" si="465"/>
        <v>101</v>
      </c>
      <c r="D1195" s="13">
        <f t="shared" si="466"/>
        <v>499</v>
      </c>
      <c r="E1195" s="13">
        <f>VLOOKUP(C1195,'Mortality Table'!$A$5:$E$153,IF(SRP_Gender="female",5,4),FALSE)</f>
        <v>0.1797</v>
      </c>
      <c r="F1195" s="13">
        <f t="shared" si="464"/>
        <v>1.6371600459037516E-2</v>
      </c>
      <c r="G1195" s="18">
        <f t="shared" si="467"/>
        <v>0.11647213897845575</v>
      </c>
      <c r="H1195" s="35">
        <f t="shared" si="468"/>
        <v>0.18768337140726257</v>
      </c>
      <c r="I1195" s="13">
        <f t="shared" si="462"/>
        <v>2.1859883718491815E-2</v>
      </c>
      <c r="J1195" s="13">
        <f t="shared" si="463"/>
        <v>0.21635218441583617</v>
      </c>
      <c r="K1195" s="106"/>
      <c r="AA1195" s="106"/>
    </row>
    <row r="1196" spans="3:27">
      <c r="C1196" s="17">
        <f t="shared" si="465"/>
        <v>101</v>
      </c>
      <c r="D1196" s="13">
        <f t="shared" si="466"/>
        <v>500</v>
      </c>
      <c r="E1196" s="13">
        <f>VLOOKUP(C1196,'Mortality Table'!$A$5:$E$153,IF(SRP_Gender="female",5,4),FALSE)</f>
        <v>0.1797</v>
      </c>
      <c r="F1196" s="13">
        <f t="shared" si="464"/>
        <v>1.6371600459037516E-2</v>
      </c>
      <c r="G1196" s="18">
        <f t="shared" si="467"/>
        <v>0.11456530365449098</v>
      </c>
      <c r="H1196" s="35">
        <f t="shared" si="468"/>
        <v>0.18768337140726257</v>
      </c>
      <c r="I1196" s="13">
        <f t="shared" si="462"/>
        <v>2.1502002436171647E-2</v>
      </c>
      <c r="J1196" s="13">
        <f t="shared" si="463"/>
        <v>0.2156894695257652</v>
      </c>
      <c r="K1196" s="106"/>
      <c r="AA1196" s="106"/>
    </row>
    <row r="1197" spans="3:27">
      <c r="C1197" s="17">
        <f t="shared" si="465"/>
        <v>101</v>
      </c>
      <c r="D1197" s="13">
        <f t="shared" si="466"/>
        <v>501</v>
      </c>
      <c r="E1197" s="13">
        <f>VLOOKUP(C1197,'Mortality Table'!$A$5:$E$153,IF(SRP_Gender="female",5,4),FALSE)</f>
        <v>0.1797</v>
      </c>
      <c r="F1197" s="13">
        <f t="shared" si="464"/>
        <v>1.6371600459037516E-2</v>
      </c>
      <c r="G1197" s="18">
        <f t="shared" si="467"/>
        <v>0.11268968627659134</v>
      </c>
      <c r="H1197" s="35">
        <f t="shared" si="468"/>
        <v>0.18768337140726257</v>
      </c>
      <c r="I1197" s="13">
        <f t="shared" si="462"/>
        <v>2.1149980243217393E-2</v>
      </c>
      <c r="J1197" s="13">
        <f t="shared" si="463"/>
        <v>0.2150287846176272</v>
      </c>
      <c r="K1197" s="106"/>
      <c r="AA1197" s="106"/>
    </row>
    <row r="1198" spans="3:27">
      <c r="C1198" s="17">
        <f t="shared" si="465"/>
        <v>101</v>
      </c>
      <c r="D1198" s="13">
        <f t="shared" si="466"/>
        <v>502</v>
      </c>
      <c r="E1198" s="13">
        <f>VLOOKUP(C1198,'Mortality Table'!$A$5:$E$153,IF(SRP_Gender="female",5,4),FALSE)</f>
        <v>0.1797</v>
      </c>
      <c r="F1198" s="13">
        <f t="shared" si="464"/>
        <v>1.6371600459037516E-2</v>
      </c>
      <c r="G1198" s="18">
        <f t="shared" si="467"/>
        <v>0.11084477575701671</v>
      </c>
      <c r="H1198" s="35">
        <f t="shared" si="468"/>
        <v>0.18768337140726257</v>
      </c>
      <c r="I1198" s="13">
        <f t="shared" si="462"/>
        <v>2.0803721216958899E-2</v>
      </c>
      <c r="J1198" s="13">
        <f t="shared" si="463"/>
        <v>0.21437012347332332</v>
      </c>
      <c r="K1198" s="106"/>
      <c r="AA1198" s="106"/>
    </row>
    <row r="1199" spans="3:27">
      <c r="C1199" s="17">
        <f t="shared" si="465"/>
        <v>101</v>
      </c>
      <c r="D1199" s="13">
        <f t="shared" si="466"/>
        <v>503</v>
      </c>
      <c r="E1199" s="13">
        <f>VLOOKUP(C1199,'Mortality Table'!$A$5:$E$153,IF(SRP_Gender="female",5,4),FALSE)</f>
        <v>0.1797</v>
      </c>
      <c r="F1199" s="13">
        <f t="shared" si="464"/>
        <v>1.6371600459037516E-2</v>
      </c>
      <c r="G1199" s="18">
        <f t="shared" si="467"/>
        <v>0.10903006937535122</v>
      </c>
      <c r="H1199" s="35">
        <f t="shared" si="468"/>
        <v>0.18768337140726257</v>
      </c>
      <c r="I1199" s="13">
        <f t="shared" si="462"/>
        <v>2.0463131005133646E-2</v>
      </c>
      <c r="J1199" s="13">
        <f t="shared" si="463"/>
        <v>0.21371347989380182</v>
      </c>
      <c r="K1199" s="106"/>
      <c r="AA1199" s="106"/>
    </row>
    <row r="1200" spans="3:27">
      <c r="C1200" s="17">
        <f t="shared" si="465"/>
        <v>101</v>
      </c>
      <c r="D1200" s="13">
        <f t="shared" si="466"/>
        <v>504</v>
      </c>
      <c r="E1200" s="13">
        <f>VLOOKUP(C1200,'Mortality Table'!$A$5:$E$153,IF(SRP_Gender="female",5,4),FALSE)</f>
        <v>0.1797</v>
      </c>
      <c r="F1200" s="13">
        <f t="shared" si="464"/>
        <v>1.6371600459037516E-2</v>
      </c>
      <c r="G1200" s="18">
        <f t="shared" si="467"/>
        <v>0.10724507264151682</v>
      </c>
      <c r="H1200" s="35">
        <f t="shared" si="468"/>
        <v>0.18768337140726257</v>
      </c>
      <c r="I1200" s="13">
        <f t="shared" si="462"/>
        <v>2.0128116800176656E-2</v>
      </c>
      <c r="J1200" s="13">
        <f t="shared" si="463"/>
        <v>0.21305884769899877</v>
      </c>
      <c r="K1200" s="106"/>
      <c r="AA1200" s="106"/>
    </row>
    <row r="1201" spans="3:27">
      <c r="C1201" s="17">
        <f t="shared" si="465"/>
        <v>102</v>
      </c>
      <c r="D1201" s="13">
        <f t="shared" si="466"/>
        <v>505</v>
      </c>
      <c r="E1201" s="13">
        <f>VLOOKUP(C1201,'Mortality Table'!$A$5:$E$153,IF(SRP_Gender="female",5,4),FALSE)</f>
        <v>0.191275</v>
      </c>
      <c r="F1201" s="13">
        <f t="shared" si="464"/>
        <v>1.7535788767686022E-2</v>
      </c>
      <c r="G1201" s="18">
        <f t="shared" si="467"/>
        <v>0.10548929916102945</v>
      </c>
      <c r="H1201" s="35">
        <f t="shared" si="468"/>
        <v>0.19143703883540783</v>
      </c>
      <c r="I1201" s="13">
        <f t="shared" si="462"/>
        <v>2.0194559060209949E-2</v>
      </c>
      <c r="J1201" s="13">
        <f t="shared" si="463"/>
        <v>0.21240622072778201</v>
      </c>
      <c r="K1201" s="106"/>
      <c r="AA1201" s="106"/>
    </row>
    <row r="1202" spans="3:27">
      <c r="C1202" s="17">
        <f t="shared" si="465"/>
        <v>102</v>
      </c>
      <c r="D1202" s="13">
        <f t="shared" si="466"/>
        <v>506</v>
      </c>
      <c r="E1202" s="13">
        <f>VLOOKUP(C1202,'Mortality Table'!$A$5:$E$153,IF(SRP_Gender="female",5,4),FALSE)</f>
        <v>0.191275</v>
      </c>
      <c r="F1202" s="13">
        <f t="shared" si="464"/>
        <v>1.7535788767686022E-2</v>
      </c>
      <c r="G1202" s="18">
        <f t="shared" si="467"/>
        <v>0.10363946109369039</v>
      </c>
      <c r="H1202" s="35">
        <f t="shared" si="468"/>
        <v>0.19143703883540783</v>
      </c>
      <c r="I1202" s="13">
        <f t="shared" si="462"/>
        <v>1.9840431538273546E-2</v>
      </c>
      <c r="J1202" s="13">
        <f t="shared" si="463"/>
        <v>0.21175559283789003</v>
      </c>
      <c r="K1202" s="106"/>
      <c r="AA1202" s="106"/>
    </row>
    <row r="1203" spans="3:27">
      <c r="C1203" s="17">
        <f t="shared" si="465"/>
        <v>102</v>
      </c>
      <c r="D1203" s="13">
        <f t="shared" si="466"/>
        <v>507</v>
      </c>
      <c r="E1203" s="13">
        <f>VLOOKUP(C1203,'Mortality Table'!$A$5:$E$153,IF(SRP_Gender="female",5,4),FALSE)</f>
        <v>0.191275</v>
      </c>
      <c r="F1203" s="13">
        <f t="shared" si="464"/>
        <v>1.7535788767686022E-2</v>
      </c>
      <c r="G1203" s="18">
        <f t="shared" si="467"/>
        <v>0.10182206139595462</v>
      </c>
      <c r="H1203" s="35">
        <f t="shared" si="468"/>
        <v>0.19143703883540783</v>
      </c>
      <c r="I1203" s="13">
        <f t="shared" si="462"/>
        <v>1.9492513921758645E-2</v>
      </c>
      <c r="J1203" s="13">
        <f t="shared" si="463"/>
        <v>0.21110695790587675</v>
      </c>
      <c r="K1203" s="106"/>
      <c r="AA1203" s="106"/>
    </row>
    <row r="1204" spans="3:27">
      <c r="C1204" s="17">
        <f t="shared" si="465"/>
        <v>102</v>
      </c>
      <c r="D1204" s="13">
        <f t="shared" si="466"/>
        <v>508</v>
      </c>
      <c r="E1204" s="13">
        <f>VLOOKUP(C1204,'Mortality Table'!$A$5:$E$153,IF(SRP_Gender="female",5,4),FALSE)</f>
        <v>0.191275</v>
      </c>
      <c r="F1204" s="13">
        <f t="shared" si="464"/>
        <v>1.7535788767686022E-2</v>
      </c>
      <c r="G1204" s="18">
        <f t="shared" si="467"/>
        <v>0.1000365312354248</v>
      </c>
      <c r="H1204" s="35">
        <f t="shared" si="468"/>
        <v>0.19143703883540783</v>
      </c>
      <c r="I1204" s="13">
        <f t="shared" si="462"/>
        <v>1.9150697315075505E-2</v>
      </c>
      <c r="J1204" s="13">
        <f t="shared" si="463"/>
        <v>0.21046030982705308</v>
      </c>
      <c r="K1204" s="106"/>
      <c r="AA1204" s="106"/>
    </row>
    <row r="1205" spans="3:27">
      <c r="C1205" s="17">
        <f t="shared" si="465"/>
        <v>102</v>
      </c>
      <c r="D1205" s="13">
        <f t="shared" si="466"/>
        <v>509</v>
      </c>
      <c r="E1205" s="13">
        <f>VLOOKUP(C1205,'Mortality Table'!$A$5:$E$153,IF(SRP_Gender="female",5,4),FALSE)</f>
        <v>0.191275</v>
      </c>
      <c r="F1205" s="13">
        <f t="shared" si="464"/>
        <v>1.7535788767686022E-2</v>
      </c>
      <c r="G1205" s="18">
        <f t="shared" si="467"/>
        <v>9.8282311754628371E-2</v>
      </c>
      <c r="H1205" s="35">
        <f t="shared" si="468"/>
        <v>0.19143703883540783</v>
      </c>
      <c r="I1205" s="13">
        <f t="shared" si="462"/>
        <v>1.8814874732204452E-2</v>
      </c>
      <c r="J1205" s="13">
        <f t="shared" si="463"/>
        <v>0.20981564251542911</v>
      </c>
      <c r="K1205" s="106"/>
      <c r="AA1205" s="106"/>
    </row>
    <row r="1206" spans="3:27">
      <c r="C1206" s="17">
        <f t="shared" si="465"/>
        <v>102</v>
      </c>
      <c r="D1206" s="13">
        <f t="shared" si="466"/>
        <v>510</v>
      </c>
      <c r="E1206" s="13">
        <f>VLOOKUP(C1206,'Mortality Table'!$A$5:$E$153,IF(SRP_Gender="female",5,4),FALSE)</f>
        <v>0.191275</v>
      </c>
      <c r="F1206" s="13">
        <f t="shared" si="464"/>
        <v>1.7535788767686022E-2</v>
      </c>
      <c r="G1206" s="18">
        <f t="shared" si="467"/>
        <v>9.6558853896099348E-2</v>
      </c>
      <c r="H1206" s="35">
        <f t="shared" si="468"/>
        <v>0.19143703883540783</v>
      </c>
      <c r="I1206" s="13">
        <f t="shared" si="462"/>
        <v>1.8484941063210043E-2</v>
      </c>
      <c r="J1206" s="13">
        <f t="shared" si="463"/>
        <v>0.20917294990365709</v>
      </c>
      <c r="K1206" s="106"/>
      <c r="AA1206" s="106"/>
    </row>
    <row r="1207" spans="3:27">
      <c r="C1207" s="17">
        <f t="shared" si="465"/>
        <v>102</v>
      </c>
      <c r="D1207" s="13">
        <f t="shared" si="466"/>
        <v>511</v>
      </c>
      <c r="E1207" s="13">
        <f>VLOOKUP(C1207,'Mortality Table'!$A$5:$E$153,IF(SRP_Gender="female",5,4),FALSE)</f>
        <v>0.191275</v>
      </c>
      <c r="F1207" s="13">
        <f t="shared" si="464"/>
        <v>1.7535788767686022E-2</v>
      </c>
      <c r="G1207" s="18">
        <f t="shared" si="467"/>
        <v>9.4865618230527499E-2</v>
      </c>
      <c r="H1207" s="35">
        <f t="shared" si="468"/>
        <v>0.19143703883540783</v>
      </c>
      <c r="I1207" s="13">
        <f t="shared" si="462"/>
        <v>1.8160793041342466E-2</v>
      </c>
      <c r="J1207" s="13">
        <f t="shared" si="463"/>
        <v>0.2085322259429746</v>
      </c>
      <c r="K1207" s="106"/>
      <c r="AA1207" s="106"/>
    </row>
    <row r="1208" spans="3:27">
      <c r="C1208" s="17">
        <f t="shared" si="465"/>
        <v>102</v>
      </c>
      <c r="D1208" s="13">
        <f t="shared" si="466"/>
        <v>512</v>
      </c>
      <c r="E1208" s="13">
        <f>VLOOKUP(C1208,'Mortality Table'!$A$5:$E$153,IF(SRP_Gender="female",5,4),FALSE)</f>
        <v>0.191275</v>
      </c>
      <c r="F1208" s="13">
        <f t="shared" si="464"/>
        <v>1.7535788767686022E-2</v>
      </c>
      <c r="G1208" s="18">
        <f t="shared" si="467"/>
        <v>9.320207478792103E-2</v>
      </c>
      <c r="H1208" s="35">
        <f t="shared" si="468"/>
        <v>0.19143703883540783</v>
      </c>
      <c r="I1208" s="13">
        <f t="shared" si="462"/>
        <v>1.7842329210715824E-2</v>
      </c>
      <c r="J1208" s="13">
        <f t="shared" si="463"/>
        <v>0.20789346460314714</v>
      </c>
      <c r="K1208" s="106"/>
      <c r="AA1208" s="106"/>
    </row>
    <row r="1209" spans="3:27">
      <c r="C1209" s="17">
        <f t="shared" si="465"/>
        <v>102</v>
      </c>
      <c r="D1209" s="13">
        <f t="shared" si="466"/>
        <v>513</v>
      </c>
      <c r="E1209" s="13">
        <f>VLOOKUP(C1209,'Mortality Table'!$A$5:$E$153,IF(SRP_Gender="female",5,4),FALSE)</f>
        <v>0.191275</v>
      </c>
      <c r="F1209" s="13">
        <f t="shared" si="464"/>
        <v>1.7535788767686022E-2</v>
      </c>
      <c r="G1209" s="18">
        <f t="shared" si="467"/>
        <v>9.1567702891729968E-2</v>
      </c>
      <c r="H1209" s="35">
        <f t="shared" si="468"/>
        <v>0.19143703883540783</v>
      </c>
      <c r="I1209" s="13">
        <f t="shared" ref="I1209:I1272" si="469">IF(D1209&lt;=12*SRP_Annuity_Gtee_Period,H1209,H1209*G1209)</f>
        <v>1.7529449894553194E-2</v>
      </c>
      <c r="J1209" s="13">
        <f t="shared" ref="J1209:J1272" si="470">((1+$D$79)^(-D1209/12))</f>
        <v>0.20725665987241171</v>
      </c>
      <c r="K1209" s="106"/>
      <c r="AA1209" s="106"/>
    </row>
    <row r="1210" spans="3:27">
      <c r="C1210" s="17">
        <f t="shared" si="465"/>
        <v>102</v>
      </c>
      <c r="D1210" s="13">
        <f t="shared" si="466"/>
        <v>514</v>
      </c>
      <c r="E1210" s="13">
        <f>VLOOKUP(C1210,'Mortality Table'!$A$5:$E$153,IF(SRP_Gender="female",5,4),FALSE)</f>
        <v>0.191275</v>
      </c>
      <c r="F1210" s="13">
        <f t="shared" ref="F1210:F1273" si="471">1-(1-E1210)^(1/12)</f>
        <v>1.7535788767686022E-2</v>
      </c>
      <c r="G1210" s="18">
        <f t="shared" si="467"/>
        <v>8.9961990995878358E-2</v>
      </c>
      <c r="H1210" s="35">
        <f t="shared" si="468"/>
        <v>0.19143703883540783</v>
      </c>
      <c r="I1210" s="13">
        <f t="shared" si="469"/>
        <v>1.7222057163988575E-2</v>
      </c>
      <c r="J1210" s="13">
        <f t="shared" si="470"/>
        <v>0.20662180575742006</v>
      </c>
      <c r="K1210" s="106"/>
      <c r="AA1210" s="106"/>
    </row>
    <row r="1211" spans="3:27">
      <c r="C1211" s="17">
        <f t="shared" ref="C1211:C1274" si="472">IF(MOD(D1211,12)=1,C1210+1,C1210)</f>
        <v>102</v>
      </c>
      <c r="D1211" s="13">
        <f t="shared" ref="D1211:D1274" si="473">D1210+1</f>
        <v>515</v>
      </c>
      <c r="E1211" s="13">
        <f>VLOOKUP(C1211,'Mortality Table'!$A$5:$E$153,IF(SRP_Gender="female",5,4),FALSE)</f>
        <v>0.191275</v>
      </c>
      <c r="F1211" s="13">
        <f t="shared" si="471"/>
        <v>1.7535788767686022E-2</v>
      </c>
      <c r="G1211" s="18">
        <f t="shared" ref="G1211:G1274" si="474">G1210*(1-F1210)</f>
        <v>8.8384436524654164E-2</v>
      </c>
      <c r="H1211" s="35">
        <f t="shared" ref="H1211:H1274" si="475">IF(MOD(D1211,12)=1,H1210*(1+$D$81),H1210)</f>
        <v>0.19143703883540783</v>
      </c>
      <c r="I1211" s="13">
        <f t="shared" si="469"/>
        <v>1.6920054807415857E-2</v>
      </c>
      <c r="J1211" s="13">
        <f t="shared" si="470"/>
        <v>0.20598889628318243</v>
      </c>
      <c r="K1211" s="106"/>
      <c r="AA1211" s="106"/>
    </row>
    <row r="1212" spans="3:27">
      <c r="C1212" s="17">
        <f t="shared" si="472"/>
        <v>102</v>
      </c>
      <c r="D1212" s="13">
        <f t="shared" si="473"/>
        <v>516</v>
      </c>
      <c r="E1212" s="13">
        <f>VLOOKUP(C1212,'Mortality Table'!$A$5:$E$153,IF(SRP_Gender="female",5,4),FALSE)</f>
        <v>0.191275</v>
      </c>
      <c r="F1212" s="13">
        <f t="shared" si="471"/>
        <v>1.7535788767686022E-2</v>
      </c>
      <c r="G1212" s="18">
        <f t="shared" si="474"/>
        <v>8.6834545715406872E-2</v>
      </c>
      <c r="H1212" s="35">
        <f t="shared" si="475"/>
        <v>0.19143703883540783</v>
      </c>
      <c r="I1212" s="13">
        <f t="shared" si="469"/>
        <v>1.6623348300375342E-2</v>
      </c>
      <c r="J1212" s="13">
        <f t="shared" si="470"/>
        <v>0.20535792549301088</v>
      </c>
      <c r="K1212" s="106"/>
      <c r="AA1212" s="106"/>
    </row>
    <row r="1213" spans="3:27">
      <c r="C1213" s="17">
        <f t="shared" si="472"/>
        <v>103</v>
      </c>
      <c r="D1213" s="13">
        <f t="shared" si="473"/>
        <v>517</v>
      </c>
      <c r="E1213" s="13">
        <f>VLOOKUP(C1213,'Mortality Table'!$A$5:$E$153,IF(SRP_Gender="female",5,4),FALSE)</f>
        <v>0.20322499999999999</v>
      </c>
      <c r="F1213" s="13">
        <f t="shared" si="471"/>
        <v>1.8753829327174398E-2</v>
      </c>
      <c r="G1213" s="18">
        <f t="shared" si="474"/>
        <v>8.531183346400352E-2</v>
      </c>
      <c r="H1213" s="35">
        <f t="shared" si="475"/>
        <v>0.195265779612116</v>
      </c>
      <c r="I1213" s="13">
        <f t="shared" si="469"/>
        <v>1.6658481671487653E-2</v>
      </c>
      <c r="J1213" s="13">
        <f t="shared" si="470"/>
        <v>0.20472888744846454</v>
      </c>
      <c r="K1213" s="106"/>
      <c r="AA1213" s="106"/>
    </row>
    <row r="1214" spans="3:27">
      <c r="C1214" s="17">
        <f t="shared" si="472"/>
        <v>103</v>
      </c>
      <c r="D1214" s="13">
        <f t="shared" si="473"/>
        <v>518</v>
      </c>
      <c r="E1214" s="13">
        <f>VLOOKUP(C1214,'Mortality Table'!$A$5:$E$153,IF(SRP_Gender="female",5,4),FALSE)</f>
        <v>0.20322499999999999</v>
      </c>
      <c r="F1214" s="13">
        <f t="shared" si="471"/>
        <v>1.8753829327174398E-2</v>
      </c>
      <c r="G1214" s="18">
        <f t="shared" si="474"/>
        <v>8.3711909899631273E-2</v>
      </c>
      <c r="H1214" s="35">
        <f t="shared" si="475"/>
        <v>0.195265779612116</v>
      </c>
      <c r="I1214" s="13">
        <f t="shared" si="469"/>
        <v>1.6346071349370713E-2</v>
      </c>
      <c r="J1214" s="13">
        <f t="shared" si="470"/>
        <v>0.2041017762292916</v>
      </c>
      <c r="K1214" s="106"/>
      <c r="AA1214" s="106"/>
    </row>
    <row r="1215" spans="3:27">
      <c r="C1215" s="17">
        <f t="shared" si="472"/>
        <v>103</v>
      </c>
      <c r="D1215" s="13">
        <f t="shared" si="473"/>
        <v>519</v>
      </c>
      <c r="E1215" s="13">
        <f>VLOOKUP(C1215,'Mortality Table'!$A$5:$E$153,IF(SRP_Gender="female",5,4),FALSE)</f>
        <v>0.20322499999999999</v>
      </c>
      <c r="F1215" s="13">
        <f t="shared" si="471"/>
        <v>1.8753829327174398E-2</v>
      </c>
      <c r="G1215" s="18">
        <f t="shared" si="474"/>
        <v>8.2141991028721786E-2</v>
      </c>
      <c r="H1215" s="35">
        <f t="shared" si="475"/>
        <v>0.195265779612116</v>
      </c>
      <c r="I1215" s="13">
        <f t="shared" si="469"/>
        <v>1.6039519917114799E-2</v>
      </c>
      <c r="J1215" s="13">
        <f t="shared" si="470"/>
        <v>0.20347658593337517</v>
      </c>
      <c r="K1215" s="106"/>
      <c r="AA1215" s="106"/>
    </row>
    <row r="1216" spans="3:27">
      <c r="C1216" s="17">
        <f t="shared" si="472"/>
        <v>103</v>
      </c>
      <c r="D1216" s="13">
        <f t="shared" si="473"/>
        <v>520</v>
      </c>
      <c r="E1216" s="13">
        <f>VLOOKUP(C1216,'Mortality Table'!$A$5:$E$153,IF(SRP_Gender="female",5,4),FALSE)</f>
        <v>0.20322499999999999</v>
      </c>
      <c r="F1216" s="13">
        <f t="shared" si="471"/>
        <v>1.8753829327174398E-2</v>
      </c>
      <c r="G1216" s="18">
        <f t="shared" si="474"/>
        <v>8.0601514148374853E-2</v>
      </c>
      <c r="H1216" s="35">
        <f t="shared" si="475"/>
        <v>0.195265779612116</v>
      </c>
      <c r="I1216" s="13">
        <f t="shared" si="469"/>
        <v>1.5738717498099415E-2</v>
      </c>
      <c r="J1216" s="13">
        <f t="shared" si="470"/>
        <v>0.20285331067667764</v>
      </c>
      <c r="K1216" s="106"/>
      <c r="AA1216" s="106"/>
    </row>
    <row r="1217" spans="3:27">
      <c r="C1217" s="17">
        <f t="shared" si="472"/>
        <v>103</v>
      </c>
      <c r="D1217" s="13">
        <f t="shared" si="473"/>
        <v>521</v>
      </c>
      <c r="E1217" s="13">
        <f>VLOOKUP(C1217,'Mortality Table'!$A$5:$E$153,IF(SRP_Gender="female",5,4),FALSE)</f>
        <v>0.20322499999999999</v>
      </c>
      <c r="F1217" s="13">
        <f t="shared" si="471"/>
        <v>1.8753829327174398E-2</v>
      </c>
      <c r="G1217" s="18">
        <f t="shared" si="474"/>
        <v>7.9089927108524402E-2</v>
      </c>
      <c r="H1217" s="35">
        <f t="shared" si="475"/>
        <v>0.195265779612116</v>
      </c>
      <c r="I1217" s="13">
        <f t="shared" si="469"/>
        <v>1.5443556276311445E-2</v>
      </c>
      <c r="J1217" s="13">
        <f t="shared" si="470"/>
        <v>0.20223194459318466</v>
      </c>
      <c r="K1217" s="106"/>
      <c r="AA1217" s="106"/>
    </row>
    <row r="1218" spans="3:27">
      <c r="C1218" s="17">
        <f t="shared" si="472"/>
        <v>103</v>
      </c>
      <c r="D1218" s="13">
        <f t="shared" si="473"/>
        <v>522</v>
      </c>
      <c r="E1218" s="13">
        <f>VLOOKUP(C1218,'Mortality Table'!$A$5:$E$153,IF(SRP_Gender="female",5,4),FALSE)</f>
        <v>0.20322499999999999</v>
      </c>
      <c r="F1218" s="13">
        <f t="shared" si="471"/>
        <v>1.8753829327174398E-2</v>
      </c>
      <c r="G1218" s="18">
        <f t="shared" si="474"/>
        <v>7.7606688114032471E-2</v>
      </c>
      <c r="H1218" s="35">
        <f t="shared" si="475"/>
        <v>0.195265779612116</v>
      </c>
      <c r="I1218" s="13">
        <f t="shared" si="469"/>
        <v>1.5153930457700887E-2</v>
      </c>
      <c r="J1218" s="13">
        <f t="shared" si="470"/>
        <v>0.2016124818348502</v>
      </c>
      <c r="K1218" s="106"/>
      <c r="AA1218" s="106"/>
    </row>
    <row r="1219" spans="3:27">
      <c r="C1219" s="17">
        <f t="shared" si="472"/>
        <v>103</v>
      </c>
      <c r="D1219" s="13">
        <f t="shared" si="473"/>
        <v>523</v>
      </c>
      <c r="E1219" s="13">
        <f>VLOOKUP(C1219,'Mortality Table'!$A$5:$E$153,IF(SRP_Gender="female",5,4),FALSE)</f>
        <v>0.20322499999999999</v>
      </c>
      <c r="F1219" s="13">
        <f t="shared" si="471"/>
        <v>1.8753829327174398E-2</v>
      </c>
      <c r="G1219" s="18">
        <f t="shared" si="474"/>
        <v>7.6151265530494658E-2</v>
      </c>
      <c r="H1219" s="35">
        <f t="shared" si="475"/>
        <v>0.195265779612116</v>
      </c>
      <c r="I1219" s="13">
        <f t="shared" si="469"/>
        <v>1.4869736232261295E-2</v>
      </c>
      <c r="J1219" s="13">
        <f t="shared" si="470"/>
        <v>0.20099491657154175</v>
      </c>
      <c r="K1219" s="106"/>
      <c r="AA1219" s="106"/>
    </row>
    <row r="1220" spans="3:27">
      <c r="C1220" s="17">
        <f t="shared" si="472"/>
        <v>103</v>
      </c>
      <c r="D1220" s="13">
        <f t="shared" si="473"/>
        <v>524</v>
      </c>
      <c r="E1220" s="13">
        <f>VLOOKUP(C1220,'Mortality Table'!$A$5:$E$153,IF(SRP_Gender="female",5,4),FALSE)</f>
        <v>0.20322499999999999</v>
      </c>
      <c r="F1220" s="13">
        <f t="shared" si="471"/>
        <v>1.8753829327174398E-2</v>
      </c>
      <c r="G1220" s="18">
        <f t="shared" si="474"/>
        <v>7.4723137693687422E-2</v>
      </c>
      <c r="H1220" s="35">
        <f t="shared" si="475"/>
        <v>0.195265779612116</v>
      </c>
      <c r="I1220" s="13">
        <f t="shared" si="469"/>
        <v>1.4590871736821366E-2</v>
      </c>
      <c r="J1220" s="13">
        <f t="shared" si="470"/>
        <v>0.2003792429909852</v>
      </c>
      <c r="K1220" s="106"/>
      <c r="AA1220" s="106"/>
    </row>
    <row r="1221" spans="3:27">
      <c r="C1221" s="17">
        <f t="shared" si="472"/>
        <v>103</v>
      </c>
      <c r="D1221" s="13">
        <f t="shared" si="473"/>
        <v>525</v>
      </c>
      <c r="E1221" s="13">
        <f>VLOOKUP(C1221,'Mortality Table'!$A$5:$E$153,IF(SRP_Gender="female",5,4),FALSE)</f>
        <v>0.20322499999999999</v>
      </c>
      <c r="F1221" s="13">
        <f t="shared" si="471"/>
        <v>1.8753829327174398E-2</v>
      </c>
      <c r="G1221" s="18">
        <f t="shared" si="474"/>
        <v>7.3321792722589055E-2</v>
      </c>
      <c r="H1221" s="35">
        <f t="shared" si="475"/>
        <v>0.195265779612116</v>
      </c>
      <c r="I1221" s="13">
        <f t="shared" si="469"/>
        <v>1.4317237018534325E-2</v>
      </c>
      <c r="J1221" s="13">
        <f t="shared" si="470"/>
        <v>0.19976545529871009</v>
      </c>
      <c r="K1221" s="106"/>
      <c r="AA1221" s="106"/>
    </row>
    <row r="1222" spans="3:27">
      <c r="C1222" s="17">
        <f t="shared" si="472"/>
        <v>103</v>
      </c>
      <c r="D1222" s="13">
        <f t="shared" si="473"/>
        <v>526</v>
      </c>
      <c r="E1222" s="13">
        <f>VLOOKUP(C1222,'Mortality Table'!$A$5:$E$153,IF(SRP_Gender="female",5,4),FALSE)</f>
        <v>0.20322499999999999</v>
      </c>
      <c r="F1222" s="13">
        <f t="shared" si="471"/>
        <v>1.8753829327174398E-2</v>
      </c>
      <c r="G1222" s="18">
        <f t="shared" si="474"/>
        <v>7.1946728335907165E-2</v>
      </c>
      <c r="H1222" s="35">
        <f t="shared" si="475"/>
        <v>0.195265779612116</v>
      </c>
      <c r="I1222" s="13">
        <f t="shared" si="469"/>
        <v>1.4048733999052029E-2</v>
      </c>
      <c r="J1222" s="13">
        <f t="shared" si="470"/>
        <v>0.19915354771799521</v>
      </c>
      <c r="K1222" s="106"/>
      <c r="AA1222" s="106"/>
    </row>
    <row r="1223" spans="3:27">
      <c r="C1223" s="17">
        <f t="shared" si="472"/>
        <v>103</v>
      </c>
      <c r="D1223" s="13">
        <f t="shared" si="473"/>
        <v>527</v>
      </c>
      <c r="E1223" s="13">
        <f>VLOOKUP(C1223,'Mortality Table'!$A$5:$E$153,IF(SRP_Gender="female",5,4),FALSE)</f>
        <v>0.20322499999999999</v>
      </c>
      <c r="F1223" s="13">
        <f t="shared" si="471"/>
        <v>1.8753829327174398E-2</v>
      </c>
      <c r="G1223" s="18">
        <f t="shared" si="474"/>
        <v>7.0597451672046979E-2</v>
      </c>
      <c r="H1223" s="35">
        <f t="shared" si="475"/>
        <v>0.195265779612116</v>
      </c>
      <c r="I1223" s="13">
        <f t="shared" si="469"/>
        <v>1.3785266439370935E-2</v>
      </c>
      <c r="J1223" s="13">
        <f t="shared" si="470"/>
        <v>0.19854351448981436</v>
      </c>
      <c r="K1223" s="106"/>
      <c r="AA1223" s="106"/>
    </row>
    <row r="1224" spans="3:27">
      <c r="C1224" s="17">
        <f t="shared" si="472"/>
        <v>103</v>
      </c>
      <c r="D1224" s="13">
        <f t="shared" si="473"/>
        <v>528</v>
      </c>
      <c r="E1224" s="13">
        <f>VLOOKUP(C1224,'Mortality Table'!$A$5:$E$153,IF(SRP_Gender="female",5,4),FALSE)</f>
        <v>0.20322499999999999</v>
      </c>
      <c r="F1224" s="13">
        <f t="shared" si="471"/>
        <v>1.8753829327174398E-2</v>
      </c>
      <c r="G1224" s="18">
        <f t="shared" si="474"/>
        <v>6.9273479112455974E-2</v>
      </c>
      <c r="H1224" s="35">
        <f t="shared" si="475"/>
        <v>0.195265779612116</v>
      </c>
      <c r="I1224" s="13">
        <f t="shared" si="469"/>
        <v>1.352673990533735E-2</v>
      </c>
      <c r="J1224" s="13">
        <f t="shared" si="470"/>
        <v>0.19793534987278152</v>
      </c>
      <c r="K1224" s="106"/>
      <c r="AA1224" s="106"/>
    </row>
    <row r="1225" spans="3:27">
      <c r="C1225" s="17">
        <f t="shared" si="472"/>
        <v>104</v>
      </c>
      <c r="D1225" s="13">
        <f t="shared" si="473"/>
        <v>529</v>
      </c>
      <c r="E1225" s="13">
        <f>VLOOKUP(C1225,'Mortality Table'!$A$5:$E$153,IF(SRP_Gender="female",5,4),FALSE)</f>
        <v>0.21556</v>
      </c>
      <c r="F1225" s="13">
        <f t="shared" si="471"/>
        <v>2.0028803717038746E-2</v>
      </c>
      <c r="G1225" s="18">
        <f t="shared" si="474"/>
        <v>6.7974336108281394E-2</v>
      </c>
      <c r="H1225" s="35">
        <f t="shared" si="475"/>
        <v>0.19917109520435833</v>
      </c>
      <c r="I1225" s="13">
        <f t="shared" si="469"/>
        <v>1.3538522968475566E-2</v>
      </c>
      <c r="J1225" s="13">
        <f t="shared" si="470"/>
        <v>0.19732904814309835</v>
      </c>
      <c r="K1225" s="106"/>
      <c r="AA1225" s="106"/>
    </row>
    <row r="1226" spans="3:27">
      <c r="C1226" s="17">
        <f t="shared" si="472"/>
        <v>104</v>
      </c>
      <c r="D1226" s="13">
        <f t="shared" si="473"/>
        <v>530</v>
      </c>
      <c r="E1226" s="13">
        <f>VLOOKUP(C1226,'Mortality Table'!$A$5:$E$153,IF(SRP_Gender="female",5,4),FALSE)</f>
        <v>0.21556</v>
      </c>
      <c r="F1226" s="13">
        <f t="shared" si="471"/>
        <v>2.0028803717038746E-2</v>
      </c>
      <c r="G1226" s="18">
        <f t="shared" si="474"/>
        <v>6.6612891472572613E-2</v>
      </c>
      <c r="H1226" s="35">
        <f t="shared" si="475"/>
        <v>0.19917109520435833</v>
      </c>
      <c r="I1226" s="13">
        <f t="shared" si="469"/>
        <v>1.3267362549321348E-2</v>
      </c>
      <c r="J1226" s="13">
        <f t="shared" si="470"/>
        <v>0.19672460359449787</v>
      </c>
      <c r="K1226" s="106"/>
      <c r="AA1226" s="106"/>
    </row>
    <row r="1227" spans="3:27">
      <c r="C1227" s="17">
        <f t="shared" si="472"/>
        <v>104</v>
      </c>
      <c r="D1227" s="13">
        <f t="shared" si="473"/>
        <v>531</v>
      </c>
      <c r="E1227" s="13">
        <f>VLOOKUP(C1227,'Mortality Table'!$A$5:$E$153,IF(SRP_Gender="female",5,4),FALSE)</f>
        <v>0.21556</v>
      </c>
      <c r="F1227" s="13">
        <f t="shared" si="471"/>
        <v>2.0028803717038746E-2</v>
      </c>
      <c r="G1227" s="18">
        <f t="shared" si="474"/>
        <v>6.5278714944244046E-2</v>
      </c>
      <c r="H1227" s="35">
        <f t="shared" si="475"/>
        <v>0.19917109520435833</v>
      </c>
      <c r="I1227" s="13">
        <f t="shared" si="469"/>
        <v>1.30016331489782E-2</v>
      </c>
      <c r="J1227" s="13">
        <f t="shared" si="470"/>
        <v>0.19612201053819295</v>
      </c>
      <c r="K1227" s="106"/>
      <c r="AA1227" s="106"/>
    </row>
    <row r="1228" spans="3:27">
      <c r="C1228" s="17">
        <f t="shared" si="472"/>
        <v>104</v>
      </c>
      <c r="D1228" s="13">
        <f t="shared" si="473"/>
        <v>532</v>
      </c>
      <c r="E1228" s="13">
        <f>VLOOKUP(C1228,'Mortality Table'!$A$5:$E$153,IF(SRP_Gender="female",5,4),FALSE)</f>
        <v>0.21556</v>
      </c>
      <c r="F1228" s="13">
        <f t="shared" si="471"/>
        <v>2.0028803717038746E-2</v>
      </c>
      <c r="G1228" s="18">
        <f t="shared" si="474"/>
        <v>6.3971260375725258E-2</v>
      </c>
      <c r="H1228" s="35">
        <f t="shared" si="475"/>
        <v>0.19917109520435833</v>
      </c>
      <c r="I1228" s="13">
        <f t="shared" si="469"/>
        <v>1.2741225990636372E-2</v>
      </c>
      <c r="J1228" s="13">
        <f t="shared" si="470"/>
        <v>0.19552126330282182</v>
      </c>
      <c r="K1228" s="106"/>
      <c r="AA1228" s="106"/>
    </row>
    <row r="1229" spans="3:27">
      <c r="C1229" s="17">
        <f t="shared" si="472"/>
        <v>104</v>
      </c>
      <c r="D1229" s="13">
        <f t="shared" si="473"/>
        <v>533</v>
      </c>
      <c r="E1229" s="13">
        <f>VLOOKUP(C1229,'Mortality Table'!$A$5:$E$153,IF(SRP_Gender="female",5,4),FALSE)</f>
        <v>0.21556</v>
      </c>
      <c r="F1229" s="13">
        <f t="shared" si="471"/>
        <v>2.0028803717038746E-2</v>
      </c>
      <c r="G1229" s="18">
        <f t="shared" si="474"/>
        <v>6.268999255812828E-2</v>
      </c>
      <c r="H1229" s="35">
        <f t="shared" si="475"/>
        <v>0.19917109520435833</v>
      </c>
      <c r="I1229" s="13">
        <f t="shared" si="469"/>
        <v>1.2486034476155483E-2</v>
      </c>
      <c r="J1229" s="13">
        <f t="shared" si="470"/>
        <v>0.19492235623439486</v>
      </c>
      <c r="K1229" s="106"/>
      <c r="AA1229" s="106"/>
    </row>
    <row r="1230" spans="3:27">
      <c r="C1230" s="17">
        <f t="shared" si="472"/>
        <v>104</v>
      </c>
      <c r="D1230" s="13">
        <f t="shared" si="473"/>
        <v>534</v>
      </c>
      <c r="E1230" s="13">
        <f>VLOOKUP(C1230,'Mortality Table'!$A$5:$E$153,IF(SRP_Gender="female",5,4),FALSE)</f>
        <v>0.21556</v>
      </c>
      <c r="F1230" s="13">
        <f t="shared" si="471"/>
        <v>2.0028803717038746E-2</v>
      </c>
      <c r="G1230" s="18">
        <f t="shared" si="474"/>
        <v>6.1434387002158912E-2</v>
      </c>
      <c r="H1230" s="35">
        <f t="shared" si="475"/>
        <v>0.19917109520435833</v>
      </c>
      <c r="I1230" s="13">
        <f t="shared" si="469"/>
        <v>1.2235954142428387E-2</v>
      </c>
      <c r="J1230" s="13">
        <f t="shared" si="470"/>
        <v>0.19432528369624114</v>
      </c>
      <c r="K1230" s="106"/>
      <c r="AA1230" s="106"/>
    </row>
    <row r="1231" spans="3:27">
      <c r="C1231" s="17">
        <f t="shared" si="472"/>
        <v>104</v>
      </c>
      <c r="D1231" s="13">
        <f t="shared" si="473"/>
        <v>535</v>
      </c>
      <c r="E1231" s="13">
        <f>VLOOKUP(C1231,'Mortality Table'!$A$5:$E$153,IF(SRP_Gender="female",5,4),FALSE)</f>
        <v>0.21556</v>
      </c>
      <c r="F1231" s="13">
        <f t="shared" si="471"/>
        <v>2.0028803717038746E-2</v>
      </c>
      <c r="G1231" s="18">
        <f t="shared" si="474"/>
        <v>6.0203929723416073E-2</v>
      </c>
      <c r="H1231" s="35">
        <f t="shared" si="475"/>
        <v>0.19917109520435833</v>
      </c>
      <c r="I1231" s="13">
        <f t="shared" si="469"/>
        <v>1.1990882618619001E-2</v>
      </c>
      <c r="J1231" s="13">
        <f t="shared" si="470"/>
        <v>0.19373004006895592</v>
      </c>
      <c r="K1231" s="106"/>
      <c r="AA1231" s="106"/>
    </row>
    <row r="1232" spans="3:27">
      <c r="C1232" s="17">
        <f t="shared" si="472"/>
        <v>104</v>
      </c>
      <c r="D1232" s="13">
        <f t="shared" si="473"/>
        <v>536</v>
      </c>
      <c r="E1232" s="13">
        <f>VLOOKUP(C1232,'Mortality Table'!$A$5:$E$153,IF(SRP_Gender="female",5,4),FALSE)</f>
        <v>0.21556</v>
      </c>
      <c r="F1232" s="13">
        <f t="shared" si="471"/>
        <v>2.0028803717038746E-2</v>
      </c>
      <c r="G1232" s="18">
        <f t="shared" si="474"/>
        <v>5.8998117031991378E-2</v>
      </c>
      <c r="H1232" s="35">
        <f t="shared" si="475"/>
        <v>0.19917109520435833</v>
      </c>
      <c r="I1232" s="13">
        <f t="shared" si="469"/>
        <v>1.1750719584256629E-2</v>
      </c>
      <c r="J1232" s="13">
        <f t="shared" si="470"/>
        <v>0.19313661975034715</v>
      </c>
      <c r="K1232" s="106"/>
      <c r="AA1232" s="106"/>
    </row>
    <row r="1233" spans="3:27">
      <c r="C1233" s="17">
        <f t="shared" si="472"/>
        <v>104</v>
      </c>
      <c r="D1233" s="13">
        <f t="shared" si="473"/>
        <v>537</v>
      </c>
      <c r="E1233" s="13">
        <f>VLOOKUP(C1233,'Mortality Table'!$A$5:$E$153,IF(SRP_Gender="female",5,4),FALSE)</f>
        <v>0.21556</v>
      </c>
      <c r="F1233" s="13">
        <f t="shared" si="471"/>
        <v>2.0028803717038746E-2</v>
      </c>
      <c r="G1233" s="18">
        <f t="shared" si="474"/>
        <v>5.781645532628274E-2</v>
      </c>
      <c r="H1233" s="35">
        <f t="shared" si="475"/>
        <v>0.19917109520435833</v>
      </c>
      <c r="I1233" s="13">
        <f t="shared" si="469"/>
        <v>1.151536672816959E-2</v>
      </c>
      <c r="J1233" s="13">
        <f t="shared" si="470"/>
        <v>0.19254501715538319</v>
      </c>
      <c r="K1233" s="106"/>
      <c r="AA1233" s="106"/>
    </row>
    <row r="1234" spans="3:27">
      <c r="C1234" s="17">
        <f t="shared" si="472"/>
        <v>104</v>
      </c>
      <c r="D1234" s="13">
        <f t="shared" si="473"/>
        <v>538</v>
      </c>
      <c r="E1234" s="13">
        <f>VLOOKUP(C1234,'Mortality Table'!$A$5:$E$153,IF(SRP_Gender="female",5,4),FALSE)</f>
        <v>0.21556</v>
      </c>
      <c r="F1234" s="13">
        <f t="shared" si="471"/>
        <v>2.0028803717038746E-2</v>
      </c>
      <c r="G1234" s="18">
        <f t="shared" si="474"/>
        <v>5.6658460890937686E-2</v>
      </c>
      <c r="H1234" s="35">
        <f t="shared" si="475"/>
        <v>0.19917109520435833</v>
      </c>
      <c r="I1234" s="13">
        <f t="shared" si="469"/>
        <v>1.1284727708241363E-2</v>
      </c>
      <c r="J1234" s="13">
        <f t="shared" si="470"/>
        <v>0.19195522671613993</v>
      </c>
      <c r="K1234" s="106"/>
      <c r="AA1234" s="106"/>
    </row>
    <row r="1235" spans="3:27">
      <c r="C1235" s="17">
        <f t="shared" si="472"/>
        <v>104</v>
      </c>
      <c r="D1235" s="13">
        <f t="shared" si="473"/>
        <v>539</v>
      </c>
      <c r="E1235" s="13">
        <f>VLOOKUP(C1235,'Mortality Table'!$A$5:$E$153,IF(SRP_Gender="female",5,4),FALSE)</f>
        <v>0.21556</v>
      </c>
      <c r="F1235" s="13">
        <f t="shared" si="471"/>
        <v>2.0028803717038746E-2</v>
      </c>
      <c r="G1235" s="18">
        <f t="shared" si="474"/>
        <v>5.5523659698843576E-2</v>
      </c>
      <c r="H1235" s="35">
        <f t="shared" si="475"/>
        <v>0.19917109520435833</v>
      </c>
      <c r="I1235" s="13">
        <f t="shared" si="469"/>
        <v>1.1058708111972768E-2</v>
      </c>
      <c r="J1235" s="13">
        <f t="shared" si="470"/>
        <v>0.19136724288174878</v>
      </c>
      <c r="K1235" s="106"/>
      <c r="AA1235" s="106"/>
    </row>
    <row r="1236" spans="3:27">
      <c r="C1236" s="17">
        <f t="shared" si="472"/>
        <v>104</v>
      </c>
      <c r="D1236" s="13">
        <f t="shared" si="473"/>
        <v>540</v>
      </c>
      <c r="E1236" s="13">
        <f>VLOOKUP(C1236,'Mortality Table'!$A$5:$E$153,IF(SRP_Gender="female",5,4),FALSE)</f>
        <v>0.21556</v>
      </c>
      <c r="F1236" s="13">
        <f t="shared" si="471"/>
        <v>2.0028803717038746E-2</v>
      </c>
      <c r="G1236" s="18">
        <f t="shared" si="474"/>
        <v>5.4411587217083786E-2</v>
      </c>
      <c r="H1236" s="35">
        <f t="shared" si="475"/>
        <v>0.19917109520435833</v>
      </c>
      <c r="I1236" s="13">
        <f t="shared" si="469"/>
        <v>1.0837215417834041E-2</v>
      </c>
      <c r="J1236" s="13">
        <f t="shared" si="470"/>
        <v>0.19078106011834364</v>
      </c>
      <c r="K1236" s="106"/>
      <c r="AA1236" s="106"/>
    </row>
    <row r="1237" spans="3:27">
      <c r="C1237" s="17">
        <f t="shared" si="472"/>
        <v>105</v>
      </c>
      <c r="D1237" s="13">
        <f t="shared" si="473"/>
        <v>541</v>
      </c>
      <c r="E1237" s="13">
        <f>VLOOKUP(C1237,'Mortality Table'!$A$5:$E$153,IF(SRP_Gender="female",5,4),FALSE)</f>
        <v>0.22827</v>
      </c>
      <c r="F1237" s="13">
        <f t="shared" si="471"/>
        <v>2.1361909662563683E-2</v>
      </c>
      <c r="G1237" s="18">
        <f t="shared" si="474"/>
        <v>5.3321788216780283E-2</v>
      </c>
      <c r="H1237" s="35">
        <f t="shared" si="475"/>
        <v>0.20315451710844551</v>
      </c>
      <c r="I1237" s="13">
        <f t="shared" si="469"/>
        <v>1.0832562136538798E-2</v>
      </c>
      <c r="J1237" s="13">
        <f t="shared" si="470"/>
        <v>0.19019667290901043</v>
      </c>
      <c r="K1237" s="106"/>
      <c r="AA1237" s="106"/>
    </row>
    <row r="1238" spans="3:27">
      <c r="C1238" s="17">
        <f t="shared" si="472"/>
        <v>105</v>
      </c>
      <c r="D1238" s="13">
        <f t="shared" si="473"/>
        <v>542</v>
      </c>
      <c r="E1238" s="13">
        <f>VLOOKUP(C1238,'Mortality Table'!$A$5:$E$153,IF(SRP_Gender="female",5,4),FALSE)</f>
        <v>0.22827</v>
      </c>
      <c r="F1238" s="13">
        <f t="shared" si="471"/>
        <v>2.1361909662563683E-2</v>
      </c>
      <c r="G1238" s="18">
        <f t="shared" si="474"/>
        <v>5.218273299384707E-2</v>
      </c>
      <c r="H1238" s="35">
        <f t="shared" si="475"/>
        <v>0.20315451710844551</v>
      </c>
      <c r="I1238" s="13">
        <f t="shared" si="469"/>
        <v>1.0601157922763949E-2</v>
      </c>
      <c r="J1238" s="13">
        <f t="shared" si="470"/>
        <v>0.18961407575373287</v>
      </c>
      <c r="K1238" s="106"/>
      <c r="AA1238" s="106"/>
    </row>
    <row r="1239" spans="3:27">
      <c r="C1239" s="17">
        <f t="shared" si="472"/>
        <v>105</v>
      </c>
      <c r="D1239" s="13">
        <f t="shared" si="473"/>
        <v>543</v>
      </c>
      <c r="E1239" s="13">
        <f>VLOOKUP(C1239,'Mortality Table'!$A$5:$E$153,IF(SRP_Gender="female",5,4),FALSE)</f>
        <v>0.22827</v>
      </c>
      <c r="F1239" s="13">
        <f t="shared" si="471"/>
        <v>2.1361909662563683E-2</v>
      </c>
      <c r="G1239" s="18">
        <f t="shared" si="474"/>
        <v>5.1068010165686829E-2</v>
      </c>
      <c r="H1239" s="35">
        <f t="shared" si="475"/>
        <v>0.20315451710844551</v>
      </c>
      <c r="I1239" s="13">
        <f t="shared" si="469"/>
        <v>1.0374696944899293E-2</v>
      </c>
      <c r="J1239" s="13">
        <f t="shared" si="470"/>
        <v>0.18903326316934257</v>
      </c>
      <c r="K1239" s="106"/>
      <c r="AA1239" s="106"/>
    </row>
    <row r="1240" spans="3:27">
      <c r="C1240" s="17">
        <f t="shared" si="472"/>
        <v>105</v>
      </c>
      <c r="D1240" s="13">
        <f t="shared" si="473"/>
        <v>544</v>
      </c>
      <c r="E1240" s="13">
        <f>VLOOKUP(C1240,'Mortality Table'!$A$5:$E$153,IF(SRP_Gender="female",5,4),FALSE)</f>
        <v>0.22827</v>
      </c>
      <c r="F1240" s="13">
        <f t="shared" si="471"/>
        <v>2.1361909662563683E-2</v>
      </c>
      <c r="G1240" s="18">
        <f t="shared" si="474"/>
        <v>4.9977099945880545E-2</v>
      </c>
      <c r="H1240" s="35">
        <f t="shared" si="475"/>
        <v>0.20315451710844551</v>
      </c>
      <c r="I1240" s="13">
        <f t="shared" si="469"/>
        <v>1.015307360598588E-2</v>
      </c>
      <c r="J1240" s="13">
        <f t="shared" si="470"/>
        <v>0.18845422968946679</v>
      </c>
      <c r="K1240" s="106"/>
      <c r="AA1240" s="106"/>
    </row>
    <row r="1241" spans="3:27">
      <c r="C1241" s="17">
        <f t="shared" si="472"/>
        <v>105</v>
      </c>
      <c r="D1241" s="13">
        <f t="shared" si="473"/>
        <v>545</v>
      </c>
      <c r="E1241" s="13">
        <f>VLOOKUP(C1241,'Mortality Table'!$A$5:$E$153,IF(SRP_Gender="female",5,4),FALSE)</f>
        <v>0.22827</v>
      </c>
      <c r="F1241" s="13">
        <f t="shared" si="471"/>
        <v>2.1361909662563683E-2</v>
      </c>
      <c r="G1241" s="18">
        <f t="shared" si="474"/>
        <v>4.8909493651639727E-2</v>
      </c>
      <c r="H1241" s="35">
        <f t="shared" si="475"/>
        <v>0.20315451710844551</v>
      </c>
      <c r="I1241" s="13">
        <f t="shared" si="469"/>
        <v>9.9361845648174504E-3</v>
      </c>
      <c r="J1241" s="13">
        <f t="shared" si="470"/>
        <v>0.18787696986447694</v>
      </c>
      <c r="K1241" s="106"/>
      <c r="AA1241" s="106"/>
    </row>
    <row r="1242" spans="3:27">
      <c r="C1242" s="17">
        <f t="shared" si="472"/>
        <v>105</v>
      </c>
      <c r="D1242" s="13">
        <f t="shared" si="473"/>
        <v>546</v>
      </c>
      <c r="E1242" s="13">
        <f>VLOOKUP(C1242,'Mortality Table'!$A$5:$E$153,IF(SRP_Gender="female",5,4),FALSE)</f>
        <v>0.22827</v>
      </c>
      <c r="F1242" s="13">
        <f t="shared" si="471"/>
        <v>2.1361909662563683E-2</v>
      </c>
      <c r="G1242" s="18">
        <f t="shared" si="474"/>
        <v>4.7864693466611666E-2</v>
      </c>
      <c r="H1242" s="35">
        <f t="shared" si="475"/>
        <v>0.20315451710844551</v>
      </c>
      <c r="I1242" s="13">
        <f t="shared" si="469"/>
        <v>9.7239286877532603E-3</v>
      </c>
      <c r="J1242" s="13">
        <f t="shared" si="470"/>
        <v>0.18730147826143723</v>
      </c>
      <c r="K1242" s="106"/>
      <c r="AA1242" s="106"/>
    </row>
    <row r="1243" spans="3:27">
      <c r="C1243" s="17">
        <f t="shared" si="472"/>
        <v>105</v>
      </c>
      <c r="D1243" s="13">
        <f t="shared" si="473"/>
        <v>547</v>
      </c>
      <c r="E1243" s="13">
        <f>VLOOKUP(C1243,'Mortality Table'!$A$5:$E$153,IF(SRP_Gender="female",5,4),FALSE)</f>
        <v>0.22827</v>
      </c>
      <c r="F1243" s="13">
        <f t="shared" si="471"/>
        <v>2.1361909662563683E-2</v>
      </c>
      <c r="G1243" s="18">
        <f t="shared" si="474"/>
        <v>4.6842212208751607E-2</v>
      </c>
      <c r="H1243" s="35">
        <f t="shared" si="475"/>
        <v>0.20315451710844551</v>
      </c>
      <c r="I1243" s="13">
        <f t="shared" si="469"/>
        <v>9.5162070015602628E-3</v>
      </c>
      <c r="J1243" s="13">
        <f t="shared" si="470"/>
        <v>0.18672774946405388</v>
      </c>
      <c r="K1243" s="106"/>
      <c r="AA1243" s="106"/>
    </row>
    <row r="1244" spans="3:27">
      <c r="C1244" s="17">
        <f t="shared" si="472"/>
        <v>105</v>
      </c>
      <c r="D1244" s="13">
        <f t="shared" si="473"/>
        <v>548</v>
      </c>
      <c r="E1244" s="13">
        <f>VLOOKUP(C1244,'Mortality Table'!$A$5:$E$153,IF(SRP_Gender="female",5,4),FALSE)</f>
        <v>0.22827</v>
      </c>
      <c r="F1244" s="13">
        <f t="shared" si="471"/>
        <v>2.1361909662563683E-2</v>
      </c>
      <c r="G1244" s="18">
        <f t="shared" si="474"/>
        <v>4.5841573103153621E-2</v>
      </c>
      <c r="H1244" s="35">
        <f t="shared" si="475"/>
        <v>0.20315451710844551</v>
      </c>
      <c r="I1244" s="13">
        <f t="shared" si="469"/>
        <v>9.312922647262677E-3</v>
      </c>
      <c r="J1244" s="13">
        <f t="shared" si="470"/>
        <v>0.18615577807262376</v>
      </c>
      <c r="K1244" s="106"/>
      <c r="AA1244" s="106"/>
    </row>
    <row r="1245" spans="3:27">
      <c r="C1245" s="17">
        <f t="shared" si="472"/>
        <v>105</v>
      </c>
      <c r="D1245" s="13">
        <f t="shared" si="473"/>
        <v>549</v>
      </c>
      <c r="E1245" s="13">
        <f>VLOOKUP(C1245,'Mortality Table'!$A$5:$E$153,IF(SRP_Gender="female",5,4),FALSE)</f>
        <v>0.22827</v>
      </c>
      <c r="F1245" s="13">
        <f t="shared" si="471"/>
        <v>2.1361909662563683E-2</v>
      </c>
      <c r="G1245" s="18">
        <f t="shared" si="474"/>
        <v>4.4862309559734241E-2</v>
      </c>
      <c r="H1245" s="35">
        <f t="shared" si="475"/>
        <v>0.20315451710844551</v>
      </c>
      <c r="I1245" s="13">
        <f t="shared" si="469"/>
        <v>9.1139808349774091E-3</v>
      </c>
      <c r="J1245" s="13">
        <f t="shared" si="470"/>
        <v>0.1855855587039838</v>
      </c>
      <c r="K1245" s="106"/>
      <c r="AA1245" s="106"/>
    </row>
    <row r="1246" spans="3:27">
      <c r="C1246" s="17">
        <f t="shared" si="472"/>
        <v>105</v>
      </c>
      <c r="D1246" s="13">
        <f t="shared" si="473"/>
        <v>550</v>
      </c>
      <c r="E1246" s="13">
        <f>VLOOKUP(C1246,'Mortality Table'!$A$5:$E$153,IF(SRP_Gender="female",5,4),FALSE)</f>
        <v>0.22827</v>
      </c>
      <c r="F1246" s="13">
        <f t="shared" si="471"/>
        <v>2.1361909662563683E-2</v>
      </c>
      <c r="G1246" s="18">
        <f t="shared" si="474"/>
        <v>4.3903964955665231E-2</v>
      </c>
      <c r="H1246" s="35">
        <f t="shared" si="475"/>
        <v>0.20315451710844551</v>
      </c>
      <c r="I1246" s="13">
        <f t="shared" si="469"/>
        <v>8.9192887997142836E-3</v>
      </c>
      <c r="J1246" s="13">
        <f t="shared" si="470"/>
        <v>0.18501708599146019</v>
      </c>
      <c r="K1246" s="106"/>
      <c r="AA1246" s="106"/>
    </row>
    <row r="1247" spans="3:27">
      <c r="C1247" s="17">
        <f t="shared" si="472"/>
        <v>105</v>
      </c>
      <c r="D1247" s="13">
        <f t="shared" si="473"/>
        <v>551</v>
      </c>
      <c r="E1247" s="13">
        <f>VLOOKUP(C1247,'Mortality Table'!$A$5:$E$153,IF(SRP_Gender="female",5,4),FALSE)</f>
        <v>0.22827</v>
      </c>
      <c r="F1247" s="13">
        <f t="shared" si="471"/>
        <v>2.1361909662563683E-2</v>
      </c>
      <c r="G1247" s="18">
        <f t="shared" si="474"/>
        <v>4.2966092422453951E-2</v>
      </c>
      <c r="H1247" s="35">
        <f t="shared" si="475"/>
        <v>0.20315451710844551</v>
      </c>
      <c r="I1247" s="13">
        <f t="shared" si="469"/>
        <v>8.7287557581204721E-3</v>
      </c>
      <c r="J1247" s="13">
        <f t="shared" si="470"/>
        <v>0.18445035458481809</v>
      </c>
      <c r="K1247" s="106"/>
      <c r="AA1247" s="106"/>
    </row>
    <row r="1248" spans="3:27">
      <c r="C1248" s="17">
        <f t="shared" si="472"/>
        <v>105</v>
      </c>
      <c r="D1248" s="13">
        <f t="shared" si="473"/>
        <v>552</v>
      </c>
      <c r="E1248" s="13">
        <f>VLOOKUP(C1248,'Mortality Table'!$A$5:$E$153,IF(SRP_Gender="female",5,4),FALSE)</f>
        <v>0.22827</v>
      </c>
      <c r="F1248" s="13">
        <f t="shared" si="471"/>
        <v>2.1361909662563683E-2</v>
      </c>
      <c r="G1248" s="18">
        <f t="shared" si="474"/>
        <v>4.2048254637572127E-2</v>
      </c>
      <c r="H1248" s="35">
        <f t="shared" si="475"/>
        <v>0.20315451710844551</v>
      </c>
      <c r="I1248" s="13">
        <f t="shared" si="469"/>
        <v>8.5422928661489199E-3</v>
      </c>
      <c r="J1248" s="13">
        <f t="shared" si="470"/>
        <v>0.1838853591502107</v>
      </c>
      <c r="K1248" s="106"/>
      <c r="AA1248" s="106"/>
    </row>
    <row r="1249" spans="3:27">
      <c r="C1249" s="17">
        <f t="shared" si="472"/>
        <v>106</v>
      </c>
      <c r="D1249" s="13">
        <f t="shared" si="473"/>
        <v>553</v>
      </c>
      <c r="E1249" s="13">
        <f>VLOOKUP(C1249,'Mortality Table'!$A$5:$E$153,IF(SRP_Gender="female",5,4),FALSE)</f>
        <v>0.22827</v>
      </c>
      <c r="F1249" s="13">
        <f t="shared" si="471"/>
        <v>2.1361909662563683E-2</v>
      </c>
      <c r="G1249" s="18">
        <f t="shared" si="474"/>
        <v>4.1150023620535839E-2</v>
      </c>
      <c r="H1249" s="35">
        <f t="shared" si="475"/>
        <v>0.20721760745061443</v>
      </c>
      <c r="I1249" s="13">
        <f t="shared" si="469"/>
        <v>8.5270094411837079E-3</v>
      </c>
      <c r="J1249" s="13">
        <f t="shared" si="470"/>
        <v>0.18332209437013053</v>
      </c>
      <c r="K1249" s="106"/>
      <c r="AA1249" s="106"/>
    </row>
    <row r="1250" spans="3:27">
      <c r="C1250" s="17">
        <f t="shared" si="472"/>
        <v>106</v>
      </c>
      <c r="D1250" s="13">
        <f t="shared" si="473"/>
        <v>554</v>
      </c>
      <c r="E1250" s="13">
        <f>VLOOKUP(C1250,'Mortality Table'!$A$5:$E$153,IF(SRP_Gender="female",5,4),FALSE)</f>
        <v>0.22827</v>
      </c>
      <c r="F1250" s="13">
        <f t="shared" si="471"/>
        <v>2.1361909662563683E-2</v>
      </c>
      <c r="G1250" s="18">
        <f t="shared" si="474"/>
        <v>4.0270980533341591E-2</v>
      </c>
      <c r="H1250" s="35">
        <f t="shared" si="475"/>
        <v>0.20721760745061443</v>
      </c>
      <c r="I1250" s="13">
        <f t="shared" si="469"/>
        <v>8.3448562358093125E-3</v>
      </c>
      <c r="J1250" s="13">
        <f t="shared" si="470"/>
        <v>0.182760554943357</v>
      </c>
      <c r="K1250" s="106"/>
      <c r="AA1250" s="106"/>
    </row>
    <row r="1251" spans="3:27">
      <c r="C1251" s="17">
        <f t="shared" si="472"/>
        <v>106</v>
      </c>
      <c r="D1251" s="13">
        <f t="shared" si="473"/>
        <v>555</v>
      </c>
      <c r="E1251" s="13">
        <f>VLOOKUP(C1251,'Mortality Table'!$A$5:$E$153,IF(SRP_Gender="female",5,4),FALSE)</f>
        <v>0.22827</v>
      </c>
      <c r="F1251" s="13">
        <f t="shared" si="471"/>
        <v>2.1361909662563683E-2</v>
      </c>
      <c r="G1251" s="18">
        <f t="shared" si="474"/>
        <v>3.941071548516549E-2</v>
      </c>
      <c r="H1251" s="35">
        <f t="shared" si="475"/>
        <v>0.20721760745061443</v>
      </c>
      <c r="I1251" s="13">
        <f t="shared" si="469"/>
        <v>8.1665941707528746E-3</v>
      </c>
      <c r="J1251" s="13">
        <f t="shared" si="470"/>
        <v>0.18220073558490849</v>
      </c>
      <c r="K1251" s="106"/>
      <c r="AA1251" s="106"/>
    </row>
    <row r="1252" spans="3:27">
      <c r="C1252" s="17">
        <f t="shared" si="472"/>
        <v>106</v>
      </c>
      <c r="D1252" s="13">
        <f t="shared" si="473"/>
        <v>556</v>
      </c>
      <c r="E1252" s="13">
        <f>VLOOKUP(C1252,'Mortality Table'!$A$5:$E$153,IF(SRP_Gender="female",5,4),FALSE)</f>
        <v>0.22827</v>
      </c>
      <c r="F1252" s="13">
        <f t="shared" si="471"/>
        <v>2.1361909662563683E-2</v>
      </c>
      <c r="G1252" s="18">
        <f t="shared" si="474"/>
        <v>3.8568827341234388E-2</v>
      </c>
      <c r="H1252" s="35">
        <f t="shared" si="475"/>
        <v>0.20721760745061443</v>
      </c>
      <c r="I1252" s="13">
        <f t="shared" si="469"/>
        <v>7.9921401238264318E-3</v>
      </c>
      <c r="J1252" s="13">
        <f t="shared" si="470"/>
        <v>0.18164263102599207</v>
      </c>
      <c r="K1252" s="106"/>
      <c r="AA1252" s="106"/>
    </row>
    <row r="1253" spans="3:27">
      <c r="C1253" s="17">
        <f t="shared" si="472"/>
        <v>106</v>
      </c>
      <c r="D1253" s="13">
        <f t="shared" si="473"/>
        <v>557</v>
      </c>
      <c r="E1253" s="13">
        <f>VLOOKUP(C1253,'Mortality Table'!$A$5:$E$153,IF(SRP_Gender="female",5,4),FALSE)</f>
        <v>0.22827</v>
      </c>
      <c r="F1253" s="13">
        <f t="shared" si="471"/>
        <v>2.1361909662563683E-2</v>
      </c>
      <c r="G1253" s="18">
        <f t="shared" si="474"/>
        <v>3.774492353577992E-2</v>
      </c>
      <c r="H1253" s="35">
        <f t="shared" si="475"/>
        <v>0.20721760745061443</v>
      </c>
      <c r="I1253" s="13">
        <f t="shared" si="469"/>
        <v>7.8214127484907015E-3</v>
      </c>
      <c r="J1253" s="13">
        <f t="shared" si="470"/>
        <v>0.18108623601395366</v>
      </c>
      <c r="K1253" s="106"/>
      <c r="AA1253" s="106"/>
    </row>
    <row r="1254" spans="3:27">
      <c r="C1254" s="17">
        <f t="shared" si="472"/>
        <v>106</v>
      </c>
      <c r="D1254" s="13">
        <f t="shared" si="473"/>
        <v>558</v>
      </c>
      <c r="E1254" s="13">
        <f>VLOOKUP(C1254,'Mortality Table'!$A$5:$E$153,IF(SRP_Gender="female",5,4),FALSE)</f>
        <v>0.22827</v>
      </c>
      <c r="F1254" s="13">
        <f t="shared" si="471"/>
        <v>2.1361909662563683E-2</v>
      </c>
      <c r="G1254" s="18">
        <f t="shared" si="474"/>
        <v>3.6938619888988215E-2</v>
      </c>
      <c r="H1254" s="35">
        <f t="shared" si="475"/>
        <v>0.20721760745061443</v>
      </c>
      <c r="I1254" s="13">
        <f t="shared" si="469"/>
        <v>7.6543324359238185E-3</v>
      </c>
      <c r="J1254" s="13">
        <f t="shared" si="470"/>
        <v>0.18053154531222862</v>
      </c>
      <c r="K1254" s="106"/>
      <c r="AA1254" s="106"/>
    </row>
    <row r="1255" spans="3:27">
      <c r="C1255" s="17">
        <f t="shared" si="472"/>
        <v>106</v>
      </c>
      <c r="D1255" s="13">
        <f t="shared" si="473"/>
        <v>559</v>
      </c>
      <c r="E1255" s="13">
        <f>VLOOKUP(C1255,'Mortality Table'!$A$5:$E$153,IF(SRP_Gender="female",5,4),FALSE)</f>
        <v>0.22827</v>
      </c>
      <c r="F1255" s="13">
        <f t="shared" si="471"/>
        <v>2.1361909662563683E-2</v>
      </c>
      <c r="G1255" s="18">
        <f t="shared" si="474"/>
        <v>3.6149540427859873E-2</v>
      </c>
      <c r="H1255" s="35">
        <f t="shared" si="475"/>
        <v>0.20721760745061443</v>
      </c>
      <c r="I1255" s="13">
        <f t="shared" si="469"/>
        <v>7.4908212779003841E-3</v>
      </c>
      <c r="J1255" s="13">
        <f t="shared" si="470"/>
        <v>0.17997855370029286</v>
      </c>
      <c r="K1255" s="106"/>
      <c r="AA1255" s="106"/>
    </row>
    <row r="1256" spans="3:27">
      <c r="C1256" s="17">
        <f t="shared" si="472"/>
        <v>106</v>
      </c>
      <c r="D1256" s="13">
        <f t="shared" si="473"/>
        <v>560</v>
      </c>
      <c r="E1256" s="13">
        <f>VLOOKUP(C1256,'Mortality Table'!$A$5:$E$153,IF(SRP_Gender="female",5,4),FALSE)</f>
        <v>0.22827</v>
      </c>
      <c r="F1256" s="13">
        <f t="shared" si="471"/>
        <v>2.1361909662563683E-2</v>
      </c>
      <c r="G1256" s="18">
        <f t="shared" si="474"/>
        <v>3.5377317210896736E-2</v>
      </c>
      <c r="H1256" s="35">
        <f t="shared" si="475"/>
        <v>0.20721760745061443</v>
      </c>
      <c r="I1256" s="13">
        <f t="shared" si="469"/>
        <v>7.3308030304634654E-3</v>
      </c>
      <c r="J1256" s="13">
        <f t="shared" si="470"/>
        <v>0.17942725597361323</v>
      </c>
      <c r="K1256" s="106"/>
      <c r="AA1256" s="106"/>
    </row>
    <row r="1257" spans="3:27">
      <c r="C1257" s="17">
        <f t="shared" si="472"/>
        <v>106</v>
      </c>
      <c r="D1257" s="13">
        <f t="shared" si="473"/>
        <v>561</v>
      </c>
      <c r="E1257" s="13">
        <f>VLOOKUP(C1257,'Mortality Table'!$A$5:$E$153,IF(SRP_Gender="female",5,4),FALSE)</f>
        <v>0.22827</v>
      </c>
      <c r="F1257" s="13">
        <f t="shared" si="471"/>
        <v>2.1361909662563683E-2</v>
      </c>
      <c r="G1257" s="18">
        <f t="shared" si="474"/>
        <v>3.4621590156533703E-2</v>
      </c>
      <c r="H1257" s="35">
        <f t="shared" si="475"/>
        <v>0.20721760745061443</v>
      </c>
      <c r="I1257" s="13">
        <f t="shared" si="469"/>
        <v>7.1742030783726578E-3</v>
      </c>
      <c r="J1257" s="13">
        <f t="shared" si="470"/>
        <v>0.17887764694359884</v>
      </c>
      <c r="K1257" s="106"/>
      <c r="AA1257" s="106"/>
    </row>
    <row r="1258" spans="3:27">
      <c r="C1258" s="17">
        <f t="shared" si="472"/>
        <v>106</v>
      </c>
      <c r="D1258" s="13">
        <f t="shared" si="473"/>
        <v>562</v>
      </c>
      <c r="E1258" s="13">
        <f>VLOOKUP(C1258,'Mortality Table'!$A$5:$E$153,IF(SRP_Gender="female",5,4),FALSE)</f>
        <v>0.22827</v>
      </c>
      <c r="F1258" s="13">
        <f t="shared" si="471"/>
        <v>2.1361909662563683E-2</v>
      </c>
      <c r="G1258" s="18">
        <f t="shared" si="474"/>
        <v>3.3882006875235529E-2</v>
      </c>
      <c r="H1258" s="35">
        <f t="shared" si="475"/>
        <v>0.20721760745061443</v>
      </c>
      <c r="I1258" s="13">
        <f t="shared" si="469"/>
        <v>7.0209484003115755E-3</v>
      </c>
      <c r="J1258" s="13">
        <f t="shared" si="470"/>
        <v>0.17832972143755196</v>
      </c>
      <c r="K1258" s="106"/>
      <c r="AA1258" s="106"/>
    </row>
    <row r="1259" spans="3:27">
      <c r="C1259" s="17">
        <f t="shared" si="472"/>
        <v>106</v>
      </c>
      <c r="D1259" s="13">
        <f t="shared" si="473"/>
        <v>563</v>
      </c>
      <c r="E1259" s="13">
        <f>VLOOKUP(C1259,'Mortality Table'!$A$5:$E$153,IF(SRP_Gender="female",5,4),FALSE)</f>
        <v>0.22827</v>
      </c>
      <c r="F1259" s="13">
        <f t="shared" si="471"/>
        <v>2.1361909662563683E-2</v>
      </c>
      <c r="G1259" s="18">
        <f t="shared" si="474"/>
        <v>3.3158222505180385E-2</v>
      </c>
      <c r="H1259" s="35">
        <f t="shared" si="475"/>
        <v>0.20721760745061443</v>
      </c>
      <c r="I1259" s="13">
        <f t="shared" si="469"/>
        <v>6.8709675348385983E-3</v>
      </c>
      <c r="J1259" s="13">
        <f t="shared" si="470"/>
        <v>0.17778347429861985</v>
      </c>
      <c r="K1259" s="106"/>
      <c r="AA1259" s="106"/>
    </row>
    <row r="1260" spans="3:27">
      <c r="C1260" s="17">
        <f t="shared" si="472"/>
        <v>106</v>
      </c>
      <c r="D1260" s="13">
        <f t="shared" si="473"/>
        <v>564</v>
      </c>
      <c r="E1260" s="13">
        <f>VLOOKUP(C1260,'Mortality Table'!$A$5:$E$153,IF(SRP_Gender="female",5,4),FALSE)</f>
        <v>0.22827</v>
      </c>
      <c r="F1260" s="13">
        <f t="shared" si="471"/>
        <v>2.1361909662563683E-2</v>
      </c>
      <c r="G1260" s="18">
        <f t="shared" si="474"/>
        <v>3.2449899551453533E-2</v>
      </c>
      <c r="H1260" s="35">
        <f t="shared" si="475"/>
        <v>0.20721760745061443</v>
      </c>
      <c r="I1260" s="13">
        <f t="shared" si="469"/>
        <v>6.7241905470649677E-3</v>
      </c>
      <c r="J1260" s="13">
        <f t="shared" si="470"/>
        <v>0.17723890038574525</v>
      </c>
      <c r="K1260" s="106"/>
      <c r="AA1260" s="106"/>
    </row>
    <row r="1261" spans="3:27">
      <c r="C1261" s="17">
        <f t="shared" si="472"/>
        <v>107</v>
      </c>
      <c r="D1261" s="13">
        <f t="shared" si="473"/>
        <v>565</v>
      </c>
      <c r="E1261" s="13">
        <f>VLOOKUP(C1261,'Mortality Table'!$A$5:$E$153,IF(SRP_Gender="female",5,4),FALSE)</f>
        <v>0.22827</v>
      </c>
      <c r="F1261" s="13">
        <f t="shared" si="471"/>
        <v>2.1361909662563683E-2</v>
      </c>
      <c r="G1261" s="18">
        <f t="shared" si="474"/>
        <v>3.1756707728676115E-2</v>
      </c>
      <c r="H1261" s="35">
        <f t="shared" si="475"/>
        <v>0.21136195959962673</v>
      </c>
      <c r="I1261" s="13">
        <f t="shared" si="469"/>
        <v>6.7121599759655945E-3</v>
      </c>
      <c r="J1261" s="13">
        <f t="shared" si="470"/>
        <v>0.17669599457361976</v>
      </c>
      <c r="K1261" s="106"/>
      <c r="AA1261" s="106"/>
    </row>
    <row r="1262" spans="3:27">
      <c r="C1262" s="17">
        <f t="shared" si="472"/>
        <v>107</v>
      </c>
      <c r="D1262" s="13">
        <f t="shared" si="473"/>
        <v>566</v>
      </c>
      <c r="E1262" s="13">
        <f>VLOOKUP(C1262,'Mortality Table'!$A$5:$E$153,IF(SRP_Gender="female",5,4),FALSE)</f>
        <v>0.22827</v>
      </c>
      <c r="F1262" s="13">
        <f t="shared" si="471"/>
        <v>2.1361909662563683E-2</v>
      </c>
      <c r="G1262" s="18">
        <f t="shared" si="474"/>
        <v>3.1078323806995697E-2</v>
      </c>
      <c r="H1262" s="35">
        <f t="shared" si="475"/>
        <v>0.21136195959962673</v>
      </c>
      <c r="I1262" s="13">
        <f t="shared" si="469"/>
        <v>6.5687754209183416E-3</v>
      </c>
      <c r="J1262" s="13">
        <f t="shared" si="470"/>
        <v>0.1761547517526332</v>
      </c>
      <c r="K1262" s="106"/>
      <c r="AA1262" s="106"/>
    </row>
    <row r="1263" spans="3:27">
      <c r="C1263" s="17">
        <f t="shared" si="472"/>
        <v>107</v>
      </c>
      <c r="D1263" s="13">
        <f t="shared" si="473"/>
        <v>567</v>
      </c>
      <c r="E1263" s="13">
        <f>VLOOKUP(C1263,'Mortality Table'!$A$5:$E$153,IF(SRP_Gender="female",5,4),FALSE)</f>
        <v>0.22827</v>
      </c>
      <c r="F1263" s="13">
        <f t="shared" si="471"/>
        <v>2.1361909662563683E-2</v>
      </c>
      <c r="G1263" s="18">
        <f t="shared" si="474"/>
        <v>3.0414431461366753E-2</v>
      </c>
      <c r="H1263" s="35">
        <f t="shared" si="475"/>
        <v>0.21136195959962673</v>
      </c>
      <c r="I1263" s="13">
        <f t="shared" si="469"/>
        <v>6.4284538337830155E-3</v>
      </c>
      <c r="J1263" s="13">
        <f t="shared" si="470"/>
        <v>0.17561516682882744</v>
      </c>
      <c r="K1263" s="106"/>
      <c r="AA1263" s="106"/>
    </row>
    <row r="1264" spans="3:27">
      <c r="C1264" s="17">
        <f t="shared" si="472"/>
        <v>107</v>
      </c>
      <c r="D1264" s="13">
        <f t="shared" si="473"/>
        <v>568</v>
      </c>
      <c r="E1264" s="13">
        <f>VLOOKUP(C1264,'Mortality Table'!$A$5:$E$153,IF(SRP_Gender="female",5,4),FALSE)</f>
        <v>0.22827</v>
      </c>
      <c r="F1264" s="13">
        <f t="shared" si="471"/>
        <v>2.1361909662563683E-2</v>
      </c>
      <c r="G1264" s="18">
        <f t="shared" si="474"/>
        <v>2.9764721124050802E-2</v>
      </c>
      <c r="H1264" s="35">
        <f t="shared" si="475"/>
        <v>0.21136195959962673</v>
      </c>
      <c r="I1264" s="13">
        <f t="shared" si="469"/>
        <v>6.2911297837157818E-3</v>
      </c>
      <c r="J1264" s="13">
        <f t="shared" si="470"/>
        <v>0.17507723472384776</v>
      </c>
      <c r="K1264" s="106"/>
      <c r="AA1264" s="106"/>
    </row>
    <row r="1265" spans="3:27">
      <c r="C1265" s="17">
        <f t="shared" si="472"/>
        <v>107</v>
      </c>
      <c r="D1265" s="13">
        <f t="shared" si="473"/>
        <v>569</v>
      </c>
      <c r="E1265" s="13">
        <f>VLOOKUP(C1265,'Mortality Table'!$A$5:$E$153,IF(SRP_Gender="female",5,4),FALSE)</f>
        <v>0.22827</v>
      </c>
      <c r="F1265" s="13">
        <f t="shared" si="471"/>
        <v>2.1361909662563683E-2</v>
      </c>
      <c r="G1265" s="18">
        <f t="shared" si="474"/>
        <v>2.9128889840267427E-2</v>
      </c>
      <c r="H1265" s="35">
        <f t="shared" si="475"/>
        <v>0.21136195959962673</v>
      </c>
      <c r="I1265" s="13">
        <f t="shared" si="469"/>
        <v>6.1567392376005812E-3</v>
      </c>
      <c r="J1265" s="13">
        <f t="shared" si="470"/>
        <v>0.17454095037489503</v>
      </c>
      <c r="K1265" s="106"/>
      <c r="AA1265" s="106"/>
    </row>
    <row r="1266" spans="3:27">
      <c r="C1266" s="17">
        <f t="shared" si="472"/>
        <v>107</v>
      </c>
      <c r="D1266" s="13">
        <f t="shared" si="473"/>
        <v>570</v>
      </c>
      <c r="E1266" s="13">
        <f>VLOOKUP(C1266,'Mortality Table'!$A$5:$E$153,IF(SRP_Gender="female",5,4),FALSE)</f>
        <v>0.22827</v>
      </c>
      <c r="F1266" s="13">
        <f t="shared" si="471"/>
        <v>2.1361909662563683E-2</v>
      </c>
      <c r="G1266" s="18">
        <f t="shared" si="474"/>
        <v>2.8506641126928866E-2</v>
      </c>
      <c r="H1266" s="35">
        <f t="shared" si="475"/>
        <v>0.21136195959962673</v>
      </c>
      <c r="I1266" s="13">
        <f t="shared" si="469"/>
        <v>6.0252195301909962E-3</v>
      </c>
      <c r="J1266" s="13">
        <f t="shared" si="470"/>
        <v>0.17400630873467818</v>
      </c>
      <c r="K1266" s="106"/>
      <c r="AA1266" s="106"/>
    </row>
    <row r="1267" spans="3:27">
      <c r="C1267" s="17">
        <f t="shared" si="472"/>
        <v>107</v>
      </c>
      <c r="D1267" s="13">
        <f t="shared" si="473"/>
        <v>571</v>
      </c>
      <c r="E1267" s="13">
        <f>VLOOKUP(C1267,'Mortality Table'!$A$5:$E$153,IF(SRP_Gender="female",5,4),FALSE)</f>
        <v>0.22827</v>
      </c>
      <c r="F1267" s="13">
        <f t="shared" si="471"/>
        <v>2.1361909662563683E-2</v>
      </c>
      <c r="G1267" s="18">
        <f t="shared" si="474"/>
        <v>2.789768483439229E-2</v>
      </c>
      <c r="H1267" s="35">
        <f t="shared" si="475"/>
        <v>0.21136195959962673</v>
      </c>
      <c r="I1267" s="13">
        <f t="shared" si="469"/>
        <v>5.8965093348899425E-3</v>
      </c>
      <c r="J1267" s="13">
        <f t="shared" si="470"/>
        <v>0.1734733047713666</v>
      </c>
      <c r="K1267" s="106"/>
      <c r="AA1267" s="106"/>
    </row>
    <row r="1268" spans="3:27">
      <c r="C1268" s="17">
        <f t="shared" si="472"/>
        <v>107</v>
      </c>
      <c r="D1268" s="13">
        <f t="shared" si="473"/>
        <v>572</v>
      </c>
      <c r="E1268" s="13">
        <f>VLOOKUP(C1268,'Mortality Table'!$A$5:$E$153,IF(SRP_Gender="female",5,4),FALSE)</f>
        <v>0.22827</v>
      </c>
      <c r="F1268" s="13">
        <f t="shared" si="471"/>
        <v>2.1361909662563683E-2</v>
      </c>
      <c r="G1268" s="18">
        <f t="shared" si="474"/>
        <v>2.7301737011165329E-2</v>
      </c>
      <c r="H1268" s="35">
        <f t="shared" si="475"/>
        <v>0.21136195959962673</v>
      </c>
      <c r="I1268" s="13">
        <f t="shared" si="469"/>
        <v>5.7705486351535603E-3</v>
      </c>
      <c r="J1268" s="13">
        <f t="shared" si="470"/>
        <v>0.17294193346854286</v>
      </c>
      <c r="K1268" s="106"/>
      <c r="AA1268" s="106"/>
    </row>
    <row r="1269" spans="3:27">
      <c r="C1269" s="17">
        <f t="shared" si="472"/>
        <v>107</v>
      </c>
      <c r="D1269" s="13">
        <f t="shared" si="473"/>
        <v>573</v>
      </c>
      <c r="E1269" s="13">
        <f>VLOOKUP(C1269,'Mortality Table'!$A$5:$E$153,IF(SRP_Gender="female",5,4),FALSE)</f>
        <v>0.22827</v>
      </c>
      <c r="F1269" s="13">
        <f t="shared" si="471"/>
        <v>2.1361909662563683E-2</v>
      </c>
      <c r="G1269" s="18">
        <f t="shared" si="474"/>
        <v>2.6718519771501744E-2</v>
      </c>
      <c r="H1269" s="35">
        <f t="shared" si="475"/>
        <v>0.21136195959962673</v>
      </c>
      <c r="I1269" s="13">
        <f t="shared" si="469"/>
        <v>5.6472786965059791E-3</v>
      </c>
      <c r="J1269" s="13">
        <f t="shared" si="470"/>
        <v>0.17241218982515547</v>
      </c>
      <c r="K1269" s="106"/>
      <c r="AA1269" s="106"/>
    </row>
    <row r="1270" spans="3:27">
      <c r="C1270" s="17">
        <f t="shared" si="472"/>
        <v>107</v>
      </c>
      <c r="D1270" s="13">
        <f t="shared" si="473"/>
        <v>574</v>
      </c>
      <c r="E1270" s="13">
        <f>VLOOKUP(C1270,'Mortality Table'!$A$5:$E$153,IF(SRP_Gender="female",5,4),FALSE)</f>
        <v>0.22827</v>
      </c>
      <c r="F1270" s="13">
        <f t="shared" si="471"/>
        <v>2.1361909662563683E-2</v>
      </c>
      <c r="G1270" s="18">
        <f t="shared" si="474"/>
        <v>2.6147761165825501E-2</v>
      </c>
      <c r="H1270" s="35">
        <f t="shared" si="475"/>
        <v>0.21136195959962673</v>
      </c>
      <c r="I1270" s="13">
        <f t="shared" si="469"/>
        <v>5.5266420391518979E-3</v>
      </c>
      <c r="J1270" s="13">
        <f t="shared" si="470"/>
        <v>0.17188406885547175</v>
      </c>
      <c r="K1270" s="106"/>
      <c r="AA1270" s="106"/>
    </row>
    <row r="1271" spans="3:27">
      <c r="C1271" s="17">
        <f t="shared" si="472"/>
        <v>107</v>
      </c>
      <c r="D1271" s="13">
        <f t="shared" si="473"/>
        <v>575</v>
      </c>
      <c r="E1271" s="13">
        <f>VLOOKUP(C1271,'Mortality Table'!$A$5:$E$153,IF(SRP_Gender="female",5,4),FALSE)</f>
        <v>0.22827</v>
      </c>
      <c r="F1271" s="13">
        <f t="shared" si="471"/>
        <v>2.1361909662563683E-2</v>
      </c>
      <c r="G1271" s="18">
        <f t="shared" si="474"/>
        <v>2.5589195053922847E-2</v>
      </c>
      <c r="H1271" s="35">
        <f t="shared" si="475"/>
        <v>0.21136195959962673</v>
      </c>
      <c r="I1271" s="13">
        <f t="shared" si="469"/>
        <v>5.4085824111742087E-3</v>
      </c>
      <c r="J1271" s="13">
        <f t="shared" si="470"/>
        <v>0.17135756558903115</v>
      </c>
      <c r="K1271" s="106"/>
      <c r="AA1271" s="106"/>
    </row>
    <row r="1272" spans="3:27">
      <c r="C1272" s="17">
        <f t="shared" si="472"/>
        <v>107</v>
      </c>
      <c r="D1272" s="13">
        <f t="shared" si="473"/>
        <v>576</v>
      </c>
      <c r="E1272" s="13">
        <f>VLOOKUP(C1272,'Mortality Table'!$A$5:$E$153,IF(SRP_Gender="female",5,4),FALSE)</f>
        <v>0.22827</v>
      </c>
      <c r="F1272" s="13">
        <f t="shared" si="471"/>
        <v>2.1361909662563683E-2</v>
      </c>
      <c r="G1272" s="18">
        <f t="shared" si="474"/>
        <v>2.5042560980843225E-2</v>
      </c>
      <c r="H1272" s="35">
        <f t="shared" si="475"/>
        <v>0.21136195959962673</v>
      </c>
      <c r="I1272" s="13">
        <f t="shared" si="469"/>
        <v>5.293044762304174E-3</v>
      </c>
      <c r="J1272" s="13">
        <f t="shared" si="470"/>
        <v>0.17083267507059779</v>
      </c>
      <c r="K1272" s="106"/>
      <c r="AA1272" s="106"/>
    </row>
    <row r="1273" spans="3:27">
      <c r="C1273" s="17">
        <f t="shared" si="472"/>
        <v>108</v>
      </c>
      <c r="D1273" s="13">
        <f t="shared" si="473"/>
        <v>577</v>
      </c>
      <c r="E1273" s="13">
        <f>VLOOKUP(C1273,'Mortality Table'!$A$5:$E$153,IF(SRP_Gender="female",5,4),FALSE)</f>
        <v>0.22827</v>
      </c>
      <c r="F1273" s="13">
        <f t="shared" si="471"/>
        <v>2.1361909662563683E-2</v>
      </c>
      <c r="G1273" s="18">
        <f t="shared" si="474"/>
        <v>2.4507604055451208E-2</v>
      </c>
      <c r="H1273" s="35">
        <f t="shared" si="475"/>
        <v>0.21558919879161925</v>
      </c>
      <c r="I1273" s="13">
        <f t="shared" ref="I1273:I1336" si="476">IF(D1273&lt;=12*SRP_Annuity_Gtee_Period,H1273,H1273*G1273)</f>
        <v>5.2835747226169646E-3</v>
      </c>
      <c r="J1273" s="13">
        <f t="shared" ref="J1273:J1336" si="477">((1+$D$79)^(-D1273/12))</f>
        <v>0.17030939236011541</v>
      </c>
      <c r="K1273" s="106"/>
      <c r="AA1273" s="106"/>
    </row>
    <row r="1274" spans="3:27">
      <c r="C1274" s="17">
        <f t="shared" si="472"/>
        <v>108</v>
      </c>
      <c r="D1274" s="13">
        <f t="shared" si="473"/>
        <v>578</v>
      </c>
      <c r="E1274" s="13">
        <f>VLOOKUP(C1274,'Mortality Table'!$A$5:$E$153,IF(SRP_Gender="female",5,4),FALSE)</f>
        <v>0.22827</v>
      </c>
      <c r="F1274" s="13">
        <f t="shared" ref="F1274:F1337" si="478">1-(1-E1274)^(1/12)</f>
        <v>2.1361909662563683E-2</v>
      </c>
      <c r="G1274" s="18">
        <f t="shared" si="474"/>
        <v>2.398407483157278E-2</v>
      </c>
      <c r="H1274" s="35">
        <f t="shared" si="475"/>
        <v>0.21558919879161925</v>
      </c>
      <c r="I1274" s="13">
        <f t="shared" si="476"/>
        <v>5.1707074766970161E-3</v>
      </c>
      <c r="J1274" s="13">
        <f t="shared" si="477"/>
        <v>0.16978771253265851</v>
      </c>
      <c r="K1274" s="106"/>
      <c r="AA1274" s="106"/>
    </row>
    <row r="1275" spans="3:27">
      <c r="C1275" s="17">
        <f t="shared" ref="C1275:C1338" si="479">IF(MOD(D1275,12)=1,C1274+1,C1274)</f>
        <v>108</v>
      </c>
      <c r="D1275" s="13">
        <f t="shared" ref="D1275:D1338" si="480">D1274+1</f>
        <v>579</v>
      </c>
      <c r="E1275" s="13">
        <f>VLOOKUP(C1275,'Mortality Table'!$A$5:$E$153,IF(SRP_Gender="female",5,4),FALSE)</f>
        <v>0.22827</v>
      </c>
      <c r="F1275" s="13">
        <f t="shared" si="478"/>
        <v>2.1361909662563683E-2</v>
      </c>
      <c r="G1275" s="18">
        <f t="shared" ref="G1275:G1338" si="481">G1274*(1-F1274)</f>
        <v>2.3471729191680557E-2</v>
      </c>
      <c r="H1275" s="35">
        <f t="shared" ref="H1275:H1338" si="482">IF(MOD(D1275,12)=1,H1274*(1+$D$81),H1274)</f>
        <v>0.21558919879161925</v>
      </c>
      <c r="I1275" s="13">
        <f t="shared" si="476"/>
        <v>5.060251290688272E-3</v>
      </c>
      <c r="J1275" s="13">
        <f t="shared" si="477"/>
        <v>0.16926763067838788</v>
      </c>
      <c r="K1275" s="106"/>
      <c r="AA1275" s="106"/>
    </row>
    <row r="1276" spans="3:27">
      <c r="C1276" s="17">
        <f t="shared" si="479"/>
        <v>108</v>
      </c>
      <c r="D1276" s="13">
        <f t="shared" si="480"/>
        <v>580</v>
      </c>
      <c r="E1276" s="13">
        <f>VLOOKUP(C1276,'Mortality Table'!$A$5:$E$153,IF(SRP_Gender="female",5,4),FALSE)</f>
        <v>0.22827</v>
      </c>
      <c r="F1276" s="13">
        <f t="shared" si="478"/>
        <v>2.1361909662563683E-2</v>
      </c>
      <c r="G1276" s="18">
        <f t="shared" si="481"/>
        <v>2.2970328233063719E-2</v>
      </c>
      <c r="H1276" s="35">
        <f t="shared" si="482"/>
        <v>0.21558919879161925</v>
      </c>
      <c r="I1276" s="13">
        <f t="shared" si="476"/>
        <v>4.9521546597467185E-3</v>
      </c>
      <c r="J1276" s="13">
        <f t="shared" si="477"/>
        <v>0.16874914190250387</v>
      </c>
      <c r="K1276" s="106"/>
      <c r="AA1276" s="106"/>
    </row>
    <row r="1277" spans="3:27">
      <c r="C1277" s="17">
        <f t="shared" si="479"/>
        <v>108</v>
      </c>
      <c r="D1277" s="13">
        <f t="shared" si="480"/>
        <v>581</v>
      </c>
      <c r="E1277" s="13">
        <f>VLOOKUP(C1277,'Mortality Table'!$A$5:$E$153,IF(SRP_Gender="female",5,4),FALSE)</f>
        <v>0.22827</v>
      </c>
      <c r="F1277" s="13">
        <f t="shared" si="478"/>
        <v>2.1361909662563683E-2</v>
      </c>
      <c r="G1277" s="18">
        <f t="shared" si="481"/>
        <v>2.2479638156429577E-2</v>
      </c>
      <c r="H1277" s="35">
        <f t="shared" si="482"/>
        <v>0.21558919879161925</v>
      </c>
      <c r="I1277" s="13">
        <f t="shared" si="476"/>
        <v>4.8463671792701654E-3</v>
      </c>
      <c r="J1277" s="13">
        <f t="shared" si="477"/>
        <v>0.16823224132520004</v>
      </c>
      <c r="K1277" s="106"/>
      <c r="AA1277" s="106"/>
    </row>
    <row r="1278" spans="3:27">
      <c r="C1278" s="17">
        <f t="shared" si="479"/>
        <v>108</v>
      </c>
      <c r="D1278" s="13">
        <f t="shared" si="480"/>
        <v>582</v>
      </c>
      <c r="E1278" s="13">
        <f>VLOOKUP(C1278,'Mortality Table'!$A$5:$E$153,IF(SRP_Gender="female",5,4),FALSE)</f>
        <v>0.22827</v>
      </c>
      <c r="F1278" s="13">
        <f t="shared" si="478"/>
        <v>2.1361909662563683E-2</v>
      </c>
      <c r="G1278" s="18">
        <f t="shared" si="481"/>
        <v>2.1999430156884808E-2</v>
      </c>
      <c r="H1278" s="35">
        <f t="shared" si="482"/>
        <v>0.21558919879161925</v>
      </c>
      <c r="I1278" s="13">
        <f t="shared" si="476"/>
        <v>4.7428395213949823E-3</v>
      </c>
      <c r="J1278" s="13">
        <f t="shared" si="477"/>
        <v>0.16771692408161754</v>
      </c>
      <c r="K1278" s="106"/>
      <c r="AA1278" s="106"/>
    </row>
    <row r="1279" spans="3:27">
      <c r="C1279" s="17">
        <f t="shared" si="479"/>
        <v>108</v>
      </c>
      <c r="D1279" s="13">
        <f t="shared" si="480"/>
        <v>583</v>
      </c>
      <c r="E1279" s="13">
        <f>VLOOKUP(C1279,'Mortality Table'!$A$5:$E$153,IF(SRP_Gender="female",5,4),FALSE)</f>
        <v>0.22827</v>
      </c>
      <c r="F1279" s="13">
        <f t="shared" si="478"/>
        <v>2.1361909662563683E-2</v>
      </c>
      <c r="G1279" s="18">
        <f t="shared" si="481"/>
        <v>2.1529480317245556E-2</v>
      </c>
      <c r="H1279" s="35">
        <f t="shared" si="482"/>
        <v>0.21558919879161925</v>
      </c>
      <c r="I1279" s="13">
        <f t="shared" si="476"/>
        <v>4.6415234119949059E-3</v>
      </c>
      <c r="J1279" s="13">
        <f t="shared" si="477"/>
        <v>0.16720318532179912</v>
      </c>
      <c r="K1279" s="106"/>
      <c r="AA1279" s="106"/>
    </row>
    <row r="1280" spans="3:27">
      <c r="C1280" s="17">
        <f t="shared" si="479"/>
        <v>108</v>
      </c>
      <c r="D1280" s="13">
        <f t="shared" si="480"/>
        <v>584</v>
      </c>
      <c r="E1280" s="13">
        <f>VLOOKUP(C1280,'Mortality Table'!$A$5:$E$153,IF(SRP_Gender="female",5,4),FALSE)</f>
        <v>0.22827</v>
      </c>
      <c r="F1280" s="13">
        <f t="shared" si="478"/>
        <v>2.1361909662563683E-2</v>
      </c>
      <c r="G1280" s="18">
        <f t="shared" si="481"/>
        <v>2.1069569503626612E-2</v>
      </c>
      <c r="H1280" s="35">
        <f t="shared" si="482"/>
        <v>0.21558919879161925</v>
      </c>
      <c r="I1280" s="13">
        <f t="shared" si="476"/>
        <v>4.5423716081711965E-3</v>
      </c>
      <c r="J1280" s="13">
        <f t="shared" si="477"/>
        <v>0.16669102021064372</v>
      </c>
      <c r="K1280" s="106"/>
      <c r="AA1280" s="106"/>
    </row>
    <row r="1281" spans="3:27">
      <c r="C1281" s="17">
        <f t="shared" si="479"/>
        <v>108</v>
      </c>
      <c r="D1281" s="13">
        <f t="shared" si="480"/>
        <v>585</v>
      </c>
      <c r="E1281" s="13">
        <f>VLOOKUP(C1281,'Mortality Table'!$A$5:$E$153,IF(SRP_Gender="female",5,4),FALSE)</f>
        <v>0.22827</v>
      </c>
      <c r="F1281" s="13">
        <f t="shared" si="478"/>
        <v>2.1361909662563683E-2</v>
      </c>
      <c r="G1281" s="18">
        <f t="shared" si="481"/>
        <v>2.0619483263261035E-2</v>
      </c>
      <c r="H1281" s="35">
        <f t="shared" si="482"/>
        <v>0.21558919879161925</v>
      </c>
      <c r="I1281" s="13">
        <f t="shared" si="476"/>
        <v>4.4453378762236498E-3</v>
      </c>
      <c r="J1281" s="13">
        <f t="shared" si="477"/>
        <v>0.1661804239278607</v>
      </c>
      <c r="K1281" s="106"/>
      <c r="AA1281" s="106"/>
    </row>
    <row r="1282" spans="3:27">
      <c r="C1282" s="17">
        <f t="shared" si="479"/>
        <v>108</v>
      </c>
      <c r="D1282" s="13">
        <f t="shared" si="480"/>
        <v>586</v>
      </c>
      <c r="E1282" s="13">
        <f>VLOOKUP(C1282,'Mortality Table'!$A$5:$E$153,IF(SRP_Gender="female",5,4),FALSE)</f>
        <v>0.22827</v>
      </c>
      <c r="F1282" s="13">
        <f t="shared" si="478"/>
        <v>2.1361909662563683E-2</v>
      </c>
      <c r="G1282" s="18">
        <f t="shared" si="481"/>
        <v>2.017901172450251E-2</v>
      </c>
      <c r="H1282" s="35">
        <f t="shared" si="482"/>
        <v>0.21558919879161925</v>
      </c>
      <c r="I1282" s="13">
        <f t="shared" si="476"/>
        <v>4.3503769700921876E-3</v>
      </c>
      <c r="J1282" s="13">
        <f t="shared" si="477"/>
        <v>0.16567139166792458</v>
      </c>
      <c r="K1282" s="106"/>
      <c r="AA1282" s="106"/>
    </row>
    <row r="1283" spans="3:27">
      <c r="C1283" s="17">
        <f t="shared" si="479"/>
        <v>108</v>
      </c>
      <c r="D1283" s="13">
        <f t="shared" si="480"/>
        <v>587</v>
      </c>
      <c r="E1283" s="13">
        <f>VLOOKUP(C1283,'Mortality Table'!$A$5:$E$153,IF(SRP_Gender="female",5,4),FALSE)</f>
        <v>0.22827</v>
      </c>
      <c r="F1283" s="13">
        <f t="shared" si="478"/>
        <v>2.1361909662563683E-2</v>
      </c>
      <c r="G1283" s="18">
        <f t="shared" si="481"/>
        <v>1.9747949498963874E-2</v>
      </c>
      <c r="H1283" s="35">
        <f t="shared" si="482"/>
        <v>0.21558919879161925</v>
      </c>
      <c r="I1283" s="13">
        <f t="shared" si="476"/>
        <v>4.2574446102589805E-3</v>
      </c>
      <c r="J1283" s="13">
        <f t="shared" si="477"/>
        <v>0.16516391864002999</v>
      </c>
      <c r="K1283" s="106"/>
      <c r="AA1283" s="106"/>
    </row>
    <row r="1284" spans="3:27">
      <c r="C1284" s="17">
        <f t="shared" si="479"/>
        <v>108</v>
      </c>
      <c r="D1284" s="13">
        <f t="shared" si="480"/>
        <v>588</v>
      </c>
      <c r="E1284" s="13">
        <f>VLOOKUP(C1284,'Mortality Table'!$A$5:$E$153,IF(SRP_Gender="female",5,4),FALSE)</f>
        <v>0.22827</v>
      </c>
      <c r="F1284" s="13">
        <f t="shared" si="478"/>
        <v>2.1361909662563683E-2</v>
      </c>
      <c r="G1284" s="18">
        <f t="shared" si="481"/>
        <v>1.9326095585746137E-2</v>
      </c>
      <c r="H1284" s="35">
        <f t="shared" si="482"/>
        <v>0.21558919879161925</v>
      </c>
      <c r="I1284" s="13">
        <f t="shared" si="476"/>
        <v>4.1664974631012595E-3</v>
      </c>
      <c r="J1284" s="13">
        <f t="shared" si="477"/>
        <v>0.16465800006804607</v>
      </c>
      <c r="K1284" s="106"/>
      <c r="AA1284" s="106"/>
    </row>
    <row r="1285" spans="3:27">
      <c r="C1285" s="17">
        <f t="shared" si="479"/>
        <v>109</v>
      </c>
      <c r="D1285" s="13">
        <f t="shared" si="480"/>
        <v>589</v>
      </c>
      <c r="E1285" s="13">
        <f>VLOOKUP(C1285,'Mortality Table'!$A$5:$E$153,IF(SRP_Gender="female",5,4),FALSE)</f>
        <v>0.22827</v>
      </c>
      <c r="F1285" s="13">
        <f t="shared" si="478"/>
        <v>2.1361909662563683E-2</v>
      </c>
      <c r="G1285" s="18">
        <f t="shared" si="481"/>
        <v>1.8913253277713357E-2</v>
      </c>
      <c r="H1285" s="35">
        <f t="shared" si="482"/>
        <v>0.21990098276745165</v>
      </c>
      <c r="I1285" s="13">
        <f t="shared" si="476"/>
        <v>4.159042983098893E-3</v>
      </c>
      <c r="J1285" s="13">
        <f t="shared" si="477"/>
        <v>0.16415363119047269</v>
      </c>
      <c r="K1285" s="106"/>
      <c r="AA1285" s="106"/>
    </row>
    <row r="1286" spans="3:27">
      <c r="C1286" s="17">
        <f t="shared" si="479"/>
        <v>109</v>
      </c>
      <c r="D1286" s="13">
        <f t="shared" si="480"/>
        <v>590</v>
      </c>
      <c r="E1286" s="13">
        <f>VLOOKUP(C1286,'Mortality Table'!$A$5:$E$153,IF(SRP_Gender="female",5,4),FALSE)</f>
        <v>0.22827</v>
      </c>
      <c r="F1286" s="13">
        <f t="shared" si="478"/>
        <v>2.1361909662563683E-2</v>
      </c>
      <c r="G1286" s="18">
        <f t="shared" si="481"/>
        <v>1.8509230069769657E-2</v>
      </c>
      <c r="H1286" s="35">
        <f t="shared" si="482"/>
        <v>0.21990098276745165</v>
      </c>
      <c r="I1286" s="13">
        <f t="shared" si="476"/>
        <v>4.0701978826112152E-3</v>
      </c>
      <c r="J1286" s="13">
        <f t="shared" si="477"/>
        <v>0.16365080726039374</v>
      </c>
      <c r="K1286" s="106"/>
      <c r="AA1286" s="106"/>
    </row>
    <row r="1287" spans="3:27">
      <c r="C1287" s="17">
        <f t="shared" si="479"/>
        <v>109</v>
      </c>
      <c r="D1287" s="13">
        <f t="shared" si="480"/>
        <v>591</v>
      </c>
      <c r="E1287" s="13">
        <f>VLOOKUP(C1287,'Mortality Table'!$A$5:$E$153,IF(SRP_Gender="female",5,4),FALSE)</f>
        <v>0.22827</v>
      </c>
      <c r="F1287" s="13">
        <f t="shared" si="478"/>
        <v>2.1361909662563683E-2</v>
      </c>
      <c r="G1287" s="18">
        <f t="shared" si="481"/>
        <v>1.8113837569095629E-2</v>
      </c>
      <c r="H1287" s="35">
        <f t="shared" si="482"/>
        <v>0.21990098276745165</v>
      </c>
      <c r="I1287" s="13">
        <f t="shared" si="476"/>
        <v>3.9832506831341159E-3</v>
      </c>
      <c r="J1287" s="13">
        <f t="shared" si="477"/>
        <v>0.16314952354543408</v>
      </c>
      <c r="AA1287" s="106"/>
    </row>
    <row r="1288" spans="3:27">
      <c r="C1288" s="17">
        <f t="shared" si="479"/>
        <v>109</v>
      </c>
      <c r="D1288" s="13">
        <f t="shared" si="480"/>
        <v>592</v>
      </c>
      <c r="E1288" s="13">
        <f>VLOOKUP(C1288,'Mortality Table'!$A$5:$E$153,IF(SRP_Gender="female",5,4),FALSE)</f>
        <v>0.22827</v>
      </c>
      <c r="F1288" s="13">
        <f t="shared" si="478"/>
        <v>2.1361909662563683E-2</v>
      </c>
      <c r="G1288" s="18">
        <f t="shared" si="481"/>
        <v>1.7726891407302256E-2</v>
      </c>
      <c r="H1288" s="35">
        <f t="shared" si="482"/>
        <v>0.21990098276745165</v>
      </c>
      <c r="I1288" s="13">
        <f t="shared" si="476"/>
        <v>3.8981608418776604E-3</v>
      </c>
      <c r="J1288" s="13">
        <f t="shared" si="477"/>
        <v>0.16264977532771455</v>
      </c>
      <c r="AA1288" s="106"/>
    </row>
    <row r="1289" spans="3:27">
      <c r="C1289" s="17">
        <f t="shared" si="479"/>
        <v>109</v>
      </c>
      <c r="D1289" s="13">
        <f t="shared" si="480"/>
        <v>593</v>
      </c>
      <c r="E1289" s="13">
        <f>VLOOKUP(C1289,'Mortality Table'!$A$5:$E$153,IF(SRP_Gender="female",5,4),FALSE)</f>
        <v>0.22827</v>
      </c>
      <c r="F1289" s="13">
        <f t="shared" si="478"/>
        <v>2.1361909662563683E-2</v>
      </c>
      <c r="G1289" s="18">
        <f t="shared" si="481"/>
        <v>1.734821115446139E-2</v>
      </c>
      <c r="H1289" s="35">
        <f t="shared" si="482"/>
        <v>0.21990098276745165</v>
      </c>
      <c r="I1289" s="13">
        <f t="shared" si="476"/>
        <v>3.8148886821233268E-3</v>
      </c>
      <c r="J1289" s="13">
        <f t="shared" si="477"/>
        <v>0.16215155790380725</v>
      </c>
      <c r="AA1289" s="106"/>
    </row>
    <row r="1290" spans="3:27">
      <c r="C1290" s="17">
        <f t="shared" si="479"/>
        <v>109</v>
      </c>
      <c r="D1290" s="13">
        <f t="shared" si="480"/>
        <v>594</v>
      </c>
      <c r="E1290" s="13">
        <f>VLOOKUP(C1290,'Mortality Table'!$A$5:$E$153,IF(SRP_Gender="female",5,4),FALSE)</f>
        <v>0.22827</v>
      </c>
      <c r="F1290" s="13">
        <f t="shared" si="478"/>
        <v>2.1361909662563683E-2</v>
      </c>
      <c r="G1290" s="18">
        <f t="shared" si="481"/>
        <v>1.6977620234972707E-2</v>
      </c>
      <c r="H1290" s="35">
        <f t="shared" si="482"/>
        <v>0.21990098276745165</v>
      </c>
      <c r="I1290" s="13">
        <f t="shared" si="476"/>
        <v>3.7333953747230716E-3</v>
      </c>
      <c r="J1290" s="13">
        <f t="shared" si="477"/>
        <v>0.16165486658469155</v>
      </c>
      <c r="AA1290" s="106"/>
    </row>
    <row r="1291" spans="3:27">
      <c r="C1291" s="17">
        <f t="shared" si="479"/>
        <v>109</v>
      </c>
      <c r="D1291" s="13">
        <f t="shared" si="480"/>
        <v>595</v>
      </c>
      <c r="E1291" s="13">
        <f>VLOOKUP(C1291,'Mortality Table'!$A$5:$E$153,IF(SRP_Gender="female",5,4),FALSE)</f>
        <v>0.22827</v>
      </c>
      <c r="F1291" s="13">
        <f t="shared" si="478"/>
        <v>2.1361909662563683E-2</v>
      </c>
      <c r="G1291" s="18">
        <f t="shared" si="481"/>
        <v>1.6614945845227908E-2</v>
      </c>
      <c r="H1291" s="35">
        <f t="shared" si="482"/>
        <v>0.21990098276745165</v>
      </c>
      <c r="I1291" s="13">
        <f t="shared" si="476"/>
        <v>3.6536429199936046E-3</v>
      </c>
      <c r="J1291" s="13">
        <f t="shared" si="477"/>
        <v>0.16115969669570995</v>
      </c>
      <c r="AA1291" s="106"/>
    </row>
    <row r="1292" spans="3:27">
      <c r="C1292" s="17">
        <f t="shared" si="479"/>
        <v>109</v>
      </c>
      <c r="D1292" s="13">
        <f t="shared" si="480"/>
        <v>596</v>
      </c>
      <c r="E1292" s="13">
        <f>VLOOKUP(C1292,'Mortality Table'!$A$5:$E$153,IF(SRP_Gender="female",5,4),FALSE)</f>
        <v>0.22827</v>
      </c>
      <c r="F1292" s="13">
        <f t="shared" si="478"/>
        <v>2.1361909662563683E-2</v>
      </c>
      <c r="G1292" s="18">
        <f t="shared" si="481"/>
        <v>1.6260018873033761E-2</v>
      </c>
      <c r="H1292" s="35">
        <f t="shared" si="482"/>
        <v>0.21990098276745165</v>
      </c>
      <c r="I1292" s="13">
        <f t="shared" si="476"/>
        <v>3.5755941299974356E-3</v>
      </c>
      <c r="J1292" s="13">
        <f t="shared" si="477"/>
        <v>0.16066604357652406</v>
      </c>
      <c r="AA1292" s="106"/>
    </row>
    <row r="1293" spans="3:27">
      <c r="C1293" s="17">
        <f t="shared" si="479"/>
        <v>109</v>
      </c>
      <c r="D1293" s="13">
        <f t="shared" si="480"/>
        <v>597</v>
      </c>
      <c r="E1293" s="13">
        <f>VLOOKUP(C1293,'Mortality Table'!$A$5:$E$153,IF(SRP_Gender="female",5,4),FALSE)</f>
        <v>0.22827</v>
      </c>
      <c r="F1293" s="13">
        <f t="shared" si="478"/>
        <v>2.1361909662563683E-2</v>
      </c>
      <c r="G1293" s="18">
        <f t="shared" si="481"/>
        <v>1.5912673818756433E-2</v>
      </c>
      <c r="H1293" s="35">
        <f t="shared" si="482"/>
        <v>0.21990098276745165</v>
      </c>
      <c r="I1293" s="13">
        <f t="shared" si="476"/>
        <v>3.4992126112024374E-3</v>
      </c>
      <c r="J1293" s="13">
        <f t="shared" si="477"/>
        <v>0.16017390258107053</v>
      </c>
      <c r="AA1293" s="106"/>
    </row>
    <row r="1294" spans="3:27">
      <c r="C1294" s="17">
        <f t="shared" si="479"/>
        <v>109</v>
      </c>
      <c r="D1294" s="13">
        <f t="shared" si="480"/>
        <v>598</v>
      </c>
      <c r="E1294" s="13">
        <f>VLOOKUP(C1294,'Mortality Table'!$A$5:$E$153,IF(SRP_Gender="female",5,4),FALSE)</f>
        <v>0.22827</v>
      </c>
      <c r="F1294" s="13">
        <f t="shared" si="478"/>
        <v>2.1361909662563683E-2</v>
      </c>
      <c r="G1294" s="18">
        <f t="shared" si="481"/>
        <v>1.5572748718150316E-2</v>
      </c>
      <c r="H1294" s="35">
        <f t="shared" si="482"/>
        <v>0.21990098276745165</v>
      </c>
      <c r="I1294" s="13">
        <f t="shared" si="476"/>
        <v>3.4244627475118277E-3</v>
      </c>
      <c r="J1294" s="13">
        <f t="shared" si="477"/>
        <v>0.15968326907751765</v>
      </c>
      <c r="AA1294" s="106"/>
    </row>
    <row r="1295" spans="3:27">
      <c r="C1295" s="17">
        <f t="shared" si="479"/>
        <v>109</v>
      </c>
      <c r="D1295" s="13">
        <f t="shared" si="480"/>
        <v>599</v>
      </c>
      <c r="E1295" s="13">
        <f>VLOOKUP(C1295,'Mortality Table'!$A$5:$E$153,IF(SRP_Gender="female",5,4),FALSE)</f>
        <v>0.22827</v>
      </c>
      <c r="F1295" s="13">
        <f t="shared" si="478"/>
        <v>2.1361909662563683E-2</v>
      </c>
      <c r="G1295" s="18">
        <f t="shared" si="481"/>
        <v>1.5240085066835385E-2</v>
      </c>
      <c r="H1295" s="35">
        <f t="shared" si="482"/>
        <v>0.21990098276745165</v>
      </c>
      <c r="I1295" s="13">
        <f t="shared" si="476"/>
        <v>3.3513096836566654E-3</v>
      </c>
      <c r="J1295" s="13">
        <f t="shared" si="477"/>
        <v>0.15919413844822169</v>
      </c>
      <c r="AA1295" s="106"/>
    </row>
    <row r="1296" spans="3:27">
      <c r="C1296" s="17">
        <f t="shared" si="479"/>
        <v>109</v>
      </c>
      <c r="D1296" s="13">
        <f t="shared" si="480"/>
        <v>600</v>
      </c>
      <c r="E1296" s="13">
        <f>VLOOKUP(C1296,'Mortality Table'!$A$5:$E$153,IF(SRP_Gender="female",5,4),FALSE)</f>
        <v>0.22827</v>
      </c>
      <c r="F1296" s="13">
        <f t="shared" si="478"/>
        <v>2.1361909662563683E-2</v>
      </c>
      <c r="G1296" s="18">
        <f t="shared" si="481"/>
        <v>1.4914527746387862E-2</v>
      </c>
      <c r="H1296" s="35">
        <f t="shared" si="482"/>
        <v>0.21990098276745165</v>
      </c>
      <c r="I1296" s="13">
        <f t="shared" si="476"/>
        <v>3.2797193089431167E-3</v>
      </c>
      <c r="J1296" s="13">
        <f t="shared" si="477"/>
        <v>0.15870650608968292</v>
      </c>
      <c r="AA1296" s="106"/>
    </row>
    <row r="1297" spans="3:27">
      <c r="C1297" s="17">
        <f t="shared" si="479"/>
        <v>110</v>
      </c>
      <c r="D1297" s="13">
        <f t="shared" si="480"/>
        <v>601</v>
      </c>
      <c r="E1297" s="13">
        <f>VLOOKUP(C1297,'Mortality Table'!$A$5:$E$153,IF(SRP_Gender="female",5,4),FALSE)</f>
        <v>0.22827</v>
      </c>
      <c r="F1297" s="13">
        <f t="shared" si="478"/>
        <v>2.1361909662563683E-2</v>
      </c>
      <c r="G1297" s="18">
        <f t="shared" si="481"/>
        <v>1.4595924952009724E-2</v>
      </c>
      <c r="H1297" s="35">
        <f t="shared" si="482"/>
        <v>0.22429900242280068</v>
      </c>
      <c r="I1297" s="13">
        <f t="shared" si="476"/>
        <v>3.2738514061738462E-3</v>
      </c>
      <c r="J1297" s="13">
        <f t="shared" si="477"/>
        <v>0.15822036741250378</v>
      </c>
      <c r="AA1297" s="106"/>
    </row>
    <row r="1298" spans="3:27">
      <c r="C1298" s="17">
        <f t="shared" si="479"/>
        <v>110</v>
      </c>
      <c r="D1298" s="13">
        <f t="shared" si="480"/>
        <v>602</v>
      </c>
      <c r="E1298" s="13">
        <f>VLOOKUP(C1298,'Mortality Table'!$A$5:$E$153,IF(SRP_Gender="female",5,4),FALSE)</f>
        <v>0.22827</v>
      </c>
      <c r="F1298" s="13">
        <f t="shared" si="478"/>
        <v>2.1361909662563683E-2</v>
      </c>
      <c r="G1298" s="18">
        <f t="shared" si="481"/>
        <v>1.4284128121743333E-2</v>
      </c>
      <c r="H1298" s="35">
        <f t="shared" si="482"/>
        <v>0.22429900242280068</v>
      </c>
      <c r="I1298" s="13">
        <f t="shared" si="476"/>
        <v>3.2039156881865029E-3</v>
      </c>
      <c r="J1298" s="13">
        <f t="shared" si="477"/>
        <v>0.15773571784134335</v>
      </c>
      <c r="AA1298" s="106"/>
    </row>
    <row r="1299" spans="3:27">
      <c r="C1299" s="17">
        <f t="shared" si="479"/>
        <v>110</v>
      </c>
      <c r="D1299" s="13">
        <f t="shared" si="480"/>
        <v>603</v>
      </c>
      <c r="E1299" s="13">
        <f>VLOOKUP(C1299,'Mortality Table'!$A$5:$E$153,IF(SRP_Gender="female",5,4),FALSE)</f>
        <v>0.22827</v>
      </c>
      <c r="F1299" s="13">
        <f t="shared" si="478"/>
        <v>2.1361909662563683E-2</v>
      </c>
      <c r="G1299" s="18">
        <f t="shared" si="481"/>
        <v>1.3978991867198165E-2</v>
      </c>
      <c r="H1299" s="35">
        <f t="shared" si="482"/>
        <v>0.22429900242280068</v>
      </c>
      <c r="I1299" s="13">
        <f t="shared" si="476"/>
        <v>3.1354739306889922E-3</v>
      </c>
      <c r="J1299" s="13">
        <f t="shared" si="477"/>
        <v>0.15725255281487624</v>
      </c>
      <c r="AA1299" s="106"/>
    </row>
    <row r="1300" spans="3:27">
      <c r="C1300" s="17">
        <f t="shared" si="479"/>
        <v>110</v>
      </c>
      <c r="D1300" s="13">
        <f t="shared" si="480"/>
        <v>604</v>
      </c>
      <c r="E1300" s="13">
        <f>VLOOKUP(C1300,'Mortality Table'!$A$5:$E$153,IF(SRP_Gender="female",5,4),FALSE)</f>
        <v>0.22827</v>
      </c>
      <c r="F1300" s="13">
        <f t="shared" si="478"/>
        <v>2.1361909662563683E-2</v>
      </c>
      <c r="G1300" s="18">
        <f t="shared" si="481"/>
        <v>1.3680373905757366E-2</v>
      </c>
      <c r="H1300" s="35">
        <f t="shared" si="482"/>
        <v>0.22429900242280068</v>
      </c>
      <c r="I1300" s="13">
        <f t="shared" si="476"/>
        <v>3.0684942198322906E-3</v>
      </c>
      <c r="J1300" s="13">
        <f t="shared" si="477"/>
        <v>0.15677086778574895</v>
      </c>
      <c r="AA1300" s="106"/>
    </row>
    <row r="1301" spans="3:27">
      <c r="C1301" s="17">
        <f t="shared" si="479"/>
        <v>110</v>
      </c>
      <c r="D1301" s="13">
        <f t="shared" si="480"/>
        <v>605</v>
      </c>
      <c r="E1301" s="13">
        <f>VLOOKUP(C1301,'Mortality Table'!$A$5:$E$153,IF(SRP_Gender="female",5,4),FALSE)</f>
        <v>0.22827</v>
      </c>
      <c r="F1301" s="13">
        <f t="shared" si="478"/>
        <v>2.1361909662563683E-2</v>
      </c>
      <c r="G1301" s="18">
        <f t="shared" si="481"/>
        <v>1.3388134994232484E-2</v>
      </c>
      <c r="H1301" s="35">
        <f t="shared" si="482"/>
        <v>0.22429900242280068</v>
      </c>
      <c r="I1301" s="13">
        <f t="shared" si="476"/>
        <v>3.0029453235081347E-3</v>
      </c>
      <c r="J1301" s="13">
        <f t="shared" si="477"/>
        <v>0.15629065822053709</v>
      </c>
      <c r="AA1301" s="106"/>
    </row>
    <row r="1302" spans="3:27">
      <c r="C1302" s="17">
        <f t="shared" si="479"/>
        <v>110</v>
      </c>
      <c r="D1302" s="13">
        <f t="shared" si="480"/>
        <v>606</v>
      </c>
      <c r="E1302" s="13">
        <f>VLOOKUP(C1302,'Mortality Table'!$A$5:$E$153,IF(SRP_Gender="female",5,4),FALSE)</f>
        <v>0.22827</v>
      </c>
      <c r="F1302" s="13">
        <f t="shared" si="478"/>
        <v>2.1361909662563683E-2</v>
      </c>
      <c r="G1302" s="18">
        <f t="shared" si="481"/>
        <v>1.3102138863935481E-2</v>
      </c>
      <c r="H1302" s="35">
        <f t="shared" si="482"/>
        <v>0.22429900242280068</v>
      </c>
      <c r="I1302" s="13">
        <f t="shared" si="476"/>
        <v>2.9387966767857356E-3</v>
      </c>
      <c r="J1302" s="13">
        <f t="shared" si="477"/>
        <v>0.1558119195997027</v>
      </c>
      <c r="AA1302" s="106"/>
    </row>
    <row r="1303" spans="3:27">
      <c r="C1303" s="17">
        <f t="shared" si="479"/>
        <v>110</v>
      </c>
      <c r="D1303" s="13">
        <f t="shared" si="480"/>
        <v>607</v>
      </c>
      <c r="E1303" s="13">
        <f>VLOOKUP(C1303,'Mortality Table'!$A$5:$E$153,IF(SRP_Gender="female",5,4),FALSE)</f>
        <v>0.22827</v>
      </c>
      <c r="F1303" s="13">
        <f t="shared" si="478"/>
        <v>2.1361909662563683E-2</v>
      </c>
      <c r="G1303" s="18">
        <f t="shared" si="481"/>
        <v>1.2822252157137727E-2</v>
      </c>
      <c r="H1303" s="35">
        <f t="shared" si="482"/>
        <v>0.22429900242280068</v>
      </c>
      <c r="I1303" s="13">
        <f t="shared" si="476"/>
        <v>2.8760183676595965E-3</v>
      </c>
      <c r="J1303" s="13">
        <f t="shared" si="477"/>
        <v>0.15533464741755176</v>
      </c>
      <c r="AA1303" s="106"/>
    </row>
    <row r="1304" spans="3:27">
      <c r="C1304" s="17">
        <f t="shared" si="479"/>
        <v>110</v>
      </c>
      <c r="D1304" s="13">
        <f t="shared" si="480"/>
        <v>608</v>
      </c>
      <c r="E1304" s="13">
        <f>VLOOKUP(C1304,'Mortality Table'!$A$5:$E$153,IF(SRP_Gender="female",5,4),FALSE)</f>
        <v>0.22827</v>
      </c>
      <c r="F1304" s="13">
        <f t="shared" si="478"/>
        <v>2.1361909662563683E-2</v>
      </c>
      <c r="G1304" s="18">
        <f t="shared" si="481"/>
        <v>1.2548344364886339E-2</v>
      </c>
      <c r="H1304" s="35">
        <f t="shared" si="482"/>
        <v>0.22429900242280068</v>
      </c>
      <c r="I1304" s="13">
        <f t="shared" si="476"/>
        <v>2.8145811231017784E-3</v>
      </c>
      <c r="J1304" s="13">
        <f t="shared" si="477"/>
        <v>0.15485883718219184</v>
      </c>
      <c r="AA1304" s="106"/>
    </row>
    <row r="1305" spans="3:27">
      <c r="C1305" s="17">
        <f t="shared" si="479"/>
        <v>110</v>
      </c>
      <c r="D1305" s="13">
        <f t="shared" si="480"/>
        <v>609</v>
      </c>
      <c r="E1305" s="13">
        <f>VLOOKUP(C1305,'Mortality Table'!$A$5:$E$153,IF(SRP_Gender="female",5,4),FALSE)</f>
        <v>0.22827</v>
      </c>
      <c r="F1305" s="13">
        <f t="shared" si="478"/>
        <v>2.1361909662563683E-2</v>
      </c>
      <c r="G1305" s="18">
        <f t="shared" si="481"/>
        <v>1.2280287766148897E-2</v>
      </c>
      <c r="H1305" s="35">
        <f t="shared" si="482"/>
        <v>0.22429900242280068</v>
      </c>
      <c r="I1305" s="13">
        <f t="shared" si="476"/>
        <v>2.7544562954121212E-3</v>
      </c>
      <c r="J1305" s="13">
        <f t="shared" si="477"/>
        <v>0.15438448441548966</v>
      </c>
      <c r="AA1305" s="106"/>
    </row>
    <row r="1306" spans="3:27">
      <c r="C1306" s="17">
        <f t="shared" si="479"/>
        <v>110</v>
      </c>
      <c r="D1306" s="13">
        <f t="shared" si="480"/>
        <v>610</v>
      </c>
      <c r="E1306" s="13">
        <f>VLOOKUP(C1306,'Mortality Table'!$A$5:$E$153,IF(SRP_Gender="female",5,4),FALSE)</f>
        <v>0.22827</v>
      </c>
      <c r="F1306" s="13">
        <f t="shared" si="478"/>
        <v>2.1361909662563683E-2</v>
      </c>
      <c r="G1306" s="18">
        <f t="shared" si="481"/>
        <v>1.2017957368258139E-2</v>
      </c>
      <c r="H1306" s="35">
        <f t="shared" si="482"/>
        <v>0.22429900242280068</v>
      </c>
      <c r="I1306" s="13">
        <f t="shared" si="476"/>
        <v>2.6956158488600475E-3</v>
      </c>
      <c r="J1306" s="13">
        <f t="shared" si="477"/>
        <v>0.15391158465302904</v>
      </c>
      <c r="AA1306" s="106"/>
    </row>
    <row r="1307" spans="3:27">
      <c r="C1307" s="17">
        <f t="shared" si="479"/>
        <v>110</v>
      </c>
      <c r="D1307" s="13">
        <f t="shared" si="480"/>
        <v>611</v>
      </c>
      <c r="E1307" s="13">
        <f>VLOOKUP(C1307,'Mortality Table'!$A$5:$E$153,IF(SRP_Gender="female",5,4),FALSE)</f>
        <v>0.22827</v>
      </c>
      <c r="F1307" s="13">
        <f t="shared" si="478"/>
        <v>2.1361909662563683E-2</v>
      </c>
      <c r="G1307" s="18">
        <f t="shared" si="481"/>
        <v>1.1761230848628866E-2</v>
      </c>
      <c r="H1307" s="35">
        <f t="shared" si="482"/>
        <v>0.22429900242280068</v>
      </c>
      <c r="I1307" s="13">
        <f t="shared" si="476"/>
        <v>2.6380323466117244E-3</v>
      </c>
      <c r="J1307" s="13">
        <f t="shared" si="477"/>
        <v>0.15344013344406909</v>
      </c>
      <c r="AA1307" s="106"/>
    </row>
    <row r="1308" spans="3:27">
      <c r="C1308" s="17">
        <f t="shared" si="479"/>
        <v>110</v>
      </c>
      <c r="D1308" s="13">
        <f t="shared" si="480"/>
        <v>612</v>
      </c>
      <c r="E1308" s="13">
        <f>VLOOKUP(C1308,'Mortality Table'!$A$5:$E$153,IF(SRP_Gender="female",5,4),FALSE)</f>
        <v>0.22827</v>
      </c>
      <c r="F1308" s="13">
        <f t="shared" si="478"/>
        <v>2.1361909662563683E-2</v>
      </c>
      <c r="G1308" s="18">
        <f t="shared" si="481"/>
        <v>1.1509988497719899E-2</v>
      </c>
      <c r="H1308" s="35">
        <f t="shared" si="482"/>
        <v>0.22429900242280068</v>
      </c>
      <c r="I1308" s="13">
        <f t="shared" si="476"/>
        <v>2.5816789379364837E-3</v>
      </c>
      <c r="J1308" s="13">
        <f t="shared" si="477"/>
        <v>0.15297012635150159</v>
      </c>
      <c r="AA1308" s="106"/>
    </row>
    <row r="1309" spans="3:27">
      <c r="C1309" s="17">
        <f t="shared" si="479"/>
        <v>111</v>
      </c>
      <c r="D1309" s="13">
        <f t="shared" si="480"/>
        <v>613</v>
      </c>
      <c r="E1309" s="13">
        <f>VLOOKUP(C1309,'Mortality Table'!$A$5:$E$153,IF(SRP_Gender="female",5,4),FALSE)</f>
        <v>0.22827</v>
      </c>
      <c r="F1309" s="13">
        <f t="shared" si="478"/>
        <v>2.1361909662563683E-2</v>
      </c>
      <c r="G1309" s="18">
        <f t="shared" si="481"/>
        <v>1.1264113163214459E-2</v>
      </c>
      <c r="H1309" s="35">
        <f t="shared" si="482"/>
        <v>0.2287849824712567</v>
      </c>
      <c r="I1309" s="13">
        <f t="shared" si="476"/>
        <v>2.5770599326002718E-3</v>
      </c>
      <c r="J1309" s="13">
        <f t="shared" si="477"/>
        <v>0.15250155895181089</v>
      </c>
      <c r="AA1309" s="106"/>
    </row>
    <row r="1310" spans="3:27">
      <c r="C1310" s="17">
        <f t="shared" si="479"/>
        <v>111</v>
      </c>
      <c r="D1310" s="13">
        <f t="shared" si="480"/>
        <v>614</v>
      </c>
      <c r="E1310" s="13">
        <f>VLOOKUP(C1310,'Mortality Table'!$A$5:$E$153,IF(SRP_Gender="female",5,4),FALSE)</f>
        <v>0.22827</v>
      </c>
      <c r="F1310" s="13">
        <f t="shared" si="478"/>
        <v>2.1361909662563683E-2</v>
      </c>
      <c r="G1310" s="18">
        <f t="shared" si="481"/>
        <v>1.1023490195392976E-2</v>
      </c>
      <c r="H1310" s="35">
        <f t="shared" si="482"/>
        <v>0.2287849824712567</v>
      </c>
      <c r="I1310" s="13">
        <f t="shared" si="476"/>
        <v>2.5220090111250522E-3</v>
      </c>
      <c r="J1310" s="13">
        <f t="shared" si="477"/>
        <v>0.15203442683502974</v>
      </c>
      <c r="AA1310" s="106"/>
    </row>
    <row r="1311" spans="3:27">
      <c r="C1311" s="17">
        <f t="shared" si="479"/>
        <v>111</v>
      </c>
      <c r="D1311" s="13">
        <f t="shared" si="480"/>
        <v>615</v>
      </c>
      <c r="E1311" s="13">
        <f>VLOOKUP(C1311,'Mortality Table'!$A$5:$E$153,IF(SRP_Gender="female",5,4),FALSE)</f>
        <v>0.22827</v>
      </c>
      <c r="F1311" s="13">
        <f t="shared" si="478"/>
        <v>2.1361909662563683E-2</v>
      </c>
      <c r="G1311" s="18">
        <f t="shared" si="481"/>
        <v>1.0788007393672834E-2</v>
      </c>
      <c r="H1311" s="35">
        <f t="shared" si="482"/>
        <v>0.2287849824712567</v>
      </c>
      <c r="I1311" s="13">
        <f t="shared" si="476"/>
        <v>2.4681340824612269E-3</v>
      </c>
      <c r="J1311" s="13">
        <f t="shared" si="477"/>
        <v>0.15156872560469997</v>
      </c>
      <c r="AA1311" s="106"/>
    </row>
    <row r="1312" spans="3:27">
      <c r="C1312" s="17">
        <f t="shared" si="479"/>
        <v>111</v>
      </c>
      <c r="D1312" s="13">
        <f t="shared" si="480"/>
        <v>616</v>
      </c>
      <c r="E1312" s="13">
        <f>VLOOKUP(C1312,'Mortality Table'!$A$5:$E$153,IF(SRP_Gender="female",5,4),FALSE)</f>
        <v>0.22827</v>
      </c>
      <c r="F1312" s="13">
        <f t="shared" si="478"/>
        <v>2.1361909662563683E-2</v>
      </c>
      <c r="G1312" s="18">
        <f t="shared" si="481"/>
        <v>1.0557554954290126E-2</v>
      </c>
      <c r="H1312" s="35">
        <f t="shared" si="482"/>
        <v>0.2287849824712567</v>
      </c>
      <c r="I1312" s="13">
        <f t="shared" si="476"/>
        <v>2.4154100251565958E-3</v>
      </c>
      <c r="J1312" s="13">
        <f t="shared" si="477"/>
        <v>0.15110445087783031</v>
      </c>
      <c r="AA1312" s="106"/>
    </row>
    <row r="1313" spans="3:27">
      <c r="C1313" s="17">
        <f t="shared" si="479"/>
        <v>111</v>
      </c>
      <c r="D1313" s="13">
        <f t="shared" si="480"/>
        <v>617</v>
      </c>
      <c r="E1313" s="13">
        <f>VLOOKUP(C1313,'Mortality Table'!$A$5:$E$153,IF(SRP_Gender="female",5,4),FALSE)</f>
        <v>0.22827</v>
      </c>
      <c r="F1313" s="13">
        <f t="shared" si="478"/>
        <v>2.1361909662563683E-2</v>
      </c>
      <c r="G1313" s="18">
        <f t="shared" si="481"/>
        <v>1.033202541909903E-2</v>
      </c>
      <c r="H1313" s="35">
        <f t="shared" si="482"/>
        <v>0.2287849824712567</v>
      </c>
      <c r="I1313" s="13">
        <f t="shared" si="476"/>
        <v>2.3638122544011502E-3</v>
      </c>
      <c r="J1313" s="13">
        <f t="shared" si="477"/>
        <v>0.15064159828485502</v>
      </c>
      <c r="AA1313" s="106"/>
    </row>
    <row r="1314" spans="3:27">
      <c r="C1314" s="17">
        <f t="shared" si="479"/>
        <v>111</v>
      </c>
      <c r="D1314" s="13">
        <f t="shared" si="480"/>
        <v>618</v>
      </c>
      <c r="E1314" s="13">
        <f>VLOOKUP(C1314,'Mortality Table'!$A$5:$E$153,IF(SRP_Gender="female",5,4),FALSE)</f>
        <v>0.22827</v>
      </c>
      <c r="F1314" s="13">
        <f t="shared" si="478"/>
        <v>2.1361909662563683E-2</v>
      </c>
      <c r="G1314" s="18">
        <f t="shared" si="481"/>
        <v>1.0111313625464925E-2</v>
      </c>
      <c r="H1314" s="35">
        <f t="shared" si="482"/>
        <v>0.2287849824712567</v>
      </c>
      <c r="I1314" s="13">
        <f t="shared" si="476"/>
        <v>2.3133167105633718E-3</v>
      </c>
      <c r="J1314" s="13">
        <f t="shared" si="477"/>
        <v>0.15018016346959295</v>
      </c>
      <c r="AA1314" s="106"/>
    </row>
    <row r="1315" spans="3:27">
      <c r="C1315" s="17">
        <f t="shared" si="479"/>
        <v>111</v>
      </c>
      <c r="D1315" s="13">
        <f t="shared" si="480"/>
        <v>619</v>
      </c>
      <c r="E1315" s="13">
        <f>VLOOKUP(C1315,'Mortality Table'!$A$5:$E$153,IF(SRP_Gender="female",5,4),FALSE)</f>
        <v>0.22827</v>
      </c>
      <c r="F1315" s="13">
        <f t="shared" si="478"/>
        <v>2.1361909662563683E-2</v>
      </c>
      <c r="G1315" s="18">
        <f t="shared" si="481"/>
        <v>9.8953166572278931E-3</v>
      </c>
      <c r="H1315" s="35">
        <f t="shared" si="482"/>
        <v>0.2287849824712567</v>
      </c>
      <c r="I1315" s="13">
        <f t="shared" si="476"/>
        <v>2.2638998479714181E-3</v>
      </c>
      <c r="J1315" s="13">
        <f t="shared" si="477"/>
        <v>0.1497201420892065</v>
      </c>
      <c r="AA1315" s="106"/>
    </row>
    <row r="1316" spans="3:27">
      <c r="C1316" s="17">
        <f t="shared" si="479"/>
        <v>111</v>
      </c>
      <c r="D1316" s="13">
        <f t="shared" si="480"/>
        <v>620</v>
      </c>
      <c r="E1316" s="13">
        <f>VLOOKUP(C1316,'Mortality Table'!$A$5:$E$153,IF(SRP_Gender="female",5,4),FALSE)</f>
        <v>0.22827</v>
      </c>
      <c r="F1316" s="13">
        <f t="shared" si="478"/>
        <v>2.1361909662563683E-2</v>
      </c>
      <c r="G1316" s="18">
        <f t="shared" si="481"/>
        <v>9.6839337967137284E-3</v>
      </c>
      <c r="H1316" s="35">
        <f t="shared" si="482"/>
        <v>0.2287849824712567</v>
      </c>
      <c r="I1316" s="13">
        <f t="shared" si="476"/>
        <v>2.2155386239339609E-3</v>
      </c>
      <c r="J1316" s="13">
        <f t="shared" si="477"/>
        <v>0.1492615298141608</v>
      </c>
      <c r="AA1316" s="106"/>
    </row>
    <row r="1317" spans="3:27">
      <c r="C1317" s="17">
        <f t="shared" si="479"/>
        <v>111</v>
      </c>
      <c r="D1317" s="13">
        <f t="shared" si="480"/>
        <v>621</v>
      </c>
      <c r="E1317" s="13">
        <f>VLOOKUP(C1317,'Mortality Table'!$A$5:$E$153,IF(SRP_Gender="female",5,4),FALSE)</f>
        <v>0.22827</v>
      </c>
      <c r="F1317" s="13">
        <f t="shared" si="478"/>
        <v>2.1361909662563683E-2</v>
      </c>
      <c r="G1317" s="18">
        <f t="shared" si="481"/>
        <v>9.4770664777700832E-3</v>
      </c>
      <c r="H1317" s="35">
        <f t="shared" si="482"/>
        <v>0.2287849824712567</v>
      </c>
      <c r="I1317" s="13">
        <f t="shared" si="476"/>
        <v>2.1682104879955631E-3</v>
      </c>
      <c r="J1317" s="13">
        <f t="shared" si="477"/>
        <v>0.14880432232818278</v>
      </c>
      <c r="AA1317" s="106"/>
    </row>
    <row r="1318" spans="3:27">
      <c r="C1318" s="17">
        <f t="shared" si="479"/>
        <v>111</v>
      </c>
      <c r="D1318" s="13">
        <f t="shared" si="480"/>
        <v>622</v>
      </c>
      <c r="E1318" s="13">
        <f>VLOOKUP(C1318,'Mortality Table'!$A$5:$E$153,IF(SRP_Gender="female",5,4),FALSE)</f>
        <v>0.22827</v>
      </c>
      <c r="F1318" s="13">
        <f t="shared" si="478"/>
        <v>2.1361909662563683E-2</v>
      </c>
      <c r="G1318" s="18">
        <f t="shared" si="481"/>
        <v>9.2746182398058489E-3</v>
      </c>
      <c r="H1318" s="35">
        <f t="shared" si="482"/>
        <v>0.2287849824712567</v>
      </c>
      <c r="I1318" s="13">
        <f t="shared" si="476"/>
        <v>2.121893371421579E-3</v>
      </c>
      <c r="J1318" s="13">
        <f t="shared" si="477"/>
        <v>0.14834851532822074</v>
      </c>
      <c r="AA1318" s="106"/>
    </row>
    <row r="1319" spans="3:27">
      <c r="C1319" s="17">
        <f t="shared" si="479"/>
        <v>111</v>
      </c>
      <c r="D1319" s="13">
        <f t="shared" si="480"/>
        <v>623</v>
      </c>
      <c r="E1319" s="13">
        <f>VLOOKUP(C1319,'Mortality Table'!$A$5:$E$153,IF(SRP_Gender="female",5,4),FALSE)</f>
        <v>0.22827</v>
      </c>
      <c r="F1319" s="13">
        <f t="shared" si="478"/>
        <v>2.1361909662563683E-2</v>
      </c>
      <c r="G1319" s="18">
        <f t="shared" si="481"/>
        <v>9.076494682812351E-3</v>
      </c>
      <c r="H1319" s="35">
        <f t="shared" si="482"/>
        <v>0.2287849824712567</v>
      </c>
      <c r="I1319" s="13">
        <f t="shared" si="476"/>
        <v>2.0765656769076782E-3</v>
      </c>
      <c r="J1319" s="13">
        <f t="shared" si="477"/>
        <v>0.14789410452440394</v>
      </c>
      <c r="AA1319" s="106"/>
    </row>
    <row r="1320" spans="3:27">
      <c r="C1320" s="17">
        <f t="shared" si="479"/>
        <v>111</v>
      </c>
      <c r="D1320" s="13">
        <f t="shared" si="480"/>
        <v>624</v>
      </c>
      <c r="E1320" s="13">
        <f>VLOOKUP(C1320,'Mortality Table'!$A$5:$E$153,IF(SRP_Gender="female",5,4),FALSE)</f>
        <v>0.22827</v>
      </c>
      <c r="F1320" s="13">
        <f t="shared" si="478"/>
        <v>2.1361909662563683E-2</v>
      </c>
      <c r="G1320" s="18">
        <f t="shared" si="481"/>
        <v>8.8826034233453737E-3</v>
      </c>
      <c r="H1320" s="35">
        <f t="shared" si="482"/>
        <v>0.2287849824712567</v>
      </c>
      <c r="I1320" s="13">
        <f t="shared" si="476"/>
        <v>2.0322062685091962E-3</v>
      </c>
      <c r="J1320" s="13">
        <f t="shared" si="477"/>
        <v>0.14744108564000152</v>
      </c>
      <c r="AA1320" s="106"/>
    </row>
    <row r="1321" spans="3:27">
      <c r="C1321" s="17">
        <f t="shared" si="479"/>
        <v>112</v>
      </c>
      <c r="D1321" s="13">
        <f t="shared" si="480"/>
        <v>625</v>
      </c>
      <c r="E1321" s="13">
        <f>VLOOKUP(C1321,'Mortality Table'!$A$5:$E$153,IF(SRP_Gender="female",5,4),FALSE)</f>
        <v>0.22827</v>
      </c>
      <c r="F1321" s="13">
        <f t="shared" si="478"/>
        <v>2.1361909662563683E-2</v>
      </c>
      <c r="G1321" s="18">
        <f t="shared" si="481"/>
        <v>8.6928540514474902E-3</v>
      </c>
      <c r="H1321" s="35">
        <f t="shared" si="482"/>
        <v>0.23336068212068184</v>
      </c>
      <c r="I1321" s="13">
        <f t="shared" si="476"/>
        <v>2.0285703510213192E-3</v>
      </c>
      <c r="J1321" s="13">
        <f t="shared" si="477"/>
        <v>0.14698945441138395</v>
      </c>
      <c r="AA1321" s="106"/>
    </row>
    <row r="1322" spans="3:27">
      <c r="C1322" s="17">
        <f t="shared" si="479"/>
        <v>112</v>
      </c>
      <c r="D1322" s="13">
        <f t="shared" si="480"/>
        <v>626</v>
      </c>
      <c r="E1322" s="13">
        <f>VLOOKUP(C1322,'Mortality Table'!$A$5:$E$153,IF(SRP_Gender="female",5,4),FALSE)</f>
        <v>0.22827</v>
      </c>
      <c r="F1322" s="13">
        <f t="shared" si="478"/>
        <v>2.1361909662563683E-2</v>
      </c>
      <c r="G1322" s="18">
        <f t="shared" si="481"/>
        <v>8.5071580884906184E-3</v>
      </c>
      <c r="H1322" s="35">
        <f t="shared" si="482"/>
        <v>0.23336068212068184</v>
      </c>
      <c r="I1322" s="13">
        <f t="shared" si="476"/>
        <v>1.9852362144386466E-3</v>
      </c>
      <c r="J1322" s="13">
        <f t="shared" si="477"/>
        <v>0.14653920658798045</v>
      </c>
      <c r="AA1322" s="106"/>
    </row>
    <row r="1323" spans="3:27">
      <c r="C1323" s="17">
        <f t="shared" si="479"/>
        <v>112</v>
      </c>
      <c r="D1323" s="13">
        <f t="shared" si="480"/>
        <v>627</v>
      </c>
      <c r="E1323" s="13">
        <f>VLOOKUP(C1323,'Mortality Table'!$A$5:$E$153,IF(SRP_Gender="female",5,4),FALSE)</f>
        <v>0.22827</v>
      </c>
      <c r="F1323" s="13">
        <f t="shared" si="478"/>
        <v>2.1361909662563683E-2</v>
      </c>
      <c r="G1323" s="18">
        <f t="shared" si="481"/>
        <v>8.325428945919134E-3</v>
      </c>
      <c r="H1323" s="35">
        <f t="shared" si="482"/>
        <v>0.23336068212068184</v>
      </c>
      <c r="I1323" s="13">
        <f t="shared" si="476"/>
        <v>1.9428277777669583E-3</v>
      </c>
      <c r="J1323" s="13">
        <f t="shared" si="477"/>
        <v>0.14609033793224091</v>
      </c>
      <c r="AA1323" s="106"/>
    </row>
    <row r="1324" spans="3:27">
      <c r="C1324" s="17">
        <f t="shared" si="479"/>
        <v>112</v>
      </c>
      <c r="D1324" s="13">
        <f t="shared" si="480"/>
        <v>628</v>
      </c>
      <c r="E1324" s="13">
        <f>VLOOKUP(C1324,'Mortality Table'!$A$5:$E$153,IF(SRP_Gender="female",5,4),FALSE)</f>
        <v>0.22827</v>
      </c>
      <c r="F1324" s="13">
        <f t="shared" si="478"/>
        <v>2.1361909662563683E-2</v>
      </c>
      <c r="G1324" s="18">
        <f t="shared" si="481"/>
        <v>8.1475818848743171E-3</v>
      </c>
      <c r="H1324" s="35">
        <f t="shared" si="482"/>
        <v>0.23336068212068184</v>
      </c>
      <c r="I1324" s="13">
        <f t="shared" si="476"/>
        <v>1.9013252662883813E-3</v>
      </c>
      <c r="J1324" s="13">
        <f t="shared" si="477"/>
        <v>0.14564284421959545</v>
      </c>
      <c r="AA1324" s="106"/>
    </row>
    <row r="1325" spans="3:27">
      <c r="C1325" s="17">
        <f t="shared" si="479"/>
        <v>112</v>
      </c>
      <c r="D1325" s="13">
        <f t="shared" si="480"/>
        <v>629</v>
      </c>
      <c r="E1325" s="13">
        <f>VLOOKUP(C1325,'Mortality Table'!$A$5:$E$153,IF(SRP_Gender="female",5,4),FALSE)</f>
        <v>0.22827</v>
      </c>
      <c r="F1325" s="13">
        <f t="shared" si="478"/>
        <v>2.1361909662563683E-2</v>
      </c>
      <c r="G1325" s="18">
        <f t="shared" si="481"/>
        <v>7.9735339766812911E-3</v>
      </c>
      <c r="H1325" s="35">
        <f t="shared" si="482"/>
        <v>0.23336068212068184</v>
      </c>
      <c r="I1325" s="13">
        <f t="shared" si="476"/>
        <v>1.860709327710779E-3</v>
      </c>
      <c r="J1325" s="13">
        <f t="shared" si="477"/>
        <v>0.14519672123841446</v>
      </c>
      <c r="AA1325" s="106"/>
    </row>
    <row r="1326" spans="3:27">
      <c r="C1326" s="17">
        <f t="shared" si="479"/>
        <v>112</v>
      </c>
      <c r="D1326" s="13">
        <f t="shared" si="480"/>
        <v>630</v>
      </c>
      <c r="E1326" s="13">
        <f>VLOOKUP(C1326,'Mortality Table'!$A$5:$E$153,IF(SRP_Gender="female",5,4),FALSE)</f>
        <v>0.22827</v>
      </c>
      <c r="F1326" s="13">
        <f t="shared" si="478"/>
        <v>2.1361909662563683E-2</v>
      </c>
      <c r="G1326" s="18">
        <f t="shared" si="481"/>
        <v>7.8032040641800434E-3</v>
      </c>
      <c r="H1326" s="35">
        <f t="shared" si="482"/>
        <v>0.23336068212068184</v>
      </c>
      <c r="I1326" s="13">
        <f t="shared" si="476"/>
        <v>1.8209610231439317E-3</v>
      </c>
      <c r="J1326" s="13">
        <f t="shared" si="477"/>
        <v>0.1447519647899691</v>
      </c>
      <c r="AA1326" s="106"/>
    </row>
    <row r="1327" spans="3:27">
      <c r="C1327" s="17">
        <f t="shared" si="479"/>
        <v>112</v>
      </c>
      <c r="D1327" s="13">
        <f t="shared" si="480"/>
        <v>631</v>
      </c>
      <c r="E1327" s="13">
        <f>VLOOKUP(C1327,'Mortality Table'!$A$5:$E$153,IF(SRP_Gender="female",5,4),FALSE)</f>
        <v>0.22827</v>
      </c>
      <c r="F1327" s="13">
        <f t="shared" si="478"/>
        <v>2.1361909662563683E-2</v>
      </c>
      <c r="G1327" s="18">
        <f t="shared" si="481"/>
        <v>7.6365127238824798E-3</v>
      </c>
      <c r="H1327" s="35">
        <f t="shared" si="482"/>
        <v>0.23336068212068184</v>
      </c>
      <c r="I1327" s="13">
        <f t="shared" si="476"/>
        <v>1.7820618182684816E-3</v>
      </c>
      <c r="J1327" s="13">
        <f t="shared" si="477"/>
        <v>0.14430857068839179</v>
      </c>
      <c r="AA1327" s="106"/>
    </row>
    <row r="1328" spans="3:27">
      <c r="C1328" s="17">
        <f t="shared" si="479"/>
        <v>112</v>
      </c>
      <c r="D1328" s="13">
        <f t="shared" si="480"/>
        <v>632</v>
      </c>
      <c r="E1328" s="13">
        <f>VLOOKUP(C1328,'Mortality Table'!$A$5:$E$153,IF(SRP_Gender="female",5,4),FALSE)</f>
        <v>0.22827</v>
      </c>
      <c r="F1328" s="13">
        <f t="shared" si="478"/>
        <v>2.1361909662563683E-2</v>
      </c>
      <c r="G1328" s="18">
        <f t="shared" si="481"/>
        <v>7.473382228937884E-3</v>
      </c>
      <c r="H1328" s="35">
        <f t="shared" si="482"/>
        <v>0.23336068212068184</v>
      </c>
      <c r="I1328" s="13">
        <f t="shared" si="476"/>
        <v>1.7439935746935262E-3</v>
      </c>
      <c r="J1328" s="13">
        <f t="shared" si="477"/>
        <v>0.1438665347606369</v>
      </c>
      <c r="AA1328" s="106"/>
    </row>
    <row r="1329" spans="3:27">
      <c r="C1329" s="17">
        <f t="shared" si="479"/>
        <v>112</v>
      </c>
      <c r="D1329" s="13">
        <f t="shared" si="480"/>
        <v>633</v>
      </c>
      <c r="E1329" s="13">
        <f>VLOOKUP(C1329,'Mortality Table'!$A$5:$E$153,IF(SRP_Gender="female",5,4),FALSE)</f>
        <v>0.22827</v>
      </c>
      <c r="F1329" s="13">
        <f t="shared" si="478"/>
        <v>2.1361909662563683E-2</v>
      </c>
      <c r="G1329" s="18">
        <f t="shared" si="481"/>
        <v>7.3137365128895038E-3</v>
      </c>
      <c r="H1329" s="35">
        <f t="shared" si="482"/>
        <v>0.23336068212068184</v>
      </c>
      <c r="I1329" s="13">
        <f t="shared" si="476"/>
        <v>1.7067385414988316E-3</v>
      </c>
      <c r="J1329" s="13">
        <f t="shared" si="477"/>
        <v>0.14342585284644122</v>
      </c>
      <c r="AA1329" s="106"/>
    </row>
    <row r="1330" spans="3:27">
      <c r="C1330" s="17">
        <f t="shared" si="479"/>
        <v>112</v>
      </c>
      <c r="D1330" s="13">
        <f t="shared" si="480"/>
        <v>634</v>
      </c>
      <c r="E1330" s="13">
        <f>VLOOKUP(C1330,'Mortality Table'!$A$5:$E$153,IF(SRP_Gender="female",5,4),FALSE)</f>
        <v>0.22827</v>
      </c>
      <c r="F1330" s="13">
        <f t="shared" si="478"/>
        <v>2.1361909662563683E-2</v>
      </c>
      <c r="G1330" s="18">
        <f t="shared" si="481"/>
        <v>7.1575011342053648E-3</v>
      </c>
      <c r="H1330" s="35">
        <f t="shared" si="482"/>
        <v>0.23336068212068184</v>
      </c>
      <c r="I1330" s="13">
        <f t="shared" si="476"/>
        <v>1.670279346957718E-3</v>
      </c>
      <c r="J1330" s="13">
        <f t="shared" si="477"/>
        <v>0.14298652079828506</v>
      </c>
      <c r="AA1330" s="106"/>
    </row>
    <row r="1331" spans="3:27">
      <c r="C1331" s="17">
        <f t="shared" si="479"/>
        <v>112</v>
      </c>
      <c r="D1331" s="13">
        <f t="shared" si="480"/>
        <v>635</v>
      </c>
      <c r="E1331" s="13">
        <f>VLOOKUP(C1331,'Mortality Table'!$A$5:$E$153,IF(SRP_Gender="female",5,4),FALSE)</f>
        <v>0.22827</v>
      </c>
      <c r="F1331" s="13">
        <f t="shared" si="478"/>
        <v>2.1361909662563683E-2</v>
      </c>
      <c r="G1331" s="18">
        <f t="shared" si="481"/>
        <v>7.0046032415667725E-3</v>
      </c>
      <c r="H1331" s="35">
        <f t="shared" si="482"/>
        <v>0.23336068212068184</v>
      </c>
      <c r="I1331" s="13">
        <f t="shared" si="476"/>
        <v>1.6345989904367612E-3</v>
      </c>
      <c r="J1331" s="13">
        <f t="shared" si="477"/>
        <v>0.14254853448135316</v>
      </c>
      <c r="AA1331" s="106"/>
    </row>
    <row r="1332" spans="3:27">
      <c r="C1332" s="17">
        <f t="shared" si="479"/>
        <v>112</v>
      </c>
      <c r="D1332" s="13">
        <f t="shared" si="480"/>
        <v>636</v>
      </c>
      <c r="E1332" s="13">
        <f>VLOOKUP(C1332,'Mortality Table'!$A$5:$E$153,IF(SRP_Gender="female",5,4),FALSE)</f>
        <v>0.22827</v>
      </c>
      <c r="F1332" s="13">
        <f t="shared" si="478"/>
        <v>2.1361909662563683E-2</v>
      </c>
      <c r="G1332" s="18">
        <f t="shared" si="481"/>
        <v>6.8549715398983227E-3</v>
      </c>
      <c r="H1332" s="35">
        <f t="shared" si="482"/>
        <v>0.23336068212068184</v>
      </c>
      <c r="I1332" s="13">
        <f t="shared" si="476"/>
        <v>1.5996808344685334E-3</v>
      </c>
      <c r="J1332" s="13">
        <f t="shared" si="477"/>
        <v>0.14211188977349543</v>
      </c>
      <c r="AA1332" s="106"/>
    </row>
    <row r="1333" spans="3:27">
      <c r="C1333" s="17">
        <f t="shared" si="479"/>
        <v>113</v>
      </c>
      <c r="D1333" s="13">
        <f t="shared" si="480"/>
        <v>637</v>
      </c>
      <c r="E1333" s="13">
        <f>VLOOKUP(C1333,'Mortality Table'!$A$5:$E$153,IF(SRP_Gender="female",5,4),FALSE)</f>
        <v>0.22827</v>
      </c>
      <c r="F1333" s="13">
        <f t="shared" si="478"/>
        <v>2.1361909662563683E-2</v>
      </c>
      <c r="G1333" s="18">
        <f t="shared" si="481"/>
        <v>6.70853625712357E-3</v>
      </c>
      <c r="H1333" s="35">
        <f t="shared" si="482"/>
        <v>0.23802789576309549</v>
      </c>
      <c r="I1333" s="13">
        <f t="shared" si="476"/>
        <v>1.596818768933556E-3</v>
      </c>
      <c r="J1333" s="13">
        <f t="shared" si="477"/>
        <v>0.14167658256518934</v>
      </c>
      <c r="AA1333" s="106"/>
    </row>
    <row r="1334" spans="3:27">
      <c r="C1334" s="17">
        <f t="shared" si="479"/>
        <v>113</v>
      </c>
      <c r="D1334" s="13">
        <f t="shared" si="480"/>
        <v>638</v>
      </c>
      <c r="E1334" s="13">
        <f>VLOOKUP(C1334,'Mortality Table'!$A$5:$E$153,IF(SRP_Gender="female",5,4),FALSE)</f>
        <v>0.22827</v>
      </c>
      <c r="F1334" s="13">
        <f t="shared" si="478"/>
        <v>2.1361909662563683E-2</v>
      </c>
      <c r="G1334" s="18">
        <f t="shared" si="481"/>
        <v>6.5652291116308631E-3</v>
      </c>
      <c r="H1334" s="35">
        <f t="shared" si="482"/>
        <v>0.23802789576309549</v>
      </c>
      <c r="I1334" s="13">
        <f t="shared" si="476"/>
        <v>1.5627076706441112E-3</v>
      </c>
      <c r="J1334" s="13">
        <f t="shared" si="477"/>
        <v>0.14124260875949921</v>
      </c>
      <c r="AA1334" s="106"/>
    </row>
    <row r="1335" spans="3:27">
      <c r="C1335" s="17">
        <f t="shared" si="479"/>
        <v>113</v>
      </c>
      <c r="D1335" s="13">
        <f t="shared" si="480"/>
        <v>639</v>
      </c>
      <c r="E1335" s="13">
        <f>VLOOKUP(C1335,'Mortality Table'!$A$5:$E$153,IF(SRP_Gender="female",5,4),FALSE)</f>
        <v>0.22827</v>
      </c>
      <c r="F1335" s="13">
        <f t="shared" si="478"/>
        <v>2.1361909662563683E-2</v>
      </c>
      <c r="G1335" s="18">
        <f t="shared" si="481"/>
        <v>6.4249832804341711E-3</v>
      </c>
      <c r="H1335" s="35">
        <f t="shared" si="482"/>
        <v>0.23802789576309549</v>
      </c>
      <c r="I1335" s="13">
        <f t="shared" si="476"/>
        <v>1.5293252505548163E-3</v>
      </c>
      <c r="J1335" s="13">
        <f t="shared" si="477"/>
        <v>0.14080996427203943</v>
      </c>
      <c r="AA1335" s="106"/>
    </row>
    <row r="1336" spans="3:27">
      <c r="C1336" s="17">
        <f t="shared" si="479"/>
        <v>113</v>
      </c>
      <c r="D1336" s="13">
        <f t="shared" si="480"/>
        <v>640</v>
      </c>
      <c r="E1336" s="13">
        <f>VLOOKUP(C1336,'Mortality Table'!$A$5:$E$153,IF(SRP_Gender="female",5,4),FALSE)</f>
        <v>0.22827</v>
      </c>
      <c r="F1336" s="13">
        <f t="shared" si="478"/>
        <v>2.1361909662563683E-2</v>
      </c>
      <c r="G1336" s="18">
        <f t="shared" si="481"/>
        <v>6.2877333680140543E-3</v>
      </c>
      <c r="H1336" s="35">
        <f t="shared" si="482"/>
        <v>0.23802789576309549</v>
      </c>
      <c r="I1336" s="13">
        <f t="shared" si="476"/>
        <v>1.4966559427077868E-3</v>
      </c>
      <c r="J1336" s="13">
        <f t="shared" si="477"/>
        <v>0.14037864503093536</v>
      </c>
      <c r="AA1336" s="106"/>
    </row>
    <row r="1337" spans="3:27">
      <c r="C1337" s="17">
        <f t="shared" si="479"/>
        <v>113</v>
      </c>
      <c r="D1337" s="13">
        <f t="shared" si="480"/>
        <v>641</v>
      </c>
      <c r="E1337" s="13">
        <f>VLOOKUP(C1337,'Mortality Table'!$A$5:$E$153,IF(SRP_Gender="female",5,4),FALSE)</f>
        <v>0.22827</v>
      </c>
      <c r="F1337" s="13">
        <f t="shared" si="478"/>
        <v>2.1361909662563683E-2</v>
      </c>
      <c r="G1337" s="18">
        <f t="shared" si="481"/>
        <v>6.1534153758242508E-3</v>
      </c>
      <c r="H1337" s="35">
        <f t="shared" si="482"/>
        <v>0.23802789576309549</v>
      </c>
      <c r="I1337" s="13">
        <f t="shared" ref="I1337:I1357" si="483">IF(D1337&lt;=12*SRP_Annuity_Gtee_Period,H1337,H1337*G1337)</f>
        <v>1.4646845136637239E-3</v>
      </c>
      <c r="J1337" s="13">
        <f t="shared" ref="J1337:J1357" si="484">((1+$D$79)^(-D1337/12))</f>
        <v>0.13994864697678502</v>
      </c>
      <c r="AA1337" s="106"/>
    </row>
    <row r="1338" spans="3:27">
      <c r="C1338" s="17">
        <f t="shared" si="479"/>
        <v>113</v>
      </c>
      <c r="D1338" s="13">
        <f t="shared" si="480"/>
        <v>642</v>
      </c>
      <c r="E1338" s="13">
        <f>VLOOKUP(C1338,'Mortality Table'!$A$5:$E$153,IF(SRP_Gender="female",5,4),FALSE)</f>
        <v>0.22827</v>
      </c>
      <c r="F1338" s="13">
        <f t="shared" ref="F1338:F1357" si="485">1-(1-E1338)^(1/12)</f>
        <v>2.1361909662563683E-2</v>
      </c>
      <c r="G1338" s="18">
        <f t="shared" si="481"/>
        <v>6.0219666724496629E-3</v>
      </c>
      <c r="H1338" s="35">
        <f t="shared" si="482"/>
        <v>0.23802789576309549</v>
      </c>
      <c r="I1338" s="13">
        <f t="shared" si="483"/>
        <v>1.4333960553986834E-3</v>
      </c>
      <c r="J1338" s="13">
        <f t="shared" si="484"/>
        <v>0.13951996606262082</v>
      </c>
      <c r="AA1338" s="106"/>
    </row>
    <row r="1339" spans="3:27">
      <c r="C1339" s="17">
        <f t="shared" ref="C1339:C1357" si="486">IF(MOD(D1339,12)=1,C1338+1,C1338)</f>
        <v>113</v>
      </c>
      <c r="D1339" s="13">
        <f t="shared" ref="D1339:D1357" si="487">D1338+1</f>
        <v>643</v>
      </c>
      <c r="E1339" s="13">
        <f>VLOOKUP(C1339,'Mortality Table'!$A$5:$E$153,IF(SRP_Gender="female",5,4),FALSE)</f>
        <v>0.22827</v>
      </c>
      <c r="F1339" s="13">
        <f t="shared" si="485"/>
        <v>2.1361909662563683E-2</v>
      </c>
      <c r="G1339" s="18">
        <f t="shared" ref="G1339:G1357" si="488">G1338*(1-F1338)</f>
        <v>5.8933259644018236E-3</v>
      </c>
      <c r="H1339" s="35">
        <f t="shared" ref="H1339:H1357" si="489">IF(MOD(D1339,12)=1,H1338*(1+$D$81),H1338)</f>
        <v>0.23802789576309549</v>
      </c>
      <c r="I1339" s="13">
        <f t="shared" si="483"/>
        <v>1.4027759783525814E-3</v>
      </c>
      <c r="J1339" s="13">
        <f t="shared" si="484"/>
        <v>0.1390925982538716</v>
      </c>
      <c r="AA1339" s="106"/>
    </row>
    <row r="1340" spans="3:27">
      <c r="C1340" s="17">
        <f t="shared" si="486"/>
        <v>113</v>
      </c>
      <c r="D1340" s="13">
        <f t="shared" si="487"/>
        <v>644</v>
      </c>
      <c r="E1340" s="13">
        <f>VLOOKUP(C1340,'Mortality Table'!$A$5:$E$153,IF(SRP_Gender="female",5,4),FALSE)</f>
        <v>0.22827</v>
      </c>
      <c r="F1340" s="13">
        <f t="shared" si="485"/>
        <v>2.1361909662563683E-2</v>
      </c>
      <c r="G1340" s="18">
        <f t="shared" si="488"/>
        <v>5.7674332675382309E-3</v>
      </c>
      <c r="H1340" s="35">
        <f t="shared" si="489"/>
        <v>0.23802789576309549</v>
      </c>
      <c r="I1340" s="13">
        <f t="shared" si="483"/>
        <v>1.3728100046261993E-3</v>
      </c>
      <c r="J1340" s="13">
        <f t="shared" si="484"/>
        <v>0.13866653952832472</v>
      </c>
      <c r="AA1340" s="106"/>
    </row>
    <row r="1341" spans="3:27">
      <c r="C1341" s="17">
        <f t="shared" si="486"/>
        <v>113</v>
      </c>
      <c r="D1341" s="13">
        <f t="shared" si="487"/>
        <v>645</v>
      </c>
      <c r="E1341" s="13">
        <f>VLOOKUP(C1341,'Mortality Table'!$A$5:$E$153,IF(SRP_Gender="female",5,4),FALSE)</f>
        <v>0.22827</v>
      </c>
      <c r="F1341" s="13">
        <f t="shared" si="485"/>
        <v>2.1361909662563683E-2</v>
      </c>
      <c r="G1341" s="18">
        <f t="shared" si="488"/>
        <v>5.6442298790922146E-3</v>
      </c>
      <c r="H1341" s="35">
        <f t="shared" si="489"/>
        <v>0.23802789576309549</v>
      </c>
      <c r="I1341" s="13">
        <f t="shared" si="483"/>
        <v>1.3434841613235108E-3</v>
      </c>
      <c r="J1341" s="13">
        <f t="shared" si="484"/>
        <v>0.1382417858760879</v>
      </c>
      <c r="AA1341" s="106"/>
    </row>
    <row r="1342" spans="3:27">
      <c r="C1342" s="17">
        <f t="shared" si="486"/>
        <v>113</v>
      </c>
      <c r="D1342" s="13">
        <f t="shared" si="487"/>
        <v>646</v>
      </c>
      <c r="E1342" s="13">
        <f>VLOOKUP(C1342,'Mortality Table'!$A$5:$E$153,IF(SRP_Gender="female",5,4),FALSE)</f>
        <v>0.22827</v>
      </c>
      <c r="F1342" s="13">
        <f t="shared" si="485"/>
        <v>2.1361909662563683E-2</v>
      </c>
      <c r="G1342" s="18">
        <f t="shared" si="488"/>
        <v>5.5236583503003043E-3</v>
      </c>
      <c r="H1342" s="35">
        <f t="shared" si="489"/>
        <v>0.23802789576309549</v>
      </c>
      <c r="I1342" s="13">
        <f t="shared" si="483"/>
        <v>1.3147847740362327E-3</v>
      </c>
      <c r="J1342" s="13">
        <f t="shared" si="484"/>
        <v>0.13781833329955184</v>
      </c>
      <c r="AA1342" s="106"/>
    </row>
    <row r="1343" spans="3:27">
      <c r="C1343" s="17">
        <f t="shared" si="486"/>
        <v>113</v>
      </c>
      <c r="D1343" s="13">
        <f t="shared" si="487"/>
        <v>647</v>
      </c>
      <c r="E1343" s="13">
        <f>VLOOKUP(C1343,'Mortality Table'!$A$5:$E$153,IF(SRP_Gender="female",5,4),FALSE)</f>
        <v>0.22827</v>
      </c>
      <c r="F1343" s="13">
        <f t="shared" si="485"/>
        <v>2.1361909662563683E-2</v>
      </c>
      <c r="G1343" s="18">
        <f t="shared" si="488"/>
        <v>5.4056624596143235E-3</v>
      </c>
      <c r="H1343" s="35">
        <f t="shared" si="489"/>
        <v>0.23802789576309549</v>
      </c>
      <c r="I1343" s="13">
        <f t="shared" si="483"/>
        <v>1.2866984604675566E-3</v>
      </c>
      <c r="J1343" s="13">
        <f t="shared" si="484"/>
        <v>0.13739617781335242</v>
      </c>
      <c r="AA1343" s="106"/>
    </row>
    <row r="1344" spans="3:27">
      <c r="C1344" s="17">
        <f t="shared" si="486"/>
        <v>113</v>
      </c>
      <c r="D1344" s="13">
        <f t="shared" si="487"/>
        <v>648</v>
      </c>
      <c r="E1344" s="13">
        <f>VLOOKUP(C1344,'Mortality Table'!$A$5:$E$153,IF(SRP_Gender="female",5,4),FALSE)</f>
        <v>0.22827</v>
      </c>
      <c r="F1344" s="13">
        <f t="shared" si="485"/>
        <v>2.1361909662563683E-2</v>
      </c>
      <c r="G1344" s="18">
        <f t="shared" si="488"/>
        <v>5.2901871864857305E-3</v>
      </c>
      <c r="H1344" s="35">
        <f t="shared" si="489"/>
        <v>0.23802789576309549</v>
      </c>
      <c r="I1344" s="13">
        <f t="shared" si="483"/>
        <v>1.2592121241920889E-3</v>
      </c>
      <c r="J1344" s="13">
        <f t="shared" si="484"/>
        <v>0.13697531544433295</v>
      </c>
      <c r="AA1344" s="106"/>
    </row>
    <row r="1345" spans="3:27">
      <c r="C1345" s="17">
        <f t="shared" si="486"/>
        <v>114</v>
      </c>
      <c r="D1345" s="13">
        <f t="shared" si="487"/>
        <v>649</v>
      </c>
      <c r="E1345" s="13">
        <f>VLOOKUP(C1345,'Mortality Table'!$A$5:$E$153,IF(SRP_Gender="female",5,4),FALSE)</f>
        <v>0.22827</v>
      </c>
      <c r="F1345" s="13">
        <f t="shared" si="485"/>
        <v>2.1361909662563683E-2</v>
      </c>
      <c r="G1345" s="18">
        <f t="shared" si="488"/>
        <v>5.1771786857099707E-3</v>
      </c>
      <c r="H1345" s="35">
        <f t="shared" si="489"/>
        <v>0.24278845367835741</v>
      </c>
      <c r="I1345" s="13">
        <f t="shared" si="483"/>
        <v>1.2569592075200745E-3</v>
      </c>
      <c r="J1345" s="13">
        <f t="shared" si="484"/>
        <v>0.13655574223150779</v>
      </c>
      <c r="AA1345" s="106"/>
    </row>
    <row r="1346" spans="3:27">
      <c r="C1346" s="17">
        <f t="shared" si="486"/>
        <v>114</v>
      </c>
      <c r="D1346" s="13">
        <f t="shared" si="487"/>
        <v>650</v>
      </c>
      <c r="E1346" s="13">
        <f>VLOOKUP(C1346,'Mortality Table'!$A$5:$E$153,IF(SRP_Gender="female",5,4),FALSE)</f>
        <v>0.22827</v>
      </c>
      <c r="F1346" s="13">
        <f t="shared" si="485"/>
        <v>2.1361909662563683E-2</v>
      </c>
      <c r="G1346" s="18">
        <f t="shared" si="488"/>
        <v>5.0665842623188843E-3</v>
      </c>
      <c r="H1346" s="35">
        <f t="shared" si="489"/>
        <v>0.24278845367835741</v>
      </c>
      <c r="I1346" s="13">
        <f t="shared" si="483"/>
        <v>1.2301081584795031E-3</v>
      </c>
      <c r="J1346" s="13">
        <f t="shared" si="484"/>
        <v>0.13613745422602333</v>
      </c>
      <c r="AA1346" s="106"/>
    </row>
    <row r="1347" spans="3:27">
      <c r="C1347" s="17">
        <f t="shared" si="486"/>
        <v>114</v>
      </c>
      <c r="D1347" s="13">
        <f t="shared" si="487"/>
        <v>651</v>
      </c>
      <c r="E1347" s="13">
        <f>VLOOKUP(C1347,'Mortality Table'!$A$5:$E$153,IF(SRP_Gender="female",5,4),FALSE)</f>
        <v>0.22827</v>
      </c>
      <c r="F1347" s="13">
        <f t="shared" si="485"/>
        <v>2.1361909662563683E-2</v>
      </c>
      <c r="G1347" s="18">
        <f t="shared" si="488"/>
        <v>4.9583523470094612E-3</v>
      </c>
      <c r="H1347" s="35">
        <f t="shared" si="489"/>
        <v>0.24278845367835741</v>
      </c>
      <c r="I1347" s="13">
        <f t="shared" si="483"/>
        <v>1.2038306991228812E-3</v>
      </c>
      <c r="J1347" s="13">
        <f t="shared" si="484"/>
        <v>0.13572044749112233</v>
      </c>
      <c r="AA1347" s="106"/>
    </row>
    <row r="1348" spans="3:27">
      <c r="C1348" s="17">
        <f t="shared" si="486"/>
        <v>114</v>
      </c>
      <c r="D1348" s="13">
        <f t="shared" si="487"/>
        <v>652</v>
      </c>
      <c r="E1348" s="13">
        <f>VLOOKUP(C1348,'Mortality Table'!$A$5:$E$153,IF(SRP_Gender="female",5,4),FALSE)</f>
        <v>0.22827</v>
      </c>
      <c r="F1348" s="13">
        <f t="shared" si="485"/>
        <v>2.1361909662563683E-2</v>
      </c>
      <c r="G1348" s="18">
        <f t="shared" si="488"/>
        <v>4.8524324720974846E-3</v>
      </c>
      <c r="H1348" s="35">
        <f t="shared" si="489"/>
        <v>0.24278845367835741</v>
      </c>
      <c r="I1348" s="13">
        <f t="shared" si="483"/>
        <v>1.1781145764791976E-3</v>
      </c>
      <c r="J1348" s="13">
        <f t="shared" si="484"/>
        <v>0.13530471810210637</v>
      </c>
      <c r="AA1348" s="106"/>
    </row>
    <row r="1349" spans="3:27">
      <c r="C1349" s="17">
        <f t="shared" si="486"/>
        <v>114</v>
      </c>
      <c r="D1349" s="13">
        <f t="shared" si="487"/>
        <v>653</v>
      </c>
      <c r="E1349" s="13">
        <f>VLOOKUP(C1349,'Mortality Table'!$A$5:$E$153,IF(SRP_Gender="female",5,4),FALSE)</f>
        <v>0.22827</v>
      </c>
      <c r="F1349" s="13">
        <f t="shared" si="485"/>
        <v>2.1361909662563683E-2</v>
      </c>
      <c r="G1349" s="18">
        <f t="shared" si="488"/>
        <v>4.7487752479848473E-3</v>
      </c>
      <c r="H1349" s="35">
        <f t="shared" si="489"/>
        <v>0.24278845367835741</v>
      </c>
      <c r="I1349" s="13">
        <f t="shared" si="483"/>
        <v>1.1529477993242993E-3</v>
      </c>
      <c r="J1349" s="13">
        <f t="shared" si="484"/>
        <v>0.13489026214629882</v>
      </c>
      <c r="AA1349" s="106"/>
    </row>
    <row r="1350" spans="3:27">
      <c r="C1350" s="17">
        <f t="shared" si="486"/>
        <v>114</v>
      </c>
      <c r="D1350" s="13">
        <f t="shared" si="487"/>
        <v>654</v>
      </c>
      <c r="E1350" s="13">
        <f>VLOOKUP(C1350,'Mortality Table'!$A$5:$E$153,IF(SRP_Gender="female",5,4),FALSE)</f>
        <v>0.22827</v>
      </c>
      <c r="F1350" s="13">
        <f t="shared" si="485"/>
        <v>2.1361909662563683E-2</v>
      </c>
      <c r="G1350" s="18">
        <f t="shared" si="488"/>
        <v>4.647332340129577E-3</v>
      </c>
      <c r="H1350" s="35">
        <f t="shared" si="489"/>
        <v>0.24278845367835741</v>
      </c>
      <c r="I1350" s="13">
        <f t="shared" si="483"/>
        <v>1.1283186325894822E-3</v>
      </c>
      <c r="J1350" s="13">
        <f t="shared" si="484"/>
        <v>0.13447707572300799</v>
      </c>
      <c r="AA1350" s="106"/>
    </row>
    <row r="1351" spans="3:27">
      <c r="C1351" s="17">
        <f t="shared" si="486"/>
        <v>114</v>
      </c>
      <c r="D1351" s="13">
        <f t="shared" si="487"/>
        <v>655</v>
      </c>
      <c r="E1351" s="13">
        <f>VLOOKUP(C1351,'Mortality Table'!$A$5:$E$153,IF(SRP_Gender="female",5,4),FALSE)</f>
        <v>0.22827</v>
      </c>
      <c r="F1351" s="13">
        <f t="shared" si="485"/>
        <v>2.1361909662563683E-2</v>
      </c>
      <c r="G1351" s="18">
        <f t="shared" si="488"/>
        <v>4.5480564465078185E-3</v>
      </c>
      <c r="H1351" s="35">
        <f t="shared" si="489"/>
        <v>0.24278845367835741</v>
      </c>
      <c r="I1351" s="13">
        <f t="shared" si="483"/>
        <v>1.1042155918895183E-3</v>
      </c>
      <c r="J1351" s="13">
        <f t="shared" si="484"/>
        <v>0.13406515494349067</v>
      </c>
      <c r="AA1351" s="106"/>
    </row>
    <row r="1352" spans="3:27">
      <c r="C1352" s="17">
        <f t="shared" si="486"/>
        <v>114</v>
      </c>
      <c r="D1352" s="13">
        <f t="shared" si="487"/>
        <v>656</v>
      </c>
      <c r="E1352" s="13">
        <f>VLOOKUP(C1352,'Mortality Table'!$A$5:$E$153,IF(SRP_Gender="female",5,4),FALSE)</f>
        <v>0.22827</v>
      </c>
      <c r="F1352" s="13">
        <f t="shared" si="485"/>
        <v>2.1361909662563683E-2</v>
      </c>
      <c r="G1352" s="18">
        <f t="shared" si="488"/>
        <v>4.4509012755572785E-3</v>
      </c>
      <c r="H1352" s="35">
        <f t="shared" si="489"/>
        <v>0.24278845367835741</v>
      </c>
      <c r="I1352" s="13">
        <f t="shared" si="483"/>
        <v>1.0806274381675801E-3</v>
      </c>
      <c r="J1352" s="13">
        <f t="shared" si="484"/>
        <v>0.13365449593091538</v>
      </c>
      <c r="AA1352" s="106"/>
    </row>
    <row r="1353" spans="3:27">
      <c r="C1353" s="17">
        <f t="shared" si="486"/>
        <v>114</v>
      </c>
      <c r="D1353" s="13">
        <f t="shared" si="487"/>
        <v>657</v>
      </c>
      <c r="E1353" s="13">
        <f>VLOOKUP(C1353,'Mortality Table'!$A$5:$E$153,IF(SRP_Gender="female",5,4),FALSE)</f>
        <v>0.22827</v>
      </c>
      <c r="F1353" s="13">
        <f t="shared" si="485"/>
        <v>2.1361909662563683E-2</v>
      </c>
      <c r="G1353" s="18">
        <f t="shared" si="488"/>
        <v>4.3558215245918346E-3</v>
      </c>
      <c r="H1353" s="35">
        <f t="shared" si="489"/>
        <v>0.24278845367835741</v>
      </c>
      <c r="I1353" s="13">
        <f t="shared" si="483"/>
        <v>1.0575431724545567E-3</v>
      </c>
      <c r="J1353" s="13">
        <f t="shared" si="484"/>
        <v>0.13324509482032565</v>
      </c>
      <c r="AA1353" s="106"/>
    </row>
    <row r="1354" spans="3:27">
      <c r="C1354" s="17">
        <f t="shared" si="486"/>
        <v>114</v>
      </c>
      <c r="D1354" s="13">
        <f t="shared" si="487"/>
        <v>658</v>
      </c>
      <c r="E1354" s="13">
        <f>VLOOKUP(C1354,'Mortality Table'!$A$5:$E$153,IF(SRP_Gender="female",5,4),FALSE)</f>
        <v>0.22827</v>
      </c>
      <c r="F1354" s="13">
        <f t="shared" si="485"/>
        <v>2.1361909662563683E-2</v>
      </c>
      <c r="G1354" s="18">
        <f t="shared" si="488"/>
        <v>4.2627728586772532E-3</v>
      </c>
      <c r="H1354" s="35">
        <f t="shared" si="489"/>
        <v>0.24278845367835741</v>
      </c>
      <c r="I1354" s="13">
        <f t="shared" si="483"/>
        <v>1.0349520307403215E-3</v>
      </c>
      <c r="J1354" s="13">
        <f t="shared" si="484"/>
        <v>0.13283694775860419</v>
      </c>
      <c r="AA1354" s="106"/>
    </row>
    <row r="1355" spans="3:27">
      <c r="C1355" s="17">
        <f t="shared" si="486"/>
        <v>114</v>
      </c>
      <c r="D1355" s="13">
        <f t="shared" si="487"/>
        <v>659</v>
      </c>
      <c r="E1355" s="13">
        <f>VLOOKUP(C1355,'Mortality Table'!$A$5:$E$153,IF(SRP_Gender="female",5,4),FALSE)</f>
        <v>0.22827</v>
      </c>
      <c r="F1355" s="13">
        <f t="shared" si="485"/>
        <v>2.1361909662563683E-2</v>
      </c>
      <c r="G1355" s="18">
        <f t="shared" si="488"/>
        <v>4.1717118899581617E-3</v>
      </c>
      <c r="H1355" s="35">
        <f t="shared" si="489"/>
        <v>0.24278845367835741</v>
      </c>
      <c r="I1355" s="13">
        <f t="shared" si="483"/>
        <v>1.0128434789545601E-3</v>
      </c>
      <c r="J1355" s="13">
        <f t="shared" si="484"/>
        <v>0.13243005090443605</v>
      </c>
      <c r="AA1355" s="106"/>
    </row>
    <row r="1356" spans="3:27">
      <c r="C1356" s="17">
        <f t="shared" si="486"/>
        <v>114</v>
      </c>
      <c r="D1356" s="13">
        <f t="shared" si="487"/>
        <v>660</v>
      </c>
      <c r="E1356" s="13">
        <f>VLOOKUP(C1356,'Mortality Table'!$A$5:$E$153,IF(SRP_Gender="female",5,4),FALSE)</f>
        <v>0.22827</v>
      </c>
      <c r="F1356" s="13">
        <f t="shared" si="485"/>
        <v>2.1361909662563683E-2</v>
      </c>
      <c r="G1356" s="18">
        <f t="shared" si="488"/>
        <v>4.0825961574266325E-3</v>
      </c>
      <c r="H1356" s="35">
        <f t="shared" si="489"/>
        <v>0.24278845367835741</v>
      </c>
      <c r="I1356" s="13">
        <f t="shared" si="483"/>
        <v>9.9120720805481602E-4</v>
      </c>
      <c r="J1356" s="13">
        <f t="shared" si="484"/>
        <v>0.13202440042827268</v>
      </c>
      <c r="AA1356" s="106"/>
    </row>
    <row r="1357" spans="3:27">
      <c r="C1357" s="17">
        <f t="shared" si="486"/>
        <v>115</v>
      </c>
      <c r="D1357" s="13">
        <f t="shared" si="487"/>
        <v>661</v>
      </c>
      <c r="E1357" s="13">
        <f>VLOOKUP(C1357,'Mortality Table'!$A$5:$E$153,IF(SRP_Gender="female",5,4),FALSE)</f>
        <v>0.22827</v>
      </c>
      <c r="F1357" s="13">
        <f t="shared" si="485"/>
        <v>2.1361909662563683E-2</v>
      </c>
      <c r="G1357" s="18">
        <f t="shared" si="488"/>
        <v>3.9953841071229549E-3</v>
      </c>
      <c r="H1357" s="35">
        <f t="shared" si="489"/>
        <v>0.24764422275192458</v>
      </c>
      <c r="I1357" s="13">
        <f t="shared" si="483"/>
        <v>9.8943379180385627E-4</v>
      </c>
      <c r="J1357" s="13">
        <f t="shared" si="484"/>
        <v>0.13161999251229664</v>
      </c>
      <c r="AA1357" s="106"/>
    </row>
    <row r="1358" spans="3:27">
      <c r="C1358" s="4"/>
    </row>
    <row r="1359" spans="3:27">
      <c r="C1359" s="4"/>
    </row>
    <row r="1360" spans="3:27">
      <c r="C1360" s="4"/>
    </row>
    <row r="1361" spans="3:3">
      <c r="C1361" s="4"/>
    </row>
    <row r="1362" spans="3:3">
      <c r="C1362" s="4"/>
    </row>
    <row r="1363" spans="3:3">
      <c r="C1363" s="4"/>
    </row>
    <row r="1364" spans="3:3">
      <c r="C1364" s="4"/>
    </row>
    <row r="1365" spans="3:3">
      <c r="C1365" s="4"/>
    </row>
    <row r="1366" spans="3:3">
      <c r="C1366" s="4"/>
    </row>
    <row r="1367" spans="3:3">
      <c r="C1367" s="4"/>
    </row>
    <row r="1368" spans="3:3">
      <c r="C1368" s="4"/>
    </row>
    <row r="1369" spans="3:3">
      <c r="C1369" s="4"/>
    </row>
    <row r="1370" spans="3:3">
      <c r="C1370" s="4"/>
    </row>
    <row r="1371" spans="3:3">
      <c r="C1371" s="4"/>
    </row>
    <row r="1372" spans="3:3">
      <c r="C1372" s="4"/>
    </row>
    <row r="1373" spans="3:3">
      <c r="C1373" s="4"/>
    </row>
    <row r="1374" spans="3:3">
      <c r="C1374" s="4"/>
    </row>
    <row r="1375" spans="3:3">
      <c r="C1375" s="4"/>
    </row>
    <row r="1376" spans="3:3">
      <c r="C1376" s="4"/>
    </row>
    <row r="1377" spans="3:3">
      <c r="C1377" s="4"/>
    </row>
    <row r="1378" spans="3:3">
      <c r="C1378" s="4"/>
    </row>
    <row r="1379" spans="3:3">
      <c r="C1379" s="4"/>
    </row>
    <row r="1380" spans="3:3">
      <c r="C1380" s="4"/>
    </row>
    <row r="1381" spans="3:3">
      <c r="C1381" s="4"/>
    </row>
    <row r="1382" spans="3:3">
      <c r="C1382" s="4"/>
    </row>
    <row r="1383" spans="3:3">
      <c r="C1383" s="4"/>
    </row>
    <row r="1384" spans="3:3">
      <c r="C1384" s="4"/>
    </row>
    <row r="1385" spans="3:3">
      <c r="C1385" s="4"/>
    </row>
    <row r="1386" spans="3:3">
      <c r="C1386" s="4"/>
    </row>
    <row r="1387" spans="3:3">
      <c r="C1387" s="4"/>
    </row>
    <row r="1388" spans="3:3">
      <c r="C1388" s="4"/>
    </row>
    <row r="1389" spans="3:3">
      <c r="C1389" s="4"/>
    </row>
    <row r="1390" spans="3:3">
      <c r="C1390" s="4"/>
    </row>
    <row r="1391" spans="3:3">
      <c r="C1391" s="4"/>
    </row>
    <row r="1392" spans="3:3">
      <c r="C1392" s="4"/>
    </row>
    <row r="1393" spans="3:3">
      <c r="C1393" s="4"/>
    </row>
    <row r="1394" spans="3:3">
      <c r="C1394" s="4"/>
    </row>
    <row r="1395" spans="3:3">
      <c r="C1395" s="4"/>
    </row>
    <row r="1396" spans="3:3">
      <c r="C1396" s="4"/>
    </row>
    <row r="1397" spans="3:3">
      <c r="C1397" s="4"/>
    </row>
    <row r="1398" spans="3:3">
      <c r="C1398" s="4"/>
    </row>
    <row r="1399" spans="3:3">
      <c r="C1399" s="4"/>
    </row>
    <row r="1400" spans="3:3">
      <c r="C1400" s="4"/>
    </row>
    <row r="1401" spans="3:3">
      <c r="C1401" s="4"/>
    </row>
    <row r="1402" spans="3:3">
      <c r="C1402" s="4"/>
    </row>
    <row r="1403" spans="3:3">
      <c r="C1403" s="4"/>
    </row>
    <row r="1404" spans="3:3">
      <c r="C1404" s="4"/>
    </row>
    <row r="1405" spans="3:3">
      <c r="C1405" s="4"/>
    </row>
    <row r="1406" spans="3:3">
      <c r="C1406" s="4"/>
    </row>
    <row r="1407" spans="3:3">
      <c r="C1407" s="4"/>
    </row>
    <row r="1408" spans="3:3">
      <c r="C1408" s="4"/>
    </row>
    <row r="1409" spans="3:3">
      <c r="C1409" s="4"/>
    </row>
    <row r="1410" spans="3:3">
      <c r="C1410" s="4"/>
    </row>
    <row r="1411" spans="3:3">
      <c r="C1411" s="4"/>
    </row>
    <row r="1412" spans="3:3">
      <c r="C1412" s="4"/>
    </row>
    <row r="1413" spans="3:3">
      <c r="C1413" s="4"/>
    </row>
    <row r="1414" spans="3:3">
      <c r="C1414" s="4"/>
    </row>
    <row r="1415" spans="3:3">
      <c r="C1415" s="4"/>
    </row>
    <row r="1416" spans="3:3">
      <c r="C1416" s="4"/>
    </row>
    <row r="1417" spans="3:3">
      <c r="C1417" s="4"/>
    </row>
    <row r="1418" spans="3:3">
      <c r="C1418" s="4"/>
    </row>
    <row r="1419" spans="3:3">
      <c r="C1419" s="4"/>
    </row>
    <row r="1420" spans="3:3">
      <c r="C1420" s="4"/>
    </row>
    <row r="1421" spans="3:3">
      <c r="C1421" s="4"/>
    </row>
    <row r="1422" spans="3:3">
      <c r="C1422" s="4"/>
    </row>
    <row r="1423" spans="3:3">
      <c r="C1423" s="4"/>
    </row>
    <row r="1424" spans="3:3">
      <c r="C1424" s="4"/>
    </row>
    <row r="1425" spans="3:3">
      <c r="C1425" s="4"/>
    </row>
    <row r="1426" spans="3:3">
      <c r="C1426" s="4"/>
    </row>
    <row r="1427" spans="3:3">
      <c r="C1427" s="4"/>
    </row>
    <row r="1428" spans="3:3">
      <c r="C1428" s="4"/>
    </row>
    <row r="1429" spans="3:3">
      <c r="C1429" s="4"/>
    </row>
    <row r="1430" spans="3:3">
      <c r="C1430" s="4"/>
    </row>
    <row r="1431" spans="3:3">
      <c r="C1431" s="4"/>
    </row>
    <row r="1432" spans="3:3">
      <c r="C1432" s="4"/>
    </row>
    <row r="1433" spans="3:3">
      <c r="C1433" s="4"/>
    </row>
    <row r="1434" spans="3:3">
      <c r="C1434" s="4"/>
    </row>
    <row r="1435" spans="3:3">
      <c r="C1435" s="4"/>
    </row>
    <row r="1436" spans="3:3">
      <c r="C1436" s="4"/>
    </row>
    <row r="1437" spans="3:3">
      <c r="C1437" s="4"/>
    </row>
    <row r="1438" spans="3:3">
      <c r="C1438" s="4"/>
    </row>
    <row r="1439" spans="3:3">
      <c r="C1439" s="4"/>
    </row>
    <row r="1440" spans="3:3">
      <c r="C1440" s="4"/>
    </row>
    <row r="1441" spans="3:3">
      <c r="C1441" s="4"/>
    </row>
    <row r="1442" spans="3:3">
      <c r="C1442" s="4"/>
    </row>
    <row r="1443" spans="3:3">
      <c r="C1443" s="4"/>
    </row>
    <row r="1444" spans="3:3">
      <c r="C1444" s="4"/>
    </row>
    <row r="1445" spans="3:3">
      <c r="C1445" s="4"/>
    </row>
    <row r="1446" spans="3:3">
      <c r="C1446" s="4"/>
    </row>
    <row r="1447" spans="3:3">
      <c r="C1447" s="4"/>
    </row>
    <row r="1448" spans="3:3">
      <c r="C1448" s="4"/>
    </row>
    <row r="1449" spans="3:3">
      <c r="C1449" s="4"/>
    </row>
    <row r="1450" spans="3:3">
      <c r="C1450" s="4"/>
    </row>
    <row r="1451" spans="3:3">
      <c r="C1451" s="4"/>
    </row>
    <row r="1452" spans="3:3">
      <c r="C1452" s="4"/>
    </row>
    <row r="1453" spans="3:3">
      <c r="C1453" s="4"/>
    </row>
    <row r="1454" spans="3:3">
      <c r="C1454" s="4"/>
    </row>
    <row r="1455" spans="3:3">
      <c r="C1455" s="4"/>
    </row>
    <row r="1456" spans="3:3">
      <c r="C1456" s="4"/>
    </row>
    <row r="1457" spans="3:3">
      <c r="C1457" s="4"/>
    </row>
    <row r="1458" spans="3:3">
      <c r="C1458" s="4"/>
    </row>
    <row r="1459" spans="3:3">
      <c r="C1459" s="4"/>
    </row>
    <row r="1460" spans="3:3">
      <c r="C1460" s="4"/>
    </row>
    <row r="1461" spans="3:3">
      <c r="C1461" s="4"/>
    </row>
    <row r="1462" spans="3:3">
      <c r="C1462" s="4"/>
    </row>
    <row r="1463" spans="3:3">
      <c r="C1463" s="4"/>
    </row>
    <row r="1464" spans="3:3">
      <c r="C1464" s="4"/>
    </row>
    <row r="1465" spans="3:3">
      <c r="C1465" s="4"/>
    </row>
    <row r="1466" spans="3:3">
      <c r="C1466" s="4"/>
    </row>
    <row r="1467" spans="3:3">
      <c r="C1467" s="4"/>
    </row>
    <row r="1468" spans="3:3">
      <c r="C1468" s="4"/>
    </row>
    <row r="1469" spans="3:3">
      <c r="C1469" s="4"/>
    </row>
    <row r="1470" spans="3:3">
      <c r="C1470" s="4"/>
    </row>
    <row r="1471" spans="3:3">
      <c r="C1471" s="4"/>
    </row>
    <row r="1472" spans="3:3">
      <c r="C1472" s="4"/>
    </row>
    <row r="1473" spans="3:3">
      <c r="C1473" s="4"/>
    </row>
    <row r="1474" spans="3:3">
      <c r="C1474" s="4"/>
    </row>
    <row r="1475" spans="3:3">
      <c r="C1475" s="4"/>
    </row>
    <row r="1476" spans="3:3">
      <c r="C1476" s="4"/>
    </row>
    <row r="1477" spans="3:3">
      <c r="C1477" s="4"/>
    </row>
    <row r="1478" spans="3:3">
      <c r="C1478" s="4"/>
    </row>
    <row r="1479" spans="3:3">
      <c r="C1479" s="4"/>
    </row>
    <row r="1480" spans="3:3">
      <c r="C1480" s="4"/>
    </row>
    <row r="1481" spans="3:3">
      <c r="C1481" s="4"/>
    </row>
    <row r="1482" spans="3:3">
      <c r="C1482" s="4"/>
    </row>
    <row r="1483" spans="3:3">
      <c r="C1483" s="4"/>
    </row>
    <row r="1484" spans="3:3">
      <c r="C1484" s="4"/>
    </row>
    <row r="1485" spans="3:3">
      <c r="C1485" s="4"/>
    </row>
    <row r="1486" spans="3:3">
      <c r="C1486" s="4"/>
    </row>
    <row r="1487" spans="3:3">
      <c r="C1487" s="4"/>
    </row>
    <row r="1488" spans="3:3">
      <c r="C1488" s="4"/>
    </row>
    <row r="1489" spans="3:3">
      <c r="C1489" s="4"/>
    </row>
    <row r="1490" spans="3:3">
      <c r="C1490" s="4"/>
    </row>
    <row r="1491" spans="3:3">
      <c r="C1491" s="4"/>
    </row>
    <row r="1492" spans="3:3">
      <c r="C1492" s="4"/>
    </row>
    <row r="1493" spans="3:3">
      <c r="C1493" s="4"/>
    </row>
    <row r="1494" spans="3:3">
      <c r="C1494" s="4"/>
    </row>
    <row r="1495" spans="3:3">
      <c r="C1495" s="4"/>
    </row>
    <row r="1496" spans="3:3">
      <c r="C1496" s="4"/>
    </row>
    <row r="1497" spans="3:3">
      <c r="C1497" s="4"/>
    </row>
    <row r="1498" spans="3:3">
      <c r="C1498" s="4"/>
    </row>
    <row r="1499" spans="3:3">
      <c r="C1499" s="4"/>
    </row>
    <row r="1500" spans="3:3">
      <c r="C1500" s="4"/>
    </row>
    <row r="1501" spans="3:3">
      <c r="C1501" s="4"/>
    </row>
    <row r="1502" spans="3:3">
      <c r="C1502" s="4"/>
    </row>
    <row r="1503" spans="3:3">
      <c r="C1503" s="4"/>
    </row>
    <row r="1504" spans="3:3">
      <c r="C1504" s="4"/>
    </row>
    <row r="1505" spans="3:3">
      <c r="C1505" s="4"/>
    </row>
    <row r="1506" spans="3:3">
      <c r="C1506" s="4"/>
    </row>
    <row r="1507" spans="3:3">
      <c r="C1507" s="4"/>
    </row>
    <row r="1508" spans="3:3">
      <c r="C1508" s="4"/>
    </row>
    <row r="1509" spans="3:3">
      <c r="C1509" s="4"/>
    </row>
    <row r="1510" spans="3:3">
      <c r="C1510" s="4"/>
    </row>
    <row r="1511" spans="3:3">
      <c r="C1511" s="4"/>
    </row>
    <row r="1512" spans="3:3">
      <c r="C1512" s="4"/>
    </row>
    <row r="1513" spans="3:3">
      <c r="C1513" s="4"/>
    </row>
    <row r="1514" spans="3:3">
      <c r="C1514" s="4"/>
    </row>
    <row r="1515" spans="3:3">
      <c r="C1515" s="4"/>
    </row>
    <row r="1516" spans="3:3">
      <c r="C1516" s="4"/>
    </row>
    <row r="1517" spans="3:3">
      <c r="C1517" s="4"/>
    </row>
    <row r="1518" spans="3:3">
      <c r="C1518" s="4"/>
    </row>
    <row r="1519" spans="3:3">
      <c r="C1519" s="4"/>
    </row>
    <row r="1520" spans="3:3">
      <c r="C1520" s="4"/>
    </row>
    <row r="1521" spans="3:3">
      <c r="C1521" s="4"/>
    </row>
    <row r="1522" spans="3:3">
      <c r="C1522" s="4"/>
    </row>
    <row r="1523" spans="3:3">
      <c r="C1523" s="4"/>
    </row>
    <row r="1524" spans="3:3">
      <c r="C1524" s="4"/>
    </row>
    <row r="1525" spans="3:3">
      <c r="C1525" s="4"/>
    </row>
    <row r="1526" spans="3:3">
      <c r="C1526" s="4"/>
    </row>
    <row r="1527" spans="3:3">
      <c r="C1527" s="4"/>
    </row>
    <row r="1528" spans="3:3">
      <c r="C1528" s="4"/>
    </row>
    <row r="1529" spans="3:3">
      <c r="C1529" s="4"/>
    </row>
    <row r="1530" spans="3:3">
      <c r="C1530" s="4"/>
    </row>
    <row r="1531" spans="3:3">
      <c r="C1531" s="4"/>
    </row>
    <row r="1532" spans="3:3">
      <c r="C1532" s="4"/>
    </row>
    <row r="1533" spans="3:3">
      <c r="C1533" s="4"/>
    </row>
    <row r="1534" spans="3:3">
      <c r="C1534" s="4"/>
    </row>
    <row r="1535" spans="3:3">
      <c r="C1535" s="4"/>
    </row>
    <row r="1536" spans="3:3">
      <c r="C1536" s="4"/>
    </row>
    <row r="1537" spans="3:3">
      <c r="C1537" s="4"/>
    </row>
    <row r="1538" spans="3:3">
      <c r="C1538" s="4"/>
    </row>
    <row r="1539" spans="3:3">
      <c r="C1539" s="4"/>
    </row>
    <row r="1540" spans="3:3">
      <c r="C1540" s="4"/>
    </row>
    <row r="1541" spans="3:3">
      <c r="C1541" s="4"/>
    </row>
    <row r="1542" spans="3:3">
      <c r="C1542" s="4"/>
    </row>
    <row r="1543" spans="3:3">
      <c r="C1543" s="4"/>
    </row>
    <row r="1544" spans="3:3">
      <c r="C1544" s="4"/>
    </row>
    <row r="1545" spans="3:3">
      <c r="C1545" s="4"/>
    </row>
    <row r="1546" spans="3:3">
      <c r="C1546" s="4"/>
    </row>
    <row r="1547" spans="3:3">
      <c r="C1547" s="4"/>
    </row>
    <row r="1548" spans="3:3">
      <c r="C1548" s="4"/>
    </row>
    <row r="1549" spans="3:3">
      <c r="C1549" s="4"/>
    </row>
    <row r="1550" spans="3:3">
      <c r="C1550" s="4"/>
    </row>
    <row r="1551" spans="3:3">
      <c r="C1551" s="4"/>
    </row>
    <row r="1552" spans="3:3">
      <c r="C1552" s="4"/>
    </row>
    <row r="1553" spans="3:3">
      <c r="C1553" s="4"/>
    </row>
    <row r="1554" spans="3:3">
      <c r="C1554" s="4"/>
    </row>
    <row r="1555" spans="3:3">
      <c r="C1555" s="4"/>
    </row>
    <row r="1556" spans="3:3">
      <c r="C1556" s="4"/>
    </row>
    <row r="1557" spans="3:3">
      <c r="C1557" s="4"/>
    </row>
    <row r="1558" spans="3:3">
      <c r="C1558" s="4"/>
    </row>
    <row r="1559" spans="3:3">
      <c r="C1559" s="4"/>
    </row>
    <row r="1560" spans="3:3">
      <c r="C1560" s="4"/>
    </row>
    <row r="1561" spans="3:3">
      <c r="C1561" s="4"/>
    </row>
    <row r="1562" spans="3:3">
      <c r="C1562" s="4"/>
    </row>
    <row r="1563" spans="3:3">
      <c r="C1563" s="4"/>
    </row>
    <row r="1564" spans="3:3">
      <c r="C1564" s="4"/>
    </row>
    <row r="1565" spans="3:3">
      <c r="C1565" s="4"/>
    </row>
    <row r="1566" spans="3:3">
      <c r="C1566" s="4"/>
    </row>
    <row r="1567" spans="3:3">
      <c r="C1567" s="4"/>
    </row>
    <row r="1568" spans="3:3">
      <c r="C1568" s="4"/>
    </row>
    <row r="1569" spans="3:3">
      <c r="C1569" s="4"/>
    </row>
    <row r="1570" spans="3:3">
      <c r="C1570" s="4"/>
    </row>
    <row r="1571" spans="3:3">
      <c r="C1571" s="4"/>
    </row>
    <row r="1572" spans="3:3">
      <c r="C1572" s="4"/>
    </row>
    <row r="1573" spans="3:3">
      <c r="C1573" s="4"/>
    </row>
    <row r="1574" spans="3:3">
      <c r="C1574" s="4"/>
    </row>
    <row r="1575" spans="3:3">
      <c r="C1575" s="4"/>
    </row>
    <row r="1576" spans="3:3">
      <c r="C1576" s="4"/>
    </row>
    <row r="1577" spans="3:3">
      <c r="C1577" s="4"/>
    </row>
    <row r="1578" spans="3:3">
      <c r="C1578" s="4"/>
    </row>
    <row r="1579" spans="3:3">
      <c r="C1579" s="4"/>
    </row>
    <row r="1580" spans="3:3">
      <c r="C1580" s="4"/>
    </row>
    <row r="1581" spans="3:3">
      <c r="C1581" s="4"/>
    </row>
    <row r="1582" spans="3:3">
      <c r="C1582" s="4"/>
    </row>
    <row r="1583" spans="3:3">
      <c r="C1583" s="4"/>
    </row>
    <row r="1584" spans="3:3">
      <c r="C1584" s="4"/>
    </row>
    <row r="1585" spans="3:3">
      <c r="C1585" s="4"/>
    </row>
    <row r="1586" spans="3:3">
      <c r="C1586" s="4"/>
    </row>
    <row r="1587" spans="3:3">
      <c r="C1587" s="4"/>
    </row>
    <row r="1588" spans="3:3">
      <c r="C1588" s="4"/>
    </row>
    <row r="1589" spans="3:3">
      <c r="C1589" s="4"/>
    </row>
    <row r="1590" spans="3:3">
      <c r="C1590" s="4"/>
    </row>
    <row r="1591" spans="3:3">
      <c r="C1591" s="4"/>
    </row>
    <row r="1592" spans="3:3">
      <c r="C1592" s="4"/>
    </row>
    <row r="1593" spans="3:3">
      <c r="C1593" s="4"/>
    </row>
    <row r="1594" spans="3:3">
      <c r="C1594" s="4"/>
    </row>
    <row r="1595" spans="3:3">
      <c r="C1595" s="4"/>
    </row>
    <row r="1596" spans="3:3">
      <c r="C1596" s="4"/>
    </row>
    <row r="1597" spans="3:3">
      <c r="C1597" s="4"/>
    </row>
    <row r="1598" spans="3:3">
      <c r="C1598" s="4"/>
    </row>
    <row r="1599" spans="3:3">
      <c r="C1599" s="4"/>
    </row>
    <row r="1600" spans="3:3">
      <c r="C1600" s="4"/>
    </row>
    <row r="1601" spans="3:3">
      <c r="C1601" s="4"/>
    </row>
    <row r="1602" spans="3:3">
      <c r="C1602" s="4"/>
    </row>
    <row r="1603" spans="3:3">
      <c r="C1603" s="4"/>
    </row>
    <row r="1604" spans="3:3">
      <c r="C1604" s="4"/>
    </row>
    <row r="1605" spans="3:3">
      <c r="C1605" s="4"/>
    </row>
    <row r="1606" spans="3:3">
      <c r="C1606" s="4"/>
    </row>
    <row r="1607" spans="3:3">
      <c r="C1607" s="4"/>
    </row>
    <row r="1608" spans="3:3">
      <c r="C1608" s="4"/>
    </row>
    <row r="1609" spans="3:3">
      <c r="C1609" s="4"/>
    </row>
    <row r="1610" spans="3:3">
      <c r="C1610" s="4"/>
    </row>
    <row r="1611" spans="3:3">
      <c r="C1611" s="4"/>
    </row>
    <row r="1612" spans="3:3">
      <c r="C1612" s="4"/>
    </row>
    <row r="1613" spans="3:3">
      <c r="C1613" s="4"/>
    </row>
    <row r="1614" spans="3:3">
      <c r="C1614" s="4"/>
    </row>
    <row r="1615" spans="3:3">
      <c r="C1615" s="4"/>
    </row>
    <row r="1616" spans="3:3">
      <c r="C1616" s="4"/>
    </row>
    <row r="1617" spans="3:3">
      <c r="C1617" s="4"/>
    </row>
    <row r="1618" spans="3:3">
      <c r="C1618" s="4"/>
    </row>
    <row r="1619" spans="3:3">
      <c r="C1619" s="4"/>
    </row>
    <row r="1620" spans="3:3">
      <c r="C1620" s="4"/>
    </row>
    <row r="1621" spans="3:3">
      <c r="C1621" s="4"/>
    </row>
    <row r="1622" spans="3:3">
      <c r="C1622" s="4"/>
    </row>
  </sheetData>
  <mergeCells count="9">
    <mergeCell ref="F1:O2"/>
    <mergeCell ref="B10:C10"/>
    <mergeCell ref="C50:G50"/>
    <mergeCell ref="C18:C19"/>
    <mergeCell ref="I18:I19"/>
    <mergeCell ref="C35:G35"/>
    <mergeCell ref="C40:G40"/>
    <mergeCell ref="C45:G45"/>
    <mergeCell ref="B11:C12"/>
  </mergeCells>
  <conditionalFormatting sqref="B10:C10">
    <cfRule type="containsText" dxfId="2" priority="2" operator="containsText" text="Product Type and Sub Category 1 are consistent">
      <formula>NOT(ISERROR(SEARCH("Product Type and Sub Category 1 are consistent",B10)))</formula>
    </cfRule>
    <cfRule type="containsText" dxfId="1" priority="4" operator="containsText" text="Error">
      <formula>NOT(ISERROR(SEARCH("Error",B10)))</formula>
    </cfRule>
  </conditionalFormatting>
  <conditionalFormatting sqref="F1:O2">
    <cfRule type="containsText" dxfId="0" priority="1" operator="containsText" text="Total Fund Percents not equal to 100% For DIY Investment Strategy">
      <formula>NOT(ISERROR(SEARCH("Total Fund Percents not equal to 100% For DIY Investment Strategy",F1)))</formula>
    </cfRule>
  </conditionalFormatting>
  <dataValidations count="7">
    <dataValidation type="list" allowBlank="1" showInputMessage="1" showErrorMessage="1" sqref="C6" xr:uid="{443BC367-80F2-4705-B425-C67F8C0B6A6A}">
      <formula1>"DIS, Lifecycle, Autopilot, DIY"</formula1>
    </dataValidation>
    <dataValidation type="list" allowBlank="1" showInputMessage="1" showErrorMessage="1" sqref="C15:C16 C8" xr:uid="{6EB737CB-D92A-4BF5-B6B9-B184282E8604}">
      <formula1>"Balanced, Dynamic, Opportunity,NiL"</formula1>
    </dataValidation>
    <dataValidation type="list" allowBlank="1" showInputMessage="1" showErrorMessage="1" sqref="F7:H7 I60 C3 D86:D87" xr:uid="{F08B6E88-E287-4452-A958-971E0D070CB1}">
      <formula1>"Yes, No"</formula1>
    </dataValidation>
    <dataValidation type="list" allowBlank="1" showInputMessage="1" showErrorMessage="1" sqref="G60" xr:uid="{ECE0FB41-5477-4C47-9BF0-0023B3108A8E}">
      <formula1>"Monthly, Quarterly, Half-Yearly, Annual"</formula1>
    </dataValidation>
    <dataValidation type="list" allowBlank="1" showInputMessage="1" showErrorMessage="1" sqref="D61" xr:uid="{16F53A4A-9870-4056-9094-99829E43A911}">
      <formula1>"0%,5%"</formula1>
    </dataValidation>
    <dataValidation type="custom" allowBlank="1" showInputMessage="1" showErrorMessage="1" errorTitle="Double Check" error="There can not be a Single Contribution when the Opening Fund Value is &gt;0. _x000a_If it is a top up include it in the Opening Fund Value." sqref="D59" xr:uid="{531C0872-062F-4EEB-8BC0-CB9AB0436155}">
      <formula1>D58=0</formula1>
    </dataValidation>
    <dataValidation type="custom" allowBlank="1" showInputMessage="1" showErrorMessage="1" errorTitle="Double Check" error="There can not be a Single Contribution if the Opening Fund Value is &gt;0._x000a_If it is a Top Up include it in the Opening Fund Value." sqref="D58" xr:uid="{2A0C257E-445C-4A2A-9BD8-CC912CE91740}">
      <formula1>D59=0</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B737D6C-A693-47C8-A4C6-719C2CE2CAEF}">
          <x14:formula1>
            <xm:f>'Product Name Table'!$C$4:$C$9</xm:f>
          </x14:formula1>
          <xm:sqref>C4</xm:sqref>
        </x14:dataValidation>
        <x14:dataValidation type="list" allowBlank="1" showInputMessage="1" showErrorMessage="1" xr:uid="{FBD1BFAE-D219-4085-A712-05F37D3346EE}">
          <x14:formula1>
            <xm:f>'Product Name Table'!$E$12:$E$21</xm:f>
          </x14:formula1>
          <xm:sqref>C5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FA55-57E4-4E04-A80E-E7EB7199060B}">
  <dimension ref="B3:F23"/>
  <sheetViews>
    <sheetView workbookViewId="0">
      <selection activeCell="C10" sqref="C10"/>
    </sheetView>
  </sheetViews>
  <sheetFormatPr defaultRowHeight="15"/>
  <cols>
    <col min="2" max="2" width="27.140625" bestFit="1" customWidth="1"/>
    <col min="3" max="3" width="10.140625" bestFit="1" customWidth="1"/>
  </cols>
  <sheetData>
    <row r="3" spans="2:4">
      <c r="B3" t="s">
        <v>316</v>
      </c>
      <c r="C3">
        <v>979.71</v>
      </c>
      <c r="D3" s="242" t="s">
        <v>317</v>
      </c>
    </row>
    <row r="4" spans="2:4">
      <c r="B4" t="s">
        <v>318</v>
      </c>
      <c r="C4">
        <v>1026.2</v>
      </c>
      <c r="D4" s="242" t="s">
        <v>319</v>
      </c>
    </row>
    <row r="5" spans="2:4">
      <c r="B5" t="s">
        <v>320</v>
      </c>
      <c r="C5">
        <v>1015.43</v>
      </c>
      <c r="D5" s="242" t="s">
        <v>321</v>
      </c>
    </row>
    <row r="6" spans="2:4">
      <c r="B6" t="s">
        <v>322</v>
      </c>
      <c r="C6">
        <v>1003.81</v>
      </c>
      <c r="D6" s="242" t="s">
        <v>323</v>
      </c>
    </row>
    <row r="7" spans="2:4">
      <c r="B7" t="s">
        <v>324</v>
      </c>
      <c r="C7" s="243">
        <f>AVERAGE(C3:C6)</f>
        <v>1006.2875</v>
      </c>
      <c r="D7" s="242"/>
    </row>
    <row r="8" spans="2:4">
      <c r="D8" s="242"/>
    </row>
    <row r="9" spans="2:4">
      <c r="B9" t="s">
        <v>325</v>
      </c>
      <c r="C9" s="244">
        <v>299.3</v>
      </c>
      <c r="D9" s="244">
        <f>C9*52</f>
        <v>15563.6</v>
      </c>
    </row>
    <row r="10" spans="2:4">
      <c r="B10" t="s">
        <v>326</v>
      </c>
      <c r="C10" s="282">
        <f>D9</f>
        <v>15563.6</v>
      </c>
    </row>
    <row r="11" spans="2:4">
      <c r="B11" t="s">
        <v>327</v>
      </c>
      <c r="C11" s="283">
        <f>C9/C7</f>
        <v>0.29742990944436853</v>
      </c>
    </row>
    <row r="13" spans="2:4">
      <c r="B13" t="s">
        <v>328</v>
      </c>
      <c r="C13">
        <v>921.81</v>
      </c>
      <c r="D13" s="242" t="s">
        <v>329</v>
      </c>
    </row>
    <row r="14" spans="2:4">
      <c r="B14" t="s">
        <v>330</v>
      </c>
      <c r="C14">
        <v>969.12</v>
      </c>
      <c r="D14" s="242" t="s">
        <v>331</v>
      </c>
    </row>
    <row r="15" spans="2:4">
      <c r="B15" t="s">
        <v>332</v>
      </c>
      <c r="C15">
        <v>963.17</v>
      </c>
      <c r="D15" s="242" t="s">
        <v>333</v>
      </c>
    </row>
    <row r="16" spans="2:4">
      <c r="B16" t="s">
        <v>334</v>
      </c>
      <c r="C16">
        <v>955.49</v>
      </c>
      <c r="D16" s="242" t="s">
        <v>335</v>
      </c>
    </row>
    <row r="17" spans="2:6">
      <c r="B17" t="s">
        <v>324</v>
      </c>
      <c r="C17" s="243">
        <f>AVERAGE(C13:C16)</f>
        <v>952.39750000000004</v>
      </c>
    </row>
    <row r="19" spans="2:6">
      <c r="B19" t="s">
        <v>336</v>
      </c>
      <c r="C19" s="244">
        <f>289.3</f>
        <v>289.3</v>
      </c>
      <c r="D19" s="244">
        <f>C19*52</f>
        <v>15043.6</v>
      </c>
      <c r="F19" s="244">
        <f>277.3*52</f>
        <v>14419.6</v>
      </c>
    </row>
    <row r="20" spans="2:6">
      <c r="B20" t="s">
        <v>337</v>
      </c>
      <c r="C20">
        <f>C19*52</f>
        <v>15043.6</v>
      </c>
      <c r="D20" s="242" t="s">
        <v>338</v>
      </c>
    </row>
    <row r="21" spans="2:6">
      <c r="B21" t="s">
        <v>327</v>
      </c>
      <c r="C21" s="245">
        <f>C19/C17</f>
        <v>0.30375972217482722</v>
      </c>
      <c r="D21" s="242"/>
    </row>
    <row r="23" spans="2:6">
      <c r="B23" t="s">
        <v>339</v>
      </c>
    </row>
  </sheetData>
  <hyperlinks>
    <hyperlink ref="D14" r:id="rId1" display="https://www.cso.ie/en/releasesandpublications/ep/p-elcq/earningsandlabourcostsq42023finalq12024preliminaryestimates/" xr:uid="{E9704483-1B57-41CC-A765-EE774DDC438E}"/>
    <hyperlink ref="D16" r:id="rId2" xr:uid="{8CDC489F-6006-4240-9DB5-786BF22572FE}"/>
    <hyperlink ref="D15" r:id="rId3" display="https://www.cso.ie/en/releasesandpublications/ep/p-elcq/earningsandlabourcostsq12024finalq22024preliminaryestimates/" xr:uid="{9BC05924-DD9B-4029-90FF-3538E0EC0939}"/>
    <hyperlink ref="D13" r:id="rId4" display="https://www.cso.ie/en/releasesandpublications/ep/p-elcq/earningsandlabourcostsq32023finalq42023preliminaryestimates/" xr:uid="{DEFF5521-A653-437E-86E2-8A5AF554EDC9}"/>
    <hyperlink ref="D20" r:id="rId5" display="https://www.citizensinformation.ie/en/social-welfare/older-and-retired-people/state-pension-non-contributory/" xr:uid="{A2CF8EC0-20DA-41BF-BC94-8FDE4E2E8B29}"/>
    <hyperlink ref="D4" r:id="rId6" display="https://www.cso.ie/en/releasesandpublications/ep/p-elcq/earningsandlabourcostsq42024finalq12025preliminaryestimates/" xr:uid="{3582388C-A479-4067-BF97-EEE5085E234B}"/>
    <hyperlink ref="D5" r:id="rId7" display="https://www.cso.ie/en/releasesandpublications/ep/p-elcq/earningsandlabourcostsq12025finalq22025preliminaryestimates/" xr:uid="{56F04B2A-75BA-4D2E-8412-EB9E8A4F42DB}"/>
    <hyperlink ref="D6" r:id="rId8" display="https://www.cso.ie/en/releasesandpublications/ep/p-elcq/earningsandlabourcostsq22025finalq32025preliminaryestimates/" xr:uid="{EB1F27E0-4E10-4E30-A61C-8DB4463FD06B}"/>
    <hyperlink ref="D3" r:id="rId9" display="https://www.cso.ie/en/releasesandpublications/ep/p-elcq/earningsandlabourcostsq32024finalq42024preliminaryestimates/" xr:uid="{43DA5A74-88C9-4170-A5CE-CA17656566B5}"/>
  </hyperlinks>
  <pageMargins left="0.7" right="0.7" top="0.75" bottom="0.75" header="0.3" footer="0.3"/>
  <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C2B8-F0C7-4946-9A21-5A4F470CC010}">
  <dimension ref="A3:AM40"/>
  <sheetViews>
    <sheetView workbookViewId="0">
      <selection activeCell="G9" sqref="G9"/>
    </sheetView>
  </sheetViews>
  <sheetFormatPr defaultRowHeight="15"/>
  <cols>
    <col min="1" max="2" width="12.7109375" bestFit="1" customWidth="1"/>
    <col min="4" max="4" width="42.28515625" bestFit="1" customWidth="1"/>
    <col min="5" max="5" width="19.5703125" customWidth="1"/>
    <col min="6" max="6" width="16.85546875" customWidth="1"/>
    <col min="7" max="7" width="16.140625" customWidth="1"/>
    <col min="9" max="9" width="12.7109375" bestFit="1" customWidth="1"/>
    <col min="10" max="10" width="11.140625" bestFit="1" customWidth="1"/>
    <col min="12" max="12" width="45.7109375" customWidth="1"/>
    <col min="13" max="13" width="18.28515625" customWidth="1"/>
    <col min="14" max="14" width="17.7109375" customWidth="1"/>
    <col min="15" max="15" width="23.28515625" customWidth="1"/>
    <col min="20" max="20" width="37.85546875" bestFit="1" customWidth="1"/>
    <col min="21" max="21" width="16.42578125" customWidth="1"/>
    <col min="22" max="22" width="10.7109375" customWidth="1"/>
    <col min="23" max="23" width="17.7109375" customWidth="1"/>
  </cols>
  <sheetData>
    <row r="3" spans="1:39" ht="15.75" thickBot="1">
      <c r="A3" s="290" t="s">
        <v>160</v>
      </c>
      <c r="B3" s="290"/>
      <c r="I3" s="290" t="s">
        <v>162</v>
      </c>
      <c r="J3" s="290"/>
      <c r="Q3" s="41"/>
      <c r="R3" s="290" t="s">
        <v>189</v>
      </c>
      <c r="S3" s="290"/>
      <c r="Z3" t="s">
        <v>340</v>
      </c>
    </row>
    <row r="4" spans="1:39" ht="75.75" thickBot="1">
      <c r="D4" s="114" t="s">
        <v>341</v>
      </c>
      <c r="E4" s="115" t="s">
        <v>342</v>
      </c>
      <c r="F4" s="115" t="s">
        <v>343</v>
      </c>
      <c r="G4" s="115" t="s">
        <v>344</v>
      </c>
      <c r="L4" s="114" t="s">
        <v>341</v>
      </c>
      <c r="M4" s="115" t="s">
        <v>345</v>
      </c>
      <c r="N4" s="115" t="s">
        <v>346</v>
      </c>
      <c r="O4" s="115" t="s">
        <v>347</v>
      </c>
      <c r="T4" s="114" t="s">
        <v>341</v>
      </c>
      <c r="U4" s="115" t="s">
        <v>342</v>
      </c>
      <c r="V4" s="115" t="s">
        <v>343</v>
      </c>
      <c r="W4" s="115" t="s">
        <v>344</v>
      </c>
      <c r="Z4" s="126" t="s">
        <v>113</v>
      </c>
      <c r="AA4" s="238" t="e">
        <f>IF(OR(SRP!#REF!&lt;&gt;"",SRP!F$13&lt;&gt;""),SRP!F$3,"")</f>
        <v>#REF!</v>
      </c>
      <c r="AB4" s="239" t="str">
        <f>IF(OR(SRP!G$4&lt;&gt;"",SRP!G$13&lt;&gt;""),SRP!G$3,"")</f>
        <v/>
      </c>
      <c r="AC4" s="239" t="str">
        <f>IF(OR(SRP!F$4&lt;&gt;"",SRP!H$13&lt;&gt;""),SRP!H$3,"")</f>
        <v>Allianz Strategy Select 75</v>
      </c>
      <c r="AD4" s="239" t="str">
        <f>IF(OR(SRP!I$4&lt;&gt;"",SRP!I$13&lt;&gt;""),SRP!I$3,"")</f>
        <v/>
      </c>
      <c r="AE4" s="239" t="str">
        <f>IF(OR(SRP!J$4&lt;&gt;"",SRP!J$13&lt;&gt;""),SRP!J$3,"")</f>
        <v/>
      </c>
      <c r="AF4" s="239" t="str">
        <f>IF(OR(SRP!K$4&lt;&gt;"",SRP!K$13&lt;&gt;""),SRP!K$3,"")</f>
        <v/>
      </c>
      <c r="AG4" s="239" t="str">
        <f>IF(OR(SRP!L$4&lt;&gt;"",SRP!L$13&lt;&gt;""),SRP!L$3,"")</f>
        <v/>
      </c>
      <c r="AH4" s="239" t="str">
        <f>IF(OR(SRP!M$4&lt;&gt;"",SRP!M$13&lt;&gt;""),SRP!M$3,"")</f>
        <v/>
      </c>
      <c r="AI4" s="239" t="str">
        <f>IF(OR(SRP!N$4&lt;&gt;"",SRP!N$13&lt;&gt;""),SRP!N$3,"")</f>
        <v/>
      </c>
      <c r="AJ4" s="239" t="str">
        <f>IF(OR(SRP!O$4&lt;&gt;"",SRP!O$13&lt;&gt;""),SRP!O$3,"")</f>
        <v/>
      </c>
      <c r="AK4" s="239" t="str">
        <f>IF(OR(SRP!P$4&lt;&gt;"",SRP!P$13&lt;&gt;""),SRP!P$3,"")</f>
        <v>HSBC MSCI World UCITS ETF</v>
      </c>
      <c r="AL4" s="239" t="str">
        <f>IF(OR(SRP!Q$4&lt;&gt;"",SRP!Q$13&lt;&gt;""),SRP!Q$3,"")</f>
        <v/>
      </c>
      <c r="AM4" s="240" t="str">
        <f>IF(OR(SRP!R$4&lt;&gt;"",SRP!R$13&lt;&gt;""),SRP!R$3,"")</f>
        <v/>
      </c>
    </row>
    <row r="5" spans="1:39">
      <c r="A5" s="37" t="s">
        <v>163</v>
      </c>
      <c r="B5" t="s">
        <v>175</v>
      </c>
      <c r="D5" s="116" t="s">
        <v>128</v>
      </c>
      <c r="E5" s="237">
        <f>VLOOKUP($D5,External_Man_Chrge,7,FALSE)+SRP_Admin_Charge</f>
        <v>1.12E-2</v>
      </c>
      <c r="F5" s="220" t="str">
        <f>IFERROR(VLOOKUP($D5,Gtee_Chrge,2,FALSE),"n/a")</f>
        <v>n/a</v>
      </c>
      <c r="G5" s="237">
        <f>IF(F5="n/a",E5,E5+F5)</f>
        <v>1.12E-2</v>
      </c>
      <c r="I5" s="37" t="s">
        <v>163</v>
      </c>
      <c r="J5" t="s">
        <v>175</v>
      </c>
      <c r="L5" s="116" t="s">
        <v>107</v>
      </c>
      <c r="M5" s="237">
        <f>SRP_Admin_Charge</f>
        <v>8.9999999999999993E-3</v>
      </c>
      <c r="N5" s="237">
        <f>VLOOKUP($L5,External_Man_Chrge,7,FALSE)</f>
        <v>2.5000000000000001E-3</v>
      </c>
      <c r="O5" s="237">
        <f t="shared" ref="O5:O7" si="0">IF(N5="n/a",M5,M5+N5)</f>
        <v>1.15E-2</v>
      </c>
      <c r="T5" s="220" t="str" cm="1">
        <f t="array" ref="T5">IFERROR(INDEX($AA$4:$AM$4, SMALL(IF($AA$4:$AM$4&lt;&gt;"", COLUMN($AA$4:$AM$4)-COLUMN($AA$4)+1), ROW(A1))), "")</f>
        <v/>
      </c>
      <c r="U5" s="237" t="str">
        <f t="shared" ref="U5:U16" si="1">IF($T5="","",VLOOKUP($T5,External_Man_Chrge,7,FALSE)+SRP_Admin_Charge)</f>
        <v/>
      </c>
      <c r="V5" s="237" t="str">
        <f>IF($T5="","",
IF(HLOOKUP($T5,SRP!$E$3:$R$16,5,FALSE)="","n/a",
IF(HLOOKUP($T5,SRP!$E$3:$R$16,5,FALSE)="No","n/a",
IF(HLOOKUP($T5,SRP!$E$3:$R$16,5,FALSE)="Yes",
IFERROR(VLOOKUP($T5,Gtee_Chrge,2,FALSE),"n/a")))))</f>
        <v/>
      </c>
      <c r="W5" s="237" t="str">
        <f>IF($T5="","",IF(V5="n/a",U5,U5+V5))</f>
        <v/>
      </c>
    </row>
    <row r="6" spans="1:39">
      <c r="A6" s="37" t="s">
        <v>164</v>
      </c>
      <c r="B6" t="s">
        <v>176</v>
      </c>
      <c r="D6" s="116" t="s">
        <v>136</v>
      </c>
      <c r="E6" s="237">
        <f>VLOOKUP($D6,External_Man_Chrge,7,FALSE)+SRP_Admin_Charge</f>
        <v>1.3899999999999999E-2</v>
      </c>
      <c r="F6" s="220" t="str">
        <f>IFERROR(VLOOKUP($D6,Gtee_Chrge,2,FALSE),"n/a")</f>
        <v>n/a</v>
      </c>
      <c r="G6" s="237">
        <f t="shared" ref="G6:G7" si="2">IF(F6="n/a",E6,E6+F6)</f>
        <v>1.3899999999999999E-2</v>
      </c>
      <c r="I6" s="37" t="s">
        <v>164</v>
      </c>
      <c r="J6" t="s">
        <v>176</v>
      </c>
      <c r="L6" s="116" t="s">
        <v>101</v>
      </c>
      <c r="M6" s="237">
        <f>SRP_Admin_Charge</f>
        <v>8.9999999999999993E-3</v>
      </c>
      <c r="N6" s="237">
        <f>VLOOKUP($L6,External_Man_Chrge,7,FALSE)</f>
        <v>2.5000000000000001E-3</v>
      </c>
      <c r="O6" s="237">
        <f t="shared" si="0"/>
        <v>1.15E-2</v>
      </c>
      <c r="T6" s="220" t="str" cm="1">
        <f t="array" ref="T6">IFERROR(INDEX($AA$4:$AM$4, SMALL(IF($AA$4:$AM$4&lt;&gt;"", COLUMN($AA$4:$AM$4)-COLUMN($AA$4)+1), ROW(A2))), "")</f>
        <v/>
      </c>
      <c r="U6" s="237" t="str">
        <f t="shared" si="1"/>
        <v/>
      </c>
      <c r="V6" s="237" t="str">
        <f>IF($T6="","",
IF(HLOOKUP($T6,SRP!$E$3:$R$16,5,FALSE)="","n/a",
IF(HLOOKUP($T6,SRP!$E$3:$R$16,5,FALSE)="No","n/a",
IF(HLOOKUP($T6,SRP!$E$3:$R$16,5,FALSE)="Yes",
IFERROR(VLOOKUP($T6,Gtee_Chrge,2,FALSE),"n/a")))))</f>
        <v/>
      </c>
      <c r="W6" s="237" t="str">
        <f t="shared" ref="W6:W13" si="3">IF($T6="","",IF(V6="n/a",U6,U6+V6))</f>
        <v/>
      </c>
    </row>
    <row r="7" spans="1:39">
      <c r="D7" s="116" t="s">
        <v>132</v>
      </c>
      <c r="E7" s="237">
        <f>VLOOKUP($D7,External_Man_Chrge,7,FALSE)+SRP_Admin_Charge</f>
        <v>1.55E-2</v>
      </c>
      <c r="F7" s="220" t="str">
        <f>IFERROR(VLOOKUP($D7,Gtee_Chrge,2,FALSE),"n/a")</f>
        <v>n/a</v>
      </c>
      <c r="G7" s="237">
        <f t="shared" si="2"/>
        <v>1.55E-2</v>
      </c>
      <c r="L7" s="116" t="s">
        <v>128</v>
      </c>
      <c r="M7" s="237">
        <f>SRP_Admin_Charge</f>
        <v>8.9999999999999993E-3</v>
      </c>
      <c r="N7" s="237">
        <f>VLOOKUP($L7,External_Man_Chrge,7,FALSE)</f>
        <v>2.2000000000000001E-3</v>
      </c>
      <c r="O7" s="237">
        <f t="shared" si="0"/>
        <v>1.12E-2</v>
      </c>
      <c r="T7" s="220" t="str" cm="1">
        <f t="array" ref="T7">IFERROR(INDEX($AA$4:$AM$4, SMALL(IF($AA$4:$AM$4&lt;&gt;"", COLUMN($AA$4:$AM$4)-COLUMN($AA$4)+1), ROW(A3))), "")</f>
        <v/>
      </c>
      <c r="U7" s="237" t="str">
        <f t="shared" si="1"/>
        <v/>
      </c>
      <c r="V7" s="237" t="str">
        <f>IF($T7="","",
IF(HLOOKUP($T7,SRP!$E$3:$R$16,5,FALSE)="","n/a",
IF(HLOOKUP($T7,SRP!$E$3:$R$16,5,FALSE)="No","n/a",
IF(HLOOKUP($T7,SRP!$E$3:$R$16,5,FALSE)="Yes",
IFERROR(VLOOKUP($T7,Gtee_Chrge,2,FALSE),"n/a")))))</f>
        <v/>
      </c>
      <c r="W7" s="237" t="str">
        <f t="shared" si="3"/>
        <v/>
      </c>
    </row>
    <row r="8" spans="1:39" ht="15.75" thickBot="1">
      <c r="T8" s="220" t="str" cm="1">
        <f t="array" ref="T8">IFERROR(INDEX($AA$4:$AM$4, SMALL(IF($AA$4:$AM$4&lt;&gt;"", COLUMN($AA$4:$AM$4)-COLUMN($AA$4)+1), ROW(A4))), "")</f>
        <v/>
      </c>
      <c r="U8" s="237" t="str">
        <f t="shared" si="1"/>
        <v/>
      </c>
      <c r="V8" s="237" t="str">
        <f>IF($T8="","",
IF(HLOOKUP($T8,SRP!$E$3:$R$16,5,FALSE)="","n/a",
IF(HLOOKUP($T8,SRP!$E$3:$R$16,5,FALSE)="No","n/a",
IF(HLOOKUP($T8,SRP!$E$3:$R$16,5,FALSE)="Yes",
IFERROR(VLOOKUP($T8,Gtee_Chrge,2,FALSE),"n/a")))))</f>
        <v/>
      </c>
      <c r="W8" s="237" t="str">
        <f t="shared" si="3"/>
        <v/>
      </c>
    </row>
    <row r="9" spans="1:39" ht="75">
      <c r="D9" s="114" t="s">
        <v>341</v>
      </c>
      <c r="E9" s="115" t="s">
        <v>342</v>
      </c>
      <c r="F9" s="115" t="s">
        <v>343</v>
      </c>
      <c r="G9" s="115" t="s">
        <v>344</v>
      </c>
      <c r="L9" s="114" t="s">
        <v>341</v>
      </c>
      <c r="M9" s="115" t="s">
        <v>345</v>
      </c>
      <c r="N9" s="115" t="s">
        <v>346</v>
      </c>
      <c r="O9" s="115" t="s">
        <v>347</v>
      </c>
      <c r="T9" s="220" t="str" cm="1">
        <f t="array" ref="T9">IFERROR(INDEX($AA$4:$AM$4, SMALL(IF($AA$4:$AM$4&lt;&gt;"", COLUMN($AA$4:$AM$4)-COLUMN($AA$4)+1), ROW(A5))), "")</f>
        <v/>
      </c>
      <c r="U9" s="237" t="str">
        <f t="shared" si="1"/>
        <v/>
      </c>
      <c r="V9" s="237" t="str">
        <f>IF($T9="","",
IF(HLOOKUP($T9,SRP!$E$3:$R$16,5,FALSE)="","n/a",
IF(HLOOKUP($T9,SRP!$E$3:$R$16,5,FALSE)="No","n/a",
IF(HLOOKUP($T9,SRP!$E$3:$R$16,5,FALSE)="Yes",
IFERROR(VLOOKUP($T9,Gtee_Chrge,2,FALSE),"n/a")))))</f>
        <v/>
      </c>
      <c r="W9" s="237" t="str">
        <f t="shared" si="3"/>
        <v/>
      </c>
    </row>
    <row r="10" spans="1:39">
      <c r="A10" s="37" t="s">
        <v>163</v>
      </c>
      <c r="B10" t="s">
        <v>175</v>
      </c>
      <c r="D10" s="116" t="s">
        <v>128</v>
      </c>
      <c r="E10" s="237">
        <f>VLOOKUP($D10,External_Man_Chrge,7,FALSE)+SRP_Admin_Charge</f>
        <v>1.12E-2</v>
      </c>
      <c r="F10" s="220" t="str">
        <f>IFERROR(VLOOKUP($D10,Gtee_Chrge,2,FALSE),"n/a")</f>
        <v>n/a</v>
      </c>
      <c r="G10" s="237">
        <f t="shared" ref="G10:G13" si="4">IF(F10="n/a",E10,E10+F10)</f>
        <v>1.12E-2</v>
      </c>
      <c r="I10" s="37" t="s">
        <v>163</v>
      </c>
      <c r="J10" t="s">
        <v>175</v>
      </c>
      <c r="L10" s="116" t="s">
        <v>107</v>
      </c>
      <c r="M10" s="237">
        <f>SRP_Admin_Charge</f>
        <v>8.9999999999999993E-3</v>
      </c>
      <c r="N10" s="237">
        <f>VLOOKUP($L10,External_Man_Chrge,7,FALSE)</f>
        <v>2.5000000000000001E-3</v>
      </c>
      <c r="O10" s="237">
        <f t="shared" ref="O10:O11" si="5">IF(N10="n/a",M10,M10+N10)</f>
        <v>1.15E-2</v>
      </c>
      <c r="T10" s="220" t="str" cm="1">
        <f t="array" ref="T10">IFERROR(INDEX($AA$4:$AM$4, SMALL(IF($AA$4:$AM$4&lt;&gt;"", COLUMN($AA$4:$AM$4)-COLUMN($AA$4)+1), ROW(A6))), "")</f>
        <v/>
      </c>
      <c r="U10" s="237" t="str">
        <f t="shared" si="1"/>
        <v/>
      </c>
      <c r="V10" s="237" t="str">
        <f>IF($T10="","",
IF(HLOOKUP($T10,SRP!$E$3:$R$16,5,FALSE)="","n/a",
IF(HLOOKUP($T10,SRP!$E$3:$R$16,5,FALSE)="No","n/a",
IF(HLOOKUP($T10,SRP!$E$3:$R$16,5,FALSE)="Yes",
IFERROR(VLOOKUP($T10,Gtee_Chrge,2,FALSE),"n/a")))))</f>
        <v/>
      </c>
      <c r="W10" s="237" t="str">
        <f t="shared" si="3"/>
        <v/>
      </c>
    </row>
    <row r="11" spans="1:39">
      <c r="A11" s="37" t="s">
        <v>164</v>
      </c>
      <c r="B11" t="s">
        <v>179</v>
      </c>
      <c r="D11" s="116" t="s">
        <v>136</v>
      </c>
      <c r="E11" s="237">
        <f>VLOOKUP($D11,External_Man_Chrge,7,FALSE)+SRP_Admin_Charge</f>
        <v>1.3899999999999999E-2</v>
      </c>
      <c r="F11" s="220" t="str">
        <f>IFERROR(VLOOKUP($D11,Gtee_Chrge,2,FALSE),"n/a")</f>
        <v>n/a</v>
      </c>
      <c r="G11" s="237">
        <f t="shared" si="4"/>
        <v>1.3899999999999999E-2</v>
      </c>
      <c r="I11" s="37" t="s">
        <v>164</v>
      </c>
      <c r="J11" t="s">
        <v>179</v>
      </c>
      <c r="L11" s="116" t="s">
        <v>101</v>
      </c>
      <c r="M11" s="237">
        <f>SRP_Admin_Charge</f>
        <v>8.9999999999999993E-3</v>
      </c>
      <c r="N11" s="237">
        <f>VLOOKUP($L11,External_Man_Chrge,7,FALSE)</f>
        <v>2.5000000000000001E-3</v>
      </c>
      <c r="O11" s="237">
        <f t="shared" si="5"/>
        <v>1.15E-2</v>
      </c>
      <c r="T11" s="220" t="str" cm="1">
        <f t="array" ref="T11">IFERROR(INDEX($AA$4:$AM$4, SMALL(IF($AA$4:$AM$4&lt;&gt;"", COLUMN($AA$4:$AM$4)-COLUMN($AA$4)+1), ROW(A7))), "")</f>
        <v/>
      </c>
      <c r="U11" s="237" t="str">
        <f t="shared" si="1"/>
        <v/>
      </c>
      <c r="V11" s="237" t="str">
        <f>IF($T11="","",
IF(HLOOKUP($T11,SRP!$E$3:$R$16,5,FALSE)="","n/a",
IF(HLOOKUP($T11,SRP!$E$3:$R$16,5,FALSE)="No","n/a",
IF(HLOOKUP($T11,SRP!$E$3:$R$16,5,FALSE)="Yes",
IFERROR(VLOOKUP($T11,Gtee_Chrge,2,FALSE),"n/a")))))</f>
        <v/>
      </c>
      <c r="W11" s="237" t="str">
        <f t="shared" si="3"/>
        <v/>
      </c>
    </row>
    <row r="12" spans="1:39">
      <c r="D12" s="116" t="s">
        <v>132</v>
      </c>
      <c r="E12" s="237">
        <f>VLOOKUP($D12,External_Man_Chrge,7,FALSE)+SRP_Admin_Charge</f>
        <v>1.55E-2</v>
      </c>
      <c r="F12" s="220" t="str">
        <f>IFERROR(VLOOKUP($D12,Gtee_Chrge,2,FALSE),"n/a")</f>
        <v>n/a</v>
      </c>
      <c r="G12" s="237">
        <f t="shared" si="4"/>
        <v>1.55E-2</v>
      </c>
      <c r="L12" s="119"/>
      <c r="T12" s="220" t="str" cm="1">
        <f t="array" ref="T12">IFERROR(INDEX($AA$4:$AM$4, SMALL(IF($AA$4:$AM$4&lt;&gt;"", COLUMN($AA$4:$AM$4)-COLUMN($AA$4)+1), ROW(A8))), "")</f>
        <v/>
      </c>
      <c r="U12" s="237" t="str">
        <f t="shared" si="1"/>
        <v/>
      </c>
      <c r="V12" s="237" t="str">
        <f>IF($T12="","",
IF(HLOOKUP($T12,SRP!$E$3:$R$16,5,FALSE)="","n/a",
IF(HLOOKUP($T12,SRP!$E$3:$R$16,5,FALSE)="No","n/a",
IF(HLOOKUP($T12,SRP!$E$3:$R$16,5,FALSE)="Yes",
IFERROR(VLOOKUP($T12,Gtee_Chrge,2,FALSE),"n/a")))))</f>
        <v/>
      </c>
      <c r="W12" s="237" t="str">
        <f t="shared" si="3"/>
        <v/>
      </c>
    </row>
    <row r="13" spans="1:39">
      <c r="D13" s="116" t="s">
        <v>125</v>
      </c>
      <c r="E13" s="237">
        <f>VLOOKUP($D13,External_Man_Chrge,7,FALSE)+SRP_Admin_Charge</f>
        <v>1.3499999999999998E-2</v>
      </c>
      <c r="F13" s="220" t="str">
        <f>IFERROR(VLOOKUP($D13,Gtee_Chrge,2,FALSE),"n/a")</f>
        <v>n/a</v>
      </c>
      <c r="G13" s="237">
        <f t="shared" si="4"/>
        <v>1.3499999999999998E-2</v>
      </c>
      <c r="L13" s="119"/>
      <c r="T13" s="220" t="str" cm="1">
        <f t="array" ref="T13">IFERROR(INDEX($AA$4:$AM$4, SMALL(IF($AA$4:$AM$4&lt;&gt;"", COLUMN($AA$4:$AM$4)-COLUMN($AA$4)+1), ROW(A9))), "")</f>
        <v/>
      </c>
      <c r="U13" s="237" t="str">
        <f t="shared" si="1"/>
        <v/>
      </c>
      <c r="V13" s="237" t="str">
        <f>IF($T13="","",
IF(HLOOKUP($T13,SRP!$E$3:$R$16,5,FALSE)="","n/a",
IF(HLOOKUP($T13,SRP!$E$3:$R$16,5,FALSE)="No","n/a",
IF(HLOOKUP($T13,SRP!$E$3:$R$16,5,FALSE)="Yes",
IFERROR(VLOOKUP($T13,Gtee_Chrge,2,FALSE),"n/a")))))</f>
        <v/>
      </c>
      <c r="W13" s="237" t="str">
        <f t="shared" si="3"/>
        <v/>
      </c>
    </row>
    <row r="14" spans="1:39" ht="15.75" thickBot="1">
      <c r="T14" s="220" t="str" cm="1">
        <f t="array" ref="T14">IFERROR(INDEX($AA$4:$AM$4, SMALL(IF($AA$4:$AM$4&lt;&gt;"", COLUMN($AA$4:$AM$4)-COLUMN($AA$4)+1), ROW(A10))), "")</f>
        <v/>
      </c>
      <c r="U14" s="237" t="str">
        <f t="shared" si="1"/>
        <v/>
      </c>
      <c r="V14" s="237" t="str">
        <f>IF($T14="","",
IF(HLOOKUP($T14,SRP!$E$3:$R$16,5,FALSE)="","n/a",
IF(HLOOKUP($T14,SRP!$E$3:$R$16,5,FALSE)="No","n/a",
IF(HLOOKUP($T14,SRP!$E$3:$R$16,5,FALSE)="Yes",
IFERROR(VLOOKUP($T14,Gtee_Chrge,2,FALSE),"n/a")))))</f>
        <v/>
      </c>
      <c r="W14" s="237" t="str">
        <f t="shared" ref="W14:W16" si="6">IF($T14="","",IF(V14="n/a",U14,U14+V14))</f>
        <v/>
      </c>
    </row>
    <row r="15" spans="1:39" ht="75">
      <c r="D15" s="114" t="s">
        <v>341</v>
      </c>
      <c r="E15" s="115" t="s">
        <v>342</v>
      </c>
      <c r="F15" s="115" t="s">
        <v>343</v>
      </c>
      <c r="G15" s="115" t="s">
        <v>344</v>
      </c>
      <c r="L15" s="114" t="s">
        <v>341</v>
      </c>
      <c r="M15" s="115" t="s">
        <v>345</v>
      </c>
      <c r="N15" s="115" t="s">
        <v>346</v>
      </c>
      <c r="O15" s="115" t="s">
        <v>347</v>
      </c>
      <c r="T15" s="220" t="str" cm="1">
        <f t="array" ref="T15">IFERROR(INDEX($AA$4:$AM$4, SMALL(IF($AA$4:$AM$4&lt;&gt;"", COLUMN($AA$4:$AM$4)-COLUMN($AA$4)+1), ROW(A11))), "")</f>
        <v/>
      </c>
      <c r="U15" s="237" t="str">
        <f t="shared" si="1"/>
        <v/>
      </c>
      <c r="V15" s="237" t="str">
        <f>IF($T15="","",
IF(HLOOKUP($T15,SRP!$E$3:$R$16,5,FALSE)="","n/a",
IF(HLOOKUP($T15,SRP!$E$3:$R$16,5,FALSE)="No","n/a",
IF(HLOOKUP($T15,SRP!$E$3:$R$16,5,FALSE)="Yes",
IFERROR(VLOOKUP($T15,Gtee_Chrge,2,FALSE),"n/a")))))</f>
        <v/>
      </c>
      <c r="W15" s="237" t="str">
        <f t="shared" si="6"/>
        <v/>
      </c>
    </row>
    <row r="16" spans="1:39">
      <c r="A16" s="37" t="s">
        <v>163</v>
      </c>
      <c r="B16" t="s">
        <v>175</v>
      </c>
      <c r="D16" s="116" t="s">
        <v>128</v>
      </c>
      <c r="E16" s="237">
        <f>VLOOKUP($D16,External_Man_Chrge,7,FALSE)+SRP_Admin_Charge</f>
        <v>1.12E-2</v>
      </c>
      <c r="F16" s="220" t="str">
        <f>IFERROR(VLOOKUP($D16,Gtee_Chrge,2,FALSE),"n/a")</f>
        <v>n/a</v>
      </c>
      <c r="G16" s="237">
        <f t="shared" ref="G16:G19" si="7">IF(F16="n/a",E16,E16+F16)</f>
        <v>1.12E-2</v>
      </c>
      <c r="I16" s="37" t="s">
        <v>163</v>
      </c>
      <c r="J16" t="s">
        <v>175</v>
      </c>
      <c r="L16" s="116" t="s">
        <v>107</v>
      </c>
      <c r="M16" s="237">
        <f>SRP_Admin_Charge</f>
        <v>8.9999999999999993E-3</v>
      </c>
      <c r="N16" s="237">
        <f>VLOOKUP($L16,External_Man_Chrge,7,FALSE)</f>
        <v>2.5000000000000001E-3</v>
      </c>
      <c r="O16" s="237">
        <f t="shared" ref="O16:O17" si="8">IF(N16="n/a",M16,M16+N16)</f>
        <v>1.15E-2</v>
      </c>
      <c r="T16" s="220" t="str" cm="1">
        <f t="array" ref="T16">IFERROR(INDEX($AA$4:$AM$4, SMALL(IF($AA$4:$AM$4&lt;&gt;"", COLUMN($AA$4:$AM$4)-COLUMN($AA$4)+1), ROW(A12))), "")</f>
        <v/>
      </c>
      <c r="U16" s="237" t="str">
        <f t="shared" si="1"/>
        <v/>
      </c>
      <c r="V16" s="237" t="str">
        <f>IF($T16="","",
IF(HLOOKUP($T16,SRP!$E$3:$R$16,5,FALSE)="","n/a",
IF(HLOOKUP($T16,SRP!$E$3:$R$16,5,FALSE)="No","n/a",
IF(HLOOKUP($T16,SRP!$E$3:$R$16,5,FALSE)="Yes",
IFERROR(VLOOKUP($T16,Gtee_Chrge,2,FALSE),"n/a")))))</f>
        <v/>
      </c>
      <c r="W16" s="237" t="str">
        <f t="shared" si="6"/>
        <v/>
      </c>
    </row>
    <row r="17" spans="1:23">
      <c r="A17" s="37" t="s">
        <v>164</v>
      </c>
      <c r="B17" t="s">
        <v>180</v>
      </c>
      <c r="D17" s="116" t="s">
        <v>136</v>
      </c>
      <c r="E17" s="237">
        <f>VLOOKUP($D17,External_Man_Chrge,7,FALSE)+SRP_Admin_Charge</f>
        <v>1.3899999999999999E-2</v>
      </c>
      <c r="F17" s="220" t="str">
        <f>IFERROR(VLOOKUP($D17,Gtee_Chrge,2,FALSE),"n/a")</f>
        <v>n/a</v>
      </c>
      <c r="G17" s="237">
        <f t="shared" si="7"/>
        <v>1.3899999999999999E-2</v>
      </c>
      <c r="I17" s="37" t="s">
        <v>164</v>
      </c>
      <c r="J17" t="s">
        <v>180</v>
      </c>
      <c r="L17" s="116" t="s">
        <v>101</v>
      </c>
      <c r="M17" s="237">
        <f>SRP_Admin_Charge</f>
        <v>8.9999999999999993E-3</v>
      </c>
      <c r="N17" s="237">
        <f>VLOOKUP($L17,External_Man_Chrge,7,FALSE)</f>
        <v>2.5000000000000001E-3</v>
      </c>
      <c r="O17" s="237">
        <f t="shared" si="8"/>
        <v>1.15E-2</v>
      </c>
      <c r="T17" s="220" t="str" cm="1">
        <f t="array" ref="T17">IFERROR(INDEX($AA$4:$AM$4, SMALL(IF($AA$4:$AM$4&lt;&gt;"", COLUMN($AA$4:$AM$4)-COLUMN($AA$4)+1), ROW(A13))), "")</f>
        <v/>
      </c>
      <c r="U17" s="237" t="str">
        <f>IF($T17="","",VLOOKUP($T17,External_Man_Chrge,7,FALSE)+SRP_Admin_Charge)</f>
        <v/>
      </c>
      <c r="V17" s="237" t="str">
        <f>IF($T17="","",
IF(HLOOKUP($T17,SRP!$E$3:$R$16,5,FALSE)="","n/a",
IF(HLOOKUP($T17,SRP!$E$3:$R$16,5,FALSE)="No","n/a",
IF(HLOOKUP($T17,SRP!$E$3:$R$16,5,FALSE)="Yes",
IFERROR(VLOOKUP($T17,Gtee_Chrge,2,FALSE),"n/a")))))</f>
        <v/>
      </c>
      <c r="W17" s="237" t="str">
        <f>IF($T17="","",IF(V17="n/a",U17,U17+V17))</f>
        <v/>
      </c>
    </row>
    <row r="18" spans="1:23">
      <c r="D18" s="116" t="s">
        <v>132</v>
      </c>
      <c r="E18" s="237">
        <f>VLOOKUP($D18,External_Man_Chrge,7,FALSE)+SRP_Admin_Charge</f>
        <v>1.55E-2</v>
      </c>
      <c r="F18" s="220" t="str">
        <f>IFERROR(VLOOKUP($D18,Gtee_Chrge,2,FALSE),"n/a")</f>
        <v>n/a</v>
      </c>
      <c r="G18" s="237">
        <f t="shared" si="7"/>
        <v>1.55E-2</v>
      </c>
      <c r="L18" s="119"/>
    </row>
    <row r="19" spans="1:23">
      <c r="D19" s="116" t="s">
        <v>125</v>
      </c>
      <c r="E19" s="237">
        <f>VLOOKUP($D19,External_Man_Chrge,7,FALSE)+SRP_Admin_Charge</f>
        <v>1.3499999999999998E-2</v>
      </c>
      <c r="F19" s="220" t="str">
        <f>IFERROR(VLOOKUP($D19,Gtee_Chrge,2,FALSE),"n/a")</f>
        <v>n/a</v>
      </c>
      <c r="G19" s="237">
        <f t="shared" si="7"/>
        <v>1.3499999999999998E-2</v>
      </c>
      <c r="L19" s="119"/>
    </row>
    <row r="20" spans="1:23" ht="15.75" thickBot="1"/>
    <row r="21" spans="1:23" ht="75">
      <c r="D21" s="114" t="s">
        <v>341</v>
      </c>
      <c r="E21" s="115" t="s">
        <v>342</v>
      </c>
      <c r="F21" s="115" t="s">
        <v>343</v>
      </c>
      <c r="G21" s="115" t="s">
        <v>344</v>
      </c>
      <c r="L21" s="114" t="s">
        <v>341</v>
      </c>
      <c r="M21" s="115" t="s">
        <v>345</v>
      </c>
      <c r="N21" s="115" t="s">
        <v>346</v>
      </c>
      <c r="O21" s="115" t="s">
        <v>347</v>
      </c>
    </row>
    <row r="22" spans="1:23">
      <c r="A22" s="37" t="s">
        <v>163</v>
      </c>
      <c r="B22" t="s">
        <v>177</v>
      </c>
      <c r="D22" s="116" t="s">
        <v>107</v>
      </c>
      <c r="E22" s="237">
        <f>VLOOKUP($D22,External_Man_Chrge,7,FALSE)+SRP_Admin_Charge</f>
        <v>1.15E-2</v>
      </c>
      <c r="F22" s="237">
        <f>IFERROR(VLOOKUP($D22,Gtee_Chrge,2,FALSE),"n/a")</f>
        <v>8.5000000000000006E-3</v>
      </c>
      <c r="G22" s="237">
        <f t="shared" ref="G22:G24" si="9">IF(F22="n/a",E22,E22+F22)</f>
        <v>0.02</v>
      </c>
      <c r="I22" s="37" t="s">
        <v>163</v>
      </c>
      <c r="J22" t="s">
        <v>178</v>
      </c>
      <c r="L22" s="116" t="s">
        <v>107</v>
      </c>
      <c r="M22" s="237">
        <f>SRP_Admin_Charge</f>
        <v>8.9999999999999993E-3</v>
      </c>
      <c r="N22" s="237">
        <f>VLOOKUP($L22,External_Man_Chrge,7,FALSE)</f>
        <v>2.5000000000000001E-3</v>
      </c>
      <c r="O22" s="237">
        <f t="shared" ref="O22:O23" si="10">IF(N22="n/a",M22,M22+N22)</f>
        <v>1.15E-2</v>
      </c>
    </row>
    <row r="23" spans="1:23">
      <c r="A23" s="37" t="s">
        <v>164</v>
      </c>
      <c r="B23" t="s">
        <v>176</v>
      </c>
      <c r="D23" s="116" t="s">
        <v>101</v>
      </c>
      <c r="E23" s="237">
        <f>VLOOKUP($D23,External_Man_Chrge,7,FALSE)+SRP_Admin_Charge</f>
        <v>1.15E-2</v>
      </c>
      <c r="F23" s="237">
        <f>IFERROR(VLOOKUP($D23,Gtee_Chrge,2,FALSE),"n/a")</f>
        <v>6.4999999999999997E-3</v>
      </c>
      <c r="G23" s="237">
        <f t="shared" si="9"/>
        <v>1.7999999999999999E-2</v>
      </c>
      <c r="L23" s="116" t="s">
        <v>101</v>
      </c>
      <c r="M23" s="237">
        <f>SRP_Admin_Charge</f>
        <v>8.9999999999999993E-3</v>
      </c>
      <c r="N23" s="237">
        <f>VLOOKUP($L23,External_Man_Chrge,7,FALSE)</f>
        <v>2.5000000000000001E-3</v>
      </c>
      <c r="O23" s="237">
        <f t="shared" si="10"/>
        <v>1.15E-2</v>
      </c>
    </row>
    <row r="24" spans="1:23">
      <c r="D24" s="116" t="s">
        <v>128</v>
      </c>
      <c r="E24" s="237">
        <f>VLOOKUP($D24,External_Man_Chrge,7,FALSE)+SRP_Admin_Charge</f>
        <v>1.12E-2</v>
      </c>
      <c r="F24" s="237" t="str">
        <f>IFERROR(VLOOKUP($D24,Gtee_Chrge,2,FALSE),"n/a")</f>
        <v>n/a</v>
      </c>
      <c r="G24" s="237">
        <f t="shared" si="9"/>
        <v>1.12E-2</v>
      </c>
    </row>
    <row r="25" spans="1:23" ht="15.75" thickBot="1"/>
    <row r="26" spans="1:23" ht="75">
      <c r="D26" s="114" t="s">
        <v>341</v>
      </c>
      <c r="E26" s="115" t="s">
        <v>342</v>
      </c>
      <c r="F26" s="115" t="s">
        <v>343</v>
      </c>
      <c r="G26" s="115" t="s">
        <v>344</v>
      </c>
    </row>
    <row r="27" spans="1:23">
      <c r="A27" s="37" t="s">
        <v>163</v>
      </c>
      <c r="B27" t="s">
        <v>177</v>
      </c>
      <c r="D27" s="116" t="s">
        <v>107</v>
      </c>
      <c r="E27" s="237">
        <f>VLOOKUP($D27,External_Man_Chrge,7,FALSE)+SRP_Admin_Charge</f>
        <v>1.15E-2</v>
      </c>
      <c r="F27" s="237">
        <f>IFERROR(VLOOKUP($D27,Gtee_Chrge,2,FALSE),"n/a")</f>
        <v>8.5000000000000006E-3</v>
      </c>
      <c r="G27" s="237">
        <f t="shared" ref="G27:G28" si="11">IF(F27="n/a",E27,E27+F27)</f>
        <v>0.02</v>
      </c>
    </row>
    <row r="28" spans="1:23">
      <c r="A28" s="37" t="s">
        <v>164</v>
      </c>
      <c r="B28" t="s">
        <v>179</v>
      </c>
      <c r="D28" s="116" t="s">
        <v>101</v>
      </c>
      <c r="E28" s="237">
        <f>VLOOKUP($D28,External_Man_Chrge,7,FALSE)+SRP_Admin_Charge</f>
        <v>1.15E-2</v>
      </c>
      <c r="F28" s="237">
        <f>IFERROR(VLOOKUP($D28,Gtee_Chrge,2,FALSE),"n/a")</f>
        <v>6.4999999999999997E-3</v>
      </c>
      <c r="G28" s="237">
        <f t="shared" si="11"/>
        <v>1.7999999999999999E-2</v>
      </c>
    </row>
    <row r="29" spans="1:23" ht="15.75" thickBot="1"/>
    <row r="30" spans="1:23" ht="75">
      <c r="D30" s="114" t="s">
        <v>341</v>
      </c>
      <c r="E30" s="115" t="s">
        <v>342</v>
      </c>
      <c r="F30" s="115" t="s">
        <v>343</v>
      </c>
      <c r="G30" s="115" t="s">
        <v>344</v>
      </c>
    </row>
    <row r="31" spans="1:23">
      <c r="A31" s="37" t="s">
        <v>163</v>
      </c>
      <c r="B31" t="s">
        <v>177</v>
      </c>
      <c r="D31" s="116" t="s">
        <v>107</v>
      </c>
      <c r="E31" s="237">
        <f>VLOOKUP($D31,External_Man_Chrge,3,FALSE)+SRP_Admin_Charge</f>
        <v>1.15E-2</v>
      </c>
      <c r="F31" s="237">
        <f>IFERROR(VLOOKUP($D31,Gtee_Chrge,2,FALSE),"n/a")</f>
        <v>8.5000000000000006E-3</v>
      </c>
      <c r="G31" s="237">
        <f t="shared" ref="G31:G32" si="12">IF(F31="n/a",E31,E31+F31)</f>
        <v>0.02</v>
      </c>
    </row>
    <row r="32" spans="1:23">
      <c r="A32" s="37" t="s">
        <v>164</v>
      </c>
      <c r="B32" t="s">
        <v>180</v>
      </c>
      <c r="D32" s="116" t="s">
        <v>101</v>
      </c>
      <c r="E32" s="237">
        <f>VLOOKUP($D32,External_Man_Chrge,3,FALSE)+SRP_Admin_Charge</f>
        <v>1.15E-2</v>
      </c>
      <c r="F32" s="237">
        <f>IFERROR(VLOOKUP($D32,Gtee_Chrge,2,FALSE),"n/a")</f>
        <v>6.4999999999999997E-3</v>
      </c>
      <c r="G32" s="237">
        <f t="shared" si="12"/>
        <v>1.7999999999999999E-2</v>
      </c>
    </row>
    <row r="33" spans="1:7" ht="15.75" thickBot="1"/>
    <row r="34" spans="1:7" ht="75">
      <c r="D34" s="114" t="s">
        <v>341</v>
      </c>
      <c r="E34" s="115" t="s">
        <v>342</v>
      </c>
      <c r="F34" s="115" t="s">
        <v>343</v>
      </c>
      <c r="G34" s="115" t="s">
        <v>344</v>
      </c>
    </row>
    <row r="35" spans="1:7">
      <c r="A35" s="37" t="s">
        <v>163</v>
      </c>
      <c r="B35" t="s">
        <v>178</v>
      </c>
      <c r="D35" s="117" t="s">
        <v>101</v>
      </c>
      <c r="E35" s="237">
        <f t="shared" ref="E35:E40" si="13">VLOOKUP($D35,External_Man_Chrge,7,FALSE)+SRP_Admin_Charge</f>
        <v>1.15E-2</v>
      </c>
      <c r="F35" s="237">
        <f t="shared" ref="F35:F40" si="14">IFERROR(VLOOKUP($D35,Gtee_Chrge,2,FALSE),"n/a")</f>
        <v>6.4999999999999997E-3</v>
      </c>
      <c r="G35" s="237">
        <f t="shared" ref="G35:G40" si="15">IF(F35="n/a",E35,E35+F35)</f>
        <v>1.7999999999999999E-2</v>
      </c>
    </row>
    <row r="36" spans="1:7">
      <c r="A36" s="37" t="s">
        <v>164</v>
      </c>
      <c r="D36" s="117" t="s">
        <v>104</v>
      </c>
      <c r="E36" s="237">
        <f t="shared" si="13"/>
        <v>1.15E-2</v>
      </c>
      <c r="F36" s="237">
        <f t="shared" si="14"/>
        <v>7.4999999999999997E-3</v>
      </c>
      <c r="G36" s="237">
        <f t="shared" si="15"/>
        <v>1.9E-2</v>
      </c>
    </row>
    <row r="37" spans="1:7">
      <c r="D37" s="117" t="s">
        <v>125</v>
      </c>
      <c r="E37" s="237">
        <f t="shared" si="13"/>
        <v>1.3499999999999998E-2</v>
      </c>
      <c r="F37" s="237" t="str">
        <f t="shared" si="14"/>
        <v>n/a</v>
      </c>
      <c r="G37" s="237">
        <f t="shared" si="15"/>
        <v>1.3499999999999998E-2</v>
      </c>
    </row>
    <row r="38" spans="1:7">
      <c r="D38" s="117" t="s">
        <v>128</v>
      </c>
      <c r="E38" s="237">
        <f t="shared" si="13"/>
        <v>1.12E-2</v>
      </c>
      <c r="F38" s="237" t="str">
        <f t="shared" si="14"/>
        <v>n/a</v>
      </c>
      <c r="G38" s="237">
        <f t="shared" si="15"/>
        <v>1.12E-2</v>
      </c>
    </row>
    <row r="39" spans="1:7">
      <c r="D39" s="117" t="s">
        <v>132</v>
      </c>
      <c r="E39" s="237">
        <f t="shared" si="13"/>
        <v>1.55E-2</v>
      </c>
      <c r="F39" s="237" t="str">
        <f t="shared" si="14"/>
        <v>n/a</v>
      </c>
      <c r="G39" s="237">
        <f t="shared" si="15"/>
        <v>1.55E-2</v>
      </c>
    </row>
    <row r="40" spans="1:7">
      <c r="D40" s="117" t="s">
        <v>136</v>
      </c>
      <c r="E40" s="237">
        <f t="shared" si="13"/>
        <v>1.3899999999999999E-2</v>
      </c>
      <c r="F40" s="237" t="str">
        <f t="shared" si="14"/>
        <v>n/a</v>
      </c>
      <c r="G40" s="237">
        <f t="shared" si="15"/>
        <v>1.3899999999999999E-2</v>
      </c>
    </row>
  </sheetData>
  <mergeCells count="3">
    <mergeCell ref="A3:B3"/>
    <mergeCell ref="I3:J3"/>
    <mergeCell ref="R3:S3"/>
  </mergeCells>
  <phoneticPr fontId="20"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68D9E-3575-4844-8653-28E998D89EE1}">
  <dimension ref="B2:I23"/>
  <sheetViews>
    <sheetView workbookViewId="0">
      <selection activeCell="C23" sqref="C23"/>
    </sheetView>
  </sheetViews>
  <sheetFormatPr defaultRowHeight="15"/>
  <cols>
    <col min="3" max="3" width="74.140625" customWidth="1"/>
  </cols>
  <sheetData>
    <row r="2" spans="2:9">
      <c r="B2" s="108" t="s">
        <v>178</v>
      </c>
    </row>
    <row r="3" spans="2:9" ht="105">
      <c r="B3">
        <v>1</v>
      </c>
      <c r="C3" s="205" t="s">
        <v>348</v>
      </c>
    </row>
    <row r="4" spans="2:9" ht="60">
      <c r="B4">
        <v>2</v>
      </c>
      <c r="C4" s="205" t="s">
        <v>349</v>
      </c>
      <c r="I4" s="254"/>
    </row>
    <row r="6" spans="2:9">
      <c r="B6" s="108" t="s">
        <v>175</v>
      </c>
    </row>
    <row r="7" spans="2:9">
      <c r="B7">
        <v>1</v>
      </c>
      <c r="C7" s="79" t="s">
        <v>350</v>
      </c>
    </row>
    <row r="8" spans="2:9" ht="45">
      <c r="B8">
        <v>2</v>
      </c>
      <c r="C8" s="205" t="s">
        <v>351</v>
      </c>
    </row>
    <row r="10" spans="2:9">
      <c r="B10" s="125" t="s">
        <v>352</v>
      </c>
    </row>
    <row r="11" spans="2:9" ht="90">
      <c r="B11">
        <v>1</v>
      </c>
      <c r="C11" s="205" t="s">
        <v>353</v>
      </c>
    </row>
    <row r="12" spans="2:9" ht="60">
      <c r="B12">
        <v>2</v>
      </c>
      <c r="C12" s="205" t="s">
        <v>354</v>
      </c>
    </row>
    <row r="14" spans="2:9">
      <c r="B14" s="108" t="s">
        <v>355</v>
      </c>
    </row>
    <row r="15" spans="2:9" ht="120">
      <c r="B15">
        <v>1</v>
      </c>
      <c r="C15" s="205" t="s">
        <v>356</v>
      </c>
    </row>
    <row r="16" spans="2:9" ht="60">
      <c r="B16">
        <v>2</v>
      </c>
      <c r="C16" s="205" t="s">
        <v>354</v>
      </c>
    </row>
    <row r="18" spans="2:3">
      <c r="B18" s="108" t="s">
        <v>189</v>
      </c>
    </row>
    <row r="20" spans="2:3" ht="60">
      <c r="B20">
        <v>2</v>
      </c>
      <c r="C20" s="205" t="s">
        <v>357</v>
      </c>
    </row>
    <row r="22" spans="2:3">
      <c r="B22" s="108" t="s">
        <v>358</v>
      </c>
    </row>
    <row r="23" spans="2:3" ht="60">
      <c r="B23">
        <v>1</v>
      </c>
      <c r="C23" s="205" t="str">
        <f ca="1">"The Total Fund-based Charge in the table above is made up of the Annual Management Charge and the current Fund Management Charge. " &amp; "However, the Fund Management Charge on some funds may vary in the future. The expected range for the Fund Based charge for the relevant funds is: "&amp; 'Initial SRP doc inputs'!Q46</f>
        <v xml:space="preserve">The Total Fund-based Charge in the table above is made up of the Annual Management Charge and the current Fund Management Charge. However, the Fund Management Charge on some funds may vary in the future. The expected range for the Fund Based charge for the relevant funds is: </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CBFB3-54E1-453F-AEDD-55BBB09D88F1}">
  <dimension ref="C2:Z62"/>
  <sheetViews>
    <sheetView topLeftCell="A7" workbookViewId="0">
      <selection activeCell="L54" sqref="L54"/>
    </sheetView>
  </sheetViews>
  <sheetFormatPr defaultRowHeight="15"/>
  <cols>
    <col min="3" max="3" width="38" bestFit="1" customWidth="1"/>
    <col min="4" max="4" width="50.28515625" customWidth="1"/>
    <col min="7" max="7" width="12.85546875" customWidth="1"/>
    <col min="9" max="9" width="26.28515625" bestFit="1" customWidth="1"/>
    <col min="10" max="10" width="41.7109375" bestFit="1" customWidth="1"/>
    <col min="11" max="11" width="13.85546875" customWidth="1"/>
    <col min="12" max="12" width="12.5703125" bestFit="1" customWidth="1"/>
    <col min="13" max="13" width="13.28515625" customWidth="1"/>
    <col min="14" max="14" width="15.42578125" customWidth="1"/>
    <col min="15" max="15" width="16.140625" bestFit="1" customWidth="1"/>
    <col min="16" max="16" width="20.42578125" bestFit="1" customWidth="1"/>
    <col min="19" max="19" width="13.5703125" bestFit="1" customWidth="1"/>
    <col min="26" max="26" width="15.5703125" bestFit="1" customWidth="1"/>
  </cols>
  <sheetData>
    <row r="2" spans="3:17">
      <c r="C2" s="108" t="s">
        <v>359</v>
      </c>
      <c r="I2" s="108" t="s">
        <v>360</v>
      </c>
    </row>
    <row r="3" spans="3:17" ht="15.75" thickBot="1">
      <c r="C3" s="37" t="s">
        <v>361</v>
      </c>
      <c r="D3" s="197" t="str">
        <f>VLOOKUP(RIGHT(Product_Type,LEN(Product_Type)-3)&amp;" "&amp;Product_Version,'Product Name Table'!$D$3:$F$9,IF(avc_indicator = "Yes", 3, 2),FALSE)</f>
        <v>Non-Standard PRSA (B)</v>
      </c>
      <c r="E3" t="s">
        <v>457</v>
      </c>
    </row>
    <row r="4" spans="3:17">
      <c r="C4" s="37" t="s">
        <v>362</v>
      </c>
      <c r="D4" s="198">
        <f>SRP_DoB</f>
        <v>26921</v>
      </c>
      <c r="E4" t="s">
        <v>457</v>
      </c>
      <c r="I4" s="37" t="s">
        <v>363</v>
      </c>
      <c r="J4" s="286" t="s">
        <v>200</v>
      </c>
      <c r="K4" s="22" t="s">
        <v>201</v>
      </c>
      <c r="L4" s="24" t="s">
        <v>201</v>
      </c>
      <c r="M4" s="24" t="s">
        <v>201</v>
      </c>
      <c r="N4" s="24" t="s">
        <v>201</v>
      </c>
    </row>
    <row r="5" spans="3:17" ht="90" thickBot="1">
      <c r="C5" s="37" t="s">
        <v>220</v>
      </c>
      <c r="D5" s="198">
        <f>SRP_PolicyStartDate</f>
        <v>46280</v>
      </c>
      <c r="I5" t="s">
        <v>457</v>
      </c>
      <c r="J5" s="287"/>
      <c r="K5" s="23" t="s">
        <v>364</v>
      </c>
      <c r="L5" s="25" t="s">
        <v>203</v>
      </c>
      <c r="M5" s="25" t="s">
        <v>204</v>
      </c>
      <c r="N5" s="25" t="s">
        <v>205</v>
      </c>
    </row>
    <row r="6" spans="3:17" ht="15.75" thickBot="1">
      <c r="C6" s="37" t="s">
        <v>223</v>
      </c>
      <c r="D6" s="198">
        <f>SRP_RetirementDate</f>
        <v>48836</v>
      </c>
      <c r="J6" s="21">
        <f>IF(SRP!C20="","",SRP!C20)</f>
        <v>1</v>
      </c>
      <c r="K6" s="58">
        <f>IF(SRP!D20="","",SRP!D20)</f>
        <v>700000</v>
      </c>
      <c r="L6" s="58">
        <f>IF(SRP!E20="","",SRP!E20)</f>
        <v>35944.999999999687</v>
      </c>
      <c r="M6" s="58">
        <f>IF(SRP!F20="","",SRP!F20)</f>
        <v>735944.99999999988</v>
      </c>
      <c r="N6" s="58">
        <f>IF(SRP!G20="","",SRP!G20)</f>
        <v>727514.31598283013</v>
      </c>
      <c r="P6" s="285"/>
      <c r="Q6" s="245"/>
    </row>
    <row r="7" spans="3:17" ht="15.75" thickBot="1">
      <c r="C7" s="37" t="s">
        <v>365</v>
      </c>
      <c r="D7" s="197">
        <f>SRP_NRA</f>
        <v>60</v>
      </c>
      <c r="E7" t="s">
        <v>457</v>
      </c>
      <c r="J7" s="21">
        <f>IF(SRP!C21="","",SRP!C21)</f>
        <v>2</v>
      </c>
      <c r="K7" s="58">
        <f>IF(SRP!D21="","",SRP!D21)</f>
        <v>700000</v>
      </c>
      <c r="L7" s="58">
        <f>IF(SRP!E21="","",SRP!E21)</f>
        <v>73735.775749999346</v>
      </c>
      <c r="M7" s="58">
        <f>IF(SRP!F21="","",SRP!F21)</f>
        <v>773735.77574999968</v>
      </c>
      <c r="N7" s="58">
        <f>IF(SRP!G21="","",SRP!G21)</f>
        <v>756110.11422852194</v>
      </c>
    </row>
    <row r="8" spans="3:17" ht="15.75" thickBot="1">
      <c r="C8" s="37" t="s">
        <v>366</v>
      </c>
      <c r="D8" s="199">
        <f>SRP!N38</f>
        <v>0</v>
      </c>
      <c r="J8" s="21">
        <f>IF(SRP!C22="","",SRP!C22)</f>
        <v>3</v>
      </c>
      <c r="K8" s="58">
        <f>IF(SRP!D22="","",SRP!D22)</f>
        <v>700000</v>
      </c>
      <c r="L8" s="58">
        <f>IF(SRP!E22="","",SRP!E22)</f>
        <v>113467.10783476147</v>
      </c>
      <c r="M8" s="58">
        <f>IF(SRP!F22="","",SRP!F22)</f>
        <v>813467.10783476196</v>
      </c>
      <c r="N8" s="58">
        <f>IF(SRP!G22="","",SRP!G22)</f>
        <v>785829.90365808946</v>
      </c>
    </row>
    <row r="9" spans="3:17" ht="15.75" thickBot="1">
      <c r="C9" s="37" t="s">
        <v>210</v>
      </c>
      <c r="D9" s="199">
        <f>SRP!K36</f>
        <v>916786.60669617692</v>
      </c>
      <c r="E9" t="s">
        <v>457</v>
      </c>
      <c r="J9" s="21">
        <f>IF(SRP!C23="","",SRP!C23)</f>
        <v>4</v>
      </c>
      <c r="K9" s="58">
        <f>IF(SRP!D23="","",SRP!D23)</f>
        <v>700000</v>
      </c>
      <c r="L9" s="58">
        <f>IF(SRP!E23="","",SRP!E23)</f>
        <v>155238.64382207612</v>
      </c>
      <c r="M9" s="58">
        <f>IF(SRP!F23="","",SRP!F23)</f>
        <v>855238.64382207685</v>
      </c>
      <c r="N9" s="58">
        <f>IF(SRP!G23="","",SRP!G23)</f>
        <v>816717.86405524041</v>
      </c>
    </row>
    <row r="10" spans="3:17" ht="15.75" thickBot="1">
      <c r="C10" s="37" t="s">
        <v>212</v>
      </c>
      <c r="D10" s="199">
        <f>SRP!K37</f>
        <v>745476.65346652688</v>
      </c>
      <c r="E10" t="s">
        <v>457</v>
      </c>
      <c r="J10" s="21">
        <f>IF(SRP!C24="","",SRP!C24)</f>
        <v>5</v>
      </c>
      <c r="K10" s="58">
        <f>IF(SRP!D24="","",SRP!D24)</f>
        <v>700000</v>
      </c>
      <c r="L10" s="58">
        <f>IF(SRP!E24="","",SRP!E24)</f>
        <v>199155.1481823393</v>
      </c>
      <c r="M10" s="58">
        <f>IF(SRP!F24="","",SRP!F24)</f>
        <v>899155.14818233985</v>
      </c>
      <c r="N10" s="58">
        <f>IF(SRP!G24="","",SRP!G24)</f>
        <v>848819.91174158035</v>
      </c>
    </row>
    <row r="11" spans="3:17" ht="15.75" thickBot="1">
      <c r="C11" s="37" t="s">
        <v>367</v>
      </c>
      <c r="D11" s="199">
        <f>SRP!K38</f>
        <v>2563.137881075962</v>
      </c>
      <c r="E11" t="s">
        <v>457</v>
      </c>
      <c r="J11" s="21" t="str">
        <f>IF(SRP!C25="","",SRP!C25)</f>
        <v/>
      </c>
      <c r="K11" s="58" t="str">
        <f>IF(SRP!D25="","",SRP!D25)</f>
        <v/>
      </c>
      <c r="L11" s="58" t="str">
        <f>IF(SRP!E25="","",SRP!E25)</f>
        <v/>
      </c>
      <c r="M11" s="58" t="str">
        <f>IF(SRP!F25="","",SRP!F25)</f>
        <v/>
      </c>
      <c r="N11" s="58" t="str">
        <f>IF(SRP!G25="","",SRP!G25)</f>
        <v/>
      </c>
    </row>
    <row r="12" spans="3:17" ht="15.75" thickBot="1">
      <c r="C12" s="37" t="s">
        <v>158</v>
      </c>
      <c r="D12" s="200">
        <f>SRP!K40</f>
        <v>5.133458814167291E-2</v>
      </c>
      <c r="E12" t="s">
        <v>457</v>
      </c>
      <c r="J12" s="21" t="str">
        <f>IF(SRP!C26="","",SRP!C26)</f>
        <v/>
      </c>
      <c r="K12" s="58" t="str">
        <f>IF(SRP!D26="","",SRP!D26)</f>
        <v/>
      </c>
      <c r="L12" s="58" t="str">
        <f>IF(SRP!E26="","",SRP!E26)</f>
        <v/>
      </c>
      <c r="M12" s="58" t="str">
        <f>IF(SRP!F26="","",SRP!F26)</f>
        <v/>
      </c>
      <c r="N12" s="58" t="str">
        <f>IF(SRP!G26="","",SRP!G26)</f>
        <v/>
      </c>
    </row>
    <row r="13" spans="3:17" ht="15.75" thickBot="1">
      <c r="C13" s="37" t="s">
        <v>368</v>
      </c>
      <c r="D13" s="201">
        <f>SRP_Inf_Rate</f>
        <v>0.03</v>
      </c>
      <c r="E13" t="s">
        <v>457</v>
      </c>
      <c r="J13" s="21" t="str">
        <f>IF(SRP!C27="","",SRP!C27)</f>
        <v/>
      </c>
      <c r="K13" s="58" t="str">
        <f>IF(SRP!D27="","",SRP!D27)</f>
        <v/>
      </c>
      <c r="L13" s="58" t="str">
        <f>IF(SRP!E27="","",SRP!E27)</f>
        <v/>
      </c>
      <c r="M13" s="58" t="str">
        <f>IF(SRP!F27="","",SRP!F27)</f>
        <v/>
      </c>
      <c r="N13" s="58" t="str">
        <f>IF(SRP!G27="","",SRP!G27)</f>
        <v/>
      </c>
    </row>
    <row r="14" spans="3:17" ht="15.75" thickBot="1">
      <c r="C14" s="37" t="s">
        <v>369</v>
      </c>
      <c r="D14" s="197" t="str">
        <f>INT((SRP!A91-IF(Premium_Month1_Flag = "No",1,0))/12) &amp; " years and " &amp; MOD((SRP!A91-IF(Premium_Month1_Flag = "No",1,0)), 12) &amp; " months"</f>
        <v>7 years and 0 months</v>
      </c>
      <c r="E14" t="s">
        <v>457</v>
      </c>
      <c r="J14" s="21" t="str">
        <f>IF(SRP!C28="","",SRP!C28)</f>
        <v/>
      </c>
      <c r="K14" s="58" t="str">
        <f>IF(SRP!D28="","",SRP!D28)</f>
        <v/>
      </c>
      <c r="L14" s="58" t="str">
        <f>IF(SRP!E28="","",SRP!E28)</f>
        <v/>
      </c>
      <c r="M14" s="58" t="str">
        <f>IF(SRP!F28="","",SRP!F28)</f>
        <v/>
      </c>
      <c r="N14" s="58" t="str">
        <f>IF(SRP!G28="","",SRP!G28)</f>
        <v/>
      </c>
    </row>
    <row r="15" spans="3:17" ht="15.75" thickBot="1">
      <c r="C15" s="37" t="s">
        <v>370</v>
      </c>
      <c r="D15" s="197">
        <f>_xlfn.FLOOR.MATH((SRP!A91-IF(Premium_Month1_Flag = "No",1,0))/(12/Contributions_per_year))</f>
        <v>84</v>
      </c>
      <c r="E15" t="s">
        <v>457</v>
      </c>
      <c r="J15" s="21" t="str">
        <f>IF(SRP!C29="","",SRP!C29)</f>
        <v/>
      </c>
      <c r="K15" s="58" t="str">
        <f>IF(SRP!D29="","",SRP!D29)</f>
        <v/>
      </c>
      <c r="L15" s="58" t="str">
        <f>IF(SRP!E29="","",SRP!E29)</f>
        <v/>
      </c>
      <c r="M15" s="58" t="str">
        <f>IF(SRP!F29="","",SRP!F29)</f>
        <v/>
      </c>
      <c r="N15" s="58" t="str">
        <f>IF(SRP!G29="","",SRP!G29)</f>
        <v/>
      </c>
    </row>
    <row r="16" spans="3:17" ht="15.75" thickBot="1">
      <c r="C16" s="37" t="s">
        <v>371</v>
      </c>
      <c r="D16" s="197" t="str">
        <f>SRP_PremFreq</f>
        <v>Monthly</v>
      </c>
      <c r="J16" s="21" t="str">
        <f>IF(SRP!C30="","",SRP!C30)</f>
        <v/>
      </c>
      <c r="K16" s="58" t="str">
        <f>IF(SRP!D30="","",SRP!D30)</f>
        <v/>
      </c>
      <c r="L16" s="58" t="str">
        <f>IF(SRP!E30="","",SRP!E30)</f>
        <v/>
      </c>
      <c r="M16" s="58" t="str">
        <f>IF(SRP!F30="","",SRP!F30)</f>
        <v/>
      </c>
      <c r="N16" s="58" t="str">
        <f>IF(SRP!G30="","",SRP!G30)</f>
        <v/>
      </c>
    </row>
    <row r="17" spans="3:17" ht="15.75" thickBot="1">
      <c r="C17" s="37" t="s">
        <v>256</v>
      </c>
      <c r="D17" s="197">
        <f>SRP_Annuity_Gtee_Period</f>
        <v>5</v>
      </c>
      <c r="J17" s="21" t="str">
        <f>IF(SRP!C31="","",SRP!C31)</f>
        <v/>
      </c>
      <c r="K17" s="58" t="str">
        <f>IF(SRP!D31="","",SRP!D31)</f>
        <v/>
      </c>
      <c r="L17" s="58" t="str">
        <f>IF(SRP!E31="","",SRP!E31)</f>
        <v/>
      </c>
      <c r="M17" s="58" t="str">
        <f>IF(SRP!F31="","",SRP!F31)</f>
        <v/>
      </c>
      <c r="N17" s="58" t="str">
        <f>IF(SRP!G31="","",SRP!G31)</f>
        <v/>
      </c>
    </row>
    <row r="18" spans="3:17" ht="15.75" thickBot="1">
      <c r="C18" s="37" t="s">
        <v>372</v>
      </c>
      <c r="D18" s="202">
        <f>SRP_Annuity_Esc_Rate</f>
        <v>0.02</v>
      </c>
      <c r="J18" s="26" t="str">
        <f>IF(SRP!C32="","",SRP!C32)</f>
        <v>Year of Maturity</v>
      </c>
      <c r="K18" s="58">
        <f>IF(SRP!D32="","",SRP!D32)</f>
        <v>700000</v>
      </c>
      <c r="L18" s="58">
        <f>IF(SRP!E32="","",SRP!E32)</f>
        <v>293767.31421605841</v>
      </c>
      <c r="M18" s="58">
        <f>IF(SRP!F32="","",SRP!F32)</f>
        <v>993767.31421605847</v>
      </c>
      <c r="N18" s="109">
        <f>IF(SRP!G32="","",SRP!G32)</f>
        <v>916786.60669617692</v>
      </c>
    </row>
    <row r="19" spans="3:17">
      <c r="C19" s="37" t="s">
        <v>65</v>
      </c>
      <c r="D19" s="200">
        <f>SRP_Admin_Charge</f>
        <v>8.9999999999999993E-3</v>
      </c>
    </row>
    <row r="20" spans="3:17" ht="15.75" thickBot="1">
      <c r="C20" s="37" t="s">
        <v>188</v>
      </c>
      <c r="D20" s="203">
        <f>IF(Investment_Strategy="DIS", "Default Investment Strategy (DIS)",
IF(Investment_Strategy = "Lifecycle", "Lifecycle Investment Strategy (LC)",
IF(Investment_Strategy = "Autopilot", "Autopilot Investment Strategy (AP)",0)))</f>
        <v>0</v>
      </c>
    </row>
    <row r="21" spans="3:17" ht="30.75" thickBot="1">
      <c r="C21" s="37" t="s">
        <v>373</v>
      </c>
      <c r="D21" s="203">
        <f>IF(Investment_Strategy="DIS","DIS",IF(Investment_Strategy="Lifecycle","LC",
IF(Investment_Strategy="Autopilot","AP",0)))</f>
        <v>0</v>
      </c>
      <c r="I21" s="37" t="s">
        <v>374</v>
      </c>
      <c r="J21" s="110" t="s">
        <v>375</v>
      </c>
      <c r="K21" s="111" t="s">
        <v>376</v>
      </c>
    </row>
    <row r="22" spans="3:17" ht="82.5" customHeight="1" thickBot="1">
      <c r="C22" s="37" t="s">
        <v>377</v>
      </c>
      <c r="D22" s="204" t="str">
        <f ca="1">_xlfn.TEXTJOIN("", TRUE,U33:U45)</f>
        <v/>
      </c>
      <c r="E22" s="124"/>
      <c r="F22" s="124" t="s">
        <v>457</v>
      </c>
      <c r="G22" s="124"/>
      <c r="J22" s="112" t="s">
        <v>378</v>
      </c>
      <c r="K22" s="113">
        <f>Parameters!D32</f>
        <v>0.02</v>
      </c>
    </row>
    <row r="23" spans="3:17" ht="15" customHeight="1" thickBot="1">
      <c r="C23" s="37" t="s">
        <v>379</v>
      </c>
      <c r="D23" s="288" t="str">
        <f>IF(Investment_Strategy_Sub1 = "Non-Standard","",
IF(Investment_Strategy="DIY","You have choosen to invest in the following funds: "&amp; LEFT(D22, LEN(D22)-1)&amp;".",
"You have invested in the " &amp; D20 &amp; ".  Under this investment strategy the asset mix of your policy changes over time.  You will be invested in a mix of " &amp; LEFT(D22, LEN(D22)-1)&amp;"."))</f>
        <v/>
      </c>
      <c r="E23" s="288"/>
      <c r="F23" s="288"/>
      <c r="G23" s="288"/>
      <c r="J23" s="112" t="s">
        <v>95</v>
      </c>
      <c r="K23" s="113">
        <f>Parameters!D34</f>
        <v>0</v>
      </c>
    </row>
    <row r="24" spans="3:17">
      <c r="D24" s="288"/>
      <c r="E24" s="288"/>
      <c r="F24" s="288"/>
      <c r="G24" s="288"/>
    </row>
    <row r="25" spans="3:17" ht="15.75" thickBot="1">
      <c r="D25" s="288"/>
      <c r="E25" s="288"/>
      <c r="F25" s="288"/>
      <c r="G25" s="288"/>
    </row>
    <row r="26" spans="3:17" ht="43.9" customHeight="1" thickBot="1">
      <c r="D26" s="288"/>
      <c r="E26" s="288"/>
      <c r="F26" s="288"/>
      <c r="G26" s="288"/>
      <c r="I26" s="37" t="s">
        <v>380</v>
      </c>
      <c r="J26" s="110" t="s">
        <v>381</v>
      </c>
      <c r="K26" s="111" t="s">
        <v>376</v>
      </c>
    </row>
    <row r="27" spans="3:17" ht="46.15" customHeight="1" thickBot="1">
      <c r="D27" s="288"/>
      <c r="E27" s="288"/>
      <c r="F27" s="288"/>
      <c r="G27" s="288"/>
      <c r="J27" s="112" t="s">
        <v>382</v>
      </c>
      <c r="K27" s="113">
        <f>Parameters!H32</f>
        <v>0.02</v>
      </c>
    </row>
    <row r="28" spans="3:17" ht="75.75" customHeight="1" thickBot="1">
      <c r="C28" s="37" t="s">
        <v>383</v>
      </c>
      <c r="D28" s="288" t="e">
        <f ca="1">IF(Investment_Strategy_Sub1 = "Standard","",
IF(AND(Investment_Strategy="DIY",SUM(L33:L37)&gt;0),"You have choosen to invest in the following funds: "&amp;LEFT(D22,LEN(D22)-1)&amp;". You have also chosen to include the guarantee on some of these funds where available."&amp;" As a result, while invested in this investment strategy (and thereafter if you choose to remain within those funds post-retirement) the guarantee and guarantee charge will apply.",
IF(Investment_Strategy="DIY","You have choosen to invest in the following funds: "&amp;LEFT(D22,LEN(D22)-1)&amp;".",
IF(Investment_Strategy="DIS",'Fund Based Charges Text'!$C$3,
IF(Investment_Strategy="Lifecycle",'Fund Based Charges Text'!$C$7,
IF(AND(Investment_Strategy="Autopilot",Investment_Strategy_Sub2 = "Balanced"),'Fund Based Charges Text'!$C$15,
IF(Investment_Strategy="Autopilot",'Fund Based Charges Text'!$C$11,"error")))))))</f>
        <v>#VALUE!</v>
      </c>
      <c r="E28" s="288"/>
      <c r="F28" s="288"/>
      <c r="G28" s="288"/>
      <c r="J28" s="112" t="s">
        <v>384</v>
      </c>
      <c r="K28" s="113">
        <f>Parameters!H35</f>
        <v>0</v>
      </c>
    </row>
    <row r="29" spans="3:17">
      <c r="D29" s="288"/>
      <c r="E29" s="288"/>
      <c r="F29" s="288"/>
      <c r="G29" s="288"/>
    </row>
    <row r="30" spans="3:17">
      <c r="D30" s="288"/>
      <c r="E30" s="288"/>
      <c r="F30" s="288"/>
      <c r="G30" s="288"/>
    </row>
    <row r="31" spans="3:17" ht="15.75" thickBot="1">
      <c r="D31" s="288"/>
      <c r="E31" s="288"/>
      <c r="F31" s="288"/>
      <c r="G31" s="288"/>
      <c r="I31" t="s">
        <v>457</v>
      </c>
    </row>
    <row r="32" spans="3:17" ht="78.75" customHeight="1" thickBot="1">
      <c r="D32" s="119"/>
      <c r="E32" s="119"/>
      <c r="F32" s="119"/>
      <c r="G32" s="119"/>
      <c r="I32" s="37" t="s">
        <v>385</v>
      </c>
      <c r="J32" s="110" t="str" cm="1">
        <f t="array" aca="1" ref="J32" ca="1">IFERROR(IF($Z$36 = "No Match", "No Match", INDEX(INDIRECT($Z$36), ROW(A1), COLUMN(A1))),"")</f>
        <v>Fund</v>
      </c>
      <c r="K32" s="110" t="str" cm="1">
        <f t="array" aca="1" ref="K32" ca="1">IFERROR(IF($Z$36 = "No Match", "No Match", INDEX(INDIRECT($Z$36), ROW(B1), COLUMN(B1))),"")</f>
        <v>Fund based charge – excluding guarantee charge</v>
      </c>
      <c r="L32" s="110" t="str" cm="1">
        <f t="array" aca="1" ref="L32" ca="1">IFERROR(IF($Z$36 = "No Match", "No Match", INDEX(INDIRECT($Z$36), ROW(C1), COLUMN(C1))),"")</f>
        <v>Guarantee charge</v>
      </c>
      <c r="M32" s="110" t="str" cm="1">
        <f t="array" aca="1" ref="M32" ca="1">IFERROR(IF($Z$36 = "No Match", "No Match", INDEX(INDIRECT($Z$36), ROW(D1), COLUMN(D1))),"")</f>
        <v>Fund based charge – including guarantee charge</v>
      </c>
      <c r="N32" t="s">
        <v>386</v>
      </c>
      <c r="O32" t="s">
        <v>387</v>
      </c>
      <c r="P32" t="s">
        <v>388</v>
      </c>
      <c r="Q32" t="str">
        <f>""</f>
        <v/>
      </c>
    </row>
    <row r="33" spans="3:26" ht="15.75" thickBot="1">
      <c r="C33" s="37" t="s">
        <v>389</v>
      </c>
      <c r="D33" s="288" t="str">
        <f>IF(Investment_Strategy_Sub1="Standard","",
IF(Investment_Strategy="DIY",'Fund Based Charges Text'!$C$20,
IF(Investment_Strategy="DIS",'Fund Based Charges Text'!$C$4,
IF(Investment_Strategy="Lifecycle",'Fund Based Charges Text'!$C$8,
IF(AND(Investment_Strategy="Autopilot",Investment_Strategy_Sub2="Balanced"),'Fund Based Charges Text'!$C$16,
IF(Investment_Strategy="Autopilot",'Fund Based Charges Text'!$C$12,"error"))))))</f>
        <v>The funds your policy is invested in, and the total fund based charge applicable for each fund are set out in the table below.  The total charge includes the Annual Management Charge, the Fund Management Charge and in the case of the Allianz Strategy Select funds the relevant guarantee charge if selected .</v>
      </c>
      <c r="E33" s="288"/>
      <c r="F33" s="288"/>
      <c r="G33" s="288"/>
      <c r="I33">
        <f t="shared" ref="I33:I45" ca="1" si="0">IF(J34="", 1, 0)</f>
        <v>1</v>
      </c>
      <c r="J33" s="120" t="str" cm="1">
        <f t="array" aca="1" ref="J33" ca="1">IFERROR(IF($Z$36 = "No Match", "No Match", INDEX(INDIRECT($Z$36), ROW(A2), COLUMN(A2))),"")</f>
        <v/>
      </c>
      <c r="K33" s="121" t="str" cm="1">
        <f t="array" aca="1" ref="K33" ca="1">IFERROR(IF($Z$36 = "No Match", "No Match", INDEX(INDIRECT($Z$36), ROW(B2), COLUMN(B2))),"")</f>
        <v/>
      </c>
      <c r="L33" s="121" t="str" cm="1">
        <f t="array" aca="1" ref="L33" ca="1">IFERROR(IF($Z$36 = "No Match", "No Match", INDEX(INDIRECT($Z$36), ROW(C2), COLUMN(C2))),"")</f>
        <v/>
      </c>
      <c r="M33" s="121" t="str" cm="1">
        <f t="array" aca="1" ref="M33" ca="1">IFERROR(IF($Z$36 = "No Match", "No Match", INDEX(INDIRECT($Z$36), ROW(D2), COLUMN(D2))),"")</f>
        <v/>
      </c>
      <c r="N33" s="251" t="str">
        <f ca="1">_xlfn.IFNA(VLOOKUP(J33,Parameters!$C$48:$F$60,4,FALSE),"")</f>
        <v/>
      </c>
      <c r="O33" s="251" t="str">
        <f ca="1">IF(ISERROR(VLOOKUP(J33,Parameters!$C$48:$H$60, 5, FALSE)+SRP_Admin_Charge), "", VLOOKUP(J33,Parameters!$C$48:$H$60, 5, FALSE)+SRP_Admin_Charge)</f>
        <v/>
      </c>
      <c r="P33" s="245" t="str">
        <f ca="1">IF(ISERROR(VLOOKUP(J33,Parameters!$C$48:$H$60, 6, FALSE)+SRP_Admin_Charge), "", VLOOKUP(J33,Parameters!$C$48:$H$60, 6, FALSE)+SRP_Admin_Charge)</f>
        <v/>
      </c>
      <c r="Q33" s="245" t="str">
        <f t="shared" ref="Q33:Q45" ca="1" si="1">IF(J33="", "", IF(N33="No", Q32, Q32 &amp;  J33 &amp; ": " &amp; O33*100 &amp; "% to " &amp;P33*100 &amp;"%" &amp; IF(J34="", ".", "; ")))</f>
        <v/>
      </c>
      <c r="R33" s="245"/>
      <c r="U33" t="str">
        <f ca="1">IF(J33="","",J33&amp;",")</f>
        <v/>
      </c>
      <c r="Z33" s="118" t="str">
        <f>Investment_Strategy</f>
        <v>DIY</v>
      </c>
    </row>
    <row r="34" spans="3:26" ht="15.75" thickBot="1">
      <c r="D34" s="288"/>
      <c r="E34" s="288"/>
      <c r="F34" s="288"/>
      <c r="G34" s="288"/>
      <c r="I34">
        <f t="shared" ca="1" si="0"/>
        <v>1</v>
      </c>
      <c r="J34" s="120" t="str" cm="1">
        <f t="array" aca="1" ref="J34" ca="1">IFERROR(IF($Z$36 = "No Match", "No Match", INDEX(INDIRECT($Z$36), ROW(A3), COLUMN(A3))),"")</f>
        <v/>
      </c>
      <c r="K34" s="121" t="str" cm="1">
        <f t="array" aca="1" ref="K34" ca="1">IFERROR(IF($Z$36 = "No Match", "No Match", INDEX(INDIRECT($Z$36), ROW(B3), COLUMN(B3))),"")</f>
        <v/>
      </c>
      <c r="L34" s="121" t="str" cm="1">
        <f t="array" aca="1" ref="L34" ca="1">IFERROR(IF($Z$36 = "No Match", "No Match", INDEX(INDIRECT($Z$36), ROW(C3), COLUMN(C3))),"")</f>
        <v/>
      </c>
      <c r="M34" s="121" t="str" cm="1">
        <f t="array" aca="1" ref="M34" ca="1">IFERROR(IF($Z$36 = "No Match", "No Match", INDEX(INDIRECT($Z$36), ROW(D3), COLUMN(D3))),"")</f>
        <v/>
      </c>
      <c r="N34" s="251" t="str">
        <f ca="1">_xlfn.IFNA(VLOOKUP(J34,Parameters!$C$48:$F$60,4,FALSE),"")</f>
        <v/>
      </c>
      <c r="O34" s="251" t="str">
        <f ca="1">IF(ISERROR(VLOOKUP(J34,Parameters!$C$48:$H$60, 5, FALSE)+SRP_Admin_Charge), "", VLOOKUP(J34,Parameters!$C$48:$H$60, 5, FALSE)+SRP_Admin_Charge)</f>
        <v/>
      </c>
      <c r="P34" s="245" t="str">
        <f ca="1">IF(ISERROR(VLOOKUP(J34,Parameters!$C$48:$H$60, 6, FALSE)+SRP_Admin_Charge), "", VLOOKUP(J34,Parameters!$C$48:$H$60, 6, FALSE)+SRP_Admin_Charge)</f>
        <v/>
      </c>
      <c r="Q34" s="245" t="str">
        <f t="shared" ca="1" si="1"/>
        <v/>
      </c>
      <c r="R34" s="245"/>
      <c r="U34" t="str">
        <f t="shared" ref="U34:U45" ca="1" si="2">IF(J34="",""," "&amp;J34&amp;",")</f>
        <v/>
      </c>
      <c r="Z34" s="123" t="str">
        <f>Investment_Strategy_Sub1</f>
        <v>Non-Standard</v>
      </c>
    </row>
    <row r="35" spans="3:26" ht="15.75" thickBot="1">
      <c r="D35" s="288"/>
      <c r="E35" s="288"/>
      <c r="F35" s="288"/>
      <c r="G35" s="288"/>
      <c r="I35">
        <f t="shared" ca="1" si="0"/>
        <v>1</v>
      </c>
      <c r="J35" s="120" t="str" cm="1">
        <f t="array" aca="1" ref="J35" ca="1">IFERROR(IF($Z$36 = "No Match", "No Match", INDEX(INDIRECT($Z$36), ROW(A4), COLUMN(A4))),"")</f>
        <v/>
      </c>
      <c r="K35" s="121" t="str" cm="1">
        <f t="array" aca="1" ref="K35" ca="1">IFERROR(IF($Z$36 = "No Match", "No Match", INDEX(INDIRECT($Z$36), ROW(B4), COLUMN(B4))),"")</f>
        <v/>
      </c>
      <c r="L35" s="121" t="str" cm="1">
        <f t="array" aca="1" ref="L35" ca="1">IFERROR(IF($Z$36 = "No Match", "No Match", INDEX(INDIRECT($Z$36), ROW(C4), COLUMN(C4))),"")</f>
        <v/>
      </c>
      <c r="M35" s="121" t="str" cm="1">
        <f t="array" aca="1" ref="M35" ca="1">IFERROR(IF($Z$36 = "No Match", "No Match", INDEX(INDIRECT($Z$36), ROW(D4), COLUMN(D4))),"")</f>
        <v/>
      </c>
      <c r="N35" s="251" t="str">
        <f ca="1">_xlfn.IFNA(VLOOKUP(J35,Parameters!$C$48:$F$60,4,FALSE),"")</f>
        <v/>
      </c>
      <c r="O35" s="251" t="str">
        <f ca="1">IF(ISERROR(VLOOKUP(J35,Parameters!$C$48:$H$60, 5, FALSE)+SRP_Admin_Charge), "", VLOOKUP(J35,Parameters!$C$48:$H$60, 5, FALSE)+SRP_Admin_Charge)</f>
        <v/>
      </c>
      <c r="P35" s="245" t="str">
        <f ca="1">IF(ISERROR(VLOOKUP(J35,Parameters!$C$48:$H$60, 6, FALSE)+SRP_Admin_Charge), "", VLOOKUP(J35,Parameters!$C$48:$H$60, 6, FALSE)+SRP_Admin_Charge)</f>
        <v/>
      </c>
      <c r="Q35" s="245" t="str">
        <f t="shared" ca="1" si="1"/>
        <v/>
      </c>
      <c r="R35" s="245"/>
      <c r="U35" t="str">
        <f t="shared" ca="1" si="2"/>
        <v/>
      </c>
      <c r="Z35" s="122" t="str">
        <f>Investment_Strategy_Sub2</f>
        <v>NiL</v>
      </c>
    </row>
    <row r="36" spans="3:26" ht="15.75" thickBot="1">
      <c r="D36" s="288"/>
      <c r="E36" s="288"/>
      <c r="F36" s="288"/>
      <c r="G36" s="288"/>
      <c r="I36">
        <f t="shared" ca="1" si="0"/>
        <v>1</v>
      </c>
      <c r="J36" s="120" t="str" cm="1">
        <f t="array" aca="1" ref="J36" ca="1">IFERROR(IF($Z$36 = "No Match", "No Match", INDEX(INDIRECT($Z$36), ROW(A5), COLUMN(A5))),"")</f>
        <v/>
      </c>
      <c r="K36" s="121" t="str" cm="1">
        <f t="array" aca="1" ref="K36" ca="1">IFERROR(IF($Z$36 = "No Match", "No Match", INDEX(INDIRECT($Z$36), ROW(B5), COLUMN(B5))),"")</f>
        <v/>
      </c>
      <c r="L36" s="121" t="str" cm="1">
        <f t="array" aca="1" ref="L36" ca="1">IFERROR(IF($Z$36 = "No Match", "No Match", INDEX(INDIRECT($Z$36), ROW(C5), COLUMN(C5))),"")</f>
        <v/>
      </c>
      <c r="M36" s="121" t="str" cm="1">
        <f t="array" aca="1" ref="M36" ca="1">IFERROR(IF($Z$36 = "No Match", "No Match", INDEX(INDIRECT($Z$36), ROW(D5), COLUMN(D5))),"")</f>
        <v/>
      </c>
      <c r="N36" s="251" t="str">
        <f ca="1">_xlfn.IFNA(VLOOKUP(J36,Parameters!$C$48:$F$60,4,FALSE),"")</f>
        <v/>
      </c>
      <c r="O36" s="251" t="str">
        <f ca="1">IF(ISERROR(VLOOKUP(J36,Parameters!$C$48:$H$60, 5, FALSE)+SRP_Admin_Charge), "", VLOOKUP(J36,Parameters!$C$48:$H$60, 5, FALSE)+SRP_Admin_Charge)</f>
        <v/>
      </c>
      <c r="P36" s="245" t="str">
        <f ca="1">IF(ISERROR(VLOOKUP(J36,Parameters!$C$48:$H$60, 6, FALSE)+SRP_Admin_Charge), "", VLOOKUP(J36,Parameters!$C$48:$H$60, 6, FALSE)+SRP_Admin_Charge)</f>
        <v/>
      </c>
      <c r="Q36" s="245" t="str">
        <f t="shared" ca="1" si="1"/>
        <v/>
      </c>
      <c r="R36" s="245"/>
      <c r="U36" t="str">
        <f t="shared" ca="1" si="2"/>
        <v/>
      </c>
      <c r="Z36" s="122" t="str">
        <f>IF(AND(Z33="Lifecycle",Z34="Non-Standard",Z35="Balanced"),"NS_LC_BAL",
IF(AND(Z33="Lifecycle",Z34="Non-Standard",Z35="Dynamic"),"NS_LC_Dyn",
IF(AND(Z33="Lifecycle",Z34="Non-Standard",Z35="Opportunity"),"NS_LC_Opp",
IF(AND(Z33="AutoPilot",Z34="Non-Standard",Z35="Balanced"),"NS_AP_BAL",
IF(AND(Z33="AutoPilot",Z34="Non-Standard",Z35="Dynamic"),"NS_AP_Dyn",
IF(AND(Z33="AutoPilot",Z34="Non-Standard",Z35="Opportunity"),"NS_AP_Opp",
IF(AND(Z33="DIS",Z34="Non-Standard"),"NS_DIS",
IF(AND(Z33="Lifecycle",Z34="Standard",Z35="Balanced"),"S_LC_BAL",
IF(AND(Z33="Lifecycle",Z34="Standard",Z35="Dynamic"),"S_LC_Dyn",
IF(AND(Z33="Lifecycle",Z34="Standard",Z35="Opportunity"),"S_LC_Opp",
IF(Z33="DIY","DIY_Chrge_Table",
IF(AND(Z33="DIS",Z34="Standard"),"S_DIS","No Match"))))))))))))</f>
        <v>DIY_Chrge_Table</v>
      </c>
    </row>
    <row r="37" spans="3:26" ht="15.75" thickBot="1">
      <c r="D37" s="119"/>
      <c r="E37" s="119"/>
      <c r="F37" s="119"/>
      <c r="G37" s="119"/>
      <c r="I37">
        <f t="shared" ca="1" si="0"/>
        <v>1</v>
      </c>
      <c r="J37" s="120" t="str" cm="1">
        <f t="array" aca="1" ref="J37" ca="1">IFERROR(IF($Z$36 = "No Match", "No Match", INDEX(INDIRECT($Z$36), ROW(A6), COLUMN(A6))),"")</f>
        <v/>
      </c>
      <c r="K37" s="121" t="str" cm="1">
        <f t="array" aca="1" ref="K37" ca="1">IFERROR(IF($Z$36 = "No Match", "No Match", INDEX(INDIRECT($Z$36), ROW(B6), COLUMN(B6))),"")</f>
        <v/>
      </c>
      <c r="L37" s="121" t="str" cm="1">
        <f t="array" aca="1" ref="L37" ca="1">IFERROR(IF($Z$36 = "No Match", "No Match", INDEX(INDIRECT($Z$36), ROW(C6), COLUMN(C6))),"")</f>
        <v/>
      </c>
      <c r="M37" s="121" t="str" cm="1">
        <f t="array" aca="1" ref="M37" ca="1">IFERROR(IF($Z$36 = "No Match", "No Match", INDEX(INDIRECT($Z$36), ROW(D6), COLUMN(D6))),"")</f>
        <v/>
      </c>
      <c r="N37" s="251" t="str">
        <f ca="1">_xlfn.IFNA(VLOOKUP(J37,Parameters!$C$48:$F$60,4,FALSE),"")</f>
        <v/>
      </c>
      <c r="O37" s="251" t="str">
        <f ca="1">IF(ISERROR(VLOOKUP(J37,Parameters!$C$48:$H$60, 5, FALSE)+SRP_Admin_Charge), "", VLOOKUP(J37,Parameters!$C$48:$H$60, 5, FALSE)+SRP_Admin_Charge)</f>
        <v/>
      </c>
      <c r="P37" s="245" t="str">
        <f ca="1">IF(ISERROR(VLOOKUP(J37,Parameters!$C$48:$H$60, 6, FALSE)+SRP_Admin_Charge), "", VLOOKUP(J37,Parameters!$C$48:$H$60, 6, FALSE)+SRP_Admin_Charge)</f>
        <v/>
      </c>
      <c r="Q37" s="245" t="str">
        <f t="shared" ca="1" si="1"/>
        <v/>
      </c>
      <c r="R37" s="245"/>
      <c r="U37" t="str">
        <f t="shared" ca="1" si="2"/>
        <v/>
      </c>
    </row>
    <row r="38" spans="3:26" ht="15.75" thickBot="1">
      <c r="C38" s="37" t="s">
        <v>390</v>
      </c>
      <c r="D38" s="77">
        <f>Single_Equivalence_Charge</f>
        <v>1.204015064260644E-2</v>
      </c>
      <c r="H38" t="s">
        <v>457</v>
      </c>
      <c r="I38">
        <f t="shared" ca="1" si="0"/>
        <v>1</v>
      </c>
      <c r="J38" s="120" t="str" cm="1">
        <f t="array" aca="1" ref="J38" ca="1">IFERROR(IF($Z$36 = "No Match", "No Match", INDEX(INDIRECT($Z$36), ROW(A7), COLUMN(A7))),"")</f>
        <v/>
      </c>
      <c r="K38" s="121" t="str" cm="1">
        <f t="array" aca="1" ref="K38" ca="1">IFERROR(IF($Z$36 = "No Match", "No Match", INDEX(INDIRECT($Z$36), ROW(B7), COLUMN(B7))),"")</f>
        <v/>
      </c>
      <c r="L38" s="121" t="str" cm="1">
        <f t="array" aca="1" ref="L38" ca="1">IFERROR(IF($Z$36 = "No Match", "No Match", INDEX(INDIRECT($Z$36), ROW(C7), COLUMN(C7))),"")</f>
        <v/>
      </c>
      <c r="M38" s="121" t="str" cm="1">
        <f t="array" aca="1" ref="M38" ca="1">IFERROR(IF($Z$36 = "No Match", "No Match", INDEX(INDIRECT($Z$36), ROW(D7), COLUMN(D7))),"")</f>
        <v/>
      </c>
      <c r="N38" s="251" t="str">
        <f ca="1">_xlfn.IFNA(VLOOKUP(J38,Parameters!$C$48:$F$60,4,FALSE),"")</f>
        <v/>
      </c>
      <c r="O38" s="251" t="str">
        <f ca="1">IF(ISERROR(VLOOKUP(J38,Parameters!$C$48:$H$60, 5, FALSE)+SRP_Admin_Charge), "", VLOOKUP(J38,Parameters!$C$48:$H$60, 5, FALSE)+SRP_Admin_Charge)</f>
        <v/>
      </c>
      <c r="P38" s="245" t="str">
        <f ca="1">IF(ISERROR(VLOOKUP(J38,Parameters!$C$48:$H$60, 6, FALSE)+SRP_Admin_Charge), "", VLOOKUP(J38,Parameters!$C$48:$H$60, 6, FALSE)+SRP_Admin_Charge)</f>
        <v/>
      </c>
      <c r="Q38" s="245" t="str">
        <f t="shared" ca="1" si="1"/>
        <v/>
      </c>
      <c r="R38" s="245"/>
      <c r="U38" t="str">
        <f t="shared" ca="1" si="2"/>
        <v/>
      </c>
    </row>
    <row r="39" spans="3:26" ht="15.75" thickBot="1">
      <c r="I39">
        <f t="shared" ca="1" si="0"/>
        <v>1</v>
      </c>
      <c r="J39" s="120" t="str" cm="1">
        <f t="array" aca="1" ref="J39" ca="1">IFERROR(IF($Z$36 = "No Match", "No Match", INDEX(INDIRECT($Z$36), ROW(A8), COLUMN(A8))),"")</f>
        <v/>
      </c>
      <c r="K39" s="121" t="str" cm="1">
        <f t="array" aca="1" ref="K39" ca="1">IFERROR(IF($Z$36 = "No Match", "No Match", INDEX(INDIRECT($Z$36), ROW(B8), COLUMN(B8))),"")</f>
        <v/>
      </c>
      <c r="L39" s="121" t="str" cm="1">
        <f t="array" aca="1" ref="L39" ca="1">IFERROR(IF($Z$36 = "No Match", "No Match", INDEX(INDIRECT($Z$36), ROW(C8), COLUMN(C8))),"")</f>
        <v/>
      </c>
      <c r="M39" s="121" t="str" cm="1">
        <f t="array" aca="1" ref="M39" ca="1">IFERROR(IF($Z$36 = "No Match", "No Match", INDEX(INDIRECT($Z$36), ROW(D8), COLUMN(D8))),"")</f>
        <v/>
      </c>
      <c r="N39" s="251" t="str">
        <f ca="1">_xlfn.IFNA(VLOOKUP(J39,Parameters!$C$48:$F$60,4,FALSE),"")</f>
        <v/>
      </c>
      <c r="O39" s="251" t="str">
        <f ca="1">IF(ISERROR(VLOOKUP(J39,Parameters!$C$48:$H$60, 5, FALSE)+SRP_Admin_Charge), "", VLOOKUP(J39,Parameters!$C$48:$H$60, 5, FALSE)+SRP_Admin_Charge)</f>
        <v/>
      </c>
      <c r="P39" s="245" t="str">
        <f ca="1">IF(ISERROR(VLOOKUP(J39,Parameters!$C$48:$H$60, 6, FALSE)+SRP_Admin_Charge), "", VLOOKUP(J39,Parameters!$C$48:$H$60, 6, FALSE)+SRP_Admin_Charge)</f>
        <v/>
      </c>
      <c r="Q39" s="245" t="str">
        <f t="shared" ca="1" si="1"/>
        <v/>
      </c>
      <c r="R39" s="245"/>
      <c r="U39" t="str">
        <f t="shared" ca="1" si="2"/>
        <v/>
      </c>
    </row>
    <row r="40" spans="3:26" ht="15.75" thickBot="1">
      <c r="I40">
        <f t="shared" ca="1" si="0"/>
        <v>1</v>
      </c>
      <c r="J40" s="120" t="str" cm="1">
        <f t="array" aca="1" ref="J40" ca="1">IFERROR(IF($Z$36 = "No Match", "No Match", INDEX(INDIRECT($Z$36), ROW(A9), COLUMN(A9))),"")</f>
        <v/>
      </c>
      <c r="K40" s="121" t="str" cm="1">
        <f t="array" aca="1" ref="K40" ca="1">IFERROR(IF($Z$36 = "No Match", "No Match", INDEX(INDIRECT($Z$36), ROW(B9), COLUMN(B9))),"")</f>
        <v/>
      </c>
      <c r="L40" s="121" t="str" cm="1">
        <f t="array" aca="1" ref="L40" ca="1">IFERROR(IF($Z$36 = "No Match", "No Match", INDEX(INDIRECT($Z$36), ROW(C9), COLUMN(C9))),"")</f>
        <v/>
      </c>
      <c r="M40" s="121" t="str" cm="1">
        <f t="array" aca="1" ref="M40" ca="1">IFERROR(IF($Z$36 = "No Match", "No Match", INDEX(INDIRECT($Z$36), ROW(D9), COLUMN(D9))),"")</f>
        <v/>
      </c>
      <c r="N40" s="251" t="str">
        <f ca="1">_xlfn.IFNA(VLOOKUP(J40,Parameters!$C$48:$F$60,4,FALSE),"")</f>
        <v/>
      </c>
      <c r="O40" s="251" t="str">
        <f ca="1">IF(ISERROR(VLOOKUP(J40,Parameters!$C$48:$H$60, 5, FALSE)+SRP_Admin_Charge), "", VLOOKUP(J40,Parameters!$C$48:$H$60, 5, FALSE)+SRP_Admin_Charge)</f>
        <v/>
      </c>
      <c r="P40" s="245" t="str">
        <f ca="1">IF(ISERROR(VLOOKUP(J40,Parameters!$C$48:$H$60, 6, FALSE)+SRP_Admin_Charge), "", VLOOKUP(J40,Parameters!$C$48:$H$60, 6, FALSE)+SRP_Admin_Charge)</f>
        <v/>
      </c>
      <c r="Q40" s="245" t="str">
        <f t="shared" ca="1" si="1"/>
        <v/>
      </c>
      <c r="R40" s="245"/>
      <c r="U40" t="str">
        <f t="shared" ca="1" si="2"/>
        <v/>
      </c>
    </row>
    <row r="41" spans="3:26" ht="15.75" customHeight="1" thickBot="1">
      <c r="C41" s="37" t="s">
        <v>391</v>
      </c>
      <c r="D41" s="288" t="str">
        <f ca="1">IF(Q46 = "", "",'Fund Based Charges Text'!C23)</f>
        <v/>
      </c>
      <c r="E41" s="288"/>
      <c r="F41" s="288"/>
      <c r="G41" s="288"/>
      <c r="I41">
        <f t="shared" ca="1" si="0"/>
        <v>1</v>
      </c>
      <c r="J41" s="120" t="str" cm="1">
        <f t="array" aca="1" ref="J41" ca="1">IFERROR(IF($Z$36 = "No Match", "No Match", INDEX(INDIRECT($Z$36), ROW(A10), COLUMN(A10))),"")</f>
        <v/>
      </c>
      <c r="K41" s="121" t="str" cm="1">
        <f t="array" aca="1" ref="K41" ca="1">IFERROR(IF($Z$36 = "No Match", "No Match", INDEX(INDIRECT($Z$36), ROW(B10), COLUMN(B10))),"")</f>
        <v/>
      </c>
      <c r="L41" s="121" t="str" cm="1">
        <f t="array" aca="1" ref="L41" ca="1">IFERROR(IF($Z$36 = "No Match", "No Match", INDEX(INDIRECT($Z$36), ROW(C10), COLUMN(C10))),"")</f>
        <v/>
      </c>
      <c r="M41" s="121" t="str" cm="1">
        <f t="array" aca="1" ref="M41" ca="1">IFERROR(IF($Z$36 = "No Match", "No Match", INDEX(INDIRECT($Z$36), ROW(D10), COLUMN(D10))),"")</f>
        <v/>
      </c>
      <c r="N41" s="251" t="str">
        <f ca="1">_xlfn.IFNA(VLOOKUP(J41,Parameters!$C$48:$F$60,4,FALSE),"")</f>
        <v/>
      </c>
      <c r="O41" s="251" t="str">
        <f ca="1">IF(ISERROR(VLOOKUP(J41,Parameters!$C$48:$H$60, 5, FALSE)+SRP_Admin_Charge), "", VLOOKUP(J41,Parameters!$C$48:$H$60, 5, FALSE)+SRP_Admin_Charge)</f>
        <v/>
      </c>
      <c r="P41" s="245" t="str">
        <f ca="1">IF(ISERROR(VLOOKUP(J41,Parameters!$C$48:$H$60, 6, FALSE)+SRP_Admin_Charge), "", VLOOKUP(J41,Parameters!$C$48:$H$60, 6, FALSE)+SRP_Admin_Charge)</f>
        <v/>
      </c>
      <c r="Q41" s="245" t="str">
        <f t="shared" ca="1" si="1"/>
        <v/>
      </c>
      <c r="R41" s="245"/>
      <c r="U41" t="str">
        <f t="shared" ca="1" si="2"/>
        <v/>
      </c>
    </row>
    <row r="42" spans="3:26" ht="15.75" thickBot="1">
      <c r="D42" s="288"/>
      <c r="E42" s="288"/>
      <c r="F42" s="288"/>
      <c r="G42" s="288"/>
      <c r="I42">
        <f t="shared" ca="1" si="0"/>
        <v>1</v>
      </c>
      <c r="J42" s="120" t="str" cm="1">
        <f t="array" aca="1" ref="J42" ca="1">IFERROR(IF($Z$36 = "No Match", "No Match", INDEX(INDIRECT($Z$36), ROW(A11), COLUMN(A11))),"")</f>
        <v/>
      </c>
      <c r="K42" s="121" t="str" cm="1">
        <f t="array" aca="1" ref="K42" ca="1">IFERROR(IF($Z$36 = "No Match", "No Match", INDEX(INDIRECT($Z$36), ROW(B11), COLUMN(B11))),"")</f>
        <v/>
      </c>
      <c r="L42" s="121" t="str" cm="1">
        <f t="array" aca="1" ref="L42" ca="1">IFERROR(IF($Z$36 = "No Match", "No Match", INDEX(INDIRECT($Z$36), ROW(C11), COLUMN(C11))),"")</f>
        <v/>
      </c>
      <c r="M42" s="121" t="str" cm="1">
        <f t="array" aca="1" ref="M42" ca="1">IFERROR(IF($Z$36 = "No Match", "No Match", INDEX(INDIRECT($Z$36), ROW(D11), COLUMN(D11))),"")</f>
        <v/>
      </c>
      <c r="N42" s="251" t="str">
        <f ca="1">_xlfn.IFNA(VLOOKUP(J42,Parameters!$C$48:$F$60,4,FALSE),"")</f>
        <v/>
      </c>
      <c r="O42" s="251" t="str">
        <f ca="1">IF(ISERROR(VLOOKUP(J42,Parameters!$C$48:$H$60, 5, FALSE)+SRP_Admin_Charge), "", VLOOKUP(J42,Parameters!$C$48:$H$60, 5, FALSE)+SRP_Admin_Charge)</f>
        <v/>
      </c>
      <c r="P42" s="245" t="str">
        <f ca="1">IF(ISERROR(VLOOKUP(J42,Parameters!$C$48:$H$60, 6, FALSE)+SRP_Admin_Charge), "", VLOOKUP(J42,Parameters!$C$48:$H$60, 6, FALSE)+SRP_Admin_Charge)</f>
        <v/>
      </c>
      <c r="Q42" s="245" t="str">
        <f t="shared" ca="1" si="1"/>
        <v/>
      </c>
      <c r="U42" t="str">
        <f t="shared" ca="1" si="2"/>
        <v/>
      </c>
    </row>
    <row r="43" spans="3:26" ht="15.75" thickBot="1">
      <c r="D43" s="288"/>
      <c r="E43" s="288"/>
      <c r="F43" s="288"/>
      <c r="G43" s="288"/>
      <c r="I43">
        <f t="shared" ca="1" si="0"/>
        <v>1</v>
      </c>
      <c r="J43" s="120" t="str" cm="1">
        <f t="array" aca="1" ref="J43" ca="1">IFERROR(IF($Z$36 = "No Match", "No Match", INDEX(INDIRECT($Z$36), ROW(A12), COLUMN(A12))),"")</f>
        <v/>
      </c>
      <c r="K43" s="121" t="str" cm="1">
        <f t="array" aca="1" ref="K43" ca="1">IFERROR(IF($Z$36 = "No Match", "No Match", INDEX(INDIRECT($Z$36), ROW(B12), COLUMN(B12))),"")</f>
        <v/>
      </c>
      <c r="L43" s="121" t="str" cm="1">
        <f t="array" aca="1" ref="L43" ca="1">IFERROR(IF($Z$36 = "No Match", "No Match", INDEX(INDIRECT($Z$36), ROW(C12), COLUMN(C12))),"")</f>
        <v/>
      </c>
      <c r="M43" s="121" t="str" cm="1">
        <f t="array" aca="1" ref="M43" ca="1">IFERROR(IF($Z$36 = "No Match", "No Match", INDEX(INDIRECT($Z$36), ROW(D12), COLUMN(D12))),"")</f>
        <v/>
      </c>
      <c r="N43" s="251" t="str">
        <f ca="1">_xlfn.IFNA(VLOOKUP(J43,Parameters!$C$48:$F$60,4,FALSE),"")</f>
        <v/>
      </c>
      <c r="O43" s="251" t="str">
        <f ca="1">IF(ISERROR(VLOOKUP(J43,Parameters!$C$48:$H$60, 5, FALSE)+SRP_Admin_Charge), "", VLOOKUP(J43,Parameters!$C$48:$H$60, 5, FALSE)+SRP_Admin_Charge)</f>
        <v/>
      </c>
      <c r="P43" s="245" t="str">
        <f ca="1">IF(ISERROR(VLOOKUP(J43,Parameters!$C$48:$H$60, 6, FALSE)+SRP_Admin_Charge), "", VLOOKUP(J43,Parameters!$C$48:$H$60, 6, FALSE)+SRP_Admin_Charge)</f>
        <v/>
      </c>
      <c r="Q43" s="245" t="str">
        <f t="shared" ca="1" si="1"/>
        <v/>
      </c>
      <c r="U43" t="str">
        <f t="shared" ca="1" si="2"/>
        <v/>
      </c>
    </row>
    <row r="44" spans="3:26" ht="54" customHeight="1" thickBot="1">
      <c r="D44" s="288"/>
      <c r="E44" s="288"/>
      <c r="F44" s="288"/>
      <c r="G44" s="288"/>
      <c r="I44">
        <f t="shared" ca="1" si="0"/>
        <v>1</v>
      </c>
      <c r="J44" s="120" t="str" cm="1">
        <f t="array" aca="1" ref="J44" ca="1">IFERROR(IF($Z$36 = "No Match", "No Match", INDEX(INDIRECT($Z$36), ROW(A13), COLUMN(A13))),"")</f>
        <v/>
      </c>
      <c r="K44" s="121" t="str" cm="1">
        <f t="array" aca="1" ref="K44" ca="1">IFERROR(IF($Z$36 = "No Match", "No Match", INDEX(INDIRECT($Z$36), ROW(B13), COLUMN(B13))),"")</f>
        <v/>
      </c>
      <c r="L44" s="121" t="str" cm="1">
        <f t="array" aca="1" ref="L44" ca="1">IFERROR(IF($Z$36 = "No Match", "No Match", INDEX(INDIRECT($Z$36), ROW(C13), COLUMN(C13))),"")</f>
        <v/>
      </c>
      <c r="M44" s="121" t="str" cm="1">
        <f t="array" aca="1" ref="M44" ca="1">IFERROR(IF($Z$36 = "No Match", "No Match", INDEX(INDIRECT($Z$36), ROW(D13), COLUMN(D13))),"")</f>
        <v/>
      </c>
      <c r="N44" s="251" t="str">
        <f ca="1">_xlfn.IFNA(VLOOKUP(J44,Parameters!$C$48:$F$60,4,FALSE),"")</f>
        <v/>
      </c>
      <c r="O44" s="251" t="str">
        <f ca="1">IF(ISERROR(VLOOKUP(J44,Parameters!$C$48:$H$60, 5, FALSE)+SRP_Admin_Charge), "", VLOOKUP(J44,Parameters!$C$48:$H$60, 5, FALSE)+SRP_Admin_Charge)</f>
        <v/>
      </c>
      <c r="P44" s="245" t="str">
        <f ca="1">IF(ISERROR(VLOOKUP(J44,Parameters!$C$48:$H$60, 6, FALSE)+SRP_Admin_Charge), "", VLOOKUP(J44,Parameters!$C$48:$H$60, 6, FALSE)+SRP_Admin_Charge)</f>
        <v/>
      </c>
      <c r="Q44" s="245" t="str">
        <f t="shared" ca="1" si="1"/>
        <v/>
      </c>
      <c r="U44" t="str">
        <f t="shared" ca="1" si="2"/>
        <v/>
      </c>
    </row>
    <row r="45" spans="3:26" ht="15.75" thickBot="1">
      <c r="I45">
        <f t="shared" si="0"/>
        <v>1</v>
      </c>
      <c r="J45" s="120" t="str" cm="1">
        <f t="array" aca="1" ref="J45" ca="1">IFERROR(IF($Z$36 = "No Match", "No Match", INDEX(INDIRECT($Z$36), ROW(A14), COLUMN(A14))),"")</f>
        <v/>
      </c>
      <c r="K45" s="121" t="str" cm="1">
        <f t="array" aca="1" ref="K45" ca="1">IFERROR(IF($Z$36 = "No Match", "No Match", INDEX(INDIRECT($Z$36), ROW(B14), COLUMN(B14))),"")</f>
        <v/>
      </c>
      <c r="L45" s="121" t="str" cm="1">
        <f t="array" aca="1" ref="L45" ca="1">IFERROR(IF($Z$36 = "No Match", "No Match", INDEX(INDIRECT($Z$36), ROW(C14), COLUMN(C14))),"")</f>
        <v/>
      </c>
      <c r="M45" s="121" t="str" cm="1">
        <f t="array" aca="1" ref="M45" ca="1">IFERROR(IF($Z$36 = "No Match", "No Match", INDEX(INDIRECT($Z$36), ROW(D14), COLUMN(D14))),"")</f>
        <v/>
      </c>
      <c r="N45" s="251" t="str">
        <f ca="1">_xlfn.IFNA(VLOOKUP(J45,Parameters!$C$48:$F$60,4,FALSE),"")</f>
        <v/>
      </c>
      <c r="O45" s="251" t="str">
        <f ca="1">IF(ISERROR(VLOOKUP(J45,Parameters!$C$48:$H$60, 5, FALSE)+SRP_Admin_Charge), "", VLOOKUP(J45,Parameters!$C$48:$H$60, 5, FALSE)+SRP_Admin_Charge)</f>
        <v/>
      </c>
      <c r="P45" s="245" t="str">
        <f ca="1">IF(ISERROR(VLOOKUP(J45,Parameters!$C$48:$H$60, 6, FALSE)+SRP_Admin_Charge), "", VLOOKUP(J45,Parameters!$C$48:$H$60, 6, FALSE)+SRP_Admin_Charge)</f>
        <v/>
      </c>
      <c r="Q45" s="245" t="str">
        <f t="shared" ca="1" si="1"/>
        <v/>
      </c>
      <c r="U45" t="str">
        <f t="shared" ca="1" si="2"/>
        <v/>
      </c>
    </row>
    <row r="46" spans="3:26">
      <c r="P46" t="s">
        <v>392</v>
      </c>
      <c r="Q46" s="245" t="str">
        <f ca="1">VLOOKUP(1, $I$33:$Q$45, 9, FALSE)</f>
        <v/>
      </c>
    </row>
    <row r="47" spans="3:26" ht="15.75" thickBot="1">
      <c r="C47" t="s">
        <v>393</v>
      </c>
      <c r="D47" s="77">
        <f>SRP_Contrib_Chge_SP</f>
        <v>0</v>
      </c>
    </row>
    <row r="48" spans="3:26">
      <c r="I48" s="37" t="s">
        <v>394</v>
      </c>
      <c r="J48" s="286" t="s">
        <v>200</v>
      </c>
      <c r="K48" s="22" t="s">
        <v>201</v>
      </c>
      <c r="L48" s="24" t="s">
        <v>201</v>
      </c>
    </row>
    <row r="49" spans="3:12" ht="77.25" thickBot="1">
      <c r="C49" t="s">
        <v>395</v>
      </c>
      <c r="D49" s="77">
        <f>SRP_Contrib_Chge_RP</f>
        <v>0.02</v>
      </c>
      <c r="I49" t="s">
        <v>457</v>
      </c>
      <c r="J49" s="287"/>
      <c r="K49" s="23" t="s">
        <v>206</v>
      </c>
      <c r="L49" s="25" t="s">
        <v>207</v>
      </c>
    </row>
    <row r="50" spans="3:12" ht="15.75" thickBot="1">
      <c r="J50" s="21">
        <f>IF(SRP!I20="","",SRP!I20)</f>
        <v>1</v>
      </c>
      <c r="K50" s="58">
        <f>IF(SRP!J20="","",SRP!J20)</f>
        <v>700000</v>
      </c>
      <c r="L50" s="58">
        <f>IF(SRP!K20="","",SRP!K20)</f>
        <v>26287.080381676984</v>
      </c>
    </row>
    <row r="51" spans="3:12" ht="15.75" thickBot="1">
      <c r="J51" s="21">
        <f>IF(SRP!I21="","",SRP!I21)</f>
        <v>2</v>
      </c>
      <c r="K51" s="58">
        <f>IF(SRP!J21="","",SRP!J21)</f>
        <v>0</v>
      </c>
      <c r="L51" s="58">
        <f>IF(SRP!K21="","",SRP!K21)</f>
        <v>1857.3236592600933</v>
      </c>
    </row>
    <row r="52" spans="3:12" ht="15.75" thickBot="1">
      <c r="J52" s="21">
        <f>IF(SRP!I22="","",SRP!I22)</f>
        <v>3</v>
      </c>
      <c r="K52" s="58">
        <f>IF(SRP!J22="","",SRP!J22)</f>
        <v>0</v>
      </c>
      <c r="L52" s="58">
        <f>IF(SRP!K22="","",SRP!K22)</f>
        <v>1930.3279307504768</v>
      </c>
    </row>
    <row r="53" spans="3:12" ht="15.75" thickBot="1">
      <c r="J53" s="21">
        <f>IF(SRP!I23="","",SRP!I23)</f>
        <v>4</v>
      </c>
      <c r="K53" s="58">
        <f>IF(SRP!J23="","",SRP!J23)</f>
        <v>0</v>
      </c>
      <c r="L53" s="58">
        <f>IF(SRP!K23="","",SRP!K23)</f>
        <v>2006.2017202321213</v>
      </c>
    </row>
    <row r="54" spans="3:12" ht="15.75" thickBot="1">
      <c r="J54" s="21">
        <f>IF(SRP!I24="","",SRP!I24)</f>
        <v>5</v>
      </c>
      <c r="K54" s="58">
        <f>IF(SRP!J24="","",SRP!J24)</f>
        <v>0</v>
      </c>
      <c r="L54" s="58">
        <f>IF(SRP!K24="","",SRP!K24)</f>
        <v>2085.0578174546417</v>
      </c>
    </row>
    <row r="55" spans="3:12" ht="15.75" thickBot="1">
      <c r="J55" s="21" t="str">
        <f>IF(SRP!I25="","",SRP!I25)</f>
        <v/>
      </c>
      <c r="K55" s="58">
        <f>IF(SRP!J25="","",SRP!J25)</f>
        <v>0</v>
      </c>
      <c r="L55" s="58">
        <f>IF(SRP!K25="","",SRP!K25)</f>
        <v>0</v>
      </c>
    </row>
    <row r="56" spans="3:12" ht="15.75" thickBot="1">
      <c r="J56" s="21" t="str">
        <f>IF(SRP!I26="","",SRP!I26)</f>
        <v/>
      </c>
      <c r="K56" s="58">
        <f>IF(SRP!J26="","",SRP!J26)</f>
        <v>0</v>
      </c>
      <c r="L56" s="58">
        <f>IF(SRP!K26="","",SRP!K26)</f>
        <v>0</v>
      </c>
    </row>
    <row r="57" spans="3:12" ht="15.75" thickBot="1">
      <c r="J57" s="21" t="str">
        <f>IF(SRP!I27="","",SRP!I27)</f>
        <v/>
      </c>
      <c r="K57" s="58">
        <f>IF(SRP!J27="","",SRP!J27)</f>
        <v>0</v>
      </c>
      <c r="L57" s="58">
        <f>IF(SRP!K27="","",SRP!K27)</f>
        <v>0</v>
      </c>
    </row>
    <row r="58" spans="3:12" ht="15.75" thickBot="1">
      <c r="J58" s="21" t="str">
        <f>IF(SRP!I28="","",SRP!I28)</f>
        <v/>
      </c>
      <c r="K58" s="58">
        <f>IF(SRP!J28="","",SRP!J28)</f>
        <v>0</v>
      </c>
      <c r="L58" s="58">
        <f>IF(SRP!K28="","",SRP!K28)</f>
        <v>0</v>
      </c>
    </row>
    <row r="59" spans="3:12" ht="15.75" thickBot="1">
      <c r="J59" s="21" t="str">
        <f>IF(SRP!I29="","",SRP!I29)</f>
        <v/>
      </c>
      <c r="K59" s="58">
        <f>IF(SRP!J29="","",SRP!J29)</f>
        <v>0</v>
      </c>
      <c r="L59" s="58">
        <f>IF(SRP!K29="","",SRP!K29)</f>
        <v>0</v>
      </c>
    </row>
    <row r="60" spans="3:12" ht="15.75" thickBot="1">
      <c r="J60" s="21" t="str">
        <f>IF(SRP!I30="","",SRP!I30)</f>
        <v/>
      </c>
      <c r="K60" s="58">
        <f>IF(SRP!J30="","",SRP!J30)</f>
        <v>0</v>
      </c>
      <c r="L60" s="58">
        <f>IF(SRP!K30="","",SRP!K30)</f>
        <v>0</v>
      </c>
    </row>
    <row r="61" spans="3:12" ht="15.75" thickBot="1">
      <c r="J61" s="21" t="str">
        <f>IF(SRP!I31="","",SRP!I31)</f>
        <v/>
      </c>
      <c r="K61" s="58">
        <f>IF(SRP!J31="","",SRP!J31)</f>
        <v>0</v>
      </c>
      <c r="L61" s="58">
        <f>IF(SRP!K31="","",SRP!K31)</f>
        <v>0</v>
      </c>
    </row>
    <row r="62" spans="3:12" ht="15.75" thickBot="1">
      <c r="J62" s="21" t="str">
        <f>IF(SRP!I32="","",SRP!I32)</f>
        <v>Year of Maturity</v>
      </c>
      <c r="K62" s="58">
        <f>IF(SRP!J32="","",SRP!J32)</f>
        <v>0</v>
      </c>
      <c r="L62" s="58">
        <f>IF(SRP!K32="","",SRP!K32)</f>
        <v>2252.1806145525916</v>
      </c>
    </row>
  </sheetData>
  <mergeCells count="6">
    <mergeCell ref="J4:J5"/>
    <mergeCell ref="J48:J49"/>
    <mergeCell ref="D23:G27"/>
    <mergeCell ref="D28:G31"/>
    <mergeCell ref="D33:G36"/>
    <mergeCell ref="D41:G4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6207-2834-4B2A-982C-59740E0F5380}">
  <dimension ref="C2:Q49"/>
  <sheetViews>
    <sheetView topLeftCell="C2" workbookViewId="0">
      <selection activeCell="I29" sqref="I29"/>
    </sheetView>
  </sheetViews>
  <sheetFormatPr defaultRowHeight="15"/>
  <cols>
    <col min="3" max="3" width="38" bestFit="1" customWidth="1"/>
    <col min="4" max="4" width="50.28515625" customWidth="1"/>
    <col min="9" max="9" width="26.28515625" bestFit="1" customWidth="1"/>
    <col min="10" max="10" width="41.7109375" bestFit="1" customWidth="1"/>
    <col min="11" max="11" width="13.85546875" customWidth="1"/>
    <col min="12" max="12" width="12.5703125" bestFit="1" customWidth="1"/>
    <col min="13" max="13" width="13.28515625" customWidth="1"/>
    <col min="14" max="14" width="15.42578125" customWidth="1"/>
    <col min="15" max="15" width="15.140625" bestFit="1" customWidth="1"/>
  </cols>
  <sheetData>
    <row r="2" spans="3:14">
      <c r="C2" s="108" t="s">
        <v>359</v>
      </c>
      <c r="I2" s="108" t="s">
        <v>360</v>
      </c>
    </row>
    <row r="3" spans="3:14" ht="15.75" thickBot="1">
      <c r="C3" s="37" t="s">
        <v>361</v>
      </c>
      <c r="D3" s="197" t="str">
        <f>VLOOKUP(RIGHT(Product_Type,LEN(Product_Type)-3)&amp;" "&amp;Product_Version,'Product Name Table'!$D$3:$F$9,IF(avc_indicator = "Yes", 3, 2),FALSE)</f>
        <v>Non-Standard PRSA (B)</v>
      </c>
    </row>
    <row r="4" spans="3:14">
      <c r="C4" s="37" t="s">
        <v>362</v>
      </c>
      <c r="D4" s="198">
        <f>SRP_DoB</f>
        <v>26921</v>
      </c>
      <c r="I4" s="37" t="s">
        <v>363</v>
      </c>
      <c r="J4" s="286" t="s">
        <v>200</v>
      </c>
      <c r="K4" s="22" t="s">
        <v>201</v>
      </c>
      <c r="L4" s="24" t="s">
        <v>201</v>
      </c>
      <c r="M4" s="24" t="s">
        <v>201</v>
      </c>
      <c r="N4" s="24" t="s">
        <v>201</v>
      </c>
    </row>
    <row r="5" spans="3:14" ht="90" thickBot="1">
      <c r="C5" s="37" t="s">
        <v>220</v>
      </c>
      <c r="D5" s="198">
        <f>SRP_PolicyStartDate</f>
        <v>46280</v>
      </c>
      <c r="J5" s="287"/>
      <c r="K5" s="23" t="s">
        <v>364</v>
      </c>
      <c r="L5" s="25" t="s">
        <v>203</v>
      </c>
      <c r="M5" s="25" t="s">
        <v>204</v>
      </c>
      <c r="N5" s="25" t="s">
        <v>205</v>
      </c>
    </row>
    <row r="6" spans="3:14" ht="15.75" thickBot="1">
      <c r="C6" s="37" t="s">
        <v>223</v>
      </c>
      <c r="D6" s="198">
        <f>SRP_RetirementDate</f>
        <v>48836</v>
      </c>
      <c r="J6" s="21">
        <f>IF(SRP!C20="","",SRP!C20)</f>
        <v>1</v>
      </c>
      <c r="K6" s="58">
        <f>IF(SRP!D20="","",SRP!D20)</f>
        <v>700000</v>
      </c>
      <c r="L6" s="58">
        <f>IF(SRP!E20="","",SRP!E20)</f>
        <v>35944.999999999687</v>
      </c>
      <c r="M6" s="58">
        <f>IF(SRP!F20="","",SRP!F20)</f>
        <v>735944.99999999988</v>
      </c>
      <c r="N6" s="58">
        <f>IF(SRP!G20="","",SRP!G20)</f>
        <v>727514.31598283013</v>
      </c>
    </row>
    <row r="7" spans="3:14" ht="15.75" thickBot="1">
      <c r="C7" s="37" t="s">
        <v>365</v>
      </c>
      <c r="D7" s="197">
        <f>SRP_NRA</f>
        <v>60</v>
      </c>
      <c r="J7" s="21">
        <f>IF(SRP!C21="","",SRP!C21)</f>
        <v>2</v>
      </c>
      <c r="K7" s="58">
        <f>IF(SRP!D21="","",SRP!D21)</f>
        <v>700000</v>
      </c>
      <c r="L7" s="58">
        <f>IF(SRP!E21="","",SRP!E21)</f>
        <v>73735.775749999346</v>
      </c>
      <c r="M7" s="58">
        <f>IF(SRP!F21="","",SRP!F21)</f>
        <v>773735.77574999968</v>
      </c>
      <c r="N7" s="58">
        <f>IF(SRP!G21="","",SRP!G21)</f>
        <v>756110.11422852194</v>
      </c>
    </row>
    <row r="8" spans="3:14" ht="15.75" thickBot="1">
      <c r="C8" s="37" t="s">
        <v>396</v>
      </c>
      <c r="D8" s="199">
        <f>Opening_Fund_Value</f>
        <v>0</v>
      </c>
      <c r="J8" s="21">
        <f>IF(SRP!C22="","",SRP!C22)</f>
        <v>3</v>
      </c>
      <c r="K8" s="58">
        <f>IF(SRP!D22="","",SRP!D22)</f>
        <v>700000</v>
      </c>
      <c r="L8" s="58">
        <f>IF(SRP!E22="","",SRP!E22)</f>
        <v>113467.10783476147</v>
      </c>
      <c r="M8" s="58">
        <f>IF(SRP!F22="","",SRP!F22)</f>
        <v>813467.10783476196</v>
      </c>
      <c r="N8" s="58">
        <f>IF(SRP!G22="","",SRP!G22)</f>
        <v>785829.90365808946</v>
      </c>
    </row>
    <row r="9" spans="3:14" ht="15.75" thickBot="1">
      <c r="C9" s="37" t="s">
        <v>366</v>
      </c>
      <c r="D9" s="199">
        <f>SRP!N38</f>
        <v>0</v>
      </c>
      <c r="J9" s="21">
        <f>IF(SRP!C23="","",SRP!C23)</f>
        <v>4</v>
      </c>
      <c r="K9" s="58">
        <f>IF(SRP!D23="","",SRP!D23)</f>
        <v>700000</v>
      </c>
      <c r="L9" s="58">
        <f>IF(SRP!E23="","",SRP!E23)</f>
        <v>155238.64382207612</v>
      </c>
      <c r="M9" s="58">
        <f>IF(SRP!F23="","",SRP!F23)</f>
        <v>855238.64382207685</v>
      </c>
      <c r="N9" s="58">
        <f>IF(SRP!G23="","",SRP!G23)</f>
        <v>816717.86405524041</v>
      </c>
    </row>
    <row r="10" spans="3:14" ht="15.75" thickBot="1">
      <c r="C10" s="37" t="s">
        <v>210</v>
      </c>
      <c r="D10" s="199">
        <f>SRP!K36</f>
        <v>916786.60669617692</v>
      </c>
      <c r="J10" s="21">
        <f>IF(SRP!C24="","",SRP!C24)</f>
        <v>5</v>
      </c>
      <c r="K10" s="58">
        <f>IF(SRP!D24="","",SRP!D24)</f>
        <v>700000</v>
      </c>
      <c r="L10" s="58">
        <f>IF(SRP!E24="","",SRP!E24)</f>
        <v>199155.1481823393</v>
      </c>
      <c r="M10" s="58">
        <f>IF(SRP!F24="","",SRP!F24)</f>
        <v>899155.14818233985</v>
      </c>
      <c r="N10" s="58">
        <f>IF(SRP!G24="","",SRP!G24)</f>
        <v>848819.91174158035</v>
      </c>
    </row>
    <row r="11" spans="3:14" ht="15.75" thickBot="1">
      <c r="C11" s="37" t="s">
        <v>212</v>
      </c>
      <c r="D11" s="199">
        <f>SRP!K37</f>
        <v>745476.65346652688</v>
      </c>
      <c r="J11" s="21" t="str">
        <f>IF(SRP!C25="","",SRP!C25)</f>
        <v/>
      </c>
      <c r="K11" s="58" t="str">
        <f>IF(SRP!D25="","",SRP!D25)</f>
        <v/>
      </c>
      <c r="L11" s="58" t="str">
        <f>IF(SRP!E25="","",SRP!E25)</f>
        <v/>
      </c>
      <c r="M11" s="58" t="str">
        <f>IF(SRP!F25="","",SRP!F25)</f>
        <v/>
      </c>
      <c r="N11" s="58" t="str">
        <f>IF(SRP!G25="","",SRP!G25)</f>
        <v/>
      </c>
    </row>
    <row r="12" spans="3:14" ht="15.75" thickBot="1">
      <c r="C12" s="37" t="s">
        <v>367</v>
      </c>
      <c r="D12" s="199">
        <f>SRP!K38</f>
        <v>2563.137881075962</v>
      </c>
      <c r="J12" s="21" t="str">
        <f>IF(SRP!C26="","",SRP!C26)</f>
        <v/>
      </c>
      <c r="K12" s="58" t="str">
        <f>IF(SRP!D26="","",SRP!D26)</f>
        <v/>
      </c>
      <c r="L12" s="58" t="str">
        <f>IF(SRP!E26="","",SRP!E26)</f>
        <v/>
      </c>
      <c r="M12" s="58" t="str">
        <f>IF(SRP!F26="","",SRP!F26)</f>
        <v/>
      </c>
      <c r="N12" s="58" t="str">
        <f>IF(SRP!G26="","",SRP!G26)</f>
        <v/>
      </c>
    </row>
    <row r="13" spans="3:14" ht="15.75" thickBot="1">
      <c r="C13" s="37" t="s">
        <v>158</v>
      </c>
      <c r="D13" s="200">
        <f>SRP!K40</f>
        <v>5.133458814167291E-2</v>
      </c>
      <c r="J13" s="21" t="str">
        <f>IF(SRP!C27="","",SRP!C27)</f>
        <v/>
      </c>
      <c r="K13" s="58" t="str">
        <f>IF(SRP!D27="","",SRP!D27)</f>
        <v/>
      </c>
      <c r="L13" s="58" t="str">
        <f>IF(SRP!E27="","",SRP!E27)</f>
        <v/>
      </c>
      <c r="M13" s="58" t="str">
        <f>IF(SRP!F27="","",SRP!F27)</f>
        <v/>
      </c>
      <c r="N13" s="58" t="str">
        <f>IF(SRP!G27="","",SRP!G27)</f>
        <v/>
      </c>
    </row>
    <row r="14" spans="3:14" ht="15.75" thickBot="1">
      <c r="C14" s="37" t="s">
        <v>368</v>
      </c>
      <c r="D14" s="201">
        <f>SRP_Inf_Rate</f>
        <v>0.03</v>
      </c>
      <c r="J14" s="21" t="str">
        <f>IF(SRP!C28="","",SRP!C28)</f>
        <v/>
      </c>
      <c r="K14" s="58" t="str">
        <f>IF(SRP!D28="","",SRP!D28)</f>
        <v/>
      </c>
      <c r="L14" s="58" t="str">
        <f>IF(SRP!E28="","",SRP!E28)</f>
        <v/>
      </c>
      <c r="M14" s="58" t="str">
        <f>IF(SRP!F28="","",SRP!F28)</f>
        <v/>
      </c>
      <c r="N14" s="58" t="str">
        <f>IF(SRP!G28="","",SRP!G28)</f>
        <v/>
      </c>
    </row>
    <row r="15" spans="3:14" ht="15.75" thickBot="1">
      <c r="C15" s="37" t="s">
        <v>369</v>
      </c>
      <c r="D15" s="197" t="str">
        <f>INT(D16/12) &amp; " years and " &amp; MOD(D16, 12) &amp; " months"</f>
        <v>7 years and 0 months</v>
      </c>
      <c r="J15" s="21" t="str">
        <f>IF(SRP!C29="","",SRP!C29)</f>
        <v/>
      </c>
      <c r="K15" s="58" t="str">
        <f>IF(SRP!D29="","",SRP!D29)</f>
        <v/>
      </c>
      <c r="L15" s="58" t="str">
        <f>IF(SRP!E29="","",SRP!E29)</f>
        <v/>
      </c>
      <c r="M15" s="58" t="str">
        <f>IF(SRP!F29="","",SRP!F29)</f>
        <v/>
      </c>
      <c r="N15" s="58" t="str">
        <f>IF(SRP!G29="","",SRP!G29)</f>
        <v/>
      </c>
    </row>
    <row r="16" spans="3:14" ht="15.75" thickBot="1">
      <c r="C16" s="37" t="s">
        <v>370</v>
      </c>
      <c r="D16" s="197">
        <f>_xlfn.FLOOR.MATH((SRP!A91-IF(Premium_Month1_Flag = "No",1,0))/(12/Contributions_per_year))</f>
        <v>84</v>
      </c>
      <c r="J16" s="21" t="str">
        <f>IF(SRP!C30="","",SRP!C30)</f>
        <v/>
      </c>
      <c r="K16" s="58" t="str">
        <f>IF(SRP!D30="","",SRP!D30)</f>
        <v/>
      </c>
      <c r="L16" s="58" t="str">
        <f>IF(SRP!E30="","",SRP!E30)</f>
        <v/>
      </c>
      <c r="M16" s="58" t="str">
        <f>IF(SRP!F30="","",SRP!F30)</f>
        <v/>
      </c>
      <c r="N16" s="58" t="str">
        <f>IF(SRP!G30="","",SRP!G30)</f>
        <v/>
      </c>
    </row>
    <row r="17" spans="3:17" ht="15.75" thickBot="1">
      <c r="C17" s="37" t="s">
        <v>371</v>
      </c>
      <c r="D17" s="197" t="str">
        <f>SRP_PremFreq</f>
        <v>Monthly</v>
      </c>
      <c r="J17" s="21" t="str">
        <f>IF(SRP!C31="","",SRP!C31)</f>
        <v/>
      </c>
      <c r="K17" s="58" t="str">
        <f>IF(SRP!D31="","",SRP!D31)</f>
        <v/>
      </c>
      <c r="L17" s="58" t="str">
        <f>IF(SRP!E31="","",SRP!E31)</f>
        <v/>
      </c>
      <c r="M17" s="58" t="str">
        <f>IF(SRP!F31="","",SRP!F31)</f>
        <v/>
      </c>
      <c r="N17" s="58" t="str">
        <f>IF(SRP!G31="","",SRP!G31)</f>
        <v/>
      </c>
    </row>
    <row r="18" spans="3:17" ht="15.75" thickBot="1">
      <c r="C18" s="37" t="s">
        <v>256</v>
      </c>
      <c r="D18" s="197">
        <f>SRP_Annuity_Gtee_Period</f>
        <v>5</v>
      </c>
      <c r="J18" s="26" t="str">
        <f>IF(SRP!C32="","",SRP!C32)</f>
        <v>Year of Maturity</v>
      </c>
      <c r="K18" s="58">
        <f>IF(SRP!D32="","",SRP!D32)</f>
        <v>700000</v>
      </c>
      <c r="L18" s="58">
        <f>IF(SRP!E32="","",SRP!E32)</f>
        <v>293767.31421605841</v>
      </c>
      <c r="M18" s="58">
        <f>IF(SRP!F32="","",SRP!F32)</f>
        <v>993767.31421605847</v>
      </c>
      <c r="N18" s="109">
        <f>IF(SRP!G32="","",SRP!G32)</f>
        <v>916786.60669617692</v>
      </c>
    </row>
    <row r="19" spans="3:17">
      <c r="C19" s="37" t="s">
        <v>372</v>
      </c>
      <c r="D19" s="202">
        <f>SRP_Annuity_Esc_Rate</f>
        <v>0.02</v>
      </c>
    </row>
    <row r="20" spans="3:17" ht="15.75" thickBot="1">
      <c r="C20" s="37" t="s">
        <v>65</v>
      </c>
      <c r="D20" s="200">
        <f>SRP_Admin_Charge</f>
        <v>8.9999999999999993E-3</v>
      </c>
    </row>
    <row r="21" spans="3:17" ht="30.75" thickBot="1">
      <c r="C21" s="37" t="s">
        <v>188</v>
      </c>
      <c r="D21" s="203">
        <f>IF(Investment_Strategy="DIS", "Default Investment Strategy (DIS)",
IF(Investment_Strategy = "Lifecycle", "Lifecycle Investment Strategy (LC)",
IF(Investment_Strategy = "Autopilot", "Autopilot Investment Strategy (AP)",0)))</f>
        <v>0</v>
      </c>
      <c r="I21" s="37" t="s">
        <v>374</v>
      </c>
      <c r="J21" s="110" t="s">
        <v>375</v>
      </c>
      <c r="K21" s="111" t="s">
        <v>376</v>
      </c>
    </row>
    <row r="22" spans="3:17" ht="71.25" customHeight="1" thickBot="1">
      <c r="C22" s="37" t="s">
        <v>373</v>
      </c>
      <c r="D22" s="203">
        <f>IF(Investment_Strategy="DIS","DIS",IF(Investment_Strategy="Lifecycle","LC",
IF(Investment_Strategy="Autopilot","AP",0)))</f>
        <v>0</v>
      </c>
      <c r="J22" s="112" t="s">
        <v>378</v>
      </c>
      <c r="K22" s="113">
        <f>Parameters!D32</f>
        <v>0.02</v>
      </c>
    </row>
    <row r="23" spans="3:17" ht="15" customHeight="1" thickBot="1">
      <c r="C23" s="37" t="s">
        <v>377</v>
      </c>
      <c r="D23" s="204" t="str">
        <f ca="1">_xlfn.TEXTJOIN("", TRUE,Q30:Q42)</f>
        <v/>
      </c>
      <c r="E23" s="124"/>
      <c r="F23" s="124"/>
      <c r="G23" s="124"/>
      <c r="J23" s="112" t="s">
        <v>95</v>
      </c>
      <c r="K23" s="113">
        <f>Parameters!D34</f>
        <v>0</v>
      </c>
    </row>
    <row r="24" spans="3:17" ht="15.75" thickBot="1">
      <c r="C24" s="37" t="s">
        <v>379</v>
      </c>
      <c r="D24" s="288" t="str">
        <f>IF(Investment_Strategy_Sub1 = "Non-Standard","",
IF(Investment_Strategy="DIY","You have choosen to invest in the following funds: "&amp; LEFT(D23, LEN(D23)-1)&amp;".",
"You have invested in the " &amp; D21 &amp; ".  Under this investment strategy the asset mix of your policy changes over time.  You will be invested in a mix of " &amp; LEFT(D23, LEN(D23)-1)&amp;"."))</f>
        <v/>
      </c>
      <c r="E24" s="288"/>
      <c r="F24" s="288"/>
      <c r="G24" s="288"/>
    </row>
    <row r="25" spans="3:17" ht="30.75" thickBot="1">
      <c r="D25" s="288"/>
      <c r="E25" s="288"/>
      <c r="F25" s="288"/>
      <c r="G25" s="288"/>
      <c r="I25" s="37" t="s">
        <v>380</v>
      </c>
      <c r="J25" s="110" t="s">
        <v>381</v>
      </c>
      <c r="K25" s="111" t="s">
        <v>376</v>
      </c>
    </row>
    <row r="26" spans="3:17" ht="43.9" customHeight="1" thickBot="1">
      <c r="D26" s="288"/>
      <c r="E26" s="288"/>
      <c r="F26" s="288"/>
      <c r="G26" s="288"/>
      <c r="J26" s="112" t="s">
        <v>382</v>
      </c>
      <c r="K26" s="113">
        <f>Parameters!H32</f>
        <v>0.02</v>
      </c>
    </row>
    <row r="27" spans="3:17" ht="46.15" customHeight="1" thickBot="1">
      <c r="C27" s="37"/>
      <c r="D27" s="288"/>
      <c r="E27" s="288"/>
      <c r="F27" s="288"/>
      <c r="G27" s="288"/>
      <c r="J27" s="112" t="s">
        <v>384</v>
      </c>
      <c r="K27" s="113">
        <f>Parameters!H35</f>
        <v>0</v>
      </c>
    </row>
    <row r="28" spans="3:17" ht="75.75" customHeight="1" thickBot="1">
      <c r="C28" s="37"/>
      <c r="D28" s="288"/>
      <c r="E28" s="288"/>
      <c r="F28" s="288"/>
      <c r="G28" s="288"/>
    </row>
    <row r="29" spans="3:17" ht="75.75" thickBot="1">
      <c r="C29" s="37" t="s">
        <v>383</v>
      </c>
      <c r="D29" s="288" t="e">
        <f ca="1">IF(Investment_Strategy_Sub1 = "Standard","",
IF(AND(Investment_Strategy="DIY",SUM(L30:L34)&gt;0),"You have choosen to invest in the following funds: "&amp;LEFT(D23,LEN(D23)-1)&amp;". You have also chosen to include the guarantee on some of these funds where available."&amp;" As a result, while invested in this investment strategy (and thereafter if you choose to remain within those funds post-retirement) the guarantee and guarantee charge will apply.",
IF(Investment_Strategy="DIY","You have choosen to invest in the following funds: "&amp;LEFT(D23,LEN(D23)-1)&amp;".",
IF(Investment_Strategy="DIS",'Fund Based Charges Text'!$C$3,
IF(Investment_Strategy="Lifecycle",'Fund Based Charges Text'!$C$7,
IF(AND(Investment_Strategy="Autopilot",Investment_Strategy_Sub2 = "Balanced"),'Fund Based Charges Text'!$C$15,
IF(Investment_Strategy="Autopilot",'Fund Based Charges Text'!$C$11,"error")))))))</f>
        <v>#VALUE!</v>
      </c>
      <c r="E29" s="288"/>
      <c r="F29" s="288"/>
      <c r="G29" s="288"/>
      <c r="I29" s="37" t="s">
        <v>385</v>
      </c>
      <c r="J29" s="110" t="str" cm="1">
        <f t="array" aca="1" ref="J29" ca="1">IFERROR(IF($O$33 = "No Match", "No Match", INDEX(INDIRECT($O$33), ROW(A1), COLUMN(A1))),"")</f>
        <v>Fund</v>
      </c>
      <c r="K29" s="110" t="str" cm="1">
        <f t="array" aca="1" ref="K29" ca="1">IFERROR(IF($O$33 = "No Match", "No Match", INDEX(INDIRECT($O$33), ROW(B1), COLUMN(B1))),"")</f>
        <v>Fund based charge – excluding guarantee charge</v>
      </c>
      <c r="L29" s="110" t="str" cm="1">
        <f t="array" aca="1" ref="L29" ca="1">IFERROR(IF($O$33 = "No Match", "No Match", INDEX(INDIRECT($O$33), ROW(C1), COLUMN(C1))),"")</f>
        <v>Guarantee charge</v>
      </c>
      <c r="M29" s="110" t="str" cm="1">
        <f t="array" aca="1" ref="M29" ca="1">IFERROR(IF($O$33 = "No Match", "No Match", INDEX(INDIRECT($O$33), ROW(D1), COLUMN(D1))),"")</f>
        <v>Fund based charge – including guarantee charge</v>
      </c>
    </row>
    <row r="30" spans="3:17" ht="15.75" thickBot="1">
      <c r="C30" s="37"/>
      <c r="D30" s="288"/>
      <c r="E30" s="288"/>
      <c r="F30" s="288"/>
      <c r="G30" s="288"/>
      <c r="I30">
        <f ca="1">IF(J31="", 1, 0)</f>
        <v>1</v>
      </c>
      <c r="J30" s="120" t="str" cm="1">
        <f t="array" aca="1" ref="J30" ca="1">IFERROR(IF($O$33 = "No Match", "No Match", INDEX(INDIRECT($O$33), ROW(A2), COLUMN(A2))),"")</f>
        <v/>
      </c>
      <c r="K30" s="121" t="str" cm="1">
        <f t="array" aca="1" ref="K30" ca="1">IFERROR(IF($O$33 = "No Match", "No Match", INDEX(INDIRECT($O$33), ROW(B2), COLUMN(B2))),"")</f>
        <v/>
      </c>
      <c r="L30" s="121" t="str" cm="1">
        <f t="array" aca="1" ref="L30" ca="1">IFERROR(IF($O$33 = "No Match", "No Match", INDEX(INDIRECT($O$33), ROW(C2), COLUMN(C2))),"")</f>
        <v/>
      </c>
      <c r="M30" s="121" t="str" cm="1">
        <f t="array" aca="1" ref="M30" ca="1">IFERROR(IF($O$33 = "No Match", "No Match", INDEX(INDIRECT($O$33), ROW(D2), COLUMN(D2))),"")</f>
        <v/>
      </c>
      <c r="O30" s="118" t="str">
        <f>Investment_Strategy</f>
        <v>DIY</v>
      </c>
      <c r="Q30" t="str">
        <f ca="1">IF(J30="","",J30&amp;",")</f>
        <v/>
      </c>
    </row>
    <row r="31" spans="3:17" ht="15.75" thickBot="1">
      <c r="C31" s="37"/>
      <c r="D31" s="288"/>
      <c r="E31" s="288"/>
      <c r="F31" s="288"/>
      <c r="G31" s="288"/>
      <c r="I31">
        <f t="shared" ref="I31:I42" ca="1" si="0">IF(J32="", 1, 0)</f>
        <v>1</v>
      </c>
      <c r="J31" s="120" t="str" cm="1">
        <f t="array" aca="1" ref="J31" ca="1">IFERROR(IF($O$33 = "No Match", "No Match", INDEX(INDIRECT($O$33), ROW(A3), COLUMN(A3))),"")</f>
        <v/>
      </c>
      <c r="K31" s="121" t="str" cm="1">
        <f t="array" aca="1" ref="K31" ca="1">IFERROR(IF($O$33 = "No Match", "No Match", INDEX(INDIRECT($O$33), ROW(B3), COLUMN(B3))),"")</f>
        <v/>
      </c>
      <c r="L31" s="121" t="str" cm="1">
        <f t="array" aca="1" ref="L31" ca="1">IFERROR(IF($O$33 = "No Match", "No Match", INDEX(INDIRECT($O$33), ROW(C3), COLUMN(C3))),"")</f>
        <v/>
      </c>
      <c r="M31" s="121" t="str" cm="1">
        <f t="array" aca="1" ref="M31" ca="1">IFERROR(IF($O$33 = "No Match", "No Match", INDEX(INDIRECT($O$33), ROW(D3), COLUMN(D3))),"")</f>
        <v/>
      </c>
      <c r="O31" s="123" t="str">
        <f>Investment_Strategy_Sub1</f>
        <v>Non-Standard</v>
      </c>
      <c r="Q31" t="str">
        <f ca="1">IF(J31="",""," "&amp;J31&amp;",")</f>
        <v/>
      </c>
    </row>
    <row r="32" spans="3:17" ht="15.75" thickBot="1">
      <c r="C32" s="37"/>
      <c r="D32" s="288"/>
      <c r="E32" s="288"/>
      <c r="F32" s="288"/>
      <c r="G32" s="288"/>
      <c r="I32">
        <f t="shared" ca="1" si="0"/>
        <v>1</v>
      </c>
      <c r="J32" s="120" t="str" cm="1">
        <f t="array" aca="1" ref="J32" ca="1">IFERROR(IF($O$33 = "No Match", "No Match", INDEX(INDIRECT($O$33), ROW(A4), COLUMN(A4))),"")</f>
        <v/>
      </c>
      <c r="K32" s="121" t="str" cm="1">
        <f t="array" aca="1" ref="K32" ca="1">IFERROR(IF($O$33 = "No Match", "No Match", INDEX(INDIRECT($O$33), ROW(B4), COLUMN(B4))),"")</f>
        <v/>
      </c>
      <c r="L32" s="121" t="str" cm="1">
        <f t="array" aca="1" ref="L32" ca="1">IFERROR(IF($O$33 = "No Match", "No Match", INDEX(INDIRECT($O$33), ROW(C4), COLUMN(C4))),"")</f>
        <v/>
      </c>
      <c r="M32" s="121" t="str" cm="1">
        <f t="array" aca="1" ref="M32" ca="1">IFERROR(IF($O$33 = "No Match", "No Match", INDEX(INDIRECT($O$33), ROW(D4), COLUMN(D4))),"")</f>
        <v/>
      </c>
      <c r="O32" s="122" t="str">
        <f>Investment_Strategy_Sub2</f>
        <v>NiL</v>
      </c>
      <c r="Q32" t="str">
        <f ca="1">IF(J32="",""," "&amp;J32&amp;",")</f>
        <v/>
      </c>
    </row>
    <row r="33" spans="3:17" ht="15.75" thickBot="1">
      <c r="C33" s="37"/>
      <c r="D33" s="119"/>
      <c r="E33" s="119"/>
      <c r="F33" s="119"/>
      <c r="G33" s="119"/>
      <c r="I33">
        <f t="shared" ca="1" si="0"/>
        <v>1</v>
      </c>
      <c r="J33" s="120" t="str" cm="1">
        <f t="array" aca="1" ref="J33" ca="1">IFERROR(IF($O$33 = "No Match", "No Match", INDEX(INDIRECT($O$33), ROW(A5), COLUMN(A5))),"")</f>
        <v/>
      </c>
      <c r="K33" s="121" t="str" cm="1">
        <f t="array" aca="1" ref="K33" ca="1">IFERROR(IF($O$33 = "No Match", "No Match", INDEX(INDIRECT($O$33), ROW(B5), COLUMN(B5))),"")</f>
        <v/>
      </c>
      <c r="L33" s="121" t="str" cm="1">
        <f t="array" aca="1" ref="L33" ca="1">IFERROR(IF($O$33 = "No Match", "No Match", INDEX(INDIRECT($O$33), ROW(C5), COLUMN(C5))),"")</f>
        <v/>
      </c>
      <c r="M33" s="121" t="str" cm="1">
        <f t="array" aca="1" ref="M33" ca="1">IFERROR(IF($O$33 = "No Match", "No Match", INDEX(INDIRECT($O$33), ROW(D5), COLUMN(D5))),"")</f>
        <v/>
      </c>
      <c r="O33" s="122" t="str">
        <f>IF(AND(O30="Lifecycle",O31="Non-Standard",O32="Balanced"),"NS_LC_BAL",
IF(AND(O30="Lifecycle",O31="Non-Standard",O32="Dynamic"),"NS_LC_Dyn",
IF(AND(O30="Lifecycle",O31="Non-Standard",O32="Opportunity"),"NS_LC_Opp",
IF(AND(O30="AutoPilot",O31="Non-Standard",O32="Balanced"),"NS_AP_BAL",
IF(AND(O30="AutoPilot",O31="Non-Standard",O32="Dynamic"),"NS_AP_Dyn",
IF(AND(O30="AutoPilot",O31="Non-Standard",O32="Opportunity"),"NS_AP_Opp",
IF(AND(O30="DIS",O31="Non-Standard"),"NS_DIS",
IF(AND(O30="Lifecycle",O31="Standard",O32="Balanced"),"S_LC_BAL",
IF(AND(O30="Lifecycle",O31="Standard",O32="Dynamic"),"S_LC_Dyn",
IF(AND(O30="Lifecycle",O31="Standard",O32="Opportunity"),"S_LC_Opp",
IF(O30="DIY","DIY_Chrge_Table",
IF(AND(O30="DIS",O31="Standard"),"S_DIS","No Match"))))))))))))</f>
        <v>DIY_Chrge_Table</v>
      </c>
      <c r="Q33" t="str">
        <f t="shared" ref="Q33:Q42" ca="1" si="1">IF(J33="",""," "&amp;J33&amp;",")</f>
        <v/>
      </c>
    </row>
    <row r="34" spans="3:17" ht="15.75" thickBot="1">
      <c r="C34" s="37" t="s">
        <v>389</v>
      </c>
      <c r="D34" s="288" t="str">
        <f>IF(Investment_Strategy_Sub1="Standard","",
IF(Investment_Strategy="DIY",'Fund Based Charges Text'!$C$20,
IF(Investment_Strategy="DIS",'Fund Based Charges Text'!$C$4,
IF(Investment_Strategy="Lifecycle",'Fund Based Charges Text'!$C$8,
IF(AND(Investment_Strategy="Autopilot",Investment_Strategy_Sub2="Balanced"),'Fund Based Charges Text'!$C$16,
IF(Investment_Strategy="Autopilot",'Fund Based Charges Text'!$C$12,"error"))))))</f>
        <v>The funds your policy is invested in, and the total fund based charge applicable for each fund are set out in the table below.  The total charge includes the Annual Management Charge, the Fund Management Charge and in the case of the Allianz Strategy Select funds the relevant guarantee charge if selected .</v>
      </c>
      <c r="E34" s="288"/>
      <c r="F34" s="288"/>
      <c r="G34" s="288"/>
      <c r="I34">
        <f t="shared" ca="1" si="0"/>
        <v>1</v>
      </c>
      <c r="J34" s="120" t="str" cm="1">
        <f t="array" aca="1" ref="J34" ca="1">IFERROR(IF($O$33 = "No Match", "No Match", INDEX(INDIRECT($O$33), ROW(A6), COLUMN(A6))),"")</f>
        <v/>
      </c>
      <c r="K34" s="121" t="str" cm="1">
        <f t="array" aca="1" ref="K34" ca="1">IFERROR(IF($O$33 = "No Match", "No Match", INDEX(INDIRECT($O$33), ROW(B6), COLUMN(B6))),"")</f>
        <v/>
      </c>
      <c r="L34" s="121" t="str" cm="1">
        <f t="array" aca="1" ref="L34" ca="1">IFERROR(IF($O$33 = "No Match", "No Match", INDEX(INDIRECT($O$33), ROW(C6), COLUMN(C6))),"")</f>
        <v/>
      </c>
      <c r="M34" s="121" t="str" cm="1">
        <f t="array" aca="1" ref="M34" ca="1">IFERROR(IF($O$33 = "No Match", "No Match", INDEX(INDIRECT($O$33), ROW(D6), COLUMN(D6))),"")</f>
        <v/>
      </c>
      <c r="Q34" t="str">
        <f t="shared" ca="1" si="1"/>
        <v/>
      </c>
    </row>
    <row r="35" spans="3:17" ht="15.75" thickBot="1">
      <c r="C35" s="37"/>
      <c r="D35" s="288"/>
      <c r="E35" s="288"/>
      <c r="F35" s="288"/>
      <c r="G35" s="288"/>
      <c r="I35">
        <f t="shared" ca="1" si="0"/>
        <v>1</v>
      </c>
      <c r="J35" s="120" t="str" cm="1">
        <f t="array" aca="1" ref="J35" ca="1">IFERROR(IF($O$33 = "No Match", "No Match", INDEX(INDIRECT($O$33), ROW(A7), COLUMN(A7))),"")</f>
        <v/>
      </c>
      <c r="K35" s="121" t="str" cm="1">
        <f t="array" aca="1" ref="K35" ca="1">IFERROR(IF($O$33 = "No Match", "No Match", INDEX(INDIRECT($O$33), ROW(B7), COLUMN(B7))),"")</f>
        <v/>
      </c>
      <c r="L35" s="121" t="str" cm="1">
        <f t="array" aca="1" ref="L35" ca="1">IFERROR(IF($O$33 = "No Match", "No Match", INDEX(INDIRECT($O$33), ROW(C7), COLUMN(C7))),"")</f>
        <v/>
      </c>
      <c r="M35" s="121" t="str" cm="1">
        <f t="array" aca="1" ref="M35" ca="1">IFERROR(IF($O$33 = "No Match", "No Match", INDEX(INDIRECT($O$33), ROW(D7), COLUMN(D7))),"")</f>
        <v/>
      </c>
      <c r="Q35" t="str">
        <f t="shared" ca="1" si="1"/>
        <v/>
      </c>
    </row>
    <row r="36" spans="3:17" ht="15.75" thickBot="1">
      <c r="C36" s="37"/>
      <c r="D36" s="288"/>
      <c r="E36" s="288"/>
      <c r="F36" s="288"/>
      <c r="G36" s="288"/>
      <c r="I36">
        <f t="shared" ca="1" si="0"/>
        <v>1</v>
      </c>
      <c r="J36" s="120" t="str" cm="1">
        <f t="array" aca="1" ref="J36" ca="1">IFERROR(IF($O$33 = "No Match", "No Match", INDEX(INDIRECT($O$33), ROW(A8), COLUMN(A8))),"")</f>
        <v/>
      </c>
      <c r="K36" s="121" t="str" cm="1">
        <f t="array" aca="1" ref="K36" ca="1">IFERROR(IF($O$33 = "No Match", "No Match", INDEX(INDIRECT($O$33), ROW(B8), COLUMN(B8))),"")</f>
        <v/>
      </c>
      <c r="L36" s="121" t="str" cm="1">
        <f t="array" aca="1" ref="L36" ca="1">IFERROR(IF($O$33 = "No Match", "No Match", INDEX(INDIRECT($O$33), ROW(C8), COLUMN(C8))),"")</f>
        <v/>
      </c>
      <c r="M36" s="121" t="str" cm="1">
        <f t="array" aca="1" ref="M36" ca="1">IFERROR(IF($O$33 = "No Match", "No Match", INDEX(INDIRECT($O$33), ROW(D8), COLUMN(D8))),"")</f>
        <v/>
      </c>
      <c r="Q36" t="str">
        <f t="shared" ca="1" si="1"/>
        <v/>
      </c>
    </row>
    <row r="37" spans="3:17" ht="15.75" thickBot="1">
      <c r="C37" s="37"/>
      <c r="D37" s="288"/>
      <c r="E37" s="288"/>
      <c r="F37" s="288"/>
      <c r="G37" s="288"/>
      <c r="I37">
        <f t="shared" ca="1" si="0"/>
        <v>1</v>
      </c>
      <c r="J37" s="120" t="str" cm="1">
        <f t="array" aca="1" ref="J37" ca="1">IFERROR(IF($O$33 = "No Match", "No Match", INDEX(INDIRECT($O$33), ROW(A9), COLUMN(A9))),"")</f>
        <v/>
      </c>
      <c r="K37" s="121" t="str" cm="1">
        <f t="array" aca="1" ref="K37" ca="1">IFERROR(IF($O$33 = "No Match", "No Match", INDEX(INDIRECT($O$33), ROW(B9), COLUMN(B9))),"")</f>
        <v/>
      </c>
      <c r="L37" s="121" t="str" cm="1">
        <f t="array" aca="1" ref="L37" ca="1">IFERROR(IF($O$33 = "No Match", "No Match", INDEX(INDIRECT($O$33), ROW(C9), COLUMN(C9))),"")</f>
        <v/>
      </c>
      <c r="M37" s="121" t="str" cm="1">
        <f t="array" aca="1" ref="M37" ca="1">IFERROR(IF($O$33 = "No Match", "No Match", INDEX(INDIRECT($O$33), ROW(D9), COLUMN(D9))),"")</f>
        <v/>
      </c>
      <c r="Q37" t="str">
        <f t="shared" ca="1" si="1"/>
        <v/>
      </c>
    </row>
    <row r="38" spans="3:17" ht="15.75" thickBot="1">
      <c r="C38" s="37"/>
      <c r="D38" s="119"/>
      <c r="E38" s="119"/>
      <c r="F38" s="119"/>
      <c r="G38" s="119"/>
      <c r="I38">
        <f t="shared" ca="1" si="0"/>
        <v>1</v>
      </c>
      <c r="J38" s="120" t="str" cm="1">
        <f t="array" aca="1" ref="J38" ca="1">IFERROR(IF($O$33 = "No Match", "No Match", INDEX(INDIRECT($O$33), ROW(A10), COLUMN(A10))),"")</f>
        <v/>
      </c>
      <c r="K38" s="121" t="str" cm="1">
        <f t="array" aca="1" ref="K38" ca="1">IFERROR(IF($O$33 = "No Match", "No Match", INDEX(INDIRECT($O$33), ROW(B10), COLUMN(B10))),"")</f>
        <v/>
      </c>
      <c r="L38" s="121" t="str" cm="1">
        <f t="array" aca="1" ref="L38" ca="1">IFERROR(IF($O$33 = "No Match", "No Match", INDEX(INDIRECT($O$33), ROW(C10), COLUMN(C10))),"")</f>
        <v/>
      </c>
      <c r="M38" s="121" t="str" cm="1">
        <f t="array" aca="1" ref="M38" ca="1">IFERROR(IF($O$33 = "No Match", "No Match", INDEX(INDIRECT($O$33), ROW(D10), COLUMN(D10))),"")</f>
        <v/>
      </c>
      <c r="Q38" t="str">
        <f t="shared" ca="1" si="1"/>
        <v/>
      </c>
    </row>
    <row r="39" spans="3:17" ht="15.75" thickBot="1">
      <c r="C39" s="37" t="s">
        <v>391</v>
      </c>
      <c r="D39" s="303" t="str">
        <f ca="1">IF('Initial SRP doc inputs'!Q46 = "", "",'Fund Based Charges Text'!C23)</f>
        <v/>
      </c>
      <c r="E39" s="303"/>
      <c r="F39" s="303"/>
      <c r="G39" s="303"/>
      <c r="I39">
        <f t="shared" ca="1" si="0"/>
        <v>1</v>
      </c>
      <c r="J39" s="120" t="str" cm="1">
        <f t="array" aca="1" ref="J39" ca="1">IFERROR(IF($O$33 = "No Match", "No Match", INDEX(INDIRECT($O$33), ROW(A11), COLUMN(A11))),"")</f>
        <v/>
      </c>
      <c r="K39" s="121" t="str" cm="1">
        <f t="array" aca="1" ref="K39" ca="1">IFERROR(IF($O$33 = "No Match", "No Match", INDEX(INDIRECT($O$33), ROW(B11), COLUMN(B11))),"")</f>
        <v/>
      </c>
      <c r="L39" s="121" t="str" cm="1">
        <f t="array" aca="1" ref="L39" ca="1">IFERROR(IF($O$33 = "No Match", "No Match", INDEX(INDIRECT($O$33), ROW(C11), COLUMN(C11))),"")</f>
        <v/>
      </c>
      <c r="M39" s="121" t="str" cm="1">
        <f t="array" aca="1" ref="M39" ca="1">IFERROR(IF($O$33 = "No Match", "No Match", INDEX(INDIRECT($O$33), ROW(D11), COLUMN(D11))),"")</f>
        <v/>
      </c>
      <c r="Q39" t="str">
        <f t="shared" ca="1" si="1"/>
        <v/>
      </c>
    </row>
    <row r="40" spans="3:17" ht="15.75" thickBot="1">
      <c r="D40" s="303"/>
      <c r="E40" s="303"/>
      <c r="F40" s="303"/>
      <c r="G40" s="303"/>
      <c r="I40">
        <f t="shared" ca="1" si="0"/>
        <v>1</v>
      </c>
      <c r="J40" s="120" t="str" cm="1">
        <f t="array" aca="1" ref="J40" ca="1">IFERROR(IF($O$33 = "No Match", "No Match", INDEX(INDIRECT($O$33), ROW(A12), COLUMN(A12))),"")</f>
        <v/>
      </c>
      <c r="K40" s="121" t="str" cm="1">
        <f t="array" aca="1" ref="K40" ca="1">IFERROR(IF($O$33 = "No Match", "No Match", INDEX(INDIRECT($O$33), ROW(B12), COLUMN(B12))),"")</f>
        <v/>
      </c>
      <c r="L40" s="121" t="str" cm="1">
        <f t="array" aca="1" ref="L40" ca="1">IFERROR(IF($O$33 = "No Match", "No Match", INDEX(INDIRECT($O$33), ROW(C12), COLUMN(C12))),"")</f>
        <v/>
      </c>
      <c r="M40" s="121" t="str" cm="1">
        <f t="array" aca="1" ref="M40" ca="1">IFERROR(IF($O$33 = "No Match", "No Match", INDEX(INDIRECT($O$33), ROW(D12), COLUMN(D12))),"")</f>
        <v/>
      </c>
      <c r="Q40" t="str">
        <f t="shared" ca="1" si="1"/>
        <v/>
      </c>
    </row>
    <row r="41" spans="3:17" ht="15.75" thickBot="1">
      <c r="D41" s="303"/>
      <c r="E41" s="303"/>
      <c r="F41" s="303"/>
      <c r="G41" s="303"/>
      <c r="I41">
        <f t="shared" ca="1" si="0"/>
        <v>1</v>
      </c>
      <c r="J41" s="120" t="str" cm="1">
        <f t="array" aca="1" ref="J41" ca="1">IFERROR(IF($O$33 = "No Match", "No Match", INDEX(INDIRECT($O$33), ROW(A13), COLUMN(A13))),"")</f>
        <v/>
      </c>
      <c r="K41" s="121" t="str" cm="1">
        <f t="array" aca="1" ref="K41" ca="1">IFERROR(IF($O$33 = "No Match", "No Match", INDEX(INDIRECT($O$33), ROW(B13), COLUMN(B13))),"")</f>
        <v/>
      </c>
      <c r="L41" s="121" t="str" cm="1">
        <f t="array" aca="1" ref="L41" ca="1">IFERROR(IF($O$33 = "No Match", "No Match", INDEX(INDIRECT($O$33), ROW(C13), COLUMN(C13))),"")</f>
        <v/>
      </c>
      <c r="M41" s="121" t="str" cm="1">
        <f t="array" aca="1" ref="M41" ca="1">IFERROR(IF($O$33 = "No Match", "No Match", INDEX(INDIRECT($O$33), ROW(D13), COLUMN(D13))),"")</f>
        <v/>
      </c>
      <c r="Q41" t="str">
        <f t="shared" ca="1" si="1"/>
        <v/>
      </c>
    </row>
    <row r="42" spans="3:17" ht="60" customHeight="1" thickBot="1">
      <c r="D42" s="303"/>
      <c r="E42" s="303"/>
      <c r="F42" s="303"/>
      <c r="G42" s="303"/>
      <c r="I42">
        <f t="shared" si="0"/>
        <v>1</v>
      </c>
      <c r="J42" s="120" t="str" cm="1">
        <f t="array" aca="1" ref="J42" ca="1">IFERROR(IF($O$33 = "No Match", "No Match", INDEX(INDIRECT($O$33), ROW(A14), COLUMN(A14))),"")</f>
        <v/>
      </c>
      <c r="K42" s="121" t="str" cm="1">
        <f t="array" aca="1" ref="K42" ca="1">IFERROR(IF($O$33 = "No Match", "No Match", INDEX(INDIRECT($O$33), ROW(B14), COLUMN(B14))),"")</f>
        <v/>
      </c>
      <c r="L42" s="121" t="str" cm="1">
        <f t="array" aca="1" ref="L42" ca="1">IFERROR(IF($O$33 = "No Match", "No Match", INDEX(INDIRECT($O$33), ROW(C14), COLUMN(C14))),"")</f>
        <v/>
      </c>
      <c r="M42" s="121" t="str" cm="1">
        <f t="array" aca="1" ref="M42" ca="1">IFERROR(IF($O$33 = "No Match", "No Match", INDEX(INDIRECT($O$33), ROW(D14), COLUMN(D14))),"")</f>
        <v/>
      </c>
      <c r="Q42" t="str">
        <f t="shared" ca="1" si="1"/>
        <v/>
      </c>
    </row>
    <row r="45" spans="3:17">
      <c r="C45" s="37" t="s">
        <v>390</v>
      </c>
      <c r="D45" s="77">
        <f>Single_Equivalence_Charge</f>
        <v>1.204015064260644E-2</v>
      </c>
    </row>
    <row r="47" spans="3:17">
      <c r="C47" s="37" t="s">
        <v>393</v>
      </c>
      <c r="D47" s="77">
        <f>SRP_Contrib_Chge_SP</f>
        <v>0</v>
      </c>
    </row>
    <row r="49" spans="3:4">
      <c r="C49" s="37" t="s">
        <v>395</v>
      </c>
      <c r="D49" s="77">
        <f>SRP_Contrib_Chge_RP</f>
        <v>0.02</v>
      </c>
    </row>
  </sheetData>
  <mergeCells count="5">
    <mergeCell ref="J4:J5"/>
    <mergeCell ref="D24:G28"/>
    <mergeCell ref="D29:G32"/>
    <mergeCell ref="D34:G37"/>
    <mergeCell ref="D39:G42"/>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CFE05-9CEA-42C4-AB5E-9E1E0253559F}">
  <dimension ref="A1:A33"/>
  <sheetViews>
    <sheetView workbookViewId="0"/>
  </sheetViews>
  <sheetFormatPr defaultColWidth="9.28515625" defaultRowHeight="12"/>
  <cols>
    <col min="1" max="1" width="95.7109375" style="132" customWidth="1"/>
    <col min="2" max="16384" width="9.28515625" style="132"/>
  </cols>
  <sheetData>
    <row r="1" spans="1:1" ht="15.75">
      <c r="A1" s="131" t="s">
        <v>397</v>
      </c>
    </row>
    <row r="2" spans="1:1">
      <c r="A2" s="133"/>
    </row>
    <row r="3" spans="1:1" ht="15">
      <c r="A3" s="134" t="s">
        <v>398</v>
      </c>
    </row>
    <row r="4" spans="1:1">
      <c r="A4" s="135">
        <f ca="1">TODAY()</f>
        <v>46280</v>
      </c>
    </row>
    <row r="5" spans="1:1">
      <c r="A5" s="133"/>
    </row>
    <row r="6" spans="1:1">
      <c r="A6" s="136" t="s">
        <v>399</v>
      </c>
    </row>
    <row r="7" spans="1:1">
      <c r="A7" s="133" t="s">
        <v>400</v>
      </c>
    </row>
    <row r="8" spans="1:1" ht="36">
      <c r="A8" s="133" t="s">
        <v>401</v>
      </c>
    </row>
    <row r="9" spans="1:1" ht="48">
      <c r="A9" s="133" t="s">
        <v>402</v>
      </c>
    </row>
    <row r="10" spans="1:1" ht="24">
      <c r="A10" s="133" t="s">
        <v>403</v>
      </c>
    </row>
    <row r="11" spans="1:1">
      <c r="A11" s="137" t="s">
        <v>404</v>
      </c>
    </row>
    <row r="12" spans="1:1">
      <c r="A12" s="137" t="s">
        <v>405</v>
      </c>
    </row>
    <row r="13" spans="1:1">
      <c r="A13" s="139" t="s">
        <v>406</v>
      </c>
    </row>
    <row r="14" spans="1:1">
      <c r="A14" s="139" t="s">
        <v>407</v>
      </c>
    </row>
    <row r="15" spans="1:1">
      <c r="A15" s="137" t="s">
        <v>408</v>
      </c>
    </row>
    <row r="16" spans="1:1">
      <c r="A16" s="137" t="s">
        <v>409</v>
      </c>
    </row>
    <row r="17" spans="1:1">
      <c r="A17" s="137"/>
    </row>
    <row r="18" spans="1:1">
      <c r="A18" s="137"/>
    </row>
    <row r="19" spans="1:1" ht="24">
      <c r="A19" s="133" t="str">
        <f ca="1">_xlfn.TEXTJOIN("",TRUE,"This workbook was based on data available to us at, or prior to, ",TEXT(A4,"d mmmm yyyy"), ", and takes no account of developments after that date.")</f>
        <v>This workbook was based on data available to us at, or prior to, 15 September 2026, and takes no account of developments after that date.</v>
      </c>
    </row>
    <row r="20" spans="1:1" ht="24">
      <c r="A20" s="133" t="s">
        <v>410</v>
      </c>
    </row>
    <row r="21" spans="1:1">
      <c r="A21" s="133"/>
    </row>
    <row r="22" spans="1:1">
      <c r="A22" s="136" t="s">
        <v>411</v>
      </c>
    </row>
    <row r="23" spans="1:1">
      <c r="A23" s="133" t="s">
        <v>412</v>
      </c>
    </row>
    <row r="24" spans="1:1" ht="36">
      <c r="A24" s="133" t="s">
        <v>413</v>
      </c>
    </row>
    <row r="25" spans="1:1" ht="24">
      <c r="A25" s="133" t="s">
        <v>414</v>
      </c>
    </row>
    <row r="26" spans="1:1" ht="60">
      <c r="A26" s="133" t="s">
        <v>415</v>
      </c>
    </row>
    <row r="27" spans="1:1" ht="24">
      <c r="A27" s="133" t="s">
        <v>416</v>
      </c>
    </row>
    <row r="28" spans="1:1">
      <c r="A28" s="138"/>
    </row>
    <row r="29" spans="1:1" ht="12" customHeight="1">
      <c r="A29" s="133" t="s">
        <v>417</v>
      </c>
    </row>
    <row r="30" spans="1:1" ht="84">
      <c r="A30" s="133" t="s">
        <v>418</v>
      </c>
    </row>
    <row r="31" spans="1:1">
      <c r="A31" s="138"/>
    </row>
    <row r="32" spans="1:1">
      <c r="A32" s="133" t="s">
        <v>419</v>
      </c>
    </row>
    <row r="33" spans="1:1" ht="36">
      <c r="A33" s="133" t="s">
        <v>420</v>
      </c>
    </row>
  </sheetData>
  <dataValidations count="1">
    <dataValidation type="date" operator="greaterThanOrEqual" allowBlank="1" showInputMessage="1" showErrorMessage="1" sqref="A4" xr:uid="{0821E4E9-D913-4D3C-8F3F-F0DBCAA64DA2}">
      <formula1>41487</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A80FB-C8FE-443A-94F7-A7E540A654C9}">
  <dimension ref="C2:K21"/>
  <sheetViews>
    <sheetView topLeftCell="A2" workbookViewId="0">
      <selection activeCell="I12" sqref="I12:I16"/>
    </sheetView>
  </sheetViews>
  <sheetFormatPr defaultRowHeight="15"/>
  <cols>
    <col min="2" max="2" width="15.28515625" customWidth="1"/>
    <col min="3" max="3" width="26.42578125" customWidth="1"/>
    <col min="4" max="4" width="28.42578125" customWidth="1"/>
    <col min="5" max="5" width="26.140625" customWidth="1"/>
    <col min="6" max="6" width="23.85546875" customWidth="1"/>
    <col min="7" max="8" width="18.140625" customWidth="1"/>
    <col min="9" max="9" width="16.140625" customWidth="1"/>
    <col min="10" max="10" width="17.42578125" customWidth="1"/>
    <col min="11" max="11" width="24" customWidth="1"/>
  </cols>
  <sheetData>
    <row r="2" spans="3:11" ht="15.75" thickBot="1"/>
    <row r="3" spans="3:11">
      <c r="C3" s="259" t="s">
        <v>60</v>
      </c>
      <c r="D3" s="259" t="s">
        <v>421</v>
      </c>
      <c r="E3" s="259" t="s">
        <v>422</v>
      </c>
      <c r="F3" s="259" t="s">
        <v>423</v>
      </c>
    </row>
    <row r="4" spans="3:11" ht="27.75" thickBot="1">
      <c r="C4" s="252" t="s">
        <v>67</v>
      </c>
      <c r="D4" s="252" t="s">
        <v>424</v>
      </c>
      <c r="E4" s="253" t="s">
        <v>425</v>
      </c>
      <c r="F4" s="253" t="s">
        <v>426</v>
      </c>
    </row>
    <row r="5" spans="3:11" ht="27.75" thickBot="1">
      <c r="C5" s="252" t="s">
        <v>79</v>
      </c>
      <c r="D5" s="252" t="s">
        <v>427</v>
      </c>
      <c r="E5" s="253" t="s">
        <v>428</v>
      </c>
      <c r="F5" s="253" t="s">
        <v>429</v>
      </c>
    </row>
    <row r="6" spans="3:11" ht="27.75" thickBot="1">
      <c r="C6" s="252" t="s">
        <v>81</v>
      </c>
      <c r="D6" s="252" t="s">
        <v>430</v>
      </c>
      <c r="E6" s="253" t="s">
        <v>431</v>
      </c>
      <c r="F6" s="253" t="s">
        <v>432</v>
      </c>
    </row>
    <row r="7" spans="3:11" ht="27.75" thickBot="1">
      <c r="C7" s="252" t="s">
        <v>83</v>
      </c>
      <c r="D7" s="252" t="s">
        <v>433</v>
      </c>
      <c r="E7" s="253" t="s">
        <v>434</v>
      </c>
      <c r="F7" s="253" t="s">
        <v>435</v>
      </c>
    </row>
    <row r="8" spans="3:11" ht="15.75" thickBot="1">
      <c r="C8" s="252" t="s">
        <v>85</v>
      </c>
      <c r="D8" s="252" t="s">
        <v>436</v>
      </c>
      <c r="E8" s="253" t="s">
        <v>437</v>
      </c>
      <c r="F8" s="253" t="s">
        <v>438</v>
      </c>
    </row>
    <row r="9" spans="3:11" ht="27.75" thickBot="1">
      <c r="C9" s="252" t="s">
        <v>89</v>
      </c>
      <c r="D9" s="252" t="s">
        <v>439</v>
      </c>
      <c r="E9" s="253" t="s">
        <v>440</v>
      </c>
      <c r="F9" s="253" t="s">
        <v>441</v>
      </c>
    </row>
    <row r="10" spans="3:11" ht="15.75" thickBot="1"/>
    <row r="11" spans="3:11" ht="54.75" thickBot="1">
      <c r="C11" s="264" t="s">
        <v>442</v>
      </c>
      <c r="D11" s="264" t="s">
        <v>443</v>
      </c>
      <c r="E11" s="264" t="s">
        <v>444</v>
      </c>
      <c r="F11" s="265" t="s">
        <v>445</v>
      </c>
      <c r="G11" s="265" t="s">
        <v>446</v>
      </c>
      <c r="H11" s="265" t="s">
        <v>447</v>
      </c>
      <c r="I11" s="265" t="s">
        <v>448</v>
      </c>
      <c r="J11" s="265" t="s">
        <v>449</v>
      </c>
      <c r="K11" s="265" t="s">
        <v>450</v>
      </c>
    </row>
    <row r="12" spans="3:11" ht="15.75" thickBot="1">
      <c r="C12" s="262" t="s">
        <v>451</v>
      </c>
      <c r="D12" s="263" t="s">
        <v>162</v>
      </c>
      <c r="E12" s="262" t="str">
        <f>_xlfn.TEXTJOIN(" ",TRUE,C12,D12)</f>
        <v>1. Standard</v>
      </c>
      <c r="F12" s="266">
        <v>0</v>
      </c>
      <c r="G12" s="267">
        <v>0</v>
      </c>
      <c r="H12" s="267">
        <v>0</v>
      </c>
      <c r="I12" s="266">
        <v>0</v>
      </c>
      <c r="J12" s="266" cm="1">
        <f t="array" ref="J12">_xlfn.IFS(special_deal_indicator = "Yes", F12+I12, special_deal_indicator = "No", F12, TRUE, NA())</f>
        <v>0</v>
      </c>
      <c r="K12" s="267" cm="1">
        <f t="array" ref="K12">_xlfn.IFS(special_deal_indicator = "Yes", H12, special_deal_indicator = "No", G12, TRUE, NA())</f>
        <v>0</v>
      </c>
    </row>
    <row r="13" spans="3:11" ht="15.75" thickBot="1">
      <c r="C13" s="252" t="s">
        <v>452</v>
      </c>
      <c r="D13" s="253" t="s">
        <v>162</v>
      </c>
      <c r="E13" s="252" t="str">
        <f t="shared" ref="E13:E21" si="0">_xlfn.TEXTJOIN(" ",TRUE,C13,D13)</f>
        <v>2. Standard</v>
      </c>
      <c r="F13" s="266">
        <v>4.0000000000000001E-3</v>
      </c>
      <c r="G13" s="267">
        <v>0.05</v>
      </c>
      <c r="H13" s="267">
        <v>0.05</v>
      </c>
      <c r="I13" s="266">
        <v>0</v>
      </c>
      <c r="J13" s="266" cm="1">
        <f t="array" ref="J13">_xlfn.IFS(special_deal_indicator = "Yes", F13+I13, special_deal_indicator = "No", F13, TRUE, NA())</f>
        <v>4.0000000000000001E-3</v>
      </c>
      <c r="K13" s="267" cm="1">
        <f t="array" ref="K13">_xlfn.IFS(special_deal_indicator = "Yes", H13, special_deal_indicator = "No", G13, TRUE, NA())</f>
        <v>0.05</v>
      </c>
    </row>
    <row r="14" spans="3:11" ht="15.75" thickBot="1">
      <c r="C14" s="252" t="s">
        <v>453</v>
      </c>
      <c r="D14" s="253" t="s">
        <v>162</v>
      </c>
      <c r="E14" s="252" t="str">
        <f t="shared" si="0"/>
        <v>3. Standard</v>
      </c>
      <c r="F14" s="266">
        <v>8.0000000000000002E-3</v>
      </c>
      <c r="G14" s="267">
        <v>0.1</v>
      </c>
      <c r="H14" s="267">
        <v>0.1</v>
      </c>
      <c r="I14" s="266">
        <v>0</v>
      </c>
      <c r="J14" s="266" cm="1">
        <f t="array" ref="J14">_xlfn.IFS(special_deal_indicator = "Yes", F14+I14, special_deal_indicator = "No", F14, TRUE, NA())</f>
        <v>8.0000000000000002E-3</v>
      </c>
      <c r="K14" s="267" cm="1">
        <f t="array" ref="K14">_xlfn.IFS(special_deal_indicator = "Yes", H14, special_deal_indicator = "No", G14, TRUE, NA())</f>
        <v>0.1</v>
      </c>
    </row>
    <row r="15" spans="3:11" ht="15.75" thickBot="1">
      <c r="C15" s="252" t="s">
        <v>454</v>
      </c>
      <c r="D15" s="253" t="s">
        <v>162</v>
      </c>
      <c r="E15" s="252" t="str">
        <f t="shared" si="0"/>
        <v>4. Standard</v>
      </c>
      <c r="F15" s="266">
        <v>0.01</v>
      </c>
      <c r="G15" s="267">
        <v>0.15</v>
      </c>
      <c r="H15" s="267">
        <v>0.15</v>
      </c>
      <c r="I15" s="266">
        <v>0</v>
      </c>
      <c r="J15" s="266" cm="1">
        <f t="array" ref="J15">_xlfn.IFS(special_deal_indicator = "Yes", F15+I15, special_deal_indicator = "No", F15, TRUE, NA())</f>
        <v>0.01</v>
      </c>
      <c r="K15" s="267" cm="1">
        <f t="array" ref="K15">_xlfn.IFS(special_deal_indicator = "Yes", H15, special_deal_indicator = "No", G15, TRUE, NA())</f>
        <v>0.15</v>
      </c>
    </row>
    <row r="16" spans="3:11" ht="15.75" thickBot="1">
      <c r="C16" s="252" t="s">
        <v>455</v>
      </c>
      <c r="D16" s="253" t="s">
        <v>162</v>
      </c>
      <c r="E16" s="252" t="str">
        <f t="shared" si="0"/>
        <v>5. Standard</v>
      </c>
      <c r="F16" s="266">
        <v>1.2999999999999999E-2</v>
      </c>
      <c r="G16" s="267">
        <v>0.2</v>
      </c>
      <c r="H16" s="267">
        <v>0.2</v>
      </c>
      <c r="I16" s="266">
        <v>0</v>
      </c>
      <c r="J16" s="266" cm="1">
        <f t="array" ref="J16">_xlfn.IFS(special_deal_indicator = "Yes", F16+I16, special_deal_indicator = "No", F16, TRUE, NA())</f>
        <v>1.2999999999999999E-2</v>
      </c>
      <c r="K16" s="267" cm="1">
        <f t="array" ref="K16">_xlfn.IFS(special_deal_indicator = "Yes", H16, special_deal_indicator = "No", G16, TRUE, NA())</f>
        <v>0.2</v>
      </c>
    </row>
    <row r="17" spans="3:11" ht="15.75" thickBot="1">
      <c r="C17" s="252" t="s">
        <v>451</v>
      </c>
      <c r="D17" s="253" t="s">
        <v>160</v>
      </c>
      <c r="E17" s="252" t="str">
        <f t="shared" si="0"/>
        <v>1. Non-Standard</v>
      </c>
      <c r="F17" s="266">
        <v>0</v>
      </c>
      <c r="G17" s="267">
        <v>0</v>
      </c>
      <c r="H17" s="267">
        <v>0.05</v>
      </c>
      <c r="I17" s="266">
        <v>4.0000000000000001E-3</v>
      </c>
      <c r="J17" s="266" cm="1">
        <f t="array" ref="J17">_xlfn.IFS(special_deal_indicator = "Yes", F17+I17, special_deal_indicator = "No", F17, TRUE, NA())</f>
        <v>4.0000000000000001E-3</v>
      </c>
      <c r="K17" s="267" cm="1">
        <f t="array" ref="K17">_xlfn.IFS(special_deal_indicator = "Yes", H17, special_deal_indicator = "No", G17, TRUE, NA())</f>
        <v>0.05</v>
      </c>
    </row>
    <row r="18" spans="3:11" ht="15.75" thickBot="1">
      <c r="C18" s="252" t="s">
        <v>452</v>
      </c>
      <c r="D18" s="253" t="s">
        <v>160</v>
      </c>
      <c r="E18" s="252" t="str">
        <f t="shared" si="0"/>
        <v>2. Non-Standard</v>
      </c>
      <c r="F18" s="266">
        <v>4.0000000000000001E-3</v>
      </c>
      <c r="G18" s="267">
        <v>0.05</v>
      </c>
      <c r="H18" s="267">
        <v>0.1</v>
      </c>
      <c r="I18" s="266">
        <v>4.0000000000000001E-3</v>
      </c>
      <c r="J18" s="266" cm="1">
        <f t="array" ref="J18">_xlfn.IFS(special_deal_indicator = "Yes", F18+I18, special_deal_indicator = "No", F18, TRUE, NA())</f>
        <v>8.0000000000000002E-3</v>
      </c>
      <c r="K18" s="267" cm="1">
        <f t="array" ref="K18">_xlfn.IFS(special_deal_indicator = "Yes", H18, special_deal_indicator = "No", G18, TRUE, NA())</f>
        <v>0.1</v>
      </c>
    </row>
    <row r="19" spans="3:11" ht="15.75" thickBot="1">
      <c r="C19" s="252" t="s">
        <v>453</v>
      </c>
      <c r="D19" s="253" t="s">
        <v>160</v>
      </c>
      <c r="E19" s="252" t="str">
        <f t="shared" si="0"/>
        <v>3. Non-Standard</v>
      </c>
      <c r="F19" s="266">
        <v>8.0000000000000002E-3</v>
      </c>
      <c r="G19" s="267">
        <v>0.1</v>
      </c>
      <c r="H19" s="267">
        <v>0.15</v>
      </c>
      <c r="I19" s="266">
        <v>2E-3</v>
      </c>
      <c r="J19" s="266" cm="1">
        <f t="array" ref="J19">_xlfn.IFS(special_deal_indicator = "Yes", F19+I19, special_deal_indicator = "No", F19, TRUE, NA())</f>
        <v>0.01</v>
      </c>
      <c r="K19" s="267" cm="1">
        <f t="array" ref="K19">_xlfn.IFS(special_deal_indicator = "Yes", H19, special_deal_indicator = "No", G19, TRUE, NA())</f>
        <v>0.15</v>
      </c>
    </row>
    <row r="20" spans="3:11" ht="15.75" thickBot="1">
      <c r="C20" s="252" t="s">
        <v>454</v>
      </c>
      <c r="D20" s="253" t="s">
        <v>160</v>
      </c>
      <c r="E20" s="252" t="str">
        <f t="shared" si="0"/>
        <v>4. Non-Standard</v>
      </c>
      <c r="F20" s="266">
        <v>0.01</v>
      </c>
      <c r="G20" s="267">
        <v>0.15</v>
      </c>
      <c r="H20" s="267">
        <v>0.2</v>
      </c>
      <c r="I20" s="266">
        <v>3.0000000000000001E-3</v>
      </c>
      <c r="J20" s="266" cm="1">
        <f t="array" ref="J20">_xlfn.IFS(special_deal_indicator = "Yes", F20+I20, special_deal_indicator = "No", F20, TRUE, NA())</f>
        <v>1.3000000000000001E-2</v>
      </c>
      <c r="K20" s="267" cm="1">
        <f t="array" ref="K20">_xlfn.IFS(special_deal_indicator = "Yes", H20, special_deal_indicator = "No", G20, TRUE, NA())</f>
        <v>0.2</v>
      </c>
    </row>
    <row r="21" spans="3:11" ht="15.75" thickBot="1">
      <c r="C21" s="252" t="s">
        <v>455</v>
      </c>
      <c r="D21" s="253" t="s">
        <v>160</v>
      </c>
      <c r="E21" s="252" t="str">
        <f t="shared" si="0"/>
        <v>5. Non-Standard</v>
      </c>
      <c r="F21" s="266">
        <v>1.2999999999999999E-2</v>
      </c>
      <c r="G21" s="267">
        <v>0.2</v>
      </c>
      <c r="H21" s="267">
        <v>0.25</v>
      </c>
      <c r="I21" s="266">
        <v>2E-3</v>
      </c>
      <c r="J21" s="266" cm="1">
        <f t="array" ref="J21">_xlfn.IFS(special_deal_indicator = "Yes", F21+I21, special_deal_indicator = "No", F21, TRUE, NA())</f>
        <v>1.4999999999999999E-2</v>
      </c>
      <c r="K21" s="267" cm="1">
        <f t="array" ref="K21">_xlfn.IFS(special_deal_indicator = "Yes", H21, special_deal_indicator = "No", G21, TRUE, NA())</f>
        <v>0.25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3225b16c-52d8-4e11-bb3e-bf6bd5174274">4MQSQJ5CRASR-57090708-180663</_dlc_DocId>
    <_dlc_DocIdUrl xmlns="3225b16c-52d8-4e11-bb3e-bf6bd5174274">
      <Url>https://allianzms.sharepoint.com/teams/IE0055-4609431/_layouts/15/DocIdRedir.aspx?ID=4MQSQJ5CRASR-57090708-180663</Url>
      <Description>4MQSQJ5CRASR-57090708-180663</Description>
    </_dlc_DocIdUrl>
    <MailPreviewData xmlns="3225b16c-52d8-4e11-bb3e-bf6bd5174274" xsi:nil="true"/>
    <DossierOwner xmlns="3225b16c-52d8-4e11-bb3e-bf6bd5174274">
      <UserInfo>
        <DisplayName/>
        <AccountId xsi:nil="true"/>
        <AccountType/>
      </UserInfo>
    </DossierOwner>
    <ContractExpirationDate xmlns="3225b16c-52d8-4e11-bb3e-bf6bd5174274" xsi:nil="true"/>
    <TaxCatchAllLabel xmlns="3225b16c-52d8-4e11-bb3e-bf6bd5174274" xsi:nil="true"/>
    <DossierStatus xmlns="3225b16c-52d8-4e11-bb3e-bf6bd5174274" xsi:nil="true"/>
    <TaxCatchAll xmlns="3225b16c-52d8-4e11-bb3e-bf6bd5174274" xsi:nil="true"/>
    <_dlc_DocIdPersistId xmlns="3225b16c-52d8-4e11-bb3e-bf6bd5174274" xsi:nil="true"/>
    <n2ddb59848d644dda23066f3460b0a3a xmlns="3225b16c-52d8-4e11-bb3e-bf6bd5174274">
      <Terms xmlns="http://schemas.microsoft.com/office/infopath/2007/PartnerControls"/>
    </n2ddb59848d644dda23066f3460b0a3a>
    <TranslatedLang xmlns="8c129b73-327c-4ef2-bb7f-3f38a376e77a" xsi:nil="true"/>
    <lcf76f155ced4ddcb4097134ff3c332f xmlns="8c129b73-327c-4ef2-bb7f-3f38a376e77a">
      <Terms xmlns="http://schemas.microsoft.com/office/infopath/2007/PartnerControls"/>
    </lcf76f155ced4ddcb4097134ff3c332f>
    <SharedWithUsers xmlns="3225b16c-52d8-4e11-bb3e-bf6bd5174274">
      <UserInfo>
        <DisplayName/>
        <AccountId xsi:nil="true"/>
        <AccountType/>
      </UserInfo>
    </SharedWithUsers>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ma:contentTypeID="0x01010083CE5741D76B7445B851BF381E8C86CB" ma:contentTypeVersion="35" ma:contentTypeDescription="Create a new document." ma:contentTypeScope="" ma:versionID="1ab418a7ad567ffc961df38f9cf610cc">
  <xsd:schema xmlns:xsd="http://www.w3.org/2001/XMLSchema" xmlns:xs="http://www.w3.org/2001/XMLSchema" xmlns:p="http://schemas.microsoft.com/office/2006/metadata/properties" xmlns:ns2="3225b16c-52d8-4e11-bb3e-bf6bd5174274" xmlns:ns3="8c129b73-327c-4ef2-bb7f-3f38a376e77a" targetNamespace="http://schemas.microsoft.com/office/2006/metadata/properties" ma:root="true" ma:fieldsID="6c6a50f9263fe78c908eb1096bbef947" ns2:_="" ns3:_="">
    <xsd:import namespace="3225b16c-52d8-4e11-bb3e-bf6bd5174274"/>
    <xsd:import namespace="8c129b73-327c-4ef2-bb7f-3f38a376e77a"/>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n2ddb59848d644dda23066f3460b0a3a" minOccurs="0"/>
                <xsd:element ref="ns2:TaxCatchAll" minOccurs="0"/>
                <xsd:element ref="ns2:TaxCatchAllLabel" minOccurs="0"/>
                <xsd:element ref="ns2:DossierOwner" minOccurs="0"/>
                <xsd:element ref="ns2:DossierStatus" minOccurs="0"/>
                <xsd:element ref="ns2:ContractExpirationDate" minOccurs="0"/>
                <xsd:element ref="ns3:MediaServiceMetadata" minOccurs="0"/>
                <xsd:element ref="ns3:MediaServiceFastMetadata" minOccurs="0"/>
                <xsd:element ref="ns3:lcf76f155ced4ddcb4097134ff3c332f" minOccurs="0"/>
                <xsd:element ref="ns3:MediaServiceGenerationTime" minOccurs="0"/>
                <xsd:element ref="ns3:MediaServiceEventHashCode" minOccurs="0"/>
                <xsd:element ref="ns3:MediaServiceOCR" minOccurs="0"/>
                <xsd:element ref="ns3:MediaServiceObjectDetectorVersions" minOccurs="0"/>
                <xsd:element ref="ns2:SharedWithUsers" minOccurs="0"/>
                <xsd:element ref="ns2:SharedWithDetails" minOccurs="0"/>
                <xsd:element ref="ns3:MediaServiceSearchProperties" minOccurs="0"/>
                <xsd:element ref="ns3:MediaServiceDateTaken" minOccurs="0"/>
                <xsd:element ref="ns3: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25b16c-52d8-4e11-bb3e-bf6bd517427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n2ddb59848d644dda23066f3460b0a3a" ma:index="12" nillable="true" ma:taxonomy="true" ma:internalName="n2ddb59848d644dda23066f3460b0a3a" ma:taxonomyFieldName="Document_Class" ma:displayName="Document Class" ma:fieldId="{72ddb598-48d6-44dd-a230-66f3460b0a3a}" ma:sspId="10820af1-e82f-496e-bbcb-d9502914b7b2" ma:termSetId="a8fe5516-3f25-4a18-9fe8-9ec61fcfebb7" ma:anchorId="f3769284-ebf9-45c0-9e0f-a19a2a60e5c6" ma:open="false" ma:isKeyword="false">
      <xsd:complexType>
        <xsd:sequence>
          <xsd:element ref="pc:Terms" minOccurs="0" maxOccurs="1"/>
        </xsd:sequence>
      </xsd:complexType>
    </xsd:element>
    <xsd:element name="TaxCatchAll" ma:index="13" nillable="true" ma:displayName="Taxonomy Catch All Column" ma:hidden="true" ma:list="{5df4ba55-0331-4f68-b614-c949bfc39377}" ma:internalName="TaxCatchAll" ma:showField="CatchAllData" ma:web="3225b16c-52d8-4e11-bb3e-bf6bd5174274">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5df4ba55-0331-4f68-b614-c949bfc39377}" ma:internalName="TaxCatchAllLabel" ma:readOnly="true" ma:showField="CatchAllDataLabel" ma:web="3225b16c-52d8-4e11-bb3e-bf6bd5174274">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2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c129b73-327c-4ef2-bb7f-3f38a376e77a"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ateTaken" ma:index="30" nillable="true" ma:displayName="MediaServiceDateTaken" ma:description="" ma:hidden="true" ma:indexed="true" ma:internalName="MediaServiceDateTaken" ma:readOnly="true">
      <xsd:simpleType>
        <xsd:restriction base="dms:Text"/>
      </xsd:simpleType>
    </xsd:element>
    <xsd:element name="TranslatedLang" ma:index="31" nillable="true" ma:displayName="Translated Language" ma:internalName="TranslatedLang">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17CF9B-95CE-4390-8A54-824E678ED588}">
  <ds:schemaRefs>
    <ds:schemaRef ds:uri="http://purl.org/dc/dcmitype/"/>
    <ds:schemaRef ds:uri="http://purl.org/dc/terms/"/>
    <ds:schemaRef ds:uri="http://schemas.microsoft.com/office/infopath/2007/PartnerControls"/>
    <ds:schemaRef ds:uri="http://www.w3.org/XML/1998/namespace"/>
    <ds:schemaRef ds:uri="3225b16c-52d8-4e11-bb3e-bf6bd5174274"/>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8c129b73-327c-4ef2-bb7f-3f38a376e77a"/>
  </ds:schemaRefs>
</ds:datastoreItem>
</file>

<file path=customXml/itemProps2.xml><?xml version="1.0" encoding="utf-8"?>
<ds:datastoreItem xmlns:ds="http://schemas.openxmlformats.org/officeDocument/2006/customXml" ds:itemID="{1CFE233A-E40C-4FC5-9AEE-65C234FB260F}">
  <ds:schemaRefs>
    <ds:schemaRef ds:uri="http://schemas.microsoft.com/sharepoint/events"/>
  </ds:schemaRefs>
</ds:datastoreItem>
</file>

<file path=customXml/itemProps3.xml><?xml version="1.0" encoding="utf-8"?>
<ds:datastoreItem xmlns:ds="http://schemas.openxmlformats.org/officeDocument/2006/customXml" ds:itemID="{0EE29B31-454F-4883-A847-FF0386624E40}">
  <ds:schemaRefs>
    <ds:schemaRef ds:uri="http://schemas.microsoft.com/DataMashup"/>
  </ds:schemaRefs>
</ds:datastoreItem>
</file>

<file path=customXml/itemProps4.xml><?xml version="1.0" encoding="utf-8"?>
<ds:datastoreItem xmlns:ds="http://schemas.openxmlformats.org/officeDocument/2006/customXml" ds:itemID="{7D41F5F7-5F80-43E2-A87F-CB1FE894ECD7}">
  <ds:schemaRefs>
    <ds:schemaRef ds:uri="http://schemas.microsoft.com/sharepoint/v3/contenttype/forms"/>
  </ds:schemaRefs>
</ds:datastoreItem>
</file>

<file path=customXml/itemProps5.xml><?xml version="1.0" encoding="utf-8"?>
<ds:datastoreItem xmlns:ds="http://schemas.openxmlformats.org/officeDocument/2006/customXml" ds:itemID="{98977C3F-2A78-4ECA-B812-B80C4FDD9A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25b16c-52d8-4e11-bb3e-bf6bd5174274"/>
    <ds:schemaRef ds:uri="8c129b73-327c-4ef2-bb7f-3f38a376e7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76</vt:i4>
      </vt:variant>
    </vt:vector>
  </HeadingPairs>
  <TitlesOfParts>
    <vt:vector size="90" baseType="lpstr">
      <vt:lpstr>Version Control</vt:lpstr>
      <vt:lpstr>Overview</vt:lpstr>
      <vt:lpstr>Parameters</vt:lpstr>
      <vt:lpstr>Mortality Table</vt:lpstr>
      <vt:lpstr>Irish Life Quote</vt:lpstr>
      <vt:lpstr>Investment Strategies</vt:lpstr>
      <vt:lpstr>SRP</vt:lpstr>
      <vt:lpstr>CSO Calc</vt:lpstr>
      <vt:lpstr>Investment Strategy Funds</vt:lpstr>
      <vt:lpstr>Fund Based Charges Text</vt:lpstr>
      <vt:lpstr>Initial SRP doc inputs</vt:lpstr>
      <vt:lpstr>InForce SRP doc inputs</vt:lpstr>
      <vt:lpstr>Reliances &amp; Limitations</vt:lpstr>
      <vt:lpstr>Product Name Table</vt:lpstr>
      <vt:lpstr>avc_indicator</vt:lpstr>
      <vt:lpstr>Commission_Uplift_Factor</vt:lpstr>
      <vt:lpstr>Contributions_per_year</vt:lpstr>
      <vt:lpstr>DIY_Chrge_Table</vt:lpstr>
      <vt:lpstr>DIY_ExtManChrge_CurrentFunds</vt:lpstr>
      <vt:lpstr>DIY_ExtManChrge_FuturePremiums</vt:lpstr>
      <vt:lpstr>DIY_ExtManChrge_SP</vt:lpstr>
      <vt:lpstr>DIY_GteeChrge_CurrentFunds</vt:lpstr>
      <vt:lpstr>DIY_GteeChrge_FuturePremiums</vt:lpstr>
      <vt:lpstr>DIY_GteeChrge_SP</vt:lpstr>
      <vt:lpstr>DIY_RateOfReturn_CurrentFunds</vt:lpstr>
      <vt:lpstr>DIY_RateOfReturn_FuturePremiums</vt:lpstr>
      <vt:lpstr>DIY_RateofReturn_SP</vt:lpstr>
      <vt:lpstr>External_Man_Chrge</vt:lpstr>
      <vt:lpstr>Gtee_Chrge</vt:lpstr>
      <vt:lpstr>Investment_Strategy</vt:lpstr>
      <vt:lpstr>Investment_Strategy_Sub1</vt:lpstr>
      <vt:lpstr>Investment_Strategy_Sub2</vt:lpstr>
      <vt:lpstr>Max_Contrib_Escalation</vt:lpstr>
      <vt:lpstr>Max_InvReturn</vt:lpstr>
      <vt:lpstr>NS_AP_Bal</vt:lpstr>
      <vt:lpstr>NS_AP_Dyn</vt:lpstr>
      <vt:lpstr>NS_AP_Opp</vt:lpstr>
      <vt:lpstr>NS_DIS</vt:lpstr>
      <vt:lpstr>NS_LC_Bal</vt:lpstr>
      <vt:lpstr>NS_LC_Dyn</vt:lpstr>
      <vt:lpstr>NS_LC_Opp</vt:lpstr>
      <vt:lpstr>Opening_Fund_Value</vt:lpstr>
      <vt:lpstr>Premium_Month1_Flag</vt:lpstr>
      <vt:lpstr>Product_Type</vt:lpstr>
      <vt:lpstr>Product_Version</vt:lpstr>
      <vt:lpstr>Rates_of_Return</vt:lpstr>
      <vt:lpstr>S_DIS</vt:lpstr>
      <vt:lpstr>S_LC_Bal</vt:lpstr>
      <vt:lpstr>S_LC_Dyn</vt:lpstr>
      <vt:lpstr>S_LC_Opp</vt:lpstr>
      <vt:lpstr>Single_Equivalence_Charge</vt:lpstr>
      <vt:lpstr>special_deal_increase_sp_upfront</vt:lpstr>
      <vt:lpstr>special_deal_indicator</vt:lpstr>
      <vt:lpstr>SRP_Admin_Charge</vt:lpstr>
      <vt:lpstr>SRP_Age_at_Entry</vt:lpstr>
      <vt:lpstr>SRP_Annuity_Esc_Rate</vt:lpstr>
      <vt:lpstr>SRP_Annuity_Factor</vt:lpstr>
      <vt:lpstr>SRP_Annuity_Gtee_Period</vt:lpstr>
      <vt:lpstr>SRP_AP</vt:lpstr>
      <vt:lpstr>SRP_Base_Year</vt:lpstr>
      <vt:lpstr>SRP_Contrib_Chge_RP</vt:lpstr>
      <vt:lpstr>SRP_Contrib_Chge_SP</vt:lpstr>
      <vt:lpstr>SRP_Contrib_Escalation</vt:lpstr>
      <vt:lpstr>SRP_Current_Age</vt:lpstr>
      <vt:lpstr>SRP_Current_Year</vt:lpstr>
      <vt:lpstr>SRP_Discount_factor</vt:lpstr>
      <vt:lpstr>SRP_DoB</vt:lpstr>
      <vt:lpstr>SRP_Female_qx_adj</vt:lpstr>
      <vt:lpstr>SRP_finalmonthfactor</vt:lpstr>
      <vt:lpstr>SRP_Gender</vt:lpstr>
      <vt:lpstr>SRP_Improve_Fact_F</vt:lpstr>
      <vt:lpstr>SRP_Improve_Fact_M</vt:lpstr>
      <vt:lpstr>SRP_Inf_Rate</vt:lpstr>
      <vt:lpstr>SRP_Init_Com_RP</vt:lpstr>
      <vt:lpstr>SRP_Init_Com_SP</vt:lpstr>
      <vt:lpstr>SRP_Int_Rate</vt:lpstr>
      <vt:lpstr>SRP_Male_qx_adj</vt:lpstr>
      <vt:lpstr>SRP_Monthly_Admin_Chge</vt:lpstr>
      <vt:lpstr>SRP_Monthly_Gtee_Chge</vt:lpstr>
      <vt:lpstr>SRP_Mort_Improve_Fact</vt:lpstr>
      <vt:lpstr>SRP_NRA</vt:lpstr>
      <vt:lpstr>SRP_Policy_Term</vt:lpstr>
      <vt:lpstr>SRP_PolicyStartDate</vt:lpstr>
      <vt:lpstr>SRP_PremFreq</vt:lpstr>
      <vt:lpstr>SRP_Ren_Com</vt:lpstr>
      <vt:lpstr>SRP_Ren_Com_Mthly</vt:lpstr>
      <vt:lpstr>SRP_RetirementDate</vt:lpstr>
      <vt:lpstr>SRP_SP</vt:lpstr>
      <vt:lpstr>SRP_ValDate</vt:lpstr>
      <vt:lpstr>Transfer_Indicator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Fiachra MacLeid</dc:creator>
  <cp:keywords/>
  <dc:description/>
  <cp:lastModifiedBy>Drennan, Jonathan (Allianz Global Life)</cp:lastModifiedBy>
  <cp:revision/>
  <dcterms:created xsi:type="dcterms:W3CDTF">2024-01-29T09:25:20Z</dcterms:created>
  <dcterms:modified xsi:type="dcterms:W3CDTF">2026-09-15T22:00:07Z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0x01010083CE5741D76B7445B851BF381E8C86CB</vt:lpwstr>
  </property>
  <property fmtid="{D5CDD505-2E9C-101B-9397-08002B2CF9AE}" pid="3" name="_dlc_DocIdItemGuid">
    <vt:lpwstr>9ef95e58-4077-4ec1-91f4-c66537ca2171</vt:lpwstr>
  </property>
  <property fmtid="{D5CDD505-2E9C-101B-9397-08002B2CF9AE}" pid="4" name="DossierDepartment">
    <vt:lpwstr/>
  </property>
  <property fmtid="{D5CDD505-2E9C-101B-9397-08002B2CF9AE}" pid="5" name="AllianzContractingParties">
    <vt:lpwstr/>
  </property>
  <property fmtid="{D5CDD505-2E9C-101B-9397-08002B2CF9AE}" pid="6" name="Contract_Type">
    <vt:lpwstr/>
  </property>
  <property fmtid="{D5CDD505-2E9C-101B-9397-08002B2CF9AE}" pid="7" name="ma7b428390fe40c3b3d8b7af449e714b">
    <vt:lpwstr/>
  </property>
  <property fmtid="{D5CDD505-2E9C-101B-9397-08002B2CF9AE}" pid="8" name="Document_Class">
    <vt:lpwstr/>
  </property>
  <property fmtid="{D5CDD505-2E9C-101B-9397-08002B2CF9AE}" pid="9" name="ga59c799abf245578f962211bc5f9e69">
    <vt:lpwstr/>
  </property>
  <property fmtid="{D5CDD505-2E9C-101B-9397-08002B2CF9AE}" pid="10" name="MSIP_Label_863bc15e-e7bf-41c1-bdb3-03882d8a2e2c_Enabled">
    <vt:lpwstr>true</vt:lpwstr>
  </property>
  <property fmtid="{D5CDD505-2E9C-101B-9397-08002B2CF9AE}" pid="11" name="MSIP_Label_863bc15e-e7bf-41c1-bdb3-03882d8a2e2c_SetDate">
    <vt:lpwstr>2024-01-29T12:14:31Z</vt:lpwstr>
  </property>
  <property fmtid="{D5CDD505-2E9C-101B-9397-08002B2CF9AE}" pid="12" name="MSIP_Label_863bc15e-e7bf-41c1-bdb3-03882d8a2e2c_Method">
    <vt:lpwstr>Privileged</vt:lpwstr>
  </property>
  <property fmtid="{D5CDD505-2E9C-101B-9397-08002B2CF9AE}" pid="13" name="MSIP_Label_863bc15e-e7bf-41c1-bdb3-03882d8a2e2c_Name">
    <vt:lpwstr>863bc15e-e7bf-41c1-bdb3-03882d8a2e2c</vt:lpwstr>
  </property>
  <property fmtid="{D5CDD505-2E9C-101B-9397-08002B2CF9AE}" pid="14" name="MSIP_Label_863bc15e-e7bf-41c1-bdb3-03882d8a2e2c_SiteId">
    <vt:lpwstr>6e06e42d-6925-47c6-b9e7-9581c7ca302a</vt:lpwstr>
  </property>
  <property fmtid="{D5CDD505-2E9C-101B-9397-08002B2CF9AE}" pid="15" name="MSIP_Label_863bc15e-e7bf-41c1-bdb3-03882d8a2e2c_ActionId">
    <vt:lpwstr>1aa3a61a-7ffa-4bb8-b766-6bc0005c1393</vt:lpwstr>
  </property>
  <property fmtid="{D5CDD505-2E9C-101B-9397-08002B2CF9AE}" pid="16" name="MSIP_Label_863bc15e-e7bf-41c1-bdb3-03882d8a2e2c_ContentBits">
    <vt:lpwstr>1</vt:lpwstr>
  </property>
  <property fmtid="{D5CDD505-2E9C-101B-9397-08002B2CF9AE}" pid="17" name="MediaServiceImageTags">
    <vt:lpwstr/>
  </property>
  <property fmtid="{D5CDD505-2E9C-101B-9397-08002B2CF9AE}" pid="18" name="fbea657647064783ac85d05ff6ddbc3e">
    <vt:lpwstr/>
  </property>
  <property fmtid="{D5CDD505-2E9C-101B-9397-08002B2CF9AE}" pid="19" name="o77021bc6e734bfb95de174baa0966e4">
    <vt:lpwstr/>
  </property>
  <property fmtid="{D5CDD505-2E9C-101B-9397-08002B2CF9AE}" pid="20" name="p32bb3fe03c6406096897a8ed08b5736">
    <vt:lpwstr/>
  </property>
  <property fmtid="{D5CDD505-2E9C-101B-9397-08002B2CF9AE}" pid="21" name="db9c6427edb84fd088a84e0c332473eb">
    <vt:lpwstr/>
  </property>
  <property fmtid="{D5CDD505-2E9C-101B-9397-08002B2CF9AE}" pid="22" name="hrmSubject">
    <vt:lpwstr>Untitled</vt:lpwstr>
  </property>
  <property fmtid="{D5CDD505-2E9C-101B-9397-08002B2CF9AE}" pid="23" name="hrmTo">
    <vt:lpwstr>NA</vt:lpwstr>
  </property>
  <property fmtid="{D5CDD505-2E9C-101B-9397-08002B2CF9AE}" pid="24" name="ConversationID">
    <vt:lpwstr>isTrue</vt:lpwstr>
  </property>
  <property fmtid="{D5CDD505-2E9C-101B-9397-08002B2CF9AE}" pid="25" name="lcf76f155ced4ddcb4097134ff3c332f">
    <vt:lpwstr/>
  </property>
  <property fmtid="{D5CDD505-2E9C-101B-9397-08002B2CF9AE}" pid="26" name="hrmHasAttachments">
    <vt:lpwstr/>
  </property>
  <property fmtid="{D5CDD505-2E9C-101B-9397-08002B2CF9AE}" pid="27" name="Order">
    <vt:r8>838500</vt:r8>
  </property>
  <property fmtid="{D5CDD505-2E9C-101B-9397-08002B2CF9AE}" pid="28" name="xd_ProgID">
    <vt:lpwstr/>
  </property>
  <property fmtid="{D5CDD505-2E9C-101B-9397-08002B2CF9AE}" pid="29" name="DocumentSetDescription">
    <vt:lpwstr/>
  </property>
  <property fmtid="{D5CDD505-2E9C-101B-9397-08002B2CF9AE}" pid="30" name="ComplianceAssetId">
    <vt:lpwstr/>
  </property>
  <property fmtid="{D5CDD505-2E9C-101B-9397-08002B2CF9AE}" pid="31" name="TemplateUrl">
    <vt:lpwstr/>
  </property>
  <property fmtid="{D5CDD505-2E9C-101B-9397-08002B2CF9AE}" pid="32" name="hrmCc">
    <vt:lpwstr/>
  </property>
  <property fmtid="{D5CDD505-2E9C-101B-9397-08002B2CF9AE}" pid="33" name="DossierConfidentiality">
    <vt:lpwstr/>
  </property>
  <property fmtid="{D5CDD505-2E9C-101B-9397-08002B2CF9AE}" pid="34" name="_ExtendedDescription">
    <vt:lpwstr/>
  </property>
  <property fmtid="{D5CDD505-2E9C-101B-9397-08002B2CF9AE}" pid="35" name="TriggerFlowInfo">
    <vt:lpwstr/>
  </property>
  <property fmtid="{D5CDD505-2E9C-101B-9397-08002B2CF9AE}" pid="36" name="hrmFrom">
    <vt:lpwstr/>
  </property>
  <property fmtid="{D5CDD505-2E9C-101B-9397-08002B2CF9AE}" pid="37" name="xd_Signature">
    <vt:bool>false</vt:bool>
  </property>
  <property fmtid="{D5CDD505-2E9C-101B-9397-08002B2CF9AE}" pid="38" name="ldb75da6076e4b4f86a8bd3bf27a7de1">
    <vt:lpwstr/>
  </property>
  <property fmtid="{D5CDD505-2E9C-101B-9397-08002B2CF9AE}" pid="39" name="f737e0e0de904e9f8d941eea0e30b6fd">
    <vt:lpwstr/>
  </property>
  <property fmtid="{D5CDD505-2E9C-101B-9397-08002B2CF9AE}" pid="40" name="_AdHocReviewCycleID">
    <vt:i4>-481410926</vt:i4>
  </property>
  <property fmtid="{D5CDD505-2E9C-101B-9397-08002B2CF9AE}" pid="41" name="_NewReviewCycle">
    <vt:lpwstr/>
  </property>
  <property fmtid="{D5CDD505-2E9C-101B-9397-08002B2CF9AE}" pid="42" name="_EmailSubject">
    <vt:lpwstr>IVP013380 Finbarr Dunne PRSA - Welcome Kit review</vt:lpwstr>
  </property>
  <property fmtid="{D5CDD505-2E9C-101B-9397-08002B2CF9AE}" pid="43" name="_AuthorEmail">
    <vt:lpwstr>hugh.gannon@allianzgloballife.com</vt:lpwstr>
  </property>
  <property fmtid="{D5CDD505-2E9C-101B-9397-08002B2CF9AE}" pid="44" name="_AuthorEmailDisplayName">
    <vt:lpwstr>Gannon, Hugh (Allianz Global Life)</vt:lpwstr>
  </property>
  <property fmtid="{D5CDD505-2E9C-101B-9397-08002B2CF9AE}" pid="45" name="_ReviewingToolsShownOnce">
    <vt:lpwstr/>
  </property>
</Properties>
</file>